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ync" sheetId="2" state="visible" r:id="rId2"/>
    <sheet name="Calc" sheetId="3" state="visible" r:id="rId3"/>
    <sheet name="Ledger" sheetId="4" state="visible" r:id="rId4"/>
    <sheet name="Help" sheetId="5" state="visible" r:id="rId5"/>
  </sheets>
  <externalReferences>
    <externalReference r:id="rId8"/>
    <externalReference r:id="rId9"/>
    <externalReference r:id="rId10"/>
  </externalReferences>
  <definedNames>
    <definedName name="AcctTbl">Sync!$A$6:$G$565</definedName>
    <definedName name="AcctCodes">Sync!$A$6:$A$565</definedName>
    <definedName name="SellerPhone">Sync!$E$6:$E$565</definedName>
    <definedName name="SellerMobile">Sync!$F$6:$F$565</definedName>
    <definedName name="SellerAddr">Sync!$G$6:$G$565</definedName>
    <definedName name="OpTbl">Sync!$J$6:$L$25</definedName>
    <definedName name="ParamTbl">Sync!$N$6:$P$17</definedName>
    <definedName name="LdgSellerA">Ledger!$A$6:$A$2005</definedName>
    <definedName name="LdgKeyA">Ledger!$B$6:$B$2005</definedName>
    <definedName name="LdgRankKeyA">Ledger!$D$6:$D$2005</definedName>
    <definedName name="LdgSellerB">Ledger!$F$6:$F$2005</definedName>
    <definedName name="LdgKeyB">Ledger!$K$6:$K$2005</definedName>
    <definedName name="LdgRankKeyB">Ledger!$M$6:$M$2005</definedName>
    <definedName name="LdgDateB">Ledger!$J$6:$J$2005</definedName>
    <definedName name="LdgDepB">Sync!$AK$6:$AK$2005</definedName>
    <definedName name="LdgWitB">Sync!$AL$6:$AL$2005</definedName>
    <definedName name="LdgBankB">Sync!$AG$6:$AG$2005</definedName>
    <definedName name="LdgNoteB">Sync!$AM$6:$AM$2005</definedName>
    <definedName name="SCNormDate">Calc!$E$10:$E$2009</definedName>
    <definedName name="SCYM">Calc!$F$10:$F$2009</definedName>
    <definedName name="SCSeller">Calc!$G$10:$G$2009</definedName>
    <definedName name="SCOp">Calc!$H$10:$H$2009</definedName>
    <definedName name="SCSub">Calc!$I$10:$I$2009</definedName>
    <definedName name="SCCitrus">Calc!$J$10:$J$2009</definedName>
    <definedName name="SCNet">Calc!$M$10:$M$2009</definedName>
    <definedName name="SCAmount">Calc!$N$10:$N$2009</definedName>
    <definedName name="SCDoc">Calc!$O$10:$O$2009</definedName>
    <definedName name="SCNotes">Calc!$P$10:$P$2009</definedName>
    <definedName name="SCTime">Calc!$Q$10:$Q$2009</definedName>
    <definedName name="_xlnm.Print_Titles" localSheetId="0">'Report'!$15:$16</definedName>
    <definedName name="_xlnm.Print_Area" localSheetId="0">'Report'!$A$1:$I$2016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Tahoma"/>
      <b val="1"/>
      <color rgb="00FFFFFF"/>
      <sz val="15"/>
    </font>
    <font>
      <name val="Tahoma"/>
      <color rgb="00C8E6C9"/>
      <sz val="8"/>
    </font>
    <font>
      <name val="Tahoma"/>
      <b val="1"/>
      <color rgb="00C62828"/>
      <sz val="8"/>
    </font>
    <font>
      <name val="Tahoma"/>
      <b val="1"/>
      <color rgb="00FFFFFF"/>
      <sz val="8"/>
    </font>
    <font>
      <name val="Tahoma"/>
      <b val="1"/>
      <color rgb="00FFFFFF"/>
      <sz val="7.5"/>
    </font>
    <font>
      <name val="Tahoma"/>
      <b val="1"/>
      <color rgb="00E65100"/>
      <sz val="13"/>
    </font>
    <font>
      <name val="Tahoma"/>
      <b val="1"/>
      <color rgb="00607D8B"/>
      <sz val="9"/>
    </font>
    <font>
      <name val="Tahoma"/>
      <b val="1"/>
      <color rgb="00E65100"/>
      <sz val="12"/>
    </font>
    <font>
      <name val="Tahoma"/>
      <i val="1"/>
      <color rgb="00607D8B"/>
      <sz val="7.5"/>
    </font>
    <font>
      <name val="Tahoma"/>
      <b val="1"/>
      <color rgb="00607D8B"/>
      <sz val="8.5"/>
    </font>
    <font>
      <name val="Tahoma"/>
      <color rgb="00263238"/>
      <sz val="10"/>
    </font>
    <font>
      <name val="Tahoma"/>
      <b val="1"/>
      <color rgb="00263238"/>
      <sz val="10"/>
    </font>
    <font>
      <name val="Tahoma"/>
      <b val="1"/>
      <color rgb="00607D8B"/>
      <sz val="7.5"/>
    </font>
    <font>
      <name val="Tahoma"/>
      <b val="1"/>
      <color rgb="00263238"/>
      <sz val="11"/>
    </font>
    <font>
      <name val="Tahoma"/>
      <b val="1"/>
      <color rgb="00FFFFFF"/>
      <sz val="9.5"/>
    </font>
    <font>
      <name val="Tahoma"/>
      <color rgb="00546E7A"/>
      <sz val="6.5"/>
    </font>
    <font>
      <name val="Tahoma"/>
      <color rgb="00607D8B"/>
      <sz val="9"/>
    </font>
    <font>
      <name val="Tahoma"/>
      <color rgb="00263238"/>
      <sz val="9"/>
    </font>
    <font>
      <name val="Tahoma"/>
      <b val="1"/>
      <color rgb="00263238"/>
      <sz val="9"/>
    </font>
    <font>
      <name val="Tahoma"/>
      <b val="1"/>
      <color rgb="00FFFFFF"/>
      <sz val="10.5"/>
    </font>
  </fonts>
  <fills count="12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FE0B2"/>
      </patternFill>
    </fill>
    <fill>
      <patternFill patternType="solid">
        <fgColor rgb="00607D8B"/>
      </patternFill>
    </fill>
    <fill>
      <patternFill patternType="solid">
        <fgColor rgb="00F1F8F2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EEF3F1"/>
      </patternFill>
    </fill>
    <fill>
      <patternFill patternType="solid">
        <fgColor rgb="00F3F8F3"/>
      </patternFill>
    </fill>
  </fills>
  <borders count="5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EF6C00"/>
      </bottom>
    </border>
    <border>
      <left style="medium">
        <color rgb="0078909C"/>
      </left>
      <right style="medium">
        <color rgb="0078909C"/>
      </right>
      <top style="medium">
        <color rgb="0078909C"/>
      </top>
      <bottom style="medium">
        <color rgb="0078909C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78909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1" applyAlignment="1" pivotButton="0" quotePrefix="0" xfId="0">
      <alignment horizontal="right" vertical="center"/>
    </xf>
    <xf numFmtId="49" fontId="8" fillId="8" borderId="3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right" vertical="center"/>
    </xf>
    <xf numFmtId="3" fontId="12" fillId="8" borderId="3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3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1" fontId="14" fillId="9" borderId="1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 wrapText="1"/>
    </xf>
    <xf numFmtId="0" fontId="16" fillId="7" borderId="4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right" vertical="center"/>
    </xf>
    <xf numFmtId="164" fontId="18" fillId="9" borderId="1" applyAlignment="1" pivotButton="0" quotePrefix="0" xfId="0">
      <alignment horizontal="center" vertical="center"/>
    </xf>
    <xf numFmtId="3" fontId="18" fillId="9" borderId="1" applyAlignment="1" pivotButton="0" quotePrefix="0" xfId="0">
      <alignment horizontal="center" vertical="center"/>
    </xf>
    <xf numFmtId="3" fontId="19" fillId="9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right" vertical="center"/>
    </xf>
    <xf numFmtId="164" fontId="18" fillId="11" borderId="1" applyAlignment="1" pivotButton="0" quotePrefix="0" xfId="0">
      <alignment horizontal="center" vertical="center"/>
    </xf>
    <xf numFmtId="3" fontId="18" fillId="11" borderId="1" applyAlignment="1" pivotButton="0" quotePrefix="0" xfId="0">
      <alignment horizontal="center" vertical="center"/>
    </xf>
    <xf numFmtId="3" fontId="19" fillId="11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20" fillId="3" borderId="2" applyAlignment="1" pivotButton="0" quotePrefix="0" xfId="0">
      <alignment horizontal="right" vertical="center"/>
    </xf>
    <xf numFmtId="0" fontId="18" fillId="9" borderId="1" applyAlignment="1" pivotButton="0" quotePrefix="0" xfId="0">
      <alignment horizontal="right" vertical="center" wrapText="1"/>
    </xf>
    <xf numFmtId="0" fontId="18" fillId="11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12">
    <dxf>
      <font>
        <name val="Tahoma"/>
        <b val="1"/>
        <color rgb="00E65100"/>
        <sz val="9"/>
      </font>
      <fill>
        <patternFill patternType="solid">
          <fgColor rgb="00FFE0B2"/>
        </patternFill>
      </fill>
    </dxf>
    <dxf>
      <font>
        <name val="Tahoma"/>
        <b val="1"/>
        <color rgb="00C62828"/>
        <sz val="9"/>
      </font>
      <fill>
        <patternFill patternType="solid">
          <fgColor rgb="00FFCDD2"/>
        </patternFill>
      </fill>
    </dxf>
    <dxf>
      <font>
        <name val="Tahoma"/>
        <b val="1"/>
        <color rgb="002E7D32"/>
        <sz val="9"/>
      </font>
      <fill>
        <patternFill patternType="solid">
          <fgColor rgb="00C8E6C9"/>
        </patternFill>
      </fill>
    </dxf>
    <dxf>
      <font>
        <name val="Tahoma"/>
        <b val="1"/>
        <color rgb="00E65100"/>
        <sz val="9"/>
      </font>
    </dxf>
    <dxf>
      <font>
        <name val="Tahoma"/>
        <b val="1"/>
        <color rgb="002E7D32"/>
        <sz val="9"/>
      </font>
    </dxf>
    <dxf>
      <font>
        <name val="Tahoma"/>
        <b val="1"/>
        <color rgb="00C62828"/>
        <sz val="9"/>
      </font>
    </dxf>
    <dxf>
      <font>
        <name val="Tahoma"/>
        <b val="1"/>
        <color rgb="00E65100"/>
        <sz val="10"/>
      </font>
      <fill>
        <patternFill patternType="solid">
          <fgColor rgb="00FFE0B2"/>
        </patternFill>
      </fill>
    </dxf>
    <dxf>
      <font>
        <name val="Tahoma"/>
        <b val="1"/>
        <color rgb="00C62828"/>
        <sz val="10"/>
      </font>
      <fill>
        <patternFill patternType="solid">
          <fgColor rgb="00FFCDD2"/>
        </patternFill>
      </fill>
    </dxf>
    <dxf>
      <font>
        <name val="Tahoma"/>
        <b val="1"/>
        <color rgb="002E7D32"/>
        <sz val="10"/>
      </font>
      <fill>
        <patternFill patternType="solid">
          <fgColor rgb="00C8E6C9"/>
        </patternFill>
      </fill>
    </dxf>
    <dxf>
      <font>
        <name val="Tahoma"/>
        <b val="1"/>
        <color rgb="00E65100"/>
        <sz val="11"/>
      </font>
    </dxf>
    <dxf>
      <font>
        <name val="Tahoma"/>
        <b val="1"/>
        <color rgb="00C62828"/>
        <sz val="11"/>
      </font>
    </dxf>
    <dxf>
      <font>
        <name val="Tahoma"/>
        <b val="1"/>
        <color rgb="002E7D32"/>
        <sz val="1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8" Type="http://schemas.openxmlformats.org/officeDocument/2006/relationships/externalLink" Target="externalLinks/externalLink1.xml"/><Relationship Id="rId9" Type="http://schemas.openxmlformats.org/officeDocument/2006/relationships/externalLink" Target="externalLinks/externalLink2.xml"/><Relationship Id="rId10" Type="http://schemas.openxmlformats.org/officeDocument/2006/relationships/externalLink" Target="externalLinks/externalLink3.xml"/></Relationships>
</file>

<file path=xl/comments/comment1.xml><?xml version="1.0" encoding="utf-8"?>
<comments xmlns="http://schemas.openxmlformats.org/spreadsheetml/2006/main">
  <authors>
    <author>راهنمای مازندشت</author>
  </authors>
  <commentList>
    <comment ref="C5" authorId="0" shapeId="0">
      <text>
        <t>کد فروشنده (SL…) را از INFO ← Accounts وارد کنید — سربرگ، کارت‌ها و همه رویدادها خودکار می‌آیند.
برای فروشنده دیگر: راست‌کلیک روی شیت ← Move or Copy ← کپی شیت ← فقط همین کد را عوض کنید.</t>
      </text>
    </comment>
  </commentList>
</comment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_rels/externalLink2.xml.rels><?xml version="1.0" encoding="UTF-8" standalone="yes"?>
<Relationships xmlns="http://schemas.openxmlformats.org/package/2006/relationships"><Relationship Id="rId1" Type="http://schemas.openxmlformats.org/officeDocument/2006/relationships/externalLinkPath" Target="Baskol.xlsx" TargetMode="External"/></Relationships>
</file>

<file path=xl/externalLinks/_rels/externalLink3.xml.rels><?xml version="1.0" encoding="UTF-8" standalone="yes"?>
<Relationships xmlns="http://schemas.openxmlformats.org/package/2006/relationships"><Relationship Id="rId1" Type="http://schemas.openxmlformats.org/officeDocument/2006/relationships/externalLinkPath" Target="Transaction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Lists"/>
      <sheetName val="Help"/>
    </sheetNames>
    <sheetDataSet>
      <sheetData sheetId="1">
        <row r="5">
          <cell r="C5" t="str">
            <v>شرکت سورتینگ و بسته‌بندی مرکبات مازندشت</v>
          </cell>
        </row>
        <row r="6">
          <cell r="C6" t="str">
            <v>مازندشت</v>
          </cell>
        </row>
        <row r="7">
          <cell r="C7" t="str">
            <v>سورتینگ، بسته‌بندی و بازرگانی مرکبات</v>
          </cell>
        </row>
        <row r="8">
          <cell r="C8" t="str">
            <v>باغدشت، بخش مرکزی، شهرستان قائم‌شهر، استان مازندران، ایران</v>
          </cell>
        </row>
        <row r="9">
          <cell r="C9" t="str">
            <v>011-00000000</v>
          </cell>
        </row>
        <row r="10">
          <cell r="C10" t="str">
            <v>0911-0000000</v>
          </cell>
        </row>
        <row r="11">
          <cell r="C11" t="str">
            <v>(نام مدیرعامل)</v>
          </cell>
        </row>
        <row r="12">
          <cell r="C12" t="str">
            <v>1405</v>
          </cell>
        </row>
        <row r="13">
          <cell r="C13" t="str">
            <v>ریال</v>
          </cell>
        </row>
        <row r="14">
          <cell r="C14" t="str">
            <v>این اطلاعات به‌صورت خودکار در سرصفحه فایل‌های دیگر تکرار می‌شود.</v>
          </cell>
        </row>
      </sheetData>
      <sheetData sheetId="2">
        <row r="7">
          <cell r="A7" t="str">
            <v>P01</v>
          </cell>
          <cell r="B7" t="str">
            <v>وزن هر سبد (تار)</v>
          </cell>
          <cell r="C7">
            <v>1.5</v>
          </cell>
          <cell r="D7" t="str">
            <v>کیلوگرم</v>
          </cell>
          <cell r="E7" t="str">
            <v>در محاسبه وزن خالص خرید مرکبات کسر می‌شود</v>
          </cell>
        </row>
        <row r="8">
          <cell r="A8" t="str">
            <v>P02</v>
          </cell>
          <cell r="B8" t="str">
            <v>درصد افت</v>
          </cell>
          <cell r="C8">
            <v>1</v>
          </cell>
          <cell r="D8" t="str">
            <v>درصد</v>
          </cell>
          <cell r="E8" t="str">
            <v>از وزن خالص خرید کسر می‌شود</v>
          </cell>
        </row>
        <row r="9">
          <cell r="A9" t="str">
            <v>P03</v>
          </cell>
        </row>
        <row r="10">
          <cell r="A10" t="str">
            <v>P04</v>
          </cell>
        </row>
        <row r="11">
          <cell r="A11" t="str">
            <v>P05</v>
          </cell>
        </row>
        <row r="12">
          <cell r="A12" t="str">
            <v>P06</v>
          </cell>
        </row>
        <row r="13">
          <cell r="A13" t="str">
            <v>P07</v>
          </cell>
        </row>
        <row r="14">
          <cell r="A14" t="str">
            <v>P08</v>
          </cell>
        </row>
        <row r="15">
          <cell r="A15" t="str">
            <v>P09</v>
          </cell>
        </row>
        <row r="16">
          <cell r="A16" t="str">
            <v>P10</v>
          </cell>
        </row>
        <row r="17">
          <cell r="A17" t="str">
            <v>P11</v>
          </cell>
        </row>
        <row r="18">
          <cell r="A18" t="str">
            <v>P12</v>
          </cell>
        </row>
      </sheetData>
      <sheetData sheetId="3">
        <row r="7">
          <cell r="A7" t="str">
            <v>عمده</v>
          </cell>
          <cell r="B7" t="str">
            <v>حجره‌دار میدان بار</v>
          </cell>
          <cell r="C7" t="str">
            <v>باغ‌دار</v>
          </cell>
          <cell r="D7" t="str">
            <v>مدیرعامل</v>
          </cell>
          <cell r="E7" t="str">
            <v>حساب اداری/داخلی</v>
          </cell>
          <cell r="F7" t="str">
            <v>زمین و ساختمان</v>
          </cell>
          <cell r="G7" t="str">
            <v>وام بانکی</v>
          </cell>
          <cell r="H7" t="str">
            <v>سرمایه اولیه و آورده نقدی</v>
          </cell>
          <cell r="I7" t="str">
            <v>کلیدی</v>
          </cell>
          <cell r="J7" t="str">
            <v>پایش کامل</v>
          </cell>
        </row>
        <row r="8">
          <cell r="A8" t="str">
            <v>صادراتی</v>
          </cell>
          <cell r="B8" t="str">
            <v>صادراتی</v>
          </cell>
          <cell r="C8" t="str">
            <v>حجره‌دار میدان بار</v>
          </cell>
          <cell r="D8" t="str">
            <v>حسابدار</v>
          </cell>
          <cell r="E8" t="str">
            <v>کارمزد بانکی</v>
          </cell>
          <cell r="F8" t="str">
            <v>خودرو و حمل‌ونقل</v>
          </cell>
          <cell r="G8" t="str">
            <v>تسهیلات و اعتبارات</v>
          </cell>
          <cell r="H8" t="str">
            <v>برداشت سرمایه</v>
          </cell>
          <cell r="I8" t="str">
            <v>عادی</v>
          </cell>
          <cell r="J8" t="str">
            <v>نمونه‌ای</v>
          </cell>
        </row>
        <row r="9">
          <cell r="A9" t="str">
            <v>خرده‌فروش</v>
          </cell>
          <cell r="B9" t="str">
            <v>واسطه</v>
          </cell>
          <cell r="C9" t="str">
            <v>عامل خرید</v>
          </cell>
          <cell r="D9" t="str">
            <v>فروشنده</v>
          </cell>
          <cell r="E9" t="str">
            <v>مالیات</v>
          </cell>
          <cell r="F9" t="str">
            <v>ماشین‌آلات و تجهیزات</v>
          </cell>
          <cell r="G9" t="str">
            <v>قرض از اشخاص</v>
          </cell>
          <cell r="I9" t="str">
            <v>موقت</v>
          </cell>
          <cell r="J9" t="str">
            <v>معاف</v>
          </cell>
        </row>
        <row r="10">
          <cell r="A10" t="str">
            <v>نقدی</v>
          </cell>
          <cell r="B10" t="str">
            <v>نقدی</v>
          </cell>
          <cell r="C10" t="str">
            <v>فروشنده سبد</v>
          </cell>
          <cell r="D10" t="str">
            <v>انباردار</v>
          </cell>
          <cell r="E10" t="str">
            <v>صندوق</v>
          </cell>
        </row>
        <row r="11">
          <cell r="C11" t="str">
            <v>متفرقه</v>
          </cell>
          <cell r="D11" t="str">
            <v>سرپرست خط</v>
          </cell>
          <cell r="E11" t="str">
            <v>متفرقه</v>
          </cell>
        </row>
        <row r="12">
          <cell r="D12" t="str">
            <v>کارگر</v>
          </cell>
        </row>
      </sheetData>
      <sheetData sheetId="4">
        <row r="7">
          <cell r="A7" t="str">
            <v>G01</v>
          </cell>
          <cell r="B7" t="str">
            <v>خرید</v>
          </cell>
          <cell r="C7" t="str">
            <v>خرید کالا و مرکبات</v>
          </cell>
        </row>
        <row r="8">
          <cell r="A8" t="str">
            <v>G02</v>
          </cell>
          <cell r="B8" t="str">
            <v>فروش</v>
          </cell>
          <cell r="C8" t="str">
            <v>فروش کالا و مرکبات</v>
          </cell>
        </row>
        <row r="9">
          <cell r="A9" t="str">
            <v>G03</v>
          </cell>
          <cell r="B9" t="str">
            <v>هزینه</v>
          </cell>
          <cell r="C9" t="str">
            <v>هزینه‌های عملیاتی شرکت</v>
          </cell>
        </row>
        <row r="10">
          <cell r="A10" t="str">
            <v>G04</v>
          </cell>
          <cell r="B10" t="str">
            <v>شخصی قاسم</v>
          </cell>
          <cell r="C10" t="str">
            <v>تراکنش‌های شخصی مدیریت — خارج از محاسبات درآمدی و ترازنامه‌ای شرکت</v>
          </cell>
        </row>
        <row r="11">
          <cell r="A11" t="str">
            <v>G05</v>
          </cell>
          <cell r="B11" t="str">
            <v>وام و تسهیلات</v>
          </cell>
          <cell r="C11" t="str">
            <v>دریافت وام / پرداخت اقساط — طرف حساب = حساب وام L… (بهره: گروه هزینه)</v>
          </cell>
        </row>
        <row r="12">
          <cell r="A12" t="str">
            <v>G06</v>
          </cell>
          <cell r="B12" t="str">
            <v>سرمایه و آورده</v>
          </cell>
          <cell r="C12" t="str">
            <v>آورده / برداشت صاحب سرمایه — طرف حساب = CAP… (در حقوق ترازنامه)</v>
          </cell>
        </row>
        <row r="13">
          <cell r="A13" t="str">
            <v>G07</v>
          </cell>
          <cell r="B13" t="str">
            <v>دارایی ثابت</v>
          </cell>
          <cell r="C13" t="str">
            <v>خرید / فروش زمین، خودرو، تجهیزات — طرف حساب = F… (در دارایی ترازنامه)</v>
          </cell>
        </row>
        <row r="14">
          <cell r="A14" t="str">
            <v>G08</v>
          </cell>
        </row>
        <row r="15">
          <cell r="A15" t="str">
            <v>G09</v>
          </cell>
        </row>
        <row r="16">
          <cell r="A16" t="str">
            <v>G10</v>
          </cell>
        </row>
      </sheetData>
      <sheetData sheetId="5">
        <row r="7">
          <cell r="A7" t="str">
            <v>SG001</v>
          </cell>
          <cell r="B7" t="str">
            <v>هزینه</v>
          </cell>
          <cell r="C7" t="str">
            <v>مواد غذایی</v>
          </cell>
          <cell r="D7" t="str">
            <v>خوراک سالن و پرسنل</v>
          </cell>
        </row>
        <row r="8">
          <cell r="A8" t="str">
            <v>SG002</v>
          </cell>
          <cell r="B8" t="str">
            <v>هزینه</v>
          </cell>
          <cell r="C8" t="str">
            <v>دستمزد کارکنان</v>
          </cell>
        </row>
        <row r="9">
          <cell r="A9" t="str">
            <v>SG003</v>
          </cell>
          <cell r="B9" t="str">
            <v>هزینه</v>
          </cell>
          <cell r="C9" t="str">
            <v>بهره و کارمزد وام</v>
          </cell>
          <cell r="D9" t="str">
            <v>اقساط بهره و کارمزد وام‌ها — اصل وام حساب L… دارد</v>
          </cell>
        </row>
        <row r="10">
          <cell r="A10" t="str">
            <v>SG004</v>
          </cell>
          <cell r="B10" t="str">
            <v>هزینه</v>
          </cell>
          <cell r="C10" t="str">
            <v>رنگ و واکس</v>
          </cell>
          <cell r="D10" t="str">
            <v>مواد مصرفی بسته‌بندی</v>
          </cell>
        </row>
        <row r="11">
          <cell r="A11" t="str">
            <v>SG005</v>
          </cell>
          <cell r="B11" t="str">
            <v>هزینه</v>
          </cell>
          <cell r="C11" t="str">
            <v>کارمزد بانکی</v>
          </cell>
        </row>
        <row r="12">
          <cell r="A12" t="str">
            <v>SG006</v>
          </cell>
        </row>
        <row r="13">
          <cell r="A13" t="str">
            <v>SG007</v>
          </cell>
        </row>
        <row r="14">
          <cell r="A14" t="str">
            <v>SG008</v>
          </cell>
        </row>
        <row r="15">
          <cell r="A15" t="str">
            <v>SG009</v>
          </cell>
        </row>
        <row r="16">
          <cell r="A16" t="str">
            <v>SG010</v>
          </cell>
        </row>
        <row r="17">
          <cell r="A17" t="str">
            <v>SG011</v>
          </cell>
        </row>
        <row r="18">
          <cell r="A18" t="str">
            <v>SG012</v>
          </cell>
        </row>
        <row r="19">
          <cell r="A19" t="str">
            <v>SG013</v>
          </cell>
        </row>
        <row r="20">
          <cell r="A20" t="str">
            <v>SG014</v>
          </cell>
        </row>
        <row r="21">
          <cell r="A21" t="str">
            <v>SG015</v>
          </cell>
        </row>
        <row r="22">
          <cell r="A22" t="str">
            <v>SG016</v>
          </cell>
        </row>
        <row r="23">
          <cell r="A23" t="str">
            <v>SG017</v>
          </cell>
        </row>
        <row r="24">
          <cell r="A24" t="str">
            <v>SG018</v>
          </cell>
        </row>
        <row r="25">
          <cell r="A25" t="str">
            <v>SG019</v>
          </cell>
        </row>
        <row r="26">
          <cell r="A26" t="str">
            <v>SG020</v>
          </cell>
        </row>
        <row r="27">
          <cell r="A27" t="str">
            <v>SG021</v>
          </cell>
        </row>
        <row r="28">
          <cell r="A28" t="str">
            <v>SG022</v>
          </cell>
        </row>
        <row r="29">
          <cell r="A29" t="str">
            <v>SG023</v>
          </cell>
        </row>
        <row r="30">
          <cell r="A30" t="str">
            <v>SG024</v>
          </cell>
        </row>
        <row r="31">
          <cell r="A31" t="str">
            <v>SG025</v>
          </cell>
        </row>
        <row r="32">
          <cell r="A32" t="str">
            <v>SG026</v>
          </cell>
        </row>
        <row r="33">
          <cell r="A33" t="str">
            <v>SG027</v>
          </cell>
        </row>
        <row r="34">
          <cell r="A34" t="str">
            <v>SG028</v>
          </cell>
        </row>
        <row r="35">
          <cell r="A35" t="str">
            <v>SG029</v>
          </cell>
        </row>
        <row r="36">
          <cell r="A36" t="str">
            <v>SG030</v>
          </cell>
        </row>
        <row r="37">
          <cell r="A37" t="str">
            <v>SG031</v>
          </cell>
        </row>
        <row r="38">
          <cell r="A38" t="str">
            <v>SG032</v>
          </cell>
        </row>
        <row r="39">
          <cell r="A39" t="str">
            <v>SG033</v>
          </cell>
        </row>
        <row r="40">
          <cell r="A40" t="str">
            <v>SG034</v>
          </cell>
        </row>
        <row r="41">
          <cell r="A41" t="str">
            <v>SG035</v>
          </cell>
        </row>
        <row r="42">
          <cell r="A42" t="str">
            <v>SG036</v>
          </cell>
        </row>
        <row r="43">
          <cell r="A43" t="str">
            <v>SG037</v>
          </cell>
        </row>
        <row r="44">
          <cell r="A44" t="str">
            <v>SG038</v>
          </cell>
        </row>
        <row r="45">
          <cell r="A45" t="str">
            <v>SG039</v>
          </cell>
        </row>
        <row r="46">
          <cell r="A46" t="str">
            <v>SG040</v>
          </cell>
        </row>
        <row r="47">
          <cell r="A47" t="str">
            <v>SG041</v>
          </cell>
        </row>
        <row r="48">
          <cell r="A48" t="str">
            <v>SG042</v>
          </cell>
        </row>
        <row r="49">
          <cell r="A49" t="str">
            <v>SG043</v>
          </cell>
        </row>
        <row r="50">
          <cell r="A50" t="str">
            <v>SG044</v>
          </cell>
        </row>
        <row r="51">
          <cell r="A51" t="str">
            <v>SG045</v>
          </cell>
        </row>
        <row r="52">
          <cell r="A52" t="str">
            <v>SG046</v>
          </cell>
        </row>
        <row r="53">
          <cell r="A53" t="str">
            <v>SG047</v>
          </cell>
        </row>
        <row r="54">
          <cell r="A54" t="str">
            <v>SG048</v>
          </cell>
        </row>
        <row r="55">
          <cell r="A55" t="str">
            <v>SG049</v>
          </cell>
        </row>
        <row r="56">
          <cell r="A56" t="str">
            <v>SG050</v>
          </cell>
        </row>
        <row r="57">
          <cell r="A57" t="str">
            <v>SG051</v>
          </cell>
        </row>
        <row r="58">
          <cell r="A58" t="str">
            <v>SG052</v>
          </cell>
        </row>
        <row r="59">
          <cell r="A59" t="str">
            <v>SG053</v>
          </cell>
        </row>
        <row r="60">
          <cell r="A60" t="str">
            <v>SG054</v>
          </cell>
        </row>
        <row r="61">
          <cell r="A61" t="str">
            <v>SG055</v>
          </cell>
        </row>
        <row r="62">
          <cell r="A62" t="str">
            <v>SG056</v>
          </cell>
        </row>
        <row r="63">
          <cell r="A63" t="str">
            <v>SG057</v>
          </cell>
        </row>
        <row r="64">
          <cell r="A64" t="str">
            <v>SG058</v>
          </cell>
        </row>
        <row r="65">
          <cell r="A65" t="str">
            <v>SG059</v>
          </cell>
        </row>
        <row r="66">
          <cell r="A66" t="str">
            <v>SG060</v>
          </cell>
        </row>
        <row r="67">
          <cell r="A67" t="str">
            <v>SG061</v>
          </cell>
        </row>
        <row r="68">
          <cell r="A68" t="str">
            <v>SG062</v>
          </cell>
        </row>
        <row r="69">
          <cell r="A69" t="str">
            <v>SG063</v>
          </cell>
        </row>
        <row r="70">
          <cell r="A70" t="str">
            <v>SG064</v>
          </cell>
        </row>
        <row r="71">
          <cell r="A71" t="str">
            <v>SG065</v>
          </cell>
        </row>
        <row r="72">
          <cell r="A72" t="str">
            <v>SG066</v>
          </cell>
        </row>
        <row r="73">
          <cell r="A73" t="str">
            <v>SG067</v>
          </cell>
        </row>
        <row r="74">
          <cell r="A74" t="str">
            <v>SG068</v>
          </cell>
        </row>
        <row r="75">
          <cell r="A75" t="str">
            <v>SG069</v>
          </cell>
        </row>
        <row r="76">
          <cell r="A76" t="str">
            <v>SG070</v>
          </cell>
        </row>
        <row r="77">
          <cell r="A77" t="str">
            <v>SG071</v>
          </cell>
        </row>
        <row r="78">
          <cell r="A78" t="str">
            <v>SG072</v>
          </cell>
        </row>
        <row r="79">
          <cell r="A79" t="str">
            <v>SG073</v>
          </cell>
        </row>
        <row r="80">
          <cell r="A80" t="str">
            <v>SG074</v>
          </cell>
        </row>
        <row r="81">
          <cell r="A81" t="str">
            <v>SG075</v>
          </cell>
        </row>
        <row r="82">
          <cell r="A82" t="str">
            <v>SG076</v>
          </cell>
        </row>
        <row r="83">
          <cell r="A83" t="str">
            <v>SG077</v>
          </cell>
        </row>
        <row r="84">
          <cell r="A84" t="str">
            <v>SG078</v>
          </cell>
        </row>
        <row r="85">
          <cell r="A85" t="str">
            <v>SG079</v>
          </cell>
        </row>
        <row r="86">
          <cell r="A86" t="str">
            <v>SG080</v>
          </cell>
        </row>
        <row r="87">
          <cell r="A87" t="str">
            <v>SG081</v>
          </cell>
        </row>
        <row r="88">
          <cell r="A88" t="str">
            <v>SG082</v>
          </cell>
        </row>
        <row r="89">
          <cell r="A89" t="str">
            <v>SG083</v>
          </cell>
        </row>
        <row r="90">
          <cell r="A90" t="str">
            <v>SG084</v>
          </cell>
        </row>
        <row r="91">
          <cell r="A91" t="str">
            <v>SG085</v>
          </cell>
        </row>
        <row r="92">
          <cell r="A92" t="str">
            <v>SG086</v>
          </cell>
        </row>
        <row r="93">
          <cell r="A93" t="str">
            <v>SG087</v>
          </cell>
        </row>
        <row r="94">
          <cell r="A94" t="str">
            <v>SG088</v>
          </cell>
        </row>
        <row r="95">
          <cell r="A95" t="str">
            <v>SG089</v>
          </cell>
        </row>
        <row r="96">
          <cell r="A96" t="str">
            <v>SG090</v>
          </cell>
        </row>
        <row r="97">
          <cell r="A97" t="str">
            <v>SG091</v>
          </cell>
        </row>
        <row r="98">
          <cell r="A98" t="str">
            <v>SG092</v>
          </cell>
        </row>
        <row r="99">
          <cell r="A99" t="str">
            <v>SG093</v>
          </cell>
        </row>
        <row r="100">
          <cell r="A100" t="str">
            <v>SG094</v>
          </cell>
        </row>
        <row r="101">
          <cell r="A101" t="str">
            <v>SG095</v>
          </cell>
        </row>
        <row r="102">
          <cell r="A102" t="str">
            <v>SG096</v>
          </cell>
        </row>
        <row r="103">
          <cell r="A103" t="str">
            <v>SG097</v>
          </cell>
        </row>
        <row r="104">
          <cell r="A104" t="str">
            <v>SG098</v>
          </cell>
        </row>
        <row r="105">
          <cell r="A105" t="str">
            <v>SG099</v>
          </cell>
        </row>
        <row r="106">
          <cell r="A106" t="str">
            <v>SG100</v>
          </cell>
        </row>
      </sheetData>
      <sheetData sheetId="6">
        <row r="7">
          <cell r="A7" t="str">
            <v>WG01</v>
          </cell>
          <cell r="B7" t="str">
            <v>گروه سالن ۱</v>
          </cell>
          <cell r="C7" t="str">
            <v>خط سورتینگ — شیفت صبح</v>
          </cell>
        </row>
        <row r="8">
          <cell r="A8" t="str">
            <v>WG02</v>
          </cell>
          <cell r="B8" t="str">
            <v>گروه بسته‌بندی</v>
          </cell>
        </row>
        <row r="9">
          <cell r="A9" t="str">
            <v>WG03</v>
          </cell>
          <cell r="B9" t="str">
            <v>گروه باربری</v>
          </cell>
        </row>
        <row r="10">
          <cell r="A10" t="str">
            <v>WG04</v>
          </cell>
        </row>
        <row r="11">
          <cell r="A11" t="str">
            <v>WG05</v>
          </cell>
        </row>
        <row r="12">
          <cell r="A12" t="str">
            <v>WG06</v>
          </cell>
        </row>
        <row r="13">
          <cell r="A13" t="str">
            <v>WG07</v>
          </cell>
        </row>
        <row r="14">
          <cell r="A14" t="str">
            <v>WG08</v>
          </cell>
        </row>
        <row r="15">
          <cell r="A15" t="str">
            <v>WG09</v>
          </cell>
        </row>
        <row r="16">
          <cell r="A16" t="str">
            <v>WG10</v>
          </cell>
        </row>
        <row r="17">
          <cell r="A17" t="str">
            <v>WG11</v>
          </cell>
        </row>
        <row r="18">
          <cell r="A18" t="str">
            <v>WG12</v>
          </cell>
        </row>
        <row r="19">
          <cell r="A19" t="str">
            <v>WG13</v>
          </cell>
        </row>
        <row r="20">
          <cell r="A20" t="str">
            <v>WG14</v>
          </cell>
        </row>
        <row r="21">
          <cell r="A21" t="str">
            <v>WG15</v>
          </cell>
        </row>
        <row r="22">
          <cell r="A22" t="str">
            <v>WG16</v>
          </cell>
        </row>
        <row r="23">
          <cell r="A23" t="str">
            <v>WG17</v>
          </cell>
        </row>
        <row r="24">
          <cell r="A24" t="str">
            <v>WG18</v>
          </cell>
        </row>
        <row r="25">
          <cell r="A25" t="str">
            <v>WG19</v>
          </cell>
        </row>
        <row r="26">
          <cell r="A26" t="str">
            <v>WG20</v>
          </cell>
        </row>
        <row r="27">
          <cell r="A27" t="str">
            <v>WG21</v>
          </cell>
        </row>
        <row r="28">
          <cell r="A28" t="str">
            <v>WG22</v>
          </cell>
        </row>
        <row r="29">
          <cell r="A29" t="str">
            <v>WG23</v>
          </cell>
        </row>
        <row r="30">
          <cell r="A30" t="str">
            <v>WG24</v>
          </cell>
        </row>
        <row r="31">
          <cell r="A31" t="str">
            <v>WG25</v>
          </cell>
        </row>
        <row r="32">
          <cell r="A32" t="str">
            <v>WG26</v>
          </cell>
        </row>
        <row r="33">
          <cell r="A33" t="str">
            <v>WG27</v>
          </cell>
        </row>
        <row r="34">
          <cell r="A34" t="str">
            <v>WG28</v>
          </cell>
        </row>
        <row r="35">
          <cell r="A35" t="str">
            <v>WG29</v>
          </cell>
        </row>
        <row r="36">
          <cell r="A36" t="str">
            <v>WG30</v>
          </cell>
        </row>
      </sheetData>
      <sheetData sheetId="7">
        <row r="7">
          <cell r="A7" t="str">
            <v>E001</v>
          </cell>
          <cell r="D7" t="str">
            <v>مدیرعامل</v>
          </cell>
        </row>
        <row r="8">
          <cell r="A8" t="str">
            <v>E002</v>
          </cell>
          <cell r="D8" t="str">
            <v>حسابدار</v>
          </cell>
        </row>
        <row r="9">
          <cell r="A9" t="str">
            <v>E003</v>
          </cell>
          <cell r="D9" t="str">
            <v>فروشنده / بازاریاب</v>
          </cell>
        </row>
        <row r="10">
          <cell r="A10" t="str">
            <v>E004</v>
          </cell>
          <cell r="D10" t="str">
            <v>انباردار</v>
          </cell>
        </row>
        <row r="11">
          <cell r="A11" t="str">
            <v>E005</v>
          </cell>
          <cell r="C11" t="str">
            <v>WG01</v>
          </cell>
          <cell r="D11" t="str">
            <v>سرپرست خط</v>
          </cell>
          <cell r="E11" t="str">
            <v>6037-****-****-01 (نمونه)</v>
          </cell>
        </row>
        <row r="12">
          <cell r="A12" t="str">
            <v>E006</v>
          </cell>
          <cell r="C12" t="str">
            <v>WG01</v>
          </cell>
          <cell r="D12" t="str">
            <v>کارگر</v>
          </cell>
          <cell r="E12" t="str">
            <v>6037-****-****-02 (نمونه)</v>
          </cell>
        </row>
        <row r="13">
          <cell r="A13" t="str">
            <v>E007</v>
          </cell>
        </row>
        <row r="14">
          <cell r="A14" t="str">
            <v>E008</v>
          </cell>
        </row>
        <row r="15">
          <cell r="A15" t="str">
            <v>E009</v>
          </cell>
        </row>
        <row r="16">
          <cell r="A16" t="str">
            <v>E010</v>
          </cell>
        </row>
        <row r="17">
          <cell r="A17" t="str">
            <v>E011</v>
          </cell>
        </row>
        <row r="18">
          <cell r="A18" t="str">
            <v>E012</v>
          </cell>
        </row>
        <row r="19">
          <cell r="A19" t="str">
            <v>E013</v>
          </cell>
        </row>
        <row r="20">
          <cell r="A20" t="str">
            <v>E014</v>
          </cell>
        </row>
        <row r="21">
          <cell r="A21" t="str">
            <v>E015</v>
          </cell>
        </row>
        <row r="22">
          <cell r="A22" t="str">
            <v>E016</v>
          </cell>
        </row>
        <row r="23">
          <cell r="A23" t="str">
            <v>E017</v>
          </cell>
        </row>
        <row r="24">
          <cell r="A24" t="str">
            <v>E018</v>
          </cell>
        </row>
        <row r="25">
          <cell r="A25" t="str">
            <v>E019</v>
          </cell>
        </row>
        <row r="26">
          <cell r="A26" t="str">
            <v>E020</v>
          </cell>
        </row>
        <row r="27">
          <cell r="A27" t="str">
            <v>E021</v>
          </cell>
        </row>
        <row r="28">
          <cell r="A28" t="str">
            <v>E022</v>
          </cell>
        </row>
        <row r="29">
          <cell r="A29" t="str">
            <v>E023</v>
          </cell>
        </row>
        <row r="30">
          <cell r="A30" t="str">
            <v>E024</v>
          </cell>
        </row>
        <row r="31">
          <cell r="A31" t="str">
            <v>E025</v>
          </cell>
        </row>
        <row r="32">
          <cell r="A32" t="str">
            <v>E026</v>
          </cell>
        </row>
        <row r="33">
          <cell r="A33" t="str">
            <v>E027</v>
          </cell>
        </row>
        <row r="34">
          <cell r="A34" t="str">
            <v>E028</v>
          </cell>
        </row>
        <row r="35">
          <cell r="A35" t="str">
            <v>E029</v>
          </cell>
        </row>
        <row r="36">
          <cell r="A36" t="str">
            <v>E030</v>
          </cell>
        </row>
        <row r="37">
          <cell r="A37" t="str">
            <v>E031</v>
          </cell>
        </row>
        <row r="38">
          <cell r="A38" t="str">
            <v>E032</v>
          </cell>
        </row>
        <row r="39">
          <cell r="A39" t="str">
            <v>E033</v>
          </cell>
        </row>
        <row r="40">
          <cell r="A40" t="str">
            <v>E034</v>
          </cell>
        </row>
        <row r="41">
          <cell r="A41" t="str">
            <v>E035</v>
          </cell>
        </row>
        <row r="42">
          <cell r="A42" t="str">
            <v>E036</v>
          </cell>
        </row>
        <row r="43">
          <cell r="A43" t="str">
            <v>E037</v>
          </cell>
        </row>
        <row r="44">
          <cell r="A44" t="str">
            <v>E038</v>
          </cell>
        </row>
        <row r="45">
          <cell r="A45" t="str">
            <v>E039</v>
          </cell>
        </row>
        <row r="46">
          <cell r="A46" t="str">
            <v>E040</v>
          </cell>
        </row>
        <row r="47">
          <cell r="A47" t="str">
            <v>E041</v>
          </cell>
        </row>
        <row r="48">
          <cell r="A48" t="str">
            <v>E042</v>
          </cell>
        </row>
        <row r="49">
          <cell r="A49" t="str">
            <v>E043</v>
          </cell>
        </row>
        <row r="50">
          <cell r="A50" t="str">
            <v>E044</v>
          </cell>
        </row>
        <row r="51">
          <cell r="A51" t="str">
            <v>E045</v>
          </cell>
        </row>
        <row r="52">
          <cell r="A52" t="str">
            <v>E046</v>
          </cell>
        </row>
        <row r="53">
          <cell r="A53" t="str">
            <v>E047</v>
          </cell>
        </row>
        <row r="54">
          <cell r="A54" t="str">
            <v>E048</v>
          </cell>
        </row>
        <row r="55">
          <cell r="A55" t="str">
            <v>E049</v>
          </cell>
        </row>
        <row r="56">
          <cell r="A56" t="str">
            <v>E050</v>
          </cell>
        </row>
      </sheetData>
      <sheetData sheetId="8">
        <row r="7">
          <cell r="A7" t="str">
            <v>C001</v>
          </cell>
          <cell r="B7" t="str">
            <v>مشتری</v>
          </cell>
          <cell r="C7" t="str">
            <v>عمده</v>
          </cell>
          <cell r="D7" t="str">
            <v>علی محمدی (نمونه)</v>
          </cell>
          <cell r="E7" t="str">
            <v>011-33330001</v>
          </cell>
          <cell r="F7" t="str">
            <v>09110000001</v>
          </cell>
          <cell r="G7" t="str">
            <v>بابل — میدان مرکبات</v>
          </cell>
          <cell r="H7" t="str">
            <v>نمونه — ویرایش کنید</v>
          </cell>
          <cell r="J7" t="str">
            <v>کلیدی</v>
          </cell>
          <cell r="K7" t="str">
            <v>پایش کامل</v>
          </cell>
        </row>
        <row r="8">
          <cell r="A8" t="str">
            <v>C002</v>
          </cell>
          <cell r="B8" t="str">
            <v>مشتری</v>
          </cell>
          <cell r="C8" t="str">
            <v>صادراتی</v>
          </cell>
          <cell r="D8" t="str">
            <v>شرکت پارس میوه (نمونه)</v>
          </cell>
          <cell r="E8" t="str">
            <v>011-33330002</v>
          </cell>
          <cell r="F8" t="str">
            <v>09110000002</v>
          </cell>
          <cell r="G8" t="str">
            <v>ساری — شهرک صنعتی</v>
          </cell>
          <cell r="H8" t="str">
            <v>نمونه</v>
          </cell>
          <cell r="J8" t="str">
            <v>کلیدی</v>
          </cell>
          <cell r="K8" t="str">
            <v>پایش کامل</v>
          </cell>
        </row>
        <row r="9">
          <cell r="A9" t="str">
            <v>C003</v>
          </cell>
          <cell r="B9" t="str">
            <v>مشتری</v>
          </cell>
          <cell r="C9" t="str">
            <v>خرده‌فروش</v>
          </cell>
          <cell r="D9" t="str">
            <v>فروشگاه بهار (نمونه)</v>
          </cell>
          <cell r="E9" t="str">
            <v>011-33330003</v>
          </cell>
          <cell r="F9" t="str">
            <v>09110000003</v>
          </cell>
          <cell r="G9" t="str">
            <v>قائم‌شهر — خیابان طالب آملی</v>
          </cell>
          <cell r="H9" t="str">
            <v>نمونه</v>
          </cell>
          <cell r="J9" t="str">
            <v>عادی</v>
          </cell>
          <cell r="K9" t="str">
            <v>نمونه‌ای</v>
          </cell>
        </row>
        <row r="10">
          <cell r="A10" t="str">
            <v>C004</v>
          </cell>
        </row>
        <row r="11">
          <cell r="A11" t="str">
            <v>C005</v>
          </cell>
        </row>
        <row r="12">
          <cell r="A12" t="str">
            <v>C006</v>
          </cell>
        </row>
        <row r="13">
          <cell r="A13" t="str">
            <v>C007</v>
          </cell>
        </row>
        <row r="14">
          <cell r="A14" t="str">
            <v>C008</v>
          </cell>
        </row>
        <row r="15">
          <cell r="A15" t="str">
            <v>C009</v>
          </cell>
        </row>
        <row r="16">
          <cell r="A16" t="str">
            <v>C010</v>
          </cell>
        </row>
        <row r="17">
          <cell r="A17" t="str">
            <v>C011</v>
          </cell>
        </row>
        <row r="18">
          <cell r="A18" t="str">
            <v>C012</v>
          </cell>
        </row>
        <row r="19">
          <cell r="A19" t="str">
            <v>C013</v>
          </cell>
        </row>
        <row r="20">
          <cell r="A20" t="str">
            <v>C014</v>
          </cell>
        </row>
        <row r="21">
          <cell r="A21" t="str">
            <v>C015</v>
          </cell>
        </row>
        <row r="22">
          <cell r="A22" t="str">
            <v>C016</v>
          </cell>
        </row>
        <row r="23">
          <cell r="A23" t="str">
            <v>C017</v>
          </cell>
        </row>
        <row r="24">
          <cell r="A24" t="str">
            <v>C018</v>
          </cell>
        </row>
        <row r="25">
          <cell r="A25" t="str">
            <v>C019</v>
          </cell>
        </row>
        <row r="26">
          <cell r="A26" t="str">
            <v>C020</v>
          </cell>
        </row>
        <row r="27">
          <cell r="A27" t="str">
            <v>C021</v>
          </cell>
        </row>
        <row r="28">
          <cell r="A28" t="str">
            <v>C022</v>
          </cell>
        </row>
        <row r="29">
          <cell r="A29" t="str">
            <v>C023</v>
          </cell>
        </row>
        <row r="30">
          <cell r="A30" t="str">
            <v>C024</v>
          </cell>
        </row>
        <row r="31">
          <cell r="A31" t="str">
            <v>C025</v>
          </cell>
        </row>
        <row r="32">
          <cell r="A32" t="str">
            <v>C026</v>
          </cell>
        </row>
        <row r="33">
          <cell r="A33" t="str">
            <v>C027</v>
          </cell>
        </row>
        <row r="34">
          <cell r="A34" t="str">
            <v>C028</v>
          </cell>
        </row>
        <row r="35">
          <cell r="A35" t="str">
            <v>C029</v>
          </cell>
        </row>
        <row r="36">
          <cell r="A36" t="str">
            <v>C030</v>
          </cell>
        </row>
        <row r="37">
          <cell r="A37" t="str">
            <v>C031</v>
          </cell>
        </row>
        <row r="38">
          <cell r="A38" t="str">
            <v>C032</v>
          </cell>
        </row>
        <row r="39">
          <cell r="A39" t="str">
            <v>C033</v>
          </cell>
        </row>
        <row r="40">
          <cell r="A40" t="str">
            <v>C034</v>
          </cell>
        </row>
        <row r="41">
          <cell r="A41" t="str">
            <v>C035</v>
          </cell>
        </row>
        <row r="42">
          <cell r="A42" t="str">
            <v>C036</v>
          </cell>
        </row>
        <row r="43">
          <cell r="A43" t="str">
            <v>C037</v>
          </cell>
        </row>
        <row r="44">
          <cell r="A44" t="str">
            <v>C038</v>
          </cell>
        </row>
        <row r="45">
          <cell r="A45" t="str">
            <v>C039</v>
          </cell>
        </row>
        <row r="46">
          <cell r="A46" t="str">
            <v>C040</v>
          </cell>
        </row>
        <row r="47">
          <cell r="A47" t="str">
            <v>C041</v>
          </cell>
        </row>
        <row r="48">
          <cell r="A48" t="str">
            <v>C042</v>
          </cell>
        </row>
        <row r="49">
          <cell r="A49" t="str">
            <v>C043</v>
          </cell>
        </row>
        <row r="50">
          <cell r="A50" t="str">
            <v>C044</v>
          </cell>
        </row>
        <row r="51">
          <cell r="A51" t="str">
            <v>C045</v>
          </cell>
        </row>
        <row r="52">
          <cell r="A52" t="str">
            <v>C046</v>
          </cell>
        </row>
        <row r="53">
          <cell r="A53" t="str">
            <v>C047</v>
          </cell>
        </row>
        <row r="54">
          <cell r="A54" t="str">
            <v>C048</v>
          </cell>
        </row>
        <row r="55">
          <cell r="A55" t="str">
            <v>C049</v>
          </cell>
        </row>
        <row r="56">
          <cell r="A56" t="str">
            <v>C050</v>
          </cell>
        </row>
        <row r="57">
          <cell r="A57" t="str">
            <v>C051</v>
          </cell>
        </row>
        <row r="58">
          <cell r="A58" t="str">
            <v>C052</v>
          </cell>
        </row>
        <row r="59">
          <cell r="A59" t="str">
            <v>C053</v>
          </cell>
        </row>
        <row r="60">
          <cell r="A60" t="str">
            <v>C054</v>
          </cell>
        </row>
        <row r="61">
          <cell r="A61" t="str">
            <v>C055</v>
          </cell>
        </row>
        <row r="62">
          <cell r="A62" t="str">
            <v>C056</v>
          </cell>
        </row>
        <row r="63">
          <cell r="A63" t="str">
            <v>C057</v>
          </cell>
        </row>
        <row r="64">
          <cell r="A64" t="str">
            <v>C058</v>
          </cell>
        </row>
        <row r="65">
          <cell r="A65" t="str">
            <v>C059</v>
          </cell>
        </row>
        <row r="66">
          <cell r="A66" t="str">
            <v>C060</v>
          </cell>
        </row>
        <row r="67">
          <cell r="A67" t="str">
            <v>C061</v>
          </cell>
        </row>
        <row r="68">
          <cell r="A68" t="str">
            <v>C062</v>
          </cell>
        </row>
        <row r="69">
          <cell r="A69" t="str">
            <v>C063</v>
          </cell>
        </row>
        <row r="70">
          <cell r="A70" t="str">
            <v>C064</v>
          </cell>
        </row>
        <row r="71">
          <cell r="A71" t="str">
            <v>C065</v>
          </cell>
        </row>
        <row r="72">
          <cell r="A72" t="str">
            <v>C066</v>
          </cell>
        </row>
        <row r="73">
          <cell r="A73" t="str">
            <v>C067</v>
          </cell>
        </row>
        <row r="74">
          <cell r="A74" t="str">
            <v>C068</v>
          </cell>
        </row>
        <row r="75">
          <cell r="A75" t="str">
            <v>C069</v>
          </cell>
        </row>
        <row r="76">
          <cell r="A76" t="str">
            <v>C070</v>
          </cell>
        </row>
        <row r="77">
          <cell r="A77" t="str">
            <v>C071</v>
          </cell>
        </row>
        <row r="78">
          <cell r="A78" t="str">
            <v>C072</v>
          </cell>
        </row>
        <row r="79">
          <cell r="A79" t="str">
            <v>C073</v>
          </cell>
        </row>
        <row r="80">
          <cell r="A80" t="str">
            <v>C074</v>
          </cell>
        </row>
        <row r="81">
          <cell r="A81" t="str">
            <v>C075</v>
          </cell>
        </row>
        <row r="82">
          <cell r="A82" t="str">
            <v>C076</v>
          </cell>
        </row>
        <row r="83">
          <cell r="A83" t="str">
            <v>C077</v>
          </cell>
        </row>
        <row r="84">
          <cell r="A84" t="str">
            <v>C078</v>
          </cell>
        </row>
        <row r="85">
          <cell r="A85" t="str">
            <v>C079</v>
          </cell>
        </row>
        <row r="86">
          <cell r="A86" t="str">
            <v>C080</v>
          </cell>
        </row>
        <row r="87">
          <cell r="A87" t="str">
            <v>C081</v>
          </cell>
        </row>
        <row r="88">
          <cell r="A88" t="str">
            <v>C082</v>
          </cell>
        </row>
        <row r="89">
          <cell r="A89" t="str">
            <v>C083</v>
          </cell>
        </row>
        <row r="90">
          <cell r="A90" t="str">
            <v>C084</v>
          </cell>
        </row>
        <row r="91">
          <cell r="A91" t="str">
            <v>C085</v>
          </cell>
        </row>
        <row r="92">
          <cell r="A92" t="str">
            <v>C086</v>
          </cell>
        </row>
        <row r="93">
          <cell r="A93" t="str">
            <v>C087</v>
          </cell>
        </row>
        <row r="94">
          <cell r="A94" t="str">
            <v>C088</v>
          </cell>
        </row>
        <row r="95">
          <cell r="A95" t="str">
            <v>C089</v>
          </cell>
        </row>
        <row r="96">
          <cell r="A96" t="str">
            <v>C090</v>
          </cell>
        </row>
        <row r="97">
          <cell r="A97" t="str">
            <v>C091</v>
          </cell>
        </row>
        <row r="98">
          <cell r="A98" t="str">
            <v>C092</v>
          </cell>
        </row>
        <row r="99">
          <cell r="A99" t="str">
            <v>C093</v>
          </cell>
        </row>
        <row r="100">
          <cell r="A100" t="str">
            <v>C094</v>
          </cell>
        </row>
        <row r="101">
          <cell r="A101" t="str">
            <v>C095</v>
          </cell>
        </row>
        <row r="102">
          <cell r="A102" t="str">
            <v>C096</v>
          </cell>
        </row>
        <row r="103">
          <cell r="A103" t="str">
            <v>C097</v>
          </cell>
        </row>
        <row r="104">
          <cell r="A104" t="str">
            <v>C098</v>
          </cell>
        </row>
        <row r="105">
          <cell r="A105" t="str">
            <v>C099</v>
          </cell>
        </row>
        <row r="106">
          <cell r="A106" t="str">
            <v>C100</v>
          </cell>
        </row>
        <row r="107">
          <cell r="A107" t="str">
            <v>C101</v>
          </cell>
        </row>
        <row r="108">
          <cell r="A108" t="str">
            <v>C102</v>
          </cell>
        </row>
        <row r="109">
          <cell r="A109" t="str">
            <v>C103</v>
          </cell>
        </row>
        <row r="110">
          <cell r="A110" t="str">
            <v>C104</v>
          </cell>
        </row>
        <row r="111">
          <cell r="A111" t="str">
            <v>C105</v>
          </cell>
        </row>
        <row r="112">
          <cell r="A112" t="str">
            <v>C106</v>
          </cell>
        </row>
        <row r="113">
          <cell r="A113" t="str">
            <v>C107</v>
          </cell>
        </row>
        <row r="114">
          <cell r="A114" t="str">
            <v>C108</v>
          </cell>
        </row>
        <row r="115">
          <cell r="A115" t="str">
            <v>C109</v>
          </cell>
        </row>
        <row r="116">
          <cell r="A116" t="str">
            <v>C110</v>
          </cell>
        </row>
        <row r="117">
          <cell r="A117" t="str">
            <v>C111</v>
          </cell>
        </row>
        <row r="118">
          <cell r="A118" t="str">
            <v>C112</v>
          </cell>
        </row>
        <row r="119">
          <cell r="A119" t="str">
            <v>C113</v>
          </cell>
        </row>
        <row r="120">
          <cell r="A120" t="str">
            <v>C114</v>
          </cell>
        </row>
        <row r="121">
          <cell r="A121" t="str">
            <v>C115</v>
          </cell>
        </row>
        <row r="122">
          <cell r="A122" t="str">
            <v>C116</v>
          </cell>
        </row>
        <row r="123">
          <cell r="A123" t="str">
            <v>C117</v>
          </cell>
        </row>
        <row r="124">
          <cell r="A124" t="str">
            <v>C118</v>
          </cell>
        </row>
        <row r="125">
          <cell r="A125" t="str">
            <v>C119</v>
          </cell>
        </row>
        <row r="126">
          <cell r="A126" t="str">
            <v>C120</v>
          </cell>
        </row>
        <row r="127">
          <cell r="A127" t="str">
            <v>C121</v>
          </cell>
        </row>
        <row r="128">
          <cell r="A128" t="str">
            <v>C122</v>
          </cell>
        </row>
        <row r="129">
          <cell r="A129" t="str">
            <v>C123</v>
          </cell>
        </row>
        <row r="130">
          <cell r="A130" t="str">
            <v>C124</v>
          </cell>
        </row>
        <row r="131">
          <cell r="A131" t="str">
            <v>C125</v>
          </cell>
        </row>
        <row r="132">
          <cell r="A132" t="str">
            <v>C126</v>
          </cell>
        </row>
        <row r="133">
          <cell r="A133" t="str">
            <v>C127</v>
          </cell>
        </row>
        <row r="134">
          <cell r="A134" t="str">
            <v>C128</v>
          </cell>
        </row>
        <row r="135">
          <cell r="A135" t="str">
            <v>C129</v>
          </cell>
        </row>
        <row r="136">
          <cell r="A136" t="str">
            <v>C130</v>
          </cell>
        </row>
        <row r="137">
          <cell r="A137" t="str">
            <v>C131</v>
          </cell>
        </row>
        <row r="138">
          <cell r="A138" t="str">
            <v>C132</v>
          </cell>
        </row>
        <row r="139">
          <cell r="A139" t="str">
            <v>C133</v>
          </cell>
        </row>
        <row r="140">
          <cell r="A140" t="str">
            <v>C134</v>
          </cell>
        </row>
        <row r="141">
          <cell r="A141" t="str">
            <v>C135</v>
          </cell>
        </row>
        <row r="142">
          <cell r="A142" t="str">
            <v>C136</v>
          </cell>
        </row>
        <row r="143">
          <cell r="A143" t="str">
            <v>C137</v>
          </cell>
        </row>
        <row r="144">
          <cell r="A144" t="str">
            <v>C138</v>
          </cell>
        </row>
        <row r="145">
          <cell r="A145" t="str">
            <v>C139</v>
          </cell>
        </row>
        <row r="146">
          <cell r="A146" t="str">
            <v>C140</v>
          </cell>
        </row>
        <row r="147">
          <cell r="A147" t="str">
            <v>C141</v>
          </cell>
        </row>
        <row r="148">
          <cell r="A148" t="str">
            <v>C142</v>
          </cell>
        </row>
        <row r="149">
          <cell r="A149" t="str">
            <v>C143</v>
          </cell>
        </row>
        <row r="150">
          <cell r="A150" t="str">
            <v>C144</v>
          </cell>
        </row>
        <row r="151">
          <cell r="A151" t="str">
            <v>C145</v>
          </cell>
        </row>
        <row r="152">
          <cell r="A152" t="str">
            <v>C146</v>
          </cell>
        </row>
        <row r="153">
          <cell r="A153" t="str">
            <v>C147</v>
          </cell>
        </row>
        <row r="154">
          <cell r="A154" t="str">
            <v>C148</v>
          </cell>
        </row>
        <row r="155">
          <cell r="A155" t="str">
            <v>C149</v>
          </cell>
        </row>
        <row r="156">
          <cell r="A156" t="str">
            <v>C150</v>
          </cell>
        </row>
        <row r="157">
          <cell r="A157" t="str">
            <v>C151</v>
          </cell>
        </row>
        <row r="158">
          <cell r="A158" t="str">
            <v>C152</v>
          </cell>
        </row>
        <row r="159">
          <cell r="A159" t="str">
            <v>C153</v>
          </cell>
        </row>
        <row r="160">
          <cell r="A160" t="str">
            <v>C154</v>
          </cell>
        </row>
        <row r="161">
          <cell r="A161" t="str">
            <v>C155</v>
          </cell>
        </row>
        <row r="162">
          <cell r="A162" t="str">
            <v>C156</v>
          </cell>
        </row>
        <row r="163">
          <cell r="A163" t="str">
            <v>C157</v>
          </cell>
        </row>
        <row r="164">
          <cell r="A164" t="str">
            <v>C158</v>
          </cell>
        </row>
        <row r="165">
          <cell r="A165" t="str">
            <v>C159</v>
          </cell>
        </row>
        <row r="166">
          <cell r="A166" t="str">
            <v>C160</v>
          </cell>
        </row>
        <row r="167">
          <cell r="A167" t="str">
            <v>C161</v>
          </cell>
        </row>
        <row r="168">
          <cell r="A168" t="str">
            <v>C162</v>
          </cell>
        </row>
        <row r="169">
          <cell r="A169" t="str">
            <v>C163</v>
          </cell>
        </row>
        <row r="170">
          <cell r="A170" t="str">
            <v>C164</v>
          </cell>
        </row>
        <row r="171">
          <cell r="A171" t="str">
            <v>C165</v>
          </cell>
        </row>
        <row r="172">
          <cell r="A172" t="str">
            <v>C166</v>
          </cell>
        </row>
        <row r="173">
          <cell r="A173" t="str">
            <v>C167</v>
          </cell>
        </row>
        <row r="174">
          <cell r="A174" t="str">
            <v>C168</v>
          </cell>
        </row>
        <row r="175">
          <cell r="A175" t="str">
            <v>C169</v>
          </cell>
        </row>
        <row r="176">
          <cell r="A176" t="str">
            <v>C170</v>
          </cell>
        </row>
        <row r="177">
          <cell r="A177" t="str">
            <v>C171</v>
          </cell>
        </row>
        <row r="178">
          <cell r="A178" t="str">
            <v>C172</v>
          </cell>
        </row>
        <row r="179">
          <cell r="A179" t="str">
            <v>C173</v>
          </cell>
        </row>
        <row r="180">
          <cell r="A180" t="str">
            <v>C174</v>
          </cell>
        </row>
        <row r="181">
          <cell r="A181" t="str">
            <v>C175</v>
          </cell>
        </row>
        <row r="182">
          <cell r="A182" t="str">
            <v>C176</v>
          </cell>
        </row>
        <row r="183">
          <cell r="A183" t="str">
            <v>C177</v>
          </cell>
        </row>
        <row r="184">
          <cell r="A184" t="str">
            <v>C178</v>
          </cell>
        </row>
        <row r="185">
          <cell r="A185" t="str">
            <v>C179</v>
          </cell>
        </row>
        <row r="186">
          <cell r="A186" t="str">
            <v>C180</v>
          </cell>
        </row>
        <row r="187">
          <cell r="A187" t="str">
            <v>C181</v>
          </cell>
        </row>
        <row r="188">
          <cell r="A188" t="str">
            <v>C182</v>
          </cell>
        </row>
        <row r="189">
          <cell r="A189" t="str">
            <v>C183</v>
          </cell>
        </row>
        <row r="190">
          <cell r="A190" t="str">
            <v>C184</v>
          </cell>
        </row>
        <row r="191">
          <cell r="A191" t="str">
            <v>C185</v>
          </cell>
        </row>
        <row r="192">
          <cell r="A192" t="str">
            <v>C186</v>
          </cell>
        </row>
        <row r="193">
          <cell r="A193" t="str">
            <v>C187</v>
          </cell>
        </row>
        <row r="194">
          <cell r="A194" t="str">
            <v>C188</v>
          </cell>
        </row>
        <row r="195">
          <cell r="A195" t="str">
            <v>C189</v>
          </cell>
        </row>
        <row r="196">
          <cell r="A196" t="str">
            <v>C190</v>
          </cell>
        </row>
        <row r="197">
          <cell r="A197" t="str">
            <v>C191</v>
          </cell>
        </row>
        <row r="198">
          <cell r="A198" t="str">
            <v>C192</v>
          </cell>
        </row>
        <row r="199">
          <cell r="A199" t="str">
            <v>C193</v>
          </cell>
        </row>
        <row r="200">
          <cell r="A200" t="str">
            <v>C194</v>
          </cell>
        </row>
        <row r="201">
          <cell r="A201" t="str">
            <v>C195</v>
          </cell>
        </row>
        <row r="202">
          <cell r="A202" t="str">
            <v>C196</v>
          </cell>
        </row>
        <row r="203">
          <cell r="A203" t="str">
            <v>C197</v>
          </cell>
        </row>
        <row r="204">
          <cell r="A204" t="str">
            <v>C198</v>
          </cell>
        </row>
        <row r="205">
          <cell r="A205" t="str">
            <v>C199</v>
          </cell>
        </row>
        <row r="206">
          <cell r="A206" t="str">
            <v>C200</v>
          </cell>
        </row>
        <row r="207">
          <cell r="A207" t="str">
            <v>SL001</v>
          </cell>
          <cell r="B207" t="str">
            <v>فروشنده</v>
          </cell>
          <cell r="C207" t="str">
            <v>حجره‌دار میدان بار</v>
          </cell>
          <cell r="D207" t="str">
            <v>حاج رضا محمدی (نمونه)</v>
          </cell>
          <cell r="E207" t="str">
            <v>021-55550001</v>
          </cell>
          <cell r="F207" t="str">
            <v>09120000001</v>
          </cell>
          <cell r="G207" t="str">
            <v>تهران — میدان بار میوه و تره‌بار</v>
          </cell>
          <cell r="H207" t="str">
            <v>نمونه</v>
          </cell>
          <cell r="J207" t="str">
            <v>کلیدی</v>
          </cell>
          <cell r="K207" t="str">
            <v>پایش کامل</v>
          </cell>
        </row>
        <row r="208">
          <cell r="A208" t="str">
            <v>SL002</v>
          </cell>
          <cell r="B208" t="str">
            <v>فروشنده</v>
          </cell>
          <cell r="C208" t="str">
            <v>صادراتی</v>
          </cell>
          <cell r="D208" t="str">
            <v>شرکت گلسرای شمال (نمونه)</v>
          </cell>
          <cell r="E208" t="str">
            <v>011-55550002</v>
          </cell>
          <cell r="F208" t="str">
            <v>09120000002</v>
          </cell>
          <cell r="G208" t="str">
            <v>ساری — شهرک صنعتی</v>
          </cell>
          <cell r="H208" t="str">
            <v>نمونه</v>
          </cell>
          <cell r="J208" t="str">
            <v>کلیدی</v>
          </cell>
          <cell r="K208" t="str">
            <v>پایش کامل</v>
          </cell>
        </row>
        <row r="209">
          <cell r="A209" t="str">
            <v>SL003</v>
          </cell>
          <cell r="B209" t="str">
            <v>فروشنده</v>
          </cell>
          <cell r="C209" t="str">
            <v>واسطه</v>
          </cell>
          <cell r="D209" t="str">
            <v>عباس نیک‌پی (نمونه)</v>
          </cell>
          <cell r="E209" t="str">
            <v>011-55550003</v>
          </cell>
          <cell r="F209" t="str">
            <v>09120000003</v>
          </cell>
          <cell r="G209" t="str">
            <v>قائم‌شهر</v>
          </cell>
          <cell r="H209" t="str">
            <v>نمونه</v>
          </cell>
          <cell r="J209" t="str">
            <v>عادی</v>
          </cell>
          <cell r="K209" t="str">
            <v>نمونه‌ای</v>
          </cell>
        </row>
        <row r="210">
          <cell r="A210" t="str">
            <v>SL004</v>
          </cell>
          <cell r="B210" t="str">
            <v>فروشنده</v>
          </cell>
          <cell r="C210" t="str">
            <v>نقدی</v>
          </cell>
          <cell r="D210" t="str">
            <v>مشتری نقدی — پاساژ مرکزی (نمونه)</v>
          </cell>
          <cell r="E210" t="str">
            <v>011-55550004</v>
          </cell>
          <cell r="F210" t="str">
            <v>09120000004</v>
          </cell>
          <cell r="G210" t="str">
            <v>قائم‌شهر — پاساژ مرکزی</v>
          </cell>
          <cell r="H210" t="str">
            <v>نمونه</v>
          </cell>
          <cell r="J210" t="str">
            <v>موقت</v>
          </cell>
          <cell r="K210" t="str">
            <v>نمونه‌ای</v>
          </cell>
        </row>
        <row r="211">
          <cell r="A211" t="str">
            <v>SL005</v>
          </cell>
        </row>
        <row r="212">
          <cell r="A212" t="str">
            <v>SL006</v>
          </cell>
        </row>
        <row r="213">
          <cell r="A213" t="str">
            <v>SL007</v>
          </cell>
        </row>
        <row r="214">
          <cell r="A214" t="str">
            <v>SL008</v>
          </cell>
        </row>
        <row r="215">
          <cell r="A215" t="str">
            <v>SL009</v>
          </cell>
        </row>
        <row r="216">
          <cell r="A216" t="str">
            <v>SL010</v>
          </cell>
        </row>
        <row r="217">
          <cell r="A217" t="str">
            <v>SL011</v>
          </cell>
        </row>
        <row r="218">
          <cell r="A218" t="str">
            <v>SL012</v>
          </cell>
        </row>
        <row r="219">
          <cell r="A219" t="str">
            <v>SL013</v>
          </cell>
        </row>
        <row r="220">
          <cell r="A220" t="str">
            <v>SL014</v>
          </cell>
        </row>
        <row r="221">
          <cell r="A221" t="str">
            <v>SL015</v>
          </cell>
        </row>
        <row r="222">
          <cell r="A222" t="str">
            <v>SL016</v>
          </cell>
        </row>
        <row r="223">
          <cell r="A223" t="str">
            <v>SL017</v>
          </cell>
        </row>
        <row r="224">
          <cell r="A224" t="str">
            <v>SL018</v>
          </cell>
        </row>
        <row r="225">
          <cell r="A225" t="str">
            <v>SL019</v>
          </cell>
        </row>
        <row r="226">
          <cell r="A226" t="str">
            <v>SL020</v>
          </cell>
        </row>
        <row r="227">
          <cell r="A227" t="str">
            <v>SL021</v>
          </cell>
        </row>
        <row r="228">
          <cell r="A228" t="str">
            <v>SL022</v>
          </cell>
        </row>
        <row r="229">
          <cell r="A229" t="str">
            <v>SL023</v>
          </cell>
        </row>
        <row r="230">
          <cell r="A230" t="str">
            <v>SL024</v>
          </cell>
        </row>
        <row r="231">
          <cell r="A231" t="str">
            <v>SL025</v>
          </cell>
        </row>
        <row r="232">
          <cell r="A232" t="str">
            <v>SL026</v>
          </cell>
        </row>
        <row r="233">
          <cell r="A233" t="str">
            <v>SL027</v>
          </cell>
        </row>
        <row r="234">
          <cell r="A234" t="str">
            <v>SL028</v>
          </cell>
        </row>
        <row r="235">
          <cell r="A235" t="str">
            <v>SL029</v>
          </cell>
        </row>
        <row r="236">
          <cell r="A236" t="str">
            <v>SL030</v>
          </cell>
        </row>
        <row r="237">
          <cell r="A237" t="str">
            <v>SL031</v>
          </cell>
        </row>
        <row r="238">
          <cell r="A238" t="str">
            <v>SL032</v>
          </cell>
        </row>
        <row r="239">
          <cell r="A239" t="str">
            <v>SL033</v>
          </cell>
        </row>
        <row r="240">
          <cell r="A240" t="str">
            <v>SL034</v>
          </cell>
        </row>
        <row r="241">
          <cell r="A241" t="str">
            <v>SL035</v>
          </cell>
        </row>
        <row r="242">
          <cell r="A242" t="str">
            <v>SL036</v>
          </cell>
        </row>
        <row r="243">
          <cell r="A243" t="str">
            <v>SL037</v>
          </cell>
        </row>
        <row r="244">
          <cell r="A244" t="str">
            <v>SL038</v>
          </cell>
        </row>
        <row r="245">
          <cell r="A245" t="str">
            <v>SL039</v>
          </cell>
        </row>
        <row r="246">
          <cell r="A246" t="str">
            <v>SL040</v>
          </cell>
        </row>
        <row r="247">
          <cell r="A247" t="str">
            <v>SL041</v>
          </cell>
        </row>
        <row r="248">
          <cell r="A248" t="str">
            <v>SL042</v>
          </cell>
        </row>
        <row r="249">
          <cell r="A249" t="str">
            <v>SL043</v>
          </cell>
        </row>
        <row r="250">
          <cell r="A250" t="str">
            <v>SL044</v>
          </cell>
        </row>
        <row r="251">
          <cell r="A251" t="str">
            <v>SL045</v>
          </cell>
        </row>
        <row r="252">
          <cell r="A252" t="str">
            <v>SL046</v>
          </cell>
        </row>
        <row r="253">
          <cell r="A253" t="str">
            <v>SL047</v>
          </cell>
        </row>
        <row r="254">
          <cell r="A254" t="str">
            <v>SL048</v>
          </cell>
        </row>
        <row r="255">
          <cell r="A255" t="str">
            <v>SL049</v>
          </cell>
        </row>
        <row r="256">
          <cell r="A256" t="str">
            <v>SL050</v>
          </cell>
        </row>
        <row r="257">
          <cell r="A257" t="str">
            <v>SL051</v>
          </cell>
        </row>
        <row r="258">
          <cell r="A258" t="str">
            <v>SL052</v>
          </cell>
        </row>
        <row r="259">
          <cell r="A259" t="str">
            <v>SL053</v>
          </cell>
        </row>
        <row r="260">
          <cell r="A260" t="str">
            <v>SL054</v>
          </cell>
        </row>
        <row r="261">
          <cell r="A261" t="str">
            <v>SL055</v>
          </cell>
        </row>
        <row r="262">
          <cell r="A262" t="str">
            <v>SL056</v>
          </cell>
        </row>
        <row r="263">
          <cell r="A263" t="str">
            <v>SL057</v>
          </cell>
        </row>
        <row r="264">
          <cell r="A264" t="str">
            <v>SL058</v>
          </cell>
        </row>
        <row r="265">
          <cell r="A265" t="str">
            <v>SL059</v>
          </cell>
        </row>
        <row r="266">
          <cell r="A266" t="str">
            <v>SL060</v>
          </cell>
        </row>
        <row r="267">
          <cell r="A267" t="str">
            <v>SL061</v>
          </cell>
        </row>
        <row r="268">
          <cell r="A268" t="str">
            <v>SL062</v>
          </cell>
        </row>
        <row r="269">
          <cell r="A269" t="str">
            <v>SL063</v>
          </cell>
        </row>
        <row r="270">
          <cell r="A270" t="str">
            <v>SL064</v>
          </cell>
        </row>
        <row r="271">
          <cell r="A271" t="str">
            <v>SL065</v>
          </cell>
        </row>
        <row r="272">
          <cell r="A272" t="str">
            <v>SL066</v>
          </cell>
        </row>
        <row r="273">
          <cell r="A273" t="str">
            <v>SL067</v>
          </cell>
        </row>
        <row r="274">
          <cell r="A274" t="str">
            <v>SL068</v>
          </cell>
        </row>
        <row r="275">
          <cell r="A275" t="str">
            <v>SL069</v>
          </cell>
        </row>
        <row r="276">
          <cell r="A276" t="str">
            <v>SL070</v>
          </cell>
        </row>
        <row r="277">
          <cell r="A277" t="str">
            <v>SL071</v>
          </cell>
        </row>
        <row r="278">
          <cell r="A278" t="str">
            <v>SL072</v>
          </cell>
        </row>
        <row r="279">
          <cell r="A279" t="str">
            <v>SL073</v>
          </cell>
        </row>
        <row r="280">
          <cell r="A280" t="str">
            <v>SL074</v>
          </cell>
        </row>
        <row r="281">
          <cell r="A281" t="str">
            <v>SL075</v>
          </cell>
        </row>
        <row r="282">
          <cell r="A282" t="str">
            <v>SL076</v>
          </cell>
        </row>
        <row r="283">
          <cell r="A283" t="str">
            <v>SL077</v>
          </cell>
        </row>
        <row r="284">
          <cell r="A284" t="str">
            <v>SL078</v>
          </cell>
        </row>
        <row r="285">
          <cell r="A285" t="str">
            <v>SL079</v>
          </cell>
        </row>
        <row r="286">
          <cell r="A286" t="str">
            <v>SL080</v>
          </cell>
        </row>
        <row r="287">
          <cell r="A287" t="str">
            <v>SL081</v>
          </cell>
        </row>
        <row r="288">
          <cell r="A288" t="str">
            <v>SL082</v>
          </cell>
        </row>
        <row r="289">
          <cell r="A289" t="str">
            <v>SL083</v>
          </cell>
        </row>
        <row r="290">
          <cell r="A290" t="str">
            <v>SL084</v>
          </cell>
        </row>
        <row r="291">
          <cell r="A291" t="str">
            <v>SL085</v>
          </cell>
        </row>
        <row r="292">
          <cell r="A292" t="str">
            <v>SL086</v>
          </cell>
        </row>
        <row r="293">
          <cell r="A293" t="str">
            <v>SL087</v>
          </cell>
        </row>
        <row r="294">
          <cell r="A294" t="str">
            <v>SL088</v>
          </cell>
        </row>
        <row r="295">
          <cell r="A295" t="str">
            <v>SL089</v>
          </cell>
        </row>
        <row r="296">
          <cell r="A296" t="str">
            <v>SL090</v>
          </cell>
        </row>
        <row r="297">
          <cell r="A297" t="str">
            <v>SL091</v>
          </cell>
        </row>
        <row r="298">
          <cell r="A298" t="str">
            <v>SL092</v>
          </cell>
        </row>
        <row r="299">
          <cell r="A299" t="str">
            <v>SL093</v>
          </cell>
        </row>
        <row r="300">
          <cell r="A300" t="str">
            <v>SL094</v>
          </cell>
        </row>
        <row r="301">
          <cell r="A301" t="str">
            <v>SL095</v>
          </cell>
        </row>
        <row r="302">
          <cell r="A302" t="str">
            <v>SL096</v>
          </cell>
        </row>
        <row r="303">
          <cell r="A303" t="str">
            <v>SL097</v>
          </cell>
        </row>
        <row r="304">
          <cell r="A304" t="str">
            <v>SL098</v>
          </cell>
        </row>
        <row r="305">
          <cell r="A305" t="str">
            <v>SL099</v>
          </cell>
        </row>
        <row r="306">
          <cell r="A306" t="str">
            <v>SL100</v>
          </cell>
        </row>
        <row r="307">
          <cell r="A307" t="str">
            <v>S001</v>
          </cell>
          <cell r="B307" t="str">
            <v>تأمین‌کننده</v>
          </cell>
          <cell r="C307" t="str">
            <v>باغ‌دار</v>
          </cell>
          <cell r="D307" t="str">
            <v>حسن رستمی (نمونه)</v>
          </cell>
          <cell r="E307" t="str">
            <v>011-44440001</v>
          </cell>
          <cell r="F307" t="str">
            <v>09110000004</v>
          </cell>
          <cell r="G307" t="str">
            <v>باغدشت</v>
          </cell>
          <cell r="H307" t="str">
            <v>خرید از باغ</v>
          </cell>
          <cell r="J307" t="str">
            <v>کلیدی</v>
          </cell>
          <cell r="K307" t="str">
            <v>پایش کامل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حجره‌دار میدان بار</v>
          </cell>
          <cell r="D308" t="str">
            <v>کریم نوری (نمونه)</v>
          </cell>
          <cell r="E308" t="str">
            <v>011-44440002</v>
          </cell>
          <cell r="F308" t="str">
            <v>09110000005</v>
          </cell>
          <cell r="G308" t="str">
            <v>قائم‌شهر — میدان بار</v>
          </cell>
          <cell r="H308" t="str">
            <v>خرید از میدان بار</v>
          </cell>
          <cell r="J308" t="str">
            <v>عادی</v>
          </cell>
          <cell r="K308" t="str">
            <v>نمونه‌ای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عامل خرید</v>
          </cell>
          <cell r="D309" t="str">
            <v>محسن کاظمی (نمونه)</v>
          </cell>
          <cell r="E309" t="str">
            <v>011-44440003</v>
          </cell>
          <cell r="F309" t="str">
            <v>09110000006</v>
          </cell>
          <cell r="G309" t="str">
            <v>جویبار</v>
          </cell>
          <cell r="H309" t="str">
            <v>نمونه</v>
          </cell>
          <cell r="J309" t="str">
            <v>عادی</v>
          </cell>
          <cell r="K309" t="str">
            <v>نمونه‌ای</v>
          </cell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  <cell r="D310" t="str">
            <v>کریمی — کارگاه سبدسازی (نمونه)</v>
          </cell>
          <cell r="F310" t="str">
            <v>011-44440004</v>
          </cell>
          <cell r="G310" t="str">
            <v>قائم‌شهر — جاده جویبار</v>
          </cell>
          <cell r="H310" t="str">
            <v>فروشنده سبد و ظروف — خرید در فایل Baskets.xlsx (نمونه)</v>
          </cell>
          <cell r="J310" t="str">
            <v>کلیدی</v>
          </cell>
          <cell r="K310" t="str">
            <v>پایش کامل</v>
          </cell>
        </row>
        <row r="311">
          <cell r="A311" t="str">
            <v>S005</v>
          </cell>
        </row>
        <row r="312">
          <cell r="A312" t="str">
            <v>S006</v>
          </cell>
        </row>
        <row r="313">
          <cell r="A313" t="str">
            <v>S007</v>
          </cell>
        </row>
        <row r="314">
          <cell r="A314" t="str">
            <v>S008</v>
          </cell>
        </row>
        <row r="315">
          <cell r="A315" t="str">
            <v>S009</v>
          </cell>
        </row>
        <row r="316">
          <cell r="A316" t="str">
            <v>S010</v>
          </cell>
        </row>
        <row r="317">
          <cell r="A317" t="str">
            <v>S011</v>
          </cell>
        </row>
        <row r="318">
          <cell r="A318" t="str">
            <v>S012</v>
          </cell>
        </row>
        <row r="319">
          <cell r="A319" t="str">
            <v>S013</v>
          </cell>
        </row>
        <row r="320">
          <cell r="A320" t="str">
            <v>S014</v>
          </cell>
        </row>
        <row r="321">
          <cell r="A321" t="str">
            <v>S015</v>
          </cell>
        </row>
        <row r="322">
          <cell r="A322" t="str">
            <v>S016</v>
          </cell>
        </row>
        <row r="323">
          <cell r="A323" t="str">
            <v>S017</v>
          </cell>
        </row>
        <row r="324">
          <cell r="A324" t="str">
            <v>S018</v>
          </cell>
        </row>
        <row r="325">
          <cell r="A325" t="str">
            <v>S019</v>
          </cell>
        </row>
        <row r="326">
          <cell r="A326" t="str">
            <v>S020</v>
          </cell>
        </row>
        <row r="327">
          <cell r="A327" t="str">
            <v>S021</v>
          </cell>
        </row>
        <row r="328">
          <cell r="A328" t="str">
            <v>S022</v>
          </cell>
        </row>
        <row r="329">
          <cell r="A329" t="str">
            <v>S023</v>
          </cell>
        </row>
        <row r="330">
          <cell r="A330" t="str">
            <v>S024</v>
          </cell>
        </row>
        <row r="331">
          <cell r="A331" t="str">
            <v>S025</v>
          </cell>
        </row>
        <row r="332">
          <cell r="A332" t="str">
            <v>S026</v>
          </cell>
        </row>
        <row r="333">
          <cell r="A333" t="str">
            <v>S027</v>
          </cell>
        </row>
        <row r="334">
          <cell r="A334" t="str">
            <v>S028</v>
          </cell>
        </row>
        <row r="335">
          <cell r="A335" t="str">
            <v>S029</v>
          </cell>
        </row>
        <row r="336">
          <cell r="A336" t="str">
            <v>S030</v>
          </cell>
        </row>
        <row r="337">
          <cell r="A337" t="str">
            <v>S031</v>
          </cell>
        </row>
        <row r="338">
          <cell r="A338" t="str">
            <v>S032</v>
          </cell>
        </row>
        <row r="339">
          <cell r="A339" t="str">
            <v>S033</v>
          </cell>
        </row>
        <row r="340">
          <cell r="A340" t="str">
            <v>S034</v>
          </cell>
        </row>
        <row r="341">
          <cell r="A341" t="str">
            <v>S035</v>
          </cell>
        </row>
        <row r="342">
          <cell r="A342" t="str">
            <v>S036</v>
          </cell>
        </row>
        <row r="343">
          <cell r="A343" t="str">
            <v>S037</v>
          </cell>
        </row>
        <row r="344">
          <cell r="A344" t="str">
            <v>S038</v>
          </cell>
        </row>
        <row r="345">
          <cell r="A345" t="str">
            <v>S039</v>
          </cell>
        </row>
        <row r="346">
          <cell r="A346" t="str">
            <v>S040</v>
          </cell>
        </row>
        <row r="347">
          <cell r="A347" t="str">
            <v>S041</v>
          </cell>
        </row>
        <row r="348">
          <cell r="A348" t="str">
            <v>S042</v>
          </cell>
        </row>
        <row r="349">
          <cell r="A349" t="str">
            <v>S043</v>
          </cell>
        </row>
        <row r="350">
          <cell r="A350" t="str">
            <v>S044</v>
          </cell>
        </row>
        <row r="351">
          <cell r="A351" t="str">
            <v>S045</v>
          </cell>
        </row>
        <row r="352">
          <cell r="A352" t="str">
            <v>S046</v>
          </cell>
        </row>
        <row r="353">
          <cell r="A353" t="str">
            <v>S047</v>
          </cell>
        </row>
        <row r="354">
          <cell r="A354" t="str">
            <v>S048</v>
          </cell>
        </row>
        <row r="355">
          <cell r="A355" t="str">
            <v>S049</v>
          </cell>
        </row>
        <row r="356">
          <cell r="A356" t="str">
            <v>S050</v>
          </cell>
        </row>
        <row r="357">
          <cell r="A357" t="str">
            <v>S051</v>
          </cell>
        </row>
        <row r="358">
          <cell r="A358" t="str">
            <v>S052</v>
          </cell>
        </row>
        <row r="359">
          <cell r="A359" t="str">
            <v>S053</v>
          </cell>
        </row>
        <row r="360">
          <cell r="A360" t="str">
            <v>S054</v>
          </cell>
        </row>
        <row r="361">
          <cell r="A361" t="str">
            <v>S055</v>
          </cell>
        </row>
        <row r="362">
          <cell r="A362" t="str">
            <v>S056</v>
          </cell>
        </row>
        <row r="363">
          <cell r="A363" t="str">
            <v>S057</v>
          </cell>
        </row>
        <row r="364">
          <cell r="A364" t="str">
            <v>S058</v>
          </cell>
        </row>
        <row r="365">
          <cell r="A365" t="str">
            <v>S059</v>
          </cell>
        </row>
        <row r="366">
          <cell r="A366" t="str">
            <v>S060</v>
          </cell>
        </row>
        <row r="367">
          <cell r="A367" t="str">
            <v>S061</v>
          </cell>
        </row>
        <row r="368">
          <cell r="A368" t="str">
            <v>S062</v>
          </cell>
        </row>
        <row r="369">
          <cell r="A369" t="str">
            <v>S063</v>
          </cell>
        </row>
        <row r="370">
          <cell r="A370" t="str">
            <v>S064</v>
          </cell>
        </row>
        <row r="371">
          <cell r="A371" t="str">
            <v>S065</v>
          </cell>
        </row>
        <row r="372">
          <cell r="A372" t="str">
            <v>S066</v>
          </cell>
        </row>
        <row r="373">
          <cell r="A373" t="str">
            <v>S067</v>
          </cell>
        </row>
        <row r="374">
          <cell r="A374" t="str">
            <v>S068</v>
          </cell>
        </row>
        <row r="375">
          <cell r="A375" t="str">
            <v>S069</v>
          </cell>
        </row>
        <row r="376">
          <cell r="A376" t="str">
            <v>S070</v>
          </cell>
        </row>
        <row r="377">
          <cell r="A377" t="str">
            <v>S071</v>
          </cell>
        </row>
        <row r="378">
          <cell r="A378" t="str">
            <v>S072</v>
          </cell>
        </row>
        <row r="379">
          <cell r="A379" t="str">
            <v>S073</v>
          </cell>
        </row>
        <row r="380">
          <cell r="A380" t="str">
            <v>S074</v>
          </cell>
        </row>
        <row r="381">
          <cell r="A381" t="str">
            <v>S075</v>
          </cell>
        </row>
        <row r="382">
          <cell r="A382" t="str">
            <v>S076</v>
          </cell>
        </row>
        <row r="383">
          <cell r="A383" t="str">
            <v>S077</v>
          </cell>
        </row>
        <row r="384">
          <cell r="A384" t="str">
            <v>S078</v>
          </cell>
        </row>
        <row r="385">
          <cell r="A385" t="str">
            <v>S079</v>
          </cell>
        </row>
        <row r="386">
          <cell r="A386" t="str">
            <v>S080</v>
          </cell>
        </row>
        <row r="387">
          <cell r="A387" t="str">
            <v>S081</v>
          </cell>
        </row>
        <row r="388">
          <cell r="A388" t="str">
            <v>S082</v>
          </cell>
        </row>
        <row r="389">
          <cell r="A389" t="str">
            <v>S083</v>
          </cell>
        </row>
        <row r="390">
          <cell r="A390" t="str">
            <v>S084</v>
          </cell>
        </row>
        <row r="391">
          <cell r="A391" t="str">
            <v>S085</v>
          </cell>
        </row>
        <row r="392">
          <cell r="A392" t="str">
            <v>S086</v>
          </cell>
        </row>
        <row r="393">
          <cell r="A393" t="str">
            <v>S087</v>
          </cell>
        </row>
        <row r="394">
          <cell r="A394" t="str">
            <v>S088</v>
          </cell>
        </row>
        <row r="395">
          <cell r="A395" t="str">
            <v>S089</v>
          </cell>
        </row>
        <row r="396">
          <cell r="A396" t="str">
            <v>S090</v>
          </cell>
        </row>
        <row r="397">
          <cell r="A397" t="str">
            <v>S091</v>
          </cell>
        </row>
        <row r="398">
          <cell r="A398" t="str">
            <v>S092</v>
          </cell>
        </row>
        <row r="399">
          <cell r="A399" t="str">
            <v>S093</v>
          </cell>
        </row>
        <row r="400">
          <cell r="A400" t="str">
            <v>S094</v>
          </cell>
        </row>
        <row r="401">
          <cell r="A401" t="str">
            <v>S095</v>
          </cell>
        </row>
        <row r="402">
          <cell r="A402" t="str">
            <v>S096</v>
          </cell>
        </row>
        <row r="403">
          <cell r="A403" t="str">
            <v>S097</v>
          </cell>
        </row>
        <row r="404">
          <cell r="A404" t="str">
            <v>S098</v>
          </cell>
        </row>
        <row r="405">
          <cell r="A405" t="str">
            <v>S099</v>
          </cell>
        </row>
        <row r="406">
          <cell r="A406" t="str">
            <v>S100</v>
          </cell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  <cell r="F407" t="str">
            <v>09110000010</v>
          </cell>
          <cell r="J407" t="str">
            <v>عادی</v>
          </cell>
          <cell r="K407" t="str">
            <v>معاف</v>
          </cell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  <cell r="F408" t="str">
            <v>09110000011</v>
          </cell>
          <cell r="J408" t="str">
            <v>عادی</v>
          </cell>
          <cell r="K408" t="str">
            <v>معاف</v>
          </cell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  <cell r="F409" t="str">
            <v>09110000012</v>
          </cell>
          <cell r="J409" t="str">
            <v>عادی</v>
          </cell>
          <cell r="K409" t="str">
            <v>معاف</v>
          </cell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  <cell r="F410" t="str">
            <v>09110000013</v>
          </cell>
          <cell r="J410" t="str">
            <v>عادی</v>
          </cell>
          <cell r="K410" t="str">
            <v>معاف</v>
          </cell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  <cell r="F411" t="str">
            <v>09110000014</v>
          </cell>
          <cell r="G411" t="str">
            <v>قائم‌شهر</v>
          </cell>
          <cell r="H411" t="str">
            <v>نمونه — گروه سالن ۱</v>
          </cell>
          <cell r="J411" t="str">
            <v>عادی</v>
          </cell>
          <cell r="K411" t="str">
            <v>معاف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  <cell r="F412" t="str">
            <v>09110000015</v>
          </cell>
          <cell r="G412" t="str">
            <v>قائم‌شهر</v>
          </cell>
          <cell r="H412" t="str">
            <v>نمونه — گروه سالن ۱</v>
          </cell>
          <cell r="J412" t="str">
            <v>عادی</v>
          </cell>
          <cell r="K412" t="str">
            <v>معاف</v>
          </cell>
        </row>
        <row r="413">
          <cell r="A413" t="str">
            <v>E007</v>
          </cell>
        </row>
        <row r="414">
          <cell r="A414" t="str">
            <v>E008</v>
          </cell>
        </row>
        <row r="415">
          <cell r="A415" t="str">
            <v>E009</v>
          </cell>
        </row>
        <row r="416">
          <cell r="A416" t="str">
            <v>E010</v>
          </cell>
        </row>
        <row r="417">
          <cell r="A417" t="str">
            <v>E011</v>
          </cell>
        </row>
        <row r="418">
          <cell r="A418" t="str">
            <v>E012</v>
          </cell>
        </row>
        <row r="419">
          <cell r="A419" t="str">
            <v>E013</v>
          </cell>
        </row>
        <row r="420">
          <cell r="A420" t="str">
            <v>E014</v>
          </cell>
        </row>
        <row r="421">
          <cell r="A421" t="str">
            <v>E015</v>
          </cell>
        </row>
        <row r="422">
          <cell r="A422" t="str">
            <v>E016</v>
          </cell>
        </row>
        <row r="423">
          <cell r="A423" t="str">
            <v>E017</v>
          </cell>
        </row>
        <row r="424">
          <cell r="A424" t="str">
            <v>E018</v>
          </cell>
        </row>
        <row r="425">
          <cell r="A425" t="str">
            <v>E019</v>
          </cell>
        </row>
        <row r="426">
          <cell r="A426" t="str">
            <v>E020</v>
          </cell>
        </row>
        <row r="427">
          <cell r="A427" t="str">
            <v>E021</v>
          </cell>
        </row>
        <row r="428">
          <cell r="A428" t="str">
            <v>E022</v>
          </cell>
        </row>
        <row r="429">
          <cell r="A429" t="str">
            <v>E023</v>
          </cell>
        </row>
        <row r="430">
          <cell r="A430" t="str">
            <v>E024</v>
          </cell>
        </row>
        <row r="431">
          <cell r="A431" t="str">
            <v>E025</v>
          </cell>
        </row>
        <row r="432">
          <cell r="A432" t="str">
            <v>E026</v>
          </cell>
        </row>
        <row r="433">
          <cell r="A433" t="str">
            <v>E027</v>
          </cell>
        </row>
        <row r="434">
          <cell r="A434" t="str">
            <v>E028</v>
          </cell>
        </row>
        <row r="435">
          <cell r="A435" t="str">
            <v>E029</v>
          </cell>
        </row>
        <row r="436">
          <cell r="A436" t="str">
            <v>E030</v>
          </cell>
        </row>
        <row r="437">
          <cell r="A437" t="str">
            <v>E031</v>
          </cell>
        </row>
        <row r="438">
          <cell r="A438" t="str">
            <v>E032</v>
          </cell>
        </row>
        <row r="439">
          <cell r="A439" t="str">
            <v>E033</v>
          </cell>
        </row>
        <row r="440">
          <cell r="A440" t="str">
            <v>E034</v>
          </cell>
        </row>
        <row r="441">
          <cell r="A441" t="str">
            <v>E035</v>
          </cell>
        </row>
        <row r="442">
          <cell r="A442" t="str">
            <v>E036</v>
          </cell>
        </row>
        <row r="443">
          <cell r="A443" t="str">
            <v>E037</v>
          </cell>
        </row>
        <row r="444">
          <cell r="A444" t="str">
            <v>E038</v>
          </cell>
        </row>
        <row r="445">
          <cell r="A445" t="str">
            <v>E039</v>
          </cell>
        </row>
        <row r="446">
          <cell r="A446" t="str">
            <v>E040</v>
          </cell>
        </row>
        <row r="447">
          <cell r="A447" t="str">
            <v>E041</v>
          </cell>
        </row>
        <row r="448">
          <cell r="A448" t="str">
            <v>E042</v>
          </cell>
        </row>
        <row r="449">
          <cell r="A449" t="str">
            <v>E043</v>
          </cell>
        </row>
        <row r="450">
          <cell r="A450" t="str">
            <v>E044</v>
          </cell>
        </row>
        <row r="451">
          <cell r="A451" t="str">
            <v>E045</v>
          </cell>
        </row>
        <row r="452">
          <cell r="A452" t="str">
            <v>E046</v>
          </cell>
        </row>
        <row r="453">
          <cell r="A453" t="str">
            <v>E047</v>
          </cell>
        </row>
        <row r="454">
          <cell r="A454" t="str">
            <v>E048</v>
          </cell>
        </row>
        <row r="455">
          <cell r="A455" t="str">
            <v>E049</v>
          </cell>
        </row>
        <row r="456">
          <cell r="A456" t="str">
            <v>E050</v>
          </cell>
        </row>
        <row r="457">
          <cell r="A457" t="str">
            <v>X001</v>
          </cell>
          <cell r="B457" t="str">
            <v>سایر حساب</v>
          </cell>
          <cell r="C457" t="str">
            <v>حساب اداری/داخلی</v>
          </cell>
          <cell r="D457" t="str">
            <v>کارمزد و هزینه بانکی</v>
          </cell>
          <cell r="J457" t="str">
            <v>عادی</v>
          </cell>
          <cell r="K457" t="str">
            <v>معاف</v>
          </cell>
        </row>
        <row r="458">
          <cell r="A458" t="str">
            <v>X002</v>
          </cell>
          <cell r="B458" t="str">
            <v>سایر حساب</v>
          </cell>
          <cell r="C458" t="str">
            <v>مالیات</v>
          </cell>
          <cell r="D458" t="str">
            <v>مالیات و عوارض</v>
          </cell>
          <cell r="J458" t="str">
            <v>عادی</v>
          </cell>
          <cell r="K458" t="str">
            <v>معاف</v>
          </cell>
        </row>
        <row r="459">
          <cell r="A459" t="str">
            <v>X003</v>
          </cell>
          <cell r="B459" t="str">
            <v>سایر حساب</v>
          </cell>
          <cell r="C459" t="str">
            <v>صندوق</v>
          </cell>
          <cell r="D459" t="str">
            <v>صندوق / نقدی</v>
          </cell>
          <cell r="J459" t="str">
            <v>موقت</v>
          </cell>
          <cell r="K459" t="str">
            <v>معاف</v>
          </cell>
        </row>
        <row r="460">
          <cell r="A460" t="str">
            <v>X004</v>
          </cell>
        </row>
        <row r="461">
          <cell r="A461" t="str">
            <v>X005</v>
          </cell>
        </row>
        <row r="462">
          <cell r="A462" t="str">
            <v>X006</v>
          </cell>
        </row>
        <row r="463">
          <cell r="A463" t="str">
            <v>X007</v>
          </cell>
        </row>
        <row r="464">
          <cell r="A464" t="str">
            <v>X008</v>
          </cell>
        </row>
        <row r="465">
          <cell r="A465" t="str">
            <v>X009</v>
          </cell>
        </row>
        <row r="466">
          <cell r="A466" t="str">
            <v>X010</v>
          </cell>
        </row>
        <row r="467">
          <cell r="A467" t="str">
            <v>X011</v>
          </cell>
        </row>
        <row r="468">
          <cell r="A468" t="str">
            <v>X012</v>
          </cell>
        </row>
        <row r="469">
          <cell r="A469" t="str">
            <v>X013</v>
          </cell>
        </row>
        <row r="470">
          <cell r="A470" t="str">
            <v>X014</v>
          </cell>
        </row>
        <row r="471">
          <cell r="A471" t="str">
            <v>X015</v>
          </cell>
        </row>
        <row r="472">
          <cell r="A472" t="str">
            <v>X016</v>
          </cell>
        </row>
        <row r="473">
          <cell r="A473" t="str">
            <v>X017</v>
          </cell>
        </row>
        <row r="474">
          <cell r="A474" t="str">
            <v>X018</v>
          </cell>
        </row>
        <row r="475">
          <cell r="A475" t="str">
            <v>X019</v>
          </cell>
        </row>
        <row r="476">
          <cell r="A476" t="str">
            <v>X020</v>
          </cell>
        </row>
        <row r="477">
          <cell r="A477" t="str">
            <v>X021</v>
          </cell>
        </row>
        <row r="478">
          <cell r="A478" t="str">
            <v>X022</v>
          </cell>
        </row>
        <row r="479">
          <cell r="A479" t="str">
            <v>X023</v>
          </cell>
        </row>
        <row r="480">
          <cell r="A480" t="str">
            <v>X024</v>
          </cell>
        </row>
        <row r="481">
          <cell r="A481" t="str">
            <v>X025</v>
          </cell>
        </row>
        <row r="482">
          <cell r="A482" t="str">
            <v>X026</v>
          </cell>
        </row>
        <row r="483">
          <cell r="A483" t="str">
            <v>X027</v>
          </cell>
        </row>
        <row r="484">
          <cell r="A484" t="str">
            <v>X028</v>
          </cell>
        </row>
        <row r="485">
          <cell r="A485" t="str">
            <v>X029</v>
          </cell>
        </row>
        <row r="486">
          <cell r="A486" t="str">
            <v>X030</v>
          </cell>
        </row>
        <row r="487">
          <cell r="A487" t="str">
            <v>X031</v>
          </cell>
        </row>
        <row r="488">
          <cell r="A488" t="str">
            <v>X032</v>
          </cell>
        </row>
        <row r="489">
          <cell r="A489" t="str">
            <v>X033</v>
          </cell>
        </row>
        <row r="490">
          <cell r="A490" t="str">
            <v>X034</v>
          </cell>
        </row>
        <row r="491">
          <cell r="A491" t="str">
            <v>X035</v>
          </cell>
        </row>
        <row r="492">
          <cell r="A492" t="str">
            <v>X036</v>
          </cell>
        </row>
        <row r="493">
          <cell r="A493" t="str">
            <v>X037</v>
          </cell>
        </row>
        <row r="494">
          <cell r="A494" t="str">
            <v>X038</v>
          </cell>
        </row>
        <row r="495">
          <cell r="A495" t="str">
            <v>X039</v>
          </cell>
        </row>
        <row r="496">
          <cell r="A496" t="str">
            <v>X040</v>
          </cell>
        </row>
        <row r="497">
          <cell r="A497" t="str">
            <v>X041</v>
          </cell>
        </row>
        <row r="498">
          <cell r="A498" t="str">
            <v>X042</v>
          </cell>
        </row>
        <row r="499">
          <cell r="A499" t="str">
            <v>X043</v>
          </cell>
        </row>
        <row r="500">
          <cell r="A500" t="str">
            <v>X044</v>
          </cell>
        </row>
        <row r="501">
          <cell r="A501" t="str">
            <v>X045</v>
          </cell>
        </row>
        <row r="502">
          <cell r="A502" t="str">
            <v>X046</v>
          </cell>
        </row>
        <row r="503">
          <cell r="A503" t="str">
            <v>X047</v>
          </cell>
        </row>
        <row r="504">
          <cell r="A504" t="str">
            <v>X048</v>
          </cell>
        </row>
        <row r="505">
          <cell r="A505" t="str">
            <v>X049</v>
          </cell>
        </row>
        <row r="506">
          <cell r="A506" t="str">
            <v>X050</v>
          </cell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  <cell r="G507" t="str">
            <v>باغدشت</v>
          </cell>
          <cell r="H507" t="str">
            <v>دارایی ثابت شرکت — خرید/فروش با طرفِ این حساب (نمونه)</v>
          </cell>
          <cell r="J507" t="str">
            <v>عادی</v>
          </cell>
          <cell r="K507" t="str">
            <v>پایش کامل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  <cell r="H508" t="str">
            <v>دارایی ثابت شرکت (نمونه)</v>
          </cell>
          <cell r="J508" t="str">
            <v>عادی</v>
          </cell>
          <cell r="K508" t="str">
            <v>نمونه‌ای</v>
          </cell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  <cell r="H509" t="str">
            <v>دارایی ثابت شرکت (نمونه)</v>
          </cell>
          <cell r="J509" t="str">
            <v>عادی</v>
          </cell>
          <cell r="K509" t="str">
            <v>نمونه‌ای</v>
          </cell>
        </row>
        <row r="510">
          <cell r="A510" t="str">
            <v>F004</v>
          </cell>
        </row>
        <row r="511">
          <cell r="A511" t="str">
            <v>F005</v>
          </cell>
        </row>
        <row r="512">
          <cell r="A512" t="str">
            <v>F006</v>
          </cell>
        </row>
        <row r="513">
          <cell r="A513" t="str">
            <v>F007</v>
          </cell>
        </row>
        <row r="514">
          <cell r="A514" t="str">
            <v>F008</v>
          </cell>
        </row>
        <row r="515">
          <cell r="A515" t="str">
            <v>F009</v>
          </cell>
        </row>
        <row r="516">
          <cell r="A516" t="str">
            <v>F010</v>
          </cell>
        </row>
        <row r="517">
          <cell r="A517" t="str">
            <v>F011</v>
          </cell>
        </row>
        <row r="518">
          <cell r="A518" t="str">
            <v>F012</v>
          </cell>
        </row>
        <row r="519">
          <cell r="A519" t="str">
            <v>F013</v>
          </cell>
        </row>
        <row r="520">
          <cell r="A520" t="str">
            <v>F014</v>
          </cell>
        </row>
        <row r="521">
          <cell r="A521" t="str">
            <v>F015</v>
          </cell>
        </row>
        <row r="522">
          <cell r="A522" t="str">
            <v>F016</v>
          </cell>
        </row>
        <row r="523">
          <cell r="A523" t="str">
            <v>F017</v>
          </cell>
        </row>
        <row r="524">
          <cell r="A524" t="str">
            <v>F018</v>
          </cell>
        </row>
        <row r="525">
          <cell r="A525" t="str">
            <v>F019</v>
          </cell>
        </row>
        <row r="526">
          <cell r="A526" t="str">
            <v>F020</v>
          </cell>
        </row>
        <row r="527">
          <cell r="A527" t="str">
            <v>F021</v>
          </cell>
        </row>
        <row r="528">
          <cell r="A528" t="str">
            <v>F022</v>
          </cell>
        </row>
        <row r="529">
          <cell r="A529" t="str">
            <v>F023</v>
          </cell>
        </row>
        <row r="530">
          <cell r="A530" t="str">
            <v>F024</v>
          </cell>
        </row>
        <row r="531">
          <cell r="A531" t="str">
            <v>F025</v>
          </cell>
        </row>
        <row r="532">
          <cell r="A532" t="str">
            <v>F026</v>
          </cell>
        </row>
        <row r="533">
          <cell r="A533" t="str">
            <v>F027</v>
          </cell>
        </row>
        <row r="534">
          <cell r="A534" t="str">
            <v>F028</v>
          </cell>
        </row>
        <row r="535">
          <cell r="A535" t="str">
            <v>F029</v>
          </cell>
        </row>
        <row r="536">
          <cell r="A536" t="str">
            <v>F030</v>
          </cell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  <cell r="H537" t="str">
            <v>دریافت وام = واریز با این طرف؛ قسط = برداشت با این طرف؛ بهره = گروه هزینه (نمونه)</v>
          </cell>
          <cell r="J537" t="str">
            <v>کلیدی</v>
          </cell>
          <cell r="K537" t="str">
            <v>پایش کامل</v>
          </cell>
        </row>
        <row r="538">
          <cell r="A538" t="str">
            <v>L002</v>
          </cell>
        </row>
        <row r="539">
          <cell r="A539" t="str">
            <v>L003</v>
          </cell>
        </row>
        <row r="540">
          <cell r="A540" t="str">
            <v>L004</v>
          </cell>
        </row>
        <row r="541">
          <cell r="A541" t="str">
            <v>L005</v>
          </cell>
        </row>
        <row r="542">
          <cell r="A542" t="str">
            <v>L006</v>
          </cell>
        </row>
        <row r="543">
          <cell r="A543" t="str">
            <v>L007</v>
          </cell>
        </row>
        <row r="544">
          <cell r="A544" t="str">
            <v>L008</v>
          </cell>
        </row>
        <row r="545">
          <cell r="A545" t="str">
            <v>L009</v>
          </cell>
        </row>
        <row r="546">
          <cell r="A546" t="str">
            <v>L010</v>
          </cell>
        </row>
        <row r="547">
          <cell r="A547" t="str">
            <v>L011</v>
          </cell>
        </row>
        <row r="548">
          <cell r="A548" t="str">
            <v>L012</v>
          </cell>
        </row>
        <row r="549">
          <cell r="A549" t="str">
            <v>L013</v>
          </cell>
        </row>
        <row r="550">
          <cell r="A550" t="str">
            <v>L014</v>
          </cell>
        </row>
        <row r="551">
          <cell r="A551" t="str">
            <v>L015</v>
          </cell>
        </row>
        <row r="552">
          <cell r="A552" t="str">
            <v>L016</v>
          </cell>
        </row>
        <row r="553">
          <cell r="A553" t="str">
            <v>L017</v>
          </cell>
        </row>
        <row r="554">
          <cell r="A554" t="str">
            <v>L018</v>
          </cell>
        </row>
        <row r="555">
          <cell r="A555" t="str">
            <v>L019</v>
          </cell>
        </row>
        <row r="556">
          <cell r="A556" t="str">
            <v>L020</v>
          </cell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  <cell r="H557" t="str">
            <v>آورده صاحب (مثل فروش دارایی شخصی) = واریز با این طرف؛ برداشت سرمایه = برداشت با این طرف (نمونه)</v>
          </cell>
          <cell r="J557" t="str">
            <v>کلیدی</v>
          </cell>
          <cell r="K557" t="str">
            <v>پایش کامل</v>
          </cell>
        </row>
        <row r="558">
          <cell r="A558" t="str">
            <v>CAP002</v>
          </cell>
        </row>
        <row r="559">
          <cell r="A559" t="str">
            <v>CAP003</v>
          </cell>
        </row>
        <row r="560">
          <cell r="A560" t="str">
            <v>CAP004</v>
          </cell>
        </row>
        <row r="561">
          <cell r="A561" t="str">
            <v>CAP005</v>
          </cell>
        </row>
        <row r="562">
          <cell r="A562" t="str">
            <v>CAP006</v>
          </cell>
        </row>
        <row r="563">
          <cell r="A563" t="str">
            <v>CAP007</v>
          </cell>
        </row>
        <row r="564">
          <cell r="A564" t="str">
            <v>CAP008</v>
          </cell>
        </row>
        <row r="565">
          <cell r="A565" t="str">
            <v>CAP009</v>
          </cell>
        </row>
        <row r="566">
          <cell r="A566" t="str">
            <v>CAP010</v>
          </cell>
        </row>
      </sheetData>
      <sheetData sheetId="9">
        <row r="7">
          <cell r="A7" t="str">
            <v>BANK01</v>
          </cell>
          <cell r="B7" t="str">
            <v>ملت — جاری شرکت</v>
          </cell>
          <cell r="C7">
            <v>500000000</v>
          </cell>
          <cell r="D7" t="str">
            <v>بله</v>
          </cell>
        </row>
        <row r="8">
          <cell r="A8" t="str">
            <v>BANK02</v>
          </cell>
          <cell r="B8" t="str">
            <v>صادرات — جاری شرکت</v>
          </cell>
          <cell r="C8">
            <v>120000000</v>
          </cell>
          <cell r="D8" t="str">
            <v>بله</v>
          </cell>
        </row>
        <row r="9">
          <cell r="A9" t="str">
            <v>BANK03</v>
          </cell>
          <cell r="B9" t="str">
            <v>حساب ۳ — تعریف نشده</v>
          </cell>
          <cell r="C9">
            <v>0</v>
          </cell>
          <cell r="D9" t="str">
            <v>بله</v>
          </cell>
        </row>
        <row r="10">
          <cell r="A10" t="str">
            <v>BANK04</v>
          </cell>
          <cell r="B10" t="str">
            <v>حساب ۴ — تعریف نشده</v>
          </cell>
          <cell r="C10">
            <v>0</v>
          </cell>
          <cell r="D10" t="str">
            <v>بله</v>
          </cell>
        </row>
        <row r="11">
          <cell r="A11" t="str">
            <v>BANK05</v>
          </cell>
          <cell r="B11" t="str">
            <v>حساب ۵ — تعریف نشده</v>
          </cell>
          <cell r="C11">
            <v>0</v>
          </cell>
          <cell r="D11" t="str">
            <v>بله</v>
          </cell>
        </row>
        <row r="12">
          <cell r="A12" t="str">
            <v>BANK06</v>
          </cell>
          <cell r="B12" t="str">
            <v>حساب ۶ — تعریف نشده</v>
          </cell>
          <cell r="C12">
            <v>0</v>
          </cell>
          <cell r="D12" t="str">
            <v>بله</v>
          </cell>
        </row>
        <row r="13">
          <cell r="A13" t="str">
            <v>BANK07</v>
          </cell>
          <cell r="B13" t="str">
            <v>حساب ۷ — تعریف نشده</v>
          </cell>
          <cell r="C13">
            <v>0</v>
          </cell>
          <cell r="D13" t="str">
            <v>بله</v>
          </cell>
        </row>
        <row r="14">
          <cell r="A14" t="str">
            <v>BANK08</v>
          </cell>
          <cell r="B14" t="str">
            <v>حساب ۸ — تعریف نشده</v>
          </cell>
          <cell r="C14">
            <v>0</v>
          </cell>
          <cell r="D14" t="str">
            <v>بله</v>
          </cell>
        </row>
        <row r="15">
          <cell r="A15" t="str">
            <v>BANK09</v>
          </cell>
          <cell r="B15" t="str">
            <v>حساب ۹ — تعریف نشده</v>
          </cell>
          <cell r="C15">
            <v>0</v>
          </cell>
          <cell r="D15" t="str">
            <v>بله</v>
          </cell>
        </row>
        <row r="16">
          <cell r="A16" t="str">
            <v>BANK10</v>
          </cell>
          <cell r="B16" t="str">
            <v>حساب ۱۰ — تعریف نشده</v>
          </cell>
          <cell r="C16">
            <v>0</v>
          </cell>
          <cell r="D16" t="str">
            <v>بله</v>
          </cell>
        </row>
      </sheetData>
      <sheetData sheetId="10"/>
      <sheetData sheetId="11">
        <row r="7">
          <cell r="A7" t="str">
            <v>T01</v>
          </cell>
          <cell r="B7" t="str">
            <v>واریز</v>
          </cell>
        </row>
        <row r="8">
          <cell r="A8" t="str">
            <v>T02</v>
          </cell>
          <cell r="B8" t="str">
            <v>برداشت</v>
          </cell>
        </row>
        <row r="9">
          <cell r="A9" t="str">
            <v>T03</v>
          </cell>
          <cell r="B9" t="str">
            <v>انتقال بین بانکی</v>
          </cell>
        </row>
        <row r="10">
          <cell r="A10" t="str">
            <v>T04</v>
          </cell>
          <cell r="B10" t="str">
            <v>اصلاحیه / تعدیل</v>
          </cell>
        </row>
        <row r="11">
          <cell r="A11" t="str">
            <v>T05</v>
          </cell>
          <cell r="B11" t="str">
            <v>پاس چک</v>
          </cell>
        </row>
        <row r="12">
          <cell r="A12" t="str">
            <v>T06</v>
          </cell>
          <cell r="B12" t="str">
            <v>سایر</v>
          </cell>
        </row>
        <row r="13">
          <cell r="A13" t="str">
            <v>T07</v>
          </cell>
        </row>
        <row r="14">
          <cell r="A14" t="str">
            <v>T08</v>
          </cell>
        </row>
        <row r="15">
          <cell r="A15" t="str">
            <v>T09</v>
          </cell>
        </row>
        <row r="16">
          <cell r="A16" t="str">
            <v>T10</v>
          </cell>
        </row>
        <row r="17">
          <cell r="A17" t="str">
            <v>T11</v>
          </cell>
        </row>
        <row r="18">
          <cell r="A18" t="str">
            <v>T12</v>
          </cell>
        </row>
        <row r="19">
          <cell r="A19" t="str">
            <v>T13</v>
          </cell>
        </row>
        <row r="20">
          <cell r="A20" t="str">
            <v>T14</v>
          </cell>
        </row>
      </sheetData>
      <sheetData sheetId="12">
        <row r="7">
          <cell r="A7" t="str">
            <v>OP01</v>
          </cell>
          <cell r="B7" t="str">
            <v>خرید مرکبات</v>
          </cell>
          <cell r="C7" t="str">
            <v>ورود</v>
          </cell>
          <cell r="D7" t="str">
            <v>خرید</v>
          </cell>
        </row>
        <row r="8">
          <cell r="A8" t="str">
            <v>OP02</v>
          </cell>
          <cell r="B8" t="str">
            <v>فروش</v>
          </cell>
          <cell r="C8" t="str">
            <v>خروج</v>
          </cell>
          <cell r="D8" t="str">
            <v>فروش</v>
          </cell>
        </row>
        <row r="9">
          <cell r="A9" t="str">
            <v>OP03</v>
          </cell>
          <cell r="B9" t="str">
            <v>مرجوعی خرید</v>
          </cell>
          <cell r="C9" t="str">
            <v>خروج</v>
          </cell>
          <cell r="D9" t="str">
            <v>خرید</v>
          </cell>
        </row>
        <row r="10">
          <cell r="A10" t="str">
            <v>OP04</v>
          </cell>
          <cell r="B10" t="str">
            <v>مرجوعی فروش</v>
          </cell>
          <cell r="C10" t="str">
            <v>ورود</v>
          </cell>
          <cell r="D10" t="str">
            <v>فروش</v>
          </cell>
        </row>
        <row r="11">
          <cell r="A11" t="str">
            <v>OP05</v>
          </cell>
          <cell r="B11" t="str">
            <v>انتقال به انبار دیگر</v>
          </cell>
          <cell r="C11" t="str">
            <v>خروج</v>
          </cell>
        </row>
        <row r="12">
          <cell r="A12" t="str">
            <v>OP06</v>
          </cell>
          <cell r="B12" t="str">
            <v>انتقال از انبار دیگر</v>
          </cell>
          <cell r="C12" t="str">
            <v>ورود</v>
          </cell>
        </row>
        <row r="13">
          <cell r="A13" t="str">
            <v>OP07</v>
          </cell>
          <cell r="B13" t="str">
            <v>سایر ورود</v>
          </cell>
          <cell r="C13" t="str">
            <v>ورود</v>
          </cell>
        </row>
        <row r="14">
          <cell r="A14" t="str">
            <v>OP08</v>
          </cell>
          <cell r="B14" t="str">
            <v>سایر خروج</v>
          </cell>
          <cell r="C14" t="str">
            <v>خروج</v>
          </cell>
        </row>
        <row r="15">
          <cell r="A15" t="str">
            <v>OP09</v>
          </cell>
        </row>
        <row r="16">
          <cell r="A16" t="str">
            <v>OP10</v>
          </cell>
        </row>
        <row r="17">
          <cell r="A17" t="str">
            <v>OP11</v>
          </cell>
        </row>
        <row r="18">
          <cell r="A18" t="str">
            <v>OP12</v>
          </cell>
        </row>
        <row r="19">
          <cell r="A19" t="str">
            <v>OP13</v>
          </cell>
        </row>
        <row r="20">
          <cell r="A20" t="str">
            <v>OP14</v>
          </cell>
        </row>
        <row r="21">
          <cell r="A21" t="str">
            <v>OP15</v>
          </cell>
        </row>
        <row r="22">
          <cell r="A22" t="str">
            <v>OP16</v>
          </cell>
        </row>
        <row r="23">
          <cell r="A23" t="str">
            <v>OP17</v>
          </cell>
        </row>
        <row r="24">
          <cell r="A24" t="str">
            <v>OP18</v>
          </cell>
        </row>
        <row r="25">
          <cell r="A25" t="str">
            <v>OP19</v>
          </cell>
        </row>
        <row r="26">
          <cell r="A26" t="str">
            <v>OP20</v>
          </cell>
        </row>
      </sheetData>
      <sheetData sheetId="13">
        <row r="7">
          <cell r="A7" t="str">
            <v>PB01</v>
          </cell>
          <cell r="B7" t="str">
            <v>پرتقال (عمومی)</v>
          </cell>
        </row>
        <row r="8">
          <cell r="A8" t="str">
            <v>PB02</v>
          </cell>
          <cell r="B8" t="str">
            <v>نارنگی</v>
          </cell>
        </row>
        <row r="9">
          <cell r="A9" t="str">
            <v>PB03</v>
          </cell>
          <cell r="B9" t="str">
            <v>لیمو ترش</v>
          </cell>
        </row>
        <row r="10">
          <cell r="A10" t="str">
            <v>PB04</v>
          </cell>
          <cell r="B10" t="str">
            <v>گریپ‌فرویت</v>
          </cell>
        </row>
        <row r="11">
          <cell r="A11" t="str">
            <v>PB05</v>
          </cell>
        </row>
        <row r="12">
          <cell r="A12" t="str">
            <v>PB06</v>
          </cell>
        </row>
        <row r="13">
          <cell r="A13" t="str">
            <v>PB07</v>
          </cell>
        </row>
        <row r="14">
          <cell r="A14" t="str">
            <v>PB08</v>
          </cell>
        </row>
        <row r="15">
          <cell r="A15" t="str">
            <v>PB09</v>
          </cell>
        </row>
        <row r="16">
          <cell r="A16" t="str">
            <v>PB10</v>
          </cell>
        </row>
        <row r="17">
          <cell r="A17" t="str">
            <v>PB11</v>
          </cell>
        </row>
        <row r="18">
          <cell r="A18" t="str">
            <v>PB12</v>
          </cell>
        </row>
        <row r="19">
          <cell r="A19" t="str">
            <v>PB13</v>
          </cell>
        </row>
        <row r="20">
          <cell r="A20" t="str">
            <v>PB14</v>
          </cell>
        </row>
        <row r="21">
          <cell r="A21" t="str">
            <v>PB15</v>
          </cell>
        </row>
        <row r="22">
          <cell r="A22" t="str">
            <v>PB16</v>
          </cell>
        </row>
        <row r="23">
          <cell r="A23" t="str">
            <v>PB17</v>
          </cell>
        </row>
        <row r="24">
          <cell r="A24" t="str">
            <v>PB18</v>
          </cell>
        </row>
        <row r="25">
          <cell r="A25" t="str">
            <v>PB19</v>
          </cell>
        </row>
        <row r="26">
          <cell r="A26" t="str">
            <v>PB20</v>
          </cell>
        </row>
        <row r="27">
          <cell r="A27" t="str">
            <v>PB21</v>
          </cell>
        </row>
        <row r="28">
          <cell r="A28" t="str">
            <v>PB22</v>
          </cell>
        </row>
        <row r="29">
          <cell r="A29" t="str">
            <v>PB23</v>
          </cell>
        </row>
        <row r="30">
          <cell r="A30" t="str">
            <v>PB24</v>
          </cell>
        </row>
        <row r="31">
          <cell r="A31" t="str">
            <v>PB25</v>
          </cell>
        </row>
        <row r="32">
          <cell r="A32" t="str">
            <v>PB26</v>
          </cell>
        </row>
        <row r="33">
          <cell r="A33" t="str">
            <v>PB27</v>
          </cell>
        </row>
        <row r="34">
          <cell r="A34" t="str">
            <v>PB28</v>
          </cell>
        </row>
        <row r="35">
          <cell r="A35" t="str">
            <v>PB29</v>
          </cell>
        </row>
        <row r="36">
          <cell r="A36" t="str">
            <v>PB30</v>
          </cell>
        </row>
        <row r="37">
          <cell r="A37" t="str">
            <v>PB31</v>
          </cell>
        </row>
        <row r="38">
          <cell r="A38" t="str">
            <v>PB32</v>
          </cell>
        </row>
        <row r="39">
          <cell r="A39" t="str">
            <v>PB33</v>
          </cell>
        </row>
        <row r="40">
          <cell r="A40" t="str">
            <v>PB34</v>
          </cell>
        </row>
        <row r="41">
          <cell r="A41" t="str">
            <v>PB35</v>
          </cell>
        </row>
        <row r="42">
          <cell r="A42" t="str">
            <v>PB36</v>
          </cell>
        </row>
        <row r="43">
          <cell r="A43" t="str">
            <v>PB37</v>
          </cell>
        </row>
        <row r="44">
          <cell r="A44" t="str">
            <v>PB38</v>
          </cell>
        </row>
        <row r="45">
          <cell r="A45" t="str">
            <v>PB39</v>
          </cell>
        </row>
        <row r="46">
          <cell r="A46" t="str">
            <v>PB40</v>
          </cell>
        </row>
        <row r="47">
          <cell r="A47" t="str">
            <v>PB41</v>
          </cell>
        </row>
        <row r="48">
          <cell r="A48" t="str">
            <v>PB42</v>
          </cell>
        </row>
        <row r="49">
          <cell r="A49" t="str">
            <v>PB43</v>
          </cell>
        </row>
        <row r="50">
          <cell r="A50" t="str">
            <v>PB44</v>
          </cell>
        </row>
        <row r="51">
          <cell r="A51" t="str">
            <v>PB45</v>
          </cell>
        </row>
        <row r="52">
          <cell r="A52" t="str">
            <v>PB46</v>
          </cell>
        </row>
        <row r="53">
          <cell r="A53" t="str">
            <v>PB47</v>
          </cell>
        </row>
        <row r="54">
          <cell r="A54" t="str">
            <v>PB48</v>
          </cell>
        </row>
        <row r="55">
          <cell r="A55" t="str">
            <v>PB49</v>
          </cell>
        </row>
        <row r="56">
          <cell r="A56" t="str">
            <v>PB50</v>
          </cell>
        </row>
        <row r="57">
          <cell r="A57" t="str">
            <v>PB51</v>
          </cell>
        </row>
        <row r="58">
          <cell r="A58" t="str">
            <v>PB52</v>
          </cell>
        </row>
        <row r="59">
          <cell r="A59" t="str">
            <v>PB53</v>
          </cell>
        </row>
        <row r="60">
          <cell r="A60" t="str">
            <v>PB54</v>
          </cell>
        </row>
        <row r="61">
          <cell r="A61" t="str">
            <v>PB55</v>
          </cell>
        </row>
        <row r="62">
          <cell r="A62" t="str">
            <v>PB56</v>
          </cell>
        </row>
        <row r="63">
          <cell r="A63" t="str">
            <v>PB57</v>
          </cell>
        </row>
        <row r="64">
          <cell r="A64" t="str">
            <v>PB58</v>
          </cell>
        </row>
        <row r="65">
          <cell r="A65" t="str">
            <v>PB59</v>
          </cell>
        </row>
        <row r="66">
          <cell r="A66" t="str">
            <v>PB60</v>
          </cell>
        </row>
        <row r="67">
          <cell r="A67" t="str">
            <v>PB61</v>
          </cell>
        </row>
        <row r="68">
          <cell r="A68" t="str">
            <v>PB62</v>
          </cell>
        </row>
        <row r="69">
          <cell r="A69" t="str">
            <v>PB63</v>
          </cell>
        </row>
        <row r="70">
          <cell r="A70" t="str">
            <v>PB64</v>
          </cell>
        </row>
        <row r="71">
          <cell r="A71" t="str">
            <v>PB65</v>
          </cell>
        </row>
        <row r="72">
          <cell r="A72" t="str">
            <v>PB66</v>
          </cell>
        </row>
        <row r="73">
          <cell r="A73" t="str">
            <v>PB67</v>
          </cell>
        </row>
        <row r="74">
          <cell r="A74" t="str">
            <v>PB68</v>
          </cell>
        </row>
        <row r="75">
          <cell r="A75" t="str">
            <v>PB69</v>
          </cell>
        </row>
        <row r="76">
          <cell r="A76" t="str">
            <v>PB70</v>
          </cell>
        </row>
        <row r="77">
          <cell r="A77" t="str">
            <v>PB71</v>
          </cell>
        </row>
        <row r="78">
          <cell r="A78" t="str">
            <v>PB72</v>
          </cell>
        </row>
        <row r="79">
          <cell r="A79" t="str">
            <v>PB73</v>
          </cell>
        </row>
        <row r="80">
          <cell r="A80" t="str">
            <v>PB74</v>
          </cell>
        </row>
        <row r="81">
          <cell r="A81" t="str">
            <v>PB75</v>
          </cell>
        </row>
        <row r="82">
          <cell r="A82" t="str">
            <v>PB76</v>
          </cell>
        </row>
        <row r="83">
          <cell r="A83" t="str">
            <v>PB77</v>
          </cell>
        </row>
        <row r="84">
          <cell r="A84" t="str">
            <v>PB78</v>
          </cell>
        </row>
        <row r="85">
          <cell r="A85" t="str">
            <v>PB79</v>
          </cell>
        </row>
        <row r="86">
          <cell r="A86" t="str">
            <v>PB80</v>
          </cell>
        </row>
        <row r="87">
          <cell r="A87" t="str">
            <v>PB81</v>
          </cell>
        </row>
        <row r="88">
          <cell r="A88" t="str">
            <v>PB82</v>
          </cell>
        </row>
        <row r="89">
          <cell r="A89" t="str">
            <v>PB83</v>
          </cell>
        </row>
        <row r="90">
          <cell r="A90" t="str">
            <v>PB84</v>
          </cell>
        </row>
        <row r="91">
          <cell r="A91" t="str">
            <v>PB85</v>
          </cell>
        </row>
        <row r="92">
          <cell r="A92" t="str">
            <v>PB86</v>
          </cell>
        </row>
        <row r="93">
          <cell r="A93" t="str">
            <v>PB87</v>
          </cell>
        </row>
        <row r="94">
          <cell r="A94" t="str">
            <v>PB88</v>
          </cell>
        </row>
        <row r="95">
          <cell r="A95" t="str">
            <v>PB89</v>
          </cell>
        </row>
        <row r="96">
          <cell r="A96" t="str">
            <v>PB90</v>
          </cell>
        </row>
        <row r="97">
          <cell r="A97" t="str">
            <v>PB91</v>
          </cell>
        </row>
        <row r="98">
          <cell r="A98" t="str">
            <v>PB92</v>
          </cell>
        </row>
        <row r="99">
          <cell r="A99" t="str">
            <v>PB93</v>
          </cell>
        </row>
        <row r="100">
          <cell r="A100" t="str">
            <v>PB94</v>
          </cell>
        </row>
        <row r="101">
          <cell r="A101" t="str">
            <v>PB95</v>
          </cell>
        </row>
        <row r="102">
          <cell r="A102" t="str">
            <v>PB96</v>
          </cell>
        </row>
        <row r="103">
          <cell r="A103" t="str">
            <v>PB97</v>
          </cell>
        </row>
        <row r="104">
          <cell r="A104" t="str">
            <v>PB98</v>
          </cell>
        </row>
        <row r="105">
          <cell r="A105" t="str">
            <v>PB99</v>
          </cell>
        </row>
        <row r="106">
          <cell r="A106" t="str">
            <v>PB100</v>
          </cell>
        </row>
      </sheetData>
      <sheetData sheetId="14">
        <row r="7">
          <cell r="A7" t="str">
            <v>PS01</v>
          </cell>
          <cell r="B7" t="str">
            <v>پرتقال درجه ۱ — بسته‌بندی</v>
          </cell>
          <cell r="C7" t="str">
            <v>پرتقال</v>
          </cell>
          <cell r="D7" t="str">
            <v>کیلوگرم</v>
          </cell>
          <cell r="E7" t="str">
            <v>BK03</v>
          </cell>
        </row>
        <row r="8">
          <cell r="A8" t="str">
            <v>PS02</v>
          </cell>
          <cell r="B8" t="str">
            <v>پرتقال درجه ۲ — عمومی</v>
          </cell>
          <cell r="C8" t="str">
            <v>پرتقال</v>
          </cell>
          <cell r="D8" t="str">
            <v>کیلوگرم</v>
          </cell>
          <cell r="E8" t="str">
            <v>BK02</v>
          </cell>
        </row>
        <row r="9">
          <cell r="A9" t="str">
            <v>PS03</v>
          </cell>
          <cell r="B9" t="str">
            <v>نارنگی درجه ۱ — بسته‌بندی</v>
          </cell>
          <cell r="C9" t="str">
            <v>نارنگی</v>
          </cell>
          <cell r="D9" t="str">
            <v>کیلوگرم</v>
          </cell>
          <cell r="E9" t="str">
            <v>BK03</v>
          </cell>
        </row>
        <row r="10">
          <cell r="A10" t="str">
            <v>PS04</v>
          </cell>
          <cell r="B10" t="str">
            <v>نارنگی عمومی</v>
          </cell>
          <cell r="C10" t="str">
            <v>نارنگی</v>
          </cell>
          <cell r="D10" t="str">
            <v>کیلوگرم</v>
          </cell>
          <cell r="E10" t="str">
            <v>BK01</v>
          </cell>
        </row>
        <row r="11">
          <cell r="A11" t="str">
            <v>PS05</v>
          </cell>
        </row>
        <row r="12">
          <cell r="A12" t="str">
            <v>PS06</v>
          </cell>
        </row>
        <row r="13">
          <cell r="A13" t="str">
            <v>PS07</v>
          </cell>
        </row>
        <row r="14">
          <cell r="A14" t="str">
            <v>PS08</v>
          </cell>
        </row>
        <row r="15">
          <cell r="A15" t="str">
            <v>PS09</v>
          </cell>
        </row>
        <row r="16">
          <cell r="A16" t="str">
            <v>PS10</v>
          </cell>
        </row>
        <row r="17">
          <cell r="A17" t="str">
            <v>PS11</v>
          </cell>
        </row>
        <row r="18">
          <cell r="A18" t="str">
            <v>PS12</v>
          </cell>
        </row>
        <row r="19">
          <cell r="A19" t="str">
            <v>PS13</v>
          </cell>
        </row>
        <row r="20">
          <cell r="A20" t="str">
            <v>PS14</v>
          </cell>
        </row>
        <row r="21">
          <cell r="A21" t="str">
            <v>PS15</v>
          </cell>
        </row>
        <row r="22">
          <cell r="A22" t="str">
            <v>PS16</v>
          </cell>
        </row>
        <row r="23">
          <cell r="A23" t="str">
            <v>PS17</v>
          </cell>
        </row>
        <row r="24">
          <cell r="A24" t="str">
            <v>PS18</v>
          </cell>
        </row>
        <row r="25">
          <cell r="A25" t="str">
            <v>PS19</v>
          </cell>
        </row>
        <row r="26">
          <cell r="A26" t="str">
            <v>PS20</v>
          </cell>
        </row>
        <row r="27">
          <cell r="A27" t="str">
            <v>PS21</v>
          </cell>
        </row>
        <row r="28">
          <cell r="A28" t="str">
            <v>PS22</v>
          </cell>
        </row>
        <row r="29">
          <cell r="A29" t="str">
            <v>PS23</v>
          </cell>
        </row>
        <row r="30">
          <cell r="A30" t="str">
            <v>PS24</v>
          </cell>
        </row>
        <row r="31">
          <cell r="A31" t="str">
            <v>PS25</v>
          </cell>
        </row>
        <row r="32">
          <cell r="A32" t="str">
            <v>PS26</v>
          </cell>
        </row>
        <row r="33">
          <cell r="A33" t="str">
            <v>PS27</v>
          </cell>
        </row>
        <row r="34">
          <cell r="A34" t="str">
            <v>PS28</v>
          </cell>
        </row>
        <row r="35">
          <cell r="A35" t="str">
            <v>PS29</v>
          </cell>
        </row>
        <row r="36">
          <cell r="A36" t="str">
            <v>PS30</v>
          </cell>
        </row>
        <row r="37">
          <cell r="A37" t="str">
            <v>PS31</v>
          </cell>
        </row>
        <row r="38">
          <cell r="A38" t="str">
            <v>PS32</v>
          </cell>
        </row>
        <row r="39">
          <cell r="A39" t="str">
            <v>PS33</v>
          </cell>
        </row>
        <row r="40">
          <cell r="A40" t="str">
            <v>PS34</v>
          </cell>
        </row>
        <row r="41">
          <cell r="A41" t="str">
            <v>PS35</v>
          </cell>
        </row>
        <row r="42">
          <cell r="A42" t="str">
            <v>PS36</v>
          </cell>
        </row>
        <row r="43">
          <cell r="A43" t="str">
            <v>PS37</v>
          </cell>
        </row>
        <row r="44">
          <cell r="A44" t="str">
            <v>PS38</v>
          </cell>
        </row>
        <row r="45">
          <cell r="A45" t="str">
            <v>PS39</v>
          </cell>
        </row>
        <row r="46">
          <cell r="A46" t="str">
            <v>PS40</v>
          </cell>
        </row>
        <row r="47">
          <cell r="A47" t="str">
            <v>PS41</v>
          </cell>
        </row>
        <row r="48">
          <cell r="A48" t="str">
            <v>PS42</v>
          </cell>
        </row>
        <row r="49">
          <cell r="A49" t="str">
            <v>PS43</v>
          </cell>
        </row>
        <row r="50">
          <cell r="A50" t="str">
            <v>PS44</v>
          </cell>
        </row>
        <row r="51">
          <cell r="A51" t="str">
            <v>PS45</v>
          </cell>
        </row>
        <row r="52">
          <cell r="A52" t="str">
            <v>PS46</v>
          </cell>
        </row>
        <row r="53">
          <cell r="A53" t="str">
            <v>PS47</v>
          </cell>
        </row>
        <row r="54">
          <cell r="A54" t="str">
            <v>PS48</v>
          </cell>
        </row>
        <row r="55">
          <cell r="A55" t="str">
            <v>PS49</v>
          </cell>
        </row>
        <row r="56">
          <cell r="A56" t="str">
            <v>PS50</v>
          </cell>
        </row>
        <row r="57">
          <cell r="A57" t="str">
            <v>PS51</v>
          </cell>
        </row>
        <row r="58">
          <cell r="A58" t="str">
            <v>PS52</v>
          </cell>
        </row>
        <row r="59">
          <cell r="A59" t="str">
            <v>PS53</v>
          </cell>
        </row>
        <row r="60">
          <cell r="A60" t="str">
            <v>PS54</v>
          </cell>
        </row>
        <row r="61">
          <cell r="A61" t="str">
            <v>PS55</v>
          </cell>
        </row>
        <row r="62">
          <cell r="A62" t="str">
            <v>PS56</v>
          </cell>
        </row>
        <row r="63">
          <cell r="A63" t="str">
            <v>PS57</v>
          </cell>
        </row>
        <row r="64">
          <cell r="A64" t="str">
            <v>PS58</v>
          </cell>
        </row>
        <row r="65">
          <cell r="A65" t="str">
            <v>PS59</v>
          </cell>
        </row>
        <row r="66">
          <cell r="A66" t="str">
            <v>PS60</v>
          </cell>
        </row>
        <row r="67">
          <cell r="A67" t="str">
            <v>PS61</v>
          </cell>
        </row>
        <row r="68">
          <cell r="A68" t="str">
            <v>PS62</v>
          </cell>
        </row>
        <row r="69">
          <cell r="A69" t="str">
            <v>PS63</v>
          </cell>
        </row>
        <row r="70">
          <cell r="A70" t="str">
            <v>PS64</v>
          </cell>
        </row>
        <row r="71">
          <cell r="A71" t="str">
            <v>PS65</v>
          </cell>
        </row>
        <row r="72">
          <cell r="A72" t="str">
            <v>PS66</v>
          </cell>
        </row>
        <row r="73">
          <cell r="A73" t="str">
            <v>PS67</v>
          </cell>
        </row>
        <row r="74">
          <cell r="A74" t="str">
            <v>PS68</v>
          </cell>
        </row>
        <row r="75">
          <cell r="A75" t="str">
            <v>PS69</v>
          </cell>
        </row>
        <row r="76">
          <cell r="A76" t="str">
            <v>PS70</v>
          </cell>
        </row>
        <row r="77">
          <cell r="A77" t="str">
            <v>PS71</v>
          </cell>
        </row>
        <row r="78">
          <cell r="A78" t="str">
            <v>PS72</v>
          </cell>
        </row>
        <row r="79">
          <cell r="A79" t="str">
            <v>PS73</v>
          </cell>
        </row>
        <row r="80">
          <cell r="A80" t="str">
            <v>PS74</v>
          </cell>
        </row>
        <row r="81">
          <cell r="A81" t="str">
            <v>PS75</v>
          </cell>
        </row>
        <row r="82">
          <cell r="A82" t="str">
            <v>PS76</v>
          </cell>
        </row>
        <row r="83">
          <cell r="A83" t="str">
            <v>PS77</v>
          </cell>
        </row>
        <row r="84">
          <cell r="A84" t="str">
            <v>PS78</v>
          </cell>
        </row>
        <row r="85">
          <cell r="A85" t="str">
            <v>PS79</v>
          </cell>
        </row>
        <row r="86">
          <cell r="A86" t="str">
            <v>PS80</v>
          </cell>
        </row>
        <row r="87">
          <cell r="A87" t="str">
            <v>PS81</v>
          </cell>
        </row>
        <row r="88">
          <cell r="A88" t="str">
            <v>PS82</v>
          </cell>
        </row>
        <row r="89">
          <cell r="A89" t="str">
            <v>PS83</v>
          </cell>
        </row>
        <row r="90">
          <cell r="A90" t="str">
            <v>PS84</v>
          </cell>
        </row>
        <row r="91">
          <cell r="A91" t="str">
            <v>PS85</v>
          </cell>
        </row>
        <row r="92">
          <cell r="A92" t="str">
            <v>PS86</v>
          </cell>
        </row>
        <row r="93">
          <cell r="A93" t="str">
            <v>PS87</v>
          </cell>
        </row>
        <row r="94">
          <cell r="A94" t="str">
            <v>PS88</v>
          </cell>
        </row>
        <row r="95">
          <cell r="A95" t="str">
            <v>PS89</v>
          </cell>
        </row>
        <row r="96">
          <cell r="A96" t="str">
            <v>PS90</v>
          </cell>
        </row>
        <row r="97">
          <cell r="A97" t="str">
            <v>PS91</v>
          </cell>
        </row>
        <row r="98">
          <cell r="A98" t="str">
            <v>PS92</v>
          </cell>
        </row>
        <row r="99">
          <cell r="A99" t="str">
            <v>PS93</v>
          </cell>
        </row>
        <row r="100">
          <cell r="A100" t="str">
            <v>PS94</v>
          </cell>
        </row>
        <row r="101">
          <cell r="A101" t="str">
            <v>PS95</v>
          </cell>
        </row>
        <row r="102">
          <cell r="A102" t="str">
            <v>PS96</v>
          </cell>
        </row>
        <row r="103">
          <cell r="A103" t="str">
            <v>PS97</v>
          </cell>
        </row>
        <row r="104">
          <cell r="A104" t="str">
            <v>PS98</v>
          </cell>
        </row>
        <row r="105">
          <cell r="A105" t="str">
            <v>PS99</v>
          </cell>
        </row>
        <row r="106">
          <cell r="A106" t="str">
            <v>PS100</v>
          </cell>
        </row>
      </sheetData>
      <sheetData sheetId="15">
        <row r="7">
          <cell r="A7" t="str">
            <v>BK01</v>
          </cell>
          <cell r="B7" t="str">
            <v>سبد ۵ کیلویی</v>
          </cell>
        </row>
        <row r="8">
          <cell r="A8" t="str">
            <v>BK02</v>
          </cell>
          <cell r="B8" t="str">
            <v>سبد ۱۰ کیلویی</v>
          </cell>
        </row>
        <row r="9">
          <cell r="A9" t="str">
            <v>BK03</v>
          </cell>
          <cell r="B9" t="str">
            <v>جعبه ۱۰ کیلویی</v>
          </cell>
        </row>
        <row r="10">
          <cell r="A10" t="str">
            <v>BK04</v>
          </cell>
        </row>
        <row r="11">
          <cell r="A11" t="str">
            <v>BK05</v>
          </cell>
        </row>
        <row r="12">
          <cell r="A12" t="str">
            <v>BK06</v>
          </cell>
        </row>
        <row r="13">
          <cell r="A13" t="str">
            <v>BK07</v>
          </cell>
        </row>
        <row r="14">
          <cell r="A14" t="str">
            <v>BK08</v>
          </cell>
        </row>
        <row r="15">
          <cell r="A15" t="str">
            <v>BK09</v>
          </cell>
        </row>
        <row r="16">
          <cell r="A16" t="str">
            <v>BK10</v>
          </cell>
        </row>
        <row r="17">
          <cell r="A17" t="str">
            <v>BK11</v>
          </cell>
        </row>
        <row r="18">
          <cell r="A18" t="str">
            <v>BK12</v>
          </cell>
        </row>
        <row r="19">
          <cell r="A19" t="str">
            <v>BK13</v>
          </cell>
        </row>
        <row r="20">
          <cell r="A20" t="str">
            <v>BK14</v>
          </cell>
        </row>
        <row r="21">
          <cell r="A21" t="str">
            <v>BK15</v>
          </cell>
        </row>
        <row r="22">
          <cell r="A22" t="str">
            <v>BK16</v>
          </cell>
        </row>
        <row r="23">
          <cell r="A23" t="str">
            <v>BK17</v>
          </cell>
        </row>
        <row r="24">
          <cell r="A24" t="str">
            <v>BK18</v>
          </cell>
        </row>
        <row r="25">
          <cell r="A25" t="str">
            <v>BK19</v>
          </cell>
        </row>
        <row r="26">
          <cell r="A26" t="str">
            <v>BK20</v>
          </cell>
        </row>
        <row r="27">
          <cell r="A27" t="str">
            <v>BK21</v>
          </cell>
        </row>
        <row r="28">
          <cell r="A28" t="str">
            <v>BK22</v>
          </cell>
        </row>
        <row r="29">
          <cell r="A29" t="str">
            <v>BK23</v>
          </cell>
        </row>
        <row r="30">
          <cell r="A30" t="str">
            <v>BK24</v>
          </cell>
        </row>
        <row r="31">
          <cell r="A31" t="str">
            <v>BK25</v>
          </cell>
        </row>
        <row r="32">
          <cell r="A32" t="str">
            <v>BK26</v>
          </cell>
        </row>
        <row r="33">
          <cell r="A33" t="str">
            <v>BK27</v>
          </cell>
        </row>
        <row r="34">
          <cell r="A34" t="str">
            <v>BK28</v>
          </cell>
        </row>
        <row r="35">
          <cell r="A35" t="str">
            <v>BK29</v>
          </cell>
        </row>
        <row r="36">
          <cell r="A36" t="str">
            <v>BK30</v>
          </cell>
        </row>
      </sheetData>
      <sheetData sheetId="16">
        <row r="7">
          <cell r="A7" t="str">
            <v>W01</v>
          </cell>
          <cell r="B7" t="str">
            <v>انبار اصلی (باغدشت)</v>
          </cell>
        </row>
        <row r="8">
          <cell r="A8" t="str">
            <v>W02</v>
          </cell>
          <cell r="B8" t="str">
            <v>سردخانه ۱</v>
          </cell>
        </row>
        <row r="9">
          <cell r="A9" t="str">
            <v>W03</v>
          </cell>
          <cell r="B9" t="str">
            <v>سایبان سورتینگ</v>
          </cell>
        </row>
        <row r="10">
          <cell r="A10" t="str">
            <v>W04</v>
          </cell>
        </row>
        <row r="11">
          <cell r="A11" t="str">
            <v>W05</v>
          </cell>
        </row>
        <row r="12">
          <cell r="A12" t="str">
            <v>W06</v>
          </cell>
        </row>
        <row r="13">
          <cell r="A13" t="str">
            <v>W07</v>
          </cell>
        </row>
        <row r="14">
          <cell r="A14" t="str">
            <v>W08</v>
          </cell>
        </row>
        <row r="15">
          <cell r="A15" t="str">
            <v>W09</v>
          </cell>
        </row>
        <row r="16">
          <cell r="A16" t="str">
            <v>W10</v>
          </cell>
        </row>
        <row r="17">
          <cell r="A17" t="str">
            <v>W11</v>
          </cell>
        </row>
        <row r="18">
          <cell r="A18" t="str">
            <v>W12</v>
          </cell>
        </row>
        <row r="19">
          <cell r="A19" t="str">
            <v>W13</v>
          </cell>
        </row>
        <row r="20">
          <cell r="A20" t="str">
            <v>W14</v>
          </cell>
        </row>
        <row r="21">
          <cell r="A21" t="str">
            <v>W15</v>
          </cell>
        </row>
      </sheetData>
      <sheetData sheetId="17">
        <row r="7">
          <cell r="A7" t="str">
            <v>کیلوگرم</v>
          </cell>
          <cell r="B7" t="str">
            <v>مدیرعامل</v>
          </cell>
          <cell r="C7" t="str">
            <v>پرتقال</v>
          </cell>
          <cell r="D7" t="str">
            <v>بله</v>
          </cell>
          <cell r="E7" t="str">
            <v>ورود</v>
          </cell>
        </row>
        <row r="8">
          <cell r="A8" t="str">
            <v>جعبه</v>
          </cell>
          <cell r="B8" t="str">
            <v>حسابدار</v>
          </cell>
          <cell r="C8" t="str">
            <v>نارنگی</v>
          </cell>
          <cell r="D8" t="str">
            <v>خیر</v>
          </cell>
          <cell r="E8" t="str">
            <v>خروج</v>
          </cell>
        </row>
        <row r="9">
          <cell r="A9" t="str">
            <v>سبد</v>
          </cell>
          <cell r="B9" t="str">
            <v>فروشنده</v>
          </cell>
          <cell r="C9" t="str">
            <v>لیمو</v>
          </cell>
        </row>
        <row r="10">
          <cell r="A10" t="str">
            <v>تن</v>
          </cell>
          <cell r="B10" t="str">
            <v>انباردار</v>
          </cell>
          <cell r="C10" t="str">
            <v>گریپ‌فرویت</v>
          </cell>
        </row>
        <row r="11">
          <cell r="A11" t="str">
            <v>عدد</v>
          </cell>
          <cell r="B11" t="str">
            <v>سرپرست خط</v>
          </cell>
          <cell r="C11" t="str">
            <v>گیلاس</v>
          </cell>
        </row>
        <row r="12">
          <cell r="B12" t="str">
            <v>کارگر</v>
          </cell>
          <cell r="C12" t="str">
            <v>سایر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>
  <externalBook r:id="rId1">
    <sheetNames>
      <sheetName val="Baskol"/>
      <sheetName val="Sync"/>
      <sheetName val="Help"/>
    </sheetNames>
    <sheetDataSet>
      <sheetData sheetId="0">
        <row r="9">
          <cell r="B9" t="str">
            <v>1405/07/01</v>
          </cell>
          <cell r="C9" t="str">
            <v>07:45</v>
          </cell>
          <cell r="D9" t="str">
            <v>BS-001</v>
          </cell>
          <cell r="E9" t="str">
            <v>خرید مرکبات</v>
          </cell>
          <cell r="G9" t="str">
            <v>S001</v>
          </cell>
          <cell r="J9" t="str">
            <v>پرتقال</v>
          </cell>
          <cell r="K9">
            <v>12000</v>
          </cell>
          <cell r="L9">
            <v>800</v>
          </cell>
          <cell r="O9" t="str">
            <v>ورودی اول باغ آقای رستمی (نمونه)</v>
          </cell>
        </row>
        <row r="10">
          <cell r="B10" t="str">
            <v>1405/07/02</v>
          </cell>
          <cell r="C10" t="str">
            <v>09:10</v>
          </cell>
          <cell r="D10" t="str">
            <v>BS-002</v>
          </cell>
          <cell r="E10" t="str">
            <v>خرید مرکبات</v>
          </cell>
          <cell r="G10" t="str">
            <v>S002</v>
          </cell>
          <cell r="J10" t="str">
            <v>نارنگی</v>
          </cell>
          <cell r="K10">
            <v>9500</v>
          </cell>
          <cell r="L10">
            <v>620</v>
          </cell>
        </row>
        <row r="11">
          <cell r="B11" t="str">
            <v>1405/07/02</v>
          </cell>
          <cell r="C11" t="str">
            <v>11:30</v>
          </cell>
          <cell r="D11" t="str">
            <v>BS-003</v>
          </cell>
          <cell r="E11" t="str">
            <v>خرید مرکبات</v>
          </cell>
          <cell r="G11" t="str">
            <v>S001</v>
          </cell>
          <cell r="J11" t="str">
            <v>پرتقال</v>
          </cell>
          <cell r="K11">
            <v>8500</v>
          </cell>
          <cell r="L11">
            <v>560</v>
          </cell>
          <cell r="O11" t="str">
            <v>بار دوم (نمونه)</v>
          </cell>
        </row>
        <row r="12">
          <cell r="B12" t="str">
            <v>1405/07/03</v>
          </cell>
          <cell r="C12" t="str">
            <v>08:20</v>
          </cell>
          <cell r="D12" t="str">
            <v>BS-004</v>
          </cell>
          <cell r="E12" t="str">
            <v>خرید مرکبات</v>
          </cell>
          <cell r="G12" t="str">
            <v>S003</v>
          </cell>
          <cell r="J12" t="str">
            <v>لیمو</v>
          </cell>
          <cell r="K12">
            <v>3000</v>
          </cell>
          <cell r="L12">
            <v>200</v>
          </cell>
        </row>
        <row r="13">
          <cell r="B13" t="str">
            <v>1405/07/05</v>
          </cell>
          <cell r="C13" t="str">
            <v>10:00</v>
          </cell>
          <cell r="D13" t="str">
            <v>1001</v>
          </cell>
          <cell r="E13" t="str">
            <v>فروش</v>
          </cell>
          <cell r="G13" t="str">
            <v>SL001</v>
          </cell>
          <cell r="J13" t="str">
            <v>پرتقال</v>
          </cell>
          <cell r="K13">
            <v>13742.5</v>
          </cell>
          <cell r="L13">
            <v>1195</v>
          </cell>
          <cell r="N13">
            <v>950000000</v>
          </cell>
          <cell r="O13" t="str">
            <v>فاکتور 1001 (نمونه)</v>
          </cell>
        </row>
        <row r="14">
          <cell r="B14" t="str">
            <v>1405/07/06</v>
          </cell>
          <cell r="C14" t="str">
            <v>11:20</v>
          </cell>
          <cell r="D14" t="str">
            <v>1002</v>
          </cell>
          <cell r="E14" t="str">
            <v>فروش</v>
          </cell>
          <cell r="G14" t="str">
            <v>SL002</v>
          </cell>
          <cell r="J14" t="str">
            <v>نارنگی</v>
          </cell>
          <cell r="K14">
            <v>22425</v>
          </cell>
          <cell r="L14">
            <v>1950</v>
          </cell>
          <cell r="N14">
            <v>1600000000</v>
          </cell>
          <cell r="O14" t="str">
            <v>فاکتور 1002 (نمونه)</v>
          </cell>
        </row>
        <row r="15">
          <cell r="B15" t="str">
            <v>1405/07/08</v>
          </cell>
          <cell r="C15" t="str">
            <v>09:40</v>
          </cell>
          <cell r="D15" t="str">
            <v>1003</v>
          </cell>
          <cell r="E15" t="str">
            <v>فروش</v>
          </cell>
          <cell r="G15" t="str">
            <v>SL003</v>
          </cell>
          <cell r="J15" t="str">
            <v>پرتقال</v>
          </cell>
          <cell r="K15">
            <v>9200</v>
          </cell>
          <cell r="L15">
            <v>800</v>
          </cell>
          <cell r="N15">
            <v>640000000</v>
          </cell>
          <cell r="O15" t="str">
            <v>فاکتور 1003 (نمونه)</v>
          </cell>
        </row>
        <row r="16">
          <cell r="B16" t="str">
            <v>1405/07/10</v>
          </cell>
          <cell r="C16" t="str">
            <v>08:50</v>
          </cell>
          <cell r="D16" t="str">
            <v>1004</v>
          </cell>
          <cell r="E16" t="str">
            <v>فروش</v>
          </cell>
          <cell r="G16" t="str">
            <v>SL004</v>
          </cell>
          <cell r="J16" t="str">
            <v>پرتقال</v>
          </cell>
          <cell r="K16">
            <v>5738.5</v>
          </cell>
          <cell r="L16">
            <v>499</v>
          </cell>
          <cell r="N16">
            <v>400000000</v>
          </cell>
          <cell r="O16" t="str">
            <v>فاکتور 1004 (نمونه)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>
  <externalBook r:id="rId1">
    <sheetNames>
      <sheetName val="Entry"/>
      <sheetName val="Bank1"/>
      <sheetName val="Bank2"/>
      <sheetName val="Bank3"/>
      <sheetName val="Bank4"/>
      <sheetName val="Bank5"/>
      <sheetName val="Bank6"/>
      <sheetName val="Bank7"/>
      <sheetName val="Bank8"/>
      <sheetName val="Bank9"/>
      <sheetName val="Bank10"/>
      <sheetName val="Summary"/>
      <sheetName val="Sync"/>
      <sheetName val="Calc"/>
      <sheetName val="Help"/>
    </sheetNames>
    <sheetDataSet>
      <sheetData sheetId="0">
        <row r="9">
          <cell r="C9" t="str">
            <v>1405/07/01</v>
          </cell>
          <cell r="D9" t="str">
            <v>08:30</v>
          </cell>
          <cell r="E9" t="str">
            <v>BANK01 – ملت — جاری شرکت</v>
          </cell>
          <cell r="G9" t="str">
            <v>C001</v>
          </cell>
          <cell r="J9" t="str">
            <v>واریز</v>
          </cell>
          <cell r="K9" t="str">
            <v>فروش</v>
          </cell>
          <cell r="M9">
            <v>250000000</v>
          </cell>
          <cell r="O9">
            <v>750000000</v>
          </cell>
          <cell r="R9" t="str">
            <v>واریز بابت خرید مرکبات (ردیف نمونه)</v>
          </cell>
        </row>
        <row r="10">
          <cell r="C10" t="str">
            <v>1405/07/01</v>
          </cell>
          <cell r="D10" t="str">
            <v>10:15</v>
          </cell>
          <cell r="E10" t="str">
            <v>BANK01 – ملت — جاری شرکت</v>
          </cell>
          <cell r="G10" t="str">
            <v>X001</v>
          </cell>
          <cell r="J10" t="str">
            <v>برداشت</v>
          </cell>
          <cell r="K10" t="str">
            <v>هزینه</v>
          </cell>
          <cell r="L10" t="str">
            <v>کارمزد بانکی</v>
          </cell>
          <cell r="N10">
            <v>1200000</v>
          </cell>
          <cell r="O10">
            <v>748800000</v>
          </cell>
          <cell r="R10" t="str">
            <v>کارمزد بانکی (نمونه)</v>
          </cell>
        </row>
        <row r="11">
          <cell r="C11" t="str">
            <v>1405/07/02</v>
          </cell>
          <cell r="D11" t="str">
            <v>09:00</v>
          </cell>
          <cell r="E11" t="str">
            <v>BANK01 – ملت — جاری شرکت</v>
          </cell>
          <cell r="G11" t="str">
            <v>S002</v>
          </cell>
          <cell r="J11" t="str">
            <v>برداشت</v>
          </cell>
          <cell r="K11" t="str">
            <v>خرید</v>
          </cell>
          <cell r="N11">
            <v>80000000</v>
          </cell>
          <cell r="O11">
            <v>668800000</v>
          </cell>
          <cell r="R11" t="str">
            <v>خرید پرتقال از میدان بار (نمونه)</v>
          </cell>
        </row>
        <row r="12">
          <cell r="C12" t="str">
            <v>1405/07/02</v>
          </cell>
          <cell r="D12" t="str">
            <v>12:45</v>
          </cell>
          <cell r="E12" t="str">
            <v>BANK02 – صادرات — جاری شرکت</v>
          </cell>
          <cell r="G12" t="str">
            <v>C002</v>
          </cell>
          <cell r="J12" t="str">
            <v>واریز</v>
          </cell>
          <cell r="K12" t="str">
            <v>فروش</v>
          </cell>
          <cell r="M12">
            <v>90000000</v>
          </cell>
          <cell r="O12">
            <v>215000000</v>
          </cell>
          <cell r="R12" t="str">
            <v>واریز مشتری — مغایرت عمدی برای نمایش × (نمونه)</v>
          </cell>
        </row>
        <row r="13">
          <cell r="C13" t="str">
            <v>1405/07/03</v>
          </cell>
          <cell r="D13" t="str">
            <v>11:20</v>
          </cell>
          <cell r="E13" t="str">
            <v>BANK02 – صادرات — جاری شرکت</v>
          </cell>
          <cell r="G13" t="str">
            <v>X003</v>
          </cell>
          <cell r="J13" t="str">
            <v>برداشت</v>
          </cell>
          <cell r="N13">
            <v>15000000</v>
          </cell>
          <cell r="R13" t="str">
            <v>برداشت نقدی به صندوق — بدون گروه (نمونه)</v>
          </cell>
        </row>
        <row r="14">
          <cell r="C14" t="str">
            <v>1405/07/01</v>
          </cell>
          <cell r="D14" t="str">
            <v>08:30</v>
          </cell>
          <cell r="E14" t="str">
            <v>BANK01 – ملت — جاری شرکت</v>
          </cell>
          <cell r="G14" t="str">
            <v>C001</v>
          </cell>
          <cell r="J14" t="str">
            <v>واریز</v>
          </cell>
          <cell r="K14" t="str">
            <v>فروش</v>
          </cell>
          <cell r="M14">
            <v>250000000</v>
          </cell>
          <cell r="O14">
            <v>750000000</v>
          </cell>
          <cell r="R14" t="str">
            <v>ردیف تکراری — اثر آن را بر ستون وضعیت ببینید (نمونه)</v>
          </cell>
        </row>
        <row r="15">
          <cell r="C15" t="str">
            <v>1405/07/04</v>
          </cell>
          <cell r="D15" t="str">
            <v>10:30</v>
          </cell>
          <cell r="E15" t="str">
            <v>BANK01 – ملت — جاری شرکت</v>
          </cell>
          <cell r="G15" t="str">
            <v>SL001</v>
          </cell>
          <cell r="J15" t="str">
            <v>واریز</v>
          </cell>
          <cell r="K15" t="str">
            <v>فروش</v>
          </cell>
          <cell r="M15">
            <v>300000000</v>
          </cell>
          <cell r="R15" t="str">
            <v>واریز فروشنده SL001 (نمونه)</v>
          </cell>
        </row>
        <row r="16">
          <cell r="C16" t="str">
            <v>1405/07/09</v>
          </cell>
          <cell r="D16" t="str">
            <v>11:30</v>
          </cell>
          <cell r="E16" t="str">
            <v>BANK02 – صادرات — جاری شرکت</v>
          </cell>
          <cell r="G16" t="str">
            <v>SL002</v>
          </cell>
          <cell r="J16" t="str">
            <v>واریز</v>
          </cell>
          <cell r="K16" t="str">
            <v>فروش</v>
          </cell>
          <cell r="M16">
            <v>1600000000</v>
          </cell>
          <cell r="R16" t="str">
            <v>تسویه فروشنده SL002 (نمونه)</v>
          </cell>
        </row>
        <row r="17">
          <cell r="C17" t="str">
            <v>1405/07/05</v>
          </cell>
          <cell r="D17" t="str">
            <v>13:00</v>
          </cell>
          <cell r="E17" t="str">
            <v>BANK01 – ملت — جاری شرکت</v>
          </cell>
          <cell r="G17" t="str">
            <v>E002</v>
          </cell>
          <cell r="J17" t="str">
            <v>برداشت</v>
          </cell>
          <cell r="K17" t="str">
            <v>هزینه</v>
          </cell>
          <cell r="L17" t="str">
            <v>دستمزد کارکنان</v>
          </cell>
          <cell r="N17">
            <v>25000000</v>
          </cell>
          <cell r="R17" t="str">
            <v>دستمزد هفتگی (نمونه)</v>
          </cell>
        </row>
        <row r="18">
          <cell r="C18" t="str">
            <v>1405/07/06</v>
          </cell>
          <cell r="D18" t="str">
            <v>16:30</v>
          </cell>
          <cell r="E18" t="str">
            <v>BANK02 – صادرات — جاری شرکت</v>
          </cell>
          <cell r="G18" t="str">
            <v>S002</v>
          </cell>
          <cell r="J18" t="str">
            <v>برداشت</v>
          </cell>
          <cell r="K18" t="str">
            <v>هزینه</v>
          </cell>
          <cell r="L18" t="str">
            <v>رنگ و واکس</v>
          </cell>
          <cell r="N18">
            <v>4500000</v>
          </cell>
          <cell r="R18" t="str">
            <v>خرید رنگ و واکس بسته‌بندی (نمونه)</v>
          </cell>
        </row>
        <row r="19">
          <cell r="C19" t="str">
            <v>1405/07/07</v>
          </cell>
          <cell r="D19" t="str">
            <v>09:15</v>
          </cell>
          <cell r="E19" t="str">
            <v>BANK01 – ملت — جاری شرکت</v>
          </cell>
          <cell r="G19" t="str">
            <v>E003</v>
          </cell>
          <cell r="J19" t="str">
            <v>برداشت</v>
          </cell>
          <cell r="K19" t="str">
            <v>هزینه</v>
          </cell>
          <cell r="L19" t="str">
            <v>مواد غذایی</v>
          </cell>
          <cell r="N19">
            <v>8000000</v>
          </cell>
          <cell r="R19" t="str">
            <v>خوراک سالن (نمونه)</v>
          </cell>
        </row>
        <row r="20">
          <cell r="C20" t="str">
            <v>1405/07/08</v>
          </cell>
          <cell r="D20" t="str">
            <v>12:00</v>
          </cell>
          <cell r="E20" t="str">
            <v>BANK01 – ملت — جاری شرکت</v>
          </cell>
          <cell r="G20" t="str">
            <v>E001</v>
          </cell>
          <cell r="J20" t="str">
            <v>برداشت</v>
          </cell>
          <cell r="K20" t="str">
            <v>شخصی قاسم</v>
          </cell>
          <cell r="N20">
            <v>20000000</v>
          </cell>
          <cell r="R20" t="str">
            <v>برداشت شخصی مدیریت (نمونه)</v>
          </cell>
        </row>
        <row r="21">
          <cell r="C21" t="str">
            <v>1405/07/07</v>
          </cell>
          <cell r="D21" t="str">
            <v>10:00</v>
          </cell>
          <cell r="E21" t="str">
            <v>BANK01 – ملت — جاری شرکت</v>
          </cell>
          <cell r="G21" t="str">
            <v>S001</v>
          </cell>
          <cell r="J21" t="str">
            <v>برداشت</v>
          </cell>
          <cell r="K21" t="str">
            <v>خرید</v>
          </cell>
          <cell r="N21">
            <v>15000000</v>
          </cell>
          <cell r="R21" t="str">
            <v>پیش‌پرداخت باغ آقای رستمی (نمونه)</v>
          </cell>
        </row>
        <row r="22">
          <cell r="C22" t="str">
            <v>1405/07/15</v>
          </cell>
          <cell r="D22" t="str">
            <v>09:00</v>
          </cell>
          <cell r="E22" t="str">
            <v>BANK01 – ملت — جاری شرکت</v>
          </cell>
          <cell r="G22" t="str">
            <v>S001</v>
          </cell>
          <cell r="J22" t="str">
            <v>پاس چک</v>
          </cell>
          <cell r="N22">
            <v>80000000</v>
          </cell>
          <cell r="R22" t="str">
            <v>پاس شدن چک ۲۴۰۱۲۳۴۵ — تسویه خرید باغ (نمونه)</v>
          </cell>
          <cell r="S22" t="str">
            <v>24012345</v>
          </cell>
        </row>
        <row r="23">
          <cell r="C23" t="str">
            <v>1405/07/11</v>
          </cell>
          <cell r="D23" t="str">
            <v>10:00</v>
          </cell>
          <cell r="E23" t="str">
            <v>BANK01 – ملت — جاری شرکت</v>
          </cell>
          <cell r="G23" t="str">
            <v>CAP001</v>
          </cell>
          <cell r="J23" t="str">
            <v>واریز</v>
          </cell>
          <cell r="K23" t="str">
            <v>سرمایه و آورده</v>
          </cell>
          <cell r="L23" t="str">
            <v>سرمایه اولیه و آورده نقدی</v>
          </cell>
          <cell r="M23">
            <v>400000000</v>
          </cell>
          <cell r="R23" t="str">
            <v>فروش زمین شخصی و آورده نقدی صاحب سرمایه (نمونه)</v>
          </cell>
        </row>
        <row r="24">
          <cell r="C24" t="str">
            <v>1405/07/12</v>
          </cell>
          <cell r="D24" t="str">
            <v>09:30</v>
          </cell>
          <cell r="E24" t="str">
            <v>BANK02 – صادرات — جاری شرکت</v>
          </cell>
          <cell r="G24" t="str">
            <v>L001</v>
          </cell>
          <cell r="J24" t="str">
            <v>واریز</v>
          </cell>
          <cell r="K24" t="str">
            <v>وام و تسهیلات</v>
          </cell>
          <cell r="M24">
            <v>200000000</v>
          </cell>
          <cell r="R24" t="str">
            <v>دریافت وام بانک ملت (نمونه)</v>
          </cell>
        </row>
        <row r="25">
          <cell r="C25" t="str">
            <v>1405/07/16</v>
          </cell>
          <cell r="D25" t="str">
            <v>10:00</v>
          </cell>
          <cell r="E25" t="str">
            <v>BANK02 – صادرات — جاری شرکت</v>
          </cell>
          <cell r="G25" t="str">
            <v>L001</v>
          </cell>
          <cell r="J25" t="str">
            <v>برداشت</v>
          </cell>
          <cell r="K25" t="str">
            <v>وام و تسهیلات</v>
          </cell>
          <cell r="N25">
            <v>20000000</v>
          </cell>
          <cell r="R25" t="str">
            <v>پرداخت قسط وام — اصل (نمونه)</v>
          </cell>
        </row>
        <row r="26">
          <cell r="C26" t="str">
            <v>1405/07/16</v>
          </cell>
          <cell r="D26" t="str">
            <v>10:05</v>
          </cell>
          <cell r="E26" t="str">
            <v>BANK01 – ملت — جاری شرکت</v>
          </cell>
          <cell r="G26" t="str">
            <v>L001</v>
          </cell>
          <cell r="J26" t="str">
            <v>برداشت</v>
          </cell>
          <cell r="K26" t="str">
            <v>هزینه</v>
          </cell>
          <cell r="L26" t="str">
            <v>بهره و کارمزد وام</v>
          </cell>
          <cell r="N26">
            <v>2000000</v>
          </cell>
          <cell r="R26" t="str">
            <v>بهره و کارمزد اقساط وام — گروه هزینه (نمونه)</v>
          </cell>
        </row>
        <row r="27">
          <cell r="C27" t="str">
            <v>1405/07/18</v>
          </cell>
          <cell r="D27" t="str">
            <v>11:00</v>
          </cell>
          <cell r="E27" t="str">
            <v>BANK01 – ملت — جاری شرکت</v>
          </cell>
          <cell r="G27" t="str">
            <v>F002</v>
          </cell>
          <cell r="J27" t="str">
            <v>برداشت</v>
          </cell>
          <cell r="K27" t="str">
            <v>دارایی ثابت</v>
          </cell>
          <cell r="N27">
            <v>150000000</v>
          </cell>
          <cell r="R27" t="str">
            <v>خرید خودرو وانت حمل بار — دارایی ثابت شرکت (نمونه)</v>
          </cell>
        </row>
        <row r="28">
          <cell r="C28" t="str">
            <v>1405/07/15</v>
          </cell>
          <cell r="D28" t="str">
            <v>10:30</v>
          </cell>
          <cell r="E28" t="str">
            <v>BANK01 – ملت — جاری شرکت</v>
          </cell>
          <cell r="G28" t="str">
            <v>S004</v>
          </cell>
          <cell r="J28" t="str">
            <v>برداشت</v>
          </cell>
          <cell r="K28" t="str">
            <v>خرید</v>
          </cell>
          <cell r="N28">
            <v>25000000</v>
          </cell>
          <cell r="R28" t="str">
            <v>پرداخت بابت سبد خریداری‌شده — تسویه فایل Baskets.xlsx (نمونه)</v>
          </cell>
        </row>
        <row r="29">
          <cell r="C29" t="str">
            <v>1405/07/20</v>
          </cell>
          <cell r="D29" t="str">
            <v>12:00</v>
          </cell>
          <cell r="E29" t="str">
            <v>BANK01 – ملت — جاری شرکت</v>
          </cell>
          <cell r="G29" t="str">
            <v>C099</v>
          </cell>
          <cell r="J29" t="str">
            <v>واریز</v>
          </cell>
          <cell r="K29" t="str">
            <v>فروش</v>
          </cell>
          <cell r="M29">
            <v>5000000</v>
          </cell>
          <cell r="R29" t="str">
            <v>مشتری جدید — هنوز در INFO تعریف نشده (نمونه برای شیت کنترل)</v>
          </cell>
        </row>
        <row r="30">
          <cell r="C30" t="str">
            <v>1405/07/21</v>
          </cell>
          <cell r="D30" t="str">
            <v>09:40</v>
          </cell>
          <cell r="E30" t="str">
            <v>BANK01 – ملت — جاری شرکت</v>
          </cell>
          <cell r="G30" t="str">
            <v>X003</v>
          </cell>
          <cell r="J30" t="str">
            <v>برداشت</v>
          </cell>
          <cell r="K30" t="str">
            <v>هزینه</v>
          </cell>
          <cell r="N30">
            <v>3000000</v>
          </cell>
          <cell r="R30" t="str">
            <v>هزینه بدون زیرگروه — برای نمایش در شیت کنترل (نمونه)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M20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13" customWidth="1" min="3" max="3"/>
    <col width="10" customWidth="1" min="4" max="4"/>
    <col width="30" customWidth="1" min="5" max="5"/>
    <col width="13" customWidth="1" min="6" max="6"/>
    <col width="15" customWidth="1" min="7" max="7"/>
    <col width="15" customWidth="1" min="8" max="8"/>
    <col width="16" customWidth="1" min="9" max="9"/>
    <col width="6" customWidth="1" min="12" max="12"/>
    <col width="6" customWidth="1" min="13" max="13"/>
  </cols>
  <sheetData>
    <row r="1" ht="26" customHeight="1">
      <c r="A1" s="1">
        <f>IF(Sync!$N$6="","مازندشت",Sync!$N$6)&amp;" — "&amp;IF(Sync!$N$9="","سورتینگ و بسته‌بندی مرکبات",Sync!$N$9)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4" customHeight="1">
      <c r="A2" s="2">
        <f>IF(Sync!$N$7="","باغدشت، بخش مرکزی، شهرستان قائم‌شهر، استان مازندران، ایران",Sync!$N$7)&amp;"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3">
        <f>"صورت حساب — "&amp;IFERROR(IF(VLOOKUP($C$5,AcctTbl,4,0)="","(بدون عنوان)",VLOOKUP($C$5,AcctTbl,4,0)),"کد را وارد کنید")</f>
        <v/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A5" s="4" t="inlineStr">
        <is>
          <t>کد حساب (ورود دستی):</t>
        </is>
      </c>
      <c r="B5" s="4" t="n"/>
      <c r="C5" s="5" t="inlineStr">
        <is>
          <t>SL001</t>
        </is>
      </c>
      <c r="D5" s="5" t="n"/>
      <c r="E5" s="6" t="inlineStr">
        <is>
          <t>کد را از فایل INFO (شیت Accounts) وارد کنید — همه‌چیز این شیت خودکار به‌روز می‌شود. برای حساب دیگر، همین شیت را کپی و کد را عوض کنید.</t>
        </is>
      </c>
      <c r="F5" s="6" t="n"/>
      <c r="G5" s="6" t="n"/>
      <c r="H5" s="6" t="n"/>
      <c r="I5" s="6" t="n"/>
      <c r="J5" s="6" t="n"/>
    </row>
    <row r="6" ht="17" customHeight="1">
      <c r="A6" s="7" t="inlineStr">
        <is>
          <t>نام صاحب حساب:</t>
        </is>
      </c>
      <c r="B6" s="7" t="n"/>
      <c r="C6" s="8">
        <f>IFERROR(IF(VLOOKUP($C$5,AcctTbl,4,0)="","(بدون عنوان)",VLOOKUP($C$5,AcctTbl,4,0)),"—")</f>
        <v/>
      </c>
      <c r="D6" s="8" t="n"/>
      <c r="E6" s="8" t="n"/>
      <c r="F6" s="8" t="n"/>
      <c r="G6" s="8" t="n"/>
      <c r="H6" s="8" t="n"/>
      <c r="I6" s="8" t="n"/>
      <c r="J6" s="8" t="n"/>
    </row>
    <row r="7" ht="17" customHeight="1">
      <c r="A7" s="7" t="inlineStr">
        <is>
          <t>نوع حساب:</t>
        </is>
      </c>
      <c r="B7" s="7" t="n"/>
      <c r="C7" s="8">
        <f>IFERROR(IF(VLOOKUP($C$5,AcctTbl,3,0)="",IF(VLOOKUP($C$5,AcctTbl,2,0)="","—",VLOOKUP($C$5,AcctTbl,2,0)),VLOOKUP($C$5,AcctTbl,3,0)),"—")</f>
        <v/>
      </c>
      <c r="D7" s="8" t="n"/>
      <c r="E7" s="8" t="n"/>
      <c r="F7" s="8" t="n"/>
      <c r="G7" s="8" t="n"/>
      <c r="H7" s="8" t="n"/>
      <c r="I7" s="8" t="n"/>
      <c r="J7" s="8" t="n"/>
    </row>
    <row r="8" ht="17" customHeight="1">
      <c r="A8" s="7" t="inlineStr">
        <is>
          <t>تلفن / همراه:</t>
        </is>
      </c>
      <c r="B8" s="7" t="n"/>
      <c r="C8" s="8">
        <f>IFERROR(IF(AND(INDEX(SellerPhone,MATCH($C$5,AcctCodes,0))="",INDEX(SellerMobile,MATCH($C$5,AcctCodes,0))=""),"—",TRIM(INDEX(SellerPhone,MATCH($C$5,AcctCodes,0))&amp;"  /  "&amp;INDEX(SellerMobile,MATCH($C$5,AcctCodes,0)))),"—")</f>
        <v/>
      </c>
      <c r="D8" s="8" t="n"/>
      <c r="E8" s="8" t="n"/>
      <c r="F8" s="8" t="n"/>
      <c r="G8" s="8" t="n"/>
      <c r="H8" s="8" t="n"/>
      <c r="I8" s="8" t="n"/>
      <c r="J8" s="8" t="n"/>
    </row>
    <row r="9" ht="17" customHeight="1">
      <c r="A9" s="7" t="inlineStr">
        <is>
          <t>نشانی:</t>
        </is>
      </c>
      <c r="B9" s="7" t="n"/>
      <c r="C9" s="8">
        <f>IFERROR(IF(INDEX(SellerAddr,MATCH($C$5,AcctCodes,0))="","—",INDEX(SellerAddr,MATCH($C$5,AcctCodes,0))),"—")</f>
        <v/>
      </c>
      <c r="D9" s="8" t="n"/>
      <c r="E9" s="8" t="n"/>
      <c r="F9" s="8" t="n"/>
      <c r="G9" s="8" t="n"/>
      <c r="H9" s="8" t="n"/>
      <c r="I9" s="8" t="n"/>
      <c r="J9" s="8" t="n"/>
    </row>
    <row r="10">
      <c r="A10" s="7" t="inlineStr">
        <is>
          <t>مانده اولیه حساب (دستی):</t>
        </is>
      </c>
      <c r="B10" s="7" t="n"/>
      <c r="C10" s="9" t="n">
        <v>0</v>
      </c>
      <c r="D10" s="9" t="n"/>
      <c r="E10" s="6" t="inlineStr">
        <is>
          <t>اگر حساب از قبل مانده دارد اینجا بنویسید (مثبت = بدهکار) — در مانده‌ها اثر می‌گذارد.</t>
        </is>
      </c>
      <c r="F10" s="6" t="n"/>
      <c r="G10" s="6" t="n"/>
      <c r="H10" s="6" t="n"/>
      <c r="I10" s="6" t="n"/>
      <c r="J10" s="6" t="n"/>
    </row>
    <row r="11" ht="13" customHeight="1">
      <c r="A11" s="10" t="inlineStr">
        <is>
          <t>جمع بدهکار (ریال)</t>
        </is>
      </c>
      <c r="B11" s="10" t="n"/>
      <c r="C11" s="10" t="inlineStr">
        <is>
          <t>جمع بستانکار (ریال)</t>
        </is>
      </c>
      <c r="D11" s="10" t="n"/>
      <c r="E11" s="10" t="inlineStr">
        <is>
          <t>مانده نهایی حساب</t>
        </is>
      </c>
      <c r="F11" s="10" t="n"/>
      <c r="G11" s="10" t="inlineStr">
        <is>
          <t>ماهیت حساب</t>
        </is>
      </c>
      <c r="H11" s="10" t="n"/>
      <c r="I11" s="10" t="n"/>
      <c r="J11" s="10" t="n"/>
    </row>
    <row r="12" ht="22" customHeight="1">
      <c r="A12" s="11">
        <f>SUM($G$17:$G$2016)</f>
        <v/>
      </c>
      <c r="B12" s="11" t="n"/>
      <c r="C12" s="11">
        <f>SUM($H$17:$H$2016)</f>
        <v/>
      </c>
      <c r="D12" s="11" t="n"/>
      <c r="E12" s="11">
        <f>IFERROR(LOOKUP(9.99E+307,$I$17:$I$2016),$C$10)</f>
        <v/>
      </c>
      <c r="F12" s="11" t="n"/>
      <c r="G12" s="12">
        <f>IF($E$12&gt;0,"▲ بدهکار — به ما بدهکار است",IF($E$12&lt;0,"▼ بستانکار — ما بدهکاریم","= تسویه شده"))</f>
        <v/>
      </c>
      <c r="H12" s="12" t="n"/>
      <c r="I12" s="12" t="n"/>
      <c r="J12" s="12" t="n"/>
    </row>
    <row r="13" ht="13" customHeight="1">
      <c r="A13" s="10" t="inlineStr">
        <is>
          <t>تعداد توزین فروش</t>
        </is>
      </c>
      <c r="B13" s="10" t="n"/>
      <c r="C13" s="10" t="inlineStr">
        <is>
          <t>تعداد پرداخت بانکی</t>
        </is>
      </c>
      <c r="D13" s="10" t="n"/>
      <c r="E13" s="10" t="inlineStr">
        <is>
          <t>جمع وزن خالص فروش (kg)</t>
        </is>
      </c>
      <c r="F13" s="10" t="n"/>
      <c r="G13" s="10" t="inlineStr">
        <is>
          <t>آخرین تراکنش</t>
        </is>
      </c>
      <c r="H13" s="10" t="n"/>
      <c r="I13" s="10" t="n"/>
      <c r="J13" s="10" t="n"/>
    </row>
    <row r="14" ht="22" customHeight="1">
      <c r="A14" s="13">
        <f>COUNTIF($C$17:$C$2016,"فروش")+COUNTIF($C$17:$C$2016,"مرجوعی فروش")</f>
        <v/>
      </c>
      <c r="B14" s="13" t="n"/>
      <c r="C14" s="13">
        <f>COUNTIF($C$17:$C$2016,"پرداخت بانکی")</f>
        <v/>
      </c>
      <c r="D14" s="13" t="n"/>
      <c r="E14" s="14">
        <f>SUMIF($C$17:$C$2016,"فروش",$F$17:$F$2016)-SUMIF($C$17:$C$2016,"مرجوعی فروش",$F$17:$F$2016)</f>
        <v/>
      </c>
      <c r="F14" s="14" t="n"/>
      <c r="G14" s="12">
        <f>IF(COUNT($I$17:$I$2016)=0,"—",INDEX($B$17:$B$2016,COUNT($I$17:$I$2016)))</f>
        <v/>
      </c>
      <c r="H14" s="12" t="n"/>
      <c r="I14" s="12" t="n"/>
      <c r="J14" s="12" t="n"/>
    </row>
    <row r="15" ht="30" customHeight="1">
      <c r="A15" s="15" t="inlineStr">
        <is>
          <t>ردیف</t>
        </is>
      </c>
      <c r="B15" s="15" t="inlineStr">
        <is>
          <t>تاریخ</t>
        </is>
      </c>
      <c r="C15" s="15" t="inlineStr">
        <is>
          <t>نوع عملیات</t>
        </is>
      </c>
      <c r="D15" s="15" t="inlineStr">
        <is>
          <t>مرجع</t>
        </is>
      </c>
      <c r="E15" s="15" t="inlineStr">
        <is>
          <t>توضیحات</t>
        </is>
      </c>
      <c r="F15" s="15" t="inlineStr">
        <is>
          <t>وزن خالص (kg)</t>
        </is>
      </c>
      <c r="G15" s="15" t="inlineStr">
        <is>
          <t>بدهکار (ریال)</t>
        </is>
      </c>
      <c r="H15" s="15" t="inlineStr">
        <is>
          <t>بستانکار (ریال)</t>
        </is>
      </c>
      <c r="I15" s="15" t="inlineStr">
        <is>
          <t>مانده (ریال)</t>
        </is>
      </c>
    </row>
    <row r="16" ht="13" customHeight="1">
      <c r="A16" s="16" t="inlineStr">
        <is>
          <t>No.</t>
        </is>
      </c>
      <c r="B16" s="16" t="inlineStr">
        <is>
          <t>Date</t>
        </is>
      </c>
      <c r="C16" s="16" t="inlineStr">
        <is>
          <t>Type</t>
        </is>
      </c>
      <c r="D16" s="16" t="inlineStr">
        <is>
          <t>Ref</t>
        </is>
      </c>
      <c r="E16" s="16" t="inlineStr">
        <is>
          <t>Description</t>
        </is>
      </c>
      <c r="F16" s="16" t="inlineStr">
        <is>
          <t>Net Weight</t>
        </is>
      </c>
      <c r="G16" s="16" t="inlineStr">
        <is>
          <t>Debit</t>
        </is>
      </c>
      <c r="H16" s="16" t="inlineStr">
        <is>
          <t>Credit</t>
        </is>
      </c>
      <c r="I16" s="16" t="inlineStr">
        <is>
          <t>Balance</t>
        </is>
      </c>
    </row>
    <row r="17">
      <c r="A17" s="17" t="n">
        <v>1</v>
      </c>
      <c r="B17" s="18">
        <f>IF(AND($L17="",$M17=""),"",IF($L17&lt;&gt;"",INDEX(SCNormDate,$L17),INDEX(LdgDateB,$M17)))</f>
        <v/>
      </c>
      <c r="C17" s="18">
        <f>IF($L17&lt;&gt;"",INDEX(SCOp,$L17),IF($M17&lt;&gt;"","پرداخت بانکی",""))</f>
        <v/>
      </c>
      <c r="D17" s="18">
        <f>IF($L17&lt;&gt;"",IF(INDEX(SCDoc,$L17)="","—",INDEX(SCDoc,$L17)),IF($M17&lt;&gt;"",INDEX(LdgBankB,$M17),""))</f>
        <v/>
      </c>
      <c r="E17" s="19">
        <f>IF($L17&lt;&gt;"",IF(INDEX(SCCitrus,$L17)&amp;INDEX(SCNotes,$L17)="","",IF(INDEX(SCCitrus,$L17)="","",INDEX(SCCitrus,$L17))&amp;IF(INDEX(SCNotes,$L17)="",""," — "&amp;INDEX(SCNotes,$L17))),IF($M17&lt;&gt;"",IF(INDEX(LdgNoteB,$M17)="","—",INDEX(LdgNoteB,$M17)),""))</f>
        <v/>
      </c>
      <c r="F17" s="20">
        <f>IF($L17&lt;&gt;"",IF(INDEX(SCNet,$L17)=0,"",INDEX(SCNet,$L17)),"")</f>
        <v/>
      </c>
      <c r="G17" s="21">
        <f>IF($L17&lt;&gt;"",IF(INDEX(SCOp,$L17)="مرجوعی فروش","",IF(INDEX(SCAmount,$L17)&lt;=0,"",INDEX(SCAmount,$L17))),IF($M17&lt;&gt;"",IF(INDEX(LdgWitB,$M17)=0,"",INDEX(LdgWitB,$M17)),""))</f>
        <v/>
      </c>
      <c r="H17" s="21">
        <f>IF($L17&lt;&gt;"",IF(INDEX(SCOp,$L17)="مرجوعی فروش",IF(INDEX(SCAmount,$L17)=0,"",-INDEX(SCAmount,$L17)),""),IF($M17&lt;&gt;"",IF(INDEX(LdgDepB,$M17)=0,"",INDEX(LdgDepB,$M17)),""))</f>
        <v/>
      </c>
      <c r="I17" s="22">
        <f>IF($B17="","",$C$10+IF($G17="",0,$G17)-IF($H17="",0,$H17))</f>
        <v/>
      </c>
      <c r="L17">
        <f>IFERROR(MATCH($C$5&amp;"|"&amp;RIGHT("000000"&amp;1,6),LdgRankKeyA,0),"")</f>
        <v/>
      </c>
      <c r="M17">
        <f>IFERROR(MATCH($C$5&amp;"|"&amp;RIGHT("000000"&amp;1,6),LdgRankKeyB,0),"")</f>
        <v/>
      </c>
    </row>
    <row r="18">
      <c r="A18" s="23" t="n">
        <v>2</v>
      </c>
      <c r="B18" s="24">
        <f>IF(AND($L18="",$M18=""),"",IF($L18&lt;&gt;"",INDEX(SCNormDate,$L18),INDEX(LdgDateB,$M18)))</f>
        <v/>
      </c>
      <c r="C18" s="24">
        <f>IF($L18&lt;&gt;"",INDEX(SCOp,$L18),IF($M18&lt;&gt;"","پرداخت بانکی",""))</f>
        <v/>
      </c>
      <c r="D18" s="24">
        <f>IF($L18&lt;&gt;"",IF(INDEX(SCDoc,$L18)="","—",INDEX(SCDoc,$L18)),IF($M18&lt;&gt;"",INDEX(LdgBankB,$M18),""))</f>
        <v/>
      </c>
      <c r="E18" s="25">
        <f>IF($L18&lt;&gt;"",IF(INDEX(SCCitrus,$L18)&amp;INDEX(SCNotes,$L18)="","",IF(INDEX(SCCitrus,$L18)="","",INDEX(SCCitrus,$L18))&amp;IF(INDEX(SCNotes,$L18)="",""," — "&amp;INDEX(SCNotes,$L18))),IF($M18&lt;&gt;"",IF(INDEX(LdgNoteB,$M18)="","—",INDEX(LdgNoteB,$M18)),""))</f>
        <v/>
      </c>
      <c r="F18" s="26">
        <f>IF($L18&lt;&gt;"",IF(INDEX(SCNet,$L18)=0,"",INDEX(SCNet,$L18)),"")</f>
        <v/>
      </c>
      <c r="G18" s="27">
        <f>IF($L18&lt;&gt;"",IF(INDEX(SCOp,$L18)="مرجوعی فروش","",IF(INDEX(SCAmount,$L18)&lt;=0,"",INDEX(SCAmount,$L18))),IF($M18&lt;&gt;"",IF(INDEX(LdgWitB,$M18)=0,"",INDEX(LdgWitB,$M18)),""))</f>
        <v/>
      </c>
      <c r="H18" s="27">
        <f>IF($L18&lt;&gt;"",IF(INDEX(SCOp,$L18)="مرجوعی فروش",IF(INDEX(SCAmount,$L18)=0,"",-INDEX(SCAmount,$L18)),""),IF($M18&lt;&gt;"",IF(INDEX(LdgDepB,$M18)=0,"",INDEX(LdgDepB,$M18)),""))</f>
        <v/>
      </c>
      <c r="I18" s="28">
        <f>IF($B18="","",IF($I17="",$C$10,$I17)+IF($G18="",0,$G18)-IF($H18="",0,$H18))</f>
        <v/>
      </c>
      <c r="L18">
        <f>IFERROR(MATCH($C$5&amp;"|"&amp;RIGHT("000000"&amp;2,6),LdgRankKeyA,0),"")</f>
        <v/>
      </c>
      <c r="M18">
        <f>IFERROR(MATCH($C$5&amp;"|"&amp;RIGHT("000000"&amp;2,6),LdgRankKeyB,0),"")</f>
        <v/>
      </c>
    </row>
    <row r="19">
      <c r="A19" s="17" t="n">
        <v>3</v>
      </c>
      <c r="B19" s="18">
        <f>IF(AND($L19="",$M19=""),"",IF($L19&lt;&gt;"",INDEX(SCNormDate,$L19),INDEX(LdgDateB,$M19)))</f>
        <v/>
      </c>
      <c r="C19" s="18">
        <f>IF($L19&lt;&gt;"",INDEX(SCOp,$L19),IF($M19&lt;&gt;"","پرداخت بانکی",""))</f>
        <v/>
      </c>
      <c r="D19" s="18">
        <f>IF($L19&lt;&gt;"",IF(INDEX(SCDoc,$L19)="","—",INDEX(SCDoc,$L19)),IF($M19&lt;&gt;"",INDEX(LdgBankB,$M19),""))</f>
        <v/>
      </c>
      <c r="E19" s="19">
        <f>IF($L19&lt;&gt;"",IF(INDEX(SCCitrus,$L19)&amp;INDEX(SCNotes,$L19)="","",IF(INDEX(SCCitrus,$L19)="","",INDEX(SCCitrus,$L19))&amp;IF(INDEX(SCNotes,$L19)="",""," — "&amp;INDEX(SCNotes,$L19))),IF($M19&lt;&gt;"",IF(INDEX(LdgNoteB,$M19)="","—",INDEX(LdgNoteB,$M19)),""))</f>
        <v/>
      </c>
      <c r="F19" s="20">
        <f>IF($L19&lt;&gt;"",IF(INDEX(SCNet,$L19)=0,"",INDEX(SCNet,$L19)),"")</f>
        <v/>
      </c>
      <c r="G19" s="21">
        <f>IF($L19&lt;&gt;"",IF(INDEX(SCOp,$L19)="مرجوعی فروش","",IF(INDEX(SCAmount,$L19)&lt;=0,"",INDEX(SCAmount,$L19))),IF($M19&lt;&gt;"",IF(INDEX(LdgWitB,$M19)=0,"",INDEX(LdgWitB,$M19)),""))</f>
        <v/>
      </c>
      <c r="H19" s="21">
        <f>IF($L19&lt;&gt;"",IF(INDEX(SCOp,$L19)="مرجوعی فروش",IF(INDEX(SCAmount,$L19)=0,"",-INDEX(SCAmount,$L19)),""),IF($M19&lt;&gt;"",IF(INDEX(LdgDepB,$M19)=0,"",INDEX(LdgDepB,$M19)),""))</f>
        <v/>
      </c>
      <c r="I19" s="22">
        <f>IF($B19="","",IF($I18="",$C$10,$I18)+IF($G19="",0,$G19)-IF($H19="",0,$H19))</f>
        <v/>
      </c>
      <c r="L19">
        <f>IFERROR(MATCH($C$5&amp;"|"&amp;RIGHT("000000"&amp;3,6),LdgRankKeyA,0),"")</f>
        <v/>
      </c>
      <c r="M19">
        <f>IFERROR(MATCH($C$5&amp;"|"&amp;RIGHT("000000"&amp;3,6),LdgRankKeyB,0),"")</f>
        <v/>
      </c>
    </row>
    <row r="20">
      <c r="A20" s="23" t="n">
        <v>4</v>
      </c>
      <c r="B20" s="24">
        <f>IF(AND($L20="",$M20=""),"",IF($L20&lt;&gt;"",INDEX(SCNormDate,$L20),INDEX(LdgDateB,$M20)))</f>
        <v/>
      </c>
      <c r="C20" s="24">
        <f>IF($L20&lt;&gt;"",INDEX(SCOp,$L20),IF($M20&lt;&gt;"","پرداخت بانکی",""))</f>
        <v/>
      </c>
      <c r="D20" s="24">
        <f>IF($L20&lt;&gt;"",IF(INDEX(SCDoc,$L20)="","—",INDEX(SCDoc,$L20)),IF($M20&lt;&gt;"",INDEX(LdgBankB,$M20),""))</f>
        <v/>
      </c>
      <c r="E20" s="25">
        <f>IF($L20&lt;&gt;"",IF(INDEX(SCCitrus,$L20)&amp;INDEX(SCNotes,$L20)="","",IF(INDEX(SCCitrus,$L20)="","",INDEX(SCCitrus,$L20))&amp;IF(INDEX(SCNotes,$L20)="",""," — "&amp;INDEX(SCNotes,$L20))),IF($M20&lt;&gt;"",IF(INDEX(LdgNoteB,$M20)="","—",INDEX(LdgNoteB,$M20)),""))</f>
        <v/>
      </c>
      <c r="F20" s="26">
        <f>IF($L20&lt;&gt;"",IF(INDEX(SCNet,$L20)=0,"",INDEX(SCNet,$L20)),"")</f>
        <v/>
      </c>
      <c r="G20" s="27">
        <f>IF($L20&lt;&gt;"",IF(INDEX(SCOp,$L20)="مرجوعی فروش","",IF(INDEX(SCAmount,$L20)&lt;=0,"",INDEX(SCAmount,$L20))),IF($M20&lt;&gt;"",IF(INDEX(LdgWitB,$M20)=0,"",INDEX(LdgWitB,$M20)),""))</f>
        <v/>
      </c>
      <c r="H20" s="27">
        <f>IF($L20&lt;&gt;"",IF(INDEX(SCOp,$L20)="مرجوعی فروش",IF(INDEX(SCAmount,$L20)=0,"",-INDEX(SCAmount,$L20)),""),IF($M20&lt;&gt;"",IF(INDEX(LdgDepB,$M20)=0,"",INDEX(LdgDepB,$M20)),""))</f>
        <v/>
      </c>
      <c r="I20" s="28">
        <f>IF($B20="","",IF($I19="",$C$10,$I19)+IF($G20="",0,$G20)-IF($H20="",0,$H20))</f>
        <v/>
      </c>
      <c r="L20">
        <f>IFERROR(MATCH($C$5&amp;"|"&amp;RIGHT("000000"&amp;4,6),LdgRankKeyA,0),"")</f>
        <v/>
      </c>
      <c r="M20">
        <f>IFERROR(MATCH($C$5&amp;"|"&amp;RIGHT("000000"&amp;4,6),LdgRankKeyB,0),"")</f>
        <v/>
      </c>
    </row>
    <row r="21">
      <c r="A21" s="17" t="n">
        <v>5</v>
      </c>
      <c r="B21" s="18">
        <f>IF(AND($L21="",$M21=""),"",IF($L21&lt;&gt;"",INDEX(SCNormDate,$L21),INDEX(LdgDateB,$M21)))</f>
        <v/>
      </c>
      <c r="C21" s="18">
        <f>IF($L21&lt;&gt;"",INDEX(SCOp,$L21),IF($M21&lt;&gt;"","پرداخت بانکی",""))</f>
        <v/>
      </c>
      <c r="D21" s="18">
        <f>IF($L21&lt;&gt;"",IF(INDEX(SCDoc,$L21)="","—",INDEX(SCDoc,$L21)),IF($M21&lt;&gt;"",INDEX(LdgBankB,$M21),""))</f>
        <v/>
      </c>
      <c r="E21" s="19">
        <f>IF($L21&lt;&gt;"",IF(INDEX(SCCitrus,$L21)&amp;INDEX(SCNotes,$L21)="","",IF(INDEX(SCCitrus,$L21)="","",INDEX(SCCitrus,$L21))&amp;IF(INDEX(SCNotes,$L21)="",""," — "&amp;INDEX(SCNotes,$L21))),IF($M21&lt;&gt;"",IF(INDEX(LdgNoteB,$M21)="","—",INDEX(LdgNoteB,$M21)),""))</f>
        <v/>
      </c>
      <c r="F21" s="20">
        <f>IF($L21&lt;&gt;"",IF(INDEX(SCNet,$L21)=0,"",INDEX(SCNet,$L21)),"")</f>
        <v/>
      </c>
      <c r="G21" s="21">
        <f>IF($L21&lt;&gt;"",IF(INDEX(SCOp,$L21)="مرجوعی فروش","",IF(INDEX(SCAmount,$L21)&lt;=0,"",INDEX(SCAmount,$L21))),IF($M21&lt;&gt;"",IF(INDEX(LdgWitB,$M21)=0,"",INDEX(LdgWitB,$M21)),""))</f>
        <v/>
      </c>
      <c r="H21" s="21">
        <f>IF($L21&lt;&gt;"",IF(INDEX(SCOp,$L21)="مرجوعی فروش",IF(INDEX(SCAmount,$L21)=0,"",-INDEX(SCAmount,$L21)),""),IF($M21&lt;&gt;"",IF(INDEX(LdgDepB,$M21)=0,"",INDEX(LdgDepB,$M21)),""))</f>
        <v/>
      </c>
      <c r="I21" s="22">
        <f>IF($B21="","",IF($I20="",$C$10,$I20)+IF($G21="",0,$G21)-IF($H21="",0,$H21))</f>
        <v/>
      </c>
      <c r="L21">
        <f>IFERROR(MATCH($C$5&amp;"|"&amp;RIGHT("000000"&amp;5,6),LdgRankKeyA,0),"")</f>
        <v/>
      </c>
      <c r="M21">
        <f>IFERROR(MATCH($C$5&amp;"|"&amp;RIGHT("000000"&amp;5,6),LdgRankKeyB,0),"")</f>
        <v/>
      </c>
    </row>
    <row r="22">
      <c r="A22" s="23" t="n">
        <v>6</v>
      </c>
      <c r="B22" s="24">
        <f>IF(AND($L22="",$M22=""),"",IF($L22&lt;&gt;"",INDEX(SCNormDate,$L22),INDEX(LdgDateB,$M22)))</f>
        <v/>
      </c>
      <c r="C22" s="24">
        <f>IF($L22&lt;&gt;"",INDEX(SCOp,$L22),IF($M22&lt;&gt;"","پرداخت بانکی",""))</f>
        <v/>
      </c>
      <c r="D22" s="24">
        <f>IF($L22&lt;&gt;"",IF(INDEX(SCDoc,$L22)="","—",INDEX(SCDoc,$L22)),IF($M22&lt;&gt;"",INDEX(LdgBankB,$M22),""))</f>
        <v/>
      </c>
      <c r="E22" s="25">
        <f>IF($L22&lt;&gt;"",IF(INDEX(SCCitrus,$L22)&amp;INDEX(SCNotes,$L22)="","",IF(INDEX(SCCitrus,$L22)="","",INDEX(SCCitrus,$L22))&amp;IF(INDEX(SCNotes,$L22)="",""," — "&amp;INDEX(SCNotes,$L22))),IF($M22&lt;&gt;"",IF(INDEX(LdgNoteB,$M22)="","—",INDEX(LdgNoteB,$M22)),""))</f>
        <v/>
      </c>
      <c r="F22" s="26">
        <f>IF($L22&lt;&gt;"",IF(INDEX(SCNet,$L22)=0,"",INDEX(SCNet,$L22)),"")</f>
        <v/>
      </c>
      <c r="G22" s="27">
        <f>IF($L22&lt;&gt;"",IF(INDEX(SCOp,$L22)="مرجوعی فروش","",IF(INDEX(SCAmount,$L22)&lt;=0,"",INDEX(SCAmount,$L22))),IF($M22&lt;&gt;"",IF(INDEX(LdgWitB,$M22)=0,"",INDEX(LdgWitB,$M22)),""))</f>
        <v/>
      </c>
      <c r="H22" s="27">
        <f>IF($L22&lt;&gt;"",IF(INDEX(SCOp,$L22)="مرجوعی فروش",IF(INDEX(SCAmount,$L22)=0,"",-INDEX(SCAmount,$L22)),""),IF($M22&lt;&gt;"",IF(INDEX(LdgDepB,$M22)=0,"",INDEX(LdgDepB,$M22)),""))</f>
        <v/>
      </c>
      <c r="I22" s="28">
        <f>IF($B22="","",IF($I21="",$C$10,$I21)+IF($G22="",0,$G22)-IF($H22="",0,$H22))</f>
        <v/>
      </c>
      <c r="L22">
        <f>IFERROR(MATCH($C$5&amp;"|"&amp;RIGHT("000000"&amp;6,6),LdgRankKeyA,0),"")</f>
        <v/>
      </c>
      <c r="M22">
        <f>IFERROR(MATCH($C$5&amp;"|"&amp;RIGHT("000000"&amp;6,6),LdgRankKeyB,0),"")</f>
        <v/>
      </c>
    </row>
    <row r="23">
      <c r="A23" s="17" t="n">
        <v>7</v>
      </c>
      <c r="B23" s="18">
        <f>IF(AND($L23="",$M23=""),"",IF($L23&lt;&gt;"",INDEX(SCNormDate,$L23),INDEX(LdgDateB,$M23)))</f>
        <v/>
      </c>
      <c r="C23" s="18">
        <f>IF($L23&lt;&gt;"",INDEX(SCOp,$L23),IF($M23&lt;&gt;"","پرداخت بانکی",""))</f>
        <v/>
      </c>
      <c r="D23" s="18">
        <f>IF($L23&lt;&gt;"",IF(INDEX(SCDoc,$L23)="","—",INDEX(SCDoc,$L23)),IF($M23&lt;&gt;"",INDEX(LdgBankB,$M23),""))</f>
        <v/>
      </c>
      <c r="E23" s="19">
        <f>IF($L23&lt;&gt;"",IF(INDEX(SCCitrus,$L23)&amp;INDEX(SCNotes,$L23)="","",IF(INDEX(SCCitrus,$L23)="","",INDEX(SCCitrus,$L23))&amp;IF(INDEX(SCNotes,$L23)="",""," — "&amp;INDEX(SCNotes,$L23))),IF($M23&lt;&gt;"",IF(INDEX(LdgNoteB,$M23)="","—",INDEX(LdgNoteB,$M23)),""))</f>
        <v/>
      </c>
      <c r="F23" s="20">
        <f>IF($L23&lt;&gt;"",IF(INDEX(SCNet,$L23)=0,"",INDEX(SCNet,$L23)),"")</f>
        <v/>
      </c>
      <c r="G23" s="21">
        <f>IF($L23&lt;&gt;"",IF(INDEX(SCOp,$L23)="مرجوعی فروش","",IF(INDEX(SCAmount,$L23)&lt;=0,"",INDEX(SCAmount,$L23))),IF($M23&lt;&gt;"",IF(INDEX(LdgWitB,$M23)=0,"",INDEX(LdgWitB,$M23)),""))</f>
        <v/>
      </c>
      <c r="H23" s="21">
        <f>IF($L23&lt;&gt;"",IF(INDEX(SCOp,$L23)="مرجوعی فروش",IF(INDEX(SCAmount,$L23)=0,"",-INDEX(SCAmount,$L23)),""),IF($M23&lt;&gt;"",IF(INDEX(LdgDepB,$M23)=0,"",INDEX(LdgDepB,$M23)),""))</f>
        <v/>
      </c>
      <c r="I23" s="22">
        <f>IF($B23="","",IF($I22="",$C$10,$I22)+IF($G23="",0,$G23)-IF($H23="",0,$H23))</f>
        <v/>
      </c>
      <c r="L23">
        <f>IFERROR(MATCH($C$5&amp;"|"&amp;RIGHT("000000"&amp;7,6),LdgRankKeyA,0),"")</f>
        <v/>
      </c>
      <c r="M23">
        <f>IFERROR(MATCH($C$5&amp;"|"&amp;RIGHT("000000"&amp;7,6),LdgRankKeyB,0),"")</f>
        <v/>
      </c>
    </row>
    <row r="24">
      <c r="A24" s="23" t="n">
        <v>8</v>
      </c>
      <c r="B24" s="24">
        <f>IF(AND($L24="",$M24=""),"",IF($L24&lt;&gt;"",INDEX(SCNormDate,$L24),INDEX(LdgDateB,$M24)))</f>
        <v/>
      </c>
      <c r="C24" s="24">
        <f>IF($L24&lt;&gt;"",INDEX(SCOp,$L24),IF($M24&lt;&gt;"","پرداخت بانکی",""))</f>
        <v/>
      </c>
      <c r="D24" s="24">
        <f>IF($L24&lt;&gt;"",IF(INDEX(SCDoc,$L24)="","—",INDEX(SCDoc,$L24)),IF($M24&lt;&gt;"",INDEX(LdgBankB,$M24),""))</f>
        <v/>
      </c>
      <c r="E24" s="25">
        <f>IF($L24&lt;&gt;"",IF(INDEX(SCCitrus,$L24)&amp;INDEX(SCNotes,$L24)="","",IF(INDEX(SCCitrus,$L24)="","",INDEX(SCCitrus,$L24))&amp;IF(INDEX(SCNotes,$L24)="",""," — "&amp;INDEX(SCNotes,$L24))),IF($M24&lt;&gt;"",IF(INDEX(LdgNoteB,$M24)="","—",INDEX(LdgNoteB,$M24)),""))</f>
        <v/>
      </c>
      <c r="F24" s="26">
        <f>IF($L24&lt;&gt;"",IF(INDEX(SCNet,$L24)=0,"",INDEX(SCNet,$L24)),"")</f>
        <v/>
      </c>
      <c r="G24" s="27">
        <f>IF($L24&lt;&gt;"",IF(INDEX(SCOp,$L24)="مرجوعی فروش","",IF(INDEX(SCAmount,$L24)&lt;=0,"",INDEX(SCAmount,$L24))),IF($M24&lt;&gt;"",IF(INDEX(LdgWitB,$M24)=0,"",INDEX(LdgWitB,$M24)),""))</f>
        <v/>
      </c>
      <c r="H24" s="27">
        <f>IF($L24&lt;&gt;"",IF(INDEX(SCOp,$L24)="مرجوعی فروش",IF(INDEX(SCAmount,$L24)=0,"",-INDEX(SCAmount,$L24)),""),IF($M24&lt;&gt;"",IF(INDEX(LdgDepB,$M24)=0,"",INDEX(LdgDepB,$M24)),""))</f>
        <v/>
      </c>
      <c r="I24" s="28">
        <f>IF($B24="","",IF($I23="",$C$10,$I23)+IF($G24="",0,$G24)-IF($H24="",0,$H24))</f>
        <v/>
      </c>
      <c r="L24">
        <f>IFERROR(MATCH($C$5&amp;"|"&amp;RIGHT("000000"&amp;8,6),LdgRankKeyA,0),"")</f>
        <v/>
      </c>
      <c r="M24">
        <f>IFERROR(MATCH($C$5&amp;"|"&amp;RIGHT("000000"&amp;8,6),LdgRankKeyB,0),"")</f>
        <v/>
      </c>
    </row>
    <row r="25">
      <c r="A25" s="17" t="n">
        <v>9</v>
      </c>
      <c r="B25" s="18">
        <f>IF(AND($L25="",$M25=""),"",IF($L25&lt;&gt;"",INDEX(SCNormDate,$L25),INDEX(LdgDateB,$M25)))</f>
        <v/>
      </c>
      <c r="C25" s="18">
        <f>IF($L25&lt;&gt;"",INDEX(SCOp,$L25),IF($M25&lt;&gt;"","پرداخت بانکی",""))</f>
        <v/>
      </c>
      <c r="D25" s="18">
        <f>IF($L25&lt;&gt;"",IF(INDEX(SCDoc,$L25)="","—",INDEX(SCDoc,$L25)),IF($M25&lt;&gt;"",INDEX(LdgBankB,$M25),""))</f>
        <v/>
      </c>
      <c r="E25" s="19">
        <f>IF($L25&lt;&gt;"",IF(INDEX(SCCitrus,$L25)&amp;INDEX(SCNotes,$L25)="","",IF(INDEX(SCCitrus,$L25)="","",INDEX(SCCitrus,$L25))&amp;IF(INDEX(SCNotes,$L25)="",""," — "&amp;INDEX(SCNotes,$L25))),IF($M25&lt;&gt;"",IF(INDEX(LdgNoteB,$M25)="","—",INDEX(LdgNoteB,$M25)),""))</f>
        <v/>
      </c>
      <c r="F25" s="20">
        <f>IF($L25&lt;&gt;"",IF(INDEX(SCNet,$L25)=0,"",INDEX(SCNet,$L25)),"")</f>
        <v/>
      </c>
      <c r="G25" s="21">
        <f>IF($L25&lt;&gt;"",IF(INDEX(SCOp,$L25)="مرجوعی فروش","",IF(INDEX(SCAmount,$L25)&lt;=0,"",INDEX(SCAmount,$L25))),IF($M25&lt;&gt;"",IF(INDEX(LdgWitB,$M25)=0,"",INDEX(LdgWitB,$M25)),""))</f>
        <v/>
      </c>
      <c r="H25" s="21">
        <f>IF($L25&lt;&gt;"",IF(INDEX(SCOp,$L25)="مرجوعی فروش",IF(INDEX(SCAmount,$L25)=0,"",-INDEX(SCAmount,$L25)),""),IF($M25&lt;&gt;"",IF(INDEX(LdgDepB,$M25)=0,"",INDEX(LdgDepB,$M25)),""))</f>
        <v/>
      </c>
      <c r="I25" s="22">
        <f>IF($B25="","",IF($I24="",$C$10,$I24)+IF($G25="",0,$G25)-IF($H25="",0,$H25))</f>
        <v/>
      </c>
      <c r="L25">
        <f>IFERROR(MATCH($C$5&amp;"|"&amp;RIGHT("000000"&amp;9,6),LdgRankKeyA,0),"")</f>
        <v/>
      </c>
      <c r="M25">
        <f>IFERROR(MATCH($C$5&amp;"|"&amp;RIGHT("000000"&amp;9,6),LdgRankKeyB,0),"")</f>
        <v/>
      </c>
    </row>
    <row r="26">
      <c r="A26" s="23" t="n">
        <v>10</v>
      </c>
      <c r="B26" s="24">
        <f>IF(AND($L26="",$M26=""),"",IF($L26&lt;&gt;"",INDEX(SCNormDate,$L26),INDEX(LdgDateB,$M26)))</f>
        <v/>
      </c>
      <c r="C26" s="24">
        <f>IF($L26&lt;&gt;"",INDEX(SCOp,$L26),IF($M26&lt;&gt;"","پرداخت بانکی",""))</f>
        <v/>
      </c>
      <c r="D26" s="24">
        <f>IF($L26&lt;&gt;"",IF(INDEX(SCDoc,$L26)="","—",INDEX(SCDoc,$L26)),IF($M26&lt;&gt;"",INDEX(LdgBankB,$M26),""))</f>
        <v/>
      </c>
      <c r="E26" s="25">
        <f>IF($L26&lt;&gt;"",IF(INDEX(SCCitrus,$L26)&amp;INDEX(SCNotes,$L26)="","",IF(INDEX(SCCitrus,$L26)="","",INDEX(SCCitrus,$L26))&amp;IF(INDEX(SCNotes,$L26)="",""," — "&amp;INDEX(SCNotes,$L26))),IF($M26&lt;&gt;"",IF(INDEX(LdgNoteB,$M26)="","—",INDEX(LdgNoteB,$M26)),""))</f>
        <v/>
      </c>
      <c r="F26" s="26">
        <f>IF($L26&lt;&gt;"",IF(INDEX(SCNet,$L26)=0,"",INDEX(SCNet,$L26)),"")</f>
        <v/>
      </c>
      <c r="G26" s="27">
        <f>IF($L26&lt;&gt;"",IF(INDEX(SCOp,$L26)="مرجوعی فروش","",IF(INDEX(SCAmount,$L26)&lt;=0,"",INDEX(SCAmount,$L26))),IF($M26&lt;&gt;"",IF(INDEX(LdgWitB,$M26)=0,"",INDEX(LdgWitB,$M26)),""))</f>
        <v/>
      </c>
      <c r="H26" s="27">
        <f>IF($L26&lt;&gt;"",IF(INDEX(SCOp,$L26)="مرجوعی فروش",IF(INDEX(SCAmount,$L26)=0,"",-INDEX(SCAmount,$L26)),""),IF($M26&lt;&gt;"",IF(INDEX(LdgDepB,$M26)=0,"",INDEX(LdgDepB,$M26)),""))</f>
        <v/>
      </c>
      <c r="I26" s="28">
        <f>IF($B26="","",IF($I25="",$C$10,$I25)+IF($G26="",0,$G26)-IF($H26="",0,$H26))</f>
        <v/>
      </c>
      <c r="L26">
        <f>IFERROR(MATCH($C$5&amp;"|"&amp;RIGHT("000000"&amp;10,6),LdgRankKeyA,0),"")</f>
        <v/>
      </c>
      <c r="M26">
        <f>IFERROR(MATCH($C$5&amp;"|"&amp;RIGHT("000000"&amp;10,6),LdgRankKeyB,0),"")</f>
        <v/>
      </c>
    </row>
    <row r="27">
      <c r="A27" s="17" t="n">
        <v>11</v>
      </c>
      <c r="B27" s="18">
        <f>IF(AND($L27="",$M27=""),"",IF($L27&lt;&gt;"",INDEX(SCNormDate,$L27),INDEX(LdgDateB,$M27)))</f>
        <v/>
      </c>
      <c r="C27" s="18">
        <f>IF($L27&lt;&gt;"",INDEX(SCOp,$L27),IF($M27&lt;&gt;"","پرداخت بانکی",""))</f>
        <v/>
      </c>
      <c r="D27" s="18">
        <f>IF($L27&lt;&gt;"",IF(INDEX(SCDoc,$L27)="","—",INDEX(SCDoc,$L27)),IF($M27&lt;&gt;"",INDEX(LdgBankB,$M27),""))</f>
        <v/>
      </c>
      <c r="E27" s="19">
        <f>IF($L27&lt;&gt;"",IF(INDEX(SCCitrus,$L27)&amp;INDEX(SCNotes,$L27)="","",IF(INDEX(SCCitrus,$L27)="","",INDEX(SCCitrus,$L27))&amp;IF(INDEX(SCNotes,$L27)="",""," — "&amp;INDEX(SCNotes,$L27))),IF($M27&lt;&gt;"",IF(INDEX(LdgNoteB,$M27)="","—",INDEX(LdgNoteB,$M27)),""))</f>
        <v/>
      </c>
      <c r="F27" s="20">
        <f>IF($L27&lt;&gt;"",IF(INDEX(SCNet,$L27)=0,"",INDEX(SCNet,$L27)),"")</f>
        <v/>
      </c>
      <c r="G27" s="21">
        <f>IF($L27&lt;&gt;"",IF(INDEX(SCOp,$L27)="مرجوعی فروش","",IF(INDEX(SCAmount,$L27)&lt;=0,"",INDEX(SCAmount,$L27))),IF($M27&lt;&gt;"",IF(INDEX(LdgWitB,$M27)=0,"",INDEX(LdgWitB,$M27)),""))</f>
        <v/>
      </c>
      <c r="H27" s="21">
        <f>IF($L27&lt;&gt;"",IF(INDEX(SCOp,$L27)="مرجوعی فروش",IF(INDEX(SCAmount,$L27)=0,"",-INDEX(SCAmount,$L27)),""),IF($M27&lt;&gt;"",IF(INDEX(LdgDepB,$M27)=0,"",INDEX(LdgDepB,$M27)),""))</f>
        <v/>
      </c>
      <c r="I27" s="22">
        <f>IF($B27="","",IF($I26="",$C$10,$I26)+IF($G27="",0,$G27)-IF($H27="",0,$H27))</f>
        <v/>
      </c>
      <c r="L27">
        <f>IFERROR(MATCH($C$5&amp;"|"&amp;RIGHT("000000"&amp;11,6),LdgRankKeyA,0),"")</f>
        <v/>
      </c>
      <c r="M27">
        <f>IFERROR(MATCH($C$5&amp;"|"&amp;RIGHT("000000"&amp;11,6),LdgRankKeyB,0),"")</f>
        <v/>
      </c>
    </row>
    <row r="28">
      <c r="A28" s="23" t="n">
        <v>12</v>
      </c>
      <c r="B28" s="24">
        <f>IF(AND($L28="",$M28=""),"",IF($L28&lt;&gt;"",INDEX(SCNormDate,$L28),INDEX(LdgDateB,$M28)))</f>
        <v/>
      </c>
      <c r="C28" s="24">
        <f>IF($L28&lt;&gt;"",INDEX(SCOp,$L28),IF($M28&lt;&gt;"","پرداخت بانکی",""))</f>
        <v/>
      </c>
      <c r="D28" s="24">
        <f>IF($L28&lt;&gt;"",IF(INDEX(SCDoc,$L28)="","—",INDEX(SCDoc,$L28)),IF($M28&lt;&gt;"",INDEX(LdgBankB,$M28),""))</f>
        <v/>
      </c>
      <c r="E28" s="25">
        <f>IF($L28&lt;&gt;"",IF(INDEX(SCCitrus,$L28)&amp;INDEX(SCNotes,$L28)="","",IF(INDEX(SCCitrus,$L28)="","",INDEX(SCCitrus,$L28))&amp;IF(INDEX(SCNotes,$L28)="",""," — "&amp;INDEX(SCNotes,$L28))),IF($M28&lt;&gt;"",IF(INDEX(LdgNoteB,$M28)="","—",INDEX(LdgNoteB,$M28)),""))</f>
        <v/>
      </c>
      <c r="F28" s="26">
        <f>IF($L28&lt;&gt;"",IF(INDEX(SCNet,$L28)=0,"",INDEX(SCNet,$L28)),"")</f>
        <v/>
      </c>
      <c r="G28" s="27">
        <f>IF($L28&lt;&gt;"",IF(INDEX(SCOp,$L28)="مرجوعی فروش","",IF(INDEX(SCAmount,$L28)&lt;=0,"",INDEX(SCAmount,$L28))),IF($M28&lt;&gt;"",IF(INDEX(LdgWitB,$M28)=0,"",INDEX(LdgWitB,$M28)),""))</f>
        <v/>
      </c>
      <c r="H28" s="27">
        <f>IF($L28&lt;&gt;"",IF(INDEX(SCOp,$L28)="مرجوعی فروش",IF(INDEX(SCAmount,$L28)=0,"",-INDEX(SCAmount,$L28)),""),IF($M28&lt;&gt;"",IF(INDEX(LdgDepB,$M28)=0,"",INDEX(LdgDepB,$M28)),""))</f>
        <v/>
      </c>
      <c r="I28" s="28">
        <f>IF($B28="","",IF($I27="",$C$10,$I27)+IF($G28="",0,$G28)-IF($H28="",0,$H28))</f>
        <v/>
      </c>
      <c r="L28">
        <f>IFERROR(MATCH($C$5&amp;"|"&amp;RIGHT("000000"&amp;12,6),LdgRankKeyA,0),"")</f>
        <v/>
      </c>
      <c r="M28">
        <f>IFERROR(MATCH($C$5&amp;"|"&amp;RIGHT("000000"&amp;12,6),LdgRankKeyB,0),"")</f>
        <v/>
      </c>
    </row>
    <row r="29">
      <c r="A29" s="17" t="n">
        <v>13</v>
      </c>
      <c r="B29" s="18">
        <f>IF(AND($L29="",$M29=""),"",IF($L29&lt;&gt;"",INDEX(SCNormDate,$L29),INDEX(LdgDateB,$M29)))</f>
        <v/>
      </c>
      <c r="C29" s="18">
        <f>IF($L29&lt;&gt;"",INDEX(SCOp,$L29),IF($M29&lt;&gt;"","پرداخت بانکی",""))</f>
        <v/>
      </c>
      <c r="D29" s="18">
        <f>IF($L29&lt;&gt;"",IF(INDEX(SCDoc,$L29)="","—",INDEX(SCDoc,$L29)),IF($M29&lt;&gt;"",INDEX(LdgBankB,$M29),""))</f>
        <v/>
      </c>
      <c r="E29" s="19">
        <f>IF($L29&lt;&gt;"",IF(INDEX(SCCitrus,$L29)&amp;INDEX(SCNotes,$L29)="","",IF(INDEX(SCCitrus,$L29)="","",INDEX(SCCitrus,$L29))&amp;IF(INDEX(SCNotes,$L29)="",""," — "&amp;INDEX(SCNotes,$L29))),IF($M29&lt;&gt;"",IF(INDEX(LdgNoteB,$M29)="","—",INDEX(LdgNoteB,$M29)),""))</f>
        <v/>
      </c>
      <c r="F29" s="20">
        <f>IF($L29&lt;&gt;"",IF(INDEX(SCNet,$L29)=0,"",INDEX(SCNet,$L29)),"")</f>
        <v/>
      </c>
      <c r="G29" s="21">
        <f>IF($L29&lt;&gt;"",IF(INDEX(SCOp,$L29)="مرجوعی فروش","",IF(INDEX(SCAmount,$L29)&lt;=0,"",INDEX(SCAmount,$L29))),IF($M29&lt;&gt;"",IF(INDEX(LdgWitB,$M29)=0,"",INDEX(LdgWitB,$M29)),""))</f>
        <v/>
      </c>
      <c r="H29" s="21">
        <f>IF($L29&lt;&gt;"",IF(INDEX(SCOp,$L29)="مرجوعی فروش",IF(INDEX(SCAmount,$L29)=0,"",-INDEX(SCAmount,$L29)),""),IF($M29&lt;&gt;"",IF(INDEX(LdgDepB,$M29)=0,"",INDEX(LdgDepB,$M29)),""))</f>
        <v/>
      </c>
      <c r="I29" s="22">
        <f>IF($B29="","",IF($I28="",$C$10,$I28)+IF($G29="",0,$G29)-IF($H29="",0,$H29))</f>
        <v/>
      </c>
      <c r="L29">
        <f>IFERROR(MATCH($C$5&amp;"|"&amp;RIGHT("000000"&amp;13,6),LdgRankKeyA,0),"")</f>
        <v/>
      </c>
      <c r="M29">
        <f>IFERROR(MATCH($C$5&amp;"|"&amp;RIGHT("000000"&amp;13,6),LdgRankKeyB,0),"")</f>
        <v/>
      </c>
    </row>
    <row r="30">
      <c r="A30" s="23" t="n">
        <v>14</v>
      </c>
      <c r="B30" s="24">
        <f>IF(AND($L30="",$M30=""),"",IF($L30&lt;&gt;"",INDEX(SCNormDate,$L30),INDEX(LdgDateB,$M30)))</f>
        <v/>
      </c>
      <c r="C30" s="24">
        <f>IF($L30&lt;&gt;"",INDEX(SCOp,$L30),IF($M30&lt;&gt;"","پرداخت بانکی",""))</f>
        <v/>
      </c>
      <c r="D30" s="24">
        <f>IF($L30&lt;&gt;"",IF(INDEX(SCDoc,$L30)="","—",INDEX(SCDoc,$L30)),IF($M30&lt;&gt;"",INDEX(LdgBankB,$M30),""))</f>
        <v/>
      </c>
      <c r="E30" s="25">
        <f>IF($L30&lt;&gt;"",IF(INDEX(SCCitrus,$L30)&amp;INDEX(SCNotes,$L30)="","",IF(INDEX(SCCitrus,$L30)="","",INDEX(SCCitrus,$L30))&amp;IF(INDEX(SCNotes,$L30)="",""," — "&amp;INDEX(SCNotes,$L30))),IF($M30&lt;&gt;"",IF(INDEX(LdgNoteB,$M30)="","—",INDEX(LdgNoteB,$M30)),""))</f>
        <v/>
      </c>
      <c r="F30" s="26">
        <f>IF($L30&lt;&gt;"",IF(INDEX(SCNet,$L30)=0,"",INDEX(SCNet,$L30)),"")</f>
        <v/>
      </c>
      <c r="G30" s="27">
        <f>IF($L30&lt;&gt;"",IF(INDEX(SCOp,$L30)="مرجوعی فروش","",IF(INDEX(SCAmount,$L30)&lt;=0,"",INDEX(SCAmount,$L30))),IF($M30&lt;&gt;"",IF(INDEX(LdgWitB,$M30)=0,"",INDEX(LdgWitB,$M30)),""))</f>
        <v/>
      </c>
      <c r="H30" s="27">
        <f>IF($L30&lt;&gt;"",IF(INDEX(SCOp,$L30)="مرجوعی فروش",IF(INDEX(SCAmount,$L30)=0,"",-INDEX(SCAmount,$L30)),""),IF($M30&lt;&gt;"",IF(INDEX(LdgDepB,$M30)=0,"",INDEX(LdgDepB,$M30)),""))</f>
        <v/>
      </c>
      <c r="I30" s="28">
        <f>IF($B30="","",IF($I29="",$C$10,$I29)+IF($G30="",0,$G30)-IF($H30="",0,$H30))</f>
        <v/>
      </c>
      <c r="L30">
        <f>IFERROR(MATCH($C$5&amp;"|"&amp;RIGHT("000000"&amp;14,6),LdgRankKeyA,0),"")</f>
        <v/>
      </c>
      <c r="M30">
        <f>IFERROR(MATCH($C$5&amp;"|"&amp;RIGHT("000000"&amp;14,6),LdgRankKeyB,0),"")</f>
        <v/>
      </c>
    </row>
    <row r="31">
      <c r="A31" s="17" t="n">
        <v>15</v>
      </c>
      <c r="B31" s="18">
        <f>IF(AND($L31="",$M31=""),"",IF($L31&lt;&gt;"",INDEX(SCNormDate,$L31),INDEX(LdgDateB,$M31)))</f>
        <v/>
      </c>
      <c r="C31" s="18">
        <f>IF($L31&lt;&gt;"",INDEX(SCOp,$L31),IF($M31&lt;&gt;"","پرداخت بانکی",""))</f>
        <v/>
      </c>
      <c r="D31" s="18">
        <f>IF($L31&lt;&gt;"",IF(INDEX(SCDoc,$L31)="","—",INDEX(SCDoc,$L31)),IF($M31&lt;&gt;"",INDEX(LdgBankB,$M31),""))</f>
        <v/>
      </c>
      <c r="E31" s="19">
        <f>IF($L31&lt;&gt;"",IF(INDEX(SCCitrus,$L31)&amp;INDEX(SCNotes,$L31)="","",IF(INDEX(SCCitrus,$L31)="","",INDEX(SCCitrus,$L31))&amp;IF(INDEX(SCNotes,$L31)="",""," — "&amp;INDEX(SCNotes,$L31))),IF($M31&lt;&gt;"",IF(INDEX(LdgNoteB,$M31)="","—",INDEX(LdgNoteB,$M31)),""))</f>
        <v/>
      </c>
      <c r="F31" s="20">
        <f>IF($L31&lt;&gt;"",IF(INDEX(SCNet,$L31)=0,"",INDEX(SCNet,$L31)),"")</f>
        <v/>
      </c>
      <c r="G31" s="21">
        <f>IF($L31&lt;&gt;"",IF(INDEX(SCOp,$L31)="مرجوعی فروش","",IF(INDEX(SCAmount,$L31)&lt;=0,"",INDEX(SCAmount,$L31))),IF($M31&lt;&gt;"",IF(INDEX(LdgWitB,$M31)=0,"",INDEX(LdgWitB,$M31)),""))</f>
        <v/>
      </c>
      <c r="H31" s="21">
        <f>IF($L31&lt;&gt;"",IF(INDEX(SCOp,$L31)="مرجوعی فروش",IF(INDEX(SCAmount,$L31)=0,"",-INDEX(SCAmount,$L31)),""),IF($M31&lt;&gt;"",IF(INDEX(LdgDepB,$M31)=0,"",INDEX(LdgDepB,$M31)),""))</f>
        <v/>
      </c>
      <c r="I31" s="22">
        <f>IF($B31="","",IF($I30="",$C$10,$I30)+IF($G31="",0,$G31)-IF($H31="",0,$H31))</f>
        <v/>
      </c>
      <c r="L31">
        <f>IFERROR(MATCH($C$5&amp;"|"&amp;RIGHT("000000"&amp;15,6),LdgRankKeyA,0),"")</f>
        <v/>
      </c>
      <c r="M31">
        <f>IFERROR(MATCH($C$5&amp;"|"&amp;RIGHT("000000"&amp;15,6),LdgRankKeyB,0),"")</f>
        <v/>
      </c>
    </row>
    <row r="32">
      <c r="A32" s="23" t="n">
        <v>16</v>
      </c>
      <c r="B32" s="24">
        <f>IF(AND($L32="",$M32=""),"",IF($L32&lt;&gt;"",INDEX(SCNormDate,$L32),INDEX(LdgDateB,$M32)))</f>
        <v/>
      </c>
      <c r="C32" s="24">
        <f>IF($L32&lt;&gt;"",INDEX(SCOp,$L32),IF($M32&lt;&gt;"","پرداخت بانکی",""))</f>
        <v/>
      </c>
      <c r="D32" s="24">
        <f>IF($L32&lt;&gt;"",IF(INDEX(SCDoc,$L32)="","—",INDEX(SCDoc,$L32)),IF($M32&lt;&gt;"",INDEX(LdgBankB,$M32),""))</f>
        <v/>
      </c>
      <c r="E32" s="25">
        <f>IF($L32&lt;&gt;"",IF(INDEX(SCCitrus,$L32)&amp;INDEX(SCNotes,$L32)="","",IF(INDEX(SCCitrus,$L32)="","",INDEX(SCCitrus,$L32))&amp;IF(INDEX(SCNotes,$L32)="",""," — "&amp;INDEX(SCNotes,$L32))),IF($M32&lt;&gt;"",IF(INDEX(LdgNoteB,$M32)="","—",INDEX(LdgNoteB,$M32)),""))</f>
        <v/>
      </c>
      <c r="F32" s="26">
        <f>IF($L32&lt;&gt;"",IF(INDEX(SCNet,$L32)=0,"",INDEX(SCNet,$L32)),"")</f>
        <v/>
      </c>
      <c r="G32" s="27">
        <f>IF($L32&lt;&gt;"",IF(INDEX(SCOp,$L32)="مرجوعی فروش","",IF(INDEX(SCAmount,$L32)&lt;=0,"",INDEX(SCAmount,$L32))),IF($M32&lt;&gt;"",IF(INDEX(LdgWitB,$M32)=0,"",INDEX(LdgWitB,$M32)),""))</f>
        <v/>
      </c>
      <c r="H32" s="27">
        <f>IF($L32&lt;&gt;"",IF(INDEX(SCOp,$L32)="مرجوعی فروش",IF(INDEX(SCAmount,$L32)=0,"",-INDEX(SCAmount,$L32)),""),IF($M32&lt;&gt;"",IF(INDEX(LdgDepB,$M32)=0,"",INDEX(LdgDepB,$M32)),""))</f>
        <v/>
      </c>
      <c r="I32" s="28">
        <f>IF($B32="","",IF($I31="",$C$10,$I31)+IF($G32="",0,$G32)-IF($H32="",0,$H32))</f>
        <v/>
      </c>
      <c r="L32">
        <f>IFERROR(MATCH($C$5&amp;"|"&amp;RIGHT("000000"&amp;16,6),LdgRankKeyA,0),"")</f>
        <v/>
      </c>
      <c r="M32">
        <f>IFERROR(MATCH($C$5&amp;"|"&amp;RIGHT("000000"&amp;16,6),LdgRankKeyB,0),"")</f>
        <v/>
      </c>
    </row>
    <row r="33">
      <c r="A33" s="17" t="n">
        <v>17</v>
      </c>
      <c r="B33" s="18">
        <f>IF(AND($L33="",$M33=""),"",IF($L33&lt;&gt;"",INDEX(SCNormDate,$L33),INDEX(LdgDateB,$M33)))</f>
        <v/>
      </c>
      <c r="C33" s="18">
        <f>IF($L33&lt;&gt;"",INDEX(SCOp,$L33),IF($M33&lt;&gt;"","پرداخت بانکی",""))</f>
        <v/>
      </c>
      <c r="D33" s="18">
        <f>IF($L33&lt;&gt;"",IF(INDEX(SCDoc,$L33)="","—",INDEX(SCDoc,$L33)),IF($M33&lt;&gt;"",INDEX(LdgBankB,$M33),""))</f>
        <v/>
      </c>
      <c r="E33" s="19">
        <f>IF($L33&lt;&gt;"",IF(INDEX(SCCitrus,$L33)&amp;INDEX(SCNotes,$L33)="","",IF(INDEX(SCCitrus,$L33)="","",INDEX(SCCitrus,$L33))&amp;IF(INDEX(SCNotes,$L33)="",""," — "&amp;INDEX(SCNotes,$L33))),IF($M33&lt;&gt;"",IF(INDEX(LdgNoteB,$M33)="","—",INDEX(LdgNoteB,$M33)),""))</f>
        <v/>
      </c>
      <c r="F33" s="20">
        <f>IF($L33&lt;&gt;"",IF(INDEX(SCNet,$L33)=0,"",INDEX(SCNet,$L33)),"")</f>
        <v/>
      </c>
      <c r="G33" s="21">
        <f>IF($L33&lt;&gt;"",IF(INDEX(SCOp,$L33)="مرجوعی فروش","",IF(INDEX(SCAmount,$L33)&lt;=0,"",INDEX(SCAmount,$L33))),IF($M33&lt;&gt;"",IF(INDEX(LdgWitB,$M33)=0,"",INDEX(LdgWitB,$M33)),""))</f>
        <v/>
      </c>
      <c r="H33" s="21">
        <f>IF($L33&lt;&gt;"",IF(INDEX(SCOp,$L33)="مرجوعی فروش",IF(INDEX(SCAmount,$L33)=0,"",-INDEX(SCAmount,$L33)),""),IF($M33&lt;&gt;"",IF(INDEX(LdgDepB,$M33)=0,"",INDEX(LdgDepB,$M33)),""))</f>
        <v/>
      </c>
      <c r="I33" s="22">
        <f>IF($B33="","",IF($I32="",$C$10,$I32)+IF($G33="",0,$G33)-IF($H33="",0,$H33))</f>
        <v/>
      </c>
      <c r="L33">
        <f>IFERROR(MATCH($C$5&amp;"|"&amp;RIGHT("000000"&amp;17,6),LdgRankKeyA,0),"")</f>
        <v/>
      </c>
      <c r="M33">
        <f>IFERROR(MATCH($C$5&amp;"|"&amp;RIGHT("000000"&amp;17,6),LdgRankKeyB,0),"")</f>
        <v/>
      </c>
    </row>
    <row r="34">
      <c r="A34" s="23" t="n">
        <v>18</v>
      </c>
      <c r="B34" s="24">
        <f>IF(AND($L34="",$M34=""),"",IF($L34&lt;&gt;"",INDEX(SCNormDate,$L34),INDEX(LdgDateB,$M34)))</f>
        <v/>
      </c>
      <c r="C34" s="24">
        <f>IF($L34&lt;&gt;"",INDEX(SCOp,$L34),IF($M34&lt;&gt;"","پرداخت بانکی",""))</f>
        <v/>
      </c>
      <c r="D34" s="24">
        <f>IF($L34&lt;&gt;"",IF(INDEX(SCDoc,$L34)="","—",INDEX(SCDoc,$L34)),IF($M34&lt;&gt;"",INDEX(LdgBankB,$M34),""))</f>
        <v/>
      </c>
      <c r="E34" s="25">
        <f>IF($L34&lt;&gt;"",IF(INDEX(SCCitrus,$L34)&amp;INDEX(SCNotes,$L34)="","",IF(INDEX(SCCitrus,$L34)="","",INDEX(SCCitrus,$L34))&amp;IF(INDEX(SCNotes,$L34)="",""," — "&amp;INDEX(SCNotes,$L34))),IF($M34&lt;&gt;"",IF(INDEX(LdgNoteB,$M34)="","—",INDEX(LdgNoteB,$M34)),""))</f>
        <v/>
      </c>
      <c r="F34" s="26">
        <f>IF($L34&lt;&gt;"",IF(INDEX(SCNet,$L34)=0,"",INDEX(SCNet,$L34)),"")</f>
        <v/>
      </c>
      <c r="G34" s="27">
        <f>IF($L34&lt;&gt;"",IF(INDEX(SCOp,$L34)="مرجوعی فروش","",IF(INDEX(SCAmount,$L34)&lt;=0,"",INDEX(SCAmount,$L34))),IF($M34&lt;&gt;"",IF(INDEX(LdgWitB,$M34)=0,"",INDEX(LdgWitB,$M34)),""))</f>
        <v/>
      </c>
      <c r="H34" s="27">
        <f>IF($L34&lt;&gt;"",IF(INDEX(SCOp,$L34)="مرجوعی فروش",IF(INDEX(SCAmount,$L34)=0,"",-INDEX(SCAmount,$L34)),""),IF($M34&lt;&gt;"",IF(INDEX(LdgDepB,$M34)=0,"",INDEX(LdgDepB,$M34)),""))</f>
        <v/>
      </c>
      <c r="I34" s="28">
        <f>IF($B34="","",IF($I33="",$C$10,$I33)+IF($G34="",0,$G34)-IF($H34="",0,$H34))</f>
        <v/>
      </c>
      <c r="L34">
        <f>IFERROR(MATCH($C$5&amp;"|"&amp;RIGHT("000000"&amp;18,6),LdgRankKeyA,0),"")</f>
        <v/>
      </c>
      <c r="M34">
        <f>IFERROR(MATCH($C$5&amp;"|"&amp;RIGHT("000000"&amp;18,6),LdgRankKeyB,0),"")</f>
        <v/>
      </c>
    </row>
    <row r="35">
      <c r="A35" s="17" t="n">
        <v>19</v>
      </c>
      <c r="B35" s="18">
        <f>IF(AND($L35="",$M35=""),"",IF($L35&lt;&gt;"",INDEX(SCNormDate,$L35),INDEX(LdgDateB,$M35)))</f>
        <v/>
      </c>
      <c r="C35" s="18">
        <f>IF($L35&lt;&gt;"",INDEX(SCOp,$L35),IF($M35&lt;&gt;"","پرداخت بانکی",""))</f>
        <v/>
      </c>
      <c r="D35" s="18">
        <f>IF($L35&lt;&gt;"",IF(INDEX(SCDoc,$L35)="","—",INDEX(SCDoc,$L35)),IF($M35&lt;&gt;"",INDEX(LdgBankB,$M35),""))</f>
        <v/>
      </c>
      <c r="E35" s="19">
        <f>IF($L35&lt;&gt;"",IF(INDEX(SCCitrus,$L35)&amp;INDEX(SCNotes,$L35)="","",IF(INDEX(SCCitrus,$L35)="","",INDEX(SCCitrus,$L35))&amp;IF(INDEX(SCNotes,$L35)="",""," — "&amp;INDEX(SCNotes,$L35))),IF($M35&lt;&gt;"",IF(INDEX(LdgNoteB,$M35)="","—",INDEX(LdgNoteB,$M35)),""))</f>
        <v/>
      </c>
      <c r="F35" s="20">
        <f>IF($L35&lt;&gt;"",IF(INDEX(SCNet,$L35)=0,"",INDEX(SCNet,$L35)),"")</f>
        <v/>
      </c>
      <c r="G35" s="21">
        <f>IF($L35&lt;&gt;"",IF(INDEX(SCOp,$L35)="مرجوعی فروش","",IF(INDEX(SCAmount,$L35)&lt;=0,"",INDEX(SCAmount,$L35))),IF($M35&lt;&gt;"",IF(INDEX(LdgWitB,$M35)=0,"",INDEX(LdgWitB,$M35)),""))</f>
        <v/>
      </c>
      <c r="H35" s="21">
        <f>IF($L35&lt;&gt;"",IF(INDEX(SCOp,$L35)="مرجوعی فروش",IF(INDEX(SCAmount,$L35)=0,"",-INDEX(SCAmount,$L35)),""),IF($M35&lt;&gt;"",IF(INDEX(LdgDepB,$M35)=0,"",INDEX(LdgDepB,$M35)),""))</f>
        <v/>
      </c>
      <c r="I35" s="22">
        <f>IF($B35="","",IF($I34="",$C$10,$I34)+IF($G35="",0,$G35)-IF($H35="",0,$H35))</f>
        <v/>
      </c>
      <c r="L35">
        <f>IFERROR(MATCH($C$5&amp;"|"&amp;RIGHT("000000"&amp;19,6),LdgRankKeyA,0),"")</f>
        <v/>
      </c>
      <c r="M35">
        <f>IFERROR(MATCH($C$5&amp;"|"&amp;RIGHT("000000"&amp;19,6),LdgRankKeyB,0),"")</f>
        <v/>
      </c>
    </row>
    <row r="36">
      <c r="A36" s="23" t="n">
        <v>20</v>
      </c>
      <c r="B36" s="24">
        <f>IF(AND($L36="",$M36=""),"",IF($L36&lt;&gt;"",INDEX(SCNormDate,$L36),INDEX(LdgDateB,$M36)))</f>
        <v/>
      </c>
      <c r="C36" s="24">
        <f>IF($L36&lt;&gt;"",INDEX(SCOp,$L36),IF($M36&lt;&gt;"","پرداخت بانکی",""))</f>
        <v/>
      </c>
      <c r="D36" s="24">
        <f>IF($L36&lt;&gt;"",IF(INDEX(SCDoc,$L36)="","—",INDEX(SCDoc,$L36)),IF($M36&lt;&gt;"",INDEX(LdgBankB,$M36),""))</f>
        <v/>
      </c>
      <c r="E36" s="25">
        <f>IF($L36&lt;&gt;"",IF(INDEX(SCCitrus,$L36)&amp;INDEX(SCNotes,$L36)="","",IF(INDEX(SCCitrus,$L36)="","",INDEX(SCCitrus,$L36))&amp;IF(INDEX(SCNotes,$L36)="",""," — "&amp;INDEX(SCNotes,$L36))),IF($M36&lt;&gt;"",IF(INDEX(LdgNoteB,$M36)="","—",INDEX(LdgNoteB,$M36)),""))</f>
        <v/>
      </c>
      <c r="F36" s="26">
        <f>IF($L36&lt;&gt;"",IF(INDEX(SCNet,$L36)=0,"",INDEX(SCNet,$L36)),"")</f>
        <v/>
      </c>
      <c r="G36" s="27">
        <f>IF($L36&lt;&gt;"",IF(INDEX(SCOp,$L36)="مرجوعی فروش","",IF(INDEX(SCAmount,$L36)&lt;=0,"",INDEX(SCAmount,$L36))),IF($M36&lt;&gt;"",IF(INDEX(LdgWitB,$M36)=0,"",INDEX(LdgWitB,$M36)),""))</f>
        <v/>
      </c>
      <c r="H36" s="27">
        <f>IF($L36&lt;&gt;"",IF(INDEX(SCOp,$L36)="مرجوعی فروش",IF(INDEX(SCAmount,$L36)=0,"",-INDEX(SCAmount,$L36)),""),IF($M36&lt;&gt;"",IF(INDEX(LdgDepB,$M36)=0,"",INDEX(LdgDepB,$M36)),""))</f>
        <v/>
      </c>
      <c r="I36" s="28">
        <f>IF($B36="","",IF($I35="",$C$10,$I35)+IF($G36="",0,$G36)-IF($H36="",0,$H36))</f>
        <v/>
      </c>
      <c r="L36">
        <f>IFERROR(MATCH($C$5&amp;"|"&amp;RIGHT("000000"&amp;20,6),LdgRankKeyA,0),"")</f>
        <v/>
      </c>
      <c r="M36">
        <f>IFERROR(MATCH($C$5&amp;"|"&amp;RIGHT("000000"&amp;20,6),LdgRankKeyB,0),"")</f>
        <v/>
      </c>
    </row>
    <row r="37">
      <c r="A37" s="17" t="n">
        <v>21</v>
      </c>
      <c r="B37" s="18">
        <f>IF(AND($L37="",$M37=""),"",IF($L37&lt;&gt;"",INDEX(SCNormDate,$L37),INDEX(LdgDateB,$M37)))</f>
        <v/>
      </c>
      <c r="C37" s="18">
        <f>IF($L37&lt;&gt;"",INDEX(SCOp,$L37),IF($M37&lt;&gt;"","پرداخت بانکی",""))</f>
        <v/>
      </c>
      <c r="D37" s="18">
        <f>IF($L37&lt;&gt;"",IF(INDEX(SCDoc,$L37)="","—",INDEX(SCDoc,$L37)),IF($M37&lt;&gt;"",INDEX(LdgBankB,$M37),""))</f>
        <v/>
      </c>
      <c r="E37" s="19">
        <f>IF($L37&lt;&gt;"",IF(INDEX(SCCitrus,$L37)&amp;INDEX(SCNotes,$L37)="","",IF(INDEX(SCCitrus,$L37)="","",INDEX(SCCitrus,$L37))&amp;IF(INDEX(SCNotes,$L37)="",""," — "&amp;INDEX(SCNotes,$L37))),IF($M37&lt;&gt;"",IF(INDEX(LdgNoteB,$M37)="","—",INDEX(LdgNoteB,$M37)),""))</f>
        <v/>
      </c>
      <c r="F37" s="20">
        <f>IF($L37&lt;&gt;"",IF(INDEX(SCNet,$L37)=0,"",INDEX(SCNet,$L37)),"")</f>
        <v/>
      </c>
      <c r="G37" s="21">
        <f>IF($L37&lt;&gt;"",IF(INDEX(SCOp,$L37)="مرجوعی فروش","",IF(INDEX(SCAmount,$L37)&lt;=0,"",INDEX(SCAmount,$L37))),IF($M37&lt;&gt;"",IF(INDEX(LdgWitB,$M37)=0,"",INDEX(LdgWitB,$M37)),""))</f>
        <v/>
      </c>
      <c r="H37" s="21">
        <f>IF($L37&lt;&gt;"",IF(INDEX(SCOp,$L37)="مرجوعی فروش",IF(INDEX(SCAmount,$L37)=0,"",-INDEX(SCAmount,$L37)),""),IF($M37&lt;&gt;"",IF(INDEX(LdgDepB,$M37)=0,"",INDEX(LdgDepB,$M37)),""))</f>
        <v/>
      </c>
      <c r="I37" s="22">
        <f>IF($B37="","",IF($I36="",$C$10,$I36)+IF($G37="",0,$G37)-IF($H37="",0,$H37))</f>
        <v/>
      </c>
      <c r="L37">
        <f>IFERROR(MATCH($C$5&amp;"|"&amp;RIGHT("000000"&amp;21,6),LdgRankKeyA,0),"")</f>
        <v/>
      </c>
      <c r="M37">
        <f>IFERROR(MATCH($C$5&amp;"|"&amp;RIGHT("000000"&amp;21,6),LdgRankKeyB,0),"")</f>
        <v/>
      </c>
    </row>
    <row r="38">
      <c r="A38" s="23" t="n">
        <v>22</v>
      </c>
      <c r="B38" s="24">
        <f>IF(AND($L38="",$M38=""),"",IF($L38&lt;&gt;"",INDEX(SCNormDate,$L38),INDEX(LdgDateB,$M38)))</f>
        <v/>
      </c>
      <c r="C38" s="24">
        <f>IF($L38&lt;&gt;"",INDEX(SCOp,$L38),IF($M38&lt;&gt;"","پرداخت بانکی",""))</f>
        <v/>
      </c>
      <c r="D38" s="24">
        <f>IF($L38&lt;&gt;"",IF(INDEX(SCDoc,$L38)="","—",INDEX(SCDoc,$L38)),IF($M38&lt;&gt;"",INDEX(LdgBankB,$M38),""))</f>
        <v/>
      </c>
      <c r="E38" s="25">
        <f>IF($L38&lt;&gt;"",IF(INDEX(SCCitrus,$L38)&amp;INDEX(SCNotes,$L38)="","",IF(INDEX(SCCitrus,$L38)="","",INDEX(SCCitrus,$L38))&amp;IF(INDEX(SCNotes,$L38)="",""," — "&amp;INDEX(SCNotes,$L38))),IF($M38&lt;&gt;"",IF(INDEX(LdgNoteB,$M38)="","—",INDEX(LdgNoteB,$M38)),""))</f>
        <v/>
      </c>
      <c r="F38" s="26">
        <f>IF($L38&lt;&gt;"",IF(INDEX(SCNet,$L38)=0,"",INDEX(SCNet,$L38)),"")</f>
        <v/>
      </c>
      <c r="G38" s="27">
        <f>IF($L38&lt;&gt;"",IF(INDEX(SCOp,$L38)="مرجوعی فروش","",IF(INDEX(SCAmount,$L38)&lt;=0,"",INDEX(SCAmount,$L38))),IF($M38&lt;&gt;"",IF(INDEX(LdgWitB,$M38)=0,"",INDEX(LdgWitB,$M38)),""))</f>
        <v/>
      </c>
      <c r="H38" s="27">
        <f>IF($L38&lt;&gt;"",IF(INDEX(SCOp,$L38)="مرجوعی فروش",IF(INDEX(SCAmount,$L38)=0,"",-INDEX(SCAmount,$L38)),""),IF($M38&lt;&gt;"",IF(INDEX(LdgDepB,$M38)=0,"",INDEX(LdgDepB,$M38)),""))</f>
        <v/>
      </c>
      <c r="I38" s="28">
        <f>IF($B38="","",IF($I37="",$C$10,$I37)+IF($G38="",0,$G38)-IF($H38="",0,$H38))</f>
        <v/>
      </c>
      <c r="L38">
        <f>IFERROR(MATCH($C$5&amp;"|"&amp;RIGHT("000000"&amp;22,6),LdgRankKeyA,0),"")</f>
        <v/>
      </c>
      <c r="M38">
        <f>IFERROR(MATCH($C$5&amp;"|"&amp;RIGHT("000000"&amp;22,6),LdgRankKeyB,0),"")</f>
        <v/>
      </c>
    </row>
    <row r="39">
      <c r="A39" s="17" t="n">
        <v>23</v>
      </c>
      <c r="B39" s="18">
        <f>IF(AND($L39="",$M39=""),"",IF($L39&lt;&gt;"",INDEX(SCNormDate,$L39),INDEX(LdgDateB,$M39)))</f>
        <v/>
      </c>
      <c r="C39" s="18">
        <f>IF($L39&lt;&gt;"",INDEX(SCOp,$L39),IF($M39&lt;&gt;"","پرداخت بانکی",""))</f>
        <v/>
      </c>
      <c r="D39" s="18">
        <f>IF($L39&lt;&gt;"",IF(INDEX(SCDoc,$L39)="","—",INDEX(SCDoc,$L39)),IF($M39&lt;&gt;"",INDEX(LdgBankB,$M39),""))</f>
        <v/>
      </c>
      <c r="E39" s="19">
        <f>IF($L39&lt;&gt;"",IF(INDEX(SCCitrus,$L39)&amp;INDEX(SCNotes,$L39)="","",IF(INDEX(SCCitrus,$L39)="","",INDEX(SCCitrus,$L39))&amp;IF(INDEX(SCNotes,$L39)="",""," — "&amp;INDEX(SCNotes,$L39))),IF($M39&lt;&gt;"",IF(INDEX(LdgNoteB,$M39)="","—",INDEX(LdgNoteB,$M39)),""))</f>
        <v/>
      </c>
      <c r="F39" s="20">
        <f>IF($L39&lt;&gt;"",IF(INDEX(SCNet,$L39)=0,"",INDEX(SCNet,$L39)),"")</f>
        <v/>
      </c>
      <c r="G39" s="21">
        <f>IF($L39&lt;&gt;"",IF(INDEX(SCOp,$L39)="مرجوعی فروش","",IF(INDEX(SCAmount,$L39)&lt;=0,"",INDEX(SCAmount,$L39))),IF($M39&lt;&gt;"",IF(INDEX(LdgWitB,$M39)=0,"",INDEX(LdgWitB,$M39)),""))</f>
        <v/>
      </c>
      <c r="H39" s="21">
        <f>IF($L39&lt;&gt;"",IF(INDEX(SCOp,$L39)="مرجوعی فروش",IF(INDEX(SCAmount,$L39)=0,"",-INDEX(SCAmount,$L39)),""),IF($M39&lt;&gt;"",IF(INDEX(LdgDepB,$M39)=0,"",INDEX(LdgDepB,$M39)),""))</f>
        <v/>
      </c>
      <c r="I39" s="22">
        <f>IF($B39="","",IF($I38="",$C$10,$I38)+IF($G39="",0,$G39)-IF($H39="",0,$H39))</f>
        <v/>
      </c>
      <c r="L39">
        <f>IFERROR(MATCH($C$5&amp;"|"&amp;RIGHT("000000"&amp;23,6),LdgRankKeyA,0),"")</f>
        <v/>
      </c>
      <c r="M39">
        <f>IFERROR(MATCH($C$5&amp;"|"&amp;RIGHT("000000"&amp;23,6),LdgRankKeyB,0),"")</f>
        <v/>
      </c>
    </row>
    <row r="40">
      <c r="A40" s="23" t="n">
        <v>24</v>
      </c>
      <c r="B40" s="24">
        <f>IF(AND($L40="",$M40=""),"",IF($L40&lt;&gt;"",INDEX(SCNormDate,$L40),INDEX(LdgDateB,$M40)))</f>
        <v/>
      </c>
      <c r="C40" s="24">
        <f>IF($L40&lt;&gt;"",INDEX(SCOp,$L40),IF($M40&lt;&gt;"","پرداخت بانکی",""))</f>
        <v/>
      </c>
      <c r="D40" s="24">
        <f>IF($L40&lt;&gt;"",IF(INDEX(SCDoc,$L40)="","—",INDEX(SCDoc,$L40)),IF($M40&lt;&gt;"",INDEX(LdgBankB,$M40),""))</f>
        <v/>
      </c>
      <c r="E40" s="25">
        <f>IF($L40&lt;&gt;"",IF(INDEX(SCCitrus,$L40)&amp;INDEX(SCNotes,$L40)="","",IF(INDEX(SCCitrus,$L40)="","",INDEX(SCCitrus,$L40))&amp;IF(INDEX(SCNotes,$L40)="",""," — "&amp;INDEX(SCNotes,$L40))),IF($M40&lt;&gt;"",IF(INDEX(LdgNoteB,$M40)="","—",INDEX(LdgNoteB,$M40)),""))</f>
        <v/>
      </c>
      <c r="F40" s="26">
        <f>IF($L40&lt;&gt;"",IF(INDEX(SCNet,$L40)=0,"",INDEX(SCNet,$L40)),"")</f>
        <v/>
      </c>
      <c r="G40" s="27">
        <f>IF($L40&lt;&gt;"",IF(INDEX(SCOp,$L40)="مرجوعی فروش","",IF(INDEX(SCAmount,$L40)&lt;=0,"",INDEX(SCAmount,$L40))),IF($M40&lt;&gt;"",IF(INDEX(LdgWitB,$M40)=0,"",INDEX(LdgWitB,$M40)),""))</f>
        <v/>
      </c>
      <c r="H40" s="27">
        <f>IF($L40&lt;&gt;"",IF(INDEX(SCOp,$L40)="مرجوعی فروش",IF(INDEX(SCAmount,$L40)=0,"",-INDEX(SCAmount,$L40)),""),IF($M40&lt;&gt;"",IF(INDEX(LdgDepB,$M40)=0,"",INDEX(LdgDepB,$M40)),""))</f>
        <v/>
      </c>
      <c r="I40" s="28">
        <f>IF($B40="","",IF($I39="",$C$10,$I39)+IF($G40="",0,$G40)-IF($H40="",0,$H40))</f>
        <v/>
      </c>
      <c r="L40">
        <f>IFERROR(MATCH($C$5&amp;"|"&amp;RIGHT("000000"&amp;24,6),LdgRankKeyA,0),"")</f>
        <v/>
      </c>
      <c r="M40">
        <f>IFERROR(MATCH($C$5&amp;"|"&amp;RIGHT("000000"&amp;24,6),LdgRankKeyB,0),"")</f>
        <v/>
      </c>
    </row>
    <row r="41">
      <c r="A41" s="17" t="n">
        <v>25</v>
      </c>
      <c r="B41" s="18">
        <f>IF(AND($L41="",$M41=""),"",IF($L41&lt;&gt;"",INDEX(SCNormDate,$L41),INDEX(LdgDateB,$M41)))</f>
        <v/>
      </c>
      <c r="C41" s="18">
        <f>IF($L41&lt;&gt;"",INDEX(SCOp,$L41),IF($M41&lt;&gt;"","پرداخت بانکی",""))</f>
        <v/>
      </c>
      <c r="D41" s="18">
        <f>IF($L41&lt;&gt;"",IF(INDEX(SCDoc,$L41)="","—",INDEX(SCDoc,$L41)),IF($M41&lt;&gt;"",INDEX(LdgBankB,$M41),""))</f>
        <v/>
      </c>
      <c r="E41" s="19">
        <f>IF($L41&lt;&gt;"",IF(INDEX(SCCitrus,$L41)&amp;INDEX(SCNotes,$L41)="","",IF(INDEX(SCCitrus,$L41)="","",INDEX(SCCitrus,$L41))&amp;IF(INDEX(SCNotes,$L41)="",""," — "&amp;INDEX(SCNotes,$L41))),IF($M41&lt;&gt;"",IF(INDEX(LdgNoteB,$M41)="","—",INDEX(LdgNoteB,$M41)),""))</f>
        <v/>
      </c>
      <c r="F41" s="20">
        <f>IF($L41&lt;&gt;"",IF(INDEX(SCNet,$L41)=0,"",INDEX(SCNet,$L41)),"")</f>
        <v/>
      </c>
      <c r="G41" s="21">
        <f>IF($L41&lt;&gt;"",IF(INDEX(SCOp,$L41)="مرجوعی فروش","",IF(INDEX(SCAmount,$L41)&lt;=0,"",INDEX(SCAmount,$L41))),IF($M41&lt;&gt;"",IF(INDEX(LdgWitB,$M41)=0,"",INDEX(LdgWitB,$M41)),""))</f>
        <v/>
      </c>
      <c r="H41" s="21">
        <f>IF($L41&lt;&gt;"",IF(INDEX(SCOp,$L41)="مرجوعی فروش",IF(INDEX(SCAmount,$L41)=0,"",-INDEX(SCAmount,$L41)),""),IF($M41&lt;&gt;"",IF(INDEX(LdgDepB,$M41)=0,"",INDEX(LdgDepB,$M41)),""))</f>
        <v/>
      </c>
      <c r="I41" s="22">
        <f>IF($B41="","",IF($I40="",$C$10,$I40)+IF($G41="",0,$G41)-IF($H41="",0,$H41))</f>
        <v/>
      </c>
      <c r="L41">
        <f>IFERROR(MATCH($C$5&amp;"|"&amp;RIGHT("000000"&amp;25,6),LdgRankKeyA,0),"")</f>
        <v/>
      </c>
      <c r="M41">
        <f>IFERROR(MATCH($C$5&amp;"|"&amp;RIGHT("000000"&amp;25,6),LdgRankKeyB,0),"")</f>
        <v/>
      </c>
    </row>
    <row r="42">
      <c r="A42" s="23" t="n">
        <v>26</v>
      </c>
      <c r="B42" s="24">
        <f>IF(AND($L42="",$M42=""),"",IF($L42&lt;&gt;"",INDEX(SCNormDate,$L42),INDEX(LdgDateB,$M42)))</f>
        <v/>
      </c>
      <c r="C42" s="24">
        <f>IF($L42&lt;&gt;"",INDEX(SCOp,$L42),IF($M42&lt;&gt;"","پرداخت بانکی",""))</f>
        <v/>
      </c>
      <c r="D42" s="24">
        <f>IF($L42&lt;&gt;"",IF(INDEX(SCDoc,$L42)="","—",INDEX(SCDoc,$L42)),IF($M42&lt;&gt;"",INDEX(LdgBankB,$M42),""))</f>
        <v/>
      </c>
      <c r="E42" s="25">
        <f>IF($L42&lt;&gt;"",IF(INDEX(SCCitrus,$L42)&amp;INDEX(SCNotes,$L42)="","",IF(INDEX(SCCitrus,$L42)="","",INDEX(SCCitrus,$L42))&amp;IF(INDEX(SCNotes,$L42)="",""," — "&amp;INDEX(SCNotes,$L42))),IF($M42&lt;&gt;"",IF(INDEX(LdgNoteB,$M42)="","—",INDEX(LdgNoteB,$M42)),""))</f>
        <v/>
      </c>
      <c r="F42" s="26">
        <f>IF($L42&lt;&gt;"",IF(INDEX(SCNet,$L42)=0,"",INDEX(SCNet,$L42)),"")</f>
        <v/>
      </c>
      <c r="G42" s="27">
        <f>IF($L42&lt;&gt;"",IF(INDEX(SCOp,$L42)="مرجوعی فروش","",IF(INDEX(SCAmount,$L42)&lt;=0,"",INDEX(SCAmount,$L42))),IF($M42&lt;&gt;"",IF(INDEX(LdgWitB,$M42)=0,"",INDEX(LdgWitB,$M42)),""))</f>
        <v/>
      </c>
      <c r="H42" s="27">
        <f>IF($L42&lt;&gt;"",IF(INDEX(SCOp,$L42)="مرجوعی فروش",IF(INDEX(SCAmount,$L42)=0,"",-INDEX(SCAmount,$L42)),""),IF($M42&lt;&gt;"",IF(INDEX(LdgDepB,$M42)=0,"",INDEX(LdgDepB,$M42)),""))</f>
        <v/>
      </c>
      <c r="I42" s="28">
        <f>IF($B42="","",IF($I41="",$C$10,$I41)+IF($G42="",0,$G42)-IF($H42="",0,$H42))</f>
        <v/>
      </c>
      <c r="L42">
        <f>IFERROR(MATCH($C$5&amp;"|"&amp;RIGHT("000000"&amp;26,6),LdgRankKeyA,0),"")</f>
        <v/>
      </c>
      <c r="M42">
        <f>IFERROR(MATCH($C$5&amp;"|"&amp;RIGHT("000000"&amp;26,6),LdgRankKeyB,0),"")</f>
        <v/>
      </c>
    </row>
    <row r="43">
      <c r="A43" s="17" t="n">
        <v>27</v>
      </c>
      <c r="B43" s="18">
        <f>IF(AND($L43="",$M43=""),"",IF($L43&lt;&gt;"",INDEX(SCNormDate,$L43),INDEX(LdgDateB,$M43)))</f>
        <v/>
      </c>
      <c r="C43" s="18">
        <f>IF($L43&lt;&gt;"",INDEX(SCOp,$L43),IF($M43&lt;&gt;"","پرداخت بانکی",""))</f>
        <v/>
      </c>
      <c r="D43" s="18">
        <f>IF($L43&lt;&gt;"",IF(INDEX(SCDoc,$L43)="","—",INDEX(SCDoc,$L43)),IF($M43&lt;&gt;"",INDEX(LdgBankB,$M43),""))</f>
        <v/>
      </c>
      <c r="E43" s="19">
        <f>IF($L43&lt;&gt;"",IF(INDEX(SCCitrus,$L43)&amp;INDEX(SCNotes,$L43)="","",IF(INDEX(SCCitrus,$L43)="","",INDEX(SCCitrus,$L43))&amp;IF(INDEX(SCNotes,$L43)="",""," — "&amp;INDEX(SCNotes,$L43))),IF($M43&lt;&gt;"",IF(INDEX(LdgNoteB,$M43)="","—",INDEX(LdgNoteB,$M43)),""))</f>
        <v/>
      </c>
      <c r="F43" s="20">
        <f>IF($L43&lt;&gt;"",IF(INDEX(SCNet,$L43)=0,"",INDEX(SCNet,$L43)),"")</f>
        <v/>
      </c>
      <c r="G43" s="21">
        <f>IF($L43&lt;&gt;"",IF(INDEX(SCOp,$L43)="مرجوعی فروش","",IF(INDEX(SCAmount,$L43)&lt;=0,"",INDEX(SCAmount,$L43))),IF($M43&lt;&gt;"",IF(INDEX(LdgWitB,$M43)=0,"",INDEX(LdgWitB,$M43)),""))</f>
        <v/>
      </c>
      <c r="H43" s="21">
        <f>IF($L43&lt;&gt;"",IF(INDEX(SCOp,$L43)="مرجوعی فروش",IF(INDEX(SCAmount,$L43)=0,"",-INDEX(SCAmount,$L43)),""),IF($M43&lt;&gt;"",IF(INDEX(LdgDepB,$M43)=0,"",INDEX(LdgDepB,$M43)),""))</f>
        <v/>
      </c>
      <c r="I43" s="22">
        <f>IF($B43="","",IF($I42="",$C$10,$I42)+IF($G43="",0,$G43)-IF($H43="",0,$H43))</f>
        <v/>
      </c>
      <c r="L43">
        <f>IFERROR(MATCH($C$5&amp;"|"&amp;RIGHT("000000"&amp;27,6),LdgRankKeyA,0),"")</f>
        <v/>
      </c>
      <c r="M43">
        <f>IFERROR(MATCH($C$5&amp;"|"&amp;RIGHT("000000"&amp;27,6),LdgRankKeyB,0),"")</f>
        <v/>
      </c>
    </row>
    <row r="44">
      <c r="A44" s="23" t="n">
        <v>28</v>
      </c>
      <c r="B44" s="24">
        <f>IF(AND($L44="",$M44=""),"",IF($L44&lt;&gt;"",INDEX(SCNormDate,$L44),INDEX(LdgDateB,$M44)))</f>
        <v/>
      </c>
      <c r="C44" s="24">
        <f>IF($L44&lt;&gt;"",INDEX(SCOp,$L44),IF($M44&lt;&gt;"","پرداخت بانکی",""))</f>
        <v/>
      </c>
      <c r="D44" s="24">
        <f>IF($L44&lt;&gt;"",IF(INDEX(SCDoc,$L44)="","—",INDEX(SCDoc,$L44)),IF($M44&lt;&gt;"",INDEX(LdgBankB,$M44),""))</f>
        <v/>
      </c>
      <c r="E44" s="25">
        <f>IF($L44&lt;&gt;"",IF(INDEX(SCCitrus,$L44)&amp;INDEX(SCNotes,$L44)="","",IF(INDEX(SCCitrus,$L44)="","",INDEX(SCCitrus,$L44))&amp;IF(INDEX(SCNotes,$L44)="",""," — "&amp;INDEX(SCNotes,$L44))),IF($M44&lt;&gt;"",IF(INDEX(LdgNoteB,$M44)="","—",INDEX(LdgNoteB,$M44)),""))</f>
        <v/>
      </c>
      <c r="F44" s="26">
        <f>IF($L44&lt;&gt;"",IF(INDEX(SCNet,$L44)=0,"",INDEX(SCNet,$L44)),"")</f>
        <v/>
      </c>
      <c r="G44" s="27">
        <f>IF($L44&lt;&gt;"",IF(INDEX(SCOp,$L44)="مرجوعی فروش","",IF(INDEX(SCAmount,$L44)&lt;=0,"",INDEX(SCAmount,$L44))),IF($M44&lt;&gt;"",IF(INDEX(LdgWitB,$M44)=0,"",INDEX(LdgWitB,$M44)),""))</f>
        <v/>
      </c>
      <c r="H44" s="27">
        <f>IF($L44&lt;&gt;"",IF(INDEX(SCOp,$L44)="مرجوعی فروش",IF(INDEX(SCAmount,$L44)=0,"",-INDEX(SCAmount,$L44)),""),IF($M44&lt;&gt;"",IF(INDEX(LdgDepB,$M44)=0,"",INDEX(LdgDepB,$M44)),""))</f>
        <v/>
      </c>
      <c r="I44" s="28">
        <f>IF($B44="","",IF($I43="",$C$10,$I43)+IF($G44="",0,$G44)-IF($H44="",0,$H44))</f>
        <v/>
      </c>
      <c r="L44">
        <f>IFERROR(MATCH($C$5&amp;"|"&amp;RIGHT("000000"&amp;28,6),LdgRankKeyA,0),"")</f>
        <v/>
      </c>
      <c r="M44">
        <f>IFERROR(MATCH($C$5&amp;"|"&amp;RIGHT("000000"&amp;28,6),LdgRankKeyB,0),"")</f>
        <v/>
      </c>
    </row>
    <row r="45">
      <c r="A45" s="17" t="n">
        <v>29</v>
      </c>
      <c r="B45" s="18">
        <f>IF(AND($L45="",$M45=""),"",IF($L45&lt;&gt;"",INDEX(SCNormDate,$L45),INDEX(LdgDateB,$M45)))</f>
        <v/>
      </c>
      <c r="C45" s="18">
        <f>IF($L45&lt;&gt;"",INDEX(SCOp,$L45),IF($M45&lt;&gt;"","پرداخت بانکی",""))</f>
        <v/>
      </c>
      <c r="D45" s="18">
        <f>IF($L45&lt;&gt;"",IF(INDEX(SCDoc,$L45)="","—",INDEX(SCDoc,$L45)),IF($M45&lt;&gt;"",INDEX(LdgBankB,$M45),""))</f>
        <v/>
      </c>
      <c r="E45" s="19">
        <f>IF($L45&lt;&gt;"",IF(INDEX(SCCitrus,$L45)&amp;INDEX(SCNotes,$L45)="","",IF(INDEX(SCCitrus,$L45)="","",INDEX(SCCitrus,$L45))&amp;IF(INDEX(SCNotes,$L45)="",""," — "&amp;INDEX(SCNotes,$L45))),IF($M45&lt;&gt;"",IF(INDEX(LdgNoteB,$M45)="","—",INDEX(LdgNoteB,$M45)),""))</f>
        <v/>
      </c>
      <c r="F45" s="20">
        <f>IF($L45&lt;&gt;"",IF(INDEX(SCNet,$L45)=0,"",INDEX(SCNet,$L45)),"")</f>
        <v/>
      </c>
      <c r="G45" s="21">
        <f>IF($L45&lt;&gt;"",IF(INDEX(SCOp,$L45)="مرجوعی فروش","",IF(INDEX(SCAmount,$L45)&lt;=0,"",INDEX(SCAmount,$L45))),IF($M45&lt;&gt;"",IF(INDEX(LdgWitB,$M45)=0,"",INDEX(LdgWitB,$M45)),""))</f>
        <v/>
      </c>
      <c r="H45" s="21">
        <f>IF($L45&lt;&gt;"",IF(INDEX(SCOp,$L45)="مرجوعی فروش",IF(INDEX(SCAmount,$L45)=0,"",-INDEX(SCAmount,$L45)),""),IF($M45&lt;&gt;"",IF(INDEX(LdgDepB,$M45)=0,"",INDEX(LdgDepB,$M45)),""))</f>
        <v/>
      </c>
      <c r="I45" s="22">
        <f>IF($B45="","",IF($I44="",$C$10,$I44)+IF($G45="",0,$G45)-IF($H45="",0,$H45))</f>
        <v/>
      </c>
      <c r="L45">
        <f>IFERROR(MATCH($C$5&amp;"|"&amp;RIGHT("000000"&amp;29,6),LdgRankKeyA,0),"")</f>
        <v/>
      </c>
      <c r="M45">
        <f>IFERROR(MATCH($C$5&amp;"|"&amp;RIGHT("000000"&amp;29,6),LdgRankKeyB,0),"")</f>
        <v/>
      </c>
    </row>
    <row r="46">
      <c r="A46" s="23" t="n">
        <v>30</v>
      </c>
      <c r="B46" s="24">
        <f>IF(AND($L46="",$M46=""),"",IF($L46&lt;&gt;"",INDEX(SCNormDate,$L46),INDEX(LdgDateB,$M46)))</f>
        <v/>
      </c>
      <c r="C46" s="24">
        <f>IF($L46&lt;&gt;"",INDEX(SCOp,$L46),IF($M46&lt;&gt;"","پرداخت بانکی",""))</f>
        <v/>
      </c>
      <c r="D46" s="24">
        <f>IF($L46&lt;&gt;"",IF(INDEX(SCDoc,$L46)="","—",INDEX(SCDoc,$L46)),IF($M46&lt;&gt;"",INDEX(LdgBankB,$M46),""))</f>
        <v/>
      </c>
      <c r="E46" s="25">
        <f>IF($L46&lt;&gt;"",IF(INDEX(SCCitrus,$L46)&amp;INDEX(SCNotes,$L46)="","",IF(INDEX(SCCitrus,$L46)="","",INDEX(SCCitrus,$L46))&amp;IF(INDEX(SCNotes,$L46)="",""," — "&amp;INDEX(SCNotes,$L46))),IF($M46&lt;&gt;"",IF(INDEX(LdgNoteB,$M46)="","—",INDEX(LdgNoteB,$M46)),""))</f>
        <v/>
      </c>
      <c r="F46" s="26">
        <f>IF($L46&lt;&gt;"",IF(INDEX(SCNet,$L46)=0,"",INDEX(SCNet,$L46)),"")</f>
        <v/>
      </c>
      <c r="G46" s="27">
        <f>IF($L46&lt;&gt;"",IF(INDEX(SCOp,$L46)="مرجوعی فروش","",IF(INDEX(SCAmount,$L46)&lt;=0,"",INDEX(SCAmount,$L46))),IF($M46&lt;&gt;"",IF(INDEX(LdgWitB,$M46)=0,"",INDEX(LdgWitB,$M46)),""))</f>
        <v/>
      </c>
      <c r="H46" s="27">
        <f>IF($L46&lt;&gt;"",IF(INDEX(SCOp,$L46)="مرجوعی فروش",IF(INDEX(SCAmount,$L46)=0,"",-INDEX(SCAmount,$L46)),""),IF($M46&lt;&gt;"",IF(INDEX(LdgDepB,$M46)=0,"",INDEX(LdgDepB,$M46)),""))</f>
        <v/>
      </c>
      <c r="I46" s="28">
        <f>IF($B46="","",IF($I45="",$C$10,$I45)+IF($G46="",0,$G46)-IF($H46="",0,$H46))</f>
        <v/>
      </c>
      <c r="L46">
        <f>IFERROR(MATCH($C$5&amp;"|"&amp;RIGHT("000000"&amp;30,6),LdgRankKeyA,0),"")</f>
        <v/>
      </c>
      <c r="M46">
        <f>IFERROR(MATCH($C$5&amp;"|"&amp;RIGHT("000000"&amp;30,6),LdgRankKeyB,0),"")</f>
        <v/>
      </c>
    </row>
    <row r="47">
      <c r="A47" s="17" t="n">
        <v>31</v>
      </c>
      <c r="B47" s="18">
        <f>IF(AND($L47="",$M47=""),"",IF($L47&lt;&gt;"",INDEX(SCNormDate,$L47),INDEX(LdgDateB,$M47)))</f>
        <v/>
      </c>
      <c r="C47" s="18">
        <f>IF($L47&lt;&gt;"",INDEX(SCOp,$L47),IF($M47&lt;&gt;"","پرداخت بانکی",""))</f>
        <v/>
      </c>
      <c r="D47" s="18">
        <f>IF($L47&lt;&gt;"",IF(INDEX(SCDoc,$L47)="","—",INDEX(SCDoc,$L47)),IF($M47&lt;&gt;"",INDEX(LdgBankB,$M47),""))</f>
        <v/>
      </c>
      <c r="E47" s="19">
        <f>IF($L47&lt;&gt;"",IF(INDEX(SCCitrus,$L47)&amp;INDEX(SCNotes,$L47)="","",IF(INDEX(SCCitrus,$L47)="","",INDEX(SCCitrus,$L47))&amp;IF(INDEX(SCNotes,$L47)="",""," — "&amp;INDEX(SCNotes,$L47))),IF($M47&lt;&gt;"",IF(INDEX(LdgNoteB,$M47)="","—",INDEX(LdgNoteB,$M47)),""))</f>
        <v/>
      </c>
      <c r="F47" s="20">
        <f>IF($L47&lt;&gt;"",IF(INDEX(SCNet,$L47)=0,"",INDEX(SCNet,$L47)),"")</f>
        <v/>
      </c>
      <c r="G47" s="21">
        <f>IF($L47&lt;&gt;"",IF(INDEX(SCOp,$L47)="مرجوعی فروش","",IF(INDEX(SCAmount,$L47)&lt;=0,"",INDEX(SCAmount,$L47))),IF($M47&lt;&gt;"",IF(INDEX(LdgWitB,$M47)=0,"",INDEX(LdgWitB,$M47)),""))</f>
        <v/>
      </c>
      <c r="H47" s="21">
        <f>IF($L47&lt;&gt;"",IF(INDEX(SCOp,$L47)="مرجوعی فروش",IF(INDEX(SCAmount,$L47)=0,"",-INDEX(SCAmount,$L47)),""),IF($M47&lt;&gt;"",IF(INDEX(LdgDepB,$M47)=0,"",INDEX(LdgDepB,$M47)),""))</f>
        <v/>
      </c>
      <c r="I47" s="22">
        <f>IF($B47="","",IF($I46="",$C$10,$I46)+IF($G47="",0,$G47)-IF($H47="",0,$H47))</f>
        <v/>
      </c>
      <c r="L47">
        <f>IFERROR(MATCH($C$5&amp;"|"&amp;RIGHT("000000"&amp;31,6),LdgRankKeyA,0),"")</f>
        <v/>
      </c>
      <c r="M47">
        <f>IFERROR(MATCH($C$5&amp;"|"&amp;RIGHT("000000"&amp;31,6),LdgRankKeyB,0),"")</f>
        <v/>
      </c>
    </row>
    <row r="48">
      <c r="A48" s="23" t="n">
        <v>32</v>
      </c>
      <c r="B48" s="24">
        <f>IF(AND($L48="",$M48=""),"",IF($L48&lt;&gt;"",INDEX(SCNormDate,$L48),INDEX(LdgDateB,$M48)))</f>
        <v/>
      </c>
      <c r="C48" s="24">
        <f>IF($L48&lt;&gt;"",INDEX(SCOp,$L48),IF($M48&lt;&gt;"","پرداخت بانکی",""))</f>
        <v/>
      </c>
      <c r="D48" s="24">
        <f>IF($L48&lt;&gt;"",IF(INDEX(SCDoc,$L48)="","—",INDEX(SCDoc,$L48)),IF($M48&lt;&gt;"",INDEX(LdgBankB,$M48),""))</f>
        <v/>
      </c>
      <c r="E48" s="25">
        <f>IF($L48&lt;&gt;"",IF(INDEX(SCCitrus,$L48)&amp;INDEX(SCNotes,$L48)="","",IF(INDEX(SCCitrus,$L48)="","",INDEX(SCCitrus,$L48))&amp;IF(INDEX(SCNotes,$L48)="",""," — "&amp;INDEX(SCNotes,$L48))),IF($M48&lt;&gt;"",IF(INDEX(LdgNoteB,$M48)="","—",INDEX(LdgNoteB,$M48)),""))</f>
        <v/>
      </c>
      <c r="F48" s="26">
        <f>IF($L48&lt;&gt;"",IF(INDEX(SCNet,$L48)=0,"",INDEX(SCNet,$L48)),"")</f>
        <v/>
      </c>
      <c r="G48" s="27">
        <f>IF($L48&lt;&gt;"",IF(INDEX(SCOp,$L48)="مرجوعی فروش","",IF(INDEX(SCAmount,$L48)&lt;=0,"",INDEX(SCAmount,$L48))),IF($M48&lt;&gt;"",IF(INDEX(LdgWitB,$M48)=0,"",INDEX(LdgWitB,$M48)),""))</f>
        <v/>
      </c>
      <c r="H48" s="27">
        <f>IF($L48&lt;&gt;"",IF(INDEX(SCOp,$L48)="مرجوعی فروش",IF(INDEX(SCAmount,$L48)=0,"",-INDEX(SCAmount,$L48)),""),IF($M48&lt;&gt;"",IF(INDEX(LdgDepB,$M48)=0,"",INDEX(LdgDepB,$M48)),""))</f>
        <v/>
      </c>
      <c r="I48" s="28">
        <f>IF($B48="","",IF($I47="",$C$10,$I47)+IF($G48="",0,$G48)-IF($H48="",0,$H48))</f>
        <v/>
      </c>
      <c r="L48">
        <f>IFERROR(MATCH($C$5&amp;"|"&amp;RIGHT("000000"&amp;32,6),LdgRankKeyA,0),"")</f>
        <v/>
      </c>
      <c r="M48">
        <f>IFERROR(MATCH($C$5&amp;"|"&amp;RIGHT("000000"&amp;32,6),LdgRankKeyB,0),"")</f>
        <v/>
      </c>
    </row>
    <row r="49">
      <c r="A49" s="17" t="n">
        <v>33</v>
      </c>
      <c r="B49" s="18">
        <f>IF(AND($L49="",$M49=""),"",IF($L49&lt;&gt;"",INDEX(SCNormDate,$L49),INDEX(LdgDateB,$M49)))</f>
        <v/>
      </c>
      <c r="C49" s="18">
        <f>IF($L49&lt;&gt;"",INDEX(SCOp,$L49),IF($M49&lt;&gt;"","پرداخت بانکی",""))</f>
        <v/>
      </c>
      <c r="D49" s="18">
        <f>IF($L49&lt;&gt;"",IF(INDEX(SCDoc,$L49)="","—",INDEX(SCDoc,$L49)),IF($M49&lt;&gt;"",INDEX(LdgBankB,$M49),""))</f>
        <v/>
      </c>
      <c r="E49" s="19">
        <f>IF($L49&lt;&gt;"",IF(INDEX(SCCitrus,$L49)&amp;INDEX(SCNotes,$L49)="","",IF(INDEX(SCCitrus,$L49)="","",INDEX(SCCitrus,$L49))&amp;IF(INDEX(SCNotes,$L49)="",""," — "&amp;INDEX(SCNotes,$L49))),IF($M49&lt;&gt;"",IF(INDEX(LdgNoteB,$M49)="","—",INDEX(LdgNoteB,$M49)),""))</f>
        <v/>
      </c>
      <c r="F49" s="20">
        <f>IF($L49&lt;&gt;"",IF(INDEX(SCNet,$L49)=0,"",INDEX(SCNet,$L49)),"")</f>
        <v/>
      </c>
      <c r="G49" s="21">
        <f>IF($L49&lt;&gt;"",IF(INDEX(SCOp,$L49)="مرجوعی فروش","",IF(INDEX(SCAmount,$L49)&lt;=0,"",INDEX(SCAmount,$L49))),IF($M49&lt;&gt;"",IF(INDEX(LdgWitB,$M49)=0,"",INDEX(LdgWitB,$M49)),""))</f>
        <v/>
      </c>
      <c r="H49" s="21">
        <f>IF($L49&lt;&gt;"",IF(INDEX(SCOp,$L49)="مرجوعی فروش",IF(INDEX(SCAmount,$L49)=0,"",-INDEX(SCAmount,$L49)),""),IF($M49&lt;&gt;"",IF(INDEX(LdgDepB,$M49)=0,"",INDEX(LdgDepB,$M49)),""))</f>
        <v/>
      </c>
      <c r="I49" s="22">
        <f>IF($B49="","",IF($I48="",$C$10,$I48)+IF($G49="",0,$G49)-IF($H49="",0,$H49))</f>
        <v/>
      </c>
      <c r="L49">
        <f>IFERROR(MATCH($C$5&amp;"|"&amp;RIGHT("000000"&amp;33,6),LdgRankKeyA,0),"")</f>
        <v/>
      </c>
      <c r="M49">
        <f>IFERROR(MATCH($C$5&amp;"|"&amp;RIGHT("000000"&amp;33,6),LdgRankKeyB,0),"")</f>
        <v/>
      </c>
    </row>
    <row r="50">
      <c r="A50" s="23" t="n">
        <v>34</v>
      </c>
      <c r="B50" s="24">
        <f>IF(AND($L50="",$M50=""),"",IF($L50&lt;&gt;"",INDEX(SCNormDate,$L50),INDEX(LdgDateB,$M50)))</f>
        <v/>
      </c>
      <c r="C50" s="24">
        <f>IF($L50&lt;&gt;"",INDEX(SCOp,$L50),IF($M50&lt;&gt;"","پرداخت بانکی",""))</f>
        <v/>
      </c>
      <c r="D50" s="24">
        <f>IF($L50&lt;&gt;"",IF(INDEX(SCDoc,$L50)="","—",INDEX(SCDoc,$L50)),IF($M50&lt;&gt;"",INDEX(LdgBankB,$M50),""))</f>
        <v/>
      </c>
      <c r="E50" s="25">
        <f>IF($L50&lt;&gt;"",IF(INDEX(SCCitrus,$L50)&amp;INDEX(SCNotes,$L50)="","",IF(INDEX(SCCitrus,$L50)="","",INDEX(SCCitrus,$L50))&amp;IF(INDEX(SCNotes,$L50)="",""," — "&amp;INDEX(SCNotes,$L50))),IF($M50&lt;&gt;"",IF(INDEX(LdgNoteB,$M50)="","—",INDEX(LdgNoteB,$M50)),""))</f>
        <v/>
      </c>
      <c r="F50" s="26">
        <f>IF($L50&lt;&gt;"",IF(INDEX(SCNet,$L50)=0,"",INDEX(SCNet,$L50)),"")</f>
        <v/>
      </c>
      <c r="G50" s="27">
        <f>IF($L50&lt;&gt;"",IF(INDEX(SCOp,$L50)="مرجوعی فروش","",IF(INDEX(SCAmount,$L50)&lt;=0,"",INDEX(SCAmount,$L50))),IF($M50&lt;&gt;"",IF(INDEX(LdgWitB,$M50)=0,"",INDEX(LdgWitB,$M50)),""))</f>
        <v/>
      </c>
      <c r="H50" s="27">
        <f>IF($L50&lt;&gt;"",IF(INDEX(SCOp,$L50)="مرجوعی فروش",IF(INDEX(SCAmount,$L50)=0,"",-INDEX(SCAmount,$L50)),""),IF($M50&lt;&gt;"",IF(INDEX(LdgDepB,$M50)=0,"",INDEX(LdgDepB,$M50)),""))</f>
        <v/>
      </c>
      <c r="I50" s="28">
        <f>IF($B50="","",IF($I49="",$C$10,$I49)+IF($G50="",0,$G50)-IF($H50="",0,$H50))</f>
        <v/>
      </c>
      <c r="L50">
        <f>IFERROR(MATCH($C$5&amp;"|"&amp;RIGHT("000000"&amp;34,6),LdgRankKeyA,0),"")</f>
        <v/>
      </c>
      <c r="M50">
        <f>IFERROR(MATCH($C$5&amp;"|"&amp;RIGHT("000000"&amp;34,6),LdgRankKeyB,0),"")</f>
        <v/>
      </c>
    </row>
    <row r="51">
      <c r="A51" s="17" t="n">
        <v>35</v>
      </c>
      <c r="B51" s="18">
        <f>IF(AND($L51="",$M51=""),"",IF($L51&lt;&gt;"",INDEX(SCNormDate,$L51),INDEX(LdgDateB,$M51)))</f>
        <v/>
      </c>
      <c r="C51" s="18">
        <f>IF($L51&lt;&gt;"",INDEX(SCOp,$L51),IF($M51&lt;&gt;"","پرداخت بانکی",""))</f>
        <v/>
      </c>
      <c r="D51" s="18">
        <f>IF($L51&lt;&gt;"",IF(INDEX(SCDoc,$L51)="","—",INDEX(SCDoc,$L51)),IF($M51&lt;&gt;"",INDEX(LdgBankB,$M51),""))</f>
        <v/>
      </c>
      <c r="E51" s="19">
        <f>IF($L51&lt;&gt;"",IF(INDEX(SCCitrus,$L51)&amp;INDEX(SCNotes,$L51)="","",IF(INDEX(SCCitrus,$L51)="","",INDEX(SCCitrus,$L51))&amp;IF(INDEX(SCNotes,$L51)="",""," — "&amp;INDEX(SCNotes,$L51))),IF($M51&lt;&gt;"",IF(INDEX(LdgNoteB,$M51)="","—",INDEX(LdgNoteB,$M51)),""))</f>
        <v/>
      </c>
      <c r="F51" s="20">
        <f>IF($L51&lt;&gt;"",IF(INDEX(SCNet,$L51)=0,"",INDEX(SCNet,$L51)),"")</f>
        <v/>
      </c>
      <c r="G51" s="21">
        <f>IF($L51&lt;&gt;"",IF(INDEX(SCOp,$L51)="مرجوعی فروش","",IF(INDEX(SCAmount,$L51)&lt;=0,"",INDEX(SCAmount,$L51))),IF($M51&lt;&gt;"",IF(INDEX(LdgWitB,$M51)=0,"",INDEX(LdgWitB,$M51)),""))</f>
        <v/>
      </c>
      <c r="H51" s="21">
        <f>IF($L51&lt;&gt;"",IF(INDEX(SCOp,$L51)="مرجوعی فروش",IF(INDEX(SCAmount,$L51)=0,"",-INDEX(SCAmount,$L51)),""),IF($M51&lt;&gt;"",IF(INDEX(LdgDepB,$M51)=0,"",INDEX(LdgDepB,$M51)),""))</f>
        <v/>
      </c>
      <c r="I51" s="22">
        <f>IF($B51="","",IF($I50="",$C$10,$I50)+IF($G51="",0,$G51)-IF($H51="",0,$H51))</f>
        <v/>
      </c>
      <c r="L51">
        <f>IFERROR(MATCH($C$5&amp;"|"&amp;RIGHT("000000"&amp;35,6),LdgRankKeyA,0),"")</f>
        <v/>
      </c>
      <c r="M51">
        <f>IFERROR(MATCH($C$5&amp;"|"&amp;RIGHT("000000"&amp;35,6),LdgRankKeyB,0),"")</f>
        <v/>
      </c>
    </row>
    <row r="52">
      <c r="A52" s="23" t="n">
        <v>36</v>
      </c>
      <c r="B52" s="24">
        <f>IF(AND($L52="",$M52=""),"",IF($L52&lt;&gt;"",INDEX(SCNormDate,$L52),INDEX(LdgDateB,$M52)))</f>
        <v/>
      </c>
      <c r="C52" s="24">
        <f>IF($L52&lt;&gt;"",INDEX(SCOp,$L52),IF($M52&lt;&gt;"","پرداخت بانکی",""))</f>
        <v/>
      </c>
      <c r="D52" s="24">
        <f>IF($L52&lt;&gt;"",IF(INDEX(SCDoc,$L52)="","—",INDEX(SCDoc,$L52)),IF($M52&lt;&gt;"",INDEX(LdgBankB,$M52),""))</f>
        <v/>
      </c>
      <c r="E52" s="25">
        <f>IF($L52&lt;&gt;"",IF(INDEX(SCCitrus,$L52)&amp;INDEX(SCNotes,$L52)="","",IF(INDEX(SCCitrus,$L52)="","",INDEX(SCCitrus,$L52))&amp;IF(INDEX(SCNotes,$L52)="",""," — "&amp;INDEX(SCNotes,$L52))),IF($M52&lt;&gt;"",IF(INDEX(LdgNoteB,$M52)="","—",INDEX(LdgNoteB,$M52)),""))</f>
        <v/>
      </c>
      <c r="F52" s="26">
        <f>IF($L52&lt;&gt;"",IF(INDEX(SCNet,$L52)=0,"",INDEX(SCNet,$L52)),"")</f>
        <v/>
      </c>
      <c r="G52" s="27">
        <f>IF($L52&lt;&gt;"",IF(INDEX(SCOp,$L52)="مرجوعی فروش","",IF(INDEX(SCAmount,$L52)&lt;=0,"",INDEX(SCAmount,$L52))),IF($M52&lt;&gt;"",IF(INDEX(LdgWitB,$M52)=0,"",INDEX(LdgWitB,$M52)),""))</f>
        <v/>
      </c>
      <c r="H52" s="27">
        <f>IF($L52&lt;&gt;"",IF(INDEX(SCOp,$L52)="مرجوعی فروش",IF(INDEX(SCAmount,$L52)=0,"",-INDEX(SCAmount,$L52)),""),IF($M52&lt;&gt;"",IF(INDEX(LdgDepB,$M52)=0,"",INDEX(LdgDepB,$M52)),""))</f>
        <v/>
      </c>
      <c r="I52" s="28">
        <f>IF($B52="","",IF($I51="",$C$10,$I51)+IF($G52="",0,$G52)-IF($H52="",0,$H52))</f>
        <v/>
      </c>
      <c r="L52">
        <f>IFERROR(MATCH($C$5&amp;"|"&amp;RIGHT("000000"&amp;36,6),LdgRankKeyA,0),"")</f>
        <v/>
      </c>
      <c r="M52">
        <f>IFERROR(MATCH($C$5&amp;"|"&amp;RIGHT("000000"&amp;36,6),LdgRankKeyB,0),"")</f>
        <v/>
      </c>
    </row>
    <row r="53">
      <c r="A53" s="17" t="n">
        <v>37</v>
      </c>
      <c r="B53" s="18">
        <f>IF(AND($L53="",$M53=""),"",IF($L53&lt;&gt;"",INDEX(SCNormDate,$L53),INDEX(LdgDateB,$M53)))</f>
        <v/>
      </c>
      <c r="C53" s="18">
        <f>IF($L53&lt;&gt;"",INDEX(SCOp,$L53),IF($M53&lt;&gt;"","پرداخت بانکی",""))</f>
        <v/>
      </c>
      <c r="D53" s="18">
        <f>IF($L53&lt;&gt;"",IF(INDEX(SCDoc,$L53)="","—",INDEX(SCDoc,$L53)),IF($M53&lt;&gt;"",INDEX(LdgBankB,$M53),""))</f>
        <v/>
      </c>
      <c r="E53" s="19">
        <f>IF($L53&lt;&gt;"",IF(INDEX(SCCitrus,$L53)&amp;INDEX(SCNotes,$L53)="","",IF(INDEX(SCCitrus,$L53)="","",INDEX(SCCitrus,$L53))&amp;IF(INDEX(SCNotes,$L53)="",""," — "&amp;INDEX(SCNotes,$L53))),IF($M53&lt;&gt;"",IF(INDEX(LdgNoteB,$M53)="","—",INDEX(LdgNoteB,$M53)),""))</f>
        <v/>
      </c>
      <c r="F53" s="20">
        <f>IF($L53&lt;&gt;"",IF(INDEX(SCNet,$L53)=0,"",INDEX(SCNet,$L53)),"")</f>
        <v/>
      </c>
      <c r="G53" s="21">
        <f>IF($L53&lt;&gt;"",IF(INDEX(SCOp,$L53)="مرجوعی فروش","",IF(INDEX(SCAmount,$L53)&lt;=0,"",INDEX(SCAmount,$L53))),IF($M53&lt;&gt;"",IF(INDEX(LdgWitB,$M53)=0,"",INDEX(LdgWitB,$M53)),""))</f>
        <v/>
      </c>
      <c r="H53" s="21">
        <f>IF($L53&lt;&gt;"",IF(INDEX(SCOp,$L53)="مرجوعی فروش",IF(INDEX(SCAmount,$L53)=0,"",-INDEX(SCAmount,$L53)),""),IF($M53&lt;&gt;"",IF(INDEX(LdgDepB,$M53)=0,"",INDEX(LdgDepB,$M53)),""))</f>
        <v/>
      </c>
      <c r="I53" s="22">
        <f>IF($B53="","",IF($I52="",$C$10,$I52)+IF($G53="",0,$G53)-IF($H53="",0,$H53))</f>
        <v/>
      </c>
      <c r="L53">
        <f>IFERROR(MATCH($C$5&amp;"|"&amp;RIGHT("000000"&amp;37,6),LdgRankKeyA,0),"")</f>
        <v/>
      </c>
      <c r="M53">
        <f>IFERROR(MATCH($C$5&amp;"|"&amp;RIGHT("000000"&amp;37,6),LdgRankKeyB,0),"")</f>
        <v/>
      </c>
    </row>
    <row r="54">
      <c r="A54" s="23" t="n">
        <v>38</v>
      </c>
      <c r="B54" s="24">
        <f>IF(AND($L54="",$M54=""),"",IF($L54&lt;&gt;"",INDEX(SCNormDate,$L54),INDEX(LdgDateB,$M54)))</f>
        <v/>
      </c>
      <c r="C54" s="24">
        <f>IF($L54&lt;&gt;"",INDEX(SCOp,$L54),IF($M54&lt;&gt;"","پرداخت بانکی",""))</f>
        <v/>
      </c>
      <c r="D54" s="24">
        <f>IF($L54&lt;&gt;"",IF(INDEX(SCDoc,$L54)="","—",INDEX(SCDoc,$L54)),IF($M54&lt;&gt;"",INDEX(LdgBankB,$M54),""))</f>
        <v/>
      </c>
      <c r="E54" s="25">
        <f>IF($L54&lt;&gt;"",IF(INDEX(SCCitrus,$L54)&amp;INDEX(SCNotes,$L54)="","",IF(INDEX(SCCitrus,$L54)="","",INDEX(SCCitrus,$L54))&amp;IF(INDEX(SCNotes,$L54)="",""," — "&amp;INDEX(SCNotes,$L54))),IF($M54&lt;&gt;"",IF(INDEX(LdgNoteB,$M54)="","—",INDEX(LdgNoteB,$M54)),""))</f>
        <v/>
      </c>
      <c r="F54" s="26">
        <f>IF($L54&lt;&gt;"",IF(INDEX(SCNet,$L54)=0,"",INDEX(SCNet,$L54)),"")</f>
        <v/>
      </c>
      <c r="G54" s="27">
        <f>IF($L54&lt;&gt;"",IF(INDEX(SCOp,$L54)="مرجوعی فروش","",IF(INDEX(SCAmount,$L54)&lt;=0,"",INDEX(SCAmount,$L54))),IF($M54&lt;&gt;"",IF(INDEX(LdgWitB,$M54)=0,"",INDEX(LdgWitB,$M54)),""))</f>
        <v/>
      </c>
      <c r="H54" s="27">
        <f>IF($L54&lt;&gt;"",IF(INDEX(SCOp,$L54)="مرجوعی فروش",IF(INDEX(SCAmount,$L54)=0,"",-INDEX(SCAmount,$L54)),""),IF($M54&lt;&gt;"",IF(INDEX(LdgDepB,$M54)=0,"",INDEX(LdgDepB,$M54)),""))</f>
        <v/>
      </c>
      <c r="I54" s="28">
        <f>IF($B54="","",IF($I53="",$C$10,$I53)+IF($G54="",0,$G54)-IF($H54="",0,$H54))</f>
        <v/>
      </c>
      <c r="L54">
        <f>IFERROR(MATCH($C$5&amp;"|"&amp;RIGHT("000000"&amp;38,6),LdgRankKeyA,0),"")</f>
        <v/>
      </c>
      <c r="M54">
        <f>IFERROR(MATCH($C$5&amp;"|"&amp;RIGHT("000000"&amp;38,6),LdgRankKeyB,0),"")</f>
        <v/>
      </c>
    </row>
    <row r="55">
      <c r="A55" s="17" t="n">
        <v>39</v>
      </c>
      <c r="B55" s="18">
        <f>IF(AND($L55="",$M55=""),"",IF($L55&lt;&gt;"",INDEX(SCNormDate,$L55),INDEX(LdgDateB,$M55)))</f>
        <v/>
      </c>
      <c r="C55" s="18">
        <f>IF($L55&lt;&gt;"",INDEX(SCOp,$L55),IF($M55&lt;&gt;"","پرداخت بانکی",""))</f>
        <v/>
      </c>
      <c r="D55" s="18">
        <f>IF($L55&lt;&gt;"",IF(INDEX(SCDoc,$L55)="","—",INDEX(SCDoc,$L55)),IF($M55&lt;&gt;"",INDEX(LdgBankB,$M55),""))</f>
        <v/>
      </c>
      <c r="E55" s="19">
        <f>IF($L55&lt;&gt;"",IF(INDEX(SCCitrus,$L55)&amp;INDEX(SCNotes,$L55)="","",IF(INDEX(SCCitrus,$L55)="","",INDEX(SCCitrus,$L55))&amp;IF(INDEX(SCNotes,$L55)="",""," — "&amp;INDEX(SCNotes,$L55))),IF($M55&lt;&gt;"",IF(INDEX(LdgNoteB,$M55)="","—",INDEX(LdgNoteB,$M55)),""))</f>
        <v/>
      </c>
      <c r="F55" s="20">
        <f>IF($L55&lt;&gt;"",IF(INDEX(SCNet,$L55)=0,"",INDEX(SCNet,$L55)),"")</f>
        <v/>
      </c>
      <c r="G55" s="21">
        <f>IF($L55&lt;&gt;"",IF(INDEX(SCOp,$L55)="مرجوعی فروش","",IF(INDEX(SCAmount,$L55)&lt;=0,"",INDEX(SCAmount,$L55))),IF($M55&lt;&gt;"",IF(INDEX(LdgWitB,$M55)=0,"",INDEX(LdgWitB,$M55)),""))</f>
        <v/>
      </c>
      <c r="H55" s="21">
        <f>IF($L55&lt;&gt;"",IF(INDEX(SCOp,$L55)="مرجوعی فروش",IF(INDEX(SCAmount,$L55)=0,"",-INDEX(SCAmount,$L55)),""),IF($M55&lt;&gt;"",IF(INDEX(LdgDepB,$M55)=0,"",INDEX(LdgDepB,$M55)),""))</f>
        <v/>
      </c>
      <c r="I55" s="22">
        <f>IF($B55="","",IF($I54="",$C$10,$I54)+IF($G55="",0,$G55)-IF($H55="",0,$H55))</f>
        <v/>
      </c>
      <c r="L55">
        <f>IFERROR(MATCH($C$5&amp;"|"&amp;RIGHT("000000"&amp;39,6),LdgRankKeyA,0),"")</f>
        <v/>
      </c>
      <c r="M55">
        <f>IFERROR(MATCH($C$5&amp;"|"&amp;RIGHT("000000"&amp;39,6),LdgRankKeyB,0),"")</f>
        <v/>
      </c>
    </row>
    <row r="56">
      <c r="A56" s="23" t="n">
        <v>40</v>
      </c>
      <c r="B56" s="24">
        <f>IF(AND($L56="",$M56=""),"",IF($L56&lt;&gt;"",INDEX(SCNormDate,$L56),INDEX(LdgDateB,$M56)))</f>
        <v/>
      </c>
      <c r="C56" s="24">
        <f>IF($L56&lt;&gt;"",INDEX(SCOp,$L56),IF($M56&lt;&gt;"","پرداخت بانکی",""))</f>
        <v/>
      </c>
      <c r="D56" s="24">
        <f>IF($L56&lt;&gt;"",IF(INDEX(SCDoc,$L56)="","—",INDEX(SCDoc,$L56)),IF($M56&lt;&gt;"",INDEX(LdgBankB,$M56),""))</f>
        <v/>
      </c>
      <c r="E56" s="25">
        <f>IF($L56&lt;&gt;"",IF(INDEX(SCCitrus,$L56)&amp;INDEX(SCNotes,$L56)="","",IF(INDEX(SCCitrus,$L56)="","",INDEX(SCCitrus,$L56))&amp;IF(INDEX(SCNotes,$L56)="",""," — "&amp;INDEX(SCNotes,$L56))),IF($M56&lt;&gt;"",IF(INDEX(LdgNoteB,$M56)="","—",INDEX(LdgNoteB,$M56)),""))</f>
        <v/>
      </c>
      <c r="F56" s="26">
        <f>IF($L56&lt;&gt;"",IF(INDEX(SCNet,$L56)=0,"",INDEX(SCNet,$L56)),"")</f>
        <v/>
      </c>
      <c r="G56" s="27">
        <f>IF($L56&lt;&gt;"",IF(INDEX(SCOp,$L56)="مرجوعی فروش","",IF(INDEX(SCAmount,$L56)&lt;=0,"",INDEX(SCAmount,$L56))),IF($M56&lt;&gt;"",IF(INDEX(LdgWitB,$M56)=0,"",INDEX(LdgWitB,$M56)),""))</f>
        <v/>
      </c>
      <c r="H56" s="27">
        <f>IF($L56&lt;&gt;"",IF(INDEX(SCOp,$L56)="مرجوعی فروش",IF(INDEX(SCAmount,$L56)=0,"",-INDEX(SCAmount,$L56)),""),IF($M56&lt;&gt;"",IF(INDEX(LdgDepB,$M56)=0,"",INDEX(LdgDepB,$M56)),""))</f>
        <v/>
      </c>
      <c r="I56" s="28">
        <f>IF($B56="","",IF($I55="",$C$10,$I55)+IF($G56="",0,$G56)-IF($H56="",0,$H56))</f>
        <v/>
      </c>
      <c r="L56">
        <f>IFERROR(MATCH($C$5&amp;"|"&amp;RIGHT("000000"&amp;40,6),LdgRankKeyA,0),"")</f>
        <v/>
      </c>
      <c r="M56">
        <f>IFERROR(MATCH($C$5&amp;"|"&amp;RIGHT("000000"&amp;40,6),LdgRankKeyB,0),"")</f>
        <v/>
      </c>
    </row>
    <row r="57">
      <c r="A57" s="17" t="n">
        <v>41</v>
      </c>
      <c r="B57" s="18">
        <f>IF(AND($L57="",$M57=""),"",IF($L57&lt;&gt;"",INDEX(SCNormDate,$L57),INDEX(LdgDateB,$M57)))</f>
        <v/>
      </c>
      <c r="C57" s="18">
        <f>IF($L57&lt;&gt;"",INDEX(SCOp,$L57),IF($M57&lt;&gt;"","پرداخت بانکی",""))</f>
        <v/>
      </c>
      <c r="D57" s="18">
        <f>IF($L57&lt;&gt;"",IF(INDEX(SCDoc,$L57)="","—",INDEX(SCDoc,$L57)),IF($M57&lt;&gt;"",INDEX(LdgBankB,$M57),""))</f>
        <v/>
      </c>
      <c r="E57" s="19">
        <f>IF($L57&lt;&gt;"",IF(INDEX(SCCitrus,$L57)&amp;INDEX(SCNotes,$L57)="","",IF(INDEX(SCCitrus,$L57)="","",INDEX(SCCitrus,$L57))&amp;IF(INDEX(SCNotes,$L57)="",""," — "&amp;INDEX(SCNotes,$L57))),IF($M57&lt;&gt;"",IF(INDEX(LdgNoteB,$M57)="","—",INDEX(LdgNoteB,$M57)),""))</f>
        <v/>
      </c>
      <c r="F57" s="20">
        <f>IF($L57&lt;&gt;"",IF(INDEX(SCNet,$L57)=0,"",INDEX(SCNet,$L57)),"")</f>
        <v/>
      </c>
      <c r="G57" s="21">
        <f>IF($L57&lt;&gt;"",IF(INDEX(SCOp,$L57)="مرجوعی فروش","",IF(INDEX(SCAmount,$L57)&lt;=0,"",INDEX(SCAmount,$L57))),IF($M57&lt;&gt;"",IF(INDEX(LdgWitB,$M57)=0,"",INDEX(LdgWitB,$M57)),""))</f>
        <v/>
      </c>
      <c r="H57" s="21">
        <f>IF($L57&lt;&gt;"",IF(INDEX(SCOp,$L57)="مرجوعی فروش",IF(INDEX(SCAmount,$L57)=0,"",-INDEX(SCAmount,$L57)),""),IF($M57&lt;&gt;"",IF(INDEX(LdgDepB,$M57)=0,"",INDEX(LdgDepB,$M57)),""))</f>
        <v/>
      </c>
      <c r="I57" s="22">
        <f>IF($B57="","",IF($I56="",$C$10,$I56)+IF($G57="",0,$G57)-IF($H57="",0,$H57))</f>
        <v/>
      </c>
      <c r="L57">
        <f>IFERROR(MATCH($C$5&amp;"|"&amp;RIGHT("000000"&amp;41,6),LdgRankKeyA,0),"")</f>
        <v/>
      </c>
      <c r="M57">
        <f>IFERROR(MATCH($C$5&amp;"|"&amp;RIGHT("000000"&amp;41,6),LdgRankKeyB,0),"")</f>
        <v/>
      </c>
    </row>
    <row r="58">
      <c r="A58" s="23" t="n">
        <v>42</v>
      </c>
      <c r="B58" s="24">
        <f>IF(AND($L58="",$M58=""),"",IF($L58&lt;&gt;"",INDEX(SCNormDate,$L58),INDEX(LdgDateB,$M58)))</f>
        <v/>
      </c>
      <c r="C58" s="24">
        <f>IF($L58&lt;&gt;"",INDEX(SCOp,$L58),IF($M58&lt;&gt;"","پرداخت بانکی",""))</f>
        <v/>
      </c>
      <c r="D58" s="24">
        <f>IF($L58&lt;&gt;"",IF(INDEX(SCDoc,$L58)="","—",INDEX(SCDoc,$L58)),IF($M58&lt;&gt;"",INDEX(LdgBankB,$M58),""))</f>
        <v/>
      </c>
      <c r="E58" s="25">
        <f>IF($L58&lt;&gt;"",IF(INDEX(SCCitrus,$L58)&amp;INDEX(SCNotes,$L58)="","",IF(INDEX(SCCitrus,$L58)="","",INDEX(SCCitrus,$L58))&amp;IF(INDEX(SCNotes,$L58)="",""," — "&amp;INDEX(SCNotes,$L58))),IF($M58&lt;&gt;"",IF(INDEX(LdgNoteB,$M58)="","—",INDEX(LdgNoteB,$M58)),""))</f>
        <v/>
      </c>
      <c r="F58" s="26">
        <f>IF($L58&lt;&gt;"",IF(INDEX(SCNet,$L58)=0,"",INDEX(SCNet,$L58)),"")</f>
        <v/>
      </c>
      <c r="G58" s="27">
        <f>IF($L58&lt;&gt;"",IF(INDEX(SCOp,$L58)="مرجوعی فروش","",IF(INDEX(SCAmount,$L58)&lt;=0,"",INDEX(SCAmount,$L58))),IF($M58&lt;&gt;"",IF(INDEX(LdgWitB,$M58)=0,"",INDEX(LdgWitB,$M58)),""))</f>
        <v/>
      </c>
      <c r="H58" s="27">
        <f>IF($L58&lt;&gt;"",IF(INDEX(SCOp,$L58)="مرجوعی فروش",IF(INDEX(SCAmount,$L58)=0,"",-INDEX(SCAmount,$L58)),""),IF($M58&lt;&gt;"",IF(INDEX(LdgDepB,$M58)=0,"",INDEX(LdgDepB,$M58)),""))</f>
        <v/>
      </c>
      <c r="I58" s="28">
        <f>IF($B58="","",IF($I57="",$C$10,$I57)+IF($G58="",0,$G58)-IF($H58="",0,$H58))</f>
        <v/>
      </c>
      <c r="L58">
        <f>IFERROR(MATCH($C$5&amp;"|"&amp;RIGHT("000000"&amp;42,6),LdgRankKeyA,0),"")</f>
        <v/>
      </c>
      <c r="M58">
        <f>IFERROR(MATCH($C$5&amp;"|"&amp;RIGHT("000000"&amp;42,6),LdgRankKeyB,0),"")</f>
        <v/>
      </c>
    </row>
    <row r="59">
      <c r="A59" s="17" t="n">
        <v>43</v>
      </c>
      <c r="B59" s="18">
        <f>IF(AND($L59="",$M59=""),"",IF($L59&lt;&gt;"",INDEX(SCNormDate,$L59),INDEX(LdgDateB,$M59)))</f>
        <v/>
      </c>
      <c r="C59" s="18">
        <f>IF($L59&lt;&gt;"",INDEX(SCOp,$L59),IF($M59&lt;&gt;"","پرداخت بانکی",""))</f>
        <v/>
      </c>
      <c r="D59" s="18">
        <f>IF($L59&lt;&gt;"",IF(INDEX(SCDoc,$L59)="","—",INDEX(SCDoc,$L59)),IF($M59&lt;&gt;"",INDEX(LdgBankB,$M59),""))</f>
        <v/>
      </c>
      <c r="E59" s="19">
        <f>IF($L59&lt;&gt;"",IF(INDEX(SCCitrus,$L59)&amp;INDEX(SCNotes,$L59)="","",IF(INDEX(SCCitrus,$L59)="","",INDEX(SCCitrus,$L59))&amp;IF(INDEX(SCNotes,$L59)="",""," — "&amp;INDEX(SCNotes,$L59))),IF($M59&lt;&gt;"",IF(INDEX(LdgNoteB,$M59)="","—",INDEX(LdgNoteB,$M59)),""))</f>
        <v/>
      </c>
      <c r="F59" s="20">
        <f>IF($L59&lt;&gt;"",IF(INDEX(SCNet,$L59)=0,"",INDEX(SCNet,$L59)),"")</f>
        <v/>
      </c>
      <c r="G59" s="21">
        <f>IF($L59&lt;&gt;"",IF(INDEX(SCOp,$L59)="مرجوعی فروش","",IF(INDEX(SCAmount,$L59)&lt;=0,"",INDEX(SCAmount,$L59))),IF($M59&lt;&gt;"",IF(INDEX(LdgWitB,$M59)=0,"",INDEX(LdgWitB,$M59)),""))</f>
        <v/>
      </c>
      <c r="H59" s="21">
        <f>IF($L59&lt;&gt;"",IF(INDEX(SCOp,$L59)="مرجوعی فروش",IF(INDEX(SCAmount,$L59)=0,"",-INDEX(SCAmount,$L59)),""),IF($M59&lt;&gt;"",IF(INDEX(LdgDepB,$M59)=0,"",INDEX(LdgDepB,$M59)),""))</f>
        <v/>
      </c>
      <c r="I59" s="22">
        <f>IF($B59="","",IF($I58="",$C$10,$I58)+IF($G59="",0,$G59)-IF($H59="",0,$H59))</f>
        <v/>
      </c>
      <c r="L59">
        <f>IFERROR(MATCH($C$5&amp;"|"&amp;RIGHT("000000"&amp;43,6),LdgRankKeyA,0),"")</f>
        <v/>
      </c>
      <c r="M59">
        <f>IFERROR(MATCH($C$5&amp;"|"&amp;RIGHT("000000"&amp;43,6),LdgRankKeyB,0),"")</f>
        <v/>
      </c>
    </row>
    <row r="60">
      <c r="A60" s="23" t="n">
        <v>44</v>
      </c>
      <c r="B60" s="24">
        <f>IF(AND($L60="",$M60=""),"",IF($L60&lt;&gt;"",INDEX(SCNormDate,$L60),INDEX(LdgDateB,$M60)))</f>
        <v/>
      </c>
      <c r="C60" s="24">
        <f>IF($L60&lt;&gt;"",INDEX(SCOp,$L60),IF($M60&lt;&gt;"","پرداخت بانکی",""))</f>
        <v/>
      </c>
      <c r="D60" s="24">
        <f>IF($L60&lt;&gt;"",IF(INDEX(SCDoc,$L60)="","—",INDEX(SCDoc,$L60)),IF($M60&lt;&gt;"",INDEX(LdgBankB,$M60),""))</f>
        <v/>
      </c>
      <c r="E60" s="25">
        <f>IF($L60&lt;&gt;"",IF(INDEX(SCCitrus,$L60)&amp;INDEX(SCNotes,$L60)="","",IF(INDEX(SCCitrus,$L60)="","",INDEX(SCCitrus,$L60))&amp;IF(INDEX(SCNotes,$L60)="",""," — "&amp;INDEX(SCNotes,$L60))),IF($M60&lt;&gt;"",IF(INDEX(LdgNoteB,$M60)="","—",INDEX(LdgNoteB,$M60)),""))</f>
        <v/>
      </c>
      <c r="F60" s="26">
        <f>IF($L60&lt;&gt;"",IF(INDEX(SCNet,$L60)=0,"",INDEX(SCNet,$L60)),"")</f>
        <v/>
      </c>
      <c r="G60" s="27">
        <f>IF($L60&lt;&gt;"",IF(INDEX(SCOp,$L60)="مرجوعی فروش","",IF(INDEX(SCAmount,$L60)&lt;=0,"",INDEX(SCAmount,$L60))),IF($M60&lt;&gt;"",IF(INDEX(LdgWitB,$M60)=0,"",INDEX(LdgWitB,$M60)),""))</f>
        <v/>
      </c>
      <c r="H60" s="27">
        <f>IF($L60&lt;&gt;"",IF(INDEX(SCOp,$L60)="مرجوعی فروش",IF(INDEX(SCAmount,$L60)=0,"",-INDEX(SCAmount,$L60)),""),IF($M60&lt;&gt;"",IF(INDEX(LdgDepB,$M60)=0,"",INDEX(LdgDepB,$M60)),""))</f>
        <v/>
      </c>
      <c r="I60" s="28">
        <f>IF($B60="","",IF($I59="",$C$10,$I59)+IF($G60="",0,$G60)-IF($H60="",0,$H60))</f>
        <v/>
      </c>
      <c r="L60">
        <f>IFERROR(MATCH($C$5&amp;"|"&amp;RIGHT("000000"&amp;44,6),LdgRankKeyA,0),"")</f>
        <v/>
      </c>
      <c r="M60">
        <f>IFERROR(MATCH($C$5&amp;"|"&amp;RIGHT("000000"&amp;44,6),LdgRankKeyB,0),"")</f>
        <v/>
      </c>
    </row>
    <row r="61">
      <c r="A61" s="17" t="n">
        <v>45</v>
      </c>
      <c r="B61" s="18">
        <f>IF(AND($L61="",$M61=""),"",IF($L61&lt;&gt;"",INDEX(SCNormDate,$L61),INDEX(LdgDateB,$M61)))</f>
        <v/>
      </c>
      <c r="C61" s="18">
        <f>IF($L61&lt;&gt;"",INDEX(SCOp,$L61),IF($M61&lt;&gt;"","پرداخت بانکی",""))</f>
        <v/>
      </c>
      <c r="D61" s="18">
        <f>IF($L61&lt;&gt;"",IF(INDEX(SCDoc,$L61)="","—",INDEX(SCDoc,$L61)),IF($M61&lt;&gt;"",INDEX(LdgBankB,$M61),""))</f>
        <v/>
      </c>
      <c r="E61" s="19">
        <f>IF($L61&lt;&gt;"",IF(INDEX(SCCitrus,$L61)&amp;INDEX(SCNotes,$L61)="","",IF(INDEX(SCCitrus,$L61)="","",INDEX(SCCitrus,$L61))&amp;IF(INDEX(SCNotes,$L61)="",""," — "&amp;INDEX(SCNotes,$L61))),IF($M61&lt;&gt;"",IF(INDEX(LdgNoteB,$M61)="","—",INDEX(LdgNoteB,$M61)),""))</f>
        <v/>
      </c>
      <c r="F61" s="20">
        <f>IF($L61&lt;&gt;"",IF(INDEX(SCNet,$L61)=0,"",INDEX(SCNet,$L61)),"")</f>
        <v/>
      </c>
      <c r="G61" s="21">
        <f>IF($L61&lt;&gt;"",IF(INDEX(SCOp,$L61)="مرجوعی فروش","",IF(INDEX(SCAmount,$L61)&lt;=0,"",INDEX(SCAmount,$L61))),IF($M61&lt;&gt;"",IF(INDEX(LdgWitB,$M61)=0,"",INDEX(LdgWitB,$M61)),""))</f>
        <v/>
      </c>
      <c r="H61" s="21">
        <f>IF($L61&lt;&gt;"",IF(INDEX(SCOp,$L61)="مرجوعی فروش",IF(INDEX(SCAmount,$L61)=0,"",-INDEX(SCAmount,$L61)),""),IF($M61&lt;&gt;"",IF(INDEX(LdgDepB,$M61)=0,"",INDEX(LdgDepB,$M61)),""))</f>
        <v/>
      </c>
      <c r="I61" s="22">
        <f>IF($B61="","",IF($I60="",$C$10,$I60)+IF($G61="",0,$G61)-IF($H61="",0,$H61))</f>
        <v/>
      </c>
      <c r="L61">
        <f>IFERROR(MATCH($C$5&amp;"|"&amp;RIGHT("000000"&amp;45,6),LdgRankKeyA,0),"")</f>
        <v/>
      </c>
      <c r="M61">
        <f>IFERROR(MATCH($C$5&amp;"|"&amp;RIGHT("000000"&amp;45,6),LdgRankKeyB,0),"")</f>
        <v/>
      </c>
    </row>
    <row r="62">
      <c r="A62" s="23" t="n">
        <v>46</v>
      </c>
      <c r="B62" s="24">
        <f>IF(AND($L62="",$M62=""),"",IF($L62&lt;&gt;"",INDEX(SCNormDate,$L62),INDEX(LdgDateB,$M62)))</f>
        <v/>
      </c>
      <c r="C62" s="24">
        <f>IF($L62&lt;&gt;"",INDEX(SCOp,$L62),IF($M62&lt;&gt;"","پرداخت بانکی",""))</f>
        <v/>
      </c>
      <c r="D62" s="24">
        <f>IF($L62&lt;&gt;"",IF(INDEX(SCDoc,$L62)="","—",INDEX(SCDoc,$L62)),IF($M62&lt;&gt;"",INDEX(LdgBankB,$M62),""))</f>
        <v/>
      </c>
      <c r="E62" s="25">
        <f>IF($L62&lt;&gt;"",IF(INDEX(SCCitrus,$L62)&amp;INDEX(SCNotes,$L62)="","",IF(INDEX(SCCitrus,$L62)="","",INDEX(SCCitrus,$L62))&amp;IF(INDEX(SCNotes,$L62)="",""," — "&amp;INDEX(SCNotes,$L62))),IF($M62&lt;&gt;"",IF(INDEX(LdgNoteB,$M62)="","—",INDEX(LdgNoteB,$M62)),""))</f>
        <v/>
      </c>
      <c r="F62" s="26">
        <f>IF($L62&lt;&gt;"",IF(INDEX(SCNet,$L62)=0,"",INDEX(SCNet,$L62)),"")</f>
        <v/>
      </c>
      <c r="G62" s="27">
        <f>IF($L62&lt;&gt;"",IF(INDEX(SCOp,$L62)="مرجوعی فروش","",IF(INDEX(SCAmount,$L62)&lt;=0,"",INDEX(SCAmount,$L62))),IF($M62&lt;&gt;"",IF(INDEX(LdgWitB,$M62)=0,"",INDEX(LdgWitB,$M62)),""))</f>
        <v/>
      </c>
      <c r="H62" s="27">
        <f>IF($L62&lt;&gt;"",IF(INDEX(SCOp,$L62)="مرجوعی فروش",IF(INDEX(SCAmount,$L62)=0,"",-INDEX(SCAmount,$L62)),""),IF($M62&lt;&gt;"",IF(INDEX(LdgDepB,$M62)=0,"",INDEX(LdgDepB,$M62)),""))</f>
        <v/>
      </c>
      <c r="I62" s="28">
        <f>IF($B62="","",IF($I61="",$C$10,$I61)+IF($G62="",0,$G62)-IF($H62="",0,$H62))</f>
        <v/>
      </c>
      <c r="L62">
        <f>IFERROR(MATCH($C$5&amp;"|"&amp;RIGHT("000000"&amp;46,6),LdgRankKeyA,0),"")</f>
        <v/>
      </c>
      <c r="M62">
        <f>IFERROR(MATCH($C$5&amp;"|"&amp;RIGHT("000000"&amp;46,6),LdgRankKeyB,0),"")</f>
        <v/>
      </c>
    </row>
    <row r="63">
      <c r="A63" s="17" t="n">
        <v>47</v>
      </c>
      <c r="B63" s="18">
        <f>IF(AND($L63="",$M63=""),"",IF($L63&lt;&gt;"",INDEX(SCNormDate,$L63),INDEX(LdgDateB,$M63)))</f>
        <v/>
      </c>
      <c r="C63" s="18">
        <f>IF($L63&lt;&gt;"",INDEX(SCOp,$L63),IF($M63&lt;&gt;"","پرداخت بانکی",""))</f>
        <v/>
      </c>
      <c r="D63" s="18">
        <f>IF($L63&lt;&gt;"",IF(INDEX(SCDoc,$L63)="","—",INDEX(SCDoc,$L63)),IF($M63&lt;&gt;"",INDEX(LdgBankB,$M63),""))</f>
        <v/>
      </c>
      <c r="E63" s="19">
        <f>IF($L63&lt;&gt;"",IF(INDEX(SCCitrus,$L63)&amp;INDEX(SCNotes,$L63)="","",IF(INDEX(SCCitrus,$L63)="","",INDEX(SCCitrus,$L63))&amp;IF(INDEX(SCNotes,$L63)="",""," — "&amp;INDEX(SCNotes,$L63))),IF($M63&lt;&gt;"",IF(INDEX(LdgNoteB,$M63)="","—",INDEX(LdgNoteB,$M63)),""))</f>
        <v/>
      </c>
      <c r="F63" s="20">
        <f>IF($L63&lt;&gt;"",IF(INDEX(SCNet,$L63)=0,"",INDEX(SCNet,$L63)),"")</f>
        <v/>
      </c>
      <c r="G63" s="21">
        <f>IF($L63&lt;&gt;"",IF(INDEX(SCOp,$L63)="مرجوعی فروش","",IF(INDEX(SCAmount,$L63)&lt;=0,"",INDEX(SCAmount,$L63))),IF($M63&lt;&gt;"",IF(INDEX(LdgWitB,$M63)=0,"",INDEX(LdgWitB,$M63)),""))</f>
        <v/>
      </c>
      <c r="H63" s="21">
        <f>IF($L63&lt;&gt;"",IF(INDEX(SCOp,$L63)="مرجوعی فروش",IF(INDEX(SCAmount,$L63)=0,"",-INDEX(SCAmount,$L63)),""),IF($M63&lt;&gt;"",IF(INDEX(LdgDepB,$M63)=0,"",INDEX(LdgDepB,$M63)),""))</f>
        <v/>
      </c>
      <c r="I63" s="22">
        <f>IF($B63="","",IF($I62="",$C$10,$I62)+IF($G63="",0,$G63)-IF($H63="",0,$H63))</f>
        <v/>
      </c>
      <c r="L63">
        <f>IFERROR(MATCH($C$5&amp;"|"&amp;RIGHT("000000"&amp;47,6),LdgRankKeyA,0),"")</f>
        <v/>
      </c>
      <c r="M63">
        <f>IFERROR(MATCH($C$5&amp;"|"&amp;RIGHT("000000"&amp;47,6),LdgRankKeyB,0),"")</f>
        <v/>
      </c>
    </row>
    <row r="64">
      <c r="A64" s="23" t="n">
        <v>48</v>
      </c>
      <c r="B64" s="24">
        <f>IF(AND($L64="",$M64=""),"",IF($L64&lt;&gt;"",INDEX(SCNormDate,$L64),INDEX(LdgDateB,$M64)))</f>
        <v/>
      </c>
      <c r="C64" s="24">
        <f>IF($L64&lt;&gt;"",INDEX(SCOp,$L64),IF($M64&lt;&gt;"","پرداخت بانکی",""))</f>
        <v/>
      </c>
      <c r="D64" s="24">
        <f>IF($L64&lt;&gt;"",IF(INDEX(SCDoc,$L64)="","—",INDEX(SCDoc,$L64)),IF($M64&lt;&gt;"",INDEX(LdgBankB,$M64),""))</f>
        <v/>
      </c>
      <c r="E64" s="25">
        <f>IF($L64&lt;&gt;"",IF(INDEX(SCCitrus,$L64)&amp;INDEX(SCNotes,$L64)="","",IF(INDEX(SCCitrus,$L64)="","",INDEX(SCCitrus,$L64))&amp;IF(INDEX(SCNotes,$L64)="",""," — "&amp;INDEX(SCNotes,$L64))),IF($M64&lt;&gt;"",IF(INDEX(LdgNoteB,$M64)="","—",INDEX(LdgNoteB,$M64)),""))</f>
        <v/>
      </c>
      <c r="F64" s="26">
        <f>IF($L64&lt;&gt;"",IF(INDEX(SCNet,$L64)=0,"",INDEX(SCNet,$L64)),"")</f>
        <v/>
      </c>
      <c r="G64" s="27">
        <f>IF($L64&lt;&gt;"",IF(INDEX(SCOp,$L64)="مرجوعی فروش","",IF(INDEX(SCAmount,$L64)&lt;=0,"",INDEX(SCAmount,$L64))),IF($M64&lt;&gt;"",IF(INDEX(LdgWitB,$M64)=0,"",INDEX(LdgWitB,$M64)),""))</f>
        <v/>
      </c>
      <c r="H64" s="27">
        <f>IF($L64&lt;&gt;"",IF(INDEX(SCOp,$L64)="مرجوعی فروش",IF(INDEX(SCAmount,$L64)=0,"",-INDEX(SCAmount,$L64)),""),IF($M64&lt;&gt;"",IF(INDEX(LdgDepB,$M64)=0,"",INDEX(LdgDepB,$M64)),""))</f>
        <v/>
      </c>
      <c r="I64" s="28">
        <f>IF($B64="","",IF($I63="",$C$10,$I63)+IF($G64="",0,$G64)-IF($H64="",0,$H64))</f>
        <v/>
      </c>
      <c r="L64">
        <f>IFERROR(MATCH($C$5&amp;"|"&amp;RIGHT("000000"&amp;48,6),LdgRankKeyA,0),"")</f>
        <v/>
      </c>
      <c r="M64">
        <f>IFERROR(MATCH($C$5&amp;"|"&amp;RIGHT("000000"&amp;48,6),LdgRankKeyB,0),"")</f>
        <v/>
      </c>
    </row>
    <row r="65">
      <c r="A65" s="17" t="n">
        <v>49</v>
      </c>
      <c r="B65" s="18">
        <f>IF(AND($L65="",$M65=""),"",IF($L65&lt;&gt;"",INDEX(SCNormDate,$L65),INDEX(LdgDateB,$M65)))</f>
        <v/>
      </c>
      <c r="C65" s="18">
        <f>IF($L65&lt;&gt;"",INDEX(SCOp,$L65),IF($M65&lt;&gt;"","پرداخت بانکی",""))</f>
        <v/>
      </c>
      <c r="D65" s="18">
        <f>IF($L65&lt;&gt;"",IF(INDEX(SCDoc,$L65)="","—",INDEX(SCDoc,$L65)),IF($M65&lt;&gt;"",INDEX(LdgBankB,$M65),""))</f>
        <v/>
      </c>
      <c r="E65" s="19">
        <f>IF($L65&lt;&gt;"",IF(INDEX(SCCitrus,$L65)&amp;INDEX(SCNotes,$L65)="","",IF(INDEX(SCCitrus,$L65)="","",INDEX(SCCitrus,$L65))&amp;IF(INDEX(SCNotes,$L65)="",""," — "&amp;INDEX(SCNotes,$L65))),IF($M65&lt;&gt;"",IF(INDEX(LdgNoteB,$M65)="","—",INDEX(LdgNoteB,$M65)),""))</f>
        <v/>
      </c>
      <c r="F65" s="20">
        <f>IF($L65&lt;&gt;"",IF(INDEX(SCNet,$L65)=0,"",INDEX(SCNet,$L65)),"")</f>
        <v/>
      </c>
      <c r="G65" s="21">
        <f>IF($L65&lt;&gt;"",IF(INDEX(SCOp,$L65)="مرجوعی فروش","",IF(INDEX(SCAmount,$L65)&lt;=0,"",INDEX(SCAmount,$L65))),IF($M65&lt;&gt;"",IF(INDEX(LdgWitB,$M65)=0,"",INDEX(LdgWitB,$M65)),""))</f>
        <v/>
      </c>
      <c r="H65" s="21">
        <f>IF($L65&lt;&gt;"",IF(INDEX(SCOp,$L65)="مرجوعی فروش",IF(INDEX(SCAmount,$L65)=0,"",-INDEX(SCAmount,$L65)),""),IF($M65&lt;&gt;"",IF(INDEX(LdgDepB,$M65)=0,"",INDEX(LdgDepB,$M65)),""))</f>
        <v/>
      </c>
      <c r="I65" s="22">
        <f>IF($B65="","",IF($I64="",$C$10,$I64)+IF($G65="",0,$G65)-IF($H65="",0,$H65))</f>
        <v/>
      </c>
      <c r="L65">
        <f>IFERROR(MATCH($C$5&amp;"|"&amp;RIGHT("000000"&amp;49,6),LdgRankKeyA,0),"")</f>
        <v/>
      </c>
      <c r="M65">
        <f>IFERROR(MATCH($C$5&amp;"|"&amp;RIGHT("000000"&amp;49,6),LdgRankKeyB,0),"")</f>
        <v/>
      </c>
    </row>
    <row r="66">
      <c r="A66" s="23" t="n">
        <v>50</v>
      </c>
      <c r="B66" s="24">
        <f>IF(AND($L66="",$M66=""),"",IF($L66&lt;&gt;"",INDEX(SCNormDate,$L66),INDEX(LdgDateB,$M66)))</f>
        <v/>
      </c>
      <c r="C66" s="24">
        <f>IF($L66&lt;&gt;"",INDEX(SCOp,$L66),IF($M66&lt;&gt;"","پرداخت بانکی",""))</f>
        <v/>
      </c>
      <c r="D66" s="24">
        <f>IF($L66&lt;&gt;"",IF(INDEX(SCDoc,$L66)="","—",INDEX(SCDoc,$L66)),IF($M66&lt;&gt;"",INDEX(LdgBankB,$M66),""))</f>
        <v/>
      </c>
      <c r="E66" s="25">
        <f>IF($L66&lt;&gt;"",IF(INDEX(SCCitrus,$L66)&amp;INDEX(SCNotes,$L66)="","",IF(INDEX(SCCitrus,$L66)="","",INDEX(SCCitrus,$L66))&amp;IF(INDEX(SCNotes,$L66)="",""," — "&amp;INDEX(SCNotes,$L66))),IF($M66&lt;&gt;"",IF(INDEX(LdgNoteB,$M66)="","—",INDEX(LdgNoteB,$M66)),""))</f>
        <v/>
      </c>
      <c r="F66" s="26">
        <f>IF($L66&lt;&gt;"",IF(INDEX(SCNet,$L66)=0,"",INDEX(SCNet,$L66)),"")</f>
        <v/>
      </c>
      <c r="G66" s="27">
        <f>IF($L66&lt;&gt;"",IF(INDEX(SCOp,$L66)="مرجوعی فروش","",IF(INDEX(SCAmount,$L66)&lt;=0,"",INDEX(SCAmount,$L66))),IF($M66&lt;&gt;"",IF(INDEX(LdgWitB,$M66)=0,"",INDEX(LdgWitB,$M66)),""))</f>
        <v/>
      </c>
      <c r="H66" s="27">
        <f>IF($L66&lt;&gt;"",IF(INDEX(SCOp,$L66)="مرجوعی فروش",IF(INDEX(SCAmount,$L66)=0,"",-INDEX(SCAmount,$L66)),""),IF($M66&lt;&gt;"",IF(INDEX(LdgDepB,$M66)=0,"",INDEX(LdgDepB,$M66)),""))</f>
        <v/>
      </c>
      <c r="I66" s="28">
        <f>IF($B66="","",IF($I65="",$C$10,$I65)+IF($G66="",0,$G66)-IF($H66="",0,$H66))</f>
        <v/>
      </c>
      <c r="L66">
        <f>IFERROR(MATCH($C$5&amp;"|"&amp;RIGHT("000000"&amp;50,6),LdgRankKeyA,0),"")</f>
        <v/>
      </c>
      <c r="M66">
        <f>IFERROR(MATCH($C$5&amp;"|"&amp;RIGHT("000000"&amp;50,6),LdgRankKeyB,0),"")</f>
        <v/>
      </c>
    </row>
    <row r="67">
      <c r="A67" s="17" t="n">
        <v>51</v>
      </c>
      <c r="B67" s="18">
        <f>IF(AND($L67="",$M67=""),"",IF($L67&lt;&gt;"",INDEX(SCNormDate,$L67),INDEX(LdgDateB,$M67)))</f>
        <v/>
      </c>
      <c r="C67" s="18">
        <f>IF($L67&lt;&gt;"",INDEX(SCOp,$L67),IF($M67&lt;&gt;"","پرداخت بانکی",""))</f>
        <v/>
      </c>
      <c r="D67" s="18">
        <f>IF($L67&lt;&gt;"",IF(INDEX(SCDoc,$L67)="","—",INDEX(SCDoc,$L67)),IF($M67&lt;&gt;"",INDEX(LdgBankB,$M67),""))</f>
        <v/>
      </c>
      <c r="E67" s="19">
        <f>IF($L67&lt;&gt;"",IF(INDEX(SCCitrus,$L67)&amp;INDEX(SCNotes,$L67)="","",IF(INDEX(SCCitrus,$L67)="","",INDEX(SCCitrus,$L67))&amp;IF(INDEX(SCNotes,$L67)="",""," — "&amp;INDEX(SCNotes,$L67))),IF($M67&lt;&gt;"",IF(INDEX(LdgNoteB,$M67)="","—",INDEX(LdgNoteB,$M67)),""))</f>
        <v/>
      </c>
      <c r="F67" s="20">
        <f>IF($L67&lt;&gt;"",IF(INDEX(SCNet,$L67)=0,"",INDEX(SCNet,$L67)),"")</f>
        <v/>
      </c>
      <c r="G67" s="21">
        <f>IF($L67&lt;&gt;"",IF(INDEX(SCOp,$L67)="مرجوعی فروش","",IF(INDEX(SCAmount,$L67)&lt;=0,"",INDEX(SCAmount,$L67))),IF($M67&lt;&gt;"",IF(INDEX(LdgWitB,$M67)=0,"",INDEX(LdgWitB,$M67)),""))</f>
        <v/>
      </c>
      <c r="H67" s="21">
        <f>IF($L67&lt;&gt;"",IF(INDEX(SCOp,$L67)="مرجوعی فروش",IF(INDEX(SCAmount,$L67)=0,"",-INDEX(SCAmount,$L67)),""),IF($M67&lt;&gt;"",IF(INDEX(LdgDepB,$M67)=0,"",INDEX(LdgDepB,$M67)),""))</f>
        <v/>
      </c>
      <c r="I67" s="22">
        <f>IF($B67="","",IF($I66="",$C$10,$I66)+IF($G67="",0,$G67)-IF($H67="",0,$H67))</f>
        <v/>
      </c>
      <c r="L67">
        <f>IFERROR(MATCH($C$5&amp;"|"&amp;RIGHT("000000"&amp;51,6),LdgRankKeyA,0),"")</f>
        <v/>
      </c>
      <c r="M67">
        <f>IFERROR(MATCH($C$5&amp;"|"&amp;RIGHT("000000"&amp;51,6),LdgRankKeyB,0),"")</f>
        <v/>
      </c>
    </row>
    <row r="68">
      <c r="A68" s="23" t="n">
        <v>52</v>
      </c>
      <c r="B68" s="24">
        <f>IF(AND($L68="",$M68=""),"",IF($L68&lt;&gt;"",INDEX(SCNormDate,$L68),INDEX(LdgDateB,$M68)))</f>
        <v/>
      </c>
      <c r="C68" s="24">
        <f>IF($L68&lt;&gt;"",INDEX(SCOp,$L68),IF($M68&lt;&gt;"","پرداخت بانکی",""))</f>
        <v/>
      </c>
      <c r="D68" s="24">
        <f>IF($L68&lt;&gt;"",IF(INDEX(SCDoc,$L68)="","—",INDEX(SCDoc,$L68)),IF($M68&lt;&gt;"",INDEX(LdgBankB,$M68),""))</f>
        <v/>
      </c>
      <c r="E68" s="25">
        <f>IF($L68&lt;&gt;"",IF(INDEX(SCCitrus,$L68)&amp;INDEX(SCNotes,$L68)="","",IF(INDEX(SCCitrus,$L68)="","",INDEX(SCCitrus,$L68))&amp;IF(INDEX(SCNotes,$L68)="",""," — "&amp;INDEX(SCNotes,$L68))),IF($M68&lt;&gt;"",IF(INDEX(LdgNoteB,$M68)="","—",INDEX(LdgNoteB,$M68)),""))</f>
        <v/>
      </c>
      <c r="F68" s="26">
        <f>IF($L68&lt;&gt;"",IF(INDEX(SCNet,$L68)=0,"",INDEX(SCNet,$L68)),"")</f>
        <v/>
      </c>
      <c r="G68" s="27">
        <f>IF($L68&lt;&gt;"",IF(INDEX(SCOp,$L68)="مرجوعی فروش","",IF(INDEX(SCAmount,$L68)&lt;=0,"",INDEX(SCAmount,$L68))),IF($M68&lt;&gt;"",IF(INDEX(LdgWitB,$M68)=0,"",INDEX(LdgWitB,$M68)),""))</f>
        <v/>
      </c>
      <c r="H68" s="27">
        <f>IF($L68&lt;&gt;"",IF(INDEX(SCOp,$L68)="مرجوعی فروش",IF(INDEX(SCAmount,$L68)=0,"",-INDEX(SCAmount,$L68)),""),IF($M68&lt;&gt;"",IF(INDEX(LdgDepB,$M68)=0,"",INDEX(LdgDepB,$M68)),""))</f>
        <v/>
      </c>
      <c r="I68" s="28">
        <f>IF($B68="","",IF($I67="",$C$10,$I67)+IF($G68="",0,$G68)-IF($H68="",0,$H68))</f>
        <v/>
      </c>
      <c r="L68">
        <f>IFERROR(MATCH($C$5&amp;"|"&amp;RIGHT("000000"&amp;52,6),LdgRankKeyA,0),"")</f>
        <v/>
      </c>
      <c r="M68">
        <f>IFERROR(MATCH($C$5&amp;"|"&amp;RIGHT("000000"&amp;52,6),LdgRankKeyB,0),"")</f>
        <v/>
      </c>
    </row>
    <row r="69">
      <c r="A69" s="17" t="n">
        <v>53</v>
      </c>
      <c r="B69" s="18">
        <f>IF(AND($L69="",$M69=""),"",IF($L69&lt;&gt;"",INDEX(SCNormDate,$L69),INDEX(LdgDateB,$M69)))</f>
        <v/>
      </c>
      <c r="C69" s="18">
        <f>IF($L69&lt;&gt;"",INDEX(SCOp,$L69),IF($M69&lt;&gt;"","پرداخت بانکی",""))</f>
        <v/>
      </c>
      <c r="D69" s="18">
        <f>IF($L69&lt;&gt;"",IF(INDEX(SCDoc,$L69)="","—",INDEX(SCDoc,$L69)),IF($M69&lt;&gt;"",INDEX(LdgBankB,$M69),""))</f>
        <v/>
      </c>
      <c r="E69" s="19">
        <f>IF($L69&lt;&gt;"",IF(INDEX(SCCitrus,$L69)&amp;INDEX(SCNotes,$L69)="","",IF(INDEX(SCCitrus,$L69)="","",INDEX(SCCitrus,$L69))&amp;IF(INDEX(SCNotes,$L69)="",""," — "&amp;INDEX(SCNotes,$L69))),IF($M69&lt;&gt;"",IF(INDEX(LdgNoteB,$M69)="","—",INDEX(LdgNoteB,$M69)),""))</f>
        <v/>
      </c>
      <c r="F69" s="20">
        <f>IF($L69&lt;&gt;"",IF(INDEX(SCNet,$L69)=0,"",INDEX(SCNet,$L69)),"")</f>
        <v/>
      </c>
      <c r="G69" s="21">
        <f>IF($L69&lt;&gt;"",IF(INDEX(SCOp,$L69)="مرجوعی فروش","",IF(INDEX(SCAmount,$L69)&lt;=0,"",INDEX(SCAmount,$L69))),IF($M69&lt;&gt;"",IF(INDEX(LdgWitB,$M69)=0,"",INDEX(LdgWitB,$M69)),""))</f>
        <v/>
      </c>
      <c r="H69" s="21">
        <f>IF($L69&lt;&gt;"",IF(INDEX(SCOp,$L69)="مرجوعی فروش",IF(INDEX(SCAmount,$L69)=0,"",-INDEX(SCAmount,$L69)),""),IF($M69&lt;&gt;"",IF(INDEX(LdgDepB,$M69)=0,"",INDEX(LdgDepB,$M69)),""))</f>
        <v/>
      </c>
      <c r="I69" s="22">
        <f>IF($B69="","",IF($I68="",$C$10,$I68)+IF($G69="",0,$G69)-IF($H69="",0,$H69))</f>
        <v/>
      </c>
      <c r="L69">
        <f>IFERROR(MATCH($C$5&amp;"|"&amp;RIGHT("000000"&amp;53,6),LdgRankKeyA,0),"")</f>
        <v/>
      </c>
      <c r="M69">
        <f>IFERROR(MATCH($C$5&amp;"|"&amp;RIGHT("000000"&amp;53,6),LdgRankKeyB,0),"")</f>
        <v/>
      </c>
    </row>
    <row r="70">
      <c r="A70" s="23" t="n">
        <v>54</v>
      </c>
      <c r="B70" s="24">
        <f>IF(AND($L70="",$M70=""),"",IF($L70&lt;&gt;"",INDEX(SCNormDate,$L70),INDEX(LdgDateB,$M70)))</f>
        <v/>
      </c>
      <c r="C70" s="24">
        <f>IF($L70&lt;&gt;"",INDEX(SCOp,$L70),IF($M70&lt;&gt;"","پرداخت بانکی",""))</f>
        <v/>
      </c>
      <c r="D70" s="24">
        <f>IF($L70&lt;&gt;"",IF(INDEX(SCDoc,$L70)="","—",INDEX(SCDoc,$L70)),IF($M70&lt;&gt;"",INDEX(LdgBankB,$M70),""))</f>
        <v/>
      </c>
      <c r="E70" s="25">
        <f>IF($L70&lt;&gt;"",IF(INDEX(SCCitrus,$L70)&amp;INDEX(SCNotes,$L70)="","",IF(INDEX(SCCitrus,$L70)="","",INDEX(SCCitrus,$L70))&amp;IF(INDEX(SCNotes,$L70)="",""," — "&amp;INDEX(SCNotes,$L70))),IF($M70&lt;&gt;"",IF(INDEX(LdgNoteB,$M70)="","—",INDEX(LdgNoteB,$M70)),""))</f>
        <v/>
      </c>
      <c r="F70" s="26">
        <f>IF($L70&lt;&gt;"",IF(INDEX(SCNet,$L70)=0,"",INDEX(SCNet,$L70)),"")</f>
        <v/>
      </c>
      <c r="G70" s="27">
        <f>IF($L70&lt;&gt;"",IF(INDEX(SCOp,$L70)="مرجوعی فروش","",IF(INDEX(SCAmount,$L70)&lt;=0,"",INDEX(SCAmount,$L70))),IF($M70&lt;&gt;"",IF(INDEX(LdgWitB,$M70)=0,"",INDEX(LdgWitB,$M70)),""))</f>
        <v/>
      </c>
      <c r="H70" s="27">
        <f>IF($L70&lt;&gt;"",IF(INDEX(SCOp,$L70)="مرجوعی فروش",IF(INDEX(SCAmount,$L70)=0,"",-INDEX(SCAmount,$L70)),""),IF($M70&lt;&gt;"",IF(INDEX(LdgDepB,$M70)=0,"",INDEX(LdgDepB,$M70)),""))</f>
        <v/>
      </c>
      <c r="I70" s="28">
        <f>IF($B70="","",IF($I69="",$C$10,$I69)+IF($G70="",0,$G70)-IF($H70="",0,$H70))</f>
        <v/>
      </c>
      <c r="L70">
        <f>IFERROR(MATCH($C$5&amp;"|"&amp;RIGHT("000000"&amp;54,6),LdgRankKeyA,0),"")</f>
        <v/>
      </c>
      <c r="M70">
        <f>IFERROR(MATCH($C$5&amp;"|"&amp;RIGHT("000000"&amp;54,6),LdgRankKeyB,0),"")</f>
        <v/>
      </c>
    </row>
    <row r="71">
      <c r="A71" s="17" t="n">
        <v>55</v>
      </c>
      <c r="B71" s="18">
        <f>IF(AND($L71="",$M71=""),"",IF($L71&lt;&gt;"",INDEX(SCNormDate,$L71),INDEX(LdgDateB,$M71)))</f>
        <v/>
      </c>
      <c r="C71" s="18">
        <f>IF($L71&lt;&gt;"",INDEX(SCOp,$L71),IF($M71&lt;&gt;"","پرداخت بانکی",""))</f>
        <v/>
      </c>
      <c r="D71" s="18">
        <f>IF($L71&lt;&gt;"",IF(INDEX(SCDoc,$L71)="","—",INDEX(SCDoc,$L71)),IF($M71&lt;&gt;"",INDEX(LdgBankB,$M71),""))</f>
        <v/>
      </c>
      <c r="E71" s="19">
        <f>IF($L71&lt;&gt;"",IF(INDEX(SCCitrus,$L71)&amp;INDEX(SCNotes,$L71)="","",IF(INDEX(SCCitrus,$L71)="","",INDEX(SCCitrus,$L71))&amp;IF(INDEX(SCNotes,$L71)="",""," — "&amp;INDEX(SCNotes,$L71))),IF($M71&lt;&gt;"",IF(INDEX(LdgNoteB,$M71)="","—",INDEX(LdgNoteB,$M71)),""))</f>
        <v/>
      </c>
      <c r="F71" s="20">
        <f>IF($L71&lt;&gt;"",IF(INDEX(SCNet,$L71)=0,"",INDEX(SCNet,$L71)),"")</f>
        <v/>
      </c>
      <c r="G71" s="21">
        <f>IF($L71&lt;&gt;"",IF(INDEX(SCOp,$L71)="مرجوعی فروش","",IF(INDEX(SCAmount,$L71)&lt;=0,"",INDEX(SCAmount,$L71))),IF($M71&lt;&gt;"",IF(INDEX(LdgWitB,$M71)=0,"",INDEX(LdgWitB,$M71)),""))</f>
        <v/>
      </c>
      <c r="H71" s="21">
        <f>IF($L71&lt;&gt;"",IF(INDEX(SCOp,$L71)="مرجوعی فروش",IF(INDEX(SCAmount,$L71)=0,"",-INDEX(SCAmount,$L71)),""),IF($M71&lt;&gt;"",IF(INDEX(LdgDepB,$M71)=0,"",INDEX(LdgDepB,$M71)),""))</f>
        <v/>
      </c>
      <c r="I71" s="22">
        <f>IF($B71="","",IF($I70="",$C$10,$I70)+IF($G71="",0,$G71)-IF($H71="",0,$H71))</f>
        <v/>
      </c>
      <c r="L71">
        <f>IFERROR(MATCH($C$5&amp;"|"&amp;RIGHT("000000"&amp;55,6),LdgRankKeyA,0),"")</f>
        <v/>
      </c>
      <c r="M71">
        <f>IFERROR(MATCH($C$5&amp;"|"&amp;RIGHT("000000"&amp;55,6),LdgRankKeyB,0),"")</f>
        <v/>
      </c>
    </row>
    <row r="72">
      <c r="A72" s="23" t="n">
        <v>56</v>
      </c>
      <c r="B72" s="24">
        <f>IF(AND($L72="",$M72=""),"",IF($L72&lt;&gt;"",INDEX(SCNormDate,$L72),INDEX(LdgDateB,$M72)))</f>
        <v/>
      </c>
      <c r="C72" s="24">
        <f>IF($L72&lt;&gt;"",INDEX(SCOp,$L72),IF($M72&lt;&gt;"","پرداخت بانکی",""))</f>
        <v/>
      </c>
      <c r="D72" s="24">
        <f>IF($L72&lt;&gt;"",IF(INDEX(SCDoc,$L72)="","—",INDEX(SCDoc,$L72)),IF($M72&lt;&gt;"",INDEX(LdgBankB,$M72),""))</f>
        <v/>
      </c>
      <c r="E72" s="25">
        <f>IF($L72&lt;&gt;"",IF(INDEX(SCCitrus,$L72)&amp;INDEX(SCNotes,$L72)="","",IF(INDEX(SCCitrus,$L72)="","",INDEX(SCCitrus,$L72))&amp;IF(INDEX(SCNotes,$L72)="",""," — "&amp;INDEX(SCNotes,$L72))),IF($M72&lt;&gt;"",IF(INDEX(LdgNoteB,$M72)="","—",INDEX(LdgNoteB,$M72)),""))</f>
        <v/>
      </c>
      <c r="F72" s="26">
        <f>IF($L72&lt;&gt;"",IF(INDEX(SCNet,$L72)=0,"",INDEX(SCNet,$L72)),"")</f>
        <v/>
      </c>
      <c r="G72" s="27">
        <f>IF($L72&lt;&gt;"",IF(INDEX(SCOp,$L72)="مرجوعی فروش","",IF(INDEX(SCAmount,$L72)&lt;=0,"",INDEX(SCAmount,$L72))),IF($M72&lt;&gt;"",IF(INDEX(LdgWitB,$M72)=0,"",INDEX(LdgWitB,$M72)),""))</f>
        <v/>
      </c>
      <c r="H72" s="27">
        <f>IF($L72&lt;&gt;"",IF(INDEX(SCOp,$L72)="مرجوعی فروش",IF(INDEX(SCAmount,$L72)=0,"",-INDEX(SCAmount,$L72)),""),IF($M72&lt;&gt;"",IF(INDEX(LdgDepB,$M72)=0,"",INDEX(LdgDepB,$M72)),""))</f>
        <v/>
      </c>
      <c r="I72" s="28">
        <f>IF($B72="","",IF($I71="",$C$10,$I71)+IF($G72="",0,$G72)-IF($H72="",0,$H72))</f>
        <v/>
      </c>
      <c r="L72">
        <f>IFERROR(MATCH($C$5&amp;"|"&amp;RIGHT("000000"&amp;56,6),LdgRankKeyA,0),"")</f>
        <v/>
      </c>
      <c r="M72">
        <f>IFERROR(MATCH($C$5&amp;"|"&amp;RIGHT("000000"&amp;56,6),LdgRankKeyB,0),"")</f>
        <v/>
      </c>
    </row>
    <row r="73">
      <c r="A73" s="17" t="n">
        <v>57</v>
      </c>
      <c r="B73" s="18">
        <f>IF(AND($L73="",$M73=""),"",IF($L73&lt;&gt;"",INDEX(SCNormDate,$L73),INDEX(LdgDateB,$M73)))</f>
        <v/>
      </c>
      <c r="C73" s="18">
        <f>IF($L73&lt;&gt;"",INDEX(SCOp,$L73),IF($M73&lt;&gt;"","پرداخت بانکی",""))</f>
        <v/>
      </c>
      <c r="D73" s="18">
        <f>IF($L73&lt;&gt;"",IF(INDEX(SCDoc,$L73)="","—",INDEX(SCDoc,$L73)),IF($M73&lt;&gt;"",INDEX(LdgBankB,$M73),""))</f>
        <v/>
      </c>
      <c r="E73" s="19">
        <f>IF($L73&lt;&gt;"",IF(INDEX(SCCitrus,$L73)&amp;INDEX(SCNotes,$L73)="","",IF(INDEX(SCCitrus,$L73)="","",INDEX(SCCitrus,$L73))&amp;IF(INDEX(SCNotes,$L73)="",""," — "&amp;INDEX(SCNotes,$L73))),IF($M73&lt;&gt;"",IF(INDEX(LdgNoteB,$M73)="","—",INDEX(LdgNoteB,$M73)),""))</f>
        <v/>
      </c>
      <c r="F73" s="20">
        <f>IF($L73&lt;&gt;"",IF(INDEX(SCNet,$L73)=0,"",INDEX(SCNet,$L73)),"")</f>
        <v/>
      </c>
      <c r="G73" s="21">
        <f>IF($L73&lt;&gt;"",IF(INDEX(SCOp,$L73)="مرجوعی فروش","",IF(INDEX(SCAmount,$L73)&lt;=0,"",INDEX(SCAmount,$L73))),IF($M73&lt;&gt;"",IF(INDEX(LdgWitB,$M73)=0,"",INDEX(LdgWitB,$M73)),""))</f>
        <v/>
      </c>
      <c r="H73" s="21">
        <f>IF($L73&lt;&gt;"",IF(INDEX(SCOp,$L73)="مرجوعی فروش",IF(INDEX(SCAmount,$L73)=0,"",-INDEX(SCAmount,$L73)),""),IF($M73&lt;&gt;"",IF(INDEX(LdgDepB,$M73)=0,"",INDEX(LdgDepB,$M73)),""))</f>
        <v/>
      </c>
      <c r="I73" s="22">
        <f>IF($B73="","",IF($I72="",$C$10,$I72)+IF($G73="",0,$G73)-IF($H73="",0,$H73))</f>
        <v/>
      </c>
      <c r="L73">
        <f>IFERROR(MATCH($C$5&amp;"|"&amp;RIGHT("000000"&amp;57,6),LdgRankKeyA,0),"")</f>
        <v/>
      </c>
      <c r="M73">
        <f>IFERROR(MATCH($C$5&amp;"|"&amp;RIGHT("000000"&amp;57,6),LdgRankKeyB,0),"")</f>
        <v/>
      </c>
    </row>
    <row r="74">
      <c r="A74" s="23" t="n">
        <v>58</v>
      </c>
      <c r="B74" s="24">
        <f>IF(AND($L74="",$M74=""),"",IF($L74&lt;&gt;"",INDEX(SCNormDate,$L74),INDEX(LdgDateB,$M74)))</f>
        <v/>
      </c>
      <c r="C74" s="24">
        <f>IF($L74&lt;&gt;"",INDEX(SCOp,$L74),IF($M74&lt;&gt;"","پرداخت بانکی",""))</f>
        <v/>
      </c>
      <c r="D74" s="24">
        <f>IF($L74&lt;&gt;"",IF(INDEX(SCDoc,$L74)="","—",INDEX(SCDoc,$L74)),IF($M74&lt;&gt;"",INDEX(LdgBankB,$M74),""))</f>
        <v/>
      </c>
      <c r="E74" s="25">
        <f>IF($L74&lt;&gt;"",IF(INDEX(SCCitrus,$L74)&amp;INDEX(SCNotes,$L74)="","",IF(INDEX(SCCitrus,$L74)="","",INDEX(SCCitrus,$L74))&amp;IF(INDEX(SCNotes,$L74)="",""," — "&amp;INDEX(SCNotes,$L74))),IF($M74&lt;&gt;"",IF(INDEX(LdgNoteB,$M74)="","—",INDEX(LdgNoteB,$M74)),""))</f>
        <v/>
      </c>
      <c r="F74" s="26">
        <f>IF($L74&lt;&gt;"",IF(INDEX(SCNet,$L74)=0,"",INDEX(SCNet,$L74)),"")</f>
        <v/>
      </c>
      <c r="G74" s="27">
        <f>IF($L74&lt;&gt;"",IF(INDEX(SCOp,$L74)="مرجوعی فروش","",IF(INDEX(SCAmount,$L74)&lt;=0,"",INDEX(SCAmount,$L74))),IF($M74&lt;&gt;"",IF(INDEX(LdgWitB,$M74)=0,"",INDEX(LdgWitB,$M74)),""))</f>
        <v/>
      </c>
      <c r="H74" s="27">
        <f>IF($L74&lt;&gt;"",IF(INDEX(SCOp,$L74)="مرجوعی فروش",IF(INDEX(SCAmount,$L74)=0,"",-INDEX(SCAmount,$L74)),""),IF($M74&lt;&gt;"",IF(INDEX(LdgDepB,$M74)=0,"",INDEX(LdgDepB,$M74)),""))</f>
        <v/>
      </c>
      <c r="I74" s="28">
        <f>IF($B74="","",IF($I73="",$C$10,$I73)+IF($G74="",0,$G74)-IF($H74="",0,$H74))</f>
        <v/>
      </c>
      <c r="L74">
        <f>IFERROR(MATCH($C$5&amp;"|"&amp;RIGHT("000000"&amp;58,6),LdgRankKeyA,0),"")</f>
        <v/>
      </c>
      <c r="M74">
        <f>IFERROR(MATCH($C$5&amp;"|"&amp;RIGHT("000000"&amp;58,6),LdgRankKeyB,0),"")</f>
        <v/>
      </c>
    </row>
    <row r="75">
      <c r="A75" s="17" t="n">
        <v>59</v>
      </c>
      <c r="B75" s="18">
        <f>IF(AND($L75="",$M75=""),"",IF($L75&lt;&gt;"",INDEX(SCNormDate,$L75),INDEX(LdgDateB,$M75)))</f>
        <v/>
      </c>
      <c r="C75" s="18">
        <f>IF($L75&lt;&gt;"",INDEX(SCOp,$L75),IF($M75&lt;&gt;"","پرداخت بانکی",""))</f>
        <v/>
      </c>
      <c r="D75" s="18">
        <f>IF($L75&lt;&gt;"",IF(INDEX(SCDoc,$L75)="","—",INDEX(SCDoc,$L75)),IF($M75&lt;&gt;"",INDEX(LdgBankB,$M75),""))</f>
        <v/>
      </c>
      <c r="E75" s="19">
        <f>IF($L75&lt;&gt;"",IF(INDEX(SCCitrus,$L75)&amp;INDEX(SCNotes,$L75)="","",IF(INDEX(SCCitrus,$L75)="","",INDEX(SCCitrus,$L75))&amp;IF(INDEX(SCNotes,$L75)="",""," — "&amp;INDEX(SCNotes,$L75))),IF($M75&lt;&gt;"",IF(INDEX(LdgNoteB,$M75)="","—",INDEX(LdgNoteB,$M75)),""))</f>
        <v/>
      </c>
      <c r="F75" s="20">
        <f>IF($L75&lt;&gt;"",IF(INDEX(SCNet,$L75)=0,"",INDEX(SCNet,$L75)),"")</f>
        <v/>
      </c>
      <c r="G75" s="21">
        <f>IF($L75&lt;&gt;"",IF(INDEX(SCOp,$L75)="مرجوعی فروش","",IF(INDEX(SCAmount,$L75)&lt;=0,"",INDEX(SCAmount,$L75))),IF($M75&lt;&gt;"",IF(INDEX(LdgWitB,$M75)=0,"",INDEX(LdgWitB,$M75)),""))</f>
        <v/>
      </c>
      <c r="H75" s="21">
        <f>IF($L75&lt;&gt;"",IF(INDEX(SCOp,$L75)="مرجوعی فروش",IF(INDEX(SCAmount,$L75)=0,"",-INDEX(SCAmount,$L75)),""),IF($M75&lt;&gt;"",IF(INDEX(LdgDepB,$M75)=0,"",INDEX(LdgDepB,$M75)),""))</f>
        <v/>
      </c>
      <c r="I75" s="22">
        <f>IF($B75="","",IF($I74="",$C$10,$I74)+IF($G75="",0,$G75)-IF($H75="",0,$H75))</f>
        <v/>
      </c>
      <c r="L75">
        <f>IFERROR(MATCH($C$5&amp;"|"&amp;RIGHT("000000"&amp;59,6),LdgRankKeyA,0),"")</f>
        <v/>
      </c>
      <c r="M75">
        <f>IFERROR(MATCH($C$5&amp;"|"&amp;RIGHT("000000"&amp;59,6),LdgRankKeyB,0),"")</f>
        <v/>
      </c>
    </row>
    <row r="76">
      <c r="A76" s="23" t="n">
        <v>60</v>
      </c>
      <c r="B76" s="24">
        <f>IF(AND($L76="",$M76=""),"",IF($L76&lt;&gt;"",INDEX(SCNormDate,$L76),INDEX(LdgDateB,$M76)))</f>
        <v/>
      </c>
      <c r="C76" s="24">
        <f>IF($L76&lt;&gt;"",INDEX(SCOp,$L76),IF($M76&lt;&gt;"","پرداخت بانکی",""))</f>
        <v/>
      </c>
      <c r="D76" s="24">
        <f>IF($L76&lt;&gt;"",IF(INDEX(SCDoc,$L76)="","—",INDEX(SCDoc,$L76)),IF($M76&lt;&gt;"",INDEX(LdgBankB,$M76),""))</f>
        <v/>
      </c>
      <c r="E76" s="25">
        <f>IF($L76&lt;&gt;"",IF(INDEX(SCCitrus,$L76)&amp;INDEX(SCNotes,$L76)="","",IF(INDEX(SCCitrus,$L76)="","",INDEX(SCCitrus,$L76))&amp;IF(INDEX(SCNotes,$L76)="",""," — "&amp;INDEX(SCNotes,$L76))),IF($M76&lt;&gt;"",IF(INDEX(LdgNoteB,$M76)="","—",INDEX(LdgNoteB,$M76)),""))</f>
        <v/>
      </c>
      <c r="F76" s="26">
        <f>IF($L76&lt;&gt;"",IF(INDEX(SCNet,$L76)=0,"",INDEX(SCNet,$L76)),"")</f>
        <v/>
      </c>
      <c r="G76" s="27">
        <f>IF($L76&lt;&gt;"",IF(INDEX(SCOp,$L76)="مرجوعی فروش","",IF(INDEX(SCAmount,$L76)&lt;=0,"",INDEX(SCAmount,$L76))),IF($M76&lt;&gt;"",IF(INDEX(LdgWitB,$M76)=0,"",INDEX(LdgWitB,$M76)),""))</f>
        <v/>
      </c>
      <c r="H76" s="27">
        <f>IF($L76&lt;&gt;"",IF(INDEX(SCOp,$L76)="مرجوعی فروش",IF(INDEX(SCAmount,$L76)=0,"",-INDEX(SCAmount,$L76)),""),IF($M76&lt;&gt;"",IF(INDEX(LdgDepB,$M76)=0,"",INDEX(LdgDepB,$M76)),""))</f>
        <v/>
      </c>
      <c r="I76" s="28">
        <f>IF($B76="","",IF($I75="",$C$10,$I75)+IF($G76="",0,$G76)-IF($H76="",0,$H76))</f>
        <v/>
      </c>
      <c r="L76">
        <f>IFERROR(MATCH($C$5&amp;"|"&amp;RIGHT("000000"&amp;60,6),LdgRankKeyA,0),"")</f>
        <v/>
      </c>
      <c r="M76">
        <f>IFERROR(MATCH($C$5&amp;"|"&amp;RIGHT("000000"&amp;60,6),LdgRankKeyB,0),"")</f>
        <v/>
      </c>
    </row>
    <row r="77">
      <c r="A77" s="17" t="n">
        <v>61</v>
      </c>
      <c r="B77" s="18">
        <f>IF(AND($L77="",$M77=""),"",IF($L77&lt;&gt;"",INDEX(SCNormDate,$L77),INDEX(LdgDateB,$M77)))</f>
        <v/>
      </c>
      <c r="C77" s="18">
        <f>IF($L77&lt;&gt;"",INDEX(SCOp,$L77),IF($M77&lt;&gt;"","پرداخت بانکی",""))</f>
        <v/>
      </c>
      <c r="D77" s="18">
        <f>IF($L77&lt;&gt;"",IF(INDEX(SCDoc,$L77)="","—",INDEX(SCDoc,$L77)),IF($M77&lt;&gt;"",INDEX(LdgBankB,$M77),""))</f>
        <v/>
      </c>
      <c r="E77" s="19">
        <f>IF($L77&lt;&gt;"",IF(INDEX(SCCitrus,$L77)&amp;INDEX(SCNotes,$L77)="","",IF(INDEX(SCCitrus,$L77)="","",INDEX(SCCitrus,$L77))&amp;IF(INDEX(SCNotes,$L77)="",""," — "&amp;INDEX(SCNotes,$L77))),IF($M77&lt;&gt;"",IF(INDEX(LdgNoteB,$M77)="","—",INDEX(LdgNoteB,$M77)),""))</f>
        <v/>
      </c>
      <c r="F77" s="20">
        <f>IF($L77&lt;&gt;"",IF(INDEX(SCNet,$L77)=0,"",INDEX(SCNet,$L77)),"")</f>
        <v/>
      </c>
      <c r="G77" s="21">
        <f>IF($L77&lt;&gt;"",IF(INDEX(SCOp,$L77)="مرجوعی فروش","",IF(INDEX(SCAmount,$L77)&lt;=0,"",INDEX(SCAmount,$L77))),IF($M77&lt;&gt;"",IF(INDEX(LdgWitB,$M77)=0,"",INDEX(LdgWitB,$M77)),""))</f>
        <v/>
      </c>
      <c r="H77" s="21">
        <f>IF($L77&lt;&gt;"",IF(INDEX(SCOp,$L77)="مرجوعی فروش",IF(INDEX(SCAmount,$L77)=0,"",-INDEX(SCAmount,$L77)),""),IF($M77&lt;&gt;"",IF(INDEX(LdgDepB,$M77)=0,"",INDEX(LdgDepB,$M77)),""))</f>
        <v/>
      </c>
      <c r="I77" s="22">
        <f>IF($B77="","",IF($I76="",$C$10,$I76)+IF($G77="",0,$G77)-IF($H77="",0,$H77))</f>
        <v/>
      </c>
      <c r="L77">
        <f>IFERROR(MATCH($C$5&amp;"|"&amp;RIGHT("000000"&amp;61,6),LdgRankKeyA,0),"")</f>
        <v/>
      </c>
      <c r="M77">
        <f>IFERROR(MATCH($C$5&amp;"|"&amp;RIGHT("000000"&amp;61,6),LdgRankKeyB,0),"")</f>
        <v/>
      </c>
    </row>
    <row r="78">
      <c r="A78" s="23" t="n">
        <v>62</v>
      </c>
      <c r="B78" s="24">
        <f>IF(AND($L78="",$M78=""),"",IF($L78&lt;&gt;"",INDEX(SCNormDate,$L78),INDEX(LdgDateB,$M78)))</f>
        <v/>
      </c>
      <c r="C78" s="24">
        <f>IF($L78&lt;&gt;"",INDEX(SCOp,$L78),IF($M78&lt;&gt;"","پرداخت بانکی",""))</f>
        <v/>
      </c>
      <c r="D78" s="24">
        <f>IF($L78&lt;&gt;"",IF(INDEX(SCDoc,$L78)="","—",INDEX(SCDoc,$L78)),IF($M78&lt;&gt;"",INDEX(LdgBankB,$M78),""))</f>
        <v/>
      </c>
      <c r="E78" s="25">
        <f>IF($L78&lt;&gt;"",IF(INDEX(SCCitrus,$L78)&amp;INDEX(SCNotes,$L78)="","",IF(INDEX(SCCitrus,$L78)="","",INDEX(SCCitrus,$L78))&amp;IF(INDEX(SCNotes,$L78)="",""," — "&amp;INDEX(SCNotes,$L78))),IF($M78&lt;&gt;"",IF(INDEX(LdgNoteB,$M78)="","—",INDEX(LdgNoteB,$M78)),""))</f>
        <v/>
      </c>
      <c r="F78" s="26">
        <f>IF($L78&lt;&gt;"",IF(INDEX(SCNet,$L78)=0,"",INDEX(SCNet,$L78)),"")</f>
        <v/>
      </c>
      <c r="G78" s="27">
        <f>IF($L78&lt;&gt;"",IF(INDEX(SCOp,$L78)="مرجوعی فروش","",IF(INDEX(SCAmount,$L78)&lt;=0,"",INDEX(SCAmount,$L78))),IF($M78&lt;&gt;"",IF(INDEX(LdgWitB,$M78)=0,"",INDEX(LdgWitB,$M78)),""))</f>
        <v/>
      </c>
      <c r="H78" s="27">
        <f>IF($L78&lt;&gt;"",IF(INDEX(SCOp,$L78)="مرجوعی فروش",IF(INDEX(SCAmount,$L78)=0,"",-INDEX(SCAmount,$L78)),""),IF($M78&lt;&gt;"",IF(INDEX(LdgDepB,$M78)=0,"",INDEX(LdgDepB,$M78)),""))</f>
        <v/>
      </c>
      <c r="I78" s="28">
        <f>IF($B78="","",IF($I77="",$C$10,$I77)+IF($G78="",0,$G78)-IF($H78="",0,$H78))</f>
        <v/>
      </c>
      <c r="L78">
        <f>IFERROR(MATCH($C$5&amp;"|"&amp;RIGHT("000000"&amp;62,6),LdgRankKeyA,0),"")</f>
        <v/>
      </c>
      <c r="M78">
        <f>IFERROR(MATCH($C$5&amp;"|"&amp;RIGHT("000000"&amp;62,6),LdgRankKeyB,0),"")</f>
        <v/>
      </c>
    </row>
    <row r="79">
      <c r="A79" s="17" t="n">
        <v>63</v>
      </c>
      <c r="B79" s="18">
        <f>IF(AND($L79="",$M79=""),"",IF($L79&lt;&gt;"",INDEX(SCNormDate,$L79),INDEX(LdgDateB,$M79)))</f>
        <v/>
      </c>
      <c r="C79" s="18">
        <f>IF($L79&lt;&gt;"",INDEX(SCOp,$L79),IF($M79&lt;&gt;"","پرداخت بانکی",""))</f>
        <v/>
      </c>
      <c r="D79" s="18">
        <f>IF($L79&lt;&gt;"",IF(INDEX(SCDoc,$L79)="","—",INDEX(SCDoc,$L79)),IF($M79&lt;&gt;"",INDEX(LdgBankB,$M79),""))</f>
        <v/>
      </c>
      <c r="E79" s="19">
        <f>IF($L79&lt;&gt;"",IF(INDEX(SCCitrus,$L79)&amp;INDEX(SCNotes,$L79)="","",IF(INDEX(SCCitrus,$L79)="","",INDEX(SCCitrus,$L79))&amp;IF(INDEX(SCNotes,$L79)="",""," — "&amp;INDEX(SCNotes,$L79))),IF($M79&lt;&gt;"",IF(INDEX(LdgNoteB,$M79)="","—",INDEX(LdgNoteB,$M79)),""))</f>
        <v/>
      </c>
      <c r="F79" s="20">
        <f>IF($L79&lt;&gt;"",IF(INDEX(SCNet,$L79)=0,"",INDEX(SCNet,$L79)),"")</f>
        <v/>
      </c>
      <c r="G79" s="21">
        <f>IF($L79&lt;&gt;"",IF(INDEX(SCOp,$L79)="مرجوعی فروش","",IF(INDEX(SCAmount,$L79)&lt;=0,"",INDEX(SCAmount,$L79))),IF($M79&lt;&gt;"",IF(INDEX(LdgWitB,$M79)=0,"",INDEX(LdgWitB,$M79)),""))</f>
        <v/>
      </c>
      <c r="H79" s="21">
        <f>IF($L79&lt;&gt;"",IF(INDEX(SCOp,$L79)="مرجوعی فروش",IF(INDEX(SCAmount,$L79)=0,"",-INDEX(SCAmount,$L79)),""),IF($M79&lt;&gt;"",IF(INDEX(LdgDepB,$M79)=0,"",INDEX(LdgDepB,$M79)),""))</f>
        <v/>
      </c>
      <c r="I79" s="22">
        <f>IF($B79="","",IF($I78="",$C$10,$I78)+IF($G79="",0,$G79)-IF($H79="",0,$H79))</f>
        <v/>
      </c>
      <c r="L79">
        <f>IFERROR(MATCH($C$5&amp;"|"&amp;RIGHT("000000"&amp;63,6),LdgRankKeyA,0),"")</f>
        <v/>
      </c>
      <c r="M79">
        <f>IFERROR(MATCH($C$5&amp;"|"&amp;RIGHT("000000"&amp;63,6),LdgRankKeyB,0),"")</f>
        <v/>
      </c>
    </row>
    <row r="80">
      <c r="A80" s="23" t="n">
        <v>64</v>
      </c>
      <c r="B80" s="24">
        <f>IF(AND($L80="",$M80=""),"",IF($L80&lt;&gt;"",INDEX(SCNormDate,$L80),INDEX(LdgDateB,$M80)))</f>
        <v/>
      </c>
      <c r="C80" s="24">
        <f>IF($L80&lt;&gt;"",INDEX(SCOp,$L80),IF($M80&lt;&gt;"","پرداخت بانکی",""))</f>
        <v/>
      </c>
      <c r="D80" s="24">
        <f>IF($L80&lt;&gt;"",IF(INDEX(SCDoc,$L80)="","—",INDEX(SCDoc,$L80)),IF($M80&lt;&gt;"",INDEX(LdgBankB,$M80),""))</f>
        <v/>
      </c>
      <c r="E80" s="25">
        <f>IF($L80&lt;&gt;"",IF(INDEX(SCCitrus,$L80)&amp;INDEX(SCNotes,$L80)="","",IF(INDEX(SCCitrus,$L80)="","",INDEX(SCCitrus,$L80))&amp;IF(INDEX(SCNotes,$L80)="",""," — "&amp;INDEX(SCNotes,$L80))),IF($M80&lt;&gt;"",IF(INDEX(LdgNoteB,$M80)="","—",INDEX(LdgNoteB,$M80)),""))</f>
        <v/>
      </c>
      <c r="F80" s="26">
        <f>IF($L80&lt;&gt;"",IF(INDEX(SCNet,$L80)=0,"",INDEX(SCNet,$L80)),"")</f>
        <v/>
      </c>
      <c r="G80" s="27">
        <f>IF($L80&lt;&gt;"",IF(INDEX(SCOp,$L80)="مرجوعی فروش","",IF(INDEX(SCAmount,$L80)&lt;=0,"",INDEX(SCAmount,$L80))),IF($M80&lt;&gt;"",IF(INDEX(LdgWitB,$M80)=0,"",INDEX(LdgWitB,$M80)),""))</f>
        <v/>
      </c>
      <c r="H80" s="27">
        <f>IF($L80&lt;&gt;"",IF(INDEX(SCOp,$L80)="مرجوعی فروش",IF(INDEX(SCAmount,$L80)=0,"",-INDEX(SCAmount,$L80)),""),IF($M80&lt;&gt;"",IF(INDEX(LdgDepB,$M80)=0,"",INDEX(LdgDepB,$M80)),""))</f>
        <v/>
      </c>
      <c r="I80" s="28">
        <f>IF($B80="","",IF($I79="",$C$10,$I79)+IF($G80="",0,$G80)-IF($H80="",0,$H80))</f>
        <v/>
      </c>
      <c r="L80">
        <f>IFERROR(MATCH($C$5&amp;"|"&amp;RIGHT("000000"&amp;64,6),LdgRankKeyA,0),"")</f>
        <v/>
      </c>
      <c r="M80">
        <f>IFERROR(MATCH($C$5&amp;"|"&amp;RIGHT("000000"&amp;64,6),LdgRankKeyB,0),"")</f>
        <v/>
      </c>
    </row>
    <row r="81">
      <c r="A81" s="17" t="n">
        <v>65</v>
      </c>
      <c r="B81" s="18">
        <f>IF(AND($L81="",$M81=""),"",IF($L81&lt;&gt;"",INDEX(SCNormDate,$L81),INDEX(LdgDateB,$M81)))</f>
        <v/>
      </c>
      <c r="C81" s="18">
        <f>IF($L81&lt;&gt;"",INDEX(SCOp,$L81),IF($M81&lt;&gt;"","پرداخت بانکی",""))</f>
        <v/>
      </c>
      <c r="D81" s="18">
        <f>IF($L81&lt;&gt;"",IF(INDEX(SCDoc,$L81)="","—",INDEX(SCDoc,$L81)),IF($M81&lt;&gt;"",INDEX(LdgBankB,$M81),""))</f>
        <v/>
      </c>
      <c r="E81" s="19">
        <f>IF($L81&lt;&gt;"",IF(INDEX(SCCitrus,$L81)&amp;INDEX(SCNotes,$L81)="","",IF(INDEX(SCCitrus,$L81)="","",INDEX(SCCitrus,$L81))&amp;IF(INDEX(SCNotes,$L81)="",""," — "&amp;INDEX(SCNotes,$L81))),IF($M81&lt;&gt;"",IF(INDEX(LdgNoteB,$M81)="","—",INDEX(LdgNoteB,$M81)),""))</f>
        <v/>
      </c>
      <c r="F81" s="20">
        <f>IF($L81&lt;&gt;"",IF(INDEX(SCNet,$L81)=0,"",INDEX(SCNet,$L81)),"")</f>
        <v/>
      </c>
      <c r="G81" s="21">
        <f>IF($L81&lt;&gt;"",IF(INDEX(SCOp,$L81)="مرجوعی فروش","",IF(INDEX(SCAmount,$L81)&lt;=0,"",INDEX(SCAmount,$L81))),IF($M81&lt;&gt;"",IF(INDEX(LdgWitB,$M81)=0,"",INDEX(LdgWitB,$M81)),""))</f>
        <v/>
      </c>
      <c r="H81" s="21">
        <f>IF($L81&lt;&gt;"",IF(INDEX(SCOp,$L81)="مرجوعی فروش",IF(INDEX(SCAmount,$L81)=0,"",-INDEX(SCAmount,$L81)),""),IF($M81&lt;&gt;"",IF(INDEX(LdgDepB,$M81)=0,"",INDEX(LdgDepB,$M81)),""))</f>
        <v/>
      </c>
      <c r="I81" s="22">
        <f>IF($B81="","",IF($I80="",$C$10,$I80)+IF($G81="",0,$G81)-IF($H81="",0,$H81))</f>
        <v/>
      </c>
      <c r="L81">
        <f>IFERROR(MATCH($C$5&amp;"|"&amp;RIGHT("000000"&amp;65,6),LdgRankKeyA,0),"")</f>
        <v/>
      </c>
      <c r="M81">
        <f>IFERROR(MATCH($C$5&amp;"|"&amp;RIGHT("000000"&amp;65,6),LdgRankKeyB,0),"")</f>
        <v/>
      </c>
    </row>
    <row r="82">
      <c r="A82" s="23" t="n">
        <v>66</v>
      </c>
      <c r="B82" s="24">
        <f>IF(AND($L82="",$M82=""),"",IF($L82&lt;&gt;"",INDEX(SCNormDate,$L82),INDEX(LdgDateB,$M82)))</f>
        <v/>
      </c>
      <c r="C82" s="24">
        <f>IF($L82&lt;&gt;"",INDEX(SCOp,$L82),IF($M82&lt;&gt;"","پرداخت بانکی",""))</f>
        <v/>
      </c>
      <c r="D82" s="24">
        <f>IF($L82&lt;&gt;"",IF(INDEX(SCDoc,$L82)="","—",INDEX(SCDoc,$L82)),IF($M82&lt;&gt;"",INDEX(LdgBankB,$M82),""))</f>
        <v/>
      </c>
      <c r="E82" s="25">
        <f>IF($L82&lt;&gt;"",IF(INDEX(SCCitrus,$L82)&amp;INDEX(SCNotes,$L82)="","",IF(INDEX(SCCitrus,$L82)="","",INDEX(SCCitrus,$L82))&amp;IF(INDEX(SCNotes,$L82)="",""," — "&amp;INDEX(SCNotes,$L82))),IF($M82&lt;&gt;"",IF(INDEX(LdgNoteB,$M82)="","—",INDEX(LdgNoteB,$M82)),""))</f>
        <v/>
      </c>
      <c r="F82" s="26">
        <f>IF($L82&lt;&gt;"",IF(INDEX(SCNet,$L82)=0,"",INDEX(SCNet,$L82)),"")</f>
        <v/>
      </c>
      <c r="G82" s="27">
        <f>IF($L82&lt;&gt;"",IF(INDEX(SCOp,$L82)="مرجوعی فروش","",IF(INDEX(SCAmount,$L82)&lt;=0,"",INDEX(SCAmount,$L82))),IF($M82&lt;&gt;"",IF(INDEX(LdgWitB,$M82)=0,"",INDEX(LdgWitB,$M82)),""))</f>
        <v/>
      </c>
      <c r="H82" s="27">
        <f>IF($L82&lt;&gt;"",IF(INDEX(SCOp,$L82)="مرجوعی فروش",IF(INDEX(SCAmount,$L82)=0,"",-INDEX(SCAmount,$L82)),""),IF($M82&lt;&gt;"",IF(INDEX(LdgDepB,$M82)=0,"",INDEX(LdgDepB,$M82)),""))</f>
        <v/>
      </c>
      <c r="I82" s="28">
        <f>IF($B82="","",IF($I81="",$C$10,$I81)+IF($G82="",0,$G82)-IF($H82="",0,$H82))</f>
        <v/>
      </c>
      <c r="L82">
        <f>IFERROR(MATCH($C$5&amp;"|"&amp;RIGHT("000000"&amp;66,6),LdgRankKeyA,0),"")</f>
        <v/>
      </c>
      <c r="M82">
        <f>IFERROR(MATCH($C$5&amp;"|"&amp;RIGHT("000000"&amp;66,6),LdgRankKeyB,0),"")</f>
        <v/>
      </c>
    </row>
    <row r="83">
      <c r="A83" s="17" t="n">
        <v>67</v>
      </c>
      <c r="B83" s="18">
        <f>IF(AND($L83="",$M83=""),"",IF($L83&lt;&gt;"",INDEX(SCNormDate,$L83),INDEX(LdgDateB,$M83)))</f>
        <v/>
      </c>
      <c r="C83" s="18">
        <f>IF($L83&lt;&gt;"",INDEX(SCOp,$L83),IF($M83&lt;&gt;"","پرداخت بانکی",""))</f>
        <v/>
      </c>
      <c r="D83" s="18">
        <f>IF($L83&lt;&gt;"",IF(INDEX(SCDoc,$L83)="","—",INDEX(SCDoc,$L83)),IF($M83&lt;&gt;"",INDEX(LdgBankB,$M83),""))</f>
        <v/>
      </c>
      <c r="E83" s="19">
        <f>IF($L83&lt;&gt;"",IF(INDEX(SCCitrus,$L83)&amp;INDEX(SCNotes,$L83)="","",IF(INDEX(SCCitrus,$L83)="","",INDEX(SCCitrus,$L83))&amp;IF(INDEX(SCNotes,$L83)="",""," — "&amp;INDEX(SCNotes,$L83))),IF($M83&lt;&gt;"",IF(INDEX(LdgNoteB,$M83)="","—",INDEX(LdgNoteB,$M83)),""))</f>
        <v/>
      </c>
      <c r="F83" s="20">
        <f>IF($L83&lt;&gt;"",IF(INDEX(SCNet,$L83)=0,"",INDEX(SCNet,$L83)),"")</f>
        <v/>
      </c>
      <c r="G83" s="21">
        <f>IF($L83&lt;&gt;"",IF(INDEX(SCOp,$L83)="مرجوعی فروش","",IF(INDEX(SCAmount,$L83)&lt;=0,"",INDEX(SCAmount,$L83))),IF($M83&lt;&gt;"",IF(INDEX(LdgWitB,$M83)=0,"",INDEX(LdgWitB,$M83)),""))</f>
        <v/>
      </c>
      <c r="H83" s="21">
        <f>IF($L83&lt;&gt;"",IF(INDEX(SCOp,$L83)="مرجوعی فروش",IF(INDEX(SCAmount,$L83)=0,"",-INDEX(SCAmount,$L83)),""),IF($M83&lt;&gt;"",IF(INDEX(LdgDepB,$M83)=0,"",INDEX(LdgDepB,$M83)),""))</f>
        <v/>
      </c>
      <c r="I83" s="22">
        <f>IF($B83="","",IF($I82="",$C$10,$I82)+IF($G83="",0,$G83)-IF($H83="",0,$H83))</f>
        <v/>
      </c>
      <c r="L83">
        <f>IFERROR(MATCH($C$5&amp;"|"&amp;RIGHT("000000"&amp;67,6),LdgRankKeyA,0),"")</f>
        <v/>
      </c>
      <c r="M83">
        <f>IFERROR(MATCH($C$5&amp;"|"&amp;RIGHT("000000"&amp;67,6),LdgRankKeyB,0),"")</f>
        <v/>
      </c>
    </row>
    <row r="84">
      <c r="A84" s="23" t="n">
        <v>68</v>
      </c>
      <c r="B84" s="24">
        <f>IF(AND($L84="",$M84=""),"",IF($L84&lt;&gt;"",INDEX(SCNormDate,$L84),INDEX(LdgDateB,$M84)))</f>
        <v/>
      </c>
      <c r="C84" s="24">
        <f>IF($L84&lt;&gt;"",INDEX(SCOp,$L84),IF($M84&lt;&gt;"","پرداخت بانکی",""))</f>
        <v/>
      </c>
      <c r="D84" s="24">
        <f>IF($L84&lt;&gt;"",IF(INDEX(SCDoc,$L84)="","—",INDEX(SCDoc,$L84)),IF($M84&lt;&gt;"",INDEX(LdgBankB,$M84),""))</f>
        <v/>
      </c>
      <c r="E84" s="25">
        <f>IF($L84&lt;&gt;"",IF(INDEX(SCCitrus,$L84)&amp;INDEX(SCNotes,$L84)="","",IF(INDEX(SCCitrus,$L84)="","",INDEX(SCCitrus,$L84))&amp;IF(INDEX(SCNotes,$L84)="",""," — "&amp;INDEX(SCNotes,$L84))),IF($M84&lt;&gt;"",IF(INDEX(LdgNoteB,$M84)="","—",INDEX(LdgNoteB,$M84)),""))</f>
        <v/>
      </c>
      <c r="F84" s="26">
        <f>IF($L84&lt;&gt;"",IF(INDEX(SCNet,$L84)=0,"",INDEX(SCNet,$L84)),"")</f>
        <v/>
      </c>
      <c r="G84" s="27">
        <f>IF($L84&lt;&gt;"",IF(INDEX(SCOp,$L84)="مرجوعی فروش","",IF(INDEX(SCAmount,$L84)&lt;=0,"",INDEX(SCAmount,$L84))),IF($M84&lt;&gt;"",IF(INDEX(LdgWitB,$M84)=0,"",INDEX(LdgWitB,$M84)),""))</f>
        <v/>
      </c>
      <c r="H84" s="27">
        <f>IF($L84&lt;&gt;"",IF(INDEX(SCOp,$L84)="مرجوعی فروش",IF(INDEX(SCAmount,$L84)=0,"",-INDEX(SCAmount,$L84)),""),IF($M84&lt;&gt;"",IF(INDEX(LdgDepB,$M84)=0,"",INDEX(LdgDepB,$M84)),""))</f>
        <v/>
      </c>
      <c r="I84" s="28">
        <f>IF($B84="","",IF($I83="",$C$10,$I83)+IF($G84="",0,$G84)-IF($H84="",0,$H84))</f>
        <v/>
      </c>
      <c r="L84">
        <f>IFERROR(MATCH($C$5&amp;"|"&amp;RIGHT("000000"&amp;68,6),LdgRankKeyA,0),"")</f>
        <v/>
      </c>
      <c r="M84">
        <f>IFERROR(MATCH($C$5&amp;"|"&amp;RIGHT("000000"&amp;68,6),LdgRankKeyB,0),"")</f>
        <v/>
      </c>
    </row>
    <row r="85">
      <c r="A85" s="17" t="n">
        <v>69</v>
      </c>
      <c r="B85" s="18">
        <f>IF(AND($L85="",$M85=""),"",IF($L85&lt;&gt;"",INDEX(SCNormDate,$L85),INDEX(LdgDateB,$M85)))</f>
        <v/>
      </c>
      <c r="C85" s="18">
        <f>IF($L85&lt;&gt;"",INDEX(SCOp,$L85),IF($M85&lt;&gt;"","پرداخت بانکی",""))</f>
        <v/>
      </c>
      <c r="D85" s="18">
        <f>IF($L85&lt;&gt;"",IF(INDEX(SCDoc,$L85)="","—",INDEX(SCDoc,$L85)),IF($M85&lt;&gt;"",INDEX(LdgBankB,$M85),""))</f>
        <v/>
      </c>
      <c r="E85" s="19">
        <f>IF($L85&lt;&gt;"",IF(INDEX(SCCitrus,$L85)&amp;INDEX(SCNotes,$L85)="","",IF(INDEX(SCCitrus,$L85)="","",INDEX(SCCitrus,$L85))&amp;IF(INDEX(SCNotes,$L85)="",""," — "&amp;INDEX(SCNotes,$L85))),IF($M85&lt;&gt;"",IF(INDEX(LdgNoteB,$M85)="","—",INDEX(LdgNoteB,$M85)),""))</f>
        <v/>
      </c>
      <c r="F85" s="20">
        <f>IF($L85&lt;&gt;"",IF(INDEX(SCNet,$L85)=0,"",INDEX(SCNet,$L85)),"")</f>
        <v/>
      </c>
      <c r="G85" s="21">
        <f>IF($L85&lt;&gt;"",IF(INDEX(SCOp,$L85)="مرجوعی فروش","",IF(INDEX(SCAmount,$L85)&lt;=0,"",INDEX(SCAmount,$L85))),IF($M85&lt;&gt;"",IF(INDEX(LdgWitB,$M85)=0,"",INDEX(LdgWitB,$M85)),""))</f>
        <v/>
      </c>
      <c r="H85" s="21">
        <f>IF($L85&lt;&gt;"",IF(INDEX(SCOp,$L85)="مرجوعی فروش",IF(INDEX(SCAmount,$L85)=0,"",-INDEX(SCAmount,$L85)),""),IF($M85&lt;&gt;"",IF(INDEX(LdgDepB,$M85)=0,"",INDEX(LdgDepB,$M85)),""))</f>
        <v/>
      </c>
      <c r="I85" s="22">
        <f>IF($B85="","",IF($I84="",$C$10,$I84)+IF($G85="",0,$G85)-IF($H85="",0,$H85))</f>
        <v/>
      </c>
      <c r="L85">
        <f>IFERROR(MATCH($C$5&amp;"|"&amp;RIGHT("000000"&amp;69,6),LdgRankKeyA,0),"")</f>
        <v/>
      </c>
      <c r="M85">
        <f>IFERROR(MATCH($C$5&amp;"|"&amp;RIGHT("000000"&amp;69,6),LdgRankKeyB,0),"")</f>
        <v/>
      </c>
    </row>
    <row r="86">
      <c r="A86" s="23" t="n">
        <v>70</v>
      </c>
      <c r="B86" s="24">
        <f>IF(AND($L86="",$M86=""),"",IF($L86&lt;&gt;"",INDEX(SCNormDate,$L86),INDEX(LdgDateB,$M86)))</f>
        <v/>
      </c>
      <c r="C86" s="24">
        <f>IF($L86&lt;&gt;"",INDEX(SCOp,$L86),IF($M86&lt;&gt;"","پرداخت بانکی",""))</f>
        <v/>
      </c>
      <c r="D86" s="24">
        <f>IF($L86&lt;&gt;"",IF(INDEX(SCDoc,$L86)="","—",INDEX(SCDoc,$L86)),IF($M86&lt;&gt;"",INDEX(LdgBankB,$M86),""))</f>
        <v/>
      </c>
      <c r="E86" s="25">
        <f>IF($L86&lt;&gt;"",IF(INDEX(SCCitrus,$L86)&amp;INDEX(SCNotes,$L86)="","",IF(INDEX(SCCitrus,$L86)="","",INDEX(SCCitrus,$L86))&amp;IF(INDEX(SCNotes,$L86)="",""," — "&amp;INDEX(SCNotes,$L86))),IF($M86&lt;&gt;"",IF(INDEX(LdgNoteB,$M86)="","—",INDEX(LdgNoteB,$M86)),""))</f>
        <v/>
      </c>
      <c r="F86" s="26">
        <f>IF($L86&lt;&gt;"",IF(INDEX(SCNet,$L86)=0,"",INDEX(SCNet,$L86)),"")</f>
        <v/>
      </c>
      <c r="G86" s="27">
        <f>IF($L86&lt;&gt;"",IF(INDEX(SCOp,$L86)="مرجوعی فروش","",IF(INDEX(SCAmount,$L86)&lt;=0,"",INDEX(SCAmount,$L86))),IF($M86&lt;&gt;"",IF(INDEX(LdgWitB,$M86)=0,"",INDEX(LdgWitB,$M86)),""))</f>
        <v/>
      </c>
      <c r="H86" s="27">
        <f>IF($L86&lt;&gt;"",IF(INDEX(SCOp,$L86)="مرجوعی فروش",IF(INDEX(SCAmount,$L86)=0,"",-INDEX(SCAmount,$L86)),""),IF($M86&lt;&gt;"",IF(INDEX(LdgDepB,$M86)=0,"",INDEX(LdgDepB,$M86)),""))</f>
        <v/>
      </c>
      <c r="I86" s="28">
        <f>IF($B86="","",IF($I85="",$C$10,$I85)+IF($G86="",0,$G86)-IF($H86="",0,$H86))</f>
        <v/>
      </c>
      <c r="L86">
        <f>IFERROR(MATCH($C$5&amp;"|"&amp;RIGHT("000000"&amp;70,6),LdgRankKeyA,0),"")</f>
        <v/>
      </c>
      <c r="M86">
        <f>IFERROR(MATCH($C$5&amp;"|"&amp;RIGHT("000000"&amp;70,6),LdgRankKeyB,0),"")</f>
        <v/>
      </c>
    </row>
    <row r="87">
      <c r="A87" s="17" t="n">
        <v>71</v>
      </c>
      <c r="B87" s="18">
        <f>IF(AND($L87="",$M87=""),"",IF($L87&lt;&gt;"",INDEX(SCNormDate,$L87),INDEX(LdgDateB,$M87)))</f>
        <v/>
      </c>
      <c r="C87" s="18">
        <f>IF($L87&lt;&gt;"",INDEX(SCOp,$L87),IF($M87&lt;&gt;"","پرداخت بانکی",""))</f>
        <v/>
      </c>
      <c r="D87" s="18">
        <f>IF($L87&lt;&gt;"",IF(INDEX(SCDoc,$L87)="","—",INDEX(SCDoc,$L87)),IF($M87&lt;&gt;"",INDEX(LdgBankB,$M87),""))</f>
        <v/>
      </c>
      <c r="E87" s="19">
        <f>IF($L87&lt;&gt;"",IF(INDEX(SCCitrus,$L87)&amp;INDEX(SCNotes,$L87)="","",IF(INDEX(SCCitrus,$L87)="","",INDEX(SCCitrus,$L87))&amp;IF(INDEX(SCNotes,$L87)="",""," — "&amp;INDEX(SCNotes,$L87))),IF($M87&lt;&gt;"",IF(INDEX(LdgNoteB,$M87)="","—",INDEX(LdgNoteB,$M87)),""))</f>
        <v/>
      </c>
      <c r="F87" s="20">
        <f>IF($L87&lt;&gt;"",IF(INDEX(SCNet,$L87)=0,"",INDEX(SCNet,$L87)),"")</f>
        <v/>
      </c>
      <c r="G87" s="21">
        <f>IF($L87&lt;&gt;"",IF(INDEX(SCOp,$L87)="مرجوعی فروش","",IF(INDEX(SCAmount,$L87)&lt;=0,"",INDEX(SCAmount,$L87))),IF($M87&lt;&gt;"",IF(INDEX(LdgWitB,$M87)=0,"",INDEX(LdgWitB,$M87)),""))</f>
        <v/>
      </c>
      <c r="H87" s="21">
        <f>IF($L87&lt;&gt;"",IF(INDEX(SCOp,$L87)="مرجوعی فروش",IF(INDEX(SCAmount,$L87)=0,"",-INDEX(SCAmount,$L87)),""),IF($M87&lt;&gt;"",IF(INDEX(LdgDepB,$M87)=0,"",INDEX(LdgDepB,$M87)),""))</f>
        <v/>
      </c>
      <c r="I87" s="22">
        <f>IF($B87="","",IF($I86="",$C$10,$I86)+IF($G87="",0,$G87)-IF($H87="",0,$H87))</f>
        <v/>
      </c>
      <c r="L87">
        <f>IFERROR(MATCH($C$5&amp;"|"&amp;RIGHT("000000"&amp;71,6),LdgRankKeyA,0),"")</f>
        <v/>
      </c>
      <c r="M87">
        <f>IFERROR(MATCH($C$5&amp;"|"&amp;RIGHT("000000"&amp;71,6),LdgRankKeyB,0),"")</f>
        <v/>
      </c>
    </row>
    <row r="88">
      <c r="A88" s="23" t="n">
        <v>72</v>
      </c>
      <c r="B88" s="24">
        <f>IF(AND($L88="",$M88=""),"",IF($L88&lt;&gt;"",INDEX(SCNormDate,$L88),INDEX(LdgDateB,$M88)))</f>
        <v/>
      </c>
      <c r="C88" s="24">
        <f>IF($L88&lt;&gt;"",INDEX(SCOp,$L88),IF($M88&lt;&gt;"","پرداخت بانکی",""))</f>
        <v/>
      </c>
      <c r="D88" s="24">
        <f>IF($L88&lt;&gt;"",IF(INDEX(SCDoc,$L88)="","—",INDEX(SCDoc,$L88)),IF($M88&lt;&gt;"",INDEX(LdgBankB,$M88),""))</f>
        <v/>
      </c>
      <c r="E88" s="25">
        <f>IF($L88&lt;&gt;"",IF(INDEX(SCCitrus,$L88)&amp;INDEX(SCNotes,$L88)="","",IF(INDEX(SCCitrus,$L88)="","",INDEX(SCCitrus,$L88))&amp;IF(INDEX(SCNotes,$L88)="",""," — "&amp;INDEX(SCNotes,$L88))),IF($M88&lt;&gt;"",IF(INDEX(LdgNoteB,$M88)="","—",INDEX(LdgNoteB,$M88)),""))</f>
        <v/>
      </c>
      <c r="F88" s="26">
        <f>IF($L88&lt;&gt;"",IF(INDEX(SCNet,$L88)=0,"",INDEX(SCNet,$L88)),"")</f>
        <v/>
      </c>
      <c r="G88" s="27">
        <f>IF($L88&lt;&gt;"",IF(INDEX(SCOp,$L88)="مرجوعی فروش","",IF(INDEX(SCAmount,$L88)&lt;=0,"",INDEX(SCAmount,$L88))),IF($M88&lt;&gt;"",IF(INDEX(LdgWitB,$M88)=0,"",INDEX(LdgWitB,$M88)),""))</f>
        <v/>
      </c>
      <c r="H88" s="27">
        <f>IF($L88&lt;&gt;"",IF(INDEX(SCOp,$L88)="مرجوعی فروش",IF(INDEX(SCAmount,$L88)=0,"",-INDEX(SCAmount,$L88)),""),IF($M88&lt;&gt;"",IF(INDEX(LdgDepB,$M88)=0,"",INDEX(LdgDepB,$M88)),""))</f>
        <v/>
      </c>
      <c r="I88" s="28">
        <f>IF($B88="","",IF($I87="",$C$10,$I87)+IF($G88="",0,$G88)-IF($H88="",0,$H88))</f>
        <v/>
      </c>
      <c r="L88">
        <f>IFERROR(MATCH($C$5&amp;"|"&amp;RIGHT("000000"&amp;72,6),LdgRankKeyA,0),"")</f>
        <v/>
      </c>
      <c r="M88">
        <f>IFERROR(MATCH($C$5&amp;"|"&amp;RIGHT("000000"&amp;72,6),LdgRankKeyB,0),"")</f>
        <v/>
      </c>
    </row>
    <row r="89">
      <c r="A89" s="17" t="n">
        <v>73</v>
      </c>
      <c r="B89" s="18">
        <f>IF(AND($L89="",$M89=""),"",IF($L89&lt;&gt;"",INDEX(SCNormDate,$L89),INDEX(LdgDateB,$M89)))</f>
        <v/>
      </c>
      <c r="C89" s="18">
        <f>IF($L89&lt;&gt;"",INDEX(SCOp,$L89),IF($M89&lt;&gt;"","پرداخت بانکی",""))</f>
        <v/>
      </c>
      <c r="D89" s="18">
        <f>IF($L89&lt;&gt;"",IF(INDEX(SCDoc,$L89)="","—",INDEX(SCDoc,$L89)),IF($M89&lt;&gt;"",INDEX(LdgBankB,$M89),""))</f>
        <v/>
      </c>
      <c r="E89" s="19">
        <f>IF($L89&lt;&gt;"",IF(INDEX(SCCitrus,$L89)&amp;INDEX(SCNotes,$L89)="","",IF(INDEX(SCCitrus,$L89)="","",INDEX(SCCitrus,$L89))&amp;IF(INDEX(SCNotes,$L89)="",""," — "&amp;INDEX(SCNotes,$L89))),IF($M89&lt;&gt;"",IF(INDEX(LdgNoteB,$M89)="","—",INDEX(LdgNoteB,$M89)),""))</f>
        <v/>
      </c>
      <c r="F89" s="20">
        <f>IF($L89&lt;&gt;"",IF(INDEX(SCNet,$L89)=0,"",INDEX(SCNet,$L89)),"")</f>
        <v/>
      </c>
      <c r="G89" s="21">
        <f>IF($L89&lt;&gt;"",IF(INDEX(SCOp,$L89)="مرجوعی فروش","",IF(INDEX(SCAmount,$L89)&lt;=0,"",INDEX(SCAmount,$L89))),IF($M89&lt;&gt;"",IF(INDEX(LdgWitB,$M89)=0,"",INDEX(LdgWitB,$M89)),""))</f>
        <v/>
      </c>
      <c r="H89" s="21">
        <f>IF($L89&lt;&gt;"",IF(INDEX(SCOp,$L89)="مرجوعی فروش",IF(INDEX(SCAmount,$L89)=0,"",-INDEX(SCAmount,$L89)),""),IF($M89&lt;&gt;"",IF(INDEX(LdgDepB,$M89)=0,"",INDEX(LdgDepB,$M89)),""))</f>
        <v/>
      </c>
      <c r="I89" s="22">
        <f>IF($B89="","",IF($I88="",$C$10,$I88)+IF($G89="",0,$G89)-IF($H89="",0,$H89))</f>
        <v/>
      </c>
      <c r="L89">
        <f>IFERROR(MATCH($C$5&amp;"|"&amp;RIGHT("000000"&amp;73,6),LdgRankKeyA,0),"")</f>
        <v/>
      </c>
      <c r="M89">
        <f>IFERROR(MATCH($C$5&amp;"|"&amp;RIGHT("000000"&amp;73,6),LdgRankKeyB,0),"")</f>
        <v/>
      </c>
    </row>
    <row r="90">
      <c r="A90" s="23" t="n">
        <v>74</v>
      </c>
      <c r="B90" s="24">
        <f>IF(AND($L90="",$M90=""),"",IF($L90&lt;&gt;"",INDEX(SCNormDate,$L90),INDEX(LdgDateB,$M90)))</f>
        <v/>
      </c>
      <c r="C90" s="24">
        <f>IF($L90&lt;&gt;"",INDEX(SCOp,$L90),IF($M90&lt;&gt;"","پرداخت بانکی",""))</f>
        <v/>
      </c>
      <c r="D90" s="24">
        <f>IF($L90&lt;&gt;"",IF(INDEX(SCDoc,$L90)="","—",INDEX(SCDoc,$L90)),IF($M90&lt;&gt;"",INDEX(LdgBankB,$M90),""))</f>
        <v/>
      </c>
      <c r="E90" s="25">
        <f>IF($L90&lt;&gt;"",IF(INDEX(SCCitrus,$L90)&amp;INDEX(SCNotes,$L90)="","",IF(INDEX(SCCitrus,$L90)="","",INDEX(SCCitrus,$L90))&amp;IF(INDEX(SCNotes,$L90)="",""," — "&amp;INDEX(SCNotes,$L90))),IF($M90&lt;&gt;"",IF(INDEX(LdgNoteB,$M90)="","—",INDEX(LdgNoteB,$M90)),""))</f>
        <v/>
      </c>
      <c r="F90" s="26">
        <f>IF($L90&lt;&gt;"",IF(INDEX(SCNet,$L90)=0,"",INDEX(SCNet,$L90)),"")</f>
        <v/>
      </c>
      <c r="G90" s="27">
        <f>IF($L90&lt;&gt;"",IF(INDEX(SCOp,$L90)="مرجوعی فروش","",IF(INDEX(SCAmount,$L90)&lt;=0,"",INDEX(SCAmount,$L90))),IF($M90&lt;&gt;"",IF(INDEX(LdgWitB,$M90)=0,"",INDEX(LdgWitB,$M90)),""))</f>
        <v/>
      </c>
      <c r="H90" s="27">
        <f>IF($L90&lt;&gt;"",IF(INDEX(SCOp,$L90)="مرجوعی فروش",IF(INDEX(SCAmount,$L90)=0,"",-INDEX(SCAmount,$L90)),""),IF($M90&lt;&gt;"",IF(INDEX(LdgDepB,$M90)=0,"",INDEX(LdgDepB,$M90)),""))</f>
        <v/>
      </c>
      <c r="I90" s="28">
        <f>IF($B90="","",IF($I89="",$C$10,$I89)+IF($G90="",0,$G90)-IF($H90="",0,$H90))</f>
        <v/>
      </c>
      <c r="L90">
        <f>IFERROR(MATCH($C$5&amp;"|"&amp;RIGHT("000000"&amp;74,6),LdgRankKeyA,0),"")</f>
        <v/>
      </c>
      <c r="M90">
        <f>IFERROR(MATCH($C$5&amp;"|"&amp;RIGHT("000000"&amp;74,6),LdgRankKeyB,0),"")</f>
        <v/>
      </c>
    </row>
    <row r="91">
      <c r="A91" s="17" t="n">
        <v>75</v>
      </c>
      <c r="B91" s="18">
        <f>IF(AND($L91="",$M91=""),"",IF($L91&lt;&gt;"",INDEX(SCNormDate,$L91),INDEX(LdgDateB,$M91)))</f>
        <v/>
      </c>
      <c r="C91" s="18">
        <f>IF($L91&lt;&gt;"",INDEX(SCOp,$L91),IF($M91&lt;&gt;"","پرداخت بانکی",""))</f>
        <v/>
      </c>
      <c r="D91" s="18">
        <f>IF($L91&lt;&gt;"",IF(INDEX(SCDoc,$L91)="","—",INDEX(SCDoc,$L91)),IF($M91&lt;&gt;"",INDEX(LdgBankB,$M91),""))</f>
        <v/>
      </c>
      <c r="E91" s="19">
        <f>IF($L91&lt;&gt;"",IF(INDEX(SCCitrus,$L91)&amp;INDEX(SCNotes,$L91)="","",IF(INDEX(SCCitrus,$L91)="","",INDEX(SCCitrus,$L91))&amp;IF(INDEX(SCNotes,$L91)="",""," — "&amp;INDEX(SCNotes,$L91))),IF($M91&lt;&gt;"",IF(INDEX(LdgNoteB,$M91)="","—",INDEX(LdgNoteB,$M91)),""))</f>
        <v/>
      </c>
      <c r="F91" s="20">
        <f>IF($L91&lt;&gt;"",IF(INDEX(SCNet,$L91)=0,"",INDEX(SCNet,$L91)),"")</f>
        <v/>
      </c>
      <c r="G91" s="21">
        <f>IF($L91&lt;&gt;"",IF(INDEX(SCOp,$L91)="مرجوعی فروش","",IF(INDEX(SCAmount,$L91)&lt;=0,"",INDEX(SCAmount,$L91))),IF($M91&lt;&gt;"",IF(INDEX(LdgWitB,$M91)=0,"",INDEX(LdgWitB,$M91)),""))</f>
        <v/>
      </c>
      <c r="H91" s="21">
        <f>IF($L91&lt;&gt;"",IF(INDEX(SCOp,$L91)="مرجوعی فروش",IF(INDEX(SCAmount,$L91)=0,"",-INDEX(SCAmount,$L91)),""),IF($M91&lt;&gt;"",IF(INDEX(LdgDepB,$M91)=0,"",INDEX(LdgDepB,$M91)),""))</f>
        <v/>
      </c>
      <c r="I91" s="22">
        <f>IF($B91="","",IF($I90="",$C$10,$I90)+IF($G91="",0,$G91)-IF($H91="",0,$H91))</f>
        <v/>
      </c>
      <c r="L91">
        <f>IFERROR(MATCH($C$5&amp;"|"&amp;RIGHT("000000"&amp;75,6),LdgRankKeyA,0),"")</f>
        <v/>
      </c>
      <c r="M91">
        <f>IFERROR(MATCH($C$5&amp;"|"&amp;RIGHT("000000"&amp;75,6),LdgRankKeyB,0),"")</f>
        <v/>
      </c>
    </row>
    <row r="92">
      <c r="A92" s="23" t="n">
        <v>76</v>
      </c>
      <c r="B92" s="24">
        <f>IF(AND($L92="",$M92=""),"",IF($L92&lt;&gt;"",INDEX(SCNormDate,$L92),INDEX(LdgDateB,$M92)))</f>
        <v/>
      </c>
      <c r="C92" s="24">
        <f>IF($L92&lt;&gt;"",INDEX(SCOp,$L92),IF($M92&lt;&gt;"","پرداخت بانکی",""))</f>
        <v/>
      </c>
      <c r="D92" s="24">
        <f>IF($L92&lt;&gt;"",IF(INDEX(SCDoc,$L92)="","—",INDEX(SCDoc,$L92)),IF($M92&lt;&gt;"",INDEX(LdgBankB,$M92),""))</f>
        <v/>
      </c>
      <c r="E92" s="25">
        <f>IF($L92&lt;&gt;"",IF(INDEX(SCCitrus,$L92)&amp;INDEX(SCNotes,$L92)="","",IF(INDEX(SCCitrus,$L92)="","",INDEX(SCCitrus,$L92))&amp;IF(INDEX(SCNotes,$L92)="",""," — "&amp;INDEX(SCNotes,$L92))),IF($M92&lt;&gt;"",IF(INDEX(LdgNoteB,$M92)="","—",INDEX(LdgNoteB,$M92)),""))</f>
        <v/>
      </c>
      <c r="F92" s="26">
        <f>IF($L92&lt;&gt;"",IF(INDEX(SCNet,$L92)=0,"",INDEX(SCNet,$L92)),"")</f>
        <v/>
      </c>
      <c r="G92" s="27">
        <f>IF($L92&lt;&gt;"",IF(INDEX(SCOp,$L92)="مرجوعی فروش","",IF(INDEX(SCAmount,$L92)&lt;=0,"",INDEX(SCAmount,$L92))),IF($M92&lt;&gt;"",IF(INDEX(LdgWitB,$M92)=0,"",INDEX(LdgWitB,$M92)),""))</f>
        <v/>
      </c>
      <c r="H92" s="27">
        <f>IF($L92&lt;&gt;"",IF(INDEX(SCOp,$L92)="مرجوعی فروش",IF(INDEX(SCAmount,$L92)=0,"",-INDEX(SCAmount,$L92)),""),IF($M92&lt;&gt;"",IF(INDEX(LdgDepB,$M92)=0,"",INDEX(LdgDepB,$M92)),""))</f>
        <v/>
      </c>
      <c r="I92" s="28">
        <f>IF($B92="","",IF($I91="",$C$10,$I91)+IF($G92="",0,$G92)-IF($H92="",0,$H92))</f>
        <v/>
      </c>
      <c r="L92">
        <f>IFERROR(MATCH($C$5&amp;"|"&amp;RIGHT("000000"&amp;76,6),LdgRankKeyA,0),"")</f>
        <v/>
      </c>
      <c r="M92">
        <f>IFERROR(MATCH($C$5&amp;"|"&amp;RIGHT("000000"&amp;76,6),LdgRankKeyB,0),"")</f>
        <v/>
      </c>
    </row>
    <row r="93">
      <c r="A93" s="17" t="n">
        <v>77</v>
      </c>
      <c r="B93" s="18">
        <f>IF(AND($L93="",$M93=""),"",IF($L93&lt;&gt;"",INDEX(SCNormDate,$L93),INDEX(LdgDateB,$M93)))</f>
        <v/>
      </c>
      <c r="C93" s="18">
        <f>IF($L93&lt;&gt;"",INDEX(SCOp,$L93),IF($M93&lt;&gt;"","پرداخت بانکی",""))</f>
        <v/>
      </c>
      <c r="D93" s="18">
        <f>IF($L93&lt;&gt;"",IF(INDEX(SCDoc,$L93)="","—",INDEX(SCDoc,$L93)),IF($M93&lt;&gt;"",INDEX(LdgBankB,$M93),""))</f>
        <v/>
      </c>
      <c r="E93" s="19">
        <f>IF($L93&lt;&gt;"",IF(INDEX(SCCitrus,$L93)&amp;INDEX(SCNotes,$L93)="","",IF(INDEX(SCCitrus,$L93)="","",INDEX(SCCitrus,$L93))&amp;IF(INDEX(SCNotes,$L93)="",""," — "&amp;INDEX(SCNotes,$L93))),IF($M93&lt;&gt;"",IF(INDEX(LdgNoteB,$M93)="","—",INDEX(LdgNoteB,$M93)),""))</f>
        <v/>
      </c>
      <c r="F93" s="20">
        <f>IF($L93&lt;&gt;"",IF(INDEX(SCNet,$L93)=0,"",INDEX(SCNet,$L93)),"")</f>
        <v/>
      </c>
      <c r="G93" s="21">
        <f>IF($L93&lt;&gt;"",IF(INDEX(SCOp,$L93)="مرجوعی فروش","",IF(INDEX(SCAmount,$L93)&lt;=0,"",INDEX(SCAmount,$L93))),IF($M93&lt;&gt;"",IF(INDEX(LdgWitB,$M93)=0,"",INDEX(LdgWitB,$M93)),""))</f>
        <v/>
      </c>
      <c r="H93" s="21">
        <f>IF($L93&lt;&gt;"",IF(INDEX(SCOp,$L93)="مرجوعی فروش",IF(INDEX(SCAmount,$L93)=0,"",-INDEX(SCAmount,$L93)),""),IF($M93&lt;&gt;"",IF(INDEX(LdgDepB,$M93)=0,"",INDEX(LdgDepB,$M93)),""))</f>
        <v/>
      </c>
      <c r="I93" s="22">
        <f>IF($B93="","",IF($I92="",$C$10,$I92)+IF($G93="",0,$G93)-IF($H93="",0,$H93))</f>
        <v/>
      </c>
      <c r="L93">
        <f>IFERROR(MATCH($C$5&amp;"|"&amp;RIGHT("000000"&amp;77,6),LdgRankKeyA,0),"")</f>
        <v/>
      </c>
      <c r="M93">
        <f>IFERROR(MATCH($C$5&amp;"|"&amp;RIGHT("000000"&amp;77,6),LdgRankKeyB,0),"")</f>
        <v/>
      </c>
    </row>
    <row r="94">
      <c r="A94" s="23" t="n">
        <v>78</v>
      </c>
      <c r="B94" s="24">
        <f>IF(AND($L94="",$M94=""),"",IF($L94&lt;&gt;"",INDEX(SCNormDate,$L94),INDEX(LdgDateB,$M94)))</f>
        <v/>
      </c>
      <c r="C94" s="24">
        <f>IF($L94&lt;&gt;"",INDEX(SCOp,$L94),IF($M94&lt;&gt;"","پرداخت بانکی",""))</f>
        <v/>
      </c>
      <c r="D94" s="24">
        <f>IF($L94&lt;&gt;"",IF(INDEX(SCDoc,$L94)="","—",INDEX(SCDoc,$L94)),IF($M94&lt;&gt;"",INDEX(LdgBankB,$M94),""))</f>
        <v/>
      </c>
      <c r="E94" s="25">
        <f>IF($L94&lt;&gt;"",IF(INDEX(SCCitrus,$L94)&amp;INDEX(SCNotes,$L94)="","",IF(INDEX(SCCitrus,$L94)="","",INDEX(SCCitrus,$L94))&amp;IF(INDEX(SCNotes,$L94)="",""," — "&amp;INDEX(SCNotes,$L94))),IF($M94&lt;&gt;"",IF(INDEX(LdgNoteB,$M94)="","—",INDEX(LdgNoteB,$M94)),""))</f>
        <v/>
      </c>
      <c r="F94" s="26">
        <f>IF($L94&lt;&gt;"",IF(INDEX(SCNet,$L94)=0,"",INDEX(SCNet,$L94)),"")</f>
        <v/>
      </c>
      <c r="G94" s="27">
        <f>IF($L94&lt;&gt;"",IF(INDEX(SCOp,$L94)="مرجوعی فروش","",IF(INDEX(SCAmount,$L94)&lt;=0,"",INDEX(SCAmount,$L94))),IF($M94&lt;&gt;"",IF(INDEX(LdgWitB,$M94)=0,"",INDEX(LdgWitB,$M94)),""))</f>
        <v/>
      </c>
      <c r="H94" s="27">
        <f>IF($L94&lt;&gt;"",IF(INDEX(SCOp,$L94)="مرجوعی فروش",IF(INDEX(SCAmount,$L94)=0,"",-INDEX(SCAmount,$L94)),""),IF($M94&lt;&gt;"",IF(INDEX(LdgDepB,$M94)=0,"",INDEX(LdgDepB,$M94)),""))</f>
        <v/>
      </c>
      <c r="I94" s="28">
        <f>IF($B94="","",IF($I93="",$C$10,$I93)+IF($G94="",0,$G94)-IF($H94="",0,$H94))</f>
        <v/>
      </c>
      <c r="L94">
        <f>IFERROR(MATCH($C$5&amp;"|"&amp;RIGHT("000000"&amp;78,6),LdgRankKeyA,0),"")</f>
        <v/>
      </c>
      <c r="M94">
        <f>IFERROR(MATCH($C$5&amp;"|"&amp;RIGHT("000000"&amp;78,6),LdgRankKeyB,0),"")</f>
        <v/>
      </c>
    </row>
    <row r="95">
      <c r="A95" s="17" t="n">
        <v>79</v>
      </c>
      <c r="B95" s="18">
        <f>IF(AND($L95="",$M95=""),"",IF($L95&lt;&gt;"",INDEX(SCNormDate,$L95),INDEX(LdgDateB,$M95)))</f>
        <v/>
      </c>
      <c r="C95" s="18">
        <f>IF($L95&lt;&gt;"",INDEX(SCOp,$L95),IF($M95&lt;&gt;"","پرداخت بانکی",""))</f>
        <v/>
      </c>
      <c r="D95" s="18">
        <f>IF($L95&lt;&gt;"",IF(INDEX(SCDoc,$L95)="","—",INDEX(SCDoc,$L95)),IF($M95&lt;&gt;"",INDEX(LdgBankB,$M95),""))</f>
        <v/>
      </c>
      <c r="E95" s="19">
        <f>IF($L95&lt;&gt;"",IF(INDEX(SCCitrus,$L95)&amp;INDEX(SCNotes,$L95)="","",IF(INDEX(SCCitrus,$L95)="","",INDEX(SCCitrus,$L95))&amp;IF(INDEX(SCNotes,$L95)="",""," — "&amp;INDEX(SCNotes,$L95))),IF($M95&lt;&gt;"",IF(INDEX(LdgNoteB,$M95)="","—",INDEX(LdgNoteB,$M95)),""))</f>
        <v/>
      </c>
      <c r="F95" s="20">
        <f>IF($L95&lt;&gt;"",IF(INDEX(SCNet,$L95)=0,"",INDEX(SCNet,$L95)),"")</f>
        <v/>
      </c>
      <c r="G95" s="21">
        <f>IF($L95&lt;&gt;"",IF(INDEX(SCOp,$L95)="مرجوعی فروش","",IF(INDEX(SCAmount,$L95)&lt;=0,"",INDEX(SCAmount,$L95))),IF($M95&lt;&gt;"",IF(INDEX(LdgWitB,$M95)=0,"",INDEX(LdgWitB,$M95)),""))</f>
        <v/>
      </c>
      <c r="H95" s="21">
        <f>IF($L95&lt;&gt;"",IF(INDEX(SCOp,$L95)="مرجوعی فروش",IF(INDEX(SCAmount,$L95)=0,"",-INDEX(SCAmount,$L95)),""),IF($M95&lt;&gt;"",IF(INDEX(LdgDepB,$M95)=0,"",INDEX(LdgDepB,$M95)),""))</f>
        <v/>
      </c>
      <c r="I95" s="22">
        <f>IF($B95="","",IF($I94="",$C$10,$I94)+IF($G95="",0,$G95)-IF($H95="",0,$H95))</f>
        <v/>
      </c>
      <c r="L95">
        <f>IFERROR(MATCH($C$5&amp;"|"&amp;RIGHT("000000"&amp;79,6),LdgRankKeyA,0),"")</f>
        <v/>
      </c>
      <c r="M95">
        <f>IFERROR(MATCH($C$5&amp;"|"&amp;RIGHT("000000"&amp;79,6),LdgRankKeyB,0),"")</f>
        <v/>
      </c>
    </row>
    <row r="96">
      <c r="A96" s="23" t="n">
        <v>80</v>
      </c>
      <c r="B96" s="24">
        <f>IF(AND($L96="",$M96=""),"",IF($L96&lt;&gt;"",INDEX(SCNormDate,$L96),INDEX(LdgDateB,$M96)))</f>
        <v/>
      </c>
      <c r="C96" s="24">
        <f>IF($L96&lt;&gt;"",INDEX(SCOp,$L96),IF($M96&lt;&gt;"","پرداخت بانکی",""))</f>
        <v/>
      </c>
      <c r="D96" s="24">
        <f>IF($L96&lt;&gt;"",IF(INDEX(SCDoc,$L96)="","—",INDEX(SCDoc,$L96)),IF($M96&lt;&gt;"",INDEX(LdgBankB,$M96),""))</f>
        <v/>
      </c>
      <c r="E96" s="25">
        <f>IF($L96&lt;&gt;"",IF(INDEX(SCCitrus,$L96)&amp;INDEX(SCNotes,$L96)="","",IF(INDEX(SCCitrus,$L96)="","",INDEX(SCCitrus,$L96))&amp;IF(INDEX(SCNotes,$L96)="",""," — "&amp;INDEX(SCNotes,$L96))),IF($M96&lt;&gt;"",IF(INDEX(LdgNoteB,$M96)="","—",INDEX(LdgNoteB,$M96)),""))</f>
        <v/>
      </c>
      <c r="F96" s="26">
        <f>IF($L96&lt;&gt;"",IF(INDEX(SCNet,$L96)=0,"",INDEX(SCNet,$L96)),"")</f>
        <v/>
      </c>
      <c r="G96" s="27">
        <f>IF($L96&lt;&gt;"",IF(INDEX(SCOp,$L96)="مرجوعی فروش","",IF(INDEX(SCAmount,$L96)&lt;=0,"",INDEX(SCAmount,$L96))),IF($M96&lt;&gt;"",IF(INDEX(LdgWitB,$M96)=0,"",INDEX(LdgWitB,$M96)),""))</f>
        <v/>
      </c>
      <c r="H96" s="27">
        <f>IF($L96&lt;&gt;"",IF(INDEX(SCOp,$L96)="مرجوعی فروش",IF(INDEX(SCAmount,$L96)=0,"",-INDEX(SCAmount,$L96)),""),IF($M96&lt;&gt;"",IF(INDEX(LdgDepB,$M96)=0,"",INDEX(LdgDepB,$M96)),""))</f>
        <v/>
      </c>
      <c r="I96" s="28">
        <f>IF($B96="","",IF($I95="",$C$10,$I95)+IF($G96="",0,$G96)-IF($H96="",0,$H96))</f>
        <v/>
      </c>
      <c r="L96">
        <f>IFERROR(MATCH($C$5&amp;"|"&amp;RIGHT("000000"&amp;80,6),LdgRankKeyA,0),"")</f>
        <v/>
      </c>
      <c r="M96">
        <f>IFERROR(MATCH($C$5&amp;"|"&amp;RIGHT("000000"&amp;80,6),LdgRankKeyB,0),"")</f>
        <v/>
      </c>
    </row>
    <row r="97">
      <c r="A97" s="17" t="n">
        <v>81</v>
      </c>
      <c r="B97" s="18">
        <f>IF(AND($L97="",$M97=""),"",IF($L97&lt;&gt;"",INDEX(SCNormDate,$L97),INDEX(LdgDateB,$M97)))</f>
        <v/>
      </c>
      <c r="C97" s="18">
        <f>IF($L97&lt;&gt;"",INDEX(SCOp,$L97),IF($M97&lt;&gt;"","پرداخت بانکی",""))</f>
        <v/>
      </c>
      <c r="D97" s="18">
        <f>IF($L97&lt;&gt;"",IF(INDEX(SCDoc,$L97)="","—",INDEX(SCDoc,$L97)),IF($M97&lt;&gt;"",INDEX(LdgBankB,$M97),""))</f>
        <v/>
      </c>
      <c r="E97" s="19">
        <f>IF($L97&lt;&gt;"",IF(INDEX(SCCitrus,$L97)&amp;INDEX(SCNotes,$L97)="","",IF(INDEX(SCCitrus,$L97)="","",INDEX(SCCitrus,$L97))&amp;IF(INDEX(SCNotes,$L97)="",""," — "&amp;INDEX(SCNotes,$L97))),IF($M97&lt;&gt;"",IF(INDEX(LdgNoteB,$M97)="","—",INDEX(LdgNoteB,$M97)),""))</f>
        <v/>
      </c>
      <c r="F97" s="20">
        <f>IF($L97&lt;&gt;"",IF(INDEX(SCNet,$L97)=0,"",INDEX(SCNet,$L97)),"")</f>
        <v/>
      </c>
      <c r="G97" s="21">
        <f>IF($L97&lt;&gt;"",IF(INDEX(SCOp,$L97)="مرجوعی فروش","",IF(INDEX(SCAmount,$L97)&lt;=0,"",INDEX(SCAmount,$L97))),IF($M97&lt;&gt;"",IF(INDEX(LdgWitB,$M97)=0,"",INDEX(LdgWitB,$M97)),""))</f>
        <v/>
      </c>
      <c r="H97" s="21">
        <f>IF($L97&lt;&gt;"",IF(INDEX(SCOp,$L97)="مرجوعی فروش",IF(INDEX(SCAmount,$L97)=0,"",-INDEX(SCAmount,$L97)),""),IF($M97&lt;&gt;"",IF(INDEX(LdgDepB,$M97)=0,"",INDEX(LdgDepB,$M97)),""))</f>
        <v/>
      </c>
      <c r="I97" s="22">
        <f>IF($B97="","",IF($I96="",$C$10,$I96)+IF($G97="",0,$G97)-IF($H97="",0,$H97))</f>
        <v/>
      </c>
      <c r="L97">
        <f>IFERROR(MATCH($C$5&amp;"|"&amp;RIGHT("000000"&amp;81,6),LdgRankKeyA,0),"")</f>
        <v/>
      </c>
      <c r="M97">
        <f>IFERROR(MATCH($C$5&amp;"|"&amp;RIGHT("000000"&amp;81,6),LdgRankKeyB,0),"")</f>
        <v/>
      </c>
    </row>
    <row r="98">
      <c r="A98" s="23" t="n">
        <v>82</v>
      </c>
      <c r="B98" s="24">
        <f>IF(AND($L98="",$M98=""),"",IF($L98&lt;&gt;"",INDEX(SCNormDate,$L98),INDEX(LdgDateB,$M98)))</f>
        <v/>
      </c>
      <c r="C98" s="24">
        <f>IF($L98&lt;&gt;"",INDEX(SCOp,$L98),IF($M98&lt;&gt;"","پرداخت بانکی",""))</f>
        <v/>
      </c>
      <c r="D98" s="24">
        <f>IF($L98&lt;&gt;"",IF(INDEX(SCDoc,$L98)="","—",INDEX(SCDoc,$L98)),IF($M98&lt;&gt;"",INDEX(LdgBankB,$M98),""))</f>
        <v/>
      </c>
      <c r="E98" s="25">
        <f>IF($L98&lt;&gt;"",IF(INDEX(SCCitrus,$L98)&amp;INDEX(SCNotes,$L98)="","",IF(INDEX(SCCitrus,$L98)="","",INDEX(SCCitrus,$L98))&amp;IF(INDEX(SCNotes,$L98)="",""," — "&amp;INDEX(SCNotes,$L98))),IF($M98&lt;&gt;"",IF(INDEX(LdgNoteB,$M98)="","—",INDEX(LdgNoteB,$M98)),""))</f>
        <v/>
      </c>
      <c r="F98" s="26">
        <f>IF($L98&lt;&gt;"",IF(INDEX(SCNet,$L98)=0,"",INDEX(SCNet,$L98)),"")</f>
        <v/>
      </c>
      <c r="G98" s="27">
        <f>IF($L98&lt;&gt;"",IF(INDEX(SCOp,$L98)="مرجوعی فروش","",IF(INDEX(SCAmount,$L98)&lt;=0,"",INDEX(SCAmount,$L98))),IF($M98&lt;&gt;"",IF(INDEX(LdgWitB,$M98)=0,"",INDEX(LdgWitB,$M98)),""))</f>
        <v/>
      </c>
      <c r="H98" s="27">
        <f>IF($L98&lt;&gt;"",IF(INDEX(SCOp,$L98)="مرجوعی فروش",IF(INDEX(SCAmount,$L98)=0,"",-INDEX(SCAmount,$L98)),""),IF($M98&lt;&gt;"",IF(INDEX(LdgDepB,$M98)=0,"",INDEX(LdgDepB,$M98)),""))</f>
        <v/>
      </c>
      <c r="I98" s="28">
        <f>IF($B98="","",IF($I97="",$C$10,$I97)+IF($G98="",0,$G98)-IF($H98="",0,$H98))</f>
        <v/>
      </c>
      <c r="L98">
        <f>IFERROR(MATCH($C$5&amp;"|"&amp;RIGHT("000000"&amp;82,6),LdgRankKeyA,0),"")</f>
        <v/>
      </c>
      <c r="M98">
        <f>IFERROR(MATCH($C$5&amp;"|"&amp;RIGHT("000000"&amp;82,6),LdgRankKeyB,0),"")</f>
        <v/>
      </c>
    </row>
    <row r="99">
      <c r="A99" s="17" t="n">
        <v>83</v>
      </c>
      <c r="B99" s="18">
        <f>IF(AND($L99="",$M99=""),"",IF($L99&lt;&gt;"",INDEX(SCNormDate,$L99),INDEX(LdgDateB,$M99)))</f>
        <v/>
      </c>
      <c r="C99" s="18">
        <f>IF($L99&lt;&gt;"",INDEX(SCOp,$L99),IF($M99&lt;&gt;"","پرداخت بانکی",""))</f>
        <v/>
      </c>
      <c r="D99" s="18">
        <f>IF($L99&lt;&gt;"",IF(INDEX(SCDoc,$L99)="","—",INDEX(SCDoc,$L99)),IF($M99&lt;&gt;"",INDEX(LdgBankB,$M99),""))</f>
        <v/>
      </c>
      <c r="E99" s="19">
        <f>IF($L99&lt;&gt;"",IF(INDEX(SCCitrus,$L99)&amp;INDEX(SCNotes,$L99)="","",IF(INDEX(SCCitrus,$L99)="","",INDEX(SCCitrus,$L99))&amp;IF(INDEX(SCNotes,$L99)="",""," — "&amp;INDEX(SCNotes,$L99))),IF($M99&lt;&gt;"",IF(INDEX(LdgNoteB,$M99)="","—",INDEX(LdgNoteB,$M99)),""))</f>
        <v/>
      </c>
      <c r="F99" s="20">
        <f>IF($L99&lt;&gt;"",IF(INDEX(SCNet,$L99)=0,"",INDEX(SCNet,$L99)),"")</f>
        <v/>
      </c>
      <c r="G99" s="21">
        <f>IF($L99&lt;&gt;"",IF(INDEX(SCOp,$L99)="مرجوعی فروش","",IF(INDEX(SCAmount,$L99)&lt;=0,"",INDEX(SCAmount,$L99))),IF($M99&lt;&gt;"",IF(INDEX(LdgWitB,$M99)=0,"",INDEX(LdgWitB,$M99)),""))</f>
        <v/>
      </c>
      <c r="H99" s="21">
        <f>IF($L99&lt;&gt;"",IF(INDEX(SCOp,$L99)="مرجوعی فروش",IF(INDEX(SCAmount,$L99)=0,"",-INDEX(SCAmount,$L99)),""),IF($M99&lt;&gt;"",IF(INDEX(LdgDepB,$M99)=0,"",INDEX(LdgDepB,$M99)),""))</f>
        <v/>
      </c>
      <c r="I99" s="22">
        <f>IF($B99="","",IF($I98="",$C$10,$I98)+IF($G99="",0,$G99)-IF($H99="",0,$H99))</f>
        <v/>
      </c>
      <c r="L99">
        <f>IFERROR(MATCH($C$5&amp;"|"&amp;RIGHT("000000"&amp;83,6),LdgRankKeyA,0),"")</f>
        <v/>
      </c>
      <c r="M99">
        <f>IFERROR(MATCH($C$5&amp;"|"&amp;RIGHT("000000"&amp;83,6),LdgRankKeyB,0),"")</f>
        <v/>
      </c>
    </row>
    <row r="100">
      <c r="A100" s="23" t="n">
        <v>84</v>
      </c>
      <c r="B100" s="24">
        <f>IF(AND($L100="",$M100=""),"",IF($L100&lt;&gt;"",INDEX(SCNormDate,$L100),INDEX(LdgDateB,$M100)))</f>
        <v/>
      </c>
      <c r="C100" s="24">
        <f>IF($L100&lt;&gt;"",INDEX(SCOp,$L100),IF($M100&lt;&gt;"","پرداخت بانکی",""))</f>
        <v/>
      </c>
      <c r="D100" s="24">
        <f>IF($L100&lt;&gt;"",IF(INDEX(SCDoc,$L100)="","—",INDEX(SCDoc,$L100)),IF($M100&lt;&gt;"",INDEX(LdgBankB,$M100),""))</f>
        <v/>
      </c>
      <c r="E100" s="25">
        <f>IF($L100&lt;&gt;"",IF(INDEX(SCCitrus,$L100)&amp;INDEX(SCNotes,$L100)="","",IF(INDEX(SCCitrus,$L100)="","",INDEX(SCCitrus,$L100))&amp;IF(INDEX(SCNotes,$L100)="",""," — "&amp;INDEX(SCNotes,$L100))),IF($M100&lt;&gt;"",IF(INDEX(LdgNoteB,$M100)="","—",INDEX(LdgNoteB,$M100)),""))</f>
        <v/>
      </c>
      <c r="F100" s="26">
        <f>IF($L100&lt;&gt;"",IF(INDEX(SCNet,$L100)=0,"",INDEX(SCNet,$L100)),"")</f>
        <v/>
      </c>
      <c r="G100" s="27">
        <f>IF($L100&lt;&gt;"",IF(INDEX(SCOp,$L100)="مرجوعی فروش","",IF(INDEX(SCAmount,$L100)&lt;=0,"",INDEX(SCAmount,$L100))),IF($M100&lt;&gt;"",IF(INDEX(LdgWitB,$M100)=0,"",INDEX(LdgWitB,$M100)),""))</f>
        <v/>
      </c>
      <c r="H100" s="27">
        <f>IF($L100&lt;&gt;"",IF(INDEX(SCOp,$L100)="مرجوعی فروش",IF(INDEX(SCAmount,$L100)=0,"",-INDEX(SCAmount,$L100)),""),IF($M100&lt;&gt;"",IF(INDEX(LdgDepB,$M100)=0,"",INDEX(LdgDepB,$M100)),""))</f>
        <v/>
      </c>
      <c r="I100" s="28">
        <f>IF($B100="","",IF($I99="",$C$10,$I99)+IF($G100="",0,$G100)-IF($H100="",0,$H100))</f>
        <v/>
      </c>
      <c r="L100">
        <f>IFERROR(MATCH($C$5&amp;"|"&amp;RIGHT("000000"&amp;84,6),LdgRankKeyA,0),"")</f>
        <v/>
      </c>
      <c r="M100">
        <f>IFERROR(MATCH($C$5&amp;"|"&amp;RIGHT("000000"&amp;84,6),LdgRankKeyB,0),"")</f>
        <v/>
      </c>
    </row>
    <row r="101">
      <c r="A101" s="17" t="n">
        <v>85</v>
      </c>
      <c r="B101" s="18">
        <f>IF(AND($L101="",$M101=""),"",IF($L101&lt;&gt;"",INDEX(SCNormDate,$L101),INDEX(LdgDateB,$M101)))</f>
        <v/>
      </c>
      <c r="C101" s="18">
        <f>IF($L101&lt;&gt;"",INDEX(SCOp,$L101),IF($M101&lt;&gt;"","پرداخت بانکی",""))</f>
        <v/>
      </c>
      <c r="D101" s="18">
        <f>IF($L101&lt;&gt;"",IF(INDEX(SCDoc,$L101)="","—",INDEX(SCDoc,$L101)),IF($M101&lt;&gt;"",INDEX(LdgBankB,$M101),""))</f>
        <v/>
      </c>
      <c r="E101" s="19">
        <f>IF($L101&lt;&gt;"",IF(INDEX(SCCitrus,$L101)&amp;INDEX(SCNotes,$L101)="","",IF(INDEX(SCCitrus,$L101)="","",INDEX(SCCitrus,$L101))&amp;IF(INDEX(SCNotes,$L101)="",""," — "&amp;INDEX(SCNotes,$L101))),IF($M101&lt;&gt;"",IF(INDEX(LdgNoteB,$M101)="","—",INDEX(LdgNoteB,$M101)),""))</f>
        <v/>
      </c>
      <c r="F101" s="20">
        <f>IF($L101&lt;&gt;"",IF(INDEX(SCNet,$L101)=0,"",INDEX(SCNet,$L101)),"")</f>
        <v/>
      </c>
      <c r="G101" s="21">
        <f>IF($L101&lt;&gt;"",IF(INDEX(SCOp,$L101)="مرجوعی فروش","",IF(INDEX(SCAmount,$L101)&lt;=0,"",INDEX(SCAmount,$L101))),IF($M101&lt;&gt;"",IF(INDEX(LdgWitB,$M101)=0,"",INDEX(LdgWitB,$M101)),""))</f>
        <v/>
      </c>
      <c r="H101" s="21">
        <f>IF($L101&lt;&gt;"",IF(INDEX(SCOp,$L101)="مرجوعی فروش",IF(INDEX(SCAmount,$L101)=0,"",-INDEX(SCAmount,$L101)),""),IF($M101&lt;&gt;"",IF(INDEX(LdgDepB,$M101)=0,"",INDEX(LdgDepB,$M101)),""))</f>
        <v/>
      </c>
      <c r="I101" s="22">
        <f>IF($B101="","",IF($I100="",$C$10,$I100)+IF($G101="",0,$G101)-IF($H101="",0,$H101))</f>
        <v/>
      </c>
      <c r="L101">
        <f>IFERROR(MATCH($C$5&amp;"|"&amp;RIGHT("000000"&amp;85,6),LdgRankKeyA,0),"")</f>
        <v/>
      </c>
      <c r="M101">
        <f>IFERROR(MATCH($C$5&amp;"|"&amp;RIGHT("000000"&amp;85,6),LdgRankKeyB,0),"")</f>
        <v/>
      </c>
    </row>
    <row r="102">
      <c r="A102" s="23" t="n">
        <v>86</v>
      </c>
      <c r="B102" s="24">
        <f>IF(AND($L102="",$M102=""),"",IF($L102&lt;&gt;"",INDEX(SCNormDate,$L102),INDEX(LdgDateB,$M102)))</f>
        <v/>
      </c>
      <c r="C102" s="24">
        <f>IF($L102&lt;&gt;"",INDEX(SCOp,$L102),IF($M102&lt;&gt;"","پرداخت بانکی",""))</f>
        <v/>
      </c>
      <c r="D102" s="24">
        <f>IF($L102&lt;&gt;"",IF(INDEX(SCDoc,$L102)="","—",INDEX(SCDoc,$L102)),IF($M102&lt;&gt;"",INDEX(LdgBankB,$M102),""))</f>
        <v/>
      </c>
      <c r="E102" s="25">
        <f>IF($L102&lt;&gt;"",IF(INDEX(SCCitrus,$L102)&amp;INDEX(SCNotes,$L102)="","",IF(INDEX(SCCitrus,$L102)="","",INDEX(SCCitrus,$L102))&amp;IF(INDEX(SCNotes,$L102)="",""," — "&amp;INDEX(SCNotes,$L102))),IF($M102&lt;&gt;"",IF(INDEX(LdgNoteB,$M102)="","—",INDEX(LdgNoteB,$M102)),""))</f>
        <v/>
      </c>
      <c r="F102" s="26">
        <f>IF($L102&lt;&gt;"",IF(INDEX(SCNet,$L102)=0,"",INDEX(SCNet,$L102)),"")</f>
        <v/>
      </c>
      <c r="G102" s="27">
        <f>IF($L102&lt;&gt;"",IF(INDEX(SCOp,$L102)="مرجوعی فروش","",IF(INDEX(SCAmount,$L102)&lt;=0,"",INDEX(SCAmount,$L102))),IF($M102&lt;&gt;"",IF(INDEX(LdgWitB,$M102)=0,"",INDEX(LdgWitB,$M102)),""))</f>
        <v/>
      </c>
      <c r="H102" s="27">
        <f>IF($L102&lt;&gt;"",IF(INDEX(SCOp,$L102)="مرجوعی فروش",IF(INDEX(SCAmount,$L102)=0,"",-INDEX(SCAmount,$L102)),""),IF($M102&lt;&gt;"",IF(INDEX(LdgDepB,$M102)=0,"",INDEX(LdgDepB,$M102)),""))</f>
        <v/>
      </c>
      <c r="I102" s="28">
        <f>IF($B102="","",IF($I101="",$C$10,$I101)+IF($G102="",0,$G102)-IF($H102="",0,$H102))</f>
        <v/>
      </c>
      <c r="L102">
        <f>IFERROR(MATCH($C$5&amp;"|"&amp;RIGHT("000000"&amp;86,6),LdgRankKeyA,0),"")</f>
        <v/>
      </c>
      <c r="M102">
        <f>IFERROR(MATCH($C$5&amp;"|"&amp;RIGHT("000000"&amp;86,6),LdgRankKeyB,0),"")</f>
        <v/>
      </c>
    </row>
    <row r="103">
      <c r="A103" s="17" t="n">
        <v>87</v>
      </c>
      <c r="B103" s="18">
        <f>IF(AND($L103="",$M103=""),"",IF($L103&lt;&gt;"",INDEX(SCNormDate,$L103),INDEX(LdgDateB,$M103)))</f>
        <v/>
      </c>
      <c r="C103" s="18">
        <f>IF($L103&lt;&gt;"",INDEX(SCOp,$L103),IF($M103&lt;&gt;"","پرداخت بانکی",""))</f>
        <v/>
      </c>
      <c r="D103" s="18">
        <f>IF($L103&lt;&gt;"",IF(INDEX(SCDoc,$L103)="","—",INDEX(SCDoc,$L103)),IF($M103&lt;&gt;"",INDEX(LdgBankB,$M103),""))</f>
        <v/>
      </c>
      <c r="E103" s="19">
        <f>IF($L103&lt;&gt;"",IF(INDEX(SCCitrus,$L103)&amp;INDEX(SCNotes,$L103)="","",IF(INDEX(SCCitrus,$L103)="","",INDEX(SCCitrus,$L103))&amp;IF(INDEX(SCNotes,$L103)="",""," — "&amp;INDEX(SCNotes,$L103))),IF($M103&lt;&gt;"",IF(INDEX(LdgNoteB,$M103)="","—",INDEX(LdgNoteB,$M103)),""))</f>
        <v/>
      </c>
      <c r="F103" s="20">
        <f>IF($L103&lt;&gt;"",IF(INDEX(SCNet,$L103)=0,"",INDEX(SCNet,$L103)),"")</f>
        <v/>
      </c>
      <c r="G103" s="21">
        <f>IF($L103&lt;&gt;"",IF(INDEX(SCOp,$L103)="مرجوعی فروش","",IF(INDEX(SCAmount,$L103)&lt;=0,"",INDEX(SCAmount,$L103))),IF($M103&lt;&gt;"",IF(INDEX(LdgWitB,$M103)=0,"",INDEX(LdgWitB,$M103)),""))</f>
        <v/>
      </c>
      <c r="H103" s="21">
        <f>IF($L103&lt;&gt;"",IF(INDEX(SCOp,$L103)="مرجوعی فروش",IF(INDEX(SCAmount,$L103)=0,"",-INDEX(SCAmount,$L103)),""),IF($M103&lt;&gt;"",IF(INDEX(LdgDepB,$M103)=0,"",INDEX(LdgDepB,$M103)),""))</f>
        <v/>
      </c>
      <c r="I103" s="22">
        <f>IF($B103="","",IF($I102="",$C$10,$I102)+IF($G103="",0,$G103)-IF($H103="",0,$H103))</f>
        <v/>
      </c>
      <c r="L103">
        <f>IFERROR(MATCH($C$5&amp;"|"&amp;RIGHT("000000"&amp;87,6),LdgRankKeyA,0),"")</f>
        <v/>
      </c>
      <c r="M103">
        <f>IFERROR(MATCH($C$5&amp;"|"&amp;RIGHT("000000"&amp;87,6),LdgRankKeyB,0),"")</f>
        <v/>
      </c>
    </row>
    <row r="104">
      <c r="A104" s="23" t="n">
        <v>88</v>
      </c>
      <c r="B104" s="24">
        <f>IF(AND($L104="",$M104=""),"",IF($L104&lt;&gt;"",INDEX(SCNormDate,$L104),INDEX(LdgDateB,$M104)))</f>
        <v/>
      </c>
      <c r="C104" s="24">
        <f>IF($L104&lt;&gt;"",INDEX(SCOp,$L104),IF($M104&lt;&gt;"","پرداخت بانکی",""))</f>
        <v/>
      </c>
      <c r="D104" s="24">
        <f>IF($L104&lt;&gt;"",IF(INDEX(SCDoc,$L104)="","—",INDEX(SCDoc,$L104)),IF($M104&lt;&gt;"",INDEX(LdgBankB,$M104),""))</f>
        <v/>
      </c>
      <c r="E104" s="25">
        <f>IF($L104&lt;&gt;"",IF(INDEX(SCCitrus,$L104)&amp;INDEX(SCNotes,$L104)="","",IF(INDEX(SCCitrus,$L104)="","",INDEX(SCCitrus,$L104))&amp;IF(INDEX(SCNotes,$L104)="",""," — "&amp;INDEX(SCNotes,$L104))),IF($M104&lt;&gt;"",IF(INDEX(LdgNoteB,$M104)="","—",INDEX(LdgNoteB,$M104)),""))</f>
        <v/>
      </c>
      <c r="F104" s="26">
        <f>IF($L104&lt;&gt;"",IF(INDEX(SCNet,$L104)=0,"",INDEX(SCNet,$L104)),"")</f>
        <v/>
      </c>
      <c r="G104" s="27">
        <f>IF($L104&lt;&gt;"",IF(INDEX(SCOp,$L104)="مرجوعی فروش","",IF(INDEX(SCAmount,$L104)&lt;=0,"",INDEX(SCAmount,$L104))),IF($M104&lt;&gt;"",IF(INDEX(LdgWitB,$M104)=0,"",INDEX(LdgWitB,$M104)),""))</f>
        <v/>
      </c>
      <c r="H104" s="27">
        <f>IF($L104&lt;&gt;"",IF(INDEX(SCOp,$L104)="مرجوعی فروش",IF(INDEX(SCAmount,$L104)=0,"",-INDEX(SCAmount,$L104)),""),IF($M104&lt;&gt;"",IF(INDEX(LdgDepB,$M104)=0,"",INDEX(LdgDepB,$M104)),""))</f>
        <v/>
      </c>
      <c r="I104" s="28">
        <f>IF($B104="","",IF($I103="",$C$10,$I103)+IF($G104="",0,$G104)-IF($H104="",0,$H104))</f>
        <v/>
      </c>
      <c r="L104">
        <f>IFERROR(MATCH($C$5&amp;"|"&amp;RIGHT("000000"&amp;88,6),LdgRankKeyA,0),"")</f>
        <v/>
      </c>
      <c r="M104">
        <f>IFERROR(MATCH($C$5&amp;"|"&amp;RIGHT("000000"&amp;88,6),LdgRankKeyB,0),"")</f>
        <v/>
      </c>
    </row>
    <row r="105">
      <c r="A105" s="17" t="n">
        <v>89</v>
      </c>
      <c r="B105" s="18">
        <f>IF(AND($L105="",$M105=""),"",IF($L105&lt;&gt;"",INDEX(SCNormDate,$L105),INDEX(LdgDateB,$M105)))</f>
        <v/>
      </c>
      <c r="C105" s="18">
        <f>IF($L105&lt;&gt;"",INDEX(SCOp,$L105),IF($M105&lt;&gt;"","پرداخت بانکی",""))</f>
        <v/>
      </c>
      <c r="D105" s="18">
        <f>IF($L105&lt;&gt;"",IF(INDEX(SCDoc,$L105)="","—",INDEX(SCDoc,$L105)),IF($M105&lt;&gt;"",INDEX(LdgBankB,$M105),""))</f>
        <v/>
      </c>
      <c r="E105" s="19">
        <f>IF($L105&lt;&gt;"",IF(INDEX(SCCitrus,$L105)&amp;INDEX(SCNotes,$L105)="","",IF(INDEX(SCCitrus,$L105)="","",INDEX(SCCitrus,$L105))&amp;IF(INDEX(SCNotes,$L105)="",""," — "&amp;INDEX(SCNotes,$L105))),IF($M105&lt;&gt;"",IF(INDEX(LdgNoteB,$M105)="","—",INDEX(LdgNoteB,$M105)),""))</f>
        <v/>
      </c>
      <c r="F105" s="20">
        <f>IF($L105&lt;&gt;"",IF(INDEX(SCNet,$L105)=0,"",INDEX(SCNet,$L105)),"")</f>
        <v/>
      </c>
      <c r="G105" s="21">
        <f>IF($L105&lt;&gt;"",IF(INDEX(SCOp,$L105)="مرجوعی فروش","",IF(INDEX(SCAmount,$L105)&lt;=0,"",INDEX(SCAmount,$L105))),IF($M105&lt;&gt;"",IF(INDEX(LdgWitB,$M105)=0,"",INDEX(LdgWitB,$M105)),""))</f>
        <v/>
      </c>
      <c r="H105" s="21">
        <f>IF($L105&lt;&gt;"",IF(INDEX(SCOp,$L105)="مرجوعی فروش",IF(INDEX(SCAmount,$L105)=0,"",-INDEX(SCAmount,$L105)),""),IF($M105&lt;&gt;"",IF(INDEX(LdgDepB,$M105)=0,"",INDEX(LdgDepB,$M105)),""))</f>
        <v/>
      </c>
      <c r="I105" s="22">
        <f>IF($B105="","",IF($I104="",$C$10,$I104)+IF($G105="",0,$G105)-IF($H105="",0,$H105))</f>
        <v/>
      </c>
      <c r="L105">
        <f>IFERROR(MATCH($C$5&amp;"|"&amp;RIGHT("000000"&amp;89,6),LdgRankKeyA,0),"")</f>
        <v/>
      </c>
      <c r="M105">
        <f>IFERROR(MATCH($C$5&amp;"|"&amp;RIGHT("000000"&amp;89,6),LdgRankKeyB,0),"")</f>
        <v/>
      </c>
    </row>
    <row r="106">
      <c r="A106" s="23" t="n">
        <v>90</v>
      </c>
      <c r="B106" s="24">
        <f>IF(AND($L106="",$M106=""),"",IF($L106&lt;&gt;"",INDEX(SCNormDate,$L106),INDEX(LdgDateB,$M106)))</f>
        <v/>
      </c>
      <c r="C106" s="24">
        <f>IF($L106&lt;&gt;"",INDEX(SCOp,$L106),IF($M106&lt;&gt;"","پرداخت بانکی",""))</f>
        <v/>
      </c>
      <c r="D106" s="24">
        <f>IF($L106&lt;&gt;"",IF(INDEX(SCDoc,$L106)="","—",INDEX(SCDoc,$L106)),IF($M106&lt;&gt;"",INDEX(LdgBankB,$M106),""))</f>
        <v/>
      </c>
      <c r="E106" s="25">
        <f>IF($L106&lt;&gt;"",IF(INDEX(SCCitrus,$L106)&amp;INDEX(SCNotes,$L106)="","",IF(INDEX(SCCitrus,$L106)="","",INDEX(SCCitrus,$L106))&amp;IF(INDEX(SCNotes,$L106)="",""," — "&amp;INDEX(SCNotes,$L106))),IF($M106&lt;&gt;"",IF(INDEX(LdgNoteB,$M106)="","—",INDEX(LdgNoteB,$M106)),""))</f>
        <v/>
      </c>
      <c r="F106" s="26">
        <f>IF($L106&lt;&gt;"",IF(INDEX(SCNet,$L106)=0,"",INDEX(SCNet,$L106)),"")</f>
        <v/>
      </c>
      <c r="G106" s="27">
        <f>IF($L106&lt;&gt;"",IF(INDEX(SCOp,$L106)="مرجوعی فروش","",IF(INDEX(SCAmount,$L106)&lt;=0,"",INDEX(SCAmount,$L106))),IF($M106&lt;&gt;"",IF(INDEX(LdgWitB,$M106)=0,"",INDEX(LdgWitB,$M106)),""))</f>
        <v/>
      </c>
      <c r="H106" s="27">
        <f>IF($L106&lt;&gt;"",IF(INDEX(SCOp,$L106)="مرجوعی فروش",IF(INDEX(SCAmount,$L106)=0,"",-INDEX(SCAmount,$L106)),""),IF($M106&lt;&gt;"",IF(INDEX(LdgDepB,$M106)=0,"",INDEX(LdgDepB,$M106)),""))</f>
        <v/>
      </c>
      <c r="I106" s="28">
        <f>IF($B106="","",IF($I105="",$C$10,$I105)+IF($G106="",0,$G106)-IF($H106="",0,$H106))</f>
        <v/>
      </c>
      <c r="L106">
        <f>IFERROR(MATCH($C$5&amp;"|"&amp;RIGHT("000000"&amp;90,6),LdgRankKeyA,0),"")</f>
        <v/>
      </c>
      <c r="M106">
        <f>IFERROR(MATCH($C$5&amp;"|"&amp;RIGHT("000000"&amp;90,6),LdgRankKeyB,0),"")</f>
        <v/>
      </c>
    </row>
    <row r="107">
      <c r="A107" s="17" t="n">
        <v>91</v>
      </c>
      <c r="B107" s="18">
        <f>IF(AND($L107="",$M107=""),"",IF($L107&lt;&gt;"",INDEX(SCNormDate,$L107),INDEX(LdgDateB,$M107)))</f>
        <v/>
      </c>
      <c r="C107" s="18">
        <f>IF($L107&lt;&gt;"",INDEX(SCOp,$L107),IF($M107&lt;&gt;"","پرداخت بانکی",""))</f>
        <v/>
      </c>
      <c r="D107" s="18">
        <f>IF($L107&lt;&gt;"",IF(INDEX(SCDoc,$L107)="","—",INDEX(SCDoc,$L107)),IF($M107&lt;&gt;"",INDEX(LdgBankB,$M107),""))</f>
        <v/>
      </c>
      <c r="E107" s="19">
        <f>IF($L107&lt;&gt;"",IF(INDEX(SCCitrus,$L107)&amp;INDEX(SCNotes,$L107)="","",IF(INDEX(SCCitrus,$L107)="","",INDEX(SCCitrus,$L107))&amp;IF(INDEX(SCNotes,$L107)="",""," — "&amp;INDEX(SCNotes,$L107))),IF($M107&lt;&gt;"",IF(INDEX(LdgNoteB,$M107)="","—",INDEX(LdgNoteB,$M107)),""))</f>
        <v/>
      </c>
      <c r="F107" s="20">
        <f>IF($L107&lt;&gt;"",IF(INDEX(SCNet,$L107)=0,"",INDEX(SCNet,$L107)),"")</f>
        <v/>
      </c>
      <c r="G107" s="21">
        <f>IF($L107&lt;&gt;"",IF(INDEX(SCOp,$L107)="مرجوعی فروش","",IF(INDEX(SCAmount,$L107)&lt;=0,"",INDEX(SCAmount,$L107))),IF($M107&lt;&gt;"",IF(INDEX(LdgWitB,$M107)=0,"",INDEX(LdgWitB,$M107)),""))</f>
        <v/>
      </c>
      <c r="H107" s="21">
        <f>IF($L107&lt;&gt;"",IF(INDEX(SCOp,$L107)="مرجوعی فروش",IF(INDEX(SCAmount,$L107)=0,"",-INDEX(SCAmount,$L107)),""),IF($M107&lt;&gt;"",IF(INDEX(LdgDepB,$M107)=0,"",INDEX(LdgDepB,$M107)),""))</f>
        <v/>
      </c>
      <c r="I107" s="22">
        <f>IF($B107="","",IF($I106="",$C$10,$I106)+IF($G107="",0,$G107)-IF($H107="",0,$H107))</f>
        <v/>
      </c>
      <c r="L107">
        <f>IFERROR(MATCH($C$5&amp;"|"&amp;RIGHT("000000"&amp;91,6),LdgRankKeyA,0),"")</f>
        <v/>
      </c>
      <c r="M107">
        <f>IFERROR(MATCH($C$5&amp;"|"&amp;RIGHT("000000"&amp;91,6),LdgRankKeyB,0),"")</f>
        <v/>
      </c>
    </row>
    <row r="108">
      <c r="A108" s="23" t="n">
        <v>92</v>
      </c>
      <c r="B108" s="24">
        <f>IF(AND($L108="",$M108=""),"",IF($L108&lt;&gt;"",INDEX(SCNormDate,$L108),INDEX(LdgDateB,$M108)))</f>
        <v/>
      </c>
      <c r="C108" s="24">
        <f>IF($L108&lt;&gt;"",INDEX(SCOp,$L108),IF($M108&lt;&gt;"","پرداخت بانکی",""))</f>
        <v/>
      </c>
      <c r="D108" s="24">
        <f>IF($L108&lt;&gt;"",IF(INDEX(SCDoc,$L108)="","—",INDEX(SCDoc,$L108)),IF($M108&lt;&gt;"",INDEX(LdgBankB,$M108),""))</f>
        <v/>
      </c>
      <c r="E108" s="25">
        <f>IF($L108&lt;&gt;"",IF(INDEX(SCCitrus,$L108)&amp;INDEX(SCNotes,$L108)="","",IF(INDEX(SCCitrus,$L108)="","",INDEX(SCCitrus,$L108))&amp;IF(INDEX(SCNotes,$L108)="",""," — "&amp;INDEX(SCNotes,$L108))),IF($M108&lt;&gt;"",IF(INDEX(LdgNoteB,$M108)="","—",INDEX(LdgNoteB,$M108)),""))</f>
        <v/>
      </c>
      <c r="F108" s="26">
        <f>IF($L108&lt;&gt;"",IF(INDEX(SCNet,$L108)=0,"",INDEX(SCNet,$L108)),"")</f>
        <v/>
      </c>
      <c r="G108" s="27">
        <f>IF($L108&lt;&gt;"",IF(INDEX(SCOp,$L108)="مرجوعی فروش","",IF(INDEX(SCAmount,$L108)&lt;=0,"",INDEX(SCAmount,$L108))),IF($M108&lt;&gt;"",IF(INDEX(LdgWitB,$M108)=0,"",INDEX(LdgWitB,$M108)),""))</f>
        <v/>
      </c>
      <c r="H108" s="27">
        <f>IF($L108&lt;&gt;"",IF(INDEX(SCOp,$L108)="مرجوعی فروش",IF(INDEX(SCAmount,$L108)=0,"",-INDEX(SCAmount,$L108)),""),IF($M108&lt;&gt;"",IF(INDEX(LdgDepB,$M108)=0,"",INDEX(LdgDepB,$M108)),""))</f>
        <v/>
      </c>
      <c r="I108" s="28">
        <f>IF($B108="","",IF($I107="",$C$10,$I107)+IF($G108="",0,$G108)-IF($H108="",0,$H108))</f>
        <v/>
      </c>
      <c r="L108">
        <f>IFERROR(MATCH($C$5&amp;"|"&amp;RIGHT("000000"&amp;92,6),LdgRankKeyA,0),"")</f>
        <v/>
      </c>
      <c r="M108">
        <f>IFERROR(MATCH($C$5&amp;"|"&amp;RIGHT("000000"&amp;92,6),LdgRankKeyB,0),"")</f>
        <v/>
      </c>
    </row>
    <row r="109">
      <c r="A109" s="17" t="n">
        <v>93</v>
      </c>
      <c r="B109" s="18">
        <f>IF(AND($L109="",$M109=""),"",IF($L109&lt;&gt;"",INDEX(SCNormDate,$L109),INDEX(LdgDateB,$M109)))</f>
        <v/>
      </c>
      <c r="C109" s="18">
        <f>IF($L109&lt;&gt;"",INDEX(SCOp,$L109),IF($M109&lt;&gt;"","پرداخت بانکی",""))</f>
        <v/>
      </c>
      <c r="D109" s="18">
        <f>IF($L109&lt;&gt;"",IF(INDEX(SCDoc,$L109)="","—",INDEX(SCDoc,$L109)),IF($M109&lt;&gt;"",INDEX(LdgBankB,$M109),""))</f>
        <v/>
      </c>
      <c r="E109" s="19">
        <f>IF($L109&lt;&gt;"",IF(INDEX(SCCitrus,$L109)&amp;INDEX(SCNotes,$L109)="","",IF(INDEX(SCCitrus,$L109)="","",INDEX(SCCitrus,$L109))&amp;IF(INDEX(SCNotes,$L109)="",""," — "&amp;INDEX(SCNotes,$L109))),IF($M109&lt;&gt;"",IF(INDEX(LdgNoteB,$M109)="","—",INDEX(LdgNoteB,$M109)),""))</f>
        <v/>
      </c>
      <c r="F109" s="20">
        <f>IF($L109&lt;&gt;"",IF(INDEX(SCNet,$L109)=0,"",INDEX(SCNet,$L109)),"")</f>
        <v/>
      </c>
      <c r="G109" s="21">
        <f>IF($L109&lt;&gt;"",IF(INDEX(SCOp,$L109)="مرجوعی فروش","",IF(INDEX(SCAmount,$L109)&lt;=0,"",INDEX(SCAmount,$L109))),IF($M109&lt;&gt;"",IF(INDEX(LdgWitB,$M109)=0,"",INDEX(LdgWitB,$M109)),""))</f>
        <v/>
      </c>
      <c r="H109" s="21">
        <f>IF($L109&lt;&gt;"",IF(INDEX(SCOp,$L109)="مرجوعی فروش",IF(INDEX(SCAmount,$L109)=0,"",-INDEX(SCAmount,$L109)),""),IF($M109&lt;&gt;"",IF(INDEX(LdgDepB,$M109)=0,"",INDEX(LdgDepB,$M109)),""))</f>
        <v/>
      </c>
      <c r="I109" s="22">
        <f>IF($B109="","",IF($I108="",$C$10,$I108)+IF($G109="",0,$G109)-IF($H109="",0,$H109))</f>
        <v/>
      </c>
      <c r="L109">
        <f>IFERROR(MATCH($C$5&amp;"|"&amp;RIGHT("000000"&amp;93,6),LdgRankKeyA,0),"")</f>
        <v/>
      </c>
      <c r="M109">
        <f>IFERROR(MATCH($C$5&amp;"|"&amp;RIGHT("000000"&amp;93,6),LdgRankKeyB,0),"")</f>
        <v/>
      </c>
    </row>
    <row r="110">
      <c r="A110" s="23" t="n">
        <v>94</v>
      </c>
      <c r="B110" s="24">
        <f>IF(AND($L110="",$M110=""),"",IF($L110&lt;&gt;"",INDEX(SCNormDate,$L110),INDEX(LdgDateB,$M110)))</f>
        <v/>
      </c>
      <c r="C110" s="24">
        <f>IF($L110&lt;&gt;"",INDEX(SCOp,$L110),IF($M110&lt;&gt;"","پرداخت بانکی",""))</f>
        <v/>
      </c>
      <c r="D110" s="24">
        <f>IF($L110&lt;&gt;"",IF(INDEX(SCDoc,$L110)="","—",INDEX(SCDoc,$L110)),IF($M110&lt;&gt;"",INDEX(LdgBankB,$M110),""))</f>
        <v/>
      </c>
      <c r="E110" s="25">
        <f>IF($L110&lt;&gt;"",IF(INDEX(SCCitrus,$L110)&amp;INDEX(SCNotes,$L110)="","",IF(INDEX(SCCitrus,$L110)="","",INDEX(SCCitrus,$L110))&amp;IF(INDEX(SCNotes,$L110)="",""," — "&amp;INDEX(SCNotes,$L110))),IF($M110&lt;&gt;"",IF(INDEX(LdgNoteB,$M110)="","—",INDEX(LdgNoteB,$M110)),""))</f>
        <v/>
      </c>
      <c r="F110" s="26">
        <f>IF($L110&lt;&gt;"",IF(INDEX(SCNet,$L110)=0,"",INDEX(SCNet,$L110)),"")</f>
        <v/>
      </c>
      <c r="G110" s="27">
        <f>IF($L110&lt;&gt;"",IF(INDEX(SCOp,$L110)="مرجوعی فروش","",IF(INDEX(SCAmount,$L110)&lt;=0,"",INDEX(SCAmount,$L110))),IF($M110&lt;&gt;"",IF(INDEX(LdgWitB,$M110)=0,"",INDEX(LdgWitB,$M110)),""))</f>
        <v/>
      </c>
      <c r="H110" s="27">
        <f>IF($L110&lt;&gt;"",IF(INDEX(SCOp,$L110)="مرجوعی فروش",IF(INDEX(SCAmount,$L110)=0,"",-INDEX(SCAmount,$L110)),""),IF($M110&lt;&gt;"",IF(INDEX(LdgDepB,$M110)=0,"",INDEX(LdgDepB,$M110)),""))</f>
        <v/>
      </c>
      <c r="I110" s="28">
        <f>IF($B110="","",IF($I109="",$C$10,$I109)+IF($G110="",0,$G110)-IF($H110="",0,$H110))</f>
        <v/>
      </c>
      <c r="L110">
        <f>IFERROR(MATCH($C$5&amp;"|"&amp;RIGHT("000000"&amp;94,6),LdgRankKeyA,0),"")</f>
        <v/>
      </c>
      <c r="M110">
        <f>IFERROR(MATCH($C$5&amp;"|"&amp;RIGHT("000000"&amp;94,6),LdgRankKeyB,0),"")</f>
        <v/>
      </c>
    </row>
    <row r="111">
      <c r="A111" s="17" t="n">
        <v>95</v>
      </c>
      <c r="B111" s="18">
        <f>IF(AND($L111="",$M111=""),"",IF($L111&lt;&gt;"",INDEX(SCNormDate,$L111),INDEX(LdgDateB,$M111)))</f>
        <v/>
      </c>
      <c r="C111" s="18">
        <f>IF($L111&lt;&gt;"",INDEX(SCOp,$L111),IF($M111&lt;&gt;"","پرداخت بانکی",""))</f>
        <v/>
      </c>
      <c r="D111" s="18">
        <f>IF($L111&lt;&gt;"",IF(INDEX(SCDoc,$L111)="","—",INDEX(SCDoc,$L111)),IF($M111&lt;&gt;"",INDEX(LdgBankB,$M111),""))</f>
        <v/>
      </c>
      <c r="E111" s="19">
        <f>IF($L111&lt;&gt;"",IF(INDEX(SCCitrus,$L111)&amp;INDEX(SCNotes,$L111)="","",IF(INDEX(SCCitrus,$L111)="","",INDEX(SCCitrus,$L111))&amp;IF(INDEX(SCNotes,$L111)="",""," — "&amp;INDEX(SCNotes,$L111))),IF($M111&lt;&gt;"",IF(INDEX(LdgNoteB,$M111)="","—",INDEX(LdgNoteB,$M111)),""))</f>
        <v/>
      </c>
      <c r="F111" s="20">
        <f>IF($L111&lt;&gt;"",IF(INDEX(SCNet,$L111)=0,"",INDEX(SCNet,$L111)),"")</f>
        <v/>
      </c>
      <c r="G111" s="21">
        <f>IF($L111&lt;&gt;"",IF(INDEX(SCOp,$L111)="مرجوعی فروش","",IF(INDEX(SCAmount,$L111)&lt;=0,"",INDEX(SCAmount,$L111))),IF($M111&lt;&gt;"",IF(INDEX(LdgWitB,$M111)=0,"",INDEX(LdgWitB,$M111)),""))</f>
        <v/>
      </c>
      <c r="H111" s="21">
        <f>IF($L111&lt;&gt;"",IF(INDEX(SCOp,$L111)="مرجوعی فروش",IF(INDEX(SCAmount,$L111)=0,"",-INDEX(SCAmount,$L111)),""),IF($M111&lt;&gt;"",IF(INDEX(LdgDepB,$M111)=0,"",INDEX(LdgDepB,$M111)),""))</f>
        <v/>
      </c>
      <c r="I111" s="22">
        <f>IF($B111="","",IF($I110="",$C$10,$I110)+IF($G111="",0,$G111)-IF($H111="",0,$H111))</f>
        <v/>
      </c>
      <c r="L111">
        <f>IFERROR(MATCH($C$5&amp;"|"&amp;RIGHT("000000"&amp;95,6),LdgRankKeyA,0),"")</f>
        <v/>
      </c>
      <c r="M111">
        <f>IFERROR(MATCH($C$5&amp;"|"&amp;RIGHT("000000"&amp;95,6),LdgRankKeyB,0),"")</f>
        <v/>
      </c>
    </row>
    <row r="112">
      <c r="A112" s="23" t="n">
        <v>96</v>
      </c>
      <c r="B112" s="24">
        <f>IF(AND($L112="",$M112=""),"",IF($L112&lt;&gt;"",INDEX(SCNormDate,$L112),INDEX(LdgDateB,$M112)))</f>
        <v/>
      </c>
      <c r="C112" s="24">
        <f>IF($L112&lt;&gt;"",INDEX(SCOp,$L112),IF($M112&lt;&gt;"","پرداخت بانکی",""))</f>
        <v/>
      </c>
      <c r="D112" s="24">
        <f>IF($L112&lt;&gt;"",IF(INDEX(SCDoc,$L112)="","—",INDEX(SCDoc,$L112)),IF($M112&lt;&gt;"",INDEX(LdgBankB,$M112),""))</f>
        <v/>
      </c>
      <c r="E112" s="25">
        <f>IF($L112&lt;&gt;"",IF(INDEX(SCCitrus,$L112)&amp;INDEX(SCNotes,$L112)="","",IF(INDEX(SCCitrus,$L112)="","",INDEX(SCCitrus,$L112))&amp;IF(INDEX(SCNotes,$L112)="",""," — "&amp;INDEX(SCNotes,$L112))),IF($M112&lt;&gt;"",IF(INDEX(LdgNoteB,$M112)="","—",INDEX(LdgNoteB,$M112)),""))</f>
        <v/>
      </c>
      <c r="F112" s="26">
        <f>IF($L112&lt;&gt;"",IF(INDEX(SCNet,$L112)=0,"",INDEX(SCNet,$L112)),"")</f>
        <v/>
      </c>
      <c r="G112" s="27">
        <f>IF($L112&lt;&gt;"",IF(INDEX(SCOp,$L112)="مرجوعی فروش","",IF(INDEX(SCAmount,$L112)&lt;=0,"",INDEX(SCAmount,$L112))),IF($M112&lt;&gt;"",IF(INDEX(LdgWitB,$M112)=0,"",INDEX(LdgWitB,$M112)),""))</f>
        <v/>
      </c>
      <c r="H112" s="27">
        <f>IF($L112&lt;&gt;"",IF(INDEX(SCOp,$L112)="مرجوعی فروش",IF(INDEX(SCAmount,$L112)=0,"",-INDEX(SCAmount,$L112)),""),IF($M112&lt;&gt;"",IF(INDEX(LdgDepB,$M112)=0,"",INDEX(LdgDepB,$M112)),""))</f>
        <v/>
      </c>
      <c r="I112" s="28">
        <f>IF($B112="","",IF($I111="",$C$10,$I111)+IF($G112="",0,$G112)-IF($H112="",0,$H112))</f>
        <v/>
      </c>
      <c r="L112">
        <f>IFERROR(MATCH($C$5&amp;"|"&amp;RIGHT("000000"&amp;96,6),LdgRankKeyA,0),"")</f>
        <v/>
      </c>
      <c r="M112">
        <f>IFERROR(MATCH($C$5&amp;"|"&amp;RIGHT("000000"&amp;96,6),LdgRankKeyB,0),"")</f>
        <v/>
      </c>
    </row>
    <row r="113">
      <c r="A113" s="17" t="n">
        <v>97</v>
      </c>
      <c r="B113" s="18">
        <f>IF(AND($L113="",$M113=""),"",IF($L113&lt;&gt;"",INDEX(SCNormDate,$L113),INDEX(LdgDateB,$M113)))</f>
        <v/>
      </c>
      <c r="C113" s="18">
        <f>IF($L113&lt;&gt;"",INDEX(SCOp,$L113),IF($M113&lt;&gt;"","پرداخت بانکی",""))</f>
        <v/>
      </c>
      <c r="D113" s="18">
        <f>IF($L113&lt;&gt;"",IF(INDEX(SCDoc,$L113)="","—",INDEX(SCDoc,$L113)),IF($M113&lt;&gt;"",INDEX(LdgBankB,$M113),""))</f>
        <v/>
      </c>
      <c r="E113" s="19">
        <f>IF($L113&lt;&gt;"",IF(INDEX(SCCitrus,$L113)&amp;INDEX(SCNotes,$L113)="","",IF(INDEX(SCCitrus,$L113)="","",INDEX(SCCitrus,$L113))&amp;IF(INDEX(SCNotes,$L113)="",""," — "&amp;INDEX(SCNotes,$L113))),IF($M113&lt;&gt;"",IF(INDEX(LdgNoteB,$M113)="","—",INDEX(LdgNoteB,$M113)),""))</f>
        <v/>
      </c>
      <c r="F113" s="20">
        <f>IF($L113&lt;&gt;"",IF(INDEX(SCNet,$L113)=0,"",INDEX(SCNet,$L113)),"")</f>
        <v/>
      </c>
      <c r="G113" s="21">
        <f>IF($L113&lt;&gt;"",IF(INDEX(SCOp,$L113)="مرجوعی فروش","",IF(INDEX(SCAmount,$L113)&lt;=0,"",INDEX(SCAmount,$L113))),IF($M113&lt;&gt;"",IF(INDEX(LdgWitB,$M113)=0,"",INDEX(LdgWitB,$M113)),""))</f>
        <v/>
      </c>
      <c r="H113" s="21">
        <f>IF($L113&lt;&gt;"",IF(INDEX(SCOp,$L113)="مرجوعی فروش",IF(INDEX(SCAmount,$L113)=0,"",-INDEX(SCAmount,$L113)),""),IF($M113&lt;&gt;"",IF(INDEX(LdgDepB,$M113)=0,"",INDEX(LdgDepB,$M113)),""))</f>
        <v/>
      </c>
      <c r="I113" s="22">
        <f>IF($B113="","",IF($I112="",$C$10,$I112)+IF($G113="",0,$G113)-IF($H113="",0,$H113))</f>
        <v/>
      </c>
      <c r="L113">
        <f>IFERROR(MATCH($C$5&amp;"|"&amp;RIGHT("000000"&amp;97,6),LdgRankKeyA,0),"")</f>
        <v/>
      </c>
      <c r="M113">
        <f>IFERROR(MATCH($C$5&amp;"|"&amp;RIGHT("000000"&amp;97,6),LdgRankKeyB,0),"")</f>
        <v/>
      </c>
    </row>
    <row r="114">
      <c r="A114" s="23" t="n">
        <v>98</v>
      </c>
      <c r="B114" s="24">
        <f>IF(AND($L114="",$M114=""),"",IF($L114&lt;&gt;"",INDEX(SCNormDate,$L114),INDEX(LdgDateB,$M114)))</f>
        <v/>
      </c>
      <c r="C114" s="24">
        <f>IF($L114&lt;&gt;"",INDEX(SCOp,$L114),IF($M114&lt;&gt;"","پرداخت بانکی",""))</f>
        <v/>
      </c>
      <c r="D114" s="24">
        <f>IF($L114&lt;&gt;"",IF(INDEX(SCDoc,$L114)="","—",INDEX(SCDoc,$L114)),IF($M114&lt;&gt;"",INDEX(LdgBankB,$M114),""))</f>
        <v/>
      </c>
      <c r="E114" s="25">
        <f>IF($L114&lt;&gt;"",IF(INDEX(SCCitrus,$L114)&amp;INDEX(SCNotes,$L114)="","",IF(INDEX(SCCitrus,$L114)="","",INDEX(SCCitrus,$L114))&amp;IF(INDEX(SCNotes,$L114)="",""," — "&amp;INDEX(SCNotes,$L114))),IF($M114&lt;&gt;"",IF(INDEX(LdgNoteB,$M114)="","—",INDEX(LdgNoteB,$M114)),""))</f>
        <v/>
      </c>
      <c r="F114" s="26">
        <f>IF($L114&lt;&gt;"",IF(INDEX(SCNet,$L114)=0,"",INDEX(SCNet,$L114)),"")</f>
        <v/>
      </c>
      <c r="G114" s="27">
        <f>IF($L114&lt;&gt;"",IF(INDEX(SCOp,$L114)="مرجوعی فروش","",IF(INDEX(SCAmount,$L114)&lt;=0,"",INDEX(SCAmount,$L114))),IF($M114&lt;&gt;"",IF(INDEX(LdgWitB,$M114)=0,"",INDEX(LdgWitB,$M114)),""))</f>
        <v/>
      </c>
      <c r="H114" s="27">
        <f>IF($L114&lt;&gt;"",IF(INDEX(SCOp,$L114)="مرجوعی فروش",IF(INDEX(SCAmount,$L114)=0,"",-INDEX(SCAmount,$L114)),""),IF($M114&lt;&gt;"",IF(INDEX(LdgDepB,$M114)=0,"",INDEX(LdgDepB,$M114)),""))</f>
        <v/>
      </c>
      <c r="I114" s="28">
        <f>IF($B114="","",IF($I113="",$C$10,$I113)+IF($G114="",0,$G114)-IF($H114="",0,$H114))</f>
        <v/>
      </c>
      <c r="L114">
        <f>IFERROR(MATCH($C$5&amp;"|"&amp;RIGHT("000000"&amp;98,6),LdgRankKeyA,0),"")</f>
        <v/>
      </c>
      <c r="M114">
        <f>IFERROR(MATCH($C$5&amp;"|"&amp;RIGHT("000000"&amp;98,6),LdgRankKeyB,0),"")</f>
        <v/>
      </c>
    </row>
    <row r="115">
      <c r="A115" s="17" t="n">
        <v>99</v>
      </c>
      <c r="B115" s="18">
        <f>IF(AND($L115="",$M115=""),"",IF($L115&lt;&gt;"",INDEX(SCNormDate,$L115),INDEX(LdgDateB,$M115)))</f>
        <v/>
      </c>
      <c r="C115" s="18">
        <f>IF($L115&lt;&gt;"",INDEX(SCOp,$L115),IF($M115&lt;&gt;"","پرداخت بانکی",""))</f>
        <v/>
      </c>
      <c r="D115" s="18">
        <f>IF($L115&lt;&gt;"",IF(INDEX(SCDoc,$L115)="","—",INDEX(SCDoc,$L115)),IF($M115&lt;&gt;"",INDEX(LdgBankB,$M115),""))</f>
        <v/>
      </c>
      <c r="E115" s="19">
        <f>IF($L115&lt;&gt;"",IF(INDEX(SCCitrus,$L115)&amp;INDEX(SCNotes,$L115)="","",IF(INDEX(SCCitrus,$L115)="","",INDEX(SCCitrus,$L115))&amp;IF(INDEX(SCNotes,$L115)="",""," — "&amp;INDEX(SCNotes,$L115))),IF($M115&lt;&gt;"",IF(INDEX(LdgNoteB,$M115)="","—",INDEX(LdgNoteB,$M115)),""))</f>
        <v/>
      </c>
      <c r="F115" s="20">
        <f>IF($L115&lt;&gt;"",IF(INDEX(SCNet,$L115)=0,"",INDEX(SCNet,$L115)),"")</f>
        <v/>
      </c>
      <c r="G115" s="21">
        <f>IF($L115&lt;&gt;"",IF(INDEX(SCOp,$L115)="مرجوعی فروش","",IF(INDEX(SCAmount,$L115)&lt;=0,"",INDEX(SCAmount,$L115))),IF($M115&lt;&gt;"",IF(INDEX(LdgWitB,$M115)=0,"",INDEX(LdgWitB,$M115)),""))</f>
        <v/>
      </c>
      <c r="H115" s="21">
        <f>IF($L115&lt;&gt;"",IF(INDEX(SCOp,$L115)="مرجوعی فروش",IF(INDEX(SCAmount,$L115)=0,"",-INDEX(SCAmount,$L115)),""),IF($M115&lt;&gt;"",IF(INDEX(LdgDepB,$M115)=0,"",INDEX(LdgDepB,$M115)),""))</f>
        <v/>
      </c>
      <c r="I115" s="22">
        <f>IF($B115="","",IF($I114="",$C$10,$I114)+IF($G115="",0,$G115)-IF($H115="",0,$H115))</f>
        <v/>
      </c>
      <c r="L115">
        <f>IFERROR(MATCH($C$5&amp;"|"&amp;RIGHT("000000"&amp;99,6),LdgRankKeyA,0),"")</f>
        <v/>
      </c>
      <c r="M115">
        <f>IFERROR(MATCH($C$5&amp;"|"&amp;RIGHT("000000"&amp;99,6),LdgRankKeyB,0),"")</f>
        <v/>
      </c>
    </row>
    <row r="116">
      <c r="A116" s="23" t="n">
        <v>100</v>
      </c>
      <c r="B116" s="24">
        <f>IF(AND($L116="",$M116=""),"",IF($L116&lt;&gt;"",INDEX(SCNormDate,$L116),INDEX(LdgDateB,$M116)))</f>
        <v/>
      </c>
      <c r="C116" s="24">
        <f>IF($L116&lt;&gt;"",INDEX(SCOp,$L116),IF($M116&lt;&gt;"","پرداخت بانکی",""))</f>
        <v/>
      </c>
      <c r="D116" s="24">
        <f>IF($L116&lt;&gt;"",IF(INDEX(SCDoc,$L116)="","—",INDEX(SCDoc,$L116)),IF($M116&lt;&gt;"",INDEX(LdgBankB,$M116),""))</f>
        <v/>
      </c>
      <c r="E116" s="25">
        <f>IF($L116&lt;&gt;"",IF(INDEX(SCCitrus,$L116)&amp;INDEX(SCNotes,$L116)="","",IF(INDEX(SCCitrus,$L116)="","",INDEX(SCCitrus,$L116))&amp;IF(INDEX(SCNotes,$L116)="",""," — "&amp;INDEX(SCNotes,$L116))),IF($M116&lt;&gt;"",IF(INDEX(LdgNoteB,$M116)="","—",INDEX(LdgNoteB,$M116)),""))</f>
        <v/>
      </c>
      <c r="F116" s="26">
        <f>IF($L116&lt;&gt;"",IF(INDEX(SCNet,$L116)=0,"",INDEX(SCNet,$L116)),"")</f>
        <v/>
      </c>
      <c r="G116" s="27">
        <f>IF($L116&lt;&gt;"",IF(INDEX(SCOp,$L116)="مرجوعی فروش","",IF(INDEX(SCAmount,$L116)&lt;=0,"",INDEX(SCAmount,$L116))),IF($M116&lt;&gt;"",IF(INDEX(LdgWitB,$M116)=0,"",INDEX(LdgWitB,$M116)),""))</f>
        <v/>
      </c>
      <c r="H116" s="27">
        <f>IF($L116&lt;&gt;"",IF(INDEX(SCOp,$L116)="مرجوعی فروش",IF(INDEX(SCAmount,$L116)=0,"",-INDEX(SCAmount,$L116)),""),IF($M116&lt;&gt;"",IF(INDEX(LdgDepB,$M116)=0,"",INDEX(LdgDepB,$M116)),""))</f>
        <v/>
      </c>
      <c r="I116" s="28">
        <f>IF($B116="","",IF($I115="",$C$10,$I115)+IF($G116="",0,$G116)-IF($H116="",0,$H116))</f>
        <v/>
      </c>
      <c r="L116">
        <f>IFERROR(MATCH($C$5&amp;"|"&amp;RIGHT("000000"&amp;100,6),LdgRankKeyA,0),"")</f>
        <v/>
      </c>
      <c r="M116">
        <f>IFERROR(MATCH($C$5&amp;"|"&amp;RIGHT("000000"&amp;100,6),LdgRankKeyB,0),"")</f>
        <v/>
      </c>
    </row>
    <row r="117">
      <c r="A117" s="17" t="n">
        <v>101</v>
      </c>
      <c r="B117" s="18">
        <f>IF(AND($L117="",$M117=""),"",IF($L117&lt;&gt;"",INDEX(SCNormDate,$L117),INDEX(LdgDateB,$M117)))</f>
        <v/>
      </c>
      <c r="C117" s="18">
        <f>IF($L117&lt;&gt;"",INDEX(SCOp,$L117),IF($M117&lt;&gt;"","پرداخت بانکی",""))</f>
        <v/>
      </c>
      <c r="D117" s="18">
        <f>IF($L117&lt;&gt;"",IF(INDEX(SCDoc,$L117)="","—",INDEX(SCDoc,$L117)),IF($M117&lt;&gt;"",INDEX(LdgBankB,$M117),""))</f>
        <v/>
      </c>
      <c r="E117" s="19">
        <f>IF($L117&lt;&gt;"",IF(INDEX(SCCitrus,$L117)&amp;INDEX(SCNotes,$L117)="","",IF(INDEX(SCCitrus,$L117)="","",INDEX(SCCitrus,$L117))&amp;IF(INDEX(SCNotes,$L117)="",""," — "&amp;INDEX(SCNotes,$L117))),IF($M117&lt;&gt;"",IF(INDEX(LdgNoteB,$M117)="","—",INDEX(LdgNoteB,$M117)),""))</f>
        <v/>
      </c>
      <c r="F117" s="20">
        <f>IF($L117&lt;&gt;"",IF(INDEX(SCNet,$L117)=0,"",INDEX(SCNet,$L117)),"")</f>
        <v/>
      </c>
      <c r="G117" s="21">
        <f>IF($L117&lt;&gt;"",IF(INDEX(SCOp,$L117)="مرجوعی فروش","",IF(INDEX(SCAmount,$L117)&lt;=0,"",INDEX(SCAmount,$L117))),IF($M117&lt;&gt;"",IF(INDEX(LdgWitB,$M117)=0,"",INDEX(LdgWitB,$M117)),""))</f>
        <v/>
      </c>
      <c r="H117" s="21">
        <f>IF($L117&lt;&gt;"",IF(INDEX(SCOp,$L117)="مرجوعی فروش",IF(INDEX(SCAmount,$L117)=0,"",-INDEX(SCAmount,$L117)),""),IF($M117&lt;&gt;"",IF(INDEX(LdgDepB,$M117)=0,"",INDEX(LdgDepB,$M117)),""))</f>
        <v/>
      </c>
      <c r="I117" s="22">
        <f>IF($B117="","",IF($I116="",$C$10,$I116)+IF($G117="",0,$G117)-IF($H117="",0,$H117))</f>
        <v/>
      </c>
      <c r="L117">
        <f>IFERROR(MATCH($C$5&amp;"|"&amp;RIGHT("000000"&amp;101,6),LdgRankKeyA,0),"")</f>
        <v/>
      </c>
      <c r="M117">
        <f>IFERROR(MATCH($C$5&amp;"|"&amp;RIGHT("000000"&amp;101,6),LdgRankKeyB,0),"")</f>
        <v/>
      </c>
    </row>
    <row r="118">
      <c r="A118" s="23" t="n">
        <v>102</v>
      </c>
      <c r="B118" s="24">
        <f>IF(AND($L118="",$M118=""),"",IF($L118&lt;&gt;"",INDEX(SCNormDate,$L118),INDEX(LdgDateB,$M118)))</f>
        <v/>
      </c>
      <c r="C118" s="24">
        <f>IF($L118&lt;&gt;"",INDEX(SCOp,$L118),IF($M118&lt;&gt;"","پرداخت بانکی",""))</f>
        <v/>
      </c>
      <c r="D118" s="24">
        <f>IF($L118&lt;&gt;"",IF(INDEX(SCDoc,$L118)="","—",INDEX(SCDoc,$L118)),IF($M118&lt;&gt;"",INDEX(LdgBankB,$M118),""))</f>
        <v/>
      </c>
      <c r="E118" s="25">
        <f>IF($L118&lt;&gt;"",IF(INDEX(SCCitrus,$L118)&amp;INDEX(SCNotes,$L118)="","",IF(INDEX(SCCitrus,$L118)="","",INDEX(SCCitrus,$L118))&amp;IF(INDEX(SCNotes,$L118)="",""," — "&amp;INDEX(SCNotes,$L118))),IF($M118&lt;&gt;"",IF(INDEX(LdgNoteB,$M118)="","—",INDEX(LdgNoteB,$M118)),""))</f>
        <v/>
      </c>
      <c r="F118" s="26">
        <f>IF($L118&lt;&gt;"",IF(INDEX(SCNet,$L118)=0,"",INDEX(SCNet,$L118)),"")</f>
        <v/>
      </c>
      <c r="G118" s="27">
        <f>IF($L118&lt;&gt;"",IF(INDEX(SCOp,$L118)="مرجوعی فروش","",IF(INDEX(SCAmount,$L118)&lt;=0,"",INDEX(SCAmount,$L118))),IF($M118&lt;&gt;"",IF(INDEX(LdgWitB,$M118)=0,"",INDEX(LdgWitB,$M118)),""))</f>
        <v/>
      </c>
      <c r="H118" s="27">
        <f>IF($L118&lt;&gt;"",IF(INDEX(SCOp,$L118)="مرجوعی فروش",IF(INDEX(SCAmount,$L118)=0,"",-INDEX(SCAmount,$L118)),""),IF($M118&lt;&gt;"",IF(INDEX(LdgDepB,$M118)=0,"",INDEX(LdgDepB,$M118)),""))</f>
        <v/>
      </c>
      <c r="I118" s="28">
        <f>IF($B118="","",IF($I117="",$C$10,$I117)+IF($G118="",0,$G118)-IF($H118="",0,$H118))</f>
        <v/>
      </c>
      <c r="L118">
        <f>IFERROR(MATCH($C$5&amp;"|"&amp;RIGHT("000000"&amp;102,6),LdgRankKeyA,0),"")</f>
        <v/>
      </c>
      <c r="M118">
        <f>IFERROR(MATCH($C$5&amp;"|"&amp;RIGHT("000000"&amp;102,6),LdgRankKeyB,0),"")</f>
        <v/>
      </c>
    </row>
    <row r="119">
      <c r="A119" s="17" t="n">
        <v>103</v>
      </c>
      <c r="B119" s="18">
        <f>IF(AND($L119="",$M119=""),"",IF($L119&lt;&gt;"",INDEX(SCNormDate,$L119),INDEX(LdgDateB,$M119)))</f>
        <v/>
      </c>
      <c r="C119" s="18">
        <f>IF($L119&lt;&gt;"",INDEX(SCOp,$L119),IF($M119&lt;&gt;"","پرداخت بانکی",""))</f>
        <v/>
      </c>
      <c r="D119" s="18">
        <f>IF($L119&lt;&gt;"",IF(INDEX(SCDoc,$L119)="","—",INDEX(SCDoc,$L119)),IF($M119&lt;&gt;"",INDEX(LdgBankB,$M119),""))</f>
        <v/>
      </c>
      <c r="E119" s="19">
        <f>IF($L119&lt;&gt;"",IF(INDEX(SCCitrus,$L119)&amp;INDEX(SCNotes,$L119)="","",IF(INDEX(SCCitrus,$L119)="","",INDEX(SCCitrus,$L119))&amp;IF(INDEX(SCNotes,$L119)="",""," — "&amp;INDEX(SCNotes,$L119))),IF($M119&lt;&gt;"",IF(INDEX(LdgNoteB,$M119)="","—",INDEX(LdgNoteB,$M119)),""))</f>
        <v/>
      </c>
      <c r="F119" s="20">
        <f>IF($L119&lt;&gt;"",IF(INDEX(SCNet,$L119)=0,"",INDEX(SCNet,$L119)),"")</f>
        <v/>
      </c>
      <c r="G119" s="21">
        <f>IF($L119&lt;&gt;"",IF(INDEX(SCOp,$L119)="مرجوعی فروش","",IF(INDEX(SCAmount,$L119)&lt;=0,"",INDEX(SCAmount,$L119))),IF($M119&lt;&gt;"",IF(INDEX(LdgWitB,$M119)=0,"",INDEX(LdgWitB,$M119)),""))</f>
        <v/>
      </c>
      <c r="H119" s="21">
        <f>IF($L119&lt;&gt;"",IF(INDEX(SCOp,$L119)="مرجوعی فروش",IF(INDEX(SCAmount,$L119)=0,"",-INDEX(SCAmount,$L119)),""),IF($M119&lt;&gt;"",IF(INDEX(LdgDepB,$M119)=0,"",INDEX(LdgDepB,$M119)),""))</f>
        <v/>
      </c>
      <c r="I119" s="22">
        <f>IF($B119="","",IF($I118="",$C$10,$I118)+IF($G119="",0,$G119)-IF($H119="",0,$H119))</f>
        <v/>
      </c>
      <c r="L119">
        <f>IFERROR(MATCH($C$5&amp;"|"&amp;RIGHT("000000"&amp;103,6),LdgRankKeyA,0),"")</f>
        <v/>
      </c>
      <c r="M119">
        <f>IFERROR(MATCH($C$5&amp;"|"&amp;RIGHT("000000"&amp;103,6),LdgRankKeyB,0),"")</f>
        <v/>
      </c>
    </row>
    <row r="120">
      <c r="A120" s="23" t="n">
        <v>104</v>
      </c>
      <c r="B120" s="24">
        <f>IF(AND($L120="",$M120=""),"",IF($L120&lt;&gt;"",INDEX(SCNormDate,$L120),INDEX(LdgDateB,$M120)))</f>
        <v/>
      </c>
      <c r="C120" s="24">
        <f>IF($L120&lt;&gt;"",INDEX(SCOp,$L120),IF($M120&lt;&gt;"","پرداخت بانکی",""))</f>
        <v/>
      </c>
      <c r="D120" s="24">
        <f>IF($L120&lt;&gt;"",IF(INDEX(SCDoc,$L120)="","—",INDEX(SCDoc,$L120)),IF($M120&lt;&gt;"",INDEX(LdgBankB,$M120),""))</f>
        <v/>
      </c>
      <c r="E120" s="25">
        <f>IF($L120&lt;&gt;"",IF(INDEX(SCCitrus,$L120)&amp;INDEX(SCNotes,$L120)="","",IF(INDEX(SCCitrus,$L120)="","",INDEX(SCCitrus,$L120))&amp;IF(INDEX(SCNotes,$L120)="",""," — "&amp;INDEX(SCNotes,$L120))),IF($M120&lt;&gt;"",IF(INDEX(LdgNoteB,$M120)="","—",INDEX(LdgNoteB,$M120)),""))</f>
        <v/>
      </c>
      <c r="F120" s="26">
        <f>IF($L120&lt;&gt;"",IF(INDEX(SCNet,$L120)=0,"",INDEX(SCNet,$L120)),"")</f>
        <v/>
      </c>
      <c r="G120" s="27">
        <f>IF($L120&lt;&gt;"",IF(INDEX(SCOp,$L120)="مرجوعی فروش","",IF(INDEX(SCAmount,$L120)&lt;=0,"",INDEX(SCAmount,$L120))),IF($M120&lt;&gt;"",IF(INDEX(LdgWitB,$M120)=0,"",INDEX(LdgWitB,$M120)),""))</f>
        <v/>
      </c>
      <c r="H120" s="27">
        <f>IF($L120&lt;&gt;"",IF(INDEX(SCOp,$L120)="مرجوعی فروش",IF(INDEX(SCAmount,$L120)=0,"",-INDEX(SCAmount,$L120)),""),IF($M120&lt;&gt;"",IF(INDEX(LdgDepB,$M120)=0,"",INDEX(LdgDepB,$M120)),""))</f>
        <v/>
      </c>
      <c r="I120" s="28">
        <f>IF($B120="","",IF($I119="",$C$10,$I119)+IF($G120="",0,$G120)-IF($H120="",0,$H120))</f>
        <v/>
      </c>
      <c r="L120">
        <f>IFERROR(MATCH($C$5&amp;"|"&amp;RIGHT("000000"&amp;104,6),LdgRankKeyA,0),"")</f>
        <v/>
      </c>
      <c r="M120">
        <f>IFERROR(MATCH($C$5&amp;"|"&amp;RIGHT("000000"&amp;104,6),LdgRankKeyB,0),"")</f>
        <v/>
      </c>
    </row>
    <row r="121">
      <c r="A121" s="17" t="n">
        <v>105</v>
      </c>
      <c r="B121" s="18">
        <f>IF(AND($L121="",$M121=""),"",IF($L121&lt;&gt;"",INDEX(SCNormDate,$L121),INDEX(LdgDateB,$M121)))</f>
        <v/>
      </c>
      <c r="C121" s="18">
        <f>IF($L121&lt;&gt;"",INDEX(SCOp,$L121),IF($M121&lt;&gt;"","پرداخت بانکی",""))</f>
        <v/>
      </c>
      <c r="D121" s="18">
        <f>IF($L121&lt;&gt;"",IF(INDEX(SCDoc,$L121)="","—",INDEX(SCDoc,$L121)),IF($M121&lt;&gt;"",INDEX(LdgBankB,$M121),""))</f>
        <v/>
      </c>
      <c r="E121" s="19">
        <f>IF($L121&lt;&gt;"",IF(INDEX(SCCitrus,$L121)&amp;INDEX(SCNotes,$L121)="","",IF(INDEX(SCCitrus,$L121)="","",INDEX(SCCitrus,$L121))&amp;IF(INDEX(SCNotes,$L121)="",""," — "&amp;INDEX(SCNotes,$L121))),IF($M121&lt;&gt;"",IF(INDEX(LdgNoteB,$M121)="","—",INDEX(LdgNoteB,$M121)),""))</f>
        <v/>
      </c>
      <c r="F121" s="20">
        <f>IF($L121&lt;&gt;"",IF(INDEX(SCNet,$L121)=0,"",INDEX(SCNet,$L121)),"")</f>
        <v/>
      </c>
      <c r="G121" s="21">
        <f>IF($L121&lt;&gt;"",IF(INDEX(SCOp,$L121)="مرجوعی فروش","",IF(INDEX(SCAmount,$L121)&lt;=0,"",INDEX(SCAmount,$L121))),IF($M121&lt;&gt;"",IF(INDEX(LdgWitB,$M121)=0,"",INDEX(LdgWitB,$M121)),""))</f>
        <v/>
      </c>
      <c r="H121" s="21">
        <f>IF($L121&lt;&gt;"",IF(INDEX(SCOp,$L121)="مرجوعی فروش",IF(INDEX(SCAmount,$L121)=0,"",-INDEX(SCAmount,$L121)),""),IF($M121&lt;&gt;"",IF(INDEX(LdgDepB,$M121)=0,"",INDEX(LdgDepB,$M121)),""))</f>
        <v/>
      </c>
      <c r="I121" s="22">
        <f>IF($B121="","",IF($I120="",$C$10,$I120)+IF($G121="",0,$G121)-IF($H121="",0,$H121))</f>
        <v/>
      </c>
      <c r="L121">
        <f>IFERROR(MATCH($C$5&amp;"|"&amp;RIGHT("000000"&amp;105,6),LdgRankKeyA,0),"")</f>
        <v/>
      </c>
      <c r="M121">
        <f>IFERROR(MATCH($C$5&amp;"|"&amp;RIGHT("000000"&amp;105,6),LdgRankKeyB,0),"")</f>
        <v/>
      </c>
    </row>
    <row r="122">
      <c r="A122" s="23" t="n">
        <v>106</v>
      </c>
      <c r="B122" s="24">
        <f>IF(AND($L122="",$M122=""),"",IF($L122&lt;&gt;"",INDEX(SCNormDate,$L122),INDEX(LdgDateB,$M122)))</f>
        <v/>
      </c>
      <c r="C122" s="24">
        <f>IF($L122&lt;&gt;"",INDEX(SCOp,$L122),IF($M122&lt;&gt;"","پرداخت بانکی",""))</f>
        <v/>
      </c>
      <c r="D122" s="24">
        <f>IF($L122&lt;&gt;"",IF(INDEX(SCDoc,$L122)="","—",INDEX(SCDoc,$L122)),IF($M122&lt;&gt;"",INDEX(LdgBankB,$M122),""))</f>
        <v/>
      </c>
      <c r="E122" s="25">
        <f>IF($L122&lt;&gt;"",IF(INDEX(SCCitrus,$L122)&amp;INDEX(SCNotes,$L122)="","",IF(INDEX(SCCitrus,$L122)="","",INDEX(SCCitrus,$L122))&amp;IF(INDEX(SCNotes,$L122)="",""," — "&amp;INDEX(SCNotes,$L122))),IF($M122&lt;&gt;"",IF(INDEX(LdgNoteB,$M122)="","—",INDEX(LdgNoteB,$M122)),""))</f>
        <v/>
      </c>
      <c r="F122" s="26">
        <f>IF($L122&lt;&gt;"",IF(INDEX(SCNet,$L122)=0,"",INDEX(SCNet,$L122)),"")</f>
        <v/>
      </c>
      <c r="G122" s="27">
        <f>IF($L122&lt;&gt;"",IF(INDEX(SCOp,$L122)="مرجوعی فروش","",IF(INDEX(SCAmount,$L122)&lt;=0,"",INDEX(SCAmount,$L122))),IF($M122&lt;&gt;"",IF(INDEX(LdgWitB,$M122)=0,"",INDEX(LdgWitB,$M122)),""))</f>
        <v/>
      </c>
      <c r="H122" s="27">
        <f>IF($L122&lt;&gt;"",IF(INDEX(SCOp,$L122)="مرجوعی فروش",IF(INDEX(SCAmount,$L122)=0,"",-INDEX(SCAmount,$L122)),""),IF($M122&lt;&gt;"",IF(INDEX(LdgDepB,$M122)=0,"",INDEX(LdgDepB,$M122)),""))</f>
        <v/>
      </c>
      <c r="I122" s="28">
        <f>IF($B122="","",IF($I121="",$C$10,$I121)+IF($G122="",0,$G122)-IF($H122="",0,$H122))</f>
        <v/>
      </c>
      <c r="L122">
        <f>IFERROR(MATCH($C$5&amp;"|"&amp;RIGHT("000000"&amp;106,6),LdgRankKeyA,0),"")</f>
        <v/>
      </c>
      <c r="M122">
        <f>IFERROR(MATCH($C$5&amp;"|"&amp;RIGHT("000000"&amp;106,6),LdgRankKeyB,0),"")</f>
        <v/>
      </c>
    </row>
    <row r="123">
      <c r="A123" s="17" t="n">
        <v>107</v>
      </c>
      <c r="B123" s="18">
        <f>IF(AND($L123="",$M123=""),"",IF($L123&lt;&gt;"",INDEX(SCNormDate,$L123),INDEX(LdgDateB,$M123)))</f>
        <v/>
      </c>
      <c r="C123" s="18">
        <f>IF($L123&lt;&gt;"",INDEX(SCOp,$L123),IF($M123&lt;&gt;"","پرداخت بانکی",""))</f>
        <v/>
      </c>
      <c r="D123" s="18">
        <f>IF($L123&lt;&gt;"",IF(INDEX(SCDoc,$L123)="","—",INDEX(SCDoc,$L123)),IF($M123&lt;&gt;"",INDEX(LdgBankB,$M123),""))</f>
        <v/>
      </c>
      <c r="E123" s="19">
        <f>IF($L123&lt;&gt;"",IF(INDEX(SCCitrus,$L123)&amp;INDEX(SCNotes,$L123)="","",IF(INDEX(SCCitrus,$L123)="","",INDEX(SCCitrus,$L123))&amp;IF(INDEX(SCNotes,$L123)="",""," — "&amp;INDEX(SCNotes,$L123))),IF($M123&lt;&gt;"",IF(INDEX(LdgNoteB,$M123)="","—",INDEX(LdgNoteB,$M123)),""))</f>
        <v/>
      </c>
      <c r="F123" s="20">
        <f>IF($L123&lt;&gt;"",IF(INDEX(SCNet,$L123)=0,"",INDEX(SCNet,$L123)),"")</f>
        <v/>
      </c>
      <c r="G123" s="21">
        <f>IF($L123&lt;&gt;"",IF(INDEX(SCOp,$L123)="مرجوعی فروش","",IF(INDEX(SCAmount,$L123)&lt;=0,"",INDEX(SCAmount,$L123))),IF($M123&lt;&gt;"",IF(INDEX(LdgWitB,$M123)=0,"",INDEX(LdgWitB,$M123)),""))</f>
        <v/>
      </c>
      <c r="H123" s="21">
        <f>IF($L123&lt;&gt;"",IF(INDEX(SCOp,$L123)="مرجوعی فروش",IF(INDEX(SCAmount,$L123)=0,"",-INDEX(SCAmount,$L123)),""),IF($M123&lt;&gt;"",IF(INDEX(LdgDepB,$M123)=0,"",INDEX(LdgDepB,$M123)),""))</f>
        <v/>
      </c>
      <c r="I123" s="22">
        <f>IF($B123="","",IF($I122="",$C$10,$I122)+IF($G123="",0,$G123)-IF($H123="",0,$H123))</f>
        <v/>
      </c>
      <c r="L123">
        <f>IFERROR(MATCH($C$5&amp;"|"&amp;RIGHT("000000"&amp;107,6),LdgRankKeyA,0),"")</f>
        <v/>
      </c>
      <c r="M123">
        <f>IFERROR(MATCH($C$5&amp;"|"&amp;RIGHT("000000"&amp;107,6),LdgRankKeyB,0),"")</f>
        <v/>
      </c>
    </row>
    <row r="124">
      <c r="A124" s="23" t="n">
        <v>108</v>
      </c>
      <c r="B124" s="24">
        <f>IF(AND($L124="",$M124=""),"",IF($L124&lt;&gt;"",INDEX(SCNormDate,$L124),INDEX(LdgDateB,$M124)))</f>
        <v/>
      </c>
      <c r="C124" s="24">
        <f>IF($L124&lt;&gt;"",INDEX(SCOp,$L124),IF($M124&lt;&gt;"","پرداخت بانکی",""))</f>
        <v/>
      </c>
      <c r="D124" s="24">
        <f>IF($L124&lt;&gt;"",IF(INDEX(SCDoc,$L124)="","—",INDEX(SCDoc,$L124)),IF($M124&lt;&gt;"",INDEX(LdgBankB,$M124),""))</f>
        <v/>
      </c>
      <c r="E124" s="25">
        <f>IF($L124&lt;&gt;"",IF(INDEX(SCCitrus,$L124)&amp;INDEX(SCNotes,$L124)="","",IF(INDEX(SCCitrus,$L124)="","",INDEX(SCCitrus,$L124))&amp;IF(INDEX(SCNotes,$L124)="",""," — "&amp;INDEX(SCNotes,$L124))),IF($M124&lt;&gt;"",IF(INDEX(LdgNoteB,$M124)="","—",INDEX(LdgNoteB,$M124)),""))</f>
        <v/>
      </c>
      <c r="F124" s="26">
        <f>IF($L124&lt;&gt;"",IF(INDEX(SCNet,$L124)=0,"",INDEX(SCNet,$L124)),"")</f>
        <v/>
      </c>
      <c r="G124" s="27">
        <f>IF($L124&lt;&gt;"",IF(INDEX(SCOp,$L124)="مرجوعی فروش","",IF(INDEX(SCAmount,$L124)&lt;=0,"",INDEX(SCAmount,$L124))),IF($M124&lt;&gt;"",IF(INDEX(LdgWitB,$M124)=0,"",INDEX(LdgWitB,$M124)),""))</f>
        <v/>
      </c>
      <c r="H124" s="27">
        <f>IF($L124&lt;&gt;"",IF(INDEX(SCOp,$L124)="مرجوعی فروش",IF(INDEX(SCAmount,$L124)=0,"",-INDEX(SCAmount,$L124)),""),IF($M124&lt;&gt;"",IF(INDEX(LdgDepB,$M124)=0,"",INDEX(LdgDepB,$M124)),""))</f>
        <v/>
      </c>
      <c r="I124" s="28">
        <f>IF($B124="","",IF($I123="",$C$10,$I123)+IF($G124="",0,$G124)-IF($H124="",0,$H124))</f>
        <v/>
      </c>
      <c r="L124">
        <f>IFERROR(MATCH($C$5&amp;"|"&amp;RIGHT("000000"&amp;108,6),LdgRankKeyA,0),"")</f>
        <v/>
      </c>
      <c r="M124">
        <f>IFERROR(MATCH($C$5&amp;"|"&amp;RIGHT("000000"&amp;108,6),LdgRankKeyB,0),"")</f>
        <v/>
      </c>
    </row>
    <row r="125">
      <c r="A125" s="17" t="n">
        <v>109</v>
      </c>
      <c r="B125" s="18">
        <f>IF(AND($L125="",$M125=""),"",IF($L125&lt;&gt;"",INDEX(SCNormDate,$L125),INDEX(LdgDateB,$M125)))</f>
        <v/>
      </c>
      <c r="C125" s="18">
        <f>IF($L125&lt;&gt;"",INDEX(SCOp,$L125),IF($M125&lt;&gt;"","پرداخت بانکی",""))</f>
        <v/>
      </c>
      <c r="D125" s="18">
        <f>IF($L125&lt;&gt;"",IF(INDEX(SCDoc,$L125)="","—",INDEX(SCDoc,$L125)),IF($M125&lt;&gt;"",INDEX(LdgBankB,$M125),""))</f>
        <v/>
      </c>
      <c r="E125" s="19">
        <f>IF($L125&lt;&gt;"",IF(INDEX(SCCitrus,$L125)&amp;INDEX(SCNotes,$L125)="","",IF(INDEX(SCCitrus,$L125)="","",INDEX(SCCitrus,$L125))&amp;IF(INDEX(SCNotes,$L125)="",""," — "&amp;INDEX(SCNotes,$L125))),IF($M125&lt;&gt;"",IF(INDEX(LdgNoteB,$M125)="","—",INDEX(LdgNoteB,$M125)),""))</f>
        <v/>
      </c>
      <c r="F125" s="20">
        <f>IF($L125&lt;&gt;"",IF(INDEX(SCNet,$L125)=0,"",INDEX(SCNet,$L125)),"")</f>
        <v/>
      </c>
      <c r="G125" s="21">
        <f>IF($L125&lt;&gt;"",IF(INDEX(SCOp,$L125)="مرجوعی فروش","",IF(INDEX(SCAmount,$L125)&lt;=0,"",INDEX(SCAmount,$L125))),IF($M125&lt;&gt;"",IF(INDEX(LdgWitB,$M125)=0,"",INDEX(LdgWitB,$M125)),""))</f>
        <v/>
      </c>
      <c r="H125" s="21">
        <f>IF($L125&lt;&gt;"",IF(INDEX(SCOp,$L125)="مرجوعی فروش",IF(INDEX(SCAmount,$L125)=0,"",-INDEX(SCAmount,$L125)),""),IF($M125&lt;&gt;"",IF(INDEX(LdgDepB,$M125)=0,"",INDEX(LdgDepB,$M125)),""))</f>
        <v/>
      </c>
      <c r="I125" s="22">
        <f>IF($B125="","",IF($I124="",$C$10,$I124)+IF($G125="",0,$G125)-IF($H125="",0,$H125))</f>
        <v/>
      </c>
      <c r="L125">
        <f>IFERROR(MATCH($C$5&amp;"|"&amp;RIGHT("000000"&amp;109,6),LdgRankKeyA,0),"")</f>
        <v/>
      </c>
      <c r="M125">
        <f>IFERROR(MATCH($C$5&amp;"|"&amp;RIGHT("000000"&amp;109,6),LdgRankKeyB,0),"")</f>
        <v/>
      </c>
    </row>
    <row r="126">
      <c r="A126" s="23" t="n">
        <v>110</v>
      </c>
      <c r="B126" s="24">
        <f>IF(AND($L126="",$M126=""),"",IF($L126&lt;&gt;"",INDEX(SCNormDate,$L126),INDEX(LdgDateB,$M126)))</f>
        <v/>
      </c>
      <c r="C126" s="24">
        <f>IF($L126&lt;&gt;"",INDEX(SCOp,$L126),IF($M126&lt;&gt;"","پرداخت بانکی",""))</f>
        <v/>
      </c>
      <c r="D126" s="24">
        <f>IF($L126&lt;&gt;"",IF(INDEX(SCDoc,$L126)="","—",INDEX(SCDoc,$L126)),IF($M126&lt;&gt;"",INDEX(LdgBankB,$M126),""))</f>
        <v/>
      </c>
      <c r="E126" s="25">
        <f>IF($L126&lt;&gt;"",IF(INDEX(SCCitrus,$L126)&amp;INDEX(SCNotes,$L126)="","",IF(INDEX(SCCitrus,$L126)="","",INDEX(SCCitrus,$L126))&amp;IF(INDEX(SCNotes,$L126)="",""," — "&amp;INDEX(SCNotes,$L126))),IF($M126&lt;&gt;"",IF(INDEX(LdgNoteB,$M126)="","—",INDEX(LdgNoteB,$M126)),""))</f>
        <v/>
      </c>
      <c r="F126" s="26">
        <f>IF($L126&lt;&gt;"",IF(INDEX(SCNet,$L126)=0,"",INDEX(SCNet,$L126)),"")</f>
        <v/>
      </c>
      <c r="G126" s="27">
        <f>IF($L126&lt;&gt;"",IF(INDEX(SCOp,$L126)="مرجوعی فروش","",IF(INDEX(SCAmount,$L126)&lt;=0,"",INDEX(SCAmount,$L126))),IF($M126&lt;&gt;"",IF(INDEX(LdgWitB,$M126)=0,"",INDEX(LdgWitB,$M126)),""))</f>
        <v/>
      </c>
      <c r="H126" s="27">
        <f>IF($L126&lt;&gt;"",IF(INDEX(SCOp,$L126)="مرجوعی فروش",IF(INDEX(SCAmount,$L126)=0,"",-INDEX(SCAmount,$L126)),""),IF($M126&lt;&gt;"",IF(INDEX(LdgDepB,$M126)=0,"",INDEX(LdgDepB,$M126)),""))</f>
        <v/>
      </c>
      <c r="I126" s="28">
        <f>IF($B126="","",IF($I125="",$C$10,$I125)+IF($G126="",0,$G126)-IF($H126="",0,$H126))</f>
        <v/>
      </c>
      <c r="L126">
        <f>IFERROR(MATCH($C$5&amp;"|"&amp;RIGHT("000000"&amp;110,6),LdgRankKeyA,0),"")</f>
        <v/>
      </c>
      <c r="M126">
        <f>IFERROR(MATCH($C$5&amp;"|"&amp;RIGHT("000000"&amp;110,6),LdgRankKeyB,0),"")</f>
        <v/>
      </c>
    </row>
    <row r="127">
      <c r="A127" s="17" t="n">
        <v>111</v>
      </c>
      <c r="B127" s="18">
        <f>IF(AND($L127="",$M127=""),"",IF($L127&lt;&gt;"",INDEX(SCNormDate,$L127),INDEX(LdgDateB,$M127)))</f>
        <v/>
      </c>
      <c r="C127" s="18">
        <f>IF($L127&lt;&gt;"",INDEX(SCOp,$L127),IF($M127&lt;&gt;"","پرداخت بانکی",""))</f>
        <v/>
      </c>
      <c r="D127" s="18">
        <f>IF($L127&lt;&gt;"",IF(INDEX(SCDoc,$L127)="","—",INDEX(SCDoc,$L127)),IF($M127&lt;&gt;"",INDEX(LdgBankB,$M127),""))</f>
        <v/>
      </c>
      <c r="E127" s="19">
        <f>IF($L127&lt;&gt;"",IF(INDEX(SCCitrus,$L127)&amp;INDEX(SCNotes,$L127)="","",IF(INDEX(SCCitrus,$L127)="","",INDEX(SCCitrus,$L127))&amp;IF(INDEX(SCNotes,$L127)="",""," — "&amp;INDEX(SCNotes,$L127))),IF($M127&lt;&gt;"",IF(INDEX(LdgNoteB,$M127)="","—",INDEX(LdgNoteB,$M127)),""))</f>
        <v/>
      </c>
      <c r="F127" s="20">
        <f>IF($L127&lt;&gt;"",IF(INDEX(SCNet,$L127)=0,"",INDEX(SCNet,$L127)),"")</f>
        <v/>
      </c>
      <c r="G127" s="21">
        <f>IF($L127&lt;&gt;"",IF(INDEX(SCOp,$L127)="مرجوعی فروش","",IF(INDEX(SCAmount,$L127)&lt;=0,"",INDEX(SCAmount,$L127))),IF($M127&lt;&gt;"",IF(INDEX(LdgWitB,$M127)=0,"",INDEX(LdgWitB,$M127)),""))</f>
        <v/>
      </c>
      <c r="H127" s="21">
        <f>IF($L127&lt;&gt;"",IF(INDEX(SCOp,$L127)="مرجوعی فروش",IF(INDEX(SCAmount,$L127)=0,"",-INDEX(SCAmount,$L127)),""),IF($M127&lt;&gt;"",IF(INDEX(LdgDepB,$M127)=0,"",INDEX(LdgDepB,$M127)),""))</f>
        <v/>
      </c>
      <c r="I127" s="22">
        <f>IF($B127="","",IF($I126="",$C$10,$I126)+IF($G127="",0,$G127)-IF($H127="",0,$H127))</f>
        <v/>
      </c>
      <c r="L127">
        <f>IFERROR(MATCH($C$5&amp;"|"&amp;RIGHT("000000"&amp;111,6),LdgRankKeyA,0),"")</f>
        <v/>
      </c>
      <c r="M127">
        <f>IFERROR(MATCH($C$5&amp;"|"&amp;RIGHT("000000"&amp;111,6),LdgRankKeyB,0),"")</f>
        <v/>
      </c>
    </row>
    <row r="128">
      <c r="A128" s="23" t="n">
        <v>112</v>
      </c>
      <c r="B128" s="24">
        <f>IF(AND($L128="",$M128=""),"",IF($L128&lt;&gt;"",INDEX(SCNormDate,$L128),INDEX(LdgDateB,$M128)))</f>
        <v/>
      </c>
      <c r="C128" s="24">
        <f>IF($L128&lt;&gt;"",INDEX(SCOp,$L128),IF($M128&lt;&gt;"","پرداخت بانکی",""))</f>
        <v/>
      </c>
      <c r="D128" s="24">
        <f>IF($L128&lt;&gt;"",IF(INDEX(SCDoc,$L128)="","—",INDEX(SCDoc,$L128)),IF($M128&lt;&gt;"",INDEX(LdgBankB,$M128),""))</f>
        <v/>
      </c>
      <c r="E128" s="25">
        <f>IF($L128&lt;&gt;"",IF(INDEX(SCCitrus,$L128)&amp;INDEX(SCNotes,$L128)="","",IF(INDEX(SCCitrus,$L128)="","",INDEX(SCCitrus,$L128))&amp;IF(INDEX(SCNotes,$L128)="",""," — "&amp;INDEX(SCNotes,$L128))),IF($M128&lt;&gt;"",IF(INDEX(LdgNoteB,$M128)="","—",INDEX(LdgNoteB,$M128)),""))</f>
        <v/>
      </c>
      <c r="F128" s="26">
        <f>IF($L128&lt;&gt;"",IF(INDEX(SCNet,$L128)=0,"",INDEX(SCNet,$L128)),"")</f>
        <v/>
      </c>
      <c r="G128" s="27">
        <f>IF($L128&lt;&gt;"",IF(INDEX(SCOp,$L128)="مرجوعی فروش","",IF(INDEX(SCAmount,$L128)&lt;=0,"",INDEX(SCAmount,$L128))),IF($M128&lt;&gt;"",IF(INDEX(LdgWitB,$M128)=0,"",INDEX(LdgWitB,$M128)),""))</f>
        <v/>
      </c>
      <c r="H128" s="27">
        <f>IF($L128&lt;&gt;"",IF(INDEX(SCOp,$L128)="مرجوعی فروش",IF(INDEX(SCAmount,$L128)=0,"",-INDEX(SCAmount,$L128)),""),IF($M128&lt;&gt;"",IF(INDEX(LdgDepB,$M128)=0,"",INDEX(LdgDepB,$M128)),""))</f>
        <v/>
      </c>
      <c r="I128" s="28">
        <f>IF($B128="","",IF($I127="",$C$10,$I127)+IF($G128="",0,$G128)-IF($H128="",0,$H128))</f>
        <v/>
      </c>
      <c r="L128">
        <f>IFERROR(MATCH($C$5&amp;"|"&amp;RIGHT("000000"&amp;112,6),LdgRankKeyA,0),"")</f>
        <v/>
      </c>
      <c r="M128">
        <f>IFERROR(MATCH($C$5&amp;"|"&amp;RIGHT("000000"&amp;112,6),LdgRankKeyB,0),"")</f>
        <v/>
      </c>
    </row>
    <row r="129">
      <c r="A129" s="17" t="n">
        <v>113</v>
      </c>
      <c r="B129" s="18">
        <f>IF(AND($L129="",$M129=""),"",IF($L129&lt;&gt;"",INDEX(SCNormDate,$L129),INDEX(LdgDateB,$M129)))</f>
        <v/>
      </c>
      <c r="C129" s="18">
        <f>IF($L129&lt;&gt;"",INDEX(SCOp,$L129),IF($M129&lt;&gt;"","پرداخت بانکی",""))</f>
        <v/>
      </c>
      <c r="D129" s="18">
        <f>IF($L129&lt;&gt;"",IF(INDEX(SCDoc,$L129)="","—",INDEX(SCDoc,$L129)),IF($M129&lt;&gt;"",INDEX(LdgBankB,$M129),""))</f>
        <v/>
      </c>
      <c r="E129" s="19">
        <f>IF($L129&lt;&gt;"",IF(INDEX(SCCitrus,$L129)&amp;INDEX(SCNotes,$L129)="","",IF(INDEX(SCCitrus,$L129)="","",INDEX(SCCitrus,$L129))&amp;IF(INDEX(SCNotes,$L129)="",""," — "&amp;INDEX(SCNotes,$L129))),IF($M129&lt;&gt;"",IF(INDEX(LdgNoteB,$M129)="","—",INDEX(LdgNoteB,$M129)),""))</f>
        <v/>
      </c>
      <c r="F129" s="20">
        <f>IF($L129&lt;&gt;"",IF(INDEX(SCNet,$L129)=0,"",INDEX(SCNet,$L129)),"")</f>
        <v/>
      </c>
      <c r="G129" s="21">
        <f>IF($L129&lt;&gt;"",IF(INDEX(SCOp,$L129)="مرجوعی فروش","",IF(INDEX(SCAmount,$L129)&lt;=0,"",INDEX(SCAmount,$L129))),IF($M129&lt;&gt;"",IF(INDEX(LdgWitB,$M129)=0,"",INDEX(LdgWitB,$M129)),""))</f>
        <v/>
      </c>
      <c r="H129" s="21">
        <f>IF($L129&lt;&gt;"",IF(INDEX(SCOp,$L129)="مرجوعی فروش",IF(INDEX(SCAmount,$L129)=0,"",-INDEX(SCAmount,$L129)),""),IF($M129&lt;&gt;"",IF(INDEX(LdgDepB,$M129)=0,"",INDEX(LdgDepB,$M129)),""))</f>
        <v/>
      </c>
      <c r="I129" s="22">
        <f>IF($B129="","",IF($I128="",$C$10,$I128)+IF($G129="",0,$G129)-IF($H129="",0,$H129))</f>
        <v/>
      </c>
      <c r="L129">
        <f>IFERROR(MATCH($C$5&amp;"|"&amp;RIGHT("000000"&amp;113,6),LdgRankKeyA,0),"")</f>
        <v/>
      </c>
      <c r="M129">
        <f>IFERROR(MATCH($C$5&amp;"|"&amp;RIGHT("000000"&amp;113,6),LdgRankKeyB,0),"")</f>
        <v/>
      </c>
    </row>
    <row r="130">
      <c r="A130" s="23" t="n">
        <v>114</v>
      </c>
      <c r="B130" s="24">
        <f>IF(AND($L130="",$M130=""),"",IF($L130&lt;&gt;"",INDEX(SCNormDate,$L130),INDEX(LdgDateB,$M130)))</f>
        <v/>
      </c>
      <c r="C130" s="24">
        <f>IF($L130&lt;&gt;"",INDEX(SCOp,$L130),IF($M130&lt;&gt;"","پرداخت بانکی",""))</f>
        <v/>
      </c>
      <c r="D130" s="24">
        <f>IF($L130&lt;&gt;"",IF(INDEX(SCDoc,$L130)="","—",INDEX(SCDoc,$L130)),IF($M130&lt;&gt;"",INDEX(LdgBankB,$M130),""))</f>
        <v/>
      </c>
      <c r="E130" s="25">
        <f>IF($L130&lt;&gt;"",IF(INDEX(SCCitrus,$L130)&amp;INDEX(SCNotes,$L130)="","",IF(INDEX(SCCitrus,$L130)="","",INDEX(SCCitrus,$L130))&amp;IF(INDEX(SCNotes,$L130)="",""," — "&amp;INDEX(SCNotes,$L130))),IF($M130&lt;&gt;"",IF(INDEX(LdgNoteB,$M130)="","—",INDEX(LdgNoteB,$M130)),""))</f>
        <v/>
      </c>
      <c r="F130" s="26">
        <f>IF($L130&lt;&gt;"",IF(INDEX(SCNet,$L130)=0,"",INDEX(SCNet,$L130)),"")</f>
        <v/>
      </c>
      <c r="G130" s="27">
        <f>IF($L130&lt;&gt;"",IF(INDEX(SCOp,$L130)="مرجوعی فروش","",IF(INDEX(SCAmount,$L130)&lt;=0,"",INDEX(SCAmount,$L130))),IF($M130&lt;&gt;"",IF(INDEX(LdgWitB,$M130)=0,"",INDEX(LdgWitB,$M130)),""))</f>
        <v/>
      </c>
      <c r="H130" s="27">
        <f>IF($L130&lt;&gt;"",IF(INDEX(SCOp,$L130)="مرجوعی فروش",IF(INDEX(SCAmount,$L130)=0,"",-INDEX(SCAmount,$L130)),""),IF($M130&lt;&gt;"",IF(INDEX(LdgDepB,$M130)=0,"",INDEX(LdgDepB,$M130)),""))</f>
        <v/>
      </c>
      <c r="I130" s="28">
        <f>IF($B130="","",IF($I129="",$C$10,$I129)+IF($G130="",0,$G130)-IF($H130="",0,$H130))</f>
        <v/>
      </c>
      <c r="L130">
        <f>IFERROR(MATCH($C$5&amp;"|"&amp;RIGHT("000000"&amp;114,6),LdgRankKeyA,0),"")</f>
        <v/>
      </c>
      <c r="M130">
        <f>IFERROR(MATCH($C$5&amp;"|"&amp;RIGHT("000000"&amp;114,6),LdgRankKeyB,0),"")</f>
        <v/>
      </c>
    </row>
    <row r="131">
      <c r="A131" s="17" t="n">
        <v>115</v>
      </c>
      <c r="B131" s="18">
        <f>IF(AND($L131="",$M131=""),"",IF($L131&lt;&gt;"",INDEX(SCNormDate,$L131),INDEX(LdgDateB,$M131)))</f>
        <v/>
      </c>
      <c r="C131" s="18">
        <f>IF($L131&lt;&gt;"",INDEX(SCOp,$L131),IF($M131&lt;&gt;"","پرداخت بانکی",""))</f>
        <v/>
      </c>
      <c r="D131" s="18">
        <f>IF($L131&lt;&gt;"",IF(INDEX(SCDoc,$L131)="","—",INDEX(SCDoc,$L131)),IF($M131&lt;&gt;"",INDEX(LdgBankB,$M131),""))</f>
        <v/>
      </c>
      <c r="E131" s="19">
        <f>IF($L131&lt;&gt;"",IF(INDEX(SCCitrus,$L131)&amp;INDEX(SCNotes,$L131)="","",IF(INDEX(SCCitrus,$L131)="","",INDEX(SCCitrus,$L131))&amp;IF(INDEX(SCNotes,$L131)="",""," — "&amp;INDEX(SCNotes,$L131))),IF($M131&lt;&gt;"",IF(INDEX(LdgNoteB,$M131)="","—",INDEX(LdgNoteB,$M131)),""))</f>
        <v/>
      </c>
      <c r="F131" s="20">
        <f>IF($L131&lt;&gt;"",IF(INDEX(SCNet,$L131)=0,"",INDEX(SCNet,$L131)),"")</f>
        <v/>
      </c>
      <c r="G131" s="21">
        <f>IF($L131&lt;&gt;"",IF(INDEX(SCOp,$L131)="مرجوعی فروش","",IF(INDEX(SCAmount,$L131)&lt;=0,"",INDEX(SCAmount,$L131))),IF($M131&lt;&gt;"",IF(INDEX(LdgWitB,$M131)=0,"",INDEX(LdgWitB,$M131)),""))</f>
        <v/>
      </c>
      <c r="H131" s="21">
        <f>IF($L131&lt;&gt;"",IF(INDEX(SCOp,$L131)="مرجوعی فروش",IF(INDEX(SCAmount,$L131)=0,"",-INDEX(SCAmount,$L131)),""),IF($M131&lt;&gt;"",IF(INDEX(LdgDepB,$M131)=0,"",INDEX(LdgDepB,$M131)),""))</f>
        <v/>
      </c>
      <c r="I131" s="22">
        <f>IF($B131="","",IF($I130="",$C$10,$I130)+IF($G131="",0,$G131)-IF($H131="",0,$H131))</f>
        <v/>
      </c>
      <c r="L131">
        <f>IFERROR(MATCH($C$5&amp;"|"&amp;RIGHT("000000"&amp;115,6),LdgRankKeyA,0),"")</f>
        <v/>
      </c>
      <c r="M131">
        <f>IFERROR(MATCH($C$5&amp;"|"&amp;RIGHT("000000"&amp;115,6),LdgRankKeyB,0),"")</f>
        <v/>
      </c>
    </row>
    <row r="132">
      <c r="A132" s="23" t="n">
        <v>116</v>
      </c>
      <c r="B132" s="24">
        <f>IF(AND($L132="",$M132=""),"",IF($L132&lt;&gt;"",INDEX(SCNormDate,$L132),INDEX(LdgDateB,$M132)))</f>
        <v/>
      </c>
      <c r="C132" s="24">
        <f>IF($L132&lt;&gt;"",INDEX(SCOp,$L132),IF($M132&lt;&gt;"","پرداخت بانکی",""))</f>
        <v/>
      </c>
      <c r="D132" s="24">
        <f>IF($L132&lt;&gt;"",IF(INDEX(SCDoc,$L132)="","—",INDEX(SCDoc,$L132)),IF($M132&lt;&gt;"",INDEX(LdgBankB,$M132),""))</f>
        <v/>
      </c>
      <c r="E132" s="25">
        <f>IF($L132&lt;&gt;"",IF(INDEX(SCCitrus,$L132)&amp;INDEX(SCNotes,$L132)="","",IF(INDEX(SCCitrus,$L132)="","",INDEX(SCCitrus,$L132))&amp;IF(INDEX(SCNotes,$L132)="",""," — "&amp;INDEX(SCNotes,$L132))),IF($M132&lt;&gt;"",IF(INDEX(LdgNoteB,$M132)="","—",INDEX(LdgNoteB,$M132)),""))</f>
        <v/>
      </c>
      <c r="F132" s="26">
        <f>IF($L132&lt;&gt;"",IF(INDEX(SCNet,$L132)=0,"",INDEX(SCNet,$L132)),"")</f>
        <v/>
      </c>
      <c r="G132" s="27">
        <f>IF($L132&lt;&gt;"",IF(INDEX(SCOp,$L132)="مرجوعی فروش","",IF(INDEX(SCAmount,$L132)&lt;=0,"",INDEX(SCAmount,$L132))),IF($M132&lt;&gt;"",IF(INDEX(LdgWitB,$M132)=0,"",INDEX(LdgWitB,$M132)),""))</f>
        <v/>
      </c>
      <c r="H132" s="27">
        <f>IF($L132&lt;&gt;"",IF(INDEX(SCOp,$L132)="مرجوعی فروش",IF(INDEX(SCAmount,$L132)=0,"",-INDEX(SCAmount,$L132)),""),IF($M132&lt;&gt;"",IF(INDEX(LdgDepB,$M132)=0,"",INDEX(LdgDepB,$M132)),""))</f>
        <v/>
      </c>
      <c r="I132" s="28">
        <f>IF($B132="","",IF($I131="",$C$10,$I131)+IF($G132="",0,$G132)-IF($H132="",0,$H132))</f>
        <v/>
      </c>
      <c r="L132">
        <f>IFERROR(MATCH($C$5&amp;"|"&amp;RIGHT("000000"&amp;116,6),LdgRankKeyA,0),"")</f>
        <v/>
      </c>
      <c r="M132">
        <f>IFERROR(MATCH($C$5&amp;"|"&amp;RIGHT("000000"&amp;116,6),LdgRankKeyB,0),"")</f>
        <v/>
      </c>
    </row>
    <row r="133">
      <c r="A133" s="17" t="n">
        <v>117</v>
      </c>
      <c r="B133" s="18">
        <f>IF(AND($L133="",$M133=""),"",IF($L133&lt;&gt;"",INDEX(SCNormDate,$L133),INDEX(LdgDateB,$M133)))</f>
        <v/>
      </c>
      <c r="C133" s="18">
        <f>IF($L133&lt;&gt;"",INDEX(SCOp,$L133),IF($M133&lt;&gt;"","پرداخت بانکی",""))</f>
        <v/>
      </c>
      <c r="D133" s="18">
        <f>IF($L133&lt;&gt;"",IF(INDEX(SCDoc,$L133)="","—",INDEX(SCDoc,$L133)),IF($M133&lt;&gt;"",INDEX(LdgBankB,$M133),""))</f>
        <v/>
      </c>
      <c r="E133" s="19">
        <f>IF($L133&lt;&gt;"",IF(INDEX(SCCitrus,$L133)&amp;INDEX(SCNotes,$L133)="","",IF(INDEX(SCCitrus,$L133)="","",INDEX(SCCitrus,$L133))&amp;IF(INDEX(SCNotes,$L133)="",""," — "&amp;INDEX(SCNotes,$L133))),IF($M133&lt;&gt;"",IF(INDEX(LdgNoteB,$M133)="","—",INDEX(LdgNoteB,$M133)),""))</f>
        <v/>
      </c>
      <c r="F133" s="20">
        <f>IF($L133&lt;&gt;"",IF(INDEX(SCNet,$L133)=0,"",INDEX(SCNet,$L133)),"")</f>
        <v/>
      </c>
      <c r="G133" s="21">
        <f>IF($L133&lt;&gt;"",IF(INDEX(SCOp,$L133)="مرجوعی فروش","",IF(INDEX(SCAmount,$L133)&lt;=0,"",INDEX(SCAmount,$L133))),IF($M133&lt;&gt;"",IF(INDEX(LdgWitB,$M133)=0,"",INDEX(LdgWitB,$M133)),""))</f>
        <v/>
      </c>
      <c r="H133" s="21">
        <f>IF($L133&lt;&gt;"",IF(INDEX(SCOp,$L133)="مرجوعی فروش",IF(INDEX(SCAmount,$L133)=0,"",-INDEX(SCAmount,$L133)),""),IF($M133&lt;&gt;"",IF(INDEX(LdgDepB,$M133)=0,"",INDEX(LdgDepB,$M133)),""))</f>
        <v/>
      </c>
      <c r="I133" s="22">
        <f>IF($B133="","",IF($I132="",$C$10,$I132)+IF($G133="",0,$G133)-IF($H133="",0,$H133))</f>
        <v/>
      </c>
      <c r="L133">
        <f>IFERROR(MATCH($C$5&amp;"|"&amp;RIGHT("000000"&amp;117,6),LdgRankKeyA,0),"")</f>
        <v/>
      </c>
      <c r="M133">
        <f>IFERROR(MATCH($C$5&amp;"|"&amp;RIGHT("000000"&amp;117,6),LdgRankKeyB,0),"")</f>
        <v/>
      </c>
    </row>
    <row r="134">
      <c r="A134" s="23" t="n">
        <v>118</v>
      </c>
      <c r="B134" s="24">
        <f>IF(AND($L134="",$M134=""),"",IF($L134&lt;&gt;"",INDEX(SCNormDate,$L134),INDEX(LdgDateB,$M134)))</f>
        <v/>
      </c>
      <c r="C134" s="24">
        <f>IF($L134&lt;&gt;"",INDEX(SCOp,$L134),IF($M134&lt;&gt;"","پرداخت بانکی",""))</f>
        <v/>
      </c>
      <c r="D134" s="24">
        <f>IF($L134&lt;&gt;"",IF(INDEX(SCDoc,$L134)="","—",INDEX(SCDoc,$L134)),IF($M134&lt;&gt;"",INDEX(LdgBankB,$M134),""))</f>
        <v/>
      </c>
      <c r="E134" s="25">
        <f>IF($L134&lt;&gt;"",IF(INDEX(SCCitrus,$L134)&amp;INDEX(SCNotes,$L134)="","",IF(INDEX(SCCitrus,$L134)="","",INDEX(SCCitrus,$L134))&amp;IF(INDEX(SCNotes,$L134)="",""," — "&amp;INDEX(SCNotes,$L134))),IF($M134&lt;&gt;"",IF(INDEX(LdgNoteB,$M134)="","—",INDEX(LdgNoteB,$M134)),""))</f>
        <v/>
      </c>
      <c r="F134" s="26">
        <f>IF($L134&lt;&gt;"",IF(INDEX(SCNet,$L134)=0,"",INDEX(SCNet,$L134)),"")</f>
        <v/>
      </c>
      <c r="G134" s="27">
        <f>IF($L134&lt;&gt;"",IF(INDEX(SCOp,$L134)="مرجوعی فروش","",IF(INDEX(SCAmount,$L134)&lt;=0,"",INDEX(SCAmount,$L134))),IF($M134&lt;&gt;"",IF(INDEX(LdgWitB,$M134)=0,"",INDEX(LdgWitB,$M134)),""))</f>
        <v/>
      </c>
      <c r="H134" s="27">
        <f>IF($L134&lt;&gt;"",IF(INDEX(SCOp,$L134)="مرجوعی فروش",IF(INDEX(SCAmount,$L134)=0,"",-INDEX(SCAmount,$L134)),""),IF($M134&lt;&gt;"",IF(INDEX(LdgDepB,$M134)=0,"",INDEX(LdgDepB,$M134)),""))</f>
        <v/>
      </c>
      <c r="I134" s="28">
        <f>IF($B134="","",IF($I133="",$C$10,$I133)+IF($G134="",0,$G134)-IF($H134="",0,$H134))</f>
        <v/>
      </c>
      <c r="L134">
        <f>IFERROR(MATCH($C$5&amp;"|"&amp;RIGHT("000000"&amp;118,6),LdgRankKeyA,0),"")</f>
        <v/>
      </c>
      <c r="M134">
        <f>IFERROR(MATCH($C$5&amp;"|"&amp;RIGHT("000000"&amp;118,6),LdgRankKeyB,0),"")</f>
        <v/>
      </c>
    </row>
    <row r="135">
      <c r="A135" s="17" t="n">
        <v>119</v>
      </c>
      <c r="B135" s="18">
        <f>IF(AND($L135="",$M135=""),"",IF($L135&lt;&gt;"",INDEX(SCNormDate,$L135),INDEX(LdgDateB,$M135)))</f>
        <v/>
      </c>
      <c r="C135" s="18">
        <f>IF($L135&lt;&gt;"",INDEX(SCOp,$L135),IF($M135&lt;&gt;"","پرداخت بانکی",""))</f>
        <v/>
      </c>
      <c r="D135" s="18">
        <f>IF($L135&lt;&gt;"",IF(INDEX(SCDoc,$L135)="","—",INDEX(SCDoc,$L135)),IF($M135&lt;&gt;"",INDEX(LdgBankB,$M135),""))</f>
        <v/>
      </c>
      <c r="E135" s="19">
        <f>IF($L135&lt;&gt;"",IF(INDEX(SCCitrus,$L135)&amp;INDEX(SCNotes,$L135)="","",IF(INDEX(SCCitrus,$L135)="","",INDEX(SCCitrus,$L135))&amp;IF(INDEX(SCNotes,$L135)="",""," — "&amp;INDEX(SCNotes,$L135))),IF($M135&lt;&gt;"",IF(INDEX(LdgNoteB,$M135)="","—",INDEX(LdgNoteB,$M135)),""))</f>
        <v/>
      </c>
      <c r="F135" s="20">
        <f>IF($L135&lt;&gt;"",IF(INDEX(SCNet,$L135)=0,"",INDEX(SCNet,$L135)),"")</f>
        <v/>
      </c>
      <c r="G135" s="21">
        <f>IF($L135&lt;&gt;"",IF(INDEX(SCOp,$L135)="مرجوعی فروش","",IF(INDEX(SCAmount,$L135)&lt;=0,"",INDEX(SCAmount,$L135))),IF($M135&lt;&gt;"",IF(INDEX(LdgWitB,$M135)=0,"",INDEX(LdgWitB,$M135)),""))</f>
        <v/>
      </c>
      <c r="H135" s="21">
        <f>IF($L135&lt;&gt;"",IF(INDEX(SCOp,$L135)="مرجوعی فروش",IF(INDEX(SCAmount,$L135)=0,"",-INDEX(SCAmount,$L135)),""),IF($M135&lt;&gt;"",IF(INDEX(LdgDepB,$M135)=0,"",INDEX(LdgDepB,$M135)),""))</f>
        <v/>
      </c>
      <c r="I135" s="22">
        <f>IF($B135="","",IF($I134="",$C$10,$I134)+IF($G135="",0,$G135)-IF($H135="",0,$H135))</f>
        <v/>
      </c>
      <c r="L135">
        <f>IFERROR(MATCH($C$5&amp;"|"&amp;RIGHT("000000"&amp;119,6),LdgRankKeyA,0),"")</f>
        <v/>
      </c>
      <c r="M135">
        <f>IFERROR(MATCH($C$5&amp;"|"&amp;RIGHT("000000"&amp;119,6),LdgRankKeyB,0),"")</f>
        <v/>
      </c>
    </row>
    <row r="136">
      <c r="A136" s="23" t="n">
        <v>120</v>
      </c>
      <c r="B136" s="24">
        <f>IF(AND($L136="",$M136=""),"",IF($L136&lt;&gt;"",INDEX(SCNormDate,$L136),INDEX(LdgDateB,$M136)))</f>
        <v/>
      </c>
      <c r="C136" s="24">
        <f>IF($L136&lt;&gt;"",INDEX(SCOp,$L136),IF($M136&lt;&gt;"","پرداخت بانکی",""))</f>
        <v/>
      </c>
      <c r="D136" s="24">
        <f>IF($L136&lt;&gt;"",IF(INDEX(SCDoc,$L136)="","—",INDEX(SCDoc,$L136)),IF($M136&lt;&gt;"",INDEX(LdgBankB,$M136),""))</f>
        <v/>
      </c>
      <c r="E136" s="25">
        <f>IF($L136&lt;&gt;"",IF(INDEX(SCCitrus,$L136)&amp;INDEX(SCNotes,$L136)="","",IF(INDEX(SCCitrus,$L136)="","",INDEX(SCCitrus,$L136))&amp;IF(INDEX(SCNotes,$L136)="",""," — "&amp;INDEX(SCNotes,$L136))),IF($M136&lt;&gt;"",IF(INDEX(LdgNoteB,$M136)="","—",INDEX(LdgNoteB,$M136)),""))</f>
        <v/>
      </c>
      <c r="F136" s="26">
        <f>IF($L136&lt;&gt;"",IF(INDEX(SCNet,$L136)=0,"",INDEX(SCNet,$L136)),"")</f>
        <v/>
      </c>
      <c r="G136" s="27">
        <f>IF($L136&lt;&gt;"",IF(INDEX(SCOp,$L136)="مرجوعی فروش","",IF(INDEX(SCAmount,$L136)&lt;=0,"",INDEX(SCAmount,$L136))),IF($M136&lt;&gt;"",IF(INDEX(LdgWitB,$M136)=0,"",INDEX(LdgWitB,$M136)),""))</f>
        <v/>
      </c>
      <c r="H136" s="27">
        <f>IF($L136&lt;&gt;"",IF(INDEX(SCOp,$L136)="مرجوعی فروش",IF(INDEX(SCAmount,$L136)=0,"",-INDEX(SCAmount,$L136)),""),IF($M136&lt;&gt;"",IF(INDEX(LdgDepB,$M136)=0,"",INDEX(LdgDepB,$M136)),""))</f>
        <v/>
      </c>
      <c r="I136" s="28">
        <f>IF($B136="","",IF($I135="",$C$10,$I135)+IF($G136="",0,$G136)-IF($H136="",0,$H136))</f>
        <v/>
      </c>
      <c r="L136">
        <f>IFERROR(MATCH($C$5&amp;"|"&amp;RIGHT("000000"&amp;120,6),LdgRankKeyA,0),"")</f>
        <v/>
      </c>
      <c r="M136">
        <f>IFERROR(MATCH($C$5&amp;"|"&amp;RIGHT("000000"&amp;120,6),LdgRankKeyB,0),"")</f>
        <v/>
      </c>
    </row>
    <row r="137">
      <c r="A137" s="17" t="n">
        <v>121</v>
      </c>
      <c r="B137" s="18">
        <f>IF(AND($L137="",$M137=""),"",IF($L137&lt;&gt;"",INDEX(SCNormDate,$L137),INDEX(LdgDateB,$M137)))</f>
        <v/>
      </c>
      <c r="C137" s="18">
        <f>IF($L137&lt;&gt;"",INDEX(SCOp,$L137),IF($M137&lt;&gt;"","پرداخت بانکی",""))</f>
        <v/>
      </c>
      <c r="D137" s="18">
        <f>IF($L137&lt;&gt;"",IF(INDEX(SCDoc,$L137)="","—",INDEX(SCDoc,$L137)),IF($M137&lt;&gt;"",INDEX(LdgBankB,$M137),""))</f>
        <v/>
      </c>
      <c r="E137" s="19">
        <f>IF($L137&lt;&gt;"",IF(INDEX(SCCitrus,$L137)&amp;INDEX(SCNotes,$L137)="","",IF(INDEX(SCCitrus,$L137)="","",INDEX(SCCitrus,$L137))&amp;IF(INDEX(SCNotes,$L137)="",""," — "&amp;INDEX(SCNotes,$L137))),IF($M137&lt;&gt;"",IF(INDEX(LdgNoteB,$M137)="","—",INDEX(LdgNoteB,$M137)),""))</f>
        <v/>
      </c>
      <c r="F137" s="20">
        <f>IF($L137&lt;&gt;"",IF(INDEX(SCNet,$L137)=0,"",INDEX(SCNet,$L137)),"")</f>
        <v/>
      </c>
      <c r="G137" s="21">
        <f>IF($L137&lt;&gt;"",IF(INDEX(SCOp,$L137)="مرجوعی فروش","",IF(INDEX(SCAmount,$L137)&lt;=0,"",INDEX(SCAmount,$L137))),IF($M137&lt;&gt;"",IF(INDEX(LdgWitB,$M137)=0,"",INDEX(LdgWitB,$M137)),""))</f>
        <v/>
      </c>
      <c r="H137" s="21">
        <f>IF($L137&lt;&gt;"",IF(INDEX(SCOp,$L137)="مرجوعی فروش",IF(INDEX(SCAmount,$L137)=0,"",-INDEX(SCAmount,$L137)),""),IF($M137&lt;&gt;"",IF(INDEX(LdgDepB,$M137)=0,"",INDEX(LdgDepB,$M137)),""))</f>
        <v/>
      </c>
      <c r="I137" s="22">
        <f>IF($B137="","",IF($I136="",$C$10,$I136)+IF($G137="",0,$G137)-IF($H137="",0,$H137))</f>
        <v/>
      </c>
      <c r="L137">
        <f>IFERROR(MATCH($C$5&amp;"|"&amp;RIGHT("000000"&amp;121,6),LdgRankKeyA,0),"")</f>
        <v/>
      </c>
      <c r="M137">
        <f>IFERROR(MATCH($C$5&amp;"|"&amp;RIGHT("000000"&amp;121,6),LdgRankKeyB,0),"")</f>
        <v/>
      </c>
    </row>
    <row r="138">
      <c r="A138" s="23" t="n">
        <v>122</v>
      </c>
      <c r="B138" s="24">
        <f>IF(AND($L138="",$M138=""),"",IF($L138&lt;&gt;"",INDEX(SCNormDate,$L138),INDEX(LdgDateB,$M138)))</f>
        <v/>
      </c>
      <c r="C138" s="24">
        <f>IF($L138&lt;&gt;"",INDEX(SCOp,$L138),IF($M138&lt;&gt;"","پرداخت بانکی",""))</f>
        <v/>
      </c>
      <c r="D138" s="24">
        <f>IF($L138&lt;&gt;"",IF(INDEX(SCDoc,$L138)="","—",INDEX(SCDoc,$L138)),IF($M138&lt;&gt;"",INDEX(LdgBankB,$M138),""))</f>
        <v/>
      </c>
      <c r="E138" s="25">
        <f>IF($L138&lt;&gt;"",IF(INDEX(SCCitrus,$L138)&amp;INDEX(SCNotes,$L138)="","",IF(INDEX(SCCitrus,$L138)="","",INDEX(SCCitrus,$L138))&amp;IF(INDEX(SCNotes,$L138)="",""," — "&amp;INDEX(SCNotes,$L138))),IF($M138&lt;&gt;"",IF(INDEX(LdgNoteB,$M138)="","—",INDEX(LdgNoteB,$M138)),""))</f>
        <v/>
      </c>
      <c r="F138" s="26">
        <f>IF($L138&lt;&gt;"",IF(INDEX(SCNet,$L138)=0,"",INDEX(SCNet,$L138)),"")</f>
        <v/>
      </c>
      <c r="G138" s="27">
        <f>IF($L138&lt;&gt;"",IF(INDEX(SCOp,$L138)="مرجوعی فروش","",IF(INDEX(SCAmount,$L138)&lt;=0,"",INDEX(SCAmount,$L138))),IF($M138&lt;&gt;"",IF(INDEX(LdgWitB,$M138)=0,"",INDEX(LdgWitB,$M138)),""))</f>
        <v/>
      </c>
      <c r="H138" s="27">
        <f>IF($L138&lt;&gt;"",IF(INDEX(SCOp,$L138)="مرجوعی فروش",IF(INDEX(SCAmount,$L138)=0,"",-INDEX(SCAmount,$L138)),""),IF($M138&lt;&gt;"",IF(INDEX(LdgDepB,$M138)=0,"",INDEX(LdgDepB,$M138)),""))</f>
        <v/>
      </c>
      <c r="I138" s="28">
        <f>IF($B138="","",IF($I137="",$C$10,$I137)+IF($G138="",0,$G138)-IF($H138="",0,$H138))</f>
        <v/>
      </c>
      <c r="L138">
        <f>IFERROR(MATCH($C$5&amp;"|"&amp;RIGHT("000000"&amp;122,6),LdgRankKeyA,0),"")</f>
        <v/>
      </c>
      <c r="M138">
        <f>IFERROR(MATCH($C$5&amp;"|"&amp;RIGHT("000000"&amp;122,6),LdgRankKeyB,0),"")</f>
        <v/>
      </c>
    </row>
    <row r="139">
      <c r="A139" s="17" t="n">
        <v>123</v>
      </c>
      <c r="B139" s="18">
        <f>IF(AND($L139="",$M139=""),"",IF($L139&lt;&gt;"",INDEX(SCNormDate,$L139),INDEX(LdgDateB,$M139)))</f>
        <v/>
      </c>
      <c r="C139" s="18">
        <f>IF($L139&lt;&gt;"",INDEX(SCOp,$L139),IF($M139&lt;&gt;"","پرداخت بانکی",""))</f>
        <v/>
      </c>
      <c r="D139" s="18">
        <f>IF($L139&lt;&gt;"",IF(INDEX(SCDoc,$L139)="","—",INDEX(SCDoc,$L139)),IF($M139&lt;&gt;"",INDEX(LdgBankB,$M139),""))</f>
        <v/>
      </c>
      <c r="E139" s="19">
        <f>IF($L139&lt;&gt;"",IF(INDEX(SCCitrus,$L139)&amp;INDEX(SCNotes,$L139)="","",IF(INDEX(SCCitrus,$L139)="","",INDEX(SCCitrus,$L139))&amp;IF(INDEX(SCNotes,$L139)="",""," — "&amp;INDEX(SCNotes,$L139))),IF($M139&lt;&gt;"",IF(INDEX(LdgNoteB,$M139)="","—",INDEX(LdgNoteB,$M139)),""))</f>
        <v/>
      </c>
      <c r="F139" s="20">
        <f>IF($L139&lt;&gt;"",IF(INDEX(SCNet,$L139)=0,"",INDEX(SCNet,$L139)),"")</f>
        <v/>
      </c>
      <c r="G139" s="21">
        <f>IF($L139&lt;&gt;"",IF(INDEX(SCOp,$L139)="مرجوعی فروش","",IF(INDEX(SCAmount,$L139)&lt;=0,"",INDEX(SCAmount,$L139))),IF($M139&lt;&gt;"",IF(INDEX(LdgWitB,$M139)=0,"",INDEX(LdgWitB,$M139)),""))</f>
        <v/>
      </c>
      <c r="H139" s="21">
        <f>IF($L139&lt;&gt;"",IF(INDEX(SCOp,$L139)="مرجوعی فروش",IF(INDEX(SCAmount,$L139)=0,"",-INDEX(SCAmount,$L139)),""),IF($M139&lt;&gt;"",IF(INDEX(LdgDepB,$M139)=0,"",INDEX(LdgDepB,$M139)),""))</f>
        <v/>
      </c>
      <c r="I139" s="22">
        <f>IF($B139="","",IF($I138="",$C$10,$I138)+IF($G139="",0,$G139)-IF($H139="",0,$H139))</f>
        <v/>
      </c>
      <c r="L139">
        <f>IFERROR(MATCH($C$5&amp;"|"&amp;RIGHT("000000"&amp;123,6),LdgRankKeyA,0),"")</f>
        <v/>
      </c>
      <c r="M139">
        <f>IFERROR(MATCH($C$5&amp;"|"&amp;RIGHT("000000"&amp;123,6),LdgRankKeyB,0),"")</f>
        <v/>
      </c>
    </row>
    <row r="140">
      <c r="A140" s="23" t="n">
        <v>124</v>
      </c>
      <c r="B140" s="24">
        <f>IF(AND($L140="",$M140=""),"",IF($L140&lt;&gt;"",INDEX(SCNormDate,$L140),INDEX(LdgDateB,$M140)))</f>
        <v/>
      </c>
      <c r="C140" s="24">
        <f>IF($L140&lt;&gt;"",INDEX(SCOp,$L140),IF($M140&lt;&gt;"","پرداخت بانکی",""))</f>
        <v/>
      </c>
      <c r="D140" s="24">
        <f>IF($L140&lt;&gt;"",IF(INDEX(SCDoc,$L140)="","—",INDEX(SCDoc,$L140)),IF($M140&lt;&gt;"",INDEX(LdgBankB,$M140),""))</f>
        <v/>
      </c>
      <c r="E140" s="25">
        <f>IF($L140&lt;&gt;"",IF(INDEX(SCCitrus,$L140)&amp;INDEX(SCNotes,$L140)="","",IF(INDEX(SCCitrus,$L140)="","",INDEX(SCCitrus,$L140))&amp;IF(INDEX(SCNotes,$L140)="",""," — "&amp;INDEX(SCNotes,$L140))),IF($M140&lt;&gt;"",IF(INDEX(LdgNoteB,$M140)="","—",INDEX(LdgNoteB,$M140)),""))</f>
        <v/>
      </c>
      <c r="F140" s="26">
        <f>IF($L140&lt;&gt;"",IF(INDEX(SCNet,$L140)=0,"",INDEX(SCNet,$L140)),"")</f>
        <v/>
      </c>
      <c r="G140" s="27">
        <f>IF($L140&lt;&gt;"",IF(INDEX(SCOp,$L140)="مرجوعی فروش","",IF(INDEX(SCAmount,$L140)&lt;=0,"",INDEX(SCAmount,$L140))),IF($M140&lt;&gt;"",IF(INDEX(LdgWitB,$M140)=0,"",INDEX(LdgWitB,$M140)),""))</f>
        <v/>
      </c>
      <c r="H140" s="27">
        <f>IF($L140&lt;&gt;"",IF(INDEX(SCOp,$L140)="مرجوعی فروش",IF(INDEX(SCAmount,$L140)=0,"",-INDEX(SCAmount,$L140)),""),IF($M140&lt;&gt;"",IF(INDEX(LdgDepB,$M140)=0,"",INDEX(LdgDepB,$M140)),""))</f>
        <v/>
      </c>
      <c r="I140" s="28">
        <f>IF($B140="","",IF($I139="",$C$10,$I139)+IF($G140="",0,$G140)-IF($H140="",0,$H140))</f>
        <v/>
      </c>
      <c r="L140">
        <f>IFERROR(MATCH($C$5&amp;"|"&amp;RIGHT("000000"&amp;124,6),LdgRankKeyA,0),"")</f>
        <v/>
      </c>
      <c r="M140">
        <f>IFERROR(MATCH($C$5&amp;"|"&amp;RIGHT("000000"&amp;124,6),LdgRankKeyB,0),"")</f>
        <v/>
      </c>
    </row>
    <row r="141">
      <c r="A141" s="17" t="n">
        <v>125</v>
      </c>
      <c r="B141" s="18">
        <f>IF(AND($L141="",$M141=""),"",IF($L141&lt;&gt;"",INDEX(SCNormDate,$L141),INDEX(LdgDateB,$M141)))</f>
        <v/>
      </c>
      <c r="C141" s="18">
        <f>IF($L141&lt;&gt;"",INDEX(SCOp,$L141),IF($M141&lt;&gt;"","پرداخت بانکی",""))</f>
        <v/>
      </c>
      <c r="D141" s="18">
        <f>IF($L141&lt;&gt;"",IF(INDEX(SCDoc,$L141)="","—",INDEX(SCDoc,$L141)),IF($M141&lt;&gt;"",INDEX(LdgBankB,$M141),""))</f>
        <v/>
      </c>
      <c r="E141" s="19">
        <f>IF($L141&lt;&gt;"",IF(INDEX(SCCitrus,$L141)&amp;INDEX(SCNotes,$L141)="","",IF(INDEX(SCCitrus,$L141)="","",INDEX(SCCitrus,$L141))&amp;IF(INDEX(SCNotes,$L141)="",""," — "&amp;INDEX(SCNotes,$L141))),IF($M141&lt;&gt;"",IF(INDEX(LdgNoteB,$M141)="","—",INDEX(LdgNoteB,$M141)),""))</f>
        <v/>
      </c>
      <c r="F141" s="20">
        <f>IF($L141&lt;&gt;"",IF(INDEX(SCNet,$L141)=0,"",INDEX(SCNet,$L141)),"")</f>
        <v/>
      </c>
      <c r="G141" s="21">
        <f>IF($L141&lt;&gt;"",IF(INDEX(SCOp,$L141)="مرجوعی فروش","",IF(INDEX(SCAmount,$L141)&lt;=0,"",INDEX(SCAmount,$L141))),IF($M141&lt;&gt;"",IF(INDEX(LdgWitB,$M141)=0,"",INDEX(LdgWitB,$M141)),""))</f>
        <v/>
      </c>
      <c r="H141" s="21">
        <f>IF($L141&lt;&gt;"",IF(INDEX(SCOp,$L141)="مرجوعی فروش",IF(INDEX(SCAmount,$L141)=0,"",-INDEX(SCAmount,$L141)),""),IF($M141&lt;&gt;"",IF(INDEX(LdgDepB,$M141)=0,"",INDEX(LdgDepB,$M141)),""))</f>
        <v/>
      </c>
      <c r="I141" s="22">
        <f>IF($B141="","",IF($I140="",$C$10,$I140)+IF($G141="",0,$G141)-IF($H141="",0,$H141))</f>
        <v/>
      </c>
      <c r="L141">
        <f>IFERROR(MATCH($C$5&amp;"|"&amp;RIGHT("000000"&amp;125,6),LdgRankKeyA,0),"")</f>
        <v/>
      </c>
      <c r="M141">
        <f>IFERROR(MATCH($C$5&amp;"|"&amp;RIGHT("000000"&amp;125,6),LdgRankKeyB,0),"")</f>
        <v/>
      </c>
    </row>
    <row r="142">
      <c r="A142" s="23" t="n">
        <v>126</v>
      </c>
      <c r="B142" s="24">
        <f>IF(AND($L142="",$M142=""),"",IF($L142&lt;&gt;"",INDEX(SCNormDate,$L142),INDEX(LdgDateB,$M142)))</f>
        <v/>
      </c>
      <c r="C142" s="24">
        <f>IF($L142&lt;&gt;"",INDEX(SCOp,$L142),IF($M142&lt;&gt;"","پرداخت بانکی",""))</f>
        <v/>
      </c>
      <c r="D142" s="24">
        <f>IF($L142&lt;&gt;"",IF(INDEX(SCDoc,$L142)="","—",INDEX(SCDoc,$L142)),IF($M142&lt;&gt;"",INDEX(LdgBankB,$M142),""))</f>
        <v/>
      </c>
      <c r="E142" s="25">
        <f>IF($L142&lt;&gt;"",IF(INDEX(SCCitrus,$L142)&amp;INDEX(SCNotes,$L142)="","",IF(INDEX(SCCitrus,$L142)="","",INDEX(SCCitrus,$L142))&amp;IF(INDEX(SCNotes,$L142)="",""," — "&amp;INDEX(SCNotes,$L142))),IF($M142&lt;&gt;"",IF(INDEX(LdgNoteB,$M142)="","—",INDEX(LdgNoteB,$M142)),""))</f>
        <v/>
      </c>
      <c r="F142" s="26">
        <f>IF($L142&lt;&gt;"",IF(INDEX(SCNet,$L142)=0,"",INDEX(SCNet,$L142)),"")</f>
        <v/>
      </c>
      <c r="G142" s="27">
        <f>IF($L142&lt;&gt;"",IF(INDEX(SCOp,$L142)="مرجوعی فروش","",IF(INDEX(SCAmount,$L142)&lt;=0,"",INDEX(SCAmount,$L142))),IF($M142&lt;&gt;"",IF(INDEX(LdgWitB,$M142)=0,"",INDEX(LdgWitB,$M142)),""))</f>
        <v/>
      </c>
      <c r="H142" s="27">
        <f>IF($L142&lt;&gt;"",IF(INDEX(SCOp,$L142)="مرجوعی فروش",IF(INDEX(SCAmount,$L142)=0,"",-INDEX(SCAmount,$L142)),""),IF($M142&lt;&gt;"",IF(INDEX(LdgDepB,$M142)=0,"",INDEX(LdgDepB,$M142)),""))</f>
        <v/>
      </c>
      <c r="I142" s="28">
        <f>IF($B142="","",IF($I141="",$C$10,$I141)+IF($G142="",0,$G142)-IF($H142="",0,$H142))</f>
        <v/>
      </c>
      <c r="L142">
        <f>IFERROR(MATCH($C$5&amp;"|"&amp;RIGHT("000000"&amp;126,6),LdgRankKeyA,0),"")</f>
        <v/>
      </c>
      <c r="M142">
        <f>IFERROR(MATCH($C$5&amp;"|"&amp;RIGHT("000000"&amp;126,6),LdgRankKeyB,0),"")</f>
        <v/>
      </c>
    </row>
    <row r="143">
      <c r="A143" s="17" t="n">
        <v>127</v>
      </c>
      <c r="B143" s="18">
        <f>IF(AND($L143="",$M143=""),"",IF($L143&lt;&gt;"",INDEX(SCNormDate,$L143),INDEX(LdgDateB,$M143)))</f>
        <v/>
      </c>
      <c r="C143" s="18">
        <f>IF($L143&lt;&gt;"",INDEX(SCOp,$L143),IF($M143&lt;&gt;"","پرداخت بانکی",""))</f>
        <v/>
      </c>
      <c r="D143" s="18">
        <f>IF($L143&lt;&gt;"",IF(INDEX(SCDoc,$L143)="","—",INDEX(SCDoc,$L143)),IF($M143&lt;&gt;"",INDEX(LdgBankB,$M143),""))</f>
        <v/>
      </c>
      <c r="E143" s="19">
        <f>IF($L143&lt;&gt;"",IF(INDEX(SCCitrus,$L143)&amp;INDEX(SCNotes,$L143)="","",IF(INDEX(SCCitrus,$L143)="","",INDEX(SCCitrus,$L143))&amp;IF(INDEX(SCNotes,$L143)="",""," — "&amp;INDEX(SCNotes,$L143))),IF($M143&lt;&gt;"",IF(INDEX(LdgNoteB,$M143)="","—",INDEX(LdgNoteB,$M143)),""))</f>
        <v/>
      </c>
      <c r="F143" s="20">
        <f>IF($L143&lt;&gt;"",IF(INDEX(SCNet,$L143)=0,"",INDEX(SCNet,$L143)),"")</f>
        <v/>
      </c>
      <c r="G143" s="21">
        <f>IF($L143&lt;&gt;"",IF(INDEX(SCOp,$L143)="مرجوعی فروش","",IF(INDEX(SCAmount,$L143)&lt;=0,"",INDEX(SCAmount,$L143))),IF($M143&lt;&gt;"",IF(INDEX(LdgWitB,$M143)=0,"",INDEX(LdgWitB,$M143)),""))</f>
        <v/>
      </c>
      <c r="H143" s="21">
        <f>IF($L143&lt;&gt;"",IF(INDEX(SCOp,$L143)="مرجوعی فروش",IF(INDEX(SCAmount,$L143)=0,"",-INDEX(SCAmount,$L143)),""),IF($M143&lt;&gt;"",IF(INDEX(LdgDepB,$M143)=0,"",INDEX(LdgDepB,$M143)),""))</f>
        <v/>
      </c>
      <c r="I143" s="22">
        <f>IF($B143="","",IF($I142="",$C$10,$I142)+IF($G143="",0,$G143)-IF($H143="",0,$H143))</f>
        <v/>
      </c>
      <c r="L143">
        <f>IFERROR(MATCH($C$5&amp;"|"&amp;RIGHT("000000"&amp;127,6),LdgRankKeyA,0),"")</f>
        <v/>
      </c>
      <c r="M143">
        <f>IFERROR(MATCH($C$5&amp;"|"&amp;RIGHT("000000"&amp;127,6),LdgRankKeyB,0),"")</f>
        <v/>
      </c>
    </row>
    <row r="144">
      <c r="A144" s="23" t="n">
        <v>128</v>
      </c>
      <c r="B144" s="24">
        <f>IF(AND($L144="",$M144=""),"",IF($L144&lt;&gt;"",INDEX(SCNormDate,$L144),INDEX(LdgDateB,$M144)))</f>
        <v/>
      </c>
      <c r="C144" s="24">
        <f>IF($L144&lt;&gt;"",INDEX(SCOp,$L144),IF($M144&lt;&gt;"","پرداخت بانکی",""))</f>
        <v/>
      </c>
      <c r="D144" s="24">
        <f>IF($L144&lt;&gt;"",IF(INDEX(SCDoc,$L144)="","—",INDEX(SCDoc,$L144)),IF($M144&lt;&gt;"",INDEX(LdgBankB,$M144),""))</f>
        <v/>
      </c>
      <c r="E144" s="25">
        <f>IF($L144&lt;&gt;"",IF(INDEX(SCCitrus,$L144)&amp;INDEX(SCNotes,$L144)="","",IF(INDEX(SCCitrus,$L144)="","",INDEX(SCCitrus,$L144))&amp;IF(INDEX(SCNotes,$L144)="",""," — "&amp;INDEX(SCNotes,$L144))),IF($M144&lt;&gt;"",IF(INDEX(LdgNoteB,$M144)="","—",INDEX(LdgNoteB,$M144)),""))</f>
        <v/>
      </c>
      <c r="F144" s="26">
        <f>IF($L144&lt;&gt;"",IF(INDEX(SCNet,$L144)=0,"",INDEX(SCNet,$L144)),"")</f>
        <v/>
      </c>
      <c r="G144" s="27">
        <f>IF($L144&lt;&gt;"",IF(INDEX(SCOp,$L144)="مرجوعی فروش","",IF(INDEX(SCAmount,$L144)&lt;=0,"",INDEX(SCAmount,$L144))),IF($M144&lt;&gt;"",IF(INDEX(LdgWitB,$M144)=0,"",INDEX(LdgWitB,$M144)),""))</f>
        <v/>
      </c>
      <c r="H144" s="27">
        <f>IF($L144&lt;&gt;"",IF(INDEX(SCOp,$L144)="مرجوعی فروش",IF(INDEX(SCAmount,$L144)=0,"",-INDEX(SCAmount,$L144)),""),IF($M144&lt;&gt;"",IF(INDEX(LdgDepB,$M144)=0,"",INDEX(LdgDepB,$M144)),""))</f>
        <v/>
      </c>
      <c r="I144" s="28">
        <f>IF($B144="","",IF($I143="",$C$10,$I143)+IF($G144="",0,$G144)-IF($H144="",0,$H144))</f>
        <v/>
      </c>
      <c r="L144">
        <f>IFERROR(MATCH($C$5&amp;"|"&amp;RIGHT("000000"&amp;128,6),LdgRankKeyA,0),"")</f>
        <v/>
      </c>
      <c r="M144">
        <f>IFERROR(MATCH($C$5&amp;"|"&amp;RIGHT("000000"&amp;128,6),LdgRankKeyB,0),"")</f>
        <v/>
      </c>
    </row>
    <row r="145">
      <c r="A145" s="17" t="n">
        <v>129</v>
      </c>
      <c r="B145" s="18">
        <f>IF(AND($L145="",$M145=""),"",IF($L145&lt;&gt;"",INDEX(SCNormDate,$L145),INDEX(LdgDateB,$M145)))</f>
        <v/>
      </c>
      <c r="C145" s="18">
        <f>IF($L145&lt;&gt;"",INDEX(SCOp,$L145),IF($M145&lt;&gt;"","پرداخت بانکی",""))</f>
        <v/>
      </c>
      <c r="D145" s="18">
        <f>IF($L145&lt;&gt;"",IF(INDEX(SCDoc,$L145)="","—",INDEX(SCDoc,$L145)),IF($M145&lt;&gt;"",INDEX(LdgBankB,$M145),""))</f>
        <v/>
      </c>
      <c r="E145" s="19">
        <f>IF($L145&lt;&gt;"",IF(INDEX(SCCitrus,$L145)&amp;INDEX(SCNotes,$L145)="","",IF(INDEX(SCCitrus,$L145)="","",INDEX(SCCitrus,$L145))&amp;IF(INDEX(SCNotes,$L145)="",""," — "&amp;INDEX(SCNotes,$L145))),IF($M145&lt;&gt;"",IF(INDEX(LdgNoteB,$M145)="","—",INDEX(LdgNoteB,$M145)),""))</f>
        <v/>
      </c>
      <c r="F145" s="20">
        <f>IF($L145&lt;&gt;"",IF(INDEX(SCNet,$L145)=0,"",INDEX(SCNet,$L145)),"")</f>
        <v/>
      </c>
      <c r="G145" s="21">
        <f>IF($L145&lt;&gt;"",IF(INDEX(SCOp,$L145)="مرجوعی فروش","",IF(INDEX(SCAmount,$L145)&lt;=0,"",INDEX(SCAmount,$L145))),IF($M145&lt;&gt;"",IF(INDEX(LdgWitB,$M145)=0,"",INDEX(LdgWitB,$M145)),""))</f>
        <v/>
      </c>
      <c r="H145" s="21">
        <f>IF($L145&lt;&gt;"",IF(INDEX(SCOp,$L145)="مرجوعی فروش",IF(INDEX(SCAmount,$L145)=0,"",-INDEX(SCAmount,$L145)),""),IF($M145&lt;&gt;"",IF(INDEX(LdgDepB,$M145)=0,"",INDEX(LdgDepB,$M145)),""))</f>
        <v/>
      </c>
      <c r="I145" s="22">
        <f>IF($B145="","",IF($I144="",$C$10,$I144)+IF($G145="",0,$G145)-IF($H145="",0,$H145))</f>
        <v/>
      </c>
      <c r="L145">
        <f>IFERROR(MATCH($C$5&amp;"|"&amp;RIGHT("000000"&amp;129,6),LdgRankKeyA,0),"")</f>
        <v/>
      </c>
      <c r="M145">
        <f>IFERROR(MATCH($C$5&amp;"|"&amp;RIGHT("000000"&amp;129,6),LdgRankKeyB,0),"")</f>
        <v/>
      </c>
    </row>
    <row r="146">
      <c r="A146" s="23" t="n">
        <v>130</v>
      </c>
      <c r="B146" s="24">
        <f>IF(AND($L146="",$M146=""),"",IF($L146&lt;&gt;"",INDEX(SCNormDate,$L146),INDEX(LdgDateB,$M146)))</f>
        <v/>
      </c>
      <c r="C146" s="24">
        <f>IF($L146&lt;&gt;"",INDEX(SCOp,$L146),IF($M146&lt;&gt;"","پرداخت بانکی",""))</f>
        <v/>
      </c>
      <c r="D146" s="24">
        <f>IF($L146&lt;&gt;"",IF(INDEX(SCDoc,$L146)="","—",INDEX(SCDoc,$L146)),IF($M146&lt;&gt;"",INDEX(LdgBankB,$M146),""))</f>
        <v/>
      </c>
      <c r="E146" s="25">
        <f>IF($L146&lt;&gt;"",IF(INDEX(SCCitrus,$L146)&amp;INDEX(SCNotes,$L146)="","",IF(INDEX(SCCitrus,$L146)="","",INDEX(SCCitrus,$L146))&amp;IF(INDEX(SCNotes,$L146)="",""," — "&amp;INDEX(SCNotes,$L146))),IF($M146&lt;&gt;"",IF(INDEX(LdgNoteB,$M146)="","—",INDEX(LdgNoteB,$M146)),""))</f>
        <v/>
      </c>
      <c r="F146" s="26">
        <f>IF($L146&lt;&gt;"",IF(INDEX(SCNet,$L146)=0,"",INDEX(SCNet,$L146)),"")</f>
        <v/>
      </c>
      <c r="G146" s="27">
        <f>IF($L146&lt;&gt;"",IF(INDEX(SCOp,$L146)="مرجوعی فروش","",IF(INDEX(SCAmount,$L146)&lt;=0,"",INDEX(SCAmount,$L146))),IF($M146&lt;&gt;"",IF(INDEX(LdgWitB,$M146)=0,"",INDEX(LdgWitB,$M146)),""))</f>
        <v/>
      </c>
      <c r="H146" s="27">
        <f>IF($L146&lt;&gt;"",IF(INDEX(SCOp,$L146)="مرجوعی فروش",IF(INDEX(SCAmount,$L146)=0,"",-INDEX(SCAmount,$L146)),""),IF($M146&lt;&gt;"",IF(INDEX(LdgDepB,$M146)=0,"",INDEX(LdgDepB,$M146)),""))</f>
        <v/>
      </c>
      <c r="I146" s="28">
        <f>IF($B146="","",IF($I145="",$C$10,$I145)+IF($G146="",0,$G146)-IF($H146="",0,$H146))</f>
        <v/>
      </c>
      <c r="L146">
        <f>IFERROR(MATCH($C$5&amp;"|"&amp;RIGHT("000000"&amp;130,6),LdgRankKeyA,0),"")</f>
        <v/>
      </c>
      <c r="M146">
        <f>IFERROR(MATCH($C$5&amp;"|"&amp;RIGHT("000000"&amp;130,6),LdgRankKeyB,0),"")</f>
        <v/>
      </c>
    </row>
    <row r="147">
      <c r="A147" s="17" t="n">
        <v>131</v>
      </c>
      <c r="B147" s="18">
        <f>IF(AND($L147="",$M147=""),"",IF($L147&lt;&gt;"",INDEX(SCNormDate,$L147),INDEX(LdgDateB,$M147)))</f>
        <v/>
      </c>
      <c r="C147" s="18">
        <f>IF($L147&lt;&gt;"",INDEX(SCOp,$L147),IF($M147&lt;&gt;"","پرداخت بانکی",""))</f>
        <v/>
      </c>
      <c r="D147" s="18">
        <f>IF($L147&lt;&gt;"",IF(INDEX(SCDoc,$L147)="","—",INDEX(SCDoc,$L147)),IF($M147&lt;&gt;"",INDEX(LdgBankB,$M147),""))</f>
        <v/>
      </c>
      <c r="E147" s="19">
        <f>IF($L147&lt;&gt;"",IF(INDEX(SCCitrus,$L147)&amp;INDEX(SCNotes,$L147)="","",IF(INDEX(SCCitrus,$L147)="","",INDEX(SCCitrus,$L147))&amp;IF(INDEX(SCNotes,$L147)="",""," — "&amp;INDEX(SCNotes,$L147))),IF($M147&lt;&gt;"",IF(INDEX(LdgNoteB,$M147)="","—",INDEX(LdgNoteB,$M147)),""))</f>
        <v/>
      </c>
      <c r="F147" s="20">
        <f>IF($L147&lt;&gt;"",IF(INDEX(SCNet,$L147)=0,"",INDEX(SCNet,$L147)),"")</f>
        <v/>
      </c>
      <c r="G147" s="21">
        <f>IF($L147&lt;&gt;"",IF(INDEX(SCOp,$L147)="مرجوعی فروش","",IF(INDEX(SCAmount,$L147)&lt;=0,"",INDEX(SCAmount,$L147))),IF($M147&lt;&gt;"",IF(INDEX(LdgWitB,$M147)=0,"",INDEX(LdgWitB,$M147)),""))</f>
        <v/>
      </c>
      <c r="H147" s="21">
        <f>IF($L147&lt;&gt;"",IF(INDEX(SCOp,$L147)="مرجوعی فروش",IF(INDEX(SCAmount,$L147)=0,"",-INDEX(SCAmount,$L147)),""),IF($M147&lt;&gt;"",IF(INDEX(LdgDepB,$M147)=0,"",INDEX(LdgDepB,$M147)),""))</f>
        <v/>
      </c>
      <c r="I147" s="22">
        <f>IF($B147="","",IF($I146="",$C$10,$I146)+IF($G147="",0,$G147)-IF($H147="",0,$H147))</f>
        <v/>
      </c>
      <c r="L147">
        <f>IFERROR(MATCH($C$5&amp;"|"&amp;RIGHT("000000"&amp;131,6),LdgRankKeyA,0),"")</f>
        <v/>
      </c>
      <c r="M147">
        <f>IFERROR(MATCH($C$5&amp;"|"&amp;RIGHT("000000"&amp;131,6),LdgRankKeyB,0),"")</f>
        <v/>
      </c>
    </row>
    <row r="148">
      <c r="A148" s="23" t="n">
        <v>132</v>
      </c>
      <c r="B148" s="24">
        <f>IF(AND($L148="",$M148=""),"",IF($L148&lt;&gt;"",INDEX(SCNormDate,$L148),INDEX(LdgDateB,$M148)))</f>
        <v/>
      </c>
      <c r="C148" s="24">
        <f>IF($L148&lt;&gt;"",INDEX(SCOp,$L148),IF($M148&lt;&gt;"","پرداخت بانکی",""))</f>
        <v/>
      </c>
      <c r="D148" s="24">
        <f>IF($L148&lt;&gt;"",IF(INDEX(SCDoc,$L148)="","—",INDEX(SCDoc,$L148)),IF($M148&lt;&gt;"",INDEX(LdgBankB,$M148),""))</f>
        <v/>
      </c>
      <c r="E148" s="25">
        <f>IF($L148&lt;&gt;"",IF(INDEX(SCCitrus,$L148)&amp;INDEX(SCNotes,$L148)="","",IF(INDEX(SCCitrus,$L148)="","",INDEX(SCCitrus,$L148))&amp;IF(INDEX(SCNotes,$L148)="",""," — "&amp;INDEX(SCNotes,$L148))),IF($M148&lt;&gt;"",IF(INDEX(LdgNoteB,$M148)="","—",INDEX(LdgNoteB,$M148)),""))</f>
        <v/>
      </c>
      <c r="F148" s="26">
        <f>IF($L148&lt;&gt;"",IF(INDEX(SCNet,$L148)=0,"",INDEX(SCNet,$L148)),"")</f>
        <v/>
      </c>
      <c r="G148" s="27">
        <f>IF($L148&lt;&gt;"",IF(INDEX(SCOp,$L148)="مرجوعی فروش","",IF(INDEX(SCAmount,$L148)&lt;=0,"",INDEX(SCAmount,$L148))),IF($M148&lt;&gt;"",IF(INDEX(LdgWitB,$M148)=0,"",INDEX(LdgWitB,$M148)),""))</f>
        <v/>
      </c>
      <c r="H148" s="27">
        <f>IF($L148&lt;&gt;"",IF(INDEX(SCOp,$L148)="مرجوعی فروش",IF(INDEX(SCAmount,$L148)=0,"",-INDEX(SCAmount,$L148)),""),IF($M148&lt;&gt;"",IF(INDEX(LdgDepB,$M148)=0,"",INDEX(LdgDepB,$M148)),""))</f>
        <v/>
      </c>
      <c r="I148" s="28">
        <f>IF($B148="","",IF($I147="",$C$10,$I147)+IF($G148="",0,$G148)-IF($H148="",0,$H148))</f>
        <v/>
      </c>
      <c r="L148">
        <f>IFERROR(MATCH($C$5&amp;"|"&amp;RIGHT("000000"&amp;132,6),LdgRankKeyA,0),"")</f>
        <v/>
      </c>
      <c r="M148">
        <f>IFERROR(MATCH($C$5&amp;"|"&amp;RIGHT("000000"&amp;132,6),LdgRankKeyB,0),"")</f>
        <v/>
      </c>
    </row>
    <row r="149">
      <c r="A149" s="17" t="n">
        <v>133</v>
      </c>
      <c r="B149" s="18">
        <f>IF(AND($L149="",$M149=""),"",IF($L149&lt;&gt;"",INDEX(SCNormDate,$L149),INDEX(LdgDateB,$M149)))</f>
        <v/>
      </c>
      <c r="C149" s="18">
        <f>IF($L149&lt;&gt;"",INDEX(SCOp,$L149),IF($M149&lt;&gt;"","پرداخت بانکی",""))</f>
        <v/>
      </c>
      <c r="D149" s="18">
        <f>IF($L149&lt;&gt;"",IF(INDEX(SCDoc,$L149)="","—",INDEX(SCDoc,$L149)),IF($M149&lt;&gt;"",INDEX(LdgBankB,$M149),""))</f>
        <v/>
      </c>
      <c r="E149" s="19">
        <f>IF($L149&lt;&gt;"",IF(INDEX(SCCitrus,$L149)&amp;INDEX(SCNotes,$L149)="","",IF(INDEX(SCCitrus,$L149)="","",INDEX(SCCitrus,$L149))&amp;IF(INDEX(SCNotes,$L149)="",""," — "&amp;INDEX(SCNotes,$L149))),IF($M149&lt;&gt;"",IF(INDEX(LdgNoteB,$M149)="","—",INDEX(LdgNoteB,$M149)),""))</f>
        <v/>
      </c>
      <c r="F149" s="20">
        <f>IF($L149&lt;&gt;"",IF(INDEX(SCNet,$L149)=0,"",INDEX(SCNet,$L149)),"")</f>
        <v/>
      </c>
      <c r="G149" s="21">
        <f>IF($L149&lt;&gt;"",IF(INDEX(SCOp,$L149)="مرجوعی فروش","",IF(INDEX(SCAmount,$L149)&lt;=0,"",INDEX(SCAmount,$L149))),IF($M149&lt;&gt;"",IF(INDEX(LdgWitB,$M149)=0,"",INDEX(LdgWitB,$M149)),""))</f>
        <v/>
      </c>
      <c r="H149" s="21">
        <f>IF($L149&lt;&gt;"",IF(INDEX(SCOp,$L149)="مرجوعی فروش",IF(INDEX(SCAmount,$L149)=0,"",-INDEX(SCAmount,$L149)),""),IF($M149&lt;&gt;"",IF(INDEX(LdgDepB,$M149)=0,"",INDEX(LdgDepB,$M149)),""))</f>
        <v/>
      </c>
      <c r="I149" s="22">
        <f>IF($B149="","",IF($I148="",$C$10,$I148)+IF($G149="",0,$G149)-IF($H149="",0,$H149))</f>
        <v/>
      </c>
      <c r="L149">
        <f>IFERROR(MATCH($C$5&amp;"|"&amp;RIGHT("000000"&amp;133,6),LdgRankKeyA,0),"")</f>
        <v/>
      </c>
      <c r="M149">
        <f>IFERROR(MATCH($C$5&amp;"|"&amp;RIGHT("000000"&amp;133,6),LdgRankKeyB,0),"")</f>
        <v/>
      </c>
    </row>
    <row r="150">
      <c r="A150" s="23" t="n">
        <v>134</v>
      </c>
      <c r="B150" s="24">
        <f>IF(AND($L150="",$M150=""),"",IF($L150&lt;&gt;"",INDEX(SCNormDate,$L150),INDEX(LdgDateB,$M150)))</f>
        <v/>
      </c>
      <c r="C150" s="24">
        <f>IF($L150&lt;&gt;"",INDEX(SCOp,$L150),IF($M150&lt;&gt;"","پرداخت بانکی",""))</f>
        <v/>
      </c>
      <c r="D150" s="24">
        <f>IF($L150&lt;&gt;"",IF(INDEX(SCDoc,$L150)="","—",INDEX(SCDoc,$L150)),IF($M150&lt;&gt;"",INDEX(LdgBankB,$M150),""))</f>
        <v/>
      </c>
      <c r="E150" s="25">
        <f>IF($L150&lt;&gt;"",IF(INDEX(SCCitrus,$L150)&amp;INDEX(SCNotes,$L150)="","",IF(INDEX(SCCitrus,$L150)="","",INDEX(SCCitrus,$L150))&amp;IF(INDEX(SCNotes,$L150)="",""," — "&amp;INDEX(SCNotes,$L150))),IF($M150&lt;&gt;"",IF(INDEX(LdgNoteB,$M150)="","—",INDEX(LdgNoteB,$M150)),""))</f>
        <v/>
      </c>
      <c r="F150" s="26">
        <f>IF($L150&lt;&gt;"",IF(INDEX(SCNet,$L150)=0,"",INDEX(SCNet,$L150)),"")</f>
        <v/>
      </c>
      <c r="G150" s="27">
        <f>IF($L150&lt;&gt;"",IF(INDEX(SCOp,$L150)="مرجوعی فروش","",IF(INDEX(SCAmount,$L150)&lt;=0,"",INDEX(SCAmount,$L150))),IF($M150&lt;&gt;"",IF(INDEX(LdgWitB,$M150)=0,"",INDEX(LdgWitB,$M150)),""))</f>
        <v/>
      </c>
      <c r="H150" s="27">
        <f>IF($L150&lt;&gt;"",IF(INDEX(SCOp,$L150)="مرجوعی فروش",IF(INDEX(SCAmount,$L150)=0,"",-INDEX(SCAmount,$L150)),""),IF($M150&lt;&gt;"",IF(INDEX(LdgDepB,$M150)=0,"",INDEX(LdgDepB,$M150)),""))</f>
        <v/>
      </c>
      <c r="I150" s="28">
        <f>IF($B150="","",IF($I149="",$C$10,$I149)+IF($G150="",0,$G150)-IF($H150="",0,$H150))</f>
        <v/>
      </c>
      <c r="L150">
        <f>IFERROR(MATCH($C$5&amp;"|"&amp;RIGHT("000000"&amp;134,6),LdgRankKeyA,0),"")</f>
        <v/>
      </c>
      <c r="M150">
        <f>IFERROR(MATCH($C$5&amp;"|"&amp;RIGHT("000000"&amp;134,6),LdgRankKeyB,0),"")</f>
        <v/>
      </c>
    </row>
    <row r="151">
      <c r="A151" s="17" t="n">
        <v>135</v>
      </c>
      <c r="B151" s="18">
        <f>IF(AND($L151="",$M151=""),"",IF($L151&lt;&gt;"",INDEX(SCNormDate,$L151),INDEX(LdgDateB,$M151)))</f>
        <v/>
      </c>
      <c r="C151" s="18">
        <f>IF($L151&lt;&gt;"",INDEX(SCOp,$L151),IF($M151&lt;&gt;"","پرداخت بانکی",""))</f>
        <v/>
      </c>
      <c r="D151" s="18">
        <f>IF($L151&lt;&gt;"",IF(INDEX(SCDoc,$L151)="","—",INDEX(SCDoc,$L151)),IF($M151&lt;&gt;"",INDEX(LdgBankB,$M151),""))</f>
        <v/>
      </c>
      <c r="E151" s="19">
        <f>IF($L151&lt;&gt;"",IF(INDEX(SCCitrus,$L151)&amp;INDEX(SCNotes,$L151)="","",IF(INDEX(SCCitrus,$L151)="","",INDEX(SCCitrus,$L151))&amp;IF(INDEX(SCNotes,$L151)="",""," — "&amp;INDEX(SCNotes,$L151))),IF($M151&lt;&gt;"",IF(INDEX(LdgNoteB,$M151)="","—",INDEX(LdgNoteB,$M151)),""))</f>
        <v/>
      </c>
      <c r="F151" s="20">
        <f>IF($L151&lt;&gt;"",IF(INDEX(SCNet,$L151)=0,"",INDEX(SCNet,$L151)),"")</f>
        <v/>
      </c>
      <c r="G151" s="21">
        <f>IF($L151&lt;&gt;"",IF(INDEX(SCOp,$L151)="مرجوعی فروش","",IF(INDEX(SCAmount,$L151)&lt;=0,"",INDEX(SCAmount,$L151))),IF($M151&lt;&gt;"",IF(INDEX(LdgWitB,$M151)=0,"",INDEX(LdgWitB,$M151)),""))</f>
        <v/>
      </c>
      <c r="H151" s="21">
        <f>IF($L151&lt;&gt;"",IF(INDEX(SCOp,$L151)="مرجوعی فروش",IF(INDEX(SCAmount,$L151)=0,"",-INDEX(SCAmount,$L151)),""),IF($M151&lt;&gt;"",IF(INDEX(LdgDepB,$M151)=0,"",INDEX(LdgDepB,$M151)),""))</f>
        <v/>
      </c>
      <c r="I151" s="22">
        <f>IF($B151="","",IF($I150="",$C$10,$I150)+IF($G151="",0,$G151)-IF($H151="",0,$H151))</f>
        <v/>
      </c>
      <c r="L151">
        <f>IFERROR(MATCH($C$5&amp;"|"&amp;RIGHT("000000"&amp;135,6),LdgRankKeyA,0),"")</f>
        <v/>
      </c>
      <c r="M151">
        <f>IFERROR(MATCH($C$5&amp;"|"&amp;RIGHT("000000"&amp;135,6),LdgRankKeyB,0),"")</f>
        <v/>
      </c>
    </row>
    <row r="152">
      <c r="A152" s="23" t="n">
        <v>136</v>
      </c>
      <c r="B152" s="24">
        <f>IF(AND($L152="",$M152=""),"",IF($L152&lt;&gt;"",INDEX(SCNormDate,$L152),INDEX(LdgDateB,$M152)))</f>
        <v/>
      </c>
      <c r="C152" s="24">
        <f>IF($L152&lt;&gt;"",INDEX(SCOp,$L152),IF($M152&lt;&gt;"","پرداخت بانکی",""))</f>
        <v/>
      </c>
      <c r="D152" s="24">
        <f>IF($L152&lt;&gt;"",IF(INDEX(SCDoc,$L152)="","—",INDEX(SCDoc,$L152)),IF($M152&lt;&gt;"",INDEX(LdgBankB,$M152),""))</f>
        <v/>
      </c>
      <c r="E152" s="25">
        <f>IF($L152&lt;&gt;"",IF(INDEX(SCCitrus,$L152)&amp;INDEX(SCNotes,$L152)="","",IF(INDEX(SCCitrus,$L152)="","",INDEX(SCCitrus,$L152))&amp;IF(INDEX(SCNotes,$L152)="",""," — "&amp;INDEX(SCNotes,$L152))),IF($M152&lt;&gt;"",IF(INDEX(LdgNoteB,$M152)="","—",INDEX(LdgNoteB,$M152)),""))</f>
        <v/>
      </c>
      <c r="F152" s="26">
        <f>IF($L152&lt;&gt;"",IF(INDEX(SCNet,$L152)=0,"",INDEX(SCNet,$L152)),"")</f>
        <v/>
      </c>
      <c r="G152" s="27">
        <f>IF($L152&lt;&gt;"",IF(INDEX(SCOp,$L152)="مرجوعی فروش","",IF(INDEX(SCAmount,$L152)&lt;=0,"",INDEX(SCAmount,$L152))),IF($M152&lt;&gt;"",IF(INDEX(LdgWitB,$M152)=0,"",INDEX(LdgWitB,$M152)),""))</f>
        <v/>
      </c>
      <c r="H152" s="27">
        <f>IF($L152&lt;&gt;"",IF(INDEX(SCOp,$L152)="مرجوعی فروش",IF(INDEX(SCAmount,$L152)=0,"",-INDEX(SCAmount,$L152)),""),IF($M152&lt;&gt;"",IF(INDEX(LdgDepB,$M152)=0,"",INDEX(LdgDepB,$M152)),""))</f>
        <v/>
      </c>
      <c r="I152" s="28">
        <f>IF($B152="","",IF($I151="",$C$10,$I151)+IF($G152="",0,$G152)-IF($H152="",0,$H152))</f>
        <v/>
      </c>
      <c r="L152">
        <f>IFERROR(MATCH($C$5&amp;"|"&amp;RIGHT("000000"&amp;136,6),LdgRankKeyA,0),"")</f>
        <v/>
      </c>
      <c r="M152">
        <f>IFERROR(MATCH($C$5&amp;"|"&amp;RIGHT("000000"&amp;136,6),LdgRankKeyB,0),"")</f>
        <v/>
      </c>
    </row>
    <row r="153">
      <c r="A153" s="17" t="n">
        <v>137</v>
      </c>
      <c r="B153" s="18">
        <f>IF(AND($L153="",$M153=""),"",IF($L153&lt;&gt;"",INDEX(SCNormDate,$L153),INDEX(LdgDateB,$M153)))</f>
        <v/>
      </c>
      <c r="C153" s="18">
        <f>IF($L153&lt;&gt;"",INDEX(SCOp,$L153),IF($M153&lt;&gt;"","پرداخت بانکی",""))</f>
        <v/>
      </c>
      <c r="D153" s="18">
        <f>IF($L153&lt;&gt;"",IF(INDEX(SCDoc,$L153)="","—",INDEX(SCDoc,$L153)),IF($M153&lt;&gt;"",INDEX(LdgBankB,$M153),""))</f>
        <v/>
      </c>
      <c r="E153" s="19">
        <f>IF($L153&lt;&gt;"",IF(INDEX(SCCitrus,$L153)&amp;INDEX(SCNotes,$L153)="","",IF(INDEX(SCCitrus,$L153)="","",INDEX(SCCitrus,$L153))&amp;IF(INDEX(SCNotes,$L153)="",""," — "&amp;INDEX(SCNotes,$L153))),IF($M153&lt;&gt;"",IF(INDEX(LdgNoteB,$M153)="","—",INDEX(LdgNoteB,$M153)),""))</f>
        <v/>
      </c>
      <c r="F153" s="20">
        <f>IF($L153&lt;&gt;"",IF(INDEX(SCNet,$L153)=0,"",INDEX(SCNet,$L153)),"")</f>
        <v/>
      </c>
      <c r="G153" s="21">
        <f>IF($L153&lt;&gt;"",IF(INDEX(SCOp,$L153)="مرجوعی فروش","",IF(INDEX(SCAmount,$L153)&lt;=0,"",INDEX(SCAmount,$L153))),IF($M153&lt;&gt;"",IF(INDEX(LdgWitB,$M153)=0,"",INDEX(LdgWitB,$M153)),""))</f>
        <v/>
      </c>
      <c r="H153" s="21">
        <f>IF($L153&lt;&gt;"",IF(INDEX(SCOp,$L153)="مرجوعی فروش",IF(INDEX(SCAmount,$L153)=0,"",-INDEX(SCAmount,$L153)),""),IF($M153&lt;&gt;"",IF(INDEX(LdgDepB,$M153)=0,"",INDEX(LdgDepB,$M153)),""))</f>
        <v/>
      </c>
      <c r="I153" s="22">
        <f>IF($B153="","",IF($I152="",$C$10,$I152)+IF($G153="",0,$G153)-IF($H153="",0,$H153))</f>
        <v/>
      </c>
      <c r="L153">
        <f>IFERROR(MATCH($C$5&amp;"|"&amp;RIGHT("000000"&amp;137,6),LdgRankKeyA,0),"")</f>
        <v/>
      </c>
      <c r="M153">
        <f>IFERROR(MATCH($C$5&amp;"|"&amp;RIGHT("000000"&amp;137,6),LdgRankKeyB,0),"")</f>
        <v/>
      </c>
    </row>
    <row r="154">
      <c r="A154" s="23" t="n">
        <v>138</v>
      </c>
      <c r="B154" s="24">
        <f>IF(AND($L154="",$M154=""),"",IF($L154&lt;&gt;"",INDEX(SCNormDate,$L154),INDEX(LdgDateB,$M154)))</f>
        <v/>
      </c>
      <c r="C154" s="24">
        <f>IF($L154&lt;&gt;"",INDEX(SCOp,$L154),IF($M154&lt;&gt;"","پرداخت بانکی",""))</f>
        <v/>
      </c>
      <c r="D154" s="24">
        <f>IF($L154&lt;&gt;"",IF(INDEX(SCDoc,$L154)="","—",INDEX(SCDoc,$L154)),IF($M154&lt;&gt;"",INDEX(LdgBankB,$M154),""))</f>
        <v/>
      </c>
      <c r="E154" s="25">
        <f>IF($L154&lt;&gt;"",IF(INDEX(SCCitrus,$L154)&amp;INDEX(SCNotes,$L154)="","",IF(INDEX(SCCitrus,$L154)="","",INDEX(SCCitrus,$L154))&amp;IF(INDEX(SCNotes,$L154)="",""," — "&amp;INDEX(SCNotes,$L154))),IF($M154&lt;&gt;"",IF(INDEX(LdgNoteB,$M154)="","—",INDEX(LdgNoteB,$M154)),""))</f>
        <v/>
      </c>
      <c r="F154" s="26">
        <f>IF($L154&lt;&gt;"",IF(INDEX(SCNet,$L154)=0,"",INDEX(SCNet,$L154)),"")</f>
        <v/>
      </c>
      <c r="G154" s="27">
        <f>IF($L154&lt;&gt;"",IF(INDEX(SCOp,$L154)="مرجوعی فروش","",IF(INDEX(SCAmount,$L154)&lt;=0,"",INDEX(SCAmount,$L154))),IF($M154&lt;&gt;"",IF(INDEX(LdgWitB,$M154)=0,"",INDEX(LdgWitB,$M154)),""))</f>
        <v/>
      </c>
      <c r="H154" s="27">
        <f>IF($L154&lt;&gt;"",IF(INDEX(SCOp,$L154)="مرجوعی فروش",IF(INDEX(SCAmount,$L154)=0,"",-INDEX(SCAmount,$L154)),""),IF($M154&lt;&gt;"",IF(INDEX(LdgDepB,$M154)=0,"",INDEX(LdgDepB,$M154)),""))</f>
        <v/>
      </c>
      <c r="I154" s="28">
        <f>IF($B154="","",IF($I153="",$C$10,$I153)+IF($G154="",0,$G154)-IF($H154="",0,$H154))</f>
        <v/>
      </c>
      <c r="L154">
        <f>IFERROR(MATCH($C$5&amp;"|"&amp;RIGHT("000000"&amp;138,6),LdgRankKeyA,0),"")</f>
        <v/>
      </c>
      <c r="M154">
        <f>IFERROR(MATCH($C$5&amp;"|"&amp;RIGHT("000000"&amp;138,6),LdgRankKeyB,0),"")</f>
        <v/>
      </c>
    </row>
    <row r="155">
      <c r="A155" s="17" t="n">
        <v>139</v>
      </c>
      <c r="B155" s="18">
        <f>IF(AND($L155="",$M155=""),"",IF($L155&lt;&gt;"",INDEX(SCNormDate,$L155),INDEX(LdgDateB,$M155)))</f>
        <v/>
      </c>
      <c r="C155" s="18">
        <f>IF($L155&lt;&gt;"",INDEX(SCOp,$L155),IF($M155&lt;&gt;"","پرداخت بانکی",""))</f>
        <v/>
      </c>
      <c r="D155" s="18">
        <f>IF($L155&lt;&gt;"",IF(INDEX(SCDoc,$L155)="","—",INDEX(SCDoc,$L155)),IF($M155&lt;&gt;"",INDEX(LdgBankB,$M155),""))</f>
        <v/>
      </c>
      <c r="E155" s="19">
        <f>IF($L155&lt;&gt;"",IF(INDEX(SCCitrus,$L155)&amp;INDEX(SCNotes,$L155)="","",IF(INDEX(SCCitrus,$L155)="","",INDEX(SCCitrus,$L155))&amp;IF(INDEX(SCNotes,$L155)="",""," — "&amp;INDEX(SCNotes,$L155))),IF($M155&lt;&gt;"",IF(INDEX(LdgNoteB,$M155)="","—",INDEX(LdgNoteB,$M155)),""))</f>
        <v/>
      </c>
      <c r="F155" s="20">
        <f>IF($L155&lt;&gt;"",IF(INDEX(SCNet,$L155)=0,"",INDEX(SCNet,$L155)),"")</f>
        <v/>
      </c>
      <c r="G155" s="21">
        <f>IF($L155&lt;&gt;"",IF(INDEX(SCOp,$L155)="مرجوعی فروش","",IF(INDEX(SCAmount,$L155)&lt;=0,"",INDEX(SCAmount,$L155))),IF($M155&lt;&gt;"",IF(INDEX(LdgWitB,$M155)=0,"",INDEX(LdgWitB,$M155)),""))</f>
        <v/>
      </c>
      <c r="H155" s="21">
        <f>IF($L155&lt;&gt;"",IF(INDEX(SCOp,$L155)="مرجوعی فروش",IF(INDEX(SCAmount,$L155)=0,"",-INDEX(SCAmount,$L155)),""),IF($M155&lt;&gt;"",IF(INDEX(LdgDepB,$M155)=0,"",INDEX(LdgDepB,$M155)),""))</f>
        <v/>
      </c>
      <c r="I155" s="22">
        <f>IF($B155="","",IF($I154="",$C$10,$I154)+IF($G155="",0,$G155)-IF($H155="",0,$H155))</f>
        <v/>
      </c>
      <c r="L155">
        <f>IFERROR(MATCH($C$5&amp;"|"&amp;RIGHT("000000"&amp;139,6),LdgRankKeyA,0),"")</f>
        <v/>
      </c>
      <c r="M155">
        <f>IFERROR(MATCH($C$5&amp;"|"&amp;RIGHT("000000"&amp;139,6),LdgRankKeyB,0),"")</f>
        <v/>
      </c>
    </row>
    <row r="156">
      <c r="A156" s="23" t="n">
        <v>140</v>
      </c>
      <c r="B156" s="24">
        <f>IF(AND($L156="",$M156=""),"",IF($L156&lt;&gt;"",INDEX(SCNormDate,$L156),INDEX(LdgDateB,$M156)))</f>
        <v/>
      </c>
      <c r="C156" s="24">
        <f>IF($L156&lt;&gt;"",INDEX(SCOp,$L156),IF($M156&lt;&gt;"","پرداخت بانکی",""))</f>
        <v/>
      </c>
      <c r="D156" s="24">
        <f>IF($L156&lt;&gt;"",IF(INDEX(SCDoc,$L156)="","—",INDEX(SCDoc,$L156)),IF($M156&lt;&gt;"",INDEX(LdgBankB,$M156),""))</f>
        <v/>
      </c>
      <c r="E156" s="25">
        <f>IF($L156&lt;&gt;"",IF(INDEX(SCCitrus,$L156)&amp;INDEX(SCNotes,$L156)="","",IF(INDEX(SCCitrus,$L156)="","",INDEX(SCCitrus,$L156))&amp;IF(INDEX(SCNotes,$L156)="",""," — "&amp;INDEX(SCNotes,$L156))),IF($M156&lt;&gt;"",IF(INDEX(LdgNoteB,$M156)="","—",INDEX(LdgNoteB,$M156)),""))</f>
        <v/>
      </c>
      <c r="F156" s="26">
        <f>IF($L156&lt;&gt;"",IF(INDEX(SCNet,$L156)=0,"",INDEX(SCNet,$L156)),"")</f>
        <v/>
      </c>
      <c r="G156" s="27">
        <f>IF($L156&lt;&gt;"",IF(INDEX(SCOp,$L156)="مرجوعی فروش","",IF(INDEX(SCAmount,$L156)&lt;=0,"",INDEX(SCAmount,$L156))),IF($M156&lt;&gt;"",IF(INDEX(LdgWitB,$M156)=0,"",INDEX(LdgWitB,$M156)),""))</f>
        <v/>
      </c>
      <c r="H156" s="27">
        <f>IF($L156&lt;&gt;"",IF(INDEX(SCOp,$L156)="مرجوعی فروش",IF(INDEX(SCAmount,$L156)=0,"",-INDEX(SCAmount,$L156)),""),IF($M156&lt;&gt;"",IF(INDEX(LdgDepB,$M156)=0,"",INDEX(LdgDepB,$M156)),""))</f>
        <v/>
      </c>
      <c r="I156" s="28">
        <f>IF($B156="","",IF($I155="",$C$10,$I155)+IF($G156="",0,$G156)-IF($H156="",0,$H156))</f>
        <v/>
      </c>
      <c r="L156">
        <f>IFERROR(MATCH($C$5&amp;"|"&amp;RIGHT("000000"&amp;140,6),LdgRankKeyA,0),"")</f>
        <v/>
      </c>
      <c r="M156">
        <f>IFERROR(MATCH($C$5&amp;"|"&amp;RIGHT("000000"&amp;140,6),LdgRankKeyB,0),"")</f>
        <v/>
      </c>
    </row>
    <row r="157">
      <c r="A157" s="17" t="n">
        <v>141</v>
      </c>
      <c r="B157" s="18">
        <f>IF(AND($L157="",$M157=""),"",IF($L157&lt;&gt;"",INDEX(SCNormDate,$L157),INDEX(LdgDateB,$M157)))</f>
        <v/>
      </c>
      <c r="C157" s="18">
        <f>IF($L157&lt;&gt;"",INDEX(SCOp,$L157),IF($M157&lt;&gt;"","پرداخت بانکی",""))</f>
        <v/>
      </c>
      <c r="D157" s="18">
        <f>IF($L157&lt;&gt;"",IF(INDEX(SCDoc,$L157)="","—",INDEX(SCDoc,$L157)),IF($M157&lt;&gt;"",INDEX(LdgBankB,$M157),""))</f>
        <v/>
      </c>
      <c r="E157" s="19">
        <f>IF($L157&lt;&gt;"",IF(INDEX(SCCitrus,$L157)&amp;INDEX(SCNotes,$L157)="","",IF(INDEX(SCCitrus,$L157)="","",INDEX(SCCitrus,$L157))&amp;IF(INDEX(SCNotes,$L157)="",""," — "&amp;INDEX(SCNotes,$L157))),IF($M157&lt;&gt;"",IF(INDEX(LdgNoteB,$M157)="","—",INDEX(LdgNoteB,$M157)),""))</f>
        <v/>
      </c>
      <c r="F157" s="20">
        <f>IF($L157&lt;&gt;"",IF(INDEX(SCNet,$L157)=0,"",INDEX(SCNet,$L157)),"")</f>
        <v/>
      </c>
      <c r="G157" s="21">
        <f>IF($L157&lt;&gt;"",IF(INDEX(SCOp,$L157)="مرجوعی فروش","",IF(INDEX(SCAmount,$L157)&lt;=0,"",INDEX(SCAmount,$L157))),IF($M157&lt;&gt;"",IF(INDEX(LdgWitB,$M157)=0,"",INDEX(LdgWitB,$M157)),""))</f>
        <v/>
      </c>
      <c r="H157" s="21">
        <f>IF($L157&lt;&gt;"",IF(INDEX(SCOp,$L157)="مرجوعی فروش",IF(INDEX(SCAmount,$L157)=0,"",-INDEX(SCAmount,$L157)),""),IF($M157&lt;&gt;"",IF(INDEX(LdgDepB,$M157)=0,"",INDEX(LdgDepB,$M157)),""))</f>
        <v/>
      </c>
      <c r="I157" s="22">
        <f>IF($B157="","",IF($I156="",$C$10,$I156)+IF($G157="",0,$G157)-IF($H157="",0,$H157))</f>
        <v/>
      </c>
      <c r="L157">
        <f>IFERROR(MATCH($C$5&amp;"|"&amp;RIGHT("000000"&amp;141,6),LdgRankKeyA,0),"")</f>
        <v/>
      </c>
      <c r="M157">
        <f>IFERROR(MATCH($C$5&amp;"|"&amp;RIGHT("000000"&amp;141,6),LdgRankKeyB,0),"")</f>
        <v/>
      </c>
    </row>
    <row r="158">
      <c r="A158" s="23" t="n">
        <v>142</v>
      </c>
      <c r="B158" s="24">
        <f>IF(AND($L158="",$M158=""),"",IF($L158&lt;&gt;"",INDEX(SCNormDate,$L158),INDEX(LdgDateB,$M158)))</f>
        <v/>
      </c>
      <c r="C158" s="24">
        <f>IF($L158&lt;&gt;"",INDEX(SCOp,$L158),IF($M158&lt;&gt;"","پرداخت بانکی",""))</f>
        <v/>
      </c>
      <c r="D158" s="24">
        <f>IF($L158&lt;&gt;"",IF(INDEX(SCDoc,$L158)="","—",INDEX(SCDoc,$L158)),IF($M158&lt;&gt;"",INDEX(LdgBankB,$M158),""))</f>
        <v/>
      </c>
      <c r="E158" s="25">
        <f>IF($L158&lt;&gt;"",IF(INDEX(SCCitrus,$L158)&amp;INDEX(SCNotes,$L158)="","",IF(INDEX(SCCitrus,$L158)="","",INDEX(SCCitrus,$L158))&amp;IF(INDEX(SCNotes,$L158)="",""," — "&amp;INDEX(SCNotes,$L158))),IF($M158&lt;&gt;"",IF(INDEX(LdgNoteB,$M158)="","—",INDEX(LdgNoteB,$M158)),""))</f>
        <v/>
      </c>
      <c r="F158" s="26">
        <f>IF($L158&lt;&gt;"",IF(INDEX(SCNet,$L158)=0,"",INDEX(SCNet,$L158)),"")</f>
        <v/>
      </c>
      <c r="G158" s="27">
        <f>IF($L158&lt;&gt;"",IF(INDEX(SCOp,$L158)="مرجوعی فروش","",IF(INDEX(SCAmount,$L158)&lt;=0,"",INDEX(SCAmount,$L158))),IF($M158&lt;&gt;"",IF(INDEX(LdgWitB,$M158)=0,"",INDEX(LdgWitB,$M158)),""))</f>
        <v/>
      </c>
      <c r="H158" s="27">
        <f>IF($L158&lt;&gt;"",IF(INDEX(SCOp,$L158)="مرجوعی فروش",IF(INDEX(SCAmount,$L158)=0,"",-INDEX(SCAmount,$L158)),""),IF($M158&lt;&gt;"",IF(INDEX(LdgDepB,$M158)=0,"",INDEX(LdgDepB,$M158)),""))</f>
        <v/>
      </c>
      <c r="I158" s="28">
        <f>IF($B158="","",IF($I157="",$C$10,$I157)+IF($G158="",0,$G158)-IF($H158="",0,$H158))</f>
        <v/>
      </c>
      <c r="L158">
        <f>IFERROR(MATCH($C$5&amp;"|"&amp;RIGHT("000000"&amp;142,6),LdgRankKeyA,0),"")</f>
        <v/>
      </c>
      <c r="M158">
        <f>IFERROR(MATCH($C$5&amp;"|"&amp;RIGHT("000000"&amp;142,6),LdgRankKeyB,0),"")</f>
        <v/>
      </c>
    </row>
    <row r="159">
      <c r="A159" s="17" t="n">
        <v>143</v>
      </c>
      <c r="B159" s="18">
        <f>IF(AND($L159="",$M159=""),"",IF($L159&lt;&gt;"",INDEX(SCNormDate,$L159),INDEX(LdgDateB,$M159)))</f>
        <v/>
      </c>
      <c r="C159" s="18">
        <f>IF($L159&lt;&gt;"",INDEX(SCOp,$L159),IF($M159&lt;&gt;"","پرداخت بانکی",""))</f>
        <v/>
      </c>
      <c r="D159" s="18">
        <f>IF($L159&lt;&gt;"",IF(INDEX(SCDoc,$L159)="","—",INDEX(SCDoc,$L159)),IF($M159&lt;&gt;"",INDEX(LdgBankB,$M159),""))</f>
        <v/>
      </c>
      <c r="E159" s="19">
        <f>IF($L159&lt;&gt;"",IF(INDEX(SCCitrus,$L159)&amp;INDEX(SCNotes,$L159)="","",IF(INDEX(SCCitrus,$L159)="","",INDEX(SCCitrus,$L159))&amp;IF(INDEX(SCNotes,$L159)="",""," — "&amp;INDEX(SCNotes,$L159))),IF($M159&lt;&gt;"",IF(INDEX(LdgNoteB,$M159)="","—",INDEX(LdgNoteB,$M159)),""))</f>
        <v/>
      </c>
      <c r="F159" s="20">
        <f>IF($L159&lt;&gt;"",IF(INDEX(SCNet,$L159)=0,"",INDEX(SCNet,$L159)),"")</f>
        <v/>
      </c>
      <c r="G159" s="21">
        <f>IF($L159&lt;&gt;"",IF(INDEX(SCOp,$L159)="مرجوعی فروش","",IF(INDEX(SCAmount,$L159)&lt;=0,"",INDEX(SCAmount,$L159))),IF($M159&lt;&gt;"",IF(INDEX(LdgWitB,$M159)=0,"",INDEX(LdgWitB,$M159)),""))</f>
        <v/>
      </c>
      <c r="H159" s="21">
        <f>IF($L159&lt;&gt;"",IF(INDEX(SCOp,$L159)="مرجوعی فروش",IF(INDEX(SCAmount,$L159)=0,"",-INDEX(SCAmount,$L159)),""),IF($M159&lt;&gt;"",IF(INDEX(LdgDepB,$M159)=0,"",INDEX(LdgDepB,$M159)),""))</f>
        <v/>
      </c>
      <c r="I159" s="22">
        <f>IF($B159="","",IF($I158="",$C$10,$I158)+IF($G159="",0,$G159)-IF($H159="",0,$H159))</f>
        <v/>
      </c>
      <c r="L159">
        <f>IFERROR(MATCH($C$5&amp;"|"&amp;RIGHT("000000"&amp;143,6),LdgRankKeyA,0),"")</f>
        <v/>
      </c>
      <c r="M159">
        <f>IFERROR(MATCH($C$5&amp;"|"&amp;RIGHT("000000"&amp;143,6),LdgRankKeyB,0),"")</f>
        <v/>
      </c>
    </row>
    <row r="160">
      <c r="A160" s="23" t="n">
        <v>144</v>
      </c>
      <c r="B160" s="24">
        <f>IF(AND($L160="",$M160=""),"",IF($L160&lt;&gt;"",INDEX(SCNormDate,$L160),INDEX(LdgDateB,$M160)))</f>
        <v/>
      </c>
      <c r="C160" s="24">
        <f>IF($L160&lt;&gt;"",INDEX(SCOp,$L160),IF($M160&lt;&gt;"","پرداخت بانکی",""))</f>
        <v/>
      </c>
      <c r="D160" s="24">
        <f>IF($L160&lt;&gt;"",IF(INDEX(SCDoc,$L160)="","—",INDEX(SCDoc,$L160)),IF($M160&lt;&gt;"",INDEX(LdgBankB,$M160),""))</f>
        <v/>
      </c>
      <c r="E160" s="25">
        <f>IF($L160&lt;&gt;"",IF(INDEX(SCCitrus,$L160)&amp;INDEX(SCNotes,$L160)="","",IF(INDEX(SCCitrus,$L160)="","",INDEX(SCCitrus,$L160))&amp;IF(INDEX(SCNotes,$L160)="",""," — "&amp;INDEX(SCNotes,$L160))),IF($M160&lt;&gt;"",IF(INDEX(LdgNoteB,$M160)="","—",INDEX(LdgNoteB,$M160)),""))</f>
        <v/>
      </c>
      <c r="F160" s="26">
        <f>IF($L160&lt;&gt;"",IF(INDEX(SCNet,$L160)=0,"",INDEX(SCNet,$L160)),"")</f>
        <v/>
      </c>
      <c r="G160" s="27">
        <f>IF($L160&lt;&gt;"",IF(INDEX(SCOp,$L160)="مرجوعی فروش","",IF(INDEX(SCAmount,$L160)&lt;=0,"",INDEX(SCAmount,$L160))),IF($M160&lt;&gt;"",IF(INDEX(LdgWitB,$M160)=0,"",INDEX(LdgWitB,$M160)),""))</f>
        <v/>
      </c>
      <c r="H160" s="27">
        <f>IF($L160&lt;&gt;"",IF(INDEX(SCOp,$L160)="مرجوعی فروش",IF(INDEX(SCAmount,$L160)=0,"",-INDEX(SCAmount,$L160)),""),IF($M160&lt;&gt;"",IF(INDEX(LdgDepB,$M160)=0,"",INDEX(LdgDepB,$M160)),""))</f>
        <v/>
      </c>
      <c r="I160" s="28">
        <f>IF($B160="","",IF($I159="",$C$10,$I159)+IF($G160="",0,$G160)-IF($H160="",0,$H160))</f>
        <v/>
      </c>
      <c r="L160">
        <f>IFERROR(MATCH($C$5&amp;"|"&amp;RIGHT("000000"&amp;144,6),LdgRankKeyA,0),"")</f>
        <v/>
      </c>
      <c r="M160">
        <f>IFERROR(MATCH($C$5&amp;"|"&amp;RIGHT("000000"&amp;144,6),LdgRankKeyB,0),"")</f>
        <v/>
      </c>
    </row>
    <row r="161">
      <c r="A161" s="17" t="n">
        <v>145</v>
      </c>
      <c r="B161" s="18">
        <f>IF(AND($L161="",$M161=""),"",IF($L161&lt;&gt;"",INDEX(SCNormDate,$L161),INDEX(LdgDateB,$M161)))</f>
        <v/>
      </c>
      <c r="C161" s="18">
        <f>IF($L161&lt;&gt;"",INDEX(SCOp,$L161),IF($M161&lt;&gt;"","پرداخت بانکی",""))</f>
        <v/>
      </c>
      <c r="D161" s="18">
        <f>IF($L161&lt;&gt;"",IF(INDEX(SCDoc,$L161)="","—",INDEX(SCDoc,$L161)),IF($M161&lt;&gt;"",INDEX(LdgBankB,$M161),""))</f>
        <v/>
      </c>
      <c r="E161" s="19">
        <f>IF($L161&lt;&gt;"",IF(INDEX(SCCitrus,$L161)&amp;INDEX(SCNotes,$L161)="","",IF(INDEX(SCCitrus,$L161)="","",INDEX(SCCitrus,$L161))&amp;IF(INDEX(SCNotes,$L161)="",""," — "&amp;INDEX(SCNotes,$L161))),IF($M161&lt;&gt;"",IF(INDEX(LdgNoteB,$M161)="","—",INDEX(LdgNoteB,$M161)),""))</f>
        <v/>
      </c>
      <c r="F161" s="20">
        <f>IF($L161&lt;&gt;"",IF(INDEX(SCNet,$L161)=0,"",INDEX(SCNet,$L161)),"")</f>
        <v/>
      </c>
      <c r="G161" s="21">
        <f>IF($L161&lt;&gt;"",IF(INDEX(SCOp,$L161)="مرجوعی فروش","",IF(INDEX(SCAmount,$L161)&lt;=0,"",INDEX(SCAmount,$L161))),IF($M161&lt;&gt;"",IF(INDEX(LdgWitB,$M161)=0,"",INDEX(LdgWitB,$M161)),""))</f>
        <v/>
      </c>
      <c r="H161" s="21">
        <f>IF($L161&lt;&gt;"",IF(INDEX(SCOp,$L161)="مرجوعی فروش",IF(INDEX(SCAmount,$L161)=0,"",-INDEX(SCAmount,$L161)),""),IF($M161&lt;&gt;"",IF(INDEX(LdgDepB,$M161)=0,"",INDEX(LdgDepB,$M161)),""))</f>
        <v/>
      </c>
      <c r="I161" s="22">
        <f>IF($B161="","",IF($I160="",$C$10,$I160)+IF($G161="",0,$G161)-IF($H161="",0,$H161))</f>
        <v/>
      </c>
      <c r="L161">
        <f>IFERROR(MATCH($C$5&amp;"|"&amp;RIGHT("000000"&amp;145,6),LdgRankKeyA,0),"")</f>
        <v/>
      </c>
      <c r="M161">
        <f>IFERROR(MATCH($C$5&amp;"|"&amp;RIGHT("000000"&amp;145,6),LdgRankKeyB,0),"")</f>
        <v/>
      </c>
    </row>
    <row r="162">
      <c r="A162" s="23" t="n">
        <v>146</v>
      </c>
      <c r="B162" s="24">
        <f>IF(AND($L162="",$M162=""),"",IF($L162&lt;&gt;"",INDEX(SCNormDate,$L162),INDEX(LdgDateB,$M162)))</f>
        <v/>
      </c>
      <c r="C162" s="24">
        <f>IF($L162&lt;&gt;"",INDEX(SCOp,$L162),IF($M162&lt;&gt;"","پرداخت بانکی",""))</f>
        <v/>
      </c>
      <c r="D162" s="24">
        <f>IF($L162&lt;&gt;"",IF(INDEX(SCDoc,$L162)="","—",INDEX(SCDoc,$L162)),IF($M162&lt;&gt;"",INDEX(LdgBankB,$M162),""))</f>
        <v/>
      </c>
      <c r="E162" s="25">
        <f>IF($L162&lt;&gt;"",IF(INDEX(SCCitrus,$L162)&amp;INDEX(SCNotes,$L162)="","",IF(INDEX(SCCitrus,$L162)="","",INDEX(SCCitrus,$L162))&amp;IF(INDEX(SCNotes,$L162)="",""," — "&amp;INDEX(SCNotes,$L162))),IF($M162&lt;&gt;"",IF(INDEX(LdgNoteB,$M162)="","—",INDEX(LdgNoteB,$M162)),""))</f>
        <v/>
      </c>
      <c r="F162" s="26">
        <f>IF($L162&lt;&gt;"",IF(INDEX(SCNet,$L162)=0,"",INDEX(SCNet,$L162)),"")</f>
        <v/>
      </c>
      <c r="G162" s="27">
        <f>IF($L162&lt;&gt;"",IF(INDEX(SCOp,$L162)="مرجوعی فروش","",IF(INDEX(SCAmount,$L162)&lt;=0,"",INDEX(SCAmount,$L162))),IF($M162&lt;&gt;"",IF(INDEX(LdgWitB,$M162)=0,"",INDEX(LdgWitB,$M162)),""))</f>
        <v/>
      </c>
      <c r="H162" s="27">
        <f>IF($L162&lt;&gt;"",IF(INDEX(SCOp,$L162)="مرجوعی فروش",IF(INDEX(SCAmount,$L162)=0,"",-INDEX(SCAmount,$L162)),""),IF($M162&lt;&gt;"",IF(INDEX(LdgDepB,$M162)=0,"",INDEX(LdgDepB,$M162)),""))</f>
        <v/>
      </c>
      <c r="I162" s="28">
        <f>IF($B162="","",IF($I161="",$C$10,$I161)+IF($G162="",0,$G162)-IF($H162="",0,$H162))</f>
        <v/>
      </c>
      <c r="L162">
        <f>IFERROR(MATCH($C$5&amp;"|"&amp;RIGHT("000000"&amp;146,6),LdgRankKeyA,0),"")</f>
        <v/>
      </c>
      <c r="M162">
        <f>IFERROR(MATCH($C$5&amp;"|"&amp;RIGHT("000000"&amp;146,6),LdgRankKeyB,0),"")</f>
        <v/>
      </c>
    </row>
    <row r="163">
      <c r="A163" s="17" t="n">
        <v>147</v>
      </c>
      <c r="B163" s="18">
        <f>IF(AND($L163="",$M163=""),"",IF($L163&lt;&gt;"",INDEX(SCNormDate,$L163),INDEX(LdgDateB,$M163)))</f>
        <v/>
      </c>
      <c r="C163" s="18">
        <f>IF($L163&lt;&gt;"",INDEX(SCOp,$L163),IF($M163&lt;&gt;"","پرداخت بانکی",""))</f>
        <v/>
      </c>
      <c r="D163" s="18">
        <f>IF($L163&lt;&gt;"",IF(INDEX(SCDoc,$L163)="","—",INDEX(SCDoc,$L163)),IF($M163&lt;&gt;"",INDEX(LdgBankB,$M163),""))</f>
        <v/>
      </c>
      <c r="E163" s="19">
        <f>IF($L163&lt;&gt;"",IF(INDEX(SCCitrus,$L163)&amp;INDEX(SCNotes,$L163)="","",IF(INDEX(SCCitrus,$L163)="","",INDEX(SCCitrus,$L163))&amp;IF(INDEX(SCNotes,$L163)="",""," — "&amp;INDEX(SCNotes,$L163))),IF($M163&lt;&gt;"",IF(INDEX(LdgNoteB,$M163)="","—",INDEX(LdgNoteB,$M163)),""))</f>
        <v/>
      </c>
      <c r="F163" s="20">
        <f>IF($L163&lt;&gt;"",IF(INDEX(SCNet,$L163)=0,"",INDEX(SCNet,$L163)),"")</f>
        <v/>
      </c>
      <c r="G163" s="21">
        <f>IF($L163&lt;&gt;"",IF(INDEX(SCOp,$L163)="مرجوعی فروش","",IF(INDEX(SCAmount,$L163)&lt;=0,"",INDEX(SCAmount,$L163))),IF($M163&lt;&gt;"",IF(INDEX(LdgWitB,$M163)=0,"",INDEX(LdgWitB,$M163)),""))</f>
        <v/>
      </c>
      <c r="H163" s="21">
        <f>IF($L163&lt;&gt;"",IF(INDEX(SCOp,$L163)="مرجوعی فروش",IF(INDEX(SCAmount,$L163)=0,"",-INDEX(SCAmount,$L163)),""),IF($M163&lt;&gt;"",IF(INDEX(LdgDepB,$M163)=0,"",INDEX(LdgDepB,$M163)),""))</f>
        <v/>
      </c>
      <c r="I163" s="22">
        <f>IF($B163="","",IF($I162="",$C$10,$I162)+IF($G163="",0,$G163)-IF($H163="",0,$H163))</f>
        <v/>
      </c>
      <c r="L163">
        <f>IFERROR(MATCH($C$5&amp;"|"&amp;RIGHT("000000"&amp;147,6),LdgRankKeyA,0),"")</f>
        <v/>
      </c>
      <c r="M163">
        <f>IFERROR(MATCH($C$5&amp;"|"&amp;RIGHT("000000"&amp;147,6),LdgRankKeyB,0),"")</f>
        <v/>
      </c>
    </row>
    <row r="164">
      <c r="A164" s="23" t="n">
        <v>148</v>
      </c>
      <c r="B164" s="24">
        <f>IF(AND($L164="",$M164=""),"",IF($L164&lt;&gt;"",INDEX(SCNormDate,$L164),INDEX(LdgDateB,$M164)))</f>
        <v/>
      </c>
      <c r="C164" s="24">
        <f>IF($L164&lt;&gt;"",INDEX(SCOp,$L164),IF($M164&lt;&gt;"","پرداخت بانکی",""))</f>
        <v/>
      </c>
      <c r="D164" s="24">
        <f>IF($L164&lt;&gt;"",IF(INDEX(SCDoc,$L164)="","—",INDEX(SCDoc,$L164)),IF($M164&lt;&gt;"",INDEX(LdgBankB,$M164),""))</f>
        <v/>
      </c>
      <c r="E164" s="25">
        <f>IF($L164&lt;&gt;"",IF(INDEX(SCCitrus,$L164)&amp;INDEX(SCNotes,$L164)="","",IF(INDEX(SCCitrus,$L164)="","",INDEX(SCCitrus,$L164))&amp;IF(INDEX(SCNotes,$L164)="",""," — "&amp;INDEX(SCNotes,$L164))),IF($M164&lt;&gt;"",IF(INDEX(LdgNoteB,$M164)="","—",INDEX(LdgNoteB,$M164)),""))</f>
        <v/>
      </c>
      <c r="F164" s="26">
        <f>IF($L164&lt;&gt;"",IF(INDEX(SCNet,$L164)=0,"",INDEX(SCNet,$L164)),"")</f>
        <v/>
      </c>
      <c r="G164" s="27">
        <f>IF($L164&lt;&gt;"",IF(INDEX(SCOp,$L164)="مرجوعی فروش","",IF(INDEX(SCAmount,$L164)&lt;=0,"",INDEX(SCAmount,$L164))),IF($M164&lt;&gt;"",IF(INDEX(LdgWitB,$M164)=0,"",INDEX(LdgWitB,$M164)),""))</f>
        <v/>
      </c>
      <c r="H164" s="27">
        <f>IF($L164&lt;&gt;"",IF(INDEX(SCOp,$L164)="مرجوعی فروش",IF(INDEX(SCAmount,$L164)=0,"",-INDEX(SCAmount,$L164)),""),IF($M164&lt;&gt;"",IF(INDEX(LdgDepB,$M164)=0,"",INDEX(LdgDepB,$M164)),""))</f>
        <v/>
      </c>
      <c r="I164" s="28">
        <f>IF($B164="","",IF($I163="",$C$10,$I163)+IF($G164="",0,$G164)-IF($H164="",0,$H164))</f>
        <v/>
      </c>
      <c r="L164">
        <f>IFERROR(MATCH($C$5&amp;"|"&amp;RIGHT("000000"&amp;148,6),LdgRankKeyA,0),"")</f>
        <v/>
      </c>
      <c r="M164">
        <f>IFERROR(MATCH($C$5&amp;"|"&amp;RIGHT("000000"&amp;148,6),LdgRankKeyB,0),"")</f>
        <v/>
      </c>
    </row>
    <row r="165">
      <c r="A165" s="17" t="n">
        <v>149</v>
      </c>
      <c r="B165" s="18">
        <f>IF(AND($L165="",$M165=""),"",IF($L165&lt;&gt;"",INDEX(SCNormDate,$L165),INDEX(LdgDateB,$M165)))</f>
        <v/>
      </c>
      <c r="C165" s="18">
        <f>IF($L165&lt;&gt;"",INDEX(SCOp,$L165),IF($M165&lt;&gt;"","پرداخت بانکی",""))</f>
        <v/>
      </c>
      <c r="D165" s="18">
        <f>IF($L165&lt;&gt;"",IF(INDEX(SCDoc,$L165)="","—",INDEX(SCDoc,$L165)),IF($M165&lt;&gt;"",INDEX(LdgBankB,$M165),""))</f>
        <v/>
      </c>
      <c r="E165" s="19">
        <f>IF($L165&lt;&gt;"",IF(INDEX(SCCitrus,$L165)&amp;INDEX(SCNotes,$L165)="","",IF(INDEX(SCCitrus,$L165)="","",INDEX(SCCitrus,$L165))&amp;IF(INDEX(SCNotes,$L165)="",""," — "&amp;INDEX(SCNotes,$L165))),IF($M165&lt;&gt;"",IF(INDEX(LdgNoteB,$M165)="","—",INDEX(LdgNoteB,$M165)),""))</f>
        <v/>
      </c>
      <c r="F165" s="20">
        <f>IF($L165&lt;&gt;"",IF(INDEX(SCNet,$L165)=0,"",INDEX(SCNet,$L165)),"")</f>
        <v/>
      </c>
      <c r="G165" s="21">
        <f>IF($L165&lt;&gt;"",IF(INDEX(SCOp,$L165)="مرجوعی فروش","",IF(INDEX(SCAmount,$L165)&lt;=0,"",INDEX(SCAmount,$L165))),IF($M165&lt;&gt;"",IF(INDEX(LdgWitB,$M165)=0,"",INDEX(LdgWitB,$M165)),""))</f>
        <v/>
      </c>
      <c r="H165" s="21">
        <f>IF($L165&lt;&gt;"",IF(INDEX(SCOp,$L165)="مرجوعی فروش",IF(INDEX(SCAmount,$L165)=0,"",-INDEX(SCAmount,$L165)),""),IF($M165&lt;&gt;"",IF(INDEX(LdgDepB,$M165)=0,"",INDEX(LdgDepB,$M165)),""))</f>
        <v/>
      </c>
      <c r="I165" s="22">
        <f>IF($B165="","",IF($I164="",$C$10,$I164)+IF($G165="",0,$G165)-IF($H165="",0,$H165))</f>
        <v/>
      </c>
      <c r="L165">
        <f>IFERROR(MATCH($C$5&amp;"|"&amp;RIGHT("000000"&amp;149,6),LdgRankKeyA,0),"")</f>
        <v/>
      </c>
      <c r="M165">
        <f>IFERROR(MATCH($C$5&amp;"|"&amp;RIGHT("000000"&amp;149,6),LdgRankKeyB,0),"")</f>
        <v/>
      </c>
    </row>
    <row r="166">
      <c r="A166" s="23" t="n">
        <v>150</v>
      </c>
      <c r="B166" s="24">
        <f>IF(AND($L166="",$M166=""),"",IF($L166&lt;&gt;"",INDEX(SCNormDate,$L166),INDEX(LdgDateB,$M166)))</f>
        <v/>
      </c>
      <c r="C166" s="24">
        <f>IF($L166&lt;&gt;"",INDEX(SCOp,$L166),IF($M166&lt;&gt;"","پرداخت بانکی",""))</f>
        <v/>
      </c>
      <c r="D166" s="24">
        <f>IF($L166&lt;&gt;"",IF(INDEX(SCDoc,$L166)="","—",INDEX(SCDoc,$L166)),IF($M166&lt;&gt;"",INDEX(LdgBankB,$M166),""))</f>
        <v/>
      </c>
      <c r="E166" s="25">
        <f>IF($L166&lt;&gt;"",IF(INDEX(SCCitrus,$L166)&amp;INDEX(SCNotes,$L166)="","",IF(INDEX(SCCitrus,$L166)="","",INDEX(SCCitrus,$L166))&amp;IF(INDEX(SCNotes,$L166)="",""," — "&amp;INDEX(SCNotes,$L166))),IF($M166&lt;&gt;"",IF(INDEX(LdgNoteB,$M166)="","—",INDEX(LdgNoteB,$M166)),""))</f>
        <v/>
      </c>
      <c r="F166" s="26">
        <f>IF($L166&lt;&gt;"",IF(INDEX(SCNet,$L166)=0,"",INDEX(SCNet,$L166)),"")</f>
        <v/>
      </c>
      <c r="G166" s="27">
        <f>IF($L166&lt;&gt;"",IF(INDEX(SCOp,$L166)="مرجوعی فروش","",IF(INDEX(SCAmount,$L166)&lt;=0,"",INDEX(SCAmount,$L166))),IF($M166&lt;&gt;"",IF(INDEX(LdgWitB,$M166)=0,"",INDEX(LdgWitB,$M166)),""))</f>
        <v/>
      </c>
      <c r="H166" s="27">
        <f>IF($L166&lt;&gt;"",IF(INDEX(SCOp,$L166)="مرجوعی فروش",IF(INDEX(SCAmount,$L166)=0,"",-INDEX(SCAmount,$L166)),""),IF($M166&lt;&gt;"",IF(INDEX(LdgDepB,$M166)=0,"",INDEX(LdgDepB,$M166)),""))</f>
        <v/>
      </c>
      <c r="I166" s="28">
        <f>IF($B166="","",IF($I165="",$C$10,$I165)+IF($G166="",0,$G166)-IF($H166="",0,$H166))</f>
        <v/>
      </c>
      <c r="L166">
        <f>IFERROR(MATCH($C$5&amp;"|"&amp;RIGHT("000000"&amp;150,6),LdgRankKeyA,0),"")</f>
        <v/>
      </c>
      <c r="M166">
        <f>IFERROR(MATCH($C$5&amp;"|"&amp;RIGHT("000000"&amp;150,6),LdgRankKeyB,0),"")</f>
        <v/>
      </c>
    </row>
    <row r="167">
      <c r="A167" s="17" t="n">
        <v>151</v>
      </c>
      <c r="B167" s="18">
        <f>IF(AND($L167="",$M167=""),"",IF($L167&lt;&gt;"",INDEX(SCNormDate,$L167),INDEX(LdgDateB,$M167)))</f>
        <v/>
      </c>
      <c r="C167" s="18">
        <f>IF($L167&lt;&gt;"",INDEX(SCOp,$L167),IF($M167&lt;&gt;"","پرداخت بانکی",""))</f>
        <v/>
      </c>
      <c r="D167" s="18">
        <f>IF($L167&lt;&gt;"",IF(INDEX(SCDoc,$L167)="","—",INDEX(SCDoc,$L167)),IF($M167&lt;&gt;"",INDEX(LdgBankB,$M167),""))</f>
        <v/>
      </c>
      <c r="E167" s="19">
        <f>IF($L167&lt;&gt;"",IF(INDEX(SCCitrus,$L167)&amp;INDEX(SCNotes,$L167)="","",IF(INDEX(SCCitrus,$L167)="","",INDEX(SCCitrus,$L167))&amp;IF(INDEX(SCNotes,$L167)="",""," — "&amp;INDEX(SCNotes,$L167))),IF($M167&lt;&gt;"",IF(INDEX(LdgNoteB,$M167)="","—",INDEX(LdgNoteB,$M167)),""))</f>
        <v/>
      </c>
      <c r="F167" s="20">
        <f>IF($L167&lt;&gt;"",IF(INDEX(SCNet,$L167)=0,"",INDEX(SCNet,$L167)),"")</f>
        <v/>
      </c>
      <c r="G167" s="21">
        <f>IF($L167&lt;&gt;"",IF(INDEX(SCOp,$L167)="مرجوعی فروش","",IF(INDEX(SCAmount,$L167)&lt;=0,"",INDEX(SCAmount,$L167))),IF($M167&lt;&gt;"",IF(INDEX(LdgWitB,$M167)=0,"",INDEX(LdgWitB,$M167)),""))</f>
        <v/>
      </c>
      <c r="H167" s="21">
        <f>IF($L167&lt;&gt;"",IF(INDEX(SCOp,$L167)="مرجوعی فروش",IF(INDEX(SCAmount,$L167)=0,"",-INDEX(SCAmount,$L167)),""),IF($M167&lt;&gt;"",IF(INDEX(LdgDepB,$M167)=0,"",INDEX(LdgDepB,$M167)),""))</f>
        <v/>
      </c>
      <c r="I167" s="22">
        <f>IF($B167="","",IF($I166="",$C$10,$I166)+IF($G167="",0,$G167)-IF($H167="",0,$H167))</f>
        <v/>
      </c>
      <c r="L167">
        <f>IFERROR(MATCH($C$5&amp;"|"&amp;RIGHT("000000"&amp;151,6),LdgRankKeyA,0),"")</f>
        <v/>
      </c>
      <c r="M167">
        <f>IFERROR(MATCH($C$5&amp;"|"&amp;RIGHT("000000"&amp;151,6),LdgRankKeyB,0),"")</f>
        <v/>
      </c>
    </row>
    <row r="168">
      <c r="A168" s="23" t="n">
        <v>152</v>
      </c>
      <c r="B168" s="24">
        <f>IF(AND($L168="",$M168=""),"",IF($L168&lt;&gt;"",INDEX(SCNormDate,$L168),INDEX(LdgDateB,$M168)))</f>
        <v/>
      </c>
      <c r="C168" s="24">
        <f>IF($L168&lt;&gt;"",INDEX(SCOp,$L168),IF($M168&lt;&gt;"","پرداخت بانکی",""))</f>
        <v/>
      </c>
      <c r="D168" s="24">
        <f>IF($L168&lt;&gt;"",IF(INDEX(SCDoc,$L168)="","—",INDEX(SCDoc,$L168)),IF($M168&lt;&gt;"",INDEX(LdgBankB,$M168),""))</f>
        <v/>
      </c>
      <c r="E168" s="25">
        <f>IF($L168&lt;&gt;"",IF(INDEX(SCCitrus,$L168)&amp;INDEX(SCNotes,$L168)="","",IF(INDEX(SCCitrus,$L168)="","",INDEX(SCCitrus,$L168))&amp;IF(INDEX(SCNotes,$L168)="",""," — "&amp;INDEX(SCNotes,$L168))),IF($M168&lt;&gt;"",IF(INDEX(LdgNoteB,$M168)="","—",INDEX(LdgNoteB,$M168)),""))</f>
        <v/>
      </c>
      <c r="F168" s="26">
        <f>IF($L168&lt;&gt;"",IF(INDEX(SCNet,$L168)=0,"",INDEX(SCNet,$L168)),"")</f>
        <v/>
      </c>
      <c r="G168" s="27">
        <f>IF($L168&lt;&gt;"",IF(INDEX(SCOp,$L168)="مرجوعی فروش","",IF(INDEX(SCAmount,$L168)&lt;=0,"",INDEX(SCAmount,$L168))),IF($M168&lt;&gt;"",IF(INDEX(LdgWitB,$M168)=0,"",INDEX(LdgWitB,$M168)),""))</f>
        <v/>
      </c>
      <c r="H168" s="27">
        <f>IF($L168&lt;&gt;"",IF(INDEX(SCOp,$L168)="مرجوعی فروش",IF(INDEX(SCAmount,$L168)=0,"",-INDEX(SCAmount,$L168)),""),IF($M168&lt;&gt;"",IF(INDEX(LdgDepB,$M168)=0,"",INDEX(LdgDepB,$M168)),""))</f>
        <v/>
      </c>
      <c r="I168" s="28">
        <f>IF($B168="","",IF($I167="",$C$10,$I167)+IF($G168="",0,$G168)-IF($H168="",0,$H168))</f>
        <v/>
      </c>
      <c r="L168">
        <f>IFERROR(MATCH($C$5&amp;"|"&amp;RIGHT("000000"&amp;152,6),LdgRankKeyA,0),"")</f>
        <v/>
      </c>
      <c r="M168">
        <f>IFERROR(MATCH($C$5&amp;"|"&amp;RIGHT("000000"&amp;152,6),LdgRankKeyB,0),"")</f>
        <v/>
      </c>
    </row>
    <row r="169">
      <c r="A169" s="17" t="n">
        <v>153</v>
      </c>
      <c r="B169" s="18">
        <f>IF(AND($L169="",$M169=""),"",IF($L169&lt;&gt;"",INDEX(SCNormDate,$L169),INDEX(LdgDateB,$M169)))</f>
        <v/>
      </c>
      <c r="C169" s="18">
        <f>IF($L169&lt;&gt;"",INDEX(SCOp,$L169),IF($M169&lt;&gt;"","پرداخت بانکی",""))</f>
        <v/>
      </c>
      <c r="D169" s="18">
        <f>IF($L169&lt;&gt;"",IF(INDEX(SCDoc,$L169)="","—",INDEX(SCDoc,$L169)),IF($M169&lt;&gt;"",INDEX(LdgBankB,$M169),""))</f>
        <v/>
      </c>
      <c r="E169" s="19">
        <f>IF($L169&lt;&gt;"",IF(INDEX(SCCitrus,$L169)&amp;INDEX(SCNotes,$L169)="","",IF(INDEX(SCCitrus,$L169)="","",INDEX(SCCitrus,$L169))&amp;IF(INDEX(SCNotes,$L169)="",""," — "&amp;INDEX(SCNotes,$L169))),IF($M169&lt;&gt;"",IF(INDEX(LdgNoteB,$M169)="","—",INDEX(LdgNoteB,$M169)),""))</f>
        <v/>
      </c>
      <c r="F169" s="20">
        <f>IF($L169&lt;&gt;"",IF(INDEX(SCNet,$L169)=0,"",INDEX(SCNet,$L169)),"")</f>
        <v/>
      </c>
      <c r="G169" s="21">
        <f>IF($L169&lt;&gt;"",IF(INDEX(SCOp,$L169)="مرجوعی فروش","",IF(INDEX(SCAmount,$L169)&lt;=0,"",INDEX(SCAmount,$L169))),IF($M169&lt;&gt;"",IF(INDEX(LdgWitB,$M169)=0,"",INDEX(LdgWitB,$M169)),""))</f>
        <v/>
      </c>
      <c r="H169" s="21">
        <f>IF($L169&lt;&gt;"",IF(INDEX(SCOp,$L169)="مرجوعی فروش",IF(INDEX(SCAmount,$L169)=0,"",-INDEX(SCAmount,$L169)),""),IF($M169&lt;&gt;"",IF(INDEX(LdgDepB,$M169)=0,"",INDEX(LdgDepB,$M169)),""))</f>
        <v/>
      </c>
      <c r="I169" s="22">
        <f>IF($B169="","",IF($I168="",$C$10,$I168)+IF($G169="",0,$G169)-IF($H169="",0,$H169))</f>
        <v/>
      </c>
      <c r="L169">
        <f>IFERROR(MATCH($C$5&amp;"|"&amp;RIGHT("000000"&amp;153,6),LdgRankKeyA,0),"")</f>
        <v/>
      </c>
      <c r="M169">
        <f>IFERROR(MATCH($C$5&amp;"|"&amp;RIGHT("000000"&amp;153,6),LdgRankKeyB,0),"")</f>
        <v/>
      </c>
    </row>
    <row r="170">
      <c r="A170" s="23" t="n">
        <v>154</v>
      </c>
      <c r="B170" s="24">
        <f>IF(AND($L170="",$M170=""),"",IF($L170&lt;&gt;"",INDEX(SCNormDate,$L170),INDEX(LdgDateB,$M170)))</f>
        <v/>
      </c>
      <c r="C170" s="24">
        <f>IF($L170&lt;&gt;"",INDEX(SCOp,$L170),IF($M170&lt;&gt;"","پرداخت بانکی",""))</f>
        <v/>
      </c>
      <c r="D170" s="24">
        <f>IF($L170&lt;&gt;"",IF(INDEX(SCDoc,$L170)="","—",INDEX(SCDoc,$L170)),IF($M170&lt;&gt;"",INDEX(LdgBankB,$M170),""))</f>
        <v/>
      </c>
      <c r="E170" s="25">
        <f>IF($L170&lt;&gt;"",IF(INDEX(SCCitrus,$L170)&amp;INDEX(SCNotes,$L170)="","",IF(INDEX(SCCitrus,$L170)="","",INDEX(SCCitrus,$L170))&amp;IF(INDEX(SCNotes,$L170)="",""," — "&amp;INDEX(SCNotes,$L170))),IF($M170&lt;&gt;"",IF(INDEX(LdgNoteB,$M170)="","—",INDEX(LdgNoteB,$M170)),""))</f>
        <v/>
      </c>
      <c r="F170" s="26">
        <f>IF($L170&lt;&gt;"",IF(INDEX(SCNet,$L170)=0,"",INDEX(SCNet,$L170)),"")</f>
        <v/>
      </c>
      <c r="G170" s="27">
        <f>IF($L170&lt;&gt;"",IF(INDEX(SCOp,$L170)="مرجوعی فروش","",IF(INDEX(SCAmount,$L170)&lt;=0,"",INDEX(SCAmount,$L170))),IF($M170&lt;&gt;"",IF(INDEX(LdgWitB,$M170)=0,"",INDEX(LdgWitB,$M170)),""))</f>
        <v/>
      </c>
      <c r="H170" s="27">
        <f>IF($L170&lt;&gt;"",IF(INDEX(SCOp,$L170)="مرجوعی فروش",IF(INDEX(SCAmount,$L170)=0,"",-INDEX(SCAmount,$L170)),""),IF($M170&lt;&gt;"",IF(INDEX(LdgDepB,$M170)=0,"",INDEX(LdgDepB,$M170)),""))</f>
        <v/>
      </c>
      <c r="I170" s="28">
        <f>IF($B170="","",IF($I169="",$C$10,$I169)+IF($G170="",0,$G170)-IF($H170="",0,$H170))</f>
        <v/>
      </c>
      <c r="L170">
        <f>IFERROR(MATCH($C$5&amp;"|"&amp;RIGHT("000000"&amp;154,6),LdgRankKeyA,0),"")</f>
        <v/>
      </c>
      <c r="M170">
        <f>IFERROR(MATCH($C$5&amp;"|"&amp;RIGHT("000000"&amp;154,6),LdgRankKeyB,0),"")</f>
        <v/>
      </c>
    </row>
    <row r="171">
      <c r="A171" s="17" t="n">
        <v>155</v>
      </c>
      <c r="B171" s="18">
        <f>IF(AND($L171="",$M171=""),"",IF($L171&lt;&gt;"",INDEX(SCNormDate,$L171),INDEX(LdgDateB,$M171)))</f>
        <v/>
      </c>
      <c r="C171" s="18">
        <f>IF($L171&lt;&gt;"",INDEX(SCOp,$L171),IF($M171&lt;&gt;"","پرداخت بانکی",""))</f>
        <v/>
      </c>
      <c r="D171" s="18">
        <f>IF($L171&lt;&gt;"",IF(INDEX(SCDoc,$L171)="","—",INDEX(SCDoc,$L171)),IF($M171&lt;&gt;"",INDEX(LdgBankB,$M171),""))</f>
        <v/>
      </c>
      <c r="E171" s="19">
        <f>IF($L171&lt;&gt;"",IF(INDEX(SCCitrus,$L171)&amp;INDEX(SCNotes,$L171)="","",IF(INDEX(SCCitrus,$L171)="","",INDEX(SCCitrus,$L171))&amp;IF(INDEX(SCNotes,$L171)="",""," — "&amp;INDEX(SCNotes,$L171))),IF($M171&lt;&gt;"",IF(INDEX(LdgNoteB,$M171)="","—",INDEX(LdgNoteB,$M171)),""))</f>
        <v/>
      </c>
      <c r="F171" s="20">
        <f>IF($L171&lt;&gt;"",IF(INDEX(SCNet,$L171)=0,"",INDEX(SCNet,$L171)),"")</f>
        <v/>
      </c>
      <c r="G171" s="21">
        <f>IF($L171&lt;&gt;"",IF(INDEX(SCOp,$L171)="مرجوعی فروش","",IF(INDEX(SCAmount,$L171)&lt;=0,"",INDEX(SCAmount,$L171))),IF($M171&lt;&gt;"",IF(INDEX(LdgWitB,$M171)=0,"",INDEX(LdgWitB,$M171)),""))</f>
        <v/>
      </c>
      <c r="H171" s="21">
        <f>IF($L171&lt;&gt;"",IF(INDEX(SCOp,$L171)="مرجوعی فروش",IF(INDEX(SCAmount,$L171)=0,"",-INDEX(SCAmount,$L171)),""),IF($M171&lt;&gt;"",IF(INDEX(LdgDepB,$M171)=0,"",INDEX(LdgDepB,$M171)),""))</f>
        <v/>
      </c>
      <c r="I171" s="22">
        <f>IF($B171="","",IF($I170="",$C$10,$I170)+IF($G171="",0,$G171)-IF($H171="",0,$H171))</f>
        <v/>
      </c>
      <c r="L171">
        <f>IFERROR(MATCH($C$5&amp;"|"&amp;RIGHT("000000"&amp;155,6),LdgRankKeyA,0),"")</f>
        <v/>
      </c>
      <c r="M171">
        <f>IFERROR(MATCH($C$5&amp;"|"&amp;RIGHT("000000"&amp;155,6),LdgRankKeyB,0),"")</f>
        <v/>
      </c>
    </row>
    <row r="172">
      <c r="A172" s="23" t="n">
        <v>156</v>
      </c>
      <c r="B172" s="24">
        <f>IF(AND($L172="",$M172=""),"",IF($L172&lt;&gt;"",INDEX(SCNormDate,$L172),INDEX(LdgDateB,$M172)))</f>
        <v/>
      </c>
      <c r="C172" s="24">
        <f>IF($L172&lt;&gt;"",INDEX(SCOp,$L172),IF($M172&lt;&gt;"","پرداخت بانکی",""))</f>
        <v/>
      </c>
      <c r="D172" s="24">
        <f>IF($L172&lt;&gt;"",IF(INDEX(SCDoc,$L172)="","—",INDEX(SCDoc,$L172)),IF($M172&lt;&gt;"",INDEX(LdgBankB,$M172),""))</f>
        <v/>
      </c>
      <c r="E172" s="25">
        <f>IF($L172&lt;&gt;"",IF(INDEX(SCCitrus,$L172)&amp;INDEX(SCNotes,$L172)="","",IF(INDEX(SCCitrus,$L172)="","",INDEX(SCCitrus,$L172))&amp;IF(INDEX(SCNotes,$L172)="",""," — "&amp;INDEX(SCNotes,$L172))),IF($M172&lt;&gt;"",IF(INDEX(LdgNoteB,$M172)="","—",INDEX(LdgNoteB,$M172)),""))</f>
        <v/>
      </c>
      <c r="F172" s="26">
        <f>IF($L172&lt;&gt;"",IF(INDEX(SCNet,$L172)=0,"",INDEX(SCNet,$L172)),"")</f>
        <v/>
      </c>
      <c r="G172" s="27">
        <f>IF($L172&lt;&gt;"",IF(INDEX(SCOp,$L172)="مرجوعی فروش","",IF(INDEX(SCAmount,$L172)&lt;=0,"",INDEX(SCAmount,$L172))),IF($M172&lt;&gt;"",IF(INDEX(LdgWitB,$M172)=0,"",INDEX(LdgWitB,$M172)),""))</f>
        <v/>
      </c>
      <c r="H172" s="27">
        <f>IF($L172&lt;&gt;"",IF(INDEX(SCOp,$L172)="مرجوعی فروش",IF(INDEX(SCAmount,$L172)=0,"",-INDEX(SCAmount,$L172)),""),IF($M172&lt;&gt;"",IF(INDEX(LdgDepB,$M172)=0,"",INDEX(LdgDepB,$M172)),""))</f>
        <v/>
      </c>
      <c r="I172" s="28">
        <f>IF($B172="","",IF($I171="",$C$10,$I171)+IF($G172="",0,$G172)-IF($H172="",0,$H172))</f>
        <v/>
      </c>
      <c r="L172">
        <f>IFERROR(MATCH($C$5&amp;"|"&amp;RIGHT("000000"&amp;156,6),LdgRankKeyA,0),"")</f>
        <v/>
      </c>
      <c r="M172">
        <f>IFERROR(MATCH($C$5&amp;"|"&amp;RIGHT("000000"&amp;156,6),LdgRankKeyB,0),"")</f>
        <v/>
      </c>
    </row>
    <row r="173">
      <c r="A173" s="17" t="n">
        <v>157</v>
      </c>
      <c r="B173" s="18">
        <f>IF(AND($L173="",$M173=""),"",IF($L173&lt;&gt;"",INDEX(SCNormDate,$L173),INDEX(LdgDateB,$M173)))</f>
        <v/>
      </c>
      <c r="C173" s="18">
        <f>IF($L173&lt;&gt;"",INDEX(SCOp,$L173),IF($M173&lt;&gt;"","پرداخت بانکی",""))</f>
        <v/>
      </c>
      <c r="D173" s="18">
        <f>IF($L173&lt;&gt;"",IF(INDEX(SCDoc,$L173)="","—",INDEX(SCDoc,$L173)),IF($M173&lt;&gt;"",INDEX(LdgBankB,$M173),""))</f>
        <v/>
      </c>
      <c r="E173" s="19">
        <f>IF($L173&lt;&gt;"",IF(INDEX(SCCitrus,$L173)&amp;INDEX(SCNotes,$L173)="","",IF(INDEX(SCCitrus,$L173)="","",INDEX(SCCitrus,$L173))&amp;IF(INDEX(SCNotes,$L173)="",""," — "&amp;INDEX(SCNotes,$L173))),IF($M173&lt;&gt;"",IF(INDEX(LdgNoteB,$M173)="","—",INDEX(LdgNoteB,$M173)),""))</f>
        <v/>
      </c>
      <c r="F173" s="20">
        <f>IF($L173&lt;&gt;"",IF(INDEX(SCNet,$L173)=0,"",INDEX(SCNet,$L173)),"")</f>
        <v/>
      </c>
      <c r="G173" s="21">
        <f>IF($L173&lt;&gt;"",IF(INDEX(SCOp,$L173)="مرجوعی فروش","",IF(INDEX(SCAmount,$L173)&lt;=0,"",INDEX(SCAmount,$L173))),IF($M173&lt;&gt;"",IF(INDEX(LdgWitB,$M173)=0,"",INDEX(LdgWitB,$M173)),""))</f>
        <v/>
      </c>
      <c r="H173" s="21">
        <f>IF($L173&lt;&gt;"",IF(INDEX(SCOp,$L173)="مرجوعی فروش",IF(INDEX(SCAmount,$L173)=0,"",-INDEX(SCAmount,$L173)),""),IF($M173&lt;&gt;"",IF(INDEX(LdgDepB,$M173)=0,"",INDEX(LdgDepB,$M173)),""))</f>
        <v/>
      </c>
      <c r="I173" s="22">
        <f>IF($B173="","",IF($I172="",$C$10,$I172)+IF($G173="",0,$G173)-IF($H173="",0,$H173))</f>
        <v/>
      </c>
      <c r="L173">
        <f>IFERROR(MATCH($C$5&amp;"|"&amp;RIGHT("000000"&amp;157,6),LdgRankKeyA,0),"")</f>
        <v/>
      </c>
      <c r="M173">
        <f>IFERROR(MATCH($C$5&amp;"|"&amp;RIGHT("000000"&amp;157,6),LdgRankKeyB,0),"")</f>
        <v/>
      </c>
    </row>
    <row r="174">
      <c r="A174" s="23" t="n">
        <v>158</v>
      </c>
      <c r="B174" s="24">
        <f>IF(AND($L174="",$M174=""),"",IF($L174&lt;&gt;"",INDEX(SCNormDate,$L174),INDEX(LdgDateB,$M174)))</f>
        <v/>
      </c>
      <c r="C174" s="24">
        <f>IF($L174&lt;&gt;"",INDEX(SCOp,$L174),IF($M174&lt;&gt;"","پرداخت بانکی",""))</f>
        <v/>
      </c>
      <c r="D174" s="24">
        <f>IF($L174&lt;&gt;"",IF(INDEX(SCDoc,$L174)="","—",INDEX(SCDoc,$L174)),IF($M174&lt;&gt;"",INDEX(LdgBankB,$M174),""))</f>
        <v/>
      </c>
      <c r="E174" s="25">
        <f>IF($L174&lt;&gt;"",IF(INDEX(SCCitrus,$L174)&amp;INDEX(SCNotes,$L174)="","",IF(INDEX(SCCitrus,$L174)="","",INDEX(SCCitrus,$L174))&amp;IF(INDEX(SCNotes,$L174)="",""," — "&amp;INDEX(SCNotes,$L174))),IF($M174&lt;&gt;"",IF(INDEX(LdgNoteB,$M174)="","—",INDEX(LdgNoteB,$M174)),""))</f>
        <v/>
      </c>
      <c r="F174" s="26">
        <f>IF($L174&lt;&gt;"",IF(INDEX(SCNet,$L174)=0,"",INDEX(SCNet,$L174)),"")</f>
        <v/>
      </c>
      <c r="G174" s="27">
        <f>IF($L174&lt;&gt;"",IF(INDEX(SCOp,$L174)="مرجوعی فروش","",IF(INDEX(SCAmount,$L174)&lt;=0,"",INDEX(SCAmount,$L174))),IF($M174&lt;&gt;"",IF(INDEX(LdgWitB,$M174)=0,"",INDEX(LdgWitB,$M174)),""))</f>
        <v/>
      </c>
      <c r="H174" s="27">
        <f>IF($L174&lt;&gt;"",IF(INDEX(SCOp,$L174)="مرجوعی فروش",IF(INDEX(SCAmount,$L174)=0,"",-INDEX(SCAmount,$L174)),""),IF($M174&lt;&gt;"",IF(INDEX(LdgDepB,$M174)=0,"",INDEX(LdgDepB,$M174)),""))</f>
        <v/>
      </c>
      <c r="I174" s="28">
        <f>IF($B174="","",IF($I173="",$C$10,$I173)+IF($G174="",0,$G174)-IF($H174="",0,$H174))</f>
        <v/>
      </c>
      <c r="L174">
        <f>IFERROR(MATCH($C$5&amp;"|"&amp;RIGHT("000000"&amp;158,6),LdgRankKeyA,0),"")</f>
        <v/>
      </c>
      <c r="M174">
        <f>IFERROR(MATCH($C$5&amp;"|"&amp;RIGHT("000000"&amp;158,6),LdgRankKeyB,0),"")</f>
        <v/>
      </c>
    </row>
    <row r="175">
      <c r="A175" s="17" t="n">
        <v>159</v>
      </c>
      <c r="B175" s="18">
        <f>IF(AND($L175="",$M175=""),"",IF($L175&lt;&gt;"",INDEX(SCNormDate,$L175),INDEX(LdgDateB,$M175)))</f>
        <v/>
      </c>
      <c r="C175" s="18">
        <f>IF($L175&lt;&gt;"",INDEX(SCOp,$L175),IF($M175&lt;&gt;"","پرداخت بانکی",""))</f>
        <v/>
      </c>
      <c r="D175" s="18">
        <f>IF($L175&lt;&gt;"",IF(INDEX(SCDoc,$L175)="","—",INDEX(SCDoc,$L175)),IF($M175&lt;&gt;"",INDEX(LdgBankB,$M175),""))</f>
        <v/>
      </c>
      <c r="E175" s="19">
        <f>IF($L175&lt;&gt;"",IF(INDEX(SCCitrus,$L175)&amp;INDEX(SCNotes,$L175)="","",IF(INDEX(SCCitrus,$L175)="","",INDEX(SCCitrus,$L175))&amp;IF(INDEX(SCNotes,$L175)="",""," — "&amp;INDEX(SCNotes,$L175))),IF($M175&lt;&gt;"",IF(INDEX(LdgNoteB,$M175)="","—",INDEX(LdgNoteB,$M175)),""))</f>
        <v/>
      </c>
      <c r="F175" s="20">
        <f>IF($L175&lt;&gt;"",IF(INDEX(SCNet,$L175)=0,"",INDEX(SCNet,$L175)),"")</f>
        <v/>
      </c>
      <c r="G175" s="21">
        <f>IF($L175&lt;&gt;"",IF(INDEX(SCOp,$L175)="مرجوعی فروش","",IF(INDEX(SCAmount,$L175)&lt;=0,"",INDEX(SCAmount,$L175))),IF($M175&lt;&gt;"",IF(INDEX(LdgWitB,$M175)=0,"",INDEX(LdgWitB,$M175)),""))</f>
        <v/>
      </c>
      <c r="H175" s="21">
        <f>IF($L175&lt;&gt;"",IF(INDEX(SCOp,$L175)="مرجوعی فروش",IF(INDEX(SCAmount,$L175)=0,"",-INDEX(SCAmount,$L175)),""),IF($M175&lt;&gt;"",IF(INDEX(LdgDepB,$M175)=0,"",INDEX(LdgDepB,$M175)),""))</f>
        <v/>
      </c>
      <c r="I175" s="22">
        <f>IF($B175="","",IF($I174="",$C$10,$I174)+IF($G175="",0,$G175)-IF($H175="",0,$H175))</f>
        <v/>
      </c>
      <c r="L175">
        <f>IFERROR(MATCH($C$5&amp;"|"&amp;RIGHT("000000"&amp;159,6),LdgRankKeyA,0),"")</f>
        <v/>
      </c>
      <c r="M175">
        <f>IFERROR(MATCH($C$5&amp;"|"&amp;RIGHT("000000"&amp;159,6),LdgRankKeyB,0),"")</f>
        <v/>
      </c>
    </row>
    <row r="176">
      <c r="A176" s="23" t="n">
        <v>160</v>
      </c>
      <c r="B176" s="24">
        <f>IF(AND($L176="",$M176=""),"",IF($L176&lt;&gt;"",INDEX(SCNormDate,$L176),INDEX(LdgDateB,$M176)))</f>
        <v/>
      </c>
      <c r="C176" s="24">
        <f>IF($L176&lt;&gt;"",INDEX(SCOp,$L176),IF($M176&lt;&gt;"","پرداخت بانکی",""))</f>
        <v/>
      </c>
      <c r="D176" s="24">
        <f>IF($L176&lt;&gt;"",IF(INDEX(SCDoc,$L176)="","—",INDEX(SCDoc,$L176)),IF($M176&lt;&gt;"",INDEX(LdgBankB,$M176),""))</f>
        <v/>
      </c>
      <c r="E176" s="25">
        <f>IF($L176&lt;&gt;"",IF(INDEX(SCCitrus,$L176)&amp;INDEX(SCNotes,$L176)="","",IF(INDEX(SCCitrus,$L176)="","",INDEX(SCCitrus,$L176))&amp;IF(INDEX(SCNotes,$L176)="",""," — "&amp;INDEX(SCNotes,$L176))),IF($M176&lt;&gt;"",IF(INDEX(LdgNoteB,$M176)="","—",INDEX(LdgNoteB,$M176)),""))</f>
        <v/>
      </c>
      <c r="F176" s="26">
        <f>IF($L176&lt;&gt;"",IF(INDEX(SCNet,$L176)=0,"",INDEX(SCNet,$L176)),"")</f>
        <v/>
      </c>
      <c r="G176" s="27">
        <f>IF($L176&lt;&gt;"",IF(INDEX(SCOp,$L176)="مرجوعی فروش","",IF(INDEX(SCAmount,$L176)&lt;=0,"",INDEX(SCAmount,$L176))),IF($M176&lt;&gt;"",IF(INDEX(LdgWitB,$M176)=0,"",INDEX(LdgWitB,$M176)),""))</f>
        <v/>
      </c>
      <c r="H176" s="27">
        <f>IF($L176&lt;&gt;"",IF(INDEX(SCOp,$L176)="مرجوعی فروش",IF(INDEX(SCAmount,$L176)=0,"",-INDEX(SCAmount,$L176)),""),IF($M176&lt;&gt;"",IF(INDEX(LdgDepB,$M176)=0,"",INDEX(LdgDepB,$M176)),""))</f>
        <v/>
      </c>
      <c r="I176" s="28">
        <f>IF($B176="","",IF($I175="",$C$10,$I175)+IF($G176="",0,$G176)-IF($H176="",0,$H176))</f>
        <v/>
      </c>
      <c r="L176">
        <f>IFERROR(MATCH($C$5&amp;"|"&amp;RIGHT("000000"&amp;160,6),LdgRankKeyA,0),"")</f>
        <v/>
      </c>
      <c r="M176">
        <f>IFERROR(MATCH($C$5&amp;"|"&amp;RIGHT("000000"&amp;160,6),LdgRankKeyB,0),"")</f>
        <v/>
      </c>
    </row>
    <row r="177">
      <c r="A177" s="17" t="n">
        <v>161</v>
      </c>
      <c r="B177" s="18">
        <f>IF(AND($L177="",$M177=""),"",IF($L177&lt;&gt;"",INDEX(SCNormDate,$L177),INDEX(LdgDateB,$M177)))</f>
        <v/>
      </c>
      <c r="C177" s="18">
        <f>IF($L177&lt;&gt;"",INDEX(SCOp,$L177),IF($M177&lt;&gt;"","پرداخت بانکی",""))</f>
        <v/>
      </c>
      <c r="D177" s="18">
        <f>IF($L177&lt;&gt;"",IF(INDEX(SCDoc,$L177)="","—",INDEX(SCDoc,$L177)),IF($M177&lt;&gt;"",INDEX(LdgBankB,$M177),""))</f>
        <v/>
      </c>
      <c r="E177" s="19">
        <f>IF($L177&lt;&gt;"",IF(INDEX(SCCitrus,$L177)&amp;INDEX(SCNotes,$L177)="","",IF(INDEX(SCCitrus,$L177)="","",INDEX(SCCitrus,$L177))&amp;IF(INDEX(SCNotes,$L177)="",""," — "&amp;INDEX(SCNotes,$L177))),IF($M177&lt;&gt;"",IF(INDEX(LdgNoteB,$M177)="","—",INDEX(LdgNoteB,$M177)),""))</f>
        <v/>
      </c>
      <c r="F177" s="20">
        <f>IF($L177&lt;&gt;"",IF(INDEX(SCNet,$L177)=0,"",INDEX(SCNet,$L177)),"")</f>
        <v/>
      </c>
      <c r="G177" s="21">
        <f>IF($L177&lt;&gt;"",IF(INDEX(SCOp,$L177)="مرجوعی فروش","",IF(INDEX(SCAmount,$L177)&lt;=0,"",INDEX(SCAmount,$L177))),IF($M177&lt;&gt;"",IF(INDEX(LdgWitB,$M177)=0,"",INDEX(LdgWitB,$M177)),""))</f>
        <v/>
      </c>
      <c r="H177" s="21">
        <f>IF($L177&lt;&gt;"",IF(INDEX(SCOp,$L177)="مرجوعی فروش",IF(INDEX(SCAmount,$L177)=0,"",-INDEX(SCAmount,$L177)),""),IF($M177&lt;&gt;"",IF(INDEX(LdgDepB,$M177)=0,"",INDEX(LdgDepB,$M177)),""))</f>
        <v/>
      </c>
      <c r="I177" s="22">
        <f>IF($B177="","",IF($I176="",$C$10,$I176)+IF($G177="",0,$G177)-IF($H177="",0,$H177))</f>
        <v/>
      </c>
      <c r="L177">
        <f>IFERROR(MATCH($C$5&amp;"|"&amp;RIGHT("000000"&amp;161,6),LdgRankKeyA,0),"")</f>
        <v/>
      </c>
      <c r="M177">
        <f>IFERROR(MATCH($C$5&amp;"|"&amp;RIGHT("000000"&amp;161,6),LdgRankKeyB,0),"")</f>
        <v/>
      </c>
    </row>
    <row r="178">
      <c r="A178" s="23" t="n">
        <v>162</v>
      </c>
      <c r="B178" s="24">
        <f>IF(AND($L178="",$M178=""),"",IF($L178&lt;&gt;"",INDEX(SCNormDate,$L178),INDEX(LdgDateB,$M178)))</f>
        <v/>
      </c>
      <c r="C178" s="24">
        <f>IF($L178&lt;&gt;"",INDEX(SCOp,$L178),IF($M178&lt;&gt;"","پرداخت بانکی",""))</f>
        <v/>
      </c>
      <c r="D178" s="24">
        <f>IF($L178&lt;&gt;"",IF(INDEX(SCDoc,$L178)="","—",INDEX(SCDoc,$L178)),IF($M178&lt;&gt;"",INDEX(LdgBankB,$M178),""))</f>
        <v/>
      </c>
      <c r="E178" s="25">
        <f>IF($L178&lt;&gt;"",IF(INDEX(SCCitrus,$L178)&amp;INDEX(SCNotes,$L178)="","",IF(INDEX(SCCitrus,$L178)="","",INDEX(SCCitrus,$L178))&amp;IF(INDEX(SCNotes,$L178)="",""," — "&amp;INDEX(SCNotes,$L178))),IF($M178&lt;&gt;"",IF(INDEX(LdgNoteB,$M178)="","—",INDEX(LdgNoteB,$M178)),""))</f>
        <v/>
      </c>
      <c r="F178" s="26">
        <f>IF($L178&lt;&gt;"",IF(INDEX(SCNet,$L178)=0,"",INDEX(SCNet,$L178)),"")</f>
        <v/>
      </c>
      <c r="G178" s="27">
        <f>IF($L178&lt;&gt;"",IF(INDEX(SCOp,$L178)="مرجوعی فروش","",IF(INDEX(SCAmount,$L178)&lt;=0,"",INDEX(SCAmount,$L178))),IF($M178&lt;&gt;"",IF(INDEX(LdgWitB,$M178)=0,"",INDEX(LdgWitB,$M178)),""))</f>
        <v/>
      </c>
      <c r="H178" s="27">
        <f>IF($L178&lt;&gt;"",IF(INDEX(SCOp,$L178)="مرجوعی فروش",IF(INDEX(SCAmount,$L178)=0,"",-INDEX(SCAmount,$L178)),""),IF($M178&lt;&gt;"",IF(INDEX(LdgDepB,$M178)=0,"",INDEX(LdgDepB,$M178)),""))</f>
        <v/>
      </c>
      <c r="I178" s="28">
        <f>IF($B178="","",IF($I177="",$C$10,$I177)+IF($G178="",0,$G178)-IF($H178="",0,$H178))</f>
        <v/>
      </c>
      <c r="L178">
        <f>IFERROR(MATCH($C$5&amp;"|"&amp;RIGHT("000000"&amp;162,6),LdgRankKeyA,0),"")</f>
        <v/>
      </c>
      <c r="M178">
        <f>IFERROR(MATCH($C$5&amp;"|"&amp;RIGHT("000000"&amp;162,6),LdgRankKeyB,0),"")</f>
        <v/>
      </c>
    </row>
    <row r="179">
      <c r="A179" s="17" t="n">
        <v>163</v>
      </c>
      <c r="B179" s="18">
        <f>IF(AND($L179="",$M179=""),"",IF($L179&lt;&gt;"",INDEX(SCNormDate,$L179),INDEX(LdgDateB,$M179)))</f>
        <v/>
      </c>
      <c r="C179" s="18">
        <f>IF($L179&lt;&gt;"",INDEX(SCOp,$L179),IF($M179&lt;&gt;"","پرداخت بانکی",""))</f>
        <v/>
      </c>
      <c r="D179" s="18">
        <f>IF($L179&lt;&gt;"",IF(INDEX(SCDoc,$L179)="","—",INDEX(SCDoc,$L179)),IF($M179&lt;&gt;"",INDEX(LdgBankB,$M179),""))</f>
        <v/>
      </c>
      <c r="E179" s="19">
        <f>IF($L179&lt;&gt;"",IF(INDEX(SCCitrus,$L179)&amp;INDEX(SCNotes,$L179)="","",IF(INDEX(SCCitrus,$L179)="","",INDEX(SCCitrus,$L179))&amp;IF(INDEX(SCNotes,$L179)="",""," — "&amp;INDEX(SCNotes,$L179))),IF($M179&lt;&gt;"",IF(INDEX(LdgNoteB,$M179)="","—",INDEX(LdgNoteB,$M179)),""))</f>
        <v/>
      </c>
      <c r="F179" s="20">
        <f>IF($L179&lt;&gt;"",IF(INDEX(SCNet,$L179)=0,"",INDEX(SCNet,$L179)),"")</f>
        <v/>
      </c>
      <c r="G179" s="21">
        <f>IF($L179&lt;&gt;"",IF(INDEX(SCOp,$L179)="مرجوعی فروش","",IF(INDEX(SCAmount,$L179)&lt;=0,"",INDEX(SCAmount,$L179))),IF($M179&lt;&gt;"",IF(INDEX(LdgWitB,$M179)=0,"",INDEX(LdgWitB,$M179)),""))</f>
        <v/>
      </c>
      <c r="H179" s="21">
        <f>IF($L179&lt;&gt;"",IF(INDEX(SCOp,$L179)="مرجوعی فروش",IF(INDEX(SCAmount,$L179)=0,"",-INDEX(SCAmount,$L179)),""),IF($M179&lt;&gt;"",IF(INDEX(LdgDepB,$M179)=0,"",INDEX(LdgDepB,$M179)),""))</f>
        <v/>
      </c>
      <c r="I179" s="22">
        <f>IF($B179="","",IF($I178="",$C$10,$I178)+IF($G179="",0,$G179)-IF($H179="",0,$H179))</f>
        <v/>
      </c>
      <c r="L179">
        <f>IFERROR(MATCH($C$5&amp;"|"&amp;RIGHT("000000"&amp;163,6),LdgRankKeyA,0),"")</f>
        <v/>
      </c>
      <c r="M179">
        <f>IFERROR(MATCH($C$5&amp;"|"&amp;RIGHT("000000"&amp;163,6),LdgRankKeyB,0),"")</f>
        <v/>
      </c>
    </row>
    <row r="180">
      <c r="A180" s="23" t="n">
        <v>164</v>
      </c>
      <c r="B180" s="24">
        <f>IF(AND($L180="",$M180=""),"",IF($L180&lt;&gt;"",INDEX(SCNormDate,$L180),INDEX(LdgDateB,$M180)))</f>
        <v/>
      </c>
      <c r="C180" s="24">
        <f>IF($L180&lt;&gt;"",INDEX(SCOp,$L180),IF($M180&lt;&gt;"","پرداخت بانکی",""))</f>
        <v/>
      </c>
      <c r="D180" s="24">
        <f>IF($L180&lt;&gt;"",IF(INDEX(SCDoc,$L180)="","—",INDEX(SCDoc,$L180)),IF($M180&lt;&gt;"",INDEX(LdgBankB,$M180),""))</f>
        <v/>
      </c>
      <c r="E180" s="25">
        <f>IF($L180&lt;&gt;"",IF(INDEX(SCCitrus,$L180)&amp;INDEX(SCNotes,$L180)="","",IF(INDEX(SCCitrus,$L180)="","",INDEX(SCCitrus,$L180))&amp;IF(INDEX(SCNotes,$L180)="",""," — "&amp;INDEX(SCNotes,$L180))),IF($M180&lt;&gt;"",IF(INDEX(LdgNoteB,$M180)="","—",INDEX(LdgNoteB,$M180)),""))</f>
        <v/>
      </c>
      <c r="F180" s="26">
        <f>IF($L180&lt;&gt;"",IF(INDEX(SCNet,$L180)=0,"",INDEX(SCNet,$L180)),"")</f>
        <v/>
      </c>
      <c r="G180" s="27">
        <f>IF($L180&lt;&gt;"",IF(INDEX(SCOp,$L180)="مرجوعی فروش","",IF(INDEX(SCAmount,$L180)&lt;=0,"",INDEX(SCAmount,$L180))),IF($M180&lt;&gt;"",IF(INDEX(LdgWitB,$M180)=0,"",INDEX(LdgWitB,$M180)),""))</f>
        <v/>
      </c>
      <c r="H180" s="27">
        <f>IF($L180&lt;&gt;"",IF(INDEX(SCOp,$L180)="مرجوعی فروش",IF(INDEX(SCAmount,$L180)=0,"",-INDEX(SCAmount,$L180)),""),IF($M180&lt;&gt;"",IF(INDEX(LdgDepB,$M180)=0,"",INDEX(LdgDepB,$M180)),""))</f>
        <v/>
      </c>
      <c r="I180" s="28">
        <f>IF($B180="","",IF($I179="",$C$10,$I179)+IF($G180="",0,$G180)-IF($H180="",0,$H180))</f>
        <v/>
      </c>
      <c r="L180">
        <f>IFERROR(MATCH($C$5&amp;"|"&amp;RIGHT("000000"&amp;164,6),LdgRankKeyA,0),"")</f>
        <v/>
      </c>
      <c r="M180">
        <f>IFERROR(MATCH($C$5&amp;"|"&amp;RIGHT("000000"&amp;164,6),LdgRankKeyB,0),"")</f>
        <v/>
      </c>
    </row>
    <row r="181">
      <c r="A181" s="17" t="n">
        <v>165</v>
      </c>
      <c r="B181" s="18">
        <f>IF(AND($L181="",$M181=""),"",IF($L181&lt;&gt;"",INDEX(SCNormDate,$L181),INDEX(LdgDateB,$M181)))</f>
        <v/>
      </c>
      <c r="C181" s="18">
        <f>IF($L181&lt;&gt;"",INDEX(SCOp,$L181),IF($M181&lt;&gt;"","پرداخت بانکی",""))</f>
        <v/>
      </c>
      <c r="D181" s="18">
        <f>IF($L181&lt;&gt;"",IF(INDEX(SCDoc,$L181)="","—",INDEX(SCDoc,$L181)),IF($M181&lt;&gt;"",INDEX(LdgBankB,$M181),""))</f>
        <v/>
      </c>
      <c r="E181" s="19">
        <f>IF($L181&lt;&gt;"",IF(INDEX(SCCitrus,$L181)&amp;INDEX(SCNotes,$L181)="","",IF(INDEX(SCCitrus,$L181)="","",INDEX(SCCitrus,$L181))&amp;IF(INDEX(SCNotes,$L181)="",""," — "&amp;INDEX(SCNotes,$L181))),IF($M181&lt;&gt;"",IF(INDEX(LdgNoteB,$M181)="","—",INDEX(LdgNoteB,$M181)),""))</f>
        <v/>
      </c>
      <c r="F181" s="20">
        <f>IF($L181&lt;&gt;"",IF(INDEX(SCNet,$L181)=0,"",INDEX(SCNet,$L181)),"")</f>
        <v/>
      </c>
      <c r="G181" s="21">
        <f>IF($L181&lt;&gt;"",IF(INDEX(SCOp,$L181)="مرجوعی فروش","",IF(INDEX(SCAmount,$L181)&lt;=0,"",INDEX(SCAmount,$L181))),IF($M181&lt;&gt;"",IF(INDEX(LdgWitB,$M181)=0,"",INDEX(LdgWitB,$M181)),""))</f>
        <v/>
      </c>
      <c r="H181" s="21">
        <f>IF($L181&lt;&gt;"",IF(INDEX(SCOp,$L181)="مرجوعی فروش",IF(INDEX(SCAmount,$L181)=0,"",-INDEX(SCAmount,$L181)),""),IF($M181&lt;&gt;"",IF(INDEX(LdgDepB,$M181)=0,"",INDEX(LdgDepB,$M181)),""))</f>
        <v/>
      </c>
      <c r="I181" s="22">
        <f>IF($B181="","",IF($I180="",$C$10,$I180)+IF($G181="",0,$G181)-IF($H181="",0,$H181))</f>
        <v/>
      </c>
      <c r="L181">
        <f>IFERROR(MATCH($C$5&amp;"|"&amp;RIGHT("000000"&amp;165,6),LdgRankKeyA,0),"")</f>
        <v/>
      </c>
      <c r="M181">
        <f>IFERROR(MATCH($C$5&amp;"|"&amp;RIGHT("000000"&amp;165,6),LdgRankKeyB,0),"")</f>
        <v/>
      </c>
    </row>
    <row r="182">
      <c r="A182" s="23" t="n">
        <v>166</v>
      </c>
      <c r="B182" s="24">
        <f>IF(AND($L182="",$M182=""),"",IF($L182&lt;&gt;"",INDEX(SCNormDate,$L182),INDEX(LdgDateB,$M182)))</f>
        <v/>
      </c>
      <c r="C182" s="24">
        <f>IF($L182&lt;&gt;"",INDEX(SCOp,$L182),IF($M182&lt;&gt;"","پرداخت بانکی",""))</f>
        <v/>
      </c>
      <c r="D182" s="24">
        <f>IF($L182&lt;&gt;"",IF(INDEX(SCDoc,$L182)="","—",INDEX(SCDoc,$L182)),IF($M182&lt;&gt;"",INDEX(LdgBankB,$M182),""))</f>
        <v/>
      </c>
      <c r="E182" s="25">
        <f>IF($L182&lt;&gt;"",IF(INDEX(SCCitrus,$L182)&amp;INDEX(SCNotes,$L182)="","",IF(INDEX(SCCitrus,$L182)="","",INDEX(SCCitrus,$L182))&amp;IF(INDEX(SCNotes,$L182)="",""," — "&amp;INDEX(SCNotes,$L182))),IF($M182&lt;&gt;"",IF(INDEX(LdgNoteB,$M182)="","—",INDEX(LdgNoteB,$M182)),""))</f>
        <v/>
      </c>
      <c r="F182" s="26">
        <f>IF($L182&lt;&gt;"",IF(INDEX(SCNet,$L182)=0,"",INDEX(SCNet,$L182)),"")</f>
        <v/>
      </c>
      <c r="G182" s="27">
        <f>IF($L182&lt;&gt;"",IF(INDEX(SCOp,$L182)="مرجوعی فروش","",IF(INDEX(SCAmount,$L182)&lt;=0,"",INDEX(SCAmount,$L182))),IF($M182&lt;&gt;"",IF(INDEX(LdgWitB,$M182)=0,"",INDEX(LdgWitB,$M182)),""))</f>
        <v/>
      </c>
      <c r="H182" s="27">
        <f>IF($L182&lt;&gt;"",IF(INDEX(SCOp,$L182)="مرجوعی فروش",IF(INDEX(SCAmount,$L182)=0,"",-INDEX(SCAmount,$L182)),""),IF($M182&lt;&gt;"",IF(INDEX(LdgDepB,$M182)=0,"",INDEX(LdgDepB,$M182)),""))</f>
        <v/>
      </c>
      <c r="I182" s="28">
        <f>IF($B182="","",IF($I181="",$C$10,$I181)+IF($G182="",0,$G182)-IF($H182="",0,$H182))</f>
        <v/>
      </c>
      <c r="L182">
        <f>IFERROR(MATCH($C$5&amp;"|"&amp;RIGHT("000000"&amp;166,6),LdgRankKeyA,0),"")</f>
        <v/>
      </c>
      <c r="M182">
        <f>IFERROR(MATCH($C$5&amp;"|"&amp;RIGHT("000000"&amp;166,6),LdgRankKeyB,0),"")</f>
        <v/>
      </c>
    </row>
    <row r="183">
      <c r="A183" s="17" t="n">
        <v>167</v>
      </c>
      <c r="B183" s="18">
        <f>IF(AND($L183="",$M183=""),"",IF($L183&lt;&gt;"",INDEX(SCNormDate,$L183),INDEX(LdgDateB,$M183)))</f>
        <v/>
      </c>
      <c r="C183" s="18">
        <f>IF($L183&lt;&gt;"",INDEX(SCOp,$L183),IF($M183&lt;&gt;"","پرداخت بانکی",""))</f>
        <v/>
      </c>
      <c r="D183" s="18">
        <f>IF($L183&lt;&gt;"",IF(INDEX(SCDoc,$L183)="","—",INDEX(SCDoc,$L183)),IF($M183&lt;&gt;"",INDEX(LdgBankB,$M183),""))</f>
        <v/>
      </c>
      <c r="E183" s="19">
        <f>IF($L183&lt;&gt;"",IF(INDEX(SCCitrus,$L183)&amp;INDEX(SCNotes,$L183)="","",IF(INDEX(SCCitrus,$L183)="","",INDEX(SCCitrus,$L183))&amp;IF(INDEX(SCNotes,$L183)="",""," — "&amp;INDEX(SCNotes,$L183))),IF($M183&lt;&gt;"",IF(INDEX(LdgNoteB,$M183)="","—",INDEX(LdgNoteB,$M183)),""))</f>
        <v/>
      </c>
      <c r="F183" s="20">
        <f>IF($L183&lt;&gt;"",IF(INDEX(SCNet,$L183)=0,"",INDEX(SCNet,$L183)),"")</f>
        <v/>
      </c>
      <c r="G183" s="21">
        <f>IF($L183&lt;&gt;"",IF(INDEX(SCOp,$L183)="مرجوعی فروش","",IF(INDEX(SCAmount,$L183)&lt;=0,"",INDEX(SCAmount,$L183))),IF($M183&lt;&gt;"",IF(INDEX(LdgWitB,$M183)=0,"",INDEX(LdgWitB,$M183)),""))</f>
        <v/>
      </c>
      <c r="H183" s="21">
        <f>IF($L183&lt;&gt;"",IF(INDEX(SCOp,$L183)="مرجوعی فروش",IF(INDEX(SCAmount,$L183)=0,"",-INDEX(SCAmount,$L183)),""),IF($M183&lt;&gt;"",IF(INDEX(LdgDepB,$M183)=0,"",INDEX(LdgDepB,$M183)),""))</f>
        <v/>
      </c>
      <c r="I183" s="22">
        <f>IF($B183="","",IF($I182="",$C$10,$I182)+IF($G183="",0,$G183)-IF($H183="",0,$H183))</f>
        <v/>
      </c>
      <c r="L183">
        <f>IFERROR(MATCH($C$5&amp;"|"&amp;RIGHT("000000"&amp;167,6),LdgRankKeyA,0),"")</f>
        <v/>
      </c>
      <c r="M183">
        <f>IFERROR(MATCH($C$5&amp;"|"&amp;RIGHT("000000"&amp;167,6),LdgRankKeyB,0),"")</f>
        <v/>
      </c>
    </row>
    <row r="184">
      <c r="A184" s="23" t="n">
        <v>168</v>
      </c>
      <c r="B184" s="24">
        <f>IF(AND($L184="",$M184=""),"",IF($L184&lt;&gt;"",INDEX(SCNormDate,$L184),INDEX(LdgDateB,$M184)))</f>
        <v/>
      </c>
      <c r="C184" s="24">
        <f>IF($L184&lt;&gt;"",INDEX(SCOp,$L184),IF($M184&lt;&gt;"","پرداخت بانکی",""))</f>
        <v/>
      </c>
      <c r="D184" s="24">
        <f>IF($L184&lt;&gt;"",IF(INDEX(SCDoc,$L184)="","—",INDEX(SCDoc,$L184)),IF($M184&lt;&gt;"",INDEX(LdgBankB,$M184),""))</f>
        <v/>
      </c>
      <c r="E184" s="25">
        <f>IF($L184&lt;&gt;"",IF(INDEX(SCCitrus,$L184)&amp;INDEX(SCNotes,$L184)="","",IF(INDEX(SCCitrus,$L184)="","",INDEX(SCCitrus,$L184))&amp;IF(INDEX(SCNotes,$L184)="",""," — "&amp;INDEX(SCNotes,$L184))),IF($M184&lt;&gt;"",IF(INDEX(LdgNoteB,$M184)="","—",INDEX(LdgNoteB,$M184)),""))</f>
        <v/>
      </c>
      <c r="F184" s="26">
        <f>IF($L184&lt;&gt;"",IF(INDEX(SCNet,$L184)=0,"",INDEX(SCNet,$L184)),"")</f>
        <v/>
      </c>
      <c r="G184" s="27">
        <f>IF($L184&lt;&gt;"",IF(INDEX(SCOp,$L184)="مرجوعی فروش","",IF(INDEX(SCAmount,$L184)&lt;=0,"",INDEX(SCAmount,$L184))),IF($M184&lt;&gt;"",IF(INDEX(LdgWitB,$M184)=0,"",INDEX(LdgWitB,$M184)),""))</f>
        <v/>
      </c>
      <c r="H184" s="27">
        <f>IF($L184&lt;&gt;"",IF(INDEX(SCOp,$L184)="مرجوعی فروش",IF(INDEX(SCAmount,$L184)=0,"",-INDEX(SCAmount,$L184)),""),IF($M184&lt;&gt;"",IF(INDEX(LdgDepB,$M184)=0,"",INDEX(LdgDepB,$M184)),""))</f>
        <v/>
      </c>
      <c r="I184" s="28">
        <f>IF($B184="","",IF($I183="",$C$10,$I183)+IF($G184="",0,$G184)-IF($H184="",0,$H184))</f>
        <v/>
      </c>
      <c r="L184">
        <f>IFERROR(MATCH($C$5&amp;"|"&amp;RIGHT("000000"&amp;168,6),LdgRankKeyA,0),"")</f>
        <v/>
      </c>
      <c r="M184">
        <f>IFERROR(MATCH($C$5&amp;"|"&amp;RIGHT("000000"&amp;168,6),LdgRankKeyB,0),"")</f>
        <v/>
      </c>
    </row>
    <row r="185">
      <c r="A185" s="17" t="n">
        <v>169</v>
      </c>
      <c r="B185" s="18">
        <f>IF(AND($L185="",$M185=""),"",IF($L185&lt;&gt;"",INDEX(SCNormDate,$L185),INDEX(LdgDateB,$M185)))</f>
        <v/>
      </c>
      <c r="C185" s="18">
        <f>IF($L185&lt;&gt;"",INDEX(SCOp,$L185),IF($M185&lt;&gt;"","پرداخت بانکی",""))</f>
        <v/>
      </c>
      <c r="D185" s="18">
        <f>IF($L185&lt;&gt;"",IF(INDEX(SCDoc,$L185)="","—",INDEX(SCDoc,$L185)),IF($M185&lt;&gt;"",INDEX(LdgBankB,$M185),""))</f>
        <v/>
      </c>
      <c r="E185" s="19">
        <f>IF($L185&lt;&gt;"",IF(INDEX(SCCitrus,$L185)&amp;INDEX(SCNotes,$L185)="","",IF(INDEX(SCCitrus,$L185)="","",INDEX(SCCitrus,$L185))&amp;IF(INDEX(SCNotes,$L185)="",""," — "&amp;INDEX(SCNotes,$L185))),IF($M185&lt;&gt;"",IF(INDEX(LdgNoteB,$M185)="","—",INDEX(LdgNoteB,$M185)),""))</f>
        <v/>
      </c>
      <c r="F185" s="20">
        <f>IF($L185&lt;&gt;"",IF(INDEX(SCNet,$L185)=0,"",INDEX(SCNet,$L185)),"")</f>
        <v/>
      </c>
      <c r="G185" s="21">
        <f>IF($L185&lt;&gt;"",IF(INDEX(SCOp,$L185)="مرجوعی فروش","",IF(INDEX(SCAmount,$L185)&lt;=0,"",INDEX(SCAmount,$L185))),IF($M185&lt;&gt;"",IF(INDEX(LdgWitB,$M185)=0,"",INDEX(LdgWitB,$M185)),""))</f>
        <v/>
      </c>
      <c r="H185" s="21">
        <f>IF($L185&lt;&gt;"",IF(INDEX(SCOp,$L185)="مرجوعی فروش",IF(INDEX(SCAmount,$L185)=0,"",-INDEX(SCAmount,$L185)),""),IF($M185&lt;&gt;"",IF(INDEX(LdgDepB,$M185)=0,"",INDEX(LdgDepB,$M185)),""))</f>
        <v/>
      </c>
      <c r="I185" s="22">
        <f>IF($B185="","",IF($I184="",$C$10,$I184)+IF($G185="",0,$G185)-IF($H185="",0,$H185))</f>
        <v/>
      </c>
      <c r="L185">
        <f>IFERROR(MATCH($C$5&amp;"|"&amp;RIGHT("000000"&amp;169,6),LdgRankKeyA,0),"")</f>
        <v/>
      </c>
      <c r="M185">
        <f>IFERROR(MATCH($C$5&amp;"|"&amp;RIGHT("000000"&amp;169,6),LdgRankKeyB,0),"")</f>
        <v/>
      </c>
    </row>
    <row r="186">
      <c r="A186" s="23" t="n">
        <v>170</v>
      </c>
      <c r="B186" s="24">
        <f>IF(AND($L186="",$M186=""),"",IF($L186&lt;&gt;"",INDEX(SCNormDate,$L186),INDEX(LdgDateB,$M186)))</f>
        <v/>
      </c>
      <c r="C186" s="24">
        <f>IF($L186&lt;&gt;"",INDEX(SCOp,$L186),IF($M186&lt;&gt;"","پرداخت بانکی",""))</f>
        <v/>
      </c>
      <c r="D186" s="24">
        <f>IF($L186&lt;&gt;"",IF(INDEX(SCDoc,$L186)="","—",INDEX(SCDoc,$L186)),IF($M186&lt;&gt;"",INDEX(LdgBankB,$M186),""))</f>
        <v/>
      </c>
      <c r="E186" s="25">
        <f>IF($L186&lt;&gt;"",IF(INDEX(SCCitrus,$L186)&amp;INDEX(SCNotes,$L186)="","",IF(INDEX(SCCitrus,$L186)="","",INDEX(SCCitrus,$L186))&amp;IF(INDEX(SCNotes,$L186)="",""," — "&amp;INDEX(SCNotes,$L186))),IF($M186&lt;&gt;"",IF(INDEX(LdgNoteB,$M186)="","—",INDEX(LdgNoteB,$M186)),""))</f>
        <v/>
      </c>
      <c r="F186" s="26">
        <f>IF($L186&lt;&gt;"",IF(INDEX(SCNet,$L186)=0,"",INDEX(SCNet,$L186)),"")</f>
        <v/>
      </c>
      <c r="G186" s="27">
        <f>IF($L186&lt;&gt;"",IF(INDEX(SCOp,$L186)="مرجوعی فروش","",IF(INDEX(SCAmount,$L186)&lt;=0,"",INDEX(SCAmount,$L186))),IF($M186&lt;&gt;"",IF(INDEX(LdgWitB,$M186)=0,"",INDEX(LdgWitB,$M186)),""))</f>
        <v/>
      </c>
      <c r="H186" s="27">
        <f>IF($L186&lt;&gt;"",IF(INDEX(SCOp,$L186)="مرجوعی فروش",IF(INDEX(SCAmount,$L186)=0,"",-INDEX(SCAmount,$L186)),""),IF($M186&lt;&gt;"",IF(INDEX(LdgDepB,$M186)=0,"",INDEX(LdgDepB,$M186)),""))</f>
        <v/>
      </c>
      <c r="I186" s="28">
        <f>IF($B186="","",IF($I185="",$C$10,$I185)+IF($G186="",0,$G186)-IF($H186="",0,$H186))</f>
        <v/>
      </c>
      <c r="L186">
        <f>IFERROR(MATCH($C$5&amp;"|"&amp;RIGHT("000000"&amp;170,6),LdgRankKeyA,0),"")</f>
        <v/>
      </c>
      <c r="M186">
        <f>IFERROR(MATCH($C$5&amp;"|"&amp;RIGHT("000000"&amp;170,6),LdgRankKeyB,0),"")</f>
        <v/>
      </c>
    </row>
    <row r="187">
      <c r="A187" s="17" t="n">
        <v>171</v>
      </c>
      <c r="B187" s="18">
        <f>IF(AND($L187="",$M187=""),"",IF($L187&lt;&gt;"",INDEX(SCNormDate,$L187),INDEX(LdgDateB,$M187)))</f>
        <v/>
      </c>
      <c r="C187" s="18">
        <f>IF($L187&lt;&gt;"",INDEX(SCOp,$L187),IF($M187&lt;&gt;"","پرداخت بانکی",""))</f>
        <v/>
      </c>
      <c r="D187" s="18">
        <f>IF($L187&lt;&gt;"",IF(INDEX(SCDoc,$L187)="","—",INDEX(SCDoc,$L187)),IF($M187&lt;&gt;"",INDEX(LdgBankB,$M187),""))</f>
        <v/>
      </c>
      <c r="E187" s="19">
        <f>IF($L187&lt;&gt;"",IF(INDEX(SCCitrus,$L187)&amp;INDEX(SCNotes,$L187)="","",IF(INDEX(SCCitrus,$L187)="","",INDEX(SCCitrus,$L187))&amp;IF(INDEX(SCNotes,$L187)="",""," — "&amp;INDEX(SCNotes,$L187))),IF($M187&lt;&gt;"",IF(INDEX(LdgNoteB,$M187)="","—",INDEX(LdgNoteB,$M187)),""))</f>
        <v/>
      </c>
      <c r="F187" s="20">
        <f>IF($L187&lt;&gt;"",IF(INDEX(SCNet,$L187)=0,"",INDEX(SCNet,$L187)),"")</f>
        <v/>
      </c>
      <c r="G187" s="21">
        <f>IF($L187&lt;&gt;"",IF(INDEX(SCOp,$L187)="مرجوعی فروش","",IF(INDEX(SCAmount,$L187)&lt;=0,"",INDEX(SCAmount,$L187))),IF($M187&lt;&gt;"",IF(INDEX(LdgWitB,$M187)=0,"",INDEX(LdgWitB,$M187)),""))</f>
        <v/>
      </c>
      <c r="H187" s="21">
        <f>IF($L187&lt;&gt;"",IF(INDEX(SCOp,$L187)="مرجوعی فروش",IF(INDEX(SCAmount,$L187)=0,"",-INDEX(SCAmount,$L187)),""),IF($M187&lt;&gt;"",IF(INDEX(LdgDepB,$M187)=0,"",INDEX(LdgDepB,$M187)),""))</f>
        <v/>
      </c>
      <c r="I187" s="22">
        <f>IF($B187="","",IF($I186="",$C$10,$I186)+IF($G187="",0,$G187)-IF($H187="",0,$H187))</f>
        <v/>
      </c>
      <c r="L187">
        <f>IFERROR(MATCH($C$5&amp;"|"&amp;RIGHT("000000"&amp;171,6),LdgRankKeyA,0),"")</f>
        <v/>
      </c>
      <c r="M187">
        <f>IFERROR(MATCH($C$5&amp;"|"&amp;RIGHT("000000"&amp;171,6),LdgRankKeyB,0),"")</f>
        <v/>
      </c>
    </row>
    <row r="188">
      <c r="A188" s="23" t="n">
        <v>172</v>
      </c>
      <c r="B188" s="24">
        <f>IF(AND($L188="",$M188=""),"",IF($L188&lt;&gt;"",INDEX(SCNormDate,$L188),INDEX(LdgDateB,$M188)))</f>
        <v/>
      </c>
      <c r="C188" s="24">
        <f>IF($L188&lt;&gt;"",INDEX(SCOp,$L188),IF($M188&lt;&gt;"","پرداخت بانکی",""))</f>
        <v/>
      </c>
      <c r="D188" s="24">
        <f>IF($L188&lt;&gt;"",IF(INDEX(SCDoc,$L188)="","—",INDEX(SCDoc,$L188)),IF($M188&lt;&gt;"",INDEX(LdgBankB,$M188),""))</f>
        <v/>
      </c>
      <c r="E188" s="25">
        <f>IF($L188&lt;&gt;"",IF(INDEX(SCCitrus,$L188)&amp;INDEX(SCNotes,$L188)="","",IF(INDEX(SCCitrus,$L188)="","",INDEX(SCCitrus,$L188))&amp;IF(INDEX(SCNotes,$L188)="",""," — "&amp;INDEX(SCNotes,$L188))),IF($M188&lt;&gt;"",IF(INDEX(LdgNoteB,$M188)="","—",INDEX(LdgNoteB,$M188)),""))</f>
        <v/>
      </c>
      <c r="F188" s="26">
        <f>IF($L188&lt;&gt;"",IF(INDEX(SCNet,$L188)=0,"",INDEX(SCNet,$L188)),"")</f>
        <v/>
      </c>
      <c r="G188" s="27">
        <f>IF($L188&lt;&gt;"",IF(INDEX(SCOp,$L188)="مرجوعی فروش","",IF(INDEX(SCAmount,$L188)&lt;=0,"",INDEX(SCAmount,$L188))),IF($M188&lt;&gt;"",IF(INDEX(LdgWitB,$M188)=0,"",INDEX(LdgWitB,$M188)),""))</f>
        <v/>
      </c>
      <c r="H188" s="27">
        <f>IF($L188&lt;&gt;"",IF(INDEX(SCOp,$L188)="مرجوعی فروش",IF(INDEX(SCAmount,$L188)=0,"",-INDEX(SCAmount,$L188)),""),IF($M188&lt;&gt;"",IF(INDEX(LdgDepB,$M188)=0,"",INDEX(LdgDepB,$M188)),""))</f>
        <v/>
      </c>
      <c r="I188" s="28">
        <f>IF($B188="","",IF($I187="",$C$10,$I187)+IF($G188="",0,$G188)-IF($H188="",0,$H188))</f>
        <v/>
      </c>
      <c r="L188">
        <f>IFERROR(MATCH($C$5&amp;"|"&amp;RIGHT("000000"&amp;172,6),LdgRankKeyA,0),"")</f>
        <v/>
      </c>
      <c r="M188">
        <f>IFERROR(MATCH($C$5&amp;"|"&amp;RIGHT("000000"&amp;172,6),LdgRankKeyB,0),"")</f>
        <v/>
      </c>
    </row>
    <row r="189">
      <c r="A189" s="17" t="n">
        <v>173</v>
      </c>
      <c r="B189" s="18">
        <f>IF(AND($L189="",$M189=""),"",IF($L189&lt;&gt;"",INDEX(SCNormDate,$L189),INDEX(LdgDateB,$M189)))</f>
        <v/>
      </c>
      <c r="C189" s="18">
        <f>IF($L189&lt;&gt;"",INDEX(SCOp,$L189),IF($M189&lt;&gt;"","پرداخت بانکی",""))</f>
        <v/>
      </c>
      <c r="D189" s="18">
        <f>IF($L189&lt;&gt;"",IF(INDEX(SCDoc,$L189)="","—",INDEX(SCDoc,$L189)),IF($M189&lt;&gt;"",INDEX(LdgBankB,$M189),""))</f>
        <v/>
      </c>
      <c r="E189" s="19">
        <f>IF($L189&lt;&gt;"",IF(INDEX(SCCitrus,$L189)&amp;INDEX(SCNotes,$L189)="","",IF(INDEX(SCCitrus,$L189)="","",INDEX(SCCitrus,$L189))&amp;IF(INDEX(SCNotes,$L189)="",""," — "&amp;INDEX(SCNotes,$L189))),IF($M189&lt;&gt;"",IF(INDEX(LdgNoteB,$M189)="","—",INDEX(LdgNoteB,$M189)),""))</f>
        <v/>
      </c>
      <c r="F189" s="20">
        <f>IF($L189&lt;&gt;"",IF(INDEX(SCNet,$L189)=0,"",INDEX(SCNet,$L189)),"")</f>
        <v/>
      </c>
      <c r="G189" s="21">
        <f>IF($L189&lt;&gt;"",IF(INDEX(SCOp,$L189)="مرجوعی فروش","",IF(INDEX(SCAmount,$L189)&lt;=0,"",INDEX(SCAmount,$L189))),IF($M189&lt;&gt;"",IF(INDEX(LdgWitB,$M189)=0,"",INDEX(LdgWitB,$M189)),""))</f>
        <v/>
      </c>
      <c r="H189" s="21">
        <f>IF($L189&lt;&gt;"",IF(INDEX(SCOp,$L189)="مرجوعی فروش",IF(INDEX(SCAmount,$L189)=0,"",-INDEX(SCAmount,$L189)),""),IF($M189&lt;&gt;"",IF(INDEX(LdgDepB,$M189)=0,"",INDEX(LdgDepB,$M189)),""))</f>
        <v/>
      </c>
      <c r="I189" s="22">
        <f>IF($B189="","",IF($I188="",$C$10,$I188)+IF($G189="",0,$G189)-IF($H189="",0,$H189))</f>
        <v/>
      </c>
      <c r="L189">
        <f>IFERROR(MATCH($C$5&amp;"|"&amp;RIGHT("000000"&amp;173,6),LdgRankKeyA,0),"")</f>
        <v/>
      </c>
      <c r="M189">
        <f>IFERROR(MATCH($C$5&amp;"|"&amp;RIGHT("000000"&amp;173,6),LdgRankKeyB,0),"")</f>
        <v/>
      </c>
    </row>
    <row r="190">
      <c r="A190" s="23" t="n">
        <v>174</v>
      </c>
      <c r="B190" s="24">
        <f>IF(AND($L190="",$M190=""),"",IF($L190&lt;&gt;"",INDEX(SCNormDate,$L190),INDEX(LdgDateB,$M190)))</f>
        <v/>
      </c>
      <c r="C190" s="24">
        <f>IF($L190&lt;&gt;"",INDEX(SCOp,$L190),IF($M190&lt;&gt;"","پرداخت بانکی",""))</f>
        <v/>
      </c>
      <c r="D190" s="24">
        <f>IF($L190&lt;&gt;"",IF(INDEX(SCDoc,$L190)="","—",INDEX(SCDoc,$L190)),IF($M190&lt;&gt;"",INDEX(LdgBankB,$M190),""))</f>
        <v/>
      </c>
      <c r="E190" s="25">
        <f>IF($L190&lt;&gt;"",IF(INDEX(SCCitrus,$L190)&amp;INDEX(SCNotes,$L190)="","",IF(INDEX(SCCitrus,$L190)="","",INDEX(SCCitrus,$L190))&amp;IF(INDEX(SCNotes,$L190)="",""," — "&amp;INDEX(SCNotes,$L190))),IF($M190&lt;&gt;"",IF(INDEX(LdgNoteB,$M190)="","—",INDEX(LdgNoteB,$M190)),""))</f>
        <v/>
      </c>
      <c r="F190" s="26">
        <f>IF($L190&lt;&gt;"",IF(INDEX(SCNet,$L190)=0,"",INDEX(SCNet,$L190)),"")</f>
        <v/>
      </c>
      <c r="G190" s="27">
        <f>IF($L190&lt;&gt;"",IF(INDEX(SCOp,$L190)="مرجوعی فروش","",IF(INDEX(SCAmount,$L190)&lt;=0,"",INDEX(SCAmount,$L190))),IF($M190&lt;&gt;"",IF(INDEX(LdgWitB,$M190)=0,"",INDEX(LdgWitB,$M190)),""))</f>
        <v/>
      </c>
      <c r="H190" s="27">
        <f>IF($L190&lt;&gt;"",IF(INDEX(SCOp,$L190)="مرجوعی فروش",IF(INDEX(SCAmount,$L190)=0,"",-INDEX(SCAmount,$L190)),""),IF($M190&lt;&gt;"",IF(INDEX(LdgDepB,$M190)=0,"",INDEX(LdgDepB,$M190)),""))</f>
        <v/>
      </c>
      <c r="I190" s="28">
        <f>IF($B190="","",IF($I189="",$C$10,$I189)+IF($G190="",0,$G190)-IF($H190="",0,$H190))</f>
        <v/>
      </c>
      <c r="L190">
        <f>IFERROR(MATCH($C$5&amp;"|"&amp;RIGHT("000000"&amp;174,6),LdgRankKeyA,0),"")</f>
        <v/>
      </c>
      <c r="M190">
        <f>IFERROR(MATCH($C$5&amp;"|"&amp;RIGHT("000000"&amp;174,6),LdgRankKeyB,0),"")</f>
        <v/>
      </c>
    </row>
    <row r="191">
      <c r="A191" s="17" t="n">
        <v>175</v>
      </c>
      <c r="B191" s="18">
        <f>IF(AND($L191="",$M191=""),"",IF($L191&lt;&gt;"",INDEX(SCNormDate,$L191),INDEX(LdgDateB,$M191)))</f>
        <v/>
      </c>
      <c r="C191" s="18">
        <f>IF($L191&lt;&gt;"",INDEX(SCOp,$L191),IF($M191&lt;&gt;"","پرداخت بانکی",""))</f>
        <v/>
      </c>
      <c r="D191" s="18">
        <f>IF($L191&lt;&gt;"",IF(INDEX(SCDoc,$L191)="","—",INDEX(SCDoc,$L191)),IF($M191&lt;&gt;"",INDEX(LdgBankB,$M191),""))</f>
        <v/>
      </c>
      <c r="E191" s="19">
        <f>IF($L191&lt;&gt;"",IF(INDEX(SCCitrus,$L191)&amp;INDEX(SCNotes,$L191)="","",IF(INDEX(SCCitrus,$L191)="","",INDEX(SCCitrus,$L191))&amp;IF(INDEX(SCNotes,$L191)="",""," — "&amp;INDEX(SCNotes,$L191))),IF($M191&lt;&gt;"",IF(INDEX(LdgNoteB,$M191)="","—",INDEX(LdgNoteB,$M191)),""))</f>
        <v/>
      </c>
      <c r="F191" s="20">
        <f>IF($L191&lt;&gt;"",IF(INDEX(SCNet,$L191)=0,"",INDEX(SCNet,$L191)),"")</f>
        <v/>
      </c>
      <c r="G191" s="21">
        <f>IF($L191&lt;&gt;"",IF(INDEX(SCOp,$L191)="مرجوعی فروش","",IF(INDEX(SCAmount,$L191)&lt;=0,"",INDEX(SCAmount,$L191))),IF($M191&lt;&gt;"",IF(INDEX(LdgWitB,$M191)=0,"",INDEX(LdgWitB,$M191)),""))</f>
        <v/>
      </c>
      <c r="H191" s="21">
        <f>IF($L191&lt;&gt;"",IF(INDEX(SCOp,$L191)="مرجوعی فروش",IF(INDEX(SCAmount,$L191)=0,"",-INDEX(SCAmount,$L191)),""),IF($M191&lt;&gt;"",IF(INDEX(LdgDepB,$M191)=0,"",INDEX(LdgDepB,$M191)),""))</f>
        <v/>
      </c>
      <c r="I191" s="22">
        <f>IF($B191="","",IF($I190="",$C$10,$I190)+IF($G191="",0,$G191)-IF($H191="",0,$H191))</f>
        <v/>
      </c>
      <c r="L191">
        <f>IFERROR(MATCH($C$5&amp;"|"&amp;RIGHT("000000"&amp;175,6),LdgRankKeyA,0),"")</f>
        <v/>
      </c>
      <c r="M191">
        <f>IFERROR(MATCH($C$5&amp;"|"&amp;RIGHT("000000"&amp;175,6),LdgRankKeyB,0),"")</f>
        <v/>
      </c>
    </row>
    <row r="192">
      <c r="A192" s="23" t="n">
        <v>176</v>
      </c>
      <c r="B192" s="24">
        <f>IF(AND($L192="",$M192=""),"",IF($L192&lt;&gt;"",INDEX(SCNormDate,$L192),INDEX(LdgDateB,$M192)))</f>
        <v/>
      </c>
      <c r="C192" s="24">
        <f>IF($L192&lt;&gt;"",INDEX(SCOp,$L192),IF($M192&lt;&gt;"","پرداخت بانکی",""))</f>
        <v/>
      </c>
      <c r="D192" s="24">
        <f>IF($L192&lt;&gt;"",IF(INDEX(SCDoc,$L192)="","—",INDEX(SCDoc,$L192)),IF($M192&lt;&gt;"",INDEX(LdgBankB,$M192),""))</f>
        <v/>
      </c>
      <c r="E192" s="25">
        <f>IF($L192&lt;&gt;"",IF(INDEX(SCCitrus,$L192)&amp;INDEX(SCNotes,$L192)="","",IF(INDEX(SCCitrus,$L192)="","",INDEX(SCCitrus,$L192))&amp;IF(INDEX(SCNotes,$L192)="",""," — "&amp;INDEX(SCNotes,$L192))),IF($M192&lt;&gt;"",IF(INDEX(LdgNoteB,$M192)="","—",INDEX(LdgNoteB,$M192)),""))</f>
        <v/>
      </c>
      <c r="F192" s="26">
        <f>IF($L192&lt;&gt;"",IF(INDEX(SCNet,$L192)=0,"",INDEX(SCNet,$L192)),"")</f>
        <v/>
      </c>
      <c r="G192" s="27">
        <f>IF($L192&lt;&gt;"",IF(INDEX(SCOp,$L192)="مرجوعی فروش","",IF(INDEX(SCAmount,$L192)&lt;=0,"",INDEX(SCAmount,$L192))),IF($M192&lt;&gt;"",IF(INDEX(LdgWitB,$M192)=0,"",INDEX(LdgWitB,$M192)),""))</f>
        <v/>
      </c>
      <c r="H192" s="27">
        <f>IF($L192&lt;&gt;"",IF(INDEX(SCOp,$L192)="مرجوعی فروش",IF(INDEX(SCAmount,$L192)=0,"",-INDEX(SCAmount,$L192)),""),IF($M192&lt;&gt;"",IF(INDEX(LdgDepB,$M192)=0,"",INDEX(LdgDepB,$M192)),""))</f>
        <v/>
      </c>
      <c r="I192" s="28">
        <f>IF($B192="","",IF($I191="",$C$10,$I191)+IF($G192="",0,$G192)-IF($H192="",0,$H192))</f>
        <v/>
      </c>
      <c r="L192">
        <f>IFERROR(MATCH($C$5&amp;"|"&amp;RIGHT("000000"&amp;176,6),LdgRankKeyA,0),"")</f>
        <v/>
      </c>
      <c r="M192">
        <f>IFERROR(MATCH($C$5&amp;"|"&amp;RIGHT("000000"&amp;176,6),LdgRankKeyB,0),"")</f>
        <v/>
      </c>
    </row>
    <row r="193">
      <c r="A193" s="17" t="n">
        <v>177</v>
      </c>
      <c r="B193" s="18">
        <f>IF(AND($L193="",$M193=""),"",IF($L193&lt;&gt;"",INDEX(SCNormDate,$L193),INDEX(LdgDateB,$M193)))</f>
        <v/>
      </c>
      <c r="C193" s="18">
        <f>IF($L193&lt;&gt;"",INDEX(SCOp,$L193),IF($M193&lt;&gt;"","پرداخت بانکی",""))</f>
        <v/>
      </c>
      <c r="D193" s="18">
        <f>IF($L193&lt;&gt;"",IF(INDEX(SCDoc,$L193)="","—",INDEX(SCDoc,$L193)),IF($M193&lt;&gt;"",INDEX(LdgBankB,$M193),""))</f>
        <v/>
      </c>
      <c r="E193" s="19">
        <f>IF($L193&lt;&gt;"",IF(INDEX(SCCitrus,$L193)&amp;INDEX(SCNotes,$L193)="","",IF(INDEX(SCCitrus,$L193)="","",INDEX(SCCitrus,$L193))&amp;IF(INDEX(SCNotes,$L193)="",""," — "&amp;INDEX(SCNotes,$L193))),IF($M193&lt;&gt;"",IF(INDEX(LdgNoteB,$M193)="","—",INDEX(LdgNoteB,$M193)),""))</f>
        <v/>
      </c>
      <c r="F193" s="20">
        <f>IF($L193&lt;&gt;"",IF(INDEX(SCNet,$L193)=0,"",INDEX(SCNet,$L193)),"")</f>
        <v/>
      </c>
      <c r="G193" s="21">
        <f>IF($L193&lt;&gt;"",IF(INDEX(SCOp,$L193)="مرجوعی فروش","",IF(INDEX(SCAmount,$L193)&lt;=0,"",INDEX(SCAmount,$L193))),IF($M193&lt;&gt;"",IF(INDEX(LdgWitB,$M193)=0,"",INDEX(LdgWitB,$M193)),""))</f>
        <v/>
      </c>
      <c r="H193" s="21">
        <f>IF($L193&lt;&gt;"",IF(INDEX(SCOp,$L193)="مرجوعی فروش",IF(INDEX(SCAmount,$L193)=0,"",-INDEX(SCAmount,$L193)),""),IF($M193&lt;&gt;"",IF(INDEX(LdgDepB,$M193)=0,"",INDEX(LdgDepB,$M193)),""))</f>
        <v/>
      </c>
      <c r="I193" s="22">
        <f>IF($B193="","",IF($I192="",$C$10,$I192)+IF($G193="",0,$G193)-IF($H193="",0,$H193))</f>
        <v/>
      </c>
      <c r="L193">
        <f>IFERROR(MATCH($C$5&amp;"|"&amp;RIGHT("000000"&amp;177,6),LdgRankKeyA,0),"")</f>
        <v/>
      </c>
      <c r="M193">
        <f>IFERROR(MATCH($C$5&amp;"|"&amp;RIGHT("000000"&amp;177,6),LdgRankKeyB,0),"")</f>
        <v/>
      </c>
    </row>
    <row r="194">
      <c r="A194" s="23" t="n">
        <v>178</v>
      </c>
      <c r="B194" s="24">
        <f>IF(AND($L194="",$M194=""),"",IF($L194&lt;&gt;"",INDEX(SCNormDate,$L194),INDEX(LdgDateB,$M194)))</f>
        <v/>
      </c>
      <c r="C194" s="24">
        <f>IF($L194&lt;&gt;"",INDEX(SCOp,$L194),IF($M194&lt;&gt;"","پرداخت بانکی",""))</f>
        <v/>
      </c>
      <c r="D194" s="24">
        <f>IF($L194&lt;&gt;"",IF(INDEX(SCDoc,$L194)="","—",INDEX(SCDoc,$L194)),IF($M194&lt;&gt;"",INDEX(LdgBankB,$M194),""))</f>
        <v/>
      </c>
      <c r="E194" s="25">
        <f>IF($L194&lt;&gt;"",IF(INDEX(SCCitrus,$L194)&amp;INDEX(SCNotes,$L194)="","",IF(INDEX(SCCitrus,$L194)="","",INDEX(SCCitrus,$L194))&amp;IF(INDEX(SCNotes,$L194)="",""," — "&amp;INDEX(SCNotes,$L194))),IF($M194&lt;&gt;"",IF(INDEX(LdgNoteB,$M194)="","—",INDEX(LdgNoteB,$M194)),""))</f>
        <v/>
      </c>
      <c r="F194" s="26">
        <f>IF($L194&lt;&gt;"",IF(INDEX(SCNet,$L194)=0,"",INDEX(SCNet,$L194)),"")</f>
        <v/>
      </c>
      <c r="G194" s="27">
        <f>IF($L194&lt;&gt;"",IF(INDEX(SCOp,$L194)="مرجوعی فروش","",IF(INDEX(SCAmount,$L194)&lt;=0,"",INDEX(SCAmount,$L194))),IF($M194&lt;&gt;"",IF(INDEX(LdgWitB,$M194)=0,"",INDEX(LdgWitB,$M194)),""))</f>
        <v/>
      </c>
      <c r="H194" s="27">
        <f>IF($L194&lt;&gt;"",IF(INDEX(SCOp,$L194)="مرجوعی فروش",IF(INDEX(SCAmount,$L194)=0,"",-INDEX(SCAmount,$L194)),""),IF($M194&lt;&gt;"",IF(INDEX(LdgDepB,$M194)=0,"",INDEX(LdgDepB,$M194)),""))</f>
        <v/>
      </c>
      <c r="I194" s="28">
        <f>IF($B194="","",IF($I193="",$C$10,$I193)+IF($G194="",0,$G194)-IF($H194="",0,$H194))</f>
        <v/>
      </c>
      <c r="L194">
        <f>IFERROR(MATCH($C$5&amp;"|"&amp;RIGHT("000000"&amp;178,6),LdgRankKeyA,0),"")</f>
        <v/>
      </c>
      <c r="M194">
        <f>IFERROR(MATCH($C$5&amp;"|"&amp;RIGHT("000000"&amp;178,6),LdgRankKeyB,0),"")</f>
        <v/>
      </c>
    </row>
    <row r="195">
      <c r="A195" s="17" t="n">
        <v>179</v>
      </c>
      <c r="B195" s="18">
        <f>IF(AND($L195="",$M195=""),"",IF($L195&lt;&gt;"",INDEX(SCNormDate,$L195),INDEX(LdgDateB,$M195)))</f>
        <v/>
      </c>
      <c r="C195" s="18">
        <f>IF($L195&lt;&gt;"",INDEX(SCOp,$L195),IF($M195&lt;&gt;"","پرداخت بانکی",""))</f>
        <v/>
      </c>
      <c r="D195" s="18">
        <f>IF($L195&lt;&gt;"",IF(INDEX(SCDoc,$L195)="","—",INDEX(SCDoc,$L195)),IF($M195&lt;&gt;"",INDEX(LdgBankB,$M195),""))</f>
        <v/>
      </c>
      <c r="E195" s="19">
        <f>IF($L195&lt;&gt;"",IF(INDEX(SCCitrus,$L195)&amp;INDEX(SCNotes,$L195)="","",IF(INDEX(SCCitrus,$L195)="","",INDEX(SCCitrus,$L195))&amp;IF(INDEX(SCNotes,$L195)="",""," — "&amp;INDEX(SCNotes,$L195))),IF($M195&lt;&gt;"",IF(INDEX(LdgNoteB,$M195)="","—",INDEX(LdgNoteB,$M195)),""))</f>
        <v/>
      </c>
      <c r="F195" s="20">
        <f>IF($L195&lt;&gt;"",IF(INDEX(SCNet,$L195)=0,"",INDEX(SCNet,$L195)),"")</f>
        <v/>
      </c>
      <c r="G195" s="21">
        <f>IF($L195&lt;&gt;"",IF(INDEX(SCOp,$L195)="مرجوعی فروش","",IF(INDEX(SCAmount,$L195)&lt;=0,"",INDEX(SCAmount,$L195))),IF($M195&lt;&gt;"",IF(INDEX(LdgWitB,$M195)=0,"",INDEX(LdgWitB,$M195)),""))</f>
        <v/>
      </c>
      <c r="H195" s="21">
        <f>IF($L195&lt;&gt;"",IF(INDEX(SCOp,$L195)="مرجوعی فروش",IF(INDEX(SCAmount,$L195)=0,"",-INDEX(SCAmount,$L195)),""),IF($M195&lt;&gt;"",IF(INDEX(LdgDepB,$M195)=0,"",INDEX(LdgDepB,$M195)),""))</f>
        <v/>
      </c>
      <c r="I195" s="22">
        <f>IF($B195="","",IF($I194="",$C$10,$I194)+IF($G195="",0,$G195)-IF($H195="",0,$H195))</f>
        <v/>
      </c>
      <c r="L195">
        <f>IFERROR(MATCH($C$5&amp;"|"&amp;RIGHT("000000"&amp;179,6),LdgRankKeyA,0),"")</f>
        <v/>
      </c>
      <c r="M195">
        <f>IFERROR(MATCH($C$5&amp;"|"&amp;RIGHT("000000"&amp;179,6),LdgRankKeyB,0),"")</f>
        <v/>
      </c>
    </row>
    <row r="196">
      <c r="A196" s="23" t="n">
        <v>180</v>
      </c>
      <c r="B196" s="24">
        <f>IF(AND($L196="",$M196=""),"",IF($L196&lt;&gt;"",INDEX(SCNormDate,$L196),INDEX(LdgDateB,$M196)))</f>
        <v/>
      </c>
      <c r="C196" s="24">
        <f>IF($L196&lt;&gt;"",INDEX(SCOp,$L196),IF($M196&lt;&gt;"","پرداخت بانکی",""))</f>
        <v/>
      </c>
      <c r="D196" s="24">
        <f>IF($L196&lt;&gt;"",IF(INDEX(SCDoc,$L196)="","—",INDEX(SCDoc,$L196)),IF($M196&lt;&gt;"",INDEX(LdgBankB,$M196),""))</f>
        <v/>
      </c>
      <c r="E196" s="25">
        <f>IF($L196&lt;&gt;"",IF(INDEX(SCCitrus,$L196)&amp;INDEX(SCNotes,$L196)="","",IF(INDEX(SCCitrus,$L196)="","",INDEX(SCCitrus,$L196))&amp;IF(INDEX(SCNotes,$L196)="",""," — "&amp;INDEX(SCNotes,$L196))),IF($M196&lt;&gt;"",IF(INDEX(LdgNoteB,$M196)="","—",INDEX(LdgNoteB,$M196)),""))</f>
        <v/>
      </c>
      <c r="F196" s="26">
        <f>IF($L196&lt;&gt;"",IF(INDEX(SCNet,$L196)=0,"",INDEX(SCNet,$L196)),"")</f>
        <v/>
      </c>
      <c r="G196" s="27">
        <f>IF($L196&lt;&gt;"",IF(INDEX(SCOp,$L196)="مرجوعی فروش","",IF(INDEX(SCAmount,$L196)&lt;=0,"",INDEX(SCAmount,$L196))),IF($M196&lt;&gt;"",IF(INDEX(LdgWitB,$M196)=0,"",INDEX(LdgWitB,$M196)),""))</f>
        <v/>
      </c>
      <c r="H196" s="27">
        <f>IF($L196&lt;&gt;"",IF(INDEX(SCOp,$L196)="مرجوعی فروش",IF(INDEX(SCAmount,$L196)=0,"",-INDEX(SCAmount,$L196)),""),IF($M196&lt;&gt;"",IF(INDEX(LdgDepB,$M196)=0,"",INDEX(LdgDepB,$M196)),""))</f>
        <v/>
      </c>
      <c r="I196" s="28">
        <f>IF($B196="","",IF($I195="",$C$10,$I195)+IF($G196="",0,$G196)-IF($H196="",0,$H196))</f>
        <v/>
      </c>
      <c r="L196">
        <f>IFERROR(MATCH($C$5&amp;"|"&amp;RIGHT("000000"&amp;180,6),LdgRankKeyA,0),"")</f>
        <v/>
      </c>
      <c r="M196">
        <f>IFERROR(MATCH($C$5&amp;"|"&amp;RIGHT("000000"&amp;180,6),LdgRankKeyB,0),"")</f>
        <v/>
      </c>
    </row>
    <row r="197">
      <c r="A197" s="17" t="n">
        <v>181</v>
      </c>
      <c r="B197" s="18">
        <f>IF(AND($L197="",$M197=""),"",IF($L197&lt;&gt;"",INDEX(SCNormDate,$L197),INDEX(LdgDateB,$M197)))</f>
        <v/>
      </c>
      <c r="C197" s="18">
        <f>IF($L197&lt;&gt;"",INDEX(SCOp,$L197),IF($M197&lt;&gt;"","پرداخت بانکی",""))</f>
        <v/>
      </c>
      <c r="D197" s="18">
        <f>IF($L197&lt;&gt;"",IF(INDEX(SCDoc,$L197)="","—",INDEX(SCDoc,$L197)),IF($M197&lt;&gt;"",INDEX(LdgBankB,$M197),""))</f>
        <v/>
      </c>
      <c r="E197" s="19">
        <f>IF($L197&lt;&gt;"",IF(INDEX(SCCitrus,$L197)&amp;INDEX(SCNotes,$L197)="","",IF(INDEX(SCCitrus,$L197)="","",INDEX(SCCitrus,$L197))&amp;IF(INDEX(SCNotes,$L197)="",""," — "&amp;INDEX(SCNotes,$L197))),IF($M197&lt;&gt;"",IF(INDEX(LdgNoteB,$M197)="","—",INDEX(LdgNoteB,$M197)),""))</f>
        <v/>
      </c>
      <c r="F197" s="20">
        <f>IF($L197&lt;&gt;"",IF(INDEX(SCNet,$L197)=0,"",INDEX(SCNet,$L197)),"")</f>
        <v/>
      </c>
      <c r="G197" s="21">
        <f>IF($L197&lt;&gt;"",IF(INDEX(SCOp,$L197)="مرجوعی فروش","",IF(INDEX(SCAmount,$L197)&lt;=0,"",INDEX(SCAmount,$L197))),IF($M197&lt;&gt;"",IF(INDEX(LdgWitB,$M197)=0,"",INDEX(LdgWitB,$M197)),""))</f>
        <v/>
      </c>
      <c r="H197" s="21">
        <f>IF($L197&lt;&gt;"",IF(INDEX(SCOp,$L197)="مرجوعی فروش",IF(INDEX(SCAmount,$L197)=0,"",-INDEX(SCAmount,$L197)),""),IF($M197&lt;&gt;"",IF(INDEX(LdgDepB,$M197)=0,"",INDEX(LdgDepB,$M197)),""))</f>
        <v/>
      </c>
      <c r="I197" s="22">
        <f>IF($B197="","",IF($I196="",$C$10,$I196)+IF($G197="",0,$G197)-IF($H197="",0,$H197))</f>
        <v/>
      </c>
      <c r="L197">
        <f>IFERROR(MATCH($C$5&amp;"|"&amp;RIGHT("000000"&amp;181,6),LdgRankKeyA,0),"")</f>
        <v/>
      </c>
      <c r="M197">
        <f>IFERROR(MATCH($C$5&amp;"|"&amp;RIGHT("000000"&amp;181,6),LdgRankKeyB,0),"")</f>
        <v/>
      </c>
    </row>
    <row r="198">
      <c r="A198" s="23" t="n">
        <v>182</v>
      </c>
      <c r="B198" s="24">
        <f>IF(AND($L198="",$M198=""),"",IF($L198&lt;&gt;"",INDEX(SCNormDate,$L198),INDEX(LdgDateB,$M198)))</f>
        <v/>
      </c>
      <c r="C198" s="24">
        <f>IF($L198&lt;&gt;"",INDEX(SCOp,$L198),IF($M198&lt;&gt;"","پرداخت بانکی",""))</f>
        <v/>
      </c>
      <c r="D198" s="24">
        <f>IF($L198&lt;&gt;"",IF(INDEX(SCDoc,$L198)="","—",INDEX(SCDoc,$L198)),IF($M198&lt;&gt;"",INDEX(LdgBankB,$M198),""))</f>
        <v/>
      </c>
      <c r="E198" s="25">
        <f>IF($L198&lt;&gt;"",IF(INDEX(SCCitrus,$L198)&amp;INDEX(SCNotes,$L198)="","",IF(INDEX(SCCitrus,$L198)="","",INDEX(SCCitrus,$L198))&amp;IF(INDEX(SCNotes,$L198)="",""," — "&amp;INDEX(SCNotes,$L198))),IF($M198&lt;&gt;"",IF(INDEX(LdgNoteB,$M198)="","—",INDEX(LdgNoteB,$M198)),""))</f>
        <v/>
      </c>
      <c r="F198" s="26">
        <f>IF($L198&lt;&gt;"",IF(INDEX(SCNet,$L198)=0,"",INDEX(SCNet,$L198)),"")</f>
        <v/>
      </c>
      <c r="G198" s="27">
        <f>IF($L198&lt;&gt;"",IF(INDEX(SCOp,$L198)="مرجوعی فروش","",IF(INDEX(SCAmount,$L198)&lt;=0,"",INDEX(SCAmount,$L198))),IF($M198&lt;&gt;"",IF(INDEX(LdgWitB,$M198)=0,"",INDEX(LdgWitB,$M198)),""))</f>
        <v/>
      </c>
      <c r="H198" s="27">
        <f>IF($L198&lt;&gt;"",IF(INDEX(SCOp,$L198)="مرجوعی فروش",IF(INDEX(SCAmount,$L198)=0,"",-INDEX(SCAmount,$L198)),""),IF($M198&lt;&gt;"",IF(INDEX(LdgDepB,$M198)=0,"",INDEX(LdgDepB,$M198)),""))</f>
        <v/>
      </c>
      <c r="I198" s="28">
        <f>IF($B198="","",IF($I197="",$C$10,$I197)+IF($G198="",0,$G198)-IF($H198="",0,$H198))</f>
        <v/>
      </c>
      <c r="L198">
        <f>IFERROR(MATCH($C$5&amp;"|"&amp;RIGHT("000000"&amp;182,6),LdgRankKeyA,0),"")</f>
        <v/>
      </c>
      <c r="M198">
        <f>IFERROR(MATCH($C$5&amp;"|"&amp;RIGHT("000000"&amp;182,6),LdgRankKeyB,0),"")</f>
        <v/>
      </c>
    </row>
    <row r="199">
      <c r="A199" s="17" t="n">
        <v>183</v>
      </c>
      <c r="B199" s="18">
        <f>IF(AND($L199="",$M199=""),"",IF($L199&lt;&gt;"",INDEX(SCNormDate,$L199),INDEX(LdgDateB,$M199)))</f>
        <v/>
      </c>
      <c r="C199" s="18">
        <f>IF($L199&lt;&gt;"",INDEX(SCOp,$L199),IF($M199&lt;&gt;"","پرداخت بانکی",""))</f>
        <v/>
      </c>
      <c r="D199" s="18">
        <f>IF($L199&lt;&gt;"",IF(INDEX(SCDoc,$L199)="","—",INDEX(SCDoc,$L199)),IF($M199&lt;&gt;"",INDEX(LdgBankB,$M199),""))</f>
        <v/>
      </c>
      <c r="E199" s="19">
        <f>IF($L199&lt;&gt;"",IF(INDEX(SCCitrus,$L199)&amp;INDEX(SCNotes,$L199)="","",IF(INDEX(SCCitrus,$L199)="","",INDEX(SCCitrus,$L199))&amp;IF(INDEX(SCNotes,$L199)="",""," — "&amp;INDEX(SCNotes,$L199))),IF($M199&lt;&gt;"",IF(INDEX(LdgNoteB,$M199)="","—",INDEX(LdgNoteB,$M199)),""))</f>
        <v/>
      </c>
      <c r="F199" s="20">
        <f>IF($L199&lt;&gt;"",IF(INDEX(SCNet,$L199)=0,"",INDEX(SCNet,$L199)),"")</f>
        <v/>
      </c>
      <c r="G199" s="21">
        <f>IF($L199&lt;&gt;"",IF(INDEX(SCOp,$L199)="مرجوعی فروش","",IF(INDEX(SCAmount,$L199)&lt;=0,"",INDEX(SCAmount,$L199))),IF($M199&lt;&gt;"",IF(INDEX(LdgWitB,$M199)=0,"",INDEX(LdgWitB,$M199)),""))</f>
        <v/>
      </c>
      <c r="H199" s="21">
        <f>IF($L199&lt;&gt;"",IF(INDEX(SCOp,$L199)="مرجوعی فروش",IF(INDEX(SCAmount,$L199)=0,"",-INDEX(SCAmount,$L199)),""),IF($M199&lt;&gt;"",IF(INDEX(LdgDepB,$M199)=0,"",INDEX(LdgDepB,$M199)),""))</f>
        <v/>
      </c>
      <c r="I199" s="22">
        <f>IF($B199="","",IF($I198="",$C$10,$I198)+IF($G199="",0,$G199)-IF($H199="",0,$H199))</f>
        <v/>
      </c>
      <c r="L199">
        <f>IFERROR(MATCH($C$5&amp;"|"&amp;RIGHT("000000"&amp;183,6),LdgRankKeyA,0),"")</f>
        <v/>
      </c>
      <c r="M199">
        <f>IFERROR(MATCH($C$5&amp;"|"&amp;RIGHT("000000"&amp;183,6),LdgRankKeyB,0),"")</f>
        <v/>
      </c>
    </row>
    <row r="200">
      <c r="A200" s="23" t="n">
        <v>184</v>
      </c>
      <c r="B200" s="24">
        <f>IF(AND($L200="",$M200=""),"",IF($L200&lt;&gt;"",INDEX(SCNormDate,$L200),INDEX(LdgDateB,$M200)))</f>
        <v/>
      </c>
      <c r="C200" s="24">
        <f>IF($L200&lt;&gt;"",INDEX(SCOp,$L200),IF($M200&lt;&gt;"","پرداخت بانکی",""))</f>
        <v/>
      </c>
      <c r="D200" s="24">
        <f>IF($L200&lt;&gt;"",IF(INDEX(SCDoc,$L200)="","—",INDEX(SCDoc,$L200)),IF($M200&lt;&gt;"",INDEX(LdgBankB,$M200),""))</f>
        <v/>
      </c>
      <c r="E200" s="25">
        <f>IF($L200&lt;&gt;"",IF(INDEX(SCCitrus,$L200)&amp;INDEX(SCNotes,$L200)="","",IF(INDEX(SCCitrus,$L200)="","",INDEX(SCCitrus,$L200))&amp;IF(INDEX(SCNotes,$L200)="",""," — "&amp;INDEX(SCNotes,$L200))),IF($M200&lt;&gt;"",IF(INDEX(LdgNoteB,$M200)="","—",INDEX(LdgNoteB,$M200)),""))</f>
        <v/>
      </c>
      <c r="F200" s="26">
        <f>IF($L200&lt;&gt;"",IF(INDEX(SCNet,$L200)=0,"",INDEX(SCNet,$L200)),"")</f>
        <v/>
      </c>
      <c r="G200" s="27">
        <f>IF($L200&lt;&gt;"",IF(INDEX(SCOp,$L200)="مرجوعی فروش","",IF(INDEX(SCAmount,$L200)&lt;=0,"",INDEX(SCAmount,$L200))),IF($M200&lt;&gt;"",IF(INDEX(LdgWitB,$M200)=0,"",INDEX(LdgWitB,$M200)),""))</f>
        <v/>
      </c>
      <c r="H200" s="27">
        <f>IF($L200&lt;&gt;"",IF(INDEX(SCOp,$L200)="مرجوعی فروش",IF(INDEX(SCAmount,$L200)=0,"",-INDEX(SCAmount,$L200)),""),IF($M200&lt;&gt;"",IF(INDEX(LdgDepB,$M200)=0,"",INDEX(LdgDepB,$M200)),""))</f>
        <v/>
      </c>
      <c r="I200" s="28">
        <f>IF($B200="","",IF($I199="",$C$10,$I199)+IF($G200="",0,$G200)-IF($H200="",0,$H200))</f>
        <v/>
      </c>
      <c r="L200">
        <f>IFERROR(MATCH($C$5&amp;"|"&amp;RIGHT("000000"&amp;184,6),LdgRankKeyA,0),"")</f>
        <v/>
      </c>
      <c r="M200">
        <f>IFERROR(MATCH($C$5&amp;"|"&amp;RIGHT("000000"&amp;184,6),LdgRankKeyB,0),"")</f>
        <v/>
      </c>
    </row>
    <row r="201">
      <c r="A201" s="17" t="n">
        <v>185</v>
      </c>
      <c r="B201" s="18">
        <f>IF(AND($L201="",$M201=""),"",IF($L201&lt;&gt;"",INDEX(SCNormDate,$L201),INDEX(LdgDateB,$M201)))</f>
        <v/>
      </c>
      <c r="C201" s="18">
        <f>IF($L201&lt;&gt;"",INDEX(SCOp,$L201),IF($M201&lt;&gt;"","پرداخت بانکی",""))</f>
        <v/>
      </c>
      <c r="D201" s="18">
        <f>IF($L201&lt;&gt;"",IF(INDEX(SCDoc,$L201)="","—",INDEX(SCDoc,$L201)),IF($M201&lt;&gt;"",INDEX(LdgBankB,$M201),""))</f>
        <v/>
      </c>
      <c r="E201" s="19">
        <f>IF($L201&lt;&gt;"",IF(INDEX(SCCitrus,$L201)&amp;INDEX(SCNotes,$L201)="","",IF(INDEX(SCCitrus,$L201)="","",INDEX(SCCitrus,$L201))&amp;IF(INDEX(SCNotes,$L201)="",""," — "&amp;INDEX(SCNotes,$L201))),IF($M201&lt;&gt;"",IF(INDEX(LdgNoteB,$M201)="","—",INDEX(LdgNoteB,$M201)),""))</f>
        <v/>
      </c>
      <c r="F201" s="20">
        <f>IF($L201&lt;&gt;"",IF(INDEX(SCNet,$L201)=0,"",INDEX(SCNet,$L201)),"")</f>
        <v/>
      </c>
      <c r="G201" s="21">
        <f>IF($L201&lt;&gt;"",IF(INDEX(SCOp,$L201)="مرجوعی فروش","",IF(INDEX(SCAmount,$L201)&lt;=0,"",INDEX(SCAmount,$L201))),IF($M201&lt;&gt;"",IF(INDEX(LdgWitB,$M201)=0,"",INDEX(LdgWitB,$M201)),""))</f>
        <v/>
      </c>
      <c r="H201" s="21">
        <f>IF($L201&lt;&gt;"",IF(INDEX(SCOp,$L201)="مرجوعی فروش",IF(INDEX(SCAmount,$L201)=0,"",-INDEX(SCAmount,$L201)),""),IF($M201&lt;&gt;"",IF(INDEX(LdgDepB,$M201)=0,"",INDEX(LdgDepB,$M201)),""))</f>
        <v/>
      </c>
      <c r="I201" s="22">
        <f>IF($B201="","",IF($I200="",$C$10,$I200)+IF($G201="",0,$G201)-IF($H201="",0,$H201))</f>
        <v/>
      </c>
      <c r="L201">
        <f>IFERROR(MATCH($C$5&amp;"|"&amp;RIGHT("000000"&amp;185,6),LdgRankKeyA,0),"")</f>
        <v/>
      </c>
      <c r="M201">
        <f>IFERROR(MATCH($C$5&amp;"|"&amp;RIGHT("000000"&amp;185,6),LdgRankKeyB,0),"")</f>
        <v/>
      </c>
    </row>
    <row r="202">
      <c r="A202" s="23" t="n">
        <v>186</v>
      </c>
      <c r="B202" s="24">
        <f>IF(AND($L202="",$M202=""),"",IF($L202&lt;&gt;"",INDEX(SCNormDate,$L202),INDEX(LdgDateB,$M202)))</f>
        <v/>
      </c>
      <c r="C202" s="24">
        <f>IF($L202&lt;&gt;"",INDEX(SCOp,$L202),IF($M202&lt;&gt;"","پرداخت بانکی",""))</f>
        <v/>
      </c>
      <c r="D202" s="24">
        <f>IF($L202&lt;&gt;"",IF(INDEX(SCDoc,$L202)="","—",INDEX(SCDoc,$L202)),IF($M202&lt;&gt;"",INDEX(LdgBankB,$M202),""))</f>
        <v/>
      </c>
      <c r="E202" s="25">
        <f>IF($L202&lt;&gt;"",IF(INDEX(SCCitrus,$L202)&amp;INDEX(SCNotes,$L202)="","",IF(INDEX(SCCitrus,$L202)="","",INDEX(SCCitrus,$L202))&amp;IF(INDEX(SCNotes,$L202)="",""," — "&amp;INDEX(SCNotes,$L202))),IF($M202&lt;&gt;"",IF(INDEX(LdgNoteB,$M202)="","—",INDEX(LdgNoteB,$M202)),""))</f>
        <v/>
      </c>
      <c r="F202" s="26">
        <f>IF($L202&lt;&gt;"",IF(INDEX(SCNet,$L202)=0,"",INDEX(SCNet,$L202)),"")</f>
        <v/>
      </c>
      <c r="G202" s="27">
        <f>IF($L202&lt;&gt;"",IF(INDEX(SCOp,$L202)="مرجوعی فروش","",IF(INDEX(SCAmount,$L202)&lt;=0,"",INDEX(SCAmount,$L202))),IF($M202&lt;&gt;"",IF(INDEX(LdgWitB,$M202)=0,"",INDEX(LdgWitB,$M202)),""))</f>
        <v/>
      </c>
      <c r="H202" s="27">
        <f>IF($L202&lt;&gt;"",IF(INDEX(SCOp,$L202)="مرجوعی فروش",IF(INDEX(SCAmount,$L202)=0,"",-INDEX(SCAmount,$L202)),""),IF($M202&lt;&gt;"",IF(INDEX(LdgDepB,$M202)=0,"",INDEX(LdgDepB,$M202)),""))</f>
        <v/>
      </c>
      <c r="I202" s="28">
        <f>IF($B202="","",IF($I201="",$C$10,$I201)+IF($G202="",0,$G202)-IF($H202="",0,$H202))</f>
        <v/>
      </c>
      <c r="L202">
        <f>IFERROR(MATCH($C$5&amp;"|"&amp;RIGHT("000000"&amp;186,6),LdgRankKeyA,0),"")</f>
        <v/>
      </c>
      <c r="M202">
        <f>IFERROR(MATCH($C$5&amp;"|"&amp;RIGHT("000000"&amp;186,6),LdgRankKeyB,0),"")</f>
        <v/>
      </c>
    </row>
    <row r="203">
      <c r="A203" s="17" t="n">
        <v>187</v>
      </c>
      <c r="B203" s="18">
        <f>IF(AND($L203="",$M203=""),"",IF($L203&lt;&gt;"",INDEX(SCNormDate,$L203),INDEX(LdgDateB,$M203)))</f>
        <v/>
      </c>
      <c r="C203" s="18">
        <f>IF($L203&lt;&gt;"",INDEX(SCOp,$L203),IF($M203&lt;&gt;"","پرداخت بانکی",""))</f>
        <v/>
      </c>
      <c r="D203" s="18">
        <f>IF($L203&lt;&gt;"",IF(INDEX(SCDoc,$L203)="","—",INDEX(SCDoc,$L203)),IF($M203&lt;&gt;"",INDEX(LdgBankB,$M203),""))</f>
        <v/>
      </c>
      <c r="E203" s="19">
        <f>IF($L203&lt;&gt;"",IF(INDEX(SCCitrus,$L203)&amp;INDEX(SCNotes,$L203)="","",IF(INDEX(SCCitrus,$L203)="","",INDEX(SCCitrus,$L203))&amp;IF(INDEX(SCNotes,$L203)="",""," — "&amp;INDEX(SCNotes,$L203))),IF($M203&lt;&gt;"",IF(INDEX(LdgNoteB,$M203)="","—",INDEX(LdgNoteB,$M203)),""))</f>
        <v/>
      </c>
      <c r="F203" s="20">
        <f>IF($L203&lt;&gt;"",IF(INDEX(SCNet,$L203)=0,"",INDEX(SCNet,$L203)),"")</f>
        <v/>
      </c>
      <c r="G203" s="21">
        <f>IF($L203&lt;&gt;"",IF(INDEX(SCOp,$L203)="مرجوعی فروش","",IF(INDEX(SCAmount,$L203)&lt;=0,"",INDEX(SCAmount,$L203))),IF($M203&lt;&gt;"",IF(INDEX(LdgWitB,$M203)=0,"",INDEX(LdgWitB,$M203)),""))</f>
        <v/>
      </c>
      <c r="H203" s="21">
        <f>IF($L203&lt;&gt;"",IF(INDEX(SCOp,$L203)="مرجوعی فروش",IF(INDEX(SCAmount,$L203)=0,"",-INDEX(SCAmount,$L203)),""),IF($M203&lt;&gt;"",IF(INDEX(LdgDepB,$M203)=0,"",INDEX(LdgDepB,$M203)),""))</f>
        <v/>
      </c>
      <c r="I203" s="22">
        <f>IF($B203="","",IF($I202="",$C$10,$I202)+IF($G203="",0,$G203)-IF($H203="",0,$H203))</f>
        <v/>
      </c>
      <c r="L203">
        <f>IFERROR(MATCH($C$5&amp;"|"&amp;RIGHT("000000"&amp;187,6),LdgRankKeyA,0),"")</f>
        <v/>
      </c>
      <c r="M203">
        <f>IFERROR(MATCH($C$5&amp;"|"&amp;RIGHT("000000"&amp;187,6),LdgRankKeyB,0),"")</f>
        <v/>
      </c>
    </row>
    <row r="204">
      <c r="A204" s="23" t="n">
        <v>188</v>
      </c>
      <c r="B204" s="24">
        <f>IF(AND($L204="",$M204=""),"",IF($L204&lt;&gt;"",INDEX(SCNormDate,$L204),INDEX(LdgDateB,$M204)))</f>
        <v/>
      </c>
      <c r="C204" s="24">
        <f>IF($L204&lt;&gt;"",INDEX(SCOp,$L204),IF($M204&lt;&gt;"","پرداخت بانکی",""))</f>
        <v/>
      </c>
      <c r="D204" s="24">
        <f>IF($L204&lt;&gt;"",IF(INDEX(SCDoc,$L204)="","—",INDEX(SCDoc,$L204)),IF($M204&lt;&gt;"",INDEX(LdgBankB,$M204),""))</f>
        <v/>
      </c>
      <c r="E204" s="25">
        <f>IF($L204&lt;&gt;"",IF(INDEX(SCCitrus,$L204)&amp;INDEX(SCNotes,$L204)="","",IF(INDEX(SCCitrus,$L204)="","",INDEX(SCCitrus,$L204))&amp;IF(INDEX(SCNotes,$L204)="",""," — "&amp;INDEX(SCNotes,$L204))),IF($M204&lt;&gt;"",IF(INDEX(LdgNoteB,$M204)="","—",INDEX(LdgNoteB,$M204)),""))</f>
        <v/>
      </c>
      <c r="F204" s="26">
        <f>IF($L204&lt;&gt;"",IF(INDEX(SCNet,$L204)=0,"",INDEX(SCNet,$L204)),"")</f>
        <v/>
      </c>
      <c r="G204" s="27">
        <f>IF($L204&lt;&gt;"",IF(INDEX(SCOp,$L204)="مرجوعی فروش","",IF(INDEX(SCAmount,$L204)&lt;=0,"",INDEX(SCAmount,$L204))),IF($M204&lt;&gt;"",IF(INDEX(LdgWitB,$M204)=0,"",INDEX(LdgWitB,$M204)),""))</f>
        <v/>
      </c>
      <c r="H204" s="27">
        <f>IF($L204&lt;&gt;"",IF(INDEX(SCOp,$L204)="مرجوعی فروش",IF(INDEX(SCAmount,$L204)=0,"",-INDEX(SCAmount,$L204)),""),IF($M204&lt;&gt;"",IF(INDEX(LdgDepB,$M204)=0,"",INDEX(LdgDepB,$M204)),""))</f>
        <v/>
      </c>
      <c r="I204" s="28">
        <f>IF($B204="","",IF($I203="",$C$10,$I203)+IF($G204="",0,$G204)-IF($H204="",0,$H204))</f>
        <v/>
      </c>
      <c r="L204">
        <f>IFERROR(MATCH($C$5&amp;"|"&amp;RIGHT("000000"&amp;188,6),LdgRankKeyA,0),"")</f>
        <v/>
      </c>
      <c r="M204">
        <f>IFERROR(MATCH($C$5&amp;"|"&amp;RIGHT("000000"&amp;188,6),LdgRankKeyB,0),"")</f>
        <v/>
      </c>
    </row>
    <row r="205">
      <c r="A205" s="17" t="n">
        <v>189</v>
      </c>
      <c r="B205" s="18">
        <f>IF(AND($L205="",$M205=""),"",IF($L205&lt;&gt;"",INDEX(SCNormDate,$L205),INDEX(LdgDateB,$M205)))</f>
        <v/>
      </c>
      <c r="C205" s="18">
        <f>IF($L205&lt;&gt;"",INDEX(SCOp,$L205),IF($M205&lt;&gt;"","پرداخت بانکی",""))</f>
        <v/>
      </c>
      <c r="D205" s="18">
        <f>IF($L205&lt;&gt;"",IF(INDEX(SCDoc,$L205)="","—",INDEX(SCDoc,$L205)),IF($M205&lt;&gt;"",INDEX(LdgBankB,$M205),""))</f>
        <v/>
      </c>
      <c r="E205" s="19">
        <f>IF($L205&lt;&gt;"",IF(INDEX(SCCitrus,$L205)&amp;INDEX(SCNotes,$L205)="","",IF(INDEX(SCCitrus,$L205)="","",INDEX(SCCitrus,$L205))&amp;IF(INDEX(SCNotes,$L205)="",""," — "&amp;INDEX(SCNotes,$L205))),IF($M205&lt;&gt;"",IF(INDEX(LdgNoteB,$M205)="","—",INDEX(LdgNoteB,$M205)),""))</f>
        <v/>
      </c>
      <c r="F205" s="20">
        <f>IF($L205&lt;&gt;"",IF(INDEX(SCNet,$L205)=0,"",INDEX(SCNet,$L205)),"")</f>
        <v/>
      </c>
      <c r="G205" s="21">
        <f>IF($L205&lt;&gt;"",IF(INDEX(SCOp,$L205)="مرجوعی فروش","",IF(INDEX(SCAmount,$L205)&lt;=0,"",INDEX(SCAmount,$L205))),IF($M205&lt;&gt;"",IF(INDEX(LdgWitB,$M205)=0,"",INDEX(LdgWitB,$M205)),""))</f>
        <v/>
      </c>
      <c r="H205" s="21">
        <f>IF($L205&lt;&gt;"",IF(INDEX(SCOp,$L205)="مرجوعی فروش",IF(INDEX(SCAmount,$L205)=0,"",-INDEX(SCAmount,$L205)),""),IF($M205&lt;&gt;"",IF(INDEX(LdgDepB,$M205)=0,"",INDEX(LdgDepB,$M205)),""))</f>
        <v/>
      </c>
      <c r="I205" s="22">
        <f>IF($B205="","",IF($I204="",$C$10,$I204)+IF($G205="",0,$G205)-IF($H205="",0,$H205))</f>
        <v/>
      </c>
      <c r="L205">
        <f>IFERROR(MATCH($C$5&amp;"|"&amp;RIGHT("000000"&amp;189,6),LdgRankKeyA,0),"")</f>
        <v/>
      </c>
      <c r="M205">
        <f>IFERROR(MATCH($C$5&amp;"|"&amp;RIGHT("000000"&amp;189,6),LdgRankKeyB,0),"")</f>
        <v/>
      </c>
    </row>
    <row r="206">
      <c r="A206" s="23" t="n">
        <v>190</v>
      </c>
      <c r="B206" s="24">
        <f>IF(AND($L206="",$M206=""),"",IF($L206&lt;&gt;"",INDEX(SCNormDate,$L206),INDEX(LdgDateB,$M206)))</f>
        <v/>
      </c>
      <c r="C206" s="24">
        <f>IF($L206&lt;&gt;"",INDEX(SCOp,$L206),IF($M206&lt;&gt;"","پرداخت بانکی",""))</f>
        <v/>
      </c>
      <c r="D206" s="24">
        <f>IF($L206&lt;&gt;"",IF(INDEX(SCDoc,$L206)="","—",INDEX(SCDoc,$L206)),IF($M206&lt;&gt;"",INDEX(LdgBankB,$M206),""))</f>
        <v/>
      </c>
      <c r="E206" s="25">
        <f>IF($L206&lt;&gt;"",IF(INDEX(SCCitrus,$L206)&amp;INDEX(SCNotes,$L206)="","",IF(INDEX(SCCitrus,$L206)="","",INDEX(SCCitrus,$L206))&amp;IF(INDEX(SCNotes,$L206)="",""," — "&amp;INDEX(SCNotes,$L206))),IF($M206&lt;&gt;"",IF(INDEX(LdgNoteB,$M206)="","—",INDEX(LdgNoteB,$M206)),""))</f>
        <v/>
      </c>
      <c r="F206" s="26">
        <f>IF($L206&lt;&gt;"",IF(INDEX(SCNet,$L206)=0,"",INDEX(SCNet,$L206)),"")</f>
        <v/>
      </c>
      <c r="G206" s="27">
        <f>IF($L206&lt;&gt;"",IF(INDEX(SCOp,$L206)="مرجوعی فروش","",IF(INDEX(SCAmount,$L206)&lt;=0,"",INDEX(SCAmount,$L206))),IF($M206&lt;&gt;"",IF(INDEX(LdgWitB,$M206)=0,"",INDEX(LdgWitB,$M206)),""))</f>
        <v/>
      </c>
      <c r="H206" s="27">
        <f>IF($L206&lt;&gt;"",IF(INDEX(SCOp,$L206)="مرجوعی فروش",IF(INDEX(SCAmount,$L206)=0,"",-INDEX(SCAmount,$L206)),""),IF($M206&lt;&gt;"",IF(INDEX(LdgDepB,$M206)=0,"",INDEX(LdgDepB,$M206)),""))</f>
        <v/>
      </c>
      <c r="I206" s="28">
        <f>IF($B206="","",IF($I205="",$C$10,$I205)+IF($G206="",0,$G206)-IF($H206="",0,$H206))</f>
        <v/>
      </c>
      <c r="L206">
        <f>IFERROR(MATCH($C$5&amp;"|"&amp;RIGHT("000000"&amp;190,6),LdgRankKeyA,0),"")</f>
        <v/>
      </c>
      <c r="M206">
        <f>IFERROR(MATCH($C$5&amp;"|"&amp;RIGHT("000000"&amp;190,6),LdgRankKeyB,0),"")</f>
        <v/>
      </c>
    </row>
    <row r="207">
      <c r="A207" s="17" t="n">
        <v>191</v>
      </c>
      <c r="B207" s="18">
        <f>IF(AND($L207="",$M207=""),"",IF($L207&lt;&gt;"",INDEX(SCNormDate,$L207),INDEX(LdgDateB,$M207)))</f>
        <v/>
      </c>
      <c r="C207" s="18">
        <f>IF($L207&lt;&gt;"",INDEX(SCOp,$L207),IF($M207&lt;&gt;"","پرداخت بانکی",""))</f>
        <v/>
      </c>
      <c r="D207" s="18">
        <f>IF($L207&lt;&gt;"",IF(INDEX(SCDoc,$L207)="","—",INDEX(SCDoc,$L207)),IF($M207&lt;&gt;"",INDEX(LdgBankB,$M207),""))</f>
        <v/>
      </c>
      <c r="E207" s="19">
        <f>IF($L207&lt;&gt;"",IF(INDEX(SCCitrus,$L207)&amp;INDEX(SCNotes,$L207)="","",IF(INDEX(SCCitrus,$L207)="","",INDEX(SCCitrus,$L207))&amp;IF(INDEX(SCNotes,$L207)="",""," — "&amp;INDEX(SCNotes,$L207))),IF($M207&lt;&gt;"",IF(INDEX(LdgNoteB,$M207)="","—",INDEX(LdgNoteB,$M207)),""))</f>
        <v/>
      </c>
      <c r="F207" s="20">
        <f>IF($L207&lt;&gt;"",IF(INDEX(SCNet,$L207)=0,"",INDEX(SCNet,$L207)),"")</f>
        <v/>
      </c>
      <c r="G207" s="21">
        <f>IF($L207&lt;&gt;"",IF(INDEX(SCOp,$L207)="مرجوعی فروش","",IF(INDEX(SCAmount,$L207)&lt;=0,"",INDEX(SCAmount,$L207))),IF($M207&lt;&gt;"",IF(INDEX(LdgWitB,$M207)=0,"",INDEX(LdgWitB,$M207)),""))</f>
        <v/>
      </c>
      <c r="H207" s="21">
        <f>IF($L207&lt;&gt;"",IF(INDEX(SCOp,$L207)="مرجوعی فروش",IF(INDEX(SCAmount,$L207)=0,"",-INDEX(SCAmount,$L207)),""),IF($M207&lt;&gt;"",IF(INDEX(LdgDepB,$M207)=0,"",INDEX(LdgDepB,$M207)),""))</f>
        <v/>
      </c>
      <c r="I207" s="22">
        <f>IF($B207="","",IF($I206="",$C$10,$I206)+IF($G207="",0,$G207)-IF($H207="",0,$H207))</f>
        <v/>
      </c>
      <c r="L207">
        <f>IFERROR(MATCH($C$5&amp;"|"&amp;RIGHT("000000"&amp;191,6),LdgRankKeyA,0),"")</f>
        <v/>
      </c>
      <c r="M207">
        <f>IFERROR(MATCH($C$5&amp;"|"&amp;RIGHT("000000"&amp;191,6),LdgRankKeyB,0),"")</f>
        <v/>
      </c>
    </row>
    <row r="208">
      <c r="A208" s="23" t="n">
        <v>192</v>
      </c>
      <c r="B208" s="24">
        <f>IF(AND($L208="",$M208=""),"",IF($L208&lt;&gt;"",INDEX(SCNormDate,$L208),INDEX(LdgDateB,$M208)))</f>
        <v/>
      </c>
      <c r="C208" s="24">
        <f>IF($L208&lt;&gt;"",INDEX(SCOp,$L208),IF($M208&lt;&gt;"","پرداخت بانکی",""))</f>
        <v/>
      </c>
      <c r="D208" s="24">
        <f>IF($L208&lt;&gt;"",IF(INDEX(SCDoc,$L208)="","—",INDEX(SCDoc,$L208)),IF($M208&lt;&gt;"",INDEX(LdgBankB,$M208),""))</f>
        <v/>
      </c>
      <c r="E208" s="25">
        <f>IF($L208&lt;&gt;"",IF(INDEX(SCCitrus,$L208)&amp;INDEX(SCNotes,$L208)="","",IF(INDEX(SCCitrus,$L208)="","",INDEX(SCCitrus,$L208))&amp;IF(INDEX(SCNotes,$L208)="",""," — "&amp;INDEX(SCNotes,$L208))),IF($M208&lt;&gt;"",IF(INDEX(LdgNoteB,$M208)="","—",INDEX(LdgNoteB,$M208)),""))</f>
        <v/>
      </c>
      <c r="F208" s="26">
        <f>IF($L208&lt;&gt;"",IF(INDEX(SCNet,$L208)=0,"",INDEX(SCNet,$L208)),"")</f>
        <v/>
      </c>
      <c r="G208" s="27">
        <f>IF($L208&lt;&gt;"",IF(INDEX(SCOp,$L208)="مرجوعی فروش","",IF(INDEX(SCAmount,$L208)&lt;=0,"",INDEX(SCAmount,$L208))),IF($M208&lt;&gt;"",IF(INDEX(LdgWitB,$M208)=0,"",INDEX(LdgWitB,$M208)),""))</f>
        <v/>
      </c>
      <c r="H208" s="27">
        <f>IF($L208&lt;&gt;"",IF(INDEX(SCOp,$L208)="مرجوعی فروش",IF(INDEX(SCAmount,$L208)=0,"",-INDEX(SCAmount,$L208)),""),IF($M208&lt;&gt;"",IF(INDEX(LdgDepB,$M208)=0,"",INDEX(LdgDepB,$M208)),""))</f>
        <v/>
      </c>
      <c r="I208" s="28">
        <f>IF($B208="","",IF($I207="",$C$10,$I207)+IF($G208="",0,$G208)-IF($H208="",0,$H208))</f>
        <v/>
      </c>
      <c r="L208">
        <f>IFERROR(MATCH($C$5&amp;"|"&amp;RIGHT("000000"&amp;192,6),LdgRankKeyA,0),"")</f>
        <v/>
      </c>
      <c r="M208">
        <f>IFERROR(MATCH($C$5&amp;"|"&amp;RIGHT("000000"&amp;192,6),LdgRankKeyB,0),"")</f>
        <v/>
      </c>
    </row>
    <row r="209">
      <c r="A209" s="17" t="n">
        <v>193</v>
      </c>
      <c r="B209" s="18">
        <f>IF(AND($L209="",$M209=""),"",IF($L209&lt;&gt;"",INDEX(SCNormDate,$L209),INDEX(LdgDateB,$M209)))</f>
        <v/>
      </c>
      <c r="C209" s="18">
        <f>IF($L209&lt;&gt;"",INDEX(SCOp,$L209),IF($M209&lt;&gt;"","پرداخت بانکی",""))</f>
        <v/>
      </c>
      <c r="D209" s="18">
        <f>IF($L209&lt;&gt;"",IF(INDEX(SCDoc,$L209)="","—",INDEX(SCDoc,$L209)),IF($M209&lt;&gt;"",INDEX(LdgBankB,$M209),""))</f>
        <v/>
      </c>
      <c r="E209" s="19">
        <f>IF($L209&lt;&gt;"",IF(INDEX(SCCitrus,$L209)&amp;INDEX(SCNotes,$L209)="","",IF(INDEX(SCCitrus,$L209)="","",INDEX(SCCitrus,$L209))&amp;IF(INDEX(SCNotes,$L209)="",""," — "&amp;INDEX(SCNotes,$L209))),IF($M209&lt;&gt;"",IF(INDEX(LdgNoteB,$M209)="","—",INDEX(LdgNoteB,$M209)),""))</f>
        <v/>
      </c>
      <c r="F209" s="20">
        <f>IF($L209&lt;&gt;"",IF(INDEX(SCNet,$L209)=0,"",INDEX(SCNet,$L209)),"")</f>
        <v/>
      </c>
      <c r="G209" s="21">
        <f>IF($L209&lt;&gt;"",IF(INDEX(SCOp,$L209)="مرجوعی فروش","",IF(INDEX(SCAmount,$L209)&lt;=0,"",INDEX(SCAmount,$L209))),IF($M209&lt;&gt;"",IF(INDEX(LdgWitB,$M209)=0,"",INDEX(LdgWitB,$M209)),""))</f>
        <v/>
      </c>
      <c r="H209" s="21">
        <f>IF($L209&lt;&gt;"",IF(INDEX(SCOp,$L209)="مرجوعی فروش",IF(INDEX(SCAmount,$L209)=0,"",-INDEX(SCAmount,$L209)),""),IF($M209&lt;&gt;"",IF(INDEX(LdgDepB,$M209)=0,"",INDEX(LdgDepB,$M209)),""))</f>
        <v/>
      </c>
      <c r="I209" s="22">
        <f>IF($B209="","",IF($I208="",$C$10,$I208)+IF($G209="",0,$G209)-IF($H209="",0,$H209))</f>
        <v/>
      </c>
      <c r="L209">
        <f>IFERROR(MATCH($C$5&amp;"|"&amp;RIGHT("000000"&amp;193,6),LdgRankKeyA,0),"")</f>
        <v/>
      </c>
      <c r="M209">
        <f>IFERROR(MATCH($C$5&amp;"|"&amp;RIGHT("000000"&amp;193,6),LdgRankKeyB,0),"")</f>
        <v/>
      </c>
    </row>
    <row r="210">
      <c r="A210" s="23" t="n">
        <v>194</v>
      </c>
      <c r="B210" s="24">
        <f>IF(AND($L210="",$M210=""),"",IF($L210&lt;&gt;"",INDEX(SCNormDate,$L210),INDEX(LdgDateB,$M210)))</f>
        <v/>
      </c>
      <c r="C210" s="24">
        <f>IF($L210&lt;&gt;"",INDEX(SCOp,$L210),IF($M210&lt;&gt;"","پرداخت بانکی",""))</f>
        <v/>
      </c>
      <c r="D210" s="24">
        <f>IF($L210&lt;&gt;"",IF(INDEX(SCDoc,$L210)="","—",INDEX(SCDoc,$L210)),IF($M210&lt;&gt;"",INDEX(LdgBankB,$M210),""))</f>
        <v/>
      </c>
      <c r="E210" s="25">
        <f>IF($L210&lt;&gt;"",IF(INDEX(SCCitrus,$L210)&amp;INDEX(SCNotes,$L210)="","",IF(INDEX(SCCitrus,$L210)="","",INDEX(SCCitrus,$L210))&amp;IF(INDEX(SCNotes,$L210)="",""," — "&amp;INDEX(SCNotes,$L210))),IF($M210&lt;&gt;"",IF(INDEX(LdgNoteB,$M210)="","—",INDEX(LdgNoteB,$M210)),""))</f>
        <v/>
      </c>
      <c r="F210" s="26">
        <f>IF($L210&lt;&gt;"",IF(INDEX(SCNet,$L210)=0,"",INDEX(SCNet,$L210)),"")</f>
        <v/>
      </c>
      <c r="G210" s="27">
        <f>IF($L210&lt;&gt;"",IF(INDEX(SCOp,$L210)="مرجوعی فروش","",IF(INDEX(SCAmount,$L210)&lt;=0,"",INDEX(SCAmount,$L210))),IF($M210&lt;&gt;"",IF(INDEX(LdgWitB,$M210)=0,"",INDEX(LdgWitB,$M210)),""))</f>
        <v/>
      </c>
      <c r="H210" s="27">
        <f>IF($L210&lt;&gt;"",IF(INDEX(SCOp,$L210)="مرجوعی فروش",IF(INDEX(SCAmount,$L210)=0,"",-INDEX(SCAmount,$L210)),""),IF($M210&lt;&gt;"",IF(INDEX(LdgDepB,$M210)=0,"",INDEX(LdgDepB,$M210)),""))</f>
        <v/>
      </c>
      <c r="I210" s="28">
        <f>IF($B210="","",IF($I209="",$C$10,$I209)+IF($G210="",0,$G210)-IF($H210="",0,$H210))</f>
        <v/>
      </c>
      <c r="L210">
        <f>IFERROR(MATCH($C$5&amp;"|"&amp;RIGHT("000000"&amp;194,6),LdgRankKeyA,0),"")</f>
        <v/>
      </c>
      <c r="M210">
        <f>IFERROR(MATCH($C$5&amp;"|"&amp;RIGHT("000000"&amp;194,6),LdgRankKeyB,0),"")</f>
        <v/>
      </c>
    </row>
    <row r="211">
      <c r="A211" s="17" t="n">
        <v>195</v>
      </c>
      <c r="B211" s="18">
        <f>IF(AND($L211="",$M211=""),"",IF($L211&lt;&gt;"",INDEX(SCNormDate,$L211),INDEX(LdgDateB,$M211)))</f>
        <v/>
      </c>
      <c r="C211" s="18">
        <f>IF($L211&lt;&gt;"",INDEX(SCOp,$L211),IF($M211&lt;&gt;"","پرداخت بانکی",""))</f>
        <v/>
      </c>
      <c r="D211" s="18">
        <f>IF($L211&lt;&gt;"",IF(INDEX(SCDoc,$L211)="","—",INDEX(SCDoc,$L211)),IF($M211&lt;&gt;"",INDEX(LdgBankB,$M211),""))</f>
        <v/>
      </c>
      <c r="E211" s="19">
        <f>IF($L211&lt;&gt;"",IF(INDEX(SCCitrus,$L211)&amp;INDEX(SCNotes,$L211)="","",IF(INDEX(SCCitrus,$L211)="","",INDEX(SCCitrus,$L211))&amp;IF(INDEX(SCNotes,$L211)="",""," — "&amp;INDEX(SCNotes,$L211))),IF($M211&lt;&gt;"",IF(INDEX(LdgNoteB,$M211)="","—",INDEX(LdgNoteB,$M211)),""))</f>
        <v/>
      </c>
      <c r="F211" s="20">
        <f>IF($L211&lt;&gt;"",IF(INDEX(SCNet,$L211)=0,"",INDEX(SCNet,$L211)),"")</f>
        <v/>
      </c>
      <c r="G211" s="21">
        <f>IF($L211&lt;&gt;"",IF(INDEX(SCOp,$L211)="مرجوعی فروش","",IF(INDEX(SCAmount,$L211)&lt;=0,"",INDEX(SCAmount,$L211))),IF($M211&lt;&gt;"",IF(INDEX(LdgWitB,$M211)=0,"",INDEX(LdgWitB,$M211)),""))</f>
        <v/>
      </c>
      <c r="H211" s="21">
        <f>IF($L211&lt;&gt;"",IF(INDEX(SCOp,$L211)="مرجوعی فروش",IF(INDEX(SCAmount,$L211)=0,"",-INDEX(SCAmount,$L211)),""),IF($M211&lt;&gt;"",IF(INDEX(LdgDepB,$M211)=0,"",INDEX(LdgDepB,$M211)),""))</f>
        <v/>
      </c>
      <c r="I211" s="22">
        <f>IF($B211="","",IF($I210="",$C$10,$I210)+IF($G211="",0,$G211)-IF($H211="",0,$H211))</f>
        <v/>
      </c>
      <c r="L211">
        <f>IFERROR(MATCH($C$5&amp;"|"&amp;RIGHT("000000"&amp;195,6),LdgRankKeyA,0),"")</f>
        <v/>
      </c>
      <c r="M211">
        <f>IFERROR(MATCH($C$5&amp;"|"&amp;RIGHT("000000"&amp;195,6),LdgRankKeyB,0),"")</f>
        <v/>
      </c>
    </row>
    <row r="212">
      <c r="A212" s="23" t="n">
        <v>196</v>
      </c>
      <c r="B212" s="24">
        <f>IF(AND($L212="",$M212=""),"",IF($L212&lt;&gt;"",INDEX(SCNormDate,$L212),INDEX(LdgDateB,$M212)))</f>
        <v/>
      </c>
      <c r="C212" s="24">
        <f>IF($L212&lt;&gt;"",INDEX(SCOp,$L212),IF($M212&lt;&gt;"","پرداخت بانکی",""))</f>
        <v/>
      </c>
      <c r="D212" s="24">
        <f>IF($L212&lt;&gt;"",IF(INDEX(SCDoc,$L212)="","—",INDEX(SCDoc,$L212)),IF($M212&lt;&gt;"",INDEX(LdgBankB,$M212),""))</f>
        <v/>
      </c>
      <c r="E212" s="25">
        <f>IF($L212&lt;&gt;"",IF(INDEX(SCCitrus,$L212)&amp;INDEX(SCNotes,$L212)="","",IF(INDEX(SCCitrus,$L212)="","",INDEX(SCCitrus,$L212))&amp;IF(INDEX(SCNotes,$L212)="",""," — "&amp;INDEX(SCNotes,$L212))),IF($M212&lt;&gt;"",IF(INDEX(LdgNoteB,$M212)="","—",INDEX(LdgNoteB,$M212)),""))</f>
        <v/>
      </c>
      <c r="F212" s="26">
        <f>IF($L212&lt;&gt;"",IF(INDEX(SCNet,$L212)=0,"",INDEX(SCNet,$L212)),"")</f>
        <v/>
      </c>
      <c r="G212" s="27">
        <f>IF($L212&lt;&gt;"",IF(INDEX(SCOp,$L212)="مرجوعی فروش","",IF(INDEX(SCAmount,$L212)&lt;=0,"",INDEX(SCAmount,$L212))),IF($M212&lt;&gt;"",IF(INDEX(LdgWitB,$M212)=0,"",INDEX(LdgWitB,$M212)),""))</f>
        <v/>
      </c>
      <c r="H212" s="27">
        <f>IF($L212&lt;&gt;"",IF(INDEX(SCOp,$L212)="مرجوعی فروش",IF(INDEX(SCAmount,$L212)=0,"",-INDEX(SCAmount,$L212)),""),IF($M212&lt;&gt;"",IF(INDEX(LdgDepB,$M212)=0,"",INDEX(LdgDepB,$M212)),""))</f>
        <v/>
      </c>
      <c r="I212" s="28">
        <f>IF($B212="","",IF($I211="",$C$10,$I211)+IF($G212="",0,$G212)-IF($H212="",0,$H212))</f>
        <v/>
      </c>
      <c r="L212">
        <f>IFERROR(MATCH($C$5&amp;"|"&amp;RIGHT("000000"&amp;196,6),LdgRankKeyA,0),"")</f>
        <v/>
      </c>
      <c r="M212">
        <f>IFERROR(MATCH($C$5&amp;"|"&amp;RIGHT("000000"&amp;196,6),LdgRankKeyB,0),"")</f>
        <v/>
      </c>
    </row>
    <row r="213">
      <c r="A213" s="17" t="n">
        <v>197</v>
      </c>
      <c r="B213" s="18">
        <f>IF(AND($L213="",$M213=""),"",IF($L213&lt;&gt;"",INDEX(SCNormDate,$L213),INDEX(LdgDateB,$M213)))</f>
        <v/>
      </c>
      <c r="C213" s="18">
        <f>IF($L213&lt;&gt;"",INDEX(SCOp,$L213),IF($M213&lt;&gt;"","پرداخت بانکی",""))</f>
        <v/>
      </c>
      <c r="D213" s="18">
        <f>IF($L213&lt;&gt;"",IF(INDEX(SCDoc,$L213)="","—",INDEX(SCDoc,$L213)),IF($M213&lt;&gt;"",INDEX(LdgBankB,$M213),""))</f>
        <v/>
      </c>
      <c r="E213" s="19">
        <f>IF($L213&lt;&gt;"",IF(INDEX(SCCitrus,$L213)&amp;INDEX(SCNotes,$L213)="","",IF(INDEX(SCCitrus,$L213)="","",INDEX(SCCitrus,$L213))&amp;IF(INDEX(SCNotes,$L213)="",""," — "&amp;INDEX(SCNotes,$L213))),IF($M213&lt;&gt;"",IF(INDEX(LdgNoteB,$M213)="","—",INDEX(LdgNoteB,$M213)),""))</f>
        <v/>
      </c>
      <c r="F213" s="20">
        <f>IF($L213&lt;&gt;"",IF(INDEX(SCNet,$L213)=0,"",INDEX(SCNet,$L213)),"")</f>
        <v/>
      </c>
      <c r="G213" s="21">
        <f>IF($L213&lt;&gt;"",IF(INDEX(SCOp,$L213)="مرجوعی فروش","",IF(INDEX(SCAmount,$L213)&lt;=0,"",INDEX(SCAmount,$L213))),IF($M213&lt;&gt;"",IF(INDEX(LdgWitB,$M213)=0,"",INDEX(LdgWitB,$M213)),""))</f>
        <v/>
      </c>
      <c r="H213" s="21">
        <f>IF($L213&lt;&gt;"",IF(INDEX(SCOp,$L213)="مرجوعی فروش",IF(INDEX(SCAmount,$L213)=0,"",-INDEX(SCAmount,$L213)),""),IF($M213&lt;&gt;"",IF(INDEX(LdgDepB,$M213)=0,"",INDEX(LdgDepB,$M213)),""))</f>
        <v/>
      </c>
      <c r="I213" s="22">
        <f>IF($B213="","",IF($I212="",$C$10,$I212)+IF($G213="",0,$G213)-IF($H213="",0,$H213))</f>
        <v/>
      </c>
      <c r="L213">
        <f>IFERROR(MATCH($C$5&amp;"|"&amp;RIGHT("000000"&amp;197,6),LdgRankKeyA,0),"")</f>
        <v/>
      </c>
      <c r="M213">
        <f>IFERROR(MATCH($C$5&amp;"|"&amp;RIGHT("000000"&amp;197,6),LdgRankKeyB,0),"")</f>
        <v/>
      </c>
    </row>
    <row r="214">
      <c r="A214" s="23" t="n">
        <v>198</v>
      </c>
      <c r="B214" s="24">
        <f>IF(AND($L214="",$M214=""),"",IF($L214&lt;&gt;"",INDEX(SCNormDate,$L214),INDEX(LdgDateB,$M214)))</f>
        <v/>
      </c>
      <c r="C214" s="24">
        <f>IF($L214&lt;&gt;"",INDEX(SCOp,$L214),IF($M214&lt;&gt;"","پرداخت بانکی",""))</f>
        <v/>
      </c>
      <c r="D214" s="24">
        <f>IF($L214&lt;&gt;"",IF(INDEX(SCDoc,$L214)="","—",INDEX(SCDoc,$L214)),IF($M214&lt;&gt;"",INDEX(LdgBankB,$M214),""))</f>
        <v/>
      </c>
      <c r="E214" s="25">
        <f>IF($L214&lt;&gt;"",IF(INDEX(SCCitrus,$L214)&amp;INDEX(SCNotes,$L214)="","",IF(INDEX(SCCitrus,$L214)="","",INDEX(SCCitrus,$L214))&amp;IF(INDEX(SCNotes,$L214)="",""," — "&amp;INDEX(SCNotes,$L214))),IF($M214&lt;&gt;"",IF(INDEX(LdgNoteB,$M214)="","—",INDEX(LdgNoteB,$M214)),""))</f>
        <v/>
      </c>
      <c r="F214" s="26">
        <f>IF($L214&lt;&gt;"",IF(INDEX(SCNet,$L214)=0,"",INDEX(SCNet,$L214)),"")</f>
        <v/>
      </c>
      <c r="G214" s="27">
        <f>IF($L214&lt;&gt;"",IF(INDEX(SCOp,$L214)="مرجوعی فروش","",IF(INDEX(SCAmount,$L214)&lt;=0,"",INDEX(SCAmount,$L214))),IF($M214&lt;&gt;"",IF(INDEX(LdgWitB,$M214)=0,"",INDEX(LdgWitB,$M214)),""))</f>
        <v/>
      </c>
      <c r="H214" s="27">
        <f>IF($L214&lt;&gt;"",IF(INDEX(SCOp,$L214)="مرجوعی فروش",IF(INDEX(SCAmount,$L214)=0,"",-INDEX(SCAmount,$L214)),""),IF($M214&lt;&gt;"",IF(INDEX(LdgDepB,$M214)=0,"",INDEX(LdgDepB,$M214)),""))</f>
        <v/>
      </c>
      <c r="I214" s="28">
        <f>IF($B214="","",IF($I213="",$C$10,$I213)+IF($G214="",0,$G214)-IF($H214="",0,$H214))</f>
        <v/>
      </c>
      <c r="L214">
        <f>IFERROR(MATCH($C$5&amp;"|"&amp;RIGHT("000000"&amp;198,6),LdgRankKeyA,0),"")</f>
        <v/>
      </c>
      <c r="M214">
        <f>IFERROR(MATCH($C$5&amp;"|"&amp;RIGHT("000000"&amp;198,6),LdgRankKeyB,0),"")</f>
        <v/>
      </c>
    </row>
    <row r="215">
      <c r="A215" s="17" t="n">
        <v>199</v>
      </c>
      <c r="B215" s="18">
        <f>IF(AND($L215="",$M215=""),"",IF($L215&lt;&gt;"",INDEX(SCNormDate,$L215),INDEX(LdgDateB,$M215)))</f>
        <v/>
      </c>
      <c r="C215" s="18">
        <f>IF($L215&lt;&gt;"",INDEX(SCOp,$L215),IF($M215&lt;&gt;"","پرداخت بانکی",""))</f>
        <v/>
      </c>
      <c r="D215" s="18">
        <f>IF($L215&lt;&gt;"",IF(INDEX(SCDoc,$L215)="","—",INDEX(SCDoc,$L215)),IF($M215&lt;&gt;"",INDEX(LdgBankB,$M215),""))</f>
        <v/>
      </c>
      <c r="E215" s="19">
        <f>IF($L215&lt;&gt;"",IF(INDEX(SCCitrus,$L215)&amp;INDEX(SCNotes,$L215)="","",IF(INDEX(SCCitrus,$L215)="","",INDEX(SCCitrus,$L215))&amp;IF(INDEX(SCNotes,$L215)="",""," — "&amp;INDEX(SCNotes,$L215))),IF($M215&lt;&gt;"",IF(INDEX(LdgNoteB,$M215)="","—",INDEX(LdgNoteB,$M215)),""))</f>
        <v/>
      </c>
      <c r="F215" s="20">
        <f>IF($L215&lt;&gt;"",IF(INDEX(SCNet,$L215)=0,"",INDEX(SCNet,$L215)),"")</f>
        <v/>
      </c>
      <c r="G215" s="21">
        <f>IF($L215&lt;&gt;"",IF(INDEX(SCOp,$L215)="مرجوعی فروش","",IF(INDEX(SCAmount,$L215)&lt;=0,"",INDEX(SCAmount,$L215))),IF($M215&lt;&gt;"",IF(INDEX(LdgWitB,$M215)=0,"",INDEX(LdgWitB,$M215)),""))</f>
        <v/>
      </c>
      <c r="H215" s="21">
        <f>IF($L215&lt;&gt;"",IF(INDEX(SCOp,$L215)="مرجوعی فروش",IF(INDEX(SCAmount,$L215)=0,"",-INDEX(SCAmount,$L215)),""),IF($M215&lt;&gt;"",IF(INDEX(LdgDepB,$M215)=0,"",INDEX(LdgDepB,$M215)),""))</f>
        <v/>
      </c>
      <c r="I215" s="22">
        <f>IF($B215="","",IF($I214="",$C$10,$I214)+IF($G215="",0,$G215)-IF($H215="",0,$H215))</f>
        <v/>
      </c>
      <c r="L215">
        <f>IFERROR(MATCH($C$5&amp;"|"&amp;RIGHT("000000"&amp;199,6),LdgRankKeyA,0),"")</f>
        <v/>
      </c>
      <c r="M215">
        <f>IFERROR(MATCH($C$5&amp;"|"&amp;RIGHT("000000"&amp;199,6),LdgRankKeyB,0),"")</f>
        <v/>
      </c>
    </row>
    <row r="216">
      <c r="A216" s="23" t="n">
        <v>200</v>
      </c>
      <c r="B216" s="24">
        <f>IF(AND($L216="",$M216=""),"",IF($L216&lt;&gt;"",INDEX(SCNormDate,$L216),INDEX(LdgDateB,$M216)))</f>
        <v/>
      </c>
      <c r="C216" s="24">
        <f>IF($L216&lt;&gt;"",INDEX(SCOp,$L216),IF($M216&lt;&gt;"","پرداخت بانکی",""))</f>
        <v/>
      </c>
      <c r="D216" s="24">
        <f>IF($L216&lt;&gt;"",IF(INDEX(SCDoc,$L216)="","—",INDEX(SCDoc,$L216)),IF($M216&lt;&gt;"",INDEX(LdgBankB,$M216),""))</f>
        <v/>
      </c>
      <c r="E216" s="25">
        <f>IF($L216&lt;&gt;"",IF(INDEX(SCCitrus,$L216)&amp;INDEX(SCNotes,$L216)="","",IF(INDEX(SCCitrus,$L216)="","",INDEX(SCCitrus,$L216))&amp;IF(INDEX(SCNotes,$L216)="",""," — "&amp;INDEX(SCNotes,$L216))),IF($M216&lt;&gt;"",IF(INDEX(LdgNoteB,$M216)="","—",INDEX(LdgNoteB,$M216)),""))</f>
        <v/>
      </c>
      <c r="F216" s="26">
        <f>IF($L216&lt;&gt;"",IF(INDEX(SCNet,$L216)=0,"",INDEX(SCNet,$L216)),"")</f>
        <v/>
      </c>
      <c r="G216" s="27">
        <f>IF($L216&lt;&gt;"",IF(INDEX(SCOp,$L216)="مرجوعی فروش","",IF(INDEX(SCAmount,$L216)&lt;=0,"",INDEX(SCAmount,$L216))),IF($M216&lt;&gt;"",IF(INDEX(LdgWitB,$M216)=0,"",INDEX(LdgWitB,$M216)),""))</f>
        <v/>
      </c>
      <c r="H216" s="27">
        <f>IF($L216&lt;&gt;"",IF(INDEX(SCOp,$L216)="مرجوعی فروش",IF(INDEX(SCAmount,$L216)=0,"",-INDEX(SCAmount,$L216)),""),IF($M216&lt;&gt;"",IF(INDEX(LdgDepB,$M216)=0,"",INDEX(LdgDepB,$M216)),""))</f>
        <v/>
      </c>
      <c r="I216" s="28">
        <f>IF($B216="","",IF($I215="",$C$10,$I215)+IF($G216="",0,$G216)-IF($H216="",0,$H216))</f>
        <v/>
      </c>
      <c r="L216">
        <f>IFERROR(MATCH($C$5&amp;"|"&amp;RIGHT("000000"&amp;200,6),LdgRankKeyA,0),"")</f>
        <v/>
      </c>
      <c r="M216">
        <f>IFERROR(MATCH($C$5&amp;"|"&amp;RIGHT("000000"&amp;200,6),LdgRankKeyB,0),"")</f>
        <v/>
      </c>
    </row>
    <row r="217">
      <c r="A217" s="17" t="n">
        <v>201</v>
      </c>
      <c r="B217" s="18">
        <f>IF(AND($L217="",$M217=""),"",IF($L217&lt;&gt;"",INDEX(SCNormDate,$L217),INDEX(LdgDateB,$M217)))</f>
        <v/>
      </c>
      <c r="C217" s="18">
        <f>IF($L217&lt;&gt;"",INDEX(SCOp,$L217),IF($M217&lt;&gt;"","پرداخت بانکی",""))</f>
        <v/>
      </c>
      <c r="D217" s="18">
        <f>IF($L217&lt;&gt;"",IF(INDEX(SCDoc,$L217)="","—",INDEX(SCDoc,$L217)),IF($M217&lt;&gt;"",INDEX(LdgBankB,$M217),""))</f>
        <v/>
      </c>
      <c r="E217" s="19">
        <f>IF($L217&lt;&gt;"",IF(INDEX(SCCitrus,$L217)&amp;INDEX(SCNotes,$L217)="","",IF(INDEX(SCCitrus,$L217)="","",INDEX(SCCitrus,$L217))&amp;IF(INDEX(SCNotes,$L217)="",""," — "&amp;INDEX(SCNotes,$L217))),IF($M217&lt;&gt;"",IF(INDEX(LdgNoteB,$M217)="","—",INDEX(LdgNoteB,$M217)),""))</f>
        <v/>
      </c>
      <c r="F217" s="20">
        <f>IF($L217&lt;&gt;"",IF(INDEX(SCNet,$L217)=0,"",INDEX(SCNet,$L217)),"")</f>
        <v/>
      </c>
      <c r="G217" s="21">
        <f>IF($L217&lt;&gt;"",IF(INDEX(SCOp,$L217)="مرجوعی فروش","",IF(INDEX(SCAmount,$L217)&lt;=0,"",INDEX(SCAmount,$L217))),IF($M217&lt;&gt;"",IF(INDEX(LdgWitB,$M217)=0,"",INDEX(LdgWitB,$M217)),""))</f>
        <v/>
      </c>
      <c r="H217" s="21">
        <f>IF($L217&lt;&gt;"",IF(INDEX(SCOp,$L217)="مرجوعی فروش",IF(INDEX(SCAmount,$L217)=0,"",-INDEX(SCAmount,$L217)),""),IF($M217&lt;&gt;"",IF(INDEX(LdgDepB,$M217)=0,"",INDEX(LdgDepB,$M217)),""))</f>
        <v/>
      </c>
      <c r="I217" s="22">
        <f>IF($B217="","",IF($I216="",$C$10,$I216)+IF($G217="",0,$G217)-IF($H217="",0,$H217))</f>
        <v/>
      </c>
      <c r="L217">
        <f>IFERROR(MATCH($C$5&amp;"|"&amp;RIGHT("000000"&amp;201,6),LdgRankKeyA,0),"")</f>
        <v/>
      </c>
      <c r="M217">
        <f>IFERROR(MATCH($C$5&amp;"|"&amp;RIGHT("000000"&amp;201,6),LdgRankKeyB,0),"")</f>
        <v/>
      </c>
    </row>
    <row r="218">
      <c r="A218" s="23" t="n">
        <v>202</v>
      </c>
      <c r="B218" s="24">
        <f>IF(AND($L218="",$M218=""),"",IF($L218&lt;&gt;"",INDEX(SCNormDate,$L218),INDEX(LdgDateB,$M218)))</f>
        <v/>
      </c>
      <c r="C218" s="24">
        <f>IF($L218&lt;&gt;"",INDEX(SCOp,$L218),IF($M218&lt;&gt;"","پرداخت بانکی",""))</f>
        <v/>
      </c>
      <c r="D218" s="24">
        <f>IF($L218&lt;&gt;"",IF(INDEX(SCDoc,$L218)="","—",INDEX(SCDoc,$L218)),IF($M218&lt;&gt;"",INDEX(LdgBankB,$M218),""))</f>
        <v/>
      </c>
      <c r="E218" s="25">
        <f>IF($L218&lt;&gt;"",IF(INDEX(SCCitrus,$L218)&amp;INDEX(SCNotes,$L218)="","",IF(INDEX(SCCitrus,$L218)="","",INDEX(SCCitrus,$L218))&amp;IF(INDEX(SCNotes,$L218)="",""," — "&amp;INDEX(SCNotes,$L218))),IF($M218&lt;&gt;"",IF(INDEX(LdgNoteB,$M218)="","—",INDEX(LdgNoteB,$M218)),""))</f>
        <v/>
      </c>
      <c r="F218" s="26">
        <f>IF($L218&lt;&gt;"",IF(INDEX(SCNet,$L218)=0,"",INDEX(SCNet,$L218)),"")</f>
        <v/>
      </c>
      <c r="G218" s="27">
        <f>IF($L218&lt;&gt;"",IF(INDEX(SCOp,$L218)="مرجوعی فروش","",IF(INDEX(SCAmount,$L218)&lt;=0,"",INDEX(SCAmount,$L218))),IF($M218&lt;&gt;"",IF(INDEX(LdgWitB,$M218)=0,"",INDEX(LdgWitB,$M218)),""))</f>
        <v/>
      </c>
      <c r="H218" s="27">
        <f>IF($L218&lt;&gt;"",IF(INDEX(SCOp,$L218)="مرجوعی فروش",IF(INDEX(SCAmount,$L218)=0,"",-INDEX(SCAmount,$L218)),""),IF($M218&lt;&gt;"",IF(INDEX(LdgDepB,$M218)=0,"",INDEX(LdgDepB,$M218)),""))</f>
        <v/>
      </c>
      <c r="I218" s="28">
        <f>IF($B218="","",IF($I217="",$C$10,$I217)+IF($G218="",0,$G218)-IF($H218="",0,$H218))</f>
        <v/>
      </c>
      <c r="L218">
        <f>IFERROR(MATCH($C$5&amp;"|"&amp;RIGHT("000000"&amp;202,6),LdgRankKeyA,0),"")</f>
        <v/>
      </c>
      <c r="M218">
        <f>IFERROR(MATCH($C$5&amp;"|"&amp;RIGHT("000000"&amp;202,6),LdgRankKeyB,0),"")</f>
        <v/>
      </c>
    </row>
    <row r="219">
      <c r="A219" s="17" t="n">
        <v>203</v>
      </c>
      <c r="B219" s="18">
        <f>IF(AND($L219="",$M219=""),"",IF($L219&lt;&gt;"",INDEX(SCNormDate,$L219),INDEX(LdgDateB,$M219)))</f>
        <v/>
      </c>
      <c r="C219" s="18">
        <f>IF($L219&lt;&gt;"",INDEX(SCOp,$L219),IF($M219&lt;&gt;"","پرداخت بانکی",""))</f>
        <v/>
      </c>
      <c r="D219" s="18">
        <f>IF($L219&lt;&gt;"",IF(INDEX(SCDoc,$L219)="","—",INDEX(SCDoc,$L219)),IF($M219&lt;&gt;"",INDEX(LdgBankB,$M219),""))</f>
        <v/>
      </c>
      <c r="E219" s="19">
        <f>IF($L219&lt;&gt;"",IF(INDEX(SCCitrus,$L219)&amp;INDEX(SCNotes,$L219)="","",IF(INDEX(SCCitrus,$L219)="","",INDEX(SCCitrus,$L219))&amp;IF(INDEX(SCNotes,$L219)="",""," — "&amp;INDEX(SCNotes,$L219))),IF($M219&lt;&gt;"",IF(INDEX(LdgNoteB,$M219)="","—",INDEX(LdgNoteB,$M219)),""))</f>
        <v/>
      </c>
      <c r="F219" s="20">
        <f>IF($L219&lt;&gt;"",IF(INDEX(SCNet,$L219)=0,"",INDEX(SCNet,$L219)),"")</f>
        <v/>
      </c>
      <c r="G219" s="21">
        <f>IF($L219&lt;&gt;"",IF(INDEX(SCOp,$L219)="مرجوعی فروش","",IF(INDEX(SCAmount,$L219)&lt;=0,"",INDEX(SCAmount,$L219))),IF($M219&lt;&gt;"",IF(INDEX(LdgWitB,$M219)=0,"",INDEX(LdgWitB,$M219)),""))</f>
        <v/>
      </c>
      <c r="H219" s="21">
        <f>IF($L219&lt;&gt;"",IF(INDEX(SCOp,$L219)="مرجوعی فروش",IF(INDEX(SCAmount,$L219)=0,"",-INDEX(SCAmount,$L219)),""),IF($M219&lt;&gt;"",IF(INDEX(LdgDepB,$M219)=0,"",INDEX(LdgDepB,$M219)),""))</f>
        <v/>
      </c>
      <c r="I219" s="22">
        <f>IF($B219="","",IF($I218="",$C$10,$I218)+IF($G219="",0,$G219)-IF($H219="",0,$H219))</f>
        <v/>
      </c>
      <c r="L219">
        <f>IFERROR(MATCH($C$5&amp;"|"&amp;RIGHT("000000"&amp;203,6),LdgRankKeyA,0),"")</f>
        <v/>
      </c>
      <c r="M219">
        <f>IFERROR(MATCH($C$5&amp;"|"&amp;RIGHT("000000"&amp;203,6),LdgRankKeyB,0),"")</f>
        <v/>
      </c>
    </row>
    <row r="220">
      <c r="A220" s="23" t="n">
        <v>204</v>
      </c>
      <c r="B220" s="24">
        <f>IF(AND($L220="",$M220=""),"",IF($L220&lt;&gt;"",INDEX(SCNormDate,$L220),INDEX(LdgDateB,$M220)))</f>
        <v/>
      </c>
      <c r="C220" s="24">
        <f>IF($L220&lt;&gt;"",INDEX(SCOp,$L220),IF($M220&lt;&gt;"","پرداخت بانکی",""))</f>
        <v/>
      </c>
      <c r="D220" s="24">
        <f>IF($L220&lt;&gt;"",IF(INDEX(SCDoc,$L220)="","—",INDEX(SCDoc,$L220)),IF($M220&lt;&gt;"",INDEX(LdgBankB,$M220),""))</f>
        <v/>
      </c>
      <c r="E220" s="25">
        <f>IF($L220&lt;&gt;"",IF(INDEX(SCCitrus,$L220)&amp;INDEX(SCNotes,$L220)="","",IF(INDEX(SCCitrus,$L220)="","",INDEX(SCCitrus,$L220))&amp;IF(INDEX(SCNotes,$L220)="",""," — "&amp;INDEX(SCNotes,$L220))),IF($M220&lt;&gt;"",IF(INDEX(LdgNoteB,$M220)="","—",INDEX(LdgNoteB,$M220)),""))</f>
        <v/>
      </c>
      <c r="F220" s="26">
        <f>IF($L220&lt;&gt;"",IF(INDEX(SCNet,$L220)=0,"",INDEX(SCNet,$L220)),"")</f>
        <v/>
      </c>
      <c r="G220" s="27">
        <f>IF($L220&lt;&gt;"",IF(INDEX(SCOp,$L220)="مرجوعی فروش","",IF(INDEX(SCAmount,$L220)&lt;=0,"",INDEX(SCAmount,$L220))),IF($M220&lt;&gt;"",IF(INDEX(LdgWitB,$M220)=0,"",INDEX(LdgWitB,$M220)),""))</f>
        <v/>
      </c>
      <c r="H220" s="27">
        <f>IF($L220&lt;&gt;"",IF(INDEX(SCOp,$L220)="مرجوعی فروش",IF(INDEX(SCAmount,$L220)=0,"",-INDEX(SCAmount,$L220)),""),IF($M220&lt;&gt;"",IF(INDEX(LdgDepB,$M220)=0,"",INDEX(LdgDepB,$M220)),""))</f>
        <v/>
      </c>
      <c r="I220" s="28">
        <f>IF($B220="","",IF($I219="",$C$10,$I219)+IF($G220="",0,$G220)-IF($H220="",0,$H220))</f>
        <v/>
      </c>
      <c r="L220">
        <f>IFERROR(MATCH($C$5&amp;"|"&amp;RIGHT("000000"&amp;204,6),LdgRankKeyA,0),"")</f>
        <v/>
      </c>
      <c r="M220">
        <f>IFERROR(MATCH($C$5&amp;"|"&amp;RIGHT("000000"&amp;204,6),LdgRankKeyB,0),"")</f>
        <v/>
      </c>
    </row>
    <row r="221">
      <c r="A221" s="17" t="n">
        <v>205</v>
      </c>
      <c r="B221" s="18">
        <f>IF(AND($L221="",$M221=""),"",IF($L221&lt;&gt;"",INDEX(SCNormDate,$L221),INDEX(LdgDateB,$M221)))</f>
        <v/>
      </c>
      <c r="C221" s="18">
        <f>IF($L221&lt;&gt;"",INDEX(SCOp,$L221),IF($M221&lt;&gt;"","پرداخت بانکی",""))</f>
        <v/>
      </c>
      <c r="D221" s="18">
        <f>IF($L221&lt;&gt;"",IF(INDEX(SCDoc,$L221)="","—",INDEX(SCDoc,$L221)),IF($M221&lt;&gt;"",INDEX(LdgBankB,$M221),""))</f>
        <v/>
      </c>
      <c r="E221" s="19">
        <f>IF($L221&lt;&gt;"",IF(INDEX(SCCitrus,$L221)&amp;INDEX(SCNotes,$L221)="","",IF(INDEX(SCCitrus,$L221)="","",INDEX(SCCitrus,$L221))&amp;IF(INDEX(SCNotes,$L221)="",""," — "&amp;INDEX(SCNotes,$L221))),IF($M221&lt;&gt;"",IF(INDEX(LdgNoteB,$M221)="","—",INDEX(LdgNoteB,$M221)),""))</f>
        <v/>
      </c>
      <c r="F221" s="20">
        <f>IF($L221&lt;&gt;"",IF(INDEX(SCNet,$L221)=0,"",INDEX(SCNet,$L221)),"")</f>
        <v/>
      </c>
      <c r="G221" s="21">
        <f>IF($L221&lt;&gt;"",IF(INDEX(SCOp,$L221)="مرجوعی فروش","",IF(INDEX(SCAmount,$L221)&lt;=0,"",INDEX(SCAmount,$L221))),IF($M221&lt;&gt;"",IF(INDEX(LdgWitB,$M221)=0,"",INDEX(LdgWitB,$M221)),""))</f>
        <v/>
      </c>
      <c r="H221" s="21">
        <f>IF($L221&lt;&gt;"",IF(INDEX(SCOp,$L221)="مرجوعی فروش",IF(INDEX(SCAmount,$L221)=0,"",-INDEX(SCAmount,$L221)),""),IF($M221&lt;&gt;"",IF(INDEX(LdgDepB,$M221)=0,"",INDEX(LdgDepB,$M221)),""))</f>
        <v/>
      </c>
      <c r="I221" s="22">
        <f>IF($B221="","",IF($I220="",$C$10,$I220)+IF($G221="",0,$G221)-IF($H221="",0,$H221))</f>
        <v/>
      </c>
      <c r="L221">
        <f>IFERROR(MATCH($C$5&amp;"|"&amp;RIGHT("000000"&amp;205,6),LdgRankKeyA,0),"")</f>
        <v/>
      </c>
      <c r="M221">
        <f>IFERROR(MATCH($C$5&amp;"|"&amp;RIGHT("000000"&amp;205,6),LdgRankKeyB,0),"")</f>
        <v/>
      </c>
    </row>
    <row r="222">
      <c r="A222" s="23" t="n">
        <v>206</v>
      </c>
      <c r="B222" s="24">
        <f>IF(AND($L222="",$M222=""),"",IF($L222&lt;&gt;"",INDEX(SCNormDate,$L222),INDEX(LdgDateB,$M222)))</f>
        <v/>
      </c>
      <c r="C222" s="24">
        <f>IF($L222&lt;&gt;"",INDEX(SCOp,$L222),IF($M222&lt;&gt;"","پرداخت بانکی",""))</f>
        <v/>
      </c>
      <c r="D222" s="24">
        <f>IF($L222&lt;&gt;"",IF(INDEX(SCDoc,$L222)="","—",INDEX(SCDoc,$L222)),IF($M222&lt;&gt;"",INDEX(LdgBankB,$M222),""))</f>
        <v/>
      </c>
      <c r="E222" s="25">
        <f>IF($L222&lt;&gt;"",IF(INDEX(SCCitrus,$L222)&amp;INDEX(SCNotes,$L222)="","",IF(INDEX(SCCitrus,$L222)="","",INDEX(SCCitrus,$L222))&amp;IF(INDEX(SCNotes,$L222)="",""," — "&amp;INDEX(SCNotes,$L222))),IF($M222&lt;&gt;"",IF(INDEX(LdgNoteB,$M222)="","—",INDEX(LdgNoteB,$M222)),""))</f>
        <v/>
      </c>
      <c r="F222" s="26">
        <f>IF($L222&lt;&gt;"",IF(INDEX(SCNet,$L222)=0,"",INDEX(SCNet,$L222)),"")</f>
        <v/>
      </c>
      <c r="G222" s="27">
        <f>IF($L222&lt;&gt;"",IF(INDEX(SCOp,$L222)="مرجوعی فروش","",IF(INDEX(SCAmount,$L222)&lt;=0,"",INDEX(SCAmount,$L222))),IF($M222&lt;&gt;"",IF(INDEX(LdgWitB,$M222)=0,"",INDEX(LdgWitB,$M222)),""))</f>
        <v/>
      </c>
      <c r="H222" s="27">
        <f>IF($L222&lt;&gt;"",IF(INDEX(SCOp,$L222)="مرجوعی فروش",IF(INDEX(SCAmount,$L222)=0,"",-INDEX(SCAmount,$L222)),""),IF($M222&lt;&gt;"",IF(INDEX(LdgDepB,$M222)=0,"",INDEX(LdgDepB,$M222)),""))</f>
        <v/>
      </c>
      <c r="I222" s="28">
        <f>IF($B222="","",IF($I221="",$C$10,$I221)+IF($G222="",0,$G222)-IF($H222="",0,$H222))</f>
        <v/>
      </c>
      <c r="L222">
        <f>IFERROR(MATCH($C$5&amp;"|"&amp;RIGHT("000000"&amp;206,6),LdgRankKeyA,0),"")</f>
        <v/>
      </c>
      <c r="M222">
        <f>IFERROR(MATCH($C$5&amp;"|"&amp;RIGHT("000000"&amp;206,6),LdgRankKeyB,0),"")</f>
        <v/>
      </c>
    </row>
    <row r="223">
      <c r="A223" s="17" t="n">
        <v>207</v>
      </c>
      <c r="B223" s="18">
        <f>IF(AND($L223="",$M223=""),"",IF($L223&lt;&gt;"",INDEX(SCNormDate,$L223),INDEX(LdgDateB,$M223)))</f>
        <v/>
      </c>
      <c r="C223" s="18">
        <f>IF($L223&lt;&gt;"",INDEX(SCOp,$L223),IF($M223&lt;&gt;"","پرداخت بانکی",""))</f>
        <v/>
      </c>
      <c r="D223" s="18">
        <f>IF($L223&lt;&gt;"",IF(INDEX(SCDoc,$L223)="","—",INDEX(SCDoc,$L223)),IF($M223&lt;&gt;"",INDEX(LdgBankB,$M223),""))</f>
        <v/>
      </c>
      <c r="E223" s="19">
        <f>IF($L223&lt;&gt;"",IF(INDEX(SCCitrus,$L223)&amp;INDEX(SCNotes,$L223)="","",IF(INDEX(SCCitrus,$L223)="","",INDEX(SCCitrus,$L223))&amp;IF(INDEX(SCNotes,$L223)="",""," — "&amp;INDEX(SCNotes,$L223))),IF($M223&lt;&gt;"",IF(INDEX(LdgNoteB,$M223)="","—",INDEX(LdgNoteB,$M223)),""))</f>
        <v/>
      </c>
      <c r="F223" s="20">
        <f>IF($L223&lt;&gt;"",IF(INDEX(SCNet,$L223)=0,"",INDEX(SCNet,$L223)),"")</f>
        <v/>
      </c>
      <c r="G223" s="21">
        <f>IF($L223&lt;&gt;"",IF(INDEX(SCOp,$L223)="مرجوعی فروش","",IF(INDEX(SCAmount,$L223)&lt;=0,"",INDEX(SCAmount,$L223))),IF($M223&lt;&gt;"",IF(INDEX(LdgWitB,$M223)=0,"",INDEX(LdgWitB,$M223)),""))</f>
        <v/>
      </c>
      <c r="H223" s="21">
        <f>IF($L223&lt;&gt;"",IF(INDEX(SCOp,$L223)="مرجوعی فروش",IF(INDEX(SCAmount,$L223)=0,"",-INDEX(SCAmount,$L223)),""),IF($M223&lt;&gt;"",IF(INDEX(LdgDepB,$M223)=0,"",INDEX(LdgDepB,$M223)),""))</f>
        <v/>
      </c>
      <c r="I223" s="22">
        <f>IF($B223="","",IF($I222="",$C$10,$I222)+IF($G223="",0,$G223)-IF($H223="",0,$H223))</f>
        <v/>
      </c>
      <c r="L223">
        <f>IFERROR(MATCH($C$5&amp;"|"&amp;RIGHT("000000"&amp;207,6),LdgRankKeyA,0),"")</f>
        <v/>
      </c>
      <c r="M223">
        <f>IFERROR(MATCH($C$5&amp;"|"&amp;RIGHT("000000"&amp;207,6),LdgRankKeyB,0),"")</f>
        <v/>
      </c>
    </row>
    <row r="224">
      <c r="A224" s="23" t="n">
        <v>208</v>
      </c>
      <c r="B224" s="24">
        <f>IF(AND($L224="",$M224=""),"",IF($L224&lt;&gt;"",INDEX(SCNormDate,$L224),INDEX(LdgDateB,$M224)))</f>
        <v/>
      </c>
      <c r="C224" s="24">
        <f>IF($L224&lt;&gt;"",INDEX(SCOp,$L224),IF($M224&lt;&gt;"","پرداخت بانکی",""))</f>
        <v/>
      </c>
      <c r="D224" s="24">
        <f>IF($L224&lt;&gt;"",IF(INDEX(SCDoc,$L224)="","—",INDEX(SCDoc,$L224)),IF($M224&lt;&gt;"",INDEX(LdgBankB,$M224),""))</f>
        <v/>
      </c>
      <c r="E224" s="25">
        <f>IF($L224&lt;&gt;"",IF(INDEX(SCCitrus,$L224)&amp;INDEX(SCNotes,$L224)="","",IF(INDEX(SCCitrus,$L224)="","",INDEX(SCCitrus,$L224))&amp;IF(INDEX(SCNotes,$L224)="",""," — "&amp;INDEX(SCNotes,$L224))),IF($M224&lt;&gt;"",IF(INDEX(LdgNoteB,$M224)="","—",INDEX(LdgNoteB,$M224)),""))</f>
        <v/>
      </c>
      <c r="F224" s="26">
        <f>IF($L224&lt;&gt;"",IF(INDEX(SCNet,$L224)=0,"",INDEX(SCNet,$L224)),"")</f>
        <v/>
      </c>
      <c r="G224" s="27">
        <f>IF($L224&lt;&gt;"",IF(INDEX(SCOp,$L224)="مرجوعی فروش","",IF(INDEX(SCAmount,$L224)&lt;=0,"",INDEX(SCAmount,$L224))),IF($M224&lt;&gt;"",IF(INDEX(LdgWitB,$M224)=0,"",INDEX(LdgWitB,$M224)),""))</f>
        <v/>
      </c>
      <c r="H224" s="27">
        <f>IF($L224&lt;&gt;"",IF(INDEX(SCOp,$L224)="مرجوعی فروش",IF(INDEX(SCAmount,$L224)=0,"",-INDEX(SCAmount,$L224)),""),IF($M224&lt;&gt;"",IF(INDEX(LdgDepB,$M224)=0,"",INDEX(LdgDepB,$M224)),""))</f>
        <v/>
      </c>
      <c r="I224" s="28">
        <f>IF($B224="","",IF($I223="",$C$10,$I223)+IF($G224="",0,$G224)-IF($H224="",0,$H224))</f>
        <v/>
      </c>
      <c r="L224">
        <f>IFERROR(MATCH($C$5&amp;"|"&amp;RIGHT("000000"&amp;208,6),LdgRankKeyA,0),"")</f>
        <v/>
      </c>
      <c r="M224">
        <f>IFERROR(MATCH($C$5&amp;"|"&amp;RIGHT("000000"&amp;208,6),LdgRankKeyB,0),"")</f>
        <v/>
      </c>
    </row>
    <row r="225">
      <c r="A225" s="17" t="n">
        <v>209</v>
      </c>
      <c r="B225" s="18">
        <f>IF(AND($L225="",$M225=""),"",IF($L225&lt;&gt;"",INDEX(SCNormDate,$L225),INDEX(LdgDateB,$M225)))</f>
        <v/>
      </c>
      <c r="C225" s="18">
        <f>IF($L225&lt;&gt;"",INDEX(SCOp,$L225),IF($M225&lt;&gt;"","پرداخت بانکی",""))</f>
        <v/>
      </c>
      <c r="D225" s="18">
        <f>IF($L225&lt;&gt;"",IF(INDEX(SCDoc,$L225)="","—",INDEX(SCDoc,$L225)),IF($M225&lt;&gt;"",INDEX(LdgBankB,$M225),""))</f>
        <v/>
      </c>
      <c r="E225" s="19">
        <f>IF($L225&lt;&gt;"",IF(INDEX(SCCitrus,$L225)&amp;INDEX(SCNotes,$L225)="","",IF(INDEX(SCCitrus,$L225)="","",INDEX(SCCitrus,$L225))&amp;IF(INDEX(SCNotes,$L225)="",""," — "&amp;INDEX(SCNotes,$L225))),IF($M225&lt;&gt;"",IF(INDEX(LdgNoteB,$M225)="","—",INDEX(LdgNoteB,$M225)),""))</f>
        <v/>
      </c>
      <c r="F225" s="20">
        <f>IF($L225&lt;&gt;"",IF(INDEX(SCNet,$L225)=0,"",INDEX(SCNet,$L225)),"")</f>
        <v/>
      </c>
      <c r="G225" s="21">
        <f>IF($L225&lt;&gt;"",IF(INDEX(SCOp,$L225)="مرجوعی فروش","",IF(INDEX(SCAmount,$L225)&lt;=0,"",INDEX(SCAmount,$L225))),IF($M225&lt;&gt;"",IF(INDEX(LdgWitB,$M225)=0,"",INDEX(LdgWitB,$M225)),""))</f>
        <v/>
      </c>
      <c r="H225" s="21">
        <f>IF($L225&lt;&gt;"",IF(INDEX(SCOp,$L225)="مرجوعی فروش",IF(INDEX(SCAmount,$L225)=0,"",-INDEX(SCAmount,$L225)),""),IF($M225&lt;&gt;"",IF(INDEX(LdgDepB,$M225)=0,"",INDEX(LdgDepB,$M225)),""))</f>
        <v/>
      </c>
      <c r="I225" s="22">
        <f>IF($B225="","",IF($I224="",$C$10,$I224)+IF($G225="",0,$G225)-IF($H225="",0,$H225))</f>
        <v/>
      </c>
      <c r="L225">
        <f>IFERROR(MATCH($C$5&amp;"|"&amp;RIGHT("000000"&amp;209,6),LdgRankKeyA,0),"")</f>
        <v/>
      </c>
      <c r="M225">
        <f>IFERROR(MATCH($C$5&amp;"|"&amp;RIGHT("000000"&amp;209,6),LdgRankKeyB,0),"")</f>
        <v/>
      </c>
    </row>
    <row r="226">
      <c r="A226" s="23" t="n">
        <v>210</v>
      </c>
      <c r="B226" s="24">
        <f>IF(AND($L226="",$M226=""),"",IF($L226&lt;&gt;"",INDEX(SCNormDate,$L226),INDEX(LdgDateB,$M226)))</f>
        <v/>
      </c>
      <c r="C226" s="24">
        <f>IF($L226&lt;&gt;"",INDEX(SCOp,$L226),IF($M226&lt;&gt;"","پرداخت بانکی",""))</f>
        <v/>
      </c>
      <c r="D226" s="24">
        <f>IF($L226&lt;&gt;"",IF(INDEX(SCDoc,$L226)="","—",INDEX(SCDoc,$L226)),IF($M226&lt;&gt;"",INDEX(LdgBankB,$M226),""))</f>
        <v/>
      </c>
      <c r="E226" s="25">
        <f>IF($L226&lt;&gt;"",IF(INDEX(SCCitrus,$L226)&amp;INDEX(SCNotes,$L226)="","",IF(INDEX(SCCitrus,$L226)="","",INDEX(SCCitrus,$L226))&amp;IF(INDEX(SCNotes,$L226)="",""," — "&amp;INDEX(SCNotes,$L226))),IF($M226&lt;&gt;"",IF(INDEX(LdgNoteB,$M226)="","—",INDEX(LdgNoteB,$M226)),""))</f>
        <v/>
      </c>
      <c r="F226" s="26">
        <f>IF($L226&lt;&gt;"",IF(INDEX(SCNet,$L226)=0,"",INDEX(SCNet,$L226)),"")</f>
        <v/>
      </c>
      <c r="G226" s="27">
        <f>IF($L226&lt;&gt;"",IF(INDEX(SCOp,$L226)="مرجوعی فروش","",IF(INDEX(SCAmount,$L226)&lt;=0,"",INDEX(SCAmount,$L226))),IF($M226&lt;&gt;"",IF(INDEX(LdgWitB,$M226)=0,"",INDEX(LdgWitB,$M226)),""))</f>
        <v/>
      </c>
      <c r="H226" s="27">
        <f>IF($L226&lt;&gt;"",IF(INDEX(SCOp,$L226)="مرجوعی فروش",IF(INDEX(SCAmount,$L226)=0,"",-INDEX(SCAmount,$L226)),""),IF($M226&lt;&gt;"",IF(INDEX(LdgDepB,$M226)=0,"",INDEX(LdgDepB,$M226)),""))</f>
        <v/>
      </c>
      <c r="I226" s="28">
        <f>IF($B226="","",IF($I225="",$C$10,$I225)+IF($G226="",0,$G226)-IF($H226="",0,$H226))</f>
        <v/>
      </c>
      <c r="L226">
        <f>IFERROR(MATCH($C$5&amp;"|"&amp;RIGHT("000000"&amp;210,6),LdgRankKeyA,0),"")</f>
        <v/>
      </c>
      <c r="M226">
        <f>IFERROR(MATCH($C$5&amp;"|"&amp;RIGHT("000000"&amp;210,6),LdgRankKeyB,0),"")</f>
        <v/>
      </c>
    </row>
    <row r="227">
      <c r="A227" s="17" t="n">
        <v>211</v>
      </c>
      <c r="B227" s="18">
        <f>IF(AND($L227="",$M227=""),"",IF($L227&lt;&gt;"",INDEX(SCNormDate,$L227),INDEX(LdgDateB,$M227)))</f>
        <v/>
      </c>
      <c r="C227" s="18">
        <f>IF($L227&lt;&gt;"",INDEX(SCOp,$L227),IF($M227&lt;&gt;"","پرداخت بانکی",""))</f>
        <v/>
      </c>
      <c r="D227" s="18">
        <f>IF($L227&lt;&gt;"",IF(INDEX(SCDoc,$L227)="","—",INDEX(SCDoc,$L227)),IF($M227&lt;&gt;"",INDEX(LdgBankB,$M227),""))</f>
        <v/>
      </c>
      <c r="E227" s="19">
        <f>IF($L227&lt;&gt;"",IF(INDEX(SCCitrus,$L227)&amp;INDEX(SCNotes,$L227)="","",IF(INDEX(SCCitrus,$L227)="","",INDEX(SCCitrus,$L227))&amp;IF(INDEX(SCNotes,$L227)="",""," — "&amp;INDEX(SCNotes,$L227))),IF($M227&lt;&gt;"",IF(INDEX(LdgNoteB,$M227)="","—",INDEX(LdgNoteB,$M227)),""))</f>
        <v/>
      </c>
      <c r="F227" s="20">
        <f>IF($L227&lt;&gt;"",IF(INDEX(SCNet,$L227)=0,"",INDEX(SCNet,$L227)),"")</f>
        <v/>
      </c>
      <c r="G227" s="21">
        <f>IF($L227&lt;&gt;"",IF(INDEX(SCOp,$L227)="مرجوعی فروش","",IF(INDEX(SCAmount,$L227)&lt;=0,"",INDEX(SCAmount,$L227))),IF($M227&lt;&gt;"",IF(INDEX(LdgWitB,$M227)=0,"",INDEX(LdgWitB,$M227)),""))</f>
        <v/>
      </c>
      <c r="H227" s="21">
        <f>IF($L227&lt;&gt;"",IF(INDEX(SCOp,$L227)="مرجوعی فروش",IF(INDEX(SCAmount,$L227)=0,"",-INDEX(SCAmount,$L227)),""),IF($M227&lt;&gt;"",IF(INDEX(LdgDepB,$M227)=0,"",INDEX(LdgDepB,$M227)),""))</f>
        <v/>
      </c>
      <c r="I227" s="22">
        <f>IF($B227="","",IF($I226="",$C$10,$I226)+IF($G227="",0,$G227)-IF($H227="",0,$H227))</f>
        <v/>
      </c>
      <c r="L227">
        <f>IFERROR(MATCH($C$5&amp;"|"&amp;RIGHT("000000"&amp;211,6),LdgRankKeyA,0),"")</f>
        <v/>
      </c>
      <c r="M227">
        <f>IFERROR(MATCH($C$5&amp;"|"&amp;RIGHT("000000"&amp;211,6),LdgRankKeyB,0),"")</f>
        <v/>
      </c>
    </row>
    <row r="228">
      <c r="A228" s="23" t="n">
        <v>212</v>
      </c>
      <c r="B228" s="24">
        <f>IF(AND($L228="",$M228=""),"",IF($L228&lt;&gt;"",INDEX(SCNormDate,$L228),INDEX(LdgDateB,$M228)))</f>
        <v/>
      </c>
      <c r="C228" s="24">
        <f>IF($L228&lt;&gt;"",INDEX(SCOp,$L228),IF($M228&lt;&gt;"","پرداخت بانکی",""))</f>
        <v/>
      </c>
      <c r="D228" s="24">
        <f>IF($L228&lt;&gt;"",IF(INDEX(SCDoc,$L228)="","—",INDEX(SCDoc,$L228)),IF($M228&lt;&gt;"",INDEX(LdgBankB,$M228),""))</f>
        <v/>
      </c>
      <c r="E228" s="25">
        <f>IF($L228&lt;&gt;"",IF(INDEX(SCCitrus,$L228)&amp;INDEX(SCNotes,$L228)="","",IF(INDEX(SCCitrus,$L228)="","",INDEX(SCCitrus,$L228))&amp;IF(INDEX(SCNotes,$L228)="",""," — "&amp;INDEX(SCNotes,$L228))),IF($M228&lt;&gt;"",IF(INDEX(LdgNoteB,$M228)="","—",INDEX(LdgNoteB,$M228)),""))</f>
        <v/>
      </c>
      <c r="F228" s="26">
        <f>IF($L228&lt;&gt;"",IF(INDEX(SCNet,$L228)=0,"",INDEX(SCNet,$L228)),"")</f>
        <v/>
      </c>
      <c r="G228" s="27">
        <f>IF($L228&lt;&gt;"",IF(INDEX(SCOp,$L228)="مرجوعی فروش","",IF(INDEX(SCAmount,$L228)&lt;=0,"",INDEX(SCAmount,$L228))),IF($M228&lt;&gt;"",IF(INDEX(LdgWitB,$M228)=0,"",INDEX(LdgWitB,$M228)),""))</f>
        <v/>
      </c>
      <c r="H228" s="27">
        <f>IF($L228&lt;&gt;"",IF(INDEX(SCOp,$L228)="مرجوعی فروش",IF(INDEX(SCAmount,$L228)=0,"",-INDEX(SCAmount,$L228)),""),IF($M228&lt;&gt;"",IF(INDEX(LdgDepB,$M228)=0,"",INDEX(LdgDepB,$M228)),""))</f>
        <v/>
      </c>
      <c r="I228" s="28">
        <f>IF($B228="","",IF($I227="",$C$10,$I227)+IF($G228="",0,$G228)-IF($H228="",0,$H228))</f>
        <v/>
      </c>
      <c r="L228">
        <f>IFERROR(MATCH($C$5&amp;"|"&amp;RIGHT("000000"&amp;212,6),LdgRankKeyA,0),"")</f>
        <v/>
      </c>
      <c r="M228">
        <f>IFERROR(MATCH($C$5&amp;"|"&amp;RIGHT("000000"&amp;212,6),LdgRankKeyB,0),"")</f>
        <v/>
      </c>
    </row>
    <row r="229">
      <c r="A229" s="17" t="n">
        <v>213</v>
      </c>
      <c r="B229" s="18">
        <f>IF(AND($L229="",$M229=""),"",IF($L229&lt;&gt;"",INDEX(SCNormDate,$L229),INDEX(LdgDateB,$M229)))</f>
        <v/>
      </c>
      <c r="C229" s="18">
        <f>IF($L229&lt;&gt;"",INDEX(SCOp,$L229),IF($M229&lt;&gt;"","پرداخت بانکی",""))</f>
        <v/>
      </c>
      <c r="D229" s="18">
        <f>IF($L229&lt;&gt;"",IF(INDEX(SCDoc,$L229)="","—",INDEX(SCDoc,$L229)),IF($M229&lt;&gt;"",INDEX(LdgBankB,$M229),""))</f>
        <v/>
      </c>
      <c r="E229" s="19">
        <f>IF($L229&lt;&gt;"",IF(INDEX(SCCitrus,$L229)&amp;INDEX(SCNotes,$L229)="","",IF(INDEX(SCCitrus,$L229)="","",INDEX(SCCitrus,$L229))&amp;IF(INDEX(SCNotes,$L229)="",""," — "&amp;INDEX(SCNotes,$L229))),IF($M229&lt;&gt;"",IF(INDEX(LdgNoteB,$M229)="","—",INDEX(LdgNoteB,$M229)),""))</f>
        <v/>
      </c>
      <c r="F229" s="20">
        <f>IF($L229&lt;&gt;"",IF(INDEX(SCNet,$L229)=0,"",INDEX(SCNet,$L229)),"")</f>
        <v/>
      </c>
      <c r="G229" s="21">
        <f>IF($L229&lt;&gt;"",IF(INDEX(SCOp,$L229)="مرجوعی فروش","",IF(INDEX(SCAmount,$L229)&lt;=0,"",INDEX(SCAmount,$L229))),IF($M229&lt;&gt;"",IF(INDEX(LdgWitB,$M229)=0,"",INDEX(LdgWitB,$M229)),""))</f>
        <v/>
      </c>
      <c r="H229" s="21">
        <f>IF($L229&lt;&gt;"",IF(INDEX(SCOp,$L229)="مرجوعی فروش",IF(INDEX(SCAmount,$L229)=0,"",-INDEX(SCAmount,$L229)),""),IF($M229&lt;&gt;"",IF(INDEX(LdgDepB,$M229)=0,"",INDEX(LdgDepB,$M229)),""))</f>
        <v/>
      </c>
      <c r="I229" s="22">
        <f>IF($B229="","",IF($I228="",$C$10,$I228)+IF($G229="",0,$G229)-IF($H229="",0,$H229))</f>
        <v/>
      </c>
      <c r="L229">
        <f>IFERROR(MATCH($C$5&amp;"|"&amp;RIGHT("000000"&amp;213,6),LdgRankKeyA,0),"")</f>
        <v/>
      </c>
      <c r="M229">
        <f>IFERROR(MATCH($C$5&amp;"|"&amp;RIGHT("000000"&amp;213,6),LdgRankKeyB,0),"")</f>
        <v/>
      </c>
    </row>
    <row r="230">
      <c r="A230" s="23" t="n">
        <v>214</v>
      </c>
      <c r="B230" s="24">
        <f>IF(AND($L230="",$M230=""),"",IF($L230&lt;&gt;"",INDEX(SCNormDate,$L230),INDEX(LdgDateB,$M230)))</f>
        <v/>
      </c>
      <c r="C230" s="24">
        <f>IF($L230&lt;&gt;"",INDEX(SCOp,$L230),IF($M230&lt;&gt;"","پرداخت بانکی",""))</f>
        <v/>
      </c>
      <c r="D230" s="24">
        <f>IF($L230&lt;&gt;"",IF(INDEX(SCDoc,$L230)="","—",INDEX(SCDoc,$L230)),IF($M230&lt;&gt;"",INDEX(LdgBankB,$M230),""))</f>
        <v/>
      </c>
      <c r="E230" s="25">
        <f>IF($L230&lt;&gt;"",IF(INDEX(SCCitrus,$L230)&amp;INDEX(SCNotes,$L230)="","",IF(INDEX(SCCitrus,$L230)="","",INDEX(SCCitrus,$L230))&amp;IF(INDEX(SCNotes,$L230)="",""," — "&amp;INDEX(SCNotes,$L230))),IF($M230&lt;&gt;"",IF(INDEX(LdgNoteB,$M230)="","—",INDEX(LdgNoteB,$M230)),""))</f>
        <v/>
      </c>
      <c r="F230" s="26">
        <f>IF($L230&lt;&gt;"",IF(INDEX(SCNet,$L230)=0,"",INDEX(SCNet,$L230)),"")</f>
        <v/>
      </c>
      <c r="G230" s="27">
        <f>IF($L230&lt;&gt;"",IF(INDEX(SCOp,$L230)="مرجوعی فروش","",IF(INDEX(SCAmount,$L230)&lt;=0,"",INDEX(SCAmount,$L230))),IF($M230&lt;&gt;"",IF(INDEX(LdgWitB,$M230)=0,"",INDEX(LdgWitB,$M230)),""))</f>
        <v/>
      </c>
      <c r="H230" s="27">
        <f>IF($L230&lt;&gt;"",IF(INDEX(SCOp,$L230)="مرجوعی فروش",IF(INDEX(SCAmount,$L230)=0,"",-INDEX(SCAmount,$L230)),""),IF($M230&lt;&gt;"",IF(INDEX(LdgDepB,$M230)=0,"",INDEX(LdgDepB,$M230)),""))</f>
        <v/>
      </c>
      <c r="I230" s="28">
        <f>IF($B230="","",IF($I229="",$C$10,$I229)+IF($G230="",0,$G230)-IF($H230="",0,$H230))</f>
        <v/>
      </c>
      <c r="L230">
        <f>IFERROR(MATCH($C$5&amp;"|"&amp;RIGHT("000000"&amp;214,6),LdgRankKeyA,0),"")</f>
        <v/>
      </c>
      <c r="M230">
        <f>IFERROR(MATCH($C$5&amp;"|"&amp;RIGHT("000000"&amp;214,6),LdgRankKeyB,0),"")</f>
        <v/>
      </c>
    </row>
    <row r="231">
      <c r="A231" s="17" t="n">
        <v>215</v>
      </c>
      <c r="B231" s="18">
        <f>IF(AND($L231="",$M231=""),"",IF($L231&lt;&gt;"",INDEX(SCNormDate,$L231),INDEX(LdgDateB,$M231)))</f>
        <v/>
      </c>
      <c r="C231" s="18">
        <f>IF($L231&lt;&gt;"",INDEX(SCOp,$L231),IF($M231&lt;&gt;"","پرداخت بانکی",""))</f>
        <v/>
      </c>
      <c r="D231" s="18">
        <f>IF($L231&lt;&gt;"",IF(INDEX(SCDoc,$L231)="","—",INDEX(SCDoc,$L231)),IF($M231&lt;&gt;"",INDEX(LdgBankB,$M231),""))</f>
        <v/>
      </c>
      <c r="E231" s="19">
        <f>IF($L231&lt;&gt;"",IF(INDEX(SCCitrus,$L231)&amp;INDEX(SCNotes,$L231)="","",IF(INDEX(SCCitrus,$L231)="","",INDEX(SCCitrus,$L231))&amp;IF(INDEX(SCNotes,$L231)="",""," — "&amp;INDEX(SCNotes,$L231))),IF($M231&lt;&gt;"",IF(INDEX(LdgNoteB,$M231)="","—",INDEX(LdgNoteB,$M231)),""))</f>
        <v/>
      </c>
      <c r="F231" s="20">
        <f>IF($L231&lt;&gt;"",IF(INDEX(SCNet,$L231)=0,"",INDEX(SCNet,$L231)),"")</f>
        <v/>
      </c>
      <c r="G231" s="21">
        <f>IF($L231&lt;&gt;"",IF(INDEX(SCOp,$L231)="مرجوعی فروش","",IF(INDEX(SCAmount,$L231)&lt;=0,"",INDEX(SCAmount,$L231))),IF($M231&lt;&gt;"",IF(INDEX(LdgWitB,$M231)=0,"",INDEX(LdgWitB,$M231)),""))</f>
        <v/>
      </c>
      <c r="H231" s="21">
        <f>IF($L231&lt;&gt;"",IF(INDEX(SCOp,$L231)="مرجوعی فروش",IF(INDEX(SCAmount,$L231)=0,"",-INDEX(SCAmount,$L231)),""),IF($M231&lt;&gt;"",IF(INDEX(LdgDepB,$M231)=0,"",INDEX(LdgDepB,$M231)),""))</f>
        <v/>
      </c>
      <c r="I231" s="22">
        <f>IF($B231="","",IF($I230="",$C$10,$I230)+IF($G231="",0,$G231)-IF($H231="",0,$H231))</f>
        <v/>
      </c>
      <c r="L231">
        <f>IFERROR(MATCH($C$5&amp;"|"&amp;RIGHT("000000"&amp;215,6),LdgRankKeyA,0),"")</f>
        <v/>
      </c>
      <c r="M231">
        <f>IFERROR(MATCH($C$5&amp;"|"&amp;RIGHT("000000"&amp;215,6),LdgRankKeyB,0),"")</f>
        <v/>
      </c>
    </row>
    <row r="232">
      <c r="A232" s="23" t="n">
        <v>216</v>
      </c>
      <c r="B232" s="24">
        <f>IF(AND($L232="",$M232=""),"",IF($L232&lt;&gt;"",INDEX(SCNormDate,$L232),INDEX(LdgDateB,$M232)))</f>
        <v/>
      </c>
      <c r="C232" s="24">
        <f>IF($L232&lt;&gt;"",INDEX(SCOp,$L232),IF($M232&lt;&gt;"","پرداخت بانکی",""))</f>
        <v/>
      </c>
      <c r="D232" s="24">
        <f>IF($L232&lt;&gt;"",IF(INDEX(SCDoc,$L232)="","—",INDEX(SCDoc,$L232)),IF($M232&lt;&gt;"",INDEX(LdgBankB,$M232),""))</f>
        <v/>
      </c>
      <c r="E232" s="25">
        <f>IF($L232&lt;&gt;"",IF(INDEX(SCCitrus,$L232)&amp;INDEX(SCNotes,$L232)="","",IF(INDEX(SCCitrus,$L232)="","",INDEX(SCCitrus,$L232))&amp;IF(INDEX(SCNotes,$L232)="",""," — "&amp;INDEX(SCNotes,$L232))),IF($M232&lt;&gt;"",IF(INDEX(LdgNoteB,$M232)="","—",INDEX(LdgNoteB,$M232)),""))</f>
        <v/>
      </c>
      <c r="F232" s="26">
        <f>IF($L232&lt;&gt;"",IF(INDEX(SCNet,$L232)=0,"",INDEX(SCNet,$L232)),"")</f>
        <v/>
      </c>
      <c r="G232" s="27">
        <f>IF($L232&lt;&gt;"",IF(INDEX(SCOp,$L232)="مرجوعی فروش","",IF(INDEX(SCAmount,$L232)&lt;=0,"",INDEX(SCAmount,$L232))),IF($M232&lt;&gt;"",IF(INDEX(LdgWitB,$M232)=0,"",INDEX(LdgWitB,$M232)),""))</f>
        <v/>
      </c>
      <c r="H232" s="27">
        <f>IF($L232&lt;&gt;"",IF(INDEX(SCOp,$L232)="مرجوعی فروش",IF(INDEX(SCAmount,$L232)=0,"",-INDEX(SCAmount,$L232)),""),IF($M232&lt;&gt;"",IF(INDEX(LdgDepB,$M232)=0,"",INDEX(LdgDepB,$M232)),""))</f>
        <v/>
      </c>
      <c r="I232" s="28">
        <f>IF($B232="","",IF($I231="",$C$10,$I231)+IF($G232="",0,$G232)-IF($H232="",0,$H232))</f>
        <v/>
      </c>
      <c r="L232">
        <f>IFERROR(MATCH($C$5&amp;"|"&amp;RIGHT("000000"&amp;216,6),LdgRankKeyA,0),"")</f>
        <v/>
      </c>
      <c r="M232">
        <f>IFERROR(MATCH($C$5&amp;"|"&amp;RIGHT("000000"&amp;216,6),LdgRankKeyB,0),"")</f>
        <v/>
      </c>
    </row>
    <row r="233">
      <c r="A233" s="17" t="n">
        <v>217</v>
      </c>
      <c r="B233" s="18">
        <f>IF(AND($L233="",$M233=""),"",IF($L233&lt;&gt;"",INDEX(SCNormDate,$L233),INDEX(LdgDateB,$M233)))</f>
        <v/>
      </c>
      <c r="C233" s="18">
        <f>IF($L233&lt;&gt;"",INDEX(SCOp,$L233),IF($M233&lt;&gt;"","پرداخت بانکی",""))</f>
        <v/>
      </c>
      <c r="D233" s="18">
        <f>IF($L233&lt;&gt;"",IF(INDEX(SCDoc,$L233)="","—",INDEX(SCDoc,$L233)),IF($M233&lt;&gt;"",INDEX(LdgBankB,$M233),""))</f>
        <v/>
      </c>
      <c r="E233" s="19">
        <f>IF($L233&lt;&gt;"",IF(INDEX(SCCitrus,$L233)&amp;INDEX(SCNotes,$L233)="","",IF(INDEX(SCCitrus,$L233)="","",INDEX(SCCitrus,$L233))&amp;IF(INDEX(SCNotes,$L233)="",""," — "&amp;INDEX(SCNotes,$L233))),IF($M233&lt;&gt;"",IF(INDEX(LdgNoteB,$M233)="","—",INDEX(LdgNoteB,$M233)),""))</f>
        <v/>
      </c>
      <c r="F233" s="20">
        <f>IF($L233&lt;&gt;"",IF(INDEX(SCNet,$L233)=0,"",INDEX(SCNet,$L233)),"")</f>
        <v/>
      </c>
      <c r="G233" s="21">
        <f>IF($L233&lt;&gt;"",IF(INDEX(SCOp,$L233)="مرجوعی فروش","",IF(INDEX(SCAmount,$L233)&lt;=0,"",INDEX(SCAmount,$L233))),IF($M233&lt;&gt;"",IF(INDEX(LdgWitB,$M233)=0,"",INDEX(LdgWitB,$M233)),""))</f>
        <v/>
      </c>
      <c r="H233" s="21">
        <f>IF($L233&lt;&gt;"",IF(INDEX(SCOp,$L233)="مرجوعی فروش",IF(INDEX(SCAmount,$L233)=0,"",-INDEX(SCAmount,$L233)),""),IF($M233&lt;&gt;"",IF(INDEX(LdgDepB,$M233)=0,"",INDEX(LdgDepB,$M233)),""))</f>
        <v/>
      </c>
      <c r="I233" s="22">
        <f>IF($B233="","",IF($I232="",$C$10,$I232)+IF($G233="",0,$G233)-IF($H233="",0,$H233))</f>
        <v/>
      </c>
      <c r="L233">
        <f>IFERROR(MATCH($C$5&amp;"|"&amp;RIGHT("000000"&amp;217,6),LdgRankKeyA,0),"")</f>
        <v/>
      </c>
      <c r="M233">
        <f>IFERROR(MATCH($C$5&amp;"|"&amp;RIGHT("000000"&amp;217,6),LdgRankKeyB,0),"")</f>
        <v/>
      </c>
    </row>
    <row r="234">
      <c r="A234" s="23" t="n">
        <v>218</v>
      </c>
      <c r="B234" s="24">
        <f>IF(AND($L234="",$M234=""),"",IF($L234&lt;&gt;"",INDEX(SCNormDate,$L234),INDEX(LdgDateB,$M234)))</f>
        <v/>
      </c>
      <c r="C234" s="24">
        <f>IF($L234&lt;&gt;"",INDEX(SCOp,$L234),IF($M234&lt;&gt;"","پرداخت بانکی",""))</f>
        <v/>
      </c>
      <c r="D234" s="24">
        <f>IF($L234&lt;&gt;"",IF(INDEX(SCDoc,$L234)="","—",INDEX(SCDoc,$L234)),IF($M234&lt;&gt;"",INDEX(LdgBankB,$M234),""))</f>
        <v/>
      </c>
      <c r="E234" s="25">
        <f>IF($L234&lt;&gt;"",IF(INDEX(SCCitrus,$L234)&amp;INDEX(SCNotes,$L234)="","",IF(INDEX(SCCitrus,$L234)="","",INDEX(SCCitrus,$L234))&amp;IF(INDEX(SCNotes,$L234)="",""," — "&amp;INDEX(SCNotes,$L234))),IF($M234&lt;&gt;"",IF(INDEX(LdgNoteB,$M234)="","—",INDEX(LdgNoteB,$M234)),""))</f>
        <v/>
      </c>
      <c r="F234" s="26">
        <f>IF($L234&lt;&gt;"",IF(INDEX(SCNet,$L234)=0,"",INDEX(SCNet,$L234)),"")</f>
        <v/>
      </c>
      <c r="G234" s="27">
        <f>IF($L234&lt;&gt;"",IF(INDEX(SCOp,$L234)="مرجوعی فروش","",IF(INDEX(SCAmount,$L234)&lt;=0,"",INDEX(SCAmount,$L234))),IF($M234&lt;&gt;"",IF(INDEX(LdgWitB,$M234)=0,"",INDEX(LdgWitB,$M234)),""))</f>
        <v/>
      </c>
      <c r="H234" s="27">
        <f>IF($L234&lt;&gt;"",IF(INDEX(SCOp,$L234)="مرجوعی فروش",IF(INDEX(SCAmount,$L234)=0,"",-INDEX(SCAmount,$L234)),""),IF($M234&lt;&gt;"",IF(INDEX(LdgDepB,$M234)=0,"",INDEX(LdgDepB,$M234)),""))</f>
        <v/>
      </c>
      <c r="I234" s="28">
        <f>IF($B234="","",IF($I233="",$C$10,$I233)+IF($G234="",0,$G234)-IF($H234="",0,$H234))</f>
        <v/>
      </c>
      <c r="L234">
        <f>IFERROR(MATCH($C$5&amp;"|"&amp;RIGHT("000000"&amp;218,6),LdgRankKeyA,0),"")</f>
        <v/>
      </c>
      <c r="M234">
        <f>IFERROR(MATCH($C$5&amp;"|"&amp;RIGHT("000000"&amp;218,6),LdgRankKeyB,0),"")</f>
        <v/>
      </c>
    </row>
    <row r="235">
      <c r="A235" s="17" t="n">
        <v>219</v>
      </c>
      <c r="B235" s="18">
        <f>IF(AND($L235="",$M235=""),"",IF($L235&lt;&gt;"",INDEX(SCNormDate,$L235),INDEX(LdgDateB,$M235)))</f>
        <v/>
      </c>
      <c r="C235" s="18">
        <f>IF($L235&lt;&gt;"",INDEX(SCOp,$L235),IF($M235&lt;&gt;"","پرداخت بانکی",""))</f>
        <v/>
      </c>
      <c r="D235" s="18">
        <f>IF($L235&lt;&gt;"",IF(INDEX(SCDoc,$L235)="","—",INDEX(SCDoc,$L235)),IF($M235&lt;&gt;"",INDEX(LdgBankB,$M235),""))</f>
        <v/>
      </c>
      <c r="E235" s="19">
        <f>IF($L235&lt;&gt;"",IF(INDEX(SCCitrus,$L235)&amp;INDEX(SCNotes,$L235)="","",IF(INDEX(SCCitrus,$L235)="","",INDEX(SCCitrus,$L235))&amp;IF(INDEX(SCNotes,$L235)="",""," — "&amp;INDEX(SCNotes,$L235))),IF($M235&lt;&gt;"",IF(INDEX(LdgNoteB,$M235)="","—",INDEX(LdgNoteB,$M235)),""))</f>
        <v/>
      </c>
      <c r="F235" s="20">
        <f>IF($L235&lt;&gt;"",IF(INDEX(SCNet,$L235)=0,"",INDEX(SCNet,$L235)),"")</f>
        <v/>
      </c>
      <c r="G235" s="21">
        <f>IF($L235&lt;&gt;"",IF(INDEX(SCOp,$L235)="مرجوعی فروش","",IF(INDEX(SCAmount,$L235)&lt;=0,"",INDEX(SCAmount,$L235))),IF($M235&lt;&gt;"",IF(INDEX(LdgWitB,$M235)=0,"",INDEX(LdgWitB,$M235)),""))</f>
        <v/>
      </c>
      <c r="H235" s="21">
        <f>IF($L235&lt;&gt;"",IF(INDEX(SCOp,$L235)="مرجوعی فروش",IF(INDEX(SCAmount,$L235)=0,"",-INDEX(SCAmount,$L235)),""),IF($M235&lt;&gt;"",IF(INDEX(LdgDepB,$M235)=0,"",INDEX(LdgDepB,$M235)),""))</f>
        <v/>
      </c>
      <c r="I235" s="22">
        <f>IF($B235="","",IF($I234="",$C$10,$I234)+IF($G235="",0,$G235)-IF($H235="",0,$H235))</f>
        <v/>
      </c>
      <c r="L235">
        <f>IFERROR(MATCH($C$5&amp;"|"&amp;RIGHT("000000"&amp;219,6),LdgRankKeyA,0),"")</f>
        <v/>
      </c>
      <c r="M235">
        <f>IFERROR(MATCH($C$5&amp;"|"&amp;RIGHT("000000"&amp;219,6),LdgRankKeyB,0),"")</f>
        <v/>
      </c>
    </row>
    <row r="236">
      <c r="A236" s="23" t="n">
        <v>220</v>
      </c>
      <c r="B236" s="24">
        <f>IF(AND($L236="",$M236=""),"",IF($L236&lt;&gt;"",INDEX(SCNormDate,$L236),INDEX(LdgDateB,$M236)))</f>
        <v/>
      </c>
      <c r="C236" s="24">
        <f>IF($L236&lt;&gt;"",INDEX(SCOp,$L236),IF($M236&lt;&gt;"","پرداخت بانکی",""))</f>
        <v/>
      </c>
      <c r="D236" s="24">
        <f>IF($L236&lt;&gt;"",IF(INDEX(SCDoc,$L236)="","—",INDEX(SCDoc,$L236)),IF($M236&lt;&gt;"",INDEX(LdgBankB,$M236),""))</f>
        <v/>
      </c>
      <c r="E236" s="25">
        <f>IF($L236&lt;&gt;"",IF(INDEX(SCCitrus,$L236)&amp;INDEX(SCNotes,$L236)="","",IF(INDEX(SCCitrus,$L236)="","",INDEX(SCCitrus,$L236))&amp;IF(INDEX(SCNotes,$L236)="",""," — "&amp;INDEX(SCNotes,$L236))),IF($M236&lt;&gt;"",IF(INDEX(LdgNoteB,$M236)="","—",INDEX(LdgNoteB,$M236)),""))</f>
        <v/>
      </c>
      <c r="F236" s="26">
        <f>IF($L236&lt;&gt;"",IF(INDEX(SCNet,$L236)=0,"",INDEX(SCNet,$L236)),"")</f>
        <v/>
      </c>
      <c r="G236" s="27">
        <f>IF($L236&lt;&gt;"",IF(INDEX(SCOp,$L236)="مرجوعی فروش","",IF(INDEX(SCAmount,$L236)&lt;=0,"",INDEX(SCAmount,$L236))),IF($M236&lt;&gt;"",IF(INDEX(LdgWitB,$M236)=0,"",INDEX(LdgWitB,$M236)),""))</f>
        <v/>
      </c>
      <c r="H236" s="27">
        <f>IF($L236&lt;&gt;"",IF(INDEX(SCOp,$L236)="مرجوعی فروش",IF(INDEX(SCAmount,$L236)=0,"",-INDEX(SCAmount,$L236)),""),IF($M236&lt;&gt;"",IF(INDEX(LdgDepB,$M236)=0,"",INDEX(LdgDepB,$M236)),""))</f>
        <v/>
      </c>
      <c r="I236" s="28">
        <f>IF($B236="","",IF($I235="",$C$10,$I235)+IF($G236="",0,$G236)-IF($H236="",0,$H236))</f>
        <v/>
      </c>
      <c r="L236">
        <f>IFERROR(MATCH($C$5&amp;"|"&amp;RIGHT("000000"&amp;220,6),LdgRankKeyA,0),"")</f>
        <v/>
      </c>
      <c r="M236">
        <f>IFERROR(MATCH($C$5&amp;"|"&amp;RIGHT("000000"&amp;220,6),LdgRankKeyB,0),"")</f>
        <v/>
      </c>
    </row>
    <row r="237">
      <c r="A237" s="17" t="n">
        <v>221</v>
      </c>
      <c r="B237" s="18">
        <f>IF(AND($L237="",$M237=""),"",IF($L237&lt;&gt;"",INDEX(SCNormDate,$L237),INDEX(LdgDateB,$M237)))</f>
        <v/>
      </c>
      <c r="C237" s="18">
        <f>IF($L237&lt;&gt;"",INDEX(SCOp,$L237),IF($M237&lt;&gt;"","پرداخت بانکی",""))</f>
        <v/>
      </c>
      <c r="D237" s="18">
        <f>IF($L237&lt;&gt;"",IF(INDEX(SCDoc,$L237)="","—",INDEX(SCDoc,$L237)),IF($M237&lt;&gt;"",INDEX(LdgBankB,$M237),""))</f>
        <v/>
      </c>
      <c r="E237" s="19">
        <f>IF($L237&lt;&gt;"",IF(INDEX(SCCitrus,$L237)&amp;INDEX(SCNotes,$L237)="","",IF(INDEX(SCCitrus,$L237)="","",INDEX(SCCitrus,$L237))&amp;IF(INDEX(SCNotes,$L237)="",""," — "&amp;INDEX(SCNotes,$L237))),IF($M237&lt;&gt;"",IF(INDEX(LdgNoteB,$M237)="","—",INDEX(LdgNoteB,$M237)),""))</f>
        <v/>
      </c>
      <c r="F237" s="20">
        <f>IF($L237&lt;&gt;"",IF(INDEX(SCNet,$L237)=0,"",INDEX(SCNet,$L237)),"")</f>
        <v/>
      </c>
      <c r="G237" s="21">
        <f>IF($L237&lt;&gt;"",IF(INDEX(SCOp,$L237)="مرجوعی فروش","",IF(INDEX(SCAmount,$L237)&lt;=0,"",INDEX(SCAmount,$L237))),IF($M237&lt;&gt;"",IF(INDEX(LdgWitB,$M237)=0,"",INDEX(LdgWitB,$M237)),""))</f>
        <v/>
      </c>
      <c r="H237" s="21">
        <f>IF($L237&lt;&gt;"",IF(INDEX(SCOp,$L237)="مرجوعی فروش",IF(INDEX(SCAmount,$L237)=0,"",-INDEX(SCAmount,$L237)),""),IF($M237&lt;&gt;"",IF(INDEX(LdgDepB,$M237)=0,"",INDEX(LdgDepB,$M237)),""))</f>
        <v/>
      </c>
      <c r="I237" s="22">
        <f>IF($B237="","",IF($I236="",$C$10,$I236)+IF($G237="",0,$G237)-IF($H237="",0,$H237))</f>
        <v/>
      </c>
      <c r="L237">
        <f>IFERROR(MATCH($C$5&amp;"|"&amp;RIGHT("000000"&amp;221,6),LdgRankKeyA,0),"")</f>
        <v/>
      </c>
      <c r="M237">
        <f>IFERROR(MATCH($C$5&amp;"|"&amp;RIGHT("000000"&amp;221,6),LdgRankKeyB,0),"")</f>
        <v/>
      </c>
    </row>
    <row r="238">
      <c r="A238" s="23" t="n">
        <v>222</v>
      </c>
      <c r="B238" s="24">
        <f>IF(AND($L238="",$M238=""),"",IF($L238&lt;&gt;"",INDEX(SCNormDate,$L238),INDEX(LdgDateB,$M238)))</f>
        <v/>
      </c>
      <c r="C238" s="24">
        <f>IF($L238&lt;&gt;"",INDEX(SCOp,$L238),IF($M238&lt;&gt;"","پرداخت بانکی",""))</f>
        <v/>
      </c>
      <c r="D238" s="24">
        <f>IF($L238&lt;&gt;"",IF(INDEX(SCDoc,$L238)="","—",INDEX(SCDoc,$L238)),IF($M238&lt;&gt;"",INDEX(LdgBankB,$M238),""))</f>
        <v/>
      </c>
      <c r="E238" s="25">
        <f>IF($L238&lt;&gt;"",IF(INDEX(SCCitrus,$L238)&amp;INDEX(SCNotes,$L238)="","",IF(INDEX(SCCitrus,$L238)="","",INDEX(SCCitrus,$L238))&amp;IF(INDEX(SCNotes,$L238)="",""," — "&amp;INDEX(SCNotes,$L238))),IF($M238&lt;&gt;"",IF(INDEX(LdgNoteB,$M238)="","—",INDEX(LdgNoteB,$M238)),""))</f>
        <v/>
      </c>
      <c r="F238" s="26">
        <f>IF($L238&lt;&gt;"",IF(INDEX(SCNet,$L238)=0,"",INDEX(SCNet,$L238)),"")</f>
        <v/>
      </c>
      <c r="G238" s="27">
        <f>IF($L238&lt;&gt;"",IF(INDEX(SCOp,$L238)="مرجوعی فروش","",IF(INDEX(SCAmount,$L238)&lt;=0,"",INDEX(SCAmount,$L238))),IF($M238&lt;&gt;"",IF(INDEX(LdgWitB,$M238)=0,"",INDEX(LdgWitB,$M238)),""))</f>
        <v/>
      </c>
      <c r="H238" s="27">
        <f>IF($L238&lt;&gt;"",IF(INDEX(SCOp,$L238)="مرجوعی فروش",IF(INDEX(SCAmount,$L238)=0,"",-INDEX(SCAmount,$L238)),""),IF($M238&lt;&gt;"",IF(INDEX(LdgDepB,$M238)=0,"",INDEX(LdgDepB,$M238)),""))</f>
        <v/>
      </c>
      <c r="I238" s="28">
        <f>IF($B238="","",IF($I237="",$C$10,$I237)+IF($G238="",0,$G238)-IF($H238="",0,$H238))</f>
        <v/>
      </c>
      <c r="L238">
        <f>IFERROR(MATCH($C$5&amp;"|"&amp;RIGHT("000000"&amp;222,6),LdgRankKeyA,0),"")</f>
        <v/>
      </c>
      <c r="M238">
        <f>IFERROR(MATCH($C$5&amp;"|"&amp;RIGHT("000000"&amp;222,6),LdgRankKeyB,0),"")</f>
        <v/>
      </c>
    </row>
    <row r="239">
      <c r="A239" s="17" t="n">
        <v>223</v>
      </c>
      <c r="B239" s="18">
        <f>IF(AND($L239="",$M239=""),"",IF($L239&lt;&gt;"",INDEX(SCNormDate,$L239),INDEX(LdgDateB,$M239)))</f>
        <v/>
      </c>
      <c r="C239" s="18">
        <f>IF($L239&lt;&gt;"",INDEX(SCOp,$L239),IF($M239&lt;&gt;"","پرداخت بانکی",""))</f>
        <v/>
      </c>
      <c r="D239" s="18">
        <f>IF($L239&lt;&gt;"",IF(INDEX(SCDoc,$L239)="","—",INDEX(SCDoc,$L239)),IF($M239&lt;&gt;"",INDEX(LdgBankB,$M239),""))</f>
        <v/>
      </c>
      <c r="E239" s="19">
        <f>IF($L239&lt;&gt;"",IF(INDEX(SCCitrus,$L239)&amp;INDEX(SCNotes,$L239)="","",IF(INDEX(SCCitrus,$L239)="","",INDEX(SCCitrus,$L239))&amp;IF(INDEX(SCNotes,$L239)="",""," — "&amp;INDEX(SCNotes,$L239))),IF($M239&lt;&gt;"",IF(INDEX(LdgNoteB,$M239)="","—",INDEX(LdgNoteB,$M239)),""))</f>
        <v/>
      </c>
      <c r="F239" s="20">
        <f>IF($L239&lt;&gt;"",IF(INDEX(SCNet,$L239)=0,"",INDEX(SCNet,$L239)),"")</f>
        <v/>
      </c>
      <c r="G239" s="21">
        <f>IF($L239&lt;&gt;"",IF(INDEX(SCOp,$L239)="مرجوعی فروش","",IF(INDEX(SCAmount,$L239)&lt;=0,"",INDEX(SCAmount,$L239))),IF($M239&lt;&gt;"",IF(INDEX(LdgWitB,$M239)=0,"",INDEX(LdgWitB,$M239)),""))</f>
        <v/>
      </c>
      <c r="H239" s="21">
        <f>IF($L239&lt;&gt;"",IF(INDEX(SCOp,$L239)="مرجوعی فروش",IF(INDEX(SCAmount,$L239)=0,"",-INDEX(SCAmount,$L239)),""),IF($M239&lt;&gt;"",IF(INDEX(LdgDepB,$M239)=0,"",INDEX(LdgDepB,$M239)),""))</f>
        <v/>
      </c>
      <c r="I239" s="22">
        <f>IF($B239="","",IF($I238="",$C$10,$I238)+IF($G239="",0,$G239)-IF($H239="",0,$H239))</f>
        <v/>
      </c>
      <c r="L239">
        <f>IFERROR(MATCH($C$5&amp;"|"&amp;RIGHT("000000"&amp;223,6),LdgRankKeyA,0),"")</f>
        <v/>
      </c>
      <c r="M239">
        <f>IFERROR(MATCH($C$5&amp;"|"&amp;RIGHT("000000"&amp;223,6),LdgRankKeyB,0),"")</f>
        <v/>
      </c>
    </row>
    <row r="240">
      <c r="A240" s="23" t="n">
        <v>224</v>
      </c>
      <c r="B240" s="24">
        <f>IF(AND($L240="",$M240=""),"",IF($L240&lt;&gt;"",INDEX(SCNormDate,$L240),INDEX(LdgDateB,$M240)))</f>
        <v/>
      </c>
      <c r="C240" s="24">
        <f>IF($L240&lt;&gt;"",INDEX(SCOp,$L240),IF($M240&lt;&gt;"","پرداخت بانکی",""))</f>
        <v/>
      </c>
      <c r="D240" s="24">
        <f>IF($L240&lt;&gt;"",IF(INDEX(SCDoc,$L240)="","—",INDEX(SCDoc,$L240)),IF($M240&lt;&gt;"",INDEX(LdgBankB,$M240),""))</f>
        <v/>
      </c>
      <c r="E240" s="25">
        <f>IF($L240&lt;&gt;"",IF(INDEX(SCCitrus,$L240)&amp;INDEX(SCNotes,$L240)="","",IF(INDEX(SCCitrus,$L240)="","",INDEX(SCCitrus,$L240))&amp;IF(INDEX(SCNotes,$L240)="",""," — "&amp;INDEX(SCNotes,$L240))),IF($M240&lt;&gt;"",IF(INDEX(LdgNoteB,$M240)="","—",INDEX(LdgNoteB,$M240)),""))</f>
        <v/>
      </c>
      <c r="F240" s="26">
        <f>IF($L240&lt;&gt;"",IF(INDEX(SCNet,$L240)=0,"",INDEX(SCNet,$L240)),"")</f>
        <v/>
      </c>
      <c r="G240" s="27">
        <f>IF($L240&lt;&gt;"",IF(INDEX(SCOp,$L240)="مرجوعی فروش","",IF(INDEX(SCAmount,$L240)&lt;=0,"",INDEX(SCAmount,$L240))),IF($M240&lt;&gt;"",IF(INDEX(LdgWitB,$M240)=0,"",INDEX(LdgWitB,$M240)),""))</f>
        <v/>
      </c>
      <c r="H240" s="27">
        <f>IF($L240&lt;&gt;"",IF(INDEX(SCOp,$L240)="مرجوعی فروش",IF(INDEX(SCAmount,$L240)=0,"",-INDEX(SCAmount,$L240)),""),IF($M240&lt;&gt;"",IF(INDEX(LdgDepB,$M240)=0,"",INDEX(LdgDepB,$M240)),""))</f>
        <v/>
      </c>
      <c r="I240" s="28">
        <f>IF($B240="","",IF($I239="",$C$10,$I239)+IF($G240="",0,$G240)-IF($H240="",0,$H240))</f>
        <v/>
      </c>
      <c r="L240">
        <f>IFERROR(MATCH($C$5&amp;"|"&amp;RIGHT("000000"&amp;224,6),LdgRankKeyA,0),"")</f>
        <v/>
      </c>
      <c r="M240">
        <f>IFERROR(MATCH($C$5&amp;"|"&amp;RIGHT("000000"&amp;224,6),LdgRankKeyB,0),"")</f>
        <v/>
      </c>
    </row>
    <row r="241">
      <c r="A241" s="17" t="n">
        <v>225</v>
      </c>
      <c r="B241" s="18">
        <f>IF(AND($L241="",$M241=""),"",IF($L241&lt;&gt;"",INDEX(SCNormDate,$L241),INDEX(LdgDateB,$M241)))</f>
        <v/>
      </c>
      <c r="C241" s="18">
        <f>IF($L241&lt;&gt;"",INDEX(SCOp,$L241),IF($M241&lt;&gt;"","پرداخت بانکی",""))</f>
        <v/>
      </c>
      <c r="D241" s="18">
        <f>IF($L241&lt;&gt;"",IF(INDEX(SCDoc,$L241)="","—",INDEX(SCDoc,$L241)),IF($M241&lt;&gt;"",INDEX(LdgBankB,$M241),""))</f>
        <v/>
      </c>
      <c r="E241" s="19">
        <f>IF($L241&lt;&gt;"",IF(INDEX(SCCitrus,$L241)&amp;INDEX(SCNotes,$L241)="","",IF(INDEX(SCCitrus,$L241)="","",INDEX(SCCitrus,$L241))&amp;IF(INDEX(SCNotes,$L241)="",""," — "&amp;INDEX(SCNotes,$L241))),IF($M241&lt;&gt;"",IF(INDEX(LdgNoteB,$M241)="","—",INDEX(LdgNoteB,$M241)),""))</f>
        <v/>
      </c>
      <c r="F241" s="20">
        <f>IF($L241&lt;&gt;"",IF(INDEX(SCNet,$L241)=0,"",INDEX(SCNet,$L241)),"")</f>
        <v/>
      </c>
      <c r="G241" s="21">
        <f>IF($L241&lt;&gt;"",IF(INDEX(SCOp,$L241)="مرجوعی فروش","",IF(INDEX(SCAmount,$L241)&lt;=0,"",INDEX(SCAmount,$L241))),IF($M241&lt;&gt;"",IF(INDEX(LdgWitB,$M241)=0,"",INDEX(LdgWitB,$M241)),""))</f>
        <v/>
      </c>
      <c r="H241" s="21">
        <f>IF($L241&lt;&gt;"",IF(INDEX(SCOp,$L241)="مرجوعی فروش",IF(INDEX(SCAmount,$L241)=0,"",-INDEX(SCAmount,$L241)),""),IF($M241&lt;&gt;"",IF(INDEX(LdgDepB,$M241)=0,"",INDEX(LdgDepB,$M241)),""))</f>
        <v/>
      </c>
      <c r="I241" s="22">
        <f>IF($B241="","",IF($I240="",$C$10,$I240)+IF($G241="",0,$G241)-IF($H241="",0,$H241))</f>
        <v/>
      </c>
      <c r="L241">
        <f>IFERROR(MATCH($C$5&amp;"|"&amp;RIGHT("000000"&amp;225,6),LdgRankKeyA,0),"")</f>
        <v/>
      </c>
      <c r="M241">
        <f>IFERROR(MATCH($C$5&amp;"|"&amp;RIGHT("000000"&amp;225,6),LdgRankKeyB,0),"")</f>
        <v/>
      </c>
    </row>
    <row r="242">
      <c r="A242" s="23" t="n">
        <v>226</v>
      </c>
      <c r="B242" s="24">
        <f>IF(AND($L242="",$M242=""),"",IF($L242&lt;&gt;"",INDEX(SCNormDate,$L242),INDEX(LdgDateB,$M242)))</f>
        <v/>
      </c>
      <c r="C242" s="24">
        <f>IF($L242&lt;&gt;"",INDEX(SCOp,$L242),IF($M242&lt;&gt;"","پرداخت بانکی",""))</f>
        <v/>
      </c>
      <c r="D242" s="24">
        <f>IF($L242&lt;&gt;"",IF(INDEX(SCDoc,$L242)="","—",INDEX(SCDoc,$L242)),IF($M242&lt;&gt;"",INDEX(LdgBankB,$M242),""))</f>
        <v/>
      </c>
      <c r="E242" s="25">
        <f>IF($L242&lt;&gt;"",IF(INDEX(SCCitrus,$L242)&amp;INDEX(SCNotes,$L242)="","",IF(INDEX(SCCitrus,$L242)="","",INDEX(SCCitrus,$L242))&amp;IF(INDEX(SCNotes,$L242)="",""," — "&amp;INDEX(SCNotes,$L242))),IF($M242&lt;&gt;"",IF(INDEX(LdgNoteB,$M242)="","—",INDEX(LdgNoteB,$M242)),""))</f>
        <v/>
      </c>
      <c r="F242" s="26">
        <f>IF($L242&lt;&gt;"",IF(INDEX(SCNet,$L242)=0,"",INDEX(SCNet,$L242)),"")</f>
        <v/>
      </c>
      <c r="G242" s="27">
        <f>IF($L242&lt;&gt;"",IF(INDEX(SCOp,$L242)="مرجوعی فروش","",IF(INDEX(SCAmount,$L242)&lt;=0,"",INDEX(SCAmount,$L242))),IF($M242&lt;&gt;"",IF(INDEX(LdgWitB,$M242)=0,"",INDEX(LdgWitB,$M242)),""))</f>
        <v/>
      </c>
      <c r="H242" s="27">
        <f>IF($L242&lt;&gt;"",IF(INDEX(SCOp,$L242)="مرجوعی فروش",IF(INDEX(SCAmount,$L242)=0,"",-INDEX(SCAmount,$L242)),""),IF($M242&lt;&gt;"",IF(INDEX(LdgDepB,$M242)=0,"",INDEX(LdgDepB,$M242)),""))</f>
        <v/>
      </c>
      <c r="I242" s="28">
        <f>IF($B242="","",IF($I241="",$C$10,$I241)+IF($G242="",0,$G242)-IF($H242="",0,$H242))</f>
        <v/>
      </c>
      <c r="L242">
        <f>IFERROR(MATCH($C$5&amp;"|"&amp;RIGHT("000000"&amp;226,6),LdgRankKeyA,0),"")</f>
        <v/>
      </c>
      <c r="M242">
        <f>IFERROR(MATCH($C$5&amp;"|"&amp;RIGHT("000000"&amp;226,6),LdgRankKeyB,0),"")</f>
        <v/>
      </c>
    </row>
    <row r="243">
      <c r="A243" s="17" t="n">
        <v>227</v>
      </c>
      <c r="B243" s="18">
        <f>IF(AND($L243="",$M243=""),"",IF($L243&lt;&gt;"",INDEX(SCNormDate,$L243),INDEX(LdgDateB,$M243)))</f>
        <v/>
      </c>
      <c r="C243" s="18">
        <f>IF($L243&lt;&gt;"",INDEX(SCOp,$L243),IF($M243&lt;&gt;"","پرداخت بانکی",""))</f>
        <v/>
      </c>
      <c r="D243" s="18">
        <f>IF($L243&lt;&gt;"",IF(INDEX(SCDoc,$L243)="","—",INDEX(SCDoc,$L243)),IF($M243&lt;&gt;"",INDEX(LdgBankB,$M243),""))</f>
        <v/>
      </c>
      <c r="E243" s="19">
        <f>IF($L243&lt;&gt;"",IF(INDEX(SCCitrus,$L243)&amp;INDEX(SCNotes,$L243)="","",IF(INDEX(SCCitrus,$L243)="","",INDEX(SCCitrus,$L243))&amp;IF(INDEX(SCNotes,$L243)="",""," — "&amp;INDEX(SCNotes,$L243))),IF($M243&lt;&gt;"",IF(INDEX(LdgNoteB,$M243)="","—",INDEX(LdgNoteB,$M243)),""))</f>
        <v/>
      </c>
      <c r="F243" s="20">
        <f>IF($L243&lt;&gt;"",IF(INDEX(SCNet,$L243)=0,"",INDEX(SCNet,$L243)),"")</f>
        <v/>
      </c>
      <c r="G243" s="21">
        <f>IF($L243&lt;&gt;"",IF(INDEX(SCOp,$L243)="مرجوعی فروش","",IF(INDEX(SCAmount,$L243)&lt;=0,"",INDEX(SCAmount,$L243))),IF($M243&lt;&gt;"",IF(INDEX(LdgWitB,$M243)=0,"",INDEX(LdgWitB,$M243)),""))</f>
        <v/>
      </c>
      <c r="H243" s="21">
        <f>IF($L243&lt;&gt;"",IF(INDEX(SCOp,$L243)="مرجوعی فروش",IF(INDEX(SCAmount,$L243)=0,"",-INDEX(SCAmount,$L243)),""),IF($M243&lt;&gt;"",IF(INDEX(LdgDepB,$M243)=0,"",INDEX(LdgDepB,$M243)),""))</f>
        <v/>
      </c>
      <c r="I243" s="22">
        <f>IF($B243="","",IF($I242="",$C$10,$I242)+IF($G243="",0,$G243)-IF($H243="",0,$H243))</f>
        <v/>
      </c>
      <c r="L243">
        <f>IFERROR(MATCH($C$5&amp;"|"&amp;RIGHT("000000"&amp;227,6),LdgRankKeyA,0),"")</f>
        <v/>
      </c>
      <c r="M243">
        <f>IFERROR(MATCH($C$5&amp;"|"&amp;RIGHT("000000"&amp;227,6),LdgRankKeyB,0),"")</f>
        <v/>
      </c>
    </row>
    <row r="244">
      <c r="A244" s="23" t="n">
        <v>228</v>
      </c>
      <c r="B244" s="24">
        <f>IF(AND($L244="",$M244=""),"",IF($L244&lt;&gt;"",INDEX(SCNormDate,$L244),INDEX(LdgDateB,$M244)))</f>
        <v/>
      </c>
      <c r="C244" s="24">
        <f>IF($L244&lt;&gt;"",INDEX(SCOp,$L244),IF($M244&lt;&gt;"","پرداخت بانکی",""))</f>
        <v/>
      </c>
      <c r="D244" s="24">
        <f>IF($L244&lt;&gt;"",IF(INDEX(SCDoc,$L244)="","—",INDEX(SCDoc,$L244)),IF($M244&lt;&gt;"",INDEX(LdgBankB,$M244),""))</f>
        <v/>
      </c>
      <c r="E244" s="25">
        <f>IF($L244&lt;&gt;"",IF(INDEX(SCCitrus,$L244)&amp;INDEX(SCNotes,$L244)="","",IF(INDEX(SCCitrus,$L244)="","",INDEX(SCCitrus,$L244))&amp;IF(INDEX(SCNotes,$L244)="",""," — "&amp;INDEX(SCNotes,$L244))),IF($M244&lt;&gt;"",IF(INDEX(LdgNoteB,$M244)="","—",INDEX(LdgNoteB,$M244)),""))</f>
        <v/>
      </c>
      <c r="F244" s="26">
        <f>IF($L244&lt;&gt;"",IF(INDEX(SCNet,$L244)=0,"",INDEX(SCNet,$L244)),"")</f>
        <v/>
      </c>
      <c r="G244" s="27">
        <f>IF($L244&lt;&gt;"",IF(INDEX(SCOp,$L244)="مرجوعی فروش","",IF(INDEX(SCAmount,$L244)&lt;=0,"",INDEX(SCAmount,$L244))),IF($M244&lt;&gt;"",IF(INDEX(LdgWitB,$M244)=0,"",INDEX(LdgWitB,$M244)),""))</f>
        <v/>
      </c>
      <c r="H244" s="27">
        <f>IF($L244&lt;&gt;"",IF(INDEX(SCOp,$L244)="مرجوعی فروش",IF(INDEX(SCAmount,$L244)=0,"",-INDEX(SCAmount,$L244)),""),IF($M244&lt;&gt;"",IF(INDEX(LdgDepB,$M244)=0,"",INDEX(LdgDepB,$M244)),""))</f>
        <v/>
      </c>
      <c r="I244" s="28">
        <f>IF($B244="","",IF($I243="",$C$10,$I243)+IF($G244="",0,$G244)-IF($H244="",0,$H244))</f>
        <v/>
      </c>
      <c r="L244">
        <f>IFERROR(MATCH($C$5&amp;"|"&amp;RIGHT("000000"&amp;228,6),LdgRankKeyA,0),"")</f>
        <v/>
      </c>
      <c r="M244">
        <f>IFERROR(MATCH($C$5&amp;"|"&amp;RIGHT("000000"&amp;228,6),LdgRankKeyB,0),"")</f>
        <v/>
      </c>
    </row>
    <row r="245">
      <c r="A245" s="17" t="n">
        <v>229</v>
      </c>
      <c r="B245" s="18">
        <f>IF(AND($L245="",$M245=""),"",IF($L245&lt;&gt;"",INDEX(SCNormDate,$L245),INDEX(LdgDateB,$M245)))</f>
        <v/>
      </c>
      <c r="C245" s="18">
        <f>IF($L245&lt;&gt;"",INDEX(SCOp,$L245),IF($M245&lt;&gt;"","پرداخت بانکی",""))</f>
        <v/>
      </c>
      <c r="D245" s="18">
        <f>IF($L245&lt;&gt;"",IF(INDEX(SCDoc,$L245)="","—",INDEX(SCDoc,$L245)),IF($M245&lt;&gt;"",INDEX(LdgBankB,$M245),""))</f>
        <v/>
      </c>
      <c r="E245" s="19">
        <f>IF($L245&lt;&gt;"",IF(INDEX(SCCitrus,$L245)&amp;INDEX(SCNotes,$L245)="","",IF(INDEX(SCCitrus,$L245)="","",INDEX(SCCitrus,$L245))&amp;IF(INDEX(SCNotes,$L245)="",""," — "&amp;INDEX(SCNotes,$L245))),IF($M245&lt;&gt;"",IF(INDEX(LdgNoteB,$M245)="","—",INDEX(LdgNoteB,$M245)),""))</f>
        <v/>
      </c>
      <c r="F245" s="20">
        <f>IF($L245&lt;&gt;"",IF(INDEX(SCNet,$L245)=0,"",INDEX(SCNet,$L245)),"")</f>
        <v/>
      </c>
      <c r="G245" s="21">
        <f>IF($L245&lt;&gt;"",IF(INDEX(SCOp,$L245)="مرجوعی فروش","",IF(INDEX(SCAmount,$L245)&lt;=0,"",INDEX(SCAmount,$L245))),IF($M245&lt;&gt;"",IF(INDEX(LdgWitB,$M245)=0,"",INDEX(LdgWitB,$M245)),""))</f>
        <v/>
      </c>
      <c r="H245" s="21">
        <f>IF($L245&lt;&gt;"",IF(INDEX(SCOp,$L245)="مرجوعی فروش",IF(INDEX(SCAmount,$L245)=0,"",-INDEX(SCAmount,$L245)),""),IF($M245&lt;&gt;"",IF(INDEX(LdgDepB,$M245)=0,"",INDEX(LdgDepB,$M245)),""))</f>
        <v/>
      </c>
      <c r="I245" s="22">
        <f>IF($B245="","",IF($I244="",$C$10,$I244)+IF($G245="",0,$G245)-IF($H245="",0,$H245))</f>
        <v/>
      </c>
      <c r="L245">
        <f>IFERROR(MATCH($C$5&amp;"|"&amp;RIGHT("000000"&amp;229,6),LdgRankKeyA,0),"")</f>
        <v/>
      </c>
      <c r="M245">
        <f>IFERROR(MATCH($C$5&amp;"|"&amp;RIGHT("000000"&amp;229,6),LdgRankKeyB,0),"")</f>
        <v/>
      </c>
    </row>
    <row r="246">
      <c r="A246" s="23" t="n">
        <v>230</v>
      </c>
      <c r="B246" s="24">
        <f>IF(AND($L246="",$M246=""),"",IF($L246&lt;&gt;"",INDEX(SCNormDate,$L246),INDEX(LdgDateB,$M246)))</f>
        <v/>
      </c>
      <c r="C246" s="24">
        <f>IF($L246&lt;&gt;"",INDEX(SCOp,$L246),IF($M246&lt;&gt;"","پرداخت بانکی",""))</f>
        <v/>
      </c>
      <c r="D246" s="24">
        <f>IF($L246&lt;&gt;"",IF(INDEX(SCDoc,$L246)="","—",INDEX(SCDoc,$L246)),IF($M246&lt;&gt;"",INDEX(LdgBankB,$M246),""))</f>
        <v/>
      </c>
      <c r="E246" s="25">
        <f>IF($L246&lt;&gt;"",IF(INDEX(SCCitrus,$L246)&amp;INDEX(SCNotes,$L246)="","",IF(INDEX(SCCitrus,$L246)="","",INDEX(SCCitrus,$L246))&amp;IF(INDEX(SCNotes,$L246)="",""," — "&amp;INDEX(SCNotes,$L246))),IF($M246&lt;&gt;"",IF(INDEX(LdgNoteB,$M246)="","—",INDEX(LdgNoteB,$M246)),""))</f>
        <v/>
      </c>
      <c r="F246" s="26">
        <f>IF($L246&lt;&gt;"",IF(INDEX(SCNet,$L246)=0,"",INDEX(SCNet,$L246)),"")</f>
        <v/>
      </c>
      <c r="G246" s="27">
        <f>IF($L246&lt;&gt;"",IF(INDEX(SCOp,$L246)="مرجوعی فروش","",IF(INDEX(SCAmount,$L246)&lt;=0,"",INDEX(SCAmount,$L246))),IF($M246&lt;&gt;"",IF(INDEX(LdgWitB,$M246)=0,"",INDEX(LdgWitB,$M246)),""))</f>
        <v/>
      </c>
      <c r="H246" s="27">
        <f>IF($L246&lt;&gt;"",IF(INDEX(SCOp,$L246)="مرجوعی فروش",IF(INDEX(SCAmount,$L246)=0,"",-INDEX(SCAmount,$L246)),""),IF($M246&lt;&gt;"",IF(INDEX(LdgDepB,$M246)=0,"",INDEX(LdgDepB,$M246)),""))</f>
        <v/>
      </c>
      <c r="I246" s="28">
        <f>IF($B246="","",IF($I245="",$C$10,$I245)+IF($G246="",0,$G246)-IF($H246="",0,$H246))</f>
        <v/>
      </c>
      <c r="L246">
        <f>IFERROR(MATCH($C$5&amp;"|"&amp;RIGHT("000000"&amp;230,6),LdgRankKeyA,0),"")</f>
        <v/>
      </c>
      <c r="M246">
        <f>IFERROR(MATCH($C$5&amp;"|"&amp;RIGHT("000000"&amp;230,6),LdgRankKeyB,0),"")</f>
        <v/>
      </c>
    </row>
    <row r="247">
      <c r="A247" s="17" t="n">
        <v>231</v>
      </c>
      <c r="B247" s="18">
        <f>IF(AND($L247="",$M247=""),"",IF($L247&lt;&gt;"",INDEX(SCNormDate,$L247),INDEX(LdgDateB,$M247)))</f>
        <v/>
      </c>
      <c r="C247" s="18">
        <f>IF($L247&lt;&gt;"",INDEX(SCOp,$L247),IF($M247&lt;&gt;"","پرداخت بانکی",""))</f>
        <v/>
      </c>
      <c r="D247" s="18">
        <f>IF($L247&lt;&gt;"",IF(INDEX(SCDoc,$L247)="","—",INDEX(SCDoc,$L247)),IF($M247&lt;&gt;"",INDEX(LdgBankB,$M247),""))</f>
        <v/>
      </c>
      <c r="E247" s="19">
        <f>IF($L247&lt;&gt;"",IF(INDEX(SCCitrus,$L247)&amp;INDEX(SCNotes,$L247)="","",IF(INDEX(SCCitrus,$L247)="","",INDEX(SCCitrus,$L247))&amp;IF(INDEX(SCNotes,$L247)="",""," — "&amp;INDEX(SCNotes,$L247))),IF($M247&lt;&gt;"",IF(INDEX(LdgNoteB,$M247)="","—",INDEX(LdgNoteB,$M247)),""))</f>
        <v/>
      </c>
      <c r="F247" s="20">
        <f>IF($L247&lt;&gt;"",IF(INDEX(SCNet,$L247)=0,"",INDEX(SCNet,$L247)),"")</f>
        <v/>
      </c>
      <c r="G247" s="21">
        <f>IF($L247&lt;&gt;"",IF(INDEX(SCOp,$L247)="مرجوعی فروش","",IF(INDEX(SCAmount,$L247)&lt;=0,"",INDEX(SCAmount,$L247))),IF($M247&lt;&gt;"",IF(INDEX(LdgWitB,$M247)=0,"",INDEX(LdgWitB,$M247)),""))</f>
        <v/>
      </c>
      <c r="H247" s="21">
        <f>IF($L247&lt;&gt;"",IF(INDEX(SCOp,$L247)="مرجوعی فروش",IF(INDEX(SCAmount,$L247)=0,"",-INDEX(SCAmount,$L247)),""),IF($M247&lt;&gt;"",IF(INDEX(LdgDepB,$M247)=0,"",INDEX(LdgDepB,$M247)),""))</f>
        <v/>
      </c>
      <c r="I247" s="22">
        <f>IF($B247="","",IF($I246="",$C$10,$I246)+IF($G247="",0,$G247)-IF($H247="",0,$H247))</f>
        <v/>
      </c>
      <c r="L247">
        <f>IFERROR(MATCH($C$5&amp;"|"&amp;RIGHT("000000"&amp;231,6),LdgRankKeyA,0),"")</f>
        <v/>
      </c>
      <c r="M247">
        <f>IFERROR(MATCH($C$5&amp;"|"&amp;RIGHT("000000"&amp;231,6),LdgRankKeyB,0),"")</f>
        <v/>
      </c>
    </row>
    <row r="248">
      <c r="A248" s="23" t="n">
        <v>232</v>
      </c>
      <c r="B248" s="24">
        <f>IF(AND($L248="",$M248=""),"",IF($L248&lt;&gt;"",INDEX(SCNormDate,$L248),INDEX(LdgDateB,$M248)))</f>
        <v/>
      </c>
      <c r="C248" s="24">
        <f>IF($L248&lt;&gt;"",INDEX(SCOp,$L248),IF($M248&lt;&gt;"","پرداخت بانکی",""))</f>
        <v/>
      </c>
      <c r="D248" s="24">
        <f>IF($L248&lt;&gt;"",IF(INDEX(SCDoc,$L248)="","—",INDEX(SCDoc,$L248)),IF($M248&lt;&gt;"",INDEX(LdgBankB,$M248),""))</f>
        <v/>
      </c>
      <c r="E248" s="25">
        <f>IF($L248&lt;&gt;"",IF(INDEX(SCCitrus,$L248)&amp;INDEX(SCNotes,$L248)="","",IF(INDEX(SCCitrus,$L248)="","",INDEX(SCCitrus,$L248))&amp;IF(INDEX(SCNotes,$L248)="",""," — "&amp;INDEX(SCNotes,$L248))),IF($M248&lt;&gt;"",IF(INDEX(LdgNoteB,$M248)="","—",INDEX(LdgNoteB,$M248)),""))</f>
        <v/>
      </c>
      <c r="F248" s="26">
        <f>IF($L248&lt;&gt;"",IF(INDEX(SCNet,$L248)=0,"",INDEX(SCNet,$L248)),"")</f>
        <v/>
      </c>
      <c r="G248" s="27">
        <f>IF($L248&lt;&gt;"",IF(INDEX(SCOp,$L248)="مرجوعی فروش","",IF(INDEX(SCAmount,$L248)&lt;=0,"",INDEX(SCAmount,$L248))),IF($M248&lt;&gt;"",IF(INDEX(LdgWitB,$M248)=0,"",INDEX(LdgWitB,$M248)),""))</f>
        <v/>
      </c>
      <c r="H248" s="27">
        <f>IF($L248&lt;&gt;"",IF(INDEX(SCOp,$L248)="مرجوعی فروش",IF(INDEX(SCAmount,$L248)=0,"",-INDEX(SCAmount,$L248)),""),IF($M248&lt;&gt;"",IF(INDEX(LdgDepB,$M248)=0,"",INDEX(LdgDepB,$M248)),""))</f>
        <v/>
      </c>
      <c r="I248" s="28">
        <f>IF($B248="","",IF($I247="",$C$10,$I247)+IF($G248="",0,$G248)-IF($H248="",0,$H248))</f>
        <v/>
      </c>
      <c r="L248">
        <f>IFERROR(MATCH($C$5&amp;"|"&amp;RIGHT("000000"&amp;232,6),LdgRankKeyA,0),"")</f>
        <v/>
      </c>
      <c r="M248">
        <f>IFERROR(MATCH($C$5&amp;"|"&amp;RIGHT("000000"&amp;232,6),LdgRankKeyB,0),"")</f>
        <v/>
      </c>
    </row>
    <row r="249">
      <c r="A249" s="17" t="n">
        <v>233</v>
      </c>
      <c r="B249" s="18">
        <f>IF(AND($L249="",$M249=""),"",IF($L249&lt;&gt;"",INDEX(SCNormDate,$L249),INDEX(LdgDateB,$M249)))</f>
        <v/>
      </c>
      <c r="C249" s="18">
        <f>IF($L249&lt;&gt;"",INDEX(SCOp,$L249),IF($M249&lt;&gt;"","پرداخت بانکی",""))</f>
        <v/>
      </c>
      <c r="D249" s="18">
        <f>IF($L249&lt;&gt;"",IF(INDEX(SCDoc,$L249)="","—",INDEX(SCDoc,$L249)),IF($M249&lt;&gt;"",INDEX(LdgBankB,$M249),""))</f>
        <v/>
      </c>
      <c r="E249" s="19">
        <f>IF($L249&lt;&gt;"",IF(INDEX(SCCitrus,$L249)&amp;INDEX(SCNotes,$L249)="","",IF(INDEX(SCCitrus,$L249)="","",INDEX(SCCitrus,$L249))&amp;IF(INDEX(SCNotes,$L249)="",""," — "&amp;INDEX(SCNotes,$L249))),IF($M249&lt;&gt;"",IF(INDEX(LdgNoteB,$M249)="","—",INDEX(LdgNoteB,$M249)),""))</f>
        <v/>
      </c>
      <c r="F249" s="20">
        <f>IF($L249&lt;&gt;"",IF(INDEX(SCNet,$L249)=0,"",INDEX(SCNet,$L249)),"")</f>
        <v/>
      </c>
      <c r="G249" s="21">
        <f>IF($L249&lt;&gt;"",IF(INDEX(SCOp,$L249)="مرجوعی فروش","",IF(INDEX(SCAmount,$L249)&lt;=0,"",INDEX(SCAmount,$L249))),IF($M249&lt;&gt;"",IF(INDEX(LdgWitB,$M249)=0,"",INDEX(LdgWitB,$M249)),""))</f>
        <v/>
      </c>
      <c r="H249" s="21">
        <f>IF($L249&lt;&gt;"",IF(INDEX(SCOp,$L249)="مرجوعی فروش",IF(INDEX(SCAmount,$L249)=0,"",-INDEX(SCAmount,$L249)),""),IF($M249&lt;&gt;"",IF(INDEX(LdgDepB,$M249)=0,"",INDEX(LdgDepB,$M249)),""))</f>
        <v/>
      </c>
      <c r="I249" s="22">
        <f>IF($B249="","",IF($I248="",$C$10,$I248)+IF($G249="",0,$G249)-IF($H249="",0,$H249))</f>
        <v/>
      </c>
      <c r="L249">
        <f>IFERROR(MATCH($C$5&amp;"|"&amp;RIGHT("000000"&amp;233,6),LdgRankKeyA,0),"")</f>
        <v/>
      </c>
      <c r="M249">
        <f>IFERROR(MATCH($C$5&amp;"|"&amp;RIGHT("000000"&amp;233,6),LdgRankKeyB,0),"")</f>
        <v/>
      </c>
    </row>
    <row r="250">
      <c r="A250" s="23" t="n">
        <v>234</v>
      </c>
      <c r="B250" s="24">
        <f>IF(AND($L250="",$M250=""),"",IF($L250&lt;&gt;"",INDEX(SCNormDate,$L250),INDEX(LdgDateB,$M250)))</f>
        <v/>
      </c>
      <c r="C250" s="24">
        <f>IF($L250&lt;&gt;"",INDEX(SCOp,$L250),IF($M250&lt;&gt;"","پرداخت بانکی",""))</f>
        <v/>
      </c>
      <c r="D250" s="24">
        <f>IF($L250&lt;&gt;"",IF(INDEX(SCDoc,$L250)="","—",INDEX(SCDoc,$L250)),IF($M250&lt;&gt;"",INDEX(LdgBankB,$M250),""))</f>
        <v/>
      </c>
      <c r="E250" s="25">
        <f>IF($L250&lt;&gt;"",IF(INDEX(SCCitrus,$L250)&amp;INDEX(SCNotes,$L250)="","",IF(INDEX(SCCitrus,$L250)="","",INDEX(SCCitrus,$L250))&amp;IF(INDEX(SCNotes,$L250)="",""," — "&amp;INDEX(SCNotes,$L250))),IF($M250&lt;&gt;"",IF(INDEX(LdgNoteB,$M250)="","—",INDEX(LdgNoteB,$M250)),""))</f>
        <v/>
      </c>
      <c r="F250" s="26">
        <f>IF($L250&lt;&gt;"",IF(INDEX(SCNet,$L250)=0,"",INDEX(SCNet,$L250)),"")</f>
        <v/>
      </c>
      <c r="G250" s="27">
        <f>IF($L250&lt;&gt;"",IF(INDEX(SCOp,$L250)="مرجوعی فروش","",IF(INDEX(SCAmount,$L250)&lt;=0,"",INDEX(SCAmount,$L250))),IF($M250&lt;&gt;"",IF(INDEX(LdgWitB,$M250)=0,"",INDEX(LdgWitB,$M250)),""))</f>
        <v/>
      </c>
      <c r="H250" s="27">
        <f>IF($L250&lt;&gt;"",IF(INDEX(SCOp,$L250)="مرجوعی فروش",IF(INDEX(SCAmount,$L250)=0,"",-INDEX(SCAmount,$L250)),""),IF($M250&lt;&gt;"",IF(INDEX(LdgDepB,$M250)=0,"",INDEX(LdgDepB,$M250)),""))</f>
        <v/>
      </c>
      <c r="I250" s="28">
        <f>IF($B250="","",IF($I249="",$C$10,$I249)+IF($G250="",0,$G250)-IF($H250="",0,$H250))</f>
        <v/>
      </c>
      <c r="L250">
        <f>IFERROR(MATCH($C$5&amp;"|"&amp;RIGHT("000000"&amp;234,6),LdgRankKeyA,0),"")</f>
        <v/>
      </c>
      <c r="M250">
        <f>IFERROR(MATCH($C$5&amp;"|"&amp;RIGHT("000000"&amp;234,6),LdgRankKeyB,0),"")</f>
        <v/>
      </c>
    </row>
    <row r="251">
      <c r="A251" s="17" t="n">
        <v>235</v>
      </c>
      <c r="B251" s="18">
        <f>IF(AND($L251="",$M251=""),"",IF($L251&lt;&gt;"",INDEX(SCNormDate,$L251),INDEX(LdgDateB,$M251)))</f>
        <v/>
      </c>
      <c r="C251" s="18">
        <f>IF($L251&lt;&gt;"",INDEX(SCOp,$L251),IF($M251&lt;&gt;"","پرداخت بانکی",""))</f>
        <v/>
      </c>
      <c r="D251" s="18">
        <f>IF($L251&lt;&gt;"",IF(INDEX(SCDoc,$L251)="","—",INDEX(SCDoc,$L251)),IF($M251&lt;&gt;"",INDEX(LdgBankB,$M251),""))</f>
        <v/>
      </c>
      <c r="E251" s="19">
        <f>IF($L251&lt;&gt;"",IF(INDEX(SCCitrus,$L251)&amp;INDEX(SCNotes,$L251)="","",IF(INDEX(SCCitrus,$L251)="","",INDEX(SCCitrus,$L251))&amp;IF(INDEX(SCNotes,$L251)="",""," — "&amp;INDEX(SCNotes,$L251))),IF($M251&lt;&gt;"",IF(INDEX(LdgNoteB,$M251)="","—",INDEX(LdgNoteB,$M251)),""))</f>
        <v/>
      </c>
      <c r="F251" s="20">
        <f>IF($L251&lt;&gt;"",IF(INDEX(SCNet,$L251)=0,"",INDEX(SCNet,$L251)),"")</f>
        <v/>
      </c>
      <c r="G251" s="21">
        <f>IF($L251&lt;&gt;"",IF(INDEX(SCOp,$L251)="مرجوعی فروش","",IF(INDEX(SCAmount,$L251)&lt;=0,"",INDEX(SCAmount,$L251))),IF($M251&lt;&gt;"",IF(INDEX(LdgWitB,$M251)=0,"",INDEX(LdgWitB,$M251)),""))</f>
        <v/>
      </c>
      <c r="H251" s="21">
        <f>IF($L251&lt;&gt;"",IF(INDEX(SCOp,$L251)="مرجوعی فروش",IF(INDEX(SCAmount,$L251)=0,"",-INDEX(SCAmount,$L251)),""),IF($M251&lt;&gt;"",IF(INDEX(LdgDepB,$M251)=0,"",INDEX(LdgDepB,$M251)),""))</f>
        <v/>
      </c>
      <c r="I251" s="22">
        <f>IF($B251="","",IF($I250="",$C$10,$I250)+IF($G251="",0,$G251)-IF($H251="",0,$H251))</f>
        <v/>
      </c>
      <c r="L251">
        <f>IFERROR(MATCH($C$5&amp;"|"&amp;RIGHT("000000"&amp;235,6),LdgRankKeyA,0),"")</f>
        <v/>
      </c>
      <c r="M251">
        <f>IFERROR(MATCH($C$5&amp;"|"&amp;RIGHT("000000"&amp;235,6),LdgRankKeyB,0),"")</f>
        <v/>
      </c>
    </row>
    <row r="252">
      <c r="A252" s="23" t="n">
        <v>236</v>
      </c>
      <c r="B252" s="24">
        <f>IF(AND($L252="",$M252=""),"",IF($L252&lt;&gt;"",INDEX(SCNormDate,$L252),INDEX(LdgDateB,$M252)))</f>
        <v/>
      </c>
      <c r="C252" s="24">
        <f>IF($L252&lt;&gt;"",INDEX(SCOp,$L252),IF($M252&lt;&gt;"","پرداخت بانکی",""))</f>
        <v/>
      </c>
      <c r="D252" s="24">
        <f>IF($L252&lt;&gt;"",IF(INDEX(SCDoc,$L252)="","—",INDEX(SCDoc,$L252)),IF($M252&lt;&gt;"",INDEX(LdgBankB,$M252),""))</f>
        <v/>
      </c>
      <c r="E252" s="25">
        <f>IF($L252&lt;&gt;"",IF(INDEX(SCCitrus,$L252)&amp;INDEX(SCNotes,$L252)="","",IF(INDEX(SCCitrus,$L252)="","",INDEX(SCCitrus,$L252))&amp;IF(INDEX(SCNotes,$L252)="",""," — "&amp;INDEX(SCNotes,$L252))),IF($M252&lt;&gt;"",IF(INDEX(LdgNoteB,$M252)="","—",INDEX(LdgNoteB,$M252)),""))</f>
        <v/>
      </c>
      <c r="F252" s="26">
        <f>IF($L252&lt;&gt;"",IF(INDEX(SCNet,$L252)=0,"",INDEX(SCNet,$L252)),"")</f>
        <v/>
      </c>
      <c r="G252" s="27">
        <f>IF($L252&lt;&gt;"",IF(INDEX(SCOp,$L252)="مرجوعی فروش","",IF(INDEX(SCAmount,$L252)&lt;=0,"",INDEX(SCAmount,$L252))),IF($M252&lt;&gt;"",IF(INDEX(LdgWitB,$M252)=0,"",INDEX(LdgWitB,$M252)),""))</f>
        <v/>
      </c>
      <c r="H252" s="27">
        <f>IF($L252&lt;&gt;"",IF(INDEX(SCOp,$L252)="مرجوعی فروش",IF(INDEX(SCAmount,$L252)=0,"",-INDEX(SCAmount,$L252)),""),IF($M252&lt;&gt;"",IF(INDEX(LdgDepB,$M252)=0,"",INDEX(LdgDepB,$M252)),""))</f>
        <v/>
      </c>
      <c r="I252" s="28">
        <f>IF($B252="","",IF($I251="",$C$10,$I251)+IF($G252="",0,$G252)-IF($H252="",0,$H252))</f>
        <v/>
      </c>
      <c r="L252">
        <f>IFERROR(MATCH($C$5&amp;"|"&amp;RIGHT("000000"&amp;236,6),LdgRankKeyA,0),"")</f>
        <v/>
      </c>
      <c r="M252">
        <f>IFERROR(MATCH($C$5&amp;"|"&amp;RIGHT("000000"&amp;236,6),LdgRankKeyB,0),"")</f>
        <v/>
      </c>
    </row>
    <row r="253">
      <c r="A253" s="17" t="n">
        <v>237</v>
      </c>
      <c r="B253" s="18">
        <f>IF(AND($L253="",$M253=""),"",IF($L253&lt;&gt;"",INDEX(SCNormDate,$L253),INDEX(LdgDateB,$M253)))</f>
        <v/>
      </c>
      <c r="C253" s="18">
        <f>IF($L253&lt;&gt;"",INDEX(SCOp,$L253),IF($M253&lt;&gt;"","پرداخت بانکی",""))</f>
        <v/>
      </c>
      <c r="D253" s="18">
        <f>IF($L253&lt;&gt;"",IF(INDEX(SCDoc,$L253)="","—",INDEX(SCDoc,$L253)),IF($M253&lt;&gt;"",INDEX(LdgBankB,$M253),""))</f>
        <v/>
      </c>
      <c r="E253" s="19">
        <f>IF($L253&lt;&gt;"",IF(INDEX(SCCitrus,$L253)&amp;INDEX(SCNotes,$L253)="","",IF(INDEX(SCCitrus,$L253)="","",INDEX(SCCitrus,$L253))&amp;IF(INDEX(SCNotes,$L253)="",""," — "&amp;INDEX(SCNotes,$L253))),IF($M253&lt;&gt;"",IF(INDEX(LdgNoteB,$M253)="","—",INDEX(LdgNoteB,$M253)),""))</f>
        <v/>
      </c>
      <c r="F253" s="20">
        <f>IF($L253&lt;&gt;"",IF(INDEX(SCNet,$L253)=0,"",INDEX(SCNet,$L253)),"")</f>
        <v/>
      </c>
      <c r="G253" s="21">
        <f>IF($L253&lt;&gt;"",IF(INDEX(SCOp,$L253)="مرجوعی فروش","",IF(INDEX(SCAmount,$L253)&lt;=0,"",INDEX(SCAmount,$L253))),IF($M253&lt;&gt;"",IF(INDEX(LdgWitB,$M253)=0,"",INDEX(LdgWitB,$M253)),""))</f>
        <v/>
      </c>
      <c r="H253" s="21">
        <f>IF($L253&lt;&gt;"",IF(INDEX(SCOp,$L253)="مرجوعی فروش",IF(INDEX(SCAmount,$L253)=0,"",-INDEX(SCAmount,$L253)),""),IF($M253&lt;&gt;"",IF(INDEX(LdgDepB,$M253)=0,"",INDEX(LdgDepB,$M253)),""))</f>
        <v/>
      </c>
      <c r="I253" s="22">
        <f>IF($B253="","",IF($I252="",$C$10,$I252)+IF($G253="",0,$G253)-IF($H253="",0,$H253))</f>
        <v/>
      </c>
      <c r="L253">
        <f>IFERROR(MATCH($C$5&amp;"|"&amp;RIGHT("000000"&amp;237,6),LdgRankKeyA,0),"")</f>
        <v/>
      </c>
      <c r="M253">
        <f>IFERROR(MATCH($C$5&amp;"|"&amp;RIGHT("000000"&amp;237,6),LdgRankKeyB,0),"")</f>
        <v/>
      </c>
    </row>
    <row r="254">
      <c r="A254" s="23" t="n">
        <v>238</v>
      </c>
      <c r="B254" s="24">
        <f>IF(AND($L254="",$M254=""),"",IF($L254&lt;&gt;"",INDEX(SCNormDate,$L254),INDEX(LdgDateB,$M254)))</f>
        <v/>
      </c>
      <c r="C254" s="24">
        <f>IF($L254&lt;&gt;"",INDEX(SCOp,$L254),IF($M254&lt;&gt;"","پرداخت بانکی",""))</f>
        <v/>
      </c>
      <c r="D254" s="24">
        <f>IF($L254&lt;&gt;"",IF(INDEX(SCDoc,$L254)="","—",INDEX(SCDoc,$L254)),IF($M254&lt;&gt;"",INDEX(LdgBankB,$M254),""))</f>
        <v/>
      </c>
      <c r="E254" s="25">
        <f>IF($L254&lt;&gt;"",IF(INDEX(SCCitrus,$L254)&amp;INDEX(SCNotes,$L254)="","",IF(INDEX(SCCitrus,$L254)="","",INDEX(SCCitrus,$L254))&amp;IF(INDEX(SCNotes,$L254)="",""," — "&amp;INDEX(SCNotes,$L254))),IF($M254&lt;&gt;"",IF(INDEX(LdgNoteB,$M254)="","—",INDEX(LdgNoteB,$M254)),""))</f>
        <v/>
      </c>
      <c r="F254" s="26">
        <f>IF($L254&lt;&gt;"",IF(INDEX(SCNet,$L254)=0,"",INDEX(SCNet,$L254)),"")</f>
        <v/>
      </c>
      <c r="G254" s="27">
        <f>IF($L254&lt;&gt;"",IF(INDEX(SCOp,$L254)="مرجوعی فروش","",IF(INDEX(SCAmount,$L254)&lt;=0,"",INDEX(SCAmount,$L254))),IF($M254&lt;&gt;"",IF(INDEX(LdgWitB,$M254)=0,"",INDEX(LdgWitB,$M254)),""))</f>
        <v/>
      </c>
      <c r="H254" s="27">
        <f>IF($L254&lt;&gt;"",IF(INDEX(SCOp,$L254)="مرجوعی فروش",IF(INDEX(SCAmount,$L254)=0,"",-INDEX(SCAmount,$L254)),""),IF($M254&lt;&gt;"",IF(INDEX(LdgDepB,$M254)=0,"",INDEX(LdgDepB,$M254)),""))</f>
        <v/>
      </c>
      <c r="I254" s="28">
        <f>IF($B254="","",IF($I253="",$C$10,$I253)+IF($G254="",0,$G254)-IF($H254="",0,$H254))</f>
        <v/>
      </c>
      <c r="L254">
        <f>IFERROR(MATCH($C$5&amp;"|"&amp;RIGHT("000000"&amp;238,6),LdgRankKeyA,0),"")</f>
        <v/>
      </c>
      <c r="M254">
        <f>IFERROR(MATCH($C$5&amp;"|"&amp;RIGHT("000000"&amp;238,6),LdgRankKeyB,0),"")</f>
        <v/>
      </c>
    </row>
    <row r="255">
      <c r="A255" s="17" t="n">
        <v>239</v>
      </c>
      <c r="B255" s="18">
        <f>IF(AND($L255="",$M255=""),"",IF($L255&lt;&gt;"",INDEX(SCNormDate,$L255),INDEX(LdgDateB,$M255)))</f>
        <v/>
      </c>
      <c r="C255" s="18">
        <f>IF($L255&lt;&gt;"",INDEX(SCOp,$L255),IF($M255&lt;&gt;"","پرداخت بانکی",""))</f>
        <v/>
      </c>
      <c r="D255" s="18">
        <f>IF($L255&lt;&gt;"",IF(INDEX(SCDoc,$L255)="","—",INDEX(SCDoc,$L255)),IF($M255&lt;&gt;"",INDEX(LdgBankB,$M255),""))</f>
        <v/>
      </c>
      <c r="E255" s="19">
        <f>IF($L255&lt;&gt;"",IF(INDEX(SCCitrus,$L255)&amp;INDEX(SCNotes,$L255)="","",IF(INDEX(SCCitrus,$L255)="","",INDEX(SCCitrus,$L255))&amp;IF(INDEX(SCNotes,$L255)="",""," — "&amp;INDEX(SCNotes,$L255))),IF($M255&lt;&gt;"",IF(INDEX(LdgNoteB,$M255)="","—",INDEX(LdgNoteB,$M255)),""))</f>
        <v/>
      </c>
      <c r="F255" s="20">
        <f>IF($L255&lt;&gt;"",IF(INDEX(SCNet,$L255)=0,"",INDEX(SCNet,$L255)),"")</f>
        <v/>
      </c>
      <c r="G255" s="21">
        <f>IF($L255&lt;&gt;"",IF(INDEX(SCOp,$L255)="مرجوعی فروش","",IF(INDEX(SCAmount,$L255)&lt;=0,"",INDEX(SCAmount,$L255))),IF($M255&lt;&gt;"",IF(INDEX(LdgWitB,$M255)=0,"",INDEX(LdgWitB,$M255)),""))</f>
        <v/>
      </c>
      <c r="H255" s="21">
        <f>IF($L255&lt;&gt;"",IF(INDEX(SCOp,$L255)="مرجوعی فروش",IF(INDEX(SCAmount,$L255)=0,"",-INDEX(SCAmount,$L255)),""),IF($M255&lt;&gt;"",IF(INDEX(LdgDepB,$M255)=0,"",INDEX(LdgDepB,$M255)),""))</f>
        <v/>
      </c>
      <c r="I255" s="22">
        <f>IF($B255="","",IF($I254="",$C$10,$I254)+IF($G255="",0,$G255)-IF($H255="",0,$H255))</f>
        <v/>
      </c>
      <c r="L255">
        <f>IFERROR(MATCH($C$5&amp;"|"&amp;RIGHT("000000"&amp;239,6),LdgRankKeyA,0),"")</f>
        <v/>
      </c>
      <c r="M255">
        <f>IFERROR(MATCH($C$5&amp;"|"&amp;RIGHT("000000"&amp;239,6),LdgRankKeyB,0),"")</f>
        <v/>
      </c>
    </row>
    <row r="256">
      <c r="A256" s="23" t="n">
        <v>240</v>
      </c>
      <c r="B256" s="24">
        <f>IF(AND($L256="",$M256=""),"",IF($L256&lt;&gt;"",INDEX(SCNormDate,$L256),INDEX(LdgDateB,$M256)))</f>
        <v/>
      </c>
      <c r="C256" s="24">
        <f>IF($L256&lt;&gt;"",INDEX(SCOp,$L256),IF($M256&lt;&gt;"","پرداخت بانکی",""))</f>
        <v/>
      </c>
      <c r="D256" s="24">
        <f>IF($L256&lt;&gt;"",IF(INDEX(SCDoc,$L256)="","—",INDEX(SCDoc,$L256)),IF($M256&lt;&gt;"",INDEX(LdgBankB,$M256),""))</f>
        <v/>
      </c>
      <c r="E256" s="25">
        <f>IF($L256&lt;&gt;"",IF(INDEX(SCCitrus,$L256)&amp;INDEX(SCNotes,$L256)="","",IF(INDEX(SCCitrus,$L256)="","",INDEX(SCCitrus,$L256))&amp;IF(INDEX(SCNotes,$L256)="",""," — "&amp;INDEX(SCNotes,$L256))),IF($M256&lt;&gt;"",IF(INDEX(LdgNoteB,$M256)="","—",INDEX(LdgNoteB,$M256)),""))</f>
        <v/>
      </c>
      <c r="F256" s="26">
        <f>IF($L256&lt;&gt;"",IF(INDEX(SCNet,$L256)=0,"",INDEX(SCNet,$L256)),"")</f>
        <v/>
      </c>
      <c r="G256" s="27">
        <f>IF($L256&lt;&gt;"",IF(INDEX(SCOp,$L256)="مرجوعی فروش","",IF(INDEX(SCAmount,$L256)&lt;=0,"",INDEX(SCAmount,$L256))),IF($M256&lt;&gt;"",IF(INDEX(LdgWitB,$M256)=0,"",INDEX(LdgWitB,$M256)),""))</f>
        <v/>
      </c>
      <c r="H256" s="27">
        <f>IF($L256&lt;&gt;"",IF(INDEX(SCOp,$L256)="مرجوعی فروش",IF(INDEX(SCAmount,$L256)=0,"",-INDEX(SCAmount,$L256)),""),IF($M256&lt;&gt;"",IF(INDEX(LdgDepB,$M256)=0,"",INDEX(LdgDepB,$M256)),""))</f>
        <v/>
      </c>
      <c r="I256" s="28">
        <f>IF($B256="","",IF($I255="",$C$10,$I255)+IF($G256="",0,$G256)-IF($H256="",0,$H256))</f>
        <v/>
      </c>
      <c r="L256">
        <f>IFERROR(MATCH($C$5&amp;"|"&amp;RIGHT("000000"&amp;240,6),LdgRankKeyA,0),"")</f>
        <v/>
      </c>
      <c r="M256">
        <f>IFERROR(MATCH($C$5&amp;"|"&amp;RIGHT("000000"&amp;240,6),LdgRankKeyB,0),"")</f>
        <v/>
      </c>
    </row>
    <row r="257">
      <c r="A257" s="17" t="n">
        <v>241</v>
      </c>
      <c r="B257" s="18">
        <f>IF(AND($L257="",$M257=""),"",IF($L257&lt;&gt;"",INDEX(SCNormDate,$L257),INDEX(LdgDateB,$M257)))</f>
        <v/>
      </c>
      <c r="C257" s="18">
        <f>IF($L257&lt;&gt;"",INDEX(SCOp,$L257),IF($M257&lt;&gt;"","پرداخت بانکی",""))</f>
        <v/>
      </c>
      <c r="D257" s="18">
        <f>IF($L257&lt;&gt;"",IF(INDEX(SCDoc,$L257)="","—",INDEX(SCDoc,$L257)),IF($M257&lt;&gt;"",INDEX(LdgBankB,$M257),""))</f>
        <v/>
      </c>
      <c r="E257" s="19">
        <f>IF($L257&lt;&gt;"",IF(INDEX(SCCitrus,$L257)&amp;INDEX(SCNotes,$L257)="","",IF(INDEX(SCCitrus,$L257)="","",INDEX(SCCitrus,$L257))&amp;IF(INDEX(SCNotes,$L257)="",""," — "&amp;INDEX(SCNotes,$L257))),IF($M257&lt;&gt;"",IF(INDEX(LdgNoteB,$M257)="","—",INDEX(LdgNoteB,$M257)),""))</f>
        <v/>
      </c>
      <c r="F257" s="20">
        <f>IF($L257&lt;&gt;"",IF(INDEX(SCNet,$L257)=0,"",INDEX(SCNet,$L257)),"")</f>
        <v/>
      </c>
      <c r="G257" s="21">
        <f>IF($L257&lt;&gt;"",IF(INDEX(SCOp,$L257)="مرجوعی فروش","",IF(INDEX(SCAmount,$L257)&lt;=0,"",INDEX(SCAmount,$L257))),IF($M257&lt;&gt;"",IF(INDEX(LdgWitB,$M257)=0,"",INDEX(LdgWitB,$M257)),""))</f>
        <v/>
      </c>
      <c r="H257" s="21">
        <f>IF($L257&lt;&gt;"",IF(INDEX(SCOp,$L257)="مرجوعی فروش",IF(INDEX(SCAmount,$L257)=0,"",-INDEX(SCAmount,$L257)),""),IF($M257&lt;&gt;"",IF(INDEX(LdgDepB,$M257)=0,"",INDEX(LdgDepB,$M257)),""))</f>
        <v/>
      </c>
      <c r="I257" s="22">
        <f>IF($B257="","",IF($I256="",$C$10,$I256)+IF($G257="",0,$G257)-IF($H257="",0,$H257))</f>
        <v/>
      </c>
      <c r="L257">
        <f>IFERROR(MATCH($C$5&amp;"|"&amp;RIGHT("000000"&amp;241,6),LdgRankKeyA,0),"")</f>
        <v/>
      </c>
      <c r="M257">
        <f>IFERROR(MATCH($C$5&amp;"|"&amp;RIGHT("000000"&amp;241,6),LdgRankKeyB,0),"")</f>
        <v/>
      </c>
    </row>
    <row r="258">
      <c r="A258" s="23" t="n">
        <v>242</v>
      </c>
      <c r="B258" s="24">
        <f>IF(AND($L258="",$M258=""),"",IF($L258&lt;&gt;"",INDEX(SCNormDate,$L258),INDEX(LdgDateB,$M258)))</f>
        <v/>
      </c>
      <c r="C258" s="24">
        <f>IF($L258&lt;&gt;"",INDEX(SCOp,$L258),IF($M258&lt;&gt;"","پرداخت بانکی",""))</f>
        <v/>
      </c>
      <c r="D258" s="24">
        <f>IF($L258&lt;&gt;"",IF(INDEX(SCDoc,$L258)="","—",INDEX(SCDoc,$L258)),IF($M258&lt;&gt;"",INDEX(LdgBankB,$M258),""))</f>
        <v/>
      </c>
      <c r="E258" s="25">
        <f>IF($L258&lt;&gt;"",IF(INDEX(SCCitrus,$L258)&amp;INDEX(SCNotes,$L258)="","",IF(INDEX(SCCitrus,$L258)="","",INDEX(SCCitrus,$L258))&amp;IF(INDEX(SCNotes,$L258)="",""," — "&amp;INDEX(SCNotes,$L258))),IF($M258&lt;&gt;"",IF(INDEX(LdgNoteB,$M258)="","—",INDEX(LdgNoteB,$M258)),""))</f>
        <v/>
      </c>
      <c r="F258" s="26">
        <f>IF($L258&lt;&gt;"",IF(INDEX(SCNet,$L258)=0,"",INDEX(SCNet,$L258)),"")</f>
        <v/>
      </c>
      <c r="G258" s="27">
        <f>IF($L258&lt;&gt;"",IF(INDEX(SCOp,$L258)="مرجوعی فروش","",IF(INDEX(SCAmount,$L258)&lt;=0,"",INDEX(SCAmount,$L258))),IF($M258&lt;&gt;"",IF(INDEX(LdgWitB,$M258)=0,"",INDEX(LdgWitB,$M258)),""))</f>
        <v/>
      </c>
      <c r="H258" s="27">
        <f>IF($L258&lt;&gt;"",IF(INDEX(SCOp,$L258)="مرجوعی فروش",IF(INDEX(SCAmount,$L258)=0,"",-INDEX(SCAmount,$L258)),""),IF($M258&lt;&gt;"",IF(INDEX(LdgDepB,$M258)=0,"",INDEX(LdgDepB,$M258)),""))</f>
        <v/>
      </c>
      <c r="I258" s="28">
        <f>IF($B258="","",IF($I257="",$C$10,$I257)+IF($G258="",0,$G258)-IF($H258="",0,$H258))</f>
        <v/>
      </c>
      <c r="L258">
        <f>IFERROR(MATCH($C$5&amp;"|"&amp;RIGHT("000000"&amp;242,6),LdgRankKeyA,0),"")</f>
        <v/>
      </c>
      <c r="M258">
        <f>IFERROR(MATCH($C$5&amp;"|"&amp;RIGHT("000000"&amp;242,6),LdgRankKeyB,0),"")</f>
        <v/>
      </c>
    </row>
    <row r="259">
      <c r="A259" s="17" t="n">
        <v>243</v>
      </c>
      <c r="B259" s="18">
        <f>IF(AND($L259="",$M259=""),"",IF($L259&lt;&gt;"",INDEX(SCNormDate,$L259),INDEX(LdgDateB,$M259)))</f>
        <v/>
      </c>
      <c r="C259" s="18">
        <f>IF($L259&lt;&gt;"",INDEX(SCOp,$L259),IF($M259&lt;&gt;"","پرداخت بانکی",""))</f>
        <v/>
      </c>
      <c r="D259" s="18">
        <f>IF($L259&lt;&gt;"",IF(INDEX(SCDoc,$L259)="","—",INDEX(SCDoc,$L259)),IF($M259&lt;&gt;"",INDEX(LdgBankB,$M259),""))</f>
        <v/>
      </c>
      <c r="E259" s="19">
        <f>IF($L259&lt;&gt;"",IF(INDEX(SCCitrus,$L259)&amp;INDEX(SCNotes,$L259)="","",IF(INDEX(SCCitrus,$L259)="","",INDEX(SCCitrus,$L259))&amp;IF(INDEX(SCNotes,$L259)="",""," — "&amp;INDEX(SCNotes,$L259))),IF($M259&lt;&gt;"",IF(INDEX(LdgNoteB,$M259)="","—",INDEX(LdgNoteB,$M259)),""))</f>
        <v/>
      </c>
      <c r="F259" s="20">
        <f>IF($L259&lt;&gt;"",IF(INDEX(SCNet,$L259)=0,"",INDEX(SCNet,$L259)),"")</f>
        <v/>
      </c>
      <c r="G259" s="21">
        <f>IF($L259&lt;&gt;"",IF(INDEX(SCOp,$L259)="مرجوعی فروش","",IF(INDEX(SCAmount,$L259)&lt;=0,"",INDEX(SCAmount,$L259))),IF($M259&lt;&gt;"",IF(INDEX(LdgWitB,$M259)=0,"",INDEX(LdgWitB,$M259)),""))</f>
        <v/>
      </c>
      <c r="H259" s="21">
        <f>IF($L259&lt;&gt;"",IF(INDEX(SCOp,$L259)="مرجوعی فروش",IF(INDEX(SCAmount,$L259)=0,"",-INDEX(SCAmount,$L259)),""),IF($M259&lt;&gt;"",IF(INDEX(LdgDepB,$M259)=0,"",INDEX(LdgDepB,$M259)),""))</f>
        <v/>
      </c>
      <c r="I259" s="22">
        <f>IF($B259="","",IF($I258="",$C$10,$I258)+IF($G259="",0,$G259)-IF($H259="",0,$H259))</f>
        <v/>
      </c>
      <c r="L259">
        <f>IFERROR(MATCH($C$5&amp;"|"&amp;RIGHT("000000"&amp;243,6),LdgRankKeyA,0),"")</f>
        <v/>
      </c>
      <c r="M259">
        <f>IFERROR(MATCH($C$5&amp;"|"&amp;RIGHT("000000"&amp;243,6),LdgRankKeyB,0),"")</f>
        <v/>
      </c>
    </row>
    <row r="260">
      <c r="A260" s="23" t="n">
        <v>244</v>
      </c>
      <c r="B260" s="24">
        <f>IF(AND($L260="",$M260=""),"",IF($L260&lt;&gt;"",INDEX(SCNormDate,$L260),INDEX(LdgDateB,$M260)))</f>
        <v/>
      </c>
      <c r="C260" s="24">
        <f>IF($L260&lt;&gt;"",INDEX(SCOp,$L260),IF($M260&lt;&gt;"","پرداخت بانکی",""))</f>
        <v/>
      </c>
      <c r="D260" s="24">
        <f>IF($L260&lt;&gt;"",IF(INDEX(SCDoc,$L260)="","—",INDEX(SCDoc,$L260)),IF($M260&lt;&gt;"",INDEX(LdgBankB,$M260),""))</f>
        <v/>
      </c>
      <c r="E260" s="25">
        <f>IF($L260&lt;&gt;"",IF(INDEX(SCCitrus,$L260)&amp;INDEX(SCNotes,$L260)="","",IF(INDEX(SCCitrus,$L260)="","",INDEX(SCCitrus,$L260))&amp;IF(INDEX(SCNotes,$L260)="",""," — "&amp;INDEX(SCNotes,$L260))),IF($M260&lt;&gt;"",IF(INDEX(LdgNoteB,$M260)="","—",INDEX(LdgNoteB,$M260)),""))</f>
        <v/>
      </c>
      <c r="F260" s="26">
        <f>IF($L260&lt;&gt;"",IF(INDEX(SCNet,$L260)=0,"",INDEX(SCNet,$L260)),"")</f>
        <v/>
      </c>
      <c r="G260" s="27">
        <f>IF($L260&lt;&gt;"",IF(INDEX(SCOp,$L260)="مرجوعی فروش","",IF(INDEX(SCAmount,$L260)&lt;=0,"",INDEX(SCAmount,$L260))),IF($M260&lt;&gt;"",IF(INDEX(LdgWitB,$M260)=0,"",INDEX(LdgWitB,$M260)),""))</f>
        <v/>
      </c>
      <c r="H260" s="27">
        <f>IF($L260&lt;&gt;"",IF(INDEX(SCOp,$L260)="مرجوعی فروش",IF(INDEX(SCAmount,$L260)=0,"",-INDEX(SCAmount,$L260)),""),IF($M260&lt;&gt;"",IF(INDEX(LdgDepB,$M260)=0,"",INDEX(LdgDepB,$M260)),""))</f>
        <v/>
      </c>
      <c r="I260" s="28">
        <f>IF($B260="","",IF($I259="",$C$10,$I259)+IF($G260="",0,$G260)-IF($H260="",0,$H260))</f>
        <v/>
      </c>
      <c r="L260">
        <f>IFERROR(MATCH($C$5&amp;"|"&amp;RIGHT("000000"&amp;244,6),LdgRankKeyA,0),"")</f>
        <v/>
      </c>
      <c r="M260">
        <f>IFERROR(MATCH($C$5&amp;"|"&amp;RIGHT("000000"&amp;244,6),LdgRankKeyB,0),"")</f>
        <v/>
      </c>
    </row>
    <row r="261">
      <c r="A261" s="17" t="n">
        <v>245</v>
      </c>
      <c r="B261" s="18">
        <f>IF(AND($L261="",$M261=""),"",IF($L261&lt;&gt;"",INDEX(SCNormDate,$L261),INDEX(LdgDateB,$M261)))</f>
        <v/>
      </c>
      <c r="C261" s="18">
        <f>IF($L261&lt;&gt;"",INDEX(SCOp,$L261),IF($M261&lt;&gt;"","پرداخت بانکی",""))</f>
        <v/>
      </c>
      <c r="D261" s="18">
        <f>IF($L261&lt;&gt;"",IF(INDEX(SCDoc,$L261)="","—",INDEX(SCDoc,$L261)),IF($M261&lt;&gt;"",INDEX(LdgBankB,$M261),""))</f>
        <v/>
      </c>
      <c r="E261" s="19">
        <f>IF($L261&lt;&gt;"",IF(INDEX(SCCitrus,$L261)&amp;INDEX(SCNotes,$L261)="","",IF(INDEX(SCCitrus,$L261)="","",INDEX(SCCitrus,$L261))&amp;IF(INDEX(SCNotes,$L261)="",""," — "&amp;INDEX(SCNotes,$L261))),IF($M261&lt;&gt;"",IF(INDEX(LdgNoteB,$M261)="","—",INDEX(LdgNoteB,$M261)),""))</f>
        <v/>
      </c>
      <c r="F261" s="20">
        <f>IF($L261&lt;&gt;"",IF(INDEX(SCNet,$L261)=0,"",INDEX(SCNet,$L261)),"")</f>
        <v/>
      </c>
      <c r="G261" s="21">
        <f>IF($L261&lt;&gt;"",IF(INDEX(SCOp,$L261)="مرجوعی فروش","",IF(INDEX(SCAmount,$L261)&lt;=0,"",INDEX(SCAmount,$L261))),IF($M261&lt;&gt;"",IF(INDEX(LdgWitB,$M261)=0,"",INDEX(LdgWitB,$M261)),""))</f>
        <v/>
      </c>
      <c r="H261" s="21">
        <f>IF($L261&lt;&gt;"",IF(INDEX(SCOp,$L261)="مرجوعی فروش",IF(INDEX(SCAmount,$L261)=0,"",-INDEX(SCAmount,$L261)),""),IF($M261&lt;&gt;"",IF(INDEX(LdgDepB,$M261)=0,"",INDEX(LdgDepB,$M261)),""))</f>
        <v/>
      </c>
      <c r="I261" s="22">
        <f>IF($B261="","",IF($I260="",$C$10,$I260)+IF($G261="",0,$G261)-IF($H261="",0,$H261))</f>
        <v/>
      </c>
      <c r="L261">
        <f>IFERROR(MATCH($C$5&amp;"|"&amp;RIGHT("000000"&amp;245,6),LdgRankKeyA,0),"")</f>
        <v/>
      </c>
      <c r="M261">
        <f>IFERROR(MATCH($C$5&amp;"|"&amp;RIGHT("000000"&amp;245,6),LdgRankKeyB,0),"")</f>
        <v/>
      </c>
    </row>
    <row r="262">
      <c r="A262" s="23" t="n">
        <v>246</v>
      </c>
      <c r="B262" s="24">
        <f>IF(AND($L262="",$M262=""),"",IF($L262&lt;&gt;"",INDEX(SCNormDate,$L262),INDEX(LdgDateB,$M262)))</f>
        <v/>
      </c>
      <c r="C262" s="24">
        <f>IF($L262&lt;&gt;"",INDEX(SCOp,$L262),IF($M262&lt;&gt;"","پرداخت بانکی",""))</f>
        <v/>
      </c>
      <c r="D262" s="24">
        <f>IF($L262&lt;&gt;"",IF(INDEX(SCDoc,$L262)="","—",INDEX(SCDoc,$L262)),IF($M262&lt;&gt;"",INDEX(LdgBankB,$M262),""))</f>
        <v/>
      </c>
      <c r="E262" s="25">
        <f>IF($L262&lt;&gt;"",IF(INDEX(SCCitrus,$L262)&amp;INDEX(SCNotes,$L262)="","",IF(INDEX(SCCitrus,$L262)="","",INDEX(SCCitrus,$L262))&amp;IF(INDEX(SCNotes,$L262)="",""," — "&amp;INDEX(SCNotes,$L262))),IF($M262&lt;&gt;"",IF(INDEX(LdgNoteB,$M262)="","—",INDEX(LdgNoteB,$M262)),""))</f>
        <v/>
      </c>
      <c r="F262" s="26">
        <f>IF($L262&lt;&gt;"",IF(INDEX(SCNet,$L262)=0,"",INDEX(SCNet,$L262)),"")</f>
        <v/>
      </c>
      <c r="G262" s="27">
        <f>IF($L262&lt;&gt;"",IF(INDEX(SCOp,$L262)="مرجوعی فروش","",IF(INDEX(SCAmount,$L262)&lt;=0,"",INDEX(SCAmount,$L262))),IF($M262&lt;&gt;"",IF(INDEX(LdgWitB,$M262)=0,"",INDEX(LdgWitB,$M262)),""))</f>
        <v/>
      </c>
      <c r="H262" s="27">
        <f>IF($L262&lt;&gt;"",IF(INDEX(SCOp,$L262)="مرجوعی فروش",IF(INDEX(SCAmount,$L262)=0,"",-INDEX(SCAmount,$L262)),""),IF($M262&lt;&gt;"",IF(INDEX(LdgDepB,$M262)=0,"",INDEX(LdgDepB,$M262)),""))</f>
        <v/>
      </c>
      <c r="I262" s="28">
        <f>IF($B262="","",IF($I261="",$C$10,$I261)+IF($G262="",0,$G262)-IF($H262="",0,$H262))</f>
        <v/>
      </c>
      <c r="L262">
        <f>IFERROR(MATCH($C$5&amp;"|"&amp;RIGHT("000000"&amp;246,6),LdgRankKeyA,0),"")</f>
        <v/>
      </c>
      <c r="M262">
        <f>IFERROR(MATCH($C$5&amp;"|"&amp;RIGHT("000000"&amp;246,6),LdgRankKeyB,0),"")</f>
        <v/>
      </c>
    </row>
    <row r="263">
      <c r="A263" s="17" t="n">
        <v>247</v>
      </c>
      <c r="B263" s="18">
        <f>IF(AND($L263="",$M263=""),"",IF($L263&lt;&gt;"",INDEX(SCNormDate,$L263),INDEX(LdgDateB,$M263)))</f>
        <v/>
      </c>
      <c r="C263" s="18">
        <f>IF($L263&lt;&gt;"",INDEX(SCOp,$L263),IF($M263&lt;&gt;"","پرداخت بانکی",""))</f>
        <v/>
      </c>
      <c r="D263" s="18">
        <f>IF($L263&lt;&gt;"",IF(INDEX(SCDoc,$L263)="","—",INDEX(SCDoc,$L263)),IF($M263&lt;&gt;"",INDEX(LdgBankB,$M263),""))</f>
        <v/>
      </c>
      <c r="E263" s="19">
        <f>IF($L263&lt;&gt;"",IF(INDEX(SCCitrus,$L263)&amp;INDEX(SCNotes,$L263)="","",IF(INDEX(SCCitrus,$L263)="","",INDEX(SCCitrus,$L263))&amp;IF(INDEX(SCNotes,$L263)="",""," — "&amp;INDEX(SCNotes,$L263))),IF($M263&lt;&gt;"",IF(INDEX(LdgNoteB,$M263)="","—",INDEX(LdgNoteB,$M263)),""))</f>
        <v/>
      </c>
      <c r="F263" s="20">
        <f>IF($L263&lt;&gt;"",IF(INDEX(SCNet,$L263)=0,"",INDEX(SCNet,$L263)),"")</f>
        <v/>
      </c>
      <c r="G263" s="21">
        <f>IF($L263&lt;&gt;"",IF(INDEX(SCOp,$L263)="مرجوعی فروش","",IF(INDEX(SCAmount,$L263)&lt;=0,"",INDEX(SCAmount,$L263))),IF($M263&lt;&gt;"",IF(INDEX(LdgWitB,$M263)=0,"",INDEX(LdgWitB,$M263)),""))</f>
        <v/>
      </c>
      <c r="H263" s="21">
        <f>IF($L263&lt;&gt;"",IF(INDEX(SCOp,$L263)="مرجوعی فروش",IF(INDEX(SCAmount,$L263)=0,"",-INDEX(SCAmount,$L263)),""),IF($M263&lt;&gt;"",IF(INDEX(LdgDepB,$M263)=0,"",INDEX(LdgDepB,$M263)),""))</f>
        <v/>
      </c>
      <c r="I263" s="22">
        <f>IF($B263="","",IF($I262="",$C$10,$I262)+IF($G263="",0,$G263)-IF($H263="",0,$H263))</f>
        <v/>
      </c>
      <c r="L263">
        <f>IFERROR(MATCH($C$5&amp;"|"&amp;RIGHT("000000"&amp;247,6),LdgRankKeyA,0),"")</f>
        <v/>
      </c>
      <c r="M263">
        <f>IFERROR(MATCH($C$5&amp;"|"&amp;RIGHT("000000"&amp;247,6),LdgRankKeyB,0),"")</f>
        <v/>
      </c>
    </row>
    <row r="264">
      <c r="A264" s="23" t="n">
        <v>248</v>
      </c>
      <c r="B264" s="24">
        <f>IF(AND($L264="",$M264=""),"",IF($L264&lt;&gt;"",INDEX(SCNormDate,$L264),INDEX(LdgDateB,$M264)))</f>
        <v/>
      </c>
      <c r="C264" s="24">
        <f>IF($L264&lt;&gt;"",INDEX(SCOp,$L264),IF($M264&lt;&gt;"","پرداخت بانکی",""))</f>
        <v/>
      </c>
      <c r="D264" s="24">
        <f>IF($L264&lt;&gt;"",IF(INDEX(SCDoc,$L264)="","—",INDEX(SCDoc,$L264)),IF($M264&lt;&gt;"",INDEX(LdgBankB,$M264),""))</f>
        <v/>
      </c>
      <c r="E264" s="25">
        <f>IF($L264&lt;&gt;"",IF(INDEX(SCCitrus,$L264)&amp;INDEX(SCNotes,$L264)="","",IF(INDEX(SCCitrus,$L264)="","",INDEX(SCCitrus,$L264))&amp;IF(INDEX(SCNotes,$L264)="",""," — "&amp;INDEX(SCNotes,$L264))),IF($M264&lt;&gt;"",IF(INDEX(LdgNoteB,$M264)="","—",INDEX(LdgNoteB,$M264)),""))</f>
        <v/>
      </c>
      <c r="F264" s="26">
        <f>IF($L264&lt;&gt;"",IF(INDEX(SCNet,$L264)=0,"",INDEX(SCNet,$L264)),"")</f>
        <v/>
      </c>
      <c r="G264" s="27">
        <f>IF($L264&lt;&gt;"",IF(INDEX(SCOp,$L264)="مرجوعی فروش","",IF(INDEX(SCAmount,$L264)&lt;=0,"",INDEX(SCAmount,$L264))),IF($M264&lt;&gt;"",IF(INDEX(LdgWitB,$M264)=0,"",INDEX(LdgWitB,$M264)),""))</f>
        <v/>
      </c>
      <c r="H264" s="27">
        <f>IF($L264&lt;&gt;"",IF(INDEX(SCOp,$L264)="مرجوعی فروش",IF(INDEX(SCAmount,$L264)=0,"",-INDEX(SCAmount,$L264)),""),IF($M264&lt;&gt;"",IF(INDEX(LdgDepB,$M264)=0,"",INDEX(LdgDepB,$M264)),""))</f>
        <v/>
      </c>
      <c r="I264" s="28">
        <f>IF($B264="","",IF($I263="",$C$10,$I263)+IF($G264="",0,$G264)-IF($H264="",0,$H264))</f>
        <v/>
      </c>
      <c r="L264">
        <f>IFERROR(MATCH($C$5&amp;"|"&amp;RIGHT("000000"&amp;248,6),LdgRankKeyA,0),"")</f>
        <v/>
      </c>
      <c r="M264">
        <f>IFERROR(MATCH($C$5&amp;"|"&amp;RIGHT("000000"&amp;248,6),LdgRankKeyB,0),"")</f>
        <v/>
      </c>
    </row>
    <row r="265">
      <c r="A265" s="17" t="n">
        <v>249</v>
      </c>
      <c r="B265" s="18">
        <f>IF(AND($L265="",$M265=""),"",IF($L265&lt;&gt;"",INDEX(SCNormDate,$L265),INDEX(LdgDateB,$M265)))</f>
        <v/>
      </c>
      <c r="C265" s="18">
        <f>IF($L265&lt;&gt;"",INDEX(SCOp,$L265),IF($M265&lt;&gt;"","پرداخت بانکی",""))</f>
        <v/>
      </c>
      <c r="D265" s="18">
        <f>IF($L265&lt;&gt;"",IF(INDEX(SCDoc,$L265)="","—",INDEX(SCDoc,$L265)),IF($M265&lt;&gt;"",INDEX(LdgBankB,$M265),""))</f>
        <v/>
      </c>
      <c r="E265" s="19">
        <f>IF($L265&lt;&gt;"",IF(INDEX(SCCitrus,$L265)&amp;INDEX(SCNotes,$L265)="","",IF(INDEX(SCCitrus,$L265)="","",INDEX(SCCitrus,$L265))&amp;IF(INDEX(SCNotes,$L265)="",""," — "&amp;INDEX(SCNotes,$L265))),IF($M265&lt;&gt;"",IF(INDEX(LdgNoteB,$M265)="","—",INDEX(LdgNoteB,$M265)),""))</f>
        <v/>
      </c>
      <c r="F265" s="20">
        <f>IF($L265&lt;&gt;"",IF(INDEX(SCNet,$L265)=0,"",INDEX(SCNet,$L265)),"")</f>
        <v/>
      </c>
      <c r="G265" s="21">
        <f>IF($L265&lt;&gt;"",IF(INDEX(SCOp,$L265)="مرجوعی فروش","",IF(INDEX(SCAmount,$L265)&lt;=0,"",INDEX(SCAmount,$L265))),IF($M265&lt;&gt;"",IF(INDEX(LdgWitB,$M265)=0,"",INDEX(LdgWitB,$M265)),""))</f>
        <v/>
      </c>
      <c r="H265" s="21">
        <f>IF($L265&lt;&gt;"",IF(INDEX(SCOp,$L265)="مرجوعی فروش",IF(INDEX(SCAmount,$L265)=0,"",-INDEX(SCAmount,$L265)),""),IF($M265&lt;&gt;"",IF(INDEX(LdgDepB,$M265)=0,"",INDEX(LdgDepB,$M265)),""))</f>
        <v/>
      </c>
      <c r="I265" s="22">
        <f>IF($B265="","",IF($I264="",$C$10,$I264)+IF($G265="",0,$G265)-IF($H265="",0,$H265))</f>
        <v/>
      </c>
      <c r="L265">
        <f>IFERROR(MATCH($C$5&amp;"|"&amp;RIGHT("000000"&amp;249,6),LdgRankKeyA,0),"")</f>
        <v/>
      </c>
      <c r="M265">
        <f>IFERROR(MATCH($C$5&amp;"|"&amp;RIGHT("000000"&amp;249,6),LdgRankKeyB,0),"")</f>
        <v/>
      </c>
    </row>
    <row r="266">
      <c r="A266" s="23" t="n">
        <v>250</v>
      </c>
      <c r="B266" s="24">
        <f>IF(AND($L266="",$M266=""),"",IF($L266&lt;&gt;"",INDEX(SCNormDate,$L266),INDEX(LdgDateB,$M266)))</f>
        <v/>
      </c>
      <c r="C266" s="24">
        <f>IF($L266&lt;&gt;"",INDEX(SCOp,$L266),IF($M266&lt;&gt;"","پرداخت بانکی",""))</f>
        <v/>
      </c>
      <c r="D266" s="24">
        <f>IF($L266&lt;&gt;"",IF(INDEX(SCDoc,$L266)="","—",INDEX(SCDoc,$L266)),IF($M266&lt;&gt;"",INDEX(LdgBankB,$M266),""))</f>
        <v/>
      </c>
      <c r="E266" s="25">
        <f>IF($L266&lt;&gt;"",IF(INDEX(SCCitrus,$L266)&amp;INDEX(SCNotes,$L266)="","",IF(INDEX(SCCitrus,$L266)="","",INDEX(SCCitrus,$L266))&amp;IF(INDEX(SCNotes,$L266)="",""," — "&amp;INDEX(SCNotes,$L266))),IF($M266&lt;&gt;"",IF(INDEX(LdgNoteB,$M266)="","—",INDEX(LdgNoteB,$M266)),""))</f>
        <v/>
      </c>
      <c r="F266" s="26">
        <f>IF($L266&lt;&gt;"",IF(INDEX(SCNet,$L266)=0,"",INDEX(SCNet,$L266)),"")</f>
        <v/>
      </c>
      <c r="G266" s="27">
        <f>IF($L266&lt;&gt;"",IF(INDEX(SCOp,$L266)="مرجوعی فروش","",IF(INDEX(SCAmount,$L266)&lt;=0,"",INDEX(SCAmount,$L266))),IF($M266&lt;&gt;"",IF(INDEX(LdgWitB,$M266)=0,"",INDEX(LdgWitB,$M266)),""))</f>
        <v/>
      </c>
      <c r="H266" s="27">
        <f>IF($L266&lt;&gt;"",IF(INDEX(SCOp,$L266)="مرجوعی فروش",IF(INDEX(SCAmount,$L266)=0,"",-INDEX(SCAmount,$L266)),""),IF($M266&lt;&gt;"",IF(INDEX(LdgDepB,$M266)=0,"",INDEX(LdgDepB,$M266)),""))</f>
        <v/>
      </c>
      <c r="I266" s="28">
        <f>IF($B266="","",IF($I265="",$C$10,$I265)+IF($G266="",0,$G266)-IF($H266="",0,$H266))</f>
        <v/>
      </c>
      <c r="L266">
        <f>IFERROR(MATCH($C$5&amp;"|"&amp;RIGHT("000000"&amp;250,6),LdgRankKeyA,0),"")</f>
        <v/>
      </c>
      <c r="M266">
        <f>IFERROR(MATCH($C$5&amp;"|"&amp;RIGHT("000000"&amp;250,6),LdgRankKeyB,0),"")</f>
        <v/>
      </c>
    </row>
    <row r="267">
      <c r="A267" s="17" t="n">
        <v>251</v>
      </c>
      <c r="B267" s="18">
        <f>IF(AND($L267="",$M267=""),"",IF($L267&lt;&gt;"",INDEX(SCNormDate,$L267),INDEX(LdgDateB,$M267)))</f>
        <v/>
      </c>
      <c r="C267" s="18">
        <f>IF($L267&lt;&gt;"",INDEX(SCOp,$L267),IF($M267&lt;&gt;"","پرداخت بانکی",""))</f>
        <v/>
      </c>
      <c r="D267" s="18">
        <f>IF($L267&lt;&gt;"",IF(INDEX(SCDoc,$L267)="","—",INDEX(SCDoc,$L267)),IF($M267&lt;&gt;"",INDEX(LdgBankB,$M267),""))</f>
        <v/>
      </c>
      <c r="E267" s="19">
        <f>IF($L267&lt;&gt;"",IF(INDEX(SCCitrus,$L267)&amp;INDEX(SCNotes,$L267)="","",IF(INDEX(SCCitrus,$L267)="","",INDEX(SCCitrus,$L267))&amp;IF(INDEX(SCNotes,$L267)="",""," — "&amp;INDEX(SCNotes,$L267))),IF($M267&lt;&gt;"",IF(INDEX(LdgNoteB,$M267)="","—",INDEX(LdgNoteB,$M267)),""))</f>
        <v/>
      </c>
      <c r="F267" s="20">
        <f>IF($L267&lt;&gt;"",IF(INDEX(SCNet,$L267)=0,"",INDEX(SCNet,$L267)),"")</f>
        <v/>
      </c>
      <c r="G267" s="21">
        <f>IF($L267&lt;&gt;"",IF(INDEX(SCOp,$L267)="مرجوعی فروش","",IF(INDEX(SCAmount,$L267)&lt;=0,"",INDEX(SCAmount,$L267))),IF($M267&lt;&gt;"",IF(INDEX(LdgWitB,$M267)=0,"",INDEX(LdgWitB,$M267)),""))</f>
        <v/>
      </c>
      <c r="H267" s="21">
        <f>IF($L267&lt;&gt;"",IF(INDEX(SCOp,$L267)="مرجوعی فروش",IF(INDEX(SCAmount,$L267)=0,"",-INDEX(SCAmount,$L267)),""),IF($M267&lt;&gt;"",IF(INDEX(LdgDepB,$M267)=0,"",INDEX(LdgDepB,$M267)),""))</f>
        <v/>
      </c>
      <c r="I267" s="22">
        <f>IF($B267="","",IF($I266="",$C$10,$I266)+IF($G267="",0,$G267)-IF($H267="",0,$H267))</f>
        <v/>
      </c>
      <c r="L267">
        <f>IFERROR(MATCH($C$5&amp;"|"&amp;RIGHT("000000"&amp;251,6),LdgRankKeyA,0),"")</f>
        <v/>
      </c>
      <c r="M267">
        <f>IFERROR(MATCH($C$5&amp;"|"&amp;RIGHT("000000"&amp;251,6),LdgRankKeyB,0),"")</f>
        <v/>
      </c>
    </row>
    <row r="268">
      <c r="A268" s="23" t="n">
        <v>252</v>
      </c>
      <c r="B268" s="24">
        <f>IF(AND($L268="",$M268=""),"",IF($L268&lt;&gt;"",INDEX(SCNormDate,$L268),INDEX(LdgDateB,$M268)))</f>
        <v/>
      </c>
      <c r="C268" s="24">
        <f>IF($L268&lt;&gt;"",INDEX(SCOp,$L268),IF($M268&lt;&gt;"","پرداخت بانکی",""))</f>
        <v/>
      </c>
      <c r="D268" s="24">
        <f>IF($L268&lt;&gt;"",IF(INDEX(SCDoc,$L268)="","—",INDEX(SCDoc,$L268)),IF($M268&lt;&gt;"",INDEX(LdgBankB,$M268),""))</f>
        <v/>
      </c>
      <c r="E268" s="25">
        <f>IF($L268&lt;&gt;"",IF(INDEX(SCCitrus,$L268)&amp;INDEX(SCNotes,$L268)="","",IF(INDEX(SCCitrus,$L268)="","",INDEX(SCCitrus,$L268))&amp;IF(INDEX(SCNotes,$L268)="",""," — "&amp;INDEX(SCNotes,$L268))),IF($M268&lt;&gt;"",IF(INDEX(LdgNoteB,$M268)="","—",INDEX(LdgNoteB,$M268)),""))</f>
        <v/>
      </c>
      <c r="F268" s="26">
        <f>IF($L268&lt;&gt;"",IF(INDEX(SCNet,$L268)=0,"",INDEX(SCNet,$L268)),"")</f>
        <v/>
      </c>
      <c r="G268" s="27">
        <f>IF($L268&lt;&gt;"",IF(INDEX(SCOp,$L268)="مرجوعی فروش","",IF(INDEX(SCAmount,$L268)&lt;=0,"",INDEX(SCAmount,$L268))),IF($M268&lt;&gt;"",IF(INDEX(LdgWitB,$M268)=0,"",INDEX(LdgWitB,$M268)),""))</f>
        <v/>
      </c>
      <c r="H268" s="27">
        <f>IF($L268&lt;&gt;"",IF(INDEX(SCOp,$L268)="مرجوعی فروش",IF(INDEX(SCAmount,$L268)=0,"",-INDEX(SCAmount,$L268)),""),IF($M268&lt;&gt;"",IF(INDEX(LdgDepB,$M268)=0,"",INDEX(LdgDepB,$M268)),""))</f>
        <v/>
      </c>
      <c r="I268" s="28">
        <f>IF($B268="","",IF($I267="",$C$10,$I267)+IF($G268="",0,$G268)-IF($H268="",0,$H268))</f>
        <v/>
      </c>
      <c r="L268">
        <f>IFERROR(MATCH($C$5&amp;"|"&amp;RIGHT("000000"&amp;252,6),LdgRankKeyA,0),"")</f>
        <v/>
      </c>
      <c r="M268">
        <f>IFERROR(MATCH($C$5&amp;"|"&amp;RIGHT("000000"&amp;252,6),LdgRankKeyB,0),"")</f>
        <v/>
      </c>
    </row>
    <row r="269">
      <c r="A269" s="17" t="n">
        <v>253</v>
      </c>
      <c r="B269" s="18">
        <f>IF(AND($L269="",$M269=""),"",IF($L269&lt;&gt;"",INDEX(SCNormDate,$L269),INDEX(LdgDateB,$M269)))</f>
        <v/>
      </c>
      <c r="C269" s="18">
        <f>IF($L269&lt;&gt;"",INDEX(SCOp,$L269),IF($M269&lt;&gt;"","پرداخت بانکی",""))</f>
        <v/>
      </c>
      <c r="D269" s="18">
        <f>IF($L269&lt;&gt;"",IF(INDEX(SCDoc,$L269)="","—",INDEX(SCDoc,$L269)),IF($M269&lt;&gt;"",INDEX(LdgBankB,$M269),""))</f>
        <v/>
      </c>
      <c r="E269" s="19">
        <f>IF($L269&lt;&gt;"",IF(INDEX(SCCitrus,$L269)&amp;INDEX(SCNotes,$L269)="","",IF(INDEX(SCCitrus,$L269)="","",INDEX(SCCitrus,$L269))&amp;IF(INDEX(SCNotes,$L269)="",""," — "&amp;INDEX(SCNotes,$L269))),IF($M269&lt;&gt;"",IF(INDEX(LdgNoteB,$M269)="","—",INDEX(LdgNoteB,$M269)),""))</f>
        <v/>
      </c>
      <c r="F269" s="20">
        <f>IF($L269&lt;&gt;"",IF(INDEX(SCNet,$L269)=0,"",INDEX(SCNet,$L269)),"")</f>
        <v/>
      </c>
      <c r="G269" s="21">
        <f>IF($L269&lt;&gt;"",IF(INDEX(SCOp,$L269)="مرجوعی فروش","",IF(INDEX(SCAmount,$L269)&lt;=0,"",INDEX(SCAmount,$L269))),IF($M269&lt;&gt;"",IF(INDEX(LdgWitB,$M269)=0,"",INDEX(LdgWitB,$M269)),""))</f>
        <v/>
      </c>
      <c r="H269" s="21">
        <f>IF($L269&lt;&gt;"",IF(INDEX(SCOp,$L269)="مرجوعی فروش",IF(INDEX(SCAmount,$L269)=0,"",-INDEX(SCAmount,$L269)),""),IF($M269&lt;&gt;"",IF(INDEX(LdgDepB,$M269)=0,"",INDEX(LdgDepB,$M269)),""))</f>
        <v/>
      </c>
      <c r="I269" s="22">
        <f>IF($B269="","",IF($I268="",$C$10,$I268)+IF($G269="",0,$G269)-IF($H269="",0,$H269))</f>
        <v/>
      </c>
      <c r="L269">
        <f>IFERROR(MATCH($C$5&amp;"|"&amp;RIGHT("000000"&amp;253,6),LdgRankKeyA,0),"")</f>
        <v/>
      </c>
      <c r="M269">
        <f>IFERROR(MATCH($C$5&amp;"|"&amp;RIGHT("000000"&amp;253,6),LdgRankKeyB,0),"")</f>
        <v/>
      </c>
    </row>
    <row r="270">
      <c r="A270" s="23" t="n">
        <v>254</v>
      </c>
      <c r="B270" s="24">
        <f>IF(AND($L270="",$M270=""),"",IF($L270&lt;&gt;"",INDEX(SCNormDate,$L270),INDEX(LdgDateB,$M270)))</f>
        <v/>
      </c>
      <c r="C270" s="24">
        <f>IF($L270&lt;&gt;"",INDEX(SCOp,$L270),IF($M270&lt;&gt;"","پرداخت بانکی",""))</f>
        <v/>
      </c>
      <c r="D270" s="24">
        <f>IF($L270&lt;&gt;"",IF(INDEX(SCDoc,$L270)="","—",INDEX(SCDoc,$L270)),IF($M270&lt;&gt;"",INDEX(LdgBankB,$M270),""))</f>
        <v/>
      </c>
      <c r="E270" s="25">
        <f>IF($L270&lt;&gt;"",IF(INDEX(SCCitrus,$L270)&amp;INDEX(SCNotes,$L270)="","",IF(INDEX(SCCitrus,$L270)="","",INDEX(SCCitrus,$L270))&amp;IF(INDEX(SCNotes,$L270)="",""," — "&amp;INDEX(SCNotes,$L270))),IF($M270&lt;&gt;"",IF(INDEX(LdgNoteB,$M270)="","—",INDEX(LdgNoteB,$M270)),""))</f>
        <v/>
      </c>
      <c r="F270" s="26">
        <f>IF($L270&lt;&gt;"",IF(INDEX(SCNet,$L270)=0,"",INDEX(SCNet,$L270)),"")</f>
        <v/>
      </c>
      <c r="G270" s="27">
        <f>IF($L270&lt;&gt;"",IF(INDEX(SCOp,$L270)="مرجوعی فروش","",IF(INDEX(SCAmount,$L270)&lt;=0,"",INDEX(SCAmount,$L270))),IF($M270&lt;&gt;"",IF(INDEX(LdgWitB,$M270)=0,"",INDEX(LdgWitB,$M270)),""))</f>
        <v/>
      </c>
      <c r="H270" s="27">
        <f>IF($L270&lt;&gt;"",IF(INDEX(SCOp,$L270)="مرجوعی فروش",IF(INDEX(SCAmount,$L270)=0,"",-INDEX(SCAmount,$L270)),""),IF($M270&lt;&gt;"",IF(INDEX(LdgDepB,$M270)=0,"",INDEX(LdgDepB,$M270)),""))</f>
        <v/>
      </c>
      <c r="I270" s="28">
        <f>IF($B270="","",IF($I269="",$C$10,$I269)+IF($G270="",0,$G270)-IF($H270="",0,$H270))</f>
        <v/>
      </c>
      <c r="L270">
        <f>IFERROR(MATCH($C$5&amp;"|"&amp;RIGHT("000000"&amp;254,6),LdgRankKeyA,0),"")</f>
        <v/>
      </c>
      <c r="M270">
        <f>IFERROR(MATCH($C$5&amp;"|"&amp;RIGHT("000000"&amp;254,6),LdgRankKeyB,0),"")</f>
        <v/>
      </c>
    </row>
    <row r="271">
      <c r="A271" s="17" t="n">
        <v>255</v>
      </c>
      <c r="B271" s="18">
        <f>IF(AND($L271="",$M271=""),"",IF($L271&lt;&gt;"",INDEX(SCNormDate,$L271),INDEX(LdgDateB,$M271)))</f>
        <v/>
      </c>
      <c r="C271" s="18">
        <f>IF($L271&lt;&gt;"",INDEX(SCOp,$L271),IF($M271&lt;&gt;"","پرداخت بانکی",""))</f>
        <v/>
      </c>
      <c r="D271" s="18">
        <f>IF($L271&lt;&gt;"",IF(INDEX(SCDoc,$L271)="","—",INDEX(SCDoc,$L271)),IF($M271&lt;&gt;"",INDEX(LdgBankB,$M271),""))</f>
        <v/>
      </c>
      <c r="E271" s="19">
        <f>IF($L271&lt;&gt;"",IF(INDEX(SCCitrus,$L271)&amp;INDEX(SCNotes,$L271)="","",IF(INDEX(SCCitrus,$L271)="","",INDEX(SCCitrus,$L271))&amp;IF(INDEX(SCNotes,$L271)="",""," — "&amp;INDEX(SCNotes,$L271))),IF($M271&lt;&gt;"",IF(INDEX(LdgNoteB,$M271)="","—",INDEX(LdgNoteB,$M271)),""))</f>
        <v/>
      </c>
      <c r="F271" s="20">
        <f>IF($L271&lt;&gt;"",IF(INDEX(SCNet,$L271)=0,"",INDEX(SCNet,$L271)),"")</f>
        <v/>
      </c>
      <c r="G271" s="21">
        <f>IF($L271&lt;&gt;"",IF(INDEX(SCOp,$L271)="مرجوعی فروش","",IF(INDEX(SCAmount,$L271)&lt;=0,"",INDEX(SCAmount,$L271))),IF($M271&lt;&gt;"",IF(INDEX(LdgWitB,$M271)=0,"",INDEX(LdgWitB,$M271)),""))</f>
        <v/>
      </c>
      <c r="H271" s="21">
        <f>IF($L271&lt;&gt;"",IF(INDEX(SCOp,$L271)="مرجوعی فروش",IF(INDEX(SCAmount,$L271)=0,"",-INDEX(SCAmount,$L271)),""),IF($M271&lt;&gt;"",IF(INDEX(LdgDepB,$M271)=0,"",INDEX(LdgDepB,$M271)),""))</f>
        <v/>
      </c>
      <c r="I271" s="22">
        <f>IF($B271="","",IF($I270="",$C$10,$I270)+IF($G271="",0,$G271)-IF($H271="",0,$H271))</f>
        <v/>
      </c>
      <c r="L271">
        <f>IFERROR(MATCH($C$5&amp;"|"&amp;RIGHT("000000"&amp;255,6),LdgRankKeyA,0),"")</f>
        <v/>
      </c>
      <c r="M271">
        <f>IFERROR(MATCH($C$5&amp;"|"&amp;RIGHT("000000"&amp;255,6),LdgRankKeyB,0),"")</f>
        <v/>
      </c>
    </row>
    <row r="272">
      <c r="A272" s="23" t="n">
        <v>256</v>
      </c>
      <c r="B272" s="24">
        <f>IF(AND($L272="",$M272=""),"",IF($L272&lt;&gt;"",INDEX(SCNormDate,$L272),INDEX(LdgDateB,$M272)))</f>
        <v/>
      </c>
      <c r="C272" s="24">
        <f>IF($L272&lt;&gt;"",INDEX(SCOp,$L272),IF($M272&lt;&gt;"","پرداخت بانکی",""))</f>
        <v/>
      </c>
      <c r="D272" s="24">
        <f>IF($L272&lt;&gt;"",IF(INDEX(SCDoc,$L272)="","—",INDEX(SCDoc,$L272)),IF($M272&lt;&gt;"",INDEX(LdgBankB,$M272),""))</f>
        <v/>
      </c>
      <c r="E272" s="25">
        <f>IF($L272&lt;&gt;"",IF(INDEX(SCCitrus,$L272)&amp;INDEX(SCNotes,$L272)="","",IF(INDEX(SCCitrus,$L272)="","",INDEX(SCCitrus,$L272))&amp;IF(INDEX(SCNotes,$L272)="",""," — "&amp;INDEX(SCNotes,$L272))),IF($M272&lt;&gt;"",IF(INDEX(LdgNoteB,$M272)="","—",INDEX(LdgNoteB,$M272)),""))</f>
        <v/>
      </c>
      <c r="F272" s="26">
        <f>IF($L272&lt;&gt;"",IF(INDEX(SCNet,$L272)=0,"",INDEX(SCNet,$L272)),"")</f>
        <v/>
      </c>
      <c r="G272" s="27">
        <f>IF($L272&lt;&gt;"",IF(INDEX(SCOp,$L272)="مرجوعی فروش","",IF(INDEX(SCAmount,$L272)&lt;=0,"",INDEX(SCAmount,$L272))),IF($M272&lt;&gt;"",IF(INDEX(LdgWitB,$M272)=0,"",INDEX(LdgWitB,$M272)),""))</f>
        <v/>
      </c>
      <c r="H272" s="27">
        <f>IF($L272&lt;&gt;"",IF(INDEX(SCOp,$L272)="مرجوعی فروش",IF(INDEX(SCAmount,$L272)=0,"",-INDEX(SCAmount,$L272)),""),IF($M272&lt;&gt;"",IF(INDEX(LdgDepB,$M272)=0,"",INDEX(LdgDepB,$M272)),""))</f>
        <v/>
      </c>
      <c r="I272" s="28">
        <f>IF($B272="","",IF($I271="",$C$10,$I271)+IF($G272="",0,$G272)-IF($H272="",0,$H272))</f>
        <v/>
      </c>
      <c r="L272">
        <f>IFERROR(MATCH($C$5&amp;"|"&amp;RIGHT("000000"&amp;256,6),LdgRankKeyA,0),"")</f>
        <v/>
      </c>
      <c r="M272">
        <f>IFERROR(MATCH($C$5&amp;"|"&amp;RIGHT("000000"&amp;256,6),LdgRankKeyB,0),"")</f>
        <v/>
      </c>
    </row>
    <row r="273">
      <c r="A273" s="17" t="n">
        <v>257</v>
      </c>
      <c r="B273" s="18">
        <f>IF(AND($L273="",$M273=""),"",IF($L273&lt;&gt;"",INDEX(SCNormDate,$L273),INDEX(LdgDateB,$M273)))</f>
        <v/>
      </c>
      <c r="C273" s="18">
        <f>IF($L273&lt;&gt;"",INDEX(SCOp,$L273),IF($M273&lt;&gt;"","پرداخت بانکی",""))</f>
        <v/>
      </c>
      <c r="D273" s="18">
        <f>IF($L273&lt;&gt;"",IF(INDEX(SCDoc,$L273)="","—",INDEX(SCDoc,$L273)),IF($M273&lt;&gt;"",INDEX(LdgBankB,$M273),""))</f>
        <v/>
      </c>
      <c r="E273" s="19">
        <f>IF($L273&lt;&gt;"",IF(INDEX(SCCitrus,$L273)&amp;INDEX(SCNotes,$L273)="","",IF(INDEX(SCCitrus,$L273)="","",INDEX(SCCitrus,$L273))&amp;IF(INDEX(SCNotes,$L273)="",""," — "&amp;INDEX(SCNotes,$L273))),IF($M273&lt;&gt;"",IF(INDEX(LdgNoteB,$M273)="","—",INDEX(LdgNoteB,$M273)),""))</f>
        <v/>
      </c>
      <c r="F273" s="20">
        <f>IF($L273&lt;&gt;"",IF(INDEX(SCNet,$L273)=0,"",INDEX(SCNet,$L273)),"")</f>
        <v/>
      </c>
      <c r="G273" s="21">
        <f>IF($L273&lt;&gt;"",IF(INDEX(SCOp,$L273)="مرجوعی فروش","",IF(INDEX(SCAmount,$L273)&lt;=0,"",INDEX(SCAmount,$L273))),IF($M273&lt;&gt;"",IF(INDEX(LdgWitB,$M273)=0,"",INDEX(LdgWitB,$M273)),""))</f>
        <v/>
      </c>
      <c r="H273" s="21">
        <f>IF($L273&lt;&gt;"",IF(INDEX(SCOp,$L273)="مرجوعی فروش",IF(INDEX(SCAmount,$L273)=0,"",-INDEX(SCAmount,$L273)),""),IF($M273&lt;&gt;"",IF(INDEX(LdgDepB,$M273)=0,"",INDEX(LdgDepB,$M273)),""))</f>
        <v/>
      </c>
      <c r="I273" s="22">
        <f>IF($B273="","",IF($I272="",$C$10,$I272)+IF($G273="",0,$G273)-IF($H273="",0,$H273))</f>
        <v/>
      </c>
      <c r="L273">
        <f>IFERROR(MATCH($C$5&amp;"|"&amp;RIGHT("000000"&amp;257,6),LdgRankKeyA,0),"")</f>
        <v/>
      </c>
      <c r="M273">
        <f>IFERROR(MATCH($C$5&amp;"|"&amp;RIGHT("000000"&amp;257,6),LdgRankKeyB,0),"")</f>
        <v/>
      </c>
    </row>
    <row r="274">
      <c r="A274" s="23" t="n">
        <v>258</v>
      </c>
      <c r="B274" s="24">
        <f>IF(AND($L274="",$M274=""),"",IF($L274&lt;&gt;"",INDEX(SCNormDate,$L274),INDEX(LdgDateB,$M274)))</f>
        <v/>
      </c>
      <c r="C274" s="24">
        <f>IF($L274&lt;&gt;"",INDEX(SCOp,$L274),IF($M274&lt;&gt;"","پرداخت بانکی",""))</f>
        <v/>
      </c>
      <c r="D274" s="24">
        <f>IF($L274&lt;&gt;"",IF(INDEX(SCDoc,$L274)="","—",INDEX(SCDoc,$L274)),IF($M274&lt;&gt;"",INDEX(LdgBankB,$M274),""))</f>
        <v/>
      </c>
      <c r="E274" s="25">
        <f>IF($L274&lt;&gt;"",IF(INDEX(SCCitrus,$L274)&amp;INDEX(SCNotes,$L274)="","",IF(INDEX(SCCitrus,$L274)="","",INDEX(SCCitrus,$L274))&amp;IF(INDEX(SCNotes,$L274)="",""," — "&amp;INDEX(SCNotes,$L274))),IF($M274&lt;&gt;"",IF(INDEX(LdgNoteB,$M274)="","—",INDEX(LdgNoteB,$M274)),""))</f>
        <v/>
      </c>
      <c r="F274" s="26">
        <f>IF($L274&lt;&gt;"",IF(INDEX(SCNet,$L274)=0,"",INDEX(SCNet,$L274)),"")</f>
        <v/>
      </c>
      <c r="G274" s="27">
        <f>IF($L274&lt;&gt;"",IF(INDEX(SCOp,$L274)="مرجوعی فروش","",IF(INDEX(SCAmount,$L274)&lt;=0,"",INDEX(SCAmount,$L274))),IF($M274&lt;&gt;"",IF(INDEX(LdgWitB,$M274)=0,"",INDEX(LdgWitB,$M274)),""))</f>
        <v/>
      </c>
      <c r="H274" s="27">
        <f>IF($L274&lt;&gt;"",IF(INDEX(SCOp,$L274)="مرجوعی فروش",IF(INDEX(SCAmount,$L274)=0,"",-INDEX(SCAmount,$L274)),""),IF($M274&lt;&gt;"",IF(INDEX(LdgDepB,$M274)=0,"",INDEX(LdgDepB,$M274)),""))</f>
        <v/>
      </c>
      <c r="I274" s="28">
        <f>IF($B274="","",IF($I273="",$C$10,$I273)+IF($G274="",0,$G274)-IF($H274="",0,$H274))</f>
        <v/>
      </c>
      <c r="L274">
        <f>IFERROR(MATCH($C$5&amp;"|"&amp;RIGHT("000000"&amp;258,6),LdgRankKeyA,0),"")</f>
        <v/>
      </c>
      <c r="M274">
        <f>IFERROR(MATCH($C$5&amp;"|"&amp;RIGHT("000000"&amp;258,6),LdgRankKeyB,0),"")</f>
        <v/>
      </c>
    </row>
    <row r="275">
      <c r="A275" s="17" t="n">
        <v>259</v>
      </c>
      <c r="B275" s="18">
        <f>IF(AND($L275="",$M275=""),"",IF($L275&lt;&gt;"",INDEX(SCNormDate,$L275),INDEX(LdgDateB,$M275)))</f>
        <v/>
      </c>
      <c r="C275" s="18">
        <f>IF($L275&lt;&gt;"",INDEX(SCOp,$L275),IF($M275&lt;&gt;"","پرداخت بانکی",""))</f>
        <v/>
      </c>
      <c r="D275" s="18">
        <f>IF($L275&lt;&gt;"",IF(INDEX(SCDoc,$L275)="","—",INDEX(SCDoc,$L275)),IF($M275&lt;&gt;"",INDEX(LdgBankB,$M275),""))</f>
        <v/>
      </c>
      <c r="E275" s="19">
        <f>IF($L275&lt;&gt;"",IF(INDEX(SCCitrus,$L275)&amp;INDEX(SCNotes,$L275)="","",IF(INDEX(SCCitrus,$L275)="","",INDEX(SCCitrus,$L275))&amp;IF(INDEX(SCNotes,$L275)="",""," — "&amp;INDEX(SCNotes,$L275))),IF($M275&lt;&gt;"",IF(INDEX(LdgNoteB,$M275)="","—",INDEX(LdgNoteB,$M275)),""))</f>
        <v/>
      </c>
      <c r="F275" s="20">
        <f>IF($L275&lt;&gt;"",IF(INDEX(SCNet,$L275)=0,"",INDEX(SCNet,$L275)),"")</f>
        <v/>
      </c>
      <c r="G275" s="21">
        <f>IF($L275&lt;&gt;"",IF(INDEX(SCOp,$L275)="مرجوعی فروش","",IF(INDEX(SCAmount,$L275)&lt;=0,"",INDEX(SCAmount,$L275))),IF($M275&lt;&gt;"",IF(INDEX(LdgWitB,$M275)=0,"",INDEX(LdgWitB,$M275)),""))</f>
        <v/>
      </c>
      <c r="H275" s="21">
        <f>IF($L275&lt;&gt;"",IF(INDEX(SCOp,$L275)="مرجوعی فروش",IF(INDEX(SCAmount,$L275)=0,"",-INDEX(SCAmount,$L275)),""),IF($M275&lt;&gt;"",IF(INDEX(LdgDepB,$M275)=0,"",INDEX(LdgDepB,$M275)),""))</f>
        <v/>
      </c>
      <c r="I275" s="22">
        <f>IF($B275="","",IF($I274="",$C$10,$I274)+IF($G275="",0,$G275)-IF($H275="",0,$H275))</f>
        <v/>
      </c>
      <c r="L275">
        <f>IFERROR(MATCH($C$5&amp;"|"&amp;RIGHT("000000"&amp;259,6),LdgRankKeyA,0),"")</f>
        <v/>
      </c>
      <c r="M275">
        <f>IFERROR(MATCH($C$5&amp;"|"&amp;RIGHT("000000"&amp;259,6),LdgRankKeyB,0),"")</f>
        <v/>
      </c>
    </row>
    <row r="276">
      <c r="A276" s="23" t="n">
        <v>260</v>
      </c>
      <c r="B276" s="24">
        <f>IF(AND($L276="",$M276=""),"",IF($L276&lt;&gt;"",INDEX(SCNormDate,$L276),INDEX(LdgDateB,$M276)))</f>
        <v/>
      </c>
      <c r="C276" s="24">
        <f>IF($L276&lt;&gt;"",INDEX(SCOp,$L276),IF($M276&lt;&gt;"","پرداخت بانکی",""))</f>
        <v/>
      </c>
      <c r="D276" s="24">
        <f>IF($L276&lt;&gt;"",IF(INDEX(SCDoc,$L276)="","—",INDEX(SCDoc,$L276)),IF($M276&lt;&gt;"",INDEX(LdgBankB,$M276),""))</f>
        <v/>
      </c>
      <c r="E276" s="25">
        <f>IF($L276&lt;&gt;"",IF(INDEX(SCCitrus,$L276)&amp;INDEX(SCNotes,$L276)="","",IF(INDEX(SCCitrus,$L276)="","",INDEX(SCCitrus,$L276))&amp;IF(INDEX(SCNotes,$L276)="",""," — "&amp;INDEX(SCNotes,$L276))),IF($M276&lt;&gt;"",IF(INDEX(LdgNoteB,$M276)="","—",INDEX(LdgNoteB,$M276)),""))</f>
        <v/>
      </c>
      <c r="F276" s="26">
        <f>IF($L276&lt;&gt;"",IF(INDEX(SCNet,$L276)=0,"",INDEX(SCNet,$L276)),"")</f>
        <v/>
      </c>
      <c r="G276" s="27">
        <f>IF($L276&lt;&gt;"",IF(INDEX(SCOp,$L276)="مرجوعی فروش","",IF(INDEX(SCAmount,$L276)&lt;=0,"",INDEX(SCAmount,$L276))),IF($M276&lt;&gt;"",IF(INDEX(LdgWitB,$M276)=0,"",INDEX(LdgWitB,$M276)),""))</f>
        <v/>
      </c>
      <c r="H276" s="27">
        <f>IF($L276&lt;&gt;"",IF(INDEX(SCOp,$L276)="مرجوعی فروش",IF(INDEX(SCAmount,$L276)=0,"",-INDEX(SCAmount,$L276)),""),IF($M276&lt;&gt;"",IF(INDEX(LdgDepB,$M276)=0,"",INDEX(LdgDepB,$M276)),""))</f>
        <v/>
      </c>
      <c r="I276" s="28">
        <f>IF($B276="","",IF($I275="",$C$10,$I275)+IF($G276="",0,$G276)-IF($H276="",0,$H276))</f>
        <v/>
      </c>
      <c r="L276">
        <f>IFERROR(MATCH($C$5&amp;"|"&amp;RIGHT("000000"&amp;260,6),LdgRankKeyA,0),"")</f>
        <v/>
      </c>
      <c r="M276">
        <f>IFERROR(MATCH($C$5&amp;"|"&amp;RIGHT("000000"&amp;260,6),LdgRankKeyB,0),"")</f>
        <v/>
      </c>
    </row>
    <row r="277">
      <c r="A277" s="17" t="n">
        <v>261</v>
      </c>
      <c r="B277" s="18">
        <f>IF(AND($L277="",$M277=""),"",IF($L277&lt;&gt;"",INDEX(SCNormDate,$L277),INDEX(LdgDateB,$M277)))</f>
        <v/>
      </c>
      <c r="C277" s="18">
        <f>IF($L277&lt;&gt;"",INDEX(SCOp,$L277),IF($M277&lt;&gt;"","پرداخت بانکی",""))</f>
        <v/>
      </c>
      <c r="D277" s="18">
        <f>IF($L277&lt;&gt;"",IF(INDEX(SCDoc,$L277)="","—",INDEX(SCDoc,$L277)),IF($M277&lt;&gt;"",INDEX(LdgBankB,$M277),""))</f>
        <v/>
      </c>
      <c r="E277" s="19">
        <f>IF($L277&lt;&gt;"",IF(INDEX(SCCitrus,$L277)&amp;INDEX(SCNotes,$L277)="","",IF(INDEX(SCCitrus,$L277)="","",INDEX(SCCitrus,$L277))&amp;IF(INDEX(SCNotes,$L277)="",""," — "&amp;INDEX(SCNotes,$L277))),IF($M277&lt;&gt;"",IF(INDEX(LdgNoteB,$M277)="","—",INDEX(LdgNoteB,$M277)),""))</f>
        <v/>
      </c>
      <c r="F277" s="20">
        <f>IF($L277&lt;&gt;"",IF(INDEX(SCNet,$L277)=0,"",INDEX(SCNet,$L277)),"")</f>
        <v/>
      </c>
      <c r="G277" s="21">
        <f>IF($L277&lt;&gt;"",IF(INDEX(SCOp,$L277)="مرجوعی فروش","",IF(INDEX(SCAmount,$L277)&lt;=0,"",INDEX(SCAmount,$L277))),IF($M277&lt;&gt;"",IF(INDEX(LdgWitB,$M277)=0,"",INDEX(LdgWitB,$M277)),""))</f>
        <v/>
      </c>
      <c r="H277" s="21">
        <f>IF($L277&lt;&gt;"",IF(INDEX(SCOp,$L277)="مرجوعی فروش",IF(INDEX(SCAmount,$L277)=0,"",-INDEX(SCAmount,$L277)),""),IF($M277&lt;&gt;"",IF(INDEX(LdgDepB,$M277)=0,"",INDEX(LdgDepB,$M277)),""))</f>
        <v/>
      </c>
      <c r="I277" s="22">
        <f>IF($B277="","",IF($I276="",$C$10,$I276)+IF($G277="",0,$G277)-IF($H277="",0,$H277))</f>
        <v/>
      </c>
      <c r="L277">
        <f>IFERROR(MATCH($C$5&amp;"|"&amp;RIGHT("000000"&amp;261,6),LdgRankKeyA,0),"")</f>
        <v/>
      </c>
      <c r="M277">
        <f>IFERROR(MATCH($C$5&amp;"|"&amp;RIGHT("000000"&amp;261,6),LdgRankKeyB,0),"")</f>
        <v/>
      </c>
    </row>
    <row r="278">
      <c r="A278" s="23" t="n">
        <v>262</v>
      </c>
      <c r="B278" s="24">
        <f>IF(AND($L278="",$M278=""),"",IF($L278&lt;&gt;"",INDEX(SCNormDate,$L278),INDEX(LdgDateB,$M278)))</f>
        <v/>
      </c>
      <c r="C278" s="24">
        <f>IF($L278&lt;&gt;"",INDEX(SCOp,$L278),IF($M278&lt;&gt;"","پرداخت بانکی",""))</f>
        <v/>
      </c>
      <c r="D278" s="24">
        <f>IF($L278&lt;&gt;"",IF(INDEX(SCDoc,$L278)="","—",INDEX(SCDoc,$L278)),IF($M278&lt;&gt;"",INDEX(LdgBankB,$M278),""))</f>
        <v/>
      </c>
      <c r="E278" s="25">
        <f>IF($L278&lt;&gt;"",IF(INDEX(SCCitrus,$L278)&amp;INDEX(SCNotes,$L278)="","",IF(INDEX(SCCitrus,$L278)="","",INDEX(SCCitrus,$L278))&amp;IF(INDEX(SCNotes,$L278)="",""," — "&amp;INDEX(SCNotes,$L278))),IF($M278&lt;&gt;"",IF(INDEX(LdgNoteB,$M278)="","—",INDEX(LdgNoteB,$M278)),""))</f>
        <v/>
      </c>
      <c r="F278" s="26">
        <f>IF($L278&lt;&gt;"",IF(INDEX(SCNet,$L278)=0,"",INDEX(SCNet,$L278)),"")</f>
        <v/>
      </c>
      <c r="G278" s="27">
        <f>IF($L278&lt;&gt;"",IF(INDEX(SCOp,$L278)="مرجوعی فروش","",IF(INDEX(SCAmount,$L278)&lt;=0,"",INDEX(SCAmount,$L278))),IF($M278&lt;&gt;"",IF(INDEX(LdgWitB,$M278)=0,"",INDEX(LdgWitB,$M278)),""))</f>
        <v/>
      </c>
      <c r="H278" s="27">
        <f>IF($L278&lt;&gt;"",IF(INDEX(SCOp,$L278)="مرجوعی فروش",IF(INDEX(SCAmount,$L278)=0,"",-INDEX(SCAmount,$L278)),""),IF($M278&lt;&gt;"",IF(INDEX(LdgDepB,$M278)=0,"",INDEX(LdgDepB,$M278)),""))</f>
        <v/>
      </c>
      <c r="I278" s="28">
        <f>IF($B278="","",IF($I277="",$C$10,$I277)+IF($G278="",0,$G278)-IF($H278="",0,$H278))</f>
        <v/>
      </c>
      <c r="L278">
        <f>IFERROR(MATCH($C$5&amp;"|"&amp;RIGHT("000000"&amp;262,6),LdgRankKeyA,0),"")</f>
        <v/>
      </c>
      <c r="M278">
        <f>IFERROR(MATCH($C$5&amp;"|"&amp;RIGHT("000000"&amp;262,6),LdgRankKeyB,0),"")</f>
        <v/>
      </c>
    </row>
    <row r="279">
      <c r="A279" s="17" t="n">
        <v>263</v>
      </c>
      <c r="B279" s="18">
        <f>IF(AND($L279="",$M279=""),"",IF($L279&lt;&gt;"",INDEX(SCNormDate,$L279),INDEX(LdgDateB,$M279)))</f>
        <v/>
      </c>
      <c r="C279" s="18">
        <f>IF($L279&lt;&gt;"",INDEX(SCOp,$L279),IF($M279&lt;&gt;"","پرداخت بانکی",""))</f>
        <v/>
      </c>
      <c r="D279" s="18">
        <f>IF($L279&lt;&gt;"",IF(INDEX(SCDoc,$L279)="","—",INDEX(SCDoc,$L279)),IF($M279&lt;&gt;"",INDEX(LdgBankB,$M279),""))</f>
        <v/>
      </c>
      <c r="E279" s="19">
        <f>IF($L279&lt;&gt;"",IF(INDEX(SCCitrus,$L279)&amp;INDEX(SCNotes,$L279)="","",IF(INDEX(SCCitrus,$L279)="","",INDEX(SCCitrus,$L279))&amp;IF(INDEX(SCNotes,$L279)="",""," — "&amp;INDEX(SCNotes,$L279))),IF($M279&lt;&gt;"",IF(INDEX(LdgNoteB,$M279)="","—",INDEX(LdgNoteB,$M279)),""))</f>
        <v/>
      </c>
      <c r="F279" s="20">
        <f>IF($L279&lt;&gt;"",IF(INDEX(SCNet,$L279)=0,"",INDEX(SCNet,$L279)),"")</f>
        <v/>
      </c>
      <c r="G279" s="21">
        <f>IF($L279&lt;&gt;"",IF(INDEX(SCOp,$L279)="مرجوعی فروش","",IF(INDEX(SCAmount,$L279)&lt;=0,"",INDEX(SCAmount,$L279))),IF($M279&lt;&gt;"",IF(INDEX(LdgWitB,$M279)=0,"",INDEX(LdgWitB,$M279)),""))</f>
        <v/>
      </c>
      <c r="H279" s="21">
        <f>IF($L279&lt;&gt;"",IF(INDEX(SCOp,$L279)="مرجوعی فروش",IF(INDEX(SCAmount,$L279)=0,"",-INDEX(SCAmount,$L279)),""),IF($M279&lt;&gt;"",IF(INDEX(LdgDepB,$M279)=0,"",INDEX(LdgDepB,$M279)),""))</f>
        <v/>
      </c>
      <c r="I279" s="22">
        <f>IF($B279="","",IF($I278="",$C$10,$I278)+IF($G279="",0,$G279)-IF($H279="",0,$H279))</f>
        <v/>
      </c>
      <c r="L279">
        <f>IFERROR(MATCH($C$5&amp;"|"&amp;RIGHT("000000"&amp;263,6),LdgRankKeyA,0),"")</f>
        <v/>
      </c>
      <c r="M279">
        <f>IFERROR(MATCH($C$5&amp;"|"&amp;RIGHT("000000"&amp;263,6),LdgRankKeyB,0),"")</f>
        <v/>
      </c>
    </row>
    <row r="280">
      <c r="A280" s="23" t="n">
        <v>264</v>
      </c>
      <c r="B280" s="24">
        <f>IF(AND($L280="",$M280=""),"",IF($L280&lt;&gt;"",INDEX(SCNormDate,$L280),INDEX(LdgDateB,$M280)))</f>
        <v/>
      </c>
      <c r="C280" s="24">
        <f>IF($L280&lt;&gt;"",INDEX(SCOp,$L280),IF($M280&lt;&gt;"","پرداخت بانکی",""))</f>
        <v/>
      </c>
      <c r="D280" s="24">
        <f>IF($L280&lt;&gt;"",IF(INDEX(SCDoc,$L280)="","—",INDEX(SCDoc,$L280)),IF($M280&lt;&gt;"",INDEX(LdgBankB,$M280),""))</f>
        <v/>
      </c>
      <c r="E280" s="25">
        <f>IF($L280&lt;&gt;"",IF(INDEX(SCCitrus,$L280)&amp;INDEX(SCNotes,$L280)="","",IF(INDEX(SCCitrus,$L280)="","",INDEX(SCCitrus,$L280))&amp;IF(INDEX(SCNotes,$L280)="",""," — "&amp;INDEX(SCNotes,$L280))),IF($M280&lt;&gt;"",IF(INDEX(LdgNoteB,$M280)="","—",INDEX(LdgNoteB,$M280)),""))</f>
        <v/>
      </c>
      <c r="F280" s="26">
        <f>IF($L280&lt;&gt;"",IF(INDEX(SCNet,$L280)=0,"",INDEX(SCNet,$L280)),"")</f>
        <v/>
      </c>
      <c r="G280" s="27">
        <f>IF($L280&lt;&gt;"",IF(INDEX(SCOp,$L280)="مرجوعی فروش","",IF(INDEX(SCAmount,$L280)&lt;=0,"",INDEX(SCAmount,$L280))),IF($M280&lt;&gt;"",IF(INDEX(LdgWitB,$M280)=0,"",INDEX(LdgWitB,$M280)),""))</f>
        <v/>
      </c>
      <c r="H280" s="27">
        <f>IF($L280&lt;&gt;"",IF(INDEX(SCOp,$L280)="مرجوعی فروش",IF(INDEX(SCAmount,$L280)=0,"",-INDEX(SCAmount,$L280)),""),IF($M280&lt;&gt;"",IF(INDEX(LdgDepB,$M280)=0,"",INDEX(LdgDepB,$M280)),""))</f>
        <v/>
      </c>
      <c r="I280" s="28">
        <f>IF($B280="","",IF($I279="",$C$10,$I279)+IF($G280="",0,$G280)-IF($H280="",0,$H280))</f>
        <v/>
      </c>
      <c r="L280">
        <f>IFERROR(MATCH($C$5&amp;"|"&amp;RIGHT("000000"&amp;264,6),LdgRankKeyA,0),"")</f>
        <v/>
      </c>
      <c r="M280">
        <f>IFERROR(MATCH($C$5&amp;"|"&amp;RIGHT("000000"&amp;264,6),LdgRankKeyB,0),"")</f>
        <v/>
      </c>
    </row>
    <row r="281">
      <c r="A281" s="17" t="n">
        <v>265</v>
      </c>
      <c r="B281" s="18">
        <f>IF(AND($L281="",$M281=""),"",IF($L281&lt;&gt;"",INDEX(SCNormDate,$L281),INDEX(LdgDateB,$M281)))</f>
        <v/>
      </c>
      <c r="C281" s="18">
        <f>IF($L281&lt;&gt;"",INDEX(SCOp,$L281),IF($M281&lt;&gt;"","پرداخت بانکی",""))</f>
        <v/>
      </c>
      <c r="D281" s="18">
        <f>IF($L281&lt;&gt;"",IF(INDEX(SCDoc,$L281)="","—",INDEX(SCDoc,$L281)),IF($M281&lt;&gt;"",INDEX(LdgBankB,$M281),""))</f>
        <v/>
      </c>
      <c r="E281" s="19">
        <f>IF($L281&lt;&gt;"",IF(INDEX(SCCitrus,$L281)&amp;INDEX(SCNotes,$L281)="","",IF(INDEX(SCCitrus,$L281)="","",INDEX(SCCitrus,$L281))&amp;IF(INDEX(SCNotes,$L281)="",""," — "&amp;INDEX(SCNotes,$L281))),IF($M281&lt;&gt;"",IF(INDEX(LdgNoteB,$M281)="","—",INDEX(LdgNoteB,$M281)),""))</f>
        <v/>
      </c>
      <c r="F281" s="20">
        <f>IF($L281&lt;&gt;"",IF(INDEX(SCNet,$L281)=0,"",INDEX(SCNet,$L281)),"")</f>
        <v/>
      </c>
      <c r="G281" s="21">
        <f>IF($L281&lt;&gt;"",IF(INDEX(SCOp,$L281)="مرجوعی فروش","",IF(INDEX(SCAmount,$L281)&lt;=0,"",INDEX(SCAmount,$L281))),IF($M281&lt;&gt;"",IF(INDEX(LdgWitB,$M281)=0,"",INDEX(LdgWitB,$M281)),""))</f>
        <v/>
      </c>
      <c r="H281" s="21">
        <f>IF($L281&lt;&gt;"",IF(INDEX(SCOp,$L281)="مرجوعی فروش",IF(INDEX(SCAmount,$L281)=0,"",-INDEX(SCAmount,$L281)),""),IF($M281&lt;&gt;"",IF(INDEX(LdgDepB,$M281)=0,"",INDEX(LdgDepB,$M281)),""))</f>
        <v/>
      </c>
      <c r="I281" s="22">
        <f>IF($B281="","",IF($I280="",$C$10,$I280)+IF($G281="",0,$G281)-IF($H281="",0,$H281))</f>
        <v/>
      </c>
      <c r="L281">
        <f>IFERROR(MATCH($C$5&amp;"|"&amp;RIGHT("000000"&amp;265,6),LdgRankKeyA,0),"")</f>
        <v/>
      </c>
      <c r="M281">
        <f>IFERROR(MATCH($C$5&amp;"|"&amp;RIGHT("000000"&amp;265,6),LdgRankKeyB,0),"")</f>
        <v/>
      </c>
    </row>
    <row r="282">
      <c r="A282" s="23" t="n">
        <v>266</v>
      </c>
      <c r="B282" s="24">
        <f>IF(AND($L282="",$M282=""),"",IF($L282&lt;&gt;"",INDEX(SCNormDate,$L282),INDEX(LdgDateB,$M282)))</f>
        <v/>
      </c>
      <c r="C282" s="24">
        <f>IF($L282&lt;&gt;"",INDEX(SCOp,$L282),IF($M282&lt;&gt;"","پرداخت بانکی",""))</f>
        <v/>
      </c>
      <c r="D282" s="24">
        <f>IF($L282&lt;&gt;"",IF(INDEX(SCDoc,$L282)="","—",INDEX(SCDoc,$L282)),IF($M282&lt;&gt;"",INDEX(LdgBankB,$M282),""))</f>
        <v/>
      </c>
      <c r="E282" s="25">
        <f>IF($L282&lt;&gt;"",IF(INDEX(SCCitrus,$L282)&amp;INDEX(SCNotes,$L282)="","",IF(INDEX(SCCitrus,$L282)="","",INDEX(SCCitrus,$L282))&amp;IF(INDEX(SCNotes,$L282)="",""," — "&amp;INDEX(SCNotes,$L282))),IF($M282&lt;&gt;"",IF(INDEX(LdgNoteB,$M282)="","—",INDEX(LdgNoteB,$M282)),""))</f>
        <v/>
      </c>
      <c r="F282" s="26">
        <f>IF($L282&lt;&gt;"",IF(INDEX(SCNet,$L282)=0,"",INDEX(SCNet,$L282)),"")</f>
        <v/>
      </c>
      <c r="G282" s="27">
        <f>IF($L282&lt;&gt;"",IF(INDEX(SCOp,$L282)="مرجوعی فروش","",IF(INDEX(SCAmount,$L282)&lt;=0,"",INDEX(SCAmount,$L282))),IF($M282&lt;&gt;"",IF(INDEX(LdgWitB,$M282)=0,"",INDEX(LdgWitB,$M282)),""))</f>
        <v/>
      </c>
      <c r="H282" s="27">
        <f>IF($L282&lt;&gt;"",IF(INDEX(SCOp,$L282)="مرجوعی فروش",IF(INDEX(SCAmount,$L282)=0,"",-INDEX(SCAmount,$L282)),""),IF($M282&lt;&gt;"",IF(INDEX(LdgDepB,$M282)=0,"",INDEX(LdgDepB,$M282)),""))</f>
        <v/>
      </c>
      <c r="I282" s="28">
        <f>IF($B282="","",IF($I281="",$C$10,$I281)+IF($G282="",0,$G282)-IF($H282="",0,$H282))</f>
        <v/>
      </c>
      <c r="L282">
        <f>IFERROR(MATCH($C$5&amp;"|"&amp;RIGHT("000000"&amp;266,6),LdgRankKeyA,0),"")</f>
        <v/>
      </c>
      <c r="M282">
        <f>IFERROR(MATCH($C$5&amp;"|"&amp;RIGHT("000000"&amp;266,6),LdgRankKeyB,0),"")</f>
        <v/>
      </c>
    </row>
    <row r="283">
      <c r="A283" s="17" t="n">
        <v>267</v>
      </c>
      <c r="B283" s="18">
        <f>IF(AND($L283="",$M283=""),"",IF($L283&lt;&gt;"",INDEX(SCNormDate,$L283),INDEX(LdgDateB,$M283)))</f>
        <v/>
      </c>
      <c r="C283" s="18">
        <f>IF($L283&lt;&gt;"",INDEX(SCOp,$L283),IF($M283&lt;&gt;"","پرداخت بانکی",""))</f>
        <v/>
      </c>
      <c r="D283" s="18">
        <f>IF($L283&lt;&gt;"",IF(INDEX(SCDoc,$L283)="","—",INDEX(SCDoc,$L283)),IF($M283&lt;&gt;"",INDEX(LdgBankB,$M283),""))</f>
        <v/>
      </c>
      <c r="E283" s="19">
        <f>IF($L283&lt;&gt;"",IF(INDEX(SCCitrus,$L283)&amp;INDEX(SCNotes,$L283)="","",IF(INDEX(SCCitrus,$L283)="","",INDEX(SCCitrus,$L283))&amp;IF(INDEX(SCNotes,$L283)="",""," — "&amp;INDEX(SCNotes,$L283))),IF($M283&lt;&gt;"",IF(INDEX(LdgNoteB,$M283)="","—",INDEX(LdgNoteB,$M283)),""))</f>
        <v/>
      </c>
      <c r="F283" s="20">
        <f>IF($L283&lt;&gt;"",IF(INDEX(SCNet,$L283)=0,"",INDEX(SCNet,$L283)),"")</f>
        <v/>
      </c>
      <c r="G283" s="21">
        <f>IF($L283&lt;&gt;"",IF(INDEX(SCOp,$L283)="مرجوعی فروش","",IF(INDEX(SCAmount,$L283)&lt;=0,"",INDEX(SCAmount,$L283))),IF($M283&lt;&gt;"",IF(INDEX(LdgWitB,$M283)=0,"",INDEX(LdgWitB,$M283)),""))</f>
        <v/>
      </c>
      <c r="H283" s="21">
        <f>IF($L283&lt;&gt;"",IF(INDEX(SCOp,$L283)="مرجوعی فروش",IF(INDEX(SCAmount,$L283)=0,"",-INDEX(SCAmount,$L283)),""),IF($M283&lt;&gt;"",IF(INDEX(LdgDepB,$M283)=0,"",INDEX(LdgDepB,$M283)),""))</f>
        <v/>
      </c>
      <c r="I283" s="22">
        <f>IF($B283="","",IF($I282="",$C$10,$I282)+IF($G283="",0,$G283)-IF($H283="",0,$H283))</f>
        <v/>
      </c>
      <c r="L283">
        <f>IFERROR(MATCH($C$5&amp;"|"&amp;RIGHT("000000"&amp;267,6),LdgRankKeyA,0),"")</f>
        <v/>
      </c>
      <c r="M283">
        <f>IFERROR(MATCH($C$5&amp;"|"&amp;RIGHT("000000"&amp;267,6),LdgRankKeyB,0),"")</f>
        <v/>
      </c>
    </row>
    <row r="284">
      <c r="A284" s="23" t="n">
        <v>268</v>
      </c>
      <c r="B284" s="24">
        <f>IF(AND($L284="",$M284=""),"",IF($L284&lt;&gt;"",INDEX(SCNormDate,$L284),INDEX(LdgDateB,$M284)))</f>
        <v/>
      </c>
      <c r="C284" s="24">
        <f>IF($L284&lt;&gt;"",INDEX(SCOp,$L284),IF($M284&lt;&gt;"","پرداخت بانکی",""))</f>
        <v/>
      </c>
      <c r="D284" s="24">
        <f>IF($L284&lt;&gt;"",IF(INDEX(SCDoc,$L284)="","—",INDEX(SCDoc,$L284)),IF($M284&lt;&gt;"",INDEX(LdgBankB,$M284),""))</f>
        <v/>
      </c>
      <c r="E284" s="25">
        <f>IF($L284&lt;&gt;"",IF(INDEX(SCCitrus,$L284)&amp;INDEX(SCNotes,$L284)="","",IF(INDEX(SCCitrus,$L284)="","",INDEX(SCCitrus,$L284))&amp;IF(INDEX(SCNotes,$L284)="",""," — "&amp;INDEX(SCNotes,$L284))),IF($M284&lt;&gt;"",IF(INDEX(LdgNoteB,$M284)="","—",INDEX(LdgNoteB,$M284)),""))</f>
        <v/>
      </c>
      <c r="F284" s="26">
        <f>IF($L284&lt;&gt;"",IF(INDEX(SCNet,$L284)=0,"",INDEX(SCNet,$L284)),"")</f>
        <v/>
      </c>
      <c r="G284" s="27">
        <f>IF($L284&lt;&gt;"",IF(INDEX(SCOp,$L284)="مرجوعی فروش","",IF(INDEX(SCAmount,$L284)&lt;=0,"",INDEX(SCAmount,$L284))),IF($M284&lt;&gt;"",IF(INDEX(LdgWitB,$M284)=0,"",INDEX(LdgWitB,$M284)),""))</f>
        <v/>
      </c>
      <c r="H284" s="27">
        <f>IF($L284&lt;&gt;"",IF(INDEX(SCOp,$L284)="مرجوعی فروش",IF(INDEX(SCAmount,$L284)=0,"",-INDEX(SCAmount,$L284)),""),IF($M284&lt;&gt;"",IF(INDEX(LdgDepB,$M284)=0,"",INDEX(LdgDepB,$M284)),""))</f>
        <v/>
      </c>
      <c r="I284" s="28">
        <f>IF($B284="","",IF($I283="",$C$10,$I283)+IF($G284="",0,$G284)-IF($H284="",0,$H284))</f>
        <v/>
      </c>
      <c r="L284">
        <f>IFERROR(MATCH($C$5&amp;"|"&amp;RIGHT("000000"&amp;268,6),LdgRankKeyA,0),"")</f>
        <v/>
      </c>
      <c r="M284">
        <f>IFERROR(MATCH($C$5&amp;"|"&amp;RIGHT("000000"&amp;268,6),LdgRankKeyB,0),"")</f>
        <v/>
      </c>
    </row>
    <row r="285">
      <c r="A285" s="17" t="n">
        <v>269</v>
      </c>
      <c r="B285" s="18">
        <f>IF(AND($L285="",$M285=""),"",IF($L285&lt;&gt;"",INDEX(SCNormDate,$L285),INDEX(LdgDateB,$M285)))</f>
        <v/>
      </c>
      <c r="C285" s="18">
        <f>IF($L285&lt;&gt;"",INDEX(SCOp,$L285),IF($M285&lt;&gt;"","پرداخت بانکی",""))</f>
        <v/>
      </c>
      <c r="D285" s="18">
        <f>IF($L285&lt;&gt;"",IF(INDEX(SCDoc,$L285)="","—",INDEX(SCDoc,$L285)),IF($M285&lt;&gt;"",INDEX(LdgBankB,$M285),""))</f>
        <v/>
      </c>
      <c r="E285" s="19">
        <f>IF($L285&lt;&gt;"",IF(INDEX(SCCitrus,$L285)&amp;INDEX(SCNotes,$L285)="","",IF(INDEX(SCCitrus,$L285)="","",INDEX(SCCitrus,$L285))&amp;IF(INDEX(SCNotes,$L285)="",""," — "&amp;INDEX(SCNotes,$L285))),IF($M285&lt;&gt;"",IF(INDEX(LdgNoteB,$M285)="","—",INDEX(LdgNoteB,$M285)),""))</f>
        <v/>
      </c>
      <c r="F285" s="20">
        <f>IF($L285&lt;&gt;"",IF(INDEX(SCNet,$L285)=0,"",INDEX(SCNet,$L285)),"")</f>
        <v/>
      </c>
      <c r="G285" s="21">
        <f>IF($L285&lt;&gt;"",IF(INDEX(SCOp,$L285)="مرجوعی فروش","",IF(INDEX(SCAmount,$L285)&lt;=0,"",INDEX(SCAmount,$L285))),IF($M285&lt;&gt;"",IF(INDEX(LdgWitB,$M285)=0,"",INDEX(LdgWitB,$M285)),""))</f>
        <v/>
      </c>
      <c r="H285" s="21">
        <f>IF($L285&lt;&gt;"",IF(INDEX(SCOp,$L285)="مرجوعی فروش",IF(INDEX(SCAmount,$L285)=0,"",-INDEX(SCAmount,$L285)),""),IF($M285&lt;&gt;"",IF(INDEX(LdgDepB,$M285)=0,"",INDEX(LdgDepB,$M285)),""))</f>
        <v/>
      </c>
      <c r="I285" s="22">
        <f>IF($B285="","",IF($I284="",$C$10,$I284)+IF($G285="",0,$G285)-IF($H285="",0,$H285))</f>
        <v/>
      </c>
      <c r="L285">
        <f>IFERROR(MATCH($C$5&amp;"|"&amp;RIGHT("000000"&amp;269,6),LdgRankKeyA,0),"")</f>
        <v/>
      </c>
      <c r="M285">
        <f>IFERROR(MATCH($C$5&amp;"|"&amp;RIGHT("000000"&amp;269,6),LdgRankKeyB,0),"")</f>
        <v/>
      </c>
    </row>
    <row r="286">
      <c r="A286" s="23" t="n">
        <v>270</v>
      </c>
      <c r="B286" s="24">
        <f>IF(AND($L286="",$M286=""),"",IF($L286&lt;&gt;"",INDEX(SCNormDate,$L286),INDEX(LdgDateB,$M286)))</f>
        <v/>
      </c>
      <c r="C286" s="24">
        <f>IF($L286&lt;&gt;"",INDEX(SCOp,$L286),IF($M286&lt;&gt;"","پرداخت بانکی",""))</f>
        <v/>
      </c>
      <c r="D286" s="24">
        <f>IF($L286&lt;&gt;"",IF(INDEX(SCDoc,$L286)="","—",INDEX(SCDoc,$L286)),IF($M286&lt;&gt;"",INDEX(LdgBankB,$M286),""))</f>
        <v/>
      </c>
      <c r="E286" s="25">
        <f>IF($L286&lt;&gt;"",IF(INDEX(SCCitrus,$L286)&amp;INDEX(SCNotes,$L286)="","",IF(INDEX(SCCitrus,$L286)="","",INDEX(SCCitrus,$L286))&amp;IF(INDEX(SCNotes,$L286)="",""," — "&amp;INDEX(SCNotes,$L286))),IF($M286&lt;&gt;"",IF(INDEX(LdgNoteB,$M286)="","—",INDEX(LdgNoteB,$M286)),""))</f>
        <v/>
      </c>
      <c r="F286" s="26">
        <f>IF($L286&lt;&gt;"",IF(INDEX(SCNet,$L286)=0,"",INDEX(SCNet,$L286)),"")</f>
        <v/>
      </c>
      <c r="G286" s="27">
        <f>IF($L286&lt;&gt;"",IF(INDEX(SCOp,$L286)="مرجوعی فروش","",IF(INDEX(SCAmount,$L286)&lt;=0,"",INDEX(SCAmount,$L286))),IF($M286&lt;&gt;"",IF(INDEX(LdgWitB,$M286)=0,"",INDEX(LdgWitB,$M286)),""))</f>
        <v/>
      </c>
      <c r="H286" s="27">
        <f>IF($L286&lt;&gt;"",IF(INDEX(SCOp,$L286)="مرجوعی فروش",IF(INDEX(SCAmount,$L286)=0,"",-INDEX(SCAmount,$L286)),""),IF($M286&lt;&gt;"",IF(INDEX(LdgDepB,$M286)=0,"",INDEX(LdgDepB,$M286)),""))</f>
        <v/>
      </c>
      <c r="I286" s="28">
        <f>IF($B286="","",IF($I285="",$C$10,$I285)+IF($G286="",0,$G286)-IF($H286="",0,$H286))</f>
        <v/>
      </c>
      <c r="L286">
        <f>IFERROR(MATCH($C$5&amp;"|"&amp;RIGHT("000000"&amp;270,6),LdgRankKeyA,0),"")</f>
        <v/>
      </c>
      <c r="M286">
        <f>IFERROR(MATCH($C$5&amp;"|"&amp;RIGHT("000000"&amp;270,6),LdgRankKeyB,0),"")</f>
        <v/>
      </c>
    </row>
    <row r="287">
      <c r="A287" s="17" t="n">
        <v>271</v>
      </c>
      <c r="B287" s="18">
        <f>IF(AND($L287="",$M287=""),"",IF($L287&lt;&gt;"",INDEX(SCNormDate,$L287),INDEX(LdgDateB,$M287)))</f>
        <v/>
      </c>
      <c r="C287" s="18">
        <f>IF($L287&lt;&gt;"",INDEX(SCOp,$L287),IF($M287&lt;&gt;"","پرداخت بانکی",""))</f>
        <v/>
      </c>
      <c r="D287" s="18">
        <f>IF($L287&lt;&gt;"",IF(INDEX(SCDoc,$L287)="","—",INDEX(SCDoc,$L287)),IF($M287&lt;&gt;"",INDEX(LdgBankB,$M287),""))</f>
        <v/>
      </c>
      <c r="E287" s="19">
        <f>IF($L287&lt;&gt;"",IF(INDEX(SCCitrus,$L287)&amp;INDEX(SCNotes,$L287)="","",IF(INDEX(SCCitrus,$L287)="","",INDEX(SCCitrus,$L287))&amp;IF(INDEX(SCNotes,$L287)="",""," — "&amp;INDEX(SCNotes,$L287))),IF($M287&lt;&gt;"",IF(INDEX(LdgNoteB,$M287)="","—",INDEX(LdgNoteB,$M287)),""))</f>
        <v/>
      </c>
      <c r="F287" s="20">
        <f>IF($L287&lt;&gt;"",IF(INDEX(SCNet,$L287)=0,"",INDEX(SCNet,$L287)),"")</f>
        <v/>
      </c>
      <c r="G287" s="21">
        <f>IF($L287&lt;&gt;"",IF(INDEX(SCOp,$L287)="مرجوعی فروش","",IF(INDEX(SCAmount,$L287)&lt;=0,"",INDEX(SCAmount,$L287))),IF($M287&lt;&gt;"",IF(INDEX(LdgWitB,$M287)=0,"",INDEX(LdgWitB,$M287)),""))</f>
        <v/>
      </c>
      <c r="H287" s="21">
        <f>IF($L287&lt;&gt;"",IF(INDEX(SCOp,$L287)="مرجوعی فروش",IF(INDEX(SCAmount,$L287)=0,"",-INDEX(SCAmount,$L287)),""),IF($M287&lt;&gt;"",IF(INDEX(LdgDepB,$M287)=0,"",INDEX(LdgDepB,$M287)),""))</f>
        <v/>
      </c>
      <c r="I287" s="22">
        <f>IF($B287="","",IF($I286="",$C$10,$I286)+IF($G287="",0,$G287)-IF($H287="",0,$H287))</f>
        <v/>
      </c>
      <c r="L287">
        <f>IFERROR(MATCH($C$5&amp;"|"&amp;RIGHT("000000"&amp;271,6),LdgRankKeyA,0),"")</f>
        <v/>
      </c>
      <c r="M287">
        <f>IFERROR(MATCH($C$5&amp;"|"&amp;RIGHT("000000"&amp;271,6),LdgRankKeyB,0),"")</f>
        <v/>
      </c>
    </row>
    <row r="288">
      <c r="A288" s="23" t="n">
        <v>272</v>
      </c>
      <c r="B288" s="24">
        <f>IF(AND($L288="",$M288=""),"",IF($L288&lt;&gt;"",INDEX(SCNormDate,$L288),INDEX(LdgDateB,$M288)))</f>
        <v/>
      </c>
      <c r="C288" s="24">
        <f>IF($L288&lt;&gt;"",INDEX(SCOp,$L288),IF($M288&lt;&gt;"","پرداخت بانکی",""))</f>
        <v/>
      </c>
      <c r="D288" s="24">
        <f>IF($L288&lt;&gt;"",IF(INDEX(SCDoc,$L288)="","—",INDEX(SCDoc,$L288)),IF($M288&lt;&gt;"",INDEX(LdgBankB,$M288),""))</f>
        <v/>
      </c>
      <c r="E288" s="25">
        <f>IF($L288&lt;&gt;"",IF(INDEX(SCCitrus,$L288)&amp;INDEX(SCNotes,$L288)="","",IF(INDEX(SCCitrus,$L288)="","",INDEX(SCCitrus,$L288))&amp;IF(INDEX(SCNotes,$L288)="",""," — "&amp;INDEX(SCNotes,$L288))),IF($M288&lt;&gt;"",IF(INDEX(LdgNoteB,$M288)="","—",INDEX(LdgNoteB,$M288)),""))</f>
        <v/>
      </c>
      <c r="F288" s="26">
        <f>IF($L288&lt;&gt;"",IF(INDEX(SCNet,$L288)=0,"",INDEX(SCNet,$L288)),"")</f>
        <v/>
      </c>
      <c r="G288" s="27">
        <f>IF($L288&lt;&gt;"",IF(INDEX(SCOp,$L288)="مرجوعی فروش","",IF(INDEX(SCAmount,$L288)&lt;=0,"",INDEX(SCAmount,$L288))),IF($M288&lt;&gt;"",IF(INDEX(LdgWitB,$M288)=0,"",INDEX(LdgWitB,$M288)),""))</f>
        <v/>
      </c>
      <c r="H288" s="27">
        <f>IF($L288&lt;&gt;"",IF(INDEX(SCOp,$L288)="مرجوعی فروش",IF(INDEX(SCAmount,$L288)=0,"",-INDEX(SCAmount,$L288)),""),IF($M288&lt;&gt;"",IF(INDEX(LdgDepB,$M288)=0,"",INDEX(LdgDepB,$M288)),""))</f>
        <v/>
      </c>
      <c r="I288" s="28">
        <f>IF($B288="","",IF($I287="",$C$10,$I287)+IF($G288="",0,$G288)-IF($H288="",0,$H288))</f>
        <v/>
      </c>
      <c r="L288">
        <f>IFERROR(MATCH($C$5&amp;"|"&amp;RIGHT("000000"&amp;272,6),LdgRankKeyA,0),"")</f>
        <v/>
      </c>
      <c r="M288">
        <f>IFERROR(MATCH($C$5&amp;"|"&amp;RIGHT("000000"&amp;272,6),LdgRankKeyB,0),"")</f>
        <v/>
      </c>
    </row>
    <row r="289">
      <c r="A289" s="17" t="n">
        <v>273</v>
      </c>
      <c r="B289" s="18">
        <f>IF(AND($L289="",$M289=""),"",IF($L289&lt;&gt;"",INDEX(SCNormDate,$L289),INDEX(LdgDateB,$M289)))</f>
        <v/>
      </c>
      <c r="C289" s="18">
        <f>IF($L289&lt;&gt;"",INDEX(SCOp,$L289),IF($M289&lt;&gt;"","پرداخت بانکی",""))</f>
        <v/>
      </c>
      <c r="D289" s="18">
        <f>IF($L289&lt;&gt;"",IF(INDEX(SCDoc,$L289)="","—",INDEX(SCDoc,$L289)),IF($M289&lt;&gt;"",INDEX(LdgBankB,$M289),""))</f>
        <v/>
      </c>
      <c r="E289" s="19">
        <f>IF($L289&lt;&gt;"",IF(INDEX(SCCitrus,$L289)&amp;INDEX(SCNotes,$L289)="","",IF(INDEX(SCCitrus,$L289)="","",INDEX(SCCitrus,$L289))&amp;IF(INDEX(SCNotes,$L289)="",""," — "&amp;INDEX(SCNotes,$L289))),IF($M289&lt;&gt;"",IF(INDEX(LdgNoteB,$M289)="","—",INDEX(LdgNoteB,$M289)),""))</f>
        <v/>
      </c>
      <c r="F289" s="20">
        <f>IF($L289&lt;&gt;"",IF(INDEX(SCNet,$L289)=0,"",INDEX(SCNet,$L289)),"")</f>
        <v/>
      </c>
      <c r="G289" s="21">
        <f>IF($L289&lt;&gt;"",IF(INDEX(SCOp,$L289)="مرجوعی فروش","",IF(INDEX(SCAmount,$L289)&lt;=0,"",INDEX(SCAmount,$L289))),IF($M289&lt;&gt;"",IF(INDEX(LdgWitB,$M289)=0,"",INDEX(LdgWitB,$M289)),""))</f>
        <v/>
      </c>
      <c r="H289" s="21">
        <f>IF($L289&lt;&gt;"",IF(INDEX(SCOp,$L289)="مرجوعی فروش",IF(INDEX(SCAmount,$L289)=0,"",-INDEX(SCAmount,$L289)),""),IF($M289&lt;&gt;"",IF(INDEX(LdgDepB,$M289)=0,"",INDEX(LdgDepB,$M289)),""))</f>
        <v/>
      </c>
      <c r="I289" s="22">
        <f>IF($B289="","",IF($I288="",$C$10,$I288)+IF($G289="",0,$G289)-IF($H289="",0,$H289))</f>
        <v/>
      </c>
      <c r="L289">
        <f>IFERROR(MATCH($C$5&amp;"|"&amp;RIGHT("000000"&amp;273,6),LdgRankKeyA,0),"")</f>
        <v/>
      </c>
      <c r="M289">
        <f>IFERROR(MATCH($C$5&amp;"|"&amp;RIGHT("000000"&amp;273,6),LdgRankKeyB,0),"")</f>
        <v/>
      </c>
    </row>
    <row r="290">
      <c r="A290" s="23" t="n">
        <v>274</v>
      </c>
      <c r="B290" s="24">
        <f>IF(AND($L290="",$M290=""),"",IF($L290&lt;&gt;"",INDEX(SCNormDate,$L290),INDEX(LdgDateB,$M290)))</f>
        <v/>
      </c>
      <c r="C290" s="24">
        <f>IF($L290&lt;&gt;"",INDEX(SCOp,$L290),IF($M290&lt;&gt;"","پرداخت بانکی",""))</f>
        <v/>
      </c>
      <c r="D290" s="24">
        <f>IF($L290&lt;&gt;"",IF(INDEX(SCDoc,$L290)="","—",INDEX(SCDoc,$L290)),IF($M290&lt;&gt;"",INDEX(LdgBankB,$M290),""))</f>
        <v/>
      </c>
      <c r="E290" s="25">
        <f>IF($L290&lt;&gt;"",IF(INDEX(SCCitrus,$L290)&amp;INDEX(SCNotes,$L290)="","",IF(INDEX(SCCitrus,$L290)="","",INDEX(SCCitrus,$L290))&amp;IF(INDEX(SCNotes,$L290)="",""," — "&amp;INDEX(SCNotes,$L290))),IF($M290&lt;&gt;"",IF(INDEX(LdgNoteB,$M290)="","—",INDEX(LdgNoteB,$M290)),""))</f>
        <v/>
      </c>
      <c r="F290" s="26">
        <f>IF($L290&lt;&gt;"",IF(INDEX(SCNet,$L290)=0,"",INDEX(SCNet,$L290)),"")</f>
        <v/>
      </c>
      <c r="G290" s="27">
        <f>IF($L290&lt;&gt;"",IF(INDEX(SCOp,$L290)="مرجوعی فروش","",IF(INDEX(SCAmount,$L290)&lt;=0,"",INDEX(SCAmount,$L290))),IF($M290&lt;&gt;"",IF(INDEX(LdgWitB,$M290)=0,"",INDEX(LdgWitB,$M290)),""))</f>
        <v/>
      </c>
      <c r="H290" s="27">
        <f>IF($L290&lt;&gt;"",IF(INDEX(SCOp,$L290)="مرجوعی فروش",IF(INDEX(SCAmount,$L290)=0,"",-INDEX(SCAmount,$L290)),""),IF($M290&lt;&gt;"",IF(INDEX(LdgDepB,$M290)=0,"",INDEX(LdgDepB,$M290)),""))</f>
        <v/>
      </c>
      <c r="I290" s="28">
        <f>IF($B290="","",IF($I289="",$C$10,$I289)+IF($G290="",0,$G290)-IF($H290="",0,$H290))</f>
        <v/>
      </c>
      <c r="L290">
        <f>IFERROR(MATCH($C$5&amp;"|"&amp;RIGHT("000000"&amp;274,6),LdgRankKeyA,0),"")</f>
        <v/>
      </c>
      <c r="M290">
        <f>IFERROR(MATCH($C$5&amp;"|"&amp;RIGHT("000000"&amp;274,6),LdgRankKeyB,0),"")</f>
        <v/>
      </c>
    </row>
    <row r="291">
      <c r="A291" s="17" t="n">
        <v>275</v>
      </c>
      <c r="B291" s="18">
        <f>IF(AND($L291="",$M291=""),"",IF($L291&lt;&gt;"",INDEX(SCNormDate,$L291),INDEX(LdgDateB,$M291)))</f>
        <v/>
      </c>
      <c r="C291" s="18">
        <f>IF($L291&lt;&gt;"",INDEX(SCOp,$L291),IF($M291&lt;&gt;"","پرداخت بانکی",""))</f>
        <v/>
      </c>
      <c r="D291" s="18">
        <f>IF($L291&lt;&gt;"",IF(INDEX(SCDoc,$L291)="","—",INDEX(SCDoc,$L291)),IF($M291&lt;&gt;"",INDEX(LdgBankB,$M291),""))</f>
        <v/>
      </c>
      <c r="E291" s="19">
        <f>IF($L291&lt;&gt;"",IF(INDEX(SCCitrus,$L291)&amp;INDEX(SCNotes,$L291)="","",IF(INDEX(SCCitrus,$L291)="","",INDEX(SCCitrus,$L291))&amp;IF(INDEX(SCNotes,$L291)="",""," — "&amp;INDEX(SCNotes,$L291))),IF($M291&lt;&gt;"",IF(INDEX(LdgNoteB,$M291)="","—",INDEX(LdgNoteB,$M291)),""))</f>
        <v/>
      </c>
      <c r="F291" s="20">
        <f>IF($L291&lt;&gt;"",IF(INDEX(SCNet,$L291)=0,"",INDEX(SCNet,$L291)),"")</f>
        <v/>
      </c>
      <c r="G291" s="21">
        <f>IF($L291&lt;&gt;"",IF(INDEX(SCOp,$L291)="مرجوعی فروش","",IF(INDEX(SCAmount,$L291)&lt;=0,"",INDEX(SCAmount,$L291))),IF($M291&lt;&gt;"",IF(INDEX(LdgWitB,$M291)=0,"",INDEX(LdgWitB,$M291)),""))</f>
        <v/>
      </c>
      <c r="H291" s="21">
        <f>IF($L291&lt;&gt;"",IF(INDEX(SCOp,$L291)="مرجوعی فروش",IF(INDEX(SCAmount,$L291)=0,"",-INDEX(SCAmount,$L291)),""),IF($M291&lt;&gt;"",IF(INDEX(LdgDepB,$M291)=0,"",INDEX(LdgDepB,$M291)),""))</f>
        <v/>
      </c>
      <c r="I291" s="22">
        <f>IF($B291="","",IF($I290="",$C$10,$I290)+IF($G291="",0,$G291)-IF($H291="",0,$H291))</f>
        <v/>
      </c>
      <c r="L291">
        <f>IFERROR(MATCH($C$5&amp;"|"&amp;RIGHT("000000"&amp;275,6),LdgRankKeyA,0),"")</f>
        <v/>
      </c>
      <c r="M291">
        <f>IFERROR(MATCH($C$5&amp;"|"&amp;RIGHT("000000"&amp;275,6),LdgRankKeyB,0),"")</f>
        <v/>
      </c>
    </row>
    <row r="292">
      <c r="A292" s="23" t="n">
        <v>276</v>
      </c>
      <c r="B292" s="24">
        <f>IF(AND($L292="",$M292=""),"",IF($L292&lt;&gt;"",INDEX(SCNormDate,$L292),INDEX(LdgDateB,$M292)))</f>
        <v/>
      </c>
      <c r="C292" s="24">
        <f>IF($L292&lt;&gt;"",INDEX(SCOp,$L292),IF($M292&lt;&gt;"","پرداخت بانکی",""))</f>
        <v/>
      </c>
      <c r="D292" s="24">
        <f>IF($L292&lt;&gt;"",IF(INDEX(SCDoc,$L292)="","—",INDEX(SCDoc,$L292)),IF($M292&lt;&gt;"",INDEX(LdgBankB,$M292),""))</f>
        <v/>
      </c>
      <c r="E292" s="25">
        <f>IF($L292&lt;&gt;"",IF(INDEX(SCCitrus,$L292)&amp;INDEX(SCNotes,$L292)="","",IF(INDEX(SCCitrus,$L292)="","",INDEX(SCCitrus,$L292))&amp;IF(INDEX(SCNotes,$L292)="",""," — "&amp;INDEX(SCNotes,$L292))),IF($M292&lt;&gt;"",IF(INDEX(LdgNoteB,$M292)="","—",INDEX(LdgNoteB,$M292)),""))</f>
        <v/>
      </c>
      <c r="F292" s="26">
        <f>IF($L292&lt;&gt;"",IF(INDEX(SCNet,$L292)=0,"",INDEX(SCNet,$L292)),"")</f>
        <v/>
      </c>
      <c r="G292" s="27">
        <f>IF($L292&lt;&gt;"",IF(INDEX(SCOp,$L292)="مرجوعی فروش","",IF(INDEX(SCAmount,$L292)&lt;=0,"",INDEX(SCAmount,$L292))),IF($M292&lt;&gt;"",IF(INDEX(LdgWitB,$M292)=0,"",INDEX(LdgWitB,$M292)),""))</f>
        <v/>
      </c>
      <c r="H292" s="27">
        <f>IF($L292&lt;&gt;"",IF(INDEX(SCOp,$L292)="مرجوعی فروش",IF(INDEX(SCAmount,$L292)=0,"",-INDEX(SCAmount,$L292)),""),IF($M292&lt;&gt;"",IF(INDEX(LdgDepB,$M292)=0,"",INDEX(LdgDepB,$M292)),""))</f>
        <v/>
      </c>
      <c r="I292" s="28">
        <f>IF($B292="","",IF($I291="",$C$10,$I291)+IF($G292="",0,$G292)-IF($H292="",0,$H292))</f>
        <v/>
      </c>
      <c r="L292">
        <f>IFERROR(MATCH($C$5&amp;"|"&amp;RIGHT("000000"&amp;276,6),LdgRankKeyA,0),"")</f>
        <v/>
      </c>
      <c r="M292">
        <f>IFERROR(MATCH($C$5&amp;"|"&amp;RIGHT("000000"&amp;276,6),LdgRankKeyB,0),"")</f>
        <v/>
      </c>
    </row>
    <row r="293">
      <c r="A293" s="17" t="n">
        <v>277</v>
      </c>
      <c r="B293" s="18">
        <f>IF(AND($L293="",$M293=""),"",IF($L293&lt;&gt;"",INDEX(SCNormDate,$L293),INDEX(LdgDateB,$M293)))</f>
        <v/>
      </c>
      <c r="C293" s="18">
        <f>IF($L293&lt;&gt;"",INDEX(SCOp,$L293),IF($M293&lt;&gt;"","پرداخت بانکی",""))</f>
        <v/>
      </c>
      <c r="D293" s="18">
        <f>IF($L293&lt;&gt;"",IF(INDEX(SCDoc,$L293)="","—",INDEX(SCDoc,$L293)),IF($M293&lt;&gt;"",INDEX(LdgBankB,$M293),""))</f>
        <v/>
      </c>
      <c r="E293" s="19">
        <f>IF($L293&lt;&gt;"",IF(INDEX(SCCitrus,$L293)&amp;INDEX(SCNotes,$L293)="","",IF(INDEX(SCCitrus,$L293)="","",INDEX(SCCitrus,$L293))&amp;IF(INDEX(SCNotes,$L293)="",""," — "&amp;INDEX(SCNotes,$L293))),IF($M293&lt;&gt;"",IF(INDEX(LdgNoteB,$M293)="","—",INDEX(LdgNoteB,$M293)),""))</f>
        <v/>
      </c>
      <c r="F293" s="20">
        <f>IF($L293&lt;&gt;"",IF(INDEX(SCNet,$L293)=0,"",INDEX(SCNet,$L293)),"")</f>
        <v/>
      </c>
      <c r="G293" s="21">
        <f>IF($L293&lt;&gt;"",IF(INDEX(SCOp,$L293)="مرجوعی فروش","",IF(INDEX(SCAmount,$L293)&lt;=0,"",INDEX(SCAmount,$L293))),IF($M293&lt;&gt;"",IF(INDEX(LdgWitB,$M293)=0,"",INDEX(LdgWitB,$M293)),""))</f>
        <v/>
      </c>
      <c r="H293" s="21">
        <f>IF($L293&lt;&gt;"",IF(INDEX(SCOp,$L293)="مرجوعی فروش",IF(INDEX(SCAmount,$L293)=0,"",-INDEX(SCAmount,$L293)),""),IF($M293&lt;&gt;"",IF(INDEX(LdgDepB,$M293)=0,"",INDEX(LdgDepB,$M293)),""))</f>
        <v/>
      </c>
      <c r="I293" s="22">
        <f>IF($B293="","",IF($I292="",$C$10,$I292)+IF($G293="",0,$G293)-IF($H293="",0,$H293))</f>
        <v/>
      </c>
      <c r="L293">
        <f>IFERROR(MATCH($C$5&amp;"|"&amp;RIGHT("000000"&amp;277,6),LdgRankKeyA,0),"")</f>
        <v/>
      </c>
      <c r="M293">
        <f>IFERROR(MATCH($C$5&amp;"|"&amp;RIGHT("000000"&amp;277,6),LdgRankKeyB,0),"")</f>
        <v/>
      </c>
    </row>
    <row r="294">
      <c r="A294" s="23" t="n">
        <v>278</v>
      </c>
      <c r="B294" s="24">
        <f>IF(AND($L294="",$M294=""),"",IF($L294&lt;&gt;"",INDEX(SCNormDate,$L294),INDEX(LdgDateB,$M294)))</f>
        <v/>
      </c>
      <c r="C294" s="24">
        <f>IF($L294&lt;&gt;"",INDEX(SCOp,$L294),IF($M294&lt;&gt;"","پرداخت بانکی",""))</f>
        <v/>
      </c>
      <c r="D294" s="24">
        <f>IF($L294&lt;&gt;"",IF(INDEX(SCDoc,$L294)="","—",INDEX(SCDoc,$L294)),IF($M294&lt;&gt;"",INDEX(LdgBankB,$M294),""))</f>
        <v/>
      </c>
      <c r="E294" s="25">
        <f>IF($L294&lt;&gt;"",IF(INDEX(SCCitrus,$L294)&amp;INDEX(SCNotes,$L294)="","",IF(INDEX(SCCitrus,$L294)="","",INDEX(SCCitrus,$L294))&amp;IF(INDEX(SCNotes,$L294)="",""," — "&amp;INDEX(SCNotes,$L294))),IF($M294&lt;&gt;"",IF(INDEX(LdgNoteB,$M294)="","—",INDEX(LdgNoteB,$M294)),""))</f>
        <v/>
      </c>
      <c r="F294" s="26">
        <f>IF($L294&lt;&gt;"",IF(INDEX(SCNet,$L294)=0,"",INDEX(SCNet,$L294)),"")</f>
        <v/>
      </c>
      <c r="G294" s="27">
        <f>IF($L294&lt;&gt;"",IF(INDEX(SCOp,$L294)="مرجوعی فروش","",IF(INDEX(SCAmount,$L294)&lt;=0,"",INDEX(SCAmount,$L294))),IF($M294&lt;&gt;"",IF(INDEX(LdgWitB,$M294)=0,"",INDEX(LdgWitB,$M294)),""))</f>
        <v/>
      </c>
      <c r="H294" s="27">
        <f>IF($L294&lt;&gt;"",IF(INDEX(SCOp,$L294)="مرجوعی فروش",IF(INDEX(SCAmount,$L294)=0,"",-INDEX(SCAmount,$L294)),""),IF($M294&lt;&gt;"",IF(INDEX(LdgDepB,$M294)=0,"",INDEX(LdgDepB,$M294)),""))</f>
        <v/>
      </c>
      <c r="I294" s="28">
        <f>IF($B294="","",IF($I293="",$C$10,$I293)+IF($G294="",0,$G294)-IF($H294="",0,$H294))</f>
        <v/>
      </c>
      <c r="L294">
        <f>IFERROR(MATCH($C$5&amp;"|"&amp;RIGHT("000000"&amp;278,6),LdgRankKeyA,0),"")</f>
        <v/>
      </c>
      <c r="M294">
        <f>IFERROR(MATCH($C$5&amp;"|"&amp;RIGHT("000000"&amp;278,6),LdgRankKeyB,0),"")</f>
        <v/>
      </c>
    </row>
    <row r="295">
      <c r="A295" s="17" t="n">
        <v>279</v>
      </c>
      <c r="B295" s="18">
        <f>IF(AND($L295="",$M295=""),"",IF($L295&lt;&gt;"",INDEX(SCNormDate,$L295),INDEX(LdgDateB,$M295)))</f>
        <v/>
      </c>
      <c r="C295" s="18">
        <f>IF($L295&lt;&gt;"",INDEX(SCOp,$L295),IF($M295&lt;&gt;"","پرداخت بانکی",""))</f>
        <v/>
      </c>
      <c r="D295" s="18">
        <f>IF($L295&lt;&gt;"",IF(INDEX(SCDoc,$L295)="","—",INDEX(SCDoc,$L295)),IF($M295&lt;&gt;"",INDEX(LdgBankB,$M295),""))</f>
        <v/>
      </c>
      <c r="E295" s="19">
        <f>IF($L295&lt;&gt;"",IF(INDEX(SCCitrus,$L295)&amp;INDEX(SCNotes,$L295)="","",IF(INDEX(SCCitrus,$L295)="","",INDEX(SCCitrus,$L295))&amp;IF(INDEX(SCNotes,$L295)="",""," — "&amp;INDEX(SCNotes,$L295))),IF($M295&lt;&gt;"",IF(INDEX(LdgNoteB,$M295)="","—",INDEX(LdgNoteB,$M295)),""))</f>
        <v/>
      </c>
      <c r="F295" s="20">
        <f>IF($L295&lt;&gt;"",IF(INDEX(SCNet,$L295)=0,"",INDEX(SCNet,$L295)),"")</f>
        <v/>
      </c>
      <c r="G295" s="21">
        <f>IF($L295&lt;&gt;"",IF(INDEX(SCOp,$L295)="مرجوعی فروش","",IF(INDEX(SCAmount,$L295)&lt;=0,"",INDEX(SCAmount,$L295))),IF($M295&lt;&gt;"",IF(INDEX(LdgWitB,$M295)=0,"",INDEX(LdgWitB,$M295)),""))</f>
        <v/>
      </c>
      <c r="H295" s="21">
        <f>IF($L295&lt;&gt;"",IF(INDEX(SCOp,$L295)="مرجوعی فروش",IF(INDEX(SCAmount,$L295)=0,"",-INDEX(SCAmount,$L295)),""),IF($M295&lt;&gt;"",IF(INDEX(LdgDepB,$M295)=0,"",INDEX(LdgDepB,$M295)),""))</f>
        <v/>
      </c>
      <c r="I295" s="22">
        <f>IF($B295="","",IF($I294="",$C$10,$I294)+IF($G295="",0,$G295)-IF($H295="",0,$H295))</f>
        <v/>
      </c>
      <c r="L295">
        <f>IFERROR(MATCH($C$5&amp;"|"&amp;RIGHT("000000"&amp;279,6),LdgRankKeyA,0),"")</f>
        <v/>
      </c>
      <c r="M295">
        <f>IFERROR(MATCH($C$5&amp;"|"&amp;RIGHT("000000"&amp;279,6),LdgRankKeyB,0),"")</f>
        <v/>
      </c>
    </row>
    <row r="296">
      <c r="A296" s="23" t="n">
        <v>280</v>
      </c>
      <c r="B296" s="24">
        <f>IF(AND($L296="",$M296=""),"",IF($L296&lt;&gt;"",INDEX(SCNormDate,$L296),INDEX(LdgDateB,$M296)))</f>
        <v/>
      </c>
      <c r="C296" s="24">
        <f>IF($L296&lt;&gt;"",INDEX(SCOp,$L296),IF($M296&lt;&gt;"","پرداخت بانکی",""))</f>
        <v/>
      </c>
      <c r="D296" s="24">
        <f>IF($L296&lt;&gt;"",IF(INDEX(SCDoc,$L296)="","—",INDEX(SCDoc,$L296)),IF($M296&lt;&gt;"",INDEX(LdgBankB,$M296),""))</f>
        <v/>
      </c>
      <c r="E296" s="25">
        <f>IF($L296&lt;&gt;"",IF(INDEX(SCCitrus,$L296)&amp;INDEX(SCNotes,$L296)="","",IF(INDEX(SCCitrus,$L296)="","",INDEX(SCCitrus,$L296))&amp;IF(INDEX(SCNotes,$L296)="",""," — "&amp;INDEX(SCNotes,$L296))),IF($M296&lt;&gt;"",IF(INDEX(LdgNoteB,$M296)="","—",INDEX(LdgNoteB,$M296)),""))</f>
        <v/>
      </c>
      <c r="F296" s="26">
        <f>IF($L296&lt;&gt;"",IF(INDEX(SCNet,$L296)=0,"",INDEX(SCNet,$L296)),"")</f>
        <v/>
      </c>
      <c r="G296" s="27">
        <f>IF($L296&lt;&gt;"",IF(INDEX(SCOp,$L296)="مرجوعی فروش","",IF(INDEX(SCAmount,$L296)&lt;=0,"",INDEX(SCAmount,$L296))),IF($M296&lt;&gt;"",IF(INDEX(LdgWitB,$M296)=0,"",INDEX(LdgWitB,$M296)),""))</f>
        <v/>
      </c>
      <c r="H296" s="27">
        <f>IF($L296&lt;&gt;"",IF(INDEX(SCOp,$L296)="مرجوعی فروش",IF(INDEX(SCAmount,$L296)=0,"",-INDEX(SCAmount,$L296)),""),IF($M296&lt;&gt;"",IF(INDEX(LdgDepB,$M296)=0,"",INDEX(LdgDepB,$M296)),""))</f>
        <v/>
      </c>
      <c r="I296" s="28">
        <f>IF($B296="","",IF($I295="",$C$10,$I295)+IF($G296="",0,$G296)-IF($H296="",0,$H296))</f>
        <v/>
      </c>
      <c r="L296">
        <f>IFERROR(MATCH($C$5&amp;"|"&amp;RIGHT("000000"&amp;280,6),LdgRankKeyA,0),"")</f>
        <v/>
      </c>
      <c r="M296">
        <f>IFERROR(MATCH($C$5&amp;"|"&amp;RIGHT("000000"&amp;280,6),LdgRankKeyB,0),"")</f>
        <v/>
      </c>
    </row>
    <row r="297">
      <c r="A297" s="17" t="n">
        <v>281</v>
      </c>
      <c r="B297" s="18">
        <f>IF(AND($L297="",$M297=""),"",IF($L297&lt;&gt;"",INDEX(SCNormDate,$L297),INDEX(LdgDateB,$M297)))</f>
        <v/>
      </c>
      <c r="C297" s="18">
        <f>IF($L297&lt;&gt;"",INDEX(SCOp,$L297),IF($M297&lt;&gt;"","پرداخت بانکی",""))</f>
        <v/>
      </c>
      <c r="D297" s="18">
        <f>IF($L297&lt;&gt;"",IF(INDEX(SCDoc,$L297)="","—",INDEX(SCDoc,$L297)),IF($M297&lt;&gt;"",INDEX(LdgBankB,$M297),""))</f>
        <v/>
      </c>
      <c r="E297" s="19">
        <f>IF($L297&lt;&gt;"",IF(INDEX(SCCitrus,$L297)&amp;INDEX(SCNotes,$L297)="","",IF(INDEX(SCCitrus,$L297)="","",INDEX(SCCitrus,$L297))&amp;IF(INDEX(SCNotes,$L297)="",""," — "&amp;INDEX(SCNotes,$L297))),IF($M297&lt;&gt;"",IF(INDEX(LdgNoteB,$M297)="","—",INDEX(LdgNoteB,$M297)),""))</f>
        <v/>
      </c>
      <c r="F297" s="20">
        <f>IF($L297&lt;&gt;"",IF(INDEX(SCNet,$L297)=0,"",INDEX(SCNet,$L297)),"")</f>
        <v/>
      </c>
      <c r="G297" s="21">
        <f>IF($L297&lt;&gt;"",IF(INDEX(SCOp,$L297)="مرجوعی فروش","",IF(INDEX(SCAmount,$L297)&lt;=0,"",INDEX(SCAmount,$L297))),IF($M297&lt;&gt;"",IF(INDEX(LdgWitB,$M297)=0,"",INDEX(LdgWitB,$M297)),""))</f>
        <v/>
      </c>
      <c r="H297" s="21">
        <f>IF($L297&lt;&gt;"",IF(INDEX(SCOp,$L297)="مرجوعی فروش",IF(INDEX(SCAmount,$L297)=0,"",-INDEX(SCAmount,$L297)),""),IF($M297&lt;&gt;"",IF(INDEX(LdgDepB,$M297)=0,"",INDEX(LdgDepB,$M297)),""))</f>
        <v/>
      </c>
      <c r="I297" s="22">
        <f>IF($B297="","",IF($I296="",$C$10,$I296)+IF($G297="",0,$G297)-IF($H297="",0,$H297))</f>
        <v/>
      </c>
      <c r="L297">
        <f>IFERROR(MATCH($C$5&amp;"|"&amp;RIGHT("000000"&amp;281,6),LdgRankKeyA,0),"")</f>
        <v/>
      </c>
      <c r="M297">
        <f>IFERROR(MATCH($C$5&amp;"|"&amp;RIGHT("000000"&amp;281,6),LdgRankKeyB,0),"")</f>
        <v/>
      </c>
    </row>
    <row r="298">
      <c r="A298" s="23" t="n">
        <v>282</v>
      </c>
      <c r="B298" s="24">
        <f>IF(AND($L298="",$M298=""),"",IF($L298&lt;&gt;"",INDEX(SCNormDate,$L298),INDEX(LdgDateB,$M298)))</f>
        <v/>
      </c>
      <c r="C298" s="24">
        <f>IF($L298&lt;&gt;"",INDEX(SCOp,$L298),IF($M298&lt;&gt;"","پرداخت بانکی",""))</f>
        <v/>
      </c>
      <c r="D298" s="24">
        <f>IF($L298&lt;&gt;"",IF(INDEX(SCDoc,$L298)="","—",INDEX(SCDoc,$L298)),IF($M298&lt;&gt;"",INDEX(LdgBankB,$M298),""))</f>
        <v/>
      </c>
      <c r="E298" s="25">
        <f>IF($L298&lt;&gt;"",IF(INDEX(SCCitrus,$L298)&amp;INDEX(SCNotes,$L298)="","",IF(INDEX(SCCitrus,$L298)="","",INDEX(SCCitrus,$L298))&amp;IF(INDEX(SCNotes,$L298)="",""," — "&amp;INDEX(SCNotes,$L298))),IF($M298&lt;&gt;"",IF(INDEX(LdgNoteB,$M298)="","—",INDEX(LdgNoteB,$M298)),""))</f>
        <v/>
      </c>
      <c r="F298" s="26">
        <f>IF($L298&lt;&gt;"",IF(INDEX(SCNet,$L298)=0,"",INDEX(SCNet,$L298)),"")</f>
        <v/>
      </c>
      <c r="G298" s="27">
        <f>IF($L298&lt;&gt;"",IF(INDEX(SCOp,$L298)="مرجوعی فروش","",IF(INDEX(SCAmount,$L298)&lt;=0,"",INDEX(SCAmount,$L298))),IF($M298&lt;&gt;"",IF(INDEX(LdgWitB,$M298)=0,"",INDEX(LdgWitB,$M298)),""))</f>
        <v/>
      </c>
      <c r="H298" s="27">
        <f>IF($L298&lt;&gt;"",IF(INDEX(SCOp,$L298)="مرجوعی فروش",IF(INDEX(SCAmount,$L298)=0,"",-INDEX(SCAmount,$L298)),""),IF($M298&lt;&gt;"",IF(INDEX(LdgDepB,$M298)=0,"",INDEX(LdgDepB,$M298)),""))</f>
        <v/>
      </c>
      <c r="I298" s="28">
        <f>IF($B298="","",IF($I297="",$C$10,$I297)+IF($G298="",0,$G298)-IF($H298="",0,$H298))</f>
        <v/>
      </c>
      <c r="L298">
        <f>IFERROR(MATCH($C$5&amp;"|"&amp;RIGHT("000000"&amp;282,6),LdgRankKeyA,0),"")</f>
        <v/>
      </c>
      <c r="M298">
        <f>IFERROR(MATCH($C$5&amp;"|"&amp;RIGHT("000000"&amp;282,6),LdgRankKeyB,0),"")</f>
        <v/>
      </c>
    </row>
    <row r="299">
      <c r="A299" s="17" t="n">
        <v>283</v>
      </c>
      <c r="B299" s="18">
        <f>IF(AND($L299="",$M299=""),"",IF($L299&lt;&gt;"",INDEX(SCNormDate,$L299),INDEX(LdgDateB,$M299)))</f>
        <v/>
      </c>
      <c r="C299" s="18">
        <f>IF($L299&lt;&gt;"",INDEX(SCOp,$L299),IF($M299&lt;&gt;"","پرداخت بانکی",""))</f>
        <v/>
      </c>
      <c r="D299" s="18">
        <f>IF($L299&lt;&gt;"",IF(INDEX(SCDoc,$L299)="","—",INDEX(SCDoc,$L299)),IF($M299&lt;&gt;"",INDEX(LdgBankB,$M299),""))</f>
        <v/>
      </c>
      <c r="E299" s="19">
        <f>IF($L299&lt;&gt;"",IF(INDEX(SCCitrus,$L299)&amp;INDEX(SCNotes,$L299)="","",IF(INDEX(SCCitrus,$L299)="","",INDEX(SCCitrus,$L299))&amp;IF(INDEX(SCNotes,$L299)="",""," — "&amp;INDEX(SCNotes,$L299))),IF($M299&lt;&gt;"",IF(INDEX(LdgNoteB,$M299)="","—",INDEX(LdgNoteB,$M299)),""))</f>
        <v/>
      </c>
      <c r="F299" s="20">
        <f>IF($L299&lt;&gt;"",IF(INDEX(SCNet,$L299)=0,"",INDEX(SCNet,$L299)),"")</f>
        <v/>
      </c>
      <c r="G299" s="21">
        <f>IF($L299&lt;&gt;"",IF(INDEX(SCOp,$L299)="مرجوعی فروش","",IF(INDEX(SCAmount,$L299)&lt;=0,"",INDEX(SCAmount,$L299))),IF($M299&lt;&gt;"",IF(INDEX(LdgWitB,$M299)=0,"",INDEX(LdgWitB,$M299)),""))</f>
        <v/>
      </c>
      <c r="H299" s="21">
        <f>IF($L299&lt;&gt;"",IF(INDEX(SCOp,$L299)="مرجوعی فروش",IF(INDEX(SCAmount,$L299)=0,"",-INDEX(SCAmount,$L299)),""),IF($M299&lt;&gt;"",IF(INDEX(LdgDepB,$M299)=0,"",INDEX(LdgDepB,$M299)),""))</f>
        <v/>
      </c>
      <c r="I299" s="22">
        <f>IF($B299="","",IF($I298="",$C$10,$I298)+IF($G299="",0,$G299)-IF($H299="",0,$H299))</f>
        <v/>
      </c>
      <c r="L299">
        <f>IFERROR(MATCH($C$5&amp;"|"&amp;RIGHT("000000"&amp;283,6),LdgRankKeyA,0),"")</f>
        <v/>
      </c>
      <c r="M299">
        <f>IFERROR(MATCH($C$5&amp;"|"&amp;RIGHT("000000"&amp;283,6),LdgRankKeyB,0),"")</f>
        <v/>
      </c>
    </row>
    <row r="300">
      <c r="A300" s="23" t="n">
        <v>284</v>
      </c>
      <c r="B300" s="24">
        <f>IF(AND($L300="",$M300=""),"",IF($L300&lt;&gt;"",INDEX(SCNormDate,$L300),INDEX(LdgDateB,$M300)))</f>
        <v/>
      </c>
      <c r="C300" s="24">
        <f>IF($L300&lt;&gt;"",INDEX(SCOp,$L300),IF($M300&lt;&gt;"","پرداخت بانکی",""))</f>
        <v/>
      </c>
      <c r="D300" s="24">
        <f>IF($L300&lt;&gt;"",IF(INDEX(SCDoc,$L300)="","—",INDEX(SCDoc,$L300)),IF($M300&lt;&gt;"",INDEX(LdgBankB,$M300),""))</f>
        <v/>
      </c>
      <c r="E300" s="25">
        <f>IF($L300&lt;&gt;"",IF(INDEX(SCCitrus,$L300)&amp;INDEX(SCNotes,$L300)="","",IF(INDEX(SCCitrus,$L300)="","",INDEX(SCCitrus,$L300))&amp;IF(INDEX(SCNotes,$L300)="",""," — "&amp;INDEX(SCNotes,$L300))),IF($M300&lt;&gt;"",IF(INDEX(LdgNoteB,$M300)="","—",INDEX(LdgNoteB,$M300)),""))</f>
        <v/>
      </c>
      <c r="F300" s="26">
        <f>IF($L300&lt;&gt;"",IF(INDEX(SCNet,$L300)=0,"",INDEX(SCNet,$L300)),"")</f>
        <v/>
      </c>
      <c r="G300" s="27">
        <f>IF($L300&lt;&gt;"",IF(INDEX(SCOp,$L300)="مرجوعی فروش","",IF(INDEX(SCAmount,$L300)&lt;=0,"",INDEX(SCAmount,$L300))),IF($M300&lt;&gt;"",IF(INDEX(LdgWitB,$M300)=0,"",INDEX(LdgWitB,$M300)),""))</f>
        <v/>
      </c>
      <c r="H300" s="27">
        <f>IF($L300&lt;&gt;"",IF(INDEX(SCOp,$L300)="مرجوعی فروش",IF(INDEX(SCAmount,$L300)=0,"",-INDEX(SCAmount,$L300)),""),IF($M300&lt;&gt;"",IF(INDEX(LdgDepB,$M300)=0,"",INDEX(LdgDepB,$M300)),""))</f>
        <v/>
      </c>
      <c r="I300" s="28">
        <f>IF($B300="","",IF($I299="",$C$10,$I299)+IF($G300="",0,$G300)-IF($H300="",0,$H300))</f>
        <v/>
      </c>
      <c r="L300">
        <f>IFERROR(MATCH($C$5&amp;"|"&amp;RIGHT("000000"&amp;284,6),LdgRankKeyA,0),"")</f>
        <v/>
      </c>
      <c r="M300">
        <f>IFERROR(MATCH($C$5&amp;"|"&amp;RIGHT("000000"&amp;284,6),LdgRankKeyB,0),"")</f>
        <v/>
      </c>
    </row>
    <row r="301">
      <c r="A301" s="17" t="n">
        <v>285</v>
      </c>
      <c r="B301" s="18">
        <f>IF(AND($L301="",$M301=""),"",IF($L301&lt;&gt;"",INDEX(SCNormDate,$L301),INDEX(LdgDateB,$M301)))</f>
        <v/>
      </c>
      <c r="C301" s="18">
        <f>IF($L301&lt;&gt;"",INDEX(SCOp,$L301),IF($M301&lt;&gt;"","پرداخت بانکی",""))</f>
        <v/>
      </c>
      <c r="D301" s="18">
        <f>IF($L301&lt;&gt;"",IF(INDEX(SCDoc,$L301)="","—",INDEX(SCDoc,$L301)),IF($M301&lt;&gt;"",INDEX(LdgBankB,$M301),""))</f>
        <v/>
      </c>
      <c r="E301" s="19">
        <f>IF($L301&lt;&gt;"",IF(INDEX(SCCitrus,$L301)&amp;INDEX(SCNotes,$L301)="","",IF(INDEX(SCCitrus,$L301)="","",INDEX(SCCitrus,$L301))&amp;IF(INDEX(SCNotes,$L301)="",""," — "&amp;INDEX(SCNotes,$L301))),IF($M301&lt;&gt;"",IF(INDEX(LdgNoteB,$M301)="","—",INDEX(LdgNoteB,$M301)),""))</f>
        <v/>
      </c>
      <c r="F301" s="20">
        <f>IF($L301&lt;&gt;"",IF(INDEX(SCNet,$L301)=0,"",INDEX(SCNet,$L301)),"")</f>
        <v/>
      </c>
      <c r="G301" s="21">
        <f>IF($L301&lt;&gt;"",IF(INDEX(SCOp,$L301)="مرجوعی فروش","",IF(INDEX(SCAmount,$L301)&lt;=0,"",INDEX(SCAmount,$L301))),IF($M301&lt;&gt;"",IF(INDEX(LdgWitB,$M301)=0,"",INDEX(LdgWitB,$M301)),""))</f>
        <v/>
      </c>
      <c r="H301" s="21">
        <f>IF($L301&lt;&gt;"",IF(INDEX(SCOp,$L301)="مرجوعی فروش",IF(INDEX(SCAmount,$L301)=0,"",-INDEX(SCAmount,$L301)),""),IF($M301&lt;&gt;"",IF(INDEX(LdgDepB,$M301)=0,"",INDEX(LdgDepB,$M301)),""))</f>
        <v/>
      </c>
      <c r="I301" s="22">
        <f>IF($B301="","",IF($I300="",$C$10,$I300)+IF($G301="",0,$G301)-IF($H301="",0,$H301))</f>
        <v/>
      </c>
      <c r="L301">
        <f>IFERROR(MATCH($C$5&amp;"|"&amp;RIGHT("000000"&amp;285,6),LdgRankKeyA,0),"")</f>
        <v/>
      </c>
      <c r="M301">
        <f>IFERROR(MATCH($C$5&amp;"|"&amp;RIGHT("000000"&amp;285,6),LdgRankKeyB,0),"")</f>
        <v/>
      </c>
    </row>
    <row r="302">
      <c r="A302" s="23" t="n">
        <v>286</v>
      </c>
      <c r="B302" s="24">
        <f>IF(AND($L302="",$M302=""),"",IF($L302&lt;&gt;"",INDEX(SCNormDate,$L302),INDEX(LdgDateB,$M302)))</f>
        <v/>
      </c>
      <c r="C302" s="24">
        <f>IF($L302&lt;&gt;"",INDEX(SCOp,$L302),IF($M302&lt;&gt;"","پرداخت بانکی",""))</f>
        <v/>
      </c>
      <c r="D302" s="24">
        <f>IF($L302&lt;&gt;"",IF(INDEX(SCDoc,$L302)="","—",INDEX(SCDoc,$L302)),IF($M302&lt;&gt;"",INDEX(LdgBankB,$M302),""))</f>
        <v/>
      </c>
      <c r="E302" s="25">
        <f>IF($L302&lt;&gt;"",IF(INDEX(SCCitrus,$L302)&amp;INDEX(SCNotes,$L302)="","",IF(INDEX(SCCitrus,$L302)="","",INDEX(SCCitrus,$L302))&amp;IF(INDEX(SCNotes,$L302)="",""," — "&amp;INDEX(SCNotes,$L302))),IF($M302&lt;&gt;"",IF(INDEX(LdgNoteB,$M302)="","—",INDEX(LdgNoteB,$M302)),""))</f>
        <v/>
      </c>
      <c r="F302" s="26">
        <f>IF($L302&lt;&gt;"",IF(INDEX(SCNet,$L302)=0,"",INDEX(SCNet,$L302)),"")</f>
        <v/>
      </c>
      <c r="G302" s="27">
        <f>IF($L302&lt;&gt;"",IF(INDEX(SCOp,$L302)="مرجوعی فروش","",IF(INDEX(SCAmount,$L302)&lt;=0,"",INDEX(SCAmount,$L302))),IF($M302&lt;&gt;"",IF(INDEX(LdgWitB,$M302)=0,"",INDEX(LdgWitB,$M302)),""))</f>
        <v/>
      </c>
      <c r="H302" s="27">
        <f>IF($L302&lt;&gt;"",IF(INDEX(SCOp,$L302)="مرجوعی فروش",IF(INDEX(SCAmount,$L302)=0,"",-INDEX(SCAmount,$L302)),""),IF($M302&lt;&gt;"",IF(INDEX(LdgDepB,$M302)=0,"",INDEX(LdgDepB,$M302)),""))</f>
        <v/>
      </c>
      <c r="I302" s="28">
        <f>IF($B302="","",IF($I301="",$C$10,$I301)+IF($G302="",0,$G302)-IF($H302="",0,$H302))</f>
        <v/>
      </c>
      <c r="L302">
        <f>IFERROR(MATCH($C$5&amp;"|"&amp;RIGHT("000000"&amp;286,6),LdgRankKeyA,0),"")</f>
        <v/>
      </c>
      <c r="M302">
        <f>IFERROR(MATCH($C$5&amp;"|"&amp;RIGHT("000000"&amp;286,6),LdgRankKeyB,0),"")</f>
        <v/>
      </c>
    </row>
    <row r="303">
      <c r="A303" s="17" t="n">
        <v>287</v>
      </c>
      <c r="B303" s="18">
        <f>IF(AND($L303="",$M303=""),"",IF($L303&lt;&gt;"",INDEX(SCNormDate,$L303),INDEX(LdgDateB,$M303)))</f>
        <v/>
      </c>
      <c r="C303" s="18">
        <f>IF($L303&lt;&gt;"",INDEX(SCOp,$L303),IF($M303&lt;&gt;"","پرداخت بانکی",""))</f>
        <v/>
      </c>
      <c r="D303" s="18">
        <f>IF($L303&lt;&gt;"",IF(INDEX(SCDoc,$L303)="","—",INDEX(SCDoc,$L303)),IF($M303&lt;&gt;"",INDEX(LdgBankB,$M303),""))</f>
        <v/>
      </c>
      <c r="E303" s="19">
        <f>IF($L303&lt;&gt;"",IF(INDEX(SCCitrus,$L303)&amp;INDEX(SCNotes,$L303)="","",IF(INDEX(SCCitrus,$L303)="","",INDEX(SCCitrus,$L303))&amp;IF(INDEX(SCNotes,$L303)="",""," — "&amp;INDEX(SCNotes,$L303))),IF($M303&lt;&gt;"",IF(INDEX(LdgNoteB,$M303)="","—",INDEX(LdgNoteB,$M303)),""))</f>
        <v/>
      </c>
      <c r="F303" s="20">
        <f>IF($L303&lt;&gt;"",IF(INDEX(SCNet,$L303)=0,"",INDEX(SCNet,$L303)),"")</f>
        <v/>
      </c>
      <c r="G303" s="21">
        <f>IF($L303&lt;&gt;"",IF(INDEX(SCOp,$L303)="مرجوعی فروش","",IF(INDEX(SCAmount,$L303)&lt;=0,"",INDEX(SCAmount,$L303))),IF($M303&lt;&gt;"",IF(INDEX(LdgWitB,$M303)=0,"",INDEX(LdgWitB,$M303)),""))</f>
        <v/>
      </c>
      <c r="H303" s="21">
        <f>IF($L303&lt;&gt;"",IF(INDEX(SCOp,$L303)="مرجوعی فروش",IF(INDEX(SCAmount,$L303)=0,"",-INDEX(SCAmount,$L303)),""),IF($M303&lt;&gt;"",IF(INDEX(LdgDepB,$M303)=0,"",INDEX(LdgDepB,$M303)),""))</f>
        <v/>
      </c>
      <c r="I303" s="22">
        <f>IF($B303="","",IF($I302="",$C$10,$I302)+IF($G303="",0,$G303)-IF($H303="",0,$H303))</f>
        <v/>
      </c>
      <c r="L303">
        <f>IFERROR(MATCH($C$5&amp;"|"&amp;RIGHT("000000"&amp;287,6),LdgRankKeyA,0),"")</f>
        <v/>
      </c>
      <c r="M303">
        <f>IFERROR(MATCH($C$5&amp;"|"&amp;RIGHT("000000"&amp;287,6),LdgRankKeyB,0),"")</f>
        <v/>
      </c>
    </row>
    <row r="304">
      <c r="A304" s="23" t="n">
        <v>288</v>
      </c>
      <c r="B304" s="24">
        <f>IF(AND($L304="",$M304=""),"",IF($L304&lt;&gt;"",INDEX(SCNormDate,$L304),INDEX(LdgDateB,$M304)))</f>
        <v/>
      </c>
      <c r="C304" s="24">
        <f>IF($L304&lt;&gt;"",INDEX(SCOp,$L304),IF($M304&lt;&gt;"","پرداخت بانکی",""))</f>
        <v/>
      </c>
      <c r="D304" s="24">
        <f>IF($L304&lt;&gt;"",IF(INDEX(SCDoc,$L304)="","—",INDEX(SCDoc,$L304)),IF($M304&lt;&gt;"",INDEX(LdgBankB,$M304),""))</f>
        <v/>
      </c>
      <c r="E304" s="25">
        <f>IF($L304&lt;&gt;"",IF(INDEX(SCCitrus,$L304)&amp;INDEX(SCNotes,$L304)="","",IF(INDEX(SCCitrus,$L304)="","",INDEX(SCCitrus,$L304))&amp;IF(INDEX(SCNotes,$L304)="",""," — "&amp;INDEX(SCNotes,$L304))),IF($M304&lt;&gt;"",IF(INDEX(LdgNoteB,$M304)="","—",INDEX(LdgNoteB,$M304)),""))</f>
        <v/>
      </c>
      <c r="F304" s="26">
        <f>IF($L304&lt;&gt;"",IF(INDEX(SCNet,$L304)=0,"",INDEX(SCNet,$L304)),"")</f>
        <v/>
      </c>
      <c r="G304" s="27">
        <f>IF($L304&lt;&gt;"",IF(INDEX(SCOp,$L304)="مرجوعی فروش","",IF(INDEX(SCAmount,$L304)&lt;=0,"",INDEX(SCAmount,$L304))),IF($M304&lt;&gt;"",IF(INDEX(LdgWitB,$M304)=0,"",INDEX(LdgWitB,$M304)),""))</f>
        <v/>
      </c>
      <c r="H304" s="27">
        <f>IF($L304&lt;&gt;"",IF(INDEX(SCOp,$L304)="مرجوعی فروش",IF(INDEX(SCAmount,$L304)=0,"",-INDEX(SCAmount,$L304)),""),IF($M304&lt;&gt;"",IF(INDEX(LdgDepB,$M304)=0,"",INDEX(LdgDepB,$M304)),""))</f>
        <v/>
      </c>
      <c r="I304" s="28">
        <f>IF($B304="","",IF($I303="",$C$10,$I303)+IF($G304="",0,$G304)-IF($H304="",0,$H304))</f>
        <v/>
      </c>
      <c r="L304">
        <f>IFERROR(MATCH($C$5&amp;"|"&amp;RIGHT("000000"&amp;288,6),LdgRankKeyA,0),"")</f>
        <v/>
      </c>
      <c r="M304">
        <f>IFERROR(MATCH($C$5&amp;"|"&amp;RIGHT("000000"&amp;288,6),LdgRankKeyB,0),"")</f>
        <v/>
      </c>
    </row>
    <row r="305">
      <c r="A305" s="17" t="n">
        <v>289</v>
      </c>
      <c r="B305" s="18">
        <f>IF(AND($L305="",$M305=""),"",IF($L305&lt;&gt;"",INDEX(SCNormDate,$L305),INDEX(LdgDateB,$M305)))</f>
        <v/>
      </c>
      <c r="C305" s="18">
        <f>IF($L305&lt;&gt;"",INDEX(SCOp,$L305),IF($M305&lt;&gt;"","پرداخت بانکی",""))</f>
        <v/>
      </c>
      <c r="D305" s="18">
        <f>IF($L305&lt;&gt;"",IF(INDEX(SCDoc,$L305)="","—",INDEX(SCDoc,$L305)),IF($M305&lt;&gt;"",INDEX(LdgBankB,$M305),""))</f>
        <v/>
      </c>
      <c r="E305" s="19">
        <f>IF($L305&lt;&gt;"",IF(INDEX(SCCitrus,$L305)&amp;INDEX(SCNotes,$L305)="","",IF(INDEX(SCCitrus,$L305)="","",INDEX(SCCitrus,$L305))&amp;IF(INDEX(SCNotes,$L305)="",""," — "&amp;INDEX(SCNotes,$L305))),IF($M305&lt;&gt;"",IF(INDEX(LdgNoteB,$M305)="","—",INDEX(LdgNoteB,$M305)),""))</f>
        <v/>
      </c>
      <c r="F305" s="20">
        <f>IF($L305&lt;&gt;"",IF(INDEX(SCNet,$L305)=0,"",INDEX(SCNet,$L305)),"")</f>
        <v/>
      </c>
      <c r="G305" s="21">
        <f>IF($L305&lt;&gt;"",IF(INDEX(SCOp,$L305)="مرجوعی فروش","",IF(INDEX(SCAmount,$L305)&lt;=0,"",INDEX(SCAmount,$L305))),IF($M305&lt;&gt;"",IF(INDEX(LdgWitB,$M305)=0,"",INDEX(LdgWitB,$M305)),""))</f>
        <v/>
      </c>
      <c r="H305" s="21">
        <f>IF($L305&lt;&gt;"",IF(INDEX(SCOp,$L305)="مرجوعی فروش",IF(INDEX(SCAmount,$L305)=0,"",-INDEX(SCAmount,$L305)),""),IF($M305&lt;&gt;"",IF(INDEX(LdgDepB,$M305)=0,"",INDEX(LdgDepB,$M305)),""))</f>
        <v/>
      </c>
      <c r="I305" s="22">
        <f>IF($B305="","",IF($I304="",$C$10,$I304)+IF($G305="",0,$G305)-IF($H305="",0,$H305))</f>
        <v/>
      </c>
      <c r="L305">
        <f>IFERROR(MATCH($C$5&amp;"|"&amp;RIGHT("000000"&amp;289,6),LdgRankKeyA,0),"")</f>
        <v/>
      </c>
      <c r="M305">
        <f>IFERROR(MATCH($C$5&amp;"|"&amp;RIGHT("000000"&amp;289,6),LdgRankKeyB,0),"")</f>
        <v/>
      </c>
    </row>
    <row r="306">
      <c r="A306" s="23" t="n">
        <v>290</v>
      </c>
      <c r="B306" s="24">
        <f>IF(AND($L306="",$M306=""),"",IF($L306&lt;&gt;"",INDEX(SCNormDate,$L306),INDEX(LdgDateB,$M306)))</f>
        <v/>
      </c>
      <c r="C306" s="24">
        <f>IF($L306&lt;&gt;"",INDEX(SCOp,$L306),IF($M306&lt;&gt;"","پرداخت بانکی",""))</f>
        <v/>
      </c>
      <c r="D306" s="24">
        <f>IF($L306&lt;&gt;"",IF(INDEX(SCDoc,$L306)="","—",INDEX(SCDoc,$L306)),IF($M306&lt;&gt;"",INDEX(LdgBankB,$M306),""))</f>
        <v/>
      </c>
      <c r="E306" s="25">
        <f>IF($L306&lt;&gt;"",IF(INDEX(SCCitrus,$L306)&amp;INDEX(SCNotes,$L306)="","",IF(INDEX(SCCitrus,$L306)="","",INDEX(SCCitrus,$L306))&amp;IF(INDEX(SCNotes,$L306)="",""," — "&amp;INDEX(SCNotes,$L306))),IF($M306&lt;&gt;"",IF(INDEX(LdgNoteB,$M306)="","—",INDEX(LdgNoteB,$M306)),""))</f>
        <v/>
      </c>
      <c r="F306" s="26">
        <f>IF($L306&lt;&gt;"",IF(INDEX(SCNet,$L306)=0,"",INDEX(SCNet,$L306)),"")</f>
        <v/>
      </c>
      <c r="G306" s="27">
        <f>IF($L306&lt;&gt;"",IF(INDEX(SCOp,$L306)="مرجوعی فروش","",IF(INDEX(SCAmount,$L306)&lt;=0,"",INDEX(SCAmount,$L306))),IF($M306&lt;&gt;"",IF(INDEX(LdgWitB,$M306)=0,"",INDEX(LdgWitB,$M306)),""))</f>
        <v/>
      </c>
      <c r="H306" s="27">
        <f>IF($L306&lt;&gt;"",IF(INDEX(SCOp,$L306)="مرجوعی فروش",IF(INDEX(SCAmount,$L306)=0,"",-INDEX(SCAmount,$L306)),""),IF($M306&lt;&gt;"",IF(INDEX(LdgDepB,$M306)=0,"",INDEX(LdgDepB,$M306)),""))</f>
        <v/>
      </c>
      <c r="I306" s="28">
        <f>IF($B306="","",IF($I305="",$C$10,$I305)+IF($G306="",0,$G306)-IF($H306="",0,$H306))</f>
        <v/>
      </c>
      <c r="L306">
        <f>IFERROR(MATCH($C$5&amp;"|"&amp;RIGHT("000000"&amp;290,6),LdgRankKeyA,0),"")</f>
        <v/>
      </c>
      <c r="M306">
        <f>IFERROR(MATCH($C$5&amp;"|"&amp;RIGHT("000000"&amp;290,6),LdgRankKeyB,0),"")</f>
        <v/>
      </c>
    </row>
    <row r="307">
      <c r="A307" s="17" t="n">
        <v>291</v>
      </c>
      <c r="B307" s="18">
        <f>IF(AND($L307="",$M307=""),"",IF($L307&lt;&gt;"",INDEX(SCNormDate,$L307),INDEX(LdgDateB,$M307)))</f>
        <v/>
      </c>
      <c r="C307" s="18">
        <f>IF($L307&lt;&gt;"",INDEX(SCOp,$L307),IF($M307&lt;&gt;"","پرداخت بانکی",""))</f>
        <v/>
      </c>
      <c r="D307" s="18">
        <f>IF($L307&lt;&gt;"",IF(INDEX(SCDoc,$L307)="","—",INDEX(SCDoc,$L307)),IF($M307&lt;&gt;"",INDEX(LdgBankB,$M307),""))</f>
        <v/>
      </c>
      <c r="E307" s="19">
        <f>IF($L307&lt;&gt;"",IF(INDEX(SCCitrus,$L307)&amp;INDEX(SCNotes,$L307)="","",IF(INDEX(SCCitrus,$L307)="","",INDEX(SCCitrus,$L307))&amp;IF(INDEX(SCNotes,$L307)="",""," — "&amp;INDEX(SCNotes,$L307))),IF($M307&lt;&gt;"",IF(INDEX(LdgNoteB,$M307)="","—",INDEX(LdgNoteB,$M307)),""))</f>
        <v/>
      </c>
      <c r="F307" s="20">
        <f>IF($L307&lt;&gt;"",IF(INDEX(SCNet,$L307)=0,"",INDEX(SCNet,$L307)),"")</f>
        <v/>
      </c>
      <c r="G307" s="21">
        <f>IF($L307&lt;&gt;"",IF(INDEX(SCOp,$L307)="مرجوعی فروش","",IF(INDEX(SCAmount,$L307)&lt;=0,"",INDEX(SCAmount,$L307))),IF($M307&lt;&gt;"",IF(INDEX(LdgWitB,$M307)=0,"",INDEX(LdgWitB,$M307)),""))</f>
        <v/>
      </c>
      <c r="H307" s="21">
        <f>IF($L307&lt;&gt;"",IF(INDEX(SCOp,$L307)="مرجوعی فروش",IF(INDEX(SCAmount,$L307)=0,"",-INDEX(SCAmount,$L307)),""),IF($M307&lt;&gt;"",IF(INDEX(LdgDepB,$M307)=0,"",INDEX(LdgDepB,$M307)),""))</f>
        <v/>
      </c>
      <c r="I307" s="22">
        <f>IF($B307="","",IF($I306="",$C$10,$I306)+IF($G307="",0,$G307)-IF($H307="",0,$H307))</f>
        <v/>
      </c>
      <c r="L307">
        <f>IFERROR(MATCH($C$5&amp;"|"&amp;RIGHT("000000"&amp;291,6),LdgRankKeyA,0),"")</f>
        <v/>
      </c>
      <c r="M307">
        <f>IFERROR(MATCH($C$5&amp;"|"&amp;RIGHT("000000"&amp;291,6),LdgRankKeyB,0),"")</f>
        <v/>
      </c>
    </row>
    <row r="308">
      <c r="A308" s="23" t="n">
        <v>292</v>
      </c>
      <c r="B308" s="24">
        <f>IF(AND($L308="",$M308=""),"",IF($L308&lt;&gt;"",INDEX(SCNormDate,$L308),INDEX(LdgDateB,$M308)))</f>
        <v/>
      </c>
      <c r="C308" s="24">
        <f>IF($L308&lt;&gt;"",INDEX(SCOp,$L308),IF($M308&lt;&gt;"","پرداخت بانکی",""))</f>
        <v/>
      </c>
      <c r="D308" s="24">
        <f>IF($L308&lt;&gt;"",IF(INDEX(SCDoc,$L308)="","—",INDEX(SCDoc,$L308)),IF($M308&lt;&gt;"",INDEX(LdgBankB,$M308),""))</f>
        <v/>
      </c>
      <c r="E308" s="25">
        <f>IF($L308&lt;&gt;"",IF(INDEX(SCCitrus,$L308)&amp;INDEX(SCNotes,$L308)="","",IF(INDEX(SCCitrus,$L308)="","",INDEX(SCCitrus,$L308))&amp;IF(INDEX(SCNotes,$L308)="",""," — "&amp;INDEX(SCNotes,$L308))),IF($M308&lt;&gt;"",IF(INDEX(LdgNoteB,$M308)="","—",INDEX(LdgNoteB,$M308)),""))</f>
        <v/>
      </c>
      <c r="F308" s="26">
        <f>IF($L308&lt;&gt;"",IF(INDEX(SCNet,$L308)=0,"",INDEX(SCNet,$L308)),"")</f>
        <v/>
      </c>
      <c r="G308" s="27">
        <f>IF($L308&lt;&gt;"",IF(INDEX(SCOp,$L308)="مرجوعی فروش","",IF(INDEX(SCAmount,$L308)&lt;=0,"",INDEX(SCAmount,$L308))),IF($M308&lt;&gt;"",IF(INDEX(LdgWitB,$M308)=0,"",INDEX(LdgWitB,$M308)),""))</f>
        <v/>
      </c>
      <c r="H308" s="27">
        <f>IF($L308&lt;&gt;"",IF(INDEX(SCOp,$L308)="مرجوعی فروش",IF(INDEX(SCAmount,$L308)=0,"",-INDEX(SCAmount,$L308)),""),IF($M308&lt;&gt;"",IF(INDEX(LdgDepB,$M308)=0,"",INDEX(LdgDepB,$M308)),""))</f>
        <v/>
      </c>
      <c r="I308" s="28">
        <f>IF($B308="","",IF($I307="",$C$10,$I307)+IF($G308="",0,$G308)-IF($H308="",0,$H308))</f>
        <v/>
      </c>
      <c r="L308">
        <f>IFERROR(MATCH($C$5&amp;"|"&amp;RIGHT("000000"&amp;292,6),LdgRankKeyA,0),"")</f>
        <v/>
      </c>
      <c r="M308">
        <f>IFERROR(MATCH($C$5&amp;"|"&amp;RIGHT("000000"&amp;292,6),LdgRankKeyB,0),"")</f>
        <v/>
      </c>
    </row>
    <row r="309">
      <c r="A309" s="17" t="n">
        <v>293</v>
      </c>
      <c r="B309" s="18">
        <f>IF(AND($L309="",$M309=""),"",IF($L309&lt;&gt;"",INDEX(SCNormDate,$L309),INDEX(LdgDateB,$M309)))</f>
        <v/>
      </c>
      <c r="C309" s="18">
        <f>IF($L309&lt;&gt;"",INDEX(SCOp,$L309),IF($M309&lt;&gt;"","پرداخت بانکی",""))</f>
        <v/>
      </c>
      <c r="D309" s="18">
        <f>IF($L309&lt;&gt;"",IF(INDEX(SCDoc,$L309)="","—",INDEX(SCDoc,$L309)),IF($M309&lt;&gt;"",INDEX(LdgBankB,$M309),""))</f>
        <v/>
      </c>
      <c r="E309" s="19">
        <f>IF($L309&lt;&gt;"",IF(INDEX(SCCitrus,$L309)&amp;INDEX(SCNotes,$L309)="","",IF(INDEX(SCCitrus,$L309)="","",INDEX(SCCitrus,$L309))&amp;IF(INDEX(SCNotes,$L309)="",""," — "&amp;INDEX(SCNotes,$L309))),IF($M309&lt;&gt;"",IF(INDEX(LdgNoteB,$M309)="","—",INDEX(LdgNoteB,$M309)),""))</f>
        <v/>
      </c>
      <c r="F309" s="20">
        <f>IF($L309&lt;&gt;"",IF(INDEX(SCNet,$L309)=0,"",INDEX(SCNet,$L309)),"")</f>
        <v/>
      </c>
      <c r="G309" s="21">
        <f>IF($L309&lt;&gt;"",IF(INDEX(SCOp,$L309)="مرجوعی فروش","",IF(INDEX(SCAmount,$L309)&lt;=0,"",INDEX(SCAmount,$L309))),IF($M309&lt;&gt;"",IF(INDEX(LdgWitB,$M309)=0,"",INDEX(LdgWitB,$M309)),""))</f>
        <v/>
      </c>
      <c r="H309" s="21">
        <f>IF($L309&lt;&gt;"",IF(INDEX(SCOp,$L309)="مرجوعی فروش",IF(INDEX(SCAmount,$L309)=0,"",-INDEX(SCAmount,$L309)),""),IF($M309&lt;&gt;"",IF(INDEX(LdgDepB,$M309)=0,"",INDEX(LdgDepB,$M309)),""))</f>
        <v/>
      </c>
      <c r="I309" s="22">
        <f>IF($B309="","",IF($I308="",$C$10,$I308)+IF($G309="",0,$G309)-IF($H309="",0,$H309))</f>
        <v/>
      </c>
      <c r="L309">
        <f>IFERROR(MATCH($C$5&amp;"|"&amp;RIGHT("000000"&amp;293,6),LdgRankKeyA,0),"")</f>
        <v/>
      </c>
      <c r="M309">
        <f>IFERROR(MATCH($C$5&amp;"|"&amp;RIGHT("000000"&amp;293,6),LdgRankKeyB,0),"")</f>
        <v/>
      </c>
    </row>
    <row r="310">
      <c r="A310" s="23" t="n">
        <v>294</v>
      </c>
      <c r="B310" s="24">
        <f>IF(AND($L310="",$M310=""),"",IF($L310&lt;&gt;"",INDEX(SCNormDate,$L310),INDEX(LdgDateB,$M310)))</f>
        <v/>
      </c>
      <c r="C310" s="24">
        <f>IF($L310&lt;&gt;"",INDEX(SCOp,$L310),IF($M310&lt;&gt;"","پرداخت بانکی",""))</f>
        <v/>
      </c>
      <c r="D310" s="24">
        <f>IF($L310&lt;&gt;"",IF(INDEX(SCDoc,$L310)="","—",INDEX(SCDoc,$L310)),IF($M310&lt;&gt;"",INDEX(LdgBankB,$M310),""))</f>
        <v/>
      </c>
      <c r="E310" s="25">
        <f>IF($L310&lt;&gt;"",IF(INDEX(SCCitrus,$L310)&amp;INDEX(SCNotes,$L310)="","",IF(INDEX(SCCitrus,$L310)="","",INDEX(SCCitrus,$L310))&amp;IF(INDEX(SCNotes,$L310)="",""," — "&amp;INDEX(SCNotes,$L310))),IF($M310&lt;&gt;"",IF(INDEX(LdgNoteB,$M310)="","—",INDEX(LdgNoteB,$M310)),""))</f>
        <v/>
      </c>
      <c r="F310" s="26">
        <f>IF($L310&lt;&gt;"",IF(INDEX(SCNet,$L310)=0,"",INDEX(SCNet,$L310)),"")</f>
        <v/>
      </c>
      <c r="G310" s="27">
        <f>IF($L310&lt;&gt;"",IF(INDEX(SCOp,$L310)="مرجوعی فروش","",IF(INDEX(SCAmount,$L310)&lt;=0,"",INDEX(SCAmount,$L310))),IF($M310&lt;&gt;"",IF(INDEX(LdgWitB,$M310)=0,"",INDEX(LdgWitB,$M310)),""))</f>
        <v/>
      </c>
      <c r="H310" s="27">
        <f>IF($L310&lt;&gt;"",IF(INDEX(SCOp,$L310)="مرجوعی فروش",IF(INDEX(SCAmount,$L310)=0,"",-INDEX(SCAmount,$L310)),""),IF($M310&lt;&gt;"",IF(INDEX(LdgDepB,$M310)=0,"",INDEX(LdgDepB,$M310)),""))</f>
        <v/>
      </c>
      <c r="I310" s="28">
        <f>IF($B310="","",IF($I309="",$C$10,$I309)+IF($G310="",0,$G310)-IF($H310="",0,$H310))</f>
        <v/>
      </c>
      <c r="L310">
        <f>IFERROR(MATCH($C$5&amp;"|"&amp;RIGHT("000000"&amp;294,6),LdgRankKeyA,0),"")</f>
        <v/>
      </c>
      <c r="M310">
        <f>IFERROR(MATCH($C$5&amp;"|"&amp;RIGHT("000000"&amp;294,6),LdgRankKeyB,0),"")</f>
        <v/>
      </c>
    </row>
    <row r="311">
      <c r="A311" s="17" t="n">
        <v>295</v>
      </c>
      <c r="B311" s="18">
        <f>IF(AND($L311="",$M311=""),"",IF($L311&lt;&gt;"",INDEX(SCNormDate,$L311),INDEX(LdgDateB,$M311)))</f>
        <v/>
      </c>
      <c r="C311" s="18">
        <f>IF($L311&lt;&gt;"",INDEX(SCOp,$L311),IF($M311&lt;&gt;"","پرداخت بانکی",""))</f>
        <v/>
      </c>
      <c r="D311" s="18">
        <f>IF($L311&lt;&gt;"",IF(INDEX(SCDoc,$L311)="","—",INDEX(SCDoc,$L311)),IF($M311&lt;&gt;"",INDEX(LdgBankB,$M311),""))</f>
        <v/>
      </c>
      <c r="E311" s="19">
        <f>IF($L311&lt;&gt;"",IF(INDEX(SCCitrus,$L311)&amp;INDEX(SCNotes,$L311)="","",IF(INDEX(SCCitrus,$L311)="","",INDEX(SCCitrus,$L311))&amp;IF(INDEX(SCNotes,$L311)="",""," — "&amp;INDEX(SCNotes,$L311))),IF($M311&lt;&gt;"",IF(INDEX(LdgNoteB,$M311)="","—",INDEX(LdgNoteB,$M311)),""))</f>
        <v/>
      </c>
      <c r="F311" s="20">
        <f>IF($L311&lt;&gt;"",IF(INDEX(SCNet,$L311)=0,"",INDEX(SCNet,$L311)),"")</f>
        <v/>
      </c>
      <c r="G311" s="21">
        <f>IF($L311&lt;&gt;"",IF(INDEX(SCOp,$L311)="مرجوعی فروش","",IF(INDEX(SCAmount,$L311)&lt;=0,"",INDEX(SCAmount,$L311))),IF($M311&lt;&gt;"",IF(INDEX(LdgWitB,$M311)=0,"",INDEX(LdgWitB,$M311)),""))</f>
        <v/>
      </c>
      <c r="H311" s="21">
        <f>IF($L311&lt;&gt;"",IF(INDEX(SCOp,$L311)="مرجوعی فروش",IF(INDEX(SCAmount,$L311)=0,"",-INDEX(SCAmount,$L311)),""),IF($M311&lt;&gt;"",IF(INDEX(LdgDepB,$M311)=0,"",INDEX(LdgDepB,$M311)),""))</f>
        <v/>
      </c>
      <c r="I311" s="22">
        <f>IF($B311="","",IF($I310="",$C$10,$I310)+IF($G311="",0,$G311)-IF($H311="",0,$H311))</f>
        <v/>
      </c>
      <c r="L311">
        <f>IFERROR(MATCH($C$5&amp;"|"&amp;RIGHT("000000"&amp;295,6),LdgRankKeyA,0),"")</f>
        <v/>
      </c>
      <c r="M311">
        <f>IFERROR(MATCH($C$5&amp;"|"&amp;RIGHT("000000"&amp;295,6),LdgRankKeyB,0),"")</f>
        <v/>
      </c>
    </row>
    <row r="312">
      <c r="A312" s="23" t="n">
        <v>296</v>
      </c>
      <c r="B312" s="24">
        <f>IF(AND($L312="",$M312=""),"",IF($L312&lt;&gt;"",INDEX(SCNormDate,$L312),INDEX(LdgDateB,$M312)))</f>
        <v/>
      </c>
      <c r="C312" s="24">
        <f>IF($L312&lt;&gt;"",INDEX(SCOp,$L312),IF($M312&lt;&gt;"","پرداخت بانکی",""))</f>
        <v/>
      </c>
      <c r="D312" s="24">
        <f>IF($L312&lt;&gt;"",IF(INDEX(SCDoc,$L312)="","—",INDEX(SCDoc,$L312)),IF($M312&lt;&gt;"",INDEX(LdgBankB,$M312),""))</f>
        <v/>
      </c>
      <c r="E312" s="25">
        <f>IF($L312&lt;&gt;"",IF(INDEX(SCCitrus,$L312)&amp;INDEX(SCNotes,$L312)="","",IF(INDEX(SCCitrus,$L312)="","",INDEX(SCCitrus,$L312))&amp;IF(INDEX(SCNotes,$L312)="",""," — "&amp;INDEX(SCNotes,$L312))),IF($M312&lt;&gt;"",IF(INDEX(LdgNoteB,$M312)="","—",INDEX(LdgNoteB,$M312)),""))</f>
        <v/>
      </c>
      <c r="F312" s="26">
        <f>IF($L312&lt;&gt;"",IF(INDEX(SCNet,$L312)=0,"",INDEX(SCNet,$L312)),"")</f>
        <v/>
      </c>
      <c r="G312" s="27">
        <f>IF($L312&lt;&gt;"",IF(INDEX(SCOp,$L312)="مرجوعی فروش","",IF(INDEX(SCAmount,$L312)&lt;=0,"",INDEX(SCAmount,$L312))),IF($M312&lt;&gt;"",IF(INDEX(LdgWitB,$M312)=0,"",INDEX(LdgWitB,$M312)),""))</f>
        <v/>
      </c>
      <c r="H312" s="27">
        <f>IF($L312&lt;&gt;"",IF(INDEX(SCOp,$L312)="مرجوعی فروش",IF(INDEX(SCAmount,$L312)=0,"",-INDEX(SCAmount,$L312)),""),IF($M312&lt;&gt;"",IF(INDEX(LdgDepB,$M312)=0,"",INDEX(LdgDepB,$M312)),""))</f>
        <v/>
      </c>
      <c r="I312" s="28">
        <f>IF($B312="","",IF($I311="",$C$10,$I311)+IF($G312="",0,$G312)-IF($H312="",0,$H312))</f>
        <v/>
      </c>
      <c r="L312">
        <f>IFERROR(MATCH($C$5&amp;"|"&amp;RIGHT("000000"&amp;296,6),LdgRankKeyA,0),"")</f>
        <v/>
      </c>
      <c r="M312">
        <f>IFERROR(MATCH($C$5&amp;"|"&amp;RIGHT("000000"&amp;296,6),LdgRankKeyB,0),"")</f>
        <v/>
      </c>
    </row>
    <row r="313">
      <c r="A313" s="17" t="n">
        <v>297</v>
      </c>
      <c r="B313" s="18">
        <f>IF(AND($L313="",$M313=""),"",IF($L313&lt;&gt;"",INDEX(SCNormDate,$L313),INDEX(LdgDateB,$M313)))</f>
        <v/>
      </c>
      <c r="C313" s="18">
        <f>IF($L313&lt;&gt;"",INDEX(SCOp,$L313),IF($M313&lt;&gt;"","پرداخت بانکی",""))</f>
        <v/>
      </c>
      <c r="D313" s="18">
        <f>IF($L313&lt;&gt;"",IF(INDEX(SCDoc,$L313)="","—",INDEX(SCDoc,$L313)),IF($M313&lt;&gt;"",INDEX(LdgBankB,$M313),""))</f>
        <v/>
      </c>
      <c r="E313" s="19">
        <f>IF($L313&lt;&gt;"",IF(INDEX(SCCitrus,$L313)&amp;INDEX(SCNotes,$L313)="","",IF(INDEX(SCCitrus,$L313)="","",INDEX(SCCitrus,$L313))&amp;IF(INDEX(SCNotes,$L313)="",""," — "&amp;INDEX(SCNotes,$L313))),IF($M313&lt;&gt;"",IF(INDEX(LdgNoteB,$M313)="","—",INDEX(LdgNoteB,$M313)),""))</f>
        <v/>
      </c>
      <c r="F313" s="20">
        <f>IF($L313&lt;&gt;"",IF(INDEX(SCNet,$L313)=0,"",INDEX(SCNet,$L313)),"")</f>
        <v/>
      </c>
      <c r="G313" s="21">
        <f>IF($L313&lt;&gt;"",IF(INDEX(SCOp,$L313)="مرجوعی فروش","",IF(INDEX(SCAmount,$L313)&lt;=0,"",INDEX(SCAmount,$L313))),IF($M313&lt;&gt;"",IF(INDEX(LdgWitB,$M313)=0,"",INDEX(LdgWitB,$M313)),""))</f>
        <v/>
      </c>
      <c r="H313" s="21">
        <f>IF($L313&lt;&gt;"",IF(INDEX(SCOp,$L313)="مرجوعی فروش",IF(INDEX(SCAmount,$L313)=0,"",-INDEX(SCAmount,$L313)),""),IF($M313&lt;&gt;"",IF(INDEX(LdgDepB,$M313)=0,"",INDEX(LdgDepB,$M313)),""))</f>
        <v/>
      </c>
      <c r="I313" s="22">
        <f>IF($B313="","",IF($I312="",$C$10,$I312)+IF($G313="",0,$G313)-IF($H313="",0,$H313))</f>
        <v/>
      </c>
      <c r="L313">
        <f>IFERROR(MATCH($C$5&amp;"|"&amp;RIGHT("000000"&amp;297,6),LdgRankKeyA,0),"")</f>
        <v/>
      </c>
      <c r="M313">
        <f>IFERROR(MATCH($C$5&amp;"|"&amp;RIGHT("000000"&amp;297,6),LdgRankKeyB,0),"")</f>
        <v/>
      </c>
    </row>
    <row r="314">
      <c r="A314" s="23" t="n">
        <v>298</v>
      </c>
      <c r="B314" s="24">
        <f>IF(AND($L314="",$M314=""),"",IF($L314&lt;&gt;"",INDEX(SCNormDate,$L314),INDEX(LdgDateB,$M314)))</f>
        <v/>
      </c>
      <c r="C314" s="24">
        <f>IF($L314&lt;&gt;"",INDEX(SCOp,$L314),IF($M314&lt;&gt;"","پرداخت بانکی",""))</f>
        <v/>
      </c>
      <c r="D314" s="24">
        <f>IF($L314&lt;&gt;"",IF(INDEX(SCDoc,$L314)="","—",INDEX(SCDoc,$L314)),IF($M314&lt;&gt;"",INDEX(LdgBankB,$M314),""))</f>
        <v/>
      </c>
      <c r="E314" s="25">
        <f>IF($L314&lt;&gt;"",IF(INDEX(SCCitrus,$L314)&amp;INDEX(SCNotes,$L314)="","",IF(INDEX(SCCitrus,$L314)="","",INDEX(SCCitrus,$L314))&amp;IF(INDEX(SCNotes,$L314)="",""," — "&amp;INDEX(SCNotes,$L314))),IF($M314&lt;&gt;"",IF(INDEX(LdgNoteB,$M314)="","—",INDEX(LdgNoteB,$M314)),""))</f>
        <v/>
      </c>
      <c r="F314" s="26">
        <f>IF($L314&lt;&gt;"",IF(INDEX(SCNet,$L314)=0,"",INDEX(SCNet,$L314)),"")</f>
        <v/>
      </c>
      <c r="G314" s="27">
        <f>IF($L314&lt;&gt;"",IF(INDEX(SCOp,$L314)="مرجوعی فروش","",IF(INDEX(SCAmount,$L314)&lt;=0,"",INDEX(SCAmount,$L314))),IF($M314&lt;&gt;"",IF(INDEX(LdgWitB,$M314)=0,"",INDEX(LdgWitB,$M314)),""))</f>
        <v/>
      </c>
      <c r="H314" s="27">
        <f>IF($L314&lt;&gt;"",IF(INDEX(SCOp,$L314)="مرجوعی فروش",IF(INDEX(SCAmount,$L314)=0,"",-INDEX(SCAmount,$L314)),""),IF($M314&lt;&gt;"",IF(INDEX(LdgDepB,$M314)=0,"",INDEX(LdgDepB,$M314)),""))</f>
        <v/>
      </c>
      <c r="I314" s="28">
        <f>IF($B314="","",IF($I313="",$C$10,$I313)+IF($G314="",0,$G314)-IF($H314="",0,$H314))</f>
        <v/>
      </c>
      <c r="L314">
        <f>IFERROR(MATCH($C$5&amp;"|"&amp;RIGHT("000000"&amp;298,6),LdgRankKeyA,0),"")</f>
        <v/>
      </c>
      <c r="M314">
        <f>IFERROR(MATCH($C$5&amp;"|"&amp;RIGHT("000000"&amp;298,6),LdgRankKeyB,0),"")</f>
        <v/>
      </c>
    </row>
    <row r="315">
      <c r="A315" s="17" t="n">
        <v>299</v>
      </c>
      <c r="B315" s="18">
        <f>IF(AND($L315="",$M315=""),"",IF($L315&lt;&gt;"",INDEX(SCNormDate,$L315),INDEX(LdgDateB,$M315)))</f>
        <v/>
      </c>
      <c r="C315" s="18">
        <f>IF($L315&lt;&gt;"",INDEX(SCOp,$L315),IF($M315&lt;&gt;"","پرداخت بانکی",""))</f>
        <v/>
      </c>
      <c r="D315" s="18">
        <f>IF($L315&lt;&gt;"",IF(INDEX(SCDoc,$L315)="","—",INDEX(SCDoc,$L315)),IF($M315&lt;&gt;"",INDEX(LdgBankB,$M315),""))</f>
        <v/>
      </c>
      <c r="E315" s="19">
        <f>IF($L315&lt;&gt;"",IF(INDEX(SCCitrus,$L315)&amp;INDEX(SCNotes,$L315)="","",IF(INDEX(SCCitrus,$L315)="","",INDEX(SCCitrus,$L315))&amp;IF(INDEX(SCNotes,$L315)="",""," — "&amp;INDEX(SCNotes,$L315))),IF($M315&lt;&gt;"",IF(INDEX(LdgNoteB,$M315)="","—",INDEX(LdgNoteB,$M315)),""))</f>
        <v/>
      </c>
      <c r="F315" s="20">
        <f>IF($L315&lt;&gt;"",IF(INDEX(SCNet,$L315)=0,"",INDEX(SCNet,$L315)),"")</f>
        <v/>
      </c>
      <c r="G315" s="21">
        <f>IF($L315&lt;&gt;"",IF(INDEX(SCOp,$L315)="مرجوعی فروش","",IF(INDEX(SCAmount,$L315)&lt;=0,"",INDEX(SCAmount,$L315))),IF($M315&lt;&gt;"",IF(INDEX(LdgWitB,$M315)=0,"",INDEX(LdgWitB,$M315)),""))</f>
        <v/>
      </c>
      <c r="H315" s="21">
        <f>IF($L315&lt;&gt;"",IF(INDEX(SCOp,$L315)="مرجوعی فروش",IF(INDEX(SCAmount,$L315)=0,"",-INDEX(SCAmount,$L315)),""),IF($M315&lt;&gt;"",IF(INDEX(LdgDepB,$M315)=0,"",INDEX(LdgDepB,$M315)),""))</f>
        <v/>
      </c>
      <c r="I315" s="22">
        <f>IF($B315="","",IF($I314="",$C$10,$I314)+IF($G315="",0,$G315)-IF($H315="",0,$H315))</f>
        <v/>
      </c>
      <c r="L315">
        <f>IFERROR(MATCH($C$5&amp;"|"&amp;RIGHT("000000"&amp;299,6),LdgRankKeyA,0),"")</f>
        <v/>
      </c>
      <c r="M315">
        <f>IFERROR(MATCH($C$5&amp;"|"&amp;RIGHT("000000"&amp;299,6),LdgRankKeyB,0),"")</f>
        <v/>
      </c>
    </row>
    <row r="316">
      <c r="A316" s="23" t="n">
        <v>300</v>
      </c>
      <c r="B316" s="24">
        <f>IF(AND($L316="",$M316=""),"",IF($L316&lt;&gt;"",INDEX(SCNormDate,$L316),INDEX(LdgDateB,$M316)))</f>
        <v/>
      </c>
      <c r="C316" s="24">
        <f>IF($L316&lt;&gt;"",INDEX(SCOp,$L316),IF($M316&lt;&gt;"","پرداخت بانکی",""))</f>
        <v/>
      </c>
      <c r="D316" s="24">
        <f>IF($L316&lt;&gt;"",IF(INDEX(SCDoc,$L316)="","—",INDEX(SCDoc,$L316)),IF($M316&lt;&gt;"",INDEX(LdgBankB,$M316),""))</f>
        <v/>
      </c>
      <c r="E316" s="25">
        <f>IF($L316&lt;&gt;"",IF(INDEX(SCCitrus,$L316)&amp;INDEX(SCNotes,$L316)="","",IF(INDEX(SCCitrus,$L316)="","",INDEX(SCCitrus,$L316))&amp;IF(INDEX(SCNotes,$L316)="",""," — "&amp;INDEX(SCNotes,$L316))),IF($M316&lt;&gt;"",IF(INDEX(LdgNoteB,$M316)="","—",INDEX(LdgNoteB,$M316)),""))</f>
        <v/>
      </c>
      <c r="F316" s="26">
        <f>IF($L316&lt;&gt;"",IF(INDEX(SCNet,$L316)=0,"",INDEX(SCNet,$L316)),"")</f>
        <v/>
      </c>
      <c r="G316" s="27">
        <f>IF($L316&lt;&gt;"",IF(INDEX(SCOp,$L316)="مرجوعی فروش","",IF(INDEX(SCAmount,$L316)&lt;=0,"",INDEX(SCAmount,$L316))),IF($M316&lt;&gt;"",IF(INDEX(LdgWitB,$M316)=0,"",INDEX(LdgWitB,$M316)),""))</f>
        <v/>
      </c>
      <c r="H316" s="27">
        <f>IF($L316&lt;&gt;"",IF(INDEX(SCOp,$L316)="مرجوعی فروش",IF(INDEX(SCAmount,$L316)=0,"",-INDEX(SCAmount,$L316)),""),IF($M316&lt;&gt;"",IF(INDEX(LdgDepB,$M316)=0,"",INDEX(LdgDepB,$M316)),""))</f>
        <v/>
      </c>
      <c r="I316" s="28">
        <f>IF($B316="","",IF($I315="",$C$10,$I315)+IF($G316="",0,$G316)-IF($H316="",0,$H316))</f>
        <v/>
      </c>
      <c r="L316">
        <f>IFERROR(MATCH($C$5&amp;"|"&amp;RIGHT("000000"&amp;300,6),LdgRankKeyA,0),"")</f>
        <v/>
      </c>
      <c r="M316">
        <f>IFERROR(MATCH($C$5&amp;"|"&amp;RIGHT("000000"&amp;300,6),LdgRankKeyB,0),"")</f>
        <v/>
      </c>
    </row>
    <row r="317">
      <c r="A317" s="17" t="n">
        <v>301</v>
      </c>
      <c r="B317" s="18">
        <f>IF(AND($L317="",$M317=""),"",IF($L317&lt;&gt;"",INDEX(SCNormDate,$L317),INDEX(LdgDateB,$M317)))</f>
        <v/>
      </c>
      <c r="C317" s="18">
        <f>IF($L317&lt;&gt;"",INDEX(SCOp,$L317),IF($M317&lt;&gt;"","پرداخت بانکی",""))</f>
        <v/>
      </c>
      <c r="D317" s="18">
        <f>IF($L317&lt;&gt;"",IF(INDEX(SCDoc,$L317)="","—",INDEX(SCDoc,$L317)),IF($M317&lt;&gt;"",INDEX(LdgBankB,$M317),""))</f>
        <v/>
      </c>
      <c r="E317" s="19">
        <f>IF($L317&lt;&gt;"",IF(INDEX(SCCitrus,$L317)&amp;INDEX(SCNotes,$L317)="","",IF(INDEX(SCCitrus,$L317)="","",INDEX(SCCitrus,$L317))&amp;IF(INDEX(SCNotes,$L317)="",""," — "&amp;INDEX(SCNotes,$L317))),IF($M317&lt;&gt;"",IF(INDEX(LdgNoteB,$M317)="","—",INDEX(LdgNoteB,$M317)),""))</f>
        <v/>
      </c>
      <c r="F317" s="20">
        <f>IF($L317&lt;&gt;"",IF(INDEX(SCNet,$L317)=0,"",INDEX(SCNet,$L317)),"")</f>
        <v/>
      </c>
      <c r="G317" s="21">
        <f>IF($L317&lt;&gt;"",IF(INDEX(SCOp,$L317)="مرجوعی فروش","",IF(INDEX(SCAmount,$L317)&lt;=0,"",INDEX(SCAmount,$L317))),IF($M317&lt;&gt;"",IF(INDEX(LdgWitB,$M317)=0,"",INDEX(LdgWitB,$M317)),""))</f>
        <v/>
      </c>
      <c r="H317" s="21">
        <f>IF($L317&lt;&gt;"",IF(INDEX(SCOp,$L317)="مرجوعی فروش",IF(INDEX(SCAmount,$L317)=0,"",-INDEX(SCAmount,$L317)),""),IF($M317&lt;&gt;"",IF(INDEX(LdgDepB,$M317)=0,"",INDEX(LdgDepB,$M317)),""))</f>
        <v/>
      </c>
      <c r="I317" s="22">
        <f>IF($B317="","",IF($I316="",$C$10,$I316)+IF($G317="",0,$G317)-IF($H317="",0,$H317))</f>
        <v/>
      </c>
      <c r="L317">
        <f>IFERROR(MATCH($C$5&amp;"|"&amp;RIGHT("000000"&amp;301,6),LdgRankKeyA,0),"")</f>
        <v/>
      </c>
      <c r="M317">
        <f>IFERROR(MATCH($C$5&amp;"|"&amp;RIGHT("000000"&amp;301,6),LdgRankKeyB,0),"")</f>
        <v/>
      </c>
    </row>
    <row r="318">
      <c r="A318" s="23" t="n">
        <v>302</v>
      </c>
      <c r="B318" s="24">
        <f>IF(AND($L318="",$M318=""),"",IF($L318&lt;&gt;"",INDEX(SCNormDate,$L318),INDEX(LdgDateB,$M318)))</f>
        <v/>
      </c>
      <c r="C318" s="24">
        <f>IF($L318&lt;&gt;"",INDEX(SCOp,$L318),IF($M318&lt;&gt;"","پرداخت بانکی",""))</f>
        <v/>
      </c>
      <c r="D318" s="24">
        <f>IF($L318&lt;&gt;"",IF(INDEX(SCDoc,$L318)="","—",INDEX(SCDoc,$L318)),IF($M318&lt;&gt;"",INDEX(LdgBankB,$M318),""))</f>
        <v/>
      </c>
      <c r="E318" s="25">
        <f>IF($L318&lt;&gt;"",IF(INDEX(SCCitrus,$L318)&amp;INDEX(SCNotes,$L318)="","",IF(INDEX(SCCitrus,$L318)="","",INDEX(SCCitrus,$L318))&amp;IF(INDEX(SCNotes,$L318)="",""," — "&amp;INDEX(SCNotes,$L318))),IF($M318&lt;&gt;"",IF(INDEX(LdgNoteB,$M318)="","—",INDEX(LdgNoteB,$M318)),""))</f>
        <v/>
      </c>
      <c r="F318" s="26">
        <f>IF($L318&lt;&gt;"",IF(INDEX(SCNet,$L318)=0,"",INDEX(SCNet,$L318)),"")</f>
        <v/>
      </c>
      <c r="G318" s="27">
        <f>IF($L318&lt;&gt;"",IF(INDEX(SCOp,$L318)="مرجوعی فروش","",IF(INDEX(SCAmount,$L318)&lt;=0,"",INDEX(SCAmount,$L318))),IF($M318&lt;&gt;"",IF(INDEX(LdgWitB,$M318)=0,"",INDEX(LdgWitB,$M318)),""))</f>
        <v/>
      </c>
      <c r="H318" s="27">
        <f>IF($L318&lt;&gt;"",IF(INDEX(SCOp,$L318)="مرجوعی فروش",IF(INDEX(SCAmount,$L318)=0,"",-INDEX(SCAmount,$L318)),""),IF($M318&lt;&gt;"",IF(INDEX(LdgDepB,$M318)=0,"",INDEX(LdgDepB,$M318)),""))</f>
        <v/>
      </c>
      <c r="I318" s="28">
        <f>IF($B318="","",IF($I317="",$C$10,$I317)+IF($G318="",0,$G318)-IF($H318="",0,$H318))</f>
        <v/>
      </c>
      <c r="L318">
        <f>IFERROR(MATCH($C$5&amp;"|"&amp;RIGHT("000000"&amp;302,6),LdgRankKeyA,0),"")</f>
        <v/>
      </c>
      <c r="M318">
        <f>IFERROR(MATCH($C$5&amp;"|"&amp;RIGHT("000000"&amp;302,6),LdgRankKeyB,0),"")</f>
        <v/>
      </c>
    </row>
    <row r="319">
      <c r="A319" s="17" t="n">
        <v>303</v>
      </c>
      <c r="B319" s="18">
        <f>IF(AND($L319="",$M319=""),"",IF($L319&lt;&gt;"",INDEX(SCNormDate,$L319),INDEX(LdgDateB,$M319)))</f>
        <v/>
      </c>
      <c r="C319" s="18">
        <f>IF($L319&lt;&gt;"",INDEX(SCOp,$L319),IF($M319&lt;&gt;"","پرداخت بانکی",""))</f>
        <v/>
      </c>
      <c r="D319" s="18">
        <f>IF($L319&lt;&gt;"",IF(INDEX(SCDoc,$L319)="","—",INDEX(SCDoc,$L319)),IF($M319&lt;&gt;"",INDEX(LdgBankB,$M319),""))</f>
        <v/>
      </c>
      <c r="E319" s="19">
        <f>IF($L319&lt;&gt;"",IF(INDEX(SCCitrus,$L319)&amp;INDEX(SCNotes,$L319)="","",IF(INDEX(SCCitrus,$L319)="","",INDEX(SCCitrus,$L319))&amp;IF(INDEX(SCNotes,$L319)="",""," — "&amp;INDEX(SCNotes,$L319))),IF($M319&lt;&gt;"",IF(INDEX(LdgNoteB,$M319)="","—",INDEX(LdgNoteB,$M319)),""))</f>
        <v/>
      </c>
      <c r="F319" s="20">
        <f>IF($L319&lt;&gt;"",IF(INDEX(SCNet,$L319)=0,"",INDEX(SCNet,$L319)),"")</f>
        <v/>
      </c>
      <c r="G319" s="21">
        <f>IF($L319&lt;&gt;"",IF(INDEX(SCOp,$L319)="مرجوعی فروش","",IF(INDEX(SCAmount,$L319)&lt;=0,"",INDEX(SCAmount,$L319))),IF($M319&lt;&gt;"",IF(INDEX(LdgWitB,$M319)=0,"",INDEX(LdgWitB,$M319)),""))</f>
        <v/>
      </c>
      <c r="H319" s="21">
        <f>IF($L319&lt;&gt;"",IF(INDEX(SCOp,$L319)="مرجوعی فروش",IF(INDEX(SCAmount,$L319)=0,"",-INDEX(SCAmount,$L319)),""),IF($M319&lt;&gt;"",IF(INDEX(LdgDepB,$M319)=0,"",INDEX(LdgDepB,$M319)),""))</f>
        <v/>
      </c>
      <c r="I319" s="22">
        <f>IF($B319="","",IF($I318="",$C$10,$I318)+IF($G319="",0,$G319)-IF($H319="",0,$H319))</f>
        <v/>
      </c>
      <c r="L319">
        <f>IFERROR(MATCH($C$5&amp;"|"&amp;RIGHT("000000"&amp;303,6),LdgRankKeyA,0),"")</f>
        <v/>
      </c>
      <c r="M319">
        <f>IFERROR(MATCH($C$5&amp;"|"&amp;RIGHT("000000"&amp;303,6),LdgRankKeyB,0),"")</f>
        <v/>
      </c>
    </row>
    <row r="320">
      <c r="A320" s="23" t="n">
        <v>304</v>
      </c>
      <c r="B320" s="24">
        <f>IF(AND($L320="",$M320=""),"",IF($L320&lt;&gt;"",INDEX(SCNormDate,$L320),INDEX(LdgDateB,$M320)))</f>
        <v/>
      </c>
      <c r="C320" s="24">
        <f>IF($L320&lt;&gt;"",INDEX(SCOp,$L320),IF($M320&lt;&gt;"","پرداخت بانکی",""))</f>
        <v/>
      </c>
      <c r="D320" s="24">
        <f>IF($L320&lt;&gt;"",IF(INDEX(SCDoc,$L320)="","—",INDEX(SCDoc,$L320)),IF($M320&lt;&gt;"",INDEX(LdgBankB,$M320),""))</f>
        <v/>
      </c>
      <c r="E320" s="25">
        <f>IF($L320&lt;&gt;"",IF(INDEX(SCCitrus,$L320)&amp;INDEX(SCNotes,$L320)="","",IF(INDEX(SCCitrus,$L320)="","",INDEX(SCCitrus,$L320))&amp;IF(INDEX(SCNotes,$L320)="",""," — "&amp;INDEX(SCNotes,$L320))),IF($M320&lt;&gt;"",IF(INDEX(LdgNoteB,$M320)="","—",INDEX(LdgNoteB,$M320)),""))</f>
        <v/>
      </c>
      <c r="F320" s="26">
        <f>IF($L320&lt;&gt;"",IF(INDEX(SCNet,$L320)=0,"",INDEX(SCNet,$L320)),"")</f>
        <v/>
      </c>
      <c r="G320" s="27">
        <f>IF($L320&lt;&gt;"",IF(INDEX(SCOp,$L320)="مرجوعی فروش","",IF(INDEX(SCAmount,$L320)&lt;=0,"",INDEX(SCAmount,$L320))),IF($M320&lt;&gt;"",IF(INDEX(LdgWitB,$M320)=0,"",INDEX(LdgWitB,$M320)),""))</f>
        <v/>
      </c>
      <c r="H320" s="27">
        <f>IF($L320&lt;&gt;"",IF(INDEX(SCOp,$L320)="مرجوعی فروش",IF(INDEX(SCAmount,$L320)=0,"",-INDEX(SCAmount,$L320)),""),IF($M320&lt;&gt;"",IF(INDEX(LdgDepB,$M320)=0,"",INDEX(LdgDepB,$M320)),""))</f>
        <v/>
      </c>
      <c r="I320" s="28">
        <f>IF($B320="","",IF($I319="",$C$10,$I319)+IF($G320="",0,$G320)-IF($H320="",0,$H320))</f>
        <v/>
      </c>
      <c r="L320">
        <f>IFERROR(MATCH($C$5&amp;"|"&amp;RIGHT("000000"&amp;304,6),LdgRankKeyA,0),"")</f>
        <v/>
      </c>
      <c r="M320">
        <f>IFERROR(MATCH($C$5&amp;"|"&amp;RIGHT("000000"&amp;304,6),LdgRankKeyB,0),"")</f>
        <v/>
      </c>
    </row>
    <row r="321">
      <c r="A321" s="17" t="n">
        <v>305</v>
      </c>
      <c r="B321" s="18">
        <f>IF(AND($L321="",$M321=""),"",IF($L321&lt;&gt;"",INDEX(SCNormDate,$L321),INDEX(LdgDateB,$M321)))</f>
        <v/>
      </c>
      <c r="C321" s="18">
        <f>IF($L321&lt;&gt;"",INDEX(SCOp,$L321),IF($M321&lt;&gt;"","پرداخت بانکی",""))</f>
        <v/>
      </c>
      <c r="D321" s="18">
        <f>IF($L321&lt;&gt;"",IF(INDEX(SCDoc,$L321)="","—",INDEX(SCDoc,$L321)),IF($M321&lt;&gt;"",INDEX(LdgBankB,$M321),""))</f>
        <v/>
      </c>
      <c r="E321" s="19">
        <f>IF($L321&lt;&gt;"",IF(INDEX(SCCitrus,$L321)&amp;INDEX(SCNotes,$L321)="","",IF(INDEX(SCCitrus,$L321)="","",INDEX(SCCitrus,$L321))&amp;IF(INDEX(SCNotes,$L321)="",""," — "&amp;INDEX(SCNotes,$L321))),IF($M321&lt;&gt;"",IF(INDEX(LdgNoteB,$M321)="","—",INDEX(LdgNoteB,$M321)),""))</f>
        <v/>
      </c>
      <c r="F321" s="20">
        <f>IF($L321&lt;&gt;"",IF(INDEX(SCNet,$L321)=0,"",INDEX(SCNet,$L321)),"")</f>
        <v/>
      </c>
      <c r="G321" s="21">
        <f>IF($L321&lt;&gt;"",IF(INDEX(SCOp,$L321)="مرجوعی فروش","",IF(INDEX(SCAmount,$L321)&lt;=0,"",INDEX(SCAmount,$L321))),IF($M321&lt;&gt;"",IF(INDEX(LdgWitB,$M321)=0,"",INDEX(LdgWitB,$M321)),""))</f>
        <v/>
      </c>
      <c r="H321" s="21">
        <f>IF($L321&lt;&gt;"",IF(INDEX(SCOp,$L321)="مرجوعی فروش",IF(INDEX(SCAmount,$L321)=0,"",-INDEX(SCAmount,$L321)),""),IF($M321&lt;&gt;"",IF(INDEX(LdgDepB,$M321)=0,"",INDEX(LdgDepB,$M321)),""))</f>
        <v/>
      </c>
      <c r="I321" s="22">
        <f>IF($B321="","",IF($I320="",$C$10,$I320)+IF($G321="",0,$G321)-IF($H321="",0,$H321))</f>
        <v/>
      </c>
      <c r="L321">
        <f>IFERROR(MATCH($C$5&amp;"|"&amp;RIGHT("000000"&amp;305,6),LdgRankKeyA,0),"")</f>
        <v/>
      </c>
      <c r="M321">
        <f>IFERROR(MATCH($C$5&amp;"|"&amp;RIGHT("000000"&amp;305,6),LdgRankKeyB,0),"")</f>
        <v/>
      </c>
    </row>
    <row r="322">
      <c r="A322" s="23" t="n">
        <v>306</v>
      </c>
      <c r="B322" s="24">
        <f>IF(AND($L322="",$M322=""),"",IF($L322&lt;&gt;"",INDEX(SCNormDate,$L322),INDEX(LdgDateB,$M322)))</f>
        <v/>
      </c>
      <c r="C322" s="24">
        <f>IF($L322&lt;&gt;"",INDEX(SCOp,$L322),IF($M322&lt;&gt;"","پرداخت بانکی",""))</f>
        <v/>
      </c>
      <c r="D322" s="24">
        <f>IF($L322&lt;&gt;"",IF(INDEX(SCDoc,$L322)="","—",INDEX(SCDoc,$L322)),IF($M322&lt;&gt;"",INDEX(LdgBankB,$M322),""))</f>
        <v/>
      </c>
      <c r="E322" s="25">
        <f>IF($L322&lt;&gt;"",IF(INDEX(SCCitrus,$L322)&amp;INDEX(SCNotes,$L322)="","",IF(INDEX(SCCitrus,$L322)="","",INDEX(SCCitrus,$L322))&amp;IF(INDEX(SCNotes,$L322)="",""," — "&amp;INDEX(SCNotes,$L322))),IF($M322&lt;&gt;"",IF(INDEX(LdgNoteB,$M322)="","—",INDEX(LdgNoteB,$M322)),""))</f>
        <v/>
      </c>
      <c r="F322" s="26">
        <f>IF($L322&lt;&gt;"",IF(INDEX(SCNet,$L322)=0,"",INDEX(SCNet,$L322)),"")</f>
        <v/>
      </c>
      <c r="G322" s="27">
        <f>IF($L322&lt;&gt;"",IF(INDEX(SCOp,$L322)="مرجوعی فروش","",IF(INDEX(SCAmount,$L322)&lt;=0,"",INDEX(SCAmount,$L322))),IF($M322&lt;&gt;"",IF(INDEX(LdgWitB,$M322)=0,"",INDEX(LdgWitB,$M322)),""))</f>
        <v/>
      </c>
      <c r="H322" s="27">
        <f>IF($L322&lt;&gt;"",IF(INDEX(SCOp,$L322)="مرجوعی فروش",IF(INDEX(SCAmount,$L322)=0,"",-INDEX(SCAmount,$L322)),""),IF($M322&lt;&gt;"",IF(INDEX(LdgDepB,$M322)=0,"",INDEX(LdgDepB,$M322)),""))</f>
        <v/>
      </c>
      <c r="I322" s="28">
        <f>IF($B322="","",IF($I321="",$C$10,$I321)+IF($G322="",0,$G322)-IF($H322="",0,$H322))</f>
        <v/>
      </c>
      <c r="L322">
        <f>IFERROR(MATCH($C$5&amp;"|"&amp;RIGHT("000000"&amp;306,6),LdgRankKeyA,0),"")</f>
        <v/>
      </c>
      <c r="M322">
        <f>IFERROR(MATCH($C$5&amp;"|"&amp;RIGHT("000000"&amp;306,6),LdgRankKeyB,0),"")</f>
        <v/>
      </c>
    </row>
    <row r="323">
      <c r="A323" s="17" t="n">
        <v>307</v>
      </c>
      <c r="B323" s="18">
        <f>IF(AND($L323="",$M323=""),"",IF($L323&lt;&gt;"",INDEX(SCNormDate,$L323),INDEX(LdgDateB,$M323)))</f>
        <v/>
      </c>
      <c r="C323" s="18">
        <f>IF($L323&lt;&gt;"",INDEX(SCOp,$L323),IF($M323&lt;&gt;"","پرداخت بانکی",""))</f>
        <v/>
      </c>
      <c r="D323" s="18">
        <f>IF($L323&lt;&gt;"",IF(INDEX(SCDoc,$L323)="","—",INDEX(SCDoc,$L323)),IF($M323&lt;&gt;"",INDEX(LdgBankB,$M323),""))</f>
        <v/>
      </c>
      <c r="E323" s="19">
        <f>IF($L323&lt;&gt;"",IF(INDEX(SCCitrus,$L323)&amp;INDEX(SCNotes,$L323)="","",IF(INDEX(SCCitrus,$L323)="","",INDEX(SCCitrus,$L323))&amp;IF(INDEX(SCNotes,$L323)="",""," — "&amp;INDEX(SCNotes,$L323))),IF($M323&lt;&gt;"",IF(INDEX(LdgNoteB,$M323)="","—",INDEX(LdgNoteB,$M323)),""))</f>
        <v/>
      </c>
      <c r="F323" s="20">
        <f>IF($L323&lt;&gt;"",IF(INDEX(SCNet,$L323)=0,"",INDEX(SCNet,$L323)),"")</f>
        <v/>
      </c>
      <c r="G323" s="21">
        <f>IF($L323&lt;&gt;"",IF(INDEX(SCOp,$L323)="مرجوعی فروش","",IF(INDEX(SCAmount,$L323)&lt;=0,"",INDEX(SCAmount,$L323))),IF($M323&lt;&gt;"",IF(INDEX(LdgWitB,$M323)=0,"",INDEX(LdgWitB,$M323)),""))</f>
        <v/>
      </c>
      <c r="H323" s="21">
        <f>IF($L323&lt;&gt;"",IF(INDEX(SCOp,$L323)="مرجوعی فروش",IF(INDEX(SCAmount,$L323)=0,"",-INDEX(SCAmount,$L323)),""),IF($M323&lt;&gt;"",IF(INDEX(LdgDepB,$M323)=0,"",INDEX(LdgDepB,$M323)),""))</f>
        <v/>
      </c>
      <c r="I323" s="22">
        <f>IF($B323="","",IF($I322="",$C$10,$I322)+IF($G323="",0,$G323)-IF($H323="",0,$H323))</f>
        <v/>
      </c>
      <c r="L323">
        <f>IFERROR(MATCH($C$5&amp;"|"&amp;RIGHT("000000"&amp;307,6),LdgRankKeyA,0),"")</f>
        <v/>
      </c>
      <c r="M323">
        <f>IFERROR(MATCH($C$5&amp;"|"&amp;RIGHT("000000"&amp;307,6),LdgRankKeyB,0),"")</f>
        <v/>
      </c>
    </row>
    <row r="324">
      <c r="A324" s="23" t="n">
        <v>308</v>
      </c>
      <c r="B324" s="24">
        <f>IF(AND($L324="",$M324=""),"",IF($L324&lt;&gt;"",INDEX(SCNormDate,$L324),INDEX(LdgDateB,$M324)))</f>
        <v/>
      </c>
      <c r="C324" s="24">
        <f>IF($L324&lt;&gt;"",INDEX(SCOp,$L324),IF($M324&lt;&gt;"","پرداخت بانکی",""))</f>
        <v/>
      </c>
      <c r="D324" s="24">
        <f>IF($L324&lt;&gt;"",IF(INDEX(SCDoc,$L324)="","—",INDEX(SCDoc,$L324)),IF($M324&lt;&gt;"",INDEX(LdgBankB,$M324),""))</f>
        <v/>
      </c>
      <c r="E324" s="25">
        <f>IF($L324&lt;&gt;"",IF(INDEX(SCCitrus,$L324)&amp;INDEX(SCNotes,$L324)="","",IF(INDEX(SCCitrus,$L324)="","",INDEX(SCCitrus,$L324))&amp;IF(INDEX(SCNotes,$L324)="",""," — "&amp;INDEX(SCNotes,$L324))),IF($M324&lt;&gt;"",IF(INDEX(LdgNoteB,$M324)="","—",INDEX(LdgNoteB,$M324)),""))</f>
        <v/>
      </c>
      <c r="F324" s="26">
        <f>IF($L324&lt;&gt;"",IF(INDEX(SCNet,$L324)=0,"",INDEX(SCNet,$L324)),"")</f>
        <v/>
      </c>
      <c r="G324" s="27">
        <f>IF($L324&lt;&gt;"",IF(INDEX(SCOp,$L324)="مرجوعی فروش","",IF(INDEX(SCAmount,$L324)&lt;=0,"",INDEX(SCAmount,$L324))),IF($M324&lt;&gt;"",IF(INDEX(LdgWitB,$M324)=0,"",INDEX(LdgWitB,$M324)),""))</f>
        <v/>
      </c>
      <c r="H324" s="27">
        <f>IF($L324&lt;&gt;"",IF(INDEX(SCOp,$L324)="مرجوعی فروش",IF(INDEX(SCAmount,$L324)=0,"",-INDEX(SCAmount,$L324)),""),IF($M324&lt;&gt;"",IF(INDEX(LdgDepB,$M324)=0,"",INDEX(LdgDepB,$M324)),""))</f>
        <v/>
      </c>
      <c r="I324" s="28">
        <f>IF($B324="","",IF($I323="",$C$10,$I323)+IF($G324="",0,$G324)-IF($H324="",0,$H324))</f>
        <v/>
      </c>
      <c r="L324">
        <f>IFERROR(MATCH($C$5&amp;"|"&amp;RIGHT("000000"&amp;308,6),LdgRankKeyA,0),"")</f>
        <v/>
      </c>
      <c r="M324">
        <f>IFERROR(MATCH($C$5&amp;"|"&amp;RIGHT("000000"&amp;308,6),LdgRankKeyB,0),"")</f>
        <v/>
      </c>
    </row>
    <row r="325">
      <c r="A325" s="17" t="n">
        <v>309</v>
      </c>
      <c r="B325" s="18">
        <f>IF(AND($L325="",$M325=""),"",IF($L325&lt;&gt;"",INDEX(SCNormDate,$L325),INDEX(LdgDateB,$M325)))</f>
        <v/>
      </c>
      <c r="C325" s="18">
        <f>IF($L325&lt;&gt;"",INDEX(SCOp,$L325),IF($M325&lt;&gt;"","پرداخت بانکی",""))</f>
        <v/>
      </c>
      <c r="D325" s="18">
        <f>IF($L325&lt;&gt;"",IF(INDEX(SCDoc,$L325)="","—",INDEX(SCDoc,$L325)),IF($M325&lt;&gt;"",INDEX(LdgBankB,$M325),""))</f>
        <v/>
      </c>
      <c r="E325" s="19">
        <f>IF($L325&lt;&gt;"",IF(INDEX(SCCitrus,$L325)&amp;INDEX(SCNotes,$L325)="","",IF(INDEX(SCCitrus,$L325)="","",INDEX(SCCitrus,$L325))&amp;IF(INDEX(SCNotes,$L325)="",""," — "&amp;INDEX(SCNotes,$L325))),IF($M325&lt;&gt;"",IF(INDEX(LdgNoteB,$M325)="","—",INDEX(LdgNoteB,$M325)),""))</f>
        <v/>
      </c>
      <c r="F325" s="20">
        <f>IF($L325&lt;&gt;"",IF(INDEX(SCNet,$L325)=0,"",INDEX(SCNet,$L325)),"")</f>
        <v/>
      </c>
      <c r="G325" s="21">
        <f>IF($L325&lt;&gt;"",IF(INDEX(SCOp,$L325)="مرجوعی فروش","",IF(INDEX(SCAmount,$L325)&lt;=0,"",INDEX(SCAmount,$L325))),IF($M325&lt;&gt;"",IF(INDEX(LdgWitB,$M325)=0,"",INDEX(LdgWitB,$M325)),""))</f>
        <v/>
      </c>
      <c r="H325" s="21">
        <f>IF($L325&lt;&gt;"",IF(INDEX(SCOp,$L325)="مرجوعی فروش",IF(INDEX(SCAmount,$L325)=0,"",-INDEX(SCAmount,$L325)),""),IF($M325&lt;&gt;"",IF(INDEX(LdgDepB,$M325)=0,"",INDEX(LdgDepB,$M325)),""))</f>
        <v/>
      </c>
      <c r="I325" s="22">
        <f>IF($B325="","",IF($I324="",$C$10,$I324)+IF($G325="",0,$G325)-IF($H325="",0,$H325))</f>
        <v/>
      </c>
      <c r="L325">
        <f>IFERROR(MATCH($C$5&amp;"|"&amp;RIGHT("000000"&amp;309,6),LdgRankKeyA,0),"")</f>
        <v/>
      </c>
      <c r="M325">
        <f>IFERROR(MATCH($C$5&amp;"|"&amp;RIGHT("000000"&amp;309,6),LdgRankKeyB,0),"")</f>
        <v/>
      </c>
    </row>
    <row r="326">
      <c r="A326" s="23" t="n">
        <v>310</v>
      </c>
      <c r="B326" s="24">
        <f>IF(AND($L326="",$M326=""),"",IF($L326&lt;&gt;"",INDEX(SCNormDate,$L326),INDEX(LdgDateB,$M326)))</f>
        <v/>
      </c>
      <c r="C326" s="24">
        <f>IF($L326&lt;&gt;"",INDEX(SCOp,$L326),IF($M326&lt;&gt;"","پرداخت بانکی",""))</f>
        <v/>
      </c>
      <c r="D326" s="24">
        <f>IF($L326&lt;&gt;"",IF(INDEX(SCDoc,$L326)="","—",INDEX(SCDoc,$L326)),IF($M326&lt;&gt;"",INDEX(LdgBankB,$M326),""))</f>
        <v/>
      </c>
      <c r="E326" s="25">
        <f>IF($L326&lt;&gt;"",IF(INDEX(SCCitrus,$L326)&amp;INDEX(SCNotes,$L326)="","",IF(INDEX(SCCitrus,$L326)="","",INDEX(SCCitrus,$L326))&amp;IF(INDEX(SCNotes,$L326)="",""," — "&amp;INDEX(SCNotes,$L326))),IF($M326&lt;&gt;"",IF(INDEX(LdgNoteB,$M326)="","—",INDEX(LdgNoteB,$M326)),""))</f>
        <v/>
      </c>
      <c r="F326" s="26">
        <f>IF($L326&lt;&gt;"",IF(INDEX(SCNet,$L326)=0,"",INDEX(SCNet,$L326)),"")</f>
        <v/>
      </c>
      <c r="G326" s="27">
        <f>IF($L326&lt;&gt;"",IF(INDEX(SCOp,$L326)="مرجوعی فروش","",IF(INDEX(SCAmount,$L326)&lt;=0,"",INDEX(SCAmount,$L326))),IF($M326&lt;&gt;"",IF(INDEX(LdgWitB,$M326)=0,"",INDEX(LdgWitB,$M326)),""))</f>
        <v/>
      </c>
      <c r="H326" s="27">
        <f>IF($L326&lt;&gt;"",IF(INDEX(SCOp,$L326)="مرجوعی فروش",IF(INDEX(SCAmount,$L326)=0,"",-INDEX(SCAmount,$L326)),""),IF($M326&lt;&gt;"",IF(INDEX(LdgDepB,$M326)=0,"",INDEX(LdgDepB,$M326)),""))</f>
        <v/>
      </c>
      <c r="I326" s="28">
        <f>IF($B326="","",IF($I325="",$C$10,$I325)+IF($G326="",0,$G326)-IF($H326="",0,$H326))</f>
        <v/>
      </c>
      <c r="L326">
        <f>IFERROR(MATCH($C$5&amp;"|"&amp;RIGHT("000000"&amp;310,6),LdgRankKeyA,0),"")</f>
        <v/>
      </c>
      <c r="M326">
        <f>IFERROR(MATCH($C$5&amp;"|"&amp;RIGHT("000000"&amp;310,6),LdgRankKeyB,0),"")</f>
        <v/>
      </c>
    </row>
    <row r="327">
      <c r="A327" s="17" t="n">
        <v>311</v>
      </c>
      <c r="B327" s="18">
        <f>IF(AND($L327="",$M327=""),"",IF($L327&lt;&gt;"",INDEX(SCNormDate,$L327),INDEX(LdgDateB,$M327)))</f>
        <v/>
      </c>
      <c r="C327" s="18">
        <f>IF($L327&lt;&gt;"",INDEX(SCOp,$L327),IF($M327&lt;&gt;"","پرداخت بانکی",""))</f>
        <v/>
      </c>
      <c r="D327" s="18">
        <f>IF($L327&lt;&gt;"",IF(INDEX(SCDoc,$L327)="","—",INDEX(SCDoc,$L327)),IF($M327&lt;&gt;"",INDEX(LdgBankB,$M327),""))</f>
        <v/>
      </c>
      <c r="E327" s="19">
        <f>IF($L327&lt;&gt;"",IF(INDEX(SCCitrus,$L327)&amp;INDEX(SCNotes,$L327)="","",IF(INDEX(SCCitrus,$L327)="","",INDEX(SCCitrus,$L327))&amp;IF(INDEX(SCNotes,$L327)="",""," — "&amp;INDEX(SCNotes,$L327))),IF($M327&lt;&gt;"",IF(INDEX(LdgNoteB,$M327)="","—",INDEX(LdgNoteB,$M327)),""))</f>
        <v/>
      </c>
      <c r="F327" s="20">
        <f>IF($L327&lt;&gt;"",IF(INDEX(SCNet,$L327)=0,"",INDEX(SCNet,$L327)),"")</f>
        <v/>
      </c>
      <c r="G327" s="21">
        <f>IF($L327&lt;&gt;"",IF(INDEX(SCOp,$L327)="مرجوعی فروش","",IF(INDEX(SCAmount,$L327)&lt;=0,"",INDEX(SCAmount,$L327))),IF($M327&lt;&gt;"",IF(INDEX(LdgWitB,$M327)=0,"",INDEX(LdgWitB,$M327)),""))</f>
        <v/>
      </c>
      <c r="H327" s="21">
        <f>IF($L327&lt;&gt;"",IF(INDEX(SCOp,$L327)="مرجوعی فروش",IF(INDEX(SCAmount,$L327)=0,"",-INDEX(SCAmount,$L327)),""),IF($M327&lt;&gt;"",IF(INDEX(LdgDepB,$M327)=0,"",INDEX(LdgDepB,$M327)),""))</f>
        <v/>
      </c>
      <c r="I327" s="22">
        <f>IF($B327="","",IF($I326="",$C$10,$I326)+IF($G327="",0,$G327)-IF($H327="",0,$H327))</f>
        <v/>
      </c>
      <c r="L327">
        <f>IFERROR(MATCH($C$5&amp;"|"&amp;RIGHT("000000"&amp;311,6),LdgRankKeyA,0),"")</f>
        <v/>
      </c>
      <c r="M327">
        <f>IFERROR(MATCH($C$5&amp;"|"&amp;RIGHT("000000"&amp;311,6),LdgRankKeyB,0),"")</f>
        <v/>
      </c>
    </row>
    <row r="328">
      <c r="A328" s="23" t="n">
        <v>312</v>
      </c>
      <c r="B328" s="24">
        <f>IF(AND($L328="",$M328=""),"",IF($L328&lt;&gt;"",INDEX(SCNormDate,$L328),INDEX(LdgDateB,$M328)))</f>
        <v/>
      </c>
      <c r="C328" s="24">
        <f>IF($L328&lt;&gt;"",INDEX(SCOp,$L328),IF($M328&lt;&gt;"","پرداخت بانکی",""))</f>
        <v/>
      </c>
      <c r="D328" s="24">
        <f>IF($L328&lt;&gt;"",IF(INDEX(SCDoc,$L328)="","—",INDEX(SCDoc,$L328)),IF($M328&lt;&gt;"",INDEX(LdgBankB,$M328),""))</f>
        <v/>
      </c>
      <c r="E328" s="25">
        <f>IF($L328&lt;&gt;"",IF(INDEX(SCCitrus,$L328)&amp;INDEX(SCNotes,$L328)="","",IF(INDEX(SCCitrus,$L328)="","",INDEX(SCCitrus,$L328))&amp;IF(INDEX(SCNotes,$L328)="",""," — "&amp;INDEX(SCNotes,$L328))),IF($M328&lt;&gt;"",IF(INDEX(LdgNoteB,$M328)="","—",INDEX(LdgNoteB,$M328)),""))</f>
        <v/>
      </c>
      <c r="F328" s="26">
        <f>IF($L328&lt;&gt;"",IF(INDEX(SCNet,$L328)=0,"",INDEX(SCNet,$L328)),"")</f>
        <v/>
      </c>
      <c r="G328" s="27">
        <f>IF($L328&lt;&gt;"",IF(INDEX(SCOp,$L328)="مرجوعی فروش","",IF(INDEX(SCAmount,$L328)&lt;=0,"",INDEX(SCAmount,$L328))),IF($M328&lt;&gt;"",IF(INDEX(LdgWitB,$M328)=0,"",INDEX(LdgWitB,$M328)),""))</f>
        <v/>
      </c>
      <c r="H328" s="27">
        <f>IF($L328&lt;&gt;"",IF(INDEX(SCOp,$L328)="مرجوعی فروش",IF(INDEX(SCAmount,$L328)=0,"",-INDEX(SCAmount,$L328)),""),IF($M328&lt;&gt;"",IF(INDEX(LdgDepB,$M328)=0,"",INDEX(LdgDepB,$M328)),""))</f>
        <v/>
      </c>
      <c r="I328" s="28">
        <f>IF($B328="","",IF($I327="",$C$10,$I327)+IF($G328="",0,$G328)-IF($H328="",0,$H328))</f>
        <v/>
      </c>
      <c r="L328">
        <f>IFERROR(MATCH($C$5&amp;"|"&amp;RIGHT("000000"&amp;312,6),LdgRankKeyA,0),"")</f>
        <v/>
      </c>
      <c r="M328">
        <f>IFERROR(MATCH($C$5&amp;"|"&amp;RIGHT("000000"&amp;312,6),LdgRankKeyB,0),"")</f>
        <v/>
      </c>
    </row>
    <row r="329">
      <c r="A329" s="17" t="n">
        <v>313</v>
      </c>
      <c r="B329" s="18">
        <f>IF(AND($L329="",$M329=""),"",IF($L329&lt;&gt;"",INDEX(SCNormDate,$L329),INDEX(LdgDateB,$M329)))</f>
        <v/>
      </c>
      <c r="C329" s="18">
        <f>IF($L329&lt;&gt;"",INDEX(SCOp,$L329),IF($M329&lt;&gt;"","پرداخت بانکی",""))</f>
        <v/>
      </c>
      <c r="D329" s="18">
        <f>IF($L329&lt;&gt;"",IF(INDEX(SCDoc,$L329)="","—",INDEX(SCDoc,$L329)),IF($M329&lt;&gt;"",INDEX(LdgBankB,$M329),""))</f>
        <v/>
      </c>
      <c r="E329" s="19">
        <f>IF($L329&lt;&gt;"",IF(INDEX(SCCitrus,$L329)&amp;INDEX(SCNotes,$L329)="","",IF(INDEX(SCCitrus,$L329)="","",INDEX(SCCitrus,$L329))&amp;IF(INDEX(SCNotes,$L329)="",""," — "&amp;INDEX(SCNotes,$L329))),IF($M329&lt;&gt;"",IF(INDEX(LdgNoteB,$M329)="","—",INDEX(LdgNoteB,$M329)),""))</f>
        <v/>
      </c>
      <c r="F329" s="20">
        <f>IF($L329&lt;&gt;"",IF(INDEX(SCNet,$L329)=0,"",INDEX(SCNet,$L329)),"")</f>
        <v/>
      </c>
      <c r="G329" s="21">
        <f>IF($L329&lt;&gt;"",IF(INDEX(SCOp,$L329)="مرجوعی فروش","",IF(INDEX(SCAmount,$L329)&lt;=0,"",INDEX(SCAmount,$L329))),IF($M329&lt;&gt;"",IF(INDEX(LdgWitB,$M329)=0,"",INDEX(LdgWitB,$M329)),""))</f>
        <v/>
      </c>
      <c r="H329" s="21">
        <f>IF($L329&lt;&gt;"",IF(INDEX(SCOp,$L329)="مرجوعی فروش",IF(INDEX(SCAmount,$L329)=0,"",-INDEX(SCAmount,$L329)),""),IF($M329&lt;&gt;"",IF(INDEX(LdgDepB,$M329)=0,"",INDEX(LdgDepB,$M329)),""))</f>
        <v/>
      </c>
      <c r="I329" s="22">
        <f>IF($B329="","",IF($I328="",$C$10,$I328)+IF($G329="",0,$G329)-IF($H329="",0,$H329))</f>
        <v/>
      </c>
      <c r="L329">
        <f>IFERROR(MATCH($C$5&amp;"|"&amp;RIGHT("000000"&amp;313,6),LdgRankKeyA,0),"")</f>
        <v/>
      </c>
      <c r="M329">
        <f>IFERROR(MATCH($C$5&amp;"|"&amp;RIGHT("000000"&amp;313,6),LdgRankKeyB,0),"")</f>
        <v/>
      </c>
    </row>
    <row r="330">
      <c r="A330" s="23" t="n">
        <v>314</v>
      </c>
      <c r="B330" s="24">
        <f>IF(AND($L330="",$M330=""),"",IF($L330&lt;&gt;"",INDEX(SCNormDate,$L330),INDEX(LdgDateB,$M330)))</f>
        <v/>
      </c>
      <c r="C330" s="24">
        <f>IF($L330&lt;&gt;"",INDEX(SCOp,$L330),IF($M330&lt;&gt;"","پرداخت بانکی",""))</f>
        <v/>
      </c>
      <c r="D330" s="24">
        <f>IF($L330&lt;&gt;"",IF(INDEX(SCDoc,$L330)="","—",INDEX(SCDoc,$L330)),IF($M330&lt;&gt;"",INDEX(LdgBankB,$M330),""))</f>
        <v/>
      </c>
      <c r="E330" s="25">
        <f>IF($L330&lt;&gt;"",IF(INDEX(SCCitrus,$L330)&amp;INDEX(SCNotes,$L330)="","",IF(INDEX(SCCitrus,$L330)="","",INDEX(SCCitrus,$L330))&amp;IF(INDEX(SCNotes,$L330)="",""," — "&amp;INDEX(SCNotes,$L330))),IF($M330&lt;&gt;"",IF(INDEX(LdgNoteB,$M330)="","—",INDEX(LdgNoteB,$M330)),""))</f>
        <v/>
      </c>
      <c r="F330" s="26">
        <f>IF($L330&lt;&gt;"",IF(INDEX(SCNet,$L330)=0,"",INDEX(SCNet,$L330)),"")</f>
        <v/>
      </c>
      <c r="G330" s="27">
        <f>IF($L330&lt;&gt;"",IF(INDEX(SCOp,$L330)="مرجوعی فروش","",IF(INDEX(SCAmount,$L330)&lt;=0,"",INDEX(SCAmount,$L330))),IF($M330&lt;&gt;"",IF(INDEX(LdgWitB,$M330)=0,"",INDEX(LdgWitB,$M330)),""))</f>
        <v/>
      </c>
      <c r="H330" s="27">
        <f>IF($L330&lt;&gt;"",IF(INDEX(SCOp,$L330)="مرجوعی فروش",IF(INDEX(SCAmount,$L330)=0,"",-INDEX(SCAmount,$L330)),""),IF($M330&lt;&gt;"",IF(INDEX(LdgDepB,$M330)=0,"",INDEX(LdgDepB,$M330)),""))</f>
        <v/>
      </c>
      <c r="I330" s="28">
        <f>IF($B330="","",IF($I329="",$C$10,$I329)+IF($G330="",0,$G330)-IF($H330="",0,$H330))</f>
        <v/>
      </c>
      <c r="L330">
        <f>IFERROR(MATCH($C$5&amp;"|"&amp;RIGHT("000000"&amp;314,6),LdgRankKeyA,0),"")</f>
        <v/>
      </c>
      <c r="M330">
        <f>IFERROR(MATCH($C$5&amp;"|"&amp;RIGHT("000000"&amp;314,6),LdgRankKeyB,0),"")</f>
        <v/>
      </c>
    </row>
    <row r="331">
      <c r="A331" s="17" t="n">
        <v>315</v>
      </c>
      <c r="B331" s="18">
        <f>IF(AND($L331="",$M331=""),"",IF($L331&lt;&gt;"",INDEX(SCNormDate,$L331),INDEX(LdgDateB,$M331)))</f>
        <v/>
      </c>
      <c r="C331" s="18">
        <f>IF($L331&lt;&gt;"",INDEX(SCOp,$L331),IF($M331&lt;&gt;"","پرداخت بانکی",""))</f>
        <v/>
      </c>
      <c r="D331" s="18">
        <f>IF($L331&lt;&gt;"",IF(INDEX(SCDoc,$L331)="","—",INDEX(SCDoc,$L331)),IF($M331&lt;&gt;"",INDEX(LdgBankB,$M331),""))</f>
        <v/>
      </c>
      <c r="E331" s="19">
        <f>IF($L331&lt;&gt;"",IF(INDEX(SCCitrus,$L331)&amp;INDEX(SCNotes,$L331)="","",IF(INDEX(SCCitrus,$L331)="","",INDEX(SCCitrus,$L331))&amp;IF(INDEX(SCNotes,$L331)="",""," — "&amp;INDEX(SCNotes,$L331))),IF($M331&lt;&gt;"",IF(INDEX(LdgNoteB,$M331)="","—",INDEX(LdgNoteB,$M331)),""))</f>
        <v/>
      </c>
      <c r="F331" s="20">
        <f>IF($L331&lt;&gt;"",IF(INDEX(SCNet,$L331)=0,"",INDEX(SCNet,$L331)),"")</f>
        <v/>
      </c>
      <c r="G331" s="21">
        <f>IF($L331&lt;&gt;"",IF(INDEX(SCOp,$L331)="مرجوعی فروش","",IF(INDEX(SCAmount,$L331)&lt;=0,"",INDEX(SCAmount,$L331))),IF($M331&lt;&gt;"",IF(INDEX(LdgWitB,$M331)=0,"",INDEX(LdgWitB,$M331)),""))</f>
        <v/>
      </c>
      <c r="H331" s="21">
        <f>IF($L331&lt;&gt;"",IF(INDEX(SCOp,$L331)="مرجوعی فروش",IF(INDEX(SCAmount,$L331)=0,"",-INDEX(SCAmount,$L331)),""),IF($M331&lt;&gt;"",IF(INDEX(LdgDepB,$M331)=0,"",INDEX(LdgDepB,$M331)),""))</f>
        <v/>
      </c>
      <c r="I331" s="22">
        <f>IF($B331="","",IF($I330="",$C$10,$I330)+IF($G331="",0,$G331)-IF($H331="",0,$H331))</f>
        <v/>
      </c>
      <c r="L331">
        <f>IFERROR(MATCH($C$5&amp;"|"&amp;RIGHT("000000"&amp;315,6),LdgRankKeyA,0),"")</f>
        <v/>
      </c>
      <c r="M331">
        <f>IFERROR(MATCH($C$5&amp;"|"&amp;RIGHT("000000"&amp;315,6),LdgRankKeyB,0),"")</f>
        <v/>
      </c>
    </row>
    <row r="332">
      <c r="A332" s="23" t="n">
        <v>316</v>
      </c>
      <c r="B332" s="24">
        <f>IF(AND($L332="",$M332=""),"",IF($L332&lt;&gt;"",INDEX(SCNormDate,$L332),INDEX(LdgDateB,$M332)))</f>
        <v/>
      </c>
      <c r="C332" s="24">
        <f>IF($L332&lt;&gt;"",INDEX(SCOp,$L332),IF($M332&lt;&gt;"","پرداخت بانکی",""))</f>
        <v/>
      </c>
      <c r="D332" s="24">
        <f>IF($L332&lt;&gt;"",IF(INDEX(SCDoc,$L332)="","—",INDEX(SCDoc,$L332)),IF($M332&lt;&gt;"",INDEX(LdgBankB,$M332),""))</f>
        <v/>
      </c>
      <c r="E332" s="25">
        <f>IF($L332&lt;&gt;"",IF(INDEX(SCCitrus,$L332)&amp;INDEX(SCNotes,$L332)="","",IF(INDEX(SCCitrus,$L332)="","",INDEX(SCCitrus,$L332))&amp;IF(INDEX(SCNotes,$L332)="",""," — "&amp;INDEX(SCNotes,$L332))),IF($M332&lt;&gt;"",IF(INDEX(LdgNoteB,$M332)="","—",INDEX(LdgNoteB,$M332)),""))</f>
        <v/>
      </c>
      <c r="F332" s="26">
        <f>IF($L332&lt;&gt;"",IF(INDEX(SCNet,$L332)=0,"",INDEX(SCNet,$L332)),"")</f>
        <v/>
      </c>
      <c r="G332" s="27">
        <f>IF($L332&lt;&gt;"",IF(INDEX(SCOp,$L332)="مرجوعی فروش","",IF(INDEX(SCAmount,$L332)&lt;=0,"",INDEX(SCAmount,$L332))),IF($M332&lt;&gt;"",IF(INDEX(LdgWitB,$M332)=0,"",INDEX(LdgWitB,$M332)),""))</f>
        <v/>
      </c>
      <c r="H332" s="27">
        <f>IF($L332&lt;&gt;"",IF(INDEX(SCOp,$L332)="مرجوعی فروش",IF(INDEX(SCAmount,$L332)=0,"",-INDEX(SCAmount,$L332)),""),IF($M332&lt;&gt;"",IF(INDEX(LdgDepB,$M332)=0,"",INDEX(LdgDepB,$M332)),""))</f>
        <v/>
      </c>
      <c r="I332" s="28">
        <f>IF($B332="","",IF($I331="",$C$10,$I331)+IF($G332="",0,$G332)-IF($H332="",0,$H332))</f>
        <v/>
      </c>
      <c r="L332">
        <f>IFERROR(MATCH($C$5&amp;"|"&amp;RIGHT("000000"&amp;316,6),LdgRankKeyA,0),"")</f>
        <v/>
      </c>
      <c r="M332">
        <f>IFERROR(MATCH($C$5&amp;"|"&amp;RIGHT("000000"&amp;316,6),LdgRankKeyB,0),"")</f>
        <v/>
      </c>
    </row>
    <row r="333">
      <c r="A333" s="17" t="n">
        <v>317</v>
      </c>
      <c r="B333" s="18">
        <f>IF(AND($L333="",$M333=""),"",IF($L333&lt;&gt;"",INDEX(SCNormDate,$L333),INDEX(LdgDateB,$M333)))</f>
        <v/>
      </c>
      <c r="C333" s="18">
        <f>IF($L333&lt;&gt;"",INDEX(SCOp,$L333),IF($M333&lt;&gt;"","پرداخت بانکی",""))</f>
        <v/>
      </c>
      <c r="D333" s="18">
        <f>IF($L333&lt;&gt;"",IF(INDEX(SCDoc,$L333)="","—",INDEX(SCDoc,$L333)),IF($M333&lt;&gt;"",INDEX(LdgBankB,$M333),""))</f>
        <v/>
      </c>
      <c r="E333" s="19">
        <f>IF($L333&lt;&gt;"",IF(INDEX(SCCitrus,$L333)&amp;INDEX(SCNotes,$L333)="","",IF(INDEX(SCCitrus,$L333)="","",INDEX(SCCitrus,$L333))&amp;IF(INDEX(SCNotes,$L333)="",""," — "&amp;INDEX(SCNotes,$L333))),IF($M333&lt;&gt;"",IF(INDEX(LdgNoteB,$M333)="","—",INDEX(LdgNoteB,$M333)),""))</f>
        <v/>
      </c>
      <c r="F333" s="20">
        <f>IF($L333&lt;&gt;"",IF(INDEX(SCNet,$L333)=0,"",INDEX(SCNet,$L333)),"")</f>
        <v/>
      </c>
      <c r="G333" s="21">
        <f>IF($L333&lt;&gt;"",IF(INDEX(SCOp,$L333)="مرجوعی فروش","",IF(INDEX(SCAmount,$L333)&lt;=0,"",INDEX(SCAmount,$L333))),IF($M333&lt;&gt;"",IF(INDEX(LdgWitB,$M333)=0,"",INDEX(LdgWitB,$M333)),""))</f>
        <v/>
      </c>
      <c r="H333" s="21">
        <f>IF($L333&lt;&gt;"",IF(INDEX(SCOp,$L333)="مرجوعی فروش",IF(INDEX(SCAmount,$L333)=0,"",-INDEX(SCAmount,$L333)),""),IF($M333&lt;&gt;"",IF(INDEX(LdgDepB,$M333)=0,"",INDEX(LdgDepB,$M333)),""))</f>
        <v/>
      </c>
      <c r="I333" s="22">
        <f>IF($B333="","",IF($I332="",$C$10,$I332)+IF($G333="",0,$G333)-IF($H333="",0,$H333))</f>
        <v/>
      </c>
      <c r="L333">
        <f>IFERROR(MATCH($C$5&amp;"|"&amp;RIGHT("000000"&amp;317,6),LdgRankKeyA,0),"")</f>
        <v/>
      </c>
      <c r="M333">
        <f>IFERROR(MATCH($C$5&amp;"|"&amp;RIGHT("000000"&amp;317,6),LdgRankKeyB,0),"")</f>
        <v/>
      </c>
    </row>
    <row r="334">
      <c r="A334" s="23" t="n">
        <v>318</v>
      </c>
      <c r="B334" s="24">
        <f>IF(AND($L334="",$M334=""),"",IF($L334&lt;&gt;"",INDEX(SCNormDate,$L334),INDEX(LdgDateB,$M334)))</f>
        <v/>
      </c>
      <c r="C334" s="24">
        <f>IF($L334&lt;&gt;"",INDEX(SCOp,$L334),IF($M334&lt;&gt;"","پرداخت بانکی",""))</f>
        <v/>
      </c>
      <c r="D334" s="24">
        <f>IF($L334&lt;&gt;"",IF(INDEX(SCDoc,$L334)="","—",INDEX(SCDoc,$L334)),IF($M334&lt;&gt;"",INDEX(LdgBankB,$M334),""))</f>
        <v/>
      </c>
      <c r="E334" s="25">
        <f>IF($L334&lt;&gt;"",IF(INDEX(SCCitrus,$L334)&amp;INDEX(SCNotes,$L334)="","",IF(INDEX(SCCitrus,$L334)="","",INDEX(SCCitrus,$L334))&amp;IF(INDEX(SCNotes,$L334)="",""," — "&amp;INDEX(SCNotes,$L334))),IF($M334&lt;&gt;"",IF(INDEX(LdgNoteB,$M334)="","—",INDEX(LdgNoteB,$M334)),""))</f>
        <v/>
      </c>
      <c r="F334" s="26">
        <f>IF($L334&lt;&gt;"",IF(INDEX(SCNet,$L334)=0,"",INDEX(SCNet,$L334)),"")</f>
        <v/>
      </c>
      <c r="G334" s="27">
        <f>IF($L334&lt;&gt;"",IF(INDEX(SCOp,$L334)="مرجوعی فروش","",IF(INDEX(SCAmount,$L334)&lt;=0,"",INDEX(SCAmount,$L334))),IF($M334&lt;&gt;"",IF(INDEX(LdgWitB,$M334)=0,"",INDEX(LdgWitB,$M334)),""))</f>
        <v/>
      </c>
      <c r="H334" s="27">
        <f>IF($L334&lt;&gt;"",IF(INDEX(SCOp,$L334)="مرجوعی فروش",IF(INDEX(SCAmount,$L334)=0,"",-INDEX(SCAmount,$L334)),""),IF($M334&lt;&gt;"",IF(INDEX(LdgDepB,$M334)=0,"",INDEX(LdgDepB,$M334)),""))</f>
        <v/>
      </c>
      <c r="I334" s="28">
        <f>IF($B334="","",IF($I333="",$C$10,$I333)+IF($G334="",0,$G334)-IF($H334="",0,$H334))</f>
        <v/>
      </c>
      <c r="L334">
        <f>IFERROR(MATCH($C$5&amp;"|"&amp;RIGHT("000000"&amp;318,6),LdgRankKeyA,0),"")</f>
        <v/>
      </c>
      <c r="M334">
        <f>IFERROR(MATCH($C$5&amp;"|"&amp;RIGHT("000000"&amp;318,6),LdgRankKeyB,0),"")</f>
        <v/>
      </c>
    </row>
    <row r="335">
      <c r="A335" s="17" t="n">
        <v>319</v>
      </c>
      <c r="B335" s="18">
        <f>IF(AND($L335="",$M335=""),"",IF($L335&lt;&gt;"",INDEX(SCNormDate,$L335),INDEX(LdgDateB,$M335)))</f>
        <v/>
      </c>
      <c r="C335" s="18">
        <f>IF($L335&lt;&gt;"",INDEX(SCOp,$L335),IF($M335&lt;&gt;"","پرداخت بانکی",""))</f>
        <v/>
      </c>
      <c r="D335" s="18">
        <f>IF($L335&lt;&gt;"",IF(INDEX(SCDoc,$L335)="","—",INDEX(SCDoc,$L335)),IF($M335&lt;&gt;"",INDEX(LdgBankB,$M335),""))</f>
        <v/>
      </c>
      <c r="E335" s="19">
        <f>IF($L335&lt;&gt;"",IF(INDEX(SCCitrus,$L335)&amp;INDEX(SCNotes,$L335)="","",IF(INDEX(SCCitrus,$L335)="","",INDEX(SCCitrus,$L335))&amp;IF(INDEX(SCNotes,$L335)="",""," — "&amp;INDEX(SCNotes,$L335))),IF($M335&lt;&gt;"",IF(INDEX(LdgNoteB,$M335)="","—",INDEX(LdgNoteB,$M335)),""))</f>
        <v/>
      </c>
      <c r="F335" s="20">
        <f>IF($L335&lt;&gt;"",IF(INDEX(SCNet,$L335)=0,"",INDEX(SCNet,$L335)),"")</f>
        <v/>
      </c>
      <c r="G335" s="21">
        <f>IF($L335&lt;&gt;"",IF(INDEX(SCOp,$L335)="مرجوعی فروش","",IF(INDEX(SCAmount,$L335)&lt;=0,"",INDEX(SCAmount,$L335))),IF($M335&lt;&gt;"",IF(INDEX(LdgWitB,$M335)=0,"",INDEX(LdgWitB,$M335)),""))</f>
        <v/>
      </c>
      <c r="H335" s="21">
        <f>IF($L335&lt;&gt;"",IF(INDEX(SCOp,$L335)="مرجوعی فروش",IF(INDEX(SCAmount,$L335)=0,"",-INDEX(SCAmount,$L335)),""),IF($M335&lt;&gt;"",IF(INDEX(LdgDepB,$M335)=0,"",INDEX(LdgDepB,$M335)),""))</f>
        <v/>
      </c>
      <c r="I335" s="22">
        <f>IF($B335="","",IF($I334="",$C$10,$I334)+IF($G335="",0,$G335)-IF($H335="",0,$H335))</f>
        <v/>
      </c>
      <c r="L335">
        <f>IFERROR(MATCH($C$5&amp;"|"&amp;RIGHT("000000"&amp;319,6),LdgRankKeyA,0),"")</f>
        <v/>
      </c>
      <c r="M335">
        <f>IFERROR(MATCH($C$5&amp;"|"&amp;RIGHT("000000"&amp;319,6),LdgRankKeyB,0),"")</f>
        <v/>
      </c>
    </row>
    <row r="336">
      <c r="A336" s="23" t="n">
        <v>320</v>
      </c>
      <c r="B336" s="24">
        <f>IF(AND($L336="",$M336=""),"",IF($L336&lt;&gt;"",INDEX(SCNormDate,$L336),INDEX(LdgDateB,$M336)))</f>
        <v/>
      </c>
      <c r="C336" s="24">
        <f>IF($L336&lt;&gt;"",INDEX(SCOp,$L336),IF($M336&lt;&gt;"","پرداخت بانکی",""))</f>
        <v/>
      </c>
      <c r="D336" s="24">
        <f>IF($L336&lt;&gt;"",IF(INDEX(SCDoc,$L336)="","—",INDEX(SCDoc,$L336)),IF($M336&lt;&gt;"",INDEX(LdgBankB,$M336),""))</f>
        <v/>
      </c>
      <c r="E336" s="25">
        <f>IF($L336&lt;&gt;"",IF(INDEX(SCCitrus,$L336)&amp;INDEX(SCNotes,$L336)="","",IF(INDEX(SCCitrus,$L336)="","",INDEX(SCCitrus,$L336))&amp;IF(INDEX(SCNotes,$L336)="",""," — "&amp;INDEX(SCNotes,$L336))),IF($M336&lt;&gt;"",IF(INDEX(LdgNoteB,$M336)="","—",INDEX(LdgNoteB,$M336)),""))</f>
        <v/>
      </c>
      <c r="F336" s="26">
        <f>IF($L336&lt;&gt;"",IF(INDEX(SCNet,$L336)=0,"",INDEX(SCNet,$L336)),"")</f>
        <v/>
      </c>
      <c r="G336" s="27">
        <f>IF($L336&lt;&gt;"",IF(INDEX(SCOp,$L336)="مرجوعی فروش","",IF(INDEX(SCAmount,$L336)&lt;=0,"",INDEX(SCAmount,$L336))),IF($M336&lt;&gt;"",IF(INDEX(LdgWitB,$M336)=0,"",INDEX(LdgWitB,$M336)),""))</f>
        <v/>
      </c>
      <c r="H336" s="27">
        <f>IF($L336&lt;&gt;"",IF(INDEX(SCOp,$L336)="مرجوعی فروش",IF(INDEX(SCAmount,$L336)=0,"",-INDEX(SCAmount,$L336)),""),IF($M336&lt;&gt;"",IF(INDEX(LdgDepB,$M336)=0,"",INDEX(LdgDepB,$M336)),""))</f>
        <v/>
      </c>
      <c r="I336" s="28">
        <f>IF($B336="","",IF($I335="",$C$10,$I335)+IF($G336="",0,$G336)-IF($H336="",0,$H336))</f>
        <v/>
      </c>
      <c r="L336">
        <f>IFERROR(MATCH($C$5&amp;"|"&amp;RIGHT("000000"&amp;320,6),LdgRankKeyA,0),"")</f>
        <v/>
      </c>
      <c r="M336">
        <f>IFERROR(MATCH($C$5&amp;"|"&amp;RIGHT("000000"&amp;320,6),LdgRankKeyB,0),"")</f>
        <v/>
      </c>
    </row>
    <row r="337">
      <c r="A337" s="17" t="n">
        <v>321</v>
      </c>
      <c r="B337" s="18">
        <f>IF(AND($L337="",$M337=""),"",IF($L337&lt;&gt;"",INDEX(SCNormDate,$L337),INDEX(LdgDateB,$M337)))</f>
        <v/>
      </c>
      <c r="C337" s="18">
        <f>IF($L337&lt;&gt;"",INDEX(SCOp,$L337),IF($M337&lt;&gt;"","پرداخت بانکی",""))</f>
        <v/>
      </c>
      <c r="D337" s="18">
        <f>IF($L337&lt;&gt;"",IF(INDEX(SCDoc,$L337)="","—",INDEX(SCDoc,$L337)),IF($M337&lt;&gt;"",INDEX(LdgBankB,$M337),""))</f>
        <v/>
      </c>
      <c r="E337" s="19">
        <f>IF($L337&lt;&gt;"",IF(INDEX(SCCitrus,$L337)&amp;INDEX(SCNotes,$L337)="","",IF(INDEX(SCCitrus,$L337)="","",INDEX(SCCitrus,$L337))&amp;IF(INDEX(SCNotes,$L337)="",""," — "&amp;INDEX(SCNotes,$L337))),IF($M337&lt;&gt;"",IF(INDEX(LdgNoteB,$M337)="","—",INDEX(LdgNoteB,$M337)),""))</f>
        <v/>
      </c>
      <c r="F337" s="20">
        <f>IF($L337&lt;&gt;"",IF(INDEX(SCNet,$L337)=0,"",INDEX(SCNet,$L337)),"")</f>
        <v/>
      </c>
      <c r="G337" s="21">
        <f>IF($L337&lt;&gt;"",IF(INDEX(SCOp,$L337)="مرجوعی فروش","",IF(INDEX(SCAmount,$L337)&lt;=0,"",INDEX(SCAmount,$L337))),IF($M337&lt;&gt;"",IF(INDEX(LdgWitB,$M337)=0,"",INDEX(LdgWitB,$M337)),""))</f>
        <v/>
      </c>
      <c r="H337" s="21">
        <f>IF($L337&lt;&gt;"",IF(INDEX(SCOp,$L337)="مرجوعی فروش",IF(INDEX(SCAmount,$L337)=0,"",-INDEX(SCAmount,$L337)),""),IF($M337&lt;&gt;"",IF(INDEX(LdgDepB,$M337)=0,"",INDEX(LdgDepB,$M337)),""))</f>
        <v/>
      </c>
      <c r="I337" s="22">
        <f>IF($B337="","",IF($I336="",$C$10,$I336)+IF($G337="",0,$G337)-IF($H337="",0,$H337))</f>
        <v/>
      </c>
      <c r="L337">
        <f>IFERROR(MATCH($C$5&amp;"|"&amp;RIGHT("000000"&amp;321,6),LdgRankKeyA,0),"")</f>
        <v/>
      </c>
      <c r="M337">
        <f>IFERROR(MATCH($C$5&amp;"|"&amp;RIGHT("000000"&amp;321,6),LdgRankKeyB,0),"")</f>
        <v/>
      </c>
    </row>
    <row r="338">
      <c r="A338" s="23" t="n">
        <v>322</v>
      </c>
      <c r="B338" s="24">
        <f>IF(AND($L338="",$M338=""),"",IF($L338&lt;&gt;"",INDEX(SCNormDate,$L338),INDEX(LdgDateB,$M338)))</f>
        <v/>
      </c>
      <c r="C338" s="24">
        <f>IF($L338&lt;&gt;"",INDEX(SCOp,$L338),IF($M338&lt;&gt;"","پرداخت بانکی",""))</f>
        <v/>
      </c>
      <c r="D338" s="24">
        <f>IF($L338&lt;&gt;"",IF(INDEX(SCDoc,$L338)="","—",INDEX(SCDoc,$L338)),IF($M338&lt;&gt;"",INDEX(LdgBankB,$M338),""))</f>
        <v/>
      </c>
      <c r="E338" s="25">
        <f>IF($L338&lt;&gt;"",IF(INDEX(SCCitrus,$L338)&amp;INDEX(SCNotes,$L338)="","",IF(INDEX(SCCitrus,$L338)="","",INDEX(SCCitrus,$L338))&amp;IF(INDEX(SCNotes,$L338)="",""," — "&amp;INDEX(SCNotes,$L338))),IF($M338&lt;&gt;"",IF(INDEX(LdgNoteB,$M338)="","—",INDEX(LdgNoteB,$M338)),""))</f>
        <v/>
      </c>
      <c r="F338" s="26">
        <f>IF($L338&lt;&gt;"",IF(INDEX(SCNet,$L338)=0,"",INDEX(SCNet,$L338)),"")</f>
        <v/>
      </c>
      <c r="G338" s="27">
        <f>IF($L338&lt;&gt;"",IF(INDEX(SCOp,$L338)="مرجوعی فروش","",IF(INDEX(SCAmount,$L338)&lt;=0,"",INDEX(SCAmount,$L338))),IF($M338&lt;&gt;"",IF(INDEX(LdgWitB,$M338)=0,"",INDEX(LdgWitB,$M338)),""))</f>
        <v/>
      </c>
      <c r="H338" s="27">
        <f>IF($L338&lt;&gt;"",IF(INDEX(SCOp,$L338)="مرجوعی فروش",IF(INDEX(SCAmount,$L338)=0,"",-INDEX(SCAmount,$L338)),""),IF($M338&lt;&gt;"",IF(INDEX(LdgDepB,$M338)=0,"",INDEX(LdgDepB,$M338)),""))</f>
        <v/>
      </c>
      <c r="I338" s="28">
        <f>IF($B338="","",IF($I337="",$C$10,$I337)+IF($G338="",0,$G338)-IF($H338="",0,$H338))</f>
        <v/>
      </c>
      <c r="L338">
        <f>IFERROR(MATCH($C$5&amp;"|"&amp;RIGHT("000000"&amp;322,6),LdgRankKeyA,0),"")</f>
        <v/>
      </c>
      <c r="M338">
        <f>IFERROR(MATCH($C$5&amp;"|"&amp;RIGHT("000000"&amp;322,6),LdgRankKeyB,0),"")</f>
        <v/>
      </c>
    </row>
    <row r="339">
      <c r="A339" s="17" t="n">
        <v>323</v>
      </c>
      <c r="B339" s="18">
        <f>IF(AND($L339="",$M339=""),"",IF($L339&lt;&gt;"",INDEX(SCNormDate,$L339),INDEX(LdgDateB,$M339)))</f>
        <v/>
      </c>
      <c r="C339" s="18">
        <f>IF($L339&lt;&gt;"",INDEX(SCOp,$L339),IF($M339&lt;&gt;"","پرداخت بانکی",""))</f>
        <v/>
      </c>
      <c r="D339" s="18">
        <f>IF($L339&lt;&gt;"",IF(INDEX(SCDoc,$L339)="","—",INDEX(SCDoc,$L339)),IF($M339&lt;&gt;"",INDEX(LdgBankB,$M339),""))</f>
        <v/>
      </c>
      <c r="E339" s="19">
        <f>IF($L339&lt;&gt;"",IF(INDEX(SCCitrus,$L339)&amp;INDEX(SCNotes,$L339)="","",IF(INDEX(SCCitrus,$L339)="","",INDEX(SCCitrus,$L339))&amp;IF(INDEX(SCNotes,$L339)="",""," — "&amp;INDEX(SCNotes,$L339))),IF($M339&lt;&gt;"",IF(INDEX(LdgNoteB,$M339)="","—",INDEX(LdgNoteB,$M339)),""))</f>
        <v/>
      </c>
      <c r="F339" s="20">
        <f>IF($L339&lt;&gt;"",IF(INDEX(SCNet,$L339)=0,"",INDEX(SCNet,$L339)),"")</f>
        <v/>
      </c>
      <c r="G339" s="21">
        <f>IF($L339&lt;&gt;"",IF(INDEX(SCOp,$L339)="مرجوعی فروش","",IF(INDEX(SCAmount,$L339)&lt;=0,"",INDEX(SCAmount,$L339))),IF($M339&lt;&gt;"",IF(INDEX(LdgWitB,$M339)=0,"",INDEX(LdgWitB,$M339)),""))</f>
        <v/>
      </c>
      <c r="H339" s="21">
        <f>IF($L339&lt;&gt;"",IF(INDEX(SCOp,$L339)="مرجوعی فروش",IF(INDEX(SCAmount,$L339)=0,"",-INDEX(SCAmount,$L339)),""),IF($M339&lt;&gt;"",IF(INDEX(LdgDepB,$M339)=0,"",INDEX(LdgDepB,$M339)),""))</f>
        <v/>
      </c>
      <c r="I339" s="22">
        <f>IF($B339="","",IF($I338="",$C$10,$I338)+IF($G339="",0,$G339)-IF($H339="",0,$H339))</f>
        <v/>
      </c>
      <c r="L339">
        <f>IFERROR(MATCH($C$5&amp;"|"&amp;RIGHT("000000"&amp;323,6),LdgRankKeyA,0),"")</f>
        <v/>
      </c>
      <c r="M339">
        <f>IFERROR(MATCH($C$5&amp;"|"&amp;RIGHT("000000"&amp;323,6),LdgRankKeyB,0),"")</f>
        <v/>
      </c>
    </row>
    <row r="340">
      <c r="A340" s="23" t="n">
        <v>324</v>
      </c>
      <c r="B340" s="24">
        <f>IF(AND($L340="",$M340=""),"",IF($L340&lt;&gt;"",INDEX(SCNormDate,$L340),INDEX(LdgDateB,$M340)))</f>
        <v/>
      </c>
      <c r="C340" s="24">
        <f>IF($L340&lt;&gt;"",INDEX(SCOp,$L340),IF($M340&lt;&gt;"","پرداخت بانکی",""))</f>
        <v/>
      </c>
      <c r="D340" s="24">
        <f>IF($L340&lt;&gt;"",IF(INDEX(SCDoc,$L340)="","—",INDEX(SCDoc,$L340)),IF($M340&lt;&gt;"",INDEX(LdgBankB,$M340),""))</f>
        <v/>
      </c>
      <c r="E340" s="25">
        <f>IF($L340&lt;&gt;"",IF(INDEX(SCCitrus,$L340)&amp;INDEX(SCNotes,$L340)="","",IF(INDEX(SCCitrus,$L340)="","",INDEX(SCCitrus,$L340))&amp;IF(INDEX(SCNotes,$L340)="",""," — "&amp;INDEX(SCNotes,$L340))),IF($M340&lt;&gt;"",IF(INDEX(LdgNoteB,$M340)="","—",INDEX(LdgNoteB,$M340)),""))</f>
        <v/>
      </c>
      <c r="F340" s="26">
        <f>IF($L340&lt;&gt;"",IF(INDEX(SCNet,$L340)=0,"",INDEX(SCNet,$L340)),"")</f>
        <v/>
      </c>
      <c r="G340" s="27">
        <f>IF($L340&lt;&gt;"",IF(INDEX(SCOp,$L340)="مرجوعی فروش","",IF(INDEX(SCAmount,$L340)&lt;=0,"",INDEX(SCAmount,$L340))),IF($M340&lt;&gt;"",IF(INDEX(LdgWitB,$M340)=0,"",INDEX(LdgWitB,$M340)),""))</f>
        <v/>
      </c>
      <c r="H340" s="27">
        <f>IF($L340&lt;&gt;"",IF(INDEX(SCOp,$L340)="مرجوعی فروش",IF(INDEX(SCAmount,$L340)=0,"",-INDEX(SCAmount,$L340)),""),IF($M340&lt;&gt;"",IF(INDEX(LdgDepB,$M340)=0,"",INDEX(LdgDepB,$M340)),""))</f>
        <v/>
      </c>
      <c r="I340" s="28">
        <f>IF($B340="","",IF($I339="",$C$10,$I339)+IF($G340="",0,$G340)-IF($H340="",0,$H340))</f>
        <v/>
      </c>
      <c r="L340">
        <f>IFERROR(MATCH($C$5&amp;"|"&amp;RIGHT("000000"&amp;324,6),LdgRankKeyA,0),"")</f>
        <v/>
      </c>
      <c r="M340">
        <f>IFERROR(MATCH($C$5&amp;"|"&amp;RIGHT("000000"&amp;324,6),LdgRankKeyB,0),"")</f>
        <v/>
      </c>
    </row>
    <row r="341">
      <c r="A341" s="17" t="n">
        <v>325</v>
      </c>
      <c r="B341" s="18">
        <f>IF(AND($L341="",$M341=""),"",IF($L341&lt;&gt;"",INDEX(SCNormDate,$L341),INDEX(LdgDateB,$M341)))</f>
        <v/>
      </c>
      <c r="C341" s="18">
        <f>IF($L341&lt;&gt;"",INDEX(SCOp,$L341),IF($M341&lt;&gt;"","پرداخت بانکی",""))</f>
        <v/>
      </c>
      <c r="D341" s="18">
        <f>IF($L341&lt;&gt;"",IF(INDEX(SCDoc,$L341)="","—",INDEX(SCDoc,$L341)),IF($M341&lt;&gt;"",INDEX(LdgBankB,$M341),""))</f>
        <v/>
      </c>
      <c r="E341" s="19">
        <f>IF($L341&lt;&gt;"",IF(INDEX(SCCitrus,$L341)&amp;INDEX(SCNotes,$L341)="","",IF(INDEX(SCCitrus,$L341)="","",INDEX(SCCitrus,$L341))&amp;IF(INDEX(SCNotes,$L341)="",""," — "&amp;INDEX(SCNotes,$L341))),IF($M341&lt;&gt;"",IF(INDEX(LdgNoteB,$M341)="","—",INDEX(LdgNoteB,$M341)),""))</f>
        <v/>
      </c>
      <c r="F341" s="20">
        <f>IF($L341&lt;&gt;"",IF(INDEX(SCNet,$L341)=0,"",INDEX(SCNet,$L341)),"")</f>
        <v/>
      </c>
      <c r="G341" s="21">
        <f>IF($L341&lt;&gt;"",IF(INDEX(SCOp,$L341)="مرجوعی فروش","",IF(INDEX(SCAmount,$L341)&lt;=0,"",INDEX(SCAmount,$L341))),IF($M341&lt;&gt;"",IF(INDEX(LdgWitB,$M341)=0,"",INDEX(LdgWitB,$M341)),""))</f>
        <v/>
      </c>
      <c r="H341" s="21">
        <f>IF($L341&lt;&gt;"",IF(INDEX(SCOp,$L341)="مرجوعی فروش",IF(INDEX(SCAmount,$L341)=0,"",-INDEX(SCAmount,$L341)),""),IF($M341&lt;&gt;"",IF(INDEX(LdgDepB,$M341)=0,"",INDEX(LdgDepB,$M341)),""))</f>
        <v/>
      </c>
      <c r="I341" s="22">
        <f>IF($B341="","",IF($I340="",$C$10,$I340)+IF($G341="",0,$G341)-IF($H341="",0,$H341))</f>
        <v/>
      </c>
      <c r="L341">
        <f>IFERROR(MATCH($C$5&amp;"|"&amp;RIGHT("000000"&amp;325,6),LdgRankKeyA,0),"")</f>
        <v/>
      </c>
      <c r="M341">
        <f>IFERROR(MATCH($C$5&amp;"|"&amp;RIGHT("000000"&amp;325,6),LdgRankKeyB,0),"")</f>
        <v/>
      </c>
    </row>
    <row r="342">
      <c r="A342" s="23" t="n">
        <v>326</v>
      </c>
      <c r="B342" s="24">
        <f>IF(AND($L342="",$M342=""),"",IF($L342&lt;&gt;"",INDEX(SCNormDate,$L342),INDEX(LdgDateB,$M342)))</f>
        <v/>
      </c>
      <c r="C342" s="24">
        <f>IF($L342&lt;&gt;"",INDEX(SCOp,$L342),IF($M342&lt;&gt;"","پرداخت بانکی",""))</f>
        <v/>
      </c>
      <c r="D342" s="24">
        <f>IF($L342&lt;&gt;"",IF(INDEX(SCDoc,$L342)="","—",INDEX(SCDoc,$L342)),IF($M342&lt;&gt;"",INDEX(LdgBankB,$M342),""))</f>
        <v/>
      </c>
      <c r="E342" s="25">
        <f>IF($L342&lt;&gt;"",IF(INDEX(SCCitrus,$L342)&amp;INDEX(SCNotes,$L342)="","",IF(INDEX(SCCitrus,$L342)="","",INDEX(SCCitrus,$L342))&amp;IF(INDEX(SCNotes,$L342)="",""," — "&amp;INDEX(SCNotes,$L342))),IF($M342&lt;&gt;"",IF(INDEX(LdgNoteB,$M342)="","—",INDEX(LdgNoteB,$M342)),""))</f>
        <v/>
      </c>
      <c r="F342" s="26">
        <f>IF($L342&lt;&gt;"",IF(INDEX(SCNet,$L342)=0,"",INDEX(SCNet,$L342)),"")</f>
        <v/>
      </c>
      <c r="G342" s="27">
        <f>IF($L342&lt;&gt;"",IF(INDEX(SCOp,$L342)="مرجوعی فروش","",IF(INDEX(SCAmount,$L342)&lt;=0,"",INDEX(SCAmount,$L342))),IF($M342&lt;&gt;"",IF(INDEX(LdgWitB,$M342)=0,"",INDEX(LdgWitB,$M342)),""))</f>
        <v/>
      </c>
      <c r="H342" s="27">
        <f>IF($L342&lt;&gt;"",IF(INDEX(SCOp,$L342)="مرجوعی فروش",IF(INDEX(SCAmount,$L342)=0,"",-INDEX(SCAmount,$L342)),""),IF($M342&lt;&gt;"",IF(INDEX(LdgDepB,$M342)=0,"",INDEX(LdgDepB,$M342)),""))</f>
        <v/>
      </c>
      <c r="I342" s="28">
        <f>IF($B342="","",IF($I341="",$C$10,$I341)+IF($G342="",0,$G342)-IF($H342="",0,$H342))</f>
        <v/>
      </c>
      <c r="L342">
        <f>IFERROR(MATCH($C$5&amp;"|"&amp;RIGHT("000000"&amp;326,6),LdgRankKeyA,0),"")</f>
        <v/>
      </c>
      <c r="M342">
        <f>IFERROR(MATCH($C$5&amp;"|"&amp;RIGHT("000000"&amp;326,6),LdgRankKeyB,0),"")</f>
        <v/>
      </c>
    </row>
    <row r="343">
      <c r="A343" s="17" t="n">
        <v>327</v>
      </c>
      <c r="B343" s="18">
        <f>IF(AND($L343="",$M343=""),"",IF($L343&lt;&gt;"",INDEX(SCNormDate,$L343),INDEX(LdgDateB,$M343)))</f>
        <v/>
      </c>
      <c r="C343" s="18">
        <f>IF($L343&lt;&gt;"",INDEX(SCOp,$L343),IF($M343&lt;&gt;"","پرداخت بانکی",""))</f>
        <v/>
      </c>
      <c r="D343" s="18">
        <f>IF($L343&lt;&gt;"",IF(INDEX(SCDoc,$L343)="","—",INDEX(SCDoc,$L343)),IF($M343&lt;&gt;"",INDEX(LdgBankB,$M343),""))</f>
        <v/>
      </c>
      <c r="E343" s="19">
        <f>IF($L343&lt;&gt;"",IF(INDEX(SCCitrus,$L343)&amp;INDEX(SCNotes,$L343)="","",IF(INDEX(SCCitrus,$L343)="","",INDEX(SCCitrus,$L343))&amp;IF(INDEX(SCNotes,$L343)="",""," — "&amp;INDEX(SCNotes,$L343))),IF($M343&lt;&gt;"",IF(INDEX(LdgNoteB,$M343)="","—",INDEX(LdgNoteB,$M343)),""))</f>
        <v/>
      </c>
      <c r="F343" s="20">
        <f>IF($L343&lt;&gt;"",IF(INDEX(SCNet,$L343)=0,"",INDEX(SCNet,$L343)),"")</f>
        <v/>
      </c>
      <c r="G343" s="21">
        <f>IF($L343&lt;&gt;"",IF(INDEX(SCOp,$L343)="مرجوعی فروش","",IF(INDEX(SCAmount,$L343)&lt;=0,"",INDEX(SCAmount,$L343))),IF($M343&lt;&gt;"",IF(INDEX(LdgWitB,$M343)=0,"",INDEX(LdgWitB,$M343)),""))</f>
        <v/>
      </c>
      <c r="H343" s="21">
        <f>IF($L343&lt;&gt;"",IF(INDEX(SCOp,$L343)="مرجوعی فروش",IF(INDEX(SCAmount,$L343)=0,"",-INDEX(SCAmount,$L343)),""),IF($M343&lt;&gt;"",IF(INDEX(LdgDepB,$M343)=0,"",INDEX(LdgDepB,$M343)),""))</f>
        <v/>
      </c>
      <c r="I343" s="22">
        <f>IF($B343="","",IF($I342="",$C$10,$I342)+IF($G343="",0,$G343)-IF($H343="",0,$H343))</f>
        <v/>
      </c>
      <c r="L343">
        <f>IFERROR(MATCH($C$5&amp;"|"&amp;RIGHT("000000"&amp;327,6),LdgRankKeyA,0),"")</f>
        <v/>
      </c>
      <c r="M343">
        <f>IFERROR(MATCH($C$5&amp;"|"&amp;RIGHT("000000"&amp;327,6),LdgRankKeyB,0),"")</f>
        <v/>
      </c>
    </row>
    <row r="344">
      <c r="A344" s="23" t="n">
        <v>328</v>
      </c>
      <c r="B344" s="24">
        <f>IF(AND($L344="",$M344=""),"",IF($L344&lt;&gt;"",INDEX(SCNormDate,$L344),INDEX(LdgDateB,$M344)))</f>
        <v/>
      </c>
      <c r="C344" s="24">
        <f>IF($L344&lt;&gt;"",INDEX(SCOp,$L344),IF($M344&lt;&gt;"","پرداخت بانکی",""))</f>
        <v/>
      </c>
      <c r="D344" s="24">
        <f>IF($L344&lt;&gt;"",IF(INDEX(SCDoc,$L344)="","—",INDEX(SCDoc,$L344)),IF($M344&lt;&gt;"",INDEX(LdgBankB,$M344),""))</f>
        <v/>
      </c>
      <c r="E344" s="25">
        <f>IF($L344&lt;&gt;"",IF(INDEX(SCCitrus,$L344)&amp;INDEX(SCNotes,$L344)="","",IF(INDEX(SCCitrus,$L344)="","",INDEX(SCCitrus,$L344))&amp;IF(INDEX(SCNotes,$L344)="",""," — "&amp;INDEX(SCNotes,$L344))),IF($M344&lt;&gt;"",IF(INDEX(LdgNoteB,$M344)="","—",INDEX(LdgNoteB,$M344)),""))</f>
        <v/>
      </c>
      <c r="F344" s="26">
        <f>IF($L344&lt;&gt;"",IF(INDEX(SCNet,$L344)=0,"",INDEX(SCNet,$L344)),"")</f>
        <v/>
      </c>
      <c r="G344" s="27">
        <f>IF($L344&lt;&gt;"",IF(INDEX(SCOp,$L344)="مرجوعی فروش","",IF(INDEX(SCAmount,$L344)&lt;=0,"",INDEX(SCAmount,$L344))),IF($M344&lt;&gt;"",IF(INDEX(LdgWitB,$M344)=0,"",INDEX(LdgWitB,$M344)),""))</f>
        <v/>
      </c>
      <c r="H344" s="27">
        <f>IF($L344&lt;&gt;"",IF(INDEX(SCOp,$L344)="مرجوعی فروش",IF(INDEX(SCAmount,$L344)=0,"",-INDEX(SCAmount,$L344)),""),IF($M344&lt;&gt;"",IF(INDEX(LdgDepB,$M344)=0,"",INDEX(LdgDepB,$M344)),""))</f>
        <v/>
      </c>
      <c r="I344" s="28">
        <f>IF($B344="","",IF($I343="",$C$10,$I343)+IF($G344="",0,$G344)-IF($H344="",0,$H344))</f>
        <v/>
      </c>
      <c r="L344">
        <f>IFERROR(MATCH($C$5&amp;"|"&amp;RIGHT("000000"&amp;328,6),LdgRankKeyA,0),"")</f>
        <v/>
      </c>
      <c r="M344">
        <f>IFERROR(MATCH($C$5&amp;"|"&amp;RIGHT("000000"&amp;328,6),LdgRankKeyB,0),"")</f>
        <v/>
      </c>
    </row>
    <row r="345">
      <c r="A345" s="17" t="n">
        <v>329</v>
      </c>
      <c r="B345" s="18">
        <f>IF(AND($L345="",$M345=""),"",IF($L345&lt;&gt;"",INDEX(SCNormDate,$L345),INDEX(LdgDateB,$M345)))</f>
        <v/>
      </c>
      <c r="C345" s="18">
        <f>IF($L345&lt;&gt;"",INDEX(SCOp,$L345),IF($M345&lt;&gt;"","پرداخت بانکی",""))</f>
        <v/>
      </c>
      <c r="D345" s="18">
        <f>IF($L345&lt;&gt;"",IF(INDEX(SCDoc,$L345)="","—",INDEX(SCDoc,$L345)),IF($M345&lt;&gt;"",INDEX(LdgBankB,$M345),""))</f>
        <v/>
      </c>
      <c r="E345" s="19">
        <f>IF($L345&lt;&gt;"",IF(INDEX(SCCitrus,$L345)&amp;INDEX(SCNotes,$L345)="","",IF(INDEX(SCCitrus,$L345)="","",INDEX(SCCitrus,$L345))&amp;IF(INDEX(SCNotes,$L345)="",""," — "&amp;INDEX(SCNotes,$L345))),IF($M345&lt;&gt;"",IF(INDEX(LdgNoteB,$M345)="","—",INDEX(LdgNoteB,$M345)),""))</f>
        <v/>
      </c>
      <c r="F345" s="20">
        <f>IF($L345&lt;&gt;"",IF(INDEX(SCNet,$L345)=0,"",INDEX(SCNet,$L345)),"")</f>
        <v/>
      </c>
      <c r="G345" s="21">
        <f>IF($L345&lt;&gt;"",IF(INDEX(SCOp,$L345)="مرجوعی فروش","",IF(INDEX(SCAmount,$L345)&lt;=0,"",INDEX(SCAmount,$L345))),IF($M345&lt;&gt;"",IF(INDEX(LdgWitB,$M345)=0,"",INDEX(LdgWitB,$M345)),""))</f>
        <v/>
      </c>
      <c r="H345" s="21">
        <f>IF($L345&lt;&gt;"",IF(INDEX(SCOp,$L345)="مرجوعی فروش",IF(INDEX(SCAmount,$L345)=0,"",-INDEX(SCAmount,$L345)),""),IF($M345&lt;&gt;"",IF(INDEX(LdgDepB,$M345)=0,"",INDEX(LdgDepB,$M345)),""))</f>
        <v/>
      </c>
      <c r="I345" s="22">
        <f>IF($B345="","",IF($I344="",$C$10,$I344)+IF($G345="",0,$G345)-IF($H345="",0,$H345))</f>
        <v/>
      </c>
      <c r="L345">
        <f>IFERROR(MATCH($C$5&amp;"|"&amp;RIGHT("000000"&amp;329,6),LdgRankKeyA,0),"")</f>
        <v/>
      </c>
      <c r="M345">
        <f>IFERROR(MATCH($C$5&amp;"|"&amp;RIGHT("000000"&amp;329,6),LdgRankKeyB,0),"")</f>
        <v/>
      </c>
    </row>
    <row r="346">
      <c r="A346" s="23" t="n">
        <v>330</v>
      </c>
      <c r="B346" s="24">
        <f>IF(AND($L346="",$M346=""),"",IF($L346&lt;&gt;"",INDEX(SCNormDate,$L346),INDEX(LdgDateB,$M346)))</f>
        <v/>
      </c>
      <c r="C346" s="24">
        <f>IF($L346&lt;&gt;"",INDEX(SCOp,$L346),IF($M346&lt;&gt;"","پرداخت بانکی",""))</f>
        <v/>
      </c>
      <c r="D346" s="24">
        <f>IF($L346&lt;&gt;"",IF(INDEX(SCDoc,$L346)="","—",INDEX(SCDoc,$L346)),IF($M346&lt;&gt;"",INDEX(LdgBankB,$M346),""))</f>
        <v/>
      </c>
      <c r="E346" s="25">
        <f>IF($L346&lt;&gt;"",IF(INDEX(SCCitrus,$L346)&amp;INDEX(SCNotes,$L346)="","",IF(INDEX(SCCitrus,$L346)="","",INDEX(SCCitrus,$L346))&amp;IF(INDEX(SCNotes,$L346)="",""," — "&amp;INDEX(SCNotes,$L346))),IF($M346&lt;&gt;"",IF(INDEX(LdgNoteB,$M346)="","—",INDEX(LdgNoteB,$M346)),""))</f>
        <v/>
      </c>
      <c r="F346" s="26">
        <f>IF($L346&lt;&gt;"",IF(INDEX(SCNet,$L346)=0,"",INDEX(SCNet,$L346)),"")</f>
        <v/>
      </c>
      <c r="G346" s="27">
        <f>IF($L346&lt;&gt;"",IF(INDEX(SCOp,$L346)="مرجوعی فروش","",IF(INDEX(SCAmount,$L346)&lt;=0,"",INDEX(SCAmount,$L346))),IF($M346&lt;&gt;"",IF(INDEX(LdgWitB,$M346)=0,"",INDEX(LdgWitB,$M346)),""))</f>
        <v/>
      </c>
      <c r="H346" s="27">
        <f>IF($L346&lt;&gt;"",IF(INDEX(SCOp,$L346)="مرجوعی فروش",IF(INDEX(SCAmount,$L346)=0,"",-INDEX(SCAmount,$L346)),""),IF($M346&lt;&gt;"",IF(INDEX(LdgDepB,$M346)=0,"",INDEX(LdgDepB,$M346)),""))</f>
        <v/>
      </c>
      <c r="I346" s="28">
        <f>IF($B346="","",IF($I345="",$C$10,$I345)+IF($G346="",0,$G346)-IF($H346="",0,$H346))</f>
        <v/>
      </c>
      <c r="L346">
        <f>IFERROR(MATCH($C$5&amp;"|"&amp;RIGHT("000000"&amp;330,6),LdgRankKeyA,0),"")</f>
        <v/>
      </c>
      <c r="M346">
        <f>IFERROR(MATCH($C$5&amp;"|"&amp;RIGHT("000000"&amp;330,6),LdgRankKeyB,0),"")</f>
        <v/>
      </c>
    </row>
    <row r="347">
      <c r="A347" s="17" t="n">
        <v>331</v>
      </c>
      <c r="B347" s="18">
        <f>IF(AND($L347="",$M347=""),"",IF($L347&lt;&gt;"",INDEX(SCNormDate,$L347),INDEX(LdgDateB,$M347)))</f>
        <v/>
      </c>
      <c r="C347" s="18">
        <f>IF($L347&lt;&gt;"",INDEX(SCOp,$L347),IF($M347&lt;&gt;"","پرداخت بانکی",""))</f>
        <v/>
      </c>
      <c r="D347" s="18">
        <f>IF($L347&lt;&gt;"",IF(INDEX(SCDoc,$L347)="","—",INDEX(SCDoc,$L347)),IF($M347&lt;&gt;"",INDEX(LdgBankB,$M347),""))</f>
        <v/>
      </c>
      <c r="E347" s="19">
        <f>IF($L347&lt;&gt;"",IF(INDEX(SCCitrus,$L347)&amp;INDEX(SCNotes,$L347)="","",IF(INDEX(SCCitrus,$L347)="","",INDEX(SCCitrus,$L347))&amp;IF(INDEX(SCNotes,$L347)="",""," — "&amp;INDEX(SCNotes,$L347))),IF($M347&lt;&gt;"",IF(INDEX(LdgNoteB,$M347)="","—",INDEX(LdgNoteB,$M347)),""))</f>
        <v/>
      </c>
      <c r="F347" s="20">
        <f>IF($L347&lt;&gt;"",IF(INDEX(SCNet,$L347)=0,"",INDEX(SCNet,$L347)),"")</f>
        <v/>
      </c>
      <c r="G347" s="21">
        <f>IF($L347&lt;&gt;"",IF(INDEX(SCOp,$L347)="مرجوعی فروش","",IF(INDEX(SCAmount,$L347)&lt;=0,"",INDEX(SCAmount,$L347))),IF($M347&lt;&gt;"",IF(INDEX(LdgWitB,$M347)=0,"",INDEX(LdgWitB,$M347)),""))</f>
        <v/>
      </c>
      <c r="H347" s="21">
        <f>IF($L347&lt;&gt;"",IF(INDEX(SCOp,$L347)="مرجوعی فروش",IF(INDEX(SCAmount,$L347)=0,"",-INDEX(SCAmount,$L347)),""),IF($M347&lt;&gt;"",IF(INDEX(LdgDepB,$M347)=0,"",INDEX(LdgDepB,$M347)),""))</f>
        <v/>
      </c>
      <c r="I347" s="22">
        <f>IF($B347="","",IF($I346="",$C$10,$I346)+IF($G347="",0,$G347)-IF($H347="",0,$H347))</f>
        <v/>
      </c>
      <c r="L347">
        <f>IFERROR(MATCH($C$5&amp;"|"&amp;RIGHT("000000"&amp;331,6),LdgRankKeyA,0),"")</f>
        <v/>
      </c>
      <c r="M347">
        <f>IFERROR(MATCH($C$5&amp;"|"&amp;RIGHT("000000"&amp;331,6),LdgRankKeyB,0),"")</f>
        <v/>
      </c>
    </row>
    <row r="348">
      <c r="A348" s="23" t="n">
        <v>332</v>
      </c>
      <c r="B348" s="24">
        <f>IF(AND($L348="",$M348=""),"",IF($L348&lt;&gt;"",INDEX(SCNormDate,$L348),INDEX(LdgDateB,$M348)))</f>
        <v/>
      </c>
      <c r="C348" s="24">
        <f>IF($L348&lt;&gt;"",INDEX(SCOp,$L348),IF($M348&lt;&gt;"","پرداخت بانکی",""))</f>
        <v/>
      </c>
      <c r="D348" s="24">
        <f>IF($L348&lt;&gt;"",IF(INDEX(SCDoc,$L348)="","—",INDEX(SCDoc,$L348)),IF($M348&lt;&gt;"",INDEX(LdgBankB,$M348),""))</f>
        <v/>
      </c>
      <c r="E348" s="25">
        <f>IF($L348&lt;&gt;"",IF(INDEX(SCCitrus,$L348)&amp;INDEX(SCNotes,$L348)="","",IF(INDEX(SCCitrus,$L348)="","",INDEX(SCCitrus,$L348))&amp;IF(INDEX(SCNotes,$L348)="",""," — "&amp;INDEX(SCNotes,$L348))),IF($M348&lt;&gt;"",IF(INDEX(LdgNoteB,$M348)="","—",INDEX(LdgNoteB,$M348)),""))</f>
        <v/>
      </c>
      <c r="F348" s="26">
        <f>IF($L348&lt;&gt;"",IF(INDEX(SCNet,$L348)=0,"",INDEX(SCNet,$L348)),"")</f>
        <v/>
      </c>
      <c r="G348" s="27">
        <f>IF($L348&lt;&gt;"",IF(INDEX(SCOp,$L348)="مرجوعی فروش","",IF(INDEX(SCAmount,$L348)&lt;=0,"",INDEX(SCAmount,$L348))),IF($M348&lt;&gt;"",IF(INDEX(LdgWitB,$M348)=0,"",INDEX(LdgWitB,$M348)),""))</f>
        <v/>
      </c>
      <c r="H348" s="27">
        <f>IF($L348&lt;&gt;"",IF(INDEX(SCOp,$L348)="مرجوعی فروش",IF(INDEX(SCAmount,$L348)=0,"",-INDEX(SCAmount,$L348)),""),IF($M348&lt;&gt;"",IF(INDEX(LdgDepB,$M348)=0,"",INDEX(LdgDepB,$M348)),""))</f>
        <v/>
      </c>
      <c r="I348" s="28">
        <f>IF($B348="","",IF($I347="",$C$10,$I347)+IF($G348="",0,$G348)-IF($H348="",0,$H348))</f>
        <v/>
      </c>
      <c r="L348">
        <f>IFERROR(MATCH($C$5&amp;"|"&amp;RIGHT("000000"&amp;332,6),LdgRankKeyA,0),"")</f>
        <v/>
      </c>
      <c r="M348">
        <f>IFERROR(MATCH($C$5&amp;"|"&amp;RIGHT("000000"&amp;332,6),LdgRankKeyB,0),"")</f>
        <v/>
      </c>
    </row>
    <row r="349">
      <c r="A349" s="17" t="n">
        <v>333</v>
      </c>
      <c r="B349" s="18">
        <f>IF(AND($L349="",$M349=""),"",IF($L349&lt;&gt;"",INDEX(SCNormDate,$L349),INDEX(LdgDateB,$M349)))</f>
        <v/>
      </c>
      <c r="C349" s="18">
        <f>IF($L349&lt;&gt;"",INDEX(SCOp,$L349),IF($M349&lt;&gt;"","پرداخت بانکی",""))</f>
        <v/>
      </c>
      <c r="D349" s="18">
        <f>IF($L349&lt;&gt;"",IF(INDEX(SCDoc,$L349)="","—",INDEX(SCDoc,$L349)),IF($M349&lt;&gt;"",INDEX(LdgBankB,$M349),""))</f>
        <v/>
      </c>
      <c r="E349" s="19">
        <f>IF($L349&lt;&gt;"",IF(INDEX(SCCitrus,$L349)&amp;INDEX(SCNotes,$L349)="","",IF(INDEX(SCCitrus,$L349)="","",INDEX(SCCitrus,$L349))&amp;IF(INDEX(SCNotes,$L349)="",""," — "&amp;INDEX(SCNotes,$L349))),IF($M349&lt;&gt;"",IF(INDEX(LdgNoteB,$M349)="","—",INDEX(LdgNoteB,$M349)),""))</f>
        <v/>
      </c>
      <c r="F349" s="20">
        <f>IF($L349&lt;&gt;"",IF(INDEX(SCNet,$L349)=0,"",INDEX(SCNet,$L349)),"")</f>
        <v/>
      </c>
      <c r="G349" s="21">
        <f>IF($L349&lt;&gt;"",IF(INDEX(SCOp,$L349)="مرجوعی فروش","",IF(INDEX(SCAmount,$L349)&lt;=0,"",INDEX(SCAmount,$L349))),IF($M349&lt;&gt;"",IF(INDEX(LdgWitB,$M349)=0,"",INDEX(LdgWitB,$M349)),""))</f>
        <v/>
      </c>
      <c r="H349" s="21">
        <f>IF($L349&lt;&gt;"",IF(INDEX(SCOp,$L349)="مرجوعی فروش",IF(INDEX(SCAmount,$L349)=0,"",-INDEX(SCAmount,$L349)),""),IF($M349&lt;&gt;"",IF(INDEX(LdgDepB,$M349)=0,"",INDEX(LdgDepB,$M349)),""))</f>
        <v/>
      </c>
      <c r="I349" s="22">
        <f>IF($B349="","",IF($I348="",$C$10,$I348)+IF($G349="",0,$G349)-IF($H349="",0,$H349))</f>
        <v/>
      </c>
      <c r="L349">
        <f>IFERROR(MATCH($C$5&amp;"|"&amp;RIGHT("000000"&amp;333,6),LdgRankKeyA,0),"")</f>
        <v/>
      </c>
      <c r="M349">
        <f>IFERROR(MATCH($C$5&amp;"|"&amp;RIGHT("000000"&amp;333,6),LdgRankKeyB,0),"")</f>
        <v/>
      </c>
    </row>
    <row r="350">
      <c r="A350" s="23" t="n">
        <v>334</v>
      </c>
      <c r="B350" s="24">
        <f>IF(AND($L350="",$M350=""),"",IF($L350&lt;&gt;"",INDEX(SCNormDate,$L350),INDEX(LdgDateB,$M350)))</f>
        <v/>
      </c>
      <c r="C350" s="24">
        <f>IF($L350&lt;&gt;"",INDEX(SCOp,$L350),IF($M350&lt;&gt;"","پرداخت بانکی",""))</f>
        <v/>
      </c>
      <c r="D350" s="24">
        <f>IF($L350&lt;&gt;"",IF(INDEX(SCDoc,$L350)="","—",INDEX(SCDoc,$L350)),IF($M350&lt;&gt;"",INDEX(LdgBankB,$M350),""))</f>
        <v/>
      </c>
      <c r="E350" s="25">
        <f>IF($L350&lt;&gt;"",IF(INDEX(SCCitrus,$L350)&amp;INDEX(SCNotes,$L350)="","",IF(INDEX(SCCitrus,$L350)="","",INDEX(SCCitrus,$L350))&amp;IF(INDEX(SCNotes,$L350)="",""," — "&amp;INDEX(SCNotes,$L350))),IF($M350&lt;&gt;"",IF(INDEX(LdgNoteB,$M350)="","—",INDEX(LdgNoteB,$M350)),""))</f>
        <v/>
      </c>
      <c r="F350" s="26">
        <f>IF($L350&lt;&gt;"",IF(INDEX(SCNet,$L350)=0,"",INDEX(SCNet,$L350)),"")</f>
        <v/>
      </c>
      <c r="G350" s="27">
        <f>IF($L350&lt;&gt;"",IF(INDEX(SCOp,$L350)="مرجوعی فروش","",IF(INDEX(SCAmount,$L350)&lt;=0,"",INDEX(SCAmount,$L350))),IF($M350&lt;&gt;"",IF(INDEX(LdgWitB,$M350)=0,"",INDEX(LdgWitB,$M350)),""))</f>
        <v/>
      </c>
      <c r="H350" s="27">
        <f>IF($L350&lt;&gt;"",IF(INDEX(SCOp,$L350)="مرجوعی فروش",IF(INDEX(SCAmount,$L350)=0,"",-INDEX(SCAmount,$L350)),""),IF($M350&lt;&gt;"",IF(INDEX(LdgDepB,$M350)=0,"",INDEX(LdgDepB,$M350)),""))</f>
        <v/>
      </c>
      <c r="I350" s="28">
        <f>IF($B350="","",IF($I349="",$C$10,$I349)+IF($G350="",0,$G350)-IF($H350="",0,$H350))</f>
        <v/>
      </c>
      <c r="L350">
        <f>IFERROR(MATCH($C$5&amp;"|"&amp;RIGHT("000000"&amp;334,6),LdgRankKeyA,0),"")</f>
        <v/>
      </c>
      <c r="M350">
        <f>IFERROR(MATCH($C$5&amp;"|"&amp;RIGHT("000000"&amp;334,6),LdgRankKeyB,0),"")</f>
        <v/>
      </c>
    </row>
    <row r="351">
      <c r="A351" s="17" t="n">
        <v>335</v>
      </c>
      <c r="B351" s="18">
        <f>IF(AND($L351="",$M351=""),"",IF($L351&lt;&gt;"",INDEX(SCNormDate,$L351),INDEX(LdgDateB,$M351)))</f>
        <v/>
      </c>
      <c r="C351" s="18">
        <f>IF($L351&lt;&gt;"",INDEX(SCOp,$L351),IF($M351&lt;&gt;"","پرداخت بانکی",""))</f>
        <v/>
      </c>
      <c r="D351" s="18">
        <f>IF($L351&lt;&gt;"",IF(INDEX(SCDoc,$L351)="","—",INDEX(SCDoc,$L351)),IF($M351&lt;&gt;"",INDEX(LdgBankB,$M351),""))</f>
        <v/>
      </c>
      <c r="E351" s="19">
        <f>IF($L351&lt;&gt;"",IF(INDEX(SCCitrus,$L351)&amp;INDEX(SCNotes,$L351)="","",IF(INDEX(SCCitrus,$L351)="","",INDEX(SCCitrus,$L351))&amp;IF(INDEX(SCNotes,$L351)="",""," — "&amp;INDEX(SCNotes,$L351))),IF($M351&lt;&gt;"",IF(INDEX(LdgNoteB,$M351)="","—",INDEX(LdgNoteB,$M351)),""))</f>
        <v/>
      </c>
      <c r="F351" s="20">
        <f>IF($L351&lt;&gt;"",IF(INDEX(SCNet,$L351)=0,"",INDEX(SCNet,$L351)),"")</f>
        <v/>
      </c>
      <c r="G351" s="21">
        <f>IF($L351&lt;&gt;"",IF(INDEX(SCOp,$L351)="مرجوعی فروش","",IF(INDEX(SCAmount,$L351)&lt;=0,"",INDEX(SCAmount,$L351))),IF($M351&lt;&gt;"",IF(INDEX(LdgWitB,$M351)=0,"",INDEX(LdgWitB,$M351)),""))</f>
        <v/>
      </c>
      <c r="H351" s="21">
        <f>IF($L351&lt;&gt;"",IF(INDEX(SCOp,$L351)="مرجوعی فروش",IF(INDEX(SCAmount,$L351)=0,"",-INDEX(SCAmount,$L351)),""),IF($M351&lt;&gt;"",IF(INDEX(LdgDepB,$M351)=0,"",INDEX(LdgDepB,$M351)),""))</f>
        <v/>
      </c>
      <c r="I351" s="22">
        <f>IF($B351="","",IF($I350="",$C$10,$I350)+IF($G351="",0,$G351)-IF($H351="",0,$H351))</f>
        <v/>
      </c>
      <c r="L351">
        <f>IFERROR(MATCH($C$5&amp;"|"&amp;RIGHT("000000"&amp;335,6),LdgRankKeyA,0),"")</f>
        <v/>
      </c>
      <c r="M351">
        <f>IFERROR(MATCH($C$5&amp;"|"&amp;RIGHT("000000"&amp;335,6),LdgRankKeyB,0),"")</f>
        <v/>
      </c>
    </row>
    <row r="352">
      <c r="A352" s="23" t="n">
        <v>336</v>
      </c>
      <c r="B352" s="24">
        <f>IF(AND($L352="",$M352=""),"",IF($L352&lt;&gt;"",INDEX(SCNormDate,$L352),INDEX(LdgDateB,$M352)))</f>
        <v/>
      </c>
      <c r="C352" s="24">
        <f>IF($L352&lt;&gt;"",INDEX(SCOp,$L352),IF($M352&lt;&gt;"","پرداخت بانکی",""))</f>
        <v/>
      </c>
      <c r="D352" s="24">
        <f>IF($L352&lt;&gt;"",IF(INDEX(SCDoc,$L352)="","—",INDEX(SCDoc,$L352)),IF($M352&lt;&gt;"",INDEX(LdgBankB,$M352),""))</f>
        <v/>
      </c>
      <c r="E352" s="25">
        <f>IF($L352&lt;&gt;"",IF(INDEX(SCCitrus,$L352)&amp;INDEX(SCNotes,$L352)="","",IF(INDEX(SCCitrus,$L352)="","",INDEX(SCCitrus,$L352))&amp;IF(INDEX(SCNotes,$L352)="",""," — "&amp;INDEX(SCNotes,$L352))),IF($M352&lt;&gt;"",IF(INDEX(LdgNoteB,$M352)="","—",INDEX(LdgNoteB,$M352)),""))</f>
        <v/>
      </c>
      <c r="F352" s="26">
        <f>IF($L352&lt;&gt;"",IF(INDEX(SCNet,$L352)=0,"",INDEX(SCNet,$L352)),"")</f>
        <v/>
      </c>
      <c r="G352" s="27">
        <f>IF($L352&lt;&gt;"",IF(INDEX(SCOp,$L352)="مرجوعی فروش","",IF(INDEX(SCAmount,$L352)&lt;=0,"",INDEX(SCAmount,$L352))),IF($M352&lt;&gt;"",IF(INDEX(LdgWitB,$M352)=0,"",INDEX(LdgWitB,$M352)),""))</f>
        <v/>
      </c>
      <c r="H352" s="27">
        <f>IF($L352&lt;&gt;"",IF(INDEX(SCOp,$L352)="مرجوعی فروش",IF(INDEX(SCAmount,$L352)=0,"",-INDEX(SCAmount,$L352)),""),IF($M352&lt;&gt;"",IF(INDEX(LdgDepB,$M352)=0,"",INDEX(LdgDepB,$M352)),""))</f>
        <v/>
      </c>
      <c r="I352" s="28">
        <f>IF($B352="","",IF($I351="",$C$10,$I351)+IF($G352="",0,$G352)-IF($H352="",0,$H352))</f>
        <v/>
      </c>
      <c r="L352">
        <f>IFERROR(MATCH($C$5&amp;"|"&amp;RIGHT("000000"&amp;336,6),LdgRankKeyA,0),"")</f>
        <v/>
      </c>
      <c r="M352">
        <f>IFERROR(MATCH($C$5&amp;"|"&amp;RIGHT("000000"&amp;336,6),LdgRankKeyB,0),"")</f>
        <v/>
      </c>
    </row>
    <row r="353">
      <c r="A353" s="17" t="n">
        <v>337</v>
      </c>
      <c r="B353" s="18">
        <f>IF(AND($L353="",$M353=""),"",IF($L353&lt;&gt;"",INDEX(SCNormDate,$L353),INDEX(LdgDateB,$M353)))</f>
        <v/>
      </c>
      <c r="C353" s="18">
        <f>IF($L353&lt;&gt;"",INDEX(SCOp,$L353),IF($M353&lt;&gt;"","پرداخت بانکی",""))</f>
        <v/>
      </c>
      <c r="D353" s="18">
        <f>IF($L353&lt;&gt;"",IF(INDEX(SCDoc,$L353)="","—",INDEX(SCDoc,$L353)),IF($M353&lt;&gt;"",INDEX(LdgBankB,$M353),""))</f>
        <v/>
      </c>
      <c r="E353" s="19">
        <f>IF($L353&lt;&gt;"",IF(INDEX(SCCitrus,$L353)&amp;INDEX(SCNotes,$L353)="","",IF(INDEX(SCCitrus,$L353)="","",INDEX(SCCitrus,$L353))&amp;IF(INDEX(SCNotes,$L353)="",""," — "&amp;INDEX(SCNotes,$L353))),IF($M353&lt;&gt;"",IF(INDEX(LdgNoteB,$M353)="","—",INDEX(LdgNoteB,$M353)),""))</f>
        <v/>
      </c>
      <c r="F353" s="20">
        <f>IF($L353&lt;&gt;"",IF(INDEX(SCNet,$L353)=0,"",INDEX(SCNet,$L353)),"")</f>
        <v/>
      </c>
      <c r="G353" s="21">
        <f>IF($L353&lt;&gt;"",IF(INDEX(SCOp,$L353)="مرجوعی فروش","",IF(INDEX(SCAmount,$L353)&lt;=0,"",INDEX(SCAmount,$L353))),IF($M353&lt;&gt;"",IF(INDEX(LdgWitB,$M353)=0,"",INDEX(LdgWitB,$M353)),""))</f>
        <v/>
      </c>
      <c r="H353" s="21">
        <f>IF($L353&lt;&gt;"",IF(INDEX(SCOp,$L353)="مرجوعی فروش",IF(INDEX(SCAmount,$L353)=0,"",-INDEX(SCAmount,$L353)),""),IF($M353&lt;&gt;"",IF(INDEX(LdgDepB,$M353)=0,"",INDEX(LdgDepB,$M353)),""))</f>
        <v/>
      </c>
      <c r="I353" s="22">
        <f>IF($B353="","",IF($I352="",$C$10,$I352)+IF($G353="",0,$G353)-IF($H353="",0,$H353))</f>
        <v/>
      </c>
      <c r="L353">
        <f>IFERROR(MATCH($C$5&amp;"|"&amp;RIGHT("000000"&amp;337,6),LdgRankKeyA,0),"")</f>
        <v/>
      </c>
      <c r="M353">
        <f>IFERROR(MATCH($C$5&amp;"|"&amp;RIGHT("000000"&amp;337,6),LdgRankKeyB,0),"")</f>
        <v/>
      </c>
    </row>
    <row r="354">
      <c r="A354" s="23" t="n">
        <v>338</v>
      </c>
      <c r="B354" s="24">
        <f>IF(AND($L354="",$M354=""),"",IF($L354&lt;&gt;"",INDEX(SCNormDate,$L354),INDEX(LdgDateB,$M354)))</f>
        <v/>
      </c>
      <c r="C354" s="24">
        <f>IF($L354&lt;&gt;"",INDEX(SCOp,$L354),IF($M354&lt;&gt;"","پرداخت بانکی",""))</f>
        <v/>
      </c>
      <c r="D354" s="24">
        <f>IF($L354&lt;&gt;"",IF(INDEX(SCDoc,$L354)="","—",INDEX(SCDoc,$L354)),IF($M354&lt;&gt;"",INDEX(LdgBankB,$M354),""))</f>
        <v/>
      </c>
      <c r="E354" s="25">
        <f>IF($L354&lt;&gt;"",IF(INDEX(SCCitrus,$L354)&amp;INDEX(SCNotes,$L354)="","",IF(INDEX(SCCitrus,$L354)="","",INDEX(SCCitrus,$L354))&amp;IF(INDEX(SCNotes,$L354)="",""," — "&amp;INDEX(SCNotes,$L354))),IF($M354&lt;&gt;"",IF(INDEX(LdgNoteB,$M354)="","—",INDEX(LdgNoteB,$M354)),""))</f>
        <v/>
      </c>
      <c r="F354" s="26">
        <f>IF($L354&lt;&gt;"",IF(INDEX(SCNet,$L354)=0,"",INDEX(SCNet,$L354)),"")</f>
        <v/>
      </c>
      <c r="G354" s="27">
        <f>IF($L354&lt;&gt;"",IF(INDEX(SCOp,$L354)="مرجوعی فروش","",IF(INDEX(SCAmount,$L354)&lt;=0,"",INDEX(SCAmount,$L354))),IF($M354&lt;&gt;"",IF(INDEX(LdgWitB,$M354)=0,"",INDEX(LdgWitB,$M354)),""))</f>
        <v/>
      </c>
      <c r="H354" s="27">
        <f>IF($L354&lt;&gt;"",IF(INDEX(SCOp,$L354)="مرجوعی فروش",IF(INDEX(SCAmount,$L354)=0,"",-INDEX(SCAmount,$L354)),""),IF($M354&lt;&gt;"",IF(INDEX(LdgDepB,$M354)=0,"",INDEX(LdgDepB,$M354)),""))</f>
        <v/>
      </c>
      <c r="I354" s="28">
        <f>IF($B354="","",IF($I353="",$C$10,$I353)+IF($G354="",0,$G354)-IF($H354="",0,$H354))</f>
        <v/>
      </c>
      <c r="L354">
        <f>IFERROR(MATCH($C$5&amp;"|"&amp;RIGHT("000000"&amp;338,6),LdgRankKeyA,0),"")</f>
        <v/>
      </c>
      <c r="M354">
        <f>IFERROR(MATCH($C$5&amp;"|"&amp;RIGHT("000000"&amp;338,6),LdgRankKeyB,0),"")</f>
        <v/>
      </c>
    </row>
    <row r="355">
      <c r="A355" s="17" t="n">
        <v>339</v>
      </c>
      <c r="B355" s="18">
        <f>IF(AND($L355="",$M355=""),"",IF($L355&lt;&gt;"",INDEX(SCNormDate,$L355),INDEX(LdgDateB,$M355)))</f>
        <v/>
      </c>
      <c r="C355" s="18">
        <f>IF($L355&lt;&gt;"",INDEX(SCOp,$L355),IF($M355&lt;&gt;"","پرداخت بانکی",""))</f>
        <v/>
      </c>
      <c r="D355" s="18">
        <f>IF($L355&lt;&gt;"",IF(INDEX(SCDoc,$L355)="","—",INDEX(SCDoc,$L355)),IF($M355&lt;&gt;"",INDEX(LdgBankB,$M355),""))</f>
        <v/>
      </c>
      <c r="E355" s="19">
        <f>IF($L355&lt;&gt;"",IF(INDEX(SCCitrus,$L355)&amp;INDEX(SCNotes,$L355)="","",IF(INDEX(SCCitrus,$L355)="","",INDEX(SCCitrus,$L355))&amp;IF(INDEX(SCNotes,$L355)="",""," — "&amp;INDEX(SCNotes,$L355))),IF($M355&lt;&gt;"",IF(INDEX(LdgNoteB,$M355)="","—",INDEX(LdgNoteB,$M355)),""))</f>
        <v/>
      </c>
      <c r="F355" s="20">
        <f>IF($L355&lt;&gt;"",IF(INDEX(SCNet,$L355)=0,"",INDEX(SCNet,$L355)),"")</f>
        <v/>
      </c>
      <c r="G355" s="21">
        <f>IF($L355&lt;&gt;"",IF(INDEX(SCOp,$L355)="مرجوعی فروش","",IF(INDEX(SCAmount,$L355)&lt;=0,"",INDEX(SCAmount,$L355))),IF($M355&lt;&gt;"",IF(INDEX(LdgWitB,$M355)=0,"",INDEX(LdgWitB,$M355)),""))</f>
        <v/>
      </c>
      <c r="H355" s="21">
        <f>IF($L355&lt;&gt;"",IF(INDEX(SCOp,$L355)="مرجوعی فروش",IF(INDEX(SCAmount,$L355)=0,"",-INDEX(SCAmount,$L355)),""),IF($M355&lt;&gt;"",IF(INDEX(LdgDepB,$M355)=0,"",INDEX(LdgDepB,$M355)),""))</f>
        <v/>
      </c>
      <c r="I355" s="22">
        <f>IF($B355="","",IF($I354="",$C$10,$I354)+IF($G355="",0,$G355)-IF($H355="",0,$H355))</f>
        <v/>
      </c>
      <c r="L355">
        <f>IFERROR(MATCH($C$5&amp;"|"&amp;RIGHT("000000"&amp;339,6),LdgRankKeyA,0),"")</f>
        <v/>
      </c>
      <c r="M355">
        <f>IFERROR(MATCH($C$5&amp;"|"&amp;RIGHT("000000"&amp;339,6),LdgRankKeyB,0),"")</f>
        <v/>
      </c>
    </row>
    <row r="356">
      <c r="A356" s="23" t="n">
        <v>340</v>
      </c>
      <c r="B356" s="24">
        <f>IF(AND($L356="",$M356=""),"",IF($L356&lt;&gt;"",INDEX(SCNormDate,$L356),INDEX(LdgDateB,$M356)))</f>
        <v/>
      </c>
      <c r="C356" s="24">
        <f>IF($L356&lt;&gt;"",INDEX(SCOp,$L356),IF($M356&lt;&gt;"","پرداخت بانکی",""))</f>
        <v/>
      </c>
      <c r="D356" s="24">
        <f>IF($L356&lt;&gt;"",IF(INDEX(SCDoc,$L356)="","—",INDEX(SCDoc,$L356)),IF($M356&lt;&gt;"",INDEX(LdgBankB,$M356),""))</f>
        <v/>
      </c>
      <c r="E356" s="25">
        <f>IF($L356&lt;&gt;"",IF(INDEX(SCCitrus,$L356)&amp;INDEX(SCNotes,$L356)="","",IF(INDEX(SCCitrus,$L356)="","",INDEX(SCCitrus,$L356))&amp;IF(INDEX(SCNotes,$L356)="",""," — "&amp;INDEX(SCNotes,$L356))),IF($M356&lt;&gt;"",IF(INDEX(LdgNoteB,$M356)="","—",INDEX(LdgNoteB,$M356)),""))</f>
        <v/>
      </c>
      <c r="F356" s="26">
        <f>IF($L356&lt;&gt;"",IF(INDEX(SCNet,$L356)=0,"",INDEX(SCNet,$L356)),"")</f>
        <v/>
      </c>
      <c r="G356" s="27">
        <f>IF($L356&lt;&gt;"",IF(INDEX(SCOp,$L356)="مرجوعی فروش","",IF(INDEX(SCAmount,$L356)&lt;=0,"",INDEX(SCAmount,$L356))),IF($M356&lt;&gt;"",IF(INDEX(LdgWitB,$M356)=0,"",INDEX(LdgWitB,$M356)),""))</f>
        <v/>
      </c>
      <c r="H356" s="27">
        <f>IF($L356&lt;&gt;"",IF(INDEX(SCOp,$L356)="مرجوعی فروش",IF(INDEX(SCAmount,$L356)=0,"",-INDEX(SCAmount,$L356)),""),IF($M356&lt;&gt;"",IF(INDEX(LdgDepB,$M356)=0,"",INDEX(LdgDepB,$M356)),""))</f>
        <v/>
      </c>
      <c r="I356" s="28">
        <f>IF($B356="","",IF($I355="",$C$10,$I355)+IF($G356="",0,$G356)-IF($H356="",0,$H356))</f>
        <v/>
      </c>
      <c r="L356">
        <f>IFERROR(MATCH($C$5&amp;"|"&amp;RIGHT("000000"&amp;340,6),LdgRankKeyA,0),"")</f>
        <v/>
      </c>
      <c r="M356">
        <f>IFERROR(MATCH($C$5&amp;"|"&amp;RIGHT("000000"&amp;340,6),LdgRankKeyB,0),"")</f>
        <v/>
      </c>
    </row>
    <row r="357">
      <c r="A357" s="17" t="n">
        <v>341</v>
      </c>
      <c r="B357" s="18">
        <f>IF(AND($L357="",$M357=""),"",IF($L357&lt;&gt;"",INDEX(SCNormDate,$L357),INDEX(LdgDateB,$M357)))</f>
        <v/>
      </c>
      <c r="C357" s="18">
        <f>IF($L357&lt;&gt;"",INDEX(SCOp,$L357),IF($M357&lt;&gt;"","پرداخت بانکی",""))</f>
        <v/>
      </c>
      <c r="D357" s="18">
        <f>IF($L357&lt;&gt;"",IF(INDEX(SCDoc,$L357)="","—",INDEX(SCDoc,$L357)),IF($M357&lt;&gt;"",INDEX(LdgBankB,$M357),""))</f>
        <v/>
      </c>
      <c r="E357" s="19">
        <f>IF($L357&lt;&gt;"",IF(INDEX(SCCitrus,$L357)&amp;INDEX(SCNotes,$L357)="","",IF(INDEX(SCCitrus,$L357)="","",INDEX(SCCitrus,$L357))&amp;IF(INDEX(SCNotes,$L357)="",""," — "&amp;INDEX(SCNotes,$L357))),IF($M357&lt;&gt;"",IF(INDEX(LdgNoteB,$M357)="","—",INDEX(LdgNoteB,$M357)),""))</f>
        <v/>
      </c>
      <c r="F357" s="20">
        <f>IF($L357&lt;&gt;"",IF(INDEX(SCNet,$L357)=0,"",INDEX(SCNet,$L357)),"")</f>
        <v/>
      </c>
      <c r="G357" s="21">
        <f>IF($L357&lt;&gt;"",IF(INDEX(SCOp,$L357)="مرجوعی فروش","",IF(INDEX(SCAmount,$L357)&lt;=0,"",INDEX(SCAmount,$L357))),IF($M357&lt;&gt;"",IF(INDEX(LdgWitB,$M357)=0,"",INDEX(LdgWitB,$M357)),""))</f>
        <v/>
      </c>
      <c r="H357" s="21">
        <f>IF($L357&lt;&gt;"",IF(INDEX(SCOp,$L357)="مرجوعی فروش",IF(INDEX(SCAmount,$L357)=0,"",-INDEX(SCAmount,$L357)),""),IF($M357&lt;&gt;"",IF(INDEX(LdgDepB,$M357)=0,"",INDEX(LdgDepB,$M357)),""))</f>
        <v/>
      </c>
      <c r="I357" s="22">
        <f>IF($B357="","",IF($I356="",$C$10,$I356)+IF($G357="",0,$G357)-IF($H357="",0,$H357))</f>
        <v/>
      </c>
      <c r="L357">
        <f>IFERROR(MATCH($C$5&amp;"|"&amp;RIGHT("000000"&amp;341,6),LdgRankKeyA,0),"")</f>
        <v/>
      </c>
      <c r="M357">
        <f>IFERROR(MATCH($C$5&amp;"|"&amp;RIGHT("000000"&amp;341,6),LdgRankKeyB,0),"")</f>
        <v/>
      </c>
    </row>
    <row r="358">
      <c r="A358" s="23" t="n">
        <v>342</v>
      </c>
      <c r="B358" s="24">
        <f>IF(AND($L358="",$M358=""),"",IF($L358&lt;&gt;"",INDEX(SCNormDate,$L358),INDEX(LdgDateB,$M358)))</f>
        <v/>
      </c>
      <c r="C358" s="24">
        <f>IF($L358&lt;&gt;"",INDEX(SCOp,$L358),IF($M358&lt;&gt;"","پرداخت بانکی",""))</f>
        <v/>
      </c>
      <c r="D358" s="24">
        <f>IF($L358&lt;&gt;"",IF(INDEX(SCDoc,$L358)="","—",INDEX(SCDoc,$L358)),IF($M358&lt;&gt;"",INDEX(LdgBankB,$M358),""))</f>
        <v/>
      </c>
      <c r="E358" s="25">
        <f>IF($L358&lt;&gt;"",IF(INDEX(SCCitrus,$L358)&amp;INDEX(SCNotes,$L358)="","",IF(INDEX(SCCitrus,$L358)="","",INDEX(SCCitrus,$L358))&amp;IF(INDEX(SCNotes,$L358)="",""," — "&amp;INDEX(SCNotes,$L358))),IF($M358&lt;&gt;"",IF(INDEX(LdgNoteB,$M358)="","—",INDEX(LdgNoteB,$M358)),""))</f>
        <v/>
      </c>
      <c r="F358" s="26">
        <f>IF($L358&lt;&gt;"",IF(INDEX(SCNet,$L358)=0,"",INDEX(SCNet,$L358)),"")</f>
        <v/>
      </c>
      <c r="G358" s="27">
        <f>IF($L358&lt;&gt;"",IF(INDEX(SCOp,$L358)="مرجوعی فروش","",IF(INDEX(SCAmount,$L358)&lt;=0,"",INDEX(SCAmount,$L358))),IF($M358&lt;&gt;"",IF(INDEX(LdgWitB,$M358)=0,"",INDEX(LdgWitB,$M358)),""))</f>
        <v/>
      </c>
      <c r="H358" s="27">
        <f>IF($L358&lt;&gt;"",IF(INDEX(SCOp,$L358)="مرجوعی فروش",IF(INDEX(SCAmount,$L358)=0,"",-INDEX(SCAmount,$L358)),""),IF($M358&lt;&gt;"",IF(INDEX(LdgDepB,$M358)=0,"",INDEX(LdgDepB,$M358)),""))</f>
        <v/>
      </c>
      <c r="I358" s="28">
        <f>IF($B358="","",IF($I357="",$C$10,$I357)+IF($G358="",0,$G358)-IF($H358="",0,$H358))</f>
        <v/>
      </c>
      <c r="L358">
        <f>IFERROR(MATCH($C$5&amp;"|"&amp;RIGHT("000000"&amp;342,6),LdgRankKeyA,0),"")</f>
        <v/>
      </c>
      <c r="M358">
        <f>IFERROR(MATCH($C$5&amp;"|"&amp;RIGHT("000000"&amp;342,6),LdgRankKeyB,0),"")</f>
        <v/>
      </c>
    </row>
    <row r="359">
      <c r="A359" s="17" t="n">
        <v>343</v>
      </c>
      <c r="B359" s="18">
        <f>IF(AND($L359="",$M359=""),"",IF($L359&lt;&gt;"",INDEX(SCNormDate,$L359),INDEX(LdgDateB,$M359)))</f>
        <v/>
      </c>
      <c r="C359" s="18">
        <f>IF($L359&lt;&gt;"",INDEX(SCOp,$L359),IF($M359&lt;&gt;"","پرداخت بانکی",""))</f>
        <v/>
      </c>
      <c r="D359" s="18">
        <f>IF($L359&lt;&gt;"",IF(INDEX(SCDoc,$L359)="","—",INDEX(SCDoc,$L359)),IF($M359&lt;&gt;"",INDEX(LdgBankB,$M359),""))</f>
        <v/>
      </c>
      <c r="E359" s="19">
        <f>IF($L359&lt;&gt;"",IF(INDEX(SCCitrus,$L359)&amp;INDEX(SCNotes,$L359)="","",IF(INDEX(SCCitrus,$L359)="","",INDEX(SCCitrus,$L359))&amp;IF(INDEX(SCNotes,$L359)="",""," — "&amp;INDEX(SCNotes,$L359))),IF($M359&lt;&gt;"",IF(INDEX(LdgNoteB,$M359)="","—",INDEX(LdgNoteB,$M359)),""))</f>
        <v/>
      </c>
      <c r="F359" s="20">
        <f>IF($L359&lt;&gt;"",IF(INDEX(SCNet,$L359)=0,"",INDEX(SCNet,$L359)),"")</f>
        <v/>
      </c>
      <c r="G359" s="21">
        <f>IF($L359&lt;&gt;"",IF(INDEX(SCOp,$L359)="مرجوعی فروش","",IF(INDEX(SCAmount,$L359)&lt;=0,"",INDEX(SCAmount,$L359))),IF($M359&lt;&gt;"",IF(INDEX(LdgWitB,$M359)=0,"",INDEX(LdgWitB,$M359)),""))</f>
        <v/>
      </c>
      <c r="H359" s="21">
        <f>IF($L359&lt;&gt;"",IF(INDEX(SCOp,$L359)="مرجوعی فروش",IF(INDEX(SCAmount,$L359)=0,"",-INDEX(SCAmount,$L359)),""),IF($M359&lt;&gt;"",IF(INDEX(LdgDepB,$M359)=0,"",INDEX(LdgDepB,$M359)),""))</f>
        <v/>
      </c>
      <c r="I359" s="22">
        <f>IF($B359="","",IF($I358="",$C$10,$I358)+IF($G359="",0,$G359)-IF($H359="",0,$H359))</f>
        <v/>
      </c>
      <c r="L359">
        <f>IFERROR(MATCH($C$5&amp;"|"&amp;RIGHT("000000"&amp;343,6),LdgRankKeyA,0),"")</f>
        <v/>
      </c>
      <c r="M359">
        <f>IFERROR(MATCH($C$5&amp;"|"&amp;RIGHT("000000"&amp;343,6),LdgRankKeyB,0),"")</f>
        <v/>
      </c>
    </row>
    <row r="360">
      <c r="A360" s="23" t="n">
        <v>344</v>
      </c>
      <c r="B360" s="24">
        <f>IF(AND($L360="",$M360=""),"",IF($L360&lt;&gt;"",INDEX(SCNormDate,$L360),INDEX(LdgDateB,$M360)))</f>
        <v/>
      </c>
      <c r="C360" s="24">
        <f>IF($L360&lt;&gt;"",INDEX(SCOp,$L360),IF($M360&lt;&gt;"","پرداخت بانکی",""))</f>
        <v/>
      </c>
      <c r="D360" s="24">
        <f>IF($L360&lt;&gt;"",IF(INDEX(SCDoc,$L360)="","—",INDEX(SCDoc,$L360)),IF($M360&lt;&gt;"",INDEX(LdgBankB,$M360),""))</f>
        <v/>
      </c>
      <c r="E360" s="25">
        <f>IF($L360&lt;&gt;"",IF(INDEX(SCCitrus,$L360)&amp;INDEX(SCNotes,$L360)="","",IF(INDEX(SCCitrus,$L360)="","",INDEX(SCCitrus,$L360))&amp;IF(INDEX(SCNotes,$L360)="",""," — "&amp;INDEX(SCNotes,$L360))),IF($M360&lt;&gt;"",IF(INDEX(LdgNoteB,$M360)="","—",INDEX(LdgNoteB,$M360)),""))</f>
        <v/>
      </c>
      <c r="F360" s="26">
        <f>IF($L360&lt;&gt;"",IF(INDEX(SCNet,$L360)=0,"",INDEX(SCNet,$L360)),"")</f>
        <v/>
      </c>
      <c r="G360" s="27">
        <f>IF($L360&lt;&gt;"",IF(INDEX(SCOp,$L360)="مرجوعی فروش","",IF(INDEX(SCAmount,$L360)&lt;=0,"",INDEX(SCAmount,$L360))),IF($M360&lt;&gt;"",IF(INDEX(LdgWitB,$M360)=0,"",INDEX(LdgWitB,$M360)),""))</f>
        <v/>
      </c>
      <c r="H360" s="27">
        <f>IF($L360&lt;&gt;"",IF(INDEX(SCOp,$L360)="مرجوعی فروش",IF(INDEX(SCAmount,$L360)=0,"",-INDEX(SCAmount,$L360)),""),IF($M360&lt;&gt;"",IF(INDEX(LdgDepB,$M360)=0,"",INDEX(LdgDepB,$M360)),""))</f>
        <v/>
      </c>
      <c r="I360" s="28">
        <f>IF($B360="","",IF($I359="",$C$10,$I359)+IF($G360="",0,$G360)-IF($H360="",0,$H360))</f>
        <v/>
      </c>
      <c r="L360">
        <f>IFERROR(MATCH($C$5&amp;"|"&amp;RIGHT("000000"&amp;344,6),LdgRankKeyA,0),"")</f>
        <v/>
      </c>
      <c r="M360">
        <f>IFERROR(MATCH($C$5&amp;"|"&amp;RIGHT("000000"&amp;344,6),LdgRankKeyB,0),"")</f>
        <v/>
      </c>
    </row>
    <row r="361">
      <c r="A361" s="17" t="n">
        <v>345</v>
      </c>
      <c r="B361" s="18">
        <f>IF(AND($L361="",$M361=""),"",IF($L361&lt;&gt;"",INDEX(SCNormDate,$L361),INDEX(LdgDateB,$M361)))</f>
        <v/>
      </c>
      <c r="C361" s="18">
        <f>IF($L361&lt;&gt;"",INDEX(SCOp,$L361),IF($M361&lt;&gt;"","پرداخت بانکی",""))</f>
        <v/>
      </c>
      <c r="D361" s="18">
        <f>IF($L361&lt;&gt;"",IF(INDEX(SCDoc,$L361)="","—",INDEX(SCDoc,$L361)),IF($M361&lt;&gt;"",INDEX(LdgBankB,$M361),""))</f>
        <v/>
      </c>
      <c r="E361" s="19">
        <f>IF($L361&lt;&gt;"",IF(INDEX(SCCitrus,$L361)&amp;INDEX(SCNotes,$L361)="","",IF(INDEX(SCCitrus,$L361)="","",INDEX(SCCitrus,$L361))&amp;IF(INDEX(SCNotes,$L361)="",""," — "&amp;INDEX(SCNotes,$L361))),IF($M361&lt;&gt;"",IF(INDEX(LdgNoteB,$M361)="","—",INDEX(LdgNoteB,$M361)),""))</f>
        <v/>
      </c>
      <c r="F361" s="20">
        <f>IF($L361&lt;&gt;"",IF(INDEX(SCNet,$L361)=0,"",INDEX(SCNet,$L361)),"")</f>
        <v/>
      </c>
      <c r="G361" s="21">
        <f>IF($L361&lt;&gt;"",IF(INDEX(SCOp,$L361)="مرجوعی فروش","",IF(INDEX(SCAmount,$L361)&lt;=0,"",INDEX(SCAmount,$L361))),IF($M361&lt;&gt;"",IF(INDEX(LdgWitB,$M361)=0,"",INDEX(LdgWitB,$M361)),""))</f>
        <v/>
      </c>
      <c r="H361" s="21">
        <f>IF($L361&lt;&gt;"",IF(INDEX(SCOp,$L361)="مرجوعی فروش",IF(INDEX(SCAmount,$L361)=0,"",-INDEX(SCAmount,$L361)),""),IF($M361&lt;&gt;"",IF(INDEX(LdgDepB,$M361)=0,"",INDEX(LdgDepB,$M361)),""))</f>
        <v/>
      </c>
      <c r="I361" s="22">
        <f>IF($B361="","",IF($I360="",$C$10,$I360)+IF($G361="",0,$G361)-IF($H361="",0,$H361))</f>
        <v/>
      </c>
      <c r="L361">
        <f>IFERROR(MATCH($C$5&amp;"|"&amp;RIGHT("000000"&amp;345,6),LdgRankKeyA,0),"")</f>
        <v/>
      </c>
      <c r="M361">
        <f>IFERROR(MATCH($C$5&amp;"|"&amp;RIGHT("000000"&amp;345,6),LdgRankKeyB,0),"")</f>
        <v/>
      </c>
    </row>
    <row r="362">
      <c r="A362" s="23" t="n">
        <v>346</v>
      </c>
      <c r="B362" s="24">
        <f>IF(AND($L362="",$M362=""),"",IF($L362&lt;&gt;"",INDEX(SCNormDate,$L362),INDEX(LdgDateB,$M362)))</f>
        <v/>
      </c>
      <c r="C362" s="24">
        <f>IF($L362&lt;&gt;"",INDEX(SCOp,$L362),IF($M362&lt;&gt;"","پرداخت بانکی",""))</f>
        <v/>
      </c>
      <c r="D362" s="24">
        <f>IF($L362&lt;&gt;"",IF(INDEX(SCDoc,$L362)="","—",INDEX(SCDoc,$L362)),IF($M362&lt;&gt;"",INDEX(LdgBankB,$M362),""))</f>
        <v/>
      </c>
      <c r="E362" s="25">
        <f>IF($L362&lt;&gt;"",IF(INDEX(SCCitrus,$L362)&amp;INDEX(SCNotes,$L362)="","",IF(INDEX(SCCitrus,$L362)="","",INDEX(SCCitrus,$L362))&amp;IF(INDEX(SCNotes,$L362)="",""," — "&amp;INDEX(SCNotes,$L362))),IF($M362&lt;&gt;"",IF(INDEX(LdgNoteB,$M362)="","—",INDEX(LdgNoteB,$M362)),""))</f>
        <v/>
      </c>
      <c r="F362" s="26">
        <f>IF($L362&lt;&gt;"",IF(INDEX(SCNet,$L362)=0,"",INDEX(SCNet,$L362)),"")</f>
        <v/>
      </c>
      <c r="G362" s="27">
        <f>IF($L362&lt;&gt;"",IF(INDEX(SCOp,$L362)="مرجوعی فروش","",IF(INDEX(SCAmount,$L362)&lt;=0,"",INDEX(SCAmount,$L362))),IF($M362&lt;&gt;"",IF(INDEX(LdgWitB,$M362)=0,"",INDEX(LdgWitB,$M362)),""))</f>
        <v/>
      </c>
      <c r="H362" s="27">
        <f>IF($L362&lt;&gt;"",IF(INDEX(SCOp,$L362)="مرجوعی فروش",IF(INDEX(SCAmount,$L362)=0,"",-INDEX(SCAmount,$L362)),""),IF($M362&lt;&gt;"",IF(INDEX(LdgDepB,$M362)=0,"",INDEX(LdgDepB,$M362)),""))</f>
        <v/>
      </c>
      <c r="I362" s="28">
        <f>IF($B362="","",IF($I361="",$C$10,$I361)+IF($G362="",0,$G362)-IF($H362="",0,$H362))</f>
        <v/>
      </c>
      <c r="L362">
        <f>IFERROR(MATCH($C$5&amp;"|"&amp;RIGHT("000000"&amp;346,6),LdgRankKeyA,0),"")</f>
        <v/>
      </c>
      <c r="M362">
        <f>IFERROR(MATCH($C$5&amp;"|"&amp;RIGHT("000000"&amp;346,6),LdgRankKeyB,0),"")</f>
        <v/>
      </c>
    </row>
    <row r="363">
      <c r="A363" s="17" t="n">
        <v>347</v>
      </c>
      <c r="B363" s="18">
        <f>IF(AND($L363="",$M363=""),"",IF($L363&lt;&gt;"",INDEX(SCNormDate,$L363),INDEX(LdgDateB,$M363)))</f>
        <v/>
      </c>
      <c r="C363" s="18">
        <f>IF($L363&lt;&gt;"",INDEX(SCOp,$L363),IF($M363&lt;&gt;"","پرداخت بانکی",""))</f>
        <v/>
      </c>
      <c r="D363" s="18">
        <f>IF($L363&lt;&gt;"",IF(INDEX(SCDoc,$L363)="","—",INDEX(SCDoc,$L363)),IF($M363&lt;&gt;"",INDEX(LdgBankB,$M363),""))</f>
        <v/>
      </c>
      <c r="E363" s="19">
        <f>IF($L363&lt;&gt;"",IF(INDEX(SCCitrus,$L363)&amp;INDEX(SCNotes,$L363)="","",IF(INDEX(SCCitrus,$L363)="","",INDEX(SCCitrus,$L363))&amp;IF(INDEX(SCNotes,$L363)="",""," — "&amp;INDEX(SCNotes,$L363))),IF($M363&lt;&gt;"",IF(INDEX(LdgNoteB,$M363)="","—",INDEX(LdgNoteB,$M363)),""))</f>
        <v/>
      </c>
      <c r="F363" s="20">
        <f>IF($L363&lt;&gt;"",IF(INDEX(SCNet,$L363)=0,"",INDEX(SCNet,$L363)),"")</f>
        <v/>
      </c>
      <c r="G363" s="21">
        <f>IF($L363&lt;&gt;"",IF(INDEX(SCOp,$L363)="مرجوعی فروش","",IF(INDEX(SCAmount,$L363)&lt;=0,"",INDEX(SCAmount,$L363))),IF($M363&lt;&gt;"",IF(INDEX(LdgWitB,$M363)=0,"",INDEX(LdgWitB,$M363)),""))</f>
        <v/>
      </c>
      <c r="H363" s="21">
        <f>IF($L363&lt;&gt;"",IF(INDEX(SCOp,$L363)="مرجوعی فروش",IF(INDEX(SCAmount,$L363)=0,"",-INDEX(SCAmount,$L363)),""),IF($M363&lt;&gt;"",IF(INDEX(LdgDepB,$M363)=0,"",INDEX(LdgDepB,$M363)),""))</f>
        <v/>
      </c>
      <c r="I363" s="22">
        <f>IF($B363="","",IF($I362="",$C$10,$I362)+IF($G363="",0,$G363)-IF($H363="",0,$H363))</f>
        <v/>
      </c>
      <c r="L363">
        <f>IFERROR(MATCH($C$5&amp;"|"&amp;RIGHT("000000"&amp;347,6),LdgRankKeyA,0),"")</f>
        <v/>
      </c>
      <c r="M363">
        <f>IFERROR(MATCH($C$5&amp;"|"&amp;RIGHT("000000"&amp;347,6),LdgRankKeyB,0),"")</f>
        <v/>
      </c>
    </row>
    <row r="364">
      <c r="A364" s="23" t="n">
        <v>348</v>
      </c>
      <c r="B364" s="24">
        <f>IF(AND($L364="",$M364=""),"",IF($L364&lt;&gt;"",INDEX(SCNormDate,$L364),INDEX(LdgDateB,$M364)))</f>
        <v/>
      </c>
      <c r="C364" s="24">
        <f>IF($L364&lt;&gt;"",INDEX(SCOp,$L364),IF($M364&lt;&gt;"","پرداخت بانکی",""))</f>
        <v/>
      </c>
      <c r="D364" s="24">
        <f>IF($L364&lt;&gt;"",IF(INDEX(SCDoc,$L364)="","—",INDEX(SCDoc,$L364)),IF($M364&lt;&gt;"",INDEX(LdgBankB,$M364),""))</f>
        <v/>
      </c>
      <c r="E364" s="25">
        <f>IF($L364&lt;&gt;"",IF(INDEX(SCCitrus,$L364)&amp;INDEX(SCNotes,$L364)="","",IF(INDEX(SCCitrus,$L364)="","",INDEX(SCCitrus,$L364))&amp;IF(INDEX(SCNotes,$L364)="",""," — "&amp;INDEX(SCNotes,$L364))),IF($M364&lt;&gt;"",IF(INDEX(LdgNoteB,$M364)="","—",INDEX(LdgNoteB,$M364)),""))</f>
        <v/>
      </c>
      <c r="F364" s="26">
        <f>IF($L364&lt;&gt;"",IF(INDEX(SCNet,$L364)=0,"",INDEX(SCNet,$L364)),"")</f>
        <v/>
      </c>
      <c r="G364" s="27">
        <f>IF($L364&lt;&gt;"",IF(INDEX(SCOp,$L364)="مرجوعی فروش","",IF(INDEX(SCAmount,$L364)&lt;=0,"",INDEX(SCAmount,$L364))),IF($M364&lt;&gt;"",IF(INDEX(LdgWitB,$M364)=0,"",INDEX(LdgWitB,$M364)),""))</f>
        <v/>
      </c>
      <c r="H364" s="27">
        <f>IF($L364&lt;&gt;"",IF(INDEX(SCOp,$L364)="مرجوعی فروش",IF(INDEX(SCAmount,$L364)=0,"",-INDEX(SCAmount,$L364)),""),IF($M364&lt;&gt;"",IF(INDEX(LdgDepB,$M364)=0,"",INDEX(LdgDepB,$M364)),""))</f>
        <v/>
      </c>
      <c r="I364" s="28">
        <f>IF($B364="","",IF($I363="",$C$10,$I363)+IF($G364="",0,$G364)-IF($H364="",0,$H364))</f>
        <v/>
      </c>
      <c r="L364">
        <f>IFERROR(MATCH($C$5&amp;"|"&amp;RIGHT("000000"&amp;348,6),LdgRankKeyA,0),"")</f>
        <v/>
      </c>
      <c r="M364">
        <f>IFERROR(MATCH($C$5&amp;"|"&amp;RIGHT("000000"&amp;348,6),LdgRankKeyB,0),"")</f>
        <v/>
      </c>
    </row>
    <row r="365">
      <c r="A365" s="17" t="n">
        <v>349</v>
      </c>
      <c r="B365" s="18">
        <f>IF(AND($L365="",$M365=""),"",IF($L365&lt;&gt;"",INDEX(SCNormDate,$L365),INDEX(LdgDateB,$M365)))</f>
        <v/>
      </c>
      <c r="C365" s="18">
        <f>IF($L365&lt;&gt;"",INDEX(SCOp,$L365),IF($M365&lt;&gt;"","پرداخت بانکی",""))</f>
        <v/>
      </c>
      <c r="D365" s="18">
        <f>IF($L365&lt;&gt;"",IF(INDEX(SCDoc,$L365)="","—",INDEX(SCDoc,$L365)),IF($M365&lt;&gt;"",INDEX(LdgBankB,$M365),""))</f>
        <v/>
      </c>
      <c r="E365" s="19">
        <f>IF($L365&lt;&gt;"",IF(INDEX(SCCitrus,$L365)&amp;INDEX(SCNotes,$L365)="","",IF(INDEX(SCCitrus,$L365)="","",INDEX(SCCitrus,$L365))&amp;IF(INDEX(SCNotes,$L365)="",""," — "&amp;INDEX(SCNotes,$L365))),IF($M365&lt;&gt;"",IF(INDEX(LdgNoteB,$M365)="","—",INDEX(LdgNoteB,$M365)),""))</f>
        <v/>
      </c>
      <c r="F365" s="20">
        <f>IF($L365&lt;&gt;"",IF(INDEX(SCNet,$L365)=0,"",INDEX(SCNet,$L365)),"")</f>
        <v/>
      </c>
      <c r="G365" s="21">
        <f>IF($L365&lt;&gt;"",IF(INDEX(SCOp,$L365)="مرجوعی فروش","",IF(INDEX(SCAmount,$L365)&lt;=0,"",INDEX(SCAmount,$L365))),IF($M365&lt;&gt;"",IF(INDEX(LdgWitB,$M365)=0,"",INDEX(LdgWitB,$M365)),""))</f>
        <v/>
      </c>
      <c r="H365" s="21">
        <f>IF($L365&lt;&gt;"",IF(INDEX(SCOp,$L365)="مرجوعی فروش",IF(INDEX(SCAmount,$L365)=0,"",-INDEX(SCAmount,$L365)),""),IF($M365&lt;&gt;"",IF(INDEX(LdgDepB,$M365)=0,"",INDEX(LdgDepB,$M365)),""))</f>
        <v/>
      </c>
      <c r="I365" s="22">
        <f>IF($B365="","",IF($I364="",$C$10,$I364)+IF($G365="",0,$G365)-IF($H365="",0,$H365))</f>
        <v/>
      </c>
      <c r="L365">
        <f>IFERROR(MATCH($C$5&amp;"|"&amp;RIGHT("000000"&amp;349,6),LdgRankKeyA,0),"")</f>
        <v/>
      </c>
      <c r="M365">
        <f>IFERROR(MATCH($C$5&amp;"|"&amp;RIGHT("000000"&amp;349,6),LdgRankKeyB,0),"")</f>
        <v/>
      </c>
    </row>
    <row r="366">
      <c r="A366" s="23" t="n">
        <v>350</v>
      </c>
      <c r="B366" s="24">
        <f>IF(AND($L366="",$M366=""),"",IF($L366&lt;&gt;"",INDEX(SCNormDate,$L366),INDEX(LdgDateB,$M366)))</f>
        <v/>
      </c>
      <c r="C366" s="24">
        <f>IF($L366&lt;&gt;"",INDEX(SCOp,$L366),IF($M366&lt;&gt;"","پرداخت بانکی",""))</f>
        <v/>
      </c>
      <c r="D366" s="24">
        <f>IF($L366&lt;&gt;"",IF(INDEX(SCDoc,$L366)="","—",INDEX(SCDoc,$L366)),IF($M366&lt;&gt;"",INDEX(LdgBankB,$M366),""))</f>
        <v/>
      </c>
      <c r="E366" s="25">
        <f>IF($L366&lt;&gt;"",IF(INDEX(SCCitrus,$L366)&amp;INDEX(SCNotes,$L366)="","",IF(INDEX(SCCitrus,$L366)="","",INDEX(SCCitrus,$L366))&amp;IF(INDEX(SCNotes,$L366)="",""," — "&amp;INDEX(SCNotes,$L366))),IF($M366&lt;&gt;"",IF(INDEX(LdgNoteB,$M366)="","—",INDEX(LdgNoteB,$M366)),""))</f>
        <v/>
      </c>
      <c r="F366" s="26">
        <f>IF($L366&lt;&gt;"",IF(INDEX(SCNet,$L366)=0,"",INDEX(SCNet,$L366)),"")</f>
        <v/>
      </c>
      <c r="G366" s="27">
        <f>IF($L366&lt;&gt;"",IF(INDEX(SCOp,$L366)="مرجوعی فروش","",IF(INDEX(SCAmount,$L366)&lt;=0,"",INDEX(SCAmount,$L366))),IF($M366&lt;&gt;"",IF(INDEX(LdgWitB,$M366)=0,"",INDEX(LdgWitB,$M366)),""))</f>
        <v/>
      </c>
      <c r="H366" s="27">
        <f>IF($L366&lt;&gt;"",IF(INDEX(SCOp,$L366)="مرجوعی فروش",IF(INDEX(SCAmount,$L366)=0,"",-INDEX(SCAmount,$L366)),""),IF($M366&lt;&gt;"",IF(INDEX(LdgDepB,$M366)=0,"",INDEX(LdgDepB,$M366)),""))</f>
        <v/>
      </c>
      <c r="I366" s="28">
        <f>IF($B366="","",IF($I365="",$C$10,$I365)+IF($G366="",0,$G366)-IF($H366="",0,$H366))</f>
        <v/>
      </c>
      <c r="L366">
        <f>IFERROR(MATCH($C$5&amp;"|"&amp;RIGHT("000000"&amp;350,6),LdgRankKeyA,0),"")</f>
        <v/>
      </c>
      <c r="M366">
        <f>IFERROR(MATCH($C$5&amp;"|"&amp;RIGHT("000000"&amp;350,6),LdgRankKeyB,0),"")</f>
        <v/>
      </c>
    </row>
    <row r="367">
      <c r="A367" s="17" t="n">
        <v>351</v>
      </c>
      <c r="B367" s="18">
        <f>IF(AND($L367="",$M367=""),"",IF($L367&lt;&gt;"",INDEX(SCNormDate,$L367),INDEX(LdgDateB,$M367)))</f>
        <v/>
      </c>
      <c r="C367" s="18">
        <f>IF($L367&lt;&gt;"",INDEX(SCOp,$L367),IF($M367&lt;&gt;"","پرداخت بانکی",""))</f>
        <v/>
      </c>
      <c r="D367" s="18">
        <f>IF($L367&lt;&gt;"",IF(INDEX(SCDoc,$L367)="","—",INDEX(SCDoc,$L367)),IF($M367&lt;&gt;"",INDEX(LdgBankB,$M367),""))</f>
        <v/>
      </c>
      <c r="E367" s="19">
        <f>IF($L367&lt;&gt;"",IF(INDEX(SCCitrus,$L367)&amp;INDEX(SCNotes,$L367)="","",IF(INDEX(SCCitrus,$L367)="","",INDEX(SCCitrus,$L367))&amp;IF(INDEX(SCNotes,$L367)="",""," — "&amp;INDEX(SCNotes,$L367))),IF($M367&lt;&gt;"",IF(INDEX(LdgNoteB,$M367)="","—",INDEX(LdgNoteB,$M367)),""))</f>
        <v/>
      </c>
      <c r="F367" s="20">
        <f>IF($L367&lt;&gt;"",IF(INDEX(SCNet,$L367)=0,"",INDEX(SCNet,$L367)),"")</f>
        <v/>
      </c>
      <c r="G367" s="21">
        <f>IF($L367&lt;&gt;"",IF(INDEX(SCOp,$L367)="مرجوعی فروش","",IF(INDEX(SCAmount,$L367)&lt;=0,"",INDEX(SCAmount,$L367))),IF($M367&lt;&gt;"",IF(INDEX(LdgWitB,$M367)=0,"",INDEX(LdgWitB,$M367)),""))</f>
        <v/>
      </c>
      <c r="H367" s="21">
        <f>IF($L367&lt;&gt;"",IF(INDEX(SCOp,$L367)="مرجوعی فروش",IF(INDEX(SCAmount,$L367)=0,"",-INDEX(SCAmount,$L367)),""),IF($M367&lt;&gt;"",IF(INDEX(LdgDepB,$M367)=0,"",INDEX(LdgDepB,$M367)),""))</f>
        <v/>
      </c>
      <c r="I367" s="22">
        <f>IF($B367="","",IF($I366="",$C$10,$I366)+IF($G367="",0,$G367)-IF($H367="",0,$H367))</f>
        <v/>
      </c>
      <c r="L367">
        <f>IFERROR(MATCH($C$5&amp;"|"&amp;RIGHT("000000"&amp;351,6),LdgRankKeyA,0),"")</f>
        <v/>
      </c>
      <c r="M367">
        <f>IFERROR(MATCH($C$5&amp;"|"&amp;RIGHT("000000"&amp;351,6),LdgRankKeyB,0),"")</f>
        <v/>
      </c>
    </row>
    <row r="368">
      <c r="A368" s="23" t="n">
        <v>352</v>
      </c>
      <c r="B368" s="24">
        <f>IF(AND($L368="",$M368=""),"",IF($L368&lt;&gt;"",INDEX(SCNormDate,$L368),INDEX(LdgDateB,$M368)))</f>
        <v/>
      </c>
      <c r="C368" s="24">
        <f>IF($L368&lt;&gt;"",INDEX(SCOp,$L368),IF($M368&lt;&gt;"","پرداخت بانکی",""))</f>
        <v/>
      </c>
      <c r="D368" s="24">
        <f>IF($L368&lt;&gt;"",IF(INDEX(SCDoc,$L368)="","—",INDEX(SCDoc,$L368)),IF($M368&lt;&gt;"",INDEX(LdgBankB,$M368),""))</f>
        <v/>
      </c>
      <c r="E368" s="25">
        <f>IF($L368&lt;&gt;"",IF(INDEX(SCCitrus,$L368)&amp;INDEX(SCNotes,$L368)="","",IF(INDEX(SCCitrus,$L368)="","",INDEX(SCCitrus,$L368))&amp;IF(INDEX(SCNotes,$L368)="",""," — "&amp;INDEX(SCNotes,$L368))),IF($M368&lt;&gt;"",IF(INDEX(LdgNoteB,$M368)="","—",INDEX(LdgNoteB,$M368)),""))</f>
        <v/>
      </c>
      <c r="F368" s="26">
        <f>IF($L368&lt;&gt;"",IF(INDEX(SCNet,$L368)=0,"",INDEX(SCNet,$L368)),"")</f>
        <v/>
      </c>
      <c r="G368" s="27">
        <f>IF($L368&lt;&gt;"",IF(INDEX(SCOp,$L368)="مرجوعی فروش","",IF(INDEX(SCAmount,$L368)&lt;=0,"",INDEX(SCAmount,$L368))),IF($M368&lt;&gt;"",IF(INDEX(LdgWitB,$M368)=0,"",INDEX(LdgWitB,$M368)),""))</f>
        <v/>
      </c>
      <c r="H368" s="27">
        <f>IF($L368&lt;&gt;"",IF(INDEX(SCOp,$L368)="مرجوعی فروش",IF(INDEX(SCAmount,$L368)=0,"",-INDEX(SCAmount,$L368)),""),IF($M368&lt;&gt;"",IF(INDEX(LdgDepB,$M368)=0,"",INDEX(LdgDepB,$M368)),""))</f>
        <v/>
      </c>
      <c r="I368" s="28">
        <f>IF($B368="","",IF($I367="",$C$10,$I367)+IF($G368="",0,$G368)-IF($H368="",0,$H368))</f>
        <v/>
      </c>
      <c r="L368">
        <f>IFERROR(MATCH($C$5&amp;"|"&amp;RIGHT("000000"&amp;352,6),LdgRankKeyA,0),"")</f>
        <v/>
      </c>
      <c r="M368">
        <f>IFERROR(MATCH($C$5&amp;"|"&amp;RIGHT("000000"&amp;352,6),LdgRankKeyB,0),"")</f>
        <v/>
      </c>
    </row>
    <row r="369">
      <c r="A369" s="17" t="n">
        <v>353</v>
      </c>
      <c r="B369" s="18">
        <f>IF(AND($L369="",$M369=""),"",IF($L369&lt;&gt;"",INDEX(SCNormDate,$L369),INDEX(LdgDateB,$M369)))</f>
        <v/>
      </c>
      <c r="C369" s="18">
        <f>IF($L369&lt;&gt;"",INDEX(SCOp,$L369),IF($M369&lt;&gt;"","پرداخت بانکی",""))</f>
        <v/>
      </c>
      <c r="D369" s="18">
        <f>IF($L369&lt;&gt;"",IF(INDEX(SCDoc,$L369)="","—",INDEX(SCDoc,$L369)),IF($M369&lt;&gt;"",INDEX(LdgBankB,$M369),""))</f>
        <v/>
      </c>
      <c r="E369" s="19">
        <f>IF($L369&lt;&gt;"",IF(INDEX(SCCitrus,$L369)&amp;INDEX(SCNotes,$L369)="","",IF(INDEX(SCCitrus,$L369)="","",INDEX(SCCitrus,$L369))&amp;IF(INDEX(SCNotes,$L369)="",""," — "&amp;INDEX(SCNotes,$L369))),IF($M369&lt;&gt;"",IF(INDEX(LdgNoteB,$M369)="","—",INDEX(LdgNoteB,$M369)),""))</f>
        <v/>
      </c>
      <c r="F369" s="20">
        <f>IF($L369&lt;&gt;"",IF(INDEX(SCNet,$L369)=0,"",INDEX(SCNet,$L369)),"")</f>
        <v/>
      </c>
      <c r="G369" s="21">
        <f>IF($L369&lt;&gt;"",IF(INDEX(SCOp,$L369)="مرجوعی فروش","",IF(INDEX(SCAmount,$L369)&lt;=0,"",INDEX(SCAmount,$L369))),IF($M369&lt;&gt;"",IF(INDEX(LdgWitB,$M369)=0,"",INDEX(LdgWitB,$M369)),""))</f>
        <v/>
      </c>
      <c r="H369" s="21">
        <f>IF($L369&lt;&gt;"",IF(INDEX(SCOp,$L369)="مرجوعی فروش",IF(INDEX(SCAmount,$L369)=0,"",-INDEX(SCAmount,$L369)),""),IF($M369&lt;&gt;"",IF(INDEX(LdgDepB,$M369)=0,"",INDEX(LdgDepB,$M369)),""))</f>
        <v/>
      </c>
      <c r="I369" s="22">
        <f>IF($B369="","",IF($I368="",$C$10,$I368)+IF($G369="",0,$G369)-IF($H369="",0,$H369))</f>
        <v/>
      </c>
      <c r="L369">
        <f>IFERROR(MATCH($C$5&amp;"|"&amp;RIGHT("000000"&amp;353,6),LdgRankKeyA,0),"")</f>
        <v/>
      </c>
      <c r="M369">
        <f>IFERROR(MATCH($C$5&amp;"|"&amp;RIGHT("000000"&amp;353,6),LdgRankKeyB,0),"")</f>
        <v/>
      </c>
    </row>
    <row r="370">
      <c r="A370" s="23" t="n">
        <v>354</v>
      </c>
      <c r="B370" s="24">
        <f>IF(AND($L370="",$M370=""),"",IF($L370&lt;&gt;"",INDEX(SCNormDate,$L370),INDEX(LdgDateB,$M370)))</f>
        <v/>
      </c>
      <c r="C370" s="24">
        <f>IF($L370&lt;&gt;"",INDEX(SCOp,$L370),IF($M370&lt;&gt;"","پرداخت بانکی",""))</f>
        <v/>
      </c>
      <c r="D370" s="24">
        <f>IF($L370&lt;&gt;"",IF(INDEX(SCDoc,$L370)="","—",INDEX(SCDoc,$L370)),IF($M370&lt;&gt;"",INDEX(LdgBankB,$M370),""))</f>
        <v/>
      </c>
      <c r="E370" s="25">
        <f>IF($L370&lt;&gt;"",IF(INDEX(SCCitrus,$L370)&amp;INDEX(SCNotes,$L370)="","",IF(INDEX(SCCitrus,$L370)="","",INDEX(SCCitrus,$L370))&amp;IF(INDEX(SCNotes,$L370)="",""," — "&amp;INDEX(SCNotes,$L370))),IF($M370&lt;&gt;"",IF(INDEX(LdgNoteB,$M370)="","—",INDEX(LdgNoteB,$M370)),""))</f>
        <v/>
      </c>
      <c r="F370" s="26">
        <f>IF($L370&lt;&gt;"",IF(INDEX(SCNet,$L370)=0,"",INDEX(SCNet,$L370)),"")</f>
        <v/>
      </c>
      <c r="G370" s="27">
        <f>IF($L370&lt;&gt;"",IF(INDEX(SCOp,$L370)="مرجوعی فروش","",IF(INDEX(SCAmount,$L370)&lt;=0,"",INDEX(SCAmount,$L370))),IF($M370&lt;&gt;"",IF(INDEX(LdgWitB,$M370)=0,"",INDEX(LdgWitB,$M370)),""))</f>
        <v/>
      </c>
      <c r="H370" s="27">
        <f>IF($L370&lt;&gt;"",IF(INDEX(SCOp,$L370)="مرجوعی فروش",IF(INDEX(SCAmount,$L370)=0,"",-INDEX(SCAmount,$L370)),""),IF($M370&lt;&gt;"",IF(INDEX(LdgDepB,$M370)=0,"",INDEX(LdgDepB,$M370)),""))</f>
        <v/>
      </c>
      <c r="I370" s="28">
        <f>IF($B370="","",IF($I369="",$C$10,$I369)+IF($G370="",0,$G370)-IF($H370="",0,$H370))</f>
        <v/>
      </c>
      <c r="L370">
        <f>IFERROR(MATCH($C$5&amp;"|"&amp;RIGHT("000000"&amp;354,6),LdgRankKeyA,0),"")</f>
        <v/>
      </c>
      <c r="M370">
        <f>IFERROR(MATCH($C$5&amp;"|"&amp;RIGHT("000000"&amp;354,6),LdgRankKeyB,0),"")</f>
        <v/>
      </c>
    </row>
    <row r="371">
      <c r="A371" s="17" t="n">
        <v>355</v>
      </c>
      <c r="B371" s="18">
        <f>IF(AND($L371="",$M371=""),"",IF($L371&lt;&gt;"",INDEX(SCNormDate,$L371),INDEX(LdgDateB,$M371)))</f>
        <v/>
      </c>
      <c r="C371" s="18">
        <f>IF($L371&lt;&gt;"",INDEX(SCOp,$L371),IF($M371&lt;&gt;"","پرداخت بانکی",""))</f>
        <v/>
      </c>
      <c r="D371" s="18">
        <f>IF($L371&lt;&gt;"",IF(INDEX(SCDoc,$L371)="","—",INDEX(SCDoc,$L371)),IF($M371&lt;&gt;"",INDEX(LdgBankB,$M371),""))</f>
        <v/>
      </c>
      <c r="E371" s="19">
        <f>IF($L371&lt;&gt;"",IF(INDEX(SCCitrus,$L371)&amp;INDEX(SCNotes,$L371)="","",IF(INDEX(SCCitrus,$L371)="","",INDEX(SCCitrus,$L371))&amp;IF(INDEX(SCNotes,$L371)="",""," — "&amp;INDEX(SCNotes,$L371))),IF($M371&lt;&gt;"",IF(INDEX(LdgNoteB,$M371)="","—",INDEX(LdgNoteB,$M371)),""))</f>
        <v/>
      </c>
      <c r="F371" s="20">
        <f>IF($L371&lt;&gt;"",IF(INDEX(SCNet,$L371)=0,"",INDEX(SCNet,$L371)),"")</f>
        <v/>
      </c>
      <c r="G371" s="21">
        <f>IF($L371&lt;&gt;"",IF(INDEX(SCOp,$L371)="مرجوعی فروش","",IF(INDEX(SCAmount,$L371)&lt;=0,"",INDEX(SCAmount,$L371))),IF($M371&lt;&gt;"",IF(INDEX(LdgWitB,$M371)=0,"",INDEX(LdgWitB,$M371)),""))</f>
        <v/>
      </c>
      <c r="H371" s="21">
        <f>IF($L371&lt;&gt;"",IF(INDEX(SCOp,$L371)="مرجوعی فروش",IF(INDEX(SCAmount,$L371)=0,"",-INDEX(SCAmount,$L371)),""),IF($M371&lt;&gt;"",IF(INDEX(LdgDepB,$M371)=0,"",INDEX(LdgDepB,$M371)),""))</f>
        <v/>
      </c>
      <c r="I371" s="22">
        <f>IF($B371="","",IF($I370="",$C$10,$I370)+IF($G371="",0,$G371)-IF($H371="",0,$H371))</f>
        <v/>
      </c>
      <c r="L371">
        <f>IFERROR(MATCH($C$5&amp;"|"&amp;RIGHT("000000"&amp;355,6),LdgRankKeyA,0),"")</f>
        <v/>
      </c>
      <c r="M371">
        <f>IFERROR(MATCH($C$5&amp;"|"&amp;RIGHT("000000"&amp;355,6),LdgRankKeyB,0),"")</f>
        <v/>
      </c>
    </row>
    <row r="372">
      <c r="A372" s="23" t="n">
        <v>356</v>
      </c>
      <c r="B372" s="24">
        <f>IF(AND($L372="",$M372=""),"",IF($L372&lt;&gt;"",INDEX(SCNormDate,$L372),INDEX(LdgDateB,$M372)))</f>
        <v/>
      </c>
      <c r="C372" s="24">
        <f>IF($L372&lt;&gt;"",INDEX(SCOp,$L372),IF($M372&lt;&gt;"","پرداخت بانکی",""))</f>
        <v/>
      </c>
      <c r="D372" s="24">
        <f>IF($L372&lt;&gt;"",IF(INDEX(SCDoc,$L372)="","—",INDEX(SCDoc,$L372)),IF($M372&lt;&gt;"",INDEX(LdgBankB,$M372),""))</f>
        <v/>
      </c>
      <c r="E372" s="25">
        <f>IF($L372&lt;&gt;"",IF(INDEX(SCCitrus,$L372)&amp;INDEX(SCNotes,$L372)="","",IF(INDEX(SCCitrus,$L372)="","",INDEX(SCCitrus,$L372))&amp;IF(INDEX(SCNotes,$L372)="",""," — "&amp;INDEX(SCNotes,$L372))),IF($M372&lt;&gt;"",IF(INDEX(LdgNoteB,$M372)="","—",INDEX(LdgNoteB,$M372)),""))</f>
        <v/>
      </c>
      <c r="F372" s="26">
        <f>IF($L372&lt;&gt;"",IF(INDEX(SCNet,$L372)=0,"",INDEX(SCNet,$L372)),"")</f>
        <v/>
      </c>
      <c r="G372" s="27">
        <f>IF($L372&lt;&gt;"",IF(INDEX(SCOp,$L372)="مرجوعی فروش","",IF(INDEX(SCAmount,$L372)&lt;=0,"",INDEX(SCAmount,$L372))),IF($M372&lt;&gt;"",IF(INDEX(LdgWitB,$M372)=0,"",INDEX(LdgWitB,$M372)),""))</f>
        <v/>
      </c>
      <c r="H372" s="27">
        <f>IF($L372&lt;&gt;"",IF(INDEX(SCOp,$L372)="مرجوعی فروش",IF(INDEX(SCAmount,$L372)=0,"",-INDEX(SCAmount,$L372)),""),IF($M372&lt;&gt;"",IF(INDEX(LdgDepB,$M372)=0,"",INDEX(LdgDepB,$M372)),""))</f>
        <v/>
      </c>
      <c r="I372" s="28">
        <f>IF($B372="","",IF($I371="",$C$10,$I371)+IF($G372="",0,$G372)-IF($H372="",0,$H372))</f>
        <v/>
      </c>
      <c r="L372">
        <f>IFERROR(MATCH($C$5&amp;"|"&amp;RIGHT("000000"&amp;356,6),LdgRankKeyA,0),"")</f>
        <v/>
      </c>
      <c r="M372">
        <f>IFERROR(MATCH($C$5&amp;"|"&amp;RIGHT("000000"&amp;356,6),LdgRankKeyB,0),"")</f>
        <v/>
      </c>
    </row>
    <row r="373">
      <c r="A373" s="17" t="n">
        <v>357</v>
      </c>
      <c r="B373" s="18">
        <f>IF(AND($L373="",$M373=""),"",IF($L373&lt;&gt;"",INDEX(SCNormDate,$L373),INDEX(LdgDateB,$M373)))</f>
        <v/>
      </c>
      <c r="C373" s="18">
        <f>IF($L373&lt;&gt;"",INDEX(SCOp,$L373),IF($M373&lt;&gt;"","پرداخت بانکی",""))</f>
        <v/>
      </c>
      <c r="D373" s="18">
        <f>IF($L373&lt;&gt;"",IF(INDEX(SCDoc,$L373)="","—",INDEX(SCDoc,$L373)),IF($M373&lt;&gt;"",INDEX(LdgBankB,$M373),""))</f>
        <v/>
      </c>
      <c r="E373" s="19">
        <f>IF($L373&lt;&gt;"",IF(INDEX(SCCitrus,$L373)&amp;INDEX(SCNotes,$L373)="","",IF(INDEX(SCCitrus,$L373)="","",INDEX(SCCitrus,$L373))&amp;IF(INDEX(SCNotes,$L373)="",""," — "&amp;INDEX(SCNotes,$L373))),IF($M373&lt;&gt;"",IF(INDEX(LdgNoteB,$M373)="","—",INDEX(LdgNoteB,$M373)),""))</f>
        <v/>
      </c>
      <c r="F373" s="20">
        <f>IF($L373&lt;&gt;"",IF(INDEX(SCNet,$L373)=0,"",INDEX(SCNet,$L373)),"")</f>
        <v/>
      </c>
      <c r="G373" s="21">
        <f>IF($L373&lt;&gt;"",IF(INDEX(SCOp,$L373)="مرجوعی فروش","",IF(INDEX(SCAmount,$L373)&lt;=0,"",INDEX(SCAmount,$L373))),IF($M373&lt;&gt;"",IF(INDEX(LdgWitB,$M373)=0,"",INDEX(LdgWitB,$M373)),""))</f>
        <v/>
      </c>
      <c r="H373" s="21">
        <f>IF($L373&lt;&gt;"",IF(INDEX(SCOp,$L373)="مرجوعی فروش",IF(INDEX(SCAmount,$L373)=0,"",-INDEX(SCAmount,$L373)),""),IF($M373&lt;&gt;"",IF(INDEX(LdgDepB,$M373)=0,"",INDEX(LdgDepB,$M373)),""))</f>
        <v/>
      </c>
      <c r="I373" s="22">
        <f>IF($B373="","",IF($I372="",$C$10,$I372)+IF($G373="",0,$G373)-IF($H373="",0,$H373))</f>
        <v/>
      </c>
      <c r="L373">
        <f>IFERROR(MATCH($C$5&amp;"|"&amp;RIGHT("000000"&amp;357,6),LdgRankKeyA,0),"")</f>
        <v/>
      </c>
      <c r="M373">
        <f>IFERROR(MATCH($C$5&amp;"|"&amp;RIGHT("000000"&amp;357,6),LdgRankKeyB,0),"")</f>
        <v/>
      </c>
    </row>
    <row r="374">
      <c r="A374" s="23" t="n">
        <v>358</v>
      </c>
      <c r="B374" s="24">
        <f>IF(AND($L374="",$M374=""),"",IF($L374&lt;&gt;"",INDEX(SCNormDate,$L374),INDEX(LdgDateB,$M374)))</f>
        <v/>
      </c>
      <c r="C374" s="24">
        <f>IF($L374&lt;&gt;"",INDEX(SCOp,$L374),IF($M374&lt;&gt;"","پرداخت بانکی",""))</f>
        <v/>
      </c>
      <c r="D374" s="24">
        <f>IF($L374&lt;&gt;"",IF(INDEX(SCDoc,$L374)="","—",INDEX(SCDoc,$L374)),IF($M374&lt;&gt;"",INDEX(LdgBankB,$M374),""))</f>
        <v/>
      </c>
      <c r="E374" s="25">
        <f>IF($L374&lt;&gt;"",IF(INDEX(SCCitrus,$L374)&amp;INDEX(SCNotes,$L374)="","",IF(INDEX(SCCitrus,$L374)="","",INDEX(SCCitrus,$L374))&amp;IF(INDEX(SCNotes,$L374)="",""," — "&amp;INDEX(SCNotes,$L374))),IF($M374&lt;&gt;"",IF(INDEX(LdgNoteB,$M374)="","—",INDEX(LdgNoteB,$M374)),""))</f>
        <v/>
      </c>
      <c r="F374" s="26">
        <f>IF($L374&lt;&gt;"",IF(INDEX(SCNet,$L374)=0,"",INDEX(SCNet,$L374)),"")</f>
        <v/>
      </c>
      <c r="G374" s="27">
        <f>IF($L374&lt;&gt;"",IF(INDEX(SCOp,$L374)="مرجوعی فروش","",IF(INDEX(SCAmount,$L374)&lt;=0,"",INDEX(SCAmount,$L374))),IF($M374&lt;&gt;"",IF(INDEX(LdgWitB,$M374)=0,"",INDEX(LdgWitB,$M374)),""))</f>
        <v/>
      </c>
      <c r="H374" s="27">
        <f>IF($L374&lt;&gt;"",IF(INDEX(SCOp,$L374)="مرجوعی فروش",IF(INDEX(SCAmount,$L374)=0,"",-INDEX(SCAmount,$L374)),""),IF($M374&lt;&gt;"",IF(INDEX(LdgDepB,$M374)=0,"",INDEX(LdgDepB,$M374)),""))</f>
        <v/>
      </c>
      <c r="I374" s="28">
        <f>IF($B374="","",IF($I373="",$C$10,$I373)+IF($G374="",0,$G374)-IF($H374="",0,$H374))</f>
        <v/>
      </c>
      <c r="L374">
        <f>IFERROR(MATCH($C$5&amp;"|"&amp;RIGHT("000000"&amp;358,6),LdgRankKeyA,0),"")</f>
        <v/>
      </c>
      <c r="M374">
        <f>IFERROR(MATCH($C$5&amp;"|"&amp;RIGHT("000000"&amp;358,6),LdgRankKeyB,0),"")</f>
        <v/>
      </c>
    </row>
    <row r="375">
      <c r="A375" s="17" t="n">
        <v>359</v>
      </c>
      <c r="B375" s="18">
        <f>IF(AND($L375="",$M375=""),"",IF($L375&lt;&gt;"",INDEX(SCNormDate,$L375),INDEX(LdgDateB,$M375)))</f>
        <v/>
      </c>
      <c r="C375" s="18">
        <f>IF($L375&lt;&gt;"",INDEX(SCOp,$L375),IF($M375&lt;&gt;"","پرداخت بانکی",""))</f>
        <v/>
      </c>
      <c r="D375" s="18">
        <f>IF($L375&lt;&gt;"",IF(INDEX(SCDoc,$L375)="","—",INDEX(SCDoc,$L375)),IF($M375&lt;&gt;"",INDEX(LdgBankB,$M375),""))</f>
        <v/>
      </c>
      <c r="E375" s="19">
        <f>IF($L375&lt;&gt;"",IF(INDEX(SCCitrus,$L375)&amp;INDEX(SCNotes,$L375)="","",IF(INDEX(SCCitrus,$L375)="","",INDEX(SCCitrus,$L375))&amp;IF(INDEX(SCNotes,$L375)="",""," — "&amp;INDEX(SCNotes,$L375))),IF($M375&lt;&gt;"",IF(INDEX(LdgNoteB,$M375)="","—",INDEX(LdgNoteB,$M375)),""))</f>
        <v/>
      </c>
      <c r="F375" s="20">
        <f>IF($L375&lt;&gt;"",IF(INDEX(SCNet,$L375)=0,"",INDEX(SCNet,$L375)),"")</f>
        <v/>
      </c>
      <c r="G375" s="21">
        <f>IF($L375&lt;&gt;"",IF(INDEX(SCOp,$L375)="مرجوعی فروش","",IF(INDEX(SCAmount,$L375)&lt;=0,"",INDEX(SCAmount,$L375))),IF($M375&lt;&gt;"",IF(INDEX(LdgWitB,$M375)=0,"",INDEX(LdgWitB,$M375)),""))</f>
        <v/>
      </c>
      <c r="H375" s="21">
        <f>IF($L375&lt;&gt;"",IF(INDEX(SCOp,$L375)="مرجوعی فروش",IF(INDEX(SCAmount,$L375)=0,"",-INDEX(SCAmount,$L375)),""),IF($M375&lt;&gt;"",IF(INDEX(LdgDepB,$M375)=0,"",INDEX(LdgDepB,$M375)),""))</f>
        <v/>
      </c>
      <c r="I375" s="22">
        <f>IF($B375="","",IF($I374="",$C$10,$I374)+IF($G375="",0,$G375)-IF($H375="",0,$H375))</f>
        <v/>
      </c>
      <c r="L375">
        <f>IFERROR(MATCH($C$5&amp;"|"&amp;RIGHT("000000"&amp;359,6),LdgRankKeyA,0),"")</f>
        <v/>
      </c>
      <c r="M375">
        <f>IFERROR(MATCH($C$5&amp;"|"&amp;RIGHT("000000"&amp;359,6),LdgRankKeyB,0),"")</f>
        <v/>
      </c>
    </row>
    <row r="376">
      <c r="A376" s="23" t="n">
        <v>360</v>
      </c>
      <c r="B376" s="24">
        <f>IF(AND($L376="",$M376=""),"",IF($L376&lt;&gt;"",INDEX(SCNormDate,$L376),INDEX(LdgDateB,$M376)))</f>
        <v/>
      </c>
      <c r="C376" s="24">
        <f>IF($L376&lt;&gt;"",INDEX(SCOp,$L376),IF($M376&lt;&gt;"","پرداخت بانکی",""))</f>
        <v/>
      </c>
      <c r="D376" s="24">
        <f>IF($L376&lt;&gt;"",IF(INDEX(SCDoc,$L376)="","—",INDEX(SCDoc,$L376)),IF($M376&lt;&gt;"",INDEX(LdgBankB,$M376),""))</f>
        <v/>
      </c>
      <c r="E376" s="25">
        <f>IF($L376&lt;&gt;"",IF(INDEX(SCCitrus,$L376)&amp;INDEX(SCNotes,$L376)="","",IF(INDEX(SCCitrus,$L376)="","",INDEX(SCCitrus,$L376))&amp;IF(INDEX(SCNotes,$L376)="",""," — "&amp;INDEX(SCNotes,$L376))),IF($M376&lt;&gt;"",IF(INDEX(LdgNoteB,$M376)="","—",INDEX(LdgNoteB,$M376)),""))</f>
        <v/>
      </c>
      <c r="F376" s="26">
        <f>IF($L376&lt;&gt;"",IF(INDEX(SCNet,$L376)=0,"",INDEX(SCNet,$L376)),"")</f>
        <v/>
      </c>
      <c r="G376" s="27">
        <f>IF($L376&lt;&gt;"",IF(INDEX(SCOp,$L376)="مرجوعی فروش","",IF(INDEX(SCAmount,$L376)&lt;=0,"",INDEX(SCAmount,$L376))),IF($M376&lt;&gt;"",IF(INDEX(LdgWitB,$M376)=0,"",INDEX(LdgWitB,$M376)),""))</f>
        <v/>
      </c>
      <c r="H376" s="27">
        <f>IF($L376&lt;&gt;"",IF(INDEX(SCOp,$L376)="مرجوعی فروش",IF(INDEX(SCAmount,$L376)=0,"",-INDEX(SCAmount,$L376)),""),IF($M376&lt;&gt;"",IF(INDEX(LdgDepB,$M376)=0,"",INDEX(LdgDepB,$M376)),""))</f>
        <v/>
      </c>
      <c r="I376" s="28">
        <f>IF($B376="","",IF($I375="",$C$10,$I375)+IF($G376="",0,$G376)-IF($H376="",0,$H376))</f>
        <v/>
      </c>
      <c r="L376">
        <f>IFERROR(MATCH($C$5&amp;"|"&amp;RIGHT("000000"&amp;360,6),LdgRankKeyA,0),"")</f>
        <v/>
      </c>
      <c r="M376">
        <f>IFERROR(MATCH($C$5&amp;"|"&amp;RIGHT("000000"&amp;360,6),LdgRankKeyB,0),"")</f>
        <v/>
      </c>
    </row>
    <row r="377">
      <c r="A377" s="17" t="n">
        <v>361</v>
      </c>
      <c r="B377" s="18">
        <f>IF(AND($L377="",$M377=""),"",IF($L377&lt;&gt;"",INDEX(SCNormDate,$L377),INDEX(LdgDateB,$M377)))</f>
        <v/>
      </c>
      <c r="C377" s="18">
        <f>IF($L377&lt;&gt;"",INDEX(SCOp,$L377),IF($M377&lt;&gt;"","پرداخت بانکی",""))</f>
        <v/>
      </c>
      <c r="D377" s="18">
        <f>IF($L377&lt;&gt;"",IF(INDEX(SCDoc,$L377)="","—",INDEX(SCDoc,$L377)),IF($M377&lt;&gt;"",INDEX(LdgBankB,$M377),""))</f>
        <v/>
      </c>
      <c r="E377" s="19">
        <f>IF($L377&lt;&gt;"",IF(INDEX(SCCitrus,$L377)&amp;INDEX(SCNotes,$L377)="","",IF(INDEX(SCCitrus,$L377)="","",INDEX(SCCitrus,$L377))&amp;IF(INDEX(SCNotes,$L377)="",""," — "&amp;INDEX(SCNotes,$L377))),IF($M377&lt;&gt;"",IF(INDEX(LdgNoteB,$M377)="","—",INDEX(LdgNoteB,$M377)),""))</f>
        <v/>
      </c>
      <c r="F377" s="20">
        <f>IF($L377&lt;&gt;"",IF(INDEX(SCNet,$L377)=0,"",INDEX(SCNet,$L377)),"")</f>
        <v/>
      </c>
      <c r="G377" s="21">
        <f>IF($L377&lt;&gt;"",IF(INDEX(SCOp,$L377)="مرجوعی فروش","",IF(INDEX(SCAmount,$L377)&lt;=0,"",INDEX(SCAmount,$L377))),IF($M377&lt;&gt;"",IF(INDEX(LdgWitB,$M377)=0,"",INDEX(LdgWitB,$M377)),""))</f>
        <v/>
      </c>
      <c r="H377" s="21">
        <f>IF($L377&lt;&gt;"",IF(INDEX(SCOp,$L377)="مرجوعی فروش",IF(INDEX(SCAmount,$L377)=0,"",-INDEX(SCAmount,$L377)),""),IF($M377&lt;&gt;"",IF(INDEX(LdgDepB,$M377)=0,"",INDEX(LdgDepB,$M377)),""))</f>
        <v/>
      </c>
      <c r="I377" s="22">
        <f>IF($B377="","",IF($I376="",$C$10,$I376)+IF($G377="",0,$G377)-IF($H377="",0,$H377))</f>
        <v/>
      </c>
      <c r="L377">
        <f>IFERROR(MATCH($C$5&amp;"|"&amp;RIGHT("000000"&amp;361,6),LdgRankKeyA,0),"")</f>
        <v/>
      </c>
      <c r="M377">
        <f>IFERROR(MATCH($C$5&amp;"|"&amp;RIGHT("000000"&amp;361,6),LdgRankKeyB,0),"")</f>
        <v/>
      </c>
    </row>
    <row r="378">
      <c r="A378" s="23" t="n">
        <v>362</v>
      </c>
      <c r="B378" s="24">
        <f>IF(AND($L378="",$M378=""),"",IF($L378&lt;&gt;"",INDEX(SCNormDate,$L378),INDEX(LdgDateB,$M378)))</f>
        <v/>
      </c>
      <c r="C378" s="24">
        <f>IF($L378&lt;&gt;"",INDEX(SCOp,$L378),IF($M378&lt;&gt;"","پرداخت بانکی",""))</f>
        <v/>
      </c>
      <c r="D378" s="24">
        <f>IF($L378&lt;&gt;"",IF(INDEX(SCDoc,$L378)="","—",INDEX(SCDoc,$L378)),IF($M378&lt;&gt;"",INDEX(LdgBankB,$M378),""))</f>
        <v/>
      </c>
      <c r="E378" s="25">
        <f>IF($L378&lt;&gt;"",IF(INDEX(SCCitrus,$L378)&amp;INDEX(SCNotes,$L378)="","",IF(INDEX(SCCitrus,$L378)="","",INDEX(SCCitrus,$L378))&amp;IF(INDEX(SCNotes,$L378)="",""," — "&amp;INDEX(SCNotes,$L378))),IF($M378&lt;&gt;"",IF(INDEX(LdgNoteB,$M378)="","—",INDEX(LdgNoteB,$M378)),""))</f>
        <v/>
      </c>
      <c r="F378" s="26">
        <f>IF($L378&lt;&gt;"",IF(INDEX(SCNet,$L378)=0,"",INDEX(SCNet,$L378)),"")</f>
        <v/>
      </c>
      <c r="G378" s="27">
        <f>IF($L378&lt;&gt;"",IF(INDEX(SCOp,$L378)="مرجوعی فروش","",IF(INDEX(SCAmount,$L378)&lt;=0,"",INDEX(SCAmount,$L378))),IF($M378&lt;&gt;"",IF(INDEX(LdgWitB,$M378)=0,"",INDEX(LdgWitB,$M378)),""))</f>
        <v/>
      </c>
      <c r="H378" s="27">
        <f>IF($L378&lt;&gt;"",IF(INDEX(SCOp,$L378)="مرجوعی فروش",IF(INDEX(SCAmount,$L378)=0,"",-INDEX(SCAmount,$L378)),""),IF($M378&lt;&gt;"",IF(INDEX(LdgDepB,$M378)=0,"",INDEX(LdgDepB,$M378)),""))</f>
        <v/>
      </c>
      <c r="I378" s="28">
        <f>IF($B378="","",IF($I377="",$C$10,$I377)+IF($G378="",0,$G378)-IF($H378="",0,$H378))</f>
        <v/>
      </c>
      <c r="L378">
        <f>IFERROR(MATCH($C$5&amp;"|"&amp;RIGHT("000000"&amp;362,6),LdgRankKeyA,0),"")</f>
        <v/>
      </c>
      <c r="M378">
        <f>IFERROR(MATCH($C$5&amp;"|"&amp;RIGHT("000000"&amp;362,6),LdgRankKeyB,0),"")</f>
        <v/>
      </c>
    </row>
    <row r="379">
      <c r="A379" s="17" t="n">
        <v>363</v>
      </c>
      <c r="B379" s="18">
        <f>IF(AND($L379="",$M379=""),"",IF($L379&lt;&gt;"",INDEX(SCNormDate,$L379),INDEX(LdgDateB,$M379)))</f>
        <v/>
      </c>
      <c r="C379" s="18">
        <f>IF($L379&lt;&gt;"",INDEX(SCOp,$L379),IF($M379&lt;&gt;"","پرداخت بانکی",""))</f>
        <v/>
      </c>
      <c r="D379" s="18">
        <f>IF($L379&lt;&gt;"",IF(INDEX(SCDoc,$L379)="","—",INDEX(SCDoc,$L379)),IF($M379&lt;&gt;"",INDEX(LdgBankB,$M379),""))</f>
        <v/>
      </c>
      <c r="E379" s="19">
        <f>IF($L379&lt;&gt;"",IF(INDEX(SCCitrus,$L379)&amp;INDEX(SCNotes,$L379)="","",IF(INDEX(SCCitrus,$L379)="","",INDEX(SCCitrus,$L379))&amp;IF(INDEX(SCNotes,$L379)="",""," — "&amp;INDEX(SCNotes,$L379))),IF($M379&lt;&gt;"",IF(INDEX(LdgNoteB,$M379)="","—",INDEX(LdgNoteB,$M379)),""))</f>
        <v/>
      </c>
      <c r="F379" s="20">
        <f>IF($L379&lt;&gt;"",IF(INDEX(SCNet,$L379)=0,"",INDEX(SCNet,$L379)),"")</f>
        <v/>
      </c>
      <c r="G379" s="21">
        <f>IF($L379&lt;&gt;"",IF(INDEX(SCOp,$L379)="مرجوعی فروش","",IF(INDEX(SCAmount,$L379)&lt;=0,"",INDEX(SCAmount,$L379))),IF($M379&lt;&gt;"",IF(INDEX(LdgWitB,$M379)=0,"",INDEX(LdgWitB,$M379)),""))</f>
        <v/>
      </c>
      <c r="H379" s="21">
        <f>IF($L379&lt;&gt;"",IF(INDEX(SCOp,$L379)="مرجوعی فروش",IF(INDEX(SCAmount,$L379)=0,"",-INDEX(SCAmount,$L379)),""),IF($M379&lt;&gt;"",IF(INDEX(LdgDepB,$M379)=0,"",INDEX(LdgDepB,$M379)),""))</f>
        <v/>
      </c>
      <c r="I379" s="22">
        <f>IF($B379="","",IF($I378="",$C$10,$I378)+IF($G379="",0,$G379)-IF($H379="",0,$H379))</f>
        <v/>
      </c>
      <c r="L379">
        <f>IFERROR(MATCH($C$5&amp;"|"&amp;RIGHT("000000"&amp;363,6),LdgRankKeyA,0),"")</f>
        <v/>
      </c>
      <c r="M379">
        <f>IFERROR(MATCH($C$5&amp;"|"&amp;RIGHT("000000"&amp;363,6),LdgRankKeyB,0),"")</f>
        <v/>
      </c>
    </row>
    <row r="380">
      <c r="A380" s="23" t="n">
        <v>364</v>
      </c>
      <c r="B380" s="24">
        <f>IF(AND($L380="",$M380=""),"",IF($L380&lt;&gt;"",INDEX(SCNormDate,$L380),INDEX(LdgDateB,$M380)))</f>
        <v/>
      </c>
      <c r="C380" s="24">
        <f>IF($L380&lt;&gt;"",INDEX(SCOp,$L380),IF($M380&lt;&gt;"","پرداخت بانکی",""))</f>
        <v/>
      </c>
      <c r="D380" s="24">
        <f>IF($L380&lt;&gt;"",IF(INDEX(SCDoc,$L380)="","—",INDEX(SCDoc,$L380)),IF($M380&lt;&gt;"",INDEX(LdgBankB,$M380),""))</f>
        <v/>
      </c>
      <c r="E380" s="25">
        <f>IF($L380&lt;&gt;"",IF(INDEX(SCCitrus,$L380)&amp;INDEX(SCNotes,$L380)="","",IF(INDEX(SCCitrus,$L380)="","",INDEX(SCCitrus,$L380))&amp;IF(INDEX(SCNotes,$L380)="",""," — "&amp;INDEX(SCNotes,$L380))),IF($M380&lt;&gt;"",IF(INDEX(LdgNoteB,$M380)="","—",INDEX(LdgNoteB,$M380)),""))</f>
        <v/>
      </c>
      <c r="F380" s="26">
        <f>IF($L380&lt;&gt;"",IF(INDEX(SCNet,$L380)=0,"",INDEX(SCNet,$L380)),"")</f>
        <v/>
      </c>
      <c r="G380" s="27">
        <f>IF($L380&lt;&gt;"",IF(INDEX(SCOp,$L380)="مرجوعی فروش","",IF(INDEX(SCAmount,$L380)&lt;=0,"",INDEX(SCAmount,$L380))),IF($M380&lt;&gt;"",IF(INDEX(LdgWitB,$M380)=0,"",INDEX(LdgWitB,$M380)),""))</f>
        <v/>
      </c>
      <c r="H380" s="27">
        <f>IF($L380&lt;&gt;"",IF(INDEX(SCOp,$L380)="مرجوعی فروش",IF(INDEX(SCAmount,$L380)=0,"",-INDEX(SCAmount,$L380)),""),IF($M380&lt;&gt;"",IF(INDEX(LdgDepB,$M380)=0,"",INDEX(LdgDepB,$M380)),""))</f>
        <v/>
      </c>
      <c r="I380" s="28">
        <f>IF($B380="","",IF($I379="",$C$10,$I379)+IF($G380="",0,$G380)-IF($H380="",0,$H380))</f>
        <v/>
      </c>
      <c r="L380">
        <f>IFERROR(MATCH($C$5&amp;"|"&amp;RIGHT("000000"&amp;364,6),LdgRankKeyA,0),"")</f>
        <v/>
      </c>
      <c r="M380">
        <f>IFERROR(MATCH($C$5&amp;"|"&amp;RIGHT("000000"&amp;364,6),LdgRankKeyB,0),"")</f>
        <v/>
      </c>
    </row>
    <row r="381">
      <c r="A381" s="17" t="n">
        <v>365</v>
      </c>
      <c r="B381" s="18">
        <f>IF(AND($L381="",$M381=""),"",IF($L381&lt;&gt;"",INDEX(SCNormDate,$L381),INDEX(LdgDateB,$M381)))</f>
        <v/>
      </c>
      <c r="C381" s="18">
        <f>IF($L381&lt;&gt;"",INDEX(SCOp,$L381),IF($M381&lt;&gt;"","پرداخت بانکی",""))</f>
        <v/>
      </c>
      <c r="D381" s="18">
        <f>IF($L381&lt;&gt;"",IF(INDEX(SCDoc,$L381)="","—",INDEX(SCDoc,$L381)),IF($M381&lt;&gt;"",INDEX(LdgBankB,$M381),""))</f>
        <v/>
      </c>
      <c r="E381" s="19">
        <f>IF($L381&lt;&gt;"",IF(INDEX(SCCitrus,$L381)&amp;INDEX(SCNotes,$L381)="","",IF(INDEX(SCCitrus,$L381)="","",INDEX(SCCitrus,$L381))&amp;IF(INDEX(SCNotes,$L381)="",""," — "&amp;INDEX(SCNotes,$L381))),IF($M381&lt;&gt;"",IF(INDEX(LdgNoteB,$M381)="","—",INDEX(LdgNoteB,$M381)),""))</f>
        <v/>
      </c>
      <c r="F381" s="20">
        <f>IF($L381&lt;&gt;"",IF(INDEX(SCNet,$L381)=0,"",INDEX(SCNet,$L381)),"")</f>
        <v/>
      </c>
      <c r="G381" s="21">
        <f>IF($L381&lt;&gt;"",IF(INDEX(SCOp,$L381)="مرجوعی فروش","",IF(INDEX(SCAmount,$L381)&lt;=0,"",INDEX(SCAmount,$L381))),IF($M381&lt;&gt;"",IF(INDEX(LdgWitB,$M381)=0,"",INDEX(LdgWitB,$M381)),""))</f>
        <v/>
      </c>
      <c r="H381" s="21">
        <f>IF($L381&lt;&gt;"",IF(INDEX(SCOp,$L381)="مرجوعی فروش",IF(INDEX(SCAmount,$L381)=0,"",-INDEX(SCAmount,$L381)),""),IF($M381&lt;&gt;"",IF(INDEX(LdgDepB,$M381)=0,"",INDEX(LdgDepB,$M381)),""))</f>
        <v/>
      </c>
      <c r="I381" s="22">
        <f>IF($B381="","",IF($I380="",$C$10,$I380)+IF($G381="",0,$G381)-IF($H381="",0,$H381))</f>
        <v/>
      </c>
      <c r="L381">
        <f>IFERROR(MATCH($C$5&amp;"|"&amp;RIGHT("000000"&amp;365,6),LdgRankKeyA,0),"")</f>
        <v/>
      </c>
      <c r="M381">
        <f>IFERROR(MATCH($C$5&amp;"|"&amp;RIGHT("000000"&amp;365,6),LdgRankKeyB,0),"")</f>
        <v/>
      </c>
    </row>
    <row r="382">
      <c r="A382" s="23" t="n">
        <v>366</v>
      </c>
      <c r="B382" s="24">
        <f>IF(AND($L382="",$M382=""),"",IF($L382&lt;&gt;"",INDEX(SCNormDate,$L382),INDEX(LdgDateB,$M382)))</f>
        <v/>
      </c>
      <c r="C382" s="24">
        <f>IF($L382&lt;&gt;"",INDEX(SCOp,$L382),IF($M382&lt;&gt;"","پرداخت بانکی",""))</f>
        <v/>
      </c>
      <c r="D382" s="24">
        <f>IF($L382&lt;&gt;"",IF(INDEX(SCDoc,$L382)="","—",INDEX(SCDoc,$L382)),IF($M382&lt;&gt;"",INDEX(LdgBankB,$M382),""))</f>
        <v/>
      </c>
      <c r="E382" s="25">
        <f>IF($L382&lt;&gt;"",IF(INDEX(SCCitrus,$L382)&amp;INDEX(SCNotes,$L382)="","",IF(INDEX(SCCitrus,$L382)="","",INDEX(SCCitrus,$L382))&amp;IF(INDEX(SCNotes,$L382)="",""," — "&amp;INDEX(SCNotes,$L382))),IF($M382&lt;&gt;"",IF(INDEX(LdgNoteB,$M382)="","—",INDEX(LdgNoteB,$M382)),""))</f>
        <v/>
      </c>
      <c r="F382" s="26">
        <f>IF($L382&lt;&gt;"",IF(INDEX(SCNet,$L382)=0,"",INDEX(SCNet,$L382)),"")</f>
        <v/>
      </c>
      <c r="G382" s="27">
        <f>IF($L382&lt;&gt;"",IF(INDEX(SCOp,$L382)="مرجوعی فروش","",IF(INDEX(SCAmount,$L382)&lt;=0,"",INDEX(SCAmount,$L382))),IF($M382&lt;&gt;"",IF(INDEX(LdgWitB,$M382)=0,"",INDEX(LdgWitB,$M382)),""))</f>
        <v/>
      </c>
      <c r="H382" s="27">
        <f>IF($L382&lt;&gt;"",IF(INDEX(SCOp,$L382)="مرجوعی فروش",IF(INDEX(SCAmount,$L382)=0,"",-INDEX(SCAmount,$L382)),""),IF($M382&lt;&gt;"",IF(INDEX(LdgDepB,$M382)=0,"",INDEX(LdgDepB,$M382)),""))</f>
        <v/>
      </c>
      <c r="I382" s="28">
        <f>IF($B382="","",IF($I381="",$C$10,$I381)+IF($G382="",0,$G382)-IF($H382="",0,$H382))</f>
        <v/>
      </c>
      <c r="L382">
        <f>IFERROR(MATCH($C$5&amp;"|"&amp;RIGHT("000000"&amp;366,6),LdgRankKeyA,0),"")</f>
        <v/>
      </c>
      <c r="M382">
        <f>IFERROR(MATCH($C$5&amp;"|"&amp;RIGHT("000000"&amp;366,6),LdgRankKeyB,0),"")</f>
        <v/>
      </c>
    </row>
    <row r="383">
      <c r="A383" s="17" t="n">
        <v>367</v>
      </c>
      <c r="B383" s="18">
        <f>IF(AND($L383="",$M383=""),"",IF($L383&lt;&gt;"",INDEX(SCNormDate,$L383),INDEX(LdgDateB,$M383)))</f>
        <v/>
      </c>
      <c r="C383" s="18">
        <f>IF($L383&lt;&gt;"",INDEX(SCOp,$L383),IF($M383&lt;&gt;"","پرداخت بانکی",""))</f>
        <v/>
      </c>
      <c r="D383" s="18">
        <f>IF($L383&lt;&gt;"",IF(INDEX(SCDoc,$L383)="","—",INDEX(SCDoc,$L383)),IF($M383&lt;&gt;"",INDEX(LdgBankB,$M383),""))</f>
        <v/>
      </c>
      <c r="E383" s="19">
        <f>IF($L383&lt;&gt;"",IF(INDEX(SCCitrus,$L383)&amp;INDEX(SCNotes,$L383)="","",IF(INDEX(SCCitrus,$L383)="","",INDEX(SCCitrus,$L383))&amp;IF(INDEX(SCNotes,$L383)="",""," — "&amp;INDEX(SCNotes,$L383))),IF($M383&lt;&gt;"",IF(INDEX(LdgNoteB,$M383)="","—",INDEX(LdgNoteB,$M383)),""))</f>
        <v/>
      </c>
      <c r="F383" s="20">
        <f>IF($L383&lt;&gt;"",IF(INDEX(SCNet,$L383)=0,"",INDEX(SCNet,$L383)),"")</f>
        <v/>
      </c>
      <c r="G383" s="21">
        <f>IF($L383&lt;&gt;"",IF(INDEX(SCOp,$L383)="مرجوعی فروش","",IF(INDEX(SCAmount,$L383)&lt;=0,"",INDEX(SCAmount,$L383))),IF($M383&lt;&gt;"",IF(INDEX(LdgWitB,$M383)=0,"",INDEX(LdgWitB,$M383)),""))</f>
        <v/>
      </c>
      <c r="H383" s="21">
        <f>IF($L383&lt;&gt;"",IF(INDEX(SCOp,$L383)="مرجوعی فروش",IF(INDEX(SCAmount,$L383)=0,"",-INDEX(SCAmount,$L383)),""),IF($M383&lt;&gt;"",IF(INDEX(LdgDepB,$M383)=0,"",INDEX(LdgDepB,$M383)),""))</f>
        <v/>
      </c>
      <c r="I383" s="22">
        <f>IF($B383="","",IF($I382="",$C$10,$I382)+IF($G383="",0,$G383)-IF($H383="",0,$H383))</f>
        <v/>
      </c>
      <c r="L383">
        <f>IFERROR(MATCH($C$5&amp;"|"&amp;RIGHT("000000"&amp;367,6),LdgRankKeyA,0),"")</f>
        <v/>
      </c>
      <c r="M383">
        <f>IFERROR(MATCH($C$5&amp;"|"&amp;RIGHT("000000"&amp;367,6),LdgRankKeyB,0),"")</f>
        <v/>
      </c>
    </row>
    <row r="384">
      <c r="A384" s="23" t="n">
        <v>368</v>
      </c>
      <c r="B384" s="24">
        <f>IF(AND($L384="",$M384=""),"",IF($L384&lt;&gt;"",INDEX(SCNormDate,$L384),INDEX(LdgDateB,$M384)))</f>
        <v/>
      </c>
      <c r="C384" s="24">
        <f>IF($L384&lt;&gt;"",INDEX(SCOp,$L384),IF($M384&lt;&gt;"","پرداخت بانکی",""))</f>
        <v/>
      </c>
      <c r="D384" s="24">
        <f>IF($L384&lt;&gt;"",IF(INDEX(SCDoc,$L384)="","—",INDEX(SCDoc,$L384)),IF($M384&lt;&gt;"",INDEX(LdgBankB,$M384),""))</f>
        <v/>
      </c>
      <c r="E384" s="25">
        <f>IF($L384&lt;&gt;"",IF(INDEX(SCCitrus,$L384)&amp;INDEX(SCNotes,$L384)="","",IF(INDEX(SCCitrus,$L384)="","",INDEX(SCCitrus,$L384))&amp;IF(INDEX(SCNotes,$L384)="",""," — "&amp;INDEX(SCNotes,$L384))),IF($M384&lt;&gt;"",IF(INDEX(LdgNoteB,$M384)="","—",INDEX(LdgNoteB,$M384)),""))</f>
        <v/>
      </c>
      <c r="F384" s="26">
        <f>IF($L384&lt;&gt;"",IF(INDEX(SCNet,$L384)=0,"",INDEX(SCNet,$L384)),"")</f>
        <v/>
      </c>
      <c r="G384" s="27">
        <f>IF($L384&lt;&gt;"",IF(INDEX(SCOp,$L384)="مرجوعی فروش","",IF(INDEX(SCAmount,$L384)&lt;=0,"",INDEX(SCAmount,$L384))),IF($M384&lt;&gt;"",IF(INDEX(LdgWitB,$M384)=0,"",INDEX(LdgWitB,$M384)),""))</f>
        <v/>
      </c>
      <c r="H384" s="27">
        <f>IF($L384&lt;&gt;"",IF(INDEX(SCOp,$L384)="مرجوعی فروش",IF(INDEX(SCAmount,$L384)=0,"",-INDEX(SCAmount,$L384)),""),IF($M384&lt;&gt;"",IF(INDEX(LdgDepB,$M384)=0,"",INDEX(LdgDepB,$M384)),""))</f>
        <v/>
      </c>
      <c r="I384" s="28">
        <f>IF($B384="","",IF($I383="",$C$10,$I383)+IF($G384="",0,$G384)-IF($H384="",0,$H384))</f>
        <v/>
      </c>
      <c r="L384">
        <f>IFERROR(MATCH($C$5&amp;"|"&amp;RIGHT("000000"&amp;368,6),LdgRankKeyA,0),"")</f>
        <v/>
      </c>
      <c r="M384">
        <f>IFERROR(MATCH($C$5&amp;"|"&amp;RIGHT("000000"&amp;368,6),LdgRankKeyB,0),"")</f>
        <v/>
      </c>
    </row>
    <row r="385">
      <c r="A385" s="17" t="n">
        <v>369</v>
      </c>
      <c r="B385" s="18">
        <f>IF(AND($L385="",$M385=""),"",IF($L385&lt;&gt;"",INDEX(SCNormDate,$L385),INDEX(LdgDateB,$M385)))</f>
        <v/>
      </c>
      <c r="C385" s="18">
        <f>IF($L385&lt;&gt;"",INDEX(SCOp,$L385),IF($M385&lt;&gt;"","پرداخت بانکی",""))</f>
        <v/>
      </c>
      <c r="D385" s="18">
        <f>IF($L385&lt;&gt;"",IF(INDEX(SCDoc,$L385)="","—",INDEX(SCDoc,$L385)),IF($M385&lt;&gt;"",INDEX(LdgBankB,$M385),""))</f>
        <v/>
      </c>
      <c r="E385" s="19">
        <f>IF($L385&lt;&gt;"",IF(INDEX(SCCitrus,$L385)&amp;INDEX(SCNotes,$L385)="","",IF(INDEX(SCCitrus,$L385)="","",INDEX(SCCitrus,$L385))&amp;IF(INDEX(SCNotes,$L385)="",""," — "&amp;INDEX(SCNotes,$L385))),IF($M385&lt;&gt;"",IF(INDEX(LdgNoteB,$M385)="","—",INDEX(LdgNoteB,$M385)),""))</f>
        <v/>
      </c>
      <c r="F385" s="20">
        <f>IF($L385&lt;&gt;"",IF(INDEX(SCNet,$L385)=0,"",INDEX(SCNet,$L385)),"")</f>
        <v/>
      </c>
      <c r="G385" s="21">
        <f>IF($L385&lt;&gt;"",IF(INDEX(SCOp,$L385)="مرجوعی فروش","",IF(INDEX(SCAmount,$L385)&lt;=0,"",INDEX(SCAmount,$L385))),IF($M385&lt;&gt;"",IF(INDEX(LdgWitB,$M385)=0,"",INDEX(LdgWitB,$M385)),""))</f>
        <v/>
      </c>
      <c r="H385" s="21">
        <f>IF($L385&lt;&gt;"",IF(INDEX(SCOp,$L385)="مرجوعی فروش",IF(INDEX(SCAmount,$L385)=0,"",-INDEX(SCAmount,$L385)),""),IF($M385&lt;&gt;"",IF(INDEX(LdgDepB,$M385)=0,"",INDEX(LdgDepB,$M385)),""))</f>
        <v/>
      </c>
      <c r="I385" s="22">
        <f>IF($B385="","",IF($I384="",$C$10,$I384)+IF($G385="",0,$G385)-IF($H385="",0,$H385))</f>
        <v/>
      </c>
      <c r="L385">
        <f>IFERROR(MATCH($C$5&amp;"|"&amp;RIGHT("000000"&amp;369,6),LdgRankKeyA,0),"")</f>
        <v/>
      </c>
      <c r="M385">
        <f>IFERROR(MATCH($C$5&amp;"|"&amp;RIGHT("000000"&amp;369,6),LdgRankKeyB,0),"")</f>
        <v/>
      </c>
    </row>
    <row r="386">
      <c r="A386" s="23" t="n">
        <v>370</v>
      </c>
      <c r="B386" s="24">
        <f>IF(AND($L386="",$M386=""),"",IF($L386&lt;&gt;"",INDEX(SCNormDate,$L386),INDEX(LdgDateB,$M386)))</f>
        <v/>
      </c>
      <c r="C386" s="24">
        <f>IF($L386&lt;&gt;"",INDEX(SCOp,$L386),IF($M386&lt;&gt;"","پرداخت بانکی",""))</f>
        <v/>
      </c>
      <c r="D386" s="24">
        <f>IF($L386&lt;&gt;"",IF(INDEX(SCDoc,$L386)="","—",INDEX(SCDoc,$L386)),IF($M386&lt;&gt;"",INDEX(LdgBankB,$M386),""))</f>
        <v/>
      </c>
      <c r="E386" s="25">
        <f>IF($L386&lt;&gt;"",IF(INDEX(SCCitrus,$L386)&amp;INDEX(SCNotes,$L386)="","",IF(INDEX(SCCitrus,$L386)="","",INDEX(SCCitrus,$L386))&amp;IF(INDEX(SCNotes,$L386)="",""," — "&amp;INDEX(SCNotes,$L386))),IF($M386&lt;&gt;"",IF(INDEX(LdgNoteB,$M386)="","—",INDEX(LdgNoteB,$M386)),""))</f>
        <v/>
      </c>
      <c r="F386" s="26">
        <f>IF($L386&lt;&gt;"",IF(INDEX(SCNet,$L386)=0,"",INDEX(SCNet,$L386)),"")</f>
        <v/>
      </c>
      <c r="G386" s="27">
        <f>IF($L386&lt;&gt;"",IF(INDEX(SCOp,$L386)="مرجوعی فروش","",IF(INDEX(SCAmount,$L386)&lt;=0,"",INDEX(SCAmount,$L386))),IF($M386&lt;&gt;"",IF(INDEX(LdgWitB,$M386)=0,"",INDEX(LdgWitB,$M386)),""))</f>
        <v/>
      </c>
      <c r="H386" s="27">
        <f>IF($L386&lt;&gt;"",IF(INDEX(SCOp,$L386)="مرجوعی فروش",IF(INDEX(SCAmount,$L386)=0,"",-INDEX(SCAmount,$L386)),""),IF($M386&lt;&gt;"",IF(INDEX(LdgDepB,$M386)=0,"",INDEX(LdgDepB,$M386)),""))</f>
        <v/>
      </c>
      <c r="I386" s="28">
        <f>IF($B386="","",IF($I385="",$C$10,$I385)+IF($G386="",0,$G386)-IF($H386="",0,$H386))</f>
        <v/>
      </c>
      <c r="L386">
        <f>IFERROR(MATCH($C$5&amp;"|"&amp;RIGHT("000000"&amp;370,6),LdgRankKeyA,0),"")</f>
        <v/>
      </c>
      <c r="M386">
        <f>IFERROR(MATCH($C$5&amp;"|"&amp;RIGHT("000000"&amp;370,6),LdgRankKeyB,0),"")</f>
        <v/>
      </c>
    </row>
    <row r="387">
      <c r="A387" s="17" t="n">
        <v>371</v>
      </c>
      <c r="B387" s="18">
        <f>IF(AND($L387="",$M387=""),"",IF($L387&lt;&gt;"",INDEX(SCNormDate,$L387),INDEX(LdgDateB,$M387)))</f>
        <v/>
      </c>
      <c r="C387" s="18">
        <f>IF($L387&lt;&gt;"",INDEX(SCOp,$L387),IF($M387&lt;&gt;"","پرداخت بانکی",""))</f>
        <v/>
      </c>
      <c r="D387" s="18">
        <f>IF($L387&lt;&gt;"",IF(INDEX(SCDoc,$L387)="","—",INDEX(SCDoc,$L387)),IF($M387&lt;&gt;"",INDEX(LdgBankB,$M387),""))</f>
        <v/>
      </c>
      <c r="E387" s="19">
        <f>IF($L387&lt;&gt;"",IF(INDEX(SCCitrus,$L387)&amp;INDEX(SCNotes,$L387)="","",IF(INDEX(SCCitrus,$L387)="","",INDEX(SCCitrus,$L387))&amp;IF(INDEX(SCNotes,$L387)="",""," — "&amp;INDEX(SCNotes,$L387))),IF($M387&lt;&gt;"",IF(INDEX(LdgNoteB,$M387)="","—",INDEX(LdgNoteB,$M387)),""))</f>
        <v/>
      </c>
      <c r="F387" s="20">
        <f>IF($L387&lt;&gt;"",IF(INDEX(SCNet,$L387)=0,"",INDEX(SCNet,$L387)),"")</f>
        <v/>
      </c>
      <c r="G387" s="21">
        <f>IF($L387&lt;&gt;"",IF(INDEX(SCOp,$L387)="مرجوعی فروش","",IF(INDEX(SCAmount,$L387)&lt;=0,"",INDEX(SCAmount,$L387))),IF($M387&lt;&gt;"",IF(INDEX(LdgWitB,$M387)=0,"",INDEX(LdgWitB,$M387)),""))</f>
        <v/>
      </c>
      <c r="H387" s="21">
        <f>IF($L387&lt;&gt;"",IF(INDEX(SCOp,$L387)="مرجوعی فروش",IF(INDEX(SCAmount,$L387)=0,"",-INDEX(SCAmount,$L387)),""),IF($M387&lt;&gt;"",IF(INDEX(LdgDepB,$M387)=0,"",INDEX(LdgDepB,$M387)),""))</f>
        <v/>
      </c>
      <c r="I387" s="22">
        <f>IF($B387="","",IF($I386="",$C$10,$I386)+IF($G387="",0,$G387)-IF($H387="",0,$H387))</f>
        <v/>
      </c>
      <c r="L387">
        <f>IFERROR(MATCH($C$5&amp;"|"&amp;RIGHT("000000"&amp;371,6),LdgRankKeyA,0),"")</f>
        <v/>
      </c>
      <c r="M387">
        <f>IFERROR(MATCH($C$5&amp;"|"&amp;RIGHT("000000"&amp;371,6),LdgRankKeyB,0),"")</f>
        <v/>
      </c>
    </row>
    <row r="388">
      <c r="A388" s="23" t="n">
        <v>372</v>
      </c>
      <c r="B388" s="24">
        <f>IF(AND($L388="",$M388=""),"",IF($L388&lt;&gt;"",INDEX(SCNormDate,$L388),INDEX(LdgDateB,$M388)))</f>
        <v/>
      </c>
      <c r="C388" s="24">
        <f>IF($L388&lt;&gt;"",INDEX(SCOp,$L388),IF($M388&lt;&gt;"","پرداخت بانکی",""))</f>
        <v/>
      </c>
      <c r="D388" s="24">
        <f>IF($L388&lt;&gt;"",IF(INDEX(SCDoc,$L388)="","—",INDEX(SCDoc,$L388)),IF($M388&lt;&gt;"",INDEX(LdgBankB,$M388),""))</f>
        <v/>
      </c>
      <c r="E388" s="25">
        <f>IF($L388&lt;&gt;"",IF(INDEX(SCCitrus,$L388)&amp;INDEX(SCNotes,$L388)="","",IF(INDEX(SCCitrus,$L388)="","",INDEX(SCCitrus,$L388))&amp;IF(INDEX(SCNotes,$L388)="",""," — "&amp;INDEX(SCNotes,$L388))),IF($M388&lt;&gt;"",IF(INDEX(LdgNoteB,$M388)="","—",INDEX(LdgNoteB,$M388)),""))</f>
        <v/>
      </c>
      <c r="F388" s="26">
        <f>IF($L388&lt;&gt;"",IF(INDEX(SCNet,$L388)=0,"",INDEX(SCNet,$L388)),"")</f>
        <v/>
      </c>
      <c r="G388" s="27">
        <f>IF($L388&lt;&gt;"",IF(INDEX(SCOp,$L388)="مرجوعی فروش","",IF(INDEX(SCAmount,$L388)&lt;=0,"",INDEX(SCAmount,$L388))),IF($M388&lt;&gt;"",IF(INDEX(LdgWitB,$M388)=0,"",INDEX(LdgWitB,$M388)),""))</f>
        <v/>
      </c>
      <c r="H388" s="27">
        <f>IF($L388&lt;&gt;"",IF(INDEX(SCOp,$L388)="مرجوعی فروش",IF(INDEX(SCAmount,$L388)=0,"",-INDEX(SCAmount,$L388)),""),IF($M388&lt;&gt;"",IF(INDEX(LdgDepB,$M388)=0,"",INDEX(LdgDepB,$M388)),""))</f>
        <v/>
      </c>
      <c r="I388" s="28">
        <f>IF($B388="","",IF($I387="",$C$10,$I387)+IF($G388="",0,$G388)-IF($H388="",0,$H388))</f>
        <v/>
      </c>
      <c r="L388">
        <f>IFERROR(MATCH($C$5&amp;"|"&amp;RIGHT("000000"&amp;372,6),LdgRankKeyA,0),"")</f>
        <v/>
      </c>
      <c r="M388">
        <f>IFERROR(MATCH($C$5&amp;"|"&amp;RIGHT("000000"&amp;372,6),LdgRankKeyB,0),"")</f>
        <v/>
      </c>
    </row>
    <row r="389">
      <c r="A389" s="17" t="n">
        <v>373</v>
      </c>
      <c r="B389" s="18">
        <f>IF(AND($L389="",$M389=""),"",IF($L389&lt;&gt;"",INDEX(SCNormDate,$L389),INDEX(LdgDateB,$M389)))</f>
        <v/>
      </c>
      <c r="C389" s="18">
        <f>IF($L389&lt;&gt;"",INDEX(SCOp,$L389),IF($M389&lt;&gt;"","پرداخت بانکی",""))</f>
        <v/>
      </c>
      <c r="D389" s="18">
        <f>IF($L389&lt;&gt;"",IF(INDEX(SCDoc,$L389)="","—",INDEX(SCDoc,$L389)),IF($M389&lt;&gt;"",INDEX(LdgBankB,$M389),""))</f>
        <v/>
      </c>
      <c r="E389" s="19">
        <f>IF($L389&lt;&gt;"",IF(INDEX(SCCitrus,$L389)&amp;INDEX(SCNotes,$L389)="","",IF(INDEX(SCCitrus,$L389)="","",INDEX(SCCitrus,$L389))&amp;IF(INDEX(SCNotes,$L389)="",""," — "&amp;INDEX(SCNotes,$L389))),IF($M389&lt;&gt;"",IF(INDEX(LdgNoteB,$M389)="","—",INDEX(LdgNoteB,$M389)),""))</f>
        <v/>
      </c>
      <c r="F389" s="20">
        <f>IF($L389&lt;&gt;"",IF(INDEX(SCNet,$L389)=0,"",INDEX(SCNet,$L389)),"")</f>
        <v/>
      </c>
      <c r="G389" s="21">
        <f>IF($L389&lt;&gt;"",IF(INDEX(SCOp,$L389)="مرجوعی فروش","",IF(INDEX(SCAmount,$L389)&lt;=0,"",INDEX(SCAmount,$L389))),IF($M389&lt;&gt;"",IF(INDEX(LdgWitB,$M389)=0,"",INDEX(LdgWitB,$M389)),""))</f>
        <v/>
      </c>
      <c r="H389" s="21">
        <f>IF($L389&lt;&gt;"",IF(INDEX(SCOp,$L389)="مرجوعی فروش",IF(INDEX(SCAmount,$L389)=0,"",-INDEX(SCAmount,$L389)),""),IF($M389&lt;&gt;"",IF(INDEX(LdgDepB,$M389)=0,"",INDEX(LdgDepB,$M389)),""))</f>
        <v/>
      </c>
      <c r="I389" s="22">
        <f>IF($B389="","",IF($I388="",$C$10,$I388)+IF($G389="",0,$G389)-IF($H389="",0,$H389))</f>
        <v/>
      </c>
      <c r="L389">
        <f>IFERROR(MATCH($C$5&amp;"|"&amp;RIGHT("000000"&amp;373,6),LdgRankKeyA,0),"")</f>
        <v/>
      </c>
      <c r="M389">
        <f>IFERROR(MATCH($C$5&amp;"|"&amp;RIGHT("000000"&amp;373,6),LdgRankKeyB,0),"")</f>
        <v/>
      </c>
    </row>
    <row r="390">
      <c r="A390" s="23" t="n">
        <v>374</v>
      </c>
      <c r="B390" s="24">
        <f>IF(AND($L390="",$M390=""),"",IF($L390&lt;&gt;"",INDEX(SCNormDate,$L390),INDEX(LdgDateB,$M390)))</f>
        <v/>
      </c>
      <c r="C390" s="24">
        <f>IF($L390&lt;&gt;"",INDEX(SCOp,$L390),IF($M390&lt;&gt;"","پرداخت بانکی",""))</f>
        <v/>
      </c>
      <c r="D390" s="24">
        <f>IF($L390&lt;&gt;"",IF(INDEX(SCDoc,$L390)="","—",INDEX(SCDoc,$L390)),IF($M390&lt;&gt;"",INDEX(LdgBankB,$M390),""))</f>
        <v/>
      </c>
      <c r="E390" s="25">
        <f>IF($L390&lt;&gt;"",IF(INDEX(SCCitrus,$L390)&amp;INDEX(SCNotes,$L390)="","",IF(INDEX(SCCitrus,$L390)="","",INDEX(SCCitrus,$L390))&amp;IF(INDEX(SCNotes,$L390)="",""," — "&amp;INDEX(SCNotes,$L390))),IF($M390&lt;&gt;"",IF(INDEX(LdgNoteB,$M390)="","—",INDEX(LdgNoteB,$M390)),""))</f>
        <v/>
      </c>
      <c r="F390" s="26">
        <f>IF($L390&lt;&gt;"",IF(INDEX(SCNet,$L390)=0,"",INDEX(SCNet,$L390)),"")</f>
        <v/>
      </c>
      <c r="G390" s="27">
        <f>IF($L390&lt;&gt;"",IF(INDEX(SCOp,$L390)="مرجوعی فروش","",IF(INDEX(SCAmount,$L390)&lt;=0,"",INDEX(SCAmount,$L390))),IF($M390&lt;&gt;"",IF(INDEX(LdgWitB,$M390)=0,"",INDEX(LdgWitB,$M390)),""))</f>
        <v/>
      </c>
      <c r="H390" s="27">
        <f>IF($L390&lt;&gt;"",IF(INDEX(SCOp,$L390)="مرجوعی فروش",IF(INDEX(SCAmount,$L390)=0,"",-INDEX(SCAmount,$L390)),""),IF($M390&lt;&gt;"",IF(INDEX(LdgDepB,$M390)=0,"",INDEX(LdgDepB,$M390)),""))</f>
        <v/>
      </c>
      <c r="I390" s="28">
        <f>IF($B390="","",IF($I389="",$C$10,$I389)+IF($G390="",0,$G390)-IF($H390="",0,$H390))</f>
        <v/>
      </c>
      <c r="L390">
        <f>IFERROR(MATCH($C$5&amp;"|"&amp;RIGHT("000000"&amp;374,6),LdgRankKeyA,0),"")</f>
        <v/>
      </c>
      <c r="M390">
        <f>IFERROR(MATCH($C$5&amp;"|"&amp;RIGHT("000000"&amp;374,6),LdgRankKeyB,0),"")</f>
        <v/>
      </c>
    </row>
    <row r="391">
      <c r="A391" s="17" t="n">
        <v>375</v>
      </c>
      <c r="B391" s="18">
        <f>IF(AND($L391="",$M391=""),"",IF($L391&lt;&gt;"",INDEX(SCNormDate,$L391),INDEX(LdgDateB,$M391)))</f>
        <v/>
      </c>
      <c r="C391" s="18">
        <f>IF($L391&lt;&gt;"",INDEX(SCOp,$L391),IF($M391&lt;&gt;"","پرداخت بانکی",""))</f>
        <v/>
      </c>
      <c r="D391" s="18">
        <f>IF($L391&lt;&gt;"",IF(INDEX(SCDoc,$L391)="","—",INDEX(SCDoc,$L391)),IF($M391&lt;&gt;"",INDEX(LdgBankB,$M391),""))</f>
        <v/>
      </c>
      <c r="E391" s="19">
        <f>IF($L391&lt;&gt;"",IF(INDEX(SCCitrus,$L391)&amp;INDEX(SCNotes,$L391)="","",IF(INDEX(SCCitrus,$L391)="","",INDEX(SCCitrus,$L391))&amp;IF(INDEX(SCNotes,$L391)="",""," — "&amp;INDEX(SCNotes,$L391))),IF($M391&lt;&gt;"",IF(INDEX(LdgNoteB,$M391)="","—",INDEX(LdgNoteB,$M391)),""))</f>
        <v/>
      </c>
      <c r="F391" s="20">
        <f>IF($L391&lt;&gt;"",IF(INDEX(SCNet,$L391)=0,"",INDEX(SCNet,$L391)),"")</f>
        <v/>
      </c>
      <c r="G391" s="21">
        <f>IF($L391&lt;&gt;"",IF(INDEX(SCOp,$L391)="مرجوعی فروش","",IF(INDEX(SCAmount,$L391)&lt;=0,"",INDEX(SCAmount,$L391))),IF($M391&lt;&gt;"",IF(INDEX(LdgWitB,$M391)=0,"",INDEX(LdgWitB,$M391)),""))</f>
        <v/>
      </c>
      <c r="H391" s="21">
        <f>IF($L391&lt;&gt;"",IF(INDEX(SCOp,$L391)="مرجوعی فروش",IF(INDEX(SCAmount,$L391)=0,"",-INDEX(SCAmount,$L391)),""),IF($M391&lt;&gt;"",IF(INDEX(LdgDepB,$M391)=0,"",INDEX(LdgDepB,$M391)),""))</f>
        <v/>
      </c>
      <c r="I391" s="22">
        <f>IF($B391="","",IF($I390="",$C$10,$I390)+IF($G391="",0,$G391)-IF($H391="",0,$H391))</f>
        <v/>
      </c>
      <c r="L391">
        <f>IFERROR(MATCH($C$5&amp;"|"&amp;RIGHT("000000"&amp;375,6),LdgRankKeyA,0),"")</f>
        <v/>
      </c>
      <c r="M391">
        <f>IFERROR(MATCH($C$5&amp;"|"&amp;RIGHT("000000"&amp;375,6),LdgRankKeyB,0),"")</f>
        <v/>
      </c>
    </row>
    <row r="392">
      <c r="A392" s="23" t="n">
        <v>376</v>
      </c>
      <c r="B392" s="24">
        <f>IF(AND($L392="",$M392=""),"",IF($L392&lt;&gt;"",INDEX(SCNormDate,$L392),INDEX(LdgDateB,$M392)))</f>
        <v/>
      </c>
      <c r="C392" s="24">
        <f>IF($L392&lt;&gt;"",INDEX(SCOp,$L392),IF($M392&lt;&gt;"","پرداخت بانکی",""))</f>
        <v/>
      </c>
      <c r="D392" s="24">
        <f>IF($L392&lt;&gt;"",IF(INDEX(SCDoc,$L392)="","—",INDEX(SCDoc,$L392)),IF($M392&lt;&gt;"",INDEX(LdgBankB,$M392),""))</f>
        <v/>
      </c>
      <c r="E392" s="25">
        <f>IF($L392&lt;&gt;"",IF(INDEX(SCCitrus,$L392)&amp;INDEX(SCNotes,$L392)="","",IF(INDEX(SCCitrus,$L392)="","",INDEX(SCCitrus,$L392))&amp;IF(INDEX(SCNotes,$L392)="",""," — "&amp;INDEX(SCNotes,$L392))),IF($M392&lt;&gt;"",IF(INDEX(LdgNoteB,$M392)="","—",INDEX(LdgNoteB,$M392)),""))</f>
        <v/>
      </c>
      <c r="F392" s="26">
        <f>IF($L392&lt;&gt;"",IF(INDEX(SCNet,$L392)=0,"",INDEX(SCNet,$L392)),"")</f>
        <v/>
      </c>
      <c r="G392" s="27">
        <f>IF($L392&lt;&gt;"",IF(INDEX(SCOp,$L392)="مرجوعی فروش","",IF(INDEX(SCAmount,$L392)&lt;=0,"",INDEX(SCAmount,$L392))),IF($M392&lt;&gt;"",IF(INDEX(LdgWitB,$M392)=0,"",INDEX(LdgWitB,$M392)),""))</f>
        <v/>
      </c>
      <c r="H392" s="27">
        <f>IF($L392&lt;&gt;"",IF(INDEX(SCOp,$L392)="مرجوعی فروش",IF(INDEX(SCAmount,$L392)=0,"",-INDEX(SCAmount,$L392)),""),IF($M392&lt;&gt;"",IF(INDEX(LdgDepB,$M392)=0,"",INDEX(LdgDepB,$M392)),""))</f>
        <v/>
      </c>
      <c r="I392" s="28">
        <f>IF($B392="","",IF($I391="",$C$10,$I391)+IF($G392="",0,$G392)-IF($H392="",0,$H392))</f>
        <v/>
      </c>
      <c r="L392">
        <f>IFERROR(MATCH($C$5&amp;"|"&amp;RIGHT("000000"&amp;376,6),LdgRankKeyA,0),"")</f>
        <v/>
      </c>
      <c r="M392">
        <f>IFERROR(MATCH($C$5&amp;"|"&amp;RIGHT("000000"&amp;376,6),LdgRankKeyB,0),"")</f>
        <v/>
      </c>
    </row>
    <row r="393">
      <c r="A393" s="17" t="n">
        <v>377</v>
      </c>
      <c r="B393" s="18">
        <f>IF(AND($L393="",$M393=""),"",IF($L393&lt;&gt;"",INDEX(SCNormDate,$L393),INDEX(LdgDateB,$M393)))</f>
        <v/>
      </c>
      <c r="C393" s="18">
        <f>IF($L393&lt;&gt;"",INDEX(SCOp,$L393),IF($M393&lt;&gt;"","پرداخت بانکی",""))</f>
        <v/>
      </c>
      <c r="D393" s="18">
        <f>IF($L393&lt;&gt;"",IF(INDEX(SCDoc,$L393)="","—",INDEX(SCDoc,$L393)),IF($M393&lt;&gt;"",INDEX(LdgBankB,$M393),""))</f>
        <v/>
      </c>
      <c r="E393" s="19">
        <f>IF($L393&lt;&gt;"",IF(INDEX(SCCitrus,$L393)&amp;INDEX(SCNotes,$L393)="","",IF(INDEX(SCCitrus,$L393)="","",INDEX(SCCitrus,$L393))&amp;IF(INDEX(SCNotes,$L393)="",""," — "&amp;INDEX(SCNotes,$L393))),IF($M393&lt;&gt;"",IF(INDEX(LdgNoteB,$M393)="","—",INDEX(LdgNoteB,$M393)),""))</f>
        <v/>
      </c>
      <c r="F393" s="20">
        <f>IF($L393&lt;&gt;"",IF(INDEX(SCNet,$L393)=0,"",INDEX(SCNet,$L393)),"")</f>
        <v/>
      </c>
      <c r="G393" s="21">
        <f>IF($L393&lt;&gt;"",IF(INDEX(SCOp,$L393)="مرجوعی فروش","",IF(INDEX(SCAmount,$L393)&lt;=0,"",INDEX(SCAmount,$L393))),IF($M393&lt;&gt;"",IF(INDEX(LdgWitB,$M393)=0,"",INDEX(LdgWitB,$M393)),""))</f>
        <v/>
      </c>
      <c r="H393" s="21">
        <f>IF($L393&lt;&gt;"",IF(INDEX(SCOp,$L393)="مرجوعی فروش",IF(INDEX(SCAmount,$L393)=0,"",-INDEX(SCAmount,$L393)),""),IF($M393&lt;&gt;"",IF(INDEX(LdgDepB,$M393)=0,"",INDEX(LdgDepB,$M393)),""))</f>
        <v/>
      </c>
      <c r="I393" s="22">
        <f>IF($B393="","",IF($I392="",$C$10,$I392)+IF($G393="",0,$G393)-IF($H393="",0,$H393))</f>
        <v/>
      </c>
      <c r="L393">
        <f>IFERROR(MATCH($C$5&amp;"|"&amp;RIGHT("000000"&amp;377,6),LdgRankKeyA,0),"")</f>
        <v/>
      </c>
      <c r="M393">
        <f>IFERROR(MATCH($C$5&amp;"|"&amp;RIGHT("000000"&amp;377,6),LdgRankKeyB,0),"")</f>
        <v/>
      </c>
    </row>
    <row r="394">
      <c r="A394" s="23" t="n">
        <v>378</v>
      </c>
      <c r="B394" s="24">
        <f>IF(AND($L394="",$M394=""),"",IF($L394&lt;&gt;"",INDEX(SCNormDate,$L394),INDEX(LdgDateB,$M394)))</f>
        <v/>
      </c>
      <c r="C394" s="24">
        <f>IF($L394&lt;&gt;"",INDEX(SCOp,$L394),IF($M394&lt;&gt;"","پرداخت بانکی",""))</f>
        <v/>
      </c>
      <c r="D394" s="24">
        <f>IF($L394&lt;&gt;"",IF(INDEX(SCDoc,$L394)="","—",INDEX(SCDoc,$L394)),IF($M394&lt;&gt;"",INDEX(LdgBankB,$M394),""))</f>
        <v/>
      </c>
      <c r="E394" s="25">
        <f>IF($L394&lt;&gt;"",IF(INDEX(SCCitrus,$L394)&amp;INDEX(SCNotes,$L394)="","",IF(INDEX(SCCitrus,$L394)="","",INDEX(SCCitrus,$L394))&amp;IF(INDEX(SCNotes,$L394)="",""," — "&amp;INDEX(SCNotes,$L394))),IF($M394&lt;&gt;"",IF(INDEX(LdgNoteB,$M394)="","—",INDEX(LdgNoteB,$M394)),""))</f>
        <v/>
      </c>
      <c r="F394" s="26">
        <f>IF($L394&lt;&gt;"",IF(INDEX(SCNet,$L394)=0,"",INDEX(SCNet,$L394)),"")</f>
        <v/>
      </c>
      <c r="G394" s="27">
        <f>IF($L394&lt;&gt;"",IF(INDEX(SCOp,$L394)="مرجوعی فروش","",IF(INDEX(SCAmount,$L394)&lt;=0,"",INDEX(SCAmount,$L394))),IF($M394&lt;&gt;"",IF(INDEX(LdgWitB,$M394)=0,"",INDEX(LdgWitB,$M394)),""))</f>
        <v/>
      </c>
      <c r="H394" s="27">
        <f>IF($L394&lt;&gt;"",IF(INDEX(SCOp,$L394)="مرجوعی فروش",IF(INDEX(SCAmount,$L394)=0,"",-INDEX(SCAmount,$L394)),""),IF($M394&lt;&gt;"",IF(INDEX(LdgDepB,$M394)=0,"",INDEX(LdgDepB,$M394)),""))</f>
        <v/>
      </c>
      <c r="I394" s="28">
        <f>IF($B394="","",IF($I393="",$C$10,$I393)+IF($G394="",0,$G394)-IF($H394="",0,$H394))</f>
        <v/>
      </c>
      <c r="L394">
        <f>IFERROR(MATCH($C$5&amp;"|"&amp;RIGHT("000000"&amp;378,6),LdgRankKeyA,0),"")</f>
        <v/>
      </c>
      <c r="M394">
        <f>IFERROR(MATCH($C$5&amp;"|"&amp;RIGHT("000000"&amp;378,6),LdgRankKeyB,0),"")</f>
        <v/>
      </c>
    </row>
    <row r="395">
      <c r="A395" s="17" t="n">
        <v>379</v>
      </c>
      <c r="B395" s="18">
        <f>IF(AND($L395="",$M395=""),"",IF($L395&lt;&gt;"",INDEX(SCNormDate,$L395),INDEX(LdgDateB,$M395)))</f>
        <v/>
      </c>
      <c r="C395" s="18">
        <f>IF($L395&lt;&gt;"",INDEX(SCOp,$L395),IF($M395&lt;&gt;"","پرداخت بانکی",""))</f>
        <v/>
      </c>
      <c r="D395" s="18">
        <f>IF($L395&lt;&gt;"",IF(INDEX(SCDoc,$L395)="","—",INDEX(SCDoc,$L395)),IF($M395&lt;&gt;"",INDEX(LdgBankB,$M395),""))</f>
        <v/>
      </c>
      <c r="E395" s="19">
        <f>IF($L395&lt;&gt;"",IF(INDEX(SCCitrus,$L395)&amp;INDEX(SCNotes,$L395)="","",IF(INDEX(SCCitrus,$L395)="","",INDEX(SCCitrus,$L395))&amp;IF(INDEX(SCNotes,$L395)="",""," — "&amp;INDEX(SCNotes,$L395))),IF($M395&lt;&gt;"",IF(INDEX(LdgNoteB,$M395)="","—",INDEX(LdgNoteB,$M395)),""))</f>
        <v/>
      </c>
      <c r="F395" s="20">
        <f>IF($L395&lt;&gt;"",IF(INDEX(SCNet,$L395)=0,"",INDEX(SCNet,$L395)),"")</f>
        <v/>
      </c>
      <c r="G395" s="21">
        <f>IF($L395&lt;&gt;"",IF(INDEX(SCOp,$L395)="مرجوعی فروش","",IF(INDEX(SCAmount,$L395)&lt;=0,"",INDEX(SCAmount,$L395))),IF($M395&lt;&gt;"",IF(INDEX(LdgWitB,$M395)=0,"",INDEX(LdgWitB,$M395)),""))</f>
        <v/>
      </c>
      <c r="H395" s="21">
        <f>IF($L395&lt;&gt;"",IF(INDEX(SCOp,$L395)="مرجوعی فروش",IF(INDEX(SCAmount,$L395)=0,"",-INDEX(SCAmount,$L395)),""),IF($M395&lt;&gt;"",IF(INDEX(LdgDepB,$M395)=0,"",INDEX(LdgDepB,$M395)),""))</f>
        <v/>
      </c>
      <c r="I395" s="22">
        <f>IF($B395="","",IF($I394="",$C$10,$I394)+IF($G395="",0,$G395)-IF($H395="",0,$H395))</f>
        <v/>
      </c>
      <c r="L395">
        <f>IFERROR(MATCH($C$5&amp;"|"&amp;RIGHT("000000"&amp;379,6),LdgRankKeyA,0),"")</f>
        <v/>
      </c>
      <c r="M395">
        <f>IFERROR(MATCH($C$5&amp;"|"&amp;RIGHT("000000"&amp;379,6),LdgRankKeyB,0),"")</f>
        <v/>
      </c>
    </row>
    <row r="396">
      <c r="A396" s="23" t="n">
        <v>380</v>
      </c>
      <c r="B396" s="24">
        <f>IF(AND($L396="",$M396=""),"",IF($L396&lt;&gt;"",INDEX(SCNormDate,$L396),INDEX(LdgDateB,$M396)))</f>
        <v/>
      </c>
      <c r="C396" s="24">
        <f>IF($L396&lt;&gt;"",INDEX(SCOp,$L396),IF($M396&lt;&gt;"","پرداخت بانکی",""))</f>
        <v/>
      </c>
      <c r="D396" s="24">
        <f>IF($L396&lt;&gt;"",IF(INDEX(SCDoc,$L396)="","—",INDEX(SCDoc,$L396)),IF($M396&lt;&gt;"",INDEX(LdgBankB,$M396),""))</f>
        <v/>
      </c>
      <c r="E396" s="25">
        <f>IF($L396&lt;&gt;"",IF(INDEX(SCCitrus,$L396)&amp;INDEX(SCNotes,$L396)="","",IF(INDEX(SCCitrus,$L396)="","",INDEX(SCCitrus,$L396))&amp;IF(INDEX(SCNotes,$L396)="",""," — "&amp;INDEX(SCNotes,$L396))),IF($M396&lt;&gt;"",IF(INDEX(LdgNoteB,$M396)="","—",INDEX(LdgNoteB,$M396)),""))</f>
        <v/>
      </c>
      <c r="F396" s="26">
        <f>IF($L396&lt;&gt;"",IF(INDEX(SCNet,$L396)=0,"",INDEX(SCNet,$L396)),"")</f>
        <v/>
      </c>
      <c r="G396" s="27">
        <f>IF($L396&lt;&gt;"",IF(INDEX(SCOp,$L396)="مرجوعی فروش","",IF(INDEX(SCAmount,$L396)&lt;=0,"",INDEX(SCAmount,$L396))),IF($M396&lt;&gt;"",IF(INDEX(LdgWitB,$M396)=0,"",INDEX(LdgWitB,$M396)),""))</f>
        <v/>
      </c>
      <c r="H396" s="27">
        <f>IF($L396&lt;&gt;"",IF(INDEX(SCOp,$L396)="مرجوعی فروش",IF(INDEX(SCAmount,$L396)=0,"",-INDEX(SCAmount,$L396)),""),IF($M396&lt;&gt;"",IF(INDEX(LdgDepB,$M396)=0,"",INDEX(LdgDepB,$M396)),""))</f>
        <v/>
      </c>
      <c r="I396" s="28">
        <f>IF($B396="","",IF($I395="",$C$10,$I395)+IF($G396="",0,$G396)-IF($H396="",0,$H396))</f>
        <v/>
      </c>
      <c r="L396">
        <f>IFERROR(MATCH($C$5&amp;"|"&amp;RIGHT("000000"&amp;380,6),LdgRankKeyA,0),"")</f>
        <v/>
      </c>
      <c r="M396">
        <f>IFERROR(MATCH($C$5&amp;"|"&amp;RIGHT("000000"&amp;380,6),LdgRankKeyB,0),"")</f>
        <v/>
      </c>
    </row>
    <row r="397">
      <c r="A397" s="17" t="n">
        <v>381</v>
      </c>
      <c r="B397" s="18">
        <f>IF(AND($L397="",$M397=""),"",IF($L397&lt;&gt;"",INDEX(SCNormDate,$L397),INDEX(LdgDateB,$M397)))</f>
        <v/>
      </c>
      <c r="C397" s="18">
        <f>IF($L397&lt;&gt;"",INDEX(SCOp,$L397),IF($M397&lt;&gt;"","پرداخت بانکی",""))</f>
        <v/>
      </c>
      <c r="D397" s="18">
        <f>IF($L397&lt;&gt;"",IF(INDEX(SCDoc,$L397)="","—",INDEX(SCDoc,$L397)),IF($M397&lt;&gt;"",INDEX(LdgBankB,$M397),""))</f>
        <v/>
      </c>
      <c r="E397" s="19">
        <f>IF($L397&lt;&gt;"",IF(INDEX(SCCitrus,$L397)&amp;INDEX(SCNotes,$L397)="","",IF(INDEX(SCCitrus,$L397)="","",INDEX(SCCitrus,$L397))&amp;IF(INDEX(SCNotes,$L397)="",""," — "&amp;INDEX(SCNotes,$L397))),IF($M397&lt;&gt;"",IF(INDEX(LdgNoteB,$M397)="","—",INDEX(LdgNoteB,$M397)),""))</f>
        <v/>
      </c>
      <c r="F397" s="20">
        <f>IF($L397&lt;&gt;"",IF(INDEX(SCNet,$L397)=0,"",INDEX(SCNet,$L397)),"")</f>
        <v/>
      </c>
      <c r="G397" s="21">
        <f>IF($L397&lt;&gt;"",IF(INDEX(SCOp,$L397)="مرجوعی فروش","",IF(INDEX(SCAmount,$L397)&lt;=0,"",INDEX(SCAmount,$L397))),IF($M397&lt;&gt;"",IF(INDEX(LdgWitB,$M397)=0,"",INDEX(LdgWitB,$M397)),""))</f>
        <v/>
      </c>
      <c r="H397" s="21">
        <f>IF($L397&lt;&gt;"",IF(INDEX(SCOp,$L397)="مرجوعی فروش",IF(INDEX(SCAmount,$L397)=0,"",-INDEX(SCAmount,$L397)),""),IF($M397&lt;&gt;"",IF(INDEX(LdgDepB,$M397)=0,"",INDEX(LdgDepB,$M397)),""))</f>
        <v/>
      </c>
      <c r="I397" s="22">
        <f>IF($B397="","",IF($I396="",$C$10,$I396)+IF($G397="",0,$G397)-IF($H397="",0,$H397))</f>
        <v/>
      </c>
      <c r="L397">
        <f>IFERROR(MATCH($C$5&amp;"|"&amp;RIGHT("000000"&amp;381,6),LdgRankKeyA,0),"")</f>
        <v/>
      </c>
      <c r="M397">
        <f>IFERROR(MATCH($C$5&amp;"|"&amp;RIGHT("000000"&amp;381,6),LdgRankKeyB,0),"")</f>
        <v/>
      </c>
    </row>
    <row r="398">
      <c r="A398" s="23" t="n">
        <v>382</v>
      </c>
      <c r="B398" s="24">
        <f>IF(AND($L398="",$M398=""),"",IF($L398&lt;&gt;"",INDEX(SCNormDate,$L398),INDEX(LdgDateB,$M398)))</f>
        <v/>
      </c>
      <c r="C398" s="24">
        <f>IF($L398&lt;&gt;"",INDEX(SCOp,$L398),IF($M398&lt;&gt;"","پرداخت بانکی",""))</f>
        <v/>
      </c>
      <c r="D398" s="24">
        <f>IF($L398&lt;&gt;"",IF(INDEX(SCDoc,$L398)="","—",INDEX(SCDoc,$L398)),IF($M398&lt;&gt;"",INDEX(LdgBankB,$M398),""))</f>
        <v/>
      </c>
      <c r="E398" s="25">
        <f>IF($L398&lt;&gt;"",IF(INDEX(SCCitrus,$L398)&amp;INDEX(SCNotes,$L398)="","",IF(INDEX(SCCitrus,$L398)="","",INDEX(SCCitrus,$L398))&amp;IF(INDEX(SCNotes,$L398)="",""," — "&amp;INDEX(SCNotes,$L398))),IF($M398&lt;&gt;"",IF(INDEX(LdgNoteB,$M398)="","—",INDEX(LdgNoteB,$M398)),""))</f>
        <v/>
      </c>
      <c r="F398" s="26">
        <f>IF($L398&lt;&gt;"",IF(INDEX(SCNet,$L398)=0,"",INDEX(SCNet,$L398)),"")</f>
        <v/>
      </c>
      <c r="G398" s="27">
        <f>IF($L398&lt;&gt;"",IF(INDEX(SCOp,$L398)="مرجوعی فروش","",IF(INDEX(SCAmount,$L398)&lt;=0,"",INDEX(SCAmount,$L398))),IF($M398&lt;&gt;"",IF(INDEX(LdgWitB,$M398)=0,"",INDEX(LdgWitB,$M398)),""))</f>
        <v/>
      </c>
      <c r="H398" s="27">
        <f>IF($L398&lt;&gt;"",IF(INDEX(SCOp,$L398)="مرجوعی فروش",IF(INDEX(SCAmount,$L398)=0,"",-INDEX(SCAmount,$L398)),""),IF($M398&lt;&gt;"",IF(INDEX(LdgDepB,$M398)=0,"",INDEX(LdgDepB,$M398)),""))</f>
        <v/>
      </c>
      <c r="I398" s="28">
        <f>IF($B398="","",IF($I397="",$C$10,$I397)+IF($G398="",0,$G398)-IF($H398="",0,$H398))</f>
        <v/>
      </c>
      <c r="L398">
        <f>IFERROR(MATCH($C$5&amp;"|"&amp;RIGHT("000000"&amp;382,6),LdgRankKeyA,0),"")</f>
        <v/>
      </c>
      <c r="M398">
        <f>IFERROR(MATCH($C$5&amp;"|"&amp;RIGHT("000000"&amp;382,6),LdgRankKeyB,0),"")</f>
        <v/>
      </c>
    </row>
    <row r="399">
      <c r="A399" s="17" t="n">
        <v>383</v>
      </c>
      <c r="B399" s="18">
        <f>IF(AND($L399="",$M399=""),"",IF($L399&lt;&gt;"",INDEX(SCNormDate,$L399),INDEX(LdgDateB,$M399)))</f>
        <v/>
      </c>
      <c r="C399" s="18">
        <f>IF($L399&lt;&gt;"",INDEX(SCOp,$L399),IF($M399&lt;&gt;"","پرداخت بانکی",""))</f>
        <v/>
      </c>
      <c r="D399" s="18">
        <f>IF($L399&lt;&gt;"",IF(INDEX(SCDoc,$L399)="","—",INDEX(SCDoc,$L399)),IF($M399&lt;&gt;"",INDEX(LdgBankB,$M399),""))</f>
        <v/>
      </c>
      <c r="E399" s="19">
        <f>IF($L399&lt;&gt;"",IF(INDEX(SCCitrus,$L399)&amp;INDEX(SCNotes,$L399)="","",IF(INDEX(SCCitrus,$L399)="","",INDEX(SCCitrus,$L399))&amp;IF(INDEX(SCNotes,$L399)="",""," — "&amp;INDEX(SCNotes,$L399))),IF($M399&lt;&gt;"",IF(INDEX(LdgNoteB,$M399)="","—",INDEX(LdgNoteB,$M399)),""))</f>
        <v/>
      </c>
      <c r="F399" s="20">
        <f>IF($L399&lt;&gt;"",IF(INDEX(SCNet,$L399)=0,"",INDEX(SCNet,$L399)),"")</f>
        <v/>
      </c>
      <c r="G399" s="21">
        <f>IF($L399&lt;&gt;"",IF(INDEX(SCOp,$L399)="مرجوعی فروش","",IF(INDEX(SCAmount,$L399)&lt;=0,"",INDEX(SCAmount,$L399))),IF($M399&lt;&gt;"",IF(INDEX(LdgWitB,$M399)=0,"",INDEX(LdgWitB,$M399)),""))</f>
        <v/>
      </c>
      <c r="H399" s="21">
        <f>IF($L399&lt;&gt;"",IF(INDEX(SCOp,$L399)="مرجوعی فروش",IF(INDEX(SCAmount,$L399)=0,"",-INDEX(SCAmount,$L399)),""),IF($M399&lt;&gt;"",IF(INDEX(LdgDepB,$M399)=0,"",INDEX(LdgDepB,$M399)),""))</f>
        <v/>
      </c>
      <c r="I399" s="22">
        <f>IF($B399="","",IF($I398="",$C$10,$I398)+IF($G399="",0,$G399)-IF($H399="",0,$H399))</f>
        <v/>
      </c>
      <c r="L399">
        <f>IFERROR(MATCH($C$5&amp;"|"&amp;RIGHT("000000"&amp;383,6),LdgRankKeyA,0),"")</f>
        <v/>
      </c>
      <c r="M399">
        <f>IFERROR(MATCH($C$5&amp;"|"&amp;RIGHT("000000"&amp;383,6),LdgRankKeyB,0),"")</f>
        <v/>
      </c>
    </row>
    <row r="400">
      <c r="A400" s="23" t="n">
        <v>384</v>
      </c>
      <c r="B400" s="24">
        <f>IF(AND($L400="",$M400=""),"",IF($L400&lt;&gt;"",INDEX(SCNormDate,$L400),INDEX(LdgDateB,$M400)))</f>
        <v/>
      </c>
      <c r="C400" s="24">
        <f>IF($L400&lt;&gt;"",INDEX(SCOp,$L400),IF($M400&lt;&gt;"","پرداخت بانکی",""))</f>
        <v/>
      </c>
      <c r="D400" s="24">
        <f>IF($L400&lt;&gt;"",IF(INDEX(SCDoc,$L400)="","—",INDEX(SCDoc,$L400)),IF($M400&lt;&gt;"",INDEX(LdgBankB,$M400),""))</f>
        <v/>
      </c>
      <c r="E400" s="25">
        <f>IF($L400&lt;&gt;"",IF(INDEX(SCCitrus,$L400)&amp;INDEX(SCNotes,$L400)="","",IF(INDEX(SCCitrus,$L400)="","",INDEX(SCCitrus,$L400))&amp;IF(INDEX(SCNotes,$L400)="",""," — "&amp;INDEX(SCNotes,$L400))),IF($M400&lt;&gt;"",IF(INDEX(LdgNoteB,$M400)="","—",INDEX(LdgNoteB,$M400)),""))</f>
        <v/>
      </c>
      <c r="F400" s="26">
        <f>IF($L400&lt;&gt;"",IF(INDEX(SCNet,$L400)=0,"",INDEX(SCNet,$L400)),"")</f>
        <v/>
      </c>
      <c r="G400" s="27">
        <f>IF($L400&lt;&gt;"",IF(INDEX(SCOp,$L400)="مرجوعی فروش","",IF(INDEX(SCAmount,$L400)&lt;=0,"",INDEX(SCAmount,$L400))),IF($M400&lt;&gt;"",IF(INDEX(LdgWitB,$M400)=0,"",INDEX(LdgWitB,$M400)),""))</f>
        <v/>
      </c>
      <c r="H400" s="27">
        <f>IF($L400&lt;&gt;"",IF(INDEX(SCOp,$L400)="مرجوعی فروش",IF(INDEX(SCAmount,$L400)=0,"",-INDEX(SCAmount,$L400)),""),IF($M400&lt;&gt;"",IF(INDEX(LdgDepB,$M400)=0,"",INDEX(LdgDepB,$M400)),""))</f>
        <v/>
      </c>
      <c r="I400" s="28">
        <f>IF($B400="","",IF($I399="",$C$10,$I399)+IF($G400="",0,$G400)-IF($H400="",0,$H400))</f>
        <v/>
      </c>
      <c r="L400">
        <f>IFERROR(MATCH($C$5&amp;"|"&amp;RIGHT("000000"&amp;384,6),LdgRankKeyA,0),"")</f>
        <v/>
      </c>
      <c r="M400">
        <f>IFERROR(MATCH($C$5&amp;"|"&amp;RIGHT("000000"&amp;384,6),LdgRankKeyB,0),"")</f>
        <v/>
      </c>
    </row>
    <row r="401">
      <c r="A401" s="17" t="n">
        <v>385</v>
      </c>
      <c r="B401" s="18">
        <f>IF(AND($L401="",$M401=""),"",IF($L401&lt;&gt;"",INDEX(SCNormDate,$L401),INDEX(LdgDateB,$M401)))</f>
        <v/>
      </c>
      <c r="C401" s="18">
        <f>IF($L401&lt;&gt;"",INDEX(SCOp,$L401),IF($M401&lt;&gt;"","پرداخت بانکی",""))</f>
        <v/>
      </c>
      <c r="D401" s="18">
        <f>IF($L401&lt;&gt;"",IF(INDEX(SCDoc,$L401)="","—",INDEX(SCDoc,$L401)),IF($M401&lt;&gt;"",INDEX(LdgBankB,$M401),""))</f>
        <v/>
      </c>
      <c r="E401" s="19">
        <f>IF($L401&lt;&gt;"",IF(INDEX(SCCitrus,$L401)&amp;INDEX(SCNotes,$L401)="","",IF(INDEX(SCCitrus,$L401)="","",INDEX(SCCitrus,$L401))&amp;IF(INDEX(SCNotes,$L401)="",""," — "&amp;INDEX(SCNotes,$L401))),IF($M401&lt;&gt;"",IF(INDEX(LdgNoteB,$M401)="","—",INDEX(LdgNoteB,$M401)),""))</f>
        <v/>
      </c>
      <c r="F401" s="20">
        <f>IF($L401&lt;&gt;"",IF(INDEX(SCNet,$L401)=0,"",INDEX(SCNet,$L401)),"")</f>
        <v/>
      </c>
      <c r="G401" s="21">
        <f>IF($L401&lt;&gt;"",IF(INDEX(SCOp,$L401)="مرجوعی فروش","",IF(INDEX(SCAmount,$L401)&lt;=0,"",INDEX(SCAmount,$L401))),IF($M401&lt;&gt;"",IF(INDEX(LdgWitB,$M401)=0,"",INDEX(LdgWitB,$M401)),""))</f>
        <v/>
      </c>
      <c r="H401" s="21">
        <f>IF($L401&lt;&gt;"",IF(INDEX(SCOp,$L401)="مرجوعی فروش",IF(INDEX(SCAmount,$L401)=0,"",-INDEX(SCAmount,$L401)),""),IF($M401&lt;&gt;"",IF(INDEX(LdgDepB,$M401)=0,"",INDEX(LdgDepB,$M401)),""))</f>
        <v/>
      </c>
      <c r="I401" s="22">
        <f>IF($B401="","",IF($I400="",$C$10,$I400)+IF($G401="",0,$G401)-IF($H401="",0,$H401))</f>
        <v/>
      </c>
      <c r="L401">
        <f>IFERROR(MATCH($C$5&amp;"|"&amp;RIGHT("000000"&amp;385,6),LdgRankKeyA,0),"")</f>
        <v/>
      </c>
      <c r="M401">
        <f>IFERROR(MATCH($C$5&amp;"|"&amp;RIGHT("000000"&amp;385,6),LdgRankKeyB,0),"")</f>
        <v/>
      </c>
    </row>
    <row r="402">
      <c r="A402" s="23" t="n">
        <v>386</v>
      </c>
      <c r="B402" s="24">
        <f>IF(AND($L402="",$M402=""),"",IF($L402&lt;&gt;"",INDEX(SCNormDate,$L402),INDEX(LdgDateB,$M402)))</f>
        <v/>
      </c>
      <c r="C402" s="24">
        <f>IF($L402&lt;&gt;"",INDEX(SCOp,$L402),IF($M402&lt;&gt;"","پرداخت بانکی",""))</f>
        <v/>
      </c>
      <c r="D402" s="24">
        <f>IF($L402&lt;&gt;"",IF(INDEX(SCDoc,$L402)="","—",INDEX(SCDoc,$L402)),IF($M402&lt;&gt;"",INDEX(LdgBankB,$M402),""))</f>
        <v/>
      </c>
      <c r="E402" s="25">
        <f>IF($L402&lt;&gt;"",IF(INDEX(SCCitrus,$L402)&amp;INDEX(SCNotes,$L402)="","",IF(INDEX(SCCitrus,$L402)="","",INDEX(SCCitrus,$L402))&amp;IF(INDEX(SCNotes,$L402)="",""," — "&amp;INDEX(SCNotes,$L402))),IF($M402&lt;&gt;"",IF(INDEX(LdgNoteB,$M402)="","—",INDEX(LdgNoteB,$M402)),""))</f>
        <v/>
      </c>
      <c r="F402" s="26">
        <f>IF($L402&lt;&gt;"",IF(INDEX(SCNet,$L402)=0,"",INDEX(SCNet,$L402)),"")</f>
        <v/>
      </c>
      <c r="G402" s="27">
        <f>IF($L402&lt;&gt;"",IF(INDEX(SCOp,$L402)="مرجوعی فروش","",IF(INDEX(SCAmount,$L402)&lt;=0,"",INDEX(SCAmount,$L402))),IF($M402&lt;&gt;"",IF(INDEX(LdgWitB,$M402)=0,"",INDEX(LdgWitB,$M402)),""))</f>
        <v/>
      </c>
      <c r="H402" s="27">
        <f>IF($L402&lt;&gt;"",IF(INDEX(SCOp,$L402)="مرجوعی فروش",IF(INDEX(SCAmount,$L402)=0,"",-INDEX(SCAmount,$L402)),""),IF($M402&lt;&gt;"",IF(INDEX(LdgDepB,$M402)=0,"",INDEX(LdgDepB,$M402)),""))</f>
        <v/>
      </c>
      <c r="I402" s="28">
        <f>IF($B402="","",IF($I401="",$C$10,$I401)+IF($G402="",0,$G402)-IF($H402="",0,$H402))</f>
        <v/>
      </c>
      <c r="L402">
        <f>IFERROR(MATCH($C$5&amp;"|"&amp;RIGHT("000000"&amp;386,6),LdgRankKeyA,0),"")</f>
        <v/>
      </c>
      <c r="M402">
        <f>IFERROR(MATCH($C$5&amp;"|"&amp;RIGHT("000000"&amp;386,6),LdgRankKeyB,0),"")</f>
        <v/>
      </c>
    </row>
    <row r="403">
      <c r="A403" s="17" t="n">
        <v>387</v>
      </c>
      <c r="B403" s="18">
        <f>IF(AND($L403="",$M403=""),"",IF($L403&lt;&gt;"",INDEX(SCNormDate,$L403),INDEX(LdgDateB,$M403)))</f>
        <v/>
      </c>
      <c r="C403" s="18">
        <f>IF($L403&lt;&gt;"",INDEX(SCOp,$L403),IF($M403&lt;&gt;"","پرداخت بانکی",""))</f>
        <v/>
      </c>
      <c r="D403" s="18">
        <f>IF($L403&lt;&gt;"",IF(INDEX(SCDoc,$L403)="","—",INDEX(SCDoc,$L403)),IF($M403&lt;&gt;"",INDEX(LdgBankB,$M403),""))</f>
        <v/>
      </c>
      <c r="E403" s="19">
        <f>IF($L403&lt;&gt;"",IF(INDEX(SCCitrus,$L403)&amp;INDEX(SCNotes,$L403)="","",IF(INDEX(SCCitrus,$L403)="","",INDEX(SCCitrus,$L403))&amp;IF(INDEX(SCNotes,$L403)="",""," — "&amp;INDEX(SCNotes,$L403))),IF($M403&lt;&gt;"",IF(INDEX(LdgNoteB,$M403)="","—",INDEX(LdgNoteB,$M403)),""))</f>
        <v/>
      </c>
      <c r="F403" s="20">
        <f>IF($L403&lt;&gt;"",IF(INDEX(SCNet,$L403)=0,"",INDEX(SCNet,$L403)),"")</f>
        <v/>
      </c>
      <c r="G403" s="21">
        <f>IF($L403&lt;&gt;"",IF(INDEX(SCOp,$L403)="مرجوعی فروش","",IF(INDEX(SCAmount,$L403)&lt;=0,"",INDEX(SCAmount,$L403))),IF($M403&lt;&gt;"",IF(INDEX(LdgWitB,$M403)=0,"",INDEX(LdgWitB,$M403)),""))</f>
        <v/>
      </c>
      <c r="H403" s="21">
        <f>IF($L403&lt;&gt;"",IF(INDEX(SCOp,$L403)="مرجوعی فروش",IF(INDEX(SCAmount,$L403)=0,"",-INDEX(SCAmount,$L403)),""),IF($M403&lt;&gt;"",IF(INDEX(LdgDepB,$M403)=0,"",INDEX(LdgDepB,$M403)),""))</f>
        <v/>
      </c>
      <c r="I403" s="22">
        <f>IF($B403="","",IF($I402="",$C$10,$I402)+IF($G403="",0,$G403)-IF($H403="",0,$H403))</f>
        <v/>
      </c>
      <c r="L403">
        <f>IFERROR(MATCH($C$5&amp;"|"&amp;RIGHT("000000"&amp;387,6),LdgRankKeyA,0),"")</f>
        <v/>
      </c>
      <c r="M403">
        <f>IFERROR(MATCH($C$5&amp;"|"&amp;RIGHT("000000"&amp;387,6),LdgRankKeyB,0),"")</f>
        <v/>
      </c>
    </row>
    <row r="404">
      <c r="A404" s="23" t="n">
        <v>388</v>
      </c>
      <c r="B404" s="24">
        <f>IF(AND($L404="",$M404=""),"",IF($L404&lt;&gt;"",INDEX(SCNormDate,$L404),INDEX(LdgDateB,$M404)))</f>
        <v/>
      </c>
      <c r="C404" s="24">
        <f>IF($L404&lt;&gt;"",INDEX(SCOp,$L404),IF($M404&lt;&gt;"","پرداخت بانکی",""))</f>
        <v/>
      </c>
      <c r="D404" s="24">
        <f>IF($L404&lt;&gt;"",IF(INDEX(SCDoc,$L404)="","—",INDEX(SCDoc,$L404)),IF($M404&lt;&gt;"",INDEX(LdgBankB,$M404),""))</f>
        <v/>
      </c>
      <c r="E404" s="25">
        <f>IF($L404&lt;&gt;"",IF(INDEX(SCCitrus,$L404)&amp;INDEX(SCNotes,$L404)="","",IF(INDEX(SCCitrus,$L404)="","",INDEX(SCCitrus,$L404))&amp;IF(INDEX(SCNotes,$L404)="",""," — "&amp;INDEX(SCNotes,$L404))),IF($M404&lt;&gt;"",IF(INDEX(LdgNoteB,$M404)="","—",INDEX(LdgNoteB,$M404)),""))</f>
        <v/>
      </c>
      <c r="F404" s="26">
        <f>IF($L404&lt;&gt;"",IF(INDEX(SCNet,$L404)=0,"",INDEX(SCNet,$L404)),"")</f>
        <v/>
      </c>
      <c r="G404" s="27">
        <f>IF($L404&lt;&gt;"",IF(INDEX(SCOp,$L404)="مرجوعی فروش","",IF(INDEX(SCAmount,$L404)&lt;=0,"",INDEX(SCAmount,$L404))),IF($M404&lt;&gt;"",IF(INDEX(LdgWitB,$M404)=0,"",INDEX(LdgWitB,$M404)),""))</f>
        <v/>
      </c>
      <c r="H404" s="27">
        <f>IF($L404&lt;&gt;"",IF(INDEX(SCOp,$L404)="مرجوعی فروش",IF(INDEX(SCAmount,$L404)=0,"",-INDEX(SCAmount,$L404)),""),IF($M404&lt;&gt;"",IF(INDEX(LdgDepB,$M404)=0,"",INDEX(LdgDepB,$M404)),""))</f>
        <v/>
      </c>
      <c r="I404" s="28">
        <f>IF($B404="","",IF($I403="",$C$10,$I403)+IF($G404="",0,$G404)-IF($H404="",0,$H404))</f>
        <v/>
      </c>
      <c r="L404">
        <f>IFERROR(MATCH($C$5&amp;"|"&amp;RIGHT("000000"&amp;388,6),LdgRankKeyA,0),"")</f>
        <v/>
      </c>
      <c r="M404">
        <f>IFERROR(MATCH($C$5&amp;"|"&amp;RIGHT("000000"&amp;388,6),LdgRankKeyB,0),"")</f>
        <v/>
      </c>
    </row>
    <row r="405">
      <c r="A405" s="17" t="n">
        <v>389</v>
      </c>
      <c r="B405" s="18">
        <f>IF(AND($L405="",$M405=""),"",IF($L405&lt;&gt;"",INDEX(SCNormDate,$L405),INDEX(LdgDateB,$M405)))</f>
        <v/>
      </c>
      <c r="C405" s="18">
        <f>IF($L405&lt;&gt;"",INDEX(SCOp,$L405),IF($M405&lt;&gt;"","پرداخت بانکی",""))</f>
        <v/>
      </c>
      <c r="D405" s="18">
        <f>IF($L405&lt;&gt;"",IF(INDEX(SCDoc,$L405)="","—",INDEX(SCDoc,$L405)),IF($M405&lt;&gt;"",INDEX(LdgBankB,$M405),""))</f>
        <v/>
      </c>
      <c r="E405" s="19">
        <f>IF($L405&lt;&gt;"",IF(INDEX(SCCitrus,$L405)&amp;INDEX(SCNotes,$L405)="","",IF(INDEX(SCCitrus,$L405)="","",INDEX(SCCitrus,$L405))&amp;IF(INDEX(SCNotes,$L405)="",""," — "&amp;INDEX(SCNotes,$L405))),IF($M405&lt;&gt;"",IF(INDEX(LdgNoteB,$M405)="","—",INDEX(LdgNoteB,$M405)),""))</f>
        <v/>
      </c>
      <c r="F405" s="20">
        <f>IF($L405&lt;&gt;"",IF(INDEX(SCNet,$L405)=0,"",INDEX(SCNet,$L405)),"")</f>
        <v/>
      </c>
      <c r="G405" s="21">
        <f>IF($L405&lt;&gt;"",IF(INDEX(SCOp,$L405)="مرجوعی فروش","",IF(INDEX(SCAmount,$L405)&lt;=0,"",INDEX(SCAmount,$L405))),IF($M405&lt;&gt;"",IF(INDEX(LdgWitB,$M405)=0,"",INDEX(LdgWitB,$M405)),""))</f>
        <v/>
      </c>
      <c r="H405" s="21">
        <f>IF($L405&lt;&gt;"",IF(INDEX(SCOp,$L405)="مرجوعی فروش",IF(INDEX(SCAmount,$L405)=0,"",-INDEX(SCAmount,$L405)),""),IF($M405&lt;&gt;"",IF(INDEX(LdgDepB,$M405)=0,"",INDEX(LdgDepB,$M405)),""))</f>
        <v/>
      </c>
      <c r="I405" s="22">
        <f>IF($B405="","",IF($I404="",$C$10,$I404)+IF($G405="",0,$G405)-IF($H405="",0,$H405))</f>
        <v/>
      </c>
      <c r="L405">
        <f>IFERROR(MATCH($C$5&amp;"|"&amp;RIGHT("000000"&amp;389,6),LdgRankKeyA,0),"")</f>
        <v/>
      </c>
      <c r="M405">
        <f>IFERROR(MATCH($C$5&amp;"|"&amp;RIGHT("000000"&amp;389,6),LdgRankKeyB,0),"")</f>
        <v/>
      </c>
    </row>
    <row r="406">
      <c r="A406" s="23" t="n">
        <v>390</v>
      </c>
      <c r="B406" s="24">
        <f>IF(AND($L406="",$M406=""),"",IF($L406&lt;&gt;"",INDEX(SCNormDate,$L406),INDEX(LdgDateB,$M406)))</f>
        <v/>
      </c>
      <c r="C406" s="24">
        <f>IF($L406&lt;&gt;"",INDEX(SCOp,$L406),IF($M406&lt;&gt;"","پرداخت بانکی",""))</f>
        <v/>
      </c>
      <c r="D406" s="24">
        <f>IF($L406&lt;&gt;"",IF(INDEX(SCDoc,$L406)="","—",INDEX(SCDoc,$L406)),IF($M406&lt;&gt;"",INDEX(LdgBankB,$M406),""))</f>
        <v/>
      </c>
      <c r="E406" s="25">
        <f>IF($L406&lt;&gt;"",IF(INDEX(SCCitrus,$L406)&amp;INDEX(SCNotes,$L406)="","",IF(INDEX(SCCitrus,$L406)="","",INDEX(SCCitrus,$L406))&amp;IF(INDEX(SCNotes,$L406)="",""," — "&amp;INDEX(SCNotes,$L406))),IF($M406&lt;&gt;"",IF(INDEX(LdgNoteB,$M406)="","—",INDEX(LdgNoteB,$M406)),""))</f>
        <v/>
      </c>
      <c r="F406" s="26">
        <f>IF($L406&lt;&gt;"",IF(INDEX(SCNet,$L406)=0,"",INDEX(SCNet,$L406)),"")</f>
        <v/>
      </c>
      <c r="G406" s="27">
        <f>IF($L406&lt;&gt;"",IF(INDEX(SCOp,$L406)="مرجوعی فروش","",IF(INDEX(SCAmount,$L406)&lt;=0,"",INDEX(SCAmount,$L406))),IF($M406&lt;&gt;"",IF(INDEX(LdgWitB,$M406)=0,"",INDEX(LdgWitB,$M406)),""))</f>
        <v/>
      </c>
      <c r="H406" s="27">
        <f>IF($L406&lt;&gt;"",IF(INDEX(SCOp,$L406)="مرجوعی فروش",IF(INDEX(SCAmount,$L406)=0,"",-INDEX(SCAmount,$L406)),""),IF($M406&lt;&gt;"",IF(INDEX(LdgDepB,$M406)=0,"",INDEX(LdgDepB,$M406)),""))</f>
        <v/>
      </c>
      <c r="I406" s="28">
        <f>IF($B406="","",IF($I405="",$C$10,$I405)+IF($G406="",0,$G406)-IF($H406="",0,$H406))</f>
        <v/>
      </c>
      <c r="L406">
        <f>IFERROR(MATCH($C$5&amp;"|"&amp;RIGHT("000000"&amp;390,6),LdgRankKeyA,0),"")</f>
        <v/>
      </c>
      <c r="M406">
        <f>IFERROR(MATCH($C$5&amp;"|"&amp;RIGHT("000000"&amp;390,6),LdgRankKeyB,0),"")</f>
        <v/>
      </c>
    </row>
    <row r="407">
      <c r="A407" s="17" t="n">
        <v>391</v>
      </c>
      <c r="B407" s="18">
        <f>IF(AND($L407="",$M407=""),"",IF($L407&lt;&gt;"",INDEX(SCNormDate,$L407),INDEX(LdgDateB,$M407)))</f>
        <v/>
      </c>
      <c r="C407" s="18">
        <f>IF($L407&lt;&gt;"",INDEX(SCOp,$L407),IF($M407&lt;&gt;"","پرداخت بانکی",""))</f>
        <v/>
      </c>
      <c r="D407" s="18">
        <f>IF($L407&lt;&gt;"",IF(INDEX(SCDoc,$L407)="","—",INDEX(SCDoc,$L407)),IF($M407&lt;&gt;"",INDEX(LdgBankB,$M407),""))</f>
        <v/>
      </c>
      <c r="E407" s="19">
        <f>IF($L407&lt;&gt;"",IF(INDEX(SCCitrus,$L407)&amp;INDEX(SCNotes,$L407)="","",IF(INDEX(SCCitrus,$L407)="","",INDEX(SCCitrus,$L407))&amp;IF(INDEX(SCNotes,$L407)="",""," — "&amp;INDEX(SCNotes,$L407))),IF($M407&lt;&gt;"",IF(INDEX(LdgNoteB,$M407)="","—",INDEX(LdgNoteB,$M407)),""))</f>
        <v/>
      </c>
      <c r="F407" s="20">
        <f>IF($L407&lt;&gt;"",IF(INDEX(SCNet,$L407)=0,"",INDEX(SCNet,$L407)),"")</f>
        <v/>
      </c>
      <c r="G407" s="21">
        <f>IF($L407&lt;&gt;"",IF(INDEX(SCOp,$L407)="مرجوعی فروش","",IF(INDEX(SCAmount,$L407)&lt;=0,"",INDEX(SCAmount,$L407))),IF($M407&lt;&gt;"",IF(INDEX(LdgWitB,$M407)=0,"",INDEX(LdgWitB,$M407)),""))</f>
        <v/>
      </c>
      <c r="H407" s="21">
        <f>IF($L407&lt;&gt;"",IF(INDEX(SCOp,$L407)="مرجوعی فروش",IF(INDEX(SCAmount,$L407)=0,"",-INDEX(SCAmount,$L407)),""),IF($M407&lt;&gt;"",IF(INDEX(LdgDepB,$M407)=0,"",INDEX(LdgDepB,$M407)),""))</f>
        <v/>
      </c>
      <c r="I407" s="22">
        <f>IF($B407="","",IF($I406="",$C$10,$I406)+IF($G407="",0,$G407)-IF($H407="",0,$H407))</f>
        <v/>
      </c>
      <c r="L407">
        <f>IFERROR(MATCH($C$5&amp;"|"&amp;RIGHT("000000"&amp;391,6),LdgRankKeyA,0),"")</f>
        <v/>
      </c>
      <c r="M407">
        <f>IFERROR(MATCH($C$5&amp;"|"&amp;RIGHT("000000"&amp;391,6),LdgRankKeyB,0),"")</f>
        <v/>
      </c>
    </row>
    <row r="408">
      <c r="A408" s="23" t="n">
        <v>392</v>
      </c>
      <c r="B408" s="24">
        <f>IF(AND($L408="",$M408=""),"",IF($L408&lt;&gt;"",INDEX(SCNormDate,$L408),INDEX(LdgDateB,$M408)))</f>
        <v/>
      </c>
      <c r="C408" s="24">
        <f>IF($L408&lt;&gt;"",INDEX(SCOp,$L408),IF($M408&lt;&gt;"","پرداخت بانکی",""))</f>
        <v/>
      </c>
      <c r="D408" s="24">
        <f>IF($L408&lt;&gt;"",IF(INDEX(SCDoc,$L408)="","—",INDEX(SCDoc,$L408)),IF($M408&lt;&gt;"",INDEX(LdgBankB,$M408),""))</f>
        <v/>
      </c>
      <c r="E408" s="25">
        <f>IF($L408&lt;&gt;"",IF(INDEX(SCCitrus,$L408)&amp;INDEX(SCNotes,$L408)="","",IF(INDEX(SCCitrus,$L408)="","",INDEX(SCCitrus,$L408))&amp;IF(INDEX(SCNotes,$L408)="",""," — "&amp;INDEX(SCNotes,$L408))),IF($M408&lt;&gt;"",IF(INDEX(LdgNoteB,$M408)="","—",INDEX(LdgNoteB,$M408)),""))</f>
        <v/>
      </c>
      <c r="F408" s="26">
        <f>IF($L408&lt;&gt;"",IF(INDEX(SCNet,$L408)=0,"",INDEX(SCNet,$L408)),"")</f>
        <v/>
      </c>
      <c r="G408" s="27">
        <f>IF($L408&lt;&gt;"",IF(INDEX(SCOp,$L408)="مرجوعی فروش","",IF(INDEX(SCAmount,$L408)&lt;=0,"",INDEX(SCAmount,$L408))),IF($M408&lt;&gt;"",IF(INDEX(LdgWitB,$M408)=0,"",INDEX(LdgWitB,$M408)),""))</f>
        <v/>
      </c>
      <c r="H408" s="27">
        <f>IF($L408&lt;&gt;"",IF(INDEX(SCOp,$L408)="مرجوعی فروش",IF(INDEX(SCAmount,$L408)=0,"",-INDEX(SCAmount,$L408)),""),IF($M408&lt;&gt;"",IF(INDEX(LdgDepB,$M408)=0,"",INDEX(LdgDepB,$M408)),""))</f>
        <v/>
      </c>
      <c r="I408" s="28">
        <f>IF($B408="","",IF($I407="",$C$10,$I407)+IF($G408="",0,$G408)-IF($H408="",0,$H408))</f>
        <v/>
      </c>
      <c r="L408">
        <f>IFERROR(MATCH($C$5&amp;"|"&amp;RIGHT("000000"&amp;392,6),LdgRankKeyA,0),"")</f>
        <v/>
      </c>
      <c r="M408">
        <f>IFERROR(MATCH($C$5&amp;"|"&amp;RIGHT("000000"&amp;392,6),LdgRankKeyB,0),"")</f>
        <v/>
      </c>
    </row>
    <row r="409">
      <c r="A409" s="17" t="n">
        <v>393</v>
      </c>
      <c r="B409" s="18">
        <f>IF(AND($L409="",$M409=""),"",IF($L409&lt;&gt;"",INDEX(SCNormDate,$L409),INDEX(LdgDateB,$M409)))</f>
        <v/>
      </c>
      <c r="C409" s="18">
        <f>IF($L409&lt;&gt;"",INDEX(SCOp,$L409),IF($M409&lt;&gt;"","پرداخت بانکی",""))</f>
        <v/>
      </c>
      <c r="D409" s="18">
        <f>IF($L409&lt;&gt;"",IF(INDEX(SCDoc,$L409)="","—",INDEX(SCDoc,$L409)),IF($M409&lt;&gt;"",INDEX(LdgBankB,$M409),""))</f>
        <v/>
      </c>
      <c r="E409" s="19">
        <f>IF($L409&lt;&gt;"",IF(INDEX(SCCitrus,$L409)&amp;INDEX(SCNotes,$L409)="","",IF(INDEX(SCCitrus,$L409)="","",INDEX(SCCitrus,$L409))&amp;IF(INDEX(SCNotes,$L409)="",""," — "&amp;INDEX(SCNotes,$L409))),IF($M409&lt;&gt;"",IF(INDEX(LdgNoteB,$M409)="","—",INDEX(LdgNoteB,$M409)),""))</f>
        <v/>
      </c>
      <c r="F409" s="20">
        <f>IF($L409&lt;&gt;"",IF(INDEX(SCNet,$L409)=0,"",INDEX(SCNet,$L409)),"")</f>
        <v/>
      </c>
      <c r="G409" s="21">
        <f>IF($L409&lt;&gt;"",IF(INDEX(SCOp,$L409)="مرجوعی فروش","",IF(INDEX(SCAmount,$L409)&lt;=0,"",INDEX(SCAmount,$L409))),IF($M409&lt;&gt;"",IF(INDEX(LdgWitB,$M409)=0,"",INDEX(LdgWitB,$M409)),""))</f>
        <v/>
      </c>
      <c r="H409" s="21">
        <f>IF($L409&lt;&gt;"",IF(INDEX(SCOp,$L409)="مرجوعی فروش",IF(INDEX(SCAmount,$L409)=0,"",-INDEX(SCAmount,$L409)),""),IF($M409&lt;&gt;"",IF(INDEX(LdgDepB,$M409)=0,"",INDEX(LdgDepB,$M409)),""))</f>
        <v/>
      </c>
      <c r="I409" s="22">
        <f>IF($B409="","",IF($I408="",$C$10,$I408)+IF($G409="",0,$G409)-IF($H409="",0,$H409))</f>
        <v/>
      </c>
      <c r="L409">
        <f>IFERROR(MATCH($C$5&amp;"|"&amp;RIGHT("000000"&amp;393,6),LdgRankKeyA,0),"")</f>
        <v/>
      </c>
      <c r="M409">
        <f>IFERROR(MATCH($C$5&amp;"|"&amp;RIGHT("000000"&amp;393,6),LdgRankKeyB,0),"")</f>
        <v/>
      </c>
    </row>
    <row r="410">
      <c r="A410" s="23" t="n">
        <v>394</v>
      </c>
      <c r="B410" s="24">
        <f>IF(AND($L410="",$M410=""),"",IF($L410&lt;&gt;"",INDEX(SCNormDate,$L410),INDEX(LdgDateB,$M410)))</f>
        <v/>
      </c>
      <c r="C410" s="24">
        <f>IF($L410&lt;&gt;"",INDEX(SCOp,$L410),IF($M410&lt;&gt;"","پرداخت بانکی",""))</f>
        <v/>
      </c>
      <c r="D410" s="24">
        <f>IF($L410&lt;&gt;"",IF(INDEX(SCDoc,$L410)="","—",INDEX(SCDoc,$L410)),IF($M410&lt;&gt;"",INDEX(LdgBankB,$M410),""))</f>
        <v/>
      </c>
      <c r="E410" s="25">
        <f>IF($L410&lt;&gt;"",IF(INDEX(SCCitrus,$L410)&amp;INDEX(SCNotes,$L410)="","",IF(INDEX(SCCitrus,$L410)="","",INDEX(SCCitrus,$L410))&amp;IF(INDEX(SCNotes,$L410)="",""," — "&amp;INDEX(SCNotes,$L410))),IF($M410&lt;&gt;"",IF(INDEX(LdgNoteB,$M410)="","—",INDEX(LdgNoteB,$M410)),""))</f>
        <v/>
      </c>
      <c r="F410" s="26">
        <f>IF($L410&lt;&gt;"",IF(INDEX(SCNet,$L410)=0,"",INDEX(SCNet,$L410)),"")</f>
        <v/>
      </c>
      <c r="G410" s="27">
        <f>IF($L410&lt;&gt;"",IF(INDEX(SCOp,$L410)="مرجوعی فروش","",IF(INDEX(SCAmount,$L410)&lt;=0,"",INDEX(SCAmount,$L410))),IF($M410&lt;&gt;"",IF(INDEX(LdgWitB,$M410)=0,"",INDEX(LdgWitB,$M410)),""))</f>
        <v/>
      </c>
      <c r="H410" s="27">
        <f>IF($L410&lt;&gt;"",IF(INDEX(SCOp,$L410)="مرجوعی فروش",IF(INDEX(SCAmount,$L410)=0,"",-INDEX(SCAmount,$L410)),""),IF($M410&lt;&gt;"",IF(INDEX(LdgDepB,$M410)=0,"",INDEX(LdgDepB,$M410)),""))</f>
        <v/>
      </c>
      <c r="I410" s="28">
        <f>IF($B410="","",IF($I409="",$C$10,$I409)+IF($G410="",0,$G410)-IF($H410="",0,$H410))</f>
        <v/>
      </c>
      <c r="L410">
        <f>IFERROR(MATCH($C$5&amp;"|"&amp;RIGHT("000000"&amp;394,6),LdgRankKeyA,0),"")</f>
        <v/>
      </c>
      <c r="M410">
        <f>IFERROR(MATCH($C$5&amp;"|"&amp;RIGHT("000000"&amp;394,6),LdgRankKeyB,0),"")</f>
        <v/>
      </c>
    </row>
    <row r="411">
      <c r="A411" s="17" t="n">
        <v>395</v>
      </c>
      <c r="B411" s="18">
        <f>IF(AND($L411="",$M411=""),"",IF($L411&lt;&gt;"",INDEX(SCNormDate,$L411),INDEX(LdgDateB,$M411)))</f>
        <v/>
      </c>
      <c r="C411" s="18">
        <f>IF($L411&lt;&gt;"",INDEX(SCOp,$L411),IF($M411&lt;&gt;"","پرداخت بانکی",""))</f>
        <v/>
      </c>
      <c r="D411" s="18">
        <f>IF($L411&lt;&gt;"",IF(INDEX(SCDoc,$L411)="","—",INDEX(SCDoc,$L411)),IF($M411&lt;&gt;"",INDEX(LdgBankB,$M411),""))</f>
        <v/>
      </c>
      <c r="E411" s="19">
        <f>IF($L411&lt;&gt;"",IF(INDEX(SCCitrus,$L411)&amp;INDEX(SCNotes,$L411)="","",IF(INDEX(SCCitrus,$L411)="","",INDEX(SCCitrus,$L411))&amp;IF(INDEX(SCNotes,$L411)="",""," — "&amp;INDEX(SCNotes,$L411))),IF($M411&lt;&gt;"",IF(INDEX(LdgNoteB,$M411)="","—",INDEX(LdgNoteB,$M411)),""))</f>
        <v/>
      </c>
      <c r="F411" s="20">
        <f>IF($L411&lt;&gt;"",IF(INDEX(SCNet,$L411)=0,"",INDEX(SCNet,$L411)),"")</f>
        <v/>
      </c>
      <c r="G411" s="21">
        <f>IF($L411&lt;&gt;"",IF(INDEX(SCOp,$L411)="مرجوعی فروش","",IF(INDEX(SCAmount,$L411)&lt;=0,"",INDEX(SCAmount,$L411))),IF($M411&lt;&gt;"",IF(INDEX(LdgWitB,$M411)=0,"",INDEX(LdgWitB,$M411)),""))</f>
        <v/>
      </c>
      <c r="H411" s="21">
        <f>IF($L411&lt;&gt;"",IF(INDEX(SCOp,$L411)="مرجوعی فروش",IF(INDEX(SCAmount,$L411)=0,"",-INDEX(SCAmount,$L411)),""),IF($M411&lt;&gt;"",IF(INDEX(LdgDepB,$M411)=0,"",INDEX(LdgDepB,$M411)),""))</f>
        <v/>
      </c>
      <c r="I411" s="22">
        <f>IF($B411="","",IF($I410="",$C$10,$I410)+IF($G411="",0,$G411)-IF($H411="",0,$H411))</f>
        <v/>
      </c>
      <c r="L411">
        <f>IFERROR(MATCH($C$5&amp;"|"&amp;RIGHT("000000"&amp;395,6),LdgRankKeyA,0),"")</f>
        <v/>
      </c>
      <c r="M411">
        <f>IFERROR(MATCH($C$5&amp;"|"&amp;RIGHT("000000"&amp;395,6),LdgRankKeyB,0),"")</f>
        <v/>
      </c>
    </row>
    <row r="412">
      <c r="A412" s="23" t="n">
        <v>396</v>
      </c>
      <c r="B412" s="24">
        <f>IF(AND($L412="",$M412=""),"",IF($L412&lt;&gt;"",INDEX(SCNormDate,$L412),INDEX(LdgDateB,$M412)))</f>
        <v/>
      </c>
      <c r="C412" s="24">
        <f>IF($L412&lt;&gt;"",INDEX(SCOp,$L412),IF($M412&lt;&gt;"","پرداخت بانکی",""))</f>
        <v/>
      </c>
      <c r="D412" s="24">
        <f>IF($L412&lt;&gt;"",IF(INDEX(SCDoc,$L412)="","—",INDEX(SCDoc,$L412)),IF($M412&lt;&gt;"",INDEX(LdgBankB,$M412),""))</f>
        <v/>
      </c>
      <c r="E412" s="25">
        <f>IF($L412&lt;&gt;"",IF(INDEX(SCCitrus,$L412)&amp;INDEX(SCNotes,$L412)="","",IF(INDEX(SCCitrus,$L412)="","",INDEX(SCCitrus,$L412))&amp;IF(INDEX(SCNotes,$L412)="",""," — "&amp;INDEX(SCNotes,$L412))),IF($M412&lt;&gt;"",IF(INDEX(LdgNoteB,$M412)="","—",INDEX(LdgNoteB,$M412)),""))</f>
        <v/>
      </c>
      <c r="F412" s="26">
        <f>IF($L412&lt;&gt;"",IF(INDEX(SCNet,$L412)=0,"",INDEX(SCNet,$L412)),"")</f>
        <v/>
      </c>
      <c r="G412" s="27">
        <f>IF($L412&lt;&gt;"",IF(INDEX(SCOp,$L412)="مرجوعی فروش","",IF(INDEX(SCAmount,$L412)&lt;=0,"",INDEX(SCAmount,$L412))),IF($M412&lt;&gt;"",IF(INDEX(LdgWitB,$M412)=0,"",INDEX(LdgWitB,$M412)),""))</f>
        <v/>
      </c>
      <c r="H412" s="27">
        <f>IF($L412&lt;&gt;"",IF(INDEX(SCOp,$L412)="مرجوعی فروش",IF(INDEX(SCAmount,$L412)=0,"",-INDEX(SCAmount,$L412)),""),IF($M412&lt;&gt;"",IF(INDEX(LdgDepB,$M412)=0,"",INDEX(LdgDepB,$M412)),""))</f>
        <v/>
      </c>
      <c r="I412" s="28">
        <f>IF($B412="","",IF($I411="",$C$10,$I411)+IF($G412="",0,$G412)-IF($H412="",0,$H412))</f>
        <v/>
      </c>
      <c r="L412">
        <f>IFERROR(MATCH($C$5&amp;"|"&amp;RIGHT("000000"&amp;396,6),LdgRankKeyA,0),"")</f>
        <v/>
      </c>
      <c r="M412">
        <f>IFERROR(MATCH($C$5&amp;"|"&amp;RIGHT("000000"&amp;396,6),LdgRankKeyB,0),"")</f>
        <v/>
      </c>
    </row>
    <row r="413">
      <c r="A413" s="17" t="n">
        <v>397</v>
      </c>
      <c r="B413" s="18">
        <f>IF(AND($L413="",$M413=""),"",IF($L413&lt;&gt;"",INDEX(SCNormDate,$L413),INDEX(LdgDateB,$M413)))</f>
        <v/>
      </c>
      <c r="C413" s="18">
        <f>IF($L413&lt;&gt;"",INDEX(SCOp,$L413),IF($M413&lt;&gt;"","پرداخت بانکی",""))</f>
        <v/>
      </c>
      <c r="D413" s="18">
        <f>IF($L413&lt;&gt;"",IF(INDEX(SCDoc,$L413)="","—",INDEX(SCDoc,$L413)),IF($M413&lt;&gt;"",INDEX(LdgBankB,$M413),""))</f>
        <v/>
      </c>
      <c r="E413" s="19">
        <f>IF($L413&lt;&gt;"",IF(INDEX(SCCitrus,$L413)&amp;INDEX(SCNotes,$L413)="","",IF(INDEX(SCCitrus,$L413)="","",INDEX(SCCitrus,$L413))&amp;IF(INDEX(SCNotes,$L413)="",""," — "&amp;INDEX(SCNotes,$L413))),IF($M413&lt;&gt;"",IF(INDEX(LdgNoteB,$M413)="","—",INDEX(LdgNoteB,$M413)),""))</f>
        <v/>
      </c>
      <c r="F413" s="20">
        <f>IF($L413&lt;&gt;"",IF(INDEX(SCNet,$L413)=0,"",INDEX(SCNet,$L413)),"")</f>
        <v/>
      </c>
      <c r="G413" s="21">
        <f>IF($L413&lt;&gt;"",IF(INDEX(SCOp,$L413)="مرجوعی فروش","",IF(INDEX(SCAmount,$L413)&lt;=0,"",INDEX(SCAmount,$L413))),IF($M413&lt;&gt;"",IF(INDEX(LdgWitB,$M413)=0,"",INDEX(LdgWitB,$M413)),""))</f>
        <v/>
      </c>
      <c r="H413" s="21">
        <f>IF($L413&lt;&gt;"",IF(INDEX(SCOp,$L413)="مرجوعی فروش",IF(INDEX(SCAmount,$L413)=0,"",-INDEX(SCAmount,$L413)),""),IF($M413&lt;&gt;"",IF(INDEX(LdgDepB,$M413)=0,"",INDEX(LdgDepB,$M413)),""))</f>
        <v/>
      </c>
      <c r="I413" s="22">
        <f>IF($B413="","",IF($I412="",$C$10,$I412)+IF($G413="",0,$G413)-IF($H413="",0,$H413))</f>
        <v/>
      </c>
      <c r="L413">
        <f>IFERROR(MATCH($C$5&amp;"|"&amp;RIGHT("000000"&amp;397,6),LdgRankKeyA,0),"")</f>
        <v/>
      </c>
      <c r="M413">
        <f>IFERROR(MATCH($C$5&amp;"|"&amp;RIGHT("000000"&amp;397,6),LdgRankKeyB,0),"")</f>
        <v/>
      </c>
    </row>
    <row r="414">
      <c r="A414" s="23" t="n">
        <v>398</v>
      </c>
      <c r="B414" s="24">
        <f>IF(AND($L414="",$M414=""),"",IF($L414&lt;&gt;"",INDEX(SCNormDate,$L414),INDEX(LdgDateB,$M414)))</f>
        <v/>
      </c>
      <c r="C414" s="24">
        <f>IF($L414&lt;&gt;"",INDEX(SCOp,$L414),IF($M414&lt;&gt;"","پرداخت بانکی",""))</f>
        <v/>
      </c>
      <c r="D414" s="24">
        <f>IF($L414&lt;&gt;"",IF(INDEX(SCDoc,$L414)="","—",INDEX(SCDoc,$L414)),IF($M414&lt;&gt;"",INDEX(LdgBankB,$M414),""))</f>
        <v/>
      </c>
      <c r="E414" s="25">
        <f>IF($L414&lt;&gt;"",IF(INDEX(SCCitrus,$L414)&amp;INDEX(SCNotes,$L414)="","",IF(INDEX(SCCitrus,$L414)="","",INDEX(SCCitrus,$L414))&amp;IF(INDEX(SCNotes,$L414)="",""," — "&amp;INDEX(SCNotes,$L414))),IF($M414&lt;&gt;"",IF(INDEX(LdgNoteB,$M414)="","—",INDEX(LdgNoteB,$M414)),""))</f>
        <v/>
      </c>
      <c r="F414" s="26">
        <f>IF($L414&lt;&gt;"",IF(INDEX(SCNet,$L414)=0,"",INDEX(SCNet,$L414)),"")</f>
        <v/>
      </c>
      <c r="G414" s="27">
        <f>IF($L414&lt;&gt;"",IF(INDEX(SCOp,$L414)="مرجوعی فروش","",IF(INDEX(SCAmount,$L414)&lt;=0,"",INDEX(SCAmount,$L414))),IF($M414&lt;&gt;"",IF(INDEX(LdgWitB,$M414)=0,"",INDEX(LdgWitB,$M414)),""))</f>
        <v/>
      </c>
      <c r="H414" s="27">
        <f>IF($L414&lt;&gt;"",IF(INDEX(SCOp,$L414)="مرجوعی فروش",IF(INDEX(SCAmount,$L414)=0,"",-INDEX(SCAmount,$L414)),""),IF($M414&lt;&gt;"",IF(INDEX(LdgDepB,$M414)=0,"",INDEX(LdgDepB,$M414)),""))</f>
        <v/>
      </c>
      <c r="I414" s="28">
        <f>IF($B414="","",IF($I413="",$C$10,$I413)+IF($G414="",0,$G414)-IF($H414="",0,$H414))</f>
        <v/>
      </c>
      <c r="L414">
        <f>IFERROR(MATCH($C$5&amp;"|"&amp;RIGHT("000000"&amp;398,6),LdgRankKeyA,0),"")</f>
        <v/>
      </c>
      <c r="M414">
        <f>IFERROR(MATCH($C$5&amp;"|"&amp;RIGHT("000000"&amp;398,6),LdgRankKeyB,0),"")</f>
        <v/>
      </c>
    </row>
    <row r="415">
      <c r="A415" s="17" t="n">
        <v>399</v>
      </c>
      <c r="B415" s="18">
        <f>IF(AND($L415="",$M415=""),"",IF($L415&lt;&gt;"",INDEX(SCNormDate,$L415),INDEX(LdgDateB,$M415)))</f>
        <v/>
      </c>
      <c r="C415" s="18">
        <f>IF($L415&lt;&gt;"",INDEX(SCOp,$L415),IF($M415&lt;&gt;"","پرداخت بانکی",""))</f>
        <v/>
      </c>
      <c r="D415" s="18">
        <f>IF($L415&lt;&gt;"",IF(INDEX(SCDoc,$L415)="","—",INDEX(SCDoc,$L415)),IF($M415&lt;&gt;"",INDEX(LdgBankB,$M415),""))</f>
        <v/>
      </c>
      <c r="E415" s="19">
        <f>IF($L415&lt;&gt;"",IF(INDEX(SCCitrus,$L415)&amp;INDEX(SCNotes,$L415)="","",IF(INDEX(SCCitrus,$L415)="","",INDEX(SCCitrus,$L415))&amp;IF(INDEX(SCNotes,$L415)="",""," — "&amp;INDEX(SCNotes,$L415))),IF($M415&lt;&gt;"",IF(INDEX(LdgNoteB,$M415)="","—",INDEX(LdgNoteB,$M415)),""))</f>
        <v/>
      </c>
      <c r="F415" s="20">
        <f>IF($L415&lt;&gt;"",IF(INDEX(SCNet,$L415)=0,"",INDEX(SCNet,$L415)),"")</f>
        <v/>
      </c>
      <c r="G415" s="21">
        <f>IF($L415&lt;&gt;"",IF(INDEX(SCOp,$L415)="مرجوعی فروش","",IF(INDEX(SCAmount,$L415)&lt;=0,"",INDEX(SCAmount,$L415))),IF($M415&lt;&gt;"",IF(INDEX(LdgWitB,$M415)=0,"",INDEX(LdgWitB,$M415)),""))</f>
        <v/>
      </c>
      <c r="H415" s="21">
        <f>IF($L415&lt;&gt;"",IF(INDEX(SCOp,$L415)="مرجوعی فروش",IF(INDEX(SCAmount,$L415)=0,"",-INDEX(SCAmount,$L415)),""),IF($M415&lt;&gt;"",IF(INDEX(LdgDepB,$M415)=0,"",INDEX(LdgDepB,$M415)),""))</f>
        <v/>
      </c>
      <c r="I415" s="22">
        <f>IF($B415="","",IF($I414="",$C$10,$I414)+IF($G415="",0,$G415)-IF($H415="",0,$H415))</f>
        <v/>
      </c>
      <c r="L415">
        <f>IFERROR(MATCH($C$5&amp;"|"&amp;RIGHT("000000"&amp;399,6),LdgRankKeyA,0),"")</f>
        <v/>
      </c>
      <c r="M415">
        <f>IFERROR(MATCH($C$5&amp;"|"&amp;RIGHT("000000"&amp;399,6),LdgRankKeyB,0),"")</f>
        <v/>
      </c>
    </row>
    <row r="416">
      <c r="A416" s="23" t="n">
        <v>400</v>
      </c>
      <c r="B416" s="24">
        <f>IF(AND($L416="",$M416=""),"",IF($L416&lt;&gt;"",INDEX(SCNormDate,$L416),INDEX(LdgDateB,$M416)))</f>
        <v/>
      </c>
      <c r="C416" s="24">
        <f>IF($L416&lt;&gt;"",INDEX(SCOp,$L416),IF($M416&lt;&gt;"","پرداخت بانکی",""))</f>
        <v/>
      </c>
      <c r="D416" s="24">
        <f>IF($L416&lt;&gt;"",IF(INDEX(SCDoc,$L416)="","—",INDEX(SCDoc,$L416)),IF($M416&lt;&gt;"",INDEX(LdgBankB,$M416),""))</f>
        <v/>
      </c>
      <c r="E416" s="25">
        <f>IF($L416&lt;&gt;"",IF(INDEX(SCCitrus,$L416)&amp;INDEX(SCNotes,$L416)="","",IF(INDEX(SCCitrus,$L416)="","",INDEX(SCCitrus,$L416))&amp;IF(INDEX(SCNotes,$L416)="",""," — "&amp;INDEX(SCNotes,$L416))),IF($M416&lt;&gt;"",IF(INDEX(LdgNoteB,$M416)="","—",INDEX(LdgNoteB,$M416)),""))</f>
        <v/>
      </c>
      <c r="F416" s="26">
        <f>IF($L416&lt;&gt;"",IF(INDEX(SCNet,$L416)=0,"",INDEX(SCNet,$L416)),"")</f>
        <v/>
      </c>
      <c r="G416" s="27">
        <f>IF($L416&lt;&gt;"",IF(INDEX(SCOp,$L416)="مرجوعی فروش","",IF(INDEX(SCAmount,$L416)&lt;=0,"",INDEX(SCAmount,$L416))),IF($M416&lt;&gt;"",IF(INDEX(LdgWitB,$M416)=0,"",INDEX(LdgWitB,$M416)),""))</f>
        <v/>
      </c>
      <c r="H416" s="27">
        <f>IF($L416&lt;&gt;"",IF(INDEX(SCOp,$L416)="مرجوعی فروش",IF(INDEX(SCAmount,$L416)=0,"",-INDEX(SCAmount,$L416)),""),IF($M416&lt;&gt;"",IF(INDEX(LdgDepB,$M416)=0,"",INDEX(LdgDepB,$M416)),""))</f>
        <v/>
      </c>
      <c r="I416" s="28">
        <f>IF($B416="","",IF($I415="",$C$10,$I415)+IF($G416="",0,$G416)-IF($H416="",0,$H416))</f>
        <v/>
      </c>
      <c r="L416">
        <f>IFERROR(MATCH($C$5&amp;"|"&amp;RIGHT("000000"&amp;400,6),LdgRankKeyA,0),"")</f>
        <v/>
      </c>
      <c r="M416">
        <f>IFERROR(MATCH($C$5&amp;"|"&amp;RIGHT("000000"&amp;400,6),LdgRankKeyB,0),"")</f>
        <v/>
      </c>
    </row>
    <row r="417">
      <c r="A417" s="17" t="n">
        <v>401</v>
      </c>
      <c r="B417" s="18">
        <f>IF(AND($L417="",$M417=""),"",IF($L417&lt;&gt;"",INDEX(SCNormDate,$L417),INDEX(LdgDateB,$M417)))</f>
        <v/>
      </c>
      <c r="C417" s="18">
        <f>IF($L417&lt;&gt;"",INDEX(SCOp,$L417),IF($M417&lt;&gt;"","پرداخت بانکی",""))</f>
        <v/>
      </c>
      <c r="D417" s="18">
        <f>IF($L417&lt;&gt;"",IF(INDEX(SCDoc,$L417)="","—",INDEX(SCDoc,$L417)),IF($M417&lt;&gt;"",INDEX(LdgBankB,$M417),""))</f>
        <v/>
      </c>
      <c r="E417" s="19">
        <f>IF($L417&lt;&gt;"",IF(INDEX(SCCitrus,$L417)&amp;INDEX(SCNotes,$L417)="","",IF(INDEX(SCCitrus,$L417)="","",INDEX(SCCitrus,$L417))&amp;IF(INDEX(SCNotes,$L417)="",""," — "&amp;INDEX(SCNotes,$L417))),IF($M417&lt;&gt;"",IF(INDEX(LdgNoteB,$M417)="","—",INDEX(LdgNoteB,$M417)),""))</f>
        <v/>
      </c>
      <c r="F417" s="20">
        <f>IF($L417&lt;&gt;"",IF(INDEX(SCNet,$L417)=0,"",INDEX(SCNet,$L417)),"")</f>
        <v/>
      </c>
      <c r="G417" s="21">
        <f>IF($L417&lt;&gt;"",IF(INDEX(SCOp,$L417)="مرجوعی فروش","",IF(INDEX(SCAmount,$L417)&lt;=0,"",INDEX(SCAmount,$L417))),IF($M417&lt;&gt;"",IF(INDEX(LdgWitB,$M417)=0,"",INDEX(LdgWitB,$M417)),""))</f>
        <v/>
      </c>
      <c r="H417" s="21">
        <f>IF($L417&lt;&gt;"",IF(INDEX(SCOp,$L417)="مرجوعی فروش",IF(INDEX(SCAmount,$L417)=0,"",-INDEX(SCAmount,$L417)),""),IF($M417&lt;&gt;"",IF(INDEX(LdgDepB,$M417)=0,"",INDEX(LdgDepB,$M417)),""))</f>
        <v/>
      </c>
      <c r="I417" s="22">
        <f>IF($B417="","",IF($I416="",$C$10,$I416)+IF($G417="",0,$G417)-IF($H417="",0,$H417))</f>
        <v/>
      </c>
      <c r="L417">
        <f>IFERROR(MATCH($C$5&amp;"|"&amp;RIGHT("000000"&amp;401,6),LdgRankKeyA,0),"")</f>
        <v/>
      </c>
      <c r="M417">
        <f>IFERROR(MATCH($C$5&amp;"|"&amp;RIGHT("000000"&amp;401,6),LdgRankKeyB,0),"")</f>
        <v/>
      </c>
    </row>
    <row r="418">
      <c r="A418" s="23" t="n">
        <v>402</v>
      </c>
      <c r="B418" s="24">
        <f>IF(AND($L418="",$M418=""),"",IF($L418&lt;&gt;"",INDEX(SCNormDate,$L418),INDEX(LdgDateB,$M418)))</f>
        <v/>
      </c>
      <c r="C418" s="24">
        <f>IF($L418&lt;&gt;"",INDEX(SCOp,$L418),IF($M418&lt;&gt;"","پرداخت بانکی",""))</f>
        <v/>
      </c>
      <c r="D418" s="24">
        <f>IF($L418&lt;&gt;"",IF(INDEX(SCDoc,$L418)="","—",INDEX(SCDoc,$L418)),IF($M418&lt;&gt;"",INDEX(LdgBankB,$M418),""))</f>
        <v/>
      </c>
      <c r="E418" s="25">
        <f>IF($L418&lt;&gt;"",IF(INDEX(SCCitrus,$L418)&amp;INDEX(SCNotes,$L418)="","",IF(INDEX(SCCitrus,$L418)="","",INDEX(SCCitrus,$L418))&amp;IF(INDEX(SCNotes,$L418)="",""," — "&amp;INDEX(SCNotes,$L418))),IF($M418&lt;&gt;"",IF(INDEX(LdgNoteB,$M418)="","—",INDEX(LdgNoteB,$M418)),""))</f>
        <v/>
      </c>
      <c r="F418" s="26">
        <f>IF($L418&lt;&gt;"",IF(INDEX(SCNet,$L418)=0,"",INDEX(SCNet,$L418)),"")</f>
        <v/>
      </c>
      <c r="G418" s="27">
        <f>IF($L418&lt;&gt;"",IF(INDEX(SCOp,$L418)="مرجوعی فروش","",IF(INDEX(SCAmount,$L418)&lt;=0,"",INDEX(SCAmount,$L418))),IF($M418&lt;&gt;"",IF(INDEX(LdgWitB,$M418)=0,"",INDEX(LdgWitB,$M418)),""))</f>
        <v/>
      </c>
      <c r="H418" s="27">
        <f>IF($L418&lt;&gt;"",IF(INDEX(SCOp,$L418)="مرجوعی فروش",IF(INDEX(SCAmount,$L418)=0,"",-INDEX(SCAmount,$L418)),""),IF($M418&lt;&gt;"",IF(INDEX(LdgDepB,$M418)=0,"",INDEX(LdgDepB,$M418)),""))</f>
        <v/>
      </c>
      <c r="I418" s="28">
        <f>IF($B418="","",IF($I417="",$C$10,$I417)+IF($G418="",0,$G418)-IF($H418="",0,$H418))</f>
        <v/>
      </c>
      <c r="L418">
        <f>IFERROR(MATCH($C$5&amp;"|"&amp;RIGHT("000000"&amp;402,6),LdgRankKeyA,0),"")</f>
        <v/>
      </c>
      <c r="M418">
        <f>IFERROR(MATCH($C$5&amp;"|"&amp;RIGHT("000000"&amp;402,6),LdgRankKeyB,0),"")</f>
        <v/>
      </c>
    </row>
    <row r="419">
      <c r="A419" s="17" t="n">
        <v>403</v>
      </c>
      <c r="B419" s="18">
        <f>IF(AND($L419="",$M419=""),"",IF($L419&lt;&gt;"",INDEX(SCNormDate,$L419),INDEX(LdgDateB,$M419)))</f>
        <v/>
      </c>
      <c r="C419" s="18">
        <f>IF($L419&lt;&gt;"",INDEX(SCOp,$L419),IF($M419&lt;&gt;"","پرداخت بانکی",""))</f>
        <v/>
      </c>
      <c r="D419" s="18">
        <f>IF($L419&lt;&gt;"",IF(INDEX(SCDoc,$L419)="","—",INDEX(SCDoc,$L419)),IF($M419&lt;&gt;"",INDEX(LdgBankB,$M419),""))</f>
        <v/>
      </c>
      <c r="E419" s="19">
        <f>IF($L419&lt;&gt;"",IF(INDEX(SCCitrus,$L419)&amp;INDEX(SCNotes,$L419)="","",IF(INDEX(SCCitrus,$L419)="","",INDEX(SCCitrus,$L419))&amp;IF(INDEX(SCNotes,$L419)="",""," — "&amp;INDEX(SCNotes,$L419))),IF($M419&lt;&gt;"",IF(INDEX(LdgNoteB,$M419)="","—",INDEX(LdgNoteB,$M419)),""))</f>
        <v/>
      </c>
      <c r="F419" s="20">
        <f>IF($L419&lt;&gt;"",IF(INDEX(SCNet,$L419)=0,"",INDEX(SCNet,$L419)),"")</f>
        <v/>
      </c>
      <c r="G419" s="21">
        <f>IF($L419&lt;&gt;"",IF(INDEX(SCOp,$L419)="مرجوعی فروش","",IF(INDEX(SCAmount,$L419)&lt;=0,"",INDEX(SCAmount,$L419))),IF($M419&lt;&gt;"",IF(INDEX(LdgWitB,$M419)=0,"",INDEX(LdgWitB,$M419)),""))</f>
        <v/>
      </c>
      <c r="H419" s="21">
        <f>IF($L419&lt;&gt;"",IF(INDEX(SCOp,$L419)="مرجوعی فروش",IF(INDEX(SCAmount,$L419)=0,"",-INDEX(SCAmount,$L419)),""),IF($M419&lt;&gt;"",IF(INDEX(LdgDepB,$M419)=0,"",INDEX(LdgDepB,$M419)),""))</f>
        <v/>
      </c>
      <c r="I419" s="22">
        <f>IF($B419="","",IF($I418="",$C$10,$I418)+IF($G419="",0,$G419)-IF($H419="",0,$H419))</f>
        <v/>
      </c>
      <c r="L419">
        <f>IFERROR(MATCH($C$5&amp;"|"&amp;RIGHT("000000"&amp;403,6),LdgRankKeyA,0),"")</f>
        <v/>
      </c>
      <c r="M419">
        <f>IFERROR(MATCH($C$5&amp;"|"&amp;RIGHT("000000"&amp;403,6),LdgRankKeyB,0),"")</f>
        <v/>
      </c>
    </row>
    <row r="420">
      <c r="A420" s="23" t="n">
        <v>404</v>
      </c>
      <c r="B420" s="24">
        <f>IF(AND($L420="",$M420=""),"",IF($L420&lt;&gt;"",INDEX(SCNormDate,$L420),INDEX(LdgDateB,$M420)))</f>
        <v/>
      </c>
      <c r="C420" s="24">
        <f>IF($L420&lt;&gt;"",INDEX(SCOp,$L420),IF($M420&lt;&gt;"","پرداخت بانکی",""))</f>
        <v/>
      </c>
      <c r="D420" s="24">
        <f>IF($L420&lt;&gt;"",IF(INDEX(SCDoc,$L420)="","—",INDEX(SCDoc,$L420)),IF($M420&lt;&gt;"",INDEX(LdgBankB,$M420),""))</f>
        <v/>
      </c>
      <c r="E420" s="25">
        <f>IF($L420&lt;&gt;"",IF(INDEX(SCCitrus,$L420)&amp;INDEX(SCNotes,$L420)="","",IF(INDEX(SCCitrus,$L420)="","",INDEX(SCCitrus,$L420))&amp;IF(INDEX(SCNotes,$L420)="",""," — "&amp;INDEX(SCNotes,$L420))),IF($M420&lt;&gt;"",IF(INDEX(LdgNoteB,$M420)="","—",INDEX(LdgNoteB,$M420)),""))</f>
        <v/>
      </c>
      <c r="F420" s="26">
        <f>IF($L420&lt;&gt;"",IF(INDEX(SCNet,$L420)=0,"",INDEX(SCNet,$L420)),"")</f>
        <v/>
      </c>
      <c r="G420" s="27">
        <f>IF($L420&lt;&gt;"",IF(INDEX(SCOp,$L420)="مرجوعی فروش","",IF(INDEX(SCAmount,$L420)&lt;=0,"",INDEX(SCAmount,$L420))),IF($M420&lt;&gt;"",IF(INDEX(LdgWitB,$M420)=0,"",INDEX(LdgWitB,$M420)),""))</f>
        <v/>
      </c>
      <c r="H420" s="27">
        <f>IF($L420&lt;&gt;"",IF(INDEX(SCOp,$L420)="مرجوعی فروش",IF(INDEX(SCAmount,$L420)=0,"",-INDEX(SCAmount,$L420)),""),IF($M420&lt;&gt;"",IF(INDEX(LdgDepB,$M420)=0,"",INDEX(LdgDepB,$M420)),""))</f>
        <v/>
      </c>
      <c r="I420" s="28">
        <f>IF($B420="","",IF($I419="",$C$10,$I419)+IF($G420="",0,$G420)-IF($H420="",0,$H420))</f>
        <v/>
      </c>
      <c r="L420">
        <f>IFERROR(MATCH($C$5&amp;"|"&amp;RIGHT("000000"&amp;404,6),LdgRankKeyA,0),"")</f>
        <v/>
      </c>
      <c r="M420">
        <f>IFERROR(MATCH($C$5&amp;"|"&amp;RIGHT("000000"&amp;404,6),LdgRankKeyB,0),"")</f>
        <v/>
      </c>
    </row>
    <row r="421">
      <c r="A421" s="17" t="n">
        <v>405</v>
      </c>
      <c r="B421" s="18">
        <f>IF(AND($L421="",$M421=""),"",IF($L421&lt;&gt;"",INDEX(SCNormDate,$L421),INDEX(LdgDateB,$M421)))</f>
        <v/>
      </c>
      <c r="C421" s="18">
        <f>IF($L421&lt;&gt;"",INDEX(SCOp,$L421),IF($M421&lt;&gt;"","پرداخت بانکی",""))</f>
        <v/>
      </c>
      <c r="D421" s="18">
        <f>IF($L421&lt;&gt;"",IF(INDEX(SCDoc,$L421)="","—",INDEX(SCDoc,$L421)),IF($M421&lt;&gt;"",INDEX(LdgBankB,$M421),""))</f>
        <v/>
      </c>
      <c r="E421" s="19">
        <f>IF($L421&lt;&gt;"",IF(INDEX(SCCitrus,$L421)&amp;INDEX(SCNotes,$L421)="","",IF(INDEX(SCCitrus,$L421)="","",INDEX(SCCitrus,$L421))&amp;IF(INDEX(SCNotes,$L421)="",""," — "&amp;INDEX(SCNotes,$L421))),IF($M421&lt;&gt;"",IF(INDEX(LdgNoteB,$M421)="","—",INDEX(LdgNoteB,$M421)),""))</f>
        <v/>
      </c>
      <c r="F421" s="20">
        <f>IF($L421&lt;&gt;"",IF(INDEX(SCNet,$L421)=0,"",INDEX(SCNet,$L421)),"")</f>
        <v/>
      </c>
      <c r="G421" s="21">
        <f>IF($L421&lt;&gt;"",IF(INDEX(SCOp,$L421)="مرجوعی فروش","",IF(INDEX(SCAmount,$L421)&lt;=0,"",INDEX(SCAmount,$L421))),IF($M421&lt;&gt;"",IF(INDEX(LdgWitB,$M421)=0,"",INDEX(LdgWitB,$M421)),""))</f>
        <v/>
      </c>
      <c r="H421" s="21">
        <f>IF($L421&lt;&gt;"",IF(INDEX(SCOp,$L421)="مرجوعی فروش",IF(INDEX(SCAmount,$L421)=0,"",-INDEX(SCAmount,$L421)),""),IF($M421&lt;&gt;"",IF(INDEX(LdgDepB,$M421)=0,"",INDEX(LdgDepB,$M421)),""))</f>
        <v/>
      </c>
      <c r="I421" s="22">
        <f>IF($B421="","",IF($I420="",$C$10,$I420)+IF($G421="",0,$G421)-IF($H421="",0,$H421))</f>
        <v/>
      </c>
      <c r="L421">
        <f>IFERROR(MATCH($C$5&amp;"|"&amp;RIGHT("000000"&amp;405,6),LdgRankKeyA,0),"")</f>
        <v/>
      </c>
      <c r="M421">
        <f>IFERROR(MATCH($C$5&amp;"|"&amp;RIGHT("000000"&amp;405,6),LdgRankKeyB,0),"")</f>
        <v/>
      </c>
    </row>
    <row r="422">
      <c r="A422" s="23" t="n">
        <v>406</v>
      </c>
      <c r="B422" s="24">
        <f>IF(AND($L422="",$M422=""),"",IF($L422&lt;&gt;"",INDEX(SCNormDate,$L422),INDEX(LdgDateB,$M422)))</f>
        <v/>
      </c>
      <c r="C422" s="24">
        <f>IF($L422&lt;&gt;"",INDEX(SCOp,$L422),IF($M422&lt;&gt;"","پرداخت بانکی",""))</f>
        <v/>
      </c>
      <c r="D422" s="24">
        <f>IF($L422&lt;&gt;"",IF(INDEX(SCDoc,$L422)="","—",INDEX(SCDoc,$L422)),IF($M422&lt;&gt;"",INDEX(LdgBankB,$M422),""))</f>
        <v/>
      </c>
      <c r="E422" s="25">
        <f>IF($L422&lt;&gt;"",IF(INDEX(SCCitrus,$L422)&amp;INDEX(SCNotes,$L422)="","",IF(INDEX(SCCitrus,$L422)="","",INDEX(SCCitrus,$L422))&amp;IF(INDEX(SCNotes,$L422)="",""," — "&amp;INDEX(SCNotes,$L422))),IF($M422&lt;&gt;"",IF(INDEX(LdgNoteB,$M422)="","—",INDEX(LdgNoteB,$M422)),""))</f>
        <v/>
      </c>
      <c r="F422" s="26">
        <f>IF($L422&lt;&gt;"",IF(INDEX(SCNet,$L422)=0,"",INDEX(SCNet,$L422)),"")</f>
        <v/>
      </c>
      <c r="G422" s="27">
        <f>IF($L422&lt;&gt;"",IF(INDEX(SCOp,$L422)="مرجوعی فروش","",IF(INDEX(SCAmount,$L422)&lt;=0,"",INDEX(SCAmount,$L422))),IF($M422&lt;&gt;"",IF(INDEX(LdgWitB,$M422)=0,"",INDEX(LdgWitB,$M422)),""))</f>
        <v/>
      </c>
      <c r="H422" s="27">
        <f>IF($L422&lt;&gt;"",IF(INDEX(SCOp,$L422)="مرجوعی فروش",IF(INDEX(SCAmount,$L422)=0,"",-INDEX(SCAmount,$L422)),""),IF($M422&lt;&gt;"",IF(INDEX(LdgDepB,$M422)=0,"",INDEX(LdgDepB,$M422)),""))</f>
        <v/>
      </c>
      <c r="I422" s="28">
        <f>IF($B422="","",IF($I421="",$C$10,$I421)+IF($G422="",0,$G422)-IF($H422="",0,$H422))</f>
        <v/>
      </c>
      <c r="L422">
        <f>IFERROR(MATCH($C$5&amp;"|"&amp;RIGHT("000000"&amp;406,6),LdgRankKeyA,0),"")</f>
        <v/>
      </c>
      <c r="M422">
        <f>IFERROR(MATCH($C$5&amp;"|"&amp;RIGHT("000000"&amp;406,6),LdgRankKeyB,0),"")</f>
        <v/>
      </c>
    </row>
    <row r="423">
      <c r="A423" s="17" t="n">
        <v>407</v>
      </c>
      <c r="B423" s="18">
        <f>IF(AND($L423="",$M423=""),"",IF($L423&lt;&gt;"",INDEX(SCNormDate,$L423),INDEX(LdgDateB,$M423)))</f>
        <v/>
      </c>
      <c r="C423" s="18">
        <f>IF($L423&lt;&gt;"",INDEX(SCOp,$L423),IF($M423&lt;&gt;"","پرداخت بانکی",""))</f>
        <v/>
      </c>
      <c r="D423" s="18">
        <f>IF($L423&lt;&gt;"",IF(INDEX(SCDoc,$L423)="","—",INDEX(SCDoc,$L423)),IF($M423&lt;&gt;"",INDEX(LdgBankB,$M423),""))</f>
        <v/>
      </c>
      <c r="E423" s="19">
        <f>IF($L423&lt;&gt;"",IF(INDEX(SCCitrus,$L423)&amp;INDEX(SCNotes,$L423)="","",IF(INDEX(SCCitrus,$L423)="","",INDEX(SCCitrus,$L423))&amp;IF(INDEX(SCNotes,$L423)="",""," — "&amp;INDEX(SCNotes,$L423))),IF($M423&lt;&gt;"",IF(INDEX(LdgNoteB,$M423)="","—",INDEX(LdgNoteB,$M423)),""))</f>
        <v/>
      </c>
      <c r="F423" s="20">
        <f>IF($L423&lt;&gt;"",IF(INDEX(SCNet,$L423)=0,"",INDEX(SCNet,$L423)),"")</f>
        <v/>
      </c>
      <c r="G423" s="21">
        <f>IF($L423&lt;&gt;"",IF(INDEX(SCOp,$L423)="مرجوعی فروش","",IF(INDEX(SCAmount,$L423)&lt;=0,"",INDEX(SCAmount,$L423))),IF($M423&lt;&gt;"",IF(INDEX(LdgWitB,$M423)=0,"",INDEX(LdgWitB,$M423)),""))</f>
        <v/>
      </c>
      <c r="H423" s="21">
        <f>IF($L423&lt;&gt;"",IF(INDEX(SCOp,$L423)="مرجوعی فروش",IF(INDEX(SCAmount,$L423)=0,"",-INDEX(SCAmount,$L423)),""),IF($M423&lt;&gt;"",IF(INDEX(LdgDepB,$M423)=0,"",INDEX(LdgDepB,$M423)),""))</f>
        <v/>
      </c>
      <c r="I423" s="22">
        <f>IF($B423="","",IF($I422="",$C$10,$I422)+IF($G423="",0,$G423)-IF($H423="",0,$H423))</f>
        <v/>
      </c>
      <c r="L423">
        <f>IFERROR(MATCH($C$5&amp;"|"&amp;RIGHT("000000"&amp;407,6),LdgRankKeyA,0),"")</f>
        <v/>
      </c>
      <c r="M423">
        <f>IFERROR(MATCH($C$5&amp;"|"&amp;RIGHT("000000"&amp;407,6),LdgRankKeyB,0),"")</f>
        <v/>
      </c>
    </row>
    <row r="424">
      <c r="A424" s="23" t="n">
        <v>408</v>
      </c>
      <c r="B424" s="24">
        <f>IF(AND($L424="",$M424=""),"",IF($L424&lt;&gt;"",INDEX(SCNormDate,$L424),INDEX(LdgDateB,$M424)))</f>
        <v/>
      </c>
      <c r="C424" s="24">
        <f>IF($L424&lt;&gt;"",INDEX(SCOp,$L424),IF($M424&lt;&gt;"","پرداخت بانکی",""))</f>
        <v/>
      </c>
      <c r="D424" s="24">
        <f>IF($L424&lt;&gt;"",IF(INDEX(SCDoc,$L424)="","—",INDEX(SCDoc,$L424)),IF($M424&lt;&gt;"",INDEX(LdgBankB,$M424),""))</f>
        <v/>
      </c>
      <c r="E424" s="25">
        <f>IF($L424&lt;&gt;"",IF(INDEX(SCCitrus,$L424)&amp;INDEX(SCNotes,$L424)="","",IF(INDEX(SCCitrus,$L424)="","",INDEX(SCCitrus,$L424))&amp;IF(INDEX(SCNotes,$L424)="",""," — "&amp;INDEX(SCNotes,$L424))),IF($M424&lt;&gt;"",IF(INDEX(LdgNoteB,$M424)="","—",INDEX(LdgNoteB,$M424)),""))</f>
        <v/>
      </c>
      <c r="F424" s="26">
        <f>IF($L424&lt;&gt;"",IF(INDEX(SCNet,$L424)=0,"",INDEX(SCNet,$L424)),"")</f>
        <v/>
      </c>
      <c r="G424" s="27">
        <f>IF($L424&lt;&gt;"",IF(INDEX(SCOp,$L424)="مرجوعی فروش","",IF(INDEX(SCAmount,$L424)&lt;=0,"",INDEX(SCAmount,$L424))),IF($M424&lt;&gt;"",IF(INDEX(LdgWitB,$M424)=0,"",INDEX(LdgWitB,$M424)),""))</f>
        <v/>
      </c>
      <c r="H424" s="27">
        <f>IF($L424&lt;&gt;"",IF(INDEX(SCOp,$L424)="مرجوعی فروش",IF(INDEX(SCAmount,$L424)=0,"",-INDEX(SCAmount,$L424)),""),IF($M424&lt;&gt;"",IF(INDEX(LdgDepB,$M424)=0,"",INDEX(LdgDepB,$M424)),""))</f>
        <v/>
      </c>
      <c r="I424" s="28">
        <f>IF($B424="","",IF($I423="",$C$10,$I423)+IF($G424="",0,$G424)-IF($H424="",0,$H424))</f>
        <v/>
      </c>
      <c r="L424">
        <f>IFERROR(MATCH($C$5&amp;"|"&amp;RIGHT("000000"&amp;408,6),LdgRankKeyA,0),"")</f>
        <v/>
      </c>
      <c r="M424">
        <f>IFERROR(MATCH($C$5&amp;"|"&amp;RIGHT("000000"&amp;408,6),LdgRankKeyB,0),"")</f>
        <v/>
      </c>
    </row>
    <row r="425">
      <c r="A425" s="17" t="n">
        <v>409</v>
      </c>
      <c r="B425" s="18">
        <f>IF(AND($L425="",$M425=""),"",IF($L425&lt;&gt;"",INDEX(SCNormDate,$L425),INDEX(LdgDateB,$M425)))</f>
        <v/>
      </c>
      <c r="C425" s="18">
        <f>IF($L425&lt;&gt;"",INDEX(SCOp,$L425),IF($M425&lt;&gt;"","پرداخت بانکی",""))</f>
        <v/>
      </c>
      <c r="D425" s="18">
        <f>IF($L425&lt;&gt;"",IF(INDEX(SCDoc,$L425)="","—",INDEX(SCDoc,$L425)),IF($M425&lt;&gt;"",INDEX(LdgBankB,$M425),""))</f>
        <v/>
      </c>
      <c r="E425" s="19">
        <f>IF($L425&lt;&gt;"",IF(INDEX(SCCitrus,$L425)&amp;INDEX(SCNotes,$L425)="","",IF(INDEX(SCCitrus,$L425)="","",INDEX(SCCitrus,$L425))&amp;IF(INDEX(SCNotes,$L425)="",""," — "&amp;INDEX(SCNotes,$L425))),IF($M425&lt;&gt;"",IF(INDEX(LdgNoteB,$M425)="","—",INDEX(LdgNoteB,$M425)),""))</f>
        <v/>
      </c>
      <c r="F425" s="20">
        <f>IF($L425&lt;&gt;"",IF(INDEX(SCNet,$L425)=0,"",INDEX(SCNet,$L425)),"")</f>
        <v/>
      </c>
      <c r="G425" s="21">
        <f>IF($L425&lt;&gt;"",IF(INDEX(SCOp,$L425)="مرجوعی فروش","",IF(INDEX(SCAmount,$L425)&lt;=0,"",INDEX(SCAmount,$L425))),IF($M425&lt;&gt;"",IF(INDEX(LdgWitB,$M425)=0,"",INDEX(LdgWitB,$M425)),""))</f>
        <v/>
      </c>
      <c r="H425" s="21">
        <f>IF($L425&lt;&gt;"",IF(INDEX(SCOp,$L425)="مرجوعی فروش",IF(INDEX(SCAmount,$L425)=0,"",-INDEX(SCAmount,$L425)),""),IF($M425&lt;&gt;"",IF(INDEX(LdgDepB,$M425)=0,"",INDEX(LdgDepB,$M425)),""))</f>
        <v/>
      </c>
      <c r="I425" s="22">
        <f>IF($B425="","",IF($I424="",$C$10,$I424)+IF($G425="",0,$G425)-IF($H425="",0,$H425))</f>
        <v/>
      </c>
      <c r="L425">
        <f>IFERROR(MATCH($C$5&amp;"|"&amp;RIGHT("000000"&amp;409,6),LdgRankKeyA,0),"")</f>
        <v/>
      </c>
      <c r="M425">
        <f>IFERROR(MATCH($C$5&amp;"|"&amp;RIGHT("000000"&amp;409,6),LdgRankKeyB,0),"")</f>
        <v/>
      </c>
    </row>
    <row r="426">
      <c r="A426" s="23" t="n">
        <v>410</v>
      </c>
      <c r="B426" s="24">
        <f>IF(AND($L426="",$M426=""),"",IF($L426&lt;&gt;"",INDEX(SCNormDate,$L426),INDEX(LdgDateB,$M426)))</f>
        <v/>
      </c>
      <c r="C426" s="24">
        <f>IF($L426&lt;&gt;"",INDEX(SCOp,$L426),IF($M426&lt;&gt;"","پرداخت بانکی",""))</f>
        <v/>
      </c>
      <c r="D426" s="24">
        <f>IF($L426&lt;&gt;"",IF(INDEX(SCDoc,$L426)="","—",INDEX(SCDoc,$L426)),IF($M426&lt;&gt;"",INDEX(LdgBankB,$M426),""))</f>
        <v/>
      </c>
      <c r="E426" s="25">
        <f>IF($L426&lt;&gt;"",IF(INDEX(SCCitrus,$L426)&amp;INDEX(SCNotes,$L426)="","",IF(INDEX(SCCitrus,$L426)="","",INDEX(SCCitrus,$L426))&amp;IF(INDEX(SCNotes,$L426)="",""," — "&amp;INDEX(SCNotes,$L426))),IF($M426&lt;&gt;"",IF(INDEX(LdgNoteB,$M426)="","—",INDEX(LdgNoteB,$M426)),""))</f>
        <v/>
      </c>
      <c r="F426" s="26">
        <f>IF($L426&lt;&gt;"",IF(INDEX(SCNet,$L426)=0,"",INDEX(SCNet,$L426)),"")</f>
        <v/>
      </c>
      <c r="G426" s="27">
        <f>IF($L426&lt;&gt;"",IF(INDEX(SCOp,$L426)="مرجوعی فروش","",IF(INDEX(SCAmount,$L426)&lt;=0,"",INDEX(SCAmount,$L426))),IF($M426&lt;&gt;"",IF(INDEX(LdgWitB,$M426)=0,"",INDEX(LdgWitB,$M426)),""))</f>
        <v/>
      </c>
      <c r="H426" s="27">
        <f>IF($L426&lt;&gt;"",IF(INDEX(SCOp,$L426)="مرجوعی فروش",IF(INDEX(SCAmount,$L426)=0,"",-INDEX(SCAmount,$L426)),""),IF($M426&lt;&gt;"",IF(INDEX(LdgDepB,$M426)=0,"",INDEX(LdgDepB,$M426)),""))</f>
        <v/>
      </c>
      <c r="I426" s="28">
        <f>IF($B426="","",IF($I425="",$C$10,$I425)+IF($G426="",0,$G426)-IF($H426="",0,$H426))</f>
        <v/>
      </c>
      <c r="L426">
        <f>IFERROR(MATCH($C$5&amp;"|"&amp;RIGHT("000000"&amp;410,6),LdgRankKeyA,0),"")</f>
        <v/>
      </c>
      <c r="M426">
        <f>IFERROR(MATCH($C$5&amp;"|"&amp;RIGHT("000000"&amp;410,6),LdgRankKeyB,0),"")</f>
        <v/>
      </c>
    </row>
    <row r="427">
      <c r="A427" s="17" t="n">
        <v>411</v>
      </c>
      <c r="B427" s="18">
        <f>IF(AND($L427="",$M427=""),"",IF($L427&lt;&gt;"",INDEX(SCNormDate,$L427),INDEX(LdgDateB,$M427)))</f>
        <v/>
      </c>
      <c r="C427" s="18">
        <f>IF($L427&lt;&gt;"",INDEX(SCOp,$L427),IF($M427&lt;&gt;"","پرداخت بانکی",""))</f>
        <v/>
      </c>
      <c r="D427" s="18">
        <f>IF($L427&lt;&gt;"",IF(INDEX(SCDoc,$L427)="","—",INDEX(SCDoc,$L427)),IF($M427&lt;&gt;"",INDEX(LdgBankB,$M427),""))</f>
        <v/>
      </c>
      <c r="E427" s="19">
        <f>IF($L427&lt;&gt;"",IF(INDEX(SCCitrus,$L427)&amp;INDEX(SCNotes,$L427)="","",IF(INDEX(SCCitrus,$L427)="","",INDEX(SCCitrus,$L427))&amp;IF(INDEX(SCNotes,$L427)="",""," — "&amp;INDEX(SCNotes,$L427))),IF($M427&lt;&gt;"",IF(INDEX(LdgNoteB,$M427)="","—",INDEX(LdgNoteB,$M427)),""))</f>
        <v/>
      </c>
      <c r="F427" s="20">
        <f>IF($L427&lt;&gt;"",IF(INDEX(SCNet,$L427)=0,"",INDEX(SCNet,$L427)),"")</f>
        <v/>
      </c>
      <c r="G427" s="21">
        <f>IF($L427&lt;&gt;"",IF(INDEX(SCOp,$L427)="مرجوعی فروش","",IF(INDEX(SCAmount,$L427)&lt;=0,"",INDEX(SCAmount,$L427))),IF($M427&lt;&gt;"",IF(INDEX(LdgWitB,$M427)=0,"",INDEX(LdgWitB,$M427)),""))</f>
        <v/>
      </c>
      <c r="H427" s="21">
        <f>IF($L427&lt;&gt;"",IF(INDEX(SCOp,$L427)="مرجوعی فروش",IF(INDEX(SCAmount,$L427)=0,"",-INDEX(SCAmount,$L427)),""),IF($M427&lt;&gt;"",IF(INDEX(LdgDepB,$M427)=0,"",INDEX(LdgDepB,$M427)),""))</f>
        <v/>
      </c>
      <c r="I427" s="22">
        <f>IF($B427="","",IF($I426="",$C$10,$I426)+IF($G427="",0,$G427)-IF($H427="",0,$H427))</f>
        <v/>
      </c>
      <c r="L427">
        <f>IFERROR(MATCH($C$5&amp;"|"&amp;RIGHT("000000"&amp;411,6),LdgRankKeyA,0),"")</f>
        <v/>
      </c>
      <c r="M427">
        <f>IFERROR(MATCH($C$5&amp;"|"&amp;RIGHT("000000"&amp;411,6),LdgRankKeyB,0),"")</f>
        <v/>
      </c>
    </row>
    <row r="428">
      <c r="A428" s="23" t="n">
        <v>412</v>
      </c>
      <c r="B428" s="24">
        <f>IF(AND($L428="",$M428=""),"",IF($L428&lt;&gt;"",INDEX(SCNormDate,$L428),INDEX(LdgDateB,$M428)))</f>
        <v/>
      </c>
      <c r="C428" s="24">
        <f>IF($L428&lt;&gt;"",INDEX(SCOp,$L428),IF($M428&lt;&gt;"","پرداخت بانکی",""))</f>
        <v/>
      </c>
      <c r="D428" s="24">
        <f>IF($L428&lt;&gt;"",IF(INDEX(SCDoc,$L428)="","—",INDEX(SCDoc,$L428)),IF($M428&lt;&gt;"",INDEX(LdgBankB,$M428),""))</f>
        <v/>
      </c>
      <c r="E428" s="25">
        <f>IF($L428&lt;&gt;"",IF(INDEX(SCCitrus,$L428)&amp;INDEX(SCNotes,$L428)="","",IF(INDEX(SCCitrus,$L428)="","",INDEX(SCCitrus,$L428))&amp;IF(INDEX(SCNotes,$L428)="",""," — "&amp;INDEX(SCNotes,$L428))),IF($M428&lt;&gt;"",IF(INDEX(LdgNoteB,$M428)="","—",INDEX(LdgNoteB,$M428)),""))</f>
        <v/>
      </c>
      <c r="F428" s="26">
        <f>IF($L428&lt;&gt;"",IF(INDEX(SCNet,$L428)=0,"",INDEX(SCNet,$L428)),"")</f>
        <v/>
      </c>
      <c r="G428" s="27">
        <f>IF($L428&lt;&gt;"",IF(INDEX(SCOp,$L428)="مرجوعی فروش","",IF(INDEX(SCAmount,$L428)&lt;=0,"",INDEX(SCAmount,$L428))),IF($M428&lt;&gt;"",IF(INDEX(LdgWitB,$M428)=0,"",INDEX(LdgWitB,$M428)),""))</f>
        <v/>
      </c>
      <c r="H428" s="27">
        <f>IF($L428&lt;&gt;"",IF(INDEX(SCOp,$L428)="مرجوعی فروش",IF(INDEX(SCAmount,$L428)=0,"",-INDEX(SCAmount,$L428)),""),IF($M428&lt;&gt;"",IF(INDEX(LdgDepB,$M428)=0,"",INDEX(LdgDepB,$M428)),""))</f>
        <v/>
      </c>
      <c r="I428" s="28">
        <f>IF($B428="","",IF($I427="",$C$10,$I427)+IF($G428="",0,$G428)-IF($H428="",0,$H428))</f>
        <v/>
      </c>
      <c r="L428">
        <f>IFERROR(MATCH($C$5&amp;"|"&amp;RIGHT("000000"&amp;412,6),LdgRankKeyA,0),"")</f>
        <v/>
      </c>
      <c r="M428">
        <f>IFERROR(MATCH($C$5&amp;"|"&amp;RIGHT("000000"&amp;412,6),LdgRankKeyB,0),"")</f>
        <v/>
      </c>
    </row>
    <row r="429">
      <c r="A429" s="17" t="n">
        <v>413</v>
      </c>
      <c r="B429" s="18">
        <f>IF(AND($L429="",$M429=""),"",IF($L429&lt;&gt;"",INDEX(SCNormDate,$L429),INDEX(LdgDateB,$M429)))</f>
        <v/>
      </c>
      <c r="C429" s="18">
        <f>IF($L429&lt;&gt;"",INDEX(SCOp,$L429),IF($M429&lt;&gt;"","پرداخت بانکی",""))</f>
        <v/>
      </c>
      <c r="D429" s="18">
        <f>IF($L429&lt;&gt;"",IF(INDEX(SCDoc,$L429)="","—",INDEX(SCDoc,$L429)),IF($M429&lt;&gt;"",INDEX(LdgBankB,$M429),""))</f>
        <v/>
      </c>
      <c r="E429" s="19">
        <f>IF($L429&lt;&gt;"",IF(INDEX(SCCitrus,$L429)&amp;INDEX(SCNotes,$L429)="","",IF(INDEX(SCCitrus,$L429)="","",INDEX(SCCitrus,$L429))&amp;IF(INDEX(SCNotes,$L429)="",""," — "&amp;INDEX(SCNotes,$L429))),IF($M429&lt;&gt;"",IF(INDEX(LdgNoteB,$M429)="","—",INDEX(LdgNoteB,$M429)),""))</f>
        <v/>
      </c>
      <c r="F429" s="20">
        <f>IF($L429&lt;&gt;"",IF(INDEX(SCNet,$L429)=0,"",INDEX(SCNet,$L429)),"")</f>
        <v/>
      </c>
      <c r="G429" s="21">
        <f>IF($L429&lt;&gt;"",IF(INDEX(SCOp,$L429)="مرجوعی فروش","",IF(INDEX(SCAmount,$L429)&lt;=0,"",INDEX(SCAmount,$L429))),IF($M429&lt;&gt;"",IF(INDEX(LdgWitB,$M429)=0,"",INDEX(LdgWitB,$M429)),""))</f>
        <v/>
      </c>
      <c r="H429" s="21">
        <f>IF($L429&lt;&gt;"",IF(INDEX(SCOp,$L429)="مرجوعی فروش",IF(INDEX(SCAmount,$L429)=0,"",-INDEX(SCAmount,$L429)),""),IF($M429&lt;&gt;"",IF(INDEX(LdgDepB,$M429)=0,"",INDEX(LdgDepB,$M429)),""))</f>
        <v/>
      </c>
      <c r="I429" s="22">
        <f>IF($B429="","",IF($I428="",$C$10,$I428)+IF($G429="",0,$G429)-IF($H429="",0,$H429))</f>
        <v/>
      </c>
      <c r="L429">
        <f>IFERROR(MATCH($C$5&amp;"|"&amp;RIGHT("000000"&amp;413,6),LdgRankKeyA,0),"")</f>
        <v/>
      </c>
      <c r="M429">
        <f>IFERROR(MATCH($C$5&amp;"|"&amp;RIGHT("000000"&amp;413,6),LdgRankKeyB,0),"")</f>
        <v/>
      </c>
    </row>
    <row r="430">
      <c r="A430" s="23" t="n">
        <v>414</v>
      </c>
      <c r="B430" s="24">
        <f>IF(AND($L430="",$M430=""),"",IF($L430&lt;&gt;"",INDEX(SCNormDate,$L430),INDEX(LdgDateB,$M430)))</f>
        <v/>
      </c>
      <c r="C430" s="24">
        <f>IF($L430&lt;&gt;"",INDEX(SCOp,$L430),IF($M430&lt;&gt;"","پرداخت بانکی",""))</f>
        <v/>
      </c>
      <c r="D430" s="24">
        <f>IF($L430&lt;&gt;"",IF(INDEX(SCDoc,$L430)="","—",INDEX(SCDoc,$L430)),IF($M430&lt;&gt;"",INDEX(LdgBankB,$M430),""))</f>
        <v/>
      </c>
      <c r="E430" s="25">
        <f>IF($L430&lt;&gt;"",IF(INDEX(SCCitrus,$L430)&amp;INDEX(SCNotes,$L430)="","",IF(INDEX(SCCitrus,$L430)="","",INDEX(SCCitrus,$L430))&amp;IF(INDEX(SCNotes,$L430)="",""," — "&amp;INDEX(SCNotes,$L430))),IF($M430&lt;&gt;"",IF(INDEX(LdgNoteB,$M430)="","—",INDEX(LdgNoteB,$M430)),""))</f>
        <v/>
      </c>
      <c r="F430" s="26">
        <f>IF($L430&lt;&gt;"",IF(INDEX(SCNet,$L430)=0,"",INDEX(SCNet,$L430)),"")</f>
        <v/>
      </c>
      <c r="G430" s="27">
        <f>IF($L430&lt;&gt;"",IF(INDEX(SCOp,$L430)="مرجوعی فروش","",IF(INDEX(SCAmount,$L430)&lt;=0,"",INDEX(SCAmount,$L430))),IF($M430&lt;&gt;"",IF(INDEX(LdgWitB,$M430)=0,"",INDEX(LdgWitB,$M430)),""))</f>
        <v/>
      </c>
      <c r="H430" s="27">
        <f>IF($L430&lt;&gt;"",IF(INDEX(SCOp,$L430)="مرجوعی فروش",IF(INDEX(SCAmount,$L430)=0,"",-INDEX(SCAmount,$L430)),""),IF($M430&lt;&gt;"",IF(INDEX(LdgDepB,$M430)=0,"",INDEX(LdgDepB,$M430)),""))</f>
        <v/>
      </c>
      <c r="I430" s="28">
        <f>IF($B430="","",IF($I429="",$C$10,$I429)+IF($G430="",0,$G430)-IF($H430="",0,$H430))</f>
        <v/>
      </c>
      <c r="L430">
        <f>IFERROR(MATCH($C$5&amp;"|"&amp;RIGHT("000000"&amp;414,6),LdgRankKeyA,0),"")</f>
        <v/>
      </c>
      <c r="M430">
        <f>IFERROR(MATCH($C$5&amp;"|"&amp;RIGHT("000000"&amp;414,6),LdgRankKeyB,0),"")</f>
        <v/>
      </c>
    </row>
    <row r="431">
      <c r="A431" s="17" t="n">
        <v>415</v>
      </c>
      <c r="B431" s="18">
        <f>IF(AND($L431="",$M431=""),"",IF($L431&lt;&gt;"",INDEX(SCNormDate,$L431),INDEX(LdgDateB,$M431)))</f>
        <v/>
      </c>
      <c r="C431" s="18">
        <f>IF($L431&lt;&gt;"",INDEX(SCOp,$L431),IF($M431&lt;&gt;"","پرداخت بانکی",""))</f>
        <v/>
      </c>
      <c r="D431" s="18">
        <f>IF($L431&lt;&gt;"",IF(INDEX(SCDoc,$L431)="","—",INDEX(SCDoc,$L431)),IF($M431&lt;&gt;"",INDEX(LdgBankB,$M431),""))</f>
        <v/>
      </c>
      <c r="E431" s="19">
        <f>IF($L431&lt;&gt;"",IF(INDEX(SCCitrus,$L431)&amp;INDEX(SCNotes,$L431)="","",IF(INDEX(SCCitrus,$L431)="","",INDEX(SCCitrus,$L431))&amp;IF(INDEX(SCNotes,$L431)="",""," — "&amp;INDEX(SCNotes,$L431))),IF($M431&lt;&gt;"",IF(INDEX(LdgNoteB,$M431)="","—",INDEX(LdgNoteB,$M431)),""))</f>
        <v/>
      </c>
      <c r="F431" s="20">
        <f>IF($L431&lt;&gt;"",IF(INDEX(SCNet,$L431)=0,"",INDEX(SCNet,$L431)),"")</f>
        <v/>
      </c>
      <c r="G431" s="21">
        <f>IF($L431&lt;&gt;"",IF(INDEX(SCOp,$L431)="مرجوعی فروش","",IF(INDEX(SCAmount,$L431)&lt;=0,"",INDEX(SCAmount,$L431))),IF($M431&lt;&gt;"",IF(INDEX(LdgWitB,$M431)=0,"",INDEX(LdgWitB,$M431)),""))</f>
        <v/>
      </c>
      <c r="H431" s="21">
        <f>IF($L431&lt;&gt;"",IF(INDEX(SCOp,$L431)="مرجوعی فروش",IF(INDEX(SCAmount,$L431)=0,"",-INDEX(SCAmount,$L431)),""),IF($M431&lt;&gt;"",IF(INDEX(LdgDepB,$M431)=0,"",INDEX(LdgDepB,$M431)),""))</f>
        <v/>
      </c>
      <c r="I431" s="22">
        <f>IF($B431="","",IF($I430="",$C$10,$I430)+IF($G431="",0,$G431)-IF($H431="",0,$H431))</f>
        <v/>
      </c>
      <c r="L431">
        <f>IFERROR(MATCH($C$5&amp;"|"&amp;RIGHT("000000"&amp;415,6),LdgRankKeyA,0),"")</f>
        <v/>
      </c>
      <c r="M431">
        <f>IFERROR(MATCH($C$5&amp;"|"&amp;RIGHT("000000"&amp;415,6),LdgRankKeyB,0),"")</f>
        <v/>
      </c>
    </row>
    <row r="432">
      <c r="A432" s="23" t="n">
        <v>416</v>
      </c>
      <c r="B432" s="24">
        <f>IF(AND($L432="",$M432=""),"",IF($L432&lt;&gt;"",INDEX(SCNormDate,$L432),INDEX(LdgDateB,$M432)))</f>
        <v/>
      </c>
      <c r="C432" s="24">
        <f>IF($L432&lt;&gt;"",INDEX(SCOp,$L432),IF($M432&lt;&gt;"","پرداخت بانکی",""))</f>
        <v/>
      </c>
      <c r="D432" s="24">
        <f>IF($L432&lt;&gt;"",IF(INDEX(SCDoc,$L432)="","—",INDEX(SCDoc,$L432)),IF($M432&lt;&gt;"",INDEX(LdgBankB,$M432),""))</f>
        <v/>
      </c>
      <c r="E432" s="25">
        <f>IF($L432&lt;&gt;"",IF(INDEX(SCCitrus,$L432)&amp;INDEX(SCNotes,$L432)="","",IF(INDEX(SCCitrus,$L432)="","",INDEX(SCCitrus,$L432))&amp;IF(INDEX(SCNotes,$L432)="",""," — "&amp;INDEX(SCNotes,$L432))),IF($M432&lt;&gt;"",IF(INDEX(LdgNoteB,$M432)="","—",INDEX(LdgNoteB,$M432)),""))</f>
        <v/>
      </c>
      <c r="F432" s="26">
        <f>IF($L432&lt;&gt;"",IF(INDEX(SCNet,$L432)=0,"",INDEX(SCNet,$L432)),"")</f>
        <v/>
      </c>
      <c r="G432" s="27">
        <f>IF($L432&lt;&gt;"",IF(INDEX(SCOp,$L432)="مرجوعی فروش","",IF(INDEX(SCAmount,$L432)&lt;=0,"",INDEX(SCAmount,$L432))),IF($M432&lt;&gt;"",IF(INDEX(LdgWitB,$M432)=0,"",INDEX(LdgWitB,$M432)),""))</f>
        <v/>
      </c>
      <c r="H432" s="27">
        <f>IF($L432&lt;&gt;"",IF(INDEX(SCOp,$L432)="مرجوعی فروش",IF(INDEX(SCAmount,$L432)=0,"",-INDEX(SCAmount,$L432)),""),IF($M432&lt;&gt;"",IF(INDEX(LdgDepB,$M432)=0,"",INDEX(LdgDepB,$M432)),""))</f>
        <v/>
      </c>
      <c r="I432" s="28">
        <f>IF($B432="","",IF($I431="",$C$10,$I431)+IF($G432="",0,$G432)-IF($H432="",0,$H432))</f>
        <v/>
      </c>
      <c r="L432">
        <f>IFERROR(MATCH($C$5&amp;"|"&amp;RIGHT("000000"&amp;416,6),LdgRankKeyA,0),"")</f>
        <v/>
      </c>
      <c r="M432">
        <f>IFERROR(MATCH($C$5&amp;"|"&amp;RIGHT("000000"&amp;416,6),LdgRankKeyB,0),"")</f>
        <v/>
      </c>
    </row>
    <row r="433">
      <c r="A433" s="17" t="n">
        <v>417</v>
      </c>
      <c r="B433" s="18">
        <f>IF(AND($L433="",$M433=""),"",IF($L433&lt;&gt;"",INDEX(SCNormDate,$L433),INDEX(LdgDateB,$M433)))</f>
        <v/>
      </c>
      <c r="C433" s="18">
        <f>IF($L433&lt;&gt;"",INDEX(SCOp,$L433),IF($M433&lt;&gt;"","پرداخت بانکی",""))</f>
        <v/>
      </c>
      <c r="D433" s="18">
        <f>IF($L433&lt;&gt;"",IF(INDEX(SCDoc,$L433)="","—",INDEX(SCDoc,$L433)),IF($M433&lt;&gt;"",INDEX(LdgBankB,$M433),""))</f>
        <v/>
      </c>
      <c r="E433" s="19">
        <f>IF($L433&lt;&gt;"",IF(INDEX(SCCitrus,$L433)&amp;INDEX(SCNotes,$L433)="","",IF(INDEX(SCCitrus,$L433)="","",INDEX(SCCitrus,$L433))&amp;IF(INDEX(SCNotes,$L433)="",""," — "&amp;INDEX(SCNotes,$L433))),IF($M433&lt;&gt;"",IF(INDEX(LdgNoteB,$M433)="","—",INDEX(LdgNoteB,$M433)),""))</f>
        <v/>
      </c>
      <c r="F433" s="20">
        <f>IF($L433&lt;&gt;"",IF(INDEX(SCNet,$L433)=0,"",INDEX(SCNet,$L433)),"")</f>
        <v/>
      </c>
      <c r="G433" s="21">
        <f>IF($L433&lt;&gt;"",IF(INDEX(SCOp,$L433)="مرجوعی فروش","",IF(INDEX(SCAmount,$L433)&lt;=0,"",INDEX(SCAmount,$L433))),IF($M433&lt;&gt;"",IF(INDEX(LdgWitB,$M433)=0,"",INDEX(LdgWitB,$M433)),""))</f>
        <v/>
      </c>
      <c r="H433" s="21">
        <f>IF($L433&lt;&gt;"",IF(INDEX(SCOp,$L433)="مرجوعی فروش",IF(INDEX(SCAmount,$L433)=0,"",-INDEX(SCAmount,$L433)),""),IF($M433&lt;&gt;"",IF(INDEX(LdgDepB,$M433)=0,"",INDEX(LdgDepB,$M433)),""))</f>
        <v/>
      </c>
      <c r="I433" s="22">
        <f>IF($B433="","",IF($I432="",$C$10,$I432)+IF($G433="",0,$G433)-IF($H433="",0,$H433))</f>
        <v/>
      </c>
      <c r="L433">
        <f>IFERROR(MATCH($C$5&amp;"|"&amp;RIGHT("000000"&amp;417,6),LdgRankKeyA,0),"")</f>
        <v/>
      </c>
      <c r="M433">
        <f>IFERROR(MATCH($C$5&amp;"|"&amp;RIGHT("000000"&amp;417,6),LdgRankKeyB,0),"")</f>
        <v/>
      </c>
    </row>
    <row r="434">
      <c r="A434" s="23" t="n">
        <v>418</v>
      </c>
      <c r="B434" s="24">
        <f>IF(AND($L434="",$M434=""),"",IF($L434&lt;&gt;"",INDEX(SCNormDate,$L434),INDEX(LdgDateB,$M434)))</f>
        <v/>
      </c>
      <c r="C434" s="24">
        <f>IF($L434&lt;&gt;"",INDEX(SCOp,$L434),IF($M434&lt;&gt;"","پرداخت بانکی",""))</f>
        <v/>
      </c>
      <c r="D434" s="24">
        <f>IF($L434&lt;&gt;"",IF(INDEX(SCDoc,$L434)="","—",INDEX(SCDoc,$L434)),IF($M434&lt;&gt;"",INDEX(LdgBankB,$M434),""))</f>
        <v/>
      </c>
      <c r="E434" s="25">
        <f>IF($L434&lt;&gt;"",IF(INDEX(SCCitrus,$L434)&amp;INDEX(SCNotes,$L434)="","",IF(INDEX(SCCitrus,$L434)="","",INDEX(SCCitrus,$L434))&amp;IF(INDEX(SCNotes,$L434)="",""," — "&amp;INDEX(SCNotes,$L434))),IF($M434&lt;&gt;"",IF(INDEX(LdgNoteB,$M434)="","—",INDEX(LdgNoteB,$M434)),""))</f>
        <v/>
      </c>
      <c r="F434" s="26">
        <f>IF($L434&lt;&gt;"",IF(INDEX(SCNet,$L434)=0,"",INDEX(SCNet,$L434)),"")</f>
        <v/>
      </c>
      <c r="G434" s="27">
        <f>IF($L434&lt;&gt;"",IF(INDEX(SCOp,$L434)="مرجوعی فروش","",IF(INDEX(SCAmount,$L434)&lt;=0,"",INDEX(SCAmount,$L434))),IF($M434&lt;&gt;"",IF(INDEX(LdgWitB,$M434)=0,"",INDEX(LdgWitB,$M434)),""))</f>
        <v/>
      </c>
      <c r="H434" s="27">
        <f>IF($L434&lt;&gt;"",IF(INDEX(SCOp,$L434)="مرجوعی فروش",IF(INDEX(SCAmount,$L434)=0,"",-INDEX(SCAmount,$L434)),""),IF($M434&lt;&gt;"",IF(INDEX(LdgDepB,$M434)=0,"",INDEX(LdgDepB,$M434)),""))</f>
        <v/>
      </c>
      <c r="I434" s="28">
        <f>IF($B434="","",IF($I433="",$C$10,$I433)+IF($G434="",0,$G434)-IF($H434="",0,$H434))</f>
        <v/>
      </c>
      <c r="L434">
        <f>IFERROR(MATCH($C$5&amp;"|"&amp;RIGHT("000000"&amp;418,6),LdgRankKeyA,0),"")</f>
        <v/>
      </c>
      <c r="M434">
        <f>IFERROR(MATCH($C$5&amp;"|"&amp;RIGHT("000000"&amp;418,6),LdgRankKeyB,0),"")</f>
        <v/>
      </c>
    </row>
    <row r="435">
      <c r="A435" s="17" t="n">
        <v>419</v>
      </c>
      <c r="B435" s="18">
        <f>IF(AND($L435="",$M435=""),"",IF($L435&lt;&gt;"",INDEX(SCNormDate,$L435),INDEX(LdgDateB,$M435)))</f>
        <v/>
      </c>
      <c r="C435" s="18">
        <f>IF($L435&lt;&gt;"",INDEX(SCOp,$L435),IF($M435&lt;&gt;"","پرداخت بانکی",""))</f>
        <v/>
      </c>
      <c r="D435" s="18">
        <f>IF($L435&lt;&gt;"",IF(INDEX(SCDoc,$L435)="","—",INDEX(SCDoc,$L435)),IF($M435&lt;&gt;"",INDEX(LdgBankB,$M435),""))</f>
        <v/>
      </c>
      <c r="E435" s="19">
        <f>IF($L435&lt;&gt;"",IF(INDEX(SCCitrus,$L435)&amp;INDEX(SCNotes,$L435)="","",IF(INDEX(SCCitrus,$L435)="","",INDEX(SCCitrus,$L435))&amp;IF(INDEX(SCNotes,$L435)="",""," — "&amp;INDEX(SCNotes,$L435))),IF($M435&lt;&gt;"",IF(INDEX(LdgNoteB,$M435)="","—",INDEX(LdgNoteB,$M435)),""))</f>
        <v/>
      </c>
      <c r="F435" s="20">
        <f>IF($L435&lt;&gt;"",IF(INDEX(SCNet,$L435)=0,"",INDEX(SCNet,$L435)),"")</f>
        <v/>
      </c>
      <c r="G435" s="21">
        <f>IF($L435&lt;&gt;"",IF(INDEX(SCOp,$L435)="مرجوعی فروش","",IF(INDEX(SCAmount,$L435)&lt;=0,"",INDEX(SCAmount,$L435))),IF($M435&lt;&gt;"",IF(INDEX(LdgWitB,$M435)=0,"",INDEX(LdgWitB,$M435)),""))</f>
        <v/>
      </c>
      <c r="H435" s="21">
        <f>IF($L435&lt;&gt;"",IF(INDEX(SCOp,$L435)="مرجوعی فروش",IF(INDEX(SCAmount,$L435)=0,"",-INDEX(SCAmount,$L435)),""),IF($M435&lt;&gt;"",IF(INDEX(LdgDepB,$M435)=0,"",INDEX(LdgDepB,$M435)),""))</f>
        <v/>
      </c>
      <c r="I435" s="22">
        <f>IF($B435="","",IF($I434="",$C$10,$I434)+IF($G435="",0,$G435)-IF($H435="",0,$H435))</f>
        <v/>
      </c>
      <c r="L435">
        <f>IFERROR(MATCH($C$5&amp;"|"&amp;RIGHT("000000"&amp;419,6),LdgRankKeyA,0),"")</f>
        <v/>
      </c>
      <c r="M435">
        <f>IFERROR(MATCH($C$5&amp;"|"&amp;RIGHT("000000"&amp;419,6),LdgRankKeyB,0),"")</f>
        <v/>
      </c>
    </row>
    <row r="436">
      <c r="A436" s="23" t="n">
        <v>420</v>
      </c>
      <c r="B436" s="24">
        <f>IF(AND($L436="",$M436=""),"",IF($L436&lt;&gt;"",INDEX(SCNormDate,$L436),INDEX(LdgDateB,$M436)))</f>
        <v/>
      </c>
      <c r="C436" s="24">
        <f>IF($L436&lt;&gt;"",INDEX(SCOp,$L436),IF($M436&lt;&gt;"","پرداخت بانکی",""))</f>
        <v/>
      </c>
      <c r="D436" s="24">
        <f>IF($L436&lt;&gt;"",IF(INDEX(SCDoc,$L436)="","—",INDEX(SCDoc,$L436)),IF($M436&lt;&gt;"",INDEX(LdgBankB,$M436),""))</f>
        <v/>
      </c>
      <c r="E436" s="25">
        <f>IF($L436&lt;&gt;"",IF(INDEX(SCCitrus,$L436)&amp;INDEX(SCNotes,$L436)="","",IF(INDEX(SCCitrus,$L436)="","",INDEX(SCCitrus,$L436))&amp;IF(INDEX(SCNotes,$L436)="",""," — "&amp;INDEX(SCNotes,$L436))),IF($M436&lt;&gt;"",IF(INDEX(LdgNoteB,$M436)="","—",INDEX(LdgNoteB,$M436)),""))</f>
        <v/>
      </c>
      <c r="F436" s="26">
        <f>IF($L436&lt;&gt;"",IF(INDEX(SCNet,$L436)=0,"",INDEX(SCNet,$L436)),"")</f>
        <v/>
      </c>
      <c r="G436" s="27">
        <f>IF($L436&lt;&gt;"",IF(INDEX(SCOp,$L436)="مرجوعی فروش","",IF(INDEX(SCAmount,$L436)&lt;=0,"",INDEX(SCAmount,$L436))),IF($M436&lt;&gt;"",IF(INDEX(LdgWitB,$M436)=0,"",INDEX(LdgWitB,$M436)),""))</f>
        <v/>
      </c>
      <c r="H436" s="27">
        <f>IF($L436&lt;&gt;"",IF(INDEX(SCOp,$L436)="مرجوعی فروش",IF(INDEX(SCAmount,$L436)=0,"",-INDEX(SCAmount,$L436)),""),IF($M436&lt;&gt;"",IF(INDEX(LdgDepB,$M436)=0,"",INDEX(LdgDepB,$M436)),""))</f>
        <v/>
      </c>
      <c r="I436" s="28">
        <f>IF($B436="","",IF($I435="",$C$10,$I435)+IF($G436="",0,$G436)-IF($H436="",0,$H436))</f>
        <v/>
      </c>
      <c r="L436">
        <f>IFERROR(MATCH($C$5&amp;"|"&amp;RIGHT("000000"&amp;420,6),LdgRankKeyA,0),"")</f>
        <v/>
      </c>
      <c r="M436">
        <f>IFERROR(MATCH($C$5&amp;"|"&amp;RIGHT("000000"&amp;420,6),LdgRankKeyB,0),"")</f>
        <v/>
      </c>
    </row>
    <row r="437">
      <c r="A437" s="17" t="n">
        <v>421</v>
      </c>
      <c r="B437" s="18">
        <f>IF(AND($L437="",$M437=""),"",IF($L437&lt;&gt;"",INDEX(SCNormDate,$L437),INDEX(LdgDateB,$M437)))</f>
        <v/>
      </c>
      <c r="C437" s="18">
        <f>IF($L437&lt;&gt;"",INDEX(SCOp,$L437),IF($M437&lt;&gt;"","پرداخت بانکی",""))</f>
        <v/>
      </c>
      <c r="D437" s="18">
        <f>IF($L437&lt;&gt;"",IF(INDEX(SCDoc,$L437)="","—",INDEX(SCDoc,$L437)),IF($M437&lt;&gt;"",INDEX(LdgBankB,$M437),""))</f>
        <v/>
      </c>
      <c r="E437" s="19">
        <f>IF($L437&lt;&gt;"",IF(INDEX(SCCitrus,$L437)&amp;INDEX(SCNotes,$L437)="","",IF(INDEX(SCCitrus,$L437)="","",INDEX(SCCitrus,$L437))&amp;IF(INDEX(SCNotes,$L437)="",""," — "&amp;INDEX(SCNotes,$L437))),IF($M437&lt;&gt;"",IF(INDEX(LdgNoteB,$M437)="","—",INDEX(LdgNoteB,$M437)),""))</f>
        <v/>
      </c>
      <c r="F437" s="20">
        <f>IF($L437&lt;&gt;"",IF(INDEX(SCNet,$L437)=0,"",INDEX(SCNet,$L437)),"")</f>
        <v/>
      </c>
      <c r="G437" s="21">
        <f>IF($L437&lt;&gt;"",IF(INDEX(SCOp,$L437)="مرجوعی فروش","",IF(INDEX(SCAmount,$L437)&lt;=0,"",INDEX(SCAmount,$L437))),IF($M437&lt;&gt;"",IF(INDEX(LdgWitB,$M437)=0,"",INDEX(LdgWitB,$M437)),""))</f>
        <v/>
      </c>
      <c r="H437" s="21">
        <f>IF($L437&lt;&gt;"",IF(INDEX(SCOp,$L437)="مرجوعی فروش",IF(INDEX(SCAmount,$L437)=0,"",-INDEX(SCAmount,$L437)),""),IF($M437&lt;&gt;"",IF(INDEX(LdgDepB,$M437)=0,"",INDEX(LdgDepB,$M437)),""))</f>
        <v/>
      </c>
      <c r="I437" s="22">
        <f>IF($B437="","",IF($I436="",$C$10,$I436)+IF($G437="",0,$G437)-IF($H437="",0,$H437))</f>
        <v/>
      </c>
      <c r="L437">
        <f>IFERROR(MATCH($C$5&amp;"|"&amp;RIGHT("000000"&amp;421,6),LdgRankKeyA,0),"")</f>
        <v/>
      </c>
      <c r="M437">
        <f>IFERROR(MATCH($C$5&amp;"|"&amp;RIGHT("000000"&amp;421,6),LdgRankKeyB,0),"")</f>
        <v/>
      </c>
    </row>
    <row r="438">
      <c r="A438" s="23" t="n">
        <v>422</v>
      </c>
      <c r="B438" s="24">
        <f>IF(AND($L438="",$M438=""),"",IF($L438&lt;&gt;"",INDEX(SCNormDate,$L438),INDEX(LdgDateB,$M438)))</f>
        <v/>
      </c>
      <c r="C438" s="24">
        <f>IF($L438&lt;&gt;"",INDEX(SCOp,$L438),IF($M438&lt;&gt;"","پرداخت بانکی",""))</f>
        <v/>
      </c>
      <c r="D438" s="24">
        <f>IF($L438&lt;&gt;"",IF(INDEX(SCDoc,$L438)="","—",INDEX(SCDoc,$L438)),IF($M438&lt;&gt;"",INDEX(LdgBankB,$M438),""))</f>
        <v/>
      </c>
      <c r="E438" s="25">
        <f>IF($L438&lt;&gt;"",IF(INDEX(SCCitrus,$L438)&amp;INDEX(SCNotes,$L438)="","",IF(INDEX(SCCitrus,$L438)="","",INDEX(SCCitrus,$L438))&amp;IF(INDEX(SCNotes,$L438)="",""," — "&amp;INDEX(SCNotes,$L438))),IF($M438&lt;&gt;"",IF(INDEX(LdgNoteB,$M438)="","—",INDEX(LdgNoteB,$M438)),""))</f>
        <v/>
      </c>
      <c r="F438" s="26">
        <f>IF($L438&lt;&gt;"",IF(INDEX(SCNet,$L438)=0,"",INDEX(SCNet,$L438)),"")</f>
        <v/>
      </c>
      <c r="G438" s="27">
        <f>IF($L438&lt;&gt;"",IF(INDEX(SCOp,$L438)="مرجوعی فروش","",IF(INDEX(SCAmount,$L438)&lt;=0,"",INDEX(SCAmount,$L438))),IF($M438&lt;&gt;"",IF(INDEX(LdgWitB,$M438)=0,"",INDEX(LdgWitB,$M438)),""))</f>
        <v/>
      </c>
      <c r="H438" s="27">
        <f>IF($L438&lt;&gt;"",IF(INDEX(SCOp,$L438)="مرجوعی فروش",IF(INDEX(SCAmount,$L438)=0,"",-INDEX(SCAmount,$L438)),""),IF($M438&lt;&gt;"",IF(INDEX(LdgDepB,$M438)=0,"",INDEX(LdgDepB,$M438)),""))</f>
        <v/>
      </c>
      <c r="I438" s="28">
        <f>IF($B438="","",IF($I437="",$C$10,$I437)+IF($G438="",0,$G438)-IF($H438="",0,$H438))</f>
        <v/>
      </c>
      <c r="L438">
        <f>IFERROR(MATCH($C$5&amp;"|"&amp;RIGHT("000000"&amp;422,6),LdgRankKeyA,0),"")</f>
        <v/>
      </c>
      <c r="M438">
        <f>IFERROR(MATCH($C$5&amp;"|"&amp;RIGHT("000000"&amp;422,6),LdgRankKeyB,0),"")</f>
        <v/>
      </c>
    </row>
    <row r="439">
      <c r="A439" s="17" t="n">
        <v>423</v>
      </c>
      <c r="B439" s="18">
        <f>IF(AND($L439="",$M439=""),"",IF($L439&lt;&gt;"",INDEX(SCNormDate,$L439),INDEX(LdgDateB,$M439)))</f>
        <v/>
      </c>
      <c r="C439" s="18">
        <f>IF($L439&lt;&gt;"",INDEX(SCOp,$L439),IF($M439&lt;&gt;"","پرداخت بانکی",""))</f>
        <v/>
      </c>
      <c r="D439" s="18">
        <f>IF($L439&lt;&gt;"",IF(INDEX(SCDoc,$L439)="","—",INDEX(SCDoc,$L439)),IF($M439&lt;&gt;"",INDEX(LdgBankB,$M439),""))</f>
        <v/>
      </c>
      <c r="E439" s="19">
        <f>IF($L439&lt;&gt;"",IF(INDEX(SCCitrus,$L439)&amp;INDEX(SCNotes,$L439)="","",IF(INDEX(SCCitrus,$L439)="","",INDEX(SCCitrus,$L439))&amp;IF(INDEX(SCNotes,$L439)="",""," — "&amp;INDEX(SCNotes,$L439))),IF($M439&lt;&gt;"",IF(INDEX(LdgNoteB,$M439)="","—",INDEX(LdgNoteB,$M439)),""))</f>
        <v/>
      </c>
      <c r="F439" s="20">
        <f>IF($L439&lt;&gt;"",IF(INDEX(SCNet,$L439)=0,"",INDEX(SCNet,$L439)),"")</f>
        <v/>
      </c>
      <c r="G439" s="21">
        <f>IF($L439&lt;&gt;"",IF(INDEX(SCOp,$L439)="مرجوعی فروش","",IF(INDEX(SCAmount,$L439)&lt;=0,"",INDEX(SCAmount,$L439))),IF($M439&lt;&gt;"",IF(INDEX(LdgWitB,$M439)=0,"",INDEX(LdgWitB,$M439)),""))</f>
        <v/>
      </c>
      <c r="H439" s="21">
        <f>IF($L439&lt;&gt;"",IF(INDEX(SCOp,$L439)="مرجوعی فروش",IF(INDEX(SCAmount,$L439)=0,"",-INDEX(SCAmount,$L439)),""),IF($M439&lt;&gt;"",IF(INDEX(LdgDepB,$M439)=0,"",INDEX(LdgDepB,$M439)),""))</f>
        <v/>
      </c>
      <c r="I439" s="22">
        <f>IF($B439="","",IF($I438="",$C$10,$I438)+IF($G439="",0,$G439)-IF($H439="",0,$H439))</f>
        <v/>
      </c>
      <c r="L439">
        <f>IFERROR(MATCH($C$5&amp;"|"&amp;RIGHT("000000"&amp;423,6),LdgRankKeyA,0),"")</f>
        <v/>
      </c>
      <c r="M439">
        <f>IFERROR(MATCH($C$5&amp;"|"&amp;RIGHT("000000"&amp;423,6),LdgRankKeyB,0),"")</f>
        <v/>
      </c>
    </row>
    <row r="440">
      <c r="A440" s="23" t="n">
        <v>424</v>
      </c>
      <c r="B440" s="24">
        <f>IF(AND($L440="",$M440=""),"",IF($L440&lt;&gt;"",INDEX(SCNormDate,$L440),INDEX(LdgDateB,$M440)))</f>
        <v/>
      </c>
      <c r="C440" s="24">
        <f>IF($L440&lt;&gt;"",INDEX(SCOp,$L440),IF($M440&lt;&gt;"","پرداخت بانکی",""))</f>
        <v/>
      </c>
      <c r="D440" s="24">
        <f>IF($L440&lt;&gt;"",IF(INDEX(SCDoc,$L440)="","—",INDEX(SCDoc,$L440)),IF($M440&lt;&gt;"",INDEX(LdgBankB,$M440),""))</f>
        <v/>
      </c>
      <c r="E440" s="25">
        <f>IF($L440&lt;&gt;"",IF(INDEX(SCCitrus,$L440)&amp;INDEX(SCNotes,$L440)="","",IF(INDEX(SCCitrus,$L440)="","",INDEX(SCCitrus,$L440))&amp;IF(INDEX(SCNotes,$L440)="",""," — "&amp;INDEX(SCNotes,$L440))),IF($M440&lt;&gt;"",IF(INDEX(LdgNoteB,$M440)="","—",INDEX(LdgNoteB,$M440)),""))</f>
        <v/>
      </c>
      <c r="F440" s="26">
        <f>IF($L440&lt;&gt;"",IF(INDEX(SCNet,$L440)=0,"",INDEX(SCNet,$L440)),"")</f>
        <v/>
      </c>
      <c r="G440" s="27">
        <f>IF($L440&lt;&gt;"",IF(INDEX(SCOp,$L440)="مرجوعی فروش","",IF(INDEX(SCAmount,$L440)&lt;=0,"",INDEX(SCAmount,$L440))),IF($M440&lt;&gt;"",IF(INDEX(LdgWitB,$M440)=0,"",INDEX(LdgWitB,$M440)),""))</f>
        <v/>
      </c>
      <c r="H440" s="27">
        <f>IF($L440&lt;&gt;"",IF(INDEX(SCOp,$L440)="مرجوعی فروش",IF(INDEX(SCAmount,$L440)=0,"",-INDEX(SCAmount,$L440)),""),IF($M440&lt;&gt;"",IF(INDEX(LdgDepB,$M440)=0,"",INDEX(LdgDepB,$M440)),""))</f>
        <v/>
      </c>
      <c r="I440" s="28">
        <f>IF($B440="","",IF($I439="",$C$10,$I439)+IF($G440="",0,$G440)-IF($H440="",0,$H440))</f>
        <v/>
      </c>
      <c r="L440">
        <f>IFERROR(MATCH($C$5&amp;"|"&amp;RIGHT("000000"&amp;424,6),LdgRankKeyA,0),"")</f>
        <v/>
      </c>
      <c r="M440">
        <f>IFERROR(MATCH($C$5&amp;"|"&amp;RIGHT("000000"&amp;424,6),LdgRankKeyB,0),"")</f>
        <v/>
      </c>
    </row>
    <row r="441">
      <c r="A441" s="17" t="n">
        <v>425</v>
      </c>
      <c r="B441" s="18">
        <f>IF(AND($L441="",$M441=""),"",IF($L441&lt;&gt;"",INDEX(SCNormDate,$L441),INDEX(LdgDateB,$M441)))</f>
        <v/>
      </c>
      <c r="C441" s="18">
        <f>IF($L441&lt;&gt;"",INDEX(SCOp,$L441),IF($M441&lt;&gt;"","پرداخت بانکی",""))</f>
        <v/>
      </c>
      <c r="D441" s="18">
        <f>IF($L441&lt;&gt;"",IF(INDEX(SCDoc,$L441)="","—",INDEX(SCDoc,$L441)),IF($M441&lt;&gt;"",INDEX(LdgBankB,$M441),""))</f>
        <v/>
      </c>
      <c r="E441" s="19">
        <f>IF($L441&lt;&gt;"",IF(INDEX(SCCitrus,$L441)&amp;INDEX(SCNotes,$L441)="","",IF(INDEX(SCCitrus,$L441)="","",INDEX(SCCitrus,$L441))&amp;IF(INDEX(SCNotes,$L441)="",""," — "&amp;INDEX(SCNotes,$L441))),IF($M441&lt;&gt;"",IF(INDEX(LdgNoteB,$M441)="","—",INDEX(LdgNoteB,$M441)),""))</f>
        <v/>
      </c>
      <c r="F441" s="20">
        <f>IF($L441&lt;&gt;"",IF(INDEX(SCNet,$L441)=0,"",INDEX(SCNet,$L441)),"")</f>
        <v/>
      </c>
      <c r="G441" s="21">
        <f>IF($L441&lt;&gt;"",IF(INDEX(SCOp,$L441)="مرجوعی فروش","",IF(INDEX(SCAmount,$L441)&lt;=0,"",INDEX(SCAmount,$L441))),IF($M441&lt;&gt;"",IF(INDEX(LdgWitB,$M441)=0,"",INDEX(LdgWitB,$M441)),""))</f>
        <v/>
      </c>
      <c r="H441" s="21">
        <f>IF($L441&lt;&gt;"",IF(INDEX(SCOp,$L441)="مرجوعی فروش",IF(INDEX(SCAmount,$L441)=0,"",-INDEX(SCAmount,$L441)),""),IF($M441&lt;&gt;"",IF(INDEX(LdgDepB,$M441)=0,"",INDEX(LdgDepB,$M441)),""))</f>
        <v/>
      </c>
      <c r="I441" s="22">
        <f>IF($B441="","",IF($I440="",$C$10,$I440)+IF($G441="",0,$G441)-IF($H441="",0,$H441))</f>
        <v/>
      </c>
      <c r="L441">
        <f>IFERROR(MATCH($C$5&amp;"|"&amp;RIGHT("000000"&amp;425,6),LdgRankKeyA,0),"")</f>
        <v/>
      </c>
      <c r="M441">
        <f>IFERROR(MATCH($C$5&amp;"|"&amp;RIGHT("000000"&amp;425,6),LdgRankKeyB,0),"")</f>
        <v/>
      </c>
    </row>
    <row r="442">
      <c r="A442" s="23" t="n">
        <v>426</v>
      </c>
      <c r="B442" s="24">
        <f>IF(AND($L442="",$M442=""),"",IF($L442&lt;&gt;"",INDEX(SCNormDate,$L442),INDEX(LdgDateB,$M442)))</f>
        <v/>
      </c>
      <c r="C442" s="24">
        <f>IF($L442&lt;&gt;"",INDEX(SCOp,$L442),IF($M442&lt;&gt;"","پرداخت بانکی",""))</f>
        <v/>
      </c>
      <c r="D442" s="24">
        <f>IF($L442&lt;&gt;"",IF(INDEX(SCDoc,$L442)="","—",INDEX(SCDoc,$L442)),IF($M442&lt;&gt;"",INDEX(LdgBankB,$M442),""))</f>
        <v/>
      </c>
      <c r="E442" s="25">
        <f>IF($L442&lt;&gt;"",IF(INDEX(SCCitrus,$L442)&amp;INDEX(SCNotes,$L442)="","",IF(INDEX(SCCitrus,$L442)="","",INDEX(SCCitrus,$L442))&amp;IF(INDEX(SCNotes,$L442)="",""," — "&amp;INDEX(SCNotes,$L442))),IF($M442&lt;&gt;"",IF(INDEX(LdgNoteB,$M442)="","—",INDEX(LdgNoteB,$M442)),""))</f>
        <v/>
      </c>
      <c r="F442" s="26">
        <f>IF($L442&lt;&gt;"",IF(INDEX(SCNet,$L442)=0,"",INDEX(SCNet,$L442)),"")</f>
        <v/>
      </c>
      <c r="G442" s="27">
        <f>IF($L442&lt;&gt;"",IF(INDEX(SCOp,$L442)="مرجوعی فروش","",IF(INDEX(SCAmount,$L442)&lt;=0,"",INDEX(SCAmount,$L442))),IF($M442&lt;&gt;"",IF(INDEX(LdgWitB,$M442)=0,"",INDEX(LdgWitB,$M442)),""))</f>
        <v/>
      </c>
      <c r="H442" s="27">
        <f>IF($L442&lt;&gt;"",IF(INDEX(SCOp,$L442)="مرجوعی فروش",IF(INDEX(SCAmount,$L442)=0,"",-INDEX(SCAmount,$L442)),""),IF($M442&lt;&gt;"",IF(INDEX(LdgDepB,$M442)=0,"",INDEX(LdgDepB,$M442)),""))</f>
        <v/>
      </c>
      <c r="I442" s="28">
        <f>IF($B442="","",IF($I441="",$C$10,$I441)+IF($G442="",0,$G442)-IF($H442="",0,$H442))</f>
        <v/>
      </c>
      <c r="L442">
        <f>IFERROR(MATCH($C$5&amp;"|"&amp;RIGHT("000000"&amp;426,6),LdgRankKeyA,0),"")</f>
        <v/>
      </c>
      <c r="M442">
        <f>IFERROR(MATCH($C$5&amp;"|"&amp;RIGHT("000000"&amp;426,6),LdgRankKeyB,0),"")</f>
        <v/>
      </c>
    </row>
    <row r="443">
      <c r="A443" s="17" t="n">
        <v>427</v>
      </c>
      <c r="B443" s="18">
        <f>IF(AND($L443="",$M443=""),"",IF($L443&lt;&gt;"",INDEX(SCNormDate,$L443),INDEX(LdgDateB,$M443)))</f>
        <v/>
      </c>
      <c r="C443" s="18">
        <f>IF($L443&lt;&gt;"",INDEX(SCOp,$L443),IF($M443&lt;&gt;"","پرداخت بانکی",""))</f>
        <v/>
      </c>
      <c r="D443" s="18">
        <f>IF($L443&lt;&gt;"",IF(INDEX(SCDoc,$L443)="","—",INDEX(SCDoc,$L443)),IF($M443&lt;&gt;"",INDEX(LdgBankB,$M443),""))</f>
        <v/>
      </c>
      <c r="E443" s="19">
        <f>IF($L443&lt;&gt;"",IF(INDEX(SCCitrus,$L443)&amp;INDEX(SCNotes,$L443)="","",IF(INDEX(SCCitrus,$L443)="","",INDEX(SCCitrus,$L443))&amp;IF(INDEX(SCNotes,$L443)="",""," — "&amp;INDEX(SCNotes,$L443))),IF($M443&lt;&gt;"",IF(INDEX(LdgNoteB,$M443)="","—",INDEX(LdgNoteB,$M443)),""))</f>
        <v/>
      </c>
      <c r="F443" s="20">
        <f>IF($L443&lt;&gt;"",IF(INDEX(SCNet,$L443)=0,"",INDEX(SCNet,$L443)),"")</f>
        <v/>
      </c>
      <c r="G443" s="21">
        <f>IF($L443&lt;&gt;"",IF(INDEX(SCOp,$L443)="مرجوعی فروش","",IF(INDEX(SCAmount,$L443)&lt;=0,"",INDEX(SCAmount,$L443))),IF($M443&lt;&gt;"",IF(INDEX(LdgWitB,$M443)=0,"",INDEX(LdgWitB,$M443)),""))</f>
        <v/>
      </c>
      <c r="H443" s="21">
        <f>IF($L443&lt;&gt;"",IF(INDEX(SCOp,$L443)="مرجوعی فروش",IF(INDEX(SCAmount,$L443)=0,"",-INDEX(SCAmount,$L443)),""),IF($M443&lt;&gt;"",IF(INDEX(LdgDepB,$M443)=0,"",INDEX(LdgDepB,$M443)),""))</f>
        <v/>
      </c>
      <c r="I443" s="22">
        <f>IF($B443="","",IF($I442="",$C$10,$I442)+IF($G443="",0,$G443)-IF($H443="",0,$H443))</f>
        <v/>
      </c>
      <c r="L443">
        <f>IFERROR(MATCH($C$5&amp;"|"&amp;RIGHT("000000"&amp;427,6),LdgRankKeyA,0),"")</f>
        <v/>
      </c>
      <c r="M443">
        <f>IFERROR(MATCH($C$5&amp;"|"&amp;RIGHT("000000"&amp;427,6),LdgRankKeyB,0),"")</f>
        <v/>
      </c>
    </row>
    <row r="444">
      <c r="A444" s="23" t="n">
        <v>428</v>
      </c>
      <c r="B444" s="24">
        <f>IF(AND($L444="",$M444=""),"",IF($L444&lt;&gt;"",INDEX(SCNormDate,$L444),INDEX(LdgDateB,$M444)))</f>
        <v/>
      </c>
      <c r="C444" s="24">
        <f>IF($L444&lt;&gt;"",INDEX(SCOp,$L444),IF($M444&lt;&gt;"","پرداخت بانکی",""))</f>
        <v/>
      </c>
      <c r="D444" s="24">
        <f>IF($L444&lt;&gt;"",IF(INDEX(SCDoc,$L444)="","—",INDEX(SCDoc,$L444)),IF($M444&lt;&gt;"",INDEX(LdgBankB,$M444),""))</f>
        <v/>
      </c>
      <c r="E444" s="25">
        <f>IF($L444&lt;&gt;"",IF(INDEX(SCCitrus,$L444)&amp;INDEX(SCNotes,$L444)="","",IF(INDEX(SCCitrus,$L444)="","",INDEX(SCCitrus,$L444))&amp;IF(INDEX(SCNotes,$L444)="",""," — "&amp;INDEX(SCNotes,$L444))),IF($M444&lt;&gt;"",IF(INDEX(LdgNoteB,$M444)="","—",INDEX(LdgNoteB,$M444)),""))</f>
        <v/>
      </c>
      <c r="F444" s="26">
        <f>IF($L444&lt;&gt;"",IF(INDEX(SCNet,$L444)=0,"",INDEX(SCNet,$L444)),"")</f>
        <v/>
      </c>
      <c r="G444" s="27">
        <f>IF($L444&lt;&gt;"",IF(INDEX(SCOp,$L444)="مرجوعی فروش","",IF(INDEX(SCAmount,$L444)&lt;=0,"",INDEX(SCAmount,$L444))),IF($M444&lt;&gt;"",IF(INDEX(LdgWitB,$M444)=0,"",INDEX(LdgWitB,$M444)),""))</f>
        <v/>
      </c>
      <c r="H444" s="27">
        <f>IF($L444&lt;&gt;"",IF(INDEX(SCOp,$L444)="مرجوعی فروش",IF(INDEX(SCAmount,$L444)=0,"",-INDEX(SCAmount,$L444)),""),IF($M444&lt;&gt;"",IF(INDEX(LdgDepB,$M444)=0,"",INDEX(LdgDepB,$M444)),""))</f>
        <v/>
      </c>
      <c r="I444" s="28">
        <f>IF($B444="","",IF($I443="",$C$10,$I443)+IF($G444="",0,$G444)-IF($H444="",0,$H444))</f>
        <v/>
      </c>
      <c r="L444">
        <f>IFERROR(MATCH($C$5&amp;"|"&amp;RIGHT("000000"&amp;428,6),LdgRankKeyA,0),"")</f>
        <v/>
      </c>
      <c r="M444">
        <f>IFERROR(MATCH($C$5&amp;"|"&amp;RIGHT("000000"&amp;428,6),LdgRankKeyB,0),"")</f>
        <v/>
      </c>
    </row>
    <row r="445">
      <c r="A445" s="17" t="n">
        <v>429</v>
      </c>
      <c r="B445" s="18">
        <f>IF(AND($L445="",$M445=""),"",IF($L445&lt;&gt;"",INDEX(SCNormDate,$L445),INDEX(LdgDateB,$M445)))</f>
        <v/>
      </c>
      <c r="C445" s="18">
        <f>IF($L445&lt;&gt;"",INDEX(SCOp,$L445),IF($M445&lt;&gt;"","پرداخت بانکی",""))</f>
        <v/>
      </c>
      <c r="D445" s="18">
        <f>IF($L445&lt;&gt;"",IF(INDEX(SCDoc,$L445)="","—",INDEX(SCDoc,$L445)),IF($M445&lt;&gt;"",INDEX(LdgBankB,$M445),""))</f>
        <v/>
      </c>
      <c r="E445" s="19">
        <f>IF($L445&lt;&gt;"",IF(INDEX(SCCitrus,$L445)&amp;INDEX(SCNotes,$L445)="","",IF(INDEX(SCCitrus,$L445)="","",INDEX(SCCitrus,$L445))&amp;IF(INDEX(SCNotes,$L445)="",""," — "&amp;INDEX(SCNotes,$L445))),IF($M445&lt;&gt;"",IF(INDEX(LdgNoteB,$M445)="","—",INDEX(LdgNoteB,$M445)),""))</f>
        <v/>
      </c>
      <c r="F445" s="20">
        <f>IF($L445&lt;&gt;"",IF(INDEX(SCNet,$L445)=0,"",INDEX(SCNet,$L445)),"")</f>
        <v/>
      </c>
      <c r="G445" s="21">
        <f>IF($L445&lt;&gt;"",IF(INDEX(SCOp,$L445)="مرجوعی فروش","",IF(INDEX(SCAmount,$L445)&lt;=0,"",INDEX(SCAmount,$L445))),IF($M445&lt;&gt;"",IF(INDEX(LdgWitB,$M445)=0,"",INDEX(LdgWitB,$M445)),""))</f>
        <v/>
      </c>
      <c r="H445" s="21">
        <f>IF($L445&lt;&gt;"",IF(INDEX(SCOp,$L445)="مرجوعی فروش",IF(INDEX(SCAmount,$L445)=0,"",-INDEX(SCAmount,$L445)),""),IF($M445&lt;&gt;"",IF(INDEX(LdgDepB,$M445)=0,"",INDEX(LdgDepB,$M445)),""))</f>
        <v/>
      </c>
      <c r="I445" s="22">
        <f>IF($B445="","",IF($I444="",$C$10,$I444)+IF($G445="",0,$G445)-IF($H445="",0,$H445))</f>
        <v/>
      </c>
      <c r="L445">
        <f>IFERROR(MATCH($C$5&amp;"|"&amp;RIGHT("000000"&amp;429,6),LdgRankKeyA,0),"")</f>
        <v/>
      </c>
      <c r="M445">
        <f>IFERROR(MATCH($C$5&amp;"|"&amp;RIGHT("000000"&amp;429,6),LdgRankKeyB,0),"")</f>
        <v/>
      </c>
    </row>
    <row r="446">
      <c r="A446" s="23" t="n">
        <v>430</v>
      </c>
      <c r="B446" s="24">
        <f>IF(AND($L446="",$M446=""),"",IF($L446&lt;&gt;"",INDEX(SCNormDate,$L446),INDEX(LdgDateB,$M446)))</f>
        <v/>
      </c>
      <c r="C446" s="24">
        <f>IF($L446&lt;&gt;"",INDEX(SCOp,$L446),IF($M446&lt;&gt;"","پرداخت بانکی",""))</f>
        <v/>
      </c>
      <c r="D446" s="24">
        <f>IF($L446&lt;&gt;"",IF(INDEX(SCDoc,$L446)="","—",INDEX(SCDoc,$L446)),IF($M446&lt;&gt;"",INDEX(LdgBankB,$M446),""))</f>
        <v/>
      </c>
      <c r="E446" s="25">
        <f>IF($L446&lt;&gt;"",IF(INDEX(SCCitrus,$L446)&amp;INDEX(SCNotes,$L446)="","",IF(INDEX(SCCitrus,$L446)="","",INDEX(SCCitrus,$L446))&amp;IF(INDEX(SCNotes,$L446)="",""," — "&amp;INDEX(SCNotes,$L446))),IF($M446&lt;&gt;"",IF(INDEX(LdgNoteB,$M446)="","—",INDEX(LdgNoteB,$M446)),""))</f>
        <v/>
      </c>
      <c r="F446" s="26">
        <f>IF($L446&lt;&gt;"",IF(INDEX(SCNet,$L446)=0,"",INDEX(SCNet,$L446)),"")</f>
        <v/>
      </c>
      <c r="G446" s="27">
        <f>IF($L446&lt;&gt;"",IF(INDEX(SCOp,$L446)="مرجوعی فروش","",IF(INDEX(SCAmount,$L446)&lt;=0,"",INDEX(SCAmount,$L446))),IF($M446&lt;&gt;"",IF(INDEX(LdgWitB,$M446)=0,"",INDEX(LdgWitB,$M446)),""))</f>
        <v/>
      </c>
      <c r="H446" s="27">
        <f>IF($L446&lt;&gt;"",IF(INDEX(SCOp,$L446)="مرجوعی فروش",IF(INDEX(SCAmount,$L446)=0,"",-INDEX(SCAmount,$L446)),""),IF($M446&lt;&gt;"",IF(INDEX(LdgDepB,$M446)=0,"",INDEX(LdgDepB,$M446)),""))</f>
        <v/>
      </c>
      <c r="I446" s="28">
        <f>IF($B446="","",IF($I445="",$C$10,$I445)+IF($G446="",0,$G446)-IF($H446="",0,$H446))</f>
        <v/>
      </c>
      <c r="L446">
        <f>IFERROR(MATCH($C$5&amp;"|"&amp;RIGHT("000000"&amp;430,6),LdgRankKeyA,0),"")</f>
        <v/>
      </c>
      <c r="M446">
        <f>IFERROR(MATCH($C$5&amp;"|"&amp;RIGHT("000000"&amp;430,6),LdgRankKeyB,0),"")</f>
        <v/>
      </c>
    </row>
    <row r="447">
      <c r="A447" s="17" t="n">
        <v>431</v>
      </c>
      <c r="B447" s="18">
        <f>IF(AND($L447="",$M447=""),"",IF($L447&lt;&gt;"",INDEX(SCNormDate,$L447),INDEX(LdgDateB,$M447)))</f>
        <v/>
      </c>
      <c r="C447" s="18">
        <f>IF($L447&lt;&gt;"",INDEX(SCOp,$L447),IF($M447&lt;&gt;"","پرداخت بانکی",""))</f>
        <v/>
      </c>
      <c r="D447" s="18">
        <f>IF($L447&lt;&gt;"",IF(INDEX(SCDoc,$L447)="","—",INDEX(SCDoc,$L447)),IF($M447&lt;&gt;"",INDEX(LdgBankB,$M447),""))</f>
        <v/>
      </c>
      <c r="E447" s="19">
        <f>IF($L447&lt;&gt;"",IF(INDEX(SCCitrus,$L447)&amp;INDEX(SCNotes,$L447)="","",IF(INDEX(SCCitrus,$L447)="","",INDEX(SCCitrus,$L447))&amp;IF(INDEX(SCNotes,$L447)="",""," — "&amp;INDEX(SCNotes,$L447))),IF($M447&lt;&gt;"",IF(INDEX(LdgNoteB,$M447)="","—",INDEX(LdgNoteB,$M447)),""))</f>
        <v/>
      </c>
      <c r="F447" s="20">
        <f>IF($L447&lt;&gt;"",IF(INDEX(SCNet,$L447)=0,"",INDEX(SCNet,$L447)),"")</f>
        <v/>
      </c>
      <c r="G447" s="21">
        <f>IF($L447&lt;&gt;"",IF(INDEX(SCOp,$L447)="مرجوعی فروش","",IF(INDEX(SCAmount,$L447)&lt;=0,"",INDEX(SCAmount,$L447))),IF($M447&lt;&gt;"",IF(INDEX(LdgWitB,$M447)=0,"",INDEX(LdgWitB,$M447)),""))</f>
        <v/>
      </c>
      <c r="H447" s="21">
        <f>IF($L447&lt;&gt;"",IF(INDEX(SCOp,$L447)="مرجوعی فروش",IF(INDEX(SCAmount,$L447)=0,"",-INDEX(SCAmount,$L447)),""),IF($M447&lt;&gt;"",IF(INDEX(LdgDepB,$M447)=0,"",INDEX(LdgDepB,$M447)),""))</f>
        <v/>
      </c>
      <c r="I447" s="22">
        <f>IF($B447="","",IF($I446="",$C$10,$I446)+IF($G447="",0,$G447)-IF($H447="",0,$H447))</f>
        <v/>
      </c>
      <c r="L447">
        <f>IFERROR(MATCH($C$5&amp;"|"&amp;RIGHT("000000"&amp;431,6),LdgRankKeyA,0),"")</f>
        <v/>
      </c>
      <c r="M447">
        <f>IFERROR(MATCH($C$5&amp;"|"&amp;RIGHT("000000"&amp;431,6),LdgRankKeyB,0),"")</f>
        <v/>
      </c>
    </row>
    <row r="448">
      <c r="A448" s="23" t="n">
        <v>432</v>
      </c>
      <c r="B448" s="24">
        <f>IF(AND($L448="",$M448=""),"",IF($L448&lt;&gt;"",INDEX(SCNormDate,$L448),INDEX(LdgDateB,$M448)))</f>
        <v/>
      </c>
      <c r="C448" s="24">
        <f>IF($L448&lt;&gt;"",INDEX(SCOp,$L448),IF($M448&lt;&gt;"","پرداخت بانکی",""))</f>
        <v/>
      </c>
      <c r="D448" s="24">
        <f>IF($L448&lt;&gt;"",IF(INDEX(SCDoc,$L448)="","—",INDEX(SCDoc,$L448)),IF($M448&lt;&gt;"",INDEX(LdgBankB,$M448),""))</f>
        <v/>
      </c>
      <c r="E448" s="25">
        <f>IF($L448&lt;&gt;"",IF(INDEX(SCCitrus,$L448)&amp;INDEX(SCNotes,$L448)="","",IF(INDEX(SCCitrus,$L448)="","",INDEX(SCCitrus,$L448))&amp;IF(INDEX(SCNotes,$L448)="",""," — "&amp;INDEX(SCNotes,$L448))),IF($M448&lt;&gt;"",IF(INDEX(LdgNoteB,$M448)="","—",INDEX(LdgNoteB,$M448)),""))</f>
        <v/>
      </c>
      <c r="F448" s="26">
        <f>IF($L448&lt;&gt;"",IF(INDEX(SCNet,$L448)=0,"",INDEX(SCNet,$L448)),"")</f>
        <v/>
      </c>
      <c r="G448" s="27">
        <f>IF($L448&lt;&gt;"",IF(INDEX(SCOp,$L448)="مرجوعی فروش","",IF(INDEX(SCAmount,$L448)&lt;=0,"",INDEX(SCAmount,$L448))),IF($M448&lt;&gt;"",IF(INDEX(LdgWitB,$M448)=0,"",INDEX(LdgWitB,$M448)),""))</f>
        <v/>
      </c>
      <c r="H448" s="27">
        <f>IF($L448&lt;&gt;"",IF(INDEX(SCOp,$L448)="مرجوعی فروش",IF(INDEX(SCAmount,$L448)=0,"",-INDEX(SCAmount,$L448)),""),IF($M448&lt;&gt;"",IF(INDEX(LdgDepB,$M448)=0,"",INDEX(LdgDepB,$M448)),""))</f>
        <v/>
      </c>
      <c r="I448" s="28">
        <f>IF($B448="","",IF($I447="",$C$10,$I447)+IF($G448="",0,$G448)-IF($H448="",0,$H448))</f>
        <v/>
      </c>
      <c r="L448">
        <f>IFERROR(MATCH($C$5&amp;"|"&amp;RIGHT("000000"&amp;432,6),LdgRankKeyA,0),"")</f>
        <v/>
      </c>
      <c r="M448">
        <f>IFERROR(MATCH($C$5&amp;"|"&amp;RIGHT("000000"&amp;432,6),LdgRankKeyB,0),"")</f>
        <v/>
      </c>
    </row>
    <row r="449">
      <c r="A449" s="17" t="n">
        <v>433</v>
      </c>
      <c r="B449" s="18">
        <f>IF(AND($L449="",$M449=""),"",IF($L449&lt;&gt;"",INDEX(SCNormDate,$L449),INDEX(LdgDateB,$M449)))</f>
        <v/>
      </c>
      <c r="C449" s="18">
        <f>IF($L449&lt;&gt;"",INDEX(SCOp,$L449),IF($M449&lt;&gt;"","پرداخت بانکی",""))</f>
        <v/>
      </c>
      <c r="D449" s="18">
        <f>IF($L449&lt;&gt;"",IF(INDEX(SCDoc,$L449)="","—",INDEX(SCDoc,$L449)),IF($M449&lt;&gt;"",INDEX(LdgBankB,$M449),""))</f>
        <v/>
      </c>
      <c r="E449" s="19">
        <f>IF($L449&lt;&gt;"",IF(INDEX(SCCitrus,$L449)&amp;INDEX(SCNotes,$L449)="","",IF(INDEX(SCCitrus,$L449)="","",INDEX(SCCitrus,$L449))&amp;IF(INDEX(SCNotes,$L449)="",""," — "&amp;INDEX(SCNotes,$L449))),IF($M449&lt;&gt;"",IF(INDEX(LdgNoteB,$M449)="","—",INDEX(LdgNoteB,$M449)),""))</f>
        <v/>
      </c>
      <c r="F449" s="20">
        <f>IF($L449&lt;&gt;"",IF(INDEX(SCNet,$L449)=0,"",INDEX(SCNet,$L449)),"")</f>
        <v/>
      </c>
      <c r="G449" s="21">
        <f>IF($L449&lt;&gt;"",IF(INDEX(SCOp,$L449)="مرجوعی فروش","",IF(INDEX(SCAmount,$L449)&lt;=0,"",INDEX(SCAmount,$L449))),IF($M449&lt;&gt;"",IF(INDEX(LdgWitB,$M449)=0,"",INDEX(LdgWitB,$M449)),""))</f>
        <v/>
      </c>
      <c r="H449" s="21">
        <f>IF($L449&lt;&gt;"",IF(INDEX(SCOp,$L449)="مرجوعی فروش",IF(INDEX(SCAmount,$L449)=0,"",-INDEX(SCAmount,$L449)),""),IF($M449&lt;&gt;"",IF(INDEX(LdgDepB,$M449)=0,"",INDEX(LdgDepB,$M449)),""))</f>
        <v/>
      </c>
      <c r="I449" s="22">
        <f>IF($B449="","",IF($I448="",$C$10,$I448)+IF($G449="",0,$G449)-IF($H449="",0,$H449))</f>
        <v/>
      </c>
      <c r="L449">
        <f>IFERROR(MATCH($C$5&amp;"|"&amp;RIGHT("000000"&amp;433,6),LdgRankKeyA,0),"")</f>
        <v/>
      </c>
      <c r="M449">
        <f>IFERROR(MATCH($C$5&amp;"|"&amp;RIGHT("000000"&amp;433,6),LdgRankKeyB,0),"")</f>
        <v/>
      </c>
    </row>
    <row r="450">
      <c r="A450" s="23" t="n">
        <v>434</v>
      </c>
      <c r="B450" s="24">
        <f>IF(AND($L450="",$M450=""),"",IF($L450&lt;&gt;"",INDEX(SCNormDate,$L450),INDEX(LdgDateB,$M450)))</f>
        <v/>
      </c>
      <c r="C450" s="24">
        <f>IF($L450&lt;&gt;"",INDEX(SCOp,$L450),IF($M450&lt;&gt;"","پرداخت بانکی",""))</f>
        <v/>
      </c>
      <c r="D450" s="24">
        <f>IF($L450&lt;&gt;"",IF(INDEX(SCDoc,$L450)="","—",INDEX(SCDoc,$L450)),IF($M450&lt;&gt;"",INDEX(LdgBankB,$M450),""))</f>
        <v/>
      </c>
      <c r="E450" s="25">
        <f>IF($L450&lt;&gt;"",IF(INDEX(SCCitrus,$L450)&amp;INDEX(SCNotes,$L450)="","",IF(INDEX(SCCitrus,$L450)="","",INDEX(SCCitrus,$L450))&amp;IF(INDEX(SCNotes,$L450)="",""," — "&amp;INDEX(SCNotes,$L450))),IF($M450&lt;&gt;"",IF(INDEX(LdgNoteB,$M450)="","—",INDEX(LdgNoteB,$M450)),""))</f>
        <v/>
      </c>
      <c r="F450" s="26">
        <f>IF($L450&lt;&gt;"",IF(INDEX(SCNet,$L450)=0,"",INDEX(SCNet,$L450)),"")</f>
        <v/>
      </c>
      <c r="G450" s="27">
        <f>IF($L450&lt;&gt;"",IF(INDEX(SCOp,$L450)="مرجوعی فروش","",IF(INDEX(SCAmount,$L450)&lt;=0,"",INDEX(SCAmount,$L450))),IF($M450&lt;&gt;"",IF(INDEX(LdgWitB,$M450)=0,"",INDEX(LdgWitB,$M450)),""))</f>
        <v/>
      </c>
      <c r="H450" s="27">
        <f>IF($L450&lt;&gt;"",IF(INDEX(SCOp,$L450)="مرجوعی فروش",IF(INDEX(SCAmount,$L450)=0,"",-INDEX(SCAmount,$L450)),""),IF($M450&lt;&gt;"",IF(INDEX(LdgDepB,$M450)=0,"",INDEX(LdgDepB,$M450)),""))</f>
        <v/>
      </c>
      <c r="I450" s="28">
        <f>IF($B450="","",IF($I449="",$C$10,$I449)+IF($G450="",0,$G450)-IF($H450="",0,$H450))</f>
        <v/>
      </c>
      <c r="L450">
        <f>IFERROR(MATCH($C$5&amp;"|"&amp;RIGHT("000000"&amp;434,6),LdgRankKeyA,0),"")</f>
        <v/>
      </c>
      <c r="M450">
        <f>IFERROR(MATCH($C$5&amp;"|"&amp;RIGHT("000000"&amp;434,6),LdgRankKeyB,0),"")</f>
        <v/>
      </c>
    </row>
    <row r="451">
      <c r="A451" s="17" t="n">
        <v>435</v>
      </c>
      <c r="B451" s="18">
        <f>IF(AND($L451="",$M451=""),"",IF($L451&lt;&gt;"",INDEX(SCNormDate,$L451),INDEX(LdgDateB,$M451)))</f>
        <v/>
      </c>
      <c r="C451" s="18">
        <f>IF($L451&lt;&gt;"",INDEX(SCOp,$L451),IF($M451&lt;&gt;"","پرداخت بانکی",""))</f>
        <v/>
      </c>
      <c r="D451" s="18">
        <f>IF($L451&lt;&gt;"",IF(INDEX(SCDoc,$L451)="","—",INDEX(SCDoc,$L451)),IF($M451&lt;&gt;"",INDEX(LdgBankB,$M451),""))</f>
        <v/>
      </c>
      <c r="E451" s="19">
        <f>IF($L451&lt;&gt;"",IF(INDEX(SCCitrus,$L451)&amp;INDEX(SCNotes,$L451)="","",IF(INDEX(SCCitrus,$L451)="","",INDEX(SCCitrus,$L451))&amp;IF(INDEX(SCNotes,$L451)="",""," — "&amp;INDEX(SCNotes,$L451))),IF($M451&lt;&gt;"",IF(INDEX(LdgNoteB,$M451)="","—",INDEX(LdgNoteB,$M451)),""))</f>
        <v/>
      </c>
      <c r="F451" s="20">
        <f>IF($L451&lt;&gt;"",IF(INDEX(SCNet,$L451)=0,"",INDEX(SCNet,$L451)),"")</f>
        <v/>
      </c>
      <c r="G451" s="21">
        <f>IF($L451&lt;&gt;"",IF(INDEX(SCOp,$L451)="مرجوعی فروش","",IF(INDEX(SCAmount,$L451)&lt;=0,"",INDEX(SCAmount,$L451))),IF($M451&lt;&gt;"",IF(INDEX(LdgWitB,$M451)=0,"",INDEX(LdgWitB,$M451)),""))</f>
        <v/>
      </c>
      <c r="H451" s="21">
        <f>IF($L451&lt;&gt;"",IF(INDEX(SCOp,$L451)="مرجوعی فروش",IF(INDEX(SCAmount,$L451)=0,"",-INDEX(SCAmount,$L451)),""),IF($M451&lt;&gt;"",IF(INDEX(LdgDepB,$M451)=0,"",INDEX(LdgDepB,$M451)),""))</f>
        <v/>
      </c>
      <c r="I451" s="22">
        <f>IF($B451="","",IF($I450="",$C$10,$I450)+IF($G451="",0,$G451)-IF($H451="",0,$H451))</f>
        <v/>
      </c>
      <c r="L451">
        <f>IFERROR(MATCH($C$5&amp;"|"&amp;RIGHT("000000"&amp;435,6),LdgRankKeyA,0),"")</f>
        <v/>
      </c>
      <c r="M451">
        <f>IFERROR(MATCH($C$5&amp;"|"&amp;RIGHT("000000"&amp;435,6),LdgRankKeyB,0),"")</f>
        <v/>
      </c>
    </row>
    <row r="452">
      <c r="A452" s="23" t="n">
        <v>436</v>
      </c>
      <c r="B452" s="24">
        <f>IF(AND($L452="",$M452=""),"",IF($L452&lt;&gt;"",INDEX(SCNormDate,$L452),INDEX(LdgDateB,$M452)))</f>
        <v/>
      </c>
      <c r="C452" s="24">
        <f>IF($L452&lt;&gt;"",INDEX(SCOp,$L452),IF($M452&lt;&gt;"","پرداخت بانکی",""))</f>
        <v/>
      </c>
      <c r="D452" s="24">
        <f>IF($L452&lt;&gt;"",IF(INDEX(SCDoc,$L452)="","—",INDEX(SCDoc,$L452)),IF($M452&lt;&gt;"",INDEX(LdgBankB,$M452),""))</f>
        <v/>
      </c>
      <c r="E452" s="25">
        <f>IF($L452&lt;&gt;"",IF(INDEX(SCCitrus,$L452)&amp;INDEX(SCNotes,$L452)="","",IF(INDEX(SCCitrus,$L452)="","",INDEX(SCCitrus,$L452))&amp;IF(INDEX(SCNotes,$L452)="",""," — "&amp;INDEX(SCNotes,$L452))),IF($M452&lt;&gt;"",IF(INDEX(LdgNoteB,$M452)="","—",INDEX(LdgNoteB,$M452)),""))</f>
        <v/>
      </c>
      <c r="F452" s="26">
        <f>IF($L452&lt;&gt;"",IF(INDEX(SCNet,$L452)=0,"",INDEX(SCNet,$L452)),"")</f>
        <v/>
      </c>
      <c r="G452" s="27">
        <f>IF($L452&lt;&gt;"",IF(INDEX(SCOp,$L452)="مرجوعی فروش","",IF(INDEX(SCAmount,$L452)&lt;=0,"",INDEX(SCAmount,$L452))),IF($M452&lt;&gt;"",IF(INDEX(LdgWitB,$M452)=0,"",INDEX(LdgWitB,$M452)),""))</f>
        <v/>
      </c>
      <c r="H452" s="27">
        <f>IF($L452&lt;&gt;"",IF(INDEX(SCOp,$L452)="مرجوعی فروش",IF(INDEX(SCAmount,$L452)=0,"",-INDEX(SCAmount,$L452)),""),IF($M452&lt;&gt;"",IF(INDEX(LdgDepB,$M452)=0,"",INDEX(LdgDepB,$M452)),""))</f>
        <v/>
      </c>
      <c r="I452" s="28">
        <f>IF($B452="","",IF($I451="",$C$10,$I451)+IF($G452="",0,$G452)-IF($H452="",0,$H452))</f>
        <v/>
      </c>
      <c r="L452">
        <f>IFERROR(MATCH($C$5&amp;"|"&amp;RIGHT("000000"&amp;436,6),LdgRankKeyA,0),"")</f>
        <v/>
      </c>
      <c r="M452">
        <f>IFERROR(MATCH($C$5&amp;"|"&amp;RIGHT("000000"&amp;436,6),LdgRankKeyB,0),"")</f>
        <v/>
      </c>
    </row>
    <row r="453">
      <c r="A453" s="17" t="n">
        <v>437</v>
      </c>
      <c r="B453" s="18">
        <f>IF(AND($L453="",$M453=""),"",IF($L453&lt;&gt;"",INDEX(SCNormDate,$L453),INDEX(LdgDateB,$M453)))</f>
        <v/>
      </c>
      <c r="C453" s="18">
        <f>IF($L453&lt;&gt;"",INDEX(SCOp,$L453),IF($M453&lt;&gt;"","پرداخت بانکی",""))</f>
        <v/>
      </c>
      <c r="D453" s="18">
        <f>IF($L453&lt;&gt;"",IF(INDEX(SCDoc,$L453)="","—",INDEX(SCDoc,$L453)),IF($M453&lt;&gt;"",INDEX(LdgBankB,$M453),""))</f>
        <v/>
      </c>
      <c r="E453" s="19">
        <f>IF($L453&lt;&gt;"",IF(INDEX(SCCitrus,$L453)&amp;INDEX(SCNotes,$L453)="","",IF(INDEX(SCCitrus,$L453)="","",INDEX(SCCitrus,$L453))&amp;IF(INDEX(SCNotes,$L453)="",""," — "&amp;INDEX(SCNotes,$L453))),IF($M453&lt;&gt;"",IF(INDEX(LdgNoteB,$M453)="","—",INDEX(LdgNoteB,$M453)),""))</f>
        <v/>
      </c>
      <c r="F453" s="20">
        <f>IF($L453&lt;&gt;"",IF(INDEX(SCNet,$L453)=0,"",INDEX(SCNet,$L453)),"")</f>
        <v/>
      </c>
      <c r="G453" s="21">
        <f>IF($L453&lt;&gt;"",IF(INDEX(SCOp,$L453)="مرجوعی فروش","",IF(INDEX(SCAmount,$L453)&lt;=0,"",INDEX(SCAmount,$L453))),IF($M453&lt;&gt;"",IF(INDEX(LdgWitB,$M453)=0,"",INDEX(LdgWitB,$M453)),""))</f>
        <v/>
      </c>
      <c r="H453" s="21">
        <f>IF($L453&lt;&gt;"",IF(INDEX(SCOp,$L453)="مرجوعی فروش",IF(INDEX(SCAmount,$L453)=0,"",-INDEX(SCAmount,$L453)),""),IF($M453&lt;&gt;"",IF(INDEX(LdgDepB,$M453)=0,"",INDEX(LdgDepB,$M453)),""))</f>
        <v/>
      </c>
      <c r="I453" s="22">
        <f>IF($B453="","",IF($I452="",$C$10,$I452)+IF($G453="",0,$G453)-IF($H453="",0,$H453))</f>
        <v/>
      </c>
      <c r="L453">
        <f>IFERROR(MATCH($C$5&amp;"|"&amp;RIGHT("000000"&amp;437,6),LdgRankKeyA,0),"")</f>
        <v/>
      </c>
      <c r="M453">
        <f>IFERROR(MATCH($C$5&amp;"|"&amp;RIGHT("000000"&amp;437,6),LdgRankKeyB,0),"")</f>
        <v/>
      </c>
    </row>
    <row r="454">
      <c r="A454" s="23" t="n">
        <v>438</v>
      </c>
      <c r="B454" s="24">
        <f>IF(AND($L454="",$M454=""),"",IF($L454&lt;&gt;"",INDEX(SCNormDate,$L454),INDEX(LdgDateB,$M454)))</f>
        <v/>
      </c>
      <c r="C454" s="24">
        <f>IF($L454&lt;&gt;"",INDEX(SCOp,$L454),IF($M454&lt;&gt;"","پرداخت بانکی",""))</f>
        <v/>
      </c>
      <c r="D454" s="24">
        <f>IF($L454&lt;&gt;"",IF(INDEX(SCDoc,$L454)="","—",INDEX(SCDoc,$L454)),IF($M454&lt;&gt;"",INDEX(LdgBankB,$M454),""))</f>
        <v/>
      </c>
      <c r="E454" s="25">
        <f>IF($L454&lt;&gt;"",IF(INDEX(SCCitrus,$L454)&amp;INDEX(SCNotes,$L454)="","",IF(INDEX(SCCitrus,$L454)="","",INDEX(SCCitrus,$L454))&amp;IF(INDEX(SCNotes,$L454)="",""," — "&amp;INDEX(SCNotes,$L454))),IF($M454&lt;&gt;"",IF(INDEX(LdgNoteB,$M454)="","—",INDEX(LdgNoteB,$M454)),""))</f>
        <v/>
      </c>
      <c r="F454" s="26">
        <f>IF($L454&lt;&gt;"",IF(INDEX(SCNet,$L454)=0,"",INDEX(SCNet,$L454)),"")</f>
        <v/>
      </c>
      <c r="G454" s="27">
        <f>IF($L454&lt;&gt;"",IF(INDEX(SCOp,$L454)="مرجوعی فروش","",IF(INDEX(SCAmount,$L454)&lt;=0,"",INDEX(SCAmount,$L454))),IF($M454&lt;&gt;"",IF(INDEX(LdgWitB,$M454)=0,"",INDEX(LdgWitB,$M454)),""))</f>
        <v/>
      </c>
      <c r="H454" s="27">
        <f>IF($L454&lt;&gt;"",IF(INDEX(SCOp,$L454)="مرجوعی فروش",IF(INDEX(SCAmount,$L454)=0,"",-INDEX(SCAmount,$L454)),""),IF($M454&lt;&gt;"",IF(INDEX(LdgDepB,$M454)=0,"",INDEX(LdgDepB,$M454)),""))</f>
        <v/>
      </c>
      <c r="I454" s="28">
        <f>IF($B454="","",IF($I453="",$C$10,$I453)+IF($G454="",0,$G454)-IF($H454="",0,$H454))</f>
        <v/>
      </c>
      <c r="L454">
        <f>IFERROR(MATCH($C$5&amp;"|"&amp;RIGHT("000000"&amp;438,6),LdgRankKeyA,0),"")</f>
        <v/>
      </c>
      <c r="M454">
        <f>IFERROR(MATCH($C$5&amp;"|"&amp;RIGHT("000000"&amp;438,6),LdgRankKeyB,0),"")</f>
        <v/>
      </c>
    </row>
    <row r="455">
      <c r="A455" s="17" t="n">
        <v>439</v>
      </c>
      <c r="B455" s="18">
        <f>IF(AND($L455="",$M455=""),"",IF($L455&lt;&gt;"",INDEX(SCNormDate,$L455),INDEX(LdgDateB,$M455)))</f>
        <v/>
      </c>
      <c r="C455" s="18">
        <f>IF($L455&lt;&gt;"",INDEX(SCOp,$L455),IF($M455&lt;&gt;"","پرداخت بانکی",""))</f>
        <v/>
      </c>
      <c r="D455" s="18">
        <f>IF($L455&lt;&gt;"",IF(INDEX(SCDoc,$L455)="","—",INDEX(SCDoc,$L455)),IF($M455&lt;&gt;"",INDEX(LdgBankB,$M455),""))</f>
        <v/>
      </c>
      <c r="E455" s="19">
        <f>IF($L455&lt;&gt;"",IF(INDEX(SCCitrus,$L455)&amp;INDEX(SCNotes,$L455)="","",IF(INDEX(SCCitrus,$L455)="","",INDEX(SCCitrus,$L455))&amp;IF(INDEX(SCNotes,$L455)="",""," — "&amp;INDEX(SCNotes,$L455))),IF($M455&lt;&gt;"",IF(INDEX(LdgNoteB,$M455)="","—",INDEX(LdgNoteB,$M455)),""))</f>
        <v/>
      </c>
      <c r="F455" s="20">
        <f>IF($L455&lt;&gt;"",IF(INDEX(SCNet,$L455)=0,"",INDEX(SCNet,$L455)),"")</f>
        <v/>
      </c>
      <c r="G455" s="21">
        <f>IF($L455&lt;&gt;"",IF(INDEX(SCOp,$L455)="مرجوعی فروش","",IF(INDEX(SCAmount,$L455)&lt;=0,"",INDEX(SCAmount,$L455))),IF($M455&lt;&gt;"",IF(INDEX(LdgWitB,$M455)=0,"",INDEX(LdgWitB,$M455)),""))</f>
        <v/>
      </c>
      <c r="H455" s="21">
        <f>IF($L455&lt;&gt;"",IF(INDEX(SCOp,$L455)="مرجوعی فروش",IF(INDEX(SCAmount,$L455)=0,"",-INDEX(SCAmount,$L455)),""),IF($M455&lt;&gt;"",IF(INDEX(LdgDepB,$M455)=0,"",INDEX(LdgDepB,$M455)),""))</f>
        <v/>
      </c>
      <c r="I455" s="22">
        <f>IF($B455="","",IF($I454="",$C$10,$I454)+IF($G455="",0,$G455)-IF($H455="",0,$H455))</f>
        <v/>
      </c>
      <c r="L455">
        <f>IFERROR(MATCH($C$5&amp;"|"&amp;RIGHT("000000"&amp;439,6),LdgRankKeyA,0),"")</f>
        <v/>
      </c>
      <c r="M455">
        <f>IFERROR(MATCH($C$5&amp;"|"&amp;RIGHT("000000"&amp;439,6),LdgRankKeyB,0),"")</f>
        <v/>
      </c>
    </row>
    <row r="456">
      <c r="A456" s="23" t="n">
        <v>440</v>
      </c>
      <c r="B456" s="24">
        <f>IF(AND($L456="",$M456=""),"",IF($L456&lt;&gt;"",INDEX(SCNormDate,$L456),INDEX(LdgDateB,$M456)))</f>
        <v/>
      </c>
      <c r="C456" s="24">
        <f>IF($L456&lt;&gt;"",INDEX(SCOp,$L456),IF($M456&lt;&gt;"","پرداخت بانکی",""))</f>
        <v/>
      </c>
      <c r="D456" s="24">
        <f>IF($L456&lt;&gt;"",IF(INDEX(SCDoc,$L456)="","—",INDEX(SCDoc,$L456)),IF($M456&lt;&gt;"",INDEX(LdgBankB,$M456),""))</f>
        <v/>
      </c>
      <c r="E456" s="25">
        <f>IF($L456&lt;&gt;"",IF(INDEX(SCCitrus,$L456)&amp;INDEX(SCNotes,$L456)="","",IF(INDEX(SCCitrus,$L456)="","",INDEX(SCCitrus,$L456))&amp;IF(INDEX(SCNotes,$L456)="",""," — "&amp;INDEX(SCNotes,$L456))),IF($M456&lt;&gt;"",IF(INDEX(LdgNoteB,$M456)="","—",INDEX(LdgNoteB,$M456)),""))</f>
        <v/>
      </c>
      <c r="F456" s="26">
        <f>IF($L456&lt;&gt;"",IF(INDEX(SCNet,$L456)=0,"",INDEX(SCNet,$L456)),"")</f>
        <v/>
      </c>
      <c r="G456" s="27">
        <f>IF($L456&lt;&gt;"",IF(INDEX(SCOp,$L456)="مرجوعی فروش","",IF(INDEX(SCAmount,$L456)&lt;=0,"",INDEX(SCAmount,$L456))),IF($M456&lt;&gt;"",IF(INDEX(LdgWitB,$M456)=0,"",INDEX(LdgWitB,$M456)),""))</f>
        <v/>
      </c>
      <c r="H456" s="27">
        <f>IF($L456&lt;&gt;"",IF(INDEX(SCOp,$L456)="مرجوعی فروش",IF(INDEX(SCAmount,$L456)=0,"",-INDEX(SCAmount,$L456)),""),IF($M456&lt;&gt;"",IF(INDEX(LdgDepB,$M456)=0,"",INDEX(LdgDepB,$M456)),""))</f>
        <v/>
      </c>
      <c r="I456" s="28">
        <f>IF($B456="","",IF($I455="",$C$10,$I455)+IF($G456="",0,$G456)-IF($H456="",0,$H456))</f>
        <v/>
      </c>
      <c r="L456">
        <f>IFERROR(MATCH($C$5&amp;"|"&amp;RIGHT("000000"&amp;440,6),LdgRankKeyA,0),"")</f>
        <v/>
      </c>
      <c r="M456">
        <f>IFERROR(MATCH($C$5&amp;"|"&amp;RIGHT("000000"&amp;440,6),LdgRankKeyB,0),"")</f>
        <v/>
      </c>
    </row>
    <row r="457">
      <c r="A457" s="17" t="n">
        <v>441</v>
      </c>
      <c r="B457" s="18">
        <f>IF(AND($L457="",$M457=""),"",IF($L457&lt;&gt;"",INDEX(SCNormDate,$L457),INDEX(LdgDateB,$M457)))</f>
        <v/>
      </c>
      <c r="C457" s="18">
        <f>IF($L457&lt;&gt;"",INDEX(SCOp,$L457),IF($M457&lt;&gt;"","پرداخت بانکی",""))</f>
        <v/>
      </c>
      <c r="D457" s="18">
        <f>IF($L457&lt;&gt;"",IF(INDEX(SCDoc,$L457)="","—",INDEX(SCDoc,$L457)),IF($M457&lt;&gt;"",INDEX(LdgBankB,$M457),""))</f>
        <v/>
      </c>
      <c r="E457" s="19">
        <f>IF($L457&lt;&gt;"",IF(INDEX(SCCitrus,$L457)&amp;INDEX(SCNotes,$L457)="","",IF(INDEX(SCCitrus,$L457)="","",INDEX(SCCitrus,$L457))&amp;IF(INDEX(SCNotes,$L457)="",""," — "&amp;INDEX(SCNotes,$L457))),IF($M457&lt;&gt;"",IF(INDEX(LdgNoteB,$M457)="","—",INDEX(LdgNoteB,$M457)),""))</f>
        <v/>
      </c>
      <c r="F457" s="20">
        <f>IF($L457&lt;&gt;"",IF(INDEX(SCNet,$L457)=0,"",INDEX(SCNet,$L457)),"")</f>
        <v/>
      </c>
      <c r="G457" s="21">
        <f>IF($L457&lt;&gt;"",IF(INDEX(SCOp,$L457)="مرجوعی فروش","",IF(INDEX(SCAmount,$L457)&lt;=0,"",INDEX(SCAmount,$L457))),IF($M457&lt;&gt;"",IF(INDEX(LdgWitB,$M457)=0,"",INDEX(LdgWitB,$M457)),""))</f>
        <v/>
      </c>
      <c r="H457" s="21">
        <f>IF($L457&lt;&gt;"",IF(INDEX(SCOp,$L457)="مرجوعی فروش",IF(INDEX(SCAmount,$L457)=0,"",-INDEX(SCAmount,$L457)),""),IF($M457&lt;&gt;"",IF(INDEX(LdgDepB,$M457)=0,"",INDEX(LdgDepB,$M457)),""))</f>
        <v/>
      </c>
      <c r="I457" s="22">
        <f>IF($B457="","",IF($I456="",$C$10,$I456)+IF($G457="",0,$G457)-IF($H457="",0,$H457))</f>
        <v/>
      </c>
      <c r="L457">
        <f>IFERROR(MATCH($C$5&amp;"|"&amp;RIGHT("000000"&amp;441,6),LdgRankKeyA,0),"")</f>
        <v/>
      </c>
      <c r="M457">
        <f>IFERROR(MATCH($C$5&amp;"|"&amp;RIGHT("000000"&amp;441,6),LdgRankKeyB,0),"")</f>
        <v/>
      </c>
    </row>
    <row r="458">
      <c r="A458" s="23" t="n">
        <v>442</v>
      </c>
      <c r="B458" s="24">
        <f>IF(AND($L458="",$M458=""),"",IF($L458&lt;&gt;"",INDEX(SCNormDate,$L458),INDEX(LdgDateB,$M458)))</f>
        <v/>
      </c>
      <c r="C458" s="24">
        <f>IF($L458&lt;&gt;"",INDEX(SCOp,$L458),IF($M458&lt;&gt;"","پرداخت بانکی",""))</f>
        <v/>
      </c>
      <c r="D458" s="24">
        <f>IF($L458&lt;&gt;"",IF(INDEX(SCDoc,$L458)="","—",INDEX(SCDoc,$L458)),IF($M458&lt;&gt;"",INDEX(LdgBankB,$M458),""))</f>
        <v/>
      </c>
      <c r="E458" s="25">
        <f>IF($L458&lt;&gt;"",IF(INDEX(SCCitrus,$L458)&amp;INDEX(SCNotes,$L458)="","",IF(INDEX(SCCitrus,$L458)="","",INDEX(SCCitrus,$L458))&amp;IF(INDEX(SCNotes,$L458)="",""," — "&amp;INDEX(SCNotes,$L458))),IF($M458&lt;&gt;"",IF(INDEX(LdgNoteB,$M458)="","—",INDEX(LdgNoteB,$M458)),""))</f>
        <v/>
      </c>
      <c r="F458" s="26">
        <f>IF($L458&lt;&gt;"",IF(INDEX(SCNet,$L458)=0,"",INDEX(SCNet,$L458)),"")</f>
        <v/>
      </c>
      <c r="G458" s="27">
        <f>IF($L458&lt;&gt;"",IF(INDEX(SCOp,$L458)="مرجوعی فروش","",IF(INDEX(SCAmount,$L458)&lt;=0,"",INDEX(SCAmount,$L458))),IF($M458&lt;&gt;"",IF(INDEX(LdgWitB,$M458)=0,"",INDEX(LdgWitB,$M458)),""))</f>
        <v/>
      </c>
      <c r="H458" s="27">
        <f>IF($L458&lt;&gt;"",IF(INDEX(SCOp,$L458)="مرجوعی فروش",IF(INDEX(SCAmount,$L458)=0,"",-INDEX(SCAmount,$L458)),""),IF($M458&lt;&gt;"",IF(INDEX(LdgDepB,$M458)=0,"",INDEX(LdgDepB,$M458)),""))</f>
        <v/>
      </c>
      <c r="I458" s="28">
        <f>IF($B458="","",IF($I457="",$C$10,$I457)+IF($G458="",0,$G458)-IF($H458="",0,$H458))</f>
        <v/>
      </c>
      <c r="L458">
        <f>IFERROR(MATCH($C$5&amp;"|"&amp;RIGHT("000000"&amp;442,6),LdgRankKeyA,0),"")</f>
        <v/>
      </c>
      <c r="M458">
        <f>IFERROR(MATCH($C$5&amp;"|"&amp;RIGHT("000000"&amp;442,6),LdgRankKeyB,0),"")</f>
        <v/>
      </c>
    </row>
    <row r="459">
      <c r="A459" s="17" t="n">
        <v>443</v>
      </c>
      <c r="B459" s="18">
        <f>IF(AND($L459="",$M459=""),"",IF($L459&lt;&gt;"",INDEX(SCNormDate,$L459),INDEX(LdgDateB,$M459)))</f>
        <v/>
      </c>
      <c r="C459" s="18">
        <f>IF($L459&lt;&gt;"",INDEX(SCOp,$L459),IF($M459&lt;&gt;"","پرداخت بانکی",""))</f>
        <v/>
      </c>
      <c r="D459" s="18">
        <f>IF($L459&lt;&gt;"",IF(INDEX(SCDoc,$L459)="","—",INDEX(SCDoc,$L459)),IF($M459&lt;&gt;"",INDEX(LdgBankB,$M459),""))</f>
        <v/>
      </c>
      <c r="E459" s="19">
        <f>IF($L459&lt;&gt;"",IF(INDEX(SCCitrus,$L459)&amp;INDEX(SCNotes,$L459)="","",IF(INDEX(SCCitrus,$L459)="","",INDEX(SCCitrus,$L459))&amp;IF(INDEX(SCNotes,$L459)="",""," — "&amp;INDEX(SCNotes,$L459))),IF($M459&lt;&gt;"",IF(INDEX(LdgNoteB,$M459)="","—",INDEX(LdgNoteB,$M459)),""))</f>
        <v/>
      </c>
      <c r="F459" s="20">
        <f>IF($L459&lt;&gt;"",IF(INDEX(SCNet,$L459)=0,"",INDEX(SCNet,$L459)),"")</f>
        <v/>
      </c>
      <c r="G459" s="21">
        <f>IF($L459&lt;&gt;"",IF(INDEX(SCOp,$L459)="مرجوعی فروش","",IF(INDEX(SCAmount,$L459)&lt;=0,"",INDEX(SCAmount,$L459))),IF($M459&lt;&gt;"",IF(INDEX(LdgWitB,$M459)=0,"",INDEX(LdgWitB,$M459)),""))</f>
        <v/>
      </c>
      <c r="H459" s="21">
        <f>IF($L459&lt;&gt;"",IF(INDEX(SCOp,$L459)="مرجوعی فروش",IF(INDEX(SCAmount,$L459)=0,"",-INDEX(SCAmount,$L459)),""),IF($M459&lt;&gt;"",IF(INDEX(LdgDepB,$M459)=0,"",INDEX(LdgDepB,$M459)),""))</f>
        <v/>
      </c>
      <c r="I459" s="22">
        <f>IF($B459="","",IF($I458="",$C$10,$I458)+IF($G459="",0,$G459)-IF($H459="",0,$H459))</f>
        <v/>
      </c>
      <c r="L459">
        <f>IFERROR(MATCH($C$5&amp;"|"&amp;RIGHT("000000"&amp;443,6),LdgRankKeyA,0),"")</f>
        <v/>
      </c>
      <c r="M459">
        <f>IFERROR(MATCH($C$5&amp;"|"&amp;RIGHT("000000"&amp;443,6),LdgRankKeyB,0),"")</f>
        <v/>
      </c>
    </row>
    <row r="460">
      <c r="A460" s="23" t="n">
        <v>444</v>
      </c>
      <c r="B460" s="24">
        <f>IF(AND($L460="",$M460=""),"",IF($L460&lt;&gt;"",INDEX(SCNormDate,$L460),INDEX(LdgDateB,$M460)))</f>
        <v/>
      </c>
      <c r="C460" s="24">
        <f>IF($L460&lt;&gt;"",INDEX(SCOp,$L460),IF($M460&lt;&gt;"","پرداخت بانکی",""))</f>
        <v/>
      </c>
      <c r="D460" s="24">
        <f>IF($L460&lt;&gt;"",IF(INDEX(SCDoc,$L460)="","—",INDEX(SCDoc,$L460)),IF($M460&lt;&gt;"",INDEX(LdgBankB,$M460),""))</f>
        <v/>
      </c>
      <c r="E460" s="25">
        <f>IF($L460&lt;&gt;"",IF(INDEX(SCCitrus,$L460)&amp;INDEX(SCNotes,$L460)="","",IF(INDEX(SCCitrus,$L460)="","",INDEX(SCCitrus,$L460))&amp;IF(INDEX(SCNotes,$L460)="",""," — "&amp;INDEX(SCNotes,$L460))),IF($M460&lt;&gt;"",IF(INDEX(LdgNoteB,$M460)="","—",INDEX(LdgNoteB,$M460)),""))</f>
        <v/>
      </c>
      <c r="F460" s="26">
        <f>IF($L460&lt;&gt;"",IF(INDEX(SCNet,$L460)=0,"",INDEX(SCNet,$L460)),"")</f>
        <v/>
      </c>
      <c r="G460" s="27">
        <f>IF($L460&lt;&gt;"",IF(INDEX(SCOp,$L460)="مرجوعی فروش","",IF(INDEX(SCAmount,$L460)&lt;=0,"",INDEX(SCAmount,$L460))),IF($M460&lt;&gt;"",IF(INDEX(LdgWitB,$M460)=0,"",INDEX(LdgWitB,$M460)),""))</f>
        <v/>
      </c>
      <c r="H460" s="27">
        <f>IF($L460&lt;&gt;"",IF(INDEX(SCOp,$L460)="مرجوعی فروش",IF(INDEX(SCAmount,$L460)=0,"",-INDEX(SCAmount,$L460)),""),IF($M460&lt;&gt;"",IF(INDEX(LdgDepB,$M460)=0,"",INDEX(LdgDepB,$M460)),""))</f>
        <v/>
      </c>
      <c r="I460" s="28">
        <f>IF($B460="","",IF($I459="",$C$10,$I459)+IF($G460="",0,$G460)-IF($H460="",0,$H460))</f>
        <v/>
      </c>
      <c r="L460">
        <f>IFERROR(MATCH($C$5&amp;"|"&amp;RIGHT("000000"&amp;444,6),LdgRankKeyA,0),"")</f>
        <v/>
      </c>
      <c r="M460">
        <f>IFERROR(MATCH($C$5&amp;"|"&amp;RIGHT("000000"&amp;444,6),LdgRankKeyB,0),"")</f>
        <v/>
      </c>
    </row>
    <row r="461">
      <c r="A461" s="17" t="n">
        <v>445</v>
      </c>
      <c r="B461" s="18">
        <f>IF(AND($L461="",$M461=""),"",IF($L461&lt;&gt;"",INDEX(SCNormDate,$L461),INDEX(LdgDateB,$M461)))</f>
        <v/>
      </c>
      <c r="C461" s="18">
        <f>IF($L461&lt;&gt;"",INDEX(SCOp,$L461),IF($M461&lt;&gt;"","پرداخت بانکی",""))</f>
        <v/>
      </c>
      <c r="D461" s="18">
        <f>IF($L461&lt;&gt;"",IF(INDEX(SCDoc,$L461)="","—",INDEX(SCDoc,$L461)),IF($M461&lt;&gt;"",INDEX(LdgBankB,$M461),""))</f>
        <v/>
      </c>
      <c r="E461" s="19">
        <f>IF($L461&lt;&gt;"",IF(INDEX(SCCitrus,$L461)&amp;INDEX(SCNotes,$L461)="","",IF(INDEX(SCCitrus,$L461)="","",INDEX(SCCitrus,$L461))&amp;IF(INDEX(SCNotes,$L461)="",""," — "&amp;INDEX(SCNotes,$L461))),IF($M461&lt;&gt;"",IF(INDEX(LdgNoteB,$M461)="","—",INDEX(LdgNoteB,$M461)),""))</f>
        <v/>
      </c>
      <c r="F461" s="20">
        <f>IF($L461&lt;&gt;"",IF(INDEX(SCNet,$L461)=0,"",INDEX(SCNet,$L461)),"")</f>
        <v/>
      </c>
      <c r="G461" s="21">
        <f>IF($L461&lt;&gt;"",IF(INDEX(SCOp,$L461)="مرجوعی فروش","",IF(INDEX(SCAmount,$L461)&lt;=0,"",INDEX(SCAmount,$L461))),IF($M461&lt;&gt;"",IF(INDEX(LdgWitB,$M461)=0,"",INDEX(LdgWitB,$M461)),""))</f>
        <v/>
      </c>
      <c r="H461" s="21">
        <f>IF($L461&lt;&gt;"",IF(INDEX(SCOp,$L461)="مرجوعی فروش",IF(INDEX(SCAmount,$L461)=0,"",-INDEX(SCAmount,$L461)),""),IF($M461&lt;&gt;"",IF(INDEX(LdgDepB,$M461)=0,"",INDEX(LdgDepB,$M461)),""))</f>
        <v/>
      </c>
      <c r="I461" s="22">
        <f>IF($B461="","",IF($I460="",$C$10,$I460)+IF($G461="",0,$G461)-IF($H461="",0,$H461))</f>
        <v/>
      </c>
      <c r="L461">
        <f>IFERROR(MATCH($C$5&amp;"|"&amp;RIGHT("000000"&amp;445,6),LdgRankKeyA,0),"")</f>
        <v/>
      </c>
      <c r="M461">
        <f>IFERROR(MATCH($C$5&amp;"|"&amp;RIGHT("000000"&amp;445,6),LdgRankKeyB,0),"")</f>
        <v/>
      </c>
    </row>
    <row r="462">
      <c r="A462" s="23" t="n">
        <v>446</v>
      </c>
      <c r="B462" s="24">
        <f>IF(AND($L462="",$M462=""),"",IF($L462&lt;&gt;"",INDEX(SCNormDate,$L462),INDEX(LdgDateB,$M462)))</f>
        <v/>
      </c>
      <c r="C462" s="24">
        <f>IF($L462&lt;&gt;"",INDEX(SCOp,$L462),IF($M462&lt;&gt;"","پرداخت بانکی",""))</f>
        <v/>
      </c>
      <c r="D462" s="24">
        <f>IF($L462&lt;&gt;"",IF(INDEX(SCDoc,$L462)="","—",INDEX(SCDoc,$L462)),IF($M462&lt;&gt;"",INDEX(LdgBankB,$M462),""))</f>
        <v/>
      </c>
      <c r="E462" s="25">
        <f>IF($L462&lt;&gt;"",IF(INDEX(SCCitrus,$L462)&amp;INDEX(SCNotes,$L462)="","",IF(INDEX(SCCitrus,$L462)="","",INDEX(SCCitrus,$L462))&amp;IF(INDEX(SCNotes,$L462)="",""," — "&amp;INDEX(SCNotes,$L462))),IF($M462&lt;&gt;"",IF(INDEX(LdgNoteB,$M462)="","—",INDEX(LdgNoteB,$M462)),""))</f>
        <v/>
      </c>
      <c r="F462" s="26">
        <f>IF($L462&lt;&gt;"",IF(INDEX(SCNet,$L462)=0,"",INDEX(SCNet,$L462)),"")</f>
        <v/>
      </c>
      <c r="G462" s="27">
        <f>IF($L462&lt;&gt;"",IF(INDEX(SCOp,$L462)="مرجوعی فروش","",IF(INDEX(SCAmount,$L462)&lt;=0,"",INDEX(SCAmount,$L462))),IF($M462&lt;&gt;"",IF(INDEX(LdgWitB,$M462)=0,"",INDEX(LdgWitB,$M462)),""))</f>
        <v/>
      </c>
      <c r="H462" s="27">
        <f>IF($L462&lt;&gt;"",IF(INDEX(SCOp,$L462)="مرجوعی فروش",IF(INDEX(SCAmount,$L462)=0,"",-INDEX(SCAmount,$L462)),""),IF($M462&lt;&gt;"",IF(INDEX(LdgDepB,$M462)=0,"",INDEX(LdgDepB,$M462)),""))</f>
        <v/>
      </c>
      <c r="I462" s="28">
        <f>IF($B462="","",IF($I461="",$C$10,$I461)+IF($G462="",0,$G462)-IF($H462="",0,$H462))</f>
        <v/>
      </c>
      <c r="L462">
        <f>IFERROR(MATCH($C$5&amp;"|"&amp;RIGHT("000000"&amp;446,6),LdgRankKeyA,0),"")</f>
        <v/>
      </c>
      <c r="M462">
        <f>IFERROR(MATCH($C$5&amp;"|"&amp;RIGHT("000000"&amp;446,6),LdgRankKeyB,0),"")</f>
        <v/>
      </c>
    </row>
    <row r="463">
      <c r="A463" s="17" t="n">
        <v>447</v>
      </c>
      <c r="B463" s="18">
        <f>IF(AND($L463="",$M463=""),"",IF($L463&lt;&gt;"",INDEX(SCNormDate,$L463),INDEX(LdgDateB,$M463)))</f>
        <v/>
      </c>
      <c r="C463" s="18">
        <f>IF($L463&lt;&gt;"",INDEX(SCOp,$L463),IF($M463&lt;&gt;"","پرداخت بانکی",""))</f>
        <v/>
      </c>
      <c r="D463" s="18">
        <f>IF($L463&lt;&gt;"",IF(INDEX(SCDoc,$L463)="","—",INDEX(SCDoc,$L463)),IF($M463&lt;&gt;"",INDEX(LdgBankB,$M463),""))</f>
        <v/>
      </c>
      <c r="E463" s="19">
        <f>IF($L463&lt;&gt;"",IF(INDEX(SCCitrus,$L463)&amp;INDEX(SCNotes,$L463)="","",IF(INDEX(SCCitrus,$L463)="","",INDEX(SCCitrus,$L463))&amp;IF(INDEX(SCNotes,$L463)="",""," — "&amp;INDEX(SCNotes,$L463))),IF($M463&lt;&gt;"",IF(INDEX(LdgNoteB,$M463)="","—",INDEX(LdgNoteB,$M463)),""))</f>
        <v/>
      </c>
      <c r="F463" s="20">
        <f>IF($L463&lt;&gt;"",IF(INDEX(SCNet,$L463)=0,"",INDEX(SCNet,$L463)),"")</f>
        <v/>
      </c>
      <c r="G463" s="21">
        <f>IF($L463&lt;&gt;"",IF(INDEX(SCOp,$L463)="مرجوعی فروش","",IF(INDEX(SCAmount,$L463)&lt;=0,"",INDEX(SCAmount,$L463))),IF($M463&lt;&gt;"",IF(INDEX(LdgWitB,$M463)=0,"",INDEX(LdgWitB,$M463)),""))</f>
        <v/>
      </c>
      <c r="H463" s="21">
        <f>IF($L463&lt;&gt;"",IF(INDEX(SCOp,$L463)="مرجوعی فروش",IF(INDEX(SCAmount,$L463)=0,"",-INDEX(SCAmount,$L463)),""),IF($M463&lt;&gt;"",IF(INDEX(LdgDepB,$M463)=0,"",INDEX(LdgDepB,$M463)),""))</f>
        <v/>
      </c>
      <c r="I463" s="22">
        <f>IF($B463="","",IF($I462="",$C$10,$I462)+IF($G463="",0,$G463)-IF($H463="",0,$H463))</f>
        <v/>
      </c>
      <c r="L463">
        <f>IFERROR(MATCH($C$5&amp;"|"&amp;RIGHT("000000"&amp;447,6),LdgRankKeyA,0),"")</f>
        <v/>
      </c>
      <c r="M463">
        <f>IFERROR(MATCH($C$5&amp;"|"&amp;RIGHT("000000"&amp;447,6),LdgRankKeyB,0),"")</f>
        <v/>
      </c>
    </row>
    <row r="464">
      <c r="A464" s="23" t="n">
        <v>448</v>
      </c>
      <c r="B464" s="24">
        <f>IF(AND($L464="",$M464=""),"",IF($L464&lt;&gt;"",INDEX(SCNormDate,$L464),INDEX(LdgDateB,$M464)))</f>
        <v/>
      </c>
      <c r="C464" s="24">
        <f>IF($L464&lt;&gt;"",INDEX(SCOp,$L464),IF($M464&lt;&gt;"","پرداخت بانکی",""))</f>
        <v/>
      </c>
      <c r="D464" s="24">
        <f>IF($L464&lt;&gt;"",IF(INDEX(SCDoc,$L464)="","—",INDEX(SCDoc,$L464)),IF($M464&lt;&gt;"",INDEX(LdgBankB,$M464),""))</f>
        <v/>
      </c>
      <c r="E464" s="25">
        <f>IF($L464&lt;&gt;"",IF(INDEX(SCCitrus,$L464)&amp;INDEX(SCNotes,$L464)="","",IF(INDEX(SCCitrus,$L464)="","",INDEX(SCCitrus,$L464))&amp;IF(INDEX(SCNotes,$L464)="",""," — "&amp;INDEX(SCNotes,$L464))),IF($M464&lt;&gt;"",IF(INDEX(LdgNoteB,$M464)="","—",INDEX(LdgNoteB,$M464)),""))</f>
        <v/>
      </c>
      <c r="F464" s="26">
        <f>IF($L464&lt;&gt;"",IF(INDEX(SCNet,$L464)=0,"",INDEX(SCNet,$L464)),"")</f>
        <v/>
      </c>
      <c r="G464" s="27">
        <f>IF($L464&lt;&gt;"",IF(INDEX(SCOp,$L464)="مرجوعی فروش","",IF(INDEX(SCAmount,$L464)&lt;=0,"",INDEX(SCAmount,$L464))),IF($M464&lt;&gt;"",IF(INDEX(LdgWitB,$M464)=0,"",INDEX(LdgWitB,$M464)),""))</f>
        <v/>
      </c>
      <c r="H464" s="27">
        <f>IF($L464&lt;&gt;"",IF(INDEX(SCOp,$L464)="مرجوعی فروش",IF(INDEX(SCAmount,$L464)=0,"",-INDEX(SCAmount,$L464)),""),IF($M464&lt;&gt;"",IF(INDEX(LdgDepB,$M464)=0,"",INDEX(LdgDepB,$M464)),""))</f>
        <v/>
      </c>
      <c r="I464" s="28">
        <f>IF($B464="","",IF($I463="",$C$10,$I463)+IF($G464="",0,$G464)-IF($H464="",0,$H464))</f>
        <v/>
      </c>
      <c r="L464">
        <f>IFERROR(MATCH($C$5&amp;"|"&amp;RIGHT("000000"&amp;448,6),LdgRankKeyA,0),"")</f>
        <v/>
      </c>
      <c r="M464">
        <f>IFERROR(MATCH($C$5&amp;"|"&amp;RIGHT("000000"&amp;448,6),LdgRankKeyB,0),"")</f>
        <v/>
      </c>
    </row>
    <row r="465">
      <c r="A465" s="17" t="n">
        <v>449</v>
      </c>
      <c r="B465" s="18">
        <f>IF(AND($L465="",$M465=""),"",IF($L465&lt;&gt;"",INDEX(SCNormDate,$L465),INDEX(LdgDateB,$M465)))</f>
        <v/>
      </c>
      <c r="C465" s="18">
        <f>IF($L465&lt;&gt;"",INDEX(SCOp,$L465),IF($M465&lt;&gt;"","پرداخت بانکی",""))</f>
        <v/>
      </c>
      <c r="D465" s="18">
        <f>IF($L465&lt;&gt;"",IF(INDEX(SCDoc,$L465)="","—",INDEX(SCDoc,$L465)),IF($M465&lt;&gt;"",INDEX(LdgBankB,$M465),""))</f>
        <v/>
      </c>
      <c r="E465" s="19">
        <f>IF($L465&lt;&gt;"",IF(INDEX(SCCitrus,$L465)&amp;INDEX(SCNotes,$L465)="","",IF(INDEX(SCCitrus,$L465)="","",INDEX(SCCitrus,$L465))&amp;IF(INDEX(SCNotes,$L465)="",""," — "&amp;INDEX(SCNotes,$L465))),IF($M465&lt;&gt;"",IF(INDEX(LdgNoteB,$M465)="","—",INDEX(LdgNoteB,$M465)),""))</f>
        <v/>
      </c>
      <c r="F465" s="20">
        <f>IF($L465&lt;&gt;"",IF(INDEX(SCNet,$L465)=0,"",INDEX(SCNet,$L465)),"")</f>
        <v/>
      </c>
      <c r="G465" s="21">
        <f>IF($L465&lt;&gt;"",IF(INDEX(SCOp,$L465)="مرجوعی فروش","",IF(INDEX(SCAmount,$L465)&lt;=0,"",INDEX(SCAmount,$L465))),IF($M465&lt;&gt;"",IF(INDEX(LdgWitB,$M465)=0,"",INDEX(LdgWitB,$M465)),""))</f>
        <v/>
      </c>
      <c r="H465" s="21">
        <f>IF($L465&lt;&gt;"",IF(INDEX(SCOp,$L465)="مرجوعی فروش",IF(INDEX(SCAmount,$L465)=0,"",-INDEX(SCAmount,$L465)),""),IF($M465&lt;&gt;"",IF(INDEX(LdgDepB,$M465)=0,"",INDEX(LdgDepB,$M465)),""))</f>
        <v/>
      </c>
      <c r="I465" s="22">
        <f>IF($B465="","",IF($I464="",$C$10,$I464)+IF($G465="",0,$G465)-IF($H465="",0,$H465))</f>
        <v/>
      </c>
      <c r="L465">
        <f>IFERROR(MATCH($C$5&amp;"|"&amp;RIGHT("000000"&amp;449,6),LdgRankKeyA,0),"")</f>
        <v/>
      </c>
      <c r="M465">
        <f>IFERROR(MATCH($C$5&amp;"|"&amp;RIGHT("000000"&amp;449,6),LdgRankKeyB,0),"")</f>
        <v/>
      </c>
    </row>
    <row r="466">
      <c r="A466" s="23" t="n">
        <v>450</v>
      </c>
      <c r="B466" s="24">
        <f>IF(AND($L466="",$M466=""),"",IF($L466&lt;&gt;"",INDEX(SCNormDate,$L466),INDEX(LdgDateB,$M466)))</f>
        <v/>
      </c>
      <c r="C466" s="24">
        <f>IF($L466&lt;&gt;"",INDEX(SCOp,$L466),IF($M466&lt;&gt;"","پرداخت بانکی",""))</f>
        <v/>
      </c>
      <c r="D466" s="24">
        <f>IF($L466&lt;&gt;"",IF(INDEX(SCDoc,$L466)="","—",INDEX(SCDoc,$L466)),IF($M466&lt;&gt;"",INDEX(LdgBankB,$M466),""))</f>
        <v/>
      </c>
      <c r="E466" s="25">
        <f>IF($L466&lt;&gt;"",IF(INDEX(SCCitrus,$L466)&amp;INDEX(SCNotes,$L466)="","",IF(INDEX(SCCitrus,$L466)="","",INDEX(SCCitrus,$L466))&amp;IF(INDEX(SCNotes,$L466)="",""," — "&amp;INDEX(SCNotes,$L466))),IF($M466&lt;&gt;"",IF(INDEX(LdgNoteB,$M466)="","—",INDEX(LdgNoteB,$M466)),""))</f>
        <v/>
      </c>
      <c r="F466" s="26">
        <f>IF($L466&lt;&gt;"",IF(INDEX(SCNet,$L466)=0,"",INDEX(SCNet,$L466)),"")</f>
        <v/>
      </c>
      <c r="G466" s="27">
        <f>IF($L466&lt;&gt;"",IF(INDEX(SCOp,$L466)="مرجوعی فروش","",IF(INDEX(SCAmount,$L466)&lt;=0,"",INDEX(SCAmount,$L466))),IF($M466&lt;&gt;"",IF(INDEX(LdgWitB,$M466)=0,"",INDEX(LdgWitB,$M466)),""))</f>
        <v/>
      </c>
      <c r="H466" s="27">
        <f>IF($L466&lt;&gt;"",IF(INDEX(SCOp,$L466)="مرجوعی فروش",IF(INDEX(SCAmount,$L466)=0,"",-INDEX(SCAmount,$L466)),""),IF($M466&lt;&gt;"",IF(INDEX(LdgDepB,$M466)=0,"",INDEX(LdgDepB,$M466)),""))</f>
        <v/>
      </c>
      <c r="I466" s="28">
        <f>IF($B466="","",IF($I465="",$C$10,$I465)+IF($G466="",0,$G466)-IF($H466="",0,$H466))</f>
        <v/>
      </c>
      <c r="L466">
        <f>IFERROR(MATCH($C$5&amp;"|"&amp;RIGHT("000000"&amp;450,6),LdgRankKeyA,0),"")</f>
        <v/>
      </c>
      <c r="M466">
        <f>IFERROR(MATCH($C$5&amp;"|"&amp;RIGHT("000000"&amp;450,6),LdgRankKeyB,0),"")</f>
        <v/>
      </c>
    </row>
    <row r="467">
      <c r="A467" s="17" t="n">
        <v>451</v>
      </c>
      <c r="B467" s="18">
        <f>IF(AND($L467="",$M467=""),"",IF($L467&lt;&gt;"",INDEX(SCNormDate,$L467),INDEX(LdgDateB,$M467)))</f>
        <v/>
      </c>
      <c r="C467" s="18">
        <f>IF($L467&lt;&gt;"",INDEX(SCOp,$L467),IF($M467&lt;&gt;"","پرداخت بانکی",""))</f>
        <v/>
      </c>
      <c r="D467" s="18">
        <f>IF($L467&lt;&gt;"",IF(INDEX(SCDoc,$L467)="","—",INDEX(SCDoc,$L467)),IF($M467&lt;&gt;"",INDEX(LdgBankB,$M467),""))</f>
        <v/>
      </c>
      <c r="E467" s="19">
        <f>IF($L467&lt;&gt;"",IF(INDEX(SCCitrus,$L467)&amp;INDEX(SCNotes,$L467)="","",IF(INDEX(SCCitrus,$L467)="","",INDEX(SCCitrus,$L467))&amp;IF(INDEX(SCNotes,$L467)="",""," — "&amp;INDEX(SCNotes,$L467))),IF($M467&lt;&gt;"",IF(INDEX(LdgNoteB,$M467)="","—",INDEX(LdgNoteB,$M467)),""))</f>
        <v/>
      </c>
      <c r="F467" s="20">
        <f>IF($L467&lt;&gt;"",IF(INDEX(SCNet,$L467)=0,"",INDEX(SCNet,$L467)),"")</f>
        <v/>
      </c>
      <c r="G467" s="21">
        <f>IF($L467&lt;&gt;"",IF(INDEX(SCOp,$L467)="مرجوعی فروش","",IF(INDEX(SCAmount,$L467)&lt;=0,"",INDEX(SCAmount,$L467))),IF($M467&lt;&gt;"",IF(INDEX(LdgWitB,$M467)=0,"",INDEX(LdgWitB,$M467)),""))</f>
        <v/>
      </c>
      <c r="H467" s="21">
        <f>IF($L467&lt;&gt;"",IF(INDEX(SCOp,$L467)="مرجوعی فروش",IF(INDEX(SCAmount,$L467)=0,"",-INDEX(SCAmount,$L467)),""),IF($M467&lt;&gt;"",IF(INDEX(LdgDepB,$M467)=0,"",INDEX(LdgDepB,$M467)),""))</f>
        <v/>
      </c>
      <c r="I467" s="22">
        <f>IF($B467="","",IF($I466="",$C$10,$I466)+IF($G467="",0,$G467)-IF($H467="",0,$H467))</f>
        <v/>
      </c>
      <c r="L467">
        <f>IFERROR(MATCH($C$5&amp;"|"&amp;RIGHT("000000"&amp;451,6),LdgRankKeyA,0),"")</f>
        <v/>
      </c>
      <c r="M467">
        <f>IFERROR(MATCH($C$5&amp;"|"&amp;RIGHT("000000"&amp;451,6),LdgRankKeyB,0),"")</f>
        <v/>
      </c>
    </row>
    <row r="468">
      <c r="A468" s="23" t="n">
        <v>452</v>
      </c>
      <c r="B468" s="24">
        <f>IF(AND($L468="",$M468=""),"",IF($L468&lt;&gt;"",INDEX(SCNormDate,$L468),INDEX(LdgDateB,$M468)))</f>
        <v/>
      </c>
      <c r="C468" s="24">
        <f>IF($L468&lt;&gt;"",INDEX(SCOp,$L468),IF($M468&lt;&gt;"","پرداخت بانکی",""))</f>
        <v/>
      </c>
      <c r="D468" s="24">
        <f>IF($L468&lt;&gt;"",IF(INDEX(SCDoc,$L468)="","—",INDEX(SCDoc,$L468)),IF($M468&lt;&gt;"",INDEX(LdgBankB,$M468),""))</f>
        <v/>
      </c>
      <c r="E468" s="25">
        <f>IF($L468&lt;&gt;"",IF(INDEX(SCCitrus,$L468)&amp;INDEX(SCNotes,$L468)="","",IF(INDEX(SCCitrus,$L468)="","",INDEX(SCCitrus,$L468))&amp;IF(INDEX(SCNotes,$L468)="",""," — "&amp;INDEX(SCNotes,$L468))),IF($M468&lt;&gt;"",IF(INDEX(LdgNoteB,$M468)="","—",INDEX(LdgNoteB,$M468)),""))</f>
        <v/>
      </c>
      <c r="F468" s="26">
        <f>IF($L468&lt;&gt;"",IF(INDEX(SCNet,$L468)=0,"",INDEX(SCNet,$L468)),"")</f>
        <v/>
      </c>
      <c r="G468" s="27">
        <f>IF($L468&lt;&gt;"",IF(INDEX(SCOp,$L468)="مرجوعی فروش","",IF(INDEX(SCAmount,$L468)&lt;=0,"",INDEX(SCAmount,$L468))),IF($M468&lt;&gt;"",IF(INDEX(LdgWitB,$M468)=0,"",INDEX(LdgWitB,$M468)),""))</f>
        <v/>
      </c>
      <c r="H468" s="27">
        <f>IF($L468&lt;&gt;"",IF(INDEX(SCOp,$L468)="مرجوعی فروش",IF(INDEX(SCAmount,$L468)=0,"",-INDEX(SCAmount,$L468)),""),IF($M468&lt;&gt;"",IF(INDEX(LdgDepB,$M468)=0,"",INDEX(LdgDepB,$M468)),""))</f>
        <v/>
      </c>
      <c r="I468" s="28">
        <f>IF($B468="","",IF($I467="",$C$10,$I467)+IF($G468="",0,$G468)-IF($H468="",0,$H468))</f>
        <v/>
      </c>
      <c r="L468">
        <f>IFERROR(MATCH($C$5&amp;"|"&amp;RIGHT("000000"&amp;452,6),LdgRankKeyA,0),"")</f>
        <v/>
      </c>
      <c r="M468">
        <f>IFERROR(MATCH($C$5&amp;"|"&amp;RIGHT("000000"&amp;452,6),LdgRankKeyB,0),"")</f>
        <v/>
      </c>
    </row>
    <row r="469">
      <c r="A469" s="17" t="n">
        <v>453</v>
      </c>
      <c r="B469" s="18">
        <f>IF(AND($L469="",$M469=""),"",IF($L469&lt;&gt;"",INDEX(SCNormDate,$L469),INDEX(LdgDateB,$M469)))</f>
        <v/>
      </c>
      <c r="C469" s="18">
        <f>IF($L469&lt;&gt;"",INDEX(SCOp,$L469),IF($M469&lt;&gt;"","پرداخت بانکی",""))</f>
        <v/>
      </c>
      <c r="D469" s="18">
        <f>IF($L469&lt;&gt;"",IF(INDEX(SCDoc,$L469)="","—",INDEX(SCDoc,$L469)),IF($M469&lt;&gt;"",INDEX(LdgBankB,$M469),""))</f>
        <v/>
      </c>
      <c r="E469" s="19">
        <f>IF($L469&lt;&gt;"",IF(INDEX(SCCitrus,$L469)&amp;INDEX(SCNotes,$L469)="","",IF(INDEX(SCCitrus,$L469)="","",INDEX(SCCitrus,$L469))&amp;IF(INDEX(SCNotes,$L469)="",""," — "&amp;INDEX(SCNotes,$L469))),IF($M469&lt;&gt;"",IF(INDEX(LdgNoteB,$M469)="","—",INDEX(LdgNoteB,$M469)),""))</f>
        <v/>
      </c>
      <c r="F469" s="20">
        <f>IF($L469&lt;&gt;"",IF(INDEX(SCNet,$L469)=0,"",INDEX(SCNet,$L469)),"")</f>
        <v/>
      </c>
      <c r="G469" s="21">
        <f>IF($L469&lt;&gt;"",IF(INDEX(SCOp,$L469)="مرجوعی فروش","",IF(INDEX(SCAmount,$L469)&lt;=0,"",INDEX(SCAmount,$L469))),IF($M469&lt;&gt;"",IF(INDEX(LdgWitB,$M469)=0,"",INDEX(LdgWitB,$M469)),""))</f>
        <v/>
      </c>
      <c r="H469" s="21">
        <f>IF($L469&lt;&gt;"",IF(INDEX(SCOp,$L469)="مرجوعی فروش",IF(INDEX(SCAmount,$L469)=0,"",-INDEX(SCAmount,$L469)),""),IF($M469&lt;&gt;"",IF(INDEX(LdgDepB,$M469)=0,"",INDEX(LdgDepB,$M469)),""))</f>
        <v/>
      </c>
      <c r="I469" s="22">
        <f>IF($B469="","",IF($I468="",$C$10,$I468)+IF($G469="",0,$G469)-IF($H469="",0,$H469))</f>
        <v/>
      </c>
      <c r="L469">
        <f>IFERROR(MATCH($C$5&amp;"|"&amp;RIGHT("000000"&amp;453,6),LdgRankKeyA,0),"")</f>
        <v/>
      </c>
      <c r="M469">
        <f>IFERROR(MATCH($C$5&amp;"|"&amp;RIGHT("000000"&amp;453,6),LdgRankKeyB,0),"")</f>
        <v/>
      </c>
    </row>
    <row r="470">
      <c r="A470" s="23" t="n">
        <v>454</v>
      </c>
      <c r="B470" s="24">
        <f>IF(AND($L470="",$M470=""),"",IF($L470&lt;&gt;"",INDEX(SCNormDate,$L470),INDEX(LdgDateB,$M470)))</f>
        <v/>
      </c>
      <c r="C470" s="24">
        <f>IF($L470&lt;&gt;"",INDEX(SCOp,$L470),IF($M470&lt;&gt;"","پرداخت بانکی",""))</f>
        <v/>
      </c>
      <c r="D470" s="24">
        <f>IF($L470&lt;&gt;"",IF(INDEX(SCDoc,$L470)="","—",INDEX(SCDoc,$L470)),IF($M470&lt;&gt;"",INDEX(LdgBankB,$M470),""))</f>
        <v/>
      </c>
      <c r="E470" s="25">
        <f>IF($L470&lt;&gt;"",IF(INDEX(SCCitrus,$L470)&amp;INDEX(SCNotes,$L470)="","",IF(INDEX(SCCitrus,$L470)="","",INDEX(SCCitrus,$L470))&amp;IF(INDEX(SCNotes,$L470)="",""," — "&amp;INDEX(SCNotes,$L470))),IF($M470&lt;&gt;"",IF(INDEX(LdgNoteB,$M470)="","—",INDEX(LdgNoteB,$M470)),""))</f>
        <v/>
      </c>
      <c r="F470" s="26">
        <f>IF($L470&lt;&gt;"",IF(INDEX(SCNet,$L470)=0,"",INDEX(SCNet,$L470)),"")</f>
        <v/>
      </c>
      <c r="G470" s="27">
        <f>IF($L470&lt;&gt;"",IF(INDEX(SCOp,$L470)="مرجوعی فروش","",IF(INDEX(SCAmount,$L470)&lt;=0,"",INDEX(SCAmount,$L470))),IF($M470&lt;&gt;"",IF(INDEX(LdgWitB,$M470)=0,"",INDEX(LdgWitB,$M470)),""))</f>
        <v/>
      </c>
      <c r="H470" s="27">
        <f>IF($L470&lt;&gt;"",IF(INDEX(SCOp,$L470)="مرجوعی فروش",IF(INDEX(SCAmount,$L470)=0,"",-INDEX(SCAmount,$L470)),""),IF($M470&lt;&gt;"",IF(INDEX(LdgDepB,$M470)=0,"",INDEX(LdgDepB,$M470)),""))</f>
        <v/>
      </c>
      <c r="I470" s="28">
        <f>IF($B470="","",IF($I469="",$C$10,$I469)+IF($G470="",0,$G470)-IF($H470="",0,$H470))</f>
        <v/>
      </c>
      <c r="L470">
        <f>IFERROR(MATCH($C$5&amp;"|"&amp;RIGHT("000000"&amp;454,6),LdgRankKeyA,0),"")</f>
        <v/>
      </c>
      <c r="M470">
        <f>IFERROR(MATCH($C$5&amp;"|"&amp;RIGHT("000000"&amp;454,6),LdgRankKeyB,0),"")</f>
        <v/>
      </c>
    </row>
    <row r="471">
      <c r="A471" s="17" t="n">
        <v>455</v>
      </c>
      <c r="B471" s="18">
        <f>IF(AND($L471="",$M471=""),"",IF($L471&lt;&gt;"",INDEX(SCNormDate,$L471),INDEX(LdgDateB,$M471)))</f>
        <v/>
      </c>
      <c r="C471" s="18">
        <f>IF($L471&lt;&gt;"",INDEX(SCOp,$L471),IF($M471&lt;&gt;"","پرداخت بانکی",""))</f>
        <v/>
      </c>
      <c r="D471" s="18">
        <f>IF($L471&lt;&gt;"",IF(INDEX(SCDoc,$L471)="","—",INDEX(SCDoc,$L471)),IF($M471&lt;&gt;"",INDEX(LdgBankB,$M471),""))</f>
        <v/>
      </c>
      <c r="E471" s="19">
        <f>IF($L471&lt;&gt;"",IF(INDEX(SCCitrus,$L471)&amp;INDEX(SCNotes,$L471)="","",IF(INDEX(SCCitrus,$L471)="","",INDEX(SCCitrus,$L471))&amp;IF(INDEX(SCNotes,$L471)="",""," — "&amp;INDEX(SCNotes,$L471))),IF($M471&lt;&gt;"",IF(INDEX(LdgNoteB,$M471)="","—",INDEX(LdgNoteB,$M471)),""))</f>
        <v/>
      </c>
      <c r="F471" s="20">
        <f>IF($L471&lt;&gt;"",IF(INDEX(SCNet,$L471)=0,"",INDEX(SCNet,$L471)),"")</f>
        <v/>
      </c>
      <c r="G471" s="21">
        <f>IF($L471&lt;&gt;"",IF(INDEX(SCOp,$L471)="مرجوعی فروش","",IF(INDEX(SCAmount,$L471)&lt;=0,"",INDEX(SCAmount,$L471))),IF($M471&lt;&gt;"",IF(INDEX(LdgWitB,$M471)=0,"",INDEX(LdgWitB,$M471)),""))</f>
        <v/>
      </c>
      <c r="H471" s="21">
        <f>IF($L471&lt;&gt;"",IF(INDEX(SCOp,$L471)="مرجوعی فروش",IF(INDEX(SCAmount,$L471)=0,"",-INDEX(SCAmount,$L471)),""),IF($M471&lt;&gt;"",IF(INDEX(LdgDepB,$M471)=0,"",INDEX(LdgDepB,$M471)),""))</f>
        <v/>
      </c>
      <c r="I471" s="22">
        <f>IF($B471="","",IF($I470="",$C$10,$I470)+IF($G471="",0,$G471)-IF($H471="",0,$H471))</f>
        <v/>
      </c>
      <c r="L471">
        <f>IFERROR(MATCH($C$5&amp;"|"&amp;RIGHT("000000"&amp;455,6),LdgRankKeyA,0),"")</f>
        <v/>
      </c>
      <c r="M471">
        <f>IFERROR(MATCH($C$5&amp;"|"&amp;RIGHT("000000"&amp;455,6),LdgRankKeyB,0),"")</f>
        <v/>
      </c>
    </row>
    <row r="472">
      <c r="A472" s="23" t="n">
        <v>456</v>
      </c>
      <c r="B472" s="24">
        <f>IF(AND($L472="",$M472=""),"",IF($L472&lt;&gt;"",INDEX(SCNormDate,$L472),INDEX(LdgDateB,$M472)))</f>
        <v/>
      </c>
      <c r="C472" s="24">
        <f>IF($L472&lt;&gt;"",INDEX(SCOp,$L472),IF($M472&lt;&gt;"","پرداخت بانکی",""))</f>
        <v/>
      </c>
      <c r="D472" s="24">
        <f>IF($L472&lt;&gt;"",IF(INDEX(SCDoc,$L472)="","—",INDEX(SCDoc,$L472)),IF($M472&lt;&gt;"",INDEX(LdgBankB,$M472),""))</f>
        <v/>
      </c>
      <c r="E472" s="25">
        <f>IF($L472&lt;&gt;"",IF(INDEX(SCCitrus,$L472)&amp;INDEX(SCNotes,$L472)="","",IF(INDEX(SCCitrus,$L472)="","",INDEX(SCCitrus,$L472))&amp;IF(INDEX(SCNotes,$L472)="",""," — "&amp;INDEX(SCNotes,$L472))),IF($M472&lt;&gt;"",IF(INDEX(LdgNoteB,$M472)="","—",INDEX(LdgNoteB,$M472)),""))</f>
        <v/>
      </c>
      <c r="F472" s="26">
        <f>IF($L472&lt;&gt;"",IF(INDEX(SCNet,$L472)=0,"",INDEX(SCNet,$L472)),"")</f>
        <v/>
      </c>
      <c r="G472" s="27">
        <f>IF($L472&lt;&gt;"",IF(INDEX(SCOp,$L472)="مرجوعی فروش","",IF(INDEX(SCAmount,$L472)&lt;=0,"",INDEX(SCAmount,$L472))),IF($M472&lt;&gt;"",IF(INDEX(LdgWitB,$M472)=0,"",INDEX(LdgWitB,$M472)),""))</f>
        <v/>
      </c>
      <c r="H472" s="27">
        <f>IF($L472&lt;&gt;"",IF(INDEX(SCOp,$L472)="مرجوعی فروش",IF(INDEX(SCAmount,$L472)=0,"",-INDEX(SCAmount,$L472)),""),IF($M472&lt;&gt;"",IF(INDEX(LdgDepB,$M472)=0,"",INDEX(LdgDepB,$M472)),""))</f>
        <v/>
      </c>
      <c r="I472" s="28">
        <f>IF($B472="","",IF($I471="",$C$10,$I471)+IF($G472="",0,$G472)-IF($H472="",0,$H472))</f>
        <v/>
      </c>
      <c r="L472">
        <f>IFERROR(MATCH($C$5&amp;"|"&amp;RIGHT("000000"&amp;456,6),LdgRankKeyA,0),"")</f>
        <v/>
      </c>
      <c r="M472">
        <f>IFERROR(MATCH($C$5&amp;"|"&amp;RIGHT("000000"&amp;456,6),LdgRankKeyB,0),"")</f>
        <v/>
      </c>
    </row>
    <row r="473">
      <c r="A473" s="17" t="n">
        <v>457</v>
      </c>
      <c r="B473" s="18">
        <f>IF(AND($L473="",$M473=""),"",IF($L473&lt;&gt;"",INDEX(SCNormDate,$L473),INDEX(LdgDateB,$M473)))</f>
        <v/>
      </c>
      <c r="C473" s="18">
        <f>IF($L473&lt;&gt;"",INDEX(SCOp,$L473),IF($M473&lt;&gt;"","پرداخت بانکی",""))</f>
        <v/>
      </c>
      <c r="D473" s="18">
        <f>IF($L473&lt;&gt;"",IF(INDEX(SCDoc,$L473)="","—",INDEX(SCDoc,$L473)),IF($M473&lt;&gt;"",INDEX(LdgBankB,$M473),""))</f>
        <v/>
      </c>
      <c r="E473" s="19">
        <f>IF($L473&lt;&gt;"",IF(INDEX(SCCitrus,$L473)&amp;INDEX(SCNotes,$L473)="","",IF(INDEX(SCCitrus,$L473)="","",INDEX(SCCitrus,$L473))&amp;IF(INDEX(SCNotes,$L473)="",""," — "&amp;INDEX(SCNotes,$L473))),IF($M473&lt;&gt;"",IF(INDEX(LdgNoteB,$M473)="","—",INDEX(LdgNoteB,$M473)),""))</f>
        <v/>
      </c>
      <c r="F473" s="20">
        <f>IF($L473&lt;&gt;"",IF(INDEX(SCNet,$L473)=0,"",INDEX(SCNet,$L473)),"")</f>
        <v/>
      </c>
      <c r="G473" s="21">
        <f>IF($L473&lt;&gt;"",IF(INDEX(SCOp,$L473)="مرجوعی فروش","",IF(INDEX(SCAmount,$L473)&lt;=0,"",INDEX(SCAmount,$L473))),IF($M473&lt;&gt;"",IF(INDEX(LdgWitB,$M473)=0,"",INDEX(LdgWitB,$M473)),""))</f>
        <v/>
      </c>
      <c r="H473" s="21">
        <f>IF($L473&lt;&gt;"",IF(INDEX(SCOp,$L473)="مرجوعی فروش",IF(INDEX(SCAmount,$L473)=0,"",-INDEX(SCAmount,$L473)),""),IF($M473&lt;&gt;"",IF(INDEX(LdgDepB,$M473)=0,"",INDEX(LdgDepB,$M473)),""))</f>
        <v/>
      </c>
      <c r="I473" s="22">
        <f>IF($B473="","",IF($I472="",$C$10,$I472)+IF($G473="",0,$G473)-IF($H473="",0,$H473))</f>
        <v/>
      </c>
      <c r="L473">
        <f>IFERROR(MATCH($C$5&amp;"|"&amp;RIGHT("000000"&amp;457,6),LdgRankKeyA,0),"")</f>
        <v/>
      </c>
      <c r="M473">
        <f>IFERROR(MATCH($C$5&amp;"|"&amp;RIGHT("000000"&amp;457,6),LdgRankKeyB,0),"")</f>
        <v/>
      </c>
    </row>
    <row r="474">
      <c r="A474" s="23" t="n">
        <v>458</v>
      </c>
      <c r="B474" s="24">
        <f>IF(AND($L474="",$M474=""),"",IF($L474&lt;&gt;"",INDEX(SCNormDate,$L474),INDEX(LdgDateB,$M474)))</f>
        <v/>
      </c>
      <c r="C474" s="24">
        <f>IF($L474&lt;&gt;"",INDEX(SCOp,$L474),IF($M474&lt;&gt;"","پرداخت بانکی",""))</f>
        <v/>
      </c>
      <c r="D474" s="24">
        <f>IF($L474&lt;&gt;"",IF(INDEX(SCDoc,$L474)="","—",INDEX(SCDoc,$L474)),IF($M474&lt;&gt;"",INDEX(LdgBankB,$M474),""))</f>
        <v/>
      </c>
      <c r="E474" s="25">
        <f>IF($L474&lt;&gt;"",IF(INDEX(SCCitrus,$L474)&amp;INDEX(SCNotes,$L474)="","",IF(INDEX(SCCitrus,$L474)="","",INDEX(SCCitrus,$L474))&amp;IF(INDEX(SCNotes,$L474)="",""," — "&amp;INDEX(SCNotes,$L474))),IF($M474&lt;&gt;"",IF(INDEX(LdgNoteB,$M474)="","—",INDEX(LdgNoteB,$M474)),""))</f>
        <v/>
      </c>
      <c r="F474" s="26">
        <f>IF($L474&lt;&gt;"",IF(INDEX(SCNet,$L474)=0,"",INDEX(SCNet,$L474)),"")</f>
        <v/>
      </c>
      <c r="G474" s="27">
        <f>IF($L474&lt;&gt;"",IF(INDEX(SCOp,$L474)="مرجوعی فروش","",IF(INDEX(SCAmount,$L474)&lt;=0,"",INDEX(SCAmount,$L474))),IF($M474&lt;&gt;"",IF(INDEX(LdgWitB,$M474)=0,"",INDEX(LdgWitB,$M474)),""))</f>
        <v/>
      </c>
      <c r="H474" s="27">
        <f>IF($L474&lt;&gt;"",IF(INDEX(SCOp,$L474)="مرجوعی فروش",IF(INDEX(SCAmount,$L474)=0,"",-INDEX(SCAmount,$L474)),""),IF($M474&lt;&gt;"",IF(INDEX(LdgDepB,$M474)=0,"",INDEX(LdgDepB,$M474)),""))</f>
        <v/>
      </c>
      <c r="I474" s="28">
        <f>IF($B474="","",IF($I473="",$C$10,$I473)+IF($G474="",0,$G474)-IF($H474="",0,$H474))</f>
        <v/>
      </c>
      <c r="L474">
        <f>IFERROR(MATCH($C$5&amp;"|"&amp;RIGHT("000000"&amp;458,6),LdgRankKeyA,0),"")</f>
        <v/>
      </c>
      <c r="M474">
        <f>IFERROR(MATCH($C$5&amp;"|"&amp;RIGHT("000000"&amp;458,6),LdgRankKeyB,0),"")</f>
        <v/>
      </c>
    </row>
    <row r="475">
      <c r="A475" s="17" t="n">
        <v>459</v>
      </c>
      <c r="B475" s="18">
        <f>IF(AND($L475="",$M475=""),"",IF($L475&lt;&gt;"",INDEX(SCNormDate,$L475),INDEX(LdgDateB,$M475)))</f>
        <v/>
      </c>
      <c r="C475" s="18">
        <f>IF($L475&lt;&gt;"",INDEX(SCOp,$L475),IF($M475&lt;&gt;"","پرداخت بانکی",""))</f>
        <v/>
      </c>
      <c r="D475" s="18">
        <f>IF($L475&lt;&gt;"",IF(INDEX(SCDoc,$L475)="","—",INDEX(SCDoc,$L475)),IF($M475&lt;&gt;"",INDEX(LdgBankB,$M475),""))</f>
        <v/>
      </c>
      <c r="E475" s="19">
        <f>IF($L475&lt;&gt;"",IF(INDEX(SCCitrus,$L475)&amp;INDEX(SCNotes,$L475)="","",IF(INDEX(SCCitrus,$L475)="","",INDEX(SCCitrus,$L475))&amp;IF(INDEX(SCNotes,$L475)="",""," — "&amp;INDEX(SCNotes,$L475))),IF($M475&lt;&gt;"",IF(INDEX(LdgNoteB,$M475)="","—",INDEX(LdgNoteB,$M475)),""))</f>
        <v/>
      </c>
      <c r="F475" s="20">
        <f>IF($L475&lt;&gt;"",IF(INDEX(SCNet,$L475)=0,"",INDEX(SCNet,$L475)),"")</f>
        <v/>
      </c>
      <c r="G475" s="21">
        <f>IF($L475&lt;&gt;"",IF(INDEX(SCOp,$L475)="مرجوعی فروش","",IF(INDEX(SCAmount,$L475)&lt;=0,"",INDEX(SCAmount,$L475))),IF($M475&lt;&gt;"",IF(INDEX(LdgWitB,$M475)=0,"",INDEX(LdgWitB,$M475)),""))</f>
        <v/>
      </c>
      <c r="H475" s="21">
        <f>IF($L475&lt;&gt;"",IF(INDEX(SCOp,$L475)="مرجوعی فروش",IF(INDEX(SCAmount,$L475)=0,"",-INDEX(SCAmount,$L475)),""),IF($M475&lt;&gt;"",IF(INDEX(LdgDepB,$M475)=0,"",INDEX(LdgDepB,$M475)),""))</f>
        <v/>
      </c>
      <c r="I475" s="22">
        <f>IF($B475="","",IF($I474="",$C$10,$I474)+IF($G475="",0,$G475)-IF($H475="",0,$H475))</f>
        <v/>
      </c>
      <c r="L475">
        <f>IFERROR(MATCH($C$5&amp;"|"&amp;RIGHT("000000"&amp;459,6),LdgRankKeyA,0),"")</f>
        <v/>
      </c>
      <c r="M475">
        <f>IFERROR(MATCH($C$5&amp;"|"&amp;RIGHT("000000"&amp;459,6),LdgRankKeyB,0),"")</f>
        <v/>
      </c>
    </row>
    <row r="476">
      <c r="A476" s="23" t="n">
        <v>460</v>
      </c>
      <c r="B476" s="24">
        <f>IF(AND($L476="",$M476=""),"",IF($L476&lt;&gt;"",INDEX(SCNormDate,$L476),INDEX(LdgDateB,$M476)))</f>
        <v/>
      </c>
      <c r="C476" s="24">
        <f>IF($L476&lt;&gt;"",INDEX(SCOp,$L476),IF($M476&lt;&gt;"","پرداخت بانکی",""))</f>
        <v/>
      </c>
      <c r="D476" s="24">
        <f>IF($L476&lt;&gt;"",IF(INDEX(SCDoc,$L476)="","—",INDEX(SCDoc,$L476)),IF($M476&lt;&gt;"",INDEX(LdgBankB,$M476),""))</f>
        <v/>
      </c>
      <c r="E476" s="25">
        <f>IF($L476&lt;&gt;"",IF(INDEX(SCCitrus,$L476)&amp;INDEX(SCNotes,$L476)="","",IF(INDEX(SCCitrus,$L476)="","",INDEX(SCCitrus,$L476))&amp;IF(INDEX(SCNotes,$L476)="",""," — "&amp;INDEX(SCNotes,$L476))),IF($M476&lt;&gt;"",IF(INDEX(LdgNoteB,$M476)="","—",INDEX(LdgNoteB,$M476)),""))</f>
        <v/>
      </c>
      <c r="F476" s="26">
        <f>IF($L476&lt;&gt;"",IF(INDEX(SCNet,$L476)=0,"",INDEX(SCNet,$L476)),"")</f>
        <v/>
      </c>
      <c r="G476" s="27">
        <f>IF($L476&lt;&gt;"",IF(INDEX(SCOp,$L476)="مرجوعی فروش","",IF(INDEX(SCAmount,$L476)&lt;=0,"",INDEX(SCAmount,$L476))),IF($M476&lt;&gt;"",IF(INDEX(LdgWitB,$M476)=0,"",INDEX(LdgWitB,$M476)),""))</f>
        <v/>
      </c>
      <c r="H476" s="27">
        <f>IF($L476&lt;&gt;"",IF(INDEX(SCOp,$L476)="مرجوعی فروش",IF(INDEX(SCAmount,$L476)=0,"",-INDEX(SCAmount,$L476)),""),IF($M476&lt;&gt;"",IF(INDEX(LdgDepB,$M476)=0,"",INDEX(LdgDepB,$M476)),""))</f>
        <v/>
      </c>
      <c r="I476" s="28">
        <f>IF($B476="","",IF($I475="",$C$10,$I475)+IF($G476="",0,$G476)-IF($H476="",0,$H476))</f>
        <v/>
      </c>
      <c r="L476">
        <f>IFERROR(MATCH($C$5&amp;"|"&amp;RIGHT("000000"&amp;460,6),LdgRankKeyA,0),"")</f>
        <v/>
      </c>
      <c r="M476">
        <f>IFERROR(MATCH($C$5&amp;"|"&amp;RIGHT("000000"&amp;460,6),LdgRankKeyB,0),"")</f>
        <v/>
      </c>
    </row>
    <row r="477">
      <c r="A477" s="17" t="n">
        <v>461</v>
      </c>
      <c r="B477" s="18">
        <f>IF(AND($L477="",$M477=""),"",IF($L477&lt;&gt;"",INDEX(SCNormDate,$L477),INDEX(LdgDateB,$M477)))</f>
        <v/>
      </c>
      <c r="C477" s="18">
        <f>IF($L477&lt;&gt;"",INDEX(SCOp,$L477),IF($M477&lt;&gt;"","پرداخت بانکی",""))</f>
        <v/>
      </c>
      <c r="D477" s="18">
        <f>IF($L477&lt;&gt;"",IF(INDEX(SCDoc,$L477)="","—",INDEX(SCDoc,$L477)),IF($M477&lt;&gt;"",INDEX(LdgBankB,$M477),""))</f>
        <v/>
      </c>
      <c r="E477" s="19">
        <f>IF($L477&lt;&gt;"",IF(INDEX(SCCitrus,$L477)&amp;INDEX(SCNotes,$L477)="","",IF(INDEX(SCCitrus,$L477)="","",INDEX(SCCitrus,$L477))&amp;IF(INDEX(SCNotes,$L477)="",""," — "&amp;INDEX(SCNotes,$L477))),IF($M477&lt;&gt;"",IF(INDEX(LdgNoteB,$M477)="","—",INDEX(LdgNoteB,$M477)),""))</f>
        <v/>
      </c>
      <c r="F477" s="20">
        <f>IF($L477&lt;&gt;"",IF(INDEX(SCNet,$L477)=0,"",INDEX(SCNet,$L477)),"")</f>
        <v/>
      </c>
      <c r="G477" s="21">
        <f>IF($L477&lt;&gt;"",IF(INDEX(SCOp,$L477)="مرجوعی فروش","",IF(INDEX(SCAmount,$L477)&lt;=0,"",INDEX(SCAmount,$L477))),IF($M477&lt;&gt;"",IF(INDEX(LdgWitB,$M477)=0,"",INDEX(LdgWitB,$M477)),""))</f>
        <v/>
      </c>
      <c r="H477" s="21">
        <f>IF($L477&lt;&gt;"",IF(INDEX(SCOp,$L477)="مرجوعی فروش",IF(INDEX(SCAmount,$L477)=0,"",-INDEX(SCAmount,$L477)),""),IF($M477&lt;&gt;"",IF(INDEX(LdgDepB,$M477)=0,"",INDEX(LdgDepB,$M477)),""))</f>
        <v/>
      </c>
      <c r="I477" s="22">
        <f>IF($B477="","",IF($I476="",$C$10,$I476)+IF($G477="",0,$G477)-IF($H477="",0,$H477))</f>
        <v/>
      </c>
      <c r="L477">
        <f>IFERROR(MATCH($C$5&amp;"|"&amp;RIGHT("000000"&amp;461,6),LdgRankKeyA,0),"")</f>
        <v/>
      </c>
      <c r="M477">
        <f>IFERROR(MATCH($C$5&amp;"|"&amp;RIGHT("000000"&amp;461,6),LdgRankKeyB,0),"")</f>
        <v/>
      </c>
    </row>
    <row r="478">
      <c r="A478" s="23" t="n">
        <v>462</v>
      </c>
      <c r="B478" s="24">
        <f>IF(AND($L478="",$M478=""),"",IF($L478&lt;&gt;"",INDEX(SCNormDate,$L478),INDEX(LdgDateB,$M478)))</f>
        <v/>
      </c>
      <c r="C478" s="24">
        <f>IF($L478&lt;&gt;"",INDEX(SCOp,$L478),IF($M478&lt;&gt;"","پرداخت بانکی",""))</f>
        <v/>
      </c>
      <c r="D478" s="24">
        <f>IF($L478&lt;&gt;"",IF(INDEX(SCDoc,$L478)="","—",INDEX(SCDoc,$L478)),IF($M478&lt;&gt;"",INDEX(LdgBankB,$M478),""))</f>
        <v/>
      </c>
      <c r="E478" s="25">
        <f>IF($L478&lt;&gt;"",IF(INDEX(SCCitrus,$L478)&amp;INDEX(SCNotes,$L478)="","",IF(INDEX(SCCitrus,$L478)="","",INDEX(SCCitrus,$L478))&amp;IF(INDEX(SCNotes,$L478)="",""," — "&amp;INDEX(SCNotes,$L478))),IF($M478&lt;&gt;"",IF(INDEX(LdgNoteB,$M478)="","—",INDEX(LdgNoteB,$M478)),""))</f>
        <v/>
      </c>
      <c r="F478" s="26">
        <f>IF($L478&lt;&gt;"",IF(INDEX(SCNet,$L478)=0,"",INDEX(SCNet,$L478)),"")</f>
        <v/>
      </c>
      <c r="G478" s="27">
        <f>IF($L478&lt;&gt;"",IF(INDEX(SCOp,$L478)="مرجوعی فروش","",IF(INDEX(SCAmount,$L478)&lt;=0,"",INDEX(SCAmount,$L478))),IF($M478&lt;&gt;"",IF(INDEX(LdgWitB,$M478)=0,"",INDEX(LdgWitB,$M478)),""))</f>
        <v/>
      </c>
      <c r="H478" s="27">
        <f>IF($L478&lt;&gt;"",IF(INDEX(SCOp,$L478)="مرجوعی فروش",IF(INDEX(SCAmount,$L478)=0,"",-INDEX(SCAmount,$L478)),""),IF($M478&lt;&gt;"",IF(INDEX(LdgDepB,$M478)=0,"",INDEX(LdgDepB,$M478)),""))</f>
        <v/>
      </c>
      <c r="I478" s="28">
        <f>IF($B478="","",IF($I477="",$C$10,$I477)+IF($G478="",0,$G478)-IF($H478="",0,$H478))</f>
        <v/>
      </c>
      <c r="L478">
        <f>IFERROR(MATCH($C$5&amp;"|"&amp;RIGHT("000000"&amp;462,6),LdgRankKeyA,0),"")</f>
        <v/>
      </c>
      <c r="M478">
        <f>IFERROR(MATCH($C$5&amp;"|"&amp;RIGHT("000000"&amp;462,6),LdgRankKeyB,0),"")</f>
        <v/>
      </c>
    </row>
    <row r="479">
      <c r="A479" s="17" t="n">
        <v>463</v>
      </c>
      <c r="B479" s="18">
        <f>IF(AND($L479="",$M479=""),"",IF($L479&lt;&gt;"",INDEX(SCNormDate,$L479),INDEX(LdgDateB,$M479)))</f>
        <v/>
      </c>
      <c r="C479" s="18">
        <f>IF($L479&lt;&gt;"",INDEX(SCOp,$L479),IF($M479&lt;&gt;"","پرداخت بانکی",""))</f>
        <v/>
      </c>
      <c r="D479" s="18">
        <f>IF($L479&lt;&gt;"",IF(INDEX(SCDoc,$L479)="","—",INDEX(SCDoc,$L479)),IF($M479&lt;&gt;"",INDEX(LdgBankB,$M479),""))</f>
        <v/>
      </c>
      <c r="E479" s="19">
        <f>IF($L479&lt;&gt;"",IF(INDEX(SCCitrus,$L479)&amp;INDEX(SCNotes,$L479)="","",IF(INDEX(SCCitrus,$L479)="","",INDEX(SCCitrus,$L479))&amp;IF(INDEX(SCNotes,$L479)="",""," — "&amp;INDEX(SCNotes,$L479))),IF($M479&lt;&gt;"",IF(INDEX(LdgNoteB,$M479)="","—",INDEX(LdgNoteB,$M479)),""))</f>
        <v/>
      </c>
      <c r="F479" s="20">
        <f>IF($L479&lt;&gt;"",IF(INDEX(SCNet,$L479)=0,"",INDEX(SCNet,$L479)),"")</f>
        <v/>
      </c>
      <c r="G479" s="21">
        <f>IF($L479&lt;&gt;"",IF(INDEX(SCOp,$L479)="مرجوعی فروش","",IF(INDEX(SCAmount,$L479)&lt;=0,"",INDEX(SCAmount,$L479))),IF($M479&lt;&gt;"",IF(INDEX(LdgWitB,$M479)=0,"",INDEX(LdgWitB,$M479)),""))</f>
        <v/>
      </c>
      <c r="H479" s="21">
        <f>IF($L479&lt;&gt;"",IF(INDEX(SCOp,$L479)="مرجوعی فروش",IF(INDEX(SCAmount,$L479)=0,"",-INDEX(SCAmount,$L479)),""),IF($M479&lt;&gt;"",IF(INDEX(LdgDepB,$M479)=0,"",INDEX(LdgDepB,$M479)),""))</f>
        <v/>
      </c>
      <c r="I479" s="22">
        <f>IF($B479="","",IF($I478="",$C$10,$I478)+IF($G479="",0,$G479)-IF($H479="",0,$H479))</f>
        <v/>
      </c>
      <c r="L479">
        <f>IFERROR(MATCH($C$5&amp;"|"&amp;RIGHT("000000"&amp;463,6),LdgRankKeyA,0),"")</f>
        <v/>
      </c>
      <c r="M479">
        <f>IFERROR(MATCH($C$5&amp;"|"&amp;RIGHT("000000"&amp;463,6),LdgRankKeyB,0),"")</f>
        <v/>
      </c>
    </row>
    <row r="480">
      <c r="A480" s="23" t="n">
        <v>464</v>
      </c>
      <c r="B480" s="24">
        <f>IF(AND($L480="",$M480=""),"",IF($L480&lt;&gt;"",INDEX(SCNormDate,$L480),INDEX(LdgDateB,$M480)))</f>
        <v/>
      </c>
      <c r="C480" s="24">
        <f>IF($L480&lt;&gt;"",INDEX(SCOp,$L480),IF($M480&lt;&gt;"","پرداخت بانکی",""))</f>
        <v/>
      </c>
      <c r="D480" s="24">
        <f>IF($L480&lt;&gt;"",IF(INDEX(SCDoc,$L480)="","—",INDEX(SCDoc,$L480)),IF($M480&lt;&gt;"",INDEX(LdgBankB,$M480),""))</f>
        <v/>
      </c>
      <c r="E480" s="25">
        <f>IF($L480&lt;&gt;"",IF(INDEX(SCCitrus,$L480)&amp;INDEX(SCNotes,$L480)="","",IF(INDEX(SCCitrus,$L480)="","",INDEX(SCCitrus,$L480))&amp;IF(INDEX(SCNotes,$L480)="",""," — "&amp;INDEX(SCNotes,$L480))),IF($M480&lt;&gt;"",IF(INDEX(LdgNoteB,$M480)="","—",INDEX(LdgNoteB,$M480)),""))</f>
        <v/>
      </c>
      <c r="F480" s="26">
        <f>IF($L480&lt;&gt;"",IF(INDEX(SCNet,$L480)=0,"",INDEX(SCNet,$L480)),"")</f>
        <v/>
      </c>
      <c r="G480" s="27">
        <f>IF($L480&lt;&gt;"",IF(INDEX(SCOp,$L480)="مرجوعی فروش","",IF(INDEX(SCAmount,$L480)&lt;=0,"",INDEX(SCAmount,$L480))),IF($M480&lt;&gt;"",IF(INDEX(LdgWitB,$M480)=0,"",INDEX(LdgWitB,$M480)),""))</f>
        <v/>
      </c>
      <c r="H480" s="27">
        <f>IF($L480&lt;&gt;"",IF(INDEX(SCOp,$L480)="مرجوعی فروش",IF(INDEX(SCAmount,$L480)=0,"",-INDEX(SCAmount,$L480)),""),IF($M480&lt;&gt;"",IF(INDEX(LdgDepB,$M480)=0,"",INDEX(LdgDepB,$M480)),""))</f>
        <v/>
      </c>
      <c r="I480" s="28">
        <f>IF($B480="","",IF($I479="",$C$10,$I479)+IF($G480="",0,$G480)-IF($H480="",0,$H480))</f>
        <v/>
      </c>
      <c r="L480">
        <f>IFERROR(MATCH($C$5&amp;"|"&amp;RIGHT("000000"&amp;464,6),LdgRankKeyA,0),"")</f>
        <v/>
      </c>
      <c r="M480">
        <f>IFERROR(MATCH($C$5&amp;"|"&amp;RIGHT("000000"&amp;464,6),LdgRankKeyB,0),"")</f>
        <v/>
      </c>
    </row>
    <row r="481">
      <c r="A481" s="17" t="n">
        <v>465</v>
      </c>
      <c r="B481" s="18">
        <f>IF(AND($L481="",$M481=""),"",IF($L481&lt;&gt;"",INDEX(SCNormDate,$L481),INDEX(LdgDateB,$M481)))</f>
        <v/>
      </c>
      <c r="C481" s="18">
        <f>IF($L481&lt;&gt;"",INDEX(SCOp,$L481),IF($M481&lt;&gt;"","پرداخت بانکی",""))</f>
        <v/>
      </c>
      <c r="D481" s="18">
        <f>IF($L481&lt;&gt;"",IF(INDEX(SCDoc,$L481)="","—",INDEX(SCDoc,$L481)),IF($M481&lt;&gt;"",INDEX(LdgBankB,$M481),""))</f>
        <v/>
      </c>
      <c r="E481" s="19">
        <f>IF($L481&lt;&gt;"",IF(INDEX(SCCitrus,$L481)&amp;INDEX(SCNotes,$L481)="","",IF(INDEX(SCCitrus,$L481)="","",INDEX(SCCitrus,$L481))&amp;IF(INDEX(SCNotes,$L481)="",""," — "&amp;INDEX(SCNotes,$L481))),IF($M481&lt;&gt;"",IF(INDEX(LdgNoteB,$M481)="","—",INDEX(LdgNoteB,$M481)),""))</f>
        <v/>
      </c>
      <c r="F481" s="20">
        <f>IF($L481&lt;&gt;"",IF(INDEX(SCNet,$L481)=0,"",INDEX(SCNet,$L481)),"")</f>
        <v/>
      </c>
      <c r="G481" s="21">
        <f>IF($L481&lt;&gt;"",IF(INDEX(SCOp,$L481)="مرجوعی فروش","",IF(INDEX(SCAmount,$L481)&lt;=0,"",INDEX(SCAmount,$L481))),IF($M481&lt;&gt;"",IF(INDEX(LdgWitB,$M481)=0,"",INDEX(LdgWitB,$M481)),""))</f>
        <v/>
      </c>
      <c r="H481" s="21">
        <f>IF($L481&lt;&gt;"",IF(INDEX(SCOp,$L481)="مرجوعی فروش",IF(INDEX(SCAmount,$L481)=0,"",-INDEX(SCAmount,$L481)),""),IF($M481&lt;&gt;"",IF(INDEX(LdgDepB,$M481)=0,"",INDEX(LdgDepB,$M481)),""))</f>
        <v/>
      </c>
      <c r="I481" s="22">
        <f>IF($B481="","",IF($I480="",$C$10,$I480)+IF($G481="",0,$G481)-IF($H481="",0,$H481))</f>
        <v/>
      </c>
      <c r="L481">
        <f>IFERROR(MATCH($C$5&amp;"|"&amp;RIGHT("000000"&amp;465,6),LdgRankKeyA,0),"")</f>
        <v/>
      </c>
      <c r="M481">
        <f>IFERROR(MATCH($C$5&amp;"|"&amp;RIGHT("000000"&amp;465,6),LdgRankKeyB,0),"")</f>
        <v/>
      </c>
    </row>
    <row r="482">
      <c r="A482" s="23" t="n">
        <v>466</v>
      </c>
      <c r="B482" s="24">
        <f>IF(AND($L482="",$M482=""),"",IF($L482&lt;&gt;"",INDEX(SCNormDate,$L482),INDEX(LdgDateB,$M482)))</f>
        <v/>
      </c>
      <c r="C482" s="24">
        <f>IF($L482&lt;&gt;"",INDEX(SCOp,$L482),IF($M482&lt;&gt;"","پرداخت بانکی",""))</f>
        <v/>
      </c>
      <c r="D482" s="24">
        <f>IF($L482&lt;&gt;"",IF(INDEX(SCDoc,$L482)="","—",INDEX(SCDoc,$L482)),IF($M482&lt;&gt;"",INDEX(LdgBankB,$M482),""))</f>
        <v/>
      </c>
      <c r="E482" s="25">
        <f>IF($L482&lt;&gt;"",IF(INDEX(SCCitrus,$L482)&amp;INDEX(SCNotes,$L482)="","",IF(INDEX(SCCitrus,$L482)="","",INDEX(SCCitrus,$L482))&amp;IF(INDEX(SCNotes,$L482)="",""," — "&amp;INDEX(SCNotes,$L482))),IF($M482&lt;&gt;"",IF(INDEX(LdgNoteB,$M482)="","—",INDEX(LdgNoteB,$M482)),""))</f>
        <v/>
      </c>
      <c r="F482" s="26">
        <f>IF($L482&lt;&gt;"",IF(INDEX(SCNet,$L482)=0,"",INDEX(SCNet,$L482)),"")</f>
        <v/>
      </c>
      <c r="G482" s="27">
        <f>IF($L482&lt;&gt;"",IF(INDEX(SCOp,$L482)="مرجوعی فروش","",IF(INDEX(SCAmount,$L482)&lt;=0,"",INDEX(SCAmount,$L482))),IF($M482&lt;&gt;"",IF(INDEX(LdgWitB,$M482)=0,"",INDEX(LdgWitB,$M482)),""))</f>
        <v/>
      </c>
      <c r="H482" s="27">
        <f>IF($L482&lt;&gt;"",IF(INDEX(SCOp,$L482)="مرجوعی فروش",IF(INDEX(SCAmount,$L482)=0,"",-INDEX(SCAmount,$L482)),""),IF($M482&lt;&gt;"",IF(INDEX(LdgDepB,$M482)=0,"",INDEX(LdgDepB,$M482)),""))</f>
        <v/>
      </c>
      <c r="I482" s="28">
        <f>IF($B482="","",IF($I481="",$C$10,$I481)+IF($G482="",0,$G482)-IF($H482="",0,$H482))</f>
        <v/>
      </c>
      <c r="L482">
        <f>IFERROR(MATCH($C$5&amp;"|"&amp;RIGHT("000000"&amp;466,6),LdgRankKeyA,0),"")</f>
        <v/>
      </c>
      <c r="M482">
        <f>IFERROR(MATCH($C$5&amp;"|"&amp;RIGHT("000000"&amp;466,6),LdgRankKeyB,0),"")</f>
        <v/>
      </c>
    </row>
    <row r="483">
      <c r="A483" s="17" t="n">
        <v>467</v>
      </c>
      <c r="B483" s="18">
        <f>IF(AND($L483="",$M483=""),"",IF($L483&lt;&gt;"",INDEX(SCNormDate,$L483),INDEX(LdgDateB,$M483)))</f>
        <v/>
      </c>
      <c r="C483" s="18">
        <f>IF($L483&lt;&gt;"",INDEX(SCOp,$L483),IF($M483&lt;&gt;"","پرداخت بانکی",""))</f>
        <v/>
      </c>
      <c r="D483" s="18">
        <f>IF($L483&lt;&gt;"",IF(INDEX(SCDoc,$L483)="","—",INDEX(SCDoc,$L483)),IF($M483&lt;&gt;"",INDEX(LdgBankB,$M483),""))</f>
        <v/>
      </c>
      <c r="E483" s="19">
        <f>IF($L483&lt;&gt;"",IF(INDEX(SCCitrus,$L483)&amp;INDEX(SCNotes,$L483)="","",IF(INDEX(SCCitrus,$L483)="","",INDEX(SCCitrus,$L483))&amp;IF(INDEX(SCNotes,$L483)="",""," — "&amp;INDEX(SCNotes,$L483))),IF($M483&lt;&gt;"",IF(INDEX(LdgNoteB,$M483)="","—",INDEX(LdgNoteB,$M483)),""))</f>
        <v/>
      </c>
      <c r="F483" s="20">
        <f>IF($L483&lt;&gt;"",IF(INDEX(SCNet,$L483)=0,"",INDEX(SCNet,$L483)),"")</f>
        <v/>
      </c>
      <c r="G483" s="21">
        <f>IF($L483&lt;&gt;"",IF(INDEX(SCOp,$L483)="مرجوعی فروش","",IF(INDEX(SCAmount,$L483)&lt;=0,"",INDEX(SCAmount,$L483))),IF($M483&lt;&gt;"",IF(INDEX(LdgWitB,$M483)=0,"",INDEX(LdgWitB,$M483)),""))</f>
        <v/>
      </c>
      <c r="H483" s="21">
        <f>IF($L483&lt;&gt;"",IF(INDEX(SCOp,$L483)="مرجوعی فروش",IF(INDEX(SCAmount,$L483)=0,"",-INDEX(SCAmount,$L483)),""),IF($M483&lt;&gt;"",IF(INDEX(LdgDepB,$M483)=0,"",INDEX(LdgDepB,$M483)),""))</f>
        <v/>
      </c>
      <c r="I483" s="22">
        <f>IF($B483="","",IF($I482="",$C$10,$I482)+IF($G483="",0,$G483)-IF($H483="",0,$H483))</f>
        <v/>
      </c>
      <c r="L483">
        <f>IFERROR(MATCH($C$5&amp;"|"&amp;RIGHT("000000"&amp;467,6),LdgRankKeyA,0),"")</f>
        <v/>
      </c>
      <c r="M483">
        <f>IFERROR(MATCH($C$5&amp;"|"&amp;RIGHT("000000"&amp;467,6),LdgRankKeyB,0),"")</f>
        <v/>
      </c>
    </row>
    <row r="484">
      <c r="A484" s="23" t="n">
        <v>468</v>
      </c>
      <c r="B484" s="24">
        <f>IF(AND($L484="",$M484=""),"",IF($L484&lt;&gt;"",INDEX(SCNormDate,$L484),INDEX(LdgDateB,$M484)))</f>
        <v/>
      </c>
      <c r="C484" s="24">
        <f>IF($L484&lt;&gt;"",INDEX(SCOp,$L484),IF($M484&lt;&gt;"","پرداخت بانکی",""))</f>
        <v/>
      </c>
      <c r="D484" s="24">
        <f>IF($L484&lt;&gt;"",IF(INDEX(SCDoc,$L484)="","—",INDEX(SCDoc,$L484)),IF($M484&lt;&gt;"",INDEX(LdgBankB,$M484),""))</f>
        <v/>
      </c>
      <c r="E484" s="25">
        <f>IF($L484&lt;&gt;"",IF(INDEX(SCCitrus,$L484)&amp;INDEX(SCNotes,$L484)="","",IF(INDEX(SCCitrus,$L484)="","",INDEX(SCCitrus,$L484))&amp;IF(INDEX(SCNotes,$L484)="",""," — "&amp;INDEX(SCNotes,$L484))),IF($M484&lt;&gt;"",IF(INDEX(LdgNoteB,$M484)="","—",INDEX(LdgNoteB,$M484)),""))</f>
        <v/>
      </c>
      <c r="F484" s="26">
        <f>IF($L484&lt;&gt;"",IF(INDEX(SCNet,$L484)=0,"",INDEX(SCNet,$L484)),"")</f>
        <v/>
      </c>
      <c r="G484" s="27">
        <f>IF($L484&lt;&gt;"",IF(INDEX(SCOp,$L484)="مرجوعی فروش","",IF(INDEX(SCAmount,$L484)&lt;=0,"",INDEX(SCAmount,$L484))),IF($M484&lt;&gt;"",IF(INDEX(LdgWitB,$M484)=0,"",INDEX(LdgWitB,$M484)),""))</f>
        <v/>
      </c>
      <c r="H484" s="27">
        <f>IF($L484&lt;&gt;"",IF(INDEX(SCOp,$L484)="مرجوعی فروش",IF(INDEX(SCAmount,$L484)=0,"",-INDEX(SCAmount,$L484)),""),IF($M484&lt;&gt;"",IF(INDEX(LdgDepB,$M484)=0,"",INDEX(LdgDepB,$M484)),""))</f>
        <v/>
      </c>
      <c r="I484" s="28">
        <f>IF($B484="","",IF($I483="",$C$10,$I483)+IF($G484="",0,$G484)-IF($H484="",0,$H484))</f>
        <v/>
      </c>
      <c r="L484">
        <f>IFERROR(MATCH($C$5&amp;"|"&amp;RIGHT("000000"&amp;468,6),LdgRankKeyA,0),"")</f>
        <v/>
      </c>
      <c r="M484">
        <f>IFERROR(MATCH($C$5&amp;"|"&amp;RIGHT("000000"&amp;468,6),LdgRankKeyB,0),"")</f>
        <v/>
      </c>
    </row>
    <row r="485">
      <c r="A485" s="17" t="n">
        <v>469</v>
      </c>
      <c r="B485" s="18">
        <f>IF(AND($L485="",$M485=""),"",IF($L485&lt;&gt;"",INDEX(SCNormDate,$L485),INDEX(LdgDateB,$M485)))</f>
        <v/>
      </c>
      <c r="C485" s="18">
        <f>IF($L485&lt;&gt;"",INDEX(SCOp,$L485),IF($M485&lt;&gt;"","پرداخت بانکی",""))</f>
        <v/>
      </c>
      <c r="D485" s="18">
        <f>IF($L485&lt;&gt;"",IF(INDEX(SCDoc,$L485)="","—",INDEX(SCDoc,$L485)),IF($M485&lt;&gt;"",INDEX(LdgBankB,$M485),""))</f>
        <v/>
      </c>
      <c r="E485" s="19">
        <f>IF($L485&lt;&gt;"",IF(INDEX(SCCitrus,$L485)&amp;INDEX(SCNotes,$L485)="","",IF(INDEX(SCCitrus,$L485)="","",INDEX(SCCitrus,$L485))&amp;IF(INDEX(SCNotes,$L485)="",""," — "&amp;INDEX(SCNotes,$L485))),IF($M485&lt;&gt;"",IF(INDEX(LdgNoteB,$M485)="","—",INDEX(LdgNoteB,$M485)),""))</f>
        <v/>
      </c>
      <c r="F485" s="20">
        <f>IF($L485&lt;&gt;"",IF(INDEX(SCNet,$L485)=0,"",INDEX(SCNet,$L485)),"")</f>
        <v/>
      </c>
      <c r="G485" s="21">
        <f>IF($L485&lt;&gt;"",IF(INDEX(SCOp,$L485)="مرجوعی فروش","",IF(INDEX(SCAmount,$L485)&lt;=0,"",INDEX(SCAmount,$L485))),IF($M485&lt;&gt;"",IF(INDEX(LdgWitB,$M485)=0,"",INDEX(LdgWitB,$M485)),""))</f>
        <v/>
      </c>
      <c r="H485" s="21">
        <f>IF($L485&lt;&gt;"",IF(INDEX(SCOp,$L485)="مرجوعی فروش",IF(INDEX(SCAmount,$L485)=0,"",-INDEX(SCAmount,$L485)),""),IF($M485&lt;&gt;"",IF(INDEX(LdgDepB,$M485)=0,"",INDEX(LdgDepB,$M485)),""))</f>
        <v/>
      </c>
      <c r="I485" s="22">
        <f>IF($B485="","",IF($I484="",$C$10,$I484)+IF($G485="",0,$G485)-IF($H485="",0,$H485))</f>
        <v/>
      </c>
      <c r="L485">
        <f>IFERROR(MATCH($C$5&amp;"|"&amp;RIGHT("000000"&amp;469,6),LdgRankKeyA,0),"")</f>
        <v/>
      </c>
      <c r="M485">
        <f>IFERROR(MATCH($C$5&amp;"|"&amp;RIGHT("000000"&amp;469,6),LdgRankKeyB,0),"")</f>
        <v/>
      </c>
    </row>
    <row r="486">
      <c r="A486" s="23" t="n">
        <v>470</v>
      </c>
      <c r="B486" s="24">
        <f>IF(AND($L486="",$M486=""),"",IF($L486&lt;&gt;"",INDEX(SCNormDate,$L486),INDEX(LdgDateB,$M486)))</f>
        <v/>
      </c>
      <c r="C486" s="24">
        <f>IF($L486&lt;&gt;"",INDEX(SCOp,$L486),IF($M486&lt;&gt;"","پرداخت بانکی",""))</f>
        <v/>
      </c>
      <c r="D486" s="24">
        <f>IF($L486&lt;&gt;"",IF(INDEX(SCDoc,$L486)="","—",INDEX(SCDoc,$L486)),IF($M486&lt;&gt;"",INDEX(LdgBankB,$M486),""))</f>
        <v/>
      </c>
      <c r="E486" s="25">
        <f>IF($L486&lt;&gt;"",IF(INDEX(SCCitrus,$L486)&amp;INDEX(SCNotes,$L486)="","",IF(INDEX(SCCitrus,$L486)="","",INDEX(SCCitrus,$L486))&amp;IF(INDEX(SCNotes,$L486)="",""," — "&amp;INDEX(SCNotes,$L486))),IF($M486&lt;&gt;"",IF(INDEX(LdgNoteB,$M486)="","—",INDEX(LdgNoteB,$M486)),""))</f>
        <v/>
      </c>
      <c r="F486" s="26">
        <f>IF($L486&lt;&gt;"",IF(INDEX(SCNet,$L486)=0,"",INDEX(SCNet,$L486)),"")</f>
        <v/>
      </c>
      <c r="G486" s="27">
        <f>IF($L486&lt;&gt;"",IF(INDEX(SCOp,$L486)="مرجوعی فروش","",IF(INDEX(SCAmount,$L486)&lt;=0,"",INDEX(SCAmount,$L486))),IF($M486&lt;&gt;"",IF(INDEX(LdgWitB,$M486)=0,"",INDEX(LdgWitB,$M486)),""))</f>
        <v/>
      </c>
      <c r="H486" s="27">
        <f>IF($L486&lt;&gt;"",IF(INDEX(SCOp,$L486)="مرجوعی فروش",IF(INDEX(SCAmount,$L486)=0,"",-INDEX(SCAmount,$L486)),""),IF($M486&lt;&gt;"",IF(INDEX(LdgDepB,$M486)=0,"",INDEX(LdgDepB,$M486)),""))</f>
        <v/>
      </c>
      <c r="I486" s="28">
        <f>IF($B486="","",IF($I485="",$C$10,$I485)+IF($G486="",0,$G486)-IF($H486="",0,$H486))</f>
        <v/>
      </c>
      <c r="L486">
        <f>IFERROR(MATCH($C$5&amp;"|"&amp;RIGHT("000000"&amp;470,6),LdgRankKeyA,0),"")</f>
        <v/>
      </c>
      <c r="M486">
        <f>IFERROR(MATCH($C$5&amp;"|"&amp;RIGHT("000000"&amp;470,6),LdgRankKeyB,0),"")</f>
        <v/>
      </c>
    </row>
    <row r="487">
      <c r="A487" s="17" t="n">
        <v>471</v>
      </c>
      <c r="B487" s="18">
        <f>IF(AND($L487="",$M487=""),"",IF($L487&lt;&gt;"",INDEX(SCNormDate,$L487),INDEX(LdgDateB,$M487)))</f>
        <v/>
      </c>
      <c r="C487" s="18">
        <f>IF($L487&lt;&gt;"",INDEX(SCOp,$L487),IF($M487&lt;&gt;"","پرداخت بانکی",""))</f>
        <v/>
      </c>
      <c r="D487" s="18">
        <f>IF($L487&lt;&gt;"",IF(INDEX(SCDoc,$L487)="","—",INDEX(SCDoc,$L487)),IF($M487&lt;&gt;"",INDEX(LdgBankB,$M487),""))</f>
        <v/>
      </c>
      <c r="E487" s="19">
        <f>IF($L487&lt;&gt;"",IF(INDEX(SCCitrus,$L487)&amp;INDEX(SCNotes,$L487)="","",IF(INDEX(SCCitrus,$L487)="","",INDEX(SCCitrus,$L487))&amp;IF(INDEX(SCNotes,$L487)="",""," — "&amp;INDEX(SCNotes,$L487))),IF($M487&lt;&gt;"",IF(INDEX(LdgNoteB,$M487)="","—",INDEX(LdgNoteB,$M487)),""))</f>
        <v/>
      </c>
      <c r="F487" s="20">
        <f>IF($L487&lt;&gt;"",IF(INDEX(SCNet,$L487)=0,"",INDEX(SCNet,$L487)),"")</f>
        <v/>
      </c>
      <c r="G487" s="21">
        <f>IF($L487&lt;&gt;"",IF(INDEX(SCOp,$L487)="مرجوعی فروش","",IF(INDEX(SCAmount,$L487)&lt;=0,"",INDEX(SCAmount,$L487))),IF($M487&lt;&gt;"",IF(INDEX(LdgWitB,$M487)=0,"",INDEX(LdgWitB,$M487)),""))</f>
        <v/>
      </c>
      <c r="H487" s="21">
        <f>IF($L487&lt;&gt;"",IF(INDEX(SCOp,$L487)="مرجوعی فروش",IF(INDEX(SCAmount,$L487)=0,"",-INDEX(SCAmount,$L487)),""),IF($M487&lt;&gt;"",IF(INDEX(LdgDepB,$M487)=0,"",INDEX(LdgDepB,$M487)),""))</f>
        <v/>
      </c>
      <c r="I487" s="22">
        <f>IF($B487="","",IF($I486="",$C$10,$I486)+IF($G487="",0,$G487)-IF($H487="",0,$H487))</f>
        <v/>
      </c>
      <c r="L487">
        <f>IFERROR(MATCH($C$5&amp;"|"&amp;RIGHT("000000"&amp;471,6),LdgRankKeyA,0),"")</f>
        <v/>
      </c>
      <c r="M487">
        <f>IFERROR(MATCH($C$5&amp;"|"&amp;RIGHT("000000"&amp;471,6),LdgRankKeyB,0),"")</f>
        <v/>
      </c>
    </row>
    <row r="488">
      <c r="A488" s="23" t="n">
        <v>472</v>
      </c>
      <c r="B488" s="24">
        <f>IF(AND($L488="",$M488=""),"",IF($L488&lt;&gt;"",INDEX(SCNormDate,$L488),INDEX(LdgDateB,$M488)))</f>
        <v/>
      </c>
      <c r="C488" s="24">
        <f>IF($L488&lt;&gt;"",INDEX(SCOp,$L488),IF($M488&lt;&gt;"","پرداخت بانکی",""))</f>
        <v/>
      </c>
      <c r="D488" s="24">
        <f>IF($L488&lt;&gt;"",IF(INDEX(SCDoc,$L488)="","—",INDEX(SCDoc,$L488)),IF($M488&lt;&gt;"",INDEX(LdgBankB,$M488),""))</f>
        <v/>
      </c>
      <c r="E488" s="25">
        <f>IF($L488&lt;&gt;"",IF(INDEX(SCCitrus,$L488)&amp;INDEX(SCNotes,$L488)="","",IF(INDEX(SCCitrus,$L488)="","",INDEX(SCCitrus,$L488))&amp;IF(INDEX(SCNotes,$L488)="",""," — "&amp;INDEX(SCNotes,$L488))),IF($M488&lt;&gt;"",IF(INDEX(LdgNoteB,$M488)="","—",INDEX(LdgNoteB,$M488)),""))</f>
        <v/>
      </c>
      <c r="F488" s="26">
        <f>IF($L488&lt;&gt;"",IF(INDEX(SCNet,$L488)=0,"",INDEX(SCNet,$L488)),"")</f>
        <v/>
      </c>
      <c r="G488" s="27">
        <f>IF($L488&lt;&gt;"",IF(INDEX(SCOp,$L488)="مرجوعی فروش","",IF(INDEX(SCAmount,$L488)&lt;=0,"",INDEX(SCAmount,$L488))),IF($M488&lt;&gt;"",IF(INDEX(LdgWitB,$M488)=0,"",INDEX(LdgWitB,$M488)),""))</f>
        <v/>
      </c>
      <c r="H488" s="27">
        <f>IF($L488&lt;&gt;"",IF(INDEX(SCOp,$L488)="مرجوعی فروش",IF(INDEX(SCAmount,$L488)=0,"",-INDEX(SCAmount,$L488)),""),IF($M488&lt;&gt;"",IF(INDEX(LdgDepB,$M488)=0,"",INDEX(LdgDepB,$M488)),""))</f>
        <v/>
      </c>
      <c r="I488" s="28">
        <f>IF($B488="","",IF($I487="",$C$10,$I487)+IF($G488="",0,$G488)-IF($H488="",0,$H488))</f>
        <v/>
      </c>
      <c r="L488">
        <f>IFERROR(MATCH($C$5&amp;"|"&amp;RIGHT("000000"&amp;472,6),LdgRankKeyA,0),"")</f>
        <v/>
      </c>
      <c r="M488">
        <f>IFERROR(MATCH($C$5&amp;"|"&amp;RIGHT("000000"&amp;472,6),LdgRankKeyB,0),"")</f>
        <v/>
      </c>
    </row>
    <row r="489">
      <c r="A489" s="17" t="n">
        <v>473</v>
      </c>
      <c r="B489" s="18">
        <f>IF(AND($L489="",$M489=""),"",IF($L489&lt;&gt;"",INDEX(SCNormDate,$L489),INDEX(LdgDateB,$M489)))</f>
        <v/>
      </c>
      <c r="C489" s="18">
        <f>IF($L489&lt;&gt;"",INDEX(SCOp,$L489),IF($M489&lt;&gt;"","پرداخت بانکی",""))</f>
        <v/>
      </c>
      <c r="D489" s="18">
        <f>IF($L489&lt;&gt;"",IF(INDEX(SCDoc,$L489)="","—",INDEX(SCDoc,$L489)),IF($M489&lt;&gt;"",INDEX(LdgBankB,$M489),""))</f>
        <v/>
      </c>
      <c r="E489" s="19">
        <f>IF($L489&lt;&gt;"",IF(INDEX(SCCitrus,$L489)&amp;INDEX(SCNotes,$L489)="","",IF(INDEX(SCCitrus,$L489)="","",INDEX(SCCitrus,$L489))&amp;IF(INDEX(SCNotes,$L489)="",""," — "&amp;INDEX(SCNotes,$L489))),IF($M489&lt;&gt;"",IF(INDEX(LdgNoteB,$M489)="","—",INDEX(LdgNoteB,$M489)),""))</f>
        <v/>
      </c>
      <c r="F489" s="20">
        <f>IF($L489&lt;&gt;"",IF(INDEX(SCNet,$L489)=0,"",INDEX(SCNet,$L489)),"")</f>
        <v/>
      </c>
      <c r="G489" s="21">
        <f>IF($L489&lt;&gt;"",IF(INDEX(SCOp,$L489)="مرجوعی فروش","",IF(INDEX(SCAmount,$L489)&lt;=0,"",INDEX(SCAmount,$L489))),IF($M489&lt;&gt;"",IF(INDEX(LdgWitB,$M489)=0,"",INDEX(LdgWitB,$M489)),""))</f>
        <v/>
      </c>
      <c r="H489" s="21">
        <f>IF($L489&lt;&gt;"",IF(INDEX(SCOp,$L489)="مرجوعی فروش",IF(INDEX(SCAmount,$L489)=0,"",-INDEX(SCAmount,$L489)),""),IF($M489&lt;&gt;"",IF(INDEX(LdgDepB,$M489)=0,"",INDEX(LdgDepB,$M489)),""))</f>
        <v/>
      </c>
      <c r="I489" s="22">
        <f>IF($B489="","",IF($I488="",$C$10,$I488)+IF($G489="",0,$G489)-IF($H489="",0,$H489))</f>
        <v/>
      </c>
      <c r="L489">
        <f>IFERROR(MATCH($C$5&amp;"|"&amp;RIGHT("000000"&amp;473,6),LdgRankKeyA,0),"")</f>
        <v/>
      </c>
      <c r="M489">
        <f>IFERROR(MATCH($C$5&amp;"|"&amp;RIGHT("000000"&amp;473,6),LdgRankKeyB,0),"")</f>
        <v/>
      </c>
    </row>
    <row r="490">
      <c r="A490" s="23" t="n">
        <v>474</v>
      </c>
      <c r="B490" s="24">
        <f>IF(AND($L490="",$M490=""),"",IF($L490&lt;&gt;"",INDEX(SCNormDate,$L490),INDEX(LdgDateB,$M490)))</f>
        <v/>
      </c>
      <c r="C490" s="24">
        <f>IF($L490&lt;&gt;"",INDEX(SCOp,$L490),IF($M490&lt;&gt;"","پرداخت بانکی",""))</f>
        <v/>
      </c>
      <c r="D490" s="24">
        <f>IF($L490&lt;&gt;"",IF(INDEX(SCDoc,$L490)="","—",INDEX(SCDoc,$L490)),IF($M490&lt;&gt;"",INDEX(LdgBankB,$M490),""))</f>
        <v/>
      </c>
      <c r="E490" s="25">
        <f>IF($L490&lt;&gt;"",IF(INDEX(SCCitrus,$L490)&amp;INDEX(SCNotes,$L490)="","",IF(INDEX(SCCitrus,$L490)="","",INDEX(SCCitrus,$L490))&amp;IF(INDEX(SCNotes,$L490)="",""," — "&amp;INDEX(SCNotes,$L490))),IF($M490&lt;&gt;"",IF(INDEX(LdgNoteB,$M490)="","—",INDEX(LdgNoteB,$M490)),""))</f>
        <v/>
      </c>
      <c r="F490" s="26">
        <f>IF($L490&lt;&gt;"",IF(INDEX(SCNet,$L490)=0,"",INDEX(SCNet,$L490)),"")</f>
        <v/>
      </c>
      <c r="G490" s="27">
        <f>IF($L490&lt;&gt;"",IF(INDEX(SCOp,$L490)="مرجوعی فروش","",IF(INDEX(SCAmount,$L490)&lt;=0,"",INDEX(SCAmount,$L490))),IF($M490&lt;&gt;"",IF(INDEX(LdgWitB,$M490)=0,"",INDEX(LdgWitB,$M490)),""))</f>
        <v/>
      </c>
      <c r="H490" s="27">
        <f>IF($L490&lt;&gt;"",IF(INDEX(SCOp,$L490)="مرجوعی فروش",IF(INDEX(SCAmount,$L490)=0,"",-INDEX(SCAmount,$L490)),""),IF($M490&lt;&gt;"",IF(INDEX(LdgDepB,$M490)=0,"",INDEX(LdgDepB,$M490)),""))</f>
        <v/>
      </c>
      <c r="I490" s="28">
        <f>IF($B490="","",IF($I489="",$C$10,$I489)+IF($G490="",0,$G490)-IF($H490="",0,$H490))</f>
        <v/>
      </c>
      <c r="L490">
        <f>IFERROR(MATCH($C$5&amp;"|"&amp;RIGHT("000000"&amp;474,6),LdgRankKeyA,0),"")</f>
        <v/>
      </c>
      <c r="M490">
        <f>IFERROR(MATCH($C$5&amp;"|"&amp;RIGHT("000000"&amp;474,6),LdgRankKeyB,0),"")</f>
        <v/>
      </c>
    </row>
    <row r="491">
      <c r="A491" s="17" t="n">
        <v>475</v>
      </c>
      <c r="B491" s="18">
        <f>IF(AND($L491="",$M491=""),"",IF($L491&lt;&gt;"",INDEX(SCNormDate,$L491),INDEX(LdgDateB,$M491)))</f>
        <v/>
      </c>
      <c r="C491" s="18">
        <f>IF($L491&lt;&gt;"",INDEX(SCOp,$L491),IF($M491&lt;&gt;"","پرداخت بانکی",""))</f>
        <v/>
      </c>
      <c r="D491" s="18">
        <f>IF($L491&lt;&gt;"",IF(INDEX(SCDoc,$L491)="","—",INDEX(SCDoc,$L491)),IF($M491&lt;&gt;"",INDEX(LdgBankB,$M491),""))</f>
        <v/>
      </c>
      <c r="E491" s="19">
        <f>IF($L491&lt;&gt;"",IF(INDEX(SCCitrus,$L491)&amp;INDEX(SCNotes,$L491)="","",IF(INDEX(SCCitrus,$L491)="","",INDEX(SCCitrus,$L491))&amp;IF(INDEX(SCNotes,$L491)="",""," — "&amp;INDEX(SCNotes,$L491))),IF($M491&lt;&gt;"",IF(INDEX(LdgNoteB,$M491)="","—",INDEX(LdgNoteB,$M491)),""))</f>
        <v/>
      </c>
      <c r="F491" s="20">
        <f>IF($L491&lt;&gt;"",IF(INDEX(SCNet,$L491)=0,"",INDEX(SCNet,$L491)),"")</f>
        <v/>
      </c>
      <c r="G491" s="21">
        <f>IF($L491&lt;&gt;"",IF(INDEX(SCOp,$L491)="مرجوعی فروش","",IF(INDEX(SCAmount,$L491)&lt;=0,"",INDEX(SCAmount,$L491))),IF($M491&lt;&gt;"",IF(INDEX(LdgWitB,$M491)=0,"",INDEX(LdgWitB,$M491)),""))</f>
        <v/>
      </c>
      <c r="H491" s="21">
        <f>IF($L491&lt;&gt;"",IF(INDEX(SCOp,$L491)="مرجوعی فروش",IF(INDEX(SCAmount,$L491)=0,"",-INDEX(SCAmount,$L491)),""),IF($M491&lt;&gt;"",IF(INDEX(LdgDepB,$M491)=0,"",INDEX(LdgDepB,$M491)),""))</f>
        <v/>
      </c>
      <c r="I491" s="22">
        <f>IF($B491="","",IF($I490="",$C$10,$I490)+IF($G491="",0,$G491)-IF($H491="",0,$H491))</f>
        <v/>
      </c>
      <c r="L491">
        <f>IFERROR(MATCH($C$5&amp;"|"&amp;RIGHT("000000"&amp;475,6),LdgRankKeyA,0),"")</f>
        <v/>
      </c>
      <c r="M491">
        <f>IFERROR(MATCH($C$5&amp;"|"&amp;RIGHT("000000"&amp;475,6),LdgRankKeyB,0),"")</f>
        <v/>
      </c>
    </row>
    <row r="492">
      <c r="A492" s="23" t="n">
        <v>476</v>
      </c>
      <c r="B492" s="24">
        <f>IF(AND($L492="",$M492=""),"",IF($L492&lt;&gt;"",INDEX(SCNormDate,$L492),INDEX(LdgDateB,$M492)))</f>
        <v/>
      </c>
      <c r="C492" s="24">
        <f>IF($L492&lt;&gt;"",INDEX(SCOp,$L492),IF($M492&lt;&gt;"","پرداخت بانکی",""))</f>
        <v/>
      </c>
      <c r="D492" s="24">
        <f>IF($L492&lt;&gt;"",IF(INDEX(SCDoc,$L492)="","—",INDEX(SCDoc,$L492)),IF($M492&lt;&gt;"",INDEX(LdgBankB,$M492),""))</f>
        <v/>
      </c>
      <c r="E492" s="25">
        <f>IF($L492&lt;&gt;"",IF(INDEX(SCCitrus,$L492)&amp;INDEX(SCNotes,$L492)="","",IF(INDEX(SCCitrus,$L492)="","",INDEX(SCCitrus,$L492))&amp;IF(INDEX(SCNotes,$L492)="",""," — "&amp;INDEX(SCNotes,$L492))),IF($M492&lt;&gt;"",IF(INDEX(LdgNoteB,$M492)="","—",INDEX(LdgNoteB,$M492)),""))</f>
        <v/>
      </c>
      <c r="F492" s="26">
        <f>IF($L492&lt;&gt;"",IF(INDEX(SCNet,$L492)=0,"",INDEX(SCNet,$L492)),"")</f>
        <v/>
      </c>
      <c r="G492" s="27">
        <f>IF($L492&lt;&gt;"",IF(INDEX(SCOp,$L492)="مرجوعی فروش","",IF(INDEX(SCAmount,$L492)&lt;=0,"",INDEX(SCAmount,$L492))),IF($M492&lt;&gt;"",IF(INDEX(LdgWitB,$M492)=0,"",INDEX(LdgWitB,$M492)),""))</f>
        <v/>
      </c>
      <c r="H492" s="27">
        <f>IF($L492&lt;&gt;"",IF(INDEX(SCOp,$L492)="مرجوعی فروش",IF(INDEX(SCAmount,$L492)=0,"",-INDEX(SCAmount,$L492)),""),IF($M492&lt;&gt;"",IF(INDEX(LdgDepB,$M492)=0,"",INDEX(LdgDepB,$M492)),""))</f>
        <v/>
      </c>
      <c r="I492" s="28">
        <f>IF($B492="","",IF($I491="",$C$10,$I491)+IF($G492="",0,$G492)-IF($H492="",0,$H492))</f>
        <v/>
      </c>
      <c r="L492">
        <f>IFERROR(MATCH($C$5&amp;"|"&amp;RIGHT("000000"&amp;476,6),LdgRankKeyA,0),"")</f>
        <v/>
      </c>
      <c r="M492">
        <f>IFERROR(MATCH($C$5&amp;"|"&amp;RIGHT("000000"&amp;476,6),LdgRankKeyB,0),"")</f>
        <v/>
      </c>
    </row>
    <row r="493">
      <c r="A493" s="17" t="n">
        <v>477</v>
      </c>
      <c r="B493" s="18">
        <f>IF(AND($L493="",$M493=""),"",IF($L493&lt;&gt;"",INDEX(SCNormDate,$L493),INDEX(LdgDateB,$M493)))</f>
        <v/>
      </c>
      <c r="C493" s="18">
        <f>IF($L493&lt;&gt;"",INDEX(SCOp,$L493),IF($M493&lt;&gt;"","پرداخت بانکی",""))</f>
        <v/>
      </c>
      <c r="D493" s="18">
        <f>IF($L493&lt;&gt;"",IF(INDEX(SCDoc,$L493)="","—",INDEX(SCDoc,$L493)),IF($M493&lt;&gt;"",INDEX(LdgBankB,$M493),""))</f>
        <v/>
      </c>
      <c r="E493" s="19">
        <f>IF($L493&lt;&gt;"",IF(INDEX(SCCitrus,$L493)&amp;INDEX(SCNotes,$L493)="","",IF(INDEX(SCCitrus,$L493)="","",INDEX(SCCitrus,$L493))&amp;IF(INDEX(SCNotes,$L493)="",""," — "&amp;INDEX(SCNotes,$L493))),IF($M493&lt;&gt;"",IF(INDEX(LdgNoteB,$M493)="","—",INDEX(LdgNoteB,$M493)),""))</f>
        <v/>
      </c>
      <c r="F493" s="20">
        <f>IF($L493&lt;&gt;"",IF(INDEX(SCNet,$L493)=0,"",INDEX(SCNet,$L493)),"")</f>
        <v/>
      </c>
      <c r="G493" s="21">
        <f>IF($L493&lt;&gt;"",IF(INDEX(SCOp,$L493)="مرجوعی فروش","",IF(INDEX(SCAmount,$L493)&lt;=0,"",INDEX(SCAmount,$L493))),IF($M493&lt;&gt;"",IF(INDEX(LdgWitB,$M493)=0,"",INDEX(LdgWitB,$M493)),""))</f>
        <v/>
      </c>
      <c r="H493" s="21">
        <f>IF($L493&lt;&gt;"",IF(INDEX(SCOp,$L493)="مرجوعی فروش",IF(INDEX(SCAmount,$L493)=0,"",-INDEX(SCAmount,$L493)),""),IF($M493&lt;&gt;"",IF(INDEX(LdgDepB,$M493)=0,"",INDEX(LdgDepB,$M493)),""))</f>
        <v/>
      </c>
      <c r="I493" s="22">
        <f>IF($B493="","",IF($I492="",$C$10,$I492)+IF($G493="",0,$G493)-IF($H493="",0,$H493))</f>
        <v/>
      </c>
      <c r="L493">
        <f>IFERROR(MATCH($C$5&amp;"|"&amp;RIGHT("000000"&amp;477,6),LdgRankKeyA,0),"")</f>
        <v/>
      </c>
      <c r="M493">
        <f>IFERROR(MATCH($C$5&amp;"|"&amp;RIGHT("000000"&amp;477,6),LdgRankKeyB,0),"")</f>
        <v/>
      </c>
    </row>
    <row r="494">
      <c r="A494" s="23" t="n">
        <v>478</v>
      </c>
      <c r="B494" s="24">
        <f>IF(AND($L494="",$M494=""),"",IF($L494&lt;&gt;"",INDEX(SCNormDate,$L494),INDEX(LdgDateB,$M494)))</f>
        <v/>
      </c>
      <c r="C494" s="24">
        <f>IF($L494&lt;&gt;"",INDEX(SCOp,$L494),IF($M494&lt;&gt;"","پرداخت بانکی",""))</f>
        <v/>
      </c>
      <c r="D494" s="24">
        <f>IF($L494&lt;&gt;"",IF(INDEX(SCDoc,$L494)="","—",INDEX(SCDoc,$L494)),IF($M494&lt;&gt;"",INDEX(LdgBankB,$M494),""))</f>
        <v/>
      </c>
      <c r="E494" s="25">
        <f>IF($L494&lt;&gt;"",IF(INDEX(SCCitrus,$L494)&amp;INDEX(SCNotes,$L494)="","",IF(INDEX(SCCitrus,$L494)="","",INDEX(SCCitrus,$L494))&amp;IF(INDEX(SCNotes,$L494)="",""," — "&amp;INDEX(SCNotes,$L494))),IF($M494&lt;&gt;"",IF(INDEX(LdgNoteB,$M494)="","—",INDEX(LdgNoteB,$M494)),""))</f>
        <v/>
      </c>
      <c r="F494" s="26">
        <f>IF($L494&lt;&gt;"",IF(INDEX(SCNet,$L494)=0,"",INDEX(SCNet,$L494)),"")</f>
        <v/>
      </c>
      <c r="G494" s="27">
        <f>IF($L494&lt;&gt;"",IF(INDEX(SCOp,$L494)="مرجوعی فروش","",IF(INDEX(SCAmount,$L494)&lt;=0,"",INDEX(SCAmount,$L494))),IF($M494&lt;&gt;"",IF(INDEX(LdgWitB,$M494)=0,"",INDEX(LdgWitB,$M494)),""))</f>
        <v/>
      </c>
      <c r="H494" s="27">
        <f>IF($L494&lt;&gt;"",IF(INDEX(SCOp,$L494)="مرجوعی فروش",IF(INDEX(SCAmount,$L494)=0,"",-INDEX(SCAmount,$L494)),""),IF($M494&lt;&gt;"",IF(INDEX(LdgDepB,$M494)=0,"",INDEX(LdgDepB,$M494)),""))</f>
        <v/>
      </c>
      <c r="I494" s="28">
        <f>IF($B494="","",IF($I493="",$C$10,$I493)+IF($G494="",0,$G494)-IF($H494="",0,$H494))</f>
        <v/>
      </c>
      <c r="L494">
        <f>IFERROR(MATCH($C$5&amp;"|"&amp;RIGHT("000000"&amp;478,6),LdgRankKeyA,0),"")</f>
        <v/>
      </c>
      <c r="M494">
        <f>IFERROR(MATCH($C$5&amp;"|"&amp;RIGHT("000000"&amp;478,6),LdgRankKeyB,0),"")</f>
        <v/>
      </c>
    </row>
    <row r="495">
      <c r="A495" s="17" t="n">
        <v>479</v>
      </c>
      <c r="B495" s="18">
        <f>IF(AND($L495="",$M495=""),"",IF($L495&lt;&gt;"",INDEX(SCNormDate,$L495),INDEX(LdgDateB,$M495)))</f>
        <v/>
      </c>
      <c r="C495" s="18">
        <f>IF($L495&lt;&gt;"",INDEX(SCOp,$L495),IF($M495&lt;&gt;"","پرداخت بانکی",""))</f>
        <v/>
      </c>
      <c r="D495" s="18">
        <f>IF($L495&lt;&gt;"",IF(INDEX(SCDoc,$L495)="","—",INDEX(SCDoc,$L495)),IF($M495&lt;&gt;"",INDEX(LdgBankB,$M495),""))</f>
        <v/>
      </c>
      <c r="E495" s="19">
        <f>IF($L495&lt;&gt;"",IF(INDEX(SCCitrus,$L495)&amp;INDEX(SCNotes,$L495)="","",IF(INDEX(SCCitrus,$L495)="","",INDEX(SCCitrus,$L495))&amp;IF(INDEX(SCNotes,$L495)="",""," — "&amp;INDEX(SCNotes,$L495))),IF($M495&lt;&gt;"",IF(INDEX(LdgNoteB,$M495)="","—",INDEX(LdgNoteB,$M495)),""))</f>
        <v/>
      </c>
      <c r="F495" s="20">
        <f>IF($L495&lt;&gt;"",IF(INDEX(SCNet,$L495)=0,"",INDEX(SCNet,$L495)),"")</f>
        <v/>
      </c>
      <c r="G495" s="21">
        <f>IF($L495&lt;&gt;"",IF(INDEX(SCOp,$L495)="مرجوعی فروش","",IF(INDEX(SCAmount,$L495)&lt;=0,"",INDEX(SCAmount,$L495))),IF($M495&lt;&gt;"",IF(INDEX(LdgWitB,$M495)=0,"",INDEX(LdgWitB,$M495)),""))</f>
        <v/>
      </c>
      <c r="H495" s="21">
        <f>IF($L495&lt;&gt;"",IF(INDEX(SCOp,$L495)="مرجوعی فروش",IF(INDEX(SCAmount,$L495)=0,"",-INDEX(SCAmount,$L495)),""),IF($M495&lt;&gt;"",IF(INDEX(LdgDepB,$M495)=0,"",INDEX(LdgDepB,$M495)),""))</f>
        <v/>
      </c>
      <c r="I495" s="22">
        <f>IF($B495="","",IF($I494="",$C$10,$I494)+IF($G495="",0,$G495)-IF($H495="",0,$H495))</f>
        <v/>
      </c>
      <c r="L495">
        <f>IFERROR(MATCH($C$5&amp;"|"&amp;RIGHT("000000"&amp;479,6),LdgRankKeyA,0),"")</f>
        <v/>
      </c>
      <c r="M495">
        <f>IFERROR(MATCH($C$5&amp;"|"&amp;RIGHT("000000"&amp;479,6),LdgRankKeyB,0),"")</f>
        <v/>
      </c>
    </row>
    <row r="496">
      <c r="A496" s="23" t="n">
        <v>480</v>
      </c>
      <c r="B496" s="24">
        <f>IF(AND($L496="",$M496=""),"",IF($L496&lt;&gt;"",INDEX(SCNormDate,$L496),INDEX(LdgDateB,$M496)))</f>
        <v/>
      </c>
      <c r="C496" s="24">
        <f>IF($L496&lt;&gt;"",INDEX(SCOp,$L496),IF($M496&lt;&gt;"","پرداخت بانکی",""))</f>
        <v/>
      </c>
      <c r="D496" s="24">
        <f>IF($L496&lt;&gt;"",IF(INDEX(SCDoc,$L496)="","—",INDEX(SCDoc,$L496)),IF($M496&lt;&gt;"",INDEX(LdgBankB,$M496),""))</f>
        <v/>
      </c>
      <c r="E496" s="25">
        <f>IF($L496&lt;&gt;"",IF(INDEX(SCCitrus,$L496)&amp;INDEX(SCNotes,$L496)="","",IF(INDEX(SCCitrus,$L496)="","",INDEX(SCCitrus,$L496))&amp;IF(INDEX(SCNotes,$L496)="",""," — "&amp;INDEX(SCNotes,$L496))),IF($M496&lt;&gt;"",IF(INDEX(LdgNoteB,$M496)="","—",INDEX(LdgNoteB,$M496)),""))</f>
        <v/>
      </c>
      <c r="F496" s="26">
        <f>IF($L496&lt;&gt;"",IF(INDEX(SCNet,$L496)=0,"",INDEX(SCNet,$L496)),"")</f>
        <v/>
      </c>
      <c r="G496" s="27">
        <f>IF($L496&lt;&gt;"",IF(INDEX(SCOp,$L496)="مرجوعی فروش","",IF(INDEX(SCAmount,$L496)&lt;=0,"",INDEX(SCAmount,$L496))),IF($M496&lt;&gt;"",IF(INDEX(LdgWitB,$M496)=0,"",INDEX(LdgWitB,$M496)),""))</f>
        <v/>
      </c>
      <c r="H496" s="27">
        <f>IF($L496&lt;&gt;"",IF(INDEX(SCOp,$L496)="مرجوعی فروش",IF(INDEX(SCAmount,$L496)=0,"",-INDEX(SCAmount,$L496)),""),IF($M496&lt;&gt;"",IF(INDEX(LdgDepB,$M496)=0,"",INDEX(LdgDepB,$M496)),""))</f>
        <v/>
      </c>
      <c r="I496" s="28">
        <f>IF($B496="","",IF($I495="",$C$10,$I495)+IF($G496="",0,$G496)-IF($H496="",0,$H496))</f>
        <v/>
      </c>
      <c r="L496">
        <f>IFERROR(MATCH($C$5&amp;"|"&amp;RIGHT("000000"&amp;480,6),LdgRankKeyA,0),"")</f>
        <v/>
      </c>
      <c r="M496">
        <f>IFERROR(MATCH($C$5&amp;"|"&amp;RIGHT("000000"&amp;480,6),LdgRankKeyB,0),"")</f>
        <v/>
      </c>
    </row>
    <row r="497">
      <c r="A497" s="17" t="n">
        <v>481</v>
      </c>
      <c r="B497" s="18">
        <f>IF(AND($L497="",$M497=""),"",IF($L497&lt;&gt;"",INDEX(SCNormDate,$L497),INDEX(LdgDateB,$M497)))</f>
        <v/>
      </c>
      <c r="C497" s="18">
        <f>IF($L497&lt;&gt;"",INDEX(SCOp,$L497),IF($M497&lt;&gt;"","پرداخت بانکی",""))</f>
        <v/>
      </c>
      <c r="D497" s="18">
        <f>IF($L497&lt;&gt;"",IF(INDEX(SCDoc,$L497)="","—",INDEX(SCDoc,$L497)),IF($M497&lt;&gt;"",INDEX(LdgBankB,$M497),""))</f>
        <v/>
      </c>
      <c r="E497" s="19">
        <f>IF($L497&lt;&gt;"",IF(INDEX(SCCitrus,$L497)&amp;INDEX(SCNotes,$L497)="","",IF(INDEX(SCCitrus,$L497)="","",INDEX(SCCitrus,$L497))&amp;IF(INDEX(SCNotes,$L497)="",""," — "&amp;INDEX(SCNotes,$L497))),IF($M497&lt;&gt;"",IF(INDEX(LdgNoteB,$M497)="","—",INDEX(LdgNoteB,$M497)),""))</f>
        <v/>
      </c>
      <c r="F497" s="20">
        <f>IF($L497&lt;&gt;"",IF(INDEX(SCNet,$L497)=0,"",INDEX(SCNet,$L497)),"")</f>
        <v/>
      </c>
      <c r="G497" s="21">
        <f>IF($L497&lt;&gt;"",IF(INDEX(SCOp,$L497)="مرجوعی فروش","",IF(INDEX(SCAmount,$L497)&lt;=0,"",INDEX(SCAmount,$L497))),IF($M497&lt;&gt;"",IF(INDEX(LdgWitB,$M497)=0,"",INDEX(LdgWitB,$M497)),""))</f>
        <v/>
      </c>
      <c r="H497" s="21">
        <f>IF($L497&lt;&gt;"",IF(INDEX(SCOp,$L497)="مرجوعی فروش",IF(INDEX(SCAmount,$L497)=0,"",-INDEX(SCAmount,$L497)),""),IF($M497&lt;&gt;"",IF(INDEX(LdgDepB,$M497)=0,"",INDEX(LdgDepB,$M497)),""))</f>
        <v/>
      </c>
      <c r="I497" s="22">
        <f>IF($B497="","",IF($I496="",$C$10,$I496)+IF($G497="",0,$G497)-IF($H497="",0,$H497))</f>
        <v/>
      </c>
      <c r="L497">
        <f>IFERROR(MATCH($C$5&amp;"|"&amp;RIGHT("000000"&amp;481,6),LdgRankKeyA,0),"")</f>
        <v/>
      </c>
      <c r="M497">
        <f>IFERROR(MATCH($C$5&amp;"|"&amp;RIGHT("000000"&amp;481,6),LdgRankKeyB,0),"")</f>
        <v/>
      </c>
    </row>
    <row r="498">
      <c r="A498" s="23" t="n">
        <v>482</v>
      </c>
      <c r="B498" s="24">
        <f>IF(AND($L498="",$M498=""),"",IF($L498&lt;&gt;"",INDEX(SCNormDate,$L498),INDEX(LdgDateB,$M498)))</f>
        <v/>
      </c>
      <c r="C498" s="24">
        <f>IF($L498&lt;&gt;"",INDEX(SCOp,$L498),IF($M498&lt;&gt;"","پرداخت بانکی",""))</f>
        <v/>
      </c>
      <c r="D498" s="24">
        <f>IF($L498&lt;&gt;"",IF(INDEX(SCDoc,$L498)="","—",INDEX(SCDoc,$L498)),IF($M498&lt;&gt;"",INDEX(LdgBankB,$M498),""))</f>
        <v/>
      </c>
      <c r="E498" s="25">
        <f>IF($L498&lt;&gt;"",IF(INDEX(SCCitrus,$L498)&amp;INDEX(SCNotes,$L498)="","",IF(INDEX(SCCitrus,$L498)="","",INDEX(SCCitrus,$L498))&amp;IF(INDEX(SCNotes,$L498)="",""," — "&amp;INDEX(SCNotes,$L498))),IF($M498&lt;&gt;"",IF(INDEX(LdgNoteB,$M498)="","—",INDEX(LdgNoteB,$M498)),""))</f>
        <v/>
      </c>
      <c r="F498" s="26">
        <f>IF($L498&lt;&gt;"",IF(INDEX(SCNet,$L498)=0,"",INDEX(SCNet,$L498)),"")</f>
        <v/>
      </c>
      <c r="G498" s="27">
        <f>IF($L498&lt;&gt;"",IF(INDEX(SCOp,$L498)="مرجوعی فروش","",IF(INDEX(SCAmount,$L498)&lt;=0,"",INDEX(SCAmount,$L498))),IF($M498&lt;&gt;"",IF(INDEX(LdgWitB,$M498)=0,"",INDEX(LdgWitB,$M498)),""))</f>
        <v/>
      </c>
      <c r="H498" s="27">
        <f>IF($L498&lt;&gt;"",IF(INDEX(SCOp,$L498)="مرجوعی فروش",IF(INDEX(SCAmount,$L498)=0,"",-INDEX(SCAmount,$L498)),""),IF($M498&lt;&gt;"",IF(INDEX(LdgDepB,$M498)=0,"",INDEX(LdgDepB,$M498)),""))</f>
        <v/>
      </c>
      <c r="I498" s="28">
        <f>IF($B498="","",IF($I497="",$C$10,$I497)+IF($G498="",0,$G498)-IF($H498="",0,$H498))</f>
        <v/>
      </c>
      <c r="L498">
        <f>IFERROR(MATCH($C$5&amp;"|"&amp;RIGHT("000000"&amp;482,6),LdgRankKeyA,0),"")</f>
        <v/>
      </c>
      <c r="M498">
        <f>IFERROR(MATCH($C$5&amp;"|"&amp;RIGHT("000000"&amp;482,6),LdgRankKeyB,0),"")</f>
        <v/>
      </c>
    </row>
    <row r="499">
      <c r="A499" s="17" t="n">
        <v>483</v>
      </c>
      <c r="B499" s="18">
        <f>IF(AND($L499="",$M499=""),"",IF($L499&lt;&gt;"",INDEX(SCNormDate,$L499),INDEX(LdgDateB,$M499)))</f>
        <v/>
      </c>
      <c r="C499" s="18">
        <f>IF($L499&lt;&gt;"",INDEX(SCOp,$L499),IF($M499&lt;&gt;"","پرداخت بانکی",""))</f>
        <v/>
      </c>
      <c r="D499" s="18">
        <f>IF($L499&lt;&gt;"",IF(INDEX(SCDoc,$L499)="","—",INDEX(SCDoc,$L499)),IF($M499&lt;&gt;"",INDEX(LdgBankB,$M499),""))</f>
        <v/>
      </c>
      <c r="E499" s="19">
        <f>IF($L499&lt;&gt;"",IF(INDEX(SCCitrus,$L499)&amp;INDEX(SCNotes,$L499)="","",IF(INDEX(SCCitrus,$L499)="","",INDEX(SCCitrus,$L499))&amp;IF(INDEX(SCNotes,$L499)="",""," — "&amp;INDEX(SCNotes,$L499))),IF($M499&lt;&gt;"",IF(INDEX(LdgNoteB,$M499)="","—",INDEX(LdgNoteB,$M499)),""))</f>
        <v/>
      </c>
      <c r="F499" s="20">
        <f>IF($L499&lt;&gt;"",IF(INDEX(SCNet,$L499)=0,"",INDEX(SCNet,$L499)),"")</f>
        <v/>
      </c>
      <c r="G499" s="21">
        <f>IF($L499&lt;&gt;"",IF(INDEX(SCOp,$L499)="مرجوعی فروش","",IF(INDEX(SCAmount,$L499)&lt;=0,"",INDEX(SCAmount,$L499))),IF($M499&lt;&gt;"",IF(INDEX(LdgWitB,$M499)=0,"",INDEX(LdgWitB,$M499)),""))</f>
        <v/>
      </c>
      <c r="H499" s="21">
        <f>IF($L499&lt;&gt;"",IF(INDEX(SCOp,$L499)="مرجوعی فروش",IF(INDEX(SCAmount,$L499)=0,"",-INDEX(SCAmount,$L499)),""),IF($M499&lt;&gt;"",IF(INDEX(LdgDepB,$M499)=0,"",INDEX(LdgDepB,$M499)),""))</f>
        <v/>
      </c>
      <c r="I499" s="22">
        <f>IF($B499="","",IF($I498="",$C$10,$I498)+IF($G499="",0,$G499)-IF($H499="",0,$H499))</f>
        <v/>
      </c>
      <c r="L499">
        <f>IFERROR(MATCH($C$5&amp;"|"&amp;RIGHT("000000"&amp;483,6),LdgRankKeyA,0),"")</f>
        <v/>
      </c>
      <c r="M499">
        <f>IFERROR(MATCH($C$5&amp;"|"&amp;RIGHT("000000"&amp;483,6),LdgRankKeyB,0),"")</f>
        <v/>
      </c>
    </row>
    <row r="500">
      <c r="A500" s="23" t="n">
        <v>484</v>
      </c>
      <c r="B500" s="24">
        <f>IF(AND($L500="",$M500=""),"",IF($L500&lt;&gt;"",INDEX(SCNormDate,$L500),INDEX(LdgDateB,$M500)))</f>
        <v/>
      </c>
      <c r="C500" s="24">
        <f>IF($L500&lt;&gt;"",INDEX(SCOp,$L500),IF($M500&lt;&gt;"","پرداخت بانکی",""))</f>
        <v/>
      </c>
      <c r="D500" s="24">
        <f>IF($L500&lt;&gt;"",IF(INDEX(SCDoc,$L500)="","—",INDEX(SCDoc,$L500)),IF($M500&lt;&gt;"",INDEX(LdgBankB,$M500),""))</f>
        <v/>
      </c>
      <c r="E500" s="25">
        <f>IF($L500&lt;&gt;"",IF(INDEX(SCCitrus,$L500)&amp;INDEX(SCNotes,$L500)="","",IF(INDEX(SCCitrus,$L500)="","",INDEX(SCCitrus,$L500))&amp;IF(INDEX(SCNotes,$L500)="",""," — "&amp;INDEX(SCNotes,$L500))),IF($M500&lt;&gt;"",IF(INDEX(LdgNoteB,$M500)="","—",INDEX(LdgNoteB,$M500)),""))</f>
        <v/>
      </c>
      <c r="F500" s="26">
        <f>IF($L500&lt;&gt;"",IF(INDEX(SCNet,$L500)=0,"",INDEX(SCNet,$L500)),"")</f>
        <v/>
      </c>
      <c r="G500" s="27">
        <f>IF($L500&lt;&gt;"",IF(INDEX(SCOp,$L500)="مرجوعی فروش","",IF(INDEX(SCAmount,$L500)&lt;=0,"",INDEX(SCAmount,$L500))),IF($M500&lt;&gt;"",IF(INDEX(LdgWitB,$M500)=0,"",INDEX(LdgWitB,$M500)),""))</f>
        <v/>
      </c>
      <c r="H500" s="27">
        <f>IF($L500&lt;&gt;"",IF(INDEX(SCOp,$L500)="مرجوعی فروش",IF(INDEX(SCAmount,$L500)=0,"",-INDEX(SCAmount,$L500)),""),IF($M500&lt;&gt;"",IF(INDEX(LdgDepB,$M500)=0,"",INDEX(LdgDepB,$M500)),""))</f>
        <v/>
      </c>
      <c r="I500" s="28">
        <f>IF($B500="","",IF($I499="",$C$10,$I499)+IF($G500="",0,$G500)-IF($H500="",0,$H500))</f>
        <v/>
      </c>
      <c r="L500">
        <f>IFERROR(MATCH($C$5&amp;"|"&amp;RIGHT("000000"&amp;484,6),LdgRankKeyA,0),"")</f>
        <v/>
      </c>
      <c r="M500">
        <f>IFERROR(MATCH($C$5&amp;"|"&amp;RIGHT("000000"&amp;484,6),LdgRankKeyB,0),"")</f>
        <v/>
      </c>
    </row>
    <row r="501">
      <c r="A501" s="17" t="n">
        <v>485</v>
      </c>
      <c r="B501" s="18">
        <f>IF(AND($L501="",$M501=""),"",IF($L501&lt;&gt;"",INDEX(SCNormDate,$L501),INDEX(LdgDateB,$M501)))</f>
        <v/>
      </c>
      <c r="C501" s="18">
        <f>IF($L501&lt;&gt;"",INDEX(SCOp,$L501),IF($M501&lt;&gt;"","پرداخت بانکی",""))</f>
        <v/>
      </c>
      <c r="D501" s="18">
        <f>IF($L501&lt;&gt;"",IF(INDEX(SCDoc,$L501)="","—",INDEX(SCDoc,$L501)),IF($M501&lt;&gt;"",INDEX(LdgBankB,$M501),""))</f>
        <v/>
      </c>
      <c r="E501" s="19">
        <f>IF($L501&lt;&gt;"",IF(INDEX(SCCitrus,$L501)&amp;INDEX(SCNotes,$L501)="","",IF(INDEX(SCCitrus,$L501)="","",INDEX(SCCitrus,$L501))&amp;IF(INDEX(SCNotes,$L501)="",""," — "&amp;INDEX(SCNotes,$L501))),IF($M501&lt;&gt;"",IF(INDEX(LdgNoteB,$M501)="","—",INDEX(LdgNoteB,$M501)),""))</f>
        <v/>
      </c>
      <c r="F501" s="20">
        <f>IF($L501&lt;&gt;"",IF(INDEX(SCNet,$L501)=0,"",INDEX(SCNet,$L501)),"")</f>
        <v/>
      </c>
      <c r="G501" s="21">
        <f>IF($L501&lt;&gt;"",IF(INDEX(SCOp,$L501)="مرجوعی فروش","",IF(INDEX(SCAmount,$L501)&lt;=0,"",INDEX(SCAmount,$L501))),IF($M501&lt;&gt;"",IF(INDEX(LdgWitB,$M501)=0,"",INDEX(LdgWitB,$M501)),""))</f>
        <v/>
      </c>
      <c r="H501" s="21">
        <f>IF($L501&lt;&gt;"",IF(INDEX(SCOp,$L501)="مرجوعی فروش",IF(INDEX(SCAmount,$L501)=0,"",-INDEX(SCAmount,$L501)),""),IF($M501&lt;&gt;"",IF(INDEX(LdgDepB,$M501)=0,"",INDEX(LdgDepB,$M501)),""))</f>
        <v/>
      </c>
      <c r="I501" s="22">
        <f>IF($B501="","",IF($I500="",$C$10,$I500)+IF($G501="",0,$G501)-IF($H501="",0,$H501))</f>
        <v/>
      </c>
      <c r="L501">
        <f>IFERROR(MATCH($C$5&amp;"|"&amp;RIGHT("000000"&amp;485,6),LdgRankKeyA,0),"")</f>
        <v/>
      </c>
      <c r="M501">
        <f>IFERROR(MATCH($C$5&amp;"|"&amp;RIGHT("000000"&amp;485,6),LdgRankKeyB,0),"")</f>
        <v/>
      </c>
    </row>
    <row r="502">
      <c r="A502" s="23" t="n">
        <v>486</v>
      </c>
      <c r="B502" s="24">
        <f>IF(AND($L502="",$M502=""),"",IF($L502&lt;&gt;"",INDEX(SCNormDate,$L502),INDEX(LdgDateB,$M502)))</f>
        <v/>
      </c>
      <c r="C502" s="24">
        <f>IF($L502&lt;&gt;"",INDEX(SCOp,$L502),IF($M502&lt;&gt;"","پرداخت بانکی",""))</f>
        <v/>
      </c>
      <c r="D502" s="24">
        <f>IF($L502&lt;&gt;"",IF(INDEX(SCDoc,$L502)="","—",INDEX(SCDoc,$L502)),IF($M502&lt;&gt;"",INDEX(LdgBankB,$M502),""))</f>
        <v/>
      </c>
      <c r="E502" s="25">
        <f>IF($L502&lt;&gt;"",IF(INDEX(SCCitrus,$L502)&amp;INDEX(SCNotes,$L502)="","",IF(INDEX(SCCitrus,$L502)="","",INDEX(SCCitrus,$L502))&amp;IF(INDEX(SCNotes,$L502)="",""," — "&amp;INDEX(SCNotes,$L502))),IF($M502&lt;&gt;"",IF(INDEX(LdgNoteB,$M502)="","—",INDEX(LdgNoteB,$M502)),""))</f>
        <v/>
      </c>
      <c r="F502" s="26">
        <f>IF($L502&lt;&gt;"",IF(INDEX(SCNet,$L502)=0,"",INDEX(SCNet,$L502)),"")</f>
        <v/>
      </c>
      <c r="G502" s="27">
        <f>IF($L502&lt;&gt;"",IF(INDEX(SCOp,$L502)="مرجوعی فروش","",IF(INDEX(SCAmount,$L502)&lt;=0,"",INDEX(SCAmount,$L502))),IF($M502&lt;&gt;"",IF(INDEX(LdgWitB,$M502)=0,"",INDEX(LdgWitB,$M502)),""))</f>
        <v/>
      </c>
      <c r="H502" s="27">
        <f>IF($L502&lt;&gt;"",IF(INDEX(SCOp,$L502)="مرجوعی فروش",IF(INDEX(SCAmount,$L502)=0,"",-INDEX(SCAmount,$L502)),""),IF($M502&lt;&gt;"",IF(INDEX(LdgDepB,$M502)=0,"",INDEX(LdgDepB,$M502)),""))</f>
        <v/>
      </c>
      <c r="I502" s="28">
        <f>IF($B502="","",IF($I501="",$C$10,$I501)+IF($G502="",0,$G502)-IF($H502="",0,$H502))</f>
        <v/>
      </c>
      <c r="L502">
        <f>IFERROR(MATCH($C$5&amp;"|"&amp;RIGHT("000000"&amp;486,6),LdgRankKeyA,0),"")</f>
        <v/>
      </c>
      <c r="M502">
        <f>IFERROR(MATCH($C$5&amp;"|"&amp;RIGHT("000000"&amp;486,6),LdgRankKeyB,0),"")</f>
        <v/>
      </c>
    </row>
    <row r="503">
      <c r="A503" s="17" t="n">
        <v>487</v>
      </c>
      <c r="B503" s="18">
        <f>IF(AND($L503="",$M503=""),"",IF($L503&lt;&gt;"",INDEX(SCNormDate,$L503),INDEX(LdgDateB,$M503)))</f>
        <v/>
      </c>
      <c r="C503" s="18">
        <f>IF($L503&lt;&gt;"",INDEX(SCOp,$L503),IF($M503&lt;&gt;"","پرداخت بانکی",""))</f>
        <v/>
      </c>
      <c r="D503" s="18">
        <f>IF($L503&lt;&gt;"",IF(INDEX(SCDoc,$L503)="","—",INDEX(SCDoc,$L503)),IF($M503&lt;&gt;"",INDEX(LdgBankB,$M503),""))</f>
        <v/>
      </c>
      <c r="E503" s="19">
        <f>IF($L503&lt;&gt;"",IF(INDEX(SCCitrus,$L503)&amp;INDEX(SCNotes,$L503)="","",IF(INDEX(SCCitrus,$L503)="","",INDEX(SCCitrus,$L503))&amp;IF(INDEX(SCNotes,$L503)="",""," — "&amp;INDEX(SCNotes,$L503))),IF($M503&lt;&gt;"",IF(INDEX(LdgNoteB,$M503)="","—",INDEX(LdgNoteB,$M503)),""))</f>
        <v/>
      </c>
      <c r="F503" s="20">
        <f>IF($L503&lt;&gt;"",IF(INDEX(SCNet,$L503)=0,"",INDEX(SCNet,$L503)),"")</f>
        <v/>
      </c>
      <c r="G503" s="21">
        <f>IF($L503&lt;&gt;"",IF(INDEX(SCOp,$L503)="مرجوعی فروش","",IF(INDEX(SCAmount,$L503)&lt;=0,"",INDEX(SCAmount,$L503))),IF($M503&lt;&gt;"",IF(INDEX(LdgWitB,$M503)=0,"",INDEX(LdgWitB,$M503)),""))</f>
        <v/>
      </c>
      <c r="H503" s="21">
        <f>IF($L503&lt;&gt;"",IF(INDEX(SCOp,$L503)="مرجوعی فروش",IF(INDEX(SCAmount,$L503)=0,"",-INDEX(SCAmount,$L503)),""),IF($M503&lt;&gt;"",IF(INDEX(LdgDepB,$M503)=0,"",INDEX(LdgDepB,$M503)),""))</f>
        <v/>
      </c>
      <c r="I503" s="22">
        <f>IF($B503="","",IF($I502="",$C$10,$I502)+IF($G503="",0,$G503)-IF($H503="",0,$H503))</f>
        <v/>
      </c>
      <c r="L503">
        <f>IFERROR(MATCH($C$5&amp;"|"&amp;RIGHT("000000"&amp;487,6),LdgRankKeyA,0),"")</f>
        <v/>
      </c>
      <c r="M503">
        <f>IFERROR(MATCH($C$5&amp;"|"&amp;RIGHT("000000"&amp;487,6),LdgRankKeyB,0),"")</f>
        <v/>
      </c>
    </row>
    <row r="504">
      <c r="A504" s="23" t="n">
        <v>488</v>
      </c>
      <c r="B504" s="24">
        <f>IF(AND($L504="",$M504=""),"",IF($L504&lt;&gt;"",INDEX(SCNormDate,$L504),INDEX(LdgDateB,$M504)))</f>
        <v/>
      </c>
      <c r="C504" s="24">
        <f>IF($L504&lt;&gt;"",INDEX(SCOp,$L504),IF($M504&lt;&gt;"","پرداخت بانکی",""))</f>
        <v/>
      </c>
      <c r="D504" s="24">
        <f>IF($L504&lt;&gt;"",IF(INDEX(SCDoc,$L504)="","—",INDEX(SCDoc,$L504)),IF($M504&lt;&gt;"",INDEX(LdgBankB,$M504),""))</f>
        <v/>
      </c>
      <c r="E504" s="25">
        <f>IF($L504&lt;&gt;"",IF(INDEX(SCCitrus,$L504)&amp;INDEX(SCNotes,$L504)="","",IF(INDEX(SCCitrus,$L504)="","",INDEX(SCCitrus,$L504))&amp;IF(INDEX(SCNotes,$L504)="",""," — "&amp;INDEX(SCNotes,$L504))),IF($M504&lt;&gt;"",IF(INDEX(LdgNoteB,$M504)="","—",INDEX(LdgNoteB,$M504)),""))</f>
        <v/>
      </c>
      <c r="F504" s="26">
        <f>IF($L504&lt;&gt;"",IF(INDEX(SCNet,$L504)=0,"",INDEX(SCNet,$L504)),"")</f>
        <v/>
      </c>
      <c r="G504" s="27">
        <f>IF($L504&lt;&gt;"",IF(INDEX(SCOp,$L504)="مرجوعی فروش","",IF(INDEX(SCAmount,$L504)&lt;=0,"",INDEX(SCAmount,$L504))),IF($M504&lt;&gt;"",IF(INDEX(LdgWitB,$M504)=0,"",INDEX(LdgWitB,$M504)),""))</f>
        <v/>
      </c>
      <c r="H504" s="27">
        <f>IF($L504&lt;&gt;"",IF(INDEX(SCOp,$L504)="مرجوعی فروش",IF(INDEX(SCAmount,$L504)=0,"",-INDEX(SCAmount,$L504)),""),IF($M504&lt;&gt;"",IF(INDEX(LdgDepB,$M504)=0,"",INDEX(LdgDepB,$M504)),""))</f>
        <v/>
      </c>
      <c r="I504" s="28">
        <f>IF($B504="","",IF($I503="",$C$10,$I503)+IF($G504="",0,$G504)-IF($H504="",0,$H504))</f>
        <v/>
      </c>
      <c r="L504">
        <f>IFERROR(MATCH($C$5&amp;"|"&amp;RIGHT("000000"&amp;488,6),LdgRankKeyA,0),"")</f>
        <v/>
      </c>
      <c r="M504">
        <f>IFERROR(MATCH($C$5&amp;"|"&amp;RIGHT("000000"&amp;488,6),LdgRankKeyB,0),"")</f>
        <v/>
      </c>
    </row>
    <row r="505">
      <c r="A505" s="17" t="n">
        <v>489</v>
      </c>
      <c r="B505" s="18">
        <f>IF(AND($L505="",$M505=""),"",IF($L505&lt;&gt;"",INDEX(SCNormDate,$L505),INDEX(LdgDateB,$M505)))</f>
        <v/>
      </c>
      <c r="C505" s="18">
        <f>IF($L505&lt;&gt;"",INDEX(SCOp,$L505),IF($M505&lt;&gt;"","پرداخت بانکی",""))</f>
        <v/>
      </c>
      <c r="D505" s="18">
        <f>IF($L505&lt;&gt;"",IF(INDEX(SCDoc,$L505)="","—",INDEX(SCDoc,$L505)),IF($M505&lt;&gt;"",INDEX(LdgBankB,$M505),""))</f>
        <v/>
      </c>
      <c r="E505" s="19">
        <f>IF($L505&lt;&gt;"",IF(INDEX(SCCitrus,$L505)&amp;INDEX(SCNotes,$L505)="","",IF(INDEX(SCCitrus,$L505)="","",INDEX(SCCitrus,$L505))&amp;IF(INDEX(SCNotes,$L505)="",""," — "&amp;INDEX(SCNotes,$L505))),IF($M505&lt;&gt;"",IF(INDEX(LdgNoteB,$M505)="","—",INDEX(LdgNoteB,$M505)),""))</f>
        <v/>
      </c>
      <c r="F505" s="20">
        <f>IF($L505&lt;&gt;"",IF(INDEX(SCNet,$L505)=0,"",INDEX(SCNet,$L505)),"")</f>
        <v/>
      </c>
      <c r="G505" s="21">
        <f>IF($L505&lt;&gt;"",IF(INDEX(SCOp,$L505)="مرجوعی فروش","",IF(INDEX(SCAmount,$L505)&lt;=0,"",INDEX(SCAmount,$L505))),IF($M505&lt;&gt;"",IF(INDEX(LdgWitB,$M505)=0,"",INDEX(LdgWitB,$M505)),""))</f>
        <v/>
      </c>
      <c r="H505" s="21">
        <f>IF($L505&lt;&gt;"",IF(INDEX(SCOp,$L505)="مرجوعی فروش",IF(INDEX(SCAmount,$L505)=0,"",-INDEX(SCAmount,$L505)),""),IF($M505&lt;&gt;"",IF(INDEX(LdgDepB,$M505)=0,"",INDEX(LdgDepB,$M505)),""))</f>
        <v/>
      </c>
      <c r="I505" s="22">
        <f>IF($B505="","",IF($I504="",$C$10,$I504)+IF($G505="",0,$G505)-IF($H505="",0,$H505))</f>
        <v/>
      </c>
      <c r="L505">
        <f>IFERROR(MATCH($C$5&amp;"|"&amp;RIGHT("000000"&amp;489,6),LdgRankKeyA,0),"")</f>
        <v/>
      </c>
      <c r="M505">
        <f>IFERROR(MATCH($C$5&amp;"|"&amp;RIGHT("000000"&amp;489,6),LdgRankKeyB,0),"")</f>
        <v/>
      </c>
    </row>
    <row r="506">
      <c r="A506" s="23" t="n">
        <v>490</v>
      </c>
      <c r="B506" s="24">
        <f>IF(AND($L506="",$M506=""),"",IF($L506&lt;&gt;"",INDEX(SCNormDate,$L506),INDEX(LdgDateB,$M506)))</f>
        <v/>
      </c>
      <c r="C506" s="24">
        <f>IF($L506&lt;&gt;"",INDEX(SCOp,$L506),IF($M506&lt;&gt;"","پرداخت بانکی",""))</f>
        <v/>
      </c>
      <c r="D506" s="24">
        <f>IF($L506&lt;&gt;"",IF(INDEX(SCDoc,$L506)="","—",INDEX(SCDoc,$L506)),IF($M506&lt;&gt;"",INDEX(LdgBankB,$M506),""))</f>
        <v/>
      </c>
      <c r="E506" s="25">
        <f>IF($L506&lt;&gt;"",IF(INDEX(SCCitrus,$L506)&amp;INDEX(SCNotes,$L506)="","",IF(INDEX(SCCitrus,$L506)="","",INDEX(SCCitrus,$L506))&amp;IF(INDEX(SCNotes,$L506)="",""," — "&amp;INDEX(SCNotes,$L506))),IF($M506&lt;&gt;"",IF(INDEX(LdgNoteB,$M506)="","—",INDEX(LdgNoteB,$M506)),""))</f>
        <v/>
      </c>
      <c r="F506" s="26">
        <f>IF($L506&lt;&gt;"",IF(INDEX(SCNet,$L506)=0,"",INDEX(SCNet,$L506)),"")</f>
        <v/>
      </c>
      <c r="G506" s="27">
        <f>IF($L506&lt;&gt;"",IF(INDEX(SCOp,$L506)="مرجوعی فروش","",IF(INDEX(SCAmount,$L506)&lt;=0,"",INDEX(SCAmount,$L506))),IF($M506&lt;&gt;"",IF(INDEX(LdgWitB,$M506)=0,"",INDEX(LdgWitB,$M506)),""))</f>
        <v/>
      </c>
      <c r="H506" s="27">
        <f>IF($L506&lt;&gt;"",IF(INDEX(SCOp,$L506)="مرجوعی فروش",IF(INDEX(SCAmount,$L506)=0,"",-INDEX(SCAmount,$L506)),""),IF($M506&lt;&gt;"",IF(INDEX(LdgDepB,$M506)=0,"",INDEX(LdgDepB,$M506)),""))</f>
        <v/>
      </c>
      <c r="I506" s="28">
        <f>IF($B506="","",IF($I505="",$C$10,$I505)+IF($G506="",0,$G506)-IF($H506="",0,$H506))</f>
        <v/>
      </c>
      <c r="L506">
        <f>IFERROR(MATCH($C$5&amp;"|"&amp;RIGHT("000000"&amp;490,6),LdgRankKeyA,0),"")</f>
        <v/>
      </c>
      <c r="M506">
        <f>IFERROR(MATCH($C$5&amp;"|"&amp;RIGHT("000000"&amp;490,6),LdgRankKeyB,0),"")</f>
        <v/>
      </c>
    </row>
    <row r="507">
      <c r="A507" s="17" t="n">
        <v>491</v>
      </c>
      <c r="B507" s="18">
        <f>IF(AND($L507="",$M507=""),"",IF($L507&lt;&gt;"",INDEX(SCNormDate,$L507),INDEX(LdgDateB,$M507)))</f>
        <v/>
      </c>
      <c r="C507" s="18">
        <f>IF($L507&lt;&gt;"",INDEX(SCOp,$L507),IF($M507&lt;&gt;"","پرداخت بانکی",""))</f>
        <v/>
      </c>
      <c r="D507" s="18">
        <f>IF($L507&lt;&gt;"",IF(INDEX(SCDoc,$L507)="","—",INDEX(SCDoc,$L507)),IF($M507&lt;&gt;"",INDEX(LdgBankB,$M507),""))</f>
        <v/>
      </c>
      <c r="E507" s="19">
        <f>IF($L507&lt;&gt;"",IF(INDEX(SCCitrus,$L507)&amp;INDEX(SCNotes,$L507)="","",IF(INDEX(SCCitrus,$L507)="","",INDEX(SCCitrus,$L507))&amp;IF(INDEX(SCNotes,$L507)="",""," — "&amp;INDEX(SCNotes,$L507))),IF($M507&lt;&gt;"",IF(INDEX(LdgNoteB,$M507)="","—",INDEX(LdgNoteB,$M507)),""))</f>
        <v/>
      </c>
      <c r="F507" s="20">
        <f>IF($L507&lt;&gt;"",IF(INDEX(SCNet,$L507)=0,"",INDEX(SCNet,$L507)),"")</f>
        <v/>
      </c>
      <c r="G507" s="21">
        <f>IF($L507&lt;&gt;"",IF(INDEX(SCOp,$L507)="مرجوعی فروش","",IF(INDEX(SCAmount,$L507)&lt;=0,"",INDEX(SCAmount,$L507))),IF($M507&lt;&gt;"",IF(INDEX(LdgWitB,$M507)=0,"",INDEX(LdgWitB,$M507)),""))</f>
        <v/>
      </c>
      <c r="H507" s="21">
        <f>IF($L507&lt;&gt;"",IF(INDEX(SCOp,$L507)="مرجوعی فروش",IF(INDEX(SCAmount,$L507)=0,"",-INDEX(SCAmount,$L507)),""),IF($M507&lt;&gt;"",IF(INDEX(LdgDepB,$M507)=0,"",INDEX(LdgDepB,$M507)),""))</f>
        <v/>
      </c>
      <c r="I507" s="22">
        <f>IF($B507="","",IF($I506="",$C$10,$I506)+IF($G507="",0,$G507)-IF($H507="",0,$H507))</f>
        <v/>
      </c>
      <c r="L507">
        <f>IFERROR(MATCH($C$5&amp;"|"&amp;RIGHT("000000"&amp;491,6),LdgRankKeyA,0),"")</f>
        <v/>
      </c>
      <c r="M507">
        <f>IFERROR(MATCH($C$5&amp;"|"&amp;RIGHT("000000"&amp;491,6),LdgRankKeyB,0),"")</f>
        <v/>
      </c>
    </row>
    <row r="508">
      <c r="A508" s="23" t="n">
        <v>492</v>
      </c>
      <c r="B508" s="24">
        <f>IF(AND($L508="",$M508=""),"",IF($L508&lt;&gt;"",INDEX(SCNormDate,$L508),INDEX(LdgDateB,$M508)))</f>
        <v/>
      </c>
      <c r="C508" s="24">
        <f>IF($L508&lt;&gt;"",INDEX(SCOp,$L508),IF($M508&lt;&gt;"","پرداخت بانکی",""))</f>
        <v/>
      </c>
      <c r="D508" s="24">
        <f>IF($L508&lt;&gt;"",IF(INDEX(SCDoc,$L508)="","—",INDEX(SCDoc,$L508)),IF($M508&lt;&gt;"",INDEX(LdgBankB,$M508),""))</f>
        <v/>
      </c>
      <c r="E508" s="25">
        <f>IF($L508&lt;&gt;"",IF(INDEX(SCCitrus,$L508)&amp;INDEX(SCNotes,$L508)="","",IF(INDEX(SCCitrus,$L508)="","",INDEX(SCCitrus,$L508))&amp;IF(INDEX(SCNotes,$L508)="",""," — "&amp;INDEX(SCNotes,$L508))),IF($M508&lt;&gt;"",IF(INDEX(LdgNoteB,$M508)="","—",INDEX(LdgNoteB,$M508)),""))</f>
        <v/>
      </c>
      <c r="F508" s="26">
        <f>IF($L508&lt;&gt;"",IF(INDEX(SCNet,$L508)=0,"",INDEX(SCNet,$L508)),"")</f>
        <v/>
      </c>
      <c r="G508" s="27">
        <f>IF($L508&lt;&gt;"",IF(INDEX(SCOp,$L508)="مرجوعی فروش","",IF(INDEX(SCAmount,$L508)&lt;=0,"",INDEX(SCAmount,$L508))),IF($M508&lt;&gt;"",IF(INDEX(LdgWitB,$M508)=0,"",INDEX(LdgWitB,$M508)),""))</f>
        <v/>
      </c>
      <c r="H508" s="27">
        <f>IF($L508&lt;&gt;"",IF(INDEX(SCOp,$L508)="مرجوعی فروش",IF(INDEX(SCAmount,$L508)=0,"",-INDEX(SCAmount,$L508)),""),IF($M508&lt;&gt;"",IF(INDEX(LdgDepB,$M508)=0,"",INDEX(LdgDepB,$M508)),""))</f>
        <v/>
      </c>
      <c r="I508" s="28">
        <f>IF($B508="","",IF($I507="",$C$10,$I507)+IF($G508="",0,$G508)-IF($H508="",0,$H508))</f>
        <v/>
      </c>
      <c r="L508">
        <f>IFERROR(MATCH($C$5&amp;"|"&amp;RIGHT("000000"&amp;492,6),LdgRankKeyA,0),"")</f>
        <v/>
      </c>
      <c r="M508">
        <f>IFERROR(MATCH($C$5&amp;"|"&amp;RIGHT("000000"&amp;492,6),LdgRankKeyB,0),"")</f>
        <v/>
      </c>
    </row>
    <row r="509">
      <c r="A509" s="17" t="n">
        <v>493</v>
      </c>
      <c r="B509" s="18">
        <f>IF(AND($L509="",$M509=""),"",IF($L509&lt;&gt;"",INDEX(SCNormDate,$L509),INDEX(LdgDateB,$M509)))</f>
        <v/>
      </c>
      <c r="C509" s="18">
        <f>IF($L509&lt;&gt;"",INDEX(SCOp,$L509),IF($M509&lt;&gt;"","پرداخت بانکی",""))</f>
        <v/>
      </c>
      <c r="D509" s="18">
        <f>IF($L509&lt;&gt;"",IF(INDEX(SCDoc,$L509)="","—",INDEX(SCDoc,$L509)),IF($M509&lt;&gt;"",INDEX(LdgBankB,$M509),""))</f>
        <v/>
      </c>
      <c r="E509" s="19">
        <f>IF($L509&lt;&gt;"",IF(INDEX(SCCitrus,$L509)&amp;INDEX(SCNotes,$L509)="","",IF(INDEX(SCCitrus,$L509)="","",INDEX(SCCitrus,$L509))&amp;IF(INDEX(SCNotes,$L509)="",""," — "&amp;INDEX(SCNotes,$L509))),IF($M509&lt;&gt;"",IF(INDEX(LdgNoteB,$M509)="","—",INDEX(LdgNoteB,$M509)),""))</f>
        <v/>
      </c>
      <c r="F509" s="20">
        <f>IF($L509&lt;&gt;"",IF(INDEX(SCNet,$L509)=0,"",INDEX(SCNet,$L509)),"")</f>
        <v/>
      </c>
      <c r="G509" s="21">
        <f>IF($L509&lt;&gt;"",IF(INDEX(SCOp,$L509)="مرجوعی فروش","",IF(INDEX(SCAmount,$L509)&lt;=0,"",INDEX(SCAmount,$L509))),IF($M509&lt;&gt;"",IF(INDEX(LdgWitB,$M509)=0,"",INDEX(LdgWitB,$M509)),""))</f>
        <v/>
      </c>
      <c r="H509" s="21">
        <f>IF($L509&lt;&gt;"",IF(INDEX(SCOp,$L509)="مرجوعی فروش",IF(INDEX(SCAmount,$L509)=0,"",-INDEX(SCAmount,$L509)),""),IF($M509&lt;&gt;"",IF(INDEX(LdgDepB,$M509)=0,"",INDEX(LdgDepB,$M509)),""))</f>
        <v/>
      </c>
      <c r="I509" s="22">
        <f>IF($B509="","",IF($I508="",$C$10,$I508)+IF($G509="",0,$G509)-IF($H509="",0,$H509))</f>
        <v/>
      </c>
      <c r="L509">
        <f>IFERROR(MATCH($C$5&amp;"|"&amp;RIGHT("000000"&amp;493,6),LdgRankKeyA,0),"")</f>
        <v/>
      </c>
      <c r="M509">
        <f>IFERROR(MATCH($C$5&amp;"|"&amp;RIGHT("000000"&amp;493,6),LdgRankKeyB,0),"")</f>
        <v/>
      </c>
    </row>
    <row r="510">
      <c r="A510" s="23" t="n">
        <v>494</v>
      </c>
      <c r="B510" s="24">
        <f>IF(AND($L510="",$M510=""),"",IF($L510&lt;&gt;"",INDEX(SCNormDate,$L510),INDEX(LdgDateB,$M510)))</f>
        <v/>
      </c>
      <c r="C510" s="24">
        <f>IF($L510&lt;&gt;"",INDEX(SCOp,$L510),IF($M510&lt;&gt;"","پرداخت بانکی",""))</f>
        <v/>
      </c>
      <c r="D510" s="24">
        <f>IF($L510&lt;&gt;"",IF(INDEX(SCDoc,$L510)="","—",INDEX(SCDoc,$L510)),IF($M510&lt;&gt;"",INDEX(LdgBankB,$M510),""))</f>
        <v/>
      </c>
      <c r="E510" s="25">
        <f>IF($L510&lt;&gt;"",IF(INDEX(SCCitrus,$L510)&amp;INDEX(SCNotes,$L510)="","",IF(INDEX(SCCitrus,$L510)="","",INDEX(SCCitrus,$L510))&amp;IF(INDEX(SCNotes,$L510)="",""," — "&amp;INDEX(SCNotes,$L510))),IF($M510&lt;&gt;"",IF(INDEX(LdgNoteB,$M510)="","—",INDEX(LdgNoteB,$M510)),""))</f>
        <v/>
      </c>
      <c r="F510" s="26">
        <f>IF($L510&lt;&gt;"",IF(INDEX(SCNet,$L510)=0,"",INDEX(SCNet,$L510)),"")</f>
        <v/>
      </c>
      <c r="G510" s="27">
        <f>IF($L510&lt;&gt;"",IF(INDEX(SCOp,$L510)="مرجوعی فروش","",IF(INDEX(SCAmount,$L510)&lt;=0,"",INDEX(SCAmount,$L510))),IF($M510&lt;&gt;"",IF(INDEX(LdgWitB,$M510)=0,"",INDEX(LdgWitB,$M510)),""))</f>
        <v/>
      </c>
      <c r="H510" s="27">
        <f>IF($L510&lt;&gt;"",IF(INDEX(SCOp,$L510)="مرجوعی فروش",IF(INDEX(SCAmount,$L510)=0,"",-INDEX(SCAmount,$L510)),""),IF($M510&lt;&gt;"",IF(INDEX(LdgDepB,$M510)=0,"",INDEX(LdgDepB,$M510)),""))</f>
        <v/>
      </c>
      <c r="I510" s="28">
        <f>IF($B510="","",IF($I509="",$C$10,$I509)+IF($G510="",0,$G510)-IF($H510="",0,$H510))</f>
        <v/>
      </c>
      <c r="L510">
        <f>IFERROR(MATCH($C$5&amp;"|"&amp;RIGHT("000000"&amp;494,6),LdgRankKeyA,0),"")</f>
        <v/>
      </c>
      <c r="M510">
        <f>IFERROR(MATCH($C$5&amp;"|"&amp;RIGHT("000000"&amp;494,6),LdgRankKeyB,0),"")</f>
        <v/>
      </c>
    </row>
    <row r="511">
      <c r="A511" s="17" t="n">
        <v>495</v>
      </c>
      <c r="B511" s="18">
        <f>IF(AND($L511="",$M511=""),"",IF($L511&lt;&gt;"",INDEX(SCNormDate,$L511),INDEX(LdgDateB,$M511)))</f>
        <v/>
      </c>
      <c r="C511" s="18">
        <f>IF($L511&lt;&gt;"",INDEX(SCOp,$L511),IF($M511&lt;&gt;"","پرداخت بانکی",""))</f>
        <v/>
      </c>
      <c r="D511" s="18">
        <f>IF($L511&lt;&gt;"",IF(INDEX(SCDoc,$L511)="","—",INDEX(SCDoc,$L511)),IF($M511&lt;&gt;"",INDEX(LdgBankB,$M511),""))</f>
        <v/>
      </c>
      <c r="E511" s="19">
        <f>IF($L511&lt;&gt;"",IF(INDEX(SCCitrus,$L511)&amp;INDEX(SCNotes,$L511)="","",IF(INDEX(SCCitrus,$L511)="","",INDEX(SCCitrus,$L511))&amp;IF(INDEX(SCNotes,$L511)="",""," — "&amp;INDEX(SCNotes,$L511))),IF($M511&lt;&gt;"",IF(INDEX(LdgNoteB,$M511)="","—",INDEX(LdgNoteB,$M511)),""))</f>
        <v/>
      </c>
      <c r="F511" s="20">
        <f>IF($L511&lt;&gt;"",IF(INDEX(SCNet,$L511)=0,"",INDEX(SCNet,$L511)),"")</f>
        <v/>
      </c>
      <c r="G511" s="21">
        <f>IF($L511&lt;&gt;"",IF(INDEX(SCOp,$L511)="مرجوعی فروش","",IF(INDEX(SCAmount,$L511)&lt;=0,"",INDEX(SCAmount,$L511))),IF($M511&lt;&gt;"",IF(INDEX(LdgWitB,$M511)=0,"",INDEX(LdgWitB,$M511)),""))</f>
        <v/>
      </c>
      <c r="H511" s="21">
        <f>IF($L511&lt;&gt;"",IF(INDEX(SCOp,$L511)="مرجوعی فروش",IF(INDEX(SCAmount,$L511)=0,"",-INDEX(SCAmount,$L511)),""),IF($M511&lt;&gt;"",IF(INDEX(LdgDepB,$M511)=0,"",INDEX(LdgDepB,$M511)),""))</f>
        <v/>
      </c>
      <c r="I511" s="22">
        <f>IF($B511="","",IF($I510="",$C$10,$I510)+IF($G511="",0,$G511)-IF($H511="",0,$H511))</f>
        <v/>
      </c>
      <c r="L511">
        <f>IFERROR(MATCH($C$5&amp;"|"&amp;RIGHT("000000"&amp;495,6),LdgRankKeyA,0),"")</f>
        <v/>
      </c>
      <c r="M511">
        <f>IFERROR(MATCH($C$5&amp;"|"&amp;RIGHT("000000"&amp;495,6),LdgRankKeyB,0),"")</f>
        <v/>
      </c>
    </row>
    <row r="512">
      <c r="A512" s="23" t="n">
        <v>496</v>
      </c>
      <c r="B512" s="24">
        <f>IF(AND($L512="",$M512=""),"",IF($L512&lt;&gt;"",INDEX(SCNormDate,$L512),INDEX(LdgDateB,$M512)))</f>
        <v/>
      </c>
      <c r="C512" s="24">
        <f>IF($L512&lt;&gt;"",INDEX(SCOp,$L512),IF($M512&lt;&gt;"","پرداخت بانکی",""))</f>
        <v/>
      </c>
      <c r="D512" s="24">
        <f>IF($L512&lt;&gt;"",IF(INDEX(SCDoc,$L512)="","—",INDEX(SCDoc,$L512)),IF($M512&lt;&gt;"",INDEX(LdgBankB,$M512),""))</f>
        <v/>
      </c>
      <c r="E512" s="25">
        <f>IF($L512&lt;&gt;"",IF(INDEX(SCCitrus,$L512)&amp;INDEX(SCNotes,$L512)="","",IF(INDEX(SCCitrus,$L512)="","",INDEX(SCCitrus,$L512))&amp;IF(INDEX(SCNotes,$L512)="",""," — "&amp;INDEX(SCNotes,$L512))),IF($M512&lt;&gt;"",IF(INDEX(LdgNoteB,$M512)="","—",INDEX(LdgNoteB,$M512)),""))</f>
        <v/>
      </c>
      <c r="F512" s="26">
        <f>IF($L512&lt;&gt;"",IF(INDEX(SCNet,$L512)=0,"",INDEX(SCNet,$L512)),"")</f>
        <v/>
      </c>
      <c r="G512" s="27">
        <f>IF($L512&lt;&gt;"",IF(INDEX(SCOp,$L512)="مرجوعی فروش","",IF(INDEX(SCAmount,$L512)&lt;=0,"",INDEX(SCAmount,$L512))),IF($M512&lt;&gt;"",IF(INDEX(LdgWitB,$M512)=0,"",INDEX(LdgWitB,$M512)),""))</f>
        <v/>
      </c>
      <c r="H512" s="27">
        <f>IF($L512&lt;&gt;"",IF(INDEX(SCOp,$L512)="مرجوعی فروش",IF(INDEX(SCAmount,$L512)=0,"",-INDEX(SCAmount,$L512)),""),IF($M512&lt;&gt;"",IF(INDEX(LdgDepB,$M512)=0,"",INDEX(LdgDepB,$M512)),""))</f>
        <v/>
      </c>
      <c r="I512" s="28">
        <f>IF($B512="","",IF($I511="",$C$10,$I511)+IF($G512="",0,$G512)-IF($H512="",0,$H512))</f>
        <v/>
      </c>
      <c r="L512">
        <f>IFERROR(MATCH($C$5&amp;"|"&amp;RIGHT("000000"&amp;496,6),LdgRankKeyA,0),"")</f>
        <v/>
      </c>
      <c r="M512">
        <f>IFERROR(MATCH($C$5&amp;"|"&amp;RIGHT("000000"&amp;496,6),LdgRankKeyB,0),"")</f>
        <v/>
      </c>
    </row>
    <row r="513">
      <c r="A513" s="17" t="n">
        <v>497</v>
      </c>
      <c r="B513" s="18">
        <f>IF(AND($L513="",$M513=""),"",IF($L513&lt;&gt;"",INDEX(SCNormDate,$L513),INDEX(LdgDateB,$M513)))</f>
        <v/>
      </c>
      <c r="C513" s="18">
        <f>IF($L513&lt;&gt;"",INDEX(SCOp,$L513),IF($M513&lt;&gt;"","پرداخت بانکی",""))</f>
        <v/>
      </c>
      <c r="D513" s="18">
        <f>IF($L513&lt;&gt;"",IF(INDEX(SCDoc,$L513)="","—",INDEX(SCDoc,$L513)),IF($M513&lt;&gt;"",INDEX(LdgBankB,$M513),""))</f>
        <v/>
      </c>
      <c r="E513" s="19">
        <f>IF($L513&lt;&gt;"",IF(INDEX(SCCitrus,$L513)&amp;INDEX(SCNotes,$L513)="","",IF(INDEX(SCCitrus,$L513)="","",INDEX(SCCitrus,$L513))&amp;IF(INDEX(SCNotes,$L513)="",""," — "&amp;INDEX(SCNotes,$L513))),IF($M513&lt;&gt;"",IF(INDEX(LdgNoteB,$M513)="","—",INDEX(LdgNoteB,$M513)),""))</f>
        <v/>
      </c>
      <c r="F513" s="20">
        <f>IF($L513&lt;&gt;"",IF(INDEX(SCNet,$L513)=0,"",INDEX(SCNet,$L513)),"")</f>
        <v/>
      </c>
      <c r="G513" s="21">
        <f>IF($L513&lt;&gt;"",IF(INDEX(SCOp,$L513)="مرجوعی فروش","",IF(INDEX(SCAmount,$L513)&lt;=0,"",INDEX(SCAmount,$L513))),IF($M513&lt;&gt;"",IF(INDEX(LdgWitB,$M513)=0,"",INDEX(LdgWitB,$M513)),""))</f>
        <v/>
      </c>
      <c r="H513" s="21">
        <f>IF($L513&lt;&gt;"",IF(INDEX(SCOp,$L513)="مرجوعی فروش",IF(INDEX(SCAmount,$L513)=0,"",-INDEX(SCAmount,$L513)),""),IF($M513&lt;&gt;"",IF(INDEX(LdgDepB,$M513)=0,"",INDEX(LdgDepB,$M513)),""))</f>
        <v/>
      </c>
      <c r="I513" s="22">
        <f>IF($B513="","",IF($I512="",$C$10,$I512)+IF($G513="",0,$G513)-IF($H513="",0,$H513))</f>
        <v/>
      </c>
      <c r="L513">
        <f>IFERROR(MATCH($C$5&amp;"|"&amp;RIGHT("000000"&amp;497,6),LdgRankKeyA,0),"")</f>
        <v/>
      </c>
      <c r="M513">
        <f>IFERROR(MATCH($C$5&amp;"|"&amp;RIGHT("000000"&amp;497,6),LdgRankKeyB,0),"")</f>
        <v/>
      </c>
    </row>
    <row r="514">
      <c r="A514" s="23" t="n">
        <v>498</v>
      </c>
      <c r="B514" s="24">
        <f>IF(AND($L514="",$M514=""),"",IF($L514&lt;&gt;"",INDEX(SCNormDate,$L514),INDEX(LdgDateB,$M514)))</f>
        <v/>
      </c>
      <c r="C514" s="24">
        <f>IF($L514&lt;&gt;"",INDEX(SCOp,$L514),IF($M514&lt;&gt;"","پرداخت بانکی",""))</f>
        <v/>
      </c>
      <c r="D514" s="24">
        <f>IF($L514&lt;&gt;"",IF(INDEX(SCDoc,$L514)="","—",INDEX(SCDoc,$L514)),IF($M514&lt;&gt;"",INDEX(LdgBankB,$M514),""))</f>
        <v/>
      </c>
      <c r="E514" s="25">
        <f>IF($L514&lt;&gt;"",IF(INDEX(SCCitrus,$L514)&amp;INDEX(SCNotes,$L514)="","",IF(INDEX(SCCitrus,$L514)="","",INDEX(SCCitrus,$L514))&amp;IF(INDEX(SCNotes,$L514)="",""," — "&amp;INDEX(SCNotes,$L514))),IF($M514&lt;&gt;"",IF(INDEX(LdgNoteB,$M514)="","—",INDEX(LdgNoteB,$M514)),""))</f>
        <v/>
      </c>
      <c r="F514" s="26">
        <f>IF($L514&lt;&gt;"",IF(INDEX(SCNet,$L514)=0,"",INDEX(SCNet,$L514)),"")</f>
        <v/>
      </c>
      <c r="G514" s="27">
        <f>IF($L514&lt;&gt;"",IF(INDEX(SCOp,$L514)="مرجوعی فروش","",IF(INDEX(SCAmount,$L514)&lt;=0,"",INDEX(SCAmount,$L514))),IF($M514&lt;&gt;"",IF(INDEX(LdgWitB,$M514)=0,"",INDEX(LdgWitB,$M514)),""))</f>
        <v/>
      </c>
      <c r="H514" s="27">
        <f>IF($L514&lt;&gt;"",IF(INDEX(SCOp,$L514)="مرجوعی فروش",IF(INDEX(SCAmount,$L514)=0,"",-INDEX(SCAmount,$L514)),""),IF($M514&lt;&gt;"",IF(INDEX(LdgDepB,$M514)=0,"",INDEX(LdgDepB,$M514)),""))</f>
        <v/>
      </c>
      <c r="I514" s="28">
        <f>IF($B514="","",IF($I513="",$C$10,$I513)+IF($G514="",0,$G514)-IF($H514="",0,$H514))</f>
        <v/>
      </c>
      <c r="L514">
        <f>IFERROR(MATCH($C$5&amp;"|"&amp;RIGHT("000000"&amp;498,6),LdgRankKeyA,0),"")</f>
        <v/>
      </c>
      <c r="M514">
        <f>IFERROR(MATCH($C$5&amp;"|"&amp;RIGHT("000000"&amp;498,6),LdgRankKeyB,0),"")</f>
        <v/>
      </c>
    </row>
    <row r="515">
      <c r="A515" s="17" t="n">
        <v>499</v>
      </c>
      <c r="B515" s="18">
        <f>IF(AND($L515="",$M515=""),"",IF($L515&lt;&gt;"",INDEX(SCNormDate,$L515),INDEX(LdgDateB,$M515)))</f>
        <v/>
      </c>
      <c r="C515" s="18">
        <f>IF($L515&lt;&gt;"",INDEX(SCOp,$L515),IF($M515&lt;&gt;"","پرداخت بانکی",""))</f>
        <v/>
      </c>
      <c r="D515" s="18">
        <f>IF($L515&lt;&gt;"",IF(INDEX(SCDoc,$L515)="","—",INDEX(SCDoc,$L515)),IF($M515&lt;&gt;"",INDEX(LdgBankB,$M515),""))</f>
        <v/>
      </c>
      <c r="E515" s="19">
        <f>IF($L515&lt;&gt;"",IF(INDEX(SCCitrus,$L515)&amp;INDEX(SCNotes,$L515)="","",IF(INDEX(SCCitrus,$L515)="","",INDEX(SCCitrus,$L515))&amp;IF(INDEX(SCNotes,$L515)="",""," — "&amp;INDEX(SCNotes,$L515))),IF($M515&lt;&gt;"",IF(INDEX(LdgNoteB,$M515)="","—",INDEX(LdgNoteB,$M515)),""))</f>
        <v/>
      </c>
      <c r="F515" s="20">
        <f>IF($L515&lt;&gt;"",IF(INDEX(SCNet,$L515)=0,"",INDEX(SCNet,$L515)),"")</f>
        <v/>
      </c>
      <c r="G515" s="21">
        <f>IF($L515&lt;&gt;"",IF(INDEX(SCOp,$L515)="مرجوعی فروش","",IF(INDEX(SCAmount,$L515)&lt;=0,"",INDEX(SCAmount,$L515))),IF($M515&lt;&gt;"",IF(INDEX(LdgWitB,$M515)=0,"",INDEX(LdgWitB,$M515)),""))</f>
        <v/>
      </c>
      <c r="H515" s="21">
        <f>IF($L515&lt;&gt;"",IF(INDEX(SCOp,$L515)="مرجوعی فروش",IF(INDEX(SCAmount,$L515)=0,"",-INDEX(SCAmount,$L515)),""),IF($M515&lt;&gt;"",IF(INDEX(LdgDepB,$M515)=0,"",INDEX(LdgDepB,$M515)),""))</f>
        <v/>
      </c>
      <c r="I515" s="22">
        <f>IF($B515="","",IF($I514="",$C$10,$I514)+IF($G515="",0,$G515)-IF($H515="",0,$H515))</f>
        <v/>
      </c>
      <c r="L515">
        <f>IFERROR(MATCH($C$5&amp;"|"&amp;RIGHT("000000"&amp;499,6),LdgRankKeyA,0),"")</f>
        <v/>
      </c>
      <c r="M515">
        <f>IFERROR(MATCH($C$5&amp;"|"&amp;RIGHT("000000"&amp;499,6),LdgRankKeyB,0),"")</f>
        <v/>
      </c>
    </row>
    <row r="516">
      <c r="A516" s="23" t="n">
        <v>500</v>
      </c>
      <c r="B516" s="24">
        <f>IF(AND($L516="",$M516=""),"",IF($L516&lt;&gt;"",INDEX(SCNormDate,$L516),INDEX(LdgDateB,$M516)))</f>
        <v/>
      </c>
      <c r="C516" s="24">
        <f>IF($L516&lt;&gt;"",INDEX(SCOp,$L516),IF($M516&lt;&gt;"","پرداخت بانکی",""))</f>
        <v/>
      </c>
      <c r="D516" s="24">
        <f>IF($L516&lt;&gt;"",IF(INDEX(SCDoc,$L516)="","—",INDEX(SCDoc,$L516)),IF($M516&lt;&gt;"",INDEX(LdgBankB,$M516),""))</f>
        <v/>
      </c>
      <c r="E516" s="25">
        <f>IF($L516&lt;&gt;"",IF(INDEX(SCCitrus,$L516)&amp;INDEX(SCNotes,$L516)="","",IF(INDEX(SCCitrus,$L516)="","",INDEX(SCCitrus,$L516))&amp;IF(INDEX(SCNotes,$L516)="",""," — "&amp;INDEX(SCNotes,$L516))),IF($M516&lt;&gt;"",IF(INDEX(LdgNoteB,$M516)="","—",INDEX(LdgNoteB,$M516)),""))</f>
        <v/>
      </c>
      <c r="F516" s="26">
        <f>IF($L516&lt;&gt;"",IF(INDEX(SCNet,$L516)=0,"",INDEX(SCNet,$L516)),"")</f>
        <v/>
      </c>
      <c r="G516" s="27">
        <f>IF($L516&lt;&gt;"",IF(INDEX(SCOp,$L516)="مرجوعی فروش","",IF(INDEX(SCAmount,$L516)&lt;=0,"",INDEX(SCAmount,$L516))),IF($M516&lt;&gt;"",IF(INDEX(LdgWitB,$M516)=0,"",INDEX(LdgWitB,$M516)),""))</f>
        <v/>
      </c>
      <c r="H516" s="27">
        <f>IF($L516&lt;&gt;"",IF(INDEX(SCOp,$L516)="مرجوعی فروش",IF(INDEX(SCAmount,$L516)=0,"",-INDEX(SCAmount,$L516)),""),IF($M516&lt;&gt;"",IF(INDEX(LdgDepB,$M516)=0,"",INDEX(LdgDepB,$M516)),""))</f>
        <v/>
      </c>
      <c r="I516" s="28">
        <f>IF($B516="","",IF($I515="",$C$10,$I515)+IF($G516="",0,$G516)-IF($H516="",0,$H516))</f>
        <v/>
      </c>
      <c r="L516">
        <f>IFERROR(MATCH($C$5&amp;"|"&amp;RIGHT("000000"&amp;500,6),LdgRankKeyA,0),"")</f>
        <v/>
      </c>
      <c r="M516">
        <f>IFERROR(MATCH($C$5&amp;"|"&amp;RIGHT("000000"&amp;500,6),LdgRankKeyB,0),"")</f>
        <v/>
      </c>
    </row>
    <row r="517">
      <c r="A517" s="17" t="n">
        <v>501</v>
      </c>
      <c r="B517" s="18">
        <f>IF(AND($L517="",$M517=""),"",IF($L517&lt;&gt;"",INDEX(SCNormDate,$L517),INDEX(LdgDateB,$M517)))</f>
        <v/>
      </c>
      <c r="C517" s="18">
        <f>IF($L517&lt;&gt;"",INDEX(SCOp,$L517),IF($M517&lt;&gt;"","پرداخت بانکی",""))</f>
        <v/>
      </c>
      <c r="D517" s="18">
        <f>IF($L517&lt;&gt;"",IF(INDEX(SCDoc,$L517)="","—",INDEX(SCDoc,$L517)),IF($M517&lt;&gt;"",INDEX(LdgBankB,$M517),""))</f>
        <v/>
      </c>
      <c r="E517" s="19">
        <f>IF($L517&lt;&gt;"",IF(INDEX(SCCitrus,$L517)&amp;INDEX(SCNotes,$L517)="","",IF(INDEX(SCCitrus,$L517)="","",INDEX(SCCitrus,$L517))&amp;IF(INDEX(SCNotes,$L517)="",""," — "&amp;INDEX(SCNotes,$L517))),IF($M517&lt;&gt;"",IF(INDEX(LdgNoteB,$M517)="","—",INDEX(LdgNoteB,$M517)),""))</f>
        <v/>
      </c>
      <c r="F517" s="20">
        <f>IF($L517&lt;&gt;"",IF(INDEX(SCNet,$L517)=0,"",INDEX(SCNet,$L517)),"")</f>
        <v/>
      </c>
      <c r="G517" s="21">
        <f>IF($L517&lt;&gt;"",IF(INDEX(SCOp,$L517)="مرجوعی فروش","",IF(INDEX(SCAmount,$L517)&lt;=0,"",INDEX(SCAmount,$L517))),IF($M517&lt;&gt;"",IF(INDEX(LdgWitB,$M517)=0,"",INDEX(LdgWitB,$M517)),""))</f>
        <v/>
      </c>
      <c r="H517" s="21">
        <f>IF($L517&lt;&gt;"",IF(INDEX(SCOp,$L517)="مرجوعی فروش",IF(INDEX(SCAmount,$L517)=0,"",-INDEX(SCAmount,$L517)),""),IF($M517&lt;&gt;"",IF(INDEX(LdgDepB,$M517)=0,"",INDEX(LdgDepB,$M517)),""))</f>
        <v/>
      </c>
      <c r="I517" s="22">
        <f>IF($B517="","",IF($I516="",$C$10,$I516)+IF($G517="",0,$G517)-IF($H517="",0,$H517))</f>
        <v/>
      </c>
      <c r="L517">
        <f>IFERROR(MATCH($C$5&amp;"|"&amp;RIGHT("000000"&amp;501,6),LdgRankKeyA,0),"")</f>
        <v/>
      </c>
      <c r="M517">
        <f>IFERROR(MATCH($C$5&amp;"|"&amp;RIGHT("000000"&amp;501,6),LdgRankKeyB,0),"")</f>
        <v/>
      </c>
    </row>
    <row r="518">
      <c r="A518" s="23" t="n">
        <v>502</v>
      </c>
      <c r="B518" s="24">
        <f>IF(AND($L518="",$M518=""),"",IF($L518&lt;&gt;"",INDEX(SCNormDate,$L518),INDEX(LdgDateB,$M518)))</f>
        <v/>
      </c>
      <c r="C518" s="24">
        <f>IF($L518&lt;&gt;"",INDEX(SCOp,$L518),IF($M518&lt;&gt;"","پرداخت بانکی",""))</f>
        <v/>
      </c>
      <c r="D518" s="24">
        <f>IF($L518&lt;&gt;"",IF(INDEX(SCDoc,$L518)="","—",INDEX(SCDoc,$L518)),IF($M518&lt;&gt;"",INDEX(LdgBankB,$M518),""))</f>
        <v/>
      </c>
      <c r="E518" s="25">
        <f>IF($L518&lt;&gt;"",IF(INDEX(SCCitrus,$L518)&amp;INDEX(SCNotes,$L518)="","",IF(INDEX(SCCitrus,$L518)="","",INDEX(SCCitrus,$L518))&amp;IF(INDEX(SCNotes,$L518)="",""," — "&amp;INDEX(SCNotes,$L518))),IF($M518&lt;&gt;"",IF(INDEX(LdgNoteB,$M518)="","—",INDEX(LdgNoteB,$M518)),""))</f>
        <v/>
      </c>
      <c r="F518" s="26">
        <f>IF($L518&lt;&gt;"",IF(INDEX(SCNet,$L518)=0,"",INDEX(SCNet,$L518)),"")</f>
        <v/>
      </c>
      <c r="G518" s="27">
        <f>IF($L518&lt;&gt;"",IF(INDEX(SCOp,$L518)="مرجوعی فروش","",IF(INDEX(SCAmount,$L518)&lt;=0,"",INDEX(SCAmount,$L518))),IF($M518&lt;&gt;"",IF(INDEX(LdgWitB,$M518)=0,"",INDEX(LdgWitB,$M518)),""))</f>
        <v/>
      </c>
      <c r="H518" s="27">
        <f>IF($L518&lt;&gt;"",IF(INDEX(SCOp,$L518)="مرجوعی فروش",IF(INDEX(SCAmount,$L518)=0,"",-INDEX(SCAmount,$L518)),""),IF($M518&lt;&gt;"",IF(INDEX(LdgDepB,$M518)=0,"",INDEX(LdgDepB,$M518)),""))</f>
        <v/>
      </c>
      <c r="I518" s="28">
        <f>IF($B518="","",IF($I517="",$C$10,$I517)+IF($G518="",0,$G518)-IF($H518="",0,$H518))</f>
        <v/>
      </c>
      <c r="L518">
        <f>IFERROR(MATCH($C$5&amp;"|"&amp;RIGHT("000000"&amp;502,6),LdgRankKeyA,0),"")</f>
        <v/>
      </c>
      <c r="M518">
        <f>IFERROR(MATCH($C$5&amp;"|"&amp;RIGHT("000000"&amp;502,6),LdgRankKeyB,0),"")</f>
        <v/>
      </c>
    </row>
    <row r="519">
      <c r="A519" s="17" t="n">
        <v>503</v>
      </c>
      <c r="B519" s="18">
        <f>IF(AND($L519="",$M519=""),"",IF($L519&lt;&gt;"",INDEX(SCNormDate,$L519),INDEX(LdgDateB,$M519)))</f>
        <v/>
      </c>
      <c r="C519" s="18">
        <f>IF($L519&lt;&gt;"",INDEX(SCOp,$L519),IF($M519&lt;&gt;"","پرداخت بانکی",""))</f>
        <v/>
      </c>
      <c r="D519" s="18">
        <f>IF($L519&lt;&gt;"",IF(INDEX(SCDoc,$L519)="","—",INDEX(SCDoc,$L519)),IF($M519&lt;&gt;"",INDEX(LdgBankB,$M519),""))</f>
        <v/>
      </c>
      <c r="E519" s="19">
        <f>IF($L519&lt;&gt;"",IF(INDEX(SCCitrus,$L519)&amp;INDEX(SCNotes,$L519)="","",IF(INDEX(SCCitrus,$L519)="","",INDEX(SCCitrus,$L519))&amp;IF(INDEX(SCNotes,$L519)="",""," — "&amp;INDEX(SCNotes,$L519))),IF($M519&lt;&gt;"",IF(INDEX(LdgNoteB,$M519)="","—",INDEX(LdgNoteB,$M519)),""))</f>
        <v/>
      </c>
      <c r="F519" s="20">
        <f>IF($L519&lt;&gt;"",IF(INDEX(SCNet,$L519)=0,"",INDEX(SCNet,$L519)),"")</f>
        <v/>
      </c>
      <c r="G519" s="21">
        <f>IF($L519&lt;&gt;"",IF(INDEX(SCOp,$L519)="مرجوعی فروش","",IF(INDEX(SCAmount,$L519)&lt;=0,"",INDEX(SCAmount,$L519))),IF($M519&lt;&gt;"",IF(INDEX(LdgWitB,$M519)=0,"",INDEX(LdgWitB,$M519)),""))</f>
        <v/>
      </c>
      <c r="H519" s="21">
        <f>IF($L519&lt;&gt;"",IF(INDEX(SCOp,$L519)="مرجوعی فروش",IF(INDEX(SCAmount,$L519)=0,"",-INDEX(SCAmount,$L519)),""),IF($M519&lt;&gt;"",IF(INDEX(LdgDepB,$M519)=0,"",INDEX(LdgDepB,$M519)),""))</f>
        <v/>
      </c>
      <c r="I519" s="22">
        <f>IF($B519="","",IF($I518="",$C$10,$I518)+IF($G519="",0,$G519)-IF($H519="",0,$H519))</f>
        <v/>
      </c>
      <c r="L519">
        <f>IFERROR(MATCH($C$5&amp;"|"&amp;RIGHT("000000"&amp;503,6),LdgRankKeyA,0),"")</f>
        <v/>
      </c>
      <c r="M519">
        <f>IFERROR(MATCH($C$5&amp;"|"&amp;RIGHT("000000"&amp;503,6),LdgRankKeyB,0),"")</f>
        <v/>
      </c>
    </row>
    <row r="520">
      <c r="A520" s="23" t="n">
        <v>504</v>
      </c>
      <c r="B520" s="24">
        <f>IF(AND($L520="",$M520=""),"",IF($L520&lt;&gt;"",INDEX(SCNormDate,$L520),INDEX(LdgDateB,$M520)))</f>
        <v/>
      </c>
      <c r="C520" s="24">
        <f>IF($L520&lt;&gt;"",INDEX(SCOp,$L520),IF($M520&lt;&gt;"","پرداخت بانکی",""))</f>
        <v/>
      </c>
      <c r="D520" s="24">
        <f>IF($L520&lt;&gt;"",IF(INDEX(SCDoc,$L520)="","—",INDEX(SCDoc,$L520)),IF($M520&lt;&gt;"",INDEX(LdgBankB,$M520),""))</f>
        <v/>
      </c>
      <c r="E520" s="25">
        <f>IF($L520&lt;&gt;"",IF(INDEX(SCCitrus,$L520)&amp;INDEX(SCNotes,$L520)="","",IF(INDEX(SCCitrus,$L520)="","",INDEX(SCCitrus,$L520))&amp;IF(INDEX(SCNotes,$L520)="",""," — "&amp;INDEX(SCNotes,$L520))),IF($M520&lt;&gt;"",IF(INDEX(LdgNoteB,$M520)="","—",INDEX(LdgNoteB,$M520)),""))</f>
        <v/>
      </c>
      <c r="F520" s="26">
        <f>IF($L520&lt;&gt;"",IF(INDEX(SCNet,$L520)=0,"",INDEX(SCNet,$L520)),"")</f>
        <v/>
      </c>
      <c r="G520" s="27">
        <f>IF($L520&lt;&gt;"",IF(INDEX(SCOp,$L520)="مرجوعی فروش","",IF(INDEX(SCAmount,$L520)&lt;=0,"",INDEX(SCAmount,$L520))),IF($M520&lt;&gt;"",IF(INDEX(LdgWitB,$M520)=0,"",INDEX(LdgWitB,$M520)),""))</f>
        <v/>
      </c>
      <c r="H520" s="27">
        <f>IF($L520&lt;&gt;"",IF(INDEX(SCOp,$L520)="مرجوعی فروش",IF(INDEX(SCAmount,$L520)=0,"",-INDEX(SCAmount,$L520)),""),IF($M520&lt;&gt;"",IF(INDEX(LdgDepB,$M520)=0,"",INDEX(LdgDepB,$M520)),""))</f>
        <v/>
      </c>
      <c r="I520" s="28">
        <f>IF($B520="","",IF($I519="",$C$10,$I519)+IF($G520="",0,$G520)-IF($H520="",0,$H520))</f>
        <v/>
      </c>
      <c r="L520">
        <f>IFERROR(MATCH($C$5&amp;"|"&amp;RIGHT("000000"&amp;504,6),LdgRankKeyA,0),"")</f>
        <v/>
      </c>
      <c r="M520">
        <f>IFERROR(MATCH($C$5&amp;"|"&amp;RIGHT("000000"&amp;504,6),LdgRankKeyB,0),"")</f>
        <v/>
      </c>
    </row>
    <row r="521">
      <c r="A521" s="17" t="n">
        <v>505</v>
      </c>
      <c r="B521" s="18">
        <f>IF(AND($L521="",$M521=""),"",IF($L521&lt;&gt;"",INDEX(SCNormDate,$L521),INDEX(LdgDateB,$M521)))</f>
        <v/>
      </c>
      <c r="C521" s="18">
        <f>IF($L521&lt;&gt;"",INDEX(SCOp,$L521),IF($M521&lt;&gt;"","پرداخت بانکی",""))</f>
        <v/>
      </c>
      <c r="D521" s="18">
        <f>IF($L521&lt;&gt;"",IF(INDEX(SCDoc,$L521)="","—",INDEX(SCDoc,$L521)),IF($M521&lt;&gt;"",INDEX(LdgBankB,$M521),""))</f>
        <v/>
      </c>
      <c r="E521" s="19">
        <f>IF($L521&lt;&gt;"",IF(INDEX(SCCitrus,$L521)&amp;INDEX(SCNotes,$L521)="","",IF(INDEX(SCCitrus,$L521)="","",INDEX(SCCitrus,$L521))&amp;IF(INDEX(SCNotes,$L521)="",""," — "&amp;INDEX(SCNotes,$L521))),IF($M521&lt;&gt;"",IF(INDEX(LdgNoteB,$M521)="","—",INDEX(LdgNoteB,$M521)),""))</f>
        <v/>
      </c>
      <c r="F521" s="20">
        <f>IF($L521&lt;&gt;"",IF(INDEX(SCNet,$L521)=0,"",INDEX(SCNet,$L521)),"")</f>
        <v/>
      </c>
      <c r="G521" s="21">
        <f>IF($L521&lt;&gt;"",IF(INDEX(SCOp,$L521)="مرجوعی فروش","",IF(INDEX(SCAmount,$L521)&lt;=0,"",INDEX(SCAmount,$L521))),IF($M521&lt;&gt;"",IF(INDEX(LdgWitB,$M521)=0,"",INDEX(LdgWitB,$M521)),""))</f>
        <v/>
      </c>
      <c r="H521" s="21">
        <f>IF($L521&lt;&gt;"",IF(INDEX(SCOp,$L521)="مرجوعی فروش",IF(INDEX(SCAmount,$L521)=0,"",-INDEX(SCAmount,$L521)),""),IF($M521&lt;&gt;"",IF(INDEX(LdgDepB,$M521)=0,"",INDEX(LdgDepB,$M521)),""))</f>
        <v/>
      </c>
      <c r="I521" s="22">
        <f>IF($B521="","",IF($I520="",$C$10,$I520)+IF($G521="",0,$G521)-IF($H521="",0,$H521))</f>
        <v/>
      </c>
      <c r="L521">
        <f>IFERROR(MATCH($C$5&amp;"|"&amp;RIGHT("000000"&amp;505,6),LdgRankKeyA,0),"")</f>
        <v/>
      </c>
      <c r="M521">
        <f>IFERROR(MATCH($C$5&amp;"|"&amp;RIGHT("000000"&amp;505,6),LdgRankKeyB,0),"")</f>
        <v/>
      </c>
    </row>
    <row r="522">
      <c r="A522" s="23" t="n">
        <v>506</v>
      </c>
      <c r="B522" s="24">
        <f>IF(AND($L522="",$M522=""),"",IF($L522&lt;&gt;"",INDEX(SCNormDate,$L522),INDEX(LdgDateB,$M522)))</f>
        <v/>
      </c>
      <c r="C522" s="24">
        <f>IF($L522&lt;&gt;"",INDEX(SCOp,$L522),IF($M522&lt;&gt;"","پرداخت بانکی",""))</f>
        <v/>
      </c>
      <c r="D522" s="24">
        <f>IF($L522&lt;&gt;"",IF(INDEX(SCDoc,$L522)="","—",INDEX(SCDoc,$L522)),IF($M522&lt;&gt;"",INDEX(LdgBankB,$M522),""))</f>
        <v/>
      </c>
      <c r="E522" s="25">
        <f>IF($L522&lt;&gt;"",IF(INDEX(SCCitrus,$L522)&amp;INDEX(SCNotes,$L522)="","",IF(INDEX(SCCitrus,$L522)="","",INDEX(SCCitrus,$L522))&amp;IF(INDEX(SCNotes,$L522)="",""," — "&amp;INDEX(SCNotes,$L522))),IF($M522&lt;&gt;"",IF(INDEX(LdgNoteB,$M522)="","—",INDEX(LdgNoteB,$M522)),""))</f>
        <v/>
      </c>
      <c r="F522" s="26">
        <f>IF($L522&lt;&gt;"",IF(INDEX(SCNet,$L522)=0,"",INDEX(SCNet,$L522)),"")</f>
        <v/>
      </c>
      <c r="G522" s="27">
        <f>IF($L522&lt;&gt;"",IF(INDEX(SCOp,$L522)="مرجوعی فروش","",IF(INDEX(SCAmount,$L522)&lt;=0,"",INDEX(SCAmount,$L522))),IF($M522&lt;&gt;"",IF(INDEX(LdgWitB,$M522)=0,"",INDEX(LdgWitB,$M522)),""))</f>
        <v/>
      </c>
      <c r="H522" s="27">
        <f>IF($L522&lt;&gt;"",IF(INDEX(SCOp,$L522)="مرجوعی فروش",IF(INDEX(SCAmount,$L522)=0,"",-INDEX(SCAmount,$L522)),""),IF($M522&lt;&gt;"",IF(INDEX(LdgDepB,$M522)=0,"",INDEX(LdgDepB,$M522)),""))</f>
        <v/>
      </c>
      <c r="I522" s="28">
        <f>IF($B522="","",IF($I521="",$C$10,$I521)+IF($G522="",0,$G522)-IF($H522="",0,$H522))</f>
        <v/>
      </c>
      <c r="L522">
        <f>IFERROR(MATCH($C$5&amp;"|"&amp;RIGHT("000000"&amp;506,6),LdgRankKeyA,0),"")</f>
        <v/>
      </c>
      <c r="M522">
        <f>IFERROR(MATCH($C$5&amp;"|"&amp;RIGHT("000000"&amp;506,6),LdgRankKeyB,0),"")</f>
        <v/>
      </c>
    </row>
    <row r="523">
      <c r="A523" s="17" t="n">
        <v>507</v>
      </c>
      <c r="B523" s="18">
        <f>IF(AND($L523="",$M523=""),"",IF($L523&lt;&gt;"",INDEX(SCNormDate,$L523),INDEX(LdgDateB,$M523)))</f>
        <v/>
      </c>
      <c r="C523" s="18">
        <f>IF($L523&lt;&gt;"",INDEX(SCOp,$L523),IF($M523&lt;&gt;"","پرداخت بانکی",""))</f>
        <v/>
      </c>
      <c r="D523" s="18">
        <f>IF($L523&lt;&gt;"",IF(INDEX(SCDoc,$L523)="","—",INDEX(SCDoc,$L523)),IF($M523&lt;&gt;"",INDEX(LdgBankB,$M523),""))</f>
        <v/>
      </c>
      <c r="E523" s="19">
        <f>IF($L523&lt;&gt;"",IF(INDEX(SCCitrus,$L523)&amp;INDEX(SCNotes,$L523)="","",IF(INDEX(SCCitrus,$L523)="","",INDEX(SCCitrus,$L523))&amp;IF(INDEX(SCNotes,$L523)="",""," — "&amp;INDEX(SCNotes,$L523))),IF($M523&lt;&gt;"",IF(INDEX(LdgNoteB,$M523)="","—",INDEX(LdgNoteB,$M523)),""))</f>
        <v/>
      </c>
      <c r="F523" s="20">
        <f>IF($L523&lt;&gt;"",IF(INDEX(SCNet,$L523)=0,"",INDEX(SCNet,$L523)),"")</f>
        <v/>
      </c>
      <c r="G523" s="21">
        <f>IF($L523&lt;&gt;"",IF(INDEX(SCOp,$L523)="مرجوعی فروش","",IF(INDEX(SCAmount,$L523)&lt;=0,"",INDEX(SCAmount,$L523))),IF($M523&lt;&gt;"",IF(INDEX(LdgWitB,$M523)=0,"",INDEX(LdgWitB,$M523)),""))</f>
        <v/>
      </c>
      <c r="H523" s="21">
        <f>IF($L523&lt;&gt;"",IF(INDEX(SCOp,$L523)="مرجوعی فروش",IF(INDEX(SCAmount,$L523)=0,"",-INDEX(SCAmount,$L523)),""),IF($M523&lt;&gt;"",IF(INDEX(LdgDepB,$M523)=0,"",INDEX(LdgDepB,$M523)),""))</f>
        <v/>
      </c>
      <c r="I523" s="22">
        <f>IF($B523="","",IF($I522="",$C$10,$I522)+IF($G523="",0,$G523)-IF($H523="",0,$H523))</f>
        <v/>
      </c>
      <c r="L523">
        <f>IFERROR(MATCH($C$5&amp;"|"&amp;RIGHT("000000"&amp;507,6),LdgRankKeyA,0),"")</f>
        <v/>
      </c>
      <c r="M523">
        <f>IFERROR(MATCH($C$5&amp;"|"&amp;RIGHT("000000"&amp;507,6),LdgRankKeyB,0),"")</f>
        <v/>
      </c>
    </row>
    <row r="524">
      <c r="A524" s="23" t="n">
        <v>508</v>
      </c>
      <c r="B524" s="24">
        <f>IF(AND($L524="",$M524=""),"",IF($L524&lt;&gt;"",INDEX(SCNormDate,$L524),INDEX(LdgDateB,$M524)))</f>
        <v/>
      </c>
      <c r="C524" s="24">
        <f>IF($L524&lt;&gt;"",INDEX(SCOp,$L524),IF($M524&lt;&gt;"","پرداخت بانکی",""))</f>
        <v/>
      </c>
      <c r="D524" s="24">
        <f>IF($L524&lt;&gt;"",IF(INDEX(SCDoc,$L524)="","—",INDEX(SCDoc,$L524)),IF($M524&lt;&gt;"",INDEX(LdgBankB,$M524),""))</f>
        <v/>
      </c>
      <c r="E524" s="25">
        <f>IF($L524&lt;&gt;"",IF(INDEX(SCCitrus,$L524)&amp;INDEX(SCNotes,$L524)="","",IF(INDEX(SCCitrus,$L524)="","",INDEX(SCCitrus,$L524))&amp;IF(INDEX(SCNotes,$L524)="",""," — "&amp;INDEX(SCNotes,$L524))),IF($M524&lt;&gt;"",IF(INDEX(LdgNoteB,$M524)="","—",INDEX(LdgNoteB,$M524)),""))</f>
        <v/>
      </c>
      <c r="F524" s="26">
        <f>IF($L524&lt;&gt;"",IF(INDEX(SCNet,$L524)=0,"",INDEX(SCNet,$L524)),"")</f>
        <v/>
      </c>
      <c r="G524" s="27">
        <f>IF($L524&lt;&gt;"",IF(INDEX(SCOp,$L524)="مرجوعی فروش","",IF(INDEX(SCAmount,$L524)&lt;=0,"",INDEX(SCAmount,$L524))),IF($M524&lt;&gt;"",IF(INDEX(LdgWitB,$M524)=0,"",INDEX(LdgWitB,$M524)),""))</f>
        <v/>
      </c>
      <c r="H524" s="27">
        <f>IF($L524&lt;&gt;"",IF(INDEX(SCOp,$L524)="مرجوعی فروش",IF(INDEX(SCAmount,$L524)=0,"",-INDEX(SCAmount,$L524)),""),IF($M524&lt;&gt;"",IF(INDEX(LdgDepB,$M524)=0,"",INDEX(LdgDepB,$M524)),""))</f>
        <v/>
      </c>
      <c r="I524" s="28">
        <f>IF($B524="","",IF($I523="",$C$10,$I523)+IF($G524="",0,$G524)-IF($H524="",0,$H524))</f>
        <v/>
      </c>
      <c r="L524">
        <f>IFERROR(MATCH($C$5&amp;"|"&amp;RIGHT("000000"&amp;508,6),LdgRankKeyA,0),"")</f>
        <v/>
      </c>
      <c r="M524">
        <f>IFERROR(MATCH($C$5&amp;"|"&amp;RIGHT("000000"&amp;508,6),LdgRankKeyB,0),"")</f>
        <v/>
      </c>
    </row>
    <row r="525">
      <c r="A525" s="17" t="n">
        <v>509</v>
      </c>
      <c r="B525" s="18">
        <f>IF(AND($L525="",$M525=""),"",IF($L525&lt;&gt;"",INDEX(SCNormDate,$L525),INDEX(LdgDateB,$M525)))</f>
        <v/>
      </c>
      <c r="C525" s="18">
        <f>IF($L525&lt;&gt;"",INDEX(SCOp,$L525),IF($M525&lt;&gt;"","پرداخت بانکی",""))</f>
        <v/>
      </c>
      <c r="D525" s="18">
        <f>IF($L525&lt;&gt;"",IF(INDEX(SCDoc,$L525)="","—",INDEX(SCDoc,$L525)),IF($M525&lt;&gt;"",INDEX(LdgBankB,$M525),""))</f>
        <v/>
      </c>
      <c r="E525" s="19">
        <f>IF($L525&lt;&gt;"",IF(INDEX(SCCitrus,$L525)&amp;INDEX(SCNotes,$L525)="","",IF(INDEX(SCCitrus,$L525)="","",INDEX(SCCitrus,$L525))&amp;IF(INDEX(SCNotes,$L525)="",""," — "&amp;INDEX(SCNotes,$L525))),IF($M525&lt;&gt;"",IF(INDEX(LdgNoteB,$M525)="","—",INDEX(LdgNoteB,$M525)),""))</f>
        <v/>
      </c>
      <c r="F525" s="20">
        <f>IF($L525&lt;&gt;"",IF(INDEX(SCNet,$L525)=0,"",INDEX(SCNet,$L525)),"")</f>
        <v/>
      </c>
      <c r="G525" s="21">
        <f>IF($L525&lt;&gt;"",IF(INDEX(SCOp,$L525)="مرجوعی فروش","",IF(INDEX(SCAmount,$L525)&lt;=0,"",INDEX(SCAmount,$L525))),IF($M525&lt;&gt;"",IF(INDEX(LdgWitB,$M525)=0,"",INDEX(LdgWitB,$M525)),""))</f>
        <v/>
      </c>
      <c r="H525" s="21">
        <f>IF($L525&lt;&gt;"",IF(INDEX(SCOp,$L525)="مرجوعی فروش",IF(INDEX(SCAmount,$L525)=0,"",-INDEX(SCAmount,$L525)),""),IF($M525&lt;&gt;"",IF(INDEX(LdgDepB,$M525)=0,"",INDEX(LdgDepB,$M525)),""))</f>
        <v/>
      </c>
      <c r="I525" s="22">
        <f>IF($B525="","",IF($I524="",$C$10,$I524)+IF($G525="",0,$G525)-IF($H525="",0,$H525))</f>
        <v/>
      </c>
      <c r="L525">
        <f>IFERROR(MATCH($C$5&amp;"|"&amp;RIGHT("000000"&amp;509,6),LdgRankKeyA,0),"")</f>
        <v/>
      </c>
      <c r="M525">
        <f>IFERROR(MATCH($C$5&amp;"|"&amp;RIGHT("000000"&amp;509,6),LdgRankKeyB,0),"")</f>
        <v/>
      </c>
    </row>
    <row r="526">
      <c r="A526" s="23" t="n">
        <v>510</v>
      </c>
      <c r="B526" s="24">
        <f>IF(AND($L526="",$M526=""),"",IF($L526&lt;&gt;"",INDEX(SCNormDate,$L526),INDEX(LdgDateB,$M526)))</f>
        <v/>
      </c>
      <c r="C526" s="24">
        <f>IF($L526&lt;&gt;"",INDEX(SCOp,$L526),IF($M526&lt;&gt;"","پرداخت بانکی",""))</f>
        <v/>
      </c>
      <c r="D526" s="24">
        <f>IF($L526&lt;&gt;"",IF(INDEX(SCDoc,$L526)="","—",INDEX(SCDoc,$L526)),IF($M526&lt;&gt;"",INDEX(LdgBankB,$M526),""))</f>
        <v/>
      </c>
      <c r="E526" s="25">
        <f>IF($L526&lt;&gt;"",IF(INDEX(SCCitrus,$L526)&amp;INDEX(SCNotes,$L526)="","",IF(INDEX(SCCitrus,$L526)="","",INDEX(SCCitrus,$L526))&amp;IF(INDEX(SCNotes,$L526)="",""," — "&amp;INDEX(SCNotes,$L526))),IF($M526&lt;&gt;"",IF(INDEX(LdgNoteB,$M526)="","—",INDEX(LdgNoteB,$M526)),""))</f>
        <v/>
      </c>
      <c r="F526" s="26">
        <f>IF($L526&lt;&gt;"",IF(INDEX(SCNet,$L526)=0,"",INDEX(SCNet,$L526)),"")</f>
        <v/>
      </c>
      <c r="G526" s="27">
        <f>IF($L526&lt;&gt;"",IF(INDEX(SCOp,$L526)="مرجوعی فروش","",IF(INDEX(SCAmount,$L526)&lt;=0,"",INDEX(SCAmount,$L526))),IF($M526&lt;&gt;"",IF(INDEX(LdgWitB,$M526)=0,"",INDEX(LdgWitB,$M526)),""))</f>
        <v/>
      </c>
      <c r="H526" s="27">
        <f>IF($L526&lt;&gt;"",IF(INDEX(SCOp,$L526)="مرجوعی فروش",IF(INDEX(SCAmount,$L526)=0,"",-INDEX(SCAmount,$L526)),""),IF($M526&lt;&gt;"",IF(INDEX(LdgDepB,$M526)=0,"",INDEX(LdgDepB,$M526)),""))</f>
        <v/>
      </c>
      <c r="I526" s="28">
        <f>IF($B526="","",IF($I525="",$C$10,$I525)+IF($G526="",0,$G526)-IF($H526="",0,$H526))</f>
        <v/>
      </c>
      <c r="L526">
        <f>IFERROR(MATCH($C$5&amp;"|"&amp;RIGHT("000000"&amp;510,6),LdgRankKeyA,0),"")</f>
        <v/>
      </c>
      <c r="M526">
        <f>IFERROR(MATCH($C$5&amp;"|"&amp;RIGHT("000000"&amp;510,6),LdgRankKeyB,0),"")</f>
        <v/>
      </c>
    </row>
    <row r="527">
      <c r="A527" s="17" t="n">
        <v>511</v>
      </c>
      <c r="B527" s="18">
        <f>IF(AND($L527="",$M527=""),"",IF($L527&lt;&gt;"",INDEX(SCNormDate,$L527),INDEX(LdgDateB,$M527)))</f>
        <v/>
      </c>
      <c r="C527" s="18">
        <f>IF($L527&lt;&gt;"",INDEX(SCOp,$L527),IF($M527&lt;&gt;"","پرداخت بانکی",""))</f>
        <v/>
      </c>
      <c r="D527" s="18">
        <f>IF($L527&lt;&gt;"",IF(INDEX(SCDoc,$L527)="","—",INDEX(SCDoc,$L527)),IF($M527&lt;&gt;"",INDEX(LdgBankB,$M527),""))</f>
        <v/>
      </c>
      <c r="E527" s="19">
        <f>IF($L527&lt;&gt;"",IF(INDEX(SCCitrus,$L527)&amp;INDEX(SCNotes,$L527)="","",IF(INDEX(SCCitrus,$L527)="","",INDEX(SCCitrus,$L527))&amp;IF(INDEX(SCNotes,$L527)="",""," — "&amp;INDEX(SCNotes,$L527))),IF($M527&lt;&gt;"",IF(INDEX(LdgNoteB,$M527)="","—",INDEX(LdgNoteB,$M527)),""))</f>
        <v/>
      </c>
      <c r="F527" s="20">
        <f>IF($L527&lt;&gt;"",IF(INDEX(SCNet,$L527)=0,"",INDEX(SCNet,$L527)),"")</f>
        <v/>
      </c>
      <c r="G527" s="21">
        <f>IF($L527&lt;&gt;"",IF(INDEX(SCOp,$L527)="مرجوعی فروش","",IF(INDEX(SCAmount,$L527)&lt;=0,"",INDEX(SCAmount,$L527))),IF($M527&lt;&gt;"",IF(INDEX(LdgWitB,$M527)=0,"",INDEX(LdgWitB,$M527)),""))</f>
        <v/>
      </c>
      <c r="H527" s="21">
        <f>IF($L527&lt;&gt;"",IF(INDEX(SCOp,$L527)="مرجوعی فروش",IF(INDEX(SCAmount,$L527)=0,"",-INDEX(SCAmount,$L527)),""),IF($M527&lt;&gt;"",IF(INDEX(LdgDepB,$M527)=0,"",INDEX(LdgDepB,$M527)),""))</f>
        <v/>
      </c>
      <c r="I527" s="22">
        <f>IF($B527="","",IF($I526="",$C$10,$I526)+IF($G527="",0,$G527)-IF($H527="",0,$H527))</f>
        <v/>
      </c>
      <c r="L527">
        <f>IFERROR(MATCH($C$5&amp;"|"&amp;RIGHT("000000"&amp;511,6),LdgRankKeyA,0),"")</f>
        <v/>
      </c>
      <c r="M527">
        <f>IFERROR(MATCH($C$5&amp;"|"&amp;RIGHT("000000"&amp;511,6),LdgRankKeyB,0),"")</f>
        <v/>
      </c>
    </row>
    <row r="528">
      <c r="A528" s="23" t="n">
        <v>512</v>
      </c>
      <c r="B528" s="24">
        <f>IF(AND($L528="",$M528=""),"",IF($L528&lt;&gt;"",INDEX(SCNormDate,$L528),INDEX(LdgDateB,$M528)))</f>
        <v/>
      </c>
      <c r="C528" s="24">
        <f>IF($L528&lt;&gt;"",INDEX(SCOp,$L528),IF($M528&lt;&gt;"","پرداخت بانکی",""))</f>
        <v/>
      </c>
      <c r="D528" s="24">
        <f>IF($L528&lt;&gt;"",IF(INDEX(SCDoc,$L528)="","—",INDEX(SCDoc,$L528)),IF($M528&lt;&gt;"",INDEX(LdgBankB,$M528),""))</f>
        <v/>
      </c>
      <c r="E528" s="25">
        <f>IF($L528&lt;&gt;"",IF(INDEX(SCCitrus,$L528)&amp;INDEX(SCNotes,$L528)="","",IF(INDEX(SCCitrus,$L528)="","",INDEX(SCCitrus,$L528))&amp;IF(INDEX(SCNotes,$L528)="",""," — "&amp;INDEX(SCNotes,$L528))),IF($M528&lt;&gt;"",IF(INDEX(LdgNoteB,$M528)="","—",INDEX(LdgNoteB,$M528)),""))</f>
        <v/>
      </c>
      <c r="F528" s="26">
        <f>IF($L528&lt;&gt;"",IF(INDEX(SCNet,$L528)=0,"",INDEX(SCNet,$L528)),"")</f>
        <v/>
      </c>
      <c r="G528" s="27">
        <f>IF($L528&lt;&gt;"",IF(INDEX(SCOp,$L528)="مرجوعی فروش","",IF(INDEX(SCAmount,$L528)&lt;=0,"",INDEX(SCAmount,$L528))),IF($M528&lt;&gt;"",IF(INDEX(LdgWitB,$M528)=0,"",INDEX(LdgWitB,$M528)),""))</f>
        <v/>
      </c>
      <c r="H528" s="27">
        <f>IF($L528&lt;&gt;"",IF(INDEX(SCOp,$L528)="مرجوعی فروش",IF(INDEX(SCAmount,$L528)=0,"",-INDEX(SCAmount,$L528)),""),IF($M528&lt;&gt;"",IF(INDEX(LdgDepB,$M528)=0,"",INDEX(LdgDepB,$M528)),""))</f>
        <v/>
      </c>
      <c r="I528" s="28">
        <f>IF($B528="","",IF($I527="",$C$10,$I527)+IF($G528="",0,$G528)-IF($H528="",0,$H528))</f>
        <v/>
      </c>
      <c r="L528">
        <f>IFERROR(MATCH($C$5&amp;"|"&amp;RIGHT("000000"&amp;512,6),LdgRankKeyA,0),"")</f>
        <v/>
      </c>
      <c r="M528">
        <f>IFERROR(MATCH($C$5&amp;"|"&amp;RIGHT("000000"&amp;512,6),LdgRankKeyB,0),"")</f>
        <v/>
      </c>
    </row>
    <row r="529">
      <c r="A529" s="17" t="n">
        <v>513</v>
      </c>
      <c r="B529" s="18">
        <f>IF(AND($L529="",$M529=""),"",IF($L529&lt;&gt;"",INDEX(SCNormDate,$L529),INDEX(LdgDateB,$M529)))</f>
        <v/>
      </c>
      <c r="C529" s="18">
        <f>IF($L529&lt;&gt;"",INDEX(SCOp,$L529),IF($M529&lt;&gt;"","پرداخت بانکی",""))</f>
        <v/>
      </c>
      <c r="D529" s="18">
        <f>IF($L529&lt;&gt;"",IF(INDEX(SCDoc,$L529)="","—",INDEX(SCDoc,$L529)),IF($M529&lt;&gt;"",INDEX(LdgBankB,$M529),""))</f>
        <v/>
      </c>
      <c r="E529" s="19">
        <f>IF($L529&lt;&gt;"",IF(INDEX(SCCitrus,$L529)&amp;INDEX(SCNotes,$L529)="","",IF(INDEX(SCCitrus,$L529)="","",INDEX(SCCitrus,$L529))&amp;IF(INDEX(SCNotes,$L529)="",""," — "&amp;INDEX(SCNotes,$L529))),IF($M529&lt;&gt;"",IF(INDEX(LdgNoteB,$M529)="","—",INDEX(LdgNoteB,$M529)),""))</f>
        <v/>
      </c>
      <c r="F529" s="20">
        <f>IF($L529&lt;&gt;"",IF(INDEX(SCNet,$L529)=0,"",INDEX(SCNet,$L529)),"")</f>
        <v/>
      </c>
      <c r="G529" s="21">
        <f>IF($L529&lt;&gt;"",IF(INDEX(SCOp,$L529)="مرجوعی فروش","",IF(INDEX(SCAmount,$L529)&lt;=0,"",INDEX(SCAmount,$L529))),IF($M529&lt;&gt;"",IF(INDEX(LdgWitB,$M529)=0,"",INDEX(LdgWitB,$M529)),""))</f>
        <v/>
      </c>
      <c r="H529" s="21">
        <f>IF($L529&lt;&gt;"",IF(INDEX(SCOp,$L529)="مرجوعی فروش",IF(INDEX(SCAmount,$L529)=0,"",-INDEX(SCAmount,$L529)),""),IF($M529&lt;&gt;"",IF(INDEX(LdgDepB,$M529)=0,"",INDEX(LdgDepB,$M529)),""))</f>
        <v/>
      </c>
      <c r="I529" s="22">
        <f>IF($B529="","",IF($I528="",$C$10,$I528)+IF($G529="",0,$G529)-IF($H529="",0,$H529))</f>
        <v/>
      </c>
      <c r="L529">
        <f>IFERROR(MATCH($C$5&amp;"|"&amp;RIGHT("000000"&amp;513,6),LdgRankKeyA,0),"")</f>
        <v/>
      </c>
      <c r="M529">
        <f>IFERROR(MATCH($C$5&amp;"|"&amp;RIGHT("000000"&amp;513,6),LdgRankKeyB,0),"")</f>
        <v/>
      </c>
    </row>
    <row r="530">
      <c r="A530" s="23" t="n">
        <v>514</v>
      </c>
      <c r="B530" s="24">
        <f>IF(AND($L530="",$M530=""),"",IF($L530&lt;&gt;"",INDEX(SCNormDate,$L530),INDEX(LdgDateB,$M530)))</f>
        <v/>
      </c>
      <c r="C530" s="24">
        <f>IF($L530&lt;&gt;"",INDEX(SCOp,$L530),IF($M530&lt;&gt;"","پرداخت بانکی",""))</f>
        <v/>
      </c>
      <c r="D530" s="24">
        <f>IF($L530&lt;&gt;"",IF(INDEX(SCDoc,$L530)="","—",INDEX(SCDoc,$L530)),IF($M530&lt;&gt;"",INDEX(LdgBankB,$M530),""))</f>
        <v/>
      </c>
      <c r="E530" s="25">
        <f>IF($L530&lt;&gt;"",IF(INDEX(SCCitrus,$L530)&amp;INDEX(SCNotes,$L530)="","",IF(INDEX(SCCitrus,$L530)="","",INDEX(SCCitrus,$L530))&amp;IF(INDEX(SCNotes,$L530)="",""," — "&amp;INDEX(SCNotes,$L530))),IF($M530&lt;&gt;"",IF(INDEX(LdgNoteB,$M530)="","—",INDEX(LdgNoteB,$M530)),""))</f>
        <v/>
      </c>
      <c r="F530" s="26">
        <f>IF($L530&lt;&gt;"",IF(INDEX(SCNet,$L530)=0,"",INDEX(SCNet,$L530)),"")</f>
        <v/>
      </c>
      <c r="G530" s="27">
        <f>IF($L530&lt;&gt;"",IF(INDEX(SCOp,$L530)="مرجوعی فروش","",IF(INDEX(SCAmount,$L530)&lt;=0,"",INDEX(SCAmount,$L530))),IF($M530&lt;&gt;"",IF(INDEX(LdgWitB,$M530)=0,"",INDEX(LdgWitB,$M530)),""))</f>
        <v/>
      </c>
      <c r="H530" s="27">
        <f>IF($L530&lt;&gt;"",IF(INDEX(SCOp,$L530)="مرجوعی فروش",IF(INDEX(SCAmount,$L530)=0,"",-INDEX(SCAmount,$L530)),""),IF($M530&lt;&gt;"",IF(INDEX(LdgDepB,$M530)=0,"",INDEX(LdgDepB,$M530)),""))</f>
        <v/>
      </c>
      <c r="I530" s="28">
        <f>IF($B530="","",IF($I529="",$C$10,$I529)+IF($G530="",0,$G530)-IF($H530="",0,$H530))</f>
        <v/>
      </c>
      <c r="L530">
        <f>IFERROR(MATCH($C$5&amp;"|"&amp;RIGHT("000000"&amp;514,6),LdgRankKeyA,0),"")</f>
        <v/>
      </c>
      <c r="M530">
        <f>IFERROR(MATCH($C$5&amp;"|"&amp;RIGHT("000000"&amp;514,6),LdgRankKeyB,0),"")</f>
        <v/>
      </c>
    </row>
    <row r="531">
      <c r="A531" s="17" t="n">
        <v>515</v>
      </c>
      <c r="B531" s="18">
        <f>IF(AND($L531="",$M531=""),"",IF($L531&lt;&gt;"",INDEX(SCNormDate,$L531),INDEX(LdgDateB,$M531)))</f>
        <v/>
      </c>
      <c r="C531" s="18">
        <f>IF($L531&lt;&gt;"",INDEX(SCOp,$L531),IF($M531&lt;&gt;"","پرداخت بانکی",""))</f>
        <v/>
      </c>
      <c r="D531" s="18">
        <f>IF($L531&lt;&gt;"",IF(INDEX(SCDoc,$L531)="","—",INDEX(SCDoc,$L531)),IF($M531&lt;&gt;"",INDEX(LdgBankB,$M531),""))</f>
        <v/>
      </c>
      <c r="E531" s="19">
        <f>IF($L531&lt;&gt;"",IF(INDEX(SCCitrus,$L531)&amp;INDEX(SCNotes,$L531)="","",IF(INDEX(SCCitrus,$L531)="","",INDEX(SCCitrus,$L531))&amp;IF(INDEX(SCNotes,$L531)="",""," — "&amp;INDEX(SCNotes,$L531))),IF($M531&lt;&gt;"",IF(INDEX(LdgNoteB,$M531)="","—",INDEX(LdgNoteB,$M531)),""))</f>
        <v/>
      </c>
      <c r="F531" s="20">
        <f>IF($L531&lt;&gt;"",IF(INDEX(SCNet,$L531)=0,"",INDEX(SCNet,$L531)),"")</f>
        <v/>
      </c>
      <c r="G531" s="21">
        <f>IF($L531&lt;&gt;"",IF(INDEX(SCOp,$L531)="مرجوعی فروش","",IF(INDEX(SCAmount,$L531)&lt;=0,"",INDEX(SCAmount,$L531))),IF($M531&lt;&gt;"",IF(INDEX(LdgWitB,$M531)=0,"",INDEX(LdgWitB,$M531)),""))</f>
        <v/>
      </c>
      <c r="H531" s="21">
        <f>IF($L531&lt;&gt;"",IF(INDEX(SCOp,$L531)="مرجوعی فروش",IF(INDEX(SCAmount,$L531)=0,"",-INDEX(SCAmount,$L531)),""),IF($M531&lt;&gt;"",IF(INDEX(LdgDepB,$M531)=0,"",INDEX(LdgDepB,$M531)),""))</f>
        <v/>
      </c>
      <c r="I531" s="22">
        <f>IF($B531="","",IF($I530="",$C$10,$I530)+IF($G531="",0,$G531)-IF($H531="",0,$H531))</f>
        <v/>
      </c>
      <c r="L531">
        <f>IFERROR(MATCH($C$5&amp;"|"&amp;RIGHT("000000"&amp;515,6),LdgRankKeyA,0),"")</f>
        <v/>
      </c>
      <c r="M531">
        <f>IFERROR(MATCH($C$5&amp;"|"&amp;RIGHT("000000"&amp;515,6),LdgRankKeyB,0),"")</f>
        <v/>
      </c>
    </row>
    <row r="532">
      <c r="A532" s="23" t="n">
        <v>516</v>
      </c>
      <c r="B532" s="24">
        <f>IF(AND($L532="",$M532=""),"",IF($L532&lt;&gt;"",INDEX(SCNormDate,$L532),INDEX(LdgDateB,$M532)))</f>
        <v/>
      </c>
      <c r="C532" s="24">
        <f>IF($L532&lt;&gt;"",INDEX(SCOp,$L532),IF($M532&lt;&gt;"","پرداخت بانکی",""))</f>
        <v/>
      </c>
      <c r="D532" s="24">
        <f>IF($L532&lt;&gt;"",IF(INDEX(SCDoc,$L532)="","—",INDEX(SCDoc,$L532)),IF($M532&lt;&gt;"",INDEX(LdgBankB,$M532),""))</f>
        <v/>
      </c>
      <c r="E532" s="25">
        <f>IF($L532&lt;&gt;"",IF(INDEX(SCCitrus,$L532)&amp;INDEX(SCNotes,$L532)="","",IF(INDEX(SCCitrus,$L532)="","",INDEX(SCCitrus,$L532))&amp;IF(INDEX(SCNotes,$L532)="",""," — "&amp;INDEX(SCNotes,$L532))),IF($M532&lt;&gt;"",IF(INDEX(LdgNoteB,$M532)="","—",INDEX(LdgNoteB,$M532)),""))</f>
        <v/>
      </c>
      <c r="F532" s="26">
        <f>IF($L532&lt;&gt;"",IF(INDEX(SCNet,$L532)=0,"",INDEX(SCNet,$L532)),"")</f>
        <v/>
      </c>
      <c r="G532" s="27">
        <f>IF($L532&lt;&gt;"",IF(INDEX(SCOp,$L532)="مرجوعی فروش","",IF(INDEX(SCAmount,$L532)&lt;=0,"",INDEX(SCAmount,$L532))),IF($M532&lt;&gt;"",IF(INDEX(LdgWitB,$M532)=0,"",INDEX(LdgWitB,$M532)),""))</f>
        <v/>
      </c>
      <c r="H532" s="27">
        <f>IF($L532&lt;&gt;"",IF(INDEX(SCOp,$L532)="مرجوعی فروش",IF(INDEX(SCAmount,$L532)=0,"",-INDEX(SCAmount,$L532)),""),IF($M532&lt;&gt;"",IF(INDEX(LdgDepB,$M532)=0,"",INDEX(LdgDepB,$M532)),""))</f>
        <v/>
      </c>
      <c r="I532" s="28">
        <f>IF($B532="","",IF($I531="",$C$10,$I531)+IF($G532="",0,$G532)-IF($H532="",0,$H532))</f>
        <v/>
      </c>
      <c r="L532">
        <f>IFERROR(MATCH($C$5&amp;"|"&amp;RIGHT("000000"&amp;516,6),LdgRankKeyA,0),"")</f>
        <v/>
      </c>
      <c r="M532">
        <f>IFERROR(MATCH($C$5&amp;"|"&amp;RIGHT("000000"&amp;516,6),LdgRankKeyB,0),"")</f>
        <v/>
      </c>
    </row>
    <row r="533">
      <c r="A533" s="17" t="n">
        <v>517</v>
      </c>
      <c r="B533" s="18">
        <f>IF(AND($L533="",$M533=""),"",IF($L533&lt;&gt;"",INDEX(SCNormDate,$L533),INDEX(LdgDateB,$M533)))</f>
        <v/>
      </c>
      <c r="C533" s="18">
        <f>IF($L533&lt;&gt;"",INDEX(SCOp,$L533),IF($M533&lt;&gt;"","پرداخت بانکی",""))</f>
        <v/>
      </c>
      <c r="D533" s="18">
        <f>IF($L533&lt;&gt;"",IF(INDEX(SCDoc,$L533)="","—",INDEX(SCDoc,$L533)),IF($M533&lt;&gt;"",INDEX(LdgBankB,$M533),""))</f>
        <v/>
      </c>
      <c r="E533" s="19">
        <f>IF($L533&lt;&gt;"",IF(INDEX(SCCitrus,$L533)&amp;INDEX(SCNotes,$L533)="","",IF(INDEX(SCCitrus,$L533)="","",INDEX(SCCitrus,$L533))&amp;IF(INDEX(SCNotes,$L533)="",""," — "&amp;INDEX(SCNotes,$L533))),IF($M533&lt;&gt;"",IF(INDEX(LdgNoteB,$M533)="","—",INDEX(LdgNoteB,$M533)),""))</f>
        <v/>
      </c>
      <c r="F533" s="20">
        <f>IF($L533&lt;&gt;"",IF(INDEX(SCNet,$L533)=0,"",INDEX(SCNet,$L533)),"")</f>
        <v/>
      </c>
      <c r="G533" s="21">
        <f>IF($L533&lt;&gt;"",IF(INDEX(SCOp,$L533)="مرجوعی فروش","",IF(INDEX(SCAmount,$L533)&lt;=0,"",INDEX(SCAmount,$L533))),IF($M533&lt;&gt;"",IF(INDEX(LdgWitB,$M533)=0,"",INDEX(LdgWitB,$M533)),""))</f>
        <v/>
      </c>
      <c r="H533" s="21">
        <f>IF($L533&lt;&gt;"",IF(INDEX(SCOp,$L533)="مرجوعی فروش",IF(INDEX(SCAmount,$L533)=0,"",-INDEX(SCAmount,$L533)),""),IF($M533&lt;&gt;"",IF(INDEX(LdgDepB,$M533)=0,"",INDEX(LdgDepB,$M533)),""))</f>
        <v/>
      </c>
      <c r="I533" s="22">
        <f>IF($B533="","",IF($I532="",$C$10,$I532)+IF($G533="",0,$G533)-IF($H533="",0,$H533))</f>
        <v/>
      </c>
      <c r="L533">
        <f>IFERROR(MATCH($C$5&amp;"|"&amp;RIGHT("000000"&amp;517,6),LdgRankKeyA,0),"")</f>
        <v/>
      </c>
      <c r="M533">
        <f>IFERROR(MATCH($C$5&amp;"|"&amp;RIGHT("000000"&amp;517,6),LdgRankKeyB,0),"")</f>
        <v/>
      </c>
    </row>
    <row r="534">
      <c r="A534" s="23" t="n">
        <v>518</v>
      </c>
      <c r="B534" s="24">
        <f>IF(AND($L534="",$M534=""),"",IF($L534&lt;&gt;"",INDEX(SCNormDate,$L534),INDEX(LdgDateB,$M534)))</f>
        <v/>
      </c>
      <c r="C534" s="24">
        <f>IF($L534&lt;&gt;"",INDEX(SCOp,$L534),IF($M534&lt;&gt;"","پرداخت بانکی",""))</f>
        <v/>
      </c>
      <c r="D534" s="24">
        <f>IF($L534&lt;&gt;"",IF(INDEX(SCDoc,$L534)="","—",INDEX(SCDoc,$L534)),IF($M534&lt;&gt;"",INDEX(LdgBankB,$M534),""))</f>
        <v/>
      </c>
      <c r="E534" s="25">
        <f>IF($L534&lt;&gt;"",IF(INDEX(SCCitrus,$L534)&amp;INDEX(SCNotes,$L534)="","",IF(INDEX(SCCitrus,$L534)="","",INDEX(SCCitrus,$L534))&amp;IF(INDEX(SCNotes,$L534)="",""," — "&amp;INDEX(SCNotes,$L534))),IF($M534&lt;&gt;"",IF(INDEX(LdgNoteB,$M534)="","—",INDEX(LdgNoteB,$M534)),""))</f>
        <v/>
      </c>
      <c r="F534" s="26">
        <f>IF($L534&lt;&gt;"",IF(INDEX(SCNet,$L534)=0,"",INDEX(SCNet,$L534)),"")</f>
        <v/>
      </c>
      <c r="G534" s="27">
        <f>IF($L534&lt;&gt;"",IF(INDEX(SCOp,$L534)="مرجوعی فروش","",IF(INDEX(SCAmount,$L534)&lt;=0,"",INDEX(SCAmount,$L534))),IF($M534&lt;&gt;"",IF(INDEX(LdgWitB,$M534)=0,"",INDEX(LdgWitB,$M534)),""))</f>
        <v/>
      </c>
      <c r="H534" s="27">
        <f>IF($L534&lt;&gt;"",IF(INDEX(SCOp,$L534)="مرجوعی فروش",IF(INDEX(SCAmount,$L534)=0,"",-INDEX(SCAmount,$L534)),""),IF($M534&lt;&gt;"",IF(INDEX(LdgDepB,$M534)=0,"",INDEX(LdgDepB,$M534)),""))</f>
        <v/>
      </c>
      <c r="I534" s="28">
        <f>IF($B534="","",IF($I533="",$C$10,$I533)+IF($G534="",0,$G534)-IF($H534="",0,$H534))</f>
        <v/>
      </c>
      <c r="L534">
        <f>IFERROR(MATCH($C$5&amp;"|"&amp;RIGHT("000000"&amp;518,6),LdgRankKeyA,0),"")</f>
        <v/>
      </c>
      <c r="M534">
        <f>IFERROR(MATCH($C$5&amp;"|"&amp;RIGHT("000000"&amp;518,6),LdgRankKeyB,0),"")</f>
        <v/>
      </c>
    </row>
    <row r="535">
      <c r="A535" s="17" t="n">
        <v>519</v>
      </c>
      <c r="B535" s="18">
        <f>IF(AND($L535="",$M535=""),"",IF($L535&lt;&gt;"",INDEX(SCNormDate,$L535),INDEX(LdgDateB,$M535)))</f>
        <v/>
      </c>
      <c r="C535" s="18">
        <f>IF($L535&lt;&gt;"",INDEX(SCOp,$L535),IF($M535&lt;&gt;"","پرداخت بانکی",""))</f>
        <v/>
      </c>
      <c r="D535" s="18">
        <f>IF($L535&lt;&gt;"",IF(INDEX(SCDoc,$L535)="","—",INDEX(SCDoc,$L535)),IF($M535&lt;&gt;"",INDEX(LdgBankB,$M535),""))</f>
        <v/>
      </c>
      <c r="E535" s="19">
        <f>IF($L535&lt;&gt;"",IF(INDEX(SCCitrus,$L535)&amp;INDEX(SCNotes,$L535)="","",IF(INDEX(SCCitrus,$L535)="","",INDEX(SCCitrus,$L535))&amp;IF(INDEX(SCNotes,$L535)="",""," — "&amp;INDEX(SCNotes,$L535))),IF($M535&lt;&gt;"",IF(INDEX(LdgNoteB,$M535)="","—",INDEX(LdgNoteB,$M535)),""))</f>
        <v/>
      </c>
      <c r="F535" s="20">
        <f>IF($L535&lt;&gt;"",IF(INDEX(SCNet,$L535)=0,"",INDEX(SCNet,$L535)),"")</f>
        <v/>
      </c>
      <c r="G535" s="21">
        <f>IF($L535&lt;&gt;"",IF(INDEX(SCOp,$L535)="مرجوعی فروش","",IF(INDEX(SCAmount,$L535)&lt;=0,"",INDEX(SCAmount,$L535))),IF($M535&lt;&gt;"",IF(INDEX(LdgWitB,$M535)=0,"",INDEX(LdgWitB,$M535)),""))</f>
        <v/>
      </c>
      <c r="H535" s="21">
        <f>IF($L535&lt;&gt;"",IF(INDEX(SCOp,$L535)="مرجوعی فروش",IF(INDEX(SCAmount,$L535)=0,"",-INDEX(SCAmount,$L535)),""),IF($M535&lt;&gt;"",IF(INDEX(LdgDepB,$M535)=0,"",INDEX(LdgDepB,$M535)),""))</f>
        <v/>
      </c>
      <c r="I535" s="22">
        <f>IF($B535="","",IF($I534="",$C$10,$I534)+IF($G535="",0,$G535)-IF($H535="",0,$H535))</f>
        <v/>
      </c>
      <c r="L535">
        <f>IFERROR(MATCH($C$5&amp;"|"&amp;RIGHT("000000"&amp;519,6),LdgRankKeyA,0),"")</f>
        <v/>
      </c>
      <c r="M535">
        <f>IFERROR(MATCH($C$5&amp;"|"&amp;RIGHT("000000"&amp;519,6),LdgRankKeyB,0),"")</f>
        <v/>
      </c>
    </row>
    <row r="536">
      <c r="A536" s="23" t="n">
        <v>520</v>
      </c>
      <c r="B536" s="24">
        <f>IF(AND($L536="",$M536=""),"",IF($L536&lt;&gt;"",INDEX(SCNormDate,$L536),INDEX(LdgDateB,$M536)))</f>
        <v/>
      </c>
      <c r="C536" s="24">
        <f>IF($L536&lt;&gt;"",INDEX(SCOp,$L536),IF($M536&lt;&gt;"","پرداخت بانکی",""))</f>
        <v/>
      </c>
      <c r="D536" s="24">
        <f>IF($L536&lt;&gt;"",IF(INDEX(SCDoc,$L536)="","—",INDEX(SCDoc,$L536)),IF($M536&lt;&gt;"",INDEX(LdgBankB,$M536),""))</f>
        <v/>
      </c>
      <c r="E536" s="25">
        <f>IF($L536&lt;&gt;"",IF(INDEX(SCCitrus,$L536)&amp;INDEX(SCNotes,$L536)="","",IF(INDEX(SCCitrus,$L536)="","",INDEX(SCCitrus,$L536))&amp;IF(INDEX(SCNotes,$L536)="",""," — "&amp;INDEX(SCNotes,$L536))),IF($M536&lt;&gt;"",IF(INDEX(LdgNoteB,$M536)="","—",INDEX(LdgNoteB,$M536)),""))</f>
        <v/>
      </c>
      <c r="F536" s="26">
        <f>IF($L536&lt;&gt;"",IF(INDEX(SCNet,$L536)=0,"",INDEX(SCNet,$L536)),"")</f>
        <v/>
      </c>
      <c r="G536" s="27">
        <f>IF($L536&lt;&gt;"",IF(INDEX(SCOp,$L536)="مرجوعی فروش","",IF(INDEX(SCAmount,$L536)&lt;=0,"",INDEX(SCAmount,$L536))),IF($M536&lt;&gt;"",IF(INDEX(LdgWitB,$M536)=0,"",INDEX(LdgWitB,$M536)),""))</f>
        <v/>
      </c>
      <c r="H536" s="27">
        <f>IF($L536&lt;&gt;"",IF(INDEX(SCOp,$L536)="مرجوعی فروش",IF(INDEX(SCAmount,$L536)=0,"",-INDEX(SCAmount,$L536)),""),IF($M536&lt;&gt;"",IF(INDEX(LdgDepB,$M536)=0,"",INDEX(LdgDepB,$M536)),""))</f>
        <v/>
      </c>
      <c r="I536" s="28">
        <f>IF($B536="","",IF($I535="",$C$10,$I535)+IF($G536="",0,$G536)-IF($H536="",0,$H536))</f>
        <v/>
      </c>
      <c r="L536">
        <f>IFERROR(MATCH($C$5&amp;"|"&amp;RIGHT("000000"&amp;520,6),LdgRankKeyA,0),"")</f>
        <v/>
      </c>
      <c r="M536">
        <f>IFERROR(MATCH($C$5&amp;"|"&amp;RIGHT("000000"&amp;520,6),LdgRankKeyB,0),"")</f>
        <v/>
      </c>
    </row>
    <row r="537">
      <c r="A537" s="17" t="n">
        <v>521</v>
      </c>
      <c r="B537" s="18">
        <f>IF(AND($L537="",$M537=""),"",IF($L537&lt;&gt;"",INDEX(SCNormDate,$L537),INDEX(LdgDateB,$M537)))</f>
        <v/>
      </c>
      <c r="C537" s="18">
        <f>IF($L537&lt;&gt;"",INDEX(SCOp,$L537),IF($M537&lt;&gt;"","پرداخت بانکی",""))</f>
        <v/>
      </c>
      <c r="D537" s="18">
        <f>IF($L537&lt;&gt;"",IF(INDEX(SCDoc,$L537)="","—",INDEX(SCDoc,$L537)),IF($M537&lt;&gt;"",INDEX(LdgBankB,$M537),""))</f>
        <v/>
      </c>
      <c r="E537" s="19">
        <f>IF($L537&lt;&gt;"",IF(INDEX(SCCitrus,$L537)&amp;INDEX(SCNotes,$L537)="","",IF(INDEX(SCCitrus,$L537)="","",INDEX(SCCitrus,$L537))&amp;IF(INDEX(SCNotes,$L537)="",""," — "&amp;INDEX(SCNotes,$L537))),IF($M537&lt;&gt;"",IF(INDEX(LdgNoteB,$M537)="","—",INDEX(LdgNoteB,$M537)),""))</f>
        <v/>
      </c>
      <c r="F537" s="20">
        <f>IF($L537&lt;&gt;"",IF(INDEX(SCNet,$L537)=0,"",INDEX(SCNet,$L537)),"")</f>
        <v/>
      </c>
      <c r="G537" s="21">
        <f>IF($L537&lt;&gt;"",IF(INDEX(SCOp,$L537)="مرجوعی فروش","",IF(INDEX(SCAmount,$L537)&lt;=0,"",INDEX(SCAmount,$L537))),IF($M537&lt;&gt;"",IF(INDEX(LdgWitB,$M537)=0,"",INDEX(LdgWitB,$M537)),""))</f>
        <v/>
      </c>
      <c r="H537" s="21">
        <f>IF($L537&lt;&gt;"",IF(INDEX(SCOp,$L537)="مرجوعی فروش",IF(INDEX(SCAmount,$L537)=0,"",-INDEX(SCAmount,$L537)),""),IF($M537&lt;&gt;"",IF(INDEX(LdgDepB,$M537)=0,"",INDEX(LdgDepB,$M537)),""))</f>
        <v/>
      </c>
      <c r="I537" s="22">
        <f>IF($B537="","",IF($I536="",$C$10,$I536)+IF($G537="",0,$G537)-IF($H537="",0,$H537))</f>
        <v/>
      </c>
      <c r="L537">
        <f>IFERROR(MATCH($C$5&amp;"|"&amp;RIGHT("000000"&amp;521,6),LdgRankKeyA,0),"")</f>
        <v/>
      </c>
      <c r="M537">
        <f>IFERROR(MATCH($C$5&amp;"|"&amp;RIGHT("000000"&amp;521,6),LdgRankKeyB,0),"")</f>
        <v/>
      </c>
    </row>
    <row r="538">
      <c r="A538" s="23" t="n">
        <v>522</v>
      </c>
      <c r="B538" s="24">
        <f>IF(AND($L538="",$M538=""),"",IF($L538&lt;&gt;"",INDEX(SCNormDate,$L538),INDEX(LdgDateB,$M538)))</f>
        <v/>
      </c>
      <c r="C538" s="24">
        <f>IF($L538&lt;&gt;"",INDEX(SCOp,$L538),IF($M538&lt;&gt;"","پرداخت بانکی",""))</f>
        <v/>
      </c>
      <c r="D538" s="24">
        <f>IF($L538&lt;&gt;"",IF(INDEX(SCDoc,$L538)="","—",INDEX(SCDoc,$L538)),IF($M538&lt;&gt;"",INDEX(LdgBankB,$M538),""))</f>
        <v/>
      </c>
      <c r="E538" s="25">
        <f>IF($L538&lt;&gt;"",IF(INDEX(SCCitrus,$L538)&amp;INDEX(SCNotes,$L538)="","",IF(INDEX(SCCitrus,$L538)="","",INDEX(SCCitrus,$L538))&amp;IF(INDEX(SCNotes,$L538)="",""," — "&amp;INDEX(SCNotes,$L538))),IF($M538&lt;&gt;"",IF(INDEX(LdgNoteB,$M538)="","—",INDEX(LdgNoteB,$M538)),""))</f>
        <v/>
      </c>
      <c r="F538" s="26">
        <f>IF($L538&lt;&gt;"",IF(INDEX(SCNet,$L538)=0,"",INDEX(SCNet,$L538)),"")</f>
        <v/>
      </c>
      <c r="G538" s="27">
        <f>IF($L538&lt;&gt;"",IF(INDEX(SCOp,$L538)="مرجوعی فروش","",IF(INDEX(SCAmount,$L538)&lt;=0,"",INDEX(SCAmount,$L538))),IF($M538&lt;&gt;"",IF(INDEX(LdgWitB,$M538)=0,"",INDEX(LdgWitB,$M538)),""))</f>
        <v/>
      </c>
      <c r="H538" s="27">
        <f>IF($L538&lt;&gt;"",IF(INDEX(SCOp,$L538)="مرجوعی فروش",IF(INDEX(SCAmount,$L538)=0,"",-INDEX(SCAmount,$L538)),""),IF($M538&lt;&gt;"",IF(INDEX(LdgDepB,$M538)=0,"",INDEX(LdgDepB,$M538)),""))</f>
        <v/>
      </c>
      <c r="I538" s="28">
        <f>IF($B538="","",IF($I537="",$C$10,$I537)+IF($G538="",0,$G538)-IF($H538="",0,$H538))</f>
        <v/>
      </c>
      <c r="L538">
        <f>IFERROR(MATCH($C$5&amp;"|"&amp;RIGHT("000000"&amp;522,6),LdgRankKeyA,0),"")</f>
        <v/>
      </c>
      <c r="M538">
        <f>IFERROR(MATCH($C$5&amp;"|"&amp;RIGHT("000000"&amp;522,6),LdgRankKeyB,0),"")</f>
        <v/>
      </c>
    </row>
    <row r="539">
      <c r="A539" s="17" t="n">
        <v>523</v>
      </c>
      <c r="B539" s="18">
        <f>IF(AND($L539="",$M539=""),"",IF($L539&lt;&gt;"",INDEX(SCNormDate,$L539),INDEX(LdgDateB,$M539)))</f>
        <v/>
      </c>
      <c r="C539" s="18">
        <f>IF($L539&lt;&gt;"",INDEX(SCOp,$L539),IF($M539&lt;&gt;"","پرداخت بانکی",""))</f>
        <v/>
      </c>
      <c r="D539" s="18">
        <f>IF($L539&lt;&gt;"",IF(INDEX(SCDoc,$L539)="","—",INDEX(SCDoc,$L539)),IF($M539&lt;&gt;"",INDEX(LdgBankB,$M539),""))</f>
        <v/>
      </c>
      <c r="E539" s="19">
        <f>IF($L539&lt;&gt;"",IF(INDEX(SCCitrus,$L539)&amp;INDEX(SCNotes,$L539)="","",IF(INDEX(SCCitrus,$L539)="","",INDEX(SCCitrus,$L539))&amp;IF(INDEX(SCNotes,$L539)="",""," — "&amp;INDEX(SCNotes,$L539))),IF($M539&lt;&gt;"",IF(INDEX(LdgNoteB,$M539)="","—",INDEX(LdgNoteB,$M539)),""))</f>
        <v/>
      </c>
      <c r="F539" s="20">
        <f>IF($L539&lt;&gt;"",IF(INDEX(SCNet,$L539)=0,"",INDEX(SCNet,$L539)),"")</f>
        <v/>
      </c>
      <c r="G539" s="21">
        <f>IF($L539&lt;&gt;"",IF(INDEX(SCOp,$L539)="مرجوعی فروش","",IF(INDEX(SCAmount,$L539)&lt;=0,"",INDEX(SCAmount,$L539))),IF($M539&lt;&gt;"",IF(INDEX(LdgWitB,$M539)=0,"",INDEX(LdgWitB,$M539)),""))</f>
        <v/>
      </c>
      <c r="H539" s="21">
        <f>IF($L539&lt;&gt;"",IF(INDEX(SCOp,$L539)="مرجوعی فروش",IF(INDEX(SCAmount,$L539)=0,"",-INDEX(SCAmount,$L539)),""),IF($M539&lt;&gt;"",IF(INDEX(LdgDepB,$M539)=0,"",INDEX(LdgDepB,$M539)),""))</f>
        <v/>
      </c>
      <c r="I539" s="22">
        <f>IF($B539="","",IF($I538="",$C$10,$I538)+IF($G539="",0,$G539)-IF($H539="",0,$H539))</f>
        <v/>
      </c>
      <c r="L539">
        <f>IFERROR(MATCH($C$5&amp;"|"&amp;RIGHT("000000"&amp;523,6),LdgRankKeyA,0),"")</f>
        <v/>
      </c>
      <c r="M539">
        <f>IFERROR(MATCH($C$5&amp;"|"&amp;RIGHT("000000"&amp;523,6),LdgRankKeyB,0),"")</f>
        <v/>
      </c>
    </row>
    <row r="540">
      <c r="A540" s="23" t="n">
        <v>524</v>
      </c>
      <c r="B540" s="24">
        <f>IF(AND($L540="",$M540=""),"",IF($L540&lt;&gt;"",INDEX(SCNormDate,$L540),INDEX(LdgDateB,$M540)))</f>
        <v/>
      </c>
      <c r="C540" s="24">
        <f>IF($L540&lt;&gt;"",INDEX(SCOp,$L540),IF($M540&lt;&gt;"","پرداخت بانکی",""))</f>
        <v/>
      </c>
      <c r="D540" s="24">
        <f>IF($L540&lt;&gt;"",IF(INDEX(SCDoc,$L540)="","—",INDEX(SCDoc,$L540)),IF($M540&lt;&gt;"",INDEX(LdgBankB,$M540),""))</f>
        <v/>
      </c>
      <c r="E540" s="25">
        <f>IF($L540&lt;&gt;"",IF(INDEX(SCCitrus,$L540)&amp;INDEX(SCNotes,$L540)="","",IF(INDEX(SCCitrus,$L540)="","",INDEX(SCCitrus,$L540))&amp;IF(INDEX(SCNotes,$L540)="",""," — "&amp;INDEX(SCNotes,$L540))),IF($M540&lt;&gt;"",IF(INDEX(LdgNoteB,$M540)="","—",INDEX(LdgNoteB,$M540)),""))</f>
        <v/>
      </c>
      <c r="F540" s="26">
        <f>IF($L540&lt;&gt;"",IF(INDEX(SCNet,$L540)=0,"",INDEX(SCNet,$L540)),"")</f>
        <v/>
      </c>
      <c r="G540" s="27">
        <f>IF($L540&lt;&gt;"",IF(INDEX(SCOp,$L540)="مرجوعی فروش","",IF(INDEX(SCAmount,$L540)&lt;=0,"",INDEX(SCAmount,$L540))),IF($M540&lt;&gt;"",IF(INDEX(LdgWitB,$M540)=0,"",INDEX(LdgWitB,$M540)),""))</f>
        <v/>
      </c>
      <c r="H540" s="27">
        <f>IF($L540&lt;&gt;"",IF(INDEX(SCOp,$L540)="مرجوعی فروش",IF(INDEX(SCAmount,$L540)=0,"",-INDEX(SCAmount,$L540)),""),IF($M540&lt;&gt;"",IF(INDEX(LdgDepB,$M540)=0,"",INDEX(LdgDepB,$M540)),""))</f>
        <v/>
      </c>
      <c r="I540" s="28">
        <f>IF($B540="","",IF($I539="",$C$10,$I539)+IF($G540="",0,$G540)-IF($H540="",0,$H540))</f>
        <v/>
      </c>
      <c r="L540">
        <f>IFERROR(MATCH($C$5&amp;"|"&amp;RIGHT("000000"&amp;524,6),LdgRankKeyA,0),"")</f>
        <v/>
      </c>
      <c r="M540">
        <f>IFERROR(MATCH($C$5&amp;"|"&amp;RIGHT("000000"&amp;524,6),LdgRankKeyB,0),"")</f>
        <v/>
      </c>
    </row>
    <row r="541">
      <c r="A541" s="17" t="n">
        <v>525</v>
      </c>
      <c r="B541" s="18">
        <f>IF(AND($L541="",$M541=""),"",IF($L541&lt;&gt;"",INDEX(SCNormDate,$L541),INDEX(LdgDateB,$M541)))</f>
        <v/>
      </c>
      <c r="C541" s="18">
        <f>IF($L541&lt;&gt;"",INDEX(SCOp,$L541),IF($M541&lt;&gt;"","پرداخت بانکی",""))</f>
        <v/>
      </c>
      <c r="D541" s="18">
        <f>IF($L541&lt;&gt;"",IF(INDEX(SCDoc,$L541)="","—",INDEX(SCDoc,$L541)),IF($M541&lt;&gt;"",INDEX(LdgBankB,$M541),""))</f>
        <v/>
      </c>
      <c r="E541" s="19">
        <f>IF($L541&lt;&gt;"",IF(INDEX(SCCitrus,$L541)&amp;INDEX(SCNotes,$L541)="","",IF(INDEX(SCCitrus,$L541)="","",INDEX(SCCitrus,$L541))&amp;IF(INDEX(SCNotes,$L541)="",""," — "&amp;INDEX(SCNotes,$L541))),IF($M541&lt;&gt;"",IF(INDEX(LdgNoteB,$M541)="","—",INDEX(LdgNoteB,$M541)),""))</f>
        <v/>
      </c>
      <c r="F541" s="20">
        <f>IF($L541&lt;&gt;"",IF(INDEX(SCNet,$L541)=0,"",INDEX(SCNet,$L541)),"")</f>
        <v/>
      </c>
      <c r="G541" s="21">
        <f>IF($L541&lt;&gt;"",IF(INDEX(SCOp,$L541)="مرجوعی فروش","",IF(INDEX(SCAmount,$L541)&lt;=0,"",INDEX(SCAmount,$L541))),IF($M541&lt;&gt;"",IF(INDEX(LdgWitB,$M541)=0,"",INDEX(LdgWitB,$M541)),""))</f>
        <v/>
      </c>
      <c r="H541" s="21">
        <f>IF($L541&lt;&gt;"",IF(INDEX(SCOp,$L541)="مرجوعی فروش",IF(INDEX(SCAmount,$L541)=0,"",-INDEX(SCAmount,$L541)),""),IF($M541&lt;&gt;"",IF(INDEX(LdgDepB,$M541)=0,"",INDEX(LdgDepB,$M541)),""))</f>
        <v/>
      </c>
      <c r="I541" s="22">
        <f>IF($B541="","",IF($I540="",$C$10,$I540)+IF($G541="",0,$G541)-IF($H541="",0,$H541))</f>
        <v/>
      </c>
      <c r="L541">
        <f>IFERROR(MATCH($C$5&amp;"|"&amp;RIGHT("000000"&amp;525,6),LdgRankKeyA,0),"")</f>
        <v/>
      </c>
      <c r="M541">
        <f>IFERROR(MATCH($C$5&amp;"|"&amp;RIGHT("000000"&amp;525,6),LdgRankKeyB,0),"")</f>
        <v/>
      </c>
    </row>
    <row r="542">
      <c r="A542" s="23" t="n">
        <v>526</v>
      </c>
      <c r="B542" s="24">
        <f>IF(AND($L542="",$M542=""),"",IF($L542&lt;&gt;"",INDEX(SCNormDate,$L542),INDEX(LdgDateB,$M542)))</f>
        <v/>
      </c>
      <c r="C542" s="24">
        <f>IF($L542&lt;&gt;"",INDEX(SCOp,$L542),IF($M542&lt;&gt;"","پرداخت بانکی",""))</f>
        <v/>
      </c>
      <c r="D542" s="24">
        <f>IF($L542&lt;&gt;"",IF(INDEX(SCDoc,$L542)="","—",INDEX(SCDoc,$L542)),IF($M542&lt;&gt;"",INDEX(LdgBankB,$M542),""))</f>
        <v/>
      </c>
      <c r="E542" s="25">
        <f>IF($L542&lt;&gt;"",IF(INDEX(SCCitrus,$L542)&amp;INDEX(SCNotes,$L542)="","",IF(INDEX(SCCitrus,$L542)="","",INDEX(SCCitrus,$L542))&amp;IF(INDEX(SCNotes,$L542)="",""," — "&amp;INDEX(SCNotes,$L542))),IF($M542&lt;&gt;"",IF(INDEX(LdgNoteB,$M542)="","—",INDEX(LdgNoteB,$M542)),""))</f>
        <v/>
      </c>
      <c r="F542" s="26">
        <f>IF($L542&lt;&gt;"",IF(INDEX(SCNet,$L542)=0,"",INDEX(SCNet,$L542)),"")</f>
        <v/>
      </c>
      <c r="G542" s="27">
        <f>IF($L542&lt;&gt;"",IF(INDEX(SCOp,$L542)="مرجوعی فروش","",IF(INDEX(SCAmount,$L542)&lt;=0,"",INDEX(SCAmount,$L542))),IF($M542&lt;&gt;"",IF(INDEX(LdgWitB,$M542)=0,"",INDEX(LdgWitB,$M542)),""))</f>
        <v/>
      </c>
      <c r="H542" s="27">
        <f>IF($L542&lt;&gt;"",IF(INDEX(SCOp,$L542)="مرجوعی فروش",IF(INDEX(SCAmount,$L542)=0,"",-INDEX(SCAmount,$L542)),""),IF($M542&lt;&gt;"",IF(INDEX(LdgDepB,$M542)=0,"",INDEX(LdgDepB,$M542)),""))</f>
        <v/>
      </c>
      <c r="I542" s="28">
        <f>IF($B542="","",IF($I541="",$C$10,$I541)+IF($G542="",0,$G542)-IF($H542="",0,$H542))</f>
        <v/>
      </c>
      <c r="L542">
        <f>IFERROR(MATCH($C$5&amp;"|"&amp;RIGHT("000000"&amp;526,6),LdgRankKeyA,0),"")</f>
        <v/>
      </c>
      <c r="M542">
        <f>IFERROR(MATCH($C$5&amp;"|"&amp;RIGHT("000000"&amp;526,6),LdgRankKeyB,0),"")</f>
        <v/>
      </c>
    </row>
    <row r="543">
      <c r="A543" s="17" t="n">
        <v>527</v>
      </c>
      <c r="B543" s="18">
        <f>IF(AND($L543="",$M543=""),"",IF($L543&lt;&gt;"",INDEX(SCNormDate,$L543),INDEX(LdgDateB,$M543)))</f>
        <v/>
      </c>
      <c r="C543" s="18">
        <f>IF($L543&lt;&gt;"",INDEX(SCOp,$L543),IF($M543&lt;&gt;"","پرداخت بانکی",""))</f>
        <v/>
      </c>
      <c r="D543" s="18">
        <f>IF($L543&lt;&gt;"",IF(INDEX(SCDoc,$L543)="","—",INDEX(SCDoc,$L543)),IF($M543&lt;&gt;"",INDEX(LdgBankB,$M543),""))</f>
        <v/>
      </c>
      <c r="E543" s="19">
        <f>IF($L543&lt;&gt;"",IF(INDEX(SCCitrus,$L543)&amp;INDEX(SCNotes,$L543)="","",IF(INDEX(SCCitrus,$L543)="","",INDEX(SCCitrus,$L543))&amp;IF(INDEX(SCNotes,$L543)="",""," — "&amp;INDEX(SCNotes,$L543))),IF($M543&lt;&gt;"",IF(INDEX(LdgNoteB,$M543)="","—",INDEX(LdgNoteB,$M543)),""))</f>
        <v/>
      </c>
      <c r="F543" s="20">
        <f>IF($L543&lt;&gt;"",IF(INDEX(SCNet,$L543)=0,"",INDEX(SCNet,$L543)),"")</f>
        <v/>
      </c>
      <c r="G543" s="21">
        <f>IF($L543&lt;&gt;"",IF(INDEX(SCOp,$L543)="مرجوعی فروش","",IF(INDEX(SCAmount,$L543)&lt;=0,"",INDEX(SCAmount,$L543))),IF($M543&lt;&gt;"",IF(INDEX(LdgWitB,$M543)=0,"",INDEX(LdgWitB,$M543)),""))</f>
        <v/>
      </c>
      <c r="H543" s="21">
        <f>IF($L543&lt;&gt;"",IF(INDEX(SCOp,$L543)="مرجوعی فروش",IF(INDEX(SCAmount,$L543)=0,"",-INDEX(SCAmount,$L543)),""),IF($M543&lt;&gt;"",IF(INDEX(LdgDepB,$M543)=0,"",INDEX(LdgDepB,$M543)),""))</f>
        <v/>
      </c>
      <c r="I543" s="22">
        <f>IF($B543="","",IF($I542="",$C$10,$I542)+IF($G543="",0,$G543)-IF($H543="",0,$H543))</f>
        <v/>
      </c>
      <c r="L543">
        <f>IFERROR(MATCH($C$5&amp;"|"&amp;RIGHT("000000"&amp;527,6),LdgRankKeyA,0),"")</f>
        <v/>
      </c>
      <c r="M543">
        <f>IFERROR(MATCH($C$5&amp;"|"&amp;RIGHT("000000"&amp;527,6),LdgRankKeyB,0),"")</f>
        <v/>
      </c>
    </row>
    <row r="544">
      <c r="A544" s="23" t="n">
        <v>528</v>
      </c>
      <c r="B544" s="24">
        <f>IF(AND($L544="",$M544=""),"",IF($L544&lt;&gt;"",INDEX(SCNormDate,$L544),INDEX(LdgDateB,$M544)))</f>
        <v/>
      </c>
      <c r="C544" s="24">
        <f>IF($L544&lt;&gt;"",INDEX(SCOp,$L544),IF($M544&lt;&gt;"","پرداخت بانکی",""))</f>
        <v/>
      </c>
      <c r="D544" s="24">
        <f>IF($L544&lt;&gt;"",IF(INDEX(SCDoc,$L544)="","—",INDEX(SCDoc,$L544)),IF($M544&lt;&gt;"",INDEX(LdgBankB,$M544),""))</f>
        <v/>
      </c>
      <c r="E544" s="25">
        <f>IF($L544&lt;&gt;"",IF(INDEX(SCCitrus,$L544)&amp;INDEX(SCNotes,$L544)="","",IF(INDEX(SCCitrus,$L544)="","",INDEX(SCCitrus,$L544))&amp;IF(INDEX(SCNotes,$L544)="",""," — "&amp;INDEX(SCNotes,$L544))),IF($M544&lt;&gt;"",IF(INDEX(LdgNoteB,$M544)="","—",INDEX(LdgNoteB,$M544)),""))</f>
        <v/>
      </c>
      <c r="F544" s="26">
        <f>IF($L544&lt;&gt;"",IF(INDEX(SCNet,$L544)=0,"",INDEX(SCNet,$L544)),"")</f>
        <v/>
      </c>
      <c r="G544" s="27">
        <f>IF($L544&lt;&gt;"",IF(INDEX(SCOp,$L544)="مرجوعی فروش","",IF(INDEX(SCAmount,$L544)&lt;=0,"",INDEX(SCAmount,$L544))),IF($M544&lt;&gt;"",IF(INDEX(LdgWitB,$M544)=0,"",INDEX(LdgWitB,$M544)),""))</f>
        <v/>
      </c>
      <c r="H544" s="27">
        <f>IF($L544&lt;&gt;"",IF(INDEX(SCOp,$L544)="مرجوعی فروش",IF(INDEX(SCAmount,$L544)=0,"",-INDEX(SCAmount,$L544)),""),IF($M544&lt;&gt;"",IF(INDEX(LdgDepB,$M544)=0,"",INDEX(LdgDepB,$M544)),""))</f>
        <v/>
      </c>
      <c r="I544" s="28">
        <f>IF($B544="","",IF($I543="",$C$10,$I543)+IF($G544="",0,$G544)-IF($H544="",0,$H544))</f>
        <v/>
      </c>
      <c r="L544">
        <f>IFERROR(MATCH($C$5&amp;"|"&amp;RIGHT("000000"&amp;528,6),LdgRankKeyA,0),"")</f>
        <v/>
      </c>
      <c r="M544">
        <f>IFERROR(MATCH($C$5&amp;"|"&amp;RIGHT("000000"&amp;528,6),LdgRankKeyB,0),"")</f>
        <v/>
      </c>
    </row>
    <row r="545">
      <c r="A545" s="17" t="n">
        <v>529</v>
      </c>
      <c r="B545" s="18">
        <f>IF(AND($L545="",$M545=""),"",IF($L545&lt;&gt;"",INDEX(SCNormDate,$L545),INDEX(LdgDateB,$M545)))</f>
        <v/>
      </c>
      <c r="C545" s="18">
        <f>IF($L545&lt;&gt;"",INDEX(SCOp,$L545),IF($M545&lt;&gt;"","پرداخت بانکی",""))</f>
        <v/>
      </c>
      <c r="D545" s="18">
        <f>IF($L545&lt;&gt;"",IF(INDEX(SCDoc,$L545)="","—",INDEX(SCDoc,$L545)),IF($M545&lt;&gt;"",INDEX(LdgBankB,$M545),""))</f>
        <v/>
      </c>
      <c r="E545" s="19">
        <f>IF($L545&lt;&gt;"",IF(INDEX(SCCitrus,$L545)&amp;INDEX(SCNotes,$L545)="","",IF(INDEX(SCCitrus,$L545)="","",INDEX(SCCitrus,$L545))&amp;IF(INDEX(SCNotes,$L545)="",""," — "&amp;INDEX(SCNotes,$L545))),IF($M545&lt;&gt;"",IF(INDEX(LdgNoteB,$M545)="","—",INDEX(LdgNoteB,$M545)),""))</f>
        <v/>
      </c>
      <c r="F545" s="20">
        <f>IF($L545&lt;&gt;"",IF(INDEX(SCNet,$L545)=0,"",INDEX(SCNet,$L545)),"")</f>
        <v/>
      </c>
      <c r="G545" s="21">
        <f>IF($L545&lt;&gt;"",IF(INDEX(SCOp,$L545)="مرجوعی فروش","",IF(INDEX(SCAmount,$L545)&lt;=0,"",INDEX(SCAmount,$L545))),IF($M545&lt;&gt;"",IF(INDEX(LdgWitB,$M545)=0,"",INDEX(LdgWitB,$M545)),""))</f>
        <v/>
      </c>
      <c r="H545" s="21">
        <f>IF($L545&lt;&gt;"",IF(INDEX(SCOp,$L545)="مرجوعی فروش",IF(INDEX(SCAmount,$L545)=0,"",-INDEX(SCAmount,$L545)),""),IF($M545&lt;&gt;"",IF(INDEX(LdgDepB,$M545)=0,"",INDEX(LdgDepB,$M545)),""))</f>
        <v/>
      </c>
      <c r="I545" s="22">
        <f>IF($B545="","",IF($I544="",$C$10,$I544)+IF($G545="",0,$G545)-IF($H545="",0,$H545))</f>
        <v/>
      </c>
      <c r="L545">
        <f>IFERROR(MATCH($C$5&amp;"|"&amp;RIGHT("000000"&amp;529,6),LdgRankKeyA,0),"")</f>
        <v/>
      </c>
      <c r="M545">
        <f>IFERROR(MATCH($C$5&amp;"|"&amp;RIGHT("000000"&amp;529,6),LdgRankKeyB,0),"")</f>
        <v/>
      </c>
    </row>
    <row r="546">
      <c r="A546" s="23" t="n">
        <v>530</v>
      </c>
      <c r="B546" s="24">
        <f>IF(AND($L546="",$M546=""),"",IF($L546&lt;&gt;"",INDEX(SCNormDate,$L546),INDEX(LdgDateB,$M546)))</f>
        <v/>
      </c>
      <c r="C546" s="24">
        <f>IF($L546&lt;&gt;"",INDEX(SCOp,$L546),IF($M546&lt;&gt;"","پرداخت بانکی",""))</f>
        <v/>
      </c>
      <c r="D546" s="24">
        <f>IF($L546&lt;&gt;"",IF(INDEX(SCDoc,$L546)="","—",INDEX(SCDoc,$L546)),IF($M546&lt;&gt;"",INDEX(LdgBankB,$M546),""))</f>
        <v/>
      </c>
      <c r="E546" s="25">
        <f>IF($L546&lt;&gt;"",IF(INDEX(SCCitrus,$L546)&amp;INDEX(SCNotes,$L546)="","",IF(INDEX(SCCitrus,$L546)="","",INDEX(SCCitrus,$L546))&amp;IF(INDEX(SCNotes,$L546)="",""," — "&amp;INDEX(SCNotes,$L546))),IF($M546&lt;&gt;"",IF(INDEX(LdgNoteB,$M546)="","—",INDEX(LdgNoteB,$M546)),""))</f>
        <v/>
      </c>
      <c r="F546" s="26">
        <f>IF($L546&lt;&gt;"",IF(INDEX(SCNet,$L546)=0,"",INDEX(SCNet,$L546)),"")</f>
        <v/>
      </c>
      <c r="G546" s="27">
        <f>IF($L546&lt;&gt;"",IF(INDEX(SCOp,$L546)="مرجوعی فروش","",IF(INDEX(SCAmount,$L546)&lt;=0,"",INDEX(SCAmount,$L546))),IF($M546&lt;&gt;"",IF(INDEX(LdgWitB,$M546)=0,"",INDEX(LdgWitB,$M546)),""))</f>
        <v/>
      </c>
      <c r="H546" s="27">
        <f>IF($L546&lt;&gt;"",IF(INDEX(SCOp,$L546)="مرجوعی فروش",IF(INDEX(SCAmount,$L546)=0,"",-INDEX(SCAmount,$L546)),""),IF($M546&lt;&gt;"",IF(INDEX(LdgDepB,$M546)=0,"",INDEX(LdgDepB,$M546)),""))</f>
        <v/>
      </c>
      <c r="I546" s="28">
        <f>IF($B546="","",IF($I545="",$C$10,$I545)+IF($G546="",0,$G546)-IF($H546="",0,$H546))</f>
        <v/>
      </c>
      <c r="L546">
        <f>IFERROR(MATCH($C$5&amp;"|"&amp;RIGHT("000000"&amp;530,6),LdgRankKeyA,0),"")</f>
        <v/>
      </c>
      <c r="M546">
        <f>IFERROR(MATCH($C$5&amp;"|"&amp;RIGHT("000000"&amp;530,6),LdgRankKeyB,0),"")</f>
        <v/>
      </c>
    </row>
    <row r="547">
      <c r="A547" s="17" t="n">
        <v>531</v>
      </c>
      <c r="B547" s="18">
        <f>IF(AND($L547="",$M547=""),"",IF($L547&lt;&gt;"",INDEX(SCNormDate,$L547),INDEX(LdgDateB,$M547)))</f>
        <v/>
      </c>
      <c r="C547" s="18">
        <f>IF($L547&lt;&gt;"",INDEX(SCOp,$L547),IF($M547&lt;&gt;"","پرداخت بانکی",""))</f>
        <v/>
      </c>
      <c r="D547" s="18">
        <f>IF($L547&lt;&gt;"",IF(INDEX(SCDoc,$L547)="","—",INDEX(SCDoc,$L547)),IF($M547&lt;&gt;"",INDEX(LdgBankB,$M547),""))</f>
        <v/>
      </c>
      <c r="E547" s="19">
        <f>IF($L547&lt;&gt;"",IF(INDEX(SCCitrus,$L547)&amp;INDEX(SCNotes,$L547)="","",IF(INDEX(SCCitrus,$L547)="","",INDEX(SCCitrus,$L547))&amp;IF(INDEX(SCNotes,$L547)="",""," — "&amp;INDEX(SCNotes,$L547))),IF($M547&lt;&gt;"",IF(INDEX(LdgNoteB,$M547)="","—",INDEX(LdgNoteB,$M547)),""))</f>
        <v/>
      </c>
      <c r="F547" s="20">
        <f>IF($L547&lt;&gt;"",IF(INDEX(SCNet,$L547)=0,"",INDEX(SCNet,$L547)),"")</f>
        <v/>
      </c>
      <c r="G547" s="21">
        <f>IF($L547&lt;&gt;"",IF(INDEX(SCOp,$L547)="مرجوعی فروش","",IF(INDEX(SCAmount,$L547)&lt;=0,"",INDEX(SCAmount,$L547))),IF($M547&lt;&gt;"",IF(INDEX(LdgWitB,$M547)=0,"",INDEX(LdgWitB,$M547)),""))</f>
        <v/>
      </c>
      <c r="H547" s="21">
        <f>IF($L547&lt;&gt;"",IF(INDEX(SCOp,$L547)="مرجوعی فروش",IF(INDEX(SCAmount,$L547)=0,"",-INDEX(SCAmount,$L547)),""),IF($M547&lt;&gt;"",IF(INDEX(LdgDepB,$M547)=0,"",INDEX(LdgDepB,$M547)),""))</f>
        <v/>
      </c>
      <c r="I547" s="22">
        <f>IF($B547="","",IF($I546="",$C$10,$I546)+IF($G547="",0,$G547)-IF($H547="",0,$H547))</f>
        <v/>
      </c>
      <c r="L547">
        <f>IFERROR(MATCH($C$5&amp;"|"&amp;RIGHT("000000"&amp;531,6),LdgRankKeyA,0),"")</f>
        <v/>
      </c>
      <c r="M547">
        <f>IFERROR(MATCH($C$5&amp;"|"&amp;RIGHT("000000"&amp;531,6),LdgRankKeyB,0),"")</f>
        <v/>
      </c>
    </row>
    <row r="548">
      <c r="A548" s="23" t="n">
        <v>532</v>
      </c>
      <c r="B548" s="24">
        <f>IF(AND($L548="",$M548=""),"",IF($L548&lt;&gt;"",INDEX(SCNormDate,$L548),INDEX(LdgDateB,$M548)))</f>
        <v/>
      </c>
      <c r="C548" s="24">
        <f>IF($L548&lt;&gt;"",INDEX(SCOp,$L548),IF($M548&lt;&gt;"","پرداخت بانکی",""))</f>
        <v/>
      </c>
      <c r="D548" s="24">
        <f>IF($L548&lt;&gt;"",IF(INDEX(SCDoc,$L548)="","—",INDEX(SCDoc,$L548)),IF($M548&lt;&gt;"",INDEX(LdgBankB,$M548),""))</f>
        <v/>
      </c>
      <c r="E548" s="25">
        <f>IF($L548&lt;&gt;"",IF(INDEX(SCCitrus,$L548)&amp;INDEX(SCNotes,$L548)="","",IF(INDEX(SCCitrus,$L548)="","",INDEX(SCCitrus,$L548))&amp;IF(INDEX(SCNotes,$L548)="",""," — "&amp;INDEX(SCNotes,$L548))),IF($M548&lt;&gt;"",IF(INDEX(LdgNoteB,$M548)="","—",INDEX(LdgNoteB,$M548)),""))</f>
        <v/>
      </c>
      <c r="F548" s="26">
        <f>IF($L548&lt;&gt;"",IF(INDEX(SCNet,$L548)=0,"",INDEX(SCNet,$L548)),"")</f>
        <v/>
      </c>
      <c r="G548" s="27">
        <f>IF($L548&lt;&gt;"",IF(INDEX(SCOp,$L548)="مرجوعی فروش","",IF(INDEX(SCAmount,$L548)&lt;=0,"",INDEX(SCAmount,$L548))),IF($M548&lt;&gt;"",IF(INDEX(LdgWitB,$M548)=0,"",INDEX(LdgWitB,$M548)),""))</f>
        <v/>
      </c>
      <c r="H548" s="27">
        <f>IF($L548&lt;&gt;"",IF(INDEX(SCOp,$L548)="مرجوعی فروش",IF(INDEX(SCAmount,$L548)=0,"",-INDEX(SCAmount,$L548)),""),IF($M548&lt;&gt;"",IF(INDEX(LdgDepB,$M548)=0,"",INDEX(LdgDepB,$M548)),""))</f>
        <v/>
      </c>
      <c r="I548" s="28">
        <f>IF($B548="","",IF($I547="",$C$10,$I547)+IF($G548="",0,$G548)-IF($H548="",0,$H548))</f>
        <v/>
      </c>
      <c r="L548">
        <f>IFERROR(MATCH($C$5&amp;"|"&amp;RIGHT("000000"&amp;532,6),LdgRankKeyA,0),"")</f>
        <v/>
      </c>
      <c r="M548">
        <f>IFERROR(MATCH($C$5&amp;"|"&amp;RIGHT("000000"&amp;532,6),LdgRankKeyB,0),"")</f>
        <v/>
      </c>
    </row>
    <row r="549">
      <c r="A549" s="17" t="n">
        <v>533</v>
      </c>
      <c r="B549" s="18">
        <f>IF(AND($L549="",$M549=""),"",IF($L549&lt;&gt;"",INDEX(SCNormDate,$L549),INDEX(LdgDateB,$M549)))</f>
        <v/>
      </c>
      <c r="C549" s="18">
        <f>IF($L549&lt;&gt;"",INDEX(SCOp,$L549),IF($M549&lt;&gt;"","پرداخت بانکی",""))</f>
        <v/>
      </c>
      <c r="D549" s="18">
        <f>IF($L549&lt;&gt;"",IF(INDEX(SCDoc,$L549)="","—",INDEX(SCDoc,$L549)),IF($M549&lt;&gt;"",INDEX(LdgBankB,$M549),""))</f>
        <v/>
      </c>
      <c r="E549" s="19">
        <f>IF($L549&lt;&gt;"",IF(INDEX(SCCitrus,$L549)&amp;INDEX(SCNotes,$L549)="","",IF(INDEX(SCCitrus,$L549)="","",INDEX(SCCitrus,$L549))&amp;IF(INDEX(SCNotes,$L549)="",""," — "&amp;INDEX(SCNotes,$L549))),IF($M549&lt;&gt;"",IF(INDEX(LdgNoteB,$M549)="","—",INDEX(LdgNoteB,$M549)),""))</f>
        <v/>
      </c>
      <c r="F549" s="20">
        <f>IF($L549&lt;&gt;"",IF(INDEX(SCNet,$L549)=0,"",INDEX(SCNet,$L549)),"")</f>
        <v/>
      </c>
      <c r="G549" s="21">
        <f>IF($L549&lt;&gt;"",IF(INDEX(SCOp,$L549)="مرجوعی فروش","",IF(INDEX(SCAmount,$L549)&lt;=0,"",INDEX(SCAmount,$L549))),IF($M549&lt;&gt;"",IF(INDEX(LdgWitB,$M549)=0,"",INDEX(LdgWitB,$M549)),""))</f>
        <v/>
      </c>
      <c r="H549" s="21">
        <f>IF($L549&lt;&gt;"",IF(INDEX(SCOp,$L549)="مرجوعی فروش",IF(INDEX(SCAmount,$L549)=0,"",-INDEX(SCAmount,$L549)),""),IF($M549&lt;&gt;"",IF(INDEX(LdgDepB,$M549)=0,"",INDEX(LdgDepB,$M549)),""))</f>
        <v/>
      </c>
      <c r="I549" s="22">
        <f>IF($B549="","",IF($I548="",$C$10,$I548)+IF($G549="",0,$G549)-IF($H549="",0,$H549))</f>
        <v/>
      </c>
      <c r="L549">
        <f>IFERROR(MATCH($C$5&amp;"|"&amp;RIGHT("000000"&amp;533,6),LdgRankKeyA,0),"")</f>
        <v/>
      </c>
      <c r="M549">
        <f>IFERROR(MATCH($C$5&amp;"|"&amp;RIGHT("000000"&amp;533,6),LdgRankKeyB,0),"")</f>
        <v/>
      </c>
    </row>
    <row r="550">
      <c r="A550" s="23" t="n">
        <v>534</v>
      </c>
      <c r="B550" s="24">
        <f>IF(AND($L550="",$M550=""),"",IF($L550&lt;&gt;"",INDEX(SCNormDate,$L550),INDEX(LdgDateB,$M550)))</f>
        <v/>
      </c>
      <c r="C550" s="24">
        <f>IF($L550&lt;&gt;"",INDEX(SCOp,$L550),IF($M550&lt;&gt;"","پرداخت بانکی",""))</f>
        <v/>
      </c>
      <c r="D550" s="24">
        <f>IF($L550&lt;&gt;"",IF(INDEX(SCDoc,$L550)="","—",INDEX(SCDoc,$L550)),IF($M550&lt;&gt;"",INDEX(LdgBankB,$M550),""))</f>
        <v/>
      </c>
      <c r="E550" s="25">
        <f>IF($L550&lt;&gt;"",IF(INDEX(SCCitrus,$L550)&amp;INDEX(SCNotes,$L550)="","",IF(INDEX(SCCitrus,$L550)="","",INDEX(SCCitrus,$L550))&amp;IF(INDEX(SCNotes,$L550)="",""," — "&amp;INDEX(SCNotes,$L550))),IF($M550&lt;&gt;"",IF(INDEX(LdgNoteB,$M550)="","—",INDEX(LdgNoteB,$M550)),""))</f>
        <v/>
      </c>
      <c r="F550" s="26">
        <f>IF($L550&lt;&gt;"",IF(INDEX(SCNet,$L550)=0,"",INDEX(SCNet,$L550)),"")</f>
        <v/>
      </c>
      <c r="G550" s="27">
        <f>IF($L550&lt;&gt;"",IF(INDEX(SCOp,$L550)="مرجوعی فروش","",IF(INDEX(SCAmount,$L550)&lt;=0,"",INDEX(SCAmount,$L550))),IF($M550&lt;&gt;"",IF(INDEX(LdgWitB,$M550)=0,"",INDEX(LdgWitB,$M550)),""))</f>
        <v/>
      </c>
      <c r="H550" s="27">
        <f>IF($L550&lt;&gt;"",IF(INDEX(SCOp,$L550)="مرجوعی فروش",IF(INDEX(SCAmount,$L550)=0,"",-INDEX(SCAmount,$L550)),""),IF($M550&lt;&gt;"",IF(INDEX(LdgDepB,$M550)=0,"",INDEX(LdgDepB,$M550)),""))</f>
        <v/>
      </c>
      <c r="I550" s="28">
        <f>IF($B550="","",IF($I549="",$C$10,$I549)+IF($G550="",0,$G550)-IF($H550="",0,$H550))</f>
        <v/>
      </c>
      <c r="L550">
        <f>IFERROR(MATCH($C$5&amp;"|"&amp;RIGHT("000000"&amp;534,6),LdgRankKeyA,0),"")</f>
        <v/>
      </c>
      <c r="M550">
        <f>IFERROR(MATCH($C$5&amp;"|"&amp;RIGHT("000000"&amp;534,6),LdgRankKeyB,0),"")</f>
        <v/>
      </c>
    </row>
    <row r="551">
      <c r="A551" s="17" t="n">
        <v>535</v>
      </c>
      <c r="B551" s="18">
        <f>IF(AND($L551="",$M551=""),"",IF($L551&lt;&gt;"",INDEX(SCNormDate,$L551),INDEX(LdgDateB,$M551)))</f>
        <v/>
      </c>
      <c r="C551" s="18">
        <f>IF($L551&lt;&gt;"",INDEX(SCOp,$L551),IF($M551&lt;&gt;"","پرداخت بانکی",""))</f>
        <v/>
      </c>
      <c r="D551" s="18">
        <f>IF($L551&lt;&gt;"",IF(INDEX(SCDoc,$L551)="","—",INDEX(SCDoc,$L551)),IF($M551&lt;&gt;"",INDEX(LdgBankB,$M551),""))</f>
        <v/>
      </c>
      <c r="E551" s="19">
        <f>IF($L551&lt;&gt;"",IF(INDEX(SCCitrus,$L551)&amp;INDEX(SCNotes,$L551)="","",IF(INDEX(SCCitrus,$L551)="","",INDEX(SCCitrus,$L551))&amp;IF(INDEX(SCNotes,$L551)="",""," — "&amp;INDEX(SCNotes,$L551))),IF($M551&lt;&gt;"",IF(INDEX(LdgNoteB,$M551)="","—",INDEX(LdgNoteB,$M551)),""))</f>
        <v/>
      </c>
      <c r="F551" s="20">
        <f>IF($L551&lt;&gt;"",IF(INDEX(SCNet,$L551)=0,"",INDEX(SCNet,$L551)),"")</f>
        <v/>
      </c>
      <c r="G551" s="21">
        <f>IF($L551&lt;&gt;"",IF(INDEX(SCOp,$L551)="مرجوعی فروش","",IF(INDEX(SCAmount,$L551)&lt;=0,"",INDEX(SCAmount,$L551))),IF($M551&lt;&gt;"",IF(INDEX(LdgWitB,$M551)=0,"",INDEX(LdgWitB,$M551)),""))</f>
        <v/>
      </c>
      <c r="H551" s="21">
        <f>IF($L551&lt;&gt;"",IF(INDEX(SCOp,$L551)="مرجوعی فروش",IF(INDEX(SCAmount,$L551)=0,"",-INDEX(SCAmount,$L551)),""),IF($M551&lt;&gt;"",IF(INDEX(LdgDepB,$M551)=0,"",INDEX(LdgDepB,$M551)),""))</f>
        <v/>
      </c>
      <c r="I551" s="22">
        <f>IF($B551="","",IF($I550="",$C$10,$I550)+IF($G551="",0,$G551)-IF($H551="",0,$H551))</f>
        <v/>
      </c>
      <c r="L551">
        <f>IFERROR(MATCH($C$5&amp;"|"&amp;RIGHT("000000"&amp;535,6),LdgRankKeyA,0),"")</f>
        <v/>
      </c>
      <c r="M551">
        <f>IFERROR(MATCH($C$5&amp;"|"&amp;RIGHT("000000"&amp;535,6),LdgRankKeyB,0),"")</f>
        <v/>
      </c>
    </row>
    <row r="552">
      <c r="A552" s="23" t="n">
        <v>536</v>
      </c>
      <c r="B552" s="24">
        <f>IF(AND($L552="",$M552=""),"",IF($L552&lt;&gt;"",INDEX(SCNormDate,$L552),INDEX(LdgDateB,$M552)))</f>
        <v/>
      </c>
      <c r="C552" s="24">
        <f>IF($L552&lt;&gt;"",INDEX(SCOp,$L552),IF($M552&lt;&gt;"","پرداخت بانکی",""))</f>
        <v/>
      </c>
      <c r="D552" s="24">
        <f>IF($L552&lt;&gt;"",IF(INDEX(SCDoc,$L552)="","—",INDEX(SCDoc,$L552)),IF($M552&lt;&gt;"",INDEX(LdgBankB,$M552),""))</f>
        <v/>
      </c>
      <c r="E552" s="25">
        <f>IF($L552&lt;&gt;"",IF(INDEX(SCCitrus,$L552)&amp;INDEX(SCNotes,$L552)="","",IF(INDEX(SCCitrus,$L552)="","",INDEX(SCCitrus,$L552))&amp;IF(INDEX(SCNotes,$L552)="",""," — "&amp;INDEX(SCNotes,$L552))),IF($M552&lt;&gt;"",IF(INDEX(LdgNoteB,$M552)="","—",INDEX(LdgNoteB,$M552)),""))</f>
        <v/>
      </c>
      <c r="F552" s="26">
        <f>IF($L552&lt;&gt;"",IF(INDEX(SCNet,$L552)=0,"",INDEX(SCNet,$L552)),"")</f>
        <v/>
      </c>
      <c r="G552" s="27">
        <f>IF($L552&lt;&gt;"",IF(INDEX(SCOp,$L552)="مرجوعی فروش","",IF(INDEX(SCAmount,$L552)&lt;=0,"",INDEX(SCAmount,$L552))),IF($M552&lt;&gt;"",IF(INDEX(LdgWitB,$M552)=0,"",INDEX(LdgWitB,$M552)),""))</f>
        <v/>
      </c>
      <c r="H552" s="27">
        <f>IF($L552&lt;&gt;"",IF(INDEX(SCOp,$L552)="مرجوعی فروش",IF(INDEX(SCAmount,$L552)=0,"",-INDEX(SCAmount,$L552)),""),IF($M552&lt;&gt;"",IF(INDEX(LdgDepB,$M552)=0,"",INDEX(LdgDepB,$M552)),""))</f>
        <v/>
      </c>
      <c r="I552" s="28">
        <f>IF($B552="","",IF($I551="",$C$10,$I551)+IF($G552="",0,$G552)-IF($H552="",0,$H552))</f>
        <v/>
      </c>
      <c r="L552">
        <f>IFERROR(MATCH($C$5&amp;"|"&amp;RIGHT("000000"&amp;536,6),LdgRankKeyA,0),"")</f>
        <v/>
      </c>
      <c r="M552">
        <f>IFERROR(MATCH($C$5&amp;"|"&amp;RIGHT("000000"&amp;536,6),LdgRankKeyB,0),"")</f>
        <v/>
      </c>
    </row>
    <row r="553">
      <c r="A553" s="17" t="n">
        <v>537</v>
      </c>
      <c r="B553" s="18">
        <f>IF(AND($L553="",$M553=""),"",IF($L553&lt;&gt;"",INDEX(SCNormDate,$L553),INDEX(LdgDateB,$M553)))</f>
        <v/>
      </c>
      <c r="C553" s="18">
        <f>IF($L553&lt;&gt;"",INDEX(SCOp,$L553),IF($M553&lt;&gt;"","پرداخت بانکی",""))</f>
        <v/>
      </c>
      <c r="D553" s="18">
        <f>IF($L553&lt;&gt;"",IF(INDEX(SCDoc,$L553)="","—",INDEX(SCDoc,$L553)),IF($M553&lt;&gt;"",INDEX(LdgBankB,$M553),""))</f>
        <v/>
      </c>
      <c r="E553" s="19">
        <f>IF($L553&lt;&gt;"",IF(INDEX(SCCitrus,$L553)&amp;INDEX(SCNotes,$L553)="","",IF(INDEX(SCCitrus,$L553)="","",INDEX(SCCitrus,$L553))&amp;IF(INDEX(SCNotes,$L553)="",""," — "&amp;INDEX(SCNotes,$L553))),IF($M553&lt;&gt;"",IF(INDEX(LdgNoteB,$M553)="","—",INDEX(LdgNoteB,$M553)),""))</f>
        <v/>
      </c>
      <c r="F553" s="20">
        <f>IF($L553&lt;&gt;"",IF(INDEX(SCNet,$L553)=0,"",INDEX(SCNet,$L553)),"")</f>
        <v/>
      </c>
      <c r="G553" s="21">
        <f>IF($L553&lt;&gt;"",IF(INDEX(SCOp,$L553)="مرجوعی فروش","",IF(INDEX(SCAmount,$L553)&lt;=0,"",INDEX(SCAmount,$L553))),IF($M553&lt;&gt;"",IF(INDEX(LdgWitB,$M553)=0,"",INDEX(LdgWitB,$M553)),""))</f>
        <v/>
      </c>
      <c r="H553" s="21">
        <f>IF($L553&lt;&gt;"",IF(INDEX(SCOp,$L553)="مرجوعی فروش",IF(INDEX(SCAmount,$L553)=0,"",-INDEX(SCAmount,$L553)),""),IF($M553&lt;&gt;"",IF(INDEX(LdgDepB,$M553)=0,"",INDEX(LdgDepB,$M553)),""))</f>
        <v/>
      </c>
      <c r="I553" s="22">
        <f>IF($B553="","",IF($I552="",$C$10,$I552)+IF($G553="",0,$G553)-IF($H553="",0,$H553))</f>
        <v/>
      </c>
      <c r="L553">
        <f>IFERROR(MATCH($C$5&amp;"|"&amp;RIGHT("000000"&amp;537,6),LdgRankKeyA,0),"")</f>
        <v/>
      </c>
      <c r="M553">
        <f>IFERROR(MATCH($C$5&amp;"|"&amp;RIGHT("000000"&amp;537,6),LdgRankKeyB,0),"")</f>
        <v/>
      </c>
    </row>
    <row r="554">
      <c r="A554" s="23" t="n">
        <v>538</v>
      </c>
      <c r="B554" s="24">
        <f>IF(AND($L554="",$M554=""),"",IF($L554&lt;&gt;"",INDEX(SCNormDate,$L554),INDEX(LdgDateB,$M554)))</f>
        <v/>
      </c>
      <c r="C554" s="24">
        <f>IF($L554&lt;&gt;"",INDEX(SCOp,$L554),IF($M554&lt;&gt;"","پرداخت بانکی",""))</f>
        <v/>
      </c>
      <c r="D554" s="24">
        <f>IF($L554&lt;&gt;"",IF(INDEX(SCDoc,$L554)="","—",INDEX(SCDoc,$L554)),IF($M554&lt;&gt;"",INDEX(LdgBankB,$M554),""))</f>
        <v/>
      </c>
      <c r="E554" s="25">
        <f>IF($L554&lt;&gt;"",IF(INDEX(SCCitrus,$L554)&amp;INDEX(SCNotes,$L554)="","",IF(INDEX(SCCitrus,$L554)="","",INDEX(SCCitrus,$L554))&amp;IF(INDEX(SCNotes,$L554)="",""," — "&amp;INDEX(SCNotes,$L554))),IF($M554&lt;&gt;"",IF(INDEX(LdgNoteB,$M554)="","—",INDEX(LdgNoteB,$M554)),""))</f>
        <v/>
      </c>
      <c r="F554" s="26">
        <f>IF($L554&lt;&gt;"",IF(INDEX(SCNet,$L554)=0,"",INDEX(SCNet,$L554)),"")</f>
        <v/>
      </c>
      <c r="G554" s="27">
        <f>IF($L554&lt;&gt;"",IF(INDEX(SCOp,$L554)="مرجوعی فروش","",IF(INDEX(SCAmount,$L554)&lt;=0,"",INDEX(SCAmount,$L554))),IF($M554&lt;&gt;"",IF(INDEX(LdgWitB,$M554)=0,"",INDEX(LdgWitB,$M554)),""))</f>
        <v/>
      </c>
      <c r="H554" s="27">
        <f>IF($L554&lt;&gt;"",IF(INDEX(SCOp,$L554)="مرجوعی فروش",IF(INDEX(SCAmount,$L554)=0,"",-INDEX(SCAmount,$L554)),""),IF($M554&lt;&gt;"",IF(INDEX(LdgDepB,$M554)=0,"",INDEX(LdgDepB,$M554)),""))</f>
        <v/>
      </c>
      <c r="I554" s="28">
        <f>IF($B554="","",IF($I553="",$C$10,$I553)+IF($G554="",0,$G554)-IF($H554="",0,$H554))</f>
        <v/>
      </c>
      <c r="L554">
        <f>IFERROR(MATCH($C$5&amp;"|"&amp;RIGHT("000000"&amp;538,6),LdgRankKeyA,0),"")</f>
        <v/>
      </c>
      <c r="M554">
        <f>IFERROR(MATCH($C$5&amp;"|"&amp;RIGHT("000000"&amp;538,6),LdgRankKeyB,0),"")</f>
        <v/>
      </c>
    </row>
    <row r="555">
      <c r="A555" s="17" t="n">
        <v>539</v>
      </c>
      <c r="B555" s="18">
        <f>IF(AND($L555="",$M555=""),"",IF($L555&lt;&gt;"",INDEX(SCNormDate,$L555),INDEX(LdgDateB,$M555)))</f>
        <v/>
      </c>
      <c r="C555" s="18">
        <f>IF($L555&lt;&gt;"",INDEX(SCOp,$L555),IF($M555&lt;&gt;"","پرداخت بانکی",""))</f>
        <v/>
      </c>
      <c r="D555" s="18">
        <f>IF($L555&lt;&gt;"",IF(INDEX(SCDoc,$L555)="","—",INDEX(SCDoc,$L555)),IF($M555&lt;&gt;"",INDEX(LdgBankB,$M555),""))</f>
        <v/>
      </c>
      <c r="E555" s="19">
        <f>IF($L555&lt;&gt;"",IF(INDEX(SCCitrus,$L555)&amp;INDEX(SCNotes,$L555)="","",IF(INDEX(SCCitrus,$L555)="","",INDEX(SCCitrus,$L555))&amp;IF(INDEX(SCNotes,$L555)="",""," — "&amp;INDEX(SCNotes,$L555))),IF($M555&lt;&gt;"",IF(INDEX(LdgNoteB,$M555)="","—",INDEX(LdgNoteB,$M555)),""))</f>
        <v/>
      </c>
      <c r="F555" s="20">
        <f>IF($L555&lt;&gt;"",IF(INDEX(SCNet,$L555)=0,"",INDEX(SCNet,$L555)),"")</f>
        <v/>
      </c>
      <c r="G555" s="21">
        <f>IF($L555&lt;&gt;"",IF(INDEX(SCOp,$L555)="مرجوعی فروش","",IF(INDEX(SCAmount,$L555)&lt;=0,"",INDEX(SCAmount,$L555))),IF($M555&lt;&gt;"",IF(INDEX(LdgWitB,$M555)=0,"",INDEX(LdgWitB,$M555)),""))</f>
        <v/>
      </c>
      <c r="H555" s="21">
        <f>IF($L555&lt;&gt;"",IF(INDEX(SCOp,$L555)="مرجوعی فروش",IF(INDEX(SCAmount,$L555)=0,"",-INDEX(SCAmount,$L555)),""),IF($M555&lt;&gt;"",IF(INDEX(LdgDepB,$M555)=0,"",INDEX(LdgDepB,$M555)),""))</f>
        <v/>
      </c>
      <c r="I555" s="22">
        <f>IF($B555="","",IF($I554="",$C$10,$I554)+IF($G555="",0,$G555)-IF($H555="",0,$H555))</f>
        <v/>
      </c>
      <c r="L555">
        <f>IFERROR(MATCH($C$5&amp;"|"&amp;RIGHT("000000"&amp;539,6),LdgRankKeyA,0),"")</f>
        <v/>
      </c>
      <c r="M555">
        <f>IFERROR(MATCH($C$5&amp;"|"&amp;RIGHT("000000"&amp;539,6),LdgRankKeyB,0),"")</f>
        <v/>
      </c>
    </row>
    <row r="556">
      <c r="A556" s="23" t="n">
        <v>540</v>
      </c>
      <c r="B556" s="24">
        <f>IF(AND($L556="",$M556=""),"",IF($L556&lt;&gt;"",INDEX(SCNormDate,$L556),INDEX(LdgDateB,$M556)))</f>
        <v/>
      </c>
      <c r="C556" s="24">
        <f>IF($L556&lt;&gt;"",INDEX(SCOp,$L556),IF($M556&lt;&gt;"","پرداخت بانکی",""))</f>
        <v/>
      </c>
      <c r="D556" s="24">
        <f>IF($L556&lt;&gt;"",IF(INDEX(SCDoc,$L556)="","—",INDEX(SCDoc,$L556)),IF($M556&lt;&gt;"",INDEX(LdgBankB,$M556),""))</f>
        <v/>
      </c>
      <c r="E556" s="25">
        <f>IF($L556&lt;&gt;"",IF(INDEX(SCCitrus,$L556)&amp;INDEX(SCNotes,$L556)="","",IF(INDEX(SCCitrus,$L556)="","",INDEX(SCCitrus,$L556))&amp;IF(INDEX(SCNotes,$L556)="",""," — "&amp;INDEX(SCNotes,$L556))),IF($M556&lt;&gt;"",IF(INDEX(LdgNoteB,$M556)="","—",INDEX(LdgNoteB,$M556)),""))</f>
        <v/>
      </c>
      <c r="F556" s="26">
        <f>IF($L556&lt;&gt;"",IF(INDEX(SCNet,$L556)=0,"",INDEX(SCNet,$L556)),"")</f>
        <v/>
      </c>
      <c r="G556" s="27">
        <f>IF($L556&lt;&gt;"",IF(INDEX(SCOp,$L556)="مرجوعی فروش","",IF(INDEX(SCAmount,$L556)&lt;=0,"",INDEX(SCAmount,$L556))),IF($M556&lt;&gt;"",IF(INDEX(LdgWitB,$M556)=0,"",INDEX(LdgWitB,$M556)),""))</f>
        <v/>
      </c>
      <c r="H556" s="27">
        <f>IF($L556&lt;&gt;"",IF(INDEX(SCOp,$L556)="مرجوعی فروش",IF(INDEX(SCAmount,$L556)=0,"",-INDEX(SCAmount,$L556)),""),IF($M556&lt;&gt;"",IF(INDEX(LdgDepB,$M556)=0,"",INDEX(LdgDepB,$M556)),""))</f>
        <v/>
      </c>
      <c r="I556" s="28">
        <f>IF($B556="","",IF($I555="",$C$10,$I555)+IF($G556="",0,$G556)-IF($H556="",0,$H556))</f>
        <v/>
      </c>
      <c r="L556">
        <f>IFERROR(MATCH($C$5&amp;"|"&amp;RIGHT("000000"&amp;540,6),LdgRankKeyA,0),"")</f>
        <v/>
      </c>
      <c r="M556">
        <f>IFERROR(MATCH($C$5&amp;"|"&amp;RIGHT("000000"&amp;540,6),LdgRankKeyB,0),"")</f>
        <v/>
      </c>
    </row>
    <row r="557">
      <c r="A557" s="17" t="n">
        <v>541</v>
      </c>
      <c r="B557" s="18">
        <f>IF(AND($L557="",$M557=""),"",IF($L557&lt;&gt;"",INDEX(SCNormDate,$L557),INDEX(LdgDateB,$M557)))</f>
        <v/>
      </c>
      <c r="C557" s="18">
        <f>IF($L557&lt;&gt;"",INDEX(SCOp,$L557),IF($M557&lt;&gt;"","پرداخت بانکی",""))</f>
        <v/>
      </c>
      <c r="D557" s="18">
        <f>IF($L557&lt;&gt;"",IF(INDEX(SCDoc,$L557)="","—",INDEX(SCDoc,$L557)),IF($M557&lt;&gt;"",INDEX(LdgBankB,$M557),""))</f>
        <v/>
      </c>
      <c r="E557" s="19">
        <f>IF($L557&lt;&gt;"",IF(INDEX(SCCitrus,$L557)&amp;INDEX(SCNotes,$L557)="","",IF(INDEX(SCCitrus,$L557)="","",INDEX(SCCitrus,$L557))&amp;IF(INDEX(SCNotes,$L557)="",""," — "&amp;INDEX(SCNotes,$L557))),IF($M557&lt;&gt;"",IF(INDEX(LdgNoteB,$M557)="","—",INDEX(LdgNoteB,$M557)),""))</f>
        <v/>
      </c>
      <c r="F557" s="20">
        <f>IF($L557&lt;&gt;"",IF(INDEX(SCNet,$L557)=0,"",INDEX(SCNet,$L557)),"")</f>
        <v/>
      </c>
      <c r="G557" s="21">
        <f>IF($L557&lt;&gt;"",IF(INDEX(SCOp,$L557)="مرجوعی فروش","",IF(INDEX(SCAmount,$L557)&lt;=0,"",INDEX(SCAmount,$L557))),IF($M557&lt;&gt;"",IF(INDEX(LdgWitB,$M557)=0,"",INDEX(LdgWitB,$M557)),""))</f>
        <v/>
      </c>
      <c r="H557" s="21">
        <f>IF($L557&lt;&gt;"",IF(INDEX(SCOp,$L557)="مرجوعی فروش",IF(INDEX(SCAmount,$L557)=0,"",-INDEX(SCAmount,$L557)),""),IF($M557&lt;&gt;"",IF(INDEX(LdgDepB,$M557)=0,"",INDEX(LdgDepB,$M557)),""))</f>
        <v/>
      </c>
      <c r="I557" s="22">
        <f>IF($B557="","",IF($I556="",$C$10,$I556)+IF($G557="",0,$G557)-IF($H557="",0,$H557))</f>
        <v/>
      </c>
      <c r="L557">
        <f>IFERROR(MATCH($C$5&amp;"|"&amp;RIGHT("000000"&amp;541,6),LdgRankKeyA,0),"")</f>
        <v/>
      </c>
      <c r="M557">
        <f>IFERROR(MATCH($C$5&amp;"|"&amp;RIGHT("000000"&amp;541,6),LdgRankKeyB,0),"")</f>
        <v/>
      </c>
    </row>
    <row r="558">
      <c r="A558" s="23" t="n">
        <v>542</v>
      </c>
      <c r="B558" s="24">
        <f>IF(AND($L558="",$M558=""),"",IF($L558&lt;&gt;"",INDEX(SCNormDate,$L558),INDEX(LdgDateB,$M558)))</f>
        <v/>
      </c>
      <c r="C558" s="24">
        <f>IF($L558&lt;&gt;"",INDEX(SCOp,$L558),IF($M558&lt;&gt;"","پرداخت بانکی",""))</f>
        <v/>
      </c>
      <c r="D558" s="24">
        <f>IF($L558&lt;&gt;"",IF(INDEX(SCDoc,$L558)="","—",INDEX(SCDoc,$L558)),IF($M558&lt;&gt;"",INDEX(LdgBankB,$M558),""))</f>
        <v/>
      </c>
      <c r="E558" s="25">
        <f>IF($L558&lt;&gt;"",IF(INDEX(SCCitrus,$L558)&amp;INDEX(SCNotes,$L558)="","",IF(INDEX(SCCitrus,$L558)="","",INDEX(SCCitrus,$L558))&amp;IF(INDEX(SCNotes,$L558)="",""," — "&amp;INDEX(SCNotes,$L558))),IF($M558&lt;&gt;"",IF(INDEX(LdgNoteB,$M558)="","—",INDEX(LdgNoteB,$M558)),""))</f>
        <v/>
      </c>
      <c r="F558" s="26">
        <f>IF($L558&lt;&gt;"",IF(INDEX(SCNet,$L558)=0,"",INDEX(SCNet,$L558)),"")</f>
        <v/>
      </c>
      <c r="G558" s="27">
        <f>IF($L558&lt;&gt;"",IF(INDEX(SCOp,$L558)="مرجوعی فروش","",IF(INDEX(SCAmount,$L558)&lt;=0,"",INDEX(SCAmount,$L558))),IF($M558&lt;&gt;"",IF(INDEX(LdgWitB,$M558)=0,"",INDEX(LdgWitB,$M558)),""))</f>
        <v/>
      </c>
      <c r="H558" s="27">
        <f>IF($L558&lt;&gt;"",IF(INDEX(SCOp,$L558)="مرجوعی فروش",IF(INDEX(SCAmount,$L558)=0,"",-INDEX(SCAmount,$L558)),""),IF($M558&lt;&gt;"",IF(INDEX(LdgDepB,$M558)=0,"",INDEX(LdgDepB,$M558)),""))</f>
        <v/>
      </c>
      <c r="I558" s="28">
        <f>IF($B558="","",IF($I557="",$C$10,$I557)+IF($G558="",0,$G558)-IF($H558="",0,$H558))</f>
        <v/>
      </c>
      <c r="L558">
        <f>IFERROR(MATCH($C$5&amp;"|"&amp;RIGHT("000000"&amp;542,6),LdgRankKeyA,0),"")</f>
        <v/>
      </c>
      <c r="M558">
        <f>IFERROR(MATCH($C$5&amp;"|"&amp;RIGHT("000000"&amp;542,6),LdgRankKeyB,0),"")</f>
        <v/>
      </c>
    </row>
    <row r="559">
      <c r="A559" s="17" t="n">
        <v>543</v>
      </c>
      <c r="B559" s="18">
        <f>IF(AND($L559="",$M559=""),"",IF($L559&lt;&gt;"",INDEX(SCNormDate,$L559),INDEX(LdgDateB,$M559)))</f>
        <v/>
      </c>
      <c r="C559" s="18">
        <f>IF($L559&lt;&gt;"",INDEX(SCOp,$L559),IF($M559&lt;&gt;"","پرداخت بانکی",""))</f>
        <v/>
      </c>
      <c r="D559" s="18">
        <f>IF($L559&lt;&gt;"",IF(INDEX(SCDoc,$L559)="","—",INDEX(SCDoc,$L559)),IF($M559&lt;&gt;"",INDEX(LdgBankB,$M559),""))</f>
        <v/>
      </c>
      <c r="E559" s="19">
        <f>IF($L559&lt;&gt;"",IF(INDEX(SCCitrus,$L559)&amp;INDEX(SCNotes,$L559)="","",IF(INDEX(SCCitrus,$L559)="","",INDEX(SCCitrus,$L559))&amp;IF(INDEX(SCNotes,$L559)="",""," — "&amp;INDEX(SCNotes,$L559))),IF($M559&lt;&gt;"",IF(INDEX(LdgNoteB,$M559)="","—",INDEX(LdgNoteB,$M559)),""))</f>
        <v/>
      </c>
      <c r="F559" s="20">
        <f>IF($L559&lt;&gt;"",IF(INDEX(SCNet,$L559)=0,"",INDEX(SCNet,$L559)),"")</f>
        <v/>
      </c>
      <c r="G559" s="21">
        <f>IF($L559&lt;&gt;"",IF(INDEX(SCOp,$L559)="مرجوعی فروش","",IF(INDEX(SCAmount,$L559)&lt;=0,"",INDEX(SCAmount,$L559))),IF($M559&lt;&gt;"",IF(INDEX(LdgWitB,$M559)=0,"",INDEX(LdgWitB,$M559)),""))</f>
        <v/>
      </c>
      <c r="H559" s="21">
        <f>IF($L559&lt;&gt;"",IF(INDEX(SCOp,$L559)="مرجوعی فروش",IF(INDEX(SCAmount,$L559)=0,"",-INDEX(SCAmount,$L559)),""),IF($M559&lt;&gt;"",IF(INDEX(LdgDepB,$M559)=0,"",INDEX(LdgDepB,$M559)),""))</f>
        <v/>
      </c>
      <c r="I559" s="22">
        <f>IF($B559="","",IF($I558="",$C$10,$I558)+IF($G559="",0,$G559)-IF($H559="",0,$H559))</f>
        <v/>
      </c>
      <c r="L559">
        <f>IFERROR(MATCH($C$5&amp;"|"&amp;RIGHT("000000"&amp;543,6),LdgRankKeyA,0),"")</f>
        <v/>
      </c>
      <c r="M559">
        <f>IFERROR(MATCH($C$5&amp;"|"&amp;RIGHT("000000"&amp;543,6),LdgRankKeyB,0),"")</f>
        <v/>
      </c>
    </row>
    <row r="560">
      <c r="A560" s="23" t="n">
        <v>544</v>
      </c>
      <c r="B560" s="24">
        <f>IF(AND($L560="",$M560=""),"",IF($L560&lt;&gt;"",INDEX(SCNormDate,$L560),INDEX(LdgDateB,$M560)))</f>
        <v/>
      </c>
      <c r="C560" s="24">
        <f>IF($L560&lt;&gt;"",INDEX(SCOp,$L560),IF($M560&lt;&gt;"","پرداخت بانکی",""))</f>
        <v/>
      </c>
      <c r="D560" s="24">
        <f>IF($L560&lt;&gt;"",IF(INDEX(SCDoc,$L560)="","—",INDEX(SCDoc,$L560)),IF($M560&lt;&gt;"",INDEX(LdgBankB,$M560),""))</f>
        <v/>
      </c>
      <c r="E560" s="25">
        <f>IF($L560&lt;&gt;"",IF(INDEX(SCCitrus,$L560)&amp;INDEX(SCNotes,$L560)="","",IF(INDEX(SCCitrus,$L560)="","",INDEX(SCCitrus,$L560))&amp;IF(INDEX(SCNotes,$L560)="",""," — "&amp;INDEX(SCNotes,$L560))),IF($M560&lt;&gt;"",IF(INDEX(LdgNoteB,$M560)="","—",INDEX(LdgNoteB,$M560)),""))</f>
        <v/>
      </c>
      <c r="F560" s="26">
        <f>IF($L560&lt;&gt;"",IF(INDEX(SCNet,$L560)=0,"",INDEX(SCNet,$L560)),"")</f>
        <v/>
      </c>
      <c r="G560" s="27">
        <f>IF($L560&lt;&gt;"",IF(INDEX(SCOp,$L560)="مرجوعی فروش","",IF(INDEX(SCAmount,$L560)&lt;=0,"",INDEX(SCAmount,$L560))),IF($M560&lt;&gt;"",IF(INDEX(LdgWitB,$M560)=0,"",INDEX(LdgWitB,$M560)),""))</f>
        <v/>
      </c>
      <c r="H560" s="27">
        <f>IF($L560&lt;&gt;"",IF(INDEX(SCOp,$L560)="مرجوعی فروش",IF(INDEX(SCAmount,$L560)=0,"",-INDEX(SCAmount,$L560)),""),IF($M560&lt;&gt;"",IF(INDEX(LdgDepB,$M560)=0,"",INDEX(LdgDepB,$M560)),""))</f>
        <v/>
      </c>
      <c r="I560" s="28">
        <f>IF($B560="","",IF($I559="",$C$10,$I559)+IF($G560="",0,$G560)-IF($H560="",0,$H560))</f>
        <v/>
      </c>
      <c r="L560">
        <f>IFERROR(MATCH($C$5&amp;"|"&amp;RIGHT("000000"&amp;544,6),LdgRankKeyA,0),"")</f>
        <v/>
      </c>
      <c r="M560">
        <f>IFERROR(MATCH($C$5&amp;"|"&amp;RIGHT("000000"&amp;544,6),LdgRankKeyB,0),"")</f>
        <v/>
      </c>
    </row>
    <row r="561">
      <c r="A561" s="17" t="n">
        <v>545</v>
      </c>
      <c r="B561" s="18">
        <f>IF(AND($L561="",$M561=""),"",IF($L561&lt;&gt;"",INDEX(SCNormDate,$L561),INDEX(LdgDateB,$M561)))</f>
        <v/>
      </c>
      <c r="C561" s="18">
        <f>IF($L561&lt;&gt;"",INDEX(SCOp,$L561),IF($M561&lt;&gt;"","پرداخت بانکی",""))</f>
        <v/>
      </c>
      <c r="D561" s="18">
        <f>IF($L561&lt;&gt;"",IF(INDEX(SCDoc,$L561)="","—",INDEX(SCDoc,$L561)),IF($M561&lt;&gt;"",INDEX(LdgBankB,$M561),""))</f>
        <v/>
      </c>
      <c r="E561" s="19">
        <f>IF($L561&lt;&gt;"",IF(INDEX(SCCitrus,$L561)&amp;INDEX(SCNotes,$L561)="","",IF(INDEX(SCCitrus,$L561)="","",INDEX(SCCitrus,$L561))&amp;IF(INDEX(SCNotes,$L561)="",""," — "&amp;INDEX(SCNotes,$L561))),IF($M561&lt;&gt;"",IF(INDEX(LdgNoteB,$M561)="","—",INDEX(LdgNoteB,$M561)),""))</f>
        <v/>
      </c>
      <c r="F561" s="20">
        <f>IF($L561&lt;&gt;"",IF(INDEX(SCNet,$L561)=0,"",INDEX(SCNet,$L561)),"")</f>
        <v/>
      </c>
      <c r="G561" s="21">
        <f>IF($L561&lt;&gt;"",IF(INDEX(SCOp,$L561)="مرجوعی فروش","",IF(INDEX(SCAmount,$L561)&lt;=0,"",INDEX(SCAmount,$L561))),IF($M561&lt;&gt;"",IF(INDEX(LdgWitB,$M561)=0,"",INDEX(LdgWitB,$M561)),""))</f>
        <v/>
      </c>
      <c r="H561" s="21">
        <f>IF($L561&lt;&gt;"",IF(INDEX(SCOp,$L561)="مرجوعی فروش",IF(INDEX(SCAmount,$L561)=0,"",-INDEX(SCAmount,$L561)),""),IF($M561&lt;&gt;"",IF(INDEX(LdgDepB,$M561)=0,"",INDEX(LdgDepB,$M561)),""))</f>
        <v/>
      </c>
      <c r="I561" s="22">
        <f>IF($B561="","",IF($I560="",$C$10,$I560)+IF($G561="",0,$G561)-IF($H561="",0,$H561))</f>
        <v/>
      </c>
      <c r="L561">
        <f>IFERROR(MATCH($C$5&amp;"|"&amp;RIGHT("000000"&amp;545,6),LdgRankKeyA,0),"")</f>
        <v/>
      </c>
      <c r="M561">
        <f>IFERROR(MATCH($C$5&amp;"|"&amp;RIGHT("000000"&amp;545,6),LdgRankKeyB,0),"")</f>
        <v/>
      </c>
    </row>
    <row r="562">
      <c r="A562" s="23" t="n">
        <v>546</v>
      </c>
      <c r="B562" s="24">
        <f>IF(AND($L562="",$M562=""),"",IF($L562&lt;&gt;"",INDEX(SCNormDate,$L562),INDEX(LdgDateB,$M562)))</f>
        <v/>
      </c>
      <c r="C562" s="24">
        <f>IF($L562&lt;&gt;"",INDEX(SCOp,$L562),IF($M562&lt;&gt;"","پرداخت بانکی",""))</f>
        <v/>
      </c>
      <c r="D562" s="24">
        <f>IF($L562&lt;&gt;"",IF(INDEX(SCDoc,$L562)="","—",INDEX(SCDoc,$L562)),IF($M562&lt;&gt;"",INDEX(LdgBankB,$M562),""))</f>
        <v/>
      </c>
      <c r="E562" s="25">
        <f>IF($L562&lt;&gt;"",IF(INDEX(SCCitrus,$L562)&amp;INDEX(SCNotes,$L562)="","",IF(INDEX(SCCitrus,$L562)="","",INDEX(SCCitrus,$L562))&amp;IF(INDEX(SCNotes,$L562)="",""," — "&amp;INDEX(SCNotes,$L562))),IF($M562&lt;&gt;"",IF(INDEX(LdgNoteB,$M562)="","—",INDEX(LdgNoteB,$M562)),""))</f>
        <v/>
      </c>
      <c r="F562" s="26">
        <f>IF($L562&lt;&gt;"",IF(INDEX(SCNet,$L562)=0,"",INDEX(SCNet,$L562)),"")</f>
        <v/>
      </c>
      <c r="G562" s="27">
        <f>IF($L562&lt;&gt;"",IF(INDEX(SCOp,$L562)="مرجوعی فروش","",IF(INDEX(SCAmount,$L562)&lt;=0,"",INDEX(SCAmount,$L562))),IF($M562&lt;&gt;"",IF(INDEX(LdgWitB,$M562)=0,"",INDEX(LdgWitB,$M562)),""))</f>
        <v/>
      </c>
      <c r="H562" s="27">
        <f>IF($L562&lt;&gt;"",IF(INDEX(SCOp,$L562)="مرجوعی فروش",IF(INDEX(SCAmount,$L562)=0,"",-INDEX(SCAmount,$L562)),""),IF($M562&lt;&gt;"",IF(INDEX(LdgDepB,$M562)=0,"",INDEX(LdgDepB,$M562)),""))</f>
        <v/>
      </c>
      <c r="I562" s="28">
        <f>IF($B562="","",IF($I561="",$C$10,$I561)+IF($G562="",0,$G562)-IF($H562="",0,$H562))</f>
        <v/>
      </c>
      <c r="L562">
        <f>IFERROR(MATCH($C$5&amp;"|"&amp;RIGHT("000000"&amp;546,6),LdgRankKeyA,0),"")</f>
        <v/>
      </c>
      <c r="M562">
        <f>IFERROR(MATCH($C$5&amp;"|"&amp;RIGHT("000000"&amp;546,6),LdgRankKeyB,0),"")</f>
        <v/>
      </c>
    </row>
    <row r="563">
      <c r="A563" s="17" t="n">
        <v>547</v>
      </c>
      <c r="B563" s="18">
        <f>IF(AND($L563="",$M563=""),"",IF($L563&lt;&gt;"",INDEX(SCNormDate,$L563),INDEX(LdgDateB,$M563)))</f>
        <v/>
      </c>
      <c r="C563" s="18">
        <f>IF($L563&lt;&gt;"",INDEX(SCOp,$L563),IF($M563&lt;&gt;"","پرداخت بانکی",""))</f>
        <v/>
      </c>
      <c r="D563" s="18">
        <f>IF($L563&lt;&gt;"",IF(INDEX(SCDoc,$L563)="","—",INDEX(SCDoc,$L563)),IF($M563&lt;&gt;"",INDEX(LdgBankB,$M563),""))</f>
        <v/>
      </c>
      <c r="E563" s="19">
        <f>IF($L563&lt;&gt;"",IF(INDEX(SCCitrus,$L563)&amp;INDEX(SCNotes,$L563)="","",IF(INDEX(SCCitrus,$L563)="","",INDEX(SCCitrus,$L563))&amp;IF(INDEX(SCNotes,$L563)="",""," — "&amp;INDEX(SCNotes,$L563))),IF($M563&lt;&gt;"",IF(INDEX(LdgNoteB,$M563)="","—",INDEX(LdgNoteB,$M563)),""))</f>
        <v/>
      </c>
      <c r="F563" s="20">
        <f>IF($L563&lt;&gt;"",IF(INDEX(SCNet,$L563)=0,"",INDEX(SCNet,$L563)),"")</f>
        <v/>
      </c>
      <c r="G563" s="21">
        <f>IF($L563&lt;&gt;"",IF(INDEX(SCOp,$L563)="مرجوعی فروش","",IF(INDEX(SCAmount,$L563)&lt;=0,"",INDEX(SCAmount,$L563))),IF($M563&lt;&gt;"",IF(INDEX(LdgWitB,$M563)=0,"",INDEX(LdgWitB,$M563)),""))</f>
        <v/>
      </c>
      <c r="H563" s="21">
        <f>IF($L563&lt;&gt;"",IF(INDEX(SCOp,$L563)="مرجوعی فروش",IF(INDEX(SCAmount,$L563)=0,"",-INDEX(SCAmount,$L563)),""),IF($M563&lt;&gt;"",IF(INDEX(LdgDepB,$M563)=0,"",INDEX(LdgDepB,$M563)),""))</f>
        <v/>
      </c>
      <c r="I563" s="22">
        <f>IF($B563="","",IF($I562="",$C$10,$I562)+IF($G563="",0,$G563)-IF($H563="",0,$H563))</f>
        <v/>
      </c>
      <c r="L563">
        <f>IFERROR(MATCH($C$5&amp;"|"&amp;RIGHT("000000"&amp;547,6),LdgRankKeyA,0),"")</f>
        <v/>
      </c>
      <c r="M563">
        <f>IFERROR(MATCH($C$5&amp;"|"&amp;RIGHT("000000"&amp;547,6),LdgRankKeyB,0),"")</f>
        <v/>
      </c>
    </row>
    <row r="564">
      <c r="A564" s="23" t="n">
        <v>548</v>
      </c>
      <c r="B564" s="24">
        <f>IF(AND($L564="",$M564=""),"",IF($L564&lt;&gt;"",INDEX(SCNormDate,$L564),INDEX(LdgDateB,$M564)))</f>
        <v/>
      </c>
      <c r="C564" s="24">
        <f>IF($L564&lt;&gt;"",INDEX(SCOp,$L564),IF($M564&lt;&gt;"","پرداخت بانکی",""))</f>
        <v/>
      </c>
      <c r="D564" s="24">
        <f>IF($L564&lt;&gt;"",IF(INDEX(SCDoc,$L564)="","—",INDEX(SCDoc,$L564)),IF($M564&lt;&gt;"",INDEX(LdgBankB,$M564),""))</f>
        <v/>
      </c>
      <c r="E564" s="25">
        <f>IF($L564&lt;&gt;"",IF(INDEX(SCCitrus,$L564)&amp;INDEX(SCNotes,$L564)="","",IF(INDEX(SCCitrus,$L564)="","",INDEX(SCCitrus,$L564))&amp;IF(INDEX(SCNotes,$L564)="",""," — "&amp;INDEX(SCNotes,$L564))),IF($M564&lt;&gt;"",IF(INDEX(LdgNoteB,$M564)="","—",INDEX(LdgNoteB,$M564)),""))</f>
        <v/>
      </c>
      <c r="F564" s="26">
        <f>IF($L564&lt;&gt;"",IF(INDEX(SCNet,$L564)=0,"",INDEX(SCNet,$L564)),"")</f>
        <v/>
      </c>
      <c r="G564" s="27">
        <f>IF($L564&lt;&gt;"",IF(INDEX(SCOp,$L564)="مرجوعی فروش","",IF(INDEX(SCAmount,$L564)&lt;=0,"",INDEX(SCAmount,$L564))),IF($M564&lt;&gt;"",IF(INDEX(LdgWitB,$M564)=0,"",INDEX(LdgWitB,$M564)),""))</f>
        <v/>
      </c>
      <c r="H564" s="27">
        <f>IF($L564&lt;&gt;"",IF(INDEX(SCOp,$L564)="مرجوعی فروش",IF(INDEX(SCAmount,$L564)=0,"",-INDEX(SCAmount,$L564)),""),IF($M564&lt;&gt;"",IF(INDEX(LdgDepB,$M564)=0,"",INDEX(LdgDepB,$M564)),""))</f>
        <v/>
      </c>
      <c r="I564" s="28">
        <f>IF($B564="","",IF($I563="",$C$10,$I563)+IF($G564="",0,$G564)-IF($H564="",0,$H564))</f>
        <v/>
      </c>
      <c r="L564">
        <f>IFERROR(MATCH($C$5&amp;"|"&amp;RIGHT("000000"&amp;548,6),LdgRankKeyA,0),"")</f>
        <v/>
      </c>
      <c r="M564">
        <f>IFERROR(MATCH($C$5&amp;"|"&amp;RIGHT("000000"&amp;548,6),LdgRankKeyB,0),"")</f>
        <v/>
      </c>
    </row>
    <row r="565">
      <c r="A565" s="17" t="n">
        <v>549</v>
      </c>
      <c r="B565" s="18">
        <f>IF(AND($L565="",$M565=""),"",IF($L565&lt;&gt;"",INDEX(SCNormDate,$L565),INDEX(LdgDateB,$M565)))</f>
        <v/>
      </c>
      <c r="C565" s="18">
        <f>IF($L565&lt;&gt;"",INDEX(SCOp,$L565),IF($M565&lt;&gt;"","پرداخت بانکی",""))</f>
        <v/>
      </c>
      <c r="D565" s="18">
        <f>IF($L565&lt;&gt;"",IF(INDEX(SCDoc,$L565)="","—",INDEX(SCDoc,$L565)),IF($M565&lt;&gt;"",INDEX(LdgBankB,$M565),""))</f>
        <v/>
      </c>
      <c r="E565" s="19">
        <f>IF($L565&lt;&gt;"",IF(INDEX(SCCitrus,$L565)&amp;INDEX(SCNotes,$L565)="","",IF(INDEX(SCCitrus,$L565)="","",INDEX(SCCitrus,$L565))&amp;IF(INDEX(SCNotes,$L565)="",""," — "&amp;INDEX(SCNotes,$L565))),IF($M565&lt;&gt;"",IF(INDEX(LdgNoteB,$M565)="","—",INDEX(LdgNoteB,$M565)),""))</f>
        <v/>
      </c>
      <c r="F565" s="20">
        <f>IF($L565&lt;&gt;"",IF(INDEX(SCNet,$L565)=0,"",INDEX(SCNet,$L565)),"")</f>
        <v/>
      </c>
      <c r="G565" s="21">
        <f>IF($L565&lt;&gt;"",IF(INDEX(SCOp,$L565)="مرجوعی فروش","",IF(INDEX(SCAmount,$L565)&lt;=0,"",INDEX(SCAmount,$L565))),IF($M565&lt;&gt;"",IF(INDEX(LdgWitB,$M565)=0,"",INDEX(LdgWitB,$M565)),""))</f>
        <v/>
      </c>
      <c r="H565" s="21">
        <f>IF($L565&lt;&gt;"",IF(INDEX(SCOp,$L565)="مرجوعی فروش",IF(INDEX(SCAmount,$L565)=0,"",-INDEX(SCAmount,$L565)),""),IF($M565&lt;&gt;"",IF(INDEX(LdgDepB,$M565)=0,"",INDEX(LdgDepB,$M565)),""))</f>
        <v/>
      </c>
      <c r="I565" s="22">
        <f>IF($B565="","",IF($I564="",$C$10,$I564)+IF($G565="",0,$G565)-IF($H565="",0,$H565))</f>
        <v/>
      </c>
      <c r="L565">
        <f>IFERROR(MATCH($C$5&amp;"|"&amp;RIGHT("000000"&amp;549,6),LdgRankKeyA,0),"")</f>
        <v/>
      </c>
      <c r="M565">
        <f>IFERROR(MATCH($C$5&amp;"|"&amp;RIGHT("000000"&amp;549,6),LdgRankKeyB,0),"")</f>
        <v/>
      </c>
    </row>
    <row r="566">
      <c r="A566" s="23" t="n">
        <v>550</v>
      </c>
      <c r="B566" s="24">
        <f>IF(AND($L566="",$M566=""),"",IF($L566&lt;&gt;"",INDEX(SCNormDate,$L566),INDEX(LdgDateB,$M566)))</f>
        <v/>
      </c>
      <c r="C566" s="24">
        <f>IF($L566&lt;&gt;"",INDEX(SCOp,$L566),IF($M566&lt;&gt;"","پرداخت بانکی",""))</f>
        <v/>
      </c>
      <c r="D566" s="24">
        <f>IF($L566&lt;&gt;"",IF(INDEX(SCDoc,$L566)="","—",INDEX(SCDoc,$L566)),IF($M566&lt;&gt;"",INDEX(LdgBankB,$M566),""))</f>
        <v/>
      </c>
      <c r="E566" s="25">
        <f>IF($L566&lt;&gt;"",IF(INDEX(SCCitrus,$L566)&amp;INDEX(SCNotes,$L566)="","",IF(INDEX(SCCitrus,$L566)="","",INDEX(SCCitrus,$L566))&amp;IF(INDEX(SCNotes,$L566)="",""," — "&amp;INDEX(SCNotes,$L566))),IF($M566&lt;&gt;"",IF(INDEX(LdgNoteB,$M566)="","—",INDEX(LdgNoteB,$M566)),""))</f>
        <v/>
      </c>
      <c r="F566" s="26">
        <f>IF($L566&lt;&gt;"",IF(INDEX(SCNet,$L566)=0,"",INDEX(SCNet,$L566)),"")</f>
        <v/>
      </c>
      <c r="G566" s="27">
        <f>IF($L566&lt;&gt;"",IF(INDEX(SCOp,$L566)="مرجوعی فروش","",IF(INDEX(SCAmount,$L566)&lt;=0,"",INDEX(SCAmount,$L566))),IF($M566&lt;&gt;"",IF(INDEX(LdgWitB,$M566)=0,"",INDEX(LdgWitB,$M566)),""))</f>
        <v/>
      </c>
      <c r="H566" s="27">
        <f>IF($L566&lt;&gt;"",IF(INDEX(SCOp,$L566)="مرجوعی فروش",IF(INDEX(SCAmount,$L566)=0,"",-INDEX(SCAmount,$L566)),""),IF($M566&lt;&gt;"",IF(INDEX(LdgDepB,$M566)=0,"",INDEX(LdgDepB,$M566)),""))</f>
        <v/>
      </c>
      <c r="I566" s="28">
        <f>IF($B566="","",IF($I565="",$C$10,$I565)+IF($G566="",0,$G566)-IF($H566="",0,$H566))</f>
        <v/>
      </c>
      <c r="L566">
        <f>IFERROR(MATCH($C$5&amp;"|"&amp;RIGHT("000000"&amp;550,6),LdgRankKeyA,0),"")</f>
        <v/>
      </c>
      <c r="M566">
        <f>IFERROR(MATCH($C$5&amp;"|"&amp;RIGHT("000000"&amp;550,6),LdgRankKeyB,0),"")</f>
        <v/>
      </c>
    </row>
    <row r="567">
      <c r="A567" s="17" t="n">
        <v>551</v>
      </c>
      <c r="B567" s="18">
        <f>IF(AND($L567="",$M567=""),"",IF($L567&lt;&gt;"",INDEX(SCNormDate,$L567),INDEX(LdgDateB,$M567)))</f>
        <v/>
      </c>
      <c r="C567" s="18">
        <f>IF($L567&lt;&gt;"",INDEX(SCOp,$L567),IF($M567&lt;&gt;"","پرداخت بانکی",""))</f>
        <v/>
      </c>
      <c r="D567" s="18">
        <f>IF($L567&lt;&gt;"",IF(INDEX(SCDoc,$L567)="","—",INDEX(SCDoc,$L567)),IF($M567&lt;&gt;"",INDEX(LdgBankB,$M567),""))</f>
        <v/>
      </c>
      <c r="E567" s="19">
        <f>IF($L567&lt;&gt;"",IF(INDEX(SCCitrus,$L567)&amp;INDEX(SCNotes,$L567)="","",IF(INDEX(SCCitrus,$L567)="","",INDEX(SCCitrus,$L567))&amp;IF(INDEX(SCNotes,$L567)="",""," — "&amp;INDEX(SCNotes,$L567))),IF($M567&lt;&gt;"",IF(INDEX(LdgNoteB,$M567)="","—",INDEX(LdgNoteB,$M567)),""))</f>
        <v/>
      </c>
      <c r="F567" s="20">
        <f>IF($L567&lt;&gt;"",IF(INDEX(SCNet,$L567)=0,"",INDEX(SCNet,$L567)),"")</f>
        <v/>
      </c>
      <c r="G567" s="21">
        <f>IF($L567&lt;&gt;"",IF(INDEX(SCOp,$L567)="مرجوعی فروش","",IF(INDEX(SCAmount,$L567)&lt;=0,"",INDEX(SCAmount,$L567))),IF($M567&lt;&gt;"",IF(INDEX(LdgWitB,$M567)=0,"",INDEX(LdgWitB,$M567)),""))</f>
        <v/>
      </c>
      <c r="H567" s="21">
        <f>IF($L567&lt;&gt;"",IF(INDEX(SCOp,$L567)="مرجوعی فروش",IF(INDEX(SCAmount,$L567)=0,"",-INDEX(SCAmount,$L567)),""),IF($M567&lt;&gt;"",IF(INDEX(LdgDepB,$M567)=0,"",INDEX(LdgDepB,$M567)),""))</f>
        <v/>
      </c>
      <c r="I567" s="22">
        <f>IF($B567="","",IF($I566="",$C$10,$I566)+IF($G567="",0,$G567)-IF($H567="",0,$H567))</f>
        <v/>
      </c>
      <c r="L567">
        <f>IFERROR(MATCH($C$5&amp;"|"&amp;RIGHT("000000"&amp;551,6),LdgRankKeyA,0),"")</f>
        <v/>
      </c>
      <c r="M567">
        <f>IFERROR(MATCH($C$5&amp;"|"&amp;RIGHT("000000"&amp;551,6),LdgRankKeyB,0),"")</f>
        <v/>
      </c>
    </row>
    <row r="568">
      <c r="A568" s="23" t="n">
        <v>552</v>
      </c>
      <c r="B568" s="24">
        <f>IF(AND($L568="",$M568=""),"",IF($L568&lt;&gt;"",INDEX(SCNormDate,$L568),INDEX(LdgDateB,$M568)))</f>
        <v/>
      </c>
      <c r="C568" s="24">
        <f>IF($L568&lt;&gt;"",INDEX(SCOp,$L568),IF($M568&lt;&gt;"","پرداخت بانکی",""))</f>
        <v/>
      </c>
      <c r="D568" s="24">
        <f>IF($L568&lt;&gt;"",IF(INDEX(SCDoc,$L568)="","—",INDEX(SCDoc,$L568)),IF($M568&lt;&gt;"",INDEX(LdgBankB,$M568),""))</f>
        <v/>
      </c>
      <c r="E568" s="25">
        <f>IF($L568&lt;&gt;"",IF(INDEX(SCCitrus,$L568)&amp;INDEX(SCNotes,$L568)="","",IF(INDEX(SCCitrus,$L568)="","",INDEX(SCCitrus,$L568))&amp;IF(INDEX(SCNotes,$L568)="",""," — "&amp;INDEX(SCNotes,$L568))),IF($M568&lt;&gt;"",IF(INDEX(LdgNoteB,$M568)="","—",INDEX(LdgNoteB,$M568)),""))</f>
        <v/>
      </c>
      <c r="F568" s="26">
        <f>IF($L568&lt;&gt;"",IF(INDEX(SCNet,$L568)=0,"",INDEX(SCNet,$L568)),"")</f>
        <v/>
      </c>
      <c r="G568" s="27">
        <f>IF($L568&lt;&gt;"",IF(INDEX(SCOp,$L568)="مرجوعی فروش","",IF(INDEX(SCAmount,$L568)&lt;=0,"",INDEX(SCAmount,$L568))),IF($M568&lt;&gt;"",IF(INDEX(LdgWitB,$M568)=0,"",INDEX(LdgWitB,$M568)),""))</f>
        <v/>
      </c>
      <c r="H568" s="27">
        <f>IF($L568&lt;&gt;"",IF(INDEX(SCOp,$L568)="مرجوعی فروش",IF(INDEX(SCAmount,$L568)=0,"",-INDEX(SCAmount,$L568)),""),IF($M568&lt;&gt;"",IF(INDEX(LdgDepB,$M568)=0,"",INDEX(LdgDepB,$M568)),""))</f>
        <v/>
      </c>
      <c r="I568" s="28">
        <f>IF($B568="","",IF($I567="",$C$10,$I567)+IF($G568="",0,$G568)-IF($H568="",0,$H568))</f>
        <v/>
      </c>
      <c r="L568">
        <f>IFERROR(MATCH($C$5&amp;"|"&amp;RIGHT("000000"&amp;552,6),LdgRankKeyA,0),"")</f>
        <v/>
      </c>
      <c r="M568">
        <f>IFERROR(MATCH($C$5&amp;"|"&amp;RIGHT("000000"&amp;552,6),LdgRankKeyB,0),"")</f>
        <v/>
      </c>
    </row>
    <row r="569">
      <c r="A569" s="17" t="n">
        <v>553</v>
      </c>
      <c r="B569" s="18">
        <f>IF(AND($L569="",$M569=""),"",IF($L569&lt;&gt;"",INDEX(SCNormDate,$L569),INDEX(LdgDateB,$M569)))</f>
        <v/>
      </c>
      <c r="C569" s="18">
        <f>IF($L569&lt;&gt;"",INDEX(SCOp,$L569),IF($M569&lt;&gt;"","پرداخت بانکی",""))</f>
        <v/>
      </c>
      <c r="D569" s="18">
        <f>IF($L569&lt;&gt;"",IF(INDEX(SCDoc,$L569)="","—",INDEX(SCDoc,$L569)),IF($M569&lt;&gt;"",INDEX(LdgBankB,$M569),""))</f>
        <v/>
      </c>
      <c r="E569" s="19">
        <f>IF($L569&lt;&gt;"",IF(INDEX(SCCitrus,$L569)&amp;INDEX(SCNotes,$L569)="","",IF(INDEX(SCCitrus,$L569)="","",INDEX(SCCitrus,$L569))&amp;IF(INDEX(SCNotes,$L569)="",""," — "&amp;INDEX(SCNotes,$L569))),IF($M569&lt;&gt;"",IF(INDEX(LdgNoteB,$M569)="","—",INDEX(LdgNoteB,$M569)),""))</f>
        <v/>
      </c>
      <c r="F569" s="20">
        <f>IF($L569&lt;&gt;"",IF(INDEX(SCNet,$L569)=0,"",INDEX(SCNet,$L569)),"")</f>
        <v/>
      </c>
      <c r="G569" s="21">
        <f>IF($L569&lt;&gt;"",IF(INDEX(SCOp,$L569)="مرجوعی فروش","",IF(INDEX(SCAmount,$L569)&lt;=0,"",INDEX(SCAmount,$L569))),IF($M569&lt;&gt;"",IF(INDEX(LdgWitB,$M569)=0,"",INDEX(LdgWitB,$M569)),""))</f>
        <v/>
      </c>
      <c r="H569" s="21">
        <f>IF($L569&lt;&gt;"",IF(INDEX(SCOp,$L569)="مرجوعی فروش",IF(INDEX(SCAmount,$L569)=0,"",-INDEX(SCAmount,$L569)),""),IF($M569&lt;&gt;"",IF(INDEX(LdgDepB,$M569)=0,"",INDEX(LdgDepB,$M569)),""))</f>
        <v/>
      </c>
      <c r="I569" s="22">
        <f>IF($B569="","",IF($I568="",$C$10,$I568)+IF($G569="",0,$G569)-IF($H569="",0,$H569))</f>
        <v/>
      </c>
      <c r="L569">
        <f>IFERROR(MATCH($C$5&amp;"|"&amp;RIGHT("000000"&amp;553,6),LdgRankKeyA,0),"")</f>
        <v/>
      </c>
      <c r="M569">
        <f>IFERROR(MATCH($C$5&amp;"|"&amp;RIGHT("000000"&amp;553,6),LdgRankKeyB,0),"")</f>
        <v/>
      </c>
    </row>
    <row r="570">
      <c r="A570" s="23" t="n">
        <v>554</v>
      </c>
      <c r="B570" s="24">
        <f>IF(AND($L570="",$M570=""),"",IF($L570&lt;&gt;"",INDEX(SCNormDate,$L570),INDEX(LdgDateB,$M570)))</f>
        <v/>
      </c>
      <c r="C570" s="24">
        <f>IF($L570&lt;&gt;"",INDEX(SCOp,$L570),IF($M570&lt;&gt;"","پرداخت بانکی",""))</f>
        <v/>
      </c>
      <c r="D570" s="24">
        <f>IF($L570&lt;&gt;"",IF(INDEX(SCDoc,$L570)="","—",INDEX(SCDoc,$L570)),IF($M570&lt;&gt;"",INDEX(LdgBankB,$M570),""))</f>
        <v/>
      </c>
      <c r="E570" s="25">
        <f>IF($L570&lt;&gt;"",IF(INDEX(SCCitrus,$L570)&amp;INDEX(SCNotes,$L570)="","",IF(INDEX(SCCitrus,$L570)="","",INDEX(SCCitrus,$L570))&amp;IF(INDEX(SCNotes,$L570)="",""," — "&amp;INDEX(SCNotes,$L570))),IF($M570&lt;&gt;"",IF(INDEX(LdgNoteB,$M570)="","—",INDEX(LdgNoteB,$M570)),""))</f>
        <v/>
      </c>
      <c r="F570" s="26">
        <f>IF($L570&lt;&gt;"",IF(INDEX(SCNet,$L570)=0,"",INDEX(SCNet,$L570)),"")</f>
        <v/>
      </c>
      <c r="G570" s="27">
        <f>IF($L570&lt;&gt;"",IF(INDEX(SCOp,$L570)="مرجوعی فروش","",IF(INDEX(SCAmount,$L570)&lt;=0,"",INDEX(SCAmount,$L570))),IF($M570&lt;&gt;"",IF(INDEX(LdgWitB,$M570)=0,"",INDEX(LdgWitB,$M570)),""))</f>
        <v/>
      </c>
      <c r="H570" s="27">
        <f>IF($L570&lt;&gt;"",IF(INDEX(SCOp,$L570)="مرجوعی فروش",IF(INDEX(SCAmount,$L570)=0,"",-INDEX(SCAmount,$L570)),""),IF($M570&lt;&gt;"",IF(INDEX(LdgDepB,$M570)=0,"",INDEX(LdgDepB,$M570)),""))</f>
        <v/>
      </c>
      <c r="I570" s="28">
        <f>IF($B570="","",IF($I569="",$C$10,$I569)+IF($G570="",0,$G570)-IF($H570="",0,$H570))</f>
        <v/>
      </c>
      <c r="L570">
        <f>IFERROR(MATCH($C$5&amp;"|"&amp;RIGHT("000000"&amp;554,6),LdgRankKeyA,0),"")</f>
        <v/>
      </c>
      <c r="M570">
        <f>IFERROR(MATCH($C$5&amp;"|"&amp;RIGHT("000000"&amp;554,6),LdgRankKeyB,0),"")</f>
        <v/>
      </c>
    </row>
    <row r="571">
      <c r="A571" s="17" t="n">
        <v>555</v>
      </c>
      <c r="B571" s="18">
        <f>IF(AND($L571="",$M571=""),"",IF($L571&lt;&gt;"",INDEX(SCNormDate,$L571),INDEX(LdgDateB,$M571)))</f>
        <v/>
      </c>
      <c r="C571" s="18">
        <f>IF($L571&lt;&gt;"",INDEX(SCOp,$L571),IF($M571&lt;&gt;"","پرداخت بانکی",""))</f>
        <v/>
      </c>
      <c r="D571" s="18">
        <f>IF($L571&lt;&gt;"",IF(INDEX(SCDoc,$L571)="","—",INDEX(SCDoc,$L571)),IF($M571&lt;&gt;"",INDEX(LdgBankB,$M571),""))</f>
        <v/>
      </c>
      <c r="E571" s="19">
        <f>IF($L571&lt;&gt;"",IF(INDEX(SCCitrus,$L571)&amp;INDEX(SCNotes,$L571)="","",IF(INDEX(SCCitrus,$L571)="","",INDEX(SCCitrus,$L571))&amp;IF(INDEX(SCNotes,$L571)="",""," — "&amp;INDEX(SCNotes,$L571))),IF($M571&lt;&gt;"",IF(INDEX(LdgNoteB,$M571)="","—",INDEX(LdgNoteB,$M571)),""))</f>
        <v/>
      </c>
      <c r="F571" s="20">
        <f>IF($L571&lt;&gt;"",IF(INDEX(SCNet,$L571)=0,"",INDEX(SCNet,$L571)),"")</f>
        <v/>
      </c>
      <c r="G571" s="21">
        <f>IF($L571&lt;&gt;"",IF(INDEX(SCOp,$L571)="مرجوعی فروش","",IF(INDEX(SCAmount,$L571)&lt;=0,"",INDEX(SCAmount,$L571))),IF($M571&lt;&gt;"",IF(INDEX(LdgWitB,$M571)=0,"",INDEX(LdgWitB,$M571)),""))</f>
        <v/>
      </c>
      <c r="H571" s="21">
        <f>IF($L571&lt;&gt;"",IF(INDEX(SCOp,$L571)="مرجوعی فروش",IF(INDEX(SCAmount,$L571)=0,"",-INDEX(SCAmount,$L571)),""),IF($M571&lt;&gt;"",IF(INDEX(LdgDepB,$M571)=0,"",INDEX(LdgDepB,$M571)),""))</f>
        <v/>
      </c>
      <c r="I571" s="22">
        <f>IF($B571="","",IF($I570="",$C$10,$I570)+IF($G571="",0,$G571)-IF($H571="",0,$H571))</f>
        <v/>
      </c>
      <c r="L571">
        <f>IFERROR(MATCH($C$5&amp;"|"&amp;RIGHT("000000"&amp;555,6),LdgRankKeyA,0),"")</f>
        <v/>
      </c>
      <c r="M571">
        <f>IFERROR(MATCH($C$5&amp;"|"&amp;RIGHT("000000"&amp;555,6),LdgRankKeyB,0),"")</f>
        <v/>
      </c>
    </row>
    <row r="572">
      <c r="A572" s="23" t="n">
        <v>556</v>
      </c>
      <c r="B572" s="24">
        <f>IF(AND($L572="",$M572=""),"",IF($L572&lt;&gt;"",INDEX(SCNormDate,$L572),INDEX(LdgDateB,$M572)))</f>
        <v/>
      </c>
      <c r="C572" s="24">
        <f>IF($L572&lt;&gt;"",INDEX(SCOp,$L572),IF($M572&lt;&gt;"","پرداخت بانکی",""))</f>
        <v/>
      </c>
      <c r="D572" s="24">
        <f>IF($L572&lt;&gt;"",IF(INDEX(SCDoc,$L572)="","—",INDEX(SCDoc,$L572)),IF($M572&lt;&gt;"",INDEX(LdgBankB,$M572),""))</f>
        <v/>
      </c>
      <c r="E572" s="25">
        <f>IF($L572&lt;&gt;"",IF(INDEX(SCCitrus,$L572)&amp;INDEX(SCNotes,$L572)="","",IF(INDEX(SCCitrus,$L572)="","",INDEX(SCCitrus,$L572))&amp;IF(INDEX(SCNotes,$L572)="",""," — "&amp;INDEX(SCNotes,$L572))),IF($M572&lt;&gt;"",IF(INDEX(LdgNoteB,$M572)="","—",INDEX(LdgNoteB,$M572)),""))</f>
        <v/>
      </c>
      <c r="F572" s="26">
        <f>IF($L572&lt;&gt;"",IF(INDEX(SCNet,$L572)=0,"",INDEX(SCNet,$L572)),"")</f>
        <v/>
      </c>
      <c r="G572" s="27">
        <f>IF($L572&lt;&gt;"",IF(INDEX(SCOp,$L572)="مرجوعی فروش","",IF(INDEX(SCAmount,$L572)&lt;=0,"",INDEX(SCAmount,$L572))),IF($M572&lt;&gt;"",IF(INDEX(LdgWitB,$M572)=0,"",INDEX(LdgWitB,$M572)),""))</f>
        <v/>
      </c>
      <c r="H572" s="27">
        <f>IF($L572&lt;&gt;"",IF(INDEX(SCOp,$L572)="مرجوعی فروش",IF(INDEX(SCAmount,$L572)=0,"",-INDEX(SCAmount,$L572)),""),IF($M572&lt;&gt;"",IF(INDEX(LdgDepB,$M572)=0,"",INDEX(LdgDepB,$M572)),""))</f>
        <v/>
      </c>
      <c r="I572" s="28">
        <f>IF($B572="","",IF($I571="",$C$10,$I571)+IF($G572="",0,$G572)-IF($H572="",0,$H572))</f>
        <v/>
      </c>
      <c r="L572">
        <f>IFERROR(MATCH($C$5&amp;"|"&amp;RIGHT("000000"&amp;556,6),LdgRankKeyA,0),"")</f>
        <v/>
      </c>
      <c r="M572">
        <f>IFERROR(MATCH($C$5&amp;"|"&amp;RIGHT("000000"&amp;556,6),LdgRankKeyB,0),"")</f>
        <v/>
      </c>
    </row>
    <row r="573">
      <c r="A573" s="17" t="n">
        <v>557</v>
      </c>
      <c r="B573" s="18">
        <f>IF(AND($L573="",$M573=""),"",IF($L573&lt;&gt;"",INDEX(SCNormDate,$L573),INDEX(LdgDateB,$M573)))</f>
        <v/>
      </c>
      <c r="C573" s="18">
        <f>IF($L573&lt;&gt;"",INDEX(SCOp,$L573),IF($M573&lt;&gt;"","پرداخت بانکی",""))</f>
        <v/>
      </c>
      <c r="D573" s="18">
        <f>IF($L573&lt;&gt;"",IF(INDEX(SCDoc,$L573)="","—",INDEX(SCDoc,$L573)),IF($M573&lt;&gt;"",INDEX(LdgBankB,$M573),""))</f>
        <v/>
      </c>
      <c r="E573" s="19">
        <f>IF($L573&lt;&gt;"",IF(INDEX(SCCitrus,$L573)&amp;INDEX(SCNotes,$L573)="","",IF(INDEX(SCCitrus,$L573)="","",INDEX(SCCitrus,$L573))&amp;IF(INDEX(SCNotes,$L573)="",""," — "&amp;INDEX(SCNotes,$L573))),IF($M573&lt;&gt;"",IF(INDEX(LdgNoteB,$M573)="","—",INDEX(LdgNoteB,$M573)),""))</f>
        <v/>
      </c>
      <c r="F573" s="20">
        <f>IF($L573&lt;&gt;"",IF(INDEX(SCNet,$L573)=0,"",INDEX(SCNet,$L573)),"")</f>
        <v/>
      </c>
      <c r="G573" s="21">
        <f>IF($L573&lt;&gt;"",IF(INDEX(SCOp,$L573)="مرجوعی فروش","",IF(INDEX(SCAmount,$L573)&lt;=0,"",INDEX(SCAmount,$L573))),IF($M573&lt;&gt;"",IF(INDEX(LdgWitB,$M573)=0,"",INDEX(LdgWitB,$M573)),""))</f>
        <v/>
      </c>
      <c r="H573" s="21">
        <f>IF($L573&lt;&gt;"",IF(INDEX(SCOp,$L573)="مرجوعی فروش",IF(INDEX(SCAmount,$L573)=0,"",-INDEX(SCAmount,$L573)),""),IF($M573&lt;&gt;"",IF(INDEX(LdgDepB,$M573)=0,"",INDEX(LdgDepB,$M573)),""))</f>
        <v/>
      </c>
      <c r="I573" s="22">
        <f>IF($B573="","",IF($I572="",$C$10,$I572)+IF($G573="",0,$G573)-IF($H573="",0,$H573))</f>
        <v/>
      </c>
      <c r="L573">
        <f>IFERROR(MATCH($C$5&amp;"|"&amp;RIGHT("000000"&amp;557,6),LdgRankKeyA,0),"")</f>
        <v/>
      </c>
      <c r="M573">
        <f>IFERROR(MATCH($C$5&amp;"|"&amp;RIGHT("000000"&amp;557,6),LdgRankKeyB,0),"")</f>
        <v/>
      </c>
    </row>
    <row r="574">
      <c r="A574" s="23" t="n">
        <v>558</v>
      </c>
      <c r="B574" s="24">
        <f>IF(AND($L574="",$M574=""),"",IF($L574&lt;&gt;"",INDEX(SCNormDate,$L574),INDEX(LdgDateB,$M574)))</f>
        <v/>
      </c>
      <c r="C574" s="24">
        <f>IF($L574&lt;&gt;"",INDEX(SCOp,$L574),IF($M574&lt;&gt;"","پرداخت بانکی",""))</f>
        <v/>
      </c>
      <c r="D574" s="24">
        <f>IF($L574&lt;&gt;"",IF(INDEX(SCDoc,$L574)="","—",INDEX(SCDoc,$L574)),IF($M574&lt;&gt;"",INDEX(LdgBankB,$M574),""))</f>
        <v/>
      </c>
      <c r="E574" s="25">
        <f>IF($L574&lt;&gt;"",IF(INDEX(SCCitrus,$L574)&amp;INDEX(SCNotes,$L574)="","",IF(INDEX(SCCitrus,$L574)="","",INDEX(SCCitrus,$L574))&amp;IF(INDEX(SCNotes,$L574)="",""," — "&amp;INDEX(SCNotes,$L574))),IF($M574&lt;&gt;"",IF(INDEX(LdgNoteB,$M574)="","—",INDEX(LdgNoteB,$M574)),""))</f>
        <v/>
      </c>
      <c r="F574" s="26">
        <f>IF($L574&lt;&gt;"",IF(INDEX(SCNet,$L574)=0,"",INDEX(SCNet,$L574)),"")</f>
        <v/>
      </c>
      <c r="G574" s="27">
        <f>IF($L574&lt;&gt;"",IF(INDEX(SCOp,$L574)="مرجوعی فروش","",IF(INDEX(SCAmount,$L574)&lt;=0,"",INDEX(SCAmount,$L574))),IF($M574&lt;&gt;"",IF(INDEX(LdgWitB,$M574)=0,"",INDEX(LdgWitB,$M574)),""))</f>
        <v/>
      </c>
      <c r="H574" s="27">
        <f>IF($L574&lt;&gt;"",IF(INDEX(SCOp,$L574)="مرجوعی فروش",IF(INDEX(SCAmount,$L574)=0,"",-INDEX(SCAmount,$L574)),""),IF($M574&lt;&gt;"",IF(INDEX(LdgDepB,$M574)=0,"",INDEX(LdgDepB,$M574)),""))</f>
        <v/>
      </c>
      <c r="I574" s="28">
        <f>IF($B574="","",IF($I573="",$C$10,$I573)+IF($G574="",0,$G574)-IF($H574="",0,$H574))</f>
        <v/>
      </c>
      <c r="L574">
        <f>IFERROR(MATCH($C$5&amp;"|"&amp;RIGHT("000000"&amp;558,6),LdgRankKeyA,0),"")</f>
        <v/>
      </c>
      <c r="M574">
        <f>IFERROR(MATCH($C$5&amp;"|"&amp;RIGHT("000000"&amp;558,6),LdgRankKeyB,0),"")</f>
        <v/>
      </c>
    </row>
    <row r="575">
      <c r="A575" s="17" t="n">
        <v>559</v>
      </c>
      <c r="B575" s="18">
        <f>IF(AND($L575="",$M575=""),"",IF($L575&lt;&gt;"",INDEX(SCNormDate,$L575),INDEX(LdgDateB,$M575)))</f>
        <v/>
      </c>
      <c r="C575" s="18">
        <f>IF($L575&lt;&gt;"",INDEX(SCOp,$L575),IF($M575&lt;&gt;"","پرداخت بانکی",""))</f>
        <v/>
      </c>
      <c r="D575" s="18">
        <f>IF($L575&lt;&gt;"",IF(INDEX(SCDoc,$L575)="","—",INDEX(SCDoc,$L575)),IF($M575&lt;&gt;"",INDEX(LdgBankB,$M575),""))</f>
        <v/>
      </c>
      <c r="E575" s="19">
        <f>IF($L575&lt;&gt;"",IF(INDEX(SCCitrus,$L575)&amp;INDEX(SCNotes,$L575)="","",IF(INDEX(SCCitrus,$L575)="","",INDEX(SCCitrus,$L575))&amp;IF(INDEX(SCNotes,$L575)="",""," — "&amp;INDEX(SCNotes,$L575))),IF($M575&lt;&gt;"",IF(INDEX(LdgNoteB,$M575)="","—",INDEX(LdgNoteB,$M575)),""))</f>
        <v/>
      </c>
      <c r="F575" s="20">
        <f>IF($L575&lt;&gt;"",IF(INDEX(SCNet,$L575)=0,"",INDEX(SCNet,$L575)),"")</f>
        <v/>
      </c>
      <c r="G575" s="21">
        <f>IF($L575&lt;&gt;"",IF(INDEX(SCOp,$L575)="مرجوعی فروش","",IF(INDEX(SCAmount,$L575)&lt;=0,"",INDEX(SCAmount,$L575))),IF($M575&lt;&gt;"",IF(INDEX(LdgWitB,$M575)=0,"",INDEX(LdgWitB,$M575)),""))</f>
        <v/>
      </c>
      <c r="H575" s="21">
        <f>IF($L575&lt;&gt;"",IF(INDEX(SCOp,$L575)="مرجوعی فروش",IF(INDEX(SCAmount,$L575)=0,"",-INDEX(SCAmount,$L575)),""),IF($M575&lt;&gt;"",IF(INDEX(LdgDepB,$M575)=0,"",INDEX(LdgDepB,$M575)),""))</f>
        <v/>
      </c>
      <c r="I575" s="22">
        <f>IF($B575="","",IF($I574="",$C$10,$I574)+IF($G575="",0,$G575)-IF($H575="",0,$H575))</f>
        <v/>
      </c>
      <c r="L575">
        <f>IFERROR(MATCH($C$5&amp;"|"&amp;RIGHT("000000"&amp;559,6),LdgRankKeyA,0),"")</f>
        <v/>
      </c>
      <c r="M575">
        <f>IFERROR(MATCH($C$5&amp;"|"&amp;RIGHT("000000"&amp;559,6),LdgRankKeyB,0),"")</f>
        <v/>
      </c>
    </row>
    <row r="576">
      <c r="A576" s="23" t="n">
        <v>560</v>
      </c>
      <c r="B576" s="24">
        <f>IF(AND($L576="",$M576=""),"",IF($L576&lt;&gt;"",INDEX(SCNormDate,$L576),INDEX(LdgDateB,$M576)))</f>
        <v/>
      </c>
      <c r="C576" s="24">
        <f>IF($L576&lt;&gt;"",INDEX(SCOp,$L576),IF($M576&lt;&gt;"","پرداخت بانکی",""))</f>
        <v/>
      </c>
      <c r="D576" s="24">
        <f>IF($L576&lt;&gt;"",IF(INDEX(SCDoc,$L576)="","—",INDEX(SCDoc,$L576)),IF($M576&lt;&gt;"",INDEX(LdgBankB,$M576),""))</f>
        <v/>
      </c>
      <c r="E576" s="25">
        <f>IF($L576&lt;&gt;"",IF(INDEX(SCCitrus,$L576)&amp;INDEX(SCNotes,$L576)="","",IF(INDEX(SCCitrus,$L576)="","",INDEX(SCCitrus,$L576))&amp;IF(INDEX(SCNotes,$L576)="",""," — "&amp;INDEX(SCNotes,$L576))),IF($M576&lt;&gt;"",IF(INDEX(LdgNoteB,$M576)="","—",INDEX(LdgNoteB,$M576)),""))</f>
        <v/>
      </c>
      <c r="F576" s="26">
        <f>IF($L576&lt;&gt;"",IF(INDEX(SCNet,$L576)=0,"",INDEX(SCNet,$L576)),"")</f>
        <v/>
      </c>
      <c r="G576" s="27">
        <f>IF($L576&lt;&gt;"",IF(INDEX(SCOp,$L576)="مرجوعی فروش","",IF(INDEX(SCAmount,$L576)&lt;=0,"",INDEX(SCAmount,$L576))),IF($M576&lt;&gt;"",IF(INDEX(LdgWitB,$M576)=0,"",INDEX(LdgWitB,$M576)),""))</f>
        <v/>
      </c>
      <c r="H576" s="27">
        <f>IF($L576&lt;&gt;"",IF(INDEX(SCOp,$L576)="مرجوعی فروش",IF(INDEX(SCAmount,$L576)=0,"",-INDEX(SCAmount,$L576)),""),IF($M576&lt;&gt;"",IF(INDEX(LdgDepB,$M576)=0,"",INDEX(LdgDepB,$M576)),""))</f>
        <v/>
      </c>
      <c r="I576" s="28">
        <f>IF($B576="","",IF($I575="",$C$10,$I575)+IF($G576="",0,$G576)-IF($H576="",0,$H576))</f>
        <v/>
      </c>
      <c r="L576">
        <f>IFERROR(MATCH($C$5&amp;"|"&amp;RIGHT("000000"&amp;560,6),LdgRankKeyA,0),"")</f>
        <v/>
      </c>
      <c r="M576">
        <f>IFERROR(MATCH($C$5&amp;"|"&amp;RIGHT("000000"&amp;560,6),LdgRankKeyB,0),"")</f>
        <v/>
      </c>
    </row>
    <row r="577">
      <c r="A577" s="17" t="n">
        <v>561</v>
      </c>
      <c r="B577" s="18">
        <f>IF(AND($L577="",$M577=""),"",IF($L577&lt;&gt;"",INDEX(SCNormDate,$L577),INDEX(LdgDateB,$M577)))</f>
        <v/>
      </c>
      <c r="C577" s="18">
        <f>IF($L577&lt;&gt;"",INDEX(SCOp,$L577),IF($M577&lt;&gt;"","پرداخت بانکی",""))</f>
        <v/>
      </c>
      <c r="D577" s="18">
        <f>IF($L577&lt;&gt;"",IF(INDEX(SCDoc,$L577)="","—",INDEX(SCDoc,$L577)),IF($M577&lt;&gt;"",INDEX(LdgBankB,$M577),""))</f>
        <v/>
      </c>
      <c r="E577" s="19">
        <f>IF($L577&lt;&gt;"",IF(INDEX(SCCitrus,$L577)&amp;INDEX(SCNotes,$L577)="","",IF(INDEX(SCCitrus,$L577)="","",INDEX(SCCitrus,$L577))&amp;IF(INDEX(SCNotes,$L577)="",""," — "&amp;INDEX(SCNotes,$L577))),IF($M577&lt;&gt;"",IF(INDEX(LdgNoteB,$M577)="","—",INDEX(LdgNoteB,$M577)),""))</f>
        <v/>
      </c>
      <c r="F577" s="20">
        <f>IF($L577&lt;&gt;"",IF(INDEX(SCNet,$L577)=0,"",INDEX(SCNet,$L577)),"")</f>
        <v/>
      </c>
      <c r="G577" s="21">
        <f>IF($L577&lt;&gt;"",IF(INDEX(SCOp,$L577)="مرجوعی فروش","",IF(INDEX(SCAmount,$L577)&lt;=0,"",INDEX(SCAmount,$L577))),IF($M577&lt;&gt;"",IF(INDEX(LdgWitB,$M577)=0,"",INDEX(LdgWitB,$M577)),""))</f>
        <v/>
      </c>
      <c r="H577" s="21">
        <f>IF($L577&lt;&gt;"",IF(INDEX(SCOp,$L577)="مرجوعی فروش",IF(INDEX(SCAmount,$L577)=0,"",-INDEX(SCAmount,$L577)),""),IF($M577&lt;&gt;"",IF(INDEX(LdgDepB,$M577)=0,"",INDEX(LdgDepB,$M577)),""))</f>
        <v/>
      </c>
      <c r="I577" s="22">
        <f>IF($B577="","",IF($I576="",$C$10,$I576)+IF($G577="",0,$G577)-IF($H577="",0,$H577))</f>
        <v/>
      </c>
      <c r="L577">
        <f>IFERROR(MATCH($C$5&amp;"|"&amp;RIGHT("000000"&amp;561,6),LdgRankKeyA,0),"")</f>
        <v/>
      </c>
      <c r="M577">
        <f>IFERROR(MATCH($C$5&amp;"|"&amp;RIGHT("000000"&amp;561,6),LdgRankKeyB,0),"")</f>
        <v/>
      </c>
    </row>
    <row r="578">
      <c r="A578" s="23" t="n">
        <v>562</v>
      </c>
      <c r="B578" s="24">
        <f>IF(AND($L578="",$M578=""),"",IF($L578&lt;&gt;"",INDEX(SCNormDate,$L578),INDEX(LdgDateB,$M578)))</f>
        <v/>
      </c>
      <c r="C578" s="24">
        <f>IF($L578&lt;&gt;"",INDEX(SCOp,$L578),IF($M578&lt;&gt;"","پرداخت بانکی",""))</f>
        <v/>
      </c>
      <c r="D578" s="24">
        <f>IF($L578&lt;&gt;"",IF(INDEX(SCDoc,$L578)="","—",INDEX(SCDoc,$L578)),IF($M578&lt;&gt;"",INDEX(LdgBankB,$M578),""))</f>
        <v/>
      </c>
      <c r="E578" s="25">
        <f>IF($L578&lt;&gt;"",IF(INDEX(SCCitrus,$L578)&amp;INDEX(SCNotes,$L578)="","",IF(INDEX(SCCitrus,$L578)="","",INDEX(SCCitrus,$L578))&amp;IF(INDEX(SCNotes,$L578)="",""," — "&amp;INDEX(SCNotes,$L578))),IF($M578&lt;&gt;"",IF(INDEX(LdgNoteB,$M578)="","—",INDEX(LdgNoteB,$M578)),""))</f>
        <v/>
      </c>
      <c r="F578" s="26">
        <f>IF($L578&lt;&gt;"",IF(INDEX(SCNet,$L578)=0,"",INDEX(SCNet,$L578)),"")</f>
        <v/>
      </c>
      <c r="G578" s="27">
        <f>IF($L578&lt;&gt;"",IF(INDEX(SCOp,$L578)="مرجوعی فروش","",IF(INDEX(SCAmount,$L578)&lt;=0,"",INDEX(SCAmount,$L578))),IF($M578&lt;&gt;"",IF(INDEX(LdgWitB,$M578)=0,"",INDEX(LdgWitB,$M578)),""))</f>
        <v/>
      </c>
      <c r="H578" s="27">
        <f>IF($L578&lt;&gt;"",IF(INDEX(SCOp,$L578)="مرجوعی فروش",IF(INDEX(SCAmount,$L578)=0,"",-INDEX(SCAmount,$L578)),""),IF($M578&lt;&gt;"",IF(INDEX(LdgDepB,$M578)=0,"",INDEX(LdgDepB,$M578)),""))</f>
        <v/>
      </c>
      <c r="I578" s="28">
        <f>IF($B578="","",IF($I577="",$C$10,$I577)+IF($G578="",0,$G578)-IF($H578="",0,$H578))</f>
        <v/>
      </c>
      <c r="L578">
        <f>IFERROR(MATCH($C$5&amp;"|"&amp;RIGHT("000000"&amp;562,6),LdgRankKeyA,0),"")</f>
        <v/>
      </c>
      <c r="M578">
        <f>IFERROR(MATCH($C$5&amp;"|"&amp;RIGHT("000000"&amp;562,6),LdgRankKeyB,0),"")</f>
        <v/>
      </c>
    </row>
    <row r="579">
      <c r="A579" s="17" t="n">
        <v>563</v>
      </c>
      <c r="B579" s="18">
        <f>IF(AND($L579="",$M579=""),"",IF($L579&lt;&gt;"",INDEX(SCNormDate,$L579),INDEX(LdgDateB,$M579)))</f>
        <v/>
      </c>
      <c r="C579" s="18">
        <f>IF($L579&lt;&gt;"",INDEX(SCOp,$L579),IF($M579&lt;&gt;"","پرداخت بانکی",""))</f>
        <v/>
      </c>
      <c r="D579" s="18">
        <f>IF($L579&lt;&gt;"",IF(INDEX(SCDoc,$L579)="","—",INDEX(SCDoc,$L579)),IF($M579&lt;&gt;"",INDEX(LdgBankB,$M579),""))</f>
        <v/>
      </c>
      <c r="E579" s="19">
        <f>IF($L579&lt;&gt;"",IF(INDEX(SCCitrus,$L579)&amp;INDEX(SCNotes,$L579)="","",IF(INDEX(SCCitrus,$L579)="","",INDEX(SCCitrus,$L579))&amp;IF(INDEX(SCNotes,$L579)="",""," — "&amp;INDEX(SCNotes,$L579))),IF($M579&lt;&gt;"",IF(INDEX(LdgNoteB,$M579)="","—",INDEX(LdgNoteB,$M579)),""))</f>
        <v/>
      </c>
      <c r="F579" s="20">
        <f>IF($L579&lt;&gt;"",IF(INDEX(SCNet,$L579)=0,"",INDEX(SCNet,$L579)),"")</f>
        <v/>
      </c>
      <c r="G579" s="21">
        <f>IF($L579&lt;&gt;"",IF(INDEX(SCOp,$L579)="مرجوعی فروش","",IF(INDEX(SCAmount,$L579)&lt;=0,"",INDEX(SCAmount,$L579))),IF($M579&lt;&gt;"",IF(INDEX(LdgWitB,$M579)=0,"",INDEX(LdgWitB,$M579)),""))</f>
        <v/>
      </c>
      <c r="H579" s="21">
        <f>IF($L579&lt;&gt;"",IF(INDEX(SCOp,$L579)="مرجوعی فروش",IF(INDEX(SCAmount,$L579)=0,"",-INDEX(SCAmount,$L579)),""),IF($M579&lt;&gt;"",IF(INDEX(LdgDepB,$M579)=0,"",INDEX(LdgDepB,$M579)),""))</f>
        <v/>
      </c>
      <c r="I579" s="22">
        <f>IF($B579="","",IF($I578="",$C$10,$I578)+IF($G579="",0,$G579)-IF($H579="",0,$H579))</f>
        <v/>
      </c>
      <c r="L579">
        <f>IFERROR(MATCH($C$5&amp;"|"&amp;RIGHT("000000"&amp;563,6),LdgRankKeyA,0),"")</f>
        <v/>
      </c>
      <c r="M579">
        <f>IFERROR(MATCH($C$5&amp;"|"&amp;RIGHT("000000"&amp;563,6),LdgRankKeyB,0),"")</f>
        <v/>
      </c>
    </row>
    <row r="580">
      <c r="A580" s="23" t="n">
        <v>564</v>
      </c>
      <c r="B580" s="24">
        <f>IF(AND($L580="",$M580=""),"",IF($L580&lt;&gt;"",INDEX(SCNormDate,$L580),INDEX(LdgDateB,$M580)))</f>
        <v/>
      </c>
      <c r="C580" s="24">
        <f>IF($L580&lt;&gt;"",INDEX(SCOp,$L580),IF($M580&lt;&gt;"","پرداخت بانکی",""))</f>
        <v/>
      </c>
      <c r="D580" s="24">
        <f>IF($L580&lt;&gt;"",IF(INDEX(SCDoc,$L580)="","—",INDEX(SCDoc,$L580)),IF($M580&lt;&gt;"",INDEX(LdgBankB,$M580),""))</f>
        <v/>
      </c>
      <c r="E580" s="25">
        <f>IF($L580&lt;&gt;"",IF(INDEX(SCCitrus,$L580)&amp;INDEX(SCNotes,$L580)="","",IF(INDEX(SCCitrus,$L580)="","",INDEX(SCCitrus,$L580))&amp;IF(INDEX(SCNotes,$L580)="",""," — "&amp;INDEX(SCNotes,$L580))),IF($M580&lt;&gt;"",IF(INDEX(LdgNoteB,$M580)="","—",INDEX(LdgNoteB,$M580)),""))</f>
        <v/>
      </c>
      <c r="F580" s="26">
        <f>IF($L580&lt;&gt;"",IF(INDEX(SCNet,$L580)=0,"",INDEX(SCNet,$L580)),"")</f>
        <v/>
      </c>
      <c r="G580" s="27">
        <f>IF($L580&lt;&gt;"",IF(INDEX(SCOp,$L580)="مرجوعی فروش","",IF(INDEX(SCAmount,$L580)&lt;=0,"",INDEX(SCAmount,$L580))),IF($M580&lt;&gt;"",IF(INDEX(LdgWitB,$M580)=0,"",INDEX(LdgWitB,$M580)),""))</f>
        <v/>
      </c>
      <c r="H580" s="27">
        <f>IF($L580&lt;&gt;"",IF(INDEX(SCOp,$L580)="مرجوعی فروش",IF(INDEX(SCAmount,$L580)=0,"",-INDEX(SCAmount,$L580)),""),IF($M580&lt;&gt;"",IF(INDEX(LdgDepB,$M580)=0,"",INDEX(LdgDepB,$M580)),""))</f>
        <v/>
      </c>
      <c r="I580" s="28">
        <f>IF($B580="","",IF($I579="",$C$10,$I579)+IF($G580="",0,$G580)-IF($H580="",0,$H580))</f>
        <v/>
      </c>
      <c r="L580">
        <f>IFERROR(MATCH($C$5&amp;"|"&amp;RIGHT("000000"&amp;564,6),LdgRankKeyA,0),"")</f>
        <v/>
      </c>
      <c r="M580">
        <f>IFERROR(MATCH($C$5&amp;"|"&amp;RIGHT("000000"&amp;564,6),LdgRankKeyB,0),"")</f>
        <v/>
      </c>
    </row>
    <row r="581">
      <c r="A581" s="17" t="n">
        <v>565</v>
      </c>
      <c r="B581" s="18">
        <f>IF(AND($L581="",$M581=""),"",IF($L581&lt;&gt;"",INDEX(SCNormDate,$L581),INDEX(LdgDateB,$M581)))</f>
        <v/>
      </c>
      <c r="C581" s="18">
        <f>IF($L581&lt;&gt;"",INDEX(SCOp,$L581),IF($M581&lt;&gt;"","پرداخت بانکی",""))</f>
        <v/>
      </c>
      <c r="D581" s="18">
        <f>IF($L581&lt;&gt;"",IF(INDEX(SCDoc,$L581)="","—",INDEX(SCDoc,$L581)),IF($M581&lt;&gt;"",INDEX(LdgBankB,$M581),""))</f>
        <v/>
      </c>
      <c r="E581" s="19">
        <f>IF($L581&lt;&gt;"",IF(INDEX(SCCitrus,$L581)&amp;INDEX(SCNotes,$L581)="","",IF(INDEX(SCCitrus,$L581)="","",INDEX(SCCitrus,$L581))&amp;IF(INDEX(SCNotes,$L581)="",""," — "&amp;INDEX(SCNotes,$L581))),IF($M581&lt;&gt;"",IF(INDEX(LdgNoteB,$M581)="","—",INDEX(LdgNoteB,$M581)),""))</f>
        <v/>
      </c>
      <c r="F581" s="20">
        <f>IF($L581&lt;&gt;"",IF(INDEX(SCNet,$L581)=0,"",INDEX(SCNet,$L581)),"")</f>
        <v/>
      </c>
      <c r="G581" s="21">
        <f>IF($L581&lt;&gt;"",IF(INDEX(SCOp,$L581)="مرجوعی فروش","",IF(INDEX(SCAmount,$L581)&lt;=0,"",INDEX(SCAmount,$L581))),IF($M581&lt;&gt;"",IF(INDEX(LdgWitB,$M581)=0,"",INDEX(LdgWitB,$M581)),""))</f>
        <v/>
      </c>
      <c r="H581" s="21">
        <f>IF($L581&lt;&gt;"",IF(INDEX(SCOp,$L581)="مرجوعی فروش",IF(INDEX(SCAmount,$L581)=0,"",-INDEX(SCAmount,$L581)),""),IF($M581&lt;&gt;"",IF(INDEX(LdgDepB,$M581)=0,"",INDEX(LdgDepB,$M581)),""))</f>
        <v/>
      </c>
      <c r="I581" s="22">
        <f>IF($B581="","",IF($I580="",$C$10,$I580)+IF($G581="",0,$G581)-IF($H581="",0,$H581))</f>
        <v/>
      </c>
      <c r="L581">
        <f>IFERROR(MATCH($C$5&amp;"|"&amp;RIGHT("000000"&amp;565,6),LdgRankKeyA,0),"")</f>
        <v/>
      </c>
      <c r="M581">
        <f>IFERROR(MATCH($C$5&amp;"|"&amp;RIGHT("000000"&amp;565,6),LdgRankKeyB,0),"")</f>
        <v/>
      </c>
    </row>
    <row r="582">
      <c r="A582" s="23" t="n">
        <v>566</v>
      </c>
      <c r="B582" s="24">
        <f>IF(AND($L582="",$M582=""),"",IF($L582&lt;&gt;"",INDEX(SCNormDate,$L582),INDEX(LdgDateB,$M582)))</f>
        <v/>
      </c>
      <c r="C582" s="24">
        <f>IF($L582&lt;&gt;"",INDEX(SCOp,$L582),IF($M582&lt;&gt;"","پرداخت بانکی",""))</f>
        <v/>
      </c>
      <c r="D582" s="24">
        <f>IF($L582&lt;&gt;"",IF(INDEX(SCDoc,$L582)="","—",INDEX(SCDoc,$L582)),IF($M582&lt;&gt;"",INDEX(LdgBankB,$M582),""))</f>
        <v/>
      </c>
      <c r="E582" s="25">
        <f>IF($L582&lt;&gt;"",IF(INDEX(SCCitrus,$L582)&amp;INDEX(SCNotes,$L582)="","",IF(INDEX(SCCitrus,$L582)="","",INDEX(SCCitrus,$L582))&amp;IF(INDEX(SCNotes,$L582)="",""," — "&amp;INDEX(SCNotes,$L582))),IF($M582&lt;&gt;"",IF(INDEX(LdgNoteB,$M582)="","—",INDEX(LdgNoteB,$M582)),""))</f>
        <v/>
      </c>
      <c r="F582" s="26">
        <f>IF($L582&lt;&gt;"",IF(INDEX(SCNet,$L582)=0,"",INDEX(SCNet,$L582)),"")</f>
        <v/>
      </c>
      <c r="G582" s="27">
        <f>IF($L582&lt;&gt;"",IF(INDEX(SCOp,$L582)="مرجوعی فروش","",IF(INDEX(SCAmount,$L582)&lt;=0,"",INDEX(SCAmount,$L582))),IF($M582&lt;&gt;"",IF(INDEX(LdgWitB,$M582)=0,"",INDEX(LdgWitB,$M582)),""))</f>
        <v/>
      </c>
      <c r="H582" s="27">
        <f>IF($L582&lt;&gt;"",IF(INDEX(SCOp,$L582)="مرجوعی فروش",IF(INDEX(SCAmount,$L582)=0,"",-INDEX(SCAmount,$L582)),""),IF($M582&lt;&gt;"",IF(INDEX(LdgDepB,$M582)=0,"",INDEX(LdgDepB,$M582)),""))</f>
        <v/>
      </c>
      <c r="I582" s="28">
        <f>IF($B582="","",IF($I581="",$C$10,$I581)+IF($G582="",0,$G582)-IF($H582="",0,$H582))</f>
        <v/>
      </c>
      <c r="L582">
        <f>IFERROR(MATCH($C$5&amp;"|"&amp;RIGHT("000000"&amp;566,6),LdgRankKeyA,0),"")</f>
        <v/>
      </c>
      <c r="M582">
        <f>IFERROR(MATCH($C$5&amp;"|"&amp;RIGHT("000000"&amp;566,6),LdgRankKeyB,0),"")</f>
        <v/>
      </c>
    </row>
    <row r="583">
      <c r="A583" s="17" t="n">
        <v>567</v>
      </c>
      <c r="B583" s="18">
        <f>IF(AND($L583="",$M583=""),"",IF($L583&lt;&gt;"",INDEX(SCNormDate,$L583),INDEX(LdgDateB,$M583)))</f>
        <v/>
      </c>
      <c r="C583" s="18">
        <f>IF($L583&lt;&gt;"",INDEX(SCOp,$L583),IF($M583&lt;&gt;"","پرداخت بانکی",""))</f>
        <v/>
      </c>
      <c r="D583" s="18">
        <f>IF($L583&lt;&gt;"",IF(INDEX(SCDoc,$L583)="","—",INDEX(SCDoc,$L583)),IF($M583&lt;&gt;"",INDEX(LdgBankB,$M583),""))</f>
        <v/>
      </c>
      <c r="E583" s="19">
        <f>IF($L583&lt;&gt;"",IF(INDEX(SCCitrus,$L583)&amp;INDEX(SCNotes,$L583)="","",IF(INDEX(SCCitrus,$L583)="","",INDEX(SCCitrus,$L583))&amp;IF(INDEX(SCNotes,$L583)="",""," — "&amp;INDEX(SCNotes,$L583))),IF($M583&lt;&gt;"",IF(INDEX(LdgNoteB,$M583)="","—",INDEX(LdgNoteB,$M583)),""))</f>
        <v/>
      </c>
      <c r="F583" s="20">
        <f>IF($L583&lt;&gt;"",IF(INDEX(SCNet,$L583)=0,"",INDEX(SCNet,$L583)),"")</f>
        <v/>
      </c>
      <c r="G583" s="21">
        <f>IF($L583&lt;&gt;"",IF(INDEX(SCOp,$L583)="مرجوعی فروش","",IF(INDEX(SCAmount,$L583)&lt;=0,"",INDEX(SCAmount,$L583))),IF($M583&lt;&gt;"",IF(INDEX(LdgWitB,$M583)=0,"",INDEX(LdgWitB,$M583)),""))</f>
        <v/>
      </c>
      <c r="H583" s="21">
        <f>IF($L583&lt;&gt;"",IF(INDEX(SCOp,$L583)="مرجوعی فروش",IF(INDEX(SCAmount,$L583)=0,"",-INDEX(SCAmount,$L583)),""),IF($M583&lt;&gt;"",IF(INDEX(LdgDepB,$M583)=0,"",INDEX(LdgDepB,$M583)),""))</f>
        <v/>
      </c>
      <c r="I583" s="22">
        <f>IF($B583="","",IF($I582="",$C$10,$I582)+IF($G583="",0,$G583)-IF($H583="",0,$H583))</f>
        <v/>
      </c>
      <c r="L583">
        <f>IFERROR(MATCH($C$5&amp;"|"&amp;RIGHT("000000"&amp;567,6),LdgRankKeyA,0),"")</f>
        <v/>
      </c>
      <c r="M583">
        <f>IFERROR(MATCH($C$5&amp;"|"&amp;RIGHT("000000"&amp;567,6),LdgRankKeyB,0),"")</f>
        <v/>
      </c>
    </row>
    <row r="584">
      <c r="A584" s="23" t="n">
        <v>568</v>
      </c>
      <c r="B584" s="24">
        <f>IF(AND($L584="",$M584=""),"",IF($L584&lt;&gt;"",INDEX(SCNormDate,$L584),INDEX(LdgDateB,$M584)))</f>
        <v/>
      </c>
      <c r="C584" s="24">
        <f>IF($L584&lt;&gt;"",INDEX(SCOp,$L584),IF($M584&lt;&gt;"","پرداخت بانکی",""))</f>
        <v/>
      </c>
      <c r="D584" s="24">
        <f>IF($L584&lt;&gt;"",IF(INDEX(SCDoc,$L584)="","—",INDEX(SCDoc,$L584)),IF($M584&lt;&gt;"",INDEX(LdgBankB,$M584),""))</f>
        <v/>
      </c>
      <c r="E584" s="25">
        <f>IF($L584&lt;&gt;"",IF(INDEX(SCCitrus,$L584)&amp;INDEX(SCNotes,$L584)="","",IF(INDEX(SCCitrus,$L584)="","",INDEX(SCCitrus,$L584))&amp;IF(INDEX(SCNotes,$L584)="",""," — "&amp;INDEX(SCNotes,$L584))),IF($M584&lt;&gt;"",IF(INDEX(LdgNoteB,$M584)="","—",INDEX(LdgNoteB,$M584)),""))</f>
        <v/>
      </c>
      <c r="F584" s="26">
        <f>IF($L584&lt;&gt;"",IF(INDEX(SCNet,$L584)=0,"",INDEX(SCNet,$L584)),"")</f>
        <v/>
      </c>
      <c r="G584" s="27">
        <f>IF($L584&lt;&gt;"",IF(INDEX(SCOp,$L584)="مرجوعی فروش","",IF(INDEX(SCAmount,$L584)&lt;=0,"",INDEX(SCAmount,$L584))),IF($M584&lt;&gt;"",IF(INDEX(LdgWitB,$M584)=0,"",INDEX(LdgWitB,$M584)),""))</f>
        <v/>
      </c>
      <c r="H584" s="27">
        <f>IF($L584&lt;&gt;"",IF(INDEX(SCOp,$L584)="مرجوعی فروش",IF(INDEX(SCAmount,$L584)=0,"",-INDEX(SCAmount,$L584)),""),IF($M584&lt;&gt;"",IF(INDEX(LdgDepB,$M584)=0,"",INDEX(LdgDepB,$M584)),""))</f>
        <v/>
      </c>
      <c r="I584" s="28">
        <f>IF($B584="","",IF($I583="",$C$10,$I583)+IF($G584="",0,$G584)-IF($H584="",0,$H584))</f>
        <v/>
      </c>
      <c r="L584">
        <f>IFERROR(MATCH($C$5&amp;"|"&amp;RIGHT("000000"&amp;568,6),LdgRankKeyA,0),"")</f>
        <v/>
      </c>
      <c r="M584">
        <f>IFERROR(MATCH($C$5&amp;"|"&amp;RIGHT("000000"&amp;568,6),LdgRankKeyB,0),"")</f>
        <v/>
      </c>
    </row>
    <row r="585">
      <c r="A585" s="17" t="n">
        <v>569</v>
      </c>
      <c r="B585" s="18">
        <f>IF(AND($L585="",$M585=""),"",IF($L585&lt;&gt;"",INDEX(SCNormDate,$L585),INDEX(LdgDateB,$M585)))</f>
        <v/>
      </c>
      <c r="C585" s="18">
        <f>IF($L585&lt;&gt;"",INDEX(SCOp,$L585),IF($M585&lt;&gt;"","پرداخت بانکی",""))</f>
        <v/>
      </c>
      <c r="D585" s="18">
        <f>IF($L585&lt;&gt;"",IF(INDEX(SCDoc,$L585)="","—",INDEX(SCDoc,$L585)),IF($M585&lt;&gt;"",INDEX(LdgBankB,$M585),""))</f>
        <v/>
      </c>
      <c r="E585" s="19">
        <f>IF($L585&lt;&gt;"",IF(INDEX(SCCitrus,$L585)&amp;INDEX(SCNotes,$L585)="","",IF(INDEX(SCCitrus,$L585)="","",INDEX(SCCitrus,$L585))&amp;IF(INDEX(SCNotes,$L585)="",""," — "&amp;INDEX(SCNotes,$L585))),IF($M585&lt;&gt;"",IF(INDEX(LdgNoteB,$M585)="","—",INDEX(LdgNoteB,$M585)),""))</f>
        <v/>
      </c>
      <c r="F585" s="20">
        <f>IF($L585&lt;&gt;"",IF(INDEX(SCNet,$L585)=0,"",INDEX(SCNet,$L585)),"")</f>
        <v/>
      </c>
      <c r="G585" s="21">
        <f>IF($L585&lt;&gt;"",IF(INDEX(SCOp,$L585)="مرجوعی فروش","",IF(INDEX(SCAmount,$L585)&lt;=0,"",INDEX(SCAmount,$L585))),IF($M585&lt;&gt;"",IF(INDEX(LdgWitB,$M585)=0,"",INDEX(LdgWitB,$M585)),""))</f>
        <v/>
      </c>
      <c r="H585" s="21">
        <f>IF($L585&lt;&gt;"",IF(INDEX(SCOp,$L585)="مرجوعی فروش",IF(INDEX(SCAmount,$L585)=0,"",-INDEX(SCAmount,$L585)),""),IF($M585&lt;&gt;"",IF(INDEX(LdgDepB,$M585)=0,"",INDEX(LdgDepB,$M585)),""))</f>
        <v/>
      </c>
      <c r="I585" s="22">
        <f>IF($B585="","",IF($I584="",$C$10,$I584)+IF($G585="",0,$G585)-IF($H585="",0,$H585))</f>
        <v/>
      </c>
      <c r="L585">
        <f>IFERROR(MATCH($C$5&amp;"|"&amp;RIGHT("000000"&amp;569,6),LdgRankKeyA,0),"")</f>
        <v/>
      </c>
      <c r="M585">
        <f>IFERROR(MATCH($C$5&amp;"|"&amp;RIGHT("000000"&amp;569,6),LdgRankKeyB,0),"")</f>
        <v/>
      </c>
    </row>
    <row r="586">
      <c r="A586" s="23" t="n">
        <v>570</v>
      </c>
      <c r="B586" s="24">
        <f>IF(AND($L586="",$M586=""),"",IF($L586&lt;&gt;"",INDEX(SCNormDate,$L586),INDEX(LdgDateB,$M586)))</f>
        <v/>
      </c>
      <c r="C586" s="24">
        <f>IF($L586&lt;&gt;"",INDEX(SCOp,$L586),IF($M586&lt;&gt;"","پرداخت بانکی",""))</f>
        <v/>
      </c>
      <c r="D586" s="24">
        <f>IF($L586&lt;&gt;"",IF(INDEX(SCDoc,$L586)="","—",INDEX(SCDoc,$L586)),IF($M586&lt;&gt;"",INDEX(LdgBankB,$M586),""))</f>
        <v/>
      </c>
      <c r="E586" s="25">
        <f>IF($L586&lt;&gt;"",IF(INDEX(SCCitrus,$L586)&amp;INDEX(SCNotes,$L586)="","",IF(INDEX(SCCitrus,$L586)="","",INDEX(SCCitrus,$L586))&amp;IF(INDEX(SCNotes,$L586)="",""," — "&amp;INDEX(SCNotes,$L586))),IF($M586&lt;&gt;"",IF(INDEX(LdgNoteB,$M586)="","—",INDEX(LdgNoteB,$M586)),""))</f>
        <v/>
      </c>
      <c r="F586" s="26">
        <f>IF($L586&lt;&gt;"",IF(INDEX(SCNet,$L586)=0,"",INDEX(SCNet,$L586)),"")</f>
        <v/>
      </c>
      <c r="G586" s="27">
        <f>IF($L586&lt;&gt;"",IF(INDEX(SCOp,$L586)="مرجوعی فروش","",IF(INDEX(SCAmount,$L586)&lt;=0,"",INDEX(SCAmount,$L586))),IF($M586&lt;&gt;"",IF(INDEX(LdgWitB,$M586)=0,"",INDEX(LdgWitB,$M586)),""))</f>
        <v/>
      </c>
      <c r="H586" s="27">
        <f>IF($L586&lt;&gt;"",IF(INDEX(SCOp,$L586)="مرجوعی فروش",IF(INDEX(SCAmount,$L586)=0,"",-INDEX(SCAmount,$L586)),""),IF($M586&lt;&gt;"",IF(INDEX(LdgDepB,$M586)=0,"",INDEX(LdgDepB,$M586)),""))</f>
        <v/>
      </c>
      <c r="I586" s="28">
        <f>IF($B586="","",IF($I585="",$C$10,$I585)+IF($G586="",0,$G586)-IF($H586="",0,$H586))</f>
        <v/>
      </c>
      <c r="L586">
        <f>IFERROR(MATCH($C$5&amp;"|"&amp;RIGHT("000000"&amp;570,6),LdgRankKeyA,0),"")</f>
        <v/>
      </c>
      <c r="M586">
        <f>IFERROR(MATCH($C$5&amp;"|"&amp;RIGHT("000000"&amp;570,6),LdgRankKeyB,0),"")</f>
        <v/>
      </c>
    </row>
    <row r="587">
      <c r="A587" s="17" t="n">
        <v>571</v>
      </c>
      <c r="B587" s="18">
        <f>IF(AND($L587="",$M587=""),"",IF($L587&lt;&gt;"",INDEX(SCNormDate,$L587),INDEX(LdgDateB,$M587)))</f>
        <v/>
      </c>
      <c r="C587" s="18">
        <f>IF($L587&lt;&gt;"",INDEX(SCOp,$L587),IF($M587&lt;&gt;"","پرداخت بانکی",""))</f>
        <v/>
      </c>
      <c r="D587" s="18">
        <f>IF($L587&lt;&gt;"",IF(INDEX(SCDoc,$L587)="","—",INDEX(SCDoc,$L587)),IF($M587&lt;&gt;"",INDEX(LdgBankB,$M587),""))</f>
        <v/>
      </c>
      <c r="E587" s="19">
        <f>IF($L587&lt;&gt;"",IF(INDEX(SCCitrus,$L587)&amp;INDEX(SCNotes,$L587)="","",IF(INDEX(SCCitrus,$L587)="","",INDEX(SCCitrus,$L587))&amp;IF(INDEX(SCNotes,$L587)="",""," — "&amp;INDEX(SCNotes,$L587))),IF($M587&lt;&gt;"",IF(INDEX(LdgNoteB,$M587)="","—",INDEX(LdgNoteB,$M587)),""))</f>
        <v/>
      </c>
      <c r="F587" s="20">
        <f>IF($L587&lt;&gt;"",IF(INDEX(SCNet,$L587)=0,"",INDEX(SCNet,$L587)),"")</f>
        <v/>
      </c>
      <c r="G587" s="21">
        <f>IF($L587&lt;&gt;"",IF(INDEX(SCOp,$L587)="مرجوعی فروش","",IF(INDEX(SCAmount,$L587)&lt;=0,"",INDEX(SCAmount,$L587))),IF($M587&lt;&gt;"",IF(INDEX(LdgWitB,$M587)=0,"",INDEX(LdgWitB,$M587)),""))</f>
        <v/>
      </c>
      <c r="H587" s="21">
        <f>IF($L587&lt;&gt;"",IF(INDEX(SCOp,$L587)="مرجوعی فروش",IF(INDEX(SCAmount,$L587)=0,"",-INDEX(SCAmount,$L587)),""),IF($M587&lt;&gt;"",IF(INDEX(LdgDepB,$M587)=0,"",INDEX(LdgDepB,$M587)),""))</f>
        <v/>
      </c>
      <c r="I587" s="22">
        <f>IF($B587="","",IF($I586="",$C$10,$I586)+IF($G587="",0,$G587)-IF($H587="",0,$H587))</f>
        <v/>
      </c>
      <c r="L587">
        <f>IFERROR(MATCH($C$5&amp;"|"&amp;RIGHT("000000"&amp;571,6),LdgRankKeyA,0),"")</f>
        <v/>
      </c>
      <c r="M587">
        <f>IFERROR(MATCH($C$5&amp;"|"&amp;RIGHT("000000"&amp;571,6),LdgRankKeyB,0),"")</f>
        <v/>
      </c>
    </row>
    <row r="588">
      <c r="A588" s="23" t="n">
        <v>572</v>
      </c>
      <c r="B588" s="24">
        <f>IF(AND($L588="",$M588=""),"",IF($L588&lt;&gt;"",INDEX(SCNormDate,$L588),INDEX(LdgDateB,$M588)))</f>
        <v/>
      </c>
      <c r="C588" s="24">
        <f>IF($L588&lt;&gt;"",INDEX(SCOp,$L588),IF($M588&lt;&gt;"","پرداخت بانکی",""))</f>
        <v/>
      </c>
      <c r="D588" s="24">
        <f>IF($L588&lt;&gt;"",IF(INDEX(SCDoc,$L588)="","—",INDEX(SCDoc,$L588)),IF($M588&lt;&gt;"",INDEX(LdgBankB,$M588),""))</f>
        <v/>
      </c>
      <c r="E588" s="25">
        <f>IF($L588&lt;&gt;"",IF(INDEX(SCCitrus,$L588)&amp;INDEX(SCNotes,$L588)="","",IF(INDEX(SCCitrus,$L588)="","",INDEX(SCCitrus,$L588))&amp;IF(INDEX(SCNotes,$L588)="",""," — "&amp;INDEX(SCNotes,$L588))),IF($M588&lt;&gt;"",IF(INDEX(LdgNoteB,$M588)="","—",INDEX(LdgNoteB,$M588)),""))</f>
        <v/>
      </c>
      <c r="F588" s="26">
        <f>IF($L588&lt;&gt;"",IF(INDEX(SCNet,$L588)=0,"",INDEX(SCNet,$L588)),"")</f>
        <v/>
      </c>
      <c r="G588" s="27">
        <f>IF($L588&lt;&gt;"",IF(INDEX(SCOp,$L588)="مرجوعی فروش","",IF(INDEX(SCAmount,$L588)&lt;=0,"",INDEX(SCAmount,$L588))),IF($M588&lt;&gt;"",IF(INDEX(LdgWitB,$M588)=0,"",INDEX(LdgWitB,$M588)),""))</f>
        <v/>
      </c>
      <c r="H588" s="27">
        <f>IF($L588&lt;&gt;"",IF(INDEX(SCOp,$L588)="مرجوعی فروش",IF(INDEX(SCAmount,$L588)=0,"",-INDEX(SCAmount,$L588)),""),IF($M588&lt;&gt;"",IF(INDEX(LdgDepB,$M588)=0,"",INDEX(LdgDepB,$M588)),""))</f>
        <v/>
      </c>
      <c r="I588" s="28">
        <f>IF($B588="","",IF($I587="",$C$10,$I587)+IF($G588="",0,$G588)-IF($H588="",0,$H588))</f>
        <v/>
      </c>
      <c r="L588">
        <f>IFERROR(MATCH($C$5&amp;"|"&amp;RIGHT("000000"&amp;572,6),LdgRankKeyA,0),"")</f>
        <v/>
      </c>
      <c r="M588">
        <f>IFERROR(MATCH($C$5&amp;"|"&amp;RIGHT("000000"&amp;572,6),LdgRankKeyB,0),"")</f>
        <v/>
      </c>
    </row>
    <row r="589">
      <c r="A589" s="17" t="n">
        <v>573</v>
      </c>
      <c r="B589" s="18">
        <f>IF(AND($L589="",$M589=""),"",IF($L589&lt;&gt;"",INDEX(SCNormDate,$L589),INDEX(LdgDateB,$M589)))</f>
        <v/>
      </c>
      <c r="C589" s="18">
        <f>IF($L589&lt;&gt;"",INDEX(SCOp,$L589),IF($M589&lt;&gt;"","پرداخت بانکی",""))</f>
        <v/>
      </c>
      <c r="D589" s="18">
        <f>IF($L589&lt;&gt;"",IF(INDEX(SCDoc,$L589)="","—",INDEX(SCDoc,$L589)),IF($M589&lt;&gt;"",INDEX(LdgBankB,$M589),""))</f>
        <v/>
      </c>
      <c r="E589" s="19">
        <f>IF($L589&lt;&gt;"",IF(INDEX(SCCitrus,$L589)&amp;INDEX(SCNotes,$L589)="","",IF(INDEX(SCCitrus,$L589)="","",INDEX(SCCitrus,$L589))&amp;IF(INDEX(SCNotes,$L589)="",""," — "&amp;INDEX(SCNotes,$L589))),IF($M589&lt;&gt;"",IF(INDEX(LdgNoteB,$M589)="","—",INDEX(LdgNoteB,$M589)),""))</f>
        <v/>
      </c>
      <c r="F589" s="20">
        <f>IF($L589&lt;&gt;"",IF(INDEX(SCNet,$L589)=0,"",INDEX(SCNet,$L589)),"")</f>
        <v/>
      </c>
      <c r="G589" s="21">
        <f>IF($L589&lt;&gt;"",IF(INDEX(SCOp,$L589)="مرجوعی فروش","",IF(INDEX(SCAmount,$L589)&lt;=0,"",INDEX(SCAmount,$L589))),IF($M589&lt;&gt;"",IF(INDEX(LdgWitB,$M589)=0,"",INDEX(LdgWitB,$M589)),""))</f>
        <v/>
      </c>
      <c r="H589" s="21">
        <f>IF($L589&lt;&gt;"",IF(INDEX(SCOp,$L589)="مرجوعی فروش",IF(INDEX(SCAmount,$L589)=0,"",-INDEX(SCAmount,$L589)),""),IF($M589&lt;&gt;"",IF(INDEX(LdgDepB,$M589)=0,"",INDEX(LdgDepB,$M589)),""))</f>
        <v/>
      </c>
      <c r="I589" s="22">
        <f>IF($B589="","",IF($I588="",$C$10,$I588)+IF($G589="",0,$G589)-IF($H589="",0,$H589))</f>
        <v/>
      </c>
      <c r="L589">
        <f>IFERROR(MATCH($C$5&amp;"|"&amp;RIGHT("000000"&amp;573,6),LdgRankKeyA,0),"")</f>
        <v/>
      </c>
      <c r="M589">
        <f>IFERROR(MATCH($C$5&amp;"|"&amp;RIGHT("000000"&amp;573,6),LdgRankKeyB,0),"")</f>
        <v/>
      </c>
    </row>
    <row r="590">
      <c r="A590" s="23" t="n">
        <v>574</v>
      </c>
      <c r="B590" s="24">
        <f>IF(AND($L590="",$M590=""),"",IF($L590&lt;&gt;"",INDEX(SCNormDate,$L590),INDEX(LdgDateB,$M590)))</f>
        <v/>
      </c>
      <c r="C590" s="24">
        <f>IF($L590&lt;&gt;"",INDEX(SCOp,$L590),IF($M590&lt;&gt;"","پرداخت بانکی",""))</f>
        <v/>
      </c>
      <c r="D590" s="24">
        <f>IF($L590&lt;&gt;"",IF(INDEX(SCDoc,$L590)="","—",INDEX(SCDoc,$L590)),IF($M590&lt;&gt;"",INDEX(LdgBankB,$M590),""))</f>
        <v/>
      </c>
      <c r="E590" s="25">
        <f>IF($L590&lt;&gt;"",IF(INDEX(SCCitrus,$L590)&amp;INDEX(SCNotes,$L590)="","",IF(INDEX(SCCitrus,$L590)="","",INDEX(SCCitrus,$L590))&amp;IF(INDEX(SCNotes,$L590)="",""," — "&amp;INDEX(SCNotes,$L590))),IF($M590&lt;&gt;"",IF(INDEX(LdgNoteB,$M590)="","—",INDEX(LdgNoteB,$M590)),""))</f>
        <v/>
      </c>
      <c r="F590" s="26">
        <f>IF($L590&lt;&gt;"",IF(INDEX(SCNet,$L590)=0,"",INDEX(SCNet,$L590)),"")</f>
        <v/>
      </c>
      <c r="G590" s="27">
        <f>IF($L590&lt;&gt;"",IF(INDEX(SCOp,$L590)="مرجوعی فروش","",IF(INDEX(SCAmount,$L590)&lt;=0,"",INDEX(SCAmount,$L590))),IF($M590&lt;&gt;"",IF(INDEX(LdgWitB,$M590)=0,"",INDEX(LdgWitB,$M590)),""))</f>
        <v/>
      </c>
      <c r="H590" s="27">
        <f>IF($L590&lt;&gt;"",IF(INDEX(SCOp,$L590)="مرجوعی فروش",IF(INDEX(SCAmount,$L590)=0,"",-INDEX(SCAmount,$L590)),""),IF($M590&lt;&gt;"",IF(INDEX(LdgDepB,$M590)=0,"",INDEX(LdgDepB,$M590)),""))</f>
        <v/>
      </c>
      <c r="I590" s="28">
        <f>IF($B590="","",IF($I589="",$C$10,$I589)+IF($G590="",0,$G590)-IF($H590="",0,$H590))</f>
        <v/>
      </c>
      <c r="L590">
        <f>IFERROR(MATCH($C$5&amp;"|"&amp;RIGHT("000000"&amp;574,6),LdgRankKeyA,0),"")</f>
        <v/>
      </c>
      <c r="M590">
        <f>IFERROR(MATCH($C$5&amp;"|"&amp;RIGHT("000000"&amp;574,6),LdgRankKeyB,0),"")</f>
        <v/>
      </c>
    </row>
    <row r="591">
      <c r="A591" s="17" t="n">
        <v>575</v>
      </c>
      <c r="B591" s="18">
        <f>IF(AND($L591="",$M591=""),"",IF($L591&lt;&gt;"",INDEX(SCNormDate,$L591),INDEX(LdgDateB,$M591)))</f>
        <v/>
      </c>
      <c r="C591" s="18">
        <f>IF($L591&lt;&gt;"",INDEX(SCOp,$L591),IF($M591&lt;&gt;"","پرداخت بانکی",""))</f>
        <v/>
      </c>
      <c r="D591" s="18">
        <f>IF($L591&lt;&gt;"",IF(INDEX(SCDoc,$L591)="","—",INDEX(SCDoc,$L591)),IF($M591&lt;&gt;"",INDEX(LdgBankB,$M591),""))</f>
        <v/>
      </c>
      <c r="E591" s="19">
        <f>IF($L591&lt;&gt;"",IF(INDEX(SCCitrus,$L591)&amp;INDEX(SCNotes,$L591)="","",IF(INDEX(SCCitrus,$L591)="","",INDEX(SCCitrus,$L591))&amp;IF(INDEX(SCNotes,$L591)="",""," — "&amp;INDEX(SCNotes,$L591))),IF($M591&lt;&gt;"",IF(INDEX(LdgNoteB,$M591)="","—",INDEX(LdgNoteB,$M591)),""))</f>
        <v/>
      </c>
      <c r="F591" s="20">
        <f>IF($L591&lt;&gt;"",IF(INDEX(SCNet,$L591)=0,"",INDEX(SCNet,$L591)),"")</f>
        <v/>
      </c>
      <c r="G591" s="21">
        <f>IF($L591&lt;&gt;"",IF(INDEX(SCOp,$L591)="مرجوعی فروش","",IF(INDEX(SCAmount,$L591)&lt;=0,"",INDEX(SCAmount,$L591))),IF($M591&lt;&gt;"",IF(INDEX(LdgWitB,$M591)=0,"",INDEX(LdgWitB,$M591)),""))</f>
        <v/>
      </c>
      <c r="H591" s="21">
        <f>IF($L591&lt;&gt;"",IF(INDEX(SCOp,$L591)="مرجوعی فروش",IF(INDEX(SCAmount,$L591)=0,"",-INDEX(SCAmount,$L591)),""),IF($M591&lt;&gt;"",IF(INDEX(LdgDepB,$M591)=0,"",INDEX(LdgDepB,$M591)),""))</f>
        <v/>
      </c>
      <c r="I591" s="22">
        <f>IF($B591="","",IF($I590="",$C$10,$I590)+IF($G591="",0,$G591)-IF($H591="",0,$H591))</f>
        <v/>
      </c>
      <c r="L591">
        <f>IFERROR(MATCH($C$5&amp;"|"&amp;RIGHT("000000"&amp;575,6),LdgRankKeyA,0),"")</f>
        <v/>
      </c>
      <c r="M591">
        <f>IFERROR(MATCH($C$5&amp;"|"&amp;RIGHT("000000"&amp;575,6),LdgRankKeyB,0),"")</f>
        <v/>
      </c>
    </row>
    <row r="592">
      <c r="A592" s="23" t="n">
        <v>576</v>
      </c>
      <c r="B592" s="24">
        <f>IF(AND($L592="",$M592=""),"",IF($L592&lt;&gt;"",INDEX(SCNormDate,$L592),INDEX(LdgDateB,$M592)))</f>
        <v/>
      </c>
      <c r="C592" s="24">
        <f>IF($L592&lt;&gt;"",INDEX(SCOp,$L592),IF($M592&lt;&gt;"","پرداخت بانکی",""))</f>
        <v/>
      </c>
      <c r="D592" s="24">
        <f>IF($L592&lt;&gt;"",IF(INDEX(SCDoc,$L592)="","—",INDEX(SCDoc,$L592)),IF($M592&lt;&gt;"",INDEX(LdgBankB,$M592),""))</f>
        <v/>
      </c>
      <c r="E592" s="25">
        <f>IF($L592&lt;&gt;"",IF(INDEX(SCCitrus,$L592)&amp;INDEX(SCNotes,$L592)="","",IF(INDEX(SCCitrus,$L592)="","",INDEX(SCCitrus,$L592))&amp;IF(INDEX(SCNotes,$L592)="",""," — "&amp;INDEX(SCNotes,$L592))),IF($M592&lt;&gt;"",IF(INDEX(LdgNoteB,$M592)="","—",INDEX(LdgNoteB,$M592)),""))</f>
        <v/>
      </c>
      <c r="F592" s="26">
        <f>IF($L592&lt;&gt;"",IF(INDEX(SCNet,$L592)=0,"",INDEX(SCNet,$L592)),"")</f>
        <v/>
      </c>
      <c r="G592" s="27">
        <f>IF($L592&lt;&gt;"",IF(INDEX(SCOp,$L592)="مرجوعی فروش","",IF(INDEX(SCAmount,$L592)&lt;=0,"",INDEX(SCAmount,$L592))),IF($M592&lt;&gt;"",IF(INDEX(LdgWitB,$M592)=0,"",INDEX(LdgWitB,$M592)),""))</f>
        <v/>
      </c>
      <c r="H592" s="27">
        <f>IF($L592&lt;&gt;"",IF(INDEX(SCOp,$L592)="مرجوعی فروش",IF(INDEX(SCAmount,$L592)=0,"",-INDEX(SCAmount,$L592)),""),IF($M592&lt;&gt;"",IF(INDEX(LdgDepB,$M592)=0,"",INDEX(LdgDepB,$M592)),""))</f>
        <v/>
      </c>
      <c r="I592" s="28">
        <f>IF($B592="","",IF($I591="",$C$10,$I591)+IF($G592="",0,$G592)-IF($H592="",0,$H592))</f>
        <v/>
      </c>
      <c r="L592">
        <f>IFERROR(MATCH($C$5&amp;"|"&amp;RIGHT("000000"&amp;576,6),LdgRankKeyA,0),"")</f>
        <v/>
      </c>
      <c r="M592">
        <f>IFERROR(MATCH($C$5&amp;"|"&amp;RIGHT("000000"&amp;576,6),LdgRankKeyB,0),"")</f>
        <v/>
      </c>
    </row>
    <row r="593">
      <c r="A593" s="17" t="n">
        <v>577</v>
      </c>
      <c r="B593" s="18">
        <f>IF(AND($L593="",$M593=""),"",IF($L593&lt;&gt;"",INDEX(SCNormDate,$L593),INDEX(LdgDateB,$M593)))</f>
        <v/>
      </c>
      <c r="C593" s="18">
        <f>IF($L593&lt;&gt;"",INDEX(SCOp,$L593),IF($M593&lt;&gt;"","پرداخت بانکی",""))</f>
        <v/>
      </c>
      <c r="D593" s="18">
        <f>IF($L593&lt;&gt;"",IF(INDEX(SCDoc,$L593)="","—",INDEX(SCDoc,$L593)),IF($M593&lt;&gt;"",INDEX(LdgBankB,$M593),""))</f>
        <v/>
      </c>
      <c r="E593" s="19">
        <f>IF($L593&lt;&gt;"",IF(INDEX(SCCitrus,$L593)&amp;INDEX(SCNotes,$L593)="","",IF(INDEX(SCCitrus,$L593)="","",INDEX(SCCitrus,$L593))&amp;IF(INDEX(SCNotes,$L593)="",""," — "&amp;INDEX(SCNotes,$L593))),IF($M593&lt;&gt;"",IF(INDEX(LdgNoteB,$M593)="","—",INDEX(LdgNoteB,$M593)),""))</f>
        <v/>
      </c>
      <c r="F593" s="20">
        <f>IF($L593&lt;&gt;"",IF(INDEX(SCNet,$L593)=0,"",INDEX(SCNet,$L593)),"")</f>
        <v/>
      </c>
      <c r="G593" s="21">
        <f>IF($L593&lt;&gt;"",IF(INDEX(SCOp,$L593)="مرجوعی فروش","",IF(INDEX(SCAmount,$L593)&lt;=0,"",INDEX(SCAmount,$L593))),IF($M593&lt;&gt;"",IF(INDEX(LdgWitB,$M593)=0,"",INDEX(LdgWitB,$M593)),""))</f>
        <v/>
      </c>
      <c r="H593" s="21">
        <f>IF($L593&lt;&gt;"",IF(INDEX(SCOp,$L593)="مرجوعی فروش",IF(INDEX(SCAmount,$L593)=0,"",-INDEX(SCAmount,$L593)),""),IF($M593&lt;&gt;"",IF(INDEX(LdgDepB,$M593)=0,"",INDEX(LdgDepB,$M593)),""))</f>
        <v/>
      </c>
      <c r="I593" s="22">
        <f>IF($B593="","",IF($I592="",$C$10,$I592)+IF($G593="",0,$G593)-IF($H593="",0,$H593))</f>
        <v/>
      </c>
      <c r="L593">
        <f>IFERROR(MATCH($C$5&amp;"|"&amp;RIGHT("000000"&amp;577,6),LdgRankKeyA,0),"")</f>
        <v/>
      </c>
      <c r="M593">
        <f>IFERROR(MATCH($C$5&amp;"|"&amp;RIGHT("000000"&amp;577,6),LdgRankKeyB,0),"")</f>
        <v/>
      </c>
    </row>
    <row r="594">
      <c r="A594" s="23" t="n">
        <v>578</v>
      </c>
      <c r="B594" s="24">
        <f>IF(AND($L594="",$M594=""),"",IF($L594&lt;&gt;"",INDEX(SCNormDate,$L594),INDEX(LdgDateB,$M594)))</f>
        <v/>
      </c>
      <c r="C594" s="24">
        <f>IF($L594&lt;&gt;"",INDEX(SCOp,$L594),IF($M594&lt;&gt;"","پرداخت بانکی",""))</f>
        <v/>
      </c>
      <c r="D594" s="24">
        <f>IF($L594&lt;&gt;"",IF(INDEX(SCDoc,$L594)="","—",INDEX(SCDoc,$L594)),IF($M594&lt;&gt;"",INDEX(LdgBankB,$M594),""))</f>
        <v/>
      </c>
      <c r="E594" s="25">
        <f>IF($L594&lt;&gt;"",IF(INDEX(SCCitrus,$L594)&amp;INDEX(SCNotes,$L594)="","",IF(INDEX(SCCitrus,$L594)="","",INDEX(SCCitrus,$L594))&amp;IF(INDEX(SCNotes,$L594)="",""," — "&amp;INDEX(SCNotes,$L594))),IF($M594&lt;&gt;"",IF(INDEX(LdgNoteB,$M594)="","—",INDEX(LdgNoteB,$M594)),""))</f>
        <v/>
      </c>
      <c r="F594" s="26">
        <f>IF($L594&lt;&gt;"",IF(INDEX(SCNet,$L594)=0,"",INDEX(SCNet,$L594)),"")</f>
        <v/>
      </c>
      <c r="G594" s="27">
        <f>IF($L594&lt;&gt;"",IF(INDEX(SCOp,$L594)="مرجوعی فروش","",IF(INDEX(SCAmount,$L594)&lt;=0,"",INDEX(SCAmount,$L594))),IF($M594&lt;&gt;"",IF(INDEX(LdgWitB,$M594)=0,"",INDEX(LdgWitB,$M594)),""))</f>
        <v/>
      </c>
      <c r="H594" s="27">
        <f>IF($L594&lt;&gt;"",IF(INDEX(SCOp,$L594)="مرجوعی فروش",IF(INDEX(SCAmount,$L594)=0,"",-INDEX(SCAmount,$L594)),""),IF($M594&lt;&gt;"",IF(INDEX(LdgDepB,$M594)=0,"",INDEX(LdgDepB,$M594)),""))</f>
        <v/>
      </c>
      <c r="I594" s="28">
        <f>IF($B594="","",IF($I593="",$C$10,$I593)+IF($G594="",0,$G594)-IF($H594="",0,$H594))</f>
        <v/>
      </c>
      <c r="L594">
        <f>IFERROR(MATCH($C$5&amp;"|"&amp;RIGHT("000000"&amp;578,6),LdgRankKeyA,0),"")</f>
        <v/>
      </c>
      <c r="M594">
        <f>IFERROR(MATCH($C$5&amp;"|"&amp;RIGHT("000000"&amp;578,6),LdgRankKeyB,0),"")</f>
        <v/>
      </c>
    </row>
    <row r="595">
      <c r="A595" s="17" t="n">
        <v>579</v>
      </c>
      <c r="B595" s="18">
        <f>IF(AND($L595="",$M595=""),"",IF($L595&lt;&gt;"",INDEX(SCNormDate,$L595),INDEX(LdgDateB,$M595)))</f>
        <v/>
      </c>
      <c r="C595" s="18">
        <f>IF($L595&lt;&gt;"",INDEX(SCOp,$L595),IF($M595&lt;&gt;"","پرداخت بانکی",""))</f>
        <v/>
      </c>
      <c r="D595" s="18">
        <f>IF($L595&lt;&gt;"",IF(INDEX(SCDoc,$L595)="","—",INDEX(SCDoc,$L595)),IF($M595&lt;&gt;"",INDEX(LdgBankB,$M595),""))</f>
        <v/>
      </c>
      <c r="E595" s="19">
        <f>IF($L595&lt;&gt;"",IF(INDEX(SCCitrus,$L595)&amp;INDEX(SCNotes,$L595)="","",IF(INDEX(SCCitrus,$L595)="","",INDEX(SCCitrus,$L595))&amp;IF(INDEX(SCNotes,$L595)="",""," — "&amp;INDEX(SCNotes,$L595))),IF($M595&lt;&gt;"",IF(INDEX(LdgNoteB,$M595)="","—",INDEX(LdgNoteB,$M595)),""))</f>
        <v/>
      </c>
      <c r="F595" s="20">
        <f>IF($L595&lt;&gt;"",IF(INDEX(SCNet,$L595)=0,"",INDEX(SCNet,$L595)),"")</f>
        <v/>
      </c>
      <c r="G595" s="21">
        <f>IF($L595&lt;&gt;"",IF(INDEX(SCOp,$L595)="مرجوعی فروش","",IF(INDEX(SCAmount,$L595)&lt;=0,"",INDEX(SCAmount,$L595))),IF($M595&lt;&gt;"",IF(INDEX(LdgWitB,$M595)=0,"",INDEX(LdgWitB,$M595)),""))</f>
        <v/>
      </c>
      <c r="H595" s="21">
        <f>IF($L595&lt;&gt;"",IF(INDEX(SCOp,$L595)="مرجوعی فروش",IF(INDEX(SCAmount,$L595)=0,"",-INDEX(SCAmount,$L595)),""),IF($M595&lt;&gt;"",IF(INDEX(LdgDepB,$M595)=0,"",INDEX(LdgDepB,$M595)),""))</f>
        <v/>
      </c>
      <c r="I595" s="22">
        <f>IF($B595="","",IF($I594="",$C$10,$I594)+IF($G595="",0,$G595)-IF($H595="",0,$H595))</f>
        <v/>
      </c>
      <c r="L595">
        <f>IFERROR(MATCH($C$5&amp;"|"&amp;RIGHT("000000"&amp;579,6),LdgRankKeyA,0),"")</f>
        <v/>
      </c>
      <c r="M595">
        <f>IFERROR(MATCH($C$5&amp;"|"&amp;RIGHT("000000"&amp;579,6),LdgRankKeyB,0),"")</f>
        <v/>
      </c>
    </row>
    <row r="596">
      <c r="A596" s="23" t="n">
        <v>580</v>
      </c>
      <c r="B596" s="24">
        <f>IF(AND($L596="",$M596=""),"",IF($L596&lt;&gt;"",INDEX(SCNormDate,$L596),INDEX(LdgDateB,$M596)))</f>
        <v/>
      </c>
      <c r="C596" s="24">
        <f>IF($L596&lt;&gt;"",INDEX(SCOp,$L596),IF($M596&lt;&gt;"","پرداخت بانکی",""))</f>
        <v/>
      </c>
      <c r="D596" s="24">
        <f>IF($L596&lt;&gt;"",IF(INDEX(SCDoc,$L596)="","—",INDEX(SCDoc,$L596)),IF($M596&lt;&gt;"",INDEX(LdgBankB,$M596),""))</f>
        <v/>
      </c>
      <c r="E596" s="25">
        <f>IF($L596&lt;&gt;"",IF(INDEX(SCCitrus,$L596)&amp;INDEX(SCNotes,$L596)="","",IF(INDEX(SCCitrus,$L596)="","",INDEX(SCCitrus,$L596))&amp;IF(INDEX(SCNotes,$L596)="",""," — "&amp;INDEX(SCNotes,$L596))),IF($M596&lt;&gt;"",IF(INDEX(LdgNoteB,$M596)="","—",INDEX(LdgNoteB,$M596)),""))</f>
        <v/>
      </c>
      <c r="F596" s="26">
        <f>IF($L596&lt;&gt;"",IF(INDEX(SCNet,$L596)=0,"",INDEX(SCNet,$L596)),"")</f>
        <v/>
      </c>
      <c r="G596" s="27">
        <f>IF($L596&lt;&gt;"",IF(INDEX(SCOp,$L596)="مرجوعی فروش","",IF(INDEX(SCAmount,$L596)&lt;=0,"",INDEX(SCAmount,$L596))),IF($M596&lt;&gt;"",IF(INDEX(LdgWitB,$M596)=0,"",INDEX(LdgWitB,$M596)),""))</f>
        <v/>
      </c>
      <c r="H596" s="27">
        <f>IF($L596&lt;&gt;"",IF(INDEX(SCOp,$L596)="مرجوعی فروش",IF(INDEX(SCAmount,$L596)=0,"",-INDEX(SCAmount,$L596)),""),IF($M596&lt;&gt;"",IF(INDEX(LdgDepB,$M596)=0,"",INDEX(LdgDepB,$M596)),""))</f>
        <v/>
      </c>
      <c r="I596" s="28">
        <f>IF($B596="","",IF($I595="",$C$10,$I595)+IF($G596="",0,$G596)-IF($H596="",0,$H596))</f>
        <v/>
      </c>
      <c r="L596">
        <f>IFERROR(MATCH($C$5&amp;"|"&amp;RIGHT("000000"&amp;580,6),LdgRankKeyA,0),"")</f>
        <v/>
      </c>
      <c r="M596">
        <f>IFERROR(MATCH($C$5&amp;"|"&amp;RIGHT("000000"&amp;580,6),LdgRankKeyB,0),"")</f>
        <v/>
      </c>
    </row>
    <row r="597">
      <c r="A597" s="17" t="n">
        <v>581</v>
      </c>
      <c r="B597" s="18">
        <f>IF(AND($L597="",$M597=""),"",IF($L597&lt;&gt;"",INDEX(SCNormDate,$L597),INDEX(LdgDateB,$M597)))</f>
        <v/>
      </c>
      <c r="C597" s="18">
        <f>IF($L597&lt;&gt;"",INDEX(SCOp,$L597),IF($M597&lt;&gt;"","پرداخت بانکی",""))</f>
        <v/>
      </c>
      <c r="D597" s="18">
        <f>IF($L597&lt;&gt;"",IF(INDEX(SCDoc,$L597)="","—",INDEX(SCDoc,$L597)),IF($M597&lt;&gt;"",INDEX(LdgBankB,$M597),""))</f>
        <v/>
      </c>
      <c r="E597" s="19">
        <f>IF($L597&lt;&gt;"",IF(INDEX(SCCitrus,$L597)&amp;INDEX(SCNotes,$L597)="","",IF(INDEX(SCCitrus,$L597)="","",INDEX(SCCitrus,$L597))&amp;IF(INDEX(SCNotes,$L597)="",""," — "&amp;INDEX(SCNotes,$L597))),IF($M597&lt;&gt;"",IF(INDEX(LdgNoteB,$M597)="","—",INDEX(LdgNoteB,$M597)),""))</f>
        <v/>
      </c>
      <c r="F597" s="20">
        <f>IF($L597&lt;&gt;"",IF(INDEX(SCNet,$L597)=0,"",INDEX(SCNet,$L597)),"")</f>
        <v/>
      </c>
      <c r="G597" s="21">
        <f>IF($L597&lt;&gt;"",IF(INDEX(SCOp,$L597)="مرجوعی فروش","",IF(INDEX(SCAmount,$L597)&lt;=0,"",INDEX(SCAmount,$L597))),IF($M597&lt;&gt;"",IF(INDEX(LdgWitB,$M597)=0,"",INDEX(LdgWitB,$M597)),""))</f>
        <v/>
      </c>
      <c r="H597" s="21">
        <f>IF($L597&lt;&gt;"",IF(INDEX(SCOp,$L597)="مرجوعی فروش",IF(INDEX(SCAmount,$L597)=0,"",-INDEX(SCAmount,$L597)),""),IF($M597&lt;&gt;"",IF(INDEX(LdgDepB,$M597)=0,"",INDEX(LdgDepB,$M597)),""))</f>
        <v/>
      </c>
      <c r="I597" s="22">
        <f>IF($B597="","",IF($I596="",$C$10,$I596)+IF($G597="",0,$G597)-IF($H597="",0,$H597))</f>
        <v/>
      </c>
      <c r="L597">
        <f>IFERROR(MATCH($C$5&amp;"|"&amp;RIGHT("000000"&amp;581,6),LdgRankKeyA,0),"")</f>
        <v/>
      </c>
      <c r="M597">
        <f>IFERROR(MATCH($C$5&amp;"|"&amp;RIGHT("000000"&amp;581,6),LdgRankKeyB,0),"")</f>
        <v/>
      </c>
    </row>
    <row r="598">
      <c r="A598" s="23" t="n">
        <v>582</v>
      </c>
      <c r="B598" s="24">
        <f>IF(AND($L598="",$M598=""),"",IF($L598&lt;&gt;"",INDEX(SCNormDate,$L598),INDEX(LdgDateB,$M598)))</f>
        <v/>
      </c>
      <c r="C598" s="24">
        <f>IF($L598&lt;&gt;"",INDEX(SCOp,$L598),IF($M598&lt;&gt;"","پرداخت بانکی",""))</f>
        <v/>
      </c>
      <c r="D598" s="24">
        <f>IF($L598&lt;&gt;"",IF(INDEX(SCDoc,$L598)="","—",INDEX(SCDoc,$L598)),IF($M598&lt;&gt;"",INDEX(LdgBankB,$M598),""))</f>
        <v/>
      </c>
      <c r="E598" s="25">
        <f>IF($L598&lt;&gt;"",IF(INDEX(SCCitrus,$L598)&amp;INDEX(SCNotes,$L598)="","",IF(INDEX(SCCitrus,$L598)="","",INDEX(SCCitrus,$L598))&amp;IF(INDEX(SCNotes,$L598)="",""," — "&amp;INDEX(SCNotes,$L598))),IF($M598&lt;&gt;"",IF(INDEX(LdgNoteB,$M598)="","—",INDEX(LdgNoteB,$M598)),""))</f>
        <v/>
      </c>
      <c r="F598" s="26">
        <f>IF($L598&lt;&gt;"",IF(INDEX(SCNet,$L598)=0,"",INDEX(SCNet,$L598)),"")</f>
        <v/>
      </c>
      <c r="G598" s="27">
        <f>IF($L598&lt;&gt;"",IF(INDEX(SCOp,$L598)="مرجوعی فروش","",IF(INDEX(SCAmount,$L598)&lt;=0,"",INDEX(SCAmount,$L598))),IF($M598&lt;&gt;"",IF(INDEX(LdgWitB,$M598)=0,"",INDEX(LdgWitB,$M598)),""))</f>
        <v/>
      </c>
      <c r="H598" s="27">
        <f>IF($L598&lt;&gt;"",IF(INDEX(SCOp,$L598)="مرجوعی فروش",IF(INDEX(SCAmount,$L598)=0,"",-INDEX(SCAmount,$L598)),""),IF($M598&lt;&gt;"",IF(INDEX(LdgDepB,$M598)=0,"",INDEX(LdgDepB,$M598)),""))</f>
        <v/>
      </c>
      <c r="I598" s="28">
        <f>IF($B598="","",IF($I597="",$C$10,$I597)+IF($G598="",0,$G598)-IF($H598="",0,$H598))</f>
        <v/>
      </c>
      <c r="L598">
        <f>IFERROR(MATCH($C$5&amp;"|"&amp;RIGHT("000000"&amp;582,6),LdgRankKeyA,0),"")</f>
        <v/>
      </c>
      <c r="M598">
        <f>IFERROR(MATCH($C$5&amp;"|"&amp;RIGHT("000000"&amp;582,6),LdgRankKeyB,0),"")</f>
        <v/>
      </c>
    </row>
    <row r="599">
      <c r="A599" s="17" t="n">
        <v>583</v>
      </c>
      <c r="B599" s="18">
        <f>IF(AND($L599="",$M599=""),"",IF($L599&lt;&gt;"",INDEX(SCNormDate,$L599),INDEX(LdgDateB,$M599)))</f>
        <v/>
      </c>
      <c r="C599" s="18">
        <f>IF($L599&lt;&gt;"",INDEX(SCOp,$L599),IF($M599&lt;&gt;"","پرداخت بانکی",""))</f>
        <v/>
      </c>
      <c r="D599" s="18">
        <f>IF($L599&lt;&gt;"",IF(INDEX(SCDoc,$L599)="","—",INDEX(SCDoc,$L599)),IF($M599&lt;&gt;"",INDEX(LdgBankB,$M599),""))</f>
        <v/>
      </c>
      <c r="E599" s="19">
        <f>IF($L599&lt;&gt;"",IF(INDEX(SCCitrus,$L599)&amp;INDEX(SCNotes,$L599)="","",IF(INDEX(SCCitrus,$L599)="","",INDEX(SCCitrus,$L599))&amp;IF(INDEX(SCNotes,$L599)="",""," — "&amp;INDEX(SCNotes,$L599))),IF($M599&lt;&gt;"",IF(INDEX(LdgNoteB,$M599)="","—",INDEX(LdgNoteB,$M599)),""))</f>
        <v/>
      </c>
      <c r="F599" s="20">
        <f>IF($L599&lt;&gt;"",IF(INDEX(SCNet,$L599)=0,"",INDEX(SCNet,$L599)),"")</f>
        <v/>
      </c>
      <c r="G599" s="21">
        <f>IF($L599&lt;&gt;"",IF(INDEX(SCOp,$L599)="مرجوعی فروش","",IF(INDEX(SCAmount,$L599)&lt;=0,"",INDEX(SCAmount,$L599))),IF($M599&lt;&gt;"",IF(INDEX(LdgWitB,$M599)=0,"",INDEX(LdgWitB,$M599)),""))</f>
        <v/>
      </c>
      <c r="H599" s="21">
        <f>IF($L599&lt;&gt;"",IF(INDEX(SCOp,$L599)="مرجوعی فروش",IF(INDEX(SCAmount,$L599)=0,"",-INDEX(SCAmount,$L599)),""),IF($M599&lt;&gt;"",IF(INDEX(LdgDepB,$M599)=0,"",INDEX(LdgDepB,$M599)),""))</f>
        <v/>
      </c>
      <c r="I599" s="22">
        <f>IF($B599="","",IF($I598="",$C$10,$I598)+IF($G599="",0,$G599)-IF($H599="",0,$H599))</f>
        <v/>
      </c>
      <c r="L599">
        <f>IFERROR(MATCH($C$5&amp;"|"&amp;RIGHT("000000"&amp;583,6),LdgRankKeyA,0),"")</f>
        <v/>
      </c>
      <c r="M599">
        <f>IFERROR(MATCH($C$5&amp;"|"&amp;RIGHT("000000"&amp;583,6),LdgRankKeyB,0),"")</f>
        <v/>
      </c>
    </row>
    <row r="600">
      <c r="A600" s="23" t="n">
        <v>584</v>
      </c>
      <c r="B600" s="24">
        <f>IF(AND($L600="",$M600=""),"",IF($L600&lt;&gt;"",INDEX(SCNormDate,$L600),INDEX(LdgDateB,$M600)))</f>
        <v/>
      </c>
      <c r="C600" s="24">
        <f>IF($L600&lt;&gt;"",INDEX(SCOp,$L600),IF($M600&lt;&gt;"","پرداخت بانکی",""))</f>
        <v/>
      </c>
      <c r="D600" s="24">
        <f>IF($L600&lt;&gt;"",IF(INDEX(SCDoc,$L600)="","—",INDEX(SCDoc,$L600)),IF($M600&lt;&gt;"",INDEX(LdgBankB,$M600),""))</f>
        <v/>
      </c>
      <c r="E600" s="25">
        <f>IF($L600&lt;&gt;"",IF(INDEX(SCCitrus,$L600)&amp;INDEX(SCNotes,$L600)="","",IF(INDEX(SCCitrus,$L600)="","",INDEX(SCCitrus,$L600))&amp;IF(INDEX(SCNotes,$L600)="",""," — "&amp;INDEX(SCNotes,$L600))),IF($M600&lt;&gt;"",IF(INDEX(LdgNoteB,$M600)="","—",INDEX(LdgNoteB,$M600)),""))</f>
        <v/>
      </c>
      <c r="F600" s="26">
        <f>IF($L600&lt;&gt;"",IF(INDEX(SCNet,$L600)=0,"",INDEX(SCNet,$L600)),"")</f>
        <v/>
      </c>
      <c r="G600" s="27">
        <f>IF($L600&lt;&gt;"",IF(INDEX(SCOp,$L600)="مرجوعی فروش","",IF(INDEX(SCAmount,$L600)&lt;=0,"",INDEX(SCAmount,$L600))),IF($M600&lt;&gt;"",IF(INDEX(LdgWitB,$M600)=0,"",INDEX(LdgWitB,$M600)),""))</f>
        <v/>
      </c>
      <c r="H600" s="27">
        <f>IF($L600&lt;&gt;"",IF(INDEX(SCOp,$L600)="مرجوعی فروش",IF(INDEX(SCAmount,$L600)=0,"",-INDEX(SCAmount,$L600)),""),IF($M600&lt;&gt;"",IF(INDEX(LdgDepB,$M600)=0,"",INDEX(LdgDepB,$M600)),""))</f>
        <v/>
      </c>
      <c r="I600" s="28">
        <f>IF($B600="","",IF($I599="",$C$10,$I599)+IF($G600="",0,$G600)-IF($H600="",0,$H600))</f>
        <v/>
      </c>
      <c r="L600">
        <f>IFERROR(MATCH($C$5&amp;"|"&amp;RIGHT("000000"&amp;584,6),LdgRankKeyA,0),"")</f>
        <v/>
      </c>
      <c r="M600">
        <f>IFERROR(MATCH($C$5&amp;"|"&amp;RIGHT("000000"&amp;584,6),LdgRankKeyB,0),"")</f>
        <v/>
      </c>
    </row>
    <row r="601">
      <c r="A601" s="17" t="n">
        <v>585</v>
      </c>
      <c r="B601" s="18">
        <f>IF(AND($L601="",$M601=""),"",IF($L601&lt;&gt;"",INDEX(SCNormDate,$L601),INDEX(LdgDateB,$M601)))</f>
        <v/>
      </c>
      <c r="C601" s="18">
        <f>IF($L601&lt;&gt;"",INDEX(SCOp,$L601),IF($M601&lt;&gt;"","پرداخت بانکی",""))</f>
        <v/>
      </c>
      <c r="D601" s="18">
        <f>IF($L601&lt;&gt;"",IF(INDEX(SCDoc,$L601)="","—",INDEX(SCDoc,$L601)),IF($M601&lt;&gt;"",INDEX(LdgBankB,$M601),""))</f>
        <v/>
      </c>
      <c r="E601" s="19">
        <f>IF($L601&lt;&gt;"",IF(INDEX(SCCitrus,$L601)&amp;INDEX(SCNotes,$L601)="","",IF(INDEX(SCCitrus,$L601)="","",INDEX(SCCitrus,$L601))&amp;IF(INDEX(SCNotes,$L601)="",""," — "&amp;INDEX(SCNotes,$L601))),IF($M601&lt;&gt;"",IF(INDEX(LdgNoteB,$M601)="","—",INDEX(LdgNoteB,$M601)),""))</f>
        <v/>
      </c>
      <c r="F601" s="20">
        <f>IF($L601&lt;&gt;"",IF(INDEX(SCNet,$L601)=0,"",INDEX(SCNet,$L601)),"")</f>
        <v/>
      </c>
      <c r="G601" s="21">
        <f>IF($L601&lt;&gt;"",IF(INDEX(SCOp,$L601)="مرجوعی فروش","",IF(INDEX(SCAmount,$L601)&lt;=0,"",INDEX(SCAmount,$L601))),IF($M601&lt;&gt;"",IF(INDEX(LdgWitB,$M601)=0,"",INDEX(LdgWitB,$M601)),""))</f>
        <v/>
      </c>
      <c r="H601" s="21">
        <f>IF($L601&lt;&gt;"",IF(INDEX(SCOp,$L601)="مرجوعی فروش",IF(INDEX(SCAmount,$L601)=0,"",-INDEX(SCAmount,$L601)),""),IF($M601&lt;&gt;"",IF(INDEX(LdgDepB,$M601)=0,"",INDEX(LdgDepB,$M601)),""))</f>
        <v/>
      </c>
      <c r="I601" s="22">
        <f>IF($B601="","",IF($I600="",$C$10,$I600)+IF($G601="",0,$G601)-IF($H601="",0,$H601))</f>
        <v/>
      </c>
      <c r="L601">
        <f>IFERROR(MATCH($C$5&amp;"|"&amp;RIGHT("000000"&amp;585,6),LdgRankKeyA,0),"")</f>
        <v/>
      </c>
      <c r="M601">
        <f>IFERROR(MATCH($C$5&amp;"|"&amp;RIGHT("000000"&amp;585,6),LdgRankKeyB,0),"")</f>
        <v/>
      </c>
    </row>
    <row r="602">
      <c r="A602" s="23" t="n">
        <v>586</v>
      </c>
      <c r="B602" s="24">
        <f>IF(AND($L602="",$M602=""),"",IF($L602&lt;&gt;"",INDEX(SCNormDate,$L602),INDEX(LdgDateB,$M602)))</f>
        <v/>
      </c>
      <c r="C602" s="24">
        <f>IF($L602&lt;&gt;"",INDEX(SCOp,$L602),IF($M602&lt;&gt;"","پرداخت بانکی",""))</f>
        <v/>
      </c>
      <c r="D602" s="24">
        <f>IF($L602&lt;&gt;"",IF(INDEX(SCDoc,$L602)="","—",INDEX(SCDoc,$L602)),IF($M602&lt;&gt;"",INDEX(LdgBankB,$M602),""))</f>
        <v/>
      </c>
      <c r="E602" s="25">
        <f>IF($L602&lt;&gt;"",IF(INDEX(SCCitrus,$L602)&amp;INDEX(SCNotes,$L602)="","",IF(INDEX(SCCitrus,$L602)="","",INDEX(SCCitrus,$L602))&amp;IF(INDEX(SCNotes,$L602)="",""," — "&amp;INDEX(SCNotes,$L602))),IF($M602&lt;&gt;"",IF(INDEX(LdgNoteB,$M602)="","—",INDEX(LdgNoteB,$M602)),""))</f>
        <v/>
      </c>
      <c r="F602" s="26">
        <f>IF($L602&lt;&gt;"",IF(INDEX(SCNet,$L602)=0,"",INDEX(SCNet,$L602)),"")</f>
        <v/>
      </c>
      <c r="G602" s="27">
        <f>IF($L602&lt;&gt;"",IF(INDEX(SCOp,$L602)="مرجوعی فروش","",IF(INDEX(SCAmount,$L602)&lt;=0,"",INDEX(SCAmount,$L602))),IF($M602&lt;&gt;"",IF(INDEX(LdgWitB,$M602)=0,"",INDEX(LdgWitB,$M602)),""))</f>
        <v/>
      </c>
      <c r="H602" s="27">
        <f>IF($L602&lt;&gt;"",IF(INDEX(SCOp,$L602)="مرجوعی فروش",IF(INDEX(SCAmount,$L602)=0,"",-INDEX(SCAmount,$L602)),""),IF($M602&lt;&gt;"",IF(INDEX(LdgDepB,$M602)=0,"",INDEX(LdgDepB,$M602)),""))</f>
        <v/>
      </c>
      <c r="I602" s="28">
        <f>IF($B602="","",IF($I601="",$C$10,$I601)+IF($G602="",0,$G602)-IF($H602="",0,$H602))</f>
        <v/>
      </c>
      <c r="L602">
        <f>IFERROR(MATCH($C$5&amp;"|"&amp;RIGHT("000000"&amp;586,6),LdgRankKeyA,0),"")</f>
        <v/>
      </c>
      <c r="M602">
        <f>IFERROR(MATCH($C$5&amp;"|"&amp;RIGHT("000000"&amp;586,6),LdgRankKeyB,0),"")</f>
        <v/>
      </c>
    </row>
    <row r="603">
      <c r="A603" s="17" t="n">
        <v>587</v>
      </c>
      <c r="B603" s="18">
        <f>IF(AND($L603="",$M603=""),"",IF($L603&lt;&gt;"",INDEX(SCNormDate,$L603),INDEX(LdgDateB,$M603)))</f>
        <v/>
      </c>
      <c r="C603" s="18">
        <f>IF($L603&lt;&gt;"",INDEX(SCOp,$L603),IF($M603&lt;&gt;"","پرداخت بانکی",""))</f>
        <v/>
      </c>
      <c r="D603" s="18">
        <f>IF($L603&lt;&gt;"",IF(INDEX(SCDoc,$L603)="","—",INDEX(SCDoc,$L603)),IF($M603&lt;&gt;"",INDEX(LdgBankB,$M603),""))</f>
        <v/>
      </c>
      <c r="E603" s="19">
        <f>IF($L603&lt;&gt;"",IF(INDEX(SCCitrus,$L603)&amp;INDEX(SCNotes,$L603)="","",IF(INDEX(SCCitrus,$L603)="","",INDEX(SCCitrus,$L603))&amp;IF(INDEX(SCNotes,$L603)="",""," — "&amp;INDEX(SCNotes,$L603))),IF($M603&lt;&gt;"",IF(INDEX(LdgNoteB,$M603)="","—",INDEX(LdgNoteB,$M603)),""))</f>
        <v/>
      </c>
      <c r="F603" s="20">
        <f>IF($L603&lt;&gt;"",IF(INDEX(SCNet,$L603)=0,"",INDEX(SCNet,$L603)),"")</f>
        <v/>
      </c>
      <c r="G603" s="21">
        <f>IF($L603&lt;&gt;"",IF(INDEX(SCOp,$L603)="مرجوعی فروش","",IF(INDEX(SCAmount,$L603)&lt;=0,"",INDEX(SCAmount,$L603))),IF($M603&lt;&gt;"",IF(INDEX(LdgWitB,$M603)=0,"",INDEX(LdgWitB,$M603)),""))</f>
        <v/>
      </c>
      <c r="H603" s="21">
        <f>IF($L603&lt;&gt;"",IF(INDEX(SCOp,$L603)="مرجوعی فروش",IF(INDEX(SCAmount,$L603)=0,"",-INDEX(SCAmount,$L603)),""),IF($M603&lt;&gt;"",IF(INDEX(LdgDepB,$M603)=0,"",INDEX(LdgDepB,$M603)),""))</f>
        <v/>
      </c>
      <c r="I603" s="22">
        <f>IF($B603="","",IF($I602="",$C$10,$I602)+IF($G603="",0,$G603)-IF($H603="",0,$H603))</f>
        <v/>
      </c>
      <c r="L603">
        <f>IFERROR(MATCH($C$5&amp;"|"&amp;RIGHT("000000"&amp;587,6),LdgRankKeyA,0),"")</f>
        <v/>
      </c>
      <c r="M603">
        <f>IFERROR(MATCH($C$5&amp;"|"&amp;RIGHT("000000"&amp;587,6),LdgRankKeyB,0),"")</f>
        <v/>
      </c>
    </row>
    <row r="604">
      <c r="A604" s="23" t="n">
        <v>588</v>
      </c>
      <c r="B604" s="24">
        <f>IF(AND($L604="",$M604=""),"",IF($L604&lt;&gt;"",INDEX(SCNormDate,$L604),INDEX(LdgDateB,$M604)))</f>
        <v/>
      </c>
      <c r="C604" s="24">
        <f>IF($L604&lt;&gt;"",INDEX(SCOp,$L604),IF($M604&lt;&gt;"","پرداخت بانکی",""))</f>
        <v/>
      </c>
      <c r="D604" s="24">
        <f>IF($L604&lt;&gt;"",IF(INDEX(SCDoc,$L604)="","—",INDEX(SCDoc,$L604)),IF($M604&lt;&gt;"",INDEX(LdgBankB,$M604),""))</f>
        <v/>
      </c>
      <c r="E604" s="25">
        <f>IF($L604&lt;&gt;"",IF(INDEX(SCCitrus,$L604)&amp;INDEX(SCNotes,$L604)="","",IF(INDEX(SCCitrus,$L604)="","",INDEX(SCCitrus,$L604))&amp;IF(INDEX(SCNotes,$L604)="",""," — "&amp;INDEX(SCNotes,$L604))),IF($M604&lt;&gt;"",IF(INDEX(LdgNoteB,$M604)="","—",INDEX(LdgNoteB,$M604)),""))</f>
        <v/>
      </c>
      <c r="F604" s="26">
        <f>IF($L604&lt;&gt;"",IF(INDEX(SCNet,$L604)=0,"",INDEX(SCNet,$L604)),"")</f>
        <v/>
      </c>
      <c r="G604" s="27">
        <f>IF($L604&lt;&gt;"",IF(INDEX(SCOp,$L604)="مرجوعی فروش","",IF(INDEX(SCAmount,$L604)&lt;=0,"",INDEX(SCAmount,$L604))),IF($M604&lt;&gt;"",IF(INDEX(LdgWitB,$M604)=0,"",INDEX(LdgWitB,$M604)),""))</f>
        <v/>
      </c>
      <c r="H604" s="27">
        <f>IF($L604&lt;&gt;"",IF(INDEX(SCOp,$L604)="مرجوعی فروش",IF(INDEX(SCAmount,$L604)=0,"",-INDEX(SCAmount,$L604)),""),IF($M604&lt;&gt;"",IF(INDEX(LdgDepB,$M604)=0,"",INDEX(LdgDepB,$M604)),""))</f>
        <v/>
      </c>
      <c r="I604" s="28">
        <f>IF($B604="","",IF($I603="",$C$10,$I603)+IF($G604="",0,$G604)-IF($H604="",0,$H604))</f>
        <v/>
      </c>
      <c r="L604">
        <f>IFERROR(MATCH($C$5&amp;"|"&amp;RIGHT("000000"&amp;588,6),LdgRankKeyA,0),"")</f>
        <v/>
      </c>
      <c r="M604">
        <f>IFERROR(MATCH($C$5&amp;"|"&amp;RIGHT("000000"&amp;588,6),LdgRankKeyB,0),"")</f>
        <v/>
      </c>
    </row>
    <row r="605">
      <c r="A605" s="17" t="n">
        <v>589</v>
      </c>
      <c r="B605" s="18">
        <f>IF(AND($L605="",$M605=""),"",IF($L605&lt;&gt;"",INDEX(SCNormDate,$L605),INDEX(LdgDateB,$M605)))</f>
        <v/>
      </c>
      <c r="C605" s="18">
        <f>IF($L605&lt;&gt;"",INDEX(SCOp,$L605),IF($M605&lt;&gt;"","پرداخت بانکی",""))</f>
        <v/>
      </c>
      <c r="D605" s="18">
        <f>IF($L605&lt;&gt;"",IF(INDEX(SCDoc,$L605)="","—",INDEX(SCDoc,$L605)),IF($M605&lt;&gt;"",INDEX(LdgBankB,$M605),""))</f>
        <v/>
      </c>
      <c r="E605" s="19">
        <f>IF($L605&lt;&gt;"",IF(INDEX(SCCitrus,$L605)&amp;INDEX(SCNotes,$L605)="","",IF(INDEX(SCCitrus,$L605)="","",INDEX(SCCitrus,$L605))&amp;IF(INDEX(SCNotes,$L605)="",""," — "&amp;INDEX(SCNotes,$L605))),IF($M605&lt;&gt;"",IF(INDEX(LdgNoteB,$M605)="","—",INDEX(LdgNoteB,$M605)),""))</f>
        <v/>
      </c>
      <c r="F605" s="20">
        <f>IF($L605&lt;&gt;"",IF(INDEX(SCNet,$L605)=0,"",INDEX(SCNet,$L605)),"")</f>
        <v/>
      </c>
      <c r="G605" s="21">
        <f>IF($L605&lt;&gt;"",IF(INDEX(SCOp,$L605)="مرجوعی فروش","",IF(INDEX(SCAmount,$L605)&lt;=0,"",INDEX(SCAmount,$L605))),IF($M605&lt;&gt;"",IF(INDEX(LdgWitB,$M605)=0,"",INDEX(LdgWitB,$M605)),""))</f>
        <v/>
      </c>
      <c r="H605" s="21">
        <f>IF($L605&lt;&gt;"",IF(INDEX(SCOp,$L605)="مرجوعی فروش",IF(INDEX(SCAmount,$L605)=0,"",-INDEX(SCAmount,$L605)),""),IF($M605&lt;&gt;"",IF(INDEX(LdgDepB,$M605)=0,"",INDEX(LdgDepB,$M605)),""))</f>
        <v/>
      </c>
      <c r="I605" s="22">
        <f>IF($B605="","",IF($I604="",$C$10,$I604)+IF($G605="",0,$G605)-IF($H605="",0,$H605))</f>
        <v/>
      </c>
      <c r="L605">
        <f>IFERROR(MATCH($C$5&amp;"|"&amp;RIGHT("000000"&amp;589,6),LdgRankKeyA,0),"")</f>
        <v/>
      </c>
      <c r="M605">
        <f>IFERROR(MATCH($C$5&amp;"|"&amp;RIGHT("000000"&amp;589,6),LdgRankKeyB,0),"")</f>
        <v/>
      </c>
    </row>
    <row r="606">
      <c r="A606" s="23" t="n">
        <v>590</v>
      </c>
      <c r="B606" s="24">
        <f>IF(AND($L606="",$M606=""),"",IF($L606&lt;&gt;"",INDEX(SCNormDate,$L606),INDEX(LdgDateB,$M606)))</f>
        <v/>
      </c>
      <c r="C606" s="24">
        <f>IF($L606&lt;&gt;"",INDEX(SCOp,$L606),IF($M606&lt;&gt;"","پرداخت بانکی",""))</f>
        <v/>
      </c>
      <c r="D606" s="24">
        <f>IF($L606&lt;&gt;"",IF(INDEX(SCDoc,$L606)="","—",INDEX(SCDoc,$L606)),IF($M606&lt;&gt;"",INDEX(LdgBankB,$M606),""))</f>
        <v/>
      </c>
      <c r="E606" s="25">
        <f>IF($L606&lt;&gt;"",IF(INDEX(SCCitrus,$L606)&amp;INDEX(SCNotes,$L606)="","",IF(INDEX(SCCitrus,$L606)="","",INDEX(SCCitrus,$L606))&amp;IF(INDEX(SCNotes,$L606)="",""," — "&amp;INDEX(SCNotes,$L606))),IF($M606&lt;&gt;"",IF(INDEX(LdgNoteB,$M606)="","—",INDEX(LdgNoteB,$M606)),""))</f>
        <v/>
      </c>
      <c r="F606" s="26">
        <f>IF($L606&lt;&gt;"",IF(INDEX(SCNet,$L606)=0,"",INDEX(SCNet,$L606)),"")</f>
        <v/>
      </c>
      <c r="G606" s="27">
        <f>IF($L606&lt;&gt;"",IF(INDEX(SCOp,$L606)="مرجوعی فروش","",IF(INDEX(SCAmount,$L606)&lt;=0,"",INDEX(SCAmount,$L606))),IF($M606&lt;&gt;"",IF(INDEX(LdgWitB,$M606)=0,"",INDEX(LdgWitB,$M606)),""))</f>
        <v/>
      </c>
      <c r="H606" s="27">
        <f>IF($L606&lt;&gt;"",IF(INDEX(SCOp,$L606)="مرجوعی فروش",IF(INDEX(SCAmount,$L606)=0,"",-INDEX(SCAmount,$L606)),""),IF($M606&lt;&gt;"",IF(INDEX(LdgDepB,$M606)=0,"",INDEX(LdgDepB,$M606)),""))</f>
        <v/>
      </c>
      <c r="I606" s="28">
        <f>IF($B606="","",IF($I605="",$C$10,$I605)+IF($G606="",0,$G606)-IF($H606="",0,$H606))</f>
        <v/>
      </c>
      <c r="L606">
        <f>IFERROR(MATCH($C$5&amp;"|"&amp;RIGHT("000000"&amp;590,6),LdgRankKeyA,0),"")</f>
        <v/>
      </c>
      <c r="M606">
        <f>IFERROR(MATCH($C$5&amp;"|"&amp;RIGHT("000000"&amp;590,6),LdgRankKeyB,0),"")</f>
        <v/>
      </c>
    </row>
    <row r="607">
      <c r="A607" s="17" t="n">
        <v>591</v>
      </c>
      <c r="B607" s="18">
        <f>IF(AND($L607="",$M607=""),"",IF($L607&lt;&gt;"",INDEX(SCNormDate,$L607),INDEX(LdgDateB,$M607)))</f>
        <v/>
      </c>
      <c r="C607" s="18">
        <f>IF($L607&lt;&gt;"",INDEX(SCOp,$L607),IF($M607&lt;&gt;"","پرداخت بانکی",""))</f>
        <v/>
      </c>
      <c r="D607" s="18">
        <f>IF($L607&lt;&gt;"",IF(INDEX(SCDoc,$L607)="","—",INDEX(SCDoc,$L607)),IF($M607&lt;&gt;"",INDEX(LdgBankB,$M607),""))</f>
        <v/>
      </c>
      <c r="E607" s="19">
        <f>IF($L607&lt;&gt;"",IF(INDEX(SCCitrus,$L607)&amp;INDEX(SCNotes,$L607)="","",IF(INDEX(SCCitrus,$L607)="","",INDEX(SCCitrus,$L607))&amp;IF(INDEX(SCNotes,$L607)="",""," — "&amp;INDEX(SCNotes,$L607))),IF($M607&lt;&gt;"",IF(INDEX(LdgNoteB,$M607)="","—",INDEX(LdgNoteB,$M607)),""))</f>
        <v/>
      </c>
      <c r="F607" s="20">
        <f>IF($L607&lt;&gt;"",IF(INDEX(SCNet,$L607)=0,"",INDEX(SCNet,$L607)),"")</f>
        <v/>
      </c>
      <c r="G607" s="21">
        <f>IF($L607&lt;&gt;"",IF(INDEX(SCOp,$L607)="مرجوعی فروش","",IF(INDEX(SCAmount,$L607)&lt;=0,"",INDEX(SCAmount,$L607))),IF($M607&lt;&gt;"",IF(INDEX(LdgWitB,$M607)=0,"",INDEX(LdgWitB,$M607)),""))</f>
        <v/>
      </c>
      <c r="H607" s="21">
        <f>IF($L607&lt;&gt;"",IF(INDEX(SCOp,$L607)="مرجوعی فروش",IF(INDEX(SCAmount,$L607)=0,"",-INDEX(SCAmount,$L607)),""),IF($M607&lt;&gt;"",IF(INDEX(LdgDepB,$M607)=0,"",INDEX(LdgDepB,$M607)),""))</f>
        <v/>
      </c>
      <c r="I607" s="22">
        <f>IF($B607="","",IF($I606="",$C$10,$I606)+IF($G607="",0,$G607)-IF($H607="",0,$H607))</f>
        <v/>
      </c>
      <c r="L607">
        <f>IFERROR(MATCH($C$5&amp;"|"&amp;RIGHT("000000"&amp;591,6),LdgRankKeyA,0),"")</f>
        <v/>
      </c>
      <c r="M607">
        <f>IFERROR(MATCH($C$5&amp;"|"&amp;RIGHT("000000"&amp;591,6),LdgRankKeyB,0),"")</f>
        <v/>
      </c>
    </row>
    <row r="608">
      <c r="A608" s="23" t="n">
        <v>592</v>
      </c>
      <c r="B608" s="24">
        <f>IF(AND($L608="",$M608=""),"",IF($L608&lt;&gt;"",INDEX(SCNormDate,$L608),INDEX(LdgDateB,$M608)))</f>
        <v/>
      </c>
      <c r="C608" s="24">
        <f>IF($L608&lt;&gt;"",INDEX(SCOp,$L608),IF($M608&lt;&gt;"","پرداخت بانکی",""))</f>
        <v/>
      </c>
      <c r="D608" s="24">
        <f>IF($L608&lt;&gt;"",IF(INDEX(SCDoc,$L608)="","—",INDEX(SCDoc,$L608)),IF($M608&lt;&gt;"",INDEX(LdgBankB,$M608),""))</f>
        <v/>
      </c>
      <c r="E608" s="25">
        <f>IF($L608&lt;&gt;"",IF(INDEX(SCCitrus,$L608)&amp;INDEX(SCNotes,$L608)="","",IF(INDEX(SCCitrus,$L608)="","",INDEX(SCCitrus,$L608))&amp;IF(INDEX(SCNotes,$L608)="",""," — "&amp;INDEX(SCNotes,$L608))),IF($M608&lt;&gt;"",IF(INDEX(LdgNoteB,$M608)="","—",INDEX(LdgNoteB,$M608)),""))</f>
        <v/>
      </c>
      <c r="F608" s="26">
        <f>IF($L608&lt;&gt;"",IF(INDEX(SCNet,$L608)=0,"",INDEX(SCNet,$L608)),"")</f>
        <v/>
      </c>
      <c r="G608" s="27">
        <f>IF($L608&lt;&gt;"",IF(INDEX(SCOp,$L608)="مرجوعی فروش","",IF(INDEX(SCAmount,$L608)&lt;=0,"",INDEX(SCAmount,$L608))),IF($M608&lt;&gt;"",IF(INDEX(LdgWitB,$M608)=0,"",INDEX(LdgWitB,$M608)),""))</f>
        <v/>
      </c>
      <c r="H608" s="27">
        <f>IF($L608&lt;&gt;"",IF(INDEX(SCOp,$L608)="مرجوعی فروش",IF(INDEX(SCAmount,$L608)=0,"",-INDEX(SCAmount,$L608)),""),IF($M608&lt;&gt;"",IF(INDEX(LdgDepB,$M608)=0,"",INDEX(LdgDepB,$M608)),""))</f>
        <v/>
      </c>
      <c r="I608" s="28">
        <f>IF($B608="","",IF($I607="",$C$10,$I607)+IF($G608="",0,$G608)-IF($H608="",0,$H608))</f>
        <v/>
      </c>
      <c r="L608">
        <f>IFERROR(MATCH($C$5&amp;"|"&amp;RIGHT("000000"&amp;592,6),LdgRankKeyA,0),"")</f>
        <v/>
      </c>
      <c r="M608">
        <f>IFERROR(MATCH($C$5&amp;"|"&amp;RIGHT("000000"&amp;592,6),LdgRankKeyB,0),"")</f>
        <v/>
      </c>
    </row>
    <row r="609">
      <c r="A609" s="17" t="n">
        <v>593</v>
      </c>
      <c r="B609" s="18">
        <f>IF(AND($L609="",$M609=""),"",IF($L609&lt;&gt;"",INDEX(SCNormDate,$L609),INDEX(LdgDateB,$M609)))</f>
        <v/>
      </c>
      <c r="C609" s="18">
        <f>IF($L609&lt;&gt;"",INDEX(SCOp,$L609),IF($M609&lt;&gt;"","پرداخت بانکی",""))</f>
        <v/>
      </c>
      <c r="D609" s="18">
        <f>IF($L609&lt;&gt;"",IF(INDEX(SCDoc,$L609)="","—",INDEX(SCDoc,$L609)),IF($M609&lt;&gt;"",INDEX(LdgBankB,$M609),""))</f>
        <v/>
      </c>
      <c r="E609" s="19">
        <f>IF($L609&lt;&gt;"",IF(INDEX(SCCitrus,$L609)&amp;INDEX(SCNotes,$L609)="","",IF(INDEX(SCCitrus,$L609)="","",INDEX(SCCitrus,$L609))&amp;IF(INDEX(SCNotes,$L609)="",""," — "&amp;INDEX(SCNotes,$L609))),IF($M609&lt;&gt;"",IF(INDEX(LdgNoteB,$M609)="","—",INDEX(LdgNoteB,$M609)),""))</f>
        <v/>
      </c>
      <c r="F609" s="20">
        <f>IF($L609&lt;&gt;"",IF(INDEX(SCNet,$L609)=0,"",INDEX(SCNet,$L609)),"")</f>
        <v/>
      </c>
      <c r="G609" s="21">
        <f>IF($L609&lt;&gt;"",IF(INDEX(SCOp,$L609)="مرجوعی فروش","",IF(INDEX(SCAmount,$L609)&lt;=0,"",INDEX(SCAmount,$L609))),IF($M609&lt;&gt;"",IF(INDEX(LdgWitB,$M609)=0,"",INDEX(LdgWitB,$M609)),""))</f>
        <v/>
      </c>
      <c r="H609" s="21">
        <f>IF($L609&lt;&gt;"",IF(INDEX(SCOp,$L609)="مرجوعی فروش",IF(INDEX(SCAmount,$L609)=0,"",-INDEX(SCAmount,$L609)),""),IF($M609&lt;&gt;"",IF(INDEX(LdgDepB,$M609)=0,"",INDEX(LdgDepB,$M609)),""))</f>
        <v/>
      </c>
      <c r="I609" s="22">
        <f>IF($B609="","",IF($I608="",$C$10,$I608)+IF($G609="",0,$G609)-IF($H609="",0,$H609))</f>
        <v/>
      </c>
      <c r="L609">
        <f>IFERROR(MATCH($C$5&amp;"|"&amp;RIGHT("000000"&amp;593,6),LdgRankKeyA,0),"")</f>
        <v/>
      </c>
      <c r="M609">
        <f>IFERROR(MATCH($C$5&amp;"|"&amp;RIGHT("000000"&amp;593,6),LdgRankKeyB,0),"")</f>
        <v/>
      </c>
    </row>
    <row r="610">
      <c r="A610" s="23" t="n">
        <v>594</v>
      </c>
      <c r="B610" s="24">
        <f>IF(AND($L610="",$M610=""),"",IF($L610&lt;&gt;"",INDEX(SCNormDate,$L610),INDEX(LdgDateB,$M610)))</f>
        <v/>
      </c>
      <c r="C610" s="24">
        <f>IF($L610&lt;&gt;"",INDEX(SCOp,$L610),IF($M610&lt;&gt;"","پرداخت بانکی",""))</f>
        <v/>
      </c>
      <c r="D610" s="24">
        <f>IF($L610&lt;&gt;"",IF(INDEX(SCDoc,$L610)="","—",INDEX(SCDoc,$L610)),IF($M610&lt;&gt;"",INDEX(LdgBankB,$M610),""))</f>
        <v/>
      </c>
      <c r="E610" s="25">
        <f>IF($L610&lt;&gt;"",IF(INDEX(SCCitrus,$L610)&amp;INDEX(SCNotes,$L610)="","",IF(INDEX(SCCitrus,$L610)="","",INDEX(SCCitrus,$L610))&amp;IF(INDEX(SCNotes,$L610)="",""," — "&amp;INDEX(SCNotes,$L610))),IF($M610&lt;&gt;"",IF(INDEX(LdgNoteB,$M610)="","—",INDEX(LdgNoteB,$M610)),""))</f>
        <v/>
      </c>
      <c r="F610" s="26">
        <f>IF($L610&lt;&gt;"",IF(INDEX(SCNet,$L610)=0,"",INDEX(SCNet,$L610)),"")</f>
        <v/>
      </c>
      <c r="G610" s="27">
        <f>IF($L610&lt;&gt;"",IF(INDEX(SCOp,$L610)="مرجوعی فروش","",IF(INDEX(SCAmount,$L610)&lt;=0,"",INDEX(SCAmount,$L610))),IF($M610&lt;&gt;"",IF(INDEX(LdgWitB,$M610)=0,"",INDEX(LdgWitB,$M610)),""))</f>
        <v/>
      </c>
      <c r="H610" s="27">
        <f>IF($L610&lt;&gt;"",IF(INDEX(SCOp,$L610)="مرجوعی فروش",IF(INDEX(SCAmount,$L610)=0,"",-INDEX(SCAmount,$L610)),""),IF($M610&lt;&gt;"",IF(INDEX(LdgDepB,$M610)=0,"",INDEX(LdgDepB,$M610)),""))</f>
        <v/>
      </c>
      <c r="I610" s="28">
        <f>IF($B610="","",IF($I609="",$C$10,$I609)+IF($G610="",0,$G610)-IF($H610="",0,$H610))</f>
        <v/>
      </c>
      <c r="L610">
        <f>IFERROR(MATCH($C$5&amp;"|"&amp;RIGHT("000000"&amp;594,6),LdgRankKeyA,0),"")</f>
        <v/>
      </c>
      <c r="M610">
        <f>IFERROR(MATCH($C$5&amp;"|"&amp;RIGHT("000000"&amp;594,6),LdgRankKeyB,0),"")</f>
        <v/>
      </c>
    </row>
    <row r="611">
      <c r="A611" s="17" t="n">
        <v>595</v>
      </c>
      <c r="B611" s="18">
        <f>IF(AND($L611="",$M611=""),"",IF($L611&lt;&gt;"",INDEX(SCNormDate,$L611),INDEX(LdgDateB,$M611)))</f>
        <v/>
      </c>
      <c r="C611" s="18">
        <f>IF($L611&lt;&gt;"",INDEX(SCOp,$L611),IF($M611&lt;&gt;"","پرداخت بانکی",""))</f>
        <v/>
      </c>
      <c r="D611" s="18">
        <f>IF($L611&lt;&gt;"",IF(INDEX(SCDoc,$L611)="","—",INDEX(SCDoc,$L611)),IF($M611&lt;&gt;"",INDEX(LdgBankB,$M611),""))</f>
        <v/>
      </c>
      <c r="E611" s="19">
        <f>IF($L611&lt;&gt;"",IF(INDEX(SCCitrus,$L611)&amp;INDEX(SCNotes,$L611)="","",IF(INDEX(SCCitrus,$L611)="","",INDEX(SCCitrus,$L611))&amp;IF(INDEX(SCNotes,$L611)="",""," — "&amp;INDEX(SCNotes,$L611))),IF($M611&lt;&gt;"",IF(INDEX(LdgNoteB,$M611)="","—",INDEX(LdgNoteB,$M611)),""))</f>
        <v/>
      </c>
      <c r="F611" s="20">
        <f>IF($L611&lt;&gt;"",IF(INDEX(SCNet,$L611)=0,"",INDEX(SCNet,$L611)),"")</f>
        <v/>
      </c>
      <c r="G611" s="21">
        <f>IF($L611&lt;&gt;"",IF(INDEX(SCOp,$L611)="مرجوعی فروش","",IF(INDEX(SCAmount,$L611)&lt;=0,"",INDEX(SCAmount,$L611))),IF($M611&lt;&gt;"",IF(INDEX(LdgWitB,$M611)=0,"",INDEX(LdgWitB,$M611)),""))</f>
        <v/>
      </c>
      <c r="H611" s="21">
        <f>IF($L611&lt;&gt;"",IF(INDEX(SCOp,$L611)="مرجوعی فروش",IF(INDEX(SCAmount,$L611)=0,"",-INDEX(SCAmount,$L611)),""),IF($M611&lt;&gt;"",IF(INDEX(LdgDepB,$M611)=0,"",INDEX(LdgDepB,$M611)),""))</f>
        <v/>
      </c>
      <c r="I611" s="22">
        <f>IF($B611="","",IF($I610="",$C$10,$I610)+IF($G611="",0,$G611)-IF($H611="",0,$H611))</f>
        <v/>
      </c>
      <c r="L611">
        <f>IFERROR(MATCH($C$5&amp;"|"&amp;RIGHT("000000"&amp;595,6),LdgRankKeyA,0),"")</f>
        <v/>
      </c>
      <c r="M611">
        <f>IFERROR(MATCH($C$5&amp;"|"&amp;RIGHT("000000"&amp;595,6),LdgRankKeyB,0),"")</f>
        <v/>
      </c>
    </row>
    <row r="612">
      <c r="A612" s="23" t="n">
        <v>596</v>
      </c>
      <c r="B612" s="24">
        <f>IF(AND($L612="",$M612=""),"",IF($L612&lt;&gt;"",INDEX(SCNormDate,$L612),INDEX(LdgDateB,$M612)))</f>
        <v/>
      </c>
      <c r="C612" s="24">
        <f>IF($L612&lt;&gt;"",INDEX(SCOp,$L612),IF($M612&lt;&gt;"","پرداخت بانکی",""))</f>
        <v/>
      </c>
      <c r="D612" s="24">
        <f>IF($L612&lt;&gt;"",IF(INDEX(SCDoc,$L612)="","—",INDEX(SCDoc,$L612)),IF($M612&lt;&gt;"",INDEX(LdgBankB,$M612),""))</f>
        <v/>
      </c>
      <c r="E612" s="25">
        <f>IF($L612&lt;&gt;"",IF(INDEX(SCCitrus,$L612)&amp;INDEX(SCNotes,$L612)="","",IF(INDEX(SCCitrus,$L612)="","",INDEX(SCCitrus,$L612))&amp;IF(INDEX(SCNotes,$L612)="",""," — "&amp;INDEX(SCNotes,$L612))),IF($M612&lt;&gt;"",IF(INDEX(LdgNoteB,$M612)="","—",INDEX(LdgNoteB,$M612)),""))</f>
        <v/>
      </c>
      <c r="F612" s="26">
        <f>IF($L612&lt;&gt;"",IF(INDEX(SCNet,$L612)=0,"",INDEX(SCNet,$L612)),"")</f>
        <v/>
      </c>
      <c r="G612" s="27">
        <f>IF($L612&lt;&gt;"",IF(INDEX(SCOp,$L612)="مرجوعی فروش","",IF(INDEX(SCAmount,$L612)&lt;=0,"",INDEX(SCAmount,$L612))),IF($M612&lt;&gt;"",IF(INDEX(LdgWitB,$M612)=0,"",INDEX(LdgWitB,$M612)),""))</f>
        <v/>
      </c>
      <c r="H612" s="27">
        <f>IF($L612&lt;&gt;"",IF(INDEX(SCOp,$L612)="مرجوعی فروش",IF(INDEX(SCAmount,$L612)=0,"",-INDEX(SCAmount,$L612)),""),IF($M612&lt;&gt;"",IF(INDEX(LdgDepB,$M612)=0,"",INDEX(LdgDepB,$M612)),""))</f>
        <v/>
      </c>
      <c r="I612" s="28">
        <f>IF($B612="","",IF($I611="",$C$10,$I611)+IF($G612="",0,$G612)-IF($H612="",0,$H612))</f>
        <v/>
      </c>
      <c r="L612">
        <f>IFERROR(MATCH($C$5&amp;"|"&amp;RIGHT("000000"&amp;596,6),LdgRankKeyA,0),"")</f>
        <v/>
      </c>
      <c r="M612">
        <f>IFERROR(MATCH($C$5&amp;"|"&amp;RIGHT("000000"&amp;596,6),LdgRankKeyB,0),"")</f>
        <v/>
      </c>
    </row>
    <row r="613">
      <c r="A613" s="17" t="n">
        <v>597</v>
      </c>
      <c r="B613" s="18">
        <f>IF(AND($L613="",$M613=""),"",IF($L613&lt;&gt;"",INDEX(SCNormDate,$L613),INDEX(LdgDateB,$M613)))</f>
        <v/>
      </c>
      <c r="C613" s="18">
        <f>IF($L613&lt;&gt;"",INDEX(SCOp,$L613),IF($M613&lt;&gt;"","پرداخت بانکی",""))</f>
        <v/>
      </c>
      <c r="D613" s="18">
        <f>IF($L613&lt;&gt;"",IF(INDEX(SCDoc,$L613)="","—",INDEX(SCDoc,$L613)),IF($M613&lt;&gt;"",INDEX(LdgBankB,$M613),""))</f>
        <v/>
      </c>
      <c r="E613" s="19">
        <f>IF($L613&lt;&gt;"",IF(INDEX(SCCitrus,$L613)&amp;INDEX(SCNotes,$L613)="","",IF(INDEX(SCCitrus,$L613)="","",INDEX(SCCitrus,$L613))&amp;IF(INDEX(SCNotes,$L613)="",""," — "&amp;INDEX(SCNotes,$L613))),IF($M613&lt;&gt;"",IF(INDEX(LdgNoteB,$M613)="","—",INDEX(LdgNoteB,$M613)),""))</f>
        <v/>
      </c>
      <c r="F613" s="20">
        <f>IF($L613&lt;&gt;"",IF(INDEX(SCNet,$L613)=0,"",INDEX(SCNet,$L613)),"")</f>
        <v/>
      </c>
      <c r="G613" s="21">
        <f>IF($L613&lt;&gt;"",IF(INDEX(SCOp,$L613)="مرجوعی فروش","",IF(INDEX(SCAmount,$L613)&lt;=0,"",INDEX(SCAmount,$L613))),IF($M613&lt;&gt;"",IF(INDEX(LdgWitB,$M613)=0,"",INDEX(LdgWitB,$M613)),""))</f>
        <v/>
      </c>
      <c r="H613" s="21">
        <f>IF($L613&lt;&gt;"",IF(INDEX(SCOp,$L613)="مرجوعی فروش",IF(INDEX(SCAmount,$L613)=0,"",-INDEX(SCAmount,$L613)),""),IF($M613&lt;&gt;"",IF(INDEX(LdgDepB,$M613)=0,"",INDEX(LdgDepB,$M613)),""))</f>
        <v/>
      </c>
      <c r="I613" s="22">
        <f>IF($B613="","",IF($I612="",$C$10,$I612)+IF($G613="",0,$G613)-IF($H613="",0,$H613))</f>
        <v/>
      </c>
      <c r="L613">
        <f>IFERROR(MATCH($C$5&amp;"|"&amp;RIGHT("000000"&amp;597,6),LdgRankKeyA,0),"")</f>
        <v/>
      </c>
      <c r="M613">
        <f>IFERROR(MATCH($C$5&amp;"|"&amp;RIGHT("000000"&amp;597,6),LdgRankKeyB,0),"")</f>
        <v/>
      </c>
    </row>
    <row r="614">
      <c r="A614" s="23" t="n">
        <v>598</v>
      </c>
      <c r="B614" s="24">
        <f>IF(AND($L614="",$M614=""),"",IF($L614&lt;&gt;"",INDEX(SCNormDate,$L614),INDEX(LdgDateB,$M614)))</f>
        <v/>
      </c>
      <c r="C614" s="24">
        <f>IF($L614&lt;&gt;"",INDEX(SCOp,$L614),IF($M614&lt;&gt;"","پرداخت بانکی",""))</f>
        <v/>
      </c>
      <c r="D614" s="24">
        <f>IF($L614&lt;&gt;"",IF(INDEX(SCDoc,$L614)="","—",INDEX(SCDoc,$L614)),IF($M614&lt;&gt;"",INDEX(LdgBankB,$M614),""))</f>
        <v/>
      </c>
      <c r="E614" s="25">
        <f>IF($L614&lt;&gt;"",IF(INDEX(SCCitrus,$L614)&amp;INDEX(SCNotes,$L614)="","",IF(INDEX(SCCitrus,$L614)="","",INDEX(SCCitrus,$L614))&amp;IF(INDEX(SCNotes,$L614)="",""," — "&amp;INDEX(SCNotes,$L614))),IF($M614&lt;&gt;"",IF(INDEX(LdgNoteB,$M614)="","—",INDEX(LdgNoteB,$M614)),""))</f>
        <v/>
      </c>
      <c r="F614" s="26">
        <f>IF($L614&lt;&gt;"",IF(INDEX(SCNet,$L614)=0,"",INDEX(SCNet,$L614)),"")</f>
        <v/>
      </c>
      <c r="G614" s="27">
        <f>IF($L614&lt;&gt;"",IF(INDEX(SCOp,$L614)="مرجوعی فروش","",IF(INDEX(SCAmount,$L614)&lt;=0,"",INDEX(SCAmount,$L614))),IF($M614&lt;&gt;"",IF(INDEX(LdgWitB,$M614)=0,"",INDEX(LdgWitB,$M614)),""))</f>
        <v/>
      </c>
      <c r="H614" s="27">
        <f>IF($L614&lt;&gt;"",IF(INDEX(SCOp,$L614)="مرجوعی فروش",IF(INDEX(SCAmount,$L614)=0,"",-INDEX(SCAmount,$L614)),""),IF($M614&lt;&gt;"",IF(INDEX(LdgDepB,$M614)=0,"",INDEX(LdgDepB,$M614)),""))</f>
        <v/>
      </c>
      <c r="I614" s="28">
        <f>IF($B614="","",IF($I613="",$C$10,$I613)+IF($G614="",0,$G614)-IF($H614="",0,$H614))</f>
        <v/>
      </c>
      <c r="L614">
        <f>IFERROR(MATCH($C$5&amp;"|"&amp;RIGHT("000000"&amp;598,6),LdgRankKeyA,0),"")</f>
        <v/>
      </c>
      <c r="M614">
        <f>IFERROR(MATCH($C$5&amp;"|"&amp;RIGHT("000000"&amp;598,6),LdgRankKeyB,0),"")</f>
        <v/>
      </c>
    </row>
    <row r="615">
      <c r="A615" s="17" t="n">
        <v>599</v>
      </c>
      <c r="B615" s="18">
        <f>IF(AND($L615="",$M615=""),"",IF($L615&lt;&gt;"",INDEX(SCNormDate,$L615),INDEX(LdgDateB,$M615)))</f>
        <v/>
      </c>
      <c r="C615" s="18">
        <f>IF($L615&lt;&gt;"",INDEX(SCOp,$L615),IF($M615&lt;&gt;"","پرداخت بانکی",""))</f>
        <v/>
      </c>
      <c r="D615" s="18">
        <f>IF($L615&lt;&gt;"",IF(INDEX(SCDoc,$L615)="","—",INDEX(SCDoc,$L615)),IF($M615&lt;&gt;"",INDEX(LdgBankB,$M615),""))</f>
        <v/>
      </c>
      <c r="E615" s="19">
        <f>IF($L615&lt;&gt;"",IF(INDEX(SCCitrus,$L615)&amp;INDEX(SCNotes,$L615)="","",IF(INDEX(SCCitrus,$L615)="","",INDEX(SCCitrus,$L615))&amp;IF(INDEX(SCNotes,$L615)="",""," — "&amp;INDEX(SCNotes,$L615))),IF($M615&lt;&gt;"",IF(INDEX(LdgNoteB,$M615)="","—",INDEX(LdgNoteB,$M615)),""))</f>
        <v/>
      </c>
      <c r="F615" s="20">
        <f>IF($L615&lt;&gt;"",IF(INDEX(SCNet,$L615)=0,"",INDEX(SCNet,$L615)),"")</f>
        <v/>
      </c>
      <c r="G615" s="21">
        <f>IF($L615&lt;&gt;"",IF(INDEX(SCOp,$L615)="مرجوعی فروش","",IF(INDEX(SCAmount,$L615)&lt;=0,"",INDEX(SCAmount,$L615))),IF($M615&lt;&gt;"",IF(INDEX(LdgWitB,$M615)=0,"",INDEX(LdgWitB,$M615)),""))</f>
        <v/>
      </c>
      <c r="H615" s="21">
        <f>IF($L615&lt;&gt;"",IF(INDEX(SCOp,$L615)="مرجوعی فروش",IF(INDEX(SCAmount,$L615)=0,"",-INDEX(SCAmount,$L615)),""),IF($M615&lt;&gt;"",IF(INDEX(LdgDepB,$M615)=0,"",INDEX(LdgDepB,$M615)),""))</f>
        <v/>
      </c>
      <c r="I615" s="22">
        <f>IF($B615="","",IF($I614="",$C$10,$I614)+IF($G615="",0,$G615)-IF($H615="",0,$H615))</f>
        <v/>
      </c>
      <c r="L615">
        <f>IFERROR(MATCH($C$5&amp;"|"&amp;RIGHT("000000"&amp;599,6),LdgRankKeyA,0),"")</f>
        <v/>
      </c>
      <c r="M615">
        <f>IFERROR(MATCH($C$5&amp;"|"&amp;RIGHT("000000"&amp;599,6),LdgRankKeyB,0),"")</f>
        <v/>
      </c>
    </row>
    <row r="616">
      <c r="A616" s="23" t="n">
        <v>600</v>
      </c>
      <c r="B616" s="24">
        <f>IF(AND($L616="",$M616=""),"",IF($L616&lt;&gt;"",INDEX(SCNormDate,$L616),INDEX(LdgDateB,$M616)))</f>
        <v/>
      </c>
      <c r="C616" s="24">
        <f>IF($L616&lt;&gt;"",INDEX(SCOp,$L616),IF($M616&lt;&gt;"","پرداخت بانکی",""))</f>
        <v/>
      </c>
      <c r="D616" s="24">
        <f>IF($L616&lt;&gt;"",IF(INDEX(SCDoc,$L616)="","—",INDEX(SCDoc,$L616)),IF($M616&lt;&gt;"",INDEX(LdgBankB,$M616),""))</f>
        <v/>
      </c>
      <c r="E616" s="25">
        <f>IF($L616&lt;&gt;"",IF(INDEX(SCCitrus,$L616)&amp;INDEX(SCNotes,$L616)="","",IF(INDEX(SCCitrus,$L616)="","",INDEX(SCCitrus,$L616))&amp;IF(INDEX(SCNotes,$L616)="",""," — "&amp;INDEX(SCNotes,$L616))),IF($M616&lt;&gt;"",IF(INDEX(LdgNoteB,$M616)="","—",INDEX(LdgNoteB,$M616)),""))</f>
        <v/>
      </c>
      <c r="F616" s="26">
        <f>IF($L616&lt;&gt;"",IF(INDEX(SCNet,$L616)=0,"",INDEX(SCNet,$L616)),"")</f>
        <v/>
      </c>
      <c r="G616" s="27">
        <f>IF($L616&lt;&gt;"",IF(INDEX(SCOp,$L616)="مرجوعی فروش","",IF(INDEX(SCAmount,$L616)&lt;=0,"",INDEX(SCAmount,$L616))),IF($M616&lt;&gt;"",IF(INDEX(LdgWitB,$M616)=0,"",INDEX(LdgWitB,$M616)),""))</f>
        <v/>
      </c>
      <c r="H616" s="27">
        <f>IF($L616&lt;&gt;"",IF(INDEX(SCOp,$L616)="مرجوعی فروش",IF(INDEX(SCAmount,$L616)=0,"",-INDEX(SCAmount,$L616)),""),IF($M616&lt;&gt;"",IF(INDEX(LdgDepB,$M616)=0,"",INDEX(LdgDepB,$M616)),""))</f>
        <v/>
      </c>
      <c r="I616" s="28">
        <f>IF($B616="","",IF($I615="",$C$10,$I615)+IF($G616="",0,$G616)-IF($H616="",0,$H616))</f>
        <v/>
      </c>
      <c r="L616">
        <f>IFERROR(MATCH($C$5&amp;"|"&amp;RIGHT("000000"&amp;600,6),LdgRankKeyA,0),"")</f>
        <v/>
      </c>
      <c r="M616">
        <f>IFERROR(MATCH($C$5&amp;"|"&amp;RIGHT("000000"&amp;600,6),LdgRankKeyB,0),"")</f>
        <v/>
      </c>
    </row>
    <row r="617">
      <c r="A617" s="17" t="n">
        <v>601</v>
      </c>
      <c r="B617" s="18">
        <f>IF(AND($L617="",$M617=""),"",IF($L617&lt;&gt;"",INDEX(SCNormDate,$L617),INDEX(LdgDateB,$M617)))</f>
        <v/>
      </c>
      <c r="C617" s="18">
        <f>IF($L617&lt;&gt;"",INDEX(SCOp,$L617),IF($M617&lt;&gt;"","پرداخت بانکی",""))</f>
        <v/>
      </c>
      <c r="D617" s="18">
        <f>IF($L617&lt;&gt;"",IF(INDEX(SCDoc,$L617)="","—",INDEX(SCDoc,$L617)),IF($M617&lt;&gt;"",INDEX(LdgBankB,$M617),""))</f>
        <v/>
      </c>
      <c r="E617" s="19">
        <f>IF($L617&lt;&gt;"",IF(INDEX(SCCitrus,$L617)&amp;INDEX(SCNotes,$L617)="","",IF(INDEX(SCCitrus,$L617)="","",INDEX(SCCitrus,$L617))&amp;IF(INDEX(SCNotes,$L617)="",""," — "&amp;INDEX(SCNotes,$L617))),IF($M617&lt;&gt;"",IF(INDEX(LdgNoteB,$M617)="","—",INDEX(LdgNoteB,$M617)),""))</f>
        <v/>
      </c>
      <c r="F617" s="20">
        <f>IF($L617&lt;&gt;"",IF(INDEX(SCNet,$L617)=0,"",INDEX(SCNet,$L617)),"")</f>
        <v/>
      </c>
      <c r="G617" s="21">
        <f>IF($L617&lt;&gt;"",IF(INDEX(SCOp,$L617)="مرجوعی فروش","",IF(INDEX(SCAmount,$L617)&lt;=0,"",INDEX(SCAmount,$L617))),IF($M617&lt;&gt;"",IF(INDEX(LdgWitB,$M617)=0,"",INDEX(LdgWitB,$M617)),""))</f>
        <v/>
      </c>
      <c r="H617" s="21">
        <f>IF($L617&lt;&gt;"",IF(INDEX(SCOp,$L617)="مرجوعی فروش",IF(INDEX(SCAmount,$L617)=0,"",-INDEX(SCAmount,$L617)),""),IF($M617&lt;&gt;"",IF(INDEX(LdgDepB,$M617)=0,"",INDEX(LdgDepB,$M617)),""))</f>
        <v/>
      </c>
      <c r="I617" s="22">
        <f>IF($B617="","",IF($I616="",$C$10,$I616)+IF($G617="",0,$G617)-IF($H617="",0,$H617))</f>
        <v/>
      </c>
      <c r="L617">
        <f>IFERROR(MATCH($C$5&amp;"|"&amp;RIGHT("000000"&amp;601,6),LdgRankKeyA,0),"")</f>
        <v/>
      </c>
      <c r="M617">
        <f>IFERROR(MATCH($C$5&amp;"|"&amp;RIGHT("000000"&amp;601,6),LdgRankKeyB,0),"")</f>
        <v/>
      </c>
    </row>
    <row r="618">
      <c r="A618" s="23" t="n">
        <v>602</v>
      </c>
      <c r="B618" s="24">
        <f>IF(AND($L618="",$M618=""),"",IF($L618&lt;&gt;"",INDEX(SCNormDate,$L618),INDEX(LdgDateB,$M618)))</f>
        <v/>
      </c>
      <c r="C618" s="24">
        <f>IF($L618&lt;&gt;"",INDEX(SCOp,$L618),IF($M618&lt;&gt;"","پرداخت بانکی",""))</f>
        <v/>
      </c>
      <c r="D618" s="24">
        <f>IF($L618&lt;&gt;"",IF(INDEX(SCDoc,$L618)="","—",INDEX(SCDoc,$L618)),IF($M618&lt;&gt;"",INDEX(LdgBankB,$M618),""))</f>
        <v/>
      </c>
      <c r="E618" s="25">
        <f>IF($L618&lt;&gt;"",IF(INDEX(SCCitrus,$L618)&amp;INDEX(SCNotes,$L618)="","",IF(INDEX(SCCitrus,$L618)="","",INDEX(SCCitrus,$L618))&amp;IF(INDEX(SCNotes,$L618)="",""," — "&amp;INDEX(SCNotes,$L618))),IF($M618&lt;&gt;"",IF(INDEX(LdgNoteB,$M618)="","—",INDEX(LdgNoteB,$M618)),""))</f>
        <v/>
      </c>
      <c r="F618" s="26">
        <f>IF($L618&lt;&gt;"",IF(INDEX(SCNet,$L618)=0,"",INDEX(SCNet,$L618)),"")</f>
        <v/>
      </c>
      <c r="G618" s="27">
        <f>IF($L618&lt;&gt;"",IF(INDEX(SCOp,$L618)="مرجوعی فروش","",IF(INDEX(SCAmount,$L618)&lt;=0,"",INDEX(SCAmount,$L618))),IF($M618&lt;&gt;"",IF(INDEX(LdgWitB,$M618)=0,"",INDEX(LdgWitB,$M618)),""))</f>
        <v/>
      </c>
      <c r="H618" s="27">
        <f>IF($L618&lt;&gt;"",IF(INDEX(SCOp,$L618)="مرجوعی فروش",IF(INDEX(SCAmount,$L618)=0,"",-INDEX(SCAmount,$L618)),""),IF($M618&lt;&gt;"",IF(INDEX(LdgDepB,$M618)=0,"",INDEX(LdgDepB,$M618)),""))</f>
        <v/>
      </c>
      <c r="I618" s="28">
        <f>IF($B618="","",IF($I617="",$C$10,$I617)+IF($G618="",0,$G618)-IF($H618="",0,$H618))</f>
        <v/>
      </c>
      <c r="L618">
        <f>IFERROR(MATCH($C$5&amp;"|"&amp;RIGHT("000000"&amp;602,6),LdgRankKeyA,0),"")</f>
        <v/>
      </c>
      <c r="M618">
        <f>IFERROR(MATCH($C$5&amp;"|"&amp;RIGHT("000000"&amp;602,6),LdgRankKeyB,0),"")</f>
        <v/>
      </c>
    </row>
    <row r="619">
      <c r="A619" s="17" t="n">
        <v>603</v>
      </c>
      <c r="B619" s="18">
        <f>IF(AND($L619="",$M619=""),"",IF($L619&lt;&gt;"",INDEX(SCNormDate,$L619),INDEX(LdgDateB,$M619)))</f>
        <v/>
      </c>
      <c r="C619" s="18">
        <f>IF($L619&lt;&gt;"",INDEX(SCOp,$L619),IF($M619&lt;&gt;"","پرداخت بانکی",""))</f>
        <v/>
      </c>
      <c r="D619" s="18">
        <f>IF($L619&lt;&gt;"",IF(INDEX(SCDoc,$L619)="","—",INDEX(SCDoc,$L619)),IF($M619&lt;&gt;"",INDEX(LdgBankB,$M619),""))</f>
        <v/>
      </c>
      <c r="E619" s="19">
        <f>IF($L619&lt;&gt;"",IF(INDEX(SCCitrus,$L619)&amp;INDEX(SCNotes,$L619)="","",IF(INDEX(SCCitrus,$L619)="","",INDEX(SCCitrus,$L619))&amp;IF(INDEX(SCNotes,$L619)="",""," — "&amp;INDEX(SCNotes,$L619))),IF($M619&lt;&gt;"",IF(INDEX(LdgNoteB,$M619)="","—",INDEX(LdgNoteB,$M619)),""))</f>
        <v/>
      </c>
      <c r="F619" s="20">
        <f>IF($L619&lt;&gt;"",IF(INDEX(SCNet,$L619)=0,"",INDEX(SCNet,$L619)),"")</f>
        <v/>
      </c>
      <c r="G619" s="21">
        <f>IF($L619&lt;&gt;"",IF(INDEX(SCOp,$L619)="مرجوعی فروش","",IF(INDEX(SCAmount,$L619)&lt;=0,"",INDEX(SCAmount,$L619))),IF($M619&lt;&gt;"",IF(INDEX(LdgWitB,$M619)=0,"",INDEX(LdgWitB,$M619)),""))</f>
        <v/>
      </c>
      <c r="H619" s="21">
        <f>IF($L619&lt;&gt;"",IF(INDEX(SCOp,$L619)="مرجوعی فروش",IF(INDEX(SCAmount,$L619)=0,"",-INDEX(SCAmount,$L619)),""),IF($M619&lt;&gt;"",IF(INDEX(LdgDepB,$M619)=0,"",INDEX(LdgDepB,$M619)),""))</f>
        <v/>
      </c>
      <c r="I619" s="22">
        <f>IF($B619="","",IF($I618="",$C$10,$I618)+IF($G619="",0,$G619)-IF($H619="",0,$H619))</f>
        <v/>
      </c>
      <c r="L619">
        <f>IFERROR(MATCH($C$5&amp;"|"&amp;RIGHT("000000"&amp;603,6),LdgRankKeyA,0),"")</f>
        <v/>
      </c>
      <c r="M619">
        <f>IFERROR(MATCH($C$5&amp;"|"&amp;RIGHT("000000"&amp;603,6),LdgRankKeyB,0),"")</f>
        <v/>
      </c>
    </row>
    <row r="620">
      <c r="A620" s="23" t="n">
        <v>604</v>
      </c>
      <c r="B620" s="24">
        <f>IF(AND($L620="",$M620=""),"",IF($L620&lt;&gt;"",INDEX(SCNormDate,$L620),INDEX(LdgDateB,$M620)))</f>
        <v/>
      </c>
      <c r="C620" s="24">
        <f>IF($L620&lt;&gt;"",INDEX(SCOp,$L620),IF($M620&lt;&gt;"","پرداخت بانکی",""))</f>
        <v/>
      </c>
      <c r="D620" s="24">
        <f>IF($L620&lt;&gt;"",IF(INDEX(SCDoc,$L620)="","—",INDEX(SCDoc,$L620)),IF($M620&lt;&gt;"",INDEX(LdgBankB,$M620),""))</f>
        <v/>
      </c>
      <c r="E620" s="25">
        <f>IF($L620&lt;&gt;"",IF(INDEX(SCCitrus,$L620)&amp;INDEX(SCNotes,$L620)="","",IF(INDEX(SCCitrus,$L620)="","",INDEX(SCCitrus,$L620))&amp;IF(INDEX(SCNotes,$L620)="",""," — "&amp;INDEX(SCNotes,$L620))),IF($M620&lt;&gt;"",IF(INDEX(LdgNoteB,$M620)="","—",INDEX(LdgNoteB,$M620)),""))</f>
        <v/>
      </c>
      <c r="F620" s="26">
        <f>IF($L620&lt;&gt;"",IF(INDEX(SCNet,$L620)=0,"",INDEX(SCNet,$L620)),"")</f>
        <v/>
      </c>
      <c r="G620" s="27">
        <f>IF($L620&lt;&gt;"",IF(INDEX(SCOp,$L620)="مرجوعی فروش","",IF(INDEX(SCAmount,$L620)&lt;=0,"",INDEX(SCAmount,$L620))),IF($M620&lt;&gt;"",IF(INDEX(LdgWitB,$M620)=0,"",INDEX(LdgWitB,$M620)),""))</f>
        <v/>
      </c>
      <c r="H620" s="27">
        <f>IF($L620&lt;&gt;"",IF(INDEX(SCOp,$L620)="مرجوعی فروش",IF(INDEX(SCAmount,$L620)=0,"",-INDEX(SCAmount,$L620)),""),IF($M620&lt;&gt;"",IF(INDEX(LdgDepB,$M620)=0,"",INDEX(LdgDepB,$M620)),""))</f>
        <v/>
      </c>
      <c r="I620" s="28">
        <f>IF($B620="","",IF($I619="",$C$10,$I619)+IF($G620="",0,$G620)-IF($H620="",0,$H620))</f>
        <v/>
      </c>
      <c r="L620">
        <f>IFERROR(MATCH($C$5&amp;"|"&amp;RIGHT("000000"&amp;604,6),LdgRankKeyA,0),"")</f>
        <v/>
      </c>
      <c r="M620">
        <f>IFERROR(MATCH($C$5&amp;"|"&amp;RIGHT("000000"&amp;604,6),LdgRankKeyB,0),"")</f>
        <v/>
      </c>
    </row>
    <row r="621">
      <c r="A621" s="17" t="n">
        <v>605</v>
      </c>
      <c r="B621" s="18">
        <f>IF(AND($L621="",$M621=""),"",IF($L621&lt;&gt;"",INDEX(SCNormDate,$L621),INDEX(LdgDateB,$M621)))</f>
        <v/>
      </c>
      <c r="C621" s="18">
        <f>IF($L621&lt;&gt;"",INDEX(SCOp,$L621),IF($M621&lt;&gt;"","پرداخت بانکی",""))</f>
        <v/>
      </c>
      <c r="D621" s="18">
        <f>IF($L621&lt;&gt;"",IF(INDEX(SCDoc,$L621)="","—",INDEX(SCDoc,$L621)),IF($M621&lt;&gt;"",INDEX(LdgBankB,$M621),""))</f>
        <v/>
      </c>
      <c r="E621" s="19">
        <f>IF($L621&lt;&gt;"",IF(INDEX(SCCitrus,$L621)&amp;INDEX(SCNotes,$L621)="","",IF(INDEX(SCCitrus,$L621)="","",INDEX(SCCitrus,$L621))&amp;IF(INDEX(SCNotes,$L621)="",""," — "&amp;INDEX(SCNotes,$L621))),IF($M621&lt;&gt;"",IF(INDEX(LdgNoteB,$M621)="","—",INDEX(LdgNoteB,$M621)),""))</f>
        <v/>
      </c>
      <c r="F621" s="20">
        <f>IF($L621&lt;&gt;"",IF(INDEX(SCNet,$L621)=0,"",INDEX(SCNet,$L621)),"")</f>
        <v/>
      </c>
      <c r="G621" s="21">
        <f>IF($L621&lt;&gt;"",IF(INDEX(SCOp,$L621)="مرجوعی فروش","",IF(INDEX(SCAmount,$L621)&lt;=0,"",INDEX(SCAmount,$L621))),IF($M621&lt;&gt;"",IF(INDEX(LdgWitB,$M621)=0,"",INDEX(LdgWitB,$M621)),""))</f>
        <v/>
      </c>
      <c r="H621" s="21">
        <f>IF($L621&lt;&gt;"",IF(INDEX(SCOp,$L621)="مرجوعی فروش",IF(INDEX(SCAmount,$L621)=0,"",-INDEX(SCAmount,$L621)),""),IF($M621&lt;&gt;"",IF(INDEX(LdgDepB,$M621)=0,"",INDEX(LdgDepB,$M621)),""))</f>
        <v/>
      </c>
      <c r="I621" s="22">
        <f>IF($B621="","",IF($I620="",$C$10,$I620)+IF($G621="",0,$G621)-IF($H621="",0,$H621))</f>
        <v/>
      </c>
      <c r="L621">
        <f>IFERROR(MATCH($C$5&amp;"|"&amp;RIGHT("000000"&amp;605,6),LdgRankKeyA,0),"")</f>
        <v/>
      </c>
      <c r="M621">
        <f>IFERROR(MATCH($C$5&amp;"|"&amp;RIGHT("000000"&amp;605,6),LdgRankKeyB,0),"")</f>
        <v/>
      </c>
    </row>
    <row r="622">
      <c r="A622" s="23" t="n">
        <v>606</v>
      </c>
      <c r="B622" s="24">
        <f>IF(AND($L622="",$M622=""),"",IF($L622&lt;&gt;"",INDEX(SCNormDate,$L622),INDEX(LdgDateB,$M622)))</f>
        <v/>
      </c>
      <c r="C622" s="24">
        <f>IF($L622&lt;&gt;"",INDEX(SCOp,$L622),IF($M622&lt;&gt;"","پرداخت بانکی",""))</f>
        <v/>
      </c>
      <c r="D622" s="24">
        <f>IF($L622&lt;&gt;"",IF(INDEX(SCDoc,$L622)="","—",INDEX(SCDoc,$L622)),IF($M622&lt;&gt;"",INDEX(LdgBankB,$M622),""))</f>
        <v/>
      </c>
      <c r="E622" s="25">
        <f>IF($L622&lt;&gt;"",IF(INDEX(SCCitrus,$L622)&amp;INDEX(SCNotes,$L622)="","",IF(INDEX(SCCitrus,$L622)="","",INDEX(SCCitrus,$L622))&amp;IF(INDEX(SCNotes,$L622)="",""," — "&amp;INDEX(SCNotes,$L622))),IF($M622&lt;&gt;"",IF(INDEX(LdgNoteB,$M622)="","—",INDEX(LdgNoteB,$M622)),""))</f>
        <v/>
      </c>
      <c r="F622" s="26">
        <f>IF($L622&lt;&gt;"",IF(INDEX(SCNet,$L622)=0,"",INDEX(SCNet,$L622)),"")</f>
        <v/>
      </c>
      <c r="G622" s="27">
        <f>IF($L622&lt;&gt;"",IF(INDEX(SCOp,$L622)="مرجوعی فروش","",IF(INDEX(SCAmount,$L622)&lt;=0,"",INDEX(SCAmount,$L622))),IF($M622&lt;&gt;"",IF(INDEX(LdgWitB,$M622)=0,"",INDEX(LdgWitB,$M622)),""))</f>
        <v/>
      </c>
      <c r="H622" s="27">
        <f>IF($L622&lt;&gt;"",IF(INDEX(SCOp,$L622)="مرجوعی فروش",IF(INDEX(SCAmount,$L622)=0,"",-INDEX(SCAmount,$L622)),""),IF($M622&lt;&gt;"",IF(INDEX(LdgDepB,$M622)=0,"",INDEX(LdgDepB,$M622)),""))</f>
        <v/>
      </c>
      <c r="I622" s="28">
        <f>IF($B622="","",IF($I621="",$C$10,$I621)+IF($G622="",0,$G622)-IF($H622="",0,$H622))</f>
        <v/>
      </c>
      <c r="L622">
        <f>IFERROR(MATCH($C$5&amp;"|"&amp;RIGHT("000000"&amp;606,6),LdgRankKeyA,0),"")</f>
        <v/>
      </c>
      <c r="M622">
        <f>IFERROR(MATCH($C$5&amp;"|"&amp;RIGHT("000000"&amp;606,6),LdgRankKeyB,0),"")</f>
        <v/>
      </c>
    </row>
    <row r="623">
      <c r="A623" s="17" t="n">
        <v>607</v>
      </c>
      <c r="B623" s="18">
        <f>IF(AND($L623="",$M623=""),"",IF($L623&lt;&gt;"",INDEX(SCNormDate,$L623),INDEX(LdgDateB,$M623)))</f>
        <v/>
      </c>
      <c r="C623" s="18">
        <f>IF($L623&lt;&gt;"",INDEX(SCOp,$L623),IF($M623&lt;&gt;"","پرداخت بانکی",""))</f>
        <v/>
      </c>
      <c r="D623" s="18">
        <f>IF($L623&lt;&gt;"",IF(INDEX(SCDoc,$L623)="","—",INDEX(SCDoc,$L623)),IF($M623&lt;&gt;"",INDEX(LdgBankB,$M623),""))</f>
        <v/>
      </c>
      <c r="E623" s="19">
        <f>IF($L623&lt;&gt;"",IF(INDEX(SCCitrus,$L623)&amp;INDEX(SCNotes,$L623)="","",IF(INDEX(SCCitrus,$L623)="","",INDEX(SCCitrus,$L623))&amp;IF(INDEX(SCNotes,$L623)="",""," — "&amp;INDEX(SCNotes,$L623))),IF($M623&lt;&gt;"",IF(INDEX(LdgNoteB,$M623)="","—",INDEX(LdgNoteB,$M623)),""))</f>
        <v/>
      </c>
      <c r="F623" s="20">
        <f>IF($L623&lt;&gt;"",IF(INDEX(SCNet,$L623)=0,"",INDEX(SCNet,$L623)),"")</f>
        <v/>
      </c>
      <c r="G623" s="21">
        <f>IF($L623&lt;&gt;"",IF(INDEX(SCOp,$L623)="مرجوعی فروش","",IF(INDEX(SCAmount,$L623)&lt;=0,"",INDEX(SCAmount,$L623))),IF($M623&lt;&gt;"",IF(INDEX(LdgWitB,$M623)=0,"",INDEX(LdgWitB,$M623)),""))</f>
        <v/>
      </c>
      <c r="H623" s="21">
        <f>IF($L623&lt;&gt;"",IF(INDEX(SCOp,$L623)="مرجوعی فروش",IF(INDEX(SCAmount,$L623)=0,"",-INDEX(SCAmount,$L623)),""),IF($M623&lt;&gt;"",IF(INDEX(LdgDepB,$M623)=0,"",INDEX(LdgDepB,$M623)),""))</f>
        <v/>
      </c>
      <c r="I623" s="22">
        <f>IF($B623="","",IF($I622="",$C$10,$I622)+IF($G623="",0,$G623)-IF($H623="",0,$H623))</f>
        <v/>
      </c>
      <c r="L623">
        <f>IFERROR(MATCH($C$5&amp;"|"&amp;RIGHT("000000"&amp;607,6),LdgRankKeyA,0),"")</f>
        <v/>
      </c>
      <c r="M623">
        <f>IFERROR(MATCH($C$5&amp;"|"&amp;RIGHT("000000"&amp;607,6),LdgRankKeyB,0),"")</f>
        <v/>
      </c>
    </row>
    <row r="624">
      <c r="A624" s="23" t="n">
        <v>608</v>
      </c>
      <c r="B624" s="24">
        <f>IF(AND($L624="",$M624=""),"",IF($L624&lt;&gt;"",INDEX(SCNormDate,$L624),INDEX(LdgDateB,$M624)))</f>
        <v/>
      </c>
      <c r="C624" s="24">
        <f>IF($L624&lt;&gt;"",INDEX(SCOp,$L624),IF($M624&lt;&gt;"","پرداخت بانکی",""))</f>
        <v/>
      </c>
      <c r="D624" s="24">
        <f>IF($L624&lt;&gt;"",IF(INDEX(SCDoc,$L624)="","—",INDEX(SCDoc,$L624)),IF($M624&lt;&gt;"",INDEX(LdgBankB,$M624),""))</f>
        <v/>
      </c>
      <c r="E624" s="25">
        <f>IF($L624&lt;&gt;"",IF(INDEX(SCCitrus,$L624)&amp;INDEX(SCNotes,$L624)="","",IF(INDEX(SCCitrus,$L624)="","",INDEX(SCCitrus,$L624))&amp;IF(INDEX(SCNotes,$L624)="",""," — "&amp;INDEX(SCNotes,$L624))),IF($M624&lt;&gt;"",IF(INDEX(LdgNoteB,$M624)="","—",INDEX(LdgNoteB,$M624)),""))</f>
        <v/>
      </c>
      <c r="F624" s="26">
        <f>IF($L624&lt;&gt;"",IF(INDEX(SCNet,$L624)=0,"",INDEX(SCNet,$L624)),"")</f>
        <v/>
      </c>
      <c r="G624" s="27">
        <f>IF($L624&lt;&gt;"",IF(INDEX(SCOp,$L624)="مرجوعی فروش","",IF(INDEX(SCAmount,$L624)&lt;=0,"",INDEX(SCAmount,$L624))),IF($M624&lt;&gt;"",IF(INDEX(LdgWitB,$M624)=0,"",INDEX(LdgWitB,$M624)),""))</f>
        <v/>
      </c>
      <c r="H624" s="27">
        <f>IF($L624&lt;&gt;"",IF(INDEX(SCOp,$L624)="مرجوعی فروش",IF(INDEX(SCAmount,$L624)=0,"",-INDEX(SCAmount,$L624)),""),IF($M624&lt;&gt;"",IF(INDEX(LdgDepB,$M624)=0,"",INDEX(LdgDepB,$M624)),""))</f>
        <v/>
      </c>
      <c r="I624" s="28">
        <f>IF($B624="","",IF($I623="",$C$10,$I623)+IF($G624="",0,$G624)-IF($H624="",0,$H624))</f>
        <v/>
      </c>
      <c r="L624">
        <f>IFERROR(MATCH($C$5&amp;"|"&amp;RIGHT("000000"&amp;608,6),LdgRankKeyA,0),"")</f>
        <v/>
      </c>
      <c r="M624">
        <f>IFERROR(MATCH($C$5&amp;"|"&amp;RIGHT("000000"&amp;608,6),LdgRankKeyB,0),"")</f>
        <v/>
      </c>
    </row>
    <row r="625">
      <c r="A625" s="17" t="n">
        <v>609</v>
      </c>
      <c r="B625" s="18">
        <f>IF(AND($L625="",$M625=""),"",IF($L625&lt;&gt;"",INDEX(SCNormDate,$L625),INDEX(LdgDateB,$M625)))</f>
        <v/>
      </c>
      <c r="C625" s="18">
        <f>IF($L625&lt;&gt;"",INDEX(SCOp,$L625),IF($M625&lt;&gt;"","پرداخت بانکی",""))</f>
        <v/>
      </c>
      <c r="D625" s="18">
        <f>IF($L625&lt;&gt;"",IF(INDEX(SCDoc,$L625)="","—",INDEX(SCDoc,$L625)),IF($M625&lt;&gt;"",INDEX(LdgBankB,$M625),""))</f>
        <v/>
      </c>
      <c r="E625" s="19">
        <f>IF($L625&lt;&gt;"",IF(INDEX(SCCitrus,$L625)&amp;INDEX(SCNotes,$L625)="","",IF(INDEX(SCCitrus,$L625)="","",INDEX(SCCitrus,$L625))&amp;IF(INDEX(SCNotes,$L625)="",""," — "&amp;INDEX(SCNotes,$L625))),IF($M625&lt;&gt;"",IF(INDEX(LdgNoteB,$M625)="","—",INDEX(LdgNoteB,$M625)),""))</f>
        <v/>
      </c>
      <c r="F625" s="20">
        <f>IF($L625&lt;&gt;"",IF(INDEX(SCNet,$L625)=0,"",INDEX(SCNet,$L625)),"")</f>
        <v/>
      </c>
      <c r="G625" s="21">
        <f>IF($L625&lt;&gt;"",IF(INDEX(SCOp,$L625)="مرجوعی فروش","",IF(INDEX(SCAmount,$L625)&lt;=0,"",INDEX(SCAmount,$L625))),IF($M625&lt;&gt;"",IF(INDEX(LdgWitB,$M625)=0,"",INDEX(LdgWitB,$M625)),""))</f>
        <v/>
      </c>
      <c r="H625" s="21">
        <f>IF($L625&lt;&gt;"",IF(INDEX(SCOp,$L625)="مرجوعی فروش",IF(INDEX(SCAmount,$L625)=0,"",-INDEX(SCAmount,$L625)),""),IF($M625&lt;&gt;"",IF(INDEX(LdgDepB,$M625)=0,"",INDEX(LdgDepB,$M625)),""))</f>
        <v/>
      </c>
      <c r="I625" s="22">
        <f>IF($B625="","",IF($I624="",$C$10,$I624)+IF($G625="",0,$G625)-IF($H625="",0,$H625))</f>
        <v/>
      </c>
      <c r="L625">
        <f>IFERROR(MATCH($C$5&amp;"|"&amp;RIGHT("000000"&amp;609,6),LdgRankKeyA,0),"")</f>
        <v/>
      </c>
      <c r="M625">
        <f>IFERROR(MATCH($C$5&amp;"|"&amp;RIGHT("000000"&amp;609,6),LdgRankKeyB,0),"")</f>
        <v/>
      </c>
    </row>
    <row r="626">
      <c r="A626" s="23" t="n">
        <v>610</v>
      </c>
      <c r="B626" s="24">
        <f>IF(AND($L626="",$M626=""),"",IF($L626&lt;&gt;"",INDEX(SCNormDate,$L626),INDEX(LdgDateB,$M626)))</f>
        <v/>
      </c>
      <c r="C626" s="24">
        <f>IF($L626&lt;&gt;"",INDEX(SCOp,$L626),IF($M626&lt;&gt;"","پرداخت بانکی",""))</f>
        <v/>
      </c>
      <c r="D626" s="24">
        <f>IF($L626&lt;&gt;"",IF(INDEX(SCDoc,$L626)="","—",INDEX(SCDoc,$L626)),IF($M626&lt;&gt;"",INDEX(LdgBankB,$M626),""))</f>
        <v/>
      </c>
      <c r="E626" s="25">
        <f>IF($L626&lt;&gt;"",IF(INDEX(SCCitrus,$L626)&amp;INDEX(SCNotes,$L626)="","",IF(INDEX(SCCitrus,$L626)="","",INDEX(SCCitrus,$L626))&amp;IF(INDEX(SCNotes,$L626)="",""," — "&amp;INDEX(SCNotes,$L626))),IF($M626&lt;&gt;"",IF(INDEX(LdgNoteB,$M626)="","—",INDEX(LdgNoteB,$M626)),""))</f>
        <v/>
      </c>
      <c r="F626" s="26">
        <f>IF($L626&lt;&gt;"",IF(INDEX(SCNet,$L626)=0,"",INDEX(SCNet,$L626)),"")</f>
        <v/>
      </c>
      <c r="G626" s="27">
        <f>IF($L626&lt;&gt;"",IF(INDEX(SCOp,$L626)="مرجوعی فروش","",IF(INDEX(SCAmount,$L626)&lt;=0,"",INDEX(SCAmount,$L626))),IF($M626&lt;&gt;"",IF(INDEX(LdgWitB,$M626)=0,"",INDEX(LdgWitB,$M626)),""))</f>
        <v/>
      </c>
      <c r="H626" s="27">
        <f>IF($L626&lt;&gt;"",IF(INDEX(SCOp,$L626)="مرجوعی فروش",IF(INDEX(SCAmount,$L626)=0,"",-INDEX(SCAmount,$L626)),""),IF($M626&lt;&gt;"",IF(INDEX(LdgDepB,$M626)=0,"",INDEX(LdgDepB,$M626)),""))</f>
        <v/>
      </c>
      <c r="I626" s="28">
        <f>IF($B626="","",IF($I625="",$C$10,$I625)+IF($G626="",0,$G626)-IF($H626="",0,$H626))</f>
        <v/>
      </c>
      <c r="L626">
        <f>IFERROR(MATCH($C$5&amp;"|"&amp;RIGHT("000000"&amp;610,6),LdgRankKeyA,0),"")</f>
        <v/>
      </c>
      <c r="M626">
        <f>IFERROR(MATCH($C$5&amp;"|"&amp;RIGHT("000000"&amp;610,6),LdgRankKeyB,0),"")</f>
        <v/>
      </c>
    </row>
    <row r="627">
      <c r="A627" s="17" t="n">
        <v>611</v>
      </c>
      <c r="B627" s="18">
        <f>IF(AND($L627="",$M627=""),"",IF($L627&lt;&gt;"",INDEX(SCNormDate,$L627),INDEX(LdgDateB,$M627)))</f>
        <v/>
      </c>
      <c r="C627" s="18">
        <f>IF($L627&lt;&gt;"",INDEX(SCOp,$L627),IF($M627&lt;&gt;"","پرداخت بانکی",""))</f>
        <v/>
      </c>
      <c r="D627" s="18">
        <f>IF($L627&lt;&gt;"",IF(INDEX(SCDoc,$L627)="","—",INDEX(SCDoc,$L627)),IF($M627&lt;&gt;"",INDEX(LdgBankB,$M627),""))</f>
        <v/>
      </c>
      <c r="E627" s="19">
        <f>IF($L627&lt;&gt;"",IF(INDEX(SCCitrus,$L627)&amp;INDEX(SCNotes,$L627)="","",IF(INDEX(SCCitrus,$L627)="","",INDEX(SCCitrus,$L627))&amp;IF(INDEX(SCNotes,$L627)="",""," — "&amp;INDEX(SCNotes,$L627))),IF($M627&lt;&gt;"",IF(INDEX(LdgNoteB,$M627)="","—",INDEX(LdgNoteB,$M627)),""))</f>
        <v/>
      </c>
      <c r="F627" s="20">
        <f>IF($L627&lt;&gt;"",IF(INDEX(SCNet,$L627)=0,"",INDEX(SCNet,$L627)),"")</f>
        <v/>
      </c>
      <c r="G627" s="21">
        <f>IF($L627&lt;&gt;"",IF(INDEX(SCOp,$L627)="مرجوعی فروش","",IF(INDEX(SCAmount,$L627)&lt;=0,"",INDEX(SCAmount,$L627))),IF($M627&lt;&gt;"",IF(INDEX(LdgWitB,$M627)=0,"",INDEX(LdgWitB,$M627)),""))</f>
        <v/>
      </c>
      <c r="H627" s="21">
        <f>IF($L627&lt;&gt;"",IF(INDEX(SCOp,$L627)="مرجوعی فروش",IF(INDEX(SCAmount,$L627)=0,"",-INDEX(SCAmount,$L627)),""),IF($M627&lt;&gt;"",IF(INDEX(LdgDepB,$M627)=0,"",INDEX(LdgDepB,$M627)),""))</f>
        <v/>
      </c>
      <c r="I627" s="22">
        <f>IF($B627="","",IF($I626="",$C$10,$I626)+IF($G627="",0,$G627)-IF($H627="",0,$H627))</f>
        <v/>
      </c>
      <c r="L627">
        <f>IFERROR(MATCH($C$5&amp;"|"&amp;RIGHT("000000"&amp;611,6),LdgRankKeyA,0),"")</f>
        <v/>
      </c>
      <c r="M627">
        <f>IFERROR(MATCH($C$5&amp;"|"&amp;RIGHT("000000"&amp;611,6),LdgRankKeyB,0),"")</f>
        <v/>
      </c>
    </row>
    <row r="628">
      <c r="A628" s="23" t="n">
        <v>612</v>
      </c>
      <c r="B628" s="24">
        <f>IF(AND($L628="",$M628=""),"",IF($L628&lt;&gt;"",INDEX(SCNormDate,$L628),INDEX(LdgDateB,$M628)))</f>
        <v/>
      </c>
      <c r="C628" s="24">
        <f>IF($L628&lt;&gt;"",INDEX(SCOp,$L628),IF($M628&lt;&gt;"","پرداخت بانکی",""))</f>
        <v/>
      </c>
      <c r="D628" s="24">
        <f>IF($L628&lt;&gt;"",IF(INDEX(SCDoc,$L628)="","—",INDEX(SCDoc,$L628)),IF($M628&lt;&gt;"",INDEX(LdgBankB,$M628),""))</f>
        <v/>
      </c>
      <c r="E628" s="25">
        <f>IF($L628&lt;&gt;"",IF(INDEX(SCCitrus,$L628)&amp;INDEX(SCNotes,$L628)="","",IF(INDEX(SCCitrus,$L628)="","",INDEX(SCCitrus,$L628))&amp;IF(INDEX(SCNotes,$L628)="",""," — "&amp;INDEX(SCNotes,$L628))),IF($M628&lt;&gt;"",IF(INDEX(LdgNoteB,$M628)="","—",INDEX(LdgNoteB,$M628)),""))</f>
        <v/>
      </c>
      <c r="F628" s="26">
        <f>IF($L628&lt;&gt;"",IF(INDEX(SCNet,$L628)=0,"",INDEX(SCNet,$L628)),"")</f>
        <v/>
      </c>
      <c r="G628" s="27">
        <f>IF($L628&lt;&gt;"",IF(INDEX(SCOp,$L628)="مرجوعی فروش","",IF(INDEX(SCAmount,$L628)&lt;=0,"",INDEX(SCAmount,$L628))),IF($M628&lt;&gt;"",IF(INDEX(LdgWitB,$M628)=0,"",INDEX(LdgWitB,$M628)),""))</f>
        <v/>
      </c>
      <c r="H628" s="27">
        <f>IF($L628&lt;&gt;"",IF(INDEX(SCOp,$L628)="مرجوعی فروش",IF(INDEX(SCAmount,$L628)=0,"",-INDEX(SCAmount,$L628)),""),IF($M628&lt;&gt;"",IF(INDEX(LdgDepB,$M628)=0,"",INDEX(LdgDepB,$M628)),""))</f>
        <v/>
      </c>
      <c r="I628" s="28">
        <f>IF($B628="","",IF($I627="",$C$10,$I627)+IF($G628="",0,$G628)-IF($H628="",0,$H628))</f>
        <v/>
      </c>
      <c r="L628">
        <f>IFERROR(MATCH($C$5&amp;"|"&amp;RIGHT("000000"&amp;612,6),LdgRankKeyA,0),"")</f>
        <v/>
      </c>
      <c r="M628">
        <f>IFERROR(MATCH($C$5&amp;"|"&amp;RIGHT("000000"&amp;612,6),LdgRankKeyB,0),"")</f>
        <v/>
      </c>
    </row>
    <row r="629">
      <c r="A629" s="17" t="n">
        <v>613</v>
      </c>
      <c r="B629" s="18">
        <f>IF(AND($L629="",$M629=""),"",IF($L629&lt;&gt;"",INDEX(SCNormDate,$L629),INDEX(LdgDateB,$M629)))</f>
        <v/>
      </c>
      <c r="C629" s="18">
        <f>IF($L629&lt;&gt;"",INDEX(SCOp,$L629),IF($M629&lt;&gt;"","پرداخت بانکی",""))</f>
        <v/>
      </c>
      <c r="D629" s="18">
        <f>IF($L629&lt;&gt;"",IF(INDEX(SCDoc,$L629)="","—",INDEX(SCDoc,$L629)),IF($M629&lt;&gt;"",INDEX(LdgBankB,$M629),""))</f>
        <v/>
      </c>
      <c r="E629" s="19">
        <f>IF($L629&lt;&gt;"",IF(INDEX(SCCitrus,$L629)&amp;INDEX(SCNotes,$L629)="","",IF(INDEX(SCCitrus,$L629)="","",INDEX(SCCitrus,$L629))&amp;IF(INDEX(SCNotes,$L629)="",""," — "&amp;INDEX(SCNotes,$L629))),IF($M629&lt;&gt;"",IF(INDEX(LdgNoteB,$M629)="","—",INDEX(LdgNoteB,$M629)),""))</f>
        <v/>
      </c>
      <c r="F629" s="20">
        <f>IF($L629&lt;&gt;"",IF(INDEX(SCNet,$L629)=0,"",INDEX(SCNet,$L629)),"")</f>
        <v/>
      </c>
      <c r="G629" s="21">
        <f>IF($L629&lt;&gt;"",IF(INDEX(SCOp,$L629)="مرجوعی فروش","",IF(INDEX(SCAmount,$L629)&lt;=0,"",INDEX(SCAmount,$L629))),IF($M629&lt;&gt;"",IF(INDEX(LdgWitB,$M629)=0,"",INDEX(LdgWitB,$M629)),""))</f>
        <v/>
      </c>
      <c r="H629" s="21">
        <f>IF($L629&lt;&gt;"",IF(INDEX(SCOp,$L629)="مرجوعی فروش",IF(INDEX(SCAmount,$L629)=0,"",-INDEX(SCAmount,$L629)),""),IF($M629&lt;&gt;"",IF(INDEX(LdgDepB,$M629)=0,"",INDEX(LdgDepB,$M629)),""))</f>
        <v/>
      </c>
      <c r="I629" s="22">
        <f>IF($B629="","",IF($I628="",$C$10,$I628)+IF($G629="",0,$G629)-IF($H629="",0,$H629))</f>
        <v/>
      </c>
      <c r="L629">
        <f>IFERROR(MATCH($C$5&amp;"|"&amp;RIGHT("000000"&amp;613,6),LdgRankKeyA,0),"")</f>
        <v/>
      </c>
      <c r="M629">
        <f>IFERROR(MATCH($C$5&amp;"|"&amp;RIGHT("000000"&amp;613,6),LdgRankKeyB,0),"")</f>
        <v/>
      </c>
    </row>
    <row r="630">
      <c r="A630" s="23" t="n">
        <v>614</v>
      </c>
      <c r="B630" s="24">
        <f>IF(AND($L630="",$M630=""),"",IF($L630&lt;&gt;"",INDEX(SCNormDate,$L630),INDEX(LdgDateB,$M630)))</f>
        <v/>
      </c>
      <c r="C630" s="24">
        <f>IF($L630&lt;&gt;"",INDEX(SCOp,$L630),IF($M630&lt;&gt;"","پرداخت بانکی",""))</f>
        <v/>
      </c>
      <c r="D630" s="24">
        <f>IF($L630&lt;&gt;"",IF(INDEX(SCDoc,$L630)="","—",INDEX(SCDoc,$L630)),IF($M630&lt;&gt;"",INDEX(LdgBankB,$M630),""))</f>
        <v/>
      </c>
      <c r="E630" s="25">
        <f>IF($L630&lt;&gt;"",IF(INDEX(SCCitrus,$L630)&amp;INDEX(SCNotes,$L630)="","",IF(INDEX(SCCitrus,$L630)="","",INDEX(SCCitrus,$L630))&amp;IF(INDEX(SCNotes,$L630)="",""," — "&amp;INDEX(SCNotes,$L630))),IF($M630&lt;&gt;"",IF(INDEX(LdgNoteB,$M630)="","—",INDEX(LdgNoteB,$M630)),""))</f>
        <v/>
      </c>
      <c r="F630" s="26">
        <f>IF($L630&lt;&gt;"",IF(INDEX(SCNet,$L630)=0,"",INDEX(SCNet,$L630)),"")</f>
        <v/>
      </c>
      <c r="G630" s="27">
        <f>IF($L630&lt;&gt;"",IF(INDEX(SCOp,$L630)="مرجوعی فروش","",IF(INDEX(SCAmount,$L630)&lt;=0,"",INDEX(SCAmount,$L630))),IF($M630&lt;&gt;"",IF(INDEX(LdgWitB,$M630)=0,"",INDEX(LdgWitB,$M630)),""))</f>
        <v/>
      </c>
      <c r="H630" s="27">
        <f>IF($L630&lt;&gt;"",IF(INDEX(SCOp,$L630)="مرجوعی فروش",IF(INDEX(SCAmount,$L630)=0,"",-INDEX(SCAmount,$L630)),""),IF($M630&lt;&gt;"",IF(INDEX(LdgDepB,$M630)=0,"",INDEX(LdgDepB,$M630)),""))</f>
        <v/>
      </c>
      <c r="I630" s="28">
        <f>IF($B630="","",IF($I629="",$C$10,$I629)+IF($G630="",0,$G630)-IF($H630="",0,$H630))</f>
        <v/>
      </c>
      <c r="L630">
        <f>IFERROR(MATCH($C$5&amp;"|"&amp;RIGHT("000000"&amp;614,6),LdgRankKeyA,0),"")</f>
        <v/>
      </c>
      <c r="M630">
        <f>IFERROR(MATCH($C$5&amp;"|"&amp;RIGHT("000000"&amp;614,6),LdgRankKeyB,0),"")</f>
        <v/>
      </c>
    </row>
    <row r="631">
      <c r="A631" s="17" t="n">
        <v>615</v>
      </c>
      <c r="B631" s="18">
        <f>IF(AND($L631="",$M631=""),"",IF($L631&lt;&gt;"",INDEX(SCNormDate,$L631),INDEX(LdgDateB,$M631)))</f>
        <v/>
      </c>
      <c r="C631" s="18">
        <f>IF($L631&lt;&gt;"",INDEX(SCOp,$L631),IF($M631&lt;&gt;"","پرداخت بانکی",""))</f>
        <v/>
      </c>
      <c r="D631" s="18">
        <f>IF($L631&lt;&gt;"",IF(INDEX(SCDoc,$L631)="","—",INDEX(SCDoc,$L631)),IF($M631&lt;&gt;"",INDEX(LdgBankB,$M631),""))</f>
        <v/>
      </c>
      <c r="E631" s="19">
        <f>IF($L631&lt;&gt;"",IF(INDEX(SCCitrus,$L631)&amp;INDEX(SCNotes,$L631)="","",IF(INDEX(SCCitrus,$L631)="","",INDEX(SCCitrus,$L631))&amp;IF(INDEX(SCNotes,$L631)="",""," — "&amp;INDEX(SCNotes,$L631))),IF($M631&lt;&gt;"",IF(INDEX(LdgNoteB,$M631)="","—",INDEX(LdgNoteB,$M631)),""))</f>
        <v/>
      </c>
      <c r="F631" s="20">
        <f>IF($L631&lt;&gt;"",IF(INDEX(SCNet,$L631)=0,"",INDEX(SCNet,$L631)),"")</f>
        <v/>
      </c>
      <c r="G631" s="21">
        <f>IF($L631&lt;&gt;"",IF(INDEX(SCOp,$L631)="مرجوعی فروش","",IF(INDEX(SCAmount,$L631)&lt;=0,"",INDEX(SCAmount,$L631))),IF($M631&lt;&gt;"",IF(INDEX(LdgWitB,$M631)=0,"",INDEX(LdgWitB,$M631)),""))</f>
        <v/>
      </c>
      <c r="H631" s="21">
        <f>IF($L631&lt;&gt;"",IF(INDEX(SCOp,$L631)="مرجوعی فروش",IF(INDEX(SCAmount,$L631)=0,"",-INDEX(SCAmount,$L631)),""),IF($M631&lt;&gt;"",IF(INDEX(LdgDepB,$M631)=0,"",INDEX(LdgDepB,$M631)),""))</f>
        <v/>
      </c>
      <c r="I631" s="22">
        <f>IF($B631="","",IF($I630="",$C$10,$I630)+IF($G631="",0,$G631)-IF($H631="",0,$H631))</f>
        <v/>
      </c>
      <c r="L631">
        <f>IFERROR(MATCH($C$5&amp;"|"&amp;RIGHT("000000"&amp;615,6),LdgRankKeyA,0),"")</f>
        <v/>
      </c>
      <c r="M631">
        <f>IFERROR(MATCH($C$5&amp;"|"&amp;RIGHT("000000"&amp;615,6),LdgRankKeyB,0),"")</f>
        <v/>
      </c>
    </row>
    <row r="632">
      <c r="A632" s="23" t="n">
        <v>616</v>
      </c>
      <c r="B632" s="24">
        <f>IF(AND($L632="",$M632=""),"",IF($L632&lt;&gt;"",INDEX(SCNormDate,$L632),INDEX(LdgDateB,$M632)))</f>
        <v/>
      </c>
      <c r="C632" s="24">
        <f>IF($L632&lt;&gt;"",INDEX(SCOp,$L632),IF($M632&lt;&gt;"","پرداخت بانکی",""))</f>
        <v/>
      </c>
      <c r="D632" s="24">
        <f>IF($L632&lt;&gt;"",IF(INDEX(SCDoc,$L632)="","—",INDEX(SCDoc,$L632)),IF($M632&lt;&gt;"",INDEX(LdgBankB,$M632),""))</f>
        <v/>
      </c>
      <c r="E632" s="25">
        <f>IF($L632&lt;&gt;"",IF(INDEX(SCCitrus,$L632)&amp;INDEX(SCNotes,$L632)="","",IF(INDEX(SCCitrus,$L632)="","",INDEX(SCCitrus,$L632))&amp;IF(INDEX(SCNotes,$L632)="",""," — "&amp;INDEX(SCNotes,$L632))),IF($M632&lt;&gt;"",IF(INDEX(LdgNoteB,$M632)="","—",INDEX(LdgNoteB,$M632)),""))</f>
        <v/>
      </c>
      <c r="F632" s="26">
        <f>IF($L632&lt;&gt;"",IF(INDEX(SCNet,$L632)=0,"",INDEX(SCNet,$L632)),"")</f>
        <v/>
      </c>
      <c r="G632" s="27">
        <f>IF($L632&lt;&gt;"",IF(INDEX(SCOp,$L632)="مرجوعی فروش","",IF(INDEX(SCAmount,$L632)&lt;=0,"",INDEX(SCAmount,$L632))),IF($M632&lt;&gt;"",IF(INDEX(LdgWitB,$M632)=0,"",INDEX(LdgWitB,$M632)),""))</f>
        <v/>
      </c>
      <c r="H632" s="27">
        <f>IF($L632&lt;&gt;"",IF(INDEX(SCOp,$L632)="مرجوعی فروش",IF(INDEX(SCAmount,$L632)=0,"",-INDEX(SCAmount,$L632)),""),IF($M632&lt;&gt;"",IF(INDEX(LdgDepB,$M632)=0,"",INDEX(LdgDepB,$M632)),""))</f>
        <v/>
      </c>
      <c r="I632" s="28">
        <f>IF($B632="","",IF($I631="",$C$10,$I631)+IF($G632="",0,$G632)-IF($H632="",0,$H632))</f>
        <v/>
      </c>
      <c r="L632">
        <f>IFERROR(MATCH($C$5&amp;"|"&amp;RIGHT("000000"&amp;616,6),LdgRankKeyA,0),"")</f>
        <v/>
      </c>
      <c r="M632">
        <f>IFERROR(MATCH($C$5&amp;"|"&amp;RIGHT("000000"&amp;616,6),LdgRankKeyB,0),"")</f>
        <v/>
      </c>
    </row>
    <row r="633">
      <c r="A633" s="17" t="n">
        <v>617</v>
      </c>
      <c r="B633" s="18">
        <f>IF(AND($L633="",$M633=""),"",IF($L633&lt;&gt;"",INDEX(SCNormDate,$L633),INDEX(LdgDateB,$M633)))</f>
        <v/>
      </c>
      <c r="C633" s="18">
        <f>IF($L633&lt;&gt;"",INDEX(SCOp,$L633),IF($M633&lt;&gt;"","پرداخت بانکی",""))</f>
        <v/>
      </c>
      <c r="D633" s="18">
        <f>IF($L633&lt;&gt;"",IF(INDEX(SCDoc,$L633)="","—",INDEX(SCDoc,$L633)),IF($M633&lt;&gt;"",INDEX(LdgBankB,$M633),""))</f>
        <v/>
      </c>
      <c r="E633" s="19">
        <f>IF($L633&lt;&gt;"",IF(INDEX(SCCitrus,$L633)&amp;INDEX(SCNotes,$L633)="","",IF(INDEX(SCCitrus,$L633)="","",INDEX(SCCitrus,$L633))&amp;IF(INDEX(SCNotes,$L633)="",""," — "&amp;INDEX(SCNotes,$L633))),IF($M633&lt;&gt;"",IF(INDEX(LdgNoteB,$M633)="","—",INDEX(LdgNoteB,$M633)),""))</f>
        <v/>
      </c>
      <c r="F633" s="20">
        <f>IF($L633&lt;&gt;"",IF(INDEX(SCNet,$L633)=0,"",INDEX(SCNet,$L633)),"")</f>
        <v/>
      </c>
      <c r="G633" s="21">
        <f>IF($L633&lt;&gt;"",IF(INDEX(SCOp,$L633)="مرجوعی فروش","",IF(INDEX(SCAmount,$L633)&lt;=0,"",INDEX(SCAmount,$L633))),IF($M633&lt;&gt;"",IF(INDEX(LdgWitB,$M633)=0,"",INDEX(LdgWitB,$M633)),""))</f>
        <v/>
      </c>
      <c r="H633" s="21">
        <f>IF($L633&lt;&gt;"",IF(INDEX(SCOp,$L633)="مرجوعی فروش",IF(INDEX(SCAmount,$L633)=0,"",-INDEX(SCAmount,$L633)),""),IF($M633&lt;&gt;"",IF(INDEX(LdgDepB,$M633)=0,"",INDEX(LdgDepB,$M633)),""))</f>
        <v/>
      </c>
      <c r="I633" s="22">
        <f>IF($B633="","",IF($I632="",$C$10,$I632)+IF($G633="",0,$G633)-IF($H633="",0,$H633))</f>
        <v/>
      </c>
      <c r="L633">
        <f>IFERROR(MATCH($C$5&amp;"|"&amp;RIGHT("000000"&amp;617,6),LdgRankKeyA,0),"")</f>
        <v/>
      </c>
      <c r="M633">
        <f>IFERROR(MATCH($C$5&amp;"|"&amp;RIGHT("000000"&amp;617,6),LdgRankKeyB,0),"")</f>
        <v/>
      </c>
    </row>
    <row r="634">
      <c r="A634" s="23" t="n">
        <v>618</v>
      </c>
      <c r="B634" s="24">
        <f>IF(AND($L634="",$M634=""),"",IF($L634&lt;&gt;"",INDEX(SCNormDate,$L634),INDEX(LdgDateB,$M634)))</f>
        <v/>
      </c>
      <c r="C634" s="24">
        <f>IF($L634&lt;&gt;"",INDEX(SCOp,$L634),IF($M634&lt;&gt;"","پرداخت بانکی",""))</f>
        <v/>
      </c>
      <c r="D634" s="24">
        <f>IF($L634&lt;&gt;"",IF(INDEX(SCDoc,$L634)="","—",INDEX(SCDoc,$L634)),IF($M634&lt;&gt;"",INDEX(LdgBankB,$M634),""))</f>
        <v/>
      </c>
      <c r="E634" s="25">
        <f>IF($L634&lt;&gt;"",IF(INDEX(SCCitrus,$L634)&amp;INDEX(SCNotes,$L634)="","",IF(INDEX(SCCitrus,$L634)="","",INDEX(SCCitrus,$L634))&amp;IF(INDEX(SCNotes,$L634)="",""," — "&amp;INDEX(SCNotes,$L634))),IF($M634&lt;&gt;"",IF(INDEX(LdgNoteB,$M634)="","—",INDEX(LdgNoteB,$M634)),""))</f>
        <v/>
      </c>
      <c r="F634" s="26">
        <f>IF($L634&lt;&gt;"",IF(INDEX(SCNet,$L634)=0,"",INDEX(SCNet,$L634)),"")</f>
        <v/>
      </c>
      <c r="G634" s="27">
        <f>IF($L634&lt;&gt;"",IF(INDEX(SCOp,$L634)="مرجوعی فروش","",IF(INDEX(SCAmount,$L634)&lt;=0,"",INDEX(SCAmount,$L634))),IF($M634&lt;&gt;"",IF(INDEX(LdgWitB,$M634)=0,"",INDEX(LdgWitB,$M634)),""))</f>
        <v/>
      </c>
      <c r="H634" s="27">
        <f>IF($L634&lt;&gt;"",IF(INDEX(SCOp,$L634)="مرجوعی فروش",IF(INDEX(SCAmount,$L634)=0,"",-INDEX(SCAmount,$L634)),""),IF($M634&lt;&gt;"",IF(INDEX(LdgDepB,$M634)=0,"",INDEX(LdgDepB,$M634)),""))</f>
        <v/>
      </c>
      <c r="I634" s="28">
        <f>IF($B634="","",IF($I633="",$C$10,$I633)+IF($G634="",0,$G634)-IF($H634="",0,$H634))</f>
        <v/>
      </c>
      <c r="L634">
        <f>IFERROR(MATCH($C$5&amp;"|"&amp;RIGHT("000000"&amp;618,6),LdgRankKeyA,0),"")</f>
        <v/>
      </c>
      <c r="M634">
        <f>IFERROR(MATCH($C$5&amp;"|"&amp;RIGHT("000000"&amp;618,6),LdgRankKeyB,0),"")</f>
        <v/>
      </c>
    </row>
    <row r="635">
      <c r="A635" s="17" t="n">
        <v>619</v>
      </c>
      <c r="B635" s="18">
        <f>IF(AND($L635="",$M635=""),"",IF($L635&lt;&gt;"",INDEX(SCNormDate,$L635),INDEX(LdgDateB,$M635)))</f>
        <v/>
      </c>
      <c r="C635" s="18">
        <f>IF($L635&lt;&gt;"",INDEX(SCOp,$L635),IF($M635&lt;&gt;"","پرداخت بانکی",""))</f>
        <v/>
      </c>
      <c r="D635" s="18">
        <f>IF($L635&lt;&gt;"",IF(INDEX(SCDoc,$L635)="","—",INDEX(SCDoc,$L635)),IF($M635&lt;&gt;"",INDEX(LdgBankB,$M635),""))</f>
        <v/>
      </c>
      <c r="E635" s="19">
        <f>IF($L635&lt;&gt;"",IF(INDEX(SCCitrus,$L635)&amp;INDEX(SCNotes,$L635)="","",IF(INDEX(SCCitrus,$L635)="","",INDEX(SCCitrus,$L635))&amp;IF(INDEX(SCNotes,$L635)="",""," — "&amp;INDEX(SCNotes,$L635))),IF($M635&lt;&gt;"",IF(INDEX(LdgNoteB,$M635)="","—",INDEX(LdgNoteB,$M635)),""))</f>
        <v/>
      </c>
      <c r="F635" s="20">
        <f>IF($L635&lt;&gt;"",IF(INDEX(SCNet,$L635)=0,"",INDEX(SCNet,$L635)),"")</f>
        <v/>
      </c>
      <c r="G635" s="21">
        <f>IF($L635&lt;&gt;"",IF(INDEX(SCOp,$L635)="مرجوعی فروش","",IF(INDEX(SCAmount,$L635)&lt;=0,"",INDEX(SCAmount,$L635))),IF($M635&lt;&gt;"",IF(INDEX(LdgWitB,$M635)=0,"",INDEX(LdgWitB,$M635)),""))</f>
        <v/>
      </c>
      <c r="H635" s="21">
        <f>IF($L635&lt;&gt;"",IF(INDEX(SCOp,$L635)="مرجوعی فروش",IF(INDEX(SCAmount,$L635)=0,"",-INDEX(SCAmount,$L635)),""),IF($M635&lt;&gt;"",IF(INDEX(LdgDepB,$M635)=0,"",INDEX(LdgDepB,$M635)),""))</f>
        <v/>
      </c>
      <c r="I635" s="22">
        <f>IF($B635="","",IF($I634="",$C$10,$I634)+IF($G635="",0,$G635)-IF($H635="",0,$H635))</f>
        <v/>
      </c>
      <c r="L635">
        <f>IFERROR(MATCH($C$5&amp;"|"&amp;RIGHT("000000"&amp;619,6),LdgRankKeyA,0),"")</f>
        <v/>
      </c>
      <c r="M635">
        <f>IFERROR(MATCH($C$5&amp;"|"&amp;RIGHT("000000"&amp;619,6),LdgRankKeyB,0),"")</f>
        <v/>
      </c>
    </row>
    <row r="636">
      <c r="A636" s="23" t="n">
        <v>620</v>
      </c>
      <c r="B636" s="24">
        <f>IF(AND($L636="",$M636=""),"",IF($L636&lt;&gt;"",INDEX(SCNormDate,$L636),INDEX(LdgDateB,$M636)))</f>
        <v/>
      </c>
      <c r="C636" s="24">
        <f>IF($L636&lt;&gt;"",INDEX(SCOp,$L636),IF($M636&lt;&gt;"","پرداخت بانکی",""))</f>
        <v/>
      </c>
      <c r="D636" s="24">
        <f>IF($L636&lt;&gt;"",IF(INDEX(SCDoc,$L636)="","—",INDEX(SCDoc,$L636)),IF($M636&lt;&gt;"",INDEX(LdgBankB,$M636),""))</f>
        <v/>
      </c>
      <c r="E636" s="25">
        <f>IF($L636&lt;&gt;"",IF(INDEX(SCCitrus,$L636)&amp;INDEX(SCNotes,$L636)="","",IF(INDEX(SCCitrus,$L636)="","",INDEX(SCCitrus,$L636))&amp;IF(INDEX(SCNotes,$L636)="",""," — "&amp;INDEX(SCNotes,$L636))),IF($M636&lt;&gt;"",IF(INDEX(LdgNoteB,$M636)="","—",INDEX(LdgNoteB,$M636)),""))</f>
        <v/>
      </c>
      <c r="F636" s="26">
        <f>IF($L636&lt;&gt;"",IF(INDEX(SCNet,$L636)=0,"",INDEX(SCNet,$L636)),"")</f>
        <v/>
      </c>
      <c r="G636" s="27">
        <f>IF($L636&lt;&gt;"",IF(INDEX(SCOp,$L636)="مرجوعی فروش","",IF(INDEX(SCAmount,$L636)&lt;=0,"",INDEX(SCAmount,$L636))),IF($M636&lt;&gt;"",IF(INDEX(LdgWitB,$M636)=0,"",INDEX(LdgWitB,$M636)),""))</f>
        <v/>
      </c>
      <c r="H636" s="27">
        <f>IF($L636&lt;&gt;"",IF(INDEX(SCOp,$L636)="مرجوعی فروش",IF(INDEX(SCAmount,$L636)=0,"",-INDEX(SCAmount,$L636)),""),IF($M636&lt;&gt;"",IF(INDEX(LdgDepB,$M636)=0,"",INDEX(LdgDepB,$M636)),""))</f>
        <v/>
      </c>
      <c r="I636" s="28">
        <f>IF($B636="","",IF($I635="",$C$10,$I635)+IF($G636="",0,$G636)-IF($H636="",0,$H636))</f>
        <v/>
      </c>
      <c r="L636">
        <f>IFERROR(MATCH($C$5&amp;"|"&amp;RIGHT("000000"&amp;620,6),LdgRankKeyA,0),"")</f>
        <v/>
      </c>
      <c r="M636">
        <f>IFERROR(MATCH($C$5&amp;"|"&amp;RIGHT("000000"&amp;620,6),LdgRankKeyB,0),"")</f>
        <v/>
      </c>
    </row>
    <row r="637">
      <c r="A637" s="17" t="n">
        <v>621</v>
      </c>
      <c r="B637" s="18">
        <f>IF(AND($L637="",$M637=""),"",IF($L637&lt;&gt;"",INDEX(SCNormDate,$L637),INDEX(LdgDateB,$M637)))</f>
        <v/>
      </c>
      <c r="C637" s="18">
        <f>IF($L637&lt;&gt;"",INDEX(SCOp,$L637),IF($M637&lt;&gt;"","پرداخت بانکی",""))</f>
        <v/>
      </c>
      <c r="D637" s="18">
        <f>IF($L637&lt;&gt;"",IF(INDEX(SCDoc,$L637)="","—",INDEX(SCDoc,$L637)),IF($M637&lt;&gt;"",INDEX(LdgBankB,$M637),""))</f>
        <v/>
      </c>
      <c r="E637" s="19">
        <f>IF($L637&lt;&gt;"",IF(INDEX(SCCitrus,$L637)&amp;INDEX(SCNotes,$L637)="","",IF(INDEX(SCCitrus,$L637)="","",INDEX(SCCitrus,$L637))&amp;IF(INDEX(SCNotes,$L637)="",""," — "&amp;INDEX(SCNotes,$L637))),IF($M637&lt;&gt;"",IF(INDEX(LdgNoteB,$M637)="","—",INDEX(LdgNoteB,$M637)),""))</f>
        <v/>
      </c>
      <c r="F637" s="20">
        <f>IF($L637&lt;&gt;"",IF(INDEX(SCNet,$L637)=0,"",INDEX(SCNet,$L637)),"")</f>
        <v/>
      </c>
      <c r="G637" s="21">
        <f>IF($L637&lt;&gt;"",IF(INDEX(SCOp,$L637)="مرجوعی فروش","",IF(INDEX(SCAmount,$L637)&lt;=0,"",INDEX(SCAmount,$L637))),IF($M637&lt;&gt;"",IF(INDEX(LdgWitB,$M637)=0,"",INDEX(LdgWitB,$M637)),""))</f>
        <v/>
      </c>
      <c r="H637" s="21">
        <f>IF($L637&lt;&gt;"",IF(INDEX(SCOp,$L637)="مرجوعی فروش",IF(INDEX(SCAmount,$L637)=0,"",-INDEX(SCAmount,$L637)),""),IF($M637&lt;&gt;"",IF(INDEX(LdgDepB,$M637)=0,"",INDEX(LdgDepB,$M637)),""))</f>
        <v/>
      </c>
      <c r="I637" s="22">
        <f>IF($B637="","",IF($I636="",$C$10,$I636)+IF($G637="",0,$G637)-IF($H637="",0,$H637))</f>
        <v/>
      </c>
      <c r="L637">
        <f>IFERROR(MATCH($C$5&amp;"|"&amp;RIGHT("000000"&amp;621,6),LdgRankKeyA,0),"")</f>
        <v/>
      </c>
      <c r="M637">
        <f>IFERROR(MATCH($C$5&amp;"|"&amp;RIGHT("000000"&amp;621,6),LdgRankKeyB,0),"")</f>
        <v/>
      </c>
    </row>
    <row r="638">
      <c r="A638" s="23" t="n">
        <v>622</v>
      </c>
      <c r="B638" s="24">
        <f>IF(AND($L638="",$M638=""),"",IF($L638&lt;&gt;"",INDEX(SCNormDate,$L638),INDEX(LdgDateB,$M638)))</f>
        <v/>
      </c>
      <c r="C638" s="24">
        <f>IF($L638&lt;&gt;"",INDEX(SCOp,$L638),IF($M638&lt;&gt;"","پرداخت بانکی",""))</f>
        <v/>
      </c>
      <c r="D638" s="24">
        <f>IF($L638&lt;&gt;"",IF(INDEX(SCDoc,$L638)="","—",INDEX(SCDoc,$L638)),IF($M638&lt;&gt;"",INDEX(LdgBankB,$M638),""))</f>
        <v/>
      </c>
      <c r="E638" s="25">
        <f>IF($L638&lt;&gt;"",IF(INDEX(SCCitrus,$L638)&amp;INDEX(SCNotes,$L638)="","",IF(INDEX(SCCitrus,$L638)="","",INDEX(SCCitrus,$L638))&amp;IF(INDEX(SCNotes,$L638)="",""," — "&amp;INDEX(SCNotes,$L638))),IF($M638&lt;&gt;"",IF(INDEX(LdgNoteB,$M638)="","—",INDEX(LdgNoteB,$M638)),""))</f>
        <v/>
      </c>
      <c r="F638" s="26">
        <f>IF($L638&lt;&gt;"",IF(INDEX(SCNet,$L638)=0,"",INDEX(SCNet,$L638)),"")</f>
        <v/>
      </c>
      <c r="G638" s="27">
        <f>IF($L638&lt;&gt;"",IF(INDEX(SCOp,$L638)="مرجوعی فروش","",IF(INDEX(SCAmount,$L638)&lt;=0,"",INDEX(SCAmount,$L638))),IF($M638&lt;&gt;"",IF(INDEX(LdgWitB,$M638)=0,"",INDEX(LdgWitB,$M638)),""))</f>
        <v/>
      </c>
      <c r="H638" s="27">
        <f>IF($L638&lt;&gt;"",IF(INDEX(SCOp,$L638)="مرجوعی فروش",IF(INDEX(SCAmount,$L638)=0,"",-INDEX(SCAmount,$L638)),""),IF($M638&lt;&gt;"",IF(INDEX(LdgDepB,$M638)=0,"",INDEX(LdgDepB,$M638)),""))</f>
        <v/>
      </c>
      <c r="I638" s="28">
        <f>IF($B638="","",IF($I637="",$C$10,$I637)+IF($G638="",0,$G638)-IF($H638="",0,$H638))</f>
        <v/>
      </c>
      <c r="L638">
        <f>IFERROR(MATCH($C$5&amp;"|"&amp;RIGHT("000000"&amp;622,6),LdgRankKeyA,0),"")</f>
        <v/>
      </c>
      <c r="M638">
        <f>IFERROR(MATCH($C$5&amp;"|"&amp;RIGHT("000000"&amp;622,6),LdgRankKeyB,0),"")</f>
        <v/>
      </c>
    </row>
    <row r="639">
      <c r="A639" s="17" t="n">
        <v>623</v>
      </c>
      <c r="B639" s="18">
        <f>IF(AND($L639="",$M639=""),"",IF($L639&lt;&gt;"",INDEX(SCNormDate,$L639),INDEX(LdgDateB,$M639)))</f>
        <v/>
      </c>
      <c r="C639" s="18">
        <f>IF($L639&lt;&gt;"",INDEX(SCOp,$L639),IF($M639&lt;&gt;"","پرداخت بانکی",""))</f>
        <v/>
      </c>
      <c r="D639" s="18">
        <f>IF($L639&lt;&gt;"",IF(INDEX(SCDoc,$L639)="","—",INDEX(SCDoc,$L639)),IF($M639&lt;&gt;"",INDEX(LdgBankB,$M639),""))</f>
        <v/>
      </c>
      <c r="E639" s="19">
        <f>IF($L639&lt;&gt;"",IF(INDEX(SCCitrus,$L639)&amp;INDEX(SCNotes,$L639)="","",IF(INDEX(SCCitrus,$L639)="","",INDEX(SCCitrus,$L639))&amp;IF(INDEX(SCNotes,$L639)="",""," — "&amp;INDEX(SCNotes,$L639))),IF($M639&lt;&gt;"",IF(INDEX(LdgNoteB,$M639)="","—",INDEX(LdgNoteB,$M639)),""))</f>
        <v/>
      </c>
      <c r="F639" s="20">
        <f>IF($L639&lt;&gt;"",IF(INDEX(SCNet,$L639)=0,"",INDEX(SCNet,$L639)),"")</f>
        <v/>
      </c>
      <c r="G639" s="21">
        <f>IF($L639&lt;&gt;"",IF(INDEX(SCOp,$L639)="مرجوعی فروش","",IF(INDEX(SCAmount,$L639)&lt;=0,"",INDEX(SCAmount,$L639))),IF($M639&lt;&gt;"",IF(INDEX(LdgWitB,$M639)=0,"",INDEX(LdgWitB,$M639)),""))</f>
        <v/>
      </c>
      <c r="H639" s="21">
        <f>IF($L639&lt;&gt;"",IF(INDEX(SCOp,$L639)="مرجوعی فروش",IF(INDEX(SCAmount,$L639)=0,"",-INDEX(SCAmount,$L639)),""),IF($M639&lt;&gt;"",IF(INDEX(LdgDepB,$M639)=0,"",INDEX(LdgDepB,$M639)),""))</f>
        <v/>
      </c>
      <c r="I639" s="22">
        <f>IF($B639="","",IF($I638="",$C$10,$I638)+IF($G639="",0,$G639)-IF($H639="",0,$H639))</f>
        <v/>
      </c>
      <c r="L639">
        <f>IFERROR(MATCH($C$5&amp;"|"&amp;RIGHT("000000"&amp;623,6),LdgRankKeyA,0),"")</f>
        <v/>
      </c>
      <c r="M639">
        <f>IFERROR(MATCH($C$5&amp;"|"&amp;RIGHT("000000"&amp;623,6),LdgRankKeyB,0),"")</f>
        <v/>
      </c>
    </row>
    <row r="640">
      <c r="A640" s="23" t="n">
        <v>624</v>
      </c>
      <c r="B640" s="24">
        <f>IF(AND($L640="",$M640=""),"",IF($L640&lt;&gt;"",INDEX(SCNormDate,$L640),INDEX(LdgDateB,$M640)))</f>
        <v/>
      </c>
      <c r="C640" s="24">
        <f>IF($L640&lt;&gt;"",INDEX(SCOp,$L640),IF($M640&lt;&gt;"","پرداخت بانکی",""))</f>
        <v/>
      </c>
      <c r="D640" s="24">
        <f>IF($L640&lt;&gt;"",IF(INDEX(SCDoc,$L640)="","—",INDEX(SCDoc,$L640)),IF($M640&lt;&gt;"",INDEX(LdgBankB,$M640),""))</f>
        <v/>
      </c>
      <c r="E640" s="25">
        <f>IF($L640&lt;&gt;"",IF(INDEX(SCCitrus,$L640)&amp;INDEX(SCNotes,$L640)="","",IF(INDEX(SCCitrus,$L640)="","",INDEX(SCCitrus,$L640))&amp;IF(INDEX(SCNotes,$L640)="",""," — "&amp;INDEX(SCNotes,$L640))),IF($M640&lt;&gt;"",IF(INDEX(LdgNoteB,$M640)="","—",INDEX(LdgNoteB,$M640)),""))</f>
        <v/>
      </c>
      <c r="F640" s="26">
        <f>IF($L640&lt;&gt;"",IF(INDEX(SCNet,$L640)=0,"",INDEX(SCNet,$L640)),"")</f>
        <v/>
      </c>
      <c r="G640" s="27">
        <f>IF($L640&lt;&gt;"",IF(INDEX(SCOp,$L640)="مرجوعی فروش","",IF(INDEX(SCAmount,$L640)&lt;=0,"",INDEX(SCAmount,$L640))),IF($M640&lt;&gt;"",IF(INDEX(LdgWitB,$M640)=0,"",INDEX(LdgWitB,$M640)),""))</f>
        <v/>
      </c>
      <c r="H640" s="27">
        <f>IF($L640&lt;&gt;"",IF(INDEX(SCOp,$L640)="مرجوعی فروش",IF(INDEX(SCAmount,$L640)=0,"",-INDEX(SCAmount,$L640)),""),IF($M640&lt;&gt;"",IF(INDEX(LdgDepB,$M640)=0,"",INDEX(LdgDepB,$M640)),""))</f>
        <v/>
      </c>
      <c r="I640" s="28">
        <f>IF($B640="","",IF($I639="",$C$10,$I639)+IF($G640="",0,$G640)-IF($H640="",0,$H640))</f>
        <v/>
      </c>
      <c r="L640">
        <f>IFERROR(MATCH($C$5&amp;"|"&amp;RIGHT("000000"&amp;624,6),LdgRankKeyA,0),"")</f>
        <v/>
      </c>
      <c r="M640">
        <f>IFERROR(MATCH($C$5&amp;"|"&amp;RIGHT("000000"&amp;624,6),LdgRankKeyB,0),"")</f>
        <v/>
      </c>
    </row>
    <row r="641">
      <c r="A641" s="17" t="n">
        <v>625</v>
      </c>
      <c r="B641" s="18">
        <f>IF(AND($L641="",$M641=""),"",IF($L641&lt;&gt;"",INDEX(SCNormDate,$L641),INDEX(LdgDateB,$M641)))</f>
        <v/>
      </c>
      <c r="C641" s="18">
        <f>IF($L641&lt;&gt;"",INDEX(SCOp,$L641),IF($M641&lt;&gt;"","پرداخت بانکی",""))</f>
        <v/>
      </c>
      <c r="D641" s="18">
        <f>IF($L641&lt;&gt;"",IF(INDEX(SCDoc,$L641)="","—",INDEX(SCDoc,$L641)),IF($M641&lt;&gt;"",INDEX(LdgBankB,$M641),""))</f>
        <v/>
      </c>
      <c r="E641" s="19">
        <f>IF($L641&lt;&gt;"",IF(INDEX(SCCitrus,$L641)&amp;INDEX(SCNotes,$L641)="","",IF(INDEX(SCCitrus,$L641)="","",INDEX(SCCitrus,$L641))&amp;IF(INDEX(SCNotes,$L641)="",""," — "&amp;INDEX(SCNotes,$L641))),IF($M641&lt;&gt;"",IF(INDEX(LdgNoteB,$M641)="","—",INDEX(LdgNoteB,$M641)),""))</f>
        <v/>
      </c>
      <c r="F641" s="20">
        <f>IF($L641&lt;&gt;"",IF(INDEX(SCNet,$L641)=0,"",INDEX(SCNet,$L641)),"")</f>
        <v/>
      </c>
      <c r="G641" s="21">
        <f>IF($L641&lt;&gt;"",IF(INDEX(SCOp,$L641)="مرجوعی فروش","",IF(INDEX(SCAmount,$L641)&lt;=0,"",INDEX(SCAmount,$L641))),IF($M641&lt;&gt;"",IF(INDEX(LdgWitB,$M641)=0,"",INDEX(LdgWitB,$M641)),""))</f>
        <v/>
      </c>
      <c r="H641" s="21">
        <f>IF($L641&lt;&gt;"",IF(INDEX(SCOp,$L641)="مرجوعی فروش",IF(INDEX(SCAmount,$L641)=0,"",-INDEX(SCAmount,$L641)),""),IF($M641&lt;&gt;"",IF(INDEX(LdgDepB,$M641)=0,"",INDEX(LdgDepB,$M641)),""))</f>
        <v/>
      </c>
      <c r="I641" s="22">
        <f>IF($B641="","",IF($I640="",$C$10,$I640)+IF($G641="",0,$G641)-IF($H641="",0,$H641))</f>
        <v/>
      </c>
      <c r="L641">
        <f>IFERROR(MATCH($C$5&amp;"|"&amp;RIGHT("000000"&amp;625,6),LdgRankKeyA,0),"")</f>
        <v/>
      </c>
      <c r="M641">
        <f>IFERROR(MATCH($C$5&amp;"|"&amp;RIGHT("000000"&amp;625,6),LdgRankKeyB,0),"")</f>
        <v/>
      </c>
    </row>
    <row r="642">
      <c r="A642" s="23" t="n">
        <v>626</v>
      </c>
      <c r="B642" s="24">
        <f>IF(AND($L642="",$M642=""),"",IF($L642&lt;&gt;"",INDEX(SCNormDate,$L642),INDEX(LdgDateB,$M642)))</f>
        <v/>
      </c>
      <c r="C642" s="24">
        <f>IF($L642&lt;&gt;"",INDEX(SCOp,$L642),IF($M642&lt;&gt;"","پرداخت بانکی",""))</f>
        <v/>
      </c>
      <c r="D642" s="24">
        <f>IF($L642&lt;&gt;"",IF(INDEX(SCDoc,$L642)="","—",INDEX(SCDoc,$L642)),IF($M642&lt;&gt;"",INDEX(LdgBankB,$M642),""))</f>
        <v/>
      </c>
      <c r="E642" s="25">
        <f>IF($L642&lt;&gt;"",IF(INDEX(SCCitrus,$L642)&amp;INDEX(SCNotes,$L642)="","",IF(INDEX(SCCitrus,$L642)="","",INDEX(SCCitrus,$L642))&amp;IF(INDEX(SCNotes,$L642)="",""," — "&amp;INDEX(SCNotes,$L642))),IF($M642&lt;&gt;"",IF(INDEX(LdgNoteB,$M642)="","—",INDEX(LdgNoteB,$M642)),""))</f>
        <v/>
      </c>
      <c r="F642" s="26">
        <f>IF($L642&lt;&gt;"",IF(INDEX(SCNet,$L642)=0,"",INDEX(SCNet,$L642)),"")</f>
        <v/>
      </c>
      <c r="G642" s="27">
        <f>IF($L642&lt;&gt;"",IF(INDEX(SCOp,$L642)="مرجوعی فروش","",IF(INDEX(SCAmount,$L642)&lt;=0,"",INDEX(SCAmount,$L642))),IF($M642&lt;&gt;"",IF(INDEX(LdgWitB,$M642)=0,"",INDEX(LdgWitB,$M642)),""))</f>
        <v/>
      </c>
      <c r="H642" s="27">
        <f>IF($L642&lt;&gt;"",IF(INDEX(SCOp,$L642)="مرجوعی فروش",IF(INDEX(SCAmount,$L642)=0,"",-INDEX(SCAmount,$L642)),""),IF($M642&lt;&gt;"",IF(INDEX(LdgDepB,$M642)=0,"",INDEX(LdgDepB,$M642)),""))</f>
        <v/>
      </c>
      <c r="I642" s="28">
        <f>IF($B642="","",IF($I641="",$C$10,$I641)+IF($G642="",0,$G642)-IF($H642="",0,$H642))</f>
        <v/>
      </c>
      <c r="L642">
        <f>IFERROR(MATCH($C$5&amp;"|"&amp;RIGHT("000000"&amp;626,6),LdgRankKeyA,0),"")</f>
        <v/>
      </c>
      <c r="M642">
        <f>IFERROR(MATCH($C$5&amp;"|"&amp;RIGHT("000000"&amp;626,6),LdgRankKeyB,0),"")</f>
        <v/>
      </c>
    </row>
    <row r="643">
      <c r="A643" s="17" t="n">
        <v>627</v>
      </c>
      <c r="B643" s="18">
        <f>IF(AND($L643="",$M643=""),"",IF($L643&lt;&gt;"",INDEX(SCNormDate,$L643),INDEX(LdgDateB,$M643)))</f>
        <v/>
      </c>
      <c r="C643" s="18">
        <f>IF($L643&lt;&gt;"",INDEX(SCOp,$L643),IF($M643&lt;&gt;"","پرداخت بانکی",""))</f>
        <v/>
      </c>
      <c r="D643" s="18">
        <f>IF($L643&lt;&gt;"",IF(INDEX(SCDoc,$L643)="","—",INDEX(SCDoc,$L643)),IF($M643&lt;&gt;"",INDEX(LdgBankB,$M643),""))</f>
        <v/>
      </c>
      <c r="E643" s="19">
        <f>IF($L643&lt;&gt;"",IF(INDEX(SCCitrus,$L643)&amp;INDEX(SCNotes,$L643)="","",IF(INDEX(SCCitrus,$L643)="","",INDEX(SCCitrus,$L643))&amp;IF(INDEX(SCNotes,$L643)="",""," — "&amp;INDEX(SCNotes,$L643))),IF($M643&lt;&gt;"",IF(INDEX(LdgNoteB,$M643)="","—",INDEX(LdgNoteB,$M643)),""))</f>
        <v/>
      </c>
      <c r="F643" s="20">
        <f>IF($L643&lt;&gt;"",IF(INDEX(SCNet,$L643)=0,"",INDEX(SCNet,$L643)),"")</f>
        <v/>
      </c>
      <c r="G643" s="21">
        <f>IF($L643&lt;&gt;"",IF(INDEX(SCOp,$L643)="مرجوعی فروش","",IF(INDEX(SCAmount,$L643)&lt;=0,"",INDEX(SCAmount,$L643))),IF($M643&lt;&gt;"",IF(INDEX(LdgWitB,$M643)=0,"",INDEX(LdgWitB,$M643)),""))</f>
        <v/>
      </c>
      <c r="H643" s="21">
        <f>IF($L643&lt;&gt;"",IF(INDEX(SCOp,$L643)="مرجوعی فروش",IF(INDEX(SCAmount,$L643)=0,"",-INDEX(SCAmount,$L643)),""),IF($M643&lt;&gt;"",IF(INDEX(LdgDepB,$M643)=0,"",INDEX(LdgDepB,$M643)),""))</f>
        <v/>
      </c>
      <c r="I643" s="22">
        <f>IF($B643="","",IF($I642="",$C$10,$I642)+IF($G643="",0,$G643)-IF($H643="",0,$H643))</f>
        <v/>
      </c>
      <c r="L643">
        <f>IFERROR(MATCH($C$5&amp;"|"&amp;RIGHT("000000"&amp;627,6),LdgRankKeyA,0),"")</f>
        <v/>
      </c>
      <c r="M643">
        <f>IFERROR(MATCH($C$5&amp;"|"&amp;RIGHT("000000"&amp;627,6),LdgRankKeyB,0),"")</f>
        <v/>
      </c>
    </row>
    <row r="644">
      <c r="A644" s="23" t="n">
        <v>628</v>
      </c>
      <c r="B644" s="24">
        <f>IF(AND($L644="",$M644=""),"",IF($L644&lt;&gt;"",INDEX(SCNormDate,$L644),INDEX(LdgDateB,$M644)))</f>
        <v/>
      </c>
      <c r="C644" s="24">
        <f>IF($L644&lt;&gt;"",INDEX(SCOp,$L644),IF($M644&lt;&gt;"","پرداخت بانکی",""))</f>
        <v/>
      </c>
      <c r="D644" s="24">
        <f>IF($L644&lt;&gt;"",IF(INDEX(SCDoc,$L644)="","—",INDEX(SCDoc,$L644)),IF($M644&lt;&gt;"",INDEX(LdgBankB,$M644),""))</f>
        <v/>
      </c>
      <c r="E644" s="25">
        <f>IF($L644&lt;&gt;"",IF(INDEX(SCCitrus,$L644)&amp;INDEX(SCNotes,$L644)="","",IF(INDEX(SCCitrus,$L644)="","",INDEX(SCCitrus,$L644))&amp;IF(INDEX(SCNotes,$L644)="",""," — "&amp;INDEX(SCNotes,$L644))),IF($M644&lt;&gt;"",IF(INDEX(LdgNoteB,$M644)="","—",INDEX(LdgNoteB,$M644)),""))</f>
        <v/>
      </c>
      <c r="F644" s="26">
        <f>IF($L644&lt;&gt;"",IF(INDEX(SCNet,$L644)=0,"",INDEX(SCNet,$L644)),"")</f>
        <v/>
      </c>
      <c r="G644" s="27">
        <f>IF($L644&lt;&gt;"",IF(INDEX(SCOp,$L644)="مرجوعی فروش","",IF(INDEX(SCAmount,$L644)&lt;=0,"",INDEX(SCAmount,$L644))),IF($M644&lt;&gt;"",IF(INDEX(LdgWitB,$M644)=0,"",INDEX(LdgWitB,$M644)),""))</f>
        <v/>
      </c>
      <c r="H644" s="27">
        <f>IF($L644&lt;&gt;"",IF(INDEX(SCOp,$L644)="مرجوعی فروش",IF(INDEX(SCAmount,$L644)=0,"",-INDEX(SCAmount,$L644)),""),IF($M644&lt;&gt;"",IF(INDEX(LdgDepB,$M644)=0,"",INDEX(LdgDepB,$M644)),""))</f>
        <v/>
      </c>
      <c r="I644" s="28">
        <f>IF($B644="","",IF($I643="",$C$10,$I643)+IF($G644="",0,$G644)-IF($H644="",0,$H644))</f>
        <v/>
      </c>
      <c r="L644">
        <f>IFERROR(MATCH($C$5&amp;"|"&amp;RIGHT("000000"&amp;628,6),LdgRankKeyA,0),"")</f>
        <v/>
      </c>
      <c r="M644">
        <f>IFERROR(MATCH($C$5&amp;"|"&amp;RIGHT("000000"&amp;628,6),LdgRankKeyB,0),"")</f>
        <v/>
      </c>
    </row>
    <row r="645">
      <c r="A645" s="17" t="n">
        <v>629</v>
      </c>
      <c r="B645" s="18">
        <f>IF(AND($L645="",$M645=""),"",IF($L645&lt;&gt;"",INDEX(SCNormDate,$L645),INDEX(LdgDateB,$M645)))</f>
        <v/>
      </c>
      <c r="C645" s="18">
        <f>IF($L645&lt;&gt;"",INDEX(SCOp,$L645),IF($M645&lt;&gt;"","پرداخت بانکی",""))</f>
        <v/>
      </c>
      <c r="D645" s="18">
        <f>IF($L645&lt;&gt;"",IF(INDEX(SCDoc,$L645)="","—",INDEX(SCDoc,$L645)),IF($M645&lt;&gt;"",INDEX(LdgBankB,$M645),""))</f>
        <v/>
      </c>
      <c r="E645" s="19">
        <f>IF($L645&lt;&gt;"",IF(INDEX(SCCitrus,$L645)&amp;INDEX(SCNotes,$L645)="","",IF(INDEX(SCCitrus,$L645)="","",INDEX(SCCitrus,$L645))&amp;IF(INDEX(SCNotes,$L645)="",""," — "&amp;INDEX(SCNotes,$L645))),IF($M645&lt;&gt;"",IF(INDEX(LdgNoteB,$M645)="","—",INDEX(LdgNoteB,$M645)),""))</f>
        <v/>
      </c>
      <c r="F645" s="20">
        <f>IF($L645&lt;&gt;"",IF(INDEX(SCNet,$L645)=0,"",INDEX(SCNet,$L645)),"")</f>
        <v/>
      </c>
      <c r="G645" s="21">
        <f>IF($L645&lt;&gt;"",IF(INDEX(SCOp,$L645)="مرجوعی فروش","",IF(INDEX(SCAmount,$L645)&lt;=0,"",INDEX(SCAmount,$L645))),IF($M645&lt;&gt;"",IF(INDEX(LdgWitB,$M645)=0,"",INDEX(LdgWitB,$M645)),""))</f>
        <v/>
      </c>
      <c r="H645" s="21">
        <f>IF($L645&lt;&gt;"",IF(INDEX(SCOp,$L645)="مرجوعی فروش",IF(INDEX(SCAmount,$L645)=0,"",-INDEX(SCAmount,$L645)),""),IF($M645&lt;&gt;"",IF(INDEX(LdgDepB,$M645)=0,"",INDEX(LdgDepB,$M645)),""))</f>
        <v/>
      </c>
      <c r="I645" s="22">
        <f>IF($B645="","",IF($I644="",$C$10,$I644)+IF($G645="",0,$G645)-IF($H645="",0,$H645))</f>
        <v/>
      </c>
      <c r="L645">
        <f>IFERROR(MATCH($C$5&amp;"|"&amp;RIGHT("000000"&amp;629,6),LdgRankKeyA,0),"")</f>
        <v/>
      </c>
      <c r="M645">
        <f>IFERROR(MATCH($C$5&amp;"|"&amp;RIGHT("000000"&amp;629,6),LdgRankKeyB,0),"")</f>
        <v/>
      </c>
    </row>
    <row r="646">
      <c r="A646" s="23" t="n">
        <v>630</v>
      </c>
      <c r="B646" s="24">
        <f>IF(AND($L646="",$M646=""),"",IF($L646&lt;&gt;"",INDEX(SCNormDate,$L646),INDEX(LdgDateB,$M646)))</f>
        <v/>
      </c>
      <c r="C646" s="24">
        <f>IF($L646&lt;&gt;"",INDEX(SCOp,$L646),IF($M646&lt;&gt;"","پرداخت بانکی",""))</f>
        <v/>
      </c>
      <c r="D646" s="24">
        <f>IF($L646&lt;&gt;"",IF(INDEX(SCDoc,$L646)="","—",INDEX(SCDoc,$L646)),IF($M646&lt;&gt;"",INDEX(LdgBankB,$M646),""))</f>
        <v/>
      </c>
      <c r="E646" s="25">
        <f>IF($L646&lt;&gt;"",IF(INDEX(SCCitrus,$L646)&amp;INDEX(SCNotes,$L646)="","",IF(INDEX(SCCitrus,$L646)="","",INDEX(SCCitrus,$L646))&amp;IF(INDEX(SCNotes,$L646)="",""," — "&amp;INDEX(SCNotes,$L646))),IF($M646&lt;&gt;"",IF(INDEX(LdgNoteB,$M646)="","—",INDEX(LdgNoteB,$M646)),""))</f>
        <v/>
      </c>
      <c r="F646" s="26">
        <f>IF($L646&lt;&gt;"",IF(INDEX(SCNet,$L646)=0,"",INDEX(SCNet,$L646)),"")</f>
        <v/>
      </c>
      <c r="G646" s="27">
        <f>IF($L646&lt;&gt;"",IF(INDEX(SCOp,$L646)="مرجوعی فروش","",IF(INDEX(SCAmount,$L646)&lt;=0,"",INDEX(SCAmount,$L646))),IF($M646&lt;&gt;"",IF(INDEX(LdgWitB,$M646)=0,"",INDEX(LdgWitB,$M646)),""))</f>
        <v/>
      </c>
      <c r="H646" s="27">
        <f>IF($L646&lt;&gt;"",IF(INDEX(SCOp,$L646)="مرجوعی فروش",IF(INDEX(SCAmount,$L646)=0,"",-INDEX(SCAmount,$L646)),""),IF($M646&lt;&gt;"",IF(INDEX(LdgDepB,$M646)=0,"",INDEX(LdgDepB,$M646)),""))</f>
        <v/>
      </c>
      <c r="I646" s="28">
        <f>IF($B646="","",IF($I645="",$C$10,$I645)+IF($G646="",0,$G646)-IF($H646="",0,$H646))</f>
        <v/>
      </c>
      <c r="L646">
        <f>IFERROR(MATCH($C$5&amp;"|"&amp;RIGHT("000000"&amp;630,6),LdgRankKeyA,0),"")</f>
        <v/>
      </c>
      <c r="M646">
        <f>IFERROR(MATCH($C$5&amp;"|"&amp;RIGHT("000000"&amp;630,6),LdgRankKeyB,0),"")</f>
        <v/>
      </c>
    </row>
    <row r="647">
      <c r="A647" s="17" t="n">
        <v>631</v>
      </c>
      <c r="B647" s="18">
        <f>IF(AND($L647="",$M647=""),"",IF($L647&lt;&gt;"",INDEX(SCNormDate,$L647),INDEX(LdgDateB,$M647)))</f>
        <v/>
      </c>
      <c r="C647" s="18">
        <f>IF($L647&lt;&gt;"",INDEX(SCOp,$L647),IF($M647&lt;&gt;"","پرداخت بانکی",""))</f>
        <v/>
      </c>
      <c r="D647" s="18">
        <f>IF($L647&lt;&gt;"",IF(INDEX(SCDoc,$L647)="","—",INDEX(SCDoc,$L647)),IF($M647&lt;&gt;"",INDEX(LdgBankB,$M647),""))</f>
        <v/>
      </c>
      <c r="E647" s="19">
        <f>IF($L647&lt;&gt;"",IF(INDEX(SCCitrus,$L647)&amp;INDEX(SCNotes,$L647)="","",IF(INDEX(SCCitrus,$L647)="","",INDEX(SCCitrus,$L647))&amp;IF(INDEX(SCNotes,$L647)="",""," — "&amp;INDEX(SCNotes,$L647))),IF($M647&lt;&gt;"",IF(INDEX(LdgNoteB,$M647)="","—",INDEX(LdgNoteB,$M647)),""))</f>
        <v/>
      </c>
      <c r="F647" s="20">
        <f>IF($L647&lt;&gt;"",IF(INDEX(SCNet,$L647)=0,"",INDEX(SCNet,$L647)),"")</f>
        <v/>
      </c>
      <c r="G647" s="21">
        <f>IF($L647&lt;&gt;"",IF(INDEX(SCOp,$L647)="مرجوعی فروش","",IF(INDEX(SCAmount,$L647)&lt;=0,"",INDEX(SCAmount,$L647))),IF($M647&lt;&gt;"",IF(INDEX(LdgWitB,$M647)=0,"",INDEX(LdgWitB,$M647)),""))</f>
        <v/>
      </c>
      <c r="H647" s="21">
        <f>IF($L647&lt;&gt;"",IF(INDEX(SCOp,$L647)="مرجوعی فروش",IF(INDEX(SCAmount,$L647)=0,"",-INDEX(SCAmount,$L647)),""),IF($M647&lt;&gt;"",IF(INDEX(LdgDepB,$M647)=0,"",INDEX(LdgDepB,$M647)),""))</f>
        <v/>
      </c>
      <c r="I647" s="22">
        <f>IF($B647="","",IF($I646="",$C$10,$I646)+IF($G647="",0,$G647)-IF($H647="",0,$H647))</f>
        <v/>
      </c>
      <c r="L647">
        <f>IFERROR(MATCH($C$5&amp;"|"&amp;RIGHT("000000"&amp;631,6),LdgRankKeyA,0),"")</f>
        <v/>
      </c>
      <c r="M647">
        <f>IFERROR(MATCH($C$5&amp;"|"&amp;RIGHT("000000"&amp;631,6),LdgRankKeyB,0),"")</f>
        <v/>
      </c>
    </row>
    <row r="648">
      <c r="A648" s="23" t="n">
        <v>632</v>
      </c>
      <c r="B648" s="24">
        <f>IF(AND($L648="",$M648=""),"",IF($L648&lt;&gt;"",INDEX(SCNormDate,$L648),INDEX(LdgDateB,$M648)))</f>
        <v/>
      </c>
      <c r="C648" s="24">
        <f>IF($L648&lt;&gt;"",INDEX(SCOp,$L648),IF($M648&lt;&gt;"","پرداخت بانکی",""))</f>
        <v/>
      </c>
      <c r="D648" s="24">
        <f>IF($L648&lt;&gt;"",IF(INDEX(SCDoc,$L648)="","—",INDEX(SCDoc,$L648)),IF($M648&lt;&gt;"",INDEX(LdgBankB,$M648),""))</f>
        <v/>
      </c>
      <c r="E648" s="25">
        <f>IF($L648&lt;&gt;"",IF(INDEX(SCCitrus,$L648)&amp;INDEX(SCNotes,$L648)="","",IF(INDEX(SCCitrus,$L648)="","",INDEX(SCCitrus,$L648))&amp;IF(INDEX(SCNotes,$L648)="",""," — "&amp;INDEX(SCNotes,$L648))),IF($M648&lt;&gt;"",IF(INDEX(LdgNoteB,$M648)="","—",INDEX(LdgNoteB,$M648)),""))</f>
        <v/>
      </c>
      <c r="F648" s="26">
        <f>IF($L648&lt;&gt;"",IF(INDEX(SCNet,$L648)=0,"",INDEX(SCNet,$L648)),"")</f>
        <v/>
      </c>
      <c r="G648" s="27">
        <f>IF($L648&lt;&gt;"",IF(INDEX(SCOp,$L648)="مرجوعی فروش","",IF(INDEX(SCAmount,$L648)&lt;=0,"",INDEX(SCAmount,$L648))),IF($M648&lt;&gt;"",IF(INDEX(LdgWitB,$M648)=0,"",INDEX(LdgWitB,$M648)),""))</f>
        <v/>
      </c>
      <c r="H648" s="27">
        <f>IF($L648&lt;&gt;"",IF(INDEX(SCOp,$L648)="مرجوعی فروش",IF(INDEX(SCAmount,$L648)=0,"",-INDEX(SCAmount,$L648)),""),IF($M648&lt;&gt;"",IF(INDEX(LdgDepB,$M648)=0,"",INDEX(LdgDepB,$M648)),""))</f>
        <v/>
      </c>
      <c r="I648" s="28">
        <f>IF($B648="","",IF($I647="",$C$10,$I647)+IF($G648="",0,$G648)-IF($H648="",0,$H648))</f>
        <v/>
      </c>
      <c r="L648">
        <f>IFERROR(MATCH($C$5&amp;"|"&amp;RIGHT("000000"&amp;632,6),LdgRankKeyA,0),"")</f>
        <v/>
      </c>
      <c r="M648">
        <f>IFERROR(MATCH($C$5&amp;"|"&amp;RIGHT("000000"&amp;632,6),LdgRankKeyB,0),"")</f>
        <v/>
      </c>
    </row>
    <row r="649">
      <c r="A649" s="17" t="n">
        <v>633</v>
      </c>
      <c r="B649" s="18">
        <f>IF(AND($L649="",$M649=""),"",IF($L649&lt;&gt;"",INDEX(SCNormDate,$L649),INDEX(LdgDateB,$M649)))</f>
        <v/>
      </c>
      <c r="C649" s="18">
        <f>IF($L649&lt;&gt;"",INDEX(SCOp,$L649),IF($M649&lt;&gt;"","پرداخت بانکی",""))</f>
        <v/>
      </c>
      <c r="D649" s="18">
        <f>IF($L649&lt;&gt;"",IF(INDEX(SCDoc,$L649)="","—",INDEX(SCDoc,$L649)),IF($M649&lt;&gt;"",INDEX(LdgBankB,$M649),""))</f>
        <v/>
      </c>
      <c r="E649" s="19">
        <f>IF($L649&lt;&gt;"",IF(INDEX(SCCitrus,$L649)&amp;INDEX(SCNotes,$L649)="","",IF(INDEX(SCCitrus,$L649)="","",INDEX(SCCitrus,$L649))&amp;IF(INDEX(SCNotes,$L649)="",""," — "&amp;INDEX(SCNotes,$L649))),IF($M649&lt;&gt;"",IF(INDEX(LdgNoteB,$M649)="","—",INDEX(LdgNoteB,$M649)),""))</f>
        <v/>
      </c>
      <c r="F649" s="20">
        <f>IF($L649&lt;&gt;"",IF(INDEX(SCNet,$L649)=0,"",INDEX(SCNet,$L649)),"")</f>
        <v/>
      </c>
      <c r="G649" s="21">
        <f>IF($L649&lt;&gt;"",IF(INDEX(SCOp,$L649)="مرجوعی فروش","",IF(INDEX(SCAmount,$L649)&lt;=0,"",INDEX(SCAmount,$L649))),IF($M649&lt;&gt;"",IF(INDEX(LdgWitB,$M649)=0,"",INDEX(LdgWitB,$M649)),""))</f>
        <v/>
      </c>
      <c r="H649" s="21">
        <f>IF($L649&lt;&gt;"",IF(INDEX(SCOp,$L649)="مرجوعی فروش",IF(INDEX(SCAmount,$L649)=0,"",-INDEX(SCAmount,$L649)),""),IF($M649&lt;&gt;"",IF(INDEX(LdgDepB,$M649)=0,"",INDEX(LdgDepB,$M649)),""))</f>
        <v/>
      </c>
      <c r="I649" s="22">
        <f>IF($B649="","",IF($I648="",$C$10,$I648)+IF($G649="",0,$G649)-IF($H649="",0,$H649))</f>
        <v/>
      </c>
      <c r="L649">
        <f>IFERROR(MATCH($C$5&amp;"|"&amp;RIGHT("000000"&amp;633,6),LdgRankKeyA,0),"")</f>
        <v/>
      </c>
      <c r="M649">
        <f>IFERROR(MATCH($C$5&amp;"|"&amp;RIGHT("000000"&amp;633,6),LdgRankKeyB,0),"")</f>
        <v/>
      </c>
    </row>
    <row r="650">
      <c r="A650" s="23" t="n">
        <v>634</v>
      </c>
      <c r="B650" s="24">
        <f>IF(AND($L650="",$M650=""),"",IF($L650&lt;&gt;"",INDEX(SCNormDate,$L650),INDEX(LdgDateB,$M650)))</f>
        <v/>
      </c>
      <c r="C650" s="24">
        <f>IF($L650&lt;&gt;"",INDEX(SCOp,$L650),IF($M650&lt;&gt;"","پرداخت بانکی",""))</f>
        <v/>
      </c>
      <c r="D650" s="24">
        <f>IF($L650&lt;&gt;"",IF(INDEX(SCDoc,$L650)="","—",INDEX(SCDoc,$L650)),IF($M650&lt;&gt;"",INDEX(LdgBankB,$M650),""))</f>
        <v/>
      </c>
      <c r="E650" s="25">
        <f>IF($L650&lt;&gt;"",IF(INDEX(SCCitrus,$L650)&amp;INDEX(SCNotes,$L650)="","",IF(INDEX(SCCitrus,$L650)="","",INDEX(SCCitrus,$L650))&amp;IF(INDEX(SCNotes,$L650)="",""," — "&amp;INDEX(SCNotes,$L650))),IF($M650&lt;&gt;"",IF(INDEX(LdgNoteB,$M650)="","—",INDEX(LdgNoteB,$M650)),""))</f>
        <v/>
      </c>
      <c r="F650" s="26">
        <f>IF($L650&lt;&gt;"",IF(INDEX(SCNet,$L650)=0,"",INDEX(SCNet,$L650)),"")</f>
        <v/>
      </c>
      <c r="G650" s="27">
        <f>IF($L650&lt;&gt;"",IF(INDEX(SCOp,$L650)="مرجوعی فروش","",IF(INDEX(SCAmount,$L650)&lt;=0,"",INDEX(SCAmount,$L650))),IF($M650&lt;&gt;"",IF(INDEX(LdgWitB,$M650)=0,"",INDEX(LdgWitB,$M650)),""))</f>
        <v/>
      </c>
      <c r="H650" s="27">
        <f>IF($L650&lt;&gt;"",IF(INDEX(SCOp,$L650)="مرجوعی فروش",IF(INDEX(SCAmount,$L650)=0,"",-INDEX(SCAmount,$L650)),""),IF($M650&lt;&gt;"",IF(INDEX(LdgDepB,$M650)=0,"",INDEX(LdgDepB,$M650)),""))</f>
        <v/>
      </c>
      <c r="I650" s="28">
        <f>IF($B650="","",IF($I649="",$C$10,$I649)+IF($G650="",0,$G650)-IF($H650="",0,$H650))</f>
        <v/>
      </c>
      <c r="L650">
        <f>IFERROR(MATCH($C$5&amp;"|"&amp;RIGHT("000000"&amp;634,6),LdgRankKeyA,0),"")</f>
        <v/>
      </c>
      <c r="M650">
        <f>IFERROR(MATCH($C$5&amp;"|"&amp;RIGHT("000000"&amp;634,6),LdgRankKeyB,0),"")</f>
        <v/>
      </c>
    </row>
    <row r="651">
      <c r="A651" s="17" t="n">
        <v>635</v>
      </c>
      <c r="B651" s="18">
        <f>IF(AND($L651="",$M651=""),"",IF($L651&lt;&gt;"",INDEX(SCNormDate,$L651),INDEX(LdgDateB,$M651)))</f>
        <v/>
      </c>
      <c r="C651" s="18">
        <f>IF($L651&lt;&gt;"",INDEX(SCOp,$L651),IF($M651&lt;&gt;"","پرداخت بانکی",""))</f>
        <v/>
      </c>
      <c r="D651" s="18">
        <f>IF($L651&lt;&gt;"",IF(INDEX(SCDoc,$L651)="","—",INDEX(SCDoc,$L651)),IF($M651&lt;&gt;"",INDEX(LdgBankB,$M651),""))</f>
        <v/>
      </c>
      <c r="E651" s="19">
        <f>IF($L651&lt;&gt;"",IF(INDEX(SCCitrus,$L651)&amp;INDEX(SCNotes,$L651)="","",IF(INDEX(SCCitrus,$L651)="","",INDEX(SCCitrus,$L651))&amp;IF(INDEX(SCNotes,$L651)="",""," — "&amp;INDEX(SCNotes,$L651))),IF($M651&lt;&gt;"",IF(INDEX(LdgNoteB,$M651)="","—",INDEX(LdgNoteB,$M651)),""))</f>
        <v/>
      </c>
      <c r="F651" s="20">
        <f>IF($L651&lt;&gt;"",IF(INDEX(SCNet,$L651)=0,"",INDEX(SCNet,$L651)),"")</f>
        <v/>
      </c>
      <c r="G651" s="21">
        <f>IF($L651&lt;&gt;"",IF(INDEX(SCOp,$L651)="مرجوعی فروش","",IF(INDEX(SCAmount,$L651)&lt;=0,"",INDEX(SCAmount,$L651))),IF($M651&lt;&gt;"",IF(INDEX(LdgWitB,$M651)=0,"",INDEX(LdgWitB,$M651)),""))</f>
        <v/>
      </c>
      <c r="H651" s="21">
        <f>IF($L651&lt;&gt;"",IF(INDEX(SCOp,$L651)="مرجوعی فروش",IF(INDEX(SCAmount,$L651)=0,"",-INDEX(SCAmount,$L651)),""),IF($M651&lt;&gt;"",IF(INDEX(LdgDepB,$M651)=0,"",INDEX(LdgDepB,$M651)),""))</f>
        <v/>
      </c>
      <c r="I651" s="22">
        <f>IF($B651="","",IF($I650="",$C$10,$I650)+IF($G651="",0,$G651)-IF($H651="",0,$H651))</f>
        <v/>
      </c>
      <c r="L651">
        <f>IFERROR(MATCH($C$5&amp;"|"&amp;RIGHT("000000"&amp;635,6),LdgRankKeyA,0),"")</f>
        <v/>
      </c>
      <c r="M651">
        <f>IFERROR(MATCH($C$5&amp;"|"&amp;RIGHT("000000"&amp;635,6),LdgRankKeyB,0),"")</f>
        <v/>
      </c>
    </row>
    <row r="652">
      <c r="A652" s="23" t="n">
        <v>636</v>
      </c>
      <c r="B652" s="24">
        <f>IF(AND($L652="",$M652=""),"",IF($L652&lt;&gt;"",INDEX(SCNormDate,$L652),INDEX(LdgDateB,$M652)))</f>
        <v/>
      </c>
      <c r="C652" s="24">
        <f>IF($L652&lt;&gt;"",INDEX(SCOp,$L652),IF($M652&lt;&gt;"","پرداخت بانکی",""))</f>
        <v/>
      </c>
      <c r="D652" s="24">
        <f>IF($L652&lt;&gt;"",IF(INDEX(SCDoc,$L652)="","—",INDEX(SCDoc,$L652)),IF($M652&lt;&gt;"",INDEX(LdgBankB,$M652),""))</f>
        <v/>
      </c>
      <c r="E652" s="25">
        <f>IF($L652&lt;&gt;"",IF(INDEX(SCCitrus,$L652)&amp;INDEX(SCNotes,$L652)="","",IF(INDEX(SCCitrus,$L652)="","",INDEX(SCCitrus,$L652))&amp;IF(INDEX(SCNotes,$L652)="",""," — "&amp;INDEX(SCNotes,$L652))),IF($M652&lt;&gt;"",IF(INDEX(LdgNoteB,$M652)="","—",INDEX(LdgNoteB,$M652)),""))</f>
        <v/>
      </c>
      <c r="F652" s="26">
        <f>IF($L652&lt;&gt;"",IF(INDEX(SCNet,$L652)=0,"",INDEX(SCNet,$L652)),"")</f>
        <v/>
      </c>
      <c r="G652" s="27">
        <f>IF($L652&lt;&gt;"",IF(INDEX(SCOp,$L652)="مرجوعی فروش","",IF(INDEX(SCAmount,$L652)&lt;=0,"",INDEX(SCAmount,$L652))),IF($M652&lt;&gt;"",IF(INDEX(LdgWitB,$M652)=0,"",INDEX(LdgWitB,$M652)),""))</f>
        <v/>
      </c>
      <c r="H652" s="27">
        <f>IF($L652&lt;&gt;"",IF(INDEX(SCOp,$L652)="مرجوعی فروش",IF(INDEX(SCAmount,$L652)=0,"",-INDEX(SCAmount,$L652)),""),IF($M652&lt;&gt;"",IF(INDEX(LdgDepB,$M652)=0,"",INDEX(LdgDepB,$M652)),""))</f>
        <v/>
      </c>
      <c r="I652" s="28">
        <f>IF($B652="","",IF($I651="",$C$10,$I651)+IF($G652="",0,$G652)-IF($H652="",0,$H652))</f>
        <v/>
      </c>
      <c r="L652">
        <f>IFERROR(MATCH($C$5&amp;"|"&amp;RIGHT("000000"&amp;636,6),LdgRankKeyA,0),"")</f>
        <v/>
      </c>
      <c r="M652">
        <f>IFERROR(MATCH($C$5&amp;"|"&amp;RIGHT("000000"&amp;636,6),LdgRankKeyB,0),"")</f>
        <v/>
      </c>
    </row>
    <row r="653">
      <c r="A653" s="17" t="n">
        <v>637</v>
      </c>
      <c r="B653" s="18">
        <f>IF(AND($L653="",$M653=""),"",IF($L653&lt;&gt;"",INDEX(SCNormDate,$L653),INDEX(LdgDateB,$M653)))</f>
        <v/>
      </c>
      <c r="C653" s="18">
        <f>IF($L653&lt;&gt;"",INDEX(SCOp,$L653),IF($M653&lt;&gt;"","پرداخت بانکی",""))</f>
        <v/>
      </c>
      <c r="D653" s="18">
        <f>IF($L653&lt;&gt;"",IF(INDEX(SCDoc,$L653)="","—",INDEX(SCDoc,$L653)),IF($M653&lt;&gt;"",INDEX(LdgBankB,$M653),""))</f>
        <v/>
      </c>
      <c r="E653" s="19">
        <f>IF($L653&lt;&gt;"",IF(INDEX(SCCitrus,$L653)&amp;INDEX(SCNotes,$L653)="","",IF(INDEX(SCCitrus,$L653)="","",INDEX(SCCitrus,$L653))&amp;IF(INDEX(SCNotes,$L653)="",""," — "&amp;INDEX(SCNotes,$L653))),IF($M653&lt;&gt;"",IF(INDEX(LdgNoteB,$M653)="","—",INDEX(LdgNoteB,$M653)),""))</f>
        <v/>
      </c>
      <c r="F653" s="20">
        <f>IF($L653&lt;&gt;"",IF(INDEX(SCNet,$L653)=0,"",INDEX(SCNet,$L653)),"")</f>
        <v/>
      </c>
      <c r="G653" s="21">
        <f>IF($L653&lt;&gt;"",IF(INDEX(SCOp,$L653)="مرجوعی فروش","",IF(INDEX(SCAmount,$L653)&lt;=0,"",INDEX(SCAmount,$L653))),IF($M653&lt;&gt;"",IF(INDEX(LdgWitB,$M653)=0,"",INDEX(LdgWitB,$M653)),""))</f>
        <v/>
      </c>
      <c r="H653" s="21">
        <f>IF($L653&lt;&gt;"",IF(INDEX(SCOp,$L653)="مرجوعی فروش",IF(INDEX(SCAmount,$L653)=0,"",-INDEX(SCAmount,$L653)),""),IF($M653&lt;&gt;"",IF(INDEX(LdgDepB,$M653)=0,"",INDEX(LdgDepB,$M653)),""))</f>
        <v/>
      </c>
      <c r="I653" s="22">
        <f>IF($B653="","",IF($I652="",$C$10,$I652)+IF($G653="",0,$G653)-IF($H653="",0,$H653))</f>
        <v/>
      </c>
      <c r="L653">
        <f>IFERROR(MATCH($C$5&amp;"|"&amp;RIGHT("000000"&amp;637,6),LdgRankKeyA,0),"")</f>
        <v/>
      </c>
      <c r="M653">
        <f>IFERROR(MATCH($C$5&amp;"|"&amp;RIGHT("000000"&amp;637,6),LdgRankKeyB,0),"")</f>
        <v/>
      </c>
    </row>
    <row r="654">
      <c r="A654" s="23" t="n">
        <v>638</v>
      </c>
      <c r="B654" s="24">
        <f>IF(AND($L654="",$M654=""),"",IF($L654&lt;&gt;"",INDEX(SCNormDate,$L654),INDEX(LdgDateB,$M654)))</f>
        <v/>
      </c>
      <c r="C654" s="24">
        <f>IF($L654&lt;&gt;"",INDEX(SCOp,$L654),IF($M654&lt;&gt;"","پرداخت بانکی",""))</f>
        <v/>
      </c>
      <c r="D654" s="24">
        <f>IF($L654&lt;&gt;"",IF(INDEX(SCDoc,$L654)="","—",INDEX(SCDoc,$L654)),IF($M654&lt;&gt;"",INDEX(LdgBankB,$M654),""))</f>
        <v/>
      </c>
      <c r="E654" s="25">
        <f>IF($L654&lt;&gt;"",IF(INDEX(SCCitrus,$L654)&amp;INDEX(SCNotes,$L654)="","",IF(INDEX(SCCitrus,$L654)="","",INDEX(SCCitrus,$L654))&amp;IF(INDEX(SCNotes,$L654)="",""," — "&amp;INDEX(SCNotes,$L654))),IF($M654&lt;&gt;"",IF(INDEX(LdgNoteB,$M654)="","—",INDEX(LdgNoteB,$M654)),""))</f>
        <v/>
      </c>
      <c r="F654" s="26">
        <f>IF($L654&lt;&gt;"",IF(INDEX(SCNet,$L654)=0,"",INDEX(SCNet,$L654)),"")</f>
        <v/>
      </c>
      <c r="G654" s="27">
        <f>IF($L654&lt;&gt;"",IF(INDEX(SCOp,$L654)="مرجوعی فروش","",IF(INDEX(SCAmount,$L654)&lt;=0,"",INDEX(SCAmount,$L654))),IF($M654&lt;&gt;"",IF(INDEX(LdgWitB,$M654)=0,"",INDEX(LdgWitB,$M654)),""))</f>
        <v/>
      </c>
      <c r="H654" s="27">
        <f>IF($L654&lt;&gt;"",IF(INDEX(SCOp,$L654)="مرجوعی فروش",IF(INDEX(SCAmount,$L654)=0,"",-INDEX(SCAmount,$L654)),""),IF($M654&lt;&gt;"",IF(INDEX(LdgDepB,$M654)=0,"",INDEX(LdgDepB,$M654)),""))</f>
        <v/>
      </c>
      <c r="I654" s="28">
        <f>IF($B654="","",IF($I653="",$C$10,$I653)+IF($G654="",0,$G654)-IF($H654="",0,$H654))</f>
        <v/>
      </c>
      <c r="L654">
        <f>IFERROR(MATCH($C$5&amp;"|"&amp;RIGHT("000000"&amp;638,6),LdgRankKeyA,0),"")</f>
        <v/>
      </c>
      <c r="M654">
        <f>IFERROR(MATCH($C$5&amp;"|"&amp;RIGHT("000000"&amp;638,6),LdgRankKeyB,0),"")</f>
        <v/>
      </c>
    </row>
    <row r="655">
      <c r="A655" s="17" t="n">
        <v>639</v>
      </c>
      <c r="B655" s="18">
        <f>IF(AND($L655="",$M655=""),"",IF($L655&lt;&gt;"",INDEX(SCNormDate,$L655),INDEX(LdgDateB,$M655)))</f>
        <v/>
      </c>
      <c r="C655" s="18">
        <f>IF($L655&lt;&gt;"",INDEX(SCOp,$L655),IF($M655&lt;&gt;"","پرداخت بانکی",""))</f>
        <v/>
      </c>
      <c r="D655" s="18">
        <f>IF($L655&lt;&gt;"",IF(INDEX(SCDoc,$L655)="","—",INDEX(SCDoc,$L655)),IF($M655&lt;&gt;"",INDEX(LdgBankB,$M655),""))</f>
        <v/>
      </c>
      <c r="E655" s="19">
        <f>IF($L655&lt;&gt;"",IF(INDEX(SCCitrus,$L655)&amp;INDEX(SCNotes,$L655)="","",IF(INDEX(SCCitrus,$L655)="","",INDEX(SCCitrus,$L655))&amp;IF(INDEX(SCNotes,$L655)="",""," — "&amp;INDEX(SCNotes,$L655))),IF($M655&lt;&gt;"",IF(INDEX(LdgNoteB,$M655)="","—",INDEX(LdgNoteB,$M655)),""))</f>
        <v/>
      </c>
      <c r="F655" s="20">
        <f>IF($L655&lt;&gt;"",IF(INDEX(SCNet,$L655)=0,"",INDEX(SCNet,$L655)),"")</f>
        <v/>
      </c>
      <c r="G655" s="21">
        <f>IF($L655&lt;&gt;"",IF(INDEX(SCOp,$L655)="مرجوعی فروش","",IF(INDEX(SCAmount,$L655)&lt;=0,"",INDEX(SCAmount,$L655))),IF($M655&lt;&gt;"",IF(INDEX(LdgWitB,$M655)=0,"",INDEX(LdgWitB,$M655)),""))</f>
        <v/>
      </c>
      <c r="H655" s="21">
        <f>IF($L655&lt;&gt;"",IF(INDEX(SCOp,$L655)="مرجوعی فروش",IF(INDEX(SCAmount,$L655)=0,"",-INDEX(SCAmount,$L655)),""),IF($M655&lt;&gt;"",IF(INDEX(LdgDepB,$M655)=0,"",INDEX(LdgDepB,$M655)),""))</f>
        <v/>
      </c>
      <c r="I655" s="22">
        <f>IF($B655="","",IF($I654="",$C$10,$I654)+IF($G655="",0,$G655)-IF($H655="",0,$H655))</f>
        <v/>
      </c>
      <c r="L655">
        <f>IFERROR(MATCH($C$5&amp;"|"&amp;RIGHT("000000"&amp;639,6),LdgRankKeyA,0),"")</f>
        <v/>
      </c>
      <c r="M655">
        <f>IFERROR(MATCH($C$5&amp;"|"&amp;RIGHT("000000"&amp;639,6),LdgRankKeyB,0),"")</f>
        <v/>
      </c>
    </row>
    <row r="656">
      <c r="A656" s="23" t="n">
        <v>640</v>
      </c>
      <c r="B656" s="24">
        <f>IF(AND($L656="",$M656=""),"",IF($L656&lt;&gt;"",INDEX(SCNormDate,$L656),INDEX(LdgDateB,$M656)))</f>
        <v/>
      </c>
      <c r="C656" s="24">
        <f>IF($L656&lt;&gt;"",INDEX(SCOp,$L656),IF($M656&lt;&gt;"","پرداخت بانکی",""))</f>
        <v/>
      </c>
      <c r="D656" s="24">
        <f>IF($L656&lt;&gt;"",IF(INDEX(SCDoc,$L656)="","—",INDEX(SCDoc,$L656)),IF($M656&lt;&gt;"",INDEX(LdgBankB,$M656),""))</f>
        <v/>
      </c>
      <c r="E656" s="25">
        <f>IF($L656&lt;&gt;"",IF(INDEX(SCCitrus,$L656)&amp;INDEX(SCNotes,$L656)="","",IF(INDEX(SCCitrus,$L656)="","",INDEX(SCCitrus,$L656))&amp;IF(INDEX(SCNotes,$L656)="",""," — "&amp;INDEX(SCNotes,$L656))),IF($M656&lt;&gt;"",IF(INDEX(LdgNoteB,$M656)="","—",INDEX(LdgNoteB,$M656)),""))</f>
        <v/>
      </c>
      <c r="F656" s="26">
        <f>IF($L656&lt;&gt;"",IF(INDEX(SCNet,$L656)=0,"",INDEX(SCNet,$L656)),"")</f>
        <v/>
      </c>
      <c r="G656" s="27">
        <f>IF($L656&lt;&gt;"",IF(INDEX(SCOp,$L656)="مرجوعی فروش","",IF(INDEX(SCAmount,$L656)&lt;=0,"",INDEX(SCAmount,$L656))),IF($M656&lt;&gt;"",IF(INDEX(LdgWitB,$M656)=0,"",INDEX(LdgWitB,$M656)),""))</f>
        <v/>
      </c>
      <c r="H656" s="27">
        <f>IF($L656&lt;&gt;"",IF(INDEX(SCOp,$L656)="مرجوعی فروش",IF(INDEX(SCAmount,$L656)=0,"",-INDEX(SCAmount,$L656)),""),IF($M656&lt;&gt;"",IF(INDEX(LdgDepB,$M656)=0,"",INDEX(LdgDepB,$M656)),""))</f>
        <v/>
      </c>
      <c r="I656" s="28">
        <f>IF($B656="","",IF($I655="",$C$10,$I655)+IF($G656="",0,$G656)-IF($H656="",0,$H656))</f>
        <v/>
      </c>
      <c r="L656">
        <f>IFERROR(MATCH($C$5&amp;"|"&amp;RIGHT("000000"&amp;640,6),LdgRankKeyA,0),"")</f>
        <v/>
      </c>
      <c r="M656">
        <f>IFERROR(MATCH($C$5&amp;"|"&amp;RIGHT("000000"&amp;640,6),LdgRankKeyB,0),"")</f>
        <v/>
      </c>
    </row>
    <row r="657">
      <c r="A657" s="17" t="n">
        <v>641</v>
      </c>
      <c r="B657" s="18">
        <f>IF(AND($L657="",$M657=""),"",IF($L657&lt;&gt;"",INDEX(SCNormDate,$L657),INDEX(LdgDateB,$M657)))</f>
        <v/>
      </c>
      <c r="C657" s="18">
        <f>IF($L657&lt;&gt;"",INDEX(SCOp,$L657),IF($M657&lt;&gt;"","پرداخت بانکی",""))</f>
        <v/>
      </c>
      <c r="D657" s="18">
        <f>IF($L657&lt;&gt;"",IF(INDEX(SCDoc,$L657)="","—",INDEX(SCDoc,$L657)),IF($M657&lt;&gt;"",INDEX(LdgBankB,$M657),""))</f>
        <v/>
      </c>
      <c r="E657" s="19">
        <f>IF($L657&lt;&gt;"",IF(INDEX(SCCitrus,$L657)&amp;INDEX(SCNotes,$L657)="","",IF(INDEX(SCCitrus,$L657)="","",INDEX(SCCitrus,$L657))&amp;IF(INDEX(SCNotes,$L657)="",""," — "&amp;INDEX(SCNotes,$L657))),IF($M657&lt;&gt;"",IF(INDEX(LdgNoteB,$M657)="","—",INDEX(LdgNoteB,$M657)),""))</f>
        <v/>
      </c>
      <c r="F657" s="20">
        <f>IF($L657&lt;&gt;"",IF(INDEX(SCNet,$L657)=0,"",INDEX(SCNet,$L657)),"")</f>
        <v/>
      </c>
      <c r="G657" s="21">
        <f>IF($L657&lt;&gt;"",IF(INDEX(SCOp,$L657)="مرجوعی فروش","",IF(INDEX(SCAmount,$L657)&lt;=0,"",INDEX(SCAmount,$L657))),IF($M657&lt;&gt;"",IF(INDEX(LdgWitB,$M657)=0,"",INDEX(LdgWitB,$M657)),""))</f>
        <v/>
      </c>
      <c r="H657" s="21">
        <f>IF($L657&lt;&gt;"",IF(INDEX(SCOp,$L657)="مرجوعی فروش",IF(INDEX(SCAmount,$L657)=0,"",-INDEX(SCAmount,$L657)),""),IF($M657&lt;&gt;"",IF(INDEX(LdgDepB,$M657)=0,"",INDEX(LdgDepB,$M657)),""))</f>
        <v/>
      </c>
      <c r="I657" s="22">
        <f>IF($B657="","",IF($I656="",$C$10,$I656)+IF($G657="",0,$G657)-IF($H657="",0,$H657))</f>
        <v/>
      </c>
      <c r="L657">
        <f>IFERROR(MATCH($C$5&amp;"|"&amp;RIGHT("000000"&amp;641,6),LdgRankKeyA,0),"")</f>
        <v/>
      </c>
      <c r="M657">
        <f>IFERROR(MATCH($C$5&amp;"|"&amp;RIGHT("000000"&amp;641,6),LdgRankKeyB,0),"")</f>
        <v/>
      </c>
    </row>
    <row r="658">
      <c r="A658" s="23" t="n">
        <v>642</v>
      </c>
      <c r="B658" s="24">
        <f>IF(AND($L658="",$M658=""),"",IF($L658&lt;&gt;"",INDEX(SCNormDate,$L658),INDEX(LdgDateB,$M658)))</f>
        <v/>
      </c>
      <c r="C658" s="24">
        <f>IF($L658&lt;&gt;"",INDEX(SCOp,$L658),IF($M658&lt;&gt;"","پرداخت بانکی",""))</f>
        <v/>
      </c>
      <c r="D658" s="24">
        <f>IF($L658&lt;&gt;"",IF(INDEX(SCDoc,$L658)="","—",INDEX(SCDoc,$L658)),IF($M658&lt;&gt;"",INDEX(LdgBankB,$M658),""))</f>
        <v/>
      </c>
      <c r="E658" s="25">
        <f>IF($L658&lt;&gt;"",IF(INDEX(SCCitrus,$L658)&amp;INDEX(SCNotes,$L658)="","",IF(INDEX(SCCitrus,$L658)="","",INDEX(SCCitrus,$L658))&amp;IF(INDEX(SCNotes,$L658)="",""," — "&amp;INDEX(SCNotes,$L658))),IF($M658&lt;&gt;"",IF(INDEX(LdgNoteB,$M658)="","—",INDEX(LdgNoteB,$M658)),""))</f>
        <v/>
      </c>
      <c r="F658" s="26">
        <f>IF($L658&lt;&gt;"",IF(INDEX(SCNet,$L658)=0,"",INDEX(SCNet,$L658)),"")</f>
        <v/>
      </c>
      <c r="G658" s="27">
        <f>IF($L658&lt;&gt;"",IF(INDEX(SCOp,$L658)="مرجوعی فروش","",IF(INDEX(SCAmount,$L658)&lt;=0,"",INDEX(SCAmount,$L658))),IF($M658&lt;&gt;"",IF(INDEX(LdgWitB,$M658)=0,"",INDEX(LdgWitB,$M658)),""))</f>
        <v/>
      </c>
      <c r="H658" s="27">
        <f>IF($L658&lt;&gt;"",IF(INDEX(SCOp,$L658)="مرجوعی فروش",IF(INDEX(SCAmount,$L658)=0,"",-INDEX(SCAmount,$L658)),""),IF($M658&lt;&gt;"",IF(INDEX(LdgDepB,$M658)=0,"",INDEX(LdgDepB,$M658)),""))</f>
        <v/>
      </c>
      <c r="I658" s="28">
        <f>IF($B658="","",IF($I657="",$C$10,$I657)+IF($G658="",0,$G658)-IF($H658="",0,$H658))</f>
        <v/>
      </c>
      <c r="L658">
        <f>IFERROR(MATCH($C$5&amp;"|"&amp;RIGHT("000000"&amp;642,6),LdgRankKeyA,0),"")</f>
        <v/>
      </c>
      <c r="M658">
        <f>IFERROR(MATCH($C$5&amp;"|"&amp;RIGHT("000000"&amp;642,6),LdgRankKeyB,0),"")</f>
        <v/>
      </c>
    </row>
    <row r="659">
      <c r="A659" s="17" t="n">
        <v>643</v>
      </c>
      <c r="B659" s="18">
        <f>IF(AND($L659="",$M659=""),"",IF($L659&lt;&gt;"",INDEX(SCNormDate,$L659),INDEX(LdgDateB,$M659)))</f>
        <v/>
      </c>
      <c r="C659" s="18">
        <f>IF($L659&lt;&gt;"",INDEX(SCOp,$L659),IF($M659&lt;&gt;"","پرداخت بانکی",""))</f>
        <v/>
      </c>
      <c r="D659" s="18">
        <f>IF($L659&lt;&gt;"",IF(INDEX(SCDoc,$L659)="","—",INDEX(SCDoc,$L659)),IF($M659&lt;&gt;"",INDEX(LdgBankB,$M659),""))</f>
        <v/>
      </c>
      <c r="E659" s="19">
        <f>IF($L659&lt;&gt;"",IF(INDEX(SCCitrus,$L659)&amp;INDEX(SCNotes,$L659)="","",IF(INDEX(SCCitrus,$L659)="","",INDEX(SCCitrus,$L659))&amp;IF(INDEX(SCNotes,$L659)="",""," — "&amp;INDEX(SCNotes,$L659))),IF($M659&lt;&gt;"",IF(INDEX(LdgNoteB,$M659)="","—",INDEX(LdgNoteB,$M659)),""))</f>
        <v/>
      </c>
      <c r="F659" s="20">
        <f>IF($L659&lt;&gt;"",IF(INDEX(SCNet,$L659)=0,"",INDEX(SCNet,$L659)),"")</f>
        <v/>
      </c>
      <c r="G659" s="21">
        <f>IF($L659&lt;&gt;"",IF(INDEX(SCOp,$L659)="مرجوعی فروش","",IF(INDEX(SCAmount,$L659)&lt;=0,"",INDEX(SCAmount,$L659))),IF($M659&lt;&gt;"",IF(INDEX(LdgWitB,$M659)=0,"",INDEX(LdgWitB,$M659)),""))</f>
        <v/>
      </c>
      <c r="H659" s="21">
        <f>IF($L659&lt;&gt;"",IF(INDEX(SCOp,$L659)="مرجوعی فروش",IF(INDEX(SCAmount,$L659)=0,"",-INDEX(SCAmount,$L659)),""),IF($M659&lt;&gt;"",IF(INDEX(LdgDepB,$M659)=0,"",INDEX(LdgDepB,$M659)),""))</f>
        <v/>
      </c>
      <c r="I659" s="22">
        <f>IF($B659="","",IF($I658="",$C$10,$I658)+IF($G659="",0,$G659)-IF($H659="",0,$H659))</f>
        <v/>
      </c>
      <c r="L659">
        <f>IFERROR(MATCH($C$5&amp;"|"&amp;RIGHT("000000"&amp;643,6),LdgRankKeyA,0),"")</f>
        <v/>
      </c>
      <c r="M659">
        <f>IFERROR(MATCH($C$5&amp;"|"&amp;RIGHT("000000"&amp;643,6),LdgRankKeyB,0),"")</f>
        <v/>
      </c>
    </row>
    <row r="660">
      <c r="A660" s="23" t="n">
        <v>644</v>
      </c>
      <c r="B660" s="24">
        <f>IF(AND($L660="",$M660=""),"",IF($L660&lt;&gt;"",INDEX(SCNormDate,$L660),INDEX(LdgDateB,$M660)))</f>
        <v/>
      </c>
      <c r="C660" s="24">
        <f>IF($L660&lt;&gt;"",INDEX(SCOp,$L660),IF($M660&lt;&gt;"","پرداخت بانکی",""))</f>
        <v/>
      </c>
      <c r="D660" s="24">
        <f>IF($L660&lt;&gt;"",IF(INDEX(SCDoc,$L660)="","—",INDEX(SCDoc,$L660)),IF($M660&lt;&gt;"",INDEX(LdgBankB,$M660),""))</f>
        <v/>
      </c>
      <c r="E660" s="25">
        <f>IF($L660&lt;&gt;"",IF(INDEX(SCCitrus,$L660)&amp;INDEX(SCNotes,$L660)="","",IF(INDEX(SCCitrus,$L660)="","",INDEX(SCCitrus,$L660))&amp;IF(INDEX(SCNotes,$L660)="",""," — "&amp;INDEX(SCNotes,$L660))),IF($M660&lt;&gt;"",IF(INDEX(LdgNoteB,$M660)="","—",INDEX(LdgNoteB,$M660)),""))</f>
        <v/>
      </c>
      <c r="F660" s="26">
        <f>IF($L660&lt;&gt;"",IF(INDEX(SCNet,$L660)=0,"",INDEX(SCNet,$L660)),"")</f>
        <v/>
      </c>
      <c r="G660" s="27">
        <f>IF($L660&lt;&gt;"",IF(INDEX(SCOp,$L660)="مرجوعی فروش","",IF(INDEX(SCAmount,$L660)&lt;=0,"",INDEX(SCAmount,$L660))),IF($M660&lt;&gt;"",IF(INDEX(LdgWitB,$M660)=0,"",INDEX(LdgWitB,$M660)),""))</f>
        <v/>
      </c>
      <c r="H660" s="27">
        <f>IF($L660&lt;&gt;"",IF(INDEX(SCOp,$L660)="مرجوعی فروش",IF(INDEX(SCAmount,$L660)=0,"",-INDEX(SCAmount,$L660)),""),IF($M660&lt;&gt;"",IF(INDEX(LdgDepB,$M660)=0,"",INDEX(LdgDepB,$M660)),""))</f>
        <v/>
      </c>
      <c r="I660" s="28">
        <f>IF($B660="","",IF($I659="",$C$10,$I659)+IF($G660="",0,$G660)-IF($H660="",0,$H660))</f>
        <v/>
      </c>
      <c r="L660">
        <f>IFERROR(MATCH($C$5&amp;"|"&amp;RIGHT("000000"&amp;644,6),LdgRankKeyA,0),"")</f>
        <v/>
      </c>
      <c r="M660">
        <f>IFERROR(MATCH($C$5&amp;"|"&amp;RIGHT("000000"&amp;644,6),LdgRankKeyB,0),"")</f>
        <v/>
      </c>
    </row>
    <row r="661">
      <c r="A661" s="17" t="n">
        <v>645</v>
      </c>
      <c r="B661" s="18">
        <f>IF(AND($L661="",$M661=""),"",IF($L661&lt;&gt;"",INDEX(SCNormDate,$L661),INDEX(LdgDateB,$M661)))</f>
        <v/>
      </c>
      <c r="C661" s="18">
        <f>IF($L661&lt;&gt;"",INDEX(SCOp,$L661),IF($M661&lt;&gt;"","پرداخت بانکی",""))</f>
        <v/>
      </c>
      <c r="D661" s="18">
        <f>IF($L661&lt;&gt;"",IF(INDEX(SCDoc,$L661)="","—",INDEX(SCDoc,$L661)),IF($M661&lt;&gt;"",INDEX(LdgBankB,$M661),""))</f>
        <v/>
      </c>
      <c r="E661" s="19">
        <f>IF($L661&lt;&gt;"",IF(INDEX(SCCitrus,$L661)&amp;INDEX(SCNotes,$L661)="","",IF(INDEX(SCCitrus,$L661)="","",INDEX(SCCitrus,$L661))&amp;IF(INDEX(SCNotes,$L661)="",""," — "&amp;INDEX(SCNotes,$L661))),IF($M661&lt;&gt;"",IF(INDEX(LdgNoteB,$M661)="","—",INDEX(LdgNoteB,$M661)),""))</f>
        <v/>
      </c>
      <c r="F661" s="20">
        <f>IF($L661&lt;&gt;"",IF(INDEX(SCNet,$L661)=0,"",INDEX(SCNet,$L661)),"")</f>
        <v/>
      </c>
      <c r="G661" s="21">
        <f>IF($L661&lt;&gt;"",IF(INDEX(SCOp,$L661)="مرجوعی فروش","",IF(INDEX(SCAmount,$L661)&lt;=0,"",INDEX(SCAmount,$L661))),IF($M661&lt;&gt;"",IF(INDEX(LdgWitB,$M661)=0,"",INDEX(LdgWitB,$M661)),""))</f>
        <v/>
      </c>
      <c r="H661" s="21">
        <f>IF($L661&lt;&gt;"",IF(INDEX(SCOp,$L661)="مرجوعی فروش",IF(INDEX(SCAmount,$L661)=0,"",-INDEX(SCAmount,$L661)),""),IF($M661&lt;&gt;"",IF(INDEX(LdgDepB,$M661)=0,"",INDEX(LdgDepB,$M661)),""))</f>
        <v/>
      </c>
      <c r="I661" s="22">
        <f>IF($B661="","",IF($I660="",$C$10,$I660)+IF($G661="",0,$G661)-IF($H661="",0,$H661))</f>
        <v/>
      </c>
      <c r="L661">
        <f>IFERROR(MATCH($C$5&amp;"|"&amp;RIGHT("000000"&amp;645,6),LdgRankKeyA,0),"")</f>
        <v/>
      </c>
      <c r="M661">
        <f>IFERROR(MATCH($C$5&amp;"|"&amp;RIGHT("000000"&amp;645,6),LdgRankKeyB,0),"")</f>
        <v/>
      </c>
    </row>
    <row r="662">
      <c r="A662" s="23" t="n">
        <v>646</v>
      </c>
      <c r="B662" s="24">
        <f>IF(AND($L662="",$M662=""),"",IF($L662&lt;&gt;"",INDEX(SCNormDate,$L662),INDEX(LdgDateB,$M662)))</f>
        <v/>
      </c>
      <c r="C662" s="24">
        <f>IF($L662&lt;&gt;"",INDEX(SCOp,$L662),IF($M662&lt;&gt;"","پرداخت بانکی",""))</f>
        <v/>
      </c>
      <c r="D662" s="24">
        <f>IF($L662&lt;&gt;"",IF(INDEX(SCDoc,$L662)="","—",INDEX(SCDoc,$L662)),IF($M662&lt;&gt;"",INDEX(LdgBankB,$M662),""))</f>
        <v/>
      </c>
      <c r="E662" s="25">
        <f>IF($L662&lt;&gt;"",IF(INDEX(SCCitrus,$L662)&amp;INDEX(SCNotes,$L662)="","",IF(INDEX(SCCitrus,$L662)="","",INDEX(SCCitrus,$L662))&amp;IF(INDEX(SCNotes,$L662)="",""," — "&amp;INDEX(SCNotes,$L662))),IF($M662&lt;&gt;"",IF(INDEX(LdgNoteB,$M662)="","—",INDEX(LdgNoteB,$M662)),""))</f>
        <v/>
      </c>
      <c r="F662" s="26">
        <f>IF($L662&lt;&gt;"",IF(INDEX(SCNet,$L662)=0,"",INDEX(SCNet,$L662)),"")</f>
        <v/>
      </c>
      <c r="G662" s="27">
        <f>IF($L662&lt;&gt;"",IF(INDEX(SCOp,$L662)="مرجوعی فروش","",IF(INDEX(SCAmount,$L662)&lt;=0,"",INDEX(SCAmount,$L662))),IF($M662&lt;&gt;"",IF(INDEX(LdgWitB,$M662)=0,"",INDEX(LdgWitB,$M662)),""))</f>
        <v/>
      </c>
      <c r="H662" s="27">
        <f>IF($L662&lt;&gt;"",IF(INDEX(SCOp,$L662)="مرجوعی فروش",IF(INDEX(SCAmount,$L662)=0,"",-INDEX(SCAmount,$L662)),""),IF($M662&lt;&gt;"",IF(INDEX(LdgDepB,$M662)=0,"",INDEX(LdgDepB,$M662)),""))</f>
        <v/>
      </c>
      <c r="I662" s="28">
        <f>IF($B662="","",IF($I661="",$C$10,$I661)+IF($G662="",0,$G662)-IF($H662="",0,$H662))</f>
        <v/>
      </c>
      <c r="L662">
        <f>IFERROR(MATCH($C$5&amp;"|"&amp;RIGHT("000000"&amp;646,6),LdgRankKeyA,0),"")</f>
        <v/>
      </c>
      <c r="M662">
        <f>IFERROR(MATCH($C$5&amp;"|"&amp;RIGHT("000000"&amp;646,6),LdgRankKeyB,0),"")</f>
        <v/>
      </c>
    </row>
    <row r="663">
      <c r="A663" s="17" t="n">
        <v>647</v>
      </c>
      <c r="B663" s="18">
        <f>IF(AND($L663="",$M663=""),"",IF($L663&lt;&gt;"",INDEX(SCNormDate,$L663),INDEX(LdgDateB,$M663)))</f>
        <v/>
      </c>
      <c r="C663" s="18">
        <f>IF($L663&lt;&gt;"",INDEX(SCOp,$L663),IF($M663&lt;&gt;"","پرداخت بانکی",""))</f>
        <v/>
      </c>
      <c r="D663" s="18">
        <f>IF($L663&lt;&gt;"",IF(INDEX(SCDoc,$L663)="","—",INDEX(SCDoc,$L663)),IF($M663&lt;&gt;"",INDEX(LdgBankB,$M663),""))</f>
        <v/>
      </c>
      <c r="E663" s="19">
        <f>IF($L663&lt;&gt;"",IF(INDEX(SCCitrus,$L663)&amp;INDEX(SCNotes,$L663)="","",IF(INDEX(SCCitrus,$L663)="","",INDEX(SCCitrus,$L663))&amp;IF(INDEX(SCNotes,$L663)="",""," — "&amp;INDEX(SCNotes,$L663))),IF($M663&lt;&gt;"",IF(INDEX(LdgNoteB,$M663)="","—",INDEX(LdgNoteB,$M663)),""))</f>
        <v/>
      </c>
      <c r="F663" s="20">
        <f>IF($L663&lt;&gt;"",IF(INDEX(SCNet,$L663)=0,"",INDEX(SCNet,$L663)),"")</f>
        <v/>
      </c>
      <c r="G663" s="21">
        <f>IF($L663&lt;&gt;"",IF(INDEX(SCOp,$L663)="مرجوعی فروش","",IF(INDEX(SCAmount,$L663)&lt;=0,"",INDEX(SCAmount,$L663))),IF($M663&lt;&gt;"",IF(INDEX(LdgWitB,$M663)=0,"",INDEX(LdgWitB,$M663)),""))</f>
        <v/>
      </c>
      <c r="H663" s="21">
        <f>IF($L663&lt;&gt;"",IF(INDEX(SCOp,$L663)="مرجوعی فروش",IF(INDEX(SCAmount,$L663)=0,"",-INDEX(SCAmount,$L663)),""),IF($M663&lt;&gt;"",IF(INDEX(LdgDepB,$M663)=0,"",INDEX(LdgDepB,$M663)),""))</f>
        <v/>
      </c>
      <c r="I663" s="22">
        <f>IF($B663="","",IF($I662="",$C$10,$I662)+IF($G663="",0,$G663)-IF($H663="",0,$H663))</f>
        <v/>
      </c>
      <c r="L663">
        <f>IFERROR(MATCH($C$5&amp;"|"&amp;RIGHT("000000"&amp;647,6),LdgRankKeyA,0),"")</f>
        <v/>
      </c>
      <c r="M663">
        <f>IFERROR(MATCH($C$5&amp;"|"&amp;RIGHT("000000"&amp;647,6),LdgRankKeyB,0),"")</f>
        <v/>
      </c>
    </row>
    <row r="664">
      <c r="A664" s="23" t="n">
        <v>648</v>
      </c>
      <c r="B664" s="24">
        <f>IF(AND($L664="",$M664=""),"",IF($L664&lt;&gt;"",INDEX(SCNormDate,$L664),INDEX(LdgDateB,$M664)))</f>
        <v/>
      </c>
      <c r="C664" s="24">
        <f>IF($L664&lt;&gt;"",INDEX(SCOp,$L664),IF($M664&lt;&gt;"","پرداخت بانکی",""))</f>
        <v/>
      </c>
      <c r="D664" s="24">
        <f>IF($L664&lt;&gt;"",IF(INDEX(SCDoc,$L664)="","—",INDEX(SCDoc,$L664)),IF($M664&lt;&gt;"",INDEX(LdgBankB,$M664),""))</f>
        <v/>
      </c>
      <c r="E664" s="25">
        <f>IF($L664&lt;&gt;"",IF(INDEX(SCCitrus,$L664)&amp;INDEX(SCNotes,$L664)="","",IF(INDEX(SCCitrus,$L664)="","",INDEX(SCCitrus,$L664))&amp;IF(INDEX(SCNotes,$L664)="",""," — "&amp;INDEX(SCNotes,$L664))),IF($M664&lt;&gt;"",IF(INDEX(LdgNoteB,$M664)="","—",INDEX(LdgNoteB,$M664)),""))</f>
        <v/>
      </c>
      <c r="F664" s="26">
        <f>IF($L664&lt;&gt;"",IF(INDEX(SCNet,$L664)=0,"",INDEX(SCNet,$L664)),"")</f>
        <v/>
      </c>
      <c r="G664" s="27">
        <f>IF($L664&lt;&gt;"",IF(INDEX(SCOp,$L664)="مرجوعی فروش","",IF(INDEX(SCAmount,$L664)&lt;=0,"",INDEX(SCAmount,$L664))),IF($M664&lt;&gt;"",IF(INDEX(LdgWitB,$M664)=0,"",INDEX(LdgWitB,$M664)),""))</f>
        <v/>
      </c>
      <c r="H664" s="27">
        <f>IF($L664&lt;&gt;"",IF(INDEX(SCOp,$L664)="مرجوعی فروش",IF(INDEX(SCAmount,$L664)=0,"",-INDEX(SCAmount,$L664)),""),IF($M664&lt;&gt;"",IF(INDEX(LdgDepB,$M664)=0,"",INDEX(LdgDepB,$M664)),""))</f>
        <v/>
      </c>
      <c r="I664" s="28">
        <f>IF($B664="","",IF($I663="",$C$10,$I663)+IF($G664="",0,$G664)-IF($H664="",0,$H664))</f>
        <v/>
      </c>
      <c r="L664">
        <f>IFERROR(MATCH($C$5&amp;"|"&amp;RIGHT("000000"&amp;648,6),LdgRankKeyA,0),"")</f>
        <v/>
      </c>
      <c r="M664">
        <f>IFERROR(MATCH($C$5&amp;"|"&amp;RIGHT("000000"&amp;648,6),LdgRankKeyB,0),"")</f>
        <v/>
      </c>
    </row>
    <row r="665">
      <c r="A665" s="17" t="n">
        <v>649</v>
      </c>
      <c r="B665" s="18">
        <f>IF(AND($L665="",$M665=""),"",IF($L665&lt;&gt;"",INDEX(SCNormDate,$L665),INDEX(LdgDateB,$M665)))</f>
        <v/>
      </c>
      <c r="C665" s="18">
        <f>IF($L665&lt;&gt;"",INDEX(SCOp,$L665),IF($M665&lt;&gt;"","پرداخت بانکی",""))</f>
        <v/>
      </c>
      <c r="D665" s="18">
        <f>IF($L665&lt;&gt;"",IF(INDEX(SCDoc,$L665)="","—",INDEX(SCDoc,$L665)),IF($M665&lt;&gt;"",INDEX(LdgBankB,$M665),""))</f>
        <v/>
      </c>
      <c r="E665" s="19">
        <f>IF($L665&lt;&gt;"",IF(INDEX(SCCitrus,$L665)&amp;INDEX(SCNotes,$L665)="","",IF(INDEX(SCCitrus,$L665)="","",INDEX(SCCitrus,$L665))&amp;IF(INDEX(SCNotes,$L665)="",""," — "&amp;INDEX(SCNotes,$L665))),IF($M665&lt;&gt;"",IF(INDEX(LdgNoteB,$M665)="","—",INDEX(LdgNoteB,$M665)),""))</f>
        <v/>
      </c>
      <c r="F665" s="20">
        <f>IF($L665&lt;&gt;"",IF(INDEX(SCNet,$L665)=0,"",INDEX(SCNet,$L665)),"")</f>
        <v/>
      </c>
      <c r="G665" s="21">
        <f>IF($L665&lt;&gt;"",IF(INDEX(SCOp,$L665)="مرجوعی فروش","",IF(INDEX(SCAmount,$L665)&lt;=0,"",INDEX(SCAmount,$L665))),IF($M665&lt;&gt;"",IF(INDEX(LdgWitB,$M665)=0,"",INDEX(LdgWitB,$M665)),""))</f>
        <v/>
      </c>
      <c r="H665" s="21">
        <f>IF($L665&lt;&gt;"",IF(INDEX(SCOp,$L665)="مرجوعی فروش",IF(INDEX(SCAmount,$L665)=0,"",-INDEX(SCAmount,$L665)),""),IF($M665&lt;&gt;"",IF(INDEX(LdgDepB,$M665)=0,"",INDEX(LdgDepB,$M665)),""))</f>
        <v/>
      </c>
      <c r="I665" s="22">
        <f>IF($B665="","",IF($I664="",$C$10,$I664)+IF($G665="",0,$G665)-IF($H665="",0,$H665))</f>
        <v/>
      </c>
      <c r="L665">
        <f>IFERROR(MATCH($C$5&amp;"|"&amp;RIGHT("000000"&amp;649,6),LdgRankKeyA,0),"")</f>
        <v/>
      </c>
      <c r="M665">
        <f>IFERROR(MATCH($C$5&amp;"|"&amp;RIGHT("000000"&amp;649,6),LdgRankKeyB,0),"")</f>
        <v/>
      </c>
    </row>
    <row r="666">
      <c r="A666" s="23" t="n">
        <v>650</v>
      </c>
      <c r="B666" s="24">
        <f>IF(AND($L666="",$M666=""),"",IF($L666&lt;&gt;"",INDEX(SCNormDate,$L666),INDEX(LdgDateB,$M666)))</f>
        <v/>
      </c>
      <c r="C666" s="24">
        <f>IF($L666&lt;&gt;"",INDEX(SCOp,$L666),IF($M666&lt;&gt;"","پرداخت بانکی",""))</f>
        <v/>
      </c>
      <c r="D666" s="24">
        <f>IF($L666&lt;&gt;"",IF(INDEX(SCDoc,$L666)="","—",INDEX(SCDoc,$L666)),IF($M666&lt;&gt;"",INDEX(LdgBankB,$M666),""))</f>
        <v/>
      </c>
      <c r="E666" s="25">
        <f>IF($L666&lt;&gt;"",IF(INDEX(SCCitrus,$L666)&amp;INDEX(SCNotes,$L666)="","",IF(INDEX(SCCitrus,$L666)="","",INDEX(SCCitrus,$L666))&amp;IF(INDEX(SCNotes,$L666)="",""," — "&amp;INDEX(SCNotes,$L666))),IF($M666&lt;&gt;"",IF(INDEX(LdgNoteB,$M666)="","—",INDEX(LdgNoteB,$M666)),""))</f>
        <v/>
      </c>
      <c r="F666" s="26">
        <f>IF($L666&lt;&gt;"",IF(INDEX(SCNet,$L666)=0,"",INDEX(SCNet,$L666)),"")</f>
        <v/>
      </c>
      <c r="G666" s="27">
        <f>IF($L666&lt;&gt;"",IF(INDEX(SCOp,$L666)="مرجوعی فروش","",IF(INDEX(SCAmount,$L666)&lt;=0,"",INDEX(SCAmount,$L666))),IF($M666&lt;&gt;"",IF(INDEX(LdgWitB,$M666)=0,"",INDEX(LdgWitB,$M666)),""))</f>
        <v/>
      </c>
      <c r="H666" s="27">
        <f>IF($L666&lt;&gt;"",IF(INDEX(SCOp,$L666)="مرجوعی فروش",IF(INDEX(SCAmount,$L666)=0,"",-INDEX(SCAmount,$L666)),""),IF($M666&lt;&gt;"",IF(INDEX(LdgDepB,$M666)=0,"",INDEX(LdgDepB,$M666)),""))</f>
        <v/>
      </c>
      <c r="I666" s="28">
        <f>IF($B666="","",IF($I665="",$C$10,$I665)+IF($G666="",0,$G666)-IF($H666="",0,$H666))</f>
        <v/>
      </c>
      <c r="L666">
        <f>IFERROR(MATCH($C$5&amp;"|"&amp;RIGHT("000000"&amp;650,6),LdgRankKeyA,0),"")</f>
        <v/>
      </c>
      <c r="M666">
        <f>IFERROR(MATCH($C$5&amp;"|"&amp;RIGHT("000000"&amp;650,6),LdgRankKeyB,0),"")</f>
        <v/>
      </c>
    </row>
    <row r="667">
      <c r="A667" s="17" t="n">
        <v>651</v>
      </c>
      <c r="B667" s="18">
        <f>IF(AND($L667="",$M667=""),"",IF($L667&lt;&gt;"",INDEX(SCNormDate,$L667),INDEX(LdgDateB,$M667)))</f>
        <v/>
      </c>
      <c r="C667" s="18">
        <f>IF($L667&lt;&gt;"",INDEX(SCOp,$L667),IF($M667&lt;&gt;"","پرداخت بانکی",""))</f>
        <v/>
      </c>
      <c r="D667" s="18">
        <f>IF($L667&lt;&gt;"",IF(INDEX(SCDoc,$L667)="","—",INDEX(SCDoc,$L667)),IF($M667&lt;&gt;"",INDEX(LdgBankB,$M667),""))</f>
        <v/>
      </c>
      <c r="E667" s="19">
        <f>IF($L667&lt;&gt;"",IF(INDEX(SCCitrus,$L667)&amp;INDEX(SCNotes,$L667)="","",IF(INDEX(SCCitrus,$L667)="","",INDEX(SCCitrus,$L667))&amp;IF(INDEX(SCNotes,$L667)="",""," — "&amp;INDEX(SCNotes,$L667))),IF($M667&lt;&gt;"",IF(INDEX(LdgNoteB,$M667)="","—",INDEX(LdgNoteB,$M667)),""))</f>
        <v/>
      </c>
      <c r="F667" s="20">
        <f>IF($L667&lt;&gt;"",IF(INDEX(SCNet,$L667)=0,"",INDEX(SCNet,$L667)),"")</f>
        <v/>
      </c>
      <c r="G667" s="21">
        <f>IF($L667&lt;&gt;"",IF(INDEX(SCOp,$L667)="مرجوعی فروش","",IF(INDEX(SCAmount,$L667)&lt;=0,"",INDEX(SCAmount,$L667))),IF($M667&lt;&gt;"",IF(INDEX(LdgWitB,$M667)=0,"",INDEX(LdgWitB,$M667)),""))</f>
        <v/>
      </c>
      <c r="H667" s="21">
        <f>IF($L667&lt;&gt;"",IF(INDEX(SCOp,$L667)="مرجوعی فروش",IF(INDEX(SCAmount,$L667)=0,"",-INDEX(SCAmount,$L667)),""),IF($M667&lt;&gt;"",IF(INDEX(LdgDepB,$M667)=0,"",INDEX(LdgDepB,$M667)),""))</f>
        <v/>
      </c>
      <c r="I667" s="22">
        <f>IF($B667="","",IF($I666="",$C$10,$I666)+IF($G667="",0,$G667)-IF($H667="",0,$H667))</f>
        <v/>
      </c>
      <c r="L667">
        <f>IFERROR(MATCH($C$5&amp;"|"&amp;RIGHT("000000"&amp;651,6),LdgRankKeyA,0),"")</f>
        <v/>
      </c>
      <c r="M667">
        <f>IFERROR(MATCH($C$5&amp;"|"&amp;RIGHT("000000"&amp;651,6),LdgRankKeyB,0),"")</f>
        <v/>
      </c>
    </row>
    <row r="668">
      <c r="A668" s="23" t="n">
        <v>652</v>
      </c>
      <c r="B668" s="24">
        <f>IF(AND($L668="",$M668=""),"",IF($L668&lt;&gt;"",INDEX(SCNormDate,$L668),INDEX(LdgDateB,$M668)))</f>
        <v/>
      </c>
      <c r="C668" s="24">
        <f>IF($L668&lt;&gt;"",INDEX(SCOp,$L668),IF($M668&lt;&gt;"","پرداخت بانکی",""))</f>
        <v/>
      </c>
      <c r="D668" s="24">
        <f>IF($L668&lt;&gt;"",IF(INDEX(SCDoc,$L668)="","—",INDEX(SCDoc,$L668)),IF($M668&lt;&gt;"",INDEX(LdgBankB,$M668),""))</f>
        <v/>
      </c>
      <c r="E668" s="25">
        <f>IF($L668&lt;&gt;"",IF(INDEX(SCCitrus,$L668)&amp;INDEX(SCNotes,$L668)="","",IF(INDEX(SCCitrus,$L668)="","",INDEX(SCCitrus,$L668))&amp;IF(INDEX(SCNotes,$L668)="",""," — "&amp;INDEX(SCNotes,$L668))),IF($M668&lt;&gt;"",IF(INDEX(LdgNoteB,$M668)="","—",INDEX(LdgNoteB,$M668)),""))</f>
        <v/>
      </c>
      <c r="F668" s="26">
        <f>IF($L668&lt;&gt;"",IF(INDEX(SCNet,$L668)=0,"",INDEX(SCNet,$L668)),"")</f>
        <v/>
      </c>
      <c r="G668" s="27">
        <f>IF($L668&lt;&gt;"",IF(INDEX(SCOp,$L668)="مرجوعی فروش","",IF(INDEX(SCAmount,$L668)&lt;=0,"",INDEX(SCAmount,$L668))),IF($M668&lt;&gt;"",IF(INDEX(LdgWitB,$M668)=0,"",INDEX(LdgWitB,$M668)),""))</f>
        <v/>
      </c>
      <c r="H668" s="27">
        <f>IF($L668&lt;&gt;"",IF(INDEX(SCOp,$L668)="مرجوعی فروش",IF(INDEX(SCAmount,$L668)=0,"",-INDEX(SCAmount,$L668)),""),IF($M668&lt;&gt;"",IF(INDEX(LdgDepB,$M668)=0,"",INDEX(LdgDepB,$M668)),""))</f>
        <v/>
      </c>
      <c r="I668" s="28">
        <f>IF($B668="","",IF($I667="",$C$10,$I667)+IF($G668="",0,$G668)-IF($H668="",0,$H668))</f>
        <v/>
      </c>
      <c r="L668">
        <f>IFERROR(MATCH($C$5&amp;"|"&amp;RIGHT("000000"&amp;652,6),LdgRankKeyA,0),"")</f>
        <v/>
      </c>
      <c r="M668">
        <f>IFERROR(MATCH($C$5&amp;"|"&amp;RIGHT("000000"&amp;652,6),LdgRankKeyB,0),"")</f>
        <v/>
      </c>
    </row>
    <row r="669">
      <c r="A669" s="17" t="n">
        <v>653</v>
      </c>
      <c r="B669" s="18">
        <f>IF(AND($L669="",$M669=""),"",IF($L669&lt;&gt;"",INDEX(SCNormDate,$L669),INDEX(LdgDateB,$M669)))</f>
        <v/>
      </c>
      <c r="C669" s="18">
        <f>IF($L669&lt;&gt;"",INDEX(SCOp,$L669),IF($M669&lt;&gt;"","پرداخت بانکی",""))</f>
        <v/>
      </c>
      <c r="D669" s="18">
        <f>IF($L669&lt;&gt;"",IF(INDEX(SCDoc,$L669)="","—",INDEX(SCDoc,$L669)),IF($M669&lt;&gt;"",INDEX(LdgBankB,$M669),""))</f>
        <v/>
      </c>
      <c r="E669" s="19">
        <f>IF($L669&lt;&gt;"",IF(INDEX(SCCitrus,$L669)&amp;INDEX(SCNotes,$L669)="","",IF(INDEX(SCCitrus,$L669)="","",INDEX(SCCitrus,$L669))&amp;IF(INDEX(SCNotes,$L669)="",""," — "&amp;INDEX(SCNotes,$L669))),IF($M669&lt;&gt;"",IF(INDEX(LdgNoteB,$M669)="","—",INDEX(LdgNoteB,$M669)),""))</f>
        <v/>
      </c>
      <c r="F669" s="20">
        <f>IF($L669&lt;&gt;"",IF(INDEX(SCNet,$L669)=0,"",INDEX(SCNet,$L669)),"")</f>
        <v/>
      </c>
      <c r="G669" s="21">
        <f>IF($L669&lt;&gt;"",IF(INDEX(SCOp,$L669)="مرجوعی فروش","",IF(INDEX(SCAmount,$L669)&lt;=0,"",INDEX(SCAmount,$L669))),IF($M669&lt;&gt;"",IF(INDEX(LdgWitB,$M669)=0,"",INDEX(LdgWitB,$M669)),""))</f>
        <v/>
      </c>
      <c r="H669" s="21">
        <f>IF($L669&lt;&gt;"",IF(INDEX(SCOp,$L669)="مرجوعی فروش",IF(INDEX(SCAmount,$L669)=0,"",-INDEX(SCAmount,$L669)),""),IF($M669&lt;&gt;"",IF(INDEX(LdgDepB,$M669)=0,"",INDEX(LdgDepB,$M669)),""))</f>
        <v/>
      </c>
      <c r="I669" s="22">
        <f>IF($B669="","",IF($I668="",$C$10,$I668)+IF($G669="",0,$G669)-IF($H669="",0,$H669))</f>
        <v/>
      </c>
      <c r="L669">
        <f>IFERROR(MATCH($C$5&amp;"|"&amp;RIGHT("000000"&amp;653,6),LdgRankKeyA,0),"")</f>
        <v/>
      </c>
      <c r="M669">
        <f>IFERROR(MATCH($C$5&amp;"|"&amp;RIGHT("000000"&amp;653,6),LdgRankKeyB,0),"")</f>
        <v/>
      </c>
    </row>
    <row r="670">
      <c r="A670" s="23" t="n">
        <v>654</v>
      </c>
      <c r="B670" s="24">
        <f>IF(AND($L670="",$M670=""),"",IF($L670&lt;&gt;"",INDEX(SCNormDate,$L670),INDEX(LdgDateB,$M670)))</f>
        <v/>
      </c>
      <c r="C670" s="24">
        <f>IF($L670&lt;&gt;"",INDEX(SCOp,$L670),IF($M670&lt;&gt;"","پرداخت بانکی",""))</f>
        <v/>
      </c>
      <c r="D670" s="24">
        <f>IF($L670&lt;&gt;"",IF(INDEX(SCDoc,$L670)="","—",INDEX(SCDoc,$L670)),IF($M670&lt;&gt;"",INDEX(LdgBankB,$M670),""))</f>
        <v/>
      </c>
      <c r="E670" s="25">
        <f>IF($L670&lt;&gt;"",IF(INDEX(SCCitrus,$L670)&amp;INDEX(SCNotes,$L670)="","",IF(INDEX(SCCitrus,$L670)="","",INDEX(SCCitrus,$L670))&amp;IF(INDEX(SCNotes,$L670)="",""," — "&amp;INDEX(SCNotes,$L670))),IF($M670&lt;&gt;"",IF(INDEX(LdgNoteB,$M670)="","—",INDEX(LdgNoteB,$M670)),""))</f>
        <v/>
      </c>
      <c r="F670" s="26">
        <f>IF($L670&lt;&gt;"",IF(INDEX(SCNet,$L670)=0,"",INDEX(SCNet,$L670)),"")</f>
        <v/>
      </c>
      <c r="G670" s="27">
        <f>IF($L670&lt;&gt;"",IF(INDEX(SCOp,$L670)="مرجوعی فروش","",IF(INDEX(SCAmount,$L670)&lt;=0,"",INDEX(SCAmount,$L670))),IF($M670&lt;&gt;"",IF(INDEX(LdgWitB,$M670)=0,"",INDEX(LdgWitB,$M670)),""))</f>
        <v/>
      </c>
      <c r="H670" s="27">
        <f>IF($L670&lt;&gt;"",IF(INDEX(SCOp,$L670)="مرجوعی فروش",IF(INDEX(SCAmount,$L670)=0,"",-INDEX(SCAmount,$L670)),""),IF($M670&lt;&gt;"",IF(INDEX(LdgDepB,$M670)=0,"",INDEX(LdgDepB,$M670)),""))</f>
        <v/>
      </c>
      <c r="I670" s="28">
        <f>IF($B670="","",IF($I669="",$C$10,$I669)+IF($G670="",0,$G670)-IF($H670="",0,$H670))</f>
        <v/>
      </c>
      <c r="L670">
        <f>IFERROR(MATCH($C$5&amp;"|"&amp;RIGHT("000000"&amp;654,6),LdgRankKeyA,0),"")</f>
        <v/>
      </c>
      <c r="M670">
        <f>IFERROR(MATCH($C$5&amp;"|"&amp;RIGHT("000000"&amp;654,6),LdgRankKeyB,0),"")</f>
        <v/>
      </c>
    </row>
    <row r="671">
      <c r="A671" s="17" t="n">
        <v>655</v>
      </c>
      <c r="B671" s="18">
        <f>IF(AND($L671="",$M671=""),"",IF($L671&lt;&gt;"",INDEX(SCNormDate,$L671),INDEX(LdgDateB,$M671)))</f>
        <v/>
      </c>
      <c r="C671" s="18">
        <f>IF($L671&lt;&gt;"",INDEX(SCOp,$L671),IF($M671&lt;&gt;"","پرداخت بانکی",""))</f>
        <v/>
      </c>
      <c r="D671" s="18">
        <f>IF($L671&lt;&gt;"",IF(INDEX(SCDoc,$L671)="","—",INDEX(SCDoc,$L671)),IF($M671&lt;&gt;"",INDEX(LdgBankB,$M671),""))</f>
        <v/>
      </c>
      <c r="E671" s="19">
        <f>IF($L671&lt;&gt;"",IF(INDEX(SCCitrus,$L671)&amp;INDEX(SCNotes,$L671)="","",IF(INDEX(SCCitrus,$L671)="","",INDEX(SCCitrus,$L671))&amp;IF(INDEX(SCNotes,$L671)="",""," — "&amp;INDEX(SCNotes,$L671))),IF($M671&lt;&gt;"",IF(INDEX(LdgNoteB,$M671)="","—",INDEX(LdgNoteB,$M671)),""))</f>
        <v/>
      </c>
      <c r="F671" s="20">
        <f>IF($L671&lt;&gt;"",IF(INDEX(SCNet,$L671)=0,"",INDEX(SCNet,$L671)),"")</f>
        <v/>
      </c>
      <c r="G671" s="21">
        <f>IF($L671&lt;&gt;"",IF(INDEX(SCOp,$L671)="مرجوعی فروش","",IF(INDEX(SCAmount,$L671)&lt;=0,"",INDEX(SCAmount,$L671))),IF($M671&lt;&gt;"",IF(INDEX(LdgWitB,$M671)=0,"",INDEX(LdgWitB,$M671)),""))</f>
        <v/>
      </c>
      <c r="H671" s="21">
        <f>IF($L671&lt;&gt;"",IF(INDEX(SCOp,$L671)="مرجوعی فروش",IF(INDEX(SCAmount,$L671)=0,"",-INDEX(SCAmount,$L671)),""),IF($M671&lt;&gt;"",IF(INDEX(LdgDepB,$M671)=0,"",INDEX(LdgDepB,$M671)),""))</f>
        <v/>
      </c>
      <c r="I671" s="22">
        <f>IF($B671="","",IF($I670="",$C$10,$I670)+IF($G671="",0,$G671)-IF($H671="",0,$H671))</f>
        <v/>
      </c>
      <c r="L671">
        <f>IFERROR(MATCH($C$5&amp;"|"&amp;RIGHT("000000"&amp;655,6),LdgRankKeyA,0),"")</f>
        <v/>
      </c>
      <c r="M671">
        <f>IFERROR(MATCH($C$5&amp;"|"&amp;RIGHT("000000"&amp;655,6),LdgRankKeyB,0),"")</f>
        <v/>
      </c>
    </row>
    <row r="672">
      <c r="A672" s="23" t="n">
        <v>656</v>
      </c>
      <c r="B672" s="24">
        <f>IF(AND($L672="",$M672=""),"",IF($L672&lt;&gt;"",INDEX(SCNormDate,$L672),INDEX(LdgDateB,$M672)))</f>
        <v/>
      </c>
      <c r="C672" s="24">
        <f>IF($L672&lt;&gt;"",INDEX(SCOp,$L672),IF($M672&lt;&gt;"","پرداخت بانکی",""))</f>
        <v/>
      </c>
      <c r="D672" s="24">
        <f>IF($L672&lt;&gt;"",IF(INDEX(SCDoc,$L672)="","—",INDEX(SCDoc,$L672)),IF($M672&lt;&gt;"",INDEX(LdgBankB,$M672),""))</f>
        <v/>
      </c>
      <c r="E672" s="25">
        <f>IF($L672&lt;&gt;"",IF(INDEX(SCCitrus,$L672)&amp;INDEX(SCNotes,$L672)="","",IF(INDEX(SCCitrus,$L672)="","",INDEX(SCCitrus,$L672))&amp;IF(INDEX(SCNotes,$L672)="",""," — "&amp;INDEX(SCNotes,$L672))),IF($M672&lt;&gt;"",IF(INDEX(LdgNoteB,$M672)="","—",INDEX(LdgNoteB,$M672)),""))</f>
        <v/>
      </c>
      <c r="F672" s="26">
        <f>IF($L672&lt;&gt;"",IF(INDEX(SCNet,$L672)=0,"",INDEX(SCNet,$L672)),"")</f>
        <v/>
      </c>
      <c r="G672" s="27">
        <f>IF($L672&lt;&gt;"",IF(INDEX(SCOp,$L672)="مرجوعی فروش","",IF(INDEX(SCAmount,$L672)&lt;=0,"",INDEX(SCAmount,$L672))),IF($M672&lt;&gt;"",IF(INDEX(LdgWitB,$M672)=0,"",INDEX(LdgWitB,$M672)),""))</f>
        <v/>
      </c>
      <c r="H672" s="27">
        <f>IF($L672&lt;&gt;"",IF(INDEX(SCOp,$L672)="مرجوعی فروش",IF(INDEX(SCAmount,$L672)=0,"",-INDEX(SCAmount,$L672)),""),IF($M672&lt;&gt;"",IF(INDEX(LdgDepB,$M672)=0,"",INDEX(LdgDepB,$M672)),""))</f>
        <v/>
      </c>
      <c r="I672" s="28">
        <f>IF($B672="","",IF($I671="",$C$10,$I671)+IF($G672="",0,$G672)-IF($H672="",0,$H672))</f>
        <v/>
      </c>
      <c r="L672">
        <f>IFERROR(MATCH($C$5&amp;"|"&amp;RIGHT("000000"&amp;656,6),LdgRankKeyA,0),"")</f>
        <v/>
      </c>
      <c r="M672">
        <f>IFERROR(MATCH($C$5&amp;"|"&amp;RIGHT("000000"&amp;656,6),LdgRankKeyB,0),"")</f>
        <v/>
      </c>
    </row>
    <row r="673">
      <c r="A673" s="17" t="n">
        <v>657</v>
      </c>
      <c r="B673" s="18">
        <f>IF(AND($L673="",$M673=""),"",IF($L673&lt;&gt;"",INDEX(SCNormDate,$L673),INDEX(LdgDateB,$M673)))</f>
        <v/>
      </c>
      <c r="C673" s="18">
        <f>IF($L673&lt;&gt;"",INDEX(SCOp,$L673),IF($M673&lt;&gt;"","پرداخت بانکی",""))</f>
        <v/>
      </c>
      <c r="D673" s="18">
        <f>IF($L673&lt;&gt;"",IF(INDEX(SCDoc,$L673)="","—",INDEX(SCDoc,$L673)),IF($M673&lt;&gt;"",INDEX(LdgBankB,$M673),""))</f>
        <v/>
      </c>
      <c r="E673" s="19">
        <f>IF($L673&lt;&gt;"",IF(INDEX(SCCitrus,$L673)&amp;INDEX(SCNotes,$L673)="","",IF(INDEX(SCCitrus,$L673)="","",INDEX(SCCitrus,$L673))&amp;IF(INDEX(SCNotes,$L673)="",""," — "&amp;INDEX(SCNotes,$L673))),IF($M673&lt;&gt;"",IF(INDEX(LdgNoteB,$M673)="","—",INDEX(LdgNoteB,$M673)),""))</f>
        <v/>
      </c>
      <c r="F673" s="20">
        <f>IF($L673&lt;&gt;"",IF(INDEX(SCNet,$L673)=0,"",INDEX(SCNet,$L673)),"")</f>
        <v/>
      </c>
      <c r="G673" s="21">
        <f>IF($L673&lt;&gt;"",IF(INDEX(SCOp,$L673)="مرجوعی فروش","",IF(INDEX(SCAmount,$L673)&lt;=0,"",INDEX(SCAmount,$L673))),IF($M673&lt;&gt;"",IF(INDEX(LdgWitB,$M673)=0,"",INDEX(LdgWitB,$M673)),""))</f>
        <v/>
      </c>
      <c r="H673" s="21">
        <f>IF($L673&lt;&gt;"",IF(INDEX(SCOp,$L673)="مرجوعی فروش",IF(INDEX(SCAmount,$L673)=0,"",-INDEX(SCAmount,$L673)),""),IF($M673&lt;&gt;"",IF(INDEX(LdgDepB,$M673)=0,"",INDEX(LdgDepB,$M673)),""))</f>
        <v/>
      </c>
      <c r="I673" s="22">
        <f>IF($B673="","",IF($I672="",$C$10,$I672)+IF($G673="",0,$G673)-IF($H673="",0,$H673))</f>
        <v/>
      </c>
      <c r="L673">
        <f>IFERROR(MATCH($C$5&amp;"|"&amp;RIGHT("000000"&amp;657,6),LdgRankKeyA,0),"")</f>
        <v/>
      </c>
      <c r="M673">
        <f>IFERROR(MATCH($C$5&amp;"|"&amp;RIGHT("000000"&amp;657,6),LdgRankKeyB,0),"")</f>
        <v/>
      </c>
    </row>
    <row r="674">
      <c r="A674" s="23" t="n">
        <v>658</v>
      </c>
      <c r="B674" s="24">
        <f>IF(AND($L674="",$M674=""),"",IF($L674&lt;&gt;"",INDEX(SCNormDate,$L674),INDEX(LdgDateB,$M674)))</f>
        <v/>
      </c>
      <c r="C674" s="24">
        <f>IF($L674&lt;&gt;"",INDEX(SCOp,$L674),IF($M674&lt;&gt;"","پرداخت بانکی",""))</f>
        <v/>
      </c>
      <c r="D674" s="24">
        <f>IF($L674&lt;&gt;"",IF(INDEX(SCDoc,$L674)="","—",INDEX(SCDoc,$L674)),IF($M674&lt;&gt;"",INDEX(LdgBankB,$M674),""))</f>
        <v/>
      </c>
      <c r="E674" s="25">
        <f>IF($L674&lt;&gt;"",IF(INDEX(SCCitrus,$L674)&amp;INDEX(SCNotes,$L674)="","",IF(INDEX(SCCitrus,$L674)="","",INDEX(SCCitrus,$L674))&amp;IF(INDEX(SCNotes,$L674)="",""," — "&amp;INDEX(SCNotes,$L674))),IF($M674&lt;&gt;"",IF(INDEX(LdgNoteB,$M674)="","—",INDEX(LdgNoteB,$M674)),""))</f>
        <v/>
      </c>
      <c r="F674" s="26">
        <f>IF($L674&lt;&gt;"",IF(INDEX(SCNet,$L674)=0,"",INDEX(SCNet,$L674)),"")</f>
        <v/>
      </c>
      <c r="G674" s="27">
        <f>IF($L674&lt;&gt;"",IF(INDEX(SCOp,$L674)="مرجوعی فروش","",IF(INDEX(SCAmount,$L674)&lt;=0,"",INDEX(SCAmount,$L674))),IF($M674&lt;&gt;"",IF(INDEX(LdgWitB,$M674)=0,"",INDEX(LdgWitB,$M674)),""))</f>
        <v/>
      </c>
      <c r="H674" s="27">
        <f>IF($L674&lt;&gt;"",IF(INDEX(SCOp,$L674)="مرجوعی فروش",IF(INDEX(SCAmount,$L674)=0,"",-INDEX(SCAmount,$L674)),""),IF($M674&lt;&gt;"",IF(INDEX(LdgDepB,$M674)=0,"",INDEX(LdgDepB,$M674)),""))</f>
        <v/>
      </c>
      <c r="I674" s="28">
        <f>IF($B674="","",IF($I673="",$C$10,$I673)+IF($G674="",0,$G674)-IF($H674="",0,$H674))</f>
        <v/>
      </c>
      <c r="L674">
        <f>IFERROR(MATCH($C$5&amp;"|"&amp;RIGHT("000000"&amp;658,6),LdgRankKeyA,0),"")</f>
        <v/>
      </c>
      <c r="M674">
        <f>IFERROR(MATCH($C$5&amp;"|"&amp;RIGHT("000000"&amp;658,6),LdgRankKeyB,0),"")</f>
        <v/>
      </c>
    </row>
    <row r="675">
      <c r="A675" s="17" t="n">
        <v>659</v>
      </c>
      <c r="B675" s="18">
        <f>IF(AND($L675="",$M675=""),"",IF($L675&lt;&gt;"",INDEX(SCNormDate,$L675),INDEX(LdgDateB,$M675)))</f>
        <v/>
      </c>
      <c r="C675" s="18">
        <f>IF($L675&lt;&gt;"",INDEX(SCOp,$L675),IF($M675&lt;&gt;"","پرداخت بانکی",""))</f>
        <v/>
      </c>
      <c r="D675" s="18">
        <f>IF($L675&lt;&gt;"",IF(INDEX(SCDoc,$L675)="","—",INDEX(SCDoc,$L675)),IF($M675&lt;&gt;"",INDEX(LdgBankB,$M675),""))</f>
        <v/>
      </c>
      <c r="E675" s="19">
        <f>IF($L675&lt;&gt;"",IF(INDEX(SCCitrus,$L675)&amp;INDEX(SCNotes,$L675)="","",IF(INDEX(SCCitrus,$L675)="","",INDEX(SCCitrus,$L675))&amp;IF(INDEX(SCNotes,$L675)="",""," — "&amp;INDEX(SCNotes,$L675))),IF($M675&lt;&gt;"",IF(INDEX(LdgNoteB,$M675)="","—",INDEX(LdgNoteB,$M675)),""))</f>
        <v/>
      </c>
      <c r="F675" s="20">
        <f>IF($L675&lt;&gt;"",IF(INDEX(SCNet,$L675)=0,"",INDEX(SCNet,$L675)),"")</f>
        <v/>
      </c>
      <c r="G675" s="21">
        <f>IF($L675&lt;&gt;"",IF(INDEX(SCOp,$L675)="مرجوعی فروش","",IF(INDEX(SCAmount,$L675)&lt;=0,"",INDEX(SCAmount,$L675))),IF($M675&lt;&gt;"",IF(INDEX(LdgWitB,$M675)=0,"",INDEX(LdgWitB,$M675)),""))</f>
        <v/>
      </c>
      <c r="H675" s="21">
        <f>IF($L675&lt;&gt;"",IF(INDEX(SCOp,$L675)="مرجوعی فروش",IF(INDEX(SCAmount,$L675)=0,"",-INDEX(SCAmount,$L675)),""),IF($M675&lt;&gt;"",IF(INDEX(LdgDepB,$M675)=0,"",INDEX(LdgDepB,$M675)),""))</f>
        <v/>
      </c>
      <c r="I675" s="22">
        <f>IF($B675="","",IF($I674="",$C$10,$I674)+IF($G675="",0,$G675)-IF($H675="",0,$H675))</f>
        <v/>
      </c>
      <c r="L675">
        <f>IFERROR(MATCH($C$5&amp;"|"&amp;RIGHT("000000"&amp;659,6),LdgRankKeyA,0),"")</f>
        <v/>
      </c>
      <c r="M675">
        <f>IFERROR(MATCH($C$5&amp;"|"&amp;RIGHT("000000"&amp;659,6),LdgRankKeyB,0),"")</f>
        <v/>
      </c>
    </row>
    <row r="676">
      <c r="A676" s="23" t="n">
        <v>660</v>
      </c>
      <c r="B676" s="24">
        <f>IF(AND($L676="",$M676=""),"",IF($L676&lt;&gt;"",INDEX(SCNormDate,$L676),INDEX(LdgDateB,$M676)))</f>
        <v/>
      </c>
      <c r="C676" s="24">
        <f>IF($L676&lt;&gt;"",INDEX(SCOp,$L676),IF($M676&lt;&gt;"","پرداخت بانکی",""))</f>
        <v/>
      </c>
      <c r="D676" s="24">
        <f>IF($L676&lt;&gt;"",IF(INDEX(SCDoc,$L676)="","—",INDEX(SCDoc,$L676)),IF($M676&lt;&gt;"",INDEX(LdgBankB,$M676),""))</f>
        <v/>
      </c>
      <c r="E676" s="25">
        <f>IF($L676&lt;&gt;"",IF(INDEX(SCCitrus,$L676)&amp;INDEX(SCNotes,$L676)="","",IF(INDEX(SCCitrus,$L676)="","",INDEX(SCCitrus,$L676))&amp;IF(INDEX(SCNotes,$L676)="",""," — "&amp;INDEX(SCNotes,$L676))),IF($M676&lt;&gt;"",IF(INDEX(LdgNoteB,$M676)="","—",INDEX(LdgNoteB,$M676)),""))</f>
        <v/>
      </c>
      <c r="F676" s="26">
        <f>IF($L676&lt;&gt;"",IF(INDEX(SCNet,$L676)=0,"",INDEX(SCNet,$L676)),"")</f>
        <v/>
      </c>
      <c r="G676" s="27">
        <f>IF($L676&lt;&gt;"",IF(INDEX(SCOp,$L676)="مرجوعی فروش","",IF(INDEX(SCAmount,$L676)&lt;=0,"",INDEX(SCAmount,$L676))),IF($M676&lt;&gt;"",IF(INDEX(LdgWitB,$M676)=0,"",INDEX(LdgWitB,$M676)),""))</f>
        <v/>
      </c>
      <c r="H676" s="27">
        <f>IF($L676&lt;&gt;"",IF(INDEX(SCOp,$L676)="مرجوعی فروش",IF(INDEX(SCAmount,$L676)=0,"",-INDEX(SCAmount,$L676)),""),IF($M676&lt;&gt;"",IF(INDEX(LdgDepB,$M676)=0,"",INDEX(LdgDepB,$M676)),""))</f>
        <v/>
      </c>
      <c r="I676" s="28">
        <f>IF($B676="","",IF($I675="",$C$10,$I675)+IF($G676="",0,$G676)-IF($H676="",0,$H676))</f>
        <v/>
      </c>
      <c r="L676">
        <f>IFERROR(MATCH($C$5&amp;"|"&amp;RIGHT("000000"&amp;660,6),LdgRankKeyA,0),"")</f>
        <v/>
      </c>
      <c r="M676">
        <f>IFERROR(MATCH($C$5&amp;"|"&amp;RIGHT("000000"&amp;660,6),LdgRankKeyB,0),"")</f>
        <v/>
      </c>
    </row>
    <row r="677">
      <c r="A677" s="17" t="n">
        <v>661</v>
      </c>
      <c r="B677" s="18">
        <f>IF(AND($L677="",$M677=""),"",IF($L677&lt;&gt;"",INDEX(SCNormDate,$L677),INDEX(LdgDateB,$M677)))</f>
        <v/>
      </c>
      <c r="C677" s="18">
        <f>IF($L677&lt;&gt;"",INDEX(SCOp,$L677),IF($M677&lt;&gt;"","پرداخت بانکی",""))</f>
        <v/>
      </c>
      <c r="D677" s="18">
        <f>IF($L677&lt;&gt;"",IF(INDEX(SCDoc,$L677)="","—",INDEX(SCDoc,$L677)),IF($M677&lt;&gt;"",INDEX(LdgBankB,$M677),""))</f>
        <v/>
      </c>
      <c r="E677" s="19">
        <f>IF($L677&lt;&gt;"",IF(INDEX(SCCitrus,$L677)&amp;INDEX(SCNotes,$L677)="","",IF(INDEX(SCCitrus,$L677)="","",INDEX(SCCitrus,$L677))&amp;IF(INDEX(SCNotes,$L677)="",""," — "&amp;INDEX(SCNotes,$L677))),IF($M677&lt;&gt;"",IF(INDEX(LdgNoteB,$M677)="","—",INDEX(LdgNoteB,$M677)),""))</f>
        <v/>
      </c>
      <c r="F677" s="20">
        <f>IF($L677&lt;&gt;"",IF(INDEX(SCNet,$L677)=0,"",INDEX(SCNet,$L677)),"")</f>
        <v/>
      </c>
      <c r="G677" s="21">
        <f>IF($L677&lt;&gt;"",IF(INDEX(SCOp,$L677)="مرجوعی فروش","",IF(INDEX(SCAmount,$L677)&lt;=0,"",INDEX(SCAmount,$L677))),IF($M677&lt;&gt;"",IF(INDEX(LdgWitB,$M677)=0,"",INDEX(LdgWitB,$M677)),""))</f>
        <v/>
      </c>
      <c r="H677" s="21">
        <f>IF($L677&lt;&gt;"",IF(INDEX(SCOp,$L677)="مرجوعی فروش",IF(INDEX(SCAmount,$L677)=0,"",-INDEX(SCAmount,$L677)),""),IF($M677&lt;&gt;"",IF(INDEX(LdgDepB,$M677)=0,"",INDEX(LdgDepB,$M677)),""))</f>
        <v/>
      </c>
      <c r="I677" s="22">
        <f>IF($B677="","",IF($I676="",$C$10,$I676)+IF($G677="",0,$G677)-IF($H677="",0,$H677))</f>
        <v/>
      </c>
      <c r="L677">
        <f>IFERROR(MATCH($C$5&amp;"|"&amp;RIGHT("000000"&amp;661,6),LdgRankKeyA,0),"")</f>
        <v/>
      </c>
      <c r="M677">
        <f>IFERROR(MATCH($C$5&amp;"|"&amp;RIGHT("000000"&amp;661,6),LdgRankKeyB,0),"")</f>
        <v/>
      </c>
    </row>
    <row r="678">
      <c r="A678" s="23" t="n">
        <v>662</v>
      </c>
      <c r="B678" s="24">
        <f>IF(AND($L678="",$M678=""),"",IF($L678&lt;&gt;"",INDEX(SCNormDate,$L678),INDEX(LdgDateB,$M678)))</f>
        <v/>
      </c>
      <c r="C678" s="24">
        <f>IF($L678&lt;&gt;"",INDEX(SCOp,$L678),IF($M678&lt;&gt;"","پرداخت بانکی",""))</f>
        <v/>
      </c>
      <c r="D678" s="24">
        <f>IF($L678&lt;&gt;"",IF(INDEX(SCDoc,$L678)="","—",INDEX(SCDoc,$L678)),IF($M678&lt;&gt;"",INDEX(LdgBankB,$M678),""))</f>
        <v/>
      </c>
      <c r="E678" s="25">
        <f>IF($L678&lt;&gt;"",IF(INDEX(SCCitrus,$L678)&amp;INDEX(SCNotes,$L678)="","",IF(INDEX(SCCitrus,$L678)="","",INDEX(SCCitrus,$L678))&amp;IF(INDEX(SCNotes,$L678)="",""," — "&amp;INDEX(SCNotes,$L678))),IF($M678&lt;&gt;"",IF(INDEX(LdgNoteB,$M678)="","—",INDEX(LdgNoteB,$M678)),""))</f>
        <v/>
      </c>
      <c r="F678" s="26">
        <f>IF($L678&lt;&gt;"",IF(INDEX(SCNet,$L678)=0,"",INDEX(SCNet,$L678)),"")</f>
        <v/>
      </c>
      <c r="G678" s="27">
        <f>IF($L678&lt;&gt;"",IF(INDEX(SCOp,$L678)="مرجوعی فروش","",IF(INDEX(SCAmount,$L678)&lt;=0,"",INDEX(SCAmount,$L678))),IF($M678&lt;&gt;"",IF(INDEX(LdgWitB,$M678)=0,"",INDEX(LdgWitB,$M678)),""))</f>
        <v/>
      </c>
      <c r="H678" s="27">
        <f>IF($L678&lt;&gt;"",IF(INDEX(SCOp,$L678)="مرجوعی فروش",IF(INDEX(SCAmount,$L678)=0,"",-INDEX(SCAmount,$L678)),""),IF($M678&lt;&gt;"",IF(INDEX(LdgDepB,$M678)=0,"",INDEX(LdgDepB,$M678)),""))</f>
        <v/>
      </c>
      <c r="I678" s="28">
        <f>IF($B678="","",IF($I677="",$C$10,$I677)+IF($G678="",0,$G678)-IF($H678="",0,$H678))</f>
        <v/>
      </c>
      <c r="L678">
        <f>IFERROR(MATCH($C$5&amp;"|"&amp;RIGHT("000000"&amp;662,6),LdgRankKeyA,0),"")</f>
        <v/>
      </c>
      <c r="M678">
        <f>IFERROR(MATCH($C$5&amp;"|"&amp;RIGHT("000000"&amp;662,6),LdgRankKeyB,0),"")</f>
        <v/>
      </c>
    </row>
    <row r="679">
      <c r="A679" s="17" t="n">
        <v>663</v>
      </c>
      <c r="B679" s="18">
        <f>IF(AND($L679="",$M679=""),"",IF($L679&lt;&gt;"",INDEX(SCNormDate,$L679),INDEX(LdgDateB,$M679)))</f>
        <v/>
      </c>
      <c r="C679" s="18">
        <f>IF($L679&lt;&gt;"",INDEX(SCOp,$L679),IF($M679&lt;&gt;"","پرداخت بانکی",""))</f>
        <v/>
      </c>
      <c r="D679" s="18">
        <f>IF($L679&lt;&gt;"",IF(INDEX(SCDoc,$L679)="","—",INDEX(SCDoc,$L679)),IF($M679&lt;&gt;"",INDEX(LdgBankB,$M679),""))</f>
        <v/>
      </c>
      <c r="E679" s="19">
        <f>IF($L679&lt;&gt;"",IF(INDEX(SCCitrus,$L679)&amp;INDEX(SCNotes,$L679)="","",IF(INDEX(SCCitrus,$L679)="","",INDEX(SCCitrus,$L679))&amp;IF(INDEX(SCNotes,$L679)="",""," — "&amp;INDEX(SCNotes,$L679))),IF($M679&lt;&gt;"",IF(INDEX(LdgNoteB,$M679)="","—",INDEX(LdgNoteB,$M679)),""))</f>
        <v/>
      </c>
      <c r="F679" s="20">
        <f>IF($L679&lt;&gt;"",IF(INDEX(SCNet,$L679)=0,"",INDEX(SCNet,$L679)),"")</f>
        <v/>
      </c>
      <c r="G679" s="21">
        <f>IF($L679&lt;&gt;"",IF(INDEX(SCOp,$L679)="مرجوعی فروش","",IF(INDEX(SCAmount,$L679)&lt;=0,"",INDEX(SCAmount,$L679))),IF($M679&lt;&gt;"",IF(INDEX(LdgWitB,$M679)=0,"",INDEX(LdgWitB,$M679)),""))</f>
        <v/>
      </c>
      <c r="H679" s="21">
        <f>IF($L679&lt;&gt;"",IF(INDEX(SCOp,$L679)="مرجوعی فروش",IF(INDEX(SCAmount,$L679)=0,"",-INDEX(SCAmount,$L679)),""),IF($M679&lt;&gt;"",IF(INDEX(LdgDepB,$M679)=0,"",INDEX(LdgDepB,$M679)),""))</f>
        <v/>
      </c>
      <c r="I679" s="22">
        <f>IF($B679="","",IF($I678="",$C$10,$I678)+IF($G679="",0,$G679)-IF($H679="",0,$H679))</f>
        <v/>
      </c>
      <c r="L679">
        <f>IFERROR(MATCH($C$5&amp;"|"&amp;RIGHT("000000"&amp;663,6),LdgRankKeyA,0),"")</f>
        <v/>
      </c>
      <c r="M679">
        <f>IFERROR(MATCH($C$5&amp;"|"&amp;RIGHT("000000"&amp;663,6),LdgRankKeyB,0),"")</f>
        <v/>
      </c>
    </row>
    <row r="680">
      <c r="A680" s="23" t="n">
        <v>664</v>
      </c>
      <c r="B680" s="24">
        <f>IF(AND($L680="",$M680=""),"",IF($L680&lt;&gt;"",INDEX(SCNormDate,$L680),INDEX(LdgDateB,$M680)))</f>
        <v/>
      </c>
      <c r="C680" s="24">
        <f>IF($L680&lt;&gt;"",INDEX(SCOp,$L680),IF($M680&lt;&gt;"","پرداخت بانکی",""))</f>
        <v/>
      </c>
      <c r="D680" s="24">
        <f>IF($L680&lt;&gt;"",IF(INDEX(SCDoc,$L680)="","—",INDEX(SCDoc,$L680)),IF($M680&lt;&gt;"",INDEX(LdgBankB,$M680),""))</f>
        <v/>
      </c>
      <c r="E680" s="25">
        <f>IF($L680&lt;&gt;"",IF(INDEX(SCCitrus,$L680)&amp;INDEX(SCNotes,$L680)="","",IF(INDEX(SCCitrus,$L680)="","",INDEX(SCCitrus,$L680))&amp;IF(INDEX(SCNotes,$L680)="",""," — "&amp;INDEX(SCNotes,$L680))),IF($M680&lt;&gt;"",IF(INDEX(LdgNoteB,$M680)="","—",INDEX(LdgNoteB,$M680)),""))</f>
        <v/>
      </c>
      <c r="F680" s="26">
        <f>IF($L680&lt;&gt;"",IF(INDEX(SCNet,$L680)=0,"",INDEX(SCNet,$L680)),"")</f>
        <v/>
      </c>
      <c r="G680" s="27">
        <f>IF($L680&lt;&gt;"",IF(INDEX(SCOp,$L680)="مرجوعی فروش","",IF(INDEX(SCAmount,$L680)&lt;=0,"",INDEX(SCAmount,$L680))),IF($M680&lt;&gt;"",IF(INDEX(LdgWitB,$M680)=0,"",INDEX(LdgWitB,$M680)),""))</f>
        <v/>
      </c>
      <c r="H680" s="27">
        <f>IF($L680&lt;&gt;"",IF(INDEX(SCOp,$L680)="مرجوعی فروش",IF(INDEX(SCAmount,$L680)=0,"",-INDEX(SCAmount,$L680)),""),IF($M680&lt;&gt;"",IF(INDEX(LdgDepB,$M680)=0,"",INDEX(LdgDepB,$M680)),""))</f>
        <v/>
      </c>
      <c r="I680" s="28">
        <f>IF($B680="","",IF($I679="",$C$10,$I679)+IF($G680="",0,$G680)-IF($H680="",0,$H680))</f>
        <v/>
      </c>
      <c r="L680">
        <f>IFERROR(MATCH($C$5&amp;"|"&amp;RIGHT("000000"&amp;664,6),LdgRankKeyA,0),"")</f>
        <v/>
      </c>
      <c r="M680">
        <f>IFERROR(MATCH($C$5&amp;"|"&amp;RIGHT("000000"&amp;664,6),LdgRankKeyB,0),"")</f>
        <v/>
      </c>
    </row>
    <row r="681">
      <c r="A681" s="17" t="n">
        <v>665</v>
      </c>
      <c r="B681" s="18">
        <f>IF(AND($L681="",$M681=""),"",IF($L681&lt;&gt;"",INDEX(SCNormDate,$L681),INDEX(LdgDateB,$M681)))</f>
        <v/>
      </c>
      <c r="C681" s="18">
        <f>IF($L681&lt;&gt;"",INDEX(SCOp,$L681),IF($M681&lt;&gt;"","پرداخت بانکی",""))</f>
        <v/>
      </c>
      <c r="D681" s="18">
        <f>IF($L681&lt;&gt;"",IF(INDEX(SCDoc,$L681)="","—",INDEX(SCDoc,$L681)),IF($M681&lt;&gt;"",INDEX(LdgBankB,$M681),""))</f>
        <v/>
      </c>
      <c r="E681" s="19">
        <f>IF($L681&lt;&gt;"",IF(INDEX(SCCitrus,$L681)&amp;INDEX(SCNotes,$L681)="","",IF(INDEX(SCCitrus,$L681)="","",INDEX(SCCitrus,$L681))&amp;IF(INDEX(SCNotes,$L681)="",""," — "&amp;INDEX(SCNotes,$L681))),IF($M681&lt;&gt;"",IF(INDEX(LdgNoteB,$M681)="","—",INDEX(LdgNoteB,$M681)),""))</f>
        <v/>
      </c>
      <c r="F681" s="20">
        <f>IF($L681&lt;&gt;"",IF(INDEX(SCNet,$L681)=0,"",INDEX(SCNet,$L681)),"")</f>
        <v/>
      </c>
      <c r="G681" s="21">
        <f>IF($L681&lt;&gt;"",IF(INDEX(SCOp,$L681)="مرجوعی فروش","",IF(INDEX(SCAmount,$L681)&lt;=0,"",INDEX(SCAmount,$L681))),IF($M681&lt;&gt;"",IF(INDEX(LdgWitB,$M681)=0,"",INDEX(LdgWitB,$M681)),""))</f>
        <v/>
      </c>
      <c r="H681" s="21">
        <f>IF($L681&lt;&gt;"",IF(INDEX(SCOp,$L681)="مرجوعی فروش",IF(INDEX(SCAmount,$L681)=0,"",-INDEX(SCAmount,$L681)),""),IF($M681&lt;&gt;"",IF(INDEX(LdgDepB,$M681)=0,"",INDEX(LdgDepB,$M681)),""))</f>
        <v/>
      </c>
      <c r="I681" s="22">
        <f>IF($B681="","",IF($I680="",$C$10,$I680)+IF($G681="",0,$G681)-IF($H681="",0,$H681))</f>
        <v/>
      </c>
      <c r="L681">
        <f>IFERROR(MATCH($C$5&amp;"|"&amp;RIGHT("000000"&amp;665,6),LdgRankKeyA,0),"")</f>
        <v/>
      </c>
      <c r="M681">
        <f>IFERROR(MATCH($C$5&amp;"|"&amp;RIGHT("000000"&amp;665,6),LdgRankKeyB,0),"")</f>
        <v/>
      </c>
    </row>
    <row r="682">
      <c r="A682" s="23" t="n">
        <v>666</v>
      </c>
      <c r="B682" s="24">
        <f>IF(AND($L682="",$M682=""),"",IF($L682&lt;&gt;"",INDEX(SCNormDate,$L682),INDEX(LdgDateB,$M682)))</f>
        <v/>
      </c>
      <c r="C682" s="24">
        <f>IF($L682&lt;&gt;"",INDEX(SCOp,$L682),IF($M682&lt;&gt;"","پرداخت بانکی",""))</f>
        <v/>
      </c>
      <c r="D682" s="24">
        <f>IF($L682&lt;&gt;"",IF(INDEX(SCDoc,$L682)="","—",INDEX(SCDoc,$L682)),IF($M682&lt;&gt;"",INDEX(LdgBankB,$M682),""))</f>
        <v/>
      </c>
      <c r="E682" s="25">
        <f>IF($L682&lt;&gt;"",IF(INDEX(SCCitrus,$L682)&amp;INDEX(SCNotes,$L682)="","",IF(INDEX(SCCitrus,$L682)="","",INDEX(SCCitrus,$L682))&amp;IF(INDEX(SCNotes,$L682)="",""," — "&amp;INDEX(SCNotes,$L682))),IF($M682&lt;&gt;"",IF(INDEX(LdgNoteB,$M682)="","—",INDEX(LdgNoteB,$M682)),""))</f>
        <v/>
      </c>
      <c r="F682" s="26">
        <f>IF($L682&lt;&gt;"",IF(INDEX(SCNet,$L682)=0,"",INDEX(SCNet,$L682)),"")</f>
        <v/>
      </c>
      <c r="G682" s="27">
        <f>IF($L682&lt;&gt;"",IF(INDEX(SCOp,$L682)="مرجوعی فروش","",IF(INDEX(SCAmount,$L682)&lt;=0,"",INDEX(SCAmount,$L682))),IF($M682&lt;&gt;"",IF(INDEX(LdgWitB,$M682)=0,"",INDEX(LdgWitB,$M682)),""))</f>
        <v/>
      </c>
      <c r="H682" s="27">
        <f>IF($L682&lt;&gt;"",IF(INDEX(SCOp,$L682)="مرجوعی فروش",IF(INDEX(SCAmount,$L682)=0,"",-INDEX(SCAmount,$L682)),""),IF($M682&lt;&gt;"",IF(INDEX(LdgDepB,$M682)=0,"",INDEX(LdgDepB,$M682)),""))</f>
        <v/>
      </c>
      <c r="I682" s="28">
        <f>IF($B682="","",IF($I681="",$C$10,$I681)+IF($G682="",0,$G682)-IF($H682="",0,$H682))</f>
        <v/>
      </c>
      <c r="L682">
        <f>IFERROR(MATCH($C$5&amp;"|"&amp;RIGHT("000000"&amp;666,6),LdgRankKeyA,0),"")</f>
        <v/>
      </c>
      <c r="M682">
        <f>IFERROR(MATCH($C$5&amp;"|"&amp;RIGHT("000000"&amp;666,6),LdgRankKeyB,0),"")</f>
        <v/>
      </c>
    </row>
    <row r="683">
      <c r="A683" s="17" t="n">
        <v>667</v>
      </c>
      <c r="B683" s="18">
        <f>IF(AND($L683="",$M683=""),"",IF($L683&lt;&gt;"",INDEX(SCNormDate,$L683),INDEX(LdgDateB,$M683)))</f>
        <v/>
      </c>
      <c r="C683" s="18">
        <f>IF($L683&lt;&gt;"",INDEX(SCOp,$L683),IF($M683&lt;&gt;"","پرداخت بانکی",""))</f>
        <v/>
      </c>
      <c r="D683" s="18">
        <f>IF($L683&lt;&gt;"",IF(INDEX(SCDoc,$L683)="","—",INDEX(SCDoc,$L683)),IF($M683&lt;&gt;"",INDEX(LdgBankB,$M683),""))</f>
        <v/>
      </c>
      <c r="E683" s="19">
        <f>IF($L683&lt;&gt;"",IF(INDEX(SCCitrus,$L683)&amp;INDEX(SCNotes,$L683)="","",IF(INDEX(SCCitrus,$L683)="","",INDEX(SCCitrus,$L683))&amp;IF(INDEX(SCNotes,$L683)="",""," — "&amp;INDEX(SCNotes,$L683))),IF($M683&lt;&gt;"",IF(INDEX(LdgNoteB,$M683)="","—",INDEX(LdgNoteB,$M683)),""))</f>
        <v/>
      </c>
      <c r="F683" s="20">
        <f>IF($L683&lt;&gt;"",IF(INDEX(SCNet,$L683)=0,"",INDEX(SCNet,$L683)),"")</f>
        <v/>
      </c>
      <c r="G683" s="21">
        <f>IF($L683&lt;&gt;"",IF(INDEX(SCOp,$L683)="مرجوعی فروش","",IF(INDEX(SCAmount,$L683)&lt;=0,"",INDEX(SCAmount,$L683))),IF($M683&lt;&gt;"",IF(INDEX(LdgWitB,$M683)=0,"",INDEX(LdgWitB,$M683)),""))</f>
        <v/>
      </c>
      <c r="H683" s="21">
        <f>IF($L683&lt;&gt;"",IF(INDEX(SCOp,$L683)="مرجوعی فروش",IF(INDEX(SCAmount,$L683)=0,"",-INDEX(SCAmount,$L683)),""),IF($M683&lt;&gt;"",IF(INDEX(LdgDepB,$M683)=0,"",INDEX(LdgDepB,$M683)),""))</f>
        <v/>
      </c>
      <c r="I683" s="22">
        <f>IF($B683="","",IF($I682="",$C$10,$I682)+IF($G683="",0,$G683)-IF($H683="",0,$H683))</f>
        <v/>
      </c>
      <c r="L683">
        <f>IFERROR(MATCH($C$5&amp;"|"&amp;RIGHT("000000"&amp;667,6),LdgRankKeyA,0),"")</f>
        <v/>
      </c>
      <c r="M683">
        <f>IFERROR(MATCH($C$5&amp;"|"&amp;RIGHT("000000"&amp;667,6),LdgRankKeyB,0),"")</f>
        <v/>
      </c>
    </row>
    <row r="684">
      <c r="A684" s="23" t="n">
        <v>668</v>
      </c>
      <c r="B684" s="24">
        <f>IF(AND($L684="",$M684=""),"",IF($L684&lt;&gt;"",INDEX(SCNormDate,$L684),INDEX(LdgDateB,$M684)))</f>
        <v/>
      </c>
      <c r="C684" s="24">
        <f>IF($L684&lt;&gt;"",INDEX(SCOp,$L684),IF($M684&lt;&gt;"","پرداخت بانکی",""))</f>
        <v/>
      </c>
      <c r="D684" s="24">
        <f>IF($L684&lt;&gt;"",IF(INDEX(SCDoc,$L684)="","—",INDEX(SCDoc,$L684)),IF($M684&lt;&gt;"",INDEX(LdgBankB,$M684),""))</f>
        <v/>
      </c>
      <c r="E684" s="25">
        <f>IF($L684&lt;&gt;"",IF(INDEX(SCCitrus,$L684)&amp;INDEX(SCNotes,$L684)="","",IF(INDEX(SCCitrus,$L684)="","",INDEX(SCCitrus,$L684))&amp;IF(INDEX(SCNotes,$L684)="",""," — "&amp;INDEX(SCNotes,$L684))),IF($M684&lt;&gt;"",IF(INDEX(LdgNoteB,$M684)="","—",INDEX(LdgNoteB,$M684)),""))</f>
        <v/>
      </c>
      <c r="F684" s="26">
        <f>IF($L684&lt;&gt;"",IF(INDEX(SCNet,$L684)=0,"",INDEX(SCNet,$L684)),"")</f>
        <v/>
      </c>
      <c r="G684" s="27">
        <f>IF($L684&lt;&gt;"",IF(INDEX(SCOp,$L684)="مرجوعی فروش","",IF(INDEX(SCAmount,$L684)&lt;=0,"",INDEX(SCAmount,$L684))),IF($M684&lt;&gt;"",IF(INDEX(LdgWitB,$M684)=0,"",INDEX(LdgWitB,$M684)),""))</f>
        <v/>
      </c>
      <c r="H684" s="27">
        <f>IF($L684&lt;&gt;"",IF(INDEX(SCOp,$L684)="مرجوعی فروش",IF(INDEX(SCAmount,$L684)=0,"",-INDEX(SCAmount,$L684)),""),IF($M684&lt;&gt;"",IF(INDEX(LdgDepB,$M684)=0,"",INDEX(LdgDepB,$M684)),""))</f>
        <v/>
      </c>
      <c r="I684" s="28">
        <f>IF($B684="","",IF($I683="",$C$10,$I683)+IF($G684="",0,$G684)-IF($H684="",0,$H684))</f>
        <v/>
      </c>
      <c r="L684">
        <f>IFERROR(MATCH($C$5&amp;"|"&amp;RIGHT("000000"&amp;668,6),LdgRankKeyA,0),"")</f>
        <v/>
      </c>
      <c r="M684">
        <f>IFERROR(MATCH($C$5&amp;"|"&amp;RIGHT("000000"&amp;668,6),LdgRankKeyB,0),"")</f>
        <v/>
      </c>
    </row>
    <row r="685">
      <c r="A685" s="17" t="n">
        <v>669</v>
      </c>
      <c r="B685" s="18">
        <f>IF(AND($L685="",$M685=""),"",IF($L685&lt;&gt;"",INDEX(SCNormDate,$L685),INDEX(LdgDateB,$M685)))</f>
        <v/>
      </c>
      <c r="C685" s="18">
        <f>IF($L685&lt;&gt;"",INDEX(SCOp,$L685),IF($M685&lt;&gt;"","پرداخت بانکی",""))</f>
        <v/>
      </c>
      <c r="D685" s="18">
        <f>IF($L685&lt;&gt;"",IF(INDEX(SCDoc,$L685)="","—",INDEX(SCDoc,$L685)),IF($M685&lt;&gt;"",INDEX(LdgBankB,$M685),""))</f>
        <v/>
      </c>
      <c r="E685" s="19">
        <f>IF($L685&lt;&gt;"",IF(INDEX(SCCitrus,$L685)&amp;INDEX(SCNotes,$L685)="","",IF(INDEX(SCCitrus,$L685)="","",INDEX(SCCitrus,$L685))&amp;IF(INDEX(SCNotes,$L685)="",""," — "&amp;INDEX(SCNotes,$L685))),IF($M685&lt;&gt;"",IF(INDEX(LdgNoteB,$M685)="","—",INDEX(LdgNoteB,$M685)),""))</f>
        <v/>
      </c>
      <c r="F685" s="20">
        <f>IF($L685&lt;&gt;"",IF(INDEX(SCNet,$L685)=0,"",INDEX(SCNet,$L685)),"")</f>
        <v/>
      </c>
      <c r="G685" s="21">
        <f>IF($L685&lt;&gt;"",IF(INDEX(SCOp,$L685)="مرجوعی فروش","",IF(INDEX(SCAmount,$L685)&lt;=0,"",INDEX(SCAmount,$L685))),IF($M685&lt;&gt;"",IF(INDEX(LdgWitB,$M685)=0,"",INDEX(LdgWitB,$M685)),""))</f>
        <v/>
      </c>
      <c r="H685" s="21">
        <f>IF($L685&lt;&gt;"",IF(INDEX(SCOp,$L685)="مرجوعی فروش",IF(INDEX(SCAmount,$L685)=0,"",-INDEX(SCAmount,$L685)),""),IF($M685&lt;&gt;"",IF(INDEX(LdgDepB,$M685)=0,"",INDEX(LdgDepB,$M685)),""))</f>
        <v/>
      </c>
      <c r="I685" s="22">
        <f>IF($B685="","",IF($I684="",$C$10,$I684)+IF($G685="",0,$G685)-IF($H685="",0,$H685))</f>
        <v/>
      </c>
      <c r="L685">
        <f>IFERROR(MATCH($C$5&amp;"|"&amp;RIGHT("000000"&amp;669,6),LdgRankKeyA,0),"")</f>
        <v/>
      </c>
      <c r="M685">
        <f>IFERROR(MATCH($C$5&amp;"|"&amp;RIGHT("000000"&amp;669,6),LdgRankKeyB,0),"")</f>
        <v/>
      </c>
    </row>
    <row r="686">
      <c r="A686" s="23" t="n">
        <v>670</v>
      </c>
      <c r="B686" s="24">
        <f>IF(AND($L686="",$M686=""),"",IF($L686&lt;&gt;"",INDEX(SCNormDate,$L686),INDEX(LdgDateB,$M686)))</f>
        <v/>
      </c>
      <c r="C686" s="24">
        <f>IF($L686&lt;&gt;"",INDEX(SCOp,$L686),IF($M686&lt;&gt;"","پرداخت بانکی",""))</f>
        <v/>
      </c>
      <c r="D686" s="24">
        <f>IF($L686&lt;&gt;"",IF(INDEX(SCDoc,$L686)="","—",INDEX(SCDoc,$L686)),IF($M686&lt;&gt;"",INDEX(LdgBankB,$M686),""))</f>
        <v/>
      </c>
      <c r="E686" s="25">
        <f>IF($L686&lt;&gt;"",IF(INDEX(SCCitrus,$L686)&amp;INDEX(SCNotes,$L686)="","",IF(INDEX(SCCitrus,$L686)="","",INDEX(SCCitrus,$L686))&amp;IF(INDEX(SCNotes,$L686)="",""," — "&amp;INDEX(SCNotes,$L686))),IF($M686&lt;&gt;"",IF(INDEX(LdgNoteB,$M686)="","—",INDEX(LdgNoteB,$M686)),""))</f>
        <v/>
      </c>
      <c r="F686" s="26">
        <f>IF($L686&lt;&gt;"",IF(INDEX(SCNet,$L686)=0,"",INDEX(SCNet,$L686)),"")</f>
        <v/>
      </c>
      <c r="G686" s="27">
        <f>IF($L686&lt;&gt;"",IF(INDEX(SCOp,$L686)="مرجوعی فروش","",IF(INDEX(SCAmount,$L686)&lt;=0,"",INDEX(SCAmount,$L686))),IF($M686&lt;&gt;"",IF(INDEX(LdgWitB,$M686)=0,"",INDEX(LdgWitB,$M686)),""))</f>
        <v/>
      </c>
      <c r="H686" s="27">
        <f>IF($L686&lt;&gt;"",IF(INDEX(SCOp,$L686)="مرجوعی فروش",IF(INDEX(SCAmount,$L686)=0,"",-INDEX(SCAmount,$L686)),""),IF($M686&lt;&gt;"",IF(INDEX(LdgDepB,$M686)=0,"",INDEX(LdgDepB,$M686)),""))</f>
        <v/>
      </c>
      <c r="I686" s="28">
        <f>IF($B686="","",IF($I685="",$C$10,$I685)+IF($G686="",0,$G686)-IF($H686="",0,$H686))</f>
        <v/>
      </c>
      <c r="L686">
        <f>IFERROR(MATCH($C$5&amp;"|"&amp;RIGHT("000000"&amp;670,6),LdgRankKeyA,0),"")</f>
        <v/>
      </c>
      <c r="M686">
        <f>IFERROR(MATCH($C$5&amp;"|"&amp;RIGHT("000000"&amp;670,6),LdgRankKeyB,0),"")</f>
        <v/>
      </c>
    </row>
    <row r="687">
      <c r="A687" s="17" t="n">
        <v>671</v>
      </c>
      <c r="B687" s="18">
        <f>IF(AND($L687="",$M687=""),"",IF($L687&lt;&gt;"",INDEX(SCNormDate,$L687),INDEX(LdgDateB,$M687)))</f>
        <v/>
      </c>
      <c r="C687" s="18">
        <f>IF($L687&lt;&gt;"",INDEX(SCOp,$L687),IF($M687&lt;&gt;"","پرداخت بانکی",""))</f>
        <v/>
      </c>
      <c r="D687" s="18">
        <f>IF($L687&lt;&gt;"",IF(INDEX(SCDoc,$L687)="","—",INDEX(SCDoc,$L687)),IF($M687&lt;&gt;"",INDEX(LdgBankB,$M687),""))</f>
        <v/>
      </c>
      <c r="E687" s="19">
        <f>IF($L687&lt;&gt;"",IF(INDEX(SCCitrus,$L687)&amp;INDEX(SCNotes,$L687)="","",IF(INDEX(SCCitrus,$L687)="","",INDEX(SCCitrus,$L687))&amp;IF(INDEX(SCNotes,$L687)="",""," — "&amp;INDEX(SCNotes,$L687))),IF($M687&lt;&gt;"",IF(INDEX(LdgNoteB,$M687)="","—",INDEX(LdgNoteB,$M687)),""))</f>
        <v/>
      </c>
      <c r="F687" s="20">
        <f>IF($L687&lt;&gt;"",IF(INDEX(SCNet,$L687)=0,"",INDEX(SCNet,$L687)),"")</f>
        <v/>
      </c>
      <c r="G687" s="21">
        <f>IF($L687&lt;&gt;"",IF(INDEX(SCOp,$L687)="مرجوعی فروش","",IF(INDEX(SCAmount,$L687)&lt;=0,"",INDEX(SCAmount,$L687))),IF($M687&lt;&gt;"",IF(INDEX(LdgWitB,$M687)=0,"",INDEX(LdgWitB,$M687)),""))</f>
        <v/>
      </c>
      <c r="H687" s="21">
        <f>IF($L687&lt;&gt;"",IF(INDEX(SCOp,$L687)="مرجوعی فروش",IF(INDEX(SCAmount,$L687)=0,"",-INDEX(SCAmount,$L687)),""),IF($M687&lt;&gt;"",IF(INDEX(LdgDepB,$M687)=0,"",INDEX(LdgDepB,$M687)),""))</f>
        <v/>
      </c>
      <c r="I687" s="22">
        <f>IF($B687="","",IF($I686="",$C$10,$I686)+IF($G687="",0,$G687)-IF($H687="",0,$H687))</f>
        <v/>
      </c>
      <c r="L687">
        <f>IFERROR(MATCH($C$5&amp;"|"&amp;RIGHT("000000"&amp;671,6),LdgRankKeyA,0),"")</f>
        <v/>
      </c>
      <c r="M687">
        <f>IFERROR(MATCH($C$5&amp;"|"&amp;RIGHT("000000"&amp;671,6),LdgRankKeyB,0),"")</f>
        <v/>
      </c>
    </row>
    <row r="688">
      <c r="A688" s="23" t="n">
        <v>672</v>
      </c>
      <c r="B688" s="24">
        <f>IF(AND($L688="",$M688=""),"",IF($L688&lt;&gt;"",INDEX(SCNormDate,$L688),INDEX(LdgDateB,$M688)))</f>
        <v/>
      </c>
      <c r="C688" s="24">
        <f>IF($L688&lt;&gt;"",INDEX(SCOp,$L688),IF($M688&lt;&gt;"","پرداخت بانکی",""))</f>
        <v/>
      </c>
      <c r="D688" s="24">
        <f>IF($L688&lt;&gt;"",IF(INDEX(SCDoc,$L688)="","—",INDEX(SCDoc,$L688)),IF($M688&lt;&gt;"",INDEX(LdgBankB,$M688),""))</f>
        <v/>
      </c>
      <c r="E688" s="25">
        <f>IF($L688&lt;&gt;"",IF(INDEX(SCCitrus,$L688)&amp;INDEX(SCNotes,$L688)="","",IF(INDEX(SCCitrus,$L688)="","",INDEX(SCCitrus,$L688))&amp;IF(INDEX(SCNotes,$L688)="",""," — "&amp;INDEX(SCNotes,$L688))),IF($M688&lt;&gt;"",IF(INDEX(LdgNoteB,$M688)="","—",INDEX(LdgNoteB,$M688)),""))</f>
        <v/>
      </c>
      <c r="F688" s="26">
        <f>IF($L688&lt;&gt;"",IF(INDEX(SCNet,$L688)=0,"",INDEX(SCNet,$L688)),"")</f>
        <v/>
      </c>
      <c r="G688" s="27">
        <f>IF($L688&lt;&gt;"",IF(INDEX(SCOp,$L688)="مرجوعی فروش","",IF(INDEX(SCAmount,$L688)&lt;=0,"",INDEX(SCAmount,$L688))),IF($M688&lt;&gt;"",IF(INDEX(LdgWitB,$M688)=0,"",INDEX(LdgWitB,$M688)),""))</f>
        <v/>
      </c>
      <c r="H688" s="27">
        <f>IF($L688&lt;&gt;"",IF(INDEX(SCOp,$L688)="مرجوعی فروش",IF(INDEX(SCAmount,$L688)=0,"",-INDEX(SCAmount,$L688)),""),IF($M688&lt;&gt;"",IF(INDEX(LdgDepB,$M688)=0,"",INDEX(LdgDepB,$M688)),""))</f>
        <v/>
      </c>
      <c r="I688" s="28">
        <f>IF($B688="","",IF($I687="",$C$10,$I687)+IF($G688="",0,$G688)-IF($H688="",0,$H688))</f>
        <v/>
      </c>
      <c r="L688">
        <f>IFERROR(MATCH($C$5&amp;"|"&amp;RIGHT("000000"&amp;672,6),LdgRankKeyA,0),"")</f>
        <v/>
      </c>
      <c r="M688">
        <f>IFERROR(MATCH($C$5&amp;"|"&amp;RIGHT("000000"&amp;672,6),LdgRankKeyB,0),"")</f>
        <v/>
      </c>
    </row>
    <row r="689">
      <c r="A689" s="17" t="n">
        <v>673</v>
      </c>
      <c r="B689" s="18">
        <f>IF(AND($L689="",$M689=""),"",IF($L689&lt;&gt;"",INDEX(SCNormDate,$L689),INDEX(LdgDateB,$M689)))</f>
        <v/>
      </c>
      <c r="C689" s="18">
        <f>IF($L689&lt;&gt;"",INDEX(SCOp,$L689),IF($M689&lt;&gt;"","پرداخت بانکی",""))</f>
        <v/>
      </c>
      <c r="D689" s="18">
        <f>IF($L689&lt;&gt;"",IF(INDEX(SCDoc,$L689)="","—",INDEX(SCDoc,$L689)),IF($M689&lt;&gt;"",INDEX(LdgBankB,$M689),""))</f>
        <v/>
      </c>
      <c r="E689" s="19">
        <f>IF($L689&lt;&gt;"",IF(INDEX(SCCitrus,$L689)&amp;INDEX(SCNotes,$L689)="","",IF(INDEX(SCCitrus,$L689)="","",INDEX(SCCitrus,$L689))&amp;IF(INDEX(SCNotes,$L689)="",""," — "&amp;INDEX(SCNotes,$L689))),IF($M689&lt;&gt;"",IF(INDEX(LdgNoteB,$M689)="","—",INDEX(LdgNoteB,$M689)),""))</f>
        <v/>
      </c>
      <c r="F689" s="20">
        <f>IF($L689&lt;&gt;"",IF(INDEX(SCNet,$L689)=0,"",INDEX(SCNet,$L689)),"")</f>
        <v/>
      </c>
      <c r="G689" s="21">
        <f>IF($L689&lt;&gt;"",IF(INDEX(SCOp,$L689)="مرجوعی فروش","",IF(INDEX(SCAmount,$L689)&lt;=0,"",INDEX(SCAmount,$L689))),IF($M689&lt;&gt;"",IF(INDEX(LdgWitB,$M689)=0,"",INDEX(LdgWitB,$M689)),""))</f>
        <v/>
      </c>
      <c r="H689" s="21">
        <f>IF($L689&lt;&gt;"",IF(INDEX(SCOp,$L689)="مرجوعی فروش",IF(INDEX(SCAmount,$L689)=0,"",-INDEX(SCAmount,$L689)),""),IF($M689&lt;&gt;"",IF(INDEX(LdgDepB,$M689)=0,"",INDEX(LdgDepB,$M689)),""))</f>
        <v/>
      </c>
      <c r="I689" s="22">
        <f>IF($B689="","",IF($I688="",$C$10,$I688)+IF($G689="",0,$G689)-IF($H689="",0,$H689))</f>
        <v/>
      </c>
      <c r="L689">
        <f>IFERROR(MATCH($C$5&amp;"|"&amp;RIGHT("000000"&amp;673,6),LdgRankKeyA,0),"")</f>
        <v/>
      </c>
      <c r="M689">
        <f>IFERROR(MATCH($C$5&amp;"|"&amp;RIGHT("000000"&amp;673,6),LdgRankKeyB,0),"")</f>
        <v/>
      </c>
    </row>
    <row r="690">
      <c r="A690" s="23" t="n">
        <v>674</v>
      </c>
      <c r="B690" s="24">
        <f>IF(AND($L690="",$M690=""),"",IF($L690&lt;&gt;"",INDEX(SCNormDate,$L690),INDEX(LdgDateB,$M690)))</f>
        <v/>
      </c>
      <c r="C690" s="24">
        <f>IF($L690&lt;&gt;"",INDEX(SCOp,$L690),IF($M690&lt;&gt;"","پرداخت بانکی",""))</f>
        <v/>
      </c>
      <c r="D690" s="24">
        <f>IF($L690&lt;&gt;"",IF(INDEX(SCDoc,$L690)="","—",INDEX(SCDoc,$L690)),IF($M690&lt;&gt;"",INDEX(LdgBankB,$M690),""))</f>
        <v/>
      </c>
      <c r="E690" s="25">
        <f>IF($L690&lt;&gt;"",IF(INDEX(SCCitrus,$L690)&amp;INDEX(SCNotes,$L690)="","",IF(INDEX(SCCitrus,$L690)="","",INDEX(SCCitrus,$L690))&amp;IF(INDEX(SCNotes,$L690)="",""," — "&amp;INDEX(SCNotes,$L690))),IF($M690&lt;&gt;"",IF(INDEX(LdgNoteB,$M690)="","—",INDEX(LdgNoteB,$M690)),""))</f>
        <v/>
      </c>
      <c r="F690" s="26">
        <f>IF($L690&lt;&gt;"",IF(INDEX(SCNet,$L690)=0,"",INDEX(SCNet,$L690)),"")</f>
        <v/>
      </c>
      <c r="G690" s="27">
        <f>IF($L690&lt;&gt;"",IF(INDEX(SCOp,$L690)="مرجوعی فروش","",IF(INDEX(SCAmount,$L690)&lt;=0,"",INDEX(SCAmount,$L690))),IF($M690&lt;&gt;"",IF(INDEX(LdgWitB,$M690)=0,"",INDEX(LdgWitB,$M690)),""))</f>
        <v/>
      </c>
      <c r="H690" s="27">
        <f>IF($L690&lt;&gt;"",IF(INDEX(SCOp,$L690)="مرجوعی فروش",IF(INDEX(SCAmount,$L690)=0,"",-INDEX(SCAmount,$L690)),""),IF($M690&lt;&gt;"",IF(INDEX(LdgDepB,$M690)=0,"",INDEX(LdgDepB,$M690)),""))</f>
        <v/>
      </c>
      <c r="I690" s="28">
        <f>IF($B690="","",IF($I689="",$C$10,$I689)+IF($G690="",0,$G690)-IF($H690="",0,$H690))</f>
        <v/>
      </c>
      <c r="L690">
        <f>IFERROR(MATCH($C$5&amp;"|"&amp;RIGHT("000000"&amp;674,6),LdgRankKeyA,0),"")</f>
        <v/>
      </c>
      <c r="M690">
        <f>IFERROR(MATCH($C$5&amp;"|"&amp;RIGHT("000000"&amp;674,6),LdgRankKeyB,0),"")</f>
        <v/>
      </c>
    </row>
    <row r="691">
      <c r="A691" s="17" t="n">
        <v>675</v>
      </c>
      <c r="B691" s="18">
        <f>IF(AND($L691="",$M691=""),"",IF($L691&lt;&gt;"",INDEX(SCNormDate,$L691),INDEX(LdgDateB,$M691)))</f>
        <v/>
      </c>
      <c r="C691" s="18">
        <f>IF($L691&lt;&gt;"",INDEX(SCOp,$L691),IF($M691&lt;&gt;"","پرداخت بانکی",""))</f>
        <v/>
      </c>
      <c r="D691" s="18">
        <f>IF($L691&lt;&gt;"",IF(INDEX(SCDoc,$L691)="","—",INDEX(SCDoc,$L691)),IF($M691&lt;&gt;"",INDEX(LdgBankB,$M691),""))</f>
        <v/>
      </c>
      <c r="E691" s="19">
        <f>IF($L691&lt;&gt;"",IF(INDEX(SCCitrus,$L691)&amp;INDEX(SCNotes,$L691)="","",IF(INDEX(SCCitrus,$L691)="","",INDEX(SCCitrus,$L691))&amp;IF(INDEX(SCNotes,$L691)="",""," — "&amp;INDEX(SCNotes,$L691))),IF($M691&lt;&gt;"",IF(INDEX(LdgNoteB,$M691)="","—",INDEX(LdgNoteB,$M691)),""))</f>
        <v/>
      </c>
      <c r="F691" s="20">
        <f>IF($L691&lt;&gt;"",IF(INDEX(SCNet,$L691)=0,"",INDEX(SCNet,$L691)),"")</f>
        <v/>
      </c>
      <c r="G691" s="21">
        <f>IF($L691&lt;&gt;"",IF(INDEX(SCOp,$L691)="مرجوعی فروش","",IF(INDEX(SCAmount,$L691)&lt;=0,"",INDEX(SCAmount,$L691))),IF($M691&lt;&gt;"",IF(INDEX(LdgWitB,$M691)=0,"",INDEX(LdgWitB,$M691)),""))</f>
        <v/>
      </c>
      <c r="H691" s="21">
        <f>IF($L691&lt;&gt;"",IF(INDEX(SCOp,$L691)="مرجوعی فروش",IF(INDEX(SCAmount,$L691)=0,"",-INDEX(SCAmount,$L691)),""),IF($M691&lt;&gt;"",IF(INDEX(LdgDepB,$M691)=0,"",INDEX(LdgDepB,$M691)),""))</f>
        <v/>
      </c>
      <c r="I691" s="22">
        <f>IF($B691="","",IF($I690="",$C$10,$I690)+IF($G691="",0,$G691)-IF($H691="",0,$H691))</f>
        <v/>
      </c>
      <c r="L691">
        <f>IFERROR(MATCH($C$5&amp;"|"&amp;RIGHT("000000"&amp;675,6),LdgRankKeyA,0),"")</f>
        <v/>
      </c>
      <c r="M691">
        <f>IFERROR(MATCH($C$5&amp;"|"&amp;RIGHT("000000"&amp;675,6),LdgRankKeyB,0),"")</f>
        <v/>
      </c>
    </row>
    <row r="692">
      <c r="A692" s="23" t="n">
        <v>676</v>
      </c>
      <c r="B692" s="24">
        <f>IF(AND($L692="",$M692=""),"",IF($L692&lt;&gt;"",INDEX(SCNormDate,$L692),INDEX(LdgDateB,$M692)))</f>
        <v/>
      </c>
      <c r="C692" s="24">
        <f>IF($L692&lt;&gt;"",INDEX(SCOp,$L692),IF($M692&lt;&gt;"","پرداخت بانکی",""))</f>
        <v/>
      </c>
      <c r="D692" s="24">
        <f>IF($L692&lt;&gt;"",IF(INDEX(SCDoc,$L692)="","—",INDEX(SCDoc,$L692)),IF($M692&lt;&gt;"",INDEX(LdgBankB,$M692),""))</f>
        <v/>
      </c>
      <c r="E692" s="25">
        <f>IF($L692&lt;&gt;"",IF(INDEX(SCCitrus,$L692)&amp;INDEX(SCNotes,$L692)="","",IF(INDEX(SCCitrus,$L692)="","",INDEX(SCCitrus,$L692))&amp;IF(INDEX(SCNotes,$L692)="",""," — "&amp;INDEX(SCNotes,$L692))),IF($M692&lt;&gt;"",IF(INDEX(LdgNoteB,$M692)="","—",INDEX(LdgNoteB,$M692)),""))</f>
        <v/>
      </c>
      <c r="F692" s="26">
        <f>IF($L692&lt;&gt;"",IF(INDEX(SCNet,$L692)=0,"",INDEX(SCNet,$L692)),"")</f>
        <v/>
      </c>
      <c r="G692" s="27">
        <f>IF($L692&lt;&gt;"",IF(INDEX(SCOp,$L692)="مرجوعی فروش","",IF(INDEX(SCAmount,$L692)&lt;=0,"",INDEX(SCAmount,$L692))),IF($M692&lt;&gt;"",IF(INDEX(LdgWitB,$M692)=0,"",INDEX(LdgWitB,$M692)),""))</f>
        <v/>
      </c>
      <c r="H692" s="27">
        <f>IF($L692&lt;&gt;"",IF(INDEX(SCOp,$L692)="مرجوعی فروش",IF(INDEX(SCAmount,$L692)=0,"",-INDEX(SCAmount,$L692)),""),IF($M692&lt;&gt;"",IF(INDEX(LdgDepB,$M692)=0,"",INDEX(LdgDepB,$M692)),""))</f>
        <v/>
      </c>
      <c r="I692" s="28">
        <f>IF($B692="","",IF($I691="",$C$10,$I691)+IF($G692="",0,$G692)-IF($H692="",0,$H692))</f>
        <v/>
      </c>
      <c r="L692">
        <f>IFERROR(MATCH($C$5&amp;"|"&amp;RIGHT("000000"&amp;676,6),LdgRankKeyA,0),"")</f>
        <v/>
      </c>
      <c r="M692">
        <f>IFERROR(MATCH($C$5&amp;"|"&amp;RIGHT("000000"&amp;676,6),LdgRankKeyB,0),"")</f>
        <v/>
      </c>
    </row>
    <row r="693">
      <c r="A693" s="17" t="n">
        <v>677</v>
      </c>
      <c r="B693" s="18">
        <f>IF(AND($L693="",$M693=""),"",IF($L693&lt;&gt;"",INDEX(SCNormDate,$L693),INDEX(LdgDateB,$M693)))</f>
        <v/>
      </c>
      <c r="C693" s="18">
        <f>IF($L693&lt;&gt;"",INDEX(SCOp,$L693),IF($M693&lt;&gt;"","پرداخت بانکی",""))</f>
        <v/>
      </c>
      <c r="D693" s="18">
        <f>IF($L693&lt;&gt;"",IF(INDEX(SCDoc,$L693)="","—",INDEX(SCDoc,$L693)),IF($M693&lt;&gt;"",INDEX(LdgBankB,$M693),""))</f>
        <v/>
      </c>
      <c r="E693" s="19">
        <f>IF($L693&lt;&gt;"",IF(INDEX(SCCitrus,$L693)&amp;INDEX(SCNotes,$L693)="","",IF(INDEX(SCCitrus,$L693)="","",INDEX(SCCitrus,$L693))&amp;IF(INDEX(SCNotes,$L693)="",""," — "&amp;INDEX(SCNotes,$L693))),IF($M693&lt;&gt;"",IF(INDEX(LdgNoteB,$M693)="","—",INDEX(LdgNoteB,$M693)),""))</f>
        <v/>
      </c>
      <c r="F693" s="20">
        <f>IF($L693&lt;&gt;"",IF(INDEX(SCNet,$L693)=0,"",INDEX(SCNet,$L693)),"")</f>
        <v/>
      </c>
      <c r="G693" s="21">
        <f>IF($L693&lt;&gt;"",IF(INDEX(SCOp,$L693)="مرجوعی فروش","",IF(INDEX(SCAmount,$L693)&lt;=0,"",INDEX(SCAmount,$L693))),IF($M693&lt;&gt;"",IF(INDEX(LdgWitB,$M693)=0,"",INDEX(LdgWitB,$M693)),""))</f>
        <v/>
      </c>
      <c r="H693" s="21">
        <f>IF($L693&lt;&gt;"",IF(INDEX(SCOp,$L693)="مرجوعی فروش",IF(INDEX(SCAmount,$L693)=0,"",-INDEX(SCAmount,$L693)),""),IF($M693&lt;&gt;"",IF(INDEX(LdgDepB,$M693)=0,"",INDEX(LdgDepB,$M693)),""))</f>
        <v/>
      </c>
      <c r="I693" s="22">
        <f>IF($B693="","",IF($I692="",$C$10,$I692)+IF($G693="",0,$G693)-IF($H693="",0,$H693))</f>
        <v/>
      </c>
      <c r="L693">
        <f>IFERROR(MATCH($C$5&amp;"|"&amp;RIGHT("000000"&amp;677,6),LdgRankKeyA,0),"")</f>
        <v/>
      </c>
      <c r="M693">
        <f>IFERROR(MATCH($C$5&amp;"|"&amp;RIGHT("000000"&amp;677,6),LdgRankKeyB,0),"")</f>
        <v/>
      </c>
    </row>
    <row r="694">
      <c r="A694" s="23" t="n">
        <v>678</v>
      </c>
      <c r="B694" s="24">
        <f>IF(AND($L694="",$M694=""),"",IF($L694&lt;&gt;"",INDEX(SCNormDate,$L694),INDEX(LdgDateB,$M694)))</f>
        <v/>
      </c>
      <c r="C694" s="24">
        <f>IF($L694&lt;&gt;"",INDEX(SCOp,$L694),IF($M694&lt;&gt;"","پرداخت بانکی",""))</f>
        <v/>
      </c>
      <c r="D694" s="24">
        <f>IF($L694&lt;&gt;"",IF(INDEX(SCDoc,$L694)="","—",INDEX(SCDoc,$L694)),IF($M694&lt;&gt;"",INDEX(LdgBankB,$M694),""))</f>
        <v/>
      </c>
      <c r="E694" s="25">
        <f>IF($L694&lt;&gt;"",IF(INDEX(SCCitrus,$L694)&amp;INDEX(SCNotes,$L694)="","",IF(INDEX(SCCitrus,$L694)="","",INDEX(SCCitrus,$L694))&amp;IF(INDEX(SCNotes,$L694)="",""," — "&amp;INDEX(SCNotes,$L694))),IF($M694&lt;&gt;"",IF(INDEX(LdgNoteB,$M694)="","—",INDEX(LdgNoteB,$M694)),""))</f>
        <v/>
      </c>
      <c r="F694" s="26">
        <f>IF($L694&lt;&gt;"",IF(INDEX(SCNet,$L694)=0,"",INDEX(SCNet,$L694)),"")</f>
        <v/>
      </c>
      <c r="G694" s="27">
        <f>IF($L694&lt;&gt;"",IF(INDEX(SCOp,$L694)="مرجوعی فروش","",IF(INDEX(SCAmount,$L694)&lt;=0,"",INDEX(SCAmount,$L694))),IF($M694&lt;&gt;"",IF(INDEX(LdgWitB,$M694)=0,"",INDEX(LdgWitB,$M694)),""))</f>
        <v/>
      </c>
      <c r="H694" s="27">
        <f>IF($L694&lt;&gt;"",IF(INDEX(SCOp,$L694)="مرجوعی فروش",IF(INDEX(SCAmount,$L694)=0,"",-INDEX(SCAmount,$L694)),""),IF($M694&lt;&gt;"",IF(INDEX(LdgDepB,$M694)=0,"",INDEX(LdgDepB,$M694)),""))</f>
        <v/>
      </c>
      <c r="I694" s="28">
        <f>IF($B694="","",IF($I693="",$C$10,$I693)+IF($G694="",0,$G694)-IF($H694="",0,$H694))</f>
        <v/>
      </c>
      <c r="L694">
        <f>IFERROR(MATCH($C$5&amp;"|"&amp;RIGHT("000000"&amp;678,6),LdgRankKeyA,0),"")</f>
        <v/>
      </c>
      <c r="M694">
        <f>IFERROR(MATCH($C$5&amp;"|"&amp;RIGHT("000000"&amp;678,6),LdgRankKeyB,0),"")</f>
        <v/>
      </c>
    </row>
    <row r="695">
      <c r="A695" s="17" t="n">
        <v>679</v>
      </c>
      <c r="B695" s="18">
        <f>IF(AND($L695="",$M695=""),"",IF($L695&lt;&gt;"",INDEX(SCNormDate,$L695),INDEX(LdgDateB,$M695)))</f>
        <v/>
      </c>
      <c r="C695" s="18">
        <f>IF($L695&lt;&gt;"",INDEX(SCOp,$L695),IF($M695&lt;&gt;"","پرداخت بانکی",""))</f>
        <v/>
      </c>
      <c r="D695" s="18">
        <f>IF($L695&lt;&gt;"",IF(INDEX(SCDoc,$L695)="","—",INDEX(SCDoc,$L695)),IF($M695&lt;&gt;"",INDEX(LdgBankB,$M695),""))</f>
        <v/>
      </c>
      <c r="E695" s="19">
        <f>IF($L695&lt;&gt;"",IF(INDEX(SCCitrus,$L695)&amp;INDEX(SCNotes,$L695)="","",IF(INDEX(SCCitrus,$L695)="","",INDEX(SCCitrus,$L695))&amp;IF(INDEX(SCNotes,$L695)="",""," — "&amp;INDEX(SCNotes,$L695))),IF($M695&lt;&gt;"",IF(INDEX(LdgNoteB,$M695)="","—",INDEX(LdgNoteB,$M695)),""))</f>
        <v/>
      </c>
      <c r="F695" s="20">
        <f>IF($L695&lt;&gt;"",IF(INDEX(SCNet,$L695)=0,"",INDEX(SCNet,$L695)),"")</f>
        <v/>
      </c>
      <c r="G695" s="21">
        <f>IF($L695&lt;&gt;"",IF(INDEX(SCOp,$L695)="مرجوعی فروش","",IF(INDEX(SCAmount,$L695)&lt;=0,"",INDEX(SCAmount,$L695))),IF($M695&lt;&gt;"",IF(INDEX(LdgWitB,$M695)=0,"",INDEX(LdgWitB,$M695)),""))</f>
        <v/>
      </c>
      <c r="H695" s="21">
        <f>IF($L695&lt;&gt;"",IF(INDEX(SCOp,$L695)="مرجوعی فروش",IF(INDEX(SCAmount,$L695)=0,"",-INDEX(SCAmount,$L695)),""),IF($M695&lt;&gt;"",IF(INDEX(LdgDepB,$M695)=0,"",INDEX(LdgDepB,$M695)),""))</f>
        <v/>
      </c>
      <c r="I695" s="22">
        <f>IF($B695="","",IF($I694="",$C$10,$I694)+IF($G695="",0,$G695)-IF($H695="",0,$H695))</f>
        <v/>
      </c>
      <c r="L695">
        <f>IFERROR(MATCH($C$5&amp;"|"&amp;RIGHT("000000"&amp;679,6),LdgRankKeyA,0),"")</f>
        <v/>
      </c>
      <c r="M695">
        <f>IFERROR(MATCH($C$5&amp;"|"&amp;RIGHT("000000"&amp;679,6),LdgRankKeyB,0),"")</f>
        <v/>
      </c>
    </row>
    <row r="696">
      <c r="A696" s="23" t="n">
        <v>680</v>
      </c>
      <c r="B696" s="24">
        <f>IF(AND($L696="",$M696=""),"",IF($L696&lt;&gt;"",INDEX(SCNormDate,$L696),INDEX(LdgDateB,$M696)))</f>
        <v/>
      </c>
      <c r="C696" s="24">
        <f>IF($L696&lt;&gt;"",INDEX(SCOp,$L696),IF($M696&lt;&gt;"","پرداخت بانکی",""))</f>
        <v/>
      </c>
      <c r="D696" s="24">
        <f>IF($L696&lt;&gt;"",IF(INDEX(SCDoc,$L696)="","—",INDEX(SCDoc,$L696)),IF($M696&lt;&gt;"",INDEX(LdgBankB,$M696),""))</f>
        <v/>
      </c>
      <c r="E696" s="25">
        <f>IF($L696&lt;&gt;"",IF(INDEX(SCCitrus,$L696)&amp;INDEX(SCNotes,$L696)="","",IF(INDEX(SCCitrus,$L696)="","",INDEX(SCCitrus,$L696))&amp;IF(INDEX(SCNotes,$L696)="",""," — "&amp;INDEX(SCNotes,$L696))),IF($M696&lt;&gt;"",IF(INDEX(LdgNoteB,$M696)="","—",INDEX(LdgNoteB,$M696)),""))</f>
        <v/>
      </c>
      <c r="F696" s="26">
        <f>IF($L696&lt;&gt;"",IF(INDEX(SCNet,$L696)=0,"",INDEX(SCNet,$L696)),"")</f>
        <v/>
      </c>
      <c r="G696" s="27">
        <f>IF($L696&lt;&gt;"",IF(INDEX(SCOp,$L696)="مرجوعی فروش","",IF(INDEX(SCAmount,$L696)&lt;=0,"",INDEX(SCAmount,$L696))),IF($M696&lt;&gt;"",IF(INDEX(LdgWitB,$M696)=0,"",INDEX(LdgWitB,$M696)),""))</f>
        <v/>
      </c>
      <c r="H696" s="27">
        <f>IF($L696&lt;&gt;"",IF(INDEX(SCOp,$L696)="مرجوعی فروش",IF(INDEX(SCAmount,$L696)=0,"",-INDEX(SCAmount,$L696)),""),IF($M696&lt;&gt;"",IF(INDEX(LdgDepB,$M696)=0,"",INDEX(LdgDepB,$M696)),""))</f>
        <v/>
      </c>
      <c r="I696" s="28">
        <f>IF($B696="","",IF($I695="",$C$10,$I695)+IF($G696="",0,$G696)-IF($H696="",0,$H696))</f>
        <v/>
      </c>
      <c r="L696">
        <f>IFERROR(MATCH($C$5&amp;"|"&amp;RIGHT("000000"&amp;680,6),LdgRankKeyA,0),"")</f>
        <v/>
      </c>
      <c r="M696">
        <f>IFERROR(MATCH($C$5&amp;"|"&amp;RIGHT("000000"&amp;680,6),LdgRankKeyB,0),"")</f>
        <v/>
      </c>
    </row>
    <row r="697">
      <c r="A697" s="17" t="n">
        <v>681</v>
      </c>
      <c r="B697" s="18">
        <f>IF(AND($L697="",$M697=""),"",IF($L697&lt;&gt;"",INDEX(SCNormDate,$L697),INDEX(LdgDateB,$M697)))</f>
        <v/>
      </c>
      <c r="C697" s="18">
        <f>IF($L697&lt;&gt;"",INDEX(SCOp,$L697),IF($M697&lt;&gt;"","پرداخت بانکی",""))</f>
        <v/>
      </c>
      <c r="D697" s="18">
        <f>IF($L697&lt;&gt;"",IF(INDEX(SCDoc,$L697)="","—",INDEX(SCDoc,$L697)),IF($M697&lt;&gt;"",INDEX(LdgBankB,$M697),""))</f>
        <v/>
      </c>
      <c r="E697" s="19">
        <f>IF($L697&lt;&gt;"",IF(INDEX(SCCitrus,$L697)&amp;INDEX(SCNotes,$L697)="","",IF(INDEX(SCCitrus,$L697)="","",INDEX(SCCitrus,$L697))&amp;IF(INDEX(SCNotes,$L697)="",""," — "&amp;INDEX(SCNotes,$L697))),IF($M697&lt;&gt;"",IF(INDEX(LdgNoteB,$M697)="","—",INDEX(LdgNoteB,$M697)),""))</f>
        <v/>
      </c>
      <c r="F697" s="20">
        <f>IF($L697&lt;&gt;"",IF(INDEX(SCNet,$L697)=0,"",INDEX(SCNet,$L697)),"")</f>
        <v/>
      </c>
      <c r="G697" s="21">
        <f>IF($L697&lt;&gt;"",IF(INDEX(SCOp,$L697)="مرجوعی فروش","",IF(INDEX(SCAmount,$L697)&lt;=0,"",INDEX(SCAmount,$L697))),IF($M697&lt;&gt;"",IF(INDEX(LdgWitB,$M697)=0,"",INDEX(LdgWitB,$M697)),""))</f>
        <v/>
      </c>
      <c r="H697" s="21">
        <f>IF($L697&lt;&gt;"",IF(INDEX(SCOp,$L697)="مرجوعی فروش",IF(INDEX(SCAmount,$L697)=0,"",-INDEX(SCAmount,$L697)),""),IF($M697&lt;&gt;"",IF(INDEX(LdgDepB,$M697)=0,"",INDEX(LdgDepB,$M697)),""))</f>
        <v/>
      </c>
      <c r="I697" s="22">
        <f>IF($B697="","",IF($I696="",$C$10,$I696)+IF($G697="",0,$G697)-IF($H697="",0,$H697))</f>
        <v/>
      </c>
      <c r="L697">
        <f>IFERROR(MATCH($C$5&amp;"|"&amp;RIGHT("000000"&amp;681,6),LdgRankKeyA,0),"")</f>
        <v/>
      </c>
      <c r="M697">
        <f>IFERROR(MATCH($C$5&amp;"|"&amp;RIGHT("000000"&amp;681,6),LdgRankKeyB,0),"")</f>
        <v/>
      </c>
    </row>
    <row r="698">
      <c r="A698" s="23" t="n">
        <v>682</v>
      </c>
      <c r="B698" s="24">
        <f>IF(AND($L698="",$M698=""),"",IF($L698&lt;&gt;"",INDEX(SCNormDate,$L698),INDEX(LdgDateB,$M698)))</f>
        <v/>
      </c>
      <c r="C698" s="24">
        <f>IF($L698&lt;&gt;"",INDEX(SCOp,$L698),IF($M698&lt;&gt;"","پرداخت بانکی",""))</f>
        <v/>
      </c>
      <c r="D698" s="24">
        <f>IF($L698&lt;&gt;"",IF(INDEX(SCDoc,$L698)="","—",INDEX(SCDoc,$L698)),IF($M698&lt;&gt;"",INDEX(LdgBankB,$M698),""))</f>
        <v/>
      </c>
      <c r="E698" s="25">
        <f>IF($L698&lt;&gt;"",IF(INDEX(SCCitrus,$L698)&amp;INDEX(SCNotes,$L698)="","",IF(INDEX(SCCitrus,$L698)="","",INDEX(SCCitrus,$L698))&amp;IF(INDEX(SCNotes,$L698)="",""," — "&amp;INDEX(SCNotes,$L698))),IF($M698&lt;&gt;"",IF(INDEX(LdgNoteB,$M698)="","—",INDEX(LdgNoteB,$M698)),""))</f>
        <v/>
      </c>
      <c r="F698" s="26">
        <f>IF($L698&lt;&gt;"",IF(INDEX(SCNet,$L698)=0,"",INDEX(SCNet,$L698)),"")</f>
        <v/>
      </c>
      <c r="G698" s="27">
        <f>IF($L698&lt;&gt;"",IF(INDEX(SCOp,$L698)="مرجوعی فروش","",IF(INDEX(SCAmount,$L698)&lt;=0,"",INDEX(SCAmount,$L698))),IF($M698&lt;&gt;"",IF(INDEX(LdgWitB,$M698)=0,"",INDEX(LdgWitB,$M698)),""))</f>
        <v/>
      </c>
      <c r="H698" s="27">
        <f>IF($L698&lt;&gt;"",IF(INDEX(SCOp,$L698)="مرجوعی فروش",IF(INDEX(SCAmount,$L698)=0,"",-INDEX(SCAmount,$L698)),""),IF($M698&lt;&gt;"",IF(INDEX(LdgDepB,$M698)=0,"",INDEX(LdgDepB,$M698)),""))</f>
        <v/>
      </c>
      <c r="I698" s="28">
        <f>IF($B698="","",IF($I697="",$C$10,$I697)+IF($G698="",0,$G698)-IF($H698="",0,$H698))</f>
        <v/>
      </c>
      <c r="L698">
        <f>IFERROR(MATCH($C$5&amp;"|"&amp;RIGHT("000000"&amp;682,6),LdgRankKeyA,0),"")</f>
        <v/>
      </c>
      <c r="M698">
        <f>IFERROR(MATCH($C$5&amp;"|"&amp;RIGHT("000000"&amp;682,6),LdgRankKeyB,0),"")</f>
        <v/>
      </c>
    </row>
    <row r="699">
      <c r="A699" s="17" t="n">
        <v>683</v>
      </c>
      <c r="B699" s="18">
        <f>IF(AND($L699="",$M699=""),"",IF($L699&lt;&gt;"",INDEX(SCNormDate,$L699),INDEX(LdgDateB,$M699)))</f>
        <v/>
      </c>
      <c r="C699" s="18">
        <f>IF($L699&lt;&gt;"",INDEX(SCOp,$L699),IF($M699&lt;&gt;"","پرداخت بانکی",""))</f>
        <v/>
      </c>
      <c r="D699" s="18">
        <f>IF($L699&lt;&gt;"",IF(INDEX(SCDoc,$L699)="","—",INDEX(SCDoc,$L699)),IF($M699&lt;&gt;"",INDEX(LdgBankB,$M699),""))</f>
        <v/>
      </c>
      <c r="E699" s="19">
        <f>IF($L699&lt;&gt;"",IF(INDEX(SCCitrus,$L699)&amp;INDEX(SCNotes,$L699)="","",IF(INDEX(SCCitrus,$L699)="","",INDEX(SCCitrus,$L699))&amp;IF(INDEX(SCNotes,$L699)="",""," — "&amp;INDEX(SCNotes,$L699))),IF($M699&lt;&gt;"",IF(INDEX(LdgNoteB,$M699)="","—",INDEX(LdgNoteB,$M699)),""))</f>
        <v/>
      </c>
      <c r="F699" s="20">
        <f>IF($L699&lt;&gt;"",IF(INDEX(SCNet,$L699)=0,"",INDEX(SCNet,$L699)),"")</f>
        <v/>
      </c>
      <c r="G699" s="21">
        <f>IF($L699&lt;&gt;"",IF(INDEX(SCOp,$L699)="مرجوعی فروش","",IF(INDEX(SCAmount,$L699)&lt;=0,"",INDEX(SCAmount,$L699))),IF($M699&lt;&gt;"",IF(INDEX(LdgWitB,$M699)=0,"",INDEX(LdgWitB,$M699)),""))</f>
        <v/>
      </c>
      <c r="H699" s="21">
        <f>IF($L699&lt;&gt;"",IF(INDEX(SCOp,$L699)="مرجوعی فروش",IF(INDEX(SCAmount,$L699)=0,"",-INDEX(SCAmount,$L699)),""),IF($M699&lt;&gt;"",IF(INDEX(LdgDepB,$M699)=0,"",INDEX(LdgDepB,$M699)),""))</f>
        <v/>
      </c>
      <c r="I699" s="22">
        <f>IF($B699="","",IF($I698="",$C$10,$I698)+IF($G699="",0,$G699)-IF($H699="",0,$H699))</f>
        <v/>
      </c>
      <c r="L699">
        <f>IFERROR(MATCH($C$5&amp;"|"&amp;RIGHT("000000"&amp;683,6),LdgRankKeyA,0),"")</f>
        <v/>
      </c>
      <c r="M699">
        <f>IFERROR(MATCH($C$5&amp;"|"&amp;RIGHT("000000"&amp;683,6),LdgRankKeyB,0),"")</f>
        <v/>
      </c>
    </row>
    <row r="700">
      <c r="A700" s="23" t="n">
        <v>684</v>
      </c>
      <c r="B700" s="24">
        <f>IF(AND($L700="",$M700=""),"",IF($L700&lt;&gt;"",INDEX(SCNormDate,$L700),INDEX(LdgDateB,$M700)))</f>
        <v/>
      </c>
      <c r="C700" s="24">
        <f>IF($L700&lt;&gt;"",INDEX(SCOp,$L700),IF($M700&lt;&gt;"","پرداخت بانکی",""))</f>
        <v/>
      </c>
      <c r="D700" s="24">
        <f>IF($L700&lt;&gt;"",IF(INDEX(SCDoc,$L700)="","—",INDEX(SCDoc,$L700)),IF($M700&lt;&gt;"",INDEX(LdgBankB,$M700),""))</f>
        <v/>
      </c>
      <c r="E700" s="25">
        <f>IF($L700&lt;&gt;"",IF(INDEX(SCCitrus,$L700)&amp;INDEX(SCNotes,$L700)="","",IF(INDEX(SCCitrus,$L700)="","",INDEX(SCCitrus,$L700))&amp;IF(INDEX(SCNotes,$L700)="",""," — "&amp;INDEX(SCNotes,$L700))),IF($M700&lt;&gt;"",IF(INDEX(LdgNoteB,$M700)="","—",INDEX(LdgNoteB,$M700)),""))</f>
        <v/>
      </c>
      <c r="F700" s="26">
        <f>IF($L700&lt;&gt;"",IF(INDEX(SCNet,$L700)=0,"",INDEX(SCNet,$L700)),"")</f>
        <v/>
      </c>
      <c r="G700" s="27">
        <f>IF($L700&lt;&gt;"",IF(INDEX(SCOp,$L700)="مرجوعی فروش","",IF(INDEX(SCAmount,$L700)&lt;=0,"",INDEX(SCAmount,$L700))),IF($M700&lt;&gt;"",IF(INDEX(LdgWitB,$M700)=0,"",INDEX(LdgWitB,$M700)),""))</f>
        <v/>
      </c>
      <c r="H700" s="27">
        <f>IF($L700&lt;&gt;"",IF(INDEX(SCOp,$L700)="مرجوعی فروش",IF(INDEX(SCAmount,$L700)=0,"",-INDEX(SCAmount,$L700)),""),IF($M700&lt;&gt;"",IF(INDEX(LdgDepB,$M700)=0,"",INDEX(LdgDepB,$M700)),""))</f>
        <v/>
      </c>
      <c r="I700" s="28">
        <f>IF($B700="","",IF($I699="",$C$10,$I699)+IF($G700="",0,$G700)-IF($H700="",0,$H700))</f>
        <v/>
      </c>
      <c r="L700">
        <f>IFERROR(MATCH($C$5&amp;"|"&amp;RIGHT("000000"&amp;684,6),LdgRankKeyA,0),"")</f>
        <v/>
      </c>
      <c r="M700">
        <f>IFERROR(MATCH($C$5&amp;"|"&amp;RIGHT("000000"&amp;684,6),LdgRankKeyB,0),"")</f>
        <v/>
      </c>
    </row>
    <row r="701">
      <c r="A701" s="17" t="n">
        <v>685</v>
      </c>
      <c r="B701" s="18">
        <f>IF(AND($L701="",$M701=""),"",IF($L701&lt;&gt;"",INDEX(SCNormDate,$L701),INDEX(LdgDateB,$M701)))</f>
        <v/>
      </c>
      <c r="C701" s="18">
        <f>IF($L701&lt;&gt;"",INDEX(SCOp,$L701),IF($M701&lt;&gt;"","پرداخت بانکی",""))</f>
        <v/>
      </c>
      <c r="D701" s="18">
        <f>IF($L701&lt;&gt;"",IF(INDEX(SCDoc,$L701)="","—",INDEX(SCDoc,$L701)),IF($M701&lt;&gt;"",INDEX(LdgBankB,$M701),""))</f>
        <v/>
      </c>
      <c r="E701" s="19">
        <f>IF($L701&lt;&gt;"",IF(INDEX(SCCitrus,$L701)&amp;INDEX(SCNotes,$L701)="","",IF(INDEX(SCCitrus,$L701)="","",INDEX(SCCitrus,$L701))&amp;IF(INDEX(SCNotes,$L701)="",""," — "&amp;INDEX(SCNotes,$L701))),IF($M701&lt;&gt;"",IF(INDEX(LdgNoteB,$M701)="","—",INDEX(LdgNoteB,$M701)),""))</f>
        <v/>
      </c>
      <c r="F701" s="20">
        <f>IF($L701&lt;&gt;"",IF(INDEX(SCNet,$L701)=0,"",INDEX(SCNet,$L701)),"")</f>
        <v/>
      </c>
      <c r="G701" s="21">
        <f>IF($L701&lt;&gt;"",IF(INDEX(SCOp,$L701)="مرجوعی فروش","",IF(INDEX(SCAmount,$L701)&lt;=0,"",INDEX(SCAmount,$L701))),IF($M701&lt;&gt;"",IF(INDEX(LdgWitB,$M701)=0,"",INDEX(LdgWitB,$M701)),""))</f>
        <v/>
      </c>
      <c r="H701" s="21">
        <f>IF($L701&lt;&gt;"",IF(INDEX(SCOp,$L701)="مرجوعی فروش",IF(INDEX(SCAmount,$L701)=0,"",-INDEX(SCAmount,$L701)),""),IF($M701&lt;&gt;"",IF(INDEX(LdgDepB,$M701)=0,"",INDEX(LdgDepB,$M701)),""))</f>
        <v/>
      </c>
      <c r="I701" s="22">
        <f>IF($B701="","",IF($I700="",$C$10,$I700)+IF($G701="",0,$G701)-IF($H701="",0,$H701))</f>
        <v/>
      </c>
      <c r="L701">
        <f>IFERROR(MATCH($C$5&amp;"|"&amp;RIGHT("000000"&amp;685,6),LdgRankKeyA,0),"")</f>
        <v/>
      </c>
      <c r="M701">
        <f>IFERROR(MATCH($C$5&amp;"|"&amp;RIGHT("000000"&amp;685,6),LdgRankKeyB,0),"")</f>
        <v/>
      </c>
    </row>
    <row r="702">
      <c r="A702" s="23" t="n">
        <v>686</v>
      </c>
      <c r="B702" s="24">
        <f>IF(AND($L702="",$M702=""),"",IF($L702&lt;&gt;"",INDEX(SCNormDate,$L702),INDEX(LdgDateB,$M702)))</f>
        <v/>
      </c>
      <c r="C702" s="24">
        <f>IF($L702&lt;&gt;"",INDEX(SCOp,$L702),IF($M702&lt;&gt;"","پرداخت بانکی",""))</f>
        <v/>
      </c>
      <c r="D702" s="24">
        <f>IF($L702&lt;&gt;"",IF(INDEX(SCDoc,$L702)="","—",INDEX(SCDoc,$L702)),IF($M702&lt;&gt;"",INDEX(LdgBankB,$M702),""))</f>
        <v/>
      </c>
      <c r="E702" s="25">
        <f>IF($L702&lt;&gt;"",IF(INDEX(SCCitrus,$L702)&amp;INDEX(SCNotes,$L702)="","",IF(INDEX(SCCitrus,$L702)="","",INDEX(SCCitrus,$L702))&amp;IF(INDEX(SCNotes,$L702)="",""," — "&amp;INDEX(SCNotes,$L702))),IF($M702&lt;&gt;"",IF(INDEX(LdgNoteB,$M702)="","—",INDEX(LdgNoteB,$M702)),""))</f>
        <v/>
      </c>
      <c r="F702" s="26">
        <f>IF($L702&lt;&gt;"",IF(INDEX(SCNet,$L702)=0,"",INDEX(SCNet,$L702)),"")</f>
        <v/>
      </c>
      <c r="G702" s="27">
        <f>IF($L702&lt;&gt;"",IF(INDEX(SCOp,$L702)="مرجوعی فروش","",IF(INDEX(SCAmount,$L702)&lt;=0,"",INDEX(SCAmount,$L702))),IF($M702&lt;&gt;"",IF(INDEX(LdgWitB,$M702)=0,"",INDEX(LdgWitB,$M702)),""))</f>
        <v/>
      </c>
      <c r="H702" s="27">
        <f>IF($L702&lt;&gt;"",IF(INDEX(SCOp,$L702)="مرجوعی فروش",IF(INDEX(SCAmount,$L702)=0,"",-INDEX(SCAmount,$L702)),""),IF($M702&lt;&gt;"",IF(INDEX(LdgDepB,$M702)=0,"",INDEX(LdgDepB,$M702)),""))</f>
        <v/>
      </c>
      <c r="I702" s="28">
        <f>IF($B702="","",IF($I701="",$C$10,$I701)+IF($G702="",0,$G702)-IF($H702="",0,$H702))</f>
        <v/>
      </c>
      <c r="L702">
        <f>IFERROR(MATCH($C$5&amp;"|"&amp;RIGHT("000000"&amp;686,6),LdgRankKeyA,0),"")</f>
        <v/>
      </c>
      <c r="M702">
        <f>IFERROR(MATCH($C$5&amp;"|"&amp;RIGHT("000000"&amp;686,6),LdgRankKeyB,0),"")</f>
        <v/>
      </c>
    </row>
    <row r="703">
      <c r="A703" s="17" t="n">
        <v>687</v>
      </c>
      <c r="B703" s="18">
        <f>IF(AND($L703="",$M703=""),"",IF($L703&lt;&gt;"",INDEX(SCNormDate,$L703),INDEX(LdgDateB,$M703)))</f>
        <v/>
      </c>
      <c r="C703" s="18">
        <f>IF($L703&lt;&gt;"",INDEX(SCOp,$L703),IF($M703&lt;&gt;"","پرداخت بانکی",""))</f>
        <v/>
      </c>
      <c r="D703" s="18">
        <f>IF($L703&lt;&gt;"",IF(INDEX(SCDoc,$L703)="","—",INDEX(SCDoc,$L703)),IF($M703&lt;&gt;"",INDEX(LdgBankB,$M703),""))</f>
        <v/>
      </c>
      <c r="E703" s="19">
        <f>IF($L703&lt;&gt;"",IF(INDEX(SCCitrus,$L703)&amp;INDEX(SCNotes,$L703)="","",IF(INDEX(SCCitrus,$L703)="","",INDEX(SCCitrus,$L703))&amp;IF(INDEX(SCNotes,$L703)="",""," — "&amp;INDEX(SCNotes,$L703))),IF($M703&lt;&gt;"",IF(INDEX(LdgNoteB,$M703)="","—",INDEX(LdgNoteB,$M703)),""))</f>
        <v/>
      </c>
      <c r="F703" s="20">
        <f>IF($L703&lt;&gt;"",IF(INDEX(SCNet,$L703)=0,"",INDEX(SCNet,$L703)),"")</f>
        <v/>
      </c>
      <c r="G703" s="21">
        <f>IF($L703&lt;&gt;"",IF(INDEX(SCOp,$L703)="مرجوعی فروش","",IF(INDEX(SCAmount,$L703)&lt;=0,"",INDEX(SCAmount,$L703))),IF($M703&lt;&gt;"",IF(INDEX(LdgWitB,$M703)=0,"",INDEX(LdgWitB,$M703)),""))</f>
        <v/>
      </c>
      <c r="H703" s="21">
        <f>IF($L703&lt;&gt;"",IF(INDEX(SCOp,$L703)="مرجوعی فروش",IF(INDEX(SCAmount,$L703)=0,"",-INDEX(SCAmount,$L703)),""),IF($M703&lt;&gt;"",IF(INDEX(LdgDepB,$M703)=0,"",INDEX(LdgDepB,$M703)),""))</f>
        <v/>
      </c>
      <c r="I703" s="22">
        <f>IF($B703="","",IF($I702="",$C$10,$I702)+IF($G703="",0,$G703)-IF($H703="",0,$H703))</f>
        <v/>
      </c>
      <c r="L703">
        <f>IFERROR(MATCH($C$5&amp;"|"&amp;RIGHT("000000"&amp;687,6),LdgRankKeyA,0),"")</f>
        <v/>
      </c>
      <c r="M703">
        <f>IFERROR(MATCH($C$5&amp;"|"&amp;RIGHT("000000"&amp;687,6),LdgRankKeyB,0),"")</f>
        <v/>
      </c>
    </row>
    <row r="704">
      <c r="A704" s="23" t="n">
        <v>688</v>
      </c>
      <c r="B704" s="24">
        <f>IF(AND($L704="",$M704=""),"",IF($L704&lt;&gt;"",INDEX(SCNormDate,$L704),INDEX(LdgDateB,$M704)))</f>
        <v/>
      </c>
      <c r="C704" s="24">
        <f>IF($L704&lt;&gt;"",INDEX(SCOp,$L704),IF($M704&lt;&gt;"","پرداخت بانکی",""))</f>
        <v/>
      </c>
      <c r="D704" s="24">
        <f>IF($L704&lt;&gt;"",IF(INDEX(SCDoc,$L704)="","—",INDEX(SCDoc,$L704)),IF($M704&lt;&gt;"",INDEX(LdgBankB,$M704),""))</f>
        <v/>
      </c>
      <c r="E704" s="25">
        <f>IF($L704&lt;&gt;"",IF(INDEX(SCCitrus,$L704)&amp;INDEX(SCNotes,$L704)="","",IF(INDEX(SCCitrus,$L704)="","",INDEX(SCCitrus,$L704))&amp;IF(INDEX(SCNotes,$L704)="",""," — "&amp;INDEX(SCNotes,$L704))),IF($M704&lt;&gt;"",IF(INDEX(LdgNoteB,$M704)="","—",INDEX(LdgNoteB,$M704)),""))</f>
        <v/>
      </c>
      <c r="F704" s="26">
        <f>IF($L704&lt;&gt;"",IF(INDEX(SCNet,$L704)=0,"",INDEX(SCNet,$L704)),"")</f>
        <v/>
      </c>
      <c r="G704" s="27">
        <f>IF($L704&lt;&gt;"",IF(INDEX(SCOp,$L704)="مرجوعی فروش","",IF(INDEX(SCAmount,$L704)&lt;=0,"",INDEX(SCAmount,$L704))),IF($M704&lt;&gt;"",IF(INDEX(LdgWitB,$M704)=0,"",INDEX(LdgWitB,$M704)),""))</f>
        <v/>
      </c>
      <c r="H704" s="27">
        <f>IF($L704&lt;&gt;"",IF(INDEX(SCOp,$L704)="مرجوعی فروش",IF(INDEX(SCAmount,$L704)=0,"",-INDEX(SCAmount,$L704)),""),IF($M704&lt;&gt;"",IF(INDEX(LdgDepB,$M704)=0,"",INDEX(LdgDepB,$M704)),""))</f>
        <v/>
      </c>
      <c r="I704" s="28">
        <f>IF($B704="","",IF($I703="",$C$10,$I703)+IF($G704="",0,$G704)-IF($H704="",0,$H704))</f>
        <v/>
      </c>
      <c r="L704">
        <f>IFERROR(MATCH($C$5&amp;"|"&amp;RIGHT("000000"&amp;688,6),LdgRankKeyA,0),"")</f>
        <v/>
      </c>
      <c r="M704">
        <f>IFERROR(MATCH($C$5&amp;"|"&amp;RIGHT("000000"&amp;688,6),LdgRankKeyB,0),"")</f>
        <v/>
      </c>
    </row>
    <row r="705">
      <c r="A705" s="17" t="n">
        <v>689</v>
      </c>
      <c r="B705" s="18">
        <f>IF(AND($L705="",$M705=""),"",IF($L705&lt;&gt;"",INDEX(SCNormDate,$L705),INDEX(LdgDateB,$M705)))</f>
        <v/>
      </c>
      <c r="C705" s="18">
        <f>IF($L705&lt;&gt;"",INDEX(SCOp,$L705),IF($M705&lt;&gt;"","پرداخت بانکی",""))</f>
        <v/>
      </c>
      <c r="D705" s="18">
        <f>IF($L705&lt;&gt;"",IF(INDEX(SCDoc,$L705)="","—",INDEX(SCDoc,$L705)),IF($M705&lt;&gt;"",INDEX(LdgBankB,$M705),""))</f>
        <v/>
      </c>
      <c r="E705" s="19">
        <f>IF($L705&lt;&gt;"",IF(INDEX(SCCitrus,$L705)&amp;INDEX(SCNotes,$L705)="","",IF(INDEX(SCCitrus,$L705)="","",INDEX(SCCitrus,$L705))&amp;IF(INDEX(SCNotes,$L705)="",""," — "&amp;INDEX(SCNotes,$L705))),IF($M705&lt;&gt;"",IF(INDEX(LdgNoteB,$M705)="","—",INDEX(LdgNoteB,$M705)),""))</f>
        <v/>
      </c>
      <c r="F705" s="20">
        <f>IF($L705&lt;&gt;"",IF(INDEX(SCNet,$L705)=0,"",INDEX(SCNet,$L705)),"")</f>
        <v/>
      </c>
      <c r="G705" s="21">
        <f>IF($L705&lt;&gt;"",IF(INDEX(SCOp,$L705)="مرجوعی فروش","",IF(INDEX(SCAmount,$L705)&lt;=0,"",INDEX(SCAmount,$L705))),IF($M705&lt;&gt;"",IF(INDEX(LdgWitB,$M705)=0,"",INDEX(LdgWitB,$M705)),""))</f>
        <v/>
      </c>
      <c r="H705" s="21">
        <f>IF($L705&lt;&gt;"",IF(INDEX(SCOp,$L705)="مرجوعی فروش",IF(INDEX(SCAmount,$L705)=0,"",-INDEX(SCAmount,$L705)),""),IF($M705&lt;&gt;"",IF(INDEX(LdgDepB,$M705)=0,"",INDEX(LdgDepB,$M705)),""))</f>
        <v/>
      </c>
      <c r="I705" s="22">
        <f>IF($B705="","",IF($I704="",$C$10,$I704)+IF($G705="",0,$G705)-IF($H705="",0,$H705))</f>
        <v/>
      </c>
      <c r="L705">
        <f>IFERROR(MATCH($C$5&amp;"|"&amp;RIGHT("000000"&amp;689,6),LdgRankKeyA,0),"")</f>
        <v/>
      </c>
      <c r="M705">
        <f>IFERROR(MATCH($C$5&amp;"|"&amp;RIGHT("000000"&amp;689,6),LdgRankKeyB,0),"")</f>
        <v/>
      </c>
    </row>
    <row r="706">
      <c r="A706" s="23" t="n">
        <v>690</v>
      </c>
      <c r="B706" s="24">
        <f>IF(AND($L706="",$M706=""),"",IF($L706&lt;&gt;"",INDEX(SCNormDate,$L706),INDEX(LdgDateB,$M706)))</f>
        <v/>
      </c>
      <c r="C706" s="24">
        <f>IF($L706&lt;&gt;"",INDEX(SCOp,$L706),IF($M706&lt;&gt;"","پرداخت بانکی",""))</f>
        <v/>
      </c>
      <c r="D706" s="24">
        <f>IF($L706&lt;&gt;"",IF(INDEX(SCDoc,$L706)="","—",INDEX(SCDoc,$L706)),IF($M706&lt;&gt;"",INDEX(LdgBankB,$M706),""))</f>
        <v/>
      </c>
      <c r="E706" s="25">
        <f>IF($L706&lt;&gt;"",IF(INDEX(SCCitrus,$L706)&amp;INDEX(SCNotes,$L706)="","",IF(INDEX(SCCitrus,$L706)="","",INDEX(SCCitrus,$L706))&amp;IF(INDEX(SCNotes,$L706)="",""," — "&amp;INDEX(SCNotes,$L706))),IF($M706&lt;&gt;"",IF(INDEX(LdgNoteB,$M706)="","—",INDEX(LdgNoteB,$M706)),""))</f>
        <v/>
      </c>
      <c r="F706" s="26">
        <f>IF($L706&lt;&gt;"",IF(INDEX(SCNet,$L706)=0,"",INDEX(SCNet,$L706)),"")</f>
        <v/>
      </c>
      <c r="G706" s="27">
        <f>IF($L706&lt;&gt;"",IF(INDEX(SCOp,$L706)="مرجوعی فروش","",IF(INDEX(SCAmount,$L706)&lt;=0,"",INDEX(SCAmount,$L706))),IF($M706&lt;&gt;"",IF(INDEX(LdgWitB,$M706)=0,"",INDEX(LdgWitB,$M706)),""))</f>
        <v/>
      </c>
      <c r="H706" s="27">
        <f>IF($L706&lt;&gt;"",IF(INDEX(SCOp,$L706)="مرجوعی فروش",IF(INDEX(SCAmount,$L706)=0,"",-INDEX(SCAmount,$L706)),""),IF($M706&lt;&gt;"",IF(INDEX(LdgDepB,$M706)=0,"",INDEX(LdgDepB,$M706)),""))</f>
        <v/>
      </c>
      <c r="I706" s="28">
        <f>IF($B706="","",IF($I705="",$C$10,$I705)+IF($G706="",0,$G706)-IF($H706="",0,$H706))</f>
        <v/>
      </c>
      <c r="L706">
        <f>IFERROR(MATCH($C$5&amp;"|"&amp;RIGHT("000000"&amp;690,6),LdgRankKeyA,0),"")</f>
        <v/>
      </c>
      <c r="M706">
        <f>IFERROR(MATCH($C$5&amp;"|"&amp;RIGHT("000000"&amp;690,6),LdgRankKeyB,0),"")</f>
        <v/>
      </c>
    </row>
    <row r="707">
      <c r="A707" s="17" t="n">
        <v>691</v>
      </c>
      <c r="B707" s="18">
        <f>IF(AND($L707="",$M707=""),"",IF($L707&lt;&gt;"",INDEX(SCNormDate,$L707),INDEX(LdgDateB,$M707)))</f>
        <v/>
      </c>
      <c r="C707" s="18">
        <f>IF($L707&lt;&gt;"",INDEX(SCOp,$L707),IF($M707&lt;&gt;"","پرداخت بانکی",""))</f>
        <v/>
      </c>
      <c r="D707" s="18">
        <f>IF($L707&lt;&gt;"",IF(INDEX(SCDoc,$L707)="","—",INDEX(SCDoc,$L707)),IF($M707&lt;&gt;"",INDEX(LdgBankB,$M707),""))</f>
        <v/>
      </c>
      <c r="E707" s="19">
        <f>IF($L707&lt;&gt;"",IF(INDEX(SCCitrus,$L707)&amp;INDEX(SCNotes,$L707)="","",IF(INDEX(SCCitrus,$L707)="","",INDEX(SCCitrus,$L707))&amp;IF(INDEX(SCNotes,$L707)="",""," — "&amp;INDEX(SCNotes,$L707))),IF($M707&lt;&gt;"",IF(INDEX(LdgNoteB,$M707)="","—",INDEX(LdgNoteB,$M707)),""))</f>
        <v/>
      </c>
      <c r="F707" s="20">
        <f>IF($L707&lt;&gt;"",IF(INDEX(SCNet,$L707)=0,"",INDEX(SCNet,$L707)),"")</f>
        <v/>
      </c>
      <c r="G707" s="21">
        <f>IF($L707&lt;&gt;"",IF(INDEX(SCOp,$L707)="مرجوعی فروش","",IF(INDEX(SCAmount,$L707)&lt;=0,"",INDEX(SCAmount,$L707))),IF($M707&lt;&gt;"",IF(INDEX(LdgWitB,$M707)=0,"",INDEX(LdgWitB,$M707)),""))</f>
        <v/>
      </c>
      <c r="H707" s="21">
        <f>IF($L707&lt;&gt;"",IF(INDEX(SCOp,$L707)="مرجوعی فروش",IF(INDEX(SCAmount,$L707)=0,"",-INDEX(SCAmount,$L707)),""),IF($M707&lt;&gt;"",IF(INDEX(LdgDepB,$M707)=0,"",INDEX(LdgDepB,$M707)),""))</f>
        <v/>
      </c>
      <c r="I707" s="22">
        <f>IF($B707="","",IF($I706="",$C$10,$I706)+IF($G707="",0,$G707)-IF($H707="",0,$H707))</f>
        <v/>
      </c>
      <c r="L707">
        <f>IFERROR(MATCH($C$5&amp;"|"&amp;RIGHT("000000"&amp;691,6),LdgRankKeyA,0),"")</f>
        <v/>
      </c>
      <c r="M707">
        <f>IFERROR(MATCH($C$5&amp;"|"&amp;RIGHT("000000"&amp;691,6),LdgRankKeyB,0),"")</f>
        <v/>
      </c>
    </row>
    <row r="708">
      <c r="A708" s="23" t="n">
        <v>692</v>
      </c>
      <c r="B708" s="24">
        <f>IF(AND($L708="",$M708=""),"",IF($L708&lt;&gt;"",INDEX(SCNormDate,$L708),INDEX(LdgDateB,$M708)))</f>
        <v/>
      </c>
      <c r="C708" s="24">
        <f>IF($L708&lt;&gt;"",INDEX(SCOp,$L708),IF($M708&lt;&gt;"","پرداخت بانکی",""))</f>
        <v/>
      </c>
      <c r="D708" s="24">
        <f>IF($L708&lt;&gt;"",IF(INDEX(SCDoc,$L708)="","—",INDEX(SCDoc,$L708)),IF($M708&lt;&gt;"",INDEX(LdgBankB,$M708),""))</f>
        <v/>
      </c>
      <c r="E708" s="25">
        <f>IF($L708&lt;&gt;"",IF(INDEX(SCCitrus,$L708)&amp;INDEX(SCNotes,$L708)="","",IF(INDEX(SCCitrus,$L708)="","",INDEX(SCCitrus,$L708))&amp;IF(INDEX(SCNotes,$L708)="",""," — "&amp;INDEX(SCNotes,$L708))),IF($M708&lt;&gt;"",IF(INDEX(LdgNoteB,$M708)="","—",INDEX(LdgNoteB,$M708)),""))</f>
        <v/>
      </c>
      <c r="F708" s="26">
        <f>IF($L708&lt;&gt;"",IF(INDEX(SCNet,$L708)=0,"",INDEX(SCNet,$L708)),"")</f>
        <v/>
      </c>
      <c r="G708" s="27">
        <f>IF($L708&lt;&gt;"",IF(INDEX(SCOp,$L708)="مرجوعی فروش","",IF(INDEX(SCAmount,$L708)&lt;=0,"",INDEX(SCAmount,$L708))),IF($M708&lt;&gt;"",IF(INDEX(LdgWitB,$M708)=0,"",INDEX(LdgWitB,$M708)),""))</f>
        <v/>
      </c>
      <c r="H708" s="27">
        <f>IF($L708&lt;&gt;"",IF(INDEX(SCOp,$L708)="مرجوعی فروش",IF(INDEX(SCAmount,$L708)=0,"",-INDEX(SCAmount,$L708)),""),IF($M708&lt;&gt;"",IF(INDEX(LdgDepB,$M708)=0,"",INDEX(LdgDepB,$M708)),""))</f>
        <v/>
      </c>
      <c r="I708" s="28">
        <f>IF($B708="","",IF($I707="",$C$10,$I707)+IF($G708="",0,$G708)-IF($H708="",0,$H708))</f>
        <v/>
      </c>
      <c r="L708">
        <f>IFERROR(MATCH($C$5&amp;"|"&amp;RIGHT("000000"&amp;692,6),LdgRankKeyA,0),"")</f>
        <v/>
      </c>
      <c r="M708">
        <f>IFERROR(MATCH($C$5&amp;"|"&amp;RIGHT("000000"&amp;692,6),LdgRankKeyB,0),"")</f>
        <v/>
      </c>
    </row>
    <row r="709">
      <c r="A709" s="17" t="n">
        <v>693</v>
      </c>
      <c r="B709" s="18">
        <f>IF(AND($L709="",$M709=""),"",IF($L709&lt;&gt;"",INDEX(SCNormDate,$L709),INDEX(LdgDateB,$M709)))</f>
        <v/>
      </c>
      <c r="C709" s="18">
        <f>IF($L709&lt;&gt;"",INDEX(SCOp,$L709),IF($M709&lt;&gt;"","پرداخت بانکی",""))</f>
        <v/>
      </c>
      <c r="D709" s="18">
        <f>IF($L709&lt;&gt;"",IF(INDEX(SCDoc,$L709)="","—",INDEX(SCDoc,$L709)),IF($M709&lt;&gt;"",INDEX(LdgBankB,$M709),""))</f>
        <v/>
      </c>
      <c r="E709" s="19">
        <f>IF($L709&lt;&gt;"",IF(INDEX(SCCitrus,$L709)&amp;INDEX(SCNotes,$L709)="","",IF(INDEX(SCCitrus,$L709)="","",INDEX(SCCitrus,$L709))&amp;IF(INDEX(SCNotes,$L709)="",""," — "&amp;INDEX(SCNotes,$L709))),IF($M709&lt;&gt;"",IF(INDEX(LdgNoteB,$M709)="","—",INDEX(LdgNoteB,$M709)),""))</f>
        <v/>
      </c>
      <c r="F709" s="20">
        <f>IF($L709&lt;&gt;"",IF(INDEX(SCNet,$L709)=0,"",INDEX(SCNet,$L709)),"")</f>
        <v/>
      </c>
      <c r="G709" s="21">
        <f>IF($L709&lt;&gt;"",IF(INDEX(SCOp,$L709)="مرجوعی فروش","",IF(INDEX(SCAmount,$L709)&lt;=0,"",INDEX(SCAmount,$L709))),IF($M709&lt;&gt;"",IF(INDEX(LdgWitB,$M709)=0,"",INDEX(LdgWitB,$M709)),""))</f>
        <v/>
      </c>
      <c r="H709" s="21">
        <f>IF($L709&lt;&gt;"",IF(INDEX(SCOp,$L709)="مرجوعی فروش",IF(INDEX(SCAmount,$L709)=0,"",-INDEX(SCAmount,$L709)),""),IF($M709&lt;&gt;"",IF(INDEX(LdgDepB,$M709)=0,"",INDEX(LdgDepB,$M709)),""))</f>
        <v/>
      </c>
      <c r="I709" s="22">
        <f>IF($B709="","",IF($I708="",$C$10,$I708)+IF($G709="",0,$G709)-IF($H709="",0,$H709))</f>
        <v/>
      </c>
      <c r="L709">
        <f>IFERROR(MATCH($C$5&amp;"|"&amp;RIGHT("000000"&amp;693,6),LdgRankKeyA,0),"")</f>
        <v/>
      </c>
      <c r="M709">
        <f>IFERROR(MATCH($C$5&amp;"|"&amp;RIGHT("000000"&amp;693,6),LdgRankKeyB,0),"")</f>
        <v/>
      </c>
    </row>
    <row r="710">
      <c r="A710" s="23" t="n">
        <v>694</v>
      </c>
      <c r="B710" s="24">
        <f>IF(AND($L710="",$M710=""),"",IF($L710&lt;&gt;"",INDEX(SCNormDate,$L710),INDEX(LdgDateB,$M710)))</f>
        <v/>
      </c>
      <c r="C710" s="24">
        <f>IF($L710&lt;&gt;"",INDEX(SCOp,$L710),IF($M710&lt;&gt;"","پرداخت بانکی",""))</f>
        <v/>
      </c>
      <c r="D710" s="24">
        <f>IF($L710&lt;&gt;"",IF(INDEX(SCDoc,$L710)="","—",INDEX(SCDoc,$L710)),IF($M710&lt;&gt;"",INDEX(LdgBankB,$M710),""))</f>
        <v/>
      </c>
      <c r="E710" s="25">
        <f>IF($L710&lt;&gt;"",IF(INDEX(SCCitrus,$L710)&amp;INDEX(SCNotes,$L710)="","",IF(INDEX(SCCitrus,$L710)="","",INDEX(SCCitrus,$L710))&amp;IF(INDEX(SCNotes,$L710)="",""," — "&amp;INDEX(SCNotes,$L710))),IF($M710&lt;&gt;"",IF(INDEX(LdgNoteB,$M710)="","—",INDEX(LdgNoteB,$M710)),""))</f>
        <v/>
      </c>
      <c r="F710" s="26">
        <f>IF($L710&lt;&gt;"",IF(INDEX(SCNet,$L710)=0,"",INDEX(SCNet,$L710)),"")</f>
        <v/>
      </c>
      <c r="G710" s="27">
        <f>IF($L710&lt;&gt;"",IF(INDEX(SCOp,$L710)="مرجوعی فروش","",IF(INDEX(SCAmount,$L710)&lt;=0,"",INDEX(SCAmount,$L710))),IF($M710&lt;&gt;"",IF(INDEX(LdgWitB,$M710)=0,"",INDEX(LdgWitB,$M710)),""))</f>
        <v/>
      </c>
      <c r="H710" s="27">
        <f>IF($L710&lt;&gt;"",IF(INDEX(SCOp,$L710)="مرجوعی فروش",IF(INDEX(SCAmount,$L710)=0,"",-INDEX(SCAmount,$L710)),""),IF($M710&lt;&gt;"",IF(INDEX(LdgDepB,$M710)=0,"",INDEX(LdgDepB,$M710)),""))</f>
        <v/>
      </c>
      <c r="I710" s="28">
        <f>IF($B710="","",IF($I709="",$C$10,$I709)+IF($G710="",0,$G710)-IF($H710="",0,$H710))</f>
        <v/>
      </c>
      <c r="L710">
        <f>IFERROR(MATCH($C$5&amp;"|"&amp;RIGHT("000000"&amp;694,6),LdgRankKeyA,0),"")</f>
        <v/>
      </c>
      <c r="M710">
        <f>IFERROR(MATCH($C$5&amp;"|"&amp;RIGHT("000000"&amp;694,6),LdgRankKeyB,0),"")</f>
        <v/>
      </c>
    </row>
    <row r="711">
      <c r="A711" s="17" t="n">
        <v>695</v>
      </c>
      <c r="B711" s="18">
        <f>IF(AND($L711="",$M711=""),"",IF($L711&lt;&gt;"",INDEX(SCNormDate,$L711),INDEX(LdgDateB,$M711)))</f>
        <v/>
      </c>
      <c r="C711" s="18">
        <f>IF($L711&lt;&gt;"",INDEX(SCOp,$L711),IF($M711&lt;&gt;"","پرداخت بانکی",""))</f>
        <v/>
      </c>
      <c r="D711" s="18">
        <f>IF($L711&lt;&gt;"",IF(INDEX(SCDoc,$L711)="","—",INDEX(SCDoc,$L711)),IF($M711&lt;&gt;"",INDEX(LdgBankB,$M711),""))</f>
        <v/>
      </c>
      <c r="E711" s="19">
        <f>IF($L711&lt;&gt;"",IF(INDEX(SCCitrus,$L711)&amp;INDEX(SCNotes,$L711)="","",IF(INDEX(SCCitrus,$L711)="","",INDEX(SCCitrus,$L711))&amp;IF(INDEX(SCNotes,$L711)="",""," — "&amp;INDEX(SCNotes,$L711))),IF($M711&lt;&gt;"",IF(INDEX(LdgNoteB,$M711)="","—",INDEX(LdgNoteB,$M711)),""))</f>
        <v/>
      </c>
      <c r="F711" s="20">
        <f>IF($L711&lt;&gt;"",IF(INDEX(SCNet,$L711)=0,"",INDEX(SCNet,$L711)),"")</f>
        <v/>
      </c>
      <c r="G711" s="21">
        <f>IF($L711&lt;&gt;"",IF(INDEX(SCOp,$L711)="مرجوعی فروش","",IF(INDEX(SCAmount,$L711)&lt;=0,"",INDEX(SCAmount,$L711))),IF($M711&lt;&gt;"",IF(INDEX(LdgWitB,$M711)=0,"",INDEX(LdgWitB,$M711)),""))</f>
        <v/>
      </c>
      <c r="H711" s="21">
        <f>IF($L711&lt;&gt;"",IF(INDEX(SCOp,$L711)="مرجوعی فروش",IF(INDEX(SCAmount,$L711)=0,"",-INDEX(SCAmount,$L711)),""),IF($M711&lt;&gt;"",IF(INDEX(LdgDepB,$M711)=0,"",INDEX(LdgDepB,$M711)),""))</f>
        <v/>
      </c>
      <c r="I711" s="22">
        <f>IF($B711="","",IF($I710="",$C$10,$I710)+IF($G711="",0,$G711)-IF($H711="",0,$H711))</f>
        <v/>
      </c>
      <c r="L711">
        <f>IFERROR(MATCH($C$5&amp;"|"&amp;RIGHT("000000"&amp;695,6),LdgRankKeyA,0),"")</f>
        <v/>
      </c>
      <c r="M711">
        <f>IFERROR(MATCH($C$5&amp;"|"&amp;RIGHT("000000"&amp;695,6),LdgRankKeyB,0),"")</f>
        <v/>
      </c>
    </row>
    <row r="712">
      <c r="A712" s="23" t="n">
        <v>696</v>
      </c>
      <c r="B712" s="24">
        <f>IF(AND($L712="",$M712=""),"",IF($L712&lt;&gt;"",INDEX(SCNormDate,$L712),INDEX(LdgDateB,$M712)))</f>
        <v/>
      </c>
      <c r="C712" s="24">
        <f>IF($L712&lt;&gt;"",INDEX(SCOp,$L712),IF($M712&lt;&gt;"","پرداخت بانکی",""))</f>
        <v/>
      </c>
      <c r="D712" s="24">
        <f>IF($L712&lt;&gt;"",IF(INDEX(SCDoc,$L712)="","—",INDEX(SCDoc,$L712)),IF($M712&lt;&gt;"",INDEX(LdgBankB,$M712),""))</f>
        <v/>
      </c>
      <c r="E712" s="25">
        <f>IF($L712&lt;&gt;"",IF(INDEX(SCCitrus,$L712)&amp;INDEX(SCNotes,$L712)="","",IF(INDEX(SCCitrus,$L712)="","",INDEX(SCCitrus,$L712))&amp;IF(INDEX(SCNotes,$L712)="",""," — "&amp;INDEX(SCNotes,$L712))),IF($M712&lt;&gt;"",IF(INDEX(LdgNoteB,$M712)="","—",INDEX(LdgNoteB,$M712)),""))</f>
        <v/>
      </c>
      <c r="F712" s="26">
        <f>IF($L712&lt;&gt;"",IF(INDEX(SCNet,$L712)=0,"",INDEX(SCNet,$L712)),"")</f>
        <v/>
      </c>
      <c r="G712" s="27">
        <f>IF($L712&lt;&gt;"",IF(INDEX(SCOp,$L712)="مرجوعی فروش","",IF(INDEX(SCAmount,$L712)&lt;=0,"",INDEX(SCAmount,$L712))),IF($M712&lt;&gt;"",IF(INDEX(LdgWitB,$M712)=0,"",INDEX(LdgWitB,$M712)),""))</f>
        <v/>
      </c>
      <c r="H712" s="27">
        <f>IF($L712&lt;&gt;"",IF(INDEX(SCOp,$L712)="مرجوعی فروش",IF(INDEX(SCAmount,$L712)=0,"",-INDEX(SCAmount,$L712)),""),IF($M712&lt;&gt;"",IF(INDEX(LdgDepB,$M712)=0,"",INDEX(LdgDepB,$M712)),""))</f>
        <v/>
      </c>
      <c r="I712" s="28">
        <f>IF($B712="","",IF($I711="",$C$10,$I711)+IF($G712="",0,$G712)-IF($H712="",0,$H712))</f>
        <v/>
      </c>
      <c r="L712">
        <f>IFERROR(MATCH($C$5&amp;"|"&amp;RIGHT("000000"&amp;696,6),LdgRankKeyA,0),"")</f>
        <v/>
      </c>
      <c r="M712">
        <f>IFERROR(MATCH($C$5&amp;"|"&amp;RIGHT("000000"&amp;696,6),LdgRankKeyB,0),"")</f>
        <v/>
      </c>
    </row>
    <row r="713">
      <c r="A713" s="17" t="n">
        <v>697</v>
      </c>
      <c r="B713" s="18">
        <f>IF(AND($L713="",$M713=""),"",IF($L713&lt;&gt;"",INDEX(SCNormDate,$L713),INDEX(LdgDateB,$M713)))</f>
        <v/>
      </c>
      <c r="C713" s="18">
        <f>IF($L713&lt;&gt;"",INDEX(SCOp,$L713),IF($M713&lt;&gt;"","پرداخت بانکی",""))</f>
        <v/>
      </c>
      <c r="D713" s="18">
        <f>IF($L713&lt;&gt;"",IF(INDEX(SCDoc,$L713)="","—",INDEX(SCDoc,$L713)),IF($M713&lt;&gt;"",INDEX(LdgBankB,$M713),""))</f>
        <v/>
      </c>
      <c r="E713" s="19">
        <f>IF($L713&lt;&gt;"",IF(INDEX(SCCitrus,$L713)&amp;INDEX(SCNotes,$L713)="","",IF(INDEX(SCCitrus,$L713)="","",INDEX(SCCitrus,$L713))&amp;IF(INDEX(SCNotes,$L713)="",""," — "&amp;INDEX(SCNotes,$L713))),IF($M713&lt;&gt;"",IF(INDEX(LdgNoteB,$M713)="","—",INDEX(LdgNoteB,$M713)),""))</f>
        <v/>
      </c>
      <c r="F713" s="20">
        <f>IF($L713&lt;&gt;"",IF(INDEX(SCNet,$L713)=0,"",INDEX(SCNet,$L713)),"")</f>
        <v/>
      </c>
      <c r="G713" s="21">
        <f>IF($L713&lt;&gt;"",IF(INDEX(SCOp,$L713)="مرجوعی فروش","",IF(INDEX(SCAmount,$L713)&lt;=0,"",INDEX(SCAmount,$L713))),IF($M713&lt;&gt;"",IF(INDEX(LdgWitB,$M713)=0,"",INDEX(LdgWitB,$M713)),""))</f>
        <v/>
      </c>
      <c r="H713" s="21">
        <f>IF($L713&lt;&gt;"",IF(INDEX(SCOp,$L713)="مرجوعی فروش",IF(INDEX(SCAmount,$L713)=0,"",-INDEX(SCAmount,$L713)),""),IF($M713&lt;&gt;"",IF(INDEX(LdgDepB,$M713)=0,"",INDEX(LdgDepB,$M713)),""))</f>
        <v/>
      </c>
      <c r="I713" s="22">
        <f>IF($B713="","",IF($I712="",$C$10,$I712)+IF($G713="",0,$G713)-IF($H713="",0,$H713))</f>
        <v/>
      </c>
      <c r="L713">
        <f>IFERROR(MATCH($C$5&amp;"|"&amp;RIGHT("000000"&amp;697,6),LdgRankKeyA,0),"")</f>
        <v/>
      </c>
      <c r="M713">
        <f>IFERROR(MATCH($C$5&amp;"|"&amp;RIGHT("000000"&amp;697,6),LdgRankKeyB,0),"")</f>
        <v/>
      </c>
    </row>
    <row r="714">
      <c r="A714" s="23" t="n">
        <v>698</v>
      </c>
      <c r="B714" s="24">
        <f>IF(AND($L714="",$M714=""),"",IF($L714&lt;&gt;"",INDEX(SCNormDate,$L714),INDEX(LdgDateB,$M714)))</f>
        <v/>
      </c>
      <c r="C714" s="24">
        <f>IF($L714&lt;&gt;"",INDEX(SCOp,$L714),IF($M714&lt;&gt;"","پرداخت بانکی",""))</f>
        <v/>
      </c>
      <c r="D714" s="24">
        <f>IF($L714&lt;&gt;"",IF(INDEX(SCDoc,$L714)="","—",INDEX(SCDoc,$L714)),IF($M714&lt;&gt;"",INDEX(LdgBankB,$M714),""))</f>
        <v/>
      </c>
      <c r="E714" s="25">
        <f>IF($L714&lt;&gt;"",IF(INDEX(SCCitrus,$L714)&amp;INDEX(SCNotes,$L714)="","",IF(INDEX(SCCitrus,$L714)="","",INDEX(SCCitrus,$L714))&amp;IF(INDEX(SCNotes,$L714)="",""," — "&amp;INDEX(SCNotes,$L714))),IF($M714&lt;&gt;"",IF(INDEX(LdgNoteB,$M714)="","—",INDEX(LdgNoteB,$M714)),""))</f>
        <v/>
      </c>
      <c r="F714" s="26">
        <f>IF($L714&lt;&gt;"",IF(INDEX(SCNet,$L714)=0,"",INDEX(SCNet,$L714)),"")</f>
        <v/>
      </c>
      <c r="G714" s="27">
        <f>IF($L714&lt;&gt;"",IF(INDEX(SCOp,$L714)="مرجوعی فروش","",IF(INDEX(SCAmount,$L714)&lt;=0,"",INDEX(SCAmount,$L714))),IF($M714&lt;&gt;"",IF(INDEX(LdgWitB,$M714)=0,"",INDEX(LdgWitB,$M714)),""))</f>
        <v/>
      </c>
      <c r="H714" s="27">
        <f>IF($L714&lt;&gt;"",IF(INDEX(SCOp,$L714)="مرجوعی فروش",IF(INDEX(SCAmount,$L714)=0,"",-INDEX(SCAmount,$L714)),""),IF($M714&lt;&gt;"",IF(INDEX(LdgDepB,$M714)=0,"",INDEX(LdgDepB,$M714)),""))</f>
        <v/>
      </c>
      <c r="I714" s="28">
        <f>IF($B714="","",IF($I713="",$C$10,$I713)+IF($G714="",0,$G714)-IF($H714="",0,$H714))</f>
        <v/>
      </c>
      <c r="L714">
        <f>IFERROR(MATCH($C$5&amp;"|"&amp;RIGHT("000000"&amp;698,6),LdgRankKeyA,0),"")</f>
        <v/>
      </c>
      <c r="M714">
        <f>IFERROR(MATCH($C$5&amp;"|"&amp;RIGHT("000000"&amp;698,6),LdgRankKeyB,0),"")</f>
        <v/>
      </c>
    </row>
    <row r="715">
      <c r="A715" s="17" t="n">
        <v>699</v>
      </c>
      <c r="B715" s="18">
        <f>IF(AND($L715="",$M715=""),"",IF($L715&lt;&gt;"",INDEX(SCNormDate,$L715),INDEX(LdgDateB,$M715)))</f>
        <v/>
      </c>
      <c r="C715" s="18">
        <f>IF($L715&lt;&gt;"",INDEX(SCOp,$L715),IF($M715&lt;&gt;"","پرداخت بانکی",""))</f>
        <v/>
      </c>
      <c r="D715" s="18">
        <f>IF($L715&lt;&gt;"",IF(INDEX(SCDoc,$L715)="","—",INDEX(SCDoc,$L715)),IF($M715&lt;&gt;"",INDEX(LdgBankB,$M715),""))</f>
        <v/>
      </c>
      <c r="E715" s="19">
        <f>IF($L715&lt;&gt;"",IF(INDEX(SCCitrus,$L715)&amp;INDEX(SCNotes,$L715)="","",IF(INDEX(SCCitrus,$L715)="","",INDEX(SCCitrus,$L715))&amp;IF(INDEX(SCNotes,$L715)="",""," — "&amp;INDEX(SCNotes,$L715))),IF($M715&lt;&gt;"",IF(INDEX(LdgNoteB,$M715)="","—",INDEX(LdgNoteB,$M715)),""))</f>
        <v/>
      </c>
      <c r="F715" s="20">
        <f>IF($L715&lt;&gt;"",IF(INDEX(SCNet,$L715)=0,"",INDEX(SCNet,$L715)),"")</f>
        <v/>
      </c>
      <c r="G715" s="21">
        <f>IF($L715&lt;&gt;"",IF(INDEX(SCOp,$L715)="مرجوعی فروش","",IF(INDEX(SCAmount,$L715)&lt;=0,"",INDEX(SCAmount,$L715))),IF($M715&lt;&gt;"",IF(INDEX(LdgWitB,$M715)=0,"",INDEX(LdgWitB,$M715)),""))</f>
        <v/>
      </c>
      <c r="H715" s="21">
        <f>IF($L715&lt;&gt;"",IF(INDEX(SCOp,$L715)="مرجوعی فروش",IF(INDEX(SCAmount,$L715)=0,"",-INDEX(SCAmount,$L715)),""),IF($M715&lt;&gt;"",IF(INDEX(LdgDepB,$M715)=0,"",INDEX(LdgDepB,$M715)),""))</f>
        <v/>
      </c>
      <c r="I715" s="22">
        <f>IF($B715="","",IF($I714="",$C$10,$I714)+IF($G715="",0,$G715)-IF($H715="",0,$H715))</f>
        <v/>
      </c>
      <c r="L715">
        <f>IFERROR(MATCH($C$5&amp;"|"&amp;RIGHT("000000"&amp;699,6),LdgRankKeyA,0),"")</f>
        <v/>
      </c>
      <c r="M715">
        <f>IFERROR(MATCH($C$5&amp;"|"&amp;RIGHT("000000"&amp;699,6),LdgRankKeyB,0),"")</f>
        <v/>
      </c>
    </row>
    <row r="716">
      <c r="A716" s="23" t="n">
        <v>700</v>
      </c>
      <c r="B716" s="24">
        <f>IF(AND($L716="",$M716=""),"",IF($L716&lt;&gt;"",INDEX(SCNormDate,$L716),INDEX(LdgDateB,$M716)))</f>
        <v/>
      </c>
      <c r="C716" s="24">
        <f>IF($L716&lt;&gt;"",INDEX(SCOp,$L716),IF($M716&lt;&gt;"","پرداخت بانکی",""))</f>
        <v/>
      </c>
      <c r="D716" s="24">
        <f>IF($L716&lt;&gt;"",IF(INDEX(SCDoc,$L716)="","—",INDEX(SCDoc,$L716)),IF($M716&lt;&gt;"",INDEX(LdgBankB,$M716),""))</f>
        <v/>
      </c>
      <c r="E716" s="25">
        <f>IF($L716&lt;&gt;"",IF(INDEX(SCCitrus,$L716)&amp;INDEX(SCNotes,$L716)="","",IF(INDEX(SCCitrus,$L716)="","",INDEX(SCCitrus,$L716))&amp;IF(INDEX(SCNotes,$L716)="",""," — "&amp;INDEX(SCNotes,$L716))),IF($M716&lt;&gt;"",IF(INDEX(LdgNoteB,$M716)="","—",INDEX(LdgNoteB,$M716)),""))</f>
        <v/>
      </c>
      <c r="F716" s="26">
        <f>IF($L716&lt;&gt;"",IF(INDEX(SCNet,$L716)=0,"",INDEX(SCNet,$L716)),"")</f>
        <v/>
      </c>
      <c r="G716" s="27">
        <f>IF($L716&lt;&gt;"",IF(INDEX(SCOp,$L716)="مرجوعی فروش","",IF(INDEX(SCAmount,$L716)&lt;=0,"",INDEX(SCAmount,$L716))),IF($M716&lt;&gt;"",IF(INDEX(LdgWitB,$M716)=0,"",INDEX(LdgWitB,$M716)),""))</f>
        <v/>
      </c>
      <c r="H716" s="27">
        <f>IF($L716&lt;&gt;"",IF(INDEX(SCOp,$L716)="مرجوعی فروش",IF(INDEX(SCAmount,$L716)=0,"",-INDEX(SCAmount,$L716)),""),IF($M716&lt;&gt;"",IF(INDEX(LdgDepB,$M716)=0,"",INDEX(LdgDepB,$M716)),""))</f>
        <v/>
      </c>
      <c r="I716" s="28">
        <f>IF($B716="","",IF($I715="",$C$10,$I715)+IF($G716="",0,$G716)-IF($H716="",0,$H716))</f>
        <v/>
      </c>
      <c r="L716">
        <f>IFERROR(MATCH($C$5&amp;"|"&amp;RIGHT("000000"&amp;700,6),LdgRankKeyA,0),"")</f>
        <v/>
      </c>
      <c r="M716">
        <f>IFERROR(MATCH($C$5&amp;"|"&amp;RIGHT("000000"&amp;700,6),LdgRankKeyB,0),"")</f>
        <v/>
      </c>
    </row>
    <row r="717">
      <c r="A717" s="17" t="n">
        <v>701</v>
      </c>
      <c r="B717" s="18">
        <f>IF(AND($L717="",$M717=""),"",IF($L717&lt;&gt;"",INDEX(SCNormDate,$L717),INDEX(LdgDateB,$M717)))</f>
        <v/>
      </c>
      <c r="C717" s="18">
        <f>IF($L717&lt;&gt;"",INDEX(SCOp,$L717),IF($M717&lt;&gt;"","پرداخت بانکی",""))</f>
        <v/>
      </c>
      <c r="D717" s="18">
        <f>IF($L717&lt;&gt;"",IF(INDEX(SCDoc,$L717)="","—",INDEX(SCDoc,$L717)),IF($M717&lt;&gt;"",INDEX(LdgBankB,$M717),""))</f>
        <v/>
      </c>
      <c r="E717" s="19">
        <f>IF($L717&lt;&gt;"",IF(INDEX(SCCitrus,$L717)&amp;INDEX(SCNotes,$L717)="","",IF(INDEX(SCCitrus,$L717)="","",INDEX(SCCitrus,$L717))&amp;IF(INDEX(SCNotes,$L717)="",""," — "&amp;INDEX(SCNotes,$L717))),IF($M717&lt;&gt;"",IF(INDEX(LdgNoteB,$M717)="","—",INDEX(LdgNoteB,$M717)),""))</f>
        <v/>
      </c>
      <c r="F717" s="20">
        <f>IF($L717&lt;&gt;"",IF(INDEX(SCNet,$L717)=0,"",INDEX(SCNet,$L717)),"")</f>
        <v/>
      </c>
      <c r="G717" s="21">
        <f>IF($L717&lt;&gt;"",IF(INDEX(SCOp,$L717)="مرجوعی فروش","",IF(INDEX(SCAmount,$L717)&lt;=0,"",INDEX(SCAmount,$L717))),IF($M717&lt;&gt;"",IF(INDEX(LdgWitB,$M717)=0,"",INDEX(LdgWitB,$M717)),""))</f>
        <v/>
      </c>
      <c r="H717" s="21">
        <f>IF($L717&lt;&gt;"",IF(INDEX(SCOp,$L717)="مرجوعی فروش",IF(INDEX(SCAmount,$L717)=0,"",-INDEX(SCAmount,$L717)),""),IF($M717&lt;&gt;"",IF(INDEX(LdgDepB,$M717)=0,"",INDEX(LdgDepB,$M717)),""))</f>
        <v/>
      </c>
      <c r="I717" s="22">
        <f>IF($B717="","",IF($I716="",$C$10,$I716)+IF($G717="",0,$G717)-IF($H717="",0,$H717))</f>
        <v/>
      </c>
      <c r="L717">
        <f>IFERROR(MATCH($C$5&amp;"|"&amp;RIGHT("000000"&amp;701,6),LdgRankKeyA,0),"")</f>
        <v/>
      </c>
      <c r="M717">
        <f>IFERROR(MATCH($C$5&amp;"|"&amp;RIGHT("000000"&amp;701,6),LdgRankKeyB,0),"")</f>
        <v/>
      </c>
    </row>
    <row r="718">
      <c r="A718" s="23" t="n">
        <v>702</v>
      </c>
      <c r="B718" s="24">
        <f>IF(AND($L718="",$M718=""),"",IF($L718&lt;&gt;"",INDEX(SCNormDate,$L718),INDEX(LdgDateB,$M718)))</f>
        <v/>
      </c>
      <c r="C718" s="24">
        <f>IF($L718&lt;&gt;"",INDEX(SCOp,$L718),IF($M718&lt;&gt;"","پرداخت بانکی",""))</f>
        <v/>
      </c>
      <c r="D718" s="24">
        <f>IF($L718&lt;&gt;"",IF(INDEX(SCDoc,$L718)="","—",INDEX(SCDoc,$L718)),IF($M718&lt;&gt;"",INDEX(LdgBankB,$M718),""))</f>
        <v/>
      </c>
      <c r="E718" s="25">
        <f>IF($L718&lt;&gt;"",IF(INDEX(SCCitrus,$L718)&amp;INDEX(SCNotes,$L718)="","",IF(INDEX(SCCitrus,$L718)="","",INDEX(SCCitrus,$L718))&amp;IF(INDEX(SCNotes,$L718)="",""," — "&amp;INDEX(SCNotes,$L718))),IF($M718&lt;&gt;"",IF(INDEX(LdgNoteB,$M718)="","—",INDEX(LdgNoteB,$M718)),""))</f>
        <v/>
      </c>
      <c r="F718" s="26">
        <f>IF($L718&lt;&gt;"",IF(INDEX(SCNet,$L718)=0,"",INDEX(SCNet,$L718)),"")</f>
        <v/>
      </c>
      <c r="G718" s="27">
        <f>IF($L718&lt;&gt;"",IF(INDEX(SCOp,$L718)="مرجوعی فروش","",IF(INDEX(SCAmount,$L718)&lt;=0,"",INDEX(SCAmount,$L718))),IF($M718&lt;&gt;"",IF(INDEX(LdgWitB,$M718)=0,"",INDEX(LdgWitB,$M718)),""))</f>
        <v/>
      </c>
      <c r="H718" s="27">
        <f>IF($L718&lt;&gt;"",IF(INDEX(SCOp,$L718)="مرجوعی فروش",IF(INDEX(SCAmount,$L718)=0,"",-INDEX(SCAmount,$L718)),""),IF($M718&lt;&gt;"",IF(INDEX(LdgDepB,$M718)=0,"",INDEX(LdgDepB,$M718)),""))</f>
        <v/>
      </c>
      <c r="I718" s="28">
        <f>IF($B718="","",IF($I717="",$C$10,$I717)+IF($G718="",0,$G718)-IF($H718="",0,$H718))</f>
        <v/>
      </c>
      <c r="L718">
        <f>IFERROR(MATCH($C$5&amp;"|"&amp;RIGHT("000000"&amp;702,6),LdgRankKeyA,0),"")</f>
        <v/>
      </c>
      <c r="M718">
        <f>IFERROR(MATCH($C$5&amp;"|"&amp;RIGHT("000000"&amp;702,6),LdgRankKeyB,0),"")</f>
        <v/>
      </c>
    </row>
    <row r="719">
      <c r="A719" s="17" t="n">
        <v>703</v>
      </c>
      <c r="B719" s="18">
        <f>IF(AND($L719="",$M719=""),"",IF($L719&lt;&gt;"",INDEX(SCNormDate,$L719),INDEX(LdgDateB,$M719)))</f>
        <v/>
      </c>
      <c r="C719" s="18">
        <f>IF($L719&lt;&gt;"",INDEX(SCOp,$L719),IF($M719&lt;&gt;"","پرداخت بانکی",""))</f>
        <v/>
      </c>
      <c r="D719" s="18">
        <f>IF($L719&lt;&gt;"",IF(INDEX(SCDoc,$L719)="","—",INDEX(SCDoc,$L719)),IF($M719&lt;&gt;"",INDEX(LdgBankB,$M719),""))</f>
        <v/>
      </c>
      <c r="E719" s="19">
        <f>IF($L719&lt;&gt;"",IF(INDEX(SCCitrus,$L719)&amp;INDEX(SCNotes,$L719)="","",IF(INDEX(SCCitrus,$L719)="","",INDEX(SCCitrus,$L719))&amp;IF(INDEX(SCNotes,$L719)="",""," — "&amp;INDEX(SCNotes,$L719))),IF($M719&lt;&gt;"",IF(INDEX(LdgNoteB,$M719)="","—",INDEX(LdgNoteB,$M719)),""))</f>
        <v/>
      </c>
      <c r="F719" s="20">
        <f>IF($L719&lt;&gt;"",IF(INDEX(SCNet,$L719)=0,"",INDEX(SCNet,$L719)),"")</f>
        <v/>
      </c>
      <c r="G719" s="21">
        <f>IF($L719&lt;&gt;"",IF(INDEX(SCOp,$L719)="مرجوعی فروش","",IF(INDEX(SCAmount,$L719)&lt;=0,"",INDEX(SCAmount,$L719))),IF($M719&lt;&gt;"",IF(INDEX(LdgWitB,$M719)=0,"",INDEX(LdgWitB,$M719)),""))</f>
        <v/>
      </c>
      <c r="H719" s="21">
        <f>IF($L719&lt;&gt;"",IF(INDEX(SCOp,$L719)="مرجوعی فروش",IF(INDEX(SCAmount,$L719)=0,"",-INDEX(SCAmount,$L719)),""),IF($M719&lt;&gt;"",IF(INDEX(LdgDepB,$M719)=0,"",INDEX(LdgDepB,$M719)),""))</f>
        <v/>
      </c>
      <c r="I719" s="22">
        <f>IF($B719="","",IF($I718="",$C$10,$I718)+IF($G719="",0,$G719)-IF($H719="",0,$H719))</f>
        <v/>
      </c>
      <c r="L719">
        <f>IFERROR(MATCH($C$5&amp;"|"&amp;RIGHT("000000"&amp;703,6),LdgRankKeyA,0),"")</f>
        <v/>
      </c>
      <c r="M719">
        <f>IFERROR(MATCH($C$5&amp;"|"&amp;RIGHT("000000"&amp;703,6),LdgRankKeyB,0),"")</f>
        <v/>
      </c>
    </row>
    <row r="720">
      <c r="A720" s="23" t="n">
        <v>704</v>
      </c>
      <c r="B720" s="24">
        <f>IF(AND($L720="",$M720=""),"",IF($L720&lt;&gt;"",INDEX(SCNormDate,$L720),INDEX(LdgDateB,$M720)))</f>
        <v/>
      </c>
      <c r="C720" s="24">
        <f>IF($L720&lt;&gt;"",INDEX(SCOp,$L720),IF($M720&lt;&gt;"","پرداخت بانکی",""))</f>
        <v/>
      </c>
      <c r="D720" s="24">
        <f>IF($L720&lt;&gt;"",IF(INDEX(SCDoc,$L720)="","—",INDEX(SCDoc,$L720)),IF($M720&lt;&gt;"",INDEX(LdgBankB,$M720),""))</f>
        <v/>
      </c>
      <c r="E720" s="25">
        <f>IF($L720&lt;&gt;"",IF(INDEX(SCCitrus,$L720)&amp;INDEX(SCNotes,$L720)="","",IF(INDEX(SCCitrus,$L720)="","",INDEX(SCCitrus,$L720))&amp;IF(INDEX(SCNotes,$L720)="",""," — "&amp;INDEX(SCNotes,$L720))),IF($M720&lt;&gt;"",IF(INDEX(LdgNoteB,$M720)="","—",INDEX(LdgNoteB,$M720)),""))</f>
        <v/>
      </c>
      <c r="F720" s="26">
        <f>IF($L720&lt;&gt;"",IF(INDEX(SCNet,$L720)=0,"",INDEX(SCNet,$L720)),"")</f>
        <v/>
      </c>
      <c r="G720" s="27">
        <f>IF($L720&lt;&gt;"",IF(INDEX(SCOp,$L720)="مرجوعی فروش","",IF(INDEX(SCAmount,$L720)&lt;=0,"",INDEX(SCAmount,$L720))),IF($M720&lt;&gt;"",IF(INDEX(LdgWitB,$M720)=0,"",INDEX(LdgWitB,$M720)),""))</f>
        <v/>
      </c>
      <c r="H720" s="27">
        <f>IF($L720&lt;&gt;"",IF(INDEX(SCOp,$L720)="مرجوعی فروش",IF(INDEX(SCAmount,$L720)=0,"",-INDEX(SCAmount,$L720)),""),IF($M720&lt;&gt;"",IF(INDEX(LdgDepB,$M720)=0,"",INDEX(LdgDepB,$M720)),""))</f>
        <v/>
      </c>
      <c r="I720" s="28">
        <f>IF($B720="","",IF($I719="",$C$10,$I719)+IF($G720="",0,$G720)-IF($H720="",0,$H720))</f>
        <v/>
      </c>
      <c r="L720">
        <f>IFERROR(MATCH($C$5&amp;"|"&amp;RIGHT("000000"&amp;704,6),LdgRankKeyA,0),"")</f>
        <v/>
      </c>
      <c r="M720">
        <f>IFERROR(MATCH($C$5&amp;"|"&amp;RIGHT("000000"&amp;704,6),LdgRankKeyB,0),"")</f>
        <v/>
      </c>
    </row>
    <row r="721">
      <c r="A721" s="17" t="n">
        <v>705</v>
      </c>
      <c r="B721" s="18">
        <f>IF(AND($L721="",$M721=""),"",IF($L721&lt;&gt;"",INDEX(SCNormDate,$L721),INDEX(LdgDateB,$M721)))</f>
        <v/>
      </c>
      <c r="C721" s="18">
        <f>IF($L721&lt;&gt;"",INDEX(SCOp,$L721),IF($M721&lt;&gt;"","پرداخت بانکی",""))</f>
        <v/>
      </c>
      <c r="D721" s="18">
        <f>IF($L721&lt;&gt;"",IF(INDEX(SCDoc,$L721)="","—",INDEX(SCDoc,$L721)),IF($M721&lt;&gt;"",INDEX(LdgBankB,$M721),""))</f>
        <v/>
      </c>
      <c r="E721" s="19">
        <f>IF($L721&lt;&gt;"",IF(INDEX(SCCitrus,$L721)&amp;INDEX(SCNotes,$L721)="","",IF(INDEX(SCCitrus,$L721)="","",INDEX(SCCitrus,$L721))&amp;IF(INDEX(SCNotes,$L721)="",""," — "&amp;INDEX(SCNotes,$L721))),IF($M721&lt;&gt;"",IF(INDEX(LdgNoteB,$M721)="","—",INDEX(LdgNoteB,$M721)),""))</f>
        <v/>
      </c>
      <c r="F721" s="20">
        <f>IF($L721&lt;&gt;"",IF(INDEX(SCNet,$L721)=0,"",INDEX(SCNet,$L721)),"")</f>
        <v/>
      </c>
      <c r="G721" s="21">
        <f>IF($L721&lt;&gt;"",IF(INDEX(SCOp,$L721)="مرجوعی فروش","",IF(INDEX(SCAmount,$L721)&lt;=0,"",INDEX(SCAmount,$L721))),IF($M721&lt;&gt;"",IF(INDEX(LdgWitB,$M721)=0,"",INDEX(LdgWitB,$M721)),""))</f>
        <v/>
      </c>
      <c r="H721" s="21">
        <f>IF($L721&lt;&gt;"",IF(INDEX(SCOp,$L721)="مرجوعی فروش",IF(INDEX(SCAmount,$L721)=0,"",-INDEX(SCAmount,$L721)),""),IF($M721&lt;&gt;"",IF(INDEX(LdgDepB,$M721)=0,"",INDEX(LdgDepB,$M721)),""))</f>
        <v/>
      </c>
      <c r="I721" s="22">
        <f>IF($B721="","",IF($I720="",$C$10,$I720)+IF($G721="",0,$G721)-IF($H721="",0,$H721))</f>
        <v/>
      </c>
      <c r="L721">
        <f>IFERROR(MATCH($C$5&amp;"|"&amp;RIGHT("000000"&amp;705,6),LdgRankKeyA,0),"")</f>
        <v/>
      </c>
      <c r="M721">
        <f>IFERROR(MATCH($C$5&amp;"|"&amp;RIGHT("000000"&amp;705,6),LdgRankKeyB,0),"")</f>
        <v/>
      </c>
    </row>
    <row r="722">
      <c r="A722" s="23" t="n">
        <v>706</v>
      </c>
      <c r="B722" s="24">
        <f>IF(AND($L722="",$M722=""),"",IF($L722&lt;&gt;"",INDEX(SCNormDate,$L722),INDEX(LdgDateB,$M722)))</f>
        <v/>
      </c>
      <c r="C722" s="24">
        <f>IF($L722&lt;&gt;"",INDEX(SCOp,$L722),IF($M722&lt;&gt;"","پرداخت بانکی",""))</f>
        <v/>
      </c>
      <c r="D722" s="24">
        <f>IF($L722&lt;&gt;"",IF(INDEX(SCDoc,$L722)="","—",INDEX(SCDoc,$L722)),IF($M722&lt;&gt;"",INDEX(LdgBankB,$M722),""))</f>
        <v/>
      </c>
      <c r="E722" s="25">
        <f>IF($L722&lt;&gt;"",IF(INDEX(SCCitrus,$L722)&amp;INDEX(SCNotes,$L722)="","",IF(INDEX(SCCitrus,$L722)="","",INDEX(SCCitrus,$L722))&amp;IF(INDEX(SCNotes,$L722)="",""," — "&amp;INDEX(SCNotes,$L722))),IF($M722&lt;&gt;"",IF(INDEX(LdgNoteB,$M722)="","—",INDEX(LdgNoteB,$M722)),""))</f>
        <v/>
      </c>
      <c r="F722" s="26">
        <f>IF($L722&lt;&gt;"",IF(INDEX(SCNet,$L722)=0,"",INDEX(SCNet,$L722)),"")</f>
        <v/>
      </c>
      <c r="G722" s="27">
        <f>IF($L722&lt;&gt;"",IF(INDEX(SCOp,$L722)="مرجوعی فروش","",IF(INDEX(SCAmount,$L722)&lt;=0,"",INDEX(SCAmount,$L722))),IF($M722&lt;&gt;"",IF(INDEX(LdgWitB,$M722)=0,"",INDEX(LdgWitB,$M722)),""))</f>
        <v/>
      </c>
      <c r="H722" s="27">
        <f>IF($L722&lt;&gt;"",IF(INDEX(SCOp,$L722)="مرجوعی فروش",IF(INDEX(SCAmount,$L722)=0,"",-INDEX(SCAmount,$L722)),""),IF($M722&lt;&gt;"",IF(INDEX(LdgDepB,$M722)=0,"",INDEX(LdgDepB,$M722)),""))</f>
        <v/>
      </c>
      <c r="I722" s="28">
        <f>IF($B722="","",IF($I721="",$C$10,$I721)+IF($G722="",0,$G722)-IF($H722="",0,$H722))</f>
        <v/>
      </c>
      <c r="L722">
        <f>IFERROR(MATCH($C$5&amp;"|"&amp;RIGHT("000000"&amp;706,6),LdgRankKeyA,0),"")</f>
        <v/>
      </c>
      <c r="M722">
        <f>IFERROR(MATCH($C$5&amp;"|"&amp;RIGHT("000000"&amp;706,6),LdgRankKeyB,0),"")</f>
        <v/>
      </c>
    </row>
    <row r="723">
      <c r="A723" s="17" t="n">
        <v>707</v>
      </c>
      <c r="B723" s="18">
        <f>IF(AND($L723="",$M723=""),"",IF($L723&lt;&gt;"",INDEX(SCNormDate,$L723),INDEX(LdgDateB,$M723)))</f>
        <v/>
      </c>
      <c r="C723" s="18">
        <f>IF($L723&lt;&gt;"",INDEX(SCOp,$L723),IF($M723&lt;&gt;"","پرداخت بانکی",""))</f>
        <v/>
      </c>
      <c r="D723" s="18">
        <f>IF($L723&lt;&gt;"",IF(INDEX(SCDoc,$L723)="","—",INDEX(SCDoc,$L723)),IF($M723&lt;&gt;"",INDEX(LdgBankB,$M723),""))</f>
        <v/>
      </c>
      <c r="E723" s="19">
        <f>IF($L723&lt;&gt;"",IF(INDEX(SCCitrus,$L723)&amp;INDEX(SCNotes,$L723)="","",IF(INDEX(SCCitrus,$L723)="","",INDEX(SCCitrus,$L723))&amp;IF(INDEX(SCNotes,$L723)="",""," — "&amp;INDEX(SCNotes,$L723))),IF($M723&lt;&gt;"",IF(INDEX(LdgNoteB,$M723)="","—",INDEX(LdgNoteB,$M723)),""))</f>
        <v/>
      </c>
      <c r="F723" s="20">
        <f>IF($L723&lt;&gt;"",IF(INDEX(SCNet,$L723)=0,"",INDEX(SCNet,$L723)),"")</f>
        <v/>
      </c>
      <c r="G723" s="21">
        <f>IF($L723&lt;&gt;"",IF(INDEX(SCOp,$L723)="مرجوعی فروش","",IF(INDEX(SCAmount,$L723)&lt;=0,"",INDEX(SCAmount,$L723))),IF($M723&lt;&gt;"",IF(INDEX(LdgWitB,$M723)=0,"",INDEX(LdgWitB,$M723)),""))</f>
        <v/>
      </c>
      <c r="H723" s="21">
        <f>IF($L723&lt;&gt;"",IF(INDEX(SCOp,$L723)="مرجوعی فروش",IF(INDEX(SCAmount,$L723)=0,"",-INDEX(SCAmount,$L723)),""),IF($M723&lt;&gt;"",IF(INDEX(LdgDepB,$M723)=0,"",INDEX(LdgDepB,$M723)),""))</f>
        <v/>
      </c>
      <c r="I723" s="22">
        <f>IF($B723="","",IF($I722="",$C$10,$I722)+IF($G723="",0,$G723)-IF($H723="",0,$H723))</f>
        <v/>
      </c>
      <c r="L723">
        <f>IFERROR(MATCH($C$5&amp;"|"&amp;RIGHT("000000"&amp;707,6),LdgRankKeyA,0),"")</f>
        <v/>
      </c>
      <c r="M723">
        <f>IFERROR(MATCH($C$5&amp;"|"&amp;RIGHT("000000"&amp;707,6),LdgRankKeyB,0),"")</f>
        <v/>
      </c>
    </row>
    <row r="724">
      <c r="A724" s="23" t="n">
        <v>708</v>
      </c>
      <c r="B724" s="24">
        <f>IF(AND($L724="",$M724=""),"",IF($L724&lt;&gt;"",INDEX(SCNormDate,$L724),INDEX(LdgDateB,$M724)))</f>
        <v/>
      </c>
      <c r="C724" s="24">
        <f>IF($L724&lt;&gt;"",INDEX(SCOp,$L724),IF($M724&lt;&gt;"","پرداخت بانکی",""))</f>
        <v/>
      </c>
      <c r="D724" s="24">
        <f>IF($L724&lt;&gt;"",IF(INDEX(SCDoc,$L724)="","—",INDEX(SCDoc,$L724)),IF($M724&lt;&gt;"",INDEX(LdgBankB,$M724),""))</f>
        <v/>
      </c>
      <c r="E724" s="25">
        <f>IF($L724&lt;&gt;"",IF(INDEX(SCCitrus,$L724)&amp;INDEX(SCNotes,$L724)="","",IF(INDEX(SCCitrus,$L724)="","",INDEX(SCCitrus,$L724))&amp;IF(INDEX(SCNotes,$L724)="",""," — "&amp;INDEX(SCNotes,$L724))),IF($M724&lt;&gt;"",IF(INDEX(LdgNoteB,$M724)="","—",INDEX(LdgNoteB,$M724)),""))</f>
        <v/>
      </c>
      <c r="F724" s="26">
        <f>IF($L724&lt;&gt;"",IF(INDEX(SCNet,$L724)=0,"",INDEX(SCNet,$L724)),"")</f>
        <v/>
      </c>
      <c r="G724" s="27">
        <f>IF($L724&lt;&gt;"",IF(INDEX(SCOp,$L724)="مرجوعی فروش","",IF(INDEX(SCAmount,$L724)&lt;=0,"",INDEX(SCAmount,$L724))),IF($M724&lt;&gt;"",IF(INDEX(LdgWitB,$M724)=0,"",INDEX(LdgWitB,$M724)),""))</f>
        <v/>
      </c>
      <c r="H724" s="27">
        <f>IF($L724&lt;&gt;"",IF(INDEX(SCOp,$L724)="مرجوعی فروش",IF(INDEX(SCAmount,$L724)=0,"",-INDEX(SCAmount,$L724)),""),IF($M724&lt;&gt;"",IF(INDEX(LdgDepB,$M724)=0,"",INDEX(LdgDepB,$M724)),""))</f>
        <v/>
      </c>
      <c r="I724" s="28">
        <f>IF($B724="","",IF($I723="",$C$10,$I723)+IF($G724="",0,$G724)-IF($H724="",0,$H724))</f>
        <v/>
      </c>
      <c r="L724">
        <f>IFERROR(MATCH($C$5&amp;"|"&amp;RIGHT("000000"&amp;708,6),LdgRankKeyA,0),"")</f>
        <v/>
      </c>
      <c r="M724">
        <f>IFERROR(MATCH($C$5&amp;"|"&amp;RIGHT("000000"&amp;708,6),LdgRankKeyB,0),"")</f>
        <v/>
      </c>
    </row>
    <row r="725">
      <c r="A725" s="17" t="n">
        <v>709</v>
      </c>
      <c r="B725" s="18">
        <f>IF(AND($L725="",$M725=""),"",IF($L725&lt;&gt;"",INDEX(SCNormDate,$L725),INDEX(LdgDateB,$M725)))</f>
        <v/>
      </c>
      <c r="C725" s="18">
        <f>IF($L725&lt;&gt;"",INDEX(SCOp,$L725),IF($M725&lt;&gt;"","پرداخت بانکی",""))</f>
        <v/>
      </c>
      <c r="D725" s="18">
        <f>IF($L725&lt;&gt;"",IF(INDEX(SCDoc,$L725)="","—",INDEX(SCDoc,$L725)),IF($M725&lt;&gt;"",INDEX(LdgBankB,$M725),""))</f>
        <v/>
      </c>
      <c r="E725" s="19">
        <f>IF($L725&lt;&gt;"",IF(INDEX(SCCitrus,$L725)&amp;INDEX(SCNotes,$L725)="","",IF(INDEX(SCCitrus,$L725)="","",INDEX(SCCitrus,$L725))&amp;IF(INDEX(SCNotes,$L725)="",""," — "&amp;INDEX(SCNotes,$L725))),IF($M725&lt;&gt;"",IF(INDEX(LdgNoteB,$M725)="","—",INDEX(LdgNoteB,$M725)),""))</f>
        <v/>
      </c>
      <c r="F725" s="20">
        <f>IF($L725&lt;&gt;"",IF(INDEX(SCNet,$L725)=0,"",INDEX(SCNet,$L725)),"")</f>
        <v/>
      </c>
      <c r="G725" s="21">
        <f>IF($L725&lt;&gt;"",IF(INDEX(SCOp,$L725)="مرجوعی فروش","",IF(INDEX(SCAmount,$L725)&lt;=0,"",INDEX(SCAmount,$L725))),IF($M725&lt;&gt;"",IF(INDEX(LdgWitB,$M725)=0,"",INDEX(LdgWitB,$M725)),""))</f>
        <v/>
      </c>
      <c r="H725" s="21">
        <f>IF($L725&lt;&gt;"",IF(INDEX(SCOp,$L725)="مرجوعی فروش",IF(INDEX(SCAmount,$L725)=0,"",-INDEX(SCAmount,$L725)),""),IF($M725&lt;&gt;"",IF(INDEX(LdgDepB,$M725)=0,"",INDEX(LdgDepB,$M725)),""))</f>
        <v/>
      </c>
      <c r="I725" s="22">
        <f>IF($B725="","",IF($I724="",$C$10,$I724)+IF($G725="",0,$G725)-IF($H725="",0,$H725))</f>
        <v/>
      </c>
      <c r="L725">
        <f>IFERROR(MATCH($C$5&amp;"|"&amp;RIGHT("000000"&amp;709,6),LdgRankKeyA,0),"")</f>
        <v/>
      </c>
      <c r="M725">
        <f>IFERROR(MATCH($C$5&amp;"|"&amp;RIGHT("000000"&amp;709,6),LdgRankKeyB,0),"")</f>
        <v/>
      </c>
    </row>
    <row r="726">
      <c r="A726" s="23" t="n">
        <v>710</v>
      </c>
      <c r="B726" s="24">
        <f>IF(AND($L726="",$M726=""),"",IF($L726&lt;&gt;"",INDEX(SCNormDate,$L726),INDEX(LdgDateB,$M726)))</f>
        <v/>
      </c>
      <c r="C726" s="24">
        <f>IF($L726&lt;&gt;"",INDEX(SCOp,$L726),IF($M726&lt;&gt;"","پرداخت بانکی",""))</f>
        <v/>
      </c>
      <c r="D726" s="24">
        <f>IF($L726&lt;&gt;"",IF(INDEX(SCDoc,$L726)="","—",INDEX(SCDoc,$L726)),IF($M726&lt;&gt;"",INDEX(LdgBankB,$M726),""))</f>
        <v/>
      </c>
      <c r="E726" s="25">
        <f>IF($L726&lt;&gt;"",IF(INDEX(SCCitrus,$L726)&amp;INDEX(SCNotes,$L726)="","",IF(INDEX(SCCitrus,$L726)="","",INDEX(SCCitrus,$L726))&amp;IF(INDEX(SCNotes,$L726)="",""," — "&amp;INDEX(SCNotes,$L726))),IF($M726&lt;&gt;"",IF(INDEX(LdgNoteB,$M726)="","—",INDEX(LdgNoteB,$M726)),""))</f>
        <v/>
      </c>
      <c r="F726" s="26">
        <f>IF($L726&lt;&gt;"",IF(INDEX(SCNet,$L726)=0,"",INDEX(SCNet,$L726)),"")</f>
        <v/>
      </c>
      <c r="G726" s="27">
        <f>IF($L726&lt;&gt;"",IF(INDEX(SCOp,$L726)="مرجوعی فروش","",IF(INDEX(SCAmount,$L726)&lt;=0,"",INDEX(SCAmount,$L726))),IF($M726&lt;&gt;"",IF(INDEX(LdgWitB,$M726)=0,"",INDEX(LdgWitB,$M726)),""))</f>
        <v/>
      </c>
      <c r="H726" s="27">
        <f>IF($L726&lt;&gt;"",IF(INDEX(SCOp,$L726)="مرجوعی فروش",IF(INDEX(SCAmount,$L726)=0,"",-INDEX(SCAmount,$L726)),""),IF($M726&lt;&gt;"",IF(INDEX(LdgDepB,$M726)=0,"",INDEX(LdgDepB,$M726)),""))</f>
        <v/>
      </c>
      <c r="I726" s="28">
        <f>IF($B726="","",IF($I725="",$C$10,$I725)+IF($G726="",0,$G726)-IF($H726="",0,$H726))</f>
        <v/>
      </c>
      <c r="L726">
        <f>IFERROR(MATCH($C$5&amp;"|"&amp;RIGHT("000000"&amp;710,6),LdgRankKeyA,0),"")</f>
        <v/>
      </c>
      <c r="M726">
        <f>IFERROR(MATCH($C$5&amp;"|"&amp;RIGHT("000000"&amp;710,6),LdgRankKeyB,0),"")</f>
        <v/>
      </c>
    </row>
    <row r="727">
      <c r="A727" s="17" t="n">
        <v>711</v>
      </c>
      <c r="B727" s="18">
        <f>IF(AND($L727="",$M727=""),"",IF($L727&lt;&gt;"",INDEX(SCNormDate,$L727),INDEX(LdgDateB,$M727)))</f>
        <v/>
      </c>
      <c r="C727" s="18">
        <f>IF($L727&lt;&gt;"",INDEX(SCOp,$L727),IF($M727&lt;&gt;"","پرداخت بانکی",""))</f>
        <v/>
      </c>
      <c r="D727" s="18">
        <f>IF($L727&lt;&gt;"",IF(INDEX(SCDoc,$L727)="","—",INDEX(SCDoc,$L727)),IF($M727&lt;&gt;"",INDEX(LdgBankB,$M727),""))</f>
        <v/>
      </c>
      <c r="E727" s="19">
        <f>IF($L727&lt;&gt;"",IF(INDEX(SCCitrus,$L727)&amp;INDEX(SCNotes,$L727)="","",IF(INDEX(SCCitrus,$L727)="","",INDEX(SCCitrus,$L727))&amp;IF(INDEX(SCNotes,$L727)="",""," — "&amp;INDEX(SCNotes,$L727))),IF($M727&lt;&gt;"",IF(INDEX(LdgNoteB,$M727)="","—",INDEX(LdgNoteB,$M727)),""))</f>
        <v/>
      </c>
      <c r="F727" s="20">
        <f>IF($L727&lt;&gt;"",IF(INDEX(SCNet,$L727)=0,"",INDEX(SCNet,$L727)),"")</f>
        <v/>
      </c>
      <c r="G727" s="21">
        <f>IF($L727&lt;&gt;"",IF(INDEX(SCOp,$L727)="مرجوعی فروش","",IF(INDEX(SCAmount,$L727)&lt;=0,"",INDEX(SCAmount,$L727))),IF($M727&lt;&gt;"",IF(INDEX(LdgWitB,$M727)=0,"",INDEX(LdgWitB,$M727)),""))</f>
        <v/>
      </c>
      <c r="H727" s="21">
        <f>IF($L727&lt;&gt;"",IF(INDEX(SCOp,$L727)="مرجوعی فروش",IF(INDEX(SCAmount,$L727)=0,"",-INDEX(SCAmount,$L727)),""),IF($M727&lt;&gt;"",IF(INDEX(LdgDepB,$M727)=0,"",INDEX(LdgDepB,$M727)),""))</f>
        <v/>
      </c>
      <c r="I727" s="22">
        <f>IF($B727="","",IF($I726="",$C$10,$I726)+IF($G727="",0,$G727)-IF($H727="",0,$H727))</f>
        <v/>
      </c>
      <c r="L727">
        <f>IFERROR(MATCH($C$5&amp;"|"&amp;RIGHT("000000"&amp;711,6),LdgRankKeyA,0),"")</f>
        <v/>
      </c>
      <c r="M727">
        <f>IFERROR(MATCH($C$5&amp;"|"&amp;RIGHT("000000"&amp;711,6),LdgRankKeyB,0),"")</f>
        <v/>
      </c>
    </row>
    <row r="728">
      <c r="A728" s="23" t="n">
        <v>712</v>
      </c>
      <c r="B728" s="24">
        <f>IF(AND($L728="",$M728=""),"",IF($L728&lt;&gt;"",INDEX(SCNormDate,$L728),INDEX(LdgDateB,$M728)))</f>
        <v/>
      </c>
      <c r="C728" s="24">
        <f>IF($L728&lt;&gt;"",INDEX(SCOp,$L728),IF($M728&lt;&gt;"","پرداخت بانکی",""))</f>
        <v/>
      </c>
      <c r="D728" s="24">
        <f>IF($L728&lt;&gt;"",IF(INDEX(SCDoc,$L728)="","—",INDEX(SCDoc,$L728)),IF($M728&lt;&gt;"",INDEX(LdgBankB,$M728),""))</f>
        <v/>
      </c>
      <c r="E728" s="25">
        <f>IF($L728&lt;&gt;"",IF(INDEX(SCCitrus,$L728)&amp;INDEX(SCNotes,$L728)="","",IF(INDEX(SCCitrus,$L728)="","",INDEX(SCCitrus,$L728))&amp;IF(INDEX(SCNotes,$L728)="",""," — "&amp;INDEX(SCNotes,$L728))),IF($M728&lt;&gt;"",IF(INDEX(LdgNoteB,$M728)="","—",INDEX(LdgNoteB,$M728)),""))</f>
        <v/>
      </c>
      <c r="F728" s="26">
        <f>IF($L728&lt;&gt;"",IF(INDEX(SCNet,$L728)=0,"",INDEX(SCNet,$L728)),"")</f>
        <v/>
      </c>
      <c r="G728" s="27">
        <f>IF($L728&lt;&gt;"",IF(INDEX(SCOp,$L728)="مرجوعی فروش","",IF(INDEX(SCAmount,$L728)&lt;=0,"",INDEX(SCAmount,$L728))),IF($M728&lt;&gt;"",IF(INDEX(LdgWitB,$M728)=0,"",INDEX(LdgWitB,$M728)),""))</f>
        <v/>
      </c>
      <c r="H728" s="27">
        <f>IF($L728&lt;&gt;"",IF(INDEX(SCOp,$L728)="مرجوعی فروش",IF(INDEX(SCAmount,$L728)=0,"",-INDEX(SCAmount,$L728)),""),IF($M728&lt;&gt;"",IF(INDEX(LdgDepB,$M728)=0,"",INDEX(LdgDepB,$M728)),""))</f>
        <v/>
      </c>
      <c r="I728" s="28">
        <f>IF($B728="","",IF($I727="",$C$10,$I727)+IF($G728="",0,$G728)-IF($H728="",0,$H728))</f>
        <v/>
      </c>
      <c r="L728">
        <f>IFERROR(MATCH($C$5&amp;"|"&amp;RIGHT("000000"&amp;712,6),LdgRankKeyA,0),"")</f>
        <v/>
      </c>
      <c r="M728">
        <f>IFERROR(MATCH($C$5&amp;"|"&amp;RIGHT("000000"&amp;712,6),LdgRankKeyB,0),"")</f>
        <v/>
      </c>
    </row>
    <row r="729">
      <c r="A729" s="17" t="n">
        <v>713</v>
      </c>
      <c r="B729" s="18">
        <f>IF(AND($L729="",$M729=""),"",IF($L729&lt;&gt;"",INDEX(SCNormDate,$L729),INDEX(LdgDateB,$M729)))</f>
        <v/>
      </c>
      <c r="C729" s="18">
        <f>IF($L729&lt;&gt;"",INDEX(SCOp,$L729),IF($M729&lt;&gt;"","پرداخت بانکی",""))</f>
        <v/>
      </c>
      <c r="D729" s="18">
        <f>IF($L729&lt;&gt;"",IF(INDEX(SCDoc,$L729)="","—",INDEX(SCDoc,$L729)),IF($M729&lt;&gt;"",INDEX(LdgBankB,$M729),""))</f>
        <v/>
      </c>
      <c r="E729" s="19">
        <f>IF($L729&lt;&gt;"",IF(INDEX(SCCitrus,$L729)&amp;INDEX(SCNotes,$L729)="","",IF(INDEX(SCCitrus,$L729)="","",INDEX(SCCitrus,$L729))&amp;IF(INDEX(SCNotes,$L729)="",""," — "&amp;INDEX(SCNotes,$L729))),IF($M729&lt;&gt;"",IF(INDEX(LdgNoteB,$M729)="","—",INDEX(LdgNoteB,$M729)),""))</f>
        <v/>
      </c>
      <c r="F729" s="20">
        <f>IF($L729&lt;&gt;"",IF(INDEX(SCNet,$L729)=0,"",INDEX(SCNet,$L729)),"")</f>
        <v/>
      </c>
      <c r="G729" s="21">
        <f>IF($L729&lt;&gt;"",IF(INDEX(SCOp,$L729)="مرجوعی فروش","",IF(INDEX(SCAmount,$L729)&lt;=0,"",INDEX(SCAmount,$L729))),IF($M729&lt;&gt;"",IF(INDEX(LdgWitB,$M729)=0,"",INDEX(LdgWitB,$M729)),""))</f>
        <v/>
      </c>
      <c r="H729" s="21">
        <f>IF($L729&lt;&gt;"",IF(INDEX(SCOp,$L729)="مرجوعی فروش",IF(INDEX(SCAmount,$L729)=0,"",-INDEX(SCAmount,$L729)),""),IF($M729&lt;&gt;"",IF(INDEX(LdgDepB,$M729)=0,"",INDEX(LdgDepB,$M729)),""))</f>
        <v/>
      </c>
      <c r="I729" s="22">
        <f>IF($B729="","",IF($I728="",$C$10,$I728)+IF($G729="",0,$G729)-IF($H729="",0,$H729))</f>
        <v/>
      </c>
      <c r="L729">
        <f>IFERROR(MATCH($C$5&amp;"|"&amp;RIGHT("000000"&amp;713,6),LdgRankKeyA,0),"")</f>
        <v/>
      </c>
      <c r="M729">
        <f>IFERROR(MATCH($C$5&amp;"|"&amp;RIGHT("000000"&amp;713,6),LdgRankKeyB,0),"")</f>
        <v/>
      </c>
    </row>
    <row r="730">
      <c r="A730" s="23" t="n">
        <v>714</v>
      </c>
      <c r="B730" s="24">
        <f>IF(AND($L730="",$M730=""),"",IF($L730&lt;&gt;"",INDEX(SCNormDate,$L730),INDEX(LdgDateB,$M730)))</f>
        <v/>
      </c>
      <c r="C730" s="24">
        <f>IF($L730&lt;&gt;"",INDEX(SCOp,$L730),IF($M730&lt;&gt;"","پرداخت بانکی",""))</f>
        <v/>
      </c>
      <c r="D730" s="24">
        <f>IF($L730&lt;&gt;"",IF(INDEX(SCDoc,$L730)="","—",INDEX(SCDoc,$L730)),IF($M730&lt;&gt;"",INDEX(LdgBankB,$M730),""))</f>
        <v/>
      </c>
      <c r="E730" s="25">
        <f>IF($L730&lt;&gt;"",IF(INDEX(SCCitrus,$L730)&amp;INDEX(SCNotes,$L730)="","",IF(INDEX(SCCitrus,$L730)="","",INDEX(SCCitrus,$L730))&amp;IF(INDEX(SCNotes,$L730)="",""," — "&amp;INDEX(SCNotes,$L730))),IF($M730&lt;&gt;"",IF(INDEX(LdgNoteB,$M730)="","—",INDEX(LdgNoteB,$M730)),""))</f>
        <v/>
      </c>
      <c r="F730" s="26">
        <f>IF($L730&lt;&gt;"",IF(INDEX(SCNet,$L730)=0,"",INDEX(SCNet,$L730)),"")</f>
        <v/>
      </c>
      <c r="G730" s="27">
        <f>IF($L730&lt;&gt;"",IF(INDEX(SCOp,$L730)="مرجوعی فروش","",IF(INDEX(SCAmount,$L730)&lt;=0,"",INDEX(SCAmount,$L730))),IF($M730&lt;&gt;"",IF(INDEX(LdgWitB,$M730)=0,"",INDEX(LdgWitB,$M730)),""))</f>
        <v/>
      </c>
      <c r="H730" s="27">
        <f>IF($L730&lt;&gt;"",IF(INDEX(SCOp,$L730)="مرجوعی فروش",IF(INDEX(SCAmount,$L730)=0,"",-INDEX(SCAmount,$L730)),""),IF($M730&lt;&gt;"",IF(INDEX(LdgDepB,$M730)=0,"",INDEX(LdgDepB,$M730)),""))</f>
        <v/>
      </c>
      <c r="I730" s="28">
        <f>IF($B730="","",IF($I729="",$C$10,$I729)+IF($G730="",0,$G730)-IF($H730="",0,$H730))</f>
        <v/>
      </c>
      <c r="L730">
        <f>IFERROR(MATCH($C$5&amp;"|"&amp;RIGHT("000000"&amp;714,6),LdgRankKeyA,0),"")</f>
        <v/>
      </c>
      <c r="M730">
        <f>IFERROR(MATCH($C$5&amp;"|"&amp;RIGHT("000000"&amp;714,6),LdgRankKeyB,0),"")</f>
        <v/>
      </c>
    </row>
    <row r="731">
      <c r="A731" s="17" t="n">
        <v>715</v>
      </c>
      <c r="B731" s="18">
        <f>IF(AND($L731="",$M731=""),"",IF($L731&lt;&gt;"",INDEX(SCNormDate,$L731),INDEX(LdgDateB,$M731)))</f>
        <v/>
      </c>
      <c r="C731" s="18">
        <f>IF($L731&lt;&gt;"",INDEX(SCOp,$L731),IF($M731&lt;&gt;"","پرداخت بانکی",""))</f>
        <v/>
      </c>
      <c r="D731" s="18">
        <f>IF($L731&lt;&gt;"",IF(INDEX(SCDoc,$L731)="","—",INDEX(SCDoc,$L731)),IF($M731&lt;&gt;"",INDEX(LdgBankB,$M731),""))</f>
        <v/>
      </c>
      <c r="E731" s="19">
        <f>IF($L731&lt;&gt;"",IF(INDEX(SCCitrus,$L731)&amp;INDEX(SCNotes,$L731)="","",IF(INDEX(SCCitrus,$L731)="","",INDEX(SCCitrus,$L731))&amp;IF(INDEX(SCNotes,$L731)="",""," — "&amp;INDEX(SCNotes,$L731))),IF($M731&lt;&gt;"",IF(INDEX(LdgNoteB,$M731)="","—",INDEX(LdgNoteB,$M731)),""))</f>
        <v/>
      </c>
      <c r="F731" s="20">
        <f>IF($L731&lt;&gt;"",IF(INDEX(SCNet,$L731)=0,"",INDEX(SCNet,$L731)),"")</f>
        <v/>
      </c>
      <c r="G731" s="21">
        <f>IF($L731&lt;&gt;"",IF(INDEX(SCOp,$L731)="مرجوعی فروش","",IF(INDEX(SCAmount,$L731)&lt;=0,"",INDEX(SCAmount,$L731))),IF($M731&lt;&gt;"",IF(INDEX(LdgWitB,$M731)=0,"",INDEX(LdgWitB,$M731)),""))</f>
        <v/>
      </c>
      <c r="H731" s="21">
        <f>IF($L731&lt;&gt;"",IF(INDEX(SCOp,$L731)="مرجوعی فروش",IF(INDEX(SCAmount,$L731)=0,"",-INDEX(SCAmount,$L731)),""),IF($M731&lt;&gt;"",IF(INDEX(LdgDepB,$M731)=0,"",INDEX(LdgDepB,$M731)),""))</f>
        <v/>
      </c>
      <c r="I731" s="22">
        <f>IF($B731="","",IF($I730="",$C$10,$I730)+IF($G731="",0,$G731)-IF($H731="",0,$H731))</f>
        <v/>
      </c>
      <c r="L731">
        <f>IFERROR(MATCH($C$5&amp;"|"&amp;RIGHT("000000"&amp;715,6),LdgRankKeyA,0),"")</f>
        <v/>
      </c>
      <c r="M731">
        <f>IFERROR(MATCH($C$5&amp;"|"&amp;RIGHT("000000"&amp;715,6),LdgRankKeyB,0),"")</f>
        <v/>
      </c>
    </row>
    <row r="732">
      <c r="A732" s="23" t="n">
        <v>716</v>
      </c>
      <c r="B732" s="24">
        <f>IF(AND($L732="",$M732=""),"",IF($L732&lt;&gt;"",INDEX(SCNormDate,$L732),INDEX(LdgDateB,$M732)))</f>
        <v/>
      </c>
      <c r="C732" s="24">
        <f>IF($L732&lt;&gt;"",INDEX(SCOp,$L732),IF($M732&lt;&gt;"","پرداخت بانکی",""))</f>
        <v/>
      </c>
      <c r="D732" s="24">
        <f>IF($L732&lt;&gt;"",IF(INDEX(SCDoc,$L732)="","—",INDEX(SCDoc,$L732)),IF($M732&lt;&gt;"",INDEX(LdgBankB,$M732),""))</f>
        <v/>
      </c>
      <c r="E732" s="25">
        <f>IF($L732&lt;&gt;"",IF(INDEX(SCCitrus,$L732)&amp;INDEX(SCNotes,$L732)="","",IF(INDEX(SCCitrus,$L732)="","",INDEX(SCCitrus,$L732))&amp;IF(INDEX(SCNotes,$L732)="",""," — "&amp;INDEX(SCNotes,$L732))),IF($M732&lt;&gt;"",IF(INDEX(LdgNoteB,$M732)="","—",INDEX(LdgNoteB,$M732)),""))</f>
        <v/>
      </c>
      <c r="F732" s="26">
        <f>IF($L732&lt;&gt;"",IF(INDEX(SCNet,$L732)=0,"",INDEX(SCNet,$L732)),"")</f>
        <v/>
      </c>
      <c r="G732" s="27">
        <f>IF($L732&lt;&gt;"",IF(INDEX(SCOp,$L732)="مرجوعی فروش","",IF(INDEX(SCAmount,$L732)&lt;=0,"",INDEX(SCAmount,$L732))),IF($M732&lt;&gt;"",IF(INDEX(LdgWitB,$M732)=0,"",INDEX(LdgWitB,$M732)),""))</f>
        <v/>
      </c>
      <c r="H732" s="27">
        <f>IF($L732&lt;&gt;"",IF(INDEX(SCOp,$L732)="مرجوعی فروش",IF(INDEX(SCAmount,$L732)=0,"",-INDEX(SCAmount,$L732)),""),IF($M732&lt;&gt;"",IF(INDEX(LdgDepB,$M732)=0,"",INDEX(LdgDepB,$M732)),""))</f>
        <v/>
      </c>
      <c r="I732" s="28">
        <f>IF($B732="","",IF($I731="",$C$10,$I731)+IF($G732="",0,$G732)-IF($H732="",0,$H732))</f>
        <v/>
      </c>
      <c r="L732">
        <f>IFERROR(MATCH($C$5&amp;"|"&amp;RIGHT("000000"&amp;716,6),LdgRankKeyA,0),"")</f>
        <v/>
      </c>
      <c r="M732">
        <f>IFERROR(MATCH($C$5&amp;"|"&amp;RIGHT("000000"&amp;716,6),LdgRankKeyB,0),"")</f>
        <v/>
      </c>
    </row>
    <row r="733">
      <c r="A733" s="17" t="n">
        <v>717</v>
      </c>
      <c r="B733" s="18">
        <f>IF(AND($L733="",$M733=""),"",IF($L733&lt;&gt;"",INDEX(SCNormDate,$L733),INDEX(LdgDateB,$M733)))</f>
        <v/>
      </c>
      <c r="C733" s="18">
        <f>IF($L733&lt;&gt;"",INDEX(SCOp,$L733),IF($M733&lt;&gt;"","پرداخت بانکی",""))</f>
        <v/>
      </c>
      <c r="D733" s="18">
        <f>IF($L733&lt;&gt;"",IF(INDEX(SCDoc,$L733)="","—",INDEX(SCDoc,$L733)),IF($M733&lt;&gt;"",INDEX(LdgBankB,$M733),""))</f>
        <v/>
      </c>
      <c r="E733" s="19">
        <f>IF($L733&lt;&gt;"",IF(INDEX(SCCitrus,$L733)&amp;INDEX(SCNotes,$L733)="","",IF(INDEX(SCCitrus,$L733)="","",INDEX(SCCitrus,$L733))&amp;IF(INDEX(SCNotes,$L733)="",""," — "&amp;INDEX(SCNotes,$L733))),IF($M733&lt;&gt;"",IF(INDEX(LdgNoteB,$M733)="","—",INDEX(LdgNoteB,$M733)),""))</f>
        <v/>
      </c>
      <c r="F733" s="20">
        <f>IF($L733&lt;&gt;"",IF(INDEX(SCNet,$L733)=0,"",INDEX(SCNet,$L733)),"")</f>
        <v/>
      </c>
      <c r="G733" s="21">
        <f>IF($L733&lt;&gt;"",IF(INDEX(SCOp,$L733)="مرجوعی فروش","",IF(INDEX(SCAmount,$L733)&lt;=0,"",INDEX(SCAmount,$L733))),IF($M733&lt;&gt;"",IF(INDEX(LdgWitB,$M733)=0,"",INDEX(LdgWitB,$M733)),""))</f>
        <v/>
      </c>
      <c r="H733" s="21">
        <f>IF($L733&lt;&gt;"",IF(INDEX(SCOp,$L733)="مرجوعی فروش",IF(INDEX(SCAmount,$L733)=0,"",-INDEX(SCAmount,$L733)),""),IF($M733&lt;&gt;"",IF(INDEX(LdgDepB,$M733)=0,"",INDEX(LdgDepB,$M733)),""))</f>
        <v/>
      </c>
      <c r="I733" s="22">
        <f>IF($B733="","",IF($I732="",$C$10,$I732)+IF($G733="",0,$G733)-IF($H733="",0,$H733))</f>
        <v/>
      </c>
      <c r="L733">
        <f>IFERROR(MATCH($C$5&amp;"|"&amp;RIGHT("000000"&amp;717,6),LdgRankKeyA,0),"")</f>
        <v/>
      </c>
      <c r="M733">
        <f>IFERROR(MATCH($C$5&amp;"|"&amp;RIGHT("000000"&amp;717,6),LdgRankKeyB,0),"")</f>
        <v/>
      </c>
    </row>
    <row r="734">
      <c r="A734" s="23" t="n">
        <v>718</v>
      </c>
      <c r="B734" s="24">
        <f>IF(AND($L734="",$M734=""),"",IF($L734&lt;&gt;"",INDEX(SCNormDate,$L734),INDEX(LdgDateB,$M734)))</f>
        <v/>
      </c>
      <c r="C734" s="24">
        <f>IF($L734&lt;&gt;"",INDEX(SCOp,$L734),IF($M734&lt;&gt;"","پرداخت بانکی",""))</f>
        <v/>
      </c>
      <c r="D734" s="24">
        <f>IF($L734&lt;&gt;"",IF(INDEX(SCDoc,$L734)="","—",INDEX(SCDoc,$L734)),IF($M734&lt;&gt;"",INDEX(LdgBankB,$M734),""))</f>
        <v/>
      </c>
      <c r="E734" s="25">
        <f>IF($L734&lt;&gt;"",IF(INDEX(SCCitrus,$L734)&amp;INDEX(SCNotes,$L734)="","",IF(INDEX(SCCitrus,$L734)="","",INDEX(SCCitrus,$L734))&amp;IF(INDEX(SCNotes,$L734)="",""," — "&amp;INDEX(SCNotes,$L734))),IF($M734&lt;&gt;"",IF(INDEX(LdgNoteB,$M734)="","—",INDEX(LdgNoteB,$M734)),""))</f>
        <v/>
      </c>
      <c r="F734" s="26">
        <f>IF($L734&lt;&gt;"",IF(INDEX(SCNet,$L734)=0,"",INDEX(SCNet,$L734)),"")</f>
        <v/>
      </c>
      <c r="G734" s="27">
        <f>IF($L734&lt;&gt;"",IF(INDEX(SCOp,$L734)="مرجوعی فروش","",IF(INDEX(SCAmount,$L734)&lt;=0,"",INDEX(SCAmount,$L734))),IF($M734&lt;&gt;"",IF(INDEX(LdgWitB,$M734)=0,"",INDEX(LdgWitB,$M734)),""))</f>
        <v/>
      </c>
      <c r="H734" s="27">
        <f>IF($L734&lt;&gt;"",IF(INDEX(SCOp,$L734)="مرجوعی فروش",IF(INDEX(SCAmount,$L734)=0,"",-INDEX(SCAmount,$L734)),""),IF($M734&lt;&gt;"",IF(INDEX(LdgDepB,$M734)=0,"",INDEX(LdgDepB,$M734)),""))</f>
        <v/>
      </c>
      <c r="I734" s="28">
        <f>IF($B734="","",IF($I733="",$C$10,$I733)+IF($G734="",0,$G734)-IF($H734="",0,$H734))</f>
        <v/>
      </c>
      <c r="L734">
        <f>IFERROR(MATCH($C$5&amp;"|"&amp;RIGHT("000000"&amp;718,6),LdgRankKeyA,0),"")</f>
        <v/>
      </c>
      <c r="M734">
        <f>IFERROR(MATCH($C$5&amp;"|"&amp;RIGHT("000000"&amp;718,6),LdgRankKeyB,0),"")</f>
        <v/>
      </c>
    </row>
    <row r="735">
      <c r="A735" s="17" t="n">
        <v>719</v>
      </c>
      <c r="B735" s="18">
        <f>IF(AND($L735="",$M735=""),"",IF($L735&lt;&gt;"",INDEX(SCNormDate,$L735),INDEX(LdgDateB,$M735)))</f>
        <v/>
      </c>
      <c r="C735" s="18">
        <f>IF($L735&lt;&gt;"",INDEX(SCOp,$L735),IF($M735&lt;&gt;"","پرداخت بانکی",""))</f>
        <v/>
      </c>
      <c r="D735" s="18">
        <f>IF($L735&lt;&gt;"",IF(INDEX(SCDoc,$L735)="","—",INDEX(SCDoc,$L735)),IF($M735&lt;&gt;"",INDEX(LdgBankB,$M735),""))</f>
        <v/>
      </c>
      <c r="E735" s="19">
        <f>IF($L735&lt;&gt;"",IF(INDEX(SCCitrus,$L735)&amp;INDEX(SCNotes,$L735)="","",IF(INDEX(SCCitrus,$L735)="","",INDEX(SCCitrus,$L735))&amp;IF(INDEX(SCNotes,$L735)="",""," — "&amp;INDEX(SCNotes,$L735))),IF($M735&lt;&gt;"",IF(INDEX(LdgNoteB,$M735)="","—",INDEX(LdgNoteB,$M735)),""))</f>
        <v/>
      </c>
      <c r="F735" s="20">
        <f>IF($L735&lt;&gt;"",IF(INDEX(SCNet,$L735)=0,"",INDEX(SCNet,$L735)),"")</f>
        <v/>
      </c>
      <c r="G735" s="21">
        <f>IF($L735&lt;&gt;"",IF(INDEX(SCOp,$L735)="مرجوعی فروش","",IF(INDEX(SCAmount,$L735)&lt;=0,"",INDEX(SCAmount,$L735))),IF($M735&lt;&gt;"",IF(INDEX(LdgWitB,$M735)=0,"",INDEX(LdgWitB,$M735)),""))</f>
        <v/>
      </c>
      <c r="H735" s="21">
        <f>IF($L735&lt;&gt;"",IF(INDEX(SCOp,$L735)="مرجوعی فروش",IF(INDEX(SCAmount,$L735)=0,"",-INDEX(SCAmount,$L735)),""),IF($M735&lt;&gt;"",IF(INDEX(LdgDepB,$M735)=0,"",INDEX(LdgDepB,$M735)),""))</f>
        <v/>
      </c>
      <c r="I735" s="22">
        <f>IF($B735="","",IF($I734="",$C$10,$I734)+IF($G735="",0,$G735)-IF($H735="",0,$H735))</f>
        <v/>
      </c>
      <c r="L735">
        <f>IFERROR(MATCH($C$5&amp;"|"&amp;RIGHT("000000"&amp;719,6),LdgRankKeyA,0),"")</f>
        <v/>
      </c>
      <c r="M735">
        <f>IFERROR(MATCH($C$5&amp;"|"&amp;RIGHT("000000"&amp;719,6),LdgRankKeyB,0),"")</f>
        <v/>
      </c>
    </row>
    <row r="736">
      <c r="A736" s="23" t="n">
        <v>720</v>
      </c>
      <c r="B736" s="24">
        <f>IF(AND($L736="",$M736=""),"",IF($L736&lt;&gt;"",INDEX(SCNormDate,$L736),INDEX(LdgDateB,$M736)))</f>
        <v/>
      </c>
      <c r="C736" s="24">
        <f>IF($L736&lt;&gt;"",INDEX(SCOp,$L736),IF($M736&lt;&gt;"","پرداخت بانکی",""))</f>
        <v/>
      </c>
      <c r="D736" s="24">
        <f>IF($L736&lt;&gt;"",IF(INDEX(SCDoc,$L736)="","—",INDEX(SCDoc,$L736)),IF($M736&lt;&gt;"",INDEX(LdgBankB,$M736),""))</f>
        <v/>
      </c>
      <c r="E736" s="25">
        <f>IF($L736&lt;&gt;"",IF(INDEX(SCCitrus,$L736)&amp;INDEX(SCNotes,$L736)="","",IF(INDEX(SCCitrus,$L736)="","",INDEX(SCCitrus,$L736))&amp;IF(INDEX(SCNotes,$L736)="",""," — "&amp;INDEX(SCNotes,$L736))),IF($M736&lt;&gt;"",IF(INDEX(LdgNoteB,$M736)="","—",INDEX(LdgNoteB,$M736)),""))</f>
        <v/>
      </c>
      <c r="F736" s="26">
        <f>IF($L736&lt;&gt;"",IF(INDEX(SCNet,$L736)=0,"",INDEX(SCNet,$L736)),"")</f>
        <v/>
      </c>
      <c r="G736" s="27">
        <f>IF($L736&lt;&gt;"",IF(INDEX(SCOp,$L736)="مرجوعی فروش","",IF(INDEX(SCAmount,$L736)&lt;=0,"",INDEX(SCAmount,$L736))),IF($M736&lt;&gt;"",IF(INDEX(LdgWitB,$M736)=0,"",INDEX(LdgWitB,$M736)),""))</f>
        <v/>
      </c>
      <c r="H736" s="27">
        <f>IF($L736&lt;&gt;"",IF(INDEX(SCOp,$L736)="مرجوعی فروش",IF(INDEX(SCAmount,$L736)=0,"",-INDEX(SCAmount,$L736)),""),IF($M736&lt;&gt;"",IF(INDEX(LdgDepB,$M736)=0,"",INDEX(LdgDepB,$M736)),""))</f>
        <v/>
      </c>
      <c r="I736" s="28">
        <f>IF($B736="","",IF($I735="",$C$10,$I735)+IF($G736="",0,$G736)-IF($H736="",0,$H736))</f>
        <v/>
      </c>
      <c r="L736">
        <f>IFERROR(MATCH($C$5&amp;"|"&amp;RIGHT("000000"&amp;720,6),LdgRankKeyA,0),"")</f>
        <v/>
      </c>
      <c r="M736">
        <f>IFERROR(MATCH($C$5&amp;"|"&amp;RIGHT("000000"&amp;720,6),LdgRankKeyB,0),"")</f>
        <v/>
      </c>
    </row>
    <row r="737">
      <c r="A737" s="17" t="n">
        <v>721</v>
      </c>
      <c r="B737" s="18">
        <f>IF(AND($L737="",$M737=""),"",IF($L737&lt;&gt;"",INDEX(SCNormDate,$L737),INDEX(LdgDateB,$M737)))</f>
        <v/>
      </c>
      <c r="C737" s="18">
        <f>IF($L737&lt;&gt;"",INDEX(SCOp,$L737),IF($M737&lt;&gt;"","پرداخت بانکی",""))</f>
        <v/>
      </c>
      <c r="D737" s="18">
        <f>IF($L737&lt;&gt;"",IF(INDEX(SCDoc,$L737)="","—",INDEX(SCDoc,$L737)),IF($M737&lt;&gt;"",INDEX(LdgBankB,$M737),""))</f>
        <v/>
      </c>
      <c r="E737" s="19">
        <f>IF($L737&lt;&gt;"",IF(INDEX(SCCitrus,$L737)&amp;INDEX(SCNotes,$L737)="","",IF(INDEX(SCCitrus,$L737)="","",INDEX(SCCitrus,$L737))&amp;IF(INDEX(SCNotes,$L737)="",""," — "&amp;INDEX(SCNotes,$L737))),IF($M737&lt;&gt;"",IF(INDEX(LdgNoteB,$M737)="","—",INDEX(LdgNoteB,$M737)),""))</f>
        <v/>
      </c>
      <c r="F737" s="20">
        <f>IF($L737&lt;&gt;"",IF(INDEX(SCNet,$L737)=0,"",INDEX(SCNet,$L737)),"")</f>
        <v/>
      </c>
      <c r="G737" s="21">
        <f>IF($L737&lt;&gt;"",IF(INDEX(SCOp,$L737)="مرجوعی فروش","",IF(INDEX(SCAmount,$L737)&lt;=0,"",INDEX(SCAmount,$L737))),IF($M737&lt;&gt;"",IF(INDEX(LdgWitB,$M737)=0,"",INDEX(LdgWitB,$M737)),""))</f>
        <v/>
      </c>
      <c r="H737" s="21">
        <f>IF($L737&lt;&gt;"",IF(INDEX(SCOp,$L737)="مرجوعی فروش",IF(INDEX(SCAmount,$L737)=0,"",-INDEX(SCAmount,$L737)),""),IF($M737&lt;&gt;"",IF(INDEX(LdgDepB,$M737)=0,"",INDEX(LdgDepB,$M737)),""))</f>
        <v/>
      </c>
      <c r="I737" s="22">
        <f>IF($B737="","",IF($I736="",$C$10,$I736)+IF($G737="",0,$G737)-IF($H737="",0,$H737))</f>
        <v/>
      </c>
      <c r="L737">
        <f>IFERROR(MATCH($C$5&amp;"|"&amp;RIGHT("000000"&amp;721,6),LdgRankKeyA,0),"")</f>
        <v/>
      </c>
      <c r="M737">
        <f>IFERROR(MATCH($C$5&amp;"|"&amp;RIGHT("000000"&amp;721,6),LdgRankKeyB,0),"")</f>
        <v/>
      </c>
    </row>
    <row r="738">
      <c r="A738" s="23" t="n">
        <v>722</v>
      </c>
      <c r="B738" s="24">
        <f>IF(AND($L738="",$M738=""),"",IF($L738&lt;&gt;"",INDEX(SCNormDate,$L738),INDEX(LdgDateB,$M738)))</f>
        <v/>
      </c>
      <c r="C738" s="24">
        <f>IF($L738&lt;&gt;"",INDEX(SCOp,$L738),IF($M738&lt;&gt;"","پرداخت بانکی",""))</f>
        <v/>
      </c>
      <c r="D738" s="24">
        <f>IF($L738&lt;&gt;"",IF(INDEX(SCDoc,$L738)="","—",INDEX(SCDoc,$L738)),IF($M738&lt;&gt;"",INDEX(LdgBankB,$M738),""))</f>
        <v/>
      </c>
      <c r="E738" s="25">
        <f>IF($L738&lt;&gt;"",IF(INDEX(SCCitrus,$L738)&amp;INDEX(SCNotes,$L738)="","",IF(INDEX(SCCitrus,$L738)="","",INDEX(SCCitrus,$L738))&amp;IF(INDEX(SCNotes,$L738)="",""," — "&amp;INDEX(SCNotes,$L738))),IF($M738&lt;&gt;"",IF(INDEX(LdgNoteB,$M738)="","—",INDEX(LdgNoteB,$M738)),""))</f>
        <v/>
      </c>
      <c r="F738" s="26">
        <f>IF($L738&lt;&gt;"",IF(INDEX(SCNet,$L738)=0,"",INDEX(SCNet,$L738)),"")</f>
        <v/>
      </c>
      <c r="G738" s="27">
        <f>IF($L738&lt;&gt;"",IF(INDEX(SCOp,$L738)="مرجوعی فروش","",IF(INDEX(SCAmount,$L738)&lt;=0,"",INDEX(SCAmount,$L738))),IF($M738&lt;&gt;"",IF(INDEX(LdgWitB,$M738)=0,"",INDEX(LdgWitB,$M738)),""))</f>
        <v/>
      </c>
      <c r="H738" s="27">
        <f>IF($L738&lt;&gt;"",IF(INDEX(SCOp,$L738)="مرجوعی فروش",IF(INDEX(SCAmount,$L738)=0,"",-INDEX(SCAmount,$L738)),""),IF($M738&lt;&gt;"",IF(INDEX(LdgDepB,$M738)=0,"",INDEX(LdgDepB,$M738)),""))</f>
        <v/>
      </c>
      <c r="I738" s="28">
        <f>IF($B738="","",IF($I737="",$C$10,$I737)+IF($G738="",0,$G738)-IF($H738="",0,$H738))</f>
        <v/>
      </c>
      <c r="L738">
        <f>IFERROR(MATCH($C$5&amp;"|"&amp;RIGHT("000000"&amp;722,6),LdgRankKeyA,0),"")</f>
        <v/>
      </c>
      <c r="M738">
        <f>IFERROR(MATCH($C$5&amp;"|"&amp;RIGHT("000000"&amp;722,6),LdgRankKeyB,0),"")</f>
        <v/>
      </c>
    </row>
    <row r="739">
      <c r="A739" s="17" t="n">
        <v>723</v>
      </c>
      <c r="B739" s="18">
        <f>IF(AND($L739="",$M739=""),"",IF($L739&lt;&gt;"",INDEX(SCNormDate,$L739),INDEX(LdgDateB,$M739)))</f>
        <v/>
      </c>
      <c r="C739" s="18">
        <f>IF($L739&lt;&gt;"",INDEX(SCOp,$L739),IF($M739&lt;&gt;"","پرداخت بانکی",""))</f>
        <v/>
      </c>
      <c r="D739" s="18">
        <f>IF($L739&lt;&gt;"",IF(INDEX(SCDoc,$L739)="","—",INDEX(SCDoc,$L739)),IF($M739&lt;&gt;"",INDEX(LdgBankB,$M739),""))</f>
        <v/>
      </c>
      <c r="E739" s="19">
        <f>IF($L739&lt;&gt;"",IF(INDEX(SCCitrus,$L739)&amp;INDEX(SCNotes,$L739)="","",IF(INDEX(SCCitrus,$L739)="","",INDEX(SCCitrus,$L739))&amp;IF(INDEX(SCNotes,$L739)="",""," — "&amp;INDEX(SCNotes,$L739))),IF($M739&lt;&gt;"",IF(INDEX(LdgNoteB,$M739)="","—",INDEX(LdgNoteB,$M739)),""))</f>
        <v/>
      </c>
      <c r="F739" s="20">
        <f>IF($L739&lt;&gt;"",IF(INDEX(SCNet,$L739)=0,"",INDEX(SCNet,$L739)),"")</f>
        <v/>
      </c>
      <c r="G739" s="21">
        <f>IF($L739&lt;&gt;"",IF(INDEX(SCOp,$L739)="مرجوعی فروش","",IF(INDEX(SCAmount,$L739)&lt;=0,"",INDEX(SCAmount,$L739))),IF($M739&lt;&gt;"",IF(INDEX(LdgWitB,$M739)=0,"",INDEX(LdgWitB,$M739)),""))</f>
        <v/>
      </c>
      <c r="H739" s="21">
        <f>IF($L739&lt;&gt;"",IF(INDEX(SCOp,$L739)="مرجوعی فروش",IF(INDEX(SCAmount,$L739)=0,"",-INDEX(SCAmount,$L739)),""),IF($M739&lt;&gt;"",IF(INDEX(LdgDepB,$M739)=0,"",INDEX(LdgDepB,$M739)),""))</f>
        <v/>
      </c>
      <c r="I739" s="22">
        <f>IF($B739="","",IF($I738="",$C$10,$I738)+IF($G739="",0,$G739)-IF($H739="",0,$H739))</f>
        <v/>
      </c>
      <c r="L739">
        <f>IFERROR(MATCH($C$5&amp;"|"&amp;RIGHT("000000"&amp;723,6),LdgRankKeyA,0),"")</f>
        <v/>
      </c>
      <c r="M739">
        <f>IFERROR(MATCH($C$5&amp;"|"&amp;RIGHT("000000"&amp;723,6),LdgRankKeyB,0),"")</f>
        <v/>
      </c>
    </row>
    <row r="740">
      <c r="A740" s="23" t="n">
        <v>724</v>
      </c>
      <c r="B740" s="24">
        <f>IF(AND($L740="",$M740=""),"",IF($L740&lt;&gt;"",INDEX(SCNormDate,$L740),INDEX(LdgDateB,$M740)))</f>
        <v/>
      </c>
      <c r="C740" s="24">
        <f>IF($L740&lt;&gt;"",INDEX(SCOp,$L740),IF($M740&lt;&gt;"","پرداخت بانکی",""))</f>
        <v/>
      </c>
      <c r="D740" s="24">
        <f>IF($L740&lt;&gt;"",IF(INDEX(SCDoc,$L740)="","—",INDEX(SCDoc,$L740)),IF($M740&lt;&gt;"",INDEX(LdgBankB,$M740),""))</f>
        <v/>
      </c>
      <c r="E740" s="25">
        <f>IF($L740&lt;&gt;"",IF(INDEX(SCCitrus,$L740)&amp;INDEX(SCNotes,$L740)="","",IF(INDEX(SCCitrus,$L740)="","",INDEX(SCCitrus,$L740))&amp;IF(INDEX(SCNotes,$L740)="",""," — "&amp;INDEX(SCNotes,$L740))),IF($M740&lt;&gt;"",IF(INDEX(LdgNoteB,$M740)="","—",INDEX(LdgNoteB,$M740)),""))</f>
        <v/>
      </c>
      <c r="F740" s="26">
        <f>IF($L740&lt;&gt;"",IF(INDEX(SCNet,$L740)=0,"",INDEX(SCNet,$L740)),"")</f>
        <v/>
      </c>
      <c r="G740" s="27">
        <f>IF($L740&lt;&gt;"",IF(INDEX(SCOp,$L740)="مرجوعی فروش","",IF(INDEX(SCAmount,$L740)&lt;=0,"",INDEX(SCAmount,$L740))),IF($M740&lt;&gt;"",IF(INDEX(LdgWitB,$M740)=0,"",INDEX(LdgWitB,$M740)),""))</f>
        <v/>
      </c>
      <c r="H740" s="27">
        <f>IF($L740&lt;&gt;"",IF(INDEX(SCOp,$L740)="مرجوعی فروش",IF(INDEX(SCAmount,$L740)=0,"",-INDEX(SCAmount,$L740)),""),IF($M740&lt;&gt;"",IF(INDEX(LdgDepB,$M740)=0,"",INDEX(LdgDepB,$M740)),""))</f>
        <v/>
      </c>
      <c r="I740" s="28">
        <f>IF($B740="","",IF($I739="",$C$10,$I739)+IF($G740="",0,$G740)-IF($H740="",0,$H740))</f>
        <v/>
      </c>
      <c r="L740">
        <f>IFERROR(MATCH($C$5&amp;"|"&amp;RIGHT("000000"&amp;724,6),LdgRankKeyA,0),"")</f>
        <v/>
      </c>
      <c r="M740">
        <f>IFERROR(MATCH($C$5&amp;"|"&amp;RIGHT("000000"&amp;724,6),LdgRankKeyB,0),"")</f>
        <v/>
      </c>
    </row>
    <row r="741">
      <c r="A741" s="17" t="n">
        <v>725</v>
      </c>
      <c r="B741" s="18">
        <f>IF(AND($L741="",$M741=""),"",IF($L741&lt;&gt;"",INDEX(SCNormDate,$L741),INDEX(LdgDateB,$M741)))</f>
        <v/>
      </c>
      <c r="C741" s="18">
        <f>IF($L741&lt;&gt;"",INDEX(SCOp,$L741),IF($M741&lt;&gt;"","پرداخت بانکی",""))</f>
        <v/>
      </c>
      <c r="D741" s="18">
        <f>IF($L741&lt;&gt;"",IF(INDEX(SCDoc,$L741)="","—",INDEX(SCDoc,$L741)),IF($M741&lt;&gt;"",INDEX(LdgBankB,$M741),""))</f>
        <v/>
      </c>
      <c r="E741" s="19">
        <f>IF($L741&lt;&gt;"",IF(INDEX(SCCitrus,$L741)&amp;INDEX(SCNotes,$L741)="","",IF(INDEX(SCCitrus,$L741)="","",INDEX(SCCitrus,$L741))&amp;IF(INDEX(SCNotes,$L741)="",""," — "&amp;INDEX(SCNotes,$L741))),IF($M741&lt;&gt;"",IF(INDEX(LdgNoteB,$M741)="","—",INDEX(LdgNoteB,$M741)),""))</f>
        <v/>
      </c>
      <c r="F741" s="20">
        <f>IF($L741&lt;&gt;"",IF(INDEX(SCNet,$L741)=0,"",INDEX(SCNet,$L741)),"")</f>
        <v/>
      </c>
      <c r="G741" s="21">
        <f>IF($L741&lt;&gt;"",IF(INDEX(SCOp,$L741)="مرجوعی فروش","",IF(INDEX(SCAmount,$L741)&lt;=0,"",INDEX(SCAmount,$L741))),IF($M741&lt;&gt;"",IF(INDEX(LdgWitB,$M741)=0,"",INDEX(LdgWitB,$M741)),""))</f>
        <v/>
      </c>
      <c r="H741" s="21">
        <f>IF($L741&lt;&gt;"",IF(INDEX(SCOp,$L741)="مرجوعی فروش",IF(INDEX(SCAmount,$L741)=0,"",-INDEX(SCAmount,$L741)),""),IF($M741&lt;&gt;"",IF(INDEX(LdgDepB,$M741)=0,"",INDEX(LdgDepB,$M741)),""))</f>
        <v/>
      </c>
      <c r="I741" s="22">
        <f>IF($B741="","",IF($I740="",$C$10,$I740)+IF($G741="",0,$G741)-IF($H741="",0,$H741))</f>
        <v/>
      </c>
      <c r="L741">
        <f>IFERROR(MATCH($C$5&amp;"|"&amp;RIGHT("000000"&amp;725,6),LdgRankKeyA,0),"")</f>
        <v/>
      </c>
      <c r="M741">
        <f>IFERROR(MATCH($C$5&amp;"|"&amp;RIGHT("000000"&amp;725,6),LdgRankKeyB,0),"")</f>
        <v/>
      </c>
    </row>
    <row r="742">
      <c r="A742" s="23" t="n">
        <v>726</v>
      </c>
      <c r="B742" s="24">
        <f>IF(AND($L742="",$M742=""),"",IF($L742&lt;&gt;"",INDEX(SCNormDate,$L742),INDEX(LdgDateB,$M742)))</f>
        <v/>
      </c>
      <c r="C742" s="24">
        <f>IF($L742&lt;&gt;"",INDEX(SCOp,$L742),IF($M742&lt;&gt;"","پرداخت بانکی",""))</f>
        <v/>
      </c>
      <c r="D742" s="24">
        <f>IF($L742&lt;&gt;"",IF(INDEX(SCDoc,$L742)="","—",INDEX(SCDoc,$L742)),IF($M742&lt;&gt;"",INDEX(LdgBankB,$M742),""))</f>
        <v/>
      </c>
      <c r="E742" s="25">
        <f>IF($L742&lt;&gt;"",IF(INDEX(SCCitrus,$L742)&amp;INDEX(SCNotes,$L742)="","",IF(INDEX(SCCitrus,$L742)="","",INDEX(SCCitrus,$L742))&amp;IF(INDEX(SCNotes,$L742)="",""," — "&amp;INDEX(SCNotes,$L742))),IF($M742&lt;&gt;"",IF(INDEX(LdgNoteB,$M742)="","—",INDEX(LdgNoteB,$M742)),""))</f>
        <v/>
      </c>
      <c r="F742" s="26">
        <f>IF($L742&lt;&gt;"",IF(INDEX(SCNet,$L742)=0,"",INDEX(SCNet,$L742)),"")</f>
        <v/>
      </c>
      <c r="G742" s="27">
        <f>IF($L742&lt;&gt;"",IF(INDEX(SCOp,$L742)="مرجوعی فروش","",IF(INDEX(SCAmount,$L742)&lt;=0,"",INDEX(SCAmount,$L742))),IF($M742&lt;&gt;"",IF(INDEX(LdgWitB,$M742)=0,"",INDEX(LdgWitB,$M742)),""))</f>
        <v/>
      </c>
      <c r="H742" s="27">
        <f>IF($L742&lt;&gt;"",IF(INDEX(SCOp,$L742)="مرجوعی فروش",IF(INDEX(SCAmount,$L742)=0,"",-INDEX(SCAmount,$L742)),""),IF($M742&lt;&gt;"",IF(INDEX(LdgDepB,$M742)=0,"",INDEX(LdgDepB,$M742)),""))</f>
        <v/>
      </c>
      <c r="I742" s="28">
        <f>IF($B742="","",IF($I741="",$C$10,$I741)+IF($G742="",0,$G742)-IF($H742="",0,$H742))</f>
        <v/>
      </c>
      <c r="L742">
        <f>IFERROR(MATCH($C$5&amp;"|"&amp;RIGHT("000000"&amp;726,6),LdgRankKeyA,0),"")</f>
        <v/>
      </c>
      <c r="M742">
        <f>IFERROR(MATCH($C$5&amp;"|"&amp;RIGHT("000000"&amp;726,6),LdgRankKeyB,0),"")</f>
        <v/>
      </c>
    </row>
    <row r="743">
      <c r="A743" s="17" t="n">
        <v>727</v>
      </c>
      <c r="B743" s="18">
        <f>IF(AND($L743="",$M743=""),"",IF($L743&lt;&gt;"",INDEX(SCNormDate,$L743),INDEX(LdgDateB,$M743)))</f>
        <v/>
      </c>
      <c r="C743" s="18">
        <f>IF($L743&lt;&gt;"",INDEX(SCOp,$L743),IF($M743&lt;&gt;"","پرداخت بانکی",""))</f>
        <v/>
      </c>
      <c r="D743" s="18">
        <f>IF($L743&lt;&gt;"",IF(INDEX(SCDoc,$L743)="","—",INDEX(SCDoc,$L743)),IF($M743&lt;&gt;"",INDEX(LdgBankB,$M743),""))</f>
        <v/>
      </c>
      <c r="E743" s="19">
        <f>IF($L743&lt;&gt;"",IF(INDEX(SCCitrus,$L743)&amp;INDEX(SCNotes,$L743)="","",IF(INDEX(SCCitrus,$L743)="","",INDEX(SCCitrus,$L743))&amp;IF(INDEX(SCNotes,$L743)="",""," — "&amp;INDEX(SCNotes,$L743))),IF($M743&lt;&gt;"",IF(INDEX(LdgNoteB,$M743)="","—",INDEX(LdgNoteB,$M743)),""))</f>
        <v/>
      </c>
      <c r="F743" s="20">
        <f>IF($L743&lt;&gt;"",IF(INDEX(SCNet,$L743)=0,"",INDEX(SCNet,$L743)),"")</f>
        <v/>
      </c>
      <c r="G743" s="21">
        <f>IF($L743&lt;&gt;"",IF(INDEX(SCOp,$L743)="مرجوعی فروش","",IF(INDEX(SCAmount,$L743)&lt;=0,"",INDEX(SCAmount,$L743))),IF($M743&lt;&gt;"",IF(INDEX(LdgWitB,$M743)=0,"",INDEX(LdgWitB,$M743)),""))</f>
        <v/>
      </c>
      <c r="H743" s="21">
        <f>IF($L743&lt;&gt;"",IF(INDEX(SCOp,$L743)="مرجوعی فروش",IF(INDEX(SCAmount,$L743)=0,"",-INDEX(SCAmount,$L743)),""),IF($M743&lt;&gt;"",IF(INDEX(LdgDepB,$M743)=0,"",INDEX(LdgDepB,$M743)),""))</f>
        <v/>
      </c>
      <c r="I743" s="22">
        <f>IF($B743="","",IF($I742="",$C$10,$I742)+IF($G743="",0,$G743)-IF($H743="",0,$H743))</f>
        <v/>
      </c>
      <c r="L743">
        <f>IFERROR(MATCH($C$5&amp;"|"&amp;RIGHT("000000"&amp;727,6),LdgRankKeyA,0),"")</f>
        <v/>
      </c>
      <c r="M743">
        <f>IFERROR(MATCH($C$5&amp;"|"&amp;RIGHT("000000"&amp;727,6),LdgRankKeyB,0),"")</f>
        <v/>
      </c>
    </row>
    <row r="744">
      <c r="A744" s="23" t="n">
        <v>728</v>
      </c>
      <c r="B744" s="24">
        <f>IF(AND($L744="",$M744=""),"",IF($L744&lt;&gt;"",INDEX(SCNormDate,$L744),INDEX(LdgDateB,$M744)))</f>
        <v/>
      </c>
      <c r="C744" s="24">
        <f>IF($L744&lt;&gt;"",INDEX(SCOp,$L744),IF($M744&lt;&gt;"","پرداخت بانکی",""))</f>
        <v/>
      </c>
      <c r="D744" s="24">
        <f>IF($L744&lt;&gt;"",IF(INDEX(SCDoc,$L744)="","—",INDEX(SCDoc,$L744)),IF($M744&lt;&gt;"",INDEX(LdgBankB,$M744),""))</f>
        <v/>
      </c>
      <c r="E744" s="25">
        <f>IF($L744&lt;&gt;"",IF(INDEX(SCCitrus,$L744)&amp;INDEX(SCNotes,$L744)="","",IF(INDEX(SCCitrus,$L744)="","",INDEX(SCCitrus,$L744))&amp;IF(INDEX(SCNotes,$L744)="",""," — "&amp;INDEX(SCNotes,$L744))),IF($M744&lt;&gt;"",IF(INDEX(LdgNoteB,$M744)="","—",INDEX(LdgNoteB,$M744)),""))</f>
        <v/>
      </c>
      <c r="F744" s="26">
        <f>IF($L744&lt;&gt;"",IF(INDEX(SCNet,$L744)=0,"",INDEX(SCNet,$L744)),"")</f>
        <v/>
      </c>
      <c r="G744" s="27">
        <f>IF($L744&lt;&gt;"",IF(INDEX(SCOp,$L744)="مرجوعی فروش","",IF(INDEX(SCAmount,$L744)&lt;=0,"",INDEX(SCAmount,$L744))),IF($M744&lt;&gt;"",IF(INDEX(LdgWitB,$M744)=0,"",INDEX(LdgWitB,$M744)),""))</f>
        <v/>
      </c>
      <c r="H744" s="27">
        <f>IF($L744&lt;&gt;"",IF(INDEX(SCOp,$L744)="مرجوعی فروش",IF(INDEX(SCAmount,$L744)=0,"",-INDEX(SCAmount,$L744)),""),IF($M744&lt;&gt;"",IF(INDEX(LdgDepB,$M744)=0,"",INDEX(LdgDepB,$M744)),""))</f>
        <v/>
      </c>
      <c r="I744" s="28">
        <f>IF($B744="","",IF($I743="",$C$10,$I743)+IF($G744="",0,$G744)-IF($H744="",0,$H744))</f>
        <v/>
      </c>
      <c r="L744">
        <f>IFERROR(MATCH($C$5&amp;"|"&amp;RIGHT("000000"&amp;728,6),LdgRankKeyA,0),"")</f>
        <v/>
      </c>
      <c r="M744">
        <f>IFERROR(MATCH($C$5&amp;"|"&amp;RIGHT("000000"&amp;728,6),LdgRankKeyB,0),"")</f>
        <v/>
      </c>
    </row>
    <row r="745">
      <c r="A745" s="17" t="n">
        <v>729</v>
      </c>
      <c r="B745" s="18">
        <f>IF(AND($L745="",$M745=""),"",IF($L745&lt;&gt;"",INDEX(SCNormDate,$L745),INDEX(LdgDateB,$M745)))</f>
        <v/>
      </c>
      <c r="C745" s="18">
        <f>IF($L745&lt;&gt;"",INDEX(SCOp,$L745),IF($M745&lt;&gt;"","پرداخت بانکی",""))</f>
        <v/>
      </c>
      <c r="D745" s="18">
        <f>IF($L745&lt;&gt;"",IF(INDEX(SCDoc,$L745)="","—",INDEX(SCDoc,$L745)),IF($M745&lt;&gt;"",INDEX(LdgBankB,$M745),""))</f>
        <v/>
      </c>
      <c r="E745" s="19">
        <f>IF($L745&lt;&gt;"",IF(INDEX(SCCitrus,$L745)&amp;INDEX(SCNotes,$L745)="","",IF(INDEX(SCCitrus,$L745)="","",INDEX(SCCitrus,$L745))&amp;IF(INDEX(SCNotes,$L745)="",""," — "&amp;INDEX(SCNotes,$L745))),IF($M745&lt;&gt;"",IF(INDEX(LdgNoteB,$M745)="","—",INDEX(LdgNoteB,$M745)),""))</f>
        <v/>
      </c>
      <c r="F745" s="20">
        <f>IF($L745&lt;&gt;"",IF(INDEX(SCNet,$L745)=0,"",INDEX(SCNet,$L745)),"")</f>
        <v/>
      </c>
      <c r="G745" s="21">
        <f>IF($L745&lt;&gt;"",IF(INDEX(SCOp,$L745)="مرجوعی فروش","",IF(INDEX(SCAmount,$L745)&lt;=0,"",INDEX(SCAmount,$L745))),IF($M745&lt;&gt;"",IF(INDEX(LdgWitB,$M745)=0,"",INDEX(LdgWitB,$M745)),""))</f>
        <v/>
      </c>
      <c r="H745" s="21">
        <f>IF($L745&lt;&gt;"",IF(INDEX(SCOp,$L745)="مرجوعی فروش",IF(INDEX(SCAmount,$L745)=0,"",-INDEX(SCAmount,$L745)),""),IF($M745&lt;&gt;"",IF(INDEX(LdgDepB,$M745)=0,"",INDEX(LdgDepB,$M745)),""))</f>
        <v/>
      </c>
      <c r="I745" s="22">
        <f>IF($B745="","",IF($I744="",$C$10,$I744)+IF($G745="",0,$G745)-IF($H745="",0,$H745))</f>
        <v/>
      </c>
      <c r="L745">
        <f>IFERROR(MATCH($C$5&amp;"|"&amp;RIGHT("000000"&amp;729,6),LdgRankKeyA,0),"")</f>
        <v/>
      </c>
      <c r="M745">
        <f>IFERROR(MATCH($C$5&amp;"|"&amp;RIGHT("000000"&amp;729,6),LdgRankKeyB,0),"")</f>
        <v/>
      </c>
    </row>
    <row r="746">
      <c r="A746" s="23" t="n">
        <v>730</v>
      </c>
      <c r="B746" s="24">
        <f>IF(AND($L746="",$M746=""),"",IF($L746&lt;&gt;"",INDEX(SCNormDate,$L746),INDEX(LdgDateB,$M746)))</f>
        <v/>
      </c>
      <c r="C746" s="24">
        <f>IF($L746&lt;&gt;"",INDEX(SCOp,$L746),IF($M746&lt;&gt;"","پرداخت بانکی",""))</f>
        <v/>
      </c>
      <c r="D746" s="24">
        <f>IF($L746&lt;&gt;"",IF(INDEX(SCDoc,$L746)="","—",INDEX(SCDoc,$L746)),IF($M746&lt;&gt;"",INDEX(LdgBankB,$M746),""))</f>
        <v/>
      </c>
      <c r="E746" s="25">
        <f>IF($L746&lt;&gt;"",IF(INDEX(SCCitrus,$L746)&amp;INDEX(SCNotes,$L746)="","",IF(INDEX(SCCitrus,$L746)="","",INDEX(SCCitrus,$L746))&amp;IF(INDEX(SCNotes,$L746)="",""," — "&amp;INDEX(SCNotes,$L746))),IF($M746&lt;&gt;"",IF(INDEX(LdgNoteB,$M746)="","—",INDEX(LdgNoteB,$M746)),""))</f>
        <v/>
      </c>
      <c r="F746" s="26">
        <f>IF($L746&lt;&gt;"",IF(INDEX(SCNet,$L746)=0,"",INDEX(SCNet,$L746)),"")</f>
        <v/>
      </c>
      <c r="G746" s="27">
        <f>IF($L746&lt;&gt;"",IF(INDEX(SCOp,$L746)="مرجوعی فروش","",IF(INDEX(SCAmount,$L746)&lt;=0,"",INDEX(SCAmount,$L746))),IF($M746&lt;&gt;"",IF(INDEX(LdgWitB,$M746)=0,"",INDEX(LdgWitB,$M746)),""))</f>
        <v/>
      </c>
      <c r="H746" s="27">
        <f>IF($L746&lt;&gt;"",IF(INDEX(SCOp,$L746)="مرجوعی فروش",IF(INDEX(SCAmount,$L746)=0,"",-INDEX(SCAmount,$L746)),""),IF($M746&lt;&gt;"",IF(INDEX(LdgDepB,$M746)=0,"",INDEX(LdgDepB,$M746)),""))</f>
        <v/>
      </c>
      <c r="I746" s="28">
        <f>IF($B746="","",IF($I745="",$C$10,$I745)+IF($G746="",0,$G746)-IF($H746="",0,$H746))</f>
        <v/>
      </c>
      <c r="L746">
        <f>IFERROR(MATCH($C$5&amp;"|"&amp;RIGHT("000000"&amp;730,6),LdgRankKeyA,0),"")</f>
        <v/>
      </c>
      <c r="M746">
        <f>IFERROR(MATCH($C$5&amp;"|"&amp;RIGHT("000000"&amp;730,6),LdgRankKeyB,0),"")</f>
        <v/>
      </c>
    </row>
    <row r="747">
      <c r="A747" s="17" t="n">
        <v>731</v>
      </c>
      <c r="B747" s="18">
        <f>IF(AND($L747="",$M747=""),"",IF($L747&lt;&gt;"",INDEX(SCNormDate,$L747),INDEX(LdgDateB,$M747)))</f>
        <v/>
      </c>
      <c r="C747" s="18">
        <f>IF($L747&lt;&gt;"",INDEX(SCOp,$L747),IF($M747&lt;&gt;"","پرداخت بانکی",""))</f>
        <v/>
      </c>
      <c r="D747" s="18">
        <f>IF($L747&lt;&gt;"",IF(INDEX(SCDoc,$L747)="","—",INDEX(SCDoc,$L747)),IF($M747&lt;&gt;"",INDEX(LdgBankB,$M747),""))</f>
        <v/>
      </c>
      <c r="E747" s="19">
        <f>IF($L747&lt;&gt;"",IF(INDEX(SCCitrus,$L747)&amp;INDEX(SCNotes,$L747)="","",IF(INDEX(SCCitrus,$L747)="","",INDEX(SCCitrus,$L747))&amp;IF(INDEX(SCNotes,$L747)="",""," — "&amp;INDEX(SCNotes,$L747))),IF($M747&lt;&gt;"",IF(INDEX(LdgNoteB,$M747)="","—",INDEX(LdgNoteB,$M747)),""))</f>
        <v/>
      </c>
      <c r="F747" s="20">
        <f>IF($L747&lt;&gt;"",IF(INDEX(SCNet,$L747)=0,"",INDEX(SCNet,$L747)),"")</f>
        <v/>
      </c>
      <c r="G747" s="21">
        <f>IF($L747&lt;&gt;"",IF(INDEX(SCOp,$L747)="مرجوعی فروش","",IF(INDEX(SCAmount,$L747)&lt;=0,"",INDEX(SCAmount,$L747))),IF($M747&lt;&gt;"",IF(INDEX(LdgWitB,$M747)=0,"",INDEX(LdgWitB,$M747)),""))</f>
        <v/>
      </c>
      <c r="H747" s="21">
        <f>IF($L747&lt;&gt;"",IF(INDEX(SCOp,$L747)="مرجوعی فروش",IF(INDEX(SCAmount,$L747)=0,"",-INDEX(SCAmount,$L747)),""),IF($M747&lt;&gt;"",IF(INDEX(LdgDepB,$M747)=0,"",INDEX(LdgDepB,$M747)),""))</f>
        <v/>
      </c>
      <c r="I747" s="22">
        <f>IF($B747="","",IF($I746="",$C$10,$I746)+IF($G747="",0,$G747)-IF($H747="",0,$H747))</f>
        <v/>
      </c>
      <c r="L747">
        <f>IFERROR(MATCH($C$5&amp;"|"&amp;RIGHT("000000"&amp;731,6),LdgRankKeyA,0),"")</f>
        <v/>
      </c>
      <c r="M747">
        <f>IFERROR(MATCH($C$5&amp;"|"&amp;RIGHT("000000"&amp;731,6),LdgRankKeyB,0),"")</f>
        <v/>
      </c>
    </row>
    <row r="748">
      <c r="A748" s="23" t="n">
        <v>732</v>
      </c>
      <c r="B748" s="24">
        <f>IF(AND($L748="",$M748=""),"",IF($L748&lt;&gt;"",INDEX(SCNormDate,$L748),INDEX(LdgDateB,$M748)))</f>
        <v/>
      </c>
      <c r="C748" s="24">
        <f>IF($L748&lt;&gt;"",INDEX(SCOp,$L748),IF($M748&lt;&gt;"","پرداخت بانکی",""))</f>
        <v/>
      </c>
      <c r="D748" s="24">
        <f>IF($L748&lt;&gt;"",IF(INDEX(SCDoc,$L748)="","—",INDEX(SCDoc,$L748)),IF($M748&lt;&gt;"",INDEX(LdgBankB,$M748),""))</f>
        <v/>
      </c>
      <c r="E748" s="25">
        <f>IF($L748&lt;&gt;"",IF(INDEX(SCCitrus,$L748)&amp;INDEX(SCNotes,$L748)="","",IF(INDEX(SCCitrus,$L748)="","",INDEX(SCCitrus,$L748))&amp;IF(INDEX(SCNotes,$L748)="",""," — "&amp;INDEX(SCNotes,$L748))),IF($M748&lt;&gt;"",IF(INDEX(LdgNoteB,$M748)="","—",INDEX(LdgNoteB,$M748)),""))</f>
        <v/>
      </c>
      <c r="F748" s="26">
        <f>IF($L748&lt;&gt;"",IF(INDEX(SCNet,$L748)=0,"",INDEX(SCNet,$L748)),"")</f>
        <v/>
      </c>
      <c r="G748" s="27">
        <f>IF($L748&lt;&gt;"",IF(INDEX(SCOp,$L748)="مرجوعی فروش","",IF(INDEX(SCAmount,$L748)&lt;=0,"",INDEX(SCAmount,$L748))),IF($M748&lt;&gt;"",IF(INDEX(LdgWitB,$M748)=0,"",INDEX(LdgWitB,$M748)),""))</f>
        <v/>
      </c>
      <c r="H748" s="27">
        <f>IF($L748&lt;&gt;"",IF(INDEX(SCOp,$L748)="مرجوعی فروش",IF(INDEX(SCAmount,$L748)=0,"",-INDEX(SCAmount,$L748)),""),IF($M748&lt;&gt;"",IF(INDEX(LdgDepB,$M748)=0,"",INDEX(LdgDepB,$M748)),""))</f>
        <v/>
      </c>
      <c r="I748" s="28">
        <f>IF($B748="","",IF($I747="",$C$10,$I747)+IF($G748="",0,$G748)-IF($H748="",0,$H748))</f>
        <v/>
      </c>
      <c r="L748">
        <f>IFERROR(MATCH($C$5&amp;"|"&amp;RIGHT("000000"&amp;732,6),LdgRankKeyA,0),"")</f>
        <v/>
      </c>
      <c r="M748">
        <f>IFERROR(MATCH($C$5&amp;"|"&amp;RIGHT("000000"&amp;732,6),LdgRankKeyB,0),"")</f>
        <v/>
      </c>
    </row>
    <row r="749">
      <c r="A749" s="17" t="n">
        <v>733</v>
      </c>
      <c r="B749" s="18">
        <f>IF(AND($L749="",$M749=""),"",IF($L749&lt;&gt;"",INDEX(SCNormDate,$L749),INDEX(LdgDateB,$M749)))</f>
        <v/>
      </c>
      <c r="C749" s="18">
        <f>IF($L749&lt;&gt;"",INDEX(SCOp,$L749),IF($M749&lt;&gt;"","پرداخت بانکی",""))</f>
        <v/>
      </c>
      <c r="D749" s="18">
        <f>IF($L749&lt;&gt;"",IF(INDEX(SCDoc,$L749)="","—",INDEX(SCDoc,$L749)),IF($M749&lt;&gt;"",INDEX(LdgBankB,$M749),""))</f>
        <v/>
      </c>
      <c r="E749" s="19">
        <f>IF($L749&lt;&gt;"",IF(INDEX(SCCitrus,$L749)&amp;INDEX(SCNotes,$L749)="","",IF(INDEX(SCCitrus,$L749)="","",INDEX(SCCitrus,$L749))&amp;IF(INDEX(SCNotes,$L749)="",""," — "&amp;INDEX(SCNotes,$L749))),IF($M749&lt;&gt;"",IF(INDEX(LdgNoteB,$M749)="","—",INDEX(LdgNoteB,$M749)),""))</f>
        <v/>
      </c>
      <c r="F749" s="20">
        <f>IF($L749&lt;&gt;"",IF(INDEX(SCNet,$L749)=0,"",INDEX(SCNet,$L749)),"")</f>
        <v/>
      </c>
      <c r="G749" s="21">
        <f>IF($L749&lt;&gt;"",IF(INDEX(SCOp,$L749)="مرجوعی فروش","",IF(INDEX(SCAmount,$L749)&lt;=0,"",INDEX(SCAmount,$L749))),IF($M749&lt;&gt;"",IF(INDEX(LdgWitB,$M749)=0,"",INDEX(LdgWitB,$M749)),""))</f>
        <v/>
      </c>
      <c r="H749" s="21">
        <f>IF($L749&lt;&gt;"",IF(INDEX(SCOp,$L749)="مرجوعی فروش",IF(INDEX(SCAmount,$L749)=0,"",-INDEX(SCAmount,$L749)),""),IF($M749&lt;&gt;"",IF(INDEX(LdgDepB,$M749)=0,"",INDEX(LdgDepB,$M749)),""))</f>
        <v/>
      </c>
      <c r="I749" s="22">
        <f>IF($B749="","",IF($I748="",$C$10,$I748)+IF($G749="",0,$G749)-IF($H749="",0,$H749))</f>
        <v/>
      </c>
      <c r="L749">
        <f>IFERROR(MATCH($C$5&amp;"|"&amp;RIGHT("000000"&amp;733,6),LdgRankKeyA,0),"")</f>
        <v/>
      </c>
      <c r="M749">
        <f>IFERROR(MATCH($C$5&amp;"|"&amp;RIGHT("000000"&amp;733,6),LdgRankKeyB,0),"")</f>
        <v/>
      </c>
    </row>
    <row r="750">
      <c r="A750" s="23" t="n">
        <v>734</v>
      </c>
      <c r="B750" s="24">
        <f>IF(AND($L750="",$M750=""),"",IF($L750&lt;&gt;"",INDEX(SCNormDate,$L750),INDEX(LdgDateB,$M750)))</f>
        <v/>
      </c>
      <c r="C750" s="24">
        <f>IF($L750&lt;&gt;"",INDEX(SCOp,$L750),IF($M750&lt;&gt;"","پرداخت بانکی",""))</f>
        <v/>
      </c>
      <c r="D750" s="24">
        <f>IF($L750&lt;&gt;"",IF(INDEX(SCDoc,$L750)="","—",INDEX(SCDoc,$L750)),IF($M750&lt;&gt;"",INDEX(LdgBankB,$M750),""))</f>
        <v/>
      </c>
      <c r="E750" s="25">
        <f>IF($L750&lt;&gt;"",IF(INDEX(SCCitrus,$L750)&amp;INDEX(SCNotes,$L750)="","",IF(INDEX(SCCitrus,$L750)="","",INDEX(SCCitrus,$L750))&amp;IF(INDEX(SCNotes,$L750)="",""," — "&amp;INDEX(SCNotes,$L750))),IF($M750&lt;&gt;"",IF(INDEX(LdgNoteB,$M750)="","—",INDEX(LdgNoteB,$M750)),""))</f>
        <v/>
      </c>
      <c r="F750" s="26">
        <f>IF($L750&lt;&gt;"",IF(INDEX(SCNet,$L750)=0,"",INDEX(SCNet,$L750)),"")</f>
        <v/>
      </c>
      <c r="G750" s="27">
        <f>IF($L750&lt;&gt;"",IF(INDEX(SCOp,$L750)="مرجوعی فروش","",IF(INDEX(SCAmount,$L750)&lt;=0,"",INDEX(SCAmount,$L750))),IF($M750&lt;&gt;"",IF(INDEX(LdgWitB,$M750)=0,"",INDEX(LdgWitB,$M750)),""))</f>
        <v/>
      </c>
      <c r="H750" s="27">
        <f>IF($L750&lt;&gt;"",IF(INDEX(SCOp,$L750)="مرجوعی فروش",IF(INDEX(SCAmount,$L750)=0,"",-INDEX(SCAmount,$L750)),""),IF($M750&lt;&gt;"",IF(INDEX(LdgDepB,$M750)=0,"",INDEX(LdgDepB,$M750)),""))</f>
        <v/>
      </c>
      <c r="I750" s="28">
        <f>IF($B750="","",IF($I749="",$C$10,$I749)+IF($G750="",0,$G750)-IF($H750="",0,$H750))</f>
        <v/>
      </c>
      <c r="L750">
        <f>IFERROR(MATCH($C$5&amp;"|"&amp;RIGHT("000000"&amp;734,6),LdgRankKeyA,0),"")</f>
        <v/>
      </c>
      <c r="M750">
        <f>IFERROR(MATCH($C$5&amp;"|"&amp;RIGHT("000000"&amp;734,6),LdgRankKeyB,0),"")</f>
        <v/>
      </c>
    </row>
    <row r="751">
      <c r="A751" s="17" t="n">
        <v>735</v>
      </c>
      <c r="B751" s="18">
        <f>IF(AND($L751="",$M751=""),"",IF($L751&lt;&gt;"",INDEX(SCNormDate,$L751),INDEX(LdgDateB,$M751)))</f>
        <v/>
      </c>
      <c r="C751" s="18">
        <f>IF($L751&lt;&gt;"",INDEX(SCOp,$L751),IF($M751&lt;&gt;"","پرداخت بانکی",""))</f>
        <v/>
      </c>
      <c r="D751" s="18">
        <f>IF($L751&lt;&gt;"",IF(INDEX(SCDoc,$L751)="","—",INDEX(SCDoc,$L751)),IF($M751&lt;&gt;"",INDEX(LdgBankB,$M751),""))</f>
        <v/>
      </c>
      <c r="E751" s="19">
        <f>IF($L751&lt;&gt;"",IF(INDEX(SCCitrus,$L751)&amp;INDEX(SCNotes,$L751)="","",IF(INDEX(SCCitrus,$L751)="","",INDEX(SCCitrus,$L751))&amp;IF(INDEX(SCNotes,$L751)="",""," — "&amp;INDEX(SCNotes,$L751))),IF($M751&lt;&gt;"",IF(INDEX(LdgNoteB,$M751)="","—",INDEX(LdgNoteB,$M751)),""))</f>
        <v/>
      </c>
      <c r="F751" s="20">
        <f>IF($L751&lt;&gt;"",IF(INDEX(SCNet,$L751)=0,"",INDEX(SCNet,$L751)),"")</f>
        <v/>
      </c>
      <c r="G751" s="21">
        <f>IF($L751&lt;&gt;"",IF(INDEX(SCOp,$L751)="مرجوعی فروش","",IF(INDEX(SCAmount,$L751)&lt;=0,"",INDEX(SCAmount,$L751))),IF($M751&lt;&gt;"",IF(INDEX(LdgWitB,$M751)=0,"",INDEX(LdgWitB,$M751)),""))</f>
        <v/>
      </c>
      <c r="H751" s="21">
        <f>IF($L751&lt;&gt;"",IF(INDEX(SCOp,$L751)="مرجوعی فروش",IF(INDEX(SCAmount,$L751)=0,"",-INDEX(SCAmount,$L751)),""),IF($M751&lt;&gt;"",IF(INDEX(LdgDepB,$M751)=0,"",INDEX(LdgDepB,$M751)),""))</f>
        <v/>
      </c>
      <c r="I751" s="22">
        <f>IF($B751="","",IF($I750="",$C$10,$I750)+IF($G751="",0,$G751)-IF($H751="",0,$H751))</f>
        <v/>
      </c>
      <c r="L751">
        <f>IFERROR(MATCH($C$5&amp;"|"&amp;RIGHT("000000"&amp;735,6),LdgRankKeyA,0),"")</f>
        <v/>
      </c>
      <c r="M751">
        <f>IFERROR(MATCH($C$5&amp;"|"&amp;RIGHT("000000"&amp;735,6),LdgRankKeyB,0),"")</f>
        <v/>
      </c>
    </row>
    <row r="752">
      <c r="A752" s="23" t="n">
        <v>736</v>
      </c>
      <c r="B752" s="24">
        <f>IF(AND($L752="",$M752=""),"",IF($L752&lt;&gt;"",INDEX(SCNormDate,$L752),INDEX(LdgDateB,$M752)))</f>
        <v/>
      </c>
      <c r="C752" s="24">
        <f>IF($L752&lt;&gt;"",INDEX(SCOp,$L752),IF($M752&lt;&gt;"","پرداخت بانکی",""))</f>
        <v/>
      </c>
      <c r="D752" s="24">
        <f>IF($L752&lt;&gt;"",IF(INDEX(SCDoc,$L752)="","—",INDEX(SCDoc,$L752)),IF($M752&lt;&gt;"",INDEX(LdgBankB,$M752),""))</f>
        <v/>
      </c>
      <c r="E752" s="25">
        <f>IF($L752&lt;&gt;"",IF(INDEX(SCCitrus,$L752)&amp;INDEX(SCNotes,$L752)="","",IF(INDEX(SCCitrus,$L752)="","",INDEX(SCCitrus,$L752))&amp;IF(INDEX(SCNotes,$L752)="",""," — "&amp;INDEX(SCNotes,$L752))),IF($M752&lt;&gt;"",IF(INDEX(LdgNoteB,$M752)="","—",INDEX(LdgNoteB,$M752)),""))</f>
        <v/>
      </c>
      <c r="F752" s="26">
        <f>IF($L752&lt;&gt;"",IF(INDEX(SCNet,$L752)=0,"",INDEX(SCNet,$L752)),"")</f>
        <v/>
      </c>
      <c r="G752" s="27">
        <f>IF($L752&lt;&gt;"",IF(INDEX(SCOp,$L752)="مرجوعی فروش","",IF(INDEX(SCAmount,$L752)&lt;=0,"",INDEX(SCAmount,$L752))),IF($M752&lt;&gt;"",IF(INDEX(LdgWitB,$M752)=0,"",INDEX(LdgWitB,$M752)),""))</f>
        <v/>
      </c>
      <c r="H752" s="27">
        <f>IF($L752&lt;&gt;"",IF(INDEX(SCOp,$L752)="مرجوعی فروش",IF(INDEX(SCAmount,$L752)=0,"",-INDEX(SCAmount,$L752)),""),IF($M752&lt;&gt;"",IF(INDEX(LdgDepB,$M752)=0,"",INDEX(LdgDepB,$M752)),""))</f>
        <v/>
      </c>
      <c r="I752" s="28">
        <f>IF($B752="","",IF($I751="",$C$10,$I751)+IF($G752="",0,$G752)-IF($H752="",0,$H752))</f>
        <v/>
      </c>
      <c r="L752">
        <f>IFERROR(MATCH($C$5&amp;"|"&amp;RIGHT("000000"&amp;736,6),LdgRankKeyA,0),"")</f>
        <v/>
      </c>
      <c r="M752">
        <f>IFERROR(MATCH($C$5&amp;"|"&amp;RIGHT("000000"&amp;736,6),LdgRankKeyB,0),"")</f>
        <v/>
      </c>
    </row>
    <row r="753">
      <c r="A753" s="17" t="n">
        <v>737</v>
      </c>
      <c r="B753" s="18">
        <f>IF(AND($L753="",$M753=""),"",IF($L753&lt;&gt;"",INDEX(SCNormDate,$L753),INDEX(LdgDateB,$M753)))</f>
        <v/>
      </c>
      <c r="C753" s="18">
        <f>IF($L753&lt;&gt;"",INDEX(SCOp,$L753),IF($M753&lt;&gt;"","پرداخت بانکی",""))</f>
        <v/>
      </c>
      <c r="D753" s="18">
        <f>IF($L753&lt;&gt;"",IF(INDEX(SCDoc,$L753)="","—",INDEX(SCDoc,$L753)),IF($M753&lt;&gt;"",INDEX(LdgBankB,$M753),""))</f>
        <v/>
      </c>
      <c r="E753" s="19">
        <f>IF($L753&lt;&gt;"",IF(INDEX(SCCitrus,$L753)&amp;INDEX(SCNotes,$L753)="","",IF(INDEX(SCCitrus,$L753)="","",INDEX(SCCitrus,$L753))&amp;IF(INDEX(SCNotes,$L753)="",""," — "&amp;INDEX(SCNotes,$L753))),IF($M753&lt;&gt;"",IF(INDEX(LdgNoteB,$M753)="","—",INDEX(LdgNoteB,$M753)),""))</f>
        <v/>
      </c>
      <c r="F753" s="20">
        <f>IF($L753&lt;&gt;"",IF(INDEX(SCNet,$L753)=0,"",INDEX(SCNet,$L753)),"")</f>
        <v/>
      </c>
      <c r="G753" s="21">
        <f>IF($L753&lt;&gt;"",IF(INDEX(SCOp,$L753)="مرجوعی فروش","",IF(INDEX(SCAmount,$L753)&lt;=0,"",INDEX(SCAmount,$L753))),IF($M753&lt;&gt;"",IF(INDEX(LdgWitB,$M753)=0,"",INDEX(LdgWitB,$M753)),""))</f>
        <v/>
      </c>
      <c r="H753" s="21">
        <f>IF($L753&lt;&gt;"",IF(INDEX(SCOp,$L753)="مرجوعی فروش",IF(INDEX(SCAmount,$L753)=0,"",-INDEX(SCAmount,$L753)),""),IF($M753&lt;&gt;"",IF(INDEX(LdgDepB,$M753)=0,"",INDEX(LdgDepB,$M753)),""))</f>
        <v/>
      </c>
      <c r="I753" s="22">
        <f>IF($B753="","",IF($I752="",$C$10,$I752)+IF($G753="",0,$G753)-IF($H753="",0,$H753))</f>
        <v/>
      </c>
      <c r="L753">
        <f>IFERROR(MATCH($C$5&amp;"|"&amp;RIGHT("000000"&amp;737,6),LdgRankKeyA,0),"")</f>
        <v/>
      </c>
      <c r="M753">
        <f>IFERROR(MATCH($C$5&amp;"|"&amp;RIGHT("000000"&amp;737,6),LdgRankKeyB,0),"")</f>
        <v/>
      </c>
    </row>
    <row r="754">
      <c r="A754" s="23" t="n">
        <v>738</v>
      </c>
      <c r="B754" s="24">
        <f>IF(AND($L754="",$M754=""),"",IF($L754&lt;&gt;"",INDEX(SCNormDate,$L754),INDEX(LdgDateB,$M754)))</f>
        <v/>
      </c>
      <c r="C754" s="24">
        <f>IF($L754&lt;&gt;"",INDEX(SCOp,$L754),IF($M754&lt;&gt;"","پرداخت بانکی",""))</f>
        <v/>
      </c>
      <c r="D754" s="24">
        <f>IF($L754&lt;&gt;"",IF(INDEX(SCDoc,$L754)="","—",INDEX(SCDoc,$L754)),IF($M754&lt;&gt;"",INDEX(LdgBankB,$M754),""))</f>
        <v/>
      </c>
      <c r="E754" s="25">
        <f>IF($L754&lt;&gt;"",IF(INDEX(SCCitrus,$L754)&amp;INDEX(SCNotes,$L754)="","",IF(INDEX(SCCitrus,$L754)="","",INDEX(SCCitrus,$L754))&amp;IF(INDEX(SCNotes,$L754)="",""," — "&amp;INDEX(SCNotes,$L754))),IF($M754&lt;&gt;"",IF(INDEX(LdgNoteB,$M754)="","—",INDEX(LdgNoteB,$M754)),""))</f>
        <v/>
      </c>
      <c r="F754" s="26">
        <f>IF($L754&lt;&gt;"",IF(INDEX(SCNet,$L754)=0,"",INDEX(SCNet,$L754)),"")</f>
        <v/>
      </c>
      <c r="G754" s="27">
        <f>IF($L754&lt;&gt;"",IF(INDEX(SCOp,$L754)="مرجوعی فروش","",IF(INDEX(SCAmount,$L754)&lt;=0,"",INDEX(SCAmount,$L754))),IF($M754&lt;&gt;"",IF(INDEX(LdgWitB,$M754)=0,"",INDEX(LdgWitB,$M754)),""))</f>
        <v/>
      </c>
      <c r="H754" s="27">
        <f>IF($L754&lt;&gt;"",IF(INDEX(SCOp,$L754)="مرجوعی فروش",IF(INDEX(SCAmount,$L754)=0,"",-INDEX(SCAmount,$L754)),""),IF($M754&lt;&gt;"",IF(INDEX(LdgDepB,$M754)=0,"",INDEX(LdgDepB,$M754)),""))</f>
        <v/>
      </c>
      <c r="I754" s="28">
        <f>IF($B754="","",IF($I753="",$C$10,$I753)+IF($G754="",0,$G754)-IF($H754="",0,$H754))</f>
        <v/>
      </c>
      <c r="L754">
        <f>IFERROR(MATCH($C$5&amp;"|"&amp;RIGHT("000000"&amp;738,6),LdgRankKeyA,0),"")</f>
        <v/>
      </c>
      <c r="M754">
        <f>IFERROR(MATCH($C$5&amp;"|"&amp;RIGHT("000000"&amp;738,6),LdgRankKeyB,0),"")</f>
        <v/>
      </c>
    </row>
    <row r="755">
      <c r="A755" s="17" t="n">
        <v>739</v>
      </c>
      <c r="B755" s="18">
        <f>IF(AND($L755="",$M755=""),"",IF($L755&lt;&gt;"",INDEX(SCNormDate,$L755),INDEX(LdgDateB,$M755)))</f>
        <v/>
      </c>
      <c r="C755" s="18">
        <f>IF($L755&lt;&gt;"",INDEX(SCOp,$L755),IF($M755&lt;&gt;"","پرداخت بانکی",""))</f>
        <v/>
      </c>
      <c r="D755" s="18">
        <f>IF($L755&lt;&gt;"",IF(INDEX(SCDoc,$L755)="","—",INDEX(SCDoc,$L755)),IF($M755&lt;&gt;"",INDEX(LdgBankB,$M755),""))</f>
        <v/>
      </c>
      <c r="E755" s="19">
        <f>IF($L755&lt;&gt;"",IF(INDEX(SCCitrus,$L755)&amp;INDEX(SCNotes,$L755)="","",IF(INDEX(SCCitrus,$L755)="","",INDEX(SCCitrus,$L755))&amp;IF(INDEX(SCNotes,$L755)="",""," — "&amp;INDEX(SCNotes,$L755))),IF($M755&lt;&gt;"",IF(INDEX(LdgNoteB,$M755)="","—",INDEX(LdgNoteB,$M755)),""))</f>
        <v/>
      </c>
      <c r="F755" s="20">
        <f>IF($L755&lt;&gt;"",IF(INDEX(SCNet,$L755)=0,"",INDEX(SCNet,$L755)),"")</f>
        <v/>
      </c>
      <c r="G755" s="21">
        <f>IF($L755&lt;&gt;"",IF(INDEX(SCOp,$L755)="مرجوعی فروش","",IF(INDEX(SCAmount,$L755)&lt;=0,"",INDEX(SCAmount,$L755))),IF($M755&lt;&gt;"",IF(INDEX(LdgWitB,$M755)=0,"",INDEX(LdgWitB,$M755)),""))</f>
        <v/>
      </c>
      <c r="H755" s="21">
        <f>IF($L755&lt;&gt;"",IF(INDEX(SCOp,$L755)="مرجوعی فروش",IF(INDEX(SCAmount,$L755)=0,"",-INDEX(SCAmount,$L755)),""),IF($M755&lt;&gt;"",IF(INDEX(LdgDepB,$M755)=0,"",INDEX(LdgDepB,$M755)),""))</f>
        <v/>
      </c>
      <c r="I755" s="22">
        <f>IF($B755="","",IF($I754="",$C$10,$I754)+IF($G755="",0,$G755)-IF($H755="",0,$H755))</f>
        <v/>
      </c>
      <c r="L755">
        <f>IFERROR(MATCH($C$5&amp;"|"&amp;RIGHT("000000"&amp;739,6),LdgRankKeyA,0),"")</f>
        <v/>
      </c>
      <c r="M755">
        <f>IFERROR(MATCH($C$5&amp;"|"&amp;RIGHT("000000"&amp;739,6),LdgRankKeyB,0),"")</f>
        <v/>
      </c>
    </row>
    <row r="756">
      <c r="A756" s="23" t="n">
        <v>740</v>
      </c>
      <c r="B756" s="24">
        <f>IF(AND($L756="",$M756=""),"",IF($L756&lt;&gt;"",INDEX(SCNormDate,$L756),INDEX(LdgDateB,$M756)))</f>
        <v/>
      </c>
      <c r="C756" s="24">
        <f>IF($L756&lt;&gt;"",INDEX(SCOp,$L756),IF($M756&lt;&gt;"","پرداخت بانکی",""))</f>
        <v/>
      </c>
      <c r="D756" s="24">
        <f>IF($L756&lt;&gt;"",IF(INDEX(SCDoc,$L756)="","—",INDEX(SCDoc,$L756)),IF($M756&lt;&gt;"",INDEX(LdgBankB,$M756),""))</f>
        <v/>
      </c>
      <c r="E756" s="25">
        <f>IF($L756&lt;&gt;"",IF(INDEX(SCCitrus,$L756)&amp;INDEX(SCNotes,$L756)="","",IF(INDEX(SCCitrus,$L756)="","",INDEX(SCCitrus,$L756))&amp;IF(INDEX(SCNotes,$L756)="",""," — "&amp;INDEX(SCNotes,$L756))),IF($M756&lt;&gt;"",IF(INDEX(LdgNoteB,$M756)="","—",INDEX(LdgNoteB,$M756)),""))</f>
        <v/>
      </c>
      <c r="F756" s="26">
        <f>IF($L756&lt;&gt;"",IF(INDEX(SCNet,$L756)=0,"",INDEX(SCNet,$L756)),"")</f>
        <v/>
      </c>
      <c r="G756" s="27">
        <f>IF($L756&lt;&gt;"",IF(INDEX(SCOp,$L756)="مرجوعی فروش","",IF(INDEX(SCAmount,$L756)&lt;=0,"",INDEX(SCAmount,$L756))),IF($M756&lt;&gt;"",IF(INDEX(LdgWitB,$M756)=0,"",INDEX(LdgWitB,$M756)),""))</f>
        <v/>
      </c>
      <c r="H756" s="27">
        <f>IF($L756&lt;&gt;"",IF(INDEX(SCOp,$L756)="مرجوعی فروش",IF(INDEX(SCAmount,$L756)=0,"",-INDEX(SCAmount,$L756)),""),IF($M756&lt;&gt;"",IF(INDEX(LdgDepB,$M756)=0,"",INDEX(LdgDepB,$M756)),""))</f>
        <v/>
      </c>
      <c r="I756" s="28">
        <f>IF($B756="","",IF($I755="",$C$10,$I755)+IF($G756="",0,$G756)-IF($H756="",0,$H756))</f>
        <v/>
      </c>
      <c r="L756">
        <f>IFERROR(MATCH($C$5&amp;"|"&amp;RIGHT("000000"&amp;740,6),LdgRankKeyA,0),"")</f>
        <v/>
      </c>
      <c r="M756">
        <f>IFERROR(MATCH($C$5&amp;"|"&amp;RIGHT("000000"&amp;740,6),LdgRankKeyB,0),"")</f>
        <v/>
      </c>
    </row>
    <row r="757">
      <c r="A757" s="17" t="n">
        <v>741</v>
      </c>
      <c r="B757" s="18">
        <f>IF(AND($L757="",$M757=""),"",IF($L757&lt;&gt;"",INDEX(SCNormDate,$L757),INDEX(LdgDateB,$M757)))</f>
        <v/>
      </c>
      <c r="C757" s="18">
        <f>IF($L757&lt;&gt;"",INDEX(SCOp,$L757),IF($M757&lt;&gt;"","پرداخت بانکی",""))</f>
        <v/>
      </c>
      <c r="D757" s="18">
        <f>IF($L757&lt;&gt;"",IF(INDEX(SCDoc,$L757)="","—",INDEX(SCDoc,$L757)),IF($M757&lt;&gt;"",INDEX(LdgBankB,$M757),""))</f>
        <v/>
      </c>
      <c r="E757" s="19">
        <f>IF($L757&lt;&gt;"",IF(INDEX(SCCitrus,$L757)&amp;INDEX(SCNotes,$L757)="","",IF(INDEX(SCCitrus,$L757)="","",INDEX(SCCitrus,$L757))&amp;IF(INDEX(SCNotes,$L757)="",""," — "&amp;INDEX(SCNotes,$L757))),IF($M757&lt;&gt;"",IF(INDEX(LdgNoteB,$M757)="","—",INDEX(LdgNoteB,$M757)),""))</f>
        <v/>
      </c>
      <c r="F757" s="20">
        <f>IF($L757&lt;&gt;"",IF(INDEX(SCNet,$L757)=0,"",INDEX(SCNet,$L757)),"")</f>
        <v/>
      </c>
      <c r="G757" s="21">
        <f>IF($L757&lt;&gt;"",IF(INDEX(SCOp,$L757)="مرجوعی فروش","",IF(INDEX(SCAmount,$L757)&lt;=0,"",INDEX(SCAmount,$L757))),IF($M757&lt;&gt;"",IF(INDEX(LdgWitB,$M757)=0,"",INDEX(LdgWitB,$M757)),""))</f>
        <v/>
      </c>
      <c r="H757" s="21">
        <f>IF($L757&lt;&gt;"",IF(INDEX(SCOp,$L757)="مرجوعی فروش",IF(INDEX(SCAmount,$L757)=0,"",-INDEX(SCAmount,$L757)),""),IF($M757&lt;&gt;"",IF(INDEX(LdgDepB,$M757)=0,"",INDEX(LdgDepB,$M757)),""))</f>
        <v/>
      </c>
      <c r="I757" s="22">
        <f>IF($B757="","",IF($I756="",$C$10,$I756)+IF($G757="",0,$G757)-IF($H757="",0,$H757))</f>
        <v/>
      </c>
      <c r="L757">
        <f>IFERROR(MATCH($C$5&amp;"|"&amp;RIGHT("000000"&amp;741,6),LdgRankKeyA,0),"")</f>
        <v/>
      </c>
      <c r="M757">
        <f>IFERROR(MATCH($C$5&amp;"|"&amp;RIGHT("000000"&amp;741,6),LdgRankKeyB,0),"")</f>
        <v/>
      </c>
    </row>
    <row r="758">
      <c r="A758" s="23" t="n">
        <v>742</v>
      </c>
      <c r="B758" s="24">
        <f>IF(AND($L758="",$M758=""),"",IF($L758&lt;&gt;"",INDEX(SCNormDate,$L758),INDEX(LdgDateB,$M758)))</f>
        <v/>
      </c>
      <c r="C758" s="24">
        <f>IF($L758&lt;&gt;"",INDEX(SCOp,$L758),IF($M758&lt;&gt;"","پرداخت بانکی",""))</f>
        <v/>
      </c>
      <c r="D758" s="24">
        <f>IF($L758&lt;&gt;"",IF(INDEX(SCDoc,$L758)="","—",INDEX(SCDoc,$L758)),IF($M758&lt;&gt;"",INDEX(LdgBankB,$M758),""))</f>
        <v/>
      </c>
      <c r="E758" s="25">
        <f>IF($L758&lt;&gt;"",IF(INDEX(SCCitrus,$L758)&amp;INDEX(SCNotes,$L758)="","",IF(INDEX(SCCitrus,$L758)="","",INDEX(SCCitrus,$L758))&amp;IF(INDEX(SCNotes,$L758)="",""," — "&amp;INDEX(SCNotes,$L758))),IF($M758&lt;&gt;"",IF(INDEX(LdgNoteB,$M758)="","—",INDEX(LdgNoteB,$M758)),""))</f>
        <v/>
      </c>
      <c r="F758" s="26">
        <f>IF($L758&lt;&gt;"",IF(INDEX(SCNet,$L758)=0,"",INDEX(SCNet,$L758)),"")</f>
        <v/>
      </c>
      <c r="G758" s="27">
        <f>IF($L758&lt;&gt;"",IF(INDEX(SCOp,$L758)="مرجوعی فروش","",IF(INDEX(SCAmount,$L758)&lt;=0,"",INDEX(SCAmount,$L758))),IF($M758&lt;&gt;"",IF(INDEX(LdgWitB,$M758)=0,"",INDEX(LdgWitB,$M758)),""))</f>
        <v/>
      </c>
      <c r="H758" s="27">
        <f>IF($L758&lt;&gt;"",IF(INDEX(SCOp,$L758)="مرجوعی فروش",IF(INDEX(SCAmount,$L758)=0,"",-INDEX(SCAmount,$L758)),""),IF($M758&lt;&gt;"",IF(INDEX(LdgDepB,$M758)=0,"",INDEX(LdgDepB,$M758)),""))</f>
        <v/>
      </c>
      <c r="I758" s="28">
        <f>IF($B758="","",IF($I757="",$C$10,$I757)+IF($G758="",0,$G758)-IF($H758="",0,$H758))</f>
        <v/>
      </c>
      <c r="L758">
        <f>IFERROR(MATCH($C$5&amp;"|"&amp;RIGHT("000000"&amp;742,6),LdgRankKeyA,0),"")</f>
        <v/>
      </c>
      <c r="M758">
        <f>IFERROR(MATCH($C$5&amp;"|"&amp;RIGHT("000000"&amp;742,6),LdgRankKeyB,0),"")</f>
        <v/>
      </c>
    </row>
    <row r="759">
      <c r="A759" s="17" t="n">
        <v>743</v>
      </c>
      <c r="B759" s="18">
        <f>IF(AND($L759="",$M759=""),"",IF($L759&lt;&gt;"",INDEX(SCNormDate,$L759),INDEX(LdgDateB,$M759)))</f>
        <v/>
      </c>
      <c r="C759" s="18">
        <f>IF($L759&lt;&gt;"",INDEX(SCOp,$L759),IF($M759&lt;&gt;"","پرداخت بانکی",""))</f>
        <v/>
      </c>
      <c r="D759" s="18">
        <f>IF($L759&lt;&gt;"",IF(INDEX(SCDoc,$L759)="","—",INDEX(SCDoc,$L759)),IF($M759&lt;&gt;"",INDEX(LdgBankB,$M759),""))</f>
        <v/>
      </c>
      <c r="E759" s="19">
        <f>IF($L759&lt;&gt;"",IF(INDEX(SCCitrus,$L759)&amp;INDEX(SCNotes,$L759)="","",IF(INDEX(SCCitrus,$L759)="","",INDEX(SCCitrus,$L759))&amp;IF(INDEX(SCNotes,$L759)="",""," — "&amp;INDEX(SCNotes,$L759))),IF($M759&lt;&gt;"",IF(INDEX(LdgNoteB,$M759)="","—",INDEX(LdgNoteB,$M759)),""))</f>
        <v/>
      </c>
      <c r="F759" s="20">
        <f>IF($L759&lt;&gt;"",IF(INDEX(SCNet,$L759)=0,"",INDEX(SCNet,$L759)),"")</f>
        <v/>
      </c>
      <c r="G759" s="21">
        <f>IF($L759&lt;&gt;"",IF(INDEX(SCOp,$L759)="مرجوعی فروش","",IF(INDEX(SCAmount,$L759)&lt;=0,"",INDEX(SCAmount,$L759))),IF($M759&lt;&gt;"",IF(INDEX(LdgWitB,$M759)=0,"",INDEX(LdgWitB,$M759)),""))</f>
        <v/>
      </c>
      <c r="H759" s="21">
        <f>IF($L759&lt;&gt;"",IF(INDEX(SCOp,$L759)="مرجوعی فروش",IF(INDEX(SCAmount,$L759)=0,"",-INDEX(SCAmount,$L759)),""),IF($M759&lt;&gt;"",IF(INDEX(LdgDepB,$M759)=0,"",INDEX(LdgDepB,$M759)),""))</f>
        <v/>
      </c>
      <c r="I759" s="22">
        <f>IF($B759="","",IF($I758="",$C$10,$I758)+IF($G759="",0,$G759)-IF($H759="",0,$H759))</f>
        <v/>
      </c>
      <c r="L759">
        <f>IFERROR(MATCH($C$5&amp;"|"&amp;RIGHT("000000"&amp;743,6),LdgRankKeyA,0),"")</f>
        <v/>
      </c>
      <c r="M759">
        <f>IFERROR(MATCH($C$5&amp;"|"&amp;RIGHT("000000"&amp;743,6),LdgRankKeyB,0),"")</f>
        <v/>
      </c>
    </row>
    <row r="760">
      <c r="A760" s="23" t="n">
        <v>744</v>
      </c>
      <c r="B760" s="24">
        <f>IF(AND($L760="",$M760=""),"",IF($L760&lt;&gt;"",INDEX(SCNormDate,$L760),INDEX(LdgDateB,$M760)))</f>
        <v/>
      </c>
      <c r="C760" s="24">
        <f>IF($L760&lt;&gt;"",INDEX(SCOp,$L760),IF($M760&lt;&gt;"","پرداخت بانکی",""))</f>
        <v/>
      </c>
      <c r="D760" s="24">
        <f>IF($L760&lt;&gt;"",IF(INDEX(SCDoc,$L760)="","—",INDEX(SCDoc,$L760)),IF($M760&lt;&gt;"",INDEX(LdgBankB,$M760),""))</f>
        <v/>
      </c>
      <c r="E760" s="25">
        <f>IF($L760&lt;&gt;"",IF(INDEX(SCCitrus,$L760)&amp;INDEX(SCNotes,$L760)="","",IF(INDEX(SCCitrus,$L760)="","",INDEX(SCCitrus,$L760))&amp;IF(INDEX(SCNotes,$L760)="",""," — "&amp;INDEX(SCNotes,$L760))),IF($M760&lt;&gt;"",IF(INDEX(LdgNoteB,$M760)="","—",INDEX(LdgNoteB,$M760)),""))</f>
        <v/>
      </c>
      <c r="F760" s="26">
        <f>IF($L760&lt;&gt;"",IF(INDEX(SCNet,$L760)=0,"",INDEX(SCNet,$L760)),"")</f>
        <v/>
      </c>
      <c r="G760" s="27">
        <f>IF($L760&lt;&gt;"",IF(INDEX(SCOp,$L760)="مرجوعی فروش","",IF(INDEX(SCAmount,$L760)&lt;=0,"",INDEX(SCAmount,$L760))),IF($M760&lt;&gt;"",IF(INDEX(LdgWitB,$M760)=0,"",INDEX(LdgWitB,$M760)),""))</f>
        <v/>
      </c>
      <c r="H760" s="27">
        <f>IF($L760&lt;&gt;"",IF(INDEX(SCOp,$L760)="مرجوعی فروش",IF(INDEX(SCAmount,$L760)=0,"",-INDEX(SCAmount,$L760)),""),IF($M760&lt;&gt;"",IF(INDEX(LdgDepB,$M760)=0,"",INDEX(LdgDepB,$M760)),""))</f>
        <v/>
      </c>
      <c r="I760" s="28">
        <f>IF($B760="","",IF($I759="",$C$10,$I759)+IF($G760="",0,$G760)-IF($H760="",0,$H760))</f>
        <v/>
      </c>
      <c r="L760">
        <f>IFERROR(MATCH($C$5&amp;"|"&amp;RIGHT("000000"&amp;744,6),LdgRankKeyA,0),"")</f>
        <v/>
      </c>
      <c r="M760">
        <f>IFERROR(MATCH($C$5&amp;"|"&amp;RIGHT("000000"&amp;744,6),LdgRankKeyB,0),"")</f>
        <v/>
      </c>
    </row>
    <row r="761">
      <c r="A761" s="17" t="n">
        <v>745</v>
      </c>
      <c r="B761" s="18">
        <f>IF(AND($L761="",$M761=""),"",IF($L761&lt;&gt;"",INDEX(SCNormDate,$L761),INDEX(LdgDateB,$M761)))</f>
        <v/>
      </c>
      <c r="C761" s="18">
        <f>IF($L761&lt;&gt;"",INDEX(SCOp,$L761),IF($M761&lt;&gt;"","پرداخت بانکی",""))</f>
        <v/>
      </c>
      <c r="D761" s="18">
        <f>IF($L761&lt;&gt;"",IF(INDEX(SCDoc,$L761)="","—",INDEX(SCDoc,$L761)),IF($M761&lt;&gt;"",INDEX(LdgBankB,$M761),""))</f>
        <v/>
      </c>
      <c r="E761" s="19">
        <f>IF($L761&lt;&gt;"",IF(INDEX(SCCitrus,$L761)&amp;INDEX(SCNotes,$L761)="","",IF(INDEX(SCCitrus,$L761)="","",INDEX(SCCitrus,$L761))&amp;IF(INDEX(SCNotes,$L761)="",""," — "&amp;INDEX(SCNotes,$L761))),IF($M761&lt;&gt;"",IF(INDEX(LdgNoteB,$M761)="","—",INDEX(LdgNoteB,$M761)),""))</f>
        <v/>
      </c>
      <c r="F761" s="20">
        <f>IF($L761&lt;&gt;"",IF(INDEX(SCNet,$L761)=0,"",INDEX(SCNet,$L761)),"")</f>
        <v/>
      </c>
      <c r="G761" s="21">
        <f>IF($L761&lt;&gt;"",IF(INDEX(SCOp,$L761)="مرجوعی فروش","",IF(INDEX(SCAmount,$L761)&lt;=0,"",INDEX(SCAmount,$L761))),IF($M761&lt;&gt;"",IF(INDEX(LdgWitB,$M761)=0,"",INDEX(LdgWitB,$M761)),""))</f>
        <v/>
      </c>
      <c r="H761" s="21">
        <f>IF($L761&lt;&gt;"",IF(INDEX(SCOp,$L761)="مرجوعی فروش",IF(INDEX(SCAmount,$L761)=0,"",-INDEX(SCAmount,$L761)),""),IF($M761&lt;&gt;"",IF(INDEX(LdgDepB,$M761)=0,"",INDEX(LdgDepB,$M761)),""))</f>
        <v/>
      </c>
      <c r="I761" s="22">
        <f>IF($B761="","",IF($I760="",$C$10,$I760)+IF($G761="",0,$G761)-IF($H761="",0,$H761))</f>
        <v/>
      </c>
      <c r="L761">
        <f>IFERROR(MATCH($C$5&amp;"|"&amp;RIGHT("000000"&amp;745,6),LdgRankKeyA,0),"")</f>
        <v/>
      </c>
      <c r="M761">
        <f>IFERROR(MATCH($C$5&amp;"|"&amp;RIGHT("000000"&amp;745,6),LdgRankKeyB,0),"")</f>
        <v/>
      </c>
    </row>
    <row r="762">
      <c r="A762" s="23" t="n">
        <v>746</v>
      </c>
      <c r="B762" s="24">
        <f>IF(AND($L762="",$M762=""),"",IF($L762&lt;&gt;"",INDEX(SCNormDate,$L762),INDEX(LdgDateB,$M762)))</f>
        <v/>
      </c>
      <c r="C762" s="24">
        <f>IF($L762&lt;&gt;"",INDEX(SCOp,$L762),IF($M762&lt;&gt;"","پرداخت بانکی",""))</f>
        <v/>
      </c>
      <c r="D762" s="24">
        <f>IF($L762&lt;&gt;"",IF(INDEX(SCDoc,$L762)="","—",INDEX(SCDoc,$L762)),IF($M762&lt;&gt;"",INDEX(LdgBankB,$M762),""))</f>
        <v/>
      </c>
      <c r="E762" s="25">
        <f>IF($L762&lt;&gt;"",IF(INDEX(SCCitrus,$L762)&amp;INDEX(SCNotes,$L762)="","",IF(INDEX(SCCitrus,$L762)="","",INDEX(SCCitrus,$L762))&amp;IF(INDEX(SCNotes,$L762)="",""," — "&amp;INDEX(SCNotes,$L762))),IF($M762&lt;&gt;"",IF(INDEX(LdgNoteB,$M762)="","—",INDEX(LdgNoteB,$M762)),""))</f>
        <v/>
      </c>
      <c r="F762" s="26">
        <f>IF($L762&lt;&gt;"",IF(INDEX(SCNet,$L762)=0,"",INDEX(SCNet,$L762)),"")</f>
        <v/>
      </c>
      <c r="G762" s="27">
        <f>IF($L762&lt;&gt;"",IF(INDEX(SCOp,$L762)="مرجوعی فروش","",IF(INDEX(SCAmount,$L762)&lt;=0,"",INDEX(SCAmount,$L762))),IF($M762&lt;&gt;"",IF(INDEX(LdgWitB,$M762)=0,"",INDEX(LdgWitB,$M762)),""))</f>
        <v/>
      </c>
      <c r="H762" s="27">
        <f>IF($L762&lt;&gt;"",IF(INDEX(SCOp,$L762)="مرجوعی فروش",IF(INDEX(SCAmount,$L762)=0,"",-INDEX(SCAmount,$L762)),""),IF($M762&lt;&gt;"",IF(INDEX(LdgDepB,$M762)=0,"",INDEX(LdgDepB,$M762)),""))</f>
        <v/>
      </c>
      <c r="I762" s="28">
        <f>IF($B762="","",IF($I761="",$C$10,$I761)+IF($G762="",0,$G762)-IF($H762="",0,$H762))</f>
        <v/>
      </c>
      <c r="L762">
        <f>IFERROR(MATCH($C$5&amp;"|"&amp;RIGHT("000000"&amp;746,6),LdgRankKeyA,0),"")</f>
        <v/>
      </c>
      <c r="M762">
        <f>IFERROR(MATCH($C$5&amp;"|"&amp;RIGHT("000000"&amp;746,6),LdgRankKeyB,0),"")</f>
        <v/>
      </c>
    </row>
    <row r="763">
      <c r="A763" s="17" t="n">
        <v>747</v>
      </c>
      <c r="B763" s="18">
        <f>IF(AND($L763="",$M763=""),"",IF($L763&lt;&gt;"",INDEX(SCNormDate,$L763),INDEX(LdgDateB,$M763)))</f>
        <v/>
      </c>
      <c r="C763" s="18">
        <f>IF($L763&lt;&gt;"",INDEX(SCOp,$L763),IF($M763&lt;&gt;"","پرداخت بانکی",""))</f>
        <v/>
      </c>
      <c r="D763" s="18">
        <f>IF($L763&lt;&gt;"",IF(INDEX(SCDoc,$L763)="","—",INDEX(SCDoc,$L763)),IF($M763&lt;&gt;"",INDEX(LdgBankB,$M763),""))</f>
        <v/>
      </c>
      <c r="E763" s="19">
        <f>IF($L763&lt;&gt;"",IF(INDEX(SCCitrus,$L763)&amp;INDEX(SCNotes,$L763)="","",IF(INDEX(SCCitrus,$L763)="","",INDEX(SCCitrus,$L763))&amp;IF(INDEX(SCNotes,$L763)="",""," — "&amp;INDEX(SCNotes,$L763))),IF($M763&lt;&gt;"",IF(INDEX(LdgNoteB,$M763)="","—",INDEX(LdgNoteB,$M763)),""))</f>
        <v/>
      </c>
      <c r="F763" s="20">
        <f>IF($L763&lt;&gt;"",IF(INDEX(SCNet,$L763)=0,"",INDEX(SCNet,$L763)),"")</f>
        <v/>
      </c>
      <c r="G763" s="21">
        <f>IF($L763&lt;&gt;"",IF(INDEX(SCOp,$L763)="مرجوعی فروش","",IF(INDEX(SCAmount,$L763)&lt;=0,"",INDEX(SCAmount,$L763))),IF($M763&lt;&gt;"",IF(INDEX(LdgWitB,$M763)=0,"",INDEX(LdgWitB,$M763)),""))</f>
        <v/>
      </c>
      <c r="H763" s="21">
        <f>IF($L763&lt;&gt;"",IF(INDEX(SCOp,$L763)="مرجوعی فروش",IF(INDEX(SCAmount,$L763)=0,"",-INDEX(SCAmount,$L763)),""),IF($M763&lt;&gt;"",IF(INDEX(LdgDepB,$M763)=0,"",INDEX(LdgDepB,$M763)),""))</f>
        <v/>
      </c>
      <c r="I763" s="22">
        <f>IF($B763="","",IF($I762="",$C$10,$I762)+IF($G763="",0,$G763)-IF($H763="",0,$H763))</f>
        <v/>
      </c>
      <c r="L763">
        <f>IFERROR(MATCH($C$5&amp;"|"&amp;RIGHT("000000"&amp;747,6),LdgRankKeyA,0),"")</f>
        <v/>
      </c>
      <c r="M763">
        <f>IFERROR(MATCH($C$5&amp;"|"&amp;RIGHT("000000"&amp;747,6),LdgRankKeyB,0),"")</f>
        <v/>
      </c>
    </row>
    <row r="764">
      <c r="A764" s="23" t="n">
        <v>748</v>
      </c>
      <c r="B764" s="24">
        <f>IF(AND($L764="",$M764=""),"",IF($L764&lt;&gt;"",INDEX(SCNormDate,$L764),INDEX(LdgDateB,$M764)))</f>
        <v/>
      </c>
      <c r="C764" s="24">
        <f>IF($L764&lt;&gt;"",INDEX(SCOp,$L764),IF($M764&lt;&gt;"","پرداخت بانکی",""))</f>
        <v/>
      </c>
      <c r="D764" s="24">
        <f>IF($L764&lt;&gt;"",IF(INDEX(SCDoc,$L764)="","—",INDEX(SCDoc,$L764)),IF($M764&lt;&gt;"",INDEX(LdgBankB,$M764),""))</f>
        <v/>
      </c>
      <c r="E764" s="25">
        <f>IF($L764&lt;&gt;"",IF(INDEX(SCCitrus,$L764)&amp;INDEX(SCNotes,$L764)="","",IF(INDEX(SCCitrus,$L764)="","",INDEX(SCCitrus,$L764))&amp;IF(INDEX(SCNotes,$L764)="",""," — "&amp;INDEX(SCNotes,$L764))),IF($M764&lt;&gt;"",IF(INDEX(LdgNoteB,$M764)="","—",INDEX(LdgNoteB,$M764)),""))</f>
        <v/>
      </c>
      <c r="F764" s="26">
        <f>IF($L764&lt;&gt;"",IF(INDEX(SCNet,$L764)=0,"",INDEX(SCNet,$L764)),"")</f>
        <v/>
      </c>
      <c r="G764" s="27">
        <f>IF($L764&lt;&gt;"",IF(INDEX(SCOp,$L764)="مرجوعی فروش","",IF(INDEX(SCAmount,$L764)&lt;=0,"",INDEX(SCAmount,$L764))),IF($M764&lt;&gt;"",IF(INDEX(LdgWitB,$M764)=0,"",INDEX(LdgWitB,$M764)),""))</f>
        <v/>
      </c>
      <c r="H764" s="27">
        <f>IF($L764&lt;&gt;"",IF(INDEX(SCOp,$L764)="مرجوعی فروش",IF(INDEX(SCAmount,$L764)=0,"",-INDEX(SCAmount,$L764)),""),IF($M764&lt;&gt;"",IF(INDEX(LdgDepB,$M764)=0,"",INDEX(LdgDepB,$M764)),""))</f>
        <v/>
      </c>
      <c r="I764" s="28">
        <f>IF($B764="","",IF($I763="",$C$10,$I763)+IF($G764="",0,$G764)-IF($H764="",0,$H764))</f>
        <v/>
      </c>
      <c r="L764">
        <f>IFERROR(MATCH($C$5&amp;"|"&amp;RIGHT("000000"&amp;748,6),LdgRankKeyA,0),"")</f>
        <v/>
      </c>
      <c r="M764">
        <f>IFERROR(MATCH($C$5&amp;"|"&amp;RIGHT("000000"&amp;748,6),LdgRankKeyB,0),"")</f>
        <v/>
      </c>
    </row>
    <row r="765">
      <c r="A765" s="17" t="n">
        <v>749</v>
      </c>
      <c r="B765" s="18">
        <f>IF(AND($L765="",$M765=""),"",IF($L765&lt;&gt;"",INDEX(SCNormDate,$L765),INDEX(LdgDateB,$M765)))</f>
        <v/>
      </c>
      <c r="C765" s="18">
        <f>IF($L765&lt;&gt;"",INDEX(SCOp,$L765),IF($M765&lt;&gt;"","پرداخت بانکی",""))</f>
        <v/>
      </c>
      <c r="D765" s="18">
        <f>IF($L765&lt;&gt;"",IF(INDEX(SCDoc,$L765)="","—",INDEX(SCDoc,$L765)),IF($M765&lt;&gt;"",INDEX(LdgBankB,$M765),""))</f>
        <v/>
      </c>
      <c r="E765" s="19">
        <f>IF($L765&lt;&gt;"",IF(INDEX(SCCitrus,$L765)&amp;INDEX(SCNotes,$L765)="","",IF(INDEX(SCCitrus,$L765)="","",INDEX(SCCitrus,$L765))&amp;IF(INDEX(SCNotes,$L765)="",""," — "&amp;INDEX(SCNotes,$L765))),IF($M765&lt;&gt;"",IF(INDEX(LdgNoteB,$M765)="","—",INDEX(LdgNoteB,$M765)),""))</f>
        <v/>
      </c>
      <c r="F765" s="20">
        <f>IF($L765&lt;&gt;"",IF(INDEX(SCNet,$L765)=0,"",INDEX(SCNet,$L765)),"")</f>
        <v/>
      </c>
      <c r="G765" s="21">
        <f>IF($L765&lt;&gt;"",IF(INDEX(SCOp,$L765)="مرجوعی فروش","",IF(INDEX(SCAmount,$L765)&lt;=0,"",INDEX(SCAmount,$L765))),IF($M765&lt;&gt;"",IF(INDEX(LdgWitB,$M765)=0,"",INDEX(LdgWitB,$M765)),""))</f>
        <v/>
      </c>
      <c r="H765" s="21">
        <f>IF($L765&lt;&gt;"",IF(INDEX(SCOp,$L765)="مرجوعی فروش",IF(INDEX(SCAmount,$L765)=0,"",-INDEX(SCAmount,$L765)),""),IF($M765&lt;&gt;"",IF(INDEX(LdgDepB,$M765)=0,"",INDEX(LdgDepB,$M765)),""))</f>
        <v/>
      </c>
      <c r="I765" s="22">
        <f>IF($B765="","",IF($I764="",$C$10,$I764)+IF($G765="",0,$G765)-IF($H765="",0,$H765))</f>
        <v/>
      </c>
      <c r="L765">
        <f>IFERROR(MATCH($C$5&amp;"|"&amp;RIGHT("000000"&amp;749,6),LdgRankKeyA,0),"")</f>
        <v/>
      </c>
      <c r="M765">
        <f>IFERROR(MATCH($C$5&amp;"|"&amp;RIGHT("000000"&amp;749,6),LdgRankKeyB,0),"")</f>
        <v/>
      </c>
    </row>
    <row r="766">
      <c r="A766" s="23" t="n">
        <v>750</v>
      </c>
      <c r="B766" s="24">
        <f>IF(AND($L766="",$M766=""),"",IF($L766&lt;&gt;"",INDEX(SCNormDate,$L766),INDEX(LdgDateB,$M766)))</f>
        <v/>
      </c>
      <c r="C766" s="24">
        <f>IF($L766&lt;&gt;"",INDEX(SCOp,$L766),IF($M766&lt;&gt;"","پرداخت بانکی",""))</f>
        <v/>
      </c>
      <c r="D766" s="24">
        <f>IF($L766&lt;&gt;"",IF(INDEX(SCDoc,$L766)="","—",INDEX(SCDoc,$L766)),IF($M766&lt;&gt;"",INDEX(LdgBankB,$M766),""))</f>
        <v/>
      </c>
      <c r="E766" s="25">
        <f>IF($L766&lt;&gt;"",IF(INDEX(SCCitrus,$L766)&amp;INDEX(SCNotes,$L766)="","",IF(INDEX(SCCitrus,$L766)="","",INDEX(SCCitrus,$L766))&amp;IF(INDEX(SCNotes,$L766)="",""," — "&amp;INDEX(SCNotes,$L766))),IF($M766&lt;&gt;"",IF(INDEX(LdgNoteB,$M766)="","—",INDEX(LdgNoteB,$M766)),""))</f>
        <v/>
      </c>
      <c r="F766" s="26">
        <f>IF($L766&lt;&gt;"",IF(INDEX(SCNet,$L766)=0,"",INDEX(SCNet,$L766)),"")</f>
        <v/>
      </c>
      <c r="G766" s="27">
        <f>IF($L766&lt;&gt;"",IF(INDEX(SCOp,$L766)="مرجوعی فروش","",IF(INDEX(SCAmount,$L766)&lt;=0,"",INDEX(SCAmount,$L766))),IF($M766&lt;&gt;"",IF(INDEX(LdgWitB,$M766)=0,"",INDEX(LdgWitB,$M766)),""))</f>
        <v/>
      </c>
      <c r="H766" s="27">
        <f>IF($L766&lt;&gt;"",IF(INDEX(SCOp,$L766)="مرجوعی فروش",IF(INDEX(SCAmount,$L766)=0,"",-INDEX(SCAmount,$L766)),""),IF($M766&lt;&gt;"",IF(INDEX(LdgDepB,$M766)=0,"",INDEX(LdgDepB,$M766)),""))</f>
        <v/>
      </c>
      <c r="I766" s="28">
        <f>IF($B766="","",IF($I765="",$C$10,$I765)+IF($G766="",0,$G766)-IF($H766="",0,$H766))</f>
        <v/>
      </c>
      <c r="L766">
        <f>IFERROR(MATCH($C$5&amp;"|"&amp;RIGHT("000000"&amp;750,6),LdgRankKeyA,0),"")</f>
        <v/>
      </c>
      <c r="M766">
        <f>IFERROR(MATCH($C$5&amp;"|"&amp;RIGHT("000000"&amp;750,6),LdgRankKeyB,0),"")</f>
        <v/>
      </c>
    </row>
    <row r="767">
      <c r="A767" s="17" t="n">
        <v>751</v>
      </c>
      <c r="B767" s="18">
        <f>IF(AND($L767="",$M767=""),"",IF($L767&lt;&gt;"",INDEX(SCNormDate,$L767),INDEX(LdgDateB,$M767)))</f>
        <v/>
      </c>
      <c r="C767" s="18">
        <f>IF($L767&lt;&gt;"",INDEX(SCOp,$L767),IF($M767&lt;&gt;"","پرداخت بانکی",""))</f>
        <v/>
      </c>
      <c r="D767" s="18">
        <f>IF($L767&lt;&gt;"",IF(INDEX(SCDoc,$L767)="","—",INDEX(SCDoc,$L767)),IF($M767&lt;&gt;"",INDEX(LdgBankB,$M767),""))</f>
        <v/>
      </c>
      <c r="E767" s="19">
        <f>IF($L767&lt;&gt;"",IF(INDEX(SCCitrus,$L767)&amp;INDEX(SCNotes,$L767)="","",IF(INDEX(SCCitrus,$L767)="","",INDEX(SCCitrus,$L767))&amp;IF(INDEX(SCNotes,$L767)="",""," — "&amp;INDEX(SCNotes,$L767))),IF($M767&lt;&gt;"",IF(INDEX(LdgNoteB,$M767)="","—",INDEX(LdgNoteB,$M767)),""))</f>
        <v/>
      </c>
      <c r="F767" s="20">
        <f>IF($L767&lt;&gt;"",IF(INDEX(SCNet,$L767)=0,"",INDEX(SCNet,$L767)),"")</f>
        <v/>
      </c>
      <c r="G767" s="21">
        <f>IF($L767&lt;&gt;"",IF(INDEX(SCOp,$L767)="مرجوعی فروش","",IF(INDEX(SCAmount,$L767)&lt;=0,"",INDEX(SCAmount,$L767))),IF($M767&lt;&gt;"",IF(INDEX(LdgWitB,$M767)=0,"",INDEX(LdgWitB,$M767)),""))</f>
        <v/>
      </c>
      <c r="H767" s="21">
        <f>IF($L767&lt;&gt;"",IF(INDEX(SCOp,$L767)="مرجوعی فروش",IF(INDEX(SCAmount,$L767)=0,"",-INDEX(SCAmount,$L767)),""),IF($M767&lt;&gt;"",IF(INDEX(LdgDepB,$M767)=0,"",INDEX(LdgDepB,$M767)),""))</f>
        <v/>
      </c>
      <c r="I767" s="22">
        <f>IF($B767="","",IF($I766="",$C$10,$I766)+IF($G767="",0,$G767)-IF($H767="",0,$H767))</f>
        <v/>
      </c>
      <c r="L767">
        <f>IFERROR(MATCH($C$5&amp;"|"&amp;RIGHT("000000"&amp;751,6),LdgRankKeyA,0),"")</f>
        <v/>
      </c>
      <c r="M767">
        <f>IFERROR(MATCH($C$5&amp;"|"&amp;RIGHT("000000"&amp;751,6),LdgRankKeyB,0),"")</f>
        <v/>
      </c>
    </row>
    <row r="768">
      <c r="A768" s="23" t="n">
        <v>752</v>
      </c>
      <c r="B768" s="24">
        <f>IF(AND($L768="",$M768=""),"",IF($L768&lt;&gt;"",INDEX(SCNormDate,$L768),INDEX(LdgDateB,$M768)))</f>
        <v/>
      </c>
      <c r="C768" s="24">
        <f>IF($L768&lt;&gt;"",INDEX(SCOp,$L768),IF($M768&lt;&gt;"","پرداخت بانکی",""))</f>
        <v/>
      </c>
      <c r="D768" s="24">
        <f>IF($L768&lt;&gt;"",IF(INDEX(SCDoc,$L768)="","—",INDEX(SCDoc,$L768)),IF($M768&lt;&gt;"",INDEX(LdgBankB,$M768),""))</f>
        <v/>
      </c>
      <c r="E768" s="25">
        <f>IF($L768&lt;&gt;"",IF(INDEX(SCCitrus,$L768)&amp;INDEX(SCNotes,$L768)="","",IF(INDEX(SCCitrus,$L768)="","",INDEX(SCCitrus,$L768))&amp;IF(INDEX(SCNotes,$L768)="",""," — "&amp;INDEX(SCNotes,$L768))),IF($M768&lt;&gt;"",IF(INDEX(LdgNoteB,$M768)="","—",INDEX(LdgNoteB,$M768)),""))</f>
        <v/>
      </c>
      <c r="F768" s="26">
        <f>IF($L768&lt;&gt;"",IF(INDEX(SCNet,$L768)=0,"",INDEX(SCNet,$L768)),"")</f>
        <v/>
      </c>
      <c r="G768" s="27">
        <f>IF($L768&lt;&gt;"",IF(INDEX(SCOp,$L768)="مرجوعی فروش","",IF(INDEX(SCAmount,$L768)&lt;=0,"",INDEX(SCAmount,$L768))),IF($M768&lt;&gt;"",IF(INDEX(LdgWitB,$M768)=0,"",INDEX(LdgWitB,$M768)),""))</f>
        <v/>
      </c>
      <c r="H768" s="27">
        <f>IF($L768&lt;&gt;"",IF(INDEX(SCOp,$L768)="مرجوعی فروش",IF(INDEX(SCAmount,$L768)=0,"",-INDEX(SCAmount,$L768)),""),IF($M768&lt;&gt;"",IF(INDEX(LdgDepB,$M768)=0,"",INDEX(LdgDepB,$M768)),""))</f>
        <v/>
      </c>
      <c r="I768" s="28">
        <f>IF($B768="","",IF($I767="",$C$10,$I767)+IF($G768="",0,$G768)-IF($H768="",0,$H768))</f>
        <v/>
      </c>
      <c r="L768">
        <f>IFERROR(MATCH($C$5&amp;"|"&amp;RIGHT("000000"&amp;752,6),LdgRankKeyA,0),"")</f>
        <v/>
      </c>
      <c r="M768">
        <f>IFERROR(MATCH($C$5&amp;"|"&amp;RIGHT("000000"&amp;752,6),LdgRankKeyB,0),"")</f>
        <v/>
      </c>
    </row>
    <row r="769">
      <c r="A769" s="17" t="n">
        <v>753</v>
      </c>
      <c r="B769" s="18">
        <f>IF(AND($L769="",$M769=""),"",IF($L769&lt;&gt;"",INDEX(SCNormDate,$L769),INDEX(LdgDateB,$M769)))</f>
        <v/>
      </c>
      <c r="C769" s="18">
        <f>IF($L769&lt;&gt;"",INDEX(SCOp,$L769),IF($M769&lt;&gt;"","پرداخت بانکی",""))</f>
        <v/>
      </c>
      <c r="D769" s="18">
        <f>IF($L769&lt;&gt;"",IF(INDEX(SCDoc,$L769)="","—",INDEX(SCDoc,$L769)),IF($M769&lt;&gt;"",INDEX(LdgBankB,$M769),""))</f>
        <v/>
      </c>
      <c r="E769" s="19">
        <f>IF($L769&lt;&gt;"",IF(INDEX(SCCitrus,$L769)&amp;INDEX(SCNotes,$L769)="","",IF(INDEX(SCCitrus,$L769)="","",INDEX(SCCitrus,$L769))&amp;IF(INDEX(SCNotes,$L769)="",""," — "&amp;INDEX(SCNotes,$L769))),IF($M769&lt;&gt;"",IF(INDEX(LdgNoteB,$M769)="","—",INDEX(LdgNoteB,$M769)),""))</f>
        <v/>
      </c>
      <c r="F769" s="20">
        <f>IF($L769&lt;&gt;"",IF(INDEX(SCNet,$L769)=0,"",INDEX(SCNet,$L769)),"")</f>
        <v/>
      </c>
      <c r="G769" s="21">
        <f>IF($L769&lt;&gt;"",IF(INDEX(SCOp,$L769)="مرجوعی فروش","",IF(INDEX(SCAmount,$L769)&lt;=0,"",INDEX(SCAmount,$L769))),IF($M769&lt;&gt;"",IF(INDEX(LdgWitB,$M769)=0,"",INDEX(LdgWitB,$M769)),""))</f>
        <v/>
      </c>
      <c r="H769" s="21">
        <f>IF($L769&lt;&gt;"",IF(INDEX(SCOp,$L769)="مرجوعی فروش",IF(INDEX(SCAmount,$L769)=0,"",-INDEX(SCAmount,$L769)),""),IF($M769&lt;&gt;"",IF(INDEX(LdgDepB,$M769)=0,"",INDEX(LdgDepB,$M769)),""))</f>
        <v/>
      </c>
      <c r="I769" s="22">
        <f>IF($B769="","",IF($I768="",$C$10,$I768)+IF($G769="",0,$G769)-IF($H769="",0,$H769))</f>
        <v/>
      </c>
      <c r="L769">
        <f>IFERROR(MATCH($C$5&amp;"|"&amp;RIGHT("000000"&amp;753,6),LdgRankKeyA,0),"")</f>
        <v/>
      </c>
      <c r="M769">
        <f>IFERROR(MATCH($C$5&amp;"|"&amp;RIGHT("000000"&amp;753,6),LdgRankKeyB,0),"")</f>
        <v/>
      </c>
    </row>
    <row r="770">
      <c r="A770" s="23" t="n">
        <v>754</v>
      </c>
      <c r="B770" s="24">
        <f>IF(AND($L770="",$M770=""),"",IF($L770&lt;&gt;"",INDEX(SCNormDate,$L770),INDEX(LdgDateB,$M770)))</f>
        <v/>
      </c>
      <c r="C770" s="24">
        <f>IF($L770&lt;&gt;"",INDEX(SCOp,$L770),IF($M770&lt;&gt;"","پرداخت بانکی",""))</f>
        <v/>
      </c>
      <c r="D770" s="24">
        <f>IF($L770&lt;&gt;"",IF(INDEX(SCDoc,$L770)="","—",INDEX(SCDoc,$L770)),IF($M770&lt;&gt;"",INDEX(LdgBankB,$M770),""))</f>
        <v/>
      </c>
      <c r="E770" s="25">
        <f>IF($L770&lt;&gt;"",IF(INDEX(SCCitrus,$L770)&amp;INDEX(SCNotes,$L770)="","",IF(INDEX(SCCitrus,$L770)="","",INDEX(SCCitrus,$L770))&amp;IF(INDEX(SCNotes,$L770)="",""," — "&amp;INDEX(SCNotes,$L770))),IF($M770&lt;&gt;"",IF(INDEX(LdgNoteB,$M770)="","—",INDEX(LdgNoteB,$M770)),""))</f>
        <v/>
      </c>
      <c r="F770" s="26">
        <f>IF($L770&lt;&gt;"",IF(INDEX(SCNet,$L770)=0,"",INDEX(SCNet,$L770)),"")</f>
        <v/>
      </c>
      <c r="G770" s="27">
        <f>IF($L770&lt;&gt;"",IF(INDEX(SCOp,$L770)="مرجوعی فروش","",IF(INDEX(SCAmount,$L770)&lt;=0,"",INDEX(SCAmount,$L770))),IF($M770&lt;&gt;"",IF(INDEX(LdgWitB,$M770)=0,"",INDEX(LdgWitB,$M770)),""))</f>
        <v/>
      </c>
      <c r="H770" s="27">
        <f>IF($L770&lt;&gt;"",IF(INDEX(SCOp,$L770)="مرجوعی فروش",IF(INDEX(SCAmount,$L770)=0,"",-INDEX(SCAmount,$L770)),""),IF($M770&lt;&gt;"",IF(INDEX(LdgDepB,$M770)=0,"",INDEX(LdgDepB,$M770)),""))</f>
        <v/>
      </c>
      <c r="I770" s="28">
        <f>IF($B770="","",IF($I769="",$C$10,$I769)+IF($G770="",0,$G770)-IF($H770="",0,$H770))</f>
        <v/>
      </c>
      <c r="L770">
        <f>IFERROR(MATCH($C$5&amp;"|"&amp;RIGHT("000000"&amp;754,6),LdgRankKeyA,0),"")</f>
        <v/>
      </c>
      <c r="M770">
        <f>IFERROR(MATCH($C$5&amp;"|"&amp;RIGHT("000000"&amp;754,6),LdgRankKeyB,0),"")</f>
        <v/>
      </c>
    </row>
    <row r="771">
      <c r="A771" s="17" t="n">
        <v>755</v>
      </c>
      <c r="B771" s="18">
        <f>IF(AND($L771="",$M771=""),"",IF($L771&lt;&gt;"",INDEX(SCNormDate,$L771),INDEX(LdgDateB,$M771)))</f>
        <v/>
      </c>
      <c r="C771" s="18">
        <f>IF($L771&lt;&gt;"",INDEX(SCOp,$L771),IF($M771&lt;&gt;"","پرداخت بانکی",""))</f>
        <v/>
      </c>
      <c r="D771" s="18">
        <f>IF($L771&lt;&gt;"",IF(INDEX(SCDoc,$L771)="","—",INDEX(SCDoc,$L771)),IF($M771&lt;&gt;"",INDEX(LdgBankB,$M771),""))</f>
        <v/>
      </c>
      <c r="E771" s="19">
        <f>IF($L771&lt;&gt;"",IF(INDEX(SCCitrus,$L771)&amp;INDEX(SCNotes,$L771)="","",IF(INDEX(SCCitrus,$L771)="","",INDEX(SCCitrus,$L771))&amp;IF(INDEX(SCNotes,$L771)="",""," — "&amp;INDEX(SCNotes,$L771))),IF($M771&lt;&gt;"",IF(INDEX(LdgNoteB,$M771)="","—",INDEX(LdgNoteB,$M771)),""))</f>
        <v/>
      </c>
      <c r="F771" s="20">
        <f>IF($L771&lt;&gt;"",IF(INDEX(SCNet,$L771)=0,"",INDEX(SCNet,$L771)),"")</f>
        <v/>
      </c>
      <c r="G771" s="21">
        <f>IF($L771&lt;&gt;"",IF(INDEX(SCOp,$L771)="مرجوعی فروش","",IF(INDEX(SCAmount,$L771)&lt;=0,"",INDEX(SCAmount,$L771))),IF($M771&lt;&gt;"",IF(INDEX(LdgWitB,$M771)=0,"",INDEX(LdgWitB,$M771)),""))</f>
        <v/>
      </c>
      <c r="H771" s="21">
        <f>IF($L771&lt;&gt;"",IF(INDEX(SCOp,$L771)="مرجوعی فروش",IF(INDEX(SCAmount,$L771)=0,"",-INDEX(SCAmount,$L771)),""),IF($M771&lt;&gt;"",IF(INDEX(LdgDepB,$M771)=0,"",INDEX(LdgDepB,$M771)),""))</f>
        <v/>
      </c>
      <c r="I771" s="22">
        <f>IF($B771="","",IF($I770="",$C$10,$I770)+IF($G771="",0,$G771)-IF($H771="",0,$H771))</f>
        <v/>
      </c>
      <c r="L771">
        <f>IFERROR(MATCH($C$5&amp;"|"&amp;RIGHT("000000"&amp;755,6),LdgRankKeyA,0),"")</f>
        <v/>
      </c>
      <c r="M771">
        <f>IFERROR(MATCH($C$5&amp;"|"&amp;RIGHT("000000"&amp;755,6),LdgRankKeyB,0),"")</f>
        <v/>
      </c>
    </row>
    <row r="772">
      <c r="A772" s="23" t="n">
        <v>756</v>
      </c>
      <c r="B772" s="24">
        <f>IF(AND($L772="",$M772=""),"",IF($L772&lt;&gt;"",INDEX(SCNormDate,$L772),INDEX(LdgDateB,$M772)))</f>
        <v/>
      </c>
      <c r="C772" s="24">
        <f>IF($L772&lt;&gt;"",INDEX(SCOp,$L772),IF($M772&lt;&gt;"","پرداخت بانکی",""))</f>
        <v/>
      </c>
      <c r="D772" s="24">
        <f>IF($L772&lt;&gt;"",IF(INDEX(SCDoc,$L772)="","—",INDEX(SCDoc,$L772)),IF($M772&lt;&gt;"",INDEX(LdgBankB,$M772),""))</f>
        <v/>
      </c>
      <c r="E772" s="25">
        <f>IF($L772&lt;&gt;"",IF(INDEX(SCCitrus,$L772)&amp;INDEX(SCNotes,$L772)="","",IF(INDEX(SCCitrus,$L772)="","",INDEX(SCCitrus,$L772))&amp;IF(INDEX(SCNotes,$L772)="",""," — "&amp;INDEX(SCNotes,$L772))),IF($M772&lt;&gt;"",IF(INDEX(LdgNoteB,$M772)="","—",INDEX(LdgNoteB,$M772)),""))</f>
        <v/>
      </c>
      <c r="F772" s="26">
        <f>IF($L772&lt;&gt;"",IF(INDEX(SCNet,$L772)=0,"",INDEX(SCNet,$L772)),"")</f>
        <v/>
      </c>
      <c r="G772" s="27">
        <f>IF($L772&lt;&gt;"",IF(INDEX(SCOp,$L772)="مرجوعی فروش","",IF(INDEX(SCAmount,$L772)&lt;=0,"",INDEX(SCAmount,$L772))),IF($M772&lt;&gt;"",IF(INDEX(LdgWitB,$M772)=0,"",INDEX(LdgWitB,$M772)),""))</f>
        <v/>
      </c>
      <c r="H772" s="27">
        <f>IF($L772&lt;&gt;"",IF(INDEX(SCOp,$L772)="مرجوعی فروش",IF(INDEX(SCAmount,$L772)=0,"",-INDEX(SCAmount,$L772)),""),IF($M772&lt;&gt;"",IF(INDEX(LdgDepB,$M772)=0,"",INDEX(LdgDepB,$M772)),""))</f>
        <v/>
      </c>
      <c r="I772" s="28">
        <f>IF($B772="","",IF($I771="",$C$10,$I771)+IF($G772="",0,$G772)-IF($H772="",0,$H772))</f>
        <v/>
      </c>
      <c r="L772">
        <f>IFERROR(MATCH($C$5&amp;"|"&amp;RIGHT("000000"&amp;756,6),LdgRankKeyA,0),"")</f>
        <v/>
      </c>
      <c r="M772">
        <f>IFERROR(MATCH($C$5&amp;"|"&amp;RIGHT("000000"&amp;756,6),LdgRankKeyB,0),"")</f>
        <v/>
      </c>
    </row>
    <row r="773">
      <c r="A773" s="17" t="n">
        <v>757</v>
      </c>
      <c r="B773" s="18">
        <f>IF(AND($L773="",$M773=""),"",IF($L773&lt;&gt;"",INDEX(SCNormDate,$L773),INDEX(LdgDateB,$M773)))</f>
        <v/>
      </c>
      <c r="C773" s="18">
        <f>IF($L773&lt;&gt;"",INDEX(SCOp,$L773),IF($M773&lt;&gt;"","پرداخت بانکی",""))</f>
        <v/>
      </c>
      <c r="D773" s="18">
        <f>IF($L773&lt;&gt;"",IF(INDEX(SCDoc,$L773)="","—",INDEX(SCDoc,$L773)),IF($M773&lt;&gt;"",INDEX(LdgBankB,$M773),""))</f>
        <v/>
      </c>
      <c r="E773" s="19">
        <f>IF($L773&lt;&gt;"",IF(INDEX(SCCitrus,$L773)&amp;INDEX(SCNotes,$L773)="","",IF(INDEX(SCCitrus,$L773)="","",INDEX(SCCitrus,$L773))&amp;IF(INDEX(SCNotes,$L773)="",""," — "&amp;INDEX(SCNotes,$L773))),IF($M773&lt;&gt;"",IF(INDEX(LdgNoteB,$M773)="","—",INDEX(LdgNoteB,$M773)),""))</f>
        <v/>
      </c>
      <c r="F773" s="20">
        <f>IF($L773&lt;&gt;"",IF(INDEX(SCNet,$L773)=0,"",INDEX(SCNet,$L773)),"")</f>
        <v/>
      </c>
      <c r="G773" s="21">
        <f>IF($L773&lt;&gt;"",IF(INDEX(SCOp,$L773)="مرجوعی فروش","",IF(INDEX(SCAmount,$L773)&lt;=0,"",INDEX(SCAmount,$L773))),IF($M773&lt;&gt;"",IF(INDEX(LdgWitB,$M773)=0,"",INDEX(LdgWitB,$M773)),""))</f>
        <v/>
      </c>
      <c r="H773" s="21">
        <f>IF($L773&lt;&gt;"",IF(INDEX(SCOp,$L773)="مرجوعی فروش",IF(INDEX(SCAmount,$L773)=0,"",-INDEX(SCAmount,$L773)),""),IF($M773&lt;&gt;"",IF(INDEX(LdgDepB,$M773)=0,"",INDEX(LdgDepB,$M773)),""))</f>
        <v/>
      </c>
      <c r="I773" s="22">
        <f>IF($B773="","",IF($I772="",$C$10,$I772)+IF($G773="",0,$G773)-IF($H773="",0,$H773))</f>
        <v/>
      </c>
      <c r="L773">
        <f>IFERROR(MATCH($C$5&amp;"|"&amp;RIGHT("000000"&amp;757,6),LdgRankKeyA,0),"")</f>
        <v/>
      </c>
      <c r="M773">
        <f>IFERROR(MATCH($C$5&amp;"|"&amp;RIGHT("000000"&amp;757,6),LdgRankKeyB,0),"")</f>
        <v/>
      </c>
    </row>
    <row r="774">
      <c r="A774" s="23" t="n">
        <v>758</v>
      </c>
      <c r="B774" s="24">
        <f>IF(AND($L774="",$M774=""),"",IF($L774&lt;&gt;"",INDEX(SCNormDate,$L774),INDEX(LdgDateB,$M774)))</f>
        <v/>
      </c>
      <c r="C774" s="24">
        <f>IF($L774&lt;&gt;"",INDEX(SCOp,$L774),IF($M774&lt;&gt;"","پرداخت بانکی",""))</f>
        <v/>
      </c>
      <c r="D774" s="24">
        <f>IF($L774&lt;&gt;"",IF(INDEX(SCDoc,$L774)="","—",INDEX(SCDoc,$L774)),IF($M774&lt;&gt;"",INDEX(LdgBankB,$M774),""))</f>
        <v/>
      </c>
      <c r="E774" s="25">
        <f>IF($L774&lt;&gt;"",IF(INDEX(SCCitrus,$L774)&amp;INDEX(SCNotes,$L774)="","",IF(INDEX(SCCitrus,$L774)="","",INDEX(SCCitrus,$L774))&amp;IF(INDEX(SCNotes,$L774)="",""," — "&amp;INDEX(SCNotes,$L774))),IF($M774&lt;&gt;"",IF(INDEX(LdgNoteB,$M774)="","—",INDEX(LdgNoteB,$M774)),""))</f>
        <v/>
      </c>
      <c r="F774" s="26">
        <f>IF($L774&lt;&gt;"",IF(INDEX(SCNet,$L774)=0,"",INDEX(SCNet,$L774)),"")</f>
        <v/>
      </c>
      <c r="G774" s="27">
        <f>IF($L774&lt;&gt;"",IF(INDEX(SCOp,$L774)="مرجوعی فروش","",IF(INDEX(SCAmount,$L774)&lt;=0,"",INDEX(SCAmount,$L774))),IF($M774&lt;&gt;"",IF(INDEX(LdgWitB,$M774)=0,"",INDEX(LdgWitB,$M774)),""))</f>
        <v/>
      </c>
      <c r="H774" s="27">
        <f>IF($L774&lt;&gt;"",IF(INDEX(SCOp,$L774)="مرجوعی فروش",IF(INDEX(SCAmount,$L774)=0,"",-INDEX(SCAmount,$L774)),""),IF($M774&lt;&gt;"",IF(INDEX(LdgDepB,$M774)=0,"",INDEX(LdgDepB,$M774)),""))</f>
        <v/>
      </c>
      <c r="I774" s="28">
        <f>IF($B774="","",IF($I773="",$C$10,$I773)+IF($G774="",0,$G774)-IF($H774="",0,$H774))</f>
        <v/>
      </c>
      <c r="L774">
        <f>IFERROR(MATCH($C$5&amp;"|"&amp;RIGHT("000000"&amp;758,6),LdgRankKeyA,0),"")</f>
        <v/>
      </c>
      <c r="M774">
        <f>IFERROR(MATCH($C$5&amp;"|"&amp;RIGHT("000000"&amp;758,6),LdgRankKeyB,0),"")</f>
        <v/>
      </c>
    </row>
    <row r="775">
      <c r="A775" s="17" t="n">
        <v>759</v>
      </c>
      <c r="B775" s="18">
        <f>IF(AND($L775="",$M775=""),"",IF($L775&lt;&gt;"",INDEX(SCNormDate,$L775),INDEX(LdgDateB,$M775)))</f>
        <v/>
      </c>
      <c r="C775" s="18">
        <f>IF($L775&lt;&gt;"",INDEX(SCOp,$L775),IF($M775&lt;&gt;"","پرداخت بانکی",""))</f>
        <v/>
      </c>
      <c r="D775" s="18">
        <f>IF($L775&lt;&gt;"",IF(INDEX(SCDoc,$L775)="","—",INDEX(SCDoc,$L775)),IF($M775&lt;&gt;"",INDEX(LdgBankB,$M775),""))</f>
        <v/>
      </c>
      <c r="E775" s="19">
        <f>IF($L775&lt;&gt;"",IF(INDEX(SCCitrus,$L775)&amp;INDEX(SCNotes,$L775)="","",IF(INDEX(SCCitrus,$L775)="","",INDEX(SCCitrus,$L775))&amp;IF(INDEX(SCNotes,$L775)="",""," — "&amp;INDEX(SCNotes,$L775))),IF($M775&lt;&gt;"",IF(INDEX(LdgNoteB,$M775)="","—",INDEX(LdgNoteB,$M775)),""))</f>
        <v/>
      </c>
      <c r="F775" s="20">
        <f>IF($L775&lt;&gt;"",IF(INDEX(SCNet,$L775)=0,"",INDEX(SCNet,$L775)),"")</f>
        <v/>
      </c>
      <c r="G775" s="21">
        <f>IF($L775&lt;&gt;"",IF(INDEX(SCOp,$L775)="مرجوعی فروش","",IF(INDEX(SCAmount,$L775)&lt;=0,"",INDEX(SCAmount,$L775))),IF($M775&lt;&gt;"",IF(INDEX(LdgWitB,$M775)=0,"",INDEX(LdgWitB,$M775)),""))</f>
        <v/>
      </c>
      <c r="H775" s="21">
        <f>IF($L775&lt;&gt;"",IF(INDEX(SCOp,$L775)="مرجوعی فروش",IF(INDEX(SCAmount,$L775)=0,"",-INDEX(SCAmount,$L775)),""),IF($M775&lt;&gt;"",IF(INDEX(LdgDepB,$M775)=0,"",INDEX(LdgDepB,$M775)),""))</f>
        <v/>
      </c>
      <c r="I775" s="22">
        <f>IF($B775="","",IF($I774="",$C$10,$I774)+IF($G775="",0,$G775)-IF($H775="",0,$H775))</f>
        <v/>
      </c>
      <c r="L775">
        <f>IFERROR(MATCH($C$5&amp;"|"&amp;RIGHT("000000"&amp;759,6),LdgRankKeyA,0),"")</f>
        <v/>
      </c>
      <c r="M775">
        <f>IFERROR(MATCH($C$5&amp;"|"&amp;RIGHT("000000"&amp;759,6),LdgRankKeyB,0),"")</f>
        <v/>
      </c>
    </row>
    <row r="776">
      <c r="A776" s="23" t="n">
        <v>760</v>
      </c>
      <c r="B776" s="24">
        <f>IF(AND($L776="",$M776=""),"",IF($L776&lt;&gt;"",INDEX(SCNormDate,$L776),INDEX(LdgDateB,$M776)))</f>
        <v/>
      </c>
      <c r="C776" s="24">
        <f>IF($L776&lt;&gt;"",INDEX(SCOp,$L776),IF($M776&lt;&gt;"","پرداخت بانکی",""))</f>
        <v/>
      </c>
      <c r="D776" s="24">
        <f>IF($L776&lt;&gt;"",IF(INDEX(SCDoc,$L776)="","—",INDEX(SCDoc,$L776)),IF($M776&lt;&gt;"",INDEX(LdgBankB,$M776),""))</f>
        <v/>
      </c>
      <c r="E776" s="25">
        <f>IF($L776&lt;&gt;"",IF(INDEX(SCCitrus,$L776)&amp;INDEX(SCNotes,$L776)="","",IF(INDEX(SCCitrus,$L776)="","",INDEX(SCCitrus,$L776))&amp;IF(INDEX(SCNotes,$L776)="",""," — "&amp;INDEX(SCNotes,$L776))),IF($M776&lt;&gt;"",IF(INDEX(LdgNoteB,$M776)="","—",INDEX(LdgNoteB,$M776)),""))</f>
        <v/>
      </c>
      <c r="F776" s="26">
        <f>IF($L776&lt;&gt;"",IF(INDEX(SCNet,$L776)=0,"",INDEX(SCNet,$L776)),"")</f>
        <v/>
      </c>
      <c r="G776" s="27">
        <f>IF($L776&lt;&gt;"",IF(INDEX(SCOp,$L776)="مرجوعی فروش","",IF(INDEX(SCAmount,$L776)&lt;=0,"",INDEX(SCAmount,$L776))),IF($M776&lt;&gt;"",IF(INDEX(LdgWitB,$M776)=0,"",INDEX(LdgWitB,$M776)),""))</f>
        <v/>
      </c>
      <c r="H776" s="27">
        <f>IF($L776&lt;&gt;"",IF(INDEX(SCOp,$L776)="مرجوعی فروش",IF(INDEX(SCAmount,$L776)=0,"",-INDEX(SCAmount,$L776)),""),IF($M776&lt;&gt;"",IF(INDEX(LdgDepB,$M776)=0,"",INDEX(LdgDepB,$M776)),""))</f>
        <v/>
      </c>
      <c r="I776" s="28">
        <f>IF($B776="","",IF($I775="",$C$10,$I775)+IF($G776="",0,$G776)-IF($H776="",0,$H776))</f>
        <v/>
      </c>
      <c r="L776">
        <f>IFERROR(MATCH($C$5&amp;"|"&amp;RIGHT("000000"&amp;760,6),LdgRankKeyA,0),"")</f>
        <v/>
      </c>
      <c r="M776">
        <f>IFERROR(MATCH($C$5&amp;"|"&amp;RIGHT("000000"&amp;760,6),LdgRankKeyB,0),"")</f>
        <v/>
      </c>
    </row>
    <row r="777">
      <c r="A777" s="17" t="n">
        <v>761</v>
      </c>
      <c r="B777" s="18">
        <f>IF(AND($L777="",$M777=""),"",IF($L777&lt;&gt;"",INDEX(SCNormDate,$L777),INDEX(LdgDateB,$M777)))</f>
        <v/>
      </c>
      <c r="C777" s="18">
        <f>IF($L777&lt;&gt;"",INDEX(SCOp,$L777),IF($M777&lt;&gt;"","پرداخت بانکی",""))</f>
        <v/>
      </c>
      <c r="D777" s="18">
        <f>IF($L777&lt;&gt;"",IF(INDEX(SCDoc,$L777)="","—",INDEX(SCDoc,$L777)),IF($M777&lt;&gt;"",INDEX(LdgBankB,$M777),""))</f>
        <v/>
      </c>
      <c r="E777" s="19">
        <f>IF($L777&lt;&gt;"",IF(INDEX(SCCitrus,$L777)&amp;INDEX(SCNotes,$L777)="","",IF(INDEX(SCCitrus,$L777)="","",INDEX(SCCitrus,$L777))&amp;IF(INDEX(SCNotes,$L777)="",""," — "&amp;INDEX(SCNotes,$L777))),IF($M777&lt;&gt;"",IF(INDEX(LdgNoteB,$M777)="","—",INDEX(LdgNoteB,$M777)),""))</f>
        <v/>
      </c>
      <c r="F777" s="20">
        <f>IF($L777&lt;&gt;"",IF(INDEX(SCNet,$L777)=0,"",INDEX(SCNet,$L777)),"")</f>
        <v/>
      </c>
      <c r="G777" s="21">
        <f>IF($L777&lt;&gt;"",IF(INDEX(SCOp,$L777)="مرجوعی فروش","",IF(INDEX(SCAmount,$L777)&lt;=0,"",INDEX(SCAmount,$L777))),IF($M777&lt;&gt;"",IF(INDEX(LdgWitB,$M777)=0,"",INDEX(LdgWitB,$M777)),""))</f>
        <v/>
      </c>
      <c r="H777" s="21">
        <f>IF($L777&lt;&gt;"",IF(INDEX(SCOp,$L777)="مرجوعی فروش",IF(INDEX(SCAmount,$L777)=0,"",-INDEX(SCAmount,$L777)),""),IF($M777&lt;&gt;"",IF(INDEX(LdgDepB,$M777)=0,"",INDEX(LdgDepB,$M777)),""))</f>
        <v/>
      </c>
      <c r="I777" s="22">
        <f>IF($B777="","",IF($I776="",$C$10,$I776)+IF($G777="",0,$G777)-IF($H777="",0,$H777))</f>
        <v/>
      </c>
      <c r="L777">
        <f>IFERROR(MATCH($C$5&amp;"|"&amp;RIGHT("000000"&amp;761,6),LdgRankKeyA,0),"")</f>
        <v/>
      </c>
      <c r="M777">
        <f>IFERROR(MATCH($C$5&amp;"|"&amp;RIGHT("000000"&amp;761,6),LdgRankKeyB,0),"")</f>
        <v/>
      </c>
    </row>
    <row r="778">
      <c r="A778" s="23" t="n">
        <v>762</v>
      </c>
      <c r="B778" s="24">
        <f>IF(AND($L778="",$M778=""),"",IF($L778&lt;&gt;"",INDEX(SCNormDate,$L778),INDEX(LdgDateB,$M778)))</f>
        <v/>
      </c>
      <c r="C778" s="24">
        <f>IF($L778&lt;&gt;"",INDEX(SCOp,$L778),IF($M778&lt;&gt;"","پرداخت بانکی",""))</f>
        <v/>
      </c>
      <c r="D778" s="24">
        <f>IF($L778&lt;&gt;"",IF(INDEX(SCDoc,$L778)="","—",INDEX(SCDoc,$L778)),IF($M778&lt;&gt;"",INDEX(LdgBankB,$M778),""))</f>
        <v/>
      </c>
      <c r="E778" s="25">
        <f>IF($L778&lt;&gt;"",IF(INDEX(SCCitrus,$L778)&amp;INDEX(SCNotes,$L778)="","",IF(INDEX(SCCitrus,$L778)="","",INDEX(SCCitrus,$L778))&amp;IF(INDEX(SCNotes,$L778)="",""," — "&amp;INDEX(SCNotes,$L778))),IF($M778&lt;&gt;"",IF(INDEX(LdgNoteB,$M778)="","—",INDEX(LdgNoteB,$M778)),""))</f>
        <v/>
      </c>
      <c r="F778" s="26">
        <f>IF($L778&lt;&gt;"",IF(INDEX(SCNet,$L778)=0,"",INDEX(SCNet,$L778)),"")</f>
        <v/>
      </c>
      <c r="G778" s="27">
        <f>IF($L778&lt;&gt;"",IF(INDEX(SCOp,$L778)="مرجوعی فروش","",IF(INDEX(SCAmount,$L778)&lt;=0,"",INDEX(SCAmount,$L778))),IF($M778&lt;&gt;"",IF(INDEX(LdgWitB,$M778)=0,"",INDEX(LdgWitB,$M778)),""))</f>
        <v/>
      </c>
      <c r="H778" s="27">
        <f>IF($L778&lt;&gt;"",IF(INDEX(SCOp,$L778)="مرجوعی فروش",IF(INDEX(SCAmount,$L778)=0,"",-INDEX(SCAmount,$L778)),""),IF($M778&lt;&gt;"",IF(INDEX(LdgDepB,$M778)=0,"",INDEX(LdgDepB,$M778)),""))</f>
        <v/>
      </c>
      <c r="I778" s="28">
        <f>IF($B778="","",IF($I777="",$C$10,$I777)+IF($G778="",0,$G778)-IF($H778="",0,$H778))</f>
        <v/>
      </c>
      <c r="L778">
        <f>IFERROR(MATCH($C$5&amp;"|"&amp;RIGHT("000000"&amp;762,6),LdgRankKeyA,0),"")</f>
        <v/>
      </c>
      <c r="M778">
        <f>IFERROR(MATCH($C$5&amp;"|"&amp;RIGHT("000000"&amp;762,6),LdgRankKeyB,0),"")</f>
        <v/>
      </c>
    </row>
    <row r="779">
      <c r="A779" s="17" t="n">
        <v>763</v>
      </c>
      <c r="B779" s="18">
        <f>IF(AND($L779="",$M779=""),"",IF($L779&lt;&gt;"",INDEX(SCNormDate,$L779),INDEX(LdgDateB,$M779)))</f>
        <v/>
      </c>
      <c r="C779" s="18">
        <f>IF($L779&lt;&gt;"",INDEX(SCOp,$L779),IF($M779&lt;&gt;"","پرداخت بانکی",""))</f>
        <v/>
      </c>
      <c r="D779" s="18">
        <f>IF($L779&lt;&gt;"",IF(INDEX(SCDoc,$L779)="","—",INDEX(SCDoc,$L779)),IF($M779&lt;&gt;"",INDEX(LdgBankB,$M779),""))</f>
        <v/>
      </c>
      <c r="E779" s="19">
        <f>IF($L779&lt;&gt;"",IF(INDEX(SCCitrus,$L779)&amp;INDEX(SCNotes,$L779)="","",IF(INDEX(SCCitrus,$L779)="","",INDEX(SCCitrus,$L779))&amp;IF(INDEX(SCNotes,$L779)="",""," — "&amp;INDEX(SCNotes,$L779))),IF($M779&lt;&gt;"",IF(INDEX(LdgNoteB,$M779)="","—",INDEX(LdgNoteB,$M779)),""))</f>
        <v/>
      </c>
      <c r="F779" s="20">
        <f>IF($L779&lt;&gt;"",IF(INDEX(SCNet,$L779)=0,"",INDEX(SCNet,$L779)),"")</f>
        <v/>
      </c>
      <c r="G779" s="21">
        <f>IF($L779&lt;&gt;"",IF(INDEX(SCOp,$L779)="مرجوعی فروش","",IF(INDEX(SCAmount,$L779)&lt;=0,"",INDEX(SCAmount,$L779))),IF($M779&lt;&gt;"",IF(INDEX(LdgWitB,$M779)=0,"",INDEX(LdgWitB,$M779)),""))</f>
        <v/>
      </c>
      <c r="H779" s="21">
        <f>IF($L779&lt;&gt;"",IF(INDEX(SCOp,$L779)="مرجوعی فروش",IF(INDEX(SCAmount,$L779)=0,"",-INDEX(SCAmount,$L779)),""),IF($M779&lt;&gt;"",IF(INDEX(LdgDepB,$M779)=0,"",INDEX(LdgDepB,$M779)),""))</f>
        <v/>
      </c>
      <c r="I779" s="22">
        <f>IF($B779="","",IF($I778="",$C$10,$I778)+IF($G779="",0,$G779)-IF($H779="",0,$H779))</f>
        <v/>
      </c>
      <c r="L779">
        <f>IFERROR(MATCH($C$5&amp;"|"&amp;RIGHT("000000"&amp;763,6),LdgRankKeyA,0),"")</f>
        <v/>
      </c>
      <c r="M779">
        <f>IFERROR(MATCH($C$5&amp;"|"&amp;RIGHT("000000"&amp;763,6),LdgRankKeyB,0),"")</f>
        <v/>
      </c>
    </row>
    <row r="780">
      <c r="A780" s="23" t="n">
        <v>764</v>
      </c>
      <c r="B780" s="24">
        <f>IF(AND($L780="",$M780=""),"",IF($L780&lt;&gt;"",INDEX(SCNormDate,$L780),INDEX(LdgDateB,$M780)))</f>
        <v/>
      </c>
      <c r="C780" s="24">
        <f>IF($L780&lt;&gt;"",INDEX(SCOp,$L780),IF($M780&lt;&gt;"","پرداخت بانکی",""))</f>
        <v/>
      </c>
      <c r="D780" s="24">
        <f>IF($L780&lt;&gt;"",IF(INDEX(SCDoc,$L780)="","—",INDEX(SCDoc,$L780)),IF($M780&lt;&gt;"",INDEX(LdgBankB,$M780),""))</f>
        <v/>
      </c>
      <c r="E780" s="25">
        <f>IF($L780&lt;&gt;"",IF(INDEX(SCCitrus,$L780)&amp;INDEX(SCNotes,$L780)="","",IF(INDEX(SCCitrus,$L780)="","",INDEX(SCCitrus,$L780))&amp;IF(INDEX(SCNotes,$L780)="",""," — "&amp;INDEX(SCNotes,$L780))),IF($M780&lt;&gt;"",IF(INDEX(LdgNoteB,$M780)="","—",INDEX(LdgNoteB,$M780)),""))</f>
        <v/>
      </c>
      <c r="F780" s="26">
        <f>IF($L780&lt;&gt;"",IF(INDEX(SCNet,$L780)=0,"",INDEX(SCNet,$L780)),"")</f>
        <v/>
      </c>
      <c r="G780" s="27">
        <f>IF($L780&lt;&gt;"",IF(INDEX(SCOp,$L780)="مرجوعی فروش","",IF(INDEX(SCAmount,$L780)&lt;=0,"",INDEX(SCAmount,$L780))),IF($M780&lt;&gt;"",IF(INDEX(LdgWitB,$M780)=0,"",INDEX(LdgWitB,$M780)),""))</f>
        <v/>
      </c>
      <c r="H780" s="27">
        <f>IF($L780&lt;&gt;"",IF(INDEX(SCOp,$L780)="مرجوعی فروش",IF(INDEX(SCAmount,$L780)=0,"",-INDEX(SCAmount,$L780)),""),IF($M780&lt;&gt;"",IF(INDEX(LdgDepB,$M780)=0,"",INDEX(LdgDepB,$M780)),""))</f>
        <v/>
      </c>
      <c r="I780" s="28">
        <f>IF($B780="","",IF($I779="",$C$10,$I779)+IF($G780="",0,$G780)-IF($H780="",0,$H780))</f>
        <v/>
      </c>
      <c r="L780">
        <f>IFERROR(MATCH($C$5&amp;"|"&amp;RIGHT("000000"&amp;764,6),LdgRankKeyA,0),"")</f>
        <v/>
      </c>
      <c r="M780">
        <f>IFERROR(MATCH($C$5&amp;"|"&amp;RIGHT("000000"&amp;764,6),LdgRankKeyB,0),"")</f>
        <v/>
      </c>
    </row>
    <row r="781">
      <c r="A781" s="17" t="n">
        <v>765</v>
      </c>
      <c r="B781" s="18">
        <f>IF(AND($L781="",$M781=""),"",IF($L781&lt;&gt;"",INDEX(SCNormDate,$L781),INDEX(LdgDateB,$M781)))</f>
        <v/>
      </c>
      <c r="C781" s="18">
        <f>IF($L781&lt;&gt;"",INDEX(SCOp,$L781),IF($M781&lt;&gt;"","پرداخت بانکی",""))</f>
        <v/>
      </c>
      <c r="D781" s="18">
        <f>IF($L781&lt;&gt;"",IF(INDEX(SCDoc,$L781)="","—",INDEX(SCDoc,$L781)),IF($M781&lt;&gt;"",INDEX(LdgBankB,$M781),""))</f>
        <v/>
      </c>
      <c r="E781" s="19">
        <f>IF($L781&lt;&gt;"",IF(INDEX(SCCitrus,$L781)&amp;INDEX(SCNotes,$L781)="","",IF(INDEX(SCCitrus,$L781)="","",INDEX(SCCitrus,$L781))&amp;IF(INDEX(SCNotes,$L781)="",""," — "&amp;INDEX(SCNotes,$L781))),IF($M781&lt;&gt;"",IF(INDEX(LdgNoteB,$M781)="","—",INDEX(LdgNoteB,$M781)),""))</f>
        <v/>
      </c>
      <c r="F781" s="20">
        <f>IF($L781&lt;&gt;"",IF(INDEX(SCNet,$L781)=0,"",INDEX(SCNet,$L781)),"")</f>
        <v/>
      </c>
      <c r="G781" s="21">
        <f>IF($L781&lt;&gt;"",IF(INDEX(SCOp,$L781)="مرجوعی فروش","",IF(INDEX(SCAmount,$L781)&lt;=0,"",INDEX(SCAmount,$L781))),IF($M781&lt;&gt;"",IF(INDEX(LdgWitB,$M781)=0,"",INDEX(LdgWitB,$M781)),""))</f>
        <v/>
      </c>
      <c r="H781" s="21">
        <f>IF($L781&lt;&gt;"",IF(INDEX(SCOp,$L781)="مرجوعی فروش",IF(INDEX(SCAmount,$L781)=0,"",-INDEX(SCAmount,$L781)),""),IF($M781&lt;&gt;"",IF(INDEX(LdgDepB,$M781)=0,"",INDEX(LdgDepB,$M781)),""))</f>
        <v/>
      </c>
      <c r="I781" s="22">
        <f>IF($B781="","",IF($I780="",$C$10,$I780)+IF($G781="",0,$G781)-IF($H781="",0,$H781))</f>
        <v/>
      </c>
      <c r="L781">
        <f>IFERROR(MATCH($C$5&amp;"|"&amp;RIGHT("000000"&amp;765,6),LdgRankKeyA,0),"")</f>
        <v/>
      </c>
      <c r="M781">
        <f>IFERROR(MATCH($C$5&amp;"|"&amp;RIGHT("000000"&amp;765,6),LdgRankKeyB,0),"")</f>
        <v/>
      </c>
    </row>
    <row r="782">
      <c r="A782" s="23" t="n">
        <v>766</v>
      </c>
      <c r="B782" s="24">
        <f>IF(AND($L782="",$M782=""),"",IF($L782&lt;&gt;"",INDEX(SCNormDate,$L782),INDEX(LdgDateB,$M782)))</f>
        <v/>
      </c>
      <c r="C782" s="24">
        <f>IF($L782&lt;&gt;"",INDEX(SCOp,$L782),IF($M782&lt;&gt;"","پرداخت بانکی",""))</f>
        <v/>
      </c>
      <c r="D782" s="24">
        <f>IF($L782&lt;&gt;"",IF(INDEX(SCDoc,$L782)="","—",INDEX(SCDoc,$L782)),IF($M782&lt;&gt;"",INDEX(LdgBankB,$M782),""))</f>
        <v/>
      </c>
      <c r="E782" s="25">
        <f>IF($L782&lt;&gt;"",IF(INDEX(SCCitrus,$L782)&amp;INDEX(SCNotes,$L782)="","",IF(INDEX(SCCitrus,$L782)="","",INDEX(SCCitrus,$L782))&amp;IF(INDEX(SCNotes,$L782)="",""," — "&amp;INDEX(SCNotes,$L782))),IF($M782&lt;&gt;"",IF(INDEX(LdgNoteB,$M782)="","—",INDEX(LdgNoteB,$M782)),""))</f>
        <v/>
      </c>
      <c r="F782" s="26">
        <f>IF($L782&lt;&gt;"",IF(INDEX(SCNet,$L782)=0,"",INDEX(SCNet,$L782)),"")</f>
        <v/>
      </c>
      <c r="G782" s="27">
        <f>IF($L782&lt;&gt;"",IF(INDEX(SCOp,$L782)="مرجوعی فروش","",IF(INDEX(SCAmount,$L782)&lt;=0,"",INDEX(SCAmount,$L782))),IF($M782&lt;&gt;"",IF(INDEX(LdgWitB,$M782)=0,"",INDEX(LdgWitB,$M782)),""))</f>
        <v/>
      </c>
      <c r="H782" s="27">
        <f>IF($L782&lt;&gt;"",IF(INDEX(SCOp,$L782)="مرجوعی فروش",IF(INDEX(SCAmount,$L782)=0,"",-INDEX(SCAmount,$L782)),""),IF($M782&lt;&gt;"",IF(INDEX(LdgDepB,$M782)=0,"",INDEX(LdgDepB,$M782)),""))</f>
        <v/>
      </c>
      <c r="I782" s="28">
        <f>IF($B782="","",IF($I781="",$C$10,$I781)+IF($G782="",0,$G782)-IF($H782="",0,$H782))</f>
        <v/>
      </c>
      <c r="L782">
        <f>IFERROR(MATCH($C$5&amp;"|"&amp;RIGHT("000000"&amp;766,6),LdgRankKeyA,0),"")</f>
        <v/>
      </c>
      <c r="M782">
        <f>IFERROR(MATCH($C$5&amp;"|"&amp;RIGHT("000000"&amp;766,6),LdgRankKeyB,0),"")</f>
        <v/>
      </c>
    </row>
    <row r="783">
      <c r="A783" s="17" t="n">
        <v>767</v>
      </c>
      <c r="B783" s="18">
        <f>IF(AND($L783="",$M783=""),"",IF($L783&lt;&gt;"",INDEX(SCNormDate,$L783),INDEX(LdgDateB,$M783)))</f>
        <v/>
      </c>
      <c r="C783" s="18">
        <f>IF($L783&lt;&gt;"",INDEX(SCOp,$L783),IF($M783&lt;&gt;"","پرداخت بانکی",""))</f>
        <v/>
      </c>
      <c r="D783" s="18">
        <f>IF($L783&lt;&gt;"",IF(INDEX(SCDoc,$L783)="","—",INDEX(SCDoc,$L783)),IF($M783&lt;&gt;"",INDEX(LdgBankB,$M783),""))</f>
        <v/>
      </c>
      <c r="E783" s="19">
        <f>IF($L783&lt;&gt;"",IF(INDEX(SCCitrus,$L783)&amp;INDEX(SCNotes,$L783)="","",IF(INDEX(SCCitrus,$L783)="","",INDEX(SCCitrus,$L783))&amp;IF(INDEX(SCNotes,$L783)="",""," — "&amp;INDEX(SCNotes,$L783))),IF($M783&lt;&gt;"",IF(INDEX(LdgNoteB,$M783)="","—",INDEX(LdgNoteB,$M783)),""))</f>
        <v/>
      </c>
      <c r="F783" s="20">
        <f>IF($L783&lt;&gt;"",IF(INDEX(SCNet,$L783)=0,"",INDEX(SCNet,$L783)),"")</f>
        <v/>
      </c>
      <c r="G783" s="21">
        <f>IF($L783&lt;&gt;"",IF(INDEX(SCOp,$L783)="مرجوعی فروش","",IF(INDEX(SCAmount,$L783)&lt;=0,"",INDEX(SCAmount,$L783))),IF($M783&lt;&gt;"",IF(INDEX(LdgWitB,$M783)=0,"",INDEX(LdgWitB,$M783)),""))</f>
        <v/>
      </c>
      <c r="H783" s="21">
        <f>IF($L783&lt;&gt;"",IF(INDEX(SCOp,$L783)="مرجوعی فروش",IF(INDEX(SCAmount,$L783)=0,"",-INDEX(SCAmount,$L783)),""),IF($M783&lt;&gt;"",IF(INDEX(LdgDepB,$M783)=0,"",INDEX(LdgDepB,$M783)),""))</f>
        <v/>
      </c>
      <c r="I783" s="22">
        <f>IF($B783="","",IF($I782="",$C$10,$I782)+IF($G783="",0,$G783)-IF($H783="",0,$H783))</f>
        <v/>
      </c>
      <c r="L783">
        <f>IFERROR(MATCH($C$5&amp;"|"&amp;RIGHT("000000"&amp;767,6),LdgRankKeyA,0),"")</f>
        <v/>
      </c>
      <c r="M783">
        <f>IFERROR(MATCH($C$5&amp;"|"&amp;RIGHT("000000"&amp;767,6),LdgRankKeyB,0),"")</f>
        <v/>
      </c>
    </row>
    <row r="784">
      <c r="A784" s="23" t="n">
        <v>768</v>
      </c>
      <c r="B784" s="24">
        <f>IF(AND($L784="",$M784=""),"",IF($L784&lt;&gt;"",INDEX(SCNormDate,$L784),INDEX(LdgDateB,$M784)))</f>
        <v/>
      </c>
      <c r="C784" s="24">
        <f>IF($L784&lt;&gt;"",INDEX(SCOp,$L784),IF($M784&lt;&gt;"","پرداخت بانکی",""))</f>
        <v/>
      </c>
      <c r="D784" s="24">
        <f>IF($L784&lt;&gt;"",IF(INDEX(SCDoc,$L784)="","—",INDEX(SCDoc,$L784)),IF($M784&lt;&gt;"",INDEX(LdgBankB,$M784),""))</f>
        <v/>
      </c>
      <c r="E784" s="25">
        <f>IF($L784&lt;&gt;"",IF(INDEX(SCCitrus,$L784)&amp;INDEX(SCNotes,$L784)="","",IF(INDEX(SCCitrus,$L784)="","",INDEX(SCCitrus,$L784))&amp;IF(INDEX(SCNotes,$L784)="",""," — "&amp;INDEX(SCNotes,$L784))),IF($M784&lt;&gt;"",IF(INDEX(LdgNoteB,$M784)="","—",INDEX(LdgNoteB,$M784)),""))</f>
        <v/>
      </c>
      <c r="F784" s="26">
        <f>IF($L784&lt;&gt;"",IF(INDEX(SCNet,$L784)=0,"",INDEX(SCNet,$L784)),"")</f>
        <v/>
      </c>
      <c r="G784" s="27">
        <f>IF($L784&lt;&gt;"",IF(INDEX(SCOp,$L784)="مرجوعی فروش","",IF(INDEX(SCAmount,$L784)&lt;=0,"",INDEX(SCAmount,$L784))),IF($M784&lt;&gt;"",IF(INDEX(LdgWitB,$M784)=0,"",INDEX(LdgWitB,$M784)),""))</f>
        <v/>
      </c>
      <c r="H784" s="27">
        <f>IF($L784&lt;&gt;"",IF(INDEX(SCOp,$L784)="مرجوعی فروش",IF(INDEX(SCAmount,$L784)=0,"",-INDEX(SCAmount,$L784)),""),IF($M784&lt;&gt;"",IF(INDEX(LdgDepB,$M784)=0,"",INDEX(LdgDepB,$M784)),""))</f>
        <v/>
      </c>
      <c r="I784" s="28">
        <f>IF($B784="","",IF($I783="",$C$10,$I783)+IF($G784="",0,$G784)-IF($H784="",0,$H784))</f>
        <v/>
      </c>
      <c r="L784">
        <f>IFERROR(MATCH($C$5&amp;"|"&amp;RIGHT("000000"&amp;768,6),LdgRankKeyA,0),"")</f>
        <v/>
      </c>
      <c r="M784">
        <f>IFERROR(MATCH($C$5&amp;"|"&amp;RIGHT("000000"&amp;768,6),LdgRankKeyB,0),"")</f>
        <v/>
      </c>
    </row>
    <row r="785">
      <c r="A785" s="17" t="n">
        <v>769</v>
      </c>
      <c r="B785" s="18">
        <f>IF(AND($L785="",$M785=""),"",IF($L785&lt;&gt;"",INDEX(SCNormDate,$L785),INDEX(LdgDateB,$M785)))</f>
        <v/>
      </c>
      <c r="C785" s="18">
        <f>IF($L785&lt;&gt;"",INDEX(SCOp,$L785),IF($M785&lt;&gt;"","پرداخت بانکی",""))</f>
        <v/>
      </c>
      <c r="D785" s="18">
        <f>IF($L785&lt;&gt;"",IF(INDEX(SCDoc,$L785)="","—",INDEX(SCDoc,$L785)),IF($M785&lt;&gt;"",INDEX(LdgBankB,$M785),""))</f>
        <v/>
      </c>
      <c r="E785" s="19">
        <f>IF($L785&lt;&gt;"",IF(INDEX(SCCitrus,$L785)&amp;INDEX(SCNotes,$L785)="","",IF(INDEX(SCCitrus,$L785)="","",INDEX(SCCitrus,$L785))&amp;IF(INDEX(SCNotes,$L785)="",""," — "&amp;INDEX(SCNotes,$L785))),IF($M785&lt;&gt;"",IF(INDEX(LdgNoteB,$M785)="","—",INDEX(LdgNoteB,$M785)),""))</f>
        <v/>
      </c>
      <c r="F785" s="20">
        <f>IF($L785&lt;&gt;"",IF(INDEX(SCNet,$L785)=0,"",INDEX(SCNet,$L785)),"")</f>
        <v/>
      </c>
      <c r="G785" s="21">
        <f>IF($L785&lt;&gt;"",IF(INDEX(SCOp,$L785)="مرجوعی فروش","",IF(INDEX(SCAmount,$L785)&lt;=0,"",INDEX(SCAmount,$L785))),IF($M785&lt;&gt;"",IF(INDEX(LdgWitB,$M785)=0,"",INDEX(LdgWitB,$M785)),""))</f>
        <v/>
      </c>
      <c r="H785" s="21">
        <f>IF($L785&lt;&gt;"",IF(INDEX(SCOp,$L785)="مرجوعی فروش",IF(INDEX(SCAmount,$L785)=0,"",-INDEX(SCAmount,$L785)),""),IF($M785&lt;&gt;"",IF(INDEX(LdgDepB,$M785)=0,"",INDEX(LdgDepB,$M785)),""))</f>
        <v/>
      </c>
      <c r="I785" s="22">
        <f>IF($B785="","",IF($I784="",$C$10,$I784)+IF($G785="",0,$G785)-IF($H785="",0,$H785))</f>
        <v/>
      </c>
      <c r="L785">
        <f>IFERROR(MATCH($C$5&amp;"|"&amp;RIGHT("000000"&amp;769,6),LdgRankKeyA,0),"")</f>
        <v/>
      </c>
      <c r="M785">
        <f>IFERROR(MATCH($C$5&amp;"|"&amp;RIGHT("000000"&amp;769,6),LdgRankKeyB,0),"")</f>
        <v/>
      </c>
    </row>
    <row r="786">
      <c r="A786" s="23" t="n">
        <v>770</v>
      </c>
      <c r="B786" s="24">
        <f>IF(AND($L786="",$M786=""),"",IF($L786&lt;&gt;"",INDEX(SCNormDate,$L786),INDEX(LdgDateB,$M786)))</f>
        <v/>
      </c>
      <c r="C786" s="24">
        <f>IF($L786&lt;&gt;"",INDEX(SCOp,$L786),IF($M786&lt;&gt;"","پرداخت بانکی",""))</f>
        <v/>
      </c>
      <c r="D786" s="24">
        <f>IF($L786&lt;&gt;"",IF(INDEX(SCDoc,$L786)="","—",INDEX(SCDoc,$L786)),IF($M786&lt;&gt;"",INDEX(LdgBankB,$M786),""))</f>
        <v/>
      </c>
      <c r="E786" s="25">
        <f>IF($L786&lt;&gt;"",IF(INDEX(SCCitrus,$L786)&amp;INDEX(SCNotes,$L786)="","",IF(INDEX(SCCitrus,$L786)="","",INDEX(SCCitrus,$L786))&amp;IF(INDEX(SCNotes,$L786)="",""," — "&amp;INDEX(SCNotes,$L786))),IF($M786&lt;&gt;"",IF(INDEX(LdgNoteB,$M786)="","—",INDEX(LdgNoteB,$M786)),""))</f>
        <v/>
      </c>
      <c r="F786" s="26">
        <f>IF($L786&lt;&gt;"",IF(INDEX(SCNet,$L786)=0,"",INDEX(SCNet,$L786)),"")</f>
        <v/>
      </c>
      <c r="G786" s="27">
        <f>IF($L786&lt;&gt;"",IF(INDEX(SCOp,$L786)="مرجوعی فروش","",IF(INDEX(SCAmount,$L786)&lt;=0,"",INDEX(SCAmount,$L786))),IF($M786&lt;&gt;"",IF(INDEX(LdgWitB,$M786)=0,"",INDEX(LdgWitB,$M786)),""))</f>
        <v/>
      </c>
      <c r="H786" s="27">
        <f>IF($L786&lt;&gt;"",IF(INDEX(SCOp,$L786)="مرجوعی فروش",IF(INDEX(SCAmount,$L786)=0,"",-INDEX(SCAmount,$L786)),""),IF($M786&lt;&gt;"",IF(INDEX(LdgDepB,$M786)=0,"",INDEX(LdgDepB,$M786)),""))</f>
        <v/>
      </c>
      <c r="I786" s="28">
        <f>IF($B786="","",IF($I785="",$C$10,$I785)+IF($G786="",0,$G786)-IF($H786="",0,$H786))</f>
        <v/>
      </c>
      <c r="L786">
        <f>IFERROR(MATCH($C$5&amp;"|"&amp;RIGHT("000000"&amp;770,6),LdgRankKeyA,0),"")</f>
        <v/>
      </c>
      <c r="M786">
        <f>IFERROR(MATCH($C$5&amp;"|"&amp;RIGHT("000000"&amp;770,6),LdgRankKeyB,0),"")</f>
        <v/>
      </c>
    </row>
    <row r="787">
      <c r="A787" s="17" t="n">
        <v>771</v>
      </c>
      <c r="B787" s="18">
        <f>IF(AND($L787="",$M787=""),"",IF($L787&lt;&gt;"",INDEX(SCNormDate,$L787),INDEX(LdgDateB,$M787)))</f>
        <v/>
      </c>
      <c r="C787" s="18">
        <f>IF($L787&lt;&gt;"",INDEX(SCOp,$L787),IF($M787&lt;&gt;"","پرداخت بانکی",""))</f>
        <v/>
      </c>
      <c r="D787" s="18">
        <f>IF($L787&lt;&gt;"",IF(INDEX(SCDoc,$L787)="","—",INDEX(SCDoc,$L787)),IF($M787&lt;&gt;"",INDEX(LdgBankB,$M787),""))</f>
        <v/>
      </c>
      <c r="E787" s="19">
        <f>IF($L787&lt;&gt;"",IF(INDEX(SCCitrus,$L787)&amp;INDEX(SCNotes,$L787)="","",IF(INDEX(SCCitrus,$L787)="","",INDEX(SCCitrus,$L787))&amp;IF(INDEX(SCNotes,$L787)="",""," — "&amp;INDEX(SCNotes,$L787))),IF($M787&lt;&gt;"",IF(INDEX(LdgNoteB,$M787)="","—",INDEX(LdgNoteB,$M787)),""))</f>
        <v/>
      </c>
      <c r="F787" s="20">
        <f>IF($L787&lt;&gt;"",IF(INDEX(SCNet,$L787)=0,"",INDEX(SCNet,$L787)),"")</f>
        <v/>
      </c>
      <c r="G787" s="21">
        <f>IF($L787&lt;&gt;"",IF(INDEX(SCOp,$L787)="مرجوعی فروش","",IF(INDEX(SCAmount,$L787)&lt;=0,"",INDEX(SCAmount,$L787))),IF($M787&lt;&gt;"",IF(INDEX(LdgWitB,$M787)=0,"",INDEX(LdgWitB,$M787)),""))</f>
        <v/>
      </c>
      <c r="H787" s="21">
        <f>IF($L787&lt;&gt;"",IF(INDEX(SCOp,$L787)="مرجوعی فروش",IF(INDEX(SCAmount,$L787)=0,"",-INDEX(SCAmount,$L787)),""),IF($M787&lt;&gt;"",IF(INDEX(LdgDepB,$M787)=0,"",INDEX(LdgDepB,$M787)),""))</f>
        <v/>
      </c>
      <c r="I787" s="22">
        <f>IF($B787="","",IF($I786="",$C$10,$I786)+IF($G787="",0,$G787)-IF($H787="",0,$H787))</f>
        <v/>
      </c>
      <c r="L787">
        <f>IFERROR(MATCH($C$5&amp;"|"&amp;RIGHT("000000"&amp;771,6),LdgRankKeyA,0),"")</f>
        <v/>
      </c>
      <c r="M787">
        <f>IFERROR(MATCH($C$5&amp;"|"&amp;RIGHT("000000"&amp;771,6),LdgRankKeyB,0),"")</f>
        <v/>
      </c>
    </row>
    <row r="788">
      <c r="A788" s="23" t="n">
        <v>772</v>
      </c>
      <c r="B788" s="24">
        <f>IF(AND($L788="",$M788=""),"",IF($L788&lt;&gt;"",INDEX(SCNormDate,$L788),INDEX(LdgDateB,$M788)))</f>
        <v/>
      </c>
      <c r="C788" s="24">
        <f>IF($L788&lt;&gt;"",INDEX(SCOp,$L788),IF($M788&lt;&gt;"","پرداخت بانکی",""))</f>
        <v/>
      </c>
      <c r="D788" s="24">
        <f>IF($L788&lt;&gt;"",IF(INDEX(SCDoc,$L788)="","—",INDEX(SCDoc,$L788)),IF($M788&lt;&gt;"",INDEX(LdgBankB,$M788),""))</f>
        <v/>
      </c>
      <c r="E788" s="25">
        <f>IF($L788&lt;&gt;"",IF(INDEX(SCCitrus,$L788)&amp;INDEX(SCNotes,$L788)="","",IF(INDEX(SCCitrus,$L788)="","",INDEX(SCCitrus,$L788))&amp;IF(INDEX(SCNotes,$L788)="",""," — "&amp;INDEX(SCNotes,$L788))),IF($M788&lt;&gt;"",IF(INDEX(LdgNoteB,$M788)="","—",INDEX(LdgNoteB,$M788)),""))</f>
        <v/>
      </c>
      <c r="F788" s="26">
        <f>IF($L788&lt;&gt;"",IF(INDEX(SCNet,$L788)=0,"",INDEX(SCNet,$L788)),"")</f>
        <v/>
      </c>
      <c r="G788" s="27">
        <f>IF($L788&lt;&gt;"",IF(INDEX(SCOp,$L788)="مرجوعی فروش","",IF(INDEX(SCAmount,$L788)&lt;=0,"",INDEX(SCAmount,$L788))),IF($M788&lt;&gt;"",IF(INDEX(LdgWitB,$M788)=0,"",INDEX(LdgWitB,$M788)),""))</f>
        <v/>
      </c>
      <c r="H788" s="27">
        <f>IF($L788&lt;&gt;"",IF(INDEX(SCOp,$L788)="مرجوعی فروش",IF(INDEX(SCAmount,$L788)=0,"",-INDEX(SCAmount,$L788)),""),IF($M788&lt;&gt;"",IF(INDEX(LdgDepB,$M788)=0,"",INDEX(LdgDepB,$M788)),""))</f>
        <v/>
      </c>
      <c r="I788" s="28">
        <f>IF($B788="","",IF($I787="",$C$10,$I787)+IF($G788="",0,$G788)-IF($H788="",0,$H788))</f>
        <v/>
      </c>
      <c r="L788">
        <f>IFERROR(MATCH($C$5&amp;"|"&amp;RIGHT("000000"&amp;772,6),LdgRankKeyA,0),"")</f>
        <v/>
      </c>
      <c r="M788">
        <f>IFERROR(MATCH($C$5&amp;"|"&amp;RIGHT("000000"&amp;772,6),LdgRankKeyB,0),"")</f>
        <v/>
      </c>
    </row>
    <row r="789">
      <c r="A789" s="17" t="n">
        <v>773</v>
      </c>
      <c r="B789" s="18">
        <f>IF(AND($L789="",$M789=""),"",IF($L789&lt;&gt;"",INDEX(SCNormDate,$L789),INDEX(LdgDateB,$M789)))</f>
        <v/>
      </c>
      <c r="C789" s="18">
        <f>IF($L789&lt;&gt;"",INDEX(SCOp,$L789),IF($M789&lt;&gt;"","پرداخت بانکی",""))</f>
        <v/>
      </c>
      <c r="D789" s="18">
        <f>IF($L789&lt;&gt;"",IF(INDEX(SCDoc,$L789)="","—",INDEX(SCDoc,$L789)),IF($M789&lt;&gt;"",INDEX(LdgBankB,$M789),""))</f>
        <v/>
      </c>
      <c r="E789" s="19">
        <f>IF($L789&lt;&gt;"",IF(INDEX(SCCitrus,$L789)&amp;INDEX(SCNotes,$L789)="","",IF(INDEX(SCCitrus,$L789)="","",INDEX(SCCitrus,$L789))&amp;IF(INDEX(SCNotes,$L789)="",""," — "&amp;INDEX(SCNotes,$L789))),IF($M789&lt;&gt;"",IF(INDEX(LdgNoteB,$M789)="","—",INDEX(LdgNoteB,$M789)),""))</f>
        <v/>
      </c>
      <c r="F789" s="20">
        <f>IF($L789&lt;&gt;"",IF(INDEX(SCNet,$L789)=0,"",INDEX(SCNet,$L789)),"")</f>
        <v/>
      </c>
      <c r="G789" s="21">
        <f>IF($L789&lt;&gt;"",IF(INDEX(SCOp,$L789)="مرجوعی فروش","",IF(INDEX(SCAmount,$L789)&lt;=0,"",INDEX(SCAmount,$L789))),IF($M789&lt;&gt;"",IF(INDEX(LdgWitB,$M789)=0,"",INDEX(LdgWitB,$M789)),""))</f>
        <v/>
      </c>
      <c r="H789" s="21">
        <f>IF($L789&lt;&gt;"",IF(INDEX(SCOp,$L789)="مرجوعی فروش",IF(INDEX(SCAmount,$L789)=0,"",-INDEX(SCAmount,$L789)),""),IF($M789&lt;&gt;"",IF(INDEX(LdgDepB,$M789)=0,"",INDEX(LdgDepB,$M789)),""))</f>
        <v/>
      </c>
      <c r="I789" s="22">
        <f>IF($B789="","",IF($I788="",$C$10,$I788)+IF($G789="",0,$G789)-IF($H789="",0,$H789))</f>
        <v/>
      </c>
      <c r="L789">
        <f>IFERROR(MATCH($C$5&amp;"|"&amp;RIGHT("000000"&amp;773,6),LdgRankKeyA,0),"")</f>
        <v/>
      </c>
      <c r="M789">
        <f>IFERROR(MATCH($C$5&amp;"|"&amp;RIGHT("000000"&amp;773,6),LdgRankKeyB,0),"")</f>
        <v/>
      </c>
    </row>
    <row r="790">
      <c r="A790" s="23" t="n">
        <v>774</v>
      </c>
      <c r="B790" s="24">
        <f>IF(AND($L790="",$M790=""),"",IF($L790&lt;&gt;"",INDEX(SCNormDate,$L790),INDEX(LdgDateB,$M790)))</f>
        <v/>
      </c>
      <c r="C790" s="24">
        <f>IF($L790&lt;&gt;"",INDEX(SCOp,$L790),IF($M790&lt;&gt;"","پرداخت بانکی",""))</f>
        <v/>
      </c>
      <c r="D790" s="24">
        <f>IF($L790&lt;&gt;"",IF(INDEX(SCDoc,$L790)="","—",INDEX(SCDoc,$L790)),IF($M790&lt;&gt;"",INDEX(LdgBankB,$M790),""))</f>
        <v/>
      </c>
      <c r="E790" s="25">
        <f>IF($L790&lt;&gt;"",IF(INDEX(SCCitrus,$L790)&amp;INDEX(SCNotes,$L790)="","",IF(INDEX(SCCitrus,$L790)="","",INDEX(SCCitrus,$L790))&amp;IF(INDEX(SCNotes,$L790)="",""," — "&amp;INDEX(SCNotes,$L790))),IF($M790&lt;&gt;"",IF(INDEX(LdgNoteB,$M790)="","—",INDEX(LdgNoteB,$M790)),""))</f>
        <v/>
      </c>
      <c r="F790" s="26">
        <f>IF($L790&lt;&gt;"",IF(INDEX(SCNet,$L790)=0,"",INDEX(SCNet,$L790)),"")</f>
        <v/>
      </c>
      <c r="G790" s="27">
        <f>IF($L790&lt;&gt;"",IF(INDEX(SCOp,$L790)="مرجوعی فروش","",IF(INDEX(SCAmount,$L790)&lt;=0,"",INDEX(SCAmount,$L790))),IF($M790&lt;&gt;"",IF(INDEX(LdgWitB,$M790)=0,"",INDEX(LdgWitB,$M790)),""))</f>
        <v/>
      </c>
      <c r="H790" s="27">
        <f>IF($L790&lt;&gt;"",IF(INDEX(SCOp,$L790)="مرجوعی فروش",IF(INDEX(SCAmount,$L790)=0,"",-INDEX(SCAmount,$L790)),""),IF($M790&lt;&gt;"",IF(INDEX(LdgDepB,$M790)=0,"",INDEX(LdgDepB,$M790)),""))</f>
        <v/>
      </c>
      <c r="I790" s="28">
        <f>IF($B790="","",IF($I789="",$C$10,$I789)+IF($G790="",0,$G790)-IF($H790="",0,$H790))</f>
        <v/>
      </c>
      <c r="L790">
        <f>IFERROR(MATCH($C$5&amp;"|"&amp;RIGHT("000000"&amp;774,6),LdgRankKeyA,0),"")</f>
        <v/>
      </c>
      <c r="M790">
        <f>IFERROR(MATCH($C$5&amp;"|"&amp;RIGHT("000000"&amp;774,6),LdgRankKeyB,0),"")</f>
        <v/>
      </c>
    </row>
    <row r="791">
      <c r="A791" s="17" t="n">
        <v>775</v>
      </c>
      <c r="B791" s="18">
        <f>IF(AND($L791="",$M791=""),"",IF($L791&lt;&gt;"",INDEX(SCNormDate,$L791),INDEX(LdgDateB,$M791)))</f>
        <v/>
      </c>
      <c r="C791" s="18">
        <f>IF($L791&lt;&gt;"",INDEX(SCOp,$L791),IF($M791&lt;&gt;"","پرداخت بانکی",""))</f>
        <v/>
      </c>
      <c r="D791" s="18">
        <f>IF($L791&lt;&gt;"",IF(INDEX(SCDoc,$L791)="","—",INDEX(SCDoc,$L791)),IF($M791&lt;&gt;"",INDEX(LdgBankB,$M791),""))</f>
        <v/>
      </c>
      <c r="E791" s="19">
        <f>IF($L791&lt;&gt;"",IF(INDEX(SCCitrus,$L791)&amp;INDEX(SCNotes,$L791)="","",IF(INDEX(SCCitrus,$L791)="","",INDEX(SCCitrus,$L791))&amp;IF(INDEX(SCNotes,$L791)="",""," — "&amp;INDEX(SCNotes,$L791))),IF($M791&lt;&gt;"",IF(INDEX(LdgNoteB,$M791)="","—",INDEX(LdgNoteB,$M791)),""))</f>
        <v/>
      </c>
      <c r="F791" s="20">
        <f>IF($L791&lt;&gt;"",IF(INDEX(SCNet,$L791)=0,"",INDEX(SCNet,$L791)),"")</f>
        <v/>
      </c>
      <c r="G791" s="21">
        <f>IF($L791&lt;&gt;"",IF(INDEX(SCOp,$L791)="مرجوعی فروش","",IF(INDEX(SCAmount,$L791)&lt;=0,"",INDEX(SCAmount,$L791))),IF($M791&lt;&gt;"",IF(INDEX(LdgWitB,$M791)=0,"",INDEX(LdgWitB,$M791)),""))</f>
        <v/>
      </c>
      <c r="H791" s="21">
        <f>IF($L791&lt;&gt;"",IF(INDEX(SCOp,$L791)="مرجوعی فروش",IF(INDEX(SCAmount,$L791)=0,"",-INDEX(SCAmount,$L791)),""),IF($M791&lt;&gt;"",IF(INDEX(LdgDepB,$M791)=0,"",INDEX(LdgDepB,$M791)),""))</f>
        <v/>
      </c>
      <c r="I791" s="22">
        <f>IF($B791="","",IF($I790="",$C$10,$I790)+IF($G791="",0,$G791)-IF($H791="",0,$H791))</f>
        <v/>
      </c>
      <c r="L791">
        <f>IFERROR(MATCH($C$5&amp;"|"&amp;RIGHT("000000"&amp;775,6),LdgRankKeyA,0),"")</f>
        <v/>
      </c>
      <c r="M791">
        <f>IFERROR(MATCH($C$5&amp;"|"&amp;RIGHT("000000"&amp;775,6),LdgRankKeyB,0),"")</f>
        <v/>
      </c>
    </row>
    <row r="792">
      <c r="A792" s="23" t="n">
        <v>776</v>
      </c>
      <c r="B792" s="24">
        <f>IF(AND($L792="",$M792=""),"",IF($L792&lt;&gt;"",INDEX(SCNormDate,$L792),INDEX(LdgDateB,$M792)))</f>
        <v/>
      </c>
      <c r="C792" s="24">
        <f>IF($L792&lt;&gt;"",INDEX(SCOp,$L792),IF($M792&lt;&gt;"","پرداخت بانکی",""))</f>
        <v/>
      </c>
      <c r="D792" s="24">
        <f>IF($L792&lt;&gt;"",IF(INDEX(SCDoc,$L792)="","—",INDEX(SCDoc,$L792)),IF($M792&lt;&gt;"",INDEX(LdgBankB,$M792),""))</f>
        <v/>
      </c>
      <c r="E792" s="25">
        <f>IF($L792&lt;&gt;"",IF(INDEX(SCCitrus,$L792)&amp;INDEX(SCNotes,$L792)="","",IF(INDEX(SCCitrus,$L792)="","",INDEX(SCCitrus,$L792))&amp;IF(INDEX(SCNotes,$L792)="",""," — "&amp;INDEX(SCNotes,$L792))),IF($M792&lt;&gt;"",IF(INDEX(LdgNoteB,$M792)="","—",INDEX(LdgNoteB,$M792)),""))</f>
        <v/>
      </c>
      <c r="F792" s="26">
        <f>IF($L792&lt;&gt;"",IF(INDEX(SCNet,$L792)=0,"",INDEX(SCNet,$L792)),"")</f>
        <v/>
      </c>
      <c r="G792" s="27">
        <f>IF($L792&lt;&gt;"",IF(INDEX(SCOp,$L792)="مرجوعی فروش","",IF(INDEX(SCAmount,$L792)&lt;=0,"",INDEX(SCAmount,$L792))),IF($M792&lt;&gt;"",IF(INDEX(LdgWitB,$M792)=0,"",INDEX(LdgWitB,$M792)),""))</f>
        <v/>
      </c>
      <c r="H792" s="27">
        <f>IF($L792&lt;&gt;"",IF(INDEX(SCOp,$L792)="مرجوعی فروش",IF(INDEX(SCAmount,$L792)=0,"",-INDEX(SCAmount,$L792)),""),IF($M792&lt;&gt;"",IF(INDEX(LdgDepB,$M792)=0,"",INDEX(LdgDepB,$M792)),""))</f>
        <v/>
      </c>
      <c r="I792" s="28">
        <f>IF($B792="","",IF($I791="",$C$10,$I791)+IF($G792="",0,$G792)-IF($H792="",0,$H792))</f>
        <v/>
      </c>
      <c r="L792">
        <f>IFERROR(MATCH($C$5&amp;"|"&amp;RIGHT("000000"&amp;776,6),LdgRankKeyA,0),"")</f>
        <v/>
      </c>
      <c r="M792">
        <f>IFERROR(MATCH($C$5&amp;"|"&amp;RIGHT("000000"&amp;776,6),LdgRankKeyB,0),"")</f>
        <v/>
      </c>
    </row>
    <row r="793">
      <c r="A793" s="17" t="n">
        <v>777</v>
      </c>
      <c r="B793" s="18">
        <f>IF(AND($L793="",$M793=""),"",IF($L793&lt;&gt;"",INDEX(SCNormDate,$L793),INDEX(LdgDateB,$M793)))</f>
        <v/>
      </c>
      <c r="C793" s="18">
        <f>IF($L793&lt;&gt;"",INDEX(SCOp,$L793),IF($M793&lt;&gt;"","پرداخت بانکی",""))</f>
        <v/>
      </c>
      <c r="D793" s="18">
        <f>IF($L793&lt;&gt;"",IF(INDEX(SCDoc,$L793)="","—",INDEX(SCDoc,$L793)),IF($M793&lt;&gt;"",INDEX(LdgBankB,$M793),""))</f>
        <v/>
      </c>
      <c r="E793" s="19">
        <f>IF($L793&lt;&gt;"",IF(INDEX(SCCitrus,$L793)&amp;INDEX(SCNotes,$L793)="","",IF(INDEX(SCCitrus,$L793)="","",INDEX(SCCitrus,$L793))&amp;IF(INDEX(SCNotes,$L793)="",""," — "&amp;INDEX(SCNotes,$L793))),IF($M793&lt;&gt;"",IF(INDEX(LdgNoteB,$M793)="","—",INDEX(LdgNoteB,$M793)),""))</f>
        <v/>
      </c>
      <c r="F793" s="20">
        <f>IF($L793&lt;&gt;"",IF(INDEX(SCNet,$L793)=0,"",INDEX(SCNet,$L793)),"")</f>
        <v/>
      </c>
      <c r="G793" s="21">
        <f>IF($L793&lt;&gt;"",IF(INDEX(SCOp,$L793)="مرجوعی فروش","",IF(INDEX(SCAmount,$L793)&lt;=0,"",INDEX(SCAmount,$L793))),IF($M793&lt;&gt;"",IF(INDEX(LdgWitB,$M793)=0,"",INDEX(LdgWitB,$M793)),""))</f>
        <v/>
      </c>
      <c r="H793" s="21">
        <f>IF($L793&lt;&gt;"",IF(INDEX(SCOp,$L793)="مرجوعی فروش",IF(INDEX(SCAmount,$L793)=0,"",-INDEX(SCAmount,$L793)),""),IF($M793&lt;&gt;"",IF(INDEX(LdgDepB,$M793)=0,"",INDEX(LdgDepB,$M793)),""))</f>
        <v/>
      </c>
      <c r="I793" s="22">
        <f>IF($B793="","",IF($I792="",$C$10,$I792)+IF($G793="",0,$G793)-IF($H793="",0,$H793))</f>
        <v/>
      </c>
      <c r="L793">
        <f>IFERROR(MATCH($C$5&amp;"|"&amp;RIGHT("000000"&amp;777,6),LdgRankKeyA,0),"")</f>
        <v/>
      </c>
      <c r="M793">
        <f>IFERROR(MATCH($C$5&amp;"|"&amp;RIGHT("000000"&amp;777,6),LdgRankKeyB,0),"")</f>
        <v/>
      </c>
    </row>
    <row r="794">
      <c r="A794" s="23" t="n">
        <v>778</v>
      </c>
      <c r="B794" s="24">
        <f>IF(AND($L794="",$M794=""),"",IF($L794&lt;&gt;"",INDEX(SCNormDate,$L794),INDEX(LdgDateB,$M794)))</f>
        <v/>
      </c>
      <c r="C794" s="24">
        <f>IF($L794&lt;&gt;"",INDEX(SCOp,$L794),IF($M794&lt;&gt;"","پرداخت بانکی",""))</f>
        <v/>
      </c>
      <c r="D794" s="24">
        <f>IF($L794&lt;&gt;"",IF(INDEX(SCDoc,$L794)="","—",INDEX(SCDoc,$L794)),IF($M794&lt;&gt;"",INDEX(LdgBankB,$M794),""))</f>
        <v/>
      </c>
      <c r="E794" s="25">
        <f>IF($L794&lt;&gt;"",IF(INDEX(SCCitrus,$L794)&amp;INDEX(SCNotes,$L794)="","",IF(INDEX(SCCitrus,$L794)="","",INDEX(SCCitrus,$L794))&amp;IF(INDEX(SCNotes,$L794)="",""," — "&amp;INDEX(SCNotes,$L794))),IF($M794&lt;&gt;"",IF(INDEX(LdgNoteB,$M794)="","—",INDEX(LdgNoteB,$M794)),""))</f>
        <v/>
      </c>
      <c r="F794" s="26">
        <f>IF($L794&lt;&gt;"",IF(INDEX(SCNet,$L794)=0,"",INDEX(SCNet,$L794)),"")</f>
        <v/>
      </c>
      <c r="G794" s="27">
        <f>IF($L794&lt;&gt;"",IF(INDEX(SCOp,$L794)="مرجوعی فروش","",IF(INDEX(SCAmount,$L794)&lt;=0,"",INDEX(SCAmount,$L794))),IF($M794&lt;&gt;"",IF(INDEX(LdgWitB,$M794)=0,"",INDEX(LdgWitB,$M794)),""))</f>
        <v/>
      </c>
      <c r="H794" s="27">
        <f>IF($L794&lt;&gt;"",IF(INDEX(SCOp,$L794)="مرجوعی فروش",IF(INDEX(SCAmount,$L794)=0,"",-INDEX(SCAmount,$L794)),""),IF($M794&lt;&gt;"",IF(INDEX(LdgDepB,$M794)=0,"",INDEX(LdgDepB,$M794)),""))</f>
        <v/>
      </c>
      <c r="I794" s="28">
        <f>IF($B794="","",IF($I793="",$C$10,$I793)+IF($G794="",0,$G794)-IF($H794="",0,$H794))</f>
        <v/>
      </c>
      <c r="L794">
        <f>IFERROR(MATCH($C$5&amp;"|"&amp;RIGHT("000000"&amp;778,6),LdgRankKeyA,0),"")</f>
        <v/>
      </c>
      <c r="M794">
        <f>IFERROR(MATCH($C$5&amp;"|"&amp;RIGHT("000000"&amp;778,6),LdgRankKeyB,0),"")</f>
        <v/>
      </c>
    </row>
    <row r="795">
      <c r="A795" s="17" t="n">
        <v>779</v>
      </c>
      <c r="B795" s="18">
        <f>IF(AND($L795="",$M795=""),"",IF($L795&lt;&gt;"",INDEX(SCNormDate,$L795),INDEX(LdgDateB,$M795)))</f>
        <v/>
      </c>
      <c r="C795" s="18">
        <f>IF($L795&lt;&gt;"",INDEX(SCOp,$L795),IF($M795&lt;&gt;"","پرداخت بانکی",""))</f>
        <v/>
      </c>
      <c r="D795" s="18">
        <f>IF($L795&lt;&gt;"",IF(INDEX(SCDoc,$L795)="","—",INDEX(SCDoc,$L795)),IF($M795&lt;&gt;"",INDEX(LdgBankB,$M795),""))</f>
        <v/>
      </c>
      <c r="E795" s="19">
        <f>IF($L795&lt;&gt;"",IF(INDEX(SCCitrus,$L795)&amp;INDEX(SCNotes,$L795)="","",IF(INDEX(SCCitrus,$L795)="","",INDEX(SCCitrus,$L795))&amp;IF(INDEX(SCNotes,$L795)="",""," — "&amp;INDEX(SCNotes,$L795))),IF($M795&lt;&gt;"",IF(INDEX(LdgNoteB,$M795)="","—",INDEX(LdgNoteB,$M795)),""))</f>
        <v/>
      </c>
      <c r="F795" s="20">
        <f>IF($L795&lt;&gt;"",IF(INDEX(SCNet,$L795)=0,"",INDEX(SCNet,$L795)),"")</f>
        <v/>
      </c>
      <c r="G795" s="21">
        <f>IF($L795&lt;&gt;"",IF(INDEX(SCOp,$L795)="مرجوعی فروش","",IF(INDEX(SCAmount,$L795)&lt;=0,"",INDEX(SCAmount,$L795))),IF($M795&lt;&gt;"",IF(INDEX(LdgWitB,$M795)=0,"",INDEX(LdgWitB,$M795)),""))</f>
        <v/>
      </c>
      <c r="H795" s="21">
        <f>IF($L795&lt;&gt;"",IF(INDEX(SCOp,$L795)="مرجوعی فروش",IF(INDEX(SCAmount,$L795)=0,"",-INDEX(SCAmount,$L795)),""),IF($M795&lt;&gt;"",IF(INDEX(LdgDepB,$M795)=0,"",INDEX(LdgDepB,$M795)),""))</f>
        <v/>
      </c>
      <c r="I795" s="22">
        <f>IF($B795="","",IF($I794="",$C$10,$I794)+IF($G795="",0,$G795)-IF($H795="",0,$H795))</f>
        <v/>
      </c>
      <c r="L795">
        <f>IFERROR(MATCH($C$5&amp;"|"&amp;RIGHT("000000"&amp;779,6),LdgRankKeyA,0),"")</f>
        <v/>
      </c>
      <c r="M795">
        <f>IFERROR(MATCH($C$5&amp;"|"&amp;RIGHT("000000"&amp;779,6),LdgRankKeyB,0),"")</f>
        <v/>
      </c>
    </row>
    <row r="796">
      <c r="A796" s="23" t="n">
        <v>780</v>
      </c>
      <c r="B796" s="24">
        <f>IF(AND($L796="",$M796=""),"",IF($L796&lt;&gt;"",INDEX(SCNormDate,$L796),INDEX(LdgDateB,$M796)))</f>
        <v/>
      </c>
      <c r="C796" s="24">
        <f>IF($L796&lt;&gt;"",INDEX(SCOp,$L796),IF($M796&lt;&gt;"","پرداخت بانکی",""))</f>
        <v/>
      </c>
      <c r="D796" s="24">
        <f>IF($L796&lt;&gt;"",IF(INDEX(SCDoc,$L796)="","—",INDEX(SCDoc,$L796)),IF($M796&lt;&gt;"",INDEX(LdgBankB,$M796),""))</f>
        <v/>
      </c>
      <c r="E796" s="25">
        <f>IF($L796&lt;&gt;"",IF(INDEX(SCCitrus,$L796)&amp;INDEX(SCNotes,$L796)="","",IF(INDEX(SCCitrus,$L796)="","",INDEX(SCCitrus,$L796))&amp;IF(INDEX(SCNotes,$L796)="",""," — "&amp;INDEX(SCNotes,$L796))),IF($M796&lt;&gt;"",IF(INDEX(LdgNoteB,$M796)="","—",INDEX(LdgNoteB,$M796)),""))</f>
        <v/>
      </c>
      <c r="F796" s="26">
        <f>IF($L796&lt;&gt;"",IF(INDEX(SCNet,$L796)=0,"",INDEX(SCNet,$L796)),"")</f>
        <v/>
      </c>
      <c r="G796" s="27">
        <f>IF($L796&lt;&gt;"",IF(INDEX(SCOp,$L796)="مرجوعی فروش","",IF(INDEX(SCAmount,$L796)&lt;=0,"",INDEX(SCAmount,$L796))),IF($M796&lt;&gt;"",IF(INDEX(LdgWitB,$M796)=0,"",INDEX(LdgWitB,$M796)),""))</f>
        <v/>
      </c>
      <c r="H796" s="27">
        <f>IF($L796&lt;&gt;"",IF(INDEX(SCOp,$L796)="مرجوعی فروش",IF(INDEX(SCAmount,$L796)=0,"",-INDEX(SCAmount,$L796)),""),IF($M796&lt;&gt;"",IF(INDEX(LdgDepB,$M796)=0,"",INDEX(LdgDepB,$M796)),""))</f>
        <v/>
      </c>
      <c r="I796" s="28">
        <f>IF($B796="","",IF($I795="",$C$10,$I795)+IF($G796="",0,$G796)-IF($H796="",0,$H796))</f>
        <v/>
      </c>
      <c r="L796">
        <f>IFERROR(MATCH($C$5&amp;"|"&amp;RIGHT("000000"&amp;780,6),LdgRankKeyA,0),"")</f>
        <v/>
      </c>
      <c r="M796">
        <f>IFERROR(MATCH($C$5&amp;"|"&amp;RIGHT("000000"&amp;780,6),LdgRankKeyB,0),"")</f>
        <v/>
      </c>
    </row>
    <row r="797">
      <c r="A797" s="17" t="n">
        <v>781</v>
      </c>
      <c r="B797" s="18">
        <f>IF(AND($L797="",$M797=""),"",IF($L797&lt;&gt;"",INDEX(SCNormDate,$L797),INDEX(LdgDateB,$M797)))</f>
        <v/>
      </c>
      <c r="C797" s="18">
        <f>IF($L797&lt;&gt;"",INDEX(SCOp,$L797),IF($M797&lt;&gt;"","پرداخت بانکی",""))</f>
        <v/>
      </c>
      <c r="D797" s="18">
        <f>IF($L797&lt;&gt;"",IF(INDEX(SCDoc,$L797)="","—",INDEX(SCDoc,$L797)),IF($M797&lt;&gt;"",INDEX(LdgBankB,$M797),""))</f>
        <v/>
      </c>
      <c r="E797" s="19">
        <f>IF($L797&lt;&gt;"",IF(INDEX(SCCitrus,$L797)&amp;INDEX(SCNotes,$L797)="","",IF(INDEX(SCCitrus,$L797)="","",INDEX(SCCitrus,$L797))&amp;IF(INDEX(SCNotes,$L797)="",""," — "&amp;INDEX(SCNotes,$L797))),IF($M797&lt;&gt;"",IF(INDEX(LdgNoteB,$M797)="","—",INDEX(LdgNoteB,$M797)),""))</f>
        <v/>
      </c>
      <c r="F797" s="20">
        <f>IF($L797&lt;&gt;"",IF(INDEX(SCNet,$L797)=0,"",INDEX(SCNet,$L797)),"")</f>
        <v/>
      </c>
      <c r="G797" s="21">
        <f>IF($L797&lt;&gt;"",IF(INDEX(SCOp,$L797)="مرجوعی فروش","",IF(INDEX(SCAmount,$L797)&lt;=0,"",INDEX(SCAmount,$L797))),IF($M797&lt;&gt;"",IF(INDEX(LdgWitB,$M797)=0,"",INDEX(LdgWitB,$M797)),""))</f>
        <v/>
      </c>
      <c r="H797" s="21">
        <f>IF($L797&lt;&gt;"",IF(INDEX(SCOp,$L797)="مرجوعی فروش",IF(INDEX(SCAmount,$L797)=0,"",-INDEX(SCAmount,$L797)),""),IF($M797&lt;&gt;"",IF(INDEX(LdgDepB,$M797)=0,"",INDEX(LdgDepB,$M797)),""))</f>
        <v/>
      </c>
      <c r="I797" s="22">
        <f>IF($B797="","",IF($I796="",$C$10,$I796)+IF($G797="",0,$G797)-IF($H797="",0,$H797))</f>
        <v/>
      </c>
      <c r="L797">
        <f>IFERROR(MATCH($C$5&amp;"|"&amp;RIGHT("000000"&amp;781,6),LdgRankKeyA,0),"")</f>
        <v/>
      </c>
      <c r="M797">
        <f>IFERROR(MATCH($C$5&amp;"|"&amp;RIGHT("000000"&amp;781,6),LdgRankKeyB,0),"")</f>
        <v/>
      </c>
    </row>
    <row r="798">
      <c r="A798" s="23" t="n">
        <v>782</v>
      </c>
      <c r="B798" s="24">
        <f>IF(AND($L798="",$M798=""),"",IF($L798&lt;&gt;"",INDEX(SCNormDate,$L798),INDEX(LdgDateB,$M798)))</f>
        <v/>
      </c>
      <c r="C798" s="24">
        <f>IF($L798&lt;&gt;"",INDEX(SCOp,$L798),IF($M798&lt;&gt;"","پرداخت بانکی",""))</f>
        <v/>
      </c>
      <c r="D798" s="24">
        <f>IF($L798&lt;&gt;"",IF(INDEX(SCDoc,$L798)="","—",INDEX(SCDoc,$L798)),IF($M798&lt;&gt;"",INDEX(LdgBankB,$M798),""))</f>
        <v/>
      </c>
      <c r="E798" s="25">
        <f>IF($L798&lt;&gt;"",IF(INDEX(SCCitrus,$L798)&amp;INDEX(SCNotes,$L798)="","",IF(INDEX(SCCitrus,$L798)="","",INDEX(SCCitrus,$L798))&amp;IF(INDEX(SCNotes,$L798)="",""," — "&amp;INDEX(SCNotes,$L798))),IF($M798&lt;&gt;"",IF(INDEX(LdgNoteB,$M798)="","—",INDEX(LdgNoteB,$M798)),""))</f>
        <v/>
      </c>
      <c r="F798" s="26">
        <f>IF($L798&lt;&gt;"",IF(INDEX(SCNet,$L798)=0,"",INDEX(SCNet,$L798)),"")</f>
        <v/>
      </c>
      <c r="G798" s="27">
        <f>IF($L798&lt;&gt;"",IF(INDEX(SCOp,$L798)="مرجوعی فروش","",IF(INDEX(SCAmount,$L798)&lt;=0,"",INDEX(SCAmount,$L798))),IF($M798&lt;&gt;"",IF(INDEX(LdgWitB,$M798)=0,"",INDEX(LdgWitB,$M798)),""))</f>
        <v/>
      </c>
      <c r="H798" s="27">
        <f>IF($L798&lt;&gt;"",IF(INDEX(SCOp,$L798)="مرجوعی فروش",IF(INDEX(SCAmount,$L798)=0,"",-INDEX(SCAmount,$L798)),""),IF($M798&lt;&gt;"",IF(INDEX(LdgDepB,$M798)=0,"",INDEX(LdgDepB,$M798)),""))</f>
        <v/>
      </c>
      <c r="I798" s="28">
        <f>IF($B798="","",IF($I797="",$C$10,$I797)+IF($G798="",0,$G798)-IF($H798="",0,$H798))</f>
        <v/>
      </c>
      <c r="L798">
        <f>IFERROR(MATCH($C$5&amp;"|"&amp;RIGHT("000000"&amp;782,6),LdgRankKeyA,0),"")</f>
        <v/>
      </c>
      <c r="M798">
        <f>IFERROR(MATCH($C$5&amp;"|"&amp;RIGHT("000000"&amp;782,6),LdgRankKeyB,0),"")</f>
        <v/>
      </c>
    </row>
    <row r="799">
      <c r="A799" s="17" t="n">
        <v>783</v>
      </c>
      <c r="B799" s="18">
        <f>IF(AND($L799="",$M799=""),"",IF($L799&lt;&gt;"",INDEX(SCNormDate,$L799),INDEX(LdgDateB,$M799)))</f>
        <v/>
      </c>
      <c r="C799" s="18">
        <f>IF($L799&lt;&gt;"",INDEX(SCOp,$L799),IF($M799&lt;&gt;"","پرداخت بانکی",""))</f>
        <v/>
      </c>
      <c r="D799" s="18">
        <f>IF($L799&lt;&gt;"",IF(INDEX(SCDoc,$L799)="","—",INDEX(SCDoc,$L799)),IF($M799&lt;&gt;"",INDEX(LdgBankB,$M799),""))</f>
        <v/>
      </c>
      <c r="E799" s="19">
        <f>IF($L799&lt;&gt;"",IF(INDEX(SCCitrus,$L799)&amp;INDEX(SCNotes,$L799)="","",IF(INDEX(SCCitrus,$L799)="","",INDEX(SCCitrus,$L799))&amp;IF(INDEX(SCNotes,$L799)="",""," — "&amp;INDEX(SCNotes,$L799))),IF($M799&lt;&gt;"",IF(INDEX(LdgNoteB,$M799)="","—",INDEX(LdgNoteB,$M799)),""))</f>
        <v/>
      </c>
      <c r="F799" s="20">
        <f>IF($L799&lt;&gt;"",IF(INDEX(SCNet,$L799)=0,"",INDEX(SCNet,$L799)),"")</f>
        <v/>
      </c>
      <c r="G799" s="21">
        <f>IF($L799&lt;&gt;"",IF(INDEX(SCOp,$L799)="مرجوعی فروش","",IF(INDEX(SCAmount,$L799)&lt;=0,"",INDEX(SCAmount,$L799))),IF($M799&lt;&gt;"",IF(INDEX(LdgWitB,$M799)=0,"",INDEX(LdgWitB,$M799)),""))</f>
        <v/>
      </c>
      <c r="H799" s="21">
        <f>IF($L799&lt;&gt;"",IF(INDEX(SCOp,$L799)="مرجوعی فروش",IF(INDEX(SCAmount,$L799)=0,"",-INDEX(SCAmount,$L799)),""),IF($M799&lt;&gt;"",IF(INDEX(LdgDepB,$M799)=0,"",INDEX(LdgDepB,$M799)),""))</f>
        <v/>
      </c>
      <c r="I799" s="22">
        <f>IF($B799="","",IF($I798="",$C$10,$I798)+IF($G799="",0,$G799)-IF($H799="",0,$H799))</f>
        <v/>
      </c>
      <c r="L799">
        <f>IFERROR(MATCH($C$5&amp;"|"&amp;RIGHT("000000"&amp;783,6),LdgRankKeyA,0),"")</f>
        <v/>
      </c>
      <c r="M799">
        <f>IFERROR(MATCH($C$5&amp;"|"&amp;RIGHT("000000"&amp;783,6),LdgRankKeyB,0),"")</f>
        <v/>
      </c>
    </row>
    <row r="800">
      <c r="A800" s="23" t="n">
        <v>784</v>
      </c>
      <c r="B800" s="24">
        <f>IF(AND($L800="",$M800=""),"",IF($L800&lt;&gt;"",INDEX(SCNormDate,$L800),INDEX(LdgDateB,$M800)))</f>
        <v/>
      </c>
      <c r="C800" s="24">
        <f>IF($L800&lt;&gt;"",INDEX(SCOp,$L800),IF($M800&lt;&gt;"","پرداخت بانکی",""))</f>
        <v/>
      </c>
      <c r="D800" s="24">
        <f>IF($L800&lt;&gt;"",IF(INDEX(SCDoc,$L800)="","—",INDEX(SCDoc,$L800)),IF($M800&lt;&gt;"",INDEX(LdgBankB,$M800),""))</f>
        <v/>
      </c>
      <c r="E800" s="25">
        <f>IF($L800&lt;&gt;"",IF(INDEX(SCCitrus,$L800)&amp;INDEX(SCNotes,$L800)="","",IF(INDEX(SCCitrus,$L800)="","",INDEX(SCCitrus,$L800))&amp;IF(INDEX(SCNotes,$L800)="",""," — "&amp;INDEX(SCNotes,$L800))),IF($M800&lt;&gt;"",IF(INDEX(LdgNoteB,$M800)="","—",INDEX(LdgNoteB,$M800)),""))</f>
        <v/>
      </c>
      <c r="F800" s="26">
        <f>IF($L800&lt;&gt;"",IF(INDEX(SCNet,$L800)=0,"",INDEX(SCNet,$L800)),"")</f>
        <v/>
      </c>
      <c r="G800" s="27">
        <f>IF($L800&lt;&gt;"",IF(INDEX(SCOp,$L800)="مرجوعی فروش","",IF(INDEX(SCAmount,$L800)&lt;=0,"",INDEX(SCAmount,$L800))),IF($M800&lt;&gt;"",IF(INDEX(LdgWitB,$M800)=0,"",INDEX(LdgWitB,$M800)),""))</f>
        <v/>
      </c>
      <c r="H800" s="27">
        <f>IF($L800&lt;&gt;"",IF(INDEX(SCOp,$L800)="مرجوعی فروش",IF(INDEX(SCAmount,$L800)=0,"",-INDEX(SCAmount,$L800)),""),IF($M800&lt;&gt;"",IF(INDEX(LdgDepB,$M800)=0,"",INDEX(LdgDepB,$M800)),""))</f>
        <v/>
      </c>
      <c r="I800" s="28">
        <f>IF($B800="","",IF($I799="",$C$10,$I799)+IF($G800="",0,$G800)-IF($H800="",0,$H800))</f>
        <v/>
      </c>
      <c r="L800">
        <f>IFERROR(MATCH($C$5&amp;"|"&amp;RIGHT("000000"&amp;784,6),LdgRankKeyA,0),"")</f>
        <v/>
      </c>
      <c r="M800">
        <f>IFERROR(MATCH($C$5&amp;"|"&amp;RIGHT("000000"&amp;784,6),LdgRankKeyB,0),"")</f>
        <v/>
      </c>
    </row>
    <row r="801">
      <c r="A801" s="17" t="n">
        <v>785</v>
      </c>
      <c r="B801" s="18">
        <f>IF(AND($L801="",$M801=""),"",IF($L801&lt;&gt;"",INDEX(SCNormDate,$L801),INDEX(LdgDateB,$M801)))</f>
        <v/>
      </c>
      <c r="C801" s="18">
        <f>IF($L801&lt;&gt;"",INDEX(SCOp,$L801),IF($M801&lt;&gt;"","پرداخت بانکی",""))</f>
        <v/>
      </c>
      <c r="D801" s="18">
        <f>IF($L801&lt;&gt;"",IF(INDEX(SCDoc,$L801)="","—",INDEX(SCDoc,$L801)),IF($M801&lt;&gt;"",INDEX(LdgBankB,$M801),""))</f>
        <v/>
      </c>
      <c r="E801" s="19">
        <f>IF($L801&lt;&gt;"",IF(INDEX(SCCitrus,$L801)&amp;INDEX(SCNotes,$L801)="","",IF(INDEX(SCCitrus,$L801)="","",INDEX(SCCitrus,$L801))&amp;IF(INDEX(SCNotes,$L801)="",""," — "&amp;INDEX(SCNotes,$L801))),IF($M801&lt;&gt;"",IF(INDEX(LdgNoteB,$M801)="","—",INDEX(LdgNoteB,$M801)),""))</f>
        <v/>
      </c>
      <c r="F801" s="20">
        <f>IF($L801&lt;&gt;"",IF(INDEX(SCNet,$L801)=0,"",INDEX(SCNet,$L801)),"")</f>
        <v/>
      </c>
      <c r="G801" s="21">
        <f>IF($L801&lt;&gt;"",IF(INDEX(SCOp,$L801)="مرجوعی فروش","",IF(INDEX(SCAmount,$L801)&lt;=0,"",INDEX(SCAmount,$L801))),IF($M801&lt;&gt;"",IF(INDEX(LdgWitB,$M801)=0,"",INDEX(LdgWitB,$M801)),""))</f>
        <v/>
      </c>
      <c r="H801" s="21">
        <f>IF($L801&lt;&gt;"",IF(INDEX(SCOp,$L801)="مرجوعی فروش",IF(INDEX(SCAmount,$L801)=0,"",-INDEX(SCAmount,$L801)),""),IF($M801&lt;&gt;"",IF(INDEX(LdgDepB,$M801)=0,"",INDEX(LdgDepB,$M801)),""))</f>
        <v/>
      </c>
      <c r="I801" s="22">
        <f>IF($B801="","",IF($I800="",$C$10,$I800)+IF($G801="",0,$G801)-IF($H801="",0,$H801))</f>
        <v/>
      </c>
      <c r="L801">
        <f>IFERROR(MATCH($C$5&amp;"|"&amp;RIGHT("000000"&amp;785,6),LdgRankKeyA,0),"")</f>
        <v/>
      </c>
      <c r="M801">
        <f>IFERROR(MATCH($C$5&amp;"|"&amp;RIGHT("000000"&amp;785,6),LdgRankKeyB,0),"")</f>
        <v/>
      </c>
    </row>
    <row r="802">
      <c r="A802" s="23" t="n">
        <v>786</v>
      </c>
      <c r="B802" s="24">
        <f>IF(AND($L802="",$M802=""),"",IF($L802&lt;&gt;"",INDEX(SCNormDate,$L802),INDEX(LdgDateB,$M802)))</f>
        <v/>
      </c>
      <c r="C802" s="24">
        <f>IF($L802&lt;&gt;"",INDEX(SCOp,$L802),IF($M802&lt;&gt;"","پرداخت بانکی",""))</f>
        <v/>
      </c>
      <c r="D802" s="24">
        <f>IF($L802&lt;&gt;"",IF(INDEX(SCDoc,$L802)="","—",INDEX(SCDoc,$L802)),IF($M802&lt;&gt;"",INDEX(LdgBankB,$M802),""))</f>
        <v/>
      </c>
      <c r="E802" s="25">
        <f>IF($L802&lt;&gt;"",IF(INDEX(SCCitrus,$L802)&amp;INDEX(SCNotes,$L802)="","",IF(INDEX(SCCitrus,$L802)="","",INDEX(SCCitrus,$L802))&amp;IF(INDEX(SCNotes,$L802)="",""," — "&amp;INDEX(SCNotes,$L802))),IF($M802&lt;&gt;"",IF(INDEX(LdgNoteB,$M802)="","—",INDEX(LdgNoteB,$M802)),""))</f>
        <v/>
      </c>
      <c r="F802" s="26">
        <f>IF($L802&lt;&gt;"",IF(INDEX(SCNet,$L802)=0,"",INDEX(SCNet,$L802)),"")</f>
        <v/>
      </c>
      <c r="G802" s="27">
        <f>IF($L802&lt;&gt;"",IF(INDEX(SCOp,$L802)="مرجوعی فروش","",IF(INDEX(SCAmount,$L802)&lt;=0,"",INDEX(SCAmount,$L802))),IF($M802&lt;&gt;"",IF(INDEX(LdgWitB,$M802)=0,"",INDEX(LdgWitB,$M802)),""))</f>
        <v/>
      </c>
      <c r="H802" s="27">
        <f>IF($L802&lt;&gt;"",IF(INDEX(SCOp,$L802)="مرجوعی فروش",IF(INDEX(SCAmount,$L802)=0,"",-INDEX(SCAmount,$L802)),""),IF($M802&lt;&gt;"",IF(INDEX(LdgDepB,$M802)=0,"",INDEX(LdgDepB,$M802)),""))</f>
        <v/>
      </c>
      <c r="I802" s="28">
        <f>IF($B802="","",IF($I801="",$C$10,$I801)+IF($G802="",0,$G802)-IF($H802="",0,$H802))</f>
        <v/>
      </c>
      <c r="L802">
        <f>IFERROR(MATCH($C$5&amp;"|"&amp;RIGHT("000000"&amp;786,6),LdgRankKeyA,0),"")</f>
        <v/>
      </c>
      <c r="M802">
        <f>IFERROR(MATCH($C$5&amp;"|"&amp;RIGHT("000000"&amp;786,6),LdgRankKeyB,0),"")</f>
        <v/>
      </c>
    </row>
    <row r="803">
      <c r="A803" s="17" t="n">
        <v>787</v>
      </c>
      <c r="B803" s="18">
        <f>IF(AND($L803="",$M803=""),"",IF($L803&lt;&gt;"",INDEX(SCNormDate,$L803),INDEX(LdgDateB,$M803)))</f>
        <v/>
      </c>
      <c r="C803" s="18">
        <f>IF($L803&lt;&gt;"",INDEX(SCOp,$L803),IF($M803&lt;&gt;"","پرداخت بانکی",""))</f>
        <v/>
      </c>
      <c r="D803" s="18">
        <f>IF($L803&lt;&gt;"",IF(INDEX(SCDoc,$L803)="","—",INDEX(SCDoc,$L803)),IF($M803&lt;&gt;"",INDEX(LdgBankB,$M803),""))</f>
        <v/>
      </c>
      <c r="E803" s="19">
        <f>IF($L803&lt;&gt;"",IF(INDEX(SCCitrus,$L803)&amp;INDEX(SCNotes,$L803)="","",IF(INDEX(SCCitrus,$L803)="","",INDEX(SCCitrus,$L803))&amp;IF(INDEX(SCNotes,$L803)="",""," — "&amp;INDEX(SCNotes,$L803))),IF($M803&lt;&gt;"",IF(INDEX(LdgNoteB,$M803)="","—",INDEX(LdgNoteB,$M803)),""))</f>
        <v/>
      </c>
      <c r="F803" s="20">
        <f>IF($L803&lt;&gt;"",IF(INDEX(SCNet,$L803)=0,"",INDEX(SCNet,$L803)),"")</f>
        <v/>
      </c>
      <c r="G803" s="21">
        <f>IF($L803&lt;&gt;"",IF(INDEX(SCOp,$L803)="مرجوعی فروش","",IF(INDEX(SCAmount,$L803)&lt;=0,"",INDEX(SCAmount,$L803))),IF($M803&lt;&gt;"",IF(INDEX(LdgWitB,$M803)=0,"",INDEX(LdgWitB,$M803)),""))</f>
        <v/>
      </c>
      <c r="H803" s="21">
        <f>IF($L803&lt;&gt;"",IF(INDEX(SCOp,$L803)="مرجوعی فروش",IF(INDEX(SCAmount,$L803)=0,"",-INDEX(SCAmount,$L803)),""),IF($M803&lt;&gt;"",IF(INDEX(LdgDepB,$M803)=0,"",INDEX(LdgDepB,$M803)),""))</f>
        <v/>
      </c>
      <c r="I803" s="22">
        <f>IF($B803="","",IF($I802="",$C$10,$I802)+IF($G803="",0,$G803)-IF($H803="",0,$H803))</f>
        <v/>
      </c>
      <c r="L803">
        <f>IFERROR(MATCH($C$5&amp;"|"&amp;RIGHT("000000"&amp;787,6),LdgRankKeyA,0),"")</f>
        <v/>
      </c>
      <c r="M803">
        <f>IFERROR(MATCH($C$5&amp;"|"&amp;RIGHT("000000"&amp;787,6),LdgRankKeyB,0),"")</f>
        <v/>
      </c>
    </row>
    <row r="804">
      <c r="A804" s="23" t="n">
        <v>788</v>
      </c>
      <c r="B804" s="24">
        <f>IF(AND($L804="",$M804=""),"",IF($L804&lt;&gt;"",INDEX(SCNormDate,$L804),INDEX(LdgDateB,$M804)))</f>
        <v/>
      </c>
      <c r="C804" s="24">
        <f>IF($L804&lt;&gt;"",INDEX(SCOp,$L804),IF($M804&lt;&gt;"","پرداخت بانکی",""))</f>
        <v/>
      </c>
      <c r="D804" s="24">
        <f>IF($L804&lt;&gt;"",IF(INDEX(SCDoc,$L804)="","—",INDEX(SCDoc,$L804)),IF($M804&lt;&gt;"",INDEX(LdgBankB,$M804),""))</f>
        <v/>
      </c>
      <c r="E804" s="25">
        <f>IF($L804&lt;&gt;"",IF(INDEX(SCCitrus,$L804)&amp;INDEX(SCNotes,$L804)="","",IF(INDEX(SCCitrus,$L804)="","",INDEX(SCCitrus,$L804))&amp;IF(INDEX(SCNotes,$L804)="",""," — "&amp;INDEX(SCNotes,$L804))),IF($M804&lt;&gt;"",IF(INDEX(LdgNoteB,$M804)="","—",INDEX(LdgNoteB,$M804)),""))</f>
        <v/>
      </c>
      <c r="F804" s="26">
        <f>IF($L804&lt;&gt;"",IF(INDEX(SCNet,$L804)=0,"",INDEX(SCNet,$L804)),"")</f>
        <v/>
      </c>
      <c r="G804" s="27">
        <f>IF($L804&lt;&gt;"",IF(INDEX(SCOp,$L804)="مرجوعی فروش","",IF(INDEX(SCAmount,$L804)&lt;=0,"",INDEX(SCAmount,$L804))),IF($M804&lt;&gt;"",IF(INDEX(LdgWitB,$M804)=0,"",INDEX(LdgWitB,$M804)),""))</f>
        <v/>
      </c>
      <c r="H804" s="27">
        <f>IF($L804&lt;&gt;"",IF(INDEX(SCOp,$L804)="مرجوعی فروش",IF(INDEX(SCAmount,$L804)=0,"",-INDEX(SCAmount,$L804)),""),IF($M804&lt;&gt;"",IF(INDEX(LdgDepB,$M804)=0,"",INDEX(LdgDepB,$M804)),""))</f>
        <v/>
      </c>
      <c r="I804" s="28">
        <f>IF($B804="","",IF($I803="",$C$10,$I803)+IF($G804="",0,$G804)-IF($H804="",0,$H804))</f>
        <v/>
      </c>
      <c r="L804">
        <f>IFERROR(MATCH($C$5&amp;"|"&amp;RIGHT("000000"&amp;788,6),LdgRankKeyA,0),"")</f>
        <v/>
      </c>
      <c r="M804">
        <f>IFERROR(MATCH($C$5&amp;"|"&amp;RIGHT("000000"&amp;788,6),LdgRankKeyB,0),"")</f>
        <v/>
      </c>
    </row>
    <row r="805">
      <c r="A805" s="17" t="n">
        <v>789</v>
      </c>
      <c r="B805" s="18">
        <f>IF(AND($L805="",$M805=""),"",IF($L805&lt;&gt;"",INDEX(SCNormDate,$L805),INDEX(LdgDateB,$M805)))</f>
        <v/>
      </c>
      <c r="C805" s="18">
        <f>IF($L805&lt;&gt;"",INDEX(SCOp,$L805),IF($M805&lt;&gt;"","پرداخت بانکی",""))</f>
        <v/>
      </c>
      <c r="D805" s="18">
        <f>IF($L805&lt;&gt;"",IF(INDEX(SCDoc,$L805)="","—",INDEX(SCDoc,$L805)),IF($M805&lt;&gt;"",INDEX(LdgBankB,$M805),""))</f>
        <v/>
      </c>
      <c r="E805" s="19">
        <f>IF($L805&lt;&gt;"",IF(INDEX(SCCitrus,$L805)&amp;INDEX(SCNotes,$L805)="","",IF(INDEX(SCCitrus,$L805)="","",INDEX(SCCitrus,$L805))&amp;IF(INDEX(SCNotes,$L805)="",""," — "&amp;INDEX(SCNotes,$L805))),IF($M805&lt;&gt;"",IF(INDEX(LdgNoteB,$M805)="","—",INDEX(LdgNoteB,$M805)),""))</f>
        <v/>
      </c>
      <c r="F805" s="20">
        <f>IF($L805&lt;&gt;"",IF(INDEX(SCNet,$L805)=0,"",INDEX(SCNet,$L805)),"")</f>
        <v/>
      </c>
      <c r="G805" s="21">
        <f>IF($L805&lt;&gt;"",IF(INDEX(SCOp,$L805)="مرجوعی فروش","",IF(INDEX(SCAmount,$L805)&lt;=0,"",INDEX(SCAmount,$L805))),IF($M805&lt;&gt;"",IF(INDEX(LdgWitB,$M805)=0,"",INDEX(LdgWitB,$M805)),""))</f>
        <v/>
      </c>
      <c r="H805" s="21">
        <f>IF($L805&lt;&gt;"",IF(INDEX(SCOp,$L805)="مرجوعی فروش",IF(INDEX(SCAmount,$L805)=0,"",-INDEX(SCAmount,$L805)),""),IF($M805&lt;&gt;"",IF(INDEX(LdgDepB,$M805)=0,"",INDEX(LdgDepB,$M805)),""))</f>
        <v/>
      </c>
      <c r="I805" s="22">
        <f>IF($B805="","",IF($I804="",$C$10,$I804)+IF($G805="",0,$G805)-IF($H805="",0,$H805))</f>
        <v/>
      </c>
      <c r="L805">
        <f>IFERROR(MATCH($C$5&amp;"|"&amp;RIGHT("000000"&amp;789,6),LdgRankKeyA,0),"")</f>
        <v/>
      </c>
      <c r="M805">
        <f>IFERROR(MATCH($C$5&amp;"|"&amp;RIGHT("000000"&amp;789,6),LdgRankKeyB,0),"")</f>
        <v/>
      </c>
    </row>
    <row r="806">
      <c r="A806" s="23" t="n">
        <v>790</v>
      </c>
      <c r="B806" s="24">
        <f>IF(AND($L806="",$M806=""),"",IF($L806&lt;&gt;"",INDEX(SCNormDate,$L806),INDEX(LdgDateB,$M806)))</f>
        <v/>
      </c>
      <c r="C806" s="24">
        <f>IF($L806&lt;&gt;"",INDEX(SCOp,$L806),IF($M806&lt;&gt;"","پرداخت بانکی",""))</f>
        <v/>
      </c>
      <c r="D806" s="24">
        <f>IF($L806&lt;&gt;"",IF(INDEX(SCDoc,$L806)="","—",INDEX(SCDoc,$L806)),IF($M806&lt;&gt;"",INDEX(LdgBankB,$M806),""))</f>
        <v/>
      </c>
      <c r="E806" s="25">
        <f>IF($L806&lt;&gt;"",IF(INDEX(SCCitrus,$L806)&amp;INDEX(SCNotes,$L806)="","",IF(INDEX(SCCitrus,$L806)="","",INDEX(SCCitrus,$L806))&amp;IF(INDEX(SCNotes,$L806)="",""," — "&amp;INDEX(SCNotes,$L806))),IF($M806&lt;&gt;"",IF(INDEX(LdgNoteB,$M806)="","—",INDEX(LdgNoteB,$M806)),""))</f>
        <v/>
      </c>
      <c r="F806" s="26">
        <f>IF($L806&lt;&gt;"",IF(INDEX(SCNet,$L806)=0,"",INDEX(SCNet,$L806)),"")</f>
        <v/>
      </c>
      <c r="G806" s="27">
        <f>IF($L806&lt;&gt;"",IF(INDEX(SCOp,$L806)="مرجوعی فروش","",IF(INDEX(SCAmount,$L806)&lt;=0,"",INDEX(SCAmount,$L806))),IF($M806&lt;&gt;"",IF(INDEX(LdgWitB,$M806)=0,"",INDEX(LdgWitB,$M806)),""))</f>
        <v/>
      </c>
      <c r="H806" s="27">
        <f>IF($L806&lt;&gt;"",IF(INDEX(SCOp,$L806)="مرجوعی فروش",IF(INDEX(SCAmount,$L806)=0,"",-INDEX(SCAmount,$L806)),""),IF($M806&lt;&gt;"",IF(INDEX(LdgDepB,$M806)=0,"",INDEX(LdgDepB,$M806)),""))</f>
        <v/>
      </c>
      <c r="I806" s="28">
        <f>IF($B806="","",IF($I805="",$C$10,$I805)+IF($G806="",0,$G806)-IF($H806="",0,$H806))</f>
        <v/>
      </c>
      <c r="L806">
        <f>IFERROR(MATCH($C$5&amp;"|"&amp;RIGHT("000000"&amp;790,6),LdgRankKeyA,0),"")</f>
        <v/>
      </c>
      <c r="M806">
        <f>IFERROR(MATCH($C$5&amp;"|"&amp;RIGHT("000000"&amp;790,6),LdgRankKeyB,0),"")</f>
        <v/>
      </c>
    </row>
    <row r="807">
      <c r="A807" s="17" t="n">
        <v>791</v>
      </c>
      <c r="B807" s="18">
        <f>IF(AND($L807="",$M807=""),"",IF($L807&lt;&gt;"",INDEX(SCNormDate,$L807),INDEX(LdgDateB,$M807)))</f>
        <v/>
      </c>
      <c r="C807" s="18">
        <f>IF($L807&lt;&gt;"",INDEX(SCOp,$L807),IF($M807&lt;&gt;"","پرداخت بانکی",""))</f>
        <v/>
      </c>
      <c r="D807" s="18">
        <f>IF($L807&lt;&gt;"",IF(INDEX(SCDoc,$L807)="","—",INDEX(SCDoc,$L807)),IF($M807&lt;&gt;"",INDEX(LdgBankB,$M807),""))</f>
        <v/>
      </c>
      <c r="E807" s="19">
        <f>IF($L807&lt;&gt;"",IF(INDEX(SCCitrus,$L807)&amp;INDEX(SCNotes,$L807)="","",IF(INDEX(SCCitrus,$L807)="","",INDEX(SCCitrus,$L807))&amp;IF(INDEX(SCNotes,$L807)="",""," — "&amp;INDEX(SCNotes,$L807))),IF($M807&lt;&gt;"",IF(INDEX(LdgNoteB,$M807)="","—",INDEX(LdgNoteB,$M807)),""))</f>
        <v/>
      </c>
      <c r="F807" s="20">
        <f>IF($L807&lt;&gt;"",IF(INDEX(SCNet,$L807)=0,"",INDEX(SCNet,$L807)),"")</f>
        <v/>
      </c>
      <c r="G807" s="21">
        <f>IF($L807&lt;&gt;"",IF(INDEX(SCOp,$L807)="مرجوعی فروش","",IF(INDEX(SCAmount,$L807)&lt;=0,"",INDEX(SCAmount,$L807))),IF($M807&lt;&gt;"",IF(INDEX(LdgWitB,$M807)=0,"",INDEX(LdgWitB,$M807)),""))</f>
        <v/>
      </c>
      <c r="H807" s="21">
        <f>IF($L807&lt;&gt;"",IF(INDEX(SCOp,$L807)="مرجوعی فروش",IF(INDEX(SCAmount,$L807)=0,"",-INDEX(SCAmount,$L807)),""),IF($M807&lt;&gt;"",IF(INDEX(LdgDepB,$M807)=0,"",INDEX(LdgDepB,$M807)),""))</f>
        <v/>
      </c>
      <c r="I807" s="22">
        <f>IF($B807="","",IF($I806="",$C$10,$I806)+IF($G807="",0,$G807)-IF($H807="",0,$H807))</f>
        <v/>
      </c>
      <c r="L807">
        <f>IFERROR(MATCH($C$5&amp;"|"&amp;RIGHT("000000"&amp;791,6),LdgRankKeyA,0),"")</f>
        <v/>
      </c>
      <c r="M807">
        <f>IFERROR(MATCH($C$5&amp;"|"&amp;RIGHT("000000"&amp;791,6),LdgRankKeyB,0),"")</f>
        <v/>
      </c>
    </row>
    <row r="808">
      <c r="A808" s="23" t="n">
        <v>792</v>
      </c>
      <c r="B808" s="24">
        <f>IF(AND($L808="",$M808=""),"",IF($L808&lt;&gt;"",INDEX(SCNormDate,$L808),INDEX(LdgDateB,$M808)))</f>
        <v/>
      </c>
      <c r="C808" s="24">
        <f>IF($L808&lt;&gt;"",INDEX(SCOp,$L808),IF($M808&lt;&gt;"","پرداخت بانکی",""))</f>
        <v/>
      </c>
      <c r="D808" s="24">
        <f>IF($L808&lt;&gt;"",IF(INDEX(SCDoc,$L808)="","—",INDEX(SCDoc,$L808)),IF($M808&lt;&gt;"",INDEX(LdgBankB,$M808),""))</f>
        <v/>
      </c>
      <c r="E808" s="25">
        <f>IF($L808&lt;&gt;"",IF(INDEX(SCCitrus,$L808)&amp;INDEX(SCNotes,$L808)="","",IF(INDEX(SCCitrus,$L808)="","",INDEX(SCCitrus,$L808))&amp;IF(INDEX(SCNotes,$L808)="",""," — "&amp;INDEX(SCNotes,$L808))),IF($M808&lt;&gt;"",IF(INDEX(LdgNoteB,$M808)="","—",INDEX(LdgNoteB,$M808)),""))</f>
        <v/>
      </c>
      <c r="F808" s="26">
        <f>IF($L808&lt;&gt;"",IF(INDEX(SCNet,$L808)=0,"",INDEX(SCNet,$L808)),"")</f>
        <v/>
      </c>
      <c r="G808" s="27">
        <f>IF($L808&lt;&gt;"",IF(INDEX(SCOp,$L808)="مرجوعی فروش","",IF(INDEX(SCAmount,$L808)&lt;=0,"",INDEX(SCAmount,$L808))),IF($M808&lt;&gt;"",IF(INDEX(LdgWitB,$M808)=0,"",INDEX(LdgWitB,$M808)),""))</f>
        <v/>
      </c>
      <c r="H808" s="27">
        <f>IF($L808&lt;&gt;"",IF(INDEX(SCOp,$L808)="مرجوعی فروش",IF(INDEX(SCAmount,$L808)=0,"",-INDEX(SCAmount,$L808)),""),IF($M808&lt;&gt;"",IF(INDEX(LdgDepB,$M808)=0,"",INDEX(LdgDepB,$M808)),""))</f>
        <v/>
      </c>
      <c r="I808" s="28">
        <f>IF($B808="","",IF($I807="",$C$10,$I807)+IF($G808="",0,$G808)-IF($H808="",0,$H808))</f>
        <v/>
      </c>
      <c r="L808">
        <f>IFERROR(MATCH($C$5&amp;"|"&amp;RIGHT("000000"&amp;792,6),LdgRankKeyA,0),"")</f>
        <v/>
      </c>
      <c r="M808">
        <f>IFERROR(MATCH($C$5&amp;"|"&amp;RIGHT("000000"&amp;792,6),LdgRankKeyB,0),"")</f>
        <v/>
      </c>
    </row>
    <row r="809">
      <c r="A809" s="17" t="n">
        <v>793</v>
      </c>
      <c r="B809" s="18">
        <f>IF(AND($L809="",$M809=""),"",IF($L809&lt;&gt;"",INDEX(SCNormDate,$L809),INDEX(LdgDateB,$M809)))</f>
        <v/>
      </c>
      <c r="C809" s="18">
        <f>IF($L809&lt;&gt;"",INDEX(SCOp,$L809),IF($M809&lt;&gt;"","پرداخت بانکی",""))</f>
        <v/>
      </c>
      <c r="D809" s="18">
        <f>IF($L809&lt;&gt;"",IF(INDEX(SCDoc,$L809)="","—",INDEX(SCDoc,$L809)),IF($M809&lt;&gt;"",INDEX(LdgBankB,$M809),""))</f>
        <v/>
      </c>
      <c r="E809" s="19">
        <f>IF($L809&lt;&gt;"",IF(INDEX(SCCitrus,$L809)&amp;INDEX(SCNotes,$L809)="","",IF(INDEX(SCCitrus,$L809)="","",INDEX(SCCitrus,$L809))&amp;IF(INDEX(SCNotes,$L809)="",""," — "&amp;INDEX(SCNotes,$L809))),IF($M809&lt;&gt;"",IF(INDEX(LdgNoteB,$M809)="","—",INDEX(LdgNoteB,$M809)),""))</f>
        <v/>
      </c>
      <c r="F809" s="20">
        <f>IF($L809&lt;&gt;"",IF(INDEX(SCNet,$L809)=0,"",INDEX(SCNet,$L809)),"")</f>
        <v/>
      </c>
      <c r="G809" s="21">
        <f>IF($L809&lt;&gt;"",IF(INDEX(SCOp,$L809)="مرجوعی فروش","",IF(INDEX(SCAmount,$L809)&lt;=0,"",INDEX(SCAmount,$L809))),IF($M809&lt;&gt;"",IF(INDEX(LdgWitB,$M809)=0,"",INDEX(LdgWitB,$M809)),""))</f>
        <v/>
      </c>
      <c r="H809" s="21">
        <f>IF($L809&lt;&gt;"",IF(INDEX(SCOp,$L809)="مرجوعی فروش",IF(INDEX(SCAmount,$L809)=0,"",-INDEX(SCAmount,$L809)),""),IF($M809&lt;&gt;"",IF(INDEX(LdgDepB,$M809)=0,"",INDEX(LdgDepB,$M809)),""))</f>
        <v/>
      </c>
      <c r="I809" s="22">
        <f>IF($B809="","",IF($I808="",$C$10,$I808)+IF($G809="",0,$G809)-IF($H809="",0,$H809))</f>
        <v/>
      </c>
      <c r="L809">
        <f>IFERROR(MATCH($C$5&amp;"|"&amp;RIGHT("000000"&amp;793,6),LdgRankKeyA,0),"")</f>
        <v/>
      </c>
      <c r="M809">
        <f>IFERROR(MATCH($C$5&amp;"|"&amp;RIGHT("000000"&amp;793,6),LdgRankKeyB,0),"")</f>
        <v/>
      </c>
    </row>
    <row r="810">
      <c r="A810" s="23" t="n">
        <v>794</v>
      </c>
      <c r="B810" s="24">
        <f>IF(AND($L810="",$M810=""),"",IF($L810&lt;&gt;"",INDEX(SCNormDate,$L810),INDEX(LdgDateB,$M810)))</f>
        <v/>
      </c>
      <c r="C810" s="24">
        <f>IF($L810&lt;&gt;"",INDEX(SCOp,$L810),IF($M810&lt;&gt;"","پرداخت بانکی",""))</f>
        <v/>
      </c>
      <c r="D810" s="24">
        <f>IF($L810&lt;&gt;"",IF(INDEX(SCDoc,$L810)="","—",INDEX(SCDoc,$L810)),IF($M810&lt;&gt;"",INDEX(LdgBankB,$M810),""))</f>
        <v/>
      </c>
      <c r="E810" s="25">
        <f>IF($L810&lt;&gt;"",IF(INDEX(SCCitrus,$L810)&amp;INDEX(SCNotes,$L810)="","",IF(INDEX(SCCitrus,$L810)="","",INDEX(SCCitrus,$L810))&amp;IF(INDEX(SCNotes,$L810)="",""," — "&amp;INDEX(SCNotes,$L810))),IF($M810&lt;&gt;"",IF(INDEX(LdgNoteB,$M810)="","—",INDEX(LdgNoteB,$M810)),""))</f>
        <v/>
      </c>
      <c r="F810" s="26">
        <f>IF($L810&lt;&gt;"",IF(INDEX(SCNet,$L810)=0,"",INDEX(SCNet,$L810)),"")</f>
        <v/>
      </c>
      <c r="G810" s="27">
        <f>IF($L810&lt;&gt;"",IF(INDEX(SCOp,$L810)="مرجوعی فروش","",IF(INDEX(SCAmount,$L810)&lt;=0,"",INDEX(SCAmount,$L810))),IF($M810&lt;&gt;"",IF(INDEX(LdgWitB,$M810)=0,"",INDEX(LdgWitB,$M810)),""))</f>
        <v/>
      </c>
      <c r="H810" s="27">
        <f>IF($L810&lt;&gt;"",IF(INDEX(SCOp,$L810)="مرجوعی فروش",IF(INDEX(SCAmount,$L810)=0,"",-INDEX(SCAmount,$L810)),""),IF($M810&lt;&gt;"",IF(INDEX(LdgDepB,$M810)=0,"",INDEX(LdgDepB,$M810)),""))</f>
        <v/>
      </c>
      <c r="I810" s="28">
        <f>IF($B810="","",IF($I809="",$C$10,$I809)+IF($G810="",0,$G810)-IF($H810="",0,$H810))</f>
        <v/>
      </c>
      <c r="L810">
        <f>IFERROR(MATCH($C$5&amp;"|"&amp;RIGHT("000000"&amp;794,6),LdgRankKeyA,0),"")</f>
        <v/>
      </c>
      <c r="M810">
        <f>IFERROR(MATCH($C$5&amp;"|"&amp;RIGHT("000000"&amp;794,6),LdgRankKeyB,0),"")</f>
        <v/>
      </c>
    </row>
    <row r="811">
      <c r="A811" s="17" t="n">
        <v>795</v>
      </c>
      <c r="B811" s="18">
        <f>IF(AND($L811="",$M811=""),"",IF($L811&lt;&gt;"",INDEX(SCNormDate,$L811),INDEX(LdgDateB,$M811)))</f>
        <v/>
      </c>
      <c r="C811" s="18">
        <f>IF($L811&lt;&gt;"",INDEX(SCOp,$L811),IF($M811&lt;&gt;"","پرداخت بانکی",""))</f>
        <v/>
      </c>
      <c r="D811" s="18">
        <f>IF($L811&lt;&gt;"",IF(INDEX(SCDoc,$L811)="","—",INDEX(SCDoc,$L811)),IF($M811&lt;&gt;"",INDEX(LdgBankB,$M811),""))</f>
        <v/>
      </c>
      <c r="E811" s="19">
        <f>IF($L811&lt;&gt;"",IF(INDEX(SCCitrus,$L811)&amp;INDEX(SCNotes,$L811)="","",IF(INDEX(SCCitrus,$L811)="","",INDEX(SCCitrus,$L811))&amp;IF(INDEX(SCNotes,$L811)="",""," — "&amp;INDEX(SCNotes,$L811))),IF($M811&lt;&gt;"",IF(INDEX(LdgNoteB,$M811)="","—",INDEX(LdgNoteB,$M811)),""))</f>
        <v/>
      </c>
      <c r="F811" s="20">
        <f>IF($L811&lt;&gt;"",IF(INDEX(SCNet,$L811)=0,"",INDEX(SCNet,$L811)),"")</f>
        <v/>
      </c>
      <c r="G811" s="21">
        <f>IF($L811&lt;&gt;"",IF(INDEX(SCOp,$L811)="مرجوعی فروش","",IF(INDEX(SCAmount,$L811)&lt;=0,"",INDEX(SCAmount,$L811))),IF($M811&lt;&gt;"",IF(INDEX(LdgWitB,$M811)=0,"",INDEX(LdgWitB,$M811)),""))</f>
        <v/>
      </c>
      <c r="H811" s="21">
        <f>IF($L811&lt;&gt;"",IF(INDEX(SCOp,$L811)="مرجوعی فروش",IF(INDEX(SCAmount,$L811)=0,"",-INDEX(SCAmount,$L811)),""),IF($M811&lt;&gt;"",IF(INDEX(LdgDepB,$M811)=0,"",INDEX(LdgDepB,$M811)),""))</f>
        <v/>
      </c>
      <c r="I811" s="22">
        <f>IF($B811="","",IF($I810="",$C$10,$I810)+IF($G811="",0,$G811)-IF($H811="",0,$H811))</f>
        <v/>
      </c>
      <c r="L811">
        <f>IFERROR(MATCH($C$5&amp;"|"&amp;RIGHT("000000"&amp;795,6),LdgRankKeyA,0),"")</f>
        <v/>
      </c>
      <c r="M811">
        <f>IFERROR(MATCH($C$5&amp;"|"&amp;RIGHT("000000"&amp;795,6),LdgRankKeyB,0),"")</f>
        <v/>
      </c>
    </row>
    <row r="812">
      <c r="A812" s="23" t="n">
        <v>796</v>
      </c>
      <c r="B812" s="24">
        <f>IF(AND($L812="",$M812=""),"",IF($L812&lt;&gt;"",INDEX(SCNormDate,$L812),INDEX(LdgDateB,$M812)))</f>
        <v/>
      </c>
      <c r="C812" s="24">
        <f>IF($L812&lt;&gt;"",INDEX(SCOp,$L812),IF($M812&lt;&gt;"","پرداخت بانکی",""))</f>
        <v/>
      </c>
      <c r="D812" s="24">
        <f>IF($L812&lt;&gt;"",IF(INDEX(SCDoc,$L812)="","—",INDEX(SCDoc,$L812)),IF($M812&lt;&gt;"",INDEX(LdgBankB,$M812),""))</f>
        <v/>
      </c>
      <c r="E812" s="25">
        <f>IF($L812&lt;&gt;"",IF(INDEX(SCCitrus,$L812)&amp;INDEX(SCNotes,$L812)="","",IF(INDEX(SCCitrus,$L812)="","",INDEX(SCCitrus,$L812))&amp;IF(INDEX(SCNotes,$L812)="",""," — "&amp;INDEX(SCNotes,$L812))),IF($M812&lt;&gt;"",IF(INDEX(LdgNoteB,$M812)="","—",INDEX(LdgNoteB,$M812)),""))</f>
        <v/>
      </c>
      <c r="F812" s="26">
        <f>IF($L812&lt;&gt;"",IF(INDEX(SCNet,$L812)=0,"",INDEX(SCNet,$L812)),"")</f>
        <v/>
      </c>
      <c r="G812" s="27">
        <f>IF($L812&lt;&gt;"",IF(INDEX(SCOp,$L812)="مرجوعی فروش","",IF(INDEX(SCAmount,$L812)&lt;=0,"",INDEX(SCAmount,$L812))),IF($M812&lt;&gt;"",IF(INDEX(LdgWitB,$M812)=0,"",INDEX(LdgWitB,$M812)),""))</f>
        <v/>
      </c>
      <c r="H812" s="27">
        <f>IF($L812&lt;&gt;"",IF(INDEX(SCOp,$L812)="مرجوعی فروش",IF(INDEX(SCAmount,$L812)=0,"",-INDEX(SCAmount,$L812)),""),IF($M812&lt;&gt;"",IF(INDEX(LdgDepB,$M812)=0,"",INDEX(LdgDepB,$M812)),""))</f>
        <v/>
      </c>
      <c r="I812" s="28">
        <f>IF($B812="","",IF($I811="",$C$10,$I811)+IF($G812="",0,$G812)-IF($H812="",0,$H812))</f>
        <v/>
      </c>
      <c r="L812">
        <f>IFERROR(MATCH($C$5&amp;"|"&amp;RIGHT("000000"&amp;796,6),LdgRankKeyA,0),"")</f>
        <v/>
      </c>
      <c r="M812">
        <f>IFERROR(MATCH($C$5&amp;"|"&amp;RIGHT("000000"&amp;796,6),LdgRankKeyB,0),"")</f>
        <v/>
      </c>
    </row>
    <row r="813">
      <c r="A813" s="17" t="n">
        <v>797</v>
      </c>
      <c r="B813" s="18">
        <f>IF(AND($L813="",$M813=""),"",IF($L813&lt;&gt;"",INDEX(SCNormDate,$L813),INDEX(LdgDateB,$M813)))</f>
        <v/>
      </c>
      <c r="C813" s="18">
        <f>IF($L813&lt;&gt;"",INDEX(SCOp,$L813),IF($M813&lt;&gt;"","پرداخت بانکی",""))</f>
        <v/>
      </c>
      <c r="D813" s="18">
        <f>IF($L813&lt;&gt;"",IF(INDEX(SCDoc,$L813)="","—",INDEX(SCDoc,$L813)),IF($M813&lt;&gt;"",INDEX(LdgBankB,$M813),""))</f>
        <v/>
      </c>
      <c r="E813" s="19">
        <f>IF($L813&lt;&gt;"",IF(INDEX(SCCitrus,$L813)&amp;INDEX(SCNotes,$L813)="","",IF(INDEX(SCCitrus,$L813)="","",INDEX(SCCitrus,$L813))&amp;IF(INDEX(SCNotes,$L813)="",""," — "&amp;INDEX(SCNotes,$L813))),IF($M813&lt;&gt;"",IF(INDEX(LdgNoteB,$M813)="","—",INDEX(LdgNoteB,$M813)),""))</f>
        <v/>
      </c>
      <c r="F813" s="20">
        <f>IF($L813&lt;&gt;"",IF(INDEX(SCNet,$L813)=0,"",INDEX(SCNet,$L813)),"")</f>
        <v/>
      </c>
      <c r="G813" s="21">
        <f>IF($L813&lt;&gt;"",IF(INDEX(SCOp,$L813)="مرجوعی فروش","",IF(INDEX(SCAmount,$L813)&lt;=0,"",INDEX(SCAmount,$L813))),IF($M813&lt;&gt;"",IF(INDEX(LdgWitB,$M813)=0,"",INDEX(LdgWitB,$M813)),""))</f>
        <v/>
      </c>
      <c r="H813" s="21">
        <f>IF($L813&lt;&gt;"",IF(INDEX(SCOp,$L813)="مرجوعی فروش",IF(INDEX(SCAmount,$L813)=0,"",-INDEX(SCAmount,$L813)),""),IF($M813&lt;&gt;"",IF(INDEX(LdgDepB,$M813)=0,"",INDEX(LdgDepB,$M813)),""))</f>
        <v/>
      </c>
      <c r="I813" s="22">
        <f>IF($B813="","",IF($I812="",$C$10,$I812)+IF($G813="",0,$G813)-IF($H813="",0,$H813))</f>
        <v/>
      </c>
      <c r="L813">
        <f>IFERROR(MATCH($C$5&amp;"|"&amp;RIGHT("000000"&amp;797,6),LdgRankKeyA,0),"")</f>
        <v/>
      </c>
      <c r="M813">
        <f>IFERROR(MATCH($C$5&amp;"|"&amp;RIGHT("000000"&amp;797,6),LdgRankKeyB,0),"")</f>
        <v/>
      </c>
    </row>
    <row r="814">
      <c r="A814" s="23" t="n">
        <v>798</v>
      </c>
      <c r="B814" s="24">
        <f>IF(AND($L814="",$M814=""),"",IF($L814&lt;&gt;"",INDEX(SCNormDate,$L814),INDEX(LdgDateB,$M814)))</f>
        <v/>
      </c>
      <c r="C814" s="24">
        <f>IF($L814&lt;&gt;"",INDEX(SCOp,$L814),IF($M814&lt;&gt;"","پرداخت بانکی",""))</f>
        <v/>
      </c>
      <c r="D814" s="24">
        <f>IF($L814&lt;&gt;"",IF(INDEX(SCDoc,$L814)="","—",INDEX(SCDoc,$L814)),IF($M814&lt;&gt;"",INDEX(LdgBankB,$M814),""))</f>
        <v/>
      </c>
      <c r="E814" s="25">
        <f>IF($L814&lt;&gt;"",IF(INDEX(SCCitrus,$L814)&amp;INDEX(SCNotes,$L814)="","",IF(INDEX(SCCitrus,$L814)="","",INDEX(SCCitrus,$L814))&amp;IF(INDEX(SCNotes,$L814)="",""," — "&amp;INDEX(SCNotes,$L814))),IF($M814&lt;&gt;"",IF(INDEX(LdgNoteB,$M814)="","—",INDEX(LdgNoteB,$M814)),""))</f>
        <v/>
      </c>
      <c r="F814" s="26">
        <f>IF($L814&lt;&gt;"",IF(INDEX(SCNet,$L814)=0,"",INDEX(SCNet,$L814)),"")</f>
        <v/>
      </c>
      <c r="G814" s="27">
        <f>IF($L814&lt;&gt;"",IF(INDEX(SCOp,$L814)="مرجوعی فروش","",IF(INDEX(SCAmount,$L814)&lt;=0,"",INDEX(SCAmount,$L814))),IF($M814&lt;&gt;"",IF(INDEX(LdgWitB,$M814)=0,"",INDEX(LdgWitB,$M814)),""))</f>
        <v/>
      </c>
      <c r="H814" s="27">
        <f>IF($L814&lt;&gt;"",IF(INDEX(SCOp,$L814)="مرجوعی فروش",IF(INDEX(SCAmount,$L814)=0,"",-INDEX(SCAmount,$L814)),""),IF($M814&lt;&gt;"",IF(INDEX(LdgDepB,$M814)=0,"",INDEX(LdgDepB,$M814)),""))</f>
        <v/>
      </c>
      <c r="I814" s="28">
        <f>IF($B814="","",IF($I813="",$C$10,$I813)+IF($G814="",0,$G814)-IF($H814="",0,$H814))</f>
        <v/>
      </c>
      <c r="L814">
        <f>IFERROR(MATCH($C$5&amp;"|"&amp;RIGHT("000000"&amp;798,6),LdgRankKeyA,0),"")</f>
        <v/>
      </c>
      <c r="M814">
        <f>IFERROR(MATCH($C$5&amp;"|"&amp;RIGHT("000000"&amp;798,6),LdgRankKeyB,0),"")</f>
        <v/>
      </c>
    </row>
    <row r="815">
      <c r="A815" s="17" t="n">
        <v>799</v>
      </c>
      <c r="B815" s="18">
        <f>IF(AND($L815="",$M815=""),"",IF($L815&lt;&gt;"",INDEX(SCNormDate,$L815),INDEX(LdgDateB,$M815)))</f>
        <v/>
      </c>
      <c r="C815" s="18">
        <f>IF($L815&lt;&gt;"",INDEX(SCOp,$L815),IF($M815&lt;&gt;"","پرداخت بانکی",""))</f>
        <v/>
      </c>
      <c r="D815" s="18">
        <f>IF($L815&lt;&gt;"",IF(INDEX(SCDoc,$L815)="","—",INDEX(SCDoc,$L815)),IF($M815&lt;&gt;"",INDEX(LdgBankB,$M815),""))</f>
        <v/>
      </c>
      <c r="E815" s="19">
        <f>IF($L815&lt;&gt;"",IF(INDEX(SCCitrus,$L815)&amp;INDEX(SCNotes,$L815)="","",IF(INDEX(SCCitrus,$L815)="","",INDEX(SCCitrus,$L815))&amp;IF(INDEX(SCNotes,$L815)="",""," — "&amp;INDEX(SCNotes,$L815))),IF($M815&lt;&gt;"",IF(INDEX(LdgNoteB,$M815)="","—",INDEX(LdgNoteB,$M815)),""))</f>
        <v/>
      </c>
      <c r="F815" s="20">
        <f>IF($L815&lt;&gt;"",IF(INDEX(SCNet,$L815)=0,"",INDEX(SCNet,$L815)),"")</f>
        <v/>
      </c>
      <c r="G815" s="21">
        <f>IF($L815&lt;&gt;"",IF(INDEX(SCOp,$L815)="مرجوعی فروش","",IF(INDEX(SCAmount,$L815)&lt;=0,"",INDEX(SCAmount,$L815))),IF($M815&lt;&gt;"",IF(INDEX(LdgWitB,$M815)=0,"",INDEX(LdgWitB,$M815)),""))</f>
        <v/>
      </c>
      <c r="H815" s="21">
        <f>IF($L815&lt;&gt;"",IF(INDEX(SCOp,$L815)="مرجوعی فروش",IF(INDEX(SCAmount,$L815)=0,"",-INDEX(SCAmount,$L815)),""),IF($M815&lt;&gt;"",IF(INDEX(LdgDepB,$M815)=0,"",INDEX(LdgDepB,$M815)),""))</f>
        <v/>
      </c>
      <c r="I815" s="22">
        <f>IF($B815="","",IF($I814="",$C$10,$I814)+IF($G815="",0,$G815)-IF($H815="",0,$H815))</f>
        <v/>
      </c>
      <c r="L815">
        <f>IFERROR(MATCH($C$5&amp;"|"&amp;RIGHT("000000"&amp;799,6),LdgRankKeyA,0),"")</f>
        <v/>
      </c>
      <c r="M815">
        <f>IFERROR(MATCH($C$5&amp;"|"&amp;RIGHT("000000"&amp;799,6),LdgRankKeyB,0),"")</f>
        <v/>
      </c>
    </row>
    <row r="816">
      <c r="A816" s="23" t="n">
        <v>800</v>
      </c>
      <c r="B816" s="24">
        <f>IF(AND($L816="",$M816=""),"",IF($L816&lt;&gt;"",INDEX(SCNormDate,$L816),INDEX(LdgDateB,$M816)))</f>
        <v/>
      </c>
      <c r="C816" s="24">
        <f>IF($L816&lt;&gt;"",INDEX(SCOp,$L816),IF($M816&lt;&gt;"","پرداخت بانکی",""))</f>
        <v/>
      </c>
      <c r="D816" s="24">
        <f>IF($L816&lt;&gt;"",IF(INDEX(SCDoc,$L816)="","—",INDEX(SCDoc,$L816)),IF($M816&lt;&gt;"",INDEX(LdgBankB,$M816),""))</f>
        <v/>
      </c>
      <c r="E816" s="25">
        <f>IF($L816&lt;&gt;"",IF(INDEX(SCCitrus,$L816)&amp;INDEX(SCNotes,$L816)="","",IF(INDEX(SCCitrus,$L816)="","",INDEX(SCCitrus,$L816))&amp;IF(INDEX(SCNotes,$L816)="",""," — "&amp;INDEX(SCNotes,$L816))),IF($M816&lt;&gt;"",IF(INDEX(LdgNoteB,$M816)="","—",INDEX(LdgNoteB,$M816)),""))</f>
        <v/>
      </c>
      <c r="F816" s="26">
        <f>IF($L816&lt;&gt;"",IF(INDEX(SCNet,$L816)=0,"",INDEX(SCNet,$L816)),"")</f>
        <v/>
      </c>
      <c r="G816" s="27">
        <f>IF($L816&lt;&gt;"",IF(INDEX(SCOp,$L816)="مرجوعی فروش","",IF(INDEX(SCAmount,$L816)&lt;=0,"",INDEX(SCAmount,$L816))),IF($M816&lt;&gt;"",IF(INDEX(LdgWitB,$M816)=0,"",INDEX(LdgWitB,$M816)),""))</f>
        <v/>
      </c>
      <c r="H816" s="27">
        <f>IF($L816&lt;&gt;"",IF(INDEX(SCOp,$L816)="مرجوعی فروش",IF(INDEX(SCAmount,$L816)=0,"",-INDEX(SCAmount,$L816)),""),IF($M816&lt;&gt;"",IF(INDEX(LdgDepB,$M816)=0,"",INDEX(LdgDepB,$M816)),""))</f>
        <v/>
      </c>
      <c r="I816" s="28">
        <f>IF($B816="","",IF($I815="",$C$10,$I815)+IF($G816="",0,$G816)-IF($H816="",0,$H816))</f>
        <v/>
      </c>
      <c r="L816">
        <f>IFERROR(MATCH($C$5&amp;"|"&amp;RIGHT("000000"&amp;800,6),LdgRankKeyA,0),"")</f>
        <v/>
      </c>
      <c r="M816">
        <f>IFERROR(MATCH($C$5&amp;"|"&amp;RIGHT("000000"&amp;800,6),LdgRankKeyB,0),"")</f>
        <v/>
      </c>
    </row>
    <row r="817">
      <c r="A817" s="17" t="n">
        <v>801</v>
      </c>
      <c r="B817" s="18">
        <f>IF(AND($L817="",$M817=""),"",IF($L817&lt;&gt;"",INDEX(SCNormDate,$L817),INDEX(LdgDateB,$M817)))</f>
        <v/>
      </c>
      <c r="C817" s="18">
        <f>IF($L817&lt;&gt;"",INDEX(SCOp,$L817),IF($M817&lt;&gt;"","پرداخت بانکی",""))</f>
        <v/>
      </c>
      <c r="D817" s="18">
        <f>IF($L817&lt;&gt;"",IF(INDEX(SCDoc,$L817)="","—",INDEX(SCDoc,$L817)),IF($M817&lt;&gt;"",INDEX(LdgBankB,$M817),""))</f>
        <v/>
      </c>
      <c r="E817" s="19">
        <f>IF($L817&lt;&gt;"",IF(INDEX(SCCitrus,$L817)&amp;INDEX(SCNotes,$L817)="","",IF(INDEX(SCCitrus,$L817)="","",INDEX(SCCitrus,$L817))&amp;IF(INDEX(SCNotes,$L817)="",""," — "&amp;INDEX(SCNotes,$L817))),IF($M817&lt;&gt;"",IF(INDEX(LdgNoteB,$M817)="","—",INDEX(LdgNoteB,$M817)),""))</f>
        <v/>
      </c>
      <c r="F817" s="20">
        <f>IF($L817&lt;&gt;"",IF(INDEX(SCNet,$L817)=0,"",INDEX(SCNet,$L817)),"")</f>
        <v/>
      </c>
      <c r="G817" s="21">
        <f>IF($L817&lt;&gt;"",IF(INDEX(SCOp,$L817)="مرجوعی فروش","",IF(INDEX(SCAmount,$L817)&lt;=0,"",INDEX(SCAmount,$L817))),IF($M817&lt;&gt;"",IF(INDEX(LdgWitB,$M817)=0,"",INDEX(LdgWitB,$M817)),""))</f>
        <v/>
      </c>
      <c r="H817" s="21">
        <f>IF($L817&lt;&gt;"",IF(INDEX(SCOp,$L817)="مرجوعی فروش",IF(INDEX(SCAmount,$L817)=0,"",-INDEX(SCAmount,$L817)),""),IF($M817&lt;&gt;"",IF(INDEX(LdgDepB,$M817)=0,"",INDEX(LdgDepB,$M817)),""))</f>
        <v/>
      </c>
      <c r="I817" s="22">
        <f>IF($B817="","",IF($I816="",$C$10,$I816)+IF($G817="",0,$G817)-IF($H817="",0,$H817))</f>
        <v/>
      </c>
      <c r="L817">
        <f>IFERROR(MATCH($C$5&amp;"|"&amp;RIGHT("000000"&amp;801,6),LdgRankKeyA,0),"")</f>
        <v/>
      </c>
      <c r="M817">
        <f>IFERROR(MATCH($C$5&amp;"|"&amp;RIGHT("000000"&amp;801,6),LdgRankKeyB,0),"")</f>
        <v/>
      </c>
    </row>
    <row r="818">
      <c r="A818" s="23" t="n">
        <v>802</v>
      </c>
      <c r="B818" s="24">
        <f>IF(AND($L818="",$M818=""),"",IF($L818&lt;&gt;"",INDEX(SCNormDate,$L818),INDEX(LdgDateB,$M818)))</f>
        <v/>
      </c>
      <c r="C818" s="24">
        <f>IF($L818&lt;&gt;"",INDEX(SCOp,$L818),IF($M818&lt;&gt;"","پرداخت بانکی",""))</f>
        <v/>
      </c>
      <c r="D818" s="24">
        <f>IF($L818&lt;&gt;"",IF(INDEX(SCDoc,$L818)="","—",INDEX(SCDoc,$L818)),IF($M818&lt;&gt;"",INDEX(LdgBankB,$M818),""))</f>
        <v/>
      </c>
      <c r="E818" s="25">
        <f>IF($L818&lt;&gt;"",IF(INDEX(SCCitrus,$L818)&amp;INDEX(SCNotes,$L818)="","",IF(INDEX(SCCitrus,$L818)="","",INDEX(SCCitrus,$L818))&amp;IF(INDEX(SCNotes,$L818)="",""," — "&amp;INDEX(SCNotes,$L818))),IF($M818&lt;&gt;"",IF(INDEX(LdgNoteB,$M818)="","—",INDEX(LdgNoteB,$M818)),""))</f>
        <v/>
      </c>
      <c r="F818" s="26">
        <f>IF($L818&lt;&gt;"",IF(INDEX(SCNet,$L818)=0,"",INDEX(SCNet,$L818)),"")</f>
        <v/>
      </c>
      <c r="G818" s="27">
        <f>IF($L818&lt;&gt;"",IF(INDEX(SCOp,$L818)="مرجوعی فروش","",IF(INDEX(SCAmount,$L818)&lt;=0,"",INDEX(SCAmount,$L818))),IF($M818&lt;&gt;"",IF(INDEX(LdgWitB,$M818)=0,"",INDEX(LdgWitB,$M818)),""))</f>
        <v/>
      </c>
      <c r="H818" s="27">
        <f>IF($L818&lt;&gt;"",IF(INDEX(SCOp,$L818)="مرجوعی فروش",IF(INDEX(SCAmount,$L818)=0,"",-INDEX(SCAmount,$L818)),""),IF($M818&lt;&gt;"",IF(INDEX(LdgDepB,$M818)=0,"",INDEX(LdgDepB,$M818)),""))</f>
        <v/>
      </c>
      <c r="I818" s="28">
        <f>IF($B818="","",IF($I817="",$C$10,$I817)+IF($G818="",0,$G818)-IF($H818="",0,$H818))</f>
        <v/>
      </c>
      <c r="L818">
        <f>IFERROR(MATCH($C$5&amp;"|"&amp;RIGHT("000000"&amp;802,6),LdgRankKeyA,0),"")</f>
        <v/>
      </c>
      <c r="M818">
        <f>IFERROR(MATCH($C$5&amp;"|"&amp;RIGHT("000000"&amp;802,6),LdgRankKeyB,0),"")</f>
        <v/>
      </c>
    </row>
    <row r="819">
      <c r="A819" s="17" t="n">
        <v>803</v>
      </c>
      <c r="B819" s="18">
        <f>IF(AND($L819="",$M819=""),"",IF($L819&lt;&gt;"",INDEX(SCNormDate,$L819),INDEX(LdgDateB,$M819)))</f>
        <v/>
      </c>
      <c r="C819" s="18">
        <f>IF($L819&lt;&gt;"",INDEX(SCOp,$L819),IF($M819&lt;&gt;"","پرداخت بانکی",""))</f>
        <v/>
      </c>
      <c r="D819" s="18">
        <f>IF($L819&lt;&gt;"",IF(INDEX(SCDoc,$L819)="","—",INDEX(SCDoc,$L819)),IF($M819&lt;&gt;"",INDEX(LdgBankB,$M819),""))</f>
        <v/>
      </c>
      <c r="E819" s="19">
        <f>IF($L819&lt;&gt;"",IF(INDEX(SCCitrus,$L819)&amp;INDEX(SCNotes,$L819)="","",IF(INDEX(SCCitrus,$L819)="","",INDEX(SCCitrus,$L819))&amp;IF(INDEX(SCNotes,$L819)="",""," — "&amp;INDEX(SCNotes,$L819))),IF($M819&lt;&gt;"",IF(INDEX(LdgNoteB,$M819)="","—",INDEX(LdgNoteB,$M819)),""))</f>
        <v/>
      </c>
      <c r="F819" s="20">
        <f>IF($L819&lt;&gt;"",IF(INDEX(SCNet,$L819)=0,"",INDEX(SCNet,$L819)),"")</f>
        <v/>
      </c>
      <c r="G819" s="21">
        <f>IF($L819&lt;&gt;"",IF(INDEX(SCOp,$L819)="مرجوعی فروش","",IF(INDEX(SCAmount,$L819)&lt;=0,"",INDEX(SCAmount,$L819))),IF($M819&lt;&gt;"",IF(INDEX(LdgWitB,$M819)=0,"",INDEX(LdgWitB,$M819)),""))</f>
        <v/>
      </c>
      <c r="H819" s="21">
        <f>IF($L819&lt;&gt;"",IF(INDEX(SCOp,$L819)="مرجوعی فروش",IF(INDEX(SCAmount,$L819)=0,"",-INDEX(SCAmount,$L819)),""),IF($M819&lt;&gt;"",IF(INDEX(LdgDepB,$M819)=0,"",INDEX(LdgDepB,$M819)),""))</f>
        <v/>
      </c>
      <c r="I819" s="22">
        <f>IF($B819="","",IF($I818="",$C$10,$I818)+IF($G819="",0,$G819)-IF($H819="",0,$H819))</f>
        <v/>
      </c>
      <c r="L819">
        <f>IFERROR(MATCH($C$5&amp;"|"&amp;RIGHT("000000"&amp;803,6),LdgRankKeyA,0),"")</f>
        <v/>
      </c>
      <c r="M819">
        <f>IFERROR(MATCH($C$5&amp;"|"&amp;RIGHT("000000"&amp;803,6),LdgRankKeyB,0),"")</f>
        <v/>
      </c>
    </row>
    <row r="820">
      <c r="A820" s="23" t="n">
        <v>804</v>
      </c>
      <c r="B820" s="24">
        <f>IF(AND($L820="",$M820=""),"",IF($L820&lt;&gt;"",INDEX(SCNormDate,$L820),INDEX(LdgDateB,$M820)))</f>
        <v/>
      </c>
      <c r="C820" s="24">
        <f>IF($L820&lt;&gt;"",INDEX(SCOp,$L820),IF($M820&lt;&gt;"","پرداخت بانکی",""))</f>
        <v/>
      </c>
      <c r="D820" s="24">
        <f>IF($L820&lt;&gt;"",IF(INDEX(SCDoc,$L820)="","—",INDEX(SCDoc,$L820)),IF($M820&lt;&gt;"",INDEX(LdgBankB,$M820),""))</f>
        <v/>
      </c>
      <c r="E820" s="25">
        <f>IF($L820&lt;&gt;"",IF(INDEX(SCCitrus,$L820)&amp;INDEX(SCNotes,$L820)="","",IF(INDEX(SCCitrus,$L820)="","",INDEX(SCCitrus,$L820))&amp;IF(INDEX(SCNotes,$L820)="",""," — "&amp;INDEX(SCNotes,$L820))),IF($M820&lt;&gt;"",IF(INDEX(LdgNoteB,$M820)="","—",INDEX(LdgNoteB,$M820)),""))</f>
        <v/>
      </c>
      <c r="F820" s="26">
        <f>IF($L820&lt;&gt;"",IF(INDEX(SCNet,$L820)=0,"",INDEX(SCNet,$L820)),"")</f>
        <v/>
      </c>
      <c r="G820" s="27">
        <f>IF($L820&lt;&gt;"",IF(INDEX(SCOp,$L820)="مرجوعی فروش","",IF(INDEX(SCAmount,$L820)&lt;=0,"",INDEX(SCAmount,$L820))),IF($M820&lt;&gt;"",IF(INDEX(LdgWitB,$M820)=0,"",INDEX(LdgWitB,$M820)),""))</f>
        <v/>
      </c>
      <c r="H820" s="27">
        <f>IF($L820&lt;&gt;"",IF(INDEX(SCOp,$L820)="مرجوعی فروش",IF(INDEX(SCAmount,$L820)=0,"",-INDEX(SCAmount,$L820)),""),IF($M820&lt;&gt;"",IF(INDEX(LdgDepB,$M820)=0,"",INDEX(LdgDepB,$M820)),""))</f>
        <v/>
      </c>
      <c r="I820" s="28">
        <f>IF($B820="","",IF($I819="",$C$10,$I819)+IF($G820="",0,$G820)-IF($H820="",0,$H820))</f>
        <v/>
      </c>
      <c r="L820">
        <f>IFERROR(MATCH($C$5&amp;"|"&amp;RIGHT("000000"&amp;804,6),LdgRankKeyA,0),"")</f>
        <v/>
      </c>
      <c r="M820">
        <f>IFERROR(MATCH($C$5&amp;"|"&amp;RIGHT("000000"&amp;804,6),LdgRankKeyB,0),"")</f>
        <v/>
      </c>
    </row>
    <row r="821">
      <c r="A821" s="17" t="n">
        <v>805</v>
      </c>
      <c r="B821" s="18">
        <f>IF(AND($L821="",$M821=""),"",IF($L821&lt;&gt;"",INDEX(SCNormDate,$L821),INDEX(LdgDateB,$M821)))</f>
        <v/>
      </c>
      <c r="C821" s="18">
        <f>IF($L821&lt;&gt;"",INDEX(SCOp,$L821),IF($M821&lt;&gt;"","پرداخت بانکی",""))</f>
        <v/>
      </c>
      <c r="D821" s="18">
        <f>IF($L821&lt;&gt;"",IF(INDEX(SCDoc,$L821)="","—",INDEX(SCDoc,$L821)),IF($M821&lt;&gt;"",INDEX(LdgBankB,$M821),""))</f>
        <v/>
      </c>
      <c r="E821" s="19">
        <f>IF($L821&lt;&gt;"",IF(INDEX(SCCitrus,$L821)&amp;INDEX(SCNotes,$L821)="","",IF(INDEX(SCCitrus,$L821)="","",INDEX(SCCitrus,$L821))&amp;IF(INDEX(SCNotes,$L821)="",""," — "&amp;INDEX(SCNotes,$L821))),IF($M821&lt;&gt;"",IF(INDEX(LdgNoteB,$M821)="","—",INDEX(LdgNoteB,$M821)),""))</f>
        <v/>
      </c>
      <c r="F821" s="20">
        <f>IF($L821&lt;&gt;"",IF(INDEX(SCNet,$L821)=0,"",INDEX(SCNet,$L821)),"")</f>
        <v/>
      </c>
      <c r="G821" s="21">
        <f>IF($L821&lt;&gt;"",IF(INDEX(SCOp,$L821)="مرجوعی فروش","",IF(INDEX(SCAmount,$L821)&lt;=0,"",INDEX(SCAmount,$L821))),IF($M821&lt;&gt;"",IF(INDEX(LdgWitB,$M821)=0,"",INDEX(LdgWitB,$M821)),""))</f>
        <v/>
      </c>
      <c r="H821" s="21">
        <f>IF($L821&lt;&gt;"",IF(INDEX(SCOp,$L821)="مرجوعی فروش",IF(INDEX(SCAmount,$L821)=0,"",-INDEX(SCAmount,$L821)),""),IF($M821&lt;&gt;"",IF(INDEX(LdgDepB,$M821)=0,"",INDEX(LdgDepB,$M821)),""))</f>
        <v/>
      </c>
      <c r="I821" s="22">
        <f>IF($B821="","",IF($I820="",$C$10,$I820)+IF($G821="",0,$G821)-IF($H821="",0,$H821))</f>
        <v/>
      </c>
      <c r="L821">
        <f>IFERROR(MATCH($C$5&amp;"|"&amp;RIGHT("000000"&amp;805,6),LdgRankKeyA,0),"")</f>
        <v/>
      </c>
      <c r="M821">
        <f>IFERROR(MATCH($C$5&amp;"|"&amp;RIGHT("000000"&amp;805,6),LdgRankKeyB,0),"")</f>
        <v/>
      </c>
    </row>
    <row r="822">
      <c r="A822" s="23" t="n">
        <v>806</v>
      </c>
      <c r="B822" s="24">
        <f>IF(AND($L822="",$M822=""),"",IF($L822&lt;&gt;"",INDEX(SCNormDate,$L822),INDEX(LdgDateB,$M822)))</f>
        <v/>
      </c>
      <c r="C822" s="24">
        <f>IF($L822&lt;&gt;"",INDEX(SCOp,$L822),IF($M822&lt;&gt;"","پرداخت بانکی",""))</f>
        <v/>
      </c>
      <c r="D822" s="24">
        <f>IF($L822&lt;&gt;"",IF(INDEX(SCDoc,$L822)="","—",INDEX(SCDoc,$L822)),IF($M822&lt;&gt;"",INDEX(LdgBankB,$M822),""))</f>
        <v/>
      </c>
      <c r="E822" s="25">
        <f>IF($L822&lt;&gt;"",IF(INDEX(SCCitrus,$L822)&amp;INDEX(SCNotes,$L822)="","",IF(INDEX(SCCitrus,$L822)="","",INDEX(SCCitrus,$L822))&amp;IF(INDEX(SCNotes,$L822)="",""," — "&amp;INDEX(SCNotes,$L822))),IF($M822&lt;&gt;"",IF(INDEX(LdgNoteB,$M822)="","—",INDEX(LdgNoteB,$M822)),""))</f>
        <v/>
      </c>
      <c r="F822" s="26">
        <f>IF($L822&lt;&gt;"",IF(INDEX(SCNet,$L822)=0,"",INDEX(SCNet,$L822)),"")</f>
        <v/>
      </c>
      <c r="G822" s="27">
        <f>IF($L822&lt;&gt;"",IF(INDEX(SCOp,$L822)="مرجوعی فروش","",IF(INDEX(SCAmount,$L822)&lt;=0,"",INDEX(SCAmount,$L822))),IF($M822&lt;&gt;"",IF(INDEX(LdgWitB,$M822)=0,"",INDEX(LdgWitB,$M822)),""))</f>
        <v/>
      </c>
      <c r="H822" s="27">
        <f>IF($L822&lt;&gt;"",IF(INDEX(SCOp,$L822)="مرجوعی فروش",IF(INDEX(SCAmount,$L822)=0,"",-INDEX(SCAmount,$L822)),""),IF($M822&lt;&gt;"",IF(INDEX(LdgDepB,$M822)=0,"",INDEX(LdgDepB,$M822)),""))</f>
        <v/>
      </c>
      <c r="I822" s="28">
        <f>IF($B822="","",IF($I821="",$C$10,$I821)+IF($G822="",0,$G822)-IF($H822="",0,$H822))</f>
        <v/>
      </c>
      <c r="L822">
        <f>IFERROR(MATCH($C$5&amp;"|"&amp;RIGHT("000000"&amp;806,6),LdgRankKeyA,0),"")</f>
        <v/>
      </c>
      <c r="M822">
        <f>IFERROR(MATCH($C$5&amp;"|"&amp;RIGHT("000000"&amp;806,6),LdgRankKeyB,0),"")</f>
        <v/>
      </c>
    </row>
    <row r="823">
      <c r="A823" s="17" t="n">
        <v>807</v>
      </c>
      <c r="B823" s="18">
        <f>IF(AND($L823="",$M823=""),"",IF($L823&lt;&gt;"",INDEX(SCNormDate,$L823),INDEX(LdgDateB,$M823)))</f>
        <v/>
      </c>
      <c r="C823" s="18">
        <f>IF($L823&lt;&gt;"",INDEX(SCOp,$L823),IF($M823&lt;&gt;"","پرداخت بانکی",""))</f>
        <v/>
      </c>
      <c r="D823" s="18">
        <f>IF($L823&lt;&gt;"",IF(INDEX(SCDoc,$L823)="","—",INDEX(SCDoc,$L823)),IF($M823&lt;&gt;"",INDEX(LdgBankB,$M823),""))</f>
        <v/>
      </c>
      <c r="E823" s="19">
        <f>IF($L823&lt;&gt;"",IF(INDEX(SCCitrus,$L823)&amp;INDEX(SCNotes,$L823)="","",IF(INDEX(SCCitrus,$L823)="","",INDEX(SCCitrus,$L823))&amp;IF(INDEX(SCNotes,$L823)="",""," — "&amp;INDEX(SCNotes,$L823))),IF($M823&lt;&gt;"",IF(INDEX(LdgNoteB,$M823)="","—",INDEX(LdgNoteB,$M823)),""))</f>
        <v/>
      </c>
      <c r="F823" s="20">
        <f>IF($L823&lt;&gt;"",IF(INDEX(SCNet,$L823)=0,"",INDEX(SCNet,$L823)),"")</f>
        <v/>
      </c>
      <c r="G823" s="21">
        <f>IF($L823&lt;&gt;"",IF(INDEX(SCOp,$L823)="مرجوعی فروش","",IF(INDEX(SCAmount,$L823)&lt;=0,"",INDEX(SCAmount,$L823))),IF($M823&lt;&gt;"",IF(INDEX(LdgWitB,$M823)=0,"",INDEX(LdgWitB,$M823)),""))</f>
        <v/>
      </c>
      <c r="H823" s="21">
        <f>IF($L823&lt;&gt;"",IF(INDEX(SCOp,$L823)="مرجوعی فروش",IF(INDEX(SCAmount,$L823)=0,"",-INDEX(SCAmount,$L823)),""),IF($M823&lt;&gt;"",IF(INDEX(LdgDepB,$M823)=0,"",INDEX(LdgDepB,$M823)),""))</f>
        <v/>
      </c>
      <c r="I823" s="22">
        <f>IF($B823="","",IF($I822="",$C$10,$I822)+IF($G823="",0,$G823)-IF($H823="",0,$H823))</f>
        <v/>
      </c>
      <c r="L823">
        <f>IFERROR(MATCH($C$5&amp;"|"&amp;RIGHT("000000"&amp;807,6),LdgRankKeyA,0),"")</f>
        <v/>
      </c>
      <c r="M823">
        <f>IFERROR(MATCH($C$5&amp;"|"&amp;RIGHT("000000"&amp;807,6),LdgRankKeyB,0),"")</f>
        <v/>
      </c>
    </row>
    <row r="824">
      <c r="A824" s="23" t="n">
        <v>808</v>
      </c>
      <c r="B824" s="24">
        <f>IF(AND($L824="",$M824=""),"",IF($L824&lt;&gt;"",INDEX(SCNormDate,$L824),INDEX(LdgDateB,$M824)))</f>
        <v/>
      </c>
      <c r="C824" s="24">
        <f>IF($L824&lt;&gt;"",INDEX(SCOp,$L824),IF($M824&lt;&gt;"","پرداخت بانکی",""))</f>
        <v/>
      </c>
      <c r="D824" s="24">
        <f>IF($L824&lt;&gt;"",IF(INDEX(SCDoc,$L824)="","—",INDEX(SCDoc,$L824)),IF($M824&lt;&gt;"",INDEX(LdgBankB,$M824),""))</f>
        <v/>
      </c>
      <c r="E824" s="25">
        <f>IF($L824&lt;&gt;"",IF(INDEX(SCCitrus,$L824)&amp;INDEX(SCNotes,$L824)="","",IF(INDEX(SCCitrus,$L824)="","",INDEX(SCCitrus,$L824))&amp;IF(INDEX(SCNotes,$L824)="",""," — "&amp;INDEX(SCNotes,$L824))),IF($M824&lt;&gt;"",IF(INDEX(LdgNoteB,$M824)="","—",INDEX(LdgNoteB,$M824)),""))</f>
        <v/>
      </c>
      <c r="F824" s="26">
        <f>IF($L824&lt;&gt;"",IF(INDEX(SCNet,$L824)=0,"",INDEX(SCNet,$L824)),"")</f>
        <v/>
      </c>
      <c r="G824" s="27">
        <f>IF($L824&lt;&gt;"",IF(INDEX(SCOp,$L824)="مرجوعی فروش","",IF(INDEX(SCAmount,$L824)&lt;=0,"",INDEX(SCAmount,$L824))),IF($M824&lt;&gt;"",IF(INDEX(LdgWitB,$M824)=0,"",INDEX(LdgWitB,$M824)),""))</f>
        <v/>
      </c>
      <c r="H824" s="27">
        <f>IF($L824&lt;&gt;"",IF(INDEX(SCOp,$L824)="مرجوعی فروش",IF(INDEX(SCAmount,$L824)=0,"",-INDEX(SCAmount,$L824)),""),IF($M824&lt;&gt;"",IF(INDEX(LdgDepB,$M824)=0,"",INDEX(LdgDepB,$M824)),""))</f>
        <v/>
      </c>
      <c r="I824" s="28">
        <f>IF($B824="","",IF($I823="",$C$10,$I823)+IF($G824="",0,$G824)-IF($H824="",0,$H824))</f>
        <v/>
      </c>
      <c r="L824">
        <f>IFERROR(MATCH($C$5&amp;"|"&amp;RIGHT("000000"&amp;808,6),LdgRankKeyA,0),"")</f>
        <v/>
      </c>
      <c r="M824">
        <f>IFERROR(MATCH($C$5&amp;"|"&amp;RIGHT("000000"&amp;808,6),LdgRankKeyB,0),"")</f>
        <v/>
      </c>
    </row>
    <row r="825">
      <c r="A825" s="17" t="n">
        <v>809</v>
      </c>
      <c r="B825" s="18">
        <f>IF(AND($L825="",$M825=""),"",IF($L825&lt;&gt;"",INDEX(SCNormDate,$L825),INDEX(LdgDateB,$M825)))</f>
        <v/>
      </c>
      <c r="C825" s="18">
        <f>IF($L825&lt;&gt;"",INDEX(SCOp,$L825),IF($M825&lt;&gt;"","پرداخت بانکی",""))</f>
        <v/>
      </c>
      <c r="D825" s="18">
        <f>IF($L825&lt;&gt;"",IF(INDEX(SCDoc,$L825)="","—",INDEX(SCDoc,$L825)),IF($M825&lt;&gt;"",INDEX(LdgBankB,$M825),""))</f>
        <v/>
      </c>
      <c r="E825" s="19">
        <f>IF($L825&lt;&gt;"",IF(INDEX(SCCitrus,$L825)&amp;INDEX(SCNotes,$L825)="","",IF(INDEX(SCCitrus,$L825)="","",INDEX(SCCitrus,$L825))&amp;IF(INDEX(SCNotes,$L825)="",""," — "&amp;INDEX(SCNotes,$L825))),IF($M825&lt;&gt;"",IF(INDEX(LdgNoteB,$M825)="","—",INDEX(LdgNoteB,$M825)),""))</f>
        <v/>
      </c>
      <c r="F825" s="20">
        <f>IF($L825&lt;&gt;"",IF(INDEX(SCNet,$L825)=0,"",INDEX(SCNet,$L825)),"")</f>
        <v/>
      </c>
      <c r="G825" s="21">
        <f>IF($L825&lt;&gt;"",IF(INDEX(SCOp,$L825)="مرجوعی فروش","",IF(INDEX(SCAmount,$L825)&lt;=0,"",INDEX(SCAmount,$L825))),IF($M825&lt;&gt;"",IF(INDEX(LdgWitB,$M825)=0,"",INDEX(LdgWitB,$M825)),""))</f>
        <v/>
      </c>
      <c r="H825" s="21">
        <f>IF($L825&lt;&gt;"",IF(INDEX(SCOp,$L825)="مرجوعی فروش",IF(INDEX(SCAmount,$L825)=0,"",-INDEX(SCAmount,$L825)),""),IF($M825&lt;&gt;"",IF(INDEX(LdgDepB,$M825)=0,"",INDEX(LdgDepB,$M825)),""))</f>
        <v/>
      </c>
      <c r="I825" s="22">
        <f>IF($B825="","",IF($I824="",$C$10,$I824)+IF($G825="",0,$G825)-IF($H825="",0,$H825))</f>
        <v/>
      </c>
      <c r="L825">
        <f>IFERROR(MATCH($C$5&amp;"|"&amp;RIGHT("000000"&amp;809,6),LdgRankKeyA,0),"")</f>
        <v/>
      </c>
      <c r="M825">
        <f>IFERROR(MATCH($C$5&amp;"|"&amp;RIGHT("000000"&amp;809,6),LdgRankKeyB,0),"")</f>
        <v/>
      </c>
    </row>
    <row r="826">
      <c r="A826" s="23" t="n">
        <v>810</v>
      </c>
      <c r="B826" s="24">
        <f>IF(AND($L826="",$M826=""),"",IF($L826&lt;&gt;"",INDEX(SCNormDate,$L826),INDEX(LdgDateB,$M826)))</f>
        <v/>
      </c>
      <c r="C826" s="24">
        <f>IF($L826&lt;&gt;"",INDEX(SCOp,$L826),IF($M826&lt;&gt;"","پرداخت بانکی",""))</f>
        <v/>
      </c>
      <c r="D826" s="24">
        <f>IF($L826&lt;&gt;"",IF(INDEX(SCDoc,$L826)="","—",INDEX(SCDoc,$L826)),IF($M826&lt;&gt;"",INDEX(LdgBankB,$M826),""))</f>
        <v/>
      </c>
      <c r="E826" s="25">
        <f>IF($L826&lt;&gt;"",IF(INDEX(SCCitrus,$L826)&amp;INDEX(SCNotes,$L826)="","",IF(INDEX(SCCitrus,$L826)="","",INDEX(SCCitrus,$L826))&amp;IF(INDEX(SCNotes,$L826)="",""," — "&amp;INDEX(SCNotes,$L826))),IF($M826&lt;&gt;"",IF(INDEX(LdgNoteB,$M826)="","—",INDEX(LdgNoteB,$M826)),""))</f>
        <v/>
      </c>
      <c r="F826" s="26">
        <f>IF($L826&lt;&gt;"",IF(INDEX(SCNet,$L826)=0,"",INDEX(SCNet,$L826)),"")</f>
        <v/>
      </c>
      <c r="G826" s="27">
        <f>IF($L826&lt;&gt;"",IF(INDEX(SCOp,$L826)="مرجوعی فروش","",IF(INDEX(SCAmount,$L826)&lt;=0,"",INDEX(SCAmount,$L826))),IF($M826&lt;&gt;"",IF(INDEX(LdgWitB,$M826)=0,"",INDEX(LdgWitB,$M826)),""))</f>
        <v/>
      </c>
      <c r="H826" s="27">
        <f>IF($L826&lt;&gt;"",IF(INDEX(SCOp,$L826)="مرجوعی فروش",IF(INDEX(SCAmount,$L826)=0,"",-INDEX(SCAmount,$L826)),""),IF($M826&lt;&gt;"",IF(INDEX(LdgDepB,$M826)=0,"",INDEX(LdgDepB,$M826)),""))</f>
        <v/>
      </c>
      <c r="I826" s="28">
        <f>IF($B826="","",IF($I825="",$C$10,$I825)+IF($G826="",0,$G826)-IF($H826="",0,$H826))</f>
        <v/>
      </c>
      <c r="L826">
        <f>IFERROR(MATCH($C$5&amp;"|"&amp;RIGHT("000000"&amp;810,6),LdgRankKeyA,0),"")</f>
        <v/>
      </c>
      <c r="M826">
        <f>IFERROR(MATCH($C$5&amp;"|"&amp;RIGHT("000000"&amp;810,6),LdgRankKeyB,0),"")</f>
        <v/>
      </c>
    </row>
    <row r="827">
      <c r="A827" s="17" t="n">
        <v>811</v>
      </c>
      <c r="B827" s="18">
        <f>IF(AND($L827="",$M827=""),"",IF($L827&lt;&gt;"",INDEX(SCNormDate,$L827),INDEX(LdgDateB,$M827)))</f>
        <v/>
      </c>
      <c r="C827" s="18">
        <f>IF($L827&lt;&gt;"",INDEX(SCOp,$L827),IF($M827&lt;&gt;"","پرداخت بانکی",""))</f>
        <v/>
      </c>
      <c r="D827" s="18">
        <f>IF($L827&lt;&gt;"",IF(INDEX(SCDoc,$L827)="","—",INDEX(SCDoc,$L827)),IF($M827&lt;&gt;"",INDEX(LdgBankB,$M827),""))</f>
        <v/>
      </c>
      <c r="E827" s="19">
        <f>IF($L827&lt;&gt;"",IF(INDEX(SCCitrus,$L827)&amp;INDEX(SCNotes,$L827)="","",IF(INDEX(SCCitrus,$L827)="","",INDEX(SCCitrus,$L827))&amp;IF(INDEX(SCNotes,$L827)="",""," — "&amp;INDEX(SCNotes,$L827))),IF($M827&lt;&gt;"",IF(INDEX(LdgNoteB,$M827)="","—",INDEX(LdgNoteB,$M827)),""))</f>
        <v/>
      </c>
      <c r="F827" s="20">
        <f>IF($L827&lt;&gt;"",IF(INDEX(SCNet,$L827)=0,"",INDEX(SCNet,$L827)),"")</f>
        <v/>
      </c>
      <c r="G827" s="21">
        <f>IF($L827&lt;&gt;"",IF(INDEX(SCOp,$L827)="مرجوعی فروش","",IF(INDEX(SCAmount,$L827)&lt;=0,"",INDEX(SCAmount,$L827))),IF($M827&lt;&gt;"",IF(INDEX(LdgWitB,$M827)=0,"",INDEX(LdgWitB,$M827)),""))</f>
        <v/>
      </c>
      <c r="H827" s="21">
        <f>IF($L827&lt;&gt;"",IF(INDEX(SCOp,$L827)="مرجوعی فروش",IF(INDEX(SCAmount,$L827)=0,"",-INDEX(SCAmount,$L827)),""),IF($M827&lt;&gt;"",IF(INDEX(LdgDepB,$M827)=0,"",INDEX(LdgDepB,$M827)),""))</f>
        <v/>
      </c>
      <c r="I827" s="22">
        <f>IF($B827="","",IF($I826="",$C$10,$I826)+IF($G827="",0,$G827)-IF($H827="",0,$H827))</f>
        <v/>
      </c>
      <c r="L827">
        <f>IFERROR(MATCH($C$5&amp;"|"&amp;RIGHT("000000"&amp;811,6),LdgRankKeyA,0),"")</f>
        <v/>
      </c>
      <c r="M827">
        <f>IFERROR(MATCH($C$5&amp;"|"&amp;RIGHT("000000"&amp;811,6),LdgRankKeyB,0),"")</f>
        <v/>
      </c>
    </row>
    <row r="828">
      <c r="A828" s="23" t="n">
        <v>812</v>
      </c>
      <c r="B828" s="24">
        <f>IF(AND($L828="",$M828=""),"",IF($L828&lt;&gt;"",INDEX(SCNormDate,$L828),INDEX(LdgDateB,$M828)))</f>
        <v/>
      </c>
      <c r="C828" s="24">
        <f>IF($L828&lt;&gt;"",INDEX(SCOp,$L828),IF($M828&lt;&gt;"","پرداخت بانکی",""))</f>
        <v/>
      </c>
      <c r="D828" s="24">
        <f>IF($L828&lt;&gt;"",IF(INDEX(SCDoc,$L828)="","—",INDEX(SCDoc,$L828)),IF($M828&lt;&gt;"",INDEX(LdgBankB,$M828),""))</f>
        <v/>
      </c>
      <c r="E828" s="25">
        <f>IF($L828&lt;&gt;"",IF(INDEX(SCCitrus,$L828)&amp;INDEX(SCNotes,$L828)="","",IF(INDEX(SCCitrus,$L828)="","",INDEX(SCCitrus,$L828))&amp;IF(INDEX(SCNotes,$L828)="",""," — "&amp;INDEX(SCNotes,$L828))),IF($M828&lt;&gt;"",IF(INDEX(LdgNoteB,$M828)="","—",INDEX(LdgNoteB,$M828)),""))</f>
        <v/>
      </c>
      <c r="F828" s="26">
        <f>IF($L828&lt;&gt;"",IF(INDEX(SCNet,$L828)=0,"",INDEX(SCNet,$L828)),"")</f>
        <v/>
      </c>
      <c r="G828" s="27">
        <f>IF($L828&lt;&gt;"",IF(INDEX(SCOp,$L828)="مرجوعی فروش","",IF(INDEX(SCAmount,$L828)&lt;=0,"",INDEX(SCAmount,$L828))),IF($M828&lt;&gt;"",IF(INDEX(LdgWitB,$M828)=0,"",INDEX(LdgWitB,$M828)),""))</f>
        <v/>
      </c>
      <c r="H828" s="27">
        <f>IF($L828&lt;&gt;"",IF(INDEX(SCOp,$L828)="مرجوعی فروش",IF(INDEX(SCAmount,$L828)=0,"",-INDEX(SCAmount,$L828)),""),IF($M828&lt;&gt;"",IF(INDEX(LdgDepB,$M828)=0,"",INDEX(LdgDepB,$M828)),""))</f>
        <v/>
      </c>
      <c r="I828" s="28">
        <f>IF($B828="","",IF($I827="",$C$10,$I827)+IF($G828="",0,$G828)-IF($H828="",0,$H828))</f>
        <v/>
      </c>
      <c r="L828">
        <f>IFERROR(MATCH($C$5&amp;"|"&amp;RIGHT("000000"&amp;812,6),LdgRankKeyA,0),"")</f>
        <v/>
      </c>
      <c r="M828">
        <f>IFERROR(MATCH($C$5&amp;"|"&amp;RIGHT("000000"&amp;812,6),LdgRankKeyB,0),"")</f>
        <v/>
      </c>
    </row>
    <row r="829">
      <c r="A829" s="17" t="n">
        <v>813</v>
      </c>
      <c r="B829" s="18">
        <f>IF(AND($L829="",$M829=""),"",IF($L829&lt;&gt;"",INDEX(SCNormDate,$L829),INDEX(LdgDateB,$M829)))</f>
        <v/>
      </c>
      <c r="C829" s="18">
        <f>IF($L829&lt;&gt;"",INDEX(SCOp,$L829),IF($M829&lt;&gt;"","پرداخت بانکی",""))</f>
        <v/>
      </c>
      <c r="D829" s="18">
        <f>IF($L829&lt;&gt;"",IF(INDEX(SCDoc,$L829)="","—",INDEX(SCDoc,$L829)),IF($M829&lt;&gt;"",INDEX(LdgBankB,$M829),""))</f>
        <v/>
      </c>
      <c r="E829" s="19">
        <f>IF($L829&lt;&gt;"",IF(INDEX(SCCitrus,$L829)&amp;INDEX(SCNotes,$L829)="","",IF(INDEX(SCCitrus,$L829)="","",INDEX(SCCitrus,$L829))&amp;IF(INDEX(SCNotes,$L829)="",""," — "&amp;INDEX(SCNotes,$L829))),IF($M829&lt;&gt;"",IF(INDEX(LdgNoteB,$M829)="","—",INDEX(LdgNoteB,$M829)),""))</f>
        <v/>
      </c>
      <c r="F829" s="20">
        <f>IF($L829&lt;&gt;"",IF(INDEX(SCNet,$L829)=0,"",INDEX(SCNet,$L829)),"")</f>
        <v/>
      </c>
      <c r="G829" s="21">
        <f>IF($L829&lt;&gt;"",IF(INDEX(SCOp,$L829)="مرجوعی فروش","",IF(INDEX(SCAmount,$L829)&lt;=0,"",INDEX(SCAmount,$L829))),IF($M829&lt;&gt;"",IF(INDEX(LdgWitB,$M829)=0,"",INDEX(LdgWitB,$M829)),""))</f>
        <v/>
      </c>
      <c r="H829" s="21">
        <f>IF($L829&lt;&gt;"",IF(INDEX(SCOp,$L829)="مرجوعی فروش",IF(INDEX(SCAmount,$L829)=0,"",-INDEX(SCAmount,$L829)),""),IF($M829&lt;&gt;"",IF(INDEX(LdgDepB,$M829)=0,"",INDEX(LdgDepB,$M829)),""))</f>
        <v/>
      </c>
      <c r="I829" s="22">
        <f>IF($B829="","",IF($I828="",$C$10,$I828)+IF($G829="",0,$G829)-IF($H829="",0,$H829))</f>
        <v/>
      </c>
      <c r="L829">
        <f>IFERROR(MATCH($C$5&amp;"|"&amp;RIGHT("000000"&amp;813,6),LdgRankKeyA,0),"")</f>
        <v/>
      </c>
      <c r="M829">
        <f>IFERROR(MATCH($C$5&amp;"|"&amp;RIGHT("000000"&amp;813,6),LdgRankKeyB,0),"")</f>
        <v/>
      </c>
    </row>
    <row r="830">
      <c r="A830" s="23" t="n">
        <v>814</v>
      </c>
      <c r="B830" s="24">
        <f>IF(AND($L830="",$M830=""),"",IF($L830&lt;&gt;"",INDEX(SCNormDate,$L830),INDEX(LdgDateB,$M830)))</f>
        <v/>
      </c>
      <c r="C830" s="24">
        <f>IF($L830&lt;&gt;"",INDEX(SCOp,$L830),IF($M830&lt;&gt;"","پرداخت بانکی",""))</f>
        <v/>
      </c>
      <c r="D830" s="24">
        <f>IF($L830&lt;&gt;"",IF(INDEX(SCDoc,$L830)="","—",INDEX(SCDoc,$L830)),IF($M830&lt;&gt;"",INDEX(LdgBankB,$M830),""))</f>
        <v/>
      </c>
      <c r="E830" s="25">
        <f>IF($L830&lt;&gt;"",IF(INDEX(SCCitrus,$L830)&amp;INDEX(SCNotes,$L830)="","",IF(INDEX(SCCitrus,$L830)="","",INDEX(SCCitrus,$L830))&amp;IF(INDEX(SCNotes,$L830)="",""," — "&amp;INDEX(SCNotes,$L830))),IF($M830&lt;&gt;"",IF(INDEX(LdgNoteB,$M830)="","—",INDEX(LdgNoteB,$M830)),""))</f>
        <v/>
      </c>
      <c r="F830" s="26">
        <f>IF($L830&lt;&gt;"",IF(INDEX(SCNet,$L830)=0,"",INDEX(SCNet,$L830)),"")</f>
        <v/>
      </c>
      <c r="G830" s="27">
        <f>IF($L830&lt;&gt;"",IF(INDEX(SCOp,$L830)="مرجوعی فروش","",IF(INDEX(SCAmount,$L830)&lt;=0,"",INDEX(SCAmount,$L830))),IF($M830&lt;&gt;"",IF(INDEX(LdgWitB,$M830)=0,"",INDEX(LdgWitB,$M830)),""))</f>
        <v/>
      </c>
      <c r="H830" s="27">
        <f>IF($L830&lt;&gt;"",IF(INDEX(SCOp,$L830)="مرجوعی فروش",IF(INDEX(SCAmount,$L830)=0,"",-INDEX(SCAmount,$L830)),""),IF($M830&lt;&gt;"",IF(INDEX(LdgDepB,$M830)=0,"",INDEX(LdgDepB,$M830)),""))</f>
        <v/>
      </c>
      <c r="I830" s="28">
        <f>IF($B830="","",IF($I829="",$C$10,$I829)+IF($G830="",0,$G830)-IF($H830="",0,$H830))</f>
        <v/>
      </c>
      <c r="L830">
        <f>IFERROR(MATCH($C$5&amp;"|"&amp;RIGHT("000000"&amp;814,6),LdgRankKeyA,0),"")</f>
        <v/>
      </c>
      <c r="M830">
        <f>IFERROR(MATCH($C$5&amp;"|"&amp;RIGHT("000000"&amp;814,6),LdgRankKeyB,0),"")</f>
        <v/>
      </c>
    </row>
    <row r="831">
      <c r="A831" s="17" t="n">
        <v>815</v>
      </c>
      <c r="B831" s="18">
        <f>IF(AND($L831="",$M831=""),"",IF($L831&lt;&gt;"",INDEX(SCNormDate,$L831),INDEX(LdgDateB,$M831)))</f>
        <v/>
      </c>
      <c r="C831" s="18">
        <f>IF($L831&lt;&gt;"",INDEX(SCOp,$L831),IF($M831&lt;&gt;"","پرداخت بانکی",""))</f>
        <v/>
      </c>
      <c r="D831" s="18">
        <f>IF($L831&lt;&gt;"",IF(INDEX(SCDoc,$L831)="","—",INDEX(SCDoc,$L831)),IF($M831&lt;&gt;"",INDEX(LdgBankB,$M831),""))</f>
        <v/>
      </c>
      <c r="E831" s="19">
        <f>IF($L831&lt;&gt;"",IF(INDEX(SCCitrus,$L831)&amp;INDEX(SCNotes,$L831)="","",IF(INDEX(SCCitrus,$L831)="","",INDEX(SCCitrus,$L831))&amp;IF(INDEX(SCNotes,$L831)="",""," — "&amp;INDEX(SCNotes,$L831))),IF($M831&lt;&gt;"",IF(INDEX(LdgNoteB,$M831)="","—",INDEX(LdgNoteB,$M831)),""))</f>
        <v/>
      </c>
      <c r="F831" s="20">
        <f>IF($L831&lt;&gt;"",IF(INDEX(SCNet,$L831)=0,"",INDEX(SCNet,$L831)),"")</f>
        <v/>
      </c>
      <c r="G831" s="21">
        <f>IF($L831&lt;&gt;"",IF(INDEX(SCOp,$L831)="مرجوعی فروش","",IF(INDEX(SCAmount,$L831)&lt;=0,"",INDEX(SCAmount,$L831))),IF($M831&lt;&gt;"",IF(INDEX(LdgWitB,$M831)=0,"",INDEX(LdgWitB,$M831)),""))</f>
        <v/>
      </c>
      <c r="H831" s="21">
        <f>IF($L831&lt;&gt;"",IF(INDEX(SCOp,$L831)="مرجوعی فروش",IF(INDEX(SCAmount,$L831)=0,"",-INDEX(SCAmount,$L831)),""),IF($M831&lt;&gt;"",IF(INDEX(LdgDepB,$M831)=0,"",INDEX(LdgDepB,$M831)),""))</f>
        <v/>
      </c>
      <c r="I831" s="22">
        <f>IF($B831="","",IF($I830="",$C$10,$I830)+IF($G831="",0,$G831)-IF($H831="",0,$H831))</f>
        <v/>
      </c>
      <c r="L831">
        <f>IFERROR(MATCH($C$5&amp;"|"&amp;RIGHT("000000"&amp;815,6),LdgRankKeyA,0),"")</f>
        <v/>
      </c>
      <c r="M831">
        <f>IFERROR(MATCH($C$5&amp;"|"&amp;RIGHT("000000"&amp;815,6),LdgRankKeyB,0),"")</f>
        <v/>
      </c>
    </row>
    <row r="832">
      <c r="A832" s="23" t="n">
        <v>816</v>
      </c>
      <c r="B832" s="24">
        <f>IF(AND($L832="",$M832=""),"",IF($L832&lt;&gt;"",INDEX(SCNormDate,$L832),INDEX(LdgDateB,$M832)))</f>
        <v/>
      </c>
      <c r="C832" s="24">
        <f>IF($L832&lt;&gt;"",INDEX(SCOp,$L832),IF($M832&lt;&gt;"","پرداخت بانکی",""))</f>
        <v/>
      </c>
      <c r="D832" s="24">
        <f>IF($L832&lt;&gt;"",IF(INDEX(SCDoc,$L832)="","—",INDEX(SCDoc,$L832)),IF($M832&lt;&gt;"",INDEX(LdgBankB,$M832),""))</f>
        <v/>
      </c>
      <c r="E832" s="25">
        <f>IF($L832&lt;&gt;"",IF(INDEX(SCCitrus,$L832)&amp;INDEX(SCNotes,$L832)="","",IF(INDEX(SCCitrus,$L832)="","",INDEX(SCCitrus,$L832))&amp;IF(INDEX(SCNotes,$L832)="",""," — "&amp;INDEX(SCNotes,$L832))),IF($M832&lt;&gt;"",IF(INDEX(LdgNoteB,$M832)="","—",INDEX(LdgNoteB,$M832)),""))</f>
        <v/>
      </c>
      <c r="F832" s="26">
        <f>IF($L832&lt;&gt;"",IF(INDEX(SCNet,$L832)=0,"",INDEX(SCNet,$L832)),"")</f>
        <v/>
      </c>
      <c r="G832" s="27">
        <f>IF($L832&lt;&gt;"",IF(INDEX(SCOp,$L832)="مرجوعی فروش","",IF(INDEX(SCAmount,$L832)&lt;=0,"",INDEX(SCAmount,$L832))),IF($M832&lt;&gt;"",IF(INDEX(LdgWitB,$M832)=0,"",INDEX(LdgWitB,$M832)),""))</f>
        <v/>
      </c>
      <c r="H832" s="27">
        <f>IF($L832&lt;&gt;"",IF(INDEX(SCOp,$L832)="مرجوعی فروش",IF(INDEX(SCAmount,$L832)=0,"",-INDEX(SCAmount,$L832)),""),IF($M832&lt;&gt;"",IF(INDEX(LdgDepB,$M832)=0,"",INDEX(LdgDepB,$M832)),""))</f>
        <v/>
      </c>
      <c r="I832" s="28">
        <f>IF($B832="","",IF($I831="",$C$10,$I831)+IF($G832="",0,$G832)-IF($H832="",0,$H832))</f>
        <v/>
      </c>
      <c r="L832">
        <f>IFERROR(MATCH($C$5&amp;"|"&amp;RIGHT("000000"&amp;816,6),LdgRankKeyA,0),"")</f>
        <v/>
      </c>
      <c r="M832">
        <f>IFERROR(MATCH($C$5&amp;"|"&amp;RIGHT("000000"&amp;816,6),LdgRankKeyB,0),"")</f>
        <v/>
      </c>
    </row>
    <row r="833">
      <c r="A833" s="17" t="n">
        <v>817</v>
      </c>
      <c r="B833" s="18">
        <f>IF(AND($L833="",$M833=""),"",IF($L833&lt;&gt;"",INDEX(SCNormDate,$L833),INDEX(LdgDateB,$M833)))</f>
        <v/>
      </c>
      <c r="C833" s="18">
        <f>IF($L833&lt;&gt;"",INDEX(SCOp,$L833),IF($M833&lt;&gt;"","پرداخت بانکی",""))</f>
        <v/>
      </c>
      <c r="D833" s="18">
        <f>IF($L833&lt;&gt;"",IF(INDEX(SCDoc,$L833)="","—",INDEX(SCDoc,$L833)),IF($M833&lt;&gt;"",INDEX(LdgBankB,$M833),""))</f>
        <v/>
      </c>
      <c r="E833" s="19">
        <f>IF($L833&lt;&gt;"",IF(INDEX(SCCitrus,$L833)&amp;INDEX(SCNotes,$L833)="","",IF(INDEX(SCCitrus,$L833)="","",INDEX(SCCitrus,$L833))&amp;IF(INDEX(SCNotes,$L833)="",""," — "&amp;INDEX(SCNotes,$L833))),IF($M833&lt;&gt;"",IF(INDEX(LdgNoteB,$M833)="","—",INDEX(LdgNoteB,$M833)),""))</f>
        <v/>
      </c>
      <c r="F833" s="20">
        <f>IF($L833&lt;&gt;"",IF(INDEX(SCNet,$L833)=0,"",INDEX(SCNet,$L833)),"")</f>
        <v/>
      </c>
      <c r="G833" s="21">
        <f>IF($L833&lt;&gt;"",IF(INDEX(SCOp,$L833)="مرجوعی فروش","",IF(INDEX(SCAmount,$L833)&lt;=0,"",INDEX(SCAmount,$L833))),IF($M833&lt;&gt;"",IF(INDEX(LdgWitB,$M833)=0,"",INDEX(LdgWitB,$M833)),""))</f>
        <v/>
      </c>
      <c r="H833" s="21">
        <f>IF($L833&lt;&gt;"",IF(INDEX(SCOp,$L833)="مرجوعی فروش",IF(INDEX(SCAmount,$L833)=0,"",-INDEX(SCAmount,$L833)),""),IF($M833&lt;&gt;"",IF(INDEX(LdgDepB,$M833)=0,"",INDEX(LdgDepB,$M833)),""))</f>
        <v/>
      </c>
      <c r="I833" s="22">
        <f>IF($B833="","",IF($I832="",$C$10,$I832)+IF($G833="",0,$G833)-IF($H833="",0,$H833))</f>
        <v/>
      </c>
      <c r="L833">
        <f>IFERROR(MATCH($C$5&amp;"|"&amp;RIGHT("000000"&amp;817,6),LdgRankKeyA,0),"")</f>
        <v/>
      </c>
      <c r="M833">
        <f>IFERROR(MATCH($C$5&amp;"|"&amp;RIGHT("000000"&amp;817,6),LdgRankKeyB,0),"")</f>
        <v/>
      </c>
    </row>
    <row r="834">
      <c r="A834" s="23" t="n">
        <v>818</v>
      </c>
      <c r="B834" s="24">
        <f>IF(AND($L834="",$M834=""),"",IF($L834&lt;&gt;"",INDEX(SCNormDate,$L834),INDEX(LdgDateB,$M834)))</f>
        <v/>
      </c>
      <c r="C834" s="24">
        <f>IF($L834&lt;&gt;"",INDEX(SCOp,$L834),IF($M834&lt;&gt;"","پرداخت بانکی",""))</f>
        <v/>
      </c>
      <c r="D834" s="24">
        <f>IF($L834&lt;&gt;"",IF(INDEX(SCDoc,$L834)="","—",INDEX(SCDoc,$L834)),IF($M834&lt;&gt;"",INDEX(LdgBankB,$M834),""))</f>
        <v/>
      </c>
      <c r="E834" s="25">
        <f>IF($L834&lt;&gt;"",IF(INDEX(SCCitrus,$L834)&amp;INDEX(SCNotes,$L834)="","",IF(INDEX(SCCitrus,$L834)="","",INDEX(SCCitrus,$L834))&amp;IF(INDEX(SCNotes,$L834)="",""," — "&amp;INDEX(SCNotes,$L834))),IF($M834&lt;&gt;"",IF(INDEX(LdgNoteB,$M834)="","—",INDEX(LdgNoteB,$M834)),""))</f>
        <v/>
      </c>
      <c r="F834" s="26">
        <f>IF($L834&lt;&gt;"",IF(INDEX(SCNet,$L834)=0,"",INDEX(SCNet,$L834)),"")</f>
        <v/>
      </c>
      <c r="G834" s="27">
        <f>IF($L834&lt;&gt;"",IF(INDEX(SCOp,$L834)="مرجوعی فروش","",IF(INDEX(SCAmount,$L834)&lt;=0,"",INDEX(SCAmount,$L834))),IF($M834&lt;&gt;"",IF(INDEX(LdgWitB,$M834)=0,"",INDEX(LdgWitB,$M834)),""))</f>
        <v/>
      </c>
      <c r="H834" s="27">
        <f>IF($L834&lt;&gt;"",IF(INDEX(SCOp,$L834)="مرجوعی فروش",IF(INDEX(SCAmount,$L834)=0,"",-INDEX(SCAmount,$L834)),""),IF($M834&lt;&gt;"",IF(INDEX(LdgDepB,$M834)=0,"",INDEX(LdgDepB,$M834)),""))</f>
        <v/>
      </c>
      <c r="I834" s="28">
        <f>IF($B834="","",IF($I833="",$C$10,$I833)+IF($G834="",0,$G834)-IF($H834="",0,$H834))</f>
        <v/>
      </c>
      <c r="L834">
        <f>IFERROR(MATCH($C$5&amp;"|"&amp;RIGHT("000000"&amp;818,6),LdgRankKeyA,0),"")</f>
        <v/>
      </c>
      <c r="M834">
        <f>IFERROR(MATCH($C$5&amp;"|"&amp;RIGHT("000000"&amp;818,6),LdgRankKeyB,0),"")</f>
        <v/>
      </c>
    </row>
    <row r="835">
      <c r="A835" s="17" t="n">
        <v>819</v>
      </c>
      <c r="B835" s="18">
        <f>IF(AND($L835="",$M835=""),"",IF($L835&lt;&gt;"",INDEX(SCNormDate,$L835),INDEX(LdgDateB,$M835)))</f>
        <v/>
      </c>
      <c r="C835" s="18">
        <f>IF($L835&lt;&gt;"",INDEX(SCOp,$L835),IF($M835&lt;&gt;"","پرداخت بانکی",""))</f>
        <v/>
      </c>
      <c r="D835" s="18">
        <f>IF($L835&lt;&gt;"",IF(INDEX(SCDoc,$L835)="","—",INDEX(SCDoc,$L835)),IF($M835&lt;&gt;"",INDEX(LdgBankB,$M835),""))</f>
        <v/>
      </c>
      <c r="E835" s="19">
        <f>IF($L835&lt;&gt;"",IF(INDEX(SCCitrus,$L835)&amp;INDEX(SCNotes,$L835)="","",IF(INDEX(SCCitrus,$L835)="","",INDEX(SCCitrus,$L835))&amp;IF(INDEX(SCNotes,$L835)="",""," — "&amp;INDEX(SCNotes,$L835))),IF($M835&lt;&gt;"",IF(INDEX(LdgNoteB,$M835)="","—",INDEX(LdgNoteB,$M835)),""))</f>
        <v/>
      </c>
      <c r="F835" s="20">
        <f>IF($L835&lt;&gt;"",IF(INDEX(SCNet,$L835)=0,"",INDEX(SCNet,$L835)),"")</f>
        <v/>
      </c>
      <c r="G835" s="21">
        <f>IF($L835&lt;&gt;"",IF(INDEX(SCOp,$L835)="مرجوعی فروش","",IF(INDEX(SCAmount,$L835)&lt;=0,"",INDEX(SCAmount,$L835))),IF($M835&lt;&gt;"",IF(INDEX(LdgWitB,$M835)=0,"",INDEX(LdgWitB,$M835)),""))</f>
        <v/>
      </c>
      <c r="H835" s="21">
        <f>IF($L835&lt;&gt;"",IF(INDEX(SCOp,$L835)="مرجوعی فروش",IF(INDEX(SCAmount,$L835)=0,"",-INDEX(SCAmount,$L835)),""),IF($M835&lt;&gt;"",IF(INDEX(LdgDepB,$M835)=0,"",INDEX(LdgDepB,$M835)),""))</f>
        <v/>
      </c>
      <c r="I835" s="22">
        <f>IF($B835="","",IF($I834="",$C$10,$I834)+IF($G835="",0,$G835)-IF($H835="",0,$H835))</f>
        <v/>
      </c>
      <c r="L835">
        <f>IFERROR(MATCH($C$5&amp;"|"&amp;RIGHT("000000"&amp;819,6),LdgRankKeyA,0),"")</f>
        <v/>
      </c>
      <c r="M835">
        <f>IFERROR(MATCH($C$5&amp;"|"&amp;RIGHT("000000"&amp;819,6),LdgRankKeyB,0),"")</f>
        <v/>
      </c>
    </row>
    <row r="836">
      <c r="A836" s="23" t="n">
        <v>820</v>
      </c>
      <c r="B836" s="24">
        <f>IF(AND($L836="",$M836=""),"",IF($L836&lt;&gt;"",INDEX(SCNormDate,$L836),INDEX(LdgDateB,$M836)))</f>
        <v/>
      </c>
      <c r="C836" s="24">
        <f>IF($L836&lt;&gt;"",INDEX(SCOp,$L836),IF($M836&lt;&gt;"","پرداخت بانکی",""))</f>
        <v/>
      </c>
      <c r="D836" s="24">
        <f>IF($L836&lt;&gt;"",IF(INDEX(SCDoc,$L836)="","—",INDEX(SCDoc,$L836)),IF($M836&lt;&gt;"",INDEX(LdgBankB,$M836),""))</f>
        <v/>
      </c>
      <c r="E836" s="25">
        <f>IF($L836&lt;&gt;"",IF(INDEX(SCCitrus,$L836)&amp;INDEX(SCNotes,$L836)="","",IF(INDEX(SCCitrus,$L836)="","",INDEX(SCCitrus,$L836))&amp;IF(INDEX(SCNotes,$L836)="",""," — "&amp;INDEX(SCNotes,$L836))),IF($M836&lt;&gt;"",IF(INDEX(LdgNoteB,$M836)="","—",INDEX(LdgNoteB,$M836)),""))</f>
        <v/>
      </c>
      <c r="F836" s="26">
        <f>IF($L836&lt;&gt;"",IF(INDEX(SCNet,$L836)=0,"",INDEX(SCNet,$L836)),"")</f>
        <v/>
      </c>
      <c r="G836" s="27">
        <f>IF($L836&lt;&gt;"",IF(INDEX(SCOp,$L836)="مرجوعی فروش","",IF(INDEX(SCAmount,$L836)&lt;=0,"",INDEX(SCAmount,$L836))),IF($M836&lt;&gt;"",IF(INDEX(LdgWitB,$M836)=0,"",INDEX(LdgWitB,$M836)),""))</f>
        <v/>
      </c>
      <c r="H836" s="27">
        <f>IF($L836&lt;&gt;"",IF(INDEX(SCOp,$L836)="مرجوعی فروش",IF(INDEX(SCAmount,$L836)=0,"",-INDEX(SCAmount,$L836)),""),IF($M836&lt;&gt;"",IF(INDEX(LdgDepB,$M836)=0,"",INDEX(LdgDepB,$M836)),""))</f>
        <v/>
      </c>
      <c r="I836" s="28">
        <f>IF($B836="","",IF($I835="",$C$10,$I835)+IF($G836="",0,$G836)-IF($H836="",0,$H836))</f>
        <v/>
      </c>
      <c r="L836">
        <f>IFERROR(MATCH($C$5&amp;"|"&amp;RIGHT("000000"&amp;820,6),LdgRankKeyA,0),"")</f>
        <v/>
      </c>
      <c r="M836">
        <f>IFERROR(MATCH($C$5&amp;"|"&amp;RIGHT("000000"&amp;820,6),LdgRankKeyB,0),"")</f>
        <v/>
      </c>
    </row>
    <row r="837">
      <c r="A837" s="17" t="n">
        <v>821</v>
      </c>
      <c r="B837" s="18">
        <f>IF(AND($L837="",$M837=""),"",IF($L837&lt;&gt;"",INDEX(SCNormDate,$L837),INDEX(LdgDateB,$M837)))</f>
        <v/>
      </c>
      <c r="C837" s="18">
        <f>IF($L837&lt;&gt;"",INDEX(SCOp,$L837),IF($M837&lt;&gt;"","پرداخت بانکی",""))</f>
        <v/>
      </c>
      <c r="D837" s="18">
        <f>IF($L837&lt;&gt;"",IF(INDEX(SCDoc,$L837)="","—",INDEX(SCDoc,$L837)),IF($M837&lt;&gt;"",INDEX(LdgBankB,$M837),""))</f>
        <v/>
      </c>
      <c r="E837" s="19">
        <f>IF($L837&lt;&gt;"",IF(INDEX(SCCitrus,$L837)&amp;INDEX(SCNotes,$L837)="","",IF(INDEX(SCCitrus,$L837)="","",INDEX(SCCitrus,$L837))&amp;IF(INDEX(SCNotes,$L837)="",""," — "&amp;INDEX(SCNotes,$L837))),IF($M837&lt;&gt;"",IF(INDEX(LdgNoteB,$M837)="","—",INDEX(LdgNoteB,$M837)),""))</f>
        <v/>
      </c>
      <c r="F837" s="20">
        <f>IF($L837&lt;&gt;"",IF(INDEX(SCNet,$L837)=0,"",INDEX(SCNet,$L837)),"")</f>
        <v/>
      </c>
      <c r="G837" s="21">
        <f>IF($L837&lt;&gt;"",IF(INDEX(SCOp,$L837)="مرجوعی فروش","",IF(INDEX(SCAmount,$L837)&lt;=0,"",INDEX(SCAmount,$L837))),IF($M837&lt;&gt;"",IF(INDEX(LdgWitB,$M837)=0,"",INDEX(LdgWitB,$M837)),""))</f>
        <v/>
      </c>
      <c r="H837" s="21">
        <f>IF($L837&lt;&gt;"",IF(INDEX(SCOp,$L837)="مرجوعی فروش",IF(INDEX(SCAmount,$L837)=0,"",-INDEX(SCAmount,$L837)),""),IF($M837&lt;&gt;"",IF(INDEX(LdgDepB,$M837)=0,"",INDEX(LdgDepB,$M837)),""))</f>
        <v/>
      </c>
      <c r="I837" s="22">
        <f>IF($B837="","",IF($I836="",$C$10,$I836)+IF($G837="",0,$G837)-IF($H837="",0,$H837))</f>
        <v/>
      </c>
      <c r="L837">
        <f>IFERROR(MATCH($C$5&amp;"|"&amp;RIGHT("000000"&amp;821,6),LdgRankKeyA,0),"")</f>
        <v/>
      </c>
      <c r="M837">
        <f>IFERROR(MATCH($C$5&amp;"|"&amp;RIGHT("000000"&amp;821,6),LdgRankKeyB,0),"")</f>
        <v/>
      </c>
    </row>
    <row r="838">
      <c r="A838" s="23" t="n">
        <v>822</v>
      </c>
      <c r="B838" s="24">
        <f>IF(AND($L838="",$M838=""),"",IF($L838&lt;&gt;"",INDEX(SCNormDate,$L838),INDEX(LdgDateB,$M838)))</f>
        <v/>
      </c>
      <c r="C838" s="24">
        <f>IF($L838&lt;&gt;"",INDEX(SCOp,$L838),IF($M838&lt;&gt;"","پرداخت بانکی",""))</f>
        <v/>
      </c>
      <c r="D838" s="24">
        <f>IF($L838&lt;&gt;"",IF(INDEX(SCDoc,$L838)="","—",INDEX(SCDoc,$L838)),IF($M838&lt;&gt;"",INDEX(LdgBankB,$M838),""))</f>
        <v/>
      </c>
      <c r="E838" s="25">
        <f>IF($L838&lt;&gt;"",IF(INDEX(SCCitrus,$L838)&amp;INDEX(SCNotes,$L838)="","",IF(INDEX(SCCitrus,$L838)="","",INDEX(SCCitrus,$L838))&amp;IF(INDEX(SCNotes,$L838)="",""," — "&amp;INDEX(SCNotes,$L838))),IF($M838&lt;&gt;"",IF(INDEX(LdgNoteB,$M838)="","—",INDEX(LdgNoteB,$M838)),""))</f>
        <v/>
      </c>
      <c r="F838" s="26">
        <f>IF($L838&lt;&gt;"",IF(INDEX(SCNet,$L838)=0,"",INDEX(SCNet,$L838)),"")</f>
        <v/>
      </c>
      <c r="G838" s="27">
        <f>IF($L838&lt;&gt;"",IF(INDEX(SCOp,$L838)="مرجوعی فروش","",IF(INDEX(SCAmount,$L838)&lt;=0,"",INDEX(SCAmount,$L838))),IF($M838&lt;&gt;"",IF(INDEX(LdgWitB,$M838)=0,"",INDEX(LdgWitB,$M838)),""))</f>
        <v/>
      </c>
      <c r="H838" s="27">
        <f>IF($L838&lt;&gt;"",IF(INDEX(SCOp,$L838)="مرجوعی فروش",IF(INDEX(SCAmount,$L838)=0,"",-INDEX(SCAmount,$L838)),""),IF($M838&lt;&gt;"",IF(INDEX(LdgDepB,$M838)=0,"",INDEX(LdgDepB,$M838)),""))</f>
        <v/>
      </c>
      <c r="I838" s="28">
        <f>IF($B838="","",IF($I837="",$C$10,$I837)+IF($G838="",0,$G838)-IF($H838="",0,$H838))</f>
        <v/>
      </c>
      <c r="L838">
        <f>IFERROR(MATCH($C$5&amp;"|"&amp;RIGHT("000000"&amp;822,6),LdgRankKeyA,0),"")</f>
        <v/>
      </c>
      <c r="M838">
        <f>IFERROR(MATCH($C$5&amp;"|"&amp;RIGHT("000000"&amp;822,6),LdgRankKeyB,0),"")</f>
        <v/>
      </c>
    </row>
    <row r="839">
      <c r="A839" s="17" t="n">
        <v>823</v>
      </c>
      <c r="B839" s="18">
        <f>IF(AND($L839="",$M839=""),"",IF($L839&lt;&gt;"",INDEX(SCNormDate,$L839),INDEX(LdgDateB,$M839)))</f>
        <v/>
      </c>
      <c r="C839" s="18">
        <f>IF($L839&lt;&gt;"",INDEX(SCOp,$L839),IF($M839&lt;&gt;"","پرداخت بانکی",""))</f>
        <v/>
      </c>
      <c r="D839" s="18">
        <f>IF($L839&lt;&gt;"",IF(INDEX(SCDoc,$L839)="","—",INDEX(SCDoc,$L839)),IF($M839&lt;&gt;"",INDEX(LdgBankB,$M839),""))</f>
        <v/>
      </c>
      <c r="E839" s="19">
        <f>IF($L839&lt;&gt;"",IF(INDEX(SCCitrus,$L839)&amp;INDEX(SCNotes,$L839)="","",IF(INDEX(SCCitrus,$L839)="","",INDEX(SCCitrus,$L839))&amp;IF(INDEX(SCNotes,$L839)="",""," — "&amp;INDEX(SCNotes,$L839))),IF($M839&lt;&gt;"",IF(INDEX(LdgNoteB,$M839)="","—",INDEX(LdgNoteB,$M839)),""))</f>
        <v/>
      </c>
      <c r="F839" s="20">
        <f>IF($L839&lt;&gt;"",IF(INDEX(SCNet,$L839)=0,"",INDEX(SCNet,$L839)),"")</f>
        <v/>
      </c>
      <c r="G839" s="21">
        <f>IF($L839&lt;&gt;"",IF(INDEX(SCOp,$L839)="مرجوعی فروش","",IF(INDEX(SCAmount,$L839)&lt;=0,"",INDEX(SCAmount,$L839))),IF($M839&lt;&gt;"",IF(INDEX(LdgWitB,$M839)=0,"",INDEX(LdgWitB,$M839)),""))</f>
        <v/>
      </c>
      <c r="H839" s="21">
        <f>IF($L839&lt;&gt;"",IF(INDEX(SCOp,$L839)="مرجوعی فروش",IF(INDEX(SCAmount,$L839)=0,"",-INDEX(SCAmount,$L839)),""),IF($M839&lt;&gt;"",IF(INDEX(LdgDepB,$M839)=0,"",INDEX(LdgDepB,$M839)),""))</f>
        <v/>
      </c>
      <c r="I839" s="22">
        <f>IF($B839="","",IF($I838="",$C$10,$I838)+IF($G839="",0,$G839)-IF($H839="",0,$H839))</f>
        <v/>
      </c>
      <c r="L839">
        <f>IFERROR(MATCH($C$5&amp;"|"&amp;RIGHT("000000"&amp;823,6),LdgRankKeyA,0),"")</f>
        <v/>
      </c>
      <c r="M839">
        <f>IFERROR(MATCH($C$5&amp;"|"&amp;RIGHT("000000"&amp;823,6),LdgRankKeyB,0),"")</f>
        <v/>
      </c>
    </row>
    <row r="840">
      <c r="A840" s="23" t="n">
        <v>824</v>
      </c>
      <c r="B840" s="24">
        <f>IF(AND($L840="",$M840=""),"",IF($L840&lt;&gt;"",INDEX(SCNormDate,$L840),INDEX(LdgDateB,$M840)))</f>
        <v/>
      </c>
      <c r="C840" s="24">
        <f>IF($L840&lt;&gt;"",INDEX(SCOp,$L840),IF($M840&lt;&gt;"","پرداخت بانکی",""))</f>
        <v/>
      </c>
      <c r="D840" s="24">
        <f>IF($L840&lt;&gt;"",IF(INDEX(SCDoc,$L840)="","—",INDEX(SCDoc,$L840)),IF($M840&lt;&gt;"",INDEX(LdgBankB,$M840),""))</f>
        <v/>
      </c>
      <c r="E840" s="25">
        <f>IF($L840&lt;&gt;"",IF(INDEX(SCCitrus,$L840)&amp;INDEX(SCNotes,$L840)="","",IF(INDEX(SCCitrus,$L840)="","",INDEX(SCCitrus,$L840))&amp;IF(INDEX(SCNotes,$L840)="",""," — "&amp;INDEX(SCNotes,$L840))),IF($M840&lt;&gt;"",IF(INDEX(LdgNoteB,$M840)="","—",INDEX(LdgNoteB,$M840)),""))</f>
        <v/>
      </c>
      <c r="F840" s="26">
        <f>IF($L840&lt;&gt;"",IF(INDEX(SCNet,$L840)=0,"",INDEX(SCNet,$L840)),"")</f>
        <v/>
      </c>
      <c r="G840" s="27">
        <f>IF($L840&lt;&gt;"",IF(INDEX(SCOp,$L840)="مرجوعی فروش","",IF(INDEX(SCAmount,$L840)&lt;=0,"",INDEX(SCAmount,$L840))),IF($M840&lt;&gt;"",IF(INDEX(LdgWitB,$M840)=0,"",INDEX(LdgWitB,$M840)),""))</f>
        <v/>
      </c>
      <c r="H840" s="27">
        <f>IF($L840&lt;&gt;"",IF(INDEX(SCOp,$L840)="مرجوعی فروش",IF(INDEX(SCAmount,$L840)=0,"",-INDEX(SCAmount,$L840)),""),IF($M840&lt;&gt;"",IF(INDEX(LdgDepB,$M840)=0,"",INDEX(LdgDepB,$M840)),""))</f>
        <v/>
      </c>
      <c r="I840" s="28">
        <f>IF($B840="","",IF($I839="",$C$10,$I839)+IF($G840="",0,$G840)-IF($H840="",0,$H840))</f>
        <v/>
      </c>
      <c r="L840">
        <f>IFERROR(MATCH($C$5&amp;"|"&amp;RIGHT("000000"&amp;824,6),LdgRankKeyA,0),"")</f>
        <v/>
      </c>
      <c r="M840">
        <f>IFERROR(MATCH($C$5&amp;"|"&amp;RIGHT("000000"&amp;824,6),LdgRankKeyB,0),"")</f>
        <v/>
      </c>
    </row>
    <row r="841">
      <c r="A841" s="17" t="n">
        <v>825</v>
      </c>
      <c r="B841" s="18">
        <f>IF(AND($L841="",$M841=""),"",IF($L841&lt;&gt;"",INDEX(SCNormDate,$L841),INDEX(LdgDateB,$M841)))</f>
        <v/>
      </c>
      <c r="C841" s="18">
        <f>IF($L841&lt;&gt;"",INDEX(SCOp,$L841),IF($M841&lt;&gt;"","پرداخت بانکی",""))</f>
        <v/>
      </c>
      <c r="D841" s="18">
        <f>IF($L841&lt;&gt;"",IF(INDEX(SCDoc,$L841)="","—",INDEX(SCDoc,$L841)),IF($M841&lt;&gt;"",INDEX(LdgBankB,$M841),""))</f>
        <v/>
      </c>
      <c r="E841" s="19">
        <f>IF($L841&lt;&gt;"",IF(INDEX(SCCitrus,$L841)&amp;INDEX(SCNotes,$L841)="","",IF(INDEX(SCCitrus,$L841)="","",INDEX(SCCitrus,$L841))&amp;IF(INDEX(SCNotes,$L841)="",""," — "&amp;INDEX(SCNotes,$L841))),IF($M841&lt;&gt;"",IF(INDEX(LdgNoteB,$M841)="","—",INDEX(LdgNoteB,$M841)),""))</f>
        <v/>
      </c>
      <c r="F841" s="20">
        <f>IF($L841&lt;&gt;"",IF(INDEX(SCNet,$L841)=0,"",INDEX(SCNet,$L841)),"")</f>
        <v/>
      </c>
      <c r="G841" s="21">
        <f>IF($L841&lt;&gt;"",IF(INDEX(SCOp,$L841)="مرجوعی فروش","",IF(INDEX(SCAmount,$L841)&lt;=0,"",INDEX(SCAmount,$L841))),IF($M841&lt;&gt;"",IF(INDEX(LdgWitB,$M841)=0,"",INDEX(LdgWitB,$M841)),""))</f>
        <v/>
      </c>
      <c r="H841" s="21">
        <f>IF($L841&lt;&gt;"",IF(INDEX(SCOp,$L841)="مرجوعی فروش",IF(INDEX(SCAmount,$L841)=0,"",-INDEX(SCAmount,$L841)),""),IF($M841&lt;&gt;"",IF(INDEX(LdgDepB,$M841)=0,"",INDEX(LdgDepB,$M841)),""))</f>
        <v/>
      </c>
      <c r="I841" s="22">
        <f>IF($B841="","",IF($I840="",$C$10,$I840)+IF($G841="",0,$G841)-IF($H841="",0,$H841))</f>
        <v/>
      </c>
      <c r="L841">
        <f>IFERROR(MATCH($C$5&amp;"|"&amp;RIGHT("000000"&amp;825,6),LdgRankKeyA,0),"")</f>
        <v/>
      </c>
      <c r="M841">
        <f>IFERROR(MATCH($C$5&amp;"|"&amp;RIGHT("000000"&amp;825,6),LdgRankKeyB,0),"")</f>
        <v/>
      </c>
    </row>
    <row r="842">
      <c r="A842" s="23" t="n">
        <v>826</v>
      </c>
      <c r="B842" s="24">
        <f>IF(AND($L842="",$M842=""),"",IF($L842&lt;&gt;"",INDEX(SCNormDate,$L842),INDEX(LdgDateB,$M842)))</f>
        <v/>
      </c>
      <c r="C842" s="24">
        <f>IF($L842&lt;&gt;"",INDEX(SCOp,$L842),IF($M842&lt;&gt;"","پرداخت بانکی",""))</f>
        <v/>
      </c>
      <c r="D842" s="24">
        <f>IF($L842&lt;&gt;"",IF(INDEX(SCDoc,$L842)="","—",INDEX(SCDoc,$L842)),IF($M842&lt;&gt;"",INDEX(LdgBankB,$M842),""))</f>
        <v/>
      </c>
      <c r="E842" s="25">
        <f>IF($L842&lt;&gt;"",IF(INDEX(SCCitrus,$L842)&amp;INDEX(SCNotes,$L842)="","",IF(INDEX(SCCitrus,$L842)="","",INDEX(SCCitrus,$L842))&amp;IF(INDEX(SCNotes,$L842)="",""," — "&amp;INDEX(SCNotes,$L842))),IF($M842&lt;&gt;"",IF(INDEX(LdgNoteB,$M842)="","—",INDEX(LdgNoteB,$M842)),""))</f>
        <v/>
      </c>
      <c r="F842" s="26">
        <f>IF($L842&lt;&gt;"",IF(INDEX(SCNet,$L842)=0,"",INDEX(SCNet,$L842)),"")</f>
        <v/>
      </c>
      <c r="G842" s="27">
        <f>IF($L842&lt;&gt;"",IF(INDEX(SCOp,$L842)="مرجوعی فروش","",IF(INDEX(SCAmount,$L842)&lt;=0,"",INDEX(SCAmount,$L842))),IF($M842&lt;&gt;"",IF(INDEX(LdgWitB,$M842)=0,"",INDEX(LdgWitB,$M842)),""))</f>
        <v/>
      </c>
      <c r="H842" s="27">
        <f>IF($L842&lt;&gt;"",IF(INDEX(SCOp,$L842)="مرجوعی فروش",IF(INDEX(SCAmount,$L842)=0,"",-INDEX(SCAmount,$L842)),""),IF($M842&lt;&gt;"",IF(INDEX(LdgDepB,$M842)=0,"",INDEX(LdgDepB,$M842)),""))</f>
        <v/>
      </c>
      <c r="I842" s="28">
        <f>IF($B842="","",IF($I841="",$C$10,$I841)+IF($G842="",0,$G842)-IF($H842="",0,$H842))</f>
        <v/>
      </c>
      <c r="L842">
        <f>IFERROR(MATCH($C$5&amp;"|"&amp;RIGHT("000000"&amp;826,6),LdgRankKeyA,0),"")</f>
        <v/>
      </c>
      <c r="M842">
        <f>IFERROR(MATCH($C$5&amp;"|"&amp;RIGHT("000000"&amp;826,6),LdgRankKeyB,0),"")</f>
        <v/>
      </c>
    </row>
    <row r="843">
      <c r="A843" s="17" t="n">
        <v>827</v>
      </c>
      <c r="B843" s="18">
        <f>IF(AND($L843="",$M843=""),"",IF($L843&lt;&gt;"",INDEX(SCNormDate,$L843),INDEX(LdgDateB,$M843)))</f>
        <v/>
      </c>
      <c r="C843" s="18">
        <f>IF($L843&lt;&gt;"",INDEX(SCOp,$L843),IF($M843&lt;&gt;"","پرداخت بانکی",""))</f>
        <v/>
      </c>
      <c r="D843" s="18">
        <f>IF($L843&lt;&gt;"",IF(INDEX(SCDoc,$L843)="","—",INDEX(SCDoc,$L843)),IF($M843&lt;&gt;"",INDEX(LdgBankB,$M843),""))</f>
        <v/>
      </c>
      <c r="E843" s="19">
        <f>IF($L843&lt;&gt;"",IF(INDEX(SCCitrus,$L843)&amp;INDEX(SCNotes,$L843)="","",IF(INDEX(SCCitrus,$L843)="","",INDEX(SCCitrus,$L843))&amp;IF(INDEX(SCNotes,$L843)="",""," — "&amp;INDEX(SCNotes,$L843))),IF($M843&lt;&gt;"",IF(INDEX(LdgNoteB,$M843)="","—",INDEX(LdgNoteB,$M843)),""))</f>
        <v/>
      </c>
      <c r="F843" s="20">
        <f>IF($L843&lt;&gt;"",IF(INDEX(SCNet,$L843)=0,"",INDEX(SCNet,$L843)),"")</f>
        <v/>
      </c>
      <c r="G843" s="21">
        <f>IF($L843&lt;&gt;"",IF(INDEX(SCOp,$L843)="مرجوعی فروش","",IF(INDEX(SCAmount,$L843)&lt;=0,"",INDEX(SCAmount,$L843))),IF($M843&lt;&gt;"",IF(INDEX(LdgWitB,$M843)=0,"",INDEX(LdgWitB,$M843)),""))</f>
        <v/>
      </c>
      <c r="H843" s="21">
        <f>IF($L843&lt;&gt;"",IF(INDEX(SCOp,$L843)="مرجوعی فروش",IF(INDEX(SCAmount,$L843)=0,"",-INDEX(SCAmount,$L843)),""),IF($M843&lt;&gt;"",IF(INDEX(LdgDepB,$M843)=0,"",INDEX(LdgDepB,$M843)),""))</f>
        <v/>
      </c>
      <c r="I843" s="22">
        <f>IF($B843="","",IF($I842="",$C$10,$I842)+IF($G843="",0,$G843)-IF($H843="",0,$H843))</f>
        <v/>
      </c>
      <c r="L843">
        <f>IFERROR(MATCH($C$5&amp;"|"&amp;RIGHT("000000"&amp;827,6),LdgRankKeyA,0),"")</f>
        <v/>
      </c>
      <c r="M843">
        <f>IFERROR(MATCH($C$5&amp;"|"&amp;RIGHT("000000"&amp;827,6),LdgRankKeyB,0),"")</f>
        <v/>
      </c>
    </row>
    <row r="844">
      <c r="A844" s="23" t="n">
        <v>828</v>
      </c>
      <c r="B844" s="24">
        <f>IF(AND($L844="",$M844=""),"",IF($L844&lt;&gt;"",INDEX(SCNormDate,$L844),INDEX(LdgDateB,$M844)))</f>
        <v/>
      </c>
      <c r="C844" s="24">
        <f>IF($L844&lt;&gt;"",INDEX(SCOp,$L844),IF($M844&lt;&gt;"","پرداخت بانکی",""))</f>
        <v/>
      </c>
      <c r="D844" s="24">
        <f>IF($L844&lt;&gt;"",IF(INDEX(SCDoc,$L844)="","—",INDEX(SCDoc,$L844)),IF($M844&lt;&gt;"",INDEX(LdgBankB,$M844),""))</f>
        <v/>
      </c>
      <c r="E844" s="25">
        <f>IF($L844&lt;&gt;"",IF(INDEX(SCCitrus,$L844)&amp;INDEX(SCNotes,$L844)="","",IF(INDEX(SCCitrus,$L844)="","",INDEX(SCCitrus,$L844))&amp;IF(INDEX(SCNotes,$L844)="",""," — "&amp;INDEX(SCNotes,$L844))),IF($M844&lt;&gt;"",IF(INDEX(LdgNoteB,$M844)="","—",INDEX(LdgNoteB,$M844)),""))</f>
        <v/>
      </c>
      <c r="F844" s="26">
        <f>IF($L844&lt;&gt;"",IF(INDEX(SCNet,$L844)=0,"",INDEX(SCNet,$L844)),"")</f>
        <v/>
      </c>
      <c r="G844" s="27">
        <f>IF($L844&lt;&gt;"",IF(INDEX(SCOp,$L844)="مرجوعی فروش","",IF(INDEX(SCAmount,$L844)&lt;=0,"",INDEX(SCAmount,$L844))),IF($M844&lt;&gt;"",IF(INDEX(LdgWitB,$M844)=0,"",INDEX(LdgWitB,$M844)),""))</f>
        <v/>
      </c>
      <c r="H844" s="27">
        <f>IF($L844&lt;&gt;"",IF(INDEX(SCOp,$L844)="مرجوعی فروش",IF(INDEX(SCAmount,$L844)=0,"",-INDEX(SCAmount,$L844)),""),IF($M844&lt;&gt;"",IF(INDEX(LdgDepB,$M844)=0,"",INDEX(LdgDepB,$M844)),""))</f>
        <v/>
      </c>
      <c r="I844" s="28">
        <f>IF($B844="","",IF($I843="",$C$10,$I843)+IF($G844="",0,$G844)-IF($H844="",0,$H844))</f>
        <v/>
      </c>
      <c r="L844">
        <f>IFERROR(MATCH($C$5&amp;"|"&amp;RIGHT("000000"&amp;828,6),LdgRankKeyA,0),"")</f>
        <v/>
      </c>
      <c r="M844">
        <f>IFERROR(MATCH($C$5&amp;"|"&amp;RIGHT("000000"&amp;828,6),LdgRankKeyB,0),"")</f>
        <v/>
      </c>
    </row>
    <row r="845">
      <c r="A845" s="17" t="n">
        <v>829</v>
      </c>
      <c r="B845" s="18">
        <f>IF(AND($L845="",$M845=""),"",IF($L845&lt;&gt;"",INDEX(SCNormDate,$L845),INDEX(LdgDateB,$M845)))</f>
        <v/>
      </c>
      <c r="C845" s="18">
        <f>IF($L845&lt;&gt;"",INDEX(SCOp,$L845),IF($M845&lt;&gt;"","پرداخت بانکی",""))</f>
        <v/>
      </c>
      <c r="D845" s="18">
        <f>IF($L845&lt;&gt;"",IF(INDEX(SCDoc,$L845)="","—",INDEX(SCDoc,$L845)),IF($M845&lt;&gt;"",INDEX(LdgBankB,$M845),""))</f>
        <v/>
      </c>
      <c r="E845" s="19">
        <f>IF($L845&lt;&gt;"",IF(INDEX(SCCitrus,$L845)&amp;INDEX(SCNotes,$L845)="","",IF(INDEX(SCCitrus,$L845)="","",INDEX(SCCitrus,$L845))&amp;IF(INDEX(SCNotes,$L845)="",""," — "&amp;INDEX(SCNotes,$L845))),IF($M845&lt;&gt;"",IF(INDEX(LdgNoteB,$M845)="","—",INDEX(LdgNoteB,$M845)),""))</f>
        <v/>
      </c>
      <c r="F845" s="20">
        <f>IF($L845&lt;&gt;"",IF(INDEX(SCNet,$L845)=0,"",INDEX(SCNet,$L845)),"")</f>
        <v/>
      </c>
      <c r="G845" s="21">
        <f>IF($L845&lt;&gt;"",IF(INDEX(SCOp,$L845)="مرجوعی فروش","",IF(INDEX(SCAmount,$L845)&lt;=0,"",INDEX(SCAmount,$L845))),IF($M845&lt;&gt;"",IF(INDEX(LdgWitB,$M845)=0,"",INDEX(LdgWitB,$M845)),""))</f>
        <v/>
      </c>
      <c r="H845" s="21">
        <f>IF($L845&lt;&gt;"",IF(INDEX(SCOp,$L845)="مرجوعی فروش",IF(INDEX(SCAmount,$L845)=0,"",-INDEX(SCAmount,$L845)),""),IF($M845&lt;&gt;"",IF(INDEX(LdgDepB,$M845)=0,"",INDEX(LdgDepB,$M845)),""))</f>
        <v/>
      </c>
      <c r="I845" s="22">
        <f>IF($B845="","",IF($I844="",$C$10,$I844)+IF($G845="",0,$G845)-IF($H845="",0,$H845))</f>
        <v/>
      </c>
      <c r="L845">
        <f>IFERROR(MATCH($C$5&amp;"|"&amp;RIGHT("000000"&amp;829,6),LdgRankKeyA,0),"")</f>
        <v/>
      </c>
      <c r="M845">
        <f>IFERROR(MATCH($C$5&amp;"|"&amp;RIGHT("000000"&amp;829,6),LdgRankKeyB,0),"")</f>
        <v/>
      </c>
    </row>
    <row r="846">
      <c r="A846" s="23" t="n">
        <v>830</v>
      </c>
      <c r="B846" s="24">
        <f>IF(AND($L846="",$M846=""),"",IF($L846&lt;&gt;"",INDEX(SCNormDate,$L846),INDEX(LdgDateB,$M846)))</f>
        <v/>
      </c>
      <c r="C846" s="24">
        <f>IF($L846&lt;&gt;"",INDEX(SCOp,$L846),IF($M846&lt;&gt;"","پرداخت بانکی",""))</f>
        <v/>
      </c>
      <c r="D846" s="24">
        <f>IF($L846&lt;&gt;"",IF(INDEX(SCDoc,$L846)="","—",INDEX(SCDoc,$L846)),IF($M846&lt;&gt;"",INDEX(LdgBankB,$M846),""))</f>
        <v/>
      </c>
      <c r="E846" s="25">
        <f>IF($L846&lt;&gt;"",IF(INDEX(SCCitrus,$L846)&amp;INDEX(SCNotes,$L846)="","",IF(INDEX(SCCitrus,$L846)="","",INDEX(SCCitrus,$L846))&amp;IF(INDEX(SCNotes,$L846)="",""," — "&amp;INDEX(SCNotes,$L846))),IF($M846&lt;&gt;"",IF(INDEX(LdgNoteB,$M846)="","—",INDEX(LdgNoteB,$M846)),""))</f>
        <v/>
      </c>
      <c r="F846" s="26">
        <f>IF($L846&lt;&gt;"",IF(INDEX(SCNet,$L846)=0,"",INDEX(SCNet,$L846)),"")</f>
        <v/>
      </c>
      <c r="G846" s="27">
        <f>IF($L846&lt;&gt;"",IF(INDEX(SCOp,$L846)="مرجوعی فروش","",IF(INDEX(SCAmount,$L846)&lt;=0,"",INDEX(SCAmount,$L846))),IF($M846&lt;&gt;"",IF(INDEX(LdgWitB,$M846)=0,"",INDEX(LdgWitB,$M846)),""))</f>
        <v/>
      </c>
      <c r="H846" s="27">
        <f>IF($L846&lt;&gt;"",IF(INDEX(SCOp,$L846)="مرجوعی فروش",IF(INDEX(SCAmount,$L846)=0,"",-INDEX(SCAmount,$L846)),""),IF($M846&lt;&gt;"",IF(INDEX(LdgDepB,$M846)=0,"",INDEX(LdgDepB,$M846)),""))</f>
        <v/>
      </c>
      <c r="I846" s="28">
        <f>IF($B846="","",IF($I845="",$C$10,$I845)+IF($G846="",0,$G846)-IF($H846="",0,$H846))</f>
        <v/>
      </c>
      <c r="L846">
        <f>IFERROR(MATCH($C$5&amp;"|"&amp;RIGHT("000000"&amp;830,6),LdgRankKeyA,0),"")</f>
        <v/>
      </c>
      <c r="M846">
        <f>IFERROR(MATCH($C$5&amp;"|"&amp;RIGHT("000000"&amp;830,6),LdgRankKeyB,0),"")</f>
        <v/>
      </c>
    </row>
    <row r="847">
      <c r="A847" s="17" t="n">
        <v>831</v>
      </c>
      <c r="B847" s="18">
        <f>IF(AND($L847="",$M847=""),"",IF($L847&lt;&gt;"",INDEX(SCNormDate,$L847),INDEX(LdgDateB,$M847)))</f>
        <v/>
      </c>
      <c r="C847" s="18">
        <f>IF($L847&lt;&gt;"",INDEX(SCOp,$L847),IF($M847&lt;&gt;"","پرداخت بانکی",""))</f>
        <v/>
      </c>
      <c r="D847" s="18">
        <f>IF($L847&lt;&gt;"",IF(INDEX(SCDoc,$L847)="","—",INDEX(SCDoc,$L847)),IF($M847&lt;&gt;"",INDEX(LdgBankB,$M847),""))</f>
        <v/>
      </c>
      <c r="E847" s="19">
        <f>IF($L847&lt;&gt;"",IF(INDEX(SCCitrus,$L847)&amp;INDEX(SCNotes,$L847)="","",IF(INDEX(SCCitrus,$L847)="","",INDEX(SCCitrus,$L847))&amp;IF(INDEX(SCNotes,$L847)="",""," — "&amp;INDEX(SCNotes,$L847))),IF($M847&lt;&gt;"",IF(INDEX(LdgNoteB,$M847)="","—",INDEX(LdgNoteB,$M847)),""))</f>
        <v/>
      </c>
      <c r="F847" s="20">
        <f>IF($L847&lt;&gt;"",IF(INDEX(SCNet,$L847)=0,"",INDEX(SCNet,$L847)),"")</f>
        <v/>
      </c>
      <c r="G847" s="21">
        <f>IF($L847&lt;&gt;"",IF(INDEX(SCOp,$L847)="مرجوعی فروش","",IF(INDEX(SCAmount,$L847)&lt;=0,"",INDEX(SCAmount,$L847))),IF($M847&lt;&gt;"",IF(INDEX(LdgWitB,$M847)=0,"",INDEX(LdgWitB,$M847)),""))</f>
        <v/>
      </c>
      <c r="H847" s="21">
        <f>IF($L847&lt;&gt;"",IF(INDEX(SCOp,$L847)="مرجوعی فروش",IF(INDEX(SCAmount,$L847)=0,"",-INDEX(SCAmount,$L847)),""),IF($M847&lt;&gt;"",IF(INDEX(LdgDepB,$M847)=0,"",INDEX(LdgDepB,$M847)),""))</f>
        <v/>
      </c>
      <c r="I847" s="22">
        <f>IF($B847="","",IF($I846="",$C$10,$I846)+IF($G847="",0,$G847)-IF($H847="",0,$H847))</f>
        <v/>
      </c>
      <c r="L847">
        <f>IFERROR(MATCH($C$5&amp;"|"&amp;RIGHT("000000"&amp;831,6),LdgRankKeyA,0),"")</f>
        <v/>
      </c>
      <c r="M847">
        <f>IFERROR(MATCH($C$5&amp;"|"&amp;RIGHT("000000"&amp;831,6),LdgRankKeyB,0),"")</f>
        <v/>
      </c>
    </row>
    <row r="848">
      <c r="A848" s="23" t="n">
        <v>832</v>
      </c>
      <c r="B848" s="24">
        <f>IF(AND($L848="",$M848=""),"",IF($L848&lt;&gt;"",INDEX(SCNormDate,$L848),INDEX(LdgDateB,$M848)))</f>
        <v/>
      </c>
      <c r="C848" s="24">
        <f>IF($L848&lt;&gt;"",INDEX(SCOp,$L848),IF($M848&lt;&gt;"","پرداخت بانکی",""))</f>
        <v/>
      </c>
      <c r="D848" s="24">
        <f>IF($L848&lt;&gt;"",IF(INDEX(SCDoc,$L848)="","—",INDEX(SCDoc,$L848)),IF($M848&lt;&gt;"",INDEX(LdgBankB,$M848),""))</f>
        <v/>
      </c>
      <c r="E848" s="25">
        <f>IF($L848&lt;&gt;"",IF(INDEX(SCCitrus,$L848)&amp;INDEX(SCNotes,$L848)="","",IF(INDEX(SCCitrus,$L848)="","",INDEX(SCCitrus,$L848))&amp;IF(INDEX(SCNotes,$L848)="",""," — "&amp;INDEX(SCNotes,$L848))),IF($M848&lt;&gt;"",IF(INDEX(LdgNoteB,$M848)="","—",INDEX(LdgNoteB,$M848)),""))</f>
        <v/>
      </c>
      <c r="F848" s="26">
        <f>IF($L848&lt;&gt;"",IF(INDEX(SCNet,$L848)=0,"",INDEX(SCNet,$L848)),"")</f>
        <v/>
      </c>
      <c r="G848" s="27">
        <f>IF($L848&lt;&gt;"",IF(INDEX(SCOp,$L848)="مرجوعی فروش","",IF(INDEX(SCAmount,$L848)&lt;=0,"",INDEX(SCAmount,$L848))),IF($M848&lt;&gt;"",IF(INDEX(LdgWitB,$M848)=0,"",INDEX(LdgWitB,$M848)),""))</f>
        <v/>
      </c>
      <c r="H848" s="27">
        <f>IF($L848&lt;&gt;"",IF(INDEX(SCOp,$L848)="مرجوعی فروش",IF(INDEX(SCAmount,$L848)=0,"",-INDEX(SCAmount,$L848)),""),IF($M848&lt;&gt;"",IF(INDEX(LdgDepB,$M848)=0,"",INDEX(LdgDepB,$M848)),""))</f>
        <v/>
      </c>
      <c r="I848" s="28">
        <f>IF($B848="","",IF($I847="",$C$10,$I847)+IF($G848="",0,$G848)-IF($H848="",0,$H848))</f>
        <v/>
      </c>
      <c r="L848">
        <f>IFERROR(MATCH($C$5&amp;"|"&amp;RIGHT("000000"&amp;832,6),LdgRankKeyA,0),"")</f>
        <v/>
      </c>
      <c r="M848">
        <f>IFERROR(MATCH($C$5&amp;"|"&amp;RIGHT("000000"&amp;832,6),LdgRankKeyB,0),"")</f>
        <v/>
      </c>
    </row>
    <row r="849">
      <c r="A849" s="17" t="n">
        <v>833</v>
      </c>
      <c r="B849" s="18">
        <f>IF(AND($L849="",$M849=""),"",IF($L849&lt;&gt;"",INDEX(SCNormDate,$L849),INDEX(LdgDateB,$M849)))</f>
        <v/>
      </c>
      <c r="C849" s="18">
        <f>IF($L849&lt;&gt;"",INDEX(SCOp,$L849),IF($M849&lt;&gt;"","پرداخت بانکی",""))</f>
        <v/>
      </c>
      <c r="D849" s="18">
        <f>IF($L849&lt;&gt;"",IF(INDEX(SCDoc,$L849)="","—",INDEX(SCDoc,$L849)),IF($M849&lt;&gt;"",INDEX(LdgBankB,$M849),""))</f>
        <v/>
      </c>
      <c r="E849" s="19">
        <f>IF($L849&lt;&gt;"",IF(INDEX(SCCitrus,$L849)&amp;INDEX(SCNotes,$L849)="","",IF(INDEX(SCCitrus,$L849)="","",INDEX(SCCitrus,$L849))&amp;IF(INDEX(SCNotes,$L849)="",""," — "&amp;INDEX(SCNotes,$L849))),IF($M849&lt;&gt;"",IF(INDEX(LdgNoteB,$M849)="","—",INDEX(LdgNoteB,$M849)),""))</f>
        <v/>
      </c>
      <c r="F849" s="20">
        <f>IF($L849&lt;&gt;"",IF(INDEX(SCNet,$L849)=0,"",INDEX(SCNet,$L849)),"")</f>
        <v/>
      </c>
      <c r="G849" s="21">
        <f>IF($L849&lt;&gt;"",IF(INDEX(SCOp,$L849)="مرجوعی فروش","",IF(INDEX(SCAmount,$L849)&lt;=0,"",INDEX(SCAmount,$L849))),IF($M849&lt;&gt;"",IF(INDEX(LdgWitB,$M849)=0,"",INDEX(LdgWitB,$M849)),""))</f>
        <v/>
      </c>
      <c r="H849" s="21">
        <f>IF($L849&lt;&gt;"",IF(INDEX(SCOp,$L849)="مرجوعی فروش",IF(INDEX(SCAmount,$L849)=0,"",-INDEX(SCAmount,$L849)),""),IF($M849&lt;&gt;"",IF(INDEX(LdgDepB,$M849)=0,"",INDEX(LdgDepB,$M849)),""))</f>
        <v/>
      </c>
      <c r="I849" s="22">
        <f>IF($B849="","",IF($I848="",$C$10,$I848)+IF($G849="",0,$G849)-IF($H849="",0,$H849))</f>
        <v/>
      </c>
      <c r="L849">
        <f>IFERROR(MATCH($C$5&amp;"|"&amp;RIGHT("000000"&amp;833,6),LdgRankKeyA,0),"")</f>
        <v/>
      </c>
      <c r="M849">
        <f>IFERROR(MATCH($C$5&amp;"|"&amp;RIGHT("000000"&amp;833,6),LdgRankKeyB,0),"")</f>
        <v/>
      </c>
    </row>
    <row r="850">
      <c r="A850" s="23" t="n">
        <v>834</v>
      </c>
      <c r="B850" s="24">
        <f>IF(AND($L850="",$M850=""),"",IF($L850&lt;&gt;"",INDEX(SCNormDate,$L850),INDEX(LdgDateB,$M850)))</f>
        <v/>
      </c>
      <c r="C850" s="24">
        <f>IF($L850&lt;&gt;"",INDEX(SCOp,$L850),IF($M850&lt;&gt;"","پرداخت بانکی",""))</f>
        <v/>
      </c>
      <c r="D850" s="24">
        <f>IF($L850&lt;&gt;"",IF(INDEX(SCDoc,$L850)="","—",INDEX(SCDoc,$L850)),IF($M850&lt;&gt;"",INDEX(LdgBankB,$M850),""))</f>
        <v/>
      </c>
      <c r="E850" s="25">
        <f>IF($L850&lt;&gt;"",IF(INDEX(SCCitrus,$L850)&amp;INDEX(SCNotes,$L850)="","",IF(INDEX(SCCitrus,$L850)="","",INDEX(SCCitrus,$L850))&amp;IF(INDEX(SCNotes,$L850)="",""," — "&amp;INDEX(SCNotes,$L850))),IF($M850&lt;&gt;"",IF(INDEX(LdgNoteB,$M850)="","—",INDEX(LdgNoteB,$M850)),""))</f>
        <v/>
      </c>
      <c r="F850" s="26">
        <f>IF($L850&lt;&gt;"",IF(INDEX(SCNet,$L850)=0,"",INDEX(SCNet,$L850)),"")</f>
        <v/>
      </c>
      <c r="G850" s="27">
        <f>IF($L850&lt;&gt;"",IF(INDEX(SCOp,$L850)="مرجوعی فروش","",IF(INDEX(SCAmount,$L850)&lt;=0,"",INDEX(SCAmount,$L850))),IF($M850&lt;&gt;"",IF(INDEX(LdgWitB,$M850)=0,"",INDEX(LdgWitB,$M850)),""))</f>
        <v/>
      </c>
      <c r="H850" s="27">
        <f>IF($L850&lt;&gt;"",IF(INDEX(SCOp,$L850)="مرجوعی فروش",IF(INDEX(SCAmount,$L850)=0,"",-INDEX(SCAmount,$L850)),""),IF($M850&lt;&gt;"",IF(INDEX(LdgDepB,$M850)=0,"",INDEX(LdgDepB,$M850)),""))</f>
        <v/>
      </c>
      <c r="I850" s="28">
        <f>IF($B850="","",IF($I849="",$C$10,$I849)+IF($G850="",0,$G850)-IF($H850="",0,$H850))</f>
        <v/>
      </c>
      <c r="L850">
        <f>IFERROR(MATCH($C$5&amp;"|"&amp;RIGHT("000000"&amp;834,6),LdgRankKeyA,0),"")</f>
        <v/>
      </c>
      <c r="M850">
        <f>IFERROR(MATCH($C$5&amp;"|"&amp;RIGHT("000000"&amp;834,6),LdgRankKeyB,0),"")</f>
        <v/>
      </c>
    </row>
    <row r="851">
      <c r="A851" s="17" t="n">
        <v>835</v>
      </c>
      <c r="B851" s="18">
        <f>IF(AND($L851="",$M851=""),"",IF($L851&lt;&gt;"",INDEX(SCNormDate,$L851),INDEX(LdgDateB,$M851)))</f>
        <v/>
      </c>
      <c r="C851" s="18">
        <f>IF($L851&lt;&gt;"",INDEX(SCOp,$L851),IF($M851&lt;&gt;"","پرداخت بانکی",""))</f>
        <v/>
      </c>
      <c r="D851" s="18">
        <f>IF($L851&lt;&gt;"",IF(INDEX(SCDoc,$L851)="","—",INDEX(SCDoc,$L851)),IF($M851&lt;&gt;"",INDEX(LdgBankB,$M851),""))</f>
        <v/>
      </c>
      <c r="E851" s="19">
        <f>IF($L851&lt;&gt;"",IF(INDEX(SCCitrus,$L851)&amp;INDEX(SCNotes,$L851)="","",IF(INDEX(SCCitrus,$L851)="","",INDEX(SCCitrus,$L851))&amp;IF(INDEX(SCNotes,$L851)="",""," — "&amp;INDEX(SCNotes,$L851))),IF($M851&lt;&gt;"",IF(INDEX(LdgNoteB,$M851)="","—",INDEX(LdgNoteB,$M851)),""))</f>
        <v/>
      </c>
      <c r="F851" s="20">
        <f>IF($L851&lt;&gt;"",IF(INDEX(SCNet,$L851)=0,"",INDEX(SCNet,$L851)),"")</f>
        <v/>
      </c>
      <c r="G851" s="21">
        <f>IF($L851&lt;&gt;"",IF(INDEX(SCOp,$L851)="مرجوعی فروش","",IF(INDEX(SCAmount,$L851)&lt;=0,"",INDEX(SCAmount,$L851))),IF($M851&lt;&gt;"",IF(INDEX(LdgWitB,$M851)=0,"",INDEX(LdgWitB,$M851)),""))</f>
        <v/>
      </c>
      <c r="H851" s="21">
        <f>IF($L851&lt;&gt;"",IF(INDEX(SCOp,$L851)="مرجوعی فروش",IF(INDEX(SCAmount,$L851)=0,"",-INDEX(SCAmount,$L851)),""),IF($M851&lt;&gt;"",IF(INDEX(LdgDepB,$M851)=0,"",INDEX(LdgDepB,$M851)),""))</f>
        <v/>
      </c>
      <c r="I851" s="22">
        <f>IF($B851="","",IF($I850="",$C$10,$I850)+IF($G851="",0,$G851)-IF($H851="",0,$H851))</f>
        <v/>
      </c>
      <c r="L851">
        <f>IFERROR(MATCH($C$5&amp;"|"&amp;RIGHT("000000"&amp;835,6),LdgRankKeyA,0),"")</f>
        <v/>
      </c>
      <c r="M851">
        <f>IFERROR(MATCH($C$5&amp;"|"&amp;RIGHT("000000"&amp;835,6),LdgRankKeyB,0),"")</f>
        <v/>
      </c>
    </row>
    <row r="852">
      <c r="A852" s="23" t="n">
        <v>836</v>
      </c>
      <c r="B852" s="24">
        <f>IF(AND($L852="",$M852=""),"",IF($L852&lt;&gt;"",INDEX(SCNormDate,$L852),INDEX(LdgDateB,$M852)))</f>
        <v/>
      </c>
      <c r="C852" s="24">
        <f>IF($L852&lt;&gt;"",INDEX(SCOp,$L852),IF($M852&lt;&gt;"","پرداخت بانکی",""))</f>
        <v/>
      </c>
      <c r="D852" s="24">
        <f>IF($L852&lt;&gt;"",IF(INDEX(SCDoc,$L852)="","—",INDEX(SCDoc,$L852)),IF($M852&lt;&gt;"",INDEX(LdgBankB,$M852),""))</f>
        <v/>
      </c>
      <c r="E852" s="25">
        <f>IF($L852&lt;&gt;"",IF(INDEX(SCCitrus,$L852)&amp;INDEX(SCNotes,$L852)="","",IF(INDEX(SCCitrus,$L852)="","",INDEX(SCCitrus,$L852))&amp;IF(INDEX(SCNotes,$L852)="",""," — "&amp;INDEX(SCNotes,$L852))),IF($M852&lt;&gt;"",IF(INDEX(LdgNoteB,$M852)="","—",INDEX(LdgNoteB,$M852)),""))</f>
        <v/>
      </c>
      <c r="F852" s="26">
        <f>IF($L852&lt;&gt;"",IF(INDEX(SCNet,$L852)=0,"",INDEX(SCNet,$L852)),"")</f>
        <v/>
      </c>
      <c r="G852" s="27">
        <f>IF($L852&lt;&gt;"",IF(INDEX(SCOp,$L852)="مرجوعی فروش","",IF(INDEX(SCAmount,$L852)&lt;=0,"",INDEX(SCAmount,$L852))),IF($M852&lt;&gt;"",IF(INDEX(LdgWitB,$M852)=0,"",INDEX(LdgWitB,$M852)),""))</f>
        <v/>
      </c>
      <c r="H852" s="27">
        <f>IF($L852&lt;&gt;"",IF(INDEX(SCOp,$L852)="مرجوعی فروش",IF(INDEX(SCAmount,$L852)=0,"",-INDEX(SCAmount,$L852)),""),IF($M852&lt;&gt;"",IF(INDEX(LdgDepB,$M852)=0,"",INDEX(LdgDepB,$M852)),""))</f>
        <v/>
      </c>
      <c r="I852" s="28">
        <f>IF($B852="","",IF($I851="",$C$10,$I851)+IF($G852="",0,$G852)-IF($H852="",0,$H852))</f>
        <v/>
      </c>
      <c r="L852">
        <f>IFERROR(MATCH($C$5&amp;"|"&amp;RIGHT("000000"&amp;836,6),LdgRankKeyA,0),"")</f>
        <v/>
      </c>
      <c r="M852">
        <f>IFERROR(MATCH($C$5&amp;"|"&amp;RIGHT("000000"&amp;836,6),LdgRankKeyB,0),"")</f>
        <v/>
      </c>
    </row>
    <row r="853">
      <c r="A853" s="17" t="n">
        <v>837</v>
      </c>
      <c r="B853" s="18">
        <f>IF(AND($L853="",$M853=""),"",IF($L853&lt;&gt;"",INDEX(SCNormDate,$L853),INDEX(LdgDateB,$M853)))</f>
        <v/>
      </c>
      <c r="C853" s="18">
        <f>IF($L853&lt;&gt;"",INDEX(SCOp,$L853),IF($M853&lt;&gt;"","پرداخت بانکی",""))</f>
        <v/>
      </c>
      <c r="D853" s="18">
        <f>IF($L853&lt;&gt;"",IF(INDEX(SCDoc,$L853)="","—",INDEX(SCDoc,$L853)),IF($M853&lt;&gt;"",INDEX(LdgBankB,$M853),""))</f>
        <v/>
      </c>
      <c r="E853" s="19">
        <f>IF($L853&lt;&gt;"",IF(INDEX(SCCitrus,$L853)&amp;INDEX(SCNotes,$L853)="","",IF(INDEX(SCCitrus,$L853)="","",INDEX(SCCitrus,$L853))&amp;IF(INDEX(SCNotes,$L853)="",""," — "&amp;INDEX(SCNotes,$L853))),IF($M853&lt;&gt;"",IF(INDEX(LdgNoteB,$M853)="","—",INDEX(LdgNoteB,$M853)),""))</f>
        <v/>
      </c>
      <c r="F853" s="20">
        <f>IF($L853&lt;&gt;"",IF(INDEX(SCNet,$L853)=0,"",INDEX(SCNet,$L853)),"")</f>
        <v/>
      </c>
      <c r="G853" s="21">
        <f>IF($L853&lt;&gt;"",IF(INDEX(SCOp,$L853)="مرجوعی فروش","",IF(INDEX(SCAmount,$L853)&lt;=0,"",INDEX(SCAmount,$L853))),IF($M853&lt;&gt;"",IF(INDEX(LdgWitB,$M853)=0,"",INDEX(LdgWitB,$M853)),""))</f>
        <v/>
      </c>
      <c r="H853" s="21">
        <f>IF($L853&lt;&gt;"",IF(INDEX(SCOp,$L853)="مرجوعی فروش",IF(INDEX(SCAmount,$L853)=0,"",-INDEX(SCAmount,$L853)),""),IF($M853&lt;&gt;"",IF(INDEX(LdgDepB,$M853)=0,"",INDEX(LdgDepB,$M853)),""))</f>
        <v/>
      </c>
      <c r="I853" s="22">
        <f>IF($B853="","",IF($I852="",$C$10,$I852)+IF($G853="",0,$G853)-IF($H853="",0,$H853))</f>
        <v/>
      </c>
      <c r="L853">
        <f>IFERROR(MATCH($C$5&amp;"|"&amp;RIGHT("000000"&amp;837,6),LdgRankKeyA,0),"")</f>
        <v/>
      </c>
      <c r="M853">
        <f>IFERROR(MATCH($C$5&amp;"|"&amp;RIGHT("000000"&amp;837,6),LdgRankKeyB,0),"")</f>
        <v/>
      </c>
    </row>
    <row r="854">
      <c r="A854" s="23" t="n">
        <v>838</v>
      </c>
      <c r="B854" s="24">
        <f>IF(AND($L854="",$M854=""),"",IF($L854&lt;&gt;"",INDEX(SCNormDate,$L854),INDEX(LdgDateB,$M854)))</f>
        <v/>
      </c>
      <c r="C854" s="24">
        <f>IF($L854&lt;&gt;"",INDEX(SCOp,$L854),IF($M854&lt;&gt;"","پرداخت بانکی",""))</f>
        <v/>
      </c>
      <c r="D854" s="24">
        <f>IF($L854&lt;&gt;"",IF(INDEX(SCDoc,$L854)="","—",INDEX(SCDoc,$L854)),IF($M854&lt;&gt;"",INDEX(LdgBankB,$M854),""))</f>
        <v/>
      </c>
      <c r="E854" s="25">
        <f>IF($L854&lt;&gt;"",IF(INDEX(SCCitrus,$L854)&amp;INDEX(SCNotes,$L854)="","",IF(INDEX(SCCitrus,$L854)="","",INDEX(SCCitrus,$L854))&amp;IF(INDEX(SCNotes,$L854)="",""," — "&amp;INDEX(SCNotes,$L854))),IF($M854&lt;&gt;"",IF(INDEX(LdgNoteB,$M854)="","—",INDEX(LdgNoteB,$M854)),""))</f>
        <v/>
      </c>
      <c r="F854" s="26">
        <f>IF($L854&lt;&gt;"",IF(INDEX(SCNet,$L854)=0,"",INDEX(SCNet,$L854)),"")</f>
        <v/>
      </c>
      <c r="G854" s="27">
        <f>IF($L854&lt;&gt;"",IF(INDEX(SCOp,$L854)="مرجوعی فروش","",IF(INDEX(SCAmount,$L854)&lt;=0,"",INDEX(SCAmount,$L854))),IF($M854&lt;&gt;"",IF(INDEX(LdgWitB,$M854)=0,"",INDEX(LdgWitB,$M854)),""))</f>
        <v/>
      </c>
      <c r="H854" s="27">
        <f>IF($L854&lt;&gt;"",IF(INDEX(SCOp,$L854)="مرجوعی فروش",IF(INDEX(SCAmount,$L854)=0,"",-INDEX(SCAmount,$L854)),""),IF($M854&lt;&gt;"",IF(INDEX(LdgDepB,$M854)=0,"",INDEX(LdgDepB,$M854)),""))</f>
        <v/>
      </c>
      <c r="I854" s="28">
        <f>IF($B854="","",IF($I853="",$C$10,$I853)+IF($G854="",0,$G854)-IF($H854="",0,$H854))</f>
        <v/>
      </c>
      <c r="L854">
        <f>IFERROR(MATCH($C$5&amp;"|"&amp;RIGHT("000000"&amp;838,6),LdgRankKeyA,0),"")</f>
        <v/>
      </c>
      <c r="M854">
        <f>IFERROR(MATCH($C$5&amp;"|"&amp;RIGHT("000000"&amp;838,6),LdgRankKeyB,0),"")</f>
        <v/>
      </c>
    </row>
    <row r="855">
      <c r="A855" s="17" t="n">
        <v>839</v>
      </c>
      <c r="B855" s="18">
        <f>IF(AND($L855="",$M855=""),"",IF($L855&lt;&gt;"",INDEX(SCNormDate,$L855),INDEX(LdgDateB,$M855)))</f>
        <v/>
      </c>
      <c r="C855" s="18">
        <f>IF($L855&lt;&gt;"",INDEX(SCOp,$L855),IF($M855&lt;&gt;"","پرداخت بانکی",""))</f>
        <v/>
      </c>
      <c r="D855" s="18">
        <f>IF($L855&lt;&gt;"",IF(INDEX(SCDoc,$L855)="","—",INDEX(SCDoc,$L855)),IF($M855&lt;&gt;"",INDEX(LdgBankB,$M855),""))</f>
        <v/>
      </c>
      <c r="E855" s="19">
        <f>IF($L855&lt;&gt;"",IF(INDEX(SCCitrus,$L855)&amp;INDEX(SCNotes,$L855)="","",IF(INDEX(SCCitrus,$L855)="","",INDEX(SCCitrus,$L855))&amp;IF(INDEX(SCNotes,$L855)="",""," — "&amp;INDEX(SCNotes,$L855))),IF($M855&lt;&gt;"",IF(INDEX(LdgNoteB,$M855)="","—",INDEX(LdgNoteB,$M855)),""))</f>
        <v/>
      </c>
      <c r="F855" s="20">
        <f>IF($L855&lt;&gt;"",IF(INDEX(SCNet,$L855)=0,"",INDEX(SCNet,$L855)),"")</f>
        <v/>
      </c>
      <c r="G855" s="21">
        <f>IF($L855&lt;&gt;"",IF(INDEX(SCOp,$L855)="مرجوعی فروش","",IF(INDEX(SCAmount,$L855)&lt;=0,"",INDEX(SCAmount,$L855))),IF($M855&lt;&gt;"",IF(INDEX(LdgWitB,$M855)=0,"",INDEX(LdgWitB,$M855)),""))</f>
        <v/>
      </c>
      <c r="H855" s="21">
        <f>IF($L855&lt;&gt;"",IF(INDEX(SCOp,$L855)="مرجوعی فروش",IF(INDEX(SCAmount,$L855)=0,"",-INDEX(SCAmount,$L855)),""),IF($M855&lt;&gt;"",IF(INDEX(LdgDepB,$M855)=0,"",INDEX(LdgDepB,$M855)),""))</f>
        <v/>
      </c>
      <c r="I855" s="22">
        <f>IF($B855="","",IF($I854="",$C$10,$I854)+IF($G855="",0,$G855)-IF($H855="",0,$H855))</f>
        <v/>
      </c>
      <c r="L855">
        <f>IFERROR(MATCH($C$5&amp;"|"&amp;RIGHT("000000"&amp;839,6),LdgRankKeyA,0),"")</f>
        <v/>
      </c>
      <c r="M855">
        <f>IFERROR(MATCH($C$5&amp;"|"&amp;RIGHT("000000"&amp;839,6),LdgRankKeyB,0),"")</f>
        <v/>
      </c>
    </row>
    <row r="856">
      <c r="A856" s="23" t="n">
        <v>840</v>
      </c>
      <c r="B856" s="24">
        <f>IF(AND($L856="",$M856=""),"",IF($L856&lt;&gt;"",INDEX(SCNormDate,$L856),INDEX(LdgDateB,$M856)))</f>
        <v/>
      </c>
      <c r="C856" s="24">
        <f>IF($L856&lt;&gt;"",INDEX(SCOp,$L856),IF($M856&lt;&gt;"","پرداخت بانکی",""))</f>
        <v/>
      </c>
      <c r="D856" s="24">
        <f>IF($L856&lt;&gt;"",IF(INDEX(SCDoc,$L856)="","—",INDEX(SCDoc,$L856)),IF($M856&lt;&gt;"",INDEX(LdgBankB,$M856),""))</f>
        <v/>
      </c>
      <c r="E856" s="25">
        <f>IF($L856&lt;&gt;"",IF(INDEX(SCCitrus,$L856)&amp;INDEX(SCNotes,$L856)="","",IF(INDEX(SCCitrus,$L856)="","",INDEX(SCCitrus,$L856))&amp;IF(INDEX(SCNotes,$L856)="",""," — "&amp;INDEX(SCNotes,$L856))),IF($M856&lt;&gt;"",IF(INDEX(LdgNoteB,$M856)="","—",INDEX(LdgNoteB,$M856)),""))</f>
        <v/>
      </c>
      <c r="F856" s="26">
        <f>IF($L856&lt;&gt;"",IF(INDEX(SCNet,$L856)=0,"",INDEX(SCNet,$L856)),"")</f>
        <v/>
      </c>
      <c r="G856" s="27">
        <f>IF($L856&lt;&gt;"",IF(INDEX(SCOp,$L856)="مرجوعی فروش","",IF(INDEX(SCAmount,$L856)&lt;=0,"",INDEX(SCAmount,$L856))),IF($M856&lt;&gt;"",IF(INDEX(LdgWitB,$M856)=0,"",INDEX(LdgWitB,$M856)),""))</f>
        <v/>
      </c>
      <c r="H856" s="27">
        <f>IF($L856&lt;&gt;"",IF(INDEX(SCOp,$L856)="مرجوعی فروش",IF(INDEX(SCAmount,$L856)=0,"",-INDEX(SCAmount,$L856)),""),IF($M856&lt;&gt;"",IF(INDEX(LdgDepB,$M856)=0,"",INDEX(LdgDepB,$M856)),""))</f>
        <v/>
      </c>
      <c r="I856" s="28">
        <f>IF($B856="","",IF($I855="",$C$10,$I855)+IF($G856="",0,$G856)-IF($H856="",0,$H856))</f>
        <v/>
      </c>
      <c r="L856">
        <f>IFERROR(MATCH($C$5&amp;"|"&amp;RIGHT("000000"&amp;840,6),LdgRankKeyA,0),"")</f>
        <v/>
      </c>
      <c r="M856">
        <f>IFERROR(MATCH($C$5&amp;"|"&amp;RIGHT("000000"&amp;840,6),LdgRankKeyB,0),"")</f>
        <v/>
      </c>
    </row>
    <row r="857">
      <c r="A857" s="17" t="n">
        <v>841</v>
      </c>
      <c r="B857" s="18">
        <f>IF(AND($L857="",$M857=""),"",IF($L857&lt;&gt;"",INDEX(SCNormDate,$L857),INDEX(LdgDateB,$M857)))</f>
        <v/>
      </c>
      <c r="C857" s="18">
        <f>IF($L857&lt;&gt;"",INDEX(SCOp,$L857),IF($M857&lt;&gt;"","پرداخت بانکی",""))</f>
        <v/>
      </c>
      <c r="D857" s="18">
        <f>IF($L857&lt;&gt;"",IF(INDEX(SCDoc,$L857)="","—",INDEX(SCDoc,$L857)),IF($M857&lt;&gt;"",INDEX(LdgBankB,$M857),""))</f>
        <v/>
      </c>
      <c r="E857" s="19">
        <f>IF($L857&lt;&gt;"",IF(INDEX(SCCitrus,$L857)&amp;INDEX(SCNotes,$L857)="","",IF(INDEX(SCCitrus,$L857)="","",INDEX(SCCitrus,$L857))&amp;IF(INDEX(SCNotes,$L857)="",""," — "&amp;INDEX(SCNotes,$L857))),IF($M857&lt;&gt;"",IF(INDEX(LdgNoteB,$M857)="","—",INDEX(LdgNoteB,$M857)),""))</f>
        <v/>
      </c>
      <c r="F857" s="20">
        <f>IF($L857&lt;&gt;"",IF(INDEX(SCNet,$L857)=0,"",INDEX(SCNet,$L857)),"")</f>
        <v/>
      </c>
      <c r="G857" s="21">
        <f>IF($L857&lt;&gt;"",IF(INDEX(SCOp,$L857)="مرجوعی فروش","",IF(INDEX(SCAmount,$L857)&lt;=0,"",INDEX(SCAmount,$L857))),IF($M857&lt;&gt;"",IF(INDEX(LdgWitB,$M857)=0,"",INDEX(LdgWitB,$M857)),""))</f>
        <v/>
      </c>
      <c r="H857" s="21">
        <f>IF($L857&lt;&gt;"",IF(INDEX(SCOp,$L857)="مرجوعی فروش",IF(INDEX(SCAmount,$L857)=0,"",-INDEX(SCAmount,$L857)),""),IF($M857&lt;&gt;"",IF(INDEX(LdgDepB,$M857)=0,"",INDEX(LdgDepB,$M857)),""))</f>
        <v/>
      </c>
      <c r="I857" s="22">
        <f>IF($B857="","",IF($I856="",$C$10,$I856)+IF($G857="",0,$G857)-IF($H857="",0,$H857))</f>
        <v/>
      </c>
      <c r="L857">
        <f>IFERROR(MATCH($C$5&amp;"|"&amp;RIGHT("000000"&amp;841,6),LdgRankKeyA,0),"")</f>
        <v/>
      </c>
      <c r="M857">
        <f>IFERROR(MATCH($C$5&amp;"|"&amp;RIGHT("000000"&amp;841,6),LdgRankKeyB,0),"")</f>
        <v/>
      </c>
    </row>
    <row r="858">
      <c r="A858" s="23" t="n">
        <v>842</v>
      </c>
      <c r="B858" s="24">
        <f>IF(AND($L858="",$M858=""),"",IF($L858&lt;&gt;"",INDEX(SCNormDate,$L858),INDEX(LdgDateB,$M858)))</f>
        <v/>
      </c>
      <c r="C858" s="24">
        <f>IF($L858&lt;&gt;"",INDEX(SCOp,$L858),IF($M858&lt;&gt;"","پرداخت بانکی",""))</f>
        <v/>
      </c>
      <c r="D858" s="24">
        <f>IF($L858&lt;&gt;"",IF(INDEX(SCDoc,$L858)="","—",INDEX(SCDoc,$L858)),IF($M858&lt;&gt;"",INDEX(LdgBankB,$M858),""))</f>
        <v/>
      </c>
      <c r="E858" s="25">
        <f>IF($L858&lt;&gt;"",IF(INDEX(SCCitrus,$L858)&amp;INDEX(SCNotes,$L858)="","",IF(INDEX(SCCitrus,$L858)="","",INDEX(SCCitrus,$L858))&amp;IF(INDEX(SCNotes,$L858)="",""," — "&amp;INDEX(SCNotes,$L858))),IF($M858&lt;&gt;"",IF(INDEX(LdgNoteB,$M858)="","—",INDEX(LdgNoteB,$M858)),""))</f>
        <v/>
      </c>
      <c r="F858" s="26">
        <f>IF($L858&lt;&gt;"",IF(INDEX(SCNet,$L858)=0,"",INDEX(SCNet,$L858)),"")</f>
        <v/>
      </c>
      <c r="G858" s="27">
        <f>IF($L858&lt;&gt;"",IF(INDEX(SCOp,$L858)="مرجوعی فروش","",IF(INDEX(SCAmount,$L858)&lt;=0,"",INDEX(SCAmount,$L858))),IF($M858&lt;&gt;"",IF(INDEX(LdgWitB,$M858)=0,"",INDEX(LdgWitB,$M858)),""))</f>
        <v/>
      </c>
      <c r="H858" s="27">
        <f>IF($L858&lt;&gt;"",IF(INDEX(SCOp,$L858)="مرجوعی فروش",IF(INDEX(SCAmount,$L858)=0,"",-INDEX(SCAmount,$L858)),""),IF($M858&lt;&gt;"",IF(INDEX(LdgDepB,$M858)=0,"",INDEX(LdgDepB,$M858)),""))</f>
        <v/>
      </c>
      <c r="I858" s="28">
        <f>IF($B858="","",IF($I857="",$C$10,$I857)+IF($G858="",0,$G858)-IF($H858="",0,$H858))</f>
        <v/>
      </c>
      <c r="L858">
        <f>IFERROR(MATCH($C$5&amp;"|"&amp;RIGHT("000000"&amp;842,6),LdgRankKeyA,0),"")</f>
        <v/>
      </c>
      <c r="M858">
        <f>IFERROR(MATCH($C$5&amp;"|"&amp;RIGHT("000000"&amp;842,6),LdgRankKeyB,0),"")</f>
        <v/>
      </c>
    </row>
    <row r="859">
      <c r="A859" s="17" t="n">
        <v>843</v>
      </c>
      <c r="B859" s="18">
        <f>IF(AND($L859="",$M859=""),"",IF($L859&lt;&gt;"",INDEX(SCNormDate,$L859),INDEX(LdgDateB,$M859)))</f>
        <v/>
      </c>
      <c r="C859" s="18">
        <f>IF($L859&lt;&gt;"",INDEX(SCOp,$L859),IF($M859&lt;&gt;"","پرداخت بانکی",""))</f>
        <v/>
      </c>
      <c r="D859" s="18">
        <f>IF($L859&lt;&gt;"",IF(INDEX(SCDoc,$L859)="","—",INDEX(SCDoc,$L859)),IF($M859&lt;&gt;"",INDEX(LdgBankB,$M859),""))</f>
        <v/>
      </c>
      <c r="E859" s="19">
        <f>IF($L859&lt;&gt;"",IF(INDEX(SCCitrus,$L859)&amp;INDEX(SCNotes,$L859)="","",IF(INDEX(SCCitrus,$L859)="","",INDEX(SCCitrus,$L859))&amp;IF(INDEX(SCNotes,$L859)="",""," — "&amp;INDEX(SCNotes,$L859))),IF($M859&lt;&gt;"",IF(INDEX(LdgNoteB,$M859)="","—",INDEX(LdgNoteB,$M859)),""))</f>
        <v/>
      </c>
      <c r="F859" s="20">
        <f>IF($L859&lt;&gt;"",IF(INDEX(SCNet,$L859)=0,"",INDEX(SCNet,$L859)),"")</f>
        <v/>
      </c>
      <c r="G859" s="21">
        <f>IF($L859&lt;&gt;"",IF(INDEX(SCOp,$L859)="مرجوعی فروش","",IF(INDEX(SCAmount,$L859)&lt;=0,"",INDEX(SCAmount,$L859))),IF($M859&lt;&gt;"",IF(INDEX(LdgWitB,$M859)=0,"",INDEX(LdgWitB,$M859)),""))</f>
        <v/>
      </c>
      <c r="H859" s="21">
        <f>IF($L859&lt;&gt;"",IF(INDEX(SCOp,$L859)="مرجوعی فروش",IF(INDEX(SCAmount,$L859)=0,"",-INDEX(SCAmount,$L859)),""),IF($M859&lt;&gt;"",IF(INDEX(LdgDepB,$M859)=0,"",INDEX(LdgDepB,$M859)),""))</f>
        <v/>
      </c>
      <c r="I859" s="22">
        <f>IF($B859="","",IF($I858="",$C$10,$I858)+IF($G859="",0,$G859)-IF($H859="",0,$H859))</f>
        <v/>
      </c>
      <c r="L859">
        <f>IFERROR(MATCH($C$5&amp;"|"&amp;RIGHT("000000"&amp;843,6),LdgRankKeyA,0),"")</f>
        <v/>
      </c>
      <c r="M859">
        <f>IFERROR(MATCH($C$5&amp;"|"&amp;RIGHT("000000"&amp;843,6),LdgRankKeyB,0),"")</f>
        <v/>
      </c>
    </row>
    <row r="860">
      <c r="A860" s="23" t="n">
        <v>844</v>
      </c>
      <c r="B860" s="24">
        <f>IF(AND($L860="",$M860=""),"",IF($L860&lt;&gt;"",INDEX(SCNormDate,$L860),INDEX(LdgDateB,$M860)))</f>
        <v/>
      </c>
      <c r="C860" s="24">
        <f>IF($L860&lt;&gt;"",INDEX(SCOp,$L860),IF($M860&lt;&gt;"","پرداخت بانکی",""))</f>
        <v/>
      </c>
      <c r="D860" s="24">
        <f>IF($L860&lt;&gt;"",IF(INDEX(SCDoc,$L860)="","—",INDEX(SCDoc,$L860)),IF($M860&lt;&gt;"",INDEX(LdgBankB,$M860),""))</f>
        <v/>
      </c>
      <c r="E860" s="25">
        <f>IF($L860&lt;&gt;"",IF(INDEX(SCCitrus,$L860)&amp;INDEX(SCNotes,$L860)="","",IF(INDEX(SCCitrus,$L860)="","",INDEX(SCCitrus,$L860))&amp;IF(INDEX(SCNotes,$L860)="",""," — "&amp;INDEX(SCNotes,$L860))),IF($M860&lt;&gt;"",IF(INDEX(LdgNoteB,$M860)="","—",INDEX(LdgNoteB,$M860)),""))</f>
        <v/>
      </c>
      <c r="F860" s="26">
        <f>IF($L860&lt;&gt;"",IF(INDEX(SCNet,$L860)=0,"",INDEX(SCNet,$L860)),"")</f>
        <v/>
      </c>
      <c r="G860" s="27">
        <f>IF($L860&lt;&gt;"",IF(INDEX(SCOp,$L860)="مرجوعی فروش","",IF(INDEX(SCAmount,$L860)&lt;=0,"",INDEX(SCAmount,$L860))),IF($M860&lt;&gt;"",IF(INDEX(LdgWitB,$M860)=0,"",INDEX(LdgWitB,$M860)),""))</f>
        <v/>
      </c>
      <c r="H860" s="27">
        <f>IF($L860&lt;&gt;"",IF(INDEX(SCOp,$L860)="مرجوعی فروش",IF(INDEX(SCAmount,$L860)=0,"",-INDEX(SCAmount,$L860)),""),IF($M860&lt;&gt;"",IF(INDEX(LdgDepB,$M860)=0,"",INDEX(LdgDepB,$M860)),""))</f>
        <v/>
      </c>
      <c r="I860" s="28">
        <f>IF($B860="","",IF($I859="",$C$10,$I859)+IF($G860="",0,$G860)-IF($H860="",0,$H860))</f>
        <v/>
      </c>
      <c r="L860">
        <f>IFERROR(MATCH($C$5&amp;"|"&amp;RIGHT("000000"&amp;844,6),LdgRankKeyA,0),"")</f>
        <v/>
      </c>
      <c r="M860">
        <f>IFERROR(MATCH($C$5&amp;"|"&amp;RIGHT("000000"&amp;844,6),LdgRankKeyB,0),"")</f>
        <v/>
      </c>
    </row>
    <row r="861">
      <c r="A861" s="17" t="n">
        <v>845</v>
      </c>
      <c r="B861" s="18">
        <f>IF(AND($L861="",$M861=""),"",IF($L861&lt;&gt;"",INDEX(SCNormDate,$L861),INDEX(LdgDateB,$M861)))</f>
        <v/>
      </c>
      <c r="C861" s="18">
        <f>IF($L861&lt;&gt;"",INDEX(SCOp,$L861),IF($M861&lt;&gt;"","پرداخت بانکی",""))</f>
        <v/>
      </c>
      <c r="D861" s="18">
        <f>IF($L861&lt;&gt;"",IF(INDEX(SCDoc,$L861)="","—",INDEX(SCDoc,$L861)),IF($M861&lt;&gt;"",INDEX(LdgBankB,$M861),""))</f>
        <v/>
      </c>
      <c r="E861" s="19">
        <f>IF($L861&lt;&gt;"",IF(INDEX(SCCitrus,$L861)&amp;INDEX(SCNotes,$L861)="","",IF(INDEX(SCCitrus,$L861)="","",INDEX(SCCitrus,$L861))&amp;IF(INDEX(SCNotes,$L861)="",""," — "&amp;INDEX(SCNotes,$L861))),IF($M861&lt;&gt;"",IF(INDEX(LdgNoteB,$M861)="","—",INDEX(LdgNoteB,$M861)),""))</f>
        <v/>
      </c>
      <c r="F861" s="20">
        <f>IF($L861&lt;&gt;"",IF(INDEX(SCNet,$L861)=0,"",INDEX(SCNet,$L861)),"")</f>
        <v/>
      </c>
      <c r="G861" s="21">
        <f>IF($L861&lt;&gt;"",IF(INDEX(SCOp,$L861)="مرجوعی فروش","",IF(INDEX(SCAmount,$L861)&lt;=0,"",INDEX(SCAmount,$L861))),IF($M861&lt;&gt;"",IF(INDEX(LdgWitB,$M861)=0,"",INDEX(LdgWitB,$M861)),""))</f>
        <v/>
      </c>
      <c r="H861" s="21">
        <f>IF($L861&lt;&gt;"",IF(INDEX(SCOp,$L861)="مرجوعی فروش",IF(INDEX(SCAmount,$L861)=0,"",-INDEX(SCAmount,$L861)),""),IF($M861&lt;&gt;"",IF(INDEX(LdgDepB,$M861)=0,"",INDEX(LdgDepB,$M861)),""))</f>
        <v/>
      </c>
      <c r="I861" s="22">
        <f>IF($B861="","",IF($I860="",$C$10,$I860)+IF($G861="",0,$G861)-IF($H861="",0,$H861))</f>
        <v/>
      </c>
      <c r="L861">
        <f>IFERROR(MATCH($C$5&amp;"|"&amp;RIGHT("000000"&amp;845,6),LdgRankKeyA,0),"")</f>
        <v/>
      </c>
      <c r="M861">
        <f>IFERROR(MATCH($C$5&amp;"|"&amp;RIGHT("000000"&amp;845,6),LdgRankKeyB,0),"")</f>
        <v/>
      </c>
    </row>
    <row r="862">
      <c r="A862" s="23" t="n">
        <v>846</v>
      </c>
      <c r="B862" s="24">
        <f>IF(AND($L862="",$M862=""),"",IF($L862&lt;&gt;"",INDEX(SCNormDate,$L862),INDEX(LdgDateB,$M862)))</f>
        <v/>
      </c>
      <c r="C862" s="24">
        <f>IF($L862&lt;&gt;"",INDEX(SCOp,$L862),IF($M862&lt;&gt;"","پرداخت بانکی",""))</f>
        <v/>
      </c>
      <c r="D862" s="24">
        <f>IF($L862&lt;&gt;"",IF(INDEX(SCDoc,$L862)="","—",INDEX(SCDoc,$L862)),IF($M862&lt;&gt;"",INDEX(LdgBankB,$M862),""))</f>
        <v/>
      </c>
      <c r="E862" s="25">
        <f>IF($L862&lt;&gt;"",IF(INDEX(SCCitrus,$L862)&amp;INDEX(SCNotes,$L862)="","",IF(INDEX(SCCitrus,$L862)="","",INDEX(SCCitrus,$L862))&amp;IF(INDEX(SCNotes,$L862)="",""," — "&amp;INDEX(SCNotes,$L862))),IF($M862&lt;&gt;"",IF(INDEX(LdgNoteB,$M862)="","—",INDEX(LdgNoteB,$M862)),""))</f>
        <v/>
      </c>
      <c r="F862" s="26">
        <f>IF($L862&lt;&gt;"",IF(INDEX(SCNet,$L862)=0,"",INDEX(SCNet,$L862)),"")</f>
        <v/>
      </c>
      <c r="G862" s="27">
        <f>IF($L862&lt;&gt;"",IF(INDEX(SCOp,$L862)="مرجوعی فروش","",IF(INDEX(SCAmount,$L862)&lt;=0,"",INDEX(SCAmount,$L862))),IF($M862&lt;&gt;"",IF(INDEX(LdgWitB,$M862)=0,"",INDEX(LdgWitB,$M862)),""))</f>
        <v/>
      </c>
      <c r="H862" s="27">
        <f>IF($L862&lt;&gt;"",IF(INDEX(SCOp,$L862)="مرجوعی فروش",IF(INDEX(SCAmount,$L862)=0,"",-INDEX(SCAmount,$L862)),""),IF($M862&lt;&gt;"",IF(INDEX(LdgDepB,$M862)=0,"",INDEX(LdgDepB,$M862)),""))</f>
        <v/>
      </c>
      <c r="I862" s="28">
        <f>IF($B862="","",IF($I861="",$C$10,$I861)+IF($G862="",0,$G862)-IF($H862="",0,$H862))</f>
        <v/>
      </c>
      <c r="L862">
        <f>IFERROR(MATCH($C$5&amp;"|"&amp;RIGHT("000000"&amp;846,6),LdgRankKeyA,0),"")</f>
        <v/>
      </c>
      <c r="M862">
        <f>IFERROR(MATCH($C$5&amp;"|"&amp;RIGHT("000000"&amp;846,6),LdgRankKeyB,0),"")</f>
        <v/>
      </c>
    </row>
    <row r="863">
      <c r="A863" s="17" t="n">
        <v>847</v>
      </c>
      <c r="B863" s="18">
        <f>IF(AND($L863="",$M863=""),"",IF($L863&lt;&gt;"",INDEX(SCNormDate,$L863),INDEX(LdgDateB,$M863)))</f>
        <v/>
      </c>
      <c r="C863" s="18">
        <f>IF($L863&lt;&gt;"",INDEX(SCOp,$L863),IF($M863&lt;&gt;"","پرداخت بانکی",""))</f>
        <v/>
      </c>
      <c r="D863" s="18">
        <f>IF($L863&lt;&gt;"",IF(INDEX(SCDoc,$L863)="","—",INDEX(SCDoc,$L863)),IF($M863&lt;&gt;"",INDEX(LdgBankB,$M863),""))</f>
        <v/>
      </c>
      <c r="E863" s="19">
        <f>IF($L863&lt;&gt;"",IF(INDEX(SCCitrus,$L863)&amp;INDEX(SCNotes,$L863)="","",IF(INDEX(SCCitrus,$L863)="","",INDEX(SCCitrus,$L863))&amp;IF(INDEX(SCNotes,$L863)="",""," — "&amp;INDEX(SCNotes,$L863))),IF($M863&lt;&gt;"",IF(INDEX(LdgNoteB,$M863)="","—",INDEX(LdgNoteB,$M863)),""))</f>
        <v/>
      </c>
      <c r="F863" s="20">
        <f>IF($L863&lt;&gt;"",IF(INDEX(SCNet,$L863)=0,"",INDEX(SCNet,$L863)),"")</f>
        <v/>
      </c>
      <c r="G863" s="21">
        <f>IF($L863&lt;&gt;"",IF(INDEX(SCOp,$L863)="مرجوعی فروش","",IF(INDEX(SCAmount,$L863)&lt;=0,"",INDEX(SCAmount,$L863))),IF($M863&lt;&gt;"",IF(INDEX(LdgWitB,$M863)=0,"",INDEX(LdgWitB,$M863)),""))</f>
        <v/>
      </c>
      <c r="H863" s="21">
        <f>IF($L863&lt;&gt;"",IF(INDEX(SCOp,$L863)="مرجوعی فروش",IF(INDEX(SCAmount,$L863)=0,"",-INDEX(SCAmount,$L863)),""),IF($M863&lt;&gt;"",IF(INDEX(LdgDepB,$M863)=0,"",INDEX(LdgDepB,$M863)),""))</f>
        <v/>
      </c>
      <c r="I863" s="22">
        <f>IF($B863="","",IF($I862="",$C$10,$I862)+IF($G863="",0,$G863)-IF($H863="",0,$H863))</f>
        <v/>
      </c>
      <c r="L863">
        <f>IFERROR(MATCH($C$5&amp;"|"&amp;RIGHT("000000"&amp;847,6),LdgRankKeyA,0),"")</f>
        <v/>
      </c>
      <c r="M863">
        <f>IFERROR(MATCH($C$5&amp;"|"&amp;RIGHT("000000"&amp;847,6),LdgRankKeyB,0),"")</f>
        <v/>
      </c>
    </row>
    <row r="864">
      <c r="A864" s="23" t="n">
        <v>848</v>
      </c>
      <c r="B864" s="24">
        <f>IF(AND($L864="",$M864=""),"",IF($L864&lt;&gt;"",INDEX(SCNormDate,$L864),INDEX(LdgDateB,$M864)))</f>
        <v/>
      </c>
      <c r="C864" s="24">
        <f>IF($L864&lt;&gt;"",INDEX(SCOp,$L864),IF($M864&lt;&gt;"","پرداخت بانکی",""))</f>
        <v/>
      </c>
      <c r="D864" s="24">
        <f>IF($L864&lt;&gt;"",IF(INDEX(SCDoc,$L864)="","—",INDEX(SCDoc,$L864)),IF($M864&lt;&gt;"",INDEX(LdgBankB,$M864),""))</f>
        <v/>
      </c>
      <c r="E864" s="25">
        <f>IF($L864&lt;&gt;"",IF(INDEX(SCCitrus,$L864)&amp;INDEX(SCNotes,$L864)="","",IF(INDEX(SCCitrus,$L864)="","",INDEX(SCCitrus,$L864))&amp;IF(INDEX(SCNotes,$L864)="",""," — "&amp;INDEX(SCNotes,$L864))),IF($M864&lt;&gt;"",IF(INDEX(LdgNoteB,$M864)="","—",INDEX(LdgNoteB,$M864)),""))</f>
        <v/>
      </c>
      <c r="F864" s="26">
        <f>IF($L864&lt;&gt;"",IF(INDEX(SCNet,$L864)=0,"",INDEX(SCNet,$L864)),"")</f>
        <v/>
      </c>
      <c r="G864" s="27">
        <f>IF($L864&lt;&gt;"",IF(INDEX(SCOp,$L864)="مرجوعی فروش","",IF(INDEX(SCAmount,$L864)&lt;=0,"",INDEX(SCAmount,$L864))),IF($M864&lt;&gt;"",IF(INDEX(LdgWitB,$M864)=0,"",INDEX(LdgWitB,$M864)),""))</f>
        <v/>
      </c>
      <c r="H864" s="27">
        <f>IF($L864&lt;&gt;"",IF(INDEX(SCOp,$L864)="مرجوعی فروش",IF(INDEX(SCAmount,$L864)=0,"",-INDEX(SCAmount,$L864)),""),IF($M864&lt;&gt;"",IF(INDEX(LdgDepB,$M864)=0,"",INDEX(LdgDepB,$M864)),""))</f>
        <v/>
      </c>
      <c r="I864" s="28">
        <f>IF($B864="","",IF($I863="",$C$10,$I863)+IF($G864="",0,$G864)-IF($H864="",0,$H864))</f>
        <v/>
      </c>
      <c r="L864">
        <f>IFERROR(MATCH($C$5&amp;"|"&amp;RIGHT("000000"&amp;848,6),LdgRankKeyA,0),"")</f>
        <v/>
      </c>
      <c r="M864">
        <f>IFERROR(MATCH($C$5&amp;"|"&amp;RIGHT("000000"&amp;848,6),LdgRankKeyB,0),"")</f>
        <v/>
      </c>
    </row>
    <row r="865">
      <c r="A865" s="17" t="n">
        <v>849</v>
      </c>
      <c r="B865" s="18">
        <f>IF(AND($L865="",$M865=""),"",IF($L865&lt;&gt;"",INDEX(SCNormDate,$L865),INDEX(LdgDateB,$M865)))</f>
        <v/>
      </c>
      <c r="C865" s="18">
        <f>IF($L865&lt;&gt;"",INDEX(SCOp,$L865),IF($M865&lt;&gt;"","پرداخت بانکی",""))</f>
        <v/>
      </c>
      <c r="D865" s="18">
        <f>IF($L865&lt;&gt;"",IF(INDEX(SCDoc,$L865)="","—",INDEX(SCDoc,$L865)),IF($M865&lt;&gt;"",INDEX(LdgBankB,$M865),""))</f>
        <v/>
      </c>
      <c r="E865" s="19">
        <f>IF($L865&lt;&gt;"",IF(INDEX(SCCitrus,$L865)&amp;INDEX(SCNotes,$L865)="","",IF(INDEX(SCCitrus,$L865)="","",INDEX(SCCitrus,$L865))&amp;IF(INDEX(SCNotes,$L865)="",""," — "&amp;INDEX(SCNotes,$L865))),IF($M865&lt;&gt;"",IF(INDEX(LdgNoteB,$M865)="","—",INDEX(LdgNoteB,$M865)),""))</f>
        <v/>
      </c>
      <c r="F865" s="20">
        <f>IF($L865&lt;&gt;"",IF(INDEX(SCNet,$L865)=0,"",INDEX(SCNet,$L865)),"")</f>
        <v/>
      </c>
      <c r="G865" s="21">
        <f>IF($L865&lt;&gt;"",IF(INDEX(SCOp,$L865)="مرجوعی فروش","",IF(INDEX(SCAmount,$L865)&lt;=0,"",INDEX(SCAmount,$L865))),IF($M865&lt;&gt;"",IF(INDEX(LdgWitB,$M865)=0,"",INDEX(LdgWitB,$M865)),""))</f>
        <v/>
      </c>
      <c r="H865" s="21">
        <f>IF($L865&lt;&gt;"",IF(INDEX(SCOp,$L865)="مرجوعی فروش",IF(INDEX(SCAmount,$L865)=0,"",-INDEX(SCAmount,$L865)),""),IF($M865&lt;&gt;"",IF(INDEX(LdgDepB,$M865)=0,"",INDEX(LdgDepB,$M865)),""))</f>
        <v/>
      </c>
      <c r="I865" s="22">
        <f>IF($B865="","",IF($I864="",$C$10,$I864)+IF($G865="",0,$G865)-IF($H865="",0,$H865))</f>
        <v/>
      </c>
      <c r="L865">
        <f>IFERROR(MATCH($C$5&amp;"|"&amp;RIGHT("000000"&amp;849,6),LdgRankKeyA,0),"")</f>
        <v/>
      </c>
      <c r="M865">
        <f>IFERROR(MATCH($C$5&amp;"|"&amp;RIGHT("000000"&amp;849,6),LdgRankKeyB,0),"")</f>
        <v/>
      </c>
    </row>
    <row r="866">
      <c r="A866" s="23" t="n">
        <v>850</v>
      </c>
      <c r="B866" s="24">
        <f>IF(AND($L866="",$M866=""),"",IF($L866&lt;&gt;"",INDEX(SCNormDate,$L866),INDEX(LdgDateB,$M866)))</f>
        <v/>
      </c>
      <c r="C866" s="24">
        <f>IF($L866&lt;&gt;"",INDEX(SCOp,$L866),IF($M866&lt;&gt;"","پرداخت بانکی",""))</f>
        <v/>
      </c>
      <c r="D866" s="24">
        <f>IF($L866&lt;&gt;"",IF(INDEX(SCDoc,$L866)="","—",INDEX(SCDoc,$L866)),IF($M866&lt;&gt;"",INDEX(LdgBankB,$M866),""))</f>
        <v/>
      </c>
      <c r="E866" s="25">
        <f>IF($L866&lt;&gt;"",IF(INDEX(SCCitrus,$L866)&amp;INDEX(SCNotes,$L866)="","",IF(INDEX(SCCitrus,$L866)="","",INDEX(SCCitrus,$L866))&amp;IF(INDEX(SCNotes,$L866)="",""," — "&amp;INDEX(SCNotes,$L866))),IF($M866&lt;&gt;"",IF(INDEX(LdgNoteB,$M866)="","—",INDEX(LdgNoteB,$M866)),""))</f>
        <v/>
      </c>
      <c r="F866" s="26">
        <f>IF($L866&lt;&gt;"",IF(INDEX(SCNet,$L866)=0,"",INDEX(SCNet,$L866)),"")</f>
        <v/>
      </c>
      <c r="G866" s="27">
        <f>IF($L866&lt;&gt;"",IF(INDEX(SCOp,$L866)="مرجوعی فروش","",IF(INDEX(SCAmount,$L866)&lt;=0,"",INDEX(SCAmount,$L866))),IF($M866&lt;&gt;"",IF(INDEX(LdgWitB,$M866)=0,"",INDEX(LdgWitB,$M866)),""))</f>
        <v/>
      </c>
      <c r="H866" s="27">
        <f>IF($L866&lt;&gt;"",IF(INDEX(SCOp,$L866)="مرجوعی فروش",IF(INDEX(SCAmount,$L866)=0,"",-INDEX(SCAmount,$L866)),""),IF($M866&lt;&gt;"",IF(INDEX(LdgDepB,$M866)=0,"",INDEX(LdgDepB,$M866)),""))</f>
        <v/>
      </c>
      <c r="I866" s="28">
        <f>IF($B866="","",IF($I865="",$C$10,$I865)+IF($G866="",0,$G866)-IF($H866="",0,$H866))</f>
        <v/>
      </c>
      <c r="L866">
        <f>IFERROR(MATCH($C$5&amp;"|"&amp;RIGHT("000000"&amp;850,6),LdgRankKeyA,0),"")</f>
        <v/>
      </c>
      <c r="M866">
        <f>IFERROR(MATCH($C$5&amp;"|"&amp;RIGHT("000000"&amp;850,6),LdgRankKeyB,0),"")</f>
        <v/>
      </c>
    </row>
    <row r="867">
      <c r="A867" s="17" t="n">
        <v>851</v>
      </c>
      <c r="B867" s="18">
        <f>IF(AND($L867="",$M867=""),"",IF($L867&lt;&gt;"",INDEX(SCNormDate,$L867),INDEX(LdgDateB,$M867)))</f>
        <v/>
      </c>
      <c r="C867" s="18">
        <f>IF($L867&lt;&gt;"",INDEX(SCOp,$L867),IF($M867&lt;&gt;"","پرداخت بانکی",""))</f>
        <v/>
      </c>
      <c r="D867" s="18">
        <f>IF($L867&lt;&gt;"",IF(INDEX(SCDoc,$L867)="","—",INDEX(SCDoc,$L867)),IF($M867&lt;&gt;"",INDEX(LdgBankB,$M867),""))</f>
        <v/>
      </c>
      <c r="E867" s="19">
        <f>IF($L867&lt;&gt;"",IF(INDEX(SCCitrus,$L867)&amp;INDEX(SCNotes,$L867)="","",IF(INDEX(SCCitrus,$L867)="","",INDEX(SCCitrus,$L867))&amp;IF(INDEX(SCNotes,$L867)="",""," — "&amp;INDEX(SCNotes,$L867))),IF($M867&lt;&gt;"",IF(INDEX(LdgNoteB,$M867)="","—",INDEX(LdgNoteB,$M867)),""))</f>
        <v/>
      </c>
      <c r="F867" s="20">
        <f>IF($L867&lt;&gt;"",IF(INDEX(SCNet,$L867)=0,"",INDEX(SCNet,$L867)),"")</f>
        <v/>
      </c>
      <c r="G867" s="21">
        <f>IF($L867&lt;&gt;"",IF(INDEX(SCOp,$L867)="مرجوعی فروش","",IF(INDEX(SCAmount,$L867)&lt;=0,"",INDEX(SCAmount,$L867))),IF($M867&lt;&gt;"",IF(INDEX(LdgWitB,$M867)=0,"",INDEX(LdgWitB,$M867)),""))</f>
        <v/>
      </c>
      <c r="H867" s="21">
        <f>IF($L867&lt;&gt;"",IF(INDEX(SCOp,$L867)="مرجوعی فروش",IF(INDEX(SCAmount,$L867)=0,"",-INDEX(SCAmount,$L867)),""),IF($M867&lt;&gt;"",IF(INDEX(LdgDepB,$M867)=0,"",INDEX(LdgDepB,$M867)),""))</f>
        <v/>
      </c>
      <c r="I867" s="22">
        <f>IF($B867="","",IF($I866="",$C$10,$I866)+IF($G867="",0,$G867)-IF($H867="",0,$H867))</f>
        <v/>
      </c>
      <c r="L867">
        <f>IFERROR(MATCH($C$5&amp;"|"&amp;RIGHT("000000"&amp;851,6),LdgRankKeyA,0),"")</f>
        <v/>
      </c>
      <c r="M867">
        <f>IFERROR(MATCH($C$5&amp;"|"&amp;RIGHT("000000"&amp;851,6),LdgRankKeyB,0),"")</f>
        <v/>
      </c>
    </row>
    <row r="868">
      <c r="A868" s="23" t="n">
        <v>852</v>
      </c>
      <c r="B868" s="24">
        <f>IF(AND($L868="",$M868=""),"",IF($L868&lt;&gt;"",INDEX(SCNormDate,$L868),INDEX(LdgDateB,$M868)))</f>
        <v/>
      </c>
      <c r="C868" s="24">
        <f>IF($L868&lt;&gt;"",INDEX(SCOp,$L868),IF($M868&lt;&gt;"","پرداخت بانکی",""))</f>
        <v/>
      </c>
      <c r="D868" s="24">
        <f>IF($L868&lt;&gt;"",IF(INDEX(SCDoc,$L868)="","—",INDEX(SCDoc,$L868)),IF($M868&lt;&gt;"",INDEX(LdgBankB,$M868),""))</f>
        <v/>
      </c>
      <c r="E868" s="25">
        <f>IF($L868&lt;&gt;"",IF(INDEX(SCCitrus,$L868)&amp;INDEX(SCNotes,$L868)="","",IF(INDEX(SCCitrus,$L868)="","",INDEX(SCCitrus,$L868))&amp;IF(INDEX(SCNotes,$L868)="",""," — "&amp;INDEX(SCNotes,$L868))),IF($M868&lt;&gt;"",IF(INDEX(LdgNoteB,$M868)="","—",INDEX(LdgNoteB,$M868)),""))</f>
        <v/>
      </c>
      <c r="F868" s="26">
        <f>IF($L868&lt;&gt;"",IF(INDEX(SCNet,$L868)=0,"",INDEX(SCNet,$L868)),"")</f>
        <v/>
      </c>
      <c r="G868" s="27">
        <f>IF($L868&lt;&gt;"",IF(INDEX(SCOp,$L868)="مرجوعی فروش","",IF(INDEX(SCAmount,$L868)&lt;=0,"",INDEX(SCAmount,$L868))),IF($M868&lt;&gt;"",IF(INDEX(LdgWitB,$M868)=0,"",INDEX(LdgWitB,$M868)),""))</f>
        <v/>
      </c>
      <c r="H868" s="27">
        <f>IF($L868&lt;&gt;"",IF(INDEX(SCOp,$L868)="مرجوعی فروش",IF(INDEX(SCAmount,$L868)=0,"",-INDEX(SCAmount,$L868)),""),IF($M868&lt;&gt;"",IF(INDEX(LdgDepB,$M868)=0,"",INDEX(LdgDepB,$M868)),""))</f>
        <v/>
      </c>
      <c r="I868" s="28">
        <f>IF($B868="","",IF($I867="",$C$10,$I867)+IF($G868="",0,$G868)-IF($H868="",0,$H868))</f>
        <v/>
      </c>
      <c r="L868">
        <f>IFERROR(MATCH($C$5&amp;"|"&amp;RIGHT("000000"&amp;852,6),LdgRankKeyA,0),"")</f>
        <v/>
      </c>
      <c r="M868">
        <f>IFERROR(MATCH($C$5&amp;"|"&amp;RIGHT("000000"&amp;852,6),LdgRankKeyB,0),"")</f>
        <v/>
      </c>
    </row>
    <row r="869">
      <c r="A869" s="17" t="n">
        <v>853</v>
      </c>
      <c r="B869" s="18">
        <f>IF(AND($L869="",$M869=""),"",IF($L869&lt;&gt;"",INDEX(SCNormDate,$L869),INDEX(LdgDateB,$M869)))</f>
        <v/>
      </c>
      <c r="C869" s="18">
        <f>IF($L869&lt;&gt;"",INDEX(SCOp,$L869),IF($M869&lt;&gt;"","پرداخت بانکی",""))</f>
        <v/>
      </c>
      <c r="D869" s="18">
        <f>IF($L869&lt;&gt;"",IF(INDEX(SCDoc,$L869)="","—",INDEX(SCDoc,$L869)),IF($M869&lt;&gt;"",INDEX(LdgBankB,$M869),""))</f>
        <v/>
      </c>
      <c r="E869" s="19">
        <f>IF($L869&lt;&gt;"",IF(INDEX(SCCitrus,$L869)&amp;INDEX(SCNotes,$L869)="","",IF(INDEX(SCCitrus,$L869)="","",INDEX(SCCitrus,$L869))&amp;IF(INDEX(SCNotes,$L869)="",""," — "&amp;INDEX(SCNotes,$L869))),IF($M869&lt;&gt;"",IF(INDEX(LdgNoteB,$M869)="","—",INDEX(LdgNoteB,$M869)),""))</f>
        <v/>
      </c>
      <c r="F869" s="20">
        <f>IF($L869&lt;&gt;"",IF(INDEX(SCNet,$L869)=0,"",INDEX(SCNet,$L869)),"")</f>
        <v/>
      </c>
      <c r="G869" s="21">
        <f>IF($L869&lt;&gt;"",IF(INDEX(SCOp,$L869)="مرجوعی فروش","",IF(INDEX(SCAmount,$L869)&lt;=0,"",INDEX(SCAmount,$L869))),IF($M869&lt;&gt;"",IF(INDEX(LdgWitB,$M869)=0,"",INDEX(LdgWitB,$M869)),""))</f>
        <v/>
      </c>
      <c r="H869" s="21">
        <f>IF($L869&lt;&gt;"",IF(INDEX(SCOp,$L869)="مرجوعی فروش",IF(INDEX(SCAmount,$L869)=0,"",-INDEX(SCAmount,$L869)),""),IF($M869&lt;&gt;"",IF(INDEX(LdgDepB,$M869)=0,"",INDEX(LdgDepB,$M869)),""))</f>
        <v/>
      </c>
      <c r="I869" s="22">
        <f>IF($B869="","",IF($I868="",$C$10,$I868)+IF($G869="",0,$G869)-IF($H869="",0,$H869))</f>
        <v/>
      </c>
      <c r="L869">
        <f>IFERROR(MATCH($C$5&amp;"|"&amp;RIGHT("000000"&amp;853,6),LdgRankKeyA,0),"")</f>
        <v/>
      </c>
      <c r="M869">
        <f>IFERROR(MATCH($C$5&amp;"|"&amp;RIGHT("000000"&amp;853,6),LdgRankKeyB,0),"")</f>
        <v/>
      </c>
    </row>
    <row r="870">
      <c r="A870" s="23" t="n">
        <v>854</v>
      </c>
      <c r="B870" s="24">
        <f>IF(AND($L870="",$M870=""),"",IF($L870&lt;&gt;"",INDEX(SCNormDate,$L870),INDEX(LdgDateB,$M870)))</f>
        <v/>
      </c>
      <c r="C870" s="24">
        <f>IF($L870&lt;&gt;"",INDEX(SCOp,$L870),IF($M870&lt;&gt;"","پرداخت بانکی",""))</f>
        <v/>
      </c>
      <c r="D870" s="24">
        <f>IF($L870&lt;&gt;"",IF(INDEX(SCDoc,$L870)="","—",INDEX(SCDoc,$L870)),IF($M870&lt;&gt;"",INDEX(LdgBankB,$M870),""))</f>
        <v/>
      </c>
      <c r="E870" s="25">
        <f>IF($L870&lt;&gt;"",IF(INDEX(SCCitrus,$L870)&amp;INDEX(SCNotes,$L870)="","",IF(INDEX(SCCitrus,$L870)="","",INDEX(SCCitrus,$L870))&amp;IF(INDEX(SCNotes,$L870)="",""," — "&amp;INDEX(SCNotes,$L870))),IF($M870&lt;&gt;"",IF(INDEX(LdgNoteB,$M870)="","—",INDEX(LdgNoteB,$M870)),""))</f>
        <v/>
      </c>
      <c r="F870" s="26">
        <f>IF($L870&lt;&gt;"",IF(INDEX(SCNet,$L870)=0,"",INDEX(SCNet,$L870)),"")</f>
        <v/>
      </c>
      <c r="G870" s="27">
        <f>IF($L870&lt;&gt;"",IF(INDEX(SCOp,$L870)="مرجوعی فروش","",IF(INDEX(SCAmount,$L870)&lt;=0,"",INDEX(SCAmount,$L870))),IF($M870&lt;&gt;"",IF(INDEX(LdgWitB,$M870)=0,"",INDEX(LdgWitB,$M870)),""))</f>
        <v/>
      </c>
      <c r="H870" s="27">
        <f>IF($L870&lt;&gt;"",IF(INDEX(SCOp,$L870)="مرجوعی فروش",IF(INDEX(SCAmount,$L870)=0,"",-INDEX(SCAmount,$L870)),""),IF($M870&lt;&gt;"",IF(INDEX(LdgDepB,$M870)=0,"",INDEX(LdgDepB,$M870)),""))</f>
        <v/>
      </c>
      <c r="I870" s="28">
        <f>IF($B870="","",IF($I869="",$C$10,$I869)+IF($G870="",0,$G870)-IF($H870="",0,$H870))</f>
        <v/>
      </c>
      <c r="L870">
        <f>IFERROR(MATCH($C$5&amp;"|"&amp;RIGHT("000000"&amp;854,6),LdgRankKeyA,0),"")</f>
        <v/>
      </c>
      <c r="M870">
        <f>IFERROR(MATCH($C$5&amp;"|"&amp;RIGHT("000000"&amp;854,6),LdgRankKeyB,0),"")</f>
        <v/>
      </c>
    </row>
    <row r="871">
      <c r="A871" s="17" t="n">
        <v>855</v>
      </c>
      <c r="B871" s="18">
        <f>IF(AND($L871="",$M871=""),"",IF($L871&lt;&gt;"",INDEX(SCNormDate,$L871),INDEX(LdgDateB,$M871)))</f>
        <v/>
      </c>
      <c r="C871" s="18">
        <f>IF($L871&lt;&gt;"",INDEX(SCOp,$L871),IF($M871&lt;&gt;"","پرداخت بانکی",""))</f>
        <v/>
      </c>
      <c r="D871" s="18">
        <f>IF($L871&lt;&gt;"",IF(INDEX(SCDoc,$L871)="","—",INDEX(SCDoc,$L871)),IF($M871&lt;&gt;"",INDEX(LdgBankB,$M871),""))</f>
        <v/>
      </c>
      <c r="E871" s="19">
        <f>IF($L871&lt;&gt;"",IF(INDEX(SCCitrus,$L871)&amp;INDEX(SCNotes,$L871)="","",IF(INDEX(SCCitrus,$L871)="","",INDEX(SCCitrus,$L871))&amp;IF(INDEX(SCNotes,$L871)="",""," — "&amp;INDEX(SCNotes,$L871))),IF($M871&lt;&gt;"",IF(INDEX(LdgNoteB,$M871)="","—",INDEX(LdgNoteB,$M871)),""))</f>
        <v/>
      </c>
      <c r="F871" s="20">
        <f>IF($L871&lt;&gt;"",IF(INDEX(SCNet,$L871)=0,"",INDEX(SCNet,$L871)),"")</f>
        <v/>
      </c>
      <c r="G871" s="21">
        <f>IF($L871&lt;&gt;"",IF(INDEX(SCOp,$L871)="مرجوعی فروش","",IF(INDEX(SCAmount,$L871)&lt;=0,"",INDEX(SCAmount,$L871))),IF($M871&lt;&gt;"",IF(INDEX(LdgWitB,$M871)=0,"",INDEX(LdgWitB,$M871)),""))</f>
        <v/>
      </c>
      <c r="H871" s="21">
        <f>IF($L871&lt;&gt;"",IF(INDEX(SCOp,$L871)="مرجوعی فروش",IF(INDEX(SCAmount,$L871)=0,"",-INDEX(SCAmount,$L871)),""),IF($M871&lt;&gt;"",IF(INDEX(LdgDepB,$M871)=0,"",INDEX(LdgDepB,$M871)),""))</f>
        <v/>
      </c>
      <c r="I871" s="22">
        <f>IF($B871="","",IF($I870="",$C$10,$I870)+IF($G871="",0,$G871)-IF($H871="",0,$H871))</f>
        <v/>
      </c>
      <c r="L871">
        <f>IFERROR(MATCH($C$5&amp;"|"&amp;RIGHT("000000"&amp;855,6),LdgRankKeyA,0),"")</f>
        <v/>
      </c>
      <c r="M871">
        <f>IFERROR(MATCH($C$5&amp;"|"&amp;RIGHT("000000"&amp;855,6),LdgRankKeyB,0),"")</f>
        <v/>
      </c>
    </row>
    <row r="872">
      <c r="A872" s="23" t="n">
        <v>856</v>
      </c>
      <c r="B872" s="24">
        <f>IF(AND($L872="",$M872=""),"",IF($L872&lt;&gt;"",INDEX(SCNormDate,$L872),INDEX(LdgDateB,$M872)))</f>
        <v/>
      </c>
      <c r="C872" s="24">
        <f>IF($L872&lt;&gt;"",INDEX(SCOp,$L872),IF($M872&lt;&gt;"","پرداخت بانکی",""))</f>
        <v/>
      </c>
      <c r="D872" s="24">
        <f>IF($L872&lt;&gt;"",IF(INDEX(SCDoc,$L872)="","—",INDEX(SCDoc,$L872)),IF($M872&lt;&gt;"",INDEX(LdgBankB,$M872),""))</f>
        <v/>
      </c>
      <c r="E872" s="25">
        <f>IF($L872&lt;&gt;"",IF(INDEX(SCCitrus,$L872)&amp;INDEX(SCNotes,$L872)="","",IF(INDEX(SCCitrus,$L872)="","",INDEX(SCCitrus,$L872))&amp;IF(INDEX(SCNotes,$L872)="",""," — "&amp;INDEX(SCNotes,$L872))),IF($M872&lt;&gt;"",IF(INDEX(LdgNoteB,$M872)="","—",INDEX(LdgNoteB,$M872)),""))</f>
        <v/>
      </c>
      <c r="F872" s="26">
        <f>IF($L872&lt;&gt;"",IF(INDEX(SCNet,$L872)=0,"",INDEX(SCNet,$L872)),"")</f>
        <v/>
      </c>
      <c r="G872" s="27">
        <f>IF($L872&lt;&gt;"",IF(INDEX(SCOp,$L872)="مرجوعی فروش","",IF(INDEX(SCAmount,$L872)&lt;=0,"",INDEX(SCAmount,$L872))),IF($M872&lt;&gt;"",IF(INDEX(LdgWitB,$M872)=0,"",INDEX(LdgWitB,$M872)),""))</f>
        <v/>
      </c>
      <c r="H872" s="27">
        <f>IF($L872&lt;&gt;"",IF(INDEX(SCOp,$L872)="مرجوعی فروش",IF(INDEX(SCAmount,$L872)=0,"",-INDEX(SCAmount,$L872)),""),IF($M872&lt;&gt;"",IF(INDEX(LdgDepB,$M872)=0,"",INDEX(LdgDepB,$M872)),""))</f>
        <v/>
      </c>
      <c r="I872" s="28">
        <f>IF($B872="","",IF($I871="",$C$10,$I871)+IF($G872="",0,$G872)-IF($H872="",0,$H872))</f>
        <v/>
      </c>
      <c r="L872">
        <f>IFERROR(MATCH($C$5&amp;"|"&amp;RIGHT("000000"&amp;856,6),LdgRankKeyA,0),"")</f>
        <v/>
      </c>
      <c r="M872">
        <f>IFERROR(MATCH($C$5&amp;"|"&amp;RIGHT("000000"&amp;856,6),LdgRankKeyB,0),"")</f>
        <v/>
      </c>
    </row>
    <row r="873">
      <c r="A873" s="17" t="n">
        <v>857</v>
      </c>
      <c r="B873" s="18">
        <f>IF(AND($L873="",$M873=""),"",IF($L873&lt;&gt;"",INDEX(SCNormDate,$L873),INDEX(LdgDateB,$M873)))</f>
        <v/>
      </c>
      <c r="C873" s="18">
        <f>IF($L873&lt;&gt;"",INDEX(SCOp,$L873),IF($M873&lt;&gt;"","پرداخت بانکی",""))</f>
        <v/>
      </c>
      <c r="D873" s="18">
        <f>IF($L873&lt;&gt;"",IF(INDEX(SCDoc,$L873)="","—",INDEX(SCDoc,$L873)),IF($M873&lt;&gt;"",INDEX(LdgBankB,$M873),""))</f>
        <v/>
      </c>
      <c r="E873" s="19">
        <f>IF($L873&lt;&gt;"",IF(INDEX(SCCitrus,$L873)&amp;INDEX(SCNotes,$L873)="","",IF(INDEX(SCCitrus,$L873)="","",INDEX(SCCitrus,$L873))&amp;IF(INDEX(SCNotes,$L873)="",""," — "&amp;INDEX(SCNotes,$L873))),IF($M873&lt;&gt;"",IF(INDEX(LdgNoteB,$M873)="","—",INDEX(LdgNoteB,$M873)),""))</f>
        <v/>
      </c>
      <c r="F873" s="20">
        <f>IF($L873&lt;&gt;"",IF(INDEX(SCNet,$L873)=0,"",INDEX(SCNet,$L873)),"")</f>
        <v/>
      </c>
      <c r="G873" s="21">
        <f>IF($L873&lt;&gt;"",IF(INDEX(SCOp,$L873)="مرجوعی فروش","",IF(INDEX(SCAmount,$L873)&lt;=0,"",INDEX(SCAmount,$L873))),IF($M873&lt;&gt;"",IF(INDEX(LdgWitB,$M873)=0,"",INDEX(LdgWitB,$M873)),""))</f>
        <v/>
      </c>
      <c r="H873" s="21">
        <f>IF($L873&lt;&gt;"",IF(INDEX(SCOp,$L873)="مرجوعی فروش",IF(INDEX(SCAmount,$L873)=0,"",-INDEX(SCAmount,$L873)),""),IF($M873&lt;&gt;"",IF(INDEX(LdgDepB,$M873)=0,"",INDEX(LdgDepB,$M873)),""))</f>
        <v/>
      </c>
      <c r="I873" s="22">
        <f>IF($B873="","",IF($I872="",$C$10,$I872)+IF($G873="",0,$G873)-IF($H873="",0,$H873))</f>
        <v/>
      </c>
      <c r="L873">
        <f>IFERROR(MATCH($C$5&amp;"|"&amp;RIGHT("000000"&amp;857,6),LdgRankKeyA,0),"")</f>
        <v/>
      </c>
      <c r="M873">
        <f>IFERROR(MATCH($C$5&amp;"|"&amp;RIGHT("000000"&amp;857,6),LdgRankKeyB,0),"")</f>
        <v/>
      </c>
    </row>
    <row r="874">
      <c r="A874" s="23" t="n">
        <v>858</v>
      </c>
      <c r="B874" s="24">
        <f>IF(AND($L874="",$M874=""),"",IF($L874&lt;&gt;"",INDEX(SCNormDate,$L874),INDEX(LdgDateB,$M874)))</f>
        <v/>
      </c>
      <c r="C874" s="24">
        <f>IF($L874&lt;&gt;"",INDEX(SCOp,$L874),IF($M874&lt;&gt;"","پرداخت بانکی",""))</f>
        <v/>
      </c>
      <c r="D874" s="24">
        <f>IF($L874&lt;&gt;"",IF(INDEX(SCDoc,$L874)="","—",INDEX(SCDoc,$L874)),IF($M874&lt;&gt;"",INDEX(LdgBankB,$M874),""))</f>
        <v/>
      </c>
      <c r="E874" s="25">
        <f>IF($L874&lt;&gt;"",IF(INDEX(SCCitrus,$L874)&amp;INDEX(SCNotes,$L874)="","",IF(INDEX(SCCitrus,$L874)="","",INDEX(SCCitrus,$L874))&amp;IF(INDEX(SCNotes,$L874)="",""," — "&amp;INDEX(SCNotes,$L874))),IF($M874&lt;&gt;"",IF(INDEX(LdgNoteB,$M874)="","—",INDEX(LdgNoteB,$M874)),""))</f>
        <v/>
      </c>
      <c r="F874" s="26">
        <f>IF($L874&lt;&gt;"",IF(INDEX(SCNet,$L874)=0,"",INDEX(SCNet,$L874)),"")</f>
        <v/>
      </c>
      <c r="G874" s="27">
        <f>IF($L874&lt;&gt;"",IF(INDEX(SCOp,$L874)="مرجوعی فروش","",IF(INDEX(SCAmount,$L874)&lt;=0,"",INDEX(SCAmount,$L874))),IF($M874&lt;&gt;"",IF(INDEX(LdgWitB,$M874)=0,"",INDEX(LdgWitB,$M874)),""))</f>
        <v/>
      </c>
      <c r="H874" s="27">
        <f>IF($L874&lt;&gt;"",IF(INDEX(SCOp,$L874)="مرجوعی فروش",IF(INDEX(SCAmount,$L874)=0,"",-INDEX(SCAmount,$L874)),""),IF($M874&lt;&gt;"",IF(INDEX(LdgDepB,$M874)=0,"",INDEX(LdgDepB,$M874)),""))</f>
        <v/>
      </c>
      <c r="I874" s="28">
        <f>IF($B874="","",IF($I873="",$C$10,$I873)+IF($G874="",0,$G874)-IF($H874="",0,$H874))</f>
        <v/>
      </c>
      <c r="L874">
        <f>IFERROR(MATCH($C$5&amp;"|"&amp;RIGHT("000000"&amp;858,6),LdgRankKeyA,0),"")</f>
        <v/>
      </c>
      <c r="M874">
        <f>IFERROR(MATCH($C$5&amp;"|"&amp;RIGHT("000000"&amp;858,6),LdgRankKeyB,0),"")</f>
        <v/>
      </c>
    </row>
    <row r="875">
      <c r="A875" s="17" t="n">
        <v>859</v>
      </c>
      <c r="B875" s="18">
        <f>IF(AND($L875="",$M875=""),"",IF($L875&lt;&gt;"",INDEX(SCNormDate,$L875),INDEX(LdgDateB,$M875)))</f>
        <v/>
      </c>
      <c r="C875" s="18">
        <f>IF($L875&lt;&gt;"",INDEX(SCOp,$L875),IF($M875&lt;&gt;"","پرداخت بانکی",""))</f>
        <v/>
      </c>
      <c r="D875" s="18">
        <f>IF($L875&lt;&gt;"",IF(INDEX(SCDoc,$L875)="","—",INDEX(SCDoc,$L875)),IF($M875&lt;&gt;"",INDEX(LdgBankB,$M875),""))</f>
        <v/>
      </c>
      <c r="E875" s="19">
        <f>IF($L875&lt;&gt;"",IF(INDEX(SCCitrus,$L875)&amp;INDEX(SCNotes,$L875)="","",IF(INDEX(SCCitrus,$L875)="","",INDEX(SCCitrus,$L875))&amp;IF(INDEX(SCNotes,$L875)="",""," — "&amp;INDEX(SCNotes,$L875))),IF($M875&lt;&gt;"",IF(INDEX(LdgNoteB,$M875)="","—",INDEX(LdgNoteB,$M875)),""))</f>
        <v/>
      </c>
      <c r="F875" s="20">
        <f>IF($L875&lt;&gt;"",IF(INDEX(SCNet,$L875)=0,"",INDEX(SCNet,$L875)),"")</f>
        <v/>
      </c>
      <c r="G875" s="21">
        <f>IF($L875&lt;&gt;"",IF(INDEX(SCOp,$L875)="مرجوعی فروش","",IF(INDEX(SCAmount,$L875)&lt;=0,"",INDEX(SCAmount,$L875))),IF($M875&lt;&gt;"",IF(INDEX(LdgWitB,$M875)=0,"",INDEX(LdgWitB,$M875)),""))</f>
        <v/>
      </c>
      <c r="H875" s="21">
        <f>IF($L875&lt;&gt;"",IF(INDEX(SCOp,$L875)="مرجوعی فروش",IF(INDEX(SCAmount,$L875)=0,"",-INDEX(SCAmount,$L875)),""),IF($M875&lt;&gt;"",IF(INDEX(LdgDepB,$M875)=0,"",INDEX(LdgDepB,$M875)),""))</f>
        <v/>
      </c>
      <c r="I875" s="22">
        <f>IF($B875="","",IF($I874="",$C$10,$I874)+IF($G875="",0,$G875)-IF($H875="",0,$H875))</f>
        <v/>
      </c>
      <c r="L875">
        <f>IFERROR(MATCH($C$5&amp;"|"&amp;RIGHT("000000"&amp;859,6),LdgRankKeyA,0),"")</f>
        <v/>
      </c>
      <c r="M875">
        <f>IFERROR(MATCH($C$5&amp;"|"&amp;RIGHT("000000"&amp;859,6),LdgRankKeyB,0),"")</f>
        <v/>
      </c>
    </row>
    <row r="876">
      <c r="A876" s="23" t="n">
        <v>860</v>
      </c>
      <c r="B876" s="24">
        <f>IF(AND($L876="",$M876=""),"",IF($L876&lt;&gt;"",INDEX(SCNormDate,$L876),INDEX(LdgDateB,$M876)))</f>
        <v/>
      </c>
      <c r="C876" s="24">
        <f>IF($L876&lt;&gt;"",INDEX(SCOp,$L876),IF($M876&lt;&gt;"","پرداخت بانکی",""))</f>
        <v/>
      </c>
      <c r="D876" s="24">
        <f>IF($L876&lt;&gt;"",IF(INDEX(SCDoc,$L876)="","—",INDEX(SCDoc,$L876)),IF($M876&lt;&gt;"",INDEX(LdgBankB,$M876),""))</f>
        <v/>
      </c>
      <c r="E876" s="25">
        <f>IF($L876&lt;&gt;"",IF(INDEX(SCCitrus,$L876)&amp;INDEX(SCNotes,$L876)="","",IF(INDEX(SCCitrus,$L876)="","",INDEX(SCCitrus,$L876))&amp;IF(INDEX(SCNotes,$L876)="",""," — "&amp;INDEX(SCNotes,$L876))),IF($M876&lt;&gt;"",IF(INDEX(LdgNoteB,$M876)="","—",INDEX(LdgNoteB,$M876)),""))</f>
        <v/>
      </c>
      <c r="F876" s="26">
        <f>IF($L876&lt;&gt;"",IF(INDEX(SCNet,$L876)=0,"",INDEX(SCNet,$L876)),"")</f>
        <v/>
      </c>
      <c r="G876" s="27">
        <f>IF($L876&lt;&gt;"",IF(INDEX(SCOp,$L876)="مرجوعی فروش","",IF(INDEX(SCAmount,$L876)&lt;=0,"",INDEX(SCAmount,$L876))),IF($M876&lt;&gt;"",IF(INDEX(LdgWitB,$M876)=0,"",INDEX(LdgWitB,$M876)),""))</f>
        <v/>
      </c>
      <c r="H876" s="27">
        <f>IF($L876&lt;&gt;"",IF(INDEX(SCOp,$L876)="مرجوعی فروش",IF(INDEX(SCAmount,$L876)=0,"",-INDEX(SCAmount,$L876)),""),IF($M876&lt;&gt;"",IF(INDEX(LdgDepB,$M876)=0,"",INDEX(LdgDepB,$M876)),""))</f>
        <v/>
      </c>
      <c r="I876" s="28">
        <f>IF($B876="","",IF($I875="",$C$10,$I875)+IF($G876="",0,$G876)-IF($H876="",0,$H876))</f>
        <v/>
      </c>
      <c r="L876">
        <f>IFERROR(MATCH($C$5&amp;"|"&amp;RIGHT("000000"&amp;860,6),LdgRankKeyA,0),"")</f>
        <v/>
      </c>
      <c r="M876">
        <f>IFERROR(MATCH($C$5&amp;"|"&amp;RIGHT("000000"&amp;860,6),LdgRankKeyB,0),"")</f>
        <v/>
      </c>
    </row>
    <row r="877">
      <c r="A877" s="17" t="n">
        <v>861</v>
      </c>
      <c r="B877" s="18">
        <f>IF(AND($L877="",$M877=""),"",IF($L877&lt;&gt;"",INDEX(SCNormDate,$L877),INDEX(LdgDateB,$M877)))</f>
        <v/>
      </c>
      <c r="C877" s="18">
        <f>IF($L877&lt;&gt;"",INDEX(SCOp,$L877),IF($M877&lt;&gt;"","پرداخت بانکی",""))</f>
        <v/>
      </c>
      <c r="D877" s="18">
        <f>IF($L877&lt;&gt;"",IF(INDEX(SCDoc,$L877)="","—",INDEX(SCDoc,$L877)),IF($M877&lt;&gt;"",INDEX(LdgBankB,$M877),""))</f>
        <v/>
      </c>
      <c r="E877" s="19">
        <f>IF($L877&lt;&gt;"",IF(INDEX(SCCitrus,$L877)&amp;INDEX(SCNotes,$L877)="","",IF(INDEX(SCCitrus,$L877)="","",INDEX(SCCitrus,$L877))&amp;IF(INDEX(SCNotes,$L877)="",""," — "&amp;INDEX(SCNotes,$L877))),IF($M877&lt;&gt;"",IF(INDEX(LdgNoteB,$M877)="","—",INDEX(LdgNoteB,$M877)),""))</f>
        <v/>
      </c>
      <c r="F877" s="20">
        <f>IF($L877&lt;&gt;"",IF(INDEX(SCNet,$L877)=0,"",INDEX(SCNet,$L877)),"")</f>
        <v/>
      </c>
      <c r="G877" s="21">
        <f>IF($L877&lt;&gt;"",IF(INDEX(SCOp,$L877)="مرجوعی فروش","",IF(INDEX(SCAmount,$L877)&lt;=0,"",INDEX(SCAmount,$L877))),IF($M877&lt;&gt;"",IF(INDEX(LdgWitB,$M877)=0,"",INDEX(LdgWitB,$M877)),""))</f>
        <v/>
      </c>
      <c r="H877" s="21">
        <f>IF($L877&lt;&gt;"",IF(INDEX(SCOp,$L877)="مرجوعی فروش",IF(INDEX(SCAmount,$L877)=0,"",-INDEX(SCAmount,$L877)),""),IF($M877&lt;&gt;"",IF(INDEX(LdgDepB,$M877)=0,"",INDEX(LdgDepB,$M877)),""))</f>
        <v/>
      </c>
      <c r="I877" s="22">
        <f>IF($B877="","",IF($I876="",$C$10,$I876)+IF($G877="",0,$G877)-IF($H877="",0,$H877))</f>
        <v/>
      </c>
      <c r="L877">
        <f>IFERROR(MATCH($C$5&amp;"|"&amp;RIGHT("000000"&amp;861,6),LdgRankKeyA,0),"")</f>
        <v/>
      </c>
      <c r="M877">
        <f>IFERROR(MATCH($C$5&amp;"|"&amp;RIGHT("000000"&amp;861,6),LdgRankKeyB,0),"")</f>
        <v/>
      </c>
    </row>
    <row r="878">
      <c r="A878" s="23" t="n">
        <v>862</v>
      </c>
      <c r="B878" s="24">
        <f>IF(AND($L878="",$M878=""),"",IF($L878&lt;&gt;"",INDEX(SCNormDate,$L878),INDEX(LdgDateB,$M878)))</f>
        <v/>
      </c>
      <c r="C878" s="24">
        <f>IF($L878&lt;&gt;"",INDEX(SCOp,$L878),IF($M878&lt;&gt;"","پرداخت بانکی",""))</f>
        <v/>
      </c>
      <c r="D878" s="24">
        <f>IF($L878&lt;&gt;"",IF(INDEX(SCDoc,$L878)="","—",INDEX(SCDoc,$L878)),IF($M878&lt;&gt;"",INDEX(LdgBankB,$M878),""))</f>
        <v/>
      </c>
      <c r="E878" s="25">
        <f>IF($L878&lt;&gt;"",IF(INDEX(SCCitrus,$L878)&amp;INDEX(SCNotes,$L878)="","",IF(INDEX(SCCitrus,$L878)="","",INDEX(SCCitrus,$L878))&amp;IF(INDEX(SCNotes,$L878)="",""," — "&amp;INDEX(SCNotes,$L878))),IF($M878&lt;&gt;"",IF(INDEX(LdgNoteB,$M878)="","—",INDEX(LdgNoteB,$M878)),""))</f>
        <v/>
      </c>
      <c r="F878" s="26">
        <f>IF($L878&lt;&gt;"",IF(INDEX(SCNet,$L878)=0,"",INDEX(SCNet,$L878)),"")</f>
        <v/>
      </c>
      <c r="G878" s="27">
        <f>IF($L878&lt;&gt;"",IF(INDEX(SCOp,$L878)="مرجوعی فروش","",IF(INDEX(SCAmount,$L878)&lt;=0,"",INDEX(SCAmount,$L878))),IF($M878&lt;&gt;"",IF(INDEX(LdgWitB,$M878)=0,"",INDEX(LdgWitB,$M878)),""))</f>
        <v/>
      </c>
      <c r="H878" s="27">
        <f>IF($L878&lt;&gt;"",IF(INDEX(SCOp,$L878)="مرجوعی فروش",IF(INDEX(SCAmount,$L878)=0,"",-INDEX(SCAmount,$L878)),""),IF($M878&lt;&gt;"",IF(INDEX(LdgDepB,$M878)=0,"",INDEX(LdgDepB,$M878)),""))</f>
        <v/>
      </c>
      <c r="I878" s="28">
        <f>IF($B878="","",IF($I877="",$C$10,$I877)+IF($G878="",0,$G878)-IF($H878="",0,$H878))</f>
        <v/>
      </c>
      <c r="L878">
        <f>IFERROR(MATCH($C$5&amp;"|"&amp;RIGHT("000000"&amp;862,6),LdgRankKeyA,0),"")</f>
        <v/>
      </c>
      <c r="M878">
        <f>IFERROR(MATCH($C$5&amp;"|"&amp;RIGHT("000000"&amp;862,6),LdgRankKeyB,0),"")</f>
        <v/>
      </c>
    </row>
    <row r="879">
      <c r="A879" s="17" t="n">
        <v>863</v>
      </c>
      <c r="B879" s="18">
        <f>IF(AND($L879="",$M879=""),"",IF($L879&lt;&gt;"",INDEX(SCNormDate,$L879),INDEX(LdgDateB,$M879)))</f>
        <v/>
      </c>
      <c r="C879" s="18">
        <f>IF($L879&lt;&gt;"",INDEX(SCOp,$L879),IF($M879&lt;&gt;"","پرداخت بانکی",""))</f>
        <v/>
      </c>
      <c r="D879" s="18">
        <f>IF($L879&lt;&gt;"",IF(INDEX(SCDoc,$L879)="","—",INDEX(SCDoc,$L879)),IF($M879&lt;&gt;"",INDEX(LdgBankB,$M879),""))</f>
        <v/>
      </c>
      <c r="E879" s="19">
        <f>IF($L879&lt;&gt;"",IF(INDEX(SCCitrus,$L879)&amp;INDEX(SCNotes,$L879)="","",IF(INDEX(SCCitrus,$L879)="","",INDEX(SCCitrus,$L879))&amp;IF(INDEX(SCNotes,$L879)="",""," — "&amp;INDEX(SCNotes,$L879))),IF($M879&lt;&gt;"",IF(INDEX(LdgNoteB,$M879)="","—",INDEX(LdgNoteB,$M879)),""))</f>
        <v/>
      </c>
      <c r="F879" s="20">
        <f>IF($L879&lt;&gt;"",IF(INDEX(SCNet,$L879)=0,"",INDEX(SCNet,$L879)),"")</f>
        <v/>
      </c>
      <c r="G879" s="21">
        <f>IF($L879&lt;&gt;"",IF(INDEX(SCOp,$L879)="مرجوعی فروش","",IF(INDEX(SCAmount,$L879)&lt;=0,"",INDEX(SCAmount,$L879))),IF($M879&lt;&gt;"",IF(INDEX(LdgWitB,$M879)=0,"",INDEX(LdgWitB,$M879)),""))</f>
        <v/>
      </c>
      <c r="H879" s="21">
        <f>IF($L879&lt;&gt;"",IF(INDEX(SCOp,$L879)="مرجوعی فروش",IF(INDEX(SCAmount,$L879)=0,"",-INDEX(SCAmount,$L879)),""),IF($M879&lt;&gt;"",IF(INDEX(LdgDepB,$M879)=0,"",INDEX(LdgDepB,$M879)),""))</f>
        <v/>
      </c>
      <c r="I879" s="22">
        <f>IF($B879="","",IF($I878="",$C$10,$I878)+IF($G879="",0,$G879)-IF($H879="",0,$H879))</f>
        <v/>
      </c>
      <c r="L879">
        <f>IFERROR(MATCH($C$5&amp;"|"&amp;RIGHT("000000"&amp;863,6),LdgRankKeyA,0),"")</f>
        <v/>
      </c>
      <c r="M879">
        <f>IFERROR(MATCH($C$5&amp;"|"&amp;RIGHT("000000"&amp;863,6),LdgRankKeyB,0),"")</f>
        <v/>
      </c>
    </row>
    <row r="880">
      <c r="A880" s="23" t="n">
        <v>864</v>
      </c>
      <c r="B880" s="24">
        <f>IF(AND($L880="",$M880=""),"",IF($L880&lt;&gt;"",INDEX(SCNormDate,$L880),INDEX(LdgDateB,$M880)))</f>
        <v/>
      </c>
      <c r="C880" s="24">
        <f>IF($L880&lt;&gt;"",INDEX(SCOp,$L880),IF($M880&lt;&gt;"","پرداخت بانکی",""))</f>
        <v/>
      </c>
      <c r="D880" s="24">
        <f>IF($L880&lt;&gt;"",IF(INDEX(SCDoc,$L880)="","—",INDEX(SCDoc,$L880)),IF($M880&lt;&gt;"",INDEX(LdgBankB,$M880),""))</f>
        <v/>
      </c>
      <c r="E880" s="25">
        <f>IF($L880&lt;&gt;"",IF(INDEX(SCCitrus,$L880)&amp;INDEX(SCNotes,$L880)="","",IF(INDEX(SCCitrus,$L880)="","",INDEX(SCCitrus,$L880))&amp;IF(INDEX(SCNotes,$L880)="",""," — "&amp;INDEX(SCNotes,$L880))),IF($M880&lt;&gt;"",IF(INDEX(LdgNoteB,$M880)="","—",INDEX(LdgNoteB,$M880)),""))</f>
        <v/>
      </c>
      <c r="F880" s="26">
        <f>IF($L880&lt;&gt;"",IF(INDEX(SCNet,$L880)=0,"",INDEX(SCNet,$L880)),"")</f>
        <v/>
      </c>
      <c r="G880" s="27">
        <f>IF($L880&lt;&gt;"",IF(INDEX(SCOp,$L880)="مرجوعی فروش","",IF(INDEX(SCAmount,$L880)&lt;=0,"",INDEX(SCAmount,$L880))),IF($M880&lt;&gt;"",IF(INDEX(LdgWitB,$M880)=0,"",INDEX(LdgWitB,$M880)),""))</f>
        <v/>
      </c>
      <c r="H880" s="27">
        <f>IF($L880&lt;&gt;"",IF(INDEX(SCOp,$L880)="مرجوعی فروش",IF(INDEX(SCAmount,$L880)=0,"",-INDEX(SCAmount,$L880)),""),IF($M880&lt;&gt;"",IF(INDEX(LdgDepB,$M880)=0,"",INDEX(LdgDepB,$M880)),""))</f>
        <v/>
      </c>
      <c r="I880" s="28">
        <f>IF($B880="","",IF($I879="",$C$10,$I879)+IF($G880="",0,$G880)-IF($H880="",0,$H880))</f>
        <v/>
      </c>
      <c r="L880">
        <f>IFERROR(MATCH($C$5&amp;"|"&amp;RIGHT("000000"&amp;864,6),LdgRankKeyA,0),"")</f>
        <v/>
      </c>
      <c r="M880">
        <f>IFERROR(MATCH($C$5&amp;"|"&amp;RIGHT("000000"&amp;864,6),LdgRankKeyB,0),"")</f>
        <v/>
      </c>
    </row>
    <row r="881">
      <c r="A881" s="17" t="n">
        <v>865</v>
      </c>
      <c r="B881" s="18">
        <f>IF(AND($L881="",$M881=""),"",IF($L881&lt;&gt;"",INDEX(SCNormDate,$L881),INDEX(LdgDateB,$M881)))</f>
        <v/>
      </c>
      <c r="C881" s="18">
        <f>IF($L881&lt;&gt;"",INDEX(SCOp,$L881),IF($M881&lt;&gt;"","پرداخت بانکی",""))</f>
        <v/>
      </c>
      <c r="D881" s="18">
        <f>IF($L881&lt;&gt;"",IF(INDEX(SCDoc,$L881)="","—",INDEX(SCDoc,$L881)),IF($M881&lt;&gt;"",INDEX(LdgBankB,$M881),""))</f>
        <v/>
      </c>
      <c r="E881" s="19">
        <f>IF($L881&lt;&gt;"",IF(INDEX(SCCitrus,$L881)&amp;INDEX(SCNotes,$L881)="","",IF(INDEX(SCCitrus,$L881)="","",INDEX(SCCitrus,$L881))&amp;IF(INDEX(SCNotes,$L881)="",""," — "&amp;INDEX(SCNotes,$L881))),IF($M881&lt;&gt;"",IF(INDEX(LdgNoteB,$M881)="","—",INDEX(LdgNoteB,$M881)),""))</f>
        <v/>
      </c>
      <c r="F881" s="20">
        <f>IF($L881&lt;&gt;"",IF(INDEX(SCNet,$L881)=0,"",INDEX(SCNet,$L881)),"")</f>
        <v/>
      </c>
      <c r="G881" s="21">
        <f>IF($L881&lt;&gt;"",IF(INDEX(SCOp,$L881)="مرجوعی فروش","",IF(INDEX(SCAmount,$L881)&lt;=0,"",INDEX(SCAmount,$L881))),IF($M881&lt;&gt;"",IF(INDEX(LdgWitB,$M881)=0,"",INDEX(LdgWitB,$M881)),""))</f>
        <v/>
      </c>
      <c r="H881" s="21">
        <f>IF($L881&lt;&gt;"",IF(INDEX(SCOp,$L881)="مرجوعی فروش",IF(INDEX(SCAmount,$L881)=0,"",-INDEX(SCAmount,$L881)),""),IF($M881&lt;&gt;"",IF(INDEX(LdgDepB,$M881)=0,"",INDEX(LdgDepB,$M881)),""))</f>
        <v/>
      </c>
      <c r="I881" s="22">
        <f>IF($B881="","",IF($I880="",$C$10,$I880)+IF($G881="",0,$G881)-IF($H881="",0,$H881))</f>
        <v/>
      </c>
      <c r="L881">
        <f>IFERROR(MATCH($C$5&amp;"|"&amp;RIGHT("000000"&amp;865,6),LdgRankKeyA,0),"")</f>
        <v/>
      </c>
      <c r="M881">
        <f>IFERROR(MATCH($C$5&amp;"|"&amp;RIGHT("000000"&amp;865,6),LdgRankKeyB,0),"")</f>
        <v/>
      </c>
    </row>
    <row r="882">
      <c r="A882" s="23" t="n">
        <v>866</v>
      </c>
      <c r="B882" s="24">
        <f>IF(AND($L882="",$M882=""),"",IF($L882&lt;&gt;"",INDEX(SCNormDate,$L882),INDEX(LdgDateB,$M882)))</f>
        <v/>
      </c>
      <c r="C882" s="24">
        <f>IF($L882&lt;&gt;"",INDEX(SCOp,$L882),IF($M882&lt;&gt;"","پرداخت بانکی",""))</f>
        <v/>
      </c>
      <c r="D882" s="24">
        <f>IF($L882&lt;&gt;"",IF(INDEX(SCDoc,$L882)="","—",INDEX(SCDoc,$L882)),IF($M882&lt;&gt;"",INDEX(LdgBankB,$M882),""))</f>
        <v/>
      </c>
      <c r="E882" s="25">
        <f>IF($L882&lt;&gt;"",IF(INDEX(SCCitrus,$L882)&amp;INDEX(SCNotes,$L882)="","",IF(INDEX(SCCitrus,$L882)="","",INDEX(SCCitrus,$L882))&amp;IF(INDEX(SCNotes,$L882)="",""," — "&amp;INDEX(SCNotes,$L882))),IF($M882&lt;&gt;"",IF(INDEX(LdgNoteB,$M882)="","—",INDEX(LdgNoteB,$M882)),""))</f>
        <v/>
      </c>
      <c r="F882" s="26">
        <f>IF($L882&lt;&gt;"",IF(INDEX(SCNet,$L882)=0,"",INDEX(SCNet,$L882)),"")</f>
        <v/>
      </c>
      <c r="G882" s="27">
        <f>IF($L882&lt;&gt;"",IF(INDEX(SCOp,$L882)="مرجوعی فروش","",IF(INDEX(SCAmount,$L882)&lt;=0,"",INDEX(SCAmount,$L882))),IF($M882&lt;&gt;"",IF(INDEX(LdgWitB,$M882)=0,"",INDEX(LdgWitB,$M882)),""))</f>
        <v/>
      </c>
      <c r="H882" s="27">
        <f>IF($L882&lt;&gt;"",IF(INDEX(SCOp,$L882)="مرجوعی فروش",IF(INDEX(SCAmount,$L882)=0,"",-INDEX(SCAmount,$L882)),""),IF($M882&lt;&gt;"",IF(INDEX(LdgDepB,$M882)=0,"",INDEX(LdgDepB,$M882)),""))</f>
        <v/>
      </c>
      <c r="I882" s="28">
        <f>IF($B882="","",IF($I881="",$C$10,$I881)+IF($G882="",0,$G882)-IF($H882="",0,$H882))</f>
        <v/>
      </c>
      <c r="L882">
        <f>IFERROR(MATCH($C$5&amp;"|"&amp;RIGHT("000000"&amp;866,6),LdgRankKeyA,0),"")</f>
        <v/>
      </c>
      <c r="M882">
        <f>IFERROR(MATCH($C$5&amp;"|"&amp;RIGHT("000000"&amp;866,6),LdgRankKeyB,0),"")</f>
        <v/>
      </c>
    </row>
    <row r="883">
      <c r="A883" s="17" t="n">
        <v>867</v>
      </c>
      <c r="B883" s="18">
        <f>IF(AND($L883="",$M883=""),"",IF($L883&lt;&gt;"",INDEX(SCNormDate,$L883),INDEX(LdgDateB,$M883)))</f>
        <v/>
      </c>
      <c r="C883" s="18">
        <f>IF($L883&lt;&gt;"",INDEX(SCOp,$L883),IF($M883&lt;&gt;"","پرداخت بانکی",""))</f>
        <v/>
      </c>
      <c r="D883" s="18">
        <f>IF($L883&lt;&gt;"",IF(INDEX(SCDoc,$L883)="","—",INDEX(SCDoc,$L883)),IF($M883&lt;&gt;"",INDEX(LdgBankB,$M883),""))</f>
        <v/>
      </c>
      <c r="E883" s="19">
        <f>IF($L883&lt;&gt;"",IF(INDEX(SCCitrus,$L883)&amp;INDEX(SCNotes,$L883)="","",IF(INDEX(SCCitrus,$L883)="","",INDEX(SCCitrus,$L883))&amp;IF(INDEX(SCNotes,$L883)="",""," — "&amp;INDEX(SCNotes,$L883))),IF($M883&lt;&gt;"",IF(INDEX(LdgNoteB,$M883)="","—",INDEX(LdgNoteB,$M883)),""))</f>
        <v/>
      </c>
      <c r="F883" s="20">
        <f>IF($L883&lt;&gt;"",IF(INDEX(SCNet,$L883)=0,"",INDEX(SCNet,$L883)),"")</f>
        <v/>
      </c>
      <c r="G883" s="21">
        <f>IF($L883&lt;&gt;"",IF(INDEX(SCOp,$L883)="مرجوعی فروش","",IF(INDEX(SCAmount,$L883)&lt;=0,"",INDEX(SCAmount,$L883))),IF($M883&lt;&gt;"",IF(INDEX(LdgWitB,$M883)=0,"",INDEX(LdgWitB,$M883)),""))</f>
        <v/>
      </c>
      <c r="H883" s="21">
        <f>IF($L883&lt;&gt;"",IF(INDEX(SCOp,$L883)="مرجوعی فروش",IF(INDEX(SCAmount,$L883)=0,"",-INDEX(SCAmount,$L883)),""),IF($M883&lt;&gt;"",IF(INDEX(LdgDepB,$M883)=0,"",INDEX(LdgDepB,$M883)),""))</f>
        <v/>
      </c>
      <c r="I883" s="22">
        <f>IF($B883="","",IF($I882="",$C$10,$I882)+IF($G883="",0,$G883)-IF($H883="",0,$H883))</f>
        <v/>
      </c>
      <c r="L883">
        <f>IFERROR(MATCH($C$5&amp;"|"&amp;RIGHT("000000"&amp;867,6),LdgRankKeyA,0),"")</f>
        <v/>
      </c>
      <c r="M883">
        <f>IFERROR(MATCH($C$5&amp;"|"&amp;RIGHT("000000"&amp;867,6),LdgRankKeyB,0),"")</f>
        <v/>
      </c>
    </row>
    <row r="884">
      <c r="A884" s="23" t="n">
        <v>868</v>
      </c>
      <c r="B884" s="24">
        <f>IF(AND($L884="",$M884=""),"",IF($L884&lt;&gt;"",INDEX(SCNormDate,$L884),INDEX(LdgDateB,$M884)))</f>
        <v/>
      </c>
      <c r="C884" s="24">
        <f>IF($L884&lt;&gt;"",INDEX(SCOp,$L884),IF($M884&lt;&gt;"","پرداخت بانکی",""))</f>
        <v/>
      </c>
      <c r="D884" s="24">
        <f>IF($L884&lt;&gt;"",IF(INDEX(SCDoc,$L884)="","—",INDEX(SCDoc,$L884)),IF($M884&lt;&gt;"",INDEX(LdgBankB,$M884),""))</f>
        <v/>
      </c>
      <c r="E884" s="25">
        <f>IF($L884&lt;&gt;"",IF(INDEX(SCCitrus,$L884)&amp;INDEX(SCNotes,$L884)="","",IF(INDEX(SCCitrus,$L884)="","",INDEX(SCCitrus,$L884))&amp;IF(INDEX(SCNotes,$L884)="",""," — "&amp;INDEX(SCNotes,$L884))),IF($M884&lt;&gt;"",IF(INDEX(LdgNoteB,$M884)="","—",INDEX(LdgNoteB,$M884)),""))</f>
        <v/>
      </c>
      <c r="F884" s="26">
        <f>IF($L884&lt;&gt;"",IF(INDEX(SCNet,$L884)=0,"",INDEX(SCNet,$L884)),"")</f>
        <v/>
      </c>
      <c r="G884" s="27">
        <f>IF($L884&lt;&gt;"",IF(INDEX(SCOp,$L884)="مرجوعی فروش","",IF(INDEX(SCAmount,$L884)&lt;=0,"",INDEX(SCAmount,$L884))),IF($M884&lt;&gt;"",IF(INDEX(LdgWitB,$M884)=0,"",INDEX(LdgWitB,$M884)),""))</f>
        <v/>
      </c>
      <c r="H884" s="27">
        <f>IF($L884&lt;&gt;"",IF(INDEX(SCOp,$L884)="مرجوعی فروش",IF(INDEX(SCAmount,$L884)=0,"",-INDEX(SCAmount,$L884)),""),IF($M884&lt;&gt;"",IF(INDEX(LdgDepB,$M884)=0,"",INDEX(LdgDepB,$M884)),""))</f>
        <v/>
      </c>
      <c r="I884" s="28">
        <f>IF($B884="","",IF($I883="",$C$10,$I883)+IF($G884="",0,$G884)-IF($H884="",0,$H884))</f>
        <v/>
      </c>
      <c r="L884">
        <f>IFERROR(MATCH($C$5&amp;"|"&amp;RIGHT("000000"&amp;868,6),LdgRankKeyA,0),"")</f>
        <v/>
      </c>
      <c r="M884">
        <f>IFERROR(MATCH($C$5&amp;"|"&amp;RIGHT("000000"&amp;868,6),LdgRankKeyB,0),"")</f>
        <v/>
      </c>
    </row>
    <row r="885">
      <c r="A885" s="17" t="n">
        <v>869</v>
      </c>
      <c r="B885" s="18">
        <f>IF(AND($L885="",$M885=""),"",IF($L885&lt;&gt;"",INDEX(SCNormDate,$L885),INDEX(LdgDateB,$M885)))</f>
        <v/>
      </c>
      <c r="C885" s="18">
        <f>IF($L885&lt;&gt;"",INDEX(SCOp,$L885),IF($M885&lt;&gt;"","پرداخت بانکی",""))</f>
        <v/>
      </c>
      <c r="D885" s="18">
        <f>IF($L885&lt;&gt;"",IF(INDEX(SCDoc,$L885)="","—",INDEX(SCDoc,$L885)),IF($M885&lt;&gt;"",INDEX(LdgBankB,$M885),""))</f>
        <v/>
      </c>
      <c r="E885" s="19">
        <f>IF($L885&lt;&gt;"",IF(INDEX(SCCitrus,$L885)&amp;INDEX(SCNotes,$L885)="","",IF(INDEX(SCCitrus,$L885)="","",INDEX(SCCitrus,$L885))&amp;IF(INDEX(SCNotes,$L885)="",""," — "&amp;INDEX(SCNotes,$L885))),IF($M885&lt;&gt;"",IF(INDEX(LdgNoteB,$M885)="","—",INDEX(LdgNoteB,$M885)),""))</f>
        <v/>
      </c>
      <c r="F885" s="20">
        <f>IF($L885&lt;&gt;"",IF(INDEX(SCNet,$L885)=0,"",INDEX(SCNet,$L885)),"")</f>
        <v/>
      </c>
      <c r="G885" s="21">
        <f>IF($L885&lt;&gt;"",IF(INDEX(SCOp,$L885)="مرجوعی فروش","",IF(INDEX(SCAmount,$L885)&lt;=0,"",INDEX(SCAmount,$L885))),IF($M885&lt;&gt;"",IF(INDEX(LdgWitB,$M885)=0,"",INDEX(LdgWitB,$M885)),""))</f>
        <v/>
      </c>
      <c r="H885" s="21">
        <f>IF($L885&lt;&gt;"",IF(INDEX(SCOp,$L885)="مرجوعی فروش",IF(INDEX(SCAmount,$L885)=0,"",-INDEX(SCAmount,$L885)),""),IF($M885&lt;&gt;"",IF(INDEX(LdgDepB,$M885)=0,"",INDEX(LdgDepB,$M885)),""))</f>
        <v/>
      </c>
      <c r="I885" s="22">
        <f>IF($B885="","",IF($I884="",$C$10,$I884)+IF($G885="",0,$G885)-IF($H885="",0,$H885))</f>
        <v/>
      </c>
      <c r="L885">
        <f>IFERROR(MATCH($C$5&amp;"|"&amp;RIGHT("000000"&amp;869,6),LdgRankKeyA,0),"")</f>
        <v/>
      </c>
      <c r="M885">
        <f>IFERROR(MATCH($C$5&amp;"|"&amp;RIGHT("000000"&amp;869,6),LdgRankKeyB,0),"")</f>
        <v/>
      </c>
    </row>
    <row r="886">
      <c r="A886" s="23" t="n">
        <v>870</v>
      </c>
      <c r="B886" s="24">
        <f>IF(AND($L886="",$M886=""),"",IF($L886&lt;&gt;"",INDEX(SCNormDate,$L886),INDEX(LdgDateB,$M886)))</f>
        <v/>
      </c>
      <c r="C886" s="24">
        <f>IF($L886&lt;&gt;"",INDEX(SCOp,$L886),IF($M886&lt;&gt;"","پرداخت بانکی",""))</f>
        <v/>
      </c>
      <c r="D886" s="24">
        <f>IF($L886&lt;&gt;"",IF(INDEX(SCDoc,$L886)="","—",INDEX(SCDoc,$L886)),IF($M886&lt;&gt;"",INDEX(LdgBankB,$M886),""))</f>
        <v/>
      </c>
      <c r="E886" s="25">
        <f>IF($L886&lt;&gt;"",IF(INDEX(SCCitrus,$L886)&amp;INDEX(SCNotes,$L886)="","",IF(INDEX(SCCitrus,$L886)="","",INDEX(SCCitrus,$L886))&amp;IF(INDEX(SCNotes,$L886)="",""," — "&amp;INDEX(SCNotes,$L886))),IF($M886&lt;&gt;"",IF(INDEX(LdgNoteB,$M886)="","—",INDEX(LdgNoteB,$M886)),""))</f>
        <v/>
      </c>
      <c r="F886" s="26">
        <f>IF($L886&lt;&gt;"",IF(INDEX(SCNet,$L886)=0,"",INDEX(SCNet,$L886)),"")</f>
        <v/>
      </c>
      <c r="G886" s="27">
        <f>IF($L886&lt;&gt;"",IF(INDEX(SCOp,$L886)="مرجوعی فروش","",IF(INDEX(SCAmount,$L886)&lt;=0,"",INDEX(SCAmount,$L886))),IF($M886&lt;&gt;"",IF(INDEX(LdgWitB,$M886)=0,"",INDEX(LdgWitB,$M886)),""))</f>
        <v/>
      </c>
      <c r="H886" s="27">
        <f>IF($L886&lt;&gt;"",IF(INDEX(SCOp,$L886)="مرجوعی فروش",IF(INDEX(SCAmount,$L886)=0,"",-INDEX(SCAmount,$L886)),""),IF($M886&lt;&gt;"",IF(INDEX(LdgDepB,$M886)=0,"",INDEX(LdgDepB,$M886)),""))</f>
        <v/>
      </c>
      <c r="I886" s="28">
        <f>IF($B886="","",IF($I885="",$C$10,$I885)+IF($G886="",0,$G886)-IF($H886="",0,$H886))</f>
        <v/>
      </c>
      <c r="L886">
        <f>IFERROR(MATCH($C$5&amp;"|"&amp;RIGHT("000000"&amp;870,6),LdgRankKeyA,0),"")</f>
        <v/>
      </c>
      <c r="M886">
        <f>IFERROR(MATCH($C$5&amp;"|"&amp;RIGHT("000000"&amp;870,6),LdgRankKeyB,0),"")</f>
        <v/>
      </c>
    </row>
    <row r="887">
      <c r="A887" s="17" t="n">
        <v>871</v>
      </c>
      <c r="B887" s="18">
        <f>IF(AND($L887="",$M887=""),"",IF($L887&lt;&gt;"",INDEX(SCNormDate,$L887),INDEX(LdgDateB,$M887)))</f>
        <v/>
      </c>
      <c r="C887" s="18">
        <f>IF($L887&lt;&gt;"",INDEX(SCOp,$L887),IF($M887&lt;&gt;"","پرداخت بانکی",""))</f>
        <v/>
      </c>
      <c r="D887" s="18">
        <f>IF($L887&lt;&gt;"",IF(INDEX(SCDoc,$L887)="","—",INDEX(SCDoc,$L887)),IF($M887&lt;&gt;"",INDEX(LdgBankB,$M887),""))</f>
        <v/>
      </c>
      <c r="E887" s="19">
        <f>IF($L887&lt;&gt;"",IF(INDEX(SCCitrus,$L887)&amp;INDEX(SCNotes,$L887)="","",IF(INDEX(SCCitrus,$L887)="","",INDEX(SCCitrus,$L887))&amp;IF(INDEX(SCNotes,$L887)="",""," — "&amp;INDEX(SCNotes,$L887))),IF($M887&lt;&gt;"",IF(INDEX(LdgNoteB,$M887)="","—",INDEX(LdgNoteB,$M887)),""))</f>
        <v/>
      </c>
      <c r="F887" s="20">
        <f>IF($L887&lt;&gt;"",IF(INDEX(SCNet,$L887)=0,"",INDEX(SCNet,$L887)),"")</f>
        <v/>
      </c>
      <c r="G887" s="21">
        <f>IF($L887&lt;&gt;"",IF(INDEX(SCOp,$L887)="مرجوعی فروش","",IF(INDEX(SCAmount,$L887)&lt;=0,"",INDEX(SCAmount,$L887))),IF($M887&lt;&gt;"",IF(INDEX(LdgWitB,$M887)=0,"",INDEX(LdgWitB,$M887)),""))</f>
        <v/>
      </c>
      <c r="H887" s="21">
        <f>IF($L887&lt;&gt;"",IF(INDEX(SCOp,$L887)="مرجوعی فروش",IF(INDEX(SCAmount,$L887)=0,"",-INDEX(SCAmount,$L887)),""),IF($M887&lt;&gt;"",IF(INDEX(LdgDepB,$M887)=0,"",INDEX(LdgDepB,$M887)),""))</f>
        <v/>
      </c>
      <c r="I887" s="22">
        <f>IF($B887="","",IF($I886="",$C$10,$I886)+IF($G887="",0,$G887)-IF($H887="",0,$H887))</f>
        <v/>
      </c>
      <c r="L887">
        <f>IFERROR(MATCH($C$5&amp;"|"&amp;RIGHT("000000"&amp;871,6),LdgRankKeyA,0),"")</f>
        <v/>
      </c>
      <c r="M887">
        <f>IFERROR(MATCH($C$5&amp;"|"&amp;RIGHT("000000"&amp;871,6),LdgRankKeyB,0),"")</f>
        <v/>
      </c>
    </row>
    <row r="888">
      <c r="A888" s="23" t="n">
        <v>872</v>
      </c>
      <c r="B888" s="24">
        <f>IF(AND($L888="",$M888=""),"",IF($L888&lt;&gt;"",INDEX(SCNormDate,$L888),INDEX(LdgDateB,$M888)))</f>
        <v/>
      </c>
      <c r="C888" s="24">
        <f>IF($L888&lt;&gt;"",INDEX(SCOp,$L888),IF($M888&lt;&gt;"","پرداخت بانکی",""))</f>
        <v/>
      </c>
      <c r="D888" s="24">
        <f>IF($L888&lt;&gt;"",IF(INDEX(SCDoc,$L888)="","—",INDEX(SCDoc,$L888)),IF($M888&lt;&gt;"",INDEX(LdgBankB,$M888),""))</f>
        <v/>
      </c>
      <c r="E888" s="25">
        <f>IF($L888&lt;&gt;"",IF(INDEX(SCCitrus,$L888)&amp;INDEX(SCNotes,$L888)="","",IF(INDEX(SCCitrus,$L888)="","",INDEX(SCCitrus,$L888))&amp;IF(INDEX(SCNotes,$L888)="",""," — "&amp;INDEX(SCNotes,$L888))),IF($M888&lt;&gt;"",IF(INDEX(LdgNoteB,$M888)="","—",INDEX(LdgNoteB,$M888)),""))</f>
        <v/>
      </c>
      <c r="F888" s="26">
        <f>IF($L888&lt;&gt;"",IF(INDEX(SCNet,$L888)=0,"",INDEX(SCNet,$L888)),"")</f>
        <v/>
      </c>
      <c r="G888" s="27">
        <f>IF($L888&lt;&gt;"",IF(INDEX(SCOp,$L888)="مرجوعی فروش","",IF(INDEX(SCAmount,$L888)&lt;=0,"",INDEX(SCAmount,$L888))),IF($M888&lt;&gt;"",IF(INDEX(LdgWitB,$M888)=0,"",INDEX(LdgWitB,$M888)),""))</f>
        <v/>
      </c>
      <c r="H888" s="27">
        <f>IF($L888&lt;&gt;"",IF(INDEX(SCOp,$L888)="مرجوعی فروش",IF(INDEX(SCAmount,$L888)=0,"",-INDEX(SCAmount,$L888)),""),IF($M888&lt;&gt;"",IF(INDEX(LdgDepB,$M888)=0,"",INDEX(LdgDepB,$M888)),""))</f>
        <v/>
      </c>
      <c r="I888" s="28">
        <f>IF($B888="","",IF($I887="",$C$10,$I887)+IF($G888="",0,$G888)-IF($H888="",0,$H888))</f>
        <v/>
      </c>
      <c r="L888">
        <f>IFERROR(MATCH($C$5&amp;"|"&amp;RIGHT("000000"&amp;872,6),LdgRankKeyA,0),"")</f>
        <v/>
      </c>
      <c r="M888">
        <f>IFERROR(MATCH($C$5&amp;"|"&amp;RIGHT("000000"&amp;872,6),LdgRankKeyB,0),"")</f>
        <v/>
      </c>
    </row>
    <row r="889">
      <c r="A889" s="17" t="n">
        <v>873</v>
      </c>
      <c r="B889" s="18">
        <f>IF(AND($L889="",$M889=""),"",IF($L889&lt;&gt;"",INDEX(SCNormDate,$L889),INDEX(LdgDateB,$M889)))</f>
        <v/>
      </c>
      <c r="C889" s="18">
        <f>IF($L889&lt;&gt;"",INDEX(SCOp,$L889),IF($M889&lt;&gt;"","پرداخت بانکی",""))</f>
        <v/>
      </c>
      <c r="D889" s="18">
        <f>IF($L889&lt;&gt;"",IF(INDEX(SCDoc,$L889)="","—",INDEX(SCDoc,$L889)),IF($M889&lt;&gt;"",INDEX(LdgBankB,$M889),""))</f>
        <v/>
      </c>
      <c r="E889" s="19">
        <f>IF($L889&lt;&gt;"",IF(INDEX(SCCitrus,$L889)&amp;INDEX(SCNotes,$L889)="","",IF(INDEX(SCCitrus,$L889)="","",INDEX(SCCitrus,$L889))&amp;IF(INDEX(SCNotes,$L889)="",""," — "&amp;INDEX(SCNotes,$L889))),IF($M889&lt;&gt;"",IF(INDEX(LdgNoteB,$M889)="","—",INDEX(LdgNoteB,$M889)),""))</f>
        <v/>
      </c>
      <c r="F889" s="20">
        <f>IF($L889&lt;&gt;"",IF(INDEX(SCNet,$L889)=0,"",INDEX(SCNet,$L889)),"")</f>
        <v/>
      </c>
      <c r="G889" s="21">
        <f>IF($L889&lt;&gt;"",IF(INDEX(SCOp,$L889)="مرجوعی فروش","",IF(INDEX(SCAmount,$L889)&lt;=0,"",INDEX(SCAmount,$L889))),IF($M889&lt;&gt;"",IF(INDEX(LdgWitB,$M889)=0,"",INDEX(LdgWitB,$M889)),""))</f>
        <v/>
      </c>
      <c r="H889" s="21">
        <f>IF($L889&lt;&gt;"",IF(INDEX(SCOp,$L889)="مرجوعی فروش",IF(INDEX(SCAmount,$L889)=0,"",-INDEX(SCAmount,$L889)),""),IF($M889&lt;&gt;"",IF(INDEX(LdgDepB,$M889)=0,"",INDEX(LdgDepB,$M889)),""))</f>
        <v/>
      </c>
      <c r="I889" s="22">
        <f>IF($B889="","",IF($I888="",$C$10,$I888)+IF($G889="",0,$G889)-IF($H889="",0,$H889))</f>
        <v/>
      </c>
      <c r="L889">
        <f>IFERROR(MATCH($C$5&amp;"|"&amp;RIGHT("000000"&amp;873,6),LdgRankKeyA,0),"")</f>
        <v/>
      </c>
      <c r="M889">
        <f>IFERROR(MATCH($C$5&amp;"|"&amp;RIGHT("000000"&amp;873,6),LdgRankKeyB,0),"")</f>
        <v/>
      </c>
    </row>
    <row r="890">
      <c r="A890" s="23" t="n">
        <v>874</v>
      </c>
      <c r="B890" s="24">
        <f>IF(AND($L890="",$M890=""),"",IF($L890&lt;&gt;"",INDEX(SCNormDate,$L890),INDEX(LdgDateB,$M890)))</f>
        <v/>
      </c>
      <c r="C890" s="24">
        <f>IF($L890&lt;&gt;"",INDEX(SCOp,$L890),IF($M890&lt;&gt;"","پرداخت بانکی",""))</f>
        <v/>
      </c>
      <c r="D890" s="24">
        <f>IF($L890&lt;&gt;"",IF(INDEX(SCDoc,$L890)="","—",INDEX(SCDoc,$L890)),IF($M890&lt;&gt;"",INDEX(LdgBankB,$M890),""))</f>
        <v/>
      </c>
      <c r="E890" s="25">
        <f>IF($L890&lt;&gt;"",IF(INDEX(SCCitrus,$L890)&amp;INDEX(SCNotes,$L890)="","",IF(INDEX(SCCitrus,$L890)="","",INDEX(SCCitrus,$L890))&amp;IF(INDEX(SCNotes,$L890)="",""," — "&amp;INDEX(SCNotes,$L890))),IF($M890&lt;&gt;"",IF(INDEX(LdgNoteB,$M890)="","—",INDEX(LdgNoteB,$M890)),""))</f>
        <v/>
      </c>
      <c r="F890" s="26">
        <f>IF($L890&lt;&gt;"",IF(INDEX(SCNet,$L890)=0,"",INDEX(SCNet,$L890)),"")</f>
        <v/>
      </c>
      <c r="G890" s="27">
        <f>IF($L890&lt;&gt;"",IF(INDEX(SCOp,$L890)="مرجوعی فروش","",IF(INDEX(SCAmount,$L890)&lt;=0,"",INDEX(SCAmount,$L890))),IF($M890&lt;&gt;"",IF(INDEX(LdgWitB,$M890)=0,"",INDEX(LdgWitB,$M890)),""))</f>
        <v/>
      </c>
      <c r="H890" s="27">
        <f>IF($L890&lt;&gt;"",IF(INDEX(SCOp,$L890)="مرجوعی فروش",IF(INDEX(SCAmount,$L890)=0,"",-INDEX(SCAmount,$L890)),""),IF($M890&lt;&gt;"",IF(INDEX(LdgDepB,$M890)=0,"",INDEX(LdgDepB,$M890)),""))</f>
        <v/>
      </c>
      <c r="I890" s="28">
        <f>IF($B890="","",IF($I889="",$C$10,$I889)+IF($G890="",0,$G890)-IF($H890="",0,$H890))</f>
        <v/>
      </c>
      <c r="L890">
        <f>IFERROR(MATCH($C$5&amp;"|"&amp;RIGHT("000000"&amp;874,6),LdgRankKeyA,0),"")</f>
        <v/>
      </c>
      <c r="M890">
        <f>IFERROR(MATCH($C$5&amp;"|"&amp;RIGHT("000000"&amp;874,6),LdgRankKeyB,0),"")</f>
        <v/>
      </c>
    </row>
    <row r="891">
      <c r="A891" s="17" t="n">
        <v>875</v>
      </c>
      <c r="B891" s="18">
        <f>IF(AND($L891="",$M891=""),"",IF($L891&lt;&gt;"",INDEX(SCNormDate,$L891),INDEX(LdgDateB,$M891)))</f>
        <v/>
      </c>
      <c r="C891" s="18">
        <f>IF($L891&lt;&gt;"",INDEX(SCOp,$L891),IF($M891&lt;&gt;"","پرداخت بانکی",""))</f>
        <v/>
      </c>
      <c r="D891" s="18">
        <f>IF($L891&lt;&gt;"",IF(INDEX(SCDoc,$L891)="","—",INDEX(SCDoc,$L891)),IF($M891&lt;&gt;"",INDEX(LdgBankB,$M891),""))</f>
        <v/>
      </c>
      <c r="E891" s="19">
        <f>IF($L891&lt;&gt;"",IF(INDEX(SCCitrus,$L891)&amp;INDEX(SCNotes,$L891)="","",IF(INDEX(SCCitrus,$L891)="","",INDEX(SCCitrus,$L891))&amp;IF(INDEX(SCNotes,$L891)="",""," — "&amp;INDEX(SCNotes,$L891))),IF($M891&lt;&gt;"",IF(INDEX(LdgNoteB,$M891)="","—",INDEX(LdgNoteB,$M891)),""))</f>
        <v/>
      </c>
      <c r="F891" s="20">
        <f>IF($L891&lt;&gt;"",IF(INDEX(SCNet,$L891)=0,"",INDEX(SCNet,$L891)),"")</f>
        <v/>
      </c>
      <c r="G891" s="21">
        <f>IF($L891&lt;&gt;"",IF(INDEX(SCOp,$L891)="مرجوعی فروش","",IF(INDEX(SCAmount,$L891)&lt;=0,"",INDEX(SCAmount,$L891))),IF($M891&lt;&gt;"",IF(INDEX(LdgWitB,$M891)=0,"",INDEX(LdgWitB,$M891)),""))</f>
        <v/>
      </c>
      <c r="H891" s="21">
        <f>IF($L891&lt;&gt;"",IF(INDEX(SCOp,$L891)="مرجوعی فروش",IF(INDEX(SCAmount,$L891)=0,"",-INDEX(SCAmount,$L891)),""),IF($M891&lt;&gt;"",IF(INDEX(LdgDepB,$M891)=0,"",INDEX(LdgDepB,$M891)),""))</f>
        <v/>
      </c>
      <c r="I891" s="22">
        <f>IF($B891="","",IF($I890="",$C$10,$I890)+IF($G891="",0,$G891)-IF($H891="",0,$H891))</f>
        <v/>
      </c>
      <c r="L891">
        <f>IFERROR(MATCH($C$5&amp;"|"&amp;RIGHT("000000"&amp;875,6),LdgRankKeyA,0),"")</f>
        <v/>
      </c>
      <c r="M891">
        <f>IFERROR(MATCH($C$5&amp;"|"&amp;RIGHT("000000"&amp;875,6),LdgRankKeyB,0),"")</f>
        <v/>
      </c>
    </row>
    <row r="892">
      <c r="A892" s="23" t="n">
        <v>876</v>
      </c>
      <c r="B892" s="24">
        <f>IF(AND($L892="",$M892=""),"",IF($L892&lt;&gt;"",INDEX(SCNormDate,$L892),INDEX(LdgDateB,$M892)))</f>
        <v/>
      </c>
      <c r="C892" s="24">
        <f>IF($L892&lt;&gt;"",INDEX(SCOp,$L892),IF($M892&lt;&gt;"","پرداخت بانکی",""))</f>
        <v/>
      </c>
      <c r="D892" s="24">
        <f>IF($L892&lt;&gt;"",IF(INDEX(SCDoc,$L892)="","—",INDEX(SCDoc,$L892)),IF($M892&lt;&gt;"",INDEX(LdgBankB,$M892),""))</f>
        <v/>
      </c>
      <c r="E892" s="25">
        <f>IF($L892&lt;&gt;"",IF(INDEX(SCCitrus,$L892)&amp;INDEX(SCNotes,$L892)="","",IF(INDEX(SCCitrus,$L892)="","",INDEX(SCCitrus,$L892))&amp;IF(INDEX(SCNotes,$L892)="",""," — "&amp;INDEX(SCNotes,$L892))),IF($M892&lt;&gt;"",IF(INDEX(LdgNoteB,$M892)="","—",INDEX(LdgNoteB,$M892)),""))</f>
        <v/>
      </c>
      <c r="F892" s="26">
        <f>IF($L892&lt;&gt;"",IF(INDEX(SCNet,$L892)=0,"",INDEX(SCNet,$L892)),"")</f>
        <v/>
      </c>
      <c r="G892" s="27">
        <f>IF($L892&lt;&gt;"",IF(INDEX(SCOp,$L892)="مرجوعی فروش","",IF(INDEX(SCAmount,$L892)&lt;=0,"",INDEX(SCAmount,$L892))),IF($M892&lt;&gt;"",IF(INDEX(LdgWitB,$M892)=0,"",INDEX(LdgWitB,$M892)),""))</f>
        <v/>
      </c>
      <c r="H892" s="27">
        <f>IF($L892&lt;&gt;"",IF(INDEX(SCOp,$L892)="مرجوعی فروش",IF(INDEX(SCAmount,$L892)=0,"",-INDEX(SCAmount,$L892)),""),IF($M892&lt;&gt;"",IF(INDEX(LdgDepB,$M892)=0,"",INDEX(LdgDepB,$M892)),""))</f>
        <v/>
      </c>
      <c r="I892" s="28">
        <f>IF($B892="","",IF($I891="",$C$10,$I891)+IF($G892="",0,$G892)-IF($H892="",0,$H892))</f>
        <v/>
      </c>
      <c r="L892">
        <f>IFERROR(MATCH($C$5&amp;"|"&amp;RIGHT("000000"&amp;876,6),LdgRankKeyA,0),"")</f>
        <v/>
      </c>
      <c r="M892">
        <f>IFERROR(MATCH($C$5&amp;"|"&amp;RIGHT("000000"&amp;876,6),LdgRankKeyB,0),"")</f>
        <v/>
      </c>
    </row>
    <row r="893">
      <c r="A893" s="17" t="n">
        <v>877</v>
      </c>
      <c r="B893" s="18">
        <f>IF(AND($L893="",$M893=""),"",IF($L893&lt;&gt;"",INDEX(SCNormDate,$L893),INDEX(LdgDateB,$M893)))</f>
        <v/>
      </c>
      <c r="C893" s="18">
        <f>IF($L893&lt;&gt;"",INDEX(SCOp,$L893),IF($M893&lt;&gt;"","پرداخت بانکی",""))</f>
        <v/>
      </c>
      <c r="D893" s="18">
        <f>IF($L893&lt;&gt;"",IF(INDEX(SCDoc,$L893)="","—",INDEX(SCDoc,$L893)),IF($M893&lt;&gt;"",INDEX(LdgBankB,$M893),""))</f>
        <v/>
      </c>
      <c r="E893" s="19">
        <f>IF($L893&lt;&gt;"",IF(INDEX(SCCitrus,$L893)&amp;INDEX(SCNotes,$L893)="","",IF(INDEX(SCCitrus,$L893)="","",INDEX(SCCitrus,$L893))&amp;IF(INDEX(SCNotes,$L893)="",""," — "&amp;INDEX(SCNotes,$L893))),IF($M893&lt;&gt;"",IF(INDEX(LdgNoteB,$M893)="","—",INDEX(LdgNoteB,$M893)),""))</f>
        <v/>
      </c>
      <c r="F893" s="20">
        <f>IF($L893&lt;&gt;"",IF(INDEX(SCNet,$L893)=0,"",INDEX(SCNet,$L893)),"")</f>
        <v/>
      </c>
      <c r="G893" s="21">
        <f>IF($L893&lt;&gt;"",IF(INDEX(SCOp,$L893)="مرجوعی فروش","",IF(INDEX(SCAmount,$L893)&lt;=0,"",INDEX(SCAmount,$L893))),IF($M893&lt;&gt;"",IF(INDEX(LdgWitB,$M893)=0,"",INDEX(LdgWitB,$M893)),""))</f>
        <v/>
      </c>
      <c r="H893" s="21">
        <f>IF($L893&lt;&gt;"",IF(INDEX(SCOp,$L893)="مرجوعی فروش",IF(INDEX(SCAmount,$L893)=0,"",-INDEX(SCAmount,$L893)),""),IF($M893&lt;&gt;"",IF(INDEX(LdgDepB,$M893)=0,"",INDEX(LdgDepB,$M893)),""))</f>
        <v/>
      </c>
      <c r="I893" s="22">
        <f>IF($B893="","",IF($I892="",$C$10,$I892)+IF($G893="",0,$G893)-IF($H893="",0,$H893))</f>
        <v/>
      </c>
      <c r="L893">
        <f>IFERROR(MATCH($C$5&amp;"|"&amp;RIGHT("000000"&amp;877,6),LdgRankKeyA,0),"")</f>
        <v/>
      </c>
      <c r="M893">
        <f>IFERROR(MATCH($C$5&amp;"|"&amp;RIGHT("000000"&amp;877,6),LdgRankKeyB,0),"")</f>
        <v/>
      </c>
    </row>
    <row r="894">
      <c r="A894" s="23" t="n">
        <v>878</v>
      </c>
      <c r="B894" s="24">
        <f>IF(AND($L894="",$M894=""),"",IF($L894&lt;&gt;"",INDEX(SCNormDate,$L894),INDEX(LdgDateB,$M894)))</f>
        <v/>
      </c>
      <c r="C894" s="24">
        <f>IF($L894&lt;&gt;"",INDEX(SCOp,$L894),IF($M894&lt;&gt;"","پرداخت بانکی",""))</f>
        <v/>
      </c>
      <c r="D894" s="24">
        <f>IF($L894&lt;&gt;"",IF(INDEX(SCDoc,$L894)="","—",INDEX(SCDoc,$L894)),IF($M894&lt;&gt;"",INDEX(LdgBankB,$M894),""))</f>
        <v/>
      </c>
      <c r="E894" s="25">
        <f>IF($L894&lt;&gt;"",IF(INDEX(SCCitrus,$L894)&amp;INDEX(SCNotes,$L894)="","",IF(INDEX(SCCitrus,$L894)="","",INDEX(SCCitrus,$L894))&amp;IF(INDEX(SCNotes,$L894)="",""," — "&amp;INDEX(SCNotes,$L894))),IF($M894&lt;&gt;"",IF(INDEX(LdgNoteB,$M894)="","—",INDEX(LdgNoteB,$M894)),""))</f>
        <v/>
      </c>
      <c r="F894" s="26">
        <f>IF($L894&lt;&gt;"",IF(INDEX(SCNet,$L894)=0,"",INDEX(SCNet,$L894)),"")</f>
        <v/>
      </c>
      <c r="G894" s="27">
        <f>IF($L894&lt;&gt;"",IF(INDEX(SCOp,$L894)="مرجوعی فروش","",IF(INDEX(SCAmount,$L894)&lt;=0,"",INDEX(SCAmount,$L894))),IF($M894&lt;&gt;"",IF(INDEX(LdgWitB,$M894)=0,"",INDEX(LdgWitB,$M894)),""))</f>
        <v/>
      </c>
      <c r="H894" s="27">
        <f>IF($L894&lt;&gt;"",IF(INDEX(SCOp,$L894)="مرجوعی فروش",IF(INDEX(SCAmount,$L894)=0,"",-INDEX(SCAmount,$L894)),""),IF($M894&lt;&gt;"",IF(INDEX(LdgDepB,$M894)=0,"",INDEX(LdgDepB,$M894)),""))</f>
        <v/>
      </c>
      <c r="I894" s="28">
        <f>IF($B894="","",IF($I893="",$C$10,$I893)+IF($G894="",0,$G894)-IF($H894="",0,$H894))</f>
        <v/>
      </c>
      <c r="L894">
        <f>IFERROR(MATCH($C$5&amp;"|"&amp;RIGHT("000000"&amp;878,6),LdgRankKeyA,0),"")</f>
        <v/>
      </c>
      <c r="M894">
        <f>IFERROR(MATCH($C$5&amp;"|"&amp;RIGHT("000000"&amp;878,6),LdgRankKeyB,0),"")</f>
        <v/>
      </c>
    </row>
    <row r="895">
      <c r="A895" s="17" t="n">
        <v>879</v>
      </c>
      <c r="B895" s="18">
        <f>IF(AND($L895="",$M895=""),"",IF($L895&lt;&gt;"",INDEX(SCNormDate,$L895),INDEX(LdgDateB,$M895)))</f>
        <v/>
      </c>
      <c r="C895" s="18">
        <f>IF($L895&lt;&gt;"",INDEX(SCOp,$L895),IF($M895&lt;&gt;"","پرداخت بانکی",""))</f>
        <v/>
      </c>
      <c r="D895" s="18">
        <f>IF($L895&lt;&gt;"",IF(INDEX(SCDoc,$L895)="","—",INDEX(SCDoc,$L895)),IF($M895&lt;&gt;"",INDEX(LdgBankB,$M895),""))</f>
        <v/>
      </c>
      <c r="E895" s="19">
        <f>IF($L895&lt;&gt;"",IF(INDEX(SCCitrus,$L895)&amp;INDEX(SCNotes,$L895)="","",IF(INDEX(SCCitrus,$L895)="","",INDEX(SCCitrus,$L895))&amp;IF(INDEX(SCNotes,$L895)="",""," — "&amp;INDEX(SCNotes,$L895))),IF($M895&lt;&gt;"",IF(INDEX(LdgNoteB,$M895)="","—",INDEX(LdgNoteB,$M895)),""))</f>
        <v/>
      </c>
      <c r="F895" s="20">
        <f>IF($L895&lt;&gt;"",IF(INDEX(SCNet,$L895)=0,"",INDEX(SCNet,$L895)),"")</f>
        <v/>
      </c>
      <c r="G895" s="21">
        <f>IF($L895&lt;&gt;"",IF(INDEX(SCOp,$L895)="مرجوعی فروش","",IF(INDEX(SCAmount,$L895)&lt;=0,"",INDEX(SCAmount,$L895))),IF($M895&lt;&gt;"",IF(INDEX(LdgWitB,$M895)=0,"",INDEX(LdgWitB,$M895)),""))</f>
        <v/>
      </c>
      <c r="H895" s="21">
        <f>IF($L895&lt;&gt;"",IF(INDEX(SCOp,$L895)="مرجوعی فروش",IF(INDEX(SCAmount,$L895)=0,"",-INDEX(SCAmount,$L895)),""),IF($M895&lt;&gt;"",IF(INDEX(LdgDepB,$M895)=0,"",INDEX(LdgDepB,$M895)),""))</f>
        <v/>
      </c>
      <c r="I895" s="22">
        <f>IF($B895="","",IF($I894="",$C$10,$I894)+IF($G895="",0,$G895)-IF($H895="",0,$H895))</f>
        <v/>
      </c>
      <c r="L895">
        <f>IFERROR(MATCH($C$5&amp;"|"&amp;RIGHT("000000"&amp;879,6),LdgRankKeyA,0),"")</f>
        <v/>
      </c>
      <c r="M895">
        <f>IFERROR(MATCH($C$5&amp;"|"&amp;RIGHT("000000"&amp;879,6),LdgRankKeyB,0),"")</f>
        <v/>
      </c>
    </row>
    <row r="896">
      <c r="A896" s="23" t="n">
        <v>880</v>
      </c>
      <c r="B896" s="24">
        <f>IF(AND($L896="",$M896=""),"",IF($L896&lt;&gt;"",INDEX(SCNormDate,$L896),INDEX(LdgDateB,$M896)))</f>
        <v/>
      </c>
      <c r="C896" s="24">
        <f>IF($L896&lt;&gt;"",INDEX(SCOp,$L896),IF($M896&lt;&gt;"","پرداخت بانکی",""))</f>
        <v/>
      </c>
      <c r="D896" s="24">
        <f>IF($L896&lt;&gt;"",IF(INDEX(SCDoc,$L896)="","—",INDEX(SCDoc,$L896)),IF($M896&lt;&gt;"",INDEX(LdgBankB,$M896),""))</f>
        <v/>
      </c>
      <c r="E896" s="25">
        <f>IF($L896&lt;&gt;"",IF(INDEX(SCCitrus,$L896)&amp;INDEX(SCNotes,$L896)="","",IF(INDEX(SCCitrus,$L896)="","",INDEX(SCCitrus,$L896))&amp;IF(INDEX(SCNotes,$L896)="",""," — "&amp;INDEX(SCNotes,$L896))),IF($M896&lt;&gt;"",IF(INDEX(LdgNoteB,$M896)="","—",INDEX(LdgNoteB,$M896)),""))</f>
        <v/>
      </c>
      <c r="F896" s="26">
        <f>IF($L896&lt;&gt;"",IF(INDEX(SCNet,$L896)=0,"",INDEX(SCNet,$L896)),"")</f>
        <v/>
      </c>
      <c r="G896" s="27">
        <f>IF($L896&lt;&gt;"",IF(INDEX(SCOp,$L896)="مرجوعی فروش","",IF(INDEX(SCAmount,$L896)&lt;=0,"",INDEX(SCAmount,$L896))),IF($M896&lt;&gt;"",IF(INDEX(LdgWitB,$M896)=0,"",INDEX(LdgWitB,$M896)),""))</f>
        <v/>
      </c>
      <c r="H896" s="27">
        <f>IF($L896&lt;&gt;"",IF(INDEX(SCOp,$L896)="مرجوعی فروش",IF(INDEX(SCAmount,$L896)=0,"",-INDEX(SCAmount,$L896)),""),IF($M896&lt;&gt;"",IF(INDEX(LdgDepB,$M896)=0,"",INDEX(LdgDepB,$M896)),""))</f>
        <v/>
      </c>
      <c r="I896" s="28">
        <f>IF($B896="","",IF($I895="",$C$10,$I895)+IF($G896="",0,$G896)-IF($H896="",0,$H896))</f>
        <v/>
      </c>
      <c r="L896">
        <f>IFERROR(MATCH($C$5&amp;"|"&amp;RIGHT("000000"&amp;880,6),LdgRankKeyA,0),"")</f>
        <v/>
      </c>
      <c r="M896">
        <f>IFERROR(MATCH($C$5&amp;"|"&amp;RIGHT("000000"&amp;880,6),LdgRankKeyB,0),"")</f>
        <v/>
      </c>
    </row>
    <row r="897">
      <c r="A897" s="17" t="n">
        <v>881</v>
      </c>
      <c r="B897" s="18">
        <f>IF(AND($L897="",$M897=""),"",IF($L897&lt;&gt;"",INDEX(SCNormDate,$L897),INDEX(LdgDateB,$M897)))</f>
        <v/>
      </c>
      <c r="C897" s="18">
        <f>IF($L897&lt;&gt;"",INDEX(SCOp,$L897),IF($M897&lt;&gt;"","پرداخت بانکی",""))</f>
        <v/>
      </c>
      <c r="D897" s="18">
        <f>IF($L897&lt;&gt;"",IF(INDEX(SCDoc,$L897)="","—",INDEX(SCDoc,$L897)),IF($M897&lt;&gt;"",INDEX(LdgBankB,$M897),""))</f>
        <v/>
      </c>
      <c r="E897" s="19">
        <f>IF($L897&lt;&gt;"",IF(INDEX(SCCitrus,$L897)&amp;INDEX(SCNotes,$L897)="","",IF(INDEX(SCCitrus,$L897)="","",INDEX(SCCitrus,$L897))&amp;IF(INDEX(SCNotes,$L897)="",""," — "&amp;INDEX(SCNotes,$L897))),IF($M897&lt;&gt;"",IF(INDEX(LdgNoteB,$M897)="","—",INDEX(LdgNoteB,$M897)),""))</f>
        <v/>
      </c>
      <c r="F897" s="20">
        <f>IF($L897&lt;&gt;"",IF(INDEX(SCNet,$L897)=0,"",INDEX(SCNet,$L897)),"")</f>
        <v/>
      </c>
      <c r="G897" s="21">
        <f>IF($L897&lt;&gt;"",IF(INDEX(SCOp,$L897)="مرجوعی فروش","",IF(INDEX(SCAmount,$L897)&lt;=0,"",INDEX(SCAmount,$L897))),IF($M897&lt;&gt;"",IF(INDEX(LdgWitB,$M897)=0,"",INDEX(LdgWitB,$M897)),""))</f>
        <v/>
      </c>
      <c r="H897" s="21">
        <f>IF($L897&lt;&gt;"",IF(INDEX(SCOp,$L897)="مرجوعی فروش",IF(INDEX(SCAmount,$L897)=0,"",-INDEX(SCAmount,$L897)),""),IF($M897&lt;&gt;"",IF(INDEX(LdgDepB,$M897)=0,"",INDEX(LdgDepB,$M897)),""))</f>
        <v/>
      </c>
      <c r="I897" s="22">
        <f>IF($B897="","",IF($I896="",$C$10,$I896)+IF($G897="",0,$G897)-IF($H897="",0,$H897))</f>
        <v/>
      </c>
      <c r="L897">
        <f>IFERROR(MATCH($C$5&amp;"|"&amp;RIGHT("000000"&amp;881,6),LdgRankKeyA,0),"")</f>
        <v/>
      </c>
      <c r="M897">
        <f>IFERROR(MATCH($C$5&amp;"|"&amp;RIGHT("000000"&amp;881,6),LdgRankKeyB,0),"")</f>
        <v/>
      </c>
    </row>
    <row r="898">
      <c r="A898" s="23" t="n">
        <v>882</v>
      </c>
      <c r="B898" s="24">
        <f>IF(AND($L898="",$M898=""),"",IF($L898&lt;&gt;"",INDEX(SCNormDate,$L898),INDEX(LdgDateB,$M898)))</f>
        <v/>
      </c>
      <c r="C898" s="24">
        <f>IF($L898&lt;&gt;"",INDEX(SCOp,$L898),IF($M898&lt;&gt;"","پرداخت بانکی",""))</f>
        <v/>
      </c>
      <c r="D898" s="24">
        <f>IF($L898&lt;&gt;"",IF(INDEX(SCDoc,$L898)="","—",INDEX(SCDoc,$L898)),IF($M898&lt;&gt;"",INDEX(LdgBankB,$M898),""))</f>
        <v/>
      </c>
      <c r="E898" s="25">
        <f>IF($L898&lt;&gt;"",IF(INDEX(SCCitrus,$L898)&amp;INDEX(SCNotes,$L898)="","",IF(INDEX(SCCitrus,$L898)="","",INDEX(SCCitrus,$L898))&amp;IF(INDEX(SCNotes,$L898)="",""," — "&amp;INDEX(SCNotes,$L898))),IF($M898&lt;&gt;"",IF(INDEX(LdgNoteB,$M898)="","—",INDEX(LdgNoteB,$M898)),""))</f>
        <v/>
      </c>
      <c r="F898" s="26">
        <f>IF($L898&lt;&gt;"",IF(INDEX(SCNet,$L898)=0,"",INDEX(SCNet,$L898)),"")</f>
        <v/>
      </c>
      <c r="G898" s="27">
        <f>IF($L898&lt;&gt;"",IF(INDEX(SCOp,$L898)="مرجوعی فروش","",IF(INDEX(SCAmount,$L898)&lt;=0,"",INDEX(SCAmount,$L898))),IF($M898&lt;&gt;"",IF(INDEX(LdgWitB,$M898)=0,"",INDEX(LdgWitB,$M898)),""))</f>
        <v/>
      </c>
      <c r="H898" s="27">
        <f>IF($L898&lt;&gt;"",IF(INDEX(SCOp,$L898)="مرجوعی فروش",IF(INDEX(SCAmount,$L898)=0,"",-INDEX(SCAmount,$L898)),""),IF($M898&lt;&gt;"",IF(INDEX(LdgDepB,$M898)=0,"",INDEX(LdgDepB,$M898)),""))</f>
        <v/>
      </c>
      <c r="I898" s="28">
        <f>IF($B898="","",IF($I897="",$C$10,$I897)+IF($G898="",0,$G898)-IF($H898="",0,$H898))</f>
        <v/>
      </c>
      <c r="L898">
        <f>IFERROR(MATCH($C$5&amp;"|"&amp;RIGHT("000000"&amp;882,6),LdgRankKeyA,0),"")</f>
        <v/>
      </c>
      <c r="M898">
        <f>IFERROR(MATCH($C$5&amp;"|"&amp;RIGHT("000000"&amp;882,6),LdgRankKeyB,0),"")</f>
        <v/>
      </c>
    </row>
    <row r="899">
      <c r="A899" s="17" t="n">
        <v>883</v>
      </c>
      <c r="B899" s="18">
        <f>IF(AND($L899="",$M899=""),"",IF($L899&lt;&gt;"",INDEX(SCNormDate,$L899),INDEX(LdgDateB,$M899)))</f>
        <v/>
      </c>
      <c r="C899" s="18">
        <f>IF($L899&lt;&gt;"",INDEX(SCOp,$L899),IF($M899&lt;&gt;"","پرداخت بانکی",""))</f>
        <v/>
      </c>
      <c r="D899" s="18">
        <f>IF($L899&lt;&gt;"",IF(INDEX(SCDoc,$L899)="","—",INDEX(SCDoc,$L899)),IF($M899&lt;&gt;"",INDEX(LdgBankB,$M899),""))</f>
        <v/>
      </c>
      <c r="E899" s="19">
        <f>IF($L899&lt;&gt;"",IF(INDEX(SCCitrus,$L899)&amp;INDEX(SCNotes,$L899)="","",IF(INDEX(SCCitrus,$L899)="","",INDEX(SCCitrus,$L899))&amp;IF(INDEX(SCNotes,$L899)="",""," — "&amp;INDEX(SCNotes,$L899))),IF($M899&lt;&gt;"",IF(INDEX(LdgNoteB,$M899)="","—",INDEX(LdgNoteB,$M899)),""))</f>
        <v/>
      </c>
      <c r="F899" s="20">
        <f>IF($L899&lt;&gt;"",IF(INDEX(SCNet,$L899)=0,"",INDEX(SCNet,$L899)),"")</f>
        <v/>
      </c>
      <c r="G899" s="21">
        <f>IF($L899&lt;&gt;"",IF(INDEX(SCOp,$L899)="مرجوعی فروش","",IF(INDEX(SCAmount,$L899)&lt;=0,"",INDEX(SCAmount,$L899))),IF($M899&lt;&gt;"",IF(INDEX(LdgWitB,$M899)=0,"",INDEX(LdgWitB,$M899)),""))</f>
        <v/>
      </c>
      <c r="H899" s="21">
        <f>IF($L899&lt;&gt;"",IF(INDEX(SCOp,$L899)="مرجوعی فروش",IF(INDEX(SCAmount,$L899)=0,"",-INDEX(SCAmount,$L899)),""),IF($M899&lt;&gt;"",IF(INDEX(LdgDepB,$M899)=0,"",INDEX(LdgDepB,$M899)),""))</f>
        <v/>
      </c>
      <c r="I899" s="22">
        <f>IF($B899="","",IF($I898="",$C$10,$I898)+IF($G899="",0,$G899)-IF($H899="",0,$H899))</f>
        <v/>
      </c>
      <c r="L899">
        <f>IFERROR(MATCH($C$5&amp;"|"&amp;RIGHT("000000"&amp;883,6),LdgRankKeyA,0),"")</f>
        <v/>
      </c>
      <c r="M899">
        <f>IFERROR(MATCH($C$5&amp;"|"&amp;RIGHT("000000"&amp;883,6),LdgRankKeyB,0),"")</f>
        <v/>
      </c>
    </row>
    <row r="900">
      <c r="A900" s="23" t="n">
        <v>884</v>
      </c>
      <c r="B900" s="24">
        <f>IF(AND($L900="",$M900=""),"",IF($L900&lt;&gt;"",INDEX(SCNormDate,$L900),INDEX(LdgDateB,$M900)))</f>
        <v/>
      </c>
      <c r="C900" s="24">
        <f>IF($L900&lt;&gt;"",INDEX(SCOp,$L900),IF($M900&lt;&gt;"","پرداخت بانکی",""))</f>
        <v/>
      </c>
      <c r="D900" s="24">
        <f>IF($L900&lt;&gt;"",IF(INDEX(SCDoc,$L900)="","—",INDEX(SCDoc,$L900)),IF($M900&lt;&gt;"",INDEX(LdgBankB,$M900),""))</f>
        <v/>
      </c>
      <c r="E900" s="25">
        <f>IF($L900&lt;&gt;"",IF(INDEX(SCCitrus,$L900)&amp;INDEX(SCNotes,$L900)="","",IF(INDEX(SCCitrus,$L900)="","",INDEX(SCCitrus,$L900))&amp;IF(INDEX(SCNotes,$L900)="",""," — "&amp;INDEX(SCNotes,$L900))),IF($M900&lt;&gt;"",IF(INDEX(LdgNoteB,$M900)="","—",INDEX(LdgNoteB,$M900)),""))</f>
        <v/>
      </c>
      <c r="F900" s="26">
        <f>IF($L900&lt;&gt;"",IF(INDEX(SCNet,$L900)=0,"",INDEX(SCNet,$L900)),"")</f>
        <v/>
      </c>
      <c r="G900" s="27">
        <f>IF($L900&lt;&gt;"",IF(INDEX(SCOp,$L900)="مرجوعی فروش","",IF(INDEX(SCAmount,$L900)&lt;=0,"",INDEX(SCAmount,$L900))),IF($M900&lt;&gt;"",IF(INDEX(LdgWitB,$M900)=0,"",INDEX(LdgWitB,$M900)),""))</f>
        <v/>
      </c>
      <c r="H900" s="27">
        <f>IF($L900&lt;&gt;"",IF(INDEX(SCOp,$L900)="مرجوعی فروش",IF(INDEX(SCAmount,$L900)=0,"",-INDEX(SCAmount,$L900)),""),IF($M900&lt;&gt;"",IF(INDEX(LdgDepB,$M900)=0,"",INDEX(LdgDepB,$M900)),""))</f>
        <v/>
      </c>
      <c r="I900" s="28">
        <f>IF($B900="","",IF($I899="",$C$10,$I899)+IF($G900="",0,$G900)-IF($H900="",0,$H900))</f>
        <v/>
      </c>
      <c r="L900">
        <f>IFERROR(MATCH($C$5&amp;"|"&amp;RIGHT("000000"&amp;884,6),LdgRankKeyA,0),"")</f>
        <v/>
      </c>
      <c r="M900">
        <f>IFERROR(MATCH($C$5&amp;"|"&amp;RIGHT("000000"&amp;884,6),LdgRankKeyB,0),"")</f>
        <v/>
      </c>
    </row>
    <row r="901">
      <c r="A901" s="17" t="n">
        <v>885</v>
      </c>
      <c r="B901" s="18">
        <f>IF(AND($L901="",$M901=""),"",IF($L901&lt;&gt;"",INDEX(SCNormDate,$L901),INDEX(LdgDateB,$M901)))</f>
        <v/>
      </c>
      <c r="C901" s="18">
        <f>IF($L901&lt;&gt;"",INDEX(SCOp,$L901),IF($M901&lt;&gt;"","پرداخت بانکی",""))</f>
        <v/>
      </c>
      <c r="D901" s="18">
        <f>IF($L901&lt;&gt;"",IF(INDEX(SCDoc,$L901)="","—",INDEX(SCDoc,$L901)),IF($M901&lt;&gt;"",INDEX(LdgBankB,$M901),""))</f>
        <v/>
      </c>
      <c r="E901" s="19">
        <f>IF($L901&lt;&gt;"",IF(INDEX(SCCitrus,$L901)&amp;INDEX(SCNotes,$L901)="","",IF(INDEX(SCCitrus,$L901)="","",INDEX(SCCitrus,$L901))&amp;IF(INDEX(SCNotes,$L901)="",""," — "&amp;INDEX(SCNotes,$L901))),IF($M901&lt;&gt;"",IF(INDEX(LdgNoteB,$M901)="","—",INDEX(LdgNoteB,$M901)),""))</f>
        <v/>
      </c>
      <c r="F901" s="20">
        <f>IF($L901&lt;&gt;"",IF(INDEX(SCNet,$L901)=0,"",INDEX(SCNet,$L901)),"")</f>
        <v/>
      </c>
      <c r="G901" s="21">
        <f>IF($L901&lt;&gt;"",IF(INDEX(SCOp,$L901)="مرجوعی فروش","",IF(INDEX(SCAmount,$L901)&lt;=0,"",INDEX(SCAmount,$L901))),IF($M901&lt;&gt;"",IF(INDEX(LdgWitB,$M901)=0,"",INDEX(LdgWitB,$M901)),""))</f>
        <v/>
      </c>
      <c r="H901" s="21">
        <f>IF($L901&lt;&gt;"",IF(INDEX(SCOp,$L901)="مرجوعی فروش",IF(INDEX(SCAmount,$L901)=0,"",-INDEX(SCAmount,$L901)),""),IF($M901&lt;&gt;"",IF(INDEX(LdgDepB,$M901)=0,"",INDEX(LdgDepB,$M901)),""))</f>
        <v/>
      </c>
      <c r="I901" s="22">
        <f>IF($B901="","",IF($I900="",$C$10,$I900)+IF($G901="",0,$G901)-IF($H901="",0,$H901))</f>
        <v/>
      </c>
      <c r="L901">
        <f>IFERROR(MATCH($C$5&amp;"|"&amp;RIGHT("000000"&amp;885,6),LdgRankKeyA,0),"")</f>
        <v/>
      </c>
      <c r="M901">
        <f>IFERROR(MATCH($C$5&amp;"|"&amp;RIGHT("000000"&amp;885,6),LdgRankKeyB,0),"")</f>
        <v/>
      </c>
    </row>
    <row r="902">
      <c r="A902" s="23" t="n">
        <v>886</v>
      </c>
      <c r="B902" s="24">
        <f>IF(AND($L902="",$M902=""),"",IF($L902&lt;&gt;"",INDEX(SCNormDate,$L902),INDEX(LdgDateB,$M902)))</f>
        <v/>
      </c>
      <c r="C902" s="24">
        <f>IF($L902&lt;&gt;"",INDEX(SCOp,$L902),IF($M902&lt;&gt;"","پرداخت بانکی",""))</f>
        <v/>
      </c>
      <c r="D902" s="24">
        <f>IF($L902&lt;&gt;"",IF(INDEX(SCDoc,$L902)="","—",INDEX(SCDoc,$L902)),IF($M902&lt;&gt;"",INDEX(LdgBankB,$M902),""))</f>
        <v/>
      </c>
      <c r="E902" s="25">
        <f>IF($L902&lt;&gt;"",IF(INDEX(SCCitrus,$L902)&amp;INDEX(SCNotes,$L902)="","",IF(INDEX(SCCitrus,$L902)="","",INDEX(SCCitrus,$L902))&amp;IF(INDEX(SCNotes,$L902)="",""," — "&amp;INDEX(SCNotes,$L902))),IF($M902&lt;&gt;"",IF(INDEX(LdgNoteB,$M902)="","—",INDEX(LdgNoteB,$M902)),""))</f>
        <v/>
      </c>
      <c r="F902" s="26">
        <f>IF($L902&lt;&gt;"",IF(INDEX(SCNet,$L902)=0,"",INDEX(SCNet,$L902)),"")</f>
        <v/>
      </c>
      <c r="G902" s="27">
        <f>IF($L902&lt;&gt;"",IF(INDEX(SCOp,$L902)="مرجوعی فروش","",IF(INDEX(SCAmount,$L902)&lt;=0,"",INDEX(SCAmount,$L902))),IF($M902&lt;&gt;"",IF(INDEX(LdgWitB,$M902)=0,"",INDEX(LdgWitB,$M902)),""))</f>
        <v/>
      </c>
      <c r="H902" s="27">
        <f>IF($L902&lt;&gt;"",IF(INDEX(SCOp,$L902)="مرجوعی فروش",IF(INDEX(SCAmount,$L902)=0,"",-INDEX(SCAmount,$L902)),""),IF($M902&lt;&gt;"",IF(INDEX(LdgDepB,$M902)=0,"",INDEX(LdgDepB,$M902)),""))</f>
        <v/>
      </c>
      <c r="I902" s="28">
        <f>IF($B902="","",IF($I901="",$C$10,$I901)+IF($G902="",0,$G902)-IF($H902="",0,$H902))</f>
        <v/>
      </c>
      <c r="L902">
        <f>IFERROR(MATCH($C$5&amp;"|"&amp;RIGHT("000000"&amp;886,6),LdgRankKeyA,0),"")</f>
        <v/>
      </c>
      <c r="M902">
        <f>IFERROR(MATCH($C$5&amp;"|"&amp;RIGHT("000000"&amp;886,6),LdgRankKeyB,0),"")</f>
        <v/>
      </c>
    </row>
    <row r="903">
      <c r="A903" s="17" t="n">
        <v>887</v>
      </c>
      <c r="B903" s="18">
        <f>IF(AND($L903="",$M903=""),"",IF($L903&lt;&gt;"",INDEX(SCNormDate,$L903),INDEX(LdgDateB,$M903)))</f>
        <v/>
      </c>
      <c r="C903" s="18">
        <f>IF($L903&lt;&gt;"",INDEX(SCOp,$L903),IF($M903&lt;&gt;"","پرداخت بانکی",""))</f>
        <v/>
      </c>
      <c r="D903" s="18">
        <f>IF($L903&lt;&gt;"",IF(INDEX(SCDoc,$L903)="","—",INDEX(SCDoc,$L903)),IF($M903&lt;&gt;"",INDEX(LdgBankB,$M903),""))</f>
        <v/>
      </c>
      <c r="E903" s="19">
        <f>IF($L903&lt;&gt;"",IF(INDEX(SCCitrus,$L903)&amp;INDEX(SCNotes,$L903)="","",IF(INDEX(SCCitrus,$L903)="","",INDEX(SCCitrus,$L903))&amp;IF(INDEX(SCNotes,$L903)="",""," — "&amp;INDEX(SCNotes,$L903))),IF($M903&lt;&gt;"",IF(INDEX(LdgNoteB,$M903)="","—",INDEX(LdgNoteB,$M903)),""))</f>
        <v/>
      </c>
      <c r="F903" s="20">
        <f>IF($L903&lt;&gt;"",IF(INDEX(SCNet,$L903)=0,"",INDEX(SCNet,$L903)),"")</f>
        <v/>
      </c>
      <c r="G903" s="21">
        <f>IF($L903&lt;&gt;"",IF(INDEX(SCOp,$L903)="مرجوعی فروش","",IF(INDEX(SCAmount,$L903)&lt;=0,"",INDEX(SCAmount,$L903))),IF($M903&lt;&gt;"",IF(INDEX(LdgWitB,$M903)=0,"",INDEX(LdgWitB,$M903)),""))</f>
        <v/>
      </c>
      <c r="H903" s="21">
        <f>IF($L903&lt;&gt;"",IF(INDEX(SCOp,$L903)="مرجوعی فروش",IF(INDEX(SCAmount,$L903)=0,"",-INDEX(SCAmount,$L903)),""),IF($M903&lt;&gt;"",IF(INDEX(LdgDepB,$M903)=0,"",INDEX(LdgDepB,$M903)),""))</f>
        <v/>
      </c>
      <c r="I903" s="22">
        <f>IF($B903="","",IF($I902="",$C$10,$I902)+IF($G903="",0,$G903)-IF($H903="",0,$H903))</f>
        <v/>
      </c>
      <c r="L903">
        <f>IFERROR(MATCH($C$5&amp;"|"&amp;RIGHT("000000"&amp;887,6),LdgRankKeyA,0),"")</f>
        <v/>
      </c>
      <c r="M903">
        <f>IFERROR(MATCH($C$5&amp;"|"&amp;RIGHT("000000"&amp;887,6),LdgRankKeyB,0),"")</f>
        <v/>
      </c>
    </row>
    <row r="904">
      <c r="A904" s="23" t="n">
        <v>888</v>
      </c>
      <c r="B904" s="24">
        <f>IF(AND($L904="",$M904=""),"",IF($L904&lt;&gt;"",INDEX(SCNormDate,$L904),INDEX(LdgDateB,$M904)))</f>
        <v/>
      </c>
      <c r="C904" s="24">
        <f>IF($L904&lt;&gt;"",INDEX(SCOp,$L904),IF($M904&lt;&gt;"","پرداخت بانکی",""))</f>
        <v/>
      </c>
      <c r="D904" s="24">
        <f>IF($L904&lt;&gt;"",IF(INDEX(SCDoc,$L904)="","—",INDEX(SCDoc,$L904)),IF($M904&lt;&gt;"",INDEX(LdgBankB,$M904),""))</f>
        <v/>
      </c>
      <c r="E904" s="25">
        <f>IF($L904&lt;&gt;"",IF(INDEX(SCCitrus,$L904)&amp;INDEX(SCNotes,$L904)="","",IF(INDEX(SCCitrus,$L904)="","",INDEX(SCCitrus,$L904))&amp;IF(INDEX(SCNotes,$L904)="",""," — "&amp;INDEX(SCNotes,$L904))),IF($M904&lt;&gt;"",IF(INDEX(LdgNoteB,$M904)="","—",INDEX(LdgNoteB,$M904)),""))</f>
        <v/>
      </c>
      <c r="F904" s="26">
        <f>IF($L904&lt;&gt;"",IF(INDEX(SCNet,$L904)=0,"",INDEX(SCNet,$L904)),"")</f>
        <v/>
      </c>
      <c r="G904" s="27">
        <f>IF($L904&lt;&gt;"",IF(INDEX(SCOp,$L904)="مرجوعی فروش","",IF(INDEX(SCAmount,$L904)&lt;=0,"",INDEX(SCAmount,$L904))),IF($M904&lt;&gt;"",IF(INDEX(LdgWitB,$M904)=0,"",INDEX(LdgWitB,$M904)),""))</f>
        <v/>
      </c>
      <c r="H904" s="27">
        <f>IF($L904&lt;&gt;"",IF(INDEX(SCOp,$L904)="مرجوعی فروش",IF(INDEX(SCAmount,$L904)=0,"",-INDEX(SCAmount,$L904)),""),IF($M904&lt;&gt;"",IF(INDEX(LdgDepB,$M904)=0,"",INDEX(LdgDepB,$M904)),""))</f>
        <v/>
      </c>
      <c r="I904" s="28">
        <f>IF($B904="","",IF($I903="",$C$10,$I903)+IF($G904="",0,$G904)-IF($H904="",0,$H904))</f>
        <v/>
      </c>
      <c r="L904">
        <f>IFERROR(MATCH($C$5&amp;"|"&amp;RIGHT("000000"&amp;888,6),LdgRankKeyA,0),"")</f>
        <v/>
      </c>
      <c r="M904">
        <f>IFERROR(MATCH($C$5&amp;"|"&amp;RIGHT("000000"&amp;888,6),LdgRankKeyB,0),"")</f>
        <v/>
      </c>
    </row>
    <row r="905">
      <c r="A905" s="17" t="n">
        <v>889</v>
      </c>
      <c r="B905" s="18">
        <f>IF(AND($L905="",$M905=""),"",IF($L905&lt;&gt;"",INDEX(SCNormDate,$L905),INDEX(LdgDateB,$M905)))</f>
        <v/>
      </c>
      <c r="C905" s="18">
        <f>IF($L905&lt;&gt;"",INDEX(SCOp,$L905),IF($M905&lt;&gt;"","پرداخت بانکی",""))</f>
        <v/>
      </c>
      <c r="D905" s="18">
        <f>IF($L905&lt;&gt;"",IF(INDEX(SCDoc,$L905)="","—",INDEX(SCDoc,$L905)),IF($M905&lt;&gt;"",INDEX(LdgBankB,$M905),""))</f>
        <v/>
      </c>
      <c r="E905" s="19">
        <f>IF($L905&lt;&gt;"",IF(INDEX(SCCitrus,$L905)&amp;INDEX(SCNotes,$L905)="","",IF(INDEX(SCCitrus,$L905)="","",INDEX(SCCitrus,$L905))&amp;IF(INDEX(SCNotes,$L905)="",""," — "&amp;INDEX(SCNotes,$L905))),IF($M905&lt;&gt;"",IF(INDEX(LdgNoteB,$M905)="","—",INDEX(LdgNoteB,$M905)),""))</f>
        <v/>
      </c>
      <c r="F905" s="20">
        <f>IF($L905&lt;&gt;"",IF(INDEX(SCNet,$L905)=0,"",INDEX(SCNet,$L905)),"")</f>
        <v/>
      </c>
      <c r="G905" s="21">
        <f>IF($L905&lt;&gt;"",IF(INDEX(SCOp,$L905)="مرجوعی فروش","",IF(INDEX(SCAmount,$L905)&lt;=0,"",INDEX(SCAmount,$L905))),IF($M905&lt;&gt;"",IF(INDEX(LdgWitB,$M905)=0,"",INDEX(LdgWitB,$M905)),""))</f>
        <v/>
      </c>
      <c r="H905" s="21">
        <f>IF($L905&lt;&gt;"",IF(INDEX(SCOp,$L905)="مرجوعی فروش",IF(INDEX(SCAmount,$L905)=0,"",-INDEX(SCAmount,$L905)),""),IF($M905&lt;&gt;"",IF(INDEX(LdgDepB,$M905)=0,"",INDEX(LdgDepB,$M905)),""))</f>
        <v/>
      </c>
      <c r="I905" s="22">
        <f>IF($B905="","",IF($I904="",$C$10,$I904)+IF($G905="",0,$G905)-IF($H905="",0,$H905))</f>
        <v/>
      </c>
      <c r="L905">
        <f>IFERROR(MATCH($C$5&amp;"|"&amp;RIGHT("000000"&amp;889,6),LdgRankKeyA,0),"")</f>
        <v/>
      </c>
      <c r="M905">
        <f>IFERROR(MATCH($C$5&amp;"|"&amp;RIGHT("000000"&amp;889,6),LdgRankKeyB,0),"")</f>
        <v/>
      </c>
    </row>
    <row r="906">
      <c r="A906" s="23" t="n">
        <v>890</v>
      </c>
      <c r="B906" s="24">
        <f>IF(AND($L906="",$M906=""),"",IF($L906&lt;&gt;"",INDEX(SCNormDate,$L906),INDEX(LdgDateB,$M906)))</f>
        <v/>
      </c>
      <c r="C906" s="24">
        <f>IF($L906&lt;&gt;"",INDEX(SCOp,$L906),IF($M906&lt;&gt;"","پرداخت بانکی",""))</f>
        <v/>
      </c>
      <c r="D906" s="24">
        <f>IF($L906&lt;&gt;"",IF(INDEX(SCDoc,$L906)="","—",INDEX(SCDoc,$L906)),IF($M906&lt;&gt;"",INDEX(LdgBankB,$M906),""))</f>
        <v/>
      </c>
      <c r="E906" s="25">
        <f>IF($L906&lt;&gt;"",IF(INDEX(SCCitrus,$L906)&amp;INDEX(SCNotes,$L906)="","",IF(INDEX(SCCitrus,$L906)="","",INDEX(SCCitrus,$L906))&amp;IF(INDEX(SCNotes,$L906)="",""," — "&amp;INDEX(SCNotes,$L906))),IF($M906&lt;&gt;"",IF(INDEX(LdgNoteB,$M906)="","—",INDEX(LdgNoteB,$M906)),""))</f>
        <v/>
      </c>
      <c r="F906" s="26">
        <f>IF($L906&lt;&gt;"",IF(INDEX(SCNet,$L906)=0,"",INDEX(SCNet,$L906)),"")</f>
        <v/>
      </c>
      <c r="G906" s="27">
        <f>IF($L906&lt;&gt;"",IF(INDEX(SCOp,$L906)="مرجوعی فروش","",IF(INDEX(SCAmount,$L906)&lt;=0,"",INDEX(SCAmount,$L906))),IF($M906&lt;&gt;"",IF(INDEX(LdgWitB,$M906)=0,"",INDEX(LdgWitB,$M906)),""))</f>
        <v/>
      </c>
      <c r="H906" s="27">
        <f>IF($L906&lt;&gt;"",IF(INDEX(SCOp,$L906)="مرجوعی فروش",IF(INDEX(SCAmount,$L906)=0,"",-INDEX(SCAmount,$L906)),""),IF($M906&lt;&gt;"",IF(INDEX(LdgDepB,$M906)=0,"",INDEX(LdgDepB,$M906)),""))</f>
        <v/>
      </c>
      <c r="I906" s="28">
        <f>IF($B906="","",IF($I905="",$C$10,$I905)+IF($G906="",0,$G906)-IF($H906="",0,$H906))</f>
        <v/>
      </c>
      <c r="L906">
        <f>IFERROR(MATCH($C$5&amp;"|"&amp;RIGHT("000000"&amp;890,6),LdgRankKeyA,0),"")</f>
        <v/>
      </c>
      <c r="M906">
        <f>IFERROR(MATCH($C$5&amp;"|"&amp;RIGHT("000000"&amp;890,6),LdgRankKeyB,0),"")</f>
        <v/>
      </c>
    </row>
    <row r="907">
      <c r="A907" s="17" t="n">
        <v>891</v>
      </c>
      <c r="B907" s="18">
        <f>IF(AND($L907="",$M907=""),"",IF($L907&lt;&gt;"",INDEX(SCNormDate,$L907),INDEX(LdgDateB,$M907)))</f>
        <v/>
      </c>
      <c r="C907" s="18">
        <f>IF($L907&lt;&gt;"",INDEX(SCOp,$L907),IF($M907&lt;&gt;"","پرداخت بانکی",""))</f>
        <v/>
      </c>
      <c r="D907" s="18">
        <f>IF($L907&lt;&gt;"",IF(INDEX(SCDoc,$L907)="","—",INDEX(SCDoc,$L907)),IF($M907&lt;&gt;"",INDEX(LdgBankB,$M907),""))</f>
        <v/>
      </c>
      <c r="E907" s="19">
        <f>IF($L907&lt;&gt;"",IF(INDEX(SCCitrus,$L907)&amp;INDEX(SCNotes,$L907)="","",IF(INDEX(SCCitrus,$L907)="","",INDEX(SCCitrus,$L907))&amp;IF(INDEX(SCNotes,$L907)="",""," — "&amp;INDEX(SCNotes,$L907))),IF($M907&lt;&gt;"",IF(INDEX(LdgNoteB,$M907)="","—",INDEX(LdgNoteB,$M907)),""))</f>
        <v/>
      </c>
      <c r="F907" s="20">
        <f>IF($L907&lt;&gt;"",IF(INDEX(SCNet,$L907)=0,"",INDEX(SCNet,$L907)),"")</f>
        <v/>
      </c>
      <c r="G907" s="21">
        <f>IF($L907&lt;&gt;"",IF(INDEX(SCOp,$L907)="مرجوعی فروش","",IF(INDEX(SCAmount,$L907)&lt;=0,"",INDEX(SCAmount,$L907))),IF($M907&lt;&gt;"",IF(INDEX(LdgWitB,$M907)=0,"",INDEX(LdgWitB,$M907)),""))</f>
        <v/>
      </c>
      <c r="H907" s="21">
        <f>IF($L907&lt;&gt;"",IF(INDEX(SCOp,$L907)="مرجوعی فروش",IF(INDEX(SCAmount,$L907)=0,"",-INDEX(SCAmount,$L907)),""),IF($M907&lt;&gt;"",IF(INDEX(LdgDepB,$M907)=0,"",INDEX(LdgDepB,$M907)),""))</f>
        <v/>
      </c>
      <c r="I907" s="22">
        <f>IF($B907="","",IF($I906="",$C$10,$I906)+IF($G907="",0,$G907)-IF($H907="",0,$H907))</f>
        <v/>
      </c>
      <c r="L907">
        <f>IFERROR(MATCH($C$5&amp;"|"&amp;RIGHT("000000"&amp;891,6),LdgRankKeyA,0),"")</f>
        <v/>
      </c>
      <c r="M907">
        <f>IFERROR(MATCH($C$5&amp;"|"&amp;RIGHT("000000"&amp;891,6),LdgRankKeyB,0),"")</f>
        <v/>
      </c>
    </row>
    <row r="908">
      <c r="A908" s="23" t="n">
        <v>892</v>
      </c>
      <c r="B908" s="24">
        <f>IF(AND($L908="",$M908=""),"",IF($L908&lt;&gt;"",INDEX(SCNormDate,$L908),INDEX(LdgDateB,$M908)))</f>
        <v/>
      </c>
      <c r="C908" s="24">
        <f>IF($L908&lt;&gt;"",INDEX(SCOp,$L908),IF($M908&lt;&gt;"","پرداخت بانکی",""))</f>
        <v/>
      </c>
      <c r="D908" s="24">
        <f>IF($L908&lt;&gt;"",IF(INDEX(SCDoc,$L908)="","—",INDEX(SCDoc,$L908)),IF($M908&lt;&gt;"",INDEX(LdgBankB,$M908),""))</f>
        <v/>
      </c>
      <c r="E908" s="25">
        <f>IF($L908&lt;&gt;"",IF(INDEX(SCCitrus,$L908)&amp;INDEX(SCNotes,$L908)="","",IF(INDEX(SCCitrus,$L908)="","",INDEX(SCCitrus,$L908))&amp;IF(INDEX(SCNotes,$L908)="",""," — "&amp;INDEX(SCNotes,$L908))),IF($M908&lt;&gt;"",IF(INDEX(LdgNoteB,$M908)="","—",INDEX(LdgNoteB,$M908)),""))</f>
        <v/>
      </c>
      <c r="F908" s="26">
        <f>IF($L908&lt;&gt;"",IF(INDEX(SCNet,$L908)=0,"",INDEX(SCNet,$L908)),"")</f>
        <v/>
      </c>
      <c r="G908" s="27">
        <f>IF($L908&lt;&gt;"",IF(INDEX(SCOp,$L908)="مرجوعی فروش","",IF(INDEX(SCAmount,$L908)&lt;=0,"",INDEX(SCAmount,$L908))),IF($M908&lt;&gt;"",IF(INDEX(LdgWitB,$M908)=0,"",INDEX(LdgWitB,$M908)),""))</f>
        <v/>
      </c>
      <c r="H908" s="27">
        <f>IF($L908&lt;&gt;"",IF(INDEX(SCOp,$L908)="مرجوعی فروش",IF(INDEX(SCAmount,$L908)=0,"",-INDEX(SCAmount,$L908)),""),IF($M908&lt;&gt;"",IF(INDEX(LdgDepB,$M908)=0,"",INDEX(LdgDepB,$M908)),""))</f>
        <v/>
      </c>
      <c r="I908" s="28">
        <f>IF($B908="","",IF($I907="",$C$10,$I907)+IF($G908="",0,$G908)-IF($H908="",0,$H908))</f>
        <v/>
      </c>
      <c r="L908">
        <f>IFERROR(MATCH($C$5&amp;"|"&amp;RIGHT("000000"&amp;892,6),LdgRankKeyA,0),"")</f>
        <v/>
      </c>
      <c r="M908">
        <f>IFERROR(MATCH($C$5&amp;"|"&amp;RIGHT("000000"&amp;892,6),LdgRankKeyB,0),"")</f>
        <v/>
      </c>
    </row>
    <row r="909">
      <c r="A909" s="17" t="n">
        <v>893</v>
      </c>
      <c r="B909" s="18">
        <f>IF(AND($L909="",$M909=""),"",IF($L909&lt;&gt;"",INDEX(SCNormDate,$L909),INDEX(LdgDateB,$M909)))</f>
        <v/>
      </c>
      <c r="C909" s="18">
        <f>IF($L909&lt;&gt;"",INDEX(SCOp,$L909),IF($M909&lt;&gt;"","پرداخت بانکی",""))</f>
        <v/>
      </c>
      <c r="D909" s="18">
        <f>IF($L909&lt;&gt;"",IF(INDEX(SCDoc,$L909)="","—",INDEX(SCDoc,$L909)),IF($M909&lt;&gt;"",INDEX(LdgBankB,$M909),""))</f>
        <v/>
      </c>
      <c r="E909" s="19">
        <f>IF($L909&lt;&gt;"",IF(INDEX(SCCitrus,$L909)&amp;INDEX(SCNotes,$L909)="","",IF(INDEX(SCCitrus,$L909)="","",INDEX(SCCitrus,$L909))&amp;IF(INDEX(SCNotes,$L909)="",""," — "&amp;INDEX(SCNotes,$L909))),IF($M909&lt;&gt;"",IF(INDEX(LdgNoteB,$M909)="","—",INDEX(LdgNoteB,$M909)),""))</f>
        <v/>
      </c>
      <c r="F909" s="20">
        <f>IF($L909&lt;&gt;"",IF(INDEX(SCNet,$L909)=0,"",INDEX(SCNet,$L909)),"")</f>
        <v/>
      </c>
      <c r="G909" s="21">
        <f>IF($L909&lt;&gt;"",IF(INDEX(SCOp,$L909)="مرجوعی فروش","",IF(INDEX(SCAmount,$L909)&lt;=0,"",INDEX(SCAmount,$L909))),IF($M909&lt;&gt;"",IF(INDEX(LdgWitB,$M909)=0,"",INDEX(LdgWitB,$M909)),""))</f>
        <v/>
      </c>
      <c r="H909" s="21">
        <f>IF($L909&lt;&gt;"",IF(INDEX(SCOp,$L909)="مرجوعی فروش",IF(INDEX(SCAmount,$L909)=0,"",-INDEX(SCAmount,$L909)),""),IF($M909&lt;&gt;"",IF(INDEX(LdgDepB,$M909)=0,"",INDEX(LdgDepB,$M909)),""))</f>
        <v/>
      </c>
      <c r="I909" s="22">
        <f>IF($B909="","",IF($I908="",$C$10,$I908)+IF($G909="",0,$G909)-IF($H909="",0,$H909))</f>
        <v/>
      </c>
      <c r="L909">
        <f>IFERROR(MATCH($C$5&amp;"|"&amp;RIGHT("000000"&amp;893,6),LdgRankKeyA,0),"")</f>
        <v/>
      </c>
      <c r="M909">
        <f>IFERROR(MATCH($C$5&amp;"|"&amp;RIGHT("000000"&amp;893,6),LdgRankKeyB,0),"")</f>
        <v/>
      </c>
    </row>
    <row r="910">
      <c r="A910" s="23" t="n">
        <v>894</v>
      </c>
      <c r="B910" s="24">
        <f>IF(AND($L910="",$M910=""),"",IF($L910&lt;&gt;"",INDEX(SCNormDate,$L910),INDEX(LdgDateB,$M910)))</f>
        <v/>
      </c>
      <c r="C910" s="24">
        <f>IF($L910&lt;&gt;"",INDEX(SCOp,$L910),IF($M910&lt;&gt;"","پرداخت بانکی",""))</f>
        <v/>
      </c>
      <c r="D910" s="24">
        <f>IF($L910&lt;&gt;"",IF(INDEX(SCDoc,$L910)="","—",INDEX(SCDoc,$L910)),IF($M910&lt;&gt;"",INDEX(LdgBankB,$M910),""))</f>
        <v/>
      </c>
      <c r="E910" s="25">
        <f>IF($L910&lt;&gt;"",IF(INDEX(SCCitrus,$L910)&amp;INDEX(SCNotes,$L910)="","",IF(INDEX(SCCitrus,$L910)="","",INDEX(SCCitrus,$L910))&amp;IF(INDEX(SCNotes,$L910)="",""," — "&amp;INDEX(SCNotes,$L910))),IF($M910&lt;&gt;"",IF(INDEX(LdgNoteB,$M910)="","—",INDEX(LdgNoteB,$M910)),""))</f>
        <v/>
      </c>
      <c r="F910" s="26">
        <f>IF($L910&lt;&gt;"",IF(INDEX(SCNet,$L910)=0,"",INDEX(SCNet,$L910)),"")</f>
        <v/>
      </c>
      <c r="G910" s="27">
        <f>IF($L910&lt;&gt;"",IF(INDEX(SCOp,$L910)="مرجوعی فروش","",IF(INDEX(SCAmount,$L910)&lt;=0,"",INDEX(SCAmount,$L910))),IF($M910&lt;&gt;"",IF(INDEX(LdgWitB,$M910)=0,"",INDEX(LdgWitB,$M910)),""))</f>
        <v/>
      </c>
      <c r="H910" s="27">
        <f>IF($L910&lt;&gt;"",IF(INDEX(SCOp,$L910)="مرجوعی فروش",IF(INDEX(SCAmount,$L910)=0,"",-INDEX(SCAmount,$L910)),""),IF($M910&lt;&gt;"",IF(INDEX(LdgDepB,$M910)=0,"",INDEX(LdgDepB,$M910)),""))</f>
        <v/>
      </c>
      <c r="I910" s="28">
        <f>IF($B910="","",IF($I909="",$C$10,$I909)+IF($G910="",0,$G910)-IF($H910="",0,$H910))</f>
        <v/>
      </c>
      <c r="L910">
        <f>IFERROR(MATCH($C$5&amp;"|"&amp;RIGHT("000000"&amp;894,6),LdgRankKeyA,0),"")</f>
        <v/>
      </c>
      <c r="M910">
        <f>IFERROR(MATCH($C$5&amp;"|"&amp;RIGHT("000000"&amp;894,6),LdgRankKeyB,0),"")</f>
        <v/>
      </c>
    </row>
    <row r="911">
      <c r="A911" s="17" t="n">
        <v>895</v>
      </c>
      <c r="B911" s="18">
        <f>IF(AND($L911="",$M911=""),"",IF($L911&lt;&gt;"",INDEX(SCNormDate,$L911),INDEX(LdgDateB,$M911)))</f>
        <v/>
      </c>
      <c r="C911" s="18">
        <f>IF($L911&lt;&gt;"",INDEX(SCOp,$L911),IF($M911&lt;&gt;"","پرداخت بانکی",""))</f>
        <v/>
      </c>
      <c r="D911" s="18">
        <f>IF($L911&lt;&gt;"",IF(INDEX(SCDoc,$L911)="","—",INDEX(SCDoc,$L911)),IF($M911&lt;&gt;"",INDEX(LdgBankB,$M911),""))</f>
        <v/>
      </c>
      <c r="E911" s="19">
        <f>IF($L911&lt;&gt;"",IF(INDEX(SCCitrus,$L911)&amp;INDEX(SCNotes,$L911)="","",IF(INDEX(SCCitrus,$L911)="","",INDEX(SCCitrus,$L911))&amp;IF(INDEX(SCNotes,$L911)="",""," — "&amp;INDEX(SCNotes,$L911))),IF($M911&lt;&gt;"",IF(INDEX(LdgNoteB,$M911)="","—",INDEX(LdgNoteB,$M911)),""))</f>
        <v/>
      </c>
      <c r="F911" s="20">
        <f>IF($L911&lt;&gt;"",IF(INDEX(SCNet,$L911)=0,"",INDEX(SCNet,$L911)),"")</f>
        <v/>
      </c>
      <c r="G911" s="21">
        <f>IF($L911&lt;&gt;"",IF(INDEX(SCOp,$L911)="مرجوعی فروش","",IF(INDEX(SCAmount,$L911)&lt;=0,"",INDEX(SCAmount,$L911))),IF($M911&lt;&gt;"",IF(INDEX(LdgWitB,$M911)=0,"",INDEX(LdgWitB,$M911)),""))</f>
        <v/>
      </c>
      <c r="H911" s="21">
        <f>IF($L911&lt;&gt;"",IF(INDEX(SCOp,$L911)="مرجوعی فروش",IF(INDEX(SCAmount,$L911)=0,"",-INDEX(SCAmount,$L911)),""),IF($M911&lt;&gt;"",IF(INDEX(LdgDepB,$M911)=0,"",INDEX(LdgDepB,$M911)),""))</f>
        <v/>
      </c>
      <c r="I911" s="22">
        <f>IF($B911="","",IF($I910="",$C$10,$I910)+IF($G911="",0,$G911)-IF($H911="",0,$H911))</f>
        <v/>
      </c>
      <c r="L911">
        <f>IFERROR(MATCH($C$5&amp;"|"&amp;RIGHT("000000"&amp;895,6),LdgRankKeyA,0),"")</f>
        <v/>
      </c>
      <c r="M911">
        <f>IFERROR(MATCH($C$5&amp;"|"&amp;RIGHT("000000"&amp;895,6),LdgRankKeyB,0),"")</f>
        <v/>
      </c>
    </row>
    <row r="912">
      <c r="A912" s="23" t="n">
        <v>896</v>
      </c>
      <c r="B912" s="24">
        <f>IF(AND($L912="",$M912=""),"",IF($L912&lt;&gt;"",INDEX(SCNormDate,$L912),INDEX(LdgDateB,$M912)))</f>
        <v/>
      </c>
      <c r="C912" s="24">
        <f>IF($L912&lt;&gt;"",INDEX(SCOp,$L912),IF($M912&lt;&gt;"","پرداخت بانکی",""))</f>
        <v/>
      </c>
      <c r="D912" s="24">
        <f>IF($L912&lt;&gt;"",IF(INDEX(SCDoc,$L912)="","—",INDEX(SCDoc,$L912)),IF($M912&lt;&gt;"",INDEX(LdgBankB,$M912),""))</f>
        <v/>
      </c>
      <c r="E912" s="25">
        <f>IF($L912&lt;&gt;"",IF(INDEX(SCCitrus,$L912)&amp;INDEX(SCNotes,$L912)="","",IF(INDEX(SCCitrus,$L912)="","",INDEX(SCCitrus,$L912))&amp;IF(INDEX(SCNotes,$L912)="",""," — "&amp;INDEX(SCNotes,$L912))),IF($M912&lt;&gt;"",IF(INDEX(LdgNoteB,$M912)="","—",INDEX(LdgNoteB,$M912)),""))</f>
        <v/>
      </c>
      <c r="F912" s="26">
        <f>IF($L912&lt;&gt;"",IF(INDEX(SCNet,$L912)=0,"",INDEX(SCNet,$L912)),"")</f>
        <v/>
      </c>
      <c r="G912" s="27">
        <f>IF($L912&lt;&gt;"",IF(INDEX(SCOp,$L912)="مرجوعی فروش","",IF(INDEX(SCAmount,$L912)&lt;=0,"",INDEX(SCAmount,$L912))),IF($M912&lt;&gt;"",IF(INDEX(LdgWitB,$M912)=0,"",INDEX(LdgWitB,$M912)),""))</f>
        <v/>
      </c>
      <c r="H912" s="27">
        <f>IF($L912&lt;&gt;"",IF(INDEX(SCOp,$L912)="مرجوعی فروش",IF(INDEX(SCAmount,$L912)=0,"",-INDEX(SCAmount,$L912)),""),IF($M912&lt;&gt;"",IF(INDEX(LdgDepB,$M912)=0,"",INDEX(LdgDepB,$M912)),""))</f>
        <v/>
      </c>
      <c r="I912" s="28">
        <f>IF($B912="","",IF($I911="",$C$10,$I911)+IF($G912="",0,$G912)-IF($H912="",0,$H912))</f>
        <v/>
      </c>
      <c r="L912">
        <f>IFERROR(MATCH($C$5&amp;"|"&amp;RIGHT("000000"&amp;896,6),LdgRankKeyA,0),"")</f>
        <v/>
      </c>
      <c r="M912">
        <f>IFERROR(MATCH($C$5&amp;"|"&amp;RIGHT("000000"&amp;896,6),LdgRankKeyB,0),"")</f>
        <v/>
      </c>
    </row>
    <row r="913">
      <c r="A913" s="17" t="n">
        <v>897</v>
      </c>
      <c r="B913" s="18">
        <f>IF(AND($L913="",$M913=""),"",IF($L913&lt;&gt;"",INDEX(SCNormDate,$L913),INDEX(LdgDateB,$M913)))</f>
        <v/>
      </c>
      <c r="C913" s="18">
        <f>IF($L913&lt;&gt;"",INDEX(SCOp,$L913),IF($M913&lt;&gt;"","پرداخت بانکی",""))</f>
        <v/>
      </c>
      <c r="D913" s="18">
        <f>IF($L913&lt;&gt;"",IF(INDEX(SCDoc,$L913)="","—",INDEX(SCDoc,$L913)),IF($M913&lt;&gt;"",INDEX(LdgBankB,$M913),""))</f>
        <v/>
      </c>
      <c r="E913" s="19">
        <f>IF($L913&lt;&gt;"",IF(INDEX(SCCitrus,$L913)&amp;INDEX(SCNotes,$L913)="","",IF(INDEX(SCCitrus,$L913)="","",INDEX(SCCitrus,$L913))&amp;IF(INDEX(SCNotes,$L913)="",""," — "&amp;INDEX(SCNotes,$L913))),IF($M913&lt;&gt;"",IF(INDEX(LdgNoteB,$M913)="","—",INDEX(LdgNoteB,$M913)),""))</f>
        <v/>
      </c>
      <c r="F913" s="20">
        <f>IF($L913&lt;&gt;"",IF(INDEX(SCNet,$L913)=0,"",INDEX(SCNet,$L913)),"")</f>
        <v/>
      </c>
      <c r="G913" s="21">
        <f>IF($L913&lt;&gt;"",IF(INDEX(SCOp,$L913)="مرجوعی فروش","",IF(INDEX(SCAmount,$L913)&lt;=0,"",INDEX(SCAmount,$L913))),IF($M913&lt;&gt;"",IF(INDEX(LdgWitB,$M913)=0,"",INDEX(LdgWitB,$M913)),""))</f>
        <v/>
      </c>
      <c r="H913" s="21">
        <f>IF($L913&lt;&gt;"",IF(INDEX(SCOp,$L913)="مرجوعی فروش",IF(INDEX(SCAmount,$L913)=0,"",-INDEX(SCAmount,$L913)),""),IF($M913&lt;&gt;"",IF(INDEX(LdgDepB,$M913)=0,"",INDEX(LdgDepB,$M913)),""))</f>
        <v/>
      </c>
      <c r="I913" s="22">
        <f>IF($B913="","",IF($I912="",$C$10,$I912)+IF($G913="",0,$G913)-IF($H913="",0,$H913))</f>
        <v/>
      </c>
      <c r="L913">
        <f>IFERROR(MATCH($C$5&amp;"|"&amp;RIGHT("000000"&amp;897,6),LdgRankKeyA,0),"")</f>
        <v/>
      </c>
      <c r="M913">
        <f>IFERROR(MATCH($C$5&amp;"|"&amp;RIGHT("000000"&amp;897,6),LdgRankKeyB,0),"")</f>
        <v/>
      </c>
    </row>
    <row r="914">
      <c r="A914" s="23" t="n">
        <v>898</v>
      </c>
      <c r="B914" s="24">
        <f>IF(AND($L914="",$M914=""),"",IF($L914&lt;&gt;"",INDEX(SCNormDate,$L914),INDEX(LdgDateB,$M914)))</f>
        <v/>
      </c>
      <c r="C914" s="24">
        <f>IF($L914&lt;&gt;"",INDEX(SCOp,$L914),IF($M914&lt;&gt;"","پرداخت بانکی",""))</f>
        <v/>
      </c>
      <c r="D914" s="24">
        <f>IF($L914&lt;&gt;"",IF(INDEX(SCDoc,$L914)="","—",INDEX(SCDoc,$L914)),IF($M914&lt;&gt;"",INDEX(LdgBankB,$M914),""))</f>
        <v/>
      </c>
      <c r="E914" s="25">
        <f>IF($L914&lt;&gt;"",IF(INDEX(SCCitrus,$L914)&amp;INDEX(SCNotes,$L914)="","",IF(INDEX(SCCitrus,$L914)="","",INDEX(SCCitrus,$L914))&amp;IF(INDEX(SCNotes,$L914)="",""," — "&amp;INDEX(SCNotes,$L914))),IF($M914&lt;&gt;"",IF(INDEX(LdgNoteB,$M914)="","—",INDEX(LdgNoteB,$M914)),""))</f>
        <v/>
      </c>
      <c r="F914" s="26">
        <f>IF($L914&lt;&gt;"",IF(INDEX(SCNet,$L914)=0,"",INDEX(SCNet,$L914)),"")</f>
        <v/>
      </c>
      <c r="G914" s="27">
        <f>IF($L914&lt;&gt;"",IF(INDEX(SCOp,$L914)="مرجوعی فروش","",IF(INDEX(SCAmount,$L914)&lt;=0,"",INDEX(SCAmount,$L914))),IF($M914&lt;&gt;"",IF(INDEX(LdgWitB,$M914)=0,"",INDEX(LdgWitB,$M914)),""))</f>
        <v/>
      </c>
      <c r="H914" s="27">
        <f>IF($L914&lt;&gt;"",IF(INDEX(SCOp,$L914)="مرجوعی فروش",IF(INDEX(SCAmount,$L914)=0,"",-INDEX(SCAmount,$L914)),""),IF($M914&lt;&gt;"",IF(INDEX(LdgDepB,$M914)=0,"",INDEX(LdgDepB,$M914)),""))</f>
        <v/>
      </c>
      <c r="I914" s="28">
        <f>IF($B914="","",IF($I913="",$C$10,$I913)+IF($G914="",0,$G914)-IF($H914="",0,$H914))</f>
        <v/>
      </c>
      <c r="L914">
        <f>IFERROR(MATCH($C$5&amp;"|"&amp;RIGHT("000000"&amp;898,6),LdgRankKeyA,0),"")</f>
        <v/>
      </c>
      <c r="M914">
        <f>IFERROR(MATCH($C$5&amp;"|"&amp;RIGHT("000000"&amp;898,6),LdgRankKeyB,0),"")</f>
        <v/>
      </c>
    </row>
    <row r="915">
      <c r="A915" s="17" t="n">
        <v>899</v>
      </c>
      <c r="B915" s="18">
        <f>IF(AND($L915="",$M915=""),"",IF($L915&lt;&gt;"",INDEX(SCNormDate,$L915),INDEX(LdgDateB,$M915)))</f>
        <v/>
      </c>
      <c r="C915" s="18">
        <f>IF($L915&lt;&gt;"",INDEX(SCOp,$L915),IF($M915&lt;&gt;"","پرداخت بانکی",""))</f>
        <v/>
      </c>
      <c r="D915" s="18">
        <f>IF($L915&lt;&gt;"",IF(INDEX(SCDoc,$L915)="","—",INDEX(SCDoc,$L915)),IF($M915&lt;&gt;"",INDEX(LdgBankB,$M915),""))</f>
        <v/>
      </c>
      <c r="E915" s="19">
        <f>IF($L915&lt;&gt;"",IF(INDEX(SCCitrus,$L915)&amp;INDEX(SCNotes,$L915)="","",IF(INDEX(SCCitrus,$L915)="","",INDEX(SCCitrus,$L915))&amp;IF(INDEX(SCNotes,$L915)="",""," — "&amp;INDEX(SCNotes,$L915))),IF($M915&lt;&gt;"",IF(INDEX(LdgNoteB,$M915)="","—",INDEX(LdgNoteB,$M915)),""))</f>
        <v/>
      </c>
      <c r="F915" s="20">
        <f>IF($L915&lt;&gt;"",IF(INDEX(SCNet,$L915)=0,"",INDEX(SCNet,$L915)),"")</f>
        <v/>
      </c>
      <c r="G915" s="21">
        <f>IF($L915&lt;&gt;"",IF(INDEX(SCOp,$L915)="مرجوعی فروش","",IF(INDEX(SCAmount,$L915)&lt;=0,"",INDEX(SCAmount,$L915))),IF($M915&lt;&gt;"",IF(INDEX(LdgWitB,$M915)=0,"",INDEX(LdgWitB,$M915)),""))</f>
        <v/>
      </c>
      <c r="H915" s="21">
        <f>IF($L915&lt;&gt;"",IF(INDEX(SCOp,$L915)="مرجوعی فروش",IF(INDEX(SCAmount,$L915)=0,"",-INDEX(SCAmount,$L915)),""),IF($M915&lt;&gt;"",IF(INDEX(LdgDepB,$M915)=0,"",INDEX(LdgDepB,$M915)),""))</f>
        <v/>
      </c>
      <c r="I915" s="22">
        <f>IF($B915="","",IF($I914="",$C$10,$I914)+IF($G915="",0,$G915)-IF($H915="",0,$H915))</f>
        <v/>
      </c>
      <c r="L915">
        <f>IFERROR(MATCH($C$5&amp;"|"&amp;RIGHT("000000"&amp;899,6),LdgRankKeyA,0),"")</f>
        <v/>
      </c>
      <c r="M915">
        <f>IFERROR(MATCH($C$5&amp;"|"&amp;RIGHT("000000"&amp;899,6),LdgRankKeyB,0),"")</f>
        <v/>
      </c>
    </row>
    <row r="916">
      <c r="A916" s="23" t="n">
        <v>900</v>
      </c>
      <c r="B916" s="24">
        <f>IF(AND($L916="",$M916=""),"",IF($L916&lt;&gt;"",INDEX(SCNormDate,$L916),INDEX(LdgDateB,$M916)))</f>
        <v/>
      </c>
      <c r="C916" s="24">
        <f>IF($L916&lt;&gt;"",INDEX(SCOp,$L916),IF($M916&lt;&gt;"","پرداخت بانکی",""))</f>
        <v/>
      </c>
      <c r="D916" s="24">
        <f>IF($L916&lt;&gt;"",IF(INDEX(SCDoc,$L916)="","—",INDEX(SCDoc,$L916)),IF($M916&lt;&gt;"",INDEX(LdgBankB,$M916),""))</f>
        <v/>
      </c>
      <c r="E916" s="25">
        <f>IF($L916&lt;&gt;"",IF(INDEX(SCCitrus,$L916)&amp;INDEX(SCNotes,$L916)="","",IF(INDEX(SCCitrus,$L916)="","",INDEX(SCCitrus,$L916))&amp;IF(INDEX(SCNotes,$L916)="",""," — "&amp;INDEX(SCNotes,$L916))),IF($M916&lt;&gt;"",IF(INDEX(LdgNoteB,$M916)="","—",INDEX(LdgNoteB,$M916)),""))</f>
        <v/>
      </c>
      <c r="F916" s="26">
        <f>IF($L916&lt;&gt;"",IF(INDEX(SCNet,$L916)=0,"",INDEX(SCNet,$L916)),"")</f>
        <v/>
      </c>
      <c r="G916" s="27">
        <f>IF($L916&lt;&gt;"",IF(INDEX(SCOp,$L916)="مرجوعی فروش","",IF(INDEX(SCAmount,$L916)&lt;=0,"",INDEX(SCAmount,$L916))),IF($M916&lt;&gt;"",IF(INDEX(LdgWitB,$M916)=0,"",INDEX(LdgWitB,$M916)),""))</f>
        <v/>
      </c>
      <c r="H916" s="27">
        <f>IF($L916&lt;&gt;"",IF(INDEX(SCOp,$L916)="مرجوعی فروش",IF(INDEX(SCAmount,$L916)=0,"",-INDEX(SCAmount,$L916)),""),IF($M916&lt;&gt;"",IF(INDEX(LdgDepB,$M916)=0,"",INDEX(LdgDepB,$M916)),""))</f>
        <v/>
      </c>
      <c r="I916" s="28">
        <f>IF($B916="","",IF($I915="",$C$10,$I915)+IF($G916="",0,$G916)-IF($H916="",0,$H916))</f>
        <v/>
      </c>
      <c r="L916">
        <f>IFERROR(MATCH($C$5&amp;"|"&amp;RIGHT("000000"&amp;900,6),LdgRankKeyA,0),"")</f>
        <v/>
      </c>
      <c r="M916">
        <f>IFERROR(MATCH($C$5&amp;"|"&amp;RIGHT("000000"&amp;900,6),LdgRankKeyB,0),"")</f>
        <v/>
      </c>
    </row>
    <row r="917">
      <c r="A917" s="17" t="n">
        <v>901</v>
      </c>
      <c r="B917" s="18">
        <f>IF(AND($L917="",$M917=""),"",IF($L917&lt;&gt;"",INDEX(SCNormDate,$L917),INDEX(LdgDateB,$M917)))</f>
        <v/>
      </c>
      <c r="C917" s="18">
        <f>IF($L917&lt;&gt;"",INDEX(SCOp,$L917),IF($M917&lt;&gt;"","پرداخت بانکی",""))</f>
        <v/>
      </c>
      <c r="D917" s="18">
        <f>IF($L917&lt;&gt;"",IF(INDEX(SCDoc,$L917)="","—",INDEX(SCDoc,$L917)),IF($M917&lt;&gt;"",INDEX(LdgBankB,$M917),""))</f>
        <v/>
      </c>
      <c r="E917" s="19">
        <f>IF($L917&lt;&gt;"",IF(INDEX(SCCitrus,$L917)&amp;INDEX(SCNotes,$L917)="","",IF(INDEX(SCCitrus,$L917)="","",INDEX(SCCitrus,$L917))&amp;IF(INDEX(SCNotes,$L917)="",""," — "&amp;INDEX(SCNotes,$L917))),IF($M917&lt;&gt;"",IF(INDEX(LdgNoteB,$M917)="","—",INDEX(LdgNoteB,$M917)),""))</f>
        <v/>
      </c>
      <c r="F917" s="20">
        <f>IF($L917&lt;&gt;"",IF(INDEX(SCNet,$L917)=0,"",INDEX(SCNet,$L917)),"")</f>
        <v/>
      </c>
      <c r="G917" s="21">
        <f>IF($L917&lt;&gt;"",IF(INDEX(SCOp,$L917)="مرجوعی فروش","",IF(INDEX(SCAmount,$L917)&lt;=0,"",INDEX(SCAmount,$L917))),IF($M917&lt;&gt;"",IF(INDEX(LdgWitB,$M917)=0,"",INDEX(LdgWitB,$M917)),""))</f>
        <v/>
      </c>
      <c r="H917" s="21">
        <f>IF($L917&lt;&gt;"",IF(INDEX(SCOp,$L917)="مرجوعی فروش",IF(INDEX(SCAmount,$L917)=0,"",-INDEX(SCAmount,$L917)),""),IF($M917&lt;&gt;"",IF(INDEX(LdgDepB,$M917)=0,"",INDEX(LdgDepB,$M917)),""))</f>
        <v/>
      </c>
      <c r="I917" s="22">
        <f>IF($B917="","",IF($I916="",$C$10,$I916)+IF($G917="",0,$G917)-IF($H917="",0,$H917))</f>
        <v/>
      </c>
      <c r="L917">
        <f>IFERROR(MATCH($C$5&amp;"|"&amp;RIGHT("000000"&amp;901,6),LdgRankKeyA,0),"")</f>
        <v/>
      </c>
      <c r="M917">
        <f>IFERROR(MATCH($C$5&amp;"|"&amp;RIGHT("000000"&amp;901,6),LdgRankKeyB,0),"")</f>
        <v/>
      </c>
    </row>
    <row r="918">
      <c r="A918" s="23" t="n">
        <v>902</v>
      </c>
      <c r="B918" s="24">
        <f>IF(AND($L918="",$M918=""),"",IF($L918&lt;&gt;"",INDEX(SCNormDate,$L918),INDEX(LdgDateB,$M918)))</f>
        <v/>
      </c>
      <c r="C918" s="24">
        <f>IF($L918&lt;&gt;"",INDEX(SCOp,$L918),IF($M918&lt;&gt;"","پرداخت بانکی",""))</f>
        <v/>
      </c>
      <c r="D918" s="24">
        <f>IF($L918&lt;&gt;"",IF(INDEX(SCDoc,$L918)="","—",INDEX(SCDoc,$L918)),IF($M918&lt;&gt;"",INDEX(LdgBankB,$M918),""))</f>
        <v/>
      </c>
      <c r="E918" s="25">
        <f>IF($L918&lt;&gt;"",IF(INDEX(SCCitrus,$L918)&amp;INDEX(SCNotes,$L918)="","",IF(INDEX(SCCitrus,$L918)="","",INDEX(SCCitrus,$L918))&amp;IF(INDEX(SCNotes,$L918)="",""," — "&amp;INDEX(SCNotes,$L918))),IF($M918&lt;&gt;"",IF(INDEX(LdgNoteB,$M918)="","—",INDEX(LdgNoteB,$M918)),""))</f>
        <v/>
      </c>
      <c r="F918" s="26">
        <f>IF($L918&lt;&gt;"",IF(INDEX(SCNet,$L918)=0,"",INDEX(SCNet,$L918)),"")</f>
        <v/>
      </c>
      <c r="G918" s="27">
        <f>IF($L918&lt;&gt;"",IF(INDEX(SCOp,$L918)="مرجوعی فروش","",IF(INDEX(SCAmount,$L918)&lt;=0,"",INDEX(SCAmount,$L918))),IF($M918&lt;&gt;"",IF(INDEX(LdgWitB,$M918)=0,"",INDEX(LdgWitB,$M918)),""))</f>
        <v/>
      </c>
      <c r="H918" s="27">
        <f>IF($L918&lt;&gt;"",IF(INDEX(SCOp,$L918)="مرجوعی فروش",IF(INDEX(SCAmount,$L918)=0,"",-INDEX(SCAmount,$L918)),""),IF($M918&lt;&gt;"",IF(INDEX(LdgDepB,$M918)=0,"",INDEX(LdgDepB,$M918)),""))</f>
        <v/>
      </c>
      <c r="I918" s="28">
        <f>IF($B918="","",IF($I917="",$C$10,$I917)+IF($G918="",0,$G918)-IF($H918="",0,$H918))</f>
        <v/>
      </c>
      <c r="L918">
        <f>IFERROR(MATCH($C$5&amp;"|"&amp;RIGHT("000000"&amp;902,6),LdgRankKeyA,0),"")</f>
        <v/>
      </c>
      <c r="M918">
        <f>IFERROR(MATCH($C$5&amp;"|"&amp;RIGHT("000000"&amp;902,6),LdgRankKeyB,0),"")</f>
        <v/>
      </c>
    </row>
    <row r="919">
      <c r="A919" s="17" t="n">
        <v>903</v>
      </c>
      <c r="B919" s="18">
        <f>IF(AND($L919="",$M919=""),"",IF($L919&lt;&gt;"",INDEX(SCNormDate,$L919),INDEX(LdgDateB,$M919)))</f>
        <v/>
      </c>
      <c r="C919" s="18">
        <f>IF($L919&lt;&gt;"",INDEX(SCOp,$L919),IF($M919&lt;&gt;"","پرداخت بانکی",""))</f>
        <v/>
      </c>
      <c r="D919" s="18">
        <f>IF($L919&lt;&gt;"",IF(INDEX(SCDoc,$L919)="","—",INDEX(SCDoc,$L919)),IF($M919&lt;&gt;"",INDEX(LdgBankB,$M919),""))</f>
        <v/>
      </c>
      <c r="E919" s="19">
        <f>IF($L919&lt;&gt;"",IF(INDEX(SCCitrus,$L919)&amp;INDEX(SCNotes,$L919)="","",IF(INDEX(SCCitrus,$L919)="","",INDEX(SCCitrus,$L919))&amp;IF(INDEX(SCNotes,$L919)="",""," — "&amp;INDEX(SCNotes,$L919))),IF($M919&lt;&gt;"",IF(INDEX(LdgNoteB,$M919)="","—",INDEX(LdgNoteB,$M919)),""))</f>
        <v/>
      </c>
      <c r="F919" s="20">
        <f>IF($L919&lt;&gt;"",IF(INDEX(SCNet,$L919)=0,"",INDEX(SCNet,$L919)),"")</f>
        <v/>
      </c>
      <c r="G919" s="21">
        <f>IF($L919&lt;&gt;"",IF(INDEX(SCOp,$L919)="مرجوعی فروش","",IF(INDEX(SCAmount,$L919)&lt;=0,"",INDEX(SCAmount,$L919))),IF($M919&lt;&gt;"",IF(INDEX(LdgWitB,$M919)=0,"",INDEX(LdgWitB,$M919)),""))</f>
        <v/>
      </c>
      <c r="H919" s="21">
        <f>IF($L919&lt;&gt;"",IF(INDEX(SCOp,$L919)="مرجوعی فروش",IF(INDEX(SCAmount,$L919)=0,"",-INDEX(SCAmount,$L919)),""),IF($M919&lt;&gt;"",IF(INDEX(LdgDepB,$M919)=0,"",INDEX(LdgDepB,$M919)),""))</f>
        <v/>
      </c>
      <c r="I919" s="22">
        <f>IF($B919="","",IF($I918="",$C$10,$I918)+IF($G919="",0,$G919)-IF($H919="",0,$H919))</f>
        <v/>
      </c>
      <c r="L919">
        <f>IFERROR(MATCH($C$5&amp;"|"&amp;RIGHT("000000"&amp;903,6),LdgRankKeyA,0),"")</f>
        <v/>
      </c>
      <c r="M919">
        <f>IFERROR(MATCH($C$5&amp;"|"&amp;RIGHT("000000"&amp;903,6),LdgRankKeyB,0),"")</f>
        <v/>
      </c>
    </row>
    <row r="920">
      <c r="A920" s="23" t="n">
        <v>904</v>
      </c>
      <c r="B920" s="24">
        <f>IF(AND($L920="",$M920=""),"",IF($L920&lt;&gt;"",INDEX(SCNormDate,$L920),INDEX(LdgDateB,$M920)))</f>
        <v/>
      </c>
      <c r="C920" s="24">
        <f>IF($L920&lt;&gt;"",INDEX(SCOp,$L920),IF($M920&lt;&gt;"","پرداخت بانکی",""))</f>
        <v/>
      </c>
      <c r="D920" s="24">
        <f>IF($L920&lt;&gt;"",IF(INDEX(SCDoc,$L920)="","—",INDEX(SCDoc,$L920)),IF($M920&lt;&gt;"",INDEX(LdgBankB,$M920),""))</f>
        <v/>
      </c>
      <c r="E920" s="25">
        <f>IF($L920&lt;&gt;"",IF(INDEX(SCCitrus,$L920)&amp;INDEX(SCNotes,$L920)="","",IF(INDEX(SCCitrus,$L920)="","",INDEX(SCCitrus,$L920))&amp;IF(INDEX(SCNotes,$L920)="",""," — "&amp;INDEX(SCNotes,$L920))),IF($M920&lt;&gt;"",IF(INDEX(LdgNoteB,$M920)="","—",INDEX(LdgNoteB,$M920)),""))</f>
        <v/>
      </c>
      <c r="F920" s="26">
        <f>IF($L920&lt;&gt;"",IF(INDEX(SCNet,$L920)=0,"",INDEX(SCNet,$L920)),"")</f>
        <v/>
      </c>
      <c r="G920" s="27">
        <f>IF($L920&lt;&gt;"",IF(INDEX(SCOp,$L920)="مرجوعی فروش","",IF(INDEX(SCAmount,$L920)&lt;=0,"",INDEX(SCAmount,$L920))),IF($M920&lt;&gt;"",IF(INDEX(LdgWitB,$M920)=0,"",INDEX(LdgWitB,$M920)),""))</f>
        <v/>
      </c>
      <c r="H920" s="27">
        <f>IF($L920&lt;&gt;"",IF(INDEX(SCOp,$L920)="مرجوعی فروش",IF(INDEX(SCAmount,$L920)=0,"",-INDEX(SCAmount,$L920)),""),IF($M920&lt;&gt;"",IF(INDEX(LdgDepB,$M920)=0,"",INDEX(LdgDepB,$M920)),""))</f>
        <v/>
      </c>
      <c r="I920" s="28">
        <f>IF($B920="","",IF($I919="",$C$10,$I919)+IF($G920="",0,$G920)-IF($H920="",0,$H920))</f>
        <v/>
      </c>
      <c r="L920">
        <f>IFERROR(MATCH($C$5&amp;"|"&amp;RIGHT("000000"&amp;904,6),LdgRankKeyA,0),"")</f>
        <v/>
      </c>
      <c r="M920">
        <f>IFERROR(MATCH($C$5&amp;"|"&amp;RIGHT("000000"&amp;904,6),LdgRankKeyB,0),"")</f>
        <v/>
      </c>
    </row>
    <row r="921">
      <c r="A921" s="17" t="n">
        <v>905</v>
      </c>
      <c r="B921" s="18">
        <f>IF(AND($L921="",$M921=""),"",IF($L921&lt;&gt;"",INDEX(SCNormDate,$L921),INDEX(LdgDateB,$M921)))</f>
        <v/>
      </c>
      <c r="C921" s="18">
        <f>IF($L921&lt;&gt;"",INDEX(SCOp,$L921),IF($M921&lt;&gt;"","پرداخت بانکی",""))</f>
        <v/>
      </c>
      <c r="D921" s="18">
        <f>IF($L921&lt;&gt;"",IF(INDEX(SCDoc,$L921)="","—",INDEX(SCDoc,$L921)),IF($M921&lt;&gt;"",INDEX(LdgBankB,$M921),""))</f>
        <v/>
      </c>
      <c r="E921" s="19">
        <f>IF($L921&lt;&gt;"",IF(INDEX(SCCitrus,$L921)&amp;INDEX(SCNotes,$L921)="","",IF(INDEX(SCCitrus,$L921)="","",INDEX(SCCitrus,$L921))&amp;IF(INDEX(SCNotes,$L921)="",""," — "&amp;INDEX(SCNotes,$L921))),IF($M921&lt;&gt;"",IF(INDEX(LdgNoteB,$M921)="","—",INDEX(LdgNoteB,$M921)),""))</f>
        <v/>
      </c>
      <c r="F921" s="20">
        <f>IF($L921&lt;&gt;"",IF(INDEX(SCNet,$L921)=0,"",INDEX(SCNet,$L921)),"")</f>
        <v/>
      </c>
      <c r="G921" s="21">
        <f>IF($L921&lt;&gt;"",IF(INDEX(SCOp,$L921)="مرجوعی فروش","",IF(INDEX(SCAmount,$L921)&lt;=0,"",INDEX(SCAmount,$L921))),IF($M921&lt;&gt;"",IF(INDEX(LdgWitB,$M921)=0,"",INDEX(LdgWitB,$M921)),""))</f>
        <v/>
      </c>
      <c r="H921" s="21">
        <f>IF($L921&lt;&gt;"",IF(INDEX(SCOp,$L921)="مرجوعی فروش",IF(INDEX(SCAmount,$L921)=0,"",-INDEX(SCAmount,$L921)),""),IF($M921&lt;&gt;"",IF(INDEX(LdgDepB,$M921)=0,"",INDEX(LdgDepB,$M921)),""))</f>
        <v/>
      </c>
      <c r="I921" s="22">
        <f>IF($B921="","",IF($I920="",$C$10,$I920)+IF($G921="",0,$G921)-IF($H921="",0,$H921))</f>
        <v/>
      </c>
      <c r="L921">
        <f>IFERROR(MATCH($C$5&amp;"|"&amp;RIGHT("000000"&amp;905,6),LdgRankKeyA,0),"")</f>
        <v/>
      </c>
      <c r="M921">
        <f>IFERROR(MATCH($C$5&amp;"|"&amp;RIGHT("000000"&amp;905,6),LdgRankKeyB,0),"")</f>
        <v/>
      </c>
    </row>
    <row r="922">
      <c r="A922" s="23" t="n">
        <v>906</v>
      </c>
      <c r="B922" s="24">
        <f>IF(AND($L922="",$M922=""),"",IF($L922&lt;&gt;"",INDEX(SCNormDate,$L922),INDEX(LdgDateB,$M922)))</f>
        <v/>
      </c>
      <c r="C922" s="24">
        <f>IF($L922&lt;&gt;"",INDEX(SCOp,$L922),IF($M922&lt;&gt;"","پرداخت بانکی",""))</f>
        <v/>
      </c>
      <c r="D922" s="24">
        <f>IF($L922&lt;&gt;"",IF(INDEX(SCDoc,$L922)="","—",INDEX(SCDoc,$L922)),IF($M922&lt;&gt;"",INDEX(LdgBankB,$M922),""))</f>
        <v/>
      </c>
      <c r="E922" s="25">
        <f>IF($L922&lt;&gt;"",IF(INDEX(SCCitrus,$L922)&amp;INDEX(SCNotes,$L922)="","",IF(INDEX(SCCitrus,$L922)="","",INDEX(SCCitrus,$L922))&amp;IF(INDEX(SCNotes,$L922)="",""," — "&amp;INDEX(SCNotes,$L922))),IF($M922&lt;&gt;"",IF(INDEX(LdgNoteB,$M922)="","—",INDEX(LdgNoteB,$M922)),""))</f>
        <v/>
      </c>
      <c r="F922" s="26">
        <f>IF($L922&lt;&gt;"",IF(INDEX(SCNet,$L922)=0,"",INDEX(SCNet,$L922)),"")</f>
        <v/>
      </c>
      <c r="G922" s="27">
        <f>IF($L922&lt;&gt;"",IF(INDEX(SCOp,$L922)="مرجوعی فروش","",IF(INDEX(SCAmount,$L922)&lt;=0,"",INDEX(SCAmount,$L922))),IF($M922&lt;&gt;"",IF(INDEX(LdgWitB,$M922)=0,"",INDEX(LdgWitB,$M922)),""))</f>
        <v/>
      </c>
      <c r="H922" s="27">
        <f>IF($L922&lt;&gt;"",IF(INDEX(SCOp,$L922)="مرجوعی فروش",IF(INDEX(SCAmount,$L922)=0,"",-INDEX(SCAmount,$L922)),""),IF($M922&lt;&gt;"",IF(INDEX(LdgDepB,$M922)=0,"",INDEX(LdgDepB,$M922)),""))</f>
        <v/>
      </c>
      <c r="I922" s="28">
        <f>IF($B922="","",IF($I921="",$C$10,$I921)+IF($G922="",0,$G922)-IF($H922="",0,$H922))</f>
        <v/>
      </c>
      <c r="L922">
        <f>IFERROR(MATCH($C$5&amp;"|"&amp;RIGHT("000000"&amp;906,6),LdgRankKeyA,0),"")</f>
        <v/>
      </c>
      <c r="M922">
        <f>IFERROR(MATCH($C$5&amp;"|"&amp;RIGHT("000000"&amp;906,6),LdgRankKeyB,0),"")</f>
        <v/>
      </c>
    </row>
    <row r="923">
      <c r="A923" s="17" t="n">
        <v>907</v>
      </c>
      <c r="B923" s="18">
        <f>IF(AND($L923="",$M923=""),"",IF($L923&lt;&gt;"",INDEX(SCNormDate,$L923),INDEX(LdgDateB,$M923)))</f>
        <v/>
      </c>
      <c r="C923" s="18">
        <f>IF($L923&lt;&gt;"",INDEX(SCOp,$L923),IF($M923&lt;&gt;"","پرداخت بانکی",""))</f>
        <v/>
      </c>
      <c r="D923" s="18">
        <f>IF($L923&lt;&gt;"",IF(INDEX(SCDoc,$L923)="","—",INDEX(SCDoc,$L923)),IF($M923&lt;&gt;"",INDEX(LdgBankB,$M923),""))</f>
        <v/>
      </c>
      <c r="E923" s="19">
        <f>IF($L923&lt;&gt;"",IF(INDEX(SCCitrus,$L923)&amp;INDEX(SCNotes,$L923)="","",IF(INDEX(SCCitrus,$L923)="","",INDEX(SCCitrus,$L923))&amp;IF(INDEX(SCNotes,$L923)="",""," — "&amp;INDEX(SCNotes,$L923))),IF($M923&lt;&gt;"",IF(INDEX(LdgNoteB,$M923)="","—",INDEX(LdgNoteB,$M923)),""))</f>
        <v/>
      </c>
      <c r="F923" s="20">
        <f>IF($L923&lt;&gt;"",IF(INDEX(SCNet,$L923)=0,"",INDEX(SCNet,$L923)),"")</f>
        <v/>
      </c>
      <c r="G923" s="21">
        <f>IF($L923&lt;&gt;"",IF(INDEX(SCOp,$L923)="مرجوعی فروش","",IF(INDEX(SCAmount,$L923)&lt;=0,"",INDEX(SCAmount,$L923))),IF($M923&lt;&gt;"",IF(INDEX(LdgWitB,$M923)=0,"",INDEX(LdgWitB,$M923)),""))</f>
        <v/>
      </c>
      <c r="H923" s="21">
        <f>IF($L923&lt;&gt;"",IF(INDEX(SCOp,$L923)="مرجوعی فروش",IF(INDEX(SCAmount,$L923)=0,"",-INDEX(SCAmount,$L923)),""),IF($M923&lt;&gt;"",IF(INDEX(LdgDepB,$M923)=0,"",INDEX(LdgDepB,$M923)),""))</f>
        <v/>
      </c>
      <c r="I923" s="22">
        <f>IF($B923="","",IF($I922="",$C$10,$I922)+IF($G923="",0,$G923)-IF($H923="",0,$H923))</f>
        <v/>
      </c>
      <c r="L923">
        <f>IFERROR(MATCH($C$5&amp;"|"&amp;RIGHT("000000"&amp;907,6),LdgRankKeyA,0),"")</f>
        <v/>
      </c>
      <c r="M923">
        <f>IFERROR(MATCH($C$5&amp;"|"&amp;RIGHT("000000"&amp;907,6),LdgRankKeyB,0),"")</f>
        <v/>
      </c>
    </row>
    <row r="924">
      <c r="A924" s="23" t="n">
        <v>908</v>
      </c>
      <c r="B924" s="24">
        <f>IF(AND($L924="",$M924=""),"",IF($L924&lt;&gt;"",INDEX(SCNormDate,$L924),INDEX(LdgDateB,$M924)))</f>
        <v/>
      </c>
      <c r="C924" s="24">
        <f>IF($L924&lt;&gt;"",INDEX(SCOp,$L924),IF($M924&lt;&gt;"","پرداخت بانکی",""))</f>
        <v/>
      </c>
      <c r="D924" s="24">
        <f>IF($L924&lt;&gt;"",IF(INDEX(SCDoc,$L924)="","—",INDEX(SCDoc,$L924)),IF($M924&lt;&gt;"",INDEX(LdgBankB,$M924),""))</f>
        <v/>
      </c>
      <c r="E924" s="25">
        <f>IF($L924&lt;&gt;"",IF(INDEX(SCCitrus,$L924)&amp;INDEX(SCNotes,$L924)="","",IF(INDEX(SCCitrus,$L924)="","",INDEX(SCCitrus,$L924))&amp;IF(INDEX(SCNotes,$L924)="",""," — "&amp;INDEX(SCNotes,$L924))),IF($M924&lt;&gt;"",IF(INDEX(LdgNoteB,$M924)="","—",INDEX(LdgNoteB,$M924)),""))</f>
        <v/>
      </c>
      <c r="F924" s="26">
        <f>IF($L924&lt;&gt;"",IF(INDEX(SCNet,$L924)=0,"",INDEX(SCNet,$L924)),"")</f>
        <v/>
      </c>
      <c r="G924" s="27">
        <f>IF($L924&lt;&gt;"",IF(INDEX(SCOp,$L924)="مرجوعی فروش","",IF(INDEX(SCAmount,$L924)&lt;=0,"",INDEX(SCAmount,$L924))),IF($M924&lt;&gt;"",IF(INDEX(LdgWitB,$M924)=0,"",INDEX(LdgWitB,$M924)),""))</f>
        <v/>
      </c>
      <c r="H924" s="27">
        <f>IF($L924&lt;&gt;"",IF(INDEX(SCOp,$L924)="مرجوعی فروش",IF(INDEX(SCAmount,$L924)=0,"",-INDEX(SCAmount,$L924)),""),IF($M924&lt;&gt;"",IF(INDEX(LdgDepB,$M924)=0,"",INDEX(LdgDepB,$M924)),""))</f>
        <v/>
      </c>
      <c r="I924" s="28">
        <f>IF($B924="","",IF($I923="",$C$10,$I923)+IF($G924="",0,$G924)-IF($H924="",0,$H924))</f>
        <v/>
      </c>
      <c r="L924">
        <f>IFERROR(MATCH($C$5&amp;"|"&amp;RIGHT("000000"&amp;908,6),LdgRankKeyA,0),"")</f>
        <v/>
      </c>
      <c r="M924">
        <f>IFERROR(MATCH($C$5&amp;"|"&amp;RIGHT("000000"&amp;908,6),LdgRankKeyB,0),"")</f>
        <v/>
      </c>
    </row>
    <row r="925">
      <c r="A925" s="17" t="n">
        <v>909</v>
      </c>
      <c r="B925" s="18">
        <f>IF(AND($L925="",$M925=""),"",IF($L925&lt;&gt;"",INDEX(SCNormDate,$L925),INDEX(LdgDateB,$M925)))</f>
        <v/>
      </c>
      <c r="C925" s="18">
        <f>IF($L925&lt;&gt;"",INDEX(SCOp,$L925),IF($M925&lt;&gt;"","پرداخت بانکی",""))</f>
        <v/>
      </c>
      <c r="D925" s="18">
        <f>IF($L925&lt;&gt;"",IF(INDEX(SCDoc,$L925)="","—",INDEX(SCDoc,$L925)),IF($M925&lt;&gt;"",INDEX(LdgBankB,$M925),""))</f>
        <v/>
      </c>
      <c r="E925" s="19">
        <f>IF($L925&lt;&gt;"",IF(INDEX(SCCitrus,$L925)&amp;INDEX(SCNotes,$L925)="","",IF(INDEX(SCCitrus,$L925)="","",INDEX(SCCitrus,$L925))&amp;IF(INDEX(SCNotes,$L925)="",""," — "&amp;INDEX(SCNotes,$L925))),IF($M925&lt;&gt;"",IF(INDEX(LdgNoteB,$M925)="","—",INDEX(LdgNoteB,$M925)),""))</f>
        <v/>
      </c>
      <c r="F925" s="20">
        <f>IF($L925&lt;&gt;"",IF(INDEX(SCNet,$L925)=0,"",INDEX(SCNet,$L925)),"")</f>
        <v/>
      </c>
      <c r="G925" s="21">
        <f>IF($L925&lt;&gt;"",IF(INDEX(SCOp,$L925)="مرجوعی فروش","",IF(INDEX(SCAmount,$L925)&lt;=0,"",INDEX(SCAmount,$L925))),IF($M925&lt;&gt;"",IF(INDEX(LdgWitB,$M925)=0,"",INDEX(LdgWitB,$M925)),""))</f>
        <v/>
      </c>
      <c r="H925" s="21">
        <f>IF($L925&lt;&gt;"",IF(INDEX(SCOp,$L925)="مرجوعی فروش",IF(INDEX(SCAmount,$L925)=0,"",-INDEX(SCAmount,$L925)),""),IF($M925&lt;&gt;"",IF(INDEX(LdgDepB,$M925)=0,"",INDEX(LdgDepB,$M925)),""))</f>
        <v/>
      </c>
      <c r="I925" s="22">
        <f>IF($B925="","",IF($I924="",$C$10,$I924)+IF($G925="",0,$G925)-IF($H925="",0,$H925))</f>
        <v/>
      </c>
      <c r="L925">
        <f>IFERROR(MATCH($C$5&amp;"|"&amp;RIGHT("000000"&amp;909,6),LdgRankKeyA,0),"")</f>
        <v/>
      </c>
      <c r="M925">
        <f>IFERROR(MATCH($C$5&amp;"|"&amp;RIGHT("000000"&amp;909,6),LdgRankKeyB,0),"")</f>
        <v/>
      </c>
    </row>
    <row r="926">
      <c r="A926" s="23" t="n">
        <v>910</v>
      </c>
      <c r="B926" s="24">
        <f>IF(AND($L926="",$M926=""),"",IF($L926&lt;&gt;"",INDEX(SCNormDate,$L926),INDEX(LdgDateB,$M926)))</f>
        <v/>
      </c>
      <c r="C926" s="24">
        <f>IF($L926&lt;&gt;"",INDEX(SCOp,$L926),IF($M926&lt;&gt;"","پرداخت بانکی",""))</f>
        <v/>
      </c>
      <c r="D926" s="24">
        <f>IF($L926&lt;&gt;"",IF(INDEX(SCDoc,$L926)="","—",INDEX(SCDoc,$L926)),IF($M926&lt;&gt;"",INDEX(LdgBankB,$M926),""))</f>
        <v/>
      </c>
      <c r="E926" s="25">
        <f>IF($L926&lt;&gt;"",IF(INDEX(SCCitrus,$L926)&amp;INDEX(SCNotes,$L926)="","",IF(INDEX(SCCitrus,$L926)="","",INDEX(SCCitrus,$L926))&amp;IF(INDEX(SCNotes,$L926)="",""," — "&amp;INDEX(SCNotes,$L926))),IF($M926&lt;&gt;"",IF(INDEX(LdgNoteB,$M926)="","—",INDEX(LdgNoteB,$M926)),""))</f>
        <v/>
      </c>
      <c r="F926" s="26">
        <f>IF($L926&lt;&gt;"",IF(INDEX(SCNet,$L926)=0,"",INDEX(SCNet,$L926)),"")</f>
        <v/>
      </c>
      <c r="G926" s="27">
        <f>IF($L926&lt;&gt;"",IF(INDEX(SCOp,$L926)="مرجوعی فروش","",IF(INDEX(SCAmount,$L926)&lt;=0,"",INDEX(SCAmount,$L926))),IF($M926&lt;&gt;"",IF(INDEX(LdgWitB,$M926)=0,"",INDEX(LdgWitB,$M926)),""))</f>
        <v/>
      </c>
      <c r="H926" s="27">
        <f>IF($L926&lt;&gt;"",IF(INDEX(SCOp,$L926)="مرجوعی فروش",IF(INDEX(SCAmount,$L926)=0,"",-INDEX(SCAmount,$L926)),""),IF($M926&lt;&gt;"",IF(INDEX(LdgDepB,$M926)=0,"",INDEX(LdgDepB,$M926)),""))</f>
        <v/>
      </c>
      <c r="I926" s="28">
        <f>IF($B926="","",IF($I925="",$C$10,$I925)+IF($G926="",0,$G926)-IF($H926="",0,$H926))</f>
        <v/>
      </c>
      <c r="L926">
        <f>IFERROR(MATCH($C$5&amp;"|"&amp;RIGHT("000000"&amp;910,6),LdgRankKeyA,0),"")</f>
        <v/>
      </c>
      <c r="M926">
        <f>IFERROR(MATCH($C$5&amp;"|"&amp;RIGHT("000000"&amp;910,6),LdgRankKeyB,0),"")</f>
        <v/>
      </c>
    </row>
    <row r="927">
      <c r="A927" s="17" t="n">
        <v>911</v>
      </c>
      <c r="B927" s="18">
        <f>IF(AND($L927="",$M927=""),"",IF($L927&lt;&gt;"",INDEX(SCNormDate,$L927),INDEX(LdgDateB,$M927)))</f>
        <v/>
      </c>
      <c r="C927" s="18">
        <f>IF($L927&lt;&gt;"",INDEX(SCOp,$L927),IF($M927&lt;&gt;"","پرداخت بانکی",""))</f>
        <v/>
      </c>
      <c r="D927" s="18">
        <f>IF($L927&lt;&gt;"",IF(INDEX(SCDoc,$L927)="","—",INDEX(SCDoc,$L927)),IF($M927&lt;&gt;"",INDEX(LdgBankB,$M927),""))</f>
        <v/>
      </c>
      <c r="E927" s="19">
        <f>IF($L927&lt;&gt;"",IF(INDEX(SCCitrus,$L927)&amp;INDEX(SCNotes,$L927)="","",IF(INDEX(SCCitrus,$L927)="","",INDEX(SCCitrus,$L927))&amp;IF(INDEX(SCNotes,$L927)="",""," — "&amp;INDEX(SCNotes,$L927))),IF($M927&lt;&gt;"",IF(INDEX(LdgNoteB,$M927)="","—",INDEX(LdgNoteB,$M927)),""))</f>
        <v/>
      </c>
      <c r="F927" s="20">
        <f>IF($L927&lt;&gt;"",IF(INDEX(SCNet,$L927)=0,"",INDEX(SCNet,$L927)),"")</f>
        <v/>
      </c>
      <c r="G927" s="21">
        <f>IF($L927&lt;&gt;"",IF(INDEX(SCOp,$L927)="مرجوعی فروش","",IF(INDEX(SCAmount,$L927)&lt;=0,"",INDEX(SCAmount,$L927))),IF($M927&lt;&gt;"",IF(INDEX(LdgWitB,$M927)=0,"",INDEX(LdgWitB,$M927)),""))</f>
        <v/>
      </c>
      <c r="H927" s="21">
        <f>IF($L927&lt;&gt;"",IF(INDEX(SCOp,$L927)="مرجوعی فروش",IF(INDEX(SCAmount,$L927)=0,"",-INDEX(SCAmount,$L927)),""),IF($M927&lt;&gt;"",IF(INDEX(LdgDepB,$M927)=0,"",INDEX(LdgDepB,$M927)),""))</f>
        <v/>
      </c>
      <c r="I927" s="22">
        <f>IF($B927="","",IF($I926="",$C$10,$I926)+IF($G927="",0,$G927)-IF($H927="",0,$H927))</f>
        <v/>
      </c>
      <c r="L927">
        <f>IFERROR(MATCH($C$5&amp;"|"&amp;RIGHT("000000"&amp;911,6),LdgRankKeyA,0),"")</f>
        <v/>
      </c>
      <c r="M927">
        <f>IFERROR(MATCH($C$5&amp;"|"&amp;RIGHT("000000"&amp;911,6),LdgRankKeyB,0),"")</f>
        <v/>
      </c>
    </row>
    <row r="928">
      <c r="A928" s="23" t="n">
        <v>912</v>
      </c>
      <c r="B928" s="24">
        <f>IF(AND($L928="",$M928=""),"",IF($L928&lt;&gt;"",INDEX(SCNormDate,$L928),INDEX(LdgDateB,$M928)))</f>
        <v/>
      </c>
      <c r="C928" s="24">
        <f>IF($L928&lt;&gt;"",INDEX(SCOp,$L928),IF($M928&lt;&gt;"","پرداخت بانکی",""))</f>
        <v/>
      </c>
      <c r="D928" s="24">
        <f>IF($L928&lt;&gt;"",IF(INDEX(SCDoc,$L928)="","—",INDEX(SCDoc,$L928)),IF($M928&lt;&gt;"",INDEX(LdgBankB,$M928),""))</f>
        <v/>
      </c>
      <c r="E928" s="25">
        <f>IF($L928&lt;&gt;"",IF(INDEX(SCCitrus,$L928)&amp;INDEX(SCNotes,$L928)="","",IF(INDEX(SCCitrus,$L928)="","",INDEX(SCCitrus,$L928))&amp;IF(INDEX(SCNotes,$L928)="",""," — "&amp;INDEX(SCNotes,$L928))),IF($M928&lt;&gt;"",IF(INDEX(LdgNoteB,$M928)="","—",INDEX(LdgNoteB,$M928)),""))</f>
        <v/>
      </c>
      <c r="F928" s="26">
        <f>IF($L928&lt;&gt;"",IF(INDEX(SCNet,$L928)=0,"",INDEX(SCNet,$L928)),"")</f>
        <v/>
      </c>
      <c r="G928" s="27">
        <f>IF($L928&lt;&gt;"",IF(INDEX(SCOp,$L928)="مرجوعی فروش","",IF(INDEX(SCAmount,$L928)&lt;=0,"",INDEX(SCAmount,$L928))),IF($M928&lt;&gt;"",IF(INDEX(LdgWitB,$M928)=0,"",INDEX(LdgWitB,$M928)),""))</f>
        <v/>
      </c>
      <c r="H928" s="27">
        <f>IF($L928&lt;&gt;"",IF(INDEX(SCOp,$L928)="مرجوعی فروش",IF(INDEX(SCAmount,$L928)=0,"",-INDEX(SCAmount,$L928)),""),IF($M928&lt;&gt;"",IF(INDEX(LdgDepB,$M928)=0,"",INDEX(LdgDepB,$M928)),""))</f>
        <v/>
      </c>
      <c r="I928" s="28">
        <f>IF($B928="","",IF($I927="",$C$10,$I927)+IF($G928="",0,$G928)-IF($H928="",0,$H928))</f>
        <v/>
      </c>
      <c r="L928">
        <f>IFERROR(MATCH($C$5&amp;"|"&amp;RIGHT("000000"&amp;912,6),LdgRankKeyA,0),"")</f>
        <v/>
      </c>
      <c r="M928">
        <f>IFERROR(MATCH($C$5&amp;"|"&amp;RIGHT("000000"&amp;912,6),LdgRankKeyB,0),"")</f>
        <v/>
      </c>
    </row>
    <row r="929">
      <c r="A929" s="17" t="n">
        <v>913</v>
      </c>
      <c r="B929" s="18">
        <f>IF(AND($L929="",$M929=""),"",IF($L929&lt;&gt;"",INDEX(SCNormDate,$L929),INDEX(LdgDateB,$M929)))</f>
        <v/>
      </c>
      <c r="C929" s="18">
        <f>IF($L929&lt;&gt;"",INDEX(SCOp,$L929),IF($M929&lt;&gt;"","پرداخت بانکی",""))</f>
        <v/>
      </c>
      <c r="D929" s="18">
        <f>IF($L929&lt;&gt;"",IF(INDEX(SCDoc,$L929)="","—",INDEX(SCDoc,$L929)),IF($M929&lt;&gt;"",INDEX(LdgBankB,$M929),""))</f>
        <v/>
      </c>
      <c r="E929" s="19">
        <f>IF($L929&lt;&gt;"",IF(INDEX(SCCitrus,$L929)&amp;INDEX(SCNotes,$L929)="","",IF(INDEX(SCCitrus,$L929)="","",INDEX(SCCitrus,$L929))&amp;IF(INDEX(SCNotes,$L929)="",""," — "&amp;INDEX(SCNotes,$L929))),IF($M929&lt;&gt;"",IF(INDEX(LdgNoteB,$M929)="","—",INDEX(LdgNoteB,$M929)),""))</f>
        <v/>
      </c>
      <c r="F929" s="20">
        <f>IF($L929&lt;&gt;"",IF(INDEX(SCNet,$L929)=0,"",INDEX(SCNet,$L929)),"")</f>
        <v/>
      </c>
      <c r="G929" s="21">
        <f>IF($L929&lt;&gt;"",IF(INDEX(SCOp,$L929)="مرجوعی فروش","",IF(INDEX(SCAmount,$L929)&lt;=0,"",INDEX(SCAmount,$L929))),IF($M929&lt;&gt;"",IF(INDEX(LdgWitB,$M929)=0,"",INDEX(LdgWitB,$M929)),""))</f>
        <v/>
      </c>
      <c r="H929" s="21">
        <f>IF($L929&lt;&gt;"",IF(INDEX(SCOp,$L929)="مرجوعی فروش",IF(INDEX(SCAmount,$L929)=0,"",-INDEX(SCAmount,$L929)),""),IF($M929&lt;&gt;"",IF(INDEX(LdgDepB,$M929)=0,"",INDEX(LdgDepB,$M929)),""))</f>
        <v/>
      </c>
      <c r="I929" s="22">
        <f>IF($B929="","",IF($I928="",$C$10,$I928)+IF($G929="",0,$G929)-IF($H929="",0,$H929))</f>
        <v/>
      </c>
      <c r="L929">
        <f>IFERROR(MATCH($C$5&amp;"|"&amp;RIGHT("000000"&amp;913,6),LdgRankKeyA,0),"")</f>
        <v/>
      </c>
      <c r="M929">
        <f>IFERROR(MATCH($C$5&amp;"|"&amp;RIGHT("000000"&amp;913,6),LdgRankKeyB,0),"")</f>
        <v/>
      </c>
    </row>
    <row r="930">
      <c r="A930" s="23" t="n">
        <v>914</v>
      </c>
      <c r="B930" s="24">
        <f>IF(AND($L930="",$M930=""),"",IF($L930&lt;&gt;"",INDEX(SCNormDate,$L930),INDEX(LdgDateB,$M930)))</f>
        <v/>
      </c>
      <c r="C930" s="24">
        <f>IF($L930&lt;&gt;"",INDEX(SCOp,$L930),IF($M930&lt;&gt;"","پرداخت بانکی",""))</f>
        <v/>
      </c>
      <c r="D930" s="24">
        <f>IF($L930&lt;&gt;"",IF(INDEX(SCDoc,$L930)="","—",INDEX(SCDoc,$L930)),IF($M930&lt;&gt;"",INDEX(LdgBankB,$M930),""))</f>
        <v/>
      </c>
      <c r="E930" s="25">
        <f>IF($L930&lt;&gt;"",IF(INDEX(SCCitrus,$L930)&amp;INDEX(SCNotes,$L930)="","",IF(INDEX(SCCitrus,$L930)="","",INDEX(SCCitrus,$L930))&amp;IF(INDEX(SCNotes,$L930)="",""," — "&amp;INDEX(SCNotes,$L930))),IF($M930&lt;&gt;"",IF(INDEX(LdgNoteB,$M930)="","—",INDEX(LdgNoteB,$M930)),""))</f>
        <v/>
      </c>
      <c r="F930" s="26">
        <f>IF($L930&lt;&gt;"",IF(INDEX(SCNet,$L930)=0,"",INDEX(SCNet,$L930)),"")</f>
        <v/>
      </c>
      <c r="G930" s="27">
        <f>IF($L930&lt;&gt;"",IF(INDEX(SCOp,$L930)="مرجوعی فروش","",IF(INDEX(SCAmount,$L930)&lt;=0,"",INDEX(SCAmount,$L930))),IF($M930&lt;&gt;"",IF(INDEX(LdgWitB,$M930)=0,"",INDEX(LdgWitB,$M930)),""))</f>
        <v/>
      </c>
      <c r="H930" s="27">
        <f>IF($L930&lt;&gt;"",IF(INDEX(SCOp,$L930)="مرجوعی فروش",IF(INDEX(SCAmount,$L930)=0,"",-INDEX(SCAmount,$L930)),""),IF($M930&lt;&gt;"",IF(INDEX(LdgDepB,$M930)=0,"",INDEX(LdgDepB,$M930)),""))</f>
        <v/>
      </c>
      <c r="I930" s="28">
        <f>IF($B930="","",IF($I929="",$C$10,$I929)+IF($G930="",0,$G930)-IF($H930="",0,$H930))</f>
        <v/>
      </c>
      <c r="L930">
        <f>IFERROR(MATCH($C$5&amp;"|"&amp;RIGHT("000000"&amp;914,6),LdgRankKeyA,0),"")</f>
        <v/>
      </c>
      <c r="M930">
        <f>IFERROR(MATCH($C$5&amp;"|"&amp;RIGHT("000000"&amp;914,6),LdgRankKeyB,0),"")</f>
        <v/>
      </c>
    </row>
    <row r="931">
      <c r="A931" s="17" t="n">
        <v>915</v>
      </c>
      <c r="B931" s="18">
        <f>IF(AND($L931="",$M931=""),"",IF($L931&lt;&gt;"",INDEX(SCNormDate,$L931),INDEX(LdgDateB,$M931)))</f>
        <v/>
      </c>
      <c r="C931" s="18">
        <f>IF($L931&lt;&gt;"",INDEX(SCOp,$L931),IF($M931&lt;&gt;"","پرداخت بانکی",""))</f>
        <v/>
      </c>
      <c r="D931" s="18">
        <f>IF($L931&lt;&gt;"",IF(INDEX(SCDoc,$L931)="","—",INDEX(SCDoc,$L931)),IF($M931&lt;&gt;"",INDEX(LdgBankB,$M931),""))</f>
        <v/>
      </c>
      <c r="E931" s="19">
        <f>IF($L931&lt;&gt;"",IF(INDEX(SCCitrus,$L931)&amp;INDEX(SCNotes,$L931)="","",IF(INDEX(SCCitrus,$L931)="","",INDEX(SCCitrus,$L931))&amp;IF(INDEX(SCNotes,$L931)="",""," — "&amp;INDEX(SCNotes,$L931))),IF($M931&lt;&gt;"",IF(INDEX(LdgNoteB,$M931)="","—",INDEX(LdgNoteB,$M931)),""))</f>
        <v/>
      </c>
      <c r="F931" s="20">
        <f>IF($L931&lt;&gt;"",IF(INDEX(SCNet,$L931)=0,"",INDEX(SCNet,$L931)),"")</f>
        <v/>
      </c>
      <c r="G931" s="21">
        <f>IF($L931&lt;&gt;"",IF(INDEX(SCOp,$L931)="مرجوعی فروش","",IF(INDEX(SCAmount,$L931)&lt;=0,"",INDEX(SCAmount,$L931))),IF($M931&lt;&gt;"",IF(INDEX(LdgWitB,$M931)=0,"",INDEX(LdgWitB,$M931)),""))</f>
        <v/>
      </c>
      <c r="H931" s="21">
        <f>IF($L931&lt;&gt;"",IF(INDEX(SCOp,$L931)="مرجوعی فروش",IF(INDEX(SCAmount,$L931)=0,"",-INDEX(SCAmount,$L931)),""),IF($M931&lt;&gt;"",IF(INDEX(LdgDepB,$M931)=0,"",INDEX(LdgDepB,$M931)),""))</f>
        <v/>
      </c>
      <c r="I931" s="22">
        <f>IF($B931="","",IF($I930="",$C$10,$I930)+IF($G931="",0,$G931)-IF($H931="",0,$H931))</f>
        <v/>
      </c>
      <c r="L931">
        <f>IFERROR(MATCH($C$5&amp;"|"&amp;RIGHT("000000"&amp;915,6),LdgRankKeyA,0),"")</f>
        <v/>
      </c>
      <c r="M931">
        <f>IFERROR(MATCH($C$5&amp;"|"&amp;RIGHT("000000"&amp;915,6),LdgRankKeyB,0),"")</f>
        <v/>
      </c>
    </row>
    <row r="932">
      <c r="A932" s="23" t="n">
        <v>916</v>
      </c>
      <c r="B932" s="24">
        <f>IF(AND($L932="",$M932=""),"",IF($L932&lt;&gt;"",INDEX(SCNormDate,$L932),INDEX(LdgDateB,$M932)))</f>
        <v/>
      </c>
      <c r="C932" s="24">
        <f>IF($L932&lt;&gt;"",INDEX(SCOp,$L932),IF($M932&lt;&gt;"","پرداخت بانکی",""))</f>
        <v/>
      </c>
      <c r="D932" s="24">
        <f>IF($L932&lt;&gt;"",IF(INDEX(SCDoc,$L932)="","—",INDEX(SCDoc,$L932)),IF($M932&lt;&gt;"",INDEX(LdgBankB,$M932),""))</f>
        <v/>
      </c>
      <c r="E932" s="25">
        <f>IF($L932&lt;&gt;"",IF(INDEX(SCCitrus,$L932)&amp;INDEX(SCNotes,$L932)="","",IF(INDEX(SCCitrus,$L932)="","",INDEX(SCCitrus,$L932))&amp;IF(INDEX(SCNotes,$L932)="",""," — "&amp;INDEX(SCNotes,$L932))),IF($M932&lt;&gt;"",IF(INDEX(LdgNoteB,$M932)="","—",INDEX(LdgNoteB,$M932)),""))</f>
        <v/>
      </c>
      <c r="F932" s="26">
        <f>IF($L932&lt;&gt;"",IF(INDEX(SCNet,$L932)=0,"",INDEX(SCNet,$L932)),"")</f>
        <v/>
      </c>
      <c r="G932" s="27">
        <f>IF($L932&lt;&gt;"",IF(INDEX(SCOp,$L932)="مرجوعی فروش","",IF(INDEX(SCAmount,$L932)&lt;=0,"",INDEX(SCAmount,$L932))),IF($M932&lt;&gt;"",IF(INDEX(LdgWitB,$M932)=0,"",INDEX(LdgWitB,$M932)),""))</f>
        <v/>
      </c>
      <c r="H932" s="27">
        <f>IF($L932&lt;&gt;"",IF(INDEX(SCOp,$L932)="مرجوعی فروش",IF(INDEX(SCAmount,$L932)=0,"",-INDEX(SCAmount,$L932)),""),IF($M932&lt;&gt;"",IF(INDEX(LdgDepB,$M932)=0,"",INDEX(LdgDepB,$M932)),""))</f>
        <v/>
      </c>
      <c r="I932" s="28">
        <f>IF($B932="","",IF($I931="",$C$10,$I931)+IF($G932="",0,$G932)-IF($H932="",0,$H932))</f>
        <v/>
      </c>
      <c r="L932">
        <f>IFERROR(MATCH($C$5&amp;"|"&amp;RIGHT("000000"&amp;916,6),LdgRankKeyA,0),"")</f>
        <v/>
      </c>
      <c r="M932">
        <f>IFERROR(MATCH($C$5&amp;"|"&amp;RIGHT("000000"&amp;916,6),LdgRankKeyB,0),"")</f>
        <v/>
      </c>
    </row>
    <row r="933">
      <c r="A933" s="17" t="n">
        <v>917</v>
      </c>
      <c r="B933" s="18">
        <f>IF(AND($L933="",$M933=""),"",IF($L933&lt;&gt;"",INDEX(SCNormDate,$L933),INDEX(LdgDateB,$M933)))</f>
        <v/>
      </c>
      <c r="C933" s="18">
        <f>IF($L933&lt;&gt;"",INDEX(SCOp,$L933),IF($M933&lt;&gt;"","پرداخت بانکی",""))</f>
        <v/>
      </c>
      <c r="D933" s="18">
        <f>IF($L933&lt;&gt;"",IF(INDEX(SCDoc,$L933)="","—",INDEX(SCDoc,$L933)),IF($M933&lt;&gt;"",INDEX(LdgBankB,$M933),""))</f>
        <v/>
      </c>
      <c r="E933" s="19">
        <f>IF($L933&lt;&gt;"",IF(INDEX(SCCitrus,$L933)&amp;INDEX(SCNotes,$L933)="","",IF(INDEX(SCCitrus,$L933)="","",INDEX(SCCitrus,$L933))&amp;IF(INDEX(SCNotes,$L933)="",""," — "&amp;INDEX(SCNotes,$L933))),IF($M933&lt;&gt;"",IF(INDEX(LdgNoteB,$M933)="","—",INDEX(LdgNoteB,$M933)),""))</f>
        <v/>
      </c>
      <c r="F933" s="20">
        <f>IF($L933&lt;&gt;"",IF(INDEX(SCNet,$L933)=0,"",INDEX(SCNet,$L933)),"")</f>
        <v/>
      </c>
      <c r="G933" s="21">
        <f>IF($L933&lt;&gt;"",IF(INDEX(SCOp,$L933)="مرجوعی فروش","",IF(INDEX(SCAmount,$L933)&lt;=0,"",INDEX(SCAmount,$L933))),IF($M933&lt;&gt;"",IF(INDEX(LdgWitB,$M933)=0,"",INDEX(LdgWitB,$M933)),""))</f>
        <v/>
      </c>
      <c r="H933" s="21">
        <f>IF($L933&lt;&gt;"",IF(INDEX(SCOp,$L933)="مرجوعی فروش",IF(INDEX(SCAmount,$L933)=0,"",-INDEX(SCAmount,$L933)),""),IF($M933&lt;&gt;"",IF(INDEX(LdgDepB,$M933)=0,"",INDEX(LdgDepB,$M933)),""))</f>
        <v/>
      </c>
      <c r="I933" s="22">
        <f>IF($B933="","",IF($I932="",$C$10,$I932)+IF($G933="",0,$G933)-IF($H933="",0,$H933))</f>
        <v/>
      </c>
      <c r="L933">
        <f>IFERROR(MATCH($C$5&amp;"|"&amp;RIGHT("000000"&amp;917,6),LdgRankKeyA,0),"")</f>
        <v/>
      </c>
      <c r="M933">
        <f>IFERROR(MATCH($C$5&amp;"|"&amp;RIGHT("000000"&amp;917,6),LdgRankKeyB,0),"")</f>
        <v/>
      </c>
    </row>
    <row r="934">
      <c r="A934" s="23" t="n">
        <v>918</v>
      </c>
      <c r="B934" s="24">
        <f>IF(AND($L934="",$M934=""),"",IF($L934&lt;&gt;"",INDEX(SCNormDate,$L934),INDEX(LdgDateB,$M934)))</f>
        <v/>
      </c>
      <c r="C934" s="24">
        <f>IF($L934&lt;&gt;"",INDEX(SCOp,$L934),IF($M934&lt;&gt;"","پرداخت بانکی",""))</f>
        <v/>
      </c>
      <c r="D934" s="24">
        <f>IF($L934&lt;&gt;"",IF(INDEX(SCDoc,$L934)="","—",INDEX(SCDoc,$L934)),IF($M934&lt;&gt;"",INDEX(LdgBankB,$M934),""))</f>
        <v/>
      </c>
      <c r="E934" s="25">
        <f>IF($L934&lt;&gt;"",IF(INDEX(SCCitrus,$L934)&amp;INDEX(SCNotes,$L934)="","",IF(INDEX(SCCitrus,$L934)="","",INDEX(SCCitrus,$L934))&amp;IF(INDEX(SCNotes,$L934)="",""," — "&amp;INDEX(SCNotes,$L934))),IF($M934&lt;&gt;"",IF(INDEX(LdgNoteB,$M934)="","—",INDEX(LdgNoteB,$M934)),""))</f>
        <v/>
      </c>
      <c r="F934" s="26">
        <f>IF($L934&lt;&gt;"",IF(INDEX(SCNet,$L934)=0,"",INDEX(SCNet,$L934)),"")</f>
        <v/>
      </c>
      <c r="G934" s="27">
        <f>IF($L934&lt;&gt;"",IF(INDEX(SCOp,$L934)="مرجوعی فروش","",IF(INDEX(SCAmount,$L934)&lt;=0,"",INDEX(SCAmount,$L934))),IF($M934&lt;&gt;"",IF(INDEX(LdgWitB,$M934)=0,"",INDEX(LdgWitB,$M934)),""))</f>
        <v/>
      </c>
      <c r="H934" s="27">
        <f>IF($L934&lt;&gt;"",IF(INDEX(SCOp,$L934)="مرجوعی فروش",IF(INDEX(SCAmount,$L934)=0,"",-INDEX(SCAmount,$L934)),""),IF($M934&lt;&gt;"",IF(INDEX(LdgDepB,$M934)=0,"",INDEX(LdgDepB,$M934)),""))</f>
        <v/>
      </c>
      <c r="I934" s="28">
        <f>IF($B934="","",IF($I933="",$C$10,$I933)+IF($G934="",0,$G934)-IF($H934="",0,$H934))</f>
        <v/>
      </c>
      <c r="L934">
        <f>IFERROR(MATCH($C$5&amp;"|"&amp;RIGHT("000000"&amp;918,6),LdgRankKeyA,0),"")</f>
        <v/>
      </c>
      <c r="M934">
        <f>IFERROR(MATCH($C$5&amp;"|"&amp;RIGHT("000000"&amp;918,6),LdgRankKeyB,0),"")</f>
        <v/>
      </c>
    </row>
    <row r="935">
      <c r="A935" s="17" t="n">
        <v>919</v>
      </c>
      <c r="B935" s="18">
        <f>IF(AND($L935="",$M935=""),"",IF($L935&lt;&gt;"",INDEX(SCNormDate,$L935),INDEX(LdgDateB,$M935)))</f>
        <v/>
      </c>
      <c r="C935" s="18">
        <f>IF($L935&lt;&gt;"",INDEX(SCOp,$L935),IF($M935&lt;&gt;"","پرداخت بانکی",""))</f>
        <v/>
      </c>
      <c r="D935" s="18">
        <f>IF($L935&lt;&gt;"",IF(INDEX(SCDoc,$L935)="","—",INDEX(SCDoc,$L935)),IF($M935&lt;&gt;"",INDEX(LdgBankB,$M935),""))</f>
        <v/>
      </c>
      <c r="E935" s="19">
        <f>IF($L935&lt;&gt;"",IF(INDEX(SCCitrus,$L935)&amp;INDEX(SCNotes,$L935)="","",IF(INDEX(SCCitrus,$L935)="","",INDEX(SCCitrus,$L935))&amp;IF(INDEX(SCNotes,$L935)="",""," — "&amp;INDEX(SCNotes,$L935))),IF($M935&lt;&gt;"",IF(INDEX(LdgNoteB,$M935)="","—",INDEX(LdgNoteB,$M935)),""))</f>
        <v/>
      </c>
      <c r="F935" s="20">
        <f>IF($L935&lt;&gt;"",IF(INDEX(SCNet,$L935)=0,"",INDEX(SCNet,$L935)),"")</f>
        <v/>
      </c>
      <c r="G935" s="21">
        <f>IF($L935&lt;&gt;"",IF(INDEX(SCOp,$L935)="مرجوعی فروش","",IF(INDEX(SCAmount,$L935)&lt;=0,"",INDEX(SCAmount,$L935))),IF($M935&lt;&gt;"",IF(INDEX(LdgWitB,$M935)=0,"",INDEX(LdgWitB,$M935)),""))</f>
        <v/>
      </c>
      <c r="H935" s="21">
        <f>IF($L935&lt;&gt;"",IF(INDEX(SCOp,$L935)="مرجوعی فروش",IF(INDEX(SCAmount,$L935)=0,"",-INDEX(SCAmount,$L935)),""),IF($M935&lt;&gt;"",IF(INDEX(LdgDepB,$M935)=0,"",INDEX(LdgDepB,$M935)),""))</f>
        <v/>
      </c>
      <c r="I935" s="22">
        <f>IF($B935="","",IF($I934="",$C$10,$I934)+IF($G935="",0,$G935)-IF($H935="",0,$H935))</f>
        <v/>
      </c>
      <c r="L935">
        <f>IFERROR(MATCH($C$5&amp;"|"&amp;RIGHT("000000"&amp;919,6),LdgRankKeyA,0),"")</f>
        <v/>
      </c>
      <c r="M935">
        <f>IFERROR(MATCH($C$5&amp;"|"&amp;RIGHT("000000"&amp;919,6),LdgRankKeyB,0),"")</f>
        <v/>
      </c>
    </row>
    <row r="936">
      <c r="A936" s="23" t="n">
        <v>920</v>
      </c>
      <c r="B936" s="24">
        <f>IF(AND($L936="",$M936=""),"",IF($L936&lt;&gt;"",INDEX(SCNormDate,$L936),INDEX(LdgDateB,$M936)))</f>
        <v/>
      </c>
      <c r="C936" s="24">
        <f>IF($L936&lt;&gt;"",INDEX(SCOp,$L936),IF($M936&lt;&gt;"","پرداخت بانکی",""))</f>
        <v/>
      </c>
      <c r="D936" s="24">
        <f>IF($L936&lt;&gt;"",IF(INDEX(SCDoc,$L936)="","—",INDEX(SCDoc,$L936)),IF($M936&lt;&gt;"",INDEX(LdgBankB,$M936),""))</f>
        <v/>
      </c>
      <c r="E936" s="25">
        <f>IF($L936&lt;&gt;"",IF(INDEX(SCCitrus,$L936)&amp;INDEX(SCNotes,$L936)="","",IF(INDEX(SCCitrus,$L936)="","",INDEX(SCCitrus,$L936))&amp;IF(INDEX(SCNotes,$L936)="",""," — "&amp;INDEX(SCNotes,$L936))),IF($M936&lt;&gt;"",IF(INDEX(LdgNoteB,$M936)="","—",INDEX(LdgNoteB,$M936)),""))</f>
        <v/>
      </c>
      <c r="F936" s="26">
        <f>IF($L936&lt;&gt;"",IF(INDEX(SCNet,$L936)=0,"",INDEX(SCNet,$L936)),"")</f>
        <v/>
      </c>
      <c r="G936" s="27">
        <f>IF($L936&lt;&gt;"",IF(INDEX(SCOp,$L936)="مرجوعی فروش","",IF(INDEX(SCAmount,$L936)&lt;=0,"",INDEX(SCAmount,$L936))),IF($M936&lt;&gt;"",IF(INDEX(LdgWitB,$M936)=0,"",INDEX(LdgWitB,$M936)),""))</f>
        <v/>
      </c>
      <c r="H936" s="27">
        <f>IF($L936&lt;&gt;"",IF(INDEX(SCOp,$L936)="مرجوعی فروش",IF(INDEX(SCAmount,$L936)=0,"",-INDEX(SCAmount,$L936)),""),IF($M936&lt;&gt;"",IF(INDEX(LdgDepB,$M936)=0,"",INDEX(LdgDepB,$M936)),""))</f>
        <v/>
      </c>
      <c r="I936" s="28">
        <f>IF($B936="","",IF($I935="",$C$10,$I935)+IF($G936="",0,$G936)-IF($H936="",0,$H936))</f>
        <v/>
      </c>
      <c r="L936">
        <f>IFERROR(MATCH($C$5&amp;"|"&amp;RIGHT("000000"&amp;920,6),LdgRankKeyA,0),"")</f>
        <v/>
      </c>
      <c r="M936">
        <f>IFERROR(MATCH($C$5&amp;"|"&amp;RIGHT("000000"&amp;920,6),LdgRankKeyB,0),"")</f>
        <v/>
      </c>
    </row>
    <row r="937">
      <c r="A937" s="17" t="n">
        <v>921</v>
      </c>
      <c r="B937" s="18">
        <f>IF(AND($L937="",$M937=""),"",IF($L937&lt;&gt;"",INDEX(SCNormDate,$L937),INDEX(LdgDateB,$M937)))</f>
        <v/>
      </c>
      <c r="C937" s="18">
        <f>IF($L937&lt;&gt;"",INDEX(SCOp,$L937),IF($M937&lt;&gt;"","پرداخت بانکی",""))</f>
        <v/>
      </c>
      <c r="D937" s="18">
        <f>IF($L937&lt;&gt;"",IF(INDEX(SCDoc,$L937)="","—",INDEX(SCDoc,$L937)),IF($M937&lt;&gt;"",INDEX(LdgBankB,$M937),""))</f>
        <v/>
      </c>
      <c r="E937" s="19">
        <f>IF($L937&lt;&gt;"",IF(INDEX(SCCitrus,$L937)&amp;INDEX(SCNotes,$L937)="","",IF(INDEX(SCCitrus,$L937)="","",INDEX(SCCitrus,$L937))&amp;IF(INDEX(SCNotes,$L937)="",""," — "&amp;INDEX(SCNotes,$L937))),IF($M937&lt;&gt;"",IF(INDEX(LdgNoteB,$M937)="","—",INDEX(LdgNoteB,$M937)),""))</f>
        <v/>
      </c>
      <c r="F937" s="20">
        <f>IF($L937&lt;&gt;"",IF(INDEX(SCNet,$L937)=0,"",INDEX(SCNet,$L937)),"")</f>
        <v/>
      </c>
      <c r="G937" s="21">
        <f>IF($L937&lt;&gt;"",IF(INDEX(SCOp,$L937)="مرجوعی فروش","",IF(INDEX(SCAmount,$L937)&lt;=0,"",INDEX(SCAmount,$L937))),IF($M937&lt;&gt;"",IF(INDEX(LdgWitB,$M937)=0,"",INDEX(LdgWitB,$M937)),""))</f>
        <v/>
      </c>
      <c r="H937" s="21">
        <f>IF($L937&lt;&gt;"",IF(INDEX(SCOp,$L937)="مرجوعی فروش",IF(INDEX(SCAmount,$L937)=0,"",-INDEX(SCAmount,$L937)),""),IF($M937&lt;&gt;"",IF(INDEX(LdgDepB,$M937)=0,"",INDEX(LdgDepB,$M937)),""))</f>
        <v/>
      </c>
      <c r="I937" s="22">
        <f>IF($B937="","",IF($I936="",$C$10,$I936)+IF($G937="",0,$G937)-IF($H937="",0,$H937))</f>
        <v/>
      </c>
      <c r="L937">
        <f>IFERROR(MATCH($C$5&amp;"|"&amp;RIGHT("000000"&amp;921,6),LdgRankKeyA,0),"")</f>
        <v/>
      </c>
      <c r="M937">
        <f>IFERROR(MATCH($C$5&amp;"|"&amp;RIGHT("000000"&amp;921,6),LdgRankKeyB,0),"")</f>
        <v/>
      </c>
    </row>
    <row r="938">
      <c r="A938" s="23" t="n">
        <v>922</v>
      </c>
      <c r="B938" s="24">
        <f>IF(AND($L938="",$M938=""),"",IF($L938&lt;&gt;"",INDEX(SCNormDate,$L938),INDEX(LdgDateB,$M938)))</f>
        <v/>
      </c>
      <c r="C938" s="24">
        <f>IF($L938&lt;&gt;"",INDEX(SCOp,$L938),IF($M938&lt;&gt;"","پرداخت بانکی",""))</f>
        <v/>
      </c>
      <c r="D938" s="24">
        <f>IF($L938&lt;&gt;"",IF(INDEX(SCDoc,$L938)="","—",INDEX(SCDoc,$L938)),IF($M938&lt;&gt;"",INDEX(LdgBankB,$M938),""))</f>
        <v/>
      </c>
      <c r="E938" s="25">
        <f>IF($L938&lt;&gt;"",IF(INDEX(SCCitrus,$L938)&amp;INDEX(SCNotes,$L938)="","",IF(INDEX(SCCitrus,$L938)="","",INDEX(SCCitrus,$L938))&amp;IF(INDEX(SCNotes,$L938)="",""," — "&amp;INDEX(SCNotes,$L938))),IF($M938&lt;&gt;"",IF(INDEX(LdgNoteB,$M938)="","—",INDEX(LdgNoteB,$M938)),""))</f>
        <v/>
      </c>
      <c r="F938" s="26">
        <f>IF($L938&lt;&gt;"",IF(INDEX(SCNet,$L938)=0,"",INDEX(SCNet,$L938)),"")</f>
        <v/>
      </c>
      <c r="G938" s="27">
        <f>IF($L938&lt;&gt;"",IF(INDEX(SCOp,$L938)="مرجوعی فروش","",IF(INDEX(SCAmount,$L938)&lt;=0,"",INDEX(SCAmount,$L938))),IF($M938&lt;&gt;"",IF(INDEX(LdgWitB,$M938)=0,"",INDEX(LdgWitB,$M938)),""))</f>
        <v/>
      </c>
      <c r="H938" s="27">
        <f>IF($L938&lt;&gt;"",IF(INDEX(SCOp,$L938)="مرجوعی فروش",IF(INDEX(SCAmount,$L938)=0,"",-INDEX(SCAmount,$L938)),""),IF($M938&lt;&gt;"",IF(INDEX(LdgDepB,$M938)=0,"",INDEX(LdgDepB,$M938)),""))</f>
        <v/>
      </c>
      <c r="I938" s="28">
        <f>IF($B938="","",IF($I937="",$C$10,$I937)+IF($G938="",0,$G938)-IF($H938="",0,$H938))</f>
        <v/>
      </c>
      <c r="L938">
        <f>IFERROR(MATCH($C$5&amp;"|"&amp;RIGHT("000000"&amp;922,6),LdgRankKeyA,0),"")</f>
        <v/>
      </c>
      <c r="M938">
        <f>IFERROR(MATCH($C$5&amp;"|"&amp;RIGHT("000000"&amp;922,6),LdgRankKeyB,0),"")</f>
        <v/>
      </c>
    </row>
    <row r="939">
      <c r="A939" s="17" t="n">
        <v>923</v>
      </c>
      <c r="B939" s="18">
        <f>IF(AND($L939="",$M939=""),"",IF($L939&lt;&gt;"",INDEX(SCNormDate,$L939),INDEX(LdgDateB,$M939)))</f>
        <v/>
      </c>
      <c r="C939" s="18">
        <f>IF($L939&lt;&gt;"",INDEX(SCOp,$L939),IF($M939&lt;&gt;"","پرداخت بانکی",""))</f>
        <v/>
      </c>
      <c r="D939" s="18">
        <f>IF($L939&lt;&gt;"",IF(INDEX(SCDoc,$L939)="","—",INDEX(SCDoc,$L939)),IF($M939&lt;&gt;"",INDEX(LdgBankB,$M939),""))</f>
        <v/>
      </c>
      <c r="E939" s="19">
        <f>IF($L939&lt;&gt;"",IF(INDEX(SCCitrus,$L939)&amp;INDEX(SCNotes,$L939)="","",IF(INDEX(SCCitrus,$L939)="","",INDEX(SCCitrus,$L939))&amp;IF(INDEX(SCNotes,$L939)="",""," — "&amp;INDEX(SCNotes,$L939))),IF($M939&lt;&gt;"",IF(INDEX(LdgNoteB,$M939)="","—",INDEX(LdgNoteB,$M939)),""))</f>
        <v/>
      </c>
      <c r="F939" s="20">
        <f>IF($L939&lt;&gt;"",IF(INDEX(SCNet,$L939)=0,"",INDEX(SCNet,$L939)),"")</f>
        <v/>
      </c>
      <c r="G939" s="21">
        <f>IF($L939&lt;&gt;"",IF(INDEX(SCOp,$L939)="مرجوعی فروش","",IF(INDEX(SCAmount,$L939)&lt;=0,"",INDEX(SCAmount,$L939))),IF($M939&lt;&gt;"",IF(INDEX(LdgWitB,$M939)=0,"",INDEX(LdgWitB,$M939)),""))</f>
        <v/>
      </c>
      <c r="H939" s="21">
        <f>IF($L939&lt;&gt;"",IF(INDEX(SCOp,$L939)="مرجوعی فروش",IF(INDEX(SCAmount,$L939)=0,"",-INDEX(SCAmount,$L939)),""),IF($M939&lt;&gt;"",IF(INDEX(LdgDepB,$M939)=0,"",INDEX(LdgDepB,$M939)),""))</f>
        <v/>
      </c>
      <c r="I939" s="22">
        <f>IF($B939="","",IF($I938="",$C$10,$I938)+IF($G939="",0,$G939)-IF($H939="",0,$H939))</f>
        <v/>
      </c>
      <c r="L939">
        <f>IFERROR(MATCH($C$5&amp;"|"&amp;RIGHT("000000"&amp;923,6),LdgRankKeyA,0),"")</f>
        <v/>
      </c>
      <c r="M939">
        <f>IFERROR(MATCH($C$5&amp;"|"&amp;RIGHT("000000"&amp;923,6),LdgRankKeyB,0),"")</f>
        <v/>
      </c>
    </row>
    <row r="940">
      <c r="A940" s="23" t="n">
        <v>924</v>
      </c>
      <c r="B940" s="24">
        <f>IF(AND($L940="",$M940=""),"",IF($L940&lt;&gt;"",INDEX(SCNormDate,$L940),INDEX(LdgDateB,$M940)))</f>
        <v/>
      </c>
      <c r="C940" s="24">
        <f>IF($L940&lt;&gt;"",INDEX(SCOp,$L940),IF($M940&lt;&gt;"","پرداخت بانکی",""))</f>
        <v/>
      </c>
      <c r="D940" s="24">
        <f>IF($L940&lt;&gt;"",IF(INDEX(SCDoc,$L940)="","—",INDEX(SCDoc,$L940)),IF($M940&lt;&gt;"",INDEX(LdgBankB,$M940),""))</f>
        <v/>
      </c>
      <c r="E940" s="25">
        <f>IF($L940&lt;&gt;"",IF(INDEX(SCCitrus,$L940)&amp;INDEX(SCNotes,$L940)="","",IF(INDEX(SCCitrus,$L940)="","",INDEX(SCCitrus,$L940))&amp;IF(INDEX(SCNotes,$L940)="",""," — "&amp;INDEX(SCNotes,$L940))),IF($M940&lt;&gt;"",IF(INDEX(LdgNoteB,$M940)="","—",INDEX(LdgNoteB,$M940)),""))</f>
        <v/>
      </c>
      <c r="F940" s="26">
        <f>IF($L940&lt;&gt;"",IF(INDEX(SCNet,$L940)=0,"",INDEX(SCNet,$L940)),"")</f>
        <v/>
      </c>
      <c r="G940" s="27">
        <f>IF($L940&lt;&gt;"",IF(INDEX(SCOp,$L940)="مرجوعی فروش","",IF(INDEX(SCAmount,$L940)&lt;=0,"",INDEX(SCAmount,$L940))),IF($M940&lt;&gt;"",IF(INDEX(LdgWitB,$M940)=0,"",INDEX(LdgWitB,$M940)),""))</f>
        <v/>
      </c>
      <c r="H940" s="27">
        <f>IF($L940&lt;&gt;"",IF(INDEX(SCOp,$L940)="مرجوعی فروش",IF(INDEX(SCAmount,$L940)=0,"",-INDEX(SCAmount,$L940)),""),IF($M940&lt;&gt;"",IF(INDEX(LdgDepB,$M940)=0,"",INDEX(LdgDepB,$M940)),""))</f>
        <v/>
      </c>
      <c r="I940" s="28">
        <f>IF($B940="","",IF($I939="",$C$10,$I939)+IF($G940="",0,$G940)-IF($H940="",0,$H940))</f>
        <v/>
      </c>
      <c r="L940">
        <f>IFERROR(MATCH($C$5&amp;"|"&amp;RIGHT("000000"&amp;924,6),LdgRankKeyA,0),"")</f>
        <v/>
      </c>
      <c r="M940">
        <f>IFERROR(MATCH($C$5&amp;"|"&amp;RIGHT("000000"&amp;924,6),LdgRankKeyB,0),"")</f>
        <v/>
      </c>
    </row>
    <row r="941">
      <c r="A941" s="17" t="n">
        <v>925</v>
      </c>
      <c r="B941" s="18">
        <f>IF(AND($L941="",$M941=""),"",IF($L941&lt;&gt;"",INDEX(SCNormDate,$L941),INDEX(LdgDateB,$M941)))</f>
        <v/>
      </c>
      <c r="C941" s="18">
        <f>IF($L941&lt;&gt;"",INDEX(SCOp,$L941),IF($M941&lt;&gt;"","پرداخت بانکی",""))</f>
        <v/>
      </c>
      <c r="D941" s="18">
        <f>IF($L941&lt;&gt;"",IF(INDEX(SCDoc,$L941)="","—",INDEX(SCDoc,$L941)),IF($M941&lt;&gt;"",INDEX(LdgBankB,$M941),""))</f>
        <v/>
      </c>
      <c r="E941" s="19">
        <f>IF($L941&lt;&gt;"",IF(INDEX(SCCitrus,$L941)&amp;INDEX(SCNotes,$L941)="","",IF(INDEX(SCCitrus,$L941)="","",INDEX(SCCitrus,$L941))&amp;IF(INDEX(SCNotes,$L941)="",""," — "&amp;INDEX(SCNotes,$L941))),IF($M941&lt;&gt;"",IF(INDEX(LdgNoteB,$M941)="","—",INDEX(LdgNoteB,$M941)),""))</f>
        <v/>
      </c>
      <c r="F941" s="20">
        <f>IF($L941&lt;&gt;"",IF(INDEX(SCNet,$L941)=0,"",INDEX(SCNet,$L941)),"")</f>
        <v/>
      </c>
      <c r="G941" s="21">
        <f>IF($L941&lt;&gt;"",IF(INDEX(SCOp,$L941)="مرجوعی فروش","",IF(INDEX(SCAmount,$L941)&lt;=0,"",INDEX(SCAmount,$L941))),IF($M941&lt;&gt;"",IF(INDEX(LdgWitB,$M941)=0,"",INDEX(LdgWitB,$M941)),""))</f>
        <v/>
      </c>
      <c r="H941" s="21">
        <f>IF($L941&lt;&gt;"",IF(INDEX(SCOp,$L941)="مرجوعی فروش",IF(INDEX(SCAmount,$L941)=0,"",-INDEX(SCAmount,$L941)),""),IF($M941&lt;&gt;"",IF(INDEX(LdgDepB,$M941)=0,"",INDEX(LdgDepB,$M941)),""))</f>
        <v/>
      </c>
      <c r="I941" s="22">
        <f>IF($B941="","",IF($I940="",$C$10,$I940)+IF($G941="",0,$G941)-IF($H941="",0,$H941))</f>
        <v/>
      </c>
      <c r="L941">
        <f>IFERROR(MATCH($C$5&amp;"|"&amp;RIGHT("000000"&amp;925,6),LdgRankKeyA,0),"")</f>
        <v/>
      </c>
      <c r="M941">
        <f>IFERROR(MATCH($C$5&amp;"|"&amp;RIGHT("000000"&amp;925,6),LdgRankKeyB,0),"")</f>
        <v/>
      </c>
    </row>
    <row r="942">
      <c r="A942" s="23" t="n">
        <v>926</v>
      </c>
      <c r="B942" s="24">
        <f>IF(AND($L942="",$M942=""),"",IF($L942&lt;&gt;"",INDEX(SCNormDate,$L942),INDEX(LdgDateB,$M942)))</f>
        <v/>
      </c>
      <c r="C942" s="24">
        <f>IF($L942&lt;&gt;"",INDEX(SCOp,$L942),IF($M942&lt;&gt;"","پرداخت بانکی",""))</f>
        <v/>
      </c>
      <c r="D942" s="24">
        <f>IF($L942&lt;&gt;"",IF(INDEX(SCDoc,$L942)="","—",INDEX(SCDoc,$L942)),IF($M942&lt;&gt;"",INDEX(LdgBankB,$M942),""))</f>
        <v/>
      </c>
      <c r="E942" s="25">
        <f>IF($L942&lt;&gt;"",IF(INDEX(SCCitrus,$L942)&amp;INDEX(SCNotes,$L942)="","",IF(INDEX(SCCitrus,$L942)="","",INDEX(SCCitrus,$L942))&amp;IF(INDEX(SCNotes,$L942)="",""," — "&amp;INDEX(SCNotes,$L942))),IF($M942&lt;&gt;"",IF(INDEX(LdgNoteB,$M942)="","—",INDEX(LdgNoteB,$M942)),""))</f>
        <v/>
      </c>
      <c r="F942" s="26">
        <f>IF($L942&lt;&gt;"",IF(INDEX(SCNet,$L942)=0,"",INDEX(SCNet,$L942)),"")</f>
        <v/>
      </c>
      <c r="G942" s="27">
        <f>IF($L942&lt;&gt;"",IF(INDEX(SCOp,$L942)="مرجوعی فروش","",IF(INDEX(SCAmount,$L942)&lt;=0,"",INDEX(SCAmount,$L942))),IF($M942&lt;&gt;"",IF(INDEX(LdgWitB,$M942)=0,"",INDEX(LdgWitB,$M942)),""))</f>
        <v/>
      </c>
      <c r="H942" s="27">
        <f>IF($L942&lt;&gt;"",IF(INDEX(SCOp,$L942)="مرجوعی فروش",IF(INDEX(SCAmount,$L942)=0,"",-INDEX(SCAmount,$L942)),""),IF($M942&lt;&gt;"",IF(INDEX(LdgDepB,$M942)=0,"",INDEX(LdgDepB,$M942)),""))</f>
        <v/>
      </c>
      <c r="I942" s="28">
        <f>IF($B942="","",IF($I941="",$C$10,$I941)+IF($G942="",0,$G942)-IF($H942="",0,$H942))</f>
        <v/>
      </c>
      <c r="L942">
        <f>IFERROR(MATCH($C$5&amp;"|"&amp;RIGHT("000000"&amp;926,6),LdgRankKeyA,0),"")</f>
        <v/>
      </c>
      <c r="M942">
        <f>IFERROR(MATCH($C$5&amp;"|"&amp;RIGHT("000000"&amp;926,6),LdgRankKeyB,0),"")</f>
        <v/>
      </c>
    </row>
    <row r="943">
      <c r="A943" s="17" t="n">
        <v>927</v>
      </c>
      <c r="B943" s="18">
        <f>IF(AND($L943="",$M943=""),"",IF($L943&lt;&gt;"",INDEX(SCNormDate,$L943),INDEX(LdgDateB,$M943)))</f>
        <v/>
      </c>
      <c r="C943" s="18">
        <f>IF($L943&lt;&gt;"",INDEX(SCOp,$L943),IF($M943&lt;&gt;"","پرداخت بانکی",""))</f>
        <v/>
      </c>
      <c r="D943" s="18">
        <f>IF($L943&lt;&gt;"",IF(INDEX(SCDoc,$L943)="","—",INDEX(SCDoc,$L943)),IF($M943&lt;&gt;"",INDEX(LdgBankB,$M943),""))</f>
        <v/>
      </c>
      <c r="E943" s="19">
        <f>IF($L943&lt;&gt;"",IF(INDEX(SCCitrus,$L943)&amp;INDEX(SCNotes,$L943)="","",IF(INDEX(SCCitrus,$L943)="","",INDEX(SCCitrus,$L943))&amp;IF(INDEX(SCNotes,$L943)="",""," — "&amp;INDEX(SCNotes,$L943))),IF($M943&lt;&gt;"",IF(INDEX(LdgNoteB,$M943)="","—",INDEX(LdgNoteB,$M943)),""))</f>
        <v/>
      </c>
      <c r="F943" s="20">
        <f>IF($L943&lt;&gt;"",IF(INDEX(SCNet,$L943)=0,"",INDEX(SCNet,$L943)),"")</f>
        <v/>
      </c>
      <c r="G943" s="21">
        <f>IF($L943&lt;&gt;"",IF(INDEX(SCOp,$L943)="مرجوعی فروش","",IF(INDEX(SCAmount,$L943)&lt;=0,"",INDEX(SCAmount,$L943))),IF($M943&lt;&gt;"",IF(INDEX(LdgWitB,$M943)=0,"",INDEX(LdgWitB,$M943)),""))</f>
        <v/>
      </c>
      <c r="H943" s="21">
        <f>IF($L943&lt;&gt;"",IF(INDEX(SCOp,$L943)="مرجوعی فروش",IF(INDEX(SCAmount,$L943)=0,"",-INDEX(SCAmount,$L943)),""),IF($M943&lt;&gt;"",IF(INDEX(LdgDepB,$M943)=0,"",INDEX(LdgDepB,$M943)),""))</f>
        <v/>
      </c>
      <c r="I943" s="22">
        <f>IF($B943="","",IF($I942="",$C$10,$I942)+IF($G943="",0,$G943)-IF($H943="",0,$H943))</f>
        <v/>
      </c>
      <c r="L943">
        <f>IFERROR(MATCH($C$5&amp;"|"&amp;RIGHT("000000"&amp;927,6),LdgRankKeyA,0),"")</f>
        <v/>
      </c>
      <c r="M943">
        <f>IFERROR(MATCH($C$5&amp;"|"&amp;RIGHT("000000"&amp;927,6),LdgRankKeyB,0),"")</f>
        <v/>
      </c>
    </row>
    <row r="944">
      <c r="A944" s="23" t="n">
        <v>928</v>
      </c>
      <c r="B944" s="24">
        <f>IF(AND($L944="",$M944=""),"",IF($L944&lt;&gt;"",INDEX(SCNormDate,$L944),INDEX(LdgDateB,$M944)))</f>
        <v/>
      </c>
      <c r="C944" s="24">
        <f>IF($L944&lt;&gt;"",INDEX(SCOp,$L944),IF($M944&lt;&gt;"","پرداخت بانکی",""))</f>
        <v/>
      </c>
      <c r="D944" s="24">
        <f>IF($L944&lt;&gt;"",IF(INDEX(SCDoc,$L944)="","—",INDEX(SCDoc,$L944)),IF($M944&lt;&gt;"",INDEX(LdgBankB,$M944),""))</f>
        <v/>
      </c>
      <c r="E944" s="25">
        <f>IF($L944&lt;&gt;"",IF(INDEX(SCCitrus,$L944)&amp;INDEX(SCNotes,$L944)="","",IF(INDEX(SCCitrus,$L944)="","",INDEX(SCCitrus,$L944))&amp;IF(INDEX(SCNotes,$L944)="",""," — "&amp;INDEX(SCNotes,$L944))),IF($M944&lt;&gt;"",IF(INDEX(LdgNoteB,$M944)="","—",INDEX(LdgNoteB,$M944)),""))</f>
        <v/>
      </c>
      <c r="F944" s="26">
        <f>IF($L944&lt;&gt;"",IF(INDEX(SCNet,$L944)=0,"",INDEX(SCNet,$L944)),"")</f>
        <v/>
      </c>
      <c r="G944" s="27">
        <f>IF($L944&lt;&gt;"",IF(INDEX(SCOp,$L944)="مرجوعی فروش","",IF(INDEX(SCAmount,$L944)&lt;=0,"",INDEX(SCAmount,$L944))),IF($M944&lt;&gt;"",IF(INDEX(LdgWitB,$M944)=0,"",INDEX(LdgWitB,$M944)),""))</f>
        <v/>
      </c>
      <c r="H944" s="27">
        <f>IF($L944&lt;&gt;"",IF(INDEX(SCOp,$L944)="مرجوعی فروش",IF(INDEX(SCAmount,$L944)=0,"",-INDEX(SCAmount,$L944)),""),IF($M944&lt;&gt;"",IF(INDEX(LdgDepB,$M944)=0,"",INDEX(LdgDepB,$M944)),""))</f>
        <v/>
      </c>
      <c r="I944" s="28">
        <f>IF($B944="","",IF($I943="",$C$10,$I943)+IF($G944="",0,$G944)-IF($H944="",0,$H944))</f>
        <v/>
      </c>
      <c r="L944">
        <f>IFERROR(MATCH($C$5&amp;"|"&amp;RIGHT("000000"&amp;928,6),LdgRankKeyA,0),"")</f>
        <v/>
      </c>
      <c r="M944">
        <f>IFERROR(MATCH($C$5&amp;"|"&amp;RIGHT("000000"&amp;928,6),LdgRankKeyB,0),"")</f>
        <v/>
      </c>
    </row>
    <row r="945">
      <c r="A945" s="17" t="n">
        <v>929</v>
      </c>
      <c r="B945" s="18">
        <f>IF(AND($L945="",$M945=""),"",IF($L945&lt;&gt;"",INDEX(SCNormDate,$L945),INDEX(LdgDateB,$M945)))</f>
        <v/>
      </c>
      <c r="C945" s="18">
        <f>IF($L945&lt;&gt;"",INDEX(SCOp,$L945),IF($M945&lt;&gt;"","پرداخت بانکی",""))</f>
        <v/>
      </c>
      <c r="D945" s="18">
        <f>IF($L945&lt;&gt;"",IF(INDEX(SCDoc,$L945)="","—",INDEX(SCDoc,$L945)),IF($M945&lt;&gt;"",INDEX(LdgBankB,$M945),""))</f>
        <v/>
      </c>
      <c r="E945" s="19">
        <f>IF($L945&lt;&gt;"",IF(INDEX(SCCitrus,$L945)&amp;INDEX(SCNotes,$L945)="","",IF(INDEX(SCCitrus,$L945)="","",INDEX(SCCitrus,$L945))&amp;IF(INDEX(SCNotes,$L945)="",""," — "&amp;INDEX(SCNotes,$L945))),IF($M945&lt;&gt;"",IF(INDEX(LdgNoteB,$M945)="","—",INDEX(LdgNoteB,$M945)),""))</f>
        <v/>
      </c>
      <c r="F945" s="20">
        <f>IF($L945&lt;&gt;"",IF(INDEX(SCNet,$L945)=0,"",INDEX(SCNet,$L945)),"")</f>
        <v/>
      </c>
      <c r="G945" s="21">
        <f>IF($L945&lt;&gt;"",IF(INDEX(SCOp,$L945)="مرجوعی فروش","",IF(INDEX(SCAmount,$L945)&lt;=0,"",INDEX(SCAmount,$L945))),IF($M945&lt;&gt;"",IF(INDEX(LdgWitB,$M945)=0,"",INDEX(LdgWitB,$M945)),""))</f>
        <v/>
      </c>
      <c r="H945" s="21">
        <f>IF($L945&lt;&gt;"",IF(INDEX(SCOp,$L945)="مرجوعی فروش",IF(INDEX(SCAmount,$L945)=0,"",-INDEX(SCAmount,$L945)),""),IF($M945&lt;&gt;"",IF(INDEX(LdgDepB,$M945)=0,"",INDEX(LdgDepB,$M945)),""))</f>
        <v/>
      </c>
      <c r="I945" s="22">
        <f>IF($B945="","",IF($I944="",$C$10,$I944)+IF($G945="",0,$G945)-IF($H945="",0,$H945))</f>
        <v/>
      </c>
      <c r="L945">
        <f>IFERROR(MATCH($C$5&amp;"|"&amp;RIGHT("000000"&amp;929,6),LdgRankKeyA,0),"")</f>
        <v/>
      </c>
      <c r="M945">
        <f>IFERROR(MATCH($C$5&amp;"|"&amp;RIGHT("000000"&amp;929,6),LdgRankKeyB,0),"")</f>
        <v/>
      </c>
    </row>
    <row r="946">
      <c r="A946" s="23" t="n">
        <v>930</v>
      </c>
      <c r="B946" s="24">
        <f>IF(AND($L946="",$M946=""),"",IF($L946&lt;&gt;"",INDEX(SCNormDate,$L946),INDEX(LdgDateB,$M946)))</f>
        <v/>
      </c>
      <c r="C946" s="24">
        <f>IF($L946&lt;&gt;"",INDEX(SCOp,$L946),IF($M946&lt;&gt;"","پرداخت بانکی",""))</f>
        <v/>
      </c>
      <c r="D946" s="24">
        <f>IF($L946&lt;&gt;"",IF(INDEX(SCDoc,$L946)="","—",INDEX(SCDoc,$L946)),IF($M946&lt;&gt;"",INDEX(LdgBankB,$M946),""))</f>
        <v/>
      </c>
      <c r="E946" s="25">
        <f>IF($L946&lt;&gt;"",IF(INDEX(SCCitrus,$L946)&amp;INDEX(SCNotes,$L946)="","",IF(INDEX(SCCitrus,$L946)="","",INDEX(SCCitrus,$L946))&amp;IF(INDEX(SCNotes,$L946)="",""," — "&amp;INDEX(SCNotes,$L946))),IF($M946&lt;&gt;"",IF(INDEX(LdgNoteB,$M946)="","—",INDEX(LdgNoteB,$M946)),""))</f>
        <v/>
      </c>
      <c r="F946" s="26">
        <f>IF($L946&lt;&gt;"",IF(INDEX(SCNet,$L946)=0,"",INDEX(SCNet,$L946)),"")</f>
        <v/>
      </c>
      <c r="G946" s="27">
        <f>IF($L946&lt;&gt;"",IF(INDEX(SCOp,$L946)="مرجوعی فروش","",IF(INDEX(SCAmount,$L946)&lt;=0,"",INDEX(SCAmount,$L946))),IF($M946&lt;&gt;"",IF(INDEX(LdgWitB,$M946)=0,"",INDEX(LdgWitB,$M946)),""))</f>
        <v/>
      </c>
      <c r="H946" s="27">
        <f>IF($L946&lt;&gt;"",IF(INDEX(SCOp,$L946)="مرجوعی فروش",IF(INDEX(SCAmount,$L946)=0,"",-INDEX(SCAmount,$L946)),""),IF($M946&lt;&gt;"",IF(INDEX(LdgDepB,$M946)=0,"",INDEX(LdgDepB,$M946)),""))</f>
        <v/>
      </c>
      <c r="I946" s="28">
        <f>IF($B946="","",IF($I945="",$C$10,$I945)+IF($G946="",0,$G946)-IF($H946="",0,$H946))</f>
        <v/>
      </c>
      <c r="L946">
        <f>IFERROR(MATCH($C$5&amp;"|"&amp;RIGHT("000000"&amp;930,6),LdgRankKeyA,0),"")</f>
        <v/>
      </c>
      <c r="M946">
        <f>IFERROR(MATCH($C$5&amp;"|"&amp;RIGHT("000000"&amp;930,6),LdgRankKeyB,0),"")</f>
        <v/>
      </c>
    </row>
    <row r="947">
      <c r="A947" s="17" t="n">
        <v>931</v>
      </c>
      <c r="B947" s="18">
        <f>IF(AND($L947="",$M947=""),"",IF($L947&lt;&gt;"",INDEX(SCNormDate,$L947),INDEX(LdgDateB,$M947)))</f>
        <v/>
      </c>
      <c r="C947" s="18">
        <f>IF($L947&lt;&gt;"",INDEX(SCOp,$L947),IF($M947&lt;&gt;"","پرداخت بانکی",""))</f>
        <v/>
      </c>
      <c r="D947" s="18">
        <f>IF($L947&lt;&gt;"",IF(INDEX(SCDoc,$L947)="","—",INDEX(SCDoc,$L947)),IF($M947&lt;&gt;"",INDEX(LdgBankB,$M947),""))</f>
        <v/>
      </c>
      <c r="E947" s="19">
        <f>IF($L947&lt;&gt;"",IF(INDEX(SCCitrus,$L947)&amp;INDEX(SCNotes,$L947)="","",IF(INDEX(SCCitrus,$L947)="","",INDEX(SCCitrus,$L947))&amp;IF(INDEX(SCNotes,$L947)="",""," — "&amp;INDEX(SCNotes,$L947))),IF($M947&lt;&gt;"",IF(INDEX(LdgNoteB,$M947)="","—",INDEX(LdgNoteB,$M947)),""))</f>
        <v/>
      </c>
      <c r="F947" s="20">
        <f>IF($L947&lt;&gt;"",IF(INDEX(SCNet,$L947)=0,"",INDEX(SCNet,$L947)),"")</f>
        <v/>
      </c>
      <c r="G947" s="21">
        <f>IF($L947&lt;&gt;"",IF(INDEX(SCOp,$L947)="مرجوعی فروش","",IF(INDEX(SCAmount,$L947)&lt;=0,"",INDEX(SCAmount,$L947))),IF($M947&lt;&gt;"",IF(INDEX(LdgWitB,$M947)=0,"",INDEX(LdgWitB,$M947)),""))</f>
        <v/>
      </c>
      <c r="H947" s="21">
        <f>IF($L947&lt;&gt;"",IF(INDEX(SCOp,$L947)="مرجوعی فروش",IF(INDEX(SCAmount,$L947)=0,"",-INDEX(SCAmount,$L947)),""),IF($M947&lt;&gt;"",IF(INDEX(LdgDepB,$M947)=0,"",INDEX(LdgDepB,$M947)),""))</f>
        <v/>
      </c>
      <c r="I947" s="22">
        <f>IF($B947="","",IF($I946="",$C$10,$I946)+IF($G947="",0,$G947)-IF($H947="",0,$H947))</f>
        <v/>
      </c>
      <c r="L947">
        <f>IFERROR(MATCH($C$5&amp;"|"&amp;RIGHT("000000"&amp;931,6),LdgRankKeyA,0),"")</f>
        <v/>
      </c>
      <c r="M947">
        <f>IFERROR(MATCH($C$5&amp;"|"&amp;RIGHT("000000"&amp;931,6),LdgRankKeyB,0),"")</f>
        <v/>
      </c>
    </row>
    <row r="948">
      <c r="A948" s="23" t="n">
        <v>932</v>
      </c>
      <c r="B948" s="24">
        <f>IF(AND($L948="",$M948=""),"",IF($L948&lt;&gt;"",INDEX(SCNormDate,$L948),INDEX(LdgDateB,$M948)))</f>
        <v/>
      </c>
      <c r="C948" s="24">
        <f>IF($L948&lt;&gt;"",INDEX(SCOp,$L948),IF($M948&lt;&gt;"","پرداخت بانکی",""))</f>
        <v/>
      </c>
      <c r="D948" s="24">
        <f>IF($L948&lt;&gt;"",IF(INDEX(SCDoc,$L948)="","—",INDEX(SCDoc,$L948)),IF($M948&lt;&gt;"",INDEX(LdgBankB,$M948),""))</f>
        <v/>
      </c>
      <c r="E948" s="25">
        <f>IF($L948&lt;&gt;"",IF(INDEX(SCCitrus,$L948)&amp;INDEX(SCNotes,$L948)="","",IF(INDEX(SCCitrus,$L948)="","",INDEX(SCCitrus,$L948))&amp;IF(INDEX(SCNotes,$L948)="",""," — "&amp;INDEX(SCNotes,$L948))),IF($M948&lt;&gt;"",IF(INDEX(LdgNoteB,$M948)="","—",INDEX(LdgNoteB,$M948)),""))</f>
        <v/>
      </c>
      <c r="F948" s="26">
        <f>IF($L948&lt;&gt;"",IF(INDEX(SCNet,$L948)=0,"",INDEX(SCNet,$L948)),"")</f>
        <v/>
      </c>
      <c r="G948" s="27">
        <f>IF($L948&lt;&gt;"",IF(INDEX(SCOp,$L948)="مرجوعی فروش","",IF(INDEX(SCAmount,$L948)&lt;=0,"",INDEX(SCAmount,$L948))),IF($M948&lt;&gt;"",IF(INDEX(LdgWitB,$M948)=0,"",INDEX(LdgWitB,$M948)),""))</f>
        <v/>
      </c>
      <c r="H948" s="27">
        <f>IF($L948&lt;&gt;"",IF(INDEX(SCOp,$L948)="مرجوعی فروش",IF(INDEX(SCAmount,$L948)=0,"",-INDEX(SCAmount,$L948)),""),IF($M948&lt;&gt;"",IF(INDEX(LdgDepB,$M948)=0,"",INDEX(LdgDepB,$M948)),""))</f>
        <v/>
      </c>
      <c r="I948" s="28">
        <f>IF($B948="","",IF($I947="",$C$10,$I947)+IF($G948="",0,$G948)-IF($H948="",0,$H948))</f>
        <v/>
      </c>
      <c r="L948">
        <f>IFERROR(MATCH($C$5&amp;"|"&amp;RIGHT("000000"&amp;932,6),LdgRankKeyA,0),"")</f>
        <v/>
      </c>
      <c r="M948">
        <f>IFERROR(MATCH($C$5&amp;"|"&amp;RIGHT("000000"&amp;932,6),LdgRankKeyB,0),"")</f>
        <v/>
      </c>
    </row>
    <row r="949">
      <c r="A949" s="17" t="n">
        <v>933</v>
      </c>
      <c r="B949" s="18">
        <f>IF(AND($L949="",$M949=""),"",IF($L949&lt;&gt;"",INDEX(SCNormDate,$L949),INDEX(LdgDateB,$M949)))</f>
        <v/>
      </c>
      <c r="C949" s="18">
        <f>IF($L949&lt;&gt;"",INDEX(SCOp,$L949),IF($M949&lt;&gt;"","پرداخت بانکی",""))</f>
        <v/>
      </c>
      <c r="D949" s="18">
        <f>IF($L949&lt;&gt;"",IF(INDEX(SCDoc,$L949)="","—",INDEX(SCDoc,$L949)),IF($M949&lt;&gt;"",INDEX(LdgBankB,$M949),""))</f>
        <v/>
      </c>
      <c r="E949" s="19">
        <f>IF($L949&lt;&gt;"",IF(INDEX(SCCitrus,$L949)&amp;INDEX(SCNotes,$L949)="","",IF(INDEX(SCCitrus,$L949)="","",INDEX(SCCitrus,$L949))&amp;IF(INDEX(SCNotes,$L949)="",""," — "&amp;INDEX(SCNotes,$L949))),IF($M949&lt;&gt;"",IF(INDEX(LdgNoteB,$M949)="","—",INDEX(LdgNoteB,$M949)),""))</f>
        <v/>
      </c>
      <c r="F949" s="20">
        <f>IF($L949&lt;&gt;"",IF(INDEX(SCNet,$L949)=0,"",INDEX(SCNet,$L949)),"")</f>
        <v/>
      </c>
      <c r="G949" s="21">
        <f>IF($L949&lt;&gt;"",IF(INDEX(SCOp,$L949)="مرجوعی فروش","",IF(INDEX(SCAmount,$L949)&lt;=0,"",INDEX(SCAmount,$L949))),IF($M949&lt;&gt;"",IF(INDEX(LdgWitB,$M949)=0,"",INDEX(LdgWitB,$M949)),""))</f>
        <v/>
      </c>
      <c r="H949" s="21">
        <f>IF($L949&lt;&gt;"",IF(INDEX(SCOp,$L949)="مرجوعی فروش",IF(INDEX(SCAmount,$L949)=0,"",-INDEX(SCAmount,$L949)),""),IF($M949&lt;&gt;"",IF(INDEX(LdgDepB,$M949)=0,"",INDEX(LdgDepB,$M949)),""))</f>
        <v/>
      </c>
      <c r="I949" s="22">
        <f>IF($B949="","",IF($I948="",$C$10,$I948)+IF($G949="",0,$G949)-IF($H949="",0,$H949))</f>
        <v/>
      </c>
      <c r="L949">
        <f>IFERROR(MATCH($C$5&amp;"|"&amp;RIGHT("000000"&amp;933,6),LdgRankKeyA,0),"")</f>
        <v/>
      </c>
      <c r="M949">
        <f>IFERROR(MATCH($C$5&amp;"|"&amp;RIGHT("000000"&amp;933,6),LdgRankKeyB,0),"")</f>
        <v/>
      </c>
    </row>
    <row r="950">
      <c r="A950" s="23" t="n">
        <v>934</v>
      </c>
      <c r="B950" s="24">
        <f>IF(AND($L950="",$M950=""),"",IF($L950&lt;&gt;"",INDEX(SCNormDate,$L950),INDEX(LdgDateB,$M950)))</f>
        <v/>
      </c>
      <c r="C950" s="24">
        <f>IF($L950&lt;&gt;"",INDEX(SCOp,$L950),IF($M950&lt;&gt;"","پرداخت بانکی",""))</f>
        <v/>
      </c>
      <c r="D950" s="24">
        <f>IF($L950&lt;&gt;"",IF(INDEX(SCDoc,$L950)="","—",INDEX(SCDoc,$L950)),IF($M950&lt;&gt;"",INDEX(LdgBankB,$M950),""))</f>
        <v/>
      </c>
      <c r="E950" s="25">
        <f>IF($L950&lt;&gt;"",IF(INDEX(SCCitrus,$L950)&amp;INDEX(SCNotes,$L950)="","",IF(INDEX(SCCitrus,$L950)="","",INDEX(SCCitrus,$L950))&amp;IF(INDEX(SCNotes,$L950)="",""," — "&amp;INDEX(SCNotes,$L950))),IF($M950&lt;&gt;"",IF(INDEX(LdgNoteB,$M950)="","—",INDEX(LdgNoteB,$M950)),""))</f>
        <v/>
      </c>
      <c r="F950" s="26">
        <f>IF($L950&lt;&gt;"",IF(INDEX(SCNet,$L950)=0,"",INDEX(SCNet,$L950)),"")</f>
        <v/>
      </c>
      <c r="G950" s="27">
        <f>IF($L950&lt;&gt;"",IF(INDEX(SCOp,$L950)="مرجوعی فروش","",IF(INDEX(SCAmount,$L950)&lt;=0,"",INDEX(SCAmount,$L950))),IF($M950&lt;&gt;"",IF(INDEX(LdgWitB,$M950)=0,"",INDEX(LdgWitB,$M950)),""))</f>
        <v/>
      </c>
      <c r="H950" s="27">
        <f>IF($L950&lt;&gt;"",IF(INDEX(SCOp,$L950)="مرجوعی فروش",IF(INDEX(SCAmount,$L950)=0,"",-INDEX(SCAmount,$L950)),""),IF($M950&lt;&gt;"",IF(INDEX(LdgDepB,$M950)=0,"",INDEX(LdgDepB,$M950)),""))</f>
        <v/>
      </c>
      <c r="I950" s="28">
        <f>IF($B950="","",IF($I949="",$C$10,$I949)+IF($G950="",0,$G950)-IF($H950="",0,$H950))</f>
        <v/>
      </c>
      <c r="L950">
        <f>IFERROR(MATCH($C$5&amp;"|"&amp;RIGHT("000000"&amp;934,6),LdgRankKeyA,0),"")</f>
        <v/>
      </c>
      <c r="M950">
        <f>IFERROR(MATCH($C$5&amp;"|"&amp;RIGHT("000000"&amp;934,6),LdgRankKeyB,0),"")</f>
        <v/>
      </c>
    </row>
    <row r="951">
      <c r="A951" s="17" t="n">
        <v>935</v>
      </c>
      <c r="B951" s="18">
        <f>IF(AND($L951="",$M951=""),"",IF($L951&lt;&gt;"",INDEX(SCNormDate,$L951),INDEX(LdgDateB,$M951)))</f>
        <v/>
      </c>
      <c r="C951" s="18">
        <f>IF($L951&lt;&gt;"",INDEX(SCOp,$L951),IF($M951&lt;&gt;"","پرداخت بانکی",""))</f>
        <v/>
      </c>
      <c r="D951" s="18">
        <f>IF($L951&lt;&gt;"",IF(INDEX(SCDoc,$L951)="","—",INDEX(SCDoc,$L951)),IF($M951&lt;&gt;"",INDEX(LdgBankB,$M951),""))</f>
        <v/>
      </c>
      <c r="E951" s="19">
        <f>IF($L951&lt;&gt;"",IF(INDEX(SCCitrus,$L951)&amp;INDEX(SCNotes,$L951)="","",IF(INDEX(SCCitrus,$L951)="","",INDEX(SCCitrus,$L951))&amp;IF(INDEX(SCNotes,$L951)="",""," — "&amp;INDEX(SCNotes,$L951))),IF($M951&lt;&gt;"",IF(INDEX(LdgNoteB,$M951)="","—",INDEX(LdgNoteB,$M951)),""))</f>
        <v/>
      </c>
      <c r="F951" s="20">
        <f>IF($L951&lt;&gt;"",IF(INDEX(SCNet,$L951)=0,"",INDEX(SCNet,$L951)),"")</f>
        <v/>
      </c>
      <c r="G951" s="21">
        <f>IF($L951&lt;&gt;"",IF(INDEX(SCOp,$L951)="مرجوعی فروش","",IF(INDEX(SCAmount,$L951)&lt;=0,"",INDEX(SCAmount,$L951))),IF($M951&lt;&gt;"",IF(INDEX(LdgWitB,$M951)=0,"",INDEX(LdgWitB,$M951)),""))</f>
        <v/>
      </c>
      <c r="H951" s="21">
        <f>IF($L951&lt;&gt;"",IF(INDEX(SCOp,$L951)="مرجوعی فروش",IF(INDEX(SCAmount,$L951)=0,"",-INDEX(SCAmount,$L951)),""),IF($M951&lt;&gt;"",IF(INDEX(LdgDepB,$M951)=0,"",INDEX(LdgDepB,$M951)),""))</f>
        <v/>
      </c>
      <c r="I951" s="22">
        <f>IF($B951="","",IF($I950="",$C$10,$I950)+IF($G951="",0,$G951)-IF($H951="",0,$H951))</f>
        <v/>
      </c>
      <c r="L951">
        <f>IFERROR(MATCH($C$5&amp;"|"&amp;RIGHT("000000"&amp;935,6),LdgRankKeyA,0),"")</f>
        <v/>
      </c>
      <c r="M951">
        <f>IFERROR(MATCH($C$5&amp;"|"&amp;RIGHT("000000"&amp;935,6),LdgRankKeyB,0),"")</f>
        <v/>
      </c>
    </row>
    <row r="952">
      <c r="A952" s="23" t="n">
        <v>936</v>
      </c>
      <c r="B952" s="24">
        <f>IF(AND($L952="",$M952=""),"",IF($L952&lt;&gt;"",INDEX(SCNormDate,$L952),INDEX(LdgDateB,$M952)))</f>
        <v/>
      </c>
      <c r="C952" s="24">
        <f>IF($L952&lt;&gt;"",INDEX(SCOp,$L952),IF($M952&lt;&gt;"","پرداخت بانکی",""))</f>
        <v/>
      </c>
      <c r="D952" s="24">
        <f>IF($L952&lt;&gt;"",IF(INDEX(SCDoc,$L952)="","—",INDEX(SCDoc,$L952)),IF($M952&lt;&gt;"",INDEX(LdgBankB,$M952),""))</f>
        <v/>
      </c>
      <c r="E952" s="25">
        <f>IF($L952&lt;&gt;"",IF(INDEX(SCCitrus,$L952)&amp;INDEX(SCNotes,$L952)="","",IF(INDEX(SCCitrus,$L952)="","",INDEX(SCCitrus,$L952))&amp;IF(INDEX(SCNotes,$L952)="",""," — "&amp;INDEX(SCNotes,$L952))),IF($M952&lt;&gt;"",IF(INDEX(LdgNoteB,$M952)="","—",INDEX(LdgNoteB,$M952)),""))</f>
        <v/>
      </c>
      <c r="F952" s="26">
        <f>IF($L952&lt;&gt;"",IF(INDEX(SCNet,$L952)=0,"",INDEX(SCNet,$L952)),"")</f>
        <v/>
      </c>
      <c r="G952" s="27">
        <f>IF($L952&lt;&gt;"",IF(INDEX(SCOp,$L952)="مرجوعی فروش","",IF(INDEX(SCAmount,$L952)&lt;=0,"",INDEX(SCAmount,$L952))),IF($M952&lt;&gt;"",IF(INDEX(LdgWitB,$M952)=0,"",INDEX(LdgWitB,$M952)),""))</f>
        <v/>
      </c>
      <c r="H952" s="27">
        <f>IF($L952&lt;&gt;"",IF(INDEX(SCOp,$L952)="مرجوعی فروش",IF(INDEX(SCAmount,$L952)=0,"",-INDEX(SCAmount,$L952)),""),IF($M952&lt;&gt;"",IF(INDEX(LdgDepB,$M952)=0,"",INDEX(LdgDepB,$M952)),""))</f>
        <v/>
      </c>
      <c r="I952" s="28">
        <f>IF($B952="","",IF($I951="",$C$10,$I951)+IF($G952="",0,$G952)-IF($H952="",0,$H952))</f>
        <v/>
      </c>
      <c r="L952">
        <f>IFERROR(MATCH($C$5&amp;"|"&amp;RIGHT("000000"&amp;936,6),LdgRankKeyA,0),"")</f>
        <v/>
      </c>
      <c r="M952">
        <f>IFERROR(MATCH($C$5&amp;"|"&amp;RIGHT("000000"&amp;936,6),LdgRankKeyB,0),"")</f>
        <v/>
      </c>
    </row>
    <row r="953">
      <c r="A953" s="17" t="n">
        <v>937</v>
      </c>
      <c r="B953" s="18">
        <f>IF(AND($L953="",$M953=""),"",IF($L953&lt;&gt;"",INDEX(SCNormDate,$L953),INDEX(LdgDateB,$M953)))</f>
        <v/>
      </c>
      <c r="C953" s="18">
        <f>IF($L953&lt;&gt;"",INDEX(SCOp,$L953),IF($M953&lt;&gt;"","پرداخت بانکی",""))</f>
        <v/>
      </c>
      <c r="D953" s="18">
        <f>IF($L953&lt;&gt;"",IF(INDEX(SCDoc,$L953)="","—",INDEX(SCDoc,$L953)),IF($M953&lt;&gt;"",INDEX(LdgBankB,$M953),""))</f>
        <v/>
      </c>
      <c r="E953" s="19">
        <f>IF($L953&lt;&gt;"",IF(INDEX(SCCitrus,$L953)&amp;INDEX(SCNotes,$L953)="","",IF(INDEX(SCCitrus,$L953)="","",INDEX(SCCitrus,$L953))&amp;IF(INDEX(SCNotes,$L953)="",""," — "&amp;INDEX(SCNotes,$L953))),IF($M953&lt;&gt;"",IF(INDEX(LdgNoteB,$M953)="","—",INDEX(LdgNoteB,$M953)),""))</f>
        <v/>
      </c>
      <c r="F953" s="20">
        <f>IF($L953&lt;&gt;"",IF(INDEX(SCNet,$L953)=0,"",INDEX(SCNet,$L953)),"")</f>
        <v/>
      </c>
      <c r="G953" s="21">
        <f>IF($L953&lt;&gt;"",IF(INDEX(SCOp,$L953)="مرجوعی فروش","",IF(INDEX(SCAmount,$L953)&lt;=0,"",INDEX(SCAmount,$L953))),IF($M953&lt;&gt;"",IF(INDEX(LdgWitB,$M953)=0,"",INDEX(LdgWitB,$M953)),""))</f>
        <v/>
      </c>
      <c r="H953" s="21">
        <f>IF($L953&lt;&gt;"",IF(INDEX(SCOp,$L953)="مرجوعی فروش",IF(INDEX(SCAmount,$L953)=0,"",-INDEX(SCAmount,$L953)),""),IF($M953&lt;&gt;"",IF(INDEX(LdgDepB,$M953)=0,"",INDEX(LdgDepB,$M953)),""))</f>
        <v/>
      </c>
      <c r="I953" s="22">
        <f>IF($B953="","",IF($I952="",$C$10,$I952)+IF($G953="",0,$G953)-IF($H953="",0,$H953))</f>
        <v/>
      </c>
      <c r="L953">
        <f>IFERROR(MATCH($C$5&amp;"|"&amp;RIGHT("000000"&amp;937,6),LdgRankKeyA,0),"")</f>
        <v/>
      </c>
      <c r="M953">
        <f>IFERROR(MATCH($C$5&amp;"|"&amp;RIGHT("000000"&amp;937,6),LdgRankKeyB,0),"")</f>
        <v/>
      </c>
    </row>
    <row r="954">
      <c r="A954" s="23" t="n">
        <v>938</v>
      </c>
      <c r="B954" s="24">
        <f>IF(AND($L954="",$M954=""),"",IF($L954&lt;&gt;"",INDEX(SCNormDate,$L954),INDEX(LdgDateB,$M954)))</f>
        <v/>
      </c>
      <c r="C954" s="24">
        <f>IF($L954&lt;&gt;"",INDEX(SCOp,$L954),IF($M954&lt;&gt;"","پرداخت بانکی",""))</f>
        <v/>
      </c>
      <c r="D954" s="24">
        <f>IF($L954&lt;&gt;"",IF(INDEX(SCDoc,$L954)="","—",INDEX(SCDoc,$L954)),IF($M954&lt;&gt;"",INDEX(LdgBankB,$M954),""))</f>
        <v/>
      </c>
      <c r="E954" s="25">
        <f>IF($L954&lt;&gt;"",IF(INDEX(SCCitrus,$L954)&amp;INDEX(SCNotes,$L954)="","",IF(INDEX(SCCitrus,$L954)="","",INDEX(SCCitrus,$L954))&amp;IF(INDEX(SCNotes,$L954)="",""," — "&amp;INDEX(SCNotes,$L954))),IF($M954&lt;&gt;"",IF(INDEX(LdgNoteB,$M954)="","—",INDEX(LdgNoteB,$M954)),""))</f>
        <v/>
      </c>
      <c r="F954" s="26">
        <f>IF($L954&lt;&gt;"",IF(INDEX(SCNet,$L954)=0,"",INDEX(SCNet,$L954)),"")</f>
        <v/>
      </c>
      <c r="G954" s="27">
        <f>IF($L954&lt;&gt;"",IF(INDEX(SCOp,$L954)="مرجوعی فروش","",IF(INDEX(SCAmount,$L954)&lt;=0,"",INDEX(SCAmount,$L954))),IF($M954&lt;&gt;"",IF(INDEX(LdgWitB,$M954)=0,"",INDEX(LdgWitB,$M954)),""))</f>
        <v/>
      </c>
      <c r="H954" s="27">
        <f>IF($L954&lt;&gt;"",IF(INDEX(SCOp,$L954)="مرجوعی فروش",IF(INDEX(SCAmount,$L954)=0,"",-INDEX(SCAmount,$L954)),""),IF($M954&lt;&gt;"",IF(INDEX(LdgDepB,$M954)=0,"",INDEX(LdgDepB,$M954)),""))</f>
        <v/>
      </c>
      <c r="I954" s="28">
        <f>IF($B954="","",IF($I953="",$C$10,$I953)+IF($G954="",0,$G954)-IF($H954="",0,$H954))</f>
        <v/>
      </c>
      <c r="L954">
        <f>IFERROR(MATCH($C$5&amp;"|"&amp;RIGHT("000000"&amp;938,6),LdgRankKeyA,0),"")</f>
        <v/>
      </c>
      <c r="M954">
        <f>IFERROR(MATCH($C$5&amp;"|"&amp;RIGHT("000000"&amp;938,6),LdgRankKeyB,0),"")</f>
        <v/>
      </c>
    </row>
    <row r="955">
      <c r="A955" s="17" t="n">
        <v>939</v>
      </c>
      <c r="B955" s="18">
        <f>IF(AND($L955="",$M955=""),"",IF($L955&lt;&gt;"",INDEX(SCNormDate,$L955),INDEX(LdgDateB,$M955)))</f>
        <v/>
      </c>
      <c r="C955" s="18">
        <f>IF($L955&lt;&gt;"",INDEX(SCOp,$L955),IF($M955&lt;&gt;"","پرداخت بانکی",""))</f>
        <v/>
      </c>
      <c r="D955" s="18">
        <f>IF($L955&lt;&gt;"",IF(INDEX(SCDoc,$L955)="","—",INDEX(SCDoc,$L955)),IF($M955&lt;&gt;"",INDEX(LdgBankB,$M955),""))</f>
        <v/>
      </c>
      <c r="E955" s="19">
        <f>IF($L955&lt;&gt;"",IF(INDEX(SCCitrus,$L955)&amp;INDEX(SCNotes,$L955)="","",IF(INDEX(SCCitrus,$L955)="","",INDEX(SCCitrus,$L955))&amp;IF(INDEX(SCNotes,$L955)="",""," — "&amp;INDEX(SCNotes,$L955))),IF($M955&lt;&gt;"",IF(INDEX(LdgNoteB,$M955)="","—",INDEX(LdgNoteB,$M955)),""))</f>
        <v/>
      </c>
      <c r="F955" s="20">
        <f>IF($L955&lt;&gt;"",IF(INDEX(SCNet,$L955)=0,"",INDEX(SCNet,$L955)),"")</f>
        <v/>
      </c>
      <c r="G955" s="21">
        <f>IF($L955&lt;&gt;"",IF(INDEX(SCOp,$L955)="مرجوعی فروش","",IF(INDEX(SCAmount,$L955)&lt;=0,"",INDEX(SCAmount,$L955))),IF($M955&lt;&gt;"",IF(INDEX(LdgWitB,$M955)=0,"",INDEX(LdgWitB,$M955)),""))</f>
        <v/>
      </c>
      <c r="H955" s="21">
        <f>IF($L955&lt;&gt;"",IF(INDEX(SCOp,$L955)="مرجوعی فروش",IF(INDEX(SCAmount,$L955)=0,"",-INDEX(SCAmount,$L955)),""),IF($M955&lt;&gt;"",IF(INDEX(LdgDepB,$M955)=0,"",INDEX(LdgDepB,$M955)),""))</f>
        <v/>
      </c>
      <c r="I955" s="22">
        <f>IF($B955="","",IF($I954="",$C$10,$I954)+IF($G955="",0,$G955)-IF($H955="",0,$H955))</f>
        <v/>
      </c>
      <c r="L955">
        <f>IFERROR(MATCH($C$5&amp;"|"&amp;RIGHT("000000"&amp;939,6),LdgRankKeyA,0),"")</f>
        <v/>
      </c>
      <c r="M955">
        <f>IFERROR(MATCH($C$5&amp;"|"&amp;RIGHT("000000"&amp;939,6),LdgRankKeyB,0),"")</f>
        <v/>
      </c>
    </row>
    <row r="956">
      <c r="A956" s="23" t="n">
        <v>940</v>
      </c>
      <c r="B956" s="24">
        <f>IF(AND($L956="",$M956=""),"",IF($L956&lt;&gt;"",INDEX(SCNormDate,$L956),INDEX(LdgDateB,$M956)))</f>
        <v/>
      </c>
      <c r="C956" s="24">
        <f>IF($L956&lt;&gt;"",INDEX(SCOp,$L956),IF($M956&lt;&gt;"","پرداخت بانکی",""))</f>
        <v/>
      </c>
      <c r="D956" s="24">
        <f>IF($L956&lt;&gt;"",IF(INDEX(SCDoc,$L956)="","—",INDEX(SCDoc,$L956)),IF($M956&lt;&gt;"",INDEX(LdgBankB,$M956),""))</f>
        <v/>
      </c>
      <c r="E956" s="25">
        <f>IF($L956&lt;&gt;"",IF(INDEX(SCCitrus,$L956)&amp;INDEX(SCNotes,$L956)="","",IF(INDEX(SCCitrus,$L956)="","",INDEX(SCCitrus,$L956))&amp;IF(INDEX(SCNotes,$L956)="",""," — "&amp;INDEX(SCNotes,$L956))),IF($M956&lt;&gt;"",IF(INDEX(LdgNoteB,$M956)="","—",INDEX(LdgNoteB,$M956)),""))</f>
        <v/>
      </c>
      <c r="F956" s="26">
        <f>IF($L956&lt;&gt;"",IF(INDEX(SCNet,$L956)=0,"",INDEX(SCNet,$L956)),"")</f>
        <v/>
      </c>
      <c r="G956" s="27">
        <f>IF($L956&lt;&gt;"",IF(INDEX(SCOp,$L956)="مرجوعی فروش","",IF(INDEX(SCAmount,$L956)&lt;=0,"",INDEX(SCAmount,$L956))),IF($M956&lt;&gt;"",IF(INDEX(LdgWitB,$M956)=0,"",INDEX(LdgWitB,$M956)),""))</f>
        <v/>
      </c>
      <c r="H956" s="27">
        <f>IF($L956&lt;&gt;"",IF(INDEX(SCOp,$L956)="مرجوعی فروش",IF(INDEX(SCAmount,$L956)=0,"",-INDEX(SCAmount,$L956)),""),IF($M956&lt;&gt;"",IF(INDEX(LdgDepB,$M956)=0,"",INDEX(LdgDepB,$M956)),""))</f>
        <v/>
      </c>
      <c r="I956" s="28">
        <f>IF($B956="","",IF($I955="",$C$10,$I955)+IF($G956="",0,$G956)-IF($H956="",0,$H956))</f>
        <v/>
      </c>
      <c r="L956">
        <f>IFERROR(MATCH($C$5&amp;"|"&amp;RIGHT("000000"&amp;940,6),LdgRankKeyA,0),"")</f>
        <v/>
      </c>
      <c r="M956">
        <f>IFERROR(MATCH($C$5&amp;"|"&amp;RIGHT("000000"&amp;940,6),LdgRankKeyB,0),"")</f>
        <v/>
      </c>
    </row>
    <row r="957">
      <c r="A957" s="17" t="n">
        <v>941</v>
      </c>
      <c r="B957" s="18">
        <f>IF(AND($L957="",$M957=""),"",IF($L957&lt;&gt;"",INDEX(SCNormDate,$L957),INDEX(LdgDateB,$M957)))</f>
        <v/>
      </c>
      <c r="C957" s="18">
        <f>IF($L957&lt;&gt;"",INDEX(SCOp,$L957),IF($M957&lt;&gt;"","پرداخت بانکی",""))</f>
        <v/>
      </c>
      <c r="D957" s="18">
        <f>IF($L957&lt;&gt;"",IF(INDEX(SCDoc,$L957)="","—",INDEX(SCDoc,$L957)),IF($M957&lt;&gt;"",INDEX(LdgBankB,$M957),""))</f>
        <v/>
      </c>
      <c r="E957" s="19">
        <f>IF($L957&lt;&gt;"",IF(INDEX(SCCitrus,$L957)&amp;INDEX(SCNotes,$L957)="","",IF(INDEX(SCCitrus,$L957)="","",INDEX(SCCitrus,$L957))&amp;IF(INDEX(SCNotes,$L957)="",""," — "&amp;INDEX(SCNotes,$L957))),IF($M957&lt;&gt;"",IF(INDEX(LdgNoteB,$M957)="","—",INDEX(LdgNoteB,$M957)),""))</f>
        <v/>
      </c>
      <c r="F957" s="20">
        <f>IF($L957&lt;&gt;"",IF(INDEX(SCNet,$L957)=0,"",INDEX(SCNet,$L957)),"")</f>
        <v/>
      </c>
      <c r="G957" s="21">
        <f>IF($L957&lt;&gt;"",IF(INDEX(SCOp,$L957)="مرجوعی فروش","",IF(INDEX(SCAmount,$L957)&lt;=0,"",INDEX(SCAmount,$L957))),IF($M957&lt;&gt;"",IF(INDEX(LdgWitB,$M957)=0,"",INDEX(LdgWitB,$M957)),""))</f>
        <v/>
      </c>
      <c r="H957" s="21">
        <f>IF($L957&lt;&gt;"",IF(INDEX(SCOp,$L957)="مرجوعی فروش",IF(INDEX(SCAmount,$L957)=0,"",-INDEX(SCAmount,$L957)),""),IF($M957&lt;&gt;"",IF(INDEX(LdgDepB,$M957)=0,"",INDEX(LdgDepB,$M957)),""))</f>
        <v/>
      </c>
      <c r="I957" s="22">
        <f>IF($B957="","",IF($I956="",$C$10,$I956)+IF($G957="",0,$G957)-IF($H957="",0,$H957))</f>
        <v/>
      </c>
      <c r="L957">
        <f>IFERROR(MATCH($C$5&amp;"|"&amp;RIGHT("000000"&amp;941,6),LdgRankKeyA,0),"")</f>
        <v/>
      </c>
      <c r="M957">
        <f>IFERROR(MATCH($C$5&amp;"|"&amp;RIGHT("000000"&amp;941,6),LdgRankKeyB,0),"")</f>
        <v/>
      </c>
    </row>
    <row r="958">
      <c r="A958" s="23" t="n">
        <v>942</v>
      </c>
      <c r="B958" s="24">
        <f>IF(AND($L958="",$M958=""),"",IF($L958&lt;&gt;"",INDEX(SCNormDate,$L958),INDEX(LdgDateB,$M958)))</f>
        <v/>
      </c>
      <c r="C958" s="24">
        <f>IF($L958&lt;&gt;"",INDEX(SCOp,$L958),IF($M958&lt;&gt;"","پرداخت بانکی",""))</f>
        <v/>
      </c>
      <c r="D958" s="24">
        <f>IF($L958&lt;&gt;"",IF(INDEX(SCDoc,$L958)="","—",INDEX(SCDoc,$L958)),IF($M958&lt;&gt;"",INDEX(LdgBankB,$M958),""))</f>
        <v/>
      </c>
      <c r="E958" s="25">
        <f>IF($L958&lt;&gt;"",IF(INDEX(SCCitrus,$L958)&amp;INDEX(SCNotes,$L958)="","",IF(INDEX(SCCitrus,$L958)="","",INDEX(SCCitrus,$L958))&amp;IF(INDEX(SCNotes,$L958)="",""," — "&amp;INDEX(SCNotes,$L958))),IF($M958&lt;&gt;"",IF(INDEX(LdgNoteB,$M958)="","—",INDEX(LdgNoteB,$M958)),""))</f>
        <v/>
      </c>
      <c r="F958" s="26">
        <f>IF($L958&lt;&gt;"",IF(INDEX(SCNet,$L958)=0,"",INDEX(SCNet,$L958)),"")</f>
        <v/>
      </c>
      <c r="G958" s="27">
        <f>IF($L958&lt;&gt;"",IF(INDEX(SCOp,$L958)="مرجوعی فروش","",IF(INDEX(SCAmount,$L958)&lt;=0,"",INDEX(SCAmount,$L958))),IF($M958&lt;&gt;"",IF(INDEX(LdgWitB,$M958)=0,"",INDEX(LdgWitB,$M958)),""))</f>
        <v/>
      </c>
      <c r="H958" s="27">
        <f>IF($L958&lt;&gt;"",IF(INDEX(SCOp,$L958)="مرجوعی فروش",IF(INDEX(SCAmount,$L958)=0,"",-INDEX(SCAmount,$L958)),""),IF($M958&lt;&gt;"",IF(INDEX(LdgDepB,$M958)=0,"",INDEX(LdgDepB,$M958)),""))</f>
        <v/>
      </c>
      <c r="I958" s="28">
        <f>IF($B958="","",IF($I957="",$C$10,$I957)+IF($G958="",0,$G958)-IF($H958="",0,$H958))</f>
        <v/>
      </c>
      <c r="L958">
        <f>IFERROR(MATCH($C$5&amp;"|"&amp;RIGHT("000000"&amp;942,6),LdgRankKeyA,0),"")</f>
        <v/>
      </c>
      <c r="M958">
        <f>IFERROR(MATCH($C$5&amp;"|"&amp;RIGHT("000000"&amp;942,6),LdgRankKeyB,0),"")</f>
        <v/>
      </c>
    </row>
    <row r="959">
      <c r="A959" s="17" t="n">
        <v>943</v>
      </c>
      <c r="B959" s="18">
        <f>IF(AND($L959="",$M959=""),"",IF($L959&lt;&gt;"",INDEX(SCNormDate,$L959),INDEX(LdgDateB,$M959)))</f>
        <v/>
      </c>
      <c r="C959" s="18">
        <f>IF($L959&lt;&gt;"",INDEX(SCOp,$L959),IF($M959&lt;&gt;"","پرداخت بانکی",""))</f>
        <v/>
      </c>
      <c r="D959" s="18">
        <f>IF($L959&lt;&gt;"",IF(INDEX(SCDoc,$L959)="","—",INDEX(SCDoc,$L959)),IF($M959&lt;&gt;"",INDEX(LdgBankB,$M959),""))</f>
        <v/>
      </c>
      <c r="E959" s="19">
        <f>IF($L959&lt;&gt;"",IF(INDEX(SCCitrus,$L959)&amp;INDEX(SCNotes,$L959)="","",IF(INDEX(SCCitrus,$L959)="","",INDEX(SCCitrus,$L959))&amp;IF(INDEX(SCNotes,$L959)="",""," — "&amp;INDEX(SCNotes,$L959))),IF($M959&lt;&gt;"",IF(INDEX(LdgNoteB,$M959)="","—",INDEX(LdgNoteB,$M959)),""))</f>
        <v/>
      </c>
      <c r="F959" s="20">
        <f>IF($L959&lt;&gt;"",IF(INDEX(SCNet,$L959)=0,"",INDEX(SCNet,$L959)),"")</f>
        <v/>
      </c>
      <c r="G959" s="21">
        <f>IF($L959&lt;&gt;"",IF(INDEX(SCOp,$L959)="مرجوعی فروش","",IF(INDEX(SCAmount,$L959)&lt;=0,"",INDEX(SCAmount,$L959))),IF($M959&lt;&gt;"",IF(INDEX(LdgWitB,$M959)=0,"",INDEX(LdgWitB,$M959)),""))</f>
        <v/>
      </c>
      <c r="H959" s="21">
        <f>IF($L959&lt;&gt;"",IF(INDEX(SCOp,$L959)="مرجوعی فروش",IF(INDEX(SCAmount,$L959)=0,"",-INDEX(SCAmount,$L959)),""),IF($M959&lt;&gt;"",IF(INDEX(LdgDepB,$M959)=0,"",INDEX(LdgDepB,$M959)),""))</f>
        <v/>
      </c>
      <c r="I959" s="22">
        <f>IF($B959="","",IF($I958="",$C$10,$I958)+IF($G959="",0,$G959)-IF($H959="",0,$H959))</f>
        <v/>
      </c>
      <c r="L959">
        <f>IFERROR(MATCH($C$5&amp;"|"&amp;RIGHT("000000"&amp;943,6),LdgRankKeyA,0),"")</f>
        <v/>
      </c>
      <c r="M959">
        <f>IFERROR(MATCH($C$5&amp;"|"&amp;RIGHT("000000"&amp;943,6),LdgRankKeyB,0),"")</f>
        <v/>
      </c>
    </row>
    <row r="960">
      <c r="A960" s="23" t="n">
        <v>944</v>
      </c>
      <c r="B960" s="24">
        <f>IF(AND($L960="",$M960=""),"",IF($L960&lt;&gt;"",INDEX(SCNormDate,$L960),INDEX(LdgDateB,$M960)))</f>
        <v/>
      </c>
      <c r="C960" s="24">
        <f>IF($L960&lt;&gt;"",INDEX(SCOp,$L960),IF($M960&lt;&gt;"","پرداخت بانکی",""))</f>
        <v/>
      </c>
      <c r="D960" s="24">
        <f>IF($L960&lt;&gt;"",IF(INDEX(SCDoc,$L960)="","—",INDEX(SCDoc,$L960)),IF($M960&lt;&gt;"",INDEX(LdgBankB,$M960),""))</f>
        <v/>
      </c>
      <c r="E960" s="25">
        <f>IF($L960&lt;&gt;"",IF(INDEX(SCCitrus,$L960)&amp;INDEX(SCNotes,$L960)="","",IF(INDEX(SCCitrus,$L960)="","",INDEX(SCCitrus,$L960))&amp;IF(INDEX(SCNotes,$L960)="",""," — "&amp;INDEX(SCNotes,$L960))),IF($M960&lt;&gt;"",IF(INDEX(LdgNoteB,$M960)="","—",INDEX(LdgNoteB,$M960)),""))</f>
        <v/>
      </c>
      <c r="F960" s="26">
        <f>IF($L960&lt;&gt;"",IF(INDEX(SCNet,$L960)=0,"",INDEX(SCNet,$L960)),"")</f>
        <v/>
      </c>
      <c r="G960" s="27">
        <f>IF($L960&lt;&gt;"",IF(INDEX(SCOp,$L960)="مرجوعی فروش","",IF(INDEX(SCAmount,$L960)&lt;=0,"",INDEX(SCAmount,$L960))),IF($M960&lt;&gt;"",IF(INDEX(LdgWitB,$M960)=0,"",INDEX(LdgWitB,$M960)),""))</f>
        <v/>
      </c>
      <c r="H960" s="27">
        <f>IF($L960&lt;&gt;"",IF(INDEX(SCOp,$L960)="مرجوعی فروش",IF(INDEX(SCAmount,$L960)=0,"",-INDEX(SCAmount,$L960)),""),IF($M960&lt;&gt;"",IF(INDEX(LdgDepB,$M960)=0,"",INDEX(LdgDepB,$M960)),""))</f>
        <v/>
      </c>
      <c r="I960" s="28">
        <f>IF($B960="","",IF($I959="",$C$10,$I959)+IF($G960="",0,$G960)-IF($H960="",0,$H960))</f>
        <v/>
      </c>
      <c r="L960">
        <f>IFERROR(MATCH($C$5&amp;"|"&amp;RIGHT("000000"&amp;944,6),LdgRankKeyA,0),"")</f>
        <v/>
      </c>
      <c r="M960">
        <f>IFERROR(MATCH($C$5&amp;"|"&amp;RIGHT("000000"&amp;944,6),LdgRankKeyB,0),"")</f>
        <v/>
      </c>
    </row>
    <row r="961">
      <c r="A961" s="17" t="n">
        <v>945</v>
      </c>
      <c r="B961" s="18">
        <f>IF(AND($L961="",$M961=""),"",IF($L961&lt;&gt;"",INDEX(SCNormDate,$L961),INDEX(LdgDateB,$M961)))</f>
        <v/>
      </c>
      <c r="C961" s="18">
        <f>IF($L961&lt;&gt;"",INDEX(SCOp,$L961),IF($M961&lt;&gt;"","پرداخت بانکی",""))</f>
        <v/>
      </c>
      <c r="D961" s="18">
        <f>IF($L961&lt;&gt;"",IF(INDEX(SCDoc,$L961)="","—",INDEX(SCDoc,$L961)),IF($M961&lt;&gt;"",INDEX(LdgBankB,$M961),""))</f>
        <v/>
      </c>
      <c r="E961" s="19">
        <f>IF($L961&lt;&gt;"",IF(INDEX(SCCitrus,$L961)&amp;INDEX(SCNotes,$L961)="","",IF(INDEX(SCCitrus,$L961)="","",INDEX(SCCitrus,$L961))&amp;IF(INDEX(SCNotes,$L961)="",""," — "&amp;INDEX(SCNotes,$L961))),IF($M961&lt;&gt;"",IF(INDEX(LdgNoteB,$M961)="","—",INDEX(LdgNoteB,$M961)),""))</f>
        <v/>
      </c>
      <c r="F961" s="20">
        <f>IF($L961&lt;&gt;"",IF(INDEX(SCNet,$L961)=0,"",INDEX(SCNet,$L961)),"")</f>
        <v/>
      </c>
      <c r="G961" s="21">
        <f>IF($L961&lt;&gt;"",IF(INDEX(SCOp,$L961)="مرجوعی فروش","",IF(INDEX(SCAmount,$L961)&lt;=0,"",INDEX(SCAmount,$L961))),IF($M961&lt;&gt;"",IF(INDEX(LdgWitB,$M961)=0,"",INDEX(LdgWitB,$M961)),""))</f>
        <v/>
      </c>
      <c r="H961" s="21">
        <f>IF($L961&lt;&gt;"",IF(INDEX(SCOp,$L961)="مرجوعی فروش",IF(INDEX(SCAmount,$L961)=0,"",-INDEX(SCAmount,$L961)),""),IF($M961&lt;&gt;"",IF(INDEX(LdgDepB,$M961)=0,"",INDEX(LdgDepB,$M961)),""))</f>
        <v/>
      </c>
      <c r="I961" s="22">
        <f>IF($B961="","",IF($I960="",$C$10,$I960)+IF($G961="",0,$G961)-IF($H961="",0,$H961))</f>
        <v/>
      </c>
      <c r="L961">
        <f>IFERROR(MATCH($C$5&amp;"|"&amp;RIGHT("000000"&amp;945,6),LdgRankKeyA,0),"")</f>
        <v/>
      </c>
      <c r="M961">
        <f>IFERROR(MATCH($C$5&amp;"|"&amp;RIGHT("000000"&amp;945,6),LdgRankKeyB,0),"")</f>
        <v/>
      </c>
    </row>
    <row r="962">
      <c r="A962" s="23" t="n">
        <v>946</v>
      </c>
      <c r="B962" s="24">
        <f>IF(AND($L962="",$M962=""),"",IF($L962&lt;&gt;"",INDEX(SCNormDate,$L962),INDEX(LdgDateB,$M962)))</f>
        <v/>
      </c>
      <c r="C962" s="24">
        <f>IF($L962&lt;&gt;"",INDEX(SCOp,$L962),IF($M962&lt;&gt;"","پرداخت بانکی",""))</f>
        <v/>
      </c>
      <c r="D962" s="24">
        <f>IF($L962&lt;&gt;"",IF(INDEX(SCDoc,$L962)="","—",INDEX(SCDoc,$L962)),IF($M962&lt;&gt;"",INDEX(LdgBankB,$M962),""))</f>
        <v/>
      </c>
      <c r="E962" s="25">
        <f>IF($L962&lt;&gt;"",IF(INDEX(SCCitrus,$L962)&amp;INDEX(SCNotes,$L962)="","",IF(INDEX(SCCitrus,$L962)="","",INDEX(SCCitrus,$L962))&amp;IF(INDEX(SCNotes,$L962)="",""," — "&amp;INDEX(SCNotes,$L962))),IF($M962&lt;&gt;"",IF(INDEX(LdgNoteB,$M962)="","—",INDEX(LdgNoteB,$M962)),""))</f>
        <v/>
      </c>
      <c r="F962" s="26">
        <f>IF($L962&lt;&gt;"",IF(INDEX(SCNet,$L962)=0,"",INDEX(SCNet,$L962)),"")</f>
        <v/>
      </c>
      <c r="G962" s="27">
        <f>IF($L962&lt;&gt;"",IF(INDEX(SCOp,$L962)="مرجوعی فروش","",IF(INDEX(SCAmount,$L962)&lt;=0,"",INDEX(SCAmount,$L962))),IF($M962&lt;&gt;"",IF(INDEX(LdgWitB,$M962)=0,"",INDEX(LdgWitB,$M962)),""))</f>
        <v/>
      </c>
      <c r="H962" s="27">
        <f>IF($L962&lt;&gt;"",IF(INDEX(SCOp,$L962)="مرجوعی فروش",IF(INDEX(SCAmount,$L962)=0,"",-INDEX(SCAmount,$L962)),""),IF($M962&lt;&gt;"",IF(INDEX(LdgDepB,$M962)=0,"",INDEX(LdgDepB,$M962)),""))</f>
        <v/>
      </c>
      <c r="I962" s="28">
        <f>IF($B962="","",IF($I961="",$C$10,$I961)+IF($G962="",0,$G962)-IF($H962="",0,$H962))</f>
        <v/>
      </c>
      <c r="L962">
        <f>IFERROR(MATCH($C$5&amp;"|"&amp;RIGHT("000000"&amp;946,6),LdgRankKeyA,0),"")</f>
        <v/>
      </c>
      <c r="M962">
        <f>IFERROR(MATCH($C$5&amp;"|"&amp;RIGHT("000000"&amp;946,6),LdgRankKeyB,0),"")</f>
        <v/>
      </c>
    </row>
    <row r="963">
      <c r="A963" s="17" t="n">
        <v>947</v>
      </c>
      <c r="B963" s="18">
        <f>IF(AND($L963="",$M963=""),"",IF($L963&lt;&gt;"",INDEX(SCNormDate,$L963),INDEX(LdgDateB,$M963)))</f>
        <v/>
      </c>
      <c r="C963" s="18">
        <f>IF($L963&lt;&gt;"",INDEX(SCOp,$L963),IF($M963&lt;&gt;"","پرداخت بانکی",""))</f>
        <v/>
      </c>
      <c r="D963" s="18">
        <f>IF($L963&lt;&gt;"",IF(INDEX(SCDoc,$L963)="","—",INDEX(SCDoc,$L963)),IF($M963&lt;&gt;"",INDEX(LdgBankB,$M963),""))</f>
        <v/>
      </c>
      <c r="E963" s="19">
        <f>IF($L963&lt;&gt;"",IF(INDEX(SCCitrus,$L963)&amp;INDEX(SCNotes,$L963)="","",IF(INDEX(SCCitrus,$L963)="","",INDEX(SCCitrus,$L963))&amp;IF(INDEX(SCNotes,$L963)="",""," — "&amp;INDEX(SCNotes,$L963))),IF($M963&lt;&gt;"",IF(INDEX(LdgNoteB,$M963)="","—",INDEX(LdgNoteB,$M963)),""))</f>
        <v/>
      </c>
      <c r="F963" s="20">
        <f>IF($L963&lt;&gt;"",IF(INDEX(SCNet,$L963)=0,"",INDEX(SCNet,$L963)),"")</f>
        <v/>
      </c>
      <c r="G963" s="21">
        <f>IF($L963&lt;&gt;"",IF(INDEX(SCOp,$L963)="مرجوعی فروش","",IF(INDEX(SCAmount,$L963)&lt;=0,"",INDEX(SCAmount,$L963))),IF($M963&lt;&gt;"",IF(INDEX(LdgWitB,$M963)=0,"",INDEX(LdgWitB,$M963)),""))</f>
        <v/>
      </c>
      <c r="H963" s="21">
        <f>IF($L963&lt;&gt;"",IF(INDEX(SCOp,$L963)="مرجوعی فروش",IF(INDEX(SCAmount,$L963)=0,"",-INDEX(SCAmount,$L963)),""),IF($M963&lt;&gt;"",IF(INDEX(LdgDepB,$M963)=0,"",INDEX(LdgDepB,$M963)),""))</f>
        <v/>
      </c>
      <c r="I963" s="22">
        <f>IF($B963="","",IF($I962="",$C$10,$I962)+IF($G963="",0,$G963)-IF($H963="",0,$H963))</f>
        <v/>
      </c>
      <c r="L963">
        <f>IFERROR(MATCH($C$5&amp;"|"&amp;RIGHT("000000"&amp;947,6),LdgRankKeyA,0),"")</f>
        <v/>
      </c>
      <c r="M963">
        <f>IFERROR(MATCH($C$5&amp;"|"&amp;RIGHT("000000"&amp;947,6),LdgRankKeyB,0),"")</f>
        <v/>
      </c>
    </row>
    <row r="964">
      <c r="A964" s="23" t="n">
        <v>948</v>
      </c>
      <c r="B964" s="24">
        <f>IF(AND($L964="",$M964=""),"",IF($L964&lt;&gt;"",INDEX(SCNormDate,$L964),INDEX(LdgDateB,$M964)))</f>
        <v/>
      </c>
      <c r="C964" s="24">
        <f>IF($L964&lt;&gt;"",INDEX(SCOp,$L964),IF($M964&lt;&gt;"","پرداخت بانکی",""))</f>
        <v/>
      </c>
      <c r="D964" s="24">
        <f>IF($L964&lt;&gt;"",IF(INDEX(SCDoc,$L964)="","—",INDEX(SCDoc,$L964)),IF($M964&lt;&gt;"",INDEX(LdgBankB,$M964),""))</f>
        <v/>
      </c>
      <c r="E964" s="25">
        <f>IF($L964&lt;&gt;"",IF(INDEX(SCCitrus,$L964)&amp;INDEX(SCNotes,$L964)="","",IF(INDEX(SCCitrus,$L964)="","",INDEX(SCCitrus,$L964))&amp;IF(INDEX(SCNotes,$L964)="",""," — "&amp;INDEX(SCNotes,$L964))),IF($M964&lt;&gt;"",IF(INDEX(LdgNoteB,$M964)="","—",INDEX(LdgNoteB,$M964)),""))</f>
        <v/>
      </c>
      <c r="F964" s="26">
        <f>IF($L964&lt;&gt;"",IF(INDEX(SCNet,$L964)=0,"",INDEX(SCNet,$L964)),"")</f>
        <v/>
      </c>
      <c r="G964" s="27">
        <f>IF($L964&lt;&gt;"",IF(INDEX(SCOp,$L964)="مرجوعی فروش","",IF(INDEX(SCAmount,$L964)&lt;=0,"",INDEX(SCAmount,$L964))),IF($M964&lt;&gt;"",IF(INDEX(LdgWitB,$M964)=0,"",INDEX(LdgWitB,$M964)),""))</f>
        <v/>
      </c>
      <c r="H964" s="27">
        <f>IF($L964&lt;&gt;"",IF(INDEX(SCOp,$L964)="مرجوعی فروش",IF(INDEX(SCAmount,$L964)=0,"",-INDEX(SCAmount,$L964)),""),IF($M964&lt;&gt;"",IF(INDEX(LdgDepB,$M964)=0,"",INDEX(LdgDepB,$M964)),""))</f>
        <v/>
      </c>
      <c r="I964" s="28">
        <f>IF($B964="","",IF($I963="",$C$10,$I963)+IF($G964="",0,$G964)-IF($H964="",0,$H964))</f>
        <v/>
      </c>
      <c r="L964">
        <f>IFERROR(MATCH($C$5&amp;"|"&amp;RIGHT("000000"&amp;948,6),LdgRankKeyA,0),"")</f>
        <v/>
      </c>
      <c r="M964">
        <f>IFERROR(MATCH($C$5&amp;"|"&amp;RIGHT("000000"&amp;948,6),LdgRankKeyB,0),"")</f>
        <v/>
      </c>
    </row>
    <row r="965">
      <c r="A965" s="17" t="n">
        <v>949</v>
      </c>
      <c r="B965" s="18">
        <f>IF(AND($L965="",$M965=""),"",IF($L965&lt;&gt;"",INDEX(SCNormDate,$L965),INDEX(LdgDateB,$M965)))</f>
        <v/>
      </c>
      <c r="C965" s="18">
        <f>IF($L965&lt;&gt;"",INDEX(SCOp,$L965),IF($M965&lt;&gt;"","پرداخت بانکی",""))</f>
        <v/>
      </c>
      <c r="D965" s="18">
        <f>IF($L965&lt;&gt;"",IF(INDEX(SCDoc,$L965)="","—",INDEX(SCDoc,$L965)),IF($M965&lt;&gt;"",INDEX(LdgBankB,$M965),""))</f>
        <v/>
      </c>
      <c r="E965" s="19">
        <f>IF($L965&lt;&gt;"",IF(INDEX(SCCitrus,$L965)&amp;INDEX(SCNotes,$L965)="","",IF(INDEX(SCCitrus,$L965)="","",INDEX(SCCitrus,$L965))&amp;IF(INDEX(SCNotes,$L965)="",""," — "&amp;INDEX(SCNotes,$L965))),IF($M965&lt;&gt;"",IF(INDEX(LdgNoteB,$M965)="","—",INDEX(LdgNoteB,$M965)),""))</f>
        <v/>
      </c>
      <c r="F965" s="20">
        <f>IF($L965&lt;&gt;"",IF(INDEX(SCNet,$L965)=0,"",INDEX(SCNet,$L965)),"")</f>
        <v/>
      </c>
      <c r="G965" s="21">
        <f>IF($L965&lt;&gt;"",IF(INDEX(SCOp,$L965)="مرجوعی فروش","",IF(INDEX(SCAmount,$L965)&lt;=0,"",INDEX(SCAmount,$L965))),IF($M965&lt;&gt;"",IF(INDEX(LdgWitB,$M965)=0,"",INDEX(LdgWitB,$M965)),""))</f>
        <v/>
      </c>
      <c r="H965" s="21">
        <f>IF($L965&lt;&gt;"",IF(INDEX(SCOp,$L965)="مرجوعی فروش",IF(INDEX(SCAmount,$L965)=0,"",-INDEX(SCAmount,$L965)),""),IF($M965&lt;&gt;"",IF(INDEX(LdgDepB,$M965)=0,"",INDEX(LdgDepB,$M965)),""))</f>
        <v/>
      </c>
      <c r="I965" s="22">
        <f>IF($B965="","",IF($I964="",$C$10,$I964)+IF($G965="",0,$G965)-IF($H965="",0,$H965))</f>
        <v/>
      </c>
      <c r="L965">
        <f>IFERROR(MATCH($C$5&amp;"|"&amp;RIGHT("000000"&amp;949,6),LdgRankKeyA,0),"")</f>
        <v/>
      </c>
      <c r="M965">
        <f>IFERROR(MATCH($C$5&amp;"|"&amp;RIGHT("000000"&amp;949,6),LdgRankKeyB,0),"")</f>
        <v/>
      </c>
    </row>
    <row r="966">
      <c r="A966" s="23" t="n">
        <v>950</v>
      </c>
      <c r="B966" s="24">
        <f>IF(AND($L966="",$M966=""),"",IF($L966&lt;&gt;"",INDEX(SCNormDate,$L966),INDEX(LdgDateB,$M966)))</f>
        <v/>
      </c>
      <c r="C966" s="24">
        <f>IF($L966&lt;&gt;"",INDEX(SCOp,$L966),IF($M966&lt;&gt;"","پرداخت بانکی",""))</f>
        <v/>
      </c>
      <c r="D966" s="24">
        <f>IF($L966&lt;&gt;"",IF(INDEX(SCDoc,$L966)="","—",INDEX(SCDoc,$L966)),IF($M966&lt;&gt;"",INDEX(LdgBankB,$M966),""))</f>
        <v/>
      </c>
      <c r="E966" s="25">
        <f>IF($L966&lt;&gt;"",IF(INDEX(SCCitrus,$L966)&amp;INDEX(SCNotes,$L966)="","",IF(INDEX(SCCitrus,$L966)="","",INDEX(SCCitrus,$L966))&amp;IF(INDEX(SCNotes,$L966)="",""," — "&amp;INDEX(SCNotes,$L966))),IF($M966&lt;&gt;"",IF(INDEX(LdgNoteB,$M966)="","—",INDEX(LdgNoteB,$M966)),""))</f>
        <v/>
      </c>
      <c r="F966" s="26">
        <f>IF($L966&lt;&gt;"",IF(INDEX(SCNet,$L966)=0,"",INDEX(SCNet,$L966)),"")</f>
        <v/>
      </c>
      <c r="G966" s="27">
        <f>IF($L966&lt;&gt;"",IF(INDEX(SCOp,$L966)="مرجوعی فروش","",IF(INDEX(SCAmount,$L966)&lt;=0,"",INDEX(SCAmount,$L966))),IF($M966&lt;&gt;"",IF(INDEX(LdgWitB,$M966)=0,"",INDEX(LdgWitB,$M966)),""))</f>
        <v/>
      </c>
      <c r="H966" s="27">
        <f>IF($L966&lt;&gt;"",IF(INDEX(SCOp,$L966)="مرجوعی فروش",IF(INDEX(SCAmount,$L966)=0,"",-INDEX(SCAmount,$L966)),""),IF($M966&lt;&gt;"",IF(INDEX(LdgDepB,$M966)=0,"",INDEX(LdgDepB,$M966)),""))</f>
        <v/>
      </c>
      <c r="I966" s="28">
        <f>IF($B966="","",IF($I965="",$C$10,$I965)+IF($G966="",0,$G966)-IF($H966="",0,$H966))</f>
        <v/>
      </c>
      <c r="L966">
        <f>IFERROR(MATCH($C$5&amp;"|"&amp;RIGHT("000000"&amp;950,6),LdgRankKeyA,0),"")</f>
        <v/>
      </c>
      <c r="M966">
        <f>IFERROR(MATCH($C$5&amp;"|"&amp;RIGHT("000000"&amp;950,6),LdgRankKeyB,0),"")</f>
        <v/>
      </c>
    </row>
    <row r="967">
      <c r="A967" s="17" t="n">
        <v>951</v>
      </c>
      <c r="B967" s="18">
        <f>IF(AND($L967="",$M967=""),"",IF($L967&lt;&gt;"",INDEX(SCNormDate,$L967),INDEX(LdgDateB,$M967)))</f>
        <v/>
      </c>
      <c r="C967" s="18">
        <f>IF($L967&lt;&gt;"",INDEX(SCOp,$L967),IF($M967&lt;&gt;"","پرداخت بانکی",""))</f>
        <v/>
      </c>
      <c r="D967" s="18">
        <f>IF($L967&lt;&gt;"",IF(INDEX(SCDoc,$L967)="","—",INDEX(SCDoc,$L967)),IF($M967&lt;&gt;"",INDEX(LdgBankB,$M967),""))</f>
        <v/>
      </c>
      <c r="E967" s="19">
        <f>IF($L967&lt;&gt;"",IF(INDEX(SCCitrus,$L967)&amp;INDEX(SCNotes,$L967)="","",IF(INDEX(SCCitrus,$L967)="","",INDEX(SCCitrus,$L967))&amp;IF(INDEX(SCNotes,$L967)="",""," — "&amp;INDEX(SCNotes,$L967))),IF($M967&lt;&gt;"",IF(INDEX(LdgNoteB,$M967)="","—",INDEX(LdgNoteB,$M967)),""))</f>
        <v/>
      </c>
      <c r="F967" s="20">
        <f>IF($L967&lt;&gt;"",IF(INDEX(SCNet,$L967)=0,"",INDEX(SCNet,$L967)),"")</f>
        <v/>
      </c>
      <c r="G967" s="21">
        <f>IF($L967&lt;&gt;"",IF(INDEX(SCOp,$L967)="مرجوعی فروش","",IF(INDEX(SCAmount,$L967)&lt;=0,"",INDEX(SCAmount,$L967))),IF($M967&lt;&gt;"",IF(INDEX(LdgWitB,$M967)=0,"",INDEX(LdgWitB,$M967)),""))</f>
        <v/>
      </c>
      <c r="H967" s="21">
        <f>IF($L967&lt;&gt;"",IF(INDEX(SCOp,$L967)="مرجوعی فروش",IF(INDEX(SCAmount,$L967)=0,"",-INDEX(SCAmount,$L967)),""),IF($M967&lt;&gt;"",IF(INDEX(LdgDepB,$M967)=0,"",INDEX(LdgDepB,$M967)),""))</f>
        <v/>
      </c>
      <c r="I967" s="22">
        <f>IF($B967="","",IF($I966="",$C$10,$I966)+IF($G967="",0,$G967)-IF($H967="",0,$H967))</f>
        <v/>
      </c>
      <c r="L967">
        <f>IFERROR(MATCH($C$5&amp;"|"&amp;RIGHT("000000"&amp;951,6),LdgRankKeyA,0),"")</f>
        <v/>
      </c>
      <c r="M967">
        <f>IFERROR(MATCH($C$5&amp;"|"&amp;RIGHT("000000"&amp;951,6),LdgRankKeyB,0),"")</f>
        <v/>
      </c>
    </row>
    <row r="968">
      <c r="A968" s="23" t="n">
        <v>952</v>
      </c>
      <c r="B968" s="24">
        <f>IF(AND($L968="",$M968=""),"",IF($L968&lt;&gt;"",INDEX(SCNormDate,$L968),INDEX(LdgDateB,$M968)))</f>
        <v/>
      </c>
      <c r="C968" s="24">
        <f>IF($L968&lt;&gt;"",INDEX(SCOp,$L968),IF($M968&lt;&gt;"","پرداخت بانکی",""))</f>
        <v/>
      </c>
      <c r="D968" s="24">
        <f>IF($L968&lt;&gt;"",IF(INDEX(SCDoc,$L968)="","—",INDEX(SCDoc,$L968)),IF($M968&lt;&gt;"",INDEX(LdgBankB,$M968),""))</f>
        <v/>
      </c>
      <c r="E968" s="25">
        <f>IF($L968&lt;&gt;"",IF(INDEX(SCCitrus,$L968)&amp;INDEX(SCNotes,$L968)="","",IF(INDEX(SCCitrus,$L968)="","",INDEX(SCCitrus,$L968))&amp;IF(INDEX(SCNotes,$L968)="",""," — "&amp;INDEX(SCNotes,$L968))),IF($M968&lt;&gt;"",IF(INDEX(LdgNoteB,$M968)="","—",INDEX(LdgNoteB,$M968)),""))</f>
        <v/>
      </c>
      <c r="F968" s="26">
        <f>IF($L968&lt;&gt;"",IF(INDEX(SCNet,$L968)=0,"",INDEX(SCNet,$L968)),"")</f>
        <v/>
      </c>
      <c r="G968" s="27">
        <f>IF($L968&lt;&gt;"",IF(INDEX(SCOp,$L968)="مرجوعی فروش","",IF(INDEX(SCAmount,$L968)&lt;=0,"",INDEX(SCAmount,$L968))),IF($M968&lt;&gt;"",IF(INDEX(LdgWitB,$M968)=0,"",INDEX(LdgWitB,$M968)),""))</f>
        <v/>
      </c>
      <c r="H968" s="27">
        <f>IF($L968&lt;&gt;"",IF(INDEX(SCOp,$L968)="مرجوعی فروش",IF(INDEX(SCAmount,$L968)=0,"",-INDEX(SCAmount,$L968)),""),IF($M968&lt;&gt;"",IF(INDEX(LdgDepB,$M968)=0,"",INDEX(LdgDepB,$M968)),""))</f>
        <v/>
      </c>
      <c r="I968" s="28">
        <f>IF($B968="","",IF($I967="",$C$10,$I967)+IF($G968="",0,$G968)-IF($H968="",0,$H968))</f>
        <v/>
      </c>
      <c r="L968">
        <f>IFERROR(MATCH($C$5&amp;"|"&amp;RIGHT("000000"&amp;952,6),LdgRankKeyA,0),"")</f>
        <v/>
      </c>
      <c r="M968">
        <f>IFERROR(MATCH($C$5&amp;"|"&amp;RIGHT("000000"&amp;952,6),LdgRankKeyB,0),"")</f>
        <v/>
      </c>
    </row>
    <row r="969">
      <c r="A969" s="17" t="n">
        <v>953</v>
      </c>
      <c r="B969" s="18">
        <f>IF(AND($L969="",$M969=""),"",IF($L969&lt;&gt;"",INDEX(SCNormDate,$L969),INDEX(LdgDateB,$M969)))</f>
        <v/>
      </c>
      <c r="C969" s="18">
        <f>IF($L969&lt;&gt;"",INDEX(SCOp,$L969),IF($M969&lt;&gt;"","پرداخت بانکی",""))</f>
        <v/>
      </c>
      <c r="D969" s="18">
        <f>IF($L969&lt;&gt;"",IF(INDEX(SCDoc,$L969)="","—",INDEX(SCDoc,$L969)),IF($M969&lt;&gt;"",INDEX(LdgBankB,$M969),""))</f>
        <v/>
      </c>
      <c r="E969" s="19">
        <f>IF($L969&lt;&gt;"",IF(INDEX(SCCitrus,$L969)&amp;INDEX(SCNotes,$L969)="","",IF(INDEX(SCCitrus,$L969)="","",INDEX(SCCitrus,$L969))&amp;IF(INDEX(SCNotes,$L969)="",""," — "&amp;INDEX(SCNotes,$L969))),IF($M969&lt;&gt;"",IF(INDEX(LdgNoteB,$M969)="","—",INDEX(LdgNoteB,$M969)),""))</f>
        <v/>
      </c>
      <c r="F969" s="20">
        <f>IF($L969&lt;&gt;"",IF(INDEX(SCNet,$L969)=0,"",INDEX(SCNet,$L969)),"")</f>
        <v/>
      </c>
      <c r="G969" s="21">
        <f>IF($L969&lt;&gt;"",IF(INDEX(SCOp,$L969)="مرجوعی فروش","",IF(INDEX(SCAmount,$L969)&lt;=0,"",INDEX(SCAmount,$L969))),IF($M969&lt;&gt;"",IF(INDEX(LdgWitB,$M969)=0,"",INDEX(LdgWitB,$M969)),""))</f>
        <v/>
      </c>
      <c r="H969" s="21">
        <f>IF($L969&lt;&gt;"",IF(INDEX(SCOp,$L969)="مرجوعی فروش",IF(INDEX(SCAmount,$L969)=0,"",-INDEX(SCAmount,$L969)),""),IF($M969&lt;&gt;"",IF(INDEX(LdgDepB,$M969)=0,"",INDEX(LdgDepB,$M969)),""))</f>
        <v/>
      </c>
      <c r="I969" s="22">
        <f>IF($B969="","",IF($I968="",$C$10,$I968)+IF($G969="",0,$G969)-IF($H969="",0,$H969))</f>
        <v/>
      </c>
      <c r="L969">
        <f>IFERROR(MATCH($C$5&amp;"|"&amp;RIGHT("000000"&amp;953,6),LdgRankKeyA,0),"")</f>
        <v/>
      </c>
      <c r="M969">
        <f>IFERROR(MATCH($C$5&amp;"|"&amp;RIGHT("000000"&amp;953,6),LdgRankKeyB,0),"")</f>
        <v/>
      </c>
    </row>
    <row r="970">
      <c r="A970" s="23" t="n">
        <v>954</v>
      </c>
      <c r="B970" s="24">
        <f>IF(AND($L970="",$M970=""),"",IF($L970&lt;&gt;"",INDEX(SCNormDate,$L970),INDEX(LdgDateB,$M970)))</f>
        <v/>
      </c>
      <c r="C970" s="24">
        <f>IF($L970&lt;&gt;"",INDEX(SCOp,$L970),IF($M970&lt;&gt;"","پرداخت بانکی",""))</f>
        <v/>
      </c>
      <c r="D970" s="24">
        <f>IF($L970&lt;&gt;"",IF(INDEX(SCDoc,$L970)="","—",INDEX(SCDoc,$L970)),IF($M970&lt;&gt;"",INDEX(LdgBankB,$M970),""))</f>
        <v/>
      </c>
      <c r="E970" s="25">
        <f>IF($L970&lt;&gt;"",IF(INDEX(SCCitrus,$L970)&amp;INDEX(SCNotes,$L970)="","",IF(INDEX(SCCitrus,$L970)="","",INDEX(SCCitrus,$L970))&amp;IF(INDEX(SCNotes,$L970)="",""," — "&amp;INDEX(SCNotes,$L970))),IF($M970&lt;&gt;"",IF(INDEX(LdgNoteB,$M970)="","—",INDEX(LdgNoteB,$M970)),""))</f>
        <v/>
      </c>
      <c r="F970" s="26">
        <f>IF($L970&lt;&gt;"",IF(INDEX(SCNet,$L970)=0,"",INDEX(SCNet,$L970)),"")</f>
        <v/>
      </c>
      <c r="G970" s="27">
        <f>IF($L970&lt;&gt;"",IF(INDEX(SCOp,$L970)="مرجوعی فروش","",IF(INDEX(SCAmount,$L970)&lt;=0,"",INDEX(SCAmount,$L970))),IF($M970&lt;&gt;"",IF(INDEX(LdgWitB,$M970)=0,"",INDEX(LdgWitB,$M970)),""))</f>
        <v/>
      </c>
      <c r="H970" s="27">
        <f>IF($L970&lt;&gt;"",IF(INDEX(SCOp,$L970)="مرجوعی فروش",IF(INDEX(SCAmount,$L970)=0,"",-INDEX(SCAmount,$L970)),""),IF($M970&lt;&gt;"",IF(INDEX(LdgDepB,$M970)=0,"",INDEX(LdgDepB,$M970)),""))</f>
        <v/>
      </c>
      <c r="I970" s="28">
        <f>IF($B970="","",IF($I969="",$C$10,$I969)+IF($G970="",0,$G970)-IF($H970="",0,$H970))</f>
        <v/>
      </c>
      <c r="L970">
        <f>IFERROR(MATCH($C$5&amp;"|"&amp;RIGHT("000000"&amp;954,6),LdgRankKeyA,0),"")</f>
        <v/>
      </c>
      <c r="M970">
        <f>IFERROR(MATCH($C$5&amp;"|"&amp;RIGHT("000000"&amp;954,6),LdgRankKeyB,0),"")</f>
        <v/>
      </c>
    </row>
    <row r="971">
      <c r="A971" s="17" t="n">
        <v>955</v>
      </c>
      <c r="B971" s="18">
        <f>IF(AND($L971="",$M971=""),"",IF($L971&lt;&gt;"",INDEX(SCNormDate,$L971),INDEX(LdgDateB,$M971)))</f>
        <v/>
      </c>
      <c r="C971" s="18">
        <f>IF($L971&lt;&gt;"",INDEX(SCOp,$L971),IF($M971&lt;&gt;"","پرداخت بانکی",""))</f>
        <v/>
      </c>
      <c r="D971" s="18">
        <f>IF($L971&lt;&gt;"",IF(INDEX(SCDoc,$L971)="","—",INDEX(SCDoc,$L971)),IF($M971&lt;&gt;"",INDEX(LdgBankB,$M971),""))</f>
        <v/>
      </c>
      <c r="E971" s="19">
        <f>IF($L971&lt;&gt;"",IF(INDEX(SCCitrus,$L971)&amp;INDEX(SCNotes,$L971)="","",IF(INDEX(SCCitrus,$L971)="","",INDEX(SCCitrus,$L971))&amp;IF(INDEX(SCNotes,$L971)="",""," — "&amp;INDEX(SCNotes,$L971))),IF($M971&lt;&gt;"",IF(INDEX(LdgNoteB,$M971)="","—",INDEX(LdgNoteB,$M971)),""))</f>
        <v/>
      </c>
      <c r="F971" s="20">
        <f>IF($L971&lt;&gt;"",IF(INDEX(SCNet,$L971)=0,"",INDEX(SCNet,$L971)),"")</f>
        <v/>
      </c>
      <c r="G971" s="21">
        <f>IF($L971&lt;&gt;"",IF(INDEX(SCOp,$L971)="مرجوعی فروش","",IF(INDEX(SCAmount,$L971)&lt;=0,"",INDEX(SCAmount,$L971))),IF($M971&lt;&gt;"",IF(INDEX(LdgWitB,$M971)=0,"",INDEX(LdgWitB,$M971)),""))</f>
        <v/>
      </c>
      <c r="H971" s="21">
        <f>IF($L971&lt;&gt;"",IF(INDEX(SCOp,$L971)="مرجوعی فروش",IF(INDEX(SCAmount,$L971)=0,"",-INDEX(SCAmount,$L971)),""),IF($M971&lt;&gt;"",IF(INDEX(LdgDepB,$M971)=0,"",INDEX(LdgDepB,$M971)),""))</f>
        <v/>
      </c>
      <c r="I971" s="22">
        <f>IF($B971="","",IF($I970="",$C$10,$I970)+IF($G971="",0,$G971)-IF($H971="",0,$H971))</f>
        <v/>
      </c>
      <c r="L971">
        <f>IFERROR(MATCH($C$5&amp;"|"&amp;RIGHT("000000"&amp;955,6),LdgRankKeyA,0),"")</f>
        <v/>
      </c>
      <c r="M971">
        <f>IFERROR(MATCH($C$5&amp;"|"&amp;RIGHT("000000"&amp;955,6),LdgRankKeyB,0),"")</f>
        <v/>
      </c>
    </row>
    <row r="972">
      <c r="A972" s="23" t="n">
        <v>956</v>
      </c>
      <c r="B972" s="24">
        <f>IF(AND($L972="",$M972=""),"",IF($L972&lt;&gt;"",INDEX(SCNormDate,$L972),INDEX(LdgDateB,$M972)))</f>
        <v/>
      </c>
      <c r="C972" s="24">
        <f>IF($L972&lt;&gt;"",INDEX(SCOp,$L972),IF($M972&lt;&gt;"","پرداخت بانکی",""))</f>
        <v/>
      </c>
      <c r="D972" s="24">
        <f>IF($L972&lt;&gt;"",IF(INDEX(SCDoc,$L972)="","—",INDEX(SCDoc,$L972)),IF($M972&lt;&gt;"",INDEX(LdgBankB,$M972),""))</f>
        <v/>
      </c>
      <c r="E972" s="25">
        <f>IF($L972&lt;&gt;"",IF(INDEX(SCCitrus,$L972)&amp;INDEX(SCNotes,$L972)="","",IF(INDEX(SCCitrus,$L972)="","",INDEX(SCCitrus,$L972))&amp;IF(INDEX(SCNotes,$L972)="",""," — "&amp;INDEX(SCNotes,$L972))),IF($M972&lt;&gt;"",IF(INDEX(LdgNoteB,$M972)="","—",INDEX(LdgNoteB,$M972)),""))</f>
        <v/>
      </c>
      <c r="F972" s="26">
        <f>IF($L972&lt;&gt;"",IF(INDEX(SCNet,$L972)=0,"",INDEX(SCNet,$L972)),"")</f>
        <v/>
      </c>
      <c r="G972" s="27">
        <f>IF($L972&lt;&gt;"",IF(INDEX(SCOp,$L972)="مرجوعی فروش","",IF(INDEX(SCAmount,$L972)&lt;=0,"",INDEX(SCAmount,$L972))),IF($M972&lt;&gt;"",IF(INDEX(LdgWitB,$M972)=0,"",INDEX(LdgWitB,$M972)),""))</f>
        <v/>
      </c>
      <c r="H972" s="27">
        <f>IF($L972&lt;&gt;"",IF(INDEX(SCOp,$L972)="مرجوعی فروش",IF(INDEX(SCAmount,$L972)=0,"",-INDEX(SCAmount,$L972)),""),IF($M972&lt;&gt;"",IF(INDEX(LdgDepB,$M972)=0,"",INDEX(LdgDepB,$M972)),""))</f>
        <v/>
      </c>
      <c r="I972" s="28">
        <f>IF($B972="","",IF($I971="",$C$10,$I971)+IF($G972="",0,$G972)-IF($H972="",0,$H972))</f>
        <v/>
      </c>
      <c r="L972">
        <f>IFERROR(MATCH($C$5&amp;"|"&amp;RIGHT("000000"&amp;956,6),LdgRankKeyA,0),"")</f>
        <v/>
      </c>
      <c r="M972">
        <f>IFERROR(MATCH($C$5&amp;"|"&amp;RIGHT("000000"&amp;956,6),LdgRankKeyB,0),"")</f>
        <v/>
      </c>
    </row>
    <row r="973">
      <c r="A973" s="17" t="n">
        <v>957</v>
      </c>
      <c r="B973" s="18">
        <f>IF(AND($L973="",$M973=""),"",IF($L973&lt;&gt;"",INDEX(SCNormDate,$L973),INDEX(LdgDateB,$M973)))</f>
        <v/>
      </c>
      <c r="C973" s="18">
        <f>IF($L973&lt;&gt;"",INDEX(SCOp,$L973),IF($M973&lt;&gt;"","پرداخت بانکی",""))</f>
        <v/>
      </c>
      <c r="D973" s="18">
        <f>IF($L973&lt;&gt;"",IF(INDEX(SCDoc,$L973)="","—",INDEX(SCDoc,$L973)),IF($M973&lt;&gt;"",INDEX(LdgBankB,$M973),""))</f>
        <v/>
      </c>
      <c r="E973" s="19">
        <f>IF($L973&lt;&gt;"",IF(INDEX(SCCitrus,$L973)&amp;INDEX(SCNotes,$L973)="","",IF(INDEX(SCCitrus,$L973)="","",INDEX(SCCitrus,$L973))&amp;IF(INDEX(SCNotes,$L973)="",""," — "&amp;INDEX(SCNotes,$L973))),IF($M973&lt;&gt;"",IF(INDEX(LdgNoteB,$M973)="","—",INDEX(LdgNoteB,$M973)),""))</f>
        <v/>
      </c>
      <c r="F973" s="20">
        <f>IF($L973&lt;&gt;"",IF(INDEX(SCNet,$L973)=0,"",INDEX(SCNet,$L973)),"")</f>
        <v/>
      </c>
      <c r="G973" s="21">
        <f>IF($L973&lt;&gt;"",IF(INDEX(SCOp,$L973)="مرجوعی فروش","",IF(INDEX(SCAmount,$L973)&lt;=0,"",INDEX(SCAmount,$L973))),IF($M973&lt;&gt;"",IF(INDEX(LdgWitB,$M973)=0,"",INDEX(LdgWitB,$M973)),""))</f>
        <v/>
      </c>
      <c r="H973" s="21">
        <f>IF($L973&lt;&gt;"",IF(INDEX(SCOp,$L973)="مرجوعی فروش",IF(INDEX(SCAmount,$L973)=0,"",-INDEX(SCAmount,$L973)),""),IF($M973&lt;&gt;"",IF(INDEX(LdgDepB,$M973)=0,"",INDEX(LdgDepB,$M973)),""))</f>
        <v/>
      </c>
      <c r="I973" s="22">
        <f>IF($B973="","",IF($I972="",$C$10,$I972)+IF($G973="",0,$G973)-IF($H973="",0,$H973))</f>
        <v/>
      </c>
      <c r="L973">
        <f>IFERROR(MATCH($C$5&amp;"|"&amp;RIGHT("000000"&amp;957,6),LdgRankKeyA,0),"")</f>
        <v/>
      </c>
      <c r="M973">
        <f>IFERROR(MATCH($C$5&amp;"|"&amp;RIGHT("000000"&amp;957,6),LdgRankKeyB,0),"")</f>
        <v/>
      </c>
    </row>
    <row r="974">
      <c r="A974" s="23" t="n">
        <v>958</v>
      </c>
      <c r="B974" s="24">
        <f>IF(AND($L974="",$M974=""),"",IF($L974&lt;&gt;"",INDEX(SCNormDate,$L974),INDEX(LdgDateB,$M974)))</f>
        <v/>
      </c>
      <c r="C974" s="24">
        <f>IF($L974&lt;&gt;"",INDEX(SCOp,$L974),IF($M974&lt;&gt;"","پرداخت بانکی",""))</f>
        <v/>
      </c>
      <c r="D974" s="24">
        <f>IF($L974&lt;&gt;"",IF(INDEX(SCDoc,$L974)="","—",INDEX(SCDoc,$L974)),IF($M974&lt;&gt;"",INDEX(LdgBankB,$M974),""))</f>
        <v/>
      </c>
      <c r="E974" s="25">
        <f>IF($L974&lt;&gt;"",IF(INDEX(SCCitrus,$L974)&amp;INDEX(SCNotes,$L974)="","",IF(INDEX(SCCitrus,$L974)="","",INDEX(SCCitrus,$L974))&amp;IF(INDEX(SCNotes,$L974)="",""," — "&amp;INDEX(SCNotes,$L974))),IF($M974&lt;&gt;"",IF(INDEX(LdgNoteB,$M974)="","—",INDEX(LdgNoteB,$M974)),""))</f>
        <v/>
      </c>
      <c r="F974" s="26">
        <f>IF($L974&lt;&gt;"",IF(INDEX(SCNet,$L974)=0,"",INDEX(SCNet,$L974)),"")</f>
        <v/>
      </c>
      <c r="G974" s="27">
        <f>IF($L974&lt;&gt;"",IF(INDEX(SCOp,$L974)="مرجوعی فروش","",IF(INDEX(SCAmount,$L974)&lt;=0,"",INDEX(SCAmount,$L974))),IF($M974&lt;&gt;"",IF(INDEX(LdgWitB,$M974)=0,"",INDEX(LdgWitB,$M974)),""))</f>
        <v/>
      </c>
      <c r="H974" s="27">
        <f>IF($L974&lt;&gt;"",IF(INDEX(SCOp,$L974)="مرجوعی فروش",IF(INDEX(SCAmount,$L974)=0,"",-INDEX(SCAmount,$L974)),""),IF($M974&lt;&gt;"",IF(INDEX(LdgDepB,$M974)=0,"",INDEX(LdgDepB,$M974)),""))</f>
        <v/>
      </c>
      <c r="I974" s="28">
        <f>IF($B974="","",IF($I973="",$C$10,$I973)+IF($G974="",0,$G974)-IF($H974="",0,$H974))</f>
        <v/>
      </c>
      <c r="L974">
        <f>IFERROR(MATCH($C$5&amp;"|"&amp;RIGHT("000000"&amp;958,6),LdgRankKeyA,0),"")</f>
        <v/>
      </c>
      <c r="M974">
        <f>IFERROR(MATCH($C$5&amp;"|"&amp;RIGHT("000000"&amp;958,6),LdgRankKeyB,0),"")</f>
        <v/>
      </c>
    </row>
    <row r="975">
      <c r="A975" s="17" t="n">
        <v>959</v>
      </c>
      <c r="B975" s="18">
        <f>IF(AND($L975="",$M975=""),"",IF($L975&lt;&gt;"",INDEX(SCNormDate,$L975),INDEX(LdgDateB,$M975)))</f>
        <v/>
      </c>
      <c r="C975" s="18">
        <f>IF($L975&lt;&gt;"",INDEX(SCOp,$L975),IF($M975&lt;&gt;"","پرداخت بانکی",""))</f>
        <v/>
      </c>
      <c r="D975" s="18">
        <f>IF($L975&lt;&gt;"",IF(INDEX(SCDoc,$L975)="","—",INDEX(SCDoc,$L975)),IF($M975&lt;&gt;"",INDEX(LdgBankB,$M975),""))</f>
        <v/>
      </c>
      <c r="E975" s="19">
        <f>IF($L975&lt;&gt;"",IF(INDEX(SCCitrus,$L975)&amp;INDEX(SCNotes,$L975)="","",IF(INDEX(SCCitrus,$L975)="","",INDEX(SCCitrus,$L975))&amp;IF(INDEX(SCNotes,$L975)="",""," — "&amp;INDEX(SCNotes,$L975))),IF($M975&lt;&gt;"",IF(INDEX(LdgNoteB,$M975)="","—",INDEX(LdgNoteB,$M975)),""))</f>
        <v/>
      </c>
      <c r="F975" s="20">
        <f>IF($L975&lt;&gt;"",IF(INDEX(SCNet,$L975)=0,"",INDEX(SCNet,$L975)),"")</f>
        <v/>
      </c>
      <c r="G975" s="21">
        <f>IF($L975&lt;&gt;"",IF(INDEX(SCOp,$L975)="مرجوعی فروش","",IF(INDEX(SCAmount,$L975)&lt;=0,"",INDEX(SCAmount,$L975))),IF($M975&lt;&gt;"",IF(INDEX(LdgWitB,$M975)=0,"",INDEX(LdgWitB,$M975)),""))</f>
        <v/>
      </c>
      <c r="H975" s="21">
        <f>IF($L975&lt;&gt;"",IF(INDEX(SCOp,$L975)="مرجوعی فروش",IF(INDEX(SCAmount,$L975)=0,"",-INDEX(SCAmount,$L975)),""),IF($M975&lt;&gt;"",IF(INDEX(LdgDepB,$M975)=0,"",INDEX(LdgDepB,$M975)),""))</f>
        <v/>
      </c>
      <c r="I975" s="22">
        <f>IF($B975="","",IF($I974="",$C$10,$I974)+IF($G975="",0,$G975)-IF($H975="",0,$H975))</f>
        <v/>
      </c>
      <c r="L975">
        <f>IFERROR(MATCH($C$5&amp;"|"&amp;RIGHT("000000"&amp;959,6),LdgRankKeyA,0),"")</f>
        <v/>
      </c>
      <c r="M975">
        <f>IFERROR(MATCH($C$5&amp;"|"&amp;RIGHT("000000"&amp;959,6),LdgRankKeyB,0),"")</f>
        <v/>
      </c>
    </row>
    <row r="976">
      <c r="A976" s="23" t="n">
        <v>960</v>
      </c>
      <c r="B976" s="24">
        <f>IF(AND($L976="",$M976=""),"",IF($L976&lt;&gt;"",INDEX(SCNormDate,$L976),INDEX(LdgDateB,$M976)))</f>
        <v/>
      </c>
      <c r="C976" s="24">
        <f>IF($L976&lt;&gt;"",INDEX(SCOp,$L976),IF($M976&lt;&gt;"","پرداخت بانکی",""))</f>
        <v/>
      </c>
      <c r="D976" s="24">
        <f>IF($L976&lt;&gt;"",IF(INDEX(SCDoc,$L976)="","—",INDEX(SCDoc,$L976)),IF($M976&lt;&gt;"",INDEX(LdgBankB,$M976),""))</f>
        <v/>
      </c>
      <c r="E976" s="25">
        <f>IF($L976&lt;&gt;"",IF(INDEX(SCCitrus,$L976)&amp;INDEX(SCNotes,$L976)="","",IF(INDEX(SCCitrus,$L976)="","",INDEX(SCCitrus,$L976))&amp;IF(INDEX(SCNotes,$L976)="",""," — "&amp;INDEX(SCNotes,$L976))),IF($M976&lt;&gt;"",IF(INDEX(LdgNoteB,$M976)="","—",INDEX(LdgNoteB,$M976)),""))</f>
        <v/>
      </c>
      <c r="F976" s="26">
        <f>IF($L976&lt;&gt;"",IF(INDEX(SCNet,$L976)=0,"",INDEX(SCNet,$L976)),"")</f>
        <v/>
      </c>
      <c r="G976" s="27">
        <f>IF($L976&lt;&gt;"",IF(INDEX(SCOp,$L976)="مرجوعی فروش","",IF(INDEX(SCAmount,$L976)&lt;=0,"",INDEX(SCAmount,$L976))),IF($M976&lt;&gt;"",IF(INDEX(LdgWitB,$M976)=0,"",INDEX(LdgWitB,$M976)),""))</f>
        <v/>
      </c>
      <c r="H976" s="27">
        <f>IF($L976&lt;&gt;"",IF(INDEX(SCOp,$L976)="مرجوعی فروش",IF(INDEX(SCAmount,$L976)=0,"",-INDEX(SCAmount,$L976)),""),IF($M976&lt;&gt;"",IF(INDEX(LdgDepB,$M976)=0,"",INDEX(LdgDepB,$M976)),""))</f>
        <v/>
      </c>
      <c r="I976" s="28">
        <f>IF($B976="","",IF($I975="",$C$10,$I975)+IF($G976="",0,$G976)-IF($H976="",0,$H976))</f>
        <v/>
      </c>
      <c r="L976">
        <f>IFERROR(MATCH($C$5&amp;"|"&amp;RIGHT("000000"&amp;960,6),LdgRankKeyA,0),"")</f>
        <v/>
      </c>
      <c r="M976">
        <f>IFERROR(MATCH($C$5&amp;"|"&amp;RIGHT("000000"&amp;960,6),LdgRankKeyB,0),"")</f>
        <v/>
      </c>
    </row>
    <row r="977">
      <c r="A977" s="17" t="n">
        <v>961</v>
      </c>
      <c r="B977" s="18">
        <f>IF(AND($L977="",$M977=""),"",IF($L977&lt;&gt;"",INDEX(SCNormDate,$L977),INDEX(LdgDateB,$M977)))</f>
        <v/>
      </c>
      <c r="C977" s="18">
        <f>IF($L977&lt;&gt;"",INDEX(SCOp,$L977),IF($M977&lt;&gt;"","پرداخت بانکی",""))</f>
        <v/>
      </c>
      <c r="D977" s="18">
        <f>IF($L977&lt;&gt;"",IF(INDEX(SCDoc,$L977)="","—",INDEX(SCDoc,$L977)),IF($M977&lt;&gt;"",INDEX(LdgBankB,$M977),""))</f>
        <v/>
      </c>
      <c r="E977" s="19">
        <f>IF($L977&lt;&gt;"",IF(INDEX(SCCitrus,$L977)&amp;INDEX(SCNotes,$L977)="","",IF(INDEX(SCCitrus,$L977)="","",INDEX(SCCitrus,$L977))&amp;IF(INDEX(SCNotes,$L977)="",""," — "&amp;INDEX(SCNotes,$L977))),IF($M977&lt;&gt;"",IF(INDEX(LdgNoteB,$M977)="","—",INDEX(LdgNoteB,$M977)),""))</f>
        <v/>
      </c>
      <c r="F977" s="20">
        <f>IF($L977&lt;&gt;"",IF(INDEX(SCNet,$L977)=0,"",INDEX(SCNet,$L977)),"")</f>
        <v/>
      </c>
      <c r="G977" s="21">
        <f>IF($L977&lt;&gt;"",IF(INDEX(SCOp,$L977)="مرجوعی فروش","",IF(INDEX(SCAmount,$L977)&lt;=0,"",INDEX(SCAmount,$L977))),IF($M977&lt;&gt;"",IF(INDEX(LdgWitB,$M977)=0,"",INDEX(LdgWitB,$M977)),""))</f>
        <v/>
      </c>
      <c r="H977" s="21">
        <f>IF($L977&lt;&gt;"",IF(INDEX(SCOp,$L977)="مرجوعی فروش",IF(INDEX(SCAmount,$L977)=0,"",-INDEX(SCAmount,$L977)),""),IF($M977&lt;&gt;"",IF(INDEX(LdgDepB,$M977)=0,"",INDEX(LdgDepB,$M977)),""))</f>
        <v/>
      </c>
      <c r="I977" s="22">
        <f>IF($B977="","",IF($I976="",$C$10,$I976)+IF($G977="",0,$G977)-IF($H977="",0,$H977))</f>
        <v/>
      </c>
      <c r="L977">
        <f>IFERROR(MATCH($C$5&amp;"|"&amp;RIGHT("000000"&amp;961,6),LdgRankKeyA,0),"")</f>
        <v/>
      </c>
      <c r="M977">
        <f>IFERROR(MATCH($C$5&amp;"|"&amp;RIGHT("000000"&amp;961,6),LdgRankKeyB,0),"")</f>
        <v/>
      </c>
    </row>
    <row r="978">
      <c r="A978" s="23" t="n">
        <v>962</v>
      </c>
      <c r="B978" s="24">
        <f>IF(AND($L978="",$M978=""),"",IF($L978&lt;&gt;"",INDEX(SCNormDate,$L978),INDEX(LdgDateB,$M978)))</f>
        <v/>
      </c>
      <c r="C978" s="24">
        <f>IF($L978&lt;&gt;"",INDEX(SCOp,$L978),IF($M978&lt;&gt;"","پرداخت بانکی",""))</f>
        <v/>
      </c>
      <c r="D978" s="24">
        <f>IF($L978&lt;&gt;"",IF(INDEX(SCDoc,$L978)="","—",INDEX(SCDoc,$L978)),IF($M978&lt;&gt;"",INDEX(LdgBankB,$M978),""))</f>
        <v/>
      </c>
      <c r="E978" s="25">
        <f>IF($L978&lt;&gt;"",IF(INDEX(SCCitrus,$L978)&amp;INDEX(SCNotes,$L978)="","",IF(INDEX(SCCitrus,$L978)="","",INDEX(SCCitrus,$L978))&amp;IF(INDEX(SCNotes,$L978)="",""," — "&amp;INDEX(SCNotes,$L978))),IF($M978&lt;&gt;"",IF(INDEX(LdgNoteB,$M978)="","—",INDEX(LdgNoteB,$M978)),""))</f>
        <v/>
      </c>
      <c r="F978" s="26">
        <f>IF($L978&lt;&gt;"",IF(INDEX(SCNet,$L978)=0,"",INDEX(SCNet,$L978)),"")</f>
        <v/>
      </c>
      <c r="G978" s="27">
        <f>IF($L978&lt;&gt;"",IF(INDEX(SCOp,$L978)="مرجوعی فروش","",IF(INDEX(SCAmount,$L978)&lt;=0,"",INDEX(SCAmount,$L978))),IF($M978&lt;&gt;"",IF(INDEX(LdgWitB,$M978)=0,"",INDEX(LdgWitB,$M978)),""))</f>
        <v/>
      </c>
      <c r="H978" s="27">
        <f>IF($L978&lt;&gt;"",IF(INDEX(SCOp,$L978)="مرجوعی فروش",IF(INDEX(SCAmount,$L978)=0,"",-INDEX(SCAmount,$L978)),""),IF($M978&lt;&gt;"",IF(INDEX(LdgDepB,$M978)=0,"",INDEX(LdgDepB,$M978)),""))</f>
        <v/>
      </c>
      <c r="I978" s="28">
        <f>IF($B978="","",IF($I977="",$C$10,$I977)+IF($G978="",0,$G978)-IF($H978="",0,$H978))</f>
        <v/>
      </c>
      <c r="L978">
        <f>IFERROR(MATCH($C$5&amp;"|"&amp;RIGHT("000000"&amp;962,6),LdgRankKeyA,0),"")</f>
        <v/>
      </c>
      <c r="M978">
        <f>IFERROR(MATCH($C$5&amp;"|"&amp;RIGHT("000000"&amp;962,6),LdgRankKeyB,0),"")</f>
        <v/>
      </c>
    </row>
    <row r="979">
      <c r="A979" s="17" t="n">
        <v>963</v>
      </c>
      <c r="B979" s="18">
        <f>IF(AND($L979="",$M979=""),"",IF($L979&lt;&gt;"",INDEX(SCNormDate,$L979),INDEX(LdgDateB,$M979)))</f>
        <v/>
      </c>
      <c r="C979" s="18">
        <f>IF($L979&lt;&gt;"",INDEX(SCOp,$L979),IF($M979&lt;&gt;"","پرداخت بانکی",""))</f>
        <v/>
      </c>
      <c r="D979" s="18">
        <f>IF($L979&lt;&gt;"",IF(INDEX(SCDoc,$L979)="","—",INDEX(SCDoc,$L979)),IF($M979&lt;&gt;"",INDEX(LdgBankB,$M979),""))</f>
        <v/>
      </c>
      <c r="E979" s="19">
        <f>IF($L979&lt;&gt;"",IF(INDEX(SCCitrus,$L979)&amp;INDEX(SCNotes,$L979)="","",IF(INDEX(SCCitrus,$L979)="","",INDEX(SCCitrus,$L979))&amp;IF(INDEX(SCNotes,$L979)="",""," — "&amp;INDEX(SCNotes,$L979))),IF($M979&lt;&gt;"",IF(INDEX(LdgNoteB,$M979)="","—",INDEX(LdgNoteB,$M979)),""))</f>
        <v/>
      </c>
      <c r="F979" s="20">
        <f>IF($L979&lt;&gt;"",IF(INDEX(SCNet,$L979)=0,"",INDEX(SCNet,$L979)),"")</f>
        <v/>
      </c>
      <c r="G979" s="21">
        <f>IF($L979&lt;&gt;"",IF(INDEX(SCOp,$L979)="مرجوعی فروش","",IF(INDEX(SCAmount,$L979)&lt;=0,"",INDEX(SCAmount,$L979))),IF($M979&lt;&gt;"",IF(INDEX(LdgWitB,$M979)=0,"",INDEX(LdgWitB,$M979)),""))</f>
        <v/>
      </c>
      <c r="H979" s="21">
        <f>IF($L979&lt;&gt;"",IF(INDEX(SCOp,$L979)="مرجوعی فروش",IF(INDEX(SCAmount,$L979)=0,"",-INDEX(SCAmount,$L979)),""),IF($M979&lt;&gt;"",IF(INDEX(LdgDepB,$M979)=0,"",INDEX(LdgDepB,$M979)),""))</f>
        <v/>
      </c>
      <c r="I979" s="22">
        <f>IF($B979="","",IF($I978="",$C$10,$I978)+IF($G979="",0,$G979)-IF($H979="",0,$H979))</f>
        <v/>
      </c>
      <c r="L979">
        <f>IFERROR(MATCH($C$5&amp;"|"&amp;RIGHT("000000"&amp;963,6),LdgRankKeyA,0),"")</f>
        <v/>
      </c>
      <c r="M979">
        <f>IFERROR(MATCH($C$5&amp;"|"&amp;RIGHT("000000"&amp;963,6),LdgRankKeyB,0),"")</f>
        <v/>
      </c>
    </row>
    <row r="980">
      <c r="A980" s="23" t="n">
        <v>964</v>
      </c>
      <c r="B980" s="24">
        <f>IF(AND($L980="",$M980=""),"",IF($L980&lt;&gt;"",INDEX(SCNormDate,$L980),INDEX(LdgDateB,$M980)))</f>
        <v/>
      </c>
      <c r="C980" s="24">
        <f>IF($L980&lt;&gt;"",INDEX(SCOp,$L980),IF($M980&lt;&gt;"","پرداخت بانکی",""))</f>
        <v/>
      </c>
      <c r="D980" s="24">
        <f>IF($L980&lt;&gt;"",IF(INDEX(SCDoc,$L980)="","—",INDEX(SCDoc,$L980)),IF($M980&lt;&gt;"",INDEX(LdgBankB,$M980),""))</f>
        <v/>
      </c>
      <c r="E980" s="25">
        <f>IF($L980&lt;&gt;"",IF(INDEX(SCCitrus,$L980)&amp;INDEX(SCNotes,$L980)="","",IF(INDEX(SCCitrus,$L980)="","",INDEX(SCCitrus,$L980))&amp;IF(INDEX(SCNotes,$L980)="",""," — "&amp;INDEX(SCNotes,$L980))),IF($M980&lt;&gt;"",IF(INDEX(LdgNoteB,$M980)="","—",INDEX(LdgNoteB,$M980)),""))</f>
        <v/>
      </c>
      <c r="F980" s="26">
        <f>IF($L980&lt;&gt;"",IF(INDEX(SCNet,$L980)=0,"",INDEX(SCNet,$L980)),"")</f>
        <v/>
      </c>
      <c r="G980" s="27">
        <f>IF($L980&lt;&gt;"",IF(INDEX(SCOp,$L980)="مرجوعی فروش","",IF(INDEX(SCAmount,$L980)&lt;=0,"",INDEX(SCAmount,$L980))),IF($M980&lt;&gt;"",IF(INDEX(LdgWitB,$M980)=0,"",INDEX(LdgWitB,$M980)),""))</f>
        <v/>
      </c>
      <c r="H980" s="27">
        <f>IF($L980&lt;&gt;"",IF(INDEX(SCOp,$L980)="مرجوعی فروش",IF(INDEX(SCAmount,$L980)=0,"",-INDEX(SCAmount,$L980)),""),IF($M980&lt;&gt;"",IF(INDEX(LdgDepB,$M980)=0,"",INDEX(LdgDepB,$M980)),""))</f>
        <v/>
      </c>
      <c r="I980" s="28">
        <f>IF($B980="","",IF($I979="",$C$10,$I979)+IF($G980="",0,$G980)-IF($H980="",0,$H980))</f>
        <v/>
      </c>
      <c r="L980">
        <f>IFERROR(MATCH($C$5&amp;"|"&amp;RIGHT("000000"&amp;964,6),LdgRankKeyA,0),"")</f>
        <v/>
      </c>
      <c r="M980">
        <f>IFERROR(MATCH($C$5&amp;"|"&amp;RIGHT("000000"&amp;964,6),LdgRankKeyB,0),"")</f>
        <v/>
      </c>
    </row>
    <row r="981">
      <c r="A981" s="17" t="n">
        <v>965</v>
      </c>
      <c r="B981" s="18">
        <f>IF(AND($L981="",$M981=""),"",IF($L981&lt;&gt;"",INDEX(SCNormDate,$L981),INDEX(LdgDateB,$M981)))</f>
        <v/>
      </c>
      <c r="C981" s="18">
        <f>IF($L981&lt;&gt;"",INDEX(SCOp,$L981),IF($M981&lt;&gt;"","پرداخت بانکی",""))</f>
        <v/>
      </c>
      <c r="D981" s="18">
        <f>IF($L981&lt;&gt;"",IF(INDEX(SCDoc,$L981)="","—",INDEX(SCDoc,$L981)),IF($M981&lt;&gt;"",INDEX(LdgBankB,$M981),""))</f>
        <v/>
      </c>
      <c r="E981" s="19">
        <f>IF($L981&lt;&gt;"",IF(INDEX(SCCitrus,$L981)&amp;INDEX(SCNotes,$L981)="","",IF(INDEX(SCCitrus,$L981)="","",INDEX(SCCitrus,$L981))&amp;IF(INDEX(SCNotes,$L981)="",""," — "&amp;INDEX(SCNotes,$L981))),IF($M981&lt;&gt;"",IF(INDEX(LdgNoteB,$M981)="","—",INDEX(LdgNoteB,$M981)),""))</f>
        <v/>
      </c>
      <c r="F981" s="20">
        <f>IF($L981&lt;&gt;"",IF(INDEX(SCNet,$L981)=0,"",INDEX(SCNet,$L981)),"")</f>
        <v/>
      </c>
      <c r="G981" s="21">
        <f>IF($L981&lt;&gt;"",IF(INDEX(SCOp,$L981)="مرجوعی فروش","",IF(INDEX(SCAmount,$L981)&lt;=0,"",INDEX(SCAmount,$L981))),IF($M981&lt;&gt;"",IF(INDEX(LdgWitB,$M981)=0,"",INDEX(LdgWitB,$M981)),""))</f>
        <v/>
      </c>
      <c r="H981" s="21">
        <f>IF($L981&lt;&gt;"",IF(INDEX(SCOp,$L981)="مرجوعی فروش",IF(INDEX(SCAmount,$L981)=0,"",-INDEX(SCAmount,$L981)),""),IF($M981&lt;&gt;"",IF(INDEX(LdgDepB,$M981)=0,"",INDEX(LdgDepB,$M981)),""))</f>
        <v/>
      </c>
      <c r="I981" s="22">
        <f>IF($B981="","",IF($I980="",$C$10,$I980)+IF($G981="",0,$G981)-IF($H981="",0,$H981))</f>
        <v/>
      </c>
      <c r="L981">
        <f>IFERROR(MATCH($C$5&amp;"|"&amp;RIGHT("000000"&amp;965,6),LdgRankKeyA,0),"")</f>
        <v/>
      </c>
      <c r="M981">
        <f>IFERROR(MATCH($C$5&amp;"|"&amp;RIGHT("000000"&amp;965,6),LdgRankKeyB,0),"")</f>
        <v/>
      </c>
    </row>
    <row r="982">
      <c r="A982" s="23" t="n">
        <v>966</v>
      </c>
      <c r="B982" s="24">
        <f>IF(AND($L982="",$M982=""),"",IF($L982&lt;&gt;"",INDEX(SCNormDate,$L982),INDEX(LdgDateB,$M982)))</f>
        <v/>
      </c>
      <c r="C982" s="24">
        <f>IF($L982&lt;&gt;"",INDEX(SCOp,$L982),IF($M982&lt;&gt;"","پرداخت بانکی",""))</f>
        <v/>
      </c>
      <c r="D982" s="24">
        <f>IF($L982&lt;&gt;"",IF(INDEX(SCDoc,$L982)="","—",INDEX(SCDoc,$L982)),IF($M982&lt;&gt;"",INDEX(LdgBankB,$M982),""))</f>
        <v/>
      </c>
      <c r="E982" s="25">
        <f>IF($L982&lt;&gt;"",IF(INDEX(SCCitrus,$L982)&amp;INDEX(SCNotes,$L982)="","",IF(INDEX(SCCitrus,$L982)="","",INDEX(SCCitrus,$L982))&amp;IF(INDEX(SCNotes,$L982)="",""," — "&amp;INDEX(SCNotes,$L982))),IF($M982&lt;&gt;"",IF(INDEX(LdgNoteB,$M982)="","—",INDEX(LdgNoteB,$M982)),""))</f>
        <v/>
      </c>
      <c r="F982" s="26">
        <f>IF($L982&lt;&gt;"",IF(INDEX(SCNet,$L982)=0,"",INDEX(SCNet,$L982)),"")</f>
        <v/>
      </c>
      <c r="G982" s="27">
        <f>IF($L982&lt;&gt;"",IF(INDEX(SCOp,$L982)="مرجوعی فروش","",IF(INDEX(SCAmount,$L982)&lt;=0,"",INDEX(SCAmount,$L982))),IF($M982&lt;&gt;"",IF(INDEX(LdgWitB,$M982)=0,"",INDEX(LdgWitB,$M982)),""))</f>
        <v/>
      </c>
      <c r="H982" s="27">
        <f>IF($L982&lt;&gt;"",IF(INDEX(SCOp,$L982)="مرجوعی فروش",IF(INDEX(SCAmount,$L982)=0,"",-INDEX(SCAmount,$L982)),""),IF($M982&lt;&gt;"",IF(INDEX(LdgDepB,$M982)=0,"",INDEX(LdgDepB,$M982)),""))</f>
        <v/>
      </c>
      <c r="I982" s="28">
        <f>IF($B982="","",IF($I981="",$C$10,$I981)+IF($G982="",0,$G982)-IF($H982="",0,$H982))</f>
        <v/>
      </c>
      <c r="L982">
        <f>IFERROR(MATCH($C$5&amp;"|"&amp;RIGHT("000000"&amp;966,6),LdgRankKeyA,0),"")</f>
        <v/>
      </c>
      <c r="M982">
        <f>IFERROR(MATCH($C$5&amp;"|"&amp;RIGHT("000000"&amp;966,6),LdgRankKeyB,0),"")</f>
        <v/>
      </c>
    </row>
    <row r="983">
      <c r="A983" s="17" t="n">
        <v>967</v>
      </c>
      <c r="B983" s="18">
        <f>IF(AND($L983="",$M983=""),"",IF($L983&lt;&gt;"",INDEX(SCNormDate,$L983),INDEX(LdgDateB,$M983)))</f>
        <v/>
      </c>
      <c r="C983" s="18">
        <f>IF($L983&lt;&gt;"",INDEX(SCOp,$L983),IF($M983&lt;&gt;"","پرداخت بانکی",""))</f>
        <v/>
      </c>
      <c r="D983" s="18">
        <f>IF($L983&lt;&gt;"",IF(INDEX(SCDoc,$L983)="","—",INDEX(SCDoc,$L983)),IF($M983&lt;&gt;"",INDEX(LdgBankB,$M983),""))</f>
        <v/>
      </c>
      <c r="E983" s="19">
        <f>IF($L983&lt;&gt;"",IF(INDEX(SCCitrus,$L983)&amp;INDEX(SCNotes,$L983)="","",IF(INDEX(SCCitrus,$L983)="","",INDEX(SCCitrus,$L983))&amp;IF(INDEX(SCNotes,$L983)="",""," — "&amp;INDEX(SCNotes,$L983))),IF($M983&lt;&gt;"",IF(INDEX(LdgNoteB,$M983)="","—",INDEX(LdgNoteB,$M983)),""))</f>
        <v/>
      </c>
      <c r="F983" s="20">
        <f>IF($L983&lt;&gt;"",IF(INDEX(SCNet,$L983)=0,"",INDEX(SCNet,$L983)),"")</f>
        <v/>
      </c>
      <c r="G983" s="21">
        <f>IF($L983&lt;&gt;"",IF(INDEX(SCOp,$L983)="مرجوعی فروش","",IF(INDEX(SCAmount,$L983)&lt;=0,"",INDEX(SCAmount,$L983))),IF($M983&lt;&gt;"",IF(INDEX(LdgWitB,$M983)=0,"",INDEX(LdgWitB,$M983)),""))</f>
        <v/>
      </c>
      <c r="H983" s="21">
        <f>IF($L983&lt;&gt;"",IF(INDEX(SCOp,$L983)="مرجوعی فروش",IF(INDEX(SCAmount,$L983)=0,"",-INDEX(SCAmount,$L983)),""),IF($M983&lt;&gt;"",IF(INDEX(LdgDepB,$M983)=0,"",INDEX(LdgDepB,$M983)),""))</f>
        <v/>
      </c>
      <c r="I983" s="22">
        <f>IF($B983="","",IF($I982="",$C$10,$I982)+IF($G983="",0,$G983)-IF($H983="",0,$H983))</f>
        <v/>
      </c>
      <c r="L983">
        <f>IFERROR(MATCH($C$5&amp;"|"&amp;RIGHT("000000"&amp;967,6),LdgRankKeyA,0),"")</f>
        <v/>
      </c>
      <c r="M983">
        <f>IFERROR(MATCH($C$5&amp;"|"&amp;RIGHT("000000"&amp;967,6),LdgRankKeyB,0),"")</f>
        <v/>
      </c>
    </row>
    <row r="984">
      <c r="A984" s="23" t="n">
        <v>968</v>
      </c>
      <c r="B984" s="24">
        <f>IF(AND($L984="",$M984=""),"",IF($L984&lt;&gt;"",INDEX(SCNormDate,$L984),INDEX(LdgDateB,$M984)))</f>
        <v/>
      </c>
      <c r="C984" s="24">
        <f>IF($L984&lt;&gt;"",INDEX(SCOp,$L984),IF($M984&lt;&gt;"","پرداخت بانکی",""))</f>
        <v/>
      </c>
      <c r="D984" s="24">
        <f>IF($L984&lt;&gt;"",IF(INDEX(SCDoc,$L984)="","—",INDEX(SCDoc,$L984)),IF($M984&lt;&gt;"",INDEX(LdgBankB,$M984),""))</f>
        <v/>
      </c>
      <c r="E984" s="25">
        <f>IF($L984&lt;&gt;"",IF(INDEX(SCCitrus,$L984)&amp;INDEX(SCNotes,$L984)="","",IF(INDEX(SCCitrus,$L984)="","",INDEX(SCCitrus,$L984))&amp;IF(INDEX(SCNotes,$L984)="",""," — "&amp;INDEX(SCNotes,$L984))),IF($M984&lt;&gt;"",IF(INDEX(LdgNoteB,$M984)="","—",INDEX(LdgNoteB,$M984)),""))</f>
        <v/>
      </c>
      <c r="F984" s="26">
        <f>IF($L984&lt;&gt;"",IF(INDEX(SCNet,$L984)=0,"",INDEX(SCNet,$L984)),"")</f>
        <v/>
      </c>
      <c r="G984" s="27">
        <f>IF($L984&lt;&gt;"",IF(INDEX(SCOp,$L984)="مرجوعی فروش","",IF(INDEX(SCAmount,$L984)&lt;=0,"",INDEX(SCAmount,$L984))),IF($M984&lt;&gt;"",IF(INDEX(LdgWitB,$M984)=0,"",INDEX(LdgWitB,$M984)),""))</f>
        <v/>
      </c>
      <c r="H984" s="27">
        <f>IF($L984&lt;&gt;"",IF(INDEX(SCOp,$L984)="مرجوعی فروش",IF(INDEX(SCAmount,$L984)=0,"",-INDEX(SCAmount,$L984)),""),IF($M984&lt;&gt;"",IF(INDEX(LdgDepB,$M984)=0,"",INDEX(LdgDepB,$M984)),""))</f>
        <v/>
      </c>
      <c r="I984" s="28">
        <f>IF($B984="","",IF($I983="",$C$10,$I983)+IF($G984="",0,$G984)-IF($H984="",0,$H984))</f>
        <v/>
      </c>
      <c r="L984">
        <f>IFERROR(MATCH($C$5&amp;"|"&amp;RIGHT("000000"&amp;968,6),LdgRankKeyA,0),"")</f>
        <v/>
      </c>
      <c r="M984">
        <f>IFERROR(MATCH($C$5&amp;"|"&amp;RIGHT("000000"&amp;968,6),LdgRankKeyB,0),"")</f>
        <v/>
      </c>
    </row>
    <row r="985">
      <c r="A985" s="17" t="n">
        <v>969</v>
      </c>
      <c r="B985" s="18">
        <f>IF(AND($L985="",$M985=""),"",IF($L985&lt;&gt;"",INDEX(SCNormDate,$L985),INDEX(LdgDateB,$M985)))</f>
        <v/>
      </c>
      <c r="C985" s="18">
        <f>IF($L985&lt;&gt;"",INDEX(SCOp,$L985),IF($M985&lt;&gt;"","پرداخت بانکی",""))</f>
        <v/>
      </c>
      <c r="D985" s="18">
        <f>IF($L985&lt;&gt;"",IF(INDEX(SCDoc,$L985)="","—",INDEX(SCDoc,$L985)),IF($M985&lt;&gt;"",INDEX(LdgBankB,$M985),""))</f>
        <v/>
      </c>
      <c r="E985" s="19">
        <f>IF($L985&lt;&gt;"",IF(INDEX(SCCitrus,$L985)&amp;INDEX(SCNotes,$L985)="","",IF(INDEX(SCCitrus,$L985)="","",INDEX(SCCitrus,$L985))&amp;IF(INDEX(SCNotes,$L985)="",""," — "&amp;INDEX(SCNotes,$L985))),IF($M985&lt;&gt;"",IF(INDEX(LdgNoteB,$M985)="","—",INDEX(LdgNoteB,$M985)),""))</f>
        <v/>
      </c>
      <c r="F985" s="20">
        <f>IF($L985&lt;&gt;"",IF(INDEX(SCNet,$L985)=0,"",INDEX(SCNet,$L985)),"")</f>
        <v/>
      </c>
      <c r="G985" s="21">
        <f>IF($L985&lt;&gt;"",IF(INDEX(SCOp,$L985)="مرجوعی فروش","",IF(INDEX(SCAmount,$L985)&lt;=0,"",INDEX(SCAmount,$L985))),IF($M985&lt;&gt;"",IF(INDEX(LdgWitB,$M985)=0,"",INDEX(LdgWitB,$M985)),""))</f>
        <v/>
      </c>
      <c r="H985" s="21">
        <f>IF($L985&lt;&gt;"",IF(INDEX(SCOp,$L985)="مرجوعی فروش",IF(INDEX(SCAmount,$L985)=0,"",-INDEX(SCAmount,$L985)),""),IF($M985&lt;&gt;"",IF(INDEX(LdgDepB,$M985)=0,"",INDEX(LdgDepB,$M985)),""))</f>
        <v/>
      </c>
      <c r="I985" s="22">
        <f>IF($B985="","",IF($I984="",$C$10,$I984)+IF($G985="",0,$G985)-IF($H985="",0,$H985))</f>
        <v/>
      </c>
      <c r="L985">
        <f>IFERROR(MATCH($C$5&amp;"|"&amp;RIGHT("000000"&amp;969,6),LdgRankKeyA,0),"")</f>
        <v/>
      </c>
      <c r="M985">
        <f>IFERROR(MATCH($C$5&amp;"|"&amp;RIGHT("000000"&amp;969,6),LdgRankKeyB,0),"")</f>
        <v/>
      </c>
    </row>
    <row r="986">
      <c r="A986" s="23" t="n">
        <v>970</v>
      </c>
      <c r="B986" s="24">
        <f>IF(AND($L986="",$M986=""),"",IF($L986&lt;&gt;"",INDEX(SCNormDate,$L986),INDEX(LdgDateB,$M986)))</f>
        <v/>
      </c>
      <c r="C986" s="24">
        <f>IF($L986&lt;&gt;"",INDEX(SCOp,$L986),IF($M986&lt;&gt;"","پرداخت بانکی",""))</f>
        <v/>
      </c>
      <c r="D986" s="24">
        <f>IF($L986&lt;&gt;"",IF(INDEX(SCDoc,$L986)="","—",INDEX(SCDoc,$L986)),IF($M986&lt;&gt;"",INDEX(LdgBankB,$M986),""))</f>
        <v/>
      </c>
      <c r="E986" s="25">
        <f>IF($L986&lt;&gt;"",IF(INDEX(SCCitrus,$L986)&amp;INDEX(SCNotes,$L986)="","",IF(INDEX(SCCitrus,$L986)="","",INDEX(SCCitrus,$L986))&amp;IF(INDEX(SCNotes,$L986)="",""," — "&amp;INDEX(SCNotes,$L986))),IF($M986&lt;&gt;"",IF(INDEX(LdgNoteB,$M986)="","—",INDEX(LdgNoteB,$M986)),""))</f>
        <v/>
      </c>
      <c r="F986" s="26">
        <f>IF($L986&lt;&gt;"",IF(INDEX(SCNet,$L986)=0,"",INDEX(SCNet,$L986)),"")</f>
        <v/>
      </c>
      <c r="G986" s="27">
        <f>IF($L986&lt;&gt;"",IF(INDEX(SCOp,$L986)="مرجوعی فروش","",IF(INDEX(SCAmount,$L986)&lt;=0,"",INDEX(SCAmount,$L986))),IF($M986&lt;&gt;"",IF(INDEX(LdgWitB,$M986)=0,"",INDEX(LdgWitB,$M986)),""))</f>
        <v/>
      </c>
      <c r="H986" s="27">
        <f>IF($L986&lt;&gt;"",IF(INDEX(SCOp,$L986)="مرجوعی فروش",IF(INDEX(SCAmount,$L986)=0,"",-INDEX(SCAmount,$L986)),""),IF($M986&lt;&gt;"",IF(INDEX(LdgDepB,$M986)=0,"",INDEX(LdgDepB,$M986)),""))</f>
        <v/>
      </c>
      <c r="I986" s="28">
        <f>IF($B986="","",IF($I985="",$C$10,$I985)+IF($G986="",0,$G986)-IF($H986="",0,$H986))</f>
        <v/>
      </c>
      <c r="L986">
        <f>IFERROR(MATCH($C$5&amp;"|"&amp;RIGHT("000000"&amp;970,6),LdgRankKeyA,0),"")</f>
        <v/>
      </c>
      <c r="M986">
        <f>IFERROR(MATCH($C$5&amp;"|"&amp;RIGHT("000000"&amp;970,6),LdgRankKeyB,0),"")</f>
        <v/>
      </c>
    </row>
    <row r="987">
      <c r="A987" s="17" t="n">
        <v>971</v>
      </c>
      <c r="B987" s="18">
        <f>IF(AND($L987="",$M987=""),"",IF($L987&lt;&gt;"",INDEX(SCNormDate,$L987),INDEX(LdgDateB,$M987)))</f>
        <v/>
      </c>
      <c r="C987" s="18">
        <f>IF($L987&lt;&gt;"",INDEX(SCOp,$L987),IF($M987&lt;&gt;"","پرداخت بانکی",""))</f>
        <v/>
      </c>
      <c r="D987" s="18">
        <f>IF($L987&lt;&gt;"",IF(INDEX(SCDoc,$L987)="","—",INDEX(SCDoc,$L987)),IF($M987&lt;&gt;"",INDEX(LdgBankB,$M987),""))</f>
        <v/>
      </c>
      <c r="E987" s="19">
        <f>IF($L987&lt;&gt;"",IF(INDEX(SCCitrus,$L987)&amp;INDEX(SCNotes,$L987)="","",IF(INDEX(SCCitrus,$L987)="","",INDEX(SCCitrus,$L987))&amp;IF(INDEX(SCNotes,$L987)="",""," — "&amp;INDEX(SCNotes,$L987))),IF($M987&lt;&gt;"",IF(INDEX(LdgNoteB,$M987)="","—",INDEX(LdgNoteB,$M987)),""))</f>
        <v/>
      </c>
      <c r="F987" s="20">
        <f>IF($L987&lt;&gt;"",IF(INDEX(SCNet,$L987)=0,"",INDEX(SCNet,$L987)),"")</f>
        <v/>
      </c>
      <c r="G987" s="21">
        <f>IF($L987&lt;&gt;"",IF(INDEX(SCOp,$L987)="مرجوعی فروش","",IF(INDEX(SCAmount,$L987)&lt;=0,"",INDEX(SCAmount,$L987))),IF($M987&lt;&gt;"",IF(INDEX(LdgWitB,$M987)=0,"",INDEX(LdgWitB,$M987)),""))</f>
        <v/>
      </c>
      <c r="H987" s="21">
        <f>IF($L987&lt;&gt;"",IF(INDEX(SCOp,$L987)="مرجوعی فروش",IF(INDEX(SCAmount,$L987)=0,"",-INDEX(SCAmount,$L987)),""),IF($M987&lt;&gt;"",IF(INDEX(LdgDepB,$M987)=0,"",INDEX(LdgDepB,$M987)),""))</f>
        <v/>
      </c>
      <c r="I987" s="22">
        <f>IF($B987="","",IF($I986="",$C$10,$I986)+IF($G987="",0,$G987)-IF($H987="",0,$H987))</f>
        <v/>
      </c>
      <c r="L987">
        <f>IFERROR(MATCH($C$5&amp;"|"&amp;RIGHT("000000"&amp;971,6),LdgRankKeyA,0),"")</f>
        <v/>
      </c>
      <c r="M987">
        <f>IFERROR(MATCH($C$5&amp;"|"&amp;RIGHT("000000"&amp;971,6),LdgRankKeyB,0),"")</f>
        <v/>
      </c>
    </row>
    <row r="988">
      <c r="A988" s="23" t="n">
        <v>972</v>
      </c>
      <c r="B988" s="24">
        <f>IF(AND($L988="",$M988=""),"",IF($L988&lt;&gt;"",INDEX(SCNormDate,$L988),INDEX(LdgDateB,$M988)))</f>
        <v/>
      </c>
      <c r="C988" s="24">
        <f>IF($L988&lt;&gt;"",INDEX(SCOp,$L988),IF($M988&lt;&gt;"","پرداخت بانکی",""))</f>
        <v/>
      </c>
      <c r="D988" s="24">
        <f>IF($L988&lt;&gt;"",IF(INDEX(SCDoc,$L988)="","—",INDEX(SCDoc,$L988)),IF($M988&lt;&gt;"",INDEX(LdgBankB,$M988),""))</f>
        <v/>
      </c>
      <c r="E988" s="25">
        <f>IF($L988&lt;&gt;"",IF(INDEX(SCCitrus,$L988)&amp;INDEX(SCNotes,$L988)="","",IF(INDEX(SCCitrus,$L988)="","",INDEX(SCCitrus,$L988))&amp;IF(INDEX(SCNotes,$L988)="",""," — "&amp;INDEX(SCNotes,$L988))),IF($M988&lt;&gt;"",IF(INDEX(LdgNoteB,$M988)="","—",INDEX(LdgNoteB,$M988)),""))</f>
        <v/>
      </c>
      <c r="F988" s="26">
        <f>IF($L988&lt;&gt;"",IF(INDEX(SCNet,$L988)=0,"",INDEX(SCNet,$L988)),"")</f>
        <v/>
      </c>
      <c r="G988" s="27">
        <f>IF($L988&lt;&gt;"",IF(INDEX(SCOp,$L988)="مرجوعی فروش","",IF(INDEX(SCAmount,$L988)&lt;=0,"",INDEX(SCAmount,$L988))),IF($M988&lt;&gt;"",IF(INDEX(LdgWitB,$M988)=0,"",INDEX(LdgWitB,$M988)),""))</f>
        <v/>
      </c>
      <c r="H988" s="27">
        <f>IF($L988&lt;&gt;"",IF(INDEX(SCOp,$L988)="مرجوعی فروش",IF(INDEX(SCAmount,$L988)=0,"",-INDEX(SCAmount,$L988)),""),IF($M988&lt;&gt;"",IF(INDEX(LdgDepB,$M988)=0,"",INDEX(LdgDepB,$M988)),""))</f>
        <v/>
      </c>
      <c r="I988" s="28">
        <f>IF($B988="","",IF($I987="",$C$10,$I987)+IF($G988="",0,$G988)-IF($H988="",0,$H988))</f>
        <v/>
      </c>
      <c r="L988">
        <f>IFERROR(MATCH($C$5&amp;"|"&amp;RIGHT("000000"&amp;972,6),LdgRankKeyA,0),"")</f>
        <v/>
      </c>
      <c r="M988">
        <f>IFERROR(MATCH($C$5&amp;"|"&amp;RIGHT("000000"&amp;972,6),LdgRankKeyB,0),"")</f>
        <v/>
      </c>
    </row>
    <row r="989">
      <c r="A989" s="17" t="n">
        <v>973</v>
      </c>
      <c r="B989" s="18">
        <f>IF(AND($L989="",$M989=""),"",IF($L989&lt;&gt;"",INDEX(SCNormDate,$L989),INDEX(LdgDateB,$M989)))</f>
        <v/>
      </c>
      <c r="C989" s="18">
        <f>IF($L989&lt;&gt;"",INDEX(SCOp,$L989),IF($M989&lt;&gt;"","پرداخت بانکی",""))</f>
        <v/>
      </c>
      <c r="D989" s="18">
        <f>IF($L989&lt;&gt;"",IF(INDEX(SCDoc,$L989)="","—",INDEX(SCDoc,$L989)),IF($M989&lt;&gt;"",INDEX(LdgBankB,$M989),""))</f>
        <v/>
      </c>
      <c r="E989" s="19">
        <f>IF($L989&lt;&gt;"",IF(INDEX(SCCitrus,$L989)&amp;INDEX(SCNotes,$L989)="","",IF(INDEX(SCCitrus,$L989)="","",INDEX(SCCitrus,$L989))&amp;IF(INDEX(SCNotes,$L989)="",""," — "&amp;INDEX(SCNotes,$L989))),IF($M989&lt;&gt;"",IF(INDEX(LdgNoteB,$M989)="","—",INDEX(LdgNoteB,$M989)),""))</f>
        <v/>
      </c>
      <c r="F989" s="20">
        <f>IF($L989&lt;&gt;"",IF(INDEX(SCNet,$L989)=0,"",INDEX(SCNet,$L989)),"")</f>
        <v/>
      </c>
      <c r="G989" s="21">
        <f>IF($L989&lt;&gt;"",IF(INDEX(SCOp,$L989)="مرجوعی فروش","",IF(INDEX(SCAmount,$L989)&lt;=0,"",INDEX(SCAmount,$L989))),IF($M989&lt;&gt;"",IF(INDEX(LdgWitB,$M989)=0,"",INDEX(LdgWitB,$M989)),""))</f>
        <v/>
      </c>
      <c r="H989" s="21">
        <f>IF($L989&lt;&gt;"",IF(INDEX(SCOp,$L989)="مرجوعی فروش",IF(INDEX(SCAmount,$L989)=0,"",-INDEX(SCAmount,$L989)),""),IF($M989&lt;&gt;"",IF(INDEX(LdgDepB,$M989)=0,"",INDEX(LdgDepB,$M989)),""))</f>
        <v/>
      </c>
      <c r="I989" s="22">
        <f>IF($B989="","",IF($I988="",$C$10,$I988)+IF($G989="",0,$G989)-IF($H989="",0,$H989))</f>
        <v/>
      </c>
      <c r="L989">
        <f>IFERROR(MATCH($C$5&amp;"|"&amp;RIGHT("000000"&amp;973,6),LdgRankKeyA,0),"")</f>
        <v/>
      </c>
      <c r="M989">
        <f>IFERROR(MATCH($C$5&amp;"|"&amp;RIGHT("000000"&amp;973,6),LdgRankKeyB,0),"")</f>
        <v/>
      </c>
    </row>
    <row r="990">
      <c r="A990" s="23" t="n">
        <v>974</v>
      </c>
      <c r="B990" s="24">
        <f>IF(AND($L990="",$M990=""),"",IF($L990&lt;&gt;"",INDEX(SCNormDate,$L990),INDEX(LdgDateB,$M990)))</f>
        <v/>
      </c>
      <c r="C990" s="24">
        <f>IF($L990&lt;&gt;"",INDEX(SCOp,$L990),IF($M990&lt;&gt;"","پرداخت بانکی",""))</f>
        <v/>
      </c>
      <c r="D990" s="24">
        <f>IF($L990&lt;&gt;"",IF(INDEX(SCDoc,$L990)="","—",INDEX(SCDoc,$L990)),IF($M990&lt;&gt;"",INDEX(LdgBankB,$M990),""))</f>
        <v/>
      </c>
      <c r="E990" s="25">
        <f>IF($L990&lt;&gt;"",IF(INDEX(SCCitrus,$L990)&amp;INDEX(SCNotes,$L990)="","",IF(INDEX(SCCitrus,$L990)="","",INDEX(SCCitrus,$L990))&amp;IF(INDEX(SCNotes,$L990)="",""," — "&amp;INDEX(SCNotes,$L990))),IF($M990&lt;&gt;"",IF(INDEX(LdgNoteB,$M990)="","—",INDEX(LdgNoteB,$M990)),""))</f>
        <v/>
      </c>
      <c r="F990" s="26">
        <f>IF($L990&lt;&gt;"",IF(INDEX(SCNet,$L990)=0,"",INDEX(SCNet,$L990)),"")</f>
        <v/>
      </c>
      <c r="G990" s="27">
        <f>IF($L990&lt;&gt;"",IF(INDEX(SCOp,$L990)="مرجوعی فروش","",IF(INDEX(SCAmount,$L990)&lt;=0,"",INDEX(SCAmount,$L990))),IF($M990&lt;&gt;"",IF(INDEX(LdgWitB,$M990)=0,"",INDEX(LdgWitB,$M990)),""))</f>
        <v/>
      </c>
      <c r="H990" s="27">
        <f>IF($L990&lt;&gt;"",IF(INDEX(SCOp,$L990)="مرجوعی فروش",IF(INDEX(SCAmount,$L990)=0,"",-INDEX(SCAmount,$L990)),""),IF($M990&lt;&gt;"",IF(INDEX(LdgDepB,$M990)=0,"",INDEX(LdgDepB,$M990)),""))</f>
        <v/>
      </c>
      <c r="I990" s="28">
        <f>IF($B990="","",IF($I989="",$C$10,$I989)+IF($G990="",0,$G990)-IF($H990="",0,$H990))</f>
        <v/>
      </c>
      <c r="L990">
        <f>IFERROR(MATCH($C$5&amp;"|"&amp;RIGHT("000000"&amp;974,6),LdgRankKeyA,0),"")</f>
        <v/>
      </c>
      <c r="M990">
        <f>IFERROR(MATCH($C$5&amp;"|"&amp;RIGHT("000000"&amp;974,6),LdgRankKeyB,0),"")</f>
        <v/>
      </c>
    </row>
    <row r="991">
      <c r="A991" s="17" t="n">
        <v>975</v>
      </c>
      <c r="B991" s="18">
        <f>IF(AND($L991="",$M991=""),"",IF($L991&lt;&gt;"",INDEX(SCNormDate,$L991),INDEX(LdgDateB,$M991)))</f>
        <v/>
      </c>
      <c r="C991" s="18">
        <f>IF($L991&lt;&gt;"",INDEX(SCOp,$L991),IF($M991&lt;&gt;"","پرداخت بانکی",""))</f>
        <v/>
      </c>
      <c r="D991" s="18">
        <f>IF($L991&lt;&gt;"",IF(INDEX(SCDoc,$L991)="","—",INDEX(SCDoc,$L991)),IF($M991&lt;&gt;"",INDEX(LdgBankB,$M991),""))</f>
        <v/>
      </c>
      <c r="E991" s="19">
        <f>IF($L991&lt;&gt;"",IF(INDEX(SCCitrus,$L991)&amp;INDEX(SCNotes,$L991)="","",IF(INDEX(SCCitrus,$L991)="","",INDEX(SCCitrus,$L991))&amp;IF(INDEX(SCNotes,$L991)="",""," — "&amp;INDEX(SCNotes,$L991))),IF($M991&lt;&gt;"",IF(INDEX(LdgNoteB,$M991)="","—",INDEX(LdgNoteB,$M991)),""))</f>
        <v/>
      </c>
      <c r="F991" s="20">
        <f>IF($L991&lt;&gt;"",IF(INDEX(SCNet,$L991)=0,"",INDEX(SCNet,$L991)),"")</f>
        <v/>
      </c>
      <c r="G991" s="21">
        <f>IF($L991&lt;&gt;"",IF(INDEX(SCOp,$L991)="مرجوعی فروش","",IF(INDEX(SCAmount,$L991)&lt;=0,"",INDEX(SCAmount,$L991))),IF($M991&lt;&gt;"",IF(INDEX(LdgWitB,$M991)=0,"",INDEX(LdgWitB,$M991)),""))</f>
        <v/>
      </c>
      <c r="H991" s="21">
        <f>IF($L991&lt;&gt;"",IF(INDEX(SCOp,$L991)="مرجوعی فروش",IF(INDEX(SCAmount,$L991)=0,"",-INDEX(SCAmount,$L991)),""),IF($M991&lt;&gt;"",IF(INDEX(LdgDepB,$M991)=0,"",INDEX(LdgDepB,$M991)),""))</f>
        <v/>
      </c>
      <c r="I991" s="22">
        <f>IF($B991="","",IF($I990="",$C$10,$I990)+IF($G991="",0,$G991)-IF($H991="",0,$H991))</f>
        <v/>
      </c>
      <c r="L991">
        <f>IFERROR(MATCH($C$5&amp;"|"&amp;RIGHT("000000"&amp;975,6),LdgRankKeyA,0),"")</f>
        <v/>
      </c>
      <c r="M991">
        <f>IFERROR(MATCH($C$5&amp;"|"&amp;RIGHT("000000"&amp;975,6),LdgRankKeyB,0),"")</f>
        <v/>
      </c>
    </row>
    <row r="992">
      <c r="A992" s="23" t="n">
        <v>976</v>
      </c>
      <c r="B992" s="24">
        <f>IF(AND($L992="",$M992=""),"",IF($L992&lt;&gt;"",INDEX(SCNormDate,$L992),INDEX(LdgDateB,$M992)))</f>
        <v/>
      </c>
      <c r="C992" s="24">
        <f>IF($L992&lt;&gt;"",INDEX(SCOp,$L992),IF($M992&lt;&gt;"","پرداخت بانکی",""))</f>
        <v/>
      </c>
      <c r="D992" s="24">
        <f>IF($L992&lt;&gt;"",IF(INDEX(SCDoc,$L992)="","—",INDEX(SCDoc,$L992)),IF($M992&lt;&gt;"",INDEX(LdgBankB,$M992),""))</f>
        <v/>
      </c>
      <c r="E992" s="25">
        <f>IF($L992&lt;&gt;"",IF(INDEX(SCCitrus,$L992)&amp;INDEX(SCNotes,$L992)="","",IF(INDEX(SCCitrus,$L992)="","",INDEX(SCCitrus,$L992))&amp;IF(INDEX(SCNotes,$L992)="",""," — "&amp;INDEX(SCNotes,$L992))),IF($M992&lt;&gt;"",IF(INDEX(LdgNoteB,$M992)="","—",INDEX(LdgNoteB,$M992)),""))</f>
        <v/>
      </c>
      <c r="F992" s="26">
        <f>IF($L992&lt;&gt;"",IF(INDEX(SCNet,$L992)=0,"",INDEX(SCNet,$L992)),"")</f>
        <v/>
      </c>
      <c r="G992" s="27">
        <f>IF($L992&lt;&gt;"",IF(INDEX(SCOp,$L992)="مرجوعی فروش","",IF(INDEX(SCAmount,$L992)&lt;=0,"",INDEX(SCAmount,$L992))),IF($M992&lt;&gt;"",IF(INDEX(LdgWitB,$M992)=0,"",INDEX(LdgWitB,$M992)),""))</f>
        <v/>
      </c>
      <c r="H992" s="27">
        <f>IF($L992&lt;&gt;"",IF(INDEX(SCOp,$L992)="مرجوعی فروش",IF(INDEX(SCAmount,$L992)=0,"",-INDEX(SCAmount,$L992)),""),IF($M992&lt;&gt;"",IF(INDEX(LdgDepB,$M992)=0,"",INDEX(LdgDepB,$M992)),""))</f>
        <v/>
      </c>
      <c r="I992" s="28">
        <f>IF($B992="","",IF($I991="",$C$10,$I991)+IF($G992="",0,$G992)-IF($H992="",0,$H992))</f>
        <v/>
      </c>
      <c r="L992">
        <f>IFERROR(MATCH($C$5&amp;"|"&amp;RIGHT("000000"&amp;976,6),LdgRankKeyA,0),"")</f>
        <v/>
      </c>
      <c r="M992">
        <f>IFERROR(MATCH($C$5&amp;"|"&amp;RIGHT("000000"&amp;976,6),LdgRankKeyB,0),"")</f>
        <v/>
      </c>
    </row>
    <row r="993">
      <c r="A993" s="17" t="n">
        <v>977</v>
      </c>
      <c r="B993" s="18">
        <f>IF(AND($L993="",$M993=""),"",IF($L993&lt;&gt;"",INDEX(SCNormDate,$L993),INDEX(LdgDateB,$M993)))</f>
        <v/>
      </c>
      <c r="C993" s="18">
        <f>IF($L993&lt;&gt;"",INDEX(SCOp,$L993),IF($M993&lt;&gt;"","پرداخت بانکی",""))</f>
        <v/>
      </c>
      <c r="D993" s="18">
        <f>IF($L993&lt;&gt;"",IF(INDEX(SCDoc,$L993)="","—",INDEX(SCDoc,$L993)),IF($M993&lt;&gt;"",INDEX(LdgBankB,$M993),""))</f>
        <v/>
      </c>
      <c r="E993" s="19">
        <f>IF($L993&lt;&gt;"",IF(INDEX(SCCitrus,$L993)&amp;INDEX(SCNotes,$L993)="","",IF(INDEX(SCCitrus,$L993)="","",INDEX(SCCitrus,$L993))&amp;IF(INDEX(SCNotes,$L993)="",""," — "&amp;INDEX(SCNotes,$L993))),IF($M993&lt;&gt;"",IF(INDEX(LdgNoteB,$M993)="","—",INDEX(LdgNoteB,$M993)),""))</f>
        <v/>
      </c>
      <c r="F993" s="20">
        <f>IF($L993&lt;&gt;"",IF(INDEX(SCNet,$L993)=0,"",INDEX(SCNet,$L993)),"")</f>
        <v/>
      </c>
      <c r="G993" s="21">
        <f>IF($L993&lt;&gt;"",IF(INDEX(SCOp,$L993)="مرجوعی فروش","",IF(INDEX(SCAmount,$L993)&lt;=0,"",INDEX(SCAmount,$L993))),IF($M993&lt;&gt;"",IF(INDEX(LdgWitB,$M993)=0,"",INDEX(LdgWitB,$M993)),""))</f>
        <v/>
      </c>
      <c r="H993" s="21">
        <f>IF($L993&lt;&gt;"",IF(INDEX(SCOp,$L993)="مرجوعی فروش",IF(INDEX(SCAmount,$L993)=0,"",-INDEX(SCAmount,$L993)),""),IF($M993&lt;&gt;"",IF(INDEX(LdgDepB,$M993)=0,"",INDEX(LdgDepB,$M993)),""))</f>
        <v/>
      </c>
      <c r="I993" s="22">
        <f>IF($B993="","",IF($I992="",$C$10,$I992)+IF($G993="",0,$G993)-IF($H993="",0,$H993))</f>
        <v/>
      </c>
      <c r="L993">
        <f>IFERROR(MATCH($C$5&amp;"|"&amp;RIGHT("000000"&amp;977,6),LdgRankKeyA,0),"")</f>
        <v/>
      </c>
      <c r="M993">
        <f>IFERROR(MATCH($C$5&amp;"|"&amp;RIGHT("000000"&amp;977,6),LdgRankKeyB,0),"")</f>
        <v/>
      </c>
    </row>
    <row r="994">
      <c r="A994" s="23" t="n">
        <v>978</v>
      </c>
      <c r="B994" s="24">
        <f>IF(AND($L994="",$M994=""),"",IF($L994&lt;&gt;"",INDEX(SCNormDate,$L994),INDEX(LdgDateB,$M994)))</f>
        <v/>
      </c>
      <c r="C994" s="24">
        <f>IF($L994&lt;&gt;"",INDEX(SCOp,$L994),IF($M994&lt;&gt;"","پرداخت بانکی",""))</f>
        <v/>
      </c>
      <c r="D994" s="24">
        <f>IF($L994&lt;&gt;"",IF(INDEX(SCDoc,$L994)="","—",INDEX(SCDoc,$L994)),IF($M994&lt;&gt;"",INDEX(LdgBankB,$M994),""))</f>
        <v/>
      </c>
      <c r="E994" s="25">
        <f>IF($L994&lt;&gt;"",IF(INDEX(SCCitrus,$L994)&amp;INDEX(SCNotes,$L994)="","",IF(INDEX(SCCitrus,$L994)="","",INDEX(SCCitrus,$L994))&amp;IF(INDEX(SCNotes,$L994)="",""," — "&amp;INDEX(SCNotes,$L994))),IF($M994&lt;&gt;"",IF(INDEX(LdgNoteB,$M994)="","—",INDEX(LdgNoteB,$M994)),""))</f>
        <v/>
      </c>
      <c r="F994" s="26">
        <f>IF($L994&lt;&gt;"",IF(INDEX(SCNet,$L994)=0,"",INDEX(SCNet,$L994)),"")</f>
        <v/>
      </c>
      <c r="G994" s="27">
        <f>IF($L994&lt;&gt;"",IF(INDEX(SCOp,$L994)="مرجوعی فروش","",IF(INDEX(SCAmount,$L994)&lt;=0,"",INDEX(SCAmount,$L994))),IF($M994&lt;&gt;"",IF(INDEX(LdgWitB,$M994)=0,"",INDEX(LdgWitB,$M994)),""))</f>
        <v/>
      </c>
      <c r="H994" s="27">
        <f>IF($L994&lt;&gt;"",IF(INDEX(SCOp,$L994)="مرجوعی فروش",IF(INDEX(SCAmount,$L994)=0,"",-INDEX(SCAmount,$L994)),""),IF($M994&lt;&gt;"",IF(INDEX(LdgDepB,$M994)=0,"",INDEX(LdgDepB,$M994)),""))</f>
        <v/>
      </c>
      <c r="I994" s="28">
        <f>IF($B994="","",IF($I993="",$C$10,$I993)+IF($G994="",0,$G994)-IF($H994="",0,$H994))</f>
        <v/>
      </c>
      <c r="L994">
        <f>IFERROR(MATCH($C$5&amp;"|"&amp;RIGHT("000000"&amp;978,6),LdgRankKeyA,0),"")</f>
        <v/>
      </c>
      <c r="M994">
        <f>IFERROR(MATCH($C$5&amp;"|"&amp;RIGHT("000000"&amp;978,6),LdgRankKeyB,0),"")</f>
        <v/>
      </c>
    </row>
    <row r="995">
      <c r="A995" s="17" t="n">
        <v>979</v>
      </c>
      <c r="B995" s="18">
        <f>IF(AND($L995="",$M995=""),"",IF($L995&lt;&gt;"",INDEX(SCNormDate,$L995),INDEX(LdgDateB,$M995)))</f>
        <v/>
      </c>
      <c r="C995" s="18">
        <f>IF($L995&lt;&gt;"",INDEX(SCOp,$L995),IF($M995&lt;&gt;"","پرداخت بانکی",""))</f>
        <v/>
      </c>
      <c r="D995" s="18">
        <f>IF($L995&lt;&gt;"",IF(INDEX(SCDoc,$L995)="","—",INDEX(SCDoc,$L995)),IF($M995&lt;&gt;"",INDEX(LdgBankB,$M995),""))</f>
        <v/>
      </c>
      <c r="E995" s="19">
        <f>IF($L995&lt;&gt;"",IF(INDEX(SCCitrus,$L995)&amp;INDEX(SCNotes,$L995)="","",IF(INDEX(SCCitrus,$L995)="","",INDEX(SCCitrus,$L995))&amp;IF(INDEX(SCNotes,$L995)="",""," — "&amp;INDEX(SCNotes,$L995))),IF($M995&lt;&gt;"",IF(INDEX(LdgNoteB,$M995)="","—",INDEX(LdgNoteB,$M995)),""))</f>
        <v/>
      </c>
      <c r="F995" s="20">
        <f>IF($L995&lt;&gt;"",IF(INDEX(SCNet,$L995)=0,"",INDEX(SCNet,$L995)),"")</f>
        <v/>
      </c>
      <c r="G995" s="21">
        <f>IF($L995&lt;&gt;"",IF(INDEX(SCOp,$L995)="مرجوعی فروش","",IF(INDEX(SCAmount,$L995)&lt;=0,"",INDEX(SCAmount,$L995))),IF($M995&lt;&gt;"",IF(INDEX(LdgWitB,$M995)=0,"",INDEX(LdgWitB,$M995)),""))</f>
        <v/>
      </c>
      <c r="H995" s="21">
        <f>IF($L995&lt;&gt;"",IF(INDEX(SCOp,$L995)="مرجوعی فروش",IF(INDEX(SCAmount,$L995)=0,"",-INDEX(SCAmount,$L995)),""),IF($M995&lt;&gt;"",IF(INDEX(LdgDepB,$M995)=0,"",INDEX(LdgDepB,$M995)),""))</f>
        <v/>
      </c>
      <c r="I995" s="22">
        <f>IF($B995="","",IF($I994="",$C$10,$I994)+IF($G995="",0,$G995)-IF($H995="",0,$H995))</f>
        <v/>
      </c>
      <c r="L995">
        <f>IFERROR(MATCH($C$5&amp;"|"&amp;RIGHT("000000"&amp;979,6),LdgRankKeyA,0),"")</f>
        <v/>
      </c>
      <c r="M995">
        <f>IFERROR(MATCH($C$5&amp;"|"&amp;RIGHT("000000"&amp;979,6),LdgRankKeyB,0),"")</f>
        <v/>
      </c>
    </row>
    <row r="996">
      <c r="A996" s="23" t="n">
        <v>980</v>
      </c>
      <c r="B996" s="24">
        <f>IF(AND($L996="",$M996=""),"",IF($L996&lt;&gt;"",INDEX(SCNormDate,$L996),INDEX(LdgDateB,$M996)))</f>
        <v/>
      </c>
      <c r="C996" s="24">
        <f>IF($L996&lt;&gt;"",INDEX(SCOp,$L996),IF($M996&lt;&gt;"","پرداخت بانکی",""))</f>
        <v/>
      </c>
      <c r="D996" s="24">
        <f>IF($L996&lt;&gt;"",IF(INDEX(SCDoc,$L996)="","—",INDEX(SCDoc,$L996)),IF($M996&lt;&gt;"",INDEX(LdgBankB,$M996),""))</f>
        <v/>
      </c>
      <c r="E996" s="25">
        <f>IF($L996&lt;&gt;"",IF(INDEX(SCCitrus,$L996)&amp;INDEX(SCNotes,$L996)="","",IF(INDEX(SCCitrus,$L996)="","",INDEX(SCCitrus,$L996))&amp;IF(INDEX(SCNotes,$L996)="",""," — "&amp;INDEX(SCNotes,$L996))),IF($M996&lt;&gt;"",IF(INDEX(LdgNoteB,$M996)="","—",INDEX(LdgNoteB,$M996)),""))</f>
        <v/>
      </c>
      <c r="F996" s="26">
        <f>IF($L996&lt;&gt;"",IF(INDEX(SCNet,$L996)=0,"",INDEX(SCNet,$L996)),"")</f>
        <v/>
      </c>
      <c r="G996" s="27">
        <f>IF($L996&lt;&gt;"",IF(INDEX(SCOp,$L996)="مرجوعی فروش","",IF(INDEX(SCAmount,$L996)&lt;=0,"",INDEX(SCAmount,$L996))),IF($M996&lt;&gt;"",IF(INDEX(LdgWitB,$M996)=0,"",INDEX(LdgWitB,$M996)),""))</f>
        <v/>
      </c>
      <c r="H996" s="27">
        <f>IF($L996&lt;&gt;"",IF(INDEX(SCOp,$L996)="مرجوعی فروش",IF(INDEX(SCAmount,$L996)=0,"",-INDEX(SCAmount,$L996)),""),IF($M996&lt;&gt;"",IF(INDEX(LdgDepB,$M996)=0,"",INDEX(LdgDepB,$M996)),""))</f>
        <v/>
      </c>
      <c r="I996" s="28">
        <f>IF($B996="","",IF($I995="",$C$10,$I995)+IF($G996="",0,$G996)-IF($H996="",0,$H996))</f>
        <v/>
      </c>
      <c r="L996">
        <f>IFERROR(MATCH($C$5&amp;"|"&amp;RIGHT("000000"&amp;980,6),LdgRankKeyA,0),"")</f>
        <v/>
      </c>
      <c r="M996">
        <f>IFERROR(MATCH($C$5&amp;"|"&amp;RIGHT("000000"&amp;980,6),LdgRankKeyB,0),"")</f>
        <v/>
      </c>
    </row>
    <row r="997">
      <c r="A997" s="17" t="n">
        <v>981</v>
      </c>
      <c r="B997" s="18">
        <f>IF(AND($L997="",$M997=""),"",IF($L997&lt;&gt;"",INDEX(SCNormDate,$L997),INDEX(LdgDateB,$M997)))</f>
        <v/>
      </c>
      <c r="C997" s="18">
        <f>IF($L997&lt;&gt;"",INDEX(SCOp,$L997),IF($M997&lt;&gt;"","پرداخت بانکی",""))</f>
        <v/>
      </c>
      <c r="D997" s="18">
        <f>IF($L997&lt;&gt;"",IF(INDEX(SCDoc,$L997)="","—",INDEX(SCDoc,$L997)),IF($M997&lt;&gt;"",INDEX(LdgBankB,$M997),""))</f>
        <v/>
      </c>
      <c r="E997" s="19">
        <f>IF($L997&lt;&gt;"",IF(INDEX(SCCitrus,$L997)&amp;INDEX(SCNotes,$L997)="","",IF(INDEX(SCCitrus,$L997)="","",INDEX(SCCitrus,$L997))&amp;IF(INDEX(SCNotes,$L997)="",""," — "&amp;INDEX(SCNotes,$L997))),IF($M997&lt;&gt;"",IF(INDEX(LdgNoteB,$M997)="","—",INDEX(LdgNoteB,$M997)),""))</f>
        <v/>
      </c>
      <c r="F997" s="20">
        <f>IF($L997&lt;&gt;"",IF(INDEX(SCNet,$L997)=0,"",INDEX(SCNet,$L997)),"")</f>
        <v/>
      </c>
      <c r="G997" s="21">
        <f>IF($L997&lt;&gt;"",IF(INDEX(SCOp,$L997)="مرجوعی فروش","",IF(INDEX(SCAmount,$L997)&lt;=0,"",INDEX(SCAmount,$L997))),IF($M997&lt;&gt;"",IF(INDEX(LdgWitB,$M997)=0,"",INDEX(LdgWitB,$M997)),""))</f>
        <v/>
      </c>
      <c r="H997" s="21">
        <f>IF($L997&lt;&gt;"",IF(INDEX(SCOp,$L997)="مرجوعی فروش",IF(INDEX(SCAmount,$L997)=0,"",-INDEX(SCAmount,$L997)),""),IF($M997&lt;&gt;"",IF(INDEX(LdgDepB,$M997)=0,"",INDEX(LdgDepB,$M997)),""))</f>
        <v/>
      </c>
      <c r="I997" s="22">
        <f>IF($B997="","",IF($I996="",$C$10,$I996)+IF($G997="",0,$G997)-IF($H997="",0,$H997))</f>
        <v/>
      </c>
      <c r="L997">
        <f>IFERROR(MATCH($C$5&amp;"|"&amp;RIGHT("000000"&amp;981,6),LdgRankKeyA,0),"")</f>
        <v/>
      </c>
      <c r="M997">
        <f>IFERROR(MATCH($C$5&amp;"|"&amp;RIGHT("000000"&amp;981,6),LdgRankKeyB,0),"")</f>
        <v/>
      </c>
    </row>
    <row r="998">
      <c r="A998" s="23" t="n">
        <v>982</v>
      </c>
      <c r="B998" s="24">
        <f>IF(AND($L998="",$M998=""),"",IF($L998&lt;&gt;"",INDEX(SCNormDate,$L998),INDEX(LdgDateB,$M998)))</f>
        <v/>
      </c>
      <c r="C998" s="24">
        <f>IF($L998&lt;&gt;"",INDEX(SCOp,$L998),IF($M998&lt;&gt;"","پرداخت بانکی",""))</f>
        <v/>
      </c>
      <c r="D998" s="24">
        <f>IF($L998&lt;&gt;"",IF(INDEX(SCDoc,$L998)="","—",INDEX(SCDoc,$L998)),IF($M998&lt;&gt;"",INDEX(LdgBankB,$M998),""))</f>
        <v/>
      </c>
      <c r="E998" s="25">
        <f>IF($L998&lt;&gt;"",IF(INDEX(SCCitrus,$L998)&amp;INDEX(SCNotes,$L998)="","",IF(INDEX(SCCitrus,$L998)="","",INDEX(SCCitrus,$L998))&amp;IF(INDEX(SCNotes,$L998)="",""," — "&amp;INDEX(SCNotes,$L998))),IF($M998&lt;&gt;"",IF(INDEX(LdgNoteB,$M998)="","—",INDEX(LdgNoteB,$M998)),""))</f>
        <v/>
      </c>
      <c r="F998" s="26">
        <f>IF($L998&lt;&gt;"",IF(INDEX(SCNet,$L998)=0,"",INDEX(SCNet,$L998)),"")</f>
        <v/>
      </c>
      <c r="G998" s="27">
        <f>IF($L998&lt;&gt;"",IF(INDEX(SCOp,$L998)="مرجوعی فروش","",IF(INDEX(SCAmount,$L998)&lt;=0,"",INDEX(SCAmount,$L998))),IF($M998&lt;&gt;"",IF(INDEX(LdgWitB,$M998)=0,"",INDEX(LdgWitB,$M998)),""))</f>
        <v/>
      </c>
      <c r="H998" s="27">
        <f>IF($L998&lt;&gt;"",IF(INDEX(SCOp,$L998)="مرجوعی فروش",IF(INDEX(SCAmount,$L998)=0,"",-INDEX(SCAmount,$L998)),""),IF($M998&lt;&gt;"",IF(INDEX(LdgDepB,$M998)=0,"",INDEX(LdgDepB,$M998)),""))</f>
        <v/>
      </c>
      <c r="I998" s="28">
        <f>IF($B998="","",IF($I997="",$C$10,$I997)+IF($G998="",0,$G998)-IF($H998="",0,$H998))</f>
        <v/>
      </c>
      <c r="L998">
        <f>IFERROR(MATCH($C$5&amp;"|"&amp;RIGHT("000000"&amp;982,6),LdgRankKeyA,0),"")</f>
        <v/>
      </c>
      <c r="M998">
        <f>IFERROR(MATCH($C$5&amp;"|"&amp;RIGHT("000000"&amp;982,6),LdgRankKeyB,0),"")</f>
        <v/>
      </c>
    </row>
    <row r="999">
      <c r="A999" s="17" t="n">
        <v>983</v>
      </c>
      <c r="B999" s="18">
        <f>IF(AND($L999="",$M999=""),"",IF($L999&lt;&gt;"",INDEX(SCNormDate,$L999),INDEX(LdgDateB,$M999)))</f>
        <v/>
      </c>
      <c r="C999" s="18">
        <f>IF($L999&lt;&gt;"",INDEX(SCOp,$L999),IF($M999&lt;&gt;"","پرداخت بانکی",""))</f>
        <v/>
      </c>
      <c r="D999" s="18">
        <f>IF($L999&lt;&gt;"",IF(INDEX(SCDoc,$L999)="","—",INDEX(SCDoc,$L999)),IF($M999&lt;&gt;"",INDEX(LdgBankB,$M999),""))</f>
        <v/>
      </c>
      <c r="E999" s="19">
        <f>IF($L999&lt;&gt;"",IF(INDEX(SCCitrus,$L999)&amp;INDEX(SCNotes,$L999)="","",IF(INDEX(SCCitrus,$L999)="","",INDEX(SCCitrus,$L999))&amp;IF(INDEX(SCNotes,$L999)="",""," — "&amp;INDEX(SCNotes,$L999))),IF($M999&lt;&gt;"",IF(INDEX(LdgNoteB,$M999)="","—",INDEX(LdgNoteB,$M999)),""))</f>
        <v/>
      </c>
      <c r="F999" s="20">
        <f>IF($L999&lt;&gt;"",IF(INDEX(SCNet,$L999)=0,"",INDEX(SCNet,$L999)),"")</f>
        <v/>
      </c>
      <c r="G999" s="21">
        <f>IF($L999&lt;&gt;"",IF(INDEX(SCOp,$L999)="مرجوعی فروش","",IF(INDEX(SCAmount,$L999)&lt;=0,"",INDEX(SCAmount,$L999))),IF($M999&lt;&gt;"",IF(INDEX(LdgWitB,$M999)=0,"",INDEX(LdgWitB,$M999)),""))</f>
        <v/>
      </c>
      <c r="H999" s="21">
        <f>IF($L999&lt;&gt;"",IF(INDEX(SCOp,$L999)="مرجوعی فروش",IF(INDEX(SCAmount,$L999)=0,"",-INDEX(SCAmount,$L999)),""),IF($M999&lt;&gt;"",IF(INDEX(LdgDepB,$M999)=0,"",INDEX(LdgDepB,$M999)),""))</f>
        <v/>
      </c>
      <c r="I999" s="22">
        <f>IF($B999="","",IF($I998="",$C$10,$I998)+IF($G999="",0,$G999)-IF($H999="",0,$H999))</f>
        <v/>
      </c>
      <c r="L999">
        <f>IFERROR(MATCH($C$5&amp;"|"&amp;RIGHT("000000"&amp;983,6),LdgRankKeyA,0),"")</f>
        <v/>
      </c>
      <c r="M999">
        <f>IFERROR(MATCH($C$5&amp;"|"&amp;RIGHT("000000"&amp;983,6),LdgRankKeyB,0),"")</f>
        <v/>
      </c>
    </row>
    <row r="1000">
      <c r="A1000" s="23" t="n">
        <v>984</v>
      </c>
      <c r="B1000" s="24">
        <f>IF(AND($L1000="",$M1000=""),"",IF($L1000&lt;&gt;"",INDEX(SCNormDate,$L1000),INDEX(LdgDateB,$M1000)))</f>
        <v/>
      </c>
      <c r="C1000" s="24">
        <f>IF($L1000&lt;&gt;"",INDEX(SCOp,$L1000),IF($M1000&lt;&gt;"","پرداخت بانکی",""))</f>
        <v/>
      </c>
      <c r="D1000" s="24">
        <f>IF($L1000&lt;&gt;"",IF(INDEX(SCDoc,$L1000)="","—",INDEX(SCDoc,$L1000)),IF($M1000&lt;&gt;"",INDEX(LdgBankB,$M1000),""))</f>
        <v/>
      </c>
      <c r="E1000" s="25">
        <f>IF($L1000&lt;&gt;"",IF(INDEX(SCCitrus,$L1000)&amp;INDEX(SCNotes,$L1000)="","",IF(INDEX(SCCitrus,$L1000)="","",INDEX(SCCitrus,$L1000))&amp;IF(INDEX(SCNotes,$L1000)="",""," — "&amp;INDEX(SCNotes,$L1000))),IF($M1000&lt;&gt;"",IF(INDEX(LdgNoteB,$M1000)="","—",INDEX(LdgNoteB,$M1000)),""))</f>
        <v/>
      </c>
      <c r="F1000" s="26">
        <f>IF($L1000&lt;&gt;"",IF(INDEX(SCNet,$L1000)=0,"",INDEX(SCNet,$L1000)),"")</f>
        <v/>
      </c>
      <c r="G1000" s="27">
        <f>IF($L1000&lt;&gt;"",IF(INDEX(SCOp,$L1000)="مرجوعی فروش","",IF(INDEX(SCAmount,$L1000)&lt;=0,"",INDEX(SCAmount,$L1000))),IF($M1000&lt;&gt;"",IF(INDEX(LdgWitB,$M1000)=0,"",INDEX(LdgWitB,$M1000)),""))</f>
        <v/>
      </c>
      <c r="H1000" s="27">
        <f>IF($L1000&lt;&gt;"",IF(INDEX(SCOp,$L1000)="مرجوعی فروش",IF(INDEX(SCAmount,$L1000)=0,"",-INDEX(SCAmount,$L1000)),""),IF($M1000&lt;&gt;"",IF(INDEX(LdgDepB,$M1000)=0,"",INDEX(LdgDepB,$M1000)),""))</f>
        <v/>
      </c>
      <c r="I1000" s="28">
        <f>IF($B1000="","",IF($I999="",$C$10,$I999)+IF($G1000="",0,$G1000)-IF($H1000="",0,$H1000))</f>
        <v/>
      </c>
      <c r="L1000">
        <f>IFERROR(MATCH($C$5&amp;"|"&amp;RIGHT("000000"&amp;984,6),LdgRankKeyA,0),"")</f>
        <v/>
      </c>
      <c r="M1000">
        <f>IFERROR(MATCH($C$5&amp;"|"&amp;RIGHT("000000"&amp;984,6),LdgRankKeyB,0),"")</f>
        <v/>
      </c>
    </row>
    <row r="1001">
      <c r="A1001" s="17" t="n">
        <v>985</v>
      </c>
      <c r="B1001" s="18">
        <f>IF(AND($L1001="",$M1001=""),"",IF($L1001&lt;&gt;"",INDEX(SCNormDate,$L1001),INDEX(LdgDateB,$M1001)))</f>
        <v/>
      </c>
      <c r="C1001" s="18">
        <f>IF($L1001&lt;&gt;"",INDEX(SCOp,$L1001),IF($M1001&lt;&gt;"","پرداخت بانکی",""))</f>
        <v/>
      </c>
      <c r="D1001" s="18">
        <f>IF($L1001&lt;&gt;"",IF(INDEX(SCDoc,$L1001)="","—",INDEX(SCDoc,$L1001)),IF($M1001&lt;&gt;"",INDEX(LdgBankB,$M1001),""))</f>
        <v/>
      </c>
      <c r="E1001" s="19">
        <f>IF($L1001&lt;&gt;"",IF(INDEX(SCCitrus,$L1001)&amp;INDEX(SCNotes,$L1001)="","",IF(INDEX(SCCitrus,$L1001)="","",INDEX(SCCitrus,$L1001))&amp;IF(INDEX(SCNotes,$L1001)="",""," — "&amp;INDEX(SCNotes,$L1001))),IF($M1001&lt;&gt;"",IF(INDEX(LdgNoteB,$M1001)="","—",INDEX(LdgNoteB,$M1001)),""))</f>
        <v/>
      </c>
      <c r="F1001" s="20">
        <f>IF($L1001&lt;&gt;"",IF(INDEX(SCNet,$L1001)=0,"",INDEX(SCNet,$L1001)),"")</f>
        <v/>
      </c>
      <c r="G1001" s="21">
        <f>IF($L1001&lt;&gt;"",IF(INDEX(SCOp,$L1001)="مرجوعی فروش","",IF(INDEX(SCAmount,$L1001)&lt;=0,"",INDEX(SCAmount,$L1001))),IF($M1001&lt;&gt;"",IF(INDEX(LdgWitB,$M1001)=0,"",INDEX(LdgWitB,$M1001)),""))</f>
        <v/>
      </c>
      <c r="H1001" s="21">
        <f>IF($L1001&lt;&gt;"",IF(INDEX(SCOp,$L1001)="مرجوعی فروش",IF(INDEX(SCAmount,$L1001)=0,"",-INDEX(SCAmount,$L1001)),""),IF($M1001&lt;&gt;"",IF(INDEX(LdgDepB,$M1001)=0,"",INDEX(LdgDepB,$M1001)),""))</f>
        <v/>
      </c>
      <c r="I1001" s="22">
        <f>IF($B1001="","",IF($I1000="",$C$10,$I1000)+IF($G1001="",0,$G1001)-IF($H1001="",0,$H1001))</f>
        <v/>
      </c>
      <c r="L1001">
        <f>IFERROR(MATCH($C$5&amp;"|"&amp;RIGHT("000000"&amp;985,6),LdgRankKeyA,0),"")</f>
        <v/>
      </c>
      <c r="M1001">
        <f>IFERROR(MATCH($C$5&amp;"|"&amp;RIGHT("000000"&amp;985,6),LdgRankKeyB,0),"")</f>
        <v/>
      </c>
    </row>
    <row r="1002">
      <c r="A1002" s="23" t="n">
        <v>986</v>
      </c>
      <c r="B1002" s="24">
        <f>IF(AND($L1002="",$M1002=""),"",IF($L1002&lt;&gt;"",INDEX(SCNormDate,$L1002),INDEX(LdgDateB,$M1002)))</f>
        <v/>
      </c>
      <c r="C1002" s="24">
        <f>IF($L1002&lt;&gt;"",INDEX(SCOp,$L1002),IF($M1002&lt;&gt;"","پرداخت بانکی",""))</f>
        <v/>
      </c>
      <c r="D1002" s="24">
        <f>IF($L1002&lt;&gt;"",IF(INDEX(SCDoc,$L1002)="","—",INDEX(SCDoc,$L1002)),IF($M1002&lt;&gt;"",INDEX(LdgBankB,$M1002),""))</f>
        <v/>
      </c>
      <c r="E1002" s="25">
        <f>IF($L1002&lt;&gt;"",IF(INDEX(SCCitrus,$L1002)&amp;INDEX(SCNotes,$L1002)="","",IF(INDEX(SCCitrus,$L1002)="","",INDEX(SCCitrus,$L1002))&amp;IF(INDEX(SCNotes,$L1002)="",""," — "&amp;INDEX(SCNotes,$L1002))),IF($M1002&lt;&gt;"",IF(INDEX(LdgNoteB,$M1002)="","—",INDEX(LdgNoteB,$M1002)),""))</f>
        <v/>
      </c>
      <c r="F1002" s="26">
        <f>IF($L1002&lt;&gt;"",IF(INDEX(SCNet,$L1002)=0,"",INDEX(SCNet,$L1002)),"")</f>
        <v/>
      </c>
      <c r="G1002" s="27">
        <f>IF($L1002&lt;&gt;"",IF(INDEX(SCOp,$L1002)="مرجوعی فروش","",IF(INDEX(SCAmount,$L1002)&lt;=0,"",INDEX(SCAmount,$L1002))),IF($M1002&lt;&gt;"",IF(INDEX(LdgWitB,$M1002)=0,"",INDEX(LdgWitB,$M1002)),""))</f>
        <v/>
      </c>
      <c r="H1002" s="27">
        <f>IF($L1002&lt;&gt;"",IF(INDEX(SCOp,$L1002)="مرجوعی فروش",IF(INDEX(SCAmount,$L1002)=0,"",-INDEX(SCAmount,$L1002)),""),IF($M1002&lt;&gt;"",IF(INDEX(LdgDepB,$M1002)=0,"",INDEX(LdgDepB,$M1002)),""))</f>
        <v/>
      </c>
      <c r="I1002" s="28">
        <f>IF($B1002="","",IF($I1001="",$C$10,$I1001)+IF($G1002="",0,$G1002)-IF($H1002="",0,$H1002))</f>
        <v/>
      </c>
      <c r="L1002">
        <f>IFERROR(MATCH($C$5&amp;"|"&amp;RIGHT("000000"&amp;986,6),LdgRankKeyA,0),"")</f>
        <v/>
      </c>
      <c r="M1002">
        <f>IFERROR(MATCH($C$5&amp;"|"&amp;RIGHT("000000"&amp;986,6),LdgRankKeyB,0),"")</f>
        <v/>
      </c>
    </row>
    <row r="1003">
      <c r="A1003" s="17" t="n">
        <v>987</v>
      </c>
      <c r="B1003" s="18">
        <f>IF(AND($L1003="",$M1003=""),"",IF($L1003&lt;&gt;"",INDEX(SCNormDate,$L1003),INDEX(LdgDateB,$M1003)))</f>
        <v/>
      </c>
      <c r="C1003" s="18">
        <f>IF($L1003&lt;&gt;"",INDEX(SCOp,$L1003),IF($M1003&lt;&gt;"","پرداخت بانکی",""))</f>
        <v/>
      </c>
      <c r="D1003" s="18">
        <f>IF($L1003&lt;&gt;"",IF(INDEX(SCDoc,$L1003)="","—",INDEX(SCDoc,$L1003)),IF($M1003&lt;&gt;"",INDEX(LdgBankB,$M1003),""))</f>
        <v/>
      </c>
      <c r="E1003" s="19">
        <f>IF($L1003&lt;&gt;"",IF(INDEX(SCCitrus,$L1003)&amp;INDEX(SCNotes,$L1003)="","",IF(INDEX(SCCitrus,$L1003)="","",INDEX(SCCitrus,$L1003))&amp;IF(INDEX(SCNotes,$L1003)="",""," — "&amp;INDEX(SCNotes,$L1003))),IF($M1003&lt;&gt;"",IF(INDEX(LdgNoteB,$M1003)="","—",INDEX(LdgNoteB,$M1003)),""))</f>
        <v/>
      </c>
      <c r="F1003" s="20">
        <f>IF($L1003&lt;&gt;"",IF(INDEX(SCNet,$L1003)=0,"",INDEX(SCNet,$L1003)),"")</f>
        <v/>
      </c>
      <c r="G1003" s="21">
        <f>IF($L1003&lt;&gt;"",IF(INDEX(SCOp,$L1003)="مرجوعی فروش","",IF(INDEX(SCAmount,$L1003)&lt;=0,"",INDEX(SCAmount,$L1003))),IF($M1003&lt;&gt;"",IF(INDEX(LdgWitB,$M1003)=0,"",INDEX(LdgWitB,$M1003)),""))</f>
        <v/>
      </c>
      <c r="H1003" s="21">
        <f>IF($L1003&lt;&gt;"",IF(INDEX(SCOp,$L1003)="مرجوعی فروش",IF(INDEX(SCAmount,$L1003)=0,"",-INDEX(SCAmount,$L1003)),""),IF($M1003&lt;&gt;"",IF(INDEX(LdgDepB,$M1003)=0,"",INDEX(LdgDepB,$M1003)),""))</f>
        <v/>
      </c>
      <c r="I1003" s="22">
        <f>IF($B1003="","",IF($I1002="",$C$10,$I1002)+IF($G1003="",0,$G1003)-IF($H1003="",0,$H1003))</f>
        <v/>
      </c>
      <c r="L1003">
        <f>IFERROR(MATCH($C$5&amp;"|"&amp;RIGHT("000000"&amp;987,6),LdgRankKeyA,0),"")</f>
        <v/>
      </c>
      <c r="M1003">
        <f>IFERROR(MATCH($C$5&amp;"|"&amp;RIGHT("000000"&amp;987,6),LdgRankKeyB,0),"")</f>
        <v/>
      </c>
    </row>
    <row r="1004">
      <c r="A1004" s="23" t="n">
        <v>988</v>
      </c>
      <c r="B1004" s="24">
        <f>IF(AND($L1004="",$M1004=""),"",IF($L1004&lt;&gt;"",INDEX(SCNormDate,$L1004),INDEX(LdgDateB,$M1004)))</f>
        <v/>
      </c>
      <c r="C1004" s="24">
        <f>IF($L1004&lt;&gt;"",INDEX(SCOp,$L1004),IF($M1004&lt;&gt;"","پرداخت بانکی",""))</f>
        <v/>
      </c>
      <c r="D1004" s="24">
        <f>IF($L1004&lt;&gt;"",IF(INDEX(SCDoc,$L1004)="","—",INDEX(SCDoc,$L1004)),IF($M1004&lt;&gt;"",INDEX(LdgBankB,$M1004),""))</f>
        <v/>
      </c>
      <c r="E1004" s="25">
        <f>IF($L1004&lt;&gt;"",IF(INDEX(SCCitrus,$L1004)&amp;INDEX(SCNotes,$L1004)="","",IF(INDEX(SCCitrus,$L1004)="","",INDEX(SCCitrus,$L1004))&amp;IF(INDEX(SCNotes,$L1004)="",""," — "&amp;INDEX(SCNotes,$L1004))),IF($M1004&lt;&gt;"",IF(INDEX(LdgNoteB,$M1004)="","—",INDEX(LdgNoteB,$M1004)),""))</f>
        <v/>
      </c>
      <c r="F1004" s="26">
        <f>IF($L1004&lt;&gt;"",IF(INDEX(SCNet,$L1004)=0,"",INDEX(SCNet,$L1004)),"")</f>
        <v/>
      </c>
      <c r="G1004" s="27">
        <f>IF($L1004&lt;&gt;"",IF(INDEX(SCOp,$L1004)="مرجوعی فروش","",IF(INDEX(SCAmount,$L1004)&lt;=0,"",INDEX(SCAmount,$L1004))),IF($M1004&lt;&gt;"",IF(INDEX(LdgWitB,$M1004)=0,"",INDEX(LdgWitB,$M1004)),""))</f>
        <v/>
      </c>
      <c r="H1004" s="27">
        <f>IF($L1004&lt;&gt;"",IF(INDEX(SCOp,$L1004)="مرجوعی فروش",IF(INDEX(SCAmount,$L1004)=0,"",-INDEX(SCAmount,$L1004)),""),IF($M1004&lt;&gt;"",IF(INDEX(LdgDepB,$M1004)=0,"",INDEX(LdgDepB,$M1004)),""))</f>
        <v/>
      </c>
      <c r="I1004" s="28">
        <f>IF($B1004="","",IF($I1003="",$C$10,$I1003)+IF($G1004="",0,$G1004)-IF($H1004="",0,$H1004))</f>
        <v/>
      </c>
      <c r="L1004">
        <f>IFERROR(MATCH($C$5&amp;"|"&amp;RIGHT("000000"&amp;988,6),LdgRankKeyA,0),"")</f>
        <v/>
      </c>
      <c r="M1004">
        <f>IFERROR(MATCH($C$5&amp;"|"&amp;RIGHT("000000"&amp;988,6),LdgRankKeyB,0),"")</f>
        <v/>
      </c>
    </row>
    <row r="1005">
      <c r="A1005" s="17" t="n">
        <v>989</v>
      </c>
      <c r="B1005" s="18">
        <f>IF(AND($L1005="",$M1005=""),"",IF($L1005&lt;&gt;"",INDEX(SCNormDate,$L1005),INDEX(LdgDateB,$M1005)))</f>
        <v/>
      </c>
      <c r="C1005" s="18">
        <f>IF($L1005&lt;&gt;"",INDEX(SCOp,$L1005),IF($M1005&lt;&gt;"","پرداخت بانکی",""))</f>
        <v/>
      </c>
      <c r="D1005" s="18">
        <f>IF($L1005&lt;&gt;"",IF(INDEX(SCDoc,$L1005)="","—",INDEX(SCDoc,$L1005)),IF($M1005&lt;&gt;"",INDEX(LdgBankB,$M1005),""))</f>
        <v/>
      </c>
      <c r="E1005" s="19">
        <f>IF($L1005&lt;&gt;"",IF(INDEX(SCCitrus,$L1005)&amp;INDEX(SCNotes,$L1005)="","",IF(INDEX(SCCitrus,$L1005)="","",INDEX(SCCitrus,$L1005))&amp;IF(INDEX(SCNotes,$L1005)="",""," — "&amp;INDEX(SCNotes,$L1005))),IF($M1005&lt;&gt;"",IF(INDEX(LdgNoteB,$M1005)="","—",INDEX(LdgNoteB,$M1005)),""))</f>
        <v/>
      </c>
      <c r="F1005" s="20">
        <f>IF($L1005&lt;&gt;"",IF(INDEX(SCNet,$L1005)=0,"",INDEX(SCNet,$L1005)),"")</f>
        <v/>
      </c>
      <c r="G1005" s="21">
        <f>IF($L1005&lt;&gt;"",IF(INDEX(SCOp,$L1005)="مرجوعی فروش","",IF(INDEX(SCAmount,$L1005)&lt;=0,"",INDEX(SCAmount,$L1005))),IF($M1005&lt;&gt;"",IF(INDEX(LdgWitB,$M1005)=0,"",INDEX(LdgWitB,$M1005)),""))</f>
        <v/>
      </c>
      <c r="H1005" s="21">
        <f>IF($L1005&lt;&gt;"",IF(INDEX(SCOp,$L1005)="مرجوعی فروش",IF(INDEX(SCAmount,$L1005)=0,"",-INDEX(SCAmount,$L1005)),""),IF($M1005&lt;&gt;"",IF(INDEX(LdgDepB,$M1005)=0,"",INDEX(LdgDepB,$M1005)),""))</f>
        <v/>
      </c>
      <c r="I1005" s="22">
        <f>IF($B1005="","",IF($I1004="",$C$10,$I1004)+IF($G1005="",0,$G1005)-IF($H1005="",0,$H1005))</f>
        <v/>
      </c>
      <c r="L1005">
        <f>IFERROR(MATCH($C$5&amp;"|"&amp;RIGHT("000000"&amp;989,6),LdgRankKeyA,0),"")</f>
        <v/>
      </c>
      <c r="M1005">
        <f>IFERROR(MATCH($C$5&amp;"|"&amp;RIGHT("000000"&amp;989,6),LdgRankKeyB,0),"")</f>
        <v/>
      </c>
    </row>
    <row r="1006">
      <c r="A1006" s="23" t="n">
        <v>990</v>
      </c>
      <c r="B1006" s="24">
        <f>IF(AND($L1006="",$M1006=""),"",IF($L1006&lt;&gt;"",INDEX(SCNormDate,$L1006),INDEX(LdgDateB,$M1006)))</f>
        <v/>
      </c>
      <c r="C1006" s="24">
        <f>IF($L1006&lt;&gt;"",INDEX(SCOp,$L1006),IF($M1006&lt;&gt;"","پرداخت بانکی",""))</f>
        <v/>
      </c>
      <c r="D1006" s="24">
        <f>IF($L1006&lt;&gt;"",IF(INDEX(SCDoc,$L1006)="","—",INDEX(SCDoc,$L1006)),IF($M1006&lt;&gt;"",INDEX(LdgBankB,$M1006),""))</f>
        <v/>
      </c>
      <c r="E1006" s="25">
        <f>IF($L1006&lt;&gt;"",IF(INDEX(SCCitrus,$L1006)&amp;INDEX(SCNotes,$L1006)="","",IF(INDEX(SCCitrus,$L1006)="","",INDEX(SCCitrus,$L1006))&amp;IF(INDEX(SCNotes,$L1006)="",""," — "&amp;INDEX(SCNotes,$L1006))),IF($M1006&lt;&gt;"",IF(INDEX(LdgNoteB,$M1006)="","—",INDEX(LdgNoteB,$M1006)),""))</f>
        <v/>
      </c>
      <c r="F1006" s="26">
        <f>IF($L1006&lt;&gt;"",IF(INDEX(SCNet,$L1006)=0,"",INDEX(SCNet,$L1006)),"")</f>
        <v/>
      </c>
      <c r="G1006" s="27">
        <f>IF($L1006&lt;&gt;"",IF(INDEX(SCOp,$L1006)="مرجوعی فروش","",IF(INDEX(SCAmount,$L1006)&lt;=0,"",INDEX(SCAmount,$L1006))),IF($M1006&lt;&gt;"",IF(INDEX(LdgWitB,$M1006)=0,"",INDEX(LdgWitB,$M1006)),""))</f>
        <v/>
      </c>
      <c r="H1006" s="27">
        <f>IF($L1006&lt;&gt;"",IF(INDEX(SCOp,$L1006)="مرجوعی فروش",IF(INDEX(SCAmount,$L1006)=0,"",-INDEX(SCAmount,$L1006)),""),IF($M1006&lt;&gt;"",IF(INDEX(LdgDepB,$M1006)=0,"",INDEX(LdgDepB,$M1006)),""))</f>
        <v/>
      </c>
      <c r="I1006" s="28">
        <f>IF($B1006="","",IF($I1005="",$C$10,$I1005)+IF($G1006="",0,$G1006)-IF($H1006="",0,$H1006))</f>
        <v/>
      </c>
      <c r="L1006">
        <f>IFERROR(MATCH($C$5&amp;"|"&amp;RIGHT("000000"&amp;990,6),LdgRankKeyA,0),"")</f>
        <v/>
      </c>
      <c r="M1006">
        <f>IFERROR(MATCH($C$5&amp;"|"&amp;RIGHT("000000"&amp;990,6),LdgRankKeyB,0),"")</f>
        <v/>
      </c>
    </row>
    <row r="1007">
      <c r="A1007" s="17" t="n">
        <v>991</v>
      </c>
      <c r="B1007" s="18">
        <f>IF(AND($L1007="",$M1007=""),"",IF($L1007&lt;&gt;"",INDEX(SCNormDate,$L1007),INDEX(LdgDateB,$M1007)))</f>
        <v/>
      </c>
      <c r="C1007" s="18">
        <f>IF($L1007&lt;&gt;"",INDEX(SCOp,$L1007),IF($M1007&lt;&gt;"","پرداخت بانکی",""))</f>
        <v/>
      </c>
      <c r="D1007" s="18">
        <f>IF($L1007&lt;&gt;"",IF(INDEX(SCDoc,$L1007)="","—",INDEX(SCDoc,$L1007)),IF($M1007&lt;&gt;"",INDEX(LdgBankB,$M1007),""))</f>
        <v/>
      </c>
      <c r="E1007" s="19">
        <f>IF($L1007&lt;&gt;"",IF(INDEX(SCCitrus,$L1007)&amp;INDEX(SCNotes,$L1007)="","",IF(INDEX(SCCitrus,$L1007)="","",INDEX(SCCitrus,$L1007))&amp;IF(INDEX(SCNotes,$L1007)="",""," — "&amp;INDEX(SCNotes,$L1007))),IF($M1007&lt;&gt;"",IF(INDEX(LdgNoteB,$M1007)="","—",INDEX(LdgNoteB,$M1007)),""))</f>
        <v/>
      </c>
      <c r="F1007" s="20">
        <f>IF($L1007&lt;&gt;"",IF(INDEX(SCNet,$L1007)=0,"",INDEX(SCNet,$L1007)),"")</f>
        <v/>
      </c>
      <c r="G1007" s="21">
        <f>IF($L1007&lt;&gt;"",IF(INDEX(SCOp,$L1007)="مرجوعی فروش","",IF(INDEX(SCAmount,$L1007)&lt;=0,"",INDEX(SCAmount,$L1007))),IF($M1007&lt;&gt;"",IF(INDEX(LdgWitB,$M1007)=0,"",INDEX(LdgWitB,$M1007)),""))</f>
        <v/>
      </c>
      <c r="H1007" s="21">
        <f>IF($L1007&lt;&gt;"",IF(INDEX(SCOp,$L1007)="مرجوعی فروش",IF(INDEX(SCAmount,$L1007)=0,"",-INDEX(SCAmount,$L1007)),""),IF($M1007&lt;&gt;"",IF(INDEX(LdgDepB,$M1007)=0,"",INDEX(LdgDepB,$M1007)),""))</f>
        <v/>
      </c>
      <c r="I1007" s="22">
        <f>IF($B1007="","",IF($I1006="",$C$10,$I1006)+IF($G1007="",0,$G1007)-IF($H1007="",0,$H1007))</f>
        <v/>
      </c>
      <c r="L1007">
        <f>IFERROR(MATCH($C$5&amp;"|"&amp;RIGHT("000000"&amp;991,6),LdgRankKeyA,0),"")</f>
        <v/>
      </c>
      <c r="M1007">
        <f>IFERROR(MATCH($C$5&amp;"|"&amp;RIGHT("000000"&amp;991,6),LdgRankKeyB,0),"")</f>
        <v/>
      </c>
    </row>
    <row r="1008">
      <c r="A1008" s="23" t="n">
        <v>992</v>
      </c>
      <c r="B1008" s="24">
        <f>IF(AND($L1008="",$M1008=""),"",IF($L1008&lt;&gt;"",INDEX(SCNormDate,$L1008),INDEX(LdgDateB,$M1008)))</f>
        <v/>
      </c>
      <c r="C1008" s="24">
        <f>IF($L1008&lt;&gt;"",INDEX(SCOp,$L1008),IF($M1008&lt;&gt;"","پرداخت بانکی",""))</f>
        <v/>
      </c>
      <c r="D1008" s="24">
        <f>IF($L1008&lt;&gt;"",IF(INDEX(SCDoc,$L1008)="","—",INDEX(SCDoc,$L1008)),IF($M1008&lt;&gt;"",INDEX(LdgBankB,$M1008),""))</f>
        <v/>
      </c>
      <c r="E1008" s="25">
        <f>IF($L1008&lt;&gt;"",IF(INDEX(SCCitrus,$L1008)&amp;INDEX(SCNotes,$L1008)="","",IF(INDEX(SCCitrus,$L1008)="","",INDEX(SCCitrus,$L1008))&amp;IF(INDEX(SCNotes,$L1008)="",""," — "&amp;INDEX(SCNotes,$L1008))),IF($M1008&lt;&gt;"",IF(INDEX(LdgNoteB,$M1008)="","—",INDEX(LdgNoteB,$M1008)),""))</f>
        <v/>
      </c>
      <c r="F1008" s="26">
        <f>IF($L1008&lt;&gt;"",IF(INDEX(SCNet,$L1008)=0,"",INDEX(SCNet,$L1008)),"")</f>
        <v/>
      </c>
      <c r="G1008" s="27">
        <f>IF($L1008&lt;&gt;"",IF(INDEX(SCOp,$L1008)="مرجوعی فروش","",IF(INDEX(SCAmount,$L1008)&lt;=0,"",INDEX(SCAmount,$L1008))),IF($M1008&lt;&gt;"",IF(INDEX(LdgWitB,$M1008)=0,"",INDEX(LdgWitB,$M1008)),""))</f>
        <v/>
      </c>
      <c r="H1008" s="27">
        <f>IF($L1008&lt;&gt;"",IF(INDEX(SCOp,$L1008)="مرجوعی فروش",IF(INDEX(SCAmount,$L1008)=0,"",-INDEX(SCAmount,$L1008)),""),IF($M1008&lt;&gt;"",IF(INDEX(LdgDepB,$M1008)=0,"",INDEX(LdgDepB,$M1008)),""))</f>
        <v/>
      </c>
      <c r="I1008" s="28">
        <f>IF($B1008="","",IF($I1007="",$C$10,$I1007)+IF($G1008="",0,$G1008)-IF($H1008="",0,$H1008))</f>
        <v/>
      </c>
      <c r="L1008">
        <f>IFERROR(MATCH($C$5&amp;"|"&amp;RIGHT("000000"&amp;992,6),LdgRankKeyA,0),"")</f>
        <v/>
      </c>
      <c r="M1008">
        <f>IFERROR(MATCH($C$5&amp;"|"&amp;RIGHT("000000"&amp;992,6),LdgRankKeyB,0),"")</f>
        <v/>
      </c>
    </row>
    <row r="1009">
      <c r="A1009" s="17" t="n">
        <v>993</v>
      </c>
      <c r="B1009" s="18">
        <f>IF(AND($L1009="",$M1009=""),"",IF($L1009&lt;&gt;"",INDEX(SCNormDate,$L1009),INDEX(LdgDateB,$M1009)))</f>
        <v/>
      </c>
      <c r="C1009" s="18">
        <f>IF($L1009&lt;&gt;"",INDEX(SCOp,$L1009),IF($M1009&lt;&gt;"","پرداخت بانکی",""))</f>
        <v/>
      </c>
      <c r="D1009" s="18">
        <f>IF($L1009&lt;&gt;"",IF(INDEX(SCDoc,$L1009)="","—",INDEX(SCDoc,$L1009)),IF($M1009&lt;&gt;"",INDEX(LdgBankB,$M1009),""))</f>
        <v/>
      </c>
      <c r="E1009" s="19">
        <f>IF($L1009&lt;&gt;"",IF(INDEX(SCCitrus,$L1009)&amp;INDEX(SCNotes,$L1009)="","",IF(INDEX(SCCitrus,$L1009)="","",INDEX(SCCitrus,$L1009))&amp;IF(INDEX(SCNotes,$L1009)="",""," — "&amp;INDEX(SCNotes,$L1009))),IF($M1009&lt;&gt;"",IF(INDEX(LdgNoteB,$M1009)="","—",INDEX(LdgNoteB,$M1009)),""))</f>
        <v/>
      </c>
      <c r="F1009" s="20">
        <f>IF($L1009&lt;&gt;"",IF(INDEX(SCNet,$L1009)=0,"",INDEX(SCNet,$L1009)),"")</f>
        <v/>
      </c>
      <c r="G1009" s="21">
        <f>IF($L1009&lt;&gt;"",IF(INDEX(SCOp,$L1009)="مرجوعی فروش","",IF(INDEX(SCAmount,$L1009)&lt;=0,"",INDEX(SCAmount,$L1009))),IF($M1009&lt;&gt;"",IF(INDEX(LdgWitB,$M1009)=0,"",INDEX(LdgWitB,$M1009)),""))</f>
        <v/>
      </c>
      <c r="H1009" s="21">
        <f>IF($L1009&lt;&gt;"",IF(INDEX(SCOp,$L1009)="مرجوعی فروش",IF(INDEX(SCAmount,$L1009)=0,"",-INDEX(SCAmount,$L1009)),""),IF($M1009&lt;&gt;"",IF(INDEX(LdgDepB,$M1009)=0,"",INDEX(LdgDepB,$M1009)),""))</f>
        <v/>
      </c>
      <c r="I1009" s="22">
        <f>IF($B1009="","",IF($I1008="",$C$10,$I1008)+IF($G1009="",0,$G1009)-IF($H1009="",0,$H1009))</f>
        <v/>
      </c>
      <c r="L1009">
        <f>IFERROR(MATCH($C$5&amp;"|"&amp;RIGHT("000000"&amp;993,6),LdgRankKeyA,0),"")</f>
        <v/>
      </c>
      <c r="M1009">
        <f>IFERROR(MATCH($C$5&amp;"|"&amp;RIGHT("000000"&amp;993,6),LdgRankKeyB,0),"")</f>
        <v/>
      </c>
    </row>
    <row r="1010">
      <c r="A1010" s="23" t="n">
        <v>994</v>
      </c>
      <c r="B1010" s="24">
        <f>IF(AND($L1010="",$M1010=""),"",IF($L1010&lt;&gt;"",INDEX(SCNormDate,$L1010),INDEX(LdgDateB,$M1010)))</f>
        <v/>
      </c>
      <c r="C1010" s="24">
        <f>IF($L1010&lt;&gt;"",INDEX(SCOp,$L1010),IF($M1010&lt;&gt;"","پرداخت بانکی",""))</f>
        <v/>
      </c>
      <c r="D1010" s="24">
        <f>IF($L1010&lt;&gt;"",IF(INDEX(SCDoc,$L1010)="","—",INDEX(SCDoc,$L1010)),IF($M1010&lt;&gt;"",INDEX(LdgBankB,$M1010),""))</f>
        <v/>
      </c>
      <c r="E1010" s="25">
        <f>IF($L1010&lt;&gt;"",IF(INDEX(SCCitrus,$L1010)&amp;INDEX(SCNotes,$L1010)="","",IF(INDEX(SCCitrus,$L1010)="","",INDEX(SCCitrus,$L1010))&amp;IF(INDEX(SCNotes,$L1010)="",""," — "&amp;INDEX(SCNotes,$L1010))),IF($M1010&lt;&gt;"",IF(INDEX(LdgNoteB,$M1010)="","—",INDEX(LdgNoteB,$M1010)),""))</f>
        <v/>
      </c>
      <c r="F1010" s="26">
        <f>IF($L1010&lt;&gt;"",IF(INDEX(SCNet,$L1010)=0,"",INDEX(SCNet,$L1010)),"")</f>
        <v/>
      </c>
      <c r="G1010" s="27">
        <f>IF($L1010&lt;&gt;"",IF(INDEX(SCOp,$L1010)="مرجوعی فروش","",IF(INDEX(SCAmount,$L1010)&lt;=0,"",INDEX(SCAmount,$L1010))),IF($M1010&lt;&gt;"",IF(INDEX(LdgWitB,$M1010)=0,"",INDEX(LdgWitB,$M1010)),""))</f>
        <v/>
      </c>
      <c r="H1010" s="27">
        <f>IF($L1010&lt;&gt;"",IF(INDEX(SCOp,$L1010)="مرجوعی فروش",IF(INDEX(SCAmount,$L1010)=0,"",-INDEX(SCAmount,$L1010)),""),IF($M1010&lt;&gt;"",IF(INDEX(LdgDepB,$M1010)=0,"",INDEX(LdgDepB,$M1010)),""))</f>
        <v/>
      </c>
      <c r="I1010" s="28">
        <f>IF($B1010="","",IF($I1009="",$C$10,$I1009)+IF($G1010="",0,$G1010)-IF($H1010="",0,$H1010))</f>
        <v/>
      </c>
      <c r="L1010">
        <f>IFERROR(MATCH($C$5&amp;"|"&amp;RIGHT("000000"&amp;994,6),LdgRankKeyA,0),"")</f>
        <v/>
      </c>
      <c r="M1010">
        <f>IFERROR(MATCH($C$5&amp;"|"&amp;RIGHT("000000"&amp;994,6),LdgRankKeyB,0),"")</f>
        <v/>
      </c>
    </row>
    <row r="1011">
      <c r="A1011" s="17" t="n">
        <v>995</v>
      </c>
      <c r="B1011" s="18">
        <f>IF(AND($L1011="",$M1011=""),"",IF($L1011&lt;&gt;"",INDEX(SCNormDate,$L1011),INDEX(LdgDateB,$M1011)))</f>
        <v/>
      </c>
      <c r="C1011" s="18">
        <f>IF($L1011&lt;&gt;"",INDEX(SCOp,$L1011),IF($M1011&lt;&gt;"","پرداخت بانکی",""))</f>
        <v/>
      </c>
      <c r="D1011" s="18">
        <f>IF($L1011&lt;&gt;"",IF(INDEX(SCDoc,$L1011)="","—",INDEX(SCDoc,$L1011)),IF($M1011&lt;&gt;"",INDEX(LdgBankB,$M1011),""))</f>
        <v/>
      </c>
      <c r="E1011" s="19">
        <f>IF($L1011&lt;&gt;"",IF(INDEX(SCCitrus,$L1011)&amp;INDEX(SCNotes,$L1011)="","",IF(INDEX(SCCitrus,$L1011)="","",INDEX(SCCitrus,$L1011))&amp;IF(INDEX(SCNotes,$L1011)="",""," — "&amp;INDEX(SCNotes,$L1011))),IF($M1011&lt;&gt;"",IF(INDEX(LdgNoteB,$M1011)="","—",INDEX(LdgNoteB,$M1011)),""))</f>
        <v/>
      </c>
      <c r="F1011" s="20">
        <f>IF($L1011&lt;&gt;"",IF(INDEX(SCNet,$L1011)=0,"",INDEX(SCNet,$L1011)),"")</f>
        <v/>
      </c>
      <c r="G1011" s="21">
        <f>IF($L1011&lt;&gt;"",IF(INDEX(SCOp,$L1011)="مرجوعی فروش","",IF(INDEX(SCAmount,$L1011)&lt;=0,"",INDEX(SCAmount,$L1011))),IF($M1011&lt;&gt;"",IF(INDEX(LdgWitB,$M1011)=0,"",INDEX(LdgWitB,$M1011)),""))</f>
        <v/>
      </c>
      <c r="H1011" s="21">
        <f>IF($L1011&lt;&gt;"",IF(INDEX(SCOp,$L1011)="مرجوعی فروش",IF(INDEX(SCAmount,$L1011)=0,"",-INDEX(SCAmount,$L1011)),""),IF($M1011&lt;&gt;"",IF(INDEX(LdgDepB,$M1011)=0,"",INDEX(LdgDepB,$M1011)),""))</f>
        <v/>
      </c>
      <c r="I1011" s="22">
        <f>IF($B1011="","",IF($I1010="",$C$10,$I1010)+IF($G1011="",0,$G1011)-IF($H1011="",0,$H1011))</f>
        <v/>
      </c>
      <c r="L1011">
        <f>IFERROR(MATCH($C$5&amp;"|"&amp;RIGHT("000000"&amp;995,6),LdgRankKeyA,0),"")</f>
        <v/>
      </c>
      <c r="M1011">
        <f>IFERROR(MATCH($C$5&amp;"|"&amp;RIGHT("000000"&amp;995,6),LdgRankKeyB,0),"")</f>
        <v/>
      </c>
    </row>
    <row r="1012">
      <c r="A1012" s="23" t="n">
        <v>996</v>
      </c>
      <c r="B1012" s="24">
        <f>IF(AND($L1012="",$M1012=""),"",IF($L1012&lt;&gt;"",INDEX(SCNormDate,$L1012),INDEX(LdgDateB,$M1012)))</f>
        <v/>
      </c>
      <c r="C1012" s="24">
        <f>IF($L1012&lt;&gt;"",INDEX(SCOp,$L1012),IF($M1012&lt;&gt;"","پرداخت بانکی",""))</f>
        <v/>
      </c>
      <c r="D1012" s="24">
        <f>IF($L1012&lt;&gt;"",IF(INDEX(SCDoc,$L1012)="","—",INDEX(SCDoc,$L1012)),IF($M1012&lt;&gt;"",INDEX(LdgBankB,$M1012),""))</f>
        <v/>
      </c>
      <c r="E1012" s="25">
        <f>IF($L1012&lt;&gt;"",IF(INDEX(SCCitrus,$L1012)&amp;INDEX(SCNotes,$L1012)="","",IF(INDEX(SCCitrus,$L1012)="","",INDEX(SCCitrus,$L1012))&amp;IF(INDEX(SCNotes,$L1012)="",""," — "&amp;INDEX(SCNotes,$L1012))),IF($M1012&lt;&gt;"",IF(INDEX(LdgNoteB,$M1012)="","—",INDEX(LdgNoteB,$M1012)),""))</f>
        <v/>
      </c>
      <c r="F1012" s="26">
        <f>IF($L1012&lt;&gt;"",IF(INDEX(SCNet,$L1012)=0,"",INDEX(SCNet,$L1012)),"")</f>
        <v/>
      </c>
      <c r="G1012" s="27">
        <f>IF($L1012&lt;&gt;"",IF(INDEX(SCOp,$L1012)="مرجوعی فروش","",IF(INDEX(SCAmount,$L1012)&lt;=0,"",INDEX(SCAmount,$L1012))),IF($M1012&lt;&gt;"",IF(INDEX(LdgWitB,$M1012)=0,"",INDEX(LdgWitB,$M1012)),""))</f>
        <v/>
      </c>
      <c r="H1012" s="27">
        <f>IF($L1012&lt;&gt;"",IF(INDEX(SCOp,$L1012)="مرجوعی فروش",IF(INDEX(SCAmount,$L1012)=0,"",-INDEX(SCAmount,$L1012)),""),IF($M1012&lt;&gt;"",IF(INDEX(LdgDepB,$M1012)=0,"",INDEX(LdgDepB,$M1012)),""))</f>
        <v/>
      </c>
      <c r="I1012" s="28">
        <f>IF($B1012="","",IF($I1011="",$C$10,$I1011)+IF($G1012="",0,$G1012)-IF($H1012="",0,$H1012))</f>
        <v/>
      </c>
      <c r="L1012">
        <f>IFERROR(MATCH($C$5&amp;"|"&amp;RIGHT("000000"&amp;996,6),LdgRankKeyA,0),"")</f>
        <v/>
      </c>
      <c r="M1012">
        <f>IFERROR(MATCH($C$5&amp;"|"&amp;RIGHT("000000"&amp;996,6),LdgRankKeyB,0),"")</f>
        <v/>
      </c>
    </row>
    <row r="1013">
      <c r="A1013" s="17" t="n">
        <v>997</v>
      </c>
      <c r="B1013" s="18">
        <f>IF(AND($L1013="",$M1013=""),"",IF($L1013&lt;&gt;"",INDEX(SCNormDate,$L1013),INDEX(LdgDateB,$M1013)))</f>
        <v/>
      </c>
      <c r="C1013" s="18">
        <f>IF($L1013&lt;&gt;"",INDEX(SCOp,$L1013),IF($M1013&lt;&gt;"","پرداخت بانکی",""))</f>
        <v/>
      </c>
      <c r="D1013" s="18">
        <f>IF($L1013&lt;&gt;"",IF(INDEX(SCDoc,$L1013)="","—",INDEX(SCDoc,$L1013)),IF($M1013&lt;&gt;"",INDEX(LdgBankB,$M1013),""))</f>
        <v/>
      </c>
      <c r="E1013" s="19">
        <f>IF($L1013&lt;&gt;"",IF(INDEX(SCCitrus,$L1013)&amp;INDEX(SCNotes,$L1013)="","",IF(INDEX(SCCitrus,$L1013)="","",INDEX(SCCitrus,$L1013))&amp;IF(INDEX(SCNotes,$L1013)="",""," — "&amp;INDEX(SCNotes,$L1013))),IF($M1013&lt;&gt;"",IF(INDEX(LdgNoteB,$M1013)="","—",INDEX(LdgNoteB,$M1013)),""))</f>
        <v/>
      </c>
      <c r="F1013" s="20">
        <f>IF($L1013&lt;&gt;"",IF(INDEX(SCNet,$L1013)=0,"",INDEX(SCNet,$L1013)),"")</f>
        <v/>
      </c>
      <c r="G1013" s="21">
        <f>IF($L1013&lt;&gt;"",IF(INDEX(SCOp,$L1013)="مرجوعی فروش","",IF(INDEX(SCAmount,$L1013)&lt;=0,"",INDEX(SCAmount,$L1013))),IF($M1013&lt;&gt;"",IF(INDEX(LdgWitB,$M1013)=0,"",INDEX(LdgWitB,$M1013)),""))</f>
        <v/>
      </c>
      <c r="H1013" s="21">
        <f>IF($L1013&lt;&gt;"",IF(INDEX(SCOp,$L1013)="مرجوعی فروش",IF(INDEX(SCAmount,$L1013)=0,"",-INDEX(SCAmount,$L1013)),""),IF($M1013&lt;&gt;"",IF(INDEX(LdgDepB,$M1013)=0,"",INDEX(LdgDepB,$M1013)),""))</f>
        <v/>
      </c>
      <c r="I1013" s="22">
        <f>IF($B1013="","",IF($I1012="",$C$10,$I1012)+IF($G1013="",0,$G1013)-IF($H1013="",0,$H1013))</f>
        <v/>
      </c>
      <c r="L1013">
        <f>IFERROR(MATCH($C$5&amp;"|"&amp;RIGHT("000000"&amp;997,6),LdgRankKeyA,0),"")</f>
        <v/>
      </c>
      <c r="M1013">
        <f>IFERROR(MATCH($C$5&amp;"|"&amp;RIGHT("000000"&amp;997,6),LdgRankKeyB,0),"")</f>
        <v/>
      </c>
    </row>
    <row r="1014">
      <c r="A1014" s="23" t="n">
        <v>998</v>
      </c>
      <c r="B1014" s="24">
        <f>IF(AND($L1014="",$M1014=""),"",IF($L1014&lt;&gt;"",INDEX(SCNormDate,$L1014),INDEX(LdgDateB,$M1014)))</f>
        <v/>
      </c>
      <c r="C1014" s="24">
        <f>IF($L1014&lt;&gt;"",INDEX(SCOp,$L1014),IF($M1014&lt;&gt;"","پرداخت بانکی",""))</f>
        <v/>
      </c>
      <c r="D1014" s="24">
        <f>IF($L1014&lt;&gt;"",IF(INDEX(SCDoc,$L1014)="","—",INDEX(SCDoc,$L1014)),IF($M1014&lt;&gt;"",INDEX(LdgBankB,$M1014),""))</f>
        <v/>
      </c>
      <c r="E1014" s="25">
        <f>IF($L1014&lt;&gt;"",IF(INDEX(SCCitrus,$L1014)&amp;INDEX(SCNotes,$L1014)="","",IF(INDEX(SCCitrus,$L1014)="","",INDEX(SCCitrus,$L1014))&amp;IF(INDEX(SCNotes,$L1014)="",""," — "&amp;INDEX(SCNotes,$L1014))),IF($M1014&lt;&gt;"",IF(INDEX(LdgNoteB,$M1014)="","—",INDEX(LdgNoteB,$M1014)),""))</f>
        <v/>
      </c>
      <c r="F1014" s="26">
        <f>IF($L1014&lt;&gt;"",IF(INDEX(SCNet,$L1014)=0,"",INDEX(SCNet,$L1014)),"")</f>
        <v/>
      </c>
      <c r="G1014" s="27">
        <f>IF($L1014&lt;&gt;"",IF(INDEX(SCOp,$L1014)="مرجوعی فروش","",IF(INDEX(SCAmount,$L1014)&lt;=0,"",INDEX(SCAmount,$L1014))),IF($M1014&lt;&gt;"",IF(INDEX(LdgWitB,$M1014)=0,"",INDEX(LdgWitB,$M1014)),""))</f>
        <v/>
      </c>
      <c r="H1014" s="27">
        <f>IF($L1014&lt;&gt;"",IF(INDEX(SCOp,$L1014)="مرجوعی فروش",IF(INDEX(SCAmount,$L1014)=0,"",-INDEX(SCAmount,$L1014)),""),IF($M1014&lt;&gt;"",IF(INDEX(LdgDepB,$M1014)=0,"",INDEX(LdgDepB,$M1014)),""))</f>
        <v/>
      </c>
      <c r="I1014" s="28">
        <f>IF($B1014="","",IF($I1013="",$C$10,$I1013)+IF($G1014="",0,$G1014)-IF($H1014="",0,$H1014))</f>
        <v/>
      </c>
      <c r="L1014">
        <f>IFERROR(MATCH($C$5&amp;"|"&amp;RIGHT("000000"&amp;998,6),LdgRankKeyA,0),"")</f>
        <v/>
      </c>
      <c r="M1014">
        <f>IFERROR(MATCH($C$5&amp;"|"&amp;RIGHT("000000"&amp;998,6),LdgRankKeyB,0),"")</f>
        <v/>
      </c>
    </row>
    <row r="1015">
      <c r="A1015" s="17" t="n">
        <v>999</v>
      </c>
      <c r="B1015" s="18">
        <f>IF(AND($L1015="",$M1015=""),"",IF($L1015&lt;&gt;"",INDEX(SCNormDate,$L1015),INDEX(LdgDateB,$M1015)))</f>
        <v/>
      </c>
      <c r="C1015" s="18">
        <f>IF($L1015&lt;&gt;"",INDEX(SCOp,$L1015),IF($M1015&lt;&gt;"","پرداخت بانکی",""))</f>
        <v/>
      </c>
      <c r="D1015" s="18">
        <f>IF($L1015&lt;&gt;"",IF(INDEX(SCDoc,$L1015)="","—",INDEX(SCDoc,$L1015)),IF($M1015&lt;&gt;"",INDEX(LdgBankB,$M1015),""))</f>
        <v/>
      </c>
      <c r="E1015" s="19">
        <f>IF($L1015&lt;&gt;"",IF(INDEX(SCCitrus,$L1015)&amp;INDEX(SCNotes,$L1015)="","",IF(INDEX(SCCitrus,$L1015)="","",INDEX(SCCitrus,$L1015))&amp;IF(INDEX(SCNotes,$L1015)="",""," — "&amp;INDEX(SCNotes,$L1015))),IF($M1015&lt;&gt;"",IF(INDEX(LdgNoteB,$M1015)="","—",INDEX(LdgNoteB,$M1015)),""))</f>
        <v/>
      </c>
      <c r="F1015" s="20">
        <f>IF($L1015&lt;&gt;"",IF(INDEX(SCNet,$L1015)=0,"",INDEX(SCNet,$L1015)),"")</f>
        <v/>
      </c>
      <c r="G1015" s="21">
        <f>IF($L1015&lt;&gt;"",IF(INDEX(SCOp,$L1015)="مرجوعی فروش","",IF(INDEX(SCAmount,$L1015)&lt;=0,"",INDEX(SCAmount,$L1015))),IF($M1015&lt;&gt;"",IF(INDEX(LdgWitB,$M1015)=0,"",INDEX(LdgWitB,$M1015)),""))</f>
        <v/>
      </c>
      <c r="H1015" s="21">
        <f>IF($L1015&lt;&gt;"",IF(INDEX(SCOp,$L1015)="مرجوعی فروش",IF(INDEX(SCAmount,$L1015)=0,"",-INDEX(SCAmount,$L1015)),""),IF($M1015&lt;&gt;"",IF(INDEX(LdgDepB,$M1015)=0,"",INDEX(LdgDepB,$M1015)),""))</f>
        <v/>
      </c>
      <c r="I1015" s="22">
        <f>IF($B1015="","",IF($I1014="",$C$10,$I1014)+IF($G1015="",0,$G1015)-IF($H1015="",0,$H1015))</f>
        <v/>
      </c>
      <c r="L1015">
        <f>IFERROR(MATCH($C$5&amp;"|"&amp;RIGHT("000000"&amp;999,6),LdgRankKeyA,0),"")</f>
        <v/>
      </c>
      <c r="M1015">
        <f>IFERROR(MATCH($C$5&amp;"|"&amp;RIGHT("000000"&amp;999,6),LdgRankKeyB,0),"")</f>
        <v/>
      </c>
    </row>
    <row r="1016">
      <c r="A1016" s="23" t="n">
        <v>1000</v>
      </c>
      <c r="B1016" s="24">
        <f>IF(AND($L1016="",$M1016=""),"",IF($L1016&lt;&gt;"",INDEX(SCNormDate,$L1016),INDEX(LdgDateB,$M1016)))</f>
        <v/>
      </c>
      <c r="C1016" s="24">
        <f>IF($L1016&lt;&gt;"",INDEX(SCOp,$L1016),IF($M1016&lt;&gt;"","پرداخت بانکی",""))</f>
        <v/>
      </c>
      <c r="D1016" s="24">
        <f>IF($L1016&lt;&gt;"",IF(INDEX(SCDoc,$L1016)="","—",INDEX(SCDoc,$L1016)),IF($M1016&lt;&gt;"",INDEX(LdgBankB,$M1016),""))</f>
        <v/>
      </c>
      <c r="E1016" s="25">
        <f>IF($L1016&lt;&gt;"",IF(INDEX(SCCitrus,$L1016)&amp;INDEX(SCNotes,$L1016)="","",IF(INDEX(SCCitrus,$L1016)="","",INDEX(SCCitrus,$L1016))&amp;IF(INDEX(SCNotes,$L1016)="",""," — "&amp;INDEX(SCNotes,$L1016))),IF($M1016&lt;&gt;"",IF(INDEX(LdgNoteB,$M1016)="","—",INDEX(LdgNoteB,$M1016)),""))</f>
        <v/>
      </c>
      <c r="F1016" s="26">
        <f>IF($L1016&lt;&gt;"",IF(INDEX(SCNet,$L1016)=0,"",INDEX(SCNet,$L1016)),"")</f>
        <v/>
      </c>
      <c r="G1016" s="27">
        <f>IF($L1016&lt;&gt;"",IF(INDEX(SCOp,$L1016)="مرجوعی فروش","",IF(INDEX(SCAmount,$L1016)&lt;=0,"",INDEX(SCAmount,$L1016))),IF($M1016&lt;&gt;"",IF(INDEX(LdgWitB,$M1016)=0,"",INDEX(LdgWitB,$M1016)),""))</f>
        <v/>
      </c>
      <c r="H1016" s="27">
        <f>IF($L1016&lt;&gt;"",IF(INDEX(SCOp,$L1016)="مرجوعی فروش",IF(INDEX(SCAmount,$L1016)=0,"",-INDEX(SCAmount,$L1016)),""),IF($M1016&lt;&gt;"",IF(INDEX(LdgDepB,$M1016)=0,"",INDEX(LdgDepB,$M1016)),""))</f>
        <v/>
      </c>
      <c r="I1016" s="28">
        <f>IF($B1016="","",IF($I1015="",$C$10,$I1015)+IF($G1016="",0,$G1016)-IF($H1016="",0,$H1016))</f>
        <v/>
      </c>
      <c r="L1016">
        <f>IFERROR(MATCH($C$5&amp;"|"&amp;RIGHT("000000"&amp;1000,6),LdgRankKeyA,0),"")</f>
        <v/>
      </c>
      <c r="M1016">
        <f>IFERROR(MATCH($C$5&amp;"|"&amp;RIGHT("000000"&amp;1000,6),LdgRankKeyB,0),"")</f>
        <v/>
      </c>
    </row>
    <row r="1017">
      <c r="A1017" s="17" t="n">
        <v>1001</v>
      </c>
      <c r="B1017" s="18">
        <f>IF(AND($L1017="",$M1017=""),"",IF($L1017&lt;&gt;"",INDEX(SCNormDate,$L1017),INDEX(LdgDateB,$M1017)))</f>
        <v/>
      </c>
      <c r="C1017" s="18">
        <f>IF($L1017&lt;&gt;"",INDEX(SCOp,$L1017),IF($M1017&lt;&gt;"","پرداخت بانکی",""))</f>
        <v/>
      </c>
      <c r="D1017" s="18">
        <f>IF($L1017&lt;&gt;"",IF(INDEX(SCDoc,$L1017)="","—",INDEX(SCDoc,$L1017)),IF($M1017&lt;&gt;"",INDEX(LdgBankB,$M1017),""))</f>
        <v/>
      </c>
      <c r="E1017" s="19">
        <f>IF($L1017&lt;&gt;"",IF(INDEX(SCCitrus,$L1017)&amp;INDEX(SCNotes,$L1017)="","",IF(INDEX(SCCitrus,$L1017)="","",INDEX(SCCitrus,$L1017))&amp;IF(INDEX(SCNotes,$L1017)="",""," — "&amp;INDEX(SCNotes,$L1017))),IF($M1017&lt;&gt;"",IF(INDEX(LdgNoteB,$M1017)="","—",INDEX(LdgNoteB,$M1017)),""))</f>
        <v/>
      </c>
      <c r="F1017" s="20">
        <f>IF($L1017&lt;&gt;"",IF(INDEX(SCNet,$L1017)=0,"",INDEX(SCNet,$L1017)),"")</f>
        <v/>
      </c>
      <c r="G1017" s="21">
        <f>IF($L1017&lt;&gt;"",IF(INDEX(SCOp,$L1017)="مرجوعی فروش","",IF(INDEX(SCAmount,$L1017)&lt;=0,"",INDEX(SCAmount,$L1017))),IF($M1017&lt;&gt;"",IF(INDEX(LdgWitB,$M1017)=0,"",INDEX(LdgWitB,$M1017)),""))</f>
        <v/>
      </c>
      <c r="H1017" s="21">
        <f>IF($L1017&lt;&gt;"",IF(INDEX(SCOp,$L1017)="مرجوعی فروش",IF(INDEX(SCAmount,$L1017)=0,"",-INDEX(SCAmount,$L1017)),""),IF($M1017&lt;&gt;"",IF(INDEX(LdgDepB,$M1017)=0,"",INDEX(LdgDepB,$M1017)),""))</f>
        <v/>
      </c>
      <c r="I1017" s="22">
        <f>IF($B1017="","",IF($I1016="",$C$10,$I1016)+IF($G1017="",0,$G1017)-IF($H1017="",0,$H1017))</f>
        <v/>
      </c>
      <c r="L1017">
        <f>IFERROR(MATCH($C$5&amp;"|"&amp;RIGHT("000000"&amp;1001,6),LdgRankKeyA,0),"")</f>
        <v/>
      </c>
      <c r="M1017">
        <f>IFERROR(MATCH($C$5&amp;"|"&amp;RIGHT("000000"&amp;1001,6),LdgRankKeyB,0),"")</f>
        <v/>
      </c>
    </row>
    <row r="1018">
      <c r="A1018" s="23" t="n">
        <v>1002</v>
      </c>
      <c r="B1018" s="24">
        <f>IF(AND($L1018="",$M1018=""),"",IF($L1018&lt;&gt;"",INDEX(SCNormDate,$L1018),INDEX(LdgDateB,$M1018)))</f>
        <v/>
      </c>
      <c r="C1018" s="24">
        <f>IF($L1018&lt;&gt;"",INDEX(SCOp,$L1018),IF($M1018&lt;&gt;"","پرداخت بانکی",""))</f>
        <v/>
      </c>
      <c r="D1018" s="24">
        <f>IF($L1018&lt;&gt;"",IF(INDEX(SCDoc,$L1018)="","—",INDEX(SCDoc,$L1018)),IF($M1018&lt;&gt;"",INDEX(LdgBankB,$M1018),""))</f>
        <v/>
      </c>
      <c r="E1018" s="25">
        <f>IF($L1018&lt;&gt;"",IF(INDEX(SCCitrus,$L1018)&amp;INDEX(SCNotes,$L1018)="","",IF(INDEX(SCCitrus,$L1018)="","",INDEX(SCCitrus,$L1018))&amp;IF(INDEX(SCNotes,$L1018)="",""," — "&amp;INDEX(SCNotes,$L1018))),IF($M1018&lt;&gt;"",IF(INDEX(LdgNoteB,$M1018)="","—",INDEX(LdgNoteB,$M1018)),""))</f>
        <v/>
      </c>
      <c r="F1018" s="26">
        <f>IF($L1018&lt;&gt;"",IF(INDEX(SCNet,$L1018)=0,"",INDEX(SCNet,$L1018)),"")</f>
        <v/>
      </c>
      <c r="G1018" s="27">
        <f>IF($L1018&lt;&gt;"",IF(INDEX(SCOp,$L1018)="مرجوعی فروش","",IF(INDEX(SCAmount,$L1018)&lt;=0,"",INDEX(SCAmount,$L1018))),IF($M1018&lt;&gt;"",IF(INDEX(LdgWitB,$M1018)=0,"",INDEX(LdgWitB,$M1018)),""))</f>
        <v/>
      </c>
      <c r="H1018" s="27">
        <f>IF($L1018&lt;&gt;"",IF(INDEX(SCOp,$L1018)="مرجوعی فروش",IF(INDEX(SCAmount,$L1018)=0,"",-INDEX(SCAmount,$L1018)),""),IF($M1018&lt;&gt;"",IF(INDEX(LdgDepB,$M1018)=0,"",INDEX(LdgDepB,$M1018)),""))</f>
        <v/>
      </c>
      <c r="I1018" s="28">
        <f>IF($B1018="","",IF($I1017="",$C$10,$I1017)+IF($G1018="",0,$G1018)-IF($H1018="",0,$H1018))</f>
        <v/>
      </c>
      <c r="L1018">
        <f>IFERROR(MATCH($C$5&amp;"|"&amp;RIGHT("000000"&amp;1002,6),LdgRankKeyA,0),"")</f>
        <v/>
      </c>
      <c r="M1018">
        <f>IFERROR(MATCH($C$5&amp;"|"&amp;RIGHT("000000"&amp;1002,6),LdgRankKeyB,0),"")</f>
        <v/>
      </c>
    </row>
    <row r="1019">
      <c r="A1019" s="17" t="n">
        <v>1003</v>
      </c>
      <c r="B1019" s="18">
        <f>IF(AND($L1019="",$M1019=""),"",IF($L1019&lt;&gt;"",INDEX(SCNormDate,$L1019),INDEX(LdgDateB,$M1019)))</f>
        <v/>
      </c>
      <c r="C1019" s="18">
        <f>IF($L1019&lt;&gt;"",INDEX(SCOp,$L1019),IF($M1019&lt;&gt;"","پرداخت بانکی",""))</f>
        <v/>
      </c>
      <c r="D1019" s="18">
        <f>IF($L1019&lt;&gt;"",IF(INDEX(SCDoc,$L1019)="","—",INDEX(SCDoc,$L1019)),IF($M1019&lt;&gt;"",INDEX(LdgBankB,$M1019),""))</f>
        <v/>
      </c>
      <c r="E1019" s="19">
        <f>IF($L1019&lt;&gt;"",IF(INDEX(SCCitrus,$L1019)&amp;INDEX(SCNotes,$L1019)="","",IF(INDEX(SCCitrus,$L1019)="","",INDEX(SCCitrus,$L1019))&amp;IF(INDEX(SCNotes,$L1019)="",""," — "&amp;INDEX(SCNotes,$L1019))),IF($M1019&lt;&gt;"",IF(INDEX(LdgNoteB,$M1019)="","—",INDEX(LdgNoteB,$M1019)),""))</f>
        <v/>
      </c>
      <c r="F1019" s="20">
        <f>IF($L1019&lt;&gt;"",IF(INDEX(SCNet,$L1019)=0,"",INDEX(SCNet,$L1019)),"")</f>
        <v/>
      </c>
      <c r="G1019" s="21">
        <f>IF($L1019&lt;&gt;"",IF(INDEX(SCOp,$L1019)="مرجوعی فروش","",IF(INDEX(SCAmount,$L1019)&lt;=0,"",INDEX(SCAmount,$L1019))),IF($M1019&lt;&gt;"",IF(INDEX(LdgWitB,$M1019)=0,"",INDEX(LdgWitB,$M1019)),""))</f>
        <v/>
      </c>
      <c r="H1019" s="21">
        <f>IF($L1019&lt;&gt;"",IF(INDEX(SCOp,$L1019)="مرجوعی فروش",IF(INDEX(SCAmount,$L1019)=0,"",-INDEX(SCAmount,$L1019)),""),IF($M1019&lt;&gt;"",IF(INDEX(LdgDepB,$M1019)=0,"",INDEX(LdgDepB,$M1019)),""))</f>
        <v/>
      </c>
      <c r="I1019" s="22">
        <f>IF($B1019="","",IF($I1018="",$C$10,$I1018)+IF($G1019="",0,$G1019)-IF($H1019="",0,$H1019))</f>
        <v/>
      </c>
      <c r="L1019">
        <f>IFERROR(MATCH($C$5&amp;"|"&amp;RIGHT("000000"&amp;1003,6),LdgRankKeyA,0),"")</f>
        <v/>
      </c>
      <c r="M1019">
        <f>IFERROR(MATCH($C$5&amp;"|"&amp;RIGHT("000000"&amp;1003,6),LdgRankKeyB,0),"")</f>
        <v/>
      </c>
    </row>
    <row r="1020">
      <c r="A1020" s="23" t="n">
        <v>1004</v>
      </c>
      <c r="B1020" s="24">
        <f>IF(AND($L1020="",$M1020=""),"",IF($L1020&lt;&gt;"",INDEX(SCNormDate,$L1020),INDEX(LdgDateB,$M1020)))</f>
        <v/>
      </c>
      <c r="C1020" s="24">
        <f>IF($L1020&lt;&gt;"",INDEX(SCOp,$L1020),IF($M1020&lt;&gt;"","پرداخت بانکی",""))</f>
        <v/>
      </c>
      <c r="D1020" s="24">
        <f>IF($L1020&lt;&gt;"",IF(INDEX(SCDoc,$L1020)="","—",INDEX(SCDoc,$L1020)),IF($M1020&lt;&gt;"",INDEX(LdgBankB,$M1020),""))</f>
        <v/>
      </c>
      <c r="E1020" s="25">
        <f>IF($L1020&lt;&gt;"",IF(INDEX(SCCitrus,$L1020)&amp;INDEX(SCNotes,$L1020)="","",IF(INDEX(SCCitrus,$L1020)="","",INDEX(SCCitrus,$L1020))&amp;IF(INDEX(SCNotes,$L1020)="",""," — "&amp;INDEX(SCNotes,$L1020))),IF($M1020&lt;&gt;"",IF(INDEX(LdgNoteB,$M1020)="","—",INDEX(LdgNoteB,$M1020)),""))</f>
        <v/>
      </c>
      <c r="F1020" s="26">
        <f>IF($L1020&lt;&gt;"",IF(INDEX(SCNet,$L1020)=0,"",INDEX(SCNet,$L1020)),"")</f>
        <v/>
      </c>
      <c r="G1020" s="27">
        <f>IF($L1020&lt;&gt;"",IF(INDEX(SCOp,$L1020)="مرجوعی فروش","",IF(INDEX(SCAmount,$L1020)&lt;=0,"",INDEX(SCAmount,$L1020))),IF($M1020&lt;&gt;"",IF(INDEX(LdgWitB,$M1020)=0,"",INDEX(LdgWitB,$M1020)),""))</f>
        <v/>
      </c>
      <c r="H1020" s="27">
        <f>IF($L1020&lt;&gt;"",IF(INDEX(SCOp,$L1020)="مرجوعی فروش",IF(INDEX(SCAmount,$L1020)=0,"",-INDEX(SCAmount,$L1020)),""),IF($M1020&lt;&gt;"",IF(INDEX(LdgDepB,$M1020)=0,"",INDEX(LdgDepB,$M1020)),""))</f>
        <v/>
      </c>
      <c r="I1020" s="28">
        <f>IF($B1020="","",IF($I1019="",$C$10,$I1019)+IF($G1020="",0,$G1020)-IF($H1020="",0,$H1020))</f>
        <v/>
      </c>
      <c r="L1020">
        <f>IFERROR(MATCH($C$5&amp;"|"&amp;RIGHT("000000"&amp;1004,6),LdgRankKeyA,0),"")</f>
        <v/>
      </c>
      <c r="M1020">
        <f>IFERROR(MATCH($C$5&amp;"|"&amp;RIGHT("000000"&amp;1004,6),LdgRankKeyB,0),"")</f>
        <v/>
      </c>
    </row>
    <row r="1021">
      <c r="A1021" s="17" t="n">
        <v>1005</v>
      </c>
      <c r="B1021" s="18">
        <f>IF(AND($L1021="",$M1021=""),"",IF($L1021&lt;&gt;"",INDEX(SCNormDate,$L1021),INDEX(LdgDateB,$M1021)))</f>
        <v/>
      </c>
      <c r="C1021" s="18">
        <f>IF($L1021&lt;&gt;"",INDEX(SCOp,$L1021),IF($M1021&lt;&gt;"","پرداخت بانکی",""))</f>
        <v/>
      </c>
      <c r="D1021" s="18">
        <f>IF($L1021&lt;&gt;"",IF(INDEX(SCDoc,$L1021)="","—",INDEX(SCDoc,$L1021)),IF($M1021&lt;&gt;"",INDEX(LdgBankB,$M1021),""))</f>
        <v/>
      </c>
      <c r="E1021" s="19">
        <f>IF($L1021&lt;&gt;"",IF(INDEX(SCCitrus,$L1021)&amp;INDEX(SCNotes,$L1021)="","",IF(INDEX(SCCitrus,$L1021)="","",INDEX(SCCitrus,$L1021))&amp;IF(INDEX(SCNotes,$L1021)="",""," — "&amp;INDEX(SCNotes,$L1021))),IF($M1021&lt;&gt;"",IF(INDEX(LdgNoteB,$M1021)="","—",INDEX(LdgNoteB,$M1021)),""))</f>
        <v/>
      </c>
      <c r="F1021" s="20">
        <f>IF($L1021&lt;&gt;"",IF(INDEX(SCNet,$L1021)=0,"",INDEX(SCNet,$L1021)),"")</f>
        <v/>
      </c>
      <c r="G1021" s="21">
        <f>IF($L1021&lt;&gt;"",IF(INDEX(SCOp,$L1021)="مرجوعی فروش","",IF(INDEX(SCAmount,$L1021)&lt;=0,"",INDEX(SCAmount,$L1021))),IF($M1021&lt;&gt;"",IF(INDEX(LdgWitB,$M1021)=0,"",INDEX(LdgWitB,$M1021)),""))</f>
        <v/>
      </c>
      <c r="H1021" s="21">
        <f>IF($L1021&lt;&gt;"",IF(INDEX(SCOp,$L1021)="مرجوعی فروش",IF(INDEX(SCAmount,$L1021)=0,"",-INDEX(SCAmount,$L1021)),""),IF($M1021&lt;&gt;"",IF(INDEX(LdgDepB,$M1021)=0,"",INDEX(LdgDepB,$M1021)),""))</f>
        <v/>
      </c>
      <c r="I1021" s="22">
        <f>IF($B1021="","",IF($I1020="",$C$10,$I1020)+IF($G1021="",0,$G1021)-IF($H1021="",0,$H1021))</f>
        <v/>
      </c>
      <c r="L1021">
        <f>IFERROR(MATCH($C$5&amp;"|"&amp;RIGHT("000000"&amp;1005,6),LdgRankKeyA,0),"")</f>
        <v/>
      </c>
      <c r="M1021">
        <f>IFERROR(MATCH($C$5&amp;"|"&amp;RIGHT("000000"&amp;1005,6),LdgRankKeyB,0),"")</f>
        <v/>
      </c>
    </row>
    <row r="1022">
      <c r="A1022" s="23" t="n">
        <v>1006</v>
      </c>
      <c r="B1022" s="24">
        <f>IF(AND($L1022="",$M1022=""),"",IF($L1022&lt;&gt;"",INDEX(SCNormDate,$L1022),INDEX(LdgDateB,$M1022)))</f>
        <v/>
      </c>
      <c r="C1022" s="24">
        <f>IF($L1022&lt;&gt;"",INDEX(SCOp,$L1022),IF($M1022&lt;&gt;"","پرداخت بانکی",""))</f>
        <v/>
      </c>
      <c r="D1022" s="24">
        <f>IF($L1022&lt;&gt;"",IF(INDEX(SCDoc,$L1022)="","—",INDEX(SCDoc,$L1022)),IF($M1022&lt;&gt;"",INDEX(LdgBankB,$M1022),""))</f>
        <v/>
      </c>
      <c r="E1022" s="25">
        <f>IF($L1022&lt;&gt;"",IF(INDEX(SCCitrus,$L1022)&amp;INDEX(SCNotes,$L1022)="","",IF(INDEX(SCCitrus,$L1022)="","",INDEX(SCCitrus,$L1022))&amp;IF(INDEX(SCNotes,$L1022)="",""," — "&amp;INDEX(SCNotes,$L1022))),IF($M1022&lt;&gt;"",IF(INDEX(LdgNoteB,$M1022)="","—",INDEX(LdgNoteB,$M1022)),""))</f>
        <v/>
      </c>
      <c r="F1022" s="26">
        <f>IF($L1022&lt;&gt;"",IF(INDEX(SCNet,$L1022)=0,"",INDEX(SCNet,$L1022)),"")</f>
        <v/>
      </c>
      <c r="G1022" s="27">
        <f>IF($L1022&lt;&gt;"",IF(INDEX(SCOp,$L1022)="مرجوعی فروش","",IF(INDEX(SCAmount,$L1022)&lt;=0,"",INDEX(SCAmount,$L1022))),IF($M1022&lt;&gt;"",IF(INDEX(LdgWitB,$M1022)=0,"",INDEX(LdgWitB,$M1022)),""))</f>
        <v/>
      </c>
      <c r="H1022" s="27">
        <f>IF($L1022&lt;&gt;"",IF(INDEX(SCOp,$L1022)="مرجوعی فروش",IF(INDEX(SCAmount,$L1022)=0,"",-INDEX(SCAmount,$L1022)),""),IF($M1022&lt;&gt;"",IF(INDEX(LdgDepB,$M1022)=0,"",INDEX(LdgDepB,$M1022)),""))</f>
        <v/>
      </c>
      <c r="I1022" s="28">
        <f>IF($B1022="","",IF($I1021="",$C$10,$I1021)+IF($G1022="",0,$G1022)-IF($H1022="",0,$H1022))</f>
        <v/>
      </c>
      <c r="L1022">
        <f>IFERROR(MATCH($C$5&amp;"|"&amp;RIGHT("000000"&amp;1006,6),LdgRankKeyA,0),"")</f>
        <v/>
      </c>
      <c r="M1022">
        <f>IFERROR(MATCH($C$5&amp;"|"&amp;RIGHT("000000"&amp;1006,6),LdgRankKeyB,0),"")</f>
        <v/>
      </c>
    </row>
    <row r="1023">
      <c r="A1023" s="17" t="n">
        <v>1007</v>
      </c>
      <c r="B1023" s="18">
        <f>IF(AND($L1023="",$M1023=""),"",IF($L1023&lt;&gt;"",INDEX(SCNormDate,$L1023),INDEX(LdgDateB,$M1023)))</f>
        <v/>
      </c>
      <c r="C1023" s="18">
        <f>IF($L1023&lt;&gt;"",INDEX(SCOp,$L1023),IF($M1023&lt;&gt;"","پرداخت بانکی",""))</f>
        <v/>
      </c>
      <c r="D1023" s="18">
        <f>IF($L1023&lt;&gt;"",IF(INDEX(SCDoc,$L1023)="","—",INDEX(SCDoc,$L1023)),IF($M1023&lt;&gt;"",INDEX(LdgBankB,$M1023),""))</f>
        <v/>
      </c>
      <c r="E1023" s="19">
        <f>IF($L1023&lt;&gt;"",IF(INDEX(SCCitrus,$L1023)&amp;INDEX(SCNotes,$L1023)="","",IF(INDEX(SCCitrus,$L1023)="","",INDEX(SCCitrus,$L1023))&amp;IF(INDEX(SCNotes,$L1023)="",""," — "&amp;INDEX(SCNotes,$L1023))),IF($M1023&lt;&gt;"",IF(INDEX(LdgNoteB,$M1023)="","—",INDEX(LdgNoteB,$M1023)),""))</f>
        <v/>
      </c>
      <c r="F1023" s="20">
        <f>IF($L1023&lt;&gt;"",IF(INDEX(SCNet,$L1023)=0,"",INDEX(SCNet,$L1023)),"")</f>
        <v/>
      </c>
      <c r="G1023" s="21">
        <f>IF($L1023&lt;&gt;"",IF(INDEX(SCOp,$L1023)="مرجوعی فروش","",IF(INDEX(SCAmount,$L1023)&lt;=0,"",INDEX(SCAmount,$L1023))),IF($M1023&lt;&gt;"",IF(INDEX(LdgWitB,$M1023)=0,"",INDEX(LdgWitB,$M1023)),""))</f>
        <v/>
      </c>
      <c r="H1023" s="21">
        <f>IF($L1023&lt;&gt;"",IF(INDEX(SCOp,$L1023)="مرجوعی فروش",IF(INDEX(SCAmount,$L1023)=0,"",-INDEX(SCAmount,$L1023)),""),IF($M1023&lt;&gt;"",IF(INDEX(LdgDepB,$M1023)=0,"",INDEX(LdgDepB,$M1023)),""))</f>
        <v/>
      </c>
      <c r="I1023" s="22">
        <f>IF($B1023="","",IF($I1022="",$C$10,$I1022)+IF($G1023="",0,$G1023)-IF($H1023="",0,$H1023))</f>
        <v/>
      </c>
      <c r="L1023">
        <f>IFERROR(MATCH($C$5&amp;"|"&amp;RIGHT("000000"&amp;1007,6),LdgRankKeyA,0),"")</f>
        <v/>
      </c>
      <c r="M1023">
        <f>IFERROR(MATCH($C$5&amp;"|"&amp;RIGHT("000000"&amp;1007,6),LdgRankKeyB,0),"")</f>
        <v/>
      </c>
    </row>
    <row r="1024">
      <c r="A1024" s="23" t="n">
        <v>1008</v>
      </c>
      <c r="B1024" s="24">
        <f>IF(AND($L1024="",$M1024=""),"",IF($L1024&lt;&gt;"",INDEX(SCNormDate,$L1024),INDEX(LdgDateB,$M1024)))</f>
        <v/>
      </c>
      <c r="C1024" s="24">
        <f>IF($L1024&lt;&gt;"",INDEX(SCOp,$L1024),IF($M1024&lt;&gt;"","پرداخت بانکی",""))</f>
        <v/>
      </c>
      <c r="D1024" s="24">
        <f>IF($L1024&lt;&gt;"",IF(INDEX(SCDoc,$L1024)="","—",INDEX(SCDoc,$L1024)),IF($M1024&lt;&gt;"",INDEX(LdgBankB,$M1024),""))</f>
        <v/>
      </c>
      <c r="E1024" s="25">
        <f>IF($L1024&lt;&gt;"",IF(INDEX(SCCitrus,$L1024)&amp;INDEX(SCNotes,$L1024)="","",IF(INDEX(SCCitrus,$L1024)="","",INDEX(SCCitrus,$L1024))&amp;IF(INDEX(SCNotes,$L1024)="",""," — "&amp;INDEX(SCNotes,$L1024))),IF($M1024&lt;&gt;"",IF(INDEX(LdgNoteB,$M1024)="","—",INDEX(LdgNoteB,$M1024)),""))</f>
        <v/>
      </c>
      <c r="F1024" s="26">
        <f>IF($L1024&lt;&gt;"",IF(INDEX(SCNet,$L1024)=0,"",INDEX(SCNet,$L1024)),"")</f>
        <v/>
      </c>
      <c r="G1024" s="27">
        <f>IF($L1024&lt;&gt;"",IF(INDEX(SCOp,$L1024)="مرجوعی فروش","",IF(INDEX(SCAmount,$L1024)&lt;=0,"",INDEX(SCAmount,$L1024))),IF($M1024&lt;&gt;"",IF(INDEX(LdgWitB,$M1024)=0,"",INDEX(LdgWitB,$M1024)),""))</f>
        <v/>
      </c>
      <c r="H1024" s="27">
        <f>IF($L1024&lt;&gt;"",IF(INDEX(SCOp,$L1024)="مرجوعی فروش",IF(INDEX(SCAmount,$L1024)=0,"",-INDEX(SCAmount,$L1024)),""),IF($M1024&lt;&gt;"",IF(INDEX(LdgDepB,$M1024)=0,"",INDEX(LdgDepB,$M1024)),""))</f>
        <v/>
      </c>
      <c r="I1024" s="28">
        <f>IF($B1024="","",IF($I1023="",$C$10,$I1023)+IF($G1024="",0,$G1024)-IF($H1024="",0,$H1024))</f>
        <v/>
      </c>
      <c r="L1024">
        <f>IFERROR(MATCH($C$5&amp;"|"&amp;RIGHT("000000"&amp;1008,6),LdgRankKeyA,0),"")</f>
        <v/>
      </c>
      <c r="M1024">
        <f>IFERROR(MATCH($C$5&amp;"|"&amp;RIGHT("000000"&amp;1008,6),LdgRankKeyB,0),"")</f>
        <v/>
      </c>
    </row>
    <row r="1025">
      <c r="A1025" s="17" t="n">
        <v>1009</v>
      </c>
      <c r="B1025" s="18">
        <f>IF(AND($L1025="",$M1025=""),"",IF($L1025&lt;&gt;"",INDEX(SCNormDate,$L1025),INDEX(LdgDateB,$M1025)))</f>
        <v/>
      </c>
      <c r="C1025" s="18">
        <f>IF($L1025&lt;&gt;"",INDEX(SCOp,$L1025),IF($M1025&lt;&gt;"","پرداخت بانکی",""))</f>
        <v/>
      </c>
      <c r="D1025" s="18">
        <f>IF($L1025&lt;&gt;"",IF(INDEX(SCDoc,$L1025)="","—",INDEX(SCDoc,$L1025)),IF($M1025&lt;&gt;"",INDEX(LdgBankB,$M1025),""))</f>
        <v/>
      </c>
      <c r="E1025" s="19">
        <f>IF($L1025&lt;&gt;"",IF(INDEX(SCCitrus,$L1025)&amp;INDEX(SCNotes,$L1025)="","",IF(INDEX(SCCitrus,$L1025)="","",INDEX(SCCitrus,$L1025))&amp;IF(INDEX(SCNotes,$L1025)="",""," — "&amp;INDEX(SCNotes,$L1025))),IF($M1025&lt;&gt;"",IF(INDEX(LdgNoteB,$M1025)="","—",INDEX(LdgNoteB,$M1025)),""))</f>
        <v/>
      </c>
      <c r="F1025" s="20">
        <f>IF($L1025&lt;&gt;"",IF(INDEX(SCNet,$L1025)=0,"",INDEX(SCNet,$L1025)),"")</f>
        <v/>
      </c>
      <c r="G1025" s="21">
        <f>IF($L1025&lt;&gt;"",IF(INDEX(SCOp,$L1025)="مرجوعی فروش","",IF(INDEX(SCAmount,$L1025)&lt;=0,"",INDEX(SCAmount,$L1025))),IF($M1025&lt;&gt;"",IF(INDEX(LdgWitB,$M1025)=0,"",INDEX(LdgWitB,$M1025)),""))</f>
        <v/>
      </c>
      <c r="H1025" s="21">
        <f>IF($L1025&lt;&gt;"",IF(INDEX(SCOp,$L1025)="مرجوعی فروش",IF(INDEX(SCAmount,$L1025)=0,"",-INDEX(SCAmount,$L1025)),""),IF($M1025&lt;&gt;"",IF(INDEX(LdgDepB,$M1025)=0,"",INDEX(LdgDepB,$M1025)),""))</f>
        <v/>
      </c>
      <c r="I1025" s="22">
        <f>IF($B1025="","",IF($I1024="",$C$10,$I1024)+IF($G1025="",0,$G1025)-IF($H1025="",0,$H1025))</f>
        <v/>
      </c>
      <c r="L1025">
        <f>IFERROR(MATCH($C$5&amp;"|"&amp;RIGHT("000000"&amp;1009,6),LdgRankKeyA,0),"")</f>
        <v/>
      </c>
      <c r="M1025">
        <f>IFERROR(MATCH($C$5&amp;"|"&amp;RIGHT("000000"&amp;1009,6),LdgRankKeyB,0),"")</f>
        <v/>
      </c>
    </row>
    <row r="1026">
      <c r="A1026" s="23" t="n">
        <v>1010</v>
      </c>
      <c r="B1026" s="24">
        <f>IF(AND($L1026="",$M1026=""),"",IF($L1026&lt;&gt;"",INDEX(SCNormDate,$L1026),INDEX(LdgDateB,$M1026)))</f>
        <v/>
      </c>
      <c r="C1026" s="24">
        <f>IF($L1026&lt;&gt;"",INDEX(SCOp,$L1026),IF($M1026&lt;&gt;"","پرداخت بانکی",""))</f>
        <v/>
      </c>
      <c r="D1026" s="24">
        <f>IF($L1026&lt;&gt;"",IF(INDEX(SCDoc,$L1026)="","—",INDEX(SCDoc,$L1026)),IF($M1026&lt;&gt;"",INDEX(LdgBankB,$M1026),""))</f>
        <v/>
      </c>
      <c r="E1026" s="25">
        <f>IF($L1026&lt;&gt;"",IF(INDEX(SCCitrus,$L1026)&amp;INDEX(SCNotes,$L1026)="","",IF(INDEX(SCCitrus,$L1026)="","",INDEX(SCCitrus,$L1026))&amp;IF(INDEX(SCNotes,$L1026)="",""," — "&amp;INDEX(SCNotes,$L1026))),IF($M1026&lt;&gt;"",IF(INDEX(LdgNoteB,$M1026)="","—",INDEX(LdgNoteB,$M1026)),""))</f>
        <v/>
      </c>
      <c r="F1026" s="26">
        <f>IF($L1026&lt;&gt;"",IF(INDEX(SCNet,$L1026)=0,"",INDEX(SCNet,$L1026)),"")</f>
        <v/>
      </c>
      <c r="G1026" s="27">
        <f>IF($L1026&lt;&gt;"",IF(INDEX(SCOp,$L1026)="مرجوعی فروش","",IF(INDEX(SCAmount,$L1026)&lt;=0,"",INDEX(SCAmount,$L1026))),IF($M1026&lt;&gt;"",IF(INDEX(LdgWitB,$M1026)=0,"",INDEX(LdgWitB,$M1026)),""))</f>
        <v/>
      </c>
      <c r="H1026" s="27">
        <f>IF($L1026&lt;&gt;"",IF(INDEX(SCOp,$L1026)="مرجوعی فروش",IF(INDEX(SCAmount,$L1026)=0,"",-INDEX(SCAmount,$L1026)),""),IF($M1026&lt;&gt;"",IF(INDEX(LdgDepB,$M1026)=0,"",INDEX(LdgDepB,$M1026)),""))</f>
        <v/>
      </c>
      <c r="I1026" s="28">
        <f>IF($B1026="","",IF($I1025="",$C$10,$I1025)+IF($G1026="",0,$G1026)-IF($H1026="",0,$H1026))</f>
        <v/>
      </c>
      <c r="L1026">
        <f>IFERROR(MATCH($C$5&amp;"|"&amp;RIGHT("000000"&amp;1010,6),LdgRankKeyA,0),"")</f>
        <v/>
      </c>
      <c r="M1026">
        <f>IFERROR(MATCH($C$5&amp;"|"&amp;RIGHT("000000"&amp;1010,6),LdgRankKeyB,0),"")</f>
        <v/>
      </c>
    </row>
    <row r="1027">
      <c r="A1027" s="17" t="n">
        <v>1011</v>
      </c>
      <c r="B1027" s="18">
        <f>IF(AND($L1027="",$M1027=""),"",IF($L1027&lt;&gt;"",INDEX(SCNormDate,$L1027),INDEX(LdgDateB,$M1027)))</f>
        <v/>
      </c>
      <c r="C1027" s="18">
        <f>IF($L1027&lt;&gt;"",INDEX(SCOp,$L1027),IF($M1027&lt;&gt;"","پرداخت بانکی",""))</f>
        <v/>
      </c>
      <c r="D1027" s="18">
        <f>IF($L1027&lt;&gt;"",IF(INDEX(SCDoc,$L1027)="","—",INDEX(SCDoc,$L1027)),IF($M1027&lt;&gt;"",INDEX(LdgBankB,$M1027),""))</f>
        <v/>
      </c>
      <c r="E1027" s="19">
        <f>IF($L1027&lt;&gt;"",IF(INDEX(SCCitrus,$L1027)&amp;INDEX(SCNotes,$L1027)="","",IF(INDEX(SCCitrus,$L1027)="","",INDEX(SCCitrus,$L1027))&amp;IF(INDEX(SCNotes,$L1027)="",""," — "&amp;INDEX(SCNotes,$L1027))),IF($M1027&lt;&gt;"",IF(INDEX(LdgNoteB,$M1027)="","—",INDEX(LdgNoteB,$M1027)),""))</f>
        <v/>
      </c>
      <c r="F1027" s="20">
        <f>IF($L1027&lt;&gt;"",IF(INDEX(SCNet,$L1027)=0,"",INDEX(SCNet,$L1027)),"")</f>
        <v/>
      </c>
      <c r="G1027" s="21">
        <f>IF($L1027&lt;&gt;"",IF(INDEX(SCOp,$L1027)="مرجوعی فروش","",IF(INDEX(SCAmount,$L1027)&lt;=0,"",INDEX(SCAmount,$L1027))),IF($M1027&lt;&gt;"",IF(INDEX(LdgWitB,$M1027)=0,"",INDEX(LdgWitB,$M1027)),""))</f>
        <v/>
      </c>
      <c r="H1027" s="21">
        <f>IF($L1027&lt;&gt;"",IF(INDEX(SCOp,$L1027)="مرجوعی فروش",IF(INDEX(SCAmount,$L1027)=0,"",-INDEX(SCAmount,$L1027)),""),IF($M1027&lt;&gt;"",IF(INDEX(LdgDepB,$M1027)=0,"",INDEX(LdgDepB,$M1027)),""))</f>
        <v/>
      </c>
      <c r="I1027" s="22">
        <f>IF($B1027="","",IF($I1026="",$C$10,$I1026)+IF($G1027="",0,$G1027)-IF($H1027="",0,$H1027))</f>
        <v/>
      </c>
      <c r="L1027">
        <f>IFERROR(MATCH($C$5&amp;"|"&amp;RIGHT("000000"&amp;1011,6),LdgRankKeyA,0),"")</f>
        <v/>
      </c>
      <c r="M1027">
        <f>IFERROR(MATCH($C$5&amp;"|"&amp;RIGHT("000000"&amp;1011,6),LdgRankKeyB,0),"")</f>
        <v/>
      </c>
    </row>
    <row r="1028">
      <c r="A1028" s="23" t="n">
        <v>1012</v>
      </c>
      <c r="B1028" s="24">
        <f>IF(AND($L1028="",$M1028=""),"",IF($L1028&lt;&gt;"",INDEX(SCNormDate,$L1028),INDEX(LdgDateB,$M1028)))</f>
        <v/>
      </c>
      <c r="C1028" s="24">
        <f>IF($L1028&lt;&gt;"",INDEX(SCOp,$L1028),IF($M1028&lt;&gt;"","پرداخت بانکی",""))</f>
        <v/>
      </c>
      <c r="D1028" s="24">
        <f>IF($L1028&lt;&gt;"",IF(INDEX(SCDoc,$L1028)="","—",INDEX(SCDoc,$L1028)),IF($M1028&lt;&gt;"",INDEX(LdgBankB,$M1028),""))</f>
        <v/>
      </c>
      <c r="E1028" s="25">
        <f>IF($L1028&lt;&gt;"",IF(INDEX(SCCitrus,$L1028)&amp;INDEX(SCNotes,$L1028)="","",IF(INDEX(SCCitrus,$L1028)="","",INDEX(SCCitrus,$L1028))&amp;IF(INDEX(SCNotes,$L1028)="",""," — "&amp;INDEX(SCNotes,$L1028))),IF($M1028&lt;&gt;"",IF(INDEX(LdgNoteB,$M1028)="","—",INDEX(LdgNoteB,$M1028)),""))</f>
        <v/>
      </c>
      <c r="F1028" s="26">
        <f>IF($L1028&lt;&gt;"",IF(INDEX(SCNet,$L1028)=0,"",INDEX(SCNet,$L1028)),"")</f>
        <v/>
      </c>
      <c r="G1028" s="27">
        <f>IF($L1028&lt;&gt;"",IF(INDEX(SCOp,$L1028)="مرجوعی فروش","",IF(INDEX(SCAmount,$L1028)&lt;=0,"",INDEX(SCAmount,$L1028))),IF($M1028&lt;&gt;"",IF(INDEX(LdgWitB,$M1028)=0,"",INDEX(LdgWitB,$M1028)),""))</f>
        <v/>
      </c>
      <c r="H1028" s="27">
        <f>IF($L1028&lt;&gt;"",IF(INDEX(SCOp,$L1028)="مرجوعی فروش",IF(INDEX(SCAmount,$L1028)=0,"",-INDEX(SCAmount,$L1028)),""),IF($M1028&lt;&gt;"",IF(INDEX(LdgDepB,$M1028)=0,"",INDEX(LdgDepB,$M1028)),""))</f>
        <v/>
      </c>
      <c r="I1028" s="28">
        <f>IF($B1028="","",IF($I1027="",$C$10,$I1027)+IF($G1028="",0,$G1028)-IF($H1028="",0,$H1028))</f>
        <v/>
      </c>
      <c r="L1028">
        <f>IFERROR(MATCH($C$5&amp;"|"&amp;RIGHT("000000"&amp;1012,6),LdgRankKeyA,0),"")</f>
        <v/>
      </c>
      <c r="M1028">
        <f>IFERROR(MATCH($C$5&amp;"|"&amp;RIGHT("000000"&amp;1012,6),LdgRankKeyB,0),"")</f>
        <v/>
      </c>
    </row>
    <row r="1029">
      <c r="A1029" s="17" t="n">
        <v>1013</v>
      </c>
      <c r="B1029" s="18">
        <f>IF(AND($L1029="",$M1029=""),"",IF($L1029&lt;&gt;"",INDEX(SCNormDate,$L1029),INDEX(LdgDateB,$M1029)))</f>
        <v/>
      </c>
      <c r="C1029" s="18">
        <f>IF($L1029&lt;&gt;"",INDEX(SCOp,$L1029),IF($M1029&lt;&gt;"","پرداخت بانکی",""))</f>
        <v/>
      </c>
      <c r="D1029" s="18">
        <f>IF($L1029&lt;&gt;"",IF(INDEX(SCDoc,$L1029)="","—",INDEX(SCDoc,$L1029)),IF($M1029&lt;&gt;"",INDEX(LdgBankB,$M1029),""))</f>
        <v/>
      </c>
      <c r="E1029" s="19">
        <f>IF($L1029&lt;&gt;"",IF(INDEX(SCCitrus,$L1029)&amp;INDEX(SCNotes,$L1029)="","",IF(INDEX(SCCitrus,$L1029)="","",INDEX(SCCitrus,$L1029))&amp;IF(INDEX(SCNotes,$L1029)="",""," — "&amp;INDEX(SCNotes,$L1029))),IF($M1029&lt;&gt;"",IF(INDEX(LdgNoteB,$M1029)="","—",INDEX(LdgNoteB,$M1029)),""))</f>
        <v/>
      </c>
      <c r="F1029" s="20">
        <f>IF($L1029&lt;&gt;"",IF(INDEX(SCNet,$L1029)=0,"",INDEX(SCNet,$L1029)),"")</f>
        <v/>
      </c>
      <c r="G1029" s="21">
        <f>IF($L1029&lt;&gt;"",IF(INDEX(SCOp,$L1029)="مرجوعی فروش","",IF(INDEX(SCAmount,$L1029)&lt;=0,"",INDEX(SCAmount,$L1029))),IF($M1029&lt;&gt;"",IF(INDEX(LdgWitB,$M1029)=0,"",INDEX(LdgWitB,$M1029)),""))</f>
        <v/>
      </c>
      <c r="H1029" s="21">
        <f>IF($L1029&lt;&gt;"",IF(INDEX(SCOp,$L1029)="مرجوعی فروش",IF(INDEX(SCAmount,$L1029)=0,"",-INDEX(SCAmount,$L1029)),""),IF($M1029&lt;&gt;"",IF(INDEX(LdgDepB,$M1029)=0,"",INDEX(LdgDepB,$M1029)),""))</f>
        <v/>
      </c>
      <c r="I1029" s="22">
        <f>IF($B1029="","",IF($I1028="",$C$10,$I1028)+IF($G1029="",0,$G1029)-IF($H1029="",0,$H1029))</f>
        <v/>
      </c>
      <c r="L1029">
        <f>IFERROR(MATCH($C$5&amp;"|"&amp;RIGHT("000000"&amp;1013,6),LdgRankKeyA,0),"")</f>
        <v/>
      </c>
      <c r="M1029">
        <f>IFERROR(MATCH($C$5&amp;"|"&amp;RIGHT("000000"&amp;1013,6),LdgRankKeyB,0),"")</f>
        <v/>
      </c>
    </row>
    <row r="1030">
      <c r="A1030" s="23" t="n">
        <v>1014</v>
      </c>
      <c r="B1030" s="24">
        <f>IF(AND($L1030="",$M1030=""),"",IF($L1030&lt;&gt;"",INDEX(SCNormDate,$L1030),INDEX(LdgDateB,$M1030)))</f>
        <v/>
      </c>
      <c r="C1030" s="24">
        <f>IF($L1030&lt;&gt;"",INDEX(SCOp,$L1030),IF($M1030&lt;&gt;"","پرداخت بانکی",""))</f>
        <v/>
      </c>
      <c r="D1030" s="24">
        <f>IF($L1030&lt;&gt;"",IF(INDEX(SCDoc,$L1030)="","—",INDEX(SCDoc,$L1030)),IF($M1030&lt;&gt;"",INDEX(LdgBankB,$M1030),""))</f>
        <v/>
      </c>
      <c r="E1030" s="25">
        <f>IF($L1030&lt;&gt;"",IF(INDEX(SCCitrus,$L1030)&amp;INDEX(SCNotes,$L1030)="","",IF(INDEX(SCCitrus,$L1030)="","",INDEX(SCCitrus,$L1030))&amp;IF(INDEX(SCNotes,$L1030)="",""," — "&amp;INDEX(SCNotes,$L1030))),IF($M1030&lt;&gt;"",IF(INDEX(LdgNoteB,$M1030)="","—",INDEX(LdgNoteB,$M1030)),""))</f>
        <v/>
      </c>
      <c r="F1030" s="26">
        <f>IF($L1030&lt;&gt;"",IF(INDEX(SCNet,$L1030)=0,"",INDEX(SCNet,$L1030)),"")</f>
        <v/>
      </c>
      <c r="G1030" s="27">
        <f>IF($L1030&lt;&gt;"",IF(INDEX(SCOp,$L1030)="مرجوعی فروش","",IF(INDEX(SCAmount,$L1030)&lt;=0,"",INDEX(SCAmount,$L1030))),IF($M1030&lt;&gt;"",IF(INDEX(LdgWitB,$M1030)=0,"",INDEX(LdgWitB,$M1030)),""))</f>
        <v/>
      </c>
      <c r="H1030" s="27">
        <f>IF($L1030&lt;&gt;"",IF(INDEX(SCOp,$L1030)="مرجوعی فروش",IF(INDEX(SCAmount,$L1030)=0,"",-INDEX(SCAmount,$L1030)),""),IF($M1030&lt;&gt;"",IF(INDEX(LdgDepB,$M1030)=0,"",INDEX(LdgDepB,$M1030)),""))</f>
        <v/>
      </c>
      <c r="I1030" s="28">
        <f>IF($B1030="","",IF($I1029="",$C$10,$I1029)+IF($G1030="",0,$G1030)-IF($H1030="",0,$H1030))</f>
        <v/>
      </c>
      <c r="L1030">
        <f>IFERROR(MATCH($C$5&amp;"|"&amp;RIGHT("000000"&amp;1014,6),LdgRankKeyA,0),"")</f>
        <v/>
      </c>
      <c r="M1030">
        <f>IFERROR(MATCH($C$5&amp;"|"&amp;RIGHT("000000"&amp;1014,6),LdgRankKeyB,0),"")</f>
        <v/>
      </c>
    </row>
    <row r="1031">
      <c r="A1031" s="17" t="n">
        <v>1015</v>
      </c>
      <c r="B1031" s="18">
        <f>IF(AND($L1031="",$M1031=""),"",IF($L1031&lt;&gt;"",INDEX(SCNormDate,$L1031),INDEX(LdgDateB,$M1031)))</f>
        <v/>
      </c>
      <c r="C1031" s="18">
        <f>IF($L1031&lt;&gt;"",INDEX(SCOp,$L1031),IF($M1031&lt;&gt;"","پرداخت بانکی",""))</f>
        <v/>
      </c>
      <c r="D1031" s="18">
        <f>IF($L1031&lt;&gt;"",IF(INDEX(SCDoc,$L1031)="","—",INDEX(SCDoc,$L1031)),IF($M1031&lt;&gt;"",INDEX(LdgBankB,$M1031),""))</f>
        <v/>
      </c>
      <c r="E1031" s="19">
        <f>IF($L1031&lt;&gt;"",IF(INDEX(SCCitrus,$L1031)&amp;INDEX(SCNotes,$L1031)="","",IF(INDEX(SCCitrus,$L1031)="","",INDEX(SCCitrus,$L1031))&amp;IF(INDEX(SCNotes,$L1031)="",""," — "&amp;INDEX(SCNotes,$L1031))),IF($M1031&lt;&gt;"",IF(INDEX(LdgNoteB,$M1031)="","—",INDEX(LdgNoteB,$M1031)),""))</f>
        <v/>
      </c>
      <c r="F1031" s="20">
        <f>IF($L1031&lt;&gt;"",IF(INDEX(SCNet,$L1031)=0,"",INDEX(SCNet,$L1031)),"")</f>
        <v/>
      </c>
      <c r="G1031" s="21">
        <f>IF($L1031&lt;&gt;"",IF(INDEX(SCOp,$L1031)="مرجوعی فروش","",IF(INDEX(SCAmount,$L1031)&lt;=0,"",INDEX(SCAmount,$L1031))),IF($M1031&lt;&gt;"",IF(INDEX(LdgWitB,$M1031)=0,"",INDEX(LdgWitB,$M1031)),""))</f>
        <v/>
      </c>
      <c r="H1031" s="21">
        <f>IF($L1031&lt;&gt;"",IF(INDEX(SCOp,$L1031)="مرجوعی فروش",IF(INDEX(SCAmount,$L1031)=0,"",-INDEX(SCAmount,$L1031)),""),IF($M1031&lt;&gt;"",IF(INDEX(LdgDepB,$M1031)=0,"",INDEX(LdgDepB,$M1031)),""))</f>
        <v/>
      </c>
      <c r="I1031" s="22">
        <f>IF($B1031="","",IF($I1030="",$C$10,$I1030)+IF($G1031="",0,$G1031)-IF($H1031="",0,$H1031))</f>
        <v/>
      </c>
      <c r="L1031">
        <f>IFERROR(MATCH($C$5&amp;"|"&amp;RIGHT("000000"&amp;1015,6),LdgRankKeyA,0),"")</f>
        <v/>
      </c>
      <c r="M1031">
        <f>IFERROR(MATCH($C$5&amp;"|"&amp;RIGHT("000000"&amp;1015,6),LdgRankKeyB,0),"")</f>
        <v/>
      </c>
    </row>
    <row r="1032">
      <c r="A1032" s="23" t="n">
        <v>1016</v>
      </c>
      <c r="B1032" s="24">
        <f>IF(AND($L1032="",$M1032=""),"",IF($L1032&lt;&gt;"",INDEX(SCNormDate,$L1032),INDEX(LdgDateB,$M1032)))</f>
        <v/>
      </c>
      <c r="C1032" s="24">
        <f>IF($L1032&lt;&gt;"",INDEX(SCOp,$L1032),IF($M1032&lt;&gt;"","پرداخت بانکی",""))</f>
        <v/>
      </c>
      <c r="D1032" s="24">
        <f>IF($L1032&lt;&gt;"",IF(INDEX(SCDoc,$L1032)="","—",INDEX(SCDoc,$L1032)),IF($M1032&lt;&gt;"",INDEX(LdgBankB,$M1032),""))</f>
        <v/>
      </c>
      <c r="E1032" s="25">
        <f>IF($L1032&lt;&gt;"",IF(INDEX(SCCitrus,$L1032)&amp;INDEX(SCNotes,$L1032)="","",IF(INDEX(SCCitrus,$L1032)="","",INDEX(SCCitrus,$L1032))&amp;IF(INDEX(SCNotes,$L1032)="",""," — "&amp;INDEX(SCNotes,$L1032))),IF($M1032&lt;&gt;"",IF(INDEX(LdgNoteB,$M1032)="","—",INDEX(LdgNoteB,$M1032)),""))</f>
        <v/>
      </c>
      <c r="F1032" s="26">
        <f>IF($L1032&lt;&gt;"",IF(INDEX(SCNet,$L1032)=0,"",INDEX(SCNet,$L1032)),"")</f>
        <v/>
      </c>
      <c r="G1032" s="27">
        <f>IF($L1032&lt;&gt;"",IF(INDEX(SCOp,$L1032)="مرجوعی فروش","",IF(INDEX(SCAmount,$L1032)&lt;=0,"",INDEX(SCAmount,$L1032))),IF($M1032&lt;&gt;"",IF(INDEX(LdgWitB,$M1032)=0,"",INDEX(LdgWitB,$M1032)),""))</f>
        <v/>
      </c>
      <c r="H1032" s="27">
        <f>IF($L1032&lt;&gt;"",IF(INDEX(SCOp,$L1032)="مرجوعی فروش",IF(INDEX(SCAmount,$L1032)=0,"",-INDEX(SCAmount,$L1032)),""),IF($M1032&lt;&gt;"",IF(INDEX(LdgDepB,$M1032)=0,"",INDEX(LdgDepB,$M1032)),""))</f>
        <v/>
      </c>
      <c r="I1032" s="28">
        <f>IF($B1032="","",IF($I1031="",$C$10,$I1031)+IF($G1032="",0,$G1032)-IF($H1032="",0,$H1032))</f>
        <v/>
      </c>
      <c r="L1032">
        <f>IFERROR(MATCH($C$5&amp;"|"&amp;RIGHT("000000"&amp;1016,6),LdgRankKeyA,0),"")</f>
        <v/>
      </c>
      <c r="M1032">
        <f>IFERROR(MATCH($C$5&amp;"|"&amp;RIGHT("000000"&amp;1016,6),LdgRankKeyB,0),"")</f>
        <v/>
      </c>
    </row>
    <row r="1033">
      <c r="A1033" s="17" t="n">
        <v>1017</v>
      </c>
      <c r="B1033" s="18">
        <f>IF(AND($L1033="",$M1033=""),"",IF($L1033&lt;&gt;"",INDEX(SCNormDate,$L1033),INDEX(LdgDateB,$M1033)))</f>
        <v/>
      </c>
      <c r="C1033" s="18">
        <f>IF($L1033&lt;&gt;"",INDEX(SCOp,$L1033),IF($M1033&lt;&gt;"","پرداخت بانکی",""))</f>
        <v/>
      </c>
      <c r="D1033" s="18">
        <f>IF($L1033&lt;&gt;"",IF(INDEX(SCDoc,$L1033)="","—",INDEX(SCDoc,$L1033)),IF($M1033&lt;&gt;"",INDEX(LdgBankB,$M1033),""))</f>
        <v/>
      </c>
      <c r="E1033" s="19">
        <f>IF($L1033&lt;&gt;"",IF(INDEX(SCCitrus,$L1033)&amp;INDEX(SCNotes,$L1033)="","",IF(INDEX(SCCitrus,$L1033)="","",INDEX(SCCitrus,$L1033))&amp;IF(INDEX(SCNotes,$L1033)="",""," — "&amp;INDEX(SCNotes,$L1033))),IF($M1033&lt;&gt;"",IF(INDEX(LdgNoteB,$M1033)="","—",INDEX(LdgNoteB,$M1033)),""))</f>
        <v/>
      </c>
      <c r="F1033" s="20">
        <f>IF($L1033&lt;&gt;"",IF(INDEX(SCNet,$L1033)=0,"",INDEX(SCNet,$L1033)),"")</f>
        <v/>
      </c>
      <c r="G1033" s="21">
        <f>IF($L1033&lt;&gt;"",IF(INDEX(SCOp,$L1033)="مرجوعی فروش","",IF(INDEX(SCAmount,$L1033)&lt;=0,"",INDEX(SCAmount,$L1033))),IF($M1033&lt;&gt;"",IF(INDEX(LdgWitB,$M1033)=0,"",INDEX(LdgWitB,$M1033)),""))</f>
        <v/>
      </c>
      <c r="H1033" s="21">
        <f>IF($L1033&lt;&gt;"",IF(INDEX(SCOp,$L1033)="مرجوعی فروش",IF(INDEX(SCAmount,$L1033)=0,"",-INDEX(SCAmount,$L1033)),""),IF($M1033&lt;&gt;"",IF(INDEX(LdgDepB,$M1033)=0,"",INDEX(LdgDepB,$M1033)),""))</f>
        <v/>
      </c>
      <c r="I1033" s="22">
        <f>IF($B1033="","",IF($I1032="",$C$10,$I1032)+IF($G1033="",0,$G1033)-IF($H1033="",0,$H1033))</f>
        <v/>
      </c>
      <c r="L1033">
        <f>IFERROR(MATCH($C$5&amp;"|"&amp;RIGHT("000000"&amp;1017,6),LdgRankKeyA,0),"")</f>
        <v/>
      </c>
      <c r="M1033">
        <f>IFERROR(MATCH($C$5&amp;"|"&amp;RIGHT("000000"&amp;1017,6),LdgRankKeyB,0),"")</f>
        <v/>
      </c>
    </row>
    <row r="1034">
      <c r="A1034" s="23" t="n">
        <v>1018</v>
      </c>
      <c r="B1034" s="24">
        <f>IF(AND($L1034="",$M1034=""),"",IF($L1034&lt;&gt;"",INDEX(SCNormDate,$L1034),INDEX(LdgDateB,$M1034)))</f>
        <v/>
      </c>
      <c r="C1034" s="24">
        <f>IF($L1034&lt;&gt;"",INDEX(SCOp,$L1034),IF($M1034&lt;&gt;"","پرداخت بانکی",""))</f>
        <v/>
      </c>
      <c r="D1034" s="24">
        <f>IF($L1034&lt;&gt;"",IF(INDEX(SCDoc,$L1034)="","—",INDEX(SCDoc,$L1034)),IF($M1034&lt;&gt;"",INDEX(LdgBankB,$M1034),""))</f>
        <v/>
      </c>
      <c r="E1034" s="25">
        <f>IF($L1034&lt;&gt;"",IF(INDEX(SCCitrus,$L1034)&amp;INDEX(SCNotes,$L1034)="","",IF(INDEX(SCCitrus,$L1034)="","",INDEX(SCCitrus,$L1034))&amp;IF(INDEX(SCNotes,$L1034)="",""," — "&amp;INDEX(SCNotes,$L1034))),IF($M1034&lt;&gt;"",IF(INDEX(LdgNoteB,$M1034)="","—",INDEX(LdgNoteB,$M1034)),""))</f>
        <v/>
      </c>
      <c r="F1034" s="26">
        <f>IF($L1034&lt;&gt;"",IF(INDEX(SCNet,$L1034)=0,"",INDEX(SCNet,$L1034)),"")</f>
        <v/>
      </c>
      <c r="G1034" s="27">
        <f>IF($L1034&lt;&gt;"",IF(INDEX(SCOp,$L1034)="مرجوعی فروش","",IF(INDEX(SCAmount,$L1034)&lt;=0,"",INDEX(SCAmount,$L1034))),IF($M1034&lt;&gt;"",IF(INDEX(LdgWitB,$M1034)=0,"",INDEX(LdgWitB,$M1034)),""))</f>
        <v/>
      </c>
      <c r="H1034" s="27">
        <f>IF($L1034&lt;&gt;"",IF(INDEX(SCOp,$L1034)="مرجوعی فروش",IF(INDEX(SCAmount,$L1034)=0,"",-INDEX(SCAmount,$L1034)),""),IF($M1034&lt;&gt;"",IF(INDEX(LdgDepB,$M1034)=0,"",INDEX(LdgDepB,$M1034)),""))</f>
        <v/>
      </c>
      <c r="I1034" s="28">
        <f>IF($B1034="","",IF($I1033="",$C$10,$I1033)+IF($G1034="",0,$G1034)-IF($H1034="",0,$H1034))</f>
        <v/>
      </c>
      <c r="L1034">
        <f>IFERROR(MATCH($C$5&amp;"|"&amp;RIGHT("000000"&amp;1018,6),LdgRankKeyA,0),"")</f>
        <v/>
      </c>
      <c r="M1034">
        <f>IFERROR(MATCH($C$5&amp;"|"&amp;RIGHT("000000"&amp;1018,6),LdgRankKeyB,0),"")</f>
        <v/>
      </c>
    </row>
    <row r="1035">
      <c r="A1035" s="17" t="n">
        <v>1019</v>
      </c>
      <c r="B1035" s="18">
        <f>IF(AND($L1035="",$M1035=""),"",IF($L1035&lt;&gt;"",INDEX(SCNormDate,$L1035),INDEX(LdgDateB,$M1035)))</f>
        <v/>
      </c>
      <c r="C1035" s="18">
        <f>IF($L1035&lt;&gt;"",INDEX(SCOp,$L1035),IF($M1035&lt;&gt;"","پرداخت بانکی",""))</f>
        <v/>
      </c>
      <c r="D1035" s="18">
        <f>IF($L1035&lt;&gt;"",IF(INDEX(SCDoc,$L1035)="","—",INDEX(SCDoc,$L1035)),IF($M1035&lt;&gt;"",INDEX(LdgBankB,$M1035),""))</f>
        <v/>
      </c>
      <c r="E1035" s="19">
        <f>IF($L1035&lt;&gt;"",IF(INDEX(SCCitrus,$L1035)&amp;INDEX(SCNotes,$L1035)="","",IF(INDEX(SCCitrus,$L1035)="","",INDEX(SCCitrus,$L1035))&amp;IF(INDEX(SCNotes,$L1035)="",""," — "&amp;INDEX(SCNotes,$L1035))),IF($M1035&lt;&gt;"",IF(INDEX(LdgNoteB,$M1035)="","—",INDEX(LdgNoteB,$M1035)),""))</f>
        <v/>
      </c>
      <c r="F1035" s="20">
        <f>IF($L1035&lt;&gt;"",IF(INDEX(SCNet,$L1035)=0,"",INDEX(SCNet,$L1035)),"")</f>
        <v/>
      </c>
      <c r="G1035" s="21">
        <f>IF($L1035&lt;&gt;"",IF(INDEX(SCOp,$L1035)="مرجوعی فروش","",IF(INDEX(SCAmount,$L1035)&lt;=0,"",INDEX(SCAmount,$L1035))),IF($M1035&lt;&gt;"",IF(INDEX(LdgWitB,$M1035)=0,"",INDEX(LdgWitB,$M1035)),""))</f>
        <v/>
      </c>
      <c r="H1035" s="21">
        <f>IF($L1035&lt;&gt;"",IF(INDEX(SCOp,$L1035)="مرجوعی فروش",IF(INDEX(SCAmount,$L1035)=0,"",-INDEX(SCAmount,$L1035)),""),IF($M1035&lt;&gt;"",IF(INDEX(LdgDepB,$M1035)=0,"",INDEX(LdgDepB,$M1035)),""))</f>
        <v/>
      </c>
      <c r="I1035" s="22">
        <f>IF($B1035="","",IF($I1034="",$C$10,$I1034)+IF($G1035="",0,$G1035)-IF($H1035="",0,$H1035))</f>
        <v/>
      </c>
      <c r="L1035">
        <f>IFERROR(MATCH($C$5&amp;"|"&amp;RIGHT("000000"&amp;1019,6),LdgRankKeyA,0),"")</f>
        <v/>
      </c>
      <c r="M1035">
        <f>IFERROR(MATCH($C$5&amp;"|"&amp;RIGHT("000000"&amp;1019,6),LdgRankKeyB,0),"")</f>
        <v/>
      </c>
    </row>
    <row r="1036">
      <c r="A1036" s="23" t="n">
        <v>1020</v>
      </c>
      <c r="B1036" s="24">
        <f>IF(AND($L1036="",$M1036=""),"",IF($L1036&lt;&gt;"",INDEX(SCNormDate,$L1036),INDEX(LdgDateB,$M1036)))</f>
        <v/>
      </c>
      <c r="C1036" s="24">
        <f>IF($L1036&lt;&gt;"",INDEX(SCOp,$L1036),IF($M1036&lt;&gt;"","پرداخت بانکی",""))</f>
        <v/>
      </c>
      <c r="D1036" s="24">
        <f>IF($L1036&lt;&gt;"",IF(INDEX(SCDoc,$L1036)="","—",INDEX(SCDoc,$L1036)),IF($M1036&lt;&gt;"",INDEX(LdgBankB,$M1036),""))</f>
        <v/>
      </c>
      <c r="E1036" s="25">
        <f>IF($L1036&lt;&gt;"",IF(INDEX(SCCitrus,$L1036)&amp;INDEX(SCNotes,$L1036)="","",IF(INDEX(SCCitrus,$L1036)="","",INDEX(SCCitrus,$L1036))&amp;IF(INDEX(SCNotes,$L1036)="",""," — "&amp;INDEX(SCNotes,$L1036))),IF($M1036&lt;&gt;"",IF(INDEX(LdgNoteB,$M1036)="","—",INDEX(LdgNoteB,$M1036)),""))</f>
        <v/>
      </c>
      <c r="F1036" s="26">
        <f>IF($L1036&lt;&gt;"",IF(INDEX(SCNet,$L1036)=0,"",INDEX(SCNet,$L1036)),"")</f>
        <v/>
      </c>
      <c r="G1036" s="27">
        <f>IF($L1036&lt;&gt;"",IF(INDEX(SCOp,$L1036)="مرجوعی فروش","",IF(INDEX(SCAmount,$L1036)&lt;=0,"",INDEX(SCAmount,$L1036))),IF($M1036&lt;&gt;"",IF(INDEX(LdgWitB,$M1036)=0,"",INDEX(LdgWitB,$M1036)),""))</f>
        <v/>
      </c>
      <c r="H1036" s="27">
        <f>IF($L1036&lt;&gt;"",IF(INDEX(SCOp,$L1036)="مرجوعی فروش",IF(INDEX(SCAmount,$L1036)=0,"",-INDEX(SCAmount,$L1036)),""),IF($M1036&lt;&gt;"",IF(INDEX(LdgDepB,$M1036)=0,"",INDEX(LdgDepB,$M1036)),""))</f>
        <v/>
      </c>
      <c r="I1036" s="28">
        <f>IF($B1036="","",IF($I1035="",$C$10,$I1035)+IF($G1036="",0,$G1036)-IF($H1036="",0,$H1036))</f>
        <v/>
      </c>
      <c r="L1036">
        <f>IFERROR(MATCH($C$5&amp;"|"&amp;RIGHT("000000"&amp;1020,6),LdgRankKeyA,0),"")</f>
        <v/>
      </c>
      <c r="M1036">
        <f>IFERROR(MATCH($C$5&amp;"|"&amp;RIGHT("000000"&amp;1020,6),LdgRankKeyB,0),"")</f>
        <v/>
      </c>
    </row>
    <row r="1037">
      <c r="A1037" s="17" t="n">
        <v>1021</v>
      </c>
      <c r="B1037" s="18">
        <f>IF(AND($L1037="",$M1037=""),"",IF($L1037&lt;&gt;"",INDEX(SCNormDate,$L1037),INDEX(LdgDateB,$M1037)))</f>
        <v/>
      </c>
      <c r="C1037" s="18">
        <f>IF($L1037&lt;&gt;"",INDEX(SCOp,$L1037),IF($M1037&lt;&gt;"","پرداخت بانکی",""))</f>
        <v/>
      </c>
      <c r="D1037" s="18">
        <f>IF($L1037&lt;&gt;"",IF(INDEX(SCDoc,$L1037)="","—",INDEX(SCDoc,$L1037)),IF($M1037&lt;&gt;"",INDEX(LdgBankB,$M1037),""))</f>
        <v/>
      </c>
      <c r="E1037" s="19">
        <f>IF($L1037&lt;&gt;"",IF(INDEX(SCCitrus,$L1037)&amp;INDEX(SCNotes,$L1037)="","",IF(INDEX(SCCitrus,$L1037)="","",INDEX(SCCitrus,$L1037))&amp;IF(INDEX(SCNotes,$L1037)="",""," — "&amp;INDEX(SCNotes,$L1037))),IF($M1037&lt;&gt;"",IF(INDEX(LdgNoteB,$M1037)="","—",INDEX(LdgNoteB,$M1037)),""))</f>
        <v/>
      </c>
      <c r="F1037" s="20">
        <f>IF($L1037&lt;&gt;"",IF(INDEX(SCNet,$L1037)=0,"",INDEX(SCNet,$L1037)),"")</f>
        <v/>
      </c>
      <c r="G1037" s="21">
        <f>IF($L1037&lt;&gt;"",IF(INDEX(SCOp,$L1037)="مرجوعی فروش","",IF(INDEX(SCAmount,$L1037)&lt;=0,"",INDEX(SCAmount,$L1037))),IF($M1037&lt;&gt;"",IF(INDEX(LdgWitB,$M1037)=0,"",INDEX(LdgWitB,$M1037)),""))</f>
        <v/>
      </c>
      <c r="H1037" s="21">
        <f>IF($L1037&lt;&gt;"",IF(INDEX(SCOp,$L1037)="مرجوعی فروش",IF(INDEX(SCAmount,$L1037)=0,"",-INDEX(SCAmount,$L1037)),""),IF($M1037&lt;&gt;"",IF(INDEX(LdgDepB,$M1037)=0,"",INDEX(LdgDepB,$M1037)),""))</f>
        <v/>
      </c>
      <c r="I1037" s="22">
        <f>IF($B1037="","",IF($I1036="",$C$10,$I1036)+IF($G1037="",0,$G1037)-IF($H1037="",0,$H1037))</f>
        <v/>
      </c>
      <c r="L1037">
        <f>IFERROR(MATCH($C$5&amp;"|"&amp;RIGHT("000000"&amp;1021,6),LdgRankKeyA,0),"")</f>
        <v/>
      </c>
      <c r="M1037">
        <f>IFERROR(MATCH($C$5&amp;"|"&amp;RIGHT("000000"&amp;1021,6),LdgRankKeyB,0),"")</f>
        <v/>
      </c>
    </row>
    <row r="1038">
      <c r="A1038" s="23" t="n">
        <v>1022</v>
      </c>
      <c r="B1038" s="24">
        <f>IF(AND($L1038="",$M1038=""),"",IF($L1038&lt;&gt;"",INDEX(SCNormDate,$L1038),INDEX(LdgDateB,$M1038)))</f>
        <v/>
      </c>
      <c r="C1038" s="24">
        <f>IF($L1038&lt;&gt;"",INDEX(SCOp,$L1038),IF($M1038&lt;&gt;"","پرداخت بانکی",""))</f>
        <v/>
      </c>
      <c r="D1038" s="24">
        <f>IF($L1038&lt;&gt;"",IF(INDEX(SCDoc,$L1038)="","—",INDEX(SCDoc,$L1038)),IF($M1038&lt;&gt;"",INDEX(LdgBankB,$M1038),""))</f>
        <v/>
      </c>
      <c r="E1038" s="25">
        <f>IF($L1038&lt;&gt;"",IF(INDEX(SCCitrus,$L1038)&amp;INDEX(SCNotes,$L1038)="","",IF(INDEX(SCCitrus,$L1038)="","",INDEX(SCCitrus,$L1038))&amp;IF(INDEX(SCNotes,$L1038)="",""," — "&amp;INDEX(SCNotes,$L1038))),IF($M1038&lt;&gt;"",IF(INDEX(LdgNoteB,$M1038)="","—",INDEX(LdgNoteB,$M1038)),""))</f>
        <v/>
      </c>
      <c r="F1038" s="26">
        <f>IF($L1038&lt;&gt;"",IF(INDEX(SCNet,$L1038)=0,"",INDEX(SCNet,$L1038)),"")</f>
        <v/>
      </c>
      <c r="G1038" s="27">
        <f>IF($L1038&lt;&gt;"",IF(INDEX(SCOp,$L1038)="مرجوعی فروش","",IF(INDEX(SCAmount,$L1038)&lt;=0,"",INDEX(SCAmount,$L1038))),IF($M1038&lt;&gt;"",IF(INDEX(LdgWitB,$M1038)=0,"",INDEX(LdgWitB,$M1038)),""))</f>
        <v/>
      </c>
      <c r="H1038" s="27">
        <f>IF($L1038&lt;&gt;"",IF(INDEX(SCOp,$L1038)="مرجوعی فروش",IF(INDEX(SCAmount,$L1038)=0,"",-INDEX(SCAmount,$L1038)),""),IF($M1038&lt;&gt;"",IF(INDEX(LdgDepB,$M1038)=0,"",INDEX(LdgDepB,$M1038)),""))</f>
        <v/>
      </c>
      <c r="I1038" s="28">
        <f>IF($B1038="","",IF($I1037="",$C$10,$I1037)+IF($G1038="",0,$G1038)-IF($H1038="",0,$H1038))</f>
        <v/>
      </c>
      <c r="L1038">
        <f>IFERROR(MATCH($C$5&amp;"|"&amp;RIGHT("000000"&amp;1022,6),LdgRankKeyA,0),"")</f>
        <v/>
      </c>
      <c r="M1038">
        <f>IFERROR(MATCH($C$5&amp;"|"&amp;RIGHT("000000"&amp;1022,6),LdgRankKeyB,0),"")</f>
        <v/>
      </c>
    </row>
    <row r="1039">
      <c r="A1039" s="17" t="n">
        <v>1023</v>
      </c>
      <c r="B1039" s="18">
        <f>IF(AND($L1039="",$M1039=""),"",IF($L1039&lt;&gt;"",INDEX(SCNormDate,$L1039),INDEX(LdgDateB,$M1039)))</f>
        <v/>
      </c>
      <c r="C1039" s="18">
        <f>IF($L1039&lt;&gt;"",INDEX(SCOp,$L1039),IF($M1039&lt;&gt;"","پرداخت بانکی",""))</f>
        <v/>
      </c>
      <c r="D1039" s="18">
        <f>IF($L1039&lt;&gt;"",IF(INDEX(SCDoc,$L1039)="","—",INDEX(SCDoc,$L1039)),IF($M1039&lt;&gt;"",INDEX(LdgBankB,$M1039),""))</f>
        <v/>
      </c>
      <c r="E1039" s="19">
        <f>IF($L1039&lt;&gt;"",IF(INDEX(SCCitrus,$L1039)&amp;INDEX(SCNotes,$L1039)="","",IF(INDEX(SCCitrus,$L1039)="","",INDEX(SCCitrus,$L1039))&amp;IF(INDEX(SCNotes,$L1039)="",""," — "&amp;INDEX(SCNotes,$L1039))),IF($M1039&lt;&gt;"",IF(INDEX(LdgNoteB,$M1039)="","—",INDEX(LdgNoteB,$M1039)),""))</f>
        <v/>
      </c>
      <c r="F1039" s="20">
        <f>IF($L1039&lt;&gt;"",IF(INDEX(SCNet,$L1039)=0,"",INDEX(SCNet,$L1039)),"")</f>
        <v/>
      </c>
      <c r="G1039" s="21">
        <f>IF($L1039&lt;&gt;"",IF(INDEX(SCOp,$L1039)="مرجوعی فروش","",IF(INDEX(SCAmount,$L1039)&lt;=0,"",INDEX(SCAmount,$L1039))),IF($M1039&lt;&gt;"",IF(INDEX(LdgWitB,$M1039)=0,"",INDEX(LdgWitB,$M1039)),""))</f>
        <v/>
      </c>
      <c r="H1039" s="21">
        <f>IF($L1039&lt;&gt;"",IF(INDEX(SCOp,$L1039)="مرجوعی فروش",IF(INDEX(SCAmount,$L1039)=0,"",-INDEX(SCAmount,$L1039)),""),IF($M1039&lt;&gt;"",IF(INDEX(LdgDepB,$M1039)=0,"",INDEX(LdgDepB,$M1039)),""))</f>
        <v/>
      </c>
      <c r="I1039" s="22">
        <f>IF($B1039="","",IF($I1038="",$C$10,$I1038)+IF($G1039="",0,$G1039)-IF($H1039="",0,$H1039))</f>
        <v/>
      </c>
      <c r="L1039">
        <f>IFERROR(MATCH($C$5&amp;"|"&amp;RIGHT("000000"&amp;1023,6),LdgRankKeyA,0),"")</f>
        <v/>
      </c>
      <c r="M1039">
        <f>IFERROR(MATCH($C$5&amp;"|"&amp;RIGHT("000000"&amp;1023,6),LdgRankKeyB,0),"")</f>
        <v/>
      </c>
    </row>
    <row r="1040">
      <c r="A1040" s="23" t="n">
        <v>1024</v>
      </c>
      <c r="B1040" s="24">
        <f>IF(AND($L1040="",$M1040=""),"",IF($L1040&lt;&gt;"",INDEX(SCNormDate,$L1040),INDEX(LdgDateB,$M1040)))</f>
        <v/>
      </c>
      <c r="C1040" s="24">
        <f>IF($L1040&lt;&gt;"",INDEX(SCOp,$L1040),IF($M1040&lt;&gt;"","پرداخت بانکی",""))</f>
        <v/>
      </c>
      <c r="D1040" s="24">
        <f>IF($L1040&lt;&gt;"",IF(INDEX(SCDoc,$L1040)="","—",INDEX(SCDoc,$L1040)),IF($M1040&lt;&gt;"",INDEX(LdgBankB,$M1040),""))</f>
        <v/>
      </c>
      <c r="E1040" s="25">
        <f>IF($L1040&lt;&gt;"",IF(INDEX(SCCitrus,$L1040)&amp;INDEX(SCNotes,$L1040)="","",IF(INDEX(SCCitrus,$L1040)="","",INDEX(SCCitrus,$L1040))&amp;IF(INDEX(SCNotes,$L1040)="",""," — "&amp;INDEX(SCNotes,$L1040))),IF($M1040&lt;&gt;"",IF(INDEX(LdgNoteB,$M1040)="","—",INDEX(LdgNoteB,$M1040)),""))</f>
        <v/>
      </c>
      <c r="F1040" s="26">
        <f>IF($L1040&lt;&gt;"",IF(INDEX(SCNet,$L1040)=0,"",INDEX(SCNet,$L1040)),"")</f>
        <v/>
      </c>
      <c r="G1040" s="27">
        <f>IF($L1040&lt;&gt;"",IF(INDEX(SCOp,$L1040)="مرجوعی فروش","",IF(INDEX(SCAmount,$L1040)&lt;=0,"",INDEX(SCAmount,$L1040))),IF($M1040&lt;&gt;"",IF(INDEX(LdgWitB,$M1040)=0,"",INDEX(LdgWitB,$M1040)),""))</f>
        <v/>
      </c>
      <c r="H1040" s="27">
        <f>IF($L1040&lt;&gt;"",IF(INDEX(SCOp,$L1040)="مرجوعی فروش",IF(INDEX(SCAmount,$L1040)=0,"",-INDEX(SCAmount,$L1040)),""),IF($M1040&lt;&gt;"",IF(INDEX(LdgDepB,$M1040)=0,"",INDEX(LdgDepB,$M1040)),""))</f>
        <v/>
      </c>
      <c r="I1040" s="28">
        <f>IF($B1040="","",IF($I1039="",$C$10,$I1039)+IF($G1040="",0,$G1040)-IF($H1040="",0,$H1040))</f>
        <v/>
      </c>
      <c r="L1040">
        <f>IFERROR(MATCH($C$5&amp;"|"&amp;RIGHT("000000"&amp;1024,6),LdgRankKeyA,0),"")</f>
        <v/>
      </c>
      <c r="M1040">
        <f>IFERROR(MATCH($C$5&amp;"|"&amp;RIGHT("000000"&amp;1024,6),LdgRankKeyB,0),"")</f>
        <v/>
      </c>
    </row>
    <row r="1041">
      <c r="A1041" s="17" t="n">
        <v>1025</v>
      </c>
      <c r="B1041" s="18">
        <f>IF(AND($L1041="",$M1041=""),"",IF($L1041&lt;&gt;"",INDEX(SCNormDate,$L1041),INDEX(LdgDateB,$M1041)))</f>
        <v/>
      </c>
      <c r="C1041" s="18">
        <f>IF($L1041&lt;&gt;"",INDEX(SCOp,$L1041),IF($M1041&lt;&gt;"","پرداخت بانکی",""))</f>
        <v/>
      </c>
      <c r="D1041" s="18">
        <f>IF($L1041&lt;&gt;"",IF(INDEX(SCDoc,$L1041)="","—",INDEX(SCDoc,$L1041)),IF($M1041&lt;&gt;"",INDEX(LdgBankB,$M1041),""))</f>
        <v/>
      </c>
      <c r="E1041" s="19">
        <f>IF($L1041&lt;&gt;"",IF(INDEX(SCCitrus,$L1041)&amp;INDEX(SCNotes,$L1041)="","",IF(INDEX(SCCitrus,$L1041)="","",INDEX(SCCitrus,$L1041))&amp;IF(INDEX(SCNotes,$L1041)="",""," — "&amp;INDEX(SCNotes,$L1041))),IF($M1041&lt;&gt;"",IF(INDEX(LdgNoteB,$M1041)="","—",INDEX(LdgNoteB,$M1041)),""))</f>
        <v/>
      </c>
      <c r="F1041" s="20">
        <f>IF($L1041&lt;&gt;"",IF(INDEX(SCNet,$L1041)=0,"",INDEX(SCNet,$L1041)),"")</f>
        <v/>
      </c>
      <c r="G1041" s="21">
        <f>IF($L1041&lt;&gt;"",IF(INDEX(SCOp,$L1041)="مرجوعی فروش","",IF(INDEX(SCAmount,$L1041)&lt;=0,"",INDEX(SCAmount,$L1041))),IF($M1041&lt;&gt;"",IF(INDEX(LdgWitB,$M1041)=0,"",INDEX(LdgWitB,$M1041)),""))</f>
        <v/>
      </c>
      <c r="H1041" s="21">
        <f>IF($L1041&lt;&gt;"",IF(INDEX(SCOp,$L1041)="مرجوعی فروش",IF(INDEX(SCAmount,$L1041)=0,"",-INDEX(SCAmount,$L1041)),""),IF($M1041&lt;&gt;"",IF(INDEX(LdgDepB,$M1041)=0,"",INDEX(LdgDepB,$M1041)),""))</f>
        <v/>
      </c>
      <c r="I1041" s="22">
        <f>IF($B1041="","",IF($I1040="",$C$10,$I1040)+IF($G1041="",0,$G1041)-IF($H1041="",0,$H1041))</f>
        <v/>
      </c>
      <c r="L1041">
        <f>IFERROR(MATCH($C$5&amp;"|"&amp;RIGHT("000000"&amp;1025,6),LdgRankKeyA,0),"")</f>
        <v/>
      </c>
      <c r="M1041">
        <f>IFERROR(MATCH($C$5&amp;"|"&amp;RIGHT("000000"&amp;1025,6),LdgRankKeyB,0),"")</f>
        <v/>
      </c>
    </row>
    <row r="1042">
      <c r="A1042" s="23" t="n">
        <v>1026</v>
      </c>
      <c r="B1042" s="24">
        <f>IF(AND($L1042="",$M1042=""),"",IF($L1042&lt;&gt;"",INDEX(SCNormDate,$L1042),INDEX(LdgDateB,$M1042)))</f>
        <v/>
      </c>
      <c r="C1042" s="24">
        <f>IF($L1042&lt;&gt;"",INDEX(SCOp,$L1042),IF($M1042&lt;&gt;"","پرداخت بانکی",""))</f>
        <v/>
      </c>
      <c r="D1042" s="24">
        <f>IF($L1042&lt;&gt;"",IF(INDEX(SCDoc,$L1042)="","—",INDEX(SCDoc,$L1042)),IF($M1042&lt;&gt;"",INDEX(LdgBankB,$M1042),""))</f>
        <v/>
      </c>
      <c r="E1042" s="25">
        <f>IF($L1042&lt;&gt;"",IF(INDEX(SCCitrus,$L1042)&amp;INDEX(SCNotes,$L1042)="","",IF(INDEX(SCCitrus,$L1042)="","",INDEX(SCCitrus,$L1042))&amp;IF(INDEX(SCNotes,$L1042)="",""," — "&amp;INDEX(SCNotes,$L1042))),IF($M1042&lt;&gt;"",IF(INDEX(LdgNoteB,$M1042)="","—",INDEX(LdgNoteB,$M1042)),""))</f>
        <v/>
      </c>
      <c r="F1042" s="26">
        <f>IF($L1042&lt;&gt;"",IF(INDEX(SCNet,$L1042)=0,"",INDEX(SCNet,$L1042)),"")</f>
        <v/>
      </c>
      <c r="G1042" s="27">
        <f>IF($L1042&lt;&gt;"",IF(INDEX(SCOp,$L1042)="مرجوعی فروش","",IF(INDEX(SCAmount,$L1042)&lt;=0,"",INDEX(SCAmount,$L1042))),IF($M1042&lt;&gt;"",IF(INDEX(LdgWitB,$M1042)=0,"",INDEX(LdgWitB,$M1042)),""))</f>
        <v/>
      </c>
      <c r="H1042" s="27">
        <f>IF($L1042&lt;&gt;"",IF(INDEX(SCOp,$L1042)="مرجوعی فروش",IF(INDEX(SCAmount,$L1042)=0,"",-INDEX(SCAmount,$L1042)),""),IF($M1042&lt;&gt;"",IF(INDEX(LdgDepB,$M1042)=0,"",INDEX(LdgDepB,$M1042)),""))</f>
        <v/>
      </c>
      <c r="I1042" s="28">
        <f>IF($B1042="","",IF($I1041="",$C$10,$I1041)+IF($G1042="",0,$G1042)-IF($H1042="",0,$H1042))</f>
        <v/>
      </c>
      <c r="L1042">
        <f>IFERROR(MATCH($C$5&amp;"|"&amp;RIGHT("000000"&amp;1026,6),LdgRankKeyA,0),"")</f>
        <v/>
      </c>
      <c r="M1042">
        <f>IFERROR(MATCH($C$5&amp;"|"&amp;RIGHT("000000"&amp;1026,6),LdgRankKeyB,0),"")</f>
        <v/>
      </c>
    </row>
    <row r="1043">
      <c r="A1043" s="17" t="n">
        <v>1027</v>
      </c>
      <c r="B1043" s="18">
        <f>IF(AND($L1043="",$M1043=""),"",IF($L1043&lt;&gt;"",INDEX(SCNormDate,$L1043),INDEX(LdgDateB,$M1043)))</f>
        <v/>
      </c>
      <c r="C1043" s="18">
        <f>IF($L1043&lt;&gt;"",INDEX(SCOp,$L1043),IF($M1043&lt;&gt;"","پرداخت بانکی",""))</f>
        <v/>
      </c>
      <c r="D1043" s="18">
        <f>IF($L1043&lt;&gt;"",IF(INDEX(SCDoc,$L1043)="","—",INDEX(SCDoc,$L1043)),IF($M1043&lt;&gt;"",INDEX(LdgBankB,$M1043),""))</f>
        <v/>
      </c>
      <c r="E1043" s="19">
        <f>IF($L1043&lt;&gt;"",IF(INDEX(SCCitrus,$L1043)&amp;INDEX(SCNotes,$L1043)="","",IF(INDEX(SCCitrus,$L1043)="","",INDEX(SCCitrus,$L1043))&amp;IF(INDEX(SCNotes,$L1043)="",""," — "&amp;INDEX(SCNotes,$L1043))),IF($M1043&lt;&gt;"",IF(INDEX(LdgNoteB,$M1043)="","—",INDEX(LdgNoteB,$M1043)),""))</f>
        <v/>
      </c>
      <c r="F1043" s="20">
        <f>IF($L1043&lt;&gt;"",IF(INDEX(SCNet,$L1043)=0,"",INDEX(SCNet,$L1043)),"")</f>
        <v/>
      </c>
      <c r="G1043" s="21">
        <f>IF($L1043&lt;&gt;"",IF(INDEX(SCOp,$L1043)="مرجوعی فروش","",IF(INDEX(SCAmount,$L1043)&lt;=0,"",INDEX(SCAmount,$L1043))),IF($M1043&lt;&gt;"",IF(INDEX(LdgWitB,$M1043)=0,"",INDEX(LdgWitB,$M1043)),""))</f>
        <v/>
      </c>
      <c r="H1043" s="21">
        <f>IF($L1043&lt;&gt;"",IF(INDEX(SCOp,$L1043)="مرجوعی فروش",IF(INDEX(SCAmount,$L1043)=0,"",-INDEX(SCAmount,$L1043)),""),IF($M1043&lt;&gt;"",IF(INDEX(LdgDepB,$M1043)=0,"",INDEX(LdgDepB,$M1043)),""))</f>
        <v/>
      </c>
      <c r="I1043" s="22">
        <f>IF($B1043="","",IF($I1042="",$C$10,$I1042)+IF($G1043="",0,$G1043)-IF($H1043="",0,$H1043))</f>
        <v/>
      </c>
      <c r="L1043">
        <f>IFERROR(MATCH($C$5&amp;"|"&amp;RIGHT("000000"&amp;1027,6),LdgRankKeyA,0),"")</f>
        <v/>
      </c>
      <c r="M1043">
        <f>IFERROR(MATCH($C$5&amp;"|"&amp;RIGHT("000000"&amp;1027,6),LdgRankKeyB,0),"")</f>
        <v/>
      </c>
    </row>
    <row r="1044">
      <c r="A1044" s="23" t="n">
        <v>1028</v>
      </c>
      <c r="B1044" s="24">
        <f>IF(AND($L1044="",$M1044=""),"",IF($L1044&lt;&gt;"",INDEX(SCNormDate,$L1044),INDEX(LdgDateB,$M1044)))</f>
        <v/>
      </c>
      <c r="C1044" s="24">
        <f>IF($L1044&lt;&gt;"",INDEX(SCOp,$L1044),IF($M1044&lt;&gt;"","پرداخت بانکی",""))</f>
        <v/>
      </c>
      <c r="D1044" s="24">
        <f>IF($L1044&lt;&gt;"",IF(INDEX(SCDoc,$L1044)="","—",INDEX(SCDoc,$L1044)),IF($M1044&lt;&gt;"",INDEX(LdgBankB,$M1044),""))</f>
        <v/>
      </c>
      <c r="E1044" s="25">
        <f>IF($L1044&lt;&gt;"",IF(INDEX(SCCitrus,$L1044)&amp;INDEX(SCNotes,$L1044)="","",IF(INDEX(SCCitrus,$L1044)="","",INDEX(SCCitrus,$L1044))&amp;IF(INDEX(SCNotes,$L1044)="",""," — "&amp;INDEX(SCNotes,$L1044))),IF($M1044&lt;&gt;"",IF(INDEX(LdgNoteB,$M1044)="","—",INDEX(LdgNoteB,$M1044)),""))</f>
        <v/>
      </c>
      <c r="F1044" s="26">
        <f>IF($L1044&lt;&gt;"",IF(INDEX(SCNet,$L1044)=0,"",INDEX(SCNet,$L1044)),"")</f>
        <v/>
      </c>
      <c r="G1044" s="27">
        <f>IF($L1044&lt;&gt;"",IF(INDEX(SCOp,$L1044)="مرجوعی فروش","",IF(INDEX(SCAmount,$L1044)&lt;=0,"",INDEX(SCAmount,$L1044))),IF($M1044&lt;&gt;"",IF(INDEX(LdgWitB,$M1044)=0,"",INDEX(LdgWitB,$M1044)),""))</f>
        <v/>
      </c>
      <c r="H1044" s="27">
        <f>IF($L1044&lt;&gt;"",IF(INDEX(SCOp,$L1044)="مرجوعی فروش",IF(INDEX(SCAmount,$L1044)=0,"",-INDEX(SCAmount,$L1044)),""),IF($M1044&lt;&gt;"",IF(INDEX(LdgDepB,$M1044)=0,"",INDEX(LdgDepB,$M1044)),""))</f>
        <v/>
      </c>
      <c r="I1044" s="28">
        <f>IF($B1044="","",IF($I1043="",$C$10,$I1043)+IF($G1044="",0,$G1044)-IF($H1044="",0,$H1044))</f>
        <v/>
      </c>
      <c r="L1044">
        <f>IFERROR(MATCH($C$5&amp;"|"&amp;RIGHT("000000"&amp;1028,6),LdgRankKeyA,0),"")</f>
        <v/>
      </c>
      <c r="M1044">
        <f>IFERROR(MATCH($C$5&amp;"|"&amp;RIGHT("000000"&amp;1028,6),LdgRankKeyB,0),"")</f>
        <v/>
      </c>
    </row>
    <row r="1045">
      <c r="A1045" s="17" t="n">
        <v>1029</v>
      </c>
      <c r="B1045" s="18">
        <f>IF(AND($L1045="",$M1045=""),"",IF($L1045&lt;&gt;"",INDEX(SCNormDate,$L1045),INDEX(LdgDateB,$M1045)))</f>
        <v/>
      </c>
      <c r="C1045" s="18">
        <f>IF($L1045&lt;&gt;"",INDEX(SCOp,$L1045),IF($M1045&lt;&gt;"","پرداخت بانکی",""))</f>
        <v/>
      </c>
      <c r="D1045" s="18">
        <f>IF($L1045&lt;&gt;"",IF(INDEX(SCDoc,$L1045)="","—",INDEX(SCDoc,$L1045)),IF($M1045&lt;&gt;"",INDEX(LdgBankB,$M1045),""))</f>
        <v/>
      </c>
      <c r="E1045" s="19">
        <f>IF($L1045&lt;&gt;"",IF(INDEX(SCCitrus,$L1045)&amp;INDEX(SCNotes,$L1045)="","",IF(INDEX(SCCitrus,$L1045)="","",INDEX(SCCitrus,$L1045))&amp;IF(INDEX(SCNotes,$L1045)="",""," — "&amp;INDEX(SCNotes,$L1045))),IF($M1045&lt;&gt;"",IF(INDEX(LdgNoteB,$M1045)="","—",INDEX(LdgNoteB,$M1045)),""))</f>
        <v/>
      </c>
      <c r="F1045" s="20">
        <f>IF($L1045&lt;&gt;"",IF(INDEX(SCNet,$L1045)=0,"",INDEX(SCNet,$L1045)),"")</f>
        <v/>
      </c>
      <c r="G1045" s="21">
        <f>IF($L1045&lt;&gt;"",IF(INDEX(SCOp,$L1045)="مرجوعی فروش","",IF(INDEX(SCAmount,$L1045)&lt;=0,"",INDEX(SCAmount,$L1045))),IF($M1045&lt;&gt;"",IF(INDEX(LdgWitB,$M1045)=0,"",INDEX(LdgWitB,$M1045)),""))</f>
        <v/>
      </c>
      <c r="H1045" s="21">
        <f>IF($L1045&lt;&gt;"",IF(INDEX(SCOp,$L1045)="مرجوعی فروش",IF(INDEX(SCAmount,$L1045)=0,"",-INDEX(SCAmount,$L1045)),""),IF($M1045&lt;&gt;"",IF(INDEX(LdgDepB,$M1045)=0,"",INDEX(LdgDepB,$M1045)),""))</f>
        <v/>
      </c>
      <c r="I1045" s="22">
        <f>IF($B1045="","",IF($I1044="",$C$10,$I1044)+IF($G1045="",0,$G1045)-IF($H1045="",0,$H1045))</f>
        <v/>
      </c>
      <c r="L1045">
        <f>IFERROR(MATCH($C$5&amp;"|"&amp;RIGHT("000000"&amp;1029,6),LdgRankKeyA,0),"")</f>
        <v/>
      </c>
      <c r="M1045">
        <f>IFERROR(MATCH($C$5&amp;"|"&amp;RIGHT("000000"&amp;1029,6),LdgRankKeyB,0),"")</f>
        <v/>
      </c>
    </row>
    <row r="1046">
      <c r="A1046" s="23" t="n">
        <v>1030</v>
      </c>
      <c r="B1046" s="24">
        <f>IF(AND($L1046="",$M1046=""),"",IF($L1046&lt;&gt;"",INDEX(SCNormDate,$L1046),INDEX(LdgDateB,$M1046)))</f>
        <v/>
      </c>
      <c r="C1046" s="24">
        <f>IF($L1046&lt;&gt;"",INDEX(SCOp,$L1046),IF($M1046&lt;&gt;"","پرداخت بانکی",""))</f>
        <v/>
      </c>
      <c r="D1046" s="24">
        <f>IF($L1046&lt;&gt;"",IF(INDEX(SCDoc,$L1046)="","—",INDEX(SCDoc,$L1046)),IF($M1046&lt;&gt;"",INDEX(LdgBankB,$M1046),""))</f>
        <v/>
      </c>
      <c r="E1046" s="25">
        <f>IF($L1046&lt;&gt;"",IF(INDEX(SCCitrus,$L1046)&amp;INDEX(SCNotes,$L1046)="","",IF(INDEX(SCCitrus,$L1046)="","",INDEX(SCCitrus,$L1046))&amp;IF(INDEX(SCNotes,$L1046)="",""," — "&amp;INDEX(SCNotes,$L1046))),IF($M1046&lt;&gt;"",IF(INDEX(LdgNoteB,$M1046)="","—",INDEX(LdgNoteB,$M1046)),""))</f>
        <v/>
      </c>
      <c r="F1046" s="26">
        <f>IF($L1046&lt;&gt;"",IF(INDEX(SCNet,$L1046)=0,"",INDEX(SCNet,$L1046)),"")</f>
        <v/>
      </c>
      <c r="G1046" s="27">
        <f>IF($L1046&lt;&gt;"",IF(INDEX(SCOp,$L1046)="مرجوعی فروش","",IF(INDEX(SCAmount,$L1046)&lt;=0,"",INDEX(SCAmount,$L1046))),IF($M1046&lt;&gt;"",IF(INDEX(LdgWitB,$M1046)=0,"",INDEX(LdgWitB,$M1046)),""))</f>
        <v/>
      </c>
      <c r="H1046" s="27">
        <f>IF($L1046&lt;&gt;"",IF(INDEX(SCOp,$L1046)="مرجوعی فروش",IF(INDEX(SCAmount,$L1046)=0,"",-INDEX(SCAmount,$L1046)),""),IF($M1046&lt;&gt;"",IF(INDEX(LdgDepB,$M1046)=0,"",INDEX(LdgDepB,$M1046)),""))</f>
        <v/>
      </c>
      <c r="I1046" s="28">
        <f>IF($B1046="","",IF($I1045="",$C$10,$I1045)+IF($G1046="",0,$G1046)-IF($H1046="",0,$H1046))</f>
        <v/>
      </c>
      <c r="L1046">
        <f>IFERROR(MATCH($C$5&amp;"|"&amp;RIGHT("000000"&amp;1030,6),LdgRankKeyA,0),"")</f>
        <v/>
      </c>
      <c r="M1046">
        <f>IFERROR(MATCH($C$5&amp;"|"&amp;RIGHT("000000"&amp;1030,6),LdgRankKeyB,0),"")</f>
        <v/>
      </c>
    </row>
    <row r="1047">
      <c r="A1047" s="17" t="n">
        <v>1031</v>
      </c>
      <c r="B1047" s="18">
        <f>IF(AND($L1047="",$M1047=""),"",IF($L1047&lt;&gt;"",INDEX(SCNormDate,$L1047),INDEX(LdgDateB,$M1047)))</f>
        <v/>
      </c>
      <c r="C1047" s="18">
        <f>IF($L1047&lt;&gt;"",INDEX(SCOp,$L1047),IF($M1047&lt;&gt;"","پرداخت بانکی",""))</f>
        <v/>
      </c>
      <c r="D1047" s="18">
        <f>IF($L1047&lt;&gt;"",IF(INDEX(SCDoc,$L1047)="","—",INDEX(SCDoc,$L1047)),IF($M1047&lt;&gt;"",INDEX(LdgBankB,$M1047),""))</f>
        <v/>
      </c>
      <c r="E1047" s="19">
        <f>IF($L1047&lt;&gt;"",IF(INDEX(SCCitrus,$L1047)&amp;INDEX(SCNotes,$L1047)="","",IF(INDEX(SCCitrus,$L1047)="","",INDEX(SCCitrus,$L1047))&amp;IF(INDEX(SCNotes,$L1047)="",""," — "&amp;INDEX(SCNotes,$L1047))),IF($M1047&lt;&gt;"",IF(INDEX(LdgNoteB,$M1047)="","—",INDEX(LdgNoteB,$M1047)),""))</f>
        <v/>
      </c>
      <c r="F1047" s="20">
        <f>IF($L1047&lt;&gt;"",IF(INDEX(SCNet,$L1047)=0,"",INDEX(SCNet,$L1047)),"")</f>
        <v/>
      </c>
      <c r="G1047" s="21">
        <f>IF($L1047&lt;&gt;"",IF(INDEX(SCOp,$L1047)="مرجوعی فروش","",IF(INDEX(SCAmount,$L1047)&lt;=0,"",INDEX(SCAmount,$L1047))),IF($M1047&lt;&gt;"",IF(INDEX(LdgWitB,$M1047)=0,"",INDEX(LdgWitB,$M1047)),""))</f>
        <v/>
      </c>
      <c r="H1047" s="21">
        <f>IF($L1047&lt;&gt;"",IF(INDEX(SCOp,$L1047)="مرجوعی فروش",IF(INDEX(SCAmount,$L1047)=0,"",-INDEX(SCAmount,$L1047)),""),IF($M1047&lt;&gt;"",IF(INDEX(LdgDepB,$M1047)=0,"",INDEX(LdgDepB,$M1047)),""))</f>
        <v/>
      </c>
      <c r="I1047" s="22">
        <f>IF($B1047="","",IF($I1046="",$C$10,$I1046)+IF($G1047="",0,$G1047)-IF($H1047="",0,$H1047))</f>
        <v/>
      </c>
      <c r="L1047">
        <f>IFERROR(MATCH($C$5&amp;"|"&amp;RIGHT("000000"&amp;1031,6),LdgRankKeyA,0),"")</f>
        <v/>
      </c>
      <c r="M1047">
        <f>IFERROR(MATCH($C$5&amp;"|"&amp;RIGHT("000000"&amp;1031,6),LdgRankKeyB,0),"")</f>
        <v/>
      </c>
    </row>
    <row r="1048">
      <c r="A1048" s="23" t="n">
        <v>1032</v>
      </c>
      <c r="B1048" s="24">
        <f>IF(AND($L1048="",$M1048=""),"",IF($L1048&lt;&gt;"",INDEX(SCNormDate,$L1048),INDEX(LdgDateB,$M1048)))</f>
        <v/>
      </c>
      <c r="C1048" s="24">
        <f>IF($L1048&lt;&gt;"",INDEX(SCOp,$L1048),IF($M1048&lt;&gt;"","پرداخت بانکی",""))</f>
        <v/>
      </c>
      <c r="D1048" s="24">
        <f>IF($L1048&lt;&gt;"",IF(INDEX(SCDoc,$L1048)="","—",INDEX(SCDoc,$L1048)),IF($M1048&lt;&gt;"",INDEX(LdgBankB,$M1048),""))</f>
        <v/>
      </c>
      <c r="E1048" s="25">
        <f>IF($L1048&lt;&gt;"",IF(INDEX(SCCitrus,$L1048)&amp;INDEX(SCNotes,$L1048)="","",IF(INDEX(SCCitrus,$L1048)="","",INDEX(SCCitrus,$L1048))&amp;IF(INDEX(SCNotes,$L1048)="",""," — "&amp;INDEX(SCNotes,$L1048))),IF($M1048&lt;&gt;"",IF(INDEX(LdgNoteB,$M1048)="","—",INDEX(LdgNoteB,$M1048)),""))</f>
        <v/>
      </c>
      <c r="F1048" s="26">
        <f>IF($L1048&lt;&gt;"",IF(INDEX(SCNet,$L1048)=0,"",INDEX(SCNet,$L1048)),"")</f>
        <v/>
      </c>
      <c r="G1048" s="27">
        <f>IF($L1048&lt;&gt;"",IF(INDEX(SCOp,$L1048)="مرجوعی فروش","",IF(INDEX(SCAmount,$L1048)&lt;=0,"",INDEX(SCAmount,$L1048))),IF($M1048&lt;&gt;"",IF(INDEX(LdgWitB,$M1048)=0,"",INDEX(LdgWitB,$M1048)),""))</f>
        <v/>
      </c>
      <c r="H1048" s="27">
        <f>IF($L1048&lt;&gt;"",IF(INDEX(SCOp,$L1048)="مرجوعی فروش",IF(INDEX(SCAmount,$L1048)=0,"",-INDEX(SCAmount,$L1048)),""),IF($M1048&lt;&gt;"",IF(INDEX(LdgDepB,$M1048)=0,"",INDEX(LdgDepB,$M1048)),""))</f>
        <v/>
      </c>
      <c r="I1048" s="28">
        <f>IF($B1048="","",IF($I1047="",$C$10,$I1047)+IF($G1048="",0,$G1048)-IF($H1048="",0,$H1048))</f>
        <v/>
      </c>
      <c r="L1048">
        <f>IFERROR(MATCH($C$5&amp;"|"&amp;RIGHT("000000"&amp;1032,6),LdgRankKeyA,0),"")</f>
        <v/>
      </c>
      <c r="M1048">
        <f>IFERROR(MATCH($C$5&amp;"|"&amp;RIGHT("000000"&amp;1032,6),LdgRankKeyB,0),"")</f>
        <v/>
      </c>
    </row>
    <row r="1049">
      <c r="A1049" s="17" t="n">
        <v>1033</v>
      </c>
      <c r="B1049" s="18">
        <f>IF(AND($L1049="",$M1049=""),"",IF($L1049&lt;&gt;"",INDEX(SCNormDate,$L1049),INDEX(LdgDateB,$M1049)))</f>
        <v/>
      </c>
      <c r="C1049" s="18">
        <f>IF($L1049&lt;&gt;"",INDEX(SCOp,$L1049),IF($M1049&lt;&gt;"","پرداخت بانکی",""))</f>
        <v/>
      </c>
      <c r="D1049" s="18">
        <f>IF($L1049&lt;&gt;"",IF(INDEX(SCDoc,$L1049)="","—",INDEX(SCDoc,$L1049)),IF($M1049&lt;&gt;"",INDEX(LdgBankB,$M1049),""))</f>
        <v/>
      </c>
      <c r="E1049" s="19">
        <f>IF($L1049&lt;&gt;"",IF(INDEX(SCCitrus,$L1049)&amp;INDEX(SCNotes,$L1049)="","",IF(INDEX(SCCitrus,$L1049)="","",INDEX(SCCitrus,$L1049))&amp;IF(INDEX(SCNotes,$L1049)="",""," — "&amp;INDEX(SCNotes,$L1049))),IF($M1049&lt;&gt;"",IF(INDEX(LdgNoteB,$M1049)="","—",INDEX(LdgNoteB,$M1049)),""))</f>
        <v/>
      </c>
      <c r="F1049" s="20">
        <f>IF($L1049&lt;&gt;"",IF(INDEX(SCNet,$L1049)=0,"",INDEX(SCNet,$L1049)),"")</f>
        <v/>
      </c>
      <c r="G1049" s="21">
        <f>IF($L1049&lt;&gt;"",IF(INDEX(SCOp,$L1049)="مرجوعی فروش","",IF(INDEX(SCAmount,$L1049)&lt;=0,"",INDEX(SCAmount,$L1049))),IF($M1049&lt;&gt;"",IF(INDEX(LdgWitB,$M1049)=0,"",INDEX(LdgWitB,$M1049)),""))</f>
        <v/>
      </c>
      <c r="H1049" s="21">
        <f>IF($L1049&lt;&gt;"",IF(INDEX(SCOp,$L1049)="مرجوعی فروش",IF(INDEX(SCAmount,$L1049)=0,"",-INDEX(SCAmount,$L1049)),""),IF($M1049&lt;&gt;"",IF(INDEX(LdgDepB,$M1049)=0,"",INDEX(LdgDepB,$M1049)),""))</f>
        <v/>
      </c>
      <c r="I1049" s="22">
        <f>IF($B1049="","",IF($I1048="",$C$10,$I1048)+IF($G1049="",0,$G1049)-IF($H1049="",0,$H1049))</f>
        <v/>
      </c>
      <c r="L1049">
        <f>IFERROR(MATCH($C$5&amp;"|"&amp;RIGHT("000000"&amp;1033,6),LdgRankKeyA,0),"")</f>
        <v/>
      </c>
      <c r="M1049">
        <f>IFERROR(MATCH($C$5&amp;"|"&amp;RIGHT("000000"&amp;1033,6),LdgRankKeyB,0),"")</f>
        <v/>
      </c>
    </row>
    <row r="1050">
      <c r="A1050" s="23" t="n">
        <v>1034</v>
      </c>
      <c r="B1050" s="24">
        <f>IF(AND($L1050="",$M1050=""),"",IF($L1050&lt;&gt;"",INDEX(SCNormDate,$L1050),INDEX(LdgDateB,$M1050)))</f>
        <v/>
      </c>
      <c r="C1050" s="24">
        <f>IF($L1050&lt;&gt;"",INDEX(SCOp,$L1050),IF($M1050&lt;&gt;"","پرداخت بانکی",""))</f>
        <v/>
      </c>
      <c r="D1050" s="24">
        <f>IF($L1050&lt;&gt;"",IF(INDEX(SCDoc,$L1050)="","—",INDEX(SCDoc,$L1050)),IF($M1050&lt;&gt;"",INDEX(LdgBankB,$M1050),""))</f>
        <v/>
      </c>
      <c r="E1050" s="25">
        <f>IF($L1050&lt;&gt;"",IF(INDEX(SCCitrus,$L1050)&amp;INDEX(SCNotes,$L1050)="","",IF(INDEX(SCCitrus,$L1050)="","",INDEX(SCCitrus,$L1050))&amp;IF(INDEX(SCNotes,$L1050)="",""," — "&amp;INDEX(SCNotes,$L1050))),IF($M1050&lt;&gt;"",IF(INDEX(LdgNoteB,$M1050)="","—",INDEX(LdgNoteB,$M1050)),""))</f>
        <v/>
      </c>
      <c r="F1050" s="26">
        <f>IF($L1050&lt;&gt;"",IF(INDEX(SCNet,$L1050)=0,"",INDEX(SCNet,$L1050)),"")</f>
        <v/>
      </c>
      <c r="G1050" s="27">
        <f>IF($L1050&lt;&gt;"",IF(INDEX(SCOp,$L1050)="مرجوعی فروش","",IF(INDEX(SCAmount,$L1050)&lt;=0,"",INDEX(SCAmount,$L1050))),IF($M1050&lt;&gt;"",IF(INDEX(LdgWitB,$M1050)=0,"",INDEX(LdgWitB,$M1050)),""))</f>
        <v/>
      </c>
      <c r="H1050" s="27">
        <f>IF($L1050&lt;&gt;"",IF(INDEX(SCOp,$L1050)="مرجوعی فروش",IF(INDEX(SCAmount,$L1050)=0,"",-INDEX(SCAmount,$L1050)),""),IF($M1050&lt;&gt;"",IF(INDEX(LdgDepB,$M1050)=0,"",INDEX(LdgDepB,$M1050)),""))</f>
        <v/>
      </c>
      <c r="I1050" s="28">
        <f>IF($B1050="","",IF($I1049="",$C$10,$I1049)+IF($G1050="",0,$G1050)-IF($H1050="",0,$H1050))</f>
        <v/>
      </c>
      <c r="L1050">
        <f>IFERROR(MATCH($C$5&amp;"|"&amp;RIGHT("000000"&amp;1034,6),LdgRankKeyA,0),"")</f>
        <v/>
      </c>
      <c r="M1050">
        <f>IFERROR(MATCH($C$5&amp;"|"&amp;RIGHT("000000"&amp;1034,6),LdgRankKeyB,0),"")</f>
        <v/>
      </c>
    </row>
    <row r="1051">
      <c r="A1051" s="17" t="n">
        <v>1035</v>
      </c>
      <c r="B1051" s="18">
        <f>IF(AND($L1051="",$M1051=""),"",IF($L1051&lt;&gt;"",INDEX(SCNormDate,$L1051),INDEX(LdgDateB,$M1051)))</f>
        <v/>
      </c>
      <c r="C1051" s="18">
        <f>IF($L1051&lt;&gt;"",INDEX(SCOp,$L1051),IF($M1051&lt;&gt;"","پرداخت بانکی",""))</f>
        <v/>
      </c>
      <c r="D1051" s="18">
        <f>IF($L1051&lt;&gt;"",IF(INDEX(SCDoc,$L1051)="","—",INDEX(SCDoc,$L1051)),IF($M1051&lt;&gt;"",INDEX(LdgBankB,$M1051),""))</f>
        <v/>
      </c>
      <c r="E1051" s="19">
        <f>IF($L1051&lt;&gt;"",IF(INDEX(SCCitrus,$L1051)&amp;INDEX(SCNotes,$L1051)="","",IF(INDEX(SCCitrus,$L1051)="","",INDEX(SCCitrus,$L1051))&amp;IF(INDEX(SCNotes,$L1051)="",""," — "&amp;INDEX(SCNotes,$L1051))),IF($M1051&lt;&gt;"",IF(INDEX(LdgNoteB,$M1051)="","—",INDEX(LdgNoteB,$M1051)),""))</f>
        <v/>
      </c>
      <c r="F1051" s="20">
        <f>IF($L1051&lt;&gt;"",IF(INDEX(SCNet,$L1051)=0,"",INDEX(SCNet,$L1051)),"")</f>
        <v/>
      </c>
      <c r="G1051" s="21">
        <f>IF($L1051&lt;&gt;"",IF(INDEX(SCOp,$L1051)="مرجوعی فروش","",IF(INDEX(SCAmount,$L1051)&lt;=0,"",INDEX(SCAmount,$L1051))),IF($M1051&lt;&gt;"",IF(INDEX(LdgWitB,$M1051)=0,"",INDEX(LdgWitB,$M1051)),""))</f>
        <v/>
      </c>
      <c r="H1051" s="21">
        <f>IF($L1051&lt;&gt;"",IF(INDEX(SCOp,$L1051)="مرجوعی فروش",IF(INDEX(SCAmount,$L1051)=0,"",-INDEX(SCAmount,$L1051)),""),IF($M1051&lt;&gt;"",IF(INDEX(LdgDepB,$M1051)=0,"",INDEX(LdgDepB,$M1051)),""))</f>
        <v/>
      </c>
      <c r="I1051" s="22">
        <f>IF($B1051="","",IF($I1050="",$C$10,$I1050)+IF($G1051="",0,$G1051)-IF($H1051="",0,$H1051))</f>
        <v/>
      </c>
      <c r="L1051">
        <f>IFERROR(MATCH($C$5&amp;"|"&amp;RIGHT("000000"&amp;1035,6),LdgRankKeyA,0),"")</f>
        <v/>
      </c>
      <c r="M1051">
        <f>IFERROR(MATCH($C$5&amp;"|"&amp;RIGHT("000000"&amp;1035,6),LdgRankKeyB,0),"")</f>
        <v/>
      </c>
    </row>
    <row r="1052">
      <c r="A1052" s="23" t="n">
        <v>1036</v>
      </c>
      <c r="B1052" s="24">
        <f>IF(AND($L1052="",$M1052=""),"",IF($L1052&lt;&gt;"",INDEX(SCNormDate,$L1052),INDEX(LdgDateB,$M1052)))</f>
        <v/>
      </c>
      <c r="C1052" s="24">
        <f>IF($L1052&lt;&gt;"",INDEX(SCOp,$L1052),IF($M1052&lt;&gt;"","پرداخت بانکی",""))</f>
        <v/>
      </c>
      <c r="D1052" s="24">
        <f>IF($L1052&lt;&gt;"",IF(INDEX(SCDoc,$L1052)="","—",INDEX(SCDoc,$L1052)),IF($M1052&lt;&gt;"",INDEX(LdgBankB,$M1052),""))</f>
        <v/>
      </c>
      <c r="E1052" s="25">
        <f>IF($L1052&lt;&gt;"",IF(INDEX(SCCitrus,$L1052)&amp;INDEX(SCNotes,$L1052)="","",IF(INDEX(SCCitrus,$L1052)="","",INDEX(SCCitrus,$L1052))&amp;IF(INDEX(SCNotes,$L1052)="",""," — "&amp;INDEX(SCNotes,$L1052))),IF($M1052&lt;&gt;"",IF(INDEX(LdgNoteB,$M1052)="","—",INDEX(LdgNoteB,$M1052)),""))</f>
        <v/>
      </c>
      <c r="F1052" s="26">
        <f>IF($L1052&lt;&gt;"",IF(INDEX(SCNet,$L1052)=0,"",INDEX(SCNet,$L1052)),"")</f>
        <v/>
      </c>
      <c r="G1052" s="27">
        <f>IF($L1052&lt;&gt;"",IF(INDEX(SCOp,$L1052)="مرجوعی فروش","",IF(INDEX(SCAmount,$L1052)&lt;=0,"",INDEX(SCAmount,$L1052))),IF($M1052&lt;&gt;"",IF(INDEX(LdgWitB,$M1052)=0,"",INDEX(LdgWitB,$M1052)),""))</f>
        <v/>
      </c>
      <c r="H1052" s="27">
        <f>IF($L1052&lt;&gt;"",IF(INDEX(SCOp,$L1052)="مرجوعی فروش",IF(INDEX(SCAmount,$L1052)=0,"",-INDEX(SCAmount,$L1052)),""),IF($M1052&lt;&gt;"",IF(INDEX(LdgDepB,$M1052)=0,"",INDEX(LdgDepB,$M1052)),""))</f>
        <v/>
      </c>
      <c r="I1052" s="28">
        <f>IF($B1052="","",IF($I1051="",$C$10,$I1051)+IF($G1052="",0,$G1052)-IF($H1052="",0,$H1052))</f>
        <v/>
      </c>
      <c r="L1052">
        <f>IFERROR(MATCH($C$5&amp;"|"&amp;RIGHT("000000"&amp;1036,6),LdgRankKeyA,0),"")</f>
        <v/>
      </c>
      <c r="M1052">
        <f>IFERROR(MATCH($C$5&amp;"|"&amp;RIGHT("000000"&amp;1036,6),LdgRankKeyB,0),"")</f>
        <v/>
      </c>
    </row>
    <row r="1053">
      <c r="A1053" s="17" t="n">
        <v>1037</v>
      </c>
      <c r="B1053" s="18">
        <f>IF(AND($L1053="",$M1053=""),"",IF($L1053&lt;&gt;"",INDEX(SCNormDate,$L1053),INDEX(LdgDateB,$M1053)))</f>
        <v/>
      </c>
      <c r="C1053" s="18">
        <f>IF($L1053&lt;&gt;"",INDEX(SCOp,$L1053),IF($M1053&lt;&gt;"","پرداخت بانکی",""))</f>
        <v/>
      </c>
      <c r="D1053" s="18">
        <f>IF($L1053&lt;&gt;"",IF(INDEX(SCDoc,$L1053)="","—",INDEX(SCDoc,$L1053)),IF($M1053&lt;&gt;"",INDEX(LdgBankB,$M1053),""))</f>
        <v/>
      </c>
      <c r="E1053" s="19">
        <f>IF($L1053&lt;&gt;"",IF(INDEX(SCCitrus,$L1053)&amp;INDEX(SCNotes,$L1053)="","",IF(INDEX(SCCitrus,$L1053)="","",INDEX(SCCitrus,$L1053))&amp;IF(INDEX(SCNotes,$L1053)="",""," — "&amp;INDEX(SCNotes,$L1053))),IF($M1053&lt;&gt;"",IF(INDEX(LdgNoteB,$M1053)="","—",INDEX(LdgNoteB,$M1053)),""))</f>
        <v/>
      </c>
      <c r="F1053" s="20">
        <f>IF($L1053&lt;&gt;"",IF(INDEX(SCNet,$L1053)=0,"",INDEX(SCNet,$L1053)),"")</f>
        <v/>
      </c>
      <c r="G1053" s="21">
        <f>IF($L1053&lt;&gt;"",IF(INDEX(SCOp,$L1053)="مرجوعی فروش","",IF(INDEX(SCAmount,$L1053)&lt;=0,"",INDEX(SCAmount,$L1053))),IF($M1053&lt;&gt;"",IF(INDEX(LdgWitB,$M1053)=0,"",INDEX(LdgWitB,$M1053)),""))</f>
        <v/>
      </c>
      <c r="H1053" s="21">
        <f>IF($L1053&lt;&gt;"",IF(INDEX(SCOp,$L1053)="مرجوعی فروش",IF(INDEX(SCAmount,$L1053)=0,"",-INDEX(SCAmount,$L1053)),""),IF($M1053&lt;&gt;"",IF(INDEX(LdgDepB,$M1053)=0,"",INDEX(LdgDepB,$M1053)),""))</f>
        <v/>
      </c>
      <c r="I1053" s="22">
        <f>IF($B1053="","",IF($I1052="",$C$10,$I1052)+IF($G1053="",0,$G1053)-IF($H1053="",0,$H1053))</f>
        <v/>
      </c>
      <c r="L1053">
        <f>IFERROR(MATCH($C$5&amp;"|"&amp;RIGHT("000000"&amp;1037,6),LdgRankKeyA,0),"")</f>
        <v/>
      </c>
      <c r="M1053">
        <f>IFERROR(MATCH($C$5&amp;"|"&amp;RIGHT("000000"&amp;1037,6),LdgRankKeyB,0),"")</f>
        <v/>
      </c>
    </row>
    <row r="1054">
      <c r="A1054" s="23" t="n">
        <v>1038</v>
      </c>
      <c r="B1054" s="24">
        <f>IF(AND($L1054="",$M1054=""),"",IF($L1054&lt;&gt;"",INDEX(SCNormDate,$L1054),INDEX(LdgDateB,$M1054)))</f>
        <v/>
      </c>
      <c r="C1054" s="24">
        <f>IF($L1054&lt;&gt;"",INDEX(SCOp,$L1054),IF($M1054&lt;&gt;"","پرداخت بانکی",""))</f>
        <v/>
      </c>
      <c r="D1054" s="24">
        <f>IF($L1054&lt;&gt;"",IF(INDEX(SCDoc,$L1054)="","—",INDEX(SCDoc,$L1054)),IF($M1054&lt;&gt;"",INDEX(LdgBankB,$M1054),""))</f>
        <v/>
      </c>
      <c r="E1054" s="25">
        <f>IF($L1054&lt;&gt;"",IF(INDEX(SCCitrus,$L1054)&amp;INDEX(SCNotes,$L1054)="","",IF(INDEX(SCCitrus,$L1054)="","",INDEX(SCCitrus,$L1054))&amp;IF(INDEX(SCNotes,$L1054)="",""," — "&amp;INDEX(SCNotes,$L1054))),IF($M1054&lt;&gt;"",IF(INDEX(LdgNoteB,$M1054)="","—",INDEX(LdgNoteB,$M1054)),""))</f>
        <v/>
      </c>
      <c r="F1054" s="26">
        <f>IF($L1054&lt;&gt;"",IF(INDEX(SCNet,$L1054)=0,"",INDEX(SCNet,$L1054)),"")</f>
        <v/>
      </c>
      <c r="G1054" s="27">
        <f>IF($L1054&lt;&gt;"",IF(INDEX(SCOp,$L1054)="مرجوعی فروش","",IF(INDEX(SCAmount,$L1054)&lt;=0,"",INDEX(SCAmount,$L1054))),IF($M1054&lt;&gt;"",IF(INDEX(LdgWitB,$M1054)=0,"",INDEX(LdgWitB,$M1054)),""))</f>
        <v/>
      </c>
      <c r="H1054" s="27">
        <f>IF($L1054&lt;&gt;"",IF(INDEX(SCOp,$L1054)="مرجوعی فروش",IF(INDEX(SCAmount,$L1054)=0,"",-INDEX(SCAmount,$L1054)),""),IF($M1054&lt;&gt;"",IF(INDEX(LdgDepB,$M1054)=0,"",INDEX(LdgDepB,$M1054)),""))</f>
        <v/>
      </c>
      <c r="I1054" s="28">
        <f>IF($B1054="","",IF($I1053="",$C$10,$I1053)+IF($G1054="",0,$G1054)-IF($H1054="",0,$H1054))</f>
        <v/>
      </c>
      <c r="L1054">
        <f>IFERROR(MATCH($C$5&amp;"|"&amp;RIGHT("000000"&amp;1038,6),LdgRankKeyA,0),"")</f>
        <v/>
      </c>
      <c r="M1054">
        <f>IFERROR(MATCH($C$5&amp;"|"&amp;RIGHT("000000"&amp;1038,6),LdgRankKeyB,0),"")</f>
        <v/>
      </c>
    </row>
    <row r="1055">
      <c r="A1055" s="17" t="n">
        <v>1039</v>
      </c>
      <c r="B1055" s="18">
        <f>IF(AND($L1055="",$M1055=""),"",IF($L1055&lt;&gt;"",INDEX(SCNormDate,$L1055),INDEX(LdgDateB,$M1055)))</f>
        <v/>
      </c>
      <c r="C1055" s="18">
        <f>IF($L1055&lt;&gt;"",INDEX(SCOp,$L1055),IF($M1055&lt;&gt;"","پرداخت بانکی",""))</f>
        <v/>
      </c>
      <c r="D1055" s="18">
        <f>IF($L1055&lt;&gt;"",IF(INDEX(SCDoc,$L1055)="","—",INDEX(SCDoc,$L1055)),IF($M1055&lt;&gt;"",INDEX(LdgBankB,$M1055),""))</f>
        <v/>
      </c>
      <c r="E1055" s="19">
        <f>IF($L1055&lt;&gt;"",IF(INDEX(SCCitrus,$L1055)&amp;INDEX(SCNotes,$L1055)="","",IF(INDEX(SCCitrus,$L1055)="","",INDEX(SCCitrus,$L1055))&amp;IF(INDEX(SCNotes,$L1055)="",""," — "&amp;INDEX(SCNotes,$L1055))),IF($M1055&lt;&gt;"",IF(INDEX(LdgNoteB,$M1055)="","—",INDEX(LdgNoteB,$M1055)),""))</f>
        <v/>
      </c>
      <c r="F1055" s="20">
        <f>IF($L1055&lt;&gt;"",IF(INDEX(SCNet,$L1055)=0,"",INDEX(SCNet,$L1055)),"")</f>
        <v/>
      </c>
      <c r="G1055" s="21">
        <f>IF($L1055&lt;&gt;"",IF(INDEX(SCOp,$L1055)="مرجوعی فروش","",IF(INDEX(SCAmount,$L1055)&lt;=0,"",INDEX(SCAmount,$L1055))),IF($M1055&lt;&gt;"",IF(INDEX(LdgWitB,$M1055)=0,"",INDEX(LdgWitB,$M1055)),""))</f>
        <v/>
      </c>
      <c r="H1055" s="21">
        <f>IF($L1055&lt;&gt;"",IF(INDEX(SCOp,$L1055)="مرجوعی فروش",IF(INDEX(SCAmount,$L1055)=0,"",-INDEX(SCAmount,$L1055)),""),IF($M1055&lt;&gt;"",IF(INDEX(LdgDepB,$M1055)=0,"",INDEX(LdgDepB,$M1055)),""))</f>
        <v/>
      </c>
      <c r="I1055" s="22">
        <f>IF($B1055="","",IF($I1054="",$C$10,$I1054)+IF($G1055="",0,$G1055)-IF($H1055="",0,$H1055))</f>
        <v/>
      </c>
      <c r="L1055">
        <f>IFERROR(MATCH($C$5&amp;"|"&amp;RIGHT("000000"&amp;1039,6),LdgRankKeyA,0),"")</f>
        <v/>
      </c>
      <c r="M1055">
        <f>IFERROR(MATCH($C$5&amp;"|"&amp;RIGHT("000000"&amp;1039,6),LdgRankKeyB,0),"")</f>
        <v/>
      </c>
    </row>
    <row r="1056">
      <c r="A1056" s="23" t="n">
        <v>1040</v>
      </c>
      <c r="B1056" s="24">
        <f>IF(AND($L1056="",$M1056=""),"",IF($L1056&lt;&gt;"",INDEX(SCNormDate,$L1056),INDEX(LdgDateB,$M1056)))</f>
        <v/>
      </c>
      <c r="C1056" s="24">
        <f>IF($L1056&lt;&gt;"",INDEX(SCOp,$L1056),IF($M1056&lt;&gt;"","پرداخت بانکی",""))</f>
        <v/>
      </c>
      <c r="D1056" s="24">
        <f>IF($L1056&lt;&gt;"",IF(INDEX(SCDoc,$L1056)="","—",INDEX(SCDoc,$L1056)),IF($M1056&lt;&gt;"",INDEX(LdgBankB,$M1056),""))</f>
        <v/>
      </c>
      <c r="E1056" s="25">
        <f>IF($L1056&lt;&gt;"",IF(INDEX(SCCitrus,$L1056)&amp;INDEX(SCNotes,$L1056)="","",IF(INDEX(SCCitrus,$L1056)="","",INDEX(SCCitrus,$L1056))&amp;IF(INDEX(SCNotes,$L1056)="",""," — "&amp;INDEX(SCNotes,$L1056))),IF($M1056&lt;&gt;"",IF(INDEX(LdgNoteB,$M1056)="","—",INDEX(LdgNoteB,$M1056)),""))</f>
        <v/>
      </c>
      <c r="F1056" s="26">
        <f>IF($L1056&lt;&gt;"",IF(INDEX(SCNet,$L1056)=0,"",INDEX(SCNet,$L1056)),"")</f>
        <v/>
      </c>
      <c r="G1056" s="27">
        <f>IF($L1056&lt;&gt;"",IF(INDEX(SCOp,$L1056)="مرجوعی فروش","",IF(INDEX(SCAmount,$L1056)&lt;=0,"",INDEX(SCAmount,$L1056))),IF($M1056&lt;&gt;"",IF(INDEX(LdgWitB,$M1056)=0,"",INDEX(LdgWitB,$M1056)),""))</f>
        <v/>
      </c>
      <c r="H1056" s="27">
        <f>IF($L1056&lt;&gt;"",IF(INDEX(SCOp,$L1056)="مرجوعی فروش",IF(INDEX(SCAmount,$L1056)=0,"",-INDEX(SCAmount,$L1056)),""),IF($M1056&lt;&gt;"",IF(INDEX(LdgDepB,$M1056)=0,"",INDEX(LdgDepB,$M1056)),""))</f>
        <v/>
      </c>
      <c r="I1056" s="28">
        <f>IF($B1056="","",IF($I1055="",$C$10,$I1055)+IF($G1056="",0,$G1056)-IF($H1056="",0,$H1056))</f>
        <v/>
      </c>
      <c r="L1056">
        <f>IFERROR(MATCH($C$5&amp;"|"&amp;RIGHT("000000"&amp;1040,6),LdgRankKeyA,0),"")</f>
        <v/>
      </c>
      <c r="M1056">
        <f>IFERROR(MATCH($C$5&amp;"|"&amp;RIGHT("000000"&amp;1040,6),LdgRankKeyB,0),"")</f>
        <v/>
      </c>
    </row>
    <row r="1057">
      <c r="A1057" s="17" t="n">
        <v>1041</v>
      </c>
      <c r="B1057" s="18">
        <f>IF(AND($L1057="",$M1057=""),"",IF($L1057&lt;&gt;"",INDEX(SCNormDate,$L1057),INDEX(LdgDateB,$M1057)))</f>
        <v/>
      </c>
      <c r="C1057" s="18">
        <f>IF($L1057&lt;&gt;"",INDEX(SCOp,$L1057),IF($M1057&lt;&gt;"","پرداخت بانکی",""))</f>
        <v/>
      </c>
      <c r="D1057" s="18">
        <f>IF($L1057&lt;&gt;"",IF(INDEX(SCDoc,$L1057)="","—",INDEX(SCDoc,$L1057)),IF($M1057&lt;&gt;"",INDEX(LdgBankB,$M1057),""))</f>
        <v/>
      </c>
      <c r="E1057" s="19">
        <f>IF($L1057&lt;&gt;"",IF(INDEX(SCCitrus,$L1057)&amp;INDEX(SCNotes,$L1057)="","",IF(INDEX(SCCitrus,$L1057)="","",INDEX(SCCitrus,$L1057))&amp;IF(INDEX(SCNotes,$L1057)="",""," — "&amp;INDEX(SCNotes,$L1057))),IF($M1057&lt;&gt;"",IF(INDEX(LdgNoteB,$M1057)="","—",INDEX(LdgNoteB,$M1057)),""))</f>
        <v/>
      </c>
      <c r="F1057" s="20">
        <f>IF($L1057&lt;&gt;"",IF(INDEX(SCNet,$L1057)=0,"",INDEX(SCNet,$L1057)),"")</f>
        <v/>
      </c>
      <c r="G1057" s="21">
        <f>IF($L1057&lt;&gt;"",IF(INDEX(SCOp,$L1057)="مرجوعی فروش","",IF(INDEX(SCAmount,$L1057)&lt;=0,"",INDEX(SCAmount,$L1057))),IF($M1057&lt;&gt;"",IF(INDEX(LdgWitB,$M1057)=0,"",INDEX(LdgWitB,$M1057)),""))</f>
        <v/>
      </c>
      <c r="H1057" s="21">
        <f>IF($L1057&lt;&gt;"",IF(INDEX(SCOp,$L1057)="مرجوعی فروش",IF(INDEX(SCAmount,$L1057)=0,"",-INDEX(SCAmount,$L1057)),""),IF($M1057&lt;&gt;"",IF(INDEX(LdgDepB,$M1057)=0,"",INDEX(LdgDepB,$M1057)),""))</f>
        <v/>
      </c>
      <c r="I1057" s="22">
        <f>IF($B1057="","",IF($I1056="",$C$10,$I1056)+IF($G1057="",0,$G1057)-IF($H1057="",0,$H1057))</f>
        <v/>
      </c>
      <c r="L1057">
        <f>IFERROR(MATCH($C$5&amp;"|"&amp;RIGHT("000000"&amp;1041,6),LdgRankKeyA,0),"")</f>
        <v/>
      </c>
      <c r="M1057">
        <f>IFERROR(MATCH($C$5&amp;"|"&amp;RIGHT("000000"&amp;1041,6),LdgRankKeyB,0),"")</f>
        <v/>
      </c>
    </row>
    <row r="1058">
      <c r="A1058" s="23" t="n">
        <v>1042</v>
      </c>
      <c r="B1058" s="24">
        <f>IF(AND($L1058="",$M1058=""),"",IF($L1058&lt;&gt;"",INDEX(SCNormDate,$L1058),INDEX(LdgDateB,$M1058)))</f>
        <v/>
      </c>
      <c r="C1058" s="24">
        <f>IF($L1058&lt;&gt;"",INDEX(SCOp,$L1058),IF($M1058&lt;&gt;"","پرداخت بانکی",""))</f>
        <v/>
      </c>
      <c r="D1058" s="24">
        <f>IF($L1058&lt;&gt;"",IF(INDEX(SCDoc,$L1058)="","—",INDEX(SCDoc,$L1058)),IF($M1058&lt;&gt;"",INDEX(LdgBankB,$M1058),""))</f>
        <v/>
      </c>
      <c r="E1058" s="25">
        <f>IF($L1058&lt;&gt;"",IF(INDEX(SCCitrus,$L1058)&amp;INDEX(SCNotes,$L1058)="","",IF(INDEX(SCCitrus,$L1058)="","",INDEX(SCCitrus,$L1058))&amp;IF(INDEX(SCNotes,$L1058)="",""," — "&amp;INDEX(SCNotes,$L1058))),IF($M1058&lt;&gt;"",IF(INDEX(LdgNoteB,$M1058)="","—",INDEX(LdgNoteB,$M1058)),""))</f>
        <v/>
      </c>
      <c r="F1058" s="26">
        <f>IF($L1058&lt;&gt;"",IF(INDEX(SCNet,$L1058)=0,"",INDEX(SCNet,$L1058)),"")</f>
        <v/>
      </c>
      <c r="G1058" s="27">
        <f>IF($L1058&lt;&gt;"",IF(INDEX(SCOp,$L1058)="مرجوعی فروش","",IF(INDEX(SCAmount,$L1058)&lt;=0,"",INDEX(SCAmount,$L1058))),IF($M1058&lt;&gt;"",IF(INDEX(LdgWitB,$M1058)=0,"",INDEX(LdgWitB,$M1058)),""))</f>
        <v/>
      </c>
      <c r="H1058" s="27">
        <f>IF($L1058&lt;&gt;"",IF(INDEX(SCOp,$L1058)="مرجوعی فروش",IF(INDEX(SCAmount,$L1058)=0,"",-INDEX(SCAmount,$L1058)),""),IF($M1058&lt;&gt;"",IF(INDEX(LdgDepB,$M1058)=0,"",INDEX(LdgDepB,$M1058)),""))</f>
        <v/>
      </c>
      <c r="I1058" s="28">
        <f>IF($B1058="","",IF($I1057="",$C$10,$I1057)+IF($G1058="",0,$G1058)-IF($H1058="",0,$H1058))</f>
        <v/>
      </c>
      <c r="L1058">
        <f>IFERROR(MATCH($C$5&amp;"|"&amp;RIGHT("000000"&amp;1042,6),LdgRankKeyA,0),"")</f>
        <v/>
      </c>
      <c r="M1058">
        <f>IFERROR(MATCH($C$5&amp;"|"&amp;RIGHT("000000"&amp;1042,6),LdgRankKeyB,0),"")</f>
        <v/>
      </c>
    </row>
    <row r="1059">
      <c r="A1059" s="17" t="n">
        <v>1043</v>
      </c>
      <c r="B1059" s="18">
        <f>IF(AND($L1059="",$M1059=""),"",IF($L1059&lt;&gt;"",INDEX(SCNormDate,$L1059),INDEX(LdgDateB,$M1059)))</f>
        <v/>
      </c>
      <c r="C1059" s="18">
        <f>IF($L1059&lt;&gt;"",INDEX(SCOp,$L1059),IF($M1059&lt;&gt;"","پرداخت بانکی",""))</f>
        <v/>
      </c>
      <c r="D1059" s="18">
        <f>IF($L1059&lt;&gt;"",IF(INDEX(SCDoc,$L1059)="","—",INDEX(SCDoc,$L1059)),IF($M1059&lt;&gt;"",INDEX(LdgBankB,$M1059),""))</f>
        <v/>
      </c>
      <c r="E1059" s="19">
        <f>IF($L1059&lt;&gt;"",IF(INDEX(SCCitrus,$L1059)&amp;INDEX(SCNotes,$L1059)="","",IF(INDEX(SCCitrus,$L1059)="","",INDEX(SCCitrus,$L1059))&amp;IF(INDEX(SCNotes,$L1059)="",""," — "&amp;INDEX(SCNotes,$L1059))),IF($M1059&lt;&gt;"",IF(INDEX(LdgNoteB,$M1059)="","—",INDEX(LdgNoteB,$M1059)),""))</f>
        <v/>
      </c>
      <c r="F1059" s="20">
        <f>IF($L1059&lt;&gt;"",IF(INDEX(SCNet,$L1059)=0,"",INDEX(SCNet,$L1059)),"")</f>
        <v/>
      </c>
      <c r="G1059" s="21">
        <f>IF($L1059&lt;&gt;"",IF(INDEX(SCOp,$L1059)="مرجوعی فروش","",IF(INDEX(SCAmount,$L1059)&lt;=0,"",INDEX(SCAmount,$L1059))),IF($M1059&lt;&gt;"",IF(INDEX(LdgWitB,$M1059)=0,"",INDEX(LdgWitB,$M1059)),""))</f>
        <v/>
      </c>
      <c r="H1059" s="21">
        <f>IF($L1059&lt;&gt;"",IF(INDEX(SCOp,$L1059)="مرجوعی فروش",IF(INDEX(SCAmount,$L1059)=0,"",-INDEX(SCAmount,$L1059)),""),IF($M1059&lt;&gt;"",IF(INDEX(LdgDepB,$M1059)=0,"",INDEX(LdgDepB,$M1059)),""))</f>
        <v/>
      </c>
      <c r="I1059" s="22">
        <f>IF($B1059="","",IF($I1058="",$C$10,$I1058)+IF($G1059="",0,$G1059)-IF($H1059="",0,$H1059))</f>
        <v/>
      </c>
      <c r="L1059">
        <f>IFERROR(MATCH($C$5&amp;"|"&amp;RIGHT("000000"&amp;1043,6),LdgRankKeyA,0),"")</f>
        <v/>
      </c>
      <c r="M1059">
        <f>IFERROR(MATCH($C$5&amp;"|"&amp;RIGHT("000000"&amp;1043,6),LdgRankKeyB,0),"")</f>
        <v/>
      </c>
    </row>
    <row r="1060">
      <c r="A1060" s="23" t="n">
        <v>1044</v>
      </c>
      <c r="B1060" s="24">
        <f>IF(AND($L1060="",$M1060=""),"",IF($L1060&lt;&gt;"",INDEX(SCNormDate,$L1060),INDEX(LdgDateB,$M1060)))</f>
        <v/>
      </c>
      <c r="C1060" s="24">
        <f>IF($L1060&lt;&gt;"",INDEX(SCOp,$L1060),IF($M1060&lt;&gt;"","پرداخت بانکی",""))</f>
        <v/>
      </c>
      <c r="D1060" s="24">
        <f>IF($L1060&lt;&gt;"",IF(INDEX(SCDoc,$L1060)="","—",INDEX(SCDoc,$L1060)),IF($M1060&lt;&gt;"",INDEX(LdgBankB,$M1060),""))</f>
        <v/>
      </c>
      <c r="E1060" s="25">
        <f>IF($L1060&lt;&gt;"",IF(INDEX(SCCitrus,$L1060)&amp;INDEX(SCNotes,$L1060)="","",IF(INDEX(SCCitrus,$L1060)="","",INDEX(SCCitrus,$L1060))&amp;IF(INDEX(SCNotes,$L1060)="",""," — "&amp;INDEX(SCNotes,$L1060))),IF($M1060&lt;&gt;"",IF(INDEX(LdgNoteB,$M1060)="","—",INDEX(LdgNoteB,$M1060)),""))</f>
        <v/>
      </c>
      <c r="F1060" s="26">
        <f>IF($L1060&lt;&gt;"",IF(INDEX(SCNet,$L1060)=0,"",INDEX(SCNet,$L1060)),"")</f>
        <v/>
      </c>
      <c r="G1060" s="27">
        <f>IF($L1060&lt;&gt;"",IF(INDEX(SCOp,$L1060)="مرجوعی فروش","",IF(INDEX(SCAmount,$L1060)&lt;=0,"",INDEX(SCAmount,$L1060))),IF($M1060&lt;&gt;"",IF(INDEX(LdgWitB,$M1060)=0,"",INDEX(LdgWitB,$M1060)),""))</f>
        <v/>
      </c>
      <c r="H1060" s="27">
        <f>IF($L1060&lt;&gt;"",IF(INDEX(SCOp,$L1060)="مرجوعی فروش",IF(INDEX(SCAmount,$L1060)=0,"",-INDEX(SCAmount,$L1060)),""),IF($M1060&lt;&gt;"",IF(INDEX(LdgDepB,$M1060)=0,"",INDEX(LdgDepB,$M1060)),""))</f>
        <v/>
      </c>
      <c r="I1060" s="28">
        <f>IF($B1060="","",IF($I1059="",$C$10,$I1059)+IF($G1060="",0,$G1060)-IF($H1060="",0,$H1060))</f>
        <v/>
      </c>
      <c r="L1060">
        <f>IFERROR(MATCH($C$5&amp;"|"&amp;RIGHT("000000"&amp;1044,6),LdgRankKeyA,0),"")</f>
        <v/>
      </c>
      <c r="M1060">
        <f>IFERROR(MATCH($C$5&amp;"|"&amp;RIGHT("000000"&amp;1044,6),LdgRankKeyB,0),"")</f>
        <v/>
      </c>
    </row>
    <row r="1061">
      <c r="A1061" s="17" t="n">
        <v>1045</v>
      </c>
      <c r="B1061" s="18">
        <f>IF(AND($L1061="",$M1061=""),"",IF($L1061&lt;&gt;"",INDEX(SCNormDate,$L1061),INDEX(LdgDateB,$M1061)))</f>
        <v/>
      </c>
      <c r="C1061" s="18">
        <f>IF($L1061&lt;&gt;"",INDEX(SCOp,$L1061),IF($M1061&lt;&gt;"","پرداخت بانکی",""))</f>
        <v/>
      </c>
      <c r="D1061" s="18">
        <f>IF($L1061&lt;&gt;"",IF(INDEX(SCDoc,$L1061)="","—",INDEX(SCDoc,$L1061)),IF($M1061&lt;&gt;"",INDEX(LdgBankB,$M1061),""))</f>
        <v/>
      </c>
      <c r="E1061" s="19">
        <f>IF($L1061&lt;&gt;"",IF(INDEX(SCCitrus,$L1061)&amp;INDEX(SCNotes,$L1061)="","",IF(INDEX(SCCitrus,$L1061)="","",INDEX(SCCitrus,$L1061))&amp;IF(INDEX(SCNotes,$L1061)="",""," — "&amp;INDEX(SCNotes,$L1061))),IF($M1061&lt;&gt;"",IF(INDEX(LdgNoteB,$M1061)="","—",INDEX(LdgNoteB,$M1061)),""))</f>
        <v/>
      </c>
      <c r="F1061" s="20">
        <f>IF($L1061&lt;&gt;"",IF(INDEX(SCNet,$L1061)=0,"",INDEX(SCNet,$L1061)),"")</f>
        <v/>
      </c>
      <c r="G1061" s="21">
        <f>IF($L1061&lt;&gt;"",IF(INDEX(SCOp,$L1061)="مرجوعی فروش","",IF(INDEX(SCAmount,$L1061)&lt;=0,"",INDEX(SCAmount,$L1061))),IF($M1061&lt;&gt;"",IF(INDEX(LdgWitB,$M1061)=0,"",INDEX(LdgWitB,$M1061)),""))</f>
        <v/>
      </c>
      <c r="H1061" s="21">
        <f>IF($L1061&lt;&gt;"",IF(INDEX(SCOp,$L1061)="مرجوعی فروش",IF(INDEX(SCAmount,$L1061)=0,"",-INDEX(SCAmount,$L1061)),""),IF($M1061&lt;&gt;"",IF(INDEX(LdgDepB,$M1061)=0,"",INDEX(LdgDepB,$M1061)),""))</f>
        <v/>
      </c>
      <c r="I1061" s="22">
        <f>IF($B1061="","",IF($I1060="",$C$10,$I1060)+IF($G1061="",0,$G1061)-IF($H1061="",0,$H1061))</f>
        <v/>
      </c>
      <c r="L1061">
        <f>IFERROR(MATCH($C$5&amp;"|"&amp;RIGHT("000000"&amp;1045,6),LdgRankKeyA,0),"")</f>
        <v/>
      </c>
      <c r="M1061">
        <f>IFERROR(MATCH($C$5&amp;"|"&amp;RIGHT("000000"&amp;1045,6),LdgRankKeyB,0),"")</f>
        <v/>
      </c>
    </row>
    <row r="1062">
      <c r="A1062" s="23" t="n">
        <v>1046</v>
      </c>
      <c r="B1062" s="24">
        <f>IF(AND($L1062="",$M1062=""),"",IF($L1062&lt;&gt;"",INDEX(SCNormDate,$L1062),INDEX(LdgDateB,$M1062)))</f>
        <v/>
      </c>
      <c r="C1062" s="24">
        <f>IF($L1062&lt;&gt;"",INDEX(SCOp,$L1062),IF($M1062&lt;&gt;"","پرداخت بانکی",""))</f>
        <v/>
      </c>
      <c r="D1062" s="24">
        <f>IF($L1062&lt;&gt;"",IF(INDEX(SCDoc,$L1062)="","—",INDEX(SCDoc,$L1062)),IF($M1062&lt;&gt;"",INDEX(LdgBankB,$M1062),""))</f>
        <v/>
      </c>
      <c r="E1062" s="25">
        <f>IF($L1062&lt;&gt;"",IF(INDEX(SCCitrus,$L1062)&amp;INDEX(SCNotes,$L1062)="","",IF(INDEX(SCCitrus,$L1062)="","",INDEX(SCCitrus,$L1062))&amp;IF(INDEX(SCNotes,$L1062)="",""," — "&amp;INDEX(SCNotes,$L1062))),IF($M1062&lt;&gt;"",IF(INDEX(LdgNoteB,$M1062)="","—",INDEX(LdgNoteB,$M1062)),""))</f>
        <v/>
      </c>
      <c r="F1062" s="26">
        <f>IF($L1062&lt;&gt;"",IF(INDEX(SCNet,$L1062)=0,"",INDEX(SCNet,$L1062)),"")</f>
        <v/>
      </c>
      <c r="G1062" s="27">
        <f>IF($L1062&lt;&gt;"",IF(INDEX(SCOp,$L1062)="مرجوعی فروش","",IF(INDEX(SCAmount,$L1062)&lt;=0,"",INDEX(SCAmount,$L1062))),IF($M1062&lt;&gt;"",IF(INDEX(LdgWitB,$M1062)=0,"",INDEX(LdgWitB,$M1062)),""))</f>
        <v/>
      </c>
      <c r="H1062" s="27">
        <f>IF($L1062&lt;&gt;"",IF(INDEX(SCOp,$L1062)="مرجوعی فروش",IF(INDEX(SCAmount,$L1062)=0,"",-INDEX(SCAmount,$L1062)),""),IF($M1062&lt;&gt;"",IF(INDEX(LdgDepB,$M1062)=0,"",INDEX(LdgDepB,$M1062)),""))</f>
        <v/>
      </c>
      <c r="I1062" s="28">
        <f>IF($B1062="","",IF($I1061="",$C$10,$I1061)+IF($G1062="",0,$G1062)-IF($H1062="",0,$H1062))</f>
        <v/>
      </c>
      <c r="L1062">
        <f>IFERROR(MATCH($C$5&amp;"|"&amp;RIGHT("000000"&amp;1046,6),LdgRankKeyA,0),"")</f>
        <v/>
      </c>
      <c r="M1062">
        <f>IFERROR(MATCH($C$5&amp;"|"&amp;RIGHT("000000"&amp;1046,6),LdgRankKeyB,0),"")</f>
        <v/>
      </c>
    </row>
    <row r="1063">
      <c r="A1063" s="17" t="n">
        <v>1047</v>
      </c>
      <c r="B1063" s="18">
        <f>IF(AND($L1063="",$M1063=""),"",IF($L1063&lt;&gt;"",INDEX(SCNormDate,$L1063),INDEX(LdgDateB,$M1063)))</f>
        <v/>
      </c>
      <c r="C1063" s="18">
        <f>IF($L1063&lt;&gt;"",INDEX(SCOp,$L1063),IF($M1063&lt;&gt;"","پرداخت بانکی",""))</f>
        <v/>
      </c>
      <c r="D1063" s="18">
        <f>IF($L1063&lt;&gt;"",IF(INDEX(SCDoc,$L1063)="","—",INDEX(SCDoc,$L1063)),IF($M1063&lt;&gt;"",INDEX(LdgBankB,$M1063),""))</f>
        <v/>
      </c>
      <c r="E1063" s="19">
        <f>IF($L1063&lt;&gt;"",IF(INDEX(SCCitrus,$L1063)&amp;INDEX(SCNotes,$L1063)="","",IF(INDEX(SCCitrus,$L1063)="","",INDEX(SCCitrus,$L1063))&amp;IF(INDEX(SCNotes,$L1063)="",""," — "&amp;INDEX(SCNotes,$L1063))),IF($M1063&lt;&gt;"",IF(INDEX(LdgNoteB,$M1063)="","—",INDEX(LdgNoteB,$M1063)),""))</f>
        <v/>
      </c>
      <c r="F1063" s="20">
        <f>IF($L1063&lt;&gt;"",IF(INDEX(SCNet,$L1063)=0,"",INDEX(SCNet,$L1063)),"")</f>
        <v/>
      </c>
      <c r="G1063" s="21">
        <f>IF($L1063&lt;&gt;"",IF(INDEX(SCOp,$L1063)="مرجوعی فروش","",IF(INDEX(SCAmount,$L1063)&lt;=0,"",INDEX(SCAmount,$L1063))),IF($M1063&lt;&gt;"",IF(INDEX(LdgWitB,$M1063)=0,"",INDEX(LdgWitB,$M1063)),""))</f>
        <v/>
      </c>
      <c r="H1063" s="21">
        <f>IF($L1063&lt;&gt;"",IF(INDEX(SCOp,$L1063)="مرجوعی فروش",IF(INDEX(SCAmount,$L1063)=0,"",-INDEX(SCAmount,$L1063)),""),IF($M1063&lt;&gt;"",IF(INDEX(LdgDepB,$M1063)=0,"",INDEX(LdgDepB,$M1063)),""))</f>
        <v/>
      </c>
      <c r="I1063" s="22">
        <f>IF($B1063="","",IF($I1062="",$C$10,$I1062)+IF($G1063="",0,$G1063)-IF($H1063="",0,$H1063))</f>
        <v/>
      </c>
      <c r="L1063">
        <f>IFERROR(MATCH($C$5&amp;"|"&amp;RIGHT("000000"&amp;1047,6),LdgRankKeyA,0),"")</f>
        <v/>
      </c>
      <c r="M1063">
        <f>IFERROR(MATCH($C$5&amp;"|"&amp;RIGHT("000000"&amp;1047,6),LdgRankKeyB,0),"")</f>
        <v/>
      </c>
    </row>
    <row r="1064">
      <c r="A1064" s="23" t="n">
        <v>1048</v>
      </c>
      <c r="B1064" s="24">
        <f>IF(AND($L1064="",$M1064=""),"",IF($L1064&lt;&gt;"",INDEX(SCNormDate,$L1064),INDEX(LdgDateB,$M1064)))</f>
        <v/>
      </c>
      <c r="C1064" s="24">
        <f>IF($L1064&lt;&gt;"",INDEX(SCOp,$L1064),IF($M1064&lt;&gt;"","پرداخت بانکی",""))</f>
        <v/>
      </c>
      <c r="D1064" s="24">
        <f>IF($L1064&lt;&gt;"",IF(INDEX(SCDoc,$L1064)="","—",INDEX(SCDoc,$L1064)),IF($M1064&lt;&gt;"",INDEX(LdgBankB,$M1064),""))</f>
        <v/>
      </c>
      <c r="E1064" s="25">
        <f>IF($L1064&lt;&gt;"",IF(INDEX(SCCitrus,$L1064)&amp;INDEX(SCNotes,$L1064)="","",IF(INDEX(SCCitrus,$L1064)="","",INDEX(SCCitrus,$L1064))&amp;IF(INDEX(SCNotes,$L1064)="",""," — "&amp;INDEX(SCNotes,$L1064))),IF($M1064&lt;&gt;"",IF(INDEX(LdgNoteB,$M1064)="","—",INDEX(LdgNoteB,$M1064)),""))</f>
        <v/>
      </c>
      <c r="F1064" s="26">
        <f>IF($L1064&lt;&gt;"",IF(INDEX(SCNet,$L1064)=0,"",INDEX(SCNet,$L1064)),"")</f>
        <v/>
      </c>
      <c r="G1064" s="27">
        <f>IF($L1064&lt;&gt;"",IF(INDEX(SCOp,$L1064)="مرجوعی فروش","",IF(INDEX(SCAmount,$L1064)&lt;=0,"",INDEX(SCAmount,$L1064))),IF($M1064&lt;&gt;"",IF(INDEX(LdgWitB,$M1064)=0,"",INDEX(LdgWitB,$M1064)),""))</f>
        <v/>
      </c>
      <c r="H1064" s="27">
        <f>IF($L1064&lt;&gt;"",IF(INDEX(SCOp,$L1064)="مرجوعی فروش",IF(INDEX(SCAmount,$L1064)=0,"",-INDEX(SCAmount,$L1064)),""),IF($M1064&lt;&gt;"",IF(INDEX(LdgDepB,$M1064)=0,"",INDEX(LdgDepB,$M1064)),""))</f>
        <v/>
      </c>
      <c r="I1064" s="28">
        <f>IF($B1064="","",IF($I1063="",$C$10,$I1063)+IF($G1064="",0,$G1064)-IF($H1064="",0,$H1064))</f>
        <v/>
      </c>
      <c r="L1064">
        <f>IFERROR(MATCH($C$5&amp;"|"&amp;RIGHT("000000"&amp;1048,6),LdgRankKeyA,0),"")</f>
        <v/>
      </c>
      <c r="M1064">
        <f>IFERROR(MATCH($C$5&amp;"|"&amp;RIGHT("000000"&amp;1048,6),LdgRankKeyB,0),"")</f>
        <v/>
      </c>
    </row>
    <row r="1065">
      <c r="A1065" s="17" t="n">
        <v>1049</v>
      </c>
      <c r="B1065" s="18">
        <f>IF(AND($L1065="",$M1065=""),"",IF($L1065&lt;&gt;"",INDEX(SCNormDate,$L1065),INDEX(LdgDateB,$M1065)))</f>
        <v/>
      </c>
      <c r="C1065" s="18">
        <f>IF($L1065&lt;&gt;"",INDEX(SCOp,$L1065),IF($M1065&lt;&gt;"","پرداخت بانکی",""))</f>
        <v/>
      </c>
      <c r="D1065" s="18">
        <f>IF($L1065&lt;&gt;"",IF(INDEX(SCDoc,$L1065)="","—",INDEX(SCDoc,$L1065)),IF($M1065&lt;&gt;"",INDEX(LdgBankB,$M1065),""))</f>
        <v/>
      </c>
      <c r="E1065" s="19">
        <f>IF($L1065&lt;&gt;"",IF(INDEX(SCCitrus,$L1065)&amp;INDEX(SCNotes,$L1065)="","",IF(INDEX(SCCitrus,$L1065)="","",INDEX(SCCitrus,$L1065))&amp;IF(INDEX(SCNotes,$L1065)="",""," — "&amp;INDEX(SCNotes,$L1065))),IF($M1065&lt;&gt;"",IF(INDEX(LdgNoteB,$M1065)="","—",INDEX(LdgNoteB,$M1065)),""))</f>
        <v/>
      </c>
      <c r="F1065" s="20">
        <f>IF($L1065&lt;&gt;"",IF(INDEX(SCNet,$L1065)=0,"",INDEX(SCNet,$L1065)),"")</f>
        <v/>
      </c>
      <c r="G1065" s="21">
        <f>IF($L1065&lt;&gt;"",IF(INDEX(SCOp,$L1065)="مرجوعی فروش","",IF(INDEX(SCAmount,$L1065)&lt;=0,"",INDEX(SCAmount,$L1065))),IF($M1065&lt;&gt;"",IF(INDEX(LdgWitB,$M1065)=0,"",INDEX(LdgWitB,$M1065)),""))</f>
        <v/>
      </c>
      <c r="H1065" s="21">
        <f>IF($L1065&lt;&gt;"",IF(INDEX(SCOp,$L1065)="مرجوعی فروش",IF(INDEX(SCAmount,$L1065)=0,"",-INDEX(SCAmount,$L1065)),""),IF($M1065&lt;&gt;"",IF(INDEX(LdgDepB,$M1065)=0,"",INDEX(LdgDepB,$M1065)),""))</f>
        <v/>
      </c>
      <c r="I1065" s="22">
        <f>IF($B1065="","",IF($I1064="",$C$10,$I1064)+IF($G1065="",0,$G1065)-IF($H1065="",0,$H1065))</f>
        <v/>
      </c>
      <c r="L1065">
        <f>IFERROR(MATCH($C$5&amp;"|"&amp;RIGHT("000000"&amp;1049,6),LdgRankKeyA,0),"")</f>
        <v/>
      </c>
      <c r="M1065">
        <f>IFERROR(MATCH($C$5&amp;"|"&amp;RIGHT("000000"&amp;1049,6),LdgRankKeyB,0),"")</f>
        <v/>
      </c>
    </row>
    <row r="1066">
      <c r="A1066" s="23" t="n">
        <v>1050</v>
      </c>
      <c r="B1066" s="24">
        <f>IF(AND($L1066="",$M1066=""),"",IF($L1066&lt;&gt;"",INDEX(SCNormDate,$L1066),INDEX(LdgDateB,$M1066)))</f>
        <v/>
      </c>
      <c r="C1066" s="24">
        <f>IF($L1066&lt;&gt;"",INDEX(SCOp,$L1066),IF($M1066&lt;&gt;"","پرداخت بانکی",""))</f>
        <v/>
      </c>
      <c r="D1066" s="24">
        <f>IF($L1066&lt;&gt;"",IF(INDEX(SCDoc,$L1066)="","—",INDEX(SCDoc,$L1066)),IF($M1066&lt;&gt;"",INDEX(LdgBankB,$M1066),""))</f>
        <v/>
      </c>
      <c r="E1066" s="25">
        <f>IF($L1066&lt;&gt;"",IF(INDEX(SCCitrus,$L1066)&amp;INDEX(SCNotes,$L1066)="","",IF(INDEX(SCCitrus,$L1066)="","",INDEX(SCCitrus,$L1066))&amp;IF(INDEX(SCNotes,$L1066)="",""," — "&amp;INDEX(SCNotes,$L1066))),IF($M1066&lt;&gt;"",IF(INDEX(LdgNoteB,$M1066)="","—",INDEX(LdgNoteB,$M1066)),""))</f>
        <v/>
      </c>
      <c r="F1066" s="26">
        <f>IF($L1066&lt;&gt;"",IF(INDEX(SCNet,$L1066)=0,"",INDEX(SCNet,$L1066)),"")</f>
        <v/>
      </c>
      <c r="G1066" s="27">
        <f>IF($L1066&lt;&gt;"",IF(INDEX(SCOp,$L1066)="مرجوعی فروش","",IF(INDEX(SCAmount,$L1066)&lt;=0,"",INDEX(SCAmount,$L1066))),IF($M1066&lt;&gt;"",IF(INDEX(LdgWitB,$M1066)=0,"",INDEX(LdgWitB,$M1066)),""))</f>
        <v/>
      </c>
      <c r="H1066" s="27">
        <f>IF($L1066&lt;&gt;"",IF(INDEX(SCOp,$L1066)="مرجوعی فروش",IF(INDEX(SCAmount,$L1066)=0,"",-INDEX(SCAmount,$L1066)),""),IF($M1066&lt;&gt;"",IF(INDEX(LdgDepB,$M1066)=0,"",INDEX(LdgDepB,$M1066)),""))</f>
        <v/>
      </c>
      <c r="I1066" s="28">
        <f>IF($B1066="","",IF($I1065="",$C$10,$I1065)+IF($G1066="",0,$G1066)-IF($H1066="",0,$H1066))</f>
        <v/>
      </c>
      <c r="L1066">
        <f>IFERROR(MATCH($C$5&amp;"|"&amp;RIGHT("000000"&amp;1050,6),LdgRankKeyA,0),"")</f>
        <v/>
      </c>
      <c r="M1066">
        <f>IFERROR(MATCH($C$5&amp;"|"&amp;RIGHT("000000"&amp;1050,6),LdgRankKeyB,0),"")</f>
        <v/>
      </c>
    </row>
    <row r="1067">
      <c r="A1067" s="17" t="n">
        <v>1051</v>
      </c>
      <c r="B1067" s="18">
        <f>IF(AND($L1067="",$M1067=""),"",IF($L1067&lt;&gt;"",INDEX(SCNormDate,$L1067),INDEX(LdgDateB,$M1067)))</f>
        <v/>
      </c>
      <c r="C1067" s="18">
        <f>IF($L1067&lt;&gt;"",INDEX(SCOp,$L1067),IF($M1067&lt;&gt;"","پرداخت بانکی",""))</f>
        <v/>
      </c>
      <c r="D1067" s="18">
        <f>IF($L1067&lt;&gt;"",IF(INDEX(SCDoc,$L1067)="","—",INDEX(SCDoc,$L1067)),IF($M1067&lt;&gt;"",INDEX(LdgBankB,$M1067),""))</f>
        <v/>
      </c>
      <c r="E1067" s="19">
        <f>IF($L1067&lt;&gt;"",IF(INDEX(SCCitrus,$L1067)&amp;INDEX(SCNotes,$L1067)="","",IF(INDEX(SCCitrus,$L1067)="","",INDEX(SCCitrus,$L1067))&amp;IF(INDEX(SCNotes,$L1067)="",""," — "&amp;INDEX(SCNotes,$L1067))),IF($M1067&lt;&gt;"",IF(INDEX(LdgNoteB,$M1067)="","—",INDEX(LdgNoteB,$M1067)),""))</f>
        <v/>
      </c>
      <c r="F1067" s="20">
        <f>IF($L1067&lt;&gt;"",IF(INDEX(SCNet,$L1067)=0,"",INDEX(SCNet,$L1067)),"")</f>
        <v/>
      </c>
      <c r="G1067" s="21">
        <f>IF($L1067&lt;&gt;"",IF(INDEX(SCOp,$L1067)="مرجوعی فروش","",IF(INDEX(SCAmount,$L1067)&lt;=0,"",INDEX(SCAmount,$L1067))),IF($M1067&lt;&gt;"",IF(INDEX(LdgWitB,$M1067)=0,"",INDEX(LdgWitB,$M1067)),""))</f>
        <v/>
      </c>
      <c r="H1067" s="21">
        <f>IF($L1067&lt;&gt;"",IF(INDEX(SCOp,$L1067)="مرجوعی فروش",IF(INDEX(SCAmount,$L1067)=0,"",-INDEX(SCAmount,$L1067)),""),IF($M1067&lt;&gt;"",IF(INDEX(LdgDepB,$M1067)=0,"",INDEX(LdgDepB,$M1067)),""))</f>
        <v/>
      </c>
      <c r="I1067" s="22">
        <f>IF($B1067="","",IF($I1066="",$C$10,$I1066)+IF($G1067="",0,$G1067)-IF($H1067="",0,$H1067))</f>
        <v/>
      </c>
      <c r="L1067">
        <f>IFERROR(MATCH($C$5&amp;"|"&amp;RIGHT("000000"&amp;1051,6),LdgRankKeyA,0),"")</f>
        <v/>
      </c>
      <c r="M1067">
        <f>IFERROR(MATCH($C$5&amp;"|"&amp;RIGHT("000000"&amp;1051,6),LdgRankKeyB,0),"")</f>
        <v/>
      </c>
    </row>
    <row r="1068">
      <c r="A1068" s="23" t="n">
        <v>1052</v>
      </c>
      <c r="B1068" s="24">
        <f>IF(AND($L1068="",$M1068=""),"",IF($L1068&lt;&gt;"",INDEX(SCNormDate,$L1068),INDEX(LdgDateB,$M1068)))</f>
        <v/>
      </c>
      <c r="C1068" s="24">
        <f>IF($L1068&lt;&gt;"",INDEX(SCOp,$L1068),IF($M1068&lt;&gt;"","پرداخت بانکی",""))</f>
        <v/>
      </c>
      <c r="D1068" s="24">
        <f>IF($L1068&lt;&gt;"",IF(INDEX(SCDoc,$L1068)="","—",INDEX(SCDoc,$L1068)),IF($M1068&lt;&gt;"",INDEX(LdgBankB,$M1068),""))</f>
        <v/>
      </c>
      <c r="E1068" s="25">
        <f>IF($L1068&lt;&gt;"",IF(INDEX(SCCitrus,$L1068)&amp;INDEX(SCNotes,$L1068)="","",IF(INDEX(SCCitrus,$L1068)="","",INDEX(SCCitrus,$L1068))&amp;IF(INDEX(SCNotes,$L1068)="",""," — "&amp;INDEX(SCNotes,$L1068))),IF($M1068&lt;&gt;"",IF(INDEX(LdgNoteB,$M1068)="","—",INDEX(LdgNoteB,$M1068)),""))</f>
        <v/>
      </c>
      <c r="F1068" s="26">
        <f>IF($L1068&lt;&gt;"",IF(INDEX(SCNet,$L1068)=0,"",INDEX(SCNet,$L1068)),"")</f>
        <v/>
      </c>
      <c r="G1068" s="27">
        <f>IF($L1068&lt;&gt;"",IF(INDEX(SCOp,$L1068)="مرجوعی فروش","",IF(INDEX(SCAmount,$L1068)&lt;=0,"",INDEX(SCAmount,$L1068))),IF($M1068&lt;&gt;"",IF(INDEX(LdgWitB,$M1068)=0,"",INDEX(LdgWitB,$M1068)),""))</f>
        <v/>
      </c>
      <c r="H1068" s="27">
        <f>IF($L1068&lt;&gt;"",IF(INDEX(SCOp,$L1068)="مرجوعی فروش",IF(INDEX(SCAmount,$L1068)=0,"",-INDEX(SCAmount,$L1068)),""),IF($M1068&lt;&gt;"",IF(INDEX(LdgDepB,$M1068)=0,"",INDEX(LdgDepB,$M1068)),""))</f>
        <v/>
      </c>
      <c r="I1068" s="28">
        <f>IF($B1068="","",IF($I1067="",$C$10,$I1067)+IF($G1068="",0,$G1068)-IF($H1068="",0,$H1068))</f>
        <v/>
      </c>
      <c r="L1068">
        <f>IFERROR(MATCH($C$5&amp;"|"&amp;RIGHT("000000"&amp;1052,6),LdgRankKeyA,0),"")</f>
        <v/>
      </c>
      <c r="M1068">
        <f>IFERROR(MATCH($C$5&amp;"|"&amp;RIGHT("000000"&amp;1052,6),LdgRankKeyB,0),"")</f>
        <v/>
      </c>
    </row>
    <row r="1069">
      <c r="A1069" s="17" t="n">
        <v>1053</v>
      </c>
      <c r="B1069" s="18">
        <f>IF(AND($L1069="",$M1069=""),"",IF($L1069&lt;&gt;"",INDEX(SCNormDate,$L1069),INDEX(LdgDateB,$M1069)))</f>
        <v/>
      </c>
      <c r="C1069" s="18">
        <f>IF($L1069&lt;&gt;"",INDEX(SCOp,$L1069),IF($M1069&lt;&gt;"","پرداخت بانکی",""))</f>
        <v/>
      </c>
      <c r="D1069" s="18">
        <f>IF($L1069&lt;&gt;"",IF(INDEX(SCDoc,$L1069)="","—",INDEX(SCDoc,$L1069)),IF($M1069&lt;&gt;"",INDEX(LdgBankB,$M1069),""))</f>
        <v/>
      </c>
      <c r="E1069" s="19">
        <f>IF($L1069&lt;&gt;"",IF(INDEX(SCCitrus,$L1069)&amp;INDEX(SCNotes,$L1069)="","",IF(INDEX(SCCitrus,$L1069)="","",INDEX(SCCitrus,$L1069))&amp;IF(INDEX(SCNotes,$L1069)="",""," — "&amp;INDEX(SCNotes,$L1069))),IF($M1069&lt;&gt;"",IF(INDEX(LdgNoteB,$M1069)="","—",INDEX(LdgNoteB,$M1069)),""))</f>
        <v/>
      </c>
      <c r="F1069" s="20">
        <f>IF($L1069&lt;&gt;"",IF(INDEX(SCNet,$L1069)=0,"",INDEX(SCNet,$L1069)),"")</f>
        <v/>
      </c>
      <c r="G1069" s="21">
        <f>IF($L1069&lt;&gt;"",IF(INDEX(SCOp,$L1069)="مرجوعی فروش","",IF(INDEX(SCAmount,$L1069)&lt;=0,"",INDEX(SCAmount,$L1069))),IF($M1069&lt;&gt;"",IF(INDEX(LdgWitB,$M1069)=0,"",INDEX(LdgWitB,$M1069)),""))</f>
        <v/>
      </c>
      <c r="H1069" s="21">
        <f>IF($L1069&lt;&gt;"",IF(INDEX(SCOp,$L1069)="مرجوعی فروش",IF(INDEX(SCAmount,$L1069)=0,"",-INDEX(SCAmount,$L1069)),""),IF($M1069&lt;&gt;"",IF(INDEX(LdgDepB,$M1069)=0,"",INDEX(LdgDepB,$M1069)),""))</f>
        <v/>
      </c>
      <c r="I1069" s="22">
        <f>IF($B1069="","",IF($I1068="",$C$10,$I1068)+IF($G1069="",0,$G1069)-IF($H1069="",0,$H1069))</f>
        <v/>
      </c>
      <c r="L1069">
        <f>IFERROR(MATCH($C$5&amp;"|"&amp;RIGHT("000000"&amp;1053,6),LdgRankKeyA,0),"")</f>
        <v/>
      </c>
      <c r="M1069">
        <f>IFERROR(MATCH($C$5&amp;"|"&amp;RIGHT("000000"&amp;1053,6),LdgRankKeyB,0),"")</f>
        <v/>
      </c>
    </row>
    <row r="1070">
      <c r="A1070" s="23" t="n">
        <v>1054</v>
      </c>
      <c r="B1070" s="24">
        <f>IF(AND($L1070="",$M1070=""),"",IF($L1070&lt;&gt;"",INDEX(SCNormDate,$L1070),INDEX(LdgDateB,$M1070)))</f>
        <v/>
      </c>
      <c r="C1070" s="24">
        <f>IF($L1070&lt;&gt;"",INDEX(SCOp,$L1070),IF($M1070&lt;&gt;"","پرداخت بانکی",""))</f>
        <v/>
      </c>
      <c r="D1070" s="24">
        <f>IF($L1070&lt;&gt;"",IF(INDEX(SCDoc,$L1070)="","—",INDEX(SCDoc,$L1070)),IF($M1070&lt;&gt;"",INDEX(LdgBankB,$M1070),""))</f>
        <v/>
      </c>
      <c r="E1070" s="25">
        <f>IF($L1070&lt;&gt;"",IF(INDEX(SCCitrus,$L1070)&amp;INDEX(SCNotes,$L1070)="","",IF(INDEX(SCCitrus,$L1070)="","",INDEX(SCCitrus,$L1070))&amp;IF(INDEX(SCNotes,$L1070)="",""," — "&amp;INDEX(SCNotes,$L1070))),IF($M1070&lt;&gt;"",IF(INDEX(LdgNoteB,$M1070)="","—",INDEX(LdgNoteB,$M1070)),""))</f>
        <v/>
      </c>
      <c r="F1070" s="26">
        <f>IF($L1070&lt;&gt;"",IF(INDEX(SCNet,$L1070)=0,"",INDEX(SCNet,$L1070)),"")</f>
        <v/>
      </c>
      <c r="G1070" s="27">
        <f>IF($L1070&lt;&gt;"",IF(INDEX(SCOp,$L1070)="مرجوعی فروش","",IF(INDEX(SCAmount,$L1070)&lt;=0,"",INDEX(SCAmount,$L1070))),IF($M1070&lt;&gt;"",IF(INDEX(LdgWitB,$M1070)=0,"",INDEX(LdgWitB,$M1070)),""))</f>
        <v/>
      </c>
      <c r="H1070" s="27">
        <f>IF($L1070&lt;&gt;"",IF(INDEX(SCOp,$L1070)="مرجوعی فروش",IF(INDEX(SCAmount,$L1070)=0,"",-INDEX(SCAmount,$L1070)),""),IF($M1070&lt;&gt;"",IF(INDEX(LdgDepB,$M1070)=0,"",INDEX(LdgDepB,$M1070)),""))</f>
        <v/>
      </c>
      <c r="I1070" s="28">
        <f>IF($B1070="","",IF($I1069="",$C$10,$I1069)+IF($G1070="",0,$G1070)-IF($H1070="",0,$H1070))</f>
        <v/>
      </c>
      <c r="L1070">
        <f>IFERROR(MATCH($C$5&amp;"|"&amp;RIGHT("000000"&amp;1054,6),LdgRankKeyA,0),"")</f>
        <v/>
      </c>
      <c r="M1070">
        <f>IFERROR(MATCH($C$5&amp;"|"&amp;RIGHT("000000"&amp;1054,6),LdgRankKeyB,0),"")</f>
        <v/>
      </c>
    </row>
    <row r="1071">
      <c r="A1071" s="17" t="n">
        <v>1055</v>
      </c>
      <c r="B1071" s="18">
        <f>IF(AND($L1071="",$M1071=""),"",IF($L1071&lt;&gt;"",INDEX(SCNormDate,$L1071),INDEX(LdgDateB,$M1071)))</f>
        <v/>
      </c>
      <c r="C1071" s="18">
        <f>IF($L1071&lt;&gt;"",INDEX(SCOp,$L1071),IF($M1071&lt;&gt;"","پرداخت بانکی",""))</f>
        <v/>
      </c>
      <c r="D1071" s="18">
        <f>IF($L1071&lt;&gt;"",IF(INDEX(SCDoc,$L1071)="","—",INDEX(SCDoc,$L1071)),IF($M1071&lt;&gt;"",INDEX(LdgBankB,$M1071),""))</f>
        <v/>
      </c>
      <c r="E1071" s="19">
        <f>IF($L1071&lt;&gt;"",IF(INDEX(SCCitrus,$L1071)&amp;INDEX(SCNotes,$L1071)="","",IF(INDEX(SCCitrus,$L1071)="","",INDEX(SCCitrus,$L1071))&amp;IF(INDEX(SCNotes,$L1071)="",""," — "&amp;INDEX(SCNotes,$L1071))),IF($M1071&lt;&gt;"",IF(INDEX(LdgNoteB,$M1071)="","—",INDEX(LdgNoteB,$M1071)),""))</f>
        <v/>
      </c>
      <c r="F1071" s="20">
        <f>IF($L1071&lt;&gt;"",IF(INDEX(SCNet,$L1071)=0,"",INDEX(SCNet,$L1071)),"")</f>
        <v/>
      </c>
      <c r="G1071" s="21">
        <f>IF($L1071&lt;&gt;"",IF(INDEX(SCOp,$L1071)="مرجوعی فروش","",IF(INDEX(SCAmount,$L1071)&lt;=0,"",INDEX(SCAmount,$L1071))),IF($M1071&lt;&gt;"",IF(INDEX(LdgWitB,$M1071)=0,"",INDEX(LdgWitB,$M1071)),""))</f>
        <v/>
      </c>
      <c r="H1071" s="21">
        <f>IF($L1071&lt;&gt;"",IF(INDEX(SCOp,$L1071)="مرجوعی فروش",IF(INDEX(SCAmount,$L1071)=0,"",-INDEX(SCAmount,$L1071)),""),IF($M1071&lt;&gt;"",IF(INDEX(LdgDepB,$M1071)=0,"",INDEX(LdgDepB,$M1071)),""))</f>
        <v/>
      </c>
      <c r="I1071" s="22">
        <f>IF($B1071="","",IF($I1070="",$C$10,$I1070)+IF($G1071="",0,$G1071)-IF($H1071="",0,$H1071))</f>
        <v/>
      </c>
      <c r="L1071">
        <f>IFERROR(MATCH($C$5&amp;"|"&amp;RIGHT("000000"&amp;1055,6),LdgRankKeyA,0),"")</f>
        <v/>
      </c>
      <c r="M1071">
        <f>IFERROR(MATCH($C$5&amp;"|"&amp;RIGHT("000000"&amp;1055,6),LdgRankKeyB,0),"")</f>
        <v/>
      </c>
    </row>
    <row r="1072">
      <c r="A1072" s="23" t="n">
        <v>1056</v>
      </c>
      <c r="B1072" s="24">
        <f>IF(AND($L1072="",$M1072=""),"",IF($L1072&lt;&gt;"",INDEX(SCNormDate,$L1072),INDEX(LdgDateB,$M1072)))</f>
        <v/>
      </c>
      <c r="C1072" s="24">
        <f>IF($L1072&lt;&gt;"",INDEX(SCOp,$L1072),IF($M1072&lt;&gt;"","پرداخت بانکی",""))</f>
        <v/>
      </c>
      <c r="D1072" s="24">
        <f>IF($L1072&lt;&gt;"",IF(INDEX(SCDoc,$L1072)="","—",INDEX(SCDoc,$L1072)),IF($M1072&lt;&gt;"",INDEX(LdgBankB,$M1072),""))</f>
        <v/>
      </c>
      <c r="E1072" s="25">
        <f>IF($L1072&lt;&gt;"",IF(INDEX(SCCitrus,$L1072)&amp;INDEX(SCNotes,$L1072)="","",IF(INDEX(SCCitrus,$L1072)="","",INDEX(SCCitrus,$L1072))&amp;IF(INDEX(SCNotes,$L1072)="",""," — "&amp;INDEX(SCNotes,$L1072))),IF($M1072&lt;&gt;"",IF(INDEX(LdgNoteB,$M1072)="","—",INDEX(LdgNoteB,$M1072)),""))</f>
        <v/>
      </c>
      <c r="F1072" s="26">
        <f>IF($L1072&lt;&gt;"",IF(INDEX(SCNet,$L1072)=0,"",INDEX(SCNet,$L1072)),"")</f>
        <v/>
      </c>
      <c r="G1072" s="27">
        <f>IF($L1072&lt;&gt;"",IF(INDEX(SCOp,$L1072)="مرجوعی فروش","",IF(INDEX(SCAmount,$L1072)&lt;=0,"",INDEX(SCAmount,$L1072))),IF($M1072&lt;&gt;"",IF(INDEX(LdgWitB,$M1072)=0,"",INDEX(LdgWitB,$M1072)),""))</f>
        <v/>
      </c>
      <c r="H1072" s="27">
        <f>IF($L1072&lt;&gt;"",IF(INDEX(SCOp,$L1072)="مرجوعی فروش",IF(INDEX(SCAmount,$L1072)=0,"",-INDEX(SCAmount,$L1072)),""),IF($M1072&lt;&gt;"",IF(INDEX(LdgDepB,$M1072)=0,"",INDEX(LdgDepB,$M1072)),""))</f>
        <v/>
      </c>
      <c r="I1072" s="28">
        <f>IF($B1072="","",IF($I1071="",$C$10,$I1071)+IF($G1072="",0,$G1072)-IF($H1072="",0,$H1072))</f>
        <v/>
      </c>
      <c r="L1072">
        <f>IFERROR(MATCH($C$5&amp;"|"&amp;RIGHT("000000"&amp;1056,6),LdgRankKeyA,0),"")</f>
        <v/>
      </c>
      <c r="M1072">
        <f>IFERROR(MATCH($C$5&amp;"|"&amp;RIGHT("000000"&amp;1056,6),LdgRankKeyB,0),"")</f>
        <v/>
      </c>
    </row>
    <row r="1073">
      <c r="A1073" s="17" t="n">
        <v>1057</v>
      </c>
      <c r="B1073" s="18">
        <f>IF(AND($L1073="",$M1073=""),"",IF($L1073&lt;&gt;"",INDEX(SCNormDate,$L1073),INDEX(LdgDateB,$M1073)))</f>
        <v/>
      </c>
      <c r="C1073" s="18">
        <f>IF($L1073&lt;&gt;"",INDEX(SCOp,$L1073),IF($M1073&lt;&gt;"","پرداخت بانکی",""))</f>
        <v/>
      </c>
      <c r="D1073" s="18">
        <f>IF($L1073&lt;&gt;"",IF(INDEX(SCDoc,$L1073)="","—",INDEX(SCDoc,$L1073)),IF($M1073&lt;&gt;"",INDEX(LdgBankB,$M1073),""))</f>
        <v/>
      </c>
      <c r="E1073" s="19">
        <f>IF($L1073&lt;&gt;"",IF(INDEX(SCCitrus,$L1073)&amp;INDEX(SCNotes,$L1073)="","",IF(INDEX(SCCitrus,$L1073)="","",INDEX(SCCitrus,$L1073))&amp;IF(INDEX(SCNotes,$L1073)="",""," — "&amp;INDEX(SCNotes,$L1073))),IF($M1073&lt;&gt;"",IF(INDEX(LdgNoteB,$M1073)="","—",INDEX(LdgNoteB,$M1073)),""))</f>
        <v/>
      </c>
      <c r="F1073" s="20">
        <f>IF($L1073&lt;&gt;"",IF(INDEX(SCNet,$L1073)=0,"",INDEX(SCNet,$L1073)),"")</f>
        <v/>
      </c>
      <c r="G1073" s="21">
        <f>IF($L1073&lt;&gt;"",IF(INDEX(SCOp,$L1073)="مرجوعی فروش","",IF(INDEX(SCAmount,$L1073)&lt;=0,"",INDEX(SCAmount,$L1073))),IF($M1073&lt;&gt;"",IF(INDEX(LdgWitB,$M1073)=0,"",INDEX(LdgWitB,$M1073)),""))</f>
        <v/>
      </c>
      <c r="H1073" s="21">
        <f>IF($L1073&lt;&gt;"",IF(INDEX(SCOp,$L1073)="مرجوعی فروش",IF(INDEX(SCAmount,$L1073)=0,"",-INDEX(SCAmount,$L1073)),""),IF($M1073&lt;&gt;"",IF(INDEX(LdgDepB,$M1073)=0,"",INDEX(LdgDepB,$M1073)),""))</f>
        <v/>
      </c>
      <c r="I1073" s="22">
        <f>IF($B1073="","",IF($I1072="",$C$10,$I1072)+IF($G1073="",0,$G1073)-IF($H1073="",0,$H1073))</f>
        <v/>
      </c>
      <c r="L1073">
        <f>IFERROR(MATCH($C$5&amp;"|"&amp;RIGHT("000000"&amp;1057,6),LdgRankKeyA,0),"")</f>
        <v/>
      </c>
      <c r="M1073">
        <f>IFERROR(MATCH($C$5&amp;"|"&amp;RIGHT("000000"&amp;1057,6),LdgRankKeyB,0),"")</f>
        <v/>
      </c>
    </row>
    <row r="1074">
      <c r="A1074" s="23" t="n">
        <v>1058</v>
      </c>
      <c r="B1074" s="24">
        <f>IF(AND($L1074="",$M1074=""),"",IF($L1074&lt;&gt;"",INDEX(SCNormDate,$L1074),INDEX(LdgDateB,$M1074)))</f>
        <v/>
      </c>
      <c r="C1074" s="24">
        <f>IF($L1074&lt;&gt;"",INDEX(SCOp,$L1074),IF($M1074&lt;&gt;"","پرداخت بانکی",""))</f>
        <v/>
      </c>
      <c r="D1074" s="24">
        <f>IF($L1074&lt;&gt;"",IF(INDEX(SCDoc,$L1074)="","—",INDEX(SCDoc,$L1074)),IF($M1074&lt;&gt;"",INDEX(LdgBankB,$M1074),""))</f>
        <v/>
      </c>
      <c r="E1074" s="25">
        <f>IF($L1074&lt;&gt;"",IF(INDEX(SCCitrus,$L1074)&amp;INDEX(SCNotes,$L1074)="","",IF(INDEX(SCCitrus,$L1074)="","",INDEX(SCCitrus,$L1074))&amp;IF(INDEX(SCNotes,$L1074)="",""," — "&amp;INDEX(SCNotes,$L1074))),IF($M1074&lt;&gt;"",IF(INDEX(LdgNoteB,$M1074)="","—",INDEX(LdgNoteB,$M1074)),""))</f>
        <v/>
      </c>
      <c r="F1074" s="26">
        <f>IF($L1074&lt;&gt;"",IF(INDEX(SCNet,$L1074)=0,"",INDEX(SCNet,$L1074)),"")</f>
        <v/>
      </c>
      <c r="G1074" s="27">
        <f>IF($L1074&lt;&gt;"",IF(INDEX(SCOp,$L1074)="مرجوعی فروش","",IF(INDEX(SCAmount,$L1074)&lt;=0,"",INDEX(SCAmount,$L1074))),IF($M1074&lt;&gt;"",IF(INDEX(LdgWitB,$M1074)=0,"",INDEX(LdgWitB,$M1074)),""))</f>
        <v/>
      </c>
      <c r="H1074" s="27">
        <f>IF($L1074&lt;&gt;"",IF(INDEX(SCOp,$L1074)="مرجوعی فروش",IF(INDEX(SCAmount,$L1074)=0,"",-INDEX(SCAmount,$L1074)),""),IF($M1074&lt;&gt;"",IF(INDEX(LdgDepB,$M1074)=0,"",INDEX(LdgDepB,$M1074)),""))</f>
        <v/>
      </c>
      <c r="I1074" s="28">
        <f>IF($B1074="","",IF($I1073="",$C$10,$I1073)+IF($G1074="",0,$G1074)-IF($H1074="",0,$H1074))</f>
        <v/>
      </c>
      <c r="L1074">
        <f>IFERROR(MATCH($C$5&amp;"|"&amp;RIGHT("000000"&amp;1058,6),LdgRankKeyA,0),"")</f>
        <v/>
      </c>
      <c r="M1074">
        <f>IFERROR(MATCH($C$5&amp;"|"&amp;RIGHT("000000"&amp;1058,6),LdgRankKeyB,0),"")</f>
        <v/>
      </c>
    </row>
    <row r="1075">
      <c r="A1075" s="17" t="n">
        <v>1059</v>
      </c>
      <c r="B1075" s="18">
        <f>IF(AND($L1075="",$M1075=""),"",IF($L1075&lt;&gt;"",INDEX(SCNormDate,$L1075),INDEX(LdgDateB,$M1075)))</f>
        <v/>
      </c>
      <c r="C1075" s="18">
        <f>IF($L1075&lt;&gt;"",INDEX(SCOp,$L1075),IF($M1075&lt;&gt;"","پرداخت بانکی",""))</f>
        <v/>
      </c>
      <c r="D1075" s="18">
        <f>IF($L1075&lt;&gt;"",IF(INDEX(SCDoc,$L1075)="","—",INDEX(SCDoc,$L1075)),IF($M1075&lt;&gt;"",INDEX(LdgBankB,$M1075),""))</f>
        <v/>
      </c>
      <c r="E1075" s="19">
        <f>IF($L1075&lt;&gt;"",IF(INDEX(SCCitrus,$L1075)&amp;INDEX(SCNotes,$L1075)="","",IF(INDEX(SCCitrus,$L1075)="","",INDEX(SCCitrus,$L1075))&amp;IF(INDEX(SCNotes,$L1075)="",""," — "&amp;INDEX(SCNotes,$L1075))),IF($M1075&lt;&gt;"",IF(INDEX(LdgNoteB,$M1075)="","—",INDEX(LdgNoteB,$M1075)),""))</f>
        <v/>
      </c>
      <c r="F1075" s="20">
        <f>IF($L1075&lt;&gt;"",IF(INDEX(SCNet,$L1075)=0,"",INDEX(SCNet,$L1075)),"")</f>
        <v/>
      </c>
      <c r="G1075" s="21">
        <f>IF($L1075&lt;&gt;"",IF(INDEX(SCOp,$L1075)="مرجوعی فروش","",IF(INDEX(SCAmount,$L1075)&lt;=0,"",INDEX(SCAmount,$L1075))),IF($M1075&lt;&gt;"",IF(INDEX(LdgWitB,$M1075)=0,"",INDEX(LdgWitB,$M1075)),""))</f>
        <v/>
      </c>
      <c r="H1075" s="21">
        <f>IF($L1075&lt;&gt;"",IF(INDEX(SCOp,$L1075)="مرجوعی فروش",IF(INDEX(SCAmount,$L1075)=0,"",-INDEX(SCAmount,$L1075)),""),IF($M1075&lt;&gt;"",IF(INDEX(LdgDepB,$M1075)=0,"",INDEX(LdgDepB,$M1075)),""))</f>
        <v/>
      </c>
      <c r="I1075" s="22">
        <f>IF($B1075="","",IF($I1074="",$C$10,$I1074)+IF($G1075="",0,$G1075)-IF($H1075="",0,$H1075))</f>
        <v/>
      </c>
      <c r="L1075">
        <f>IFERROR(MATCH($C$5&amp;"|"&amp;RIGHT("000000"&amp;1059,6),LdgRankKeyA,0),"")</f>
        <v/>
      </c>
      <c r="M1075">
        <f>IFERROR(MATCH($C$5&amp;"|"&amp;RIGHT("000000"&amp;1059,6),LdgRankKeyB,0),"")</f>
        <v/>
      </c>
    </row>
    <row r="1076">
      <c r="A1076" s="23" t="n">
        <v>1060</v>
      </c>
      <c r="B1076" s="24">
        <f>IF(AND($L1076="",$M1076=""),"",IF($L1076&lt;&gt;"",INDEX(SCNormDate,$L1076),INDEX(LdgDateB,$M1076)))</f>
        <v/>
      </c>
      <c r="C1076" s="24">
        <f>IF($L1076&lt;&gt;"",INDEX(SCOp,$L1076),IF($M1076&lt;&gt;"","پرداخت بانکی",""))</f>
        <v/>
      </c>
      <c r="D1076" s="24">
        <f>IF($L1076&lt;&gt;"",IF(INDEX(SCDoc,$L1076)="","—",INDEX(SCDoc,$L1076)),IF($M1076&lt;&gt;"",INDEX(LdgBankB,$M1076),""))</f>
        <v/>
      </c>
      <c r="E1076" s="25">
        <f>IF($L1076&lt;&gt;"",IF(INDEX(SCCitrus,$L1076)&amp;INDEX(SCNotes,$L1076)="","",IF(INDEX(SCCitrus,$L1076)="","",INDEX(SCCitrus,$L1076))&amp;IF(INDEX(SCNotes,$L1076)="",""," — "&amp;INDEX(SCNotes,$L1076))),IF($M1076&lt;&gt;"",IF(INDEX(LdgNoteB,$M1076)="","—",INDEX(LdgNoteB,$M1076)),""))</f>
        <v/>
      </c>
      <c r="F1076" s="26">
        <f>IF($L1076&lt;&gt;"",IF(INDEX(SCNet,$L1076)=0,"",INDEX(SCNet,$L1076)),"")</f>
        <v/>
      </c>
      <c r="G1076" s="27">
        <f>IF($L1076&lt;&gt;"",IF(INDEX(SCOp,$L1076)="مرجوعی فروش","",IF(INDEX(SCAmount,$L1076)&lt;=0,"",INDEX(SCAmount,$L1076))),IF($M1076&lt;&gt;"",IF(INDEX(LdgWitB,$M1076)=0,"",INDEX(LdgWitB,$M1076)),""))</f>
        <v/>
      </c>
      <c r="H1076" s="27">
        <f>IF($L1076&lt;&gt;"",IF(INDEX(SCOp,$L1076)="مرجوعی فروش",IF(INDEX(SCAmount,$L1076)=0,"",-INDEX(SCAmount,$L1076)),""),IF($M1076&lt;&gt;"",IF(INDEX(LdgDepB,$M1076)=0,"",INDEX(LdgDepB,$M1076)),""))</f>
        <v/>
      </c>
      <c r="I1076" s="28">
        <f>IF($B1076="","",IF($I1075="",$C$10,$I1075)+IF($G1076="",0,$G1076)-IF($H1076="",0,$H1076))</f>
        <v/>
      </c>
      <c r="L1076">
        <f>IFERROR(MATCH($C$5&amp;"|"&amp;RIGHT("000000"&amp;1060,6),LdgRankKeyA,0),"")</f>
        <v/>
      </c>
      <c r="M1076">
        <f>IFERROR(MATCH($C$5&amp;"|"&amp;RIGHT("000000"&amp;1060,6),LdgRankKeyB,0),"")</f>
        <v/>
      </c>
    </row>
    <row r="1077">
      <c r="A1077" s="17" t="n">
        <v>1061</v>
      </c>
      <c r="B1077" s="18">
        <f>IF(AND($L1077="",$M1077=""),"",IF($L1077&lt;&gt;"",INDEX(SCNormDate,$L1077),INDEX(LdgDateB,$M1077)))</f>
        <v/>
      </c>
      <c r="C1077" s="18">
        <f>IF($L1077&lt;&gt;"",INDEX(SCOp,$L1077),IF($M1077&lt;&gt;"","پرداخت بانکی",""))</f>
        <v/>
      </c>
      <c r="D1077" s="18">
        <f>IF($L1077&lt;&gt;"",IF(INDEX(SCDoc,$L1077)="","—",INDEX(SCDoc,$L1077)),IF($M1077&lt;&gt;"",INDEX(LdgBankB,$M1077),""))</f>
        <v/>
      </c>
      <c r="E1077" s="19">
        <f>IF($L1077&lt;&gt;"",IF(INDEX(SCCitrus,$L1077)&amp;INDEX(SCNotes,$L1077)="","",IF(INDEX(SCCitrus,$L1077)="","",INDEX(SCCitrus,$L1077))&amp;IF(INDEX(SCNotes,$L1077)="",""," — "&amp;INDEX(SCNotes,$L1077))),IF($M1077&lt;&gt;"",IF(INDEX(LdgNoteB,$M1077)="","—",INDEX(LdgNoteB,$M1077)),""))</f>
        <v/>
      </c>
      <c r="F1077" s="20">
        <f>IF($L1077&lt;&gt;"",IF(INDEX(SCNet,$L1077)=0,"",INDEX(SCNet,$L1077)),"")</f>
        <v/>
      </c>
      <c r="G1077" s="21">
        <f>IF($L1077&lt;&gt;"",IF(INDEX(SCOp,$L1077)="مرجوعی فروش","",IF(INDEX(SCAmount,$L1077)&lt;=0,"",INDEX(SCAmount,$L1077))),IF($M1077&lt;&gt;"",IF(INDEX(LdgWitB,$M1077)=0,"",INDEX(LdgWitB,$M1077)),""))</f>
        <v/>
      </c>
      <c r="H1077" s="21">
        <f>IF($L1077&lt;&gt;"",IF(INDEX(SCOp,$L1077)="مرجوعی فروش",IF(INDEX(SCAmount,$L1077)=0,"",-INDEX(SCAmount,$L1077)),""),IF($M1077&lt;&gt;"",IF(INDEX(LdgDepB,$M1077)=0,"",INDEX(LdgDepB,$M1077)),""))</f>
        <v/>
      </c>
      <c r="I1077" s="22">
        <f>IF($B1077="","",IF($I1076="",$C$10,$I1076)+IF($G1077="",0,$G1077)-IF($H1077="",0,$H1077))</f>
        <v/>
      </c>
      <c r="L1077">
        <f>IFERROR(MATCH($C$5&amp;"|"&amp;RIGHT("000000"&amp;1061,6),LdgRankKeyA,0),"")</f>
        <v/>
      </c>
      <c r="M1077">
        <f>IFERROR(MATCH($C$5&amp;"|"&amp;RIGHT("000000"&amp;1061,6),LdgRankKeyB,0),"")</f>
        <v/>
      </c>
    </row>
    <row r="1078">
      <c r="A1078" s="23" t="n">
        <v>1062</v>
      </c>
      <c r="B1078" s="24">
        <f>IF(AND($L1078="",$M1078=""),"",IF($L1078&lt;&gt;"",INDEX(SCNormDate,$L1078),INDEX(LdgDateB,$M1078)))</f>
        <v/>
      </c>
      <c r="C1078" s="24">
        <f>IF($L1078&lt;&gt;"",INDEX(SCOp,$L1078),IF($M1078&lt;&gt;"","پرداخت بانکی",""))</f>
        <v/>
      </c>
      <c r="D1078" s="24">
        <f>IF($L1078&lt;&gt;"",IF(INDEX(SCDoc,$L1078)="","—",INDEX(SCDoc,$L1078)),IF($M1078&lt;&gt;"",INDEX(LdgBankB,$M1078),""))</f>
        <v/>
      </c>
      <c r="E1078" s="25">
        <f>IF($L1078&lt;&gt;"",IF(INDEX(SCCitrus,$L1078)&amp;INDEX(SCNotes,$L1078)="","",IF(INDEX(SCCitrus,$L1078)="","",INDEX(SCCitrus,$L1078))&amp;IF(INDEX(SCNotes,$L1078)="",""," — "&amp;INDEX(SCNotes,$L1078))),IF($M1078&lt;&gt;"",IF(INDEX(LdgNoteB,$M1078)="","—",INDEX(LdgNoteB,$M1078)),""))</f>
        <v/>
      </c>
      <c r="F1078" s="26">
        <f>IF($L1078&lt;&gt;"",IF(INDEX(SCNet,$L1078)=0,"",INDEX(SCNet,$L1078)),"")</f>
        <v/>
      </c>
      <c r="G1078" s="27">
        <f>IF($L1078&lt;&gt;"",IF(INDEX(SCOp,$L1078)="مرجوعی فروش","",IF(INDEX(SCAmount,$L1078)&lt;=0,"",INDEX(SCAmount,$L1078))),IF($M1078&lt;&gt;"",IF(INDEX(LdgWitB,$M1078)=0,"",INDEX(LdgWitB,$M1078)),""))</f>
        <v/>
      </c>
      <c r="H1078" s="27">
        <f>IF($L1078&lt;&gt;"",IF(INDEX(SCOp,$L1078)="مرجوعی فروش",IF(INDEX(SCAmount,$L1078)=0,"",-INDEX(SCAmount,$L1078)),""),IF($M1078&lt;&gt;"",IF(INDEX(LdgDepB,$M1078)=0,"",INDEX(LdgDepB,$M1078)),""))</f>
        <v/>
      </c>
      <c r="I1078" s="28">
        <f>IF($B1078="","",IF($I1077="",$C$10,$I1077)+IF($G1078="",0,$G1078)-IF($H1078="",0,$H1078))</f>
        <v/>
      </c>
      <c r="L1078">
        <f>IFERROR(MATCH($C$5&amp;"|"&amp;RIGHT("000000"&amp;1062,6),LdgRankKeyA,0),"")</f>
        <v/>
      </c>
      <c r="M1078">
        <f>IFERROR(MATCH($C$5&amp;"|"&amp;RIGHT("000000"&amp;1062,6),LdgRankKeyB,0),"")</f>
        <v/>
      </c>
    </row>
    <row r="1079">
      <c r="A1079" s="17" t="n">
        <v>1063</v>
      </c>
      <c r="B1079" s="18">
        <f>IF(AND($L1079="",$M1079=""),"",IF($L1079&lt;&gt;"",INDEX(SCNormDate,$L1079),INDEX(LdgDateB,$M1079)))</f>
        <v/>
      </c>
      <c r="C1079" s="18">
        <f>IF($L1079&lt;&gt;"",INDEX(SCOp,$L1079),IF($M1079&lt;&gt;"","پرداخت بانکی",""))</f>
        <v/>
      </c>
      <c r="D1079" s="18">
        <f>IF($L1079&lt;&gt;"",IF(INDEX(SCDoc,$L1079)="","—",INDEX(SCDoc,$L1079)),IF($M1079&lt;&gt;"",INDEX(LdgBankB,$M1079),""))</f>
        <v/>
      </c>
      <c r="E1079" s="19">
        <f>IF($L1079&lt;&gt;"",IF(INDEX(SCCitrus,$L1079)&amp;INDEX(SCNotes,$L1079)="","",IF(INDEX(SCCitrus,$L1079)="","",INDEX(SCCitrus,$L1079))&amp;IF(INDEX(SCNotes,$L1079)="",""," — "&amp;INDEX(SCNotes,$L1079))),IF($M1079&lt;&gt;"",IF(INDEX(LdgNoteB,$M1079)="","—",INDEX(LdgNoteB,$M1079)),""))</f>
        <v/>
      </c>
      <c r="F1079" s="20">
        <f>IF($L1079&lt;&gt;"",IF(INDEX(SCNet,$L1079)=0,"",INDEX(SCNet,$L1079)),"")</f>
        <v/>
      </c>
      <c r="G1079" s="21">
        <f>IF($L1079&lt;&gt;"",IF(INDEX(SCOp,$L1079)="مرجوعی فروش","",IF(INDEX(SCAmount,$L1079)&lt;=0,"",INDEX(SCAmount,$L1079))),IF($M1079&lt;&gt;"",IF(INDEX(LdgWitB,$M1079)=0,"",INDEX(LdgWitB,$M1079)),""))</f>
        <v/>
      </c>
      <c r="H1079" s="21">
        <f>IF($L1079&lt;&gt;"",IF(INDEX(SCOp,$L1079)="مرجوعی فروش",IF(INDEX(SCAmount,$L1079)=0,"",-INDEX(SCAmount,$L1079)),""),IF($M1079&lt;&gt;"",IF(INDEX(LdgDepB,$M1079)=0,"",INDEX(LdgDepB,$M1079)),""))</f>
        <v/>
      </c>
      <c r="I1079" s="22">
        <f>IF($B1079="","",IF($I1078="",$C$10,$I1078)+IF($G1079="",0,$G1079)-IF($H1079="",0,$H1079))</f>
        <v/>
      </c>
      <c r="L1079">
        <f>IFERROR(MATCH($C$5&amp;"|"&amp;RIGHT("000000"&amp;1063,6),LdgRankKeyA,0),"")</f>
        <v/>
      </c>
      <c r="M1079">
        <f>IFERROR(MATCH($C$5&amp;"|"&amp;RIGHT("000000"&amp;1063,6),LdgRankKeyB,0),"")</f>
        <v/>
      </c>
    </row>
    <row r="1080">
      <c r="A1080" s="23" t="n">
        <v>1064</v>
      </c>
      <c r="B1080" s="24">
        <f>IF(AND($L1080="",$M1080=""),"",IF($L1080&lt;&gt;"",INDEX(SCNormDate,$L1080),INDEX(LdgDateB,$M1080)))</f>
        <v/>
      </c>
      <c r="C1080" s="24">
        <f>IF($L1080&lt;&gt;"",INDEX(SCOp,$L1080),IF($M1080&lt;&gt;"","پرداخت بانکی",""))</f>
        <v/>
      </c>
      <c r="D1080" s="24">
        <f>IF($L1080&lt;&gt;"",IF(INDEX(SCDoc,$L1080)="","—",INDEX(SCDoc,$L1080)),IF($M1080&lt;&gt;"",INDEX(LdgBankB,$M1080),""))</f>
        <v/>
      </c>
      <c r="E1080" s="25">
        <f>IF($L1080&lt;&gt;"",IF(INDEX(SCCitrus,$L1080)&amp;INDEX(SCNotes,$L1080)="","",IF(INDEX(SCCitrus,$L1080)="","",INDEX(SCCitrus,$L1080))&amp;IF(INDEX(SCNotes,$L1080)="",""," — "&amp;INDEX(SCNotes,$L1080))),IF($M1080&lt;&gt;"",IF(INDEX(LdgNoteB,$M1080)="","—",INDEX(LdgNoteB,$M1080)),""))</f>
        <v/>
      </c>
      <c r="F1080" s="26">
        <f>IF($L1080&lt;&gt;"",IF(INDEX(SCNet,$L1080)=0,"",INDEX(SCNet,$L1080)),"")</f>
        <v/>
      </c>
      <c r="G1080" s="27">
        <f>IF($L1080&lt;&gt;"",IF(INDEX(SCOp,$L1080)="مرجوعی فروش","",IF(INDEX(SCAmount,$L1080)&lt;=0,"",INDEX(SCAmount,$L1080))),IF($M1080&lt;&gt;"",IF(INDEX(LdgWitB,$M1080)=0,"",INDEX(LdgWitB,$M1080)),""))</f>
        <v/>
      </c>
      <c r="H1080" s="27">
        <f>IF($L1080&lt;&gt;"",IF(INDEX(SCOp,$L1080)="مرجوعی فروش",IF(INDEX(SCAmount,$L1080)=0,"",-INDEX(SCAmount,$L1080)),""),IF($M1080&lt;&gt;"",IF(INDEX(LdgDepB,$M1080)=0,"",INDEX(LdgDepB,$M1080)),""))</f>
        <v/>
      </c>
      <c r="I1080" s="28">
        <f>IF($B1080="","",IF($I1079="",$C$10,$I1079)+IF($G1080="",0,$G1080)-IF($H1080="",0,$H1080))</f>
        <v/>
      </c>
      <c r="L1080">
        <f>IFERROR(MATCH($C$5&amp;"|"&amp;RIGHT("000000"&amp;1064,6),LdgRankKeyA,0),"")</f>
        <v/>
      </c>
      <c r="M1080">
        <f>IFERROR(MATCH($C$5&amp;"|"&amp;RIGHT("000000"&amp;1064,6),LdgRankKeyB,0),"")</f>
        <v/>
      </c>
    </row>
    <row r="1081">
      <c r="A1081" s="17" t="n">
        <v>1065</v>
      </c>
      <c r="B1081" s="18">
        <f>IF(AND($L1081="",$M1081=""),"",IF($L1081&lt;&gt;"",INDEX(SCNormDate,$L1081),INDEX(LdgDateB,$M1081)))</f>
        <v/>
      </c>
      <c r="C1081" s="18">
        <f>IF($L1081&lt;&gt;"",INDEX(SCOp,$L1081),IF($M1081&lt;&gt;"","پرداخت بانکی",""))</f>
        <v/>
      </c>
      <c r="D1081" s="18">
        <f>IF($L1081&lt;&gt;"",IF(INDEX(SCDoc,$L1081)="","—",INDEX(SCDoc,$L1081)),IF($M1081&lt;&gt;"",INDEX(LdgBankB,$M1081),""))</f>
        <v/>
      </c>
      <c r="E1081" s="19">
        <f>IF($L1081&lt;&gt;"",IF(INDEX(SCCitrus,$L1081)&amp;INDEX(SCNotes,$L1081)="","",IF(INDEX(SCCitrus,$L1081)="","",INDEX(SCCitrus,$L1081))&amp;IF(INDEX(SCNotes,$L1081)="",""," — "&amp;INDEX(SCNotes,$L1081))),IF($M1081&lt;&gt;"",IF(INDEX(LdgNoteB,$M1081)="","—",INDEX(LdgNoteB,$M1081)),""))</f>
        <v/>
      </c>
      <c r="F1081" s="20">
        <f>IF($L1081&lt;&gt;"",IF(INDEX(SCNet,$L1081)=0,"",INDEX(SCNet,$L1081)),"")</f>
        <v/>
      </c>
      <c r="G1081" s="21">
        <f>IF($L1081&lt;&gt;"",IF(INDEX(SCOp,$L1081)="مرجوعی فروش","",IF(INDEX(SCAmount,$L1081)&lt;=0,"",INDEX(SCAmount,$L1081))),IF($M1081&lt;&gt;"",IF(INDEX(LdgWitB,$M1081)=0,"",INDEX(LdgWitB,$M1081)),""))</f>
        <v/>
      </c>
      <c r="H1081" s="21">
        <f>IF($L1081&lt;&gt;"",IF(INDEX(SCOp,$L1081)="مرجوعی فروش",IF(INDEX(SCAmount,$L1081)=0,"",-INDEX(SCAmount,$L1081)),""),IF($M1081&lt;&gt;"",IF(INDEX(LdgDepB,$M1081)=0,"",INDEX(LdgDepB,$M1081)),""))</f>
        <v/>
      </c>
      <c r="I1081" s="22">
        <f>IF($B1081="","",IF($I1080="",$C$10,$I1080)+IF($G1081="",0,$G1081)-IF($H1081="",0,$H1081))</f>
        <v/>
      </c>
      <c r="L1081">
        <f>IFERROR(MATCH($C$5&amp;"|"&amp;RIGHT("000000"&amp;1065,6),LdgRankKeyA,0),"")</f>
        <v/>
      </c>
      <c r="M1081">
        <f>IFERROR(MATCH($C$5&amp;"|"&amp;RIGHT("000000"&amp;1065,6),LdgRankKeyB,0),"")</f>
        <v/>
      </c>
    </row>
    <row r="1082">
      <c r="A1082" s="23" t="n">
        <v>1066</v>
      </c>
      <c r="B1082" s="24">
        <f>IF(AND($L1082="",$M1082=""),"",IF($L1082&lt;&gt;"",INDEX(SCNormDate,$L1082),INDEX(LdgDateB,$M1082)))</f>
        <v/>
      </c>
      <c r="C1082" s="24">
        <f>IF($L1082&lt;&gt;"",INDEX(SCOp,$L1082),IF($M1082&lt;&gt;"","پرداخت بانکی",""))</f>
        <v/>
      </c>
      <c r="D1082" s="24">
        <f>IF($L1082&lt;&gt;"",IF(INDEX(SCDoc,$L1082)="","—",INDEX(SCDoc,$L1082)),IF($M1082&lt;&gt;"",INDEX(LdgBankB,$M1082),""))</f>
        <v/>
      </c>
      <c r="E1082" s="25">
        <f>IF($L1082&lt;&gt;"",IF(INDEX(SCCitrus,$L1082)&amp;INDEX(SCNotes,$L1082)="","",IF(INDEX(SCCitrus,$L1082)="","",INDEX(SCCitrus,$L1082))&amp;IF(INDEX(SCNotes,$L1082)="",""," — "&amp;INDEX(SCNotes,$L1082))),IF($M1082&lt;&gt;"",IF(INDEX(LdgNoteB,$M1082)="","—",INDEX(LdgNoteB,$M1082)),""))</f>
        <v/>
      </c>
      <c r="F1082" s="26">
        <f>IF($L1082&lt;&gt;"",IF(INDEX(SCNet,$L1082)=0,"",INDEX(SCNet,$L1082)),"")</f>
        <v/>
      </c>
      <c r="G1082" s="27">
        <f>IF($L1082&lt;&gt;"",IF(INDEX(SCOp,$L1082)="مرجوعی فروش","",IF(INDEX(SCAmount,$L1082)&lt;=0,"",INDEX(SCAmount,$L1082))),IF($M1082&lt;&gt;"",IF(INDEX(LdgWitB,$M1082)=0,"",INDEX(LdgWitB,$M1082)),""))</f>
        <v/>
      </c>
      <c r="H1082" s="27">
        <f>IF($L1082&lt;&gt;"",IF(INDEX(SCOp,$L1082)="مرجوعی فروش",IF(INDEX(SCAmount,$L1082)=0,"",-INDEX(SCAmount,$L1082)),""),IF($M1082&lt;&gt;"",IF(INDEX(LdgDepB,$M1082)=0,"",INDEX(LdgDepB,$M1082)),""))</f>
        <v/>
      </c>
      <c r="I1082" s="28">
        <f>IF($B1082="","",IF($I1081="",$C$10,$I1081)+IF($G1082="",0,$G1082)-IF($H1082="",0,$H1082))</f>
        <v/>
      </c>
      <c r="L1082">
        <f>IFERROR(MATCH($C$5&amp;"|"&amp;RIGHT("000000"&amp;1066,6),LdgRankKeyA,0),"")</f>
        <v/>
      </c>
      <c r="M1082">
        <f>IFERROR(MATCH($C$5&amp;"|"&amp;RIGHT("000000"&amp;1066,6),LdgRankKeyB,0),"")</f>
        <v/>
      </c>
    </row>
    <row r="1083">
      <c r="A1083" s="17" t="n">
        <v>1067</v>
      </c>
      <c r="B1083" s="18">
        <f>IF(AND($L1083="",$M1083=""),"",IF($L1083&lt;&gt;"",INDEX(SCNormDate,$L1083),INDEX(LdgDateB,$M1083)))</f>
        <v/>
      </c>
      <c r="C1083" s="18">
        <f>IF($L1083&lt;&gt;"",INDEX(SCOp,$L1083),IF($M1083&lt;&gt;"","پرداخت بانکی",""))</f>
        <v/>
      </c>
      <c r="D1083" s="18">
        <f>IF($L1083&lt;&gt;"",IF(INDEX(SCDoc,$L1083)="","—",INDEX(SCDoc,$L1083)),IF($M1083&lt;&gt;"",INDEX(LdgBankB,$M1083),""))</f>
        <v/>
      </c>
      <c r="E1083" s="19">
        <f>IF($L1083&lt;&gt;"",IF(INDEX(SCCitrus,$L1083)&amp;INDEX(SCNotes,$L1083)="","",IF(INDEX(SCCitrus,$L1083)="","",INDEX(SCCitrus,$L1083))&amp;IF(INDEX(SCNotes,$L1083)="",""," — "&amp;INDEX(SCNotes,$L1083))),IF($M1083&lt;&gt;"",IF(INDEX(LdgNoteB,$M1083)="","—",INDEX(LdgNoteB,$M1083)),""))</f>
        <v/>
      </c>
      <c r="F1083" s="20">
        <f>IF($L1083&lt;&gt;"",IF(INDEX(SCNet,$L1083)=0,"",INDEX(SCNet,$L1083)),"")</f>
        <v/>
      </c>
      <c r="G1083" s="21">
        <f>IF($L1083&lt;&gt;"",IF(INDEX(SCOp,$L1083)="مرجوعی فروش","",IF(INDEX(SCAmount,$L1083)&lt;=0,"",INDEX(SCAmount,$L1083))),IF($M1083&lt;&gt;"",IF(INDEX(LdgWitB,$M1083)=0,"",INDEX(LdgWitB,$M1083)),""))</f>
        <v/>
      </c>
      <c r="H1083" s="21">
        <f>IF($L1083&lt;&gt;"",IF(INDEX(SCOp,$L1083)="مرجوعی فروش",IF(INDEX(SCAmount,$L1083)=0,"",-INDEX(SCAmount,$L1083)),""),IF($M1083&lt;&gt;"",IF(INDEX(LdgDepB,$M1083)=0,"",INDEX(LdgDepB,$M1083)),""))</f>
        <v/>
      </c>
      <c r="I1083" s="22">
        <f>IF($B1083="","",IF($I1082="",$C$10,$I1082)+IF($G1083="",0,$G1083)-IF($H1083="",0,$H1083))</f>
        <v/>
      </c>
      <c r="L1083">
        <f>IFERROR(MATCH($C$5&amp;"|"&amp;RIGHT("000000"&amp;1067,6),LdgRankKeyA,0),"")</f>
        <v/>
      </c>
      <c r="M1083">
        <f>IFERROR(MATCH($C$5&amp;"|"&amp;RIGHT("000000"&amp;1067,6),LdgRankKeyB,0),"")</f>
        <v/>
      </c>
    </row>
    <row r="1084">
      <c r="A1084" s="23" t="n">
        <v>1068</v>
      </c>
      <c r="B1084" s="24">
        <f>IF(AND($L1084="",$M1084=""),"",IF($L1084&lt;&gt;"",INDEX(SCNormDate,$L1084),INDEX(LdgDateB,$M1084)))</f>
        <v/>
      </c>
      <c r="C1084" s="24">
        <f>IF($L1084&lt;&gt;"",INDEX(SCOp,$L1084),IF($M1084&lt;&gt;"","پرداخت بانکی",""))</f>
        <v/>
      </c>
      <c r="D1084" s="24">
        <f>IF($L1084&lt;&gt;"",IF(INDEX(SCDoc,$L1084)="","—",INDEX(SCDoc,$L1084)),IF($M1084&lt;&gt;"",INDEX(LdgBankB,$M1084),""))</f>
        <v/>
      </c>
      <c r="E1084" s="25">
        <f>IF($L1084&lt;&gt;"",IF(INDEX(SCCitrus,$L1084)&amp;INDEX(SCNotes,$L1084)="","",IF(INDEX(SCCitrus,$L1084)="","",INDEX(SCCitrus,$L1084))&amp;IF(INDEX(SCNotes,$L1084)="",""," — "&amp;INDEX(SCNotes,$L1084))),IF($M1084&lt;&gt;"",IF(INDEX(LdgNoteB,$M1084)="","—",INDEX(LdgNoteB,$M1084)),""))</f>
        <v/>
      </c>
      <c r="F1084" s="26">
        <f>IF($L1084&lt;&gt;"",IF(INDEX(SCNet,$L1084)=0,"",INDEX(SCNet,$L1084)),"")</f>
        <v/>
      </c>
      <c r="G1084" s="27">
        <f>IF($L1084&lt;&gt;"",IF(INDEX(SCOp,$L1084)="مرجوعی فروش","",IF(INDEX(SCAmount,$L1084)&lt;=0,"",INDEX(SCAmount,$L1084))),IF($M1084&lt;&gt;"",IF(INDEX(LdgWitB,$M1084)=0,"",INDEX(LdgWitB,$M1084)),""))</f>
        <v/>
      </c>
      <c r="H1084" s="27">
        <f>IF($L1084&lt;&gt;"",IF(INDEX(SCOp,$L1084)="مرجوعی فروش",IF(INDEX(SCAmount,$L1084)=0,"",-INDEX(SCAmount,$L1084)),""),IF($M1084&lt;&gt;"",IF(INDEX(LdgDepB,$M1084)=0,"",INDEX(LdgDepB,$M1084)),""))</f>
        <v/>
      </c>
      <c r="I1084" s="28">
        <f>IF($B1084="","",IF($I1083="",$C$10,$I1083)+IF($G1084="",0,$G1084)-IF($H1084="",0,$H1084))</f>
        <v/>
      </c>
      <c r="L1084">
        <f>IFERROR(MATCH($C$5&amp;"|"&amp;RIGHT("000000"&amp;1068,6),LdgRankKeyA,0),"")</f>
        <v/>
      </c>
      <c r="M1084">
        <f>IFERROR(MATCH($C$5&amp;"|"&amp;RIGHT("000000"&amp;1068,6),LdgRankKeyB,0),"")</f>
        <v/>
      </c>
    </row>
    <row r="1085">
      <c r="A1085" s="17" t="n">
        <v>1069</v>
      </c>
      <c r="B1085" s="18">
        <f>IF(AND($L1085="",$M1085=""),"",IF($L1085&lt;&gt;"",INDEX(SCNormDate,$L1085),INDEX(LdgDateB,$M1085)))</f>
        <v/>
      </c>
      <c r="C1085" s="18">
        <f>IF($L1085&lt;&gt;"",INDEX(SCOp,$L1085),IF($M1085&lt;&gt;"","پرداخت بانکی",""))</f>
        <v/>
      </c>
      <c r="D1085" s="18">
        <f>IF($L1085&lt;&gt;"",IF(INDEX(SCDoc,$L1085)="","—",INDEX(SCDoc,$L1085)),IF($M1085&lt;&gt;"",INDEX(LdgBankB,$M1085),""))</f>
        <v/>
      </c>
      <c r="E1085" s="19">
        <f>IF($L1085&lt;&gt;"",IF(INDEX(SCCitrus,$L1085)&amp;INDEX(SCNotes,$L1085)="","",IF(INDEX(SCCitrus,$L1085)="","",INDEX(SCCitrus,$L1085))&amp;IF(INDEX(SCNotes,$L1085)="",""," — "&amp;INDEX(SCNotes,$L1085))),IF($M1085&lt;&gt;"",IF(INDEX(LdgNoteB,$M1085)="","—",INDEX(LdgNoteB,$M1085)),""))</f>
        <v/>
      </c>
      <c r="F1085" s="20">
        <f>IF($L1085&lt;&gt;"",IF(INDEX(SCNet,$L1085)=0,"",INDEX(SCNet,$L1085)),"")</f>
        <v/>
      </c>
      <c r="G1085" s="21">
        <f>IF($L1085&lt;&gt;"",IF(INDEX(SCOp,$L1085)="مرجوعی فروش","",IF(INDEX(SCAmount,$L1085)&lt;=0,"",INDEX(SCAmount,$L1085))),IF($M1085&lt;&gt;"",IF(INDEX(LdgWitB,$M1085)=0,"",INDEX(LdgWitB,$M1085)),""))</f>
        <v/>
      </c>
      <c r="H1085" s="21">
        <f>IF($L1085&lt;&gt;"",IF(INDEX(SCOp,$L1085)="مرجوعی فروش",IF(INDEX(SCAmount,$L1085)=0,"",-INDEX(SCAmount,$L1085)),""),IF($M1085&lt;&gt;"",IF(INDEX(LdgDepB,$M1085)=0,"",INDEX(LdgDepB,$M1085)),""))</f>
        <v/>
      </c>
      <c r="I1085" s="22">
        <f>IF($B1085="","",IF($I1084="",$C$10,$I1084)+IF($G1085="",0,$G1085)-IF($H1085="",0,$H1085))</f>
        <v/>
      </c>
      <c r="L1085">
        <f>IFERROR(MATCH($C$5&amp;"|"&amp;RIGHT("000000"&amp;1069,6),LdgRankKeyA,0),"")</f>
        <v/>
      </c>
      <c r="M1085">
        <f>IFERROR(MATCH($C$5&amp;"|"&amp;RIGHT("000000"&amp;1069,6),LdgRankKeyB,0),"")</f>
        <v/>
      </c>
    </row>
    <row r="1086">
      <c r="A1086" s="23" t="n">
        <v>1070</v>
      </c>
      <c r="B1086" s="24">
        <f>IF(AND($L1086="",$M1086=""),"",IF($L1086&lt;&gt;"",INDEX(SCNormDate,$L1086),INDEX(LdgDateB,$M1086)))</f>
        <v/>
      </c>
      <c r="C1086" s="24">
        <f>IF($L1086&lt;&gt;"",INDEX(SCOp,$L1086),IF($M1086&lt;&gt;"","پرداخت بانکی",""))</f>
        <v/>
      </c>
      <c r="D1086" s="24">
        <f>IF($L1086&lt;&gt;"",IF(INDEX(SCDoc,$L1086)="","—",INDEX(SCDoc,$L1086)),IF($M1086&lt;&gt;"",INDEX(LdgBankB,$M1086),""))</f>
        <v/>
      </c>
      <c r="E1086" s="25">
        <f>IF($L1086&lt;&gt;"",IF(INDEX(SCCitrus,$L1086)&amp;INDEX(SCNotes,$L1086)="","",IF(INDEX(SCCitrus,$L1086)="","",INDEX(SCCitrus,$L1086))&amp;IF(INDEX(SCNotes,$L1086)="",""," — "&amp;INDEX(SCNotes,$L1086))),IF($M1086&lt;&gt;"",IF(INDEX(LdgNoteB,$M1086)="","—",INDEX(LdgNoteB,$M1086)),""))</f>
        <v/>
      </c>
      <c r="F1086" s="26">
        <f>IF($L1086&lt;&gt;"",IF(INDEX(SCNet,$L1086)=0,"",INDEX(SCNet,$L1086)),"")</f>
        <v/>
      </c>
      <c r="G1086" s="27">
        <f>IF($L1086&lt;&gt;"",IF(INDEX(SCOp,$L1086)="مرجوعی فروش","",IF(INDEX(SCAmount,$L1086)&lt;=0,"",INDEX(SCAmount,$L1086))),IF($M1086&lt;&gt;"",IF(INDEX(LdgWitB,$M1086)=0,"",INDEX(LdgWitB,$M1086)),""))</f>
        <v/>
      </c>
      <c r="H1086" s="27">
        <f>IF($L1086&lt;&gt;"",IF(INDEX(SCOp,$L1086)="مرجوعی فروش",IF(INDEX(SCAmount,$L1086)=0,"",-INDEX(SCAmount,$L1086)),""),IF($M1086&lt;&gt;"",IF(INDEX(LdgDepB,$M1086)=0,"",INDEX(LdgDepB,$M1086)),""))</f>
        <v/>
      </c>
      <c r="I1086" s="28">
        <f>IF($B1086="","",IF($I1085="",$C$10,$I1085)+IF($G1086="",0,$G1086)-IF($H1086="",0,$H1086))</f>
        <v/>
      </c>
      <c r="L1086">
        <f>IFERROR(MATCH($C$5&amp;"|"&amp;RIGHT("000000"&amp;1070,6),LdgRankKeyA,0),"")</f>
        <v/>
      </c>
      <c r="M1086">
        <f>IFERROR(MATCH($C$5&amp;"|"&amp;RIGHT("000000"&amp;1070,6),LdgRankKeyB,0),"")</f>
        <v/>
      </c>
    </row>
    <row r="1087">
      <c r="A1087" s="17" t="n">
        <v>1071</v>
      </c>
      <c r="B1087" s="18">
        <f>IF(AND($L1087="",$M1087=""),"",IF($L1087&lt;&gt;"",INDEX(SCNormDate,$L1087),INDEX(LdgDateB,$M1087)))</f>
        <v/>
      </c>
      <c r="C1087" s="18">
        <f>IF($L1087&lt;&gt;"",INDEX(SCOp,$L1087),IF($M1087&lt;&gt;"","پرداخت بانکی",""))</f>
        <v/>
      </c>
      <c r="D1087" s="18">
        <f>IF($L1087&lt;&gt;"",IF(INDEX(SCDoc,$L1087)="","—",INDEX(SCDoc,$L1087)),IF($M1087&lt;&gt;"",INDEX(LdgBankB,$M1087),""))</f>
        <v/>
      </c>
      <c r="E1087" s="19">
        <f>IF($L1087&lt;&gt;"",IF(INDEX(SCCitrus,$L1087)&amp;INDEX(SCNotes,$L1087)="","",IF(INDEX(SCCitrus,$L1087)="","",INDEX(SCCitrus,$L1087))&amp;IF(INDEX(SCNotes,$L1087)="",""," — "&amp;INDEX(SCNotes,$L1087))),IF($M1087&lt;&gt;"",IF(INDEX(LdgNoteB,$M1087)="","—",INDEX(LdgNoteB,$M1087)),""))</f>
        <v/>
      </c>
      <c r="F1087" s="20">
        <f>IF($L1087&lt;&gt;"",IF(INDEX(SCNet,$L1087)=0,"",INDEX(SCNet,$L1087)),"")</f>
        <v/>
      </c>
      <c r="G1087" s="21">
        <f>IF($L1087&lt;&gt;"",IF(INDEX(SCOp,$L1087)="مرجوعی فروش","",IF(INDEX(SCAmount,$L1087)&lt;=0,"",INDEX(SCAmount,$L1087))),IF($M1087&lt;&gt;"",IF(INDEX(LdgWitB,$M1087)=0,"",INDEX(LdgWitB,$M1087)),""))</f>
        <v/>
      </c>
      <c r="H1087" s="21">
        <f>IF($L1087&lt;&gt;"",IF(INDEX(SCOp,$L1087)="مرجوعی فروش",IF(INDEX(SCAmount,$L1087)=0,"",-INDEX(SCAmount,$L1087)),""),IF($M1087&lt;&gt;"",IF(INDEX(LdgDepB,$M1087)=0,"",INDEX(LdgDepB,$M1087)),""))</f>
        <v/>
      </c>
      <c r="I1087" s="22">
        <f>IF($B1087="","",IF($I1086="",$C$10,$I1086)+IF($G1087="",0,$G1087)-IF($H1087="",0,$H1087))</f>
        <v/>
      </c>
      <c r="L1087">
        <f>IFERROR(MATCH($C$5&amp;"|"&amp;RIGHT("000000"&amp;1071,6),LdgRankKeyA,0),"")</f>
        <v/>
      </c>
      <c r="M1087">
        <f>IFERROR(MATCH($C$5&amp;"|"&amp;RIGHT("000000"&amp;1071,6),LdgRankKeyB,0),"")</f>
        <v/>
      </c>
    </row>
    <row r="1088">
      <c r="A1088" s="23" t="n">
        <v>1072</v>
      </c>
      <c r="B1088" s="24">
        <f>IF(AND($L1088="",$M1088=""),"",IF($L1088&lt;&gt;"",INDEX(SCNormDate,$L1088),INDEX(LdgDateB,$M1088)))</f>
        <v/>
      </c>
      <c r="C1088" s="24">
        <f>IF($L1088&lt;&gt;"",INDEX(SCOp,$L1088),IF($M1088&lt;&gt;"","پرداخت بانکی",""))</f>
        <v/>
      </c>
      <c r="D1088" s="24">
        <f>IF($L1088&lt;&gt;"",IF(INDEX(SCDoc,$L1088)="","—",INDEX(SCDoc,$L1088)),IF($M1088&lt;&gt;"",INDEX(LdgBankB,$M1088),""))</f>
        <v/>
      </c>
      <c r="E1088" s="25">
        <f>IF($L1088&lt;&gt;"",IF(INDEX(SCCitrus,$L1088)&amp;INDEX(SCNotes,$L1088)="","",IF(INDEX(SCCitrus,$L1088)="","",INDEX(SCCitrus,$L1088))&amp;IF(INDEX(SCNotes,$L1088)="",""," — "&amp;INDEX(SCNotes,$L1088))),IF($M1088&lt;&gt;"",IF(INDEX(LdgNoteB,$M1088)="","—",INDEX(LdgNoteB,$M1088)),""))</f>
        <v/>
      </c>
      <c r="F1088" s="26">
        <f>IF($L1088&lt;&gt;"",IF(INDEX(SCNet,$L1088)=0,"",INDEX(SCNet,$L1088)),"")</f>
        <v/>
      </c>
      <c r="G1088" s="27">
        <f>IF($L1088&lt;&gt;"",IF(INDEX(SCOp,$L1088)="مرجوعی فروش","",IF(INDEX(SCAmount,$L1088)&lt;=0,"",INDEX(SCAmount,$L1088))),IF($M1088&lt;&gt;"",IF(INDEX(LdgWitB,$M1088)=0,"",INDEX(LdgWitB,$M1088)),""))</f>
        <v/>
      </c>
      <c r="H1088" s="27">
        <f>IF($L1088&lt;&gt;"",IF(INDEX(SCOp,$L1088)="مرجوعی فروش",IF(INDEX(SCAmount,$L1088)=0,"",-INDEX(SCAmount,$L1088)),""),IF($M1088&lt;&gt;"",IF(INDEX(LdgDepB,$M1088)=0,"",INDEX(LdgDepB,$M1088)),""))</f>
        <v/>
      </c>
      <c r="I1088" s="28">
        <f>IF($B1088="","",IF($I1087="",$C$10,$I1087)+IF($G1088="",0,$G1088)-IF($H1088="",0,$H1088))</f>
        <v/>
      </c>
      <c r="L1088">
        <f>IFERROR(MATCH($C$5&amp;"|"&amp;RIGHT("000000"&amp;1072,6),LdgRankKeyA,0),"")</f>
        <v/>
      </c>
      <c r="M1088">
        <f>IFERROR(MATCH($C$5&amp;"|"&amp;RIGHT("000000"&amp;1072,6),LdgRankKeyB,0),"")</f>
        <v/>
      </c>
    </row>
    <row r="1089">
      <c r="A1089" s="17" t="n">
        <v>1073</v>
      </c>
      <c r="B1089" s="18">
        <f>IF(AND($L1089="",$M1089=""),"",IF($L1089&lt;&gt;"",INDEX(SCNormDate,$L1089),INDEX(LdgDateB,$M1089)))</f>
        <v/>
      </c>
      <c r="C1089" s="18">
        <f>IF($L1089&lt;&gt;"",INDEX(SCOp,$L1089),IF($M1089&lt;&gt;"","پرداخت بانکی",""))</f>
        <v/>
      </c>
      <c r="D1089" s="18">
        <f>IF($L1089&lt;&gt;"",IF(INDEX(SCDoc,$L1089)="","—",INDEX(SCDoc,$L1089)),IF($M1089&lt;&gt;"",INDEX(LdgBankB,$M1089),""))</f>
        <v/>
      </c>
      <c r="E1089" s="19">
        <f>IF($L1089&lt;&gt;"",IF(INDEX(SCCitrus,$L1089)&amp;INDEX(SCNotes,$L1089)="","",IF(INDEX(SCCitrus,$L1089)="","",INDEX(SCCitrus,$L1089))&amp;IF(INDEX(SCNotes,$L1089)="",""," — "&amp;INDEX(SCNotes,$L1089))),IF($M1089&lt;&gt;"",IF(INDEX(LdgNoteB,$M1089)="","—",INDEX(LdgNoteB,$M1089)),""))</f>
        <v/>
      </c>
      <c r="F1089" s="20">
        <f>IF($L1089&lt;&gt;"",IF(INDEX(SCNet,$L1089)=0,"",INDEX(SCNet,$L1089)),"")</f>
        <v/>
      </c>
      <c r="G1089" s="21">
        <f>IF($L1089&lt;&gt;"",IF(INDEX(SCOp,$L1089)="مرجوعی فروش","",IF(INDEX(SCAmount,$L1089)&lt;=0,"",INDEX(SCAmount,$L1089))),IF($M1089&lt;&gt;"",IF(INDEX(LdgWitB,$M1089)=0,"",INDEX(LdgWitB,$M1089)),""))</f>
        <v/>
      </c>
      <c r="H1089" s="21">
        <f>IF($L1089&lt;&gt;"",IF(INDEX(SCOp,$L1089)="مرجوعی فروش",IF(INDEX(SCAmount,$L1089)=0,"",-INDEX(SCAmount,$L1089)),""),IF($M1089&lt;&gt;"",IF(INDEX(LdgDepB,$M1089)=0,"",INDEX(LdgDepB,$M1089)),""))</f>
        <v/>
      </c>
      <c r="I1089" s="22">
        <f>IF($B1089="","",IF($I1088="",$C$10,$I1088)+IF($G1089="",0,$G1089)-IF($H1089="",0,$H1089))</f>
        <v/>
      </c>
      <c r="L1089">
        <f>IFERROR(MATCH($C$5&amp;"|"&amp;RIGHT("000000"&amp;1073,6),LdgRankKeyA,0),"")</f>
        <v/>
      </c>
      <c r="M1089">
        <f>IFERROR(MATCH($C$5&amp;"|"&amp;RIGHT("000000"&amp;1073,6),LdgRankKeyB,0),"")</f>
        <v/>
      </c>
    </row>
    <row r="1090">
      <c r="A1090" s="23" t="n">
        <v>1074</v>
      </c>
      <c r="B1090" s="24">
        <f>IF(AND($L1090="",$M1090=""),"",IF($L1090&lt;&gt;"",INDEX(SCNormDate,$L1090),INDEX(LdgDateB,$M1090)))</f>
        <v/>
      </c>
      <c r="C1090" s="24">
        <f>IF($L1090&lt;&gt;"",INDEX(SCOp,$L1090),IF($M1090&lt;&gt;"","پرداخت بانکی",""))</f>
        <v/>
      </c>
      <c r="D1090" s="24">
        <f>IF($L1090&lt;&gt;"",IF(INDEX(SCDoc,$L1090)="","—",INDEX(SCDoc,$L1090)),IF($M1090&lt;&gt;"",INDEX(LdgBankB,$M1090),""))</f>
        <v/>
      </c>
      <c r="E1090" s="25">
        <f>IF($L1090&lt;&gt;"",IF(INDEX(SCCitrus,$L1090)&amp;INDEX(SCNotes,$L1090)="","",IF(INDEX(SCCitrus,$L1090)="","",INDEX(SCCitrus,$L1090))&amp;IF(INDEX(SCNotes,$L1090)="",""," — "&amp;INDEX(SCNotes,$L1090))),IF($M1090&lt;&gt;"",IF(INDEX(LdgNoteB,$M1090)="","—",INDEX(LdgNoteB,$M1090)),""))</f>
        <v/>
      </c>
      <c r="F1090" s="26">
        <f>IF($L1090&lt;&gt;"",IF(INDEX(SCNet,$L1090)=0,"",INDEX(SCNet,$L1090)),"")</f>
        <v/>
      </c>
      <c r="G1090" s="27">
        <f>IF($L1090&lt;&gt;"",IF(INDEX(SCOp,$L1090)="مرجوعی فروش","",IF(INDEX(SCAmount,$L1090)&lt;=0,"",INDEX(SCAmount,$L1090))),IF($M1090&lt;&gt;"",IF(INDEX(LdgWitB,$M1090)=0,"",INDEX(LdgWitB,$M1090)),""))</f>
        <v/>
      </c>
      <c r="H1090" s="27">
        <f>IF($L1090&lt;&gt;"",IF(INDEX(SCOp,$L1090)="مرجوعی فروش",IF(INDEX(SCAmount,$L1090)=0,"",-INDEX(SCAmount,$L1090)),""),IF($M1090&lt;&gt;"",IF(INDEX(LdgDepB,$M1090)=0,"",INDEX(LdgDepB,$M1090)),""))</f>
        <v/>
      </c>
      <c r="I1090" s="28">
        <f>IF($B1090="","",IF($I1089="",$C$10,$I1089)+IF($G1090="",0,$G1090)-IF($H1090="",0,$H1090))</f>
        <v/>
      </c>
      <c r="L1090">
        <f>IFERROR(MATCH($C$5&amp;"|"&amp;RIGHT("000000"&amp;1074,6),LdgRankKeyA,0),"")</f>
        <v/>
      </c>
      <c r="M1090">
        <f>IFERROR(MATCH($C$5&amp;"|"&amp;RIGHT("000000"&amp;1074,6),LdgRankKeyB,0),"")</f>
        <v/>
      </c>
    </row>
    <row r="1091">
      <c r="A1091" s="17" t="n">
        <v>1075</v>
      </c>
      <c r="B1091" s="18">
        <f>IF(AND($L1091="",$M1091=""),"",IF($L1091&lt;&gt;"",INDEX(SCNormDate,$L1091),INDEX(LdgDateB,$M1091)))</f>
        <v/>
      </c>
      <c r="C1091" s="18">
        <f>IF($L1091&lt;&gt;"",INDEX(SCOp,$L1091),IF($M1091&lt;&gt;"","پرداخت بانکی",""))</f>
        <v/>
      </c>
      <c r="D1091" s="18">
        <f>IF($L1091&lt;&gt;"",IF(INDEX(SCDoc,$L1091)="","—",INDEX(SCDoc,$L1091)),IF($M1091&lt;&gt;"",INDEX(LdgBankB,$M1091),""))</f>
        <v/>
      </c>
      <c r="E1091" s="19">
        <f>IF($L1091&lt;&gt;"",IF(INDEX(SCCitrus,$L1091)&amp;INDEX(SCNotes,$L1091)="","",IF(INDEX(SCCitrus,$L1091)="","",INDEX(SCCitrus,$L1091))&amp;IF(INDEX(SCNotes,$L1091)="",""," — "&amp;INDEX(SCNotes,$L1091))),IF($M1091&lt;&gt;"",IF(INDEX(LdgNoteB,$M1091)="","—",INDEX(LdgNoteB,$M1091)),""))</f>
        <v/>
      </c>
      <c r="F1091" s="20">
        <f>IF($L1091&lt;&gt;"",IF(INDEX(SCNet,$L1091)=0,"",INDEX(SCNet,$L1091)),"")</f>
        <v/>
      </c>
      <c r="G1091" s="21">
        <f>IF($L1091&lt;&gt;"",IF(INDEX(SCOp,$L1091)="مرجوعی فروش","",IF(INDEX(SCAmount,$L1091)&lt;=0,"",INDEX(SCAmount,$L1091))),IF($M1091&lt;&gt;"",IF(INDEX(LdgWitB,$M1091)=0,"",INDEX(LdgWitB,$M1091)),""))</f>
        <v/>
      </c>
      <c r="H1091" s="21">
        <f>IF($L1091&lt;&gt;"",IF(INDEX(SCOp,$L1091)="مرجوعی فروش",IF(INDEX(SCAmount,$L1091)=0,"",-INDEX(SCAmount,$L1091)),""),IF($M1091&lt;&gt;"",IF(INDEX(LdgDepB,$M1091)=0,"",INDEX(LdgDepB,$M1091)),""))</f>
        <v/>
      </c>
      <c r="I1091" s="22">
        <f>IF($B1091="","",IF($I1090="",$C$10,$I1090)+IF($G1091="",0,$G1091)-IF($H1091="",0,$H1091))</f>
        <v/>
      </c>
      <c r="L1091">
        <f>IFERROR(MATCH($C$5&amp;"|"&amp;RIGHT("000000"&amp;1075,6),LdgRankKeyA,0),"")</f>
        <v/>
      </c>
      <c r="M1091">
        <f>IFERROR(MATCH($C$5&amp;"|"&amp;RIGHT("000000"&amp;1075,6),LdgRankKeyB,0),"")</f>
        <v/>
      </c>
    </row>
    <row r="1092">
      <c r="A1092" s="23" t="n">
        <v>1076</v>
      </c>
      <c r="B1092" s="24">
        <f>IF(AND($L1092="",$M1092=""),"",IF($L1092&lt;&gt;"",INDEX(SCNormDate,$L1092),INDEX(LdgDateB,$M1092)))</f>
        <v/>
      </c>
      <c r="C1092" s="24">
        <f>IF($L1092&lt;&gt;"",INDEX(SCOp,$L1092),IF($M1092&lt;&gt;"","پرداخت بانکی",""))</f>
        <v/>
      </c>
      <c r="D1092" s="24">
        <f>IF($L1092&lt;&gt;"",IF(INDEX(SCDoc,$L1092)="","—",INDEX(SCDoc,$L1092)),IF($M1092&lt;&gt;"",INDEX(LdgBankB,$M1092),""))</f>
        <v/>
      </c>
      <c r="E1092" s="25">
        <f>IF($L1092&lt;&gt;"",IF(INDEX(SCCitrus,$L1092)&amp;INDEX(SCNotes,$L1092)="","",IF(INDEX(SCCitrus,$L1092)="","",INDEX(SCCitrus,$L1092))&amp;IF(INDEX(SCNotes,$L1092)="",""," — "&amp;INDEX(SCNotes,$L1092))),IF($M1092&lt;&gt;"",IF(INDEX(LdgNoteB,$M1092)="","—",INDEX(LdgNoteB,$M1092)),""))</f>
        <v/>
      </c>
      <c r="F1092" s="26">
        <f>IF($L1092&lt;&gt;"",IF(INDEX(SCNet,$L1092)=0,"",INDEX(SCNet,$L1092)),"")</f>
        <v/>
      </c>
      <c r="G1092" s="27">
        <f>IF($L1092&lt;&gt;"",IF(INDEX(SCOp,$L1092)="مرجوعی فروش","",IF(INDEX(SCAmount,$L1092)&lt;=0,"",INDEX(SCAmount,$L1092))),IF($M1092&lt;&gt;"",IF(INDEX(LdgWitB,$M1092)=0,"",INDEX(LdgWitB,$M1092)),""))</f>
        <v/>
      </c>
      <c r="H1092" s="27">
        <f>IF($L1092&lt;&gt;"",IF(INDEX(SCOp,$L1092)="مرجوعی فروش",IF(INDEX(SCAmount,$L1092)=0,"",-INDEX(SCAmount,$L1092)),""),IF($M1092&lt;&gt;"",IF(INDEX(LdgDepB,$M1092)=0,"",INDEX(LdgDepB,$M1092)),""))</f>
        <v/>
      </c>
      <c r="I1092" s="28">
        <f>IF($B1092="","",IF($I1091="",$C$10,$I1091)+IF($G1092="",0,$G1092)-IF($H1092="",0,$H1092))</f>
        <v/>
      </c>
      <c r="L1092">
        <f>IFERROR(MATCH($C$5&amp;"|"&amp;RIGHT("000000"&amp;1076,6),LdgRankKeyA,0),"")</f>
        <v/>
      </c>
      <c r="M1092">
        <f>IFERROR(MATCH($C$5&amp;"|"&amp;RIGHT("000000"&amp;1076,6),LdgRankKeyB,0),"")</f>
        <v/>
      </c>
    </row>
    <row r="1093">
      <c r="A1093" s="17" t="n">
        <v>1077</v>
      </c>
      <c r="B1093" s="18">
        <f>IF(AND($L1093="",$M1093=""),"",IF($L1093&lt;&gt;"",INDEX(SCNormDate,$L1093),INDEX(LdgDateB,$M1093)))</f>
        <v/>
      </c>
      <c r="C1093" s="18">
        <f>IF($L1093&lt;&gt;"",INDEX(SCOp,$L1093),IF($M1093&lt;&gt;"","پرداخت بانکی",""))</f>
        <v/>
      </c>
      <c r="D1093" s="18">
        <f>IF($L1093&lt;&gt;"",IF(INDEX(SCDoc,$L1093)="","—",INDEX(SCDoc,$L1093)),IF($M1093&lt;&gt;"",INDEX(LdgBankB,$M1093),""))</f>
        <v/>
      </c>
      <c r="E1093" s="19">
        <f>IF($L1093&lt;&gt;"",IF(INDEX(SCCitrus,$L1093)&amp;INDEX(SCNotes,$L1093)="","",IF(INDEX(SCCitrus,$L1093)="","",INDEX(SCCitrus,$L1093))&amp;IF(INDEX(SCNotes,$L1093)="",""," — "&amp;INDEX(SCNotes,$L1093))),IF($M1093&lt;&gt;"",IF(INDEX(LdgNoteB,$M1093)="","—",INDEX(LdgNoteB,$M1093)),""))</f>
        <v/>
      </c>
      <c r="F1093" s="20">
        <f>IF($L1093&lt;&gt;"",IF(INDEX(SCNet,$L1093)=0,"",INDEX(SCNet,$L1093)),"")</f>
        <v/>
      </c>
      <c r="G1093" s="21">
        <f>IF($L1093&lt;&gt;"",IF(INDEX(SCOp,$L1093)="مرجوعی فروش","",IF(INDEX(SCAmount,$L1093)&lt;=0,"",INDEX(SCAmount,$L1093))),IF($M1093&lt;&gt;"",IF(INDEX(LdgWitB,$M1093)=0,"",INDEX(LdgWitB,$M1093)),""))</f>
        <v/>
      </c>
      <c r="H1093" s="21">
        <f>IF($L1093&lt;&gt;"",IF(INDEX(SCOp,$L1093)="مرجوعی فروش",IF(INDEX(SCAmount,$L1093)=0,"",-INDEX(SCAmount,$L1093)),""),IF($M1093&lt;&gt;"",IF(INDEX(LdgDepB,$M1093)=0,"",INDEX(LdgDepB,$M1093)),""))</f>
        <v/>
      </c>
      <c r="I1093" s="22">
        <f>IF($B1093="","",IF($I1092="",$C$10,$I1092)+IF($G1093="",0,$G1093)-IF($H1093="",0,$H1093))</f>
        <v/>
      </c>
      <c r="L1093">
        <f>IFERROR(MATCH($C$5&amp;"|"&amp;RIGHT("000000"&amp;1077,6),LdgRankKeyA,0),"")</f>
        <v/>
      </c>
      <c r="M1093">
        <f>IFERROR(MATCH($C$5&amp;"|"&amp;RIGHT("000000"&amp;1077,6),LdgRankKeyB,0),"")</f>
        <v/>
      </c>
    </row>
    <row r="1094">
      <c r="A1094" s="23" t="n">
        <v>1078</v>
      </c>
      <c r="B1094" s="24">
        <f>IF(AND($L1094="",$M1094=""),"",IF($L1094&lt;&gt;"",INDEX(SCNormDate,$L1094),INDEX(LdgDateB,$M1094)))</f>
        <v/>
      </c>
      <c r="C1094" s="24">
        <f>IF($L1094&lt;&gt;"",INDEX(SCOp,$L1094),IF($M1094&lt;&gt;"","پرداخت بانکی",""))</f>
        <v/>
      </c>
      <c r="D1094" s="24">
        <f>IF($L1094&lt;&gt;"",IF(INDEX(SCDoc,$L1094)="","—",INDEX(SCDoc,$L1094)),IF($M1094&lt;&gt;"",INDEX(LdgBankB,$M1094),""))</f>
        <v/>
      </c>
      <c r="E1094" s="25">
        <f>IF($L1094&lt;&gt;"",IF(INDEX(SCCitrus,$L1094)&amp;INDEX(SCNotes,$L1094)="","",IF(INDEX(SCCitrus,$L1094)="","",INDEX(SCCitrus,$L1094))&amp;IF(INDEX(SCNotes,$L1094)="",""," — "&amp;INDEX(SCNotes,$L1094))),IF($M1094&lt;&gt;"",IF(INDEX(LdgNoteB,$M1094)="","—",INDEX(LdgNoteB,$M1094)),""))</f>
        <v/>
      </c>
      <c r="F1094" s="26">
        <f>IF($L1094&lt;&gt;"",IF(INDEX(SCNet,$L1094)=0,"",INDEX(SCNet,$L1094)),"")</f>
        <v/>
      </c>
      <c r="G1094" s="27">
        <f>IF($L1094&lt;&gt;"",IF(INDEX(SCOp,$L1094)="مرجوعی فروش","",IF(INDEX(SCAmount,$L1094)&lt;=0,"",INDEX(SCAmount,$L1094))),IF($M1094&lt;&gt;"",IF(INDEX(LdgWitB,$M1094)=0,"",INDEX(LdgWitB,$M1094)),""))</f>
        <v/>
      </c>
      <c r="H1094" s="27">
        <f>IF($L1094&lt;&gt;"",IF(INDEX(SCOp,$L1094)="مرجوعی فروش",IF(INDEX(SCAmount,$L1094)=0,"",-INDEX(SCAmount,$L1094)),""),IF($M1094&lt;&gt;"",IF(INDEX(LdgDepB,$M1094)=0,"",INDEX(LdgDepB,$M1094)),""))</f>
        <v/>
      </c>
      <c r="I1094" s="28">
        <f>IF($B1094="","",IF($I1093="",$C$10,$I1093)+IF($G1094="",0,$G1094)-IF($H1094="",0,$H1094))</f>
        <v/>
      </c>
      <c r="L1094">
        <f>IFERROR(MATCH($C$5&amp;"|"&amp;RIGHT("000000"&amp;1078,6),LdgRankKeyA,0),"")</f>
        <v/>
      </c>
      <c r="M1094">
        <f>IFERROR(MATCH($C$5&amp;"|"&amp;RIGHT("000000"&amp;1078,6),LdgRankKeyB,0),"")</f>
        <v/>
      </c>
    </row>
    <row r="1095">
      <c r="A1095" s="17" t="n">
        <v>1079</v>
      </c>
      <c r="B1095" s="18">
        <f>IF(AND($L1095="",$M1095=""),"",IF($L1095&lt;&gt;"",INDEX(SCNormDate,$L1095),INDEX(LdgDateB,$M1095)))</f>
        <v/>
      </c>
      <c r="C1095" s="18">
        <f>IF($L1095&lt;&gt;"",INDEX(SCOp,$L1095),IF($M1095&lt;&gt;"","پرداخت بانکی",""))</f>
        <v/>
      </c>
      <c r="D1095" s="18">
        <f>IF($L1095&lt;&gt;"",IF(INDEX(SCDoc,$L1095)="","—",INDEX(SCDoc,$L1095)),IF($M1095&lt;&gt;"",INDEX(LdgBankB,$M1095),""))</f>
        <v/>
      </c>
      <c r="E1095" s="19">
        <f>IF($L1095&lt;&gt;"",IF(INDEX(SCCitrus,$L1095)&amp;INDEX(SCNotes,$L1095)="","",IF(INDEX(SCCitrus,$L1095)="","",INDEX(SCCitrus,$L1095))&amp;IF(INDEX(SCNotes,$L1095)="",""," — "&amp;INDEX(SCNotes,$L1095))),IF($M1095&lt;&gt;"",IF(INDEX(LdgNoteB,$M1095)="","—",INDEX(LdgNoteB,$M1095)),""))</f>
        <v/>
      </c>
      <c r="F1095" s="20">
        <f>IF($L1095&lt;&gt;"",IF(INDEX(SCNet,$L1095)=0,"",INDEX(SCNet,$L1095)),"")</f>
        <v/>
      </c>
      <c r="G1095" s="21">
        <f>IF($L1095&lt;&gt;"",IF(INDEX(SCOp,$L1095)="مرجوعی فروش","",IF(INDEX(SCAmount,$L1095)&lt;=0,"",INDEX(SCAmount,$L1095))),IF($M1095&lt;&gt;"",IF(INDEX(LdgWitB,$M1095)=0,"",INDEX(LdgWitB,$M1095)),""))</f>
        <v/>
      </c>
      <c r="H1095" s="21">
        <f>IF($L1095&lt;&gt;"",IF(INDEX(SCOp,$L1095)="مرجوعی فروش",IF(INDEX(SCAmount,$L1095)=0,"",-INDEX(SCAmount,$L1095)),""),IF($M1095&lt;&gt;"",IF(INDEX(LdgDepB,$M1095)=0,"",INDEX(LdgDepB,$M1095)),""))</f>
        <v/>
      </c>
      <c r="I1095" s="22">
        <f>IF($B1095="","",IF($I1094="",$C$10,$I1094)+IF($G1095="",0,$G1095)-IF($H1095="",0,$H1095))</f>
        <v/>
      </c>
      <c r="L1095">
        <f>IFERROR(MATCH($C$5&amp;"|"&amp;RIGHT("000000"&amp;1079,6),LdgRankKeyA,0),"")</f>
        <v/>
      </c>
      <c r="M1095">
        <f>IFERROR(MATCH($C$5&amp;"|"&amp;RIGHT("000000"&amp;1079,6),LdgRankKeyB,0),"")</f>
        <v/>
      </c>
    </row>
    <row r="1096">
      <c r="A1096" s="23" t="n">
        <v>1080</v>
      </c>
      <c r="B1096" s="24">
        <f>IF(AND($L1096="",$M1096=""),"",IF($L1096&lt;&gt;"",INDEX(SCNormDate,$L1096),INDEX(LdgDateB,$M1096)))</f>
        <v/>
      </c>
      <c r="C1096" s="24">
        <f>IF($L1096&lt;&gt;"",INDEX(SCOp,$L1096),IF($M1096&lt;&gt;"","پرداخت بانکی",""))</f>
        <v/>
      </c>
      <c r="D1096" s="24">
        <f>IF($L1096&lt;&gt;"",IF(INDEX(SCDoc,$L1096)="","—",INDEX(SCDoc,$L1096)),IF($M1096&lt;&gt;"",INDEX(LdgBankB,$M1096),""))</f>
        <v/>
      </c>
      <c r="E1096" s="25">
        <f>IF($L1096&lt;&gt;"",IF(INDEX(SCCitrus,$L1096)&amp;INDEX(SCNotes,$L1096)="","",IF(INDEX(SCCitrus,$L1096)="","",INDEX(SCCitrus,$L1096))&amp;IF(INDEX(SCNotes,$L1096)="",""," — "&amp;INDEX(SCNotes,$L1096))),IF($M1096&lt;&gt;"",IF(INDEX(LdgNoteB,$M1096)="","—",INDEX(LdgNoteB,$M1096)),""))</f>
        <v/>
      </c>
      <c r="F1096" s="26">
        <f>IF($L1096&lt;&gt;"",IF(INDEX(SCNet,$L1096)=0,"",INDEX(SCNet,$L1096)),"")</f>
        <v/>
      </c>
      <c r="G1096" s="27">
        <f>IF($L1096&lt;&gt;"",IF(INDEX(SCOp,$L1096)="مرجوعی فروش","",IF(INDEX(SCAmount,$L1096)&lt;=0,"",INDEX(SCAmount,$L1096))),IF($M1096&lt;&gt;"",IF(INDEX(LdgWitB,$M1096)=0,"",INDEX(LdgWitB,$M1096)),""))</f>
        <v/>
      </c>
      <c r="H1096" s="27">
        <f>IF($L1096&lt;&gt;"",IF(INDEX(SCOp,$L1096)="مرجوعی فروش",IF(INDEX(SCAmount,$L1096)=0,"",-INDEX(SCAmount,$L1096)),""),IF($M1096&lt;&gt;"",IF(INDEX(LdgDepB,$M1096)=0,"",INDEX(LdgDepB,$M1096)),""))</f>
        <v/>
      </c>
      <c r="I1096" s="28">
        <f>IF($B1096="","",IF($I1095="",$C$10,$I1095)+IF($G1096="",0,$G1096)-IF($H1096="",0,$H1096))</f>
        <v/>
      </c>
      <c r="L1096">
        <f>IFERROR(MATCH($C$5&amp;"|"&amp;RIGHT("000000"&amp;1080,6),LdgRankKeyA,0),"")</f>
        <v/>
      </c>
      <c r="M1096">
        <f>IFERROR(MATCH($C$5&amp;"|"&amp;RIGHT("000000"&amp;1080,6),LdgRankKeyB,0),"")</f>
        <v/>
      </c>
    </row>
    <row r="1097">
      <c r="A1097" s="17" t="n">
        <v>1081</v>
      </c>
      <c r="B1097" s="18">
        <f>IF(AND($L1097="",$M1097=""),"",IF($L1097&lt;&gt;"",INDEX(SCNormDate,$L1097),INDEX(LdgDateB,$M1097)))</f>
        <v/>
      </c>
      <c r="C1097" s="18">
        <f>IF($L1097&lt;&gt;"",INDEX(SCOp,$L1097),IF($M1097&lt;&gt;"","پرداخت بانکی",""))</f>
        <v/>
      </c>
      <c r="D1097" s="18">
        <f>IF($L1097&lt;&gt;"",IF(INDEX(SCDoc,$L1097)="","—",INDEX(SCDoc,$L1097)),IF($M1097&lt;&gt;"",INDEX(LdgBankB,$M1097),""))</f>
        <v/>
      </c>
      <c r="E1097" s="19">
        <f>IF($L1097&lt;&gt;"",IF(INDEX(SCCitrus,$L1097)&amp;INDEX(SCNotes,$L1097)="","",IF(INDEX(SCCitrus,$L1097)="","",INDEX(SCCitrus,$L1097))&amp;IF(INDEX(SCNotes,$L1097)="",""," — "&amp;INDEX(SCNotes,$L1097))),IF($M1097&lt;&gt;"",IF(INDEX(LdgNoteB,$M1097)="","—",INDEX(LdgNoteB,$M1097)),""))</f>
        <v/>
      </c>
      <c r="F1097" s="20">
        <f>IF($L1097&lt;&gt;"",IF(INDEX(SCNet,$L1097)=0,"",INDEX(SCNet,$L1097)),"")</f>
        <v/>
      </c>
      <c r="G1097" s="21">
        <f>IF($L1097&lt;&gt;"",IF(INDEX(SCOp,$L1097)="مرجوعی فروش","",IF(INDEX(SCAmount,$L1097)&lt;=0,"",INDEX(SCAmount,$L1097))),IF($M1097&lt;&gt;"",IF(INDEX(LdgWitB,$M1097)=0,"",INDEX(LdgWitB,$M1097)),""))</f>
        <v/>
      </c>
      <c r="H1097" s="21">
        <f>IF($L1097&lt;&gt;"",IF(INDEX(SCOp,$L1097)="مرجوعی فروش",IF(INDEX(SCAmount,$L1097)=0,"",-INDEX(SCAmount,$L1097)),""),IF($M1097&lt;&gt;"",IF(INDEX(LdgDepB,$M1097)=0,"",INDEX(LdgDepB,$M1097)),""))</f>
        <v/>
      </c>
      <c r="I1097" s="22">
        <f>IF($B1097="","",IF($I1096="",$C$10,$I1096)+IF($G1097="",0,$G1097)-IF($H1097="",0,$H1097))</f>
        <v/>
      </c>
      <c r="L1097">
        <f>IFERROR(MATCH($C$5&amp;"|"&amp;RIGHT("000000"&amp;1081,6),LdgRankKeyA,0),"")</f>
        <v/>
      </c>
      <c r="M1097">
        <f>IFERROR(MATCH($C$5&amp;"|"&amp;RIGHT("000000"&amp;1081,6),LdgRankKeyB,0),"")</f>
        <v/>
      </c>
    </row>
    <row r="1098">
      <c r="A1098" s="23" t="n">
        <v>1082</v>
      </c>
      <c r="B1098" s="24">
        <f>IF(AND($L1098="",$M1098=""),"",IF($L1098&lt;&gt;"",INDEX(SCNormDate,$L1098),INDEX(LdgDateB,$M1098)))</f>
        <v/>
      </c>
      <c r="C1098" s="24">
        <f>IF($L1098&lt;&gt;"",INDEX(SCOp,$L1098),IF($M1098&lt;&gt;"","پرداخت بانکی",""))</f>
        <v/>
      </c>
      <c r="D1098" s="24">
        <f>IF($L1098&lt;&gt;"",IF(INDEX(SCDoc,$L1098)="","—",INDEX(SCDoc,$L1098)),IF($M1098&lt;&gt;"",INDEX(LdgBankB,$M1098),""))</f>
        <v/>
      </c>
      <c r="E1098" s="25">
        <f>IF($L1098&lt;&gt;"",IF(INDEX(SCCitrus,$L1098)&amp;INDEX(SCNotes,$L1098)="","",IF(INDEX(SCCitrus,$L1098)="","",INDEX(SCCitrus,$L1098))&amp;IF(INDEX(SCNotes,$L1098)="",""," — "&amp;INDEX(SCNotes,$L1098))),IF($M1098&lt;&gt;"",IF(INDEX(LdgNoteB,$M1098)="","—",INDEX(LdgNoteB,$M1098)),""))</f>
        <v/>
      </c>
      <c r="F1098" s="26">
        <f>IF($L1098&lt;&gt;"",IF(INDEX(SCNet,$L1098)=0,"",INDEX(SCNet,$L1098)),"")</f>
        <v/>
      </c>
      <c r="G1098" s="27">
        <f>IF($L1098&lt;&gt;"",IF(INDEX(SCOp,$L1098)="مرجوعی فروش","",IF(INDEX(SCAmount,$L1098)&lt;=0,"",INDEX(SCAmount,$L1098))),IF($M1098&lt;&gt;"",IF(INDEX(LdgWitB,$M1098)=0,"",INDEX(LdgWitB,$M1098)),""))</f>
        <v/>
      </c>
      <c r="H1098" s="27">
        <f>IF($L1098&lt;&gt;"",IF(INDEX(SCOp,$L1098)="مرجوعی فروش",IF(INDEX(SCAmount,$L1098)=0,"",-INDEX(SCAmount,$L1098)),""),IF($M1098&lt;&gt;"",IF(INDEX(LdgDepB,$M1098)=0,"",INDEX(LdgDepB,$M1098)),""))</f>
        <v/>
      </c>
      <c r="I1098" s="28">
        <f>IF($B1098="","",IF($I1097="",$C$10,$I1097)+IF($G1098="",0,$G1098)-IF($H1098="",0,$H1098))</f>
        <v/>
      </c>
      <c r="L1098">
        <f>IFERROR(MATCH($C$5&amp;"|"&amp;RIGHT("000000"&amp;1082,6),LdgRankKeyA,0),"")</f>
        <v/>
      </c>
      <c r="M1098">
        <f>IFERROR(MATCH($C$5&amp;"|"&amp;RIGHT("000000"&amp;1082,6),LdgRankKeyB,0),"")</f>
        <v/>
      </c>
    </row>
    <row r="1099">
      <c r="A1099" s="17" t="n">
        <v>1083</v>
      </c>
      <c r="B1099" s="18">
        <f>IF(AND($L1099="",$M1099=""),"",IF($L1099&lt;&gt;"",INDEX(SCNormDate,$L1099),INDEX(LdgDateB,$M1099)))</f>
        <v/>
      </c>
      <c r="C1099" s="18">
        <f>IF($L1099&lt;&gt;"",INDEX(SCOp,$L1099),IF($M1099&lt;&gt;"","پرداخت بانکی",""))</f>
        <v/>
      </c>
      <c r="D1099" s="18">
        <f>IF($L1099&lt;&gt;"",IF(INDEX(SCDoc,$L1099)="","—",INDEX(SCDoc,$L1099)),IF($M1099&lt;&gt;"",INDEX(LdgBankB,$M1099),""))</f>
        <v/>
      </c>
      <c r="E1099" s="19">
        <f>IF($L1099&lt;&gt;"",IF(INDEX(SCCitrus,$L1099)&amp;INDEX(SCNotes,$L1099)="","",IF(INDEX(SCCitrus,$L1099)="","",INDEX(SCCitrus,$L1099))&amp;IF(INDEX(SCNotes,$L1099)="",""," — "&amp;INDEX(SCNotes,$L1099))),IF($M1099&lt;&gt;"",IF(INDEX(LdgNoteB,$M1099)="","—",INDEX(LdgNoteB,$M1099)),""))</f>
        <v/>
      </c>
      <c r="F1099" s="20">
        <f>IF($L1099&lt;&gt;"",IF(INDEX(SCNet,$L1099)=0,"",INDEX(SCNet,$L1099)),"")</f>
        <v/>
      </c>
      <c r="G1099" s="21">
        <f>IF($L1099&lt;&gt;"",IF(INDEX(SCOp,$L1099)="مرجوعی فروش","",IF(INDEX(SCAmount,$L1099)&lt;=0,"",INDEX(SCAmount,$L1099))),IF($M1099&lt;&gt;"",IF(INDEX(LdgWitB,$M1099)=0,"",INDEX(LdgWitB,$M1099)),""))</f>
        <v/>
      </c>
      <c r="H1099" s="21">
        <f>IF($L1099&lt;&gt;"",IF(INDEX(SCOp,$L1099)="مرجوعی فروش",IF(INDEX(SCAmount,$L1099)=0,"",-INDEX(SCAmount,$L1099)),""),IF($M1099&lt;&gt;"",IF(INDEX(LdgDepB,$M1099)=0,"",INDEX(LdgDepB,$M1099)),""))</f>
        <v/>
      </c>
      <c r="I1099" s="22">
        <f>IF($B1099="","",IF($I1098="",$C$10,$I1098)+IF($G1099="",0,$G1099)-IF($H1099="",0,$H1099))</f>
        <v/>
      </c>
      <c r="L1099">
        <f>IFERROR(MATCH($C$5&amp;"|"&amp;RIGHT("000000"&amp;1083,6),LdgRankKeyA,0),"")</f>
        <v/>
      </c>
      <c r="M1099">
        <f>IFERROR(MATCH($C$5&amp;"|"&amp;RIGHT("000000"&amp;1083,6),LdgRankKeyB,0),"")</f>
        <v/>
      </c>
    </row>
    <row r="1100">
      <c r="A1100" s="23" t="n">
        <v>1084</v>
      </c>
      <c r="B1100" s="24">
        <f>IF(AND($L1100="",$M1100=""),"",IF($L1100&lt;&gt;"",INDEX(SCNormDate,$L1100),INDEX(LdgDateB,$M1100)))</f>
        <v/>
      </c>
      <c r="C1100" s="24">
        <f>IF($L1100&lt;&gt;"",INDEX(SCOp,$L1100),IF($M1100&lt;&gt;"","پرداخت بانکی",""))</f>
        <v/>
      </c>
      <c r="D1100" s="24">
        <f>IF($L1100&lt;&gt;"",IF(INDEX(SCDoc,$L1100)="","—",INDEX(SCDoc,$L1100)),IF($M1100&lt;&gt;"",INDEX(LdgBankB,$M1100),""))</f>
        <v/>
      </c>
      <c r="E1100" s="25">
        <f>IF($L1100&lt;&gt;"",IF(INDEX(SCCitrus,$L1100)&amp;INDEX(SCNotes,$L1100)="","",IF(INDEX(SCCitrus,$L1100)="","",INDEX(SCCitrus,$L1100))&amp;IF(INDEX(SCNotes,$L1100)="",""," — "&amp;INDEX(SCNotes,$L1100))),IF($M1100&lt;&gt;"",IF(INDEX(LdgNoteB,$M1100)="","—",INDEX(LdgNoteB,$M1100)),""))</f>
        <v/>
      </c>
      <c r="F1100" s="26">
        <f>IF($L1100&lt;&gt;"",IF(INDEX(SCNet,$L1100)=0,"",INDEX(SCNet,$L1100)),"")</f>
        <v/>
      </c>
      <c r="G1100" s="27">
        <f>IF($L1100&lt;&gt;"",IF(INDEX(SCOp,$L1100)="مرجوعی فروش","",IF(INDEX(SCAmount,$L1100)&lt;=0,"",INDEX(SCAmount,$L1100))),IF($M1100&lt;&gt;"",IF(INDEX(LdgWitB,$M1100)=0,"",INDEX(LdgWitB,$M1100)),""))</f>
        <v/>
      </c>
      <c r="H1100" s="27">
        <f>IF($L1100&lt;&gt;"",IF(INDEX(SCOp,$L1100)="مرجوعی فروش",IF(INDEX(SCAmount,$L1100)=0,"",-INDEX(SCAmount,$L1100)),""),IF($M1100&lt;&gt;"",IF(INDEX(LdgDepB,$M1100)=0,"",INDEX(LdgDepB,$M1100)),""))</f>
        <v/>
      </c>
      <c r="I1100" s="28">
        <f>IF($B1100="","",IF($I1099="",$C$10,$I1099)+IF($G1100="",0,$G1100)-IF($H1100="",0,$H1100))</f>
        <v/>
      </c>
      <c r="L1100">
        <f>IFERROR(MATCH($C$5&amp;"|"&amp;RIGHT("000000"&amp;1084,6),LdgRankKeyA,0),"")</f>
        <v/>
      </c>
      <c r="M1100">
        <f>IFERROR(MATCH($C$5&amp;"|"&amp;RIGHT("000000"&amp;1084,6),LdgRankKeyB,0),"")</f>
        <v/>
      </c>
    </row>
    <row r="1101">
      <c r="A1101" s="17" t="n">
        <v>1085</v>
      </c>
      <c r="B1101" s="18">
        <f>IF(AND($L1101="",$M1101=""),"",IF($L1101&lt;&gt;"",INDEX(SCNormDate,$L1101),INDEX(LdgDateB,$M1101)))</f>
        <v/>
      </c>
      <c r="C1101" s="18">
        <f>IF($L1101&lt;&gt;"",INDEX(SCOp,$L1101),IF($M1101&lt;&gt;"","پرداخت بانکی",""))</f>
        <v/>
      </c>
      <c r="D1101" s="18">
        <f>IF($L1101&lt;&gt;"",IF(INDEX(SCDoc,$L1101)="","—",INDEX(SCDoc,$L1101)),IF($M1101&lt;&gt;"",INDEX(LdgBankB,$M1101),""))</f>
        <v/>
      </c>
      <c r="E1101" s="19">
        <f>IF($L1101&lt;&gt;"",IF(INDEX(SCCitrus,$L1101)&amp;INDEX(SCNotes,$L1101)="","",IF(INDEX(SCCitrus,$L1101)="","",INDEX(SCCitrus,$L1101))&amp;IF(INDEX(SCNotes,$L1101)="",""," — "&amp;INDEX(SCNotes,$L1101))),IF($M1101&lt;&gt;"",IF(INDEX(LdgNoteB,$M1101)="","—",INDEX(LdgNoteB,$M1101)),""))</f>
        <v/>
      </c>
      <c r="F1101" s="20">
        <f>IF($L1101&lt;&gt;"",IF(INDEX(SCNet,$L1101)=0,"",INDEX(SCNet,$L1101)),"")</f>
        <v/>
      </c>
      <c r="G1101" s="21">
        <f>IF($L1101&lt;&gt;"",IF(INDEX(SCOp,$L1101)="مرجوعی فروش","",IF(INDEX(SCAmount,$L1101)&lt;=0,"",INDEX(SCAmount,$L1101))),IF($M1101&lt;&gt;"",IF(INDEX(LdgWitB,$M1101)=0,"",INDEX(LdgWitB,$M1101)),""))</f>
        <v/>
      </c>
      <c r="H1101" s="21">
        <f>IF($L1101&lt;&gt;"",IF(INDEX(SCOp,$L1101)="مرجوعی فروش",IF(INDEX(SCAmount,$L1101)=0,"",-INDEX(SCAmount,$L1101)),""),IF($M1101&lt;&gt;"",IF(INDEX(LdgDepB,$M1101)=0,"",INDEX(LdgDepB,$M1101)),""))</f>
        <v/>
      </c>
      <c r="I1101" s="22">
        <f>IF($B1101="","",IF($I1100="",$C$10,$I1100)+IF($G1101="",0,$G1101)-IF($H1101="",0,$H1101))</f>
        <v/>
      </c>
      <c r="L1101">
        <f>IFERROR(MATCH($C$5&amp;"|"&amp;RIGHT("000000"&amp;1085,6),LdgRankKeyA,0),"")</f>
        <v/>
      </c>
      <c r="M1101">
        <f>IFERROR(MATCH($C$5&amp;"|"&amp;RIGHT("000000"&amp;1085,6),LdgRankKeyB,0),"")</f>
        <v/>
      </c>
    </row>
    <row r="1102">
      <c r="A1102" s="23" t="n">
        <v>1086</v>
      </c>
      <c r="B1102" s="24">
        <f>IF(AND($L1102="",$M1102=""),"",IF($L1102&lt;&gt;"",INDEX(SCNormDate,$L1102),INDEX(LdgDateB,$M1102)))</f>
        <v/>
      </c>
      <c r="C1102" s="24">
        <f>IF($L1102&lt;&gt;"",INDEX(SCOp,$L1102),IF($M1102&lt;&gt;"","پرداخت بانکی",""))</f>
        <v/>
      </c>
      <c r="D1102" s="24">
        <f>IF($L1102&lt;&gt;"",IF(INDEX(SCDoc,$L1102)="","—",INDEX(SCDoc,$L1102)),IF($M1102&lt;&gt;"",INDEX(LdgBankB,$M1102),""))</f>
        <v/>
      </c>
      <c r="E1102" s="25">
        <f>IF($L1102&lt;&gt;"",IF(INDEX(SCCitrus,$L1102)&amp;INDEX(SCNotes,$L1102)="","",IF(INDEX(SCCitrus,$L1102)="","",INDEX(SCCitrus,$L1102))&amp;IF(INDEX(SCNotes,$L1102)="",""," — "&amp;INDEX(SCNotes,$L1102))),IF($M1102&lt;&gt;"",IF(INDEX(LdgNoteB,$M1102)="","—",INDEX(LdgNoteB,$M1102)),""))</f>
        <v/>
      </c>
      <c r="F1102" s="26">
        <f>IF($L1102&lt;&gt;"",IF(INDEX(SCNet,$L1102)=0,"",INDEX(SCNet,$L1102)),"")</f>
        <v/>
      </c>
      <c r="G1102" s="27">
        <f>IF($L1102&lt;&gt;"",IF(INDEX(SCOp,$L1102)="مرجوعی فروش","",IF(INDEX(SCAmount,$L1102)&lt;=0,"",INDEX(SCAmount,$L1102))),IF($M1102&lt;&gt;"",IF(INDEX(LdgWitB,$M1102)=0,"",INDEX(LdgWitB,$M1102)),""))</f>
        <v/>
      </c>
      <c r="H1102" s="27">
        <f>IF($L1102&lt;&gt;"",IF(INDEX(SCOp,$L1102)="مرجوعی فروش",IF(INDEX(SCAmount,$L1102)=0,"",-INDEX(SCAmount,$L1102)),""),IF($M1102&lt;&gt;"",IF(INDEX(LdgDepB,$M1102)=0,"",INDEX(LdgDepB,$M1102)),""))</f>
        <v/>
      </c>
      <c r="I1102" s="28">
        <f>IF($B1102="","",IF($I1101="",$C$10,$I1101)+IF($G1102="",0,$G1102)-IF($H1102="",0,$H1102))</f>
        <v/>
      </c>
      <c r="L1102">
        <f>IFERROR(MATCH($C$5&amp;"|"&amp;RIGHT("000000"&amp;1086,6),LdgRankKeyA,0),"")</f>
        <v/>
      </c>
      <c r="M1102">
        <f>IFERROR(MATCH($C$5&amp;"|"&amp;RIGHT("000000"&amp;1086,6),LdgRankKeyB,0),"")</f>
        <v/>
      </c>
    </row>
    <row r="1103">
      <c r="A1103" s="17" t="n">
        <v>1087</v>
      </c>
      <c r="B1103" s="18">
        <f>IF(AND($L1103="",$M1103=""),"",IF($L1103&lt;&gt;"",INDEX(SCNormDate,$L1103),INDEX(LdgDateB,$M1103)))</f>
        <v/>
      </c>
      <c r="C1103" s="18">
        <f>IF($L1103&lt;&gt;"",INDEX(SCOp,$L1103),IF($M1103&lt;&gt;"","پرداخت بانکی",""))</f>
        <v/>
      </c>
      <c r="D1103" s="18">
        <f>IF($L1103&lt;&gt;"",IF(INDEX(SCDoc,$L1103)="","—",INDEX(SCDoc,$L1103)),IF($M1103&lt;&gt;"",INDEX(LdgBankB,$M1103),""))</f>
        <v/>
      </c>
      <c r="E1103" s="19">
        <f>IF($L1103&lt;&gt;"",IF(INDEX(SCCitrus,$L1103)&amp;INDEX(SCNotes,$L1103)="","",IF(INDEX(SCCitrus,$L1103)="","",INDEX(SCCitrus,$L1103))&amp;IF(INDEX(SCNotes,$L1103)="",""," — "&amp;INDEX(SCNotes,$L1103))),IF($M1103&lt;&gt;"",IF(INDEX(LdgNoteB,$M1103)="","—",INDEX(LdgNoteB,$M1103)),""))</f>
        <v/>
      </c>
      <c r="F1103" s="20">
        <f>IF($L1103&lt;&gt;"",IF(INDEX(SCNet,$L1103)=0,"",INDEX(SCNet,$L1103)),"")</f>
        <v/>
      </c>
      <c r="G1103" s="21">
        <f>IF($L1103&lt;&gt;"",IF(INDEX(SCOp,$L1103)="مرجوعی فروش","",IF(INDEX(SCAmount,$L1103)&lt;=0,"",INDEX(SCAmount,$L1103))),IF($M1103&lt;&gt;"",IF(INDEX(LdgWitB,$M1103)=0,"",INDEX(LdgWitB,$M1103)),""))</f>
        <v/>
      </c>
      <c r="H1103" s="21">
        <f>IF($L1103&lt;&gt;"",IF(INDEX(SCOp,$L1103)="مرجوعی فروش",IF(INDEX(SCAmount,$L1103)=0,"",-INDEX(SCAmount,$L1103)),""),IF($M1103&lt;&gt;"",IF(INDEX(LdgDepB,$M1103)=0,"",INDEX(LdgDepB,$M1103)),""))</f>
        <v/>
      </c>
      <c r="I1103" s="22">
        <f>IF($B1103="","",IF($I1102="",$C$10,$I1102)+IF($G1103="",0,$G1103)-IF($H1103="",0,$H1103))</f>
        <v/>
      </c>
      <c r="L1103">
        <f>IFERROR(MATCH($C$5&amp;"|"&amp;RIGHT("000000"&amp;1087,6),LdgRankKeyA,0),"")</f>
        <v/>
      </c>
      <c r="M1103">
        <f>IFERROR(MATCH($C$5&amp;"|"&amp;RIGHT("000000"&amp;1087,6),LdgRankKeyB,0),"")</f>
        <v/>
      </c>
    </row>
    <row r="1104">
      <c r="A1104" s="23" t="n">
        <v>1088</v>
      </c>
      <c r="B1104" s="24">
        <f>IF(AND($L1104="",$M1104=""),"",IF($L1104&lt;&gt;"",INDEX(SCNormDate,$L1104),INDEX(LdgDateB,$M1104)))</f>
        <v/>
      </c>
      <c r="C1104" s="24">
        <f>IF($L1104&lt;&gt;"",INDEX(SCOp,$L1104),IF($M1104&lt;&gt;"","پرداخت بانکی",""))</f>
        <v/>
      </c>
      <c r="D1104" s="24">
        <f>IF($L1104&lt;&gt;"",IF(INDEX(SCDoc,$L1104)="","—",INDEX(SCDoc,$L1104)),IF($M1104&lt;&gt;"",INDEX(LdgBankB,$M1104),""))</f>
        <v/>
      </c>
      <c r="E1104" s="25">
        <f>IF($L1104&lt;&gt;"",IF(INDEX(SCCitrus,$L1104)&amp;INDEX(SCNotes,$L1104)="","",IF(INDEX(SCCitrus,$L1104)="","",INDEX(SCCitrus,$L1104))&amp;IF(INDEX(SCNotes,$L1104)="",""," — "&amp;INDEX(SCNotes,$L1104))),IF($M1104&lt;&gt;"",IF(INDEX(LdgNoteB,$M1104)="","—",INDEX(LdgNoteB,$M1104)),""))</f>
        <v/>
      </c>
      <c r="F1104" s="26">
        <f>IF($L1104&lt;&gt;"",IF(INDEX(SCNet,$L1104)=0,"",INDEX(SCNet,$L1104)),"")</f>
        <v/>
      </c>
      <c r="G1104" s="27">
        <f>IF($L1104&lt;&gt;"",IF(INDEX(SCOp,$L1104)="مرجوعی فروش","",IF(INDEX(SCAmount,$L1104)&lt;=0,"",INDEX(SCAmount,$L1104))),IF($M1104&lt;&gt;"",IF(INDEX(LdgWitB,$M1104)=0,"",INDEX(LdgWitB,$M1104)),""))</f>
        <v/>
      </c>
      <c r="H1104" s="27">
        <f>IF($L1104&lt;&gt;"",IF(INDEX(SCOp,$L1104)="مرجوعی فروش",IF(INDEX(SCAmount,$L1104)=0,"",-INDEX(SCAmount,$L1104)),""),IF($M1104&lt;&gt;"",IF(INDEX(LdgDepB,$M1104)=0,"",INDEX(LdgDepB,$M1104)),""))</f>
        <v/>
      </c>
      <c r="I1104" s="28">
        <f>IF($B1104="","",IF($I1103="",$C$10,$I1103)+IF($G1104="",0,$G1104)-IF($H1104="",0,$H1104))</f>
        <v/>
      </c>
      <c r="L1104">
        <f>IFERROR(MATCH($C$5&amp;"|"&amp;RIGHT("000000"&amp;1088,6),LdgRankKeyA,0),"")</f>
        <v/>
      </c>
      <c r="M1104">
        <f>IFERROR(MATCH($C$5&amp;"|"&amp;RIGHT("000000"&amp;1088,6),LdgRankKeyB,0),"")</f>
        <v/>
      </c>
    </row>
    <row r="1105">
      <c r="A1105" s="17" t="n">
        <v>1089</v>
      </c>
      <c r="B1105" s="18">
        <f>IF(AND($L1105="",$M1105=""),"",IF($L1105&lt;&gt;"",INDEX(SCNormDate,$L1105),INDEX(LdgDateB,$M1105)))</f>
        <v/>
      </c>
      <c r="C1105" s="18">
        <f>IF($L1105&lt;&gt;"",INDEX(SCOp,$L1105),IF($M1105&lt;&gt;"","پرداخت بانکی",""))</f>
        <v/>
      </c>
      <c r="D1105" s="18">
        <f>IF($L1105&lt;&gt;"",IF(INDEX(SCDoc,$L1105)="","—",INDEX(SCDoc,$L1105)),IF($M1105&lt;&gt;"",INDEX(LdgBankB,$M1105),""))</f>
        <v/>
      </c>
      <c r="E1105" s="19">
        <f>IF($L1105&lt;&gt;"",IF(INDEX(SCCitrus,$L1105)&amp;INDEX(SCNotes,$L1105)="","",IF(INDEX(SCCitrus,$L1105)="","",INDEX(SCCitrus,$L1105))&amp;IF(INDEX(SCNotes,$L1105)="",""," — "&amp;INDEX(SCNotes,$L1105))),IF($M1105&lt;&gt;"",IF(INDEX(LdgNoteB,$M1105)="","—",INDEX(LdgNoteB,$M1105)),""))</f>
        <v/>
      </c>
      <c r="F1105" s="20">
        <f>IF($L1105&lt;&gt;"",IF(INDEX(SCNet,$L1105)=0,"",INDEX(SCNet,$L1105)),"")</f>
        <v/>
      </c>
      <c r="G1105" s="21">
        <f>IF($L1105&lt;&gt;"",IF(INDEX(SCOp,$L1105)="مرجوعی فروش","",IF(INDEX(SCAmount,$L1105)&lt;=0,"",INDEX(SCAmount,$L1105))),IF($M1105&lt;&gt;"",IF(INDEX(LdgWitB,$M1105)=0,"",INDEX(LdgWitB,$M1105)),""))</f>
        <v/>
      </c>
      <c r="H1105" s="21">
        <f>IF($L1105&lt;&gt;"",IF(INDEX(SCOp,$L1105)="مرجوعی فروش",IF(INDEX(SCAmount,$L1105)=0,"",-INDEX(SCAmount,$L1105)),""),IF($M1105&lt;&gt;"",IF(INDEX(LdgDepB,$M1105)=0,"",INDEX(LdgDepB,$M1105)),""))</f>
        <v/>
      </c>
      <c r="I1105" s="22">
        <f>IF($B1105="","",IF($I1104="",$C$10,$I1104)+IF($G1105="",0,$G1105)-IF($H1105="",0,$H1105))</f>
        <v/>
      </c>
      <c r="L1105">
        <f>IFERROR(MATCH($C$5&amp;"|"&amp;RIGHT("000000"&amp;1089,6),LdgRankKeyA,0),"")</f>
        <v/>
      </c>
      <c r="M1105">
        <f>IFERROR(MATCH($C$5&amp;"|"&amp;RIGHT("000000"&amp;1089,6),LdgRankKeyB,0),"")</f>
        <v/>
      </c>
    </row>
    <row r="1106">
      <c r="A1106" s="23" t="n">
        <v>1090</v>
      </c>
      <c r="B1106" s="24">
        <f>IF(AND($L1106="",$M1106=""),"",IF($L1106&lt;&gt;"",INDEX(SCNormDate,$L1106),INDEX(LdgDateB,$M1106)))</f>
        <v/>
      </c>
      <c r="C1106" s="24">
        <f>IF($L1106&lt;&gt;"",INDEX(SCOp,$L1106),IF($M1106&lt;&gt;"","پرداخت بانکی",""))</f>
        <v/>
      </c>
      <c r="D1106" s="24">
        <f>IF($L1106&lt;&gt;"",IF(INDEX(SCDoc,$L1106)="","—",INDEX(SCDoc,$L1106)),IF($M1106&lt;&gt;"",INDEX(LdgBankB,$M1106),""))</f>
        <v/>
      </c>
      <c r="E1106" s="25">
        <f>IF($L1106&lt;&gt;"",IF(INDEX(SCCitrus,$L1106)&amp;INDEX(SCNotes,$L1106)="","",IF(INDEX(SCCitrus,$L1106)="","",INDEX(SCCitrus,$L1106))&amp;IF(INDEX(SCNotes,$L1106)="",""," — "&amp;INDEX(SCNotes,$L1106))),IF($M1106&lt;&gt;"",IF(INDEX(LdgNoteB,$M1106)="","—",INDEX(LdgNoteB,$M1106)),""))</f>
        <v/>
      </c>
      <c r="F1106" s="26">
        <f>IF($L1106&lt;&gt;"",IF(INDEX(SCNet,$L1106)=0,"",INDEX(SCNet,$L1106)),"")</f>
        <v/>
      </c>
      <c r="G1106" s="27">
        <f>IF($L1106&lt;&gt;"",IF(INDEX(SCOp,$L1106)="مرجوعی فروش","",IF(INDEX(SCAmount,$L1106)&lt;=0,"",INDEX(SCAmount,$L1106))),IF($M1106&lt;&gt;"",IF(INDEX(LdgWitB,$M1106)=0,"",INDEX(LdgWitB,$M1106)),""))</f>
        <v/>
      </c>
      <c r="H1106" s="27">
        <f>IF($L1106&lt;&gt;"",IF(INDEX(SCOp,$L1106)="مرجوعی فروش",IF(INDEX(SCAmount,$L1106)=0,"",-INDEX(SCAmount,$L1106)),""),IF($M1106&lt;&gt;"",IF(INDEX(LdgDepB,$M1106)=0,"",INDEX(LdgDepB,$M1106)),""))</f>
        <v/>
      </c>
      <c r="I1106" s="28">
        <f>IF($B1106="","",IF($I1105="",$C$10,$I1105)+IF($G1106="",0,$G1106)-IF($H1106="",0,$H1106))</f>
        <v/>
      </c>
      <c r="L1106">
        <f>IFERROR(MATCH($C$5&amp;"|"&amp;RIGHT("000000"&amp;1090,6),LdgRankKeyA,0),"")</f>
        <v/>
      </c>
      <c r="M1106">
        <f>IFERROR(MATCH($C$5&amp;"|"&amp;RIGHT("000000"&amp;1090,6),LdgRankKeyB,0),"")</f>
        <v/>
      </c>
    </row>
    <row r="1107">
      <c r="A1107" s="17" t="n">
        <v>1091</v>
      </c>
      <c r="B1107" s="18">
        <f>IF(AND($L1107="",$M1107=""),"",IF($L1107&lt;&gt;"",INDEX(SCNormDate,$L1107),INDEX(LdgDateB,$M1107)))</f>
        <v/>
      </c>
      <c r="C1107" s="18">
        <f>IF($L1107&lt;&gt;"",INDEX(SCOp,$L1107),IF($M1107&lt;&gt;"","پرداخت بانکی",""))</f>
        <v/>
      </c>
      <c r="D1107" s="18">
        <f>IF($L1107&lt;&gt;"",IF(INDEX(SCDoc,$L1107)="","—",INDEX(SCDoc,$L1107)),IF($M1107&lt;&gt;"",INDEX(LdgBankB,$M1107),""))</f>
        <v/>
      </c>
      <c r="E1107" s="19">
        <f>IF($L1107&lt;&gt;"",IF(INDEX(SCCitrus,$L1107)&amp;INDEX(SCNotes,$L1107)="","",IF(INDEX(SCCitrus,$L1107)="","",INDEX(SCCitrus,$L1107))&amp;IF(INDEX(SCNotes,$L1107)="",""," — "&amp;INDEX(SCNotes,$L1107))),IF($M1107&lt;&gt;"",IF(INDEX(LdgNoteB,$M1107)="","—",INDEX(LdgNoteB,$M1107)),""))</f>
        <v/>
      </c>
      <c r="F1107" s="20">
        <f>IF($L1107&lt;&gt;"",IF(INDEX(SCNet,$L1107)=0,"",INDEX(SCNet,$L1107)),"")</f>
        <v/>
      </c>
      <c r="G1107" s="21">
        <f>IF($L1107&lt;&gt;"",IF(INDEX(SCOp,$L1107)="مرجوعی فروش","",IF(INDEX(SCAmount,$L1107)&lt;=0,"",INDEX(SCAmount,$L1107))),IF($M1107&lt;&gt;"",IF(INDEX(LdgWitB,$M1107)=0,"",INDEX(LdgWitB,$M1107)),""))</f>
        <v/>
      </c>
      <c r="H1107" s="21">
        <f>IF($L1107&lt;&gt;"",IF(INDEX(SCOp,$L1107)="مرجوعی فروش",IF(INDEX(SCAmount,$L1107)=0,"",-INDEX(SCAmount,$L1107)),""),IF($M1107&lt;&gt;"",IF(INDEX(LdgDepB,$M1107)=0,"",INDEX(LdgDepB,$M1107)),""))</f>
        <v/>
      </c>
      <c r="I1107" s="22">
        <f>IF($B1107="","",IF($I1106="",$C$10,$I1106)+IF($G1107="",0,$G1107)-IF($H1107="",0,$H1107))</f>
        <v/>
      </c>
      <c r="L1107">
        <f>IFERROR(MATCH($C$5&amp;"|"&amp;RIGHT("000000"&amp;1091,6),LdgRankKeyA,0),"")</f>
        <v/>
      </c>
      <c r="M1107">
        <f>IFERROR(MATCH($C$5&amp;"|"&amp;RIGHT("000000"&amp;1091,6),LdgRankKeyB,0),"")</f>
        <v/>
      </c>
    </row>
    <row r="1108">
      <c r="A1108" s="23" t="n">
        <v>1092</v>
      </c>
      <c r="B1108" s="24">
        <f>IF(AND($L1108="",$M1108=""),"",IF($L1108&lt;&gt;"",INDEX(SCNormDate,$L1108),INDEX(LdgDateB,$M1108)))</f>
        <v/>
      </c>
      <c r="C1108" s="24">
        <f>IF($L1108&lt;&gt;"",INDEX(SCOp,$L1108),IF($M1108&lt;&gt;"","پرداخت بانکی",""))</f>
        <v/>
      </c>
      <c r="D1108" s="24">
        <f>IF($L1108&lt;&gt;"",IF(INDEX(SCDoc,$L1108)="","—",INDEX(SCDoc,$L1108)),IF($M1108&lt;&gt;"",INDEX(LdgBankB,$M1108),""))</f>
        <v/>
      </c>
      <c r="E1108" s="25">
        <f>IF($L1108&lt;&gt;"",IF(INDEX(SCCitrus,$L1108)&amp;INDEX(SCNotes,$L1108)="","",IF(INDEX(SCCitrus,$L1108)="","",INDEX(SCCitrus,$L1108))&amp;IF(INDEX(SCNotes,$L1108)="",""," — "&amp;INDEX(SCNotes,$L1108))),IF($M1108&lt;&gt;"",IF(INDEX(LdgNoteB,$M1108)="","—",INDEX(LdgNoteB,$M1108)),""))</f>
        <v/>
      </c>
      <c r="F1108" s="26">
        <f>IF($L1108&lt;&gt;"",IF(INDEX(SCNet,$L1108)=0,"",INDEX(SCNet,$L1108)),"")</f>
        <v/>
      </c>
      <c r="G1108" s="27">
        <f>IF($L1108&lt;&gt;"",IF(INDEX(SCOp,$L1108)="مرجوعی فروش","",IF(INDEX(SCAmount,$L1108)&lt;=0,"",INDEX(SCAmount,$L1108))),IF($M1108&lt;&gt;"",IF(INDEX(LdgWitB,$M1108)=0,"",INDEX(LdgWitB,$M1108)),""))</f>
        <v/>
      </c>
      <c r="H1108" s="27">
        <f>IF($L1108&lt;&gt;"",IF(INDEX(SCOp,$L1108)="مرجوعی فروش",IF(INDEX(SCAmount,$L1108)=0,"",-INDEX(SCAmount,$L1108)),""),IF($M1108&lt;&gt;"",IF(INDEX(LdgDepB,$M1108)=0,"",INDEX(LdgDepB,$M1108)),""))</f>
        <v/>
      </c>
      <c r="I1108" s="28">
        <f>IF($B1108="","",IF($I1107="",$C$10,$I1107)+IF($G1108="",0,$G1108)-IF($H1108="",0,$H1108))</f>
        <v/>
      </c>
      <c r="L1108">
        <f>IFERROR(MATCH($C$5&amp;"|"&amp;RIGHT("000000"&amp;1092,6),LdgRankKeyA,0),"")</f>
        <v/>
      </c>
      <c r="M1108">
        <f>IFERROR(MATCH($C$5&amp;"|"&amp;RIGHT("000000"&amp;1092,6),LdgRankKeyB,0),"")</f>
        <v/>
      </c>
    </row>
    <row r="1109">
      <c r="A1109" s="17" t="n">
        <v>1093</v>
      </c>
      <c r="B1109" s="18">
        <f>IF(AND($L1109="",$M1109=""),"",IF($L1109&lt;&gt;"",INDEX(SCNormDate,$L1109),INDEX(LdgDateB,$M1109)))</f>
        <v/>
      </c>
      <c r="C1109" s="18">
        <f>IF($L1109&lt;&gt;"",INDEX(SCOp,$L1109),IF($M1109&lt;&gt;"","پرداخت بانکی",""))</f>
        <v/>
      </c>
      <c r="D1109" s="18">
        <f>IF($L1109&lt;&gt;"",IF(INDEX(SCDoc,$L1109)="","—",INDEX(SCDoc,$L1109)),IF($M1109&lt;&gt;"",INDEX(LdgBankB,$M1109),""))</f>
        <v/>
      </c>
      <c r="E1109" s="19">
        <f>IF($L1109&lt;&gt;"",IF(INDEX(SCCitrus,$L1109)&amp;INDEX(SCNotes,$L1109)="","",IF(INDEX(SCCitrus,$L1109)="","",INDEX(SCCitrus,$L1109))&amp;IF(INDEX(SCNotes,$L1109)="",""," — "&amp;INDEX(SCNotes,$L1109))),IF($M1109&lt;&gt;"",IF(INDEX(LdgNoteB,$M1109)="","—",INDEX(LdgNoteB,$M1109)),""))</f>
        <v/>
      </c>
      <c r="F1109" s="20">
        <f>IF($L1109&lt;&gt;"",IF(INDEX(SCNet,$L1109)=0,"",INDEX(SCNet,$L1109)),"")</f>
        <v/>
      </c>
      <c r="G1109" s="21">
        <f>IF($L1109&lt;&gt;"",IF(INDEX(SCOp,$L1109)="مرجوعی فروش","",IF(INDEX(SCAmount,$L1109)&lt;=0,"",INDEX(SCAmount,$L1109))),IF($M1109&lt;&gt;"",IF(INDEX(LdgWitB,$M1109)=0,"",INDEX(LdgWitB,$M1109)),""))</f>
        <v/>
      </c>
      <c r="H1109" s="21">
        <f>IF($L1109&lt;&gt;"",IF(INDEX(SCOp,$L1109)="مرجوعی فروش",IF(INDEX(SCAmount,$L1109)=0,"",-INDEX(SCAmount,$L1109)),""),IF($M1109&lt;&gt;"",IF(INDEX(LdgDepB,$M1109)=0,"",INDEX(LdgDepB,$M1109)),""))</f>
        <v/>
      </c>
      <c r="I1109" s="22">
        <f>IF($B1109="","",IF($I1108="",$C$10,$I1108)+IF($G1109="",0,$G1109)-IF($H1109="",0,$H1109))</f>
        <v/>
      </c>
      <c r="L1109">
        <f>IFERROR(MATCH($C$5&amp;"|"&amp;RIGHT("000000"&amp;1093,6),LdgRankKeyA,0),"")</f>
        <v/>
      </c>
      <c r="M1109">
        <f>IFERROR(MATCH($C$5&amp;"|"&amp;RIGHT("000000"&amp;1093,6),LdgRankKeyB,0),"")</f>
        <v/>
      </c>
    </row>
    <row r="1110">
      <c r="A1110" s="23" t="n">
        <v>1094</v>
      </c>
      <c r="B1110" s="24">
        <f>IF(AND($L1110="",$M1110=""),"",IF($L1110&lt;&gt;"",INDEX(SCNormDate,$L1110),INDEX(LdgDateB,$M1110)))</f>
        <v/>
      </c>
      <c r="C1110" s="24">
        <f>IF($L1110&lt;&gt;"",INDEX(SCOp,$L1110),IF($M1110&lt;&gt;"","پرداخت بانکی",""))</f>
        <v/>
      </c>
      <c r="D1110" s="24">
        <f>IF($L1110&lt;&gt;"",IF(INDEX(SCDoc,$L1110)="","—",INDEX(SCDoc,$L1110)),IF($M1110&lt;&gt;"",INDEX(LdgBankB,$M1110),""))</f>
        <v/>
      </c>
      <c r="E1110" s="25">
        <f>IF($L1110&lt;&gt;"",IF(INDEX(SCCitrus,$L1110)&amp;INDEX(SCNotes,$L1110)="","",IF(INDEX(SCCitrus,$L1110)="","",INDEX(SCCitrus,$L1110))&amp;IF(INDEX(SCNotes,$L1110)="",""," — "&amp;INDEX(SCNotes,$L1110))),IF($M1110&lt;&gt;"",IF(INDEX(LdgNoteB,$M1110)="","—",INDEX(LdgNoteB,$M1110)),""))</f>
        <v/>
      </c>
      <c r="F1110" s="26">
        <f>IF($L1110&lt;&gt;"",IF(INDEX(SCNet,$L1110)=0,"",INDEX(SCNet,$L1110)),"")</f>
        <v/>
      </c>
      <c r="G1110" s="27">
        <f>IF($L1110&lt;&gt;"",IF(INDEX(SCOp,$L1110)="مرجوعی فروش","",IF(INDEX(SCAmount,$L1110)&lt;=0,"",INDEX(SCAmount,$L1110))),IF($M1110&lt;&gt;"",IF(INDEX(LdgWitB,$M1110)=0,"",INDEX(LdgWitB,$M1110)),""))</f>
        <v/>
      </c>
      <c r="H1110" s="27">
        <f>IF($L1110&lt;&gt;"",IF(INDEX(SCOp,$L1110)="مرجوعی فروش",IF(INDEX(SCAmount,$L1110)=0,"",-INDEX(SCAmount,$L1110)),""),IF($M1110&lt;&gt;"",IF(INDEX(LdgDepB,$M1110)=0,"",INDEX(LdgDepB,$M1110)),""))</f>
        <v/>
      </c>
      <c r="I1110" s="28">
        <f>IF($B1110="","",IF($I1109="",$C$10,$I1109)+IF($G1110="",0,$G1110)-IF($H1110="",0,$H1110))</f>
        <v/>
      </c>
      <c r="L1110">
        <f>IFERROR(MATCH($C$5&amp;"|"&amp;RIGHT("000000"&amp;1094,6),LdgRankKeyA,0),"")</f>
        <v/>
      </c>
      <c r="M1110">
        <f>IFERROR(MATCH($C$5&amp;"|"&amp;RIGHT("000000"&amp;1094,6),LdgRankKeyB,0),"")</f>
        <v/>
      </c>
    </row>
    <row r="1111">
      <c r="A1111" s="17" t="n">
        <v>1095</v>
      </c>
      <c r="B1111" s="18">
        <f>IF(AND($L1111="",$M1111=""),"",IF($L1111&lt;&gt;"",INDEX(SCNormDate,$L1111),INDEX(LdgDateB,$M1111)))</f>
        <v/>
      </c>
      <c r="C1111" s="18">
        <f>IF($L1111&lt;&gt;"",INDEX(SCOp,$L1111),IF($M1111&lt;&gt;"","پرداخت بانکی",""))</f>
        <v/>
      </c>
      <c r="D1111" s="18">
        <f>IF($L1111&lt;&gt;"",IF(INDEX(SCDoc,$L1111)="","—",INDEX(SCDoc,$L1111)),IF($M1111&lt;&gt;"",INDEX(LdgBankB,$M1111),""))</f>
        <v/>
      </c>
      <c r="E1111" s="19">
        <f>IF($L1111&lt;&gt;"",IF(INDEX(SCCitrus,$L1111)&amp;INDEX(SCNotes,$L1111)="","",IF(INDEX(SCCitrus,$L1111)="","",INDEX(SCCitrus,$L1111))&amp;IF(INDEX(SCNotes,$L1111)="",""," — "&amp;INDEX(SCNotes,$L1111))),IF($M1111&lt;&gt;"",IF(INDEX(LdgNoteB,$M1111)="","—",INDEX(LdgNoteB,$M1111)),""))</f>
        <v/>
      </c>
      <c r="F1111" s="20">
        <f>IF($L1111&lt;&gt;"",IF(INDEX(SCNet,$L1111)=0,"",INDEX(SCNet,$L1111)),"")</f>
        <v/>
      </c>
      <c r="G1111" s="21">
        <f>IF($L1111&lt;&gt;"",IF(INDEX(SCOp,$L1111)="مرجوعی فروش","",IF(INDEX(SCAmount,$L1111)&lt;=0,"",INDEX(SCAmount,$L1111))),IF($M1111&lt;&gt;"",IF(INDEX(LdgWitB,$M1111)=0,"",INDEX(LdgWitB,$M1111)),""))</f>
        <v/>
      </c>
      <c r="H1111" s="21">
        <f>IF($L1111&lt;&gt;"",IF(INDEX(SCOp,$L1111)="مرجوعی فروش",IF(INDEX(SCAmount,$L1111)=0,"",-INDEX(SCAmount,$L1111)),""),IF($M1111&lt;&gt;"",IF(INDEX(LdgDepB,$M1111)=0,"",INDEX(LdgDepB,$M1111)),""))</f>
        <v/>
      </c>
      <c r="I1111" s="22">
        <f>IF($B1111="","",IF($I1110="",$C$10,$I1110)+IF($G1111="",0,$G1111)-IF($H1111="",0,$H1111))</f>
        <v/>
      </c>
      <c r="L1111">
        <f>IFERROR(MATCH($C$5&amp;"|"&amp;RIGHT("000000"&amp;1095,6),LdgRankKeyA,0),"")</f>
        <v/>
      </c>
      <c r="M1111">
        <f>IFERROR(MATCH($C$5&amp;"|"&amp;RIGHT("000000"&amp;1095,6),LdgRankKeyB,0),"")</f>
        <v/>
      </c>
    </row>
    <row r="1112">
      <c r="A1112" s="23" t="n">
        <v>1096</v>
      </c>
      <c r="B1112" s="24">
        <f>IF(AND($L1112="",$M1112=""),"",IF($L1112&lt;&gt;"",INDEX(SCNormDate,$L1112),INDEX(LdgDateB,$M1112)))</f>
        <v/>
      </c>
      <c r="C1112" s="24">
        <f>IF($L1112&lt;&gt;"",INDEX(SCOp,$L1112),IF($M1112&lt;&gt;"","پرداخت بانکی",""))</f>
        <v/>
      </c>
      <c r="D1112" s="24">
        <f>IF($L1112&lt;&gt;"",IF(INDEX(SCDoc,$L1112)="","—",INDEX(SCDoc,$L1112)),IF($M1112&lt;&gt;"",INDEX(LdgBankB,$M1112),""))</f>
        <v/>
      </c>
      <c r="E1112" s="25">
        <f>IF($L1112&lt;&gt;"",IF(INDEX(SCCitrus,$L1112)&amp;INDEX(SCNotes,$L1112)="","",IF(INDEX(SCCitrus,$L1112)="","",INDEX(SCCitrus,$L1112))&amp;IF(INDEX(SCNotes,$L1112)="",""," — "&amp;INDEX(SCNotes,$L1112))),IF($M1112&lt;&gt;"",IF(INDEX(LdgNoteB,$M1112)="","—",INDEX(LdgNoteB,$M1112)),""))</f>
        <v/>
      </c>
      <c r="F1112" s="26">
        <f>IF($L1112&lt;&gt;"",IF(INDEX(SCNet,$L1112)=0,"",INDEX(SCNet,$L1112)),"")</f>
        <v/>
      </c>
      <c r="G1112" s="27">
        <f>IF($L1112&lt;&gt;"",IF(INDEX(SCOp,$L1112)="مرجوعی فروش","",IF(INDEX(SCAmount,$L1112)&lt;=0,"",INDEX(SCAmount,$L1112))),IF($M1112&lt;&gt;"",IF(INDEX(LdgWitB,$M1112)=0,"",INDEX(LdgWitB,$M1112)),""))</f>
        <v/>
      </c>
      <c r="H1112" s="27">
        <f>IF($L1112&lt;&gt;"",IF(INDEX(SCOp,$L1112)="مرجوعی فروش",IF(INDEX(SCAmount,$L1112)=0,"",-INDEX(SCAmount,$L1112)),""),IF($M1112&lt;&gt;"",IF(INDEX(LdgDepB,$M1112)=0,"",INDEX(LdgDepB,$M1112)),""))</f>
        <v/>
      </c>
      <c r="I1112" s="28">
        <f>IF($B1112="","",IF($I1111="",$C$10,$I1111)+IF($G1112="",0,$G1112)-IF($H1112="",0,$H1112))</f>
        <v/>
      </c>
      <c r="L1112">
        <f>IFERROR(MATCH($C$5&amp;"|"&amp;RIGHT("000000"&amp;1096,6),LdgRankKeyA,0),"")</f>
        <v/>
      </c>
      <c r="M1112">
        <f>IFERROR(MATCH($C$5&amp;"|"&amp;RIGHT("000000"&amp;1096,6),LdgRankKeyB,0),"")</f>
        <v/>
      </c>
    </row>
    <row r="1113">
      <c r="A1113" s="17" t="n">
        <v>1097</v>
      </c>
      <c r="B1113" s="18">
        <f>IF(AND($L1113="",$M1113=""),"",IF($L1113&lt;&gt;"",INDEX(SCNormDate,$L1113),INDEX(LdgDateB,$M1113)))</f>
        <v/>
      </c>
      <c r="C1113" s="18">
        <f>IF($L1113&lt;&gt;"",INDEX(SCOp,$L1113),IF($M1113&lt;&gt;"","پرداخت بانکی",""))</f>
        <v/>
      </c>
      <c r="D1113" s="18">
        <f>IF($L1113&lt;&gt;"",IF(INDEX(SCDoc,$L1113)="","—",INDEX(SCDoc,$L1113)),IF($M1113&lt;&gt;"",INDEX(LdgBankB,$M1113),""))</f>
        <v/>
      </c>
      <c r="E1113" s="19">
        <f>IF($L1113&lt;&gt;"",IF(INDEX(SCCitrus,$L1113)&amp;INDEX(SCNotes,$L1113)="","",IF(INDEX(SCCitrus,$L1113)="","",INDEX(SCCitrus,$L1113))&amp;IF(INDEX(SCNotes,$L1113)="",""," — "&amp;INDEX(SCNotes,$L1113))),IF($M1113&lt;&gt;"",IF(INDEX(LdgNoteB,$M1113)="","—",INDEX(LdgNoteB,$M1113)),""))</f>
        <v/>
      </c>
      <c r="F1113" s="20">
        <f>IF($L1113&lt;&gt;"",IF(INDEX(SCNet,$L1113)=0,"",INDEX(SCNet,$L1113)),"")</f>
        <v/>
      </c>
      <c r="G1113" s="21">
        <f>IF($L1113&lt;&gt;"",IF(INDEX(SCOp,$L1113)="مرجوعی فروش","",IF(INDEX(SCAmount,$L1113)&lt;=0,"",INDEX(SCAmount,$L1113))),IF($M1113&lt;&gt;"",IF(INDEX(LdgWitB,$M1113)=0,"",INDEX(LdgWitB,$M1113)),""))</f>
        <v/>
      </c>
      <c r="H1113" s="21">
        <f>IF($L1113&lt;&gt;"",IF(INDEX(SCOp,$L1113)="مرجوعی فروش",IF(INDEX(SCAmount,$L1113)=0,"",-INDEX(SCAmount,$L1113)),""),IF($M1113&lt;&gt;"",IF(INDEX(LdgDepB,$M1113)=0,"",INDEX(LdgDepB,$M1113)),""))</f>
        <v/>
      </c>
      <c r="I1113" s="22">
        <f>IF($B1113="","",IF($I1112="",$C$10,$I1112)+IF($G1113="",0,$G1113)-IF($H1113="",0,$H1113))</f>
        <v/>
      </c>
      <c r="L1113">
        <f>IFERROR(MATCH($C$5&amp;"|"&amp;RIGHT("000000"&amp;1097,6),LdgRankKeyA,0),"")</f>
        <v/>
      </c>
      <c r="M1113">
        <f>IFERROR(MATCH($C$5&amp;"|"&amp;RIGHT("000000"&amp;1097,6),LdgRankKeyB,0),"")</f>
        <v/>
      </c>
    </row>
    <row r="1114">
      <c r="A1114" s="23" t="n">
        <v>1098</v>
      </c>
      <c r="B1114" s="24">
        <f>IF(AND($L1114="",$M1114=""),"",IF($L1114&lt;&gt;"",INDEX(SCNormDate,$L1114),INDEX(LdgDateB,$M1114)))</f>
        <v/>
      </c>
      <c r="C1114" s="24">
        <f>IF($L1114&lt;&gt;"",INDEX(SCOp,$L1114),IF($M1114&lt;&gt;"","پرداخت بانکی",""))</f>
        <v/>
      </c>
      <c r="D1114" s="24">
        <f>IF($L1114&lt;&gt;"",IF(INDEX(SCDoc,$L1114)="","—",INDEX(SCDoc,$L1114)),IF($M1114&lt;&gt;"",INDEX(LdgBankB,$M1114),""))</f>
        <v/>
      </c>
      <c r="E1114" s="25">
        <f>IF($L1114&lt;&gt;"",IF(INDEX(SCCitrus,$L1114)&amp;INDEX(SCNotes,$L1114)="","",IF(INDEX(SCCitrus,$L1114)="","",INDEX(SCCitrus,$L1114))&amp;IF(INDEX(SCNotes,$L1114)="",""," — "&amp;INDEX(SCNotes,$L1114))),IF($M1114&lt;&gt;"",IF(INDEX(LdgNoteB,$M1114)="","—",INDEX(LdgNoteB,$M1114)),""))</f>
        <v/>
      </c>
      <c r="F1114" s="26">
        <f>IF($L1114&lt;&gt;"",IF(INDEX(SCNet,$L1114)=0,"",INDEX(SCNet,$L1114)),"")</f>
        <v/>
      </c>
      <c r="G1114" s="27">
        <f>IF($L1114&lt;&gt;"",IF(INDEX(SCOp,$L1114)="مرجوعی فروش","",IF(INDEX(SCAmount,$L1114)&lt;=0,"",INDEX(SCAmount,$L1114))),IF($M1114&lt;&gt;"",IF(INDEX(LdgWitB,$M1114)=0,"",INDEX(LdgWitB,$M1114)),""))</f>
        <v/>
      </c>
      <c r="H1114" s="27">
        <f>IF($L1114&lt;&gt;"",IF(INDEX(SCOp,$L1114)="مرجوعی فروش",IF(INDEX(SCAmount,$L1114)=0,"",-INDEX(SCAmount,$L1114)),""),IF($M1114&lt;&gt;"",IF(INDEX(LdgDepB,$M1114)=0,"",INDEX(LdgDepB,$M1114)),""))</f>
        <v/>
      </c>
      <c r="I1114" s="28">
        <f>IF($B1114="","",IF($I1113="",$C$10,$I1113)+IF($G1114="",0,$G1114)-IF($H1114="",0,$H1114))</f>
        <v/>
      </c>
      <c r="L1114">
        <f>IFERROR(MATCH($C$5&amp;"|"&amp;RIGHT("000000"&amp;1098,6),LdgRankKeyA,0),"")</f>
        <v/>
      </c>
      <c r="M1114">
        <f>IFERROR(MATCH($C$5&amp;"|"&amp;RIGHT("000000"&amp;1098,6),LdgRankKeyB,0),"")</f>
        <v/>
      </c>
    </row>
    <row r="1115">
      <c r="A1115" s="17" t="n">
        <v>1099</v>
      </c>
      <c r="B1115" s="18">
        <f>IF(AND($L1115="",$M1115=""),"",IF($L1115&lt;&gt;"",INDEX(SCNormDate,$L1115),INDEX(LdgDateB,$M1115)))</f>
        <v/>
      </c>
      <c r="C1115" s="18">
        <f>IF($L1115&lt;&gt;"",INDEX(SCOp,$L1115),IF($M1115&lt;&gt;"","پرداخت بانکی",""))</f>
        <v/>
      </c>
      <c r="D1115" s="18">
        <f>IF($L1115&lt;&gt;"",IF(INDEX(SCDoc,$L1115)="","—",INDEX(SCDoc,$L1115)),IF($M1115&lt;&gt;"",INDEX(LdgBankB,$M1115),""))</f>
        <v/>
      </c>
      <c r="E1115" s="19">
        <f>IF($L1115&lt;&gt;"",IF(INDEX(SCCitrus,$L1115)&amp;INDEX(SCNotes,$L1115)="","",IF(INDEX(SCCitrus,$L1115)="","",INDEX(SCCitrus,$L1115))&amp;IF(INDEX(SCNotes,$L1115)="",""," — "&amp;INDEX(SCNotes,$L1115))),IF($M1115&lt;&gt;"",IF(INDEX(LdgNoteB,$M1115)="","—",INDEX(LdgNoteB,$M1115)),""))</f>
        <v/>
      </c>
      <c r="F1115" s="20">
        <f>IF($L1115&lt;&gt;"",IF(INDEX(SCNet,$L1115)=0,"",INDEX(SCNet,$L1115)),"")</f>
        <v/>
      </c>
      <c r="G1115" s="21">
        <f>IF($L1115&lt;&gt;"",IF(INDEX(SCOp,$L1115)="مرجوعی فروش","",IF(INDEX(SCAmount,$L1115)&lt;=0,"",INDEX(SCAmount,$L1115))),IF($M1115&lt;&gt;"",IF(INDEX(LdgWitB,$M1115)=0,"",INDEX(LdgWitB,$M1115)),""))</f>
        <v/>
      </c>
      <c r="H1115" s="21">
        <f>IF($L1115&lt;&gt;"",IF(INDEX(SCOp,$L1115)="مرجوعی فروش",IF(INDEX(SCAmount,$L1115)=0,"",-INDEX(SCAmount,$L1115)),""),IF($M1115&lt;&gt;"",IF(INDEX(LdgDepB,$M1115)=0,"",INDEX(LdgDepB,$M1115)),""))</f>
        <v/>
      </c>
      <c r="I1115" s="22">
        <f>IF($B1115="","",IF($I1114="",$C$10,$I1114)+IF($G1115="",0,$G1115)-IF($H1115="",0,$H1115))</f>
        <v/>
      </c>
      <c r="L1115">
        <f>IFERROR(MATCH($C$5&amp;"|"&amp;RIGHT("000000"&amp;1099,6),LdgRankKeyA,0),"")</f>
        <v/>
      </c>
      <c r="M1115">
        <f>IFERROR(MATCH($C$5&amp;"|"&amp;RIGHT("000000"&amp;1099,6),LdgRankKeyB,0),"")</f>
        <v/>
      </c>
    </row>
    <row r="1116">
      <c r="A1116" s="23" t="n">
        <v>1100</v>
      </c>
      <c r="B1116" s="24">
        <f>IF(AND($L1116="",$M1116=""),"",IF($L1116&lt;&gt;"",INDEX(SCNormDate,$L1116),INDEX(LdgDateB,$M1116)))</f>
        <v/>
      </c>
      <c r="C1116" s="24">
        <f>IF($L1116&lt;&gt;"",INDEX(SCOp,$L1116),IF($M1116&lt;&gt;"","پرداخت بانکی",""))</f>
        <v/>
      </c>
      <c r="D1116" s="24">
        <f>IF($L1116&lt;&gt;"",IF(INDEX(SCDoc,$L1116)="","—",INDEX(SCDoc,$L1116)),IF($M1116&lt;&gt;"",INDEX(LdgBankB,$M1116),""))</f>
        <v/>
      </c>
      <c r="E1116" s="25">
        <f>IF($L1116&lt;&gt;"",IF(INDEX(SCCitrus,$L1116)&amp;INDEX(SCNotes,$L1116)="","",IF(INDEX(SCCitrus,$L1116)="","",INDEX(SCCitrus,$L1116))&amp;IF(INDEX(SCNotes,$L1116)="",""," — "&amp;INDEX(SCNotes,$L1116))),IF($M1116&lt;&gt;"",IF(INDEX(LdgNoteB,$M1116)="","—",INDEX(LdgNoteB,$M1116)),""))</f>
        <v/>
      </c>
      <c r="F1116" s="26">
        <f>IF($L1116&lt;&gt;"",IF(INDEX(SCNet,$L1116)=0,"",INDEX(SCNet,$L1116)),"")</f>
        <v/>
      </c>
      <c r="G1116" s="27">
        <f>IF($L1116&lt;&gt;"",IF(INDEX(SCOp,$L1116)="مرجوعی فروش","",IF(INDEX(SCAmount,$L1116)&lt;=0,"",INDEX(SCAmount,$L1116))),IF($M1116&lt;&gt;"",IF(INDEX(LdgWitB,$M1116)=0,"",INDEX(LdgWitB,$M1116)),""))</f>
        <v/>
      </c>
      <c r="H1116" s="27">
        <f>IF($L1116&lt;&gt;"",IF(INDEX(SCOp,$L1116)="مرجوعی فروش",IF(INDEX(SCAmount,$L1116)=0,"",-INDEX(SCAmount,$L1116)),""),IF($M1116&lt;&gt;"",IF(INDEX(LdgDepB,$M1116)=0,"",INDEX(LdgDepB,$M1116)),""))</f>
        <v/>
      </c>
      <c r="I1116" s="28">
        <f>IF($B1116="","",IF($I1115="",$C$10,$I1115)+IF($G1116="",0,$G1116)-IF($H1116="",0,$H1116))</f>
        <v/>
      </c>
      <c r="L1116">
        <f>IFERROR(MATCH($C$5&amp;"|"&amp;RIGHT("000000"&amp;1100,6),LdgRankKeyA,0),"")</f>
        <v/>
      </c>
      <c r="M1116">
        <f>IFERROR(MATCH($C$5&amp;"|"&amp;RIGHT("000000"&amp;1100,6),LdgRankKeyB,0),"")</f>
        <v/>
      </c>
    </row>
    <row r="1117">
      <c r="A1117" s="17" t="n">
        <v>1101</v>
      </c>
      <c r="B1117" s="18">
        <f>IF(AND($L1117="",$M1117=""),"",IF($L1117&lt;&gt;"",INDEX(SCNormDate,$L1117),INDEX(LdgDateB,$M1117)))</f>
        <v/>
      </c>
      <c r="C1117" s="18">
        <f>IF($L1117&lt;&gt;"",INDEX(SCOp,$L1117),IF($M1117&lt;&gt;"","پرداخت بانکی",""))</f>
        <v/>
      </c>
      <c r="D1117" s="18">
        <f>IF($L1117&lt;&gt;"",IF(INDEX(SCDoc,$L1117)="","—",INDEX(SCDoc,$L1117)),IF($M1117&lt;&gt;"",INDEX(LdgBankB,$M1117),""))</f>
        <v/>
      </c>
      <c r="E1117" s="19">
        <f>IF($L1117&lt;&gt;"",IF(INDEX(SCCitrus,$L1117)&amp;INDEX(SCNotes,$L1117)="","",IF(INDEX(SCCitrus,$L1117)="","",INDEX(SCCitrus,$L1117))&amp;IF(INDEX(SCNotes,$L1117)="",""," — "&amp;INDEX(SCNotes,$L1117))),IF($M1117&lt;&gt;"",IF(INDEX(LdgNoteB,$M1117)="","—",INDEX(LdgNoteB,$M1117)),""))</f>
        <v/>
      </c>
      <c r="F1117" s="20">
        <f>IF($L1117&lt;&gt;"",IF(INDEX(SCNet,$L1117)=0,"",INDEX(SCNet,$L1117)),"")</f>
        <v/>
      </c>
      <c r="G1117" s="21">
        <f>IF($L1117&lt;&gt;"",IF(INDEX(SCOp,$L1117)="مرجوعی فروش","",IF(INDEX(SCAmount,$L1117)&lt;=0,"",INDEX(SCAmount,$L1117))),IF($M1117&lt;&gt;"",IF(INDEX(LdgWitB,$M1117)=0,"",INDEX(LdgWitB,$M1117)),""))</f>
        <v/>
      </c>
      <c r="H1117" s="21">
        <f>IF($L1117&lt;&gt;"",IF(INDEX(SCOp,$L1117)="مرجوعی فروش",IF(INDEX(SCAmount,$L1117)=0,"",-INDEX(SCAmount,$L1117)),""),IF($M1117&lt;&gt;"",IF(INDEX(LdgDepB,$M1117)=0,"",INDEX(LdgDepB,$M1117)),""))</f>
        <v/>
      </c>
      <c r="I1117" s="22">
        <f>IF($B1117="","",IF($I1116="",$C$10,$I1116)+IF($G1117="",0,$G1117)-IF($H1117="",0,$H1117))</f>
        <v/>
      </c>
      <c r="L1117">
        <f>IFERROR(MATCH($C$5&amp;"|"&amp;RIGHT("000000"&amp;1101,6),LdgRankKeyA,0),"")</f>
        <v/>
      </c>
      <c r="M1117">
        <f>IFERROR(MATCH($C$5&amp;"|"&amp;RIGHT("000000"&amp;1101,6),LdgRankKeyB,0),"")</f>
        <v/>
      </c>
    </row>
    <row r="1118">
      <c r="A1118" s="23" t="n">
        <v>1102</v>
      </c>
      <c r="B1118" s="24">
        <f>IF(AND($L1118="",$M1118=""),"",IF($L1118&lt;&gt;"",INDEX(SCNormDate,$L1118),INDEX(LdgDateB,$M1118)))</f>
        <v/>
      </c>
      <c r="C1118" s="24">
        <f>IF($L1118&lt;&gt;"",INDEX(SCOp,$L1118),IF($M1118&lt;&gt;"","پرداخت بانکی",""))</f>
        <v/>
      </c>
      <c r="D1118" s="24">
        <f>IF($L1118&lt;&gt;"",IF(INDEX(SCDoc,$L1118)="","—",INDEX(SCDoc,$L1118)),IF($M1118&lt;&gt;"",INDEX(LdgBankB,$M1118),""))</f>
        <v/>
      </c>
      <c r="E1118" s="25">
        <f>IF($L1118&lt;&gt;"",IF(INDEX(SCCitrus,$L1118)&amp;INDEX(SCNotes,$L1118)="","",IF(INDEX(SCCitrus,$L1118)="","",INDEX(SCCitrus,$L1118))&amp;IF(INDEX(SCNotes,$L1118)="",""," — "&amp;INDEX(SCNotes,$L1118))),IF($M1118&lt;&gt;"",IF(INDEX(LdgNoteB,$M1118)="","—",INDEX(LdgNoteB,$M1118)),""))</f>
        <v/>
      </c>
      <c r="F1118" s="26">
        <f>IF($L1118&lt;&gt;"",IF(INDEX(SCNet,$L1118)=0,"",INDEX(SCNet,$L1118)),"")</f>
        <v/>
      </c>
      <c r="G1118" s="27">
        <f>IF($L1118&lt;&gt;"",IF(INDEX(SCOp,$L1118)="مرجوعی فروش","",IF(INDEX(SCAmount,$L1118)&lt;=0,"",INDEX(SCAmount,$L1118))),IF($M1118&lt;&gt;"",IF(INDEX(LdgWitB,$M1118)=0,"",INDEX(LdgWitB,$M1118)),""))</f>
        <v/>
      </c>
      <c r="H1118" s="27">
        <f>IF($L1118&lt;&gt;"",IF(INDEX(SCOp,$L1118)="مرجوعی فروش",IF(INDEX(SCAmount,$L1118)=0,"",-INDEX(SCAmount,$L1118)),""),IF($M1118&lt;&gt;"",IF(INDEX(LdgDepB,$M1118)=0,"",INDEX(LdgDepB,$M1118)),""))</f>
        <v/>
      </c>
      <c r="I1118" s="28">
        <f>IF($B1118="","",IF($I1117="",$C$10,$I1117)+IF($G1118="",0,$G1118)-IF($H1118="",0,$H1118))</f>
        <v/>
      </c>
      <c r="L1118">
        <f>IFERROR(MATCH($C$5&amp;"|"&amp;RIGHT("000000"&amp;1102,6),LdgRankKeyA,0),"")</f>
        <v/>
      </c>
      <c r="M1118">
        <f>IFERROR(MATCH($C$5&amp;"|"&amp;RIGHT("000000"&amp;1102,6),LdgRankKeyB,0),"")</f>
        <v/>
      </c>
    </row>
    <row r="1119">
      <c r="A1119" s="17" t="n">
        <v>1103</v>
      </c>
      <c r="B1119" s="18">
        <f>IF(AND($L1119="",$M1119=""),"",IF($L1119&lt;&gt;"",INDEX(SCNormDate,$L1119),INDEX(LdgDateB,$M1119)))</f>
        <v/>
      </c>
      <c r="C1119" s="18">
        <f>IF($L1119&lt;&gt;"",INDEX(SCOp,$L1119),IF($M1119&lt;&gt;"","پرداخت بانکی",""))</f>
        <v/>
      </c>
      <c r="D1119" s="18">
        <f>IF($L1119&lt;&gt;"",IF(INDEX(SCDoc,$L1119)="","—",INDEX(SCDoc,$L1119)),IF($M1119&lt;&gt;"",INDEX(LdgBankB,$M1119),""))</f>
        <v/>
      </c>
      <c r="E1119" s="19">
        <f>IF($L1119&lt;&gt;"",IF(INDEX(SCCitrus,$L1119)&amp;INDEX(SCNotes,$L1119)="","",IF(INDEX(SCCitrus,$L1119)="","",INDEX(SCCitrus,$L1119))&amp;IF(INDEX(SCNotes,$L1119)="",""," — "&amp;INDEX(SCNotes,$L1119))),IF($M1119&lt;&gt;"",IF(INDEX(LdgNoteB,$M1119)="","—",INDEX(LdgNoteB,$M1119)),""))</f>
        <v/>
      </c>
      <c r="F1119" s="20">
        <f>IF($L1119&lt;&gt;"",IF(INDEX(SCNet,$L1119)=0,"",INDEX(SCNet,$L1119)),"")</f>
        <v/>
      </c>
      <c r="G1119" s="21">
        <f>IF($L1119&lt;&gt;"",IF(INDEX(SCOp,$L1119)="مرجوعی فروش","",IF(INDEX(SCAmount,$L1119)&lt;=0,"",INDEX(SCAmount,$L1119))),IF($M1119&lt;&gt;"",IF(INDEX(LdgWitB,$M1119)=0,"",INDEX(LdgWitB,$M1119)),""))</f>
        <v/>
      </c>
      <c r="H1119" s="21">
        <f>IF($L1119&lt;&gt;"",IF(INDEX(SCOp,$L1119)="مرجوعی فروش",IF(INDEX(SCAmount,$L1119)=0,"",-INDEX(SCAmount,$L1119)),""),IF($M1119&lt;&gt;"",IF(INDEX(LdgDepB,$M1119)=0,"",INDEX(LdgDepB,$M1119)),""))</f>
        <v/>
      </c>
      <c r="I1119" s="22">
        <f>IF($B1119="","",IF($I1118="",$C$10,$I1118)+IF($G1119="",0,$G1119)-IF($H1119="",0,$H1119))</f>
        <v/>
      </c>
      <c r="L1119">
        <f>IFERROR(MATCH($C$5&amp;"|"&amp;RIGHT("000000"&amp;1103,6),LdgRankKeyA,0),"")</f>
        <v/>
      </c>
      <c r="M1119">
        <f>IFERROR(MATCH($C$5&amp;"|"&amp;RIGHT("000000"&amp;1103,6),LdgRankKeyB,0),"")</f>
        <v/>
      </c>
    </row>
    <row r="1120">
      <c r="A1120" s="23" t="n">
        <v>1104</v>
      </c>
      <c r="B1120" s="24">
        <f>IF(AND($L1120="",$M1120=""),"",IF($L1120&lt;&gt;"",INDEX(SCNormDate,$L1120),INDEX(LdgDateB,$M1120)))</f>
        <v/>
      </c>
      <c r="C1120" s="24">
        <f>IF($L1120&lt;&gt;"",INDEX(SCOp,$L1120),IF($M1120&lt;&gt;"","پرداخت بانکی",""))</f>
        <v/>
      </c>
      <c r="D1120" s="24">
        <f>IF($L1120&lt;&gt;"",IF(INDEX(SCDoc,$L1120)="","—",INDEX(SCDoc,$L1120)),IF($M1120&lt;&gt;"",INDEX(LdgBankB,$M1120),""))</f>
        <v/>
      </c>
      <c r="E1120" s="25">
        <f>IF($L1120&lt;&gt;"",IF(INDEX(SCCitrus,$L1120)&amp;INDEX(SCNotes,$L1120)="","",IF(INDEX(SCCitrus,$L1120)="","",INDEX(SCCitrus,$L1120))&amp;IF(INDEX(SCNotes,$L1120)="",""," — "&amp;INDEX(SCNotes,$L1120))),IF($M1120&lt;&gt;"",IF(INDEX(LdgNoteB,$M1120)="","—",INDEX(LdgNoteB,$M1120)),""))</f>
        <v/>
      </c>
      <c r="F1120" s="26">
        <f>IF($L1120&lt;&gt;"",IF(INDEX(SCNet,$L1120)=0,"",INDEX(SCNet,$L1120)),"")</f>
        <v/>
      </c>
      <c r="G1120" s="27">
        <f>IF($L1120&lt;&gt;"",IF(INDEX(SCOp,$L1120)="مرجوعی فروش","",IF(INDEX(SCAmount,$L1120)&lt;=0,"",INDEX(SCAmount,$L1120))),IF($M1120&lt;&gt;"",IF(INDEX(LdgWitB,$M1120)=0,"",INDEX(LdgWitB,$M1120)),""))</f>
        <v/>
      </c>
      <c r="H1120" s="27">
        <f>IF($L1120&lt;&gt;"",IF(INDEX(SCOp,$L1120)="مرجوعی فروش",IF(INDEX(SCAmount,$L1120)=0,"",-INDEX(SCAmount,$L1120)),""),IF($M1120&lt;&gt;"",IF(INDEX(LdgDepB,$M1120)=0,"",INDEX(LdgDepB,$M1120)),""))</f>
        <v/>
      </c>
      <c r="I1120" s="28">
        <f>IF($B1120="","",IF($I1119="",$C$10,$I1119)+IF($G1120="",0,$G1120)-IF($H1120="",0,$H1120))</f>
        <v/>
      </c>
      <c r="L1120">
        <f>IFERROR(MATCH($C$5&amp;"|"&amp;RIGHT("000000"&amp;1104,6),LdgRankKeyA,0),"")</f>
        <v/>
      </c>
      <c r="M1120">
        <f>IFERROR(MATCH($C$5&amp;"|"&amp;RIGHT("000000"&amp;1104,6),LdgRankKeyB,0),"")</f>
        <v/>
      </c>
    </row>
    <row r="1121">
      <c r="A1121" s="17" t="n">
        <v>1105</v>
      </c>
      <c r="B1121" s="18">
        <f>IF(AND($L1121="",$M1121=""),"",IF($L1121&lt;&gt;"",INDEX(SCNormDate,$L1121),INDEX(LdgDateB,$M1121)))</f>
        <v/>
      </c>
      <c r="C1121" s="18">
        <f>IF($L1121&lt;&gt;"",INDEX(SCOp,$L1121),IF($M1121&lt;&gt;"","پرداخت بانکی",""))</f>
        <v/>
      </c>
      <c r="D1121" s="18">
        <f>IF($L1121&lt;&gt;"",IF(INDEX(SCDoc,$L1121)="","—",INDEX(SCDoc,$L1121)),IF($M1121&lt;&gt;"",INDEX(LdgBankB,$M1121),""))</f>
        <v/>
      </c>
      <c r="E1121" s="19">
        <f>IF($L1121&lt;&gt;"",IF(INDEX(SCCitrus,$L1121)&amp;INDEX(SCNotes,$L1121)="","",IF(INDEX(SCCitrus,$L1121)="","",INDEX(SCCitrus,$L1121))&amp;IF(INDEX(SCNotes,$L1121)="",""," — "&amp;INDEX(SCNotes,$L1121))),IF($M1121&lt;&gt;"",IF(INDEX(LdgNoteB,$M1121)="","—",INDEX(LdgNoteB,$M1121)),""))</f>
        <v/>
      </c>
      <c r="F1121" s="20">
        <f>IF($L1121&lt;&gt;"",IF(INDEX(SCNet,$L1121)=0,"",INDEX(SCNet,$L1121)),"")</f>
        <v/>
      </c>
      <c r="G1121" s="21">
        <f>IF($L1121&lt;&gt;"",IF(INDEX(SCOp,$L1121)="مرجوعی فروش","",IF(INDEX(SCAmount,$L1121)&lt;=0,"",INDEX(SCAmount,$L1121))),IF($M1121&lt;&gt;"",IF(INDEX(LdgWitB,$M1121)=0,"",INDEX(LdgWitB,$M1121)),""))</f>
        <v/>
      </c>
      <c r="H1121" s="21">
        <f>IF($L1121&lt;&gt;"",IF(INDEX(SCOp,$L1121)="مرجوعی فروش",IF(INDEX(SCAmount,$L1121)=0,"",-INDEX(SCAmount,$L1121)),""),IF($M1121&lt;&gt;"",IF(INDEX(LdgDepB,$M1121)=0,"",INDEX(LdgDepB,$M1121)),""))</f>
        <v/>
      </c>
      <c r="I1121" s="22">
        <f>IF($B1121="","",IF($I1120="",$C$10,$I1120)+IF($G1121="",0,$G1121)-IF($H1121="",0,$H1121))</f>
        <v/>
      </c>
      <c r="L1121">
        <f>IFERROR(MATCH($C$5&amp;"|"&amp;RIGHT("000000"&amp;1105,6),LdgRankKeyA,0),"")</f>
        <v/>
      </c>
      <c r="M1121">
        <f>IFERROR(MATCH($C$5&amp;"|"&amp;RIGHT("000000"&amp;1105,6),LdgRankKeyB,0),"")</f>
        <v/>
      </c>
    </row>
    <row r="1122">
      <c r="A1122" s="23" t="n">
        <v>1106</v>
      </c>
      <c r="B1122" s="24">
        <f>IF(AND($L1122="",$M1122=""),"",IF($L1122&lt;&gt;"",INDEX(SCNormDate,$L1122),INDEX(LdgDateB,$M1122)))</f>
        <v/>
      </c>
      <c r="C1122" s="24">
        <f>IF($L1122&lt;&gt;"",INDEX(SCOp,$L1122),IF($M1122&lt;&gt;"","پرداخت بانکی",""))</f>
        <v/>
      </c>
      <c r="D1122" s="24">
        <f>IF($L1122&lt;&gt;"",IF(INDEX(SCDoc,$L1122)="","—",INDEX(SCDoc,$L1122)),IF($M1122&lt;&gt;"",INDEX(LdgBankB,$M1122),""))</f>
        <v/>
      </c>
      <c r="E1122" s="25">
        <f>IF($L1122&lt;&gt;"",IF(INDEX(SCCitrus,$L1122)&amp;INDEX(SCNotes,$L1122)="","",IF(INDEX(SCCitrus,$L1122)="","",INDEX(SCCitrus,$L1122))&amp;IF(INDEX(SCNotes,$L1122)="",""," — "&amp;INDEX(SCNotes,$L1122))),IF($M1122&lt;&gt;"",IF(INDEX(LdgNoteB,$M1122)="","—",INDEX(LdgNoteB,$M1122)),""))</f>
        <v/>
      </c>
      <c r="F1122" s="26">
        <f>IF($L1122&lt;&gt;"",IF(INDEX(SCNet,$L1122)=0,"",INDEX(SCNet,$L1122)),"")</f>
        <v/>
      </c>
      <c r="G1122" s="27">
        <f>IF($L1122&lt;&gt;"",IF(INDEX(SCOp,$L1122)="مرجوعی فروش","",IF(INDEX(SCAmount,$L1122)&lt;=0,"",INDEX(SCAmount,$L1122))),IF($M1122&lt;&gt;"",IF(INDEX(LdgWitB,$M1122)=0,"",INDEX(LdgWitB,$M1122)),""))</f>
        <v/>
      </c>
      <c r="H1122" s="27">
        <f>IF($L1122&lt;&gt;"",IF(INDEX(SCOp,$L1122)="مرجوعی فروش",IF(INDEX(SCAmount,$L1122)=0,"",-INDEX(SCAmount,$L1122)),""),IF($M1122&lt;&gt;"",IF(INDEX(LdgDepB,$M1122)=0,"",INDEX(LdgDepB,$M1122)),""))</f>
        <v/>
      </c>
      <c r="I1122" s="28">
        <f>IF($B1122="","",IF($I1121="",$C$10,$I1121)+IF($G1122="",0,$G1122)-IF($H1122="",0,$H1122))</f>
        <v/>
      </c>
      <c r="L1122">
        <f>IFERROR(MATCH($C$5&amp;"|"&amp;RIGHT("000000"&amp;1106,6),LdgRankKeyA,0),"")</f>
        <v/>
      </c>
      <c r="M1122">
        <f>IFERROR(MATCH($C$5&amp;"|"&amp;RIGHT("000000"&amp;1106,6),LdgRankKeyB,0),"")</f>
        <v/>
      </c>
    </row>
    <row r="1123">
      <c r="A1123" s="17" t="n">
        <v>1107</v>
      </c>
      <c r="B1123" s="18">
        <f>IF(AND($L1123="",$M1123=""),"",IF($L1123&lt;&gt;"",INDEX(SCNormDate,$L1123),INDEX(LdgDateB,$M1123)))</f>
        <v/>
      </c>
      <c r="C1123" s="18">
        <f>IF($L1123&lt;&gt;"",INDEX(SCOp,$L1123),IF($M1123&lt;&gt;"","پرداخت بانکی",""))</f>
        <v/>
      </c>
      <c r="D1123" s="18">
        <f>IF($L1123&lt;&gt;"",IF(INDEX(SCDoc,$L1123)="","—",INDEX(SCDoc,$L1123)),IF($M1123&lt;&gt;"",INDEX(LdgBankB,$M1123),""))</f>
        <v/>
      </c>
      <c r="E1123" s="19">
        <f>IF($L1123&lt;&gt;"",IF(INDEX(SCCitrus,$L1123)&amp;INDEX(SCNotes,$L1123)="","",IF(INDEX(SCCitrus,$L1123)="","",INDEX(SCCitrus,$L1123))&amp;IF(INDEX(SCNotes,$L1123)="",""," — "&amp;INDEX(SCNotes,$L1123))),IF($M1123&lt;&gt;"",IF(INDEX(LdgNoteB,$M1123)="","—",INDEX(LdgNoteB,$M1123)),""))</f>
        <v/>
      </c>
      <c r="F1123" s="20">
        <f>IF($L1123&lt;&gt;"",IF(INDEX(SCNet,$L1123)=0,"",INDEX(SCNet,$L1123)),"")</f>
        <v/>
      </c>
      <c r="G1123" s="21">
        <f>IF($L1123&lt;&gt;"",IF(INDEX(SCOp,$L1123)="مرجوعی فروش","",IF(INDEX(SCAmount,$L1123)&lt;=0,"",INDEX(SCAmount,$L1123))),IF($M1123&lt;&gt;"",IF(INDEX(LdgWitB,$M1123)=0,"",INDEX(LdgWitB,$M1123)),""))</f>
        <v/>
      </c>
      <c r="H1123" s="21">
        <f>IF($L1123&lt;&gt;"",IF(INDEX(SCOp,$L1123)="مرجوعی فروش",IF(INDEX(SCAmount,$L1123)=0,"",-INDEX(SCAmount,$L1123)),""),IF($M1123&lt;&gt;"",IF(INDEX(LdgDepB,$M1123)=0,"",INDEX(LdgDepB,$M1123)),""))</f>
        <v/>
      </c>
      <c r="I1123" s="22">
        <f>IF($B1123="","",IF($I1122="",$C$10,$I1122)+IF($G1123="",0,$G1123)-IF($H1123="",0,$H1123))</f>
        <v/>
      </c>
      <c r="L1123">
        <f>IFERROR(MATCH($C$5&amp;"|"&amp;RIGHT("000000"&amp;1107,6),LdgRankKeyA,0),"")</f>
        <v/>
      </c>
      <c r="M1123">
        <f>IFERROR(MATCH($C$5&amp;"|"&amp;RIGHT("000000"&amp;1107,6),LdgRankKeyB,0),"")</f>
        <v/>
      </c>
    </row>
    <row r="1124">
      <c r="A1124" s="23" t="n">
        <v>1108</v>
      </c>
      <c r="B1124" s="24">
        <f>IF(AND($L1124="",$M1124=""),"",IF($L1124&lt;&gt;"",INDEX(SCNormDate,$L1124),INDEX(LdgDateB,$M1124)))</f>
        <v/>
      </c>
      <c r="C1124" s="24">
        <f>IF($L1124&lt;&gt;"",INDEX(SCOp,$L1124),IF($M1124&lt;&gt;"","پرداخت بانکی",""))</f>
        <v/>
      </c>
      <c r="D1124" s="24">
        <f>IF($L1124&lt;&gt;"",IF(INDEX(SCDoc,$L1124)="","—",INDEX(SCDoc,$L1124)),IF($M1124&lt;&gt;"",INDEX(LdgBankB,$M1124),""))</f>
        <v/>
      </c>
      <c r="E1124" s="25">
        <f>IF($L1124&lt;&gt;"",IF(INDEX(SCCitrus,$L1124)&amp;INDEX(SCNotes,$L1124)="","",IF(INDEX(SCCitrus,$L1124)="","",INDEX(SCCitrus,$L1124))&amp;IF(INDEX(SCNotes,$L1124)="",""," — "&amp;INDEX(SCNotes,$L1124))),IF($M1124&lt;&gt;"",IF(INDEX(LdgNoteB,$M1124)="","—",INDEX(LdgNoteB,$M1124)),""))</f>
        <v/>
      </c>
      <c r="F1124" s="26">
        <f>IF($L1124&lt;&gt;"",IF(INDEX(SCNet,$L1124)=0,"",INDEX(SCNet,$L1124)),"")</f>
        <v/>
      </c>
      <c r="G1124" s="27">
        <f>IF($L1124&lt;&gt;"",IF(INDEX(SCOp,$L1124)="مرجوعی فروش","",IF(INDEX(SCAmount,$L1124)&lt;=0,"",INDEX(SCAmount,$L1124))),IF($M1124&lt;&gt;"",IF(INDEX(LdgWitB,$M1124)=0,"",INDEX(LdgWitB,$M1124)),""))</f>
        <v/>
      </c>
      <c r="H1124" s="27">
        <f>IF($L1124&lt;&gt;"",IF(INDEX(SCOp,$L1124)="مرجوعی فروش",IF(INDEX(SCAmount,$L1124)=0,"",-INDEX(SCAmount,$L1124)),""),IF($M1124&lt;&gt;"",IF(INDEX(LdgDepB,$M1124)=0,"",INDEX(LdgDepB,$M1124)),""))</f>
        <v/>
      </c>
      <c r="I1124" s="28">
        <f>IF($B1124="","",IF($I1123="",$C$10,$I1123)+IF($G1124="",0,$G1124)-IF($H1124="",0,$H1124))</f>
        <v/>
      </c>
      <c r="L1124">
        <f>IFERROR(MATCH($C$5&amp;"|"&amp;RIGHT("000000"&amp;1108,6),LdgRankKeyA,0),"")</f>
        <v/>
      </c>
      <c r="M1124">
        <f>IFERROR(MATCH($C$5&amp;"|"&amp;RIGHT("000000"&amp;1108,6),LdgRankKeyB,0),"")</f>
        <v/>
      </c>
    </row>
    <row r="1125">
      <c r="A1125" s="17" t="n">
        <v>1109</v>
      </c>
      <c r="B1125" s="18">
        <f>IF(AND($L1125="",$M1125=""),"",IF($L1125&lt;&gt;"",INDEX(SCNormDate,$L1125),INDEX(LdgDateB,$M1125)))</f>
        <v/>
      </c>
      <c r="C1125" s="18">
        <f>IF($L1125&lt;&gt;"",INDEX(SCOp,$L1125),IF($M1125&lt;&gt;"","پرداخت بانکی",""))</f>
        <v/>
      </c>
      <c r="D1125" s="18">
        <f>IF($L1125&lt;&gt;"",IF(INDEX(SCDoc,$L1125)="","—",INDEX(SCDoc,$L1125)),IF($M1125&lt;&gt;"",INDEX(LdgBankB,$M1125),""))</f>
        <v/>
      </c>
      <c r="E1125" s="19">
        <f>IF($L1125&lt;&gt;"",IF(INDEX(SCCitrus,$L1125)&amp;INDEX(SCNotes,$L1125)="","",IF(INDEX(SCCitrus,$L1125)="","",INDEX(SCCitrus,$L1125))&amp;IF(INDEX(SCNotes,$L1125)="",""," — "&amp;INDEX(SCNotes,$L1125))),IF($M1125&lt;&gt;"",IF(INDEX(LdgNoteB,$M1125)="","—",INDEX(LdgNoteB,$M1125)),""))</f>
        <v/>
      </c>
      <c r="F1125" s="20">
        <f>IF($L1125&lt;&gt;"",IF(INDEX(SCNet,$L1125)=0,"",INDEX(SCNet,$L1125)),"")</f>
        <v/>
      </c>
      <c r="G1125" s="21">
        <f>IF($L1125&lt;&gt;"",IF(INDEX(SCOp,$L1125)="مرجوعی فروش","",IF(INDEX(SCAmount,$L1125)&lt;=0,"",INDEX(SCAmount,$L1125))),IF($M1125&lt;&gt;"",IF(INDEX(LdgWitB,$M1125)=0,"",INDEX(LdgWitB,$M1125)),""))</f>
        <v/>
      </c>
      <c r="H1125" s="21">
        <f>IF($L1125&lt;&gt;"",IF(INDEX(SCOp,$L1125)="مرجوعی فروش",IF(INDEX(SCAmount,$L1125)=0,"",-INDEX(SCAmount,$L1125)),""),IF($M1125&lt;&gt;"",IF(INDEX(LdgDepB,$M1125)=0,"",INDEX(LdgDepB,$M1125)),""))</f>
        <v/>
      </c>
      <c r="I1125" s="22">
        <f>IF($B1125="","",IF($I1124="",$C$10,$I1124)+IF($G1125="",0,$G1125)-IF($H1125="",0,$H1125))</f>
        <v/>
      </c>
      <c r="L1125">
        <f>IFERROR(MATCH($C$5&amp;"|"&amp;RIGHT("000000"&amp;1109,6),LdgRankKeyA,0),"")</f>
        <v/>
      </c>
      <c r="M1125">
        <f>IFERROR(MATCH($C$5&amp;"|"&amp;RIGHT("000000"&amp;1109,6),LdgRankKeyB,0),"")</f>
        <v/>
      </c>
    </row>
    <row r="1126">
      <c r="A1126" s="23" t="n">
        <v>1110</v>
      </c>
      <c r="B1126" s="24">
        <f>IF(AND($L1126="",$M1126=""),"",IF($L1126&lt;&gt;"",INDEX(SCNormDate,$L1126),INDEX(LdgDateB,$M1126)))</f>
        <v/>
      </c>
      <c r="C1126" s="24">
        <f>IF($L1126&lt;&gt;"",INDEX(SCOp,$L1126),IF($M1126&lt;&gt;"","پرداخت بانکی",""))</f>
        <v/>
      </c>
      <c r="D1126" s="24">
        <f>IF($L1126&lt;&gt;"",IF(INDEX(SCDoc,$L1126)="","—",INDEX(SCDoc,$L1126)),IF($M1126&lt;&gt;"",INDEX(LdgBankB,$M1126),""))</f>
        <v/>
      </c>
      <c r="E1126" s="25">
        <f>IF($L1126&lt;&gt;"",IF(INDEX(SCCitrus,$L1126)&amp;INDEX(SCNotes,$L1126)="","",IF(INDEX(SCCitrus,$L1126)="","",INDEX(SCCitrus,$L1126))&amp;IF(INDEX(SCNotes,$L1126)="",""," — "&amp;INDEX(SCNotes,$L1126))),IF($M1126&lt;&gt;"",IF(INDEX(LdgNoteB,$M1126)="","—",INDEX(LdgNoteB,$M1126)),""))</f>
        <v/>
      </c>
      <c r="F1126" s="26">
        <f>IF($L1126&lt;&gt;"",IF(INDEX(SCNet,$L1126)=0,"",INDEX(SCNet,$L1126)),"")</f>
        <v/>
      </c>
      <c r="G1126" s="27">
        <f>IF($L1126&lt;&gt;"",IF(INDEX(SCOp,$L1126)="مرجوعی فروش","",IF(INDEX(SCAmount,$L1126)&lt;=0,"",INDEX(SCAmount,$L1126))),IF($M1126&lt;&gt;"",IF(INDEX(LdgWitB,$M1126)=0,"",INDEX(LdgWitB,$M1126)),""))</f>
        <v/>
      </c>
      <c r="H1126" s="27">
        <f>IF($L1126&lt;&gt;"",IF(INDEX(SCOp,$L1126)="مرجوعی فروش",IF(INDEX(SCAmount,$L1126)=0,"",-INDEX(SCAmount,$L1126)),""),IF($M1126&lt;&gt;"",IF(INDEX(LdgDepB,$M1126)=0,"",INDEX(LdgDepB,$M1126)),""))</f>
        <v/>
      </c>
      <c r="I1126" s="28">
        <f>IF($B1126="","",IF($I1125="",$C$10,$I1125)+IF($G1126="",0,$G1126)-IF($H1126="",0,$H1126))</f>
        <v/>
      </c>
      <c r="L1126">
        <f>IFERROR(MATCH($C$5&amp;"|"&amp;RIGHT("000000"&amp;1110,6),LdgRankKeyA,0),"")</f>
        <v/>
      </c>
      <c r="M1126">
        <f>IFERROR(MATCH($C$5&amp;"|"&amp;RIGHT("000000"&amp;1110,6),LdgRankKeyB,0),"")</f>
        <v/>
      </c>
    </row>
    <row r="1127">
      <c r="A1127" s="17" t="n">
        <v>1111</v>
      </c>
      <c r="B1127" s="18">
        <f>IF(AND($L1127="",$M1127=""),"",IF($L1127&lt;&gt;"",INDEX(SCNormDate,$L1127),INDEX(LdgDateB,$M1127)))</f>
        <v/>
      </c>
      <c r="C1127" s="18">
        <f>IF($L1127&lt;&gt;"",INDEX(SCOp,$L1127),IF($M1127&lt;&gt;"","پرداخت بانکی",""))</f>
        <v/>
      </c>
      <c r="D1127" s="18">
        <f>IF($L1127&lt;&gt;"",IF(INDEX(SCDoc,$L1127)="","—",INDEX(SCDoc,$L1127)),IF($M1127&lt;&gt;"",INDEX(LdgBankB,$M1127),""))</f>
        <v/>
      </c>
      <c r="E1127" s="19">
        <f>IF($L1127&lt;&gt;"",IF(INDEX(SCCitrus,$L1127)&amp;INDEX(SCNotes,$L1127)="","",IF(INDEX(SCCitrus,$L1127)="","",INDEX(SCCitrus,$L1127))&amp;IF(INDEX(SCNotes,$L1127)="",""," — "&amp;INDEX(SCNotes,$L1127))),IF($M1127&lt;&gt;"",IF(INDEX(LdgNoteB,$M1127)="","—",INDEX(LdgNoteB,$M1127)),""))</f>
        <v/>
      </c>
      <c r="F1127" s="20">
        <f>IF($L1127&lt;&gt;"",IF(INDEX(SCNet,$L1127)=0,"",INDEX(SCNet,$L1127)),"")</f>
        <v/>
      </c>
      <c r="G1127" s="21">
        <f>IF($L1127&lt;&gt;"",IF(INDEX(SCOp,$L1127)="مرجوعی فروش","",IF(INDEX(SCAmount,$L1127)&lt;=0,"",INDEX(SCAmount,$L1127))),IF($M1127&lt;&gt;"",IF(INDEX(LdgWitB,$M1127)=0,"",INDEX(LdgWitB,$M1127)),""))</f>
        <v/>
      </c>
      <c r="H1127" s="21">
        <f>IF($L1127&lt;&gt;"",IF(INDEX(SCOp,$L1127)="مرجوعی فروش",IF(INDEX(SCAmount,$L1127)=0,"",-INDEX(SCAmount,$L1127)),""),IF($M1127&lt;&gt;"",IF(INDEX(LdgDepB,$M1127)=0,"",INDEX(LdgDepB,$M1127)),""))</f>
        <v/>
      </c>
      <c r="I1127" s="22">
        <f>IF($B1127="","",IF($I1126="",$C$10,$I1126)+IF($G1127="",0,$G1127)-IF($H1127="",0,$H1127))</f>
        <v/>
      </c>
      <c r="L1127">
        <f>IFERROR(MATCH($C$5&amp;"|"&amp;RIGHT("000000"&amp;1111,6),LdgRankKeyA,0),"")</f>
        <v/>
      </c>
      <c r="M1127">
        <f>IFERROR(MATCH($C$5&amp;"|"&amp;RIGHT("000000"&amp;1111,6),LdgRankKeyB,0),"")</f>
        <v/>
      </c>
    </row>
    <row r="1128">
      <c r="A1128" s="23" t="n">
        <v>1112</v>
      </c>
      <c r="B1128" s="24">
        <f>IF(AND($L1128="",$M1128=""),"",IF($L1128&lt;&gt;"",INDEX(SCNormDate,$L1128),INDEX(LdgDateB,$M1128)))</f>
        <v/>
      </c>
      <c r="C1128" s="24">
        <f>IF($L1128&lt;&gt;"",INDEX(SCOp,$L1128),IF($M1128&lt;&gt;"","پرداخت بانکی",""))</f>
        <v/>
      </c>
      <c r="D1128" s="24">
        <f>IF($L1128&lt;&gt;"",IF(INDEX(SCDoc,$L1128)="","—",INDEX(SCDoc,$L1128)),IF($M1128&lt;&gt;"",INDEX(LdgBankB,$M1128),""))</f>
        <v/>
      </c>
      <c r="E1128" s="25">
        <f>IF($L1128&lt;&gt;"",IF(INDEX(SCCitrus,$L1128)&amp;INDEX(SCNotes,$L1128)="","",IF(INDEX(SCCitrus,$L1128)="","",INDEX(SCCitrus,$L1128))&amp;IF(INDEX(SCNotes,$L1128)="",""," — "&amp;INDEX(SCNotes,$L1128))),IF($M1128&lt;&gt;"",IF(INDEX(LdgNoteB,$M1128)="","—",INDEX(LdgNoteB,$M1128)),""))</f>
        <v/>
      </c>
      <c r="F1128" s="26">
        <f>IF($L1128&lt;&gt;"",IF(INDEX(SCNet,$L1128)=0,"",INDEX(SCNet,$L1128)),"")</f>
        <v/>
      </c>
      <c r="G1128" s="27">
        <f>IF($L1128&lt;&gt;"",IF(INDEX(SCOp,$L1128)="مرجوعی فروش","",IF(INDEX(SCAmount,$L1128)&lt;=0,"",INDEX(SCAmount,$L1128))),IF($M1128&lt;&gt;"",IF(INDEX(LdgWitB,$M1128)=0,"",INDEX(LdgWitB,$M1128)),""))</f>
        <v/>
      </c>
      <c r="H1128" s="27">
        <f>IF($L1128&lt;&gt;"",IF(INDEX(SCOp,$L1128)="مرجوعی فروش",IF(INDEX(SCAmount,$L1128)=0,"",-INDEX(SCAmount,$L1128)),""),IF($M1128&lt;&gt;"",IF(INDEX(LdgDepB,$M1128)=0,"",INDEX(LdgDepB,$M1128)),""))</f>
        <v/>
      </c>
      <c r="I1128" s="28">
        <f>IF($B1128="","",IF($I1127="",$C$10,$I1127)+IF($G1128="",0,$G1128)-IF($H1128="",0,$H1128))</f>
        <v/>
      </c>
      <c r="L1128">
        <f>IFERROR(MATCH($C$5&amp;"|"&amp;RIGHT("000000"&amp;1112,6),LdgRankKeyA,0),"")</f>
        <v/>
      </c>
      <c r="M1128">
        <f>IFERROR(MATCH($C$5&amp;"|"&amp;RIGHT("000000"&amp;1112,6),LdgRankKeyB,0),"")</f>
        <v/>
      </c>
    </row>
    <row r="1129">
      <c r="A1129" s="17" t="n">
        <v>1113</v>
      </c>
      <c r="B1129" s="18">
        <f>IF(AND($L1129="",$M1129=""),"",IF($L1129&lt;&gt;"",INDEX(SCNormDate,$L1129),INDEX(LdgDateB,$M1129)))</f>
        <v/>
      </c>
      <c r="C1129" s="18">
        <f>IF($L1129&lt;&gt;"",INDEX(SCOp,$L1129),IF($M1129&lt;&gt;"","پرداخت بانکی",""))</f>
        <v/>
      </c>
      <c r="D1129" s="18">
        <f>IF($L1129&lt;&gt;"",IF(INDEX(SCDoc,$L1129)="","—",INDEX(SCDoc,$L1129)),IF($M1129&lt;&gt;"",INDEX(LdgBankB,$M1129),""))</f>
        <v/>
      </c>
      <c r="E1129" s="19">
        <f>IF($L1129&lt;&gt;"",IF(INDEX(SCCitrus,$L1129)&amp;INDEX(SCNotes,$L1129)="","",IF(INDEX(SCCitrus,$L1129)="","",INDEX(SCCitrus,$L1129))&amp;IF(INDEX(SCNotes,$L1129)="",""," — "&amp;INDEX(SCNotes,$L1129))),IF($M1129&lt;&gt;"",IF(INDEX(LdgNoteB,$M1129)="","—",INDEX(LdgNoteB,$M1129)),""))</f>
        <v/>
      </c>
      <c r="F1129" s="20">
        <f>IF($L1129&lt;&gt;"",IF(INDEX(SCNet,$L1129)=0,"",INDEX(SCNet,$L1129)),"")</f>
        <v/>
      </c>
      <c r="G1129" s="21">
        <f>IF($L1129&lt;&gt;"",IF(INDEX(SCOp,$L1129)="مرجوعی فروش","",IF(INDEX(SCAmount,$L1129)&lt;=0,"",INDEX(SCAmount,$L1129))),IF($M1129&lt;&gt;"",IF(INDEX(LdgWitB,$M1129)=0,"",INDEX(LdgWitB,$M1129)),""))</f>
        <v/>
      </c>
      <c r="H1129" s="21">
        <f>IF($L1129&lt;&gt;"",IF(INDEX(SCOp,$L1129)="مرجوعی فروش",IF(INDEX(SCAmount,$L1129)=0,"",-INDEX(SCAmount,$L1129)),""),IF($M1129&lt;&gt;"",IF(INDEX(LdgDepB,$M1129)=0,"",INDEX(LdgDepB,$M1129)),""))</f>
        <v/>
      </c>
      <c r="I1129" s="22">
        <f>IF($B1129="","",IF($I1128="",$C$10,$I1128)+IF($G1129="",0,$G1129)-IF($H1129="",0,$H1129))</f>
        <v/>
      </c>
      <c r="L1129">
        <f>IFERROR(MATCH($C$5&amp;"|"&amp;RIGHT("000000"&amp;1113,6),LdgRankKeyA,0),"")</f>
        <v/>
      </c>
      <c r="M1129">
        <f>IFERROR(MATCH($C$5&amp;"|"&amp;RIGHT("000000"&amp;1113,6),LdgRankKeyB,0),"")</f>
        <v/>
      </c>
    </row>
    <row r="1130">
      <c r="A1130" s="23" t="n">
        <v>1114</v>
      </c>
      <c r="B1130" s="24">
        <f>IF(AND($L1130="",$M1130=""),"",IF($L1130&lt;&gt;"",INDEX(SCNormDate,$L1130),INDEX(LdgDateB,$M1130)))</f>
        <v/>
      </c>
      <c r="C1130" s="24">
        <f>IF($L1130&lt;&gt;"",INDEX(SCOp,$L1130),IF($M1130&lt;&gt;"","پرداخت بانکی",""))</f>
        <v/>
      </c>
      <c r="D1130" s="24">
        <f>IF($L1130&lt;&gt;"",IF(INDEX(SCDoc,$L1130)="","—",INDEX(SCDoc,$L1130)),IF($M1130&lt;&gt;"",INDEX(LdgBankB,$M1130),""))</f>
        <v/>
      </c>
      <c r="E1130" s="25">
        <f>IF($L1130&lt;&gt;"",IF(INDEX(SCCitrus,$L1130)&amp;INDEX(SCNotes,$L1130)="","",IF(INDEX(SCCitrus,$L1130)="","",INDEX(SCCitrus,$L1130))&amp;IF(INDEX(SCNotes,$L1130)="",""," — "&amp;INDEX(SCNotes,$L1130))),IF($M1130&lt;&gt;"",IF(INDEX(LdgNoteB,$M1130)="","—",INDEX(LdgNoteB,$M1130)),""))</f>
        <v/>
      </c>
      <c r="F1130" s="26">
        <f>IF($L1130&lt;&gt;"",IF(INDEX(SCNet,$L1130)=0,"",INDEX(SCNet,$L1130)),"")</f>
        <v/>
      </c>
      <c r="G1130" s="27">
        <f>IF($L1130&lt;&gt;"",IF(INDEX(SCOp,$L1130)="مرجوعی فروش","",IF(INDEX(SCAmount,$L1130)&lt;=0,"",INDEX(SCAmount,$L1130))),IF($M1130&lt;&gt;"",IF(INDEX(LdgWitB,$M1130)=0,"",INDEX(LdgWitB,$M1130)),""))</f>
        <v/>
      </c>
      <c r="H1130" s="27">
        <f>IF($L1130&lt;&gt;"",IF(INDEX(SCOp,$L1130)="مرجوعی فروش",IF(INDEX(SCAmount,$L1130)=0,"",-INDEX(SCAmount,$L1130)),""),IF($M1130&lt;&gt;"",IF(INDEX(LdgDepB,$M1130)=0,"",INDEX(LdgDepB,$M1130)),""))</f>
        <v/>
      </c>
      <c r="I1130" s="28">
        <f>IF($B1130="","",IF($I1129="",$C$10,$I1129)+IF($G1130="",0,$G1130)-IF($H1130="",0,$H1130))</f>
        <v/>
      </c>
      <c r="L1130">
        <f>IFERROR(MATCH($C$5&amp;"|"&amp;RIGHT("000000"&amp;1114,6),LdgRankKeyA,0),"")</f>
        <v/>
      </c>
      <c r="M1130">
        <f>IFERROR(MATCH($C$5&amp;"|"&amp;RIGHT("000000"&amp;1114,6),LdgRankKeyB,0),"")</f>
        <v/>
      </c>
    </row>
    <row r="1131">
      <c r="A1131" s="17" t="n">
        <v>1115</v>
      </c>
      <c r="B1131" s="18">
        <f>IF(AND($L1131="",$M1131=""),"",IF($L1131&lt;&gt;"",INDEX(SCNormDate,$L1131),INDEX(LdgDateB,$M1131)))</f>
        <v/>
      </c>
      <c r="C1131" s="18">
        <f>IF($L1131&lt;&gt;"",INDEX(SCOp,$L1131),IF($M1131&lt;&gt;"","پرداخت بانکی",""))</f>
        <v/>
      </c>
      <c r="D1131" s="18">
        <f>IF($L1131&lt;&gt;"",IF(INDEX(SCDoc,$L1131)="","—",INDEX(SCDoc,$L1131)),IF($M1131&lt;&gt;"",INDEX(LdgBankB,$M1131),""))</f>
        <v/>
      </c>
      <c r="E1131" s="19">
        <f>IF($L1131&lt;&gt;"",IF(INDEX(SCCitrus,$L1131)&amp;INDEX(SCNotes,$L1131)="","",IF(INDEX(SCCitrus,$L1131)="","",INDEX(SCCitrus,$L1131))&amp;IF(INDEX(SCNotes,$L1131)="",""," — "&amp;INDEX(SCNotes,$L1131))),IF($M1131&lt;&gt;"",IF(INDEX(LdgNoteB,$M1131)="","—",INDEX(LdgNoteB,$M1131)),""))</f>
        <v/>
      </c>
      <c r="F1131" s="20">
        <f>IF($L1131&lt;&gt;"",IF(INDEX(SCNet,$L1131)=0,"",INDEX(SCNet,$L1131)),"")</f>
        <v/>
      </c>
      <c r="G1131" s="21">
        <f>IF($L1131&lt;&gt;"",IF(INDEX(SCOp,$L1131)="مرجوعی فروش","",IF(INDEX(SCAmount,$L1131)&lt;=0,"",INDEX(SCAmount,$L1131))),IF($M1131&lt;&gt;"",IF(INDEX(LdgWitB,$M1131)=0,"",INDEX(LdgWitB,$M1131)),""))</f>
        <v/>
      </c>
      <c r="H1131" s="21">
        <f>IF($L1131&lt;&gt;"",IF(INDEX(SCOp,$L1131)="مرجوعی فروش",IF(INDEX(SCAmount,$L1131)=0,"",-INDEX(SCAmount,$L1131)),""),IF($M1131&lt;&gt;"",IF(INDEX(LdgDepB,$M1131)=0,"",INDEX(LdgDepB,$M1131)),""))</f>
        <v/>
      </c>
      <c r="I1131" s="22">
        <f>IF($B1131="","",IF($I1130="",$C$10,$I1130)+IF($G1131="",0,$G1131)-IF($H1131="",0,$H1131))</f>
        <v/>
      </c>
      <c r="L1131">
        <f>IFERROR(MATCH($C$5&amp;"|"&amp;RIGHT("000000"&amp;1115,6),LdgRankKeyA,0),"")</f>
        <v/>
      </c>
      <c r="M1131">
        <f>IFERROR(MATCH($C$5&amp;"|"&amp;RIGHT("000000"&amp;1115,6),LdgRankKeyB,0),"")</f>
        <v/>
      </c>
    </row>
    <row r="1132">
      <c r="A1132" s="23" t="n">
        <v>1116</v>
      </c>
      <c r="B1132" s="24">
        <f>IF(AND($L1132="",$M1132=""),"",IF($L1132&lt;&gt;"",INDEX(SCNormDate,$L1132),INDEX(LdgDateB,$M1132)))</f>
        <v/>
      </c>
      <c r="C1132" s="24">
        <f>IF($L1132&lt;&gt;"",INDEX(SCOp,$L1132),IF($M1132&lt;&gt;"","پرداخت بانکی",""))</f>
        <v/>
      </c>
      <c r="D1132" s="24">
        <f>IF($L1132&lt;&gt;"",IF(INDEX(SCDoc,$L1132)="","—",INDEX(SCDoc,$L1132)),IF($M1132&lt;&gt;"",INDEX(LdgBankB,$M1132),""))</f>
        <v/>
      </c>
      <c r="E1132" s="25">
        <f>IF($L1132&lt;&gt;"",IF(INDEX(SCCitrus,$L1132)&amp;INDEX(SCNotes,$L1132)="","",IF(INDEX(SCCitrus,$L1132)="","",INDEX(SCCitrus,$L1132))&amp;IF(INDEX(SCNotes,$L1132)="",""," — "&amp;INDEX(SCNotes,$L1132))),IF($M1132&lt;&gt;"",IF(INDEX(LdgNoteB,$M1132)="","—",INDEX(LdgNoteB,$M1132)),""))</f>
        <v/>
      </c>
      <c r="F1132" s="26">
        <f>IF($L1132&lt;&gt;"",IF(INDEX(SCNet,$L1132)=0,"",INDEX(SCNet,$L1132)),"")</f>
        <v/>
      </c>
      <c r="G1132" s="27">
        <f>IF($L1132&lt;&gt;"",IF(INDEX(SCOp,$L1132)="مرجوعی فروش","",IF(INDEX(SCAmount,$L1132)&lt;=0,"",INDEX(SCAmount,$L1132))),IF($M1132&lt;&gt;"",IF(INDEX(LdgWitB,$M1132)=0,"",INDEX(LdgWitB,$M1132)),""))</f>
        <v/>
      </c>
      <c r="H1132" s="27">
        <f>IF($L1132&lt;&gt;"",IF(INDEX(SCOp,$L1132)="مرجوعی فروش",IF(INDEX(SCAmount,$L1132)=0,"",-INDEX(SCAmount,$L1132)),""),IF($M1132&lt;&gt;"",IF(INDEX(LdgDepB,$M1132)=0,"",INDEX(LdgDepB,$M1132)),""))</f>
        <v/>
      </c>
      <c r="I1132" s="28">
        <f>IF($B1132="","",IF($I1131="",$C$10,$I1131)+IF($G1132="",0,$G1132)-IF($H1132="",0,$H1132))</f>
        <v/>
      </c>
      <c r="L1132">
        <f>IFERROR(MATCH($C$5&amp;"|"&amp;RIGHT("000000"&amp;1116,6),LdgRankKeyA,0),"")</f>
        <v/>
      </c>
      <c r="M1132">
        <f>IFERROR(MATCH($C$5&amp;"|"&amp;RIGHT("000000"&amp;1116,6),LdgRankKeyB,0),"")</f>
        <v/>
      </c>
    </row>
    <row r="1133">
      <c r="A1133" s="17" t="n">
        <v>1117</v>
      </c>
      <c r="B1133" s="18">
        <f>IF(AND($L1133="",$M1133=""),"",IF($L1133&lt;&gt;"",INDEX(SCNormDate,$L1133),INDEX(LdgDateB,$M1133)))</f>
        <v/>
      </c>
      <c r="C1133" s="18">
        <f>IF($L1133&lt;&gt;"",INDEX(SCOp,$L1133),IF($M1133&lt;&gt;"","پرداخت بانکی",""))</f>
        <v/>
      </c>
      <c r="D1133" s="18">
        <f>IF($L1133&lt;&gt;"",IF(INDEX(SCDoc,$L1133)="","—",INDEX(SCDoc,$L1133)),IF($M1133&lt;&gt;"",INDEX(LdgBankB,$M1133),""))</f>
        <v/>
      </c>
      <c r="E1133" s="19">
        <f>IF($L1133&lt;&gt;"",IF(INDEX(SCCitrus,$L1133)&amp;INDEX(SCNotes,$L1133)="","",IF(INDEX(SCCitrus,$L1133)="","",INDEX(SCCitrus,$L1133))&amp;IF(INDEX(SCNotes,$L1133)="",""," — "&amp;INDEX(SCNotes,$L1133))),IF($M1133&lt;&gt;"",IF(INDEX(LdgNoteB,$M1133)="","—",INDEX(LdgNoteB,$M1133)),""))</f>
        <v/>
      </c>
      <c r="F1133" s="20">
        <f>IF($L1133&lt;&gt;"",IF(INDEX(SCNet,$L1133)=0,"",INDEX(SCNet,$L1133)),"")</f>
        <v/>
      </c>
      <c r="G1133" s="21">
        <f>IF($L1133&lt;&gt;"",IF(INDEX(SCOp,$L1133)="مرجوعی فروش","",IF(INDEX(SCAmount,$L1133)&lt;=0,"",INDEX(SCAmount,$L1133))),IF($M1133&lt;&gt;"",IF(INDEX(LdgWitB,$M1133)=0,"",INDEX(LdgWitB,$M1133)),""))</f>
        <v/>
      </c>
      <c r="H1133" s="21">
        <f>IF($L1133&lt;&gt;"",IF(INDEX(SCOp,$L1133)="مرجوعی فروش",IF(INDEX(SCAmount,$L1133)=0,"",-INDEX(SCAmount,$L1133)),""),IF($M1133&lt;&gt;"",IF(INDEX(LdgDepB,$M1133)=0,"",INDEX(LdgDepB,$M1133)),""))</f>
        <v/>
      </c>
      <c r="I1133" s="22">
        <f>IF($B1133="","",IF($I1132="",$C$10,$I1132)+IF($G1133="",0,$G1133)-IF($H1133="",0,$H1133))</f>
        <v/>
      </c>
      <c r="L1133">
        <f>IFERROR(MATCH($C$5&amp;"|"&amp;RIGHT("000000"&amp;1117,6),LdgRankKeyA,0),"")</f>
        <v/>
      </c>
      <c r="M1133">
        <f>IFERROR(MATCH($C$5&amp;"|"&amp;RIGHT("000000"&amp;1117,6),LdgRankKeyB,0),"")</f>
        <v/>
      </c>
    </row>
    <row r="1134">
      <c r="A1134" s="23" t="n">
        <v>1118</v>
      </c>
      <c r="B1134" s="24">
        <f>IF(AND($L1134="",$M1134=""),"",IF($L1134&lt;&gt;"",INDEX(SCNormDate,$L1134),INDEX(LdgDateB,$M1134)))</f>
        <v/>
      </c>
      <c r="C1134" s="24">
        <f>IF($L1134&lt;&gt;"",INDEX(SCOp,$L1134),IF($M1134&lt;&gt;"","پرداخت بانکی",""))</f>
        <v/>
      </c>
      <c r="D1134" s="24">
        <f>IF($L1134&lt;&gt;"",IF(INDEX(SCDoc,$L1134)="","—",INDEX(SCDoc,$L1134)),IF($M1134&lt;&gt;"",INDEX(LdgBankB,$M1134),""))</f>
        <v/>
      </c>
      <c r="E1134" s="25">
        <f>IF($L1134&lt;&gt;"",IF(INDEX(SCCitrus,$L1134)&amp;INDEX(SCNotes,$L1134)="","",IF(INDEX(SCCitrus,$L1134)="","",INDEX(SCCitrus,$L1134))&amp;IF(INDEX(SCNotes,$L1134)="",""," — "&amp;INDEX(SCNotes,$L1134))),IF($M1134&lt;&gt;"",IF(INDEX(LdgNoteB,$M1134)="","—",INDEX(LdgNoteB,$M1134)),""))</f>
        <v/>
      </c>
      <c r="F1134" s="26">
        <f>IF($L1134&lt;&gt;"",IF(INDEX(SCNet,$L1134)=0,"",INDEX(SCNet,$L1134)),"")</f>
        <v/>
      </c>
      <c r="G1134" s="27">
        <f>IF($L1134&lt;&gt;"",IF(INDEX(SCOp,$L1134)="مرجوعی فروش","",IF(INDEX(SCAmount,$L1134)&lt;=0,"",INDEX(SCAmount,$L1134))),IF($M1134&lt;&gt;"",IF(INDEX(LdgWitB,$M1134)=0,"",INDEX(LdgWitB,$M1134)),""))</f>
        <v/>
      </c>
      <c r="H1134" s="27">
        <f>IF($L1134&lt;&gt;"",IF(INDEX(SCOp,$L1134)="مرجوعی فروش",IF(INDEX(SCAmount,$L1134)=0,"",-INDEX(SCAmount,$L1134)),""),IF($M1134&lt;&gt;"",IF(INDEX(LdgDepB,$M1134)=0,"",INDEX(LdgDepB,$M1134)),""))</f>
        <v/>
      </c>
      <c r="I1134" s="28">
        <f>IF($B1134="","",IF($I1133="",$C$10,$I1133)+IF($G1134="",0,$G1134)-IF($H1134="",0,$H1134))</f>
        <v/>
      </c>
      <c r="L1134">
        <f>IFERROR(MATCH($C$5&amp;"|"&amp;RIGHT("000000"&amp;1118,6),LdgRankKeyA,0),"")</f>
        <v/>
      </c>
      <c r="M1134">
        <f>IFERROR(MATCH($C$5&amp;"|"&amp;RIGHT("000000"&amp;1118,6),LdgRankKeyB,0),"")</f>
        <v/>
      </c>
    </row>
    <row r="1135">
      <c r="A1135" s="17" t="n">
        <v>1119</v>
      </c>
      <c r="B1135" s="18">
        <f>IF(AND($L1135="",$M1135=""),"",IF($L1135&lt;&gt;"",INDEX(SCNormDate,$L1135),INDEX(LdgDateB,$M1135)))</f>
        <v/>
      </c>
      <c r="C1135" s="18">
        <f>IF($L1135&lt;&gt;"",INDEX(SCOp,$L1135),IF($M1135&lt;&gt;"","پرداخت بانکی",""))</f>
        <v/>
      </c>
      <c r="D1135" s="18">
        <f>IF($L1135&lt;&gt;"",IF(INDEX(SCDoc,$L1135)="","—",INDEX(SCDoc,$L1135)),IF($M1135&lt;&gt;"",INDEX(LdgBankB,$M1135),""))</f>
        <v/>
      </c>
      <c r="E1135" s="19">
        <f>IF($L1135&lt;&gt;"",IF(INDEX(SCCitrus,$L1135)&amp;INDEX(SCNotes,$L1135)="","",IF(INDEX(SCCitrus,$L1135)="","",INDEX(SCCitrus,$L1135))&amp;IF(INDEX(SCNotes,$L1135)="",""," — "&amp;INDEX(SCNotes,$L1135))),IF($M1135&lt;&gt;"",IF(INDEX(LdgNoteB,$M1135)="","—",INDEX(LdgNoteB,$M1135)),""))</f>
        <v/>
      </c>
      <c r="F1135" s="20">
        <f>IF($L1135&lt;&gt;"",IF(INDEX(SCNet,$L1135)=0,"",INDEX(SCNet,$L1135)),"")</f>
        <v/>
      </c>
      <c r="G1135" s="21">
        <f>IF($L1135&lt;&gt;"",IF(INDEX(SCOp,$L1135)="مرجوعی فروش","",IF(INDEX(SCAmount,$L1135)&lt;=0,"",INDEX(SCAmount,$L1135))),IF($M1135&lt;&gt;"",IF(INDEX(LdgWitB,$M1135)=0,"",INDEX(LdgWitB,$M1135)),""))</f>
        <v/>
      </c>
      <c r="H1135" s="21">
        <f>IF($L1135&lt;&gt;"",IF(INDEX(SCOp,$L1135)="مرجوعی فروش",IF(INDEX(SCAmount,$L1135)=0,"",-INDEX(SCAmount,$L1135)),""),IF($M1135&lt;&gt;"",IF(INDEX(LdgDepB,$M1135)=0,"",INDEX(LdgDepB,$M1135)),""))</f>
        <v/>
      </c>
      <c r="I1135" s="22">
        <f>IF($B1135="","",IF($I1134="",$C$10,$I1134)+IF($G1135="",0,$G1135)-IF($H1135="",0,$H1135))</f>
        <v/>
      </c>
      <c r="L1135">
        <f>IFERROR(MATCH($C$5&amp;"|"&amp;RIGHT("000000"&amp;1119,6),LdgRankKeyA,0),"")</f>
        <v/>
      </c>
      <c r="M1135">
        <f>IFERROR(MATCH($C$5&amp;"|"&amp;RIGHT("000000"&amp;1119,6),LdgRankKeyB,0),"")</f>
        <v/>
      </c>
    </row>
    <row r="1136">
      <c r="A1136" s="23" t="n">
        <v>1120</v>
      </c>
      <c r="B1136" s="24">
        <f>IF(AND($L1136="",$M1136=""),"",IF($L1136&lt;&gt;"",INDEX(SCNormDate,$L1136),INDEX(LdgDateB,$M1136)))</f>
        <v/>
      </c>
      <c r="C1136" s="24">
        <f>IF($L1136&lt;&gt;"",INDEX(SCOp,$L1136),IF($M1136&lt;&gt;"","پرداخت بانکی",""))</f>
        <v/>
      </c>
      <c r="D1136" s="24">
        <f>IF($L1136&lt;&gt;"",IF(INDEX(SCDoc,$L1136)="","—",INDEX(SCDoc,$L1136)),IF($M1136&lt;&gt;"",INDEX(LdgBankB,$M1136),""))</f>
        <v/>
      </c>
      <c r="E1136" s="25">
        <f>IF($L1136&lt;&gt;"",IF(INDEX(SCCitrus,$L1136)&amp;INDEX(SCNotes,$L1136)="","",IF(INDEX(SCCitrus,$L1136)="","",INDEX(SCCitrus,$L1136))&amp;IF(INDEX(SCNotes,$L1136)="",""," — "&amp;INDEX(SCNotes,$L1136))),IF($M1136&lt;&gt;"",IF(INDEX(LdgNoteB,$M1136)="","—",INDEX(LdgNoteB,$M1136)),""))</f>
        <v/>
      </c>
      <c r="F1136" s="26">
        <f>IF($L1136&lt;&gt;"",IF(INDEX(SCNet,$L1136)=0,"",INDEX(SCNet,$L1136)),"")</f>
        <v/>
      </c>
      <c r="G1136" s="27">
        <f>IF($L1136&lt;&gt;"",IF(INDEX(SCOp,$L1136)="مرجوعی فروش","",IF(INDEX(SCAmount,$L1136)&lt;=0,"",INDEX(SCAmount,$L1136))),IF($M1136&lt;&gt;"",IF(INDEX(LdgWitB,$M1136)=0,"",INDEX(LdgWitB,$M1136)),""))</f>
        <v/>
      </c>
      <c r="H1136" s="27">
        <f>IF($L1136&lt;&gt;"",IF(INDEX(SCOp,$L1136)="مرجوعی فروش",IF(INDEX(SCAmount,$L1136)=0,"",-INDEX(SCAmount,$L1136)),""),IF($M1136&lt;&gt;"",IF(INDEX(LdgDepB,$M1136)=0,"",INDEX(LdgDepB,$M1136)),""))</f>
        <v/>
      </c>
      <c r="I1136" s="28">
        <f>IF($B1136="","",IF($I1135="",$C$10,$I1135)+IF($G1136="",0,$G1136)-IF($H1136="",0,$H1136))</f>
        <v/>
      </c>
      <c r="L1136">
        <f>IFERROR(MATCH($C$5&amp;"|"&amp;RIGHT("000000"&amp;1120,6),LdgRankKeyA,0),"")</f>
        <v/>
      </c>
      <c r="M1136">
        <f>IFERROR(MATCH($C$5&amp;"|"&amp;RIGHT("000000"&amp;1120,6),LdgRankKeyB,0),"")</f>
        <v/>
      </c>
    </row>
    <row r="1137">
      <c r="A1137" s="17" t="n">
        <v>1121</v>
      </c>
      <c r="B1137" s="18">
        <f>IF(AND($L1137="",$M1137=""),"",IF($L1137&lt;&gt;"",INDEX(SCNormDate,$L1137),INDEX(LdgDateB,$M1137)))</f>
        <v/>
      </c>
      <c r="C1137" s="18">
        <f>IF($L1137&lt;&gt;"",INDEX(SCOp,$L1137),IF($M1137&lt;&gt;"","پرداخت بانکی",""))</f>
        <v/>
      </c>
      <c r="D1137" s="18">
        <f>IF($L1137&lt;&gt;"",IF(INDEX(SCDoc,$L1137)="","—",INDEX(SCDoc,$L1137)),IF($M1137&lt;&gt;"",INDEX(LdgBankB,$M1137),""))</f>
        <v/>
      </c>
      <c r="E1137" s="19">
        <f>IF($L1137&lt;&gt;"",IF(INDEX(SCCitrus,$L1137)&amp;INDEX(SCNotes,$L1137)="","",IF(INDEX(SCCitrus,$L1137)="","",INDEX(SCCitrus,$L1137))&amp;IF(INDEX(SCNotes,$L1137)="",""," — "&amp;INDEX(SCNotes,$L1137))),IF($M1137&lt;&gt;"",IF(INDEX(LdgNoteB,$M1137)="","—",INDEX(LdgNoteB,$M1137)),""))</f>
        <v/>
      </c>
      <c r="F1137" s="20">
        <f>IF($L1137&lt;&gt;"",IF(INDEX(SCNet,$L1137)=0,"",INDEX(SCNet,$L1137)),"")</f>
        <v/>
      </c>
      <c r="G1137" s="21">
        <f>IF($L1137&lt;&gt;"",IF(INDEX(SCOp,$L1137)="مرجوعی فروش","",IF(INDEX(SCAmount,$L1137)&lt;=0,"",INDEX(SCAmount,$L1137))),IF($M1137&lt;&gt;"",IF(INDEX(LdgWitB,$M1137)=0,"",INDEX(LdgWitB,$M1137)),""))</f>
        <v/>
      </c>
      <c r="H1137" s="21">
        <f>IF($L1137&lt;&gt;"",IF(INDEX(SCOp,$L1137)="مرجوعی فروش",IF(INDEX(SCAmount,$L1137)=0,"",-INDEX(SCAmount,$L1137)),""),IF($M1137&lt;&gt;"",IF(INDEX(LdgDepB,$M1137)=0,"",INDEX(LdgDepB,$M1137)),""))</f>
        <v/>
      </c>
      <c r="I1137" s="22">
        <f>IF($B1137="","",IF($I1136="",$C$10,$I1136)+IF($G1137="",0,$G1137)-IF($H1137="",0,$H1137))</f>
        <v/>
      </c>
      <c r="L1137">
        <f>IFERROR(MATCH($C$5&amp;"|"&amp;RIGHT("000000"&amp;1121,6),LdgRankKeyA,0),"")</f>
        <v/>
      </c>
      <c r="M1137">
        <f>IFERROR(MATCH($C$5&amp;"|"&amp;RIGHT("000000"&amp;1121,6),LdgRankKeyB,0),"")</f>
        <v/>
      </c>
    </row>
    <row r="1138">
      <c r="A1138" s="23" t="n">
        <v>1122</v>
      </c>
      <c r="B1138" s="24">
        <f>IF(AND($L1138="",$M1138=""),"",IF($L1138&lt;&gt;"",INDEX(SCNormDate,$L1138),INDEX(LdgDateB,$M1138)))</f>
        <v/>
      </c>
      <c r="C1138" s="24">
        <f>IF($L1138&lt;&gt;"",INDEX(SCOp,$L1138),IF($M1138&lt;&gt;"","پرداخت بانکی",""))</f>
        <v/>
      </c>
      <c r="D1138" s="24">
        <f>IF($L1138&lt;&gt;"",IF(INDEX(SCDoc,$L1138)="","—",INDEX(SCDoc,$L1138)),IF($M1138&lt;&gt;"",INDEX(LdgBankB,$M1138),""))</f>
        <v/>
      </c>
      <c r="E1138" s="25">
        <f>IF($L1138&lt;&gt;"",IF(INDEX(SCCitrus,$L1138)&amp;INDEX(SCNotes,$L1138)="","",IF(INDEX(SCCitrus,$L1138)="","",INDEX(SCCitrus,$L1138))&amp;IF(INDEX(SCNotes,$L1138)="",""," — "&amp;INDEX(SCNotes,$L1138))),IF($M1138&lt;&gt;"",IF(INDEX(LdgNoteB,$M1138)="","—",INDEX(LdgNoteB,$M1138)),""))</f>
        <v/>
      </c>
      <c r="F1138" s="26">
        <f>IF($L1138&lt;&gt;"",IF(INDEX(SCNet,$L1138)=0,"",INDEX(SCNet,$L1138)),"")</f>
        <v/>
      </c>
      <c r="G1138" s="27">
        <f>IF($L1138&lt;&gt;"",IF(INDEX(SCOp,$L1138)="مرجوعی فروش","",IF(INDEX(SCAmount,$L1138)&lt;=0,"",INDEX(SCAmount,$L1138))),IF($M1138&lt;&gt;"",IF(INDEX(LdgWitB,$M1138)=0,"",INDEX(LdgWitB,$M1138)),""))</f>
        <v/>
      </c>
      <c r="H1138" s="27">
        <f>IF($L1138&lt;&gt;"",IF(INDEX(SCOp,$L1138)="مرجوعی فروش",IF(INDEX(SCAmount,$L1138)=0,"",-INDEX(SCAmount,$L1138)),""),IF($M1138&lt;&gt;"",IF(INDEX(LdgDepB,$M1138)=0,"",INDEX(LdgDepB,$M1138)),""))</f>
        <v/>
      </c>
      <c r="I1138" s="28">
        <f>IF($B1138="","",IF($I1137="",$C$10,$I1137)+IF($G1138="",0,$G1138)-IF($H1138="",0,$H1138))</f>
        <v/>
      </c>
      <c r="L1138">
        <f>IFERROR(MATCH($C$5&amp;"|"&amp;RIGHT("000000"&amp;1122,6),LdgRankKeyA,0),"")</f>
        <v/>
      </c>
      <c r="M1138">
        <f>IFERROR(MATCH($C$5&amp;"|"&amp;RIGHT("000000"&amp;1122,6),LdgRankKeyB,0),"")</f>
        <v/>
      </c>
    </row>
    <row r="1139">
      <c r="A1139" s="17" t="n">
        <v>1123</v>
      </c>
      <c r="B1139" s="18">
        <f>IF(AND($L1139="",$M1139=""),"",IF($L1139&lt;&gt;"",INDEX(SCNormDate,$L1139),INDEX(LdgDateB,$M1139)))</f>
        <v/>
      </c>
      <c r="C1139" s="18">
        <f>IF($L1139&lt;&gt;"",INDEX(SCOp,$L1139),IF($M1139&lt;&gt;"","پرداخت بانکی",""))</f>
        <v/>
      </c>
      <c r="D1139" s="18">
        <f>IF($L1139&lt;&gt;"",IF(INDEX(SCDoc,$L1139)="","—",INDEX(SCDoc,$L1139)),IF($M1139&lt;&gt;"",INDEX(LdgBankB,$M1139),""))</f>
        <v/>
      </c>
      <c r="E1139" s="19">
        <f>IF($L1139&lt;&gt;"",IF(INDEX(SCCitrus,$L1139)&amp;INDEX(SCNotes,$L1139)="","",IF(INDEX(SCCitrus,$L1139)="","",INDEX(SCCitrus,$L1139))&amp;IF(INDEX(SCNotes,$L1139)="",""," — "&amp;INDEX(SCNotes,$L1139))),IF($M1139&lt;&gt;"",IF(INDEX(LdgNoteB,$M1139)="","—",INDEX(LdgNoteB,$M1139)),""))</f>
        <v/>
      </c>
      <c r="F1139" s="20">
        <f>IF($L1139&lt;&gt;"",IF(INDEX(SCNet,$L1139)=0,"",INDEX(SCNet,$L1139)),"")</f>
        <v/>
      </c>
      <c r="G1139" s="21">
        <f>IF($L1139&lt;&gt;"",IF(INDEX(SCOp,$L1139)="مرجوعی فروش","",IF(INDEX(SCAmount,$L1139)&lt;=0,"",INDEX(SCAmount,$L1139))),IF($M1139&lt;&gt;"",IF(INDEX(LdgWitB,$M1139)=0,"",INDEX(LdgWitB,$M1139)),""))</f>
        <v/>
      </c>
      <c r="H1139" s="21">
        <f>IF($L1139&lt;&gt;"",IF(INDEX(SCOp,$L1139)="مرجوعی فروش",IF(INDEX(SCAmount,$L1139)=0,"",-INDEX(SCAmount,$L1139)),""),IF($M1139&lt;&gt;"",IF(INDEX(LdgDepB,$M1139)=0,"",INDEX(LdgDepB,$M1139)),""))</f>
        <v/>
      </c>
      <c r="I1139" s="22">
        <f>IF($B1139="","",IF($I1138="",$C$10,$I1138)+IF($G1139="",0,$G1139)-IF($H1139="",0,$H1139))</f>
        <v/>
      </c>
      <c r="L1139">
        <f>IFERROR(MATCH($C$5&amp;"|"&amp;RIGHT("000000"&amp;1123,6),LdgRankKeyA,0),"")</f>
        <v/>
      </c>
      <c r="M1139">
        <f>IFERROR(MATCH($C$5&amp;"|"&amp;RIGHT("000000"&amp;1123,6),LdgRankKeyB,0),"")</f>
        <v/>
      </c>
    </row>
    <row r="1140">
      <c r="A1140" s="23" t="n">
        <v>1124</v>
      </c>
      <c r="B1140" s="24">
        <f>IF(AND($L1140="",$M1140=""),"",IF($L1140&lt;&gt;"",INDEX(SCNormDate,$L1140),INDEX(LdgDateB,$M1140)))</f>
        <v/>
      </c>
      <c r="C1140" s="24">
        <f>IF($L1140&lt;&gt;"",INDEX(SCOp,$L1140),IF($M1140&lt;&gt;"","پرداخت بانکی",""))</f>
        <v/>
      </c>
      <c r="D1140" s="24">
        <f>IF($L1140&lt;&gt;"",IF(INDEX(SCDoc,$L1140)="","—",INDEX(SCDoc,$L1140)),IF($M1140&lt;&gt;"",INDEX(LdgBankB,$M1140),""))</f>
        <v/>
      </c>
      <c r="E1140" s="25">
        <f>IF($L1140&lt;&gt;"",IF(INDEX(SCCitrus,$L1140)&amp;INDEX(SCNotes,$L1140)="","",IF(INDEX(SCCitrus,$L1140)="","",INDEX(SCCitrus,$L1140))&amp;IF(INDEX(SCNotes,$L1140)="",""," — "&amp;INDEX(SCNotes,$L1140))),IF($M1140&lt;&gt;"",IF(INDEX(LdgNoteB,$M1140)="","—",INDEX(LdgNoteB,$M1140)),""))</f>
        <v/>
      </c>
      <c r="F1140" s="26">
        <f>IF($L1140&lt;&gt;"",IF(INDEX(SCNet,$L1140)=0,"",INDEX(SCNet,$L1140)),"")</f>
        <v/>
      </c>
      <c r="G1140" s="27">
        <f>IF($L1140&lt;&gt;"",IF(INDEX(SCOp,$L1140)="مرجوعی فروش","",IF(INDEX(SCAmount,$L1140)&lt;=0,"",INDEX(SCAmount,$L1140))),IF($M1140&lt;&gt;"",IF(INDEX(LdgWitB,$M1140)=0,"",INDEX(LdgWitB,$M1140)),""))</f>
        <v/>
      </c>
      <c r="H1140" s="27">
        <f>IF($L1140&lt;&gt;"",IF(INDEX(SCOp,$L1140)="مرجوعی فروش",IF(INDEX(SCAmount,$L1140)=0,"",-INDEX(SCAmount,$L1140)),""),IF($M1140&lt;&gt;"",IF(INDEX(LdgDepB,$M1140)=0,"",INDEX(LdgDepB,$M1140)),""))</f>
        <v/>
      </c>
      <c r="I1140" s="28">
        <f>IF($B1140="","",IF($I1139="",$C$10,$I1139)+IF($G1140="",0,$G1140)-IF($H1140="",0,$H1140))</f>
        <v/>
      </c>
      <c r="L1140">
        <f>IFERROR(MATCH($C$5&amp;"|"&amp;RIGHT("000000"&amp;1124,6),LdgRankKeyA,0),"")</f>
        <v/>
      </c>
      <c r="M1140">
        <f>IFERROR(MATCH($C$5&amp;"|"&amp;RIGHT("000000"&amp;1124,6),LdgRankKeyB,0),"")</f>
        <v/>
      </c>
    </row>
    <row r="1141">
      <c r="A1141" s="17" t="n">
        <v>1125</v>
      </c>
      <c r="B1141" s="18">
        <f>IF(AND($L1141="",$M1141=""),"",IF($L1141&lt;&gt;"",INDEX(SCNormDate,$L1141),INDEX(LdgDateB,$M1141)))</f>
        <v/>
      </c>
      <c r="C1141" s="18">
        <f>IF($L1141&lt;&gt;"",INDEX(SCOp,$L1141),IF($M1141&lt;&gt;"","پرداخت بانکی",""))</f>
        <v/>
      </c>
      <c r="D1141" s="18">
        <f>IF($L1141&lt;&gt;"",IF(INDEX(SCDoc,$L1141)="","—",INDEX(SCDoc,$L1141)),IF($M1141&lt;&gt;"",INDEX(LdgBankB,$M1141),""))</f>
        <v/>
      </c>
      <c r="E1141" s="19">
        <f>IF($L1141&lt;&gt;"",IF(INDEX(SCCitrus,$L1141)&amp;INDEX(SCNotes,$L1141)="","",IF(INDEX(SCCitrus,$L1141)="","",INDEX(SCCitrus,$L1141))&amp;IF(INDEX(SCNotes,$L1141)="",""," — "&amp;INDEX(SCNotes,$L1141))),IF($M1141&lt;&gt;"",IF(INDEX(LdgNoteB,$M1141)="","—",INDEX(LdgNoteB,$M1141)),""))</f>
        <v/>
      </c>
      <c r="F1141" s="20">
        <f>IF($L1141&lt;&gt;"",IF(INDEX(SCNet,$L1141)=0,"",INDEX(SCNet,$L1141)),"")</f>
        <v/>
      </c>
      <c r="G1141" s="21">
        <f>IF($L1141&lt;&gt;"",IF(INDEX(SCOp,$L1141)="مرجوعی فروش","",IF(INDEX(SCAmount,$L1141)&lt;=0,"",INDEX(SCAmount,$L1141))),IF($M1141&lt;&gt;"",IF(INDEX(LdgWitB,$M1141)=0,"",INDEX(LdgWitB,$M1141)),""))</f>
        <v/>
      </c>
      <c r="H1141" s="21">
        <f>IF($L1141&lt;&gt;"",IF(INDEX(SCOp,$L1141)="مرجوعی فروش",IF(INDEX(SCAmount,$L1141)=0,"",-INDEX(SCAmount,$L1141)),""),IF($M1141&lt;&gt;"",IF(INDEX(LdgDepB,$M1141)=0,"",INDEX(LdgDepB,$M1141)),""))</f>
        <v/>
      </c>
      <c r="I1141" s="22">
        <f>IF($B1141="","",IF($I1140="",$C$10,$I1140)+IF($G1141="",0,$G1141)-IF($H1141="",0,$H1141))</f>
        <v/>
      </c>
      <c r="L1141">
        <f>IFERROR(MATCH($C$5&amp;"|"&amp;RIGHT("000000"&amp;1125,6),LdgRankKeyA,0),"")</f>
        <v/>
      </c>
      <c r="M1141">
        <f>IFERROR(MATCH($C$5&amp;"|"&amp;RIGHT("000000"&amp;1125,6),LdgRankKeyB,0),"")</f>
        <v/>
      </c>
    </row>
    <row r="1142">
      <c r="A1142" s="23" t="n">
        <v>1126</v>
      </c>
      <c r="B1142" s="24">
        <f>IF(AND($L1142="",$M1142=""),"",IF($L1142&lt;&gt;"",INDEX(SCNormDate,$L1142),INDEX(LdgDateB,$M1142)))</f>
        <v/>
      </c>
      <c r="C1142" s="24">
        <f>IF($L1142&lt;&gt;"",INDEX(SCOp,$L1142),IF($M1142&lt;&gt;"","پرداخت بانکی",""))</f>
        <v/>
      </c>
      <c r="D1142" s="24">
        <f>IF($L1142&lt;&gt;"",IF(INDEX(SCDoc,$L1142)="","—",INDEX(SCDoc,$L1142)),IF($M1142&lt;&gt;"",INDEX(LdgBankB,$M1142),""))</f>
        <v/>
      </c>
      <c r="E1142" s="25">
        <f>IF($L1142&lt;&gt;"",IF(INDEX(SCCitrus,$L1142)&amp;INDEX(SCNotes,$L1142)="","",IF(INDEX(SCCitrus,$L1142)="","",INDEX(SCCitrus,$L1142))&amp;IF(INDEX(SCNotes,$L1142)="",""," — "&amp;INDEX(SCNotes,$L1142))),IF($M1142&lt;&gt;"",IF(INDEX(LdgNoteB,$M1142)="","—",INDEX(LdgNoteB,$M1142)),""))</f>
        <v/>
      </c>
      <c r="F1142" s="26">
        <f>IF($L1142&lt;&gt;"",IF(INDEX(SCNet,$L1142)=0,"",INDEX(SCNet,$L1142)),"")</f>
        <v/>
      </c>
      <c r="G1142" s="27">
        <f>IF($L1142&lt;&gt;"",IF(INDEX(SCOp,$L1142)="مرجوعی فروش","",IF(INDEX(SCAmount,$L1142)&lt;=0,"",INDEX(SCAmount,$L1142))),IF($M1142&lt;&gt;"",IF(INDEX(LdgWitB,$M1142)=0,"",INDEX(LdgWitB,$M1142)),""))</f>
        <v/>
      </c>
      <c r="H1142" s="27">
        <f>IF($L1142&lt;&gt;"",IF(INDEX(SCOp,$L1142)="مرجوعی فروش",IF(INDEX(SCAmount,$L1142)=0,"",-INDEX(SCAmount,$L1142)),""),IF($M1142&lt;&gt;"",IF(INDEX(LdgDepB,$M1142)=0,"",INDEX(LdgDepB,$M1142)),""))</f>
        <v/>
      </c>
      <c r="I1142" s="28">
        <f>IF($B1142="","",IF($I1141="",$C$10,$I1141)+IF($G1142="",0,$G1142)-IF($H1142="",0,$H1142))</f>
        <v/>
      </c>
      <c r="L1142">
        <f>IFERROR(MATCH($C$5&amp;"|"&amp;RIGHT("000000"&amp;1126,6),LdgRankKeyA,0),"")</f>
        <v/>
      </c>
      <c r="M1142">
        <f>IFERROR(MATCH($C$5&amp;"|"&amp;RIGHT("000000"&amp;1126,6),LdgRankKeyB,0),"")</f>
        <v/>
      </c>
    </row>
    <row r="1143">
      <c r="A1143" s="17" t="n">
        <v>1127</v>
      </c>
      <c r="B1143" s="18">
        <f>IF(AND($L1143="",$M1143=""),"",IF($L1143&lt;&gt;"",INDEX(SCNormDate,$L1143),INDEX(LdgDateB,$M1143)))</f>
        <v/>
      </c>
      <c r="C1143" s="18">
        <f>IF($L1143&lt;&gt;"",INDEX(SCOp,$L1143),IF($M1143&lt;&gt;"","پرداخت بانکی",""))</f>
        <v/>
      </c>
      <c r="D1143" s="18">
        <f>IF($L1143&lt;&gt;"",IF(INDEX(SCDoc,$L1143)="","—",INDEX(SCDoc,$L1143)),IF($M1143&lt;&gt;"",INDEX(LdgBankB,$M1143),""))</f>
        <v/>
      </c>
      <c r="E1143" s="19">
        <f>IF($L1143&lt;&gt;"",IF(INDEX(SCCitrus,$L1143)&amp;INDEX(SCNotes,$L1143)="","",IF(INDEX(SCCitrus,$L1143)="","",INDEX(SCCitrus,$L1143))&amp;IF(INDEX(SCNotes,$L1143)="",""," — "&amp;INDEX(SCNotes,$L1143))),IF($M1143&lt;&gt;"",IF(INDEX(LdgNoteB,$M1143)="","—",INDEX(LdgNoteB,$M1143)),""))</f>
        <v/>
      </c>
      <c r="F1143" s="20">
        <f>IF($L1143&lt;&gt;"",IF(INDEX(SCNet,$L1143)=0,"",INDEX(SCNet,$L1143)),"")</f>
        <v/>
      </c>
      <c r="G1143" s="21">
        <f>IF($L1143&lt;&gt;"",IF(INDEX(SCOp,$L1143)="مرجوعی فروش","",IF(INDEX(SCAmount,$L1143)&lt;=0,"",INDEX(SCAmount,$L1143))),IF($M1143&lt;&gt;"",IF(INDEX(LdgWitB,$M1143)=0,"",INDEX(LdgWitB,$M1143)),""))</f>
        <v/>
      </c>
      <c r="H1143" s="21">
        <f>IF($L1143&lt;&gt;"",IF(INDEX(SCOp,$L1143)="مرجوعی فروش",IF(INDEX(SCAmount,$L1143)=0,"",-INDEX(SCAmount,$L1143)),""),IF($M1143&lt;&gt;"",IF(INDEX(LdgDepB,$M1143)=0,"",INDEX(LdgDepB,$M1143)),""))</f>
        <v/>
      </c>
      <c r="I1143" s="22">
        <f>IF($B1143="","",IF($I1142="",$C$10,$I1142)+IF($G1143="",0,$G1143)-IF($H1143="",0,$H1143))</f>
        <v/>
      </c>
      <c r="L1143">
        <f>IFERROR(MATCH($C$5&amp;"|"&amp;RIGHT("000000"&amp;1127,6),LdgRankKeyA,0),"")</f>
        <v/>
      </c>
      <c r="M1143">
        <f>IFERROR(MATCH($C$5&amp;"|"&amp;RIGHT("000000"&amp;1127,6),LdgRankKeyB,0),"")</f>
        <v/>
      </c>
    </row>
    <row r="1144">
      <c r="A1144" s="23" t="n">
        <v>1128</v>
      </c>
      <c r="B1144" s="24">
        <f>IF(AND($L1144="",$M1144=""),"",IF($L1144&lt;&gt;"",INDEX(SCNormDate,$L1144),INDEX(LdgDateB,$M1144)))</f>
        <v/>
      </c>
      <c r="C1144" s="24">
        <f>IF($L1144&lt;&gt;"",INDEX(SCOp,$L1144),IF($M1144&lt;&gt;"","پرداخت بانکی",""))</f>
        <v/>
      </c>
      <c r="D1144" s="24">
        <f>IF($L1144&lt;&gt;"",IF(INDEX(SCDoc,$L1144)="","—",INDEX(SCDoc,$L1144)),IF($M1144&lt;&gt;"",INDEX(LdgBankB,$M1144),""))</f>
        <v/>
      </c>
      <c r="E1144" s="25">
        <f>IF($L1144&lt;&gt;"",IF(INDEX(SCCitrus,$L1144)&amp;INDEX(SCNotes,$L1144)="","",IF(INDEX(SCCitrus,$L1144)="","",INDEX(SCCitrus,$L1144))&amp;IF(INDEX(SCNotes,$L1144)="",""," — "&amp;INDEX(SCNotes,$L1144))),IF($M1144&lt;&gt;"",IF(INDEX(LdgNoteB,$M1144)="","—",INDEX(LdgNoteB,$M1144)),""))</f>
        <v/>
      </c>
      <c r="F1144" s="26">
        <f>IF($L1144&lt;&gt;"",IF(INDEX(SCNet,$L1144)=0,"",INDEX(SCNet,$L1144)),"")</f>
        <v/>
      </c>
      <c r="G1144" s="27">
        <f>IF($L1144&lt;&gt;"",IF(INDEX(SCOp,$L1144)="مرجوعی فروش","",IF(INDEX(SCAmount,$L1144)&lt;=0,"",INDEX(SCAmount,$L1144))),IF($M1144&lt;&gt;"",IF(INDEX(LdgWitB,$M1144)=0,"",INDEX(LdgWitB,$M1144)),""))</f>
        <v/>
      </c>
      <c r="H1144" s="27">
        <f>IF($L1144&lt;&gt;"",IF(INDEX(SCOp,$L1144)="مرجوعی فروش",IF(INDEX(SCAmount,$L1144)=0,"",-INDEX(SCAmount,$L1144)),""),IF($M1144&lt;&gt;"",IF(INDEX(LdgDepB,$M1144)=0,"",INDEX(LdgDepB,$M1144)),""))</f>
        <v/>
      </c>
      <c r="I1144" s="28">
        <f>IF($B1144="","",IF($I1143="",$C$10,$I1143)+IF($G1144="",0,$G1144)-IF($H1144="",0,$H1144))</f>
        <v/>
      </c>
      <c r="L1144">
        <f>IFERROR(MATCH($C$5&amp;"|"&amp;RIGHT("000000"&amp;1128,6),LdgRankKeyA,0),"")</f>
        <v/>
      </c>
      <c r="M1144">
        <f>IFERROR(MATCH($C$5&amp;"|"&amp;RIGHT("000000"&amp;1128,6),LdgRankKeyB,0),"")</f>
        <v/>
      </c>
    </row>
    <row r="1145">
      <c r="A1145" s="17" t="n">
        <v>1129</v>
      </c>
      <c r="B1145" s="18">
        <f>IF(AND($L1145="",$M1145=""),"",IF($L1145&lt;&gt;"",INDEX(SCNormDate,$L1145),INDEX(LdgDateB,$M1145)))</f>
        <v/>
      </c>
      <c r="C1145" s="18">
        <f>IF($L1145&lt;&gt;"",INDEX(SCOp,$L1145),IF($M1145&lt;&gt;"","پرداخت بانکی",""))</f>
        <v/>
      </c>
      <c r="D1145" s="18">
        <f>IF($L1145&lt;&gt;"",IF(INDEX(SCDoc,$L1145)="","—",INDEX(SCDoc,$L1145)),IF($M1145&lt;&gt;"",INDEX(LdgBankB,$M1145),""))</f>
        <v/>
      </c>
      <c r="E1145" s="19">
        <f>IF($L1145&lt;&gt;"",IF(INDEX(SCCitrus,$L1145)&amp;INDEX(SCNotes,$L1145)="","",IF(INDEX(SCCitrus,$L1145)="","",INDEX(SCCitrus,$L1145))&amp;IF(INDEX(SCNotes,$L1145)="",""," — "&amp;INDEX(SCNotes,$L1145))),IF($M1145&lt;&gt;"",IF(INDEX(LdgNoteB,$M1145)="","—",INDEX(LdgNoteB,$M1145)),""))</f>
        <v/>
      </c>
      <c r="F1145" s="20">
        <f>IF($L1145&lt;&gt;"",IF(INDEX(SCNet,$L1145)=0,"",INDEX(SCNet,$L1145)),"")</f>
        <v/>
      </c>
      <c r="G1145" s="21">
        <f>IF($L1145&lt;&gt;"",IF(INDEX(SCOp,$L1145)="مرجوعی فروش","",IF(INDEX(SCAmount,$L1145)&lt;=0,"",INDEX(SCAmount,$L1145))),IF($M1145&lt;&gt;"",IF(INDEX(LdgWitB,$M1145)=0,"",INDEX(LdgWitB,$M1145)),""))</f>
        <v/>
      </c>
      <c r="H1145" s="21">
        <f>IF($L1145&lt;&gt;"",IF(INDEX(SCOp,$L1145)="مرجوعی فروش",IF(INDEX(SCAmount,$L1145)=0,"",-INDEX(SCAmount,$L1145)),""),IF($M1145&lt;&gt;"",IF(INDEX(LdgDepB,$M1145)=0,"",INDEX(LdgDepB,$M1145)),""))</f>
        <v/>
      </c>
      <c r="I1145" s="22">
        <f>IF($B1145="","",IF($I1144="",$C$10,$I1144)+IF($G1145="",0,$G1145)-IF($H1145="",0,$H1145))</f>
        <v/>
      </c>
      <c r="L1145">
        <f>IFERROR(MATCH($C$5&amp;"|"&amp;RIGHT("000000"&amp;1129,6),LdgRankKeyA,0),"")</f>
        <v/>
      </c>
      <c r="M1145">
        <f>IFERROR(MATCH($C$5&amp;"|"&amp;RIGHT("000000"&amp;1129,6),LdgRankKeyB,0),"")</f>
        <v/>
      </c>
    </row>
    <row r="1146">
      <c r="A1146" s="23" t="n">
        <v>1130</v>
      </c>
      <c r="B1146" s="24">
        <f>IF(AND($L1146="",$M1146=""),"",IF($L1146&lt;&gt;"",INDEX(SCNormDate,$L1146),INDEX(LdgDateB,$M1146)))</f>
        <v/>
      </c>
      <c r="C1146" s="24">
        <f>IF($L1146&lt;&gt;"",INDEX(SCOp,$L1146),IF($M1146&lt;&gt;"","پرداخت بانکی",""))</f>
        <v/>
      </c>
      <c r="D1146" s="24">
        <f>IF($L1146&lt;&gt;"",IF(INDEX(SCDoc,$L1146)="","—",INDEX(SCDoc,$L1146)),IF($M1146&lt;&gt;"",INDEX(LdgBankB,$M1146),""))</f>
        <v/>
      </c>
      <c r="E1146" s="25">
        <f>IF($L1146&lt;&gt;"",IF(INDEX(SCCitrus,$L1146)&amp;INDEX(SCNotes,$L1146)="","",IF(INDEX(SCCitrus,$L1146)="","",INDEX(SCCitrus,$L1146))&amp;IF(INDEX(SCNotes,$L1146)="",""," — "&amp;INDEX(SCNotes,$L1146))),IF($M1146&lt;&gt;"",IF(INDEX(LdgNoteB,$M1146)="","—",INDEX(LdgNoteB,$M1146)),""))</f>
        <v/>
      </c>
      <c r="F1146" s="26">
        <f>IF($L1146&lt;&gt;"",IF(INDEX(SCNet,$L1146)=0,"",INDEX(SCNet,$L1146)),"")</f>
        <v/>
      </c>
      <c r="G1146" s="27">
        <f>IF($L1146&lt;&gt;"",IF(INDEX(SCOp,$L1146)="مرجوعی فروش","",IF(INDEX(SCAmount,$L1146)&lt;=0,"",INDEX(SCAmount,$L1146))),IF($M1146&lt;&gt;"",IF(INDEX(LdgWitB,$M1146)=0,"",INDEX(LdgWitB,$M1146)),""))</f>
        <v/>
      </c>
      <c r="H1146" s="27">
        <f>IF($L1146&lt;&gt;"",IF(INDEX(SCOp,$L1146)="مرجوعی فروش",IF(INDEX(SCAmount,$L1146)=0,"",-INDEX(SCAmount,$L1146)),""),IF($M1146&lt;&gt;"",IF(INDEX(LdgDepB,$M1146)=0,"",INDEX(LdgDepB,$M1146)),""))</f>
        <v/>
      </c>
      <c r="I1146" s="28">
        <f>IF($B1146="","",IF($I1145="",$C$10,$I1145)+IF($G1146="",0,$G1146)-IF($H1146="",0,$H1146))</f>
        <v/>
      </c>
      <c r="L1146">
        <f>IFERROR(MATCH($C$5&amp;"|"&amp;RIGHT("000000"&amp;1130,6),LdgRankKeyA,0),"")</f>
        <v/>
      </c>
      <c r="M1146">
        <f>IFERROR(MATCH($C$5&amp;"|"&amp;RIGHT("000000"&amp;1130,6),LdgRankKeyB,0),"")</f>
        <v/>
      </c>
    </row>
    <row r="1147">
      <c r="A1147" s="17" t="n">
        <v>1131</v>
      </c>
      <c r="B1147" s="18">
        <f>IF(AND($L1147="",$M1147=""),"",IF($L1147&lt;&gt;"",INDEX(SCNormDate,$L1147),INDEX(LdgDateB,$M1147)))</f>
        <v/>
      </c>
      <c r="C1147" s="18">
        <f>IF($L1147&lt;&gt;"",INDEX(SCOp,$L1147),IF($M1147&lt;&gt;"","پرداخت بانکی",""))</f>
        <v/>
      </c>
      <c r="D1147" s="18">
        <f>IF($L1147&lt;&gt;"",IF(INDEX(SCDoc,$L1147)="","—",INDEX(SCDoc,$L1147)),IF($M1147&lt;&gt;"",INDEX(LdgBankB,$M1147),""))</f>
        <v/>
      </c>
      <c r="E1147" s="19">
        <f>IF($L1147&lt;&gt;"",IF(INDEX(SCCitrus,$L1147)&amp;INDEX(SCNotes,$L1147)="","",IF(INDEX(SCCitrus,$L1147)="","",INDEX(SCCitrus,$L1147))&amp;IF(INDEX(SCNotes,$L1147)="",""," — "&amp;INDEX(SCNotes,$L1147))),IF($M1147&lt;&gt;"",IF(INDEX(LdgNoteB,$M1147)="","—",INDEX(LdgNoteB,$M1147)),""))</f>
        <v/>
      </c>
      <c r="F1147" s="20">
        <f>IF($L1147&lt;&gt;"",IF(INDEX(SCNet,$L1147)=0,"",INDEX(SCNet,$L1147)),"")</f>
        <v/>
      </c>
      <c r="G1147" s="21">
        <f>IF($L1147&lt;&gt;"",IF(INDEX(SCOp,$L1147)="مرجوعی فروش","",IF(INDEX(SCAmount,$L1147)&lt;=0,"",INDEX(SCAmount,$L1147))),IF($M1147&lt;&gt;"",IF(INDEX(LdgWitB,$M1147)=0,"",INDEX(LdgWitB,$M1147)),""))</f>
        <v/>
      </c>
      <c r="H1147" s="21">
        <f>IF($L1147&lt;&gt;"",IF(INDEX(SCOp,$L1147)="مرجوعی فروش",IF(INDEX(SCAmount,$L1147)=0,"",-INDEX(SCAmount,$L1147)),""),IF($M1147&lt;&gt;"",IF(INDEX(LdgDepB,$M1147)=0,"",INDEX(LdgDepB,$M1147)),""))</f>
        <v/>
      </c>
      <c r="I1147" s="22">
        <f>IF($B1147="","",IF($I1146="",$C$10,$I1146)+IF($G1147="",0,$G1147)-IF($H1147="",0,$H1147))</f>
        <v/>
      </c>
      <c r="L1147">
        <f>IFERROR(MATCH($C$5&amp;"|"&amp;RIGHT("000000"&amp;1131,6),LdgRankKeyA,0),"")</f>
        <v/>
      </c>
      <c r="M1147">
        <f>IFERROR(MATCH($C$5&amp;"|"&amp;RIGHT("000000"&amp;1131,6),LdgRankKeyB,0),"")</f>
        <v/>
      </c>
    </row>
    <row r="1148">
      <c r="A1148" s="23" t="n">
        <v>1132</v>
      </c>
      <c r="B1148" s="24">
        <f>IF(AND($L1148="",$M1148=""),"",IF($L1148&lt;&gt;"",INDEX(SCNormDate,$L1148),INDEX(LdgDateB,$M1148)))</f>
        <v/>
      </c>
      <c r="C1148" s="24">
        <f>IF($L1148&lt;&gt;"",INDEX(SCOp,$L1148),IF($M1148&lt;&gt;"","پرداخت بانکی",""))</f>
        <v/>
      </c>
      <c r="D1148" s="24">
        <f>IF($L1148&lt;&gt;"",IF(INDEX(SCDoc,$L1148)="","—",INDEX(SCDoc,$L1148)),IF($M1148&lt;&gt;"",INDEX(LdgBankB,$M1148),""))</f>
        <v/>
      </c>
      <c r="E1148" s="25">
        <f>IF($L1148&lt;&gt;"",IF(INDEX(SCCitrus,$L1148)&amp;INDEX(SCNotes,$L1148)="","",IF(INDEX(SCCitrus,$L1148)="","",INDEX(SCCitrus,$L1148))&amp;IF(INDEX(SCNotes,$L1148)="",""," — "&amp;INDEX(SCNotes,$L1148))),IF($M1148&lt;&gt;"",IF(INDEX(LdgNoteB,$M1148)="","—",INDEX(LdgNoteB,$M1148)),""))</f>
        <v/>
      </c>
      <c r="F1148" s="26">
        <f>IF($L1148&lt;&gt;"",IF(INDEX(SCNet,$L1148)=0,"",INDEX(SCNet,$L1148)),"")</f>
        <v/>
      </c>
      <c r="G1148" s="27">
        <f>IF($L1148&lt;&gt;"",IF(INDEX(SCOp,$L1148)="مرجوعی فروش","",IF(INDEX(SCAmount,$L1148)&lt;=0,"",INDEX(SCAmount,$L1148))),IF($M1148&lt;&gt;"",IF(INDEX(LdgWitB,$M1148)=0,"",INDEX(LdgWitB,$M1148)),""))</f>
        <v/>
      </c>
      <c r="H1148" s="27">
        <f>IF($L1148&lt;&gt;"",IF(INDEX(SCOp,$L1148)="مرجوعی فروش",IF(INDEX(SCAmount,$L1148)=0,"",-INDEX(SCAmount,$L1148)),""),IF($M1148&lt;&gt;"",IF(INDEX(LdgDepB,$M1148)=0,"",INDEX(LdgDepB,$M1148)),""))</f>
        <v/>
      </c>
      <c r="I1148" s="28">
        <f>IF($B1148="","",IF($I1147="",$C$10,$I1147)+IF($G1148="",0,$G1148)-IF($H1148="",0,$H1148))</f>
        <v/>
      </c>
      <c r="L1148">
        <f>IFERROR(MATCH($C$5&amp;"|"&amp;RIGHT("000000"&amp;1132,6),LdgRankKeyA,0),"")</f>
        <v/>
      </c>
      <c r="M1148">
        <f>IFERROR(MATCH($C$5&amp;"|"&amp;RIGHT("000000"&amp;1132,6),LdgRankKeyB,0),"")</f>
        <v/>
      </c>
    </row>
    <row r="1149">
      <c r="A1149" s="17" t="n">
        <v>1133</v>
      </c>
      <c r="B1149" s="18">
        <f>IF(AND($L1149="",$M1149=""),"",IF($L1149&lt;&gt;"",INDEX(SCNormDate,$L1149),INDEX(LdgDateB,$M1149)))</f>
        <v/>
      </c>
      <c r="C1149" s="18">
        <f>IF($L1149&lt;&gt;"",INDEX(SCOp,$L1149),IF($M1149&lt;&gt;"","پرداخت بانکی",""))</f>
        <v/>
      </c>
      <c r="D1149" s="18">
        <f>IF($L1149&lt;&gt;"",IF(INDEX(SCDoc,$L1149)="","—",INDEX(SCDoc,$L1149)),IF($M1149&lt;&gt;"",INDEX(LdgBankB,$M1149),""))</f>
        <v/>
      </c>
      <c r="E1149" s="19">
        <f>IF($L1149&lt;&gt;"",IF(INDEX(SCCitrus,$L1149)&amp;INDEX(SCNotes,$L1149)="","",IF(INDEX(SCCitrus,$L1149)="","",INDEX(SCCitrus,$L1149))&amp;IF(INDEX(SCNotes,$L1149)="",""," — "&amp;INDEX(SCNotes,$L1149))),IF($M1149&lt;&gt;"",IF(INDEX(LdgNoteB,$M1149)="","—",INDEX(LdgNoteB,$M1149)),""))</f>
        <v/>
      </c>
      <c r="F1149" s="20">
        <f>IF($L1149&lt;&gt;"",IF(INDEX(SCNet,$L1149)=0,"",INDEX(SCNet,$L1149)),"")</f>
        <v/>
      </c>
      <c r="G1149" s="21">
        <f>IF($L1149&lt;&gt;"",IF(INDEX(SCOp,$L1149)="مرجوعی فروش","",IF(INDEX(SCAmount,$L1149)&lt;=0,"",INDEX(SCAmount,$L1149))),IF($M1149&lt;&gt;"",IF(INDEX(LdgWitB,$M1149)=0,"",INDEX(LdgWitB,$M1149)),""))</f>
        <v/>
      </c>
      <c r="H1149" s="21">
        <f>IF($L1149&lt;&gt;"",IF(INDEX(SCOp,$L1149)="مرجوعی فروش",IF(INDEX(SCAmount,$L1149)=0,"",-INDEX(SCAmount,$L1149)),""),IF($M1149&lt;&gt;"",IF(INDEX(LdgDepB,$M1149)=0,"",INDEX(LdgDepB,$M1149)),""))</f>
        <v/>
      </c>
      <c r="I1149" s="22">
        <f>IF($B1149="","",IF($I1148="",$C$10,$I1148)+IF($G1149="",0,$G1149)-IF($H1149="",0,$H1149))</f>
        <v/>
      </c>
      <c r="L1149">
        <f>IFERROR(MATCH($C$5&amp;"|"&amp;RIGHT("000000"&amp;1133,6),LdgRankKeyA,0),"")</f>
        <v/>
      </c>
      <c r="M1149">
        <f>IFERROR(MATCH($C$5&amp;"|"&amp;RIGHT("000000"&amp;1133,6),LdgRankKeyB,0),"")</f>
        <v/>
      </c>
    </row>
    <row r="1150">
      <c r="A1150" s="23" t="n">
        <v>1134</v>
      </c>
      <c r="B1150" s="24">
        <f>IF(AND($L1150="",$M1150=""),"",IF($L1150&lt;&gt;"",INDEX(SCNormDate,$L1150),INDEX(LdgDateB,$M1150)))</f>
        <v/>
      </c>
      <c r="C1150" s="24">
        <f>IF($L1150&lt;&gt;"",INDEX(SCOp,$L1150),IF($M1150&lt;&gt;"","پرداخت بانکی",""))</f>
        <v/>
      </c>
      <c r="D1150" s="24">
        <f>IF($L1150&lt;&gt;"",IF(INDEX(SCDoc,$L1150)="","—",INDEX(SCDoc,$L1150)),IF($M1150&lt;&gt;"",INDEX(LdgBankB,$M1150),""))</f>
        <v/>
      </c>
      <c r="E1150" s="25">
        <f>IF($L1150&lt;&gt;"",IF(INDEX(SCCitrus,$L1150)&amp;INDEX(SCNotes,$L1150)="","",IF(INDEX(SCCitrus,$L1150)="","",INDEX(SCCitrus,$L1150))&amp;IF(INDEX(SCNotes,$L1150)="",""," — "&amp;INDEX(SCNotes,$L1150))),IF($M1150&lt;&gt;"",IF(INDEX(LdgNoteB,$M1150)="","—",INDEX(LdgNoteB,$M1150)),""))</f>
        <v/>
      </c>
      <c r="F1150" s="26">
        <f>IF($L1150&lt;&gt;"",IF(INDEX(SCNet,$L1150)=0,"",INDEX(SCNet,$L1150)),"")</f>
        <v/>
      </c>
      <c r="G1150" s="27">
        <f>IF($L1150&lt;&gt;"",IF(INDEX(SCOp,$L1150)="مرجوعی فروش","",IF(INDEX(SCAmount,$L1150)&lt;=0,"",INDEX(SCAmount,$L1150))),IF($M1150&lt;&gt;"",IF(INDEX(LdgWitB,$M1150)=0,"",INDEX(LdgWitB,$M1150)),""))</f>
        <v/>
      </c>
      <c r="H1150" s="27">
        <f>IF($L1150&lt;&gt;"",IF(INDEX(SCOp,$L1150)="مرجوعی فروش",IF(INDEX(SCAmount,$L1150)=0,"",-INDEX(SCAmount,$L1150)),""),IF($M1150&lt;&gt;"",IF(INDEX(LdgDepB,$M1150)=0,"",INDEX(LdgDepB,$M1150)),""))</f>
        <v/>
      </c>
      <c r="I1150" s="28">
        <f>IF($B1150="","",IF($I1149="",$C$10,$I1149)+IF($G1150="",0,$G1150)-IF($H1150="",0,$H1150))</f>
        <v/>
      </c>
      <c r="L1150">
        <f>IFERROR(MATCH($C$5&amp;"|"&amp;RIGHT("000000"&amp;1134,6),LdgRankKeyA,0),"")</f>
        <v/>
      </c>
      <c r="M1150">
        <f>IFERROR(MATCH($C$5&amp;"|"&amp;RIGHT("000000"&amp;1134,6),LdgRankKeyB,0),"")</f>
        <v/>
      </c>
    </row>
    <row r="1151">
      <c r="A1151" s="17" t="n">
        <v>1135</v>
      </c>
      <c r="B1151" s="18">
        <f>IF(AND($L1151="",$M1151=""),"",IF($L1151&lt;&gt;"",INDEX(SCNormDate,$L1151),INDEX(LdgDateB,$M1151)))</f>
        <v/>
      </c>
      <c r="C1151" s="18">
        <f>IF($L1151&lt;&gt;"",INDEX(SCOp,$L1151),IF($M1151&lt;&gt;"","پرداخت بانکی",""))</f>
        <v/>
      </c>
      <c r="D1151" s="18">
        <f>IF($L1151&lt;&gt;"",IF(INDEX(SCDoc,$L1151)="","—",INDEX(SCDoc,$L1151)),IF($M1151&lt;&gt;"",INDEX(LdgBankB,$M1151),""))</f>
        <v/>
      </c>
      <c r="E1151" s="19">
        <f>IF($L1151&lt;&gt;"",IF(INDEX(SCCitrus,$L1151)&amp;INDEX(SCNotes,$L1151)="","",IF(INDEX(SCCitrus,$L1151)="","",INDEX(SCCitrus,$L1151))&amp;IF(INDEX(SCNotes,$L1151)="",""," — "&amp;INDEX(SCNotes,$L1151))),IF($M1151&lt;&gt;"",IF(INDEX(LdgNoteB,$M1151)="","—",INDEX(LdgNoteB,$M1151)),""))</f>
        <v/>
      </c>
      <c r="F1151" s="20">
        <f>IF($L1151&lt;&gt;"",IF(INDEX(SCNet,$L1151)=0,"",INDEX(SCNet,$L1151)),"")</f>
        <v/>
      </c>
      <c r="G1151" s="21">
        <f>IF($L1151&lt;&gt;"",IF(INDEX(SCOp,$L1151)="مرجوعی فروش","",IF(INDEX(SCAmount,$L1151)&lt;=0,"",INDEX(SCAmount,$L1151))),IF($M1151&lt;&gt;"",IF(INDEX(LdgWitB,$M1151)=0,"",INDEX(LdgWitB,$M1151)),""))</f>
        <v/>
      </c>
      <c r="H1151" s="21">
        <f>IF($L1151&lt;&gt;"",IF(INDEX(SCOp,$L1151)="مرجوعی فروش",IF(INDEX(SCAmount,$L1151)=0,"",-INDEX(SCAmount,$L1151)),""),IF($M1151&lt;&gt;"",IF(INDEX(LdgDepB,$M1151)=0,"",INDEX(LdgDepB,$M1151)),""))</f>
        <v/>
      </c>
      <c r="I1151" s="22">
        <f>IF($B1151="","",IF($I1150="",$C$10,$I1150)+IF($G1151="",0,$G1151)-IF($H1151="",0,$H1151))</f>
        <v/>
      </c>
      <c r="L1151">
        <f>IFERROR(MATCH($C$5&amp;"|"&amp;RIGHT("000000"&amp;1135,6),LdgRankKeyA,0),"")</f>
        <v/>
      </c>
      <c r="M1151">
        <f>IFERROR(MATCH($C$5&amp;"|"&amp;RIGHT("000000"&amp;1135,6),LdgRankKeyB,0),"")</f>
        <v/>
      </c>
    </row>
    <row r="1152">
      <c r="A1152" s="23" t="n">
        <v>1136</v>
      </c>
      <c r="B1152" s="24">
        <f>IF(AND($L1152="",$M1152=""),"",IF($L1152&lt;&gt;"",INDEX(SCNormDate,$L1152),INDEX(LdgDateB,$M1152)))</f>
        <v/>
      </c>
      <c r="C1152" s="24">
        <f>IF($L1152&lt;&gt;"",INDEX(SCOp,$L1152),IF($M1152&lt;&gt;"","پرداخت بانکی",""))</f>
        <v/>
      </c>
      <c r="D1152" s="24">
        <f>IF($L1152&lt;&gt;"",IF(INDEX(SCDoc,$L1152)="","—",INDEX(SCDoc,$L1152)),IF($M1152&lt;&gt;"",INDEX(LdgBankB,$M1152),""))</f>
        <v/>
      </c>
      <c r="E1152" s="25">
        <f>IF($L1152&lt;&gt;"",IF(INDEX(SCCitrus,$L1152)&amp;INDEX(SCNotes,$L1152)="","",IF(INDEX(SCCitrus,$L1152)="","",INDEX(SCCitrus,$L1152))&amp;IF(INDEX(SCNotes,$L1152)="",""," — "&amp;INDEX(SCNotes,$L1152))),IF($M1152&lt;&gt;"",IF(INDEX(LdgNoteB,$M1152)="","—",INDEX(LdgNoteB,$M1152)),""))</f>
        <v/>
      </c>
      <c r="F1152" s="26">
        <f>IF($L1152&lt;&gt;"",IF(INDEX(SCNet,$L1152)=0,"",INDEX(SCNet,$L1152)),"")</f>
        <v/>
      </c>
      <c r="G1152" s="27">
        <f>IF($L1152&lt;&gt;"",IF(INDEX(SCOp,$L1152)="مرجوعی فروش","",IF(INDEX(SCAmount,$L1152)&lt;=0,"",INDEX(SCAmount,$L1152))),IF($M1152&lt;&gt;"",IF(INDEX(LdgWitB,$M1152)=0,"",INDEX(LdgWitB,$M1152)),""))</f>
        <v/>
      </c>
      <c r="H1152" s="27">
        <f>IF($L1152&lt;&gt;"",IF(INDEX(SCOp,$L1152)="مرجوعی فروش",IF(INDEX(SCAmount,$L1152)=0,"",-INDEX(SCAmount,$L1152)),""),IF($M1152&lt;&gt;"",IF(INDEX(LdgDepB,$M1152)=0,"",INDEX(LdgDepB,$M1152)),""))</f>
        <v/>
      </c>
      <c r="I1152" s="28">
        <f>IF($B1152="","",IF($I1151="",$C$10,$I1151)+IF($G1152="",0,$G1152)-IF($H1152="",0,$H1152))</f>
        <v/>
      </c>
      <c r="L1152">
        <f>IFERROR(MATCH($C$5&amp;"|"&amp;RIGHT("000000"&amp;1136,6),LdgRankKeyA,0),"")</f>
        <v/>
      </c>
      <c r="M1152">
        <f>IFERROR(MATCH($C$5&amp;"|"&amp;RIGHT("000000"&amp;1136,6),LdgRankKeyB,0),"")</f>
        <v/>
      </c>
    </row>
    <row r="1153">
      <c r="A1153" s="17" t="n">
        <v>1137</v>
      </c>
      <c r="B1153" s="18">
        <f>IF(AND($L1153="",$M1153=""),"",IF($L1153&lt;&gt;"",INDEX(SCNormDate,$L1153),INDEX(LdgDateB,$M1153)))</f>
        <v/>
      </c>
      <c r="C1153" s="18">
        <f>IF($L1153&lt;&gt;"",INDEX(SCOp,$L1153),IF($M1153&lt;&gt;"","پرداخت بانکی",""))</f>
        <v/>
      </c>
      <c r="D1153" s="18">
        <f>IF($L1153&lt;&gt;"",IF(INDEX(SCDoc,$L1153)="","—",INDEX(SCDoc,$L1153)),IF($M1153&lt;&gt;"",INDEX(LdgBankB,$M1153),""))</f>
        <v/>
      </c>
      <c r="E1153" s="19">
        <f>IF($L1153&lt;&gt;"",IF(INDEX(SCCitrus,$L1153)&amp;INDEX(SCNotes,$L1153)="","",IF(INDEX(SCCitrus,$L1153)="","",INDEX(SCCitrus,$L1153))&amp;IF(INDEX(SCNotes,$L1153)="",""," — "&amp;INDEX(SCNotes,$L1153))),IF($M1153&lt;&gt;"",IF(INDEX(LdgNoteB,$M1153)="","—",INDEX(LdgNoteB,$M1153)),""))</f>
        <v/>
      </c>
      <c r="F1153" s="20">
        <f>IF($L1153&lt;&gt;"",IF(INDEX(SCNet,$L1153)=0,"",INDEX(SCNet,$L1153)),"")</f>
        <v/>
      </c>
      <c r="G1153" s="21">
        <f>IF($L1153&lt;&gt;"",IF(INDEX(SCOp,$L1153)="مرجوعی فروش","",IF(INDEX(SCAmount,$L1153)&lt;=0,"",INDEX(SCAmount,$L1153))),IF($M1153&lt;&gt;"",IF(INDEX(LdgWitB,$M1153)=0,"",INDEX(LdgWitB,$M1153)),""))</f>
        <v/>
      </c>
      <c r="H1153" s="21">
        <f>IF($L1153&lt;&gt;"",IF(INDEX(SCOp,$L1153)="مرجوعی فروش",IF(INDEX(SCAmount,$L1153)=0,"",-INDEX(SCAmount,$L1153)),""),IF($M1153&lt;&gt;"",IF(INDEX(LdgDepB,$M1153)=0,"",INDEX(LdgDepB,$M1153)),""))</f>
        <v/>
      </c>
      <c r="I1153" s="22">
        <f>IF($B1153="","",IF($I1152="",$C$10,$I1152)+IF($G1153="",0,$G1153)-IF($H1153="",0,$H1153))</f>
        <v/>
      </c>
      <c r="L1153">
        <f>IFERROR(MATCH($C$5&amp;"|"&amp;RIGHT("000000"&amp;1137,6),LdgRankKeyA,0),"")</f>
        <v/>
      </c>
      <c r="M1153">
        <f>IFERROR(MATCH($C$5&amp;"|"&amp;RIGHT("000000"&amp;1137,6),LdgRankKeyB,0),"")</f>
        <v/>
      </c>
    </row>
    <row r="1154">
      <c r="A1154" s="23" t="n">
        <v>1138</v>
      </c>
      <c r="B1154" s="24">
        <f>IF(AND($L1154="",$M1154=""),"",IF($L1154&lt;&gt;"",INDEX(SCNormDate,$L1154),INDEX(LdgDateB,$M1154)))</f>
        <v/>
      </c>
      <c r="C1154" s="24">
        <f>IF($L1154&lt;&gt;"",INDEX(SCOp,$L1154),IF($M1154&lt;&gt;"","پرداخت بانکی",""))</f>
        <v/>
      </c>
      <c r="D1154" s="24">
        <f>IF($L1154&lt;&gt;"",IF(INDEX(SCDoc,$L1154)="","—",INDEX(SCDoc,$L1154)),IF($M1154&lt;&gt;"",INDEX(LdgBankB,$M1154),""))</f>
        <v/>
      </c>
      <c r="E1154" s="25">
        <f>IF($L1154&lt;&gt;"",IF(INDEX(SCCitrus,$L1154)&amp;INDEX(SCNotes,$L1154)="","",IF(INDEX(SCCitrus,$L1154)="","",INDEX(SCCitrus,$L1154))&amp;IF(INDEX(SCNotes,$L1154)="",""," — "&amp;INDEX(SCNotes,$L1154))),IF($M1154&lt;&gt;"",IF(INDEX(LdgNoteB,$M1154)="","—",INDEX(LdgNoteB,$M1154)),""))</f>
        <v/>
      </c>
      <c r="F1154" s="26">
        <f>IF($L1154&lt;&gt;"",IF(INDEX(SCNet,$L1154)=0,"",INDEX(SCNet,$L1154)),"")</f>
        <v/>
      </c>
      <c r="G1154" s="27">
        <f>IF($L1154&lt;&gt;"",IF(INDEX(SCOp,$L1154)="مرجوعی فروش","",IF(INDEX(SCAmount,$L1154)&lt;=0,"",INDEX(SCAmount,$L1154))),IF($M1154&lt;&gt;"",IF(INDEX(LdgWitB,$M1154)=0,"",INDEX(LdgWitB,$M1154)),""))</f>
        <v/>
      </c>
      <c r="H1154" s="27">
        <f>IF($L1154&lt;&gt;"",IF(INDEX(SCOp,$L1154)="مرجوعی فروش",IF(INDEX(SCAmount,$L1154)=0,"",-INDEX(SCAmount,$L1154)),""),IF($M1154&lt;&gt;"",IF(INDEX(LdgDepB,$M1154)=0,"",INDEX(LdgDepB,$M1154)),""))</f>
        <v/>
      </c>
      <c r="I1154" s="28">
        <f>IF($B1154="","",IF($I1153="",$C$10,$I1153)+IF($G1154="",0,$G1154)-IF($H1154="",0,$H1154))</f>
        <v/>
      </c>
      <c r="L1154">
        <f>IFERROR(MATCH($C$5&amp;"|"&amp;RIGHT("000000"&amp;1138,6),LdgRankKeyA,0),"")</f>
        <v/>
      </c>
      <c r="M1154">
        <f>IFERROR(MATCH($C$5&amp;"|"&amp;RIGHT("000000"&amp;1138,6),LdgRankKeyB,0),"")</f>
        <v/>
      </c>
    </row>
    <row r="1155">
      <c r="A1155" s="17" t="n">
        <v>1139</v>
      </c>
      <c r="B1155" s="18">
        <f>IF(AND($L1155="",$M1155=""),"",IF($L1155&lt;&gt;"",INDEX(SCNormDate,$L1155),INDEX(LdgDateB,$M1155)))</f>
        <v/>
      </c>
      <c r="C1155" s="18">
        <f>IF($L1155&lt;&gt;"",INDEX(SCOp,$L1155),IF($M1155&lt;&gt;"","پرداخت بانکی",""))</f>
        <v/>
      </c>
      <c r="D1155" s="18">
        <f>IF($L1155&lt;&gt;"",IF(INDEX(SCDoc,$L1155)="","—",INDEX(SCDoc,$L1155)),IF($M1155&lt;&gt;"",INDEX(LdgBankB,$M1155),""))</f>
        <v/>
      </c>
      <c r="E1155" s="19">
        <f>IF($L1155&lt;&gt;"",IF(INDEX(SCCitrus,$L1155)&amp;INDEX(SCNotes,$L1155)="","",IF(INDEX(SCCitrus,$L1155)="","",INDEX(SCCitrus,$L1155))&amp;IF(INDEX(SCNotes,$L1155)="",""," — "&amp;INDEX(SCNotes,$L1155))),IF($M1155&lt;&gt;"",IF(INDEX(LdgNoteB,$M1155)="","—",INDEX(LdgNoteB,$M1155)),""))</f>
        <v/>
      </c>
      <c r="F1155" s="20">
        <f>IF($L1155&lt;&gt;"",IF(INDEX(SCNet,$L1155)=0,"",INDEX(SCNet,$L1155)),"")</f>
        <v/>
      </c>
      <c r="G1155" s="21">
        <f>IF($L1155&lt;&gt;"",IF(INDEX(SCOp,$L1155)="مرجوعی فروش","",IF(INDEX(SCAmount,$L1155)&lt;=0,"",INDEX(SCAmount,$L1155))),IF($M1155&lt;&gt;"",IF(INDEX(LdgWitB,$M1155)=0,"",INDEX(LdgWitB,$M1155)),""))</f>
        <v/>
      </c>
      <c r="H1155" s="21">
        <f>IF($L1155&lt;&gt;"",IF(INDEX(SCOp,$L1155)="مرجوعی فروش",IF(INDEX(SCAmount,$L1155)=0,"",-INDEX(SCAmount,$L1155)),""),IF($M1155&lt;&gt;"",IF(INDEX(LdgDepB,$M1155)=0,"",INDEX(LdgDepB,$M1155)),""))</f>
        <v/>
      </c>
      <c r="I1155" s="22">
        <f>IF($B1155="","",IF($I1154="",$C$10,$I1154)+IF($G1155="",0,$G1155)-IF($H1155="",0,$H1155))</f>
        <v/>
      </c>
      <c r="L1155">
        <f>IFERROR(MATCH($C$5&amp;"|"&amp;RIGHT("000000"&amp;1139,6),LdgRankKeyA,0),"")</f>
        <v/>
      </c>
      <c r="M1155">
        <f>IFERROR(MATCH($C$5&amp;"|"&amp;RIGHT("000000"&amp;1139,6),LdgRankKeyB,0),"")</f>
        <v/>
      </c>
    </row>
    <row r="1156">
      <c r="A1156" s="23" t="n">
        <v>1140</v>
      </c>
      <c r="B1156" s="24">
        <f>IF(AND($L1156="",$M1156=""),"",IF($L1156&lt;&gt;"",INDEX(SCNormDate,$L1156),INDEX(LdgDateB,$M1156)))</f>
        <v/>
      </c>
      <c r="C1156" s="24">
        <f>IF($L1156&lt;&gt;"",INDEX(SCOp,$L1156),IF($M1156&lt;&gt;"","پرداخت بانکی",""))</f>
        <v/>
      </c>
      <c r="D1156" s="24">
        <f>IF($L1156&lt;&gt;"",IF(INDEX(SCDoc,$L1156)="","—",INDEX(SCDoc,$L1156)),IF($M1156&lt;&gt;"",INDEX(LdgBankB,$M1156),""))</f>
        <v/>
      </c>
      <c r="E1156" s="25">
        <f>IF($L1156&lt;&gt;"",IF(INDEX(SCCitrus,$L1156)&amp;INDEX(SCNotes,$L1156)="","",IF(INDEX(SCCitrus,$L1156)="","",INDEX(SCCitrus,$L1156))&amp;IF(INDEX(SCNotes,$L1156)="",""," — "&amp;INDEX(SCNotes,$L1156))),IF($M1156&lt;&gt;"",IF(INDEX(LdgNoteB,$M1156)="","—",INDEX(LdgNoteB,$M1156)),""))</f>
        <v/>
      </c>
      <c r="F1156" s="26">
        <f>IF($L1156&lt;&gt;"",IF(INDEX(SCNet,$L1156)=0,"",INDEX(SCNet,$L1156)),"")</f>
        <v/>
      </c>
      <c r="G1156" s="27">
        <f>IF($L1156&lt;&gt;"",IF(INDEX(SCOp,$L1156)="مرجوعی فروش","",IF(INDEX(SCAmount,$L1156)&lt;=0,"",INDEX(SCAmount,$L1156))),IF($M1156&lt;&gt;"",IF(INDEX(LdgWitB,$M1156)=0,"",INDEX(LdgWitB,$M1156)),""))</f>
        <v/>
      </c>
      <c r="H1156" s="27">
        <f>IF($L1156&lt;&gt;"",IF(INDEX(SCOp,$L1156)="مرجوعی فروش",IF(INDEX(SCAmount,$L1156)=0,"",-INDEX(SCAmount,$L1156)),""),IF($M1156&lt;&gt;"",IF(INDEX(LdgDepB,$M1156)=0,"",INDEX(LdgDepB,$M1156)),""))</f>
        <v/>
      </c>
      <c r="I1156" s="28">
        <f>IF($B1156="","",IF($I1155="",$C$10,$I1155)+IF($G1156="",0,$G1156)-IF($H1156="",0,$H1156))</f>
        <v/>
      </c>
      <c r="L1156">
        <f>IFERROR(MATCH($C$5&amp;"|"&amp;RIGHT("000000"&amp;1140,6),LdgRankKeyA,0),"")</f>
        <v/>
      </c>
      <c r="M1156">
        <f>IFERROR(MATCH($C$5&amp;"|"&amp;RIGHT("000000"&amp;1140,6),LdgRankKeyB,0),"")</f>
        <v/>
      </c>
    </row>
    <row r="1157">
      <c r="A1157" s="17" t="n">
        <v>1141</v>
      </c>
      <c r="B1157" s="18">
        <f>IF(AND($L1157="",$M1157=""),"",IF($L1157&lt;&gt;"",INDEX(SCNormDate,$L1157),INDEX(LdgDateB,$M1157)))</f>
        <v/>
      </c>
      <c r="C1157" s="18">
        <f>IF($L1157&lt;&gt;"",INDEX(SCOp,$L1157),IF($M1157&lt;&gt;"","پرداخت بانکی",""))</f>
        <v/>
      </c>
      <c r="D1157" s="18">
        <f>IF($L1157&lt;&gt;"",IF(INDEX(SCDoc,$L1157)="","—",INDEX(SCDoc,$L1157)),IF($M1157&lt;&gt;"",INDEX(LdgBankB,$M1157),""))</f>
        <v/>
      </c>
      <c r="E1157" s="19">
        <f>IF($L1157&lt;&gt;"",IF(INDEX(SCCitrus,$L1157)&amp;INDEX(SCNotes,$L1157)="","",IF(INDEX(SCCitrus,$L1157)="","",INDEX(SCCitrus,$L1157))&amp;IF(INDEX(SCNotes,$L1157)="",""," — "&amp;INDEX(SCNotes,$L1157))),IF($M1157&lt;&gt;"",IF(INDEX(LdgNoteB,$M1157)="","—",INDEX(LdgNoteB,$M1157)),""))</f>
        <v/>
      </c>
      <c r="F1157" s="20">
        <f>IF($L1157&lt;&gt;"",IF(INDEX(SCNet,$L1157)=0,"",INDEX(SCNet,$L1157)),"")</f>
        <v/>
      </c>
      <c r="G1157" s="21">
        <f>IF($L1157&lt;&gt;"",IF(INDEX(SCOp,$L1157)="مرجوعی فروش","",IF(INDEX(SCAmount,$L1157)&lt;=0,"",INDEX(SCAmount,$L1157))),IF($M1157&lt;&gt;"",IF(INDEX(LdgWitB,$M1157)=0,"",INDEX(LdgWitB,$M1157)),""))</f>
        <v/>
      </c>
      <c r="H1157" s="21">
        <f>IF($L1157&lt;&gt;"",IF(INDEX(SCOp,$L1157)="مرجوعی فروش",IF(INDEX(SCAmount,$L1157)=0,"",-INDEX(SCAmount,$L1157)),""),IF($M1157&lt;&gt;"",IF(INDEX(LdgDepB,$M1157)=0,"",INDEX(LdgDepB,$M1157)),""))</f>
        <v/>
      </c>
      <c r="I1157" s="22">
        <f>IF($B1157="","",IF($I1156="",$C$10,$I1156)+IF($G1157="",0,$G1157)-IF($H1157="",0,$H1157))</f>
        <v/>
      </c>
      <c r="L1157">
        <f>IFERROR(MATCH($C$5&amp;"|"&amp;RIGHT("000000"&amp;1141,6),LdgRankKeyA,0),"")</f>
        <v/>
      </c>
      <c r="M1157">
        <f>IFERROR(MATCH($C$5&amp;"|"&amp;RIGHT("000000"&amp;1141,6),LdgRankKeyB,0),"")</f>
        <v/>
      </c>
    </row>
    <row r="1158">
      <c r="A1158" s="23" t="n">
        <v>1142</v>
      </c>
      <c r="B1158" s="24">
        <f>IF(AND($L1158="",$M1158=""),"",IF($L1158&lt;&gt;"",INDEX(SCNormDate,$L1158),INDEX(LdgDateB,$M1158)))</f>
        <v/>
      </c>
      <c r="C1158" s="24">
        <f>IF($L1158&lt;&gt;"",INDEX(SCOp,$L1158),IF($M1158&lt;&gt;"","پرداخت بانکی",""))</f>
        <v/>
      </c>
      <c r="D1158" s="24">
        <f>IF($L1158&lt;&gt;"",IF(INDEX(SCDoc,$L1158)="","—",INDEX(SCDoc,$L1158)),IF($M1158&lt;&gt;"",INDEX(LdgBankB,$M1158),""))</f>
        <v/>
      </c>
      <c r="E1158" s="25">
        <f>IF($L1158&lt;&gt;"",IF(INDEX(SCCitrus,$L1158)&amp;INDEX(SCNotes,$L1158)="","",IF(INDEX(SCCitrus,$L1158)="","",INDEX(SCCitrus,$L1158))&amp;IF(INDEX(SCNotes,$L1158)="",""," — "&amp;INDEX(SCNotes,$L1158))),IF($M1158&lt;&gt;"",IF(INDEX(LdgNoteB,$M1158)="","—",INDEX(LdgNoteB,$M1158)),""))</f>
        <v/>
      </c>
      <c r="F1158" s="26">
        <f>IF($L1158&lt;&gt;"",IF(INDEX(SCNet,$L1158)=0,"",INDEX(SCNet,$L1158)),"")</f>
        <v/>
      </c>
      <c r="G1158" s="27">
        <f>IF($L1158&lt;&gt;"",IF(INDEX(SCOp,$L1158)="مرجوعی فروش","",IF(INDEX(SCAmount,$L1158)&lt;=0,"",INDEX(SCAmount,$L1158))),IF($M1158&lt;&gt;"",IF(INDEX(LdgWitB,$M1158)=0,"",INDEX(LdgWitB,$M1158)),""))</f>
        <v/>
      </c>
      <c r="H1158" s="27">
        <f>IF($L1158&lt;&gt;"",IF(INDEX(SCOp,$L1158)="مرجوعی فروش",IF(INDEX(SCAmount,$L1158)=0,"",-INDEX(SCAmount,$L1158)),""),IF($M1158&lt;&gt;"",IF(INDEX(LdgDepB,$M1158)=0,"",INDEX(LdgDepB,$M1158)),""))</f>
        <v/>
      </c>
      <c r="I1158" s="28">
        <f>IF($B1158="","",IF($I1157="",$C$10,$I1157)+IF($G1158="",0,$G1158)-IF($H1158="",0,$H1158))</f>
        <v/>
      </c>
      <c r="L1158">
        <f>IFERROR(MATCH($C$5&amp;"|"&amp;RIGHT("000000"&amp;1142,6),LdgRankKeyA,0),"")</f>
        <v/>
      </c>
      <c r="M1158">
        <f>IFERROR(MATCH($C$5&amp;"|"&amp;RIGHT("000000"&amp;1142,6),LdgRankKeyB,0),"")</f>
        <v/>
      </c>
    </row>
    <row r="1159">
      <c r="A1159" s="17" t="n">
        <v>1143</v>
      </c>
      <c r="B1159" s="18">
        <f>IF(AND($L1159="",$M1159=""),"",IF($L1159&lt;&gt;"",INDEX(SCNormDate,$L1159),INDEX(LdgDateB,$M1159)))</f>
        <v/>
      </c>
      <c r="C1159" s="18">
        <f>IF($L1159&lt;&gt;"",INDEX(SCOp,$L1159),IF($M1159&lt;&gt;"","پرداخت بانکی",""))</f>
        <v/>
      </c>
      <c r="D1159" s="18">
        <f>IF($L1159&lt;&gt;"",IF(INDEX(SCDoc,$L1159)="","—",INDEX(SCDoc,$L1159)),IF($M1159&lt;&gt;"",INDEX(LdgBankB,$M1159),""))</f>
        <v/>
      </c>
      <c r="E1159" s="19">
        <f>IF($L1159&lt;&gt;"",IF(INDEX(SCCitrus,$L1159)&amp;INDEX(SCNotes,$L1159)="","",IF(INDEX(SCCitrus,$L1159)="","",INDEX(SCCitrus,$L1159))&amp;IF(INDEX(SCNotes,$L1159)="",""," — "&amp;INDEX(SCNotes,$L1159))),IF($M1159&lt;&gt;"",IF(INDEX(LdgNoteB,$M1159)="","—",INDEX(LdgNoteB,$M1159)),""))</f>
        <v/>
      </c>
      <c r="F1159" s="20">
        <f>IF($L1159&lt;&gt;"",IF(INDEX(SCNet,$L1159)=0,"",INDEX(SCNet,$L1159)),"")</f>
        <v/>
      </c>
      <c r="G1159" s="21">
        <f>IF($L1159&lt;&gt;"",IF(INDEX(SCOp,$L1159)="مرجوعی فروش","",IF(INDEX(SCAmount,$L1159)&lt;=0,"",INDEX(SCAmount,$L1159))),IF($M1159&lt;&gt;"",IF(INDEX(LdgWitB,$M1159)=0,"",INDEX(LdgWitB,$M1159)),""))</f>
        <v/>
      </c>
      <c r="H1159" s="21">
        <f>IF($L1159&lt;&gt;"",IF(INDEX(SCOp,$L1159)="مرجوعی فروش",IF(INDEX(SCAmount,$L1159)=0,"",-INDEX(SCAmount,$L1159)),""),IF($M1159&lt;&gt;"",IF(INDEX(LdgDepB,$M1159)=0,"",INDEX(LdgDepB,$M1159)),""))</f>
        <v/>
      </c>
      <c r="I1159" s="22">
        <f>IF($B1159="","",IF($I1158="",$C$10,$I1158)+IF($G1159="",0,$G1159)-IF($H1159="",0,$H1159))</f>
        <v/>
      </c>
      <c r="L1159">
        <f>IFERROR(MATCH($C$5&amp;"|"&amp;RIGHT("000000"&amp;1143,6),LdgRankKeyA,0),"")</f>
        <v/>
      </c>
      <c r="M1159">
        <f>IFERROR(MATCH($C$5&amp;"|"&amp;RIGHT("000000"&amp;1143,6),LdgRankKeyB,0),"")</f>
        <v/>
      </c>
    </row>
    <row r="1160">
      <c r="A1160" s="23" t="n">
        <v>1144</v>
      </c>
      <c r="B1160" s="24">
        <f>IF(AND($L1160="",$M1160=""),"",IF($L1160&lt;&gt;"",INDEX(SCNormDate,$L1160),INDEX(LdgDateB,$M1160)))</f>
        <v/>
      </c>
      <c r="C1160" s="24">
        <f>IF($L1160&lt;&gt;"",INDEX(SCOp,$L1160),IF($M1160&lt;&gt;"","پرداخت بانکی",""))</f>
        <v/>
      </c>
      <c r="D1160" s="24">
        <f>IF($L1160&lt;&gt;"",IF(INDEX(SCDoc,$L1160)="","—",INDEX(SCDoc,$L1160)),IF($M1160&lt;&gt;"",INDEX(LdgBankB,$M1160),""))</f>
        <v/>
      </c>
      <c r="E1160" s="25">
        <f>IF($L1160&lt;&gt;"",IF(INDEX(SCCitrus,$L1160)&amp;INDEX(SCNotes,$L1160)="","",IF(INDEX(SCCitrus,$L1160)="","",INDEX(SCCitrus,$L1160))&amp;IF(INDEX(SCNotes,$L1160)="",""," — "&amp;INDEX(SCNotes,$L1160))),IF($M1160&lt;&gt;"",IF(INDEX(LdgNoteB,$M1160)="","—",INDEX(LdgNoteB,$M1160)),""))</f>
        <v/>
      </c>
      <c r="F1160" s="26">
        <f>IF($L1160&lt;&gt;"",IF(INDEX(SCNet,$L1160)=0,"",INDEX(SCNet,$L1160)),"")</f>
        <v/>
      </c>
      <c r="G1160" s="27">
        <f>IF($L1160&lt;&gt;"",IF(INDEX(SCOp,$L1160)="مرجوعی فروش","",IF(INDEX(SCAmount,$L1160)&lt;=0,"",INDEX(SCAmount,$L1160))),IF($M1160&lt;&gt;"",IF(INDEX(LdgWitB,$M1160)=0,"",INDEX(LdgWitB,$M1160)),""))</f>
        <v/>
      </c>
      <c r="H1160" s="27">
        <f>IF($L1160&lt;&gt;"",IF(INDEX(SCOp,$L1160)="مرجوعی فروش",IF(INDEX(SCAmount,$L1160)=0,"",-INDEX(SCAmount,$L1160)),""),IF($M1160&lt;&gt;"",IF(INDEX(LdgDepB,$M1160)=0,"",INDEX(LdgDepB,$M1160)),""))</f>
        <v/>
      </c>
      <c r="I1160" s="28">
        <f>IF($B1160="","",IF($I1159="",$C$10,$I1159)+IF($G1160="",0,$G1160)-IF($H1160="",0,$H1160))</f>
        <v/>
      </c>
      <c r="L1160">
        <f>IFERROR(MATCH($C$5&amp;"|"&amp;RIGHT("000000"&amp;1144,6),LdgRankKeyA,0),"")</f>
        <v/>
      </c>
      <c r="M1160">
        <f>IFERROR(MATCH($C$5&amp;"|"&amp;RIGHT("000000"&amp;1144,6),LdgRankKeyB,0),"")</f>
        <v/>
      </c>
    </row>
    <row r="1161">
      <c r="A1161" s="17" t="n">
        <v>1145</v>
      </c>
      <c r="B1161" s="18">
        <f>IF(AND($L1161="",$M1161=""),"",IF($L1161&lt;&gt;"",INDEX(SCNormDate,$L1161),INDEX(LdgDateB,$M1161)))</f>
        <v/>
      </c>
      <c r="C1161" s="18">
        <f>IF($L1161&lt;&gt;"",INDEX(SCOp,$L1161),IF($M1161&lt;&gt;"","پرداخت بانکی",""))</f>
        <v/>
      </c>
      <c r="D1161" s="18">
        <f>IF($L1161&lt;&gt;"",IF(INDEX(SCDoc,$L1161)="","—",INDEX(SCDoc,$L1161)),IF($M1161&lt;&gt;"",INDEX(LdgBankB,$M1161),""))</f>
        <v/>
      </c>
      <c r="E1161" s="19">
        <f>IF($L1161&lt;&gt;"",IF(INDEX(SCCitrus,$L1161)&amp;INDEX(SCNotes,$L1161)="","",IF(INDEX(SCCitrus,$L1161)="","",INDEX(SCCitrus,$L1161))&amp;IF(INDEX(SCNotes,$L1161)="",""," — "&amp;INDEX(SCNotes,$L1161))),IF($M1161&lt;&gt;"",IF(INDEX(LdgNoteB,$M1161)="","—",INDEX(LdgNoteB,$M1161)),""))</f>
        <v/>
      </c>
      <c r="F1161" s="20">
        <f>IF($L1161&lt;&gt;"",IF(INDEX(SCNet,$L1161)=0,"",INDEX(SCNet,$L1161)),"")</f>
        <v/>
      </c>
      <c r="G1161" s="21">
        <f>IF($L1161&lt;&gt;"",IF(INDEX(SCOp,$L1161)="مرجوعی فروش","",IF(INDEX(SCAmount,$L1161)&lt;=0,"",INDEX(SCAmount,$L1161))),IF($M1161&lt;&gt;"",IF(INDEX(LdgWitB,$M1161)=0,"",INDEX(LdgWitB,$M1161)),""))</f>
        <v/>
      </c>
      <c r="H1161" s="21">
        <f>IF($L1161&lt;&gt;"",IF(INDEX(SCOp,$L1161)="مرجوعی فروش",IF(INDEX(SCAmount,$L1161)=0,"",-INDEX(SCAmount,$L1161)),""),IF($M1161&lt;&gt;"",IF(INDEX(LdgDepB,$M1161)=0,"",INDEX(LdgDepB,$M1161)),""))</f>
        <v/>
      </c>
      <c r="I1161" s="22">
        <f>IF($B1161="","",IF($I1160="",$C$10,$I1160)+IF($G1161="",0,$G1161)-IF($H1161="",0,$H1161))</f>
        <v/>
      </c>
      <c r="L1161">
        <f>IFERROR(MATCH($C$5&amp;"|"&amp;RIGHT("000000"&amp;1145,6),LdgRankKeyA,0),"")</f>
        <v/>
      </c>
      <c r="M1161">
        <f>IFERROR(MATCH($C$5&amp;"|"&amp;RIGHT("000000"&amp;1145,6),LdgRankKeyB,0),"")</f>
        <v/>
      </c>
    </row>
    <row r="1162">
      <c r="A1162" s="23" t="n">
        <v>1146</v>
      </c>
      <c r="B1162" s="24">
        <f>IF(AND($L1162="",$M1162=""),"",IF($L1162&lt;&gt;"",INDEX(SCNormDate,$L1162),INDEX(LdgDateB,$M1162)))</f>
        <v/>
      </c>
      <c r="C1162" s="24">
        <f>IF($L1162&lt;&gt;"",INDEX(SCOp,$L1162),IF($M1162&lt;&gt;"","پرداخت بانکی",""))</f>
        <v/>
      </c>
      <c r="D1162" s="24">
        <f>IF($L1162&lt;&gt;"",IF(INDEX(SCDoc,$L1162)="","—",INDEX(SCDoc,$L1162)),IF($M1162&lt;&gt;"",INDEX(LdgBankB,$M1162),""))</f>
        <v/>
      </c>
      <c r="E1162" s="25">
        <f>IF($L1162&lt;&gt;"",IF(INDEX(SCCitrus,$L1162)&amp;INDEX(SCNotes,$L1162)="","",IF(INDEX(SCCitrus,$L1162)="","",INDEX(SCCitrus,$L1162))&amp;IF(INDEX(SCNotes,$L1162)="",""," — "&amp;INDEX(SCNotes,$L1162))),IF($M1162&lt;&gt;"",IF(INDEX(LdgNoteB,$M1162)="","—",INDEX(LdgNoteB,$M1162)),""))</f>
        <v/>
      </c>
      <c r="F1162" s="26">
        <f>IF($L1162&lt;&gt;"",IF(INDEX(SCNet,$L1162)=0,"",INDEX(SCNet,$L1162)),"")</f>
        <v/>
      </c>
      <c r="G1162" s="27">
        <f>IF($L1162&lt;&gt;"",IF(INDEX(SCOp,$L1162)="مرجوعی فروش","",IF(INDEX(SCAmount,$L1162)&lt;=0,"",INDEX(SCAmount,$L1162))),IF($M1162&lt;&gt;"",IF(INDEX(LdgWitB,$M1162)=0,"",INDEX(LdgWitB,$M1162)),""))</f>
        <v/>
      </c>
      <c r="H1162" s="27">
        <f>IF($L1162&lt;&gt;"",IF(INDEX(SCOp,$L1162)="مرجوعی فروش",IF(INDEX(SCAmount,$L1162)=0,"",-INDEX(SCAmount,$L1162)),""),IF($M1162&lt;&gt;"",IF(INDEX(LdgDepB,$M1162)=0,"",INDEX(LdgDepB,$M1162)),""))</f>
        <v/>
      </c>
      <c r="I1162" s="28">
        <f>IF($B1162="","",IF($I1161="",$C$10,$I1161)+IF($G1162="",0,$G1162)-IF($H1162="",0,$H1162))</f>
        <v/>
      </c>
      <c r="L1162">
        <f>IFERROR(MATCH($C$5&amp;"|"&amp;RIGHT("000000"&amp;1146,6),LdgRankKeyA,0),"")</f>
        <v/>
      </c>
      <c r="M1162">
        <f>IFERROR(MATCH($C$5&amp;"|"&amp;RIGHT("000000"&amp;1146,6),LdgRankKeyB,0),"")</f>
        <v/>
      </c>
    </row>
    <row r="1163">
      <c r="A1163" s="17" t="n">
        <v>1147</v>
      </c>
      <c r="B1163" s="18">
        <f>IF(AND($L1163="",$M1163=""),"",IF($L1163&lt;&gt;"",INDEX(SCNormDate,$L1163),INDEX(LdgDateB,$M1163)))</f>
        <v/>
      </c>
      <c r="C1163" s="18">
        <f>IF($L1163&lt;&gt;"",INDEX(SCOp,$L1163),IF($M1163&lt;&gt;"","پرداخت بانکی",""))</f>
        <v/>
      </c>
      <c r="D1163" s="18">
        <f>IF($L1163&lt;&gt;"",IF(INDEX(SCDoc,$L1163)="","—",INDEX(SCDoc,$L1163)),IF($M1163&lt;&gt;"",INDEX(LdgBankB,$M1163),""))</f>
        <v/>
      </c>
      <c r="E1163" s="19">
        <f>IF($L1163&lt;&gt;"",IF(INDEX(SCCitrus,$L1163)&amp;INDEX(SCNotes,$L1163)="","",IF(INDEX(SCCitrus,$L1163)="","",INDEX(SCCitrus,$L1163))&amp;IF(INDEX(SCNotes,$L1163)="",""," — "&amp;INDEX(SCNotes,$L1163))),IF($M1163&lt;&gt;"",IF(INDEX(LdgNoteB,$M1163)="","—",INDEX(LdgNoteB,$M1163)),""))</f>
        <v/>
      </c>
      <c r="F1163" s="20">
        <f>IF($L1163&lt;&gt;"",IF(INDEX(SCNet,$L1163)=0,"",INDEX(SCNet,$L1163)),"")</f>
        <v/>
      </c>
      <c r="G1163" s="21">
        <f>IF($L1163&lt;&gt;"",IF(INDEX(SCOp,$L1163)="مرجوعی فروش","",IF(INDEX(SCAmount,$L1163)&lt;=0,"",INDEX(SCAmount,$L1163))),IF($M1163&lt;&gt;"",IF(INDEX(LdgWitB,$M1163)=0,"",INDEX(LdgWitB,$M1163)),""))</f>
        <v/>
      </c>
      <c r="H1163" s="21">
        <f>IF($L1163&lt;&gt;"",IF(INDEX(SCOp,$L1163)="مرجوعی فروش",IF(INDEX(SCAmount,$L1163)=0,"",-INDEX(SCAmount,$L1163)),""),IF($M1163&lt;&gt;"",IF(INDEX(LdgDepB,$M1163)=0,"",INDEX(LdgDepB,$M1163)),""))</f>
        <v/>
      </c>
      <c r="I1163" s="22">
        <f>IF($B1163="","",IF($I1162="",$C$10,$I1162)+IF($G1163="",0,$G1163)-IF($H1163="",0,$H1163))</f>
        <v/>
      </c>
      <c r="L1163">
        <f>IFERROR(MATCH($C$5&amp;"|"&amp;RIGHT("000000"&amp;1147,6),LdgRankKeyA,0),"")</f>
        <v/>
      </c>
      <c r="M1163">
        <f>IFERROR(MATCH($C$5&amp;"|"&amp;RIGHT("000000"&amp;1147,6),LdgRankKeyB,0),"")</f>
        <v/>
      </c>
    </row>
    <row r="1164">
      <c r="A1164" s="23" t="n">
        <v>1148</v>
      </c>
      <c r="B1164" s="24">
        <f>IF(AND($L1164="",$M1164=""),"",IF($L1164&lt;&gt;"",INDEX(SCNormDate,$L1164),INDEX(LdgDateB,$M1164)))</f>
        <v/>
      </c>
      <c r="C1164" s="24">
        <f>IF($L1164&lt;&gt;"",INDEX(SCOp,$L1164),IF($M1164&lt;&gt;"","پرداخت بانکی",""))</f>
        <v/>
      </c>
      <c r="D1164" s="24">
        <f>IF($L1164&lt;&gt;"",IF(INDEX(SCDoc,$L1164)="","—",INDEX(SCDoc,$L1164)),IF($M1164&lt;&gt;"",INDEX(LdgBankB,$M1164),""))</f>
        <v/>
      </c>
      <c r="E1164" s="25">
        <f>IF($L1164&lt;&gt;"",IF(INDEX(SCCitrus,$L1164)&amp;INDEX(SCNotes,$L1164)="","",IF(INDEX(SCCitrus,$L1164)="","",INDEX(SCCitrus,$L1164))&amp;IF(INDEX(SCNotes,$L1164)="",""," — "&amp;INDEX(SCNotes,$L1164))),IF($M1164&lt;&gt;"",IF(INDEX(LdgNoteB,$M1164)="","—",INDEX(LdgNoteB,$M1164)),""))</f>
        <v/>
      </c>
      <c r="F1164" s="26">
        <f>IF($L1164&lt;&gt;"",IF(INDEX(SCNet,$L1164)=0,"",INDEX(SCNet,$L1164)),"")</f>
        <v/>
      </c>
      <c r="G1164" s="27">
        <f>IF($L1164&lt;&gt;"",IF(INDEX(SCOp,$L1164)="مرجوعی فروش","",IF(INDEX(SCAmount,$L1164)&lt;=0,"",INDEX(SCAmount,$L1164))),IF($M1164&lt;&gt;"",IF(INDEX(LdgWitB,$M1164)=0,"",INDEX(LdgWitB,$M1164)),""))</f>
        <v/>
      </c>
      <c r="H1164" s="27">
        <f>IF($L1164&lt;&gt;"",IF(INDEX(SCOp,$L1164)="مرجوعی فروش",IF(INDEX(SCAmount,$L1164)=0,"",-INDEX(SCAmount,$L1164)),""),IF($M1164&lt;&gt;"",IF(INDEX(LdgDepB,$M1164)=0,"",INDEX(LdgDepB,$M1164)),""))</f>
        <v/>
      </c>
      <c r="I1164" s="28">
        <f>IF($B1164="","",IF($I1163="",$C$10,$I1163)+IF($G1164="",0,$G1164)-IF($H1164="",0,$H1164))</f>
        <v/>
      </c>
      <c r="L1164">
        <f>IFERROR(MATCH($C$5&amp;"|"&amp;RIGHT("000000"&amp;1148,6),LdgRankKeyA,0),"")</f>
        <v/>
      </c>
      <c r="M1164">
        <f>IFERROR(MATCH($C$5&amp;"|"&amp;RIGHT("000000"&amp;1148,6),LdgRankKeyB,0),"")</f>
        <v/>
      </c>
    </row>
    <row r="1165">
      <c r="A1165" s="17" t="n">
        <v>1149</v>
      </c>
      <c r="B1165" s="18">
        <f>IF(AND($L1165="",$M1165=""),"",IF($L1165&lt;&gt;"",INDEX(SCNormDate,$L1165),INDEX(LdgDateB,$M1165)))</f>
        <v/>
      </c>
      <c r="C1165" s="18">
        <f>IF($L1165&lt;&gt;"",INDEX(SCOp,$L1165),IF($M1165&lt;&gt;"","پرداخت بانکی",""))</f>
        <v/>
      </c>
      <c r="D1165" s="18">
        <f>IF($L1165&lt;&gt;"",IF(INDEX(SCDoc,$L1165)="","—",INDEX(SCDoc,$L1165)),IF($M1165&lt;&gt;"",INDEX(LdgBankB,$M1165),""))</f>
        <v/>
      </c>
      <c r="E1165" s="19">
        <f>IF($L1165&lt;&gt;"",IF(INDEX(SCCitrus,$L1165)&amp;INDEX(SCNotes,$L1165)="","",IF(INDEX(SCCitrus,$L1165)="","",INDEX(SCCitrus,$L1165))&amp;IF(INDEX(SCNotes,$L1165)="",""," — "&amp;INDEX(SCNotes,$L1165))),IF($M1165&lt;&gt;"",IF(INDEX(LdgNoteB,$M1165)="","—",INDEX(LdgNoteB,$M1165)),""))</f>
        <v/>
      </c>
      <c r="F1165" s="20">
        <f>IF($L1165&lt;&gt;"",IF(INDEX(SCNet,$L1165)=0,"",INDEX(SCNet,$L1165)),"")</f>
        <v/>
      </c>
      <c r="G1165" s="21">
        <f>IF($L1165&lt;&gt;"",IF(INDEX(SCOp,$L1165)="مرجوعی فروش","",IF(INDEX(SCAmount,$L1165)&lt;=0,"",INDEX(SCAmount,$L1165))),IF($M1165&lt;&gt;"",IF(INDEX(LdgWitB,$M1165)=0,"",INDEX(LdgWitB,$M1165)),""))</f>
        <v/>
      </c>
      <c r="H1165" s="21">
        <f>IF($L1165&lt;&gt;"",IF(INDEX(SCOp,$L1165)="مرجوعی فروش",IF(INDEX(SCAmount,$L1165)=0,"",-INDEX(SCAmount,$L1165)),""),IF($M1165&lt;&gt;"",IF(INDEX(LdgDepB,$M1165)=0,"",INDEX(LdgDepB,$M1165)),""))</f>
        <v/>
      </c>
      <c r="I1165" s="22">
        <f>IF($B1165="","",IF($I1164="",$C$10,$I1164)+IF($G1165="",0,$G1165)-IF($H1165="",0,$H1165))</f>
        <v/>
      </c>
      <c r="L1165">
        <f>IFERROR(MATCH($C$5&amp;"|"&amp;RIGHT("000000"&amp;1149,6),LdgRankKeyA,0),"")</f>
        <v/>
      </c>
      <c r="M1165">
        <f>IFERROR(MATCH($C$5&amp;"|"&amp;RIGHT("000000"&amp;1149,6),LdgRankKeyB,0),"")</f>
        <v/>
      </c>
    </row>
    <row r="1166">
      <c r="A1166" s="23" t="n">
        <v>1150</v>
      </c>
      <c r="B1166" s="24">
        <f>IF(AND($L1166="",$M1166=""),"",IF($L1166&lt;&gt;"",INDEX(SCNormDate,$L1166),INDEX(LdgDateB,$M1166)))</f>
        <v/>
      </c>
      <c r="C1166" s="24">
        <f>IF($L1166&lt;&gt;"",INDEX(SCOp,$L1166),IF($M1166&lt;&gt;"","پرداخت بانکی",""))</f>
        <v/>
      </c>
      <c r="D1166" s="24">
        <f>IF($L1166&lt;&gt;"",IF(INDEX(SCDoc,$L1166)="","—",INDEX(SCDoc,$L1166)),IF($M1166&lt;&gt;"",INDEX(LdgBankB,$M1166),""))</f>
        <v/>
      </c>
      <c r="E1166" s="25">
        <f>IF($L1166&lt;&gt;"",IF(INDEX(SCCitrus,$L1166)&amp;INDEX(SCNotes,$L1166)="","",IF(INDEX(SCCitrus,$L1166)="","",INDEX(SCCitrus,$L1166))&amp;IF(INDEX(SCNotes,$L1166)="",""," — "&amp;INDEX(SCNotes,$L1166))),IF($M1166&lt;&gt;"",IF(INDEX(LdgNoteB,$M1166)="","—",INDEX(LdgNoteB,$M1166)),""))</f>
        <v/>
      </c>
      <c r="F1166" s="26">
        <f>IF($L1166&lt;&gt;"",IF(INDEX(SCNet,$L1166)=0,"",INDEX(SCNet,$L1166)),"")</f>
        <v/>
      </c>
      <c r="G1166" s="27">
        <f>IF($L1166&lt;&gt;"",IF(INDEX(SCOp,$L1166)="مرجوعی فروش","",IF(INDEX(SCAmount,$L1166)&lt;=0,"",INDEX(SCAmount,$L1166))),IF($M1166&lt;&gt;"",IF(INDEX(LdgWitB,$M1166)=0,"",INDEX(LdgWitB,$M1166)),""))</f>
        <v/>
      </c>
      <c r="H1166" s="27">
        <f>IF($L1166&lt;&gt;"",IF(INDEX(SCOp,$L1166)="مرجوعی فروش",IF(INDEX(SCAmount,$L1166)=0,"",-INDEX(SCAmount,$L1166)),""),IF($M1166&lt;&gt;"",IF(INDEX(LdgDepB,$M1166)=0,"",INDEX(LdgDepB,$M1166)),""))</f>
        <v/>
      </c>
      <c r="I1166" s="28">
        <f>IF($B1166="","",IF($I1165="",$C$10,$I1165)+IF($G1166="",0,$G1166)-IF($H1166="",0,$H1166))</f>
        <v/>
      </c>
      <c r="L1166">
        <f>IFERROR(MATCH($C$5&amp;"|"&amp;RIGHT("000000"&amp;1150,6),LdgRankKeyA,0),"")</f>
        <v/>
      </c>
      <c r="M1166">
        <f>IFERROR(MATCH($C$5&amp;"|"&amp;RIGHT("000000"&amp;1150,6),LdgRankKeyB,0),"")</f>
        <v/>
      </c>
    </row>
    <row r="1167">
      <c r="A1167" s="17" t="n">
        <v>1151</v>
      </c>
      <c r="B1167" s="18">
        <f>IF(AND($L1167="",$M1167=""),"",IF($L1167&lt;&gt;"",INDEX(SCNormDate,$L1167),INDEX(LdgDateB,$M1167)))</f>
        <v/>
      </c>
      <c r="C1167" s="18">
        <f>IF($L1167&lt;&gt;"",INDEX(SCOp,$L1167),IF($M1167&lt;&gt;"","پرداخت بانکی",""))</f>
        <v/>
      </c>
      <c r="D1167" s="18">
        <f>IF($L1167&lt;&gt;"",IF(INDEX(SCDoc,$L1167)="","—",INDEX(SCDoc,$L1167)),IF($M1167&lt;&gt;"",INDEX(LdgBankB,$M1167),""))</f>
        <v/>
      </c>
      <c r="E1167" s="19">
        <f>IF($L1167&lt;&gt;"",IF(INDEX(SCCitrus,$L1167)&amp;INDEX(SCNotes,$L1167)="","",IF(INDEX(SCCitrus,$L1167)="","",INDEX(SCCitrus,$L1167))&amp;IF(INDEX(SCNotes,$L1167)="",""," — "&amp;INDEX(SCNotes,$L1167))),IF($M1167&lt;&gt;"",IF(INDEX(LdgNoteB,$M1167)="","—",INDEX(LdgNoteB,$M1167)),""))</f>
        <v/>
      </c>
      <c r="F1167" s="20">
        <f>IF($L1167&lt;&gt;"",IF(INDEX(SCNet,$L1167)=0,"",INDEX(SCNet,$L1167)),"")</f>
        <v/>
      </c>
      <c r="G1167" s="21">
        <f>IF($L1167&lt;&gt;"",IF(INDEX(SCOp,$L1167)="مرجوعی فروش","",IF(INDEX(SCAmount,$L1167)&lt;=0,"",INDEX(SCAmount,$L1167))),IF($M1167&lt;&gt;"",IF(INDEX(LdgWitB,$M1167)=0,"",INDEX(LdgWitB,$M1167)),""))</f>
        <v/>
      </c>
      <c r="H1167" s="21">
        <f>IF($L1167&lt;&gt;"",IF(INDEX(SCOp,$L1167)="مرجوعی فروش",IF(INDEX(SCAmount,$L1167)=0,"",-INDEX(SCAmount,$L1167)),""),IF($M1167&lt;&gt;"",IF(INDEX(LdgDepB,$M1167)=0,"",INDEX(LdgDepB,$M1167)),""))</f>
        <v/>
      </c>
      <c r="I1167" s="22">
        <f>IF($B1167="","",IF($I1166="",$C$10,$I1166)+IF($G1167="",0,$G1167)-IF($H1167="",0,$H1167))</f>
        <v/>
      </c>
      <c r="L1167">
        <f>IFERROR(MATCH($C$5&amp;"|"&amp;RIGHT("000000"&amp;1151,6),LdgRankKeyA,0),"")</f>
        <v/>
      </c>
      <c r="M1167">
        <f>IFERROR(MATCH($C$5&amp;"|"&amp;RIGHT("000000"&amp;1151,6),LdgRankKeyB,0),"")</f>
        <v/>
      </c>
    </row>
    <row r="1168">
      <c r="A1168" s="23" t="n">
        <v>1152</v>
      </c>
      <c r="B1168" s="24">
        <f>IF(AND($L1168="",$M1168=""),"",IF($L1168&lt;&gt;"",INDEX(SCNormDate,$L1168),INDEX(LdgDateB,$M1168)))</f>
        <v/>
      </c>
      <c r="C1168" s="24">
        <f>IF($L1168&lt;&gt;"",INDEX(SCOp,$L1168),IF($M1168&lt;&gt;"","پرداخت بانکی",""))</f>
        <v/>
      </c>
      <c r="D1168" s="24">
        <f>IF($L1168&lt;&gt;"",IF(INDEX(SCDoc,$L1168)="","—",INDEX(SCDoc,$L1168)),IF($M1168&lt;&gt;"",INDEX(LdgBankB,$M1168),""))</f>
        <v/>
      </c>
      <c r="E1168" s="25">
        <f>IF($L1168&lt;&gt;"",IF(INDEX(SCCitrus,$L1168)&amp;INDEX(SCNotes,$L1168)="","",IF(INDEX(SCCitrus,$L1168)="","",INDEX(SCCitrus,$L1168))&amp;IF(INDEX(SCNotes,$L1168)="",""," — "&amp;INDEX(SCNotes,$L1168))),IF($M1168&lt;&gt;"",IF(INDEX(LdgNoteB,$M1168)="","—",INDEX(LdgNoteB,$M1168)),""))</f>
        <v/>
      </c>
      <c r="F1168" s="26">
        <f>IF($L1168&lt;&gt;"",IF(INDEX(SCNet,$L1168)=0,"",INDEX(SCNet,$L1168)),"")</f>
        <v/>
      </c>
      <c r="G1168" s="27">
        <f>IF($L1168&lt;&gt;"",IF(INDEX(SCOp,$L1168)="مرجوعی فروش","",IF(INDEX(SCAmount,$L1168)&lt;=0,"",INDEX(SCAmount,$L1168))),IF($M1168&lt;&gt;"",IF(INDEX(LdgWitB,$M1168)=0,"",INDEX(LdgWitB,$M1168)),""))</f>
        <v/>
      </c>
      <c r="H1168" s="27">
        <f>IF($L1168&lt;&gt;"",IF(INDEX(SCOp,$L1168)="مرجوعی فروش",IF(INDEX(SCAmount,$L1168)=0,"",-INDEX(SCAmount,$L1168)),""),IF($M1168&lt;&gt;"",IF(INDEX(LdgDepB,$M1168)=0,"",INDEX(LdgDepB,$M1168)),""))</f>
        <v/>
      </c>
      <c r="I1168" s="28">
        <f>IF($B1168="","",IF($I1167="",$C$10,$I1167)+IF($G1168="",0,$G1168)-IF($H1168="",0,$H1168))</f>
        <v/>
      </c>
      <c r="L1168">
        <f>IFERROR(MATCH($C$5&amp;"|"&amp;RIGHT("000000"&amp;1152,6),LdgRankKeyA,0),"")</f>
        <v/>
      </c>
      <c r="M1168">
        <f>IFERROR(MATCH($C$5&amp;"|"&amp;RIGHT("000000"&amp;1152,6),LdgRankKeyB,0),"")</f>
        <v/>
      </c>
    </row>
    <row r="1169">
      <c r="A1169" s="17" t="n">
        <v>1153</v>
      </c>
      <c r="B1169" s="18">
        <f>IF(AND($L1169="",$M1169=""),"",IF($L1169&lt;&gt;"",INDEX(SCNormDate,$L1169),INDEX(LdgDateB,$M1169)))</f>
        <v/>
      </c>
      <c r="C1169" s="18">
        <f>IF($L1169&lt;&gt;"",INDEX(SCOp,$L1169),IF($M1169&lt;&gt;"","پرداخت بانکی",""))</f>
        <v/>
      </c>
      <c r="D1169" s="18">
        <f>IF($L1169&lt;&gt;"",IF(INDEX(SCDoc,$L1169)="","—",INDEX(SCDoc,$L1169)),IF($M1169&lt;&gt;"",INDEX(LdgBankB,$M1169),""))</f>
        <v/>
      </c>
      <c r="E1169" s="19">
        <f>IF($L1169&lt;&gt;"",IF(INDEX(SCCitrus,$L1169)&amp;INDEX(SCNotes,$L1169)="","",IF(INDEX(SCCitrus,$L1169)="","",INDEX(SCCitrus,$L1169))&amp;IF(INDEX(SCNotes,$L1169)="",""," — "&amp;INDEX(SCNotes,$L1169))),IF($M1169&lt;&gt;"",IF(INDEX(LdgNoteB,$M1169)="","—",INDEX(LdgNoteB,$M1169)),""))</f>
        <v/>
      </c>
      <c r="F1169" s="20">
        <f>IF($L1169&lt;&gt;"",IF(INDEX(SCNet,$L1169)=0,"",INDEX(SCNet,$L1169)),"")</f>
        <v/>
      </c>
      <c r="G1169" s="21">
        <f>IF($L1169&lt;&gt;"",IF(INDEX(SCOp,$L1169)="مرجوعی فروش","",IF(INDEX(SCAmount,$L1169)&lt;=0,"",INDEX(SCAmount,$L1169))),IF($M1169&lt;&gt;"",IF(INDEX(LdgWitB,$M1169)=0,"",INDEX(LdgWitB,$M1169)),""))</f>
        <v/>
      </c>
      <c r="H1169" s="21">
        <f>IF($L1169&lt;&gt;"",IF(INDEX(SCOp,$L1169)="مرجوعی فروش",IF(INDEX(SCAmount,$L1169)=0,"",-INDEX(SCAmount,$L1169)),""),IF($M1169&lt;&gt;"",IF(INDEX(LdgDepB,$M1169)=0,"",INDEX(LdgDepB,$M1169)),""))</f>
        <v/>
      </c>
      <c r="I1169" s="22">
        <f>IF($B1169="","",IF($I1168="",$C$10,$I1168)+IF($G1169="",0,$G1169)-IF($H1169="",0,$H1169))</f>
        <v/>
      </c>
      <c r="L1169">
        <f>IFERROR(MATCH($C$5&amp;"|"&amp;RIGHT("000000"&amp;1153,6),LdgRankKeyA,0),"")</f>
        <v/>
      </c>
      <c r="M1169">
        <f>IFERROR(MATCH($C$5&amp;"|"&amp;RIGHT("000000"&amp;1153,6),LdgRankKeyB,0),"")</f>
        <v/>
      </c>
    </row>
    <row r="1170">
      <c r="A1170" s="23" t="n">
        <v>1154</v>
      </c>
      <c r="B1170" s="24">
        <f>IF(AND($L1170="",$M1170=""),"",IF($L1170&lt;&gt;"",INDEX(SCNormDate,$L1170),INDEX(LdgDateB,$M1170)))</f>
        <v/>
      </c>
      <c r="C1170" s="24">
        <f>IF($L1170&lt;&gt;"",INDEX(SCOp,$L1170),IF($M1170&lt;&gt;"","پرداخت بانکی",""))</f>
        <v/>
      </c>
      <c r="D1170" s="24">
        <f>IF($L1170&lt;&gt;"",IF(INDEX(SCDoc,$L1170)="","—",INDEX(SCDoc,$L1170)),IF($M1170&lt;&gt;"",INDEX(LdgBankB,$M1170),""))</f>
        <v/>
      </c>
      <c r="E1170" s="25">
        <f>IF($L1170&lt;&gt;"",IF(INDEX(SCCitrus,$L1170)&amp;INDEX(SCNotes,$L1170)="","",IF(INDEX(SCCitrus,$L1170)="","",INDEX(SCCitrus,$L1170))&amp;IF(INDEX(SCNotes,$L1170)="",""," — "&amp;INDEX(SCNotes,$L1170))),IF($M1170&lt;&gt;"",IF(INDEX(LdgNoteB,$M1170)="","—",INDEX(LdgNoteB,$M1170)),""))</f>
        <v/>
      </c>
      <c r="F1170" s="26">
        <f>IF($L1170&lt;&gt;"",IF(INDEX(SCNet,$L1170)=0,"",INDEX(SCNet,$L1170)),"")</f>
        <v/>
      </c>
      <c r="G1170" s="27">
        <f>IF($L1170&lt;&gt;"",IF(INDEX(SCOp,$L1170)="مرجوعی فروش","",IF(INDEX(SCAmount,$L1170)&lt;=0,"",INDEX(SCAmount,$L1170))),IF($M1170&lt;&gt;"",IF(INDEX(LdgWitB,$M1170)=0,"",INDEX(LdgWitB,$M1170)),""))</f>
        <v/>
      </c>
      <c r="H1170" s="27">
        <f>IF($L1170&lt;&gt;"",IF(INDEX(SCOp,$L1170)="مرجوعی فروش",IF(INDEX(SCAmount,$L1170)=0,"",-INDEX(SCAmount,$L1170)),""),IF($M1170&lt;&gt;"",IF(INDEX(LdgDepB,$M1170)=0,"",INDEX(LdgDepB,$M1170)),""))</f>
        <v/>
      </c>
      <c r="I1170" s="28">
        <f>IF($B1170="","",IF($I1169="",$C$10,$I1169)+IF($G1170="",0,$G1170)-IF($H1170="",0,$H1170))</f>
        <v/>
      </c>
      <c r="L1170">
        <f>IFERROR(MATCH($C$5&amp;"|"&amp;RIGHT("000000"&amp;1154,6),LdgRankKeyA,0),"")</f>
        <v/>
      </c>
      <c r="M1170">
        <f>IFERROR(MATCH($C$5&amp;"|"&amp;RIGHT("000000"&amp;1154,6),LdgRankKeyB,0),"")</f>
        <v/>
      </c>
    </row>
    <row r="1171">
      <c r="A1171" s="17" t="n">
        <v>1155</v>
      </c>
      <c r="B1171" s="18">
        <f>IF(AND($L1171="",$M1171=""),"",IF($L1171&lt;&gt;"",INDEX(SCNormDate,$L1171),INDEX(LdgDateB,$M1171)))</f>
        <v/>
      </c>
      <c r="C1171" s="18">
        <f>IF($L1171&lt;&gt;"",INDEX(SCOp,$L1171),IF($M1171&lt;&gt;"","پرداخت بانکی",""))</f>
        <v/>
      </c>
      <c r="D1171" s="18">
        <f>IF($L1171&lt;&gt;"",IF(INDEX(SCDoc,$L1171)="","—",INDEX(SCDoc,$L1171)),IF($M1171&lt;&gt;"",INDEX(LdgBankB,$M1171),""))</f>
        <v/>
      </c>
      <c r="E1171" s="19">
        <f>IF($L1171&lt;&gt;"",IF(INDEX(SCCitrus,$L1171)&amp;INDEX(SCNotes,$L1171)="","",IF(INDEX(SCCitrus,$L1171)="","",INDEX(SCCitrus,$L1171))&amp;IF(INDEX(SCNotes,$L1171)="",""," — "&amp;INDEX(SCNotes,$L1171))),IF($M1171&lt;&gt;"",IF(INDEX(LdgNoteB,$M1171)="","—",INDEX(LdgNoteB,$M1171)),""))</f>
        <v/>
      </c>
      <c r="F1171" s="20">
        <f>IF($L1171&lt;&gt;"",IF(INDEX(SCNet,$L1171)=0,"",INDEX(SCNet,$L1171)),"")</f>
        <v/>
      </c>
      <c r="G1171" s="21">
        <f>IF($L1171&lt;&gt;"",IF(INDEX(SCOp,$L1171)="مرجوعی فروش","",IF(INDEX(SCAmount,$L1171)&lt;=0,"",INDEX(SCAmount,$L1171))),IF($M1171&lt;&gt;"",IF(INDEX(LdgWitB,$M1171)=0,"",INDEX(LdgWitB,$M1171)),""))</f>
        <v/>
      </c>
      <c r="H1171" s="21">
        <f>IF($L1171&lt;&gt;"",IF(INDEX(SCOp,$L1171)="مرجوعی فروش",IF(INDEX(SCAmount,$L1171)=0,"",-INDEX(SCAmount,$L1171)),""),IF($M1171&lt;&gt;"",IF(INDEX(LdgDepB,$M1171)=0,"",INDEX(LdgDepB,$M1171)),""))</f>
        <v/>
      </c>
      <c r="I1171" s="22">
        <f>IF($B1171="","",IF($I1170="",$C$10,$I1170)+IF($G1171="",0,$G1171)-IF($H1171="",0,$H1171))</f>
        <v/>
      </c>
      <c r="L1171">
        <f>IFERROR(MATCH($C$5&amp;"|"&amp;RIGHT("000000"&amp;1155,6),LdgRankKeyA,0),"")</f>
        <v/>
      </c>
      <c r="M1171">
        <f>IFERROR(MATCH($C$5&amp;"|"&amp;RIGHT("000000"&amp;1155,6),LdgRankKeyB,0),"")</f>
        <v/>
      </c>
    </row>
    <row r="1172">
      <c r="A1172" s="23" t="n">
        <v>1156</v>
      </c>
      <c r="B1172" s="24">
        <f>IF(AND($L1172="",$M1172=""),"",IF($L1172&lt;&gt;"",INDEX(SCNormDate,$L1172),INDEX(LdgDateB,$M1172)))</f>
        <v/>
      </c>
      <c r="C1172" s="24">
        <f>IF($L1172&lt;&gt;"",INDEX(SCOp,$L1172),IF($M1172&lt;&gt;"","پرداخت بانکی",""))</f>
        <v/>
      </c>
      <c r="D1172" s="24">
        <f>IF($L1172&lt;&gt;"",IF(INDEX(SCDoc,$L1172)="","—",INDEX(SCDoc,$L1172)),IF($M1172&lt;&gt;"",INDEX(LdgBankB,$M1172),""))</f>
        <v/>
      </c>
      <c r="E1172" s="25">
        <f>IF($L1172&lt;&gt;"",IF(INDEX(SCCitrus,$L1172)&amp;INDEX(SCNotes,$L1172)="","",IF(INDEX(SCCitrus,$L1172)="","",INDEX(SCCitrus,$L1172))&amp;IF(INDEX(SCNotes,$L1172)="",""," — "&amp;INDEX(SCNotes,$L1172))),IF($M1172&lt;&gt;"",IF(INDEX(LdgNoteB,$M1172)="","—",INDEX(LdgNoteB,$M1172)),""))</f>
        <v/>
      </c>
      <c r="F1172" s="26">
        <f>IF($L1172&lt;&gt;"",IF(INDEX(SCNet,$L1172)=0,"",INDEX(SCNet,$L1172)),"")</f>
        <v/>
      </c>
      <c r="G1172" s="27">
        <f>IF($L1172&lt;&gt;"",IF(INDEX(SCOp,$L1172)="مرجوعی فروش","",IF(INDEX(SCAmount,$L1172)&lt;=0,"",INDEX(SCAmount,$L1172))),IF($M1172&lt;&gt;"",IF(INDEX(LdgWitB,$M1172)=0,"",INDEX(LdgWitB,$M1172)),""))</f>
        <v/>
      </c>
      <c r="H1172" s="27">
        <f>IF($L1172&lt;&gt;"",IF(INDEX(SCOp,$L1172)="مرجوعی فروش",IF(INDEX(SCAmount,$L1172)=0,"",-INDEX(SCAmount,$L1172)),""),IF($M1172&lt;&gt;"",IF(INDEX(LdgDepB,$M1172)=0,"",INDEX(LdgDepB,$M1172)),""))</f>
        <v/>
      </c>
      <c r="I1172" s="28">
        <f>IF($B1172="","",IF($I1171="",$C$10,$I1171)+IF($G1172="",0,$G1172)-IF($H1172="",0,$H1172))</f>
        <v/>
      </c>
      <c r="L1172">
        <f>IFERROR(MATCH($C$5&amp;"|"&amp;RIGHT("000000"&amp;1156,6),LdgRankKeyA,0),"")</f>
        <v/>
      </c>
      <c r="M1172">
        <f>IFERROR(MATCH($C$5&amp;"|"&amp;RIGHT("000000"&amp;1156,6),LdgRankKeyB,0),"")</f>
        <v/>
      </c>
    </row>
    <row r="1173">
      <c r="A1173" s="17" t="n">
        <v>1157</v>
      </c>
      <c r="B1173" s="18">
        <f>IF(AND($L1173="",$M1173=""),"",IF($L1173&lt;&gt;"",INDEX(SCNormDate,$L1173),INDEX(LdgDateB,$M1173)))</f>
        <v/>
      </c>
      <c r="C1173" s="18">
        <f>IF($L1173&lt;&gt;"",INDEX(SCOp,$L1173),IF($M1173&lt;&gt;"","پرداخت بانکی",""))</f>
        <v/>
      </c>
      <c r="D1173" s="18">
        <f>IF($L1173&lt;&gt;"",IF(INDEX(SCDoc,$L1173)="","—",INDEX(SCDoc,$L1173)),IF($M1173&lt;&gt;"",INDEX(LdgBankB,$M1173),""))</f>
        <v/>
      </c>
      <c r="E1173" s="19">
        <f>IF($L1173&lt;&gt;"",IF(INDEX(SCCitrus,$L1173)&amp;INDEX(SCNotes,$L1173)="","",IF(INDEX(SCCitrus,$L1173)="","",INDEX(SCCitrus,$L1173))&amp;IF(INDEX(SCNotes,$L1173)="",""," — "&amp;INDEX(SCNotes,$L1173))),IF($M1173&lt;&gt;"",IF(INDEX(LdgNoteB,$M1173)="","—",INDEX(LdgNoteB,$M1173)),""))</f>
        <v/>
      </c>
      <c r="F1173" s="20">
        <f>IF($L1173&lt;&gt;"",IF(INDEX(SCNet,$L1173)=0,"",INDEX(SCNet,$L1173)),"")</f>
        <v/>
      </c>
      <c r="G1173" s="21">
        <f>IF($L1173&lt;&gt;"",IF(INDEX(SCOp,$L1173)="مرجوعی فروش","",IF(INDEX(SCAmount,$L1173)&lt;=0,"",INDEX(SCAmount,$L1173))),IF($M1173&lt;&gt;"",IF(INDEX(LdgWitB,$M1173)=0,"",INDEX(LdgWitB,$M1173)),""))</f>
        <v/>
      </c>
      <c r="H1173" s="21">
        <f>IF($L1173&lt;&gt;"",IF(INDEX(SCOp,$L1173)="مرجوعی فروش",IF(INDEX(SCAmount,$L1173)=0,"",-INDEX(SCAmount,$L1173)),""),IF($M1173&lt;&gt;"",IF(INDEX(LdgDepB,$M1173)=0,"",INDEX(LdgDepB,$M1173)),""))</f>
        <v/>
      </c>
      <c r="I1173" s="22">
        <f>IF($B1173="","",IF($I1172="",$C$10,$I1172)+IF($G1173="",0,$G1173)-IF($H1173="",0,$H1173))</f>
        <v/>
      </c>
      <c r="L1173">
        <f>IFERROR(MATCH($C$5&amp;"|"&amp;RIGHT("000000"&amp;1157,6),LdgRankKeyA,0),"")</f>
        <v/>
      </c>
      <c r="M1173">
        <f>IFERROR(MATCH($C$5&amp;"|"&amp;RIGHT("000000"&amp;1157,6),LdgRankKeyB,0),"")</f>
        <v/>
      </c>
    </row>
    <row r="1174">
      <c r="A1174" s="23" t="n">
        <v>1158</v>
      </c>
      <c r="B1174" s="24">
        <f>IF(AND($L1174="",$M1174=""),"",IF($L1174&lt;&gt;"",INDEX(SCNormDate,$L1174),INDEX(LdgDateB,$M1174)))</f>
        <v/>
      </c>
      <c r="C1174" s="24">
        <f>IF($L1174&lt;&gt;"",INDEX(SCOp,$L1174),IF($M1174&lt;&gt;"","پرداخت بانکی",""))</f>
        <v/>
      </c>
      <c r="D1174" s="24">
        <f>IF($L1174&lt;&gt;"",IF(INDEX(SCDoc,$L1174)="","—",INDEX(SCDoc,$L1174)),IF($M1174&lt;&gt;"",INDEX(LdgBankB,$M1174),""))</f>
        <v/>
      </c>
      <c r="E1174" s="25">
        <f>IF($L1174&lt;&gt;"",IF(INDEX(SCCitrus,$L1174)&amp;INDEX(SCNotes,$L1174)="","",IF(INDEX(SCCitrus,$L1174)="","",INDEX(SCCitrus,$L1174))&amp;IF(INDEX(SCNotes,$L1174)="",""," — "&amp;INDEX(SCNotes,$L1174))),IF($M1174&lt;&gt;"",IF(INDEX(LdgNoteB,$M1174)="","—",INDEX(LdgNoteB,$M1174)),""))</f>
        <v/>
      </c>
      <c r="F1174" s="26">
        <f>IF($L1174&lt;&gt;"",IF(INDEX(SCNet,$L1174)=0,"",INDEX(SCNet,$L1174)),"")</f>
        <v/>
      </c>
      <c r="G1174" s="27">
        <f>IF($L1174&lt;&gt;"",IF(INDEX(SCOp,$L1174)="مرجوعی فروش","",IF(INDEX(SCAmount,$L1174)&lt;=0,"",INDEX(SCAmount,$L1174))),IF($M1174&lt;&gt;"",IF(INDEX(LdgWitB,$M1174)=0,"",INDEX(LdgWitB,$M1174)),""))</f>
        <v/>
      </c>
      <c r="H1174" s="27">
        <f>IF($L1174&lt;&gt;"",IF(INDEX(SCOp,$L1174)="مرجوعی فروش",IF(INDEX(SCAmount,$L1174)=0,"",-INDEX(SCAmount,$L1174)),""),IF($M1174&lt;&gt;"",IF(INDEX(LdgDepB,$M1174)=0,"",INDEX(LdgDepB,$M1174)),""))</f>
        <v/>
      </c>
      <c r="I1174" s="28">
        <f>IF($B1174="","",IF($I1173="",$C$10,$I1173)+IF($G1174="",0,$G1174)-IF($H1174="",0,$H1174))</f>
        <v/>
      </c>
      <c r="L1174">
        <f>IFERROR(MATCH($C$5&amp;"|"&amp;RIGHT("000000"&amp;1158,6),LdgRankKeyA,0),"")</f>
        <v/>
      </c>
      <c r="M1174">
        <f>IFERROR(MATCH($C$5&amp;"|"&amp;RIGHT("000000"&amp;1158,6),LdgRankKeyB,0),"")</f>
        <v/>
      </c>
    </row>
    <row r="1175">
      <c r="A1175" s="17" t="n">
        <v>1159</v>
      </c>
      <c r="B1175" s="18">
        <f>IF(AND($L1175="",$M1175=""),"",IF($L1175&lt;&gt;"",INDEX(SCNormDate,$L1175),INDEX(LdgDateB,$M1175)))</f>
        <v/>
      </c>
      <c r="C1175" s="18">
        <f>IF($L1175&lt;&gt;"",INDEX(SCOp,$L1175),IF($M1175&lt;&gt;"","پرداخت بانکی",""))</f>
        <v/>
      </c>
      <c r="D1175" s="18">
        <f>IF($L1175&lt;&gt;"",IF(INDEX(SCDoc,$L1175)="","—",INDEX(SCDoc,$L1175)),IF($M1175&lt;&gt;"",INDEX(LdgBankB,$M1175),""))</f>
        <v/>
      </c>
      <c r="E1175" s="19">
        <f>IF($L1175&lt;&gt;"",IF(INDEX(SCCitrus,$L1175)&amp;INDEX(SCNotes,$L1175)="","",IF(INDEX(SCCitrus,$L1175)="","",INDEX(SCCitrus,$L1175))&amp;IF(INDEX(SCNotes,$L1175)="",""," — "&amp;INDEX(SCNotes,$L1175))),IF($M1175&lt;&gt;"",IF(INDEX(LdgNoteB,$M1175)="","—",INDEX(LdgNoteB,$M1175)),""))</f>
        <v/>
      </c>
      <c r="F1175" s="20">
        <f>IF($L1175&lt;&gt;"",IF(INDEX(SCNet,$L1175)=0,"",INDEX(SCNet,$L1175)),"")</f>
        <v/>
      </c>
      <c r="G1175" s="21">
        <f>IF($L1175&lt;&gt;"",IF(INDEX(SCOp,$L1175)="مرجوعی فروش","",IF(INDEX(SCAmount,$L1175)&lt;=0,"",INDEX(SCAmount,$L1175))),IF($M1175&lt;&gt;"",IF(INDEX(LdgWitB,$M1175)=0,"",INDEX(LdgWitB,$M1175)),""))</f>
        <v/>
      </c>
      <c r="H1175" s="21">
        <f>IF($L1175&lt;&gt;"",IF(INDEX(SCOp,$L1175)="مرجوعی فروش",IF(INDEX(SCAmount,$L1175)=0,"",-INDEX(SCAmount,$L1175)),""),IF($M1175&lt;&gt;"",IF(INDEX(LdgDepB,$M1175)=0,"",INDEX(LdgDepB,$M1175)),""))</f>
        <v/>
      </c>
      <c r="I1175" s="22">
        <f>IF($B1175="","",IF($I1174="",$C$10,$I1174)+IF($G1175="",0,$G1175)-IF($H1175="",0,$H1175))</f>
        <v/>
      </c>
      <c r="L1175">
        <f>IFERROR(MATCH($C$5&amp;"|"&amp;RIGHT("000000"&amp;1159,6),LdgRankKeyA,0),"")</f>
        <v/>
      </c>
      <c r="M1175">
        <f>IFERROR(MATCH($C$5&amp;"|"&amp;RIGHT("000000"&amp;1159,6),LdgRankKeyB,0),"")</f>
        <v/>
      </c>
    </row>
    <row r="1176">
      <c r="A1176" s="23" t="n">
        <v>1160</v>
      </c>
      <c r="B1176" s="24">
        <f>IF(AND($L1176="",$M1176=""),"",IF($L1176&lt;&gt;"",INDEX(SCNormDate,$L1176),INDEX(LdgDateB,$M1176)))</f>
        <v/>
      </c>
      <c r="C1176" s="24">
        <f>IF($L1176&lt;&gt;"",INDEX(SCOp,$L1176),IF($M1176&lt;&gt;"","پرداخت بانکی",""))</f>
        <v/>
      </c>
      <c r="D1176" s="24">
        <f>IF($L1176&lt;&gt;"",IF(INDEX(SCDoc,$L1176)="","—",INDEX(SCDoc,$L1176)),IF($M1176&lt;&gt;"",INDEX(LdgBankB,$M1176),""))</f>
        <v/>
      </c>
      <c r="E1176" s="25">
        <f>IF($L1176&lt;&gt;"",IF(INDEX(SCCitrus,$L1176)&amp;INDEX(SCNotes,$L1176)="","",IF(INDEX(SCCitrus,$L1176)="","",INDEX(SCCitrus,$L1176))&amp;IF(INDEX(SCNotes,$L1176)="",""," — "&amp;INDEX(SCNotes,$L1176))),IF($M1176&lt;&gt;"",IF(INDEX(LdgNoteB,$M1176)="","—",INDEX(LdgNoteB,$M1176)),""))</f>
        <v/>
      </c>
      <c r="F1176" s="26">
        <f>IF($L1176&lt;&gt;"",IF(INDEX(SCNet,$L1176)=0,"",INDEX(SCNet,$L1176)),"")</f>
        <v/>
      </c>
      <c r="G1176" s="27">
        <f>IF($L1176&lt;&gt;"",IF(INDEX(SCOp,$L1176)="مرجوعی فروش","",IF(INDEX(SCAmount,$L1176)&lt;=0,"",INDEX(SCAmount,$L1176))),IF($M1176&lt;&gt;"",IF(INDEX(LdgWitB,$M1176)=0,"",INDEX(LdgWitB,$M1176)),""))</f>
        <v/>
      </c>
      <c r="H1176" s="27">
        <f>IF($L1176&lt;&gt;"",IF(INDEX(SCOp,$L1176)="مرجوعی فروش",IF(INDEX(SCAmount,$L1176)=0,"",-INDEX(SCAmount,$L1176)),""),IF($M1176&lt;&gt;"",IF(INDEX(LdgDepB,$M1176)=0,"",INDEX(LdgDepB,$M1176)),""))</f>
        <v/>
      </c>
      <c r="I1176" s="28">
        <f>IF($B1176="","",IF($I1175="",$C$10,$I1175)+IF($G1176="",0,$G1176)-IF($H1176="",0,$H1176))</f>
        <v/>
      </c>
      <c r="L1176">
        <f>IFERROR(MATCH($C$5&amp;"|"&amp;RIGHT("000000"&amp;1160,6),LdgRankKeyA,0),"")</f>
        <v/>
      </c>
      <c r="M1176">
        <f>IFERROR(MATCH($C$5&amp;"|"&amp;RIGHT("000000"&amp;1160,6),LdgRankKeyB,0),"")</f>
        <v/>
      </c>
    </row>
    <row r="1177">
      <c r="A1177" s="17" t="n">
        <v>1161</v>
      </c>
      <c r="B1177" s="18">
        <f>IF(AND($L1177="",$M1177=""),"",IF($L1177&lt;&gt;"",INDEX(SCNormDate,$L1177),INDEX(LdgDateB,$M1177)))</f>
        <v/>
      </c>
      <c r="C1177" s="18">
        <f>IF($L1177&lt;&gt;"",INDEX(SCOp,$L1177),IF($M1177&lt;&gt;"","پرداخت بانکی",""))</f>
        <v/>
      </c>
      <c r="D1177" s="18">
        <f>IF($L1177&lt;&gt;"",IF(INDEX(SCDoc,$L1177)="","—",INDEX(SCDoc,$L1177)),IF($M1177&lt;&gt;"",INDEX(LdgBankB,$M1177),""))</f>
        <v/>
      </c>
      <c r="E1177" s="19">
        <f>IF($L1177&lt;&gt;"",IF(INDEX(SCCitrus,$L1177)&amp;INDEX(SCNotes,$L1177)="","",IF(INDEX(SCCitrus,$L1177)="","",INDEX(SCCitrus,$L1177))&amp;IF(INDEX(SCNotes,$L1177)="",""," — "&amp;INDEX(SCNotes,$L1177))),IF($M1177&lt;&gt;"",IF(INDEX(LdgNoteB,$M1177)="","—",INDEX(LdgNoteB,$M1177)),""))</f>
        <v/>
      </c>
      <c r="F1177" s="20">
        <f>IF($L1177&lt;&gt;"",IF(INDEX(SCNet,$L1177)=0,"",INDEX(SCNet,$L1177)),"")</f>
        <v/>
      </c>
      <c r="G1177" s="21">
        <f>IF($L1177&lt;&gt;"",IF(INDEX(SCOp,$L1177)="مرجوعی فروش","",IF(INDEX(SCAmount,$L1177)&lt;=0,"",INDEX(SCAmount,$L1177))),IF($M1177&lt;&gt;"",IF(INDEX(LdgWitB,$M1177)=0,"",INDEX(LdgWitB,$M1177)),""))</f>
        <v/>
      </c>
      <c r="H1177" s="21">
        <f>IF($L1177&lt;&gt;"",IF(INDEX(SCOp,$L1177)="مرجوعی فروش",IF(INDEX(SCAmount,$L1177)=0,"",-INDEX(SCAmount,$L1177)),""),IF($M1177&lt;&gt;"",IF(INDEX(LdgDepB,$M1177)=0,"",INDEX(LdgDepB,$M1177)),""))</f>
        <v/>
      </c>
      <c r="I1177" s="22">
        <f>IF($B1177="","",IF($I1176="",$C$10,$I1176)+IF($G1177="",0,$G1177)-IF($H1177="",0,$H1177))</f>
        <v/>
      </c>
      <c r="L1177">
        <f>IFERROR(MATCH($C$5&amp;"|"&amp;RIGHT("000000"&amp;1161,6),LdgRankKeyA,0),"")</f>
        <v/>
      </c>
      <c r="M1177">
        <f>IFERROR(MATCH($C$5&amp;"|"&amp;RIGHT("000000"&amp;1161,6),LdgRankKeyB,0),"")</f>
        <v/>
      </c>
    </row>
    <row r="1178">
      <c r="A1178" s="23" t="n">
        <v>1162</v>
      </c>
      <c r="B1178" s="24">
        <f>IF(AND($L1178="",$M1178=""),"",IF($L1178&lt;&gt;"",INDEX(SCNormDate,$L1178),INDEX(LdgDateB,$M1178)))</f>
        <v/>
      </c>
      <c r="C1178" s="24">
        <f>IF($L1178&lt;&gt;"",INDEX(SCOp,$L1178),IF($M1178&lt;&gt;"","پرداخت بانکی",""))</f>
        <v/>
      </c>
      <c r="D1178" s="24">
        <f>IF($L1178&lt;&gt;"",IF(INDEX(SCDoc,$L1178)="","—",INDEX(SCDoc,$L1178)),IF($M1178&lt;&gt;"",INDEX(LdgBankB,$M1178),""))</f>
        <v/>
      </c>
      <c r="E1178" s="25">
        <f>IF($L1178&lt;&gt;"",IF(INDEX(SCCitrus,$L1178)&amp;INDEX(SCNotes,$L1178)="","",IF(INDEX(SCCitrus,$L1178)="","",INDEX(SCCitrus,$L1178))&amp;IF(INDEX(SCNotes,$L1178)="",""," — "&amp;INDEX(SCNotes,$L1178))),IF($M1178&lt;&gt;"",IF(INDEX(LdgNoteB,$M1178)="","—",INDEX(LdgNoteB,$M1178)),""))</f>
        <v/>
      </c>
      <c r="F1178" s="26">
        <f>IF($L1178&lt;&gt;"",IF(INDEX(SCNet,$L1178)=0,"",INDEX(SCNet,$L1178)),"")</f>
        <v/>
      </c>
      <c r="G1178" s="27">
        <f>IF($L1178&lt;&gt;"",IF(INDEX(SCOp,$L1178)="مرجوعی فروش","",IF(INDEX(SCAmount,$L1178)&lt;=0,"",INDEX(SCAmount,$L1178))),IF($M1178&lt;&gt;"",IF(INDEX(LdgWitB,$M1178)=0,"",INDEX(LdgWitB,$M1178)),""))</f>
        <v/>
      </c>
      <c r="H1178" s="27">
        <f>IF($L1178&lt;&gt;"",IF(INDEX(SCOp,$L1178)="مرجوعی فروش",IF(INDEX(SCAmount,$L1178)=0,"",-INDEX(SCAmount,$L1178)),""),IF($M1178&lt;&gt;"",IF(INDEX(LdgDepB,$M1178)=0,"",INDEX(LdgDepB,$M1178)),""))</f>
        <v/>
      </c>
      <c r="I1178" s="28">
        <f>IF($B1178="","",IF($I1177="",$C$10,$I1177)+IF($G1178="",0,$G1178)-IF($H1178="",0,$H1178))</f>
        <v/>
      </c>
      <c r="L1178">
        <f>IFERROR(MATCH($C$5&amp;"|"&amp;RIGHT("000000"&amp;1162,6),LdgRankKeyA,0),"")</f>
        <v/>
      </c>
      <c r="M1178">
        <f>IFERROR(MATCH($C$5&amp;"|"&amp;RIGHT("000000"&amp;1162,6),LdgRankKeyB,0),"")</f>
        <v/>
      </c>
    </row>
    <row r="1179">
      <c r="A1179" s="17" t="n">
        <v>1163</v>
      </c>
      <c r="B1179" s="18">
        <f>IF(AND($L1179="",$M1179=""),"",IF($L1179&lt;&gt;"",INDEX(SCNormDate,$L1179),INDEX(LdgDateB,$M1179)))</f>
        <v/>
      </c>
      <c r="C1179" s="18">
        <f>IF($L1179&lt;&gt;"",INDEX(SCOp,$L1179),IF($M1179&lt;&gt;"","پرداخت بانکی",""))</f>
        <v/>
      </c>
      <c r="D1179" s="18">
        <f>IF($L1179&lt;&gt;"",IF(INDEX(SCDoc,$L1179)="","—",INDEX(SCDoc,$L1179)),IF($M1179&lt;&gt;"",INDEX(LdgBankB,$M1179),""))</f>
        <v/>
      </c>
      <c r="E1179" s="19">
        <f>IF($L1179&lt;&gt;"",IF(INDEX(SCCitrus,$L1179)&amp;INDEX(SCNotes,$L1179)="","",IF(INDEX(SCCitrus,$L1179)="","",INDEX(SCCitrus,$L1179))&amp;IF(INDEX(SCNotes,$L1179)="",""," — "&amp;INDEX(SCNotes,$L1179))),IF($M1179&lt;&gt;"",IF(INDEX(LdgNoteB,$M1179)="","—",INDEX(LdgNoteB,$M1179)),""))</f>
        <v/>
      </c>
      <c r="F1179" s="20">
        <f>IF($L1179&lt;&gt;"",IF(INDEX(SCNet,$L1179)=0,"",INDEX(SCNet,$L1179)),"")</f>
        <v/>
      </c>
      <c r="G1179" s="21">
        <f>IF($L1179&lt;&gt;"",IF(INDEX(SCOp,$L1179)="مرجوعی فروش","",IF(INDEX(SCAmount,$L1179)&lt;=0,"",INDEX(SCAmount,$L1179))),IF($M1179&lt;&gt;"",IF(INDEX(LdgWitB,$M1179)=0,"",INDEX(LdgWitB,$M1179)),""))</f>
        <v/>
      </c>
      <c r="H1179" s="21">
        <f>IF($L1179&lt;&gt;"",IF(INDEX(SCOp,$L1179)="مرجوعی فروش",IF(INDEX(SCAmount,$L1179)=0,"",-INDEX(SCAmount,$L1179)),""),IF($M1179&lt;&gt;"",IF(INDEX(LdgDepB,$M1179)=0,"",INDEX(LdgDepB,$M1179)),""))</f>
        <v/>
      </c>
      <c r="I1179" s="22">
        <f>IF($B1179="","",IF($I1178="",$C$10,$I1178)+IF($G1179="",0,$G1179)-IF($H1179="",0,$H1179))</f>
        <v/>
      </c>
      <c r="L1179">
        <f>IFERROR(MATCH($C$5&amp;"|"&amp;RIGHT("000000"&amp;1163,6),LdgRankKeyA,0),"")</f>
        <v/>
      </c>
      <c r="M1179">
        <f>IFERROR(MATCH($C$5&amp;"|"&amp;RIGHT("000000"&amp;1163,6),LdgRankKeyB,0),"")</f>
        <v/>
      </c>
    </row>
    <row r="1180">
      <c r="A1180" s="23" t="n">
        <v>1164</v>
      </c>
      <c r="B1180" s="24">
        <f>IF(AND($L1180="",$M1180=""),"",IF($L1180&lt;&gt;"",INDEX(SCNormDate,$L1180),INDEX(LdgDateB,$M1180)))</f>
        <v/>
      </c>
      <c r="C1180" s="24">
        <f>IF($L1180&lt;&gt;"",INDEX(SCOp,$L1180),IF($M1180&lt;&gt;"","پرداخت بانکی",""))</f>
        <v/>
      </c>
      <c r="D1180" s="24">
        <f>IF($L1180&lt;&gt;"",IF(INDEX(SCDoc,$L1180)="","—",INDEX(SCDoc,$L1180)),IF($M1180&lt;&gt;"",INDEX(LdgBankB,$M1180),""))</f>
        <v/>
      </c>
      <c r="E1180" s="25">
        <f>IF($L1180&lt;&gt;"",IF(INDEX(SCCitrus,$L1180)&amp;INDEX(SCNotes,$L1180)="","",IF(INDEX(SCCitrus,$L1180)="","",INDEX(SCCitrus,$L1180))&amp;IF(INDEX(SCNotes,$L1180)="",""," — "&amp;INDEX(SCNotes,$L1180))),IF($M1180&lt;&gt;"",IF(INDEX(LdgNoteB,$M1180)="","—",INDEX(LdgNoteB,$M1180)),""))</f>
        <v/>
      </c>
      <c r="F1180" s="26">
        <f>IF($L1180&lt;&gt;"",IF(INDEX(SCNet,$L1180)=0,"",INDEX(SCNet,$L1180)),"")</f>
        <v/>
      </c>
      <c r="G1180" s="27">
        <f>IF($L1180&lt;&gt;"",IF(INDEX(SCOp,$L1180)="مرجوعی فروش","",IF(INDEX(SCAmount,$L1180)&lt;=0,"",INDEX(SCAmount,$L1180))),IF($M1180&lt;&gt;"",IF(INDEX(LdgWitB,$M1180)=0,"",INDEX(LdgWitB,$M1180)),""))</f>
        <v/>
      </c>
      <c r="H1180" s="27">
        <f>IF($L1180&lt;&gt;"",IF(INDEX(SCOp,$L1180)="مرجوعی فروش",IF(INDEX(SCAmount,$L1180)=0,"",-INDEX(SCAmount,$L1180)),""),IF($M1180&lt;&gt;"",IF(INDEX(LdgDepB,$M1180)=0,"",INDEX(LdgDepB,$M1180)),""))</f>
        <v/>
      </c>
      <c r="I1180" s="28">
        <f>IF($B1180="","",IF($I1179="",$C$10,$I1179)+IF($G1180="",0,$G1180)-IF($H1180="",0,$H1180))</f>
        <v/>
      </c>
      <c r="L1180">
        <f>IFERROR(MATCH($C$5&amp;"|"&amp;RIGHT("000000"&amp;1164,6),LdgRankKeyA,0),"")</f>
        <v/>
      </c>
      <c r="M1180">
        <f>IFERROR(MATCH($C$5&amp;"|"&amp;RIGHT("000000"&amp;1164,6),LdgRankKeyB,0),"")</f>
        <v/>
      </c>
    </row>
    <row r="1181">
      <c r="A1181" s="17" t="n">
        <v>1165</v>
      </c>
      <c r="B1181" s="18">
        <f>IF(AND($L1181="",$M1181=""),"",IF($L1181&lt;&gt;"",INDEX(SCNormDate,$L1181),INDEX(LdgDateB,$M1181)))</f>
        <v/>
      </c>
      <c r="C1181" s="18">
        <f>IF($L1181&lt;&gt;"",INDEX(SCOp,$L1181),IF($M1181&lt;&gt;"","پرداخت بانکی",""))</f>
        <v/>
      </c>
      <c r="D1181" s="18">
        <f>IF($L1181&lt;&gt;"",IF(INDEX(SCDoc,$L1181)="","—",INDEX(SCDoc,$L1181)),IF($M1181&lt;&gt;"",INDEX(LdgBankB,$M1181),""))</f>
        <v/>
      </c>
      <c r="E1181" s="19">
        <f>IF($L1181&lt;&gt;"",IF(INDEX(SCCitrus,$L1181)&amp;INDEX(SCNotes,$L1181)="","",IF(INDEX(SCCitrus,$L1181)="","",INDEX(SCCitrus,$L1181))&amp;IF(INDEX(SCNotes,$L1181)="",""," — "&amp;INDEX(SCNotes,$L1181))),IF($M1181&lt;&gt;"",IF(INDEX(LdgNoteB,$M1181)="","—",INDEX(LdgNoteB,$M1181)),""))</f>
        <v/>
      </c>
      <c r="F1181" s="20">
        <f>IF($L1181&lt;&gt;"",IF(INDEX(SCNet,$L1181)=0,"",INDEX(SCNet,$L1181)),"")</f>
        <v/>
      </c>
      <c r="G1181" s="21">
        <f>IF($L1181&lt;&gt;"",IF(INDEX(SCOp,$L1181)="مرجوعی فروش","",IF(INDEX(SCAmount,$L1181)&lt;=0,"",INDEX(SCAmount,$L1181))),IF($M1181&lt;&gt;"",IF(INDEX(LdgWitB,$M1181)=0,"",INDEX(LdgWitB,$M1181)),""))</f>
        <v/>
      </c>
      <c r="H1181" s="21">
        <f>IF($L1181&lt;&gt;"",IF(INDEX(SCOp,$L1181)="مرجوعی فروش",IF(INDEX(SCAmount,$L1181)=0,"",-INDEX(SCAmount,$L1181)),""),IF($M1181&lt;&gt;"",IF(INDEX(LdgDepB,$M1181)=0,"",INDEX(LdgDepB,$M1181)),""))</f>
        <v/>
      </c>
      <c r="I1181" s="22">
        <f>IF($B1181="","",IF($I1180="",$C$10,$I1180)+IF($G1181="",0,$G1181)-IF($H1181="",0,$H1181))</f>
        <v/>
      </c>
      <c r="L1181">
        <f>IFERROR(MATCH($C$5&amp;"|"&amp;RIGHT("000000"&amp;1165,6),LdgRankKeyA,0),"")</f>
        <v/>
      </c>
      <c r="M1181">
        <f>IFERROR(MATCH($C$5&amp;"|"&amp;RIGHT("000000"&amp;1165,6),LdgRankKeyB,0),"")</f>
        <v/>
      </c>
    </row>
    <row r="1182">
      <c r="A1182" s="23" t="n">
        <v>1166</v>
      </c>
      <c r="B1182" s="24">
        <f>IF(AND($L1182="",$M1182=""),"",IF($L1182&lt;&gt;"",INDEX(SCNormDate,$L1182),INDEX(LdgDateB,$M1182)))</f>
        <v/>
      </c>
      <c r="C1182" s="24">
        <f>IF($L1182&lt;&gt;"",INDEX(SCOp,$L1182),IF($M1182&lt;&gt;"","پرداخت بانکی",""))</f>
        <v/>
      </c>
      <c r="D1182" s="24">
        <f>IF($L1182&lt;&gt;"",IF(INDEX(SCDoc,$L1182)="","—",INDEX(SCDoc,$L1182)),IF($M1182&lt;&gt;"",INDEX(LdgBankB,$M1182),""))</f>
        <v/>
      </c>
      <c r="E1182" s="25">
        <f>IF($L1182&lt;&gt;"",IF(INDEX(SCCitrus,$L1182)&amp;INDEX(SCNotes,$L1182)="","",IF(INDEX(SCCitrus,$L1182)="","",INDEX(SCCitrus,$L1182))&amp;IF(INDEX(SCNotes,$L1182)="",""," — "&amp;INDEX(SCNotes,$L1182))),IF($M1182&lt;&gt;"",IF(INDEX(LdgNoteB,$M1182)="","—",INDEX(LdgNoteB,$M1182)),""))</f>
        <v/>
      </c>
      <c r="F1182" s="26">
        <f>IF($L1182&lt;&gt;"",IF(INDEX(SCNet,$L1182)=0,"",INDEX(SCNet,$L1182)),"")</f>
        <v/>
      </c>
      <c r="G1182" s="27">
        <f>IF($L1182&lt;&gt;"",IF(INDEX(SCOp,$L1182)="مرجوعی فروش","",IF(INDEX(SCAmount,$L1182)&lt;=0,"",INDEX(SCAmount,$L1182))),IF($M1182&lt;&gt;"",IF(INDEX(LdgWitB,$M1182)=0,"",INDEX(LdgWitB,$M1182)),""))</f>
        <v/>
      </c>
      <c r="H1182" s="27">
        <f>IF($L1182&lt;&gt;"",IF(INDEX(SCOp,$L1182)="مرجوعی فروش",IF(INDEX(SCAmount,$L1182)=0,"",-INDEX(SCAmount,$L1182)),""),IF($M1182&lt;&gt;"",IF(INDEX(LdgDepB,$M1182)=0,"",INDEX(LdgDepB,$M1182)),""))</f>
        <v/>
      </c>
      <c r="I1182" s="28">
        <f>IF($B1182="","",IF($I1181="",$C$10,$I1181)+IF($G1182="",0,$G1182)-IF($H1182="",0,$H1182))</f>
        <v/>
      </c>
      <c r="L1182">
        <f>IFERROR(MATCH($C$5&amp;"|"&amp;RIGHT("000000"&amp;1166,6),LdgRankKeyA,0),"")</f>
        <v/>
      </c>
      <c r="M1182">
        <f>IFERROR(MATCH($C$5&amp;"|"&amp;RIGHT("000000"&amp;1166,6),LdgRankKeyB,0),"")</f>
        <v/>
      </c>
    </row>
    <row r="1183">
      <c r="A1183" s="17" t="n">
        <v>1167</v>
      </c>
      <c r="B1183" s="18">
        <f>IF(AND($L1183="",$M1183=""),"",IF($L1183&lt;&gt;"",INDEX(SCNormDate,$L1183),INDEX(LdgDateB,$M1183)))</f>
        <v/>
      </c>
      <c r="C1183" s="18">
        <f>IF($L1183&lt;&gt;"",INDEX(SCOp,$L1183),IF($M1183&lt;&gt;"","پرداخت بانکی",""))</f>
        <v/>
      </c>
      <c r="D1183" s="18">
        <f>IF($L1183&lt;&gt;"",IF(INDEX(SCDoc,$L1183)="","—",INDEX(SCDoc,$L1183)),IF($M1183&lt;&gt;"",INDEX(LdgBankB,$M1183),""))</f>
        <v/>
      </c>
      <c r="E1183" s="19">
        <f>IF($L1183&lt;&gt;"",IF(INDEX(SCCitrus,$L1183)&amp;INDEX(SCNotes,$L1183)="","",IF(INDEX(SCCitrus,$L1183)="","",INDEX(SCCitrus,$L1183))&amp;IF(INDEX(SCNotes,$L1183)="",""," — "&amp;INDEX(SCNotes,$L1183))),IF($M1183&lt;&gt;"",IF(INDEX(LdgNoteB,$M1183)="","—",INDEX(LdgNoteB,$M1183)),""))</f>
        <v/>
      </c>
      <c r="F1183" s="20">
        <f>IF($L1183&lt;&gt;"",IF(INDEX(SCNet,$L1183)=0,"",INDEX(SCNet,$L1183)),"")</f>
        <v/>
      </c>
      <c r="G1183" s="21">
        <f>IF($L1183&lt;&gt;"",IF(INDEX(SCOp,$L1183)="مرجوعی فروش","",IF(INDEX(SCAmount,$L1183)&lt;=0,"",INDEX(SCAmount,$L1183))),IF($M1183&lt;&gt;"",IF(INDEX(LdgWitB,$M1183)=0,"",INDEX(LdgWitB,$M1183)),""))</f>
        <v/>
      </c>
      <c r="H1183" s="21">
        <f>IF($L1183&lt;&gt;"",IF(INDEX(SCOp,$L1183)="مرجوعی فروش",IF(INDEX(SCAmount,$L1183)=0,"",-INDEX(SCAmount,$L1183)),""),IF($M1183&lt;&gt;"",IF(INDEX(LdgDepB,$M1183)=0,"",INDEX(LdgDepB,$M1183)),""))</f>
        <v/>
      </c>
      <c r="I1183" s="22">
        <f>IF($B1183="","",IF($I1182="",$C$10,$I1182)+IF($G1183="",0,$G1183)-IF($H1183="",0,$H1183))</f>
        <v/>
      </c>
      <c r="L1183">
        <f>IFERROR(MATCH($C$5&amp;"|"&amp;RIGHT("000000"&amp;1167,6),LdgRankKeyA,0),"")</f>
        <v/>
      </c>
      <c r="M1183">
        <f>IFERROR(MATCH($C$5&amp;"|"&amp;RIGHT("000000"&amp;1167,6),LdgRankKeyB,0),"")</f>
        <v/>
      </c>
    </row>
    <row r="1184">
      <c r="A1184" s="23" t="n">
        <v>1168</v>
      </c>
      <c r="B1184" s="24">
        <f>IF(AND($L1184="",$M1184=""),"",IF($L1184&lt;&gt;"",INDEX(SCNormDate,$L1184),INDEX(LdgDateB,$M1184)))</f>
        <v/>
      </c>
      <c r="C1184" s="24">
        <f>IF($L1184&lt;&gt;"",INDEX(SCOp,$L1184),IF($M1184&lt;&gt;"","پرداخت بانکی",""))</f>
        <v/>
      </c>
      <c r="D1184" s="24">
        <f>IF($L1184&lt;&gt;"",IF(INDEX(SCDoc,$L1184)="","—",INDEX(SCDoc,$L1184)),IF($M1184&lt;&gt;"",INDEX(LdgBankB,$M1184),""))</f>
        <v/>
      </c>
      <c r="E1184" s="25">
        <f>IF($L1184&lt;&gt;"",IF(INDEX(SCCitrus,$L1184)&amp;INDEX(SCNotes,$L1184)="","",IF(INDEX(SCCitrus,$L1184)="","",INDEX(SCCitrus,$L1184))&amp;IF(INDEX(SCNotes,$L1184)="",""," — "&amp;INDEX(SCNotes,$L1184))),IF($M1184&lt;&gt;"",IF(INDEX(LdgNoteB,$M1184)="","—",INDEX(LdgNoteB,$M1184)),""))</f>
        <v/>
      </c>
      <c r="F1184" s="26">
        <f>IF($L1184&lt;&gt;"",IF(INDEX(SCNet,$L1184)=0,"",INDEX(SCNet,$L1184)),"")</f>
        <v/>
      </c>
      <c r="G1184" s="27">
        <f>IF($L1184&lt;&gt;"",IF(INDEX(SCOp,$L1184)="مرجوعی فروش","",IF(INDEX(SCAmount,$L1184)&lt;=0,"",INDEX(SCAmount,$L1184))),IF($M1184&lt;&gt;"",IF(INDEX(LdgWitB,$M1184)=0,"",INDEX(LdgWitB,$M1184)),""))</f>
        <v/>
      </c>
      <c r="H1184" s="27">
        <f>IF($L1184&lt;&gt;"",IF(INDEX(SCOp,$L1184)="مرجوعی فروش",IF(INDEX(SCAmount,$L1184)=0,"",-INDEX(SCAmount,$L1184)),""),IF($M1184&lt;&gt;"",IF(INDEX(LdgDepB,$M1184)=0,"",INDEX(LdgDepB,$M1184)),""))</f>
        <v/>
      </c>
      <c r="I1184" s="28">
        <f>IF($B1184="","",IF($I1183="",$C$10,$I1183)+IF($G1184="",0,$G1184)-IF($H1184="",0,$H1184))</f>
        <v/>
      </c>
      <c r="L1184">
        <f>IFERROR(MATCH($C$5&amp;"|"&amp;RIGHT("000000"&amp;1168,6),LdgRankKeyA,0),"")</f>
        <v/>
      </c>
      <c r="M1184">
        <f>IFERROR(MATCH($C$5&amp;"|"&amp;RIGHT("000000"&amp;1168,6),LdgRankKeyB,0),"")</f>
        <v/>
      </c>
    </row>
    <row r="1185">
      <c r="A1185" s="17" t="n">
        <v>1169</v>
      </c>
      <c r="B1185" s="18">
        <f>IF(AND($L1185="",$M1185=""),"",IF($L1185&lt;&gt;"",INDEX(SCNormDate,$L1185),INDEX(LdgDateB,$M1185)))</f>
        <v/>
      </c>
      <c r="C1185" s="18">
        <f>IF($L1185&lt;&gt;"",INDEX(SCOp,$L1185),IF($M1185&lt;&gt;"","پرداخت بانکی",""))</f>
        <v/>
      </c>
      <c r="D1185" s="18">
        <f>IF($L1185&lt;&gt;"",IF(INDEX(SCDoc,$L1185)="","—",INDEX(SCDoc,$L1185)),IF($M1185&lt;&gt;"",INDEX(LdgBankB,$M1185),""))</f>
        <v/>
      </c>
      <c r="E1185" s="19">
        <f>IF($L1185&lt;&gt;"",IF(INDEX(SCCitrus,$L1185)&amp;INDEX(SCNotes,$L1185)="","",IF(INDEX(SCCitrus,$L1185)="","",INDEX(SCCitrus,$L1185))&amp;IF(INDEX(SCNotes,$L1185)="",""," — "&amp;INDEX(SCNotes,$L1185))),IF($M1185&lt;&gt;"",IF(INDEX(LdgNoteB,$M1185)="","—",INDEX(LdgNoteB,$M1185)),""))</f>
        <v/>
      </c>
      <c r="F1185" s="20">
        <f>IF($L1185&lt;&gt;"",IF(INDEX(SCNet,$L1185)=0,"",INDEX(SCNet,$L1185)),"")</f>
        <v/>
      </c>
      <c r="G1185" s="21">
        <f>IF($L1185&lt;&gt;"",IF(INDEX(SCOp,$L1185)="مرجوعی فروش","",IF(INDEX(SCAmount,$L1185)&lt;=0,"",INDEX(SCAmount,$L1185))),IF($M1185&lt;&gt;"",IF(INDEX(LdgWitB,$M1185)=0,"",INDEX(LdgWitB,$M1185)),""))</f>
        <v/>
      </c>
      <c r="H1185" s="21">
        <f>IF($L1185&lt;&gt;"",IF(INDEX(SCOp,$L1185)="مرجوعی فروش",IF(INDEX(SCAmount,$L1185)=0,"",-INDEX(SCAmount,$L1185)),""),IF($M1185&lt;&gt;"",IF(INDEX(LdgDepB,$M1185)=0,"",INDEX(LdgDepB,$M1185)),""))</f>
        <v/>
      </c>
      <c r="I1185" s="22">
        <f>IF($B1185="","",IF($I1184="",$C$10,$I1184)+IF($G1185="",0,$G1185)-IF($H1185="",0,$H1185))</f>
        <v/>
      </c>
      <c r="L1185">
        <f>IFERROR(MATCH($C$5&amp;"|"&amp;RIGHT("000000"&amp;1169,6),LdgRankKeyA,0),"")</f>
        <v/>
      </c>
      <c r="M1185">
        <f>IFERROR(MATCH($C$5&amp;"|"&amp;RIGHT("000000"&amp;1169,6),LdgRankKeyB,0),"")</f>
        <v/>
      </c>
    </row>
    <row r="1186">
      <c r="A1186" s="23" t="n">
        <v>1170</v>
      </c>
      <c r="B1186" s="24">
        <f>IF(AND($L1186="",$M1186=""),"",IF($L1186&lt;&gt;"",INDEX(SCNormDate,$L1186),INDEX(LdgDateB,$M1186)))</f>
        <v/>
      </c>
      <c r="C1186" s="24">
        <f>IF($L1186&lt;&gt;"",INDEX(SCOp,$L1186),IF($M1186&lt;&gt;"","پرداخت بانکی",""))</f>
        <v/>
      </c>
      <c r="D1186" s="24">
        <f>IF($L1186&lt;&gt;"",IF(INDEX(SCDoc,$L1186)="","—",INDEX(SCDoc,$L1186)),IF($M1186&lt;&gt;"",INDEX(LdgBankB,$M1186),""))</f>
        <v/>
      </c>
      <c r="E1186" s="25">
        <f>IF($L1186&lt;&gt;"",IF(INDEX(SCCitrus,$L1186)&amp;INDEX(SCNotes,$L1186)="","",IF(INDEX(SCCitrus,$L1186)="","",INDEX(SCCitrus,$L1186))&amp;IF(INDEX(SCNotes,$L1186)="",""," — "&amp;INDEX(SCNotes,$L1186))),IF($M1186&lt;&gt;"",IF(INDEX(LdgNoteB,$M1186)="","—",INDEX(LdgNoteB,$M1186)),""))</f>
        <v/>
      </c>
      <c r="F1186" s="26">
        <f>IF($L1186&lt;&gt;"",IF(INDEX(SCNet,$L1186)=0,"",INDEX(SCNet,$L1186)),"")</f>
        <v/>
      </c>
      <c r="G1186" s="27">
        <f>IF($L1186&lt;&gt;"",IF(INDEX(SCOp,$L1186)="مرجوعی فروش","",IF(INDEX(SCAmount,$L1186)&lt;=0,"",INDEX(SCAmount,$L1186))),IF($M1186&lt;&gt;"",IF(INDEX(LdgWitB,$M1186)=0,"",INDEX(LdgWitB,$M1186)),""))</f>
        <v/>
      </c>
      <c r="H1186" s="27">
        <f>IF($L1186&lt;&gt;"",IF(INDEX(SCOp,$L1186)="مرجوعی فروش",IF(INDEX(SCAmount,$L1186)=0,"",-INDEX(SCAmount,$L1186)),""),IF($M1186&lt;&gt;"",IF(INDEX(LdgDepB,$M1186)=0,"",INDEX(LdgDepB,$M1186)),""))</f>
        <v/>
      </c>
      <c r="I1186" s="28">
        <f>IF($B1186="","",IF($I1185="",$C$10,$I1185)+IF($G1186="",0,$G1186)-IF($H1186="",0,$H1186))</f>
        <v/>
      </c>
      <c r="L1186">
        <f>IFERROR(MATCH($C$5&amp;"|"&amp;RIGHT("000000"&amp;1170,6),LdgRankKeyA,0),"")</f>
        <v/>
      </c>
      <c r="M1186">
        <f>IFERROR(MATCH($C$5&amp;"|"&amp;RIGHT("000000"&amp;1170,6),LdgRankKeyB,0),"")</f>
        <v/>
      </c>
    </row>
    <row r="1187">
      <c r="A1187" s="17" t="n">
        <v>1171</v>
      </c>
      <c r="B1187" s="18">
        <f>IF(AND($L1187="",$M1187=""),"",IF($L1187&lt;&gt;"",INDEX(SCNormDate,$L1187),INDEX(LdgDateB,$M1187)))</f>
        <v/>
      </c>
      <c r="C1187" s="18">
        <f>IF($L1187&lt;&gt;"",INDEX(SCOp,$L1187),IF($M1187&lt;&gt;"","پرداخت بانکی",""))</f>
        <v/>
      </c>
      <c r="D1187" s="18">
        <f>IF($L1187&lt;&gt;"",IF(INDEX(SCDoc,$L1187)="","—",INDEX(SCDoc,$L1187)),IF($M1187&lt;&gt;"",INDEX(LdgBankB,$M1187),""))</f>
        <v/>
      </c>
      <c r="E1187" s="19">
        <f>IF($L1187&lt;&gt;"",IF(INDEX(SCCitrus,$L1187)&amp;INDEX(SCNotes,$L1187)="","",IF(INDEX(SCCitrus,$L1187)="","",INDEX(SCCitrus,$L1187))&amp;IF(INDEX(SCNotes,$L1187)="",""," — "&amp;INDEX(SCNotes,$L1187))),IF($M1187&lt;&gt;"",IF(INDEX(LdgNoteB,$M1187)="","—",INDEX(LdgNoteB,$M1187)),""))</f>
        <v/>
      </c>
      <c r="F1187" s="20">
        <f>IF($L1187&lt;&gt;"",IF(INDEX(SCNet,$L1187)=0,"",INDEX(SCNet,$L1187)),"")</f>
        <v/>
      </c>
      <c r="G1187" s="21">
        <f>IF($L1187&lt;&gt;"",IF(INDEX(SCOp,$L1187)="مرجوعی فروش","",IF(INDEX(SCAmount,$L1187)&lt;=0,"",INDEX(SCAmount,$L1187))),IF($M1187&lt;&gt;"",IF(INDEX(LdgWitB,$M1187)=0,"",INDEX(LdgWitB,$M1187)),""))</f>
        <v/>
      </c>
      <c r="H1187" s="21">
        <f>IF($L1187&lt;&gt;"",IF(INDEX(SCOp,$L1187)="مرجوعی فروش",IF(INDEX(SCAmount,$L1187)=0,"",-INDEX(SCAmount,$L1187)),""),IF($M1187&lt;&gt;"",IF(INDEX(LdgDepB,$M1187)=0,"",INDEX(LdgDepB,$M1187)),""))</f>
        <v/>
      </c>
      <c r="I1187" s="22">
        <f>IF($B1187="","",IF($I1186="",$C$10,$I1186)+IF($G1187="",0,$G1187)-IF($H1187="",0,$H1187))</f>
        <v/>
      </c>
      <c r="L1187">
        <f>IFERROR(MATCH($C$5&amp;"|"&amp;RIGHT("000000"&amp;1171,6),LdgRankKeyA,0),"")</f>
        <v/>
      </c>
      <c r="M1187">
        <f>IFERROR(MATCH($C$5&amp;"|"&amp;RIGHT("000000"&amp;1171,6),LdgRankKeyB,0),"")</f>
        <v/>
      </c>
    </row>
    <row r="1188">
      <c r="A1188" s="23" t="n">
        <v>1172</v>
      </c>
      <c r="B1188" s="24">
        <f>IF(AND($L1188="",$M1188=""),"",IF($L1188&lt;&gt;"",INDEX(SCNormDate,$L1188),INDEX(LdgDateB,$M1188)))</f>
        <v/>
      </c>
      <c r="C1188" s="24">
        <f>IF($L1188&lt;&gt;"",INDEX(SCOp,$L1188),IF($M1188&lt;&gt;"","پرداخت بانکی",""))</f>
        <v/>
      </c>
      <c r="D1188" s="24">
        <f>IF($L1188&lt;&gt;"",IF(INDEX(SCDoc,$L1188)="","—",INDEX(SCDoc,$L1188)),IF($M1188&lt;&gt;"",INDEX(LdgBankB,$M1188),""))</f>
        <v/>
      </c>
      <c r="E1188" s="25">
        <f>IF($L1188&lt;&gt;"",IF(INDEX(SCCitrus,$L1188)&amp;INDEX(SCNotes,$L1188)="","",IF(INDEX(SCCitrus,$L1188)="","",INDEX(SCCitrus,$L1188))&amp;IF(INDEX(SCNotes,$L1188)="",""," — "&amp;INDEX(SCNotes,$L1188))),IF($M1188&lt;&gt;"",IF(INDEX(LdgNoteB,$M1188)="","—",INDEX(LdgNoteB,$M1188)),""))</f>
        <v/>
      </c>
      <c r="F1188" s="26">
        <f>IF($L1188&lt;&gt;"",IF(INDEX(SCNet,$L1188)=0,"",INDEX(SCNet,$L1188)),"")</f>
        <v/>
      </c>
      <c r="G1188" s="27">
        <f>IF($L1188&lt;&gt;"",IF(INDEX(SCOp,$L1188)="مرجوعی فروش","",IF(INDEX(SCAmount,$L1188)&lt;=0,"",INDEX(SCAmount,$L1188))),IF($M1188&lt;&gt;"",IF(INDEX(LdgWitB,$M1188)=0,"",INDEX(LdgWitB,$M1188)),""))</f>
        <v/>
      </c>
      <c r="H1188" s="27">
        <f>IF($L1188&lt;&gt;"",IF(INDEX(SCOp,$L1188)="مرجوعی فروش",IF(INDEX(SCAmount,$L1188)=0,"",-INDEX(SCAmount,$L1188)),""),IF($M1188&lt;&gt;"",IF(INDEX(LdgDepB,$M1188)=0,"",INDEX(LdgDepB,$M1188)),""))</f>
        <v/>
      </c>
      <c r="I1188" s="28">
        <f>IF($B1188="","",IF($I1187="",$C$10,$I1187)+IF($G1188="",0,$G1188)-IF($H1188="",0,$H1188))</f>
        <v/>
      </c>
      <c r="L1188">
        <f>IFERROR(MATCH($C$5&amp;"|"&amp;RIGHT("000000"&amp;1172,6),LdgRankKeyA,0),"")</f>
        <v/>
      </c>
      <c r="M1188">
        <f>IFERROR(MATCH($C$5&amp;"|"&amp;RIGHT("000000"&amp;1172,6),LdgRankKeyB,0),"")</f>
        <v/>
      </c>
    </row>
    <row r="1189">
      <c r="A1189" s="17" t="n">
        <v>1173</v>
      </c>
      <c r="B1189" s="18">
        <f>IF(AND($L1189="",$M1189=""),"",IF($L1189&lt;&gt;"",INDEX(SCNormDate,$L1189),INDEX(LdgDateB,$M1189)))</f>
        <v/>
      </c>
      <c r="C1189" s="18">
        <f>IF($L1189&lt;&gt;"",INDEX(SCOp,$L1189),IF($M1189&lt;&gt;"","پرداخت بانکی",""))</f>
        <v/>
      </c>
      <c r="D1189" s="18">
        <f>IF($L1189&lt;&gt;"",IF(INDEX(SCDoc,$L1189)="","—",INDEX(SCDoc,$L1189)),IF($M1189&lt;&gt;"",INDEX(LdgBankB,$M1189),""))</f>
        <v/>
      </c>
      <c r="E1189" s="19">
        <f>IF($L1189&lt;&gt;"",IF(INDEX(SCCitrus,$L1189)&amp;INDEX(SCNotes,$L1189)="","",IF(INDEX(SCCitrus,$L1189)="","",INDEX(SCCitrus,$L1189))&amp;IF(INDEX(SCNotes,$L1189)="",""," — "&amp;INDEX(SCNotes,$L1189))),IF($M1189&lt;&gt;"",IF(INDEX(LdgNoteB,$M1189)="","—",INDEX(LdgNoteB,$M1189)),""))</f>
        <v/>
      </c>
      <c r="F1189" s="20">
        <f>IF($L1189&lt;&gt;"",IF(INDEX(SCNet,$L1189)=0,"",INDEX(SCNet,$L1189)),"")</f>
        <v/>
      </c>
      <c r="G1189" s="21">
        <f>IF($L1189&lt;&gt;"",IF(INDEX(SCOp,$L1189)="مرجوعی فروش","",IF(INDEX(SCAmount,$L1189)&lt;=0,"",INDEX(SCAmount,$L1189))),IF($M1189&lt;&gt;"",IF(INDEX(LdgWitB,$M1189)=0,"",INDEX(LdgWitB,$M1189)),""))</f>
        <v/>
      </c>
      <c r="H1189" s="21">
        <f>IF($L1189&lt;&gt;"",IF(INDEX(SCOp,$L1189)="مرجوعی فروش",IF(INDEX(SCAmount,$L1189)=0,"",-INDEX(SCAmount,$L1189)),""),IF($M1189&lt;&gt;"",IF(INDEX(LdgDepB,$M1189)=0,"",INDEX(LdgDepB,$M1189)),""))</f>
        <v/>
      </c>
      <c r="I1189" s="22">
        <f>IF($B1189="","",IF($I1188="",$C$10,$I1188)+IF($G1189="",0,$G1189)-IF($H1189="",0,$H1189))</f>
        <v/>
      </c>
      <c r="L1189">
        <f>IFERROR(MATCH($C$5&amp;"|"&amp;RIGHT("000000"&amp;1173,6),LdgRankKeyA,0),"")</f>
        <v/>
      </c>
      <c r="M1189">
        <f>IFERROR(MATCH($C$5&amp;"|"&amp;RIGHT("000000"&amp;1173,6),LdgRankKeyB,0),"")</f>
        <v/>
      </c>
    </row>
    <row r="1190">
      <c r="A1190" s="23" t="n">
        <v>1174</v>
      </c>
      <c r="B1190" s="24">
        <f>IF(AND($L1190="",$M1190=""),"",IF($L1190&lt;&gt;"",INDEX(SCNormDate,$L1190),INDEX(LdgDateB,$M1190)))</f>
        <v/>
      </c>
      <c r="C1190" s="24">
        <f>IF($L1190&lt;&gt;"",INDEX(SCOp,$L1190),IF($M1190&lt;&gt;"","پرداخت بانکی",""))</f>
        <v/>
      </c>
      <c r="D1190" s="24">
        <f>IF($L1190&lt;&gt;"",IF(INDEX(SCDoc,$L1190)="","—",INDEX(SCDoc,$L1190)),IF($M1190&lt;&gt;"",INDEX(LdgBankB,$M1190),""))</f>
        <v/>
      </c>
      <c r="E1190" s="25">
        <f>IF($L1190&lt;&gt;"",IF(INDEX(SCCitrus,$L1190)&amp;INDEX(SCNotes,$L1190)="","",IF(INDEX(SCCitrus,$L1190)="","",INDEX(SCCitrus,$L1190))&amp;IF(INDEX(SCNotes,$L1190)="",""," — "&amp;INDEX(SCNotes,$L1190))),IF($M1190&lt;&gt;"",IF(INDEX(LdgNoteB,$M1190)="","—",INDEX(LdgNoteB,$M1190)),""))</f>
        <v/>
      </c>
      <c r="F1190" s="26">
        <f>IF($L1190&lt;&gt;"",IF(INDEX(SCNet,$L1190)=0,"",INDEX(SCNet,$L1190)),"")</f>
        <v/>
      </c>
      <c r="G1190" s="27">
        <f>IF($L1190&lt;&gt;"",IF(INDEX(SCOp,$L1190)="مرجوعی فروش","",IF(INDEX(SCAmount,$L1190)&lt;=0,"",INDEX(SCAmount,$L1190))),IF($M1190&lt;&gt;"",IF(INDEX(LdgWitB,$M1190)=0,"",INDEX(LdgWitB,$M1190)),""))</f>
        <v/>
      </c>
      <c r="H1190" s="27">
        <f>IF($L1190&lt;&gt;"",IF(INDEX(SCOp,$L1190)="مرجوعی فروش",IF(INDEX(SCAmount,$L1190)=0,"",-INDEX(SCAmount,$L1190)),""),IF($M1190&lt;&gt;"",IF(INDEX(LdgDepB,$M1190)=0,"",INDEX(LdgDepB,$M1190)),""))</f>
        <v/>
      </c>
      <c r="I1190" s="28">
        <f>IF($B1190="","",IF($I1189="",$C$10,$I1189)+IF($G1190="",0,$G1190)-IF($H1190="",0,$H1190))</f>
        <v/>
      </c>
      <c r="L1190">
        <f>IFERROR(MATCH($C$5&amp;"|"&amp;RIGHT("000000"&amp;1174,6),LdgRankKeyA,0),"")</f>
        <v/>
      </c>
      <c r="M1190">
        <f>IFERROR(MATCH($C$5&amp;"|"&amp;RIGHT("000000"&amp;1174,6),LdgRankKeyB,0),"")</f>
        <v/>
      </c>
    </row>
    <row r="1191">
      <c r="A1191" s="17" t="n">
        <v>1175</v>
      </c>
      <c r="B1191" s="18">
        <f>IF(AND($L1191="",$M1191=""),"",IF($L1191&lt;&gt;"",INDEX(SCNormDate,$L1191),INDEX(LdgDateB,$M1191)))</f>
        <v/>
      </c>
      <c r="C1191" s="18">
        <f>IF($L1191&lt;&gt;"",INDEX(SCOp,$L1191),IF($M1191&lt;&gt;"","پرداخت بانکی",""))</f>
        <v/>
      </c>
      <c r="D1191" s="18">
        <f>IF($L1191&lt;&gt;"",IF(INDEX(SCDoc,$L1191)="","—",INDEX(SCDoc,$L1191)),IF($M1191&lt;&gt;"",INDEX(LdgBankB,$M1191),""))</f>
        <v/>
      </c>
      <c r="E1191" s="19">
        <f>IF($L1191&lt;&gt;"",IF(INDEX(SCCitrus,$L1191)&amp;INDEX(SCNotes,$L1191)="","",IF(INDEX(SCCitrus,$L1191)="","",INDEX(SCCitrus,$L1191))&amp;IF(INDEX(SCNotes,$L1191)="",""," — "&amp;INDEX(SCNotes,$L1191))),IF($M1191&lt;&gt;"",IF(INDEX(LdgNoteB,$M1191)="","—",INDEX(LdgNoteB,$M1191)),""))</f>
        <v/>
      </c>
      <c r="F1191" s="20">
        <f>IF($L1191&lt;&gt;"",IF(INDEX(SCNet,$L1191)=0,"",INDEX(SCNet,$L1191)),"")</f>
        <v/>
      </c>
      <c r="G1191" s="21">
        <f>IF($L1191&lt;&gt;"",IF(INDEX(SCOp,$L1191)="مرجوعی فروش","",IF(INDEX(SCAmount,$L1191)&lt;=0,"",INDEX(SCAmount,$L1191))),IF($M1191&lt;&gt;"",IF(INDEX(LdgWitB,$M1191)=0,"",INDEX(LdgWitB,$M1191)),""))</f>
        <v/>
      </c>
      <c r="H1191" s="21">
        <f>IF($L1191&lt;&gt;"",IF(INDEX(SCOp,$L1191)="مرجوعی فروش",IF(INDEX(SCAmount,$L1191)=0,"",-INDEX(SCAmount,$L1191)),""),IF($M1191&lt;&gt;"",IF(INDEX(LdgDepB,$M1191)=0,"",INDEX(LdgDepB,$M1191)),""))</f>
        <v/>
      </c>
      <c r="I1191" s="22">
        <f>IF($B1191="","",IF($I1190="",$C$10,$I1190)+IF($G1191="",0,$G1191)-IF($H1191="",0,$H1191))</f>
        <v/>
      </c>
      <c r="L1191">
        <f>IFERROR(MATCH($C$5&amp;"|"&amp;RIGHT("000000"&amp;1175,6),LdgRankKeyA,0),"")</f>
        <v/>
      </c>
      <c r="M1191">
        <f>IFERROR(MATCH($C$5&amp;"|"&amp;RIGHT("000000"&amp;1175,6),LdgRankKeyB,0),"")</f>
        <v/>
      </c>
    </row>
    <row r="1192">
      <c r="A1192" s="23" t="n">
        <v>1176</v>
      </c>
      <c r="B1192" s="24">
        <f>IF(AND($L1192="",$M1192=""),"",IF($L1192&lt;&gt;"",INDEX(SCNormDate,$L1192),INDEX(LdgDateB,$M1192)))</f>
        <v/>
      </c>
      <c r="C1192" s="24">
        <f>IF($L1192&lt;&gt;"",INDEX(SCOp,$L1192),IF($M1192&lt;&gt;"","پرداخت بانکی",""))</f>
        <v/>
      </c>
      <c r="D1192" s="24">
        <f>IF($L1192&lt;&gt;"",IF(INDEX(SCDoc,$L1192)="","—",INDEX(SCDoc,$L1192)),IF($M1192&lt;&gt;"",INDEX(LdgBankB,$M1192),""))</f>
        <v/>
      </c>
      <c r="E1192" s="25">
        <f>IF($L1192&lt;&gt;"",IF(INDEX(SCCitrus,$L1192)&amp;INDEX(SCNotes,$L1192)="","",IF(INDEX(SCCitrus,$L1192)="","",INDEX(SCCitrus,$L1192))&amp;IF(INDEX(SCNotes,$L1192)="",""," — "&amp;INDEX(SCNotes,$L1192))),IF($M1192&lt;&gt;"",IF(INDEX(LdgNoteB,$M1192)="","—",INDEX(LdgNoteB,$M1192)),""))</f>
        <v/>
      </c>
      <c r="F1192" s="26">
        <f>IF($L1192&lt;&gt;"",IF(INDEX(SCNet,$L1192)=0,"",INDEX(SCNet,$L1192)),"")</f>
        <v/>
      </c>
      <c r="G1192" s="27">
        <f>IF($L1192&lt;&gt;"",IF(INDEX(SCOp,$L1192)="مرجوعی فروش","",IF(INDEX(SCAmount,$L1192)&lt;=0,"",INDEX(SCAmount,$L1192))),IF($M1192&lt;&gt;"",IF(INDEX(LdgWitB,$M1192)=0,"",INDEX(LdgWitB,$M1192)),""))</f>
        <v/>
      </c>
      <c r="H1192" s="27">
        <f>IF($L1192&lt;&gt;"",IF(INDEX(SCOp,$L1192)="مرجوعی فروش",IF(INDEX(SCAmount,$L1192)=0,"",-INDEX(SCAmount,$L1192)),""),IF($M1192&lt;&gt;"",IF(INDEX(LdgDepB,$M1192)=0,"",INDEX(LdgDepB,$M1192)),""))</f>
        <v/>
      </c>
      <c r="I1192" s="28">
        <f>IF($B1192="","",IF($I1191="",$C$10,$I1191)+IF($G1192="",0,$G1192)-IF($H1192="",0,$H1192))</f>
        <v/>
      </c>
      <c r="L1192">
        <f>IFERROR(MATCH($C$5&amp;"|"&amp;RIGHT("000000"&amp;1176,6),LdgRankKeyA,0),"")</f>
        <v/>
      </c>
      <c r="M1192">
        <f>IFERROR(MATCH($C$5&amp;"|"&amp;RIGHT("000000"&amp;1176,6),LdgRankKeyB,0),"")</f>
        <v/>
      </c>
    </row>
    <row r="1193">
      <c r="A1193" s="17" t="n">
        <v>1177</v>
      </c>
      <c r="B1193" s="18">
        <f>IF(AND($L1193="",$M1193=""),"",IF($L1193&lt;&gt;"",INDEX(SCNormDate,$L1193),INDEX(LdgDateB,$M1193)))</f>
        <v/>
      </c>
      <c r="C1193" s="18">
        <f>IF($L1193&lt;&gt;"",INDEX(SCOp,$L1193),IF($M1193&lt;&gt;"","پرداخت بانکی",""))</f>
        <v/>
      </c>
      <c r="D1193" s="18">
        <f>IF($L1193&lt;&gt;"",IF(INDEX(SCDoc,$L1193)="","—",INDEX(SCDoc,$L1193)),IF($M1193&lt;&gt;"",INDEX(LdgBankB,$M1193),""))</f>
        <v/>
      </c>
      <c r="E1193" s="19">
        <f>IF($L1193&lt;&gt;"",IF(INDEX(SCCitrus,$L1193)&amp;INDEX(SCNotes,$L1193)="","",IF(INDEX(SCCitrus,$L1193)="","",INDEX(SCCitrus,$L1193))&amp;IF(INDEX(SCNotes,$L1193)="",""," — "&amp;INDEX(SCNotes,$L1193))),IF($M1193&lt;&gt;"",IF(INDEX(LdgNoteB,$M1193)="","—",INDEX(LdgNoteB,$M1193)),""))</f>
        <v/>
      </c>
      <c r="F1193" s="20">
        <f>IF($L1193&lt;&gt;"",IF(INDEX(SCNet,$L1193)=0,"",INDEX(SCNet,$L1193)),"")</f>
        <v/>
      </c>
      <c r="G1193" s="21">
        <f>IF($L1193&lt;&gt;"",IF(INDEX(SCOp,$L1193)="مرجوعی فروش","",IF(INDEX(SCAmount,$L1193)&lt;=0,"",INDEX(SCAmount,$L1193))),IF($M1193&lt;&gt;"",IF(INDEX(LdgWitB,$M1193)=0,"",INDEX(LdgWitB,$M1193)),""))</f>
        <v/>
      </c>
      <c r="H1193" s="21">
        <f>IF($L1193&lt;&gt;"",IF(INDEX(SCOp,$L1193)="مرجوعی فروش",IF(INDEX(SCAmount,$L1193)=0,"",-INDEX(SCAmount,$L1193)),""),IF($M1193&lt;&gt;"",IF(INDEX(LdgDepB,$M1193)=0,"",INDEX(LdgDepB,$M1193)),""))</f>
        <v/>
      </c>
      <c r="I1193" s="22">
        <f>IF($B1193="","",IF($I1192="",$C$10,$I1192)+IF($G1193="",0,$G1193)-IF($H1193="",0,$H1193))</f>
        <v/>
      </c>
      <c r="L1193">
        <f>IFERROR(MATCH($C$5&amp;"|"&amp;RIGHT("000000"&amp;1177,6),LdgRankKeyA,0),"")</f>
        <v/>
      </c>
      <c r="M1193">
        <f>IFERROR(MATCH($C$5&amp;"|"&amp;RIGHT("000000"&amp;1177,6),LdgRankKeyB,0),"")</f>
        <v/>
      </c>
    </row>
    <row r="1194">
      <c r="A1194" s="23" t="n">
        <v>1178</v>
      </c>
      <c r="B1194" s="24">
        <f>IF(AND($L1194="",$M1194=""),"",IF($L1194&lt;&gt;"",INDEX(SCNormDate,$L1194),INDEX(LdgDateB,$M1194)))</f>
        <v/>
      </c>
      <c r="C1194" s="24">
        <f>IF($L1194&lt;&gt;"",INDEX(SCOp,$L1194),IF($M1194&lt;&gt;"","پرداخت بانکی",""))</f>
        <v/>
      </c>
      <c r="D1194" s="24">
        <f>IF($L1194&lt;&gt;"",IF(INDEX(SCDoc,$L1194)="","—",INDEX(SCDoc,$L1194)),IF($M1194&lt;&gt;"",INDEX(LdgBankB,$M1194),""))</f>
        <v/>
      </c>
      <c r="E1194" s="25">
        <f>IF($L1194&lt;&gt;"",IF(INDEX(SCCitrus,$L1194)&amp;INDEX(SCNotes,$L1194)="","",IF(INDEX(SCCitrus,$L1194)="","",INDEX(SCCitrus,$L1194))&amp;IF(INDEX(SCNotes,$L1194)="",""," — "&amp;INDEX(SCNotes,$L1194))),IF($M1194&lt;&gt;"",IF(INDEX(LdgNoteB,$M1194)="","—",INDEX(LdgNoteB,$M1194)),""))</f>
        <v/>
      </c>
      <c r="F1194" s="26">
        <f>IF($L1194&lt;&gt;"",IF(INDEX(SCNet,$L1194)=0,"",INDEX(SCNet,$L1194)),"")</f>
        <v/>
      </c>
      <c r="G1194" s="27">
        <f>IF($L1194&lt;&gt;"",IF(INDEX(SCOp,$L1194)="مرجوعی فروش","",IF(INDEX(SCAmount,$L1194)&lt;=0,"",INDEX(SCAmount,$L1194))),IF($M1194&lt;&gt;"",IF(INDEX(LdgWitB,$M1194)=0,"",INDEX(LdgWitB,$M1194)),""))</f>
        <v/>
      </c>
      <c r="H1194" s="27">
        <f>IF($L1194&lt;&gt;"",IF(INDEX(SCOp,$L1194)="مرجوعی فروش",IF(INDEX(SCAmount,$L1194)=0,"",-INDEX(SCAmount,$L1194)),""),IF($M1194&lt;&gt;"",IF(INDEX(LdgDepB,$M1194)=0,"",INDEX(LdgDepB,$M1194)),""))</f>
        <v/>
      </c>
      <c r="I1194" s="28">
        <f>IF($B1194="","",IF($I1193="",$C$10,$I1193)+IF($G1194="",0,$G1194)-IF($H1194="",0,$H1194))</f>
        <v/>
      </c>
      <c r="L1194">
        <f>IFERROR(MATCH($C$5&amp;"|"&amp;RIGHT("000000"&amp;1178,6),LdgRankKeyA,0),"")</f>
        <v/>
      </c>
      <c r="M1194">
        <f>IFERROR(MATCH($C$5&amp;"|"&amp;RIGHT("000000"&amp;1178,6),LdgRankKeyB,0),"")</f>
        <v/>
      </c>
    </row>
    <row r="1195">
      <c r="A1195" s="17" t="n">
        <v>1179</v>
      </c>
      <c r="B1195" s="18">
        <f>IF(AND($L1195="",$M1195=""),"",IF($L1195&lt;&gt;"",INDEX(SCNormDate,$L1195),INDEX(LdgDateB,$M1195)))</f>
        <v/>
      </c>
      <c r="C1195" s="18">
        <f>IF($L1195&lt;&gt;"",INDEX(SCOp,$L1195),IF($M1195&lt;&gt;"","پرداخت بانکی",""))</f>
        <v/>
      </c>
      <c r="D1195" s="18">
        <f>IF($L1195&lt;&gt;"",IF(INDEX(SCDoc,$L1195)="","—",INDEX(SCDoc,$L1195)),IF($M1195&lt;&gt;"",INDEX(LdgBankB,$M1195),""))</f>
        <v/>
      </c>
      <c r="E1195" s="19">
        <f>IF($L1195&lt;&gt;"",IF(INDEX(SCCitrus,$L1195)&amp;INDEX(SCNotes,$L1195)="","",IF(INDEX(SCCitrus,$L1195)="","",INDEX(SCCitrus,$L1195))&amp;IF(INDEX(SCNotes,$L1195)="",""," — "&amp;INDEX(SCNotes,$L1195))),IF($M1195&lt;&gt;"",IF(INDEX(LdgNoteB,$M1195)="","—",INDEX(LdgNoteB,$M1195)),""))</f>
        <v/>
      </c>
      <c r="F1195" s="20">
        <f>IF($L1195&lt;&gt;"",IF(INDEX(SCNet,$L1195)=0,"",INDEX(SCNet,$L1195)),"")</f>
        <v/>
      </c>
      <c r="G1195" s="21">
        <f>IF($L1195&lt;&gt;"",IF(INDEX(SCOp,$L1195)="مرجوعی فروش","",IF(INDEX(SCAmount,$L1195)&lt;=0,"",INDEX(SCAmount,$L1195))),IF($M1195&lt;&gt;"",IF(INDEX(LdgWitB,$M1195)=0,"",INDEX(LdgWitB,$M1195)),""))</f>
        <v/>
      </c>
      <c r="H1195" s="21">
        <f>IF($L1195&lt;&gt;"",IF(INDEX(SCOp,$L1195)="مرجوعی فروش",IF(INDEX(SCAmount,$L1195)=0,"",-INDEX(SCAmount,$L1195)),""),IF($M1195&lt;&gt;"",IF(INDEX(LdgDepB,$M1195)=0,"",INDEX(LdgDepB,$M1195)),""))</f>
        <v/>
      </c>
      <c r="I1195" s="22">
        <f>IF($B1195="","",IF($I1194="",$C$10,$I1194)+IF($G1195="",0,$G1195)-IF($H1195="",0,$H1195))</f>
        <v/>
      </c>
      <c r="L1195">
        <f>IFERROR(MATCH($C$5&amp;"|"&amp;RIGHT("000000"&amp;1179,6),LdgRankKeyA,0),"")</f>
        <v/>
      </c>
      <c r="M1195">
        <f>IFERROR(MATCH($C$5&amp;"|"&amp;RIGHT("000000"&amp;1179,6),LdgRankKeyB,0),"")</f>
        <v/>
      </c>
    </row>
    <row r="1196">
      <c r="A1196" s="23" t="n">
        <v>1180</v>
      </c>
      <c r="B1196" s="24">
        <f>IF(AND($L1196="",$M1196=""),"",IF($L1196&lt;&gt;"",INDEX(SCNormDate,$L1196),INDEX(LdgDateB,$M1196)))</f>
        <v/>
      </c>
      <c r="C1196" s="24">
        <f>IF($L1196&lt;&gt;"",INDEX(SCOp,$L1196),IF($M1196&lt;&gt;"","پرداخت بانکی",""))</f>
        <v/>
      </c>
      <c r="D1196" s="24">
        <f>IF($L1196&lt;&gt;"",IF(INDEX(SCDoc,$L1196)="","—",INDEX(SCDoc,$L1196)),IF($M1196&lt;&gt;"",INDEX(LdgBankB,$M1196),""))</f>
        <v/>
      </c>
      <c r="E1196" s="25">
        <f>IF($L1196&lt;&gt;"",IF(INDEX(SCCitrus,$L1196)&amp;INDEX(SCNotes,$L1196)="","",IF(INDEX(SCCitrus,$L1196)="","",INDEX(SCCitrus,$L1196))&amp;IF(INDEX(SCNotes,$L1196)="",""," — "&amp;INDEX(SCNotes,$L1196))),IF($M1196&lt;&gt;"",IF(INDEX(LdgNoteB,$M1196)="","—",INDEX(LdgNoteB,$M1196)),""))</f>
        <v/>
      </c>
      <c r="F1196" s="26">
        <f>IF($L1196&lt;&gt;"",IF(INDEX(SCNet,$L1196)=0,"",INDEX(SCNet,$L1196)),"")</f>
        <v/>
      </c>
      <c r="G1196" s="27">
        <f>IF($L1196&lt;&gt;"",IF(INDEX(SCOp,$L1196)="مرجوعی فروش","",IF(INDEX(SCAmount,$L1196)&lt;=0,"",INDEX(SCAmount,$L1196))),IF($M1196&lt;&gt;"",IF(INDEX(LdgWitB,$M1196)=0,"",INDEX(LdgWitB,$M1196)),""))</f>
        <v/>
      </c>
      <c r="H1196" s="27">
        <f>IF($L1196&lt;&gt;"",IF(INDEX(SCOp,$L1196)="مرجوعی فروش",IF(INDEX(SCAmount,$L1196)=0,"",-INDEX(SCAmount,$L1196)),""),IF($M1196&lt;&gt;"",IF(INDEX(LdgDepB,$M1196)=0,"",INDEX(LdgDepB,$M1196)),""))</f>
        <v/>
      </c>
      <c r="I1196" s="28">
        <f>IF($B1196="","",IF($I1195="",$C$10,$I1195)+IF($G1196="",0,$G1196)-IF($H1196="",0,$H1196))</f>
        <v/>
      </c>
      <c r="L1196">
        <f>IFERROR(MATCH($C$5&amp;"|"&amp;RIGHT("000000"&amp;1180,6),LdgRankKeyA,0),"")</f>
        <v/>
      </c>
      <c r="M1196">
        <f>IFERROR(MATCH($C$5&amp;"|"&amp;RIGHT("000000"&amp;1180,6),LdgRankKeyB,0),"")</f>
        <v/>
      </c>
    </row>
    <row r="1197">
      <c r="A1197" s="17" t="n">
        <v>1181</v>
      </c>
      <c r="B1197" s="18">
        <f>IF(AND($L1197="",$M1197=""),"",IF($L1197&lt;&gt;"",INDEX(SCNormDate,$L1197),INDEX(LdgDateB,$M1197)))</f>
        <v/>
      </c>
      <c r="C1197" s="18">
        <f>IF($L1197&lt;&gt;"",INDEX(SCOp,$L1197),IF($M1197&lt;&gt;"","پرداخت بانکی",""))</f>
        <v/>
      </c>
      <c r="D1197" s="18">
        <f>IF($L1197&lt;&gt;"",IF(INDEX(SCDoc,$L1197)="","—",INDEX(SCDoc,$L1197)),IF($M1197&lt;&gt;"",INDEX(LdgBankB,$M1197),""))</f>
        <v/>
      </c>
      <c r="E1197" s="19">
        <f>IF($L1197&lt;&gt;"",IF(INDEX(SCCitrus,$L1197)&amp;INDEX(SCNotes,$L1197)="","",IF(INDEX(SCCitrus,$L1197)="","",INDEX(SCCitrus,$L1197))&amp;IF(INDEX(SCNotes,$L1197)="",""," — "&amp;INDEX(SCNotes,$L1197))),IF($M1197&lt;&gt;"",IF(INDEX(LdgNoteB,$M1197)="","—",INDEX(LdgNoteB,$M1197)),""))</f>
        <v/>
      </c>
      <c r="F1197" s="20">
        <f>IF($L1197&lt;&gt;"",IF(INDEX(SCNet,$L1197)=0,"",INDEX(SCNet,$L1197)),"")</f>
        <v/>
      </c>
      <c r="G1197" s="21">
        <f>IF($L1197&lt;&gt;"",IF(INDEX(SCOp,$L1197)="مرجوعی فروش","",IF(INDEX(SCAmount,$L1197)&lt;=0,"",INDEX(SCAmount,$L1197))),IF($M1197&lt;&gt;"",IF(INDEX(LdgWitB,$M1197)=0,"",INDEX(LdgWitB,$M1197)),""))</f>
        <v/>
      </c>
      <c r="H1197" s="21">
        <f>IF($L1197&lt;&gt;"",IF(INDEX(SCOp,$L1197)="مرجوعی فروش",IF(INDEX(SCAmount,$L1197)=0,"",-INDEX(SCAmount,$L1197)),""),IF($M1197&lt;&gt;"",IF(INDEX(LdgDepB,$M1197)=0,"",INDEX(LdgDepB,$M1197)),""))</f>
        <v/>
      </c>
      <c r="I1197" s="22">
        <f>IF($B1197="","",IF($I1196="",$C$10,$I1196)+IF($G1197="",0,$G1197)-IF($H1197="",0,$H1197))</f>
        <v/>
      </c>
      <c r="L1197">
        <f>IFERROR(MATCH($C$5&amp;"|"&amp;RIGHT("000000"&amp;1181,6),LdgRankKeyA,0),"")</f>
        <v/>
      </c>
      <c r="M1197">
        <f>IFERROR(MATCH($C$5&amp;"|"&amp;RIGHT("000000"&amp;1181,6),LdgRankKeyB,0),"")</f>
        <v/>
      </c>
    </row>
    <row r="1198">
      <c r="A1198" s="23" t="n">
        <v>1182</v>
      </c>
      <c r="B1198" s="24">
        <f>IF(AND($L1198="",$M1198=""),"",IF($L1198&lt;&gt;"",INDEX(SCNormDate,$L1198),INDEX(LdgDateB,$M1198)))</f>
        <v/>
      </c>
      <c r="C1198" s="24">
        <f>IF($L1198&lt;&gt;"",INDEX(SCOp,$L1198),IF($M1198&lt;&gt;"","پرداخت بانکی",""))</f>
        <v/>
      </c>
      <c r="D1198" s="24">
        <f>IF($L1198&lt;&gt;"",IF(INDEX(SCDoc,$L1198)="","—",INDEX(SCDoc,$L1198)),IF($M1198&lt;&gt;"",INDEX(LdgBankB,$M1198),""))</f>
        <v/>
      </c>
      <c r="E1198" s="25">
        <f>IF($L1198&lt;&gt;"",IF(INDEX(SCCitrus,$L1198)&amp;INDEX(SCNotes,$L1198)="","",IF(INDEX(SCCitrus,$L1198)="","",INDEX(SCCitrus,$L1198))&amp;IF(INDEX(SCNotes,$L1198)="",""," — "&amp;INDEX(SCNotes,$L1198))),IF($M1198&lt;&gt;"",IF(INDEX(LdgNoteB,$M1198)="","—",INDEX(LdgNoteB,$M1198)),""))</f>
        <v/>
      </c>
      <c r="F1198" s="26">
        <f>IF($L1198&lt;&gt;"",IF(INDEX(SCNet,$L1198)=0,"",INDEX(SCNet,$L1198)),"")</f>
        <v/>
      </c>
      <c r="G1198" s="27">
        <f>IF($L1198&lt;&gt;"",IF(INDEX(SCOp,$L1198)="مرجوعی فروش","",IF(INDEX(SCAmount,$L1198)&lt;=0,"",INDEX(SCAmount,$L1198))),IF($M1198&lt;&gt;"",IF(INDEX(LdgWitB,$M1198)=0,"",INDEX(LdgWitB,$M1198)),""))</f>
        <v/>
      </c>
      <c r="H1198" s="27">
        <f>IF($L1198&lt;&gt;"",IF(INDEX(SCOp,$L1198)="مرجوعی فروش",IF(INDEX(SCAmount,$L1198)=0,"",-INDEX(SCAmount,$L1198)),""),IF($M1198&lt;&gt;"",IF(INDEX(LdgDepB,$M1198)=0,"",INDEX(LdgDepB,$M1198)),""))</f>
        <v/>
      </c>
      <c r="I1198" s="28">
        <f>IF($B1198="","",IF($I1197="",$C$10,$I1197)+IF($G1198="",0,$G1198)-IF($H1198="",0,$H1198))</f>
        <v/>
      </c>
      <c r="L1198">
        <f>IFERROR(MATCH($C$5&amp;"|"&amp;RIGHT("000000"&amp;1182,6),LdgRankKeyA,0),"")</f>
        <v/>
      </c>
      <c r="M1198">
        <f>IFERROR(MATCH($C$5&amp;"|"&amp;RIGHT("000000"&amp;1182,6),LdgRankKeyB,0),"")</f>
        <v/>
      </c>
    </row>
    <row r="1199">
      <c r="A1199" s="17" t="n">
        <v>1183</v>
      </c>
      <c r="B1199" s="18">
        <f>IF(AND($L1199="",$M1199=""),"",IF($L1199&lt;&gt;"",INDEX(SCNormDate,$L1199),INDEX(LdgDateB,$M1199)))</f>
        <v/>
      </c>
      <c r="C1199" s="18">
        <f>IF($L1199&lt;&gt;"",INDEX(SCOp,$L1199),IF($M1199&lt;&gt;"","پرداخت بانکی",""))</f>
        <v/>
      </c>
      <c r="D1199" s="18">
        <f>IF($L1199&lt;&gt;"",IF(INDEX(SCDoc,$L1199)="","—",INDEX(SCDoc,$L1199)),IF($M1199&lt;&gt;"",INDEX(LdgBankB,$M1199),""))</f>
        <v/>
      </c>
      <c r="E1199" s="19">
        <f>IF($L1199&lt;&gt;"",IF(INDEX(SCCitrus,$L1199)&amp;INDEX(SCNotes,$L1199)="","",IF(INDEX(SCCitrus,$L1199)="","",INDEX(SCCitrus,$L1199))&amp;IF(INDEX(SCNotes,$L1199)="",""," — "&amp;INDEX(SCNotes,$L1199))),IF($M1199&lt;&gt;"",IF(INDEX(LdgNoteB,$M1199)="","—",INDEX(LdgNoteB,$M1199)),""))</f>
        <v/>
      </c>
      <c r="F1199" s="20">
        <f>IF($L1199&lt;&gt;"",IF(INDEX(SCNet,$L1199)=0,"",INDEX(SCNet,$L1199)),"")</f>
        <v/>
      </c>
      <c r="G1199" s="21">
        <f>IF($L1199&lt;&gt;"",IF(INDEX(SCOp,$L1199)="مرجوعی فروش","",IF(INDEX(SCAmount,$L1199)&lt;=0,"",INDEX(SCAmount,$L1199))),IF($M1199&lt;&gt;"",IF(INDEX(LdgWitB,$M1199)=0,"",INDEX(LdgWitB,$M1199)),""))</f>
        <v/>
      </c>
      <c r="H1199" s="21">
        <f>IF($L1199&lt;&gt;"",IF(INDEX(SCOp,$L1199)="مرجوعی فروش",IF(INDEX(SCAmount,$L1199)=0,"",-INDEX(SCAmount,$L1199)),""),IF($M1199&lt;&gt;"",IF(INDEX(LdgDepB,$M1199)=0,"",INDEX(LdgDepB,$M1199)),""))</f>
        <v/>
      </c>
      <c r="I1199" s="22">
        <f>IF($B1199="","",IF($I1198="",$C$10,$I1198)+IF($G1199="",0,$G1199)-IF($H1199="",0,$H1199))</f>
        <v/>
      </c>
      <c r="L1199">
        <f>IFERROR(MATCH($C$5&amp;"|"&amp;RIGHT("000000"&amp;1183,6),LdgRankKeyA,0),"")</f>
        <v/>
      </c>
      <c r="M1199">
        <f>IFERROR(MATCH($C$5&amp;"|"&amp;RIGHT("000000"&amp;1183,6),LdgRankKeyB,0),"")</f>
        <v/>
      </c>
    </row>
    <row r="1200">
      <c r="A1200" s="23" t="n">
        <v>1184</v>
      </c>
      <c r="B1200" s="24">
        <f>IF(AND($L1200="",$M1200=""),"",IF($L1200&lt;&gt;"",INDEX(SCNormDate,$L1200),INDEX(LdgDateB,$M1200)))</f>
        <v/>
      </c>
      <c r="C1200" s="24">
        <f>IF($L1200&lt;&gt;"",INDEX(SCOp,$L1200),IF($M1200&lt;&gt;"","پرداخت بانکی",""))</f>
        <v/>
      </c>
      <c r="D1200" s="24">
        <f>IF($L1200&lt;&gt;"",IF(INDEX(SCDoc,$L1200)="","—",INDEX(SCDoc,$L1200)),IF($M1200&lt;&gt;"",INDEX(LdgBankB,$M1200),""))</f>
        <v/>
      </c>
      <c r="E1200" s="25">
        <f>IF($L1200&lt;&gt;"",IF(INDEX(SCCitrus,$L1200)&amp;INDEX(SCNotes,$L1200)="","",IF(INDEX(SCCitrus,$L1200)="","",INDEX(SCCitrus,$L1200))&amp;IF(INDEX(SCNotes,$L1200)="",""," — "&amp;INDEX(SCNotes,$L1200))),IF($M1200&lt;&gt;"",IF(INDEX(LdgNoteB,$M1200)="","—",INDEX(LdgNoteB,$M1200)),""))</f>
        <v/>
      </c>
      <c r="F1200" s="26">
        <f>IF($L1200&lt;&gt;"",IF(INDEX(SCNet,$L1200)=0,"",INDEX(SCNet,$L1200)),"")</f>
        <v/>
      </c>
      <c r="G1200" s="27">
        <f>IF($L1200&lt;&gt;"",IF(INDEX(SCOp,$L1200)="مرجوعی فروش","",IF(INDEX(SCAmount,$L1200)&lt;=0,"",INDEX(SCAmount,$L1200))),IF($M1200&lt;&gt;"",IF(INDEX(LdgWitB,$M1200)=0,"",INDEX(LdgWitB,$M1200)),""))</f>
        <v/>
      </c>
      <c r="H1200" s="27">
        <f>IF($L1200&lt;&gt;"",IF(INDEX(SCOp,$L1200)="مرجوعی فروش",IF(INDEX(SCAmount,$L1200)=0,"",-INDEX(SCAmount,$L1200)),""),IF($M1200&lt;&gt;"",IF(INDEX(LdgDepB,$M1200)=0,"",INDEX(LdgDepB,$M1200)),""))</f>
        <v/>
      </c>
      <c r="I1200" s="28">
        <f>IF($B1200="","",IF($I1199="",$C$10,$I1199)+IF($G1200="",0,$G1200)-IF($H1200="",0,$H1200))</f>
        <v/>
      </c>
      <c r="L1200">
        <f>IFERROR(MATCH($C$5&amp;"|"&amp;RIGHT("000000"&amp;1184,6),LdgRankKeyA,0),"")</f>
        <v/>
      </c>
      <c r="M1200">
        <f>IFERROR(MATCH($C$5&amp;"|"&amp;RIGHT("000000"&amp;1184,6),LdgRankKeyB,0),"")</f>
        <v/>
      </c>
    </row>
    <row r="1201">
      <c r="A1201" s="17" t="n">
        <v>1185</v>
      </c>
      <c r="B1201" s="18">
        <f>IF(AND($L1201="",$M1201=""),"",IF($L1201&lt;&gt;"",INDEX(SCNormDate,$L1201),INDEX(LdgDateB,$M1201)))</f>
        <v/>
      </c>
      <c r="C1201" s="18">
        <f>IF($L1201&lt;&gt;"",INDEX(SCOp,$L1201),IF($M1201&lt;&gt;"","پرداخت بانکی",""))</f>
        <v/>
      </c>
      <c r="D1201" s="18">
        <f>IF($L1201&lt;&gt;"",IF(INDEX(SCDoc,$L1201)="","—",INDEX(SCDoc,$L1201)),IF($M1201&lt;&gt;"",INDEX(LdgBankB,$M1201),""))</f>
        <v/>
      </c>
      <c r="E1201" s="19">
        <f>IF($L1201&lt;&gt;"",IF(INDEX(SCCitrus,$L1201)&amp;INDEX(SCNotes,$L1201)="","",IF(INDEX(SCCitrus,$L1201)="","",INDEX(SCCitrus,$L1201))&amp;IF(INDEX(SCNotes,$L1201)="",""," — "&amp;INDEX(SCNotes,$L1201))),IF($M1201&lt;&gt;"",IF(INDEX(LdgNoteB,$M1201)="","—",INDEX(LdgNoteB,$M1201)),""))</f>
        <v/>
      </c>
      <c r="F1201" s="20">
        <f>IF($L1201&lt;&gt;"",IF(INDEX(SCNet,$L1201)=0,"",INDEX(SCNet,$L1201)),"")</f>
        <v/>
      </c>
      <c r="G1201" s="21">
        <f>IF($L1201&lt;&gt;"",IF(INDEX(SCOp,$L1201)="مرجوعی فروش","",IF(INDEX(SCAmount,$L1201)&lt;=0,"",INDEX(SCAmount,$L1201))),IF($M1201&lt;&gt;"",IF(INDEX(LdgWitB,$M1201)=0,"",INDEX(LdgWitB,$M1201)),""))</f>
        <v/>
      </c>
      <c r="H1201" s="21">
        <f>IF($L1201&lt;&gt;"",IF(INDEX(SCOp,$L1201)="مرجوعی فروش",IF(INDEX(SCAmount,$L1201)=0,"",-INDEX(SCAmount,$L1201)),""),IF($M1201&lt;&gt;"",IF(INDEX(LdgDepB,$M1201)=0,"",INDEX(LdgDepB,$M1201)),""))</f>
        <v/>
      </c>
      <c r="I1201" s="22">
        <f>IF($B1201="","",IF($I1200="",$C$10,$I1200)+IF($G1201="",0,$G1201)-IF($H1201="",0,$H1201))</f>
        <v/>
      </c>
      <c r="L1201">
        <f>IFERROR(MATCH($C$5&amp;"|"&amp;RIGHT("000000"&amp;1185,6),LdgRankKeyA,0),"")</f>
        <v/>
      </c>
      <c r="M1201">
        <f>IFERROR(MATCH($C$5&amp;"|"&amp;RIGHT("000000"&amp;1185,6),LdgRankKeyB,0),"")</f>
        <v/>
      </c>
    </row>
    <row r="1202">
      <c r="A1202" s="23" t="n">
        <v>1186</v>
      </c>
      <c r="B1202" s="24">
        <f>IF(AND($L1202="",$M1202=""),"",IF($L1202&lt;&gt;"",INDEX(SCNormDate,$L1202),INDEX(LdgDateB,$M1202)))</f>
        <v/>
      </c>
      <c r="C1202" s="24">
        <f>IF($L1202&lt;&gt;"",INDEX(SCOp,$L1202),IF($M1202&lt;&gt;"","پرداخت بانکی",""))</f>
        <v/>
      </c>
      <c r="D1202" s="24">
        <f>IF($L1202&lt;&gt;"",IF(INDEX(SCDoc,$L1202)="","—",INDEX(SCDoc,$L1202)),IF($M1202&lt;&gt;"",INDEX(LdgBankB,$M1202),""))</f>
        <v/>
      </c>
      <c r="E1202" s="25">
        <f>IF($L1202&lt;&gt;"",IF(INDEX(SCCitrus,$L1202)&amp;INDEX(SCNotes,$L1202)="","",IF(INDEX(SCCitrus,$L1202)="","",INDEX(SCCitrus,$L1202))&amp;IF(INDEX(SCNotes,$L1202)="",""," — "&amp;INDEX(SCNotes,$L1202))),IF($M1202&lt;&gt;"",IF(INDEX(LdgNoteB,$M1202)="","—",INDEX(LdgNoteB,$M1202)),""))</f>
        <v/>
      </c>
      <c r="F1202" s="26">
        <f>IF($L1202&lt;&gt;"",IF(INDEX(SCNet,$L1202)=0,"",INDEX(SCNet,$L1202)),"")</f>
        <v/>
      </c>
      <c r="G1202" s="27">
        <f>IF($L1202&lt;&gt;"",IF(INDEX(SCOp,$L1202)="مرجوعی فروش","",IF(INDEX(SCAmount,$L1202)&lt;=0,"",INDEX(SCAmount,$L1202))),IF($M1202&lt;&gt;"",IF(INDEX(LdgWitB,$M1202)=0,"",INDEX(LdgWitB,$M1202)),""))</f>
        <v/>
      </c>
      <c r="H1202" s="27">
        <f>IF($L1202&lt;&gt;"",IF(INDEX(SCOp,$L1202)="مرجوعی فروش",IF(INDEX(SCAmount,$L1202)=0,"",-INDEX(SCAmount,$L1202)),""),IF($M1202&lt;&gt;"",IF(INDEX(LdgDepB,$M1202)=0,"",INDEX(LdgDepB,$M1202)),""))</f>
        <v/>
      </c>
      <c r="I1202" s="28">
        <f>IF($B1202="","",IF($I1201="",$C$10,$I1201)+IF($G1202="",0,$G1202)-IF($H1202="",0,$H1202))</f>
        <v/>
      </c>
      <c r="L1202">
        <f>IFERROR(MATCH($C$5&amp;"|"&amp;RIGHT("000000"&amp;1186,6),LdgRankKeyA,0),"")</f>
        <v/>
      </c>
      <c r="M1202">
        <f>IFERROR(MATCH($C$5&amp;"|"&amp;RIGHT("000000"&amp;1186,6),LdgRankKeyB,0),"")</f>
        <v/>
      </c>
    </row>
    <row r="1203">
      <c r="A1203" s="17" t="n">
        <v>1187</v>
      </c>
      <c r="B1203" s="18">
        <f>IF(AND($L1203="",$M1203=""),"",IF($L1203&lt;&gt;"",INDEX(SCNormDate,$L1203),INDEX(LdgDateB,$M1203)))</f>
        <v/>
      </c>
      <c r="C1203" s="18">
        <f>IF($L1203&lt;&gt;"",INDEX(SCOp,$L1203),IF($M1203&lt;&gt;"","پرداخت بانکی",""))</f>
        <v/>
      </c>
      <c r="D1203" s="18">
        <f>IF($L1203&lt;&gt;"",IF(INDEX(SCDoc,$L1203)="","—",INDEX(SCDoc,$L1203)),IF($M1203&lt;&gt;"",INDEX(LdgBankB,$M1203),""))</f>
        <v/>
      </c>
      <c r="E1203" s="19">
        <f>IF($L1203&lt;&gt;"",IF(INDEX(SCCitrus,$L1203)&amp;INDEX(SCNotes,$L1203)="","",IF(INDEX(SCCitrus,$L1203)="","",INDEX(SCCitrus,$L1203))&amp;IF(INDEX(SCNotes,$L1203)="",""," — "&amp;INDEX(SCNotes,$L1203))),IF($M1203&lt;&gt;"",IF(INDEX(LdgNoteB,$M1203)="","—",INDEX(LdgNoteB,$M1203)),""))</f>
        <v/>
      </c>
      <c r="F1203" s="20">
        <f>IF($L1203&lt;&gt;"",IF(INDEX(SCNet,$L1203)=0,"",INDEX(SCNet,$L1203)),"")</f>
        <v/>
      </c>
      <c r="G1203" s="21">
        <f>IF($L1203&lt;&gt;"",IF(INDEX(SCOp,$L1203)="مرجوعی فروش","",IF(INDEX(SCAmount,$L1203)&lt;=0,"",INDEX(SCAmount,$L1203))),IF($M1203&lt;&gt;"",IF(INDEX(LdgWitB,$M1203)=0,"",INDEX(LdgWitB,$M1203)),""))</f>
        <v/>
      </c>
      <c r="H1203" s="21">
        <f>IF($L1203&lt;&gt;"",IF(INDEX(SCOp,$L1203)="مرجوعی فروش",IF(INDEX(SCAmount,$L1203)=0,"",-INDEX(SCAmount,$L1203)),""),IF($M1203&lt;&gt;"",IF(INDEX(LdgDepB,$M1203)=0,"",INDEX(LdgDepB,$M1203)),""))</f>
        <v/>
      </c>
      <c r="I1203" s="22">
        <f>IF($B1203="","",IF($I1202="",$C$10,$I1202)+IF($G1203="",0,$G1203)-IF($H1203="",0,$H1203))</f>
        <v/>
      </c>
      <c r="L1203">
        <f>IFERROR(MATCH($C$5&amp;"|"&amp;RIGHT("000000"&amp;1187,6),LdgRankKeyA,0),"")</f>
        <v/>
      </c>
      <c r="M1203">
        <f>IFERROR(MATCH($C$5&amp;"|"&amp;RIGHT("000000"&amp;1187,6),LdgRankKeyB,0),"")</f>
        <v/>
      </c>
    </row>
    <row r="1204">
      <c r="A1204" s="23" t="n">
        <v>1188</v>
      </c>
      <c r="B1204" s="24">
        <f>IF(AND($L1204="",$M1204=""),"",IF($L1204&lt;&gt;"",INDEX(SCNormDate,$L1204),INDEX(LdgDateB,$M1204)))</f>
        <v/>
      </c>
      <c r="C1204" s="24">
        <f>IF($L1204&lt;&gt;"",INDEX(SCOp,$L1204),IF($M1204&lt;&gt;"","پرداخت بانکی",""))</f>
        <v/>
      </c>
      <c r="D1204" s="24">
        <f>IF($L1204&lt;&gt;"",IF(INDEX(SCDoc,$L1204)="","—",INDEX(SCDoc,$L1204)),IF($M1204&lt;&gt;"",INDEX(LdgBankB,$M1204),""))</f>
        <v/>
      </c>
      <c r="E1204" s="25">
        <f>IF($L1204&lt;&gt;"",IF(INDEX(SCCitrus,$L1204)&amp;INDEX(SCNotes,$L1204)="","",IF(INDEX(SCCitrus,$L1204)="","",INDEX(SCCitrus,$L1204))&amp;IF(INDEX(SCNotes,$L1204)="",""," — "&amp;INDEX(SCNotes,$L1204))),IF($M1204&lt;&gt;"",IF(INDEX(LdgNoteB,$M1204)="","—",INDEX(LdgNoteB,$M1204)),""))</f>
        <v/>
      </c>
      <c r="F1204" s="26">
        <f>IF($L1204&lt;&gt;"",IF(INDEX(SCNet,$L1204)=0,"",INDEX(SCNet,$L1204)),"")</f>
        <v/>
      </c>
      <c r="G1204" s="27">
        <f>IF($L1204&lt;&gt;"",IF(INDEX(SCOp,$L1204)="مرجوعی فروش","",IF(INDEX(SCAmount,$L1204)&lt;=0,"",INDEX(SCAmount,$L1204))),IF($M1204&lt;&gt;"",IF(INDEX(LdgWitB,$M1204)=0,"",INDEX(LdgWitB,$M1204)),""))</f>
        <v/>
      </c>
      <c r="H1204" s="27">
        <f>IF($L1204&lt;&gt;"",IF(INDEX(SCOp,$L1204)="مرجوعی فروش",IF(INDEX(SCAmount,$L1204)=0,"",-INDEX(SCAmount,$L1204)),""),IF($M1204&lt;&gt;"",IF(INDEX(LdgDepB,$M1204)=0,"",INDEX(LdgDepB,$M1204)),""))</f>
        <v/>
      </c>
      <c r="I1204" s="28">
        <f>IF($B1204="","",IF($I1203="",$C$10,$I1203)+IF($G1204="",0,$G1204)-IF($H1204="",0,$H1204))</f>
        <v/>
      </c>
      <c r="L1204">
        <f>IFERROR(MATCH($C$5&amp;"|"&amp;RIGHT("000000"&amp;1188,6),LdgRankKeyA,0),"")</f>
        <v/>
      </c>
      <c r="M1204">
        <f>IFERROR(MATCH($C$5&amp;"|"&amp;RIGHT("000000"&amp;1188,6),LdgRankKeyB,0),"")</f>
        <v/>
      </c>
    </row>
    <row r="1205">
      <c r="A1205" s="17" t="n">
        <v>1189</v>
      </c>
      <c r="B1205" s="18">
        <f>IF(AND($L1205="",$M1205=""),"",IF($L1205&lt;&gt;"",INDEX(SCNormDate,$L1205),INDEX(LdgDateB,$M1205)))</f>
        <v/>
      </c>
      <c r="C1205" s="18">
        <f>IF($L1205&lt;&gt;"",INDEX(SCOp,$L1205),IF($M1205&lt;&gt;"","پرداخت بانکی",""))</f>
        <v/>
      </c>
      <c r="D1205" s="18">
        <f>IF($L1205&lt;&gt;"",IF(INDEX(SCDoc,$L1205)="","—",INDEX(SCDoc,$L1205)),IF($M1205&lt;&gt;"",INDEX(LdgBankB,$M1205),""))</f>
        <v/>
      </c>
      <c r="E1205" s="19">
        <f>IF($L1205&lt;&gt;"",IF(INDEX(SCCitrus,$L1205)&amp;INDEX(SCNotes,$L1205)="","",IF(INDEX(SCCitrus,$L1205)="","",INDEX(SCCitrus,$L1205))&amp;IF(INDEX(SCNotes,$L1205)="",""," — "&amp;INDEX(SCNotes,$L1205))),IF($M1205&lt;&gt;"",IF(INDEX(LdgNoteB,$M1205)="","—",INDEX(LdgNoteB,$M1205)),""))</f>
        <v/>
      </c>
      <c r="F1205" s="20">
        <f>IF($L1205&lt;&gt;"",IF(INDEX(SCNet,$L1205)=0,"",INDEX(SCNet,$L1205)),"")</f>
        <v/>
      </c>
      <c r="G1205" s="21">
        <f>IF($L1205&lt;&gt;"",IF(INDEX(SCOp,$L1205)="مرجوعی فروش","",IF(INDEX(SCAmount,$L1205)&lt;=0,"",INDEX(SCAmount,$L1205))),IF($M1205&lt;&gt;"",IF(INDEX(LdgWitB,$M1205)=0,"",INDEX(LdgWitB,$M1205)),""))</f>
        <v/>
      </c>
      <c r="H1205" s="21">
        <f>IF($L1205&lt;&gt;"",IF(INDEX(SCOp,$L1205)="مرجوعی فروش",IF(INDEX(SCAmount,$L1205)=0,"",-INDEX(SCAmount,$L1205)),""),IF($M1205&lt;&gt;"",IF(INDEX(LdgDepB,$M1205)=0,"",INDEX(LdgDepB,$M1205)),""))</f>
        <v/>
      </c>
      <c r="I1205" s="22">
        <f>IF($B1205="","",IF($I1204="",$C$10,$I1204)+IF($G1205="",0,$G1205)-IF($H1205="",0,$H1205))</f>
        <v/>
      </c>
      <c r="L1205">
        <f>IFERROR(MATCH($C$5&amp;"|"&amp;RIGHT("000000"&amp;1189,6),LdgRankKeyA,0),"")</f>
        <v/>
      </c>
      <c r="M1205">
        <f>IFERROR(MATCH($C$5&amp;"|"&amp;RIGHT("000000"&amp;1189,6),LdgRankKeyB,0),"")</f>
        <v/>
      </c>
    </row>
    <row r="1206">
      <c r="A1206" s="23" t="n">
        <v>1190</v>
      </c>
      <c r="B1206" s="24">
        <f>IF(AND($L1206="",$M1206=""),"",IF($L1206&lt;&gt;"",INDEX(SCNormDate,$L1206),INDEX(LdgDateB,$M1206)))</f>
        <v/>
      </c>
      <c r="C1206" s="24">
        <f>IF($L1206&lt;&gt;"",INDEX(SCOp,$L1206),IF($M1206&lt;&gt;"","پرداخت بانکی",""))</f>
        <v/>
      </c>
      <c r="D1206" s="24">
        <f>IF($L1206&lt;&gt;"",IF(INDEX(SCDoc,$L1206)="","—",INDEX(SCDoc,$L1206)),IF($M1206&lt;&gt;"",INDEX(LdgBankB,$M1206),""))</f>
        <v/>
      </c>
      <c r="E1206" s="25">
        <f>IF($L1206&lt;&gt;"",IF(INDEX(SCCitrus,$L1206)&amp;INDEX(SCNotes,$L1206)="","",IF(INDEX(SCCitrus,$L1206)="","",INDEX(SCCitrus,$L1206))&amp;IF(INDEX(SCNotes,$L1206)="",""," — "&amp;INDEX(SCNotes,$L1206))),IF($M1206&lt;&gt;"",IF(INDEX(LdgNoteB,$M1206)="","—",INDEX(LdgNoteB,$M1206)),""))</f>
        <v/>
      </c>
      <c r="F1206" s="26">
        <f>IF($L1206&lt;&gt;"",IF(INDEX(SCNet,$L1206)=0,"",INDEX(SCNet,$L1206)),"")</f>
        <v/>
      </c>
      <c r="G1206" s="27">
        <f>IF($L1206&lt;&gt;"",IF(INDEX(SCOp,$L1206)="مرجوعی فروش","",IF(INDEX(SCAmount,$L1206)&lt;=0,"",INDEX(SCAmount,$L1206))),IF($M1206&lt;&gt;"",IF(INDEX(LdgWitB,$M1206)=0,"",INDEX(LdgWitB,$M1206)),""))</f>
        <v/>
      </c>
      <c r="H1206" s="27">
        <f>IF($L1206&lt;&gt;"",IF(INDEX(SCOp,$L1206)="مرجوعی فروش",IF(INDEX(SCAmount,$L1206)=0,"",-INDEX(SCAmount,$L1206)),""),IF($M1206&lt;&gt;"",IF(INDEX(LdgDepB,$M1206)=0,"",INDEX(LdgDepB,$M1206)),""))</f>
        <v/>
      </c>
      <c r="I1206" s="28">
        <f>IF($B1206="","",IF($I1205="",$C$10,$I1205)+IF($G1206="",0,$G1206)-IF($H1206="",0,$H1206))</f>
        <v/>
      </c>
      <c r="L1206">
        <f>IFERROR(MATCH($C$5&amp;"|"&amp;RIGHT("000000"&amp;1190,6),LdgRankKeyA,0),"")</f>
        <v/>
      </c>
      <c r="M1206">
        <f>IFERROR(MATCH($C$5&amp;"|"&amp;RIGHT("000000"&amp;1190,6),LdgRankKeyB,0),"")</f>
        <v/>
      </c>
    </row>
    <row r="1207">
      <c r="A1207" s="17" t="n">
        <v>1191</v>
      </c>
      <c r="B1207" s="18">
        <f>IF(AND($L1207="",$M1207=""),"",IF($L1207&lt;&gt;"",INDEX(SCNormDate,$L1207),INDEX(LdgDateB,$M1207)))</f>
        <v/>
      </c>
      <c r="C1207" s="18">
        <f>IF($L1207&lt;&gt;"",INDEX(SCOp,$L1207),IF($M1207&lt;&gt;"","پرداخت بانکی",""))</f>
        <v/>
      </c>
      <c r="D1207" s="18">
        <f>IF($L1207&lt;&gt;"",IF(INDEX(SCDoc,$L1207)="","—",INDEX(SCDoc,$L1207)),IF($M1207&lt;&gt;"",INDEX(LdgBankB,$M1207),""))</f>
        <v/>
      </c>
      <c r="E1207" s="19">
        <f>IF($L1207&lt;&gt;"",IF(INDEX(SCCitrus,$L1207)&amp;INDEX(SCNotes,$L1207)="","",IF(INDEX(SCCitrus,$L1207)="","",INDEX(SCCitrus,$L1207))&amp;IF(INDEX(SCNotes,$L1207)="",""," — "&amp;INDEX(SCNotes,$L1207))),IF($M1207&lt;&gt;"",IF(INDEX(LdgNoteB,$M1207)="","—",INDEX(LdgNoteB,$M1207)),""))</f>
        <v/>
      </c>
      <c r="F1207" s="20">
        <f>IF($L1207&lt;&gt;"",IF(INDEX(SCNet,$L1207)=0,"",INDEX(SCNet,$L1207)),"")</f>
        <v/>
      </c>
      <c r="G1207" s="21">
        <f>IF($L1207&lt;&gt;"",IF(INDEX(SCOp,$L1207)="مرجوعی فروش","",IF(INDEX(SCAmount,$L1207)&lt;=0,"",INDEX(SCAmount,$L1207))),IF($M1207&lt;&gt;"",IF(INDEX(LdgWitB,$M1207)=0,"",INDEX(LdgWitB,$M1207)),""))</f>
        <v/>
      </c>
      <c r="H1207" s="21">
        <f>IF($L1207&lt;&gt;"",IF(INDEX(SCOp,$L1207)="مرجوعی فروش",IF(INDEX(SCAmount,$L1207)=0,"",-INDEX(SCAmount,$L1207)),""),IF($M1207&lt;&gt;"",IF(INDEX(LdgDepB,$M1207)=0,"",INDEX(LdgDepB,$M1207)),""))</f>
        <v/>
      </c>
      <c r="I1207" s="22">
        <f>IF($B1207="","",IF($I1206="",$C$10,$I1206)+IF($G1207="",0,$G1207)-IF($H1207="",0,$H1207))</f>
        <v/>
      </c>
      <c r="L1207">
        <f>IFERROR(MATCH($C$5&amp;"|"&amp;RIGHT("000000"&amp;1191,6),LdgRankKeyA,0),"")</f>
        <v/>
      </c>
      <c r="M1207">
        <f>IFERROR(MATCH($C$5&amp;"|"&amp;RIGHT("000000"&amp;1191,6),LdgRankKeyB,0),"")</f>
        <v/>
      </c>
    </row>
    <row r="1208">
      <c r="A1208" s="23" t="n">
        <v>1192</v>
      </c>
      <c r="B1208" s="24">
        <f>IF(AND($L1208="",$M1208=""),"",IF($L1208&lt;&gt;"",INDEX(SCNormDate,$L1208),INDEX(LdgDateB,$M1208)))</f>
        <v/>
      </c>
      <c r="C1208" s="24">
        <f>IF($L1208&lt;&gt;"",INDEX(SCOp,$L1208),IF($M1208&lt;&gt;"","پرداخت بانکی",""))</f>
        <v/>
      </c>
      <c r="D1208" s="24">
        <f>IF($L1208&lt;&gt;"",IF(INDEX(SCDoc,$L1208)="","—",INDEX(SCDoc,$L1208)),IF($M1208&lt;&gt;"",INDEX(LdgBankB,$M1208),""))</f>
        <v/>
      </c>
      <c r="E1208" s="25">
        <f>IF($L1208&lt;&gt;"",IF(INDEX(SCCitrus,$L1208)&amp;INDEX(SCNotes,$L1208)="","",IF(INDEX(SCCitrus,$L1208)="","",INDEX(SCCitrus,$L1208))&amp;IF(INDEX(SCNotes,$L1208)="",""," — "&amp;INDEX(SCNotes,$L1208))),IF($M1208&lt;&gt;"",IF(INDEX(LdgNoteB,$M1208)="","—",INDEX(LdgNoteB,$M1208)),""))</f>
        <v/>
      </c>
      <c r="F1208" s="26">
        <f>IF($L1208&lt;&gt;"",IF(INDEX(SCNet,$L1208)=0,"",INDEX(SCNet,$L1208)),"")</f>
        <v/>
      </c>
      <c r="G1208" s="27">
        <f>IF($L1208&lt;&gt;"",IF(INDEX(SCOp,$L1208)="مرجوعی فروش","",IF(INDEX(SCAmount,$L1208)&lt;=0,"",INDEX(SCAmount,$L1208))),IF($M1208&lt;&gt;"",IF(INDEX(LdgWitB,$M1208)=0,"",INDEX(LdgWitB,$M1208)),""))</f>
        <v/>
      </c>
      <c r="H1208" s="27">
        <f>IF($L1208&lt;&gt;"",IF(INDEX(SCOp,$L1208)="مرجوعی فروش",IF(INDEX(SCAmount,$L1208)=0,"",-INDEX(SCAmount,$L1208)),""),IF($M1208&lt;&gt;"",IF(INDEX(LdgDepB,$M1208)=0,"",INDEX(LdgDepB,$M1208)),""))</f>
        <v/>
      </c>
      <c r="I1208" s="28">
        <f>IF($B1208="","",IF($I1207="",$C$10,$I1207)+IF($G1208="",0,$G1208)-IF($H1208="",0,$H1208))</f>
        <v/>
      </c>
      <c r="L1208">
        <f>IFERROR(MATCH($C$5&amp;"|"&amp;RIGHT("000000"&amp;1192,6),LdgRankKeyA,0),"")</f>
        <v/>
      </c>
      <c r="M1208">
        <f>IFERROR(MATCH($C$5&amp;"|"&amp;RIGHT("000000"&amp;1192,6),LdgRankKeyB,0),"")</f>
        <v/>
      </c>
    </row>
    <row r="1209">
      <c r="A1209" s="17" t="n">
        <v>1193</v>
      </c>
      <c r="B1209" s="18">
        <f>IF(AND($L1209="",$M1209=""),"",IF($L1209&lt;&gt;"",INDEX(SCNormDate,$L1209),INDEX(LdgDateB,$M1209)))</f>
        <v/>
      </c>
      <c r="C1209" s="18">
        <f>IF($L1209&lt;&gt;"",INDEX(SCOp,$L1209),IF($M1209&lt;&gt;"","پرداخت بانکی",""))</f>
        <v/>
      </c>
      <c r="D1209" s="18">
        <f>IF($L1209&lt;&gt;"",IF(INDEX(SCDoc,$L1209)="","—",INDEX(SCDoc,$L1209)),IF($M1209&lt;&gt;"",INDEX(LdgBankB,$M1209),""))</f>
        <v/>
      </c>
      <c r="E1209" s="19">
        <f>IF($L1209&lt;&gt;"",IF(INDEX(SCCitrus,$L1209)&amp;INDEX(SCNotes,$L1209)="","",IF(INDEX(SCCitrus,$L1209)="","",INDEX(SCCitrus,$L1209))&amp;IF(INDEX(SCNotes,$L1209)="",""," — "&amp;INDEX(SCNotes,$L1209))),IF($M1209&lt;&gt;"",IF(INDEX(LdgNoteB,$M1209)="","—",INDEX(LdgNoteB,$M1209)),""))</f>
        <v/>
      </c>
      <c r="F1209" s="20">
        <f>IF($L1209&lt;&gt;"",IF(INDEX(SCNet,$L1209)=0,"",INDEX(SCNet,$L1209)),"")</f>
        <v/>
      </c>
      <c r="G1209" s="21">
        <f>IF($L1209&lt;&gt;"",IF(INDEX(SCOp,$L1209)="مرجوعی فروش","",IF(INDEX(SCAmount,$L1209)&lt;=0,"",INDEX(SCAmount,$L1209))),IF($M1209&lt;&gt;"",IF(INDEX(LdgWitB,$M1209)=0,"",INDEX(LdgWitB,$M1209)),""))</f>
        <v/>
      </c>
      <c r="H1209" s="21">
        <f>IF($L1209&lt;&gt;"",IF(INDEX(SCOp,$L1209)="مرجوعی فروش",IF(INDEX(SCAmount,$L1209)=0,"",-INDEX(SCAmount,$L1209)),""),IF($M1209&lt;&gt;"",IF(INDEX(LdgDepB,$M1209)=0,"",INDEX(LdgDepB,$M1209)),""))</f>
        <v/>
      </c>
      <c r="I1209" s="22">
        <f>IF($B1209="","",IF($I1208="",$C$10,$I1208)+IF($G1209="",0,$G1209)-IF($H1209="",0,$H1209))</f>
        <v/>
      </c>
      <c r="L1209">
        <f>IFERROR(MATCH($C$5&amp;"|"&amp;RIGHT("000000"&amp;1193,6),LdgRankKeyA,0),"")</f>
        <v/>
      </c>
      <c r="M1209">
        <f>IFERROR(MATCH($C$5&amp;"|"&amp;RIGHT("000000"&amp;1193,6),LdgRankKeyB,0),"")</f>
        <v/>
      </c>
    </row>
    <row r="1210">
      <c r="A1210" s="23" t="n">
        <v>1194</v>
      </c>
      <c r="B1210" s="24">
        <f>IF(AND($L1210="",$M1210=""),"",IF($L1210&lt;&gt;"",INDEX(SCNormDate,$L1210),INDEX(LdgDateB,$M1210)))</f>
        <v/>
      </c>
      <c r="C1210" s="24">
        <f>IF($L1210&lt;&gt;"",INDEX(SCOp,$L1210),IF($M1210&lt;&gt;"","پرداخت بانکی",""))</f>
        <v/>
      </c>
      <c r="D1210" s="24">
        <f>IF($L1210&lt;&gt;"",IF(INDEX(SCDoc,$L1210)="","—",INDEX(SCDoc,$L1210)),IF($M1210&lt;&gt;"",INDEX(LdgBankB,$M1210),""))</f>
        <v/>
      </c>
      <c r="E1210" s="25">
        <f>IF($L1210&lt;&gt;"",IF(INDEX(SCCitrus,$L1210)&amp;INDEX(SCNotes,$L1210)="","",IF(INDEX(SCCitrus,$L1210)="","",INDEX(SCCitrus,$L1210))&amp;IF(INDEX(SCNotes,$L1210)="",""," — "&amp;INDEX(SCNotes,$L1210))),IF($M1210&lt;&gt;"",IF(INDEX(LdgNoteB,$M1210)="","—",INDEX(LdgNoteB,$M1210)),""))</f>
        <v/>
      </c>
      <c r="F1210" s="26">
        <f>IF($L1210&lt;&gt;"",IF(INDEX(SCNet,$L1210)=0,"",INDEX(SCNet,$L1210)),"")</f>
        <v/>
      </c>
      <c r="G1210" s="27">
        <f>IF($L1210&lt;&gt;"",IF(INDEX(SCOp,$L1210)="مرجوعی فروش","",IF(INDEX(SCAmount,$L1210)&lt;=0,"",INDEX(SCAmount,$L1210))),IF($M1210&lt;&gt;"",IF(INDEX(LdgWitB,$M1210)=0,"",INDEX(LdgWitB,$M1210)),""))</f>
        <v/>
      </c>
      <c r="H1210" s="27">
        <f>IF($L1210&lt;&gt;"",IF(INDEX(SCOp,$L1210)="مرجوعی فروش",IF(INDEX(SCAmount,$L1210)=0,"",-INDEX(SCAmount,$L1210)),""),IF($M1210&lt;&gt;"",IF(INDEX(LdgDepB,$M1210)=0,"",INDEX(LdgDepB,$M1210)),""))</f>
        <v/>
      </c>
      <c r="I1210" s="28">
        <f>IF($B1210="","",IF($I1209="",$C$10,$I1209)+IF($G1210="",0,$G1210)-IF($H1210="",0,$H1210))</f>
        <v/>
      </c>
      <c r="L1210">
        <f>IFERROR(MATCH($C$5&amp;"|"&amp;RIGHT("000000"&amp;1194,6),LdgRankKeyA,0),"")</f>
        <v/>
      </c>
      <c r="M1210">
        <f>IFERROR(MATCH($C$5&amp;"|"&amp;RIGHT("000000"&amp;1194,6),LdgRankKeyB,0),"")</f>
        <v/>
      </c>
    </row>
    <row r="1211">
      <c r="A1211" s="17" t="n">
        <v>1195</v>
      </c>
      <c r="B1211" s="18">
        <f>IF(AND($L1211="",$M1211=""),"",IF($L1211&lt;&gt;"",INDEX(SCNormDate,$L1211),INDEX(LdgDateB,$M1211)))</f>
        <v/>
      </c>
      <c r="C1211" s="18">
        <f>IF($L1211&lt;&gt;"",INDEX(SCOp,$L1211),IF($M1211&lt;&gt;"","پرداخت بانکی",""))</f>
        <v/>
      </c>
      <c r="D1211" s="18">
        <f>IF($L1211&lt;&gt;"",IF(INDEX(SCDoc,$L1211)="","—",INDEX(SCDoc,$L1211)),IF($M1211&lt;&gt;"",INDEX(LdgBankB,$M1211),""))</f>
        <v/>
      </c>
      <c r="E1211" s="19">
        <f>IF($L1211&lt;&gt;"",IF(INDEX(SCCitrus,$L1211)&amp;INDEX(SCNotes,$L1211)="","",IF(INDEX(SCCitrus,$L1211)="","",INDEX(SCCitrus,$L1211))&amp;IF(INDEX(SCNotes,$L1211)="",""," — "&amp;INDEX(SCNotes,$L1211))),IF($M1211&lt;&gt;"",IF(INDEX(LdgNoteB,$M1211)="","—",INDEX(LdgNoteB,$M1211)),""))</f>
        <v/>
      </c>
      <c r="F1211" s="20">
        <f>IF($L1211&lt;&gt;"",IF(INDEX(SCNet,$L1211)=0,"",INDEX(SCNet,$L1211)),"")</f>
        <v/>
      </c>
      <c r="G1211" s="21">
        <f>IF($L1211&lt;&gt;"",IF(INDEX(SCOp,$L1211)="مرجوعی فروش","",IF(INDEX(SCAmount,$L1211)&lt;=0,"",INDEX(SCAmount,$L1211))),IF($M1211&lt;&gt;"",IF(INDEX(LdgWitB,$M1211)=0,"",INDEX(LdgWitB,$M1211)),""))</f>
        <v/>
      </c>
      <c r="H1211" s="21">
        <f>IF($L1211&lt;&gt;"",IF(INDEX(SCOp,$L1211)="مرجوعی فروش",IF(INDEX(SCAmount,$L1211)=0,"",-INDEX(SCAmount,$L1211)),""),IF($M1211&lt;&gt;"",IF(INDEX(LdgDepB,$M1211)=0,"",INDEX(LdgDepB,$M1211)),""))</f>
        <v/>
      </c>
      <c r="I1211" s="22">
        <f>IF($B1211="","",IF($I1210="",$C$10,$I1210)+IF($G1211="",0,$G1211)-IF($H1211="",0,$H1211))</f>
        <v/>
      </c>
      <c r="L1211">
        <f>IFERROR(MATCH($C$5&amp;"|"&amp;RIGHT("000000"&amp;1195,6),LdgRankKeyA,0),"")</f>
        <v/>
      </c>
      <c r="M1211">
        <f>IFERROR(MATCH($C$5&amp;"|"&amp;RIGHT("000000"&amp;1195,6),LdgRankKeyB,0),"")</f>
        <v/>
      </c>
    </row>
    <row r="1212">
      <c r="A1212" s="23" t="n">
        <v>1196</v>
      </c>
      <c r="B1212" s="24">
        <f>IF(AND($L1212="",$M1212=""),"",IF($L1212&lt;&gt;"",INDEX(SCNormDate,$L1212),INDEX(LdgDateB,$M1212)))</f>
        <v/>
      </c>
      <c r="C1212" s="24">
        <f>IF($L1212&lt;&gt;"",INDEX(SCOp,$L1212),IF($M1212&lt;&gt;"","پرداخت بانکی",""))</f>
        <v/>
      </c>
      <c r="D1212" s="24">
        <f>IF($L1212&lt;&gt;"",IF(INDEX(SCDoc,$L1212)="","—",INDEX(SCDoc,$L1212)),IF($M1212&lt;&gt;"",INDEX(LdgBankB,$M1212),""))</f>
        <v/>
      </c>
      <c r="E1212" s="25">
        <f>IF($L1212&lt;&gt;"",IF(INDEX(SCCitrus,$L1212)&amp;INDEX(SCNotes,$L1212)="","",IF(INDEX(SCCitrus,$L1212)="","",INDEX(SCCitrus,$L1212))&amp;IF(INDEX(SCNotes,$L1212)="",""," — "&amp;INDEX(SCNotes,$L1212))),IF($M1212&lt;&gt;"",IF(INDEX(LdgNoteB,$M1212)="","—",INDEX(LdgNoteB,$M1212)),""))</f>
        <v/>
      </c>
      <c r="F1212" s="26">
        <f>IF($L1212&lt;&gt;"",IF(INDEX(SCNet,$L1212)=0,"",INDEX(SCNet,$L1212)),"")</f>
        <v/>
      </c>
      <c r="G1212" s="27">
        <f>IF($L1212&lt;&gt;"",IF(INDEX(SCOp,$L1212)="مرجوعی فروش","",IF(INDEX(SCAmount,$L1212)&lt;=0,"",INDEX(SCAmount,$L1212))),IF($M1212&lt;&gt;"",IF(INDEX(LdgWitB,$M1212)=0,"",INDEX(LdgWitB,$M1212)),""))</f>
        <v/>
      </c>
      <c r="H1212" s="27">
        <f>IF($L1212&lt;&gt;"",IF(INDEX(SCOp,$L1212)="مرجوعی فروش",IF(INDEX(SCAmount,$L1212)=0,"",-INDEX(SCAmount,$L1212)),""),IF($M1212&lt;&gt;"",IF(INDEX(LdgDepB,$M1212)=0,"",INDEX(LdgDepB,$M1212)),""))</f>
        <v/>
      </c>
      <c r="I1212" s="28">
        <f>IF($B1212="","",IF($I1211="",$C$10,$I1211)+IF($G1212="",0,$G1212)-IF($H1212="",0,$H1212))</f>
        <v/>
      </c>
      <c r="L1212">
        <f>IFERROR(MATCH($C$5&amp;"|"&amp;RIGHT("000000"&amp;1196,6),LdgRankKeyA,0),"")</f>
        <v/>
      </c>
      <c r="M1212">
        <f>IFERROR(MATCH($C$5&amp;"|"&amp;RIGHT("000000"&amp;1196,6),LdgRankKeyB,0),"")</f>
        <v/>
      </c>
    </row>
    <row r="1213">
      <c r="A1213" s="17" t="n">
        <v>1197</v>
      </c>
      <c r="B1213" s="18">
        <f>IF(AND($L1213="",$M1213=""),"",IF($L1213&lt;&gt;"",INDEX(SCNormDate,$L1213),INDEX(LdgDateB,$M1213)))</f>
        <v/>
      </c>
      <c r="C1213" s="18">
        <f>IF($L1213&lt;&gt;"",INDEX(SCOp,$L1213),IF($M1213&lt;&gt;"","پرداخت بانکی",""))</f>
        <v/>
      </c>
      <c r="D1213" s="18">
        <f>IF($L1213&lt;&gt;"",IF(INDEX(SCDoc,$L1213)="","—",INDEX(SCDoc,$L1213)),IF($M1213&lt;&gt;"",INDEX(LdgBankB,$M1213),""))</f>
        <v/>
      </c>
      <c r="E1213" s="19">
        <f>IF($L1213&lt;&gt;"",IF(INDEX(SCCitrus,$L1213)&amp;INDEX(SCNotes,$L1213)="","",IF(INDEX(SCCitrus,$L1213)="","",INDEX(SCCitrus,$L1213))&amp;IF(INDEX(SCNotes,$L1213)="",""," — "&amp;INDEX(SCNotes,$L1213))),IF($M1213&lt;&gt;"",IF(INDEX(LdgNoteB,$M1213)="","—",INDEX(LdgNoteB,$M1213)),""))</f>
        <v/>
      </c>
      <c r="F1213" s="20">
        <f>IF($L1213&lt;&gt;"",IF(INDEX(SCNet,$L1213)=0,"",INDEX(SCNet,$L1213)),"")</f>
        <v/>
      </c>
      <c r="G1213" s="21">
        <f>IF($L1213&lt;&gt;"",IF(INDEX(SCOp,$L1213)="مرجوعی فروش","",IF(INDEX(SCAmount,$L1213)&lt;=0,"",INDEX(SCAmount,$L1213))),IF($M1213&lt;&gt;"",IF(INDEX(LdgWitB,$M1213)=0,"",INDEX(LdgWitB,$M1213)),""))</f>
        <v/>
      </c>
      <c r="H1213" s="21">
        <f>IF($L1213&lt;&gt;"",IF(INDEX(SCOp,$L1213)="مرجوعی فروش",IF(INDEX(SCAmount,$L1213)=0,"",-INDEX(SCAmount,$L1213)),""),IF($M1213&lt;&gt;"",IF(INDEX(LdgDepB,$M1213)=0,"",INDEX(LdgDepB,$M1213)),""))</f>
        <v/>
      </c>
      <c r="I1213" s="22">
        <f>IF($B1213="","",IF($I1212="",$C$10,$I1212)+IF($G1213="",0,$G1213)-IF($H1213="",0,$H1213))</f>
        <v/>
      </c>
      <c r="L1213">
        <f>IFERROR(MATCH($C$5&amp;"|"&amp;RIGHT("000000"&amp;1197,6),LdgRankKeyA,0),"")</f>
        <v/>
      </c>
      <c r="M1213">
        <f>IFERROR(MATCH($C$5&amp;"|"&amp;RIGHT("000000"&amp;1197,6),LdgRankKeyB,0),"")</f>
        <v/>
      </c>
    </row>
    <row r="1214">
      <c r="A1214" s="23" t="n">
        <v>1198</v>
      </c>
      <c r="B1214" s="24">
        <f>IF(AND($L1214="",$M1214=""),"",IF($L1214&lt;&gt;"",INDEX(SCNormDate,$L1214),INDEX(LdgDateB,$M1214)))</f>
        <v/>
      </c>
      <c r="C1214" s="24">
        <f>IF($L1214&lt;&gt;"",INDEX(SCOp,$L1214),IF($M1214&lt;&gt;"","پرداخت بانکی",""))</f>
        <v/>
      </c>
      <c r="D1214" s="24">
        <f>IF($L1214&lt;&gt;"",IF(INDEX(SCDoc,$L1214)="","—",INDEX(SCDoc,$L1214)),IF($M1214&lt;&gt;"",INDEX(LdgBankB,$M1214),""))</f>
        <v/>
      </c>
      <c r="E1214" s="25">
        <f>IF($L1214&lt;&gt;"",IF(INDEX(SCCitrus,$L1214)&amp;INDEX(SCNotes,$L1214)="","",IF(INDEX(SCCitrus,$L1214)="","",INDEX(SCCitrus,$L1214))&amp;IF(INDEX(SCNotes,$L1214)="",""," — "&amp;INDEX(SCNotes,$L1214))),IF($M1214&lt;&gt;"",IF(INDEX(LdgNoteB,$M1214)="","—",INDEX(LdgNoteB,$M1214)),""))</f>
        <v/>
      </c>
      <c r="F1214" s="26">
        <f>IF($L1214&lt;&gt;"",IF(INDEX(SCNet,$L1214)=0,"",INDEX(SCNet,$L1214)),"")</f>
        <v/>
      </c>
      <c r="G1214" s="27">
        <f>IF($L1214&lt;&gt;"",IF(INDEX(SCOp,$L1214)="مرجوعی فروش","",IF(INDEX(SCAmount,$L1214)&lt;=0,"",INDEX(SCAmount,$L1214))),IF($M1214&lt;&gt;"",IF(INDEX(LdgWitB,$M1214)=0,"",INDEX(LdgWitB,$M1214)),""))</f>
        <v/>
      </c>
      <c r="H1214" s="27">
        <f>IF($L1214&lt;&gt;"",IF(INDEX(SCOp,$L1214)="مرجوعی فروش",IF(INDEX(SCAmount,$L1214)=0,"",-INDEX(SCAmount,$L1214)),""),IF($M1214&lt;&gt;"",IF(INDEX(LdgDepB,$M1214)=0,"",INDEX(LdgDepB,$M1214)),""))</f>
        <v/>
      </c>
      <c r="I1214" s="28">
        <f>IF($B1214="","",IF($I1213="",$C$10,$I1213)+IF($G1214="",0,$G1214)-IF($H1214="",0,$H1214))</f>
        <v/>
      </c>
      <c r="L1214">
        <f>IFERROR(MATCH($C$5&amp;"|"&amp;RIGHT("000000"&amp;1198,6),LdgRankKeyA,0),"")</f>
        <v/>
      </c>
      <c r="M1214">
        <f>IFERROR(MATCH($C$5&amp;"|"&amp;RIGHT("000000"&amp;1198,6),LdgRankKeyB,0),"")</f>
        <v/>
      </c>
    </row>
    <row r="1215">
      <c r="A1215" s="17" t="n">
        <v>1199</v>
      </c>
      <c r="B1215" s="18">
        <f>IF(AND($L1215="",$M1215=""),"",IF($L1215&lt;&gt;"",INDEX(SCNormDate,$L1215),INDEX(LdgDateB,$M1215)))</f>
        <v/>
      </c>
      <c r="C1215" s="18">
        <f>IF($L1215&lt;&gt;"",INDEX(SCOp,$L1215),IF($M1215&lt;&gt;"","پرداخت بانکی",""))</f>
        <v/>
      </c>
      <c r="D1215" s="18">
        <f>IF($L1215&lt;&gt;"",IF(INDEX(SCDoc,$L1215)="","—",INDEX(SCDoc,$L1215)),IF($M1215&lt;&gt;"",INDEX(LdgBankB,$M1215),""))</f>
        <v/>
      </c>
      <c r="E1215" s="19">
        <f>IF($L1215&lt;&gt;"",IF(INDEX(SCCitrus,$L1215)&amp;INDEX(SCNotes,$L1215)="","",IF(INDEX(SCCitrus,$L1215)="","",INDEX(SCCitrus,$L1215))&amp;IF(INDEX(SCNotes,$L1215)="",""," — "&amp;INDEX(SCNotes,$L1215))),IF($M1215&lt;&gt;"",IF(INDEX(LdgNoteB,$M1215)="","—",INDEX(LdgNoteB,$M1215)),""))</f>
        <v/>
      </c>
      <c r="F1215" s="20">
        <f>IF($L1215&lt;&gt;"",IF(INDEX(SCNet,$L1215)=0,"",INDEX(SCNet,$L1215)),"")</f>
        <v/>
      </c>
      <c r="G1215" s="21">
        <f>IF($L1215&lt;&gt;"",IF(INDEX(SCOp,$L1215)="مرجوعی فروش","",IF(INDEX(SCAmount,$L1215)&lt;=0,"",INDEX(SCAmount,$L1215))),IF($M1215&lt;&gt;"",IF(INDEX(LdgWitB,$M1215)=0,"",INDEX(LdgWitB,$M1215)),""))</f>
        <v/>
      </c>
      <c r="H1215" s="21">
        <f>IF($L1215&lt;&gt;"",IF(INDEX(SCOp,$L1215)="مرجوعی فروش",IF(INDEX(SCAmount,$L1215)=0,"",-INDEX(SCAmount,$L1215)),""),IF($M1215&lt;&gt;"",IF(INDEX(LdgDepB,$M1215)=0,"",INDEX(LdgDepB,$M1215)),""))</f>
        <v/>
      </c>
      <c r="I1215" s="22">
        <f>IF($B1215="","",IF($I1214="",$C$10,$I1214)+IF($G1215="",0,$G1215)-IF($H1215="",0,$H1215))</f>
        <v/>
      </c>
      <c r="L1215">
        <f>IFERROR(MATCH($C$5&amp;"|"&amp;RIGHT("000000"&amp;1199,6),LdgRankKeyA,0),"")</f>
        <v/>
      </c>
      <c r="M1215">
        <f>IFERROR(MATCH($C$5&amp;"|"&amp;RIGHT("000000"&amp;1199,6),LdgRankKeyB,0),"")</f>
        <v/>
      </c>
    </row>
    <row r="1216">
      <c r="A1216" s="23" t="n">
        <v>1200</v>
      </c>
      <c r="B1216" s="24">
        <f>IF(AND($L1216="",$M1216=""),"",IF($L1216&lt;&gt;"",INDEX(SCNormDate,$L1216),INDEX(LdgDateB,$M1216)))</f>
        <v/>
      </c>
      <c r="C1216" s="24">
        <f>IF($L1216&lt;&gt;"",INDEX(SCOp,$L1216),IF($M1216&lt;&gt;"","پرداخت بانکی",""))</f>
        <v/>
      </c>
      <c r="D1216" s="24">
        <f>IF($L1216&lt;&gt;"",IF(INDEX(SCDoc,$L1216)="","—",INDEX(SCDoc,$L1216)),IF($M1216&lt;&gt;"",INDEX(LdgBankB,$M1216),""))</f>
        <v/>
      </c>
      <c r="E1216" s="25">
        <f>IF($L1216&lt;&gt;"",IF(INDEX(SCCitrus,$L1216)&amp;INDEX(SCNotes,$L1216)="","",IF(INDEX(SCCitrus,$L1216)="","",INDEX(SCCitrus,$L1216))&amp;IF(INDEX(SCNotes,$L1216)="",""," — "&amp;INDEX(SCNotes,$L1216))),IF($M1216&lt;&gt;"",IF(INDEX(LdgNoteB,$M1216)="","—",INDEX(LdgNoteB,$M1216)),""))</f>
        <v/>
      </c>
      <c r="F1216" s="26">
        <f>IF($L1216&lt;&gt;"",IF(INDEX(SCNet,$L1216)=0,"",INDEX(SCNet,$L1216)),"")</f>
        <v/>
      </c>
      <c r="G1216" s="27">
        <f>IF($L1216&lt;&gt;"",IF(INDEX(SCOp,$L1216)="مرجوعی فروش","",IF(INDEX(SCAmount,$L1216)&lt;=0,"",INDEX(SCAmount,$L1216))),IF($M1216&lt;&gt;"",IF(INDEX(LdgWitB,$M1216)=0,"",INDEX(LdgWitB,$M1216)),""))</f>
        <v/>
      </c>
      <c r="H1216" s="27">
        <f>IF($L1216&lt;&gt;"",IF(INDEX(SCOp,$L1216)="مرجوعی فروش",IF(INDEX(SCAmount,$L1216)=0,"",-INDEX(SCAmount,$L1216)),""),IF($M1216&lt;&gt;"",IF(INDEX(LdgDepB,$M1216)=0,"",INDEX(LdgDepB,$M1216)),""))</f>
        <v/>
      </c>
      <c r="I1216" s="28">
        <f>IF($B1216="","",IF($I1215="",$C$10,$I1215)+IF($G1216="",0,$G1216)-IF($H1216="",0,$H1216))</f>
        <v/>
      </c>
      <c r="L1216">
        <f>IFERROR(MATCH($C$5&amp;"|"&amp;RIGHT("000000"&amp;1200,6),LdgRankKeyA,0),"")</f>
        <v/>
      </c>
      <c r="M1216">
        <f>IFERROR(MATCH($C$5&amp;"|"&amp;RIGHT("000000"&amp;1200,6),LdgRankKeyB,0),"")</f>
        <v/>
      </c>
    </row>
    <row r="1217">
      <c r="A1217" s="17" t="n">
        <v>1201</v>
      </c>
      <c r="B1217" s="18">
        <f>IF(AND($L1217="",$M1217=""),"",IF($L1217&lt;&gt;"",INDEX(SCNormDate,$L1217),INDEX(LdgDateB,$M1217)))</f>
        <v/>
      </c>
      <c r="C1217" s="18">
        <f>IF($L1217&lt;&gt;"",INDEX(SCOp,$L1217),IF($M1217&lt;&gt;"","پرداخت بانکی",""))</f>
        <v/>
      </c>
      <c r="D1217" s="18">
        <f>IF($L1217&lt;&gt;"",IF(INDEX(SCDoc,$L1217)="","—",INDEX(SCDoc,$L1217)),IF($M1217&lt;&gt;"",INDEX(LdgBankB,$M1217),""))</f>
        <v/>
      </c>
      <c r="E1217" s="19">
        <f>IF($L1217&lt;&gt;"",IF(INDEX(SCCitrus,$L1217)&amp;INDEX(SCNotes,$L1217)="","",IF(INDEX(SCCitrus,$L1217)="","",INDEX(SCCitrus,$L1217))&amp;IF(INDEX(SCNotes,$L1217)="",""," — "&amp;INDEX(SCNotes,$L1217))),IF($M1217&lt;&gt;"",IF(INDEX(LdgNoteB,$M1217)="","—",INDEX(LdgNoteB,$M1217)),""))</f>
        <v/>
      </c>
      <c r="F1217" s="20">
        <f>IF($L1217&lt;&gt;"",IF(INDEX(SCNet,$L1217)=0,"",INDEX(SCNet,$L1217)),"")</f>
        <v/>
      </c>
      <c r="G1217" s="21">
        <f>IF($L1217&lt;&gt;"",IF(INDEX(SCOp,$L1217)="مرجوعی فروش","",IF(INDEX(SCAmount,$L1217)&lt;=0,"",INDEX(SCAmount,$L1217))),IF($M1217&lt;&gt;"",IF(INDEX(LdgWitB,$M1217)=0,"",INDEX(LdgWitB,$M1217)),""))</f>
        <v/>
      </c>
      <c r="H1217" s="21">
        <f>IF($L1217&lt;&gt;"",IF(INDEX(SCOp,$L1217)="مرجوعی فروش",IF(INDEX(SCAmount,$L1217)=0,"",-INDEX(SCAmount,$L1217)),""),IF($M1217&lt;&gt;"",IF(INDEX(LdgDepB,$M1217)=0,"",INDEX(LdgDepB,$M1217)),""))</f>
        <v/>
      </c>
      <c r="I1217" s="22">
        <f>IF($B1217="","",IF($I1216="",$C$10,$I1216)+IF($G1217="",0,$G1217)-IF($H1217="",0,$H1217))</f>
        <v/>
      </c>
      <c r="L1217">
        <f>IFERROR(MATCH($C$5&amp;"|"&amp;RIGHT("000000"&amp;1201,6),LdgRankKeyA,0),"")</f>
        <v/>
      </c>
      <c r="M1217">
        <f>IFERROR(MATCH($C$5&amp;"|"&amp;RIGHT("000000"&amp;1201,6),LdgRankKeyB,0),"")</f>
        <v/>
      </c>
    </row>
    <row r="1218">
      <c r="A1218" s="23" t="n">
        <v>1202</v>
      </c>
      <c r="B1218" s="24">
        <f>IF(AND($L1218="",$M1218=""),"",IF($L1218&lt;&gt;"",INDEX(SCNormDate,$L1218),INDEX(LdgDateB,$M1218)))</f>
        <v/>
      </c>
      <c r="C1218" s="24">
        <f>IF($L1218&lt;&gt;"",INDEX(SCOp,$L1218),IF($M1218&lt;&gt;"","پرداخت بانکی",""))</f>
        <v/>
      </c>
      <c r="D1218" s="24">
        <f>IF($L1218&lt;&gt;"",IF(INDEX(SCDoc,$L1218)="","—",INDEX(SCDoc,$L1218)),IF($M1218&lt;&gt;"",INDEX(LdgBankB,$M1218),""))</f>
        <v/>
      </c>
      <c r="E1218" s="25">
        <f>IF($L1218&lt;&gt;"",IF(INDEX(SCCitrus,$L1218)&amp;INDEX(SCNotes,$L1218)="","",IF(INDEX(SCCitrus,$L1218)="","",INDEX(SCCitrus,$L1218))&amp;IF(INDEX(SCNotes,$L1218)="",""," — "&amp;INDEX(SCNotes,$L1218))),IF($M1218&lt;&gt;"",IF(INDEX(LdgNoteB,$M1218)="","—",INDEX(LdgNoteB,$M1218)),""))</f>
        <v/>
      </c>
      <c r="F1218" s="26">
        <f>IF($L1218&lt;&gt;"",IF(INDEX(SCNet,$L1218)=0,"",INDEX(SCNet,$L1218)),"")</f>
        <v/>
      </c>
      <c r="G1218" s="27">
        <f>IF($L1218&lt;&gt;"",IF(INDEX(SCOp,$L1218)="مرجوعی فروش","",IF(INDEX(SCAmount,$L1218)&lt;=0,"",INDEX(SCAmount,$L1218))),IF($M1218&lt;&gt;"",IF(INDEX(LdgWitB,$M1218)=0,"",INDEX(LdgWitB,$M1218)),""))</f>
        <v/>
      </c>
      <c r="H1218" s="27">
        <f>IF($L1218&lt;&gt;"",IF(INDEX(SCOp,$L1218)="مرجوعی فروش",IF(INDEX(SCAmount,$L1218)=0,"",-INDEX(SCAmount,$L1218)),""),IF($M1218&lt;&gt;"",IF(INDEX(LdgDepB,$M1218)=0,"",INDEX(LdgDepB,$M1218)),""))</f>
        <v/>
      </c>
      <c r="I1218" s="28">
        <f>IF($B1218="","",IF($I1217="",$C$10,$I1217)+IF($G1218="",0,$G1218)-IF($H1218="",0,$H1218))</f>
        <v/>
      </c>
      <c r="L1218">
        <f>IFERROR(MATCH($C$5&amp;"|"&amp;RIGHT("000000"&amp;1202,6),LdgRankKeyA,0),"")</f>
        <v/>
      </c>
      <c r="M1218">
        <f>IFERROR(MATCH($C$5&amp;"|"&amp;RIGHT("000000"&amp;1202,6),LdgRankKeyB,0),"")</f>
        <v/>
      </c>
    </row>
    <row r="1219">
      <c r="A1219" s="17" t="n">
        <v>1203</v>
      </c>
      <c r="B1219" s="18">
        <f>IF(AND($L1219="",$M1219=""),"",IF($L1219&lt;&gt;"",INDEX(SCNormDate,$L1219),INDEX(LdgDateB,$M1219)))</f>
        <v/>
      </c>
      <c r="C1219" s="18">
        <f>IF($L1219&lt;&gt;"",INDEX(SCOp,$L1219),IF($M1219&lt;&gt;"","پرداخت بانکی",""))</f>
        <v/>
      </c>
      <c r="D1219" s="18">
        <f>IF($L1219&lt;&gt;"",IF(INDEX(SCDoc,$L1219)="","—",INDEX(SCDoc,$L1219)),IF($M1219&lt;&gt;"",INDEX(LdgBankB,$M1219),""))</f>
        <v/>
      </c>
      <c r="E1219" s="19">
        <f>IF($L1219&lt;&gt;"",IF(INDEX(SCCitrus,$L1219)&amp;INDEX(SCNotes,$L1219)="","",IF(INDEX(SCCitrus,$L1219)="","",INDEX(SCCitrus,$L1219))&amp;IF(INDEX(SCNotes,$L1219)="",""," — "&amp;INDEX(SCNotes,$L1219))),IF($M1219&lt;&gt;"",IF(INDEX(LdgNoteB,$M1219)="","—",INDEX(LdgNoteB,$M1219)),""))</f>
        <v/>
      </c>
      <c r="F1219" s="20">
        <f>IF($L1219&lt;&gt;"",IF(INDEX(SCNet,$L1219)=0,"",INDEX(SCNet,$L1219)),"")</f>
        <v/>
      </c>
      <c r="G1219" s="21">
        <f>IF($L1219&lt;&gt;"",IF(INDEX(SCOp,$L1219)="مرجوعی فروش","",IF(INDEX(SCAmount,$L1219)&lt;=0,"",INDEX(SCAmount,$L1219))),IF($M1219&lt;&gt;"",IF(INDEX(LdgWitB,$M1219)=0,"",INDEX(LdgWitB,$M1219)),""))</f>
        <v/>
      </c>
      <c r="H1219" s="21">
        <f>IF($L1219&lt;&gt;"",IF(INDEX(SCOp,$L1219)="مرجوعی فروش",IF(INDEX(SCAmount,$L1219)=0,"",-INDEX(SCAmount,$L1219)),""),IF($M1219&lt;&gt;"",IF(INDEX(LdgDepB,$M1219)=0,"",INDEX(LdgDepB,$M1219)),""))</f>
        <v/>
      </c>
      <c r="I1219" s="22">
        <f>IF($B1219="","",IF($I1218="",$C$10,$I1218)+IF($G1219="",0,$G1219)-IF($H1219="",0,$H1219))</f>
        <v/>
      </c>
      <c r="L1219">
        <f>IFERROR(MATCH($C$5&amp;"|"&amp;RIGHT("000000"&amp;1203,6),LdgRankKeyA,0),"")</f>
        <v/>
      </c>
      <c r="M1219">
        <f>IFERROR(MATCH($C$5&amp;"|"&amp;RIGHT("000000"&amp;1203,6),LdgRankKeyB,0),"")</f>
        <v/>
      </c>
    </row>
    <row r="1220">
      <c r="A1220" s="23" t="n">
        <v>1204</v>
      </c>
      <c r="B1220" s="24">
        <f>IF(AND($L1220="",$M1220=""),"",IF($L1220&lt;&gt;"",INDEX(SCNormDate,$L1220),INDEX(LdgDateB,$M1220)))</f>
        <v/>
      </c>
      <c r="C1220" s="24">
        <f>IF($L1220&lt;&gt;"",INDEX(SCOp,$L1220),IF($M1220&lt;&gt;"","پرداخت بانکی",""))</f>
        <v/>
      </c>
      <c r="D1220" s="24">
        <f>IF($L1220&lt;&gt;"",IF(INDEX(SCDoc,$L1220)="","—",INDEX(SCDoc,$L1220)),IF($M1220&lt;&gt;"",INDEX(LdgBankB,$M1220),""))</f>
        <v/>
      </c>
      <c r="E1220" s="25">
        <f>IF($L1220&lt;&gt;"",IF(INDEX(SCCitrus,$L1220)&amp;INDEX(SCNotes,$L1220)="","",IF(INDEX(SCCitrus,$L1220)="","",INDEX(SCCitrus,$L1220))&amp;IF(INDEX(SCNotes,$L1220)="",""," — "&amp;INDEX(SCNotes,$L1220))),IF($M1220&lt;&gt;"",IF(INDEX(LdgNoteB,$M1220)="","—",INDEX(LdgNoteB,$M1220)),""))</f>
        <v/>
      </c>
      <c r="F1220" s="26">
        <f>IF($L1220&lt;&gt;"",IF(INDEX(SCNet,$L1220)=0,"",INDEX(SCNet,$L1220)),"")</f>
        <v/>
      </c>
      <c r="G1220" s="27">
        <f>IF($L1220&lt;&gt;"",IF(INDEX(SCOp,$L1220)="مرجوعی فروش","",IF(INDEX(SCAmount,$L1220)&lt;=0,"",INDEX(SCAmount,$L1220))),IF($M1220&lt;&gt;"",IF(INDEX(LdgWitB,$M1220)=0,"",INDEX(LdgWitB,$M1220)),""))</f>
        <v/>
      </c>
      <c r="H1220" s="27">
        <f>IF($L1220&lt;&gt;"",IF(INDEX(SCOp,$L1220)="مرجوعی فروش",IF(INDEX(SCAmount,$L1220)=0,"",-INDEX(SCAmount,$L1220)),""),IF($M1220&lt;&gt;"",IF(INDEX(LdgDepB,$M1220)=0,"",INDEX(LdgDepB,$M1220)),""))</f>
        <v/>
      </c>
      <c r="I1220" s="28">
        <f>IF($B1220="","",IF($I1219="",$C$10,$I1219)+IF($G1220="",0,$G1220)-IF($H1220="",0,$H1220))</f>
        <v/>
      </c>
      <c r="L1220">
        <f>IFERROR(MATCH($C$5&amp;"|"&amp;RIGHT("000000"&amp;1204,6),LdgRankKeyA,0),"")</f>
        <v/>
      </c>
      <c r="M1220">
        <f>IFERROR(MATCH($C$5&amp;"|"&amp;RIGHT("000000"&amp;1204,6),LdgRankKeyB,0),"")</f>
        <v/>
      </c>
    </row>
    <row r="1221">
      <c r="A1221" s="17" t="n">
        <v>1205</v>
      </c>
      <c r="B1221" s="18">
        <f>IF(AND($L1221="",$M1221=""),"",IF($L1221&lt;&gt;"",INDEX(SCNormDate,$L1221),INDEX(LdgDateB,$M1221)))</f>
        <v/>
      </c>
      <c r="C1221" s="18">
        <f>IF($L1221&lt;&gt;"",INDEX(SCOp,$L1221),IF($M1221&lt;&gt;"","پرداخت بانکی",""))</f>
        <v/>
      </c>
      <c r="D1221" s="18">
        <f>IF($L1221&lt;&gt;"",IF(INDEX(SCDoc,$L1221)="","—",INDEX(SCDoc,$L1221)),IF($M1221&lt;&gt;"",INDEX(LdgBankB,$M1221),""))</f>
        <v/>
      </c>
      <c r="E1221" s="19">
        <f>IF($L1221&lt;&gt;"",IF(INDEX(SCCitrus,$L1221)&amp;INDEX(SCNotes,$L1221)="","",IF(INDEX(SCCitrus,$L1221)="","",INDEX(SCCitrus,$L1221))&amp;IF(INDEX(SCNotes,$L1221)="",""," — "&amp;INDEX(SCNotes,$L1221))),IF($M1221&lt;&gt;"",IF(INDEX(LdgNoteB,$M1221)="","—",INDEX(LdgNoteB,$M1221)),""))</f>
        <v/>
      </c>
      <c r="F1221" s="20">
        <f>IF($L1221&lt;&gt;"",IF(INDEX(SCNet,$L1221)=0,"",INDEX(SCNet,$L1221)),"")</f>
        <v/>
      </c>
      <c r="G1221" s="21">
        <f>IF($L1221&lt;&gt;"",IF(INDEX(SCOp,$L1221)="مرجوعی فروش","",IF(INDEX(SCAmount,$L1221)&lt;=0,"",INDEX(SCAmount,$L1221))),IF($M1221&lt;&gt;"",IF(INDEX(LdgWitB,$M1221)=0,"",INDEX(LdgWitB,$M1221)),""))</f>
        <v/>
      </c>
      <c r="H1221" s="21">
        <f>IF($L1221&lt;&gt;"",IF(INDEX(SCOp,$L1221)="مرجوعی فروش",IF(INDEX(SCAmount,$L1221)=0,"",-INDEX(SCAmount,$L1221)),""),IF($M1221&lt;&gt;"",IF(INDEX(LdgDepB,$M1221)=0,"",INDEX(LdgDepB,$M1221)),""))</f>
        <v/>
      </c>
      <c r="I1221" s="22">
        <f>IF($B1221="","",IF($I1220="",$C$10,$I1220)+IF($G1221="",0,$G1221)-IF($H1221="",0,$H1221))</f>
        <v/>
      </c>
      <c r="L1221">
        <f>IFERROR(MATCH($C$5&amp;"|"&amp;RIGHT("000000"&amp;1205,6),LdgRankKeyA,0),"")</f>
        <v/>
      </c>
      <c r="M1221">
        <f>IFERROR(MATCH($C$5&amp;"|"&amp;RIGHT("000000"&amp;1205,6),LdgRankKeyB,0),"")</f>
        <v/>
      </c>
    </row>
    <row r="1222">
      <c r="A1222" s="23" t="n">
        <v>1206</v>
      </c>
      <c r="B1222" s="24">
        <f>IF(AND($L1222="",$M1222=""),"",IF($L1222&lt;&gt;"",INDEX(SCNormDate,$L1222),INDEX(LdgDateB,$M1222)))</f>
        <v/>
      </c>
      <c r="C1222" s="24">
        <f>IF($L1222&lt;&gt;"",INDEX(SCOp,$L1222),IF($M1222&lt;&gt;"","پرداخت بانکی",""))</f>
        <v/>
      </c>
      <c r="D1222" s="24">
        <f>IF($L1222&lt;&gt;"",IF(INDEX(SCDoc,$L1222)="","—",INDEX(SCDoc,$L1222)),IF($M1222&lt;&gt;"",INDEX(LdgBankB,$M1222),""))</f>
        <v/>
      </c>
      <c r="E1222" s="25">
        <f>IF($L1222&lt;&gt;"",IF(INDEX(SCCitrus,$L1222)&amp;INDEX(SCNotes,$L1222)="","",IF(INDEX(SCCitrus,$L1222)="","",INDEX(SCCitrus,$L1222))&amp;IF(INDEX(SCNotes,$L1222)="",""," — "&amp;INDEX(SCNotes,$L1222))),IF($M1222&lt;&gt;"",IF(INDEX(LdgNoteB,$M1222)="","—",INDEX(LdgNoteB,$M1222)),""))</f>
        <v/>
      </c>
      <c r="F1222" s="26">
        <f>IF($L1222&lt;&gt;"",IF(INDEX(SCNet,$L1222)=0,"",INDEX(SCNet,$L1222)),"")</f>
        <v/>
      </c>
      <c r="G1222" s="27">
        <f>IF($L1222&lt;&gt;"",IF(INDEX(SCOp,$L1222)="مرجوعی فروش","",IF(INDEX(SCAmount,$L1222)&lt;=0,"",INDEX(SCAmount,$L1222))),IF($M1222&lt;&gt;"",IF(INDEX(LdgWitB,$M1222)=0,"",INDEX(LdgWitB,$M1222)),""))</f>
        <v/>
      </c>
      <c r="H1222" s="27">
        <f>IF($L1222&lt;&gt;"",IF(INDEX(SCOp,$L1222)="مرجوعی فروش",IF(INDEX(SCAmount,$L1222)=0,"",-INDEX(SCAmount,$L1222)),""),IF($M1222&lt;&gt;"",IF(INDEX(LdgDepB,$M1222)=0,"",INDEX(LdgDepB,$M1222)),""))</f>
        <v/>
      </c>
      <c r="I1222" s="28">
        <f>IF($B1222="","",IF($I1221="",$C$10,$I1221)+IF($G1222="",0,$G1222)-IF($H1222="",0,$H1222))</f>
        <v/>
      </c>
      <c r="L1222">
        <f>IFERROR(MATCH($C$5&amp;"|"&amp;RIGHT("000000"&amp;1206,6),LdgRankKeyA,0),"")</f>
        <v/>
      </c>
      <c r="M1222">
        <f>IFERROR(MATCH($C$5&amp;"|"&amp;RIGHT("000000"&amp;1206,6),LdgRankKeyB,0),"")</f>
        <v/>
      </c>
    </row>
    <row r="1223">
      <c r="A1223" s="17" t="n">
        <v>1207</v>
      </c>
      <c r="B1223" s="18">
        <f>IF(AND($L1223="",$M1223=""),"",IF($L1223&lt;&gt;"",INDEX(SCNormDate,$L1223),INDEX(LdgDateB,$M1223)))</f>
        <v/>
      </c>
      <c r="C1223" s="18">
        <f>IF($L1223&lt;&gt;"",INDEX(SCOp,$L1223),IF($M1223&lt;&gt;"","پرداخت بانکی",""))</f>
        <v/>
      </c>
      <c r="D1223" s="18">
        <f>IF($L1223&lt;&gt;"",IF(INDEX(SCDoc,$L1223)="","—",INDEX(SCDoc,$L1223)),IF($M1223&lt;&gt;"",INDEX(LdgBankB,$M1223),""))</f>
        <v/>
      </c>
      <c r="E1223" s="19">
        <f>IF($L1223&lt;&gt;"",IF(INDEX(SCCitrus,$L1223)&amp;INDEX(SCNotes,$L1223)="","",IF(INDEX(SCCitrus,$L1223)="","",INDEX(SCCitrus,$L1223))&amp;IF(INDEX(SCNotes,$L1223)="",""," — "&amp;INDEX(SCNotes,$L1223))),IF($M1223&lt;&gt;"",IF(INDEX(LdgNoteB,$M1223)="","—",INDEX(LdgNoteB,$M1223)),""))</f>
        <v/>
      </c>
      <c r="F1223" s="20">
        <f>IF($L1223&lt;&gt;"",IF(INDEX(SCNet,$L1223)=0,"",INDEX(SCNet,$L1223)),"")</f>
        <v/>
      </c>
      <c r="G1223" s="21">
        <f>IF($L1223&lt;&gt;"",IF(INDEX(SCOp,$L1223)="مرجوعی فروش","",IF(INDEX(SCAmount,$L1223)&lt;=0,"",INDEX(SCAmount,$L1223))),IF($M1223&lt;&gt;"",IF(INDEX(LdgWitB,$M1223)=0,"",INDEX(LdgWitB,$M1223)),""))</f>
        <v/>
      </c>
      <c r="H1223" s="21">
        <f>IF($L1223&lt;&gt;"",IF(INDEX(SCOp,$L1223)="مرجوعی فروش",IF(INDEX(SCAmount,$L1223)=0,"",-INDEX(SCAmount,$L1223)),""),IF($M1223&lt;&gt;"",IF(INDEX(LdgDepB,$M1223)=0,"",INDEX(LdgDepB,$M1223)),""))</f>
        <v/>
      </c>
      <c r="I1223" s="22">
        <f>IF($B1223="","",IF($I1222="",$C$10,$I1222)+IF($G1223="",0,$G1223)-IF($H1223="",0,$H1223))</f>
        <v/>
      </c>
      <c r="L1223">
        <f>IFERROR(MATCH($C$5&amp;"|"&amp;RIGHT("000000"&amp;1207,6),LdgRankKeyA,0),"")</f>
        <v/>
      </c>
      <c r="M1223">
        <f>IFERROR(MATCH($C$5&amp;"|"&amp;RIGHT("000000"&amp;1207,6),LdgRankKeyB,0),"")</f>
        <v/>
      </c>
    </row>
    <row r="1224">
      <c r="A1224" s="23" t="n">
        <v>1208</v>
      </c>
      <c r="B1224" s="24">
        <f>IF(AND($L1224="",$M1224=""),"",IF($L1224&lt;&gt;"",INDEX(SCNormDate,$L1224),INDEX(LdgDateB,$M1224)))</f>
        <v/>
      </c>
      <c r="C1224" s="24">
        <f>IF($L1224&lt;&gt;"",INDEX(SCOp,$L1224),IF($M1224&lt;&gt;"","پرداخت بانکی",""))</f>
        <v/>
      </c>
      <c r="D1224" s="24">
        <f>IF($L1224&lt;&gt;"",IF(INDEX(SCDoc,$L1224)="","—",INDEX(SCDoc,$L1224)),IF($M1224&lt;&gt;"",INDEX(LdgBankB,$M1224),""))</f>
        <v/>
      </c>
      <c r="E1224" s="25">
        <f>IF($L1224&lt;&gt;"",IF(INDEX(SCCitrus,$L1224)&amp;INDEX(SCNotes,$L1224)="","",IF(INDEX(SCCitrus,$L1224)="","",INDEX(SCCitrus,$L1224))&amp;IF(INDEX(SCNotes,$L1224)="",""," — "&amp;INDEX(SCNotes,$L1224))),IF($M1224&lt;&gt;"",IF(INDEX(LdgNoteB,$M1224)="","—",INDEX(LdgNoteB,$M1224)),""))</f>
        <v/>
      </c>
      <c r="F1224" s="26">
        <f>IF($L1224&lt;&gt;"",IF(INDEX(SCNet,$L1224)=0,"",INDEX(SCNet,$L1224)),"")</f>
        <v/>
      </c>
      <c r="G1224" s="27">
        <f>IF($L1224&lt;&gt;"",IF(INDEX(SCOp,$L1224)="مرجوعی فروش","",IF(INDEX(SCAmount,$L1224)&lt;=0,"",INDEX(SCAmount,$L1224))),IF($M1224&lt;&gt;"",IF(INDEX(LdgWitB,$M1224)=0,"",INDEX(LdgWitB,$M1224)),""))</f>
        <v/>
      </c>
      <c r="H1224" s="27">
        <f>IF($L1224&lt;&gt;"",IF(INDEX(SCOp,$L1224)="مرجوعی فروش",IF(INDEX(SCAmount,$L1224)=0,"",-INDEX(SCAmount,$L1224)),""),IF($M1224&lt;&gt;"",IF(INDEX(LdgDepB,$M1224)=0,"",INDEX(LdgDepB,$M1224)),""))</f>
        <v/>
      </c>
      <c r="I1224" s="28">
        <f>IF($B1224="","",IF($I1223="",$C$10,$I1223)+IF($G1224="",0,$G1224)-IF($H1224="",0,$H1224))</f>
        <v/>
      </c>
      <c r="L1224">
        <f>IFERROR(MATCH($C$5&amp;"|"&amp;RIGHT("000000"&amp;1208,6),LdgRankKeyA,0),"")</f>
        <v/>
      </c>
      <c r="M1224">
        <f>IFERROR(MATCH($C$5&amp;"|"&amp;RIGHT("000000"&amp;1208,6),LdgRankKeyB,0),"")</f>
        <v/>
      </c>
    </row>
    <row r="1225">
      <c r="A1225" s="17" t="n">
        <v>1209</v>
      </c>
      <c r="B1225" s="18">
        <f>IF(AND($L1225="",$M1225=""),"",IF($L1225&lt;&gt;"",INDEX(SCNormDate,$L1225),INDEX(LdgDateB,$M1225)))</f>
        <v/>
      </c>
      <c r="C1225" s="18">
        <f>IF($L1225&lt;&gt;"",INDEX(SCOp,$L1225),IF($M1225&lt;&gt;"","پرداخت بانکی",""))</f>
        <v/>
      </c>
      <c r="D1225" s="18">
        <f>IF($L1225&lt;&gt;"",IF(INDEX(SCDoc,$L1225)="","—",INDEX(SCDoc,$L1225)),IF($M1225&lt;&gt;"",INDEX(LdgBankB,$M1225),""))</f>
        <v/>
      </c>
      <c r="E1225" s="19">
        <f>IF($L1225&lt;&gt;"",IF(INDEX(SCCitrus,$L1225)&amp;INDEX(SCNotes,$L1225)="","",IF(INDEX(SCCitrus,$L1225)="","",INDEX(SCCitrus,$L1225))&amp;IF(INDEX(SCNotes,$L1225)="",""," — "&amp;INDEX(SCNotes,$L1225))),IF($M1225&lt;&gt;"",IF(INDEX(LdgNoteB,$M1225)="","—",INDEX(LdgNoteB,$M1225)),""))</f>
        <v/>
      </c>
      <c r="F1225" s="20">
        <f>IF($L1225&lt;&gt;"",IF(INDEX(SCNet,$L1225)=0,"",INDEX(SCNet,$L1225)),"")</f>
        <v/>
      </c>
      <c r="G1225" s="21">
        <f>IF($L1225&lt;&gt;"",IF(INDEX(SCOp,$L1225)="مرجوعی فروش","",IF(INDEX(SCAmount,$L1225)&lt;=0,"",INDEX(SCAmount,$L1225))),IF($M1225&lt;&gt;"",IF(INDEX(LdgWitB,$M1225)=0,"",INDEX(LdgWitB,$M1225)),""))</f>
        <v/>
      </c>
      <c r="H1225" s="21">
        <f>IF($L1225&lt;&gt;"",IF(INDEX(SCOp,$L1225)="مرجوعی فروش",IF(INDEX(SCAmount,$L1225)=0,"",-INDEX(SCAmount,$L1225)),""),IF($M1225&lt;&gt;"",IF(INDEX(LdgDepB,$M1225)=0,"",INDEX(LdgDepB,$M1225)),""))</f>
        <v/>
      </c>
      <c r="I1225" s="22">
        <f>IF($B1225="","",IF($I1224="",$C$10,$I1224)+IF($G1225="",0,$G1225)-IF($H1225="",0,$H1225))</f>
        <v/>
      </c>
      <c r="L1225">
        <f>IFERROR(MATCH($C$5&amp;"|"&amp;RIGHT("000000"&amp;1209,6),LdgRankKeyA,0),"")</f>
        <v/>
      </c>
      <c r="M1225">
        <f>IFERROR(MATCH($C$5&amp;"|"&amp;RIGHT("000000"&amp;1209,6),LdgRankKeyB,0),"")</f>
        <v/>
      </c>
    </row>
    <row r="1226">
      <c r="A1226" s="23" t="n">
        <v>1210</v>
      </c>
      <c r="B1226" s="24">
        <f>IF(AND($L1226="",$M1226=""),"",IF($L1226&lt;&gt;"",INDEX(SCNormDate,$L1226),INDEX(LdgDateB,$M1226)))</f>
        <v/>
      </c>
      <c r="C1226" s="24">
        <f>IF($L1226&lt;&gt;"",INDEX(SCOp,$L1226),IF($M1226&lt;&gt;"","پرداخت بانکی",""))</f>
        <v/>
      </c>
      <c r="D1226" s="24">
        <f>IF($L1226&lt;&gt;"",IF(INDEX(SCDoc,$L1226)="","—",INDEX(SCDoc,$L1226)),IF($M1226&lt;&gt;"",INDEX(LdgBankB,$M1226),""))</f>
        <v/>
      </c>
      <c r="E1226" s="25">
        <f>IF($L1226&lt;&gt;"",IF(INDEX(SCCitrus,$L1226)&amp;INDEX(SCNotes,$L1226)="","",IF(INDEX(SCCitrus,$L1226)="","",INDEX(SCCitrus,$L1226))&amp;IF(INDEX(SCNotes,$L1226)="",""," — "&amp;INDEX(SCNotes,$L1226))),IF($M1226&lt;&gt;"",IF(INDEX(LdgNoteB,$M1226)="","—",INDEX(LdgNoteB,$M1226)),""))</f>
        <v/>
      </c>
      <c r="F1226" s="26">
        <f>IF($L1226&lt;&gt;"",IF(INDEX(SCNet,$L1226)=0,"",INDEX(SCNet,$L1226)),"")</f>
        <v/>
      </c>
      <c r="G1226" s="27">
        <f>IF($L1226&lt;&gt;"",IF(INDEX(SCOp,$L1226)="مرجوعی فروش","",IF(INDEX(SCAmount,$L1226)&lt;=0,"",INDEX(SCAmount,$L1226))),IF($M1226&lt;&gt;"",IF(INDEX(LdgWitB,$M1226)=0,"",INDEX(LdgWitB,$M1226)),""))</f>
        <v/>
      </c>
      <c r="H1226" s="27">
        <f>IF($L1226&lt;&gt;"",IF(INDEX(SCOp,$L1226)="مرجوعی فروش",IF(INDEX(SCAmount,$L1226)=0,"",-INDEX(SCAmount,$L1226)),""),IF($M1226&lt;&gt;"",IF(INDEX(LdgDepB,$M1226)=0,"",INDEX(LdgDepB,$M1226)),""))</f>
        <v/>
      </c>
      <c r="I1226" s="28">
        <f>IF($B1226="","",IF($I1225="",$C$10,$I1225)+IF($G1226="",0,$G1226)-IF($H1226="",0,$H1226))</f>
        <v/>
      </c>
      <c r="L1226">
        <f>IFERROR(MATCH($C$5&amp;"|"&amp;RIGHT("000000"&amp;1210,6),LdgRankKeyA,0),"")</f>
        <v/>
      </c>
      <c r="M1226">
        <f>IFERROR(MATCH($C$5&amp;"|"&amp;RIGHT("000000"&amp;1210,6),LdgRankKeyB,0),"")</f>
        <v/>
      </c>
    </row>
    <row r="1227">
      <c r="A1227" s="17" t="n">
        <v>1211</v>
      </c>
      <c r="B1227" s="18">
        <f>IF(AND($L1227="",$M1227=""),"",IF($L1227&lt;&gt;"",INDEX(SCNormDate,$L1227),INDEX(LdgDateB,$M1227)))</f>
        <v/>
      </c>
      <c r="C1227" s="18">
        <f>IF($L1227&lt;&gt;"",INDEX(SCOp,$L1227),IF($M1227&lt;&gt;"","پرداخت بانکی",""))</f>
        <v/>
      </c>
      <c r="D1227" s="18">
        <f>IF($L1227&lt;&gt;"",IF(INDEX(SCDoc,$L1227)="","—",INDEX(SCDoc,$L1227)),IF($M1227&lt;&gt;"",INDEX(LdgBankB,$M1227),""))</f>
        <v/>
      </c>
      <c r="E1227" s="19">
        <f>IF($L1227&lt;&gt;"",IF(INDEX(SCCitrus,$L1227)&amp;INDEX(SCNotes,$L1227)="","",IF(INDEX(SCCitrus,$L1227)="","",INDEX(SCCitrus,$L1227))&amp;IF(INDEX(SCNotes,$L1227)="",""," — "&amp;INDEX(SCNotes,$L1227))),IF($M1227&lt;&gt;"",IF(INDEX(LdgNoteB,$M1227)="","—",INDEX(LdgNoteB,$M1227)),""))</f>
        <v/>
      </c>
      <c r="F1227" s="20">
        <f>IF($L1227&lt;&gt;"",IF(INDEX(SCNet,$L1227)=0,"",INDEX(SCNet,$L1227)),"")</f>
        <v/>
      </c>
      <c r="G1227" s="21">
        <f>IF($L1227&lt;&gt;"",IF(INDEX(SCOp,$L1227)="مرجوعی فروش","",IF(INDEX(SCAmount,$L1227)&lt;=0,"",INDEX(SCAmount,$L1227))),IF($M1227&lt;&gt;"",IF(INDEX(LdgWitB,$M1227)=0,"",INDEX(LdgWitB,$M1227)),""))</f>
        <v/>
      </c>
      <c r="H1227" s="21">
        <f>IF($L1227&lt;&gt;"",IF(INDEX(SCOp,$L1227)="مرجوعی فروش",IF(INDEX(SCAmount,$L1227)=0,"",-INDEX(SCAmount,$L1227)),""),IF($M1227&lt;&gt;"",IF(INDEX(LdgDepB,$M1227)=0,"",INDEX(LdgDepB,$M1227)),""))</f>
        <v/>
      </c>
      <c r="I1227" s="22">
        <f>IF($B1227="","",IF($I1226="",$C$10,$I1226)+IF($G1227="",0,$G1227)-IF($H1227="",0,$H1227))</f>
        <v/>
      </c>
      <c r="L1227">
        <f>IFERROR(MATCH($C$5&amp;"|"&amp;RIGHT("000000"&amp;1211,6),LdgRankKeyA,0),"")</f>
        <v/>
      </c>
      <c r="M1227">
        <f>IFERROR(MATCH($C$5&amp;"|"&amp;RIGHT("000000"&amp;1211,6),LdgRankKeyB,0),"")</f>
        <v/>
      </c>
    </row>
    <row r="1228">
      <c r="A1228" s="23" t="n">
        <v>1212</v>
      </c>
      <c r="B1228" s="24">
        <f>IF(AND($L1228="",$M1228=""),"",IF($L1228&lt;&gt;"",INDEX(SCNormDate,$L1228),INDEX(LdgDateB,$M1228)))</f>
        <v/>
      </c>
      <c r="C1228" s="24">
        <f>IF($L1228&lt;&gt;"",INDEX(SCOp,$L1228),IF($M1228&lt;&gt;"","پرداخت بانکی",""))</f>
        <v/>
      </c>
      <c r="D1228" s="24">
        <f>IF($L1228&lt;&gt;"",IF(INDEX(SCDoc,$L1228)="","—",INDEX(SCDoc,$L1228)),IF($M1228&lt;&gt;"",INDEX(LdgBankB,$M1228),""))</f>
        <v/>
      </c>
      <c r="E1228" s="25">
        <f>IF($L1228&lt;&gt;"",IF(INDEX(SCCitrus,$L1228)&amp;INDEX(SCNotes,$L1228)="","",IF(INDEX(SCCitrus,$L1228)="","",INDEX(SCCitrus,$L1228))&amp;IF(INDEX(SCNotes,$L1228)="",""," — "&amp;INDEX(SCNotes,$L1228))),IF($M1228&lt;&gt;"",IF(INDEX(LdgNoteB,$M1228)="","—",INDEX(LdgNoteB,$M1228)),""))</f>
        <v/>
      </c>
      <c r="F1228" s="26">
        <f>IF($L1228&lt;&gt;"",IF(INDEX(SCNet,$L1228)=0,"",INDEX(SCNet,$L1228)),"")</f>
        <v/>
      </c>
      <c r="G1228" s="27">
        <f>IF($L1228&lt;&gt;"",IF(INDEX(SCOp,$L1228)="مرجوعی فروش","",IF(INDEX(SCAmount,$L1228)&lt;=0,"",INDEX(SCAmount,$L1228))),IF($M1228&lt;&gt;"",IF(INDEX(LdgWitB,$M1228)=0,"",INDEX(LdgWitB,$M1228)),""))</f>
        <v/>
      </c>
      <c r="H1228" s="27">
        <f>IF($L1228&lt;&gt;"",IF(INDEX(SCOp,$L1228)="مرجوعی فروش",IF(INDEX(SCAmount,$L1228)=0,"",-INDEX(SCAmount,$L1228)),""),IF($M1228&lt;&gt;"",IF(INDEX(LdgDepB,$M1228)=0,"",INDEX(LdgDepB,$M1228)),""))</f>
        <v/>
      </c>
      <c r="I1228" s="28">
        <f>IF($B1228="","",IF($I1227="",$C$10,$I1227)+IF($G1228="",0,$G1228)-IF($H1228="",0,$H1228))</f>
        <v/>
      </c>
      <c r="L1228">
        <f>IFERROR(MATCH($C$5&amp;"|"&amp;RIGHT("000000"&amp;1212,6),LdgRankKeyA,0),"")</f>
        <v/>
      </c>
      <c r="M1228">
        <f>IFERROR(MATCH($C$5&amp;"|"&amp;RIGHT("000000"&amp;1212,6),LdgRankKeyB,0),"")</f>
        <v/>
      </c>
    </row>
    <row r="1229">
      <c r="A1229" s="17" t="n">
        <v>1213</v>
      </c>
      <c r="B1229" s="18">
        <f>IF(AND($L1229="",$M1229=""),"",IF($L1229&lt;&gt;"",INDEX(SCNormDate,$L1229),INDEX(LdgDateB,$M1229)))</f>
        <v/>
      </c>
      <c r="C1229" s="18">
        <f>IF($L1229&lt;&gt;"",INDEX(SCOp,$L1229),IF($M1229&lt;&gt;"","پرداخت بانکی",""))</f>
        <v/>
      </c>
      <c r="D1229" s="18">
        <f>IF($L1229&lt;&gt;"",IF(INDEX(SCDoc,$L1229)="","—",INDEX(SCDoc,$L1229)),IF($M1229&lt;&gt;"",INDEX(LdgBankB,$M1229),""))</f>
        <v/>
      </c>
      <c r="E1229" s="19">
        <f>IF($L1229&lt;&gt;"",IF(INDEX(SCCitrus,$L1229)&amp;INDEX(SCNotes,$L1229)="","",IF(INDEX(SCCitrus,$L1229)="","",INDEX(SCCitrus,$L1229))&amp;IF(INDEX(SCNotes,$L1229)="",""," — "&amp;INDEX(SCNotes,$L1229))),IF($M1229&lt;&gt;"",IF(INDEX(LdgNoteB,$M1229)="","—",INDEX(LdgNoteB,$M1229)),""))</f>
        <v/>
      </c>
      <c r="F1229" s="20">
        <f>IF($L1229&lt;&gt;"",IF(INDEX(SCNet,$L1229)=0,"",INDEX(SCNet,$L1229)),"")</f>
        <v/>
      </c>
      <c r="G1229" s="21">
        <f>IF($L1229&lt;&gt;"",IF(INDEX(SCOp,$L1229)="مرجوعی فروش","",IF(INDEX(SCAmount,$L1229)&lt;=0,"",INDEX(SCAmount,$L1229))),IF($M1229&lt;&gt;"",IF(INDEX(LdgWitB,$M1229)=0,"",INDEX(LdgWitB,$M1229)),""))</f>
        <v/>
      </c>
      <c r="H1229" s="21">
        <f>IF($L1229&lt;&gt;"",IF(INDEX(SCOp,$L1229)="مرجوعی فروش",IF(INDEX(SCAmount,$L1229)=0,"",-INDEX(SCAmount,$L1229)),""),IF($M1229&lt;&gt;"",IF(INDEX(LdgDepB,$M1229)=0,"",INDEX(LdgDepB,$M1229)),""))</f>
        <v/>
      </c>
      <c r="I1229" s="22">
        <f>IF($B1229="","",IF($I1228="",$C$10,$I1228)+IF($G1229="",0,$G1229)-IF($H1229="",0,$H1229))</f>
        <v/>
      </c>
      <c r="L1229">
        <f>IFERROR(MATCH($C$5&amp;"|"&amp;RIGHT("000000"&amp;1213,6),LdgRankKeyA,0),"")</f>
        <v/>
      </c>
      <c r="M1229">
        <f>IFERROR(MATCH($C$5&amp;"|"&amp;RIGHT("000000"&amp;1213,6),LdgRankKeyB,0),"")</f>
        <v/>
      </c>
    </row>
    <row r="1230">
      <c r="A1230" s="23" t="n">
        <v>1214</v>
      </c>
      <c r="B1230" s="24">
        <f>IF(AND($L1230="",$M1230=""),"",IF($L1230&lt;&gt;"",INDEX(SCNormDate,$L1230),INDEX(LdgDateB,$M1230)))</f>
        <v/>
      </c>
      <c r="C1230" s="24">
        <f>IF($L1230&lt;&gt;"",INDEX(SCOp,$L1230),IF($M1230&lt;&gt;"","پرداخت بانکی",""))</f>
        <v/>
      </c>
      <c r="D1230" s="24">
        <f>IF($L1230&lt;&gt;"",IF(INDEX(SCDoc,$L1230)="","—",INDEX(SCDoc,$L1230)),IF($M1230&lt;&gt;"",INDEX(LdgBankB,$M1230),""))</f>
        <v/>
      </c>
      <c r="E1230" s="25">
        <f>IF($L1230&lt;&gt;"",IF(INDEX(SCCitrus,$L1230)&amp;INDEX(SCNotes,$L1230)="","",IF(INDEX(SCCitrus,$L1230)="","",INDEX(SCCitrus,$L1230))&amp;IF(INDEX(SCNotes,$L1230)="",""," — "&amp;INDEX(SCNotes,$L1230))),IF($M1230&lt;&gt;"",IF(INDEX(LdgNoteB,$M1230)="","—",INDEX(LdgNoteB,$M1230)),""))</f>
        <v/>
      </c>
      <c r="F1230" s="26">
        <f>IF($L1230&lt;&gt;"",IF(INDEX(SCNet,$L1230)=0,"",INDEX(SCNet,$L1230)),"")</f>
        <v/>
      </c>
      <c r="G1230" s="27">
        <f>IF($L1230&lt;&gt;"",IF(INDEX(SCOp,$L1230)="مرجوعی فروش","",IF(INDEX(SCAmount,$L1230)&lt;=0,"",INDEX(SCAmount,$L1230))),IF($M1230&lt;&gt;"",IF(INDEX(LdgWitB,$M1230)=0,"",INDEX(LdgWitB,$M1230)),""))</f>
        <v/>
      </c>
      <c r="H1230" s="27">
        <f>IF($L1230&lt;&gt;"",IF(INDEX(SCOp,$L1230)="مرجوعی فروش",IF(INDEX(SCAmount,$L1230)=0,"",-INDEX(SCAmount,$L1230)),""),IF($M1230&lt;&gt;"",IF(INDEX(LdgDepB,$M1230)=0,"",INDEX(LdgDepB,$M1230)),""))</f>
        <v/>
      </c>
      <c r="I1230" s="28">
        <f>IF($B1230="","",IF($I1229="",$C$10,$I1229)+IF($G1230="",0,$G1230)-IF($H1230="",0,$H1230))</f>
        <v/>
      </c>
      <c r="L1230">
        <f>IFERROR(MATCH($C$5&amp;"|"&amp;RIGHT("000000"&amp;1214,6),LdgRankKeyA,0),"")</f>
        <v/>
      </c>
      <c r="M1230">
        <f>IFERROR(MATCH($C$5&amp;"|"&amp;RIGHT("000000"&amp;1214,6),LdgRankKeyB,0),"")</f>
        <v/>
      </c>
    </row>
    <row r="1231">
      <c r="A1231" s="17" t="n">
        <v>1215</v>
      </c>
      <c r="B1231" s="18">
        <f>IF(AND($L1231="",$M1231=""),"",IF($L1231&lt;&gt;"",INDEX(SCNormDate,$L1231),INDEX(LdgDateB,$M1231)))</f>
        <v/>
      </c>
      <c r="C1231" s="18">
        <f>IF($L1231&lt;&gt;"",INDEX(SCOp,$L1231),IF($M1231&lt;&gt;"","پرداخت بانکی",""))</f>
        <v/>
      </c>
      <c r="D1231" s="18">
        <f>IF($L1231&lt;&gt;"",IF(INDEX(SCDoc,$L1231)="","—",INDEX(SCDoc,$L1231)),IF($M1231&lt;&gt;"",INDEX(LdgBankB,$M1231),""))</f>
        <v/>
      </c>
      <c r="E1231" s="19">
        <f>IF($L1231&lt;&gt;"",IF(INDEX(SCCitrus,$L1231)&amp;INDEX(SCNotes,$L1231)="","",IF(INDEX(SCCitrus,$L1231)="","",INDEX(SCCitrus,$L1231))&amp;IF(INDEX(SCNotes,$L1231)="",""," — "&amp;INDEX(SCNotes,$L1231))),IF($M1231&lt;&gt;"",IF(INDEX(LdgNoteB,$M1231)="","—",INDEX(LdgNoteB,$M1231)),""))</f>
        <v/>
      </c>
      <c r="F1231" s="20">
        <f>IF($L1231&lt;&gt;"",IF(INDEX(SCNet,$L1231)=0,"",INDEX(SCNet,$L1231)),"")</f>
        <v/>
      </c>
      <c r="G1231" s="21">
        <f>IF($L1231&lt;&gt;"",IF(INDEX(SCOp,$L1231)="مرجوعی فروش","",IF(INDEX(SCAmount,$L1231)&lt;=0,"",INDEX(SCAmount,$L1231))),IF($M1231&lt;&gt;"",IF(INDEX(LdgWitB,$M1231)=0,"",INDEX(LdgWitB,$M1231)),""))</f>
        <v/>
      </c>
      <c r="H1231" s="21">
        <f>IF($L1231&lt;&gt;"",IF(INDEX(SCOp,$L1231)="مرجوعی فروش",IF(INDEX(SCAmount,$L1231)=0,"",-INDEX(SCAmount,$L1231)),""),IF($M1231&lt;&gt;"",IF(INDEX(LdgDepB,$M1231)=0,"",INDEX(LdgDepB,$M1231)),""))</f>
        <v/>
      </c>
      <c r="I1231" s="22">
        <f>IF($B1231="","",IF($I1230="",$C$10,$I1230)+IF($G1231="",0,$G1231)-IF($H1231="",0,$H1231))</f>
        <v/>
      </c>
      <c r="L1231">
        <f>IFERROR(MATCH($C$5&amp;"|"&amp;RIGHT("000000"&amp;1215,6),LdgRankKeyA,0),"")</f>
        <v/>
      </c>
      <c r="M1231">
        <f>IFERROR(MATCH($C$5&amp;"|"&amp;RIGHT("000000"&amp;1215,6),LdgRankKeyB,0),"")</f>
        <v/>
      </c>
    </row>
    <row r="1232">
      <c r="A1232" s="23" t="n">
        <v>1216</v>
      </c>
      <c r="B1232" s="24">
        <f>IF(AND($L1232="",$M1232=""),"",IF($L1232&lt;&gt;"",INDEX(SCNormDate,$L1232),INDEX(LdgDateB,$M1232)))</f>
        <v/>
      </c>
      <c r="C1232" s="24">
        <f>IF($L1232&lt;&gt;"",INDEX(SCOp,$L1232),IF($M1232&lt;&gt;"","پرداخت بانکی",""))</f>
        <v/>
      </c>
      <c r="D1232" s="24">
        <f>IF($L1232&lt;&gt;"",IF(INDEX(SCDoc,$L1232)="","—",INDEX(SCDoc,$L1232)),IF($M1232&lt;&gt;"",INDEX(LdgBankB,$M1232),""))</f>
        <v/>
      </c>
      <c r="E1232" s="25">
        <f>IF($L1232&lt;&gt;"",IF(INDEX(SCCitrus,$L1232)&amp;INDEX(SCNotes,$L1232)="","",IF(INDEX(SCCitrus,$L1232)="","",INDEX(SCCitrus,$L1232))&amp;IF(INDEX(SCNotes,$L1232)="",""," — "&amp;INDEX(SCNotes,$L1232))),IF($M1232&lt;&gt;"",IF(INDEX(LdgNoteB,$M1232)="","—",INDEX(LdgNoteB,$M1232)),""))</f>
        <v/>
      </c>
      <c r="F1232" s="26">
        <f>IF($L1232&lt;&gt;"",IF(INDEX(SCNet,$L1232)=0,"",INDEX(SCNet,$L1232)),"")</f>
        <v/>
      </c>
      <c r="G1232" s="27">
        <f>IF($L1232&lt;&gt;"",IF(INDEX(SCOp,$L1232)="مرجوعی فروش","",IF(INDEX(SCAmount,$L1232)&lt;=0,"",INDEX(SCAmount,$L1232))),IF($M1232&lt;&gt;"",IF(INDEX(LdgWitB,$M1232)=0,"",INDEX(LdgWitB,$M1232)),""))</f>
        <v/>
      </c>
      <c r="H1232" s="27">
        <f>IF($L1232&lt;&gt;"",IF(INDEX(SCOp,$L1232)="مرجوعی فروش",IF(INDEX(SCAmount,$L1232)=0,"",-INDEX(SCAmount,$L1232)),""),IF($M1232&lt;&gt;"",IF(INDEX(LdgDepB,$M1232)=0,"",INDEX(LdgDepB,$M1232)),""))</f>
        <v/>
      </c>
      <c r="I1232" s="28">
        <f>IF($B1232="","",IF($I1231="",$C$10,$I1231)+IF($G1232="",0,$G1232)-IF($H1232="",0,$H1232))</f>
        <v/>
      </c>
      <c r="L1232">
        <f>IFERROR(MATCH($C$5&amp;"|"&amp;RIGHT("000000"&amp;1216,6),LdgRankKeyA,0),"")</f>
        <v/>
      </c>
      <c r="M1232">
        <f>IFERROR(MATCH($C$5&amp;"|"&amp;RIGHT("000000"&amp;1216,6),LdgRankKeyB,0),"")</f>
        <v/>
      </c>
    </row>
    <row r="1233">
      <c r="A1233" s="17" t="n">
        <v>1217</v>
      </c>
      <c r="B1233" s="18">
        <f>IF(AND($L1233="",$M1233=""),"",IF($L1233&lt;&gt;"",INDEX(SCNormDate,$L1233),INDEX(LdgDateB,$M1233)))</f>
        <v/>
      </c>
      <c r="C1233" s="18">
        <f>IF($L1233&lt;&gt;"",INDEX(SCOp,$L1233),IF($M1233&lt;&gt;"","پرداخت بانکی",""))</f>
        <v/>
      </c>
      <c r="D1233" s="18">
        <f>IF($L1233&lt;&gt;"",IF(INDEX(SCDoc,$L1233)="","—",INDEX(SCDoc,$L1233)),IF($M1233&lt;&gt;"",INDEX(LdgBankB,$M1233),""))</f>
        <v/>
      </c>
      <c r="E1233" s="19">
        <f>IF($L1233&lt;&gt;"",IF(INDEX(SCCitrus,$L1233)&amp;INDEX(SCNotes,$L1233)="","",IF(INDEX(SCCitrus,$L1233)="","",INDEX(SCCitrus,$L1233))&amp;IF(INDEX(SCNotes,$L1233)="",""," — "&amp;INDEX(SCNotes,$L1233))),IF($M1233&lt;&gt;"",IF(INDEX(LdgNoteB,$M1233)="","—",INDEX(LdgNoteB,$M1233)),""))</f>
        <v/>
      </c>
      <c r="F1233" s="20">
        <f>IF($L1233&lt;&gt;"",IF(INDEX(SCNet,$L1233)=0,"",INDEX(SCNet,$L1233)),"")</f>
        <v/>
      </c>
      <c r="G1233" s="21">
        <f>IF($L1233&lt;&gt;"",IF(INDEX(SCOp,$L1233)="مرجوعی فروش","",IF(INDEX(SCAmount,$L1233)&lt;=0,"",INDEX(SCAmount,$L1233))),IF($M1233&lt;&gt;"",IF(INDEX(LdgWitB,$M1233)=0,"",INDEX(LdgWitB,$M1233)),""))</f>
        <v/>
      </c>
      <c r="H1233" s="21">
        <f>IF($L1233&lt;&gt;"",IF(INDEX(SCOp,$L1233)="مرجوعی فروش",IF(INDEX(SCAmount,$L1233)=0,"",-INDEX(SCAmount,$L1233)),""),IF($M1233&lt;&gt;"",IF(INDEX(LdgDepB,$M1233)=0,"",INDEX(LdgDepB,$M1233)),""))</f>
        <v/>
      </c>
      <c r="I1233" s="22">
        <f>IF($B1233="","",IF($I1232="",$C$10,$I1232)+IF($G1233="",0,$G1233)-IF($H1233="",0,$H1233))</f>
        <v/>
      </c>
      <c r="L1233">
        <f>IFERROR(MATCH($C$5&amp;"|"&amp;RIGHT("000000"&amp;1217,6),LdgRankKeyA,0),"")</f>
        <v/>
      </c>
      <c r="M1233">
        <f>IFERROR(MATCH($C$5&amp;"|"&amp;RIGHT("000000"&amp;1217,6),LdgRankKeyB,0),"")</f>
        <v/>
      </c>
    </row>
    <row r="1234">
      <c r="A1234" s="23" t="n">
        <v>1218</v>
      </c>
      <c r="B1234" s="24">
        <f>IF(AND($L1234="",$M1234=""),"",IF($L1234&lt;&gt;"",INDEX(SCNormDate,$L1234),INDEX(LdgDateB,$M1234)))</f>
        <v/>
      </c>
      <c r="C1234" s="24">
        <f>IF($L1234&lt;&gt;"",INDEX(SCOp,$L1234),IF($M1234&lt;&gt;"","پرداخت بانکی",""))</f>
        <v/>
      </c>
      <c r="D1234" s="24">
        <f>IF($L1234&lt;&gt;"",IF(INDEX(SCDoc,$L1234)="","—",INDEX(SCDoc,$L1234)),IF($M1234&lt;&gt;"",INDEX(LdgBankB,$M1234),""))</f>
        <v/>
      </c>
      <c r="E1234" s="25">
        <f>IF($L1234&lt;&gt;"",IF(INDEX(SCCitrus,$L1234)&amp;INDEX(SCNotes,$L1234)="","",IF(INDEX(SCCitrus,$L1234)="","",INDEX(SCCitrus,$L1234))&amp;IF(INDEX(SCNotes,$L1234)="",""," — "&amp;INDEX(SCNotes,$L1234))),IF($M1234&lt;&gt;"",IF(INDEX(LdgNoteB,$M1234)="","—",INDEX(LdgNoteB,$M1234)),""))</f>
        <v/>
      </c>
      <c r="F1234" s="26">
        <f>IF($L1234&lt;&gt;"",IF(INDEX(SCNet,$L1234)=0,"",INDEX(SCNet,$L1234)),"")</f>
        <v/>
      </c>
      <c r="G1234" s="27">
        <f>IF($L1234&lt;&gt;"",IF(INDEX(SCOp,$L1234)="مرجوعی فروش","",IF(INDEX(SCAmount,$L1234)&lt;=0,"",INDEX(SCAmount,$L1234))),IF($M1234&lt;&gt;"",IF(INDEX(LdgWitB,$M1234)=0,"",INDEX(LdgWitB,$M1234)),""))</f>
        <v/>
      </c>
      <c r="H1234" s="27">
        <f>IF($L1234&lt;&gt;"",IF(INDEX(SCOp,$L1234)="مرجوعی فروش",IF(INDEX(SCAmount,$L1234)=0,"",-INDEX(SCAmount,$L1234)),""),IF($M1234&lt;&gt;"",IF(INDEX(LdgDepB,$M1234)=0,"",INDEX(LdgDepB,$M1234)),""))</f>
        <v/>
      </c>
      <c r="I1234" s="28">
        <f>IF($B1234="","",IF($I1233="",$C$10,$I1233)+IF($G1234="",0,$G1234)-IF($H1234="",0,$H1234))</f>
        <v/>
      </c>
      <c r="L1234">
        <f>IFERROR(MATCH($C$5&amp;"|"&amp;RIGHT("000000"&amp;1218,6),LdgRankKeyA,0),"")</f>
        <v/>
      </c>
      <c r="M1234">
        <f>IFERROR(MATCH($C$5&amp;"|"&amp;RIGHT("000000"&amp;1218,6),LdgRankKeyB,0),"")</f>
        <v/>
      </c>
    </row>
    <row r="1235">
      <c r="A1235" s="17" t="n">
        <v>1219</v>
      </c>
      <c r="B1235" s="18">
        <f>IF(AND($L1235="",$M1235=""),"",IF($L1235&lt;&gt;"",INDEX(SCNormDate,$L1235),INDEX(LdgDateB,$M1235)))</f>
        <v/>
      </c>
      <c r="C1235" s="18">
        <f>IF($L1235&lt;&gt;"",INDEX(SCOp,$L1235),IF($M1235&lt;&gt;"","پرداخت بانکی",""))</f>
        <v/>
      </c>
      <c r="D1235" s="18">
        <f>IF($L1235&lt;&gt;"",IF(INDEX(SCDoc,$L1235)="","—",INDEX(SCDoc,$L1235)),IF($M1235&lt;&gt;"",INDEX(LdgBankB,$M1235),""))</f>
        <v/>
      </c>
      <c r="E1235" s="19">
        <f>IF($L1235&lt;&gt;"",IF(INDEX(SCCitrus,$L1235)&amp;INDEX(SCNotes,$L1235)="","",IF(INDEX(SCCitrus,$L1235)="","",INDEX(SCCitrus,$L1235))&amp;IF(INDEX(SCNotes,$L1235)="",""," — "&amp;INDEX(SCNotes,$L1235))),IF($M1235&lt;&gt;"",IF(INDEX(LdgNoteB,$M1235)="","—",INDEX(LdgNoteB,$M1235)),""))</f>
        <v/>
      </c>
      <c r="F1235" s="20">
        <f>IF($L1235&lt;&gt;"",IF(INDEX(SCNet,$L1235)=0,"",INDEX(SCNet,$L1235)),"")</f>
        <v/>
      </c>
      <c r="G1235" s="21">
        <f>IF($L1235&lt;&gt;"",IF(INDEX(SCOp,$L1235)="مرجوعی فروش","",IF(INDEX(SCAmount,$L1235)&lt;=0,"",INDEX(SCAmount,$L1235))),IF($M1235&lt;&gt;"",IF(INDEX(LdgWitB,$M1235)=0,"",INDEX(LdgWitB,$M1235)),""))</f>
        <v/>
      </c>
      <c r="H1235" s="21">
        <f>IF($L1235&lt;&gt;"",IF(INDEX(SCOp,$L1235)="مرجوعی فروش",IF(INDEX(SCAmount,$L1235)=0,"",-INDEX(SCAmount,$L1235)),""),IF($M1235&lt;&gt;"",IF(INDEX(LdgDepB,$M1235)=0,"",INDEX(LdgDepB,$M1235)),""))</f>
        <v/>
      </c>
      <c r="I1235" s="22">
        <f>IF($B1235="","",IF($I1234="",$C$10,$I1234)+IF($G1235="",0,$G1235)-IF($H1235="",0,$H1235))</f>
        <v/>
      </c>
      <c r="L1235">
        <f>IFERROR(MATCH($C$5&amp;"|"&amp;RIGHT("000000"&amp;1219,6),LdgRankKeyA,0),"")</f>
        <v/>
      </c>
      <c r="M1235">
        <f>IFERROR(MATCH($C$5&amp;"|"&amp;RIGHT("000000"&amp;1219,6),LdgRankKeyB,0),"")</f>
        <v/>
      </c>
    </row>
    <row r="1236">
      <c r="A1236" s="23" t="n">
        <v>1220</v>
      </c>
      <c r="B1236" s="24">
        <f>IF(AND($L1236="",$M1236=""),"",IF($L1236&lt;&gt;"",INDEX(SCNormDate,$L1236),INDEX(LdgDateB,$M1236)))</f>
        <v/>
      </c>
      <c r="C1236" s="24">
        <f>IF($L1236&lt;&gt;"",INDEX(SCOp,$L1236),IF($M1236&lt;&gt;"","پرداخت بانکی",""))</f>
        <v/>
      </c>
      <c r="D1236" s="24">
        <f>IF($L1236&lt;&gt;"",IF(INDEX(SCDoc,$L1236)="","—",INDEX(SCDoc,$L1236)),IF($M1236&lt;&gt;"",INDEX(LdgBankB,$M1236),""))</f>
        <v/>
      </c>
      <c r="E1236" s="25">
        <f>IF($L1236&lt;&gt;"",IF(INDEX(SCCitrus,$L1236)&amp;INDEX(SCNotes,$L1236)="","",IF(INDEX(SCCitrus,$L1236)="","",INDEX(SCCitrus,$L1236))&amp;IF(INDEX(SCNotes,$L1236)="",""," — "&amp;INDEX(SCNotes,$L1236))),IF($M1236&lt;&gt;"",IF(INDEX(LdgNoteB,$M1236)="","—",INDEX(LdgNoteB,$M1236)),""))</f>
        <v/>
      </c>
      <c r="F1236" s="26">
        <f>IF($L1236&lt;&gt;"",IF(INDEX(SCNet,$L1236)=0,"",INDEX(SCNet,$L1236)),"")</f>
        <v/>
      </c>
      <c r="G1236" s="27">
        <f>IF($L1236&lt;&gt;"",IF(INDEX(SCOp,$L1236)="مرجوعی فروش","",IF(INDEX(SCAmount,$L1236)&lt;=0,"",INDEX(SCAmount,$L1236))),IF($M1236&lt;&gt;"",IF(INDEX(LdgWitB,$M1236)=0,"",INDEX(LdgWitB,$M1236)),""))</f>
        <v/>
      </c>
      <c r="H1236" s="27">
        <f>IF($L1236&lt;&gt;"",IF(INDEX(SCOp,$L1236)="مرجوعی فروش",IF(INDEX(SCAmount,$L1236)=0,"",-INDEX(SCAmount,$L1236)),""),IF($M1236&lt;&gt;"",IF(INDEX(LdgDepB,$M1236)=0,"",INDEX(LdgDepB,$M1236)),""))</f>
        <v/>
      </c>
      <c r="I1236" s="28">
        <f>IF($B1236="","",IF($I1235="",$C$10,$I1235)+IF($G1236="",0,$G1236)-IF($H1236="",0,$H1236))</f>
        <v/>
      </c>
      <c r="L1236">
        <f>IFERROR(MATCH($C$5&amp;"|"&amp;RIGHT("000000"&amp;1220,6),LdgRankKeyA,0),"")</f>
        <v/>
      </c>
      <c r="M1236">
        <f>IFERROR(MATCH($C$5&amp;"|"&amp;RIGHT("000000"&amp;1220,6),LdgRankKeyB,0),"")</f>
        <v/>
      </c>
    </row>
    <row r="1237">
      <c r="A1237" s="17" t="n">
        <v>1221</v>
      </c>
      <c r="B1237" s="18">
        <f>IF(AND($L1237="",$M1237=""),"",IF($L1237&lt;&gt;"",INDEX(SCNormDate,$L1237),INDEX(LdgDateB,$M1237)))</f>
        <v/>
      </c>
      <c r="C1237" s="18">
        <f>IF($L1237&lt;&gt;"",INDEX(SCOp,$L1237),IF($M1237&lt;&gt;"","پرداخت بانکی",""))</f>
        <v/>
      </c>
      <c r="D1237" s="18">
        <f>IF($L1237&lt;&gt;"",IF(INDEX(SCDoc,$L1237)="","—",INDEX(SCDoc,$L1237)),IF($M1237&lt;&gt;"",INDEX(LdgBankB,$M1237),""))</f>
        <v/>
      </c>
      <c r="E1237" s="19">
        <f>IF($L1237&lt;&gt;"",IF(INDEX(SCCitrus,$L1237)&amp;INDEX(SCNotes,$L1237)="","",IF(INDEX(SCCitrus,$L1237)="","",INDEX(SCCitrus,$L1237))&amp;IF(INDEX(SCNotes,$L1237)="",""," — "&amp;INDEX(SCNotes,$L1237))),IF($M1237&lt;&gt;"",IF(INDEX(LdgNoteB,$M1237)="","—",INDEX(LdgNoteB,$M1237)),""))</f>
        <v/>
      </c>
      <c r="F1237" s="20">
        <f>IF($L1237&lt;&gt;"",IF(INDEX(SCNet,$L1237)=0,"",INDEX(SCNet,$L1237)),"")</f>
        <v/>
      </c>
      <c r="G1237" s="21">
        <f>IF($L1237&lt;&gt;"",IF(INDEX(SCOp,$L1237)="مرجوعی فروش","",IF(INDEX(SCAmount,$L1237)&lt;=0,"",INDEX(SCAmount,$L1237))),IF($M1237&lt;&gt;"",IF(INDEX(LdgWitB,$M1237)=0,"",INDEX(LdgWitB,$M1237)),""))</f>
        <v/>
      </c>
      <c r="H1237" s="21">
        <f>IF($L1237&lt;&gt;"",IF(INDEX(SCOp,$L1237)="مرجوعی فروش",IF(INDEX(SCAmount,$L1237)=0,"",-INDEX(SCAmount,$L1237)),""),IF($M1237&lt;&gt;"",IF(INDEX(LdgDepB,$M1237)=0,"",INDEX(LdgDepB,$M1237)),""))</f>
        <v/>
      </c>
      <c r="I1237" s="22">
        <f>IF($B1237="","",IF($I1236="",$C$10,$I1236)+IF($G1237="",0,$G1237)-IF($H1237="",0,$H1237))</f>
        <v/>
      </c>
      <c r="L1237">
        <f>IFERROR(MATCH($C$5&amp;"|"&amp;RIGHT("000000"&amp;1221,6),LdgRankKeyA,0),"")</f>
        <v/>
      </c>
      <c r="M1237">
        <f>IFERROR(MATCH($C$5&amp;"|"&amp;RIGHT("000000"&amp;1221,6),LdgRankKeyB,0),"")</f>
        <v/>
      </c>
    </row>
    <row r="1238">
      <c r="A1238" s="23" t="n">
        <v>1222</v>
      </c>
      <c r="B1238" s="24">
        <f>IF(AND($L1238="",$M1238=""),"",IF($L1238&lt;&gt;"",INDEX(SCNormDate,$L1238),INDEX(LdgDateB,$M1238)))</f>
        <v/>
      </c>
      <c r="C1238" s="24">
        <f>IF($L1238&lt;&gt;"",INDEX(SCOp,$L1238),IF($M1238&lt;&gt;"","پرداخت بانکی",""))</f>
        <v/>
      </c>
      <c r="D1238" s="24">
        <f>IF($L1238&lt;&gt;"",IF(INDEX(SCDoc,$L1238)="","—",INDEX(SCDoc,$L1238)),IF($M1238&lt;&gt;"",INDEX(LdgBankB,$M1238),""))</f>
        <v/>
      </c>
      <c r="E1238" s="25">
        <f>IF($L1238&lt;&gt;"",IF(INDEX(SCCitrus,$L1238)&amp;INDEX(SCNotes,$L1238)="","",IF(INDEX(SCCitrus,$L1238)="","",INDEX(SCCitrus,$L1238))&amp;IF(INDEX(SCNotes,$L1238)="",""," — "&amp;INDEX(SCNotes,$L1238))),IF($M1238&lt;&gt;"",IF(INDEX(LdgNoteB,$M1238)="","—",INDEX(LdgNoteB,$M1238)),""))</f>
        <v/>
      </c>
      <c r="F1238" s="26">
        <f>IF($L1238&lt;&gt;"",IF(INDEX(SCNet,$L1238)=0,"",INDEX(SCNet,$L1238)),"")</f>
        <v/>
      </c>
      <c r="G1238" s="27">
        <f>IF($L1238&lt;&gt;"",IF(INDEX(SCOp,$L1238)="مرجوعی فروش","",IF(INDEX(SCAmount,$L1238)&lt;=0,"",INDEX(SCAmount,$L1238))),IF($M1238&lt;&gt;"",IF(INDEX(LdgWitB,$M1238)=0,"",INDEX(LdgWitB,$M1238)),""))</f>
        <v/>
      </c>
      <c r="H1238" s="27">
        <f>IF($L1238&lt;&gt;"",IF(INDEX(SCOp,$L1238)="مرجوعی فروش",IF(INDEX(SCAmount,$L1238)=0,"",-INDEX(SCAmount,$L1238)),""),IF($M1238&lt;&gt;"",IF(INDEX(LdgDepB,$M1238)=0,"",INDEX(LdgDepB,$M1238)),""))</f>
        <v/>
      </c>
      <c r="I1238" s="28">
        <f>IF($B1238="","",IF($I1237="",$C$10,$I1237)+IF($G1238="",0,$G1238)-IF($H1238="",0,$H1238))</f>
        <v/>
      </c>
      <c r="L1238">
        <f>IFERROR(MATCH($C$5&amp;"|"&amp;RIGHT("000000"&amp;1222,6),LdgRankKeyA,0),"")</f>
        <v/>
      </c>
      <c r="M1238">
        <f>IFERROR(MATCH($C$5&amp;"|"&amp;RIGHT("000000"&amp;1222,6),LdgRankKeyB,0),"")</f>
        <v/>
      </c>
    </row>
    <row r="1239">
      <c r="A1239" s="17" t="n">
        <v>1223</v>
      </c>
      <c r="B1239" s="18">
        <f>IF(AND($L1239="",$M1239=""),"",IF($L1239&lt;&gt;"",INDEX(SCNormDate,$L1239),INDEX(LdgDateB,$M1239)))</f>
        <v/>
      </c>
      <c r="C1239" s="18">
        <f>IF($L1239&lt;&gt;"",INDEX(SCOp,$L1239),IF($M1239&lt;&gt;"","پرداخت بانکی",""))</f>
        <v/>
      </c>
      <c r="D1239" s="18">
        <f>IF($L1239&lt;&gt;"",IF(INDEX(SCDoc,$L1239)="","—",INDEX(SCDoc,$L1239)),IF($M1239&lt;&gt;"",INDEX(LdgBankB,$M1239),""))</f>
        <v/>
      </c>
      <c r="E1239" s="19">
        <f>IF($L1239&lt;&gt;"",IF(INDEX(SCCitrus,$L1239)&amp;INDEX(SCNotes,$L1239)="","",IF(INDEX(SCCitrus,$L1239)="","",INDEX(SCCitrus,$L1239))&amp;IF(INDEX(SCNotes,$L1239)="",""," — "&amp;INDEX(SCNotes,$L1239))),IF($M1239&lt;&gt;"",IF(INDEX(LdgNoteB,$M1239)="","—",INDEX(LdgNoteB,$M1239)),""))</f>
        <v/>
      </c>
      <c r="F1239" s="20">
        <f>IF($L1239&lt;&gt;"",IF(INDEX(SCNet,$L1239)=0,"",INDEX(SCNet,$L1239)),"")</f>
        <v/>
      </c>
      <c r="G1239" s="21">
        <f>IF($L1239&lt;&gt;"",IF(INDEX(SCOp,$L1239)="مرجوعی فروش","",IF(INDEX(SCAmount,$L1239)&lt;=0,"",INDEX(SCAmount,$L1239))),IF($M1239&lt;&gt;"",IF(INDEX(LdgWitB,$M1239)=0,"",INDEX(LdgWitB,$M1239)),""))</f>
        <v/>
      </c>
      <c r="H1239" s="21">
        <f>IF($L1239&lt;&gt;"",IF(INDEX(SCOp,$L1239)="مرجوعی فروش",IF(INDEX(SCAmount,$L1239)=0,"",-INDEX(SCAmount,$L1239)),""),IF($M1239&lt;&gt;"",IF(INDEX(LdgDepB,$M1239)=0,"",INDEX(LdgDepB,$M1239)),""))</f>
        <v/>
      </c>
      <c r="I1239" s="22">
        <f>IF($B1239="","",IF($I1238="",$C$10,$I1238)+IF($G1239="",0,$G1239)-IF($H1239="",0,$H1239))</f>
        <v/>
      </c>
      <c r="L1239">
        <f>IFERROR(MATCH($C$5&amp;"|"&amp;RIGHT("000000"&amp;1223,6),LdgRankKeyA,0),"")</f>
        <v/>
      </c>
      <c r="M1239">
        <f>IFERROR(MATCH($C$5&amp;"|"&amp;RIGHT("000000"&amp;1223,6),LdgRankKeyB,0),"")</f>
        <v/>
      </c>
    </row>
    <row r="1240">
      <c r="A1240" s="23" t="n">
        <v>1224</v>
      </c>
      <c r="B1240" s="24">
        <f>IF(AND($L1240="",$M1240=""),"",IF($L1240&lt;&gt;"",INDEX(SCNormDate,$L1240),INDEX(LdgDateB,$M1240)))</f>
        <v/>
      </c>
      <c r="C1240" s="24">
        <f>IF($L1240&lt;&gt;"",INDEX(SCOp,$L1240),IF($M1240&lt;&gt;"","پرداخت بانکی",""))</f>
        <v/>
      </c>
      <c r="D1240" s="24">
        <f>IF($L1240&lt;&gt;"",IF(INDEX(SCDoc,$L1240)="","—",INDEX(SCDoc,$L1240)),IF($M1240&lt;&gt;"",INDEX(LdgBankB,$M1240),""))</f>
        <v/>
      </c>
      <c r="E1240" s="25">
        <f>IF($L1240&lt;&gt;"",IF(INDEX(SCCitrus,$L1240)&amp;INDEX(SCNotes,$L1240)="","",IF(INDEX(SCCitrus,$L1240)="","",INDEX(SCCitrus,$L1240))&amp;IF(INDEX(SCNotes,$L1240)="",""," — "&amp;INDEX(SCNotes,$L1240))),IF($M1240&lt;&gt;"",IF(INDEX(LdgNoteB,$M1240)="","—",INDEX(LdgNoteB,$M1240)),""))</f>
        <v/>
      </c>
      <c r="F1240" s="26">
        <f>IF($L1240&lt;&gt;"",IF(INDEX(SCNet,$L1240)=0,"",INDEX(SCNet,$L1240)),"")</f>
        <v/>
      </c>
      <c r="G1240" s="27">
        <f>IF($L1240&lt;&gt;"",IF(INDEX(SCOp,$L1240)="مرجوعی فروش","",IF(INDEX(SCAmount,$L1240)&lt;=0,"",INDEX(SCAmount,$L1240))),IF($M1240&lt;&gt;"",IF(INDEX(LdgWitB,$M1240)=0,"",INDEX(LdgWitB,$M1240)),""))</f>
        <v/>
      </c>
      <c r="H1240" s="27">
        <f>IF($L1240&lt;&gt;"",IF(INDEX(SCOp,$L1240)="مرجوعی فروش",IF(INDEX(SCAmount,$L1240)=0,"",-INDEX(SCAmount,$L1240)),""),IF($M1240&lt;&gt;"",IF(INDEX(LdgDepB,$M1240)=0,"",INDEX(LdgDepB,$M1240)),""))</f>
        <v/>
      </c>
      <c r="I1240" s="28">
        <f>IF($B1240="","",IF($I1239="",$C$10,$I1239)+IF($G1240="",0,$G1240)-IF($H1240="",0,$H1240))</f>
        <v/>
      </c>
      <c r="L1240">
        <f>IFERROR(MATCH($C$5&amp;"|"&amp;RIGHT("000000"&amp;1224,6),LdgRankKeyA,0),"")</f>
        <v/>
      </c>
      <c r="M1240">
        <f>IFERROR(MATCH($C$5&amp;"|"&amp;RIGHT("000000"&amp;1224,6),LdgRankKeyB,0),"")</f>
        <v/>
      </c>
    </row>
    <row r="1241">
      <c r="A1241" s="17" t="n">
        <v>1225</v>
      </c>
      <c r="B1241" s="18">
        <f>IF(AND($L1241="",$M1241=""),"",IF($L1241&lt;&gt;"",INDEX(SCNormDate,$L1241),INDEX(LdgDateB,$M1241)))</f>
        <v/>
      </c>
      <c r="C1241" s="18">
        <f>IF($L1241&lt;&gt;"",INDEX(SCOp,$L1241),IF($M1241&lt;&gt;"","پرداخت بانکی",""))</f>
        <v/>
      </c>
      <c r="D1241" s="18">
        <f>IF($L1241&lt;&gt;"",IF(INDEX(SCDoc,$L1241)="","—",INDEX(SCDoc,$L1241)),IF($M1241&lt;&gt;"",INDEX(LdgBankB,$M1241),""))</f>
        <v/>
      </c>
      <c r="E1241" s="19">
        <f>IF($L1241&lt;&gt;"",IF(INDEX(SCCitrus,$L1241)&amp;INDEX(SCNotes,$L1241)="","",IF(INDEX(SCCitrus,$L1241)="","",INDEX(SCCitrus,$L1241))&amp;IF(INDEX(SCNotes,$L1241)="",""," — "&amp;INDEX(SCNotes,$L1241))),IF($M1241&lt;&gt;"",IF(INDEX(LdgNoteB,$M1241)="","—",INDEX(LdgNoteB,$M1241)),""))</f>
        <v/>
      </c>
      <c r="F1241" s="20">
        <f>IF($L1241&lt;&gt;"",IF(INDEX(SCNet,$L1241)=0,"",INDEX(SCNet,$L1241)),"")</f>
        <v/>
      </c>
      <c r="G1241" s="21">
        <f>IF($L1241&lt;&gt;"",IF(INDEX(SCOp,$L1241)="مرجوعی فروش","",IF(INDEX(SCAmount,$L1241)&lt;=0,"",INDEX(SCAmount,$L1241))),IF($M1241&lt;&gt;"",IF(INDEX(LdgWitB,$M1241)=0,"",INDEX(LdgWitB,$M1241)),""))</f>
        <v/>
      </c>
      <c r="H1241" s="21">
        <f>IF($L1241&lt;&gt;"",IF(INDEX(SCOp,$L1241)="مرجوعی فروش",IF(INDEX(SCAmount,$L1241)=0,"",-INDEX(SCAmount,$L1241)),""),IF($M1241&lt;&gt;"",IF(INDEX(LdgDepB,$M1241)=0,"",INDEX(LdgDepB,$M1241)),""))</f>
        <v/>
      </c>
      <c r="I1241" s="22">
        <f>IF($B1241="","",IF($I1240="",$C$10,$I1240)+IF($G1241="",0,$G1241)-IF($H1241="",0,$H1241))</f>
        <v/>
      </c>
      <c r="L1241">
        <f>IFERROR(MATCH($C$5&amp;"|"&amp;RIGHT("000000"&amp;1225,6),LdgRankKeyA,0),"")</f>
        <v/>
      </c>
      <c r="M1241">
        <f>IFERROR(MATCH($C$5&amp;"|"&amp;RIGHT("000000"&amp;1225,6),LdgRankKeyB,0),"")</f>
        <v/>
      </c>
    </row>
    <row r="1242">
      <c r="A1242" s="23" t="n">
        <v>1226</v>
      </c>
      <c r="B1242" s="24">
        <f>IF(AND($L1242="",$M1242=""),"",IF($L1242&lt;&gt;"",INDEX(SCNormDate,$L1242),INDEX(LdgDateB,$M1242)))</f>
        <v/>
      </c>
      <c r="C1242" s="24">
        <f>IF($L1242&lt;&gt;"",INDEX(SCOp,$L1242),IF($M1242&lt;&gt;"","پرداخت بانکی",""))</f>
        <v/>
      </c>
      <c r="D1242" s="24">
        <f>IF($L1242&lt;&gt;"",IF(INDEX(SCDoc,$L1242)="","—",INDEX(SCDoc,$L1242)),IF($M1242&lt;&gt;"",INDEX(LdgBankB,$M1242),""))</f>
        <v/>
      </c>
      <c r="E1242" s="25">
        <f>IF($L1242&lt;&gt;"",IF(INDEX(SCCitrus,$L1242)&amp;INDEX(SCNotes,$L1242)="","",IF(INDEX(SCCitrus,$L1242)="","",INDEX(SCCitrus,$L1242))&amp;IF(INDEX(SCNotes,$L1242)="",""," — "&amp;INDEX(SCNotes,$L1242))),IF($M1242&lt;&gt;"",IF(INDEX(LdgNoteB,$M1242)="","—",INDEX(LdgNoteB,$M1242)),""))</f>
        <v/>
      </c>
      <c r="F1242" s="26">
        <f>IF($L1242&lt;&gt;"",IF(INDEX(SCNet,$L1242)=0,"",INDEX(SCNet,$L1242)),"")</f>
        <v/>
      </c>
      <c r="G1242" s="27">
        <f>IF($L1242&lt;&gt;"",IF(INDEX(SCOp,$L1242)="مرجوعی فروش","",IF(INDEX(SCAmount,$L1242)&lt;=0,"",INDEX(SCAmount,$L1242))),IF($M1242&lt;&gt;"",IF(INDEX(LdgWitB,$M1242)=0,"",INDEX(LdgWitB,$M1242)),""))</f>
        <v/>
      </c>
      <c r="H1242" s="27">
        <f>IF($L1242&lt;&gt;"",IF(INDEX(SCOp,$L1242)="مرجوعی فروش",IF(INDEX(SCAmount,$L1242)=0,"",-INDEX(SCAmount,$L1242)),""),IF($M1242&lt;&gt;"",IF(INDEX(LdgDepB,$M1242)=0,"",INDEX(LdgDepB,$M1242)),""))</f>
        <v/>
      </c>
      <c r="I1242" s="28">
        <f>IF($B1242="","",IF($I1241="",$C$10,$I1241)+IF($G1242="",0,$G1242)-IF($H1242="",0,$H1242))</f>
        <v/>
      </c>
      <c r="L1242">
        <f>IFERROR(MATCH($C$5&amp;"|"&amp;RIGHT("000000"&amp;1226,6),LdgRankKeyA,0),"")</f>
        <v/>
      </c>
      <c r="M1242">
        <f>IFERROR(MATCH($C$5&amp;"|"&amp;RIGHT("000000"&amp;1226,6),LdgRankKeyB,0),"")</f>
        <v/>
      </c>
    </row>
    <row r="1243">
      <c r="A1243" s="17" t="n">
        <v>1227</v>
      </c>
      <c r="B1243" s="18">
        <f>IF(AND($L1243="",$M1243=""),"",IF($L1243&lt;&gt;"",INDEX(SCNormDate,$L1243),INDEX(LdgDateB,$M1243)))</f>
        <v/>
      </c>
      <c r="C1243" s="18">
        <f>IF($L1243&lt;&gt;"",INDEX(SCOp,$L1243),IF($M1243&lt;&gt;"","پرداخت بانکی",""))</f>
        <v/>
      </c>
      <c r="D1243" s="18">
        <f>IF($L1243&lt;&gt;"",IF(INDEX(SCDoc,$L1243)="","—",INDEX(SCDoc,$L1243)),IF($M1243&lt;&gt;"",INDEX(LdgBankB,$M1243),""))</f>
        <v/>
      </c>
      <c r="E1243" s="19">
        <f>IF($L1243&lt;&gt;"",IF(INDEX(SCCitrus,$L1243)&amp;INDEX(SCNotes,$L1243)="","",IF(INDEX(SCCitrus,$L1243)="","",INDEX(SCCitrus,$L1243))&amp;IF(INDEX(SCNotes,$L1243)="",""," — "&amp;INDEX(SCNotes,$L1243))),IF($M1243&lt;&gt;"",IF(INDEX(LdgNoteB,$M1243)="","—",INDEX(LdgNoteB,$M1243)),""))</f>
        <v/>
      </c>
      <c r="F1243" s="20">
        <f>IF($L1243&lt;&gt;"",IF(INDEX(SCNet,$L1243)=0,"",INDEX(SCNet,$L1243)),"")</f>
        <v/>
      </c>
      <c r="G1243" s="21">
        <f>IF($L1243&lt;&gt;"",IF(INDEX(SCOp,$L1243)="مرجوعی فروش","",IF(INDEX(SCAmount,$L1243)&lt;=0,"",INDEX(SCAmount,$L1243))),IF($M1243&lt;&gt;"",IF(INDEX(LdgWitB,$M1243)=0,"",INDEX(LdgWitB,$M1243)),""))</f>
        <v/>
      </c>
      <c r="H1243" s="21">
        <f>IF($L1243&lt;&gt;"",IF(INDEX(SCOp,$L1243)="مرجوعی فروش",IF(INDEX(SCAmount,$L1243)=0,"",-INDEX(SCAmount,$L1243)),""),IF($M1243&lt;&gt;"",IF(INDEX(LdgDepB,$M1243)=0,"",INDEX(LdgDepB,$M1243)),""))</f>
        <v/>
      </c>
      <c r="I1243" s="22">
        <f>IF($B1243="","",IF($I1242="",$C$10,$I1242)+IF($G1243="",0,$G1243)-IF($H1243="",0,$H1243))</f>
        <v/>
      </c>
      <c r="L1243">
        <f>IFERROR(MATCH($C$5&amp;"|"&amp;RIGHT("000000"&amp;1227,6),LdgRankKeyA,0),"")</f>
        <v/>
      </c>
      <c r="M1243">
        <f>IFERROR(MATCH($C$5&amp;"|"&amp;RIGHT("000000"&amp;1227,6),LdgRankKeyB,0),"")</f>
        <v/>
      </c>
    </row>
    <row r="1244">
      <c r="A1244" s="23" t="n">
        <v>1228</v>
      </c>
      <c r="B1244" s="24">
        <f>IF(AND($L1244="",$M1244=""),"",IF($L1244&lt;&gt;"",INDEX(SCNormDate,$L1244),INDEX(LdgDateB,$M1244)))</f>
        <v/>
      </c>
      <c r="C1244" s="24">
        <f>IF($L1244&lt;&gt;"",INDEX(SCOp,$L1244),IF($M1244&lt;&gt;"","پرداخت بانکی",""))</f>
        <v/>
      </c>
      <c r="D1244" s="24">
        <f>IF($L1244&lt;&gt;"",IF(INDEX(SCDoc,$L1244)="","—",INDEX(SCDoc,$L1244)),IF($M1244&lt;&gt;"",INDEX(LdgBankB,$M1244),""))</f>
        <v/>
      </c>
      <c r="E1244" s="25">
        <f>IF($L1244&lt;&gt;"",IF(INDEX(SCCitrus,$L1244)&amp;INDEX(SCNotes,$L1244)="","",IF(INDEX(SCCitrus,$L1244)="","",INDEX(SCCitrus,$L1244))&amp;IF(INDEX(SCNotes,$L1244)="",""," — "&amp;INDEX(SCNotes,$L1244))),IF($M1244&lt;&gt;"",IF(INDEX(LdgNoteB,$M1244)="","—",INDEX(LdgNoteB,$M1244)),""))</f>
        <v/>
      </c>
      <c r="F1244" s="26">
        <f>IF($L1244&lt;&gt;"",IF(INDEX(SCNet,$L1244)=0,"",INDEX(SCNet,$L1244)),"")</f>
        <v/>
      </c>
      <c r="G1244" s="27">
        <f>IF($L1244&lt;&gt;"",IF(INDEX(SCOp,$L1244)="مرجوعی فروش","",IF(INDEX(SCAmount,$L1244)&lt;=0,"",INDEX(SCAmount,$L1244))),IF($M1244&lt;&gt;"",IF(INDEX(LdgWitB,$M1244)=0,"",INDEX(LdgWitB,$M1244)),""))</f>
        <v/>
      </c>
      <c r="H1244" s="27">
        <f>IF($L1244&lt;&gt;"",IF(INDEX(SCOp,$L1244)="مرجوعی فروش",IF(INDEX(SCAmount,$L1244)=0,"",-INDEX(SCAmount,$L1244)),""),IF($M1244&lt;&gt;"",IF(INDEX(LdgDepB,$M1244)=0,"",INDEX(LdgDepB,$M1244)),""))</f>
        <v/>
      </c>
      <c r="I1244" s="28">
        <f>IF($B1244="","",IF($I1243="",$C$10,$I1243)+IF($G1244="",0,$G1244)-IF($H1244="",0,$H1244))</f>
        <v/>
      </c>
      <c r="L1244">
        <f>IFERROR(MATCH($C$5&amp;"|"&amp;RIGHT("000000"&amp;1228,6),LdgRankKeyA,0),"")</f>
        <v/>
      </c>
      <c r="M1244">
        <f>IFERROR(MATCH($C$5&amp;"|"&amp;RIGHT("000000"&amp;1228,6),LdgRankKeyB,0),"")</f>
        <v/>
      </c>
    </row>
    <row r="1245">
      <c r="A1245" s="17" t="n">
        <v>1229</v>
      </c>
      <c r="B1245" s="18">
        <f>IF(AND($L1245="",$M1245=""),"",IF($L1245&lt;&gt;"",INDEX(SCNormDate,$L1245),INDEX(LdgDateB,$M1245)))</f>
        <v/>
      </c>
      <c r="C1245" s="18">
        <f>IF($L1245&lt;&gt;"",INDEX(SCOp,$L1245),IF($M1245&lt;&gt;"","پرداخت بانکی",""))</f>
        <v/>
      </c>
      <c r="D1245" s="18">
        <f>IF($L1245&lt;&gt;"",IF(INDEX(SCDoc,$L1245)="","—",INDEX(SCDoc,$L1245)),IF($M1245&lt;&gt;"",INDEX(LdgBankB,$M1245),""))</f>
        <v/>
      </c>
      <c r="E1245" s="19">
        <f>IF($L1245&lt;&gt;"",IF(INDEX(SCCitrus,$L1245)&amp;INDEX(SCNotes,$L1245)="","",IF(INDEX(SCCitrus,$L1245)="","",INDEX(SCCitrus,$L1245))&amp;IF(INDEX(SCNotes,$L1245)="",""," — "&amp;INDEX(SCNotes,$L1245))),IF($M1245&lt;&gt;"",IF(INDEX(LdgNoteB,$M1245)="","—",INDEX(LdgNoteB,$M1245)),""))</f>
        <v/>
      </c>
      <c r="F1245" s="20">
        <f>IF($L1245&lt;&gt;"",IF(INDEX(SCNet,$L1245)=0,"",INDEX(SCNet,$L1245)),"")</f>
        <v/>
      </c>
      <c r="G1245" s="21">
        <f>IF($L1245&lt;&gt;"",IF(INDEX(SCOp,$L1245)="مرجوعی فروش","",IF(INDEX(SCAmount,$L1245)&lt;=0,"",INDEX(SCAmount,$L1245))),IF($M1245&lt;&gt;"",IF(INDEX(LdgWitB,$M1245)=0,"",INDEX(LdgWitB,$M1245)),""))</f>
        <v/>
      </c>
      <c r="H1245" s="21">
        <f>IF($L1245&lt;&gt;"",IF(INDEX(SCOp,$L1245)="مرجوعی فروش",IF(INDEX(SCAmount,$L1245)=0,"",-INDEX(SCAmount,$L1245)),""),IF($M1245&lt;&gt;"",IF(INDEX(LdgDepB,$M1245)=0,"",INDEX(LdgDepB,$M1245)),""))</f>
        <v/>
      </c>
      <c r="I1245" s="22">
        <f>IF($B1245="","",IF($I1244="",$C$10,$I1244)+IF($G1245="",0,$G1245)-IF($H1245="",0,$H1245))</f>
        <v/>
      </c>
      <c r="L1245">
        <f>IFERROR(MATCH($C$5&amp;"|"&amp;RIGHT("000000"&amp;1229,6),LdgRankKeyA,0),"")</f>
        <v/>
      </c>
      <c r="M1245">
        <f>IFERROR(MATCH($C$5&amp;"|"&amp;RIGHT("000000"&amp;1229,6),LdgRankKeyB,0),"")</f>
        <v/>
      </c>
    </row>
    <row r="1246">
      <c r="A1246" s="23" t="n">
        <v>1230</v>
      </c>
      <c r="B1246" s="24">
        <f>IF(AND($L1246="",$M1246=""),"",IF($L1246&lt;&gt;"",INDEX(SCNormDate,$L1246),INDEX(LdgDateB,$M1246)))</f>
        <v/>
      </c>
      <c r="C1246" s="24">
        <f>IF($L1246&lt;&gt;"",INDEX(SCOp,$L1246),IF($M1246&lt;&gt;"","پرداخت بانکی",""))</f>
        <v/>
      </c>
      <c r="D1246" s="24">
        <f>IF($L1246&lt;&gt;"",IF(INDEX(SCDoc,$L1246)="","—",INDEX(SCDoc,$L1246)),IF($M1246&lt;&gt;"",INDEX(LdgBankB,$M1246),""))</f>
        <v/>
      </c>
      <c r="E1246" s="25">
        <f>IF($L1246&lt;&gt;"",IF(INDEX(SCCitrus,$L1246)&amp;INDEX(SCNotes,$L1246)="","",IF(INDEX(SCCitrus,$L1246)="","",INDEX(SCCitrus,$L1246))&amp;IF(INDEX(SCNotes,$L1246)="",""," — "&amp;INDEX(SCNotes,$L1246))),IF($M1246&lt;&gt;"",IF(INDEX(LdgNoteB,$M1246)="","—",INDEX(LdgNoteB,$M1246)),""))</f>
        <v/>
      </c>
      <c r="F1246" s="26">
        <f>IF($L1246&lt;&gt;"",IF(INDEX(SCNet,$L1246)=0,"",INDEX(SCNet,$L1246)),"")</f>
        <v/>
      </c>
      <c r="G1246" s="27">
        <f>IF($L1246&lt;&gt;"",IF(INDEX(SCOp,$L1246)="مرجوعی فروش","",IF(INDEX(SCAmount,$L1246)&lt;=0,"",INDEX(SCAmount,$L1246))),IF($M1246&lt;&gt;"",IF(INDEX(LdgWitB,$M1246)=0,"",INDEX(LdgWitB,$M1246)),""))</f>
        <v/>
      </c>
      <c r="H1246" s="27">
        <f>IF($L1246&lt;&gt;"",IF(INDEX(SCOp,$L1246)="مرجوعی فروش",IF(INDEX(SCAmount,$L1246)=0,"",-INDEX(SCAmount,$L1246)),""),IF($M1246&lt;&gt;"",IF(INDEX(LdgDepB,$M1246)=0,"",INDEX(LdgDepB,$M1246)),""))</f>
        <v/>
      </c>
      <c r="I1246" s="28">
        <f>IF($B1246="","",IF($I1245="",$C$10,$I1245)+IF($G1246="",0,$G1246)-IF($H1246="",0,$H1246))</f>
        <v/>
      </c>
      <c r="L1246">
        <f>IFERROR(MATCH($C$5&amp;"|"&amp;RIGHT("000000"&amp;1230,6),LdgRankKeyA,0),"")</f>
        <v/>
      </c>
      <c r="M1246">
        <f>IFERROR(MATCH($C$5&amp;"|"&amp;RIGHT("000000"&amp;1230,6),LdgRankKeyB,0),"")</f>
        <v/>
      </c>
    </row>
    <row r="1247">
      <c r="A1247" s="17" t="n">
        <v>1231</v>
      </c>
      <c r="B1247" s="18">
        <f>IF(AND($L1247="",$M1247=""),"",IF($L1247&lt;&gt;"",INDEX(SCNormDate,$L1247),INDEX(LdgDateB,$M1247)))</f>
        <v/>
      </c>
      <c r="C1247" s="18">
        <f>IF($L1247&lt;&gt;"",INDEX(SCOp,$L1247),IF($M1247&lt;&gt;"","پرداخت بانکی",""))</f>
        <v/>
      </c>
      <c r="D1247" s="18">
        <f>IF($L1247&lt;&gt;"",IF(INDEX(SCDoc,$L1247)="","—",INDEX(SCDoc,$L1247)),IF($M1247&lt;&gt;"",INDEX(LdgBankB,$M1247),""))</f>
        <v/>
      </c>
      <c r="E1247" s="19">
        <f>IF($L1247&lt;&gt;"",IF(INDEX(SCCitrus,$L1247)&amp;INDEX(SCNotes,$L1247)="","",IF(INDEX(SCCitrus,$L1247)="","",INDEX(SCCitrus,$L1247))&amp;IF(INDEX(SCNotes,$L1247)="",""," — "&amp;INDEX(SCNotes,$L1247))),IF($M1247&lt;&gt;"",IF(INDEX(LdgNoteB,$M1247)="","—",INDEX(LdgNoteB,$M1247)),""))</f>
        <v/>
      </c>
      <c r="F1247" s="20">
        <f>IF($L1247&lt;&gt;"",IF(INDEX(SCNet,$L1247)=0,"",INDEX(SCNet,$L1247)),"")</f>
        <v/>
      </c>
      <c r="G1247" s="21">
        <f>IF($L1247&lt;&gt;"",IF(INDEX(SCOp,$L1247)="مرجوعی فروش","",IF(INDEX(SCAmount,$L1247)&lt;=0,"",INDEX(SCAmount,$L1247))),IF($M1247&lt;&gt;"",IF(INDEX(LdgWitB,$M1247)=0,"",INDEX(LdgWitB,$M1247)),""))</f>
        <v/>
      </c>
      <c r="H1247" s="21">
        <f>IF($L1247&lt;&gt;"",IF(INDEX(SCOp,$L1247)="مرجوعی فروش",IF(INDEX(SCAmount,$L1247)=0,"",-INDEX(SCAmount,$L1247)),""),IF($M1247&lt;&gt;"",IF(INDEX(LdgDepB,$M1247)=0,"",INDEX(LdgDepB,$M1247)),""))</f>
        <v/>
      </c>
      <c r="I1247" s="22">
        <f>IF($B1247="","",IF($I1246="",$C$10,$I1246)+IF($G1247="",0,$G1247)-IF($H1247="",0,$H1247))</f>
        <v/>
      </c>
      <c r="L1247">
        <f>IFERROR(MATCH($C$5&amp;"|"&amp;RIGHT("000000"&amp;1231,6),LdgRankKeyA,0),"")</f>
        <v/>
      </c>
      <c r="M1247">
        <f>IFERROR(MATCH($C$5&amp;"|"&amp;RIGHT("000000"&amp;1231,6),LdgRankKeyB,0),"")</f>
        <v/>
      </c>
    </row>
    <row r="1248">
      <c r="A1248" s="23" t="n">
        <v>1232</v>
      </c>
      <c r="B1248" s="24">
        <f>IF(AND($L1248="",$M1248=""),"",IF($L1248&lt;&gt;"",INDEX(SCNormDate,$L1248),INDEX(LdgDateB,$M1248)))</f>
        <v/>
      </c>
      <c r="C1248" s="24">
        <f>IF($L1248&lt;&gt;"",INDEX(SCOp,$L1248),IF($M1248&lt;&gt;"","پرداخت بانکی",""))</f>
        <v/>
      </c>
      <c r="D1248" s="24">
        <f>IF($L1248&lt;&gt;"",IF(INDEX(SCDoc,$L1248)="","—",INDEX(SCDoc,$L1248)),IF($M1248&lt;&gt;"",INDEX(LdgBankB,$M1248),""))</f>
        <v/>
      </c>
      <c r="E1248" s="25">
        <f>IF($L1248&lt;&gt;"",IF(INDEX(SCCitrus,$L1248)&amp;INDEX(SCNotes,$L1248)="","",IF(INDEX(SCCitrus,$L1248)="","",INDEX(SCCitrus,$L1248))&amp;IF(INDEX(SCNotes,$L1248)="",""," — "&amp;INDEX(SCNotes,$L1248))),IF($M1248&lt;&gt;"",IF(INDEX(LdgNoteB,$M1248)="","—",INDEX(LdgNoteB,$M1248)),""))</f>
        <v/>
      </c>
      <c r="F1248" s="26">
        <f>IF($L1248&lt;&gt;"",IF(INDEX(SCNet,$L1248)=0,"",INDEX(SCNet,$L1248)),"")</f>
        <v/>
      </c>
      <c r="G1248" s="27">
        <f>IF($L1248&lt;&gt;"",IF(INDEX(SCOp,$L1248)="مرجوعی فروش","",IF(INDEX(SCAmount,$L1248)&lt;=0,"",INDEX(SCAmount,$L1248))),IF($M1248&lt;&gt;"",IF(INDEX(LdgWitB,$M1248)=0,"",INDEX(LdgWitB,$M1248)),""))</f>
        <v/>
      </c>
      <c r="H1248" s="27">
        <f>IF($L1248&lt;&gt;"",IF(INDEX(SCOp,$L1248)="مرجوعی فروش",IF(INDEX(SCAmount,$L1248)=0,"",-INDEX(SCAmount,$L1248)),""),IF($M1248&lt;&gt;"",IF(INDEX(LdgDepB,$M1248)=0,"",INDEX(LdgDepB,$M1248)),""))</f>
        <v/>
      </c>
      <c r="I1248" s="28">
        <f>IF($B1248="","",IF($I1247="",$C$10,$I1247)+IF($G1248="",0,$G1248)-IF($H1248="",0,$H1248))</f>
        <v/>
      </c>
      <c r="L1248">
        <f>IFERROR(MATCH($C$5&amp;"|"&amp;RIGHT("000000"&amp;1232,6),LdgRankKeyA,0),"")</f>
        <v/>
      </c>
      <c r="M1248">
        <f>IFERROR(MATCH($C$5&amp;"|"&amp;RIGHT("000000"&amp;1232,6),LdgRankKeyB,0),"")</f>
        <v/>
      </c>
    </row>
    <row r="1249">
      <c r="A1249" s="17" t="n">
        <v>1233</v>
      </c>
      <c r="B1249" s="18">
        <f>IF(AND($L1249="",$M1249=""),"",IF($L1249&lt;&gt;"",INDEX(SCNormDate,$L1249),INDEX(LdgDateB,$M1249)))</f>
        <v/>
      </c>
      <c r="C1249" s="18">
        <f>IF($L1249&lt;&gt;"",INDEX(SCOp,$L1249),IF($M1249&lt;&gt;"","پرداخت بانکی",""))</f>
        <v/>
      </c>
      <c r="D1249" s="18">
        <f>IF($L1249&lt;&gt;"",IF(INDEX(SCDoc,$L1249)="","—",INDEX(SCDoc,$L1249)),IF($M1249&lt;&gt;"",INDEX(LdgBankB,$M1249),""))</f>
        <v/>
      </c>
      <c r="E1249" s="19">
        <f>IF($L1249&lt;&gt;"",IF(INDEX(SCCitrus,$L1249)&amp;INDEX(SCNotes,$L1249)="","",IF(INDEX(SCCitrus,$L1249)="","",INDEX(SCCitrus,$L1249))&amp;IF(INDEX(SCNotes,$L1249)="",""," — "&amp;INDEX(SCNotes,$L1249))),IF($M1249&lt;&gt;"",IF(INDEX(LdgNoteB,$M1249)="","—",INDEX(LdgNoteB,$M1249)),""))</f>
        <v/>
      </c>
      <c r="F1249" s="20">
        <f>IF($L1249&lt;&gt;"",IF(INDEX(SCNet,$L1249)=0,"",INDEX(SCNet,$L1249)),"")</f>
        <v/>
      </c>
      <c r="G1249" s="21">
        <f>IF($L1249&lt;&gt;"",IF(INDEX(SCOp,$L1249)="مرجوعی فروش","",IF(INDEX(SCAmount,$L1249)&lt;=0,"",INDEX(SCAmount,$L1249))),IF($M1249&lt;&gt;"",IF(INDEX(LdgWitB,$M1249)=0,"",INDEX(LdgWitB,$M1249)),""))</f>
        <v/>
      </c>
      <c r="H1249" s="21">
        <f>IF($L1249&lt;&gt;"",IF(INDEX(SCOp,$L1249)="مرجوعی فروش",IF(INDEX(SCAmount,$L1249)=0,"",-INDEX(SCAmount,$L1249)),""),IF($M1249&lt;&gt;"",IF(INDEX(LdgDepB,$M1249)=0,"",INDEX(LdgDepB,$M1249)),""))</f>
        <v/>
      </c>
      <c r="I1249" s="22">
        <f>IF($B1249="","",IF($I1248="",$C$10,$I1248)+IF($G1249="",0,$G1249)-IF($H1249="",0,$H1249))</f>
        <v/>
      </c>
      <c r="L1249">
        <f>IFERROR(MATCH($C$5&amp;"|"&amp;RIGHT("000000"&amp;1233,6),LdgRankKeyA,0),"")</f>
        <v/>
      </c>
      <c r="M1249">
        <f>IFERROR(MATCH($C$5&amp;"|"&amp;RIGHT("000000"&amp;1233,6),LdgRankKeyB,0),"")</f>
        <v/>
      </c>
    </row>
    <row r="1250">
      <c r="A1250" s="23" t="n">
        <v>1234</v>
      </c>
      <c r="B1250" s="24">
        <f>IF(AND($L1250="",$M1250=""),"",IF($L1250&lt;&gt;"",INDEX(SCNormDate,$L1250),INDEX(LdgDateB,$M1250)))</f>
        <v/>
      </c>
      <c r="C1250" s="24">
        <f>IF($L1250&lt;&gt;"",INDEX(SCOp,$L1250),IF($M1250&lt;&gt;"","پرداخت بانکی",""))</f>
        <v/>
      </c>
      <c r="D1250" s="24">
        <f>IF($L1250&lt;&gt;"",IF(INDEX(SCDoc,$L1250)="","—",INDEX(SCDoc,$L1250)),IF($M1250&lt;&gt;"",INDEX(LdgBankB,$M1250),""))</f>
        <v/>
      </c>
      <c r="E1250" s="25">
        <f>IF($L1250&lt;&gt;"",IF(INDEX(SCCitrus,$L1250)&amp;INDEX(SCNotes,$L1250)="","",IF(INDEX(SCCitrus,$L1250)="","",INDEX(SCCitrus,$L1250))&amp;IF(INDEX(SCNotes,$L1250)="",""," — "&amp;INDEX(SCNotes,$L1250))),IF($M1250&lt;&gt;"",IF(INDEX(LdgNoteB,$M1250)="","—",INDEX(LdgNoteB,$M1250)),""))</f>
        <v/>
      </c>
      <c r="F1250" s="26">
        <f>IF($L1250&lt;&gt;"",IF(INDEX(SCNet,$L1250)=0,"",INDEX(SCNet,$L1250)),"")</f>
        <v/>
      </c>
      <c r="G1250" s="27">
        <f>IF($L1250&lt;&gt;"",IF(INDEX(SCOp,$L1250)="مرجوعی فروش","",IF(INDEX(SCAmount,$L1250)&lt;=0,"",INDEX(SCAmount,$L1250))),IF($M1250&lt;&gt;"",IF(INDEX(LdgWitB,$M1250)=0,"",INDEX(LdgWitB,$M1250)),""))</f>
        <v/>
      </c>
      <c r="H1250" s="27">
        <f>IF($L1250&lt;&gt;"",IF(INDEX(SCOp,$L1250)="مرجوعی فروش",IF(INDEX(SCAmount,$L1250)=0,"",-INDEX(SCAmount,$L1250)),""),IF($M1250&lt;&gt;"",IF(INDEX(LdgDepB,$M1250)=0,"",INDEX(LdgDepB,$M1250)),""))</f>
        <v/>
      </c>
      <c r="I1250" s="28">
        <f>IF($B1250="","",IF($I1249="",$C$10,$I1249)+IF($G1250="",0,$G1250)-IF($H1250="",0,$H1250))</f>
        <v/>
      </c>
      <c r="L1250">
        <f>IFERROR(MATCH($C$5&amp;"|"&amp;RIGHT("000000"&amp;1234,6),LdgRankKeyA,0),"")</f>
        <v/>
      </c>
      <c r="M1250">
        <f>IFERROR(MATCH($C$5&amp;"|"&amp;RIGHT("000000"&amp;1234,6),LdgRankKeyB,0),"")</f>
        <v/>
      </c>
    </row>
    <row r="1251">
      <c r="A1251" s="17" t="n">
        <v>1235</v>
      </c>
      <c r="B1251" s="18">
        <f>IF(AND($L1251="",$M1251=""),"",IF($L1251&lt;&gt;"",INDEX(SCNormDate,$L1251),INDEX(LdgDateB,$M1251)))</f>
        <v/>
      </c>
      <c r="C1251" s="18">
        <f>IF($L1251&lt;&gt;"",INDEX(SCOp,$L1251),IF($M1251&lt;&gt;"","پرداخت بانکی",""))</f>
        <v/>
      </c>
      <c r="D1251" s="18">
        <f>IF($L1251&lt;&gt;"",IF(INDEX(SCDoc,$L1251)="","—",INDEX(SCDoc,$L1251)),IF($M1251&lt;&gt;"",INDEX(LdgBankB,$M1251),""))</f>
        <v/>
      </c>
      <c r="E1251" s="19">
        <f>IF($L1251&lt;&gt;"",IF(INDEX(SCCitrus,$L1251)&amp;INDEX(SCNotes,$L1251)="","",IF(INDEX(SCCitrus,$L1251)="","",INDEX(SCCitrus,$L1251))&amp;IF(INDEX(SCNotes,$L1251)="",""," — "&amp;INDEX(SCNotes,$L1251))),IF($M1251&lt;&gt;"",IF(INDEX(LdgNoteB,$M1251)="","—",INDEX(LdgNoteB,$M1251)),""))</f>
        <v/>
      </c>
      <c r="F1251" s="20">
        <f>IF($L1251&lt;&gt;"",IF(INDEX(SCNet,$L1251)=0,"",INDEX(SCNet,$L1251)),"")</f>
        <v/>
      </c>
      <c r="G1251" s="21">
        <f>IF($L1251&lt;&gt;"",IF(INDEX(SCOp,$L1251)="مرجوعی فروش","",IF(INDEX(SCAmount,$L1251)&lt;=0,"",INDEX(SCAmount,$L1251))),IF($M1251&lt;&gt;"",IF(INDEX(LdgWitB,$M1251)=0,"",INDEX(LdgWitB,$M1251)),""))</f>
        <v/>
      </c>
      <c r="H1251" s="21">
        <f>IF($L1251&lt;&gt;"",IF(INDEX(SCOp,$L1251)="مرجوعی فروش",IF(INDEX(SCAmount,$L1251)=0,"",-INDEX(SCAmount,$L1251)),""),IF($M1251&lt;&gt;"",IF(INDEX(LdgDepB,$M1251)=0,"",INDEX(LdgDepB,$M1251)),""))</f>
        <v/>
      </c>
      <c r="I1251" s="22">
        <f>IF($B1251="","",IF($I1250="",$C$10,$I1250)+IF($G1251="",0,$G1251)-IF($H1251="",0,$H1251))</f>
        <v/>
      </c>
      <c r="L1251">
        <f>IFERROR(MATCH($C$5&amp;"|"&amp;RIGHT("000000"&amp;1235,6),LdgRankKeyA,0),"")</f>
        <v/>
      </c>
      <c r="M1251">
        <f>IFERROR(MATCH($C$5&amp;"|"&amp;RIGHT("000000"&amp;1235,6),LdgRankKeyB,0),"")</f>
        <v/>
      </c>
    </row>
    <row r="1252">
      <c r="A1252" s="23" t="n">
        <v>1236</v>
      </c>
      <c r="B1252" s="24">
        <f>IF(AND($L1252="",$M1252=""),"",IF($L1252&lt;&gt;"",INDEX(SCNormDate,$L1252),INDEX(LdgDateB,$M1252)))</f>
        <v/>
      </c>
      <c r="C1252" s="24">
        <f>IF($L1252&lt;&gt;"",INDEX(SCOp,$L1252),IF($M1252&lt;&gt;"","پرداخت بانکی",""))</f>
        <v/>
      </c>
      <c r="D1252" s="24">
        <f>IF($L1252&lt;&gt;"",IF(INDEX(SCDoc,$L1252)="","—",INDEX(SCDoc,$L1252)),IF($M1252&lt;&gt;"",INDEX(LdgBankB,$M1252),""))</f>
        <v/>
      </c>
      <c r="E1252" s="25">
        <f>IF($L1252&lt;&gt;"",IF(INDEX(SCCitrus,$L1252)&amp;INDEX(SCNotes,$L1252)="","",IF(INDEX(SCCitrus,$L1252)="","",INDEX(SCCitrus,$L1252))&amp;IF(INDEX(SCNotes,$L1252)="",""," — "&amp;INDEX(SCNotes,$L1252))),IF($M1252&lt;&gt;"",IF(INDEX(LdgNoteB,$M1252)="","—",INDEX(LdgNoteB,$M1252)),""))</f>
        <v/>
      </c>
      <c r="F1252" s="26">
        <f>IF($L1252&lt;&gt;"",IF(INDEX(SCNet,$L1252)=0,"",INDEX(SCNet,$L1252)),"")</f>
        <v/>
      </c>
      <c r="G1252" s="27">
        <f>IF($L1252&lt;&gt;"",IF(INDEX(SCOp,$L1252)="مرجوعی فروش","",IF(INDEX(SCAmount,$L1252)&lt;=0,"",INDEX(SCAmount,$L1252))),IF($M1252&lt;&gt;"",IF(INDEX(LdgWitB,$M1252)=0,"",INDEX(LdgWitB,$M1252)),""))</f>
        <v/>
      </c>
      <c r="H1252" s="27">
        <f>IF($L1252&lt;&gt;"",IF(INDEX(SCOp,$L1252)="مرجوعی فروش",IF(INDEX(SCAmount,$L1252)=0,"",-INDEX(SCAmount,$L1252)),""),IF($M1252&lt;&gt;"",IF(INDEX(LdgDepB,$M1252)=0,"",INDEX(LdgDepB,$M1252)),""))</f>
        <v/>
      </c>
      <c r="I1252" s="28">
        <f>IF($B1252="","",IF($I1251="",$C$10,$I1251)+IF($G1252="",0,$G1252)-IF($H1252="",0,$H1252))</f>
        <v/>
      </c>
      <c r="L1252">
        <f>IFERROR(MATCH($C$5&amp;"|"&amp;RIGHT("000000"&amp;1236,6),LdgRankKeyA,0),"")</f>
        <v/>
      </c>
      <c r="M1252">
        <f>IFERROR(MATCH($C$5&amp;"|"&amp;RIGHT("000000"&amp;1236,6),LdgRankKeyB,0),"")</f>
        <v/>
      </c>
    </row>
    <row r="1253">
      <c r="A1253" s="17" t="n">
        <v>1237</v>
      </c>
      <c r="B1253" s="18">
        <f>IF(AND($L1253="",$M1253=""),"",IF($L1253&lt;&gt;"",INDEX(SCNormDate,$L1253),INDEX(LdgDateB,$M1253)))</f>
        <v/>
      </c>
      <c r="C1253" s="18">
        <f>IF($L1253&lt;&gt;"",INDEX(SCOp,$L1253),IF($M1253&lt;&gt;"","پرداخت بانکی",""))</f>
        <v/>
      </c>
      <c r="D1253" s="18">
        <f>IF($L1253&lt;&gt;"",IF(INDEX(SCDoc,$L1253)="","—",INDEX(SCDoc,$L1253)),IF($M1253&lt;&gt;"",INDEX(LdgBankB,$M1253),""))</f>
        <v/>
      </c>
      <c r="E1253" s="19">
        <f>IF($L1253&lt;&gt;"",IF(INDEX(SCCitrus,$L1253)&amp;INDEX(SCNotes,$L1253)="","",IF(INDEX(SCCitrus,$L1253)="","",INDEX(SCCitrus,$L1253))&amp;IF(INDEX(SCNotes,$L1253)="",""," — "&amp;INDEX(SCNotes,$L1253))),IF($M1253&lt;&gt;"",IF(INDEX(LdgNoteB,$M1253)="","—",INDEX(LdgNoteB,$M1253)),""))</f>
        <v/>
      </c>
      <c r="F1253" s="20">
        <f>IF($L1253&lt;&gt;"",IF(INDEX(SCNet,$L1253)=0,"",INDEX(SCNet,$L1253)),"")</f>
        <v/>
      </c>
      <c r="G1253" s="21">
        <f>IF($L1253&lt;&gt;"",IF(INDEX(SCOp,$L1253)="مرجوعی فروش","",IF(INDEX(SCAmount,$L1253)&lt;=0,"",INDEX(SCAmount,$L1253))),IF($M1253&lt;&gt;"",IF(INDEX(LdgWitB,$M1253)=0,"",INDEX(LdgWitB,$M1253)),""))</f>
        <v/>
      </c>
      <c r="H1253" s="21">
        <f>IF($L1253&lt;&gt;"",IF(INDEX(SCOp,$L1253)="مرجوعی فروش",IF(INDEX(SCAmount,$L1253)=0,"",-INDEX(SCAmount,$L1253)),""),IF($M1253&lt;&gt;"",IF(INDEX(LdgDepB,$M1253)=0,"",INDEX(LdgDepB,$M1253)),""))</f>
        <v/>
      </c>
      <c r="I1253" s="22">
        <f>IF($B1253="","",IF($I1252="",$C$10,$I1252)+IF($G1253="",0,$G1253)-IF($H1253="",0,$H1253))</f>
        <v/>
      </c>
      <c r="L1253">
        <f>IFERROR(MATCH($C$5&amp;"|"&amp;RIGHT("000000"&amp;1237,6),LdgRankKeyA,0),"")</f>
        <v/>
      </c>
      <c r="M1253">
        <f>IFERROR(MATCH($C$5&amp;"|"&amp;RIGHT("000000"&amp;1237,6),LdgRankKeyB,0),"")</f>
        <v/>
      </c>
    </row>
    <row r="1254">
      <c r="A1254" s="23" t="n">
        <v>1238</v>
      </c>
      <c r="B1254" s="24">
        <f>IF(AND($L1254="",$M1254=""),"",IF($L1254&lt;&gt;"",INDEX(SCNormDate,$L1254),INDEX(LdgDateB,$M1254)))</f>
        <v/>
      </c>
      <c r="C1254" s="24">
        <f>IF($L1254&lt;&gt;"",INDEX(SCOp,$L1254),IF($M1254&lt;&gt;"","پرداخت بانکی",""))</f>
        <v/>
      </c>
      <c r="D1254" s="24">
        <f>IF($L1254&lt;&gt;"",IF(INDEX(SCDoc,$L1254)="","—",INDEX(SCDoc,$L1254)),IF($M1254&lt;&gt;"",INDEX(LdgBankB,$M1254),""))</f>
        <v/>
      </c>
      <c r="E1254" s="25">
        <f>IF($L1254&lt;&gt;"",IF(INDEX(SCCitrus,$L1254)&amp;INDEX(SCNotes,$L1254)="","",IF(INDEX(SCCitrus,$L1254)="","",INDEX(SCCitrus,$L1254))&amp;IF(INDEX(SCNotes,$L1254)="",""," — "&amp;INDEX(SCNotes,$L1254))),IF($M1254&lt;&gt;"",IF(INDEX(LdgNoteB,$M1254)="","—",INDEX(LdgNoteB,$M1254)),""))</f>
        <v/>
      </c>
      <c r="F1254" s="26">
        <f>IF($L1254&lt;&gt;"",IF(INDEX(SCNet,$L1254)=0,"",INDEX(SCNet,$L1254)),"")</f>
        <v/>
      </c>
      <c r="G1254" s="27">
        <f>IF($L1254&lt;&gt;"",IF(INDEX(SCOp,$L1254)="مرجوعی فروش","",IF(INDEX(SCAmount,$L1254)&lt;=0,"",INDEX(SCAmount,$L1254))),IF($M1254&lt;&gt;"",IF(INDEX(LdgWitB,$M1254)=0,"",INDEX(LdgWitB,$M1254)),""))</f>
        <v/>
      </c>
      <c r="H1254" s="27">
        <f>IF($L1254&lt;&gt;"",IF(INDEX(SCOp,$L1254)="مرجوعی فروش",IF(INDEX(SCAmount,$L1254)=0,"",-INDEX(SCAmount,$L1254)),""),IF($M1254&lt;&gt;"",IF(INDEX(LdgDepB,$M1254)=0,"",INDEX(LdgDepB,$M1254)),""))</f>
        <v/>
      </c>
      <c r="I1254" s="28">
        <f>IF($B1254="","",IF($I1253="",$C$10,$I1253)+IF($G1254="",0,$G1254)-IF($H1254="",0,$H1254))</f>
        <v/>
      </c>
      <c r="L1254">
        <f>IFERROR(MATCH($C$5&amp;"|"&amp;RIGHT("000000"&amp;1238,6),LdgRankKeyA,0),"")</f>
        <v/>
      </c>
      <c r="M1254">
        <f>IFERROR(MATCH($C$5&amp;"|"&amp;RIGHT("000000"&amp;1238,6),LdgRankKeyB,0),"")</f>
        <v/>
      </c>
    </row>
    <row r="1255">
      <c r="A1255" s="17" t="n">
        <v>1239</v>
      </c>
      <c r="B1255" s="18">
        <f>IF(AND($L1255="",$M1255=""),"",IF($L1255&lt;&gt;"",INDEX(SCNormDate,$L1255),INDEX(LdgDateB,$M1255)))</f>
        <v/>
      </c>
      <c r="C1255" s="18">
        <f>IF($L1255&lt;&gt;"",INDEX(SCOp,$L1255),IF($M1255&lt;&gt;"","پرداخت بانکی",""))</f>
        <v/>
      </c>
      <c r="D1255" s="18">
        <f>IF($L1255&lt;&gt;"",IF(INDEX(SCDoc,$L1255)="","—",INDEX(SCDoc,$L1255)),IF($M1255&lt;&gt;"",INDEX(LdgBankB,$M1255),""))</f>
        <v/>
      </c>
      <c r="E1255" s="19">
        <f>IF($L1255&lt;&gt;"",IF(INDEX(SCCitrus,$L1255)&amp;INDEX(SCNotes,$L1255)="","",IF(INDEX(SCCitrus,$L1255)="","",INDEX(SCCitrus,$L1255))&amp;IF(INDEX(SCNotes,$L1255)="",""," — "&amp;INDEX(SCNotes,$L1255))),IF($M1255&lt;&gt;"",IF(INDEX(LdgNoteB,$M1255)="","—",INDEX(LdgNoteB,$M1255)),""))</f>
        <v/>
      </c>
      <c r="F1255" s="20">
        <f>IF($L1255&lt;&gt;"",IF(INDEX(SCNet,$L1255)=0,"",INDEX(SCNet,$L1255)),"")</f>
        <v/>
      </c>
      <c r="G1255" s="21">
        <f>IF($L1255&lt;&gt;"",IF(INDEX(SCOp,$L1255)="مرجوعی فروش","",IF(INDEX(SCAmount,$L1255)&lt;=0,"",INDEX(SCAmount,$L1255))),IF($M1255&lt;&gt;"",IF(INDEX(LdgWitB,$M1255)=0,"",INDEX(LdgWitB,$M1255)),""))</f>
        <v/>
      </c>
      <c r="H1255" s="21">
        <f>IF($L1255&lt;&gt;"",IF(INDEX(SCOp,$L1255)="مرجوعی فروش",IF(INDEX(SCAmount,$L1255)=0,"",-INDEX(SCAmount,$L1255)),""),IF($M1255&lt;&gt;"",IF(INDEX(LdgDepB,$M1255)=0,"",INDEX(LdgDepB,$M1255)),""))</f>
        <v/>
      </c>
      <c r="I1255" s="22">
        <f>IF($B1255="","",IF($I1254="",$C$10,$I1254)+IF($G1255="",0,$G1255)-IF($H1255="",0,$H1255))</f>
        <v/>
      </c>
      <c r="L1255">
        <f>IFERROR(MATCH($C$5&amp;"|"&amp;RIGHT("000000"&amp;1239,6),LdgRankKeyA,0),"")</f>
        <v/>
      </c>
      <c r="M1255">
        <f>IFERROR(MATCH($C$5&amp;"|"&amp;RIGHT("000000"&amp;1239,6),LdgRankKeyB,0),"")</f>
        <v/>
      </c>
    </row>
    <row r="1256">
      <c r="A1256" s="23" t="n">
        <v>1240</v>
      </c>
      <c r="B1256" s="24">
        <f>IF(AND($L1256="",$M1256=""),"",IF($L1256&lt;&gt;"",INDEX(SCNormDate,$L1256),INDEX(LdgDateB,$M1256)))</f>
        <v/>
      </c>
      <c r="C1256" s="24">
        <f>IF($L1256&lt;&gt;"",INDEX(SCOp,$L1256),IF($M1256&lt;&gt;"","پرداخت بانکی",""))</f>
        <v/>
      </c>
      <c r="D1256" s="24">
        <f>IF($L1256&lt;&gt;"",IF(INDEX(SCDoc,$L1256)="","—",INDEX(SCDoc,$L1256)),IF($M1256&lt;&gt;"",INDEX(LdgBankB,$M1256),""))</f>
        <v/>
      </c>
      <c r="E1256" s="25">
        <f>IF($L1256&lt;&gt;"",IF(INDEX(SCCitrus,$L1256)&amp;INDEX(SCNotes,$L1256)="","",IF(INDEX(SCCitrus,$L1256)="","",INDEX(SCCitrus,$L1256))&amp;IF(INDEX(SCNotes,$L1256)="",""," — "&amp;INDEX(SCNotes,$L1256))),IF($M1256&lt;&gt;"",IF(INDEX(LdgNoteB,$M1256)="","—",INDEX(LdgNoteB,$M1256)),""))</f>
        <v/>
      </c>
      <c r="F1256" s="26">
        <f>IF($L1256&lt;&gt;"",IF(INDEX(SCNet,$L1256)=0,"",INDEX(SCNet,$L1256)),"")</f>
        <v/>
      </c>
      <c r="G1256" s="27">
        <f>IF($L1256&lt;&gt;"",IF(INDEX(SCOp,$L1256)="مرجوعی فروش","",IF(INDEX(SCAmount,$L1256)&lt;=0,"",INDEX(SCAmount,$L1256))),IF($M1256&lt;&gt;"",IF(INDEX(LdgWitB,$M1256)=0,"",INDEX(LdgWitB,$M1256)),""))</f>
        <v/>
      </c>
      <c r="H1256" s="27">
        <f>IF($L1256&lt;&gt;"",IF(INDEX(SCOp,$L1256)="مرجوعی فروش",IF(INDEX(SCAmount,$L1256)=0,"",-INDEX(SCAmount,$L1256)),""),IF($M1256&lt;&gt;"",IF(INDEX(LdgDepB,$M1256)=0,"",INDEX(LdgDepB,$M1256)),""))</f>
        <v/>
      </c>
      <c r="I1256" s="28">
        <f>IF($B1256="","",IF($I1255="",$C$10,$I1255)+IF($G1256="",0,$G1256)-IF($H1256="",0,$H1256))</f>
        <v/>
      </c>
      <c r="L1256">
        <f>IFERROR(MATCH($C$5&amp;"|"&amp;RIGHT("000000"&amp;1240,6),LdgRankKeyA,0),"")</f>
        <v/>
      </c>
      <c r="M1256">
        <f>IFERROR(MATCH($C$5&amp;"|"&amp;RIGHT("000000"&amp;1240,6),LdgRankKeyB,0),"")</f>
        <v/>
      </c>
    </row>
    <row r="1257">
      <c r="A1257" s="17" t="n">
        <v>1241</v>
      </c>
      <c r="B1257" s="18">
        <f>IF(AND($L1257="",$M1257=""),"",IF($L1257&lt;&gt;"",INDEX(SCNormDate,$L1257),INDEX(LdgDateB,$M1257)))</f>
        <v/>
      </c>
      <c r="C1257" s="18">
        <f>IF($L1257&lt;&gt;"",INDEX(SCOp,$L1257),IF($M1257&lt;&gt;"","پرداخت بانکی",""))</f>
        <v/>
      </c>
      <c r="D1257" s="18">
        <f>IF($L1257&lt;&gt;"",IF(INDEX(SCDoc,$L1257)="","—",INDEX(SCDoc,$L1257)),IF($M1257&lt;&gt;"",INDEX(LdgBankB,$M1257),""))</f>
        <v/>
      </c>
      <c r="E1257" s="19">
        <f>IF($L1257&lt;&gt;"",IF(INDEX(SCCitrus,$L1257)&amp;INDEX(SCNotes,$L1257)="","",IF(INDEX(SCCitrus,$L1257)="","",INDEX(SCCitrus,$L1257))&amp;IF(INDEX(SCNotes,$L1257)="",""," — "&amp;INDEX(SCNotes,$L1257))),IF($M1257&lt;&gt;"",IF(INDEX(LdgNoteB,$M1257)="","—",INDEX(LdgNoteB,$M1257)),""))</f>
        <v/>
      </c>
      <c r="F1257" s="20">
        <f>IF($L1257&lt;&gt;"",IF(INDEX(SCNet,$L1257)=0,"",INDEX(SCNet,$L1257)),"")</f>
        <v/>
      </c>
      <c r="G1257" s="21">
        <f>IF($L1257&lt;&gt;"",IF(INDEX(SCOp,$L1257)="مرجوعی فروش","",IF(INDEX(SCAmount,$L1257)&lt;=0,"",INDEX(SCAmount,$L1257))),IF($M1257&lt;&gt;"",IF(INDEX(LdgWitB,$M1257)=0,"",INDEX(LdgWitB,$M1257)),""))</f>
        <v/>
      </c>
      <c r="H1257" s="21">
        <f>IF($L1257&lt;&gt;"",IF(INDEX(SCOp,$L1257)="مرجوعی فروش",IF(INDEX(SCAmount,$L1257)=0,"",-INDEX(SCAmount,$L1257)),""),IF($M1257&lt;&gt;"",IF(INDEX(LdgDepB,$M1257)=0,"",INDEX(LdgDepB,$M1257)),""))</f>
        <v/>
      </c>
      <c r="I1257" s="22">
        <f>IF($B1257="","",IF($I1256="",$C$10,$I1256)+IF($G1257="",0,$G1257)-IF($H1257="",0,$H1257))</f>
        <v/>
      </c>
      <c r="L1257">
        <f>IFERROR(MATCH($C$5&amp;"|"&amp;RIGHT("000000"&amp;1241,6),LdgRankKeyA,0),"")</f>
        <v/>
      </c>
      <c r="M1257">
        <f>IFERROR(MATCH($C$5&amp;"|"&amp;RIGHT("000000"&amp;1241,6),LdgRankKeyB,0),"")</f>
        <v/>
      </c>
    </row>
    <row r="1258">
      <c r="A1258" s="23" t="n">
        <v>1242</v>
      </c>
      <c r="B1258" s="24">
        <f>IF(AND($L1258="",$M1258=""),"",IF($L1258&lt;&gt;"",INDEX(SCNormDate,$L1258),INDEX(LdgDateB,$M1258)))</f>
        <v/>
      </c>
      <c r="C1258" s="24">
        <f>IF($L1258&lt;&gt;"",INDEX(SCOp,$L1258),IF($M1258&lt;&gt;"","پرداخت بانکی",""))</f>
        <v/>
      </c>
      <c r="D1258" s="24">
        <f>IF($L1258&lt;&gt;"",IF(INDEX(SCDoc,$L1258)="","—",INDEX(SCDoc,$L1258)),IF($M1258&lt;&gt;"",INDEX(LdgBankB,$M1258),""))</f>
        <v/>
      </c>
      <c r="E1258" s="25">
        <f>IF($L1258&lt;&gt;"",IF(INDEX(SCCitrus,$L1258)&amp;INDEX(SCNotes,$L1258)="","",IF(INDEX(SCCitrus,$L1258)="","",INDEX(SCCitrus,$L1258))&amp;IF(INDEX(SCNotes,$L1258)="",""," — "&amp;INDEX(SCNotes,$L1258))),IF($M1258&lt;&gt;"",IF(INDEX(LdgNoteB,$M1258)="","—",INDEX(LdgNoteB,$M1258)),""))</f>
        <v/>
      </c>
      <c r="F1258" s="26">
        <f>IF($L1258&lt;&gt;"",IF(INDEX(SCNet,$L1258)=0,"",INDEX(SCNet,$L1258)),"")</f>
        <v/>
      </c>
      <c r="G1258" s="27">
        <f>IF($L1258&lt;&gt;"",IF(INDEX(SCOp,$L1258)="مرجوعی فروش","",IF(INDEX(SCAmount,$L1258)&lt;=0,"",INDEX(SCAmount,$L1258))),IF($M1258&lt;&gt;"",IF(INDEX(LdgWitB,$M1258)=0,"",INDEX(LdgWitB,$M1258)),""))</f>
        <v/>
      </c>
      <c r="H1258" s="27">
        <f>IF($L1258&lt;&gt;"",IF(INDEX(SCOp,$L1258)="مرجوعی فروش",IF(INDEX(SCAmount,$L1258)=0,"",-INDEX(SCAmount,$L1258)),""),IF($M1258&lt;&gt;"",IF(INDEX(LdgDepB,$M1258)=0,"",INDEX(LdgDepB,$M1258)),""))</f>
        <v/>
      </c>
      <c r="I1258" s="28">
        <f>IF($B1258="","",IF($I1257="",$C$10,$I1257)+IF($G1258="",0,$G1258)-IF($H1258="",0,$H1258))</f>
        <v/>
      </c>
      <c r="L1258">
        <f>IFERROR(MATCH($C$5&amp;"|"&amp;RIGHT("000000"&amp;1242,6),LdgRankKeyA,0),"")</f>
        <v/>
      </c>
      <c r="M1258">
        <f>IFERROR(MATCH($C$5&amp;"|"&amp;RIGHT("000000"&amp;1242,6),LdgRankKeyB,0),"")</f>
        <v/>
      </c>
    </row>
    <row r="1259">
      <c r="A1259" s="17" t="n">
        <v>1243</v>
      </c>
      <c r="B1259" s="18">
        <f>IF(AND($L1259="",$M1259=""),"",IF($L1259&lt;&gt;"",INDEX(SCNormDate,$L1259),INDEX(LdgDateB,$M1259)))</f>
        <v/>
      </c>
      <c r="C1259" s="18">
        <f>IF($L1259&lt;&gt;"",INDEX(SCOp,$L1259),IF($M1259&lt;&gt;"","پرداخت بانکی",""))</f>
        <v/>
      </c>
      <c r="D1259" s="18">
        <f>IF($L1259&lt;&gt;"",IF(INDEX(SCDoc,$L1259)="","—",INDEX(SCDoc,$L1259)),IF($M1259&lt;&gt;"",INDEX(LdgBankB,$M1259),""))</f>
        <v/>
      </c>
      <c r="E1259" s="19">
        <f>IF($L1259&lt;&gt;"",IF(INDEX(SCCitrus,$L1259)&amp;INDEX(SCNotes,$L1259)="","",IF(INDEX(SCCitrus,$L1259)="","",INDEX(SCCitrus,$L1259))&amp;IF(INDEX(SCNotes,$L1259)="",""," — "&amp;INDEX(SCNotes,$L1259))),IF($M1259&lt;&gt;"",IF(INDEX(LdgNoteB,$M1259)="","—",INDEX(LdgNoteB,$M1259)),""))</f>
        <v/>
      </c>
      <c r="F1259" s="20">
        <f>IF($L1259&lt;&gt;"",IF(INDEX(SCNet,$L1259)=0,"",INDEX(SCNet,$L1259)),"")</f>
        <v/>
      </c>
      <c r="G1259" s="21">
        <f>IF($L1259&lt;&gt;"",IF(INDEX(SCOp,$L1259)="مرجوعی فروش","",IF(INDEX(SCAmount,$L1259)&lt;=0,"",INDEX(SCAmount,$L1259))),IF($M1259&lt;&gt;"",IF(INDEX(LdgWitB,$M1259)=0,"",INDEX(LdgWitB,$M1259)),""))</f>
        <v/>
      </c>
      <c r="H1259" s="21">
        <f>IF($L1259&lt;&gt;"",IF(INDEX(SCOp,$L1259)="مرجوعی فروش",IF(INDEX(SCAmount,$L1259)=0,"",-INDEX(SCAmount,$L1259)),""),IF($M1259&lt;&gt;"",IF(INDEX(LdgDepB,$M1259)=0,"",INDEX(LdgDepB,$M1259)),""))</f>
        <v/>
      </c>
      <c r="I1259" s="22">
        <f>IF($B1259="","",IF($I1258="",$C$10,$I1258)+IF($G1259="",0,$G1259)-IF($H1259="",0,$H1259))</f>
        <v/>
      </c>
      <c r="L1259">
        <f>IFERROR(MATCH($C$5&amp;"|"&amp;RIGHT("000000"&amp;1243,6),LdgRankKeyA,0),"")</f>
        <v/>
      </c>
      <c r="M1259">
        <f>IFERROR(MATCH($C$5&amp;"|"&amp;RIGHT("000000"&amp;1243,6),LdgRankKeyB,0),"")</f>
        <v/>
      </c>
    </row>
    <row r="1260">
      <c r="A1260" s="23" t="n">
        <v>1244</v>
      </c>
      <c r="B1260" s="24">
        <f>IF(AND($L1260="",$M1260=""),"",IF($L1260&lt;&gt;"",INDEX(SCNormDate,$L1260),INDEX(LdgDateB,$M1260)))</f>
        <v/>
      </c>
      <c r="C1260" s="24">
        <f>IF($L1260&lt;&gt;"",INDEX(SCOp,$L1260),IF($M1260&lt;&gt;"","پرداخت بانکی",""))</f>
        <v/>
      </c>
      <c r="D1260" s="24">
        <f>IF($L1260&lt;&gt;"",IF(INDEX(SCDoc,$L1260)="","—",INDEX(SCDoc,$L1260)),IF($M1260&lt;&gt;"",INDEX(LdgBankB,$M1260),""))</f>
        <v/>
      </c>
      <c r="E1260" s="25">
        <f>IF($L1260&lt;&gt;"",IF(INDEX(SCCitrus,$L1260)&amp;INDEX(SCNotes,$L1260)="","",IF(INDEX(SCCitrus,$L1260)="","",INDEX(SCCitrus,$L1260))&amp;IF(INDEX(SCNotes,$L1260)="",""," — "&amp;INDEX(SCNotes,$L1260))),IF($M1260&lt;&gt;"",IF(INDEX(LdgNoteB,$M1260)="","—",INDEX(LdgNoteB,$M1260)),""))</f>
        <v/>
      </c>
      <c r="F1260" s="26">
        <f>IF($L1260&lt;&gt;"",IF(INDEX(SCNet,$L1260)=0,"",INDEX(SCNet,$L1260)),"")</f>
        <v/>
      </c>
      <c r="G1260" s="27">
        <f>IF($L1260&lt;&gt;"",IF(INDEX(SCOp,$L1260)="مرجوعی فروش","",IF(INDEX(SCAmount,$L1260)&lt;=0,"",INDEX(SCAmount,$L1260))),IF($M1260&lt;&gt;"",IF(INDEX(LdgWitB,$M1260)=0,"",INDEX(LdgWitB,$M1260)),""))</f>
        <v/>
      </c>
      <c r="H1260" s="27">
        <f>IF($L1260&lt;&gt;"",IF(INDEX(SCOp,$L1260)="مرجوعی فروش",IF(INDEX(SCAmount,$L1260)=0,"",-INDEX(SCAmount,$L1260)),""),IF($M1260&lt;&gt;"",IF(INDEX(LdgDepB,$M1260)=0,"",INDEX(LdgDepB,$M1260)),""))</f>
        <v/>
      </c>
      <c r="I1260" s="28">
        <f>IF($B1260="","",IF($I1259="",$C$10,$I1259)+IF($G1260="",0,$G1260)-IF($H1260="",0,$H1260))</f>
        <v/>
      </c>
      <c r="L1260">
        <f>IFERROR(MATCH($C$5&amp;"|"&amp;RIGHT("000000"&amp;1244,6),LdgRankKeyA,0),"")</f>
        <v/>
      </c>
      <c r="M1260">
        <f>IFERROR(MATCH($C$5&amp;"|"&amp;RIGHT("000000"&amp;1244,6),LdgRankKeyB,0),"")</f>
        <v/>
      </c>
    </row>
    <row r="1261">
      <c r="A1261" s="17" t="n">
        <v>1245</v>
      </c>
      <c r="B1261" s="18">
        <f>IF(AND($L1261="",$M1261=""),"",IF($L1261&lt;&gt;"",INDEX(SCNormDate,$L1261),INDEX(LdgDateB,$M1261)))</f>
        <v/>
      </c>
      <c r="C1261" s="18">
        <f>IF($L1261&lt;&gt;"",INDEX(SCOp,$L1261),IF($M1261&lt;&gt;"","پرداخت بانکی",""))</f>
        <v/>
      </c>
      <c r="D1261" s="18">
        <f>IF($L1261&lt;&gt;"",IF(INDEX(SCDoc,$L1261)="","—",INDEX(SCDoc,$L1261)),IF($M1261&lt;&gt;"",INDEX(LdgBankB,$M1261),""))</f>
        <v/>
      </c>
      <c r="E1261" s="19">
        <f>IF($L1261&lt;&gt;"",IF(INDEX(SCCitrus,$L1261)&amp;INDEX(SCNotes,$L1261)="","",IF(INDEX(SCCitrus,$L1261)="","",INDEX(SCCitrus,$L1261))&amp;IF(INDEX(SCNotes,$L1261)="",""," — "&amp;INDEX(SCNotes,$L1261))),IF($M1261&lt;&gt;"",IF(INDEX(LdgNoteB,$M1261)="","—",INDEX(LdgNoteB,$M1261)),""))</f>
        <v/>
      </c>
      <c r="F1261" s="20">
        <f>IF($L1261&lt;&gt;"",IF(INDEX(SCNet,$L1261)=0,"",INDEX(SCNet,$L1261)),"")</f>
        <v/>
      </c>
      <c r="G1261" s="21">
        <f>IF($L1261&lt;&gt;"",IF(INDEX(SCOp,$L1261)="مرجوعی فروش","",IF(INDEX(SCAmount,$L1261)&lt;=0,"",INDEX(SCAmount,$L1261))),IF($M1261&lt;&gt;"",IF(INDEX(LdgWitB,$M1261)=0,"",INDEX(LdgWitB,$M1261)),""))</f>
        <v/>
      </c>
      <c r="H1261" s="21">
        <f>IF($L1261&lt;&gt;"",IF(INDEX(SCOp,$L1261)="مرجوعی فروش",IF(INDEX(SCAmount,$L1261)=0,"",-INDEX(SCAmount,$L1261)),""),IF($M1261&lt;&gt;"",IF(INDEX(LdgDepB,$M1261)=0,"",INDEX(LdgDepB,$M1261)),""))</f>
        <v/>
      </c>
      <c r="I1261" s="22">
        <f>IF($B1261="","",IF($I1260="",$C$10,$I1260)+IF($G1261="",0,$G1261)-IF($H1261="",0,$H1261))</f>
        <v/>
      </c>
      <c r="L1261">
        <f>IFERROR(MATCH($C$5&amp;"|"&amp;RIGHT("000000"&amp;1245,6),LdgRankKeyA,0),"")</f>
        <v/>
      </c>
      <c r="M1261">
        <f>IFERROR(MATCH($C$5&amp;"|"&amp;RIGHT("000000"&amp;1245,6),LdgRankKeyB,0),"")</f>
        <v/>
      </c>
    </row>
    <row r="1262">
      <c r="A1262" s="23" t="n">
        <v>1246</v>
      </c>
      <c r="B1262" s="24">
        <f>IF(AND($L1262="",$M1262=""),"",IF($L1262&lt;&gt;"",INDEX(SCNormDate,$L1262),INDEX(LdgDateB,$M1262)))</f>
        <v/>
      </c>
      <c r="C1262" s="24">
        <f>IF($L1262&lt;&gt;"",INDEX(SCOp,$L1262),IF($M1262&lt;&gt;"","پرداخت بانکی",""))</f>
        <v/>
      </c>
      <c r="D1262" s="24">
        <f>IF($L1262&lt;&gt;"",IF(INDEX(SCDoc,$L1262)="","—",INDEX(SCDoc,$L1262)),IF($M1262&lt;&gt;"",INDEX(LdgBankB,$M1262),""))</f>
        <v/>
      </c>
      <c r="E1262" s="25">
        <f>IF($L1262&lt;&gt;"",IF(INDEX(SCCitrus,$L1262)&amp;INDEX(SCNotes,$L1262)="","",IF(INDEX(SCCitrus,$L1262)="","",INDEX(SCCitrus,$L1262))&amp;IF(INDEX(SCNotes,$L1262)="",""," — "&amp;INDEX(SCNotes,$L1262))),IF($M1262&lt;&gt;"",IF(INDEX(LdgNoteB,$M1262)="","—",INDEX(LdgNoteB,$M1262)),""))</f>
        <v/>
      </c>
      <c r="F1262" s="26">
        <f>IF($L1262&lt;&gt;"",IF(INDEX(SCNet,$L1262)=0,"",INDEX(SCNet,$L1262)),"")</f>
        <v/>
      </c>
      <c r="G1262" s="27">
        <f>IF($L1262&lt;&gt;"",IF(INDEX(SCOp,$L1262)="مرجوعی فروش","",IF(INDEX(SCAmount,$L1262)&lt;=0,"",INDEX(SCAmount,$L1262))),IF($M1262&lt;&gt;"",IF(INDEX(LdgWitB,$M1262)=0,"",INDEX(LdgWitB,$M1262)),""))</f>
        <v/>
      </c>
      <c r="H1262" s="27">
        <f>IF($L1262&lt;&gt;"",IF(INDEX(SCOp,$L1262)="مرجوعی فروش",IF(INDEX(SCAmount,$L1262)=0,"",-INDEX(SCAmount,$L1262)),""),IF($M1262&lt;&gt;"",IF(INDEX(LdgDepB,$M1262)=0,"",INDEX(LdgDepB,$M1262)),""))</f>
        <v/>
      </c>
      <c r="I1262" s="28">
        <f>IF($B1262="","",IF($I1261="",$C$10,$I1261)+IF($G1262="",0,$G1262)-IF($H1262="",0,$H1262))</f>
        <v/>
      </c>
      <c r="L1262">
        <f>IFERROR(MATCH($C$5&amp;"|"&amp;RIGHT("000000"&amp;1246,6),LdgRankKeyA,0),"")</f>
        <v/>
      </c>
      <c r="M1262">
        <f>IFERROR(MATCH($C$5&amp;"|"&amp;RIGHT("000000"&amp;1246,6),LdgRankKeyB,0),"")</f>
        <v/>
      </c>
    </row>
    <row r="1263">
      <c r="A1263" s="17" t="n">
        <v>1247</v>
      </c>
      <c r="B1263" s="18">
        <f>IF(AND($L1263="",$M1263=""),"",IF($L1263&lt;&gt;"",INDEX(SCNormDate,$L1263),INDEX(LdgDateB,$M1263)))</f>
        <v/>
      </c>
      <c r="C1263" s="18">
        <f>IF($L1263&lt;&gt;"",INDEX(SCOp,$L1263),IF($M1263&lt;&gt;"","پرداخت بانکی",""))</f>
        <v/>
      </c>
      <c r="D1263" s="18">
        <f>IF($L1263&lt;&gt;"",IF(INDEX(SCDoc,$L1263)="","—",INDEX(SCDoc,$L1263)),IF($M1263&lt;&gt;"",INDEX(LdgBankB,$M1263),""))</f>
        <v/>
      </c>
      <c r="E1263" s="19">
        <f>IF($L1263&lt;&gt;"",IF(INDEX(SCCitrus,$L1263)&amp;INDEX(SCNotes,$L1263)="","",IF(INDEX(SCCitrus,$L1263)="","",INDEX(SCCitrus,$L1263))&amp;IF(INDEX(SCNotes,$L1263)="",""," — "&amp;INDEX(SCNotes,$L1263))),IF($M1263&lt;&gt;"",IF(INDEX(LdgNoteB,$M1263)="","—",INDEX(LdgNoteB,$M1263)),""))</f>
        <v/>
      </c>
      <c r="F1263" s="20">
        <f>IF($L1263&lt;&gt;"",IF(INDEX(SCNet,$L1263)=0,"",INDEX(SCNet,$L1263)),"")</f>
        <v/>
      </c>
      <c r="G1263" s="21">
        <f>IF($L1263&lt;&gt;"",IF(INDEX(SCOp,$L1263)="مرجوعی فروش","",IF(INDEX(SCAmount,$L1263)&lt;=0,"",INDEX(SCAmount,$L1263))),IF($M1263&lt;&gt;"",IF(INDEX(LdgWitB,$M1263)=0,"",INDEX(LdgWitB,$M1263)),""))</f>
        <v/>
      </c>
      <c r="H1263" s="21">
        <f>IF($L1263&lt;&gt;"",IF(INDEX(SCOp,$L1263)="مرجوعی فروش",IF(INDEX(SCAmount,$L1263)=0,"",-INDEX(SCAmount,$L1263)),""),IF($M1263&lt;&gt;"",IF(INDEX(LdgDepB,$M1263)=0,"",INDEX(LdgDepB,$M1263)),""))</f>
        <v/>
      </c>
      <c r="I1263" s="22">
        <f>IF($B1263="","",IF($I1262="",$C$10,$I1262)+IF($G1263="",0,$G1263)-IF($H1263="",0,$H1263))</f>
        <v/>
      </c>
      <c r="L1263">
        <f>IFERROR(MATCH($C$5&amp;"|"&amp;RIGHT("000000"&amp;1247,6),LdgRankKeyA,0),"")</f>
        <v/>
      </c>
      <c r="M1263">
        <f>IFERROR(MATCH($C$5&amp;"|"&amp;RIGHT("000000"&amp;1247,6),LdgRankKeyB,0),"")</f>
        <v/>
      </c>
    </row>
    <row r="1264">
      <c r="A1264" s="23" t="n">
        <v>1248</v>
      </c>
      <c r="B1264" s="24">
        <f>IF(AND($L1264="",$M1264=""),"",IF($L1264&lt;&gt;"",INDEX(SCNormDate,$L1264),INDEX(LdgDateB,$M1264)))</f>
        <v/>
      </c>
      <c r="C1264" s="24">
        <f>IF($L1264&lt;&gt;"",INDEX(SCOp,$L1264),IF($M1264&lt;&gt;"","پرداخت بانکی",""))</f>
        <v/>
      </c>
      <c r="D1264" s="24">
        <f>IF($L1264&lt;&gt;"",IF(INDEX(SCDoc,$L1264)="","—",INDEX(SCDoc,$L1264)),IF($M1264&lt;&gt;"",INDEX(LdgBankB,$M1264),""))</f>
        <v/>
      </c>
      <c r="E1264" s="25">
        <f>IF($L1264&lt;&gt;"",IF(INDEX(SCCitrus,$L1264)&amp;INDEX(SCNotes,$L1264)="","",IF(INDEX(SCCitrus,$L1264)="","",INDEX(SCCitrus,$L1264))&amp;IF(INDEX(SCNotes,$L1264)="",""," — "&amp;INDEX(SCNotes,$L1264))),IF($M1264&lt;&gt;"",IF(INDEX(LdgNoteB,$M1264)="","—",INDEX(LdgNoteB,$M1264)),""))</f>
        <v/>
      </c>
      <c r="F1264" s="26">
        <f>IF($L1264&lt;&gt;"",IF(INDEX(SCNet,$L1264)=0,"",INDEX(SCNet,$L1264)),"")</f>
        <v/>
      </c>
      <c r="G1264" s="27">
        <f>IF($L1264&lt;&gt;"",IF(INDEX(SCOp,$L1264)="مرجوعی فروش","",IF(INDEX(SCAmount,$L1264)&lt;=0,"",INDEX(SCAmount,$L1264))),IF($M1264&lt;&gt;"",IF(INDEX(LdgWitB,$M1264)=0,"",INDEX(LdgWitB,$M1264)),""))</f>
        <v/>
      </c>
      <c r="H1264" s="27">
        <f>IF($L1264&lt;&gt;"",IF(INDEX(SCOp,$L1264)="مرجوعی فروش",IF(INDEX(SCAmount,$L1264)=0,"",-INDEX(SCAmount,$L1264)),""),IF($M1264&lt;&gt;"",IF(INDEX(LdgDepB,$M1264)=0,"",INDEX(LdgDepB,$M1264)),""))</f>
        <v/>
      </c>
      <c r="I1264" s="28">
        <f>IF($B1264="","",IF($I1263="",$C$10,$I1263)+IF($G1264="",0,$G1264)-IF($H1264="",0,$H1264))</f>
        <v/>
      </c>
      <c r="L1264">
        <f>IFERROR(MATCH($C$5&amp;"|"&amp;RIGHT("000000"&amp;1248,6),LdgRankKeyA,0),"")</f>
        <v/>
      </c>
      <c r="M1264">
        <f>IFERROR(MATCH($C$5&amp;"|"&amp;RIGHT("000000"&amp;1248,6),LdgRankKeyB,0),"")</f>
        <v/>
      </c>
    </row>
    <row r="1265">
      <c r="A1265" s="17" t="n">
        <v>1249</v>
      </c>
      <c r="B1265" s="18">
        <f>IF(AND($L1265="",$M1265=""),"",IF($L1265&lt;&gt;"",INDEX(SCNormDate,$L1265),INDEX(LdgDateB,$M1265)))</f>
        <v/>
      </c>
      <c r="C1265" s="18">
        <f>IF($L1265&lt;&gt;"",INDEX(SCOp,$L1265),IF($M1265&lt;&gt;"","پرداخت بانکی",""))</f>
        <v/>
      </c>
      <c r="D1265" s="18">
        <f>IF($L1265&lt;&gt;"",IF(INDEX(SCDoc,$L1265)="","—",INDEX(SCDoc,$L1265)),IF($M1265&lt;&gt;"",INDEX(LdgBankB,$M1265),""))</f>
        <v/>
      </c>
      <c r="E1265" s="19">
        <f>IF($L1265&lt;&gt;"",IF(INDEX(SCCitrus,$L1265)&amp;INDEX(SCNotes,$L1265)="","",IF(INDEX(SCCitrus,$L1265)="","",INDEX(SCCitrus,$L1265))&amp;IF(INDEX(SCNotes,$L1265)="",""," — "&amp;INDEX(SCNotes,$L1265))),IF($M1265&lt;&gt;"",IF(INDEX(LdgNoteB,$M1265)="","—",INDEX(LdgNoteB,$M1265)),""))</f>
        <v/>
      </c>
      <c r="F1265" s="20">
        <f>IF($L1265&lt;&gt;"",IF(INDEX(SCNet,$L1265)=0,"",INDEX(SCNet,$L1265)),"")</f>
        <v/>
      </c>
      <c r="G1265" s="21">
        <f>IF($L1265&lt;&gt;"",IF(INDEX(SCOp,$L1265)="مرجوعی فروش","",IF(INDEX(SCAmount,$L1265)&lt;=0,"",INDEX(SCAmount,$L1265))),IF($M1265&lt;&gt;"",IF(INDEX(LdgWitB,$M1265)=0,"",INDEX(LdgWitB,$M1265)),""))</f>
        <v/>
      </c>
      <c r="H1265" s="21">
        <f>IF($L1265&lt;&gt;"",IF(INDEX(SCOp,$L1265)="مرجوعی فروش",IF(INDEX(SCAmount,$L1265)=0,"",-INDEX(SCAmount,$L1265)),""),IF($M1265&lt;&gt;"",IF(INDEX(LdgDepB,$M1265)=0,"",INDEX(LdgDepB,$M1265)),""))</f>
        <v/>
      </c>
      <c r="I1265" s="22">
        <f>IF($B1265="","",IF($I1264="",$C$10,$I1264)+IF($G1265="",0,$G1265)-IF($H1265="",0,$H1265))</f>
        <v/>
      </c>
      <c r="L1265">
        <f>IFERROR(MATCH($C$5&amp;"|"&amp;RIGHT("000000"&amp;1249,6),LdgRankKeyA,0),"")</f>
        <v/>
      </c>
      <c r="M1265">
        <f>IFERROR(MATCH($C$5&amp;"|"&amp;RIGHT("000000"&amp;1249,6),LdgRankKeyB,0),"")</f>
        <v/>
      </c>
    </row>
    <row r="1266">
      <c r="A1266" s="23" t="n">
        <v>1250</v>
      </c>
      <c r="B1266" s="24">
        <f>IF(AND($L1266="",$M1266=""),"",IF($L1266&lt;&gt;"",INDEX(SCNormDate,$L1266),INDEX(LdgDateB,$M1266)))</f>
        <v/>
      </c>
      <c r="C1266" s="24">
        <f>IF($L1266&lt;&gt;"",INDEX(SCOp,$L1266),IF($M1266&lt;&gt;"","پرداخت بانکی",""))</f>
        <v/>
      </c>
      <c r="D1266" s="24">
        <f>IF($L1266&lt;&gt;"",IF(INDEX(SCDoc,$L1266)="","—",INDEX(SCDoc,$L1266)),IF($M1266&lt;&gt;"",INDEX(LdgBankB,$M1266),""))</f>
        <v/>
      </c>
      <c r="E1266" s="25">
        <f>IF($L1266&lt;&gt;"",IF(INDEX(SCCitrus,$L1266)&amp;INDEX(SCNotes,$L1266)="","",IF(INDEX(SCCitrus,$L1266)="","",INDEX(SCCitrus,$L1266))&amp;IF(INDEX(SCNotes,$L1266)="",""," — "&amp;INDEX(SCNotes,$L1266))),IF($M1266&lt;&gt;"",IF(INDEX(LdgNoteB,$M1266)="","—",INDEX(LdgNoteB,$M1266)),""))</f>
        <v/>
      </c>
      <c r="F1266" s="26">
        <f>IF($L1266&lt;&gt;"",IF(INDEX(SCNet,$L1266)=0,"",INDEX(SCNet,$L1266)),"")</f>
        <v/>
      </c>
      <c r="G1266" s="27">
        <f>IF($L1266&lt;&gt;"",IF(INDEX(SCOp,$L1266)="مرجوعی فروش","",IF(INDEX(SCAmount,$L1266)&lt;=0,"",INDEX(SCAmount,$L1266))),IF($M1266&lt;&gt;"",IF(INDEX(LdgWitB,$M1266)=0,"",INDEX(LdgWitB,$M1266)),""))</f>
        <v/>
      </c>
      <c r="H1266" s="27">
        <f>IF($L1266&lt;&gt;"",IF(INDEX(SCOp,$L1266)="مرجوعی فروش",IF(INDEX(SCAmount,$L1266)=0,"",-INDEX(SCAmount,$L1266)),""),IF($M1266&lt;&gt;"",IF(INDEX(LdgDepB,$M1266)=0,"",INDEX(LdgDepB,$M1266)),""))</f>
        <v/>
      </c>
      <c r="I1266" s="28">
        <f>IF($B1266="","",IF($I1265="",$C$10,$I1265)+IF($G1266="",0,$G1266)-IF($H1266="",0,$H1266))</f>
        <v/>
      </c>
      <c r="L1266">
        <f>IFERROR(MATCH($C$5&amp;"|"&amp;RIGHT("000000"&amp;1250,6),LdgRankKeyA,0),"")</f>
        <v/>
      </c>
      <c r="M1266">
        <f>IFERROR(MATCH($C$5&amp;"|"&amp;RIGHT("000000"&amp;1250,6),LdgRankKeyB,0),"")</f>
        <v/>
      </c>
    </row>
    <row r="1267">
      <c r="A1267" s="17" t="n">
        <v>1251</v>
      </c>
      <c r="B1267" s="18">
        <f>IF(AND($L1267="",$M1267=""),"",IF($L1267&lt;&gt;"",INDEX(SCNormDate,$L1267),INDEX(LdgDateB,$M1267)))</f>
        <v/>
      </c>
      <c r="C1267" s="18">
        <f>IF($L1267&lt;&gt;"",INDEX(SCOp,$L1267),IF($M1267&lt;&gt;"","پرداخت بانکی",""))</f>
        <v/>
      </c>
      <c r="D1267" s="18">
        <f>IF($L1267&lt;&gt;"",IF(INDEX(SCDoc,$L1267)="","—",INDEX(SCDoc,$L1267)),IF($M1267&lt;&gt;"",INDEX(LdgBankB,$M1267),""))</f>
        <v/>
      </c>
      <c r="E1267" s="19">
        <f>IF($L1267&lt;&gt;"",IF(INDEX(SCCitrus,$L1267)&amp;INDEX(SCNotes,$L1267)="","",IF(INDEX(SCCitrus,$L1267)="","",INDEX(SCCitrus,$L1267))&amp;IF(INDEX(SCNotes,$L1267)="",""," — "&amp;INDEX(SCNotes,$L1267))),IF($M1267&lt;&gt;"",IF(INDEX(LdgNoteB,$M1267)="","—",INDEX(LdgNoteB,$M1267)),""))</f>
        <v/>
      </c>
      <c r="F1267" s="20">
        <f>IF($L1267&lt;&gt;"",IF(INDEX(SCNet,$L1267)=0,"",INDEX(SCNet,$L1267)),"")</f>
        <v/>
      </c>
      <c r="G1267" s="21">
        <f>IF($L1267&lt;&gt;"",IF(INDEX(SCOp,$L1267)="مرجوعی فروش","",IF(INDEX(SCAmount,$L1267)&lt;=0,"",INDEX(SCAmount,$L1267))),IF($M1267&lt;&gt;"",IF(INDEX(LdgWitB,$M1267)=0,"",INDEX(LdgWitB,$M1267)),""))</f>
        <v/>
      </c>
      <c r="H1267" s="21">
        <f>IF($L1267&lt;&gt;"",IF(INDEX(SCOp,$L1267)="مرجوعی فروش",IF(INDEX(SCAmount,$L1267)=0,"",-INDEX(SCAmount,$L1267)),""),IF($M1267&lt;&gt;"",IF(INDEX(LdgDepB,$M1267)=0,"",INDEX(LdgDepB,$M1267)),""))</f>
        <v/>
      </c>
      <c r="I1267" s="22">
        <f>IF($B1267="","",IF($I1266="",$C$10,$I1266)+IF($G1267="",0,$G1267)-IF($H1267="",0,$H1267))</f>
        <v/>
      </c>
      <c r="L1267">
        <f>IFERROR(MATCH($C$5&amp;"|"&amp;RIGHT("000000"&amp;1251,6),LdgRankKeyA,0),"")</f>
        <v/>
      </c>
      <c r="M1267">
        <f>IFERROR(MATCH($C$5&amp;"|"&amp;RIGHT("000000"&amp;1251,6),LdgRankKeyB,0),"")</f>
        <v/>
      </c>
    </row>
    <row r="1268">
      <c r="A1268" s="23" t="n">
        <v>1252</v>
      </c>
      <c r="B1268" s="24">
        <f>IF(AND($L1268="",$M1268=""),"",IF($L1268&lt;&gt;"",INDEX(SCNormDate,$L1268),INDEX(LdgDateB,$M1268)))</f>
        <v/>
      </c>
      <c r="C1268" s="24">
        <f>IF($L1268&lt;&gt;"",INDEX(SCOp,$L1268),IF($M1268&lt;&gt;"","پرداخت بانکی",""))</f>
        <v/>
      </c>
      <c r="D1268" s="24">
        <f>IF($L1268&lt;&gt;"",IF(INDEX(SCDoc,$L1268)="","—",INDEX(SCDoc,$L1268)),IF($M1268&lt;&gt;"",INDEX(LdgBankB,$M1268),""))</f>
        <v/>
      </c>
      <c r="E1268" s="25">
        <f>IF($L1268&lt;&gt;"",IF(INDEX(SCCitrus,$L1268)&amp;INDEX(SCNotes,$L1268)="","",IF(INDEX(SCCitrus,$L1268)="","",INDEX(SCCitrus,$L1268))&amp;IF(INDEX(SCNotes,$L1268)="",""," — "&amp;INDEX(SCNotes,$L1268))),IF($M1268&lt;&gt;"",IF(INDEX(LdgNoteB,$M1268)="","—",INDEX(LdgNoteB,$M1268)),""))</f>
        <v/>
      </c>
      <c r="F1268" s="26">
        <f>IF($L1268&lt;&gt;"",IF(INDEX(SCNet,$L1268)=0,"",INDEX(SCNet,$L1268)),"")</f>
        <v/>
      </c>
      <c r="G1268" s="27">
        <f>IF($L1268&lt;&gt;"",IF(INDEX(SCOp,$L1268)="مرجوعی فروش","",IF(INDEX(SCAmount,$L1268)&lt;=0,"",INDEX(SCAmount,$L1268))),IF($M1268&lt;&gt;"",IF(INDEX(LdgWitB,$M1268)=0,"",INDEX(LdgWitB,$M1268)),""))</f>
        <v/>
      </c>
      <c r="H1268" s="27">
        <f>IF($L1268&lt;&gt;"",IF(INDEX(SCOp,$L1268)="مرجوعی فروش",IF(INDEX(SCAmount,$L1268)=0,"",-INDEX(SCAmount,$L1268)),""),IF($M1268&lt;&gt;"",IF(INDEX(LdgDepB,$M1268)=0,"",INDEX(LdgDepB,$M1268)),""))</f>
        <v/>
      </c>
      <c r="I1268" s="28">
        <f>IF($B1268="","",IF($I1267="",$C$10,$I1267)+IF($G1268="",0,$G1268)-IF($H1268="",0,$H1268))</f>
        <v/>
      </c>
      <c r="L1268">
        <f>IFERROR(MATCH($C$5&amp;"|"&amp;RIGHT("000000"&amp;1252,6),LdgRankKeyA,0),"")</f>
        <v/>
      </c>
      <c r="M1268">
        <f>IFERROR(MATCH($C$5&amp;"|"&amp;RIGHT("000000"&amp;1252,6),LdgRankKeyB,0),"")</f>
        <v/>
      </c>
    </row>
    <row r="1269">
      <c r="A1269" s="17" t="n">
        <v>1253</v>
      </c>
      <c r="B1269" s="18">
        <f>IF(AND($L1269="",$M1269=""),"",IF($L1269&lt;&gt;"",INDEX(SCNormDate,$L1269),INDEX(LdgDateB,$M1269)))</f>
        <v/>
      </c>
      <c r="C1269" s="18">
        <f>IF($L1269&lt;&gt;"",INDEX(SCOp,$L1269),IF($M1269&lt;&gt;"","پرداخت بانکی",""))</f>
        <v/>
      </c>
      <c r="D1269" s="18">
        <f>IF($L1269&lt;&gt;"",IF(INDEX(SCDoc,$L1269)="","—",INDEX(SCDoc,$L1269)),IF($M1269&lt;&gt;"",INDEX(LdgBankB,$M1269),""))</f>
        <v/>
      </c>
      <c r="E1269" s="19">
        <f>IF($L1269&lt;&gt;"",IF(INDEX(SCCitrus,$L1269)&amp;INDEX(SCNotes,$L1269)="","",IF(INDEX(SCCitrus,$L1269)="","",INDEX(SCCitrus,$L1269))&amp;IF(INDEX(SCNotes,$L1269)="",""," — "&amp;INDEX(SCNotes,$L1269))),IF($M1269&lt;&gt;"",IF(INDEX(LdgNoteB,$M1269)="","—",INDEX(LdgNoteB,$M1269)),""))</f>
        <v/>
      </c>
      <c r="F1269" s="20">
        <f>IF($L1269&lt;&gt;"",IF(INDEX(SCNet,$L1269)=0,"",INDEX(SCNet,$L1269)),"")</f>
        <v/>
      </c>
      <c r="G1269" s="21">
        <f>IF($L1269&lt;&gt;"",IF(INDEX(SCOp,$L1269)="مرجوعی فروش","",IF(INDEX(SCAmount,$L1269)&lt;=0,"",INDEX(SCAmount,$L1269))),IF($M1269&lt;&gt;"",IF(INDEX(LdgWitB,$M1269)=0,"",INDEX(LdgWitB,$M1269)),""))</f>
        <v/>
      </c>
      <c r="H1269" s="21">
        <f>IF($L1269&lt;&gt;"",IF(INDEX(SCOp,$L1269)="مرجوعی فروش",IF(INDEX(SCAmount,$L1269)=0,"",-INDEX(SCAmount,$L1269)),""),IF($M1269&lt;&gt;"",IF(INDEX(LdgDepB,$M1269)=0,"",INDEX(LdgDepB,$M1269)),""))</f>
        <v/>
      </c>
      <c r="I1269" s="22">
        <f>IF($B1269="","",IF($I1268="",$C$10,$I1268)+IF($G1269="",0,$G1269)-IF($H1269="",0,$H1269))</f>
        <v/>
      </c>
      <c r="L1269">
        <f>IFERROR(MATCH($C$5&amp;"|"&amp;RIGHT("000000"&amp;1253,6),LdgRankKeyA,0),"")</f>
        <v/>
      </c>
      <c r="M1269">
        <f>IFERROR(MATCH($C$5&amp;"|"&amp;RIGHT("000000"&amp;1253,6),LdgRankKeyB,0),"")</f>
        <v/>
      </c>
    </row>
    <row r="1270">
      <c r="A1270" s="23" t="n">
        <v>1254</v>
      </c>
      <c r="B1270" s="24">
        <f>IF(AND($L1270="",$M1270=""),"",IF($L1270&lt;&gt;"",INDEX(SCNormDate,$L1270),INDEX(LdgDateB,$M1270)))</f>
        <v/>
      </c>
      <c r="C1270" s="24">
        <f>IF($L1270&lt;&gt;"",INDEX(SCOp,$L1270),IF($M1270&lt;&gt;"","پرداخت بانکی",""))</f>
        <v/>
      </c>
      <c r="D1270" s="24">
        <f>IF($L1270&lt;&gt;"",IF(INDEX(SCDoc,$L1270)="","—",INDEX(SCDoc,$L1270)),IF($M1270&lt;&gt;"",INDEX(LdgBankB,$M1270),""))</f>
        <v/>
      </c>
      <c r="E1270" s="25">
        <f>IF($L1270&lt;&gt;"",IF(INDEX(SCCitrus,$L1270)&amp;INDEX(SCNotes,$L1270)="","",IF(INDEX(SCCitrus,$L1270)="","",INDEX(SCCitrus,$L1270))&amp;IF(INDEX(SCNotes,$L1270)="",""," — "&amp;INDEX(SCNotes,$L1270))),IF($M1270&lt;&gt;"",IF(INDEX(LdgNoteB,$M1270)="","—",INDEX(LdgNoteB,$M1270)),""))</f>
        <v/>
      </c>
      <c r="F1270" s="26">
        <f>IF($L1270&lt;&gt;"",IF(INDEX(SCNet,$L1270)=0,"",INDEX(SCNet,$L1270)),"")</f>
        <v/>
      </c>
      <c r="G1270" s="27">
        <f>IF($L1270&lt;&gt;"",IF(INDEX(SCOp,$L1270)="مرجوعی فروش","",IF(INDEX(SCAmount,$L1270)&lt;=0,"",INDEX(SCAmount,$L1270))),IF($M1270&lt;&gt;"",IF(INDEX(LdgWitB,$M1270)=0,"",INDEX(LdgWitB,$M1270)),""))</f>
        <v/>
      </c>
      <c r="H1270" s="27">
        <f>IF($L1270&lt;&gt;"",IF(INDEX(SCOp,$L1270)="مرجوعی فروش",IF(INDEX(SCAmount,$L1270)=0,"",-INDEX(SCAmount,$L1270)),""),IF($M1270&lt;&gt;"",IF(INDEX(LdgDepB,$M1270)=0,"",INDEX(LdgDepB,$M1270)),""))</f>
        <v/>
      </c>
      <c r="I1270" s="28">
        <f>IF($B1270="","",IF($I1269="",$C$10,$I1269)+IF($G1270="",0,$G1270)-IF($H1270="",0,$H1270))</f>
        <v/>
      </c>
      <c r="L1270">
        <f>IFERROR(MATCH($C$5&amp;"|"&amp;RIGHT("000000"&amp;1254,6),LdgRankKeyA,0),"")</f>
        <v/>
      </c>
      <c r="M1270">
        <f>IFERROR(MATCH($C$5&amp;"|"&amp;RIGHT("000000"&amp;1254,6),LdgRankKeyB,0),"")</f>
        <v/>
      </c>
    </row>
    <row r="1271">
      <c r="A1271" s="17" t="n">
        <v>1255</v>
      </c>
      <c r="B1271" s="18">
        <f>IF(AND($L1271="",$M1271=""),"",IF($L1271&lt;&gt;"",INDEX(SCNormDate,$L1271),INDEX(LdgDateB,$M1271)))</f>
        <v/>
      </c>
      <c r="C1271" s="18">
        <f>IF($L1271&lt;&gt;"",INDEX(SCOp,$L1271),IF($M1271&lt;&gt;"","پرداخت بانکی",""))</f>
        <v/>
      </c>
      <c r="D1271" s="18">
        <f>IF($L1271&lt;&gt;"",IF(INDEX(SCDoc,$L1271)="","—",INDEX(SCDoc,$L1271)),IF($M1271&lt;&gt;"",INDEX(LdgBankB,$M1271),""))</f>
        <v/>
      </c>
      <c r="E1271" s="19">
        <f>IF($L1271&lt;&gt;"",IF(INDEX(SCCitrus,$L1271)&amp;INDEX(SCNotes,$L1271)="","",IF(INDEX(SCCitrus,$L1271)="","",INDEX(SCCitrus,$L1271))&amp;IF(INDEX(SCNotes,$L1271)="",""," — "&amp;INDEX(SCNotes,$L1271))),IF($M1271&lt;&gt;"",IF(INDEX(LdgNoteB,$M1271)="","—",INDEX(LdgNoteB,$M1271)),""))</f>
        <v/>
      </c>
      <c r="F1271" s="20">
        <f>IF($L1271&lt;&gt;"",IF(INDEX(SCNet,$L1271)=0,"",INDEX(SCNet,$L1271)),"")</f>
        <v/>
      </c>
      <c r="G1271" s="21">
        <f>IF($L1271&lt;&gt;"",IF(INDEX(SCOp,$L1271)="مرجوعی فروش","",IF(INDEX(SCAmount,$L1271)&lt;=0,"",INDEX(SCAmount,$L1271))),IF($M1271&lt;&gt;"",IF(INDEX(LdgWitB,$M1271)=0,"",INDEX(LdgWitB,$M1271)),""))</f>
        <v/>
      </c>
      <c r="H1271" s="21">
        <f>IF($L1271&lt;&gt;"",IF(INDEX(SCOp,$L1271)="مرجوعی فروش",IF(INDEX(SCAmount,$L1271)=0,"",-INDEX(SCAmount,$L1271)),""),IF($M1271&lt;&gt;"",IF(INDEX(LdgDepB,$M1271)=0,"",INDEX(LdgDepB,$M1271)),""))</f>
        <v/>
      </c>
      <c r="I1271" s="22">
        <f>IF($B1271="","",IF($I1270="",$C$10,$I1270)+IF($G1271="",0,$G1271)-IF($H1271="",0,$H1271))</f>
        <v/>
      </c>
      <c r="L1271">
        <f>IFERROR(MATCH($C$5&amp;"|"&amp;RIGHT("000000"&amp;1255,6),LdgRankKeyA,0),"")</f>
        <v/>
      </c>
      <c r="M1271">
        <f>IFERROR(MATCH($C$5&amp;"|"&amp;RIGHT("000000"&amp;1255,6),LdgRankKeyB,0),"")</f>
        <v/>
      </c>
    </row>
    <row r="1272">
      <c r="A1272" s="23" t="n">
        <v>1256</v>
      </c>
      <c r="B1272" s="24">
        <f>IF(AND($L1272="",$M1272=""),"",IF($L1272&lt;&gt;"",INDEX(SCNormDate,$L1272),INDEX(LdgDateB,$M1272)))</f>
        <v/>
      </c>
      <c r="C1272" s="24">
        <f>IF($L1272&lt;&gt;"",INDEX(SCOp,$L1272),IF($M1272&lt;&gt;"","پرداخت بانکی",""))</f>
        <v/>
      </c>
      <c r="D1272" s="24">
        <f>IF($L1272&lt;&gt;"",IF(INDEX(SCDoc,$L1272)="","—",INDEX(SCDoc,$L1272)),IF($M1272&lt;&gt;"",INDEX(LdgBankB,$M1272),""))</f>
        <v/>
      </c>
      <c r="E1272" s="25">
        <f>IF($L1272&lt;&gt;"",IF(INDEX(SCCitrus,$L1272)&amp;INDEX(SCNotes,$L1272)="","",IF(INDEX(SCCitrus,$L1272)="","",INDEX(SCCitrus,$L1272))&amp;IF(INDEX(SCNotes,$L1272)="",""," — "&amp;INDEX(SCNotes,$L1272))),IF($M1272&lt;&gt;"",IF(INDEX(LdgNoteB,$M1272)="","—",INDEX(LdgNoteB,$M1272)),""))</f>
        <v/>
      </c>
      <c r="F1272" s="26">
        <f>IF($L1272&lt;&gt;"",IF(INDEX(SCNet,$L1272)=0,"",INDEX(SCNet,$L1272)),"")</f>
        <v/>
      </c>
      <c r="G1272" s="27">
        <f>IF($L1272&lt;&gt;"",IF(INDEX(SCOp,$L1272)="مرجوعی فروش","",IF(INDEX(SCAmount,$L1272)&lt;=0,"",INDEX(SCAmount,$L1272))),IF($M1272&lt;&gt;"",IF(INDEX(LdgWitB,$M1272)=0,"",INDEX(LdgWitB,$M1272)),""))</f>
        <v/>
      </c>
      <c r="H1272" s="27">
        <f>IF($L1272&lt;&gt;"",IF(INDEX(SCOp,$L1272)="مرجوعی فروش",IF(INDEX(SCAmount,$L1272)=0,"",-INDEX(SCAmount,$L1272)),""),IF($M1272&lt;&gt;"",IF(INDEX(LdgDepB,$M1272)=0,"",INDEX(LdgDepB,$M1272)),""))</f>
        <v/>
      </c>
      <c r="I1272" s="28">
        <f>IF($B1272="","",IF($I1271="",$C$10,$I1271)+IF($G1272="",0,$G1272)-IF($H1272="",0,$H1272))</f>
        <v/>
      </c>
      <c r="L1272">
        <f>IFERROR(MATCH($C$5&amp;"|"&amp;RIGHT("000000"&amp;1256,6),LdgRankKeyA,0),"")</f>
        <v/>
      </c>
      <c r="M1272">
        <f>IFERROR(MATCH($C$5&amp;"|"&amp;RIGHT("000000"&amp;1256,6),LdgRankKeyB,0),"")</f>
        <v/>
      </c>
    </row>
    <row r="1273">
      <c r="A1273" s="17" t="n">
        <v>1257</v>
      </c>
      <c r="B1273" s="18">
        <f>IF(AND($L1273="",$M1273=""),"",IF($L1273&lt;&gt;"",INDEX(SCNormDate,$L1273),INDEX(LdgDateB,$M1273)))</f>
        <v/>
      </c>
      <c r="C1273" s="18">
        <f>IF($L1273&lt;&gt;"",INDEX(SCOp,$L1273),IF($M1273&lt;&gt;"","پرداخت بانکی",""))</f>
        <v/>
      </c>
      <c r="D1273" s="18">
        <f>IF($L1273&lt;&gt;"",IF(INDEX(SCDoc,$L1273)="","—",INDEX(SCDoc,$L1273)),IF($M1273&lt;&gt;"",INDEX(LdgBankB,$M1273),""))</f>
        <v/>
      </c>
      <c r="E1273" s="19">
        <f>IF($L1273&lt;&gt;"",IF(INDEX(SCCitrus,$L1273)&amp;INDEX(SCNotes,$L1273)="","",IF(INDEX(SCCitrus,$L1273)="","",INDEX(SCCitrus,$L1273))&amp;IF(INDEX(SCNotes,$L1273)="",""," — "&amp;INDEX(SCNotes,$L1273))),IF($M1273&lt;&gt;"",IF(INDEX(LdgNoteB,$M1273)="","—",INDEX(LdgNoteB,$M1273)),""))</f>
        <v/>
      </c>
      <c r="F1273" s="20">
        <f>IF($L1273&lt;&gt;"",IF(INDEX(SCNet,$L1273)=0,"",INDEX(SCNet,$L1273)),"")</f>
        <v/>
      </c>
      <c r="G1273" s="21">
        <f>IF($L1273&lt;&gt;"",IF(INDEX(SCOp,$L1273)="مرجوعی فروش","",IF(INDEX(SCAmount,$L1273)&lt;=0,"",INDEX(SCAmount,$L1273))),IF($M1273&lt;&gt;"",IF(INDEX(LdgWitB,$M1273)=0,"",INDEX(LdgWitB,$M1273)),""))</f>
        <v/>
      </c>
      <c r="H1273" s="21">
        <f>IF($L1273&lt;&gt;"",IF(INDEX(SCOp,$L1273)="مرجوعی فروش",IF(INDEX(SCAmount,$L1273)=0,"",-INDEX(SCAmount,$L1273)),""),IF($M1273&lt;&gt;"",IF(INDEX(LdgDepB,$M1273)=0,"",INDEX(LdgDepB,$M1273)),""))</f>
        <v/>
      </c>
      <c r="I1273" s="22">
        <f>IF($B1273="","",IF($I1272="",$C$10,$I1272)+IF($G1273="",0,$G1273)-IF($H1273="",0,$H1273))</f>
        <v/>
      </c>
      <c r="L1273">
        <f>IFERROR(MATCH($C$5&amp;"|"&amp;RIGHT("000000"&amp;1257,6),LdgRankKeyA,0),"")</f>
        <v/>
      </c>
      <c r="M1273">
        <f>IFERROR(MATCH($C$5&amp;"|"&amp;RIGHT("000000"&amp;1257,6),LdgRankKeyB,0),"")</f>
        <v/>
      </c>
    </row>
    <row r="1274">
      <c r="A1274" s="23" t="n">
        <v>1258</v>
      </c>
      <c r="B1274" s="24">
        <f>IF(AND($L1274="",$M1274=""),"",IF($L1274&lt;&gt;"",INDEX(SCNormDate,$L1274),INDEX(LdgDateB,$M1274)))</f>
        <v/>
      </c>
      <c r="C1274" s="24">
        <f>IF($L1274&lt;&gt;"",INDEX(SCOp,$L1274),IF($M1274&lt;&gt;"","پرداخت بانکی",""))</f>
        <v/>
      </c>
      <c r="D1274" s="24">
        <f>IF($L1274&lt;&gt;"",IF(INDEX(SCDoc,$L1274)="","—",INDEX(SCDoc,$L1274)),IF($M1274&lt;&gt;"",INDEX(LdgBankB,$M1274),""))</f>
        <v/>
      </c>
      <c r="E1274" s="25">
        <f>IF($L1274&lt;&gt;"",IF(INDEX(SCCitrus,$L1274)&amp;INDEX(SCNotes,$L1274)="","",IF(INDEX(SCCitrus,$L1274)="","",INDEX(SCCitrus,$L1274))&amp;IF(INDEX(SCNotes,$L1274)="",""," — "&amp;INDEX(SCNotes,$L1274))),IF($M1274&lt;&gt;"",IF(INDEX(LdgNoteB,$M1274)="","—",INDEX(LdgNoteB,$M1274)),""))</f>
        <v/>
      </c>
      <c r="F1274" s="26">
        <f>IF($L1274&lt;&gt;"",IF(INDEX(SCNet,$L1274)=0,"",INDEX(SCNet,$L1274)),"")</f>
        <v/>
      </c>
      <c r="G1274" s="27">
        <f>IF($L1274&lt;&gt;"",IF(INDEX(SCOp,$L1274)="مرجوعی فروش","",IF(INDEX(SCAmount,$L1274)&lt;=0,"",INDEX(SCAmount,$L1274))),IF($M1274&lt;&gt;"",IF(INDEX(LdgWitB,$M1274)=0,"",INDEX(LdgWitB,$M1274)),""))</f>
        <v/>
      </c>
      <c r="H1274" s="27">
        <f>IF($L1274&lt;&gt;"",IF(INDEX(SCOp,$L1274)="مرجوعی فروش",IF(INDEX(SCAmount,$L1274)=0,"",-INDEX(SCAmount,$L1274)),""),IF($M1274&lt;&gt;"",IF(INDEX(LdgDepB,$M1274)=0,"",INDEX(LdgDepB,$M1274)),""))</f>
        <v/>
      </c>
      <c r="I1274" s="28">
        <f>IF($B1274="","",IF($I1273="",$C$10,$I1273)+IF($G1274="",0,$G1274)-IF($H1274="",0,$H1274))</f>
        <v/>
      </c>
      <c r="L1274">
        <f>IFERROR(MATCH($C$5&amp;"|"&amp;RIGHT("000000"&amp;1258,6),LdgRankKeyA,0),"")</f>
        <v/>
      </c>
      <c r="M1274">
        <f>IFERROR(MATCH($C$5&amp;"|"&amp;RIGHT("000000"&amp;1258,6),LdgRankKeyB,0),"")</f>
        <v/>
      </c>
    </row>
    <row r="1275">
      <c r="A1275" s="17" t="n">
        <v>1259</v>
      </c>
      <c r="B1275" s="18">
        <f>IF(AND($L1275="",$M1275=""),"",IF($L1275&lt;&gt;"",INDEX(SCNormDate,$L1275),INDEX(LdgDateB,$M1275)))</f>
        <v/>
      </c>
      <c r="C1275" s="18">
        <f>IF($L1275&lt;&gt;"",INDEX(SCOp,$L1275),IF($M1275&lt;&gt;"","پرداخت بانکی",""))</f>
        <v/>
      </c>
      <c r="D1275" s="18">
        <f>IF($L1275&lt;&gt;"",IF(INDEX(SCDoc,$L1275)="","—",INDEX(SCDoc,$L1275)),IF($M1275&lt;&gt;"",INDEX(LdgBankB,$M1275),""))</f>
        <v/>
      </c>
      <c r="E1275" s="19">
        <f>IF($L1275&lt;&gt;"",IF(INDEX(SCCitrus,$L1275)&amp;INDEX(SCNotes,$L1275)="","",IF(INDEX(SCCitrus,$L1275)="","",INDEX(SCCitrus,$L1275))&amp;IF(INDEX(SCNotes,$L1275)="",""," — "&amp;INDEX(SCNotes,$L1275))),IF($M1275&lt;&gt;"",IF(INDEX(LdgNoteB,$M1275)="","—",INDEX(LdgNoteB,$M1275)),""))</f>
        <v/>
      </c>
      <c r="F1275" s="20">
        <f>IF($L1275&lt;&gt;"",IF(INDEX(SCNet,$L1275)=0,"",INDEX(SCNet,$L1275)),"")</f>
        <v/>
      </c>
      <c r="G1275" s="21">
        <f>IF($L1275&lt;&gt;"",IF(INDEX(SCOp,$L1275)="مرجوعی فروش","",IF(INDEX(SCAmount,$L1275)&lt;=0,"",INDEX(SCAmount,$L1275))),IF($M1275&lt;&gt;"",IF(INDEX(LdgWitB,$M1275)=0,"",INDEX(LdgWitB,$M1275)),""))</f>
        <v/>
      </c>
      <c r="H1275" s="21">
        <f>IF($L1275&lt;&gt;"",IF(INDEX(SCOp,$L1275)="مرجوعی فروش",IF(INDEX(SCAmount,$L1275)=0,"",-INDEX(SCAmount,$L1275)),""),IF($M1275&lt;&gt;"",IF(INDEX(LdgDepB,$M1275)=0,"",INDEX(LdgDepB,$M1275)),""))</f>
        <v/>
      </c>
      <c r="I1275" s="22">
        <f>IF($B1275="","",IF($I1274="",$C$10,$I1274)+IF($G1275="",0,$G1275)-IF($H1275="",0,$H1275))</f>
        <v/>
      </c>
      <c r="L1275">
        <f>IFERROR(MATCH($C$5&amp;"|"&amp;RIGHT("000000"&amp;1259,6),LdgRankKeyA,0),"")</f>
        <v/>
      </c>
      <c r="M1275">
        <f>IFERROR(MATCH($C$5&amp;"|"&amp;RIGHT("000000"&amp;1259,6),LdgRankKeyB,0),"")</f>
        <v/>
      </c>
    </row>
    <row r="1276">
      <c r="A1276" s="23" t="n">
        <v>1260</v>
      </c>
      <c r="B1276" s="24">
        <f>IF(AND($L1276="",$M1276=""),"",IF($L1276&lt;&gt;"",INDEX(SCNormDate,$L1276),INDEX(LdgDateB,$M1276)))</f>
        <v/>
      </c>
      <c r="C1276" s="24">
        <f>IF($L1276&lt;&gt;"",INDEX(SCOp,$L1276),IF($M1276&lt;&gt;"","پرداخت بانکی",""))</f>
        <v/>
      </c>
      <c r="D1276" s="24">
        <f>IF($L1276&lt;&gt;"",IF(INDEX(SCDoc,$L1276)="","—",INDEX(SCDoc,$L1276)),IF($M1276&lt;&gt;"",INDEX(LdgBankB,$M1276),""))</f>
        <v/>
      </c>
      <c r="E1276" s="25">
        <f>IF($L1276&lt;&gt;"",IF(INDEX(SCCitrus,$L1276)&amp;INDEX(SCNotes,$L1276)="","",IF(INDEX(SCCitrus,$L1276)="","",INDEX(SCCitrus,$L1276))&amp;IF(INDEX(SCNotes,$L1276)="",""," — "&amp;INDEX(SCNotes,$L1276))),IF($M1276&lt;&gt;"",IF(INDEX(LdgNoteB,$M1276)="","—",INDEX(LdgNoteB,$M1276)),""))</f>
        <v/>
      </c>
      <c r="F1276" s="26">
        <f>IF($L1276&lt;&gt;"",IF(INDEX(SCNet,$L1276)=0,"",INDEX(SCNet,$L1276)),"")</f>
        <v/>
      </c>
      <c r="G1276" s="27">
        <f>IF($L1276&lt;&gt;"",IF(INDEX(SCOp,$L1276)="مرجوعی فروش","",IF(INDEX(SCAmount,$L1276)&lt;=0,"",INDEX(SCAmount,$L1276))),IF($M1276&lt;&gt;"",IF(INDEX(LdgWitB,$M1276)=0,"",INDEX(LdgWitB,$M1276)),""))</f>
        <v/>
      </c>
      <c r="H1276" s="27">
        <f>IF($L1276&lt;&gt;"",IF(INDEX(SCOp,$L1276)="مرجوعی فروش",IF(INDEX(SCAmount,$L1276)=0,"",-INDEX(SCAmount,$L1276)),""),IF($M1276&lt;&gt;"",IF(INDEX(LdgDepB,$M1276)=0,"",INDEX(LdgDepB,$M1276)),""))</f>
        <v/>
      </c>
      <c r="I1276" s="28">
        <f>IF($B1276="","",IF($I1275="",$C$10,$I1275)+IF($G1276="",0,$G1276)-IF($H1276="",0,$H1276))</f>
        <v/>
      </c>
      <c r="L1276">
        <f>IFERROR(MATCH($C$5&amp;"|"&amp;RIGHT("000000"&amp;1260,6),LdgRankKeyA,0),"")</f>
        <v/>
      </c>
      <c r="M1276">
        <f>IFERROR(MATCH($C$5&amp;"|"&amp;RIGHT("000000"&amp;1260,6),LdgRankKeyB,0),"")</f>
        <v/>
      </c>
    </row>
    <row r="1277">
      <c r="A1277" s="17" t="n">
        <v>1261</v>
      </c>
      <c r="B1277" s="18">
        <f>IF(AND($L1277="",$M1277=""),"",IF($L1277&lt;&gt;"",INDEX(SCNormDate,$L1277),INDEX(LdgDateB,$M1277)))</f>
        <v/>
      </c>
      <c r="C1277" s="18">
        <f>IF($L1277&lt;&gt;"",INDEX(SCOp,$L1277),IF($M1277&lt;&gt;"","پرداخت بانکی",""))</f>
        <v/>
      </c>
      <c r="D1277" s="18">
        <f>IF($L1277&lt;&gt;"",IF(INDEX(SCDoc,$L1277)="","—",INDEX(SCDoc,$L1277)),IF($M1277&lt;&gt;"",INDEX(LdgBankB,$M1277),""))</f>
        <v/>
      </c>
      <c r="E1277" s="19">
        <f>IF($L1277&lt;&gt;"",IF(INDEX(SCCitrus,$L1277)&amp;INDEX(SCNotes,$L1277)="","",IF(INDEX(SCCitrus,$L1277)="","",INDEX(SCCitrus,$L1277))&amp;IF(INDEX(SCNotes,$L1277)="",""," — "&amp;INDEX(SCNotes,$L1277))),IF($M1277&lt;&gt;"",IF(INDEX(LdgNoteB,$M1277)="","—",INDEX(LdgNoteB,$M1277)),""))</f>
        <v/>
      </c>
      <c r="F1277" s="20">
        <f>IF($L1277&lt;&gt;"",IF(INDEX(SCNet,$L1277)=0,"",INDEX(SCNet,$L1277)),"")</f>
        <v/>
      </c>
      <c r="G1277" s="21">
        <f>IF($L1277&lt;&gt;"",IF(INDEX(SCOp,$L1277)="مرجوعی فروش","",IF(INDEX(SCAmount,$L1277)&lt;=0,"",INDEX(SCAmount,$L1277))),IF($M1277&lt;&gt;"",IF(INDEX(LdgWitB,$M1277)=0,"",INDEX(LdgWitB,$M1277)),""))</f>
        <v/>
      </c>
      <c r="H1277" s="21">
        <f>IF($L1277&lt;&gt;"",IF(INDEX(SCOp,$L1277)="مرجوعی فروش",IF(INDEX(SCAmount,$L1277)=0,"",-INDEX(SCAmount,$L1277)),""),IF($M1277&lt;&gt;"",IF(INDEX(LdgDepB,$M1277)=0,"",INDEX(LdgDepB,$M1277)),""))</f>
        <v/>
      </c>
      <c r="I1277" s="22">
        <f>IF($B1277="","",IF($I1276="",$C$10,$I1276)+IF($G1277="",0,$G1277)-IF($H1277="",0,$H1277))</f>
        <v/>
      </c>
      <c r="L1277">
        <f>IFERROR(MATCH($C$5&amp;"|"&amp;RIGHT("000000"&amp;1261,6),LdgRankKeyA,0),"")</f>
        <v/>
      </c>
      <c r="M1277">
        <f>IFERROR(MATCH($C$5&amp;"|"&amp;RIGHT("000000"&amp;1261,6),LdgRankKeyB,0),"")</f>
        <v/>
      </c>
    </row>
    <row r="1278">
      <c r="A1278" s="23" t="n">
        <v>1262</v>
      </c>
      <c r="B1278" s="24">
        <f>IF(AND($L1278="",$M1278=""),"",IF($L1278&lt;&gt;"",INDEX(SCNormDate,$L1278),INDEX(LdgDateB,$M1278)))</f>
        <v/>
      </c>
      <c r="C1278" s="24">
        <f>IF($L1278&lt;&gt;"",INDEX(SCOp,$L1278),IF($M1278&lt;&gt;"","پرداخت بانکی",""))</f>
        <v/>
      </c>
      <c r="D1278" s="24">
        <f>IF($L1278&lt;&gt;"",IF(INDEX(SCDoc,$L1278)="","—",INDEX(SCDoc,$L1278)),IF($M1278&lt;&gt;"",INDEX(LdgBankB,$M1278),""))</f>
        <v/>
      </c>
      <c r="E1278" s="25">
        <f>IF($L1278&lt;&gt;"",IF(INDEX(SCCitrus,$L1278)&amp;INDEX(SCNotes,$L1278)="","",IF(INDEX(SCCitrus,$L1278)="","",INDEX(SCCitrus,$L1278))&amp;IF(INDEX(SCNotes,$L1278)="",""," — "&amp;INDEX(SCNotes,$L1278))),IF($M1278&lt;&gt;"",IF(INDEX(LdgNoteB,$M1278)="","—",INDEX(LdgNoteB,$M1278)),""))</f>
        <v/>
      </c>
      <c r="F1278" s="26">
        <f>IF($L1278&lt;&gt;"",IF(INDEX(SCNet,$L1278)=0,"",INDEX(SCNet,$L1278)),"")</f>
        <v/>
      </c>
      <c r="G1278" s="27">
        <f>IF($L1278&lt;&gt;"",IF(INDEX(SCOp,$L1278)="مرجوعی فروش","",IF(INDEX(SCAmount,$L1278)&lt;=0,"",INDEX(SCAmount,$L1278))),IF($M1278&lt;&gt;"",IF(INDEX(LdgWitB,$M1278)=0,"",INDEX(LdgWitB,$M1278)),""))</f>
        <v/>
      </c>
      <c r="H1278" s="27">
        <f>IF($L1278&lt;&gt;"",IF(INDEX(SCOp,$L1278)="مرجوعی فروش",IF(INDEX(SCAmount,$L1278)=0,"",-INDEX(SCAmount,$L1278)),""),IF($M1278&lt;&gt;"",IF(INDEX(LdgDepB,$M1278)=0,"",INDEX(LdgDepB,$M1278)),""))</f>
        <v/>
      </c>
      <c r="I1278" s="28">
        <f>IF($B1278="","",IF($I1277="",$C$10,$I1277)+IF($G1278="",0,$G1278)-IF($H1278="",0,$H1278))</f>
        <v/>
      </c>
      <c r="L1278">
        <f>IFERROR(MATCH($C$5&amp;"|"&amp;RIGHT("000000"&amp;1262,6),LdgRankKeyA,0),"")</f>
        <v/>
      </c>
      <c r="M1278">
        <f>IFERROR(MATCH($C$5&amp;"|"&amp;RIGHT("000000"&amp;1262,6),LdgRankKeyB,0),"")</f>
        <v/>
      </c>
    </row>
    <row r="1279">
      <c r="A1279" s="17" t="n">
        <v>1263</v>
      </c>
      <c r="B1279" s="18">
        <f>IF(AND($L1279="",$M1279=""),"",IF($L1279&lt;&gt;"",INDEX(SCNormDate,$L1279),INDEX(LdgDateB,$M1279)))</f>
        <v/>
      </c>
      <c r="C1279" s="18">
        <f>IF($L1279&lt;&gt;"",INDEX(SCOp,$L1279),IF($M1279&lt;&gt;"","پرداخت بانکی",""))</f>
        <v/>
      </c>
      <c r="D1279" s="18">
        <f>IF($L1279&lt;&gt;"",IF(INDEX(SCDoc,$L1279)="","—",INDEX(SCDoc,$L1279)),IF($M1279&lt;&gt;"",INDEX(LdgBankB,$M1279),""))</f>
        <v/>
      </c>
      <c r="E1279" s="19">
        <f>IF($L1279&lt;&gt;"",IF(INDEX(SCCitrus,$L1279)&amp;INDEX(SCNotes,$L1279)="","",IF(INDEX(SCCitrus,$L1279)="","",INDEX(SCCitrus,$L1279))&amp;IF(INDEX(SCNotes,$L1279)="",""," — "&amp;INDEX(SCNotes,$L1279))),IF($M1279&lt;&gt;"",IF(INDEX(LdgNoteB,$M1279)="","—",INDEX(LdgNoteB,$M1279)),""))</f>
        <v/>
      </c>
      <c r="F1279" s="20">
        <f>IF($L1279&lt;&gt;"",IF(INDEX(SCNet,$L1279)=0,"",INDEX(SCNet,$L1279)),"")</f>
        <v/>
      </c>
      <c r="G1279" s="21">
        <f>IF($L1279&lt;&gt;"",IF(INDEX(SCOp,$L1279)="مرجوعی فروش","",IF(INDEX(SCAmount,$L1279)&lt;=0,"",INDEX(SCAmount,$L1279))),IF($M1279&lt;&gt;"",IF(INDEX(LdgWitB,$M1279)=0,"",INDEX(LdgWitB,$M1279)),""))</f>
        <v/>
      </c>
      <c r="H1279" s="21">
        <f>IF($L1279&lt;&gt;"",IF(INDEX(SCOp,$L1279)="مرجوعی فروش",IF(INDEX(SCAmount,$L1279)=0,"",-INDEX(SCAmount,$L1279)),""),IF($M1279&lt;&gt;"",IF(INDEX(LdgDepB,$M1279)=0,"",INDEX(LdgDepB,$M1279)),""))</f>
        <v/>
      </c>
      <c r="I1279" s="22">
        <f>IF($B1279="","",IF($I1278="",$C$10,$I1278)+IF($G1279="",0,$G1279)-IF($H1279="",0,$H1279))</f>
        <v/>
      </c>
      <c r="L1279">
        <f>IFERROR(MATCH($C$5&amp;"|"&amp;RIGHT("000000"&amp;1263,6),LdgRankKeyA,0),"")</f>
        <v/>
      </c>
      <c r="M1279">
        <f>IFERROR(MATCH($C$5&amp;"|"&amp;RIGHT("000000"&amp;1263,6),LdgRankKeyB,0),"")</f>
        <v/>
      </c>
    </row>
    <row r="1280">
      <c r="A1280" s="23" t="n">
        <v>1264</v>
      </c>
      <c r="B1280" s="24">
        <f>IF(AND($L1280="",$M1280=""),"",IF($L1280&lt;&gt;"",INDEX(SCNormDate,$L1280),INDEX(LdgDateB,$M1280)))</f>
        <v/>
      </c>
      <c r="C1280" s="24">
        <f>IF($L1280&lt;&gt;"",INDEX(SCOp,$L1280),IF($M1280&lt;&gt;"","پرداخت بانکی",""))</f>
        <v/>
      </c>
      <c r="D1280" s="24">
        <f>IF($L1280&lt;&gt;"",IF(INDEX(SCDoc,$L1280)="","—",INDEX(SCDoc,$L1280)),IF($M1280&lt;&gt;"",INDEX(LdgBankB,$M1280),""))</f>
        <v/>
      </c>
      <c r="E1280" s="25">
        <f>IF($L1280&lt;&gt;"",IF(INDEX(SCCitrus,$L1280)&amp;INDEX(SCNotes,$L1280)="","",IF(INDEX(SCCitrus,$L1280)="","",INDEX(SCCitrus,$L1280))&amp;IF(INDEX(SCNotes,$L1280)="",""," — "&amp;INDEX(SCNotes,$L1280))),IF($M1280&lt;&gt;"",IF(INDEX(LdgNoteB,$M1280)="","—",INDEX(LdgNoteB,$M1280)),""))</f>
        <v/>
      </c>
      <c r="F1280" s="26">
        <f>IF($L1280&lt;&gt;"",IF(INDEX(SCNet,$L1280)=0,"",INDEX(SCNet,$L1280)),"")</f>
        <v/>
      </c>
      <c r="G1280" s="27">
        <f>IF($L1280&lt;&gt;"",IF(INDEX(SCOp,$L1280)="مرجوعی فروش","",IF(INDEX(SCAmount,$L1280)&lt;=0,"",INDEX(SCAmount,$L1280))),IF($M1280&lt;&gt;"",IF(INDEX(LdgWitB,$M1280)=0,"",INDEX(LdgWitB,$M1280)),""))</f>
        <v/>
      </c>
      <c r="H1280" s="27">
        <f>IF($L1280&lt;&gt;"",IF(INDEX(SCOp,$L1280)="مرجوعی فروش",IF(INDEX(SCAmount,$L1280)=0,"",-INDEX(SCAmount,$L1280)),""),IF($M1280&lt;&gt;"",IF(INDEX(LdgDepB,$M1280)=0,"",INDEX(LdgDepB,$M1280)),""))</f>
        <v/>
      </c>
      <c r="I1280" s="28">
        <f>IF($B1280="","",IF($I1279="",$C$10,$I1279)+IF($G1280="",0,$G1280)-IF($H1280="",0,$H1280))</f>
        <v/>
      </c>
      <c r="L1280">
        <f>IFERROR(MATCH($C$5&amp;"|"&amp;RIGHT("000000"&amp;1264,6),LdgRankKeyA,0),"")</f>
        <v/>
      </c>
      <c r="M1280">
        <f>IFERROR(MATCH($C$5&amp;"|"&amp;RIGHT("000000"&amp;1264,6),LdgRankKeyB,0),"")</f>
        <v/>
      </c>
    </row>
    <row r="1281">
      <c r="A1281" s="17" t="n">
        <v>1265</v>
      </c>
      <c r="B1281" s="18">
        <f>IF(AND($L1281="",$M1281=""),"",IF($L1281&lt;&gt;"",INDEX(SCNormDate,$L1281),INDEX(LdgDateB,$M1281)))</f>
        <v/>
      </c>
      <c r="C1281" s="18">
        <f>IF($L1281&lt;&gt;"",INDEX(SCOp,$L1281),IF($M1281&lt;&gt;"","پرداخت بانکی",""))</f>
        <v/>
      </c>
      <c r="D1281" s="18">
        <f>IF($L1281&lt;&gt;"",IF(INDEX(SCDoc,$L1281)="","—",INDEX(SCDoc,$L1281)),IF($M1281&lt;&gt;"",INDEX(LdgBankB,$M1281),""))</f>
        <v/>
      </c>
      <c r="E1281" s="19">
        <f>IF($L1281&lt;&gt;"",IF(INDEX(SCCitrus,$L1281)&amp;INDEX(SCNotes,$L1281)="","",IF(INDEX(SCCitrus,$L1281)="","",INDEX(SCCitrus,$L1281))&amp;IF(INDEX(SCNotes,$L1281)="",""," — "&amp;INDEX(SCNotes,$L1281))),IF($M1281&lt;&gt;"",IF(INDEX(LdgNoteB,$M1281)="","—",INDEX(LdgNoteB,$M1281)),""))</f>
        <v/>
      </c>
      <c r="F1281" s="20">
        <f>IF($L1281&lt;&gt;"",IF(INDEX(SCNet,$L1281)=0,"",INDEX(SCNet,$L1281)),"")</f>
        <v/>
      </c>
      <c r="G1281" s="21">
        <f>IF($L1281&lt;&gt;"",IF(INDEX(SCOp,$L1281)="مرجوعی فروش","",IF(INDEX(SCAmount,$L1281)&lt;=0,"",INDEX(SCAmount,$L1281))),IF($M1281&lt;&gt;"",IF(INDEX(LdgWitB,$M1281)=0,"",INDEX(LdgWitB,$M1281)),""))</f>
        <v/>
      </c>
      <c r="H1281" s="21">
        <f>IF($L1281&lt;&gt;"",IF(INDEX(SCOp,$L1281)="مرجوعی فروش",IF(INDEX(SCAmount,$L1281)=0,"",-INDEX(SCAmount,$L1281)),""),IF($M1281&lt;&gt;"",IF(INDEX(LdgDepB,$M1281)=0,"",INDEX(LdgDepB,$M1281)),""))</f>
        <v/>
      </c>
      <c r="I1281" s="22">
        <f>IF($B1281="","",IF($I1280="",$C$10,$I1280)+IF($G1281="",0,$G1281)-IF($H1281="",0,$H1281))</f>
        <v/>
      </c>
      <c r="L1281">
        <f>IFERROR(MATCH($C$5&amp;"|"&amp;RIGHT("000000"&amp;1265,6),LdgRankKeyA,0),"")</f>
        <v/>
      </c>
      <c r="M1281">
        <f>IFERROR(MATCH($C$5&amp;"|"&amp;RIGHT("000000"&amp;1265,6),LdgRankKeyB,0),"")</f>
        <v/>
      </c>
    </row>
    <row r="1282">
      <c r="A1282" s="23" t="n">
        <v>1266</v>
      </c>
      <c r="B1282" s="24">
        <f>IF(AND($L1282="",$M1282=""),"",IF($L1282&lt;&gt;"",INDEX(SCNormDate,$L1282),INDEX(LdgDateB,$M1282)))</f>
        <v/>
      </c>
      <c r="C1282" s="24">
        <f>IF($L1282&lt;&gt;"",INDEX(SCOp,$L1282),IF($M1282&lt;&gt;"","پرداخت بانکی",""))</f>
        <v/>
      </c>
      <c r="D1282" s="24">
        <f>IF($L1282&lt;&gt;"",IF(INDEX(SCDoc,$L1282)="","—",INDEX(SCDoc,$L1282)),IF($M1282&lt;&gt;"",INDEX(LdgBankB,$M1282),""))</f>
        <v/>
      </c>
      <c r="E1282" s="25">
        <f>IF($L1282&lt;&gt;"",IF(INDEX(SCCitrus,$L1282)&amp;INDEX(SCNotes,$L1282)="","",IF(INDEX(SCCitrus,$L1282)="","",INDEX(SCCitrus,$L1282))&amp;IF(INDEX(SCNotes,$L1282)="",""," — "&amp;INDEX(SCNotes,$L1282))),IF($M1282&lt;&gt;"",IF(INDEX(LdgNoteB,$M1282)="","—",INDEX(LdgNoteB,$M1282)),""))</f>
        <v/>
      </c>
      <c r="F1282" s="26">
        <f>IF($L1282&lt;&gt;"",IF(INDEX(SCNet,$L1282)=0,"",INDEX(SCNet,$L1282)),"")</f>
        <v/>
      </c>
      <c r="G1282" s="27">
        <f>IF($L1282&lt;&gt;"",IF(INDEX(SCOp,$L1282)="مرجوعی فروش","",IF(INDEX(SCAmount,$L1282)&lt;=0,"",INDEX(SCAmount,$L1282))),IF($M1282&lt;&gt;"",IF(INDEX(LdgWitB,$M1282)=0,"",INDEX(LdgWitB,$M1282)),""))</f>
        <v/>
      </c>
      <c r="H1282" s="27">
        <f>IF($L1282&lt;&gt;"",IF(INDEX(SCOp,$L1282)="مرجوعی فروش",IF(INDEX(SCAmount,$L1282)=0,"",-INDEX(SCAmount,$L1282)),""),IF($M1282&lt;&gt;"",IF(INDEX(LdgDepB,$M1282)=0,"",INDEX(LdgDepB,$M1282)),""))</f>
        <v/>
      </c>
      <c r="I1282" s="28">
        <f>IF($B1282="","",IF($I1281="",$C$10,$I1281)+IF($G1282="",0,$G1282)-IF($H1282="",0,$H1282))</f>
        <v/>
      </c>
      <c r="L1282">
        <f>IFERROR(MATCH($C$5&amp;"|"&amp;RIGHT("000000"&amp;1266,6),LdgRankKeyA,0),"")</f>
        <v/>
      </c>
      <c r="M1282">
        <f>IFERROR(MATCH($C$5&amp;"|"&amp;RIGHT("000000"&amp;1266,6),LdgRankKeyB,0),"")</f>
        <v/>
      </c>
    </row>
    <row r="1283">
      <c r="A1283" s="17" t="n">
        <v>1267</v>
      </c>
      <c r="B1283" s="18">
        <f>IF(AND($L1283="",$M1283=""),"",IF($L1283&lt;&gt;"",INDEX(SCNormDate,$L1283),INDEX(LdgDateB,$M1283)))</f>
        <v/>
      </c>
      <c r="C1283" s="18">
        <f>IF($L1283&lt;&gt;"",INDEX(SCOp,$L1283),IF($M1283&lt;&gt;"","پرداخت بانکی",""))</f>
        <v/>
      </c>
      <c r="D1283" s="18">
        <f>IF($L1283&lt;&gt;"",IF(INDEX(SCDoc,$L1283)="","—",INDEX(SCDoc,$L1283)),IF($M1283&lt;&gt;"",INDEX(LdgBankB,$M1283),""))</f>
        <v/>
      </c>
      <c r="E1283" s="19">
        <f>IF($L1283&lt;&gt;"",IF(INDEX(SCCitrus,$L1283)&amp;INDEX(SCNotes,$L1283)="","",IF(INDEX(SCCitrus,$L1283)="","",INDEX(SCCitrus,$L1283))&amp;IF(INDEX(SCNotes,$L1283)="",""," — "&amp;INDEX(SCNotes,$L1283))),IF($M1283&lt;&gt;"",IF(INDEX(LdgNoteB,$M1283)="","—",INDEX(LdgNoteB,$M1283)),""))</f>
        <v/>
      </c>
      <c r="F1283" s="20">
        <f>IF($L1283&lt;&gt;"",IF(INDEX(SCNet,$L1283)=0,"",INDEX(SCNet,$L1283)),"")</f>
        <v/>
      </c>
      <c r="G1283" s="21">
        <f>IF($L1283&lt;&gt;"",IF(INDEX(SCOp,$L1283)="مرجوعی فروش","",IF(INDEX(SCAmount,$L1283)&lt;=0,"",INDEX(SCAmount,$L1283))),IF($M1283&lt;&gt;"",IF(INDEX(LdgWitB,$M1283)=0,"",INDEX(LdgWitB,$M1283)),""))</f>
        <v/>
      </c>
      <c r="H1283" s="21">
        <f>IF($L1283&lt;&gt;"",IF(INDEX(SCOp,$L1283)="مرجوعی فروش",IF(INDEX(SCAmount,$L1283)=0,"",-INDEX(SCAmount,$L1283)),""),IF($M1283&lt;&gt;"",IF(INDEX(LdgDepB,$M1283)=0,"",INDEX(LdgDepB,$M1283)),""))</f>
        <v/>
      </c>
      <c r="I1283" s="22">
        <f>IF($B1283="","",IF($I1282="",$C$10,$I1282)+IF($G1283="",0,$G1283)-IF($H1283="",0,$H1283))</f>
        <v/>
      </c>
      <c r="L1283">
        <f>IFERROR(MATCH($C$5&amp;"|"&amp;RIGHT("000000"&amp;1267,6),LdgRankKeyA,0),"")</f>
        <v/>
      </c>
      <c r="M1283">
        <f>IFERROR(MATCH($C$5&amp;"|"&amp;RIGHT("000000"&amp;1267,6),LdgRankKeyB,0),"")</f>
        <v/>
      </c>
    </row>
    <row r="1284">
      <c r="A1284" s="23" t="n">
        <v>1268</v>
      </c>
      <c r="B1284" s="24">
        <f>IF(AND($L1284="",$M1284=""),"",IF($L1284&lt;&gt;"",INDEX(SCNormDate,$L1284),INDEX(LdgDateB,$M1284)))</f>
        <v/>
      </c>
      <c r="C1284" s="24">
        <f>IF($L1284&lt;&gt;"",INDEX(SCOp,$L1284),IF($M1284&lt;&gt;"","پرداخت بانکی",""))</f>
        <v/>
      </c>
      <c r="D1284" s="24">
        <f>IF($L1284&lt;&gt;"",IF(INDEX(SCDoc,$L1284)="","—",INDEX(SCDoc,$L1284)),IF($M1284&lt;&gt;"",INDEX(LdgBankB,$M1284),""))</f>
        <v/>
      </c>
      <c r="E1284" s="25">
        <f>IF($L1284&lt;&gt;"",IF(INDEX(SCCitrus,$L1284)&amp;INDEX(SCNotes,$L1284)="","",IF(INDEX(SCCitrus,$L1284)="","",INDEX(SCCitrus,$L1284))&amp;IF(INDEX(SCNotes,$L1284)="",""," — "&amp;INDEX(SCNotes,$L1284))),IF($M1284&lt;&gt;"",IF(INDEX(LdgNoteB,$M1284)="","—",INDEX(LdgNoteB,$M1284)),""))</f>
        <v/>
      </c>
      <c r="F1284" s="26">
        <f>IF($L1284&lt;&gt;"",IF(INDEX(SCNet,$L1284)=0,"",INDEX(SCNet,$L1284)),"")</f>
        <v/>
      </c>
      <c r="G1284" s="27">
        <f>IF($L1284&lt;&gt;"",IF(INDEX(SCOp,$L1284)="مرجوعی فروش","",IF(INDEX(SCAmount,$L1284)&lt;=0,"",INDEX(SCAmount,$L1284))),IF($M1284&lt;&gt;"",IF(INDEX(LdgWitB,$M1284)=0,"",INDEX(LdgWitB,$M1284)),""))</f>
        <v/>
      </c>
      <c r="H1284" s="27">
        <f>IF($L1284&lt;&gt;"",IF(INDEX(SCOp,$L1284)="مرجوعی فروش",IF(INDEX(SCAmount,$L1284)=0,"",-INDEX(SCAmount,$L1284)),""),IF($M1284&lt;&gt;"",IF(INDEX(LdgDepB,$M1284)=0,"",INDEX(LdgDepB,$M1284)),""))</f>
        <v/>
      </c>
      <c r="I1284" s="28">
        <f>IF($B1284="","",IF($I1283="",$C$10,$I1283)+IF($G1284="",0,$G1284)-IF($H1284="",0,$H1284))</f>
        <v/>
      </c>
      <c r="L1284">
        <f>IFERROR(MATCH($C$5&amp;"|"&amp;RIGHT("000000"&amp;1268,6),LdgRankKeyA,0),"")</f>
        <v/>
      </c>
      <c r="M1284">
        <f>IFERROR(MATCH($C$5&amp;"|"&amp;RIGHT("000000"&amp;1268,6),LdgRankKeyB,0),"")</f>
        <v/>
      </c>
    </row>
    <row r="1285">
      <c r="A1285" s="17" t="n">
        <v>1269</v>
      </c>
      <c r="B1285" s="18">
        <f>IF(AND($L1285="",$M1285=""),"",IF($L1285&lt;&gt;"",INDEX(SCNormDate,$L1285),INDEX(LdgDateB,$M1285)))</f>
        <v/>
      </c>
      <c r="C1285" s="18">
        <f>IF($L1285&lt;&gt;"",INDEX(SCOp,$L1285),IF($M1285&lt;&gt;"","پرداخت بانکی",""))</f>
        <v/>
      </c>
      <c r="D1285" s="18">
        <f>IF($L1285&lt;&gt;"",IF(INDEX(SCDoc,$L1285)="","—",INDEX(SCDoc,$L1285)),IF($M1285&lt;&gt;"",INDEX(LdgBankB,$M1285),""))</f>
        <v/>
      </c>
      <c r="E1285" s="19">
        <f>IF($L1285&lt;&gt;"",IF(INDEX(SCCitrus,$L1285)&amp;INDEX(SCNotes,$L1285)="","",IF(INDEX(SCCitrus,$L1285)="","",INDEX(SCCitrus,$L1285))&amp;IF(INDEX(SCNotes,$L1285)="",""," — "&amp;INDEX(SCNotes,$L1285))),IF($M1285&lt;&gt;"",IF(INDEX(LdgNoteB,$M1285)="","—",INDEX(LdgNoteB,$M1285)),""))</f>
        <v/>
      </c>
      <c r="F1285" s="20">
        <f>IF($L1285&lt;&gt;"",IF(INDEX(SCNet,$L1285)=0,"",INDEX(SCNet,$L1285)),"")</f>
        <v/>
      </c>
      <c r="G1285" s="21">
        <f>IF($L1285&lt;&gt;"",IF(INDEX(SCOp,$L1285)="مرجوعی فروش","",IF(INDEX(SCAmount,$L1285)&lt;=0,"",INDEX(SCAmount,$L1285))),IF($M1285&lt;&gt;"",IF(INDEX(LdgWitB,$M1285)=0,"",INDEX(LdgWitB,$M1285)),""))</f>
        <v/>
      </c>
      <c r="H1285" s="21">
        <f>IF($L1285&lt;&gt;"",IF(INDEX(SCOp,$L1285)="مرجوعی فروش",IF(INDEX(SCAmount,$L1285)=0,"",-INDEX(SCAmount,$L1285)),""),IF($M1285&lt;&gt;"",IF(INDEX(LdgDepB,$M1285)=0,"",INDEX(LdgDepB,$M1285)),""))</f>
        <v/>
      </c>
      <c r="I1285" s="22">
        <f>IF($B1285="","",IF($I1284="",$C$10,$I1284)+IF($G1285="",0,$G1285)-IF($H1285="",0,$H1285))</f>
        <v/>
      </c>
      <c r="L1285">
        <f>IFERROR(MATCH($C$5&amp;"|"&amp;RIGHT("000000"&amp;1269,6),LdgRankKeyA,0),"")</f>
        <v/>
      </c>
      <c r="M1285">
        <f>IFERROR(MATCH($C$5&amp;"|"&amp;RIGHT("000000"&amp;1269,6),LdgRankKeyB,0),"")</f>
        <v/>
      </c>
    </row>
    <row r="1286">
      <c r="A1286" s="23" t="n">
        <v>1270</v>
      </c>
      <c r="B1286" s="24">
        <f>IF(AND($L1286="",$M1286=""),"",IF($L1286&lt;&gt;"",INDEX(SCNormDate,$L1286),INDEX(LdgDateB,$M1286)))</f>
        <v/>
      </c>
      <c r="C1286" s="24">
        <f>IF($L1286&lt;&gt;"",INDEX(SCOp,$L1286),IF($M1286&lt;&gt;"","پرداخت بانکی",""))</f>
        <v/>
      </c>
      <c r="D1286" s="24">
        <f>IF($L1286&lt;&gt;"",IF(INDEX(SCDoc,$L1286)="","—",INDEX(SCDoc,$L1286)),IF($M1286&lt;&gt;"",INDEX(LdgBankB,$M1286),""))</f>
        <v/>
      </c>
      <c r="E1286" s="25">
        <f>IF($L1286&lt;&gt;"",IF(INDEX(SCCitrus,$L1286)&amp;INDEX(SCNotes,$L1286)="","",IF(INDEX(SCCitrus,$L1286)="","",INDEX(SCCitrus,$L1286))&amp;IF(INDEX(SCNotes,$L1286)="",""," — "&amp;INDEX(SCNotes,$L1286))),IF($M1286&lt;&gt;"",IF(INDEX(LdgNoteB,$M1286)="","—",INDEX(LdgNoteB,$M1286)),""))</f>
        <v/>
      </c>
      <c r="F1286" s="26">
        <f>IF($L1286&lt;&gt;"",IF(INDEX(SCNet,$L1286)=0,"",INDEX(SCNet,$L1286)),"")</f>
        <v/>
      </c>
      <c r="G1286" s="27">
        <f>IF($L1286&lt;&gt;"",IF(INDEX(SCOp,$L1286)="مرجوعی فروش","",IF(INDEX(SCAmount,$L1286)&lt;=0,"",INDEX(SCAmount,$L1286))),IF($M1286&lt;&gt;"",IF(INDEX(LdgWitB,$M1286)=0,"",INDEX(LdgWitB,$M1286)),""))</f>
        <v/>
      </c>
      <c r="H1286" s="27">
        <f>IF($L1286&lt;&gt;"",IF(INDEX(SCOp,$L1286)="مرجوعی فروش",IF(INDEX(SCAmount,$L1286)=0,"",-INDEX(SCAmount,$L1286)),""),IF($M1286&lt;&gt;"",IF(INDEX(LdgDepB,$M1286)=0,"",INDEX(LdgDepB,$M1286)),""))</f>
        <v/>
      </c>
      <c r="I1286" s="28">
        <f>IF($B1286="","",IF($I1285="",$C$10,$I1285)+IF($G1286="",0,$G1286)-IF($H1286="",0,$H1286))</f>
        <v/>
      </c>
      <c r="L1286">
        <f>IFERROR(MATCH($C$5&amp;"|"&amp;RIGHT("000000"&amp;1270,6),LdgRankKeyA,0),"")</f>
        <v/>
      </c>
      <c r="M1286">
        <f>IFERROR(MATCH($C$5&amp;"|"&amp;RIGHT("000000"&amp;1270,6),LdgRankKeyB,0),"")</f>
        <v/>
      </c>
    </row>
    <row r="1287">
      <c r="A1287" s="17" t="n">
        <v>1271</v>
      </c>
      <c r="B1287" s="18">
        <f>IF(AND($L1287="",$M1287=""),"",IF($L1287&lt;&gt;"",INDEX(SCNormDate,$L1287),INDEX(LdgDateB,$M1287)))</f>
        <v/>
      </c>
      <c r="C1287" s="18">
        <f>IF($L1287&lt;&gt;"",INDEX(SCOp,$L1287),IF($M1287&lt;&gt;"","پرداخت بانکی",""))</f>
        <v/>
      </c>
      <c r="D1287" s="18">
        <f>IF($L1287&lt;&gt;"",IF(INDEX(SCDoc,$L1287)="","—",INDEX(SCDoc,$L1287)),IF($M1287&lt;&gt;"",INDEX(LdgBankB,$M1287),""))</f>
        <v/>
      </c>
      <c r="E1287" s="19">
        <f>IF($L1287&lt;&gt;"",IF(INDEX(SCCitrus,$L1287)&amp;INDEX(SCNotes,$L1287)="","",IF(INDEX(SCCitrus,$L1287)="","",INDEX(SCCitrus,$L1287))&amp;IF(INDEX(SCNotes,$L1287)="",""," — "&amp;INDEX(SCNotes,$L1287))),IF($M1287&lt;&gt;"",IF(INDEX(LdgNoteB,$M1287)="","—",INDEX(LdgNoteB,$M1287)),""))</f>
        <v/>
      </c>
      <c r="F1287" s="20">
        <f>IF($L1287&lt;&gt;"",IF(INDEX(SCNet,$L1287)=0,"",INDEX(SCNet,$L1287)),"")</f>
        <v/>
      </c>
      <c r="G1287" s="21">
        <f>IF($L1287&lt;&gt;"",IF(INDEX(SCOp,$L1287)="مرجوعی فروش","",IF(INDEX(SCAmount,$L1287)&lt;=0,"",INDEX(SCAmount,$L1287))),IF($M1287&lt;&gt;"",IF(INDEX(LdgWitB,$M1287)=0,"",INDEX(LdgWitB,$M1287)),""))</f>
        <v/>
      </c>
      <c r="H1287" s="21">
        <f>IF($L1287&lt;&gt;"",IF(INDEX(SCOp,$L1287)="مرجوعی فروش",IF(INDEX(SCAmount,$L1287)=0,"",-INDEX(SCAmount,$L1287)),""),IF($M1287&lt;&gt;"",IF(INDEX(LdgDepB,$M1287)=0,"",INDEX(LdgDepB,$M1287)),""))</f>
        <v/>
      </c>
      <c r="I1287" s="22">
        <f>IF($B1287="","",IF($I1286="",$C$10,$I1286)+IF($G1287="",0,$G1287)-IF($H1287="",0,$H1287))</f>
        <v/>
      </c>
      <c r="L1287">
        <f>IFERROR(MATCH($C$5&amp;"|"&amp;RIGHT("000000"&amp;1271,6),LdgRankKeyA,0),"")</f>
        <v/>
      </c>
      <c r="M1287">
        <f>IFERROR(MATCH($C$5&amp;"|"&amp;RIGHT("000000"&amp;1271,6),LdgRankKeyB,0),"")</f>
        <v/>
      </c>
    </row>
    <row r="1288">
      <c r="A1288" s="23" t="n">
        <v>1272</v>
      </c>
      <c r="B1288" s="24">
        <f>IF(AND($L1288="",$M1288=""),"",IF($L1288&lt;&gt;"",INDEX(SCNormDate,$L1288),INDEX(LdgDateB,$M1288)))</f>
        <v/>
      </c>
      <c r="C1288" s="24">
        <f>IF($L1288&lt;&gt;"",INDEX(SCOp,$L1288),IF($M1288&lt;&gt;"","پرداخت بانکی",""))</f>
        <v/>
      </c>
      <c r="D1288" s="24">
        <f>IF($L1288&lt;&gt;"",IF(INDEX(SCDoc,$L1288)="","—",INDEX(SCDoc,$L1288)),IF($M1288&lt;&gt;"",INDEX(LdgBankB,$M1288),""))</f>
        <v/>
      </c>
      <c r="E1288" s="25">
        <f>IF($L1288&lt;&gt;"",IF(INDEX(SCCitrus,$L1288)&amp;INDEX(SCNotes,$L1288)="","",IF(INDEX(SCCitrus,$L1288)="","",INDEX(SCCitrus,$L1288))&amp;IF(INDEX(SCNotes,$L1288)="",""," — "&amp;INDEX(SCNotes,$L1288))),IF($M1288&lt;&gt;"",IF(INDEX(LdgNoteB,$M1288)="","—",INDEX(LdgNoteB,$M1288)),""))</f>
        <v/>
      </c>
      <c r="F1288" s="26">
        <f>IF($L1288&lt;&gt;"",IF(INDEX(SCNet,$L1288)=0,"",INDEX(SCNet,$L1288)),"")</f>
        <v/>
      </c>
      <c r="G1288" s="27">
        <f>IF($L1288&lt;&gt;"",IF(INDEX(SCOp,$L1288)="مرجوعی فروش","",IF(INDEX(SCAmount,$L1288)&lt;=0,"",INDEX(SCAmount,$L1288))),IF($M1288&lt;&gt;"",IF(INDEX(LdgWitB,$M1288)=0,"",INDEX(LdgWitB,$M1288)),""))</f>
        <v/>
      </c>
      <c r="H1288" s="27">
        <f>IF($L1288&lt;&gt;"",IF(INDEX(SCOp,$L1288)="مرجوعی فروش",IF(INDEX(SCAmount,$L1288)=0,"",-INDEX(SCAmount,$L1288)),""),IF($M1288&lt;&gt;"",IF(INDEX(LdgDepB,$M1288)=0,"",INDEX(LdgDepB,$M1288)),""))</f>
        <v/>
      </c>
      <c r="I1288" s="28">
        <f>IF($B1288="","",IF($I1287="",$C$10,$I1287)+IF($G1288="",0,$G1288)-IF($H1288="",0,$H1288))</f>
        <v/>
      </c>
      <c r="L1288">
        <f>IFERROR(MATCH($C$5&amp;"|"&amp;RIGHT("000000"&amp;1272,6),LdgRankKeyA,0),"")</f>
        <v/>
      </c>
      <c r="M1288">
        <f>IFERROR(MATCH($C$5&amp;"|"&amp;RIGHT("000000"&amp;1272,6),LdgRankKeyB,0),"")</f>
        <v/>
      </c>
    </row>
    <row r="1289">
      <c r="A1289" s="17" t="n">
        <v>1273</v>
      </c>
      <c r="B1289" s="18">
        <f>IF(AND($L1289="",$M1289=""),"",IF($L1289&lt;&gt;"",INDEX(SCNormDate,$L1289),INDEX(LdgDateB,$M1289)))</f>
        <v/>
      </c>
      <c r="C1289" s="18">
        <f>IF($L1289&lt;&gt;"",INDEX(SCOp,$L1289),IF($M1289&lt;&gt;"","پرداخت بانکی",""))</f>
        <v/>
      </c>
      <c r="D1289" s="18">
        <f>IF($L1289&lt;&gt;"",IF(INDEX(SCDoc,$L1289)="","—",INDEX(SCDoc,$L1289)),IF($M1289&lt;&gt;"",INDEX(LdgBankB,$M1289),""))</f>
        <v/>
      </c>
      <c r="E1289" s="19">
        <f>IF($L1289&lt;&gt;"",IF(INDEX(SCCitrus,$L1289)&amp;INDEX(SCNotes,$L1289)="","",IF(INDEX(SCCitrus,$L1289)="","",INDEX(SCCitrus,$L1289))&amp;IF(INDEX(SCNotes,$L1289)="",""," — "&amp;INDEX(SCNotes,$L1289))),IF($M1289&lt;&gt;"",IF(INDEX(LdgNoteB,$M1289)="","—",INDEX(LdgNoteB,$M1289)),""))</f>
        <v/>
      </c>
      <c r="F1289" s="20">
        <f>IF($L1289&lt;&gt;"",IF(INDEX(SCNet,$L1289)=0,"",INDEX(SCNet,$L1289)),"")</f>
        <v/>
      </c>
      <c r="G1289" s="21">
        <f>IF($L1289&lt;&gt;"",IF(INDEX(SCOp,$L1289)="مرجوعی فروش","",IF(INDEX(SCAmount,$L1289)&lt;=0,"",INDEX(SCAmount,$L1289))),IF($M1289&lt;&gt;"",IF(INDEX(LdgWitB,$M1289)=0,"",INDEX(LdgWitB,$M1289)),""))</f>
        <v/>
      </c>
      <c r="H1289" s="21">
        <f>IF($L1289&lt;&gt;"",IF(INDEX(SCOp,$L1289)="مرجوعی فروش",IF(INDEX(SCAmount,$L1289)=0,"",-INDEX(SCAmount,$L1289)),""),IF($M1289&lt;&gt;"",IF(INDEX(LdgDepB,$M1289)=0,"",INDEX(LdgDepB,$M1289)),""))</f>
        <v/>
      </c>
      <c r="I1289" s="22">
        <f>IF($B1289="","",IF($I1288="",$C$10,$I1288)+IF($G1289="",0,$G1289)-IF($H1289="",0,$H1289))</f>
        <v/>
      </c>
      <c r="L1289">
        <f>IFERROR(MATCH($C$5&amp;"|"&amp;RIGHT("000000"&amp;1273,6),LdgRankKeyA,0),"")</f>
        <v/>
      </c>
      <c r="M1289">
        <f>IFERROR(MATCH($C$5&amp;"|"&amp;RIGHT("000000"&amp;1273,6),LdgRankKeyB,0),"")</f>
        <v/>
      </c>
    </row>
    <row r="1290">
      <c r="A1290" s="23" t="n">
        <v>1274</v>
      </c>
      <c r="B1290" s="24">
        <f>IF(AND($L1290="",$M1290=""),"",IF($L1290&lt;&gt;"",INDEX(SCNormDate,$L1290),INDEX(LdgDateB,$M1290)))</f>
        <v/>
      </c>
      <c r="C1290" s="24">
        <f>IF($L1290&lt;&gt;"",INDEX(SCOp,$L1290),IF($M1290&lt;&gt;"","پرداخت بانکی",""))</f>
        <v/>
      </c>
      <c r="D1290" s="24">
        <f>IF($L1290&lt;&gt;"",IF(INDEX(SCDoc,$L1290)="","—",INDEX(SCDoc,$L1290)),IF($M1290&lt;&gt;"",INDEX(LdgBankB,$M1290),""))</f>
        <v/>
      </c>
      <c r="E1290" s="25">
        <f>IF($L1290&lt;&gt;"",IF(INDEX(SCCitrus,$L1290)&amp;INDEX(SCNotes,$L1290)="","",IF(INDEX(SCCitrus,$L1290)="","",INDEX(SCCitrus,$L1290))&amp;IF(INDEX(SCNotes,$L1290)="",""," — "&amp;INDEX(SCNotes,$L1290))),IF($M1290&lt;&gt;"",IF(INDEX(LdgNoteB,$M1290)="","—",INDEX(LdgNoteB,$M1290)),""))</f>
        <v/>
      </c>
      <c r="F1290" s="26">
        <f>IF($L1290&lt;&gt;"",IF(INDEX(SCNet,$L1290)=0,"",INDEX(SCNet,$L1290)),"")</f>
        <v/>
      </c>
      <c r="G1290" s="27">
        <f>IF($L1290&lt;&gt;"",IF(INDEX(SCOp,$L1290)="مرجوعی فروش","",IF(INDEX(SCAmount,$L1290)&lt;=0,"",INDEX(SCAmount,$L1290))),IF($M1290&lt;&gt;"",IF(INDEX(LdgWitB,$M1290)=0,"",INDEX(LdgWitB,$M1290)),""))</f>
        <v/>
      </c>
      <c r="H1290" s="27">
        <f>IF($L1290&lt;&gt;"",IF(INDEX(SCOp,$L1290)="مرجوعی فروش",IF(INDEX(SCAmount,$L1290)=0,"",-INDEX(SCAmount,$L1290)),""),IF($M1290&lt;&gt;"",IF(INDEX(LdgDepB,$M1290)=0,"",INDEX(LdgDepB,$M1290)),""))</f>
        <v/>
      </c>
      <c r="I1290" s="28">
        <f>IF($B1290="","",IF($I1289="",$C$10,$I1289)+IF($G1290="",0,$G1290)-IF($H1290="",0,$H1290))</f>
        <v/>
      </c>
      <c r="L1290">
        <f>IFERROR(MATCH($C$5&amp;"|"&amp;RIGHT("000000"&amp;1274,6),LdgRankKeyA,0),"")</f>
        <v/>
      </c>
      <c r="M1290">
        <f>IFERROR(MATCH($C$5&amp;"|"&amp;RIGHT("000000"&amp;1274,6),LdgRankKeyB,0),"")</f>
        <v/>
      </c>
    </row>
    <row r="1291">
      <c r="A1291" s="17" t="n">
        <v>1275</v>
      </c>
      <c r="B1291" s="18">
        <f>IF(AND($L1291="",$M1291=""),"",IF($L1291&lt;&gt;"",INDEX(SCNormDate,$L1291),INDEX(LdgDateB,$M1291)))</f>
        <v/>
      </c>
      <c r="C1291" s="18">
        <f>IF($L1291&lt;&gt;"",INDEX(SCOp,$L1291),IF($M1291&lt;&gt;"","پرداخت بانکی",""))</f>
        <v/>
      </c>
      <c r="D1291" s="18">
        <f>IF($L1291&lt;&gt;"",IF(INDEX(SCDoc,$L1291)="","—",INDEX(SCDoc,$L1291)),IF($M1291&lt;&gt;"",INDEX(LdgBankB,$M1291),""))</f>
        <v/>
      </c>
      <c r="E1291" s="19">
        <f>IF($L1291&lt;&gt;"",IF(INDEX(SCCitrus,$L1291)&amp;INDEX(SCNotes,$L1291)="","",IF(INDEX(SCCitrus,$L1291)="","",INDEX(SCCitrus,$L1291))&amp;IF(INDEX(SCNotes,$L1291)="",""," — "&amp;INDEX(SCNotes,$L1291))),IF($M1291&lt;&gt;"",IF(INDEX(LdgNoteB,$M1291)="","—",INDEX(LdgNoteB,$M1291)),""))</f>
        <v/>
      </c>
      <c r="F1291" s="20">
        <f>IF($L1291&lt;&gt;"",IF(INDEX(SCNet,$L1291)=0,"",INDEX(SCNet,$L1291)),"")</f>
        <v/>
      </c>
      <c r="G1291" s="21">
        <f>IF($L1291&lt;&gt;"",IF(INDEX(SCOp,$L1291)="مرجوعی فروش","",IF(INDEX(SCAmount,$L1291)&lt;=0,"",INDEX(SCAmount,$L1291))),IF($M1291&lt;&gt;"",IF(INDEX(LdgWitB,$M1291)=0,"",INDEX(LdgWitB,$M1291)),""))</f>
        <v/>
      </c>
      <c r="H1291" s="21">
        <f>IF($L1291&lt;&gt;"",IF(INDEX(SCOp,$L1291)="مرجوعی فروش",IF(INDEX(SCAmount,$L1291)=0,"",-INDEX(SCAmount,$L1291)),""),IF($M1291&lt;&gt;"",IF(INDEX(LdgDepB,$M1291)=0,"",INDEX(LdgDepB,$M1291)),""))</f>
        <v/>
      </c>
      <c r="I1291" s="22">
        <f>IF($B1291="","",IF($I1290="",$C$10,$I1290)+IF($G1291="",0,$G1291)-IF($H1291="",0,$H1291))</f>
        <v/>
      </c>
      <c r="L1291">
        <f>IFERROR(MATCH($C$5&amp;"|"&amp;RIGHT("000000"&amp;1275,6),LdgRankKeyA,0),"")</f>
        <v/>
      </c>
      <c r="M1291">
        <f>IFERROR(MATCH($C$5&amp;"|"&amp;RIGHT("000000"&amp;1275,6),LdgRankKeyB,0),"")</f>
        <v/>
      </c>
    </row>
    <row r="1292">
      <c r="A1292" s="23" t="n">
        <v>1276</v>
      </c>
      <c r="B1292" s="24">
        <f>IF(AND($L1292="",$M1292=""),"",IF($L1292&lt;&gt;"",INDEX(SCNormDate,$L1292),INDEX(LdgDateB,$M1292)))</f>
        <v/>
      </c>
      <c r="C1292" s="24">
        <f>IF($L1292&lt;&gt;"",INDEX(SCOp,$L1292),IF($M1292&lt;&gt;"","پرداخت بانکی",""))</f>
        <v/>
      </c>
      <c r="D1292" s="24">
        <f>IF($L1292&lt;&gt;"",IF(INDEX(SCDoc,$L1292)="","—",INDEX(SCDoc,$L1292)),IF($M1292&lt;&gt;"",INDEX(LdgBankB,$M1292),""))</f>
        <v/>
      </c>
      <c r="E1292" s="25">
        <f>IF($L1292&lt;&gt;"",IF(INDEX(SCCitrus,$L1292)&amp;INDEX(SCNotes,$L1292)="","",IF(INDEX(SCCitrus,$L1292)="","",INDEX(SCCitrus,$L1292))&amp;IF(INDEX(SCNotes,$L1292)="",""," — "&amp;INDEX(SCNotes,$L1292))),IF($M1292&lt;&gt;"",IF(INDEX(LdgNoteB,$M1292)="","—",INDEX(LdgNoteB,$M1292)),""))</f>
        <v/>
      </c>
      <c r="F1292" s="26">
        <f>IF($L1292&lt;&gt;"",IF(INDEX(SCNet,$L1292)=0,"",INDEX(SCNet,$L1292)),"")</f>
        <v/>
      </c>
      <c r="G1292" s="27">
        <f>IF($L1292&lt;&gt;"",IF(INDEX(SCOp,$L1292)="مرجوعی فروش","",IF(INDEX(SCAmount,$L1292)&lt;=0,"",INDEX(SCAmount,$L1292))),IF($M1292&lt;&gt;"",IF(INDEX(LdgWitB,$M1292)=0,"",INDEX(LdgWitB,$M1292)),""))</f>
        <v/>
      </c>
      <c r="H1292" s="27">
        <f>IF($L1292&lt;&gt;"",IF(INDEX(SCOp,$L1292)="مرجوعی فروش",IF(INDEX(SCAmount,$L1292)=0,"",-INDEX(SCAmount,$L1292)),""),IF($M1292&lt;&gt;"",IF(INDEX(LdgDepB,$M1292)=0,"",INDEX(LdgDepB,$M1292)),""))</f>
        <v/>
      </c>
      <c r="I1292" s="28">
        <f>IF($B1292="","",IF($I1291="",$C$10,$I1291)+IF($G1292="",0,$G1292)-IF($H1292="",0,$H1292))</f>
        <v/>
      </c>
      <c r="L1292">
        <f>IFERROR(MATCH($C$5&amp;"|"&amp;RIGHT("000000"&amp;1276,6),LdgRankKeyA,0),"")</f>
        <v/>
      </c>
      <c r="M1292">
        <f>IFERROR(MATCH($C$5&amp;"|"&amp;RIGHT("000000"&amp;1276,6),LdgRankKeyB,0),"")</f>
        <v/>
      </c>
    </row>
    <row r="1293">
      <c r="A1293" s="17" t="n">
        <v>1277</v>
      </c>
      <c r="B1293" s="18">
        <f>IF(AND($L1293="",$M1293=""),"",IF($L1293&lt;&gt;"",INDEX(SCNormDate,$L1293),INDEX(LdgDateB,$M1293)))</f>
        <v/>
      </c>
      <c r="C1293" s="18">
        <f>IF($L1293&lt;&gt;"",INDEX(SCOp,$L1293),IF($M1293&lt;&gt;"","پرداخت بانکی",""))</f>
        <v/>
      </c>
      <c r="D1293" s="18">
        <f>IF($L1293&lt;&gt;"",IF(INDEX(SCDoc,$L1293)="","—",INDEX(SCDoc,$L1293)),IF($M1293&lt;&gt;"",INDEX(LdgBankB,$M1293),""))</f>
        <v/>
      </c>
      <c r="E1293" s="19">
        <f>IF($L1293&lt;&gt;"",IF(INDEX(SCCitrus,$L1293)&amp;INDEX(SCNotes,$L1293)="","",IF(INDEX(SCCitrus,$L1293)="","",INDEX(SCCitrus,$L1293))&amp;IF(INDEX(SCNotes,$L1293)="",""," — "&amp;INDEX(SCNotes,$L1293))),IF($M1293&lt;&gt;"",IF(INDEX(LdgNoteB,$M1293)="","—",INDEX(LdgNoteB,$M1293)),""))</f>
        <v/>
      </c>
      <c r="F1293" s="20">
        <f>IF($L1293&lt;&gt;"",IF(INDEX(SCNet,$L1293)=0,"",INDEX(SCNet,$L1293)),"")</f>
        <v/>
      </c>
      <c r="G1293" s="21">
        <f>IF($L1293&lt;&gt;"",IF(INDEX(SCOp,$L1293)="مرجوعی فروش","",IF(INDEX(SCAmount,$L1293)&lt;=0,"",INDEX(SCAmount,$L1293))),IF($M1293&lt;&gt;"",IF(INDEX(LdgWitB,$M1293)=0,"",INDEX(LdgWitB,$M1293)),""))</f>
        <v/>
      </c>
      <c r="H1293" s="21">
        <f>IF($L1293&lt;&gt;"",IF(INDEX(SCOp,$L1293)="مرجوعی فروش",IF(INDEX(SCAmount,$L1293)=0,"",-INDEX(SCAmount,$L1293)),""),IF($M1293&lt;&gt;"",IF(INDEX(LdgDepB,$M1293)=0,"",INDEX(LdgDepB,$M1293)),""))</f>
        <v/>
      </c>
      <c r="I1293" s="22">
        <f>IF($B1293="","",IF($I1292="",$C$10,$I1292)+IF($G1293="",0,$G1293)-IF($H1293="",0,$H1293))</f>
        <v/>
      </c>
      <c r="L1293">
        <f>IFERROR(MATCH($C$5&amp;"|"&amp;RIGHT("000000"&amp;1277,6),LdgRankKeyA,0),"")</f>
        <v/>
      </c>
      <c r="M1293">
        <f>IFERROR(MATCH($C$5&amp;"|"&amp;RIGHT("000000"&amp;1277,6),LdgRankKeyB,0),"")</f>
        <v/>
      </c>
    </row>
    <row r="1294">
      <c r="A1294" s="23" t="n">
        <v>1278</v>
      </c>
      <c r="B1294" s="24">
        <f>IF(AND($L1294="",$M1294=""),"",IF($L1294&lt;&gt;"",INDEX(SCNormDate,$L1294),INDEX(LdgDateB,$M1294)))</f>
        <v/>
      </c>
      <c r="C1294" s="24">
        <f>IF($L1294&lt;&gt;"",INDEX(SCOp,$L1294),IF($M1294&lt;&gt;"","پرداخت بانکی",""))</f>
        <v/>
      </c>
      <c r="D1294" s="24">
        <f>IF($L1294&lt;&gt;"",IF(INDEX(SCDoc,$L1294)="","—",INDEX(SCDoc,$L1294)),IF($M1294&lt;&gt;"",INDEX(LdgBankB,$M1294),""))</f>
        <v/>
      </c>
      <c r="E1294" s="25">
        <f>IF($L1294&lt;&gt;"",IF(INDEX(SCCitrus,$L1294)&amp;INDEX(SCNotes,$L1294)="","",IF(INDEX(SCCitrus,$L1294)="","",INDEX(SCCitrus,$L1294))&amp;IF(INDEX(SCNotes,$L1294)="",""," — "&amp;INDEX(SCNotes,$L1294))),IF($M1294&lt;&gt;"",IF(INDEX(LdgNoteB,$M1294)="","—",INDEX(LdgNoteB,$M1294)),""))</f>
        <v/>
      </c>
      <c r="F1294" s="26">
        <f>IF($L1294&lt;&gt;"",IF(INDEX(SCNet,$L1294)=0,"",INDEX(SCNet,$L1294)),"")</f>
        <v/>
      </c>
      <c r="G1294" s="27">
        <f>IF($L1294&lt;&gt;"",IF(INDEX(SCOp,$L1294)="مرجوعی فروش","",IF(INDEX(SCAmount,$L1294)&lt;=0,"",INDEX(SCAmount,$L1294))),IF($M1294&lt;&gt;"",IF(INDEX(LdgWitB,$M1294)=0,"",INDEX(LdgWitB,$M1294)),""))</f>
        <v/>
      </c>
      <c r="H1294" s="27">
        <f>IF($L1294&lt;&gt;"",IF(INDEX(SCOp,$L1294)="مرجوعی فروش",IF(INDEX(SCAmount,$L1294)=0,"",-INDEX(SCAmount,$L1294)),""),IF($M1294&lt;&gt;"",IF(INDEX(LdgDepB,$M1294)=0,"",INDEX(LdgDepB,$M1294)),""))</f>
        <v/>
      </c>
      <c r="I1294" s="28">
        <f>IF($B1294="","",IF($I1293="",$C$10,$I1293)+IF($G1294="",0,$G1294)-IF($H1294="",0,$H1294))</f>
        <v/>
      </c>
      <c r="L1294">
        <f>IFERROR(MATCH($C$5&amp;"|"&amp;RIGHT("000000"&amp;1278,6),LdgRankKeyA,0),"")</f>
        <v/>
      </c>
      <c r="M1294">
        <f>IFERROR(MATCH($C$5&amp;"|"&amp;RIGHT("000000"&amp;1278,6),LdgRankKeyB,0),"")</f>
        <v/>
      </c>
    </row>
    <row r="1295">
      <c r="A1295" s="17" t="n">
        <v>1279</v>
      </c>
      <c r="B1295" s="18">
        <f>IF(AND($L1295="",$M1295=""),"",IF($L1295&lt;&gt;"",INDEX(SCNormDate,$L1295),INDEX(LdgDateB,$M1295)))</f>
        <v/>
      </c>
      <c r="C1295" s="18">
        <f>IF($L1295&lt;&gt;"",INDEX(SCOp,$L1295),IF($M1295&lt;&gt;"","پرداخت بانکی",""))</f>
        <v/>
      </c>
      <c r="D1295" s="18">
        <f>IF($L1295&lt;&gt;"",IF(INDEX(SCDoc,$L1295)="","—",INDEX(SCDoc,$L1295)),IF($M1295&lt;&gt;"",INDEX(LdgBankB,$M1295),""))</f>
        <v/>
      </c>
      <c r="E1295" s="19">
        <f>IF($L1295&lt;&gt;"",IF(INDEX(SCCitrus,$L1295)&amp;INDEX(SCNotes,$L1295)="","",IF(INDEX(SCCitrus,$L1295)="","",INDEX(SCCitrus,$L1295))&amp;IF(INDEX(SCNotes,$L1295)="",""," — "&amp;INDEX(SCNotes,$L1295))),IF($M1295&lt;&gt;"",IF(INDEX(LdgNoteB,$M1295)="","—",INDEX(LdgNoteB,$M1295)),""))</f>
        <v/>
      </c>
      <c r="F1295" s="20">
        <f>IF($L1295&lt;&gt;"",IF(INDEX(SCNet,$L1295)=0,"",INDEX(SCNet,$L1295)),"")</f>
        <v/>
      </c>
      <c r="G1295" s="21">
        <f>IF($L1295&lt;&gt;"",IF(INDEX(SCOp,$L1295)="مرجوعی فروش","",IF(INDEX(SCAmount,$L1295)&lt;=0,"",INDEX(SCAmount,$L1295))),IF($M1295&lt;&gt;"",IF(INDEX(LdgWitB,$M1295)=0,"",INDEX(LdgWitB,$M1295)),""))</f>
        <v/>
      </c>
      <c r="H1295" s="21">
        <f>IF($L1295&lt;&gt;"",IF(INDEX(SCOp,$L1295)="مرجوعی فروش",IF(INDEX(SCAmount,$L1295)=0,"",-INDEX(SCAmount,$L1295)),""),IF($M1295&lt;&gt;"",IF(INDEX(LdgDepB,$M1295)=0,"",INDEX(LdgDepB,$M1295)),""))</f>
        <v/>
      </c>
      <c r="I1295" s="22">
        <f>IF($B1295="","",IF($I1294="",$C$10,$I1294)+IF($G1295="",0,$G1295)-IF($H1295="",0,$H1295))</f>
        <v/>
      </c>
      <c r="L1295">
        <f>IFERROR(MATCH($C$5&amp;"|"&amp;RIGHT("000000"&amp;1279,6),LdgRankKeyA,0),"")</f>
        <v/>
      </c>
      <c r="M1295">
        <f>IFERROR(MATCH($C$5&amp;"|"&amp;RIGHT("000000"&amp;1279,6),LdgRankKeyB,0),"")</f>
        <v/>
      </c>
    </row>
    <row r="1296">
      <c r="A1296" s="23" t="n">
        <v>1280</v>
      </c>
      <c r="B1296" s="24">
        <f>IF(AND($L1296="",$M1296=""),"",IF($L1296&lt;&gt;"",INDEX(SCNormDate,$L1296),INDEX(LdgDateB,$M1296)))</f>
        <v/>
      </c>
      <c r="C1296" s="24">
        <f>IF($L1296&lt;&gt;"",INDEX(SCOp,$L1296),IF($M1296&lt;&gt;"","پرداخت بانکی",""))</f>
        <v/>
      </c>
      <c r="D1296" s="24">
        <f>IF($L1296&lt;&gt;"",IF(INDEX(SCDoc,$L1296)="","—",INDEX(SCDoc,$L1296)),IF($M1296&lt;&gt;"",INDEX(LdgBankB,$M1296),""))</f>
        <v/>
      </c>
      <c r="E1296" s="25">
        <f>IF($L1296&lt;&gt;"",IF(INDEX(SCCitrus,$L1296)&amp;INDEX(SCNotes,$L1296)="","",IF(INDEX(SCCitrus,$L1296)="","",INDEX(SCCitrus,$L1296))&amp;IF(INDEX(SCNotes,$L1296)="",""," — "&amp;INDEX(SCNotes,$L1296))),IF($M1296&lt;&gt;"",IF(INDEX(LdgNoteB,$M1296)="","—",INDEX(LdgNoteB,$M1296)),""))</f>
        <v/>
      </c>
      <c r="F1296" s="26">
        <f>IF($L1296&lt;&gt;"",IF(INDEX(SCNet,$L1296)=0,"",INDEX(SCNet,$L1296)),"")</f>
        <v/>
      </c>
      <c r="G1296" s="27">
        <f>IF($L1296&lt;&gt;"",IF(INDEX(SCOp,$L1296)="مرجوعی فروش","",IF(INDEX(SCAmount,$L1296)&lt;=0,"",INDEX(SCAmount,$L1296))),IF($M1296&lt;&gt;"",IF(INDEX(LdgWitB,$M1296)=0,"",INDEX(LdgWitB,$M1296)),""))</f>
        <v/>
      </c>
      <c r="H1296" s="27">
        <f>IF($L1296&lt;&gt;"",IF(INDEX(SCOp,$L1296)="مرجوعی فروش",IF(INDEX(SCAmount,$L1296)=0,"",-INDEX(SCAmount,$L1296)),""),IF($M1296&lt;&gt;"",IF(INDEX(LdgDepB,$M1296)=0,"",INDEX(LdgDepB,$M1296)),""))</f>
        <v/>
      </c>
      <c r="I1296" s="28">
        <f>IF($B1296="","",IF($I1295="",$C$10,$I1295)+IF($G1296="",0,$G1296)-IF($H1296="",0,$H1296))</f>
        <v/>
      </c>
      <c r="L1296">
        <f>IFERROR(MATCH($C$5&amp;"|"&amp;RIGHT("000000"&amp;1280,6),LdgRankKeyA,0),"")</f>
        <v/>
      </c>
      <c r="M1296">
        <f>IFERROR(MATCH($C$5&amp;"|"&amp;RIGHT("000000"&amp;1280,6),LdgRankKeyB,0),"")</f>
        <v/>
      </c>
    </row>
    <row r="1297">
      <c r="A1297" s="17" t="n">
        <v>1281</v>
      </c>
      <c r="B1297" s="18">
        <f>IF(AND($L1297="",$M1297=""),"",IF($L1297&lt;&gt;"",INDEX(SCNormDate,$L1297),INDEX(LdgDateB,$M1297)))</f>
        <v/>
      </c>
      <c r="C1297" s="18">
        <f>IF($L1297&lt;&gt;"",INDEX(SCOp,$L1297),IF($M1297&lt;&gt;"","پرداخت بانکی",""))</f>
        <v/>
      </c>
      <c r="D1297" s="18">
        <f>IF($L1297&lt;&gt;"",IF(INDEX(SCDoc,$L1297)="","—",INDEX(SCDoc,$L1297)),IF($M1297&lt;&gt;"",INDEX(LdgBankB,$M1297),""))</f>
        <v/>
      </c>
      <c r="E1297" s="19">
        <f>IF($L1297&lt;&gt;"",IF(INDEX(SCCitrus,$L1297)&amp;INDEX(SCNotes,$L1297)="","",IF(INDEX(SCCitrus,$L1297)="","",INDEX(SCCitrus,$L1297))&amp;IF(INDEX(SCNotes,$L1297)="",""," — "&amp;INDEX(SCNotes,$L1297))),IF($M1297&lt;&gt;"",IF(INDEX(LdgNoteB,$M1297)="","—",INDEX(LdgNoteB,$M1297)),""))</f>
        <v/>
      </c>
      <c r="F1297" s="20">
        <f>IF($L1297&lt;&gt;"",IF(INDEX(SCNet,$L1297)=0,"",INDEX(SCNet,$L1297)),"")</f>
        <v/>
      </c>
      <c r="G1297" s="21">
        <f>IF($L1297&lt;&gt;"",IF(INDEX(SCOp,$L1297)="مرجوعی فروش","",IF(INDEX(SCAmount,$L1297)&lt;=0,"",INDEX(SCAmount,$L1297))),IF($M1297&lt;&gt;"",IF(INDEX(LdgWitB,$M1297)=0,"",INDEX(LdgWitB,$M1297)),""))</f>
        <v/>
      </c>
      <c r="H1297" s="21">
        <f>IF($L1297&lt;&gt;"",IF(INDEX(SCOp,$L1297)="مرجوعی فروش",IF(INDEX(SCAmount,$L1297)=0,"",-INDEX(SCAmount,$L1297)),""),IF($M1297&lt;&gt;"",IF(INDEX(LdgDepB,$M1297)=0,"",INDEX(LdgDepB,$M1297)),""))</f>
        <v/>
      </c>
      <c r="I1297" s="22">
        <f>IF($B1297="","",IF($I1296="",$C$10,$I1296)+IF($G1297="",0,$G1297)-IF($H1297="",0,$H1297))</f>
        <v/>
      </c>
      <c r="L1297">
        <f>IFERROR(MATCH($C$5&amp;"|"&amp;RIGHT("000000"&amp;1281,6),LdgRankKeyA,0),"")</f>
        <v/>
      </c>
      <c r="M1297">
        <f>IFERROR(MATCH($C$5&amp;"|"&amp;RIGHT("000000"&amp;1281,6),LdgRankKeyB,0),"")</f>
        <v/>
      </c>
    </row>
    <row r="1298">
      <c r="A1298" s="23" t="n">
        <v>1282</v>
      </c>
      <c r="B1298" s="24">
        <f>IF(AND($L1298="",$M1298=""),"",IF($L1298&lt;&gt;"",INDEX(SCNormDate,$L1298),INDEX(LdgDateB,$M1298)))</f>
        <v/>
      </c>
      <c r="C1298" s="24">
        <f>IF($L1298&lt;&gt;"",INDEX(SCOp,$L1298),IF($M1298&lt;&gt;"","پرداخت بانکی",""))</f>
        <v/>
      </c>
      <c r="D1298" s="24">
        <f>IF($L1298&lt;&gt;"",IF(INDEX(SCDoc,$L1298)="","—",INDEX(SCDoc,$L1298)),IF($M1298&lt;&gt;"",INDEX(LdgBankB,$M1298),""))</f>
        <v/>
      </c>
      <c r="E1298" s="25">
        <f>IF($L1298&lt;&gt;"",IF(INDEX(SCCitrus,$L1298)&amp;INDEX(SCNotes,$L1298)="","",IF(INDEX(SCCitrus,$L1298)="","",INDEX(SCCitrus,$L1298))&amp;IF(INDEX(SCNotes,$L1298)="",""," — "&amp;INDEX(SCNotes,$L1298))),IF($M1298&lt;&gt;"",IF(INDEX(LdgNoteB,$M1298)="","—",INDEX(LdgNoteB,$M1298)),""))</f>
        <v/>
      </c>
      <c r="F1298" s="26">
        <f>IF($L1298&lt;&gt;"",IF(INDEX(SCNet,$L1298)=0,"",INDEX(SCNet,$L1298)),"")</f>
        <v/>
      </c>
      <c r="G1298" s="27">
        <f>IF($L1298&lt;&gt;"",IF(INDEX(SCOp,$L1298)="مرجوعی فروش","",IF(INDEX(SCAmount,$L1298)&lt;=0,"",INDEX(SCAmount,$L1298))),IF($M1298&lt;&gt;"",IF(INDEX(LdgWitB,$M1298)=0,"",INDEX(LdgWitB,$M1298)),""))</f>
        <v/>
      </c>
      <c r="H1298" s="27">
        <f>IF($L1298&lt;&gt;"",IF(INDEX(SCOp,$L1298)="مرجوعی فروش",IF(INDEX(SCAmount,$L1298)=0,"",-INDEX(SCAmount,$L1298)),""),IF($M1298&lt;&gt;"",IF(INDEX(LdgDepB,$M1298)=0,"",INDEX(LdgDepB,$M1298)),""))</f>
        <v/>
      </c>
      <c r="I1298" s="28">
        <f>IF($B1298="","",IF($I1297="",$C$10,$I1297)+IF($G1298="",0,$G1298)-IF($H1298="",0,$H1298))</f>
        <v/>
      </c>
      <c r="L1298">
        <f>IFERROR(MATCH($C$5&amp;"|"&amp;RIGHT("000000"&amp;1282,6),LdgRankKeyA,0),"")</f>
        <v/>
      </c>
      <c r="M1298">
        <f>IFERROR(MATCH($C$5&amp;"|"&amp;RIGHT("000000"&amp;1282,6),LdgRankKeyB,0),"")</f>
        <v/>
      </c>
    </row>
    <row r="1299">
      <c r="A1299" s="17" t="n">
        <v>1283</v>
      </c>
      <c r="B1299" s="18">
        <f>IF(AND($L1299="",$M1299=""),"",IF($L1299&lt;&gt;"",INDEX(SCNormDate,$L1299),INDEX(LdgDateB,$M1299)))</f>
        <v/>
      </c>
      <c r="C1299" s="18">
        <f>IF($L1299&lt;&gt;"",INDEX(SCOp,$L1299),IF($M1299&lt;&gt;"","پرداخت بانکی",""))</f>
        <v/>
      </c>
      <c r="D1299" s="18">
        <f>IF($L1299&lt;&gt;"",IF(INDEX(SCDoc,$L1299)="","—",INDEX(SCDoc,$L1299)),IF($M1299&lt;&gt;"",INDEX(LdgBankB,$M1299),""))</f>
        <v/>
      </c>
      <c r="E1299" s="19">
        <f>IF($L1299&lt;&gt;"",IF(INDEX(SCCitrus,$L1299)&amp;INDEX(SCNotes,$L1299)="","",IF(INDEX(SCCitrus,$L1299)="","",INDEX(SCCitrus,$L1299))&amp;IF(INDEX(SCNotes,$L1299)="",""," — "&amp;INDEX(SCNotes,$L1299))),IF($M1299&lt;&gt;"",IF(INDEX(LdgNoteB,$M1299)="","—",INDEX(LdgNoteB,$M1299)),""))</f>
        <v/>
      </c>
      <c r="F1299" s="20">
        <f>IF($L1299&lt;&gt;"",IF(INDEX(SCNet,$L1299)=0,"",INDEX(SCNet,$L1299)),"")</f>
        <v/>
      </c>
      <c r="G1299" s="21">
        <f>IF($L1299&lt;&gt;"",IF(INDEX(SCOp,$L1299)="مرجوعی فروش","",IF(INDEX(SCAmount,$L1299)&lt;=0,"",INDEX(SCAmount,$L1299))),IF($M1299&lt;&gt;"",IF(INDEX(LdgWitB,$M1299)=0,"",INDEX(LdgWitB,$M1299)),""))</f>
        <v/>
      </c>
      <c r="H1299" s="21">
        <f>IF($L1299&lt;&gt;"",IF(INDEX(SCOp,$L1299)="مرجوعی فروش",IF(INDEX(SCAmount,$L1299)=0,"",-INDEX(SCAmount,$L1299)),""),IF($M1299&lt;&gt;"",IF(INDEX(LdgDepB,$M1299)=0,"",INDEX(LdgDepB,$M1299)),""))</f>
        <v/>
      </c>
      <c r="I1299" s="22">
        <f>IF($B1299="","",IF($I1298="",$C$10,$I1298)+IF($G1299="",0,$G1299)-IF($H1299="",0,$H1299))</f>
        <v/>
      </c>
      <c r="L1299">
        <f>IFERROR(MATCH($C$5&amp;"|"&amp;RIGHT("000000"&amp;1283,6),LdgRankKeyA,0),"")</f>
        <v/>
      </c>
      <c r="M1299">
        <f>IFERROR(MATCH($C$5&amp;"|"&amp;RIGHT("000000"&amp;1283,6),LdgRankKeyB,0),"")</f>
        <v/>
      </c>
    </row>
    <row r="1300">
      <c r="A1300" s="23" t="n">
        <v>1284</v>
      </c>
      <c r="B1300" s="24">
        <f>IF(AND($L1300="",$M1300=""),"",IF($L1300&lt;&gt;"",INDEX(SCNormDate,$L1300),INDEX(LdgDateB,$M1300)))</f>
        <v/>
      </c>
      <c r="C1300" s="24">
        <f>IF($L1300&lt;&gt;"",INDEX(SCOp,$L1300),IF($M1300&lt;&gt;"","پرداخت بانکی",""))</f>
        <v/>
      </c>
      <c r="D1300" s="24">
        <f>IF($L1300&lt;&gt;"",IF(INDEX(SCDoc,$L1300)="","—",INDEX(SCDoc,$L1300)),IF($M1300&lt;&gt;"",INDEX(LdgBankB,$M1300),""))</f>
        <v/>
      </c>
      <c r="E1300" s="25">
        <f>IF($L1300&lt;&gt;"",IF(INDEX(SCCitrus,$L1300)&amp;INDEX(SCNotes,$L1300)="","",IF(INDEX(SCCitrus,$L1300)="","",INDEX(SCCitrus,$L1300))&amp;IF(INDEX(SCNotes,$L1300)="",""," — "&amp;INDEX(SCNotes,$L1300))),IF($M1300&lt;&gt;"",IF(INDEX(LdgNoteB,$M1300)="","—",INDEX(LdgNoteB,$M1300)),""))</f>
        <v/>
      </c>
      <c r="F1300" s="26">
        <f>IF($L1300&lt;&gt;"",IF(INDEX(SCNet,$L1300)=0,"",INDEX(SCNet,$L1300)),"")</f>
        <v/>
      </c>
      <c r="G1300" s="27">
        <f>IF($L1300&lt;&gt;"",IF(INDEX(SCOp,$L1300)="مرجوعی فروش","",IF(INDEX(SCAmount,$L1300)&lt;=0,"",INDEX(SCAmount,$L1300))),IF($M1300&lt;&gt;"",IF(INDEX(LdgWitB,$M1300)=0,"",INDEX(LdgWitB,$M1300)),""))</f>
        <v/>
      </c>
      <c r="H1300" s="27">
        <f>IF($L1300&lt;&gt;"",IF(INDEX(SCOp,$L1300)="مرجوعی فروش",IF(INDEX(SCAmount,$L1300)=0,"",-INDEX(SCAmount,$L1300)),""),IF($M1300&lt;&gt;"",IF(INDEX(LdgDepB,$M1300)=0,"",INDEX(LdgDepB,$M1300)),""))</f>
        <v/>
      </c>
      <c r="I1300" s="28">
        <f>IF($B1300="","",IF($I1299="",$C$10,$I1299)+IF($G1300="",0,$G1300)-IF($H1300="",0,$H1300))</f>
        <v/>
      </c>
      <c r="L1300">
        <f>IFERROR(MATCH($C$5&amp;"|"&amp;RIGHT("000000"&amp;1284,6),LdgRankKeyA,0),"")</f>
        <v/>
      </c>
      <c r="M1300">
        <f>IFERROR(MATCH($C$5&amp;"|"&amp;RIGHT("000000"&amp;1284,6),LdgRankKeyB,0),"")</f>
        <v/>
      </c>
    </row>
    <row r="1301">
      <c r="A1301" s="17" t="n">
        <v>1285</v>
      </c>
      <c r="B1301" s="18">
        <f>IF(AND($L1301="",$M1301=""),"",IF($L1301&lt;&gt;"",INDEX(SCNormDate,$L1301),INDEX(LdgDateB,$M1301)))</f>
        <v/>
      </c>
      <c r="C1301" s="18">
        <f>IF($L1301&lt;&gt;"",INDEX(SCOp,$L1301),IF($M1301&lt;&gt;"","پرداخت بانکی",""))</f>
        <v/>
      </c>
      <c r="D1301" s="18">
        <f>IF($L1301&lt;&gt;"",IF(INDEX(SCDoc,$L1301)="","—",INDEX(SCDoc,$L1301)),IF($M1301&lt;&gt;"",INDEX(LdgBankB,$M1301),""))</f>
        <v/>
      </c>
      <c r="E1301" s="19">
        <f>IF($L1301&lt;&gt;"",IF(INDEX(SCCitrus,$L1301)&amp;INDEX(SCNotes,$L1301)="","",IF(INDEX(SCCitrus,$L1301)="","",INDEX(SCCitrus,$L1301))&amp;IF(INDEX(SCNotes,$L1301)="",""," — "&amp;INDEX(SCNotes,$L1301))),IF($M1301&lt;&gt;"",IF(INDEX(LdgNoteB,$M1301)="","—",INDEX(LdgNoteB,$M1301)),""))</f>
        <v/>
      </c>
      <c r="F1301" s="20">
        <f>IF($L1301&lt;&gt;"",IF(INDEX(SCNet,$L1301)=0,"",INDEX(SCNet,$L1301)),"")</f>
        <v/>
      </c>
      <c r="G1301" s="21">
        <f>IF($L1301&lt;&gt;"",IF(INDEX(SCOp,$L1301)="مرجوعی فروش","",IF(INDEX(SCAmount,$L1301)&lt;=0,"",INDEX(SCAmount,$L1301))),IF($M1301&lt;&gt;"",IF(INDEX(LdgWitB,$M1301)=0,"",INDEX(LdgWitB,$M1301)),""))</f>
        <v/>
      </c>
      <c r="H1301" s="21">
        <f>IF($L1301&lt;&gt;"",IF(INDEX(SCOp,$L1301)="مرجوعی فروش",IF(INDEX(SCAmount,$L1301)=0,"",-INDEX(SCAmount,$L1301)),""),IF($M1301&lt;&gt;"",IF(INDEX(LdgDepB,$M1301)=0,"",INDEX(LdgDepB,$M1301)),""))</f>
        <v/>
      </c>
      <c r="I1301" s="22">
        <f>IF($B1301="","",IF($I1300="",$C$10,$I1300)+IF($G1301="",0,$G1301)-IF($H1301="",0,$H1301))</f>
        <v/>
      </c>
      <c r="L1301">
        <f>IFERROR(MATCH($C$5&amp;"|"&amp;RIGHT("000000"&amp;1285,6),LdgRankKeyA,0),"")</f>
        <v/>
      </c>
      <c r="M1301">
        <f>IFERROR(MATCH($C$5&amp;"|"&amp;RIGHT("000000"&amp;1285,6),LdgRankKeyB,0),"")</f>
        <v/>
      </c>
    </row>
    <row r="1302">
      <c r="A1302" s="23" t="n">
        <v>1286</v>
      </c>
      <c r="B1302" s="24">
        <f>IF(AND($L1302="",$M1302=""),"",IF($L1302&lt;&gt;"",INDEX(SCNormDate,$L1302),INDEX(LdgDateB,$M1302)))</f>
        <v/>
      </c>
      <c r="C1302" s="24">
        <f>IF($L1302&lt;&gt;"",INDEX(SCOp,$L1302),IF($M1302&lt;&gt;"","پرداخت بانکی",""))</f>
        <v/>
      </c>
      <c r="D1302" s="24">
        <f>IF($L1302&lt;&gt;"",IF(INDEX(SCDoc,$L1302)="","—",INDEX(SCDoc,$L1302)),IF($M1302&lt;&gt;"",INDEX(LdgBankB,$M1302),""))</f>
        <v/>
      </c>
      <c r="E1302" s="25">
        <f>IF($L1302&lt;&gt;"",IF(INDEX(SCCitrus,$L1302)&amp;INDEX(SCNotes,$L1302)="","",IF(INDEX(SCCitrus,$L1302)="","",INDEX(SCCitrus,$L1302))&amp;IF(INDEX(SCNotes,$L1302)="",""," — "&amp;INDEX(SCNotes,$L1302))),IF($M1302&lt;&gt;"",IF(INDEX(LdgNoteB,$M1302)="","—",INDEX(LdgNoteB,$M1302)),""))</f>
        <v/>
      </c>
      <c r="F1302" s="26">
        <f>IF($L1302&lt;&gt;"",IF(INDEX(SCNet,$L1302)=0,"",INDEX(SCNet,$L1302)),"")</f>
        <v/>
      </c>
      <c r="G1302" s="27">
        <f>IF($L1302&lt;&gt;"",IF(INDEX(SCOp,$L1302)="مرجوعی فروش","",IF(INDEX(SCAmount,$L1302)&lt;=0,"",INDEX(SCAmount,$L1302))),IF($M1302&lt;&gt;"",IF(INDEX(LdgWitB,$M1302)=0,"",INDEX(LdgWitB,$M1302)),""))</f>
        <v/>
      </c>
      <c r="H1302" s="27">
        <f>IF($L1302&lt;&gt;"",IF(INDEX(SCOp,$L1302)="مرجوعی فروش",IF(INDEX(SCAmount,$L1302)=0,"",-INDEX(SCAmount,$L1302)),""),IF($M1302&lt;&gt;"",IF(INDEX(LdgDepB,$M1302)=0,"",INDEX(LdgDepB,$M1302)),""))</f>
        <v/>
      </c>
      <c r="I1302" s="28">
        <f>IF($B1302="","",IF($I1301="",$C$10,$I1301)+IF($G1302="",0,$G1302)-IF($H1302="",0,$H1302))</f>
        <v/>
      </c>
      <c r="L1302">
        <f>IFERROR(MATCH($C$5&amp;"|"&amp;RIGHT("000000"&amp;1286,6),LdgRankKeyA,0),"")</f>
        <v/>
      </c>
      <c r="M1302">
        <f>IFERROR(MATCH($C$5&amp;"|"&amp;RIGHT("000000"&amp;1286,6),LdgRankKeyB,0),"")</f>
        <v/>
      </c>
    </row>
    <row r="1303">
      <c r="A1303" s="17" t="n">
        <v>1287</v>
      </c>
      <c r="B1303" s="18">
        <f>IF(AND($L1303="",$M1303=""),"",IF($L1303&lt;&gt;"",INDEX(SCNormDate,$L1303),INDEX(LdgDateB,$M1303)))</f>
        <v/>
      </c>
      <c r="C1303" s="18">
        <f>IF($L1303&lt;&gt;"",INDEX(SCOp,$L1303),IF($M1303&lt;&gt;"","پرداخت بانکی",""))</f>
        <v/>
      </c>
      <c r="D1303" s="18">
        <f>IF($L1303&lt;&gt;"",IF(INDEX(SCDoc,$L1303)="","—",INDEX(SCDoc,$L1303)),IF($M1303&lt;&gt;"",INDEX(LdgBankB,$M1303),""))</f>
        <v/>
      </c>
      <c r="E1303" s="19">
        <f>IF($L1303&lt;&gt;"",IF(INDEX(SCCitrus,$L1303)&amp;INDEX(SCNotes,$L1303)="","",IF(INDEX(SCCitrus,$L1303)="","",INDEX(SCCitrus,$L1303))&amp;IF(INDEX(SCNotes,$L1303)="",""," — "&amp;INDEX(SCNotes,$L1303))),IF($M1303&lt;&gt;"",IF(INDEX(LdgNoteB,$M1303)="","—",INDEX(LdgNoteB,$M1303)),""))</f>
        <v/>
      </c>
      <c r="F1303" s="20">
        <f>IF($L1303&lt;&gt;"",IF(INDEX(SCNet,$L1303)=0,"",INDEX(SCNet,$L1303)),"")</f>
        <v/>
      </c>
      <c r="G1303" s="21">
        <f>IF($L1303&lt;&gt;"",IF(INDEX(SCOp,$L1303)="مرجوعی فروش","",IF(INDEX(SCAmount,$L1303)&lt;=0,"",INDEX(SCAmount,$L1303))),IF($M1303&lt;&gt;"",IF(INDEX(LdgWitB,$M1303)=0,"",INDEX(LdgWitB,$M1303)),""))</f>
        <v/>
      </c>
      <c r="H1303" s="21">
        <f>IF($L1303&lt;&gt;"",IF(INDEX(SCOp,$L1303)="مرجوعی فروش",IF(INDEX(SCAmount,$L1303)=0,"",-INDEX(SCAmount,$L1303)),""),IF($M1303&lt;&gt;"",IF(INDEX(LdgDepB,$M1303)=0,"",INDEX(LdgDepB,$M1303)),""))</f>
        <v/>
      </c>
      <c r="I1303" s="22">
        <f>IF($B1303="","",IF($I1302="",$C$10,$I1302)+IF($G1303="",0,$G1303)-IF($H1303="",0,$H1303))</f>
        <v/>
      </c>
      <c r="L1303">
        <f>IFERROR(MATCH($C$5&amp;"|"&amp;RIGHT("000000"&amp;1287,6),LdgRankKeyA,0),"")</f>
        <v/>
      </c>
      <c r="M1303">
        <f>IFERROR(MATCH($C$5&amp;"|"&amp;RIGHT("000000"&amp;1287,6),LdgRankKeyB,0),"")</f>
        <v/>
      </c>
    </row>
    <row r="1304">
      <c r="A1304" s="23" t="n">
        <v>1288</v>
      </c>
      <c r="B1304" s="24">
        <f>IF(AND($L1304="",$M1304=""),"",IF($L1304&lt;&gt;"",INDEX(SCNormDate,$L1304),INDEX(LdgDateB,$M1304)))</f>
        <v/>
      </c>
      <c r="C1304" s="24">
        <f>IF($L1304&lt;&gt;"",INDEX(SCOp,$L1304),IF($M1304&lt;&gt;"","پرداخت بانکی",""))</f>
        <v/>
      </c>
      <c r="D1304" s="24">
        <f>IF($L1304&lt;&gt;"",IF(INDEX(SCDoc,$L1304)="","—",INDEX(SCDoc,$L1304)),IF($M1304&lt;&gt;"",INDEX(LdgBankB,$M1304),""))</f>
        <v/>
      </c>
      <c r="E1304" s="25">
        <f>IF($L1304&lt;&gt;"",IF(INDEX(SCCitrus,$L1304)&amp;INDEX(SCNotes,$L1304)="","",IF(INDEX(SCCitrus,$L1304)="","",INDEX(SCCitrus,$L1304))&amp;IF(INDEX(SCNotes,$L1304)="",""," — "&amp;INDEX(SCNotes,$L1304))),IF($M1304&lt;&gt;"",IF(INDEX(LdgNoteB,$M1304)="","—",INDEX(LdgNoteB,$M1304)),""))</f>
        <v/>
      </c>
      <c r="F1304" s="26">
        <f>IF($L1304&lt;&gt;"",IF(INDEX(SCNet,$L1304)=0,"",INDEX(SCNet,$L1304)),"")</f>
        <v/>
      </c>
      <c r="G1304" s="27">
        <f>IF($L1304&lt;&gt;"",IF(INDEX(SCOp,$L1304)="مرجوعی فروش","",IF(INDEX(SCAmount,$L1304)&lt;=0,"",INDEX(SCAmount,$L1304))),IF($M1304&lt;&gt;"",IF(INDEX(LdgWitB,$M1304)=0,"",INDEX(LdgWitB,$M1304)),""))</f>
        <v/>
      </c>
      <c r="H1304" s="27">
        <f>IF($L1304&lt;&gt;"",IF(INDEX(SCOp,$L1304)="مرجوعی فروش",IF(INDEX(SCAmount,$L1304)=0,"",-INDEX(SCAmount,$L1304)),""),IF($M1304&lt;&gt;"",IF(INDEX(LdgDepB,$M1304)=0,"",INDEX(LdgDepB,$M1304)),""))</f>
        <v/>
      </c>
      <c r="I1304" s="28">
        <f>IF($B1304="","",IF($I1303="",$C$10,$I1303)+IF($G1304="",0,$G1304)-IF($H1304="",0,$H1304))</f>
        <v/>
      </c>
      <c r="L1304">
        <f>IFERROR(MATCH($C$5&amp;"|"&amp;RIGHT("000000"&amp;1288,6),LdgRankKeyA,0),"")</f>
        <v/>
      </c>
      <c r="M1304">
        <f>IFERROR(MATCH($C$5&amp;"|"&amp;RIGHT("000000"&amp;1288,6),LdgRankKeyB,0),"")</f>
        <v/>
      </c>
    </row>
    <row r="1305">
      <c r="A1305" s="17" t="n">
        <v>1289</v>
      </c>
      <c r="B1305" s="18">
        <f>IF(AND($L1305="",$M1305=""),"",IF($L1305&lt;&gt;"",INDEX(SCNormDate,$L1305),INDEX(LdgDateB,$M1305)))</f>
        <v/>
      </c>
      <c r="C1305" s="18">
        <f>IF($L1305&lt;&gt;"",INDEX(SCOp,$L1305),IF($M1305&lt;&gt;"","پرداخت بانکی",""))</f>
        <v/>
      </c>
      <c r="D1305" s="18">
        <f>IF($L1305&lt;&gt;"",IF(INDEX(SCDoc,$L1305)="","—",INDEX(SCDoc,$L1305)),IF($M1305&lt;&gt;"",INDEX(LdgBankB,$M1305),""))</f>
        <v/>
      </c>
      <c r="E1305" s="19">
        <f>IF($L1305&lt;&gt;"",IF(INDEX(SCCitrus,$L1305)&amp;INDEX(SCNotes,$L1305)="","",IF(INDEX(SCCitrus,$L1305)="","",INDEX(SCCitrus,$L1305))&amp;IF(INDEX(SCNotes,$L1305)="",""," — "&amp;INDEX(SCNotes,$L1305))),IF($M1305&lt;&gt;"",IF(INDEX(LdgNoteB,$M1305)="","—",INDEX(LdgNoteB,$M1305)),""))</f>
        <v/>
      </c>
      <c r="F1305" s="20">
        <f>IF($L1305&lt;&gt;"",IF(INDEX(SCNet,$L1305)=0,"",INDEX(SCNet,$L1305)),"")</f>
        <v/>
      </c>
      <c r="G1305" s="21">
        <f>IF($L1305&lt;&gt;"",IF(INDEX(SCOp,$L1305)="مرجوعی فروش","",IF(INDEX(SCAmount,$L1305)&lt;=0,"",INDEX(SCAmount,$L1305))),IF($M1305&lt;&gt;"",IF(INDEX(LdgWitB,$M1305)=0,"",INDEX(LdgWitB,$M1305)),""))</f>
        <v/>
      </c>
      <c r="H1305" s="21">
        <f>IF($L1305&lt;&gt;"",IF(INDEX(SCOp,$L1305)="مرجوعی فروش",IF(INDEX(SCAmount,$L1305)=0,"",-INDEX(SCAmount,$L1305)),""),IF($M1305&lt;&gt;"",IF(INDEX(LdgDepB,$M1305)=0,"",INDEX(LdgDepB,$M1305)),""))</f>
        <v/>
      </c>
      <c r="I1305" s="22">
        <f>IF($B1305="","",IF($I1304="",$C$10,$I1304)+IF($G1305="",0,$G1305)-IF($H1305="",0,$H1305))</f>
        <v/>
      </c>
      <c r="L1305">
        <f>IFERROR(MATCH($C$5&amp;"|"&amp;RIGHT("000000"&amp;1289,6),LdgRankKeyA,0),"")</f>
        <v/>
      </c>
      <c r="M1305">
        <f>IFERROR(MATCH($C$5&amp;"|"&amp;RIGHT("000000"&amp;1289,6),LdgRankKeyB,0),"")</f>
        <v/>
      </c>
    </row>
    <row r="1306">
      <c r="A1306" s="23" t="n">
        <v>1290</v>
      </c>
      <c r="B1306" s="24">
        <f>IF(AND($L1306="",$M1306=""),"",IF($L1306&lt;&gt;"",INDEX(SCNormDate,$L1306),INDEX(LdgDateB,$M1306)))</f>
        <v/>
      </c>
      <c r="C1306" s="24">
        <f>IF($L1306&lt;&gt;"",INDEX(SCOp,$L1306),IF($M1306&lt;&gt;"","پرداخت بانکی",""))</f>
        <v/>
      </c>
      <c r="D1306" s="24">
        <f>IF($L1306&lt;&gt;"",IF(INDEX(SCDoc,$L1306)="","—",INDEX(SCDoc,$L1306)),IF($M1306&lt;&gt;"",INDEX(LdgBankB,$M1306),""))</f>
        <v/>
      </c>
      <c r="E1306" s="25">
        <f>IF($L1306&lt;&gt;"",IF(INDEX(SCCitrus,$L1306)&amp;INDEX(SCNotes,$L1306)="","",IF(INDEX(SCCitrus,$L1306)="","",INDEX(SCCitrus,$L1306))&amp;IF(INDEX(SCNotes,$L1306)="",""," — "&amp;INDEX(SCNotes,$L1306))),IF($M1306&lt;&gt;"",IF(INDEX(LdgNoteB,$M1306)="","—",INDEX(LdgNoteB,$M1306)),""))</f>
        <v/>
      </c>
      <c r="F1306" s="26">
        <f>IF($L1306&lt;&gt;"",IF(INDEX(SCNet,$L1306)=0,"",INDEX(SCNet,$L1306)),"")</f>
        <v/>
      </c>
      <c r="G1306" s="27">
        <f>IF($L1306&lt;&gt;"",IF(INDEX(SCOp,$L1306)="مرجوعی فروش","",IF(INDEX(SCAmount,$L1306)&lt;=0,"",INDEX(SCAmount,$L1306))),IF($M1306&lt;&gt;"",IF(INDEX(LdgWitB,$M1306)=0,"",INDEX(LdgWitB,$M1306)),""))</f>
        <v/>
      </c>
      <c r="H1306" s="27">
        <f>IF($L1306&lt;&gt;"",IF(INDEX(SCOp,$L1306)="مرجوعی فروش",IF(INDEX(SCAmount,$L1306)=0,"",-INDEX(SCAmount,$L1306)),""),IF($M1306&lt;&gt;"",IF(INDEX(LdgDepB,$M1306)=0,"",INDEX(LdgDepB,$M1306)),""))</f>
        <v/>
      </c>
      <c r="I1306" s="28">
        <f>IF($B1306="","",IF($I1305="",$C$10,$I1305)+IF($G1306="",0,$G1306)-IF($H1306="",0,$H1306))</f>
        <v/>
      </c>
      <c r="L1306">
        <f>IFERROR(MATCH($C$5&amp;"|"&amp;RIGHT("000000"&amp;1290,6),LdgRankKeyA,0),"")</f>
        <v/>
      </c>
      <c r="M1306">
        <f>IFERROR(MATCH($C$5&amp;"|"&amp;RIGHT("000000"&amp;1290,6),LdgRankKeyB,0),"")</f>
        <v/>
      </c>
    </row>
    <row r="1307">
      <c r="A1307" s="17" t="n">
        <v>1291</v>
      </c>
      <c r="B1307" s="18">
        <f>IF(AND($L1307="",$M1307=""),"",IF($L1307&lt;&gt;"",INDEX(SCNormDate,$L1307),INDEX(LdgDateB,$M1307)))</f>
        <v/>
      </c>
      <c r="C1307" s="18">
        <f>IF($L1307&lt;&gt;"",INDEX(SCOp,$L1307),IF($M1307&lt;&gt;"","پرداخت بانکی",""))</f>
        <v/>
      </c>
      <c r="D1307" s="18">
        <f>IF($L1307&lt;&gt;"",IF(INDEX(SCDoc,$L1307)="","—",INDEX(SCDoc,$L1307)),IF($M1307&lt;&gt;"",INDEX(LdgBankB,$M1307),""))</f>
        <v/>
      </c>
      <c r="E1307" s="19">
        <f>IF($L1307&lt;&gt;"",IF(INDEX(SCCitrus,$L1307)&amp;INDEX(SCNotes,$L1307)="","",IF(INDEX(SCCitrus,$L1307)="","",INDEX(SCCitrus,$L1307))&amp;IF(INDEX(SCNotes,$L1307)="",""," — "&amp;INDEX(SCNotes,$L1307))),IF($M1307&lt;&gt;"",IF(INDEX(LdgNoteB,$M1307)="","—",INDEX(LdgNoteB,$M1307)),""))</f>
        <v/>
      </c>
      <c r="F1307" s="20">
        <f>IF($L1307&lt;&gt;"",IF(INDEX(SCNet,$L1307)=0,"",INDEX(SCNet,$L1307)),"")</f>
        <v/>
      </c>
      <c r="G1307" s="21">
        <f>IF($L1307&lt;&gt;"",IF(INDEX(SCOp,$L1307)="مرجوعی فروش","",IF(INDEX(SCAmount,$L1307)&lt;=0,"",INDEX(SCAmount,$L1307))),IF($M1307&lt;&gt;"",IF(INDEX(LdgWitB,$M1307)=0,"",INDEX(LdgWitB,$M1307)),""))</f>
        <v/>
      </c>
      <c r="H1307" s="21">
        <f>IF($L1307&lt;&gt;"",IF(INDEX(SCOp,$L1307)="مرجوعی فروش",IF(INDEX(SCAmount,$L1307)=0,"",-INDEX(SCAmount,$L1307)),""),IF($M1307&lt;&gt;"",IF(INDEX(LdgDepB,$M1307)=0,"",INDEX(LdgDepB,$M1307)),""))</f>
        <v/>
      </c>
      <c r="I1307" s="22">
        <f>IF($B1307="","",IF($I1306="",$C$10,$I1306)+IF($G1307="",0,$G1307)-IF($H1307="",0,$H1307))</f>
        <v/>
      </c>
      <c r="L1307">
        <f>IFERROR(MATCH($C$5&amp;"|"&amp;RIGHT("000000"&amp;1291,6),LdgRankKeyA,0),"")</f>
        <v/>
      </c>
      <c r="M1307">
        <f>IFERROR(MATCH($C$5&amp;"|"&amp;RIGHT("000000"&amp;1291,6),LdgRankKeyB,0),"")</f>
        <v/>
      </c>
    </row>
    <row r="1308">
      <c r="A1308" s="23" t="n">
        <v>1292</v>
      </c>
      <c r="B1308" s="24">
        <f>IF(AND($L1308="",$M1308=""),"",IF($L1308&lt;&gt;"",INDEX(SCNormDate,$L1308),INDEX(LdgDateB,$M1308)))</f>
        <v/>
      </c>
      <c r="C1308" s="24">
        <f>IF($L1308&lt;&gt;"",INDEX(SCOp,$L1308),IF($M1308&lt;&gt;"","پرداخت بانکی",""))</f>
        <v/>
      </c>
      <c r="D1308" s="24">
        <f>IF($L1308&lt;&gt;"",IF(INDEX(SCDoc,$L1308)="","—",INDEX(SCDoc,$L1308)),IF($M1308&lt;&gt;"",INDEX(LdgBankB,$M1308),""))</f>
        <v/>
      </c>
      <c r="E1308" s="25">
        <f>IF($L1308&lt;&gt;"",IF(INDEX(SCCitrus,$L1308)&amp;INDEX(SCNotes,$L1308)="","",IF(INDEX(SCCitrus,$L1308)="","",INDEX(SCCitrus,$L1308))&amp;IF(INDEX(SCNotes,$L1308)="",""," — "&amp;INDEX(SCNotes,$L1308))),IF($M1308&lt;&gt;"",IF(INDEX(LdgNoteB,$M1308)="","—",INDEX(LdgNoteB,$M1308)),""))</f>
        <v/>
      </c>
      <c r="F1308" s="26">
        <f>IF($L1308&lt;&gt;"",IF(INDEX(SCNet,$L1308)=0,"",INDEX(SCNet,$L1308)),"")</f>
        <v/>
      </c>
      <c r="G1308" s="27">
        <f>IF($L1308&lt;&gt;"",IF(INDEX(SCOp,$L1308)="مرجوعی فروش","",IF(INDEX(SCAmount,$L1308)&lt;=0,"",INDEX(SCAmount,$L1308))),IF($M1308&lt;&gt;"",IF(INDEX(LdgWitB,$M1308)=0,"",INDEX(LdgWitB,$M1308)),""))</f>
        <v/>
      </c>
      <c r="H1308" s="27">
        <f>IF($L1308&lt;&gt;"",IF(INDEX(SCOp,$L1308)="مرجوعی فروش",IF(INDEX(SCAmount,$L1308)=0,"",-INDEX(SCAmount,$L1308)),""),IF($M1308&lt;&gt;"",IF(INDEX(LdgDepB,$M1308)=0,"",INDEX(LdgDepB,$M1308)),""))</f>
        <v/>
      </c>
      <c r="I1308" s="28">
        <f>IF($B1308="","",IF($I1307="",$C$10,$I1307)+IF($G1308="",0,$G1308)-IF($H1308="",0,$H1308))</f>
        <v/>
      </c>
      <c r="L1308">
        <f>IFERROR(MATCH($C$5&amp;"|"&amp;RIGHT("000000"&amp;1292,6),LdgRankKeyA,0),"")</f>
        <v/>
      </c>
      <c r="M1308">
        <f>IFERROR(MATCH($C$5&amp;"|"&amp;RIGHT("000000"&amp;1292,6),LdgRankKeyB,0),"")</f>
        <v/>
      </c>
    </row>
    <row r="1309">
      <c r="A1309" s="17" t="n">
        <v>1293</v>
      </c>
      <c r="B1309" s="18">
        <f>IF(AND($L1309="",$M1309=""),"",IF($L1309&lt;&gt;"",INDEX(SCNormDate,$L1309),INDEX(LdgDateB,$M1309)))</f>
        <v/>
      </c>
      <c r="C1309" s="18">
        <f>IF($L1309&lt;&gt;"",INDEX(SCOp,$L1309),IF($M1309&lt;&gt;"","پرداخت بانکی",""))</f>
        <v/>
      </c>
      <c r="D1309" s="18">
        <f>IF($L1309&lt;&gt;"",IF(INDEX(SCDoc,$L1309)="","—",INDEX(SCDoc,$L1309)),IF($M1309&lt;&gt;"",INDEX(LdgBankB,$M1309),""))</f>
        <v/>
      </c>
      <c r="E1309" s="19">
        <f>IF($L1309&lt;&gt;"",IF(INDEX(SCCitrus,$L1309)&amp;INDEX(SCNotes,$L1309)="","",IF(INDEX(SCCitrus,$L1309)="","",INDEX(SCCitrus,$L1309))&amp;IF(INDEX(SCNotes,$L1309)="",""," — "&amp;INDEX(SCNotes,$L1309))),IF($M1309&lt;&gt;"",IF(INDEX(LdgNoteB,$M1309)="","—",INDEX(LdgNoteB,$M1309)),""))</f>
        <v/>
      </c>
      <c r="F1309" s="20">
        <f>IF($L1309&lt;&gt;"",IF(INDEX(SCNet,$L1309)=0,"",INDEX(SCNet,$L1309)),"")</f>
        <v/>
      </c>
      <c r="G1309" s="21">
        <f>IF($L1309&lt;&gt;"",IF(INDEX(SCOp,$L1309)="مرجوعی فروش","",IF(INDEX(SCAmount,$L1309)&lt;=0,"",INDEX(SCAmount,$L1309))),IF($M1309&lt;&gt;"",IF(INDEX(LdgWitB,$M1309)=0,"",INDEX(LdgWitB,$M1309)),""))</f>
        <v/>
      </c>
      <c r="H1309" s="21">
        <f>IF($L1309&lt;&gt;"",IF(INDEX(SCOp,$L1309)="مرجوعی فروش",IF(INDEX(SCAmount,$L1309)=0,"",-INDEX(SCAmount,$L1309)),""),IF($M1309&lt;&gt;"",IF(INDEX(LdgDepB,$M1309)=0,"",INDEX(LdgDepB,$M1309)),""))</f>
        <v/>
      </c>
      <c r="I1309" s="22">
        <f>IF($B1309="","",IF($I1308="",$C$10,$I1308)+IF($G1309="",0,$G1309)-IF($H1309="",0,$H1309))</f>
        <v/>
      </c>
      <c r="L1309">
        <f>IFERROR(MATCH($C$5&amp;"|"&amp;RIGHT("000000"&amp;1293,6),LdgRankKeyA,0),"")</f>
        <v/>
      </c>
      <c r="M1309">
        <f>IFERROR(MATCH($C$5&amp;"|"&amp;RIGHT("000000"&amp;1293,6),LdgRankKeyB,0),"")</f>
        <v/>
      </c>
    </row>
    <row r="1310">
      <c r="A1310" s="23" t="n">
        <v>1294</v>
      </c>
      <c r="B1310" s="24">
        <f>IF(AND($L1310="",$M1310=""),"",IF($L1310&lt;&gt;"",INDEX(SCNormDate,$L1310),INDEX(LdgDateB,$M1310)))</f>
        <v/>
      </c>
      <c r="C1310" s="24">
        <f>IF($L1310&lt;&gt;"",INDEX(SCOp,$L1310),IF($M1310&lt;&gt;"","پرداخت بانکی",""))</f>
        <v/>
      </c>
      <c r="D1310" s="24">
        <f>IF($L1310&lt;&gt;"",IF(INDEX(SCDoc,$L1310)="","—",INDEX(SCDoc,$L1310)),IF($M1310&lt;&gt;"",INDEX(LdgBankB,$M1310),""))</f>
        <v/>
      </c>
      <c r="E1310" s="25">
        <f>IF($L1310&lt;&gt;"",IF(INDEX(SCCitrus,$L1310)&amp;INDEX(SCNotes,$L1310)="","",IF(INDEX(SCCitrus,$L1310)="","",INDEX(SCCitrus,$L1310))&amp;IF(INDEX(SCNotes,$L1310)="",""," — "&amp;INDEX(SCNotes,$L1310))),IF($M1310&lt;&gt;"",IF(INDEX(LdgNoteB,$M1310)="","—",INDEX(LdgNoteB,$M1310)),""))</f>
        <v/>
      </c>
      <c r="F1310" s="26">
        <f>IF($L1310&lt;&gt;"",IF(INDEX(SCNet,$L1310)=0,"",INDEX(SCNet,$L1310)),"")</f>
        <v/>
      </c>
      <c r="G1310" s="27">
        <f>IF($L1310&lt;&gt;"",IF(INDEX(SCOp,$L1310)="مرجوعی فروش","",IF(INDEX(SCAmount,$L1310)&lt;=0,"",INDEX(SCAmount,$L1310))),IF($M1310&lt;&gt;"",IF(INDEX(LdgWitB,$M1310)=0,"",INDEX(LdgWitB,$M1310)),""))</f>
        <v/>
      </c>
      <c r="H1310" s="27">
        <f>IF($L1310&lt;&gt;"",IF(INDEX(SCOp,$L1310)="مرجوعی فروش",IF(INDEX(SCAmount,$L1310)=0,"",-INDEX(SCAmount,$L1310)),""),IF($M1310&lt;&gt;"",IF(INDEX(LdgDepB,$M1310)=0,"",INDEX(LdgDepB,$M1310)),""))</f>
        <v/>
      </c>
      <c r="I1310" s="28">
        <f>IF($B1310="","",IF($I1309="",$C$10,$I1309)+IF($G1310="",0,$G1310)-IF($H1310="",0,$H1310))</f>
        <v/>
      </c>
      <c r="L1310">
        <f>IFERROR(MATCH($C$5&amp;"|"&amp;RIGHT("000000"&amp;1294,6),LdgRankKeyA,0),"")</f>
        <v/>
      </c>
      <c r="M1310">
        <f>IFERROR(MATCH($C$5&amp;"|"&amp;RIGHT("000000"&amp;1294,6),LdgRankKeyB,0),"")</f>
        <v/>
      </c>
    </row>
    <row r="1311">
      <c r="A1311" s="17" t="n">
        <v>1295</v>
      </c>
      <c r="B1311" s="18">
        <f>IF(AND($L1311="",$M1311=""),"",IF($L1311&lt;&gt;"",INDEX(SCNormDate,$L1311),INDEX(LdgDateB,$M1311)))</f>
        <v/>
      </c>
      <c r="C1311" s="18">
        <f>IF($L1311&lt;&gt;"",INDEX(SCOp,$L1311),IF($M1311&lt;&gt;"","پرداخت بانکی",""))</f>
        <v/>
      </c>
      <c r="D1311" s="18">
        <f>IF($L1311&lt;&gt;"",IF(INDEX(SCDoc,$L1311)="","—",INDEX(SCDoc,$L1311)),IF($M1311&lt;&gt;"",INDEX(LdgBankB,$M1311),""))</f>
        <v/>
      </c>
      <c r="E1311" s="19">
        <f>IF($L1311&lt;&gt;"",IF(INDEX(SCCitrus,$L1311)&amp;INDEX(SCNotes,$L1311)="","",IF(INDEX(SCCitrus,$L1311)="","",INDEX(SCCitrus,$L1311))&amp;IF(INDEX(SCNotes,$L1311)="",""," — "&amp;INDEX(SCNotes,$L1311))),IF($M1311&lt;&gt;"",IF(INDEX(LdgNoteB,$M1311)="","—",INDEX(LdgNoteB,$M1311)),""))</f>
        <v/>
      </c>
      <c r="F1311" s="20">
        <f>IF($L1311&lt;&gt;"",IF(INDEX(SCNet,$L1311)=0,"",INDEX(SCNet,$L1311)),"")</f>
        <v/>
      </c>
      <c r="G1311" s="21">
        <f>IF($L1311&lt;&gt;"",IF(INDEX(SCOp,$L1311)="مرجوعی فروش","",IF(INDEX(SCAmount,$L1311)&lt;=0,"",INDEX(SCAmount,$L1311))),IF($M1311&lt;&gt;"",IF(INDEX(LdgWitB,$M1311)=0,"",INDEX(LdgWitB,$M1311)),""))</f>
        <v/>
      </c>
      <c r="H1311" s="21">
        <f>IF($L1311&lt;&gt;"",IF(INDEX(SCOp,$L1311)="مرجوعی فروش",IF(INDEX(SCAmount,$L1311)=0,"",-INDEX(SCAmount,$L1311)),""),IF($M1311&lt;&gt;"",IF(INDEX(LdgDepB,$M1311)=0,"",INDEX(LdgDepB,$M1311)),""))</f>
        <v/>
      </c>
      <c r="I1311" s="22">
        <f>IF($B1311="","",IF($I1310="",$C$10,$I1310)+IF($G1311="",0,$G1311)-IF($H1311="",0,$H1311))</f>
        <v/>
      </c>
      <c r="L1311">
        <f>IFERROR(MATCH($C$5&amp;"|"&amp;RIGHT("000000"&amp;1295,6),LdgRankKeyA,0),"")</f>
        <v/>
      </c>
      <c r="M1311">
        <f>IFERROR(MATCH($C$5&amp;"|"&amp;RIGHT("000000"&amp;1295,6),LdgRankKeyB,0),"")</f>
        <v/>
      </c>
    </row>
    <row r="1312">
      <c r="A1312" s="23" t="n">
        <v>1296</v>
      </c>
      <c r="B1312" s="24">
        <f>IF(AND($L1312="",$M1312=""),"",IF($L1312&lt;&gt;"",INDEX(SCNormDate,$L1312),INDEX(LdgDateB,$M1312)))</f>
        <v/>
      </c>
      <c r="C1312" s="24">
        <f>IF($L1312&lt;&gt;"",INDEX(SCOp,$L1312),IF($M1312&lt;&gt;"","پرداخت بانکی",""))</f>
        <v/>
      </c>
      <c r="D1312" s="24">
        <f>IF($L1312&lt;&gt;"",IF(INDEX(SCDoc,$L1312)="","—",INDEX(SCDoc,$L1312)),IF($M1312&lt;&gt;"",INDEX(LdgBankB,$M1312),""))</f>
        <v/>
      </c>
      <c r="E1312" s="25">
        <f>IF($L1312&lt;&gt;"",IF(INDEX(SCCitrus,$L1312)&amp;INDEX(SCNotes,$L1312)="","",IF(INDEX(SCCitrus,$L1312)="","",INDEX(SCCitrus,$L1312))&amp;IF(INDEX(SCNotes,$L1312)="",""," — "&amp;INDEX(SCNotes,$L1312))),IF($M1312&lt;&gt;"",IF(INDEX(LdgNoteB,$M1312)="","—",INDEX(LdgNoteB,$M1312)),""))</f>
        <v/>
      </c>
      <c r="F1312" s="26">
        <f>IF($L1312&lt;&gt;"",IF(INDEX(SCNet,$L1312)=0,"",INDEX(SCNet,$L1312)),"")</f>
        <v/>
      </c>
      <c r="G1312" s="27">
        <f>IF($L1312&lt;&gt;"",IF(INDEX(SCOp,$L1312)="مرجوعی فروش","",IF(INDEX(SCAmount,$L1312)&lt;=0,"",INDEX(SCAmount,$L1312))),IF($M1312&lt;&gt;"",IF(INDEX(LdgWitB,$M1312)=0,"",INDEX(LdgWitB,$M1312)),""))</f>
        <v/>
      </c>
      <c r="H1312" s="27">
        <f>IF($L1312&lt;&gt;"",IF(INDEX(SCOp,$L1312)="مرجوعی فروش",IF(INDEX(SCAmount,$L1312)=0,"",-INDEX(SCAmount,$L1312)),""),IF($M1312&lt;&gt;"",IF(INDEX(LdgDepB,$M1312)=0,"",INDEX(LdgDepB,$M1312)),""))</f>
        <v/>
      </c>
      <c r="I1312" s="28">
        <f>IF($B1312="","",IF($I1311="",$C$10,$I1311)+IF($G1312="",0,$G1312)-IF($H1312="",0,$H1312))</f>
        <v/>
      </c>
      <c r="L1312">
        <f>IFERROR(MATCH($C$5&amp;"|"&amp;RIGHT("000000"&amp;1296,6),LdgRankKeyA,0),"")</f>
        <v/>
      </c>
      <c r="M1312">
        <f>IFERROR(MATCH($C$5&amp;"|"&amp;RIGHT("000000"&amp;1296,6),LdgRankKeyB,0),"")</f>
        <v/>
      </c>
    </row>
    <row r="1313">
      <c r="A1313" s="17" t="n">
        <v>1297</v>
      </c>
      <c r="B1313" s="18">
        <f>IF(AND($L1313="",$M1313=""),"",IF($L1313&lt;&gt;"",INDEX(SCNormDate,$L1313),INDEX(LdgDateB,$M1313)))</f>
        <v/>
      </c>
      <c r="C1313" s="18">
        <f>IF($L1313&lt;&gt;"",INDEX(SCOp,$L1313),IF($M1313&lt;&gt;"","پرداخت بانکی",""))</f>
        <v/>
      </c>
      <c r="D1313" s="18">
        <f>IF($L1313&lt;&gt;"",IF(INDEX(SCDoc,$L1313)="","—",INDEX(SCDoc,$L1313)),IF($M1313&lt;&gt;"",INDEX(LdgBankB,$M1313),""))</f>
        <v/>
      </c>
      <c r="E1313" s="19">
        <f>IF($L1313&lt;&gt;"",IF(INDEX(SCCitrus,$L1313)&amp;INDEX(SCNotes,$L1313)="","",IF(INDEX(SCCitrus,$L1313)="","",INDEX(SCCitrus,$L1313))&amp;IF(INDEX(SCNotes,$L1313)="",""," — "&amp;INDEX(SCNotes,$L1313))),IF($M1313&lt;&gt;"",IF(INDEX(LdgNoteB,$M1313)="","—",INDEX(LdgNoteB,$M1313)),""))</f>
        <v/>
      </c>
      <c r="F1313" s="20">
        <f>IF($L1313&lt;&gt;"",IF(INDEX(SCNet,$L1313)=0,"",INDEX(SCNet,$L1313)),"")</f>
        <v/>
      </c>
      <c r="G1313" s="21">
        <f>IF($L1313&lt;&gt;"",IF(INDEX(SCOp,$L1313)="مرجوعی فروش","",IF(INDEX(SCAmount,$L1313)&lt;=0,"",INDEX(SCAmount,$L1313))),IF($M1313&lt;&gt;"",IF(INDEX(LdgWitB,$M1313)=0,"",INDEX(LdgWitB,$M1313)),""))</f>
        <v/>
      </c>
      <c r="H1313" s="21">
        <f>IF($L1313&lt;&gt;"",IF(INDEX(SCOp,$L1313)="مرجوعی فروش",IF(INDEX(SCAmount,$L1313)=0,"",-INDEX(SCAmount,$L1313)),""),IF($M1313&lt;&gt;"",IF(INDEX(LdgDepB,$M1313)=0,"",INDEX(LdgDepB,$M1313)),""))</f>
        <v/>
      </c>
      <c r="I1313" s="22">
        <f>IF($B1313="","",IF($I1312="",$C$10,$I1312)+IF($G1313="",0,$G1313)-IF($H1313="",0,$H1313))</f>
        <v/>
      </c>
      <c r="L1313">
        <f>IFERROR(MATCH($C$5&amp;"|"&amp;RIGHT("000000"&amp;1297,6),LdgRankKeyA,0),"")</f>
        <v/>
      </c>
      <c r="M1313">
        <f>IFERROR(MATCH($C$5&amp;"|"&amp;RIGHT("000000"&amp;1297,6),LdgRankKeyB,0),"")</f>
        <v/>
      </c>
    </row>
    <row r="1314">
      <c r="A1314" s="23" t="n">
        <v>1298</v>
      </c>
      <c r="B1314" s="24">
        <f>IF(AND($L1314="",$M1314=""),"",IF($L1314&lt;&gt;"",INDEX(SCNormDate,$L1314),INDEX(LdgDateB,$M1314)))</f>
        <v/>
      </c>
      <c r="C1314" s="24">
        <f>IF($L1314&lt;&gt;"",INDEX(SCOp,$L1314),IF($M1314&lt;&gt;"","پرداخت بانکی",""))</f>
        <v/>
      </c>
      <c r="D1314" s="24">
        <f>IF($L1314&lt;&gt;"",IF(INDEX(SCDoc,$L1314)="","—",INDEX(SCDoc,$L1314)),IF($M1314&lt;&gt;"",INDEX(LdgBankB,$M1314),""))</f>
        <v/>
      </c>
      <c r="E1314" s="25">
        <f>IF($L1314&lt;&gt;"",IF(INDEX(SCCitrus,$L1314)&amp;INDEX(SCNotes,$L1314)="","",IF(INDEX(SCCitrus,$L1314)="","",INDEX(SCCitrus,$L1314))&amp;IF(INDEX(SCNotes,$L1314)="",""," — "&amp;INDEX(SCNotes,$L1314))),IF($M1314&lt;&gt;"",IF(INDEX(LdgNoteB,$M1314)="","—",INDEX(LdgNoteB,$M1314)),""))</f>
        <v/>
      </c>
      <c r="F1314" s="26">
        <f>IF($L1314&lt;&gt;"",IF(INDEX(SCNet,$L1314)=0,"",INDEX(SCNet,$L1314)),"")</f>
        <v/>
      </c>
      <c r="G1314" s="27">
        <f>IF($L1314&lt;&gt;"",IF(INDEX(SCOp,$L1314)="مرجوعی فروش","",IF(INDEX(SCAmount,$L1314)&lt;=0,"",INDEX(SCAmount,$L1314))),IF($M1314&lt;&gt;"",IF(INDEX(LdgWitB,$M1314)=0,"",INDEX(LdgWitB,$M1314)),""))</f>
        <v/>
      </c>
      <c r="H1314" s="27">
        <f>IF($L1314&lt;&gt;"",IF(INDEX(SCOp,$L1314)="مرجوعی فروش",IF(INDEX(SCAmount,$L1314)=0,"",-INDEX(SCAmount,$L1314)),""),IF($M1314&lt;&gt;"",IF(INDEX(LdgDepB,$M1314)=0,"",INDEX(LdgDepB,$M1314)),""))</f>
        <v/>
      </c>
      <c r="I1314" s="28">
        <f>IF($B1314="","",IF($I1313="",$C$10,$I1313)+IF($G1314="",0,$G1314)-IF($H1314="",0,$H1314))</f>
        <v/>
      </c>
      <c r="L1314">
        <f>IFERROR(MATCH($C$5&amp;"|"&amp;RIGHT("000000"&amp;1298,6),LdgRankKeyA,0),"")</f>
        <v/>
      </c>
      <c r="M1314">
        <f>IFERROR(MATCH($C$5&amp;"|"&amp;RIGHT("000000"&amp;1298,6),LdgRankKeyB,0),"")</f>
        <v/>
      </c>
    </row>
    <row r="1315">
      <c r="A1315" s="17" t="n">
        <v>1299</v>
      </c>
      <c r="B1315" s="18">
        <f>IF(AND($L1315="",$M1315=""),"",IF($L1315&lt;&gt;"",INDEX(SCNormDate,$L1315),INDEX(LdgDateB,$M1315)))</f>
        <v/>
      </c>
      <c r="C1315" s="18">
        <f>IF($L1315&lt;&gt;"",INDEX(SCOp,$L1315),IF($M1315&lt;&gt;"","پرداخت بانکی",""))</f>
        <v/>
      </c>
      <c r="D1315" s="18">
        <f>IF($L1315&lt;&gt;"",IF(INDEX(SCDoc,$L1315)="","—",INDEX(SCDoc,$L1315)),IF($M1315&lt;&gt;"",INDEX(LdgBankB,$M1315),""))</f>
        <v/>
      </c>
      <c r="E1315" s="19">
        <f>IF($L1315&lt;&gt;"",IF(INDEX(SCCitrus,$L1315)&amp;INDEX(SCNotes,$L1315)="","",IF(INDEX(SCCitrus,$L1315)="","",INDEX(SCCitrus,$L1315))&amp;IF(INDEX(SCNotes,$L1315)="",""," — "&amp;INDEX(SCNotes,$L1315))),IF($M1315&lt;&gt;"",IF(INDEX(LdgNoteB,$M1315)="","—",INDEX(LdgNoteB,$M1315)),""))</f>
        <v/>
      </c>
      <c r="F1315" s="20">
        <f>IF($L1315&lt;&gt;"",IF(INDEX(SCNet,$L1315)=0,"",INDEX(SCNet,$L1315)),"")</f>
        <v/>
      </c>
      <c r="G1315" s="21">
        <f>IF($L1315&lt;&gt;"",IF(INDEX(SCOp,$L1315)="مرجوعی فروش","",IF(INDEX(SCAmount,$L1315)&lt;=0,"",INDEX(SCAmount,$L1315))),IF($M1315&lt;&gt;"",IF(INDEX(LdgWitB,$M1315)=0,"",INDEX(LdgWitB,$M1315)),""))</f>
        <v/>
      </c>
      <c r="H1315" s="21">
        <f>IF($L1315&lt;&gt;"",IF(INDEX(SCOp,$L1315)="مرجوعی فروش",IF(INDEX(SCAmount,$L1315)=0,"",-INDEX(SCAmount,$L1315)),""),IF($M1315&lt;&gt;"",IF(INDEX(LdgDepB,$M1315)=0,"",INDEX(LdgDepB,$M1315)),""))</f>
        <v/>
      </c>
      <c r="I1315" s="22">
        <f>IF($B1315="","",IF($I1314="",$C$10,$I1314)+IF($G1315="",0,$G1315)-IF($H1315="",0,$H1315))</f>
        <v/>
      </c>
      <c r="L1315">
        <f>IFERROR(MATCH($C$5&amp;"|"&amp;RIGHT("000000"&amp;1299,6),LdgRankKeyA,0),"")</f>
        <v/>
      </c>
      <c r="M1315">
        <f>IFERROR(MATCH($C$5&amp;"|"&amp;RIGHT("000000"&amp;1299,6),LdgRankKeyB,0),"")</f>
        <v/>
      </c>
    </row>
    <row r="1316">
      <c r="A1316" s="23" t="n">
        <v>1300</v>
      </c>
      <c r="B1316" s="24">
        <f>IF(AND($L1316="",$M1316=""),"",IF($L1316&lt;&gt;"",INDEX(SCNormDate,$L1316),INDEX(LdgDateB,$M1316)))</f>
        <v/>
      </c>
      <c r="C1316" s="24">
        <f>IF($L1316&lt;&gt;"",INDEX(SCOp,$L1316),IF($M1316&lt;&gt;"","پرداخت بانکی",""))</f>
        <v/>
      </c>
      <c r="D1316" s="24">
        <f>IF($L1316&lt;&gt;"",IF(INDEX(SCDoc,$L1316)="","—",INDEX(SCDoc,$L1316)),IF($M1316&lt;&gt;"",INDEX(LdgBankB,$M1316),""))</f>
        <v/>
      </c>
      <c r="E1316" s="25">
        <f>IF($L1316&lt;&gt;"",IF(INDEX(SCCitrus,$L1316)&amp;INDEX(SCNotes,$L1316)="","",IF(INDEX(SCCitrus,$L1316)="","",INDEX(SCCitrus,$L1316))&amp;IF(INDEX(SCNotes,$L1316)="",""," — "&amp;INDEX(SCNotes,$L1316))),IF($M1316&lt;&gt;"",IF(INDEX(LdgNoteB,$M1316)="","—",INDEX(LdgNoteB,$M1316)),""))</f>
        <v/>
      </c>
      <c r="F1316" s="26">
        <f>IF($L1316&lt;&gt;"",IF(INDEX(SCNet,$L1316)=0,"",INDEX(SCNet,$L1316)),"")</f>
        <v/>
      </c>
      <c r="G1316" s="27">
        <f>IF($L1316&lt;&gt;"",IF(INDEX(SCOp,$L1316)="مرجوعی فروش","",IF(INDEX(SCAmount,$L1316)&lt;=0,"",INDEX(SCAmount,$L1316))),IF($M1316&lt;&gt;"",IF(INDEX(LdgWitB,$M1316)=0,"",INDEX(LdgWitB,$M1316)),""))</f>
        <v/>
      </c>
      <c r="H1316" s="27">
        <f>IF($L1316&lt;&gt;"",IF(INDEX(SCOp,$L1316)="مرجوعی فروش",IF(INDEX(SCAmount,$L1316)=0,"",-INDEX(SCAmount,$L1316)),""),IF($M1316&lt;&gt;"",IF(INDEX(LdgDepB,$M1316)=0,"",INDEX(LdgDepB,$M1316)),""))</f>
        <v/>
      </c>
      <c r="I1316" s="28">
        <f>IF($B1316="","",IF($I1315="",$C$10,$I1315)+IF($G1316="",0,$G1316)-IF($H1316="",0,$H1316))</f>
        <v/>
      </c>
      <c r="L1316">
        <f>IFERROR(MATCH($C$5&amp;"|"&amp;RIGHT("000000"&amp;1300,6),LdgRankKeyA,0),"")</f>
        <v/>
      </c>
      <c r="M1316">
        <f>IFERROR(MATCH($C$5&amp;"|"&amp;RIGHT("000000"&amp;1300,6),LdgRankKeyB,0),"")</f>
        <v/>
      </c>
    </row>
    <row r="1317">
      <c r="A1317" s="17" t="n">
        <v>1301</v>
      </c>
      <c r="B1317" s="18">
        <f>IF(AND($L1317="",$M1317=""),"",IF($L1317&lt;&gt;"",INDEX(SCNormDate,$L1317),INDEX(LdgDateB,$M1317)))</f>
        <v/>
      </c>
      <c r="C1317" s="18">
        <f>IF($L1317&lt;&gt;"",INDEX(SCOp,$L1317),IF($M1317&lt;&gt;"","پرداخت بانکی",""))</f>
        <v/>
      </c>
      <c r="D1317" s="18">
        <f>IF($L1317&lt;&gt;"",IF(INDEX(SCDoc,$L1317)="","—",INDEX(SCDoc,$L1317)),IF($M1317&lt;&gt;"",INDEX(LdgBankB,$M1317),""))</f>
        <v/>
      </c>
      <c r="E1317" s="19">
        <f>IF($L1317&lt;&gt;"",IF(INDEX(SCCitrus,$L1317)&amp;INDEX(SCNotes,$L1317)="","",IF(INDEX(SCCitrus,$L1317)="","",INDEX(SCCitrus,$L1317))&amp;IF(INDEX(SCNotes,$L1317)="",""," — "&amp;INDEX(SCNotes,$L1317))),IF($M1317&lt;&gt;"",IF(INDEX(LdgNoteB,$M1317)="","—",INDEX(LdgNoteB,$M1317)),""))</f>
        <v/>
      </c>
      <c r="F1317" s="20">
        <f>IF($L1317&lt;&gt;"",IF(INDEX(SCNet,$L1317)=0,"",INDEX(SCNet,$L1317)),"")</f>
        <v/>
      </c>
      <c r="G1317" s="21">
        <f>IF($L1317&lt;&gt;"",IF(INDEX(SCOp,$L1317)="مرجوعی فروش","",IF(INDEX(SCAmount,$L1317)&lt;=0,"",INDEX(SCAmount,$L1317))),IF($M1317&lt;&gt;"",IF(INDEX(LdgWitB,$M1317)=0,"",INDEX(LdgWitB,$M1317)),""))</f>
        <v/>
      </c>
      <c r="H1317" s="21">
        <f>IF($L1317&lt;&gt;"",IF(INDEX(SCOp,$L1317)="مرجوعی فروش",IF(INDEX(SCAmount,$L1317)=0,"",-INDEX(SCAmount,$L1317)),""),IF($M1317&lt;&gt;"",IF(INDEX(LdgDepB,$M1317)=0,"",INDEX(LdgDepB,$M1317)),""))</f>
        <v/>
      </c>
      <c r="I1317" s="22">
        <f>IF($B1317="","",IF($I1316="",$C$10,$I1316)+IF($G1317="",0,$G1317)-IF($H1317="",0,$H1317))</f>
        <v/>
      </c>
      <c r="L1317">
        <f>IFERROR(MATCH($C$5&amp;"|"&amp;RIGHT("000000"&amp;1301,6),LdgRankKeyA,0),"")</f>
        <v/>
      </c>
      <c r="M1317">
        <f>IFERROR(MATCH($C$5&amp;"|"&amp;RIGHT("000000"&amp;1301,6),LdgRankKeyB,0),"")</f>
        <v/>
      </c>
    </row>
    <row r="1318">
      <c r="A1318" s="23" t="n">
        <v>1302</v>
      </c>
      <c r="B1318" s="24">
        <f>IF(AND($L1318="",$M1318=""),"",IF($L1318&lt;&gt;"",INDEX(SCNormDate,$L1318),INDEX(LdgDateB,$M1318)))</f>
        <v/>
      </c>
      <c r="C1318" s="24">
        <f>IF($L1318&lt;&gt;"",INDEX(SCOp,$L1318),IF($M1318&lt;&gt;"","پرداخت بانکی",""))</f>
        <v/>
      </c>
      <c r="D1318" s="24">
        <f>IF($L1318&lt;&gt;"",IF(INDEX(SCDoc,$L1318)="","—",INDEX(SCDoc,$L1318)),IF($M1318&lt;&gt;"",INDEX(LdgBankB,$M1318),""))</f>
        <v/>
      </c>
      <c r="E1318" s="25">
        <f>IF($L1318&lt;&gt;"",IF(INDEX(SCCitrus,$L1318)&amp;INDEX(SCNotes,$L1318)="","",IF(INDEX(SCCitrus,$L1318)="","",INDEX(SCCitrus,$L1318))&amp;IF(INDEX(SCNotes,$L1318)="",""," — "&amp;INDEX(SCNotes,$L1318))),IF($M1318&lt;&gt;"",IF(INDEX(LdgNoteB,$M1318)="","—",INDEX(LdgNoteB,$M1318)),""))</f>
        <v/>
      </c>
      <c r="F1318" s="26">
        <f>IF($L1318&lt;&gt;"",IF(INDEX(SCNet,$L1318)=0,"",INDEX(SCNet,$L1318)),"")</f>
        <v/>
      </c>
      <c r="G1318" s="27">
        <f>IF($L1318&lt;&gt;"",IF(INDEX(SCOp,$L1318)="مرجوعی فروش","",IF(INDEX(SCAmount,$L1318)&lt;=0,"",INDEX(SCAmount,$L1318))),IF($M1318&lt;&gt;"",IF(INDEX(LdgWitB,$M1318)=0,"",INDEX(LdgWitB,$M1318)),""))</f>
        <v/>
      </c>
      <c r="H1318" s="27">
        <f>IF($L1318&lt;&gt;"",IF(INDEX(SCOp,$L1318)="مرجوعی فروش",IF(INDEX(SCAmount,$L1318)=0,"",-INDEX(SCAmount,$L1318)),""),IF($M1318&lt;&gt;"",IF(INDEX(LdgDepB,$M1318)=0,"",INDEX(LdgDepB,$M1318)),""))</f>
        <v/>
      </c>
      <c r="I1318" s="28">
        <f>IF($B1318="","",IF($I1317="",$C$10,$I1317)+IF($G1318="",0,$G1318)-IF($H1318="",0,$H1318))</f>
        <v/>
      </c>
      <c r="L1318">
        <f>IFERROR(MATCH($C$5&amp;"|"&amp;RIGHT("000000"&amp;1302,6),LdgRankKeyA,0),"")</f>
        <v/>
      </c>
      <c r="M1318">
        <f>IFERROR(MATCH($C$5&amp;"|"&amp;RIGHT("000000"&amp;1302,6),LdgRankKeyB,0),"")</f>
        <v/>
      </c>
    </row>
    <row r="1319">
      <c r="A1319" s="17" t="n">
        <v>1303</v>
      </c>
      <c r="B1319" s="18">
        <f>IF(AND($L1319="",$M1319=""),"",IF($L1319&lt;&gt;"",INDEX(SCNormDate,$L1319),INDEX(LdgDateB,$M1319)))</f>
        <v/>
      </c>
      <c r="C1319" s="18">
        <f>IF($L1319&lt;&gt;"",INDEX(SCOp,$L1319),IF($M1319&lt;&gt;"","پرداخت بانکی",""))</f>
        <v/>
      </c>
      <c r="D1319" s="18">
        <f>IF($L1319&lt;&gt;"",IF(INDEX(SCDoc,$L1319)="","—",INDEX(SCDoc,$L1319)),IF($M1319&lt;&gt;"",INDEX(LdgBankB,$M1319),""))</f>
        <v/>
      </c>
      <c r="E1319" s="19">
        <f>IF($L1319&lt;&gt;"",IF(INDEX(SCCitrus,$L1319)&amp;INDEX(SCNotes,$L1319)="","",IF(INDEX(SCCitrus,$L1319)="","",INDEX(SCCitrus,$L1319))&amp;IF(INDEX(SCNotes,$L1319)="",""," — "&amp;INDEX(SCNotes,$L1319))),IF($M1319&lt;&gt;"",IF(INDEX(LdgNoteB,$M1319)="","—",INDEX(LdgNoteB,$M1319)),""))</f>
        <v/>
      </c>
      <c r="F1319" s="20">
        <f>IF($L1319&lt;&gt;"",IF(INDEX(SCNet,$L1319)=0,"",INDEX(SCNet,$L1319)),"")</f>
        <v/>
      </c>
      <c r="G1319" s="21">
        <f>IF($L1319&lt;&gt;"",IF(INDEX(SCOp,$L1319)="مرجوعی فروش","",IF(INDEX(SCAmount,$L1319)&lt;=0,"",INDEX(SCAmount,$L1319))),IF($M1319&lt;&gt;"",IF(INDEX(LdgWitB,$M1319)=0,"",INDEX(LdgWitB,$M1319)),""))</f>
        <v/>
      </c>
      <c r="H1319" s="21">
        <f>IF($L1319&lt;&gt;"",IF(INDEX(SCOp,$L1319)="مرجوعی فروش",IF(INDEX(SCAmount,$L1319)=0,"",-INDEX(SCAmount,$L1319)),""),IF($M1319&lt;&gt;"",IF(INDEX(LdgDepB,$M1319)=0,"",INDEX(LdgDepB,$M1319)),""))</f>
        <v/>
      </c>
      <c r="I1319" s="22">
        <f>IF($B1319="","",IF($I1318="",$C$10,$I1318)+IF($G1319="",0,$G1319)-IF($H1319="",0,$H1319))</f>
        <v/>
      </c>
      <c r="L1319">
        <f>IFERROR(MATCH($C$5&amp;"|"&amp;RIGHT("000000"&amp;1303,6),LdgRankKeyA,0),"")</f>
        <v/>
      </c>
      <c r="M1319">
        <f>IFERROR(MATCH($C$5&amp;"|"&amp;RIGHT("000000"&amp;1303,6),LdgRankKeyB,0),"")</f>
        <v/>
      </c>
    </row>
    <row r="1320">
      <c r="A1320" s="23" t="n">
        <v>1304</v>
      </c>
      <c r="B1320" s="24">
        <f>IF(AND($L1320="",$M1320=""),"",IF($L1320&lt;&gt;"",INDEX(SCNormDate,$L1320),INDEX(LdgDateB,$M1320)))</f>
        <v/>
      </c>
      <c r="C1320" s="24">
        <f>IF($L1320&lt;&gt;"",INDEX(SCOp,$L1320),IF($M1320&lt;&gt;"","پرداخت بانکی",""))</f>
        <v/>
      </c>
      <c r="D1320" s="24">
        <f>IF($L1320&lt;&gt;"",IF(INDEX(SCDoc,$L1320)="","—",INDEX(SCDoc,$L1320)),IF($M1320&lt;&gt;"",INDEX(LdgBankB,$M1320),""))</f>
        <v/>
      </c>
      <c r="E1320" s="25">
        <f>IF($L1320&lt;&gt;"",IF(INDEX(SCCitrus,$L1320)&amp;INDEX(SCNotes,$L1320)="","",IF(INDEX(SCCitrus,$L1320)="","",INDEX(SCCitrus,$L1320))&amp;IF(INDEX(SCNotes,$L1320)="",""," — "&amp;INDEX(SCNotes,$L1320))),IF($M1320&lt;&gt;"",IF(INDEX(LdgNoteB,$M1320)="","—",INDEX(LdgNoteB,$M1320)),""))</f>
        <v/>
      </c>
      <c r="F1320" s="26">
        <f>IF($L1320&lt;&gt;"",IF(INDEX(SCNet,$L1320)=0,"",INDEX(SCNet,$L1320)),"")</f>
        <v/>
      </c>
      <c r="G1320" s="27">
        <f>IF($L1320&lt;&gt;"",IF(INDEX(SCOp,$L1320)="مرجوعی فروش","",IF(INDEX(SCAmount,$L1320)&lt;=0,"",INDEX(SCAmount,$L1320))),IF($M1320&lt;&gt;"",IF(INDEX(LdgWitB,$M1320)=0,"",INDEX(LdgWitB,$M1320)),""))</f>
        <v/>
      </c>
      <c r="H1320" s="27">
        <f>IF($L1320&lt;&gt;"",IF(INDEX(SCOp,$L1320)="مرجوعی فروش",IF(INDEX(SCAmount,$L1320)=0,"",-INDEX(SCAmount,$L1320)),""),IF($M1320&lt;&gt;"",IF(INDEX(LdgDepB,$M1320)=0,"",INDEX(LdgDepB,$M1320)),""))</f>
        <v/>
      </c>
      <c r="I1320" s="28">
        <f>IF($B1320="","",IF($I1319="",$C$10,$I1319)+IF($G1320="",0,$G1320)-IF($H1320="",0,$H1320))</f>
        <v/>
      </c>
      <c r="L1320">
        <f>IFERROR(MATCH($C$5&amp;"|"&amp;RIGHT("000000"&amp;1304,6),LdgRankKeyA,0),"")</f>
        <v/>
      </c>
      <c r="M1320">
        <f>IFERROR(MATCH($C$5&amp;"|"&amp;RIGHT("000000"&amp;1304,6),LdgRankKeyB,0),"")</f>
        <v/>
      </c>
    </row>
    <row r="1321">
      <c r="A1321" s="17" t="n">
        <v>1305</v>
      </c>
      <c r="B1321" s="18">
        <f>IF(AND($L1321="",$M1321=""),"",IF($L1321&lt;&gt;"",INDEX(SCNormDate,$L1321),INDEX(LdgDateB,$M1321)))</f>
        <v/>
      </c>
      <c r="C1321" s="18">
        <f>IF($L1321&lt;&gt;"",INDEX(SCOp,$L1321),IF($M1321&lt;&gt;"","پرداخت بانکی",""))</f>
        <v/>
      </c>
      <c r="D1321" s="18">
        <f>IF($L1321&lt;&gt;"",IF(INDEX(SCDoc,$L1321)="","—",INDEX(SCDoc,$L1321)),IF($M1321&lt;&gt;"",INDEX(LdgBankB,$M1321),""))</f>
        <v/>
      </c>
      <c r="E1321" s="19">
        <f>IF($L1321&lt;&gt;"",IF(INDEX(SCCitrus,$L1321)&amp;INDEX(SCNotes,$L1321)="","",IF(INDEX(SCCitrus,$L1321)="","",INDEX(SCCitrus,$L1321))&amp;IF(INDEX(SCNotes,$L1321)="",""," — "&amp;INDEX(SCNotes,$L1321))),IF($M1321&lt;&gt;"",IF(INDEX(LdgNoteB,$M1321)="","—",INDEX(LdgNoteB,$M1321)),""))</f>
        <v/>
      </c>
      <c r="F1321" s="20">
        <f>IF($L1321&lt;&gt;"",IF(INDEX(SCNet,$L1321)=0,"",INDEX(SCNet,$L1321)),"")</f>
        <v/>
      </c>
      <c r="G1321" s="21">
        <f>IF($L1321&lt;&gt;"",IF(INDEX(SCOp,$L1321)="مرجوعی فروش","",IF(INDEX(SCAmount,$L1321)&lt;=0,"",INDEX(SCAmount,$L1321))),IF($M1321&lt;&gt;"",IF(INDEX(LdgWitB,$M1321)=0,"",INDEX(LdgWitB,$M1321)),""))</f>
        <v/>
      </c>
      <c r="H1321" s="21">
        <f>IF($L1321&lt;&gt;"",IF(INDEX(SCOp,$L1321)="مرجوعی فروش",IF(INDEX(SCAmount,$L1321)=0,"",-INDEX(SCAmount,$L1321)),""),IF($M1321&lt;&gt;"",IF(INDEX(LdgDepB,$M1321)=0,"",INDEX(LdgDepB,$M1321)),""))</f>
        <v/>
      </c>
      <c r="I1321" s="22">
        <f>IF($B1321="","",IF($I1320="",$C$10,$I1320)+IF($G1321="",0,$G1321)-IF($H1321="",0,$H1321))</f>
        <v/>
      </c>
      <c r="L1321">
        <f>IFERROR(MATCH($C$5&amp;"|"&amp;RIGHT("000000"&amp;1305,6),LdgRankKeyA,0),"")</f>
        <v/>
      </c>
      <c r="M1321">
        <f>IFERROR(MATCH($C$5&amp;"|"&amp;RIGHT("000000"&amp;1305,6),LdgRankKeyB,0),"")</f>
        <v/>
      </c>
    </row>
    <row r="1322">
      <c r="A1322" s="23" t="n">
        <v>1306</v>
      </c>
      <c r="B1322" s="24">
        <f>IF(AND($L1322="",$M1322=""),"",IF($L1322&lt;&gt;"",INDEX(SCNormDate,$L1322),INDEX(LdgDateB,$M1322)))</f>
        <v/>
      </c>
      <c r="C1322" s="24">
        <f>IF($L1322&lt;&gt;"",INDEX(SCOp,$L1322),IF($M1322&lt;&gt;"","پرداخت بانکی",""))</f>
        <v/>
      </c>
      <c r="D1322" s="24">
        <f>IF($L1322&lt;&gt;"",IF(INDEX(SCDoc,$L1322)="","—",INDEX(SCDoc,$L1322)),IF($M1322&lt;&gt;"",INDEX(LdgBankB,$M1322),""))</f>
        <v/>
      </c>
      <c r="E1322" s="25">
        <f>IF($L1322&lt;&gt;"",IF(INDEX(SCCitrus,$L1322)&amp;INDEX(SCNotes,$L1322)="","",IF(INDEX(SCCitrus,$L1322)="","",INDEX(SCCitrus,$L1322))&amp;IF(INDEX(SCNotes,$L1322)="",""," — "&amp;INDEX(SCNotes,$L1322))),IF($M1322&lt;&gt;"",IF(INDEX(LdgNoteB,$M1322)="","—",INDEX(LdgNoteB,$M1322)),""))</f>
        <v/>
      </c>
      <c r="F1322" s="26">
        <f>IF($L1322&lt;&gt;"",IF(INDEX(SCNet,$L1322)=0,"",INDEX(SCNet,$L1322)),"")</f>
        <v/>
      </c>
      <c r="G1322" s="27">
        <f>IF($L1322&lt;&gt;"",IF(INDEX(SCOp,$L1322)="مرجوعی فروش","",IF(INDEX(SCAmount,$L1322)&lt;=0,"",INDEX(SCAmount,$L1322))),IF($M1322&lt;&gt;"",IF(INDEX(LdgWitB,$M1322)=0,"",INDEX(LdgWitB,$M1322)),""))</f>
        <v/>
      </c>
      <c r="H1322" s="27">
        <f>IF($L1322&lt;&gt;"",IF(INDEX(SCOp,$L1322)="مرجوعی فروش",IF(INDEX(SCAmount,$L1322)=0,"",-INDEX(SCAmount,$L1322)),""),IF($M1322&lt;&gt;"",IF(INDEX(LdgDepB,$M1322)=0,"",INDEX(LdgDepB,$M1322)),""))</f>
        <v/>
      </c>
      <c r="I1322" s="28">
        <f>IF($B1322="","",IF($I1321="",$C$10,$I1321)+IF($G1322="",0,$G1322)-IF($H1322="",0,$H1322))</f>
        <v/>
      </c>
      <c r="L1322">
        <f>IFERROR(MATCH($C$5&amp;"|"&amp;RIGHT("000000"&amp;1306,6),LdgRankKeyA,0),"")</f>
        <v/>
      </c>
      <c r="M1322">
        <f>IFERROR(MATCH($C$5&amp;"|"&amp;RIGHT("000000"&amp;1306,6),LdgRankKeyB,0),"")</f>
        <v/>
      </c>
    </row>
    <row r="1323">
      <c r="A1323" s="17" t="n">
        <v>1307</v>
      </c>
      <c r="B1323" s="18">
        <f>IF(AND($L1323="",$M1323=""),"",IF($L1323&lt;&gt;"",INDEX(SCNormDate,$L1323),INDEX(LdgDateB,$M1323)))</f>
        <v/>
      </c>
      <c r="C1323" s="18">
        <f>IF($L1323&lt;&gt;"",INDEX(SCOp,$L1323),IF($M1323&lt;&gt;"","پرداخت بانکی",""))</f>
        <v/>
      </c>
      <c r="D1323" s="18">
        <f>IF($L1323&lt;&gt;"",IF(INDEX(SCDoc,$L1323)="","—",INDEX(SCDoc,$L1323)),IF($M1323&lt;&gt;"",INDEX(LdgBankB,$M1323),""))</f>
        <v/>
      </c>
      <c r="E1323" s="19">
        <f>IF($L1323&lt;&gt;"",IF(INDEX(SCCitrus,$L1323)&amp;INDEX(SCNotes,$L1323)="","",IF(INDEX(SCCitrus,$L1323)="","",INDEX(SCCitrus,$L1323))&amp;IF(INDEX(SCNotes,$L1323)="",""," — "&amp;INDEX(SCNotes,$L1323))),IF($M1323&lt;&gt;"",IF(INDEX(LdgNoteB,$M1323)="","—",INDEX(LdgNoteB,$M1323)),""))</f>
        <v/>
      </c>
      <c r="F1323" s="20">
        <f>IF($L1323&lt;&gt;"",IF(INDEX(SCNet,$L1323)=0,"",INDEX(SCNet,$L1323)),"")</f>
        <v/>
      </c>
      <c r="G1323" s="21">
        <f>IF($L1323&lt;&gt;"",IF(INDEX(SCOp,$L1323)="مرجوعی فروش","",IF(INDEX(SCAmount,$L1323)&lt;=0,"",INDEX(SCAmount,$L1323))),IF($M1323&lt;&gt;"",IF(INDEX(LdgWitB,$M1323)=0,"",INDEX(LdgWitB,$M1323)),""))</f>
        <v/>
      </c>
      <c r="H1323" s="21">
        <f>IF($L1323&lt;&gt;"",IF(INDEX(SCOp,$L1323)="مرجوعی فروش",IF(INDEX(SCAmount,$L1323)=0,"",-INDEX(SCAmount,$L1323)),""),IF($M1323&lt;&gt;"",IF(INDEX(LdgDepB,$M1323)=0,"",INDEX(LdgDepB,$M1323)),""))</f>
        <v/>
      </c>
      <c r="I1323" s="22">
        <f>IF($B1323="","",IF($I1322="",$C$10,$I1322)+IF($G1323="",0,$G1323)-IF($H1323="",0,$H1323))</f>
        <v/>
      </c>
      <c r="L1323">
        <f>IFERROR(MATCH($C$5&amp;"|"&amp;RIGHT("000000"&amp;1307,6),LdgRankKeyA,0),"")</f>
        <v/>
      </c>
      <c r="M1323">
        <f>IFERROR(MATCH($C$5&amp;"|"&amp;RIGHT("000000"&amp;1307,6),LdgRankKeyB,0),"")</f>
        <v/>
      </c>
    </row>
    <row r="1324">
      <c r="A1324" s="23" t="n">
        <v>1308</v>
      </c>
      <c r="B1324" s="24">
        <f>IF(AND($L1324="",$M1324=""),"",IF($L1324&lt;&gt;"",INDEX(SCNormDate,$L1324),INDEX(LdgDateB,$M1324)))</f>
        <v/>
      </c>
      <c r="C1324" s="24">
        <f>IF($L1324&lt;&gt;"",INDEX(SCOp,$L1324),IF($M1324&lt;&gt;"","پرداخت بانکی",""))</f>
        <v/>
      </c>
      <c r="D1324" s="24">
        <f>IF($L1324&lt;&gt;"",IF(INDEX(SCDoc,$L1324)="","—",INDEX(SCDoc,$L1324)),IF($M1324&lt;&gt;"",INDEX(LdgBankB,$M1324),""))</f>
        <v/>
      </c>
      <c r="E1324" s="25">
        <f>IF($L1324&lt;&gt;"",IF(INDEX(SCCitrus,$L1324)&amp;INDEX(SCNotes,$L1324)="","",IF(INDEX(SCCitrus,$L1324)="","",INDEX(SCCitrus,$L1324))&amp;IF(INDEX(SCNotes,$L1324)="",""," — "&amp;INDEX(SCNotes,$L1324))),IF($M1324&lt;&gt;"",IF(INDEX(LdgNoteB,$M1324)="","—",INDEX(LdgNoteB,$M1324)),""))</f>
        <v/>
      </c>
      <c r="F1324" s="26">
        <f>IF($L1324&lt;&gt;"",IF(INDEX(SCNet,$L1324)=0,"",INDEX(SCNet,$L1324)),"")</f>
        <v/>
      </c>
      <c r="G1324" s="27">
        <f>IF($L1324&lt;&gt;"",IF(INDEX(SCOp,$L1324)="مرجوعی فروش","",IF(INDEX(SCAmount,$L1324)&lt;=0,"",INDEX(SCAmount,$L1324))),IF($M1324&lt;&gt;"",IF(INDEX(LdgWitB,$M1324)=0,"",INDEX(LdgWitB,$M1324)),""))</f>
        <v/>
      </c>
      <c r="H1324" s="27">
        <f>IF($L1324&lt;&gt;"",IF(INDEX(SCOp,$L1324)="مرجوعی فروش",IF(INDEX(SCAmount,$L1324)=0,"",-INDEX(SCAmount,$L1324)),""),IF($M1324&lt;&gt;"",IF(INDEX(LdgDepB,$M1324)=0,"",INDEX(LdgDepB,$M1324)),""))</f>
        <v/>
      </c>
      <c r="I1324" s="28">
        <f>IF($B1324="","",IF($I1323="",$C$10,$I1323)+IF($G1324="",0,$G1324)-IF($H1324="",0,$H1324))</f>
        <v/>
      </c>
      <c r="L1324">
        <f>IFERROR(MATCH($C$5&amp;"|"&amp;RIGHT("000000"&amp;1308,6),LdgRankKeyA,0),"")</f>
        <v/>
      </c>
      <c r="M1324">
        <f>IFERROR(MATCH($C$5&amp;"|"&amp;RIGHT("000000"&amp;1308,6),LdgRankKeyB,0),"")</f>
        <v/>
      </c>
    </row>
    <row r="1325">
      <c r="A1325" s="17" t="n">
        <v>1309</v>
      </c>
      <c r="B1325" s="18">
        <f>IF(AND($L1325="",$M1325=""),"",IF($L1325&lt;&gt;"",INDEX(SCNormDate,$L1325),INDEX(LdgDateB,$M1325)))</f>
        <v/>
      </c>
      <c r="C1325" s="18">
        <f>IF($L1325&lt;&gt;"",INDEX(SCOp,$L1325),IF($M1325&lt;&gt;"","پرداخت بانکی",""))</f>
        <v/>
      </c>
      <c r="D1325" s="18">
        <f>IF($L1325&lt;&gt;"",IF(INDEX(SCDoc,$L1325)="","—",INDEX(SCDoc,$L1325)),IF($M1325&lt;&gt;"",INDEX(LdgBankB,$M1325),""))</f>
        <v/>
      </c>
      <c r="E1325" s="19">
        <f>IF($L1325&lt;&gt;"",IF(INDEX(SCCitrus,$L1325)&amp;INDEX(SCNotes,$L1325)="","",IF(INDEX(SCCitrus,$L1325)="","",INDEX(SCCitrus,$L1325))&amp;IF(INDEX(SCNotes,$L1325)="",""," — "&amp;INDEX(SCNotes,$L1325))),IF($M1325&lt;&gt;"",IF(INDEX(LdgNoteB,$M1325)="","—",INDEX(LdgNoteB,$M1325)),""))</f>
        <v/>
      </c>
      <c r="F1325" s="20">
        <f>IF($L1325&lt;&gt;"",IF(INDEX(SCNet,$L1325)=0,"",INDEX(SCNet,$L1325)),"")</f>
        <v/>
      </c>
      <c r="G1325" s="21">
        <f>IF($L1325&lt;&gt;"",IF(INDEX(SCOp,$L1325)="مرجوعی فروش","",IF(INDEX(SCAmount,$L1325)&lt;=0,"",INDEX(SCAmount,$L1325))),IF($M1325&lt;&gt;"",IF(INDEX(LdgWitB,$M1325)=0,"",INDEX(LdgWitB,$M1325)),""))</f>
        <v/>
      </c>
      <c r="H1325" s="21">
        <f>IF($L1325&lt;&gt;"",IF(INDEX(SCOp,$L1325)="مرجوعی فروش",IF(INDEX(SCAmount,$L1325)=0,"",-INDEX(SCAmount,$L1325)),""),IF($M1325&lt;&gt;"",IF(INDEX(LdgDepB,$M1325)=0,"",INDEX(LdgDepB,$M1325)),""))</f>
        <v/>
      </c>
      <c r="I1325" s="22">
        <f>IF($B1325="","",IF($I1324="",$C$10,$I1324)+IF($G1325="",0,$G1325)-IF($H1325="",0,$H1325))</f>
        <v/>
      </c>
      <c r="L1325">
        <f>IFERROR(MATCH($C$5&amp;"|"&amp;RIGHT("000000"&amp;1309,6),LdgRankKeyA,0),"")</f>
        <v/>
      </c>
      <c r="M1325">
        <f>IFERROR(MATCH($C$5&amp;"|"&amp;RIGHT("000000"&amp;1309,6),LdgRankKeyB,0),"")</f>
        <v/>
      </c>
    </row>
    <row r="1326">
      <c r="A1326" s="23" t="n">
        <v>1310</v>
      </c>
      <c r="B1326" s="24">
        <f>IF(AND($L1326="",$M1326=""),"",IF($L1326&lt;&gt;"",INDEX(SCNormDate,$L1326),INDEX(LdgDateB,$M1326)))</f>
        <v/>
      </c>
      <c r="C1326" s="24">
        <f>IF($L1326&lt;&gt;"",INDEX(SCOp,$L1326),IF($M1326&lt;&gt;"","پرداخت بانکی",""))</f>
        <v/>
      </c>
      <c r="D1326" s="24">
        <f>IF($L1326&lt;&gt;"",IF(INDEX(SCDoc,$L1326)="","—",INDEX(SCDoc,$L1326)),IF($M1326&lt;&gt;"",INDEX(LdgBankB,$M1326),""))</f>
        <v/>
      </c>
      <c r="E1326" s="25">
        <f>IF($L1326&lt;&gt;"",IF(INDEX(SCCitrus,$L1326)&amp;INDEX(SCNotes,$L1326)="","",IF(INDEX(SCCitrus,$L1326)="","",INDEX(SCCitrus,$L1326))&amp;IF(INDEX(SCNotes,$L1326)="",""," — "&amp;INDEX(SCNotes,$L1326))),IF($M1326&lt;&gt;"",IF(INDEX(LdgNoteB,$M1326)="","—",INDEX(LdgNoteB,$M1326)),""))</f>
        <v/>
      </c>
      <c r="F1326" s="26">
        <f>IF($L1326&lt;&gt;"",IF(INDEX(SCNet,$L1326)=0,"",INDEX(SCNet,$L1326)),"")</f>
        <v/>
      </c>
      <c r="G1326" s="27">
        <f>IF($L1326&lt;&gt;"",IF(INDEX(SCOp,$L1326)="مرجوعی فروش","",IF(INDEX(SCAmount,$L1326)&lt;=0,"",INDEX(SCAmount,$L1326))),IF($M1326&lt;&gt;"",IF(INDEX(LdgWitB,$M1326)=0,"",INDEX(LdgWitB,$M1326)),""))</f>
        <v/>
      </c>
      <c r="H1326" s="27">
        <f>IF($L1326&lt;&gt;"",IF(INDEX(SCOp,$L1326)="مرجوعی فروش",IF(INDEX(SCAmount,$L1326)=0,"",-INDEX(SCAmount,$L1326)),""),IF($M1326&lt;&gt;"",IF(INDEX(LdgDepB,$M1326)=0,"",INDEX(LdgDepB,$M1326)),""))</f>
        <v/>
      </c>
      <c r="I1326" s="28">
        <f>IF($B1326="","",IF($I1325="",$C$10,$I1325)+IF($G1326="",0,$G1326)-IF($H1326="",0,$H1326))</f>
        <v/>
      </c>
      <c r="L1326">
        <f>IFERROR(MATCH($C$5&amp;"|"&amp;RIGHT("000000"&amp;1310,6),LdgRankKeyA,0),"")</f>
        <v/>
      </c>
      <c r="M1326">
        <f>IFERROR(MATCH($C$5&amp;"|"&amp;RIGHT("000000"&amp;1310,6),LdgRankKeyB,0),"")</f>
        <v/>
      </c>
    </row>
    <row r="1327">
      <c r="A1327" s="17" t="n">
        <v>1311</v>
      </c>
      <c r="B1327" s="18">
        <f>IF(AND($L1327="",$M1327=""),"",IF($L1327&lt;&gt;"",INDEX(SCNormDate,$L1327),INDEX(LdgDateB,$M1327)))</f>
        <v/>
      </c>
      <c r="C1327" s="18">
        <f>IF($L1327&lt;&gt;"",INDEX(SCOp,$L1327),IF($M1327&lt;&gt;"","پرداخت بانکی",""))</f>
        <v/>
      </c>
      <c r="D1327" s="18">
        <f>IF($L1327&lt;&gt;"",IF(INDEX(SCDoc,$L1327)="","—",INDEX(SCDoc,$L1327)),IF($M1327&lt;&gt;"",INDEX(LdgBankB,$M1327),""))</f>
        <v/>
      </c>
      <c r="E1327" s="19">
        <f>IF($L1327&lt;&gt;"",IF(INDEX(SCCitrus,$L1327)&amp;INDEX(SCNotes,$L1327)="","",IF(INDEX(SCCitrus,$L1327)="","",INDEX(SCCitrus,$L1327))&amp;IF(INDEX(SCNotes,$L1327)="",""," — "&amp;INDEX(SCNotes,$L1327))),IF($M1327&lt;&gt;"",IF(INDEX(LdgNoteB,$M1327)="","—",INDEX(LdgNoteB,$M1327)),""))</f>
        <v/>
      </c>
      <c r="F1327" s="20">
        <f>IF($L1327&lt;&gt;"",IF(INDEX(SCNet,$L1327)=0,"",INDEX(SCNet,$L1327)),"")</f>
        <v/>
      </c>
      <c r="G1327" s="21">
        <f>IF($L1327&lt;&gt;"",IF(INDEX(SCOp,$L1327)="مرجوعی فروش","",IF(INDEX(SCAmount,$L1327)&lt;=0,"",INDEX(SCAmount,$L1327))),IF($M1327&lt;&gt;"",IF(INDEX(LdgWitB,$M1327)=0,"",INDEX(LdgWitB,$M1327)),""))</f>
        <v/>
      </c>
      <c r="H1327" s="21">
        <f>IF($L1327&lt;&gt;"",IF(INDEX(SCOp,$L1327)="مرجوعی فروش",IF(INDEX(SCAmount,$L1327)=0,"",-INDEX(SCAmount,$L1327)),""),IF($M1327&lt;&gt;"",IF(INDEX(LdgDepB,$M1327)=0,"",INDEX(LdgDepB,$M1327)),""))</f>
        <v/>
      </c>
      <c r="I1327" s="22">
        <f>IF($B1327="","",IF($I1326="",$C$10,$I1326)+IF($G1327="",0,$G1327)-IF($H1327="",0,$H1327))</f>
        <v/>
      </c>
      <c r="L1327">
        <f>IFERROR(MATCH($C$5&amp;"|"&amp;RIGHT("000000"&amp;1311,6),LdgRankKeyA,0),"")</f>
        <v/>
      </c>
      <c r="M1327">
        <f>IFERROR(MATCH($C$5&amp;"|"&amp;RIGHT("000000"&amp;1311,6),LdgRankKeyB,0),"")</f>
        <v/>
      </c>
    </row>
    <row r="1328">
      <c r="A1328" s="23" t="n">
        <v>1312</v>
      </c>
      <c r="B1328" s="24">
        <f>IF(AND($L1328="",$M1328=""),"",IF($L1328&lt;&gt;"",INDEX(SCNormDate,$L1328),INDEX(LdgDateB,$M1328)))</f>
        <v/>
      </c>
      <c r="C1328" s="24">
        <f>IF($L1328&lt;&gt;"",INDEX(SCOp,$L1328),IF($M1328&lt;&gt;"","پرداخت بانکی",""))</f>
        <v/>
      </c>
      <c r="D1328" s="24">
        <f>IF($L1328&lt;&gt;"",IF(INDEX(SCDoc,$L1328)="","—",INDEX(SCDoc,$L1328)),IF($M1328&lt;&gt;"",INDEX(LdgBankB,$M1328),""))</f>
        <v/>
      </c>
      <c r="E1328" s="25">
        <f>IF($L1328&lt;&gt;"",IF(INDEX(SCCitrus,$L1328)&amp;INDEX(SCNotes,$L1328)="","",IF(INDEX(SCCitrus,$L1328)="","",INDEX(SCCitrus,$L1328))&amp;IF(INDEX(SCNotes,$L1328)="",""," — "&amp;INDEX(SCNotes,$L1328))),IF($M1328&lt;&gt;"",IF(INDEX(LdgNoteB,$M1328)="","—",INDEX(LdgNoteB,$M1328)),""))</f>
        <v/>
      </c>
      <c r="F1328" s="26">
        <f>IF($L1328&lt;&gt;"",IF(INDEX(SCNet,$L1328)=0,"",INDEX(SCNet,$L1328)),"")</f>
        <v/>
      </c>
      <c r="G1328" s="27">
        <f>IF($L1328&lt;&gt;"",IF(INDEX(SCOp,$L1328)="مرجوعی فروش","",IF(INDEX(SCAmount,$L1328)&lt;=0,"",INDEX(SCAmount,$L1328))),IF($M1328&lt;&gt;"",IF(INDEX(LdgWitB,$M1328)=0,"",INDEX(LdgWitB,$M1328)),""))</f>
        <v/>
      </c>
      <c r="H1328" s="27">
        <f>IF($L1328&lt;&gt;"",IF(INDEX(SCOp,$L1328)="مرجوعی فروش",IF(INDEX(SCAmount,$L1328)=0,"",-INDEX(SCAmount,$L1328)),""),IF($M1328&lt;&gt;"",IF(INDEX(LdgDepB,$M1328)=0,"",INDEX(LdgDepB,$M1328)),""))</f>
        <v/>
      </c>
      <c r="I1328" s="28">
        <f>IF($B1328="","",IF($I1327="",$C$10,$I1327)+IF($G1328="",0,$G1328)-IF($H1328="",0,$H1328))</f>
        <v/>
      </c>
      <c r="L1328">
        <f>IFERROR(MATCH($C$5&amp;"|"&amp;RIGHT("000000"&amp;1312,6),LdgRankKeyA,0),"")</f>
        <v/>
      </c>
      <c r="M1328">
        <f>IFERROR(MATCH($C$5&amp;"|"&amp;RIGHT("000000"&amp;1312,6),LdgRankKeyB,0),"")</f>
        <v/>
      </c>
    </row>
    <row r="1329">
      <c r="A1329" s="17" t="n">
        <v>1313</v>
      </c>
      <c r="B1329" s="18">
        <f>IF(AND($L1329="",$M1329=""),"",IF($L1329&lt;&gt;"",INDEX(SCNormDate,$L1329),INDEX(LdgDateB,$M1329)))</f>
        <v/>
      </c>
      <c r="C1329" s="18">
        <f>IF($L1329&lt;&gt;"",INDEX(SCOp,$L1329),IF($M1329&lt;&gt;"","پرداخت بانکی",""))</f>
        <v/>
      </c>
      <c r="D1329" s="18">
        <f>IF($L1329&lt;&gt;"",IF(INDEX(SCDoc,$L1329)="","—",INDEX(SCDoc,$L1329)),IF($M1329&lt;&gt;"",INDEX(LdgBankB,$M1329),""))</f>
        <v/>
      </c>
      <c r="E1329" s="19">
        <f>IF($L1329&lt;&gt;"",IF(INDEX(SCCitrus,$L1329)&amp;INDEX(SCNotes,$L1329)="","",IF(INDEX(SCCitrus,$L1329)="","",INDEX(SCCitrus,$L1329))&amp;IF(INDEX(SCNotes,$L1329)="",""," — "&amp;INDEX(SCNotes,$L1329))),IF($M1329&lt;&gt;"",IF(INDEX(LdgNoteB,$M1329)="","—",INDEX(LdgNoteB,$M1329)),""))</f>
        <v/>
      </c>
      <c r="F1329" s="20">
        <f>IF($L1329&lt;&gt;"",IF(INDEX(SCNet,$L1329)=0,"",INDEX(SCNet,$L1329)),"")</f>
        <v/>
      </c>
      <c r="G1329" s="21">
        <f>IF($L1329&lt;&gt;"",IF(INDEX(SCOp,$L1329)="مرجوعی فروش","",IF(INDEX(SCAmount,$L1329)&lt;=0,"",INDEX(SCAmount,$L1329))),IF($M1329&lt;&gt;"",IF(INDEX(LdgWitB,$M1329)=0,"",INDEX(LdgWitB,$M1329)),""))</f>
        <v/>
      </c>
      <c r="H1329" s="21">
        <f>IF($L1329&lt;&gt;"",IF(INDEX(SCOp,$L1329)="مرجوعی فروش",IF(INDEX(SCAmount,$L1329)=0,"",-INDEX(SCAmount,$L1329)),""),IF($M1329&lt;&gt;"",IF(INDEX(LdgDepB,$M1329)=0,"",INDEX(LdgDepB,$M1329)),""))</f>
        <v/>
      </c>
      <c r="I1329" s="22">
        <f>IF($B1329="","",IF($I1328="",$C$10,$I1328)+IF($G1329="",0,$G1329)-IF($H1329="",0,$H1329))</f>
        <v/>
      </c>
      <c r="L1329">
        <f>IFERROR(MATCH($C$5&amp;"|"&amp;RIGHT("000000"&amp;1313,6),LdgRankKeyA,0),"")</f>
        <v/>
      </c>
      <c r="M1329">
        <f>IFERROR(MATCH($C$5&amp;"|"&amp;RIGHT("000000"&amp;1313,6),LdgRankKeyB,0),"")</f>
        <v/>
      </c>
    </row>
    <row r="1330">
      <c r="A1330" s="23" t="n">
        <v>1314</v>
      </c>
      <c r="B1330" s="24">
        <f>IF(AND($L1330="",$M1330=""),"",IF($L1330&lt;&gt;"",INDEX(SCNormDate,$L1330),INDEX(LdgDateB,$M1330)))</f>
        <v/>
      </c>
      <c r="C1330" s="24">
        <f>IF($L1330&lt;&gt;"",INDEX(SCOp,$L1330),IF($M1330&lt;&gt;"","پرداخت بانکی",""))</f>
        <v/>
      </c>
      <c r="D1330" s="24">
        <f>IF($L1330&lt;&gt;"",IF(INDEX(SCDoc,$L1330)="","—",INDEX(SCDoc,$L1330)),IF($M1330&lt;&gt;"",INDEX(LdgBankB,$M1330),""))</f>
        <v/>
      </c>
      <c r="E1330" s="25">
        <f>IF($L1330&lt;&gt;"",IF(INDEX(SCCitrus,$L1330)&amp;INDEX(SCNotes,$L1330)="","",IF(INDEX(SCCitrus,$L1330)="","",INDEX(SCCitrus,$L1330))&amp;IF(INDEX(SCNotes,$L1330)="",""," — "&amp;INDEX(SCNotes,$L1330))),IF($M1330&lt;&gt;"",IF(INDEX(LdgNoteB,$M1330)="","—",INDEX(LdgNoteB,$M1330)),""))</f>
        <v/>
      </c>
      <c r="F1330" s="26">
        <f>IF($L1330&lt;&gt;"",IF(INDEX(SCNet,$L1330)=0,"",INDEX(SCNet,$L1330)),"")</f>
        <v/>
      </c>
      <c r="G1330" s="27">
        <f>IF($L1330&lt;&gt;"",IF(INDEX(SCOp,$L1330)="مرجوعی فروش","",IF(INDEX(SCAmount,$L1330)&lt;=0,"",INDEX(SCAmount,$L1330))),IF($M1330&lt;&gt;"",IF(INDEX(LdgWitB,$M1330)=0,"",INDEX(LdgWitB,$M1330)),""))</f>
        <v/>
      </c>
      <c r="H1330" s="27">
        <f>IF($L1330&lt;&gt;"",IF(INDEX(SCOp,$L1330)="مرجوعی فروش",IF(INDEX(SCAmount,$L1330)=0,"",-INDEX(SCAmount,$L1330)),""),IF($M1330&lt;&gt;"",IF(INDEX(LdgDepB,$M1330)=0,"",INDEX(LdgDepB,$M1330)),""))</f>
        <v/>
      </c>
      <c r="I1330" s="28">
        <f>IF($B1330="","",IF($I1329="",$C$10,$I1329)+IF($G1330="",0,$G1330)-IF($H1330="",0,$H1330))</f>
        <v/>
      </c>
      <c r="L1330">
        <f>IFERROR(MATCH($C$5&amp;"|"&amp;RIGHT("000000"&amp;1314,6),LdgRankKeyA,0),"")</f>
        <v/>
      </c>
      <c r="M1330">
        <f>IFERROR(MATCH($C$5&amp;"|"&amp;RIGHT("000000"&amp;1314,6),LdgRankKeyB,0),"")</f>
        <v/>
      </c>
    </row>
    <row r="1331">
      <c r="A1331" s="17" t="n">
        <v>1315</v>
      </c>
      <c r="B1331" s="18">
        <f>IF(AND($L1331="",$M1331=""),"",IF($L1331&lt;&gt;"",INDEX(SCNormDate,$L1331),INDEX(LdgDateB,$M1331)))</f>
        <v/>
      </c>
      <c r="C1331" s="18">
        <f>IF($L1331&lt;&gt;"",INDEX(SCOp,$L1331),IF($M1331&lt;&gt;"","پرداخت بانکی",""))</f>
        <v/>
      </c>
      <c r="D1331" s="18">
        <f>IF($L1331&lt;&gt;"",IF(INDEX(SCDoc,$L1331)="","—",INDEX(SCDoc,$L1331)),IF($M1331&lt;&gt;"",INDEX(LdgBankB,$M1331),""))</f>
        <v/>
      </c>
      <c r="E1331" s="19">
        <f>IF($L1331&lt;&gt;"",IF(INDEX(SCCitrus,$L1331)&amp;INDEX(SCNotes,$L1331)="","",IF(INDEX(SCCitrus,$L1331)="","",INDEX(SCCitrus,$L1331))&amp;IF(INDEX(SCNotes,$L1331)="",""," — "&amp;INDEX(SCNotes,$L1331))),IF($M1331&lt;&gt;"",IF(INDEX(LdgNoteB,$M1331)="","—",INDEX(LdgNoteB,$M1331)),""))</f>
        <v/>
      </c>
      <c r="F1331" s="20">
        <f>IF($L1331&lt;&gt;"",IF(INDEX(SCNet,$L1331)=0,"",INDEX(SCNet,$L1331)),"")</f>
        <v/>
      </c>
      <c r="G1331" s="21">
        <f>IF($L1331&lt;&gt;"",IF(INDEX(SCOp,$L1331)="مرجوعی فروش","",IF(INDEX(SCAmount,$L1331)&lt;=0,"",INDEX(SCAmount,$L1331))),IF($M1331&lt;&gt;"",IF(INDEX(LdgWitB,$M1331)=0,"",INDEX(LdgWitB,$M1331)),""))</f>
        <v/>
      </c>
      <c r="H1331" s="21">
        <f>IF($L1331&lt;&gt;"",IF(INDEX(SCOp,$L1331)="مرجوعی فروش",IF(INDEX(SCAmount,$L1331)=0,"",-INDEX(SCAmount,$L1331)),""),IF($M1331&lt;&gt;"",IF(INDEX(LdgDepB,$M1331)=0,"",INDEX(LdgDepB,$M1331)),""))</f>
        <v/>
      </c>
      <c r="I1331" s="22">
        <f>IF($B1331="","",IF($I1330="",$C$10,$I1330)+IF($G1331="",0,$G1331)-IF($H1331="",0,$H1331))</f>
        <v/>
      </c>
      <c r="L1331">
        <f>IFERROR(MATCH($C$5&amp;"|"&amp;RIGHT("000000"&amp;1315,6),LdgRankKeyA,0),"")</f>
        <v/>
      </c>
      <c r="M1331">
        <f>IFERROR(MATCH($C$5&amp;"|"&amp;RIGHT("000000"&amp;1315,6),LdgRankKeyB,0),"")</f>
        <v/>
      </c>
    </row>
    <row r="1332">
      <c r="A1332" s="23" t="n">
        <v>1316</v>
      </c>
      <c r="B1332" s="24">
        <f>IF(AND($L1332="",$M1332=""),"",IF($L1332&lt;&gt;"",INDEX(SCNormDate,$L1332),INDEX(LdgDateB,$M1332)))</f>
        <v/>
      </c>
      <c r="C1332" s="24">
        <f>IF($L1332&lt;&gt;"",INDEX(SCOp,$L1332),IF($M1332&lt;&gt;"","پرداخت بانکی",""))</f>
        <v/>
      </c>
      <c r="D1332" s="24">
        <f>IF($L1332&lt;&gt;"",IF(INDEX(SCDoc,$L1332)="","—",INDEX(SCDoc,$L1332)),IF($M1332&lt;&gt;"",INDEX(LdgBankB,$M1332),""))</f>
        <v/>
      </c>
      <c r="E1332" s="25">
        <f>IF($L1332&lt;&gt;"",IF(INDEX(SCCitrus,$L1332)&amp;INDEX(SCNotes,$L1332)="","",IF(INDEX(SCCitrus,$L1332)="","",INDEX(SCCitrus,$L1332))&amp;IF(INDEX(SCNotes,$L1332)="",""," — "&amp;INDEX(SCNotes,$L1332))),IF($M1332&lt;&gt;"",IF(INDEX(LdgNoteB,$M1332)="","—",INDEX(LdgNoteB,$M1332)),""))</f>
        <v/>
      </c>
      <c r="F1332" s="26">
        <f>IF($L1332&lt;&gt;"",IF(INDEX(SCNet,$L1332)=0,"",INDEX(SCNet,$L1332)),"")</f>
        <v/>
      </c>
      <c r="G1332" s="27">
        <f>IF($L1332&lt;&gt;"",IF(INDEX(SCOp,$L1332)="مرجوعی فروش","",IF(INDEX(SCAmount,$L1332)&lt;=0,"",INDEX(SCAmount,$L1332))),IF($M1332&lt;&gt;"",IF(INDEX(LdgWitB,$M1332)=0,"",INDEX(LdgWitB,$M1332)),""))</f>
        <v/>
      </c>
      <c r="H1332" s="27">
        <f>IF($L1332&lt;&gt;"",IF(INDEX(SCOp,$L1332)="مرجوعی فروش",IF(INDEX(SCAmount,$L1332)=0,"",-INDEX(SCAmount,$L1332)),""),IF($M1332&lt;&gt;"",IF(INDEX(LdgDepB,$M1332)=0,"",INDEX(LdgDepB,$M1332)),""))</f>
        <v/>
      </c>
      <c r="I1332" s="28">
        <f>IF($B1332="","",IF($I1331="",$C$10,$I1331)+IF($G1332="",0,$G1332)-IF($H1332="",0,$H1332))</f>
        <v/>
      </c>
      <c r="L1332">
        <f>IFERROR(MATCH($C$5&amp;"|"&amp;RIGHT("000000"&amp;1316,6),LdgRankKeyA,0),"")</f>
        <v/>
      </c>
      <c r="M1332">
        <f>IFERROR(MATCH($C$5&amp;"|"&amp;RIGHT("000000"&amp;1316,6),LdgRankKeyB,0),"")</f>
        <v/>
      </c>
    </row>
    <row r="1333">
      <c r="A1333" s="17" t="n">
        <v>1317</v>
      </c>
      <c r="B1333" s="18">
        <f>IF(AND($L1333="",$M1333=""),"",IF($L1333&lt;&gt;"",INDEX(SCNormDate,$L1333),INDEX(LdgDateB,$M1333)))</f>
        <v/>
      </c>
      <c r="C1333" s="18">
        <f>IF($L1333&lt;&gt;"",INDEX(SCOp,$L1333),IF($M1333&lt;&gt;"","پرداخت بانکی",""))</f>
        <v/>
      </c>
      <c r="D1333" s="18">
        <f>IF($L1333&lt;&gt;"",IF(INDEX(SCDoc,$L1333)="","—",INDEX(SCDoc,$L1333)),IF($M1333&lt;&gt;"",INDEX(LdgBankB,$M1333),""))</f>
        <v/>
      </c>
      <c r="E1333" s="19">
        <f>IF($L1333&lt;&gt;"",IF(INDEX(SCCitrus,$L1333)&amp;INDEX(SCNotes,$L1333)="","",IF(INDEX(SCCitrus,$L1333)="","",INDEX(SCCitrus,$L1333))&amp;IF(INDEX(SCNotes,$L1333)="",""," — "&amp;INDEX(SCNotes,$L1333))),IF($M1333&lt;&gt;"",IF(INDEX(LdgNoteB,$M1333)="","—",INDEX(LdgNoteB,$M1333)),""))</f>
        <v/>
      </c>
      <c r="F1333" s="20">
        <f>IF($L1333&lt;&gt;"",IF(INDEX(SCNet,$L1333)=0,"",INDEX(SCNet,$L1333)),"")</f>
        <v/>
      </c>
      <c r="G1333" s="21">
        <f>IF($L1333&lt;&gt;"",IF(INDEX(SCOp,$L1333)="مرجوعی فروش","",IF(INDEX(SCAmount,$L1333)&lt;=0,"",INDEX(SCAmount,$L1333))),IF($M1333&lt;&gt;"",IF(INDEX(LdgWitB,$M1333)=0,"",INDEX(LdgWitB,$M1333)),""))</f>
        <v/>
      </c>
      <c r="H1333" s="21">
        <f>IF($L1333&lt;&gt;"",IF(INDEX(SCOp,$L1333)="مرجوعی فروش",IF(INDEX(SCAmount,$L1333)=0,"",-INDEX(SCAmount,$L1333)),""),IF($M1333&lt;&gt;"",IF(INDEX(LdgDepB,$M1333)=0,"",INDEX(LdgDepB,$M1333)),""))</f>
        <v/>
      </c>
      <c r="I1333" s="22">
        <f>IF($B1333="","",IF($I1332="",$C$10,$I1332)+IF($G1333="",0,$G1333)-IF($H1333="",0,$H1333))</f>
        <v/>
      </c>
      <c r="L1333">
        <f>IFERROR(MATCH($C$5&amp;"|"&amp;RIGHT("000000"&amp;1317,6),LdgRankKeyA,0),"")</f>
        <v/>
      </c>
      <c r="M1333">
        <f>IFERROR(MATCH($C$5&amp;"|"&amp;RIGHT("000000"&amp;1317,6),LdgRankKeyB,0),"")</f>
        <v/>
      </c>
    </row>
    <row r="1334">
      <c r="A1334" s="23" t="n">
        <v>1318</v>
      </c>
      <c r="B1334" s="24">
        <f>IF(AND($L1334="",$M1334=""),"",IF($L1334&lt;&gt;"",INDEX(SCNormDate,$L1334),INDEX(LdgDateB,$M1334)))</f>
        <v/>
      </c>
      <c r="C1334" s="24">
        <f>IF($L1334&lt;&gt;"",INDEX(SCOp,$L1334),IF($M1334&lt;&gt;"","پرداخت بانکی",""))</f>
        <v/>
      </c>
      <c r="D1334" s="24">
        <f>IF($L1334&lt;&gt;"",IF(INDEX(SCDoc,$L1334)="","—",INDEX(SCDoc,$L1334)),IF($M1334&lt;&gt;"",INDEX(LdgBankB,$M1334),""))</f>
        <v/>
      </c>
      <c r="E1334" s="25">
        <f>IF($L1334&lt;&gt;"",IF(INDEX(SCCitrus,$L1334)&amp;INDEX(SCNotes,$L1334)="","",IF(INDEX(SCCitrus,$L1334)="","",INDEX(SCCitrus,$L1334))&amp;IF(INDEX(SCNotes,$L1334)="",""," — "&amp;INDEX(SCNotes,$L1334))),IF($M1334&lt;&gt;"",IF(INDEX(LdgNoteB,$M1334)="","—",INDEX(LdgNoteB,$M1334)),""))</f>
        <v/>
      </c>
      <c r="F1334" s="26">
        <f>IF($L1334&lt;&gt;"",IF(INDEX(SCNet,$L1334)=0,"",INDEX(SCNet,$L1334)),"")</f>
        <v/>
      </c>
      <c r="G1334" s="27">
        <f>IF($L1334&lt;&gt;"",IF(INDEX(SCOp,$L1334)="مرجوعی فروش","",IF(INDEX(SCAmount,$L1334)&lt;=0,"",INDEX(SCAmount,$L1334))),IF($M1334&lt;&gt;"",IF(INDEX(LdgWitB,$M1334)=0,"",INDEX(LdgWitB,$M1334)),""))</f>
        <v/>
      </c>
      <c r="H1334" s="27">
        <f>IF($L1334&lt;&gt;"",IF(INDEX(SCOp,$L1334)="مرجوعی فروش",IF(INDEX(SCAmount,$L1334)=0,"",-INDEX(SCAmount,$L1334)),""),IF($M1334&lt;&gt;"",IF(INDEX(LdgDepB,$M1334)=0,"",INDEX(LdgDepB,$M1334)),""))</f>
        <v/>
      </c>
      <c r="I1334" s="28">
        <f>IF($B1334="","",IF($I1333="",$C$10,$I1333)+IF($G1334="",0,$G1334)-IF($H1334="",0,$H1334))</f>
        <v/>
      </c>
      <c r="L1334">
        <f>IFERROR(MATCH($C$5&amp;"|"&amp;RIGHT("000000"&amp;1318,6),LdgRankKeyA,0),"")</f>
        <v/>
      </c>
      <c r="M1334">
        <f>IFERROR(MATCH($C$5&amp;"|"&amp;RIGHT("000000"&amp;1318,6),LdgRankKeyB,0),"")</f>
        <v/>
      </c>
    </row>
    <row r="1335">
      <c r="A1335" s="17" t="n">
        <v>1319</v>
      </c>
      <c r="B1335" s="18">
        <f>IF(AND($L1335="",$M1335=""),"",IF($L1335&lt;&gt;"",INDEX(SCNormDate,$L1335),INDEX(LdgDateB,$M1335)))</f>
        <v/>
      </c>
      <c r="C1335" s="18">
        <f>IF($L1335&lt;&gt;"",INDEX(SCOp,$L1335),IF($M1335&lt;&gt;"","پرداخت بانکی",""))</f>
        <v/>
      </c>
      <c r="D1335" s="18">
        <f>IF($L1335&lt;&gt;"",IF(INDEX(SCDoc,$L1335)="","—",INDEX(SCDoc,$L1335)),IF($M1335&lt;&gt;"",INDEX(LdgBankB,$M1335),""))</f>
        <v/>
      </c>
      <c r="E1335" s="19">
        <f>IF($L1335&lt;&gt;"",IF(INDEX(SCCitrus,$L1335)&amp;INDEX(SCNotes,$L1335)="","",IF(INDEX(SCCitrus,$L1335)="","",INDEX(SCCitrus,$L1335))&amp;IF(INDEX(SCNotes,$L1335)="",""," — "&amp;INDEX(SCNotes,$L1335))),IF($M1335&lt;&gt;"",IF(INDEX(LdgNoteB,$M1335)="","—",INDEX(LdgNoteB,$M1335)),""))</f>
        <v/>
      </c>
      <c r="F1335" s="20">
        <f>IF($L1335&lt;&gt;"",IF(INDEX(SCNet,$L1335)=0,"",INDEX(SCNet,$L1335)),"")</f>
        <v/>
      </c>
      <c r="G1335" s="21">
        <f>IF($L1335&lt;&gt;"",IF(INDEX(SCOp,$L1335)="مرجوعی فروش","",IF(INDEX(SCAmount,$L1335)&lt;=0,"",INDEX(SCAmount,$L1335))),IF($M1335&lt;&gt;"",IF(INDEX(LdgWitB,$M1335)=0,"",INDEX(LdgWitB,$M1335)),""))</f>
        <v/>
      </c>
      <c r="H1335" s="21">
        <f>IF($L1335&lt;&gt;"",IF(INDEX(SCOp,$L1335)="مرجوعی فروش",IF(INDEX(SCAmount,$L1335)=0,"",-INDEX(SCAmount,$L1335)),""),IF($M1335&lt;&gt;"",IF(INDEX(LdgDepB,$M1335)=0,"",INDEX(LdgDepB,$M1335)),""))</f>
        <v/>
      </c>
      <c r="I1335" s="22">
        <f>IF($B1335="","",IF($I1334="",$C$10,$I1334)+IF($G1335="",0,$G1335)-IF($H1335="",0,$H1335))</f>
        <v/>
      </c>
      <c r="L1335">
        <f>IFERROR(MATCH($C$5&amp;"|"&amp;RIGHT("000000"&amp;1319,6),LdgRankKeyA,0),"")</f>
        <v/>
      </c>
      <c r="M1335">
        <f>IFERROR(MATCH($C$5&amp;"|"&amp;RIGHT("000000"&amp;1319,6),LdgRankKeyB,0),"")</f>
        <v/>
      </c>
    </row>
    <row r="1336">
      <c r="A1336" s="23" t="n">
        <v>1320</v>
      </c>
      <c r="B1336" s="24">
        <f>IF(AND($L1336="",$M1336=""),"",IF($L1336&lt;&gt;"",INDEX(SCNormDate,$L1336),INDEX(LdgDateB,$M1336)))</f>
        <v/>
      </c>
      <c r="C1336" s="24">
        <f>IF($L1336&lt;&gt;"",INDEX(SCOp,$L1336),IF($M1336&lt;&gt;"","پرداخت بانکی",""))</f>
        <v/>
      </c>
      <c r="D1336" s="24">
        <f>IF($L1336&lt;&gt;"",IF(INDEX(SCDoc,$L1336)="","—",INDEX(SCDoc,$L1336)),IF($M1336&lt;&gt;"",INDEX(LdgBankB,$M1336),""))</f>
        <v/>
      </c>
      <c r="E1336" s="25">
        <f>IF($L1336&lt;&gt;"",IF(INDEX(SCCitrus,$L1336)&amp;INDEX(SCNotes,$L1336)="","",IF(INDEX(SCCitrus,$L1336)="","",INDEX(SCCitrus,$L1336))&amp;IF(INDEX(SCNotes,$L1336)="",""," — "&amp;INDEX(SCNotes,$L1336))),IF($M1336&lt;&gt;"",IF(INDEX(LdgNoteB,$M1336)="","—",INDEX(LdgNoteB,$M1336)),""))</f>
        <v/>
      </c>
      <c r="F1336" s="26">
        <f>IF($L1336&lt;&gt;"",IF(INDEX(SCNet,$L1336)=0,"",INDEX(SCNet,$L1336)),"")</f>
        <v/>
      </c>
      <c r="G1336" s="27">
        <f>IF($L1336&lt;&gt;"",IF(INDEX(SCOp,$L1336)="مرجوعی فروش","",IF(INDEX(SCAmount,$L1336)&lt;=0,"",INDEX(SCAmount,$L1336))),IF($M1336&lt;&gt;"",IF(INDEX(LdgWitB,$M1336)=0,"",INDEX(LdgWitB,$M1336)),""))</f>
        <v/>
      </c>
      <c r="H1336" s="27">
        <f>IF($L1336&lt;&gt;"",IF(INDEX(SCOp,$L1336)="مرجوعی فروش",IF(INDEX(SCAmount,$L1336)=0,"",-INDEX(SCAmount,$L1336)),""),IF($M1336&lt;&gt;"",IF(INDEX(LdgDepB,$M1336)=0,"",INDEX(LdgDepB,$M1336)),""))</f>
        <v/>
      </c>
      <c r="I1336" s="28">
        <f>IF($B1336="","",IF($I1335="",$C$10,$I1335)+IF($G1336="",0,$G1336)-IF($H1336="",0,$H1336))</f>
        <v/>
      </c>
      <c r="L1336">
        <f>IFERROR(MATCH($C$5&amp;"|"&amp;RIGHT("000000"&amp;1320,6),LdgRankKeyA,0),"")</f>
        <v/>
      </c>
      <c r="M1336">
        <f>IFERROR(MATCH($C$5&amp;"|"&amp;RIGHT("000000"&amp;1320,6),LdgRankKeyB,0),"")</f>
        <v/>
      </c>
    </row>
    <row r="1337">
      <c r="A1337" s="17" t="n">
        <v>1321</v>
      </c>
      <c r="B1337" s="18">
        <f>IF(AND($L1337="",$M1337=""),"",IF($L1337&lt;&gt;"",INDEX(SCNormDate,$L1337),INDEX(LdgDateB,$M1337)))</f>
        <v/>
      </c>
      <c r="C1337" s="18">
        <f>IF($L1337&lt;&gt;"",INDEX(SCOp,$L1337),IF($M1337&lt;&gt;"","پرداخت بانکی",""))</f>
        <v/>
      </c>
      <c r="D1337" s="18">
        <f>IF($L1337&lt;&gt;"",IF(INDEX(SCDoc,$L1337)="","—",INDEX(SCDoc,$L1337)),IF($M1337&lt;&gt;"",INDEX(LdgBankB,$M1337),""))</f>
        <v/>
      </c>
      <c r="E1337" s="19">
        <f>IF($L1337&lt;&gt;"",IF(INDEX(SCCitrus,$L1337)&amp;INDEX(SCNotes,$L1337)="","",IF(INDEX(SCCitrus,$L1337)="","",INDEX(SCCitrus,$L1337))&amp;IF(INDEX(SCNotes,$L1337)="",""," — "&amp;INDEX(SCNotes,$L1337))),IF($M1337&lt;&gt;"",IF(INDEX(LdgNoteB,$M1337)="","—",INDEX(LdgNoteB,$M1337)),""))</f>
        <v/>
      </c>
      <c r="F1337" s="20">
        <f>IF($L1337&lt;&gt;"",IF(INDEX(SCNet,$L1337)=0,"",INDEX(SCNet,$L1337)),"")</f>
        <v/>
      </c>
      <c r="G1337" s="21">
        <f>IF($L1337&lt;&gt;"",IF(INDEX(SCOp,$L1337)="مرجوعی فروش","",IF(INDEX(SCAmount,$L1337)&lt;=0,"",INDEX(SCAmount,$L1337))),IF($M1337&lt;&gt;"",IF(INDEX(LdgWitB,$M1337)=0,"",INDEX(LdgWitB,$M1337)),""))</f>
        <v/>
      </c>
      <c r="H1337" s="21">
        <f>IF($L1337&lt;&gt;"",IF(INDEX(SCOp,$L1337)="مرجوعی فروش",IF(INDEX(SCAmount,$L1337)=0,"",-INDEX(SCAmount,$L1337)),""),IF($M1337&lt;&gt;"",IF(INDEX(LdgDepB,$M1337)=0,"",INDEX(LdgDepB,$M1337)),""))</f>
        <v/>
      </c>
      <c r="I1337" s="22">
        <f>IF($B1337="","",IF($I1336="",$C$10,$I1336)+IF($G1337="",0,$G1337)-IF($H1337="",0,$H1337))</f>
        <v/>
      </c>
      <c r="L1337">
        <f>IFERROR(MATCH($C$5&amp;"|"&amp;RIGHT("000000"&amp;1321,6),LdgRankKeyA,0),"")</f>
        <v/>
      </c>
      <c r="M1337">
        <f>IFERROR(MATCH($C$5&amp;"|"&amp;RIGHT("000000"&amp;1321,6),LdgRankKeyB,0),"")</f>
        <v/>
      </c>
    </row>
    <row r="1338">
      <c r="A1338" s="23" t="n">
        <v>1322</v>
      </c>
      <c r="B1338" s="24">
        <f>IF(AND($L1338="",$M1338=""),"",IF($L1338&lt;&gt;"",INDEX(SCNormDate,$L1338),INDEX(LdgDateB,$M1338)))</f>
        <v/>
      </c>
      <c r="C1338" s="24">
        <f>IF($L1338&lt;&gt;"",INDEX(SCOp,$L1338),IF($M1338&lt;&gt;"","پرداخت بانکی",""))</f>
        <v/>
      </c>
      <c r="D1338" s="24">
        <f>IF($L1338&lt;&gt;"",IF(INDEX(SCDoc,$L1338)="","—",INDEX(SCDoc,$L1338)),IF($M1338&lt;&gt;"",INDEX(LdgBankB,$M1338),""))</f>
        <v/>
      </c>
      <c r="E1338" s="25">
        <f>IF($L1338&lt;&gt;"",IF(INDEX(SCCitrus,$L1338)&amp;INDEX(SCNotes,$L1338)="","",IF(INDEX(SCCitrus,$L1338)="","",INDEX(SCCitrus,$L1338))&amp;IF(INDEX(SCNotes,$L1338)="",""," — "&amp;INDEX(SCNotes,$L1338))),IF($M1338&lt;&gt;"",IF(INDEX(LdgNoteB,$M1338)="","—",INDEX(LdgNoteB,$M1338)),""))</f>
        <v/>
      </c>
      <c r="F1338" s="26">
        <f>IF($L1338&lt;&gt;"",IF(INDEX(SCNet,$L1338)=0,"",INDEX(SCNet,$L1338)),"")</f>
        <v/>
      </c>
      <c r="G1338" s="27">
        <f>IF($L1338&lt;&gt;"",IF(INDEX(SCOp,$L1338)="مرجوعی فروش","",IF(INDEX(SCAmount,$L1338)&lt;=0,"",INDEX(SCAmount,$L1338))),IF($M1338&lt;&gt;"",IF(INDEX(LdgWitB,$M1338)=0,"",INDEX(LdgWitB,$M1338)),""))</f>
        <v/>
      </c>
      <c r="H1338" s="27">
        <f>IF($L1338&lt;&gt;"",IF(INDEX(SCOp,$L1338)="مرجوعی فروش",IF(INDEX(SCAmount,$L1338)=0,"",-INDEX(SCAmount,$L1338)),""),IF($M1338&lt;&gt;"",IF(INDEX(LdgDepB,$M1338)=0,"",INDEX(LdgDepB,$M1338)),""))</f>
        <v/>
      </c>
      <c r="I1338" s="28">
        <f>IF($B1338="","",IF($I1337="",$C$10,$I1337)+IF($G1338="",0,$G1338)-IF($H1338="",0,$H1338))</f>
        <v/>
      </c>
      <c r="L1338">
        <f>IFERROR(MATCH($C$5&amp;"|"&amp;RIGHT("000000"&amp;1322,6),LdgRankKeyA,0),"")</f>
        <v/>
      </c>
      <c r="M1338">
        <f>IFERROR(MATCH($C$5&amp;"|"&amp;RIGHT("000000"&amp;1322,6),LdgRankKeyB,0),"")</f>
        <v/>
      </c>
    </row>
    <row r="1339">
      <c r="A1339" s="17" t="n">
        <v>1323</v>
      </c>
      <c r="B1339" s="18">
        <f>IF(AND($L1339="",$M1339=""),"",IF($L1339&lt;&gt;"",INDEX(SCNormDate,$L1339),INDEX(LdgDateB,$M1339)))</f>
        <v/>
      </c>
      <c r="C1339" s="18">
        <f>IF($L1339&lt;&gt;"",INDEX(SCOp,$L1339),IF($M1339&lt;&gt;"","پرداخت بانکی",""))</f>
        <v/>
      </c>
      <c r="D1339" s="18">
        <f>IF($L1339&lt;&gt;"",IF(INDEX(SCDoc,$L1339)="","—",INDEX(SCDoc,$L1339)),IF($M1339&lt;&gt;"",INDEX(LdgBankB,$M1339),""))</f>
        <v/>
      </c>
      <c r="E1339" s="19">
        <f>IF($L1339&lt;&gt;"",IF(INDEX(SCCitrus,$L1339)&amp;INDEX(SCNotes,$L1339)="","",IF(INDEX(SCCitrus,$L1339)="","",INDEX(SCCitrus,$L1339))&amp;IF(INDEX(SCNotes,$L1339)="",""," — "&amp;INDEX(SCNotes,$L1339))),IF($M1339&lt;&gt;"",IF(INDEX(LdgNoteB,$M1339)="","—",INDEX(LdgNoteB,$M1339)),""))</f>
        <v/>
      </c>
      <c r="F1339" s="20">
        <f>IF($L1339&lt;&gt;"",IF(INDEX(SCNet,$L1339)=0,"",INDEX(SCNet,$L1339)),"")</f>
        <v/>
      </c>
      <c r="G1339" s="21">
        <f>IF($L1339&lt;&gt;"",IF(INDEX(SCOp,$L1339)="مرجوعی فروش","",IF(INDEX(SCAmount,$L1339)&lt;=0,"",INDEX(SCAmount,$L1339))),IF($M1339&lt;&gt;"",IF(INDEX(LdgWitB,$M1339)=0,"",INDEX(LdgWitB,$M1339)),""))</f>
        <v/>
      </c>
      <c r="H1339" s="21">
        <f>IF($L1339&lt;&gt;"",IF(INDEX(SCOp,$L1339)="مرجوعی فروش",IF(INDEX(SCAmount,$L1339)=0,"",-INDEX(SCAmount,$L1339)),""),IF($M1339&lt;&gt;"",IF(INDEX(LdgDepB,$M1339)=0,"",INDEX(LdgDepB,$M1339)),""))</f>
        <v/>
      </c>
      <c r="I1339" s="22">
        <f>IF($B1339="","",IF($I1338="",$C$10,$I1338)+IF($G1339="",0,$G1339)-IF($H1339="",0,$H1339))</f>
        <v/>
      </c>
      <c r="L1339">
        <f>IFERROR(MATCH($C$5&amp;"|"&amp;RIGHT("000000"&amp;1323,6),LdgRankKeyA,0),"")</f>
        <v/>
      </c>
      <c r="M1339">
        <f>IFERROR(MATCH($C$5&amp;"|"&amp;RIGHT("000000"&amp;1323,6),LdgRankKeyB,0),"")</f>
        <v/>
      </c>
    </row>
    <row r="1340">
      <c r="A1340" s="23" t="n">
        <v>1324</v>
      </c>
      <c r="B1340" s="24">
        <f>IF(AND($L1340="",$M1340=""),"",IF($L1340&lt;&gt;"",INDEX(SCNormDate,$L1340),INDEX(LdgDateB,$M1340)))</f>
        <v/>
      </c>
      <c r="C1340" s="24">
        <f>IF($L1340&lt;&gt;"",INDEX(SCOp,$L1340),IF($M1340&lt;&gt;"","پرداخت بانکی",""))</f>
        <v/>
      </c>
      <c r="D1340" s="24">
        <f>IF($L1340&lt;&gt;"",IF(INDEX(SCDoc,$L1340)="","—",INDEX(SCDoc,$L1340)),IF($M1340&lt;&gt;"",INDEX(LdgBankB,$M1340),""))</f>
        <v/>
      </c>
      <c r="E1340" s="25">
        <f>IF($L1340&lt;&gt;"",IF(INDEX(SCCitrus,$L1340)&amp;INDEX(SCNotes,$L1340)="","",IF(INDEX(SCCitrus,$L1340)="","",INDEX(SCCitrus,$L1340))&amp;IF(INDEX(SCNotes,$L1340)="",""," — "&amp;INDEX(SCNotes,$L1340))),IF($M1340&lt;&gt;"",IF(INDEX(LdgNoteB,$M1340)="","—",INDEX(LdgNoteB,$M1340)),""))</f>
        <v/>
      </c>
      <c r="F1340" s="26">
        <f>IF($L1340&lt;&gt;"",IF(INDEX(SCNet,$L1340)=0,"",INDEX(SCNet,$L1340)),"")</f>
        <v/>
      </c>
      <c r="G1340" s="27">
        <f>IF($L1340&lt;&gt;"",IF(INDEX(SCOp,$L1340)="مرجوعی فروش","",IF(INDEX(SCAmount,$L1340)&lt;=0,"",INDEX(SCAmount,$L1340))),IF($M1340&lt;&gt;"",IF(INDEX(LdgWitB,$M1340)=0,"",INDEX(LdgWitB,$M1340)),""))</f>
        <v/>
      </c>
      <c r="H1340" s="27">
        <f>IF($L1340&lt;&gt;"",IF(INDEX(SCOp,$L1340)="مرجوعی فروش",IF(INDEX(SCAmount,$L1340)=0,"",-INDEX(SCAmount,$L1340)),""),IF($M1340&lt;&gt;"",IF(INDEX(LdgDepB,$M1340)=0,"",INDEX(LdgDepB,$M1340)),""))</f>
        <v/>
      </c>
      <c r="I1340" s="28">
        <f>IF($B1340="","",IF($I1339="",$C$10,$I1339)+IF($G1340="",0,$G1340)-IF($H1340="",0,$H1340))</f>
        <v/>
      </c>
      <c r="L1340">
        <f>IFERROR(MATCH($C$5&amp;"|"&amp;RIGHT("000000"&amp;1324,6),LdgRankKeyA,0),"")</f>
        <v/>
      </c>
      <c r="M1340">
        <f>IFERROR(MATCH($C$5&amp;"|"&amp;RIGHT("000000"&amp;1324,6),LdgRankKeyB,0),"")</f>
        <v/>
      </c>
    </row>
    <row r="1341">
      <c r="A1341" s="17" t="n">
        <v>1325</v>
      </c>
      <c r="B1341" s="18">
        <f>IF(AND($L1341="",$M1341=""),"",IF($L1341&lt;&gt;"",INDEX(SCNormDate,$L1341),INDEX(LdgDateB,$M1341)))</f>
        <v/>
      </c>
      <c r="C1341" s="18">
        <f>IF($L1341&lt;&gt;"",INDEX(SCOp,$L1341),IF($M1341&lt;&gt;"","پرداخت بانکی",""))</f>
        <v/>
      </c>
      <c r="D1341" s="18">
        <f>IF($L1341&lt;&gt;"",IF(INDEX(SCDoc,$L1341)="","—",INDEX(SCDoc,$L1341)),IF($M1341&lt;&gt;"",INDEX(LdgBankB,$M1341),""))</f>
        <v/>
      </c>
      <c r="E1341" s="19">
        <f>IF($L1341&lt;&gt;"",IF(INDEX(SCCitrus,$L1341)&amp;INDEX(SCNotes,$L1341)="","",IF(INDEX(SCCitrus,$L1341)="","",INDEX(SCCitrus,$L1341))&amp;IF(INDEX(SCNotes,$L1341)="",""," — "&amp;INDEX(SCNotes,$L1341))),IF($M1341&lt;&gt;"",IF(INDEX(LdgNoteB,$M1341)="","—",INDEX(LdgNoteB,$M1341)),""))</f>
        <v/>
      </c>
      <c r="F1341" s="20">
        <f>IF($L1341&lt;&gt;"",IF(INDEX(SCNet,$L1341)=0,"",INDEX(SCNet,$L1341)),"")</f>
        <v/>
      </c>
      <c r="G1341" s="21">
        <f>IF($L1341&lt;&gt;"",IF(INDEX(SCOp,$L1341)="مرجوعی فروش","",IF(INDEX(SCAmount,$L1341)&lt;=0,"",INDEX(SCAmount,$L1341))),IF($M1341&lt;&gt;"",IF(INDEX(LdgWitB,$M1341)=0,"",INDEX(LdgWitB,$M1341)),""))</f>
        <v/>
      </c>
      <c r="H1341" s="21">
        <f>IF($L1341&lt;&gt;"",IF(INDEX(SCOp,$L1341)="مرجوعی فروش",IF(INDEX(SCAmount,$L1341)=0,"",-INDEX(SCAmount,$L1341)),""),IF($M1341&lt;&gt;"",IF(INDEX(LdgDepB,$M1341)=0,"",INDEX(LdgDepB,$M1341)),""))</f>
        <v/>
      </c>
      <c r="I1341" s="22">
        <f>IF($B1341="","",IF($I1340="",$C$10,$I1340)+IF($G1341="",0,$G1341)-IF($H1341="",0,$H1341))</f>
        <v/>
      </c>
      <c r="L1341">
        <f>IFERROR(MATCH($C$5&amp;"|"&amp;RIGHT("000000"&amp;1325,6),LdgRankKeyA,0),"")</f>
        <v/>
      </c>
      <c r="M1341">
        <f>IFERROR(MATCH($C$5&amp;"|"&amp;RIGHT("000000"&amp;1325,6),LdgRankKeyB,0),"")</f>
        <v/>
      </c>
    </row>
    <row r="1342">
      <c r="A1342" s="23" t="n">
        <v>1326</v>
      </c>
      <c r="B1342" s="24">
        <f>IF(AND($L1342="",$M1342=""),"",IF($L1342&lt;&gt;"",INDEX(SCNormDate,$L1342),INDEX(LdgDateB,$M1342)))</f>
        <v/>
      </c>
      <c r="C1342" s="24">
        <f>IF($L1342&lt;&gt;"",INDEX(SCOp,$L1342),IF($M1342&lt;&gt;"","پرداخت بانکی",""))</f>
        <v/>
      </c>
      <c r="D1342" s="24">
        <f>IF($L1342&lt;&gt;"",IF(INDEX(SCDoc,$L1342)="","—",INDEX(SCDoc,$L1342)),IF($M1342&lt;&gt;"",INDEX(LdgBankB,$M1342),""))</f>
        <v/>
      </c>
      <c r="E1342" s="25">
        <f>IF($L1342&lt;&gt;"",IF(INDEX(SCCitrus,$L1342)&amp;INDEX(SCNotes,$L1342)="","",IF(INDEX(SCCitrus,$L1342)="","",INDEX(SCCitrus,$L1342))&amp;IF(INDEX(SCNotes,$L1342)="",""," — "&amp;INDEX(SCNotes,$L1342))),IF($M1342&lt;&gt;"",IF(INDEX(LdgNoteB,$M1342)="","—",INDEX(LdgNoteB,$M1342)),""))</f>
        <v/>
      </c>
      <c r="F1342" s="26">
        <f>IF($L1342&lt;&gt;"",IF(INDEX(SCNet,$L1342)=0,"",INDEX(SCNet,$L1342)),"")</f>
        <v/>
      </c>
      <c r="G1342" s="27">
        <f>IF($L1342&lt;&gt;"",IF(INDEX(SCOp,$L1342)="مرجوعی فروش","",IF(INDEX(SCAmount,$L1342)&lt;=0,"",INDEX(SCAmount,$L1342))),IF($M1342&lt;&gt;"",IF(INDEX(LdgWitB,$M1342)=0,"",INDEX(LdgWitB,$M1342)),""))</f>
        <v/>
      </c>
      <c r="H1342" s="27">
        <f>IF($L1342&lt;&gt;"",IF(INDEX(SCOp,$L1342)="مرجوعی فروش",IF(INDEX(SCAmount,$L1342)=0,"",-INDEX(SCAmount,$L1342)),""),IF($M1342&lt;&gt;"",IF(INDEX(LdgDepB,$M1342)=0,"",INDEX(LdgDepB,$M1342)),""))</f>
        <v/>
      </c>
      <c r="I1342" s="28">
        <f>IF($B1342="","",IF($I1341="",$C$10,$I1341)+IF($G1342="",0,$G1342)-IF($H1342="",0,$H1342))</f>
        <v/>
      </c>
      <c r="L1342">
        <f>IFERROR(MATCH($C$5&amp;"|"&amp;RIGHT("000000"&amp;1326,6),LdgRankKeyA,0),"")</f>
        <v/>
      </c>
      <c r="M1342">
        <f>IFERROR(MATCH($C$5&amp;"|"&amp;RIGHT("000000"&amp;1326,6),LdgRankKeyB,0),"")</f>
        <v/>
      </c>
    </row>
    <row r="1343">
      <c r="A1343" s="17" t="n">
        <v>1327</v>
      </c>
      <c r="B1343" s="18">
        <f>IF(AND($L1343="",$M1343=""),"",IF($L1343&lt;&gt;"",INDEX(SCNormDate,$L1343),INDEX(LdgDateB,$M1343)))</f>
        <v/>
      </c>
      <c r="C1343" s="18">
        <f>IF($L1343&lt;&gt;"",INDEX(SCOp,$L1343),IF($M1343&lt;&gt;"","پرداخت بانکی",""))</f>
        <v/>
      </c>
      <c r="D1343" s="18">
        <f>IF($L1343&lt;&gt;"",IF(INDEX(SCDoc,$L1343)="","—",INDEX(SCDoc,$L1343)),IF($M1343&lt;&gt;"",INDEX(LdgBankB,$M1343),""))</f>
        <v/>
      </c>
      <c r="E1343" s="19">
        <f>IF($L1343&lt;&gt;"",IF(INDEX(SCCitrus,$L1343)&amp;INDEX(SCNotes,$L1343)="","",IF(INDEX(SCCitrus,$L1343)="","",INDEX(SCCitrus,$L1343))&amp;IF(INDEX(SCNotes,$L1343)="",""," — "&amp;INDEX(SCNotes,$L1343))),IF($M1343&lt;&gt;"",IF(INDEX(LdgNoteB,$M1343)="","—",INDEX(LdgNoteB,$M1343)),""))</f>
        <v/>
      </c>
      <c r="F1343" s="20">
        <f>IF($L1343&lt;&gt;"",IF(INDEX(SCNet,$L1343)=0,"",INDEX(SCNet,$L1343)),"")</f>
        <v/>
      </c>
      <c r="G1343" s="21">
        <f>IF($L1343&lt;&gt;"",IF(INDEX(SCOp,$L1343)="مرجوعی فروش","",IF(INDEX(SCAmount,$L1343)&lt;=0,"",INDEX(SCAmount,$L1343))),IF($M1343&lt;&gt;"",IF(INDEX(LdgWitB,$M1343)=0,"",INDEX(LdgWitB,$M1343)),""))</f>
        <v/>
      </c>
      <c r="H1343" s="21">
        <f>IF($L1343&lt;&gt;"",IF(INDEX(SCOp,$L1343)="مرجوعی فروش",IF(INDEX(SCAmount,$L1343)=0,"",-INDEX(SCAmount,$L1343)),""),IF($M1343&lt;&gt;"",IF(INDEX(LdgDepB,$M1343)=0,"",INDEX(LdgDepB,$M1343)),""))</f>
        <v/>
      </c>
      <c r="I1343" s="22">
        <f>IF($B1343="","",IF($I1342="",$C$10,$I1342)+IF($G1343="",0,$G1343)-IF($H1343="",0,$H1343))</f>
        <v/>
      </c>
      <c r="L1343">
        <f>IFERROR(MATCH($C$5&amp;"|"&amp;RIGHT("000000"&amp;1327,6),LdgRankKeyA,0),"")</f>
        <v/>
      </c>
      <c r="M1343">
        <f>IFERROR(MATCH($C$5&amp;"|"&amp;RIGHT("000000"&amp;1327,6),LdgRankKeyB,0),"")</f>
        <v/>
      </c>
    </row>
    <row r="1344">
      <c r="A1344" s="23" t="n">
        <v>1328</v>
      </c>
      <c r="B1344" s="24">
        <f>IF(AND($L1344="",$M1344=""),"",IF($L1344&lt;&gt;"",INDEX(SCNormDate,$L1344),INDEX(LdgDateB,$M1344)))</f>
        <v/>
      </c>
      <c r="C1344" s="24">
        <f>IF($L1344&lt;&gt;"",INDEX(SCOp,$L1344),IF($M1344&lt;&gt;"","پرداخت بانکی",""))</f>
        <v/>
      </c>
      <c r="D1344" s="24">
        <f>IF($L1344&lt;&gt;"",IF(INDEX(SCDoc,$L1344)="","—",INDEX(SCDoc,$L1344)),IF($M1344&lt;&gt;"",INDEX(LdgBankB,$M1344),""))</f>
        <v/>
      </c>
      <c r="E1344" s="25">
        <f>IF($L1344&lt;&gt;"",IF(INDEX(SCCitrus,$L1344)&amp;INDEX(SCNotes,$L1344)="","",IF(INDEX(SCCitrus,$L1344)="","",INDEX(SCCitrus,$L1344))&amp;IF(INDEX(SCNotes,$L1344)="",""," — "&amp;INDEX(SCNotes,$L1344))),IF($M1344&lt;&gt;"",IF(INDEX(LdgNoteB,$M1344)="","—",INDEX(LdgNoteB,$M1344)),""))</f>
        <v/>
      </c>
      <c r="F1344" s="26">
        <f>IF($L1344&lt;&gt;"",IF(INDEX(SCNet,$L1344)=0,"",INDEX(SCNet,$L1344)),"")</f>
        <v/>
      </c>
      <c r="G1344" s="27">
        <f>IF($L1344&lt;&gt;"",IF(INDEX(SCOp,$L1344)="مرجوعی فروش","",IF(INDEX(SCAmount,$L1344)&lt;=0,"",INDEX(SCAmount,$L1344))),IF($M1344&lt;&gt;"",IF(INDEX(LdgWitB,$M1344)=0,"",INDEX(LdgWitB,$M1344)),""))</f>
        <v/>
      </c>
      <c r="H1344" s="27">
        <f>IF($L1344&lt;&gt;"",IF(INDEX(SCOp,$L1344)="مرجوعی فروش",IF(INDEX(SCAmount,$L1344)=0,"",-INDEX(SCAmount,$L1344)),""),IF($M1344&lt;&gt;"",IF(INDEX(LdgDepB,$M1344)=0,"",INDEX(LdgDepB,$M1344)),""))</f>
        <v/>
      </c>
      <c r="I1344" s="28">
        <f>IF($B1344="","",IF($I1343="",$C$10,$I1343)+IF($G1344="",0,$G1344)-IF($H1344="",0,$H1344))</f>
        <v/>
      </c>
      <c r="L1344">
        <f>IFERROR(MATCH($C$5&amp;"|"&amp;RIGHT("000000"&amp;1328,6),LdgRankKeyA,0),"")</f>
        <v/>
      </c>
      <c r="M1344">
        <f>IFERROR(MATCH($C$5&amp;"|"&amp;RIGHT("000000"&amp;1328,6),LdgRankKeyB,0),"")</f>
        <v/>
      </c>
    </row>
    <row r="1345">
      <c r="A1345" s="17" t="n">
        <v>1329</v>
      </c>
      <c r="B1345" s="18">
        <f>IF(AND($L1345="",$M1345=""),"",IF($L1345&lt;&gt;"",INDEX(SCNormDate,$L1345),INDEX(LdgDateB,$M1345)))</f>
        <v/>
      </c>
      <c r="C1345" s="18">
        <f>IF($L1345&lt;&gt;"",INDEX(SCOp,$L1345),IF($M1345&lt;&gt;"","پرداخت بانکی",""))</f>
        <v/>
      </c>
      <c r="D1345" s="18">
        <f>IF($L1345&lt;&gt;"",IF(INDEX(SCDoc,$L1345)="","—",INDEX(SCDoc,$L1345)),IF($M1345&lt;&gt;"",INDEX(LdgBankB,$M1345),""))</f>
        <v/>
      </c>
      <c r="E1345" s="19">
        <f>IF($L1345&lt;&gt;"",IF(INDEX(SCCitrus,$L1345)&amp;INDEX(SCNotes,$L1345)="","",IF(INDEX(SCCitrus,$L1345)="","",INDEX(SCCitrus,$L1345))&amp;IF(INDEX(SCNotes,$L1345)="",""," — "&amp;INDEX(SCNotes,$L1345))),IF($M1345&lt;&gt;"",IF(INDEX(LdgNoteB,$M1345)="","—",INDEX(LdgNoteB,$M1345)),""))</f>
        <v/>
      </c>
      <c r="F1345" s="20">
        <f>IF($L1345&lt;&gt;"",IF(INDEX(SCNet,$L1345)=0,"",INDEX(SCNet,$L1345)),"")</f>
        <v/>
      </c>
      <c r="G1345" s="21">
        <f>IF($L1345&lt;&gt;"",IF(INDEX(SCOp,$L1345)="مرجوعی فروش","",IF(INDEX(SCAmount,$L1345)&lt;=0,"",INDEX(SCAmount,$L1345))),IF($M1345&lt;&gt;"",IF(INDEX(LdgWitB,$M1345)=0,"",INDEX(LdgWitB,$M1345)),""))</f>
        <v/>
      </c>
      <c r="H1345" s="21">
        <f>IF($L1345&lt;&gt;"",IF(INDEX(SCOp,$L1345)="مرجوعی فروش",IF(INDEX(SCAmount,$L1345)=0,"",-INDEX(SCAmount,$L1345)),""),IF($M1345&lt;&gt;"",IF(INDEX(LdgDepB,$M1345)=0,"",INDEX(LdgDepB,$M1345)),""))</f>
        <v/>
      </c>
      <c r="I1345" s="22">
        <f>IF($B1345="","",IF($I1344="",$C$10,$I1344)+IF($G1345="",0,$G1345)-IF($H1345="",0,$H1345))</f>
        <v/>
      </c>
      <c r="L1345">
        <f>IFERROR(MATCH($C$5&amp;"|"&amp;RIGHT("000000"&amp;1329,6),LdgRankKeyA,0),"")</f>
        <v/>
      </c>
      <c r="M1345">
        <f>IFERROR(MATCH($C$5&amp;"|"&amp;RIGHT("000000"&amp;1329,6),LdgRankKeyB,0),"")</f>
        <v/>
      </c>
    </row>
    <row r="1346">
      <c r="A1346" s="23" t="n">
        <v>1330</v>
      </c>
      <c r="B1346" s="24">
        <f>IF(AND($L1346="",$M1346=""),"",IF($L1346&lt;&gt;"",INDEX(SCNormDate,$L1346),INDEX(LdgDateB,$M1346)))</f>
        <v/>
      </c>
      <c r="C1346" s="24">
        <f>IF($L1346&lt;&gt;"",INDEX(SCOp,$L1346),IF($M1346&lt;&gt;"","پرداخت بانکی",""))</f>
        <v/>
      </c>
      <c r="D1346" s="24">
        <f>IF($L1346&lt;&gt;"",IF(INDEX(SCDoc,$L1346)="","—",INDEX(SCDoc,$L1346)),IF($M1346&lt;&gt;"",INDEX(LdgBankB,$M1346),""))</f>
        <v/>
      </c>
      <c r="E1346" s="25">
        <f>IF($L1346&lt;&gt;"",IF(INDEX(SCCitrus,$L1346)&amp;INDEX(SCNotes,$L1346)="","",IF(INDEX(SCCitrus,$L1346)="","",INDEX(SCCitrus,$L1346))&amp;IF(INDEX(SCNotes,$L1346)="",""," — "&amp;INDEX(SCNotes,$L1346))),IF($M1346&lt;&gt;"",IF(INDEX(LdgNoteB,$M1346)="","—",INDEX(LdgNoteB,$M1346)),""))</f>
        <v/>
      </c>
      <c r="F1346" s="26">
        <f>IF($L1346&lt;&gt;"",IF(INDEX(SCNet,$L1346)=0,"",INDEX(SCNet,$L1346)),"")</f>
        <v/>
      </c>
      <c r="G1346" s="27">
        <f>IF($L1346&lt;&gt;"",IF(INDEX(SCOp,$L1346)="مرجوعی فروش","",IF(INDEX(SCAmount,$L1346)&lt;=0,"",INDEX(SCAmount,$L1346))),IF($M1346&lt;&gt;"",IF(INDEX(LdgWitB,$M1346)=0,"",INDEX(LdgWitB,$M1346)),""))</f>
        <v/>
      </c>
      <c r="H1346" s="27">
        <f>IF($L1346&lt;&gt;"",IF(INDEX(SCOp,$L1346)="مرجوعی فروش",IF(INDEX(SCAmount,$L1346)=0,"",-INDEX(SCAmount,$L1346)),""),IF($M1346&lt;&gt;"",IF(INDEX(LdgDepB,$M1346)=0,"",INDEX(LdgDepB,$M1346)),""))</f>
        <v/>
      </c>
      <c r="I1346" s="28">
        <f>IF($B1346="","",IF($I1345="",$C$10,$I1345)+IF($G1346="",0,$G1346)-IF($H1346="",0,$H1346))</f>
        <v/>
      </c>
      <c r="L1346">
        <f>IFERROR(MATCH($C$5&amp;"|"&amp;RIGHT("000000"&amp;1330,6),LdgRankKeyA,0),"")</f>
        <v/>
      </c>
      <c r="M1346">
        <f>IFERROR(MATCH($C$5&amp;"|"&amp;RIGHT("000000"&amp;1330,6),LdgRankKeyB,0),"")</f>
        <v/>
      </c>
    </row>
    <row r="1347">
      <c r="A1347" s="17" t="n">
        <v>1331</v>
      </c>
      <c r="B1347" s="18">
        <f>IF(AND($L1347="",$M1347=""),"",IF($L1347&lt;&gt;"",INDEX(SCNormDate,$L1347),INDEX(LdgDateB,$M1347)))</f>
        <v/>
      </c>
      <c r="C1347" s="18">
        <f>IF($L1347&lt;&gt;"",INDEX(SCOp,$L1347),IF($M1347&lt;&gt;"","پرداخت بانکی",""))</f>
        <v/>
      </c>
      <c r="D1347" s="18">
        <f>IF($L1347&lt;&gt;"",IF(INDEX(SCDoc,$L1347)="","—",INDEX(SCDoc,$L1347)),IF($M1347&lt;&gt;"",INDEX(LdgBankB,$M1347),""))</f>
        <v/>
      </c>
      <c r="E1347" s="19">
        <f>IF($L1347&lt;&gt;"",IF(INDEX(SCCitrus,$L1347)&amp;INDEX(SCNotes,$L1347)="","",IF(INDEX(SCCitrus,$L1347)="","",INDEX(SCCitrus,$L1347))&amp;IF(INDEX(SCNotes,$L1347)="",""," — "&amp;INDEX(SCNotes,$L1347))),IF($M1347&lt;&gt;"",IF(INDEX(LdgNoteB,$M1347)="","—",INDEX(LdgNoteB,$M1347)),""))</f>
        <v/>
      </c>
      <c r="F1347" s="20">
        <f>IF($L1347&lt;&gt;"",IF(INDEX(SCNet,$L1347)=0,"",INDEX(SCNet,$L1347)),"")</f>
        <v/>
      </c>
      <c r="G1347" s="21">
        <f>IF($L1347&lt;&gt;"",IF(INDEX(SCOp,$L1347)="مرجوعی فروش","",IF(INDEX(SCAmount,$L1347)&lt;=0,"",INDEX(SCAmount,$L1347))),IF($M1347&lt;&gt;"",IF(INDEX(LdgWitB,$M1347)=0,"",INDEX(LdgWitB,$M1347)),""))</f>
        <v/>
      </c>
      <c r="H1347" s="21">
        <f>IF($L1347&lt;&gt;"",IF(INDEX(SCOp,$L1347)="مرجوعی فروش",IF(INDEX(SCAmount,$L1347)=0,"",-INDEX(SCAmount,$L1347)),""),IF($M1347&lt;&gt;"",IF(INDEX(LdgDepB,$M1347)=0,"",INDEX(LdgDepB,$M1347)),""))</f>
        <v/>
      </c>
      <c r="I1347" s="22">
        <f>IF($B1347="","",IF($I1346="",$C$10,$I1346)+IF($G1347="",0,$G1347)-IF($H1347="",0,$H1347))</f>
        <v/>
      </c>
      <c r="L1347">
        <f>IFERROR(MATCH($C$5&amp;"|"&amp;RIGHT("000000"&amp;1331,6),LdgRankKeyA,0),"")</f>
        <v/>
      </c>
      <c r="M1347">
        <f>IFERROR(MATCH($C$5&amp;"|"&amp;RIGHT("000000"&amp;1331,6),LdgRankKeyB,0),"")</f>
        <v/>
      </c>
    </row>
    <row r="1348">
      <c r="A1348" s="23" t="n">
        <v>1332</v>
      </c>
      <c r="B1348" s="24">
        <f>IF(AND($L1348="",$M1348=""),"",IF($L1348&lt;&gt;"",INDEX(SCNormDate,$L1348),INDEX(LdgDateB,$M1348)))</f>
        <v/>
      </c>
      <c r="C1348" s="24">
        <f>IF($L1348&lt;&gt;"",INDEX(SCOp,$L1348),IF($M1348&lt;&gt;"","پرداخت بانکی",""))</f>
        <v/>
      </c>
      <c r="D1348" s="24">
        <f>IF($L1348&lt;&gt;"",IF(INDEX(SCDoc,$L1348)="","—",INDEX(SCDoc,$L1348)),IF($M1348&lt;&gt;"",INDEX(LdgBankB,$M1348),""))</f>
        <v/>
      </c>
      <c r="E1348" s="25">
        <f>IF($L1348&lt;&gt;"",IF(INDEX(SCCitrus,$L1348)&amp;INDEX(SCNotes,$L1348)="","",IF(INDEX(SCCitrus,$L1348)="","",INDEX(SCCitrus,$L1348))&amp;IF(INDEX(SCNotes,$L1348)="",""," — "&amp;INDEX(SCNotes,$L1348))),IF($M1348&lt;&gt;"",IF(INDEX(LdgNoteB,$M1348)="","—",INDEX(LdgNoteB,$M1348)),""))</f>
        <v/>
      </c>
      <c r="F1348" s="26">
        <f>IF($L1348&lt;&gt;"",IF(INDEX(SCNet,$L1348)=0,"",INDEX(SCNet,$L1348)),"")</f>
        <v/>
      </c>
      <c r="G1348" s="27">
        <f>IF($L1348&lt;&gt;"",IF(INDEX(SCOp,$L1348)="مرجوعی فروش","",IF(INDEX(SCAmount,$L1348)&lt;=0,"",INDEX(SCAmount,$L1348))),IF($M1348&lt;&gt;"",IF(INDEX(LdgWitB,$M1348)=0,"",INDEX(LdgWitB,$M1348)),""))</f>
        <v/>
      </c>
      <c r="H1348" s="27">
        <f>IF($L1348&lt;&gt;"",IF(INDEX(SCOp,$L1348)="مرجوعی فروش",IF(INDEX(SCAmount,$L1348)=0,"",-INDEX(SCAmount,$L1348)),""),IF($M1348&lt;&gt;"",IF(INDEX(LdgDepB,$M1348)=0,"",INDEX(LdgDepB,$M1348)),""))</f>
        <v/>
      </c>
      <c r="I1348" s="28">
        <f>IF($B1348="","",IF($I1347="",$C$10,$I1347)+IF($G1348="",0,$G1348)-IF($H1348="",0,$H1348))</f>
        <v/>
      </c>
      <c r="L1348">
        <f>IFERROR(MATCH($C$5&amp;"|"&amp;RIGHT("000000"&amp;1332,6),LdgRankKeyA,0),"")</f>
        <v/>
      </c>
      <c r="M1348">
        <f>IFERROR(MATCH($C$5&amp;"|"&amp;RIGHT("000000"&amp;1332,6),LdgRankKeyB,0),"")</f>
        <v/>
      </c>
    </row>
    <row r="1349">
      <c r="A1349" s="17" t="n">
        <v>1333</v>
      </c>
      <c r="B1349" s="18">
        <f>IF(AND($L1349="",$M1349=""),"",IF($L1349&lt;&gt;"",INDEX(SCNormDate,$L1349),INDEX(LdgDateB,$M1349)))</f>
        <v/>
      </c>
      <c r="C1349" s="18">
        <f>IF($L1349&lt;&gt;"",INDEX(SCOp,$L1349),IF($M1349&lt;&gt;"","پرداخت بانکی",""))</f>
        <v/>
      </c>
      <c r="D1349" s="18">
        <f>IF($L1349&lt;&gt;"",IF(INDEX(SCDoc,$L1349)="","—",INDEX(SCDoc,$L1349)),IF($M1349&lt;&gt;"",INDEX(LdgBankB,$M1349),""))</f>
        <v/>
      </c>
      <c r="E1349" s="19">
        <f>IF($L1349&lt;&gt;"",IF(INDEX(SCCitrus,$L1349)&amp;INDEX(SCNotes,$L1349)="","",IF(INDEX(SCCitrus,$L1349)="","",INDEX(SCCitrus,$L1349))&amp;IF(INDEX(SCNotes,$L1349)="",""," — "&amp;INDEX(SCNotes,$L1349))),IF($M1349&lt;&gt;"",IF(INDEX(LdgNoteB,$M1349)="","—",INDEX(LdgNoteB,$M1349)),""))</f>
        <v/>
      </c>
      <c r="F1349" s="20">
        <f>IF($L1349&lt;&gt;"",IF(INDEX(SCNet,$L1349)=0,"",INDEX(SCNet,$L1349)),"")</f>
        <v/>
      </c>
      <c r="G1349" s="21">
        <f>IF($L1349&lt;&gt;"",IF(INDEX(SCOp,$L1349)="مرجوعی فروش","",IF(INDEX(SCAmount,$L1349)&lt;=0,"",INDEX(SCAmount,$L1349))),IF($M1349&lt;&gt;"",IF(INDEX(LdgWitB,$M1349)=0,"",INDEX(LdgWitB,$M1349)),""))</f>
        <v/>
      </c>
      <c r="H1349" s="21">
        <f>IF($L1349&lt;&gt;"",IF(INDEX(SCOp,$L1349)="مرجوعی فروش",IF(INDEX(SCAmount,$L1349)=0,"",-INDEX(SCAmount,$L1349)),""),IF($M1349&lt;&gt;"",IF(INDEX(LdgDepB,$M1349)=0,"",INDEX(LdgDepB,$M1349)),""))</f>
        <v/>
      </c>
      <c r="I1349" s="22">
        <f>IF($B1349="","",IF($I1348="",$C$10,$I1348)+IF($G1349="",0,$G1349)-IF($H1349="",0,$H1349))</f>
        <v/>
      </c>
      <c r="L1349">
        <f>IFERROR(MATCH($C$5&amp;"|"&amp;RIGHT("000000"&amp;1333,6),LdgRankKeyA,0),"")</f>
        <v/>
      </c>
      <c r="M1349">
        <f>IFERROR(MATCH($C$5&amp;"|"&amp;RIGHT("000000"&amp;1333,6),LdgRankKeyB,0),"")</f>
        <v/>
      </c>
    </row>
    <row r="1350">
      <c r="A1350" s="23" t="n">
        <v>1334</v>
      </c>
      <c r="B1350" s="24">
        <f>IF(AND($L1350="",$M1350=""),"",IF($L1350&lt;&gt;"",INDEX(SCNormDate,$L1350),INDEX(LdgDateB,$M1350)))</f>
        <v/>
      </c>
      <c r="C1350" s="24">
        <f>IF($L1350&lt;&gt;"",INDEX(SCOp,$L1350),IF($M1350&lt;&gt;"","پرداخت بانکی",""))</f>
        <v/>
      </c>
      <c r="D1350" s="24">
        <f>IF($L1350&lt;&gt;"",IF(INDEX(SCDoc,$L1350)="","—",INDEX(SCDoc,$L1350)),IF($M1350&lt;&gt;"",INDEX(LdgBankB,$M1350),""))</f>
        <v/>
      </c>
      <c r="E1350" s="25">
        <f>IF($L1350&lt;&gt;"",IF(INDEX(SCCitrus,$L1350)&amp;INDEX(SCNotes,$L1350)="","",IF(INDEX(SCCitrus,$L1350)="","",INDEX(SCCitrus,$L1350))&amp;IF(INDEX(SCNotes,$L1350)="",""," — "&amp;INDEX(SCNotes,$L1350))),IF($M1350&lt;&gt;"",IF(INDEX(LdgNoteB,$M1350)="","—",INDEX(LdgNoteB,$M1350)),""))</f>
        <v/>
      </c>
      <c r="F1350" s="26">
        <f>IF($L1350&lt;&gt;"",IF(INDEX(SCNet,$L1350)=0,"",INDEX(SCNet,$L1350)),"")</f>
        <v/>
      </c>
      <c r="G1350" s="27">
        <f>IF($L1350&lt;&gt;"",IF(INDEX(SCOp,$L1350)="مرجوعی فروش","",IF(INDEX(SCAmount,$L1350)&lt;=0,"",INDEX(SCAmount,$L1350))),IF($M1350&lt;&gt;"",IF(INDEX(LdgWitB,$M1350)=0,"",INDEX(LdgWitB,$M1350)),""))</f>
        <v/>
      </c>
      <c r="H1350" s="27">
        <f>IF($L1350&lt;&gt;"",IF(INDEX(SCOp,$L1350)="مرجوعی فروش",IF(INDEX(SCAmount,$L1350)=0,"",-INDEX(SCAmount,$L1350)),""),IF($M1350&lt;&gt;"",IF(INDEX(LdgDepB,$M1350)=0,"",INDEX(LdgDepB,$M1350)),""))</f>
        <v/>
      </c>
      <c r="I1350" s="28">
        <f>IF($B1350="","",IF($I1349="",$C$10,$I1349)+IF($G1350="",0,$G1350)-IF($H1350="",0,$H1350))</f>
        <v/>
      </c>
      <c r="L1350">
        <f>IFERROR(MATCH($C$5&amp;"|"&amp;RIGHT("000000"&amp;1334,6),LdgRankKeyA,0),"")</f>
        <v/>
      </c>
      <c r="M1350">
        <f>IFERROR(MATCH($C$5&amp;"|"&amp;RIGHT("000000"&amp;1334,6),LdgRankKeyB,0),"")</f>
        <v/>
      </c>
    </row>
    <row r="1351">
      <c r="A1351" s="17" t="n">
        <v>1335</v>
      </c>
      <c r="B1351" s="18">
        <f>IF(AND($L1351="",$M1351=""),"",IF($L1351&lt;&gt;"",INDEX(SCNormDate,$L1351),INDEX(LdgDateB,$M1351)))</f>
        <v/>
      </c>
      <c r="C1351" s="18">
        <f>IF($L1351&lt;&gt;"",INDEX(SCOp,$L1351),IF($M1351&lt;&gt;"","پرداخت بانکی",""))</f>
        <v/>
      </c>
      <c r="D1351" s="18">
        <f>IF($L1351&lt;&gt;"",IF(INDEX(SCDoc,$L1351)="","—",INDEX(SCDoc,$L1351)),IF($M1351&lt;&gt;"",INDEX(LdgBankB,$M1351),""))</f>
        <v/>
      </c>
      <c r="E1351" s="19">
        <f>IF($L1351&lt;&gt;"",IF(INDEX(SCCitrus,$L1351)&amp;INDEX(SCNotes,$L1351)="","",IF(INDEX(SCCitrus,$L1351)="","",INDEX(SCCitrus,$L1351))&amp;IF(INDEX(SCNotes,$L1351)="",""," — "&amp;INDEX(SCNotes,$L1351))),IF($M1351&lt;&gt;"",IF(INDEX(LdgNoteB,$M1351)="","—",INDEX(LdgNoteB,$M1351)),""))</f>
        <v/>
      </c>
      <c r="F1351" s="20">
        <f>IF($L1351&lt;&gt;"",IF(INDEX(SCNet,$L1351)=0,"",INDEX(SCNet,$L1351)),"")</f>
        <v/>
      </c>
      <c r="G1351" s="21">
        <f>IF($L1351&lt;&gt;"",IF(INDEX(SCOp,$L1351)="مرجوعی فروش","",IF(INDEX(SCAmount,$L1351)&lt;=0,"",INDEX(SCAmount,$L1351))),IF($M1351&lt;&gt;"",IF(INDEX(LdgWitB,$M1351)=0,"",INDEX(LdgWitB,$M1351)),""))</f>
        <v/>
      </c>
      <c r="H1351" s="21">
        <f>IF($L1351&lt;&gt;"",IF(INDEX(SCOp,$L1351)="مرجوعی فروش",IF(INDEX(SCAmount,$L1351)=0,"",-INDEX(SCAmount,$L1351)),""),IF($M1351&lt;&gt;"",IF(INDEX(LdgDepB,$M1351)=0,"",INDEX(LdgDepB,$M1351)),""))</f>
        <v/>
      </c>
      <c r="I1351" s="22">
        <f>IF($B1351="","",IF($I1350="",$C$10,$I1350)+IF($G1351="",0,$G1351)-IF($H1351="",0,$H1351))</f>
        <v/>
      </c>
      <c r="L1351">
        <f>IFERROR(MATCH($C$5&amp;"|"&amp;RIGHT("000000"&amp;1335,6),LdgRankKeyA,0),"")</f>
        <v/>
      </c>
      <c r="M1351">
        <f>IFERROR(MATCH($C$5&amp;"|"&amp;RIGHT("000000"&amp;1335,6),LdgRankKeyB,0),"")</f>
        <v/>
      </c>
    </row>
    <row r="1352">
      <c r="A1352" s="23" t="n">
        <v>1336</v>
      </c>
      <c r="B1352" s="24">
        <f>IF(AND($L1352="",$M1352=""),"",IF($L1352&lt;&gt;"",INDEX(SCNormDate,$L1352),INDEX(LdgDateB,$M1352)))</f>
        <v/>
      </c>
      <c r="C1352" s="24">
        <f>IF($L1352&lt;&gt;"",INDEX(SCOp,$L1352),IF($M1352&lt;&gt;"","پرداخت بانکی",""))</f>
        <v/>
      </c>
      <c r="D1352" s="24">
        <f>IF($L1352&lt;&gt;"",IF(INDEX(SCDoc,$L1352)="","—",INDEX(SCDoc,$L1352)),IF($M1352&lt;&gt;"",INDEX(LdgBankB,$M1352),""))</f>
        <v/>
      </c>
      <c r="E1352" s="25">
        <f>IF($L1352&lt;&gt;"",IF(INDEX(SCCitrus,$L1352)&amp;INDEX(SCNotes,$L1352)="","",IF(INDEX(SCCitrus,$L1352)="","",INDEX(SCCitrus,$L1352))&amp;IF(INDEX(SCNotes,$L1352)="",""," — "&amp;INDEX(SCNotes,$L1352))),IF($M1352&lt;&gt;"",IF(INDEX(LdgNoteB,$M1352)="","—",INDEX(LdgNoteB,$M1352)),""))</f>
        <v/>
      </c>
      <c r="F1352" s="26">
        <f>IF($L1352&lt;&gt;"",IF(INDEX(SCNet,$L1352)=0,"",INDEX(SCNet,$L1352)),"")</f>
        <v/>
      </c>
      <c r="G1352" s="27">
        <f>IF($L1352&lt;&gt;"",IF(INDEX(SCOp,$L1352)="مرجوعی فروش","",IF(INDEX(SCAmount,$L1352)&lt;=0,"",INDEX(SCAmount,$L1352))),IF($M1352&lt;&gt;"",IF(INDEX(LdgWitB,$M1352)=0,"",INDEX(LdgWitB,$M1352)),""))</f>
        <v/>
      </c>
      <c r="H1352" s="27">
        <f>IF($L1352&lt;&gt;"",IF(INDEX(SCOp,$L1352)="مرجوعی فروش",IF(INDEX(SCAmount,$L1352)=0,"",-INDEX(SCAmount,$L1352)),""),IF($M1352&lt;&gt;"",IF(INDEX(LdgDepB,$M1352)=0,"",INDEX(LdgDepB,$M1352)),""))</f>
        <v/>
      </c>
      <c r="I1352" s="28">
        <f>IF($B1352="","",IF($I1351="",$C$10,$I1351)+IF($G1352="",0,$G1352)-IF($H1352="",0,$H1352))</f>
        <v/>
      </c>
      <c r="L1352">
        <f>IFERROR(MATCH($C$5&amp;"|"&amp;RIGHT("000000"&amp;1336,6),LdgRankKeyA,0),"")</f>
        <v/>
      </c>
      <c r="M1352">
        <f>IFERROR(MATCH($C$5&amp;"|"&amp;RIGHT("000000"&amp;1336,6),LdgRankKeyB,0),"")</f>
        <v/>
      </c>
    </row>
    <row r="1353">
      <c r="A1353" s="17" t="n">
        <v>1337</v>
      </c>
      <c r="B1353" s="18">
        <f>IF(AND($L1353="",$M1353=""),"",IF($L1353&lt;&gt;"",INDEX(SCNormDate,$L1353),INDEX(LdgDateB,$M1353)))</f>
        <v/>
      </c>
      <c r="C1353" s="18">
        <f>IF($L1353&lt;&gt;"",INDEX(SCOp,$L1353),IF($M1353&lt;&gt;"","پرداخت بانکی",""))</f>
        <v/>
      </c>
      <c r="D1353" s="18">
        <f>IF($L1353&lt;&gt;"",IF(INDEX(SCDoc,$L1353)="","—",INDEX(SCDoc,$L1353)),IF($M1353&lt;&gt;"",INDEX(LdgBankB,$M1353),""))</f>
        <v/>
      </c>
      <c r="E1353" s="19">
        <f>IF($L1353&lt;&gt;"",IF(INDEX(SCCitrus,$L1353)&amp;INDEX(SCNotes,$L1353)="","",IF(INDEX(SCCitrus,$L1353)="","",INDEX(SCCitrus,$L1353))&amp;IF(INDEX(SCNotes,$L1353)="",""," — "&amp;INDEX(SCNotes,$L1353))),IF($M1353&lt;&gt;"",IF(INDEX(LdgNoteB,$M1353)="","—",INDEX(LdgNoteB,$M1353)),""))</f>
        <v/>
      </c>
      <c r="F1353" s="20">
        <f>IF($L1353&lt;&gt;"",IF(INDEX(SCNet,$L1353)=0,"",INDEX(SCNet,$L1353)),"")</f>
        <v/>
      </c>
      <c r="G1353" s="21">
        <f>IF($L1353&lt;&gt;"",IF(INDEX(SCOp,$L1353)="مرجوعی فروش","",IF(INDEX(SCAmount,$L1353)&lt;=0,"",INDEX(SCAmount,$L1353))),IF($M1353&lt;&gt;"",IF(INDEX(LdgWitB,$M1353)=0,"",INDEX(LdgWitB,$M1353)),""))</f>
        <v/>
      </c>
      <c r="H1353" s="21">
        <f>IF($L1353&lt;&gt;"",IF(INDEX(SCOp,$L1353)="مرجوعی فروش",IF(INDEX(SCAmount,$L1353)=0,"",-INDEX(SCAmount,$L1353)),""),IF($M1353&lt;&gt;"",IF(INDEX(LdgDepB,$M1353)=0,"",INDEX(LdgDepB,$M1353)),""))</f>
        <v/>
      </c>
      <c r="I1353" s="22">
        <f>IF($B1353="","",IF($I1352="",$C$10,$I1352)+IF($G1353="",0,$G1353)-IF($H1353="",0,$H1353))</f>
        <v/>
      </c>
      <c r="L1353">
        <f>IFERROR(MATCH($C$5&amp;"|"&amp;RIGHT("000000"&amp;1337,6),LdgRankKeyA,0),"")</f>
        <v/>
      </c>
      <c r="M1353">
        <f>IFERROR(MATCH($C$5&amp;"|"&amp;RIGHT("000000"&amp;1337,6),LdgRankKeyB,0),"")</f>
        <v/>
      </c>
    </row>
    <row r="1354">
      <c r="A1354" s="23" t="n">
        <v>1338</v>
      </c>
      <c r="B1354" s="24">
        <f>IF(AND($L1354="",$M1354=""),"",IF($L1354&lt;&gt;"",INDEX(SCNormDate,$L1354),INDEX(LdgDateB,$M1354)))</f>
        <v/>
      </c>
      <c r="C1354" s="24">
        <f>IF($L1354&lt;&gt;"",INDEX(SCOp,$L1354),IF($M1354&lt;&gt;"","پرداخت بانکی",""))</f>
        <v/>
      </c>
      <c r="D1354" s="24">
        <f>IF($L1354&lt;&gt;"",IF(INDEX(SCDoc,$L1354)="","—",INDEX(SCDoc,$L1354)),IF($M1354&lt;&gt;"",INDEX(LdgBankB,$M1354),""))</f>
        <v/>
      </c>
      <c r="E1354" s="25">
        <f>IF($L1354&lt;&gt;"",IF(INDEX(SCCitrus,$L1354)&amp;INDEX(SCNotes,$L1354)="","",IF(INDEX(SCCitrus,$L1354)="","",INDEX(SCCitrus,$L1354))&amp;IF(INDEX(SCNotes,$L1354)="",""," — "&amp;INDEX(SCNotes,$L1354))),IF($M1354&lt;&gt;"",IF(INDEX(LdgNoteB,$M1354)="","—",INDEX(LdgNoteB,$M1354)),""))</f>
        <v/>
      </c>
      <c r="F1354" s="26">
        <f>IF($L1354&lt;&gt;"",IF(INDEX(SCNet,$L1354)=0,"",INDEX(SCNet,$L1354)),"")</f>
        <v/>
      </c>
      <c r="G1354" s="27">
        <f>IF($L1354&lt;&gt;"",IF(INDEX(SCOp,$L1354)="مرجوعی فروش","",IF(INDEX(SCAmount,$L1354)&lt;=0,"",INDEX(SCAmount,$L1354))),IF($M1354&lt;&gt;"",IF(INDEX(LdgWitB,$M1354)=0,"",INDEX(LdgWitB,$M1354)),""))</f>
        <v/>
      </c>
      <c r="H1354" s="27">
        <f>IF($L1354&lt;&gt;"",IF(INDEX(SCOp,$L1354)="مرجوعی فروش",IF(INDEX(SCAmount,$L1354)=0,"",-INDEX(SCAmount,$L1354)),""),IF($M1354&lt;&gt;"",IF(INDEX(LdgDepB,$M1354)=0,"",INDEX(LdgDepB,$M1354)),""))</f>
        <v/>
      </c>
      <c r="I1354" s="28">
        <f>IF($B1354="","",IF($I1353="",$C$10,$I1353)+IF($G1354="",0,$G1354)-IF($H1354="",0,$H1354))</f>
        <v/>
      </c>
      <c r="L1354">
        <f>IFERROR(MATCH($C$5&amp;"|"&amp;RIGHT("000000"&amp;1338,6),LdgRankKeyA,0),"")</f>
        <v/>
      </c>
      <c r="M1354">
        <f>IFERROR(MATCH($C$5&amp;"|"&amp;RIGHT("000000"&amp;1338,6),LdgRankKeyB,0),"")</f>
        <v/>
      </c>
    </row>
    <row r="1355">
      <c r="A1355" s="17" t="n">
        <v>1339</v>
      </c>
      <c r="B1355" s="18">
        <f>IF(AND($L1355="",$M1355=""),"",IF($L1355&lt;&gt;"",INDEX(SCNormDate,$L1355),INDEX(LdgDateB,$M1355)))</f>
        <v/>
      </c>
      <c r="C1355" s="18">
        <f>IF($L1355&lt;&gt;"",INDEX(SCOp,$L1355),IF($M1355&lt;&gt;"","پرداخت بانکی",""))</f>
        <v/>
      </c>
      <c r="D1355" s="18">
        <f>IF($L1355&lt;&gt;"",IF(INDEX(SCDoc,$L1355)="","—",INDEX(SCDoc,$L1355)),IF($M1355&lt;&gt;"",INDEX(LdgBankB,$M1355),""))</f>
        <v/>
      </c>
      <c r="E1355" s="19">
        <f>IF($L1355&lt;&gt;"",IF(INDEX(SCCitrus,$L1355)&amp;INDEX(SCNotes,$L1355)="","",IF(INDEX(SCCitrus,$L1355)="","",INDEX(SCCitrus,$L1355))&amp;IF(INDEX(SCNotes,$L1355)="",""," — "&amp;INDEX(SCNotes,$L1355))),IF($M1355&lt;&gt;"",IF(INDEX(LdgNoteB,$M1355)="","—",INDEX(LdgNoteB,$M1355)),""))</f>
        <v/>
      </c>
      <c r="F1355" s="20">
        <f>IF($L1355&lt;&gt;"",IF(INDEX(SCNet,$L1355)=0,"",INDEX(SCNet,$L1355)),"")</f>
        <v/>
      </c>
      <c r="G1355" s="21">
        <f>IF($L1355&lt;&gt;"",IF(INDEX(SCOp,$L1355)="مرجوعی فروش","",IF(INDEX(SCAmount,$L1355)&lt;=0,"",INDEX(SCAmount,$L1355))),IF($M1355&lt;&gt;"",IF(INDEX(LdgWitB,$M1355)=0,"",INDEX(LdgWitB,$M1355)),""))</f>
        <v/>
      </c>
      <c r="H1355" s="21">
        <f>IF($L1355&lt;&gt;"",IF(INDEX(SCOp,$L1355)="مرجوعی فروش",IF(INDEX(SCAmount,$L1355)=0,"",-INDEX(SCAmount,$L1355)),""),IF($M1355&lt;&gt;"",IF(INDEX(LdgDepB,$M1355)=0,"",INDEX(LdgDepB,$M1355)),""))</f>
        <v/>
      </c>
      <c r="I1355" s="22">
        <f>IF($B1355="","",IF($I1354="",$C$10,$I1354)+IF($G1355="",0,$G1355)-IF($H1355="",0,$H1355))</f>
        <v/>
      </c>
      <c r="L1355">
        <f>IFERROR(MATCH($C$5&amp;"|"&amp;RIGHT("000000"&amp;1339,6),LdgRankKeyA,0),"")</f>
        <v/>
      </c>
      <c r="M1355">
        <f>IFERROR(MATCH($C$5&amp;"|"&amp;RIGHT("000000"&amp;1339,6),LdgRankKeyB,0),"")</f>
        <v/>
      </c>
    </row>
    <row r="1356">
      <c r="A1356" s="23" t="n">
        <v>1340</v>
      </c>
      <c r="B1356" s="24">
        <f>IF(AND($L1356="",$M1356=""),"",IF($L1356&lt;&gt;"",INDEX(SCNormDate,$L1356),INDEX(LdgDateB,$M1356)))</f>
        <v/>
      </c>
      <c r="C1356" s="24">
        <f>IF($L1356&lt;&gt;"",INDEX(SCOp,$L1356),IF($M1356&lt;&gt;"","پرداخت بانکی",""))</f>
        <v/>
      </c>
      <c r="D1356" s="24">
        <f>IF($L1356&lt;&gt;"",IF(INDEX(SCDoc,$L1356)="","—",INDEX(SCDoc,$L1356)),IF($M1356&lt;&gt;"",INDEX(LdgBankB,$M1356),""))</f>
        <v/>
      </c>
      <c r="E1356" s="25">
        <f>IF($L1356&lt;&gt;"",IF(INDEX(SCCitrus,$L1356)&amp;INDEX(SCNotes,$L1356)="","",IF(INDEX(SCCitrus,$L1356)="","",INDEX(SCCitrus,$L1356))&amp;IF(INDEX(SCNotes,$L1356)="",""," — "&amp;INDEX(SCNotes,$L1356))),IF($M1356&lt;&gt;"",IF(INDEX(LdgNoteB,$M1356)="","—",INDEX(LdgNoteB,$M1356)),""))</f>
        <v/>
      </c>
      <c r="F1356" s="26">
        <f>IF($L1356&lt;&gt;"",IF(INDEX(SCNet,$L1356)=0,"",INDEX(SCNet,$L1356)),"")</f>
        <v/>
      </c>
      <c r="G1356" s="27">
        <f>IF($L1356&lt;&gt;"",IF(INDEX(SCOp,$L1356)="مرجوعی فروش","",IF(INDEX(SCAmount,$L1356)&lt;=0,"",INDEX(SCAmount,$L1356))),IF($M1356&lt;&gt;"",IF(INDEX(LdgWitB,$M1356)=0,"",INDEX(LdgWitB,$M1356)),""))</f>
        <v/>
      </c>
      <c r="H1356" s="27">
        <f>IF($L1356&lt;&gt;"",IF(INDEX(SCOp,$L1356)="مرجوعی فروش",IF(INDEX(SCAmount,$L1356)=0,"",-INDEX(SCAmount,$L1356)),""),IF($M1356&lt;&gt;"",IF(INDEX(LdgDepB,$M1356)=0,"",INDEX(LdgDepB,$M1356)),""))</f>
        <v/>
      </c>
      <c r="I1356" s="28">
        <f>IF($B1356="","",IF($I1355="",$C$10,$I1355)+IF($G1356="",0,$G1356)-IF($H1356="",0,$H1356))</f>
        <v/>
      </c>
      <c r="L1356">
        <f>IFERROR(MATCH($C$5&amp;"|"&amp;RIGHT("000000"&amp;1340,6),LdgRankKeyA,0),"")</f>
        <v/>
      </c>
      <c r="M1356">
        <f>IFERROR(MATCH($C$5&amp;"|"&amp;RIGHT("000000"&amp;1340,6),LdgRankKeyB,0),"")</f>
        <v/>
      </c>
    </row>
    <row r="1357">
      <c r="A1357" s="17" t="n">
        <v>1341</v>
      </c>
      <c r="B1357" s="18">
        <f>IF(AND($L1357="",$M1357=""),"",IF($L1357&lt;&gt;"",INDEX(SCNormDate,$L1357),INDEX(LdgDateB,$M1357)))</f>
        <v/>
      </c>
      <c r="C1357" s="18">
        <f>IF($L1357&lt;&gt;"",INDEX(SCOp,$L1357),IF($M1357&lt;&gt;"","پرداخت بانکی",""))</f>
        <v/>
      </c>
      <c r="D1357" s="18">
        <f>IF($L1357&lt;&gt;"",IF(INDEX(SCDoc,$L1357)="","—",INDEX(SCDoc,$L1357)),IF($M1357&lt;&gt;"",INDEX(LdgBankB,$M1357),""))</f>
        <v/>
      </c>
      <c r="E1357" s="19">
        <f>IF($L1357&lt;&gt;"",IF(INDEX(SCCitrus,$L1357)&amp;INDEX(SCNotes,$L1357)="","",IF(INDEX(SCCitrus,$L1357)="","",INDEX(SCCitrus,$L1357))&amp;IF(INDEX(SCNotes,$L1357)="",""," — "&amp;INDEX(SCNotes,$L1357))),IF($M1357&lt;&gt;"",IF(INDEX(LdgNoteB,$M1357)="","—",INDEX(LdgNoteB,$M1357)),""))</f>
        <v/>
      </c>
      <c r="F1357" s="20">
        <f>IF($L1357&lt;&gt;"",IF(INDEX(SCNet,$L1357)=0,"",INDEX(SCNet,$L1357)),"")</f>
        <v/>
      </c>
      <c r="G1357" s="21">
        <f>IF($L1357&lt;&gt;"",IF(INDEX(SCOp,$L1357)="مرجوعی فروش","",IF(INDEX(SCAmount,$L1357)&lt;=0,"",INDEX(SCAmount,$L1357))),IF($M1357&lt;&gt;"",IF(INDEX(LdgWitB,$M1357)=0,"",INDEX(LdgWitB,$M1357)),""))</f>
        <v/>
      </c>
      <c r="H1357" s="21">
        <f>IF($L1357&lt;&gt;"",IF(INDEX(SCOp,$L1357)="مرجوعی فروش",IF(INDEX(SCAmount,$L1357)=0,"",-INDEX(SCAmount,$L1357)),""),IF($M1357&lt;&gt;"",IF(INDEX(LdgDepB,$M1357)=0,"",INDEX(LdgDepB,$M1357)),""))</f>
        <v/>
      </c>
      <c r="I1357" s="22">
        <f>IF($B1357="","",IF($I1356="",$C$10,$I1356)+IF($G1357="",0,$G1357)-IF($H1357="",0,$H1357))</f>
        <v/>
      </c>
      <c r="L1357">
        <f>IFERROR(MATCH($C$5&amp;"|"&amp;RIGHT("000000"&amp;1341,6),LdgRankKeyA,0),"")</f>
        <v/>
      </c>
      <c r="M1357">
        <f>IFERROR(MATCH($C$5&amp;"|"&amp;RIGHT("000000"&amp;1341,6),LdgRankKeyB,0),"")</f>
        <v/>
      </c>
    </row>
    <row r="1358">
      <c r="A1358" s="23" t="n">
        <v>1342</v>
      </c>
      <c r="B1358" s="24">
        <f>IF(AND($L1358="",$M1358=""),"",IF($L1358&lt;&gt;"",INDEX(SCNormDate,$L1358),INDEX(LdgDateB,$M1358)))</f>
        <v/>
      </c>
      <c r="C1358" s="24">
        <f>IF($L1358&lt;&gt;"",INDEX(SCOp,$L1358),IF($M1358&lt;&gt;"","پرداخت بانکی",""))</f>
        <v/>
      </c>
      <c r="D1358" s="24">
        <f>IF($L1358&lt;&gt;"",IF(INDEX(SCDoc,$L1358)="","—",INDEX(SCDoc,$L1358)),IF($M1358&lt;&gt;"",INDEX(LdgBankB,$M1358),""))</f>
        <v/>
      </c>
      <c r="E1358" s="25">
        <f>IF($L1358&lt;&gt;"",IF(INDEX(SCCitrus,$L1358)&amp;INDEX(SCNotes,$L1358)="","",IF(INDEX(SCCitrus,$L1358)="","",INDEX(SCCitrus,$L1358))&amp;IF(INDEX(SCNotes,$L1358)="",""," — "&amp;INDEX(SCNotes,$L1358))),IF($M1358&lt;&gt;"",IF(INDEX(LdgNoteB,$M1358)="","—",INDEX(LdgNoteB,$M1358)),""))</f>
        <v/>
      </c>
      <c r="F1358" s="26">
        <f>IF($L1358&lt;&gt;"",IF(INDEX(SCNet,$L1358)=0,"",INDEX(SCNet,$L1358)),"")</f>
        <v/>
      </c>
      <c r="G1358" s="27">
        <f>IF($L1358&lt;&gt;"",IF(INDEX(SCOp,$L1358)="مرجوعی فروش","",IF(INDEX(SCAmount,$L1358)&lt;=0,"",INDEX(SCAmount,$L1358))),IF($M1358&lt;&gt;"",IF(INDEX(LdgWitB,$M1358)=0,"",INDEX(LdgWitB,$M1358)),""))</f>
        <v/>
      </c>
      <c r="H1358" s="27">
        <f>IF($L1358&lt;&gt;"",IF(INDEX(SCOp,$L1358)="مرجوعی فروش",IF(INDEX(SCAmount,$L1358)=0,"",-INDEX(SCAmount,$L1358)),""),IF($M1358&lt;&gt;"",IF(INDEX(LdgDepB,$M1358)=0,"",INDEX(LdgDepB,$M1358)),""))</f>
        <v/>
      </c>
      <c r="I1358" s="28">
        <f>IF($B1358="","",IF($I1357="",$C$10,$I1357)+IF($G1358="",0,$G1358)-IF($H1358="",0,$H1358))</f>
        <v/>
      </c>
      <c r="L1358">
        <f>IFERROR(MATCH($C$5&amp;"|"&amp;RIGHT("000000"&amp;1342,6),LdgRankKeyA,0),"")</f>
        <v/>
      </c>
      <c r="M1358">
        <f>IFERROR(MATCH($C$5&amp;"|"&amp;RIGHT("000000"&amp;1342,6),LdgRankKeyB,0),"")</f>
        <v/>
      </c>
    </row>
    <row r="1359">
      <c r="A1359" s="17" t="n">
        <v>1343</v>
      </c>
      <c r="B1359" s="18">
        <f>IF(AND($L1359="",$M1359=""),"",IF($L1359&lt;&gt;"",INDEX(SCNormDate,$L1359),INDEX(LdgDateB,$M1359)))</f>
        <v/>
      </c>
      <c r="C1359" s="18">
        <f>IF($L1359&lt;&gt;"",INDEX(SCOp,$L1359),IF($M1359&lt;&gt;"","پرداخت بانکی",""))</f>
        <v/>
      </c>
      <c r="D1359" s="18">
        <f>IF($L1359&lt;&gt;"",IF(INDEX(SCDoc,$L1359)="","—",INDEX(SCDoc,$L1359)),IF($M1359&lt;&gt;"",INDEX(LdgBankB,$M1359),""))</f>
        <v/>
      </c>
      <c r="E1359" s="19">
        <f>IF($L1359&lt;&gt;"",IF(INDEX(SCCitrus,$L1359)&amp;INDEX(SCNotes,$L1359)="","",IF(INDEX(SCCitrus,$L1359)="","",INDEX(SCCitrus,$L1359))&amp;IF(INDEX(SCNotes,$L1359)="",""," — "&amp;INDEX(SCNotes,$L1359))),IF($M1359&lt;&gt;"",IF(INDEX(LdgNoteB,$M1359)="","—",INDEX(LdgNoteB,$M1359)),""))</f>
        <v/>
      </c>
      <c r="F1359" s="20">
        <f>IF($L1359&lt;&gt;"",IF(INDEX(SCNet,$L1359)=0,"",INDEX(SCNet,$L1359)),"")</f>
        <v/>
      </c>
      <c r="G1359" s="21">
        <f>IF($L1359&lt;&gt;"",IF(INDEX(SCOp,$L1359)="مرجوعی فروش","",IF(INDEX(SCAmount,$L1359)&lt;=0,"",INDEX(SCAmount,$L1359))),IF($M1359&lt;&gt;"",IF(INDEX(LdgWitB,$M1359)=0,"",INDEX(LdgWitB,$M1359)),""))</f>
        <v/>
      </c>
      <c r="H1359" s="21">
        <f>IF($L1359&lt;&gt;"",IF(INDEX(SCOp,$L1359)="مرجوعی فروش",IF(INDEX(SCAmount,$L1359)=0,"",-INDEX(SCAmount,$L1359)),""),IF($M1359&lt;&gt;"",IF(INDEX(LdgDepB,$M1359)=0,"",INDEX(LdgDepB,$M1359)),""))</f>
        <v/>
      </c>
      <c r="I1359" s="22">
        <f>IF($B1359="","",IF($I1358="",$C$10,$I1358)+IF($G1359="",0,$G1359)-IF($H1359="",0,$H1359))</f>
        <v/>
      </c>
      <c r="L1359">
        <f>IFERROR(MATCH($C$5&amp;"|"&amp;RIGHT("000000"&amp;1343,6),LdgRankKeyA,0),"")</f>
        <v/>
      </c>
      <c r="M1359">
        <f>IFERROR(MATCH($C$5&amp;"|"&amp;RIGHT("000000"&amp;1343,6),LdgRankKeyB,0),"")</f>
        <v/>
      </c>
    </row>
    <row r="1360">
      <c r="A1360" s="23" t="n">
        <v>1344</v>
      </c>
      <c r="B1360" s="24">
        <f>IF(AND($L1360="",$M1360=""),"",IF($L1360&lt;&gt;"",INDEX(SCNormDate,$L1360),INDEX(LdgDateB,$M1360)))</f>
        <v/>
      </c>
      <c r="C1360" s="24">
        <f>IF($L1360&lt;&gt;"",INDEX(SCOp,$L1360),IF($M1360&lt;&gt;"","پرداخت بانکی",""))</f>
        <v/>
      </c>
      <c r="D1360" s="24">
        <f>IF($L1360&lt;&gt;"",IF(INDEX(SCDoc,$L1360)="","—",INDEX(SCDoc,$L1360)),IF($M1360&lt;&gt;"",INDEX(LdgBankB,$M1360),""))</f>
        <v/>
      </c>
      <c r="E1360" s="25">
        <f>IF($L1360&lt;&gt;"",IF(INDEX(SCCitrus,$L1360)&amp;INDEX(SCNotes,$L1360)="","",IF(INDEX(SCCitrus,$L1360)="","",INDEX(SCCitrus,$L1360))&amp;IF(INDEX(SCNotes,$L1360)="",""," — "&amp;INDEX(SCNotes,$L1360))),IF($M1360&lt;&gt;"",IF(INDEX(LdgNoteB,$M1360)="","—",INDEX(LdgNoteB,$M1360)),""))</f>
        <v/>
      </c>
      <c r="F1360" s="26">
        <f>IF($L1360&lt;&gt;"",IF(INDEX(SCNet,$L1360)=0,"",INDEX(SCNet,$L1360)),"")</f>
        <v/>
      </c>
      <c r="G1360" s="27">
        <f>IF($L1360&lt;&gt;"",IF(INDEX(SCOp,$L1360)="مرجوعی فروش","",IF(INDEX(SCAmount,$L1360)&lt;=0,"",INDEX(SCAmount,$L1360))),IF($M1360&lt;&gt;"",IF(INDEX(LdgWitB,$M1360)=0,"",INDEX(LdgWitB,$M1360)),""))</f>
        <v/>
      </c>
      <c r="H1360" s="27">
        <f>IF($L1360&lt;&gt;"",IF(INDEX(SCOp,$L1360)="مرجوعی فروش",IF(INDEX(SCAmount,$L1360)=0,"",-INDEX(SCAmount,$L1360)),""),IF($M1360&lt;&gt;"",IF(INDEX(LdgDepB,$M1360)=0,"",INDEX(LdgDepB,$M1360)),""))</f>
        <v/>
      </c>
      <c r="I1360" s="28">
        <f>IF($B1360="","",IF($I1359="",$C$10,$I1359)+IF($G1360="",0,$G1360)-IF($H1360="",0,$H1360))</f>
        <v/>
      </c>
      <c r="L1360">
        <f>IFERROR(MATCH($C$5&amp;"|"&amp;RIGHT("000000"&amp;1344,6),LdgRankKeyA,0),"")</f>
        <v/>
      </c>
      <c r="M1360">
        <f>IFERROR(MATCH($C$5&amp;"|"&amp;RIGHT("000000"&amp;1344,6),LdgRankKeyB,0),"")</f>
        <v/>
      </c>
    </row>
    <row r="1361">
      <c r="A1361" s="17" t="n">
        <v>1345</v>
      </c>
      <c r="B1361" s="18">
        <f>IF(AND($L1361="",$M1361=""),"",IF($L1361&lt;&gt;"",INDEX(SCNormDate,$L1361),INDEX(LdgDateB,$M1361)))</f>
        <v/>
      </c>
      <c r="C1361" s="18">
        <f>IF($L1361&lt;&gt;"",INDEX(SCOp,$L1361),IF($M1361&lt;&gt;"","پرداخت بانکی",""))</f>
        <v/>
      </c>
      <c r="D1361" s="18">
        <f>IF($L1361&lt;&gt;"",IF(INDEX(SCDoc,$L1361)="","—",INDEX(SCDoc,$L1361)),IF($M1361&lt;&gt;"",INDEX(LdgBankB,$M1361),""))</f>
        <v/>
      </c>
      <c r="E1361" s="19">
        <f>IF($L1361&lt;&gt;"",IF(INDEX(SCCitrus,$L1361)&amp;INDEX(SCNotes,$L1361)="","",IF(INDEX(SCCitrus,$L1361)="","",INDEX(SCCitrus,$L1361))&amp;IF(INDEX(SCNotes,$L1361)="",""," — "&amp;INDEX(SCNotes,$L1361))),IF($M1361&lt;&gt;"",IF(INDEX(LdgNoteB,$M1361)="","—",INDEX(LdgNoteB,$M1361)),""))</f>
        <v/>
      </c>
      <c r="F1361" s="20">
        <f>IF($L1361&lt;&gt;"",IF(INDEX(SCNet,$L1361)=0,"",INDEX(SCNet,$L1361)),"")</f>
        <v/>
      </c>
      <c r="G1361" s="21">
        <f>IF($L1361&lt;&gt;"",IF(INDEX(SCOp,$L1361)="مرجوعی فروش","",IF(INDEX(SCAmount,$L1361)&lt;=0,"",INDEX(SCAmount,$L1361))),IF($M1361&lt;&gt;"",IF(INDEX(LdgWitB,$M1361)=0,"",INDEX(LdgWitB,$M1361)),""))</f>
        <v/>
      </c>
      <c r="H1361" s="21">
        <f>IF($L1361&lt;&gt;"",IF(INDEX(SCOp,$L1361)="مرجوعی فروش",IF(INDEX(SCAmount,$L1361)=0,"",-INDEX(SCAmount,$L1361)),""),IF($M1361&lt;&gt;"",IF(INDEX(LdgDepB,$M1361)=0,"",INDEX(LdgDepB,$M1361)),""))</f>
        <v/>
      </c>
      <c r="I1361" s="22">
        <f>IF($B1361="","",IF($I1360="",$C$10,$I1360)+IF($G1361="",0,$G1361)-IF($H1361="",0,$H1361))</f>
        <v/>
      </c>
      <c r="L1361">
        <f>IFERROR(MATCH($C$5&amp;"|"&amp;RIGHT("000000"&amp;1345,6),LdgRankKeyA,0),"")</f>
        <v/>
      </c>
      <c r="M1361">
        <f>IFERROR(MATCH($C$5&amp;"|"&amp;RIGHT("000000"&amp;1345,6),LdgRankKeyB,0),"")</f>
        <v/>
      </c>
    </row>
    <row r="1362">
      <c r="A1362" s="23" t="n">
        <v>1346</v>
      </c>
      <c r="B1362" s="24">
        <f>IF(AND($L1362="",$M1362=""),"",IF($L1362&lt;&gt;"",INDEX(SCNormDate,$L1362),INDEX(LdgDateB,$M1362)))</f>
        <v/>
      </c>
      <c r="C1362" s="24">
        <f>IF($L1362&lt;&gt;"",INDEX(SCOp,$L1362),IF($M1362&lt;&gt;"","پرداخت بانکی",""))</f>
        <v/>
      </c>
      <c r="D1362" s="24">
        <f>IF($L1362&lt;&gt;"",IF(INDEX(SCDoc,$L1362)="","—",INDEX(SCDoc,$L1362)),IF($M1362&lt;&gt;"",INDEX(LdgBankB,$M1362),""))</f>
        <v/>
      </c>
      <c r="E1362" s="25">
        <f>IF($L1362&lt;&gt;"",IF(INDEX(SCCitrus,$L1362)&amp;INDEX(SCNotes,$L1362)="","",IF(INDEX(SCCitrus,$L1362)="","",INDEX(SCCitrus,$L1362))&amp;IF(INDEX(SCNotes,$L1362)="",""," — "&amp;INDEX(SCNotes,$L1362))),IF($M1362&lt;&gt;"",IF(INDEX(LdgNoteB,$M1362)="","—",INDEX(LdgNoteB,$M1362)),""))</f>
        <v/>
      </c>
      <c r="F1362" s="26">
        <f>IF($L1362&lt;&gt;"",IF(INDEX(SCNet,$L1362)=0,"",INDEX(SCNet,$L1362)),"")</f>
        <v/>
      </c>
      <c r="G1362" s="27">
        <f>IF($L1362&lt;&gt;"",IF(INDEX(SCOp,$L1362)="مرجوعی فروش","",IF(INDEX(SCAmount,$L1362)&lt;=0,"",INDEX(SCAmount,$L1362))),IF($M1362&lt;&gt;"",IF(INDEX(LdgWitB,$M1362)=0,"",INDEX(LdgWitB,$M1362)),""))</f>
        <v/>
      </c>
      <c r="H1362" s="27">
        <f>IF($L1362&lt;&gt;"",IF(INDEX(SCOp,$L1362)="مرجوعی فروش",IF(INDEX(SCAmount,$L1362)=0,"",-INDEX(SCAmount,$L1362)),""),IF($M1362&lt;&gt;"",IF(INDEX(LdgDepB,$M1362)=0,"",INDEX(LdgDepB,$M1362)),""))</f>
        <v/>
      </c>
      <c r="I1362" s="28">
        <f>IF($B1362="","",IF($I1361="",$C$10,$I1361)+IF($G1362="",0,$G1362)-IF($H1362="",0,$H1362))</f>
        <v/>
      </c>
      <c r="L1362">
        <f>IFERROR(MATCH($C$5&amp;"|"&amp;RIGHT("000000"&amp;1346,6),LdgRankKeyA,0),"")</f>
        <v/>
      </c>
      <c r="M1362">
        <f>IFERROR(MATCH($C$5&amp;"|"&amp;RIGHT("000000"&amp;1346,6),LdgRankKeyB,0),"")</f>
        <v/>
      </c>
    </row>
    <row r="1363">
      <c r="A1363" s="17" t="n">
        <v>1347</v>
      </c>
      <c r="B1363" s="18">
        <f>IF(AND($L1363="",$M1363=""),"",IF($L1363&lt;&gt;"",INDEX(SCNormDate,$L1363),INDEX(LdgDateB,$M1363)))</f>
        <v/>
      </c>
      <c r="C1363" s="18">
        <f>IF($L1363&lt;&gt;"",INDEX(SCOp,$L1363),IF($M1363&lt;&gt;"","پرداخت بانکی",""))</f>
        <v/>
      </c>
      <c r="D1363" s="18">
        <f>IF($L1363&lt;&gt;"",IF(INDEX(SCDoc,$L1363)="","—",INDEX(SCDoc,$L1363)),IF($M1363&lt;&gt;"",INDEX(LdgBankB,$M1363),""))</f>
        <v/>
      </c>
      <c r="E1363" s="19">
        <f>IF($L1363&lt;&gt;"",IF(INDEX(SCCitrus,$L1363)&amp;INDEX(SCNotes,$L1363)="","",IF(INDEX(SCCitrus,$L1363)="","",INDEX(SCCitrus,$L1363))&amp;IF(INDEX(SCNotes,$L1363)="",""," — "&amp;INDEX(SCNotes,$L1363))),IF($M1363&lt;&gt;"",IF(INDEX(LdgNoteB,$M1363)="","—",INDEX(LdgNoteB,$M1363)),""))</f>
        <v/>
      </c>
      <c r="F1363" s="20">
        <f>IF($L1363&lt;&gt;"",IF(INDEX(SCNet,$L1363)=0,"",INDEX(SCNet,$L1363)),"")</f>
        <v/>
      </c>
      <c r="G1363" s="21">
        <f>IF($L1363&lt;&gt;"",IF(INDEX(SCOp,$L1363)="مرجوعی فروش","",IF(INDEX(SCAmount,$L1363)&lt;=0,"",INDEX(SCAmount,$L1363))),IF($M1363&lt;&gt;"",IF(INDEX(LdgWitB,$M1363)=0,"",INDEX(LdgWitB,$M1363)),""))</f>
        <v/>
      </c>
      <c r="H1363" s="21">
        <f>IF($L1363&lt;&gt;"",IF(INDEX(SCOp,$L1363)="مرجوعی فروش",IF(INDEX(SCAmount,$L1363)=0,"",-INDEX(SCAmount,$L1363)),""),IF($M1363&lt;&gt;"",IF(INDEX(LdgDepB,$M1363)=0,"",INDEX(LdgDepB,$M1363)),""))</f>
        <v/>
      </c>
      <c r="I1363" s="22">
        <f>IF($B1363="","",IF($I1362="",$C$10,$I1362)+IF($G1363="",0,$G1363)-IF($H1363="",0,$H1363))</f>
        <v/>
      </c>
      <c r="L1363">
        <f>IFERROR(MATCH($C$5&amp;"|"&amp;RIGHT("000000"&amp;1347,6),LdgRankKeyA,0),"")</f>
        <v/>
      </c>
      <c r="M1363">
        <f>IFERROR(MATCH($C$5&amp;"|"&amp;RIGHT("000000"&amp;1347,6),LdgRankKeyB,0),"")</f>
        <v/>
      </c>
    </row>
    <row r="1364">
      <c r="A1364" s="23" t="n">
        <v>1348</v>
      </c>
      <c r="B1364" s="24">
        <f>IF(AND($L1364="",$M1364=""),"",IF($L1364&lt;&gt;"",INDEX(SCNormDate,$L1364),INDEX(LdgDateB,$M1364)))</f>
        <v/>
      </c>
      <c r="C1364" s="24">
        <f>IF($L1364&lt;&gt;"",INDEX(SCOp,$L1364),IF($M1364&lt;&gt;"","پرداخت بانکی",""))</f>
        <v/>
      </c>
      <c r="D1364" s="24">
        <f>IF($L1364&lt;&gt;"",IF(INDEX(SCDoc,$L1364)="","—",INDEX(SCDoc,$L1364)),IF($M1364&lt;&gt;"",INDEX(LdgBankB,$M1364),""))</f>
        <v/>
      </c>
      <c r="E1364" s="25">
        <f>IF($L1364&lt;&gt;"",IF(INDEX(SCCitrus,$L1364)&amp;INDEX(SCNotes,$L1364)="","",IF(INDEX(SCCitrus,$L1364)="","",INDEX(SCCitrus,$L1364))&amp;IF(INDEX(SCNotes,$L1364)="",""," — "&amp;INDEX(SCNotes,$L1364))),IF($M1364&lt;&gt;"",IF(INDEX(LdgNoteB,$M1364)="","—",INDEX(LdgNoteB,$M1364)),""))</f>
        <v/>
      </c>
      <c r="F1364" s="26">
        <f>IF($L1364&lt;&gt;"",IF(INDEX(SCNet,$L1364)=0,"",INDEX(SCNet,$L1364)),"")</f>
        <v/>
      </c>
      <c r="G1364" s="27">
        <f>IF($L1364&lt;&gt;"",IF(INDEX(SCOp,$L1364)="مرجوعی فروش","",IF(INDEX(SCAmount,$L1364)&lt;=0,"",INDEX(SCAmount,$L1364))),IF($M1364&lt;&gt;"",IF(INDEX(LdgWitB,$M1364)=0,"",INDEX(LdgWitB,$M1364)),""))</f>
        <v/>
      </c>
      <c r="H1364" s="27">
        <f>IF($L1364&lt;&gt;"",IF(INDEX(SCOp,$L1364)="مرجوعی فروش",IF(INDEX(SCAmount,$L1364)=0,"",-INDEX(SCAmount,$L1364)),""),IF($M1364&lt;&gt;"",IF(INDEX(LdgDepB,$M1364)=0,"",INDEX(LdgDepB,$M1364)),""))</f>
        <v/>
      </c>
      <c r="I1364" s="28">
        <f>IF($B1364="","",IF($I1363="",$C$10,$I1363)+IF($G1364="",0,$G1364)-IF($H1364="",0,$H1364))</f>
        <v/>
      </c>
      <c r="L1364">
        <f>IFERROR(MATCH($C$5&amp;"|"&amp;RIGHT("000000"&amp;1348,6),LdgRankKeyA,0),"")</f>
        <v/>
      </c>
      <c r="M1364">
        <f>IFERROR(MATCH($C$5&amp;"|"&amp;RIGHT("000000"&amp;1348,6),LdgRankKeyB,0),"")</f>
        <v/>
      </c>
    </row>
    <row r="1365">
      <c r="A1365" s="17" t="n">
        <v>1349</v>
      </c>
      <c r="B1365" s="18">
        <f>IF(AND($L1365="",$M1365=""),"",IF($L1365&lt;&gt;"",INDEX(SCNormDate,$L1365),INDEX(LdgDateB,$M1365)))</f>
        <v/>
      </c>
      <c r="C1365" s="18">
        <f>IF($L1365&lt;&gt;"",INDEX(SCOp,$L1365),IF($M1365&lt;&gt;"","پرداخت بانکی",""))</f>
        <v/>
      </c>
      <c r="D1365" s="18">
        <f>IF($L1365&lt;&gt;"",IF(INDEX(SCDoc,$L1365)="","—",INDEX(SCDoc,$L1365)),IF($M1365&lt;&gt;"",INDEX(LdgBankB,$M1365),""))</f>
        <v/>
      </c>
      <c r="E1365" s="19">
        <f>IF($L1365&lt;&gt;"",IF(INDEX(SCCitrus,$L1365)&amp;INDEX(SCNotes,$L1365)="","",IF(INDEX(SCCitrus,$L1365)="","",INDEX(SCCitrus,$L1365))&amp;IF(INDEX(SCNotes,$L1365)="",""," — "&amp;INDEX(SCNotes,$L1365))),IF($M1365&lt;&gt;"",IF(INDEX(LdgNoteB,$M1365)="","—",INDEX(LdgNoteB,$M1365)),""))</f>
        <v/>
      </c>
      <c r="F1365" s="20">
        <f>IF($L1365&lt;&gt;"",IF(INDEX(SCNet,$L1365)=0,"",INDEX(SCNet,$L1365)),"")</f>
        <v/>
      </c>
      <c r="G1365" s="21">
        <f>IF($L1365&lt;&gt;"",IF(INDEX(SCOp,$L1365)="مرجوعی فروش","",IF(INDEX(SCAmount,$L1365)&lt;=0,"",INDEX(SCAmount,$L1365))),IF($M1365&lt;&gt;"",IF(INDEX(LdgWitB,$M1365)=0,"",INDEX(LdgWitB,$M1365)),""))</f>
        <v/>
      </c>
      <c r="H1365" s="21">
        <f>IF($L1365&lt;&gt;"",IF(INDEX(SCOp,$L1365)="مرجوعی فروش",IF(INDEX(SCAmount,$L1365)=0,"",-INDEX(SCAmount,$L1365)),""),IF($M1365&lt;&gt;"",IF(INDEX(LdgDepB,$M1365)=0,"",INDEX(LdgDepB,$M1365)),""))</f>
        <v/>
      </c>
      <c r="I1365" s="22">
        <f>IF($B1365="","",IF($I1364="",$C$10,$I1364)+IF($G1365="",0,$G1365)-IF($H1365="",0,$H1365))</f>
        <v/>
      </c>
      <c r="L1365">
        <f>IFERROR(MATCH($C$5&amp;"|"&amp;RIGHT("000000"&amp;1349,6),LdgRankKeyA,0),"")</f>
        <v/>
      </c>
      <c r="M1365">
        <f>IFERROR(MATCH($C$5&amp;"|"&amp;RIGHT("000000"&amp;1349,6),LdgRankKeyB,0),"")</f>
        <v/>
      </c>
    </row>
    <row r="1366">
      <c r="A1366" s="23" t="n">
        <v>1350</v>
      </c>
      <c r="B1366" s="24">
        <f>IF(AND($L1366="",$M1366=""),"",IF($L1366&lt;&gt;"",INDEX(SCNormDate,$L1366),INDEX(LdgDateB,$M1366)))</f>
        <v/>
      </c>
      <c r="C1366" s="24">
        <f>IF($L1366&lt;&gt;"",INDEX(SCOp,$L1366),IF($M1366&lt;&gt;"","پرداخت بانکی",""))</f>
        <v/>
      </c>
      <c r="D1366" s="24">
        <f>IF($L1366&lt;&gt;"",IF(INDEX(SCDoc,$L1366)="","—",INDEX(SCDoc,$L1366)),IF($M1366&lt;&gt;"",INDEX(LdgBankB,$M1366),""))</f>
        <v/>
      </c>
      <c r="E1366" s="25">
        <f>IF($L1366&lt;&gt;"",IF(INDEX(SCCitrus,$L1366)&amp;INDEX(SCNotes,$L1366)="","",IF(INDEX(SCCitrus,$L1366)="","",INDEX(SCCitrus,$L1366))&amp;IF(INDEX(SCNotes,$L1366)="",""," — "&amp;INDEX(SCNotes,$L1366))),IF($M1366&lt;&gt;"",IF(INDEX(LdgNoteB,$M1366)="","—",INDEX(LdgNoteB,$M1366)),""))</f>
        <v/>
      </c>
      <c r="F1366" s="26">
        <f>IF($L1366&lt;&gt;"",IF(INDEX(SCNet,$L1366)=0,"",INDEX(SCNet,$L1366)),"")</f>
        <v/>
      </c>
      <c r="G1366" s="27">
        <f>IF($L1366&lt;&gt;"",IF(INDEX(SCOp,$L1366)="مرجوعی فروش","",IF(INDEX(SCAmount,$L1366)&lt;=0,"",INDEX(SCAmount,$L1366))),IF($M1366&lt;&gt;"",IF(INDEX(LdgWitB,$M1366)=0,"",INDEX(LdgWitB,$M1366)),""))</f>
        <v/>
      </c>
      <c r="H1366" s="27">
        <f>IF($L1366&lt;&gt;"",IF(INDEX(SCOp,$L1366)="مرجوعی فروش",IF(INDEX(SCAmount,$L1366)=0,"",-INDEX(SCAmount,$L1366)),""),IF($M1366&lt;&gt;"",IF(INDEX(LdgDepB,$M1366)=0,"",INDEX(LdgDepB,$M1366)),""))</f>
        <v/>
      </c>
      <c r="I1366" s="28">
        <f>IF($B1366="","",IF($I1365="",$C$10,$I1365)+IF($G1366="",0,$G1366)-IF($H1366="",0,$H1366))</f>
        <v/>
      </c>
      <c r="L1366">
        <f>IFERROR(MATCH($C$5&amp;"|"&amp;RIGHT("000000"&amp;1350,6),LdgRankKeyA,0),"")</f>
        <v/>
      </c>
      <c r="M1366">
        <f>IFERROR(MATCH($C$5&amp;"|"&amp;RIGHT("000000"&amp;1350,6),LdgRankKeyB,0),"")</f>
        <v/>
      </c>
    </row>
    <row r="1367">
      <c r="A1367" s="17" t="n">
        <v>1351</v>
      </c>
      <c r="B1367" s="18">
        <f>IF(AND($L1367="",$M1367=""),"",IF($L1367&lt;&gt;"",INDEX(SCNormDate,$L1367),INDEX(LdgDateB,$M1367)))</f>
        <v/>
      </c>
      <c r="C1367" s="18">
        <f>IF($L1367&lt;&gt;"",INDEX(SCOp,$L1367),IF($M1367&lt;&gt;"","پرداخت بانکی",""))</f>
        <v/>
      </c>
      <c r="D1367" s="18">
        <f>IF($L1367&lt;&gt;"",IF(INDEX(SCDoc,$L1367)="","—",INDEX(SCDoc,$L1367)),IF($M1367&lt;&gt;"",INDEX(LdgBankB,$M1367),""))</f>
        <v/>
      </c>
      <c r="E1367" s="19">
        <f>IF($L1367&lt;&gt;"",IF(INDEX(SCCitrus,$L1367)&amp;INDEX(SCNotes,$L1367)="","",IF(INDEX(SCCitrus,$L1367)="","",INDEX(SCCitrus,$L1367))&amp;IF(INDEX(SCNotes,$L1367)="",""," — "&amp;INDEX(SCNotes,$L1367))),IF($M1367&lt;&gt;"",IF(INDEX(LdgNoteB,$M1367)="","—",INDEX(LdgNoteB,$M1367)),""))</f>
        <v/>
      </c>
      <c r="F1367" s="20">
        <f>IF($L1367&lt;&gt;"",IF(INDEX(SCNet,$L1367)=0,"",INDEX(SCNet,$L1367)),"")</f>
        <v/>
      </c>
      <c r="G1367" s="21">
        <f>IF($L1367&lt;&gt;"",IF(INDEX(SCOp,$L1367)="مرجوعی فروش","",IF(INDEX(SCAmount,$L1367)&lt;=0,"",INDEX(SCAmount,$L1367))),IF($M1367&lt;&gt;"",IF(INDEX(LdgWitB,$M1367)=0,"",INDEX(LdgWitB,$M1367)),""))</f>
        <v/>
      </c>
      <c r="H1367" s="21">
        <f>IF($L1367&lt;&gt;"",IF(INDEX(SCOp,$L1367)="مرجوعی فروش",IF(INDEX(SCAmount,$L1367)=0,"",-INDEX(SCAmount,$L1367)),""),IF($M1367&lt;&gt;"",IF(INDEX(LdgDepB,$M1367)=0,"",INDEX(LdgDepB,$M1367)),""))</f>
        <v/>
      </c>
      <c r="I1367" s="22">
        <f>IF($B1367="","",IF($I1366="",$C$10,$I1366)+IF($G1367="",0,$G1367)-IF($H1367="",0,$H1367))</f>
        <v/>
      </c>
      <c r="L1367">
        <f>IFERROR(MATCH($C$5&amp;"|"&amp;RIGHT("000000"&amp;1351,6),LdgRankKeyA,0),"")</f>
        <v/>
      </c>
      <c r="M1367">
        <f>IFERROR(MATCH($C$5&amp;"|"&amp;RIGHT("000000"&amp;1351,6),LdgRankKeyB,0),"")</f>
        <v/>
      </c>
    </row>
    <row r="1368">
      <c r="A1368" s="23" t="n">
        <v>1352</v>
      </c>
      <c r="B1368" s="24">
        <f>IF(AND($L1368="",$M1368=""),"",IF($L1368&lt;&gt;"",INDEX(SCNormDate,$L1368),INDEX(LdgDateB,$M1368)))</f>
        <v/>
      </c>
      <c r="C1368" s="24">
        <f>IF($L1368&lt;&gt;"",INDEX(SCOp,$L1368),IF($M1368&lt;&gt;"","پرداخت بانکی",""))</f>
        <v/>
      </c>
      <c r="D1368" s="24">
        <f>IF($L1368&lt;&gt;"",IF(INDEX(SCDoc,$L1368)="","—",INDEX(SCDoc,$L1368)),IF($M1368&lt;&gt;"",INDEX(LdgBankB,$M1368),""))</f>
        <v/>
      </c>
      <c r="E1368" s="25">
        <f>IF($L1368&lt;&gt;"",IF(INDEX(SCCitrus,$L1368)&amp;INDEX(SCNotes,$L1368)="","",IF(INDEX(SCCitrus,$L1368)="","",INDEX(SCCitrus,$L1368))&amp;IF(INDEX(SCNotes,$L1368)="",""," — "&amp;INDEX(SCNotes,$L1368))),IF($M1368&lt;&gt;"",IF(INDEX(LdgNoteB,$M1368)="","—",INDEX(LdgNoteB,$M1368)),""))</f>
        <v/>
      </c>
      <c r="F1368" s="26">
        <f>IF($L1368&lt;&gt;"",IF(INDEX(SCNet,$L1368)=0,"",INDEX(SCNet,$L1368)),"")</f>
        <v/>
      </c>
      <c r="G1368" s="27">
        <f>IF($L1368&lt;&gt;"",IF(INDEX(SCOp,$L1368)="مرجوعی فروش","",IF(INDEX(SCAmount,$L1368)&lt;=0,"",INDEX(SCAmount,$L1368))),IF($M1368&lt;&gt;"",IF(INDEX(LdgWitB,$M1368)=0,"",INDEX(LdgWitB,$M1368)),""))</f>
        <v/>
      </c>
      <c r="H1368" s="27">
        <f>IF($L1368&lt;&gt;"",IF(INDEX(SCOp,$L1368)="مرجوعی فروش",IF(INDEX(SCAmount,$L1368)=0,"",-INDEX(SCAmount,$L1368)),""),IF($M1368&lt;&gt;"",IF(INDEX(LdgDepB,$M1368)=0,"",INDEX(LdgDepB,$M1368)),""))</f>
        <v/>
      </c>
      <c r="I1368" s="28">
        <f>IF($B1368="","",IF($I1367="",$C$10,$I1367)+IF($G1368="",0,$G1368)-IF($H1368="",0,$H1368))</f>
        <v/>
      </c>
      <c r="L1368">
        <f>IFERROR(MATCH($C$5&amp;"|"&amp;RIGHT("000000"&amp;1352,6),LdgRankKeyA,0),"")</f>
        <v/>
      </c>
      <c r="M1368">
        <f>IFERROR(MATCH($C$5&amp;"|"&amp;RIGHT("000000"&amp;1352,6),LdgRankKeyB,0),"")</f>
        <v/>
      </c>
    </row>
    <row r="1369">
      <c r="A1369" s="17" t="n">
        <v>1353</v>
      </c>
      <c r="B1369" s="18">
        <f>IF(AND($L1369="",$M1369=""),"",IF($L1369&lt;&gt;"",INDEX(SCNormDate,$L1369),INDEX(LdgDateB,$M1369)))</f>
        <v/>
      </c>
      <c r="C1369" s="18">
        <f>IF($L1369&lt;&gt;"",INDEX(SCOp,$L1369),IF($M1369&lt;&gt;"","پرداخت بانکی",""))</f>
        <v/>
      </c>
      <c r="D1369" s="18">
        <f>IF($L1369&lt;&gt;"",IF(INDEX(SCDoc,$L1369)="","—",INDEX(SCDoc,$L1369)),IF($M1369&lt;&gt;"",INDEX(LdgBankB,$M1369),""))</f>
        <v/>
      </c>
      <c r="E1369" s="19">
        <f>IF($L1369&lt;&gt;"",IF(INDEX(SCCitrus,$L1369)&amp;INDEX(SCNotes,$L1369)="","",IF(INDEX(SCCitrus,$L1369)="","",INDEX(SCCitrus,$L1369))&amp;IF(INDEX(SCNotes,$L1369)="",""," — "&amp;INDEX(SCNotes,$L1369))),IF($M1369&lt;&gt;"",IF(INDEX(LdgNoteB,$M1369)="","—",INDEX(LdgNoteB,$M1369)),""))</f>
        <v/>
      </c>
      <c r="F1369" s="20">
        <f>IF($L1369&lt;&gt;"",IF(INDEX(SCNet,$L1369)=0,"",INDEX(SCNet,$L1369)),"")</f>
        <v/>
      </c>
      <c r="G1369" s="21">
        <f>IF($L1369&lt;&gt;"",IF(INDEX(SCOp,$L1369)="مرجوعی فروش","",IF(INDEX(SCAmount,$L1369)&lt;=0,"",INDEX(SCAmount,$L1369))),IF($M1369&lt;&gt;"",IF(INDEX(LdgWitB,$M1369)=0,"",INDEX(LdgWitB,$M1369)),""))</f>
        <v/>
      </c>
      <c r="H1369" s="21">
        <f>IF($L1369&lt;&gt;"",IF(INDEX(SCOp,$L1369)="مرجوعی فروش",IF(INDEX(SCAmount,$L1369)=0,"",-INDEX(SCAmount,$L1369)),""),IF($M1369&lt;&gt;"",IF(INDEX(LdgDepB,$M1369)=0,"",INDEX(LdgDepB,$M1369)),""))</f>
        <v/>
      </c>
      <c r="I1369" s="22">
        <f>IF($B1369="","",IF($I1368="",$C$10,$I1368)+IF($G1369="",0,$G1369)-IF($H1369="",0,$H1369))</f>
        <v/>
      </c>
      <c r="L1369">
        <f>IFERROR(MATCH($C$5&amp;"|"&amp;RIGHT("000000"&amp;1353,6),LdgRankKeyA,0),"")</f>
        <v/>
      </c>
      <c r="M1369">
        <f>IFERROR(MATCH($C$5&amp;"|"&amp;RIGHT("000000"&amp;1353,6),LdgRankKeyB,0),"")</f>
        <v/>
      </c>
    </row>
    <row r="1370">
      <c r="A1370" s="23" t="n">
        <v>1354</v>
      </c>
      <c r="B1370" s="24">
        <f>IF(AND($L1370="",$M1370=""),"",IF($L1370&lt;&gt;"",INDEX(SCNormDate,$L1370),INDEX(LdgDateB,$M1370)))</f>
        <v/>
      </c>
      <c r="C1370" s="24">
        <f>IF($L1370&lt;&gt;"",INDEX(SCOp,$L1370),IF($M1370&lt;&gt;"","پرداخت بانکی",""))</f>
        <v/>
      </c>
      <c r="D1370" s="24">
        <f>IF($L1370&lt;&gt;"",IF(INDEX(SCDoc,$L1370)="","—",INDEX(SCDoc,$L1370)),IF($M1370&lt;&gt;"",INDEX(LdgBankB,$M1370),""))</f>
        <v/>
      </c>
      <c r="E1370" s="25">
        <f>IF($L1370&lt;&gt;"",IF(INDEX(SCCitrus,$L1370)&amp;INDEX(SCNotes,$L1370)="","",IF(INDEX(SCCitrus,$L1370)="","",INDEX(SCCitrus,$L1370))&amp;IF(INDEX(SCNotes,$L1370)="",""," — "&amp;INDEX(SCNotes,$L1370))),IF($M1370&lt;&gt;"",IF(INDEX(LdgNoteB,$M1370)="","—",INDEX(LdgNoteB,$M1370)),""))</f>
        <v/>
      </c>
      <c r="F1370" s="26">
        <f>IF($L1370&lt;&gt;"",IF(INDEX(SCNet,$L1370)=0,"",INDEX(SCNet,$L1370)),"")</f>
        <v/>
      </c>
      <c r="G1370" s="27">
        <f>IF($L1370&lt;&gt;"",IF(INDEX(SCOp,$L1370)="مرجوعی فروش","",IF(INDEX(SCAmount,$L1370)&lt;=0,"",INDEX(SCAmount,$L1370))),IF($M1370&lt;&gt;"",IF(INDEX(LdgWitB,$M1370)=0,"",INDEX(LdgWitB,$M1370)),""))</f>
        <v/>
      </c>
      <c r="H1370" s="27">
        <f>IF($L1370&lt;&gt;"",IF(INDEX(SCOp,$L1370)="مرجوعی فروش",IF(INDEX(SCAmount,$L1370)=0,"",-INDEX(SCAmount,$L1370)),""),IF($M1370&lt;&gt;"",IF(INDEX(LdgDepB,$M1370)=0,"",INDEX(LdgDepB,$M1370)),""))</f>
        <v/>
      </c>
      <c r="I1370" s="28">
        <f>IF($B1370="","",IF($I1369="",$C$10,$I1369)+IF($G1370="",0,$G1370)-IF($H1370="",0,$H1370))</f>
        <v/>
      </c>
      <c r="L1370">
        <f>IFERROR(MATCH($C$5&amp;"|"&amp;RIGHT("000000"&amp;1354,6),LdgRankKeyA,0),"")</f>
        <v/>
      </c>
      <c r="M1370">
        <f>IFERROR(MATCH($C$5&amp;"|"&amp;RIGHT("000000"&amp;1354,6),LdgRankKeyB,0),"")</f>
        <v/>
      </c>
    </row>
    <row r="1371">
      <c r="A1371" s="17" t="n">
        <v>1355</v>
      </c>
      <c r="B1371" s="18">
        <f>IF(AND($L1371="",$M1371=""),"",IF($L1371&lt;&gt;"",INDEX(SCNormDate,$L1371),INDEX(LdgDateB,$M1371)))</f>
        <v/>
      </c>
      <c r="C1371" s="18">
        <f>IF($L1371&lt;&gt;"",INDEX(SCOp,$L1371),IF($M1371&lt;&gt;"","پرداخت بانکی",""))</f>
        <v/>
      </c>
      <c r="D1371" s="18">
        <f>IF($L1371&lt;&gt;"",IF(INDEX(SCDoc,$L1371)="","—",INDEX(SCDoc,$L1371)),IF($M1371&lt;&gt;"",INDEX(LdgBankB,$M1371),""))</f>
        <v/>
      </c>
      <c r="E1371" s="19">
        <f>IF($L1371&lt;&gt;"",IF(INDEX(SCCitrus,$L1371)&amp;INDEX(SCNotes,$L1371)="","",IF(INDEX(SCCitrus,$L1371)="","",INDEX(SCCitrus,$L1371))&amp;IF(INDEX(SCNotes,$L1371)="",""," — "&amp;INDEX(SCNotes,$L1371))),IF($M1371&lt;&gt;"",IF(INDEX(LdgNoteB,$M1371)="","—",INDEX(LdgNoteB,$M1371)),""))</f>
        <v/>
      </c>
      <c r="F1371" s="20">
        <f>IF($L1371&lt;&gt;"",IF(INDEX(SCNet,$L1371)=0,"",INDEX(SCNet,$L1371)),"")</f>
        <v/>
      </c>
      <c r="G1371" s="21">
        <f>IF($L1371&lt;&gt;"",IF(INDEX(SCOp,$L1371)="مرجوعی فروش","",IF(INDEX(SCAmount,$L1371)&lt;=0,"",INDEX(SCAmount,$L1371))),IF($M1371&lt;&gt;"",IF(INDEX(LdgWitB,$M1371)=0,"",INDEX(LdgWitB,$M1371)),""))</f>
        <v/>
      </c>
      <c r="H1371" s="21">
        <f>IF($L1371&lt;&gt;"",IF(INDEX(SCOp,$L1371)="مرجوعی فروش",IF(INDEX(SCAmount,$L1371)=0,"",-INDEX(SCAmount,$L1371)),""),IF($M1371&lt;&gt;"",IF(INDEX(LdgDepB,$M1371)=0,"",INDEX(LdgDepB,$M1371)),""))</f>
        <v/>
      </c>
      <c r="I1371" s="22">
        <f>IF($B1371="","",IF($I1370="",$C$10,$I1370)+IF($G1371="",0,$G1371)-IF($H1371="",0,$H1371))</f>
        <v/>
      </c>
      <c r="L1371">
        <f>IFERROR(MATCH($C$5&amp;"|"&amp;RIGHT("000000"&amp;1355,6),LdgRankKeyA,0),"")</f>
        <v/>
      </c>
      <c r="M1371">
        <f>IFERROR(MATCH($C$5&amp;"|"&amp;RIGHT("000000"&amp;1355,6),LdgRankKeyB,0),"")</f>
        <v/>
      </c>
    </row>
    <row r="1372">
      <c r="A1372" s="23" t="n">
        <v>1356</v>
      </c>
      <c r="B1372" s="24">
        <f>IF(AND($L1372="",$M1372=""),"",IF($L1372&lt;&gt;"",INDEX(SCNormDate,$L1372),INDEX(LdgDateB,$M1372)))</f>
        <v/>
      </c>
      <c r="C1372" s="24">
        <f>IF($L1372&lt;&gt;"",INDEX(SCOp,$L1372),IF($M1372&lt;&gt;"","پرداخت بانکی",""))</f>
        <v/>
      </c>
      <c r="D1372" s="24">
        <f>IF($L1372&lt;&gt;"",IF(INDEX(SCDoc,$L1372)="","—",INDEX(SCDoc,$L1372)),IF($M1372&lt;&gt;"",INDEX(LdgBankB,$M1372),""))</f>
        <v/>
      </c>
      <c r="E1372" s="25">
        <f>IF($L1372&lt;&gt;"",IF(INDEX(SCCitrus,$L1372)&amp;INDEX(SCNotes,$L1372)="","",IF(INDEX(SCCitrus,$L1372)="","",INDEX(SCCitrus,$L1372))&amp;IF(INDEX(SCNotes,$L1372)="",""," — "&amp;INDEX(SCNotes,$L1372))),IF($M1372&lt;&gt;"",IF(INDEX(LdgNoteB,$M1372)="","—",INDEX(LdgNoteB,$M1372)),""))</f>
        <v/>
      </c>
      <c r="F1372" s="26">
        <f>IF($L1372&lt;&gt;"",IF(INDEX(SCNet,$L1372)=0,"",INDEX(SCNet,$L1372)),"")</f>
        <v/>
      </c>
      <c r="G1372" s="27">
        <f>IF($L1372&lt;&gt;"",IF(INDEX(SCOp,$L1372)="مرجوعی فروش","",IF(INDEX(SCAmount,$L1372)&lt;=0,"",INDEX(SCAmount,$L1372))),IF($M1372&lt;&gt;"",IF(INDEX(LdgWitB,$M1372)=0,"",INDEX(LdgWitB,$M1372)),""))</f>
        <v/>
      </c>
      <c r="H1372" s="27">
        <f>IF($L1372&lt;&gt;"",IF(INDEX(SCOp,$L1372)="مرجوعی فروش",IF(INDEX(SCAmount,$L1372)=0,"",-INDEX(SCAmount,$L1372)),""),IF($M1372&lt;&gt;"",IF(INDEX(LdgDepB,$M1372)=0,"",INDEX(LdgDepB,$M1372)),""))</f>
        <v/>
      </c>
      <c r="I1372" s="28">
        <f>IF($B1372="","",IF($I1371="",$C$10,$I1371)+IF($G1372="",0,$G1372)-IF($H1372="",0,$H1372))</f>
        <v/>
      </c>
      <c r="L1372">
        <f>IFERROR(MATCH($C$5&amp;"|"&amp;RIGHT("000000"&amp;1356,6),LdgRankKeyA,0),"")</f>
        <v/>
      </c>
      <c r="M1372">
        <f>IFERROR(MATCH($C$5&amp;"|"&amp;RIGHT("000000"&amp;1356,6),LdgRankKeyB,0),"")</f>
        <v/>
      </c>
    </row>
    <row r="1373">
      <c r="A1373" s="17" t="n">
        <v>1357</v>
      </c>
      <c r="B1373" s="18">
        <f>IF(AND($L1373="",$M1373=""),"",IF($L1373&lt;&gt;"",INDEX(SCNormDate,$L1373),INDEX(LdgDateB,$M1373)))</f>
        <v/>
      </c>
      <c r="C1373" s="18">
        <f>IF($L1373&lt;&gt;"",INDEX(SCOp,$L1373),IF($M1373&lt;&gt;"","پرداخت بانکی",""))</f>
        <v/>
      </c>
      <c r="D1373" s="18">
        <f>IF($L1373&lt;&gt;"",IF(INDEX(SCDoc,$L1373)="","—",INDEX(SCDoc,$L1373)),IF($M1373&lt;&gt;"",INDEX(LdgBankB,$M1373),""))</f>
        <v/>
      </c>
      <c r="E1373" s="19">
        <f>IF($L1373&lt;&gt;"",IF(INDEX(SCCitrus,$L1373)&amp;INDEX(SCNotes,$L1373)="","",IF(INDEX(SCCitrus,$L1373)="","",INDEX(SCCitrus,$L1373))&amp;IF(INDEX(SCNotes,$L1373)="",""," — "&amp;INDEX(SCNotes,$L1373))),IF($M1373&lt;&gt;"",IF(INDEX(LdgNoteB,$M1373)="","—",INDEX(LdgNoteB,$M1373)),""))</f>
        <v/>
      </c>
      <c r="F1373" s="20">
        <f>IF($L1373&lt;&gt;"",IF(INDEX(SCNet,$L1373)=0,"",INDEX(SCNet,$L1373)),"")</f>
        <v/>
      </c>
      <c r="G1373" s="21">
        <f>IF($L1373&lt;&gt;"",IF(INDEX(SCOp,$L1373)="مرجوعی فروش","",IF(INDEX(SCAmount,$L1373)&lt;=0,"",INDEX(SCAmount,$L1373))),IF($M1373&lt;&gt;"",IF(INDEX(LdgWitB,$M1373)=0,"",INDEX(LdgWitB,$M1373)),""))</f>
        <v/>
      </c>
      <c r="H1373" s="21">
        <f>IF($L1373&lt;&gt;"",IF(INDEX(SCOp,$L1373)="مرجوعی فروش",IF(INDEX(SCAmount,$L1373)=0,"",-INDEX(SCAmount,$L1373)),""),IF($M1373&lt;&gt;"",IF(INDEX(LdgDepB,$M1373)=0,"",INDEX(LdgDepB,$M1373)),""))</f>
        <v/>
      </c>
      <c r="I1373" s="22">
        <f>IF($B1373="","",IF($I1372="",$C$10,$I1372)+IF($G1373="",0,$G1373)-IF($H1373="",0,$H1373))</f>
        <v/>
      </c>
      <c r="L1373">
        <f>IFERROR(MATCH($C$5&amp;"|"&amp;RIGHT("000000"&amp;1357,6),LdgRankKeyA,0),"")</f>
        <v/>
      </c>
      <c r="M1373">
        <f>IFERROR(MATCH($C$5&amp;"|"&amp;RIGHT("000000"&amp;1357,6),LdgRankKeyB,0),"")</f>
        <v/>
      </c>
    </row>
    <row r="1374">
      <c r="A1374" s="23" t="n">
        <v>1358</v>
      </c>
      <c r="B1374" s="24">
        <f>IF(AND($L1374="",$M1374=""),"",IF($L1374&lt;&gt;"",INDEX(SCNormDate,$L1374),INDEX(LdgDateB,$M1374)))</f>
        <v/>
      </c>
      <c r="C1374" s="24">
        <f>IF($L1374&lt;&gt;"",INDEX(SCOp,$L1374),IF($M1374&lt;&gt;"","پرداخت بانکی",""))</f>
        <v/>
      </c>
      <c r="D1374" s="24">
        <f>IF($L1374&lt;&gt;"",IF(INDEX(SCDoc,$L1374)="","—",INDEX(SCDoc,$L1374)),IF($M1374&lt;&gt;"",INDEX(LdgBankB,$M1374),""))</f>
        <v/>
      </c>
      <c r="E1374" s="25">
        <f>IF($L1374&lt;&gt;"",IF(INDEX(SCCitrus,$L1374)&amp;INDEX(SCNotes,$L1374)="","",IF(INDEX(SCCitrus,$L1374)="","",INDEX(SCCitrus,$L1374))&amp;IF(INDEX(SCNotes,$L1374)="",""," — "&amp;INDEX(SCNotes,$L1374))),IF($M1374&lt;&gt;"",IF(INDEX(LdgNoteB,$M1374)="","—",INDEX(LdgNoteB,$M1374)),""))</f>
        <v/>
      </c>
      <c r="F1374" s="26">
        <f>IF($L1374&lt;&gt;"",IF(INDEX(SCNet,$L1374)=0,"",INDEX(SCNet,$L1374)),"")</f>
        <v/>
      </c>
      <c r="G1374" s="27">
        <f>IF($L1374&lt;&gt;"",IF(INDEX(SCOp,$L1374)="مرجوعی فروش","",IF(INDEX(SCAmount,$L1374)&lt;=0,"",INDEX(SCAmount,$L1374))),IF($M1374&lt;&gt;"",IF(INDEX(LdgWitB,$M1374)=0,"",INDEX(LdgWitB,$M1374)),""))</f>
        <v/>
      </c>
      <c r="H1374" s="27">
        <f>IF($L1374&lt;&gt;"",IF(INDEX(SCOp,$L1374)="مرجوعی فروش",IF(INDEX(SCAmount,$L1374)=0,"",-INDEX(SCAmount,$L1374)),""),IF($M1374&lt;&gt;"",IF(INDEX(LdgDepB,$M1374)=0,"",INDEX(LdgDepB,$M1374)),""))</f>
        <v/>
      </c>
      <c r="I1374" s="28">
        <f>IF($B1374="","",IF($I1373="",$C$10,$I1373)+IF($G1374="",0,$G1374)-IF($H1374="",0,$H1374))</f>
        <v/>
      </c>
      <c r="L1374">
        <f>IFERROR(MATCH($C$5&amp;"|"&amp;RIGHT("000000"&amp;1358,6),LdgRankKeyA,0),"")</f>
        <v/>
      </c>
      <c r="M1374">
        <f>IFERROR(MATCH($C$5&amp;"|"&amp;RIGHT("000000"&amp;1358,6),LdgRankKeyB,0),"")</f>
        <v/>
      </c>
    </row>
    <row r="1375">
      <c r="A1375" s="17" t="n">
        <v>1359</v>
      </c>
      <c r="B1375" s="18">
        <f>IF(AND($L1375="",$M1375=""),"",IF($L1375&lt;&gt;"",INDEX(SCNormDate,$L1375),INDEX(LdgDateB,$M1375)))</f>
        <v/>
      </c>
      <c r="C1375" s="18">
        <f>IF($L1375&lt;&gt;"",INDEX(SCOp,$L1375),IF($M1375&lt;&gt;"","پرداخت بانکی",""))</f>
        <v/>
      </c>
      <c r="D1375" s="18">
        <f>IF($L1375&lt;&gt;"",IF(INDEX(SCDoc,$L1375)="","—",INDEX(SCDoc,$L1375)),IF($M1375&lt;&gt;"",INDEX(LdgBankB,$M1375),""))</f>
        <v/>
      </c>
      <c r="E1375" s="19">
        <f>IF($L1375&lt;&gt;"",IF(INDEX(SCCitrus,$L1375)&amp;INDEX(SCNotes,$L1375)="","",IF(INDEX(SCCitrus,$L1375)="","",INDEX(SCCitrus,$L1375))&amp;IF(INDEX(SCNotes,$L1375)="",""," — "&amp;INDEX(SCNotes,$L1375))),IF($M1375&lt;&gt;"",IF(INDEX(LdgNoteB,$M1375)="","—",INDEX(LdgNoteB,$M1375)),""))</f>
        <v/>
      </c>
      <c r="F1375" s="20">
        <f>IF($L1375&lt;&gt;"",IF(INDEX(SCNet,$L1375)=0,"",INDEX(SCNet,$L1375)),"")</f>
        <v/>
      </c>
      <c r="G1375" s="21">
        <f>IF($L1375&lt;&gt;"",IF(INDEX(SCOp,$L1375)="مرجوعی فروش","",IF(INDEX(SCAmount,$L1375)&lt;=0,"",INDEX(SCAmount,$L1375))),IF($M1375&lt;&gt;"",IF(INDEX(LdgWitB,$M1375)=0,"",INDEX(LdgWitB,$M1375)),""))</f>
        <v/>
      </c>
      <c r="H1375" s="21">
        <f>IF($L1375&lt;&gt;"",IF(INDEX(SCOp,$L1375)="مرجوعی فروش",IF(INDEX(SCAmount,$L1375)=0,"",-INDEX(SCAmount,$L1375)),""),IF($M1375&lt;&gt;"",IF(INDEX(LdgDepB,$M1375)=0,"",INDEX(LdgDepB,$M1375)),""))</f>
        <v/>
      </c>
      <c r="I1375" s="22">
        <f>IF($B1375="","",IF($I1374="",$C$10,$I1374)+IF($G1375="",0,$G1375)-IF($H1375="",0,$H1375))</f>
        <v/>
      </c>
      <c r="L1375">
        <f>IFERROR(MATCH($C$5&amp;"|"&amp;RIGHT("000000"&amp;1359,6),LdgRankKeyA,0),"")</f>
        <v/>
      </c>
      <c r="M1375">
        <f>IFERROR(MATCH($C$5&amp;"|"&amp;RIGHT("000000"&amp;1359,6),LdgRankKeyB,0),"")</f>
        <v/>
      </c>
    </row>
    <row r="1376">
      <c r="A1376" s="23" t="n">
        <v>1360</v>
      </c>
      <c r="B1376" s="24">
        <f>IF(AND($L1376="",$M1376=""),"",IF($L1376&lt;&gt;"",INDEX(SCNormDate,$L1376),INDEX(LdgDateB,$M1376)))</f>
        <v/>
      </c>
      <c r="C1376" s="24">
        <f>IF($L1376&lt;&gt;"",INDEX(SCOp,$L1376),IF($M1376&lt;&gt;"","پرداخت بانکی",""))</f>
        <v/>
      </c>
      <c r="D1376" s="24">
        <f>IF($L1376&lt;&gt;"",IF(INDEX(SCDoc,$L1376)="","—",INDEX(SCDoc,$L1376)),IF($M1376&lt;&gt;"",INDEX(LdgBankB,$M1376),""))</f>
        <v/>
      </c>
      <c r="E1376" s="25">
        <f>IF($L1376&lt;&gt;"",IF(INDEX(SCCitrus,$L1376)&amp;INDEX(SCNotes,$L1376)="","",IF(INDEX(SCCitrus,$L1376)="","",INDEX(SCCitrus,$L1376))&amp;IF(INDEX(SCNotes,$L1376)="",""," — "&amp;INDEX(SCNotes,$L1376))),IF($M1376&lt;&gt;"",IF(INDEX(LdgNoteB,$M1376)="","—",INDEX(LdgNoteB,$M1376)),""))</f>
        <v/>
      </c>
      <c r="F1376" s="26">
        <f>IF($L1376&lt;&gt;"",IF(INDEX(SCNet,$L1376)=0,"",INDEX(SCNet,$L1376)),"")</f>
        <v/>
      </c>
      <c r="G1376" s="27">
        <f>IF($L1376&lt;&gt;"",IF(INDEX(SCOp,$L1376)="مرجوعی فروش","",IF(INDEX(SCAmount,$L1376)&lt;=0,"",INDEX(SCAmount,$L1376))),IF($M1376&lt;&gt;"",IF(INDEX(LdgWitB,$M1376)=0,"",INDEX(LdgWitB,$M1376)),""))</f>
        <v/>
      </c>
      <c r="H1376" s="27">
        <f>IF($L1376&lt;&gt;"",IF(INDEX(SCOp,$L1376)="مرجوعی فروش",IF(INDEX(SCAmount,$L1376)=0,"",-INDEX(SCAmount,$L1376)),""),IF($M1376&lt;&gt;"",IF(INDEX(LdgDepB,$M1376)=0,"",INDEX(LdgDepB,$M1376)),""))</f>
        <v/>
      </c>
      <c r="I1376" s="28">
        <f>IF($B1376="","",IF($I1375="",$C$10,$I1375)+IF($G1376="",0,$G1376)-IF($H1376="",0,$H1376))</f>
        <v/>
      </c>
      <c r="L1376">
        <f>IFERROR(MATCH($C$5&amp;"|"&amp;RIGHT("000000"&amp;1360,6),LdgRankKeyA,0),"")</f>
        <v/>
      </c>
      <c r="M1376">
        <f>IFERROR(MATCH($C$5&amp;"|"&amp;RIGHT("000000"&amp;1360,6),LdgRankKeyB,0),"")</f>
        <v/>
      </c>
    </row>
    <row r="1377">
      <c r="A1377" s="17" t="n">
        <v>1361</v>
      </c>
      <c r="B1377" s="18">
        <f>IF(AND($L1377="",$M1377=""),"",IF($L1377&lt;&gt;"",INDEX(SCNormDate,$L1377),INDEX(LdgDateB,$M1377)))</f>
        <v/>
      </c>
      <c r="C1377" s="18">
        <f>IF($L1377&lt;&gt;"",INDEX(SCOp,$L1377),IF($M1377&lt;&gt;"","پرداخت بانکی",""))</f>
        <v/>
      </c>
      <c r="D1377" s="18">
        <f>IF($L1377&lt;&gt;"",IF(INDEX(SCDoc,$L1377)="","—",INDEX(SCDoc,$L1377)),IF($M1377&lt;&gt;"",INDEX(LdgBankB,$M1377),""))</f>
        <v/>
      </c>
      <c r="E1377" s="19">
        <f>IF($L1377&lt;&gt;"",IF(INDEX(SCCitrus,$L1377)&amp;INDEX(SCNotes,$L1377)="","",IF(INDEX(SCCitrus,$L1377)="","",INDEX(SCCitrus,$L1377))&amp;IF(INDEX(SCNotes,$L1377)="",""," — "&amp;INDEX(SCNotes,$L1377))),IF($M1377&lt;&gt;"",IF(INDEX(LdgNoteB,$M1377)="","—",INDEX(LdgNoteB,$M1377)),""))</f>
        <v/>
      </c>
      <c r="F1377" s="20">
        <f>IF($L1377&lt;&gt;"",IF(INDEX(SCNet,$L1377)=0,"",INDEX(SCNet,$L1377)),"")</f>
        <v/>
      </c>
      <c r="G1377" s="21">
        <f>IF($L1377&lt;&gt;"",IF(INDEX(SCOp,$L1377)="مرجوعی فروش","",IF(INDEX(SCAmount,$L1377)&lt;=0,"",INDEX(SCAmount,$L1377))),IF($M1377&lt;&gt;"",IF(INDEX(LdgWitB,$M1377)=0,"",INDEX(LdgWitB,$M1377)),""))</f>
        <v/>
      </c>
      <c r="H1377" s="21">
        <f>IF($L1377&lt;&gt;"",IF(INDEX(SCOp,$L1377)="مرجوعی فروش",IF(INDEX(SCAmount,$L1377)=0,"",-INDEX(SCAmount,$L1377)),""),IF($M1377&lt;&gt;"",IF(INDEX(LdgDepB,$M1377)=0,"",INDEX(LdgDepB,$M1377)),""))</f>
        <v/>
      </c>
      <c r="I1377" s="22">
        <f>IF($B1377="","",IF($I1376="",$C$10,$I1376)+IF($G1377="",0,$G1377)-IF($H1377="",0,$H1377))</f>
        <v/>
      </c>
      <c r="L1377">
        <f>IFERROR(MATCH($C$5&amp;"|"&amp;RIGHT("000000"&amp;1361,6),LdgRankKeyA,0),"")</f>
        <v/>
      </c>
      <c r="M1377">
        <f>IFERROR(MATCH($C$5&amp;"|"&amp;RIGHT("000000"&amp;1361,6),LdgRankKeyB,0),"")</f>
        <v/>
      </c>
    </row>
    <row r="1378">
      <c r="A1378" s="23" t="n">
        <v>1362</v>
      </c>
      <c r="B1378" s="24">
        <f>IF(AND($L1378="",$M1378=""),"",IF($L1378&lt;&gt;"",INDEX(SCNormDate,$L1378),INDEX(LdgDateB,$M1378)))</f>
        <v/>
      </c>
      <c r="C1378" s="24">
        <f>IF($L1378&lt;&gt;"",INDEX(SCOp,$L1378),IF($M1378&lt;&gt;"","پرداخت بانکی",""))</f>
        <v/>
      </c>
      <c r="D1378" s="24">
        <f>IF($L1378&lt;&gt;"",IF(INDEX(SCDoc,$L1378)="","—",INDEX(SCDoc,$L1378)),IF($M1378&lt;&gt;"",INDEX(LdgBankB,$M1378),""))</f>
        <v/>
      </c>
      <c r="E1378" s="25">
        <f>IF($L1378&lt;&gt;"",IF(INDEX(SCCitrus,$L1378)&amp;INDEX(SCNotes,$L1378)="","",IF(INDEX(SCCitrus,$L1378)="","",INDEX(SCCitrus,$L1378))&amp;IF(INDEX(SCNotes,$L1378)="",""," — "&amp;INDEX(SCNotes,$L1378))),IF($M1378&lt;&gt;"",IF(INDEX(LdgNoteB,$M1378)="","—",INDEX(LdgNoteB,$M1378)),""))</f>
        <v/>
      </c>
      <c r="F1378" s="26">
        <f>IF($L1378&lt;&gt;"",IF(INDEX(SCNet,$L1378)=0,"",INDEX(SCNet,$L1378)),"")</f>
        <v/>
      </c>
      <c r="G1378" s="27">
        <f>IF($L1378&lt;&gt;"",IF(INDEX(SCOp,$L1378)="مرجوعی فروش","",IF(INDEX(SCAmount,$L1378)&lt;=0,"",INDEX(SCAmount,$L1378))),IF($M1378&lt;&gt;"",IF(INDEX(LdgWitB,$M1378)=0,"",INDEX(LdgWitB,$M1378)),""))</f>
        <v/>
      </c>
      <c r="H1378" s="27">
        <f>IF($L1378&lt;&gt;"",IF(INDEX(SCOp,$L1378)="مرجوعی فروش",IF(INDEX(SCAmount,$L1378)=0,"",-INDEX(SCAmount,$L1378)),""),IF($M1378&lt;&gt;"",IF(INDEX(LdgDepB,$M1378)=0,"",INDEX(LdgDepB,$M1378)),""))</f>
        <v/>
      </c>
      <c r="I1378" s="28">
        <f>IF($B1378="","",IF($I1377="",$C$10,$I1377)+IF($G1378="",0,$G1378)-IF($H1378="",0,$H1378))</f>
        <v/>
      </c>
      <c r="L1378">
        <f>IFERROR(MATCH($C$5&amp;"|"&amp;RIGHT("000000"&amp;1362,6),LdgRankKeyA,0),"")</f>
        <v/>
      </c>
      <c r="M1378">
        <f>IFERROR(MATCH($C$5&amp;"|"&amp;RIGHT("000000"&amp;1362,6),LdgRankKeyB,0),"")</f>
        <v/>
      </c>
    </row>
    <row r="1379">
      <c r="A1379" s="17" t="n">
        <v>1363</v>
      </c>
      <c r="B1379" s="18">
        <f>IF(AND($L1379="",$M1379=""),"",IF($L1379&lt;&gt;"",INDEX(SCNormDate,$L1379),INDEX(LdgDateB,$M1379)))</f>
        <v/>
      </c>
      <c r="C1379" s="18">
        <f>IF($L1379&lt;&gt;"",INDEX(SCOp,$L1379),IF($M1379&lt;&gt;"","پرداخت بانکی",""))</f>
        <v/>
      </c>
      <c r="D1379" s="18">
        <f>IF($L1379&lt;&gt;"",IF(INDEX(SCDoc,$L1379)="","—",INDEX(SCDoc,$L1379)),IF($M1379&lt;&gt;"",INDEX(LdgBankB,$M1379),""))</f>
        <v/>
      </c>
      <c r="E1379" s="19">
        <f>IF($L1379&lt;&gt;"",IF(INDEX(SCCitrus,$L1379)&amp;INDEX(SCNotes,$L1379)="","",IF(INDEX(SCCitrus,$L1379)="","",INDEX(SCCitrus,$L1379))&amp;IF(INDEX(SCNotes,$L1379)="",""," — "&amp;INDEX(SCNotes,$L1379))),IF($M1379&lt;&gt;"",IF(INDEX(LdgNoteB,$M1379)="","—",INDEX(LdgNoteB,$M1379)),""))</f>
        <v/>
      </c>
      <c r="F1379" s="20">
        <f>IF($L1379&lt;&gt;"",IF(INDEX(SCNet,$L1379)=0,"",INDEX(SCNet,$L1379)),"")</f>
        <v/>
      </c>
      <c r="G1379" s="21">
        <f>IF($L1379&lt;&gt;"",IF(INDEX(SCOp,$L1379)="مرجوعی فروش","",IF(INDEX(SCAmount,$L1379)&lt;=0,"",INDEX(SCAmount,$L1379))),IF($M1379&lt;&gt;"",IF(INDEX(LdgWitB,$M1379)=0,"",INDEX(LdgWitB,$M1379)),""))</f>
        <v/>
      </c>
      <c r="H1379" s="21">
        <f>IF($L1379&lt;&gt;"",IF(INDEX(SCOp,$L1379)="مرجوعی فروش",IF(INDEX(SCAmount,$L1379)=0,"",-INDEX(SCAmount,$L1379)),""),IF($M1379&lt;&gt;"",IF(INDEX(LdgDepB,$M1379)=0,"",INDEX(LdgDepB,$M1379)),""))</f>
        <v/>
      </c>
      <c r="I1379" s="22">
        <f>IF($B1379="","",IF($I1378="",$C$10,$I1378)+IF($G1379="",0,$G1379)-IF($H1379="",0,$H1379))</f>
        <v/>
      </c>
      <c r="L1379">
        <f>IFERROR(MATCH($C$5&amp;"|"&amp;RIGHT("000000"&amp;1363,6),LdgRankKeyA,0),"")</f>
        <v/>
      </c>
      <c r="M1379">
        <f>IFERROR(MATCH($C$5&amp;"|"&amp;RIGHT("000000"&amp;1363,6),LdgRankKeyB,0),"")</f>
        <v/>
      </c>
    </row>
    <row r="1380">
      <c r="A1380" s="23" t="n">
        <v>1364</v>
      </c>
      <c r="B1380" s="24">
        <f>IF(AND($L1380="",$M1380=""),"",IF($L1380&lt;&gt;"",INDEX(SCNormDate,$L1380),INDEX(LdgDateB,$M1380)))</f>
        <v/>
      </c>
      <c r="C1380" s="24">
        <f>IF($L1380&lt;&gt;"",INDEX(SCOp,$L1380),IF($M1380&lt;&gt;"","پرداخت بانکی",""))</f>
        <v/>
      </c>
      <c r="D1380" s="24">
        <f>IF($L1380&lt;&gt;"",IF(INDEX(SCDoc,$L1380)="","—",INDEX(SCDoc,$L1380)),IF($M1380&lt;&gt;"",INDEX(LdgBankB,$M1380),""))</f>
        <v/>
      </c>
      <c r="E1380" s="25">
        <f>IF($L1380&lt;&gt;"",IF(INDEX(SCCitrus,$L1380)&amp;INDEX(SCNotes,$L1380)="","",IF(INDEX(SCCitrus,$L1380)="","",INDEX(SCCitrus,$L1380))&amp;IF(INDEX(SCNotes,$L1380)="",""," — "&amp;INDEX(SCNotes,$L1380))),IF($M1380&lt;&gt;"",IF(INDEX(LdgNoteB,$M1380)="","—",INDEX(LdgNoteB,$M1380)),""))</f>
        <v/>
      </c>
      <c r="F1380" s="26">
        <f>IF($L1380&lt;&gt;"",IF(INDEX(SCNet,$L1380)=0,"",INDEX(SCNet,$L1380)),"")</f>
        <v/>
      </c>
      <c r="G1380" s="27">
        <f>IF($L1380&lt;&gt;"",IF(INDEX(SCOp,$L1380)="مرجوعی فروش","",IF(INDEX(SCAmount,$L1380)&lt;=0,"",INDEX(SCAmount,$L1380))),IF($M1380&lt;&gt;"",IF(INDEX(LdgWitB,$M1380)=0,"",INDEX(LdgWitB,$M1380)),""))</f>
        <v/>
      </c>
      <c r="H1380" s="27">
        <f>IF($L1380&lt;&gt;"",IF(INDEX(SCOp,$L1380)="مرجوعی فروش",IF(INDEX(SCAmount,$L1380)=0,"",-INDEX(SCAmount,$L1380)),""),IF($M1380&lt;&gt;"",IF(INDEX(LdgDepB,$M1380)=0,"",INDEX(LdgDepB,$M1380)),""))</f>
        <v/>
      </c>
      <c r="I1380" s="28">
        <f>IF($B1380="","",IF($I1379="",$C$10,$I1379)+IF($G1380="",0,$G1380)-IF($H1380="",0,$H1380))</f>
        <v/>
      </c>
      <c r="L1380">
        <f>IFERROR(MATCH($C$5&amp;"|"&amp;RIGHT("000000"&amp;1364,6),LdgRankKeyA,0),"")</f>
        <v/>
      </c>
      <c r="M1380">
        <f>IFERROR(MATCH($C$5&amp;"|"&amp;RIGHT("000000"&amp;1364,6),LdgRankKeyB,0),"")</f>
        <v/>
      </c>
    </row>
    <row r="1381">
      <c r="A1381" s="17" t="n">
        <v>1365</v>
      </c>
      <c r="B1381" s="18">
        <f>IF(AND($L1381="",$M1381=""),"",IF($L1381&lt;&gt;"",INDEX(SCNormDate,$L1381),INDEX(LdgDateB,$M1381)))</f>
        <v/>
      </c>
      <c r="C1381" s="18">
        <f>IF($L1381&lt;&gt;"",INDEX(SCOp,$L1381),IF($M1381&lt;&gt;"","پرداخت بانکی",""))</f>
        <v/>
      </c>
      <c r="D1381" s="18">
        <f>IF($L1381&lt;&gt;"",IF(INDEX(SCDoc,$L1381)="","—",INDEX(SCDoc,$L1381)),IF($M1381&lt;&gt;"",INDEX(LdgBankB,$M1381),""))</f>
        <v/>
      </c>
      <c r="E1381" s="19">
        <f>IF($L1381&lt;&gt;"",IF(INDEX(SCCitrus,$L1381)&amp;INDEX(SCNotes,$L1381)="","",IF(INDEX(SCCitrus,$L1381)="","",INDEX(SCCitrus,$L1381))&amp;IF(INDEX(SCNotes,$L1381)="",""," — "&amp;INDEX(SCNotes,$L1381))),IF($M1381&lt;&gt;"",IF(INDEX(LdgNoteB,$M1381)="","—",INDEX(LdgNoteB,$M1381)),""))</f>
        <v/>
      </c>
      <c r="F1381" s="20">
        <f>IF($L1381&lt;&gt;"",IF(INDEX(SCNet,$L1381)=0,"",INDEX(SCNet,$L1381)),"")</f>
        <v/>
      </c>
      <c r="G1381" s="21">
        <f>IF($L1381&lt;&gt;"",IF(INDEX(SCOp,$L1381)="مرجوعی فروش","",IF(INDEX(SCAmount,$L1381)&lt;=0,"",INDEX(SCAmount,$L1381))),IF($M1381&lt;&gt;"",IF(INDEX(LdgWitB,$M1381)=0,"",INDEX(LdgWitB,$M1381)),""))</f>
        <v/>
      </c>
      <c r="H1381" s="21">
        <f>IF($L1381&lt;&gt;"",IF(INDEX(SCOp,$L1381)="مرجوعی فروش",IF(INDEX(SCAmount,$L1381)=0,"",-INDEX(SCAmount,$L1381)),""),IF($M1381&lt;&gt;"",IF(INDEX(LdgDepB,$M1381)=0,"",INDEX(LdgDepB,$M1381)),""))</f>
        <v/>
      </c>
      <c r="I1381" s="22">
        <f>IF($B1381="","",IF($I1380="",$C$10,$I1380)+IF($G1381="",0,$G1381)-IF($H1381="",0,$H1381))</f>
        <v/>
      </c>
      <c r="L1381">
        <f>IFERROR(MATCH($C$5&amp;"|"&amp;RIGHT("000000"&amp;1365,6),LdgRankKeyA,0),"")</f>
        <v/>
      </c>
      <c r="M1381">
        <f>IFERROR(MATCH($C$5&amp;"|"&amp;RIGHT("000000"&amp;1365,6),LdgRankKeyB,0),"")</f>
        <v/>
      </c>
    </row>
    <row r="1382">
      <c r="A1382" s="23" t="n">
        <v>1366</v>
      </c>
      <c r="B1382" s="24">
        <f>IF(AND($L1382="",$M1382=""),"",IF($L1382&lt;&gt;"",INDEX(SCNormDate,$L1382),INDEX(LdgDateB,$M1382)))</f>
        <v/>
      </c>
      <c r="C1382" s="24">
        <f>IF($L1382&lt;&gt;"",INDEX(SCOp,$L1382),IF($M1382&lt;&gt;"","پرداخت بانکی",""))</f>
        <v/>
      </c>
      <c r="D1382" s="24">
        <f>IF($L1382&lt;&gt;"",IF(INDEX(SCDoc,$L1382)="","—",INDEX(SCDoc,$L1382)),IF($M1382&lt;&gt;"",INDEX(LdgBankB,$M1382),""))</f>
        <v/>
      </c>
      <c r="E1382" s="25">
        <f>IF($L1382&lt;&gt;"",IF(INDEX(SCCitrus,$L1382)&amp;INDEX(SCNotes,$L1382)="","",IF(INDEX(SCCitrus,$L1382)="","",INDEX(SCCitrus,$L1382))&amp;IF(INDEX(SCNotes,$L1382)="",""," — "&amp;INDEX(SCNotes,$L1382))),IF($M1382&lt;&gt;"",IF(INDEX(LdgNoteB,$M1382)="","—",INDEX(LdgNoteB,$M1382)),""))</f>
        <v/>
      </c>
      <c r="F1382" s="26">
        <f>IF($L1382&lt;&gt;"",IF(INDEX(SCNet,$L1382)=0,"",INDEX(SCNet,$L1382)),"")</f>
        <v/>
      </c>
      <c r="G1382" s="27">
        <f>IF($L1382&lt;&gt;"",IF(INDEX(SCOp,$L1382)="مرجوعی فروش","",IF(INDEX(SCAmount,$L1382)&lt;=0,"",INDEX(SCAmount,$L1382))),IF($M1382&lt;&gt;"",IF(INDEX(LdgWitB,$M1382)=0,"",INDEX(LdgWitB,$M1382)),""))</f>
        <v/>
      </c>
      <c r="H1382" s="27">
        <f>IF($L1382&lt;&gt;"",IF(INDEX(SCOp,$L1382)="مرجوعی فروش",IF(INDEX(SCAmount,$L1382)=0,"",-INDEX(SCAmount,$L1382)),""),IF($M1382&lt;&gt;"",IF(INDEX(LdgDepB,$M1382)=0,"",INDEX(LdgDepB,$M1382)),""))</f>
        <v/>
      </c>
      <c r="I1382" s="28">
        <f>IF($B1382="","",IF($I1381="",$C$10,$I1381)+IF($G1382="",0,$G1382)-IF($H1382="",0,$H1382))</f>
        <v/>
      </c>
      <c r="L1382">
        <f>IFERROR(MATCH($C$5&amp;"|"&amp;RIGHT("000000"&amp;1366,6),LdgRankKeyA,0),"")</f>
        <v/>
      </c>
      <c r="M1382">
        <f>IFERROR(MATCH($C$5&amp;"|"&amp;RIGHT("000000"&amp;1366,6),LdgRankKeyB,0),"")</f>
        <v/>
      </c>
    </row>
    <row r="1383">
      <c r="A1383" s="17" t="n">
        <v>1367</v>
      </c>
      <c r="B1383" s="18">
        <f>IF(AND($L1383="",$M1383=""),"",IF($L1383&lt;&gt;"",INDEX(SCNormDate,$L1383),INDEX(LdgDateB,$M1383)))</f>
        <v/>
      </c>
      <c r="C1383" s="18">
        <f>IF($L1383&lt;&gt;"",INDEX(SCOp,$L1383),IF($M1383&lt;&gt;"","پرداخت بانکی",""))</f>
        <v/>
      </c>
      <c r="D1383" s="18">
        <f>IF($L1383&lt;&gt;"",IF(INDEX(SCDoc,$L1383)="","—",INDEX(SCDoc,$L1383)),IF($M1383&lt;&gt;"",INDEX(LdgBankB,$M1383),""))</f>
        <v/>
      </c>
      <c r="E1383" s="19">
        <f>IF($L1383&lt;&gt;"",IF(INDEX(SCCitrus,$L1383)&amp;INDEX(SCNotes,$L1383)="","",IF(INDEX(SCCitrus,$L1383)="","",INDEX(SCCitrus,$L1383))&amp;IF(INDEX(SCNotes,$L1383)="",""," — "&amp;INDEX(SCNotes,$L1383))),IF($M1383&lt;&gt;"",IF(INDEX(LdgNoteB,$M1383)="","—",INDEX(LdgNoteB,$M1383)),""))</f>
        <v/>
      </c>
      <c r="F1383" s="20">
        <f>IF($L1383&lt;&gt;"",IF(INDEX(SCNet,$L1383)=0,"",INDEX(SCNet,$L1383)),"")</f>
        <v/>
      </c>
      <c r="G1383" s="21">
        <f>IF($L1383&lt;&gt;"",IF(INDEX(SCOp,$L1383)="مرجوعی فروش","",IF(INDEX(SCAmount,$L1383)&lt;=0,"",INDEX(SCAmount,$L1383))),IF($M1383&lt;&gt;"",IF(INDEX(LdgWitB,$M1383)=0,"",INDEX(LdgWitB,$M1383)),""))</f>
        <v/>
      </c>
      <c r="H1383" s="21">
        <f>IF($L1383&lt;&gt;"",IF(INDEX(SCOp,$L1383)="مرجوعی فروش",IF(INDEX(SCAmount,$L1383)=0,"",-INDEX(SCAmount,$L1383)),""),IF($M1383&lt;&gt;"",IF(INDEX(LdgDepB,$M1383)=0,"",INDEX(LdgDepB,$M1383)),""))</f>
        <v/>
      </c>
      <c r="I1383" s="22">
        <f>IF($B1383="","",IF($I1382="",$C$10,$I1382)+IF($G1383="",0,$G1383)-IF($H1383="",0,$H1383))</f>
        <v/>
      </c>
      <c r="L1383">
        <f>IFERROR(MATCH($C$5&amp;"|"&amp;RIGHT("000000"&amp;1367,6),LdgRankKeyA,0),"")</f>
        <v/>
      </c>
      <c r="M1383">
        <f>IFERROR(MATCH($C$5&amp;"|"&amp;RIGHT("000000"&amp;1367,6),LdgRankKeyB,0),"")</f>
        <v/>
      </c>
    </row>
    <row r="1384">
      <c r="A1384" s="23" t="n">
        <v>1368</v>
      </c>
      <c r="B1384" s="24">
        <f>IF(AND($L1384="",$M1384=""),"",IF($L1384&lt;&gt;"",INDEX(SCNormDate,$L1384),INDEX(LdgDateB,$M1384)))</f>
        <v/>
      </c>
      <c r="C1384" s="24">
        <f>IF($L1384&lt;&gt;"",INDEX(SCOp,$L1384),IF($M1384&lt;&gt;"","پرداخت بانکی",""))</f>
        <v/>
      </c>
      <c r="D1384" s="24">
        <f>IF($L1384&lt;&gt;"",IF(INDEX(SCDoc,$L1384)="","—",INDEX(SCDoc,$L1384)),IF($M1384&lt;&gt;"",INDEX(LdgBankB,$M1384),""))</f>
        <v/>
      </c>
      <c r="E1384" s="25">
        <f>IF($L1384&lt;&gt;"",IF(INDEX(SCCitrus,$L1384)&amp;INDEX(SCNotes,$L1384)="","",IF(INDEX(SCCitrus,$L1384)="","",INDEX(SCCitrus,$L1384))&amp;IF(INDEX(SCNotes,$L1384)="",""," — "&amp;INDEX(SCNotes,$L1384))),IF($M1384&lt;&gt;"",IF(INDEX(LdgNoteB,$M1384)="","—",INDEX(LdgNoteB,$M1384)),""))</f>
        <v/>
      </c>
      <c r="F1384" s="26">
        <f>IF($L1384&lt;&gt;"",IF(INDEX(SCNet,$L1384)=0,"",INDEX(SCNet,$L1384)),"")</f>
        <v/>
      </c>
      <c r="G1384" s="27">
        <f>IF($L1384&lt;&gt;"",IF(INDEX(SCOp,$L1384)="مرجوعی فروش","",IF(INDEX(SCAmount,$L1384)&lt;=0,"",INDEX(SCAmount,$L1384))),IF($M1384&lt;&gt;"",IF(INDEX(LdgWitB,$M1384)=0,"",INDEX(LdgWitB,$M1384)),""))</f>
        <v/>
      </c>
      <c r="H1384" s="27">
        <f>IF($L1384&lt;&gt;"",IF(INDEX(SCOp,$L1384)="مرجوعی فروش",IF(INDEX(SCAmount,$L1384)=0,"",-INDEX(SCAmount,$L1384)),""),IF($M1384&lt;&gt;"",IF(INDEX(LdgDepB,$M1384)=0,"",INDEX(LdgDepB,$M1384)),""))</f>
        <v/>
      </c>
      <c r="I1384" s="28">
        <f>IF($B1384="","",IF($I1383="",$C$10,$I1383)+IF($G1384="",0,$G1384)-IF($H1384="",0,$H1384))</f>
        <v/>
      </c>
      <c r="L1384">
        <f>IFERROR(MATCH($C$5&amp;"|"&amp;RIGHT("000000"&amp;1368,6),LdgRankKeyA,0),"")</f>
        <v/>
      </c>
      <c r="M1384">
        <f>IFERROR(MATCH($C$5&amp;"|"&amp;RIGHT("000000"&amp;1368,6),LdgRankKeyB,0),"")</f>
        <v/>
      </c>
    </row>
    <row r="1385">
      <c r="A1385" s="17" t="n">
        <v>1369</v>
      </c>
      <c r="B1385" s="18">
        <f>IF(AND($L1385="",$M1385=""),"",IF($L1385&lt;&gt;"",INDEX(SCNormDate,$L1385),INDEX(LdgDateB,$M1385)))</f>
        <v/>
      </c>
      <c r="C1385" s="18">
        <f>IF($L1385&lt;&gt;"",INDEX(SCOp,$L1385),IF($M1385&lt;&gt;"","پرداخت بانکی",""))</f>
        <v/>
      </c>
      <c r="D1385" s="18">
        <f>IF($L1385&lt;&gt;"",IF(INDEX(SCDoc,$L1385)="","—",INDEX(SCDoc,$L1385)),IF($M1385&lt;&gt;"",INDEX(LdgBankB,$M1385),""))</f>
        <v/>
      </c>
      <c r="E1385" s="19">
        <f>IF($L1385&lt;&gt;"",IF(INDEX(SCCitrus,$L1385)&amp;INDEX(SCNotes,$L1385)="","",IF(INDEX(SCCitrus,$L1385)="","",INDEX(SCCitrus,$L1385))&amp;IF(INDEX(SCNotes,$L1385)="",""," — "&amp;INDEX(SCNotes,$L1385))),IF($M1385&lt;&gt;"",IF(INDEX(LdgNoteB,$M1385)="","—",INDEX(LdgNoteB,$M1385)),""))</f>
        <v/>
      </c>
      <c r="F1385" s="20">
        <f>IF($L1385&lt;&gt;"",IF(INDEX(SCNet,$L1385)=0,"",INDEX(SCNet,$L1385)),"")</f>
        <v/>
      </c>
      <c r="G1385" s="21">
        <f>IF($L1385&lt;&gt;"",IF(INDEX(SCOp,$L1385)="مرجوعی فروش","",IF(INDEX(SCAmount,$L1385)&lt;=0,"",INDEX(SCAmount,$L1385))),IF($M1385&lt;&gt;"",IF(INDEX(LdgWitB,$M1385)=0,"",INDEX(LdgWitB,$M1385)),""))</f>
        <v/>
      </c>
      <c r="H1385" s="21">
        <f>IF($L1385&lt;&gt;"",IF(INDEX(SCOp,$L1385)="مرجوعی فروش",IF(INDEX(SCAmount,$L1385)=0,"",-INDEX(SCAmount,$L1385)),""),IF($M1385&lt;&gt;"",IF(INDEX(LdgDepB,$M1385)=0,"",INDEX(LdgDepB,$M1385)),""))</f>
        <v/>
      </c>
      <c r="I1385" s="22">
        <f>IF($B1385="","",IF($I1384="",$C$10,$I1384)+IF($G1385="",0,$G1385)-IF($H1385="",0,$H1385))</f>
        <v/>
      </c>
      <c r="L1385">
        <f>IFERROR(MATCH($C$5&amp;"|"&amp;RIGHT("000000"&amp;1369,6),LdgRankKeyA,0),"")</f>
        <v/>
      </c>
      <c r="M1385">
        <f>IFERROR(MATCH($C$5&amp;"|"&amp;RIGHT("000000"&amp;1369,6),LdgRankKeyB,0),"")</f>
        <v/>
      </c>
    </row>
    <row r="1386">
      <c r="A1386" s="23" t="n">
        <v>1370</v>
      </c>
      <c r="B1386" s="24">
        <f>IF(AND($L1386="",$M1386=""),"",IF($L1386&lt;&gt;"",INDEX(SCNormDate,$L1386),INDEX(LdgDateB,$M1386)))</f>
        <v/>
      </c>
      <c r="C1386" s="24">
        <f>IF($L1386&lt;&gt;"",INDEX(SCOp,$L1386),IF($M1386&lt;&gt;"","پرداخت بانکی",""))</f>
        <v/>
      </c>
      <c r="D1386" s="24">
        <f>IF($L1386&lt;&gt;"",IF(INDEX(SCDoc,$L1386)="","—",INDEX(SCDoc,$L1386)),IF($M1386&lt;&gt;"",INDEX(LdgBankB,$M1386),""))</f>
        <v/>
      </c>
      <c r="E1386" s="25">
        <f>IF($L1386&lt;&gt;"",IF(INDEX(SCCitrus,$L1386)&amp;INDEX(SCNotes,$L1386)="","",IF(INDEX(SCCitrus,$L1386)="","",INDEX(SCCitrus,$L1386))&amp;IF(INDEX(SCNotes,$L1386)="",""," — "&amp;INDEX(SCNotes,$L1386))),IF($M1386&lt;&gt;"",IF(INDEX(LdgNoteB,$M1386)="","—",INDEX(LdgNoteB,$M1386)),""))</f>
        <v/>
      </c>
      <c r="F1386" s="26">
        <f>IF($L1386&lt;&gt;"",IF(INDEX(SCNet,$L1386)=0,"",INDEX(SCNet,$L1386)),"")</f>
        <v/>
      </c>
      <c r="G1386" s="27">
        <f>IF($L1386&lt;&gt;"",IF(INDEX(SCOp,$L1386)="مرجوعی فروش","",IF(INDEX(SCAmount,$L1386)&lt;=0,"",INDEX(SCAmount,$L1386))),IF($M1386&lt;&gt;"",IF(INDEX(LdgWitB,$M1386)=0,"",INDEX(LdgWitB,$M1386)),""))</f>
        <v/>
      </c>
      <c r="H1386" s="27">
        <f>IF($L1386&lt;&gt;"",IF(INDEX(SCOp,$L1386)="مرجوعی فروش",IF(INDEX(SCAmount,$L1386)=0,"",-INDEX(SCAmount,$L1386)),""),IF($M1386&lt;&gt;"",IF(INDEX(LdgDepB,$M1386)=0,"",INDEX(LdgDepB,$M1386)),""))</f>
        <v/>
      </c>
      <c r="I1386" s="28">
        <f>IF($B1386="","",IF($I1385="",$C$10,$I1385)+IF($G1386="",0,$G1386)-IF($H1386="",0,$H1386))</f>
        <v/>
      </c>
      <c r="L1386">
        <f>IFERROR(MATCH($C$5&amp;"|"&amp;RIGHT("000000"&amp;1370,6),LdgRankKeyA,0),"")</f>
        <v/>
      </c>
      <c r="M1386">
        <f>IFERROR(MATCH($C$5&amp;"|"&amp;RIGHT("000000"&amp;1370,6),LdgRankKeyB,0),"")</f>
        <v/>
      </c>
    </row>
    <row r="1387">
      <c r="A1387" s="17" t="n">
        <v>1371</v>
      </c>
      <c r="B1387" s="18">
        <f>IF(AND($L1387="",$M1387=""),"",IF($L1387&lt;&gt;"",INDEX(SCNormDate,$L1387),INDEX(LdgDateB,$M1387)))</f>
        <v/>
      </c>
      <c r="C1387" s="18">
        <f>IF($L1387&lt;&gt;"",INDEX(SCOp,$L1387),IF($M1387&lt;&gt;"","پرداخت بانکی",""))</f>
        <v/>
      </c>
      <c r="D1387" s="18">
        <f>IF($L1387&lt;&gt;"",IF(INDEX(SCDoc,$L1387)="","—",INDEX(SCDoc,$L1387)),IF($M1387&lt;&gt;"",INDEX(LdgBankB,$M1387),""))</f>
        <v/>
      </c>
      <c r="E1387" s="19">
        <f>IF($L1387&lt;&gt;"",IF(INDEX(SCCitrus,$L1387)&amp;INDEX(SCNotes,$L1387)="","",IF(INDEX(SCCitrus,$L1387)="","",INDEX(SCCitrus,$L1387))&amp;IF(INDEX(SCNotes,$L1387)="",""," — "&amp;INDEX(SCNotes,$L1387))),IF($M1387&lt;&gt;"",IF(INDEX(LdgNoteB,$M1387)="","—",INDEX(LdgNoteB,$M1387)),""))</f>
        <v/>
      </c>
      <c r="F1387" s="20">
        <f>IF($L1387&lt;&gt;"",IF(INDEX(SCNet,$L1387)=0,"",INDEX(SCNet,$L1387)),"")</f>
        <v/>
      </c>
      <c r="G1387" s="21">
        <f>IF($L1387&lt;&gt;"",IF(INDEX(SCOp,$L1387)="مرجوعی فروش","",IF(INDEX(SCAmount,$L1387)&lt;=0,"",INDEX(SCAmount,$L1387))),IF($M1387&lt;&gt;"",IF(INDEX(LdgWitB,$M1387)=0,"",INDEX(LdgWitB,$M1387)),""))</f>
        <v/>
      </c>
      <c r="H1387" s="21">
        <f>IF($L1387&lt;&gt;"",IF(INDEX(SCOp,$L1387)="مرجوعی فروش",IF(INDEX(SCAmount,$L1387)=0,"",-INDEX(SCAmount,$L1387)),""),IF($M1387&lt;&gt;"",IF(INDEX(LdgDepB,$M1387)=0,"",INDEX(LdgDepB,$M1387)),""))</f>
        <v/>
      </c>
      <c r="I1387" s="22">
        <f>IF($B1387="","",IF($I1386="",$C$10,$I1386)+IF($G1387="",0,$G1387)-IF($H1387="",0,$H1387))</f>
        <v/>
      </c>
      <c r="L1387">
        <f>IFERROR(MATCH($C$5&amp;"|"&amp;RIGHT("000000"&amp;1371,6),LdgRankKeyA,0),"")</f>
        <v/>
      </c>
      <c r="M1387">
        <f>IFERROR(MATCH($C$5&amp;"|"&amp;RIGHT("000000"&amp;1371,6),LdgRankKeyB,0),"")</f>
        <v/>
      </c>
    </row>
    <row r="1388">
      <c r="A1388" s="23" t="n">
        <v>1372</v>
      </c>
      <c r="B1388" s="24">
        <f>IF(AND($L1388="",$M1388=""),"",IF($L1388&lt;&gt;"",INDEX(SCNormDate,$L1388),INDEX(LdgDateB,$M1388)))</f>
        <v/>
      </c>
      <c r="C1388" s="24">
        <f>IF($L1388&lt;&gt;"",INDEX(SCOp,$L1388),IF($M1388&lt;&gt;"","پرداخت بانکی",""))</f>
        <v/>
      </c>
      <c r="D1388" s="24">
        <f>IF($L1388&lt;&gt;"",IF(INDEX(SCDoc,$L1388)="","—",INDEX(SCDoc,$L1388)),IF($M1388&lt;&gt;"",INDEX(LdgBankB,$M1388),""))</f>
        <v/>
      </c>
      <c r="E1388" s="25">
        <f>IF($L1388&lt;&gt;"",IF(INDEX(SCCitrus,$L1388)&amp;INDEX(SCNotes,$L1388)="","",IF(INDEX(SCCitrus,$L1388)="","",INDEX(SCCitrus,$L1388))&amp;IF(INDEX(SCNotes,$L1388)="",""," — "&amp;INDEX(SCNotes,$L1388))),IF($M1388&lt;&gt;"",IF(INDEX(LdgNoteB,$M1388)="","—",INDEX(LdgNoteB,$M1388)),""))</f>
        <v/>
      </c>
      <c r="F1388" s="26">
        <f>IF($L1388&lt;&gt;"",IF(INDEX(SCNet,$L1388)=0,"",INDEX(SCNet,$L1388)),"")</f>
        <v/>
      </c>
      <c r="G1388" s="27">
        <f>IF($L1388&lt;&gt;"",IF(INDEX(SCOp,$L1388)="مرجوعی فروش","",IF(INDEX(SCAmount,$L1388)&lt;=0,"",INDEX(SCAmount,$L1388))),IF($M1388&lt;&gt;"",IF(INDEX(LdgWitB,$M1388)=0,"",INDEX(LdgWitB,$M1388)),""))</f>
        <v/>
      </c>
      <c r="H1388" s="27">
        <f>IF($L1388&lt;&gt;"",IF(INDEX(SCOp,$L1388)="مرجوعی فروش",IF(INDEX(SCAmount,$L1388)=0,"",-INDEX(SCAmount,$L1388)),""),IF($M1388&lt;&gt;"",IF(INDEX(LdgDepB,$M1388)=0,"",INDEX(LdgDepB,$M1388)),""))</f>
        <v/>
      </c>
      <c r="I1388" s="28">
        <f>IF($B1388="","",IF($I1387="",$C$10,$I1387)+IF($G1388="",0,$G1388)-IF($H1388="",0,$H1388))</f>
        <v/>
      </c>
      <c r="L1388">
        <f>IFERROR(MATCH($C$5&amp;"|"&amp;RIGHT("000000"&amp;1372,6),LdgRankKeyA,0),"")</f>
        <v/>
      </c>
      <c r="M1388">
        <f>IFERROR(MATCH($C$5&amp;"|"&amp;RIGHT("000000"&amp;1372,6),LdgRankKeyB,0),"")</f>
        <v/>
      </c>
    </row>
    <row r="1389">
      <c r="A1389" s="17" t="n">
        <v>1373</v>
      </c>
      <c r="B1389" s="18">
        <f>IF(AND($L1389="",$M1389=""),"",IF($L1389&lt;&gt;"",INDEX(SCNormDate,$L1389),INDEX(LdgDateB,$M1389)))</f>
        <v/>
      </c>
      <c r="C1389" s="18">
        <f>IF($L1389&lt;&gt;"",INDEX(SCOp,$L1389),IF($M1389&lt;&gt;"","پرداخت بانکی",""))</f>
        <v/>
      </c>
      <c r="D1389" s="18">
        <f>IF($L1389&lt;&gt;"",IF(INDEX(SCDoc,$L1389)="","—",INDEX(SCDoc,$L1389)),IF($M1389&lt;&gt;"",INDEX(LdgBankB,$M1389),""))</f>
        <v/>
      </c>
      <c r="E1389" s="19">
        <f>IF($L1389&lt;&gt;"",IF(INDEX(SCCitrus,$L1389)&amp;INDEX(SCNotes,$L1389)="","",IF(INDEX(SCCitrus,$L1389)="","",INDEX(SCCitrus,$L1389))&amp;IF(INDEX(SCNotes,$L1389)="",""," — "&amp;INDEX(SCNotes,$L1389))),IF($M1389&lt;&gt;"",IF(INDEX(LdgNoteB,$M1389)="","—",INDEX(LdgNoteB,$M1389)),""))</f>
        <v/>
      </c>
      <c r="F1389" s="20">
        <f>IF($L1389&lt;&gt;"",IF(INDEX(SCNet,$L1389)=0,"",INDEX(SCNet,$L1389)),"")</f>
        <v/>
      </c>
      <c r="G1389" s="21">
        <f>IF($L1389&lt;&gt;"",IF(INDEX(SCOp,$L1389)="مرجوعی فروش","",IF(INDEX(SCAmount,$L1389)&lt;=0,"",INDEX(SCAmount,$L1389))),IF($M1389&lt;&gt;"",IF(INDEX(LdgWitB,$M1389)=0,"",INDEX(LdgWitB,$M1389)),""))</f>
        <v/>
      </c>
      <c r="H1389" s="21">
        <f>IF($L1389&lt;&gt;"",IF(INDEX(SCOp,$L1389)="مرجوعی فروش",IF(INDEX(SCAmount,$L1389)=0,"",-INDEX(SCAmount,$L1389)),""),IF($M1389&lt;&gt;"",IF(INDEX(LdgDepB,$M1389)=0,"",INDEX(LdgDepB,$M1389)),""))</f>
        <v/>
      </c>
      <c r="I1389" s="22">
        <f>IF($B1389="","",IF($I1388="",$C$10,$I1388)+IF($G1389="",0,$G1389)-IF($H1389="",0,$H1389))</f>
        <v/>
      </c>
      <c r="L1389">
        <f>IFERROR(MATCH($C$5&amp;"|"&amp;RIGHT("000000"&amp;1373,6),LdgRankKeyA,0),"")</f>
        <v/>
      </c>
      <c r="M1389">
        <f>IFERROR(MATCH($C$5&amp;"|"&amp;RIGHT("000000"&amp;1373,6),LdgRankKeyB,0),"")</f>
        <v/>
      </c>
    </row>
    <row r="1390">
      <c r="A1390" s="23" t="n">
        <v>1374</v>
      </c>
      <c r="B1390" s="24">
        <f>IF(AND($L1390="",$M1390=""),"",IF($L1390&lt;&gt;"",INDEX(SCNormDate,$L1390),INDEX(LdgDateB,$M1390)))</f>
        <v/>
      </c>
      <c r="C1390" s="24">
        <f>IF($L1390&lt;&gt;"",INDEX(SCOp,$L1390),IF($M1390&lt;&gt;"","پرداخت بانکی",""))</f>
        <v/>
      </c>
      <c r="D1390" s="24">
        <f>IF($L1390&lt;&gt;"",IF(INDEX(SCDoc,$L1390)="","—",INDEX(SCDoc,$L1390)),IF($M1390&lt;&gt;"",INDEX(LdgBankB,$M1390),""))</f>
        <v/>
      </c>
      <c r="E1390" s="25">
        <f>IF($L1390&lt;&gt;"",IF(INDEX(SCCitrus,$L1390)&amp;INDEX(SCNotes,$L1390)="","",IF(INDEX(SCCitrus,$L1390)="","",INDEX(SCCitrus,$L1390))&amp;IF(INDEX(SCNotes,$L1390)="",""," — "&amp;INDEX(SCNotes,$L1390))),IF($M1390&lt;&gt;"",IF(INDEX(LdgNoteB,$M1390)="","—",INDEX(LdgNoteB,$M1390)),""))</f>
        <v/>
      </c>
      <c r="F1390" s="26">
        <f>IF($L1390&lt;&gt;"",IF(INDEX(SCNet,$L1390)=0,"",INDEX(SCNet,$L1390)),"")</f>
        <v/>
      </c>
      <c r="G1390" s="27">
        <f>IF($L1390&lt;&gt;"",IF(INDEX(SCOp,$L1390)="مرجوعی فروش","",IF(INDEX(SCAmount,$L1390)&lt;=0,"",INDEX(SCAmount,$L1390))),IF($M1390&lt;&gt;"",IF(INDEX(LdgWitB,$M1390)=0,"",INDEX(LdgWitB,$M1390)),""))</f>
        <v/>
      </c>
      <c r="H1390" s="27">
        <f>IF($L1390&lt;&gt;"",IF(INDEX(SCOp,$L1390)="مرجوعی فروش",IF(INDEX(SCAmount,$L1390)=0,"",-INDEX(SCAmount,$L1390)),""),IF($M1390&lt;&gt;"",IF(INDEX(LdgDepB,$M1390)=0,"",INDEX(LdgDepB,$M1390)),""))</f>
        <v/>
      </c>
      <c r="I1390" s="28">
        <f>IF($B1390="","",IF($I1389="",$C$10,$I1389)+IF($G1390="",0,$G1390)-IF($H1390="",0,$H1390))</f>
        <v/>
      </c>
      <c r="L1390">
        <f>IFERROR(MATCH($C$5&amp;"|"&amp;RIGHT("000000"&amp;1374,6),LdgRankKeyA,0),"")</f>
        <v/>
      </c>
      <c r="M1390">
        <f>IFERROR(MATCH($C$5&amp;"|"&amp;RIGHT("000000"&amp;1374,6),LdgRankKeyB,0),"")</f>
        <v/>
      </c>
    </row>
    <row r="1391">
      <c r="A1391" s="17" t="n">
        <v>1375</v>
      </c>
      <c r="B1391" s="18">
        <f>IF(AND($L1391="",$M1391=""),"",IF($L1391&lt;&gt;"",INDEX(SCNormDate,$L1391),INDEX(LdgDateB,$M1391)))</f>
        <v/>
      </c>
      <c r="C1391" s="18">
        <f>IF($L1391&lt;&gt;"",INDEX(SCOp,$L1391),IF($M1391&lt;&gt;"","پرداخت بانکی",""))</f>
        <v/>
      </c>
      <c r="D1391" s="18">
        <f>IF($L1391&lt;&gt;"",IF(INDEX(SCDoc,$L1391)="","—",INDEX(SCDoc,$L1391)),IF($M1391&lt;&gt;"",INDEX(LdgBankB,$M1391),""))</f>
        <v/>
      </c>
      <c r="E1391" s="19">
        <f>IF($L1391&lt;&gt;"",IF(INDEX(SCCitrus,$L1391)&amp;INDEX(SCNotes,$L1391)="","",IF(INDEX(SCCitrus,$L1391)="","",INDEX(SCCitrus,$L1391))&amp;IF(INDEX(SCNotes,$L1391)="",""," — "&amp;INDEX(SCNotes,$L1391))),IF($M1391&lt;&gt;"",IF(INDEX(LdgNoteB,$M1391)="","—",INDEX(LdgNoteB,$M1391)),""))</f>
        <v/>
      </c>
      <c r="F1391" s="20">
        <f>IF($L1391&lt;&gt;"",IF(INDEX(SCNet,$L1391)=0,"",INDEX(SCNet,$L1391)),"")</f>
        <v/>
      </c>
      <c r="G1391" s="21">
        <f>IF($L1391&lt;&gt;"",IF(INDEX(SCOp,$L1391)="مرجوعی فروش","",IF(INDEX(SCAmount,$L1391)&lt;=0,"",INDEX(SCAmount,$L1391))),IF($M1391&lt;&gt;"",IF(INDEX(LdgWitB,$M1391)=0,"",INDEX(LdgWitB,$M1391)),""))</f>
        <v/>
      </c>
      <c r="H1391" s="21">
        <f>IF($L1391&lt;&gt;"",IF(INDEX(SCOp,$L1391)="مرجوعی فروش",IF(INDEX(SCAmount,$L1391)=0,"",-INDEX(SCAmount,$L1391)),""),IF($M1391&lt;&gt;"",IF(INDEX(LdgDepB,$M1391)=0,"",INDEX(LdgDepB,$M1391)),""))</f>
        <v/>
      </c>
      <c r="I1391" s="22">
        <f>IF($B1391="","",IF($I1390="",$C$10,$I1390)+IF($G1391="",0,$G1391)-IF($H1391="",0,$H1391))</f>
        <v/>
      </c>
      <c r="L1391">
        <f>IFERROR(MATCH($C$5&amp;"|"&amp;RIGHT("000000"&amp;1375,6),LdgRankKeyA,0),"")</f>
        <v/>
      </c>
      <c r="M1391">
        <f>IFERROR(MATCH($C$5&amp;"|"&amp;RIGHT("000000"&amp;1375,6),LdgRankKeyB,0),"")</f>
        <v/>
      </c>
    </row>
    <row r="1392">
      <c r="A1392" s="23" t="n">
        <v>1376</v>
      </c>
      <c r="B1392" s="24">
        <f>IF(AND($L1392="",$M1392=""),"",IF($L1392&lt;&gt;"",INDEX(SCNormDate,$L1392),INDEX(LdgDateB,$M1392)))</f>
        <v/>
      </c>
      <c r="C1392" s="24">
        <f>IF($L1392&lt;&gt;"",INDEX(SCOp,$L1392),IF($M1392&lt;&gt;"","پرداخت بانکی",""))</f>
        <v/>
      </c>
      <c r="D1392" s="24">
        <f>IF($L1392&lt;&gt;"",IF(INDEX(SCDoc,$L1392)="","—",INDEX(SCDoc,$L1392)),IF($M1392&lt;&gt;"",INDEX(LdgBankB,$M1392),""))</f>
        <v/>
      </c>
      <c r="E1392" s="25">
        <f>IF($L1392&lt;&gt;"",IF(INDEX(SCCitrus,$L1392)&amp;INDEX(SCNotes,$L1392)="","",IF(INDEX(SCCitrus,$L1392)="","",INDEX(SCCitrus,$L1392))&amp;IF(INDEX(SCNotes,$L1392)="",""," — "&amp;INDEX(SCNotes,$L1392))),IF($M1392&lt;&gt;"",IF(INDEX(LdgNoteB,$M1392)="","—",INDEX(LdgNoteB,$M1392)),""))</f>
        <v/>
      </c>
      <c r="F1392" s="26">
        <f>IF($L1392&lt;&gt;"",IF(INDEX(SCNet,$L1392)=0,"",INDEX(SCNet,$L1392)),"")</f>
        <v/>
      </c>
      <c r="G1392" s="27">
        <f>IF($L1392&lt;&gt;"",IF(INDEX(SCOp,$L1392)="مرجوعی فروش","",IF(INDEX(SCAmount,$L1392)&lt;=0,"",INDEX(SCAmount,$L1392))),IF($M1392&lt;&gt;"",IF(INDEX(LdgWitB,$M1392)=0,"",INDEX(LdgWitB,$M1392)),""))</f>
        <v/>
      </c>
      <c r="H1392" s="27">
        <f>IF($L1392&lt;&gt;"",IF(INDEX(SCOp,$L1392)="مرجوعی فروش",IF(INDEX(SCAmount,$L1392)=0,"",-INDEX(SCAmount,$L1392)),""),IF($M1392&lt;&gt;"",IF(INDEX(LdgDepB,$M1392)=0,"",INDEX(LdgDepB,$M1392)),""))</f>
        <v/>
      </c>
      <c r="I1392" s="28">
        <f>IF($B1392="","",IF($I1391="",$C$10,$I1391)+IF($G1392="",0,$G1392)-IF($H1392="",0,$H1392))</f>
        <v/>
      </c>
      <c r="L1392">
        <f>IFERROR(MATCH($C$5&amp;"|"&amp;RIGHT("000000"&amp;1376,6),LdgRankKeyA,0),"")</f>
        <v/>
      </c>
      <c r="M1392">
        <f>IFERROR(MATCH($C$5&amp;"|"&amp;RIGHT("000000"&amp;1376,6),LdgRankKeyB,0),"")</f>
        <v/>
      </c>
    </row>
    <row r="1393">
      <c r="A1393" s="17" t="n">
        <v>1377</v>
      </c>
      <c r="B1393" s="18">
        <f>IF(AND($L1393="",$M1393=""),"",IF($L1393&lt;&gt;"",INDEX(SCNormDate,$L1393),INDEX(LdgDateB,$M1393)))</f>
        <v/>
      </c>
      <c r="C1393" s="18">
        <f>IF($L1393&lt;&gt;"",INDEX(SCOp,$L1393),IF($M1393&lt;&gt;"","پرداخت بانکی",""))</f>
        <v/>
      </c>
      <c r="D1393" s="18">
        <f>IF($L1393&lt;&gt;"",IF(INDEX(SCDoc,$L1393)="","—",INDEX(SCDoc,$L1393)),IF($M1393&lt;&gt;"",INDEX(LdgBankB,$M1393),""))</f>
        <v/>
      </c>
      <c r="E1393" s="19">
        <f>IF($L1393&lt;&gt;"",IF(INDEX(SCCitrus,$L1393)&amp;INDEX(SCNotes,$L1393)="","",IF(INDEX(SCCitrus,$L1393)="","",INDEX(SCCitrus,$L1393))&amp;IF(INDEX(SCNotes,$L1393)="",""," — "&amp;INDEX(SCNotes,$L1393))),IF($M1393&lt;&gt;"",IF(INDEX(LdgNoteB,$M1393)="","—",INDEX(LdgNoteB,$M1393)),""))</f>
        <v/>
      </c>
      <c r="F1393" s="20">
        <f>IF($L1393&lt;&gt;"",IF(INDEX(SCNet,$L1393)=0,"",INDEX(SCNet,$L1393)),"")</f>
        <v/>
      </c>
      <c r="G1393" s="21">
        <f>IF($L1393&lt;&gt;"",IF(INDEX(SCOp,$L1393)="مرجوعی فروش","",IF(INDEX(SCAmount,$L1393)&lt;=0,"",INDEX(SCAmount,$L1393))),IF($M1393&lt;&gt;"",IF(INDEX(LdgWitB,$M1393)=0,"",INDEX(LdgWitB,$M1393)),""))</f>
        <v/>
      </c>
      <c r="H1393" s="21">
        <f>IF($L1393&lt;&gt;"",IF(INDEX(SCOp,$L1393)="مرجوعی فروش",IF(INDEX(SCAmount,$L1393)=0,"",-INDEX(SCAmount,$L1393)),""),IF($M1393&lt;&gt;"",IF(INDEX(LdgDepB,$M1393)=0,"",INDEX(LdgDepB,$M1393)),""))</f>
        <v/>
      </c>
      <c r="I1393" s="22">
        <f>IF($B1393="","",IF($I1392="",$C$10,$I1392)+IF($G1393="",0,$G1393)-IF($H1393="",0,$H1393))</f>
        <v/>
      </c>
      <c r="L1393">
        <f>IFERROR(MATCH($C$5&amp;"|"&amp;RIGHT("000000"&amp;1377,6),LdgRankKeyA,0),"")</f>
        <v/>
      </c>
      <c r="M1393">
        <f>IFERROR(MATCH($C$5&amp;"|"&amp;RIGHT("000000"&amp;1377,6),LdgRankKeyB,0),"")</f>
        <v/>
      </c>
    </row>
    <row r="1394">
      <c r="A1394" s="23" t="n">
        <v>1378</v>
      </c>
      <c r="B1394" s="24">
        <f>IF(AND($L1394="",$M1394=""),"",IF($L1394&lt;&gt;"",INDEX(SCNormDate,$L1394),INDEX(LdgDateB,$M1394)))</f>
        <v/>
      </c>
      <c r="C1394" s="24">
        <f>IF($L1394&lt;&gt;"",INDEX(SCOp,$L1394),IF($M1394&lt;&gt;"","پرداخت بانکی",""))</f>
        <v/>
      </c>
      <c r="D1394" s="24">
        <f>IF($L1394&lt;&gt;"",IF(INDEX(SCDoc,$L1394)="","—",INDEX(SCDoc,$L1394)),IF($M1394&lt;&gt;"",INDEX(LdgBankB,$M1394),""))</f>
        <v/>
      </c>
      <c r="E1394" s="25">
        <f>IF($L1394&lt;&gt;"",IF(INDEX(SCCitrus,$L1394)&amp;INDEX(SCNotes,$L1394)="","",IF(INDEX(SCCitrus,$L1394)="","",INDEX(SCCitrus,$L1394))&amp;IF(INDEX(SCNotes,$L1394)="",""," — "&amp;INDEX(SCNotes,$L1394))),IF($M1394&lt;&gt;"",IF(INDEX(LdgNoteB,$M1394)="","—",INDEX(LdgNoteB,$M1394)),""))</f>
        <v/>
      </c>
      <c r="F1394" s="26">
        <f>IF($L1394&lt;&gt;"",IF(INDEX(SCNet,$L1394)=0,"",INDEX(SCNet,$L1394)),"")</f>
        <v/>
      </c>
      <c r="G1394" s="27">
        <f>IF($L1394&lt;&gt;"",IF(INDEX(SCOp,$L1394)="مرجوعی فروش","",IF(INDEX(SCAmount,$L1394)&lt;=0,"",INDEX(SCAmount,$L1394))),IF($M1394&lt;&gt;"",IF(INDEX(LdgWitB,$M1394)=0,"",INDEX(LdgWitB,$M1394)),""))</f>
        <v/>
      </c>
      <c r="H1394" s="27">
        <f>IF($L1394&lt;&gt;"",IF(INDEX(SCOp,$L1394)="مرجوعی فروش",IF(INDEX(SCAmount,$L1394)=0,"",-INDEX(SCAmount,$L1394)),""),IF($M1394&lt;&gt;"",IF(INDEX(LdgDepB,$M1394)=0,"",INDEX(LdgDepB,$M1394)),""))</f>
        <v/>
      </c>
      <c r="I1394" s="28">
        <f>IF($B1394="","",IF($I1393="",$C$10,$I1393)+IF($G1394="",0,$G1394)-IF($H1394="",0,$H1394))</f>
        <v/>
      </c>
      <c r="L1394">
        <f>IFERROR(MATCH($C$5&amp;"|"&amp;RIGHT("000000"&amp;1378,6),LdgRankKeyA,0),"")</f>
        <v/>
      </c>
      <c r="M1394">
        <f>IFERROR(MATCH($C$5&amp;"|"&amp;RIGHT("000000"&amp;1378,6),LdgRankKeyB,0),"")</f>
        <v/>
      </c>
    </row>
    <row r="1395">
      <c r="A1395" s="17" t="n">
        <v>1379</v>
      </c>
      <c r="B1395" s="18">
        <f>IF(AND($L1395="",$M1395=""),"",IF($L1395&lt;&gt;"",INDEX(SCNormDate,$L1395),INDEX(LdgDateB,$M1395)))</f>
        <v/>
      </c>
      <c r="C1395" s="18">
        <f>IF($L1395&lt;&gt;"",INDEX(SCOp,$L1395),IF($M1395&lt;&gt;"","پرداخت بانکی",""))</f>
        <v/>
      </c>
      <c r="D1395" s="18">
        <f>IF($L1395&lt;&gt;"",IF(INDEX(SCDoc,$L1395)="","—",INDEX(SCDoc,$L1395)),IF($M1395&lt;&gt;"",INDEX(LdgBankB,$M1395),""))</f>
        <v/>
      </c>
      <c r="E1395" s="19">
        <f>IF($L1395&lt;&gt;"",IF(INDEX(SCCitrus,$L1395)&amp;INDEX(SCNotes,$L1395)="","",IF(INDEX(SCCitrus,$L1395)="","",INDEX(SCCitrus,$L1395))&amp;IF(INDEX(SCNotes,$L1395)="",""," — "&amp;INDEX(SCNotes,$L1395))),IF($M1395&lt;&gt;"",IF(INDEX(LdgNoteB,$M1395)="","—",INDEX(LdgNoteB,$M1395)),""))</f>
        <v/>
      </c>
      <c r="F1395" s="20">
        <f>IF($L1395&lt;&gt;"",IF(INDEX(SCNet,$L1395)=0,"",INDEX(SCNet,$L1395)),"")</f>
        <v/>
      </c>
      <c r="G1395" s="21">
        <f>IF($L1395&lt;&gt;"",IF(INDEX(SCOp,$L1395)="مرجوعی فروش","",IF(INDEX(SCAmount,$L1395)&lt;=0,"",INDEX(SCAmount,$L1395))),IF($M1395&lt;&gt;"",IF(INDEX(LdgWitB,$M1395)=0,"",INDEX(LdgWitB,$M1395)),""))</f>
        <v/>
      </c>
      <c r="H1395" s="21">
        <f>IF($L1395&lt;&gt;"",IF(INDEX(SCOp,$L1395)="مرجوعی فروش",IF(INDEX(SCAmount,$L1395)=0,"",-INDEX(SCAmount,$L1395)),""),IF($M1395&lt;&gt;"",IF(INDEX(LdgDepB,$M1395)=0,"",INDEX(LdgDepB,$M1395)),""))</f>
        <v/>
      </c>
      <c r="I1395" s="22">
        <f>IF($B1395="","",IF($I1394="",$C$10,$I1394)+IF($G1395="",0,$G1395)-IF($H1395="",0,$H1395))</f>
        <v/>
      </c>
      <c r="L1395">
        <f>IFERROR(MATCH($C$5&amp;"|"&amp;RIGHT("000000"&amp;1379,6),LdgRankKeyA,0),"")</f>
        <v/>
      </c>
      <c r="M1395">
        <f>IFERROR(MATCH($C$5&amp;"|"&amp;RIGHT("000000"&amp;1379,6),LdgRankKeyB,0),"")</f>
        <v/>
      </c>
    </row>
    <row r="1396">
      <c r="A1396" s="23" t="n">
        <v>1380</v>
      </c>
      <c r="B1396" s="24">
        <f>IF(AND($L1396="",$M1396=""),"",IF($L1396&lt;&gt;"",INDEX(SCNormDate,$L1396),INDEX(LdgDateB,$M1396)))</f>
        <v/>
      </c>
      <c r="C1396" s="24">
        <f>IF($L1396&lt;&gt;"",INDEX(SCOp,$L1396),IF($M1396&lt;&gt;"","پرداخت بانکی",""))</f>
        <v/>
      </c>
      <c r="D1396" s="24">
        <f>IF($L1396&lt;&gt;"",IF(INDEX(SCDoc,$L1396)="","—",INDEX(SCDoc,$L1396)),IF($M1396&lt;&gt;"",INDEX(LdgBankB,$M1396),""))</f>
        <v/>
      </c>
      <c r="E1396" s="25">
        <f>IF($L1396&lt;&gt;"",IF(INDEX(SCCitrus,$L1396)&amp;INDEX(SCNotes,$L1396)="","",IF(INDEX(SCCitrus,$L1396)="","",INDEX(SCCitrus,$L1396))&amp;IF(INDEX(SCNotes,$L1396)="",""," — "&amp;INDEX(SCNotes,$L1396))),IF($M1396&lt;&gt;"",IF(INDEX(LdgNoteB,$M1396)="","—",INDEX(LdgNoteB,$M1396)),""))</f>
        <v/>
      </c>
      <c r="F1396" s="26">
        <f>IF($L1396&lt;&gt;"",IF(INDEX(SCNet,$L1396)=0,"",INDEX(SCNet,$L1396)),"")</f>
        <v/>
      </c>
      <c r="G1396" s="27">
        <f>IF($L1396&lt;&gt;"",IF(INDEX(SCOp,$L1396)="مرجوعی فروش","",IF(INDEX(SCAmount,$L1396)&lt;=0,"",INDEX(SCAmount,$L1396))),IF($M1396&lt;&gt;"",IF(INDEX(LdgWitB,$M1396)=0,"",INDEX(LdgWitB,$M1396)),""))</f>
        <v/>
      </c>
      <c r="H1396" s="27">
        <f>IF($L1396&lt;&gt;"",IF(INDEX(SCOp,$L1396)="مرجوعی فروش",IF(INDEX(SCAmount,$L1396)=0,"",-INDEX(SCAmount,$L1396)),""),IF($M1396&lt;&gt;"",IF(INDEX(LdgDepB,$M1396)=0,"",INDEX(LdgDepB,$M1396)),""))</f>
        <v/>
      </c>
      <c r="I1396" s="28">
        <f>IF($B1396="","",IF($I1395="",$C$10,$I1395)+IF($G1396="",0,$G1396)-IF($H1396="",0,$H1396))</f>
        <v/>
      </c>
      <c r="L1396">
        <f>IFERROR(MATCH($C$5&amp;"|"&amp;RIGHT("000000"&amp;1380,6),LdgRankKeyA,0),"")</f>
        <v/>
      </c>
      <c r="M1396">
        <f>IFERROR(MATCH($C$5&amp;"|"&amp;RIGHT("000000"&amp;1380,6),LdgRankKeyB,0),"")</f>
        <v/>
      </c>
    </row>
    <row r="1397">
      <c r="A1397" s="17" t="n">
        <v>1381</v>
      </c>
      <c r="B1397" s="18">
        <f>IF(AND($L1397="",$M1397=""),"",IF($L1397&lt;&gt;"",INDEX(SCNormDate,$L1397),INDEX(LdgDateB,$M1397)))</f>
        <v/>
      </c>
      <c r="C1397" s="18">
        <f>IF($L1397&lt;&gt;"",INDEX(SCOp,$L1397),IF($M1397&lt;&gt;"","پرداخت بانکی",""))</f>
        <v/>
      </c>
      <c r="D1397" s="18">
        <f>IF($L1397&lt;&gt;"",IF(INDEX(SCDoc,$L1397)="","—",INDEX(SCDoc,$L1397)),IF($M1397&lt;&gt;"",INDEX(LdgBankB,$M1397),""))</f>
        <v/>
      </c>
      <c r="E1397" s="19">
        <f>IF($L1397&lt;&gt;"",IF(INDEX(SCCitrus,$L1397)&amp;INDEX(SCNotes,$L1397)="","",IF(INDEX(SCCitrus,$L1397)="","",INDEX(SCCitrus,$L1397))&amp;IF(INDEX(SCNotes,$L1397)="",""," — "&amp;INDEX(SCNotes,$L1397))),IF($M1397&lt;&gt;"",IF(INDEX(LdgNoteB,$M1397)="","—",INDEX(LdgNoteB,$M1397)),""))</f>
        <v/>
      </c>
      <c r="F1397" s="20">
        <f>IF($L1397&lt;&gt;"",IF(INDEX(SCNet,$L1397)=0,"",INDEX(SCNet,$L1397)),"")</f>
        <v/>
      </c>
      <c r="G1397" s="21">
        <f>IF($L1397&lt;&gt;"",IF(INDEX(SCOp,$L1397)="مرجوعی فروش","",IF(INDEX(SCAmount,$L1397)&lt;=0,"",INDEX(SCAmount,$L1397))),IF($M1397&lt;&gt;"",IF(INDEX(LdgWitB,$M1397)=0,"",INDEX(LdgWitB,$M1397)),""))</f>
        <v/>
      </c>
      <c r="H1397" s="21">
        <f>IF($L1397&lt;&gt;"",IF(INDEX(SCOp,$L1397)="مرجوعی فروش",IF(INDEX(SCAmount,$L1397)=0,"",-INDEX(SCAmount,$L1397)),""),IF($M1397&lt;&gt;"",IF(INDEX(LdgDepB,$M1397)=0,"",INDEX(LdgDepB,$M1397)),""))</f>
        <v/>
      </c>
      <c r="I1397" s="22">
        <f>IF($B1397="","",IF($I1396="",$C$10,$I1396)+IF($G1397="",0,$G1397)-IF($H1397="",0,$H1397))</f>
        <v/>
      </c>
      <c r="L1397">
        <f>IFERROR(MATCH($C$5&amp;"|"&amp;RIGHT("000000"&amp;1381,6),LdgRankKeyA,0),"")</f>
        <v/>
      </c>
      <c r="M1397">
        <f>IFERROR(MATCH($C$5&amp;"|"&amp;RIGHT("000000"&amp;1381,6),LdgRankKeyB,0),"")</f>
        <v/>
      </c>
    </row>
    <row r="1398">
      <c r="A1398" s="23" t="n">
        <v>1382</v>
      </c>
      <c r="B1398" s="24">
        <f>IF(AND($L1398="",$M1398=""),"",IF($L1398&lt;&gt;"",INDEX(SCNormDate,$L1398),INDEX(LdgDateB,$M1398)))</f>
        <v/>
      </c>
      <c r="C1398" s="24">
        <f>IF($L1398&lt;&gt;"",INDEX(SCOp,$L1398),IF($M1398&lt;&gt;"","پرداخت بانکی",""))</f>
        <v/>
      </c>
      <c r="D1398" s="24">
        <f>IF($L1398&lt;&gt;"",IF(INDEX(SCDoc,$L1398)="","—",INDEX(SCDoc,$L1398)),IF($M1398&lt;&gt;"",INDEX(LdgBankB,$M1398),""))</f>
        <v/>
      </c>
      <c r="E1398" s="25">
        <f>IF($L1398&lt;&gt;"",IF(INDEX(SCCitrus,$L1398)&amp;INDEX(SCNotes,$L1398)="","",IF(INDEX(SCCitrus,$L1398)="","",INDEX(SCCitrus,$L1398))&amp;IF(INDEX(SCNotes,$L1398)="",""," — "&amp;INDEX(SCNotes,$L1398))),IF($M1398&lt;&gt;"",IF(INDEX(LdgNoteB,$M1398)="","—",INDEX(LdgNoteB,$M1398)),""))</f>
        <v/>
      </c>
      <c r="F1398" s="26">
        <f>IF($L1398&lt;&gt;"",IF(INDEX(SCNet,$L1398)=0,"",INDEX(SCNet,$L1398)),"")</f>
        <v/>
      </c>
      <c r="G1398" s="27">
        <f>IF($L1398&lt;&gt;"",IF(INDEX(SCOp,$L1398)="مرجوعی فروش","",IF(INDEX(SCAmount,$L1398)&lt;=0,"",INDEX(SCAmount,$L1398))),IF($M1398&lt;&gt;"",IF(INDEX(LdgWitB,$M1398)=0,"",INDEX(LdgWitB,$M1398)),""))</f>
        <v/>
      </c>
      <c r="H1398" s="27">
        <f>IF($L1398&lt;&gt;"",IF(INDEX(SCOp,$L1398)="مرجوعی فروش",IF(INDEX(SCAmount,$L1398)=0,"",-INDEX(SCAmount,$L1398)),""),IF($M1398&lt;&gt;"",IF(INDEX(LdgDepB,$M1398)=0,"",INDEX(LdgDepB,$M1398)),""))</f>
        <v/>
      </c>
      <c r="I1398" s="28">
        <f>IF($B1398="","",IF($I1397="",$C$10,$I1397)+IF($G1398="",0,$G1398)-IF($H1398="",0,$H1398))</f>
        <v/>
      </c>
      <c r="L1398">
        <f>IFERROR(MATCH($C$5&amp;"|"&amp;RIGHT("000000"&amp;1382,6),LdgRankKeyA,0),"")</f>
        <v/>
      </c>
      <c r="M1398">
        <f>IFERROR(MATCH($C$5&amp;"|"&amp;RIGHT("000000"&amp;1382,6),LdgRankKeyB,0),"")</f>
        <v/>
      </c>
    </row>
    <row r="1399">
      <c r="A1399" s="17" t="n">
        <v>1383</v>
      </c>
      <c r="B1399" s="18">
        <f>IF(AND($L1399="",$M1399=""),"",IF($L1399&lt;&gt;"",INDEX(SCNormDate,$L1399),INDEX(LdgDateB,$M1399)))</f>
        <v/>
      </c>
      <c r="C1399" s="18">
        <f>IF($L1399&lt;&gt;"",INDEX(SCOp,$L1399),IF($M1399&lt;&gt;"","پرداخت بانکی",""))</f>
        <v/>
      </c>
      <c r="D1399" s="18">
        <f>IF($L1399&lt;&gt;"",IF(INDEX(SCDoc,$L1399)="","—",INDEX(SCDoc,$L1399)),IF($M1399&lt;&gt;"",INDEX(LdgBankB,$M1399),""))</f>
        <v/>
      </c>
      <c r="E1399" s="19">
        <f>IF($L1399&lt;&gt;"",IF(INDEX(SCCitrus,$L1399)&amp;INDEX(SCNotes,$L1399)="","",IF(INDEX(SCCitrus,$L1399)="","",INDEX(SCCitrus,$L1399))&amp;IF(INDEX(SCNotes,$L1399)="",""," — "&amp;INDEX(SCNotes,$L1399))),IF($M1399&lt;&gt;"",IF(INDEX(LdgNoteB,$M1399)="","—",INDEX(LdgNoteB,$M1399)),""))</f>
        <v/>
      </c>
      <c r="F1399" s="20">
        <f>IF($L1399&lt;&gt;"",IF(INDEX(SCNet,$L1399)=0,"",INDEX(SCNet,$L1399)),"")</f>
        <v/>
      </c>
      <c r="G1399" s="21">
        <f>IF($L1399&lt;&gt;"",IF(INDEX(SCOp,$L1399)="مرجوعی فروش","",IF(INDEX(SCAmount,$L1399)&lt;=0,"",INDEX(SCAmount,$L1399))),IF($M1399&lt;&gt;"",IF(INDEX(LdgWitB,$M1399)=0,"",INDEX(LdgWitB,$M1399)),""))</f>
        <v/>
      </c>
      <c r="H1399" s="21">
        <f>IF($L1399&lt;&gt;"",IF(INDEX(SCOp,$L1399)="مرجوعی فروش",IF(INDEX(SCAmount,$L1399)=0,"",-INDEX(SCAmount,$L1399)),""),IF($M1399&lt;&gt;"",IF(INDEX(LdgDepB,$M1399)=0,"",INDEX(LdgDepB,$M1399)),""))</f>
        <v/>
      </c>
      <c r="I1399" s="22">
        <f>IF($B1399="","",IF($I1398="",$C$10,$I1398)+IF($G1399="",0,$G1399)-IF($H1399="",0,$H1399))</f>
        <v/>
      </c>
      <c r="L1399">
        <f>IFERROR(MATCH($C$5&amp;"|"&amp;RIGHT("000000"&amp;1383,6),LdgRankKeyA,0),"")</f>
        <v/>
      </c>
      <c r="M1399">
        <f>IFERROR(MATCH($C$5&amp;"|"&amp;RIGHT("000000"&amp;1383,6),LdgRankKeyB,0),"")</f>
        <v/>
      </c>
    </row>
    <row r="1400">
      <c r="A1400" s="23" t="n">
        <v>1384</v>
      </c>
      <c r="B1400" s="24">
        <f>IF(AND($L1400="",$M1400=""),"",IF($L1400&lt;&gt;"",INDEX(SCNormDate,$L1400),INDEX(LdgDateB,$M1400)))</f>
        <v/>
      </c>
      <c r="C1400" s="24">
        <f>IF($L1400&lt;&gt;"",INDEX(SCOp,$L1400),IF($M1400&lt;&gt;"","پرداخت بانکی",""))</f>
        <v/>
      </c>
      <c r="D1400" s="24">
        <f>IF($L1400&lt;&gt;"",IF(INDEX(SCDoc,$L1400)="","—",INDEX(SCDoc,$L1400)),IF($M1400&lt;&gt;"",INDEX(LdgBankB,$M1400),""))</f>
        <v/>
      </c>
      <c r="E1400" s="25">
        <f>IF($L1400&lt;&gt;"",IF(INDEX(SCCitrus,$L1400)&amp;INDEX(SCNotes,$L1400)="","",IF(INDEX(SCCitrus,$L1400)="","",INDEX(SCCitrus,$L1400))&amp;IF(INDEX(SCNotes,$L1400)="",""," — "&amp;INDEX(SCNotes,$L1400))),IF($M1400&lt;&gt;"",IF(INDEX(LdgNoteB,$M1400)="","—",INDEX(LdgNoteB,$M1400)),""))</f>
        <v/>
      </c>
      <c r="F1400" s="26">
        <f>IF($L1400&lt;&gt;"",IF(INDEX(SCNet,$L1400)=0,"",INDEX(SCNet,$L1400)),"")</f>
        <v/>
      </c>
      <c r="G1400" s="27">
        <f>IF($L1400&lt;&gt;"",IF(INDEX(SCOp,$L1400)="مرجوعی فروش","",IF(INDEX(SCAmount,$L1400)&lt;=0,"",INDEX(SCAmount,$L1400))),IF($M1400&lt;&gt;"",IF(INDEX(LdgWitB,$M1400)=0,"",INDEX(LdgWitB,$M1400)),""))</f>
        <v/>
      </c>
      <c r="H1400" s="27">
        <f>IF($L1400&lt;&gt;"",IF(INDEX(SCOp,$L1400)="مرجوعی فروش",IF(INDEX(SCAmount,$L1400)=0,"",-INDEX(SCAmount,$L1400)),""),IF($M1400&lt;&gt;"",IF(INDEX(LdgDepB,$M1400)=0,"",INDEX(LdgDepB,$M1400)),""))</f>
        <v/>
      </c>
      <c r="I1400" s="28">
        <f>IF($B1400="","",IF($I1399="",$C$10,$I1399)+IF($G1400="",0,$G1400)-IF($H1400="",0,$H1400))</f>
        <v/>
      </c>
      <c r="L1400">
        <f>IFERROR(MATCH($C$5&amp;"|"&amp;RIGHT("000000"&amp;1384,6),LdgRankKeyA,0),"")</f>
        <v/>
      </c>
      <c r="M1400">
        <f>IFERROR(MATCH($C$5&amp;"|"&amp;RIGHT("000000"&amp;1384,6),LdgRankKeyB,0),"")</f>
        <v/>
      </c>
    </row>
    <row r="1401">
      <c r="A1401" s="17" t="n">
        <v>1385</v>
      </c>
      <c r="B1401" s="18">
        <f>IF(AND($L1401="",$M1401=""),"",IF($L1401&lt;&gt;"",INDEX(SCNormDate,$L1401),INDEX(LdgDateB,$M1401)))</f>
        <v/>
      </c>
      <c r="C1401" s="18">
        <f>IF($L1401&lt;&gt;"",INDEX(SCOp,$L1401),IF($M1401&lt;&gt;"","پرداخت بانکی",""))</f>
        <v/>
      </c>
      <c r="D1401" s="18">
        <f>IF($L1401&lt;&gt;"",IF(INDEX(SCDoc,$L1401)="","—",INDEX(SCDoc,$L1401)),IF($M1401&lt;&gt;"",INDEX(LdgBankB,$M1401),""))</f>
        <v/>
      </c>
      <c r="E1401" s="19">
        <f>IF($L1401&lt;&gt;"",IF(INDEX(SCCitrus,$L1401)&amp;INDEX(SCNotes,$L1401)="","",IF(INDEX(SCCitrus,$L1401)="","",INDEX(SCCitrus,$L1401))&amp;IF(INDEX(SCNotes,$L1401)="",""," — "&amp;INDEX(SCNotes,$L1401))),IF($M1401&lt;&gt;"",IF(INDEX(LdgNoteB,$M1401)="","—",INDEX(LdgNoteB,$M1401)),""))</f>
        <v/>
      </c>
      <c r="F1401" s="20">
        <f>IF($L1401&lt;&gt;"",IF(INDEX(SCNet,$L1401)=0,"",INDEX(SCNet,$L1401)),"")</f>
        <v/>
      </c>
      <c r="G1401" s="21">
        <f>IF($L1401&lt;&gt;"",IF(INDEX(SCOp,$L1401)="مرجوعی فروش","",IF(INDEX(SCAmount,$L1401)&lt;=0,"",INDEX(SCAmount,$L1401))),IF($M1401&lt;&gt;"",IF(INDEX(LdgWitB,$M1401)=0,"",INDEX(LdgWitB,$M1401)),""))</f>
        <v/>
      </c>
      <c r="H1401" s="21">
        <f>IF($L1401&lt;&gt;"",IF(INDEX(SCOp,$L1401)="مرجوعی فروش",IF(INDEX(SCAmount,$L1401)=0,"",-INDEX(SCAmount,$L1401)),""),IF($M1401&lt;&gt;"",IF(INDEX(LdgDepB,$M1401)=0,"",INDEX(LdgDepB,$M1401)),""))</f>
        <v/>
      </c>
      <c r="I1401" s="22">
        <f>IF($B1401="","",IF($I1400="",$C$10,$I1400)+IF($G1401="",0,$G1401)-IF($H1401="",0,$H1401))</f>
        <v/>
      </c>
      <c r="L1401">
        <f>IFERROR(MATCH($C$5&amp;"|"&amp;RIGHT("000000"&amp;1385,6),LdgRankKeyA,0),"")</f>
        <v/>
      </c>
      <c r="M1401">
        <f>IFERROR(MATCH($C$5&amp;"|"&amp;RIGHT("000000"&amp;1385,6),LdgRankKeyB,0),"")</f>
        <v/>
      </c>
    </row>
    <row r="1402">
      <c r="A1402" s="23" t="n">
        <v>1386</v>
      </c>
      <c r="B1402" s="24">
        <f>IF(AND($L1402="",$M1402=""),"",IF($L1402&lt;&gt;"",INDEX(SCNormDate,$L1402),INDEX(LdgDateB,$M1402)))</f>
        <v/>
      </c>
      <c r="C1402" s="24">
        <f>IF($L1402&lt;&gt;"",INDEX(SCOp,$L1402),IF($M1402&lt;&gt;"","پرداخت بانکی",""))</f>
        <v/>
      </c>
      <c r="D1402" s="24">
        <f>IF($L1402&lt;&gt;"",IF(INDEX(SCDoc,$L1402)="","—",INDEX(SCDoc,$L1402)),IF($M1402&lt;&gt;"",INDEX(LdgBankB,$M1402),""))</f>
        <v/>
      </c>
      <c r="E1402" s="25">
        <f>IF($L1402&lt;&gt;"",IF(INDEX(SCCitrus,$L1402)&amp;INDEX(SCNotes,$L1402)="","",IF(INDEX(SCCitrus,$L1402)="","",INDEX(SCCitrus,$L1402))&amp;IF(INDEX(SCNotes,$L1402)="",""," — "&amp;INDEX(SCNotes,$L1402))),IF($M1402&lt;&gt;"",IF(INDEX(LdgNoteB,$M1402)="","—",INDEX(LdgNoteB,$M1402)),""))</f>
        <v/>
      </c>
      <c r="F1402" s="26">
        <f>IF($L1402&lt;&gt;"",IF(INDEX(SCNet,$L1402)=0,"",INDEX(SCNet,$L1402)),"")</f>
        <v/>
      </c>
      <c r="G1402" s="27">
        <f>IF($L1402&lt;&gt;"",IF(INDEX(SCOp,$L1402)="مرجوعی فروش","",IF(INDEX(SCAmount,$L1402)&lt;=0,"",INDEX(SCAmount,$L1402))),IF($M1402&lt;&gt;"",IF(INDEX(LdgWitB,$M1402)=0,"",INDEX(LdgWitB,$M1402)),""))</f>
        <v/>
      </c>
      <c r="H1402" s="27">
        <f>IF($L1402&lt;&gt;"",IF(INDEX(SCOp,$L1402)="مرجوعی فروش",IF(INDEX(SCAmount,$L1402)=0,"",-INDEX(SCAmount,$L1402)),""),IF($M1402&lt;&gt;"",IF(INDEX(LdgDepB,$M1402)=0,"",INDEX(LdgDepB,$M1402)),""))</f>
        <v/>
      </c>
      <c r="I1402" s="28">
        <f>IF($B1402="","",IF($I1401="",$C$10,$I1401)+IF($G1402="",0,$G1402)-IF($H1402="",0,$H1402))</f>
        <v/>
      </c>
      <c r="L1402">
        <f>IFERROR(MATCH($C$5&amp;"|"&amp;RIGHT("000000"&amp;1386,6),LdgRankKeyA,0),"")</f>
        <v/>
      </c>
      <c r="M1402">
        <f>IFERROR(MATCH($C$5&amp;"|"&amp;RIGHT("000000"&amp;1386,6),LdgRankKeyB,0),"")</f>
        <v/>
      </c>
    </row>
    <row r="1403">
      <c r="A1403" s="17" t="n">
        <v>1387</v>
      </c>
      <c r="B1403" s="18">
        <f>IF(AND($L1403="",$M1403=""),"",IF($L1403&lt;&gt;"",INDEX(SCNormDate,$L1403),INDEX(LdgDateB,$M1403)))</f>
        <v/>
      </c>
      <c r="C1403" s="18">
        <f>IF($L1403&lt;&gt;"",INDEX(SCOp,$L1403),IF($M1403&lt;&gt;"","پرداخت بانکی",""))</f>
        <v/>
      </c>
      <c r="D1403" s="18">
        <f>IF($L1403&lt;&gt;"",IF(INDEX(SCDoc,$L1403)="","—",INDEX(SCDoc,$L1403)),IF($M1403&lt;&gt;"",INDEX(LdgBankB,$M1403),""))</f>
        <v/>
      </c>
      <c r="E1403" s="19">
        <f>IF($L1403&lt;&gt;"",IF(INDEX(SCCitrus,$L1403)&amp;INDEX(SCNotes,$L1403)="","",IF(INDEX(SCCitrus,$L1403)="","",INDEX(SCCitrus,$L1403))&amp;IF(INDEX(SCNotes,$L1403)="",""," — "&amp;INDEX(SCNotes,$L1403))),IF($M1403&lt;&gt;"",IF(INDEX(LdgNoteB,$M1403)="","—",INDEX(LdgNoteB,$M1403)),""))</f>
        <v/>
      </c>
      <c r="F1403" s="20">
        <f>IF($L1403&lt;&gt;"",IF(INDEX(SCNet,$L1403)=0,"",INDEX(SCNet,$L1403)),"")</f>
        <v/>
      </c>
      <c r="G1403" s="21">
        <f>IF($L1403&lt;&gt;"",IF(INDEX(SCOp,$L1403)="مرجوعی فروش","",IF(INDEX(SCAmount,$L1403)&lt;=0,"",INDEX(SCAmount,$L1403))),IF($M1403&lt;&gt;"",IF(INDEX(LdgWitB,$M1403)=0,"",INDEX(LdgWitB,$M1403)),""))</f>
        <v/>
      </c>
      <c r="H1403" s="21">
        <f>IF($L1403&lt;&gt;"",IF(INDEX(SCOp,$L1403)="مرجوعی فروش",IF(INDEX(SCAmount,$L1403)=0,"",-INDEX(SCAmount,$L1403)),""),IF($M1403&lt;&gt;"",IF(INDEX(LdgDepB,$M1403)=0,"",INDEX(LdgDepB,$M1403)),""))</f>
        <v/>
      </c>
      <c r="I1403" s="22">
        <f>IF($B1403="","",IF($I1402="",$C$10,$I1402)+IF($G1403="",0,$G1403)-IF($H1403="",0,$H1403))</f>
        <v/>
      </c>
      <c r="L1403">
        <f>IFERROR(MATCH($C$5&amp;"|"&amp;RIGHT("000000"&amp;1387,6),LdgRankKeyA,0),"")</f>
        <v/>
      </c>
      <c r="M1403">
        <f>IFERROR(MATCH($C$5&amp;"|"&amp;RIGHT("000000"&amp;1387,6),LdgRankKeyB,0),"")</f>
        <v/>
      </c>
    </row>
    <row r="1404">
      <c r="A1404" s="23" t="n">
        <v>1388</v>
      </c>
      <c r="B1404" s="24">
        <f>IF(AND($L1404="",$M1404=""),"",IF($L1404&lt;&gt;"",INDEX(SCNormDate,$L1404),INDEX(LdgDateB,$M1404)))</f>
        <v/>
      </c>
      <c r="C1404" s="24">
        <f>IF($L1404&lt;&gt;"",INDEX(SCOp,$L1404),IF($M1404&lt;&gt;"","پرداخت بانکی",""))</f>
        <v/>
      </c>
      <c r="D1404" s="24">
        <f>IF($L1404&lt;&gt;"",IF(INDEX(SCDoc,$L1404)="","—",INDEX(SCDoc,$L1404)),IF($M1404&lt;&gt;"",INDEX(LdgBankB,$M1404),""))</f>
        <v/>
      </c>
      <c r="E1404" s="25">
        <f>IF($L1404&lt;&gt;"",IF(INDEX(SCCitrus,$L1404)&amp;INDEX(SCNotes,$L1404)="","",IF(INDEX(SCCitrus,$L1404)="","",INDEX(SCCitrus,$L1404))&amp;IF(INDEX(SCNotes,$L1404)="",""," — "&amp;INDEX(SCNotes,$L1404))),IF($M1404&lt;&gt;"",IF(INDEX(LdgNoteB,$M1404)="","—",INDEX(LdgNoteB,$M1404)),""))</f>
        <v/>
      </c>
      <c r="F1404" s="26">
        <f>IF($L1404&lt;&gt;"",IF(INDEX(SCNet,$L1404)=0,"",INDEX(SCNet,$L1404)),"")</f>
        <v/>
      </c>
      <c r="G1404" s="27">
        <f>IF($L1404&lt;&gt;"",IF(INDEX(SCOp,$L1404)="مرجوعی فروش","",IF(INDEX(SCAmount,$L1404)&lt;=0,"",INDEX(SCAmount,$L1404))),IF($M1404&lt;&gt;"",IF(INDEX(LdgWitB,$M1404)=0,"",INDEX(LdgWitB,$M1404)),""))</f>
        <v/>
      </c>
      <c r="H1404" s="27">
        <f>IF($L1404&lt;&gt;"",IF(INDEX(SCOp,$L1404)="مرجوعی فروش",IF(INDEX(SCAmount,$L1404)=0,"",-INDEX(SCAmount,$L1404)),""),IF($M1404&lt;&gt;"",IF(INDEX(LdgDepB,$M1404)=0,"",INDEX(LdgDepB,$M1404)),""))</f>
        <v/>
      </c>
      <c r="I1404" s="28">
        <f>IF($B1404="","",IF($I1403="",$C$10,$I1403)+IF($G1404="",0,$G1404)-IF($H1404="",0,$H1404))</f>
        <v/>
      </c>
      <c r="L1404">
        <f>IFERROR(MATCH($C$5&amp;"|"&amp;RIGHT("000000"&amp;1388,6),LdgRankKeyA,0),"")</f>
        <v/>
      </c>
      <c r="M1404">
        <f>IFERROR(MATCH($C$5&amp;"|"&amp;RIGHT("000000"&amp;1388,6),LdgRankKeyB,0),"")</f>
        <v/>
      </c>
    </row>
    <row r="1405">
      <c r="A1405" s="17" t="n">
        <v>1389</v>
      </c>
      <c r="B1405" s="18">
        <f>IF(AND($L1405="",$M1405=""),"",IF($L1405&lt;&gt;"",INDEX(SCNormDate,$L1405),INDEX(LdgDateB,$M1405)))</f>
        <v/>
      </c>
      <c r="C1405" s="18">
        <f>IF($L1405&lt;&gt;"",INDEX(SCOp,$L1405),IF($M1405&lt;&gt;"","پرداخت بانکی",""))</f>
        <v/>
      </c>
      <c r="D1405" s="18">
        <f>IF($L1405&lt;&gt;"",IF(INDEX(SCDoc,$L1405)="","—",INDEX(SCDoc,$L1405)),IF($M1405&lt;&gt;"",INDEX(LdgBankB,$M1405),""))</f>
        <v/>
      </c>
      <c r="E1405" s="19">
        <f>IF($L1405&lt;&gt;"",IF(INDEX(SCCitrus,$L1405)&amp;INDEX(SCNotes,$L1405)="","",IF(INDEX(SCCitrus,$L1405)="","",INDEX(SCCitrus,$L1405))&amp;IF(INDEX(SCNotes,$L1405)="",""," — "&amp;INDEX(SCNotes,$L1405))),IF($M1405&lt;&gt;"",IF(INDEX(LdgNoteB,$M1405)="","—",INDEX(LdgNoteB,$M1405)),""))</f>
        <v/>
      </c>
      <c r="F1405" s="20">
        <f>IF($L1405&lt;&gt;"",IF(INDEX(SCNet,$L1405)=0,"",INDEX(SCNet,$L1405)),"")</f>
        <v/>
      </c>
      <c r="G1405" s="21">
        <f>IF($L1405&lt;&gt;"",IF(INDEX(SCOp,$L1405)="مرجوعی فروش","",IF(INDEX(SCAmount,$L1405)&lt;=0,"",INDEX(SCAmount,$L1405))),IF($M1405&lt;&gt;"",IF(INDEX(LdgWitB,$M1405)=0,"",INDEX(LdgWitB,$M1405)),""))</f>
        <v/>
      </c>
      <c r="H1405" s="21">
        <f>IF($L1405&lt;&gt;"",IF(INDEX(SCOp,$L1405)="مرجوعی فروش",IF(INDEX(SCAmount,$L1405)=0,"",-INDEX(SCAmount,$L1405)),""),IF($M1405&lt;&gt;"",IF(INDEX(LdgDepB,$M1405)=0,"",INDEX(LdgDepB,$M1405)),""))</f>
        <v/>
      </c>
      <c r="I1405" s="22">
        <f>IF($B1405="","",IF($I1404="",$C$10,$I1404)+IF($G1405="",0,$G1405)-IF($H1405="",0,$H1405))</f>
        <v/>
      </c>
      <c r="L1405">
        <f>IFERROR(MATCH($C$5&amp;"|"&amp;RIGHT("000000"&amp;1389,6),LdgRankKeyA,0),"")</f>
        <v/>
      </c>
      <c r="M1405">
        <f>IFERROR(MATCH($C$5&amp;"|"&amp;RIGHT("000000"&amp;1389,6),LdgRankKeyB,0),"")</f>
        <v/>
      </c>
    </row>
    <row r="1406">
      <c r="A1406" s="23" t="n">
        <v>1390</v>
      </c>
      <c r="B1406" s="24">
        <f>IF(AND($L1406="",$M1406=""),"",IF($L1406&lt;&gt;"",INDEX(SCNormDate,$L1406),INDEX(LdgDateB,$M1406)))</f>
        <v/>
      </c>
      <c r="C1406" s="24">
        <f>IF($L1406&lt;&gt;"",INDEX(SCOp,$L1406),IF($M1406&lt;&gt;"","پرداخت بانکی",""))</f>
        <v/>
      </c>
      <c r="D1406" s="24">
        <f>IF($L1406&lt;&gt;"",IF(INDEX(SCDoc,$L1406)="","—",INDEX(SCDoc,$L1406)),IF($M1406&lt;&gt;"",INDEX(LdgBankB,$M1406),""))</f>
        <v/>
      </c>
      <c r="E1406" s="25">
        <f>IF($L1406&lt;&gt;"",IF(INDEX(SCCitrus,$L1406)&amp;INDEX(SCNotes,$L1406)="","",IF(INDEX(SCCitrus,$L1406)="","",INDEX(SCCitrus,$L1406))&amp;IF(INDEX(SCNotes,$L1406)="",""," — "&amp;INDEX(SCNotes,$L1406))),IF($M1406&lt;&gt;"",IF(INDEX(LdgNoteB,$M1406)="","—",INDEX(LdgNoteB,$M1406)),""))</f>
        <v/>
      </c>
      <c r="F1406" s="26">
        <f>IF($L1406&lt;&gt;"",IF(INDEX(SCNet,$L1406)=0,"",INDEX(SCNet,$L1406)),"")</f>
        <v/>
      </c>
      <c r="G1406" s="27">
        <f>IF($L1406&lt;&gt;"",IF(INDEX(SCOp,$L1406)="مرجوعی فروش","",IF(INDEX(SCAmount,$L1406)&lt;=0,"",INDEX(SCAmount,$L1406))),IF($M1406&lt;&gt;"",IF(INDEX(LdgWitB,$M1406)=0,"",INDEX(LdgWitB,$M1406)),""))</f>
        <v/>
      </c>
      <c r="H1406" s="27">
        <f>IF($L1406&lt;&gt;"",IF(INDEX(SCOp,$L1406)="مرجوعی فروش",IF(INDEX(SCAmount,$L1406)=0,"",-INDEX(SCAmount,$L1406)),""),IF($M1406&lt;&gt;"",IF(INDEX(LdgDepB,$M1406)=0,"",INDEX(LdgDepB,$M1406)),""))</f>
        <v/>
      </c>
      <c r="I1406" s="28">
        <f>IF($B1406="","",IF($I1405="",$C$10,$I1405)+IF($G1406="",0,$G1406)-IF($H1406="",0,$H1406))</f>
        <v/>
      </c>
      <c r="L1406">
        <f>IFERROR(MATCH($C$5&amp;"|"&amp;RIGHT("000000"&amp;1390,6),LdgRankKeyA,0),"")</f>
        <v/>
      </c>
      <c r="M1406">
        <f>IFERROR(MATCH($C$5&amp;"|"&amp;RIGHT("000000"&amp;1390,6),LdgRankKeyB,0),"")</f>
        <v/>
      </c>
    </row>
    <row r="1407">
      <c r="A1407" s="17" t="n">
        <v>1391</v>
      </c>
      <c r="B1407" s="18">
        <f>IF(AND($L1407="",$M1407=""),"",IF($L1407&lt;&gt;"",INDEX(SCNormDate,$L1407),INDEX(LdgDateB,$M1407)))</f>
        <v/>
      </c>
      <c r="C1407" s="18">
        <f>IF($L1407&lt;&gt;"",INDEX(SCOp,$L1407),IF($M1407&lt;&gt;"","پرداخت بانکی",""))</f>
        <v/>
      </c>
      <c r="D1407" s="18">
        <f>IF($L1407&lt;&gt;"",IF(INDEX(SCDoc,$L1407)="","—",INDEX(SCDoc,$L1407)),IF($M1407&lt;&gt;"",INDEX(LdgBankB,$M1407),""))</f>
        <v/>
      </c>
      <c r="E1407" s="19">
        <f>IF($L1407&lt;&gt;"",IF(INDEX(SCCitrus,$L1407)&amp;INDEX(SCNotes,$L1407)="","",IF(INDEX(SCCitrus,$L1407)="","",INDEX(SCCitrus,$L1407))&amp;IF(INDEX(SCNotes,$L1407)="",""," — "&amp;INDEX(SCNotes,$L1407))),IF($M1407&lt;&gt;"",IF(INDEX(LdgNoteB,$M1407)="","—",INDEX(LdgNoteB,$M1407)),""))</f>
        <v/>
      </c>
      <c r="F1407" s="20">
        <f>IF($L1407&lt;&gt;"",IF(INDEX(SCNet,$L1407)=0,"",INDEX(SCNet,$L1407)),"")</f>
        <v/>
      </c>
      <c r="G1407" s="21">
        <f>IF($L1407&lt;&gt;"",IF(INDEX(SCOp,$L1407)="مرجوعی فروش","",IF(INDEX(SCAmount,$L1407)&lt;=0,"",INDEX(SCAmount,$L1407))),IF($M1407&lt;&gt;"",IF(INDEX(LdgWitB,$M1407)=0,"",INDEX(LdgWitB,$M1407)),""))</f>
        <v/>
      </c>
      <c r="H1407" s="21">
        <f>IF($L1407&lt;&gt;"",IF(INDEX(SCOp,$L1407)="مرجوعی فروش",IF(INDEX(SCAmount,$L1407)=0,"",-INDEX(SCAmount,$L1407)),""),IF($M1407&lt;&gt;"",IF(INDEX(LdgDepB,$M1407)=0,"",INDEX(LdgDepB,$M1407)),""))</f>
        <v/>
      </c>
      <c r="I1407" s="22">
        <f>IF($B1407="","",IF($I1406="",$C$10,$I1406)+IF($G1407="",0,$G1407)-IF($H1407="",0,$H1407))</f>
        <v/>
      </c>
      <c r="L1407">
        <f>IFERROR(MATCH($C$5&amp;"|"&amp;RIGHT("000000"&amp;1391,6),LdgRankKeyA,0),"")</f>
        <v/>
      </c>
      <c r="M1407">
        <f>IFERROR(MATCH($C$5&amp;"|"&amp;RIGHT("000000"&amp;1391,6),LdgRankKeyB,0),"")</f>
        <v/>
      </c>
    </row>
    <row r="1408">
      <c r="A1408" s="23" t="n">
        <v>1392</v>
      </c>
      <c r="B1408" s="24">
        <f>IF(AND($L1408="",$M1408=""),"",IF($L1408&lt;&gt;"",INDEX(SCNormDate,$L1408),INDEX(LdgDateB,$M1408)))</f>
        <v/>
      </c>
      <c r="C1408" s="24">
        <f>IF($L1408&lt;&gt;"",INDEX(SCOp,$L1408),IF($M1408&lt;&gt;"","پرداخت بانکی",""))</f>
        <v/>
      </c>
      <c r="D1408" s="24">
        <f>IF($L1408&lt;&gt;"",IF(INDEX(SCDoc,$L1408)="","—",INDEX(SCDoc,$L1408)),IF($M1408&lt;&gt;"",INDEX(LdgBankB,$M1408),""))</f>
        <v/>
      </c>
      <c r="E1408" s="25">
        <f>IF($L1408&lt;&gt;"",IF(INDEX(SCCitrus,$L1408)&amp;INDEX(SCNotes,$L1408)="","",IF(INDEX(SCCitrus,$L1408)="","",INDEX(SCCitrus,$L1408))&amp;IF(INDEX(SCNotes,$L1408)="",""," — "&amp;INDEX(SCNotes,$L1408))),IF($M1408&lt;&gt;"",IF(INDEX(LdgNoteB,$M1408)="","—",INDEX(LdgNoteB,$M1408)),""))</f>
        <v/>
      </c>
      <c r="F1408" s="26">
        <f>IF($L1408&lt;&gt;"",IF(INDEX(SCNet,$L1408)=0,"",INDEX(SCNet,$L1408)),"")</f>
        <v/>
      </c>
      <c r="G1408" s="27">
        <f>IF($L1408&lt;&gt;"",IF(INDEX(SCOp,$L1408)="مرجوعی فروش","",IF(INDEX(SCAmount,$L1408)&lt;=0,"",INDEX(SCAmount,$L1408))),IF($M1408&lt;&gt;"",IF(INDEX(LdgWitB,$M1408)=0,"",INDEX(LdgWitB,$M1408)),""))</f>
        <v/>
      </c>
      <c r="H1408" s="27">
        <f>IF($L1408&lt;&gt;"",IF(INDEX(SCOp,$L1408)="مرجوعی فروش",IF(INDEX(SCAmount,$L1408)=0,"",-INDEX(SCAmount,$L1408)),""),IF($M1408&lt;&gt;"",IF(INDEX(LdgDepB,$M1408)=0,"",INDEX(LdgDepB,$M1408)),""))</f>
        <v/>
      </c>
      <c r="I1408" s="28">
        <f>IF($B1408="","",IF($I1407="",$C$10,$I1407)+IF($G1408="",0,$G1408)-IF($H1408="",0,$H1408))</f>
        <v/>
      </c>
      <c r="L1408">
        <f>IFERROR(MATCH($C$5&amp;"|"&amp;RIGHT("000000"&amp;1392,6),LdgRankKeyA,0),"")</f>
        <v/>
      </c>
      <c r="M1408">
        <f>IFERROR(MATCH($C$5&amp;"|"&amp;RIGHT("000000"&amp;1392,6),LdgRankKeyB,0),"")</f>
        <v/>
      </c>
    </row>
    <row r="1409">
      <c r="A1409" s="17" t="n">
        <v>1393</v>
      </c>
      <c r="B1409" s="18">
        <f>IF(AND($L1409="",$M1409=""),"",IF($L1409&lt;&gt;"",INDEX(SCNormDate,$L1409),INDEX(LdgDateB,$M1409)))</f>
        <v/>
      </c>
      <c r="C1409" s="18">
        <f>IF($L1409&lt;&gt;"",INDEX(SCOp,$L1409),IF($M1409&lt;&gt;"","پرداخت بانکی",""))</f>
        <v/>
      </c>
      <c r="D1409" s="18">
        <f>IF($L1409&lt;&gt;"",IF(INDEX(SCDoc,$L1409)="","—",INDEX(SCDoc,$L1409)),IF($M1409&lt;&gt;"",INDEX(LdgBankB,$M1409),""))</f>
        <v/>
      </c>
      <c r="E1409" s="19">
        <f>IF($L1409&lt;&gt;"",IF(INDEX(SCCitrus,$L1409)&amp;INDEX(SCNotes,$L1409)="","",IF(INDEX(SCCitrus,$L1409)="","",INDEX(SCCitrus,$L1409))&amp;IF(INDEX(SCNotes,$L1409)="",""," — "&amp;INDEX(SCNotes,$L1409))),IF($M1409&lt;&gt;"",IF(INDEX(LdgNoteB,$M1409)="","—",INDEX(LdgNoteB,$M1409)),""))</f>
        <v/>
      </c>
      <c r="F1409" s="20">
        <f>IF($L1409&lt;&gt;"",IF(INDEX(SCNet,$L1409)=0,"",INDEX(SCNet,$L1409)),"")</f>
        <v/>
      </c>
      <c r="G1409" s="21">
        <f>IF($L1409&lt;&gt;"",IF(INDEX(SCOp,$L1409)="مرجوعی فروش","",IF(INDEX(SCAmount,$L1409)&lt;=0,"",INDEX(SCAmount,$L1409))),IF($M1409&lt;&gt;"",IF(INDEX(LdgWitB,$M1409)=0,"",INDEX(LdgWitB,$M1409)),""))</f>
        <v/>
      </c>
      <c r="H1409" s="21">
        <f>IF($L1409&lt;&gt;"",IF(INDEX(SCOp,$L1409)="مرجوعی فروش",IF(INDEX(SCAmount,$L1409)=0,"",-INDEX(SCAmount,$L1409)),""),IF($M1409&lt;&gt;"",IF(INDEX(LdgDepB,$M1409)=0,"",INDEX(LdgDepB,$M1409)),""))</f>
        <v/>
      </c>
      <c r="I1409" s="22">
        <f>IF($B1409="","",IF($I1408="",$C$10,$I1408)+IF($G1409="",0,$G1409)-IF($H1409="",0,$H1409))</f>
        <v/>
      </c>
      <c r="L1409">
        <f>IFERROR(MATCH($C$5&amp;"|"&amp;RIGHT("000000"&amp;1393,6),LdgRankKeyA,0),"")</f>
        <v/>
      </c>
      <c r="M1409">
        <f>IFERROR(MATCH($C$5&amp;"|"&amp;RIGHT("000000"&amp;1393,6),LdgRankKeyB,0),"")</f>
        <v/>
      </c>
    </row>
    <row r="1410">
      <c r="A1410" s="23" t="n">
        <v>1394</v>
      </c>
      <c r="B1410" s="24">
        <f>IF(AND($L1410="",$M1410=""),"",IF($L1410&lt;&gt;"",INDEX(SCNormDate,$L1410),INDEX(LdgDateB,$M1410)))</f>
        <v/>
      </c>
      <c r="C1410" s="24">
        <f>IF($L1410&lt;&gt;"",INDEX(SCOp,$L1410),IF($M1410&lt;&gt;"","پرداخت بانکی",""))</f>
        <v/>
      </c>
      <c r="D1410" s="24">
        <f>IF($L1410&lt;&gt;"",IF(INDEX(SCDoc,$L1410)="","—",INDEX(SCDoc,$L1410)),IF($M1410&lt;&gt;"",INDEX(LdgBankB,$M1410),""))</f>
        <v/>
      </c>
      <c r="E1410" s="25">
        <f>IF($L1410&lt;&gt;"",IF(INDEX(SCCitrus,$L1410)&amp;INDEX(SCNotes,$L1410)="","",IF(INDEX(SCCitrus,$L1410)="","",INDEX(SCCitrus,$L1410))&amp;IF(INDEX(SCNotes,$L1410)="",""," — "&amp;INDEX(SCNotes,$L1410))),IF($M1410&lt;&gt;"",IF(INDEX(LdgNoteB,$M1410)="","—",INDEX(LdgNoteB,$M1410)),""))</f>
        <v/>
      </c>
      <c r="F1410" s="26">
        <f>IF($L1410&lt;&gt;"",IF(INDEX(SCNet,$L1410)=0,"",INDEX(SCNet,$L1410)),"")</f>
        <v/>
      </c>
      <c r="G1410" s="27">
        <f>IF($L1410&lt;&gt;"",IF(INDEX(SCOp,$L1410)="مرجوعی فروش","",IF(INDEX(SCAmount,$L1410)&lt;=0,"",INDEX(SCAmount,$L1410))),IF($M1410&lt;&gt;"",IF(INDEX(LdgWitB,$M1410)=0,"",INDEX(LdgWitB,$M1410)),""))</f>
        <v/>
      </c>
      <c r="H1410" s="27">
        <f>IF($L1410&lt;&gt;"",IF(INDEX(SCOp,$L1410)="مرجوعی فروش",IF(INDEX(SCAmount,$L1410)=0,"",-INDEX(SCAmount,$L1410)),""),IF($M1410&lt;&gt;"",IF(INDEX(LdgDepB,$M1410)=0,"",INDEX(LdgDepB,$M1410)),""))</f>
        <v/>
      </c>
      <c r="I1410" s="28">
        <f>IF($B1410="","",IF($I1409="",$C$10,$I1409)+IF($G1410="",0,$G1410)-IF($H1410="",0,$H1410))</f>
        <v/>
      </c>
      <c r="L1410">
        <f>IFERROR(MATCH($C$5&amp;"|"&amp;RIGHT("000000"&amp;1394,6),LdgRankKeyA,0),"")</f>
        <v/>
      </c>
      <c r="M1410">
        <f>IFERROR(MATCH($C$5&amp;"|"&amp;RIGHT("000000"&amp;1394,6),LdgRankKeyB,0),"")</f>
        <v/>
      </c>
    </row>
    <row r="1411">
      <c r="A1411" s="17" t="n">
        <v>1395</v>
      </c>
      <c r="B1411" s="18">
        <f>IF(AND($L1411="",$M1411=""),"",IF($L1411&lt;&gt;"",INDEX(SCNormDate,$L1411),INDEX(LdgDateB,$M1411)))</f>
        <v/>
      </c>
      <c r="C1411" s="18">
        <f>IF($L1411&lt;&gt;"",INDEX(SCOp,$L1411),IF($M1411&lt;&gt;"","پرداخت بانکی",""))</f>
        <v/>
      </c>
      <c r="D1411" s="18">
        <f>IF($L1411&lt;&gt;"",IF(INDEX(SCDoc,$L1411)="","—",INDEX(SCDoc,$L1411)),IF($M1411&lt;&gt;"",INDEX(LdgBankB,$M1411),""))</f>
        <v/>
      </c>
      <c r="E1411" s="19">
        <f>IF($L1411&lt;&gt;"",IF(INDEX(SCCitrus,$L1411)&amp;INDEX(SCNotes,$L1411)="","",IF(INDEX(SCCitrus,$L1411)="","",INDEX(SCCitrus,$L1411))&amp;IF(INDEX(SCNotes,$L1411)="",""," — "&amp;INDEX(SCNotes,$L1411))),IF($M1411&lt;&gt;"",IF(INDEX(LdgNoteB,$M1411)="","—",INDEX(LdgNoteB,$M1411)),""))</f>
        <v/>
      </c>
      <c r="F1411" s="20">
        <f>IF($L1411&lt;&gt;"",IF(INDEX(SCNet,$L1411)=0,"",INDEX(SCNet,$L1411)),"")</f>
        <v/>
      </c>
      <c r="G1411" s="21">
        <f>IF($L1411&lt;&gt;"",IF(INDEX(SCOp,$L1411)="مرجوعی فروش","",IF(INDEX(SCAmount,$L1411)&lt;=0,"",INDEX(SCAmount,$L1411))),IF($M1411&lt;&gt;"",IF(INDEX(LdgWitB,$M1411)=0,"",INDEX(LdgWitB,$M1411)),""))</f>
        <v/>
      </c>
      <c r="H1411" s="21">
        <f>IF($L1411&lt;&gt;"",IF(INDEX(SCOp,$L1411)="مرجوعی فروش",IF(INDEX(SCAmount,$L1411)=0,"",-INDEX(SCAmount,$L1411)),""),IF($M1411&lt;&gt;"",IF(INDEX(LdgDepB,$M1411)=0,"",INDEX(LdgDepB,$M1411)),""))</f>
        <v/>
      </c>
      <c r="I1411" s="22">
        <f>IF($B1411="","",IF($I1410="",$C$10,$I1410)+IF($G1411="",0,$G1411)-IF($H1411="",0,$H1411))</f>
        <v/>
      </c>
      <c r="L1411">
        <f>IFERROR(MATCH($C$5&amp;"|"&amp;RIGHT("000000"&amp;1395,6),LdgRankKeyA,0),"")</f>
        <v/>
      </c>
      <c r="M1411">
        <f>IFERROR(MATCH($C$5&amp;"|"&amp;RIGHT("000000"&amp;1395,6),LdgRankKeyB,0),"")</f>
        <v/>
      </c>
    </row>
    <row r="1412">
      <c r="A1412" s="23" t="n">
        <v>1396</v>
      </c>
      <c r="B1412" s="24">
        <f>IF(AND($L1412="",$M1412=""),"",IF($L1412&lt;&gt;"",INDEX(SCNormDate,$L1412),INDEX(LdgDateB,$M1412)))</f>
        <v/>
      </c>
      <c r="C1412" s="24">
        <f>IF($L1412&lt;&gt;"",INDEX(SCOp,$L1412),IF($M1412&lt;&gt;"","پرداخت بانکی",""))</f>
        <v/>
      </c>
      <c r="D1412" s="24">
        <f>IF($L1412&lt;&gt;"",IF(INDEX(SCDoc,$L1412)="","—",INDEX(SCDoc,$L1412)),IF($M1412&lt;&gt;"",INDEX(LdgBankB,$M1412),""))</f>
        <v/>
      </c>
      <c r="E1412" s="25">
        <f>IF($L1412&lt;&gt;"",IF(INDEX(SCCitrus,$L1412)&amp;INDEX(SCNotes,$L1412)="","",IF(INDEX(SCCitrus,$L1412)="","",INDEX(SCCitrus,$L1412))&amp;IF(INDEX(SCNotes,$L1412)="",""," — "&amp;INDEX(SCNotes,$L1412))),IF($M1412&lt;&gt;"",IF(INDEX(LdgNoteB,$M1412)="","—",INDEX(LdgNoteB,$M1412)),""))</f>
        <v/>
      </c>
      <c r="F1412" s="26">
        <f>IF($L1412&lt;&gt;"",IF(INDEX(SCNet,$L1412)=0,"",INDEX(SCNet,$L1412)),"")</f>
        <v/>
      </c>
      <c r="G1412" s="27">
        <f>IF($L1412&lt;&gt;"",IF(INDEX(SCOp,$L1412)="مرجوعی فروش","",IF(INDEX(SCAmount,$L1412)&lt;=0,"",INDEX(SCAmount,$L1412))),IF($M1412&lt;&gt;"",IF(INDEX(LdgWitB,$M1412)=0,"",INDEX(LdgWitB,$M1412)),""))</f>
        <v/>
      </c>
      <c r="H1412" s="27">
        <f>IF($L1412&lt;&gt;"",IF(INDEX(SCOp,$L1412)="مرجوعی فروش",IF(INDEX(SCAmount,$L1412)=0,"",-INDEX(SCAmount,$L1412)),""),IF($M1412&lt;&gt;"",IF(INDEX(LdgDepB,$M1412)=0,"",INDEX(LdgDepB,$M1412)),""))</f>
        <v/>
      </c>
      <c r="I1412" s="28">
        <f>IF($B1412="","",IF($I1411="",$C$10,$I1411)+IF($G1412="",0,$G1412)-IF($H1412="",0,$H1412))</f>
        <v/>
      </c>
      <c r="L1412">
        <f>IFERROR(MATCH($C$5&amp;"|"&amp;RIGHT("000000"&amp;1396,6),LdgRankKeyA,0),"")</f>
        <v/>
      </c>
      <c r="M1412">
        <f>IFERROR(MATCH($C$5&amp;"|"&amp;RIGHT("000000"&amp;1396,6),LdgRankKeyB,0),"")</f>
        <v/>
      </c>
    </row>
    <row r="1413">
      <c r="A1413" s="17" t="n">
        <v>1397</v>
      </c>
      <c r="B1413" s="18">
        <f>IF(AND($L1413="",$M1413=""),"",IF($L1413&lt;&gt;"",INDEX(SCNormDate,$L1413),INDEX(LdgDateB,$M1413)))</f>
        <v/>
      </c>
      <c r="C1413" s="18">
        <f>IF($L1413&lt;&gt;"",INDEX(SCOp,$L1413),IF($M1413&lt;&gt;"","پرداخت بانکی",""))</f>
        <v/>
      </c>
      <c r="D1413" s="18">
        <f>IF($L1413&lt;&gt;"",IF(INDEX(SCDoc,$L1413)="","—",INDEX(SCDoc,$L1413)),IF($M1413&lt;&gt;"",INDEX(LdgBankB,$M1413),""))</f>
        <v/>
      </c>
      <c r="E1413" s="19">
        <f>IF($L1413&lt;&gt;"",IF(INDEX(SCCitrus,$L1413)&amp;INDEX(SCNotes,$L1413)="","",IF(INDEX(SCCitrus,$L1413)="","",INDEX(SCCitrus,$L1413))&amp;IF(INDEX(SCNotes,$L1413)="",""," — "&amp;INDEX(SCNotes,$L1413))),IF($M1413&lt;&gt;"",IF(INDEX(LdgNoteB,$M1413)="","—",INDEX(LdgNoteB,$M1413)),""))</f>
        <v/>
      </c>
      <c r="F1413" s="20">
        <f>IF($L1413&lt;&gt;"",IF(INDEX(SCNet,$L1413)=0,"",INDEX(SCNet,$L1413)),"")</f>
        <v/>
      </c>
      <c r="G1413" s="21">
        <f>IF($L1413&lt;&gt;"",IF(INDEX(SCOp,$L1413)="مرجوعی فروش","",IF(INDEX(SCAmount,$L1413)&lt;=0,"",INDEX(SCAmount,$L1413))),IF($M1413&lt;&gt;"",IF(INDEX(LdgWitB,$M1413)=0,"",INDEX(LdgWitB,$M1413)),""))</f>
        <v/>
      </c>
      <c r="H1413" s="21">
        <f>IF($L1413&lt;&gt;"",IF(INDEX(SCOp,$L1413)="مرجوعی فروش",IF(INDEX(SCAmount,$L1413)=0,"",-INDEX(SCAmount,$L1413)),""),IF($M1413&lt;&gt;"",IF(INDEX(LdgDepB,$M1413)=0,"",INDEX(LdgDepB,$M1413)),""))</f>
        <v/>
      </c>
      <c r="I1413" s="22">
        <f>IF($B1413="","",IF($I1412="",$C$10,$I1412)+IF($G1413="",0,$G1413)-IF($H1413="",0,$H1413))</f>
        <v/>
      </c>
      <c r="L1413">
        <f>IFERROR(MATCH($C$5&amp;"|"&amp;RIGHT("000000"&amp;1397,6),LdgRankKeyA,0),"")</f>
        <v/>
      </c>
      <c r="M1413">
        <f>IFERROR(MATCH($C$5&amp;"|"&amp;RIGHT("000000"&amp;1397,6),LdgRankKeyB,0),"")</f>
        <v/>
      </c>
    </row>
    <row r="1414">
      <c r="A1414" s="23" t="n">
        <v>1398</v>
      </c>
      <c r="B1414" s="24">
        <f>IF(AND($L1414="",$M1414=""),"",IF($L1414&lt;&gt;"",INDEX(SCNormDate,$L1414),INDEX(LdgDateB,$M1414)))</f>
        <v/>
      </c>
      <c r="C1414" s="24">
        <f>IF($L1414&lt;&gt;"",INDEX(SCOp,$L1414),IF($M1414&lt;&gt;"","پرداخت بانکی",""))</f>
        <v/>
      </c>
      <c r="D1414" s="24">
        <f>IF($L1414&lt;&gt;"",IF(INDEX(SCDoc,$L1414)="","—",INDEX(SCDoc,$L1414)),IF($M1414&lt;&gt;"",INDEX(LdgBankB,$M1414),""))</f>
        <v/>
      </c>
      <c r="E1414" s="25">
        <f>IF($L1414&lt;&gt;"",IF(INDEX(SCCitrus,$L1414)&amp;INDEX(SCNotes,$L1414)="","",IF(INDEX(SCCitrus,$L1414)="","",INDEX(SCCitrus,$L1414))&amp;IF(INDEX(SCNotes,$L1414)="",""," — "&amp;INDEX(SCNotes,$L1414))),IF($M1414&lt;&gt;"",IF(INDEX(LdgNoteB,$M1414)="","—",INDEX(LdgNoteB,$M1414)),""))</f>
        <v/>
      </c>
      <c r="F1414" s="26">
        <f>IF($L1414&lt;&gt;"",IF(INDEX(SCNet,$L1414)=0,"",INDEX(SCNet,$L1414)),"")</f>
        <v/>
      </c>
      <c r="G1414" s="27">
        <f>IF($L1414&lt;&gt;"",IF(INDEX(SCOp,$L1414)="مرجوعی فروش","",IF(INDEX(SCAmount,$L1414)&lt;=0,"",INDEX(SCAmount,$L1414))),IF($M1414&lt;&gt;"",IF(INDEX(LdgWitB,$M1414)=0,"",INDEX(LdgWitB,$M1414)),""))</f>
        <v/>
      </c>
      <c r="H1414" s="27">
        <f>IF($L1414&lt;&gt;"",IF(INDEX(SCOp,$L1414)="مرجوعی فروش",IF(INDEX(SCAmount,$L1414)=0,"",-INDEX(SCAmount,$L1414)),""),IF($M1414&lt;&gt;"",IF(INDEX(LdgDepB,$M1414)=0,"",INDEX(LdgDepB,$M1414)),""))</f>
        <v/>
      </c>
      <c r="I1414" s="28">
        <f>IF($B1414="","",IF($I1413="",$C$10,$I1413)+IF($G1414="",0,$G1414)-IF($H1414="",0,$H1414))</f>
        <v/>
      </c>
      <c r="L1414">
        <f>IFERROR(MATCH($C$5&amp;"|"&amp;RIGHT("000000"&amp;1398,6),LdgRankKeyA,0),"")</f>
        <v/>
      </c>
      <c r="M1414">
        <f>IFERROR(MATCH($C$5&amp;"|"&amp;RIGHT("000000"&amp;1398,6),LdgRankKeyB,0),"")</f>
        <v/>
      </c>
    </row>
    <row r="1415">
      <c r="A1415" s="17" t="n">
        <v>1399</v>
      </c>
      <c r="B1415" s="18">
        <f>IF(AND($L1415="",$M1415=""),"",IF($L1415&lt;&gt;"",INDEX(SCNormDate,$L1415),INDEX(LdgDateB,$M1415)))</f>
        <v/>
      </c>
      <c r="C1415" s="18">
        <f>IF($L1415&lt;&gt;"",INDEX(SCOp,$L1415),IF($M1415&lt;&gt;"","پرداخت بانکی",""))</f>
        <v/>
      </c>
      <c r="D1415" s="18">
        <f>IF($L1415&lt;&gt;"",IF(INDEX(SCDoc,$L1415)="","—",INDEX(SCDoc,$L1415)),IF($M1415&lt;&gt;"",INDEX(LdgBankB,$M1415),""))</f>
        <v/>
      </c>
      <c r="E1415" s="19">
        <f>IF($L1415&lt;&gt;"",IF(INDEX(SCCitrus,$L1415)&amp;INDEX(SCNotes,$L1415)="","",IF(INDEX(SCCitrus,$L1415)="","",INDEX(SCCitrus,$L1415))&amp;IF(INDEX(SCNotes,$L1415)="",""," — "&amp;INDEX(SCNotes,$L1415))),IF($M1415&lt;&gt;"",IF(INDEX(LdgNoteB,$M1415)="","—",INDEX(LdgNoteB,$M1415)),""))</f>
        <v/>
      </c>
      <c r="F1415" s="20">
        <f>IF($L1415&lt;&gt;"",IF(INDEX(SCNet,$L1415)=0,"",INDEX(SCNet,$L1415)),"")</f>
        <v/>
      </c>
      <c r="G1415" s="21">
        <f>IF($L1415&lt;&gt;"",IF(INDEX(SCOp,$L1415)="مرجوعی فروش","",IF(INDEX(SCAmount,$L1415)&lt;=0,"",INDEX(SCAmount,$L1415))),IF($M1415&lt;&gt;"",IF(INDEX(LdgWitB,$M1415)=0,"",INDEX(LdgWitB,$M1415)),""))</f>
        <v/>
      </c>
      <c r="H1415" s="21">
        <f>IF($L1415&lt;&gt;"",IF(INDEX(SCOp,$L1415)="مرجوعی فروش",IF(INDEX(SCAmount,$L1415)=0,"",-INDEX(SCAmount,$L1415)),""),IF($M1415&lt;&gt;"",IF(INDEX(LdgDepB,$M1415)=0,"",INDEX(LdgDepB,$M1415)),""))</f>
        <v/>
      </c>
      <c r="I1415" s="22">
        <f>IF($B1415="","",IF($I1414="",$C$10,$I1414)+IF($G1415="",0,$G1415)-IF($H1415="",0,$H1415))</f>
        <v/>
      </c>
      <c r="L1415">
        <f>IFERROR(MATCH($C$5&amp;"|"&amp;RIGHT("000000"&amp;1399,6),LdgRankKeyA,0),"")</f>
        <v/>
      </c>
      <c r="M1415">
        <f>IFERROR(MATCH($C$5&amp;"|"&amp;RIGHT("000000"&amp;1399,6),LdgRankKeyB,0),"")</f>
        <v/>
      </c>
    </row>
    <row r="1416">
      <c r="A1416" s="23" t="n">
        <v>1400</v>
      </c>
      <c r="B1416" s="24">
        <f>IF(AND($L1416="",$M1416=""),"",IF($L1416&lt;&gt;"",INDEX(SCNormDate,$L1416),INDEX(LdgDateB,$M1416)))</f>
        <v/>
      </c>
      <c r="C1416" s="24">
        <f>IF($L1416&lt;&gt;"",INDEX(SCOp,$L1416),IF($M1416&lt;&gt;"","پرداخت بانکی",""))</f>
        <v/>
      </c>
      <c r="D1416" s="24">
        <f>IF($L1416&lt;&gt;"",IF(INDEX(SCDoc,$L1416)="","—",INDEX(SCDoc,$L1416)),IF($M1416&lt;&gt;"",INDEX(LdgBankB,$M1416),""))</f>
        <v/>
      </c>
      <c r="E1416" s="25">
        <f>IF($L1416&lt;&gt;"",IF(INDEX(SCCitrus,$L1416)&amp;INDEX(SCNotes,$L1416)="","",IF(INDEX(SCCitrus,$L1416)="","",INDEX(SCCitrus,$L1416))&amp;IF(INDEX(SCNotes,$L1416)="",""," — "&amp;INDEX(SCNotes,$L1416))),IF($M1416&lt;&gt;"",IF(INDEX(LdgNoteB,$M1416)="","—",INDEX(LdgNoteB,$M1416)),""))</f>
        <v/>
      </c>
      <c r="F1416" s="26">
        <f>IF($L1416&lt;&gt;"",IF(INDEX(SCNet,$L1416)=0,"",INDEX(SCNet,$L1416)),"")</f>
        <v/>
      </c>
      <c r="G1416" s="27">
        <f>IF($L1416&lt;&gt;"",IF(INDEX(SCOp,$L1416)="مرجوعی فروش","",IF(INDEX(SCAmount,$L1416)&lt;=0,"",INDEX(SCAmount,$L1416))),IF($M1416&lt;&gt;"",IF(INDEX(LdgWitB,$M1416)=0,"",INDEX(LdgWitB,$M1416)),""))</f>
        <v/>
      </c>
      <c r="H1416" s="27">
        <f>IF($L1416&lt;&gt;"",IF(INDEX(SCOp,$L1416)="مرجوعی فروش",IF(INDEX(SCAmount,$L1416)=0,"",-INDEX(SCAmount,$L1416)),""),IF($M1416&lt;&gt;"",IF(INDEX(LdgDepB,$M1416)=0,"",INDEX(LdgDepB,$M1416)),""))</f>
        <v/>
      </c>
      <c r="I1416" s="28">
        <f>IF($B1416="","",IF($I1415="",$C$10,$I1415)+IF($G1416="",0,$G1416)-IF($H1416="",0,$H1416))</f>
        <v/>
      </c>
      <c r="L1416">
        <f>IFERROR(MATCH($C$5&amp;"|"&amp;RIGHT("000000"&amp;1400,6),LdgRankKeyA,0),"")</f>
        <v/>
      </c>
      <c r="M1416">
        <f>IFERROR(MATCH($C$5&amp;"|"&amp;RIGHT("000000"&amp;1400,6),LdgRankKeyB,0),"")</f>
        <v/>
      </c>
    </row>
    <row r="1417">
      <c r="A1417" s="17" t="n">
        <v>1401</v>
      </c>
      <c r="B1417" s="18">
        <f>IF(AND($L1417="",$M1417=""),"",IF($L1417&lt;&gt;"",INDEX(SCNormDate,$L1417),INDEX(LdgDateB,$M1417)))</f>
        <v/>
      </c>
      <c r="C1417" s="18">
        <f>IF($L1417&lt;&gt;"",INDEX(SCOp,$L1417),IF($M1417&lt;&gt;"","پرداخت بانکی",""))</f>
        <v/>
      </c>
      <c r="D1417" s="18">
        <f>IF($L1417&lt;&gt;"",IF(INDEX(SCDoc,$L1417)="","—",INDEX(SCDoc,$L1417)),IF($M1417&lt;&gt;"",INDEX(LdgBankB,$M1417),""))</f>
        <v/>
      </c>
      <c r="E1417" s="19">
        <f>IF($L1417&lt;&gt;"",IF(INDEX(SCCitrus,$L1417)&amp;INDEX(SCNotes,$L1417)="","",IF(INDEX(SCCitrus,$L1417)="","",INDEX(SCCitrus,$L1417))&amp;IF(INDEX(SCNotes,$L1417)="",""," — "&amp;INDEX(SCNotes,$L1417))),IF($M1417&lt;&gt;"",IF(INDEX(LdgNoteB,$M1417)="","—",INDEX(LdgNoteB,$M1417)),""))</f>
        <v/>
      </c>
      <c r="F1417" s="20">
        <f>IF($L1417&lt;&gt;"",IF(INDEX(SCNet,$L1417)=0,"",INDEX(SCNet,$L1417)),"")</f>
        <v/>
      </c>
      <c r="G1417" s="21">
        <f>IF($L1417&lt;&gt;"",IF(INDEX(SCOp,$L1417)="مرجوعی فروش","",IF(INDEX(SCAmount,$L1417)&lt;=0,"",INDEX(SCAmount,$L1417))),IF($M1417&lt;&gt;"",IF(INDEX(LdgWitB,$M1417)=0,"",INDEX(LdgWitB,$M1417)),""))</f>
        <v/>
      </c>
      <c r="H1417" s="21">
        <f>IF($L1417&lt;&gt;"",IF(INDEX(SCOp,$L1417)="مرجوعی فروش",IF(INDEX(SCAmount,$L1417)=0,"",-INDEX(SCAmount,$L1417)),""),IF($M1417&lt;&gt;"",IF(INDEX(LdgDepB,$M1417)=0,"",INDEX(LdgDepB,$M1417)),""))</f>
        <v/>
      </c>
      <c r="I1417" s="22">
        <f>IF($B1417="","",IF($I1416="",$C$10,$I1416)+IF($G1417="",0,$G1417)-IF($H1417="",0,$H1417))</f>
        <v/>
      </c>
      <c r="L1417">
        <f>IFERROR(MATCH($C$5&amp;"|"&amp;RIGHT("000000"&amp;1401,6),LdgRankKeyA,0),"")</f>
        <v/>
      </c>
      <c r="M1417">
        <f>IFERROR(MATCH($C$5&amp;"|"&amp;RIGHT("000000"&amp;1401,6),LdgRankKeyB,0),"")</f>
        <v/>
      </c>
    </row>
    <row r="1418">
      <c r="A1418" s="23" t="n">
        <v>1402</v>
      </c>
      <c r="B1418" s="24">
        <f>IF(AND($L1418="",$M1418=""),"",IF($L1418&lt;&gt;"",INDEX(SCNormDate,$L1418),INDEX(LdgDateB,$M1418)))</f>
        <v/>
      </c>
      <c r="C1418" s="24">
        <f>IF($L1418&lt;&gt;"",INDEX(SCOp,$L1418),IF($M1418&lt;&gt;"","پرداخت بانکی",""))</f>
        <v/>
      </c>
      <c r="D1418" s="24">
        <f>IF($L1418&lt;&gt;"",IF(INDEX(SCDoc,$L1418)="","—",INDEX(SCDoc,$L1418)),IF($M1418&lt;&gt;"",INDEX(LdgBankB,$M1418),""))</f>
        <v/>
      </c>
      <c r="E1418" s="25">
        <f>IF($L1418&lt;&gt;"",IF(INDEX(SCCitrus,$L1418)&amp;INDEX(SCNotes,$L1418)="","",IF(INDEX(SCCitrus,$L1418)="","",INDEX(SCCitrus,$L1418))&amp;IF(INDEX(SCNotes,$L1418)="",""," — "&amp;INDEX(SCNotes,$L1418))),IF($M1418&lt;&gt;"",IF(INDEX(LdgNoteB,$M1418)="","—",INDEX(LdgNoteB,$M1418)),""))</f>
        <v/>
      </c>
      <c r="F1418" s="26">
        <f>IF($L1418&lt;&gt;"",IF(INDEX(SCNet,$L1418)=0,"",INDEX(SCNet,$L1418)),"")</f>
        <v/>
      </c>
      <c r="G1418" s="27">
        <f>IF($L1418&lt;&gt;"",IF(INDEX(SCOp,$L1418)="مرجوعی فروش","",IF(INDEX(SCAmount,$L1418)&lt;=0,"",INDEX(SCAmount,$L1418))),IF($M1418&lt;&gt;"",IF(INDEX(LdgWitB,$M1418)=0,"",INDEX(LdgWitB,$M1418)),""))</f>
        <v/>
      </c>
      <c r="H1418" s="27">
        <f>IF($L1418&lt;&gt;"",IF(INDEX(SCOp,$L1418)="مرجوعی فروش",IF(INDEX(SCAmount,$L1418)=0,"",-INDEX(SCAmount,$L1418)),""),IF($M1418&lt;&gt;"",IF(INDEX(LdgDepB,$M1418)=0,"",INDEX(LdgDepB,$M1418)),""))</f>
        <v/>
      </c>
      <c r="I1418" s="28">
        <f>IF($B1418="","",IF($I1417="",$C$10,$I1417)+IF($G1418="",0,$G1418)-IF($H1418="",0,$H1418))</f>
        <v/>
      </c>
      <c r="L1418">
        <f>IFERROR(MATCH($C$5&amp;"|"&amp;RIGHT("000000"&amp;1402,6),LdgRankKeyA,0),"")</f>
        <v/>
      </c>
      <c r="M1418">
        <f>IFERROR(MATCH($C$5&amp;"|"&amp;RIGHT("000000"&amp;1402,6),LdgRankKeyB,0),"")</f>
        <v/>
      </c>
    </row>
    <row r="1419">
      <c r="A1419" s="17" t="n">
        <v>1403</v>
      </c>
      <c r="B1419" s="18">
        <f>IF(AND($L1419="",$M1419=""),"",IF($L1419&lt;&gt;"",INDEX(SCNormDate,$L1419),INDEX(LdgDateB,$M1419)))</f>
        <v/>
      </c>
      <c r="C1419" s="18">
        <f>IF($L1419&lt;&gt;"",INDEX(SCOp,$L1419),IF($M1419&lt;&gt;"","پرداخت بانکی",""))</f>
        <v/>
      </c>
      <c r="D1419" s="18">
        <f>IF($L1419&lt;&gt;"",IF(INDEX(SCDoc,$L1419)="","—",INDEX(SCDoc,$L1419)),IF($M1419&lt;&gt;"",INDEX(LdgBankB,$M1419),""))</f>
        <v/>
      </c>
      <c r="E1419" s="19">
        <f>IF($L1419&lt;&gt;"",IF(INDEX(SCCitrus,$L1419)&amp;INDEX(SCNotes,$L1419)="","",IF(INDEX(SCCitrus,$L1419)="","",INDEX(SCCitrus,$L1419))&amp;IF(INDEX(SCNotes,$L1419)="",""," — "&amp;INDEX(SCNotes,$L1419))),IF($M1419&lt;&gt;"",IF(INDEX(LdgNoteB,$M1419)="","—",INDEX(LdgNoteB,$M1419)),""))</f>
        <v/>
      </c>
      <c r="F1419" s="20">
        <f>IF($L1419&lt;&gt;"",IF(INDEX(SCNet,$L1419)=0,"",INDEX(SCNet,$L1419)),"")</f>
        <v/>
      </c>
      <c r="G1419" s="21">
        <f>IF($L1419&lt;&gt;"",IF(INDEX(SCOp,$L1419)="مرجوعی فروش","",IF(INDEX(SCAmount,$L1419)&lt;=0,"",INDEX(SCAmount,$L1419))),IF($M1419&lt;&gt;"",IF(INDEX(LdgWitB,$M1419)=0,"",INDEX(LdgWitB,$M1419)),""))</f>
        <v/>
      </c>
      <c r="H1419" s="21">
        <f>IF($L1419&lt;&gt;"",IF(INDEX(SCOp,$L1419)="مرجوعی فروش",IF(INDEX(SCAmount,$L1419)=0,"",-INDEX(SCAmount,$L1419)),""),IF($M1419&lt;&gt;"",IF(INDEX(LdgDepB,$M1419)=0,"",INDEX(LdgDepB,$M1419)),""))</f>
        <v/>
      </c>
      <c r="I1419" s="22">
        <f>IF($B1419="","",IF($I1418="",$C$10,$I1418)+IF($G1419="",0,$G1419)-IF($H1419="",0,$H1419))</f>
        <v/>
      </c>
      <c r="L1419">
        <f>IFERROR(MATCH($C$5&amp;"|"&amp;RIGHT("000000"&amp;1403,6),LdgRankKeyA,0),"")</f>
        <v/>
      </c>
      <c r="M1419">
        <f>IFERROR(MATCH($C$5&amp;"|"&amp;RIGHT("000000"&amp;1403,6),LdgRankKeyB,0),"")</f>
        <v/>
      </c>
    </row>
    <row r="1420">
      <c r="A1420" s="23" t="n">
        <v>1404</v>
      </c>
      <c r="B1420" s="24">
        <f>IF(AND($L1420="",$M1420=""),"",IF($L1420&lt;&gt;"",INDEX(SCNormDate,$L1420),INDEX(LdgDateB,$M1420)))</f>
        <v/>
      </c>
      <c r="C1420" s="24">
        <f>IF($L1420&lt;&gt;"",INDEX(SCOp,$L1420),IF($M1420&lt;&gt;"","پرداخت بانکی",""))</f>
        <v/>
      </c>
      <c r="D1420" s="24">
        <f>IF($L1420&lt;&gt;"",IF(INDEX(SCDoc,$L1420)="","—",INDEX(SCDoc,$L1420)),IF($M1420&lt;&gt;"",INDEX(LdgBankB,$M1420),""))</f>
        <v/>
      </c>
      <c r="E1420" s="25">
        <f>IF($L1420&lt;&gt;"",IF(INDEX(SCCitrus,$L1420)&amp;INDEX(SCNotes,$L1420)="","",IF(INDEX(SCCitrus,$L1420)="","",INDEX(SCCitrus,$L1420))&amp;IF(INDEX(SCNotes,$L1420)="",""," — "&amp;INDEX(SCNotes,$L1420))),IF($M1420&lt;&gt;"",IF(INDEX(LdgNoteB,$M1420)="","—",INDEX(LdgNoteB,$M1420)),""))</f>
        <v/>
      </c>
      <c r="F1420" s="26">
        <f>IF($L1420&lt;&gt;"",IF(INDEX(SCNet,$L1420)=0,"",INDEX(SCNet,$L1420)),"")</f>
        <v/>
      </c>
      <c r="G1420" s="27">
        <f>IF($L1420&lt;&gt;"",IF(INDEX(SCOp,$L1420)="مرجوعی فروش","",IF(INDEX(SCAmount,$L1420)&lt;=0,"",INDEX(SCAmount,$L1420))),IF($M1420&lt;&gt;"",IF(INDEX(LdgWitB,$M1420)=0,"",INDEX(LdgWitB,$M1420)),""))</f>
        <v/>
      </c>
      <c r="H1420" s="27">
        <f>IF($L1420&lt;&gt;"",IF(INDEX(SCOp,$L1420)="مرجوعی فروش",IF(INDEX(SCAmount,$L1420)=0,"",-INDEX(SCAmount,$L1420)),""),IF($M1420&lt;&gt;"",IF(INDEX(LdgDepB,$M1420)=0,"",INDEX(LdgDepB,$M1420)),""))</f>
        <v/>
      </c>
      <c r="I1420" s="28">
        <f>IF($B1420="","",IF($I1419="",$C$10,$I1419)+IF($G1420="",0,$G1420)-IF($H1420="",0,$H1420))</f>
        <v/>
      </c>
      <c r="L1420">
        <f>IFERROR(MATCH($C$5&amp;"|"&amp;RIGHT("000000"&amp;1404,6),LdgRankKeyA,0),"")</f>
        <v/>
      </c>
      <c r="M1420">
        <f>IFERROR(MATCH($C$5&amp;"|"&amp;RIGHT("000000"&amp;1404,6),LdgRankKeyB,0),"")</f>
        <v/>
      </c>
    </row>
    <row r="1421">
      <c r="A1421" s="17" t="n">
        <v>1405</v>
      </c>
      <c r="B1421" s="18">
        <f>IF(AND($L1421="",$M1421=""),"",IF($L1421&lt;&gt;"",INDEX(SCNormDate,$L1421),INDEX(LdgDateB,$M1421)))</f>
        <v/>
      </c>
      <c r="C1421" s="18">
        <f>IF($L1421&lt;&gt;"",INDEX(SCOp,$L1421),IF($M1421&lt;&gt;"","پرداخت بانکی",""))</f>
        <v/>
      </c>
      <c r="D1421" s="18">
        <f>IF($L1421&lt;&gt;"",IF(INDEX(SCDoc,$L1421)="","—",INDEX(SCDoc,$L1421)),IF($M1421&lt;&gt;"",INDEX(LdgBankB,$M1421),""))</f>
        <v/>
      </c>
      <c r="E1421" s="19">
        <f>IF($L1421&lt;&gt;"",IF(INDEX(SCCitrus,$L1421)&amp;INDEX(SCNotes,$L1421)="","",IF(INDEX(SCCitrus,$L1421)="","",INDEX(SCCitrus,$L1421))&amp;IF(INDEX(SCNotes,$L1421)="",""," — "&amp;INDEX(SCNotes,$L1421))),IF($M1421&lt;&gt;"",IF(INDEX(LdgNoteB,$M1421)="","—",INDEX(LdgNoteB,$M1421)),""))</f>
        <v/>
      </c>
      <c r="F1421" s="20">
        <f>IF($L1421&lt;&gt;"",IF(INDEX(SCNet,$L1421)=0,"",INDEX(SCNet,$L1421)),"")</f>
        <v/>
      </c>
      <c r="G1421" s="21">
        <f>IF($L1421&lt;&gt;"",IF(INDEX(SCOp,$L1421)="مرجوعی فروش","",IF(INDEX(SCAmount,$L1421)&lt;=0,"",INDEX(SCAmount,$L1421))),IF($M1421&lt;&gt;"",IF(INDEX(LdgWitB,$M1421)=0,"",INDEX(LdgWitB,$M1421)),""))</f>
        <v/>
      </c>
      <c r="H1421" s="21">
        <f>IF($L1421&lt;&gt;"",IF(INDEX(SCOp,$L1421)="مرجوعی فروش",IF(INDEX(SCAmount,$L1421)=0,"",-INDEX(SCAmount,$L1421)),""),IF($M1421&lt;&gt;"",IF(INDEX(LdgDepB,$M1421)=0,"",INDEX(LdgDepB,$M1421)),""))</f>
        <v/>
      </c>
      <c r="I1421" s="22">
        <f>IF($B1421="","",IF($I1420="",$C$10,$I1420)+IF($G1421="",0,$G1421)-IF($H1421="",0,$H1421))</f>
        <v/>
      </c>
      <c r="L1421">
        <f>IFERROR(MATCH($C$5&amp;"|"&amp;RIGHT("000000"&amp;1405,6),LdgRankKeyA,0),"")</f>
        <v/>
      </c>
      <c r="M1421">
        <f>IFERROR(MATCH($C$5&amp;"|"&amp;RIGHT("000000"&amp;1405,6),LdgRankKeyB,0),"")</f>
        <v/>
      </c>
    </row>
    <row r="1422">
      <c r="A1422" s="23" t="n">
        <v>1406</v>
      </c>
      <c r="B1422" s="24">
        <f>IF(AND($L1422="",$M1422=""),"",IF($L1422&lt;&gt;"",INDEX(SCNormDate,$L1422),INDEX(LdgDateB,$M1422)))</f>
        <v/>
      </c>
      <c r="C1422" s="24">
        <f>IF($L1422&lt;&gt;"",INDEX(SCOp,$L1422),IF($M1422&lt;&gt;"","پرداخت بانکی",""))</f>
        <v/>
      </c>
      <c r="D1422" s="24">
        <f>IF($L1422&lt;&gt;"",IF(INDEX(SCDoc,$L1422)="","—",INDEX(SCDoc,$L1422)),IF($M1422&lt;&gt;"",INDEX(LdgBankB,$M1422),""))</f>
        <v/>
      </c>
      <c r="E1422" s="25">
        <f>IF($L1422&lt;&gt;"",IF(INDEX(SCCitrus,$L1422)&amp;INDEX(SCNotes,$L1422)="","",IF(INDEX(SCCitrus,$L1422)="","",INDEX(SCCitrus,$L1422))&amp;IF(INDEX(SCNotes,$L1422)="",""," — "&amp;INDEX(SCNotes,$L1422))),IF($M1422&lt;&gt;"",IF(INDEX(LdgNoteB,$M1422)="","—",INDEX(LdgNoteB,$M1422)),""))</f>
        <v/>
      </c>
      <c r="F1422" s="26">
        <f>IF($L1422&lt;&gt;"",IF(INDEX(SCNet,$L1422)=0,"",INDEX(SCNet,$L1422)),"")</f>
        <v/>
      </c>
      <c r="G1422" s="27">
        <f>IF($L1422&lt;&gt;"",IF(INDEX(SCOp,$L1422)="مرجوعی فروش","",IF(INDEX(SCAmount,$L1422)&lt;=0,"",INDEX(SCAmount,$L1422))),IF($M1422&lt;&gt;"",IF(INDEX(LdgWitB,$M1422)=0,"",INDEX(LdgWitB,$M1422)),""))</f>
        <v/>
      </c>
      <c r="H1422" s="27">
        <f>IF($L1422&lt;&gt;"",IF(INDEX(SCOp,$L1422)="مرجوعی فروش",IF(INDEX(SCAmount,$L1422)=0,"",-INDEX(SCAmount,$L1422)),""),IF($M1422&lt;&gt;"",IF(INDEX(LdgDepB,$M1422)=0,"",INDEX(LdgDepB,$M1422)),""))</f>
        <v/>
      </c>
      <c r="I1422" s="28">
        <f>IF($B1422="","",IF($I1421="",$C$10,$I1421)+IF($G1422="",0,$G1422)-IF($H1422="",0,$H1422))</f>
        <v/>
      </c>
      <c r="L1422">
        <f>IFERROR(MATCH($C$5&amp;"|"&amp;RIGHT("000000"&amp;1406,6),LdgRankKeyA,0),"")</f>
        <v/>
      </c>
      <c r="M1422">
        <f>IFERROR(MATCH($C$5&amp;"|"&amp;RIGHT("000000"&amp;1406,6),LdgRankKeyB,0),"")</f>
        <v/>
      </c>
    </row>
    <row r="1423">
      <c r="A1423" s="17" t="n">
        <v>1407</v>
      </c>
      <c r="B1423" s="18">
        <f>IF(AND($L1423="",$M1423=""),"",IF($L1423&lt;&gt;"",INDEX(SCNormDate,$L1423),INDEX(LdgDateB,$M1423)))</f>
        <v/>
      </c>
      <c r="C1423" s="18">
        <f>IF($L1423&lt;&gt;"",INDEX(SCOp,$L1423),IF($M1423&lt;&gt;"","پرداخت بانکی",""))</f>
        <v/>
      </c>
      <c r="D1423" s="18">
        <f>IF($L1423&lt;&gt;"",IF(INDEX(SCDoc,$L1423)="","—",INDEX(SCDoc,$L1423)),IF($M1423&lt;&gt;"",INDEX(LdgBankB,$M1423),""))</f>
        <v/>
      </c>
      <c r="E1423" s="19">
        <f>IF($L1423&lt;&gt;"",IF(INDEX(SCCitrus,$L1423)&amp;INDEX(SCNotes,$L1423)="","",IF(INDEX(SCCitrus,$L1423)="","",INDEX(SCCitrus,$L1423))&amp;IF(INDEX(SCNotes,$L1423)="",""," — "&amp;INDEX(SCNotes,$L1423))),IF($M1423&lt;&gt;"",IF(INDEX(LdgNoteB,$M1423)="","—",INDEX(LdgNoteB,$M1423)),""))</f>
        <v/>
      </c>
      <c r="F1423" s="20">
        <f>IF($L1423&lt;&gt;"",IF(INDEX(SCNet,$L1423)=0,"",INDEX(SCNet,$L1423)),"")</f>
        <v/>
      </c>
      <c r="G1423" s="21">
        <f>IF($L1423&lt;&gt;"",IF(INDEX(SCOp,$L1423)="مرجوعی فروش","",IF(INDEX(SCAmount,$L1423)&lt;=0,"",INDEX(SCAmount,$L1423))),IF($M1423&lt;&gt;"",IF(INDEX(LdgWitB,$M1423)=0,"",INDEX(LdgWitB,$M1423)),""))</f>
        <v/>
      </c>
      <c r="H1423" s="21">
        <f>IF($L1423&lt;&gt;"",IF(INDEX(SCOp,$L1423)="مرجوعی فروش",IF(INDEX(SCAmount,$L1423)=0,"",-INDEX(SCAmount,$L1423)),""),IF($M1423&lt;&gt;"",IF(INDEX(LdgDepB,$M1423)=0,"",INDEX(LdgDepB,$M1423)),""))</f>
        <v/>
      </c>
      <c r="I1423" s="22">
        <f>IF($B1423="","",IF($I1422="",$C$10,$I1422)+IF($G1423="",0,$G1423)-IF($H1423="",0,$H1423))</f>
        <v/>
      </c>
      <c r="L1423">
        <f>IFERROR(MATCH($C$5&amp;"|"&amp;RIGHT("000000"&amp;1407,6),LdgRankKeyA,0),"")</f>
        <v/>
      </c>
      <c r="M1423">
        <f>IFERROR(MATCH($C$5&amp;"|"&amp;RIGHT("000000"&amp;1407,6),LdgRankKeyB,0),"")</f>
        <v/>
      </c>
    </row>
    <row r="1424">
      <c r="A1424" s="23" t="n">
        <v>1408</v>
      </c>
      <c r="B1424" s="24">
        <f>IF(AND($L1424="",$M1424=""),"",IF($L1424&lt;&gt;"",INDEX(SCNormDate,$L1424),INDEX(LdgDateB,$M1424)))</f>
        <v/>
      </c>
      <c r="C1424" s="24">
        <f>IF($L1424&lt;&gt;"",INDEX(SCOp,$L1424),IF($M1424&lt;&gt;"","پرداخت بانکی",""))</f>
        <v/>
      </c>
      <c r="D1424" s="24">
        <f>IF($L1424&lt;&gt;"",IF(INDEX(SCDoc,$L1424)="","—",INDEX(SCDoc,$L1424)),IF($M1424&lt;&gt;"",INDEX(LdgBankB,$M1424),""))</f>
        <v/>
      </c>
      <c r="E1424" s="25">
        <f>IF($L1424&lt;&gt;"",IF(INDEX(SCCitrus,$L1424)&amp;INDEX(SCNotes,$L1424)="","",IF(INDEX(SCCitrus,$L1424)="","",INDEX(SCCitrus,$L1424))&amp;IF(INDEX(SCNotes,$L1424)="",""," — "&amp;INDEX(SCNotes,$L1424))),IF($M1424&lt;&gt;"",IF(INDEX(LdgNoteB,$M1424)="","—",INDEX(LdgNoteB,$M1424)),""))</f>
        <v/>
      </c>
      <c r="F1424" s="26">
        <f>IF($L1424&lt;&gt;"",IF(INDEX(SCNet,$L1424)=0,"",INDEX(SCNet,$L1424)),"")</f>
        <v/>
      </c>
      <c r="G1424" s="27">
        <f>IF($L1424&lt;&gt;"",IF(INDEX(SCOp,$L1424)="مرجوعی فروش","",IF(INDEX(SCAmount,$L1424)&lt;=0,"",INDEX(SCAmount,$L1424))),IF($M1424&lt;&gt;"",IF(INDEX(LdgWitB,$M1424)=0,"",INDEX(LdgWitB,$M1424)),""))</f>
        <v/>
      </c>
      <c r="H1424" s="27">
        <f>IF($L1424&lt;&gt;"",IF(INDEX(SCOp,$L1424)="مرجوعی فروش",IF(INDEX(SCAmount,$L1424)=0,"",-INDEX(SCAmount,$L1424)),""),IF($M1424&lt;&gt;"",IF(INDEX(LdgDepB,$M1424)=0,"",INDEX(LdgDepB,$M1424)),""))</f>
        <v/>
      </c>
      <c r="I1424" s="28">
        <f>IF($B1424="","",IF($I1423="",$C$10,$I1423)+IF($G1424="",0,$G1424)-IF($H1424="",0,$H1424))</f>
        <v/>
      </c>
      <c r="L1424">
        <f>IFERROR(MATCH($C$5&amp;"|"&amp;RIGHT("000000"&amp;1408,6),LdgRankKeyA,0),"")</f>
        <v/>
      </c>
      <c r="M1424">
        <f>IFERROR(MATCH($C$5&amp;"|"&amp;RIGHT("000000"&amp;1408,6),LdgRankKeyB,0),"")</f>
        <v/>
      </c>
    </row>
    <row r="1425">
      <c r="A1425" s="17" t="n">
        <v>1409</v>
      </c>
      <c r="B1425" s="18">
        <f>IF(AND($L1425="",$M1425=""),"",IF($L1425&lt;&gt;"",INDEX(SCNormDate,$L1425),INDEX(LdgDateB,$M1425)))</f>
        <v/>
      </c>
      <c r="C1425" s="18">
        <f>IF($L1425&lt;&gt;"",INDEX(SCOp,$L1425),IF($M1425&lt;&gt;"","پرداخت بانکی",""))</f>
        <v/>
      </c>
      <c r="D1425" s="18">
        <f>IF($L1425&lt;&gt;"",IF(INDEX(SCDoc,$L1425)="","—",INDEX(SCDoc,$L1425)),IF($M1425&lt;&gt;"",INDEX(LdgBankB,$M1425),""))</f>
        <v/>
      </c>
      <c r="E1425" s="19">
        <f>IF($L1425&lt;&gt;"",IF(INDEX(SCCitrus,$L1425)&amp;INDEX(SCNotes,$L1425)="","",IF(INDEX(SCCitrus,$L1425)="","",INDEX(SCCitrus,$L1425))&amp;IF(INDEX(SCNotes,$L1425)="",""," — "&amp;INDEX(SCNotes,$L1425))),IF($M1425&lt;&gt;"",IF(INDEX(LdgNoteB,$M1425)="","—",INDEX(LdgNoteB,$M1425)),""))</f>
        <v/>
      </c>
      <c r="F1425" s="20">
        <f>IF($L1425&lt;&gt;"",IF(INDEX(SCNet,$L1425)=0,"",INDEX(SCNet,$L1425)),"")</f>
        <v/>
      </c>
      <c r="G1425" s="21">
        <f>IF($L1425&lt;&gt;"",IF(INDEX(SCOp,$L1425)="مرجوعی فروش","",IF(INDEX(SCAmount,$L1425)&lt;=0,"",INDEX(SCAmount,$L1425))),IF($M1425&lt;&gt;"",IF(INDEX(LdgWitB,$M1425)=0,"",INDEX(LdgWitB,$M1425)),""))</f>
        <v/>
      </c>
      <c r="H1425" s="21">
        <f>IF($L1425&lt;&gt;"",IF(INDEX(SCOp,$L1425)="مرجوعی فروش",IF(INDEX(SCAmount,$L1425)=0,"",-INDEX(SCAmount,$L1425)),""),IF($M1425&lt;&gt;"",IF(INDEX(LdgDepB,$M1425)=0,"",INDEX(LdgDepB,$M1425)),""))</f>
        <v/>
      </c>
      <c r="I1425" s="22">
        <f>IF($B1425="","",IF($I1424="",$C$10,$I1424)+IF($G1425="",0,$G1425)-IF($H1425="",0,$H1425))</f>
        <v/>
      </c>
      <c r="L1425">
        <f>IFERROR(MATCH($C$5&amp;"|"&amp;RIGHT("000000"&amp;1409,6),LdgRankKeyA,0),"")</f>
        <v/>
      </c>
      <c r="M1425">
        <f>IFERROR(MATCH($C$5&amp;"|"&amp;RIGHT("000000"&amp;1409,6),LdgRankKeyB,0),"")</f>
        <v/>
      </c>
    </row>
    <row r="1426">
      <c r="A1426" s="23" t="n">
        <v>1410</v>
      </c>
      <c r="B1426" s="24">
        <f>IF(AND($L1426="",$M1426=""),"",IF($L1426&lt;&gt;"",INDEX(SCNormDate,$L1426),INDEX(LdgDateB,$M1426)))</f>
        <v/>
      </c>
      <c r="C1426" s="24">
        <f>IF($L1426&lt;&gt;"",INDEX(SCOp,$L1426),IF($M1426&lt;&gt;"","پرداخت بانکی",""))</f>
        <v/>
      </c>
      <c r="D1426" s="24">
        <f>IF($L1426&lt;&gt;"",IF(INDEX(SCDoc,$L1426)="","—",INDEX(SCDoc,$L1426)),IF($M1426&lt;&gt;"",INDEX(LdgBankB,$M1426),""))</f>
        <v/>
      </c>
      <c r="E1426" s="25">
        <f>IF($L1426&lt;&gt;"",IF(INDEX(SCCitrus,$L1426)&amp;INDEX(SCNotes,$L1426)="","",IF(INDEX(SCCitrus,$L1426)="","",INDEX(SCCitrus,$L1426))&amp;IF(INDEX(SCNotes,$L1426)="",""," — "&amp;INDEX(SCNotes,$L1426))),IF($M1426&lt;&gt;"",IF(INDEX(LdgNoteB,$M1426)="","—",INDEX(LdgNoteB,$M1426)),""))</f>
        <v/>
      </c>
      <c r="F1426" s="26">
        <f>IF($L1426&lt;&gt;"",IF(INDEX(SCNet,$L1426)=0,"",INDEX(SCNet,$L1426)),"")</f>
        <v/>
      </c>
      <c r="G1426" s="27">
        <f>IF($L1426&lt;&gt;"",IF(INDEX(SCOp,$L1426)="مرجوعی فروش","",IF(INDEX(SCAmount,$L1426)&lt;=0,"",INDEX(SCAmount,$L1426))),IF($M1426&lt;&gt;"",IF(INDEX(LdgWitB,$M1426)=0,"",INDEX(LdgWitB,$M1426)),""))</f>
        <v/>
      </c>
      <c r="H1426" s="27">
        <f>IF($L1426&lt;&gt;"",IF(INDEX(SCOp,$L1426)="مرجوعی فروش",IF(INDEX(SCAmount,$L1426)=0,"",-INDEX(SCAmount,$L1426)),""),IF($M1426&lt;&gt;"",IF(INDEX(LdgDepB,$M1426)=0,"",INDEX(LdgDepB,$M1426)),""))</f>
        <v/>
      </c>
      <c r="I1426" s="28">
        <f>IF($B1426="","",IF($I1425="",$C$10,$I1425)+IF($G1426="",0,$G1426)-IF($H1426="",0,$H1426))</f>
        <v/>
      </c>
      <c r="L1426">
        <f>IFERROR(MATCH($C$5&amp;"|"&amp;RIGHT("000000"&amp;1410,6),LdgRankKeyA,0),"")</f>
        <v/>
      </c>
      <c r="M1426">
        <f>IFERROR(MATCH($C$5&amp;"|"&amp;RIGHT("000000"&amp;1410,6),LdgRankKeyB,0),"")</f>
        <v/>
      </c>
    </row>
    <row r="1427">
      <c r="A1427" s="17" t="n">
        <v>1411</v>
      </c>
      <c r="B1427" s="18">
        <f>IF(AND($L1427="",$M1427=""),"",IF($L1427&lt;&gt;"",INDEX(SCNormDate,$L1427),INDEX(LdgDateB,$M1427)))</f>
        <v/>
      </c>
      <c r="C1427" s="18">
        <f>IF($L1427&lt;&gt;"",INDEX(SCOp,$L1427),IF($M1427&lt;&gt;"","پرداخت بانکی",""))</f>
        <v/>
      </c>
      <c r="D1427" s="18">
        <f>IF($L1427&lt;&gt;"",IF(INDEX(SCDoc,$L1427)="","—",INDEX(SCDoc,$L1427)),IF($M1427&lt;&gt;"",INDEX(LdgBankB,$M1427),""))</f>
        <v/>
      </c>
      <c r="E1427" s="19">
        <f>IF($L1427&lt;&gt;"",IF(INDEX(SCCitrus,$L1427)&amp;INDEX(SCNotes,$L1427)="","",IF(INDEX(SCCitrus,$L1427)="","",INDEX(SCCitrus,$L1427))&amp;IF(INDEX(SCNotes,$L1427)="",""," — "&amp;INDEX(SCNotes,$L1427))),IF($M1427&lt;&gt;"",IF(INDEX(LdgNoteB,$M1427)="","—",INDEX(LdgNoteB,$M1427)),""))</f>
        <v/>
      </c>
      <c r="F1427" s="20">
        <f>IF($L1427&lt;&gt;"",IF(INDEX(SCNet,$L1427)=0,"",INDEX(SCNet,$L1427)),"")</f>
        <v/>
      </c>
      <c r="G1427" s="21">
        <f>IF($L1427&lt;&gt;"",IF(INDEX(SCOp,$L1427)="مرجوعی فروش","",IF(INDEX(SCAmount,$L1427)&lt;=0,"",INDEX(SCAmount,$L1427))),IF($M1427&lt;&gt;"",IF(INDEX(LdgWitB,$M1427)=0,"",INDEX(LdgWitB,$M1427)),""))</f>
        <v/>
      </c>
      <c r="H1427" s="21">
        <f>IF($L1427&lt;&gt;"",IF(INDEX(SCOp,$L1427)="مرجوعی فروش",IF(INDEX(SCAmount,$L1427)=0,"",-INDEX(SCAmount,$L1427)),""),IF($M1427&lt;&gt;"",IF(INDEX(LdgDepB,$M1427)=0,"",INDEX(LdgDepB,$M1427)),""))</f>
        <v/>
      </c>
      <c r="I1427" s="22">
        <f>IF($B1427="","",IF($I1426="",$C$10,$I1426)+IF($G1427="",0,$G1427)-IF($H1427="",0,$H1427))</f>
        <v/>
      </c>
      <c r="L1427">
        <f>IFERROR(MATCH($C$5&amp;"|"&amp;RIGHT("000000"&amp;1411,6),LdgRankKeyA,0),"")</f>
        <v/>
      </c>
      <c r="M1427">
        <f>IFERROR(MATCH($C$5&amp;"|"&amp;RIGHT("000000"&amp;1411,6),LdgRankKeyB,0),"")</f>
        <v/>
      </c>
    </row>
    <row r="1428">
      <c r="A1428" s="23" t="n">
        <v>1412</v>
      </c>
      <c r="B1428" s="24">
        <f>IF(AND($L1428="",$M1428=""),"",IF($L1428&lt;&gt;"",INDEX(SCNormDate,$L1428),INDEX(LdgDateB,$M1428)))</f>
        <v/>
      </c>
      <c r="C1428" s="24">
        <f>IF($L1428&lt;&gt;"",INDEX(SCOp,$L1428),IF($M1428&lt;&gt;"","پرداخت بانکی",""))</f>
        <v/>
      </c>
      <c r="D1428" s="24">
        <f>IF($L1428&lt;&gt;"",IF(INDEX(SCDoc,$L1428)="","—",INDEX(SCDoc,$L1428)),IF($M1428&lt;&gt;"",INDEX(LdgBankB,$M1428),""))</f>
        <v/>
      </c>
      <c r="E1428" s="25">
        <f>IF($L1428&lt;&gt;"",IF(INDEX(SCCitrus,$L1428)&amp;INDEX(SCNotes,$L1428)="","",IF(INDEX(SCCitrus,$L1428)="","",INDEX(SCCitrus,$L1428))&amp;IF(INDEX(SCNotes,$L1428)="",""," — "&amp;INDEX(SCNotes,$L1428))),IF($M1428&lt;&gt;"",IF(INDEX(LdgNoteB,$M1428)="","—",INDEX(LdgNoteB,$M1428)),""))</f>
        <v/>
      </c>
      <c r="F1428" s="26">
        <f>IF($L1428&lt;&gt;"",IF(INDEX(SCNet,$L1428)=0,"",INDEX(SCNet,$L1428)),"")</f>
        <v/>
      </c>
      <c r="G1428" s="27">
        <f>IF($L1428&lt;&gt;"",IF(INDEX(SCOp,$L1428)="مرجوعی فروش","",IF(INDEX(SCAmount,$L1428)&lt;=0,"",INDEX(SCAmount,$L1428))),IF($M1428&lt;&gt;"",IF(INDEX(LdgWitB,$M1428)=0,"",INDEX(LdgWitB,$M1428)),""))</f>
        <v/>
      </c>
      <c r="H1428" s="27">
        <f>IF($L1428&lt;&gt;"",IF(INDEX(SCOp,$L1428)="مرجوعی فروش",IF(INDEX(SCAmount,$L1428)=0,"",-INDEX(SCAmount,$L1428)),""),IF($M1428&lt;&gt;"",IF(INDEX(LdgDepB,$M1428)=0,"",INDEX(LdgDepB,$M1428)),""))</f>
        <v/>
      </c>
      <c r="I1428" s="28">
        <f>IF($B1428="","",IF($I1427="",$C$10,$I1427)+IF($G1428="",0,$G1428)-IF($H1428="",0,$H1428))</f>
        <v/>
      </c>
      <c r="L1428">
        <f>IFERROR(MATCH($C$5&amp;"|"&amp;RIGHT("000000"&amp;1412,6),LdgRankKeyA,0),"")</f>
        <v/>
      </c>
      <c r="M1428">
        <f>IFERROR(MATCH($C$5&amp;"|"&amp;RIGHT("000000"&amp;1412,6),LdgRankKeyB,0),"")</f>
        <v/>
      </c>
    </row>
    <row r="1429">
      <c r="A1429" s="17" t="n">
        <v>1413</v>
      </c>
      <c r="B1429" s="18">
        <f>IF(AND($L1429="",$M1429=""),"",IF($L1429&lt;&gt;"",INDEX(SCNormDate,$L1429),INDEX(LdgDateB,$M1429)))</f>
        <v/>
      </c>
      <c r="C1429" s="18">
        <f>IF($L1429&lt;&gt;"",INDEX(SCOp,$L1429),IF($M1429&lt;&gt;"","پرداخت بانکی",""))</f>
        <v/>
      </c>
      <c r="D1429" s="18">
        <f>IF($L1429&lt;&gt;"",IF(INDEX(SCDoc,$L1429)="","—",INDEX(SCDoc,$L1429)),IF($M1429&lt;&gt;"",INDEX(LdgBankB,$M1429),""))</f>
        <v/>
      </c>
      <c r="E1429" s="19">
        <f>IF($L1429&lt;&gt;"",IF(INDEX(SCCitrus,$L1429)&amp;INDEX(SCNotes,$L1429)="","",IF(INDEX(SCCitrus,$L1429)="","",INDEX(SCCitrus,$L1429))&amp;IF(INDEX(SCNotes,$L1429)="",""," — "&amp;INDEX(SCNotes,$L1429))),IF($M1429&lt;&gt;"",IF(INDEX(LdgNoteB,$M1429)="","—",INDEX(LdgNoteB,$M1429)),""))</f>
        <v/>
      </c>
      <c r="F1429" s="20">
        <f>IF($L1429&lt;&gt;"",IF(INDEX(SCNet,$L1429)=0,"",INDEX(SCNet,$L1429)),"")</f>
        <v/>
      </c>
      <c r="G1429" s="21">
        <f>IF($L1429&lt;&gt;"",IF(INDEX(SCOp,$L1429)="مرجوعی فروش","",IF(INDEX(SCAmount,$L1429)&lt;=0,"",INDEX(SCAmount,$L1429))),IF($M1429&lt;&gt;"",IF(INDEX(LdgWitB,$M1429)=0,"",INDEX(LdgWitB,$M1429)),""))</f>
        <v/>
      </c>
      <c r="H1429" s="21">
        <f>IF($L1429&lt;&gt;"",IF(INDEX(SCOp,$L1429)="مرجوعی فروش",IF(INDEX(SCAmount,$L1429)=0,"",-INDEX(SCAmount,$L1429)),""),IF($M1429&lt;&gt;"",IF(INDEX(LdgDepB,$M1429)=0,"",INDEX(LdgDepB,$M1429)),""))</f>
        <v/>
      </c>
      <c r="I1429" s="22">
        <f>IF($B1429="","",IF($I1428="",$C$10,$I1428)+IF($G1429="",0,$G1429)-IF($H1429="",0,$H1429))</f>
        <v/>
      </c>
      <c r="L1429">
        <f>IFERROR(MATCH($C$5&amp;"|"&amp;RIGHT("000000"&amp;1413,6),LdgRankKeyA,0),"")</f>
        <v/>
      </c>
      <c r="M1429">
        <f>IFERROR(MATCH($C$5&amp;"|"&amp;RIGHT("000000"&amp;1413,6),LdgRankKeyB,0),"")</f>
        <v/>
      </c>
    </row>
    <row r="1430">
      <c r="A1430" s="23" t="n">
        <v>1414</v>
      </c>
      <c r="B1430" s="24">
        <f>IF(AND($L1430="",$M1430=""),"",IF($L1430&lt;&gt;"",INDEX(SCNormDate,$L1430),INDEX(LdgDateB,$M1430)))</f>
        <v/>
      </c>
      <c r="C1430" s="24">
        <f>IF($L1430&lt;&gt;"",INDEX(SCOp,$L1430),IF($M1430&lt;&gt;"","پرداخت بانکی",""))</f>
        <v/>
      </c>
      <c r="D1430" s="24">
        <f>IF($L1430&lt;&gt;"",IF(INDEX(SCDoc,$L1430)="","—",INDEX(SCDoc,$L1430)),IF($M1430&lt;&gt;"",INDEX(LdgBankB,$M1430),""))</f>
        <v/>
      </c>
      <c r="E1430" s="25">
        <f>IF($L1430&lt;&gt;"",IF(INDEX(SCCitrus,$L1430)&amp;INDEX(SCNotes,$L1430)="","",IF(INDEX(SCCitrus,$L1430)="","",INDEX(SCCitrus,$L1430))&amp;IF(INDEX(SCNotes,$L1430)="",""," — "&amp;INDEX(SCNotes,$L1430))),IF($M1430&lt;&gt;"",IF(INDEX(LdgNoteB,$M1430)="","—",INDEX(LdgNoteB,$M1430)),""))</f>
        <v/>
      </c>
      <c r="F1430" s="26">
        <f>IF($L1430&lt;&gt;"",IF(INDEX(SCNet,$L1430)=0,"",INDEX(SCNet,$L1430)),"")</f>
        <v/>
      </c>
      <c r="G1430" s="27">
        <f>IF($L1430&lt;&gt;"",IF(INDEX(SCOp,$L1430)="مرجوعی فروش","",IF(INDEX(SCAmount,$L1430)&lt;=0,"",INDEX(SCAmount,$L1430))),IF($M1430&lt;&gt;"",IF(INDEX(LdgWitB,$M1430)=0,"",INDEX(LdgWitB,$M1430)),""))</f>
        <v/>
      </c>
      <c r="H1430" s="27">
        <f>IF($L1430&lt;&gt;"",IF(INDEX(SCOp,$L1430)="مرجوعی فروش",IF(INDEX(SCAmount,$L1430)=0,"",-INDEX(SCAmount,$L1430)),""),IF($M1430&lt;&gt;"",IF(INDEX(LdgDepB,$M1430)=0,"",INDEX(LdgDepB,$M1430)),""))</f>
        <v/>
      </c>
      <c r="I1430" s="28">
        <f>IF($B1430="","",IF($I1429="",$C$10,$I1429)+IF($G1430="",0,$G1430)-IF($H1430="",0,$H1430))</f>
        <v/>
      </c>
      <c r="L1430">
        <f>IFERROR(MATCH($C$5&amp;"|"&amp;RIGHT("000000"&amp;1414,6),LdgRankKeyA,0),"")</f>
        <v/>
      </c>
      <c r="M1430">
        <f>IFERROR(MATCH($C$5&amp;"|"&amp;RIGHT("000000"&amp;1414,6),LdgRankKeyB,0),"")</f>
        <v/>
      </c>
    </row>
    <row r="1431">
      <c r="A1431" s="17" t="n">
        <v>1415</v>
      </c>
      <c r="B1431" s="18">
        <f>IF(AND($L1431="",$M1431=""),"",IF($L1431&lt;&gt;"",INDEX(SCNormDate,$L1431),INDEX(LdgDateB,$M1431)))</f>
        <v/>
      </c>
      <c r="C1431" s="18">
        <f>IF($L1431&lt;&gt;"",INDEX(SCOp,$L1431),IF($M1431&lt;&gt;"","پرداخت بانکی",""))</f>
        <v/>
      </c>
      <c r="D1431" s="18">
        <f>IF($L1431&lt;&gt;"",IF(INDEX(SCDoc,$L1431)="","—",INDEX(SCDoc,$L1431)),IF($M1431&lt;&gt;"",INDEX(LdgBankB,$M1431),""))</f>
        <v/>
      </c>
      <c r="E1431" s="19">
        <f>IF($L1431&lt;&gt;"",IF(INDEX(SCCitrus,$L1431)&amp;INDEX(SCNotes,$L1431)="","",IF(INDEX(SCCitrus,$L1431)="","",INDEX(SCCitrus,$L1431))&amp;IF(INDEX(SCNotes,$L1431)="",""," — "&amp;INDEX(SCNotes,$L1431))),IF($M1431&lt;&gt;"",IF(INDEX(LdgNoteB,$M1431)="","—",INDEX(LdgNoteB,$M1431)),""))</f>
        <v/>
      </c>
      <c r="F1431" s="20">
        <f>IF($L1431&lt;&gt;"",IF(INDEX(SCNet,$L1431)=0,"",INDEX(SCNet,$L1431)),"")</f>
        <v/>
      </c>
      <c r="G1431" s="21">
        <f>IF($L1431&lt;&gt;"",IF(INDEX(SCOp,$L1431)="مرجوعی فروش","",IF(INDEX(SCAmount,$L1431)&lt;=0,"",INDEX(SCAmount,$L1431))),IF($M1431&lt;&gt;"",IF(INDEX(LdgWitB,$M1431)=0,"",INDEX(LdgWitB,$M1431)),""))</f>
        <v/>
      </c>
      <c r="H1431" s="21">
        <f>IF($L1431&lt;&gt;"",IF(INDEX(SCOp,$L1431)="مرجوعی فروش",IF(INDEX(SCAmount,$L1431)=0,"",-INDEX(SCAmount,$L1431)),""),IF($M1431&lt;&gt;"",IF(INDEX(LdgDepB,$M1431)=0,"",INDEX(LdgDepB,$M1431)),""))</f>
        <v/>
      </c>
      <c r="I1431" s="22">
        <f>IF($B1431="","",IF($I1430="",$C$10,$I1430)+IF($G1431="",0,$G1431)-IF($H1431="",0,$H1431))</f>
        <v/>
      </c>
      <c r="L1431">
        <f>IFERROR(MATCH($C$5&amp;"|"&amp;RIGHT("000000"&amp;1415,6),LdgRankKeyA,0),"")</f>
        <v/>
      </c>
      <c r="M1431">
        <f>IFERROR(MATCH($C$5&amp;"|"&amp;RIGHT("000000"&amp;1415,6),LdgRankKeyB,0),"")</f>
        <v/>
      </c>
    </row>
    <row r="1432">
      <c r="A1432" s="23" t="n">
        <v>1416</v>
      </c>
      <c r="B1432" s="24">
        <f>IF(AND($L1432="",$M1432=""),"",IF($L1432&lt;&gt;"",INDEX(SCNormDate,$L1432),INDEX(LdgDateB,$M1432)))</f>
        <v/>
      </c>
      <c r="C1432" s="24">
        <f>IF($L1432&lt;&gt;"",INDEX(SCOp,$L1432),IF($M1432&lt;&gt;"","پرداخت بانکی",""))</f>
        <v/>
      </c>
      <c r="D1432" s="24">
        <f>IF($L1432&lt;&gt;"",IF(INDEX(SCDoc,$L1432)="","—",INDEX(SCDoc,$L1432)),IF($M1432&lt;&gt;"",INDEX(LdgBankB,$M1432),""))</f>
        <v/>
      </c>
      <c r="E1432" s="25">
        <f>IF($L1432&lt;&gt;"",IF(INDEX(SCCitrus,$L1432)&amp;INDEX(SCNotes,$L1432)="","",IF(INDEX(SCCitrus,$L1432)="","",INDEX(SCCitrus,$L1432))&amp;IF(INDEX(SCNotes,$L1432)="",""," — "&amp;INDEX(SCNotes,$L1432))),IF($M1432&lt;&gt;"",IF(INDEX(LdgNoteB,$M1432)="","—",INDEX(LdgNoteB,$M1432)),""))</f>
        <v/>
      </c>
      <c r="F1432" s="26">
        <f>IF($L1432&lt;&gt;"",IF(INDEX(SCNet,$L1432)=0,"",INDEX(SCNet,$L1432)),"")</f>
        <v/>
      </c>
      <c r="G1432" s="27">
        <f>IF($L1432&lt;&gt;"",IF(INDEX(SCOp,$L1432)="مرجوعی فروش","",IF(INDEX(SCAmount,$L1432)&lt;=0,"",INDEX(SCAmount,$L1432))),IF($M1432&lt;&gt;"",IF(INDEX(LdgWitB,$M1432)=0,"",INDEX(LdgWitB,$M1432)),""))</f>
        <v/>
      </c>
      <c r="H1432" s="27">
        <f>IF($L1432&lt;&gt;"",IF(INDEX(SCOp,$L1432)="مرجوعی فروش",IF(INDEX(SCAmount,$L1432)=0,"",-INDEX(SCAmount,$L1432)),""),IF($M1432&lt;&gt;"",IF(INDEX(LdgDepB,$M1432)=0,"",INDEX(LdgDepB,$M1432)),""))</f>
        <v/>
      </c>
      <c r="I1432" s="28">
        <f>IF($B1432="","",IF($I1431="",$C$10,$I1431)+IF($G1432="",0,$G1432)-IF($H1432="",0,$H1432))</f>
        <v/>
      </c>
      <c r="L1432">
        <f>IFERROR(MATCH($C$5&amp;"|"&amp;RIGHT("000000"&amp;1416,6),LdgRankKeyA,0),"")</f>
        <v/>
      </c>
      <c r="M1432">
        <f>IFERROR(MATCH($C$5&amp;"|"&amp;RIGHT("000000"&amp;1416,6),LdgRankKeyB,0),"")</f>
        <v/>
      </c>
    </row>
    <row r="1433">
      <c r="A1433" s="17" t="n">
        <v>1417</v>
      </c>
      <c r="B1433" s="18">
        <f>IF(AND($L1433="",$M1433=""),"",IF($L1433&lt;&gt;"",INDEX(SCNormDate,$L1433),INDEX(LdgDateB,$M1433)))</f>
        <v/>
      </c>
      <c r="C1433" s="18">
        <f>IF($L1433&lt;&gt;"",INDEX(SCOp,$L1433),IF($M1433&lt;&gt;"","پرداخت بانکی",""))</f>
        <v/>
      </c>
      <c r="D1433" s="18">
        <f>IF($L1433&lt;&gt;"",IF(INDEX(SCDoc,$L1433)="","—",INDEX(SCDoc,$L1433)),IF($M1433&lt;&gt;"",INDEX(LdgBankB,$M1433),""))</f>
        <v/>
      </c>
      <c r="E1433" s="19">
        <f>IF($L1433&lt;&gt;"",IF(INDEX(SCCitrus,$L1433)&amp;INDEX(SCNotes,$L1433)="","",IF(INDEX(SCCitrus,$L1433)="","",INDEX(SCCitrus,$L1433))&amp;IF(INDEX(SCNotes,$L1433)="",""," — "&amp;INDEX(SCNotes,$L1433))),IF($M1433&lt;&gt;"",IF(INDEX(LdgNoteB,$M1433)="","—",INDEX(LdgNoteB,$M1433)),""))</f>
        <v/>
      </c>
      <c r="F1433" s="20">
        <f>IF($L1433&lt;&gt;"",IF(INDEX(SCNet,$L1433)=0,"",INDEX(SCNet,$L1433)),"")</f>
        <v/>
      </c>
      <c r="G1433" s="21">
        <f>IF($L1433&lt;&gt;"",IF(INDEX(SCOp,$L1433)="مرجوعی فروش","",IF(INDEX(SCAmount,$L1433)&lt;=0,"",INDEX(SCAmount,$L1433))),IF($M1433&lt;&gt;"",IF(INDEX(LdgWitB,$M1433)=0,"",INDEX(LdgWitB,$M1433)),""))</f>
        <v/>
      </c>
      <c r="H1433" s="21">
        <f>IF($L1433&lt;&gt;"",IF(INDEX(SCOp,$L1433)="مرجوعی فروش",IF(INDEX(SCAmount,$L1433)=0,"",-INDEX(SCAmount,$L1433)),""),IF($M1433&lt;&gt;"",IF(INDEX(LdgDepB,$M1433)=0,"",INDEX(LdgDepB,$M1433)),""))</f>
        <v/>
      </c>
      <c r="I1433" s="22">
        <f>IF($B1433="","",IF($I1432="",$C$10,$I1432)+IF($G1433="",0,$G1433)-IF($H1433="",0,$H1433))</f>
        <v/>
      </c>
      <c r="L1433">
        <f>IFERROR(MATCH($C$5&amp;"|"&amp;RIGHT("000000"&amp;1417,6),LdgRankKeyA,0),"")</f>
        <v/>
      </c>
      <c r="M1433">
        <f>IFERROR(MATCH($C$5&amp;"|"&amp;RIGHT("000000"&amp;1417,6),LdgRankKeyB,0),"")</f>
        <v/>
      </c>
    </row>
    <row r="1434">
      <c r="A1434" s="23" t="n">
        <v>1418</v>
      </c>
      <c r="B1434" s="24">
        <f>IF(AND($L1434="",$M1434=""),"",IF($L1434&lt;&gt;"",INDEX(SCNormDate,$L1434),INDEX(LdgDateB,$M1434)))</f>
        <v/>
      </c>
      <c r="C1434" s="24">
        <f>IF($L1434&lt;&gt;"",INDEX(SCOp,$L1434),IF($M1434&lt;&gt;"","پرداخت بانکی",""))</f>
        <v/>
      </c>
      <c r="D1434" s="24">
        <f>IF($L1434&lt;&gt;"",IF(INDEX(SCDoc,$L1434)="","—",INDEX(SCDoc,$L1434)),IF($M1434&lt;&gt;"",INDEX(LdgBankB,$M1434),""))</f>
        <v/>
      </c>
      <c r="E1434" s="25">
        <f>IF($L1434&lt;&gt;"",IF(INDEX(SCCitrus,$L1434)&amp;INDEX(SCNotes,$L1434)="","",IF(INDEX(SCCitrus,$L1434)="","",INDEX(SCCitrus,$L1434))&amp;IF(INDEX(SCNotes,$L1434)="",""," — "&amp;INDEX(SCNotes,$L1434))),IF($M1434&lt;&gt;"",IF(INDEX(LdgNoteB,$M1434)="","—",INDEX(LdgNoteB,$M1434)),""))</f>
        <v/>
      </c>
      <c r="F1434" s="26">
        <f>IF($L1434&lt;&gt;"",IF(INDEX(SCNet,$L1434)=0,"",INDEX(SCNet,$L1434)),"")</f>
        <v/>
      </c>
      <c r="G1434" s="27">
        <f>IF($L1434&lt;&gt;"",IF(INDEX(SCOp,$L1434)="مرجوعی فروش","",IF(INDEX(SCAmount,$L1434)&lt;=0,"",INDEX(SCAmount,$L1434))),IF($M1434&lt;&gt;"",IF(INDEX(LdgWitB,$M1434)=0,"",INDEX(LdgWitB,$M1434)),""))</f>
        <v/>
      </c>
      <c r="H1434" s="27">
        <f>IF($L1434&lt;&gt;"",IF(INDEX(SCOp,$L1434)="مرجوعی فروش",IF(INDEX(SCAmount,$L1434)=0,"",-INDEX(SCAmount,$L1434)),""),IF($M1434&lt;&gt;"",IF(INDEX(LdgDepB,$M1434)=0,"",INDEX(LdgDepB,$M1434)),""))</f>
        <v/>
      </c>
      <c r="I1434" s="28">
        <f>IF($B1434="","",IF($I1433="",$C$10,$I1433)+IF($G1434="",0,$G1434)-IF($H1434="",0,$H1434))</f>
        <v/>
      </c>
      <c r="L1434">
        <f>IFERROR(MATCH($C$5&amp;"|"&amp;RIGHT("000000"&amp;1418,6),LdgRankKeyA,0),"")</f>
        <v/>
      </c>
      <c r="M1434">
        <f>IFERROR(MATCH($C$5&amp;"|"&amp;RIGHT("000000"&amp;1418,6),LdgRankKeyB,0),"")</f>
        <v/>
      </c>
    </row>
    <row r="1435">
      <c r="A1435" s="17" t="n">
        <v>1419</v>
      </c>
      <c r="B1435" s="18">
        <f>IF(AND($L1435="",$M1435=""),"",IF($L1435&lt;&gt;"",INDEX(SCNormDate,$L1435),INDEX(LdgDateB,$M1435)))</f>
        <v/>
      </c>
      <c r="C1435" s="18">
        <f>IF($L1435&lt;&gt;"",INDEX(SCOp,$L1435),IF($M1435&lt;&gt;"","پرداخت بانکی",""))</f>
        <v/>
      </c>
      <c r="D1435" s="18">
        <f>IF($L1435&lt;&gt;"",IF(INDEX(SCDoc,$L1435)="","—",INDEX(SCDoc,$L1435)),IF($M1435&lt;&gt;"",INDEX(LdgBankB,$M1435),""))</f>
        <v/>
      </c>
      <c r="E1435" s="19">
        <f>IF($L1435&lt;&gt;"",IF(INDEX(SCCitrus,$L1435)&amp;INDEX(SCNotes,$L1435)="","",IF(INDEX(SCCitrus,$L1435)="","",INDEX(SCCitrus,$L1435))&amp;IF(INDEX(SCNotes,$L1435)="",""," — "&amp;INDEX(SCNotes,$L1435))),IF($M1435&lt;&gt;"",IF(INDEX(LdgNoteB,$M1435)="","—",INDEX(LdgNoteB,$M1435)),""))</f>
        <v/>
      </c>
      <c r="F1435" s="20">
        <f>IF($L1435&lt;&gt;"",IF(INDEX(SCNet,$L1435)=0,"",INDEX(SCNet,$L1435)),"")</f>
        <v/>
      </c>
      <c r="G1435" s="21">
        <f>IF($L1435&lt;&gt;"",IF(INDEX(SCOp,$L1435)="مرجوعی فروش","",IF(INDEX(SCAmount,$L1435)&lt;=0,"",INDEX(SCAmount,$L1435))),IF($M1435&lt;&gt;"",IF(INDEX(LdgWitB,$M1435)=0,"",INDEX(LdgWitB,$M1435)),""))</f>
        <v/>
      </c>
      <c r="H1435" s="21">
        <f>IF($L1435&lt;&gt;"",IF(INDEX(SCOp,$L1435)="مرجوعی فروش",IF(INDEX(SCAmount,$L1435)=0,"",-INDEX(SCAmount,$L1435)),""),IF($M1435&lt;&gt;"",IF(INDEX(LdgDepB,$M1435)=0,"",INDEX(LdgDepB,$M1435)),""))</f>
        <v/>
      </c>
      <c r="I1435" s="22">
        <f>IF($B1435="","",IF($I1434="",$C$10,$I1434)+IF($G1435="",0,$G1435)-IF($H1435="",0,$H1435))</f>
        <v/>
      </c>
      <c r="L1435">
        <f>IFERROR(MATCH($C$5&amp;"|"&amp;RIGHT("000000"&amp;1419,6),LdgRankKeyA,0),"")</f>
        <v/>
      </c>
      <c r="M1435">
        <f>IFERROR(MATCH($C$5&amp;"|"&amp;RIGHT("000000"&amp;1419,6),LdgRankKeyB,0),"")</f>
        <v/>
      </c>
    </row>
    <row r="1436">
      <c r="A1436" s="23" t="n">
        <v>1420</v>
      </c>
      <c r="B1436" s="24">
        <f>IF(AND($L1436="",$M1436=""),"",IF($L1436&lt;&gt;"",INDEX(SCNormDate,$L1436),INDEX(LdgDateB,$M1436)))</f>
        <v/>
      </c>
      <c r="C1436" s="24">
        <f>IF($L1436&lt;&gt;"",INDEX(SCOp,$L1436),IF($M1436&lt;&gt;"","پرداخت بانکی",""))</f>
        <v/>
      </c>
      <c r="D1436" s="24">
        <f>IF($L1436&lt;&gt;"",IF(INDEX(SCDoc,$L1436)="","—",INDEX(SCDoc,$L1436)),IF($M1436&lt;&gt;"",INDEX(LdgBankB,$M1436),""))</f>
        <v/>
      </c>
      <c r="E1436" s="25">
        <f>IF($L1436&lt;&gt;"",IF(INDEX(SCCitrus,$L1436)&amp;INDEX(SCNotes,$L1436)="","",IF(INDEX(SCCitrus,$L1436)="","",INDEX(SCCitrus,$L1436))&amp;IF(INDEX(SCNotes,$L1436)="",""," — "&amp;INDEX(SCNotes,$L1436))),IF($M1436&lt;&gt;"",IF(INDEX(LdgNoteB,$M1436)="","—",INDEX(LdgNoteB,$M1436)),""))</f>
        <v/>
      </c>
      <c r="F1436" s="26">
        <f>IF($L1436&lt;&gt;"",IF(INDEX(SCNet,$L1436)=0,"",INDEX(SCNet,$L1436)),"")</f>
        <v/>
      </c>
      <c r="G1436" s="27">
        <f>IF($L1436&lt;&gt;"",IF(INDEX(SCOp,$L1436)="مرجوعی فروش","",IF(INDEX(SCAmount,$L1436)&lt;=0,"",INDEX(SCAmount,$L1436))),IF($M1436&lt;&gt;"",IF(INDEX(LdgWitB,$M1436)=0,"",INDEX(LdgWitB,$M1436)),""))</f>
        <v/>
      </c>
      <c r="H1436" s="27">
        <f>IF($L1436&lt;&gt;"",IF(INDEX(SCOp,$L1436)="مرجوعی فروش",IF(INDEX(SCAmount,$L1436)=0,"",-INDEX(SCAmount,$L1436)),""),IF($M1436&lt;&gt;"",IF(INDEX(LdgDepB,$M1436)=0,"",INDEX(LdgDepB,$M1436)),""))</f>
        <v/>
      </c>
      <c r="I1436" s="28">
        <f>IF($B1436="","",IF($I1435="",$C$10,$I1435)+IF($G1436="",0,$G1436)-IF($H1436="",0,$H1436))</f>
        <v/>
      </c>
      <c r="L1436">
        <f>IFERROR(MATCH($C$5&amp;"|"&amp;RIGHT("000000"&amp;1420,6),LdgRankKeyA,0),"")</f>
        <v/>
      </c>
      <c r="M1436">
        <f>IFERROR(MATCH($C$5&amp;"|"&amp;RIGHT("000000"&amp;1420,6),LdgRankKeyB,0),"")</f>
        <v/>
      </c>
    </row>
    <row r="1437">
      <c r="A1437" s="17" t="n">
        <v>1421</v>
      </c>
      <c r="B1437" s="18">
        <f>IF(AND($L1437="",$M1437=""),"",IF($L1437&lt;&gt;"",INDEX(SCNormDate,$L1437),INDEX(LdgDateB,$M1437)))</f>
        <v/>
      </c>
      <c r="C1437" s="18">
        <f>IF($L1437&lt;&gt;"",INDEX(SCOp,$L1437),IF($M1437&lt;&gt;"","پرداخت بانکی",""))</f>
        <v/>
      </c>
      <c r="D1437" s="18">
        <f>IF($L1437&lt;&gt;"",IF(INDEX(SCDoc,$L1437)="","—",INDEX(SCDoc,$L1437)),IF($M1437&lt;&gt;"",INDEX(LdgBankB,$M1437),""))</f>
        <v/>
      </c>
      <c r="E1437" s="19">
        <f>IF($L1437&lt;&gt;"",IF(INDEX(SCCitrus,$L1437)&amp;INDEX(SCNotes,$L1437)="","",IF(INDEX(SCCitrus,$L1437)="","",INDEX(SCCitrus,$L1437))&amp;IF(INDEX(SCNotes,$L1437)="",""," — "&amp;INDEX(SCNotes,$L1437))),IF($M1437&lt;&gt;"",IF(INDEX(LdgNoteB,$M1437)="","—",INDEX(LdgNoteB,$M1437)),""))</f>
        <v/>
      </c>
      <c r="F1437" s="20">
        <f>IF($L1437&lt;&gt;"",IF(INDEX(SCNet,$L1437)=0,"",INDEX(SCNet,$L1437)),"")</f>
        <v/>
      </c>
      <c r="G1437" s="21">
        <f>IF($L1437&lt;&gt;"",IF(INDEX(SCOp,$L1437)="مرجوعی فروش","",IF(INDEX(SCAmount,$L1437)&lt;=0,"",INDEX(SCAmount,$L1437))),IF($M1437&lt;&gt;"",IF(INDEX(LdgWitB,$M1437)=0,"",INDEX(LdgWitB,$M1437)),""))</f>
        <v/>
      </c>
      <c r="H1437" s="21">
        <f>IF($L1437&lt;&gt;"",IF(INDEX(SCOp,$L1437)="مرجوعی فروش",IF(INDEX(SCAmount,$L1437)=0,"",-INDEX(SCAmount,$L1437)),""),IF($M1437&lt;&gt;"",IF(INDEX(LdgDepB,$M1437)=0,"",INDEX(LdgDepB,$M1437)),""))</f>
        <v/>
      </c>
      <c r="I1437" s="22">
        <f>IF($B1437="","",IF($I1436="",$C$10,$I1436)+IF($G1437="",0,$G1437)-IF($H1437="",0,$H1437))</f>
        <v/>
      </c>
      <c r="L1437">
        <f>IFERROR(MATCH($C$5&amp;"|"&amp;RIGHT("000000"&amp;1421,6),LdgRankKeyA,0),"")</f>
        <v/>
      </c>
      <c r="M1437">
        <f>IFERROR(MATCH($C$5&amp;"|"&amp;RIGHT("000000"&amp;1421,6),LdgRankKeyB,0),"")</f>
        <v/>
      </c>
    </row>
    <row r="1438">
      <c r="A1438" s="23" t="n">
        <v>1422</v>
      </c>
      <c r="B1438" s="24">
        <f>IF(AND($L1438="",$M1438=""),"",IF($L1438&lt;&gt;"",INDEX(SCNormDate,$L1438),INDEX(LdgDateB,$M1438)))</f>
        <v/>
      </c>
      <c r="C1438" s="24">
        <f>IF($L1438&lt;&gt;"",INDEX(SCOp,$L1438),IF($M1438&lt;&gt;"","پرداخت بانکی",""))</f>
        <v/>
      </c>
      <c r="D1438" s="24">
        <f>IF($L1438&lt;&gt;"",IF(INDEX(SCDoc,$L1438)="","—",INDEX(SCDoc,$L1438)),IF($M1438&lt;&gt;"",INDEX(LdgBankB,$M1438),""))</f>
        <v/>
      </c>
      <c r="E1438" s="25">
        <f>IF($L1438&lt;&gt;"",IF(INDEX(SCCitrus,$L1438)&amp;INDEX(SCNotes,$L1438)="","",IF(INDEX(SCCitrus,$L1438)="","",INDEX(SCCitrus,$L1438))&amp;IF(INDEX(SCNotes,$L1438)="",""," — "&amp;INDEX(SCNotes,$L1438))),IF($M1438&lt;&gt;"",IF(INDEX(LdgNoteB,$M1438)="","—",INDEX(LdgNoteB,$M1438)),""))</f>
        <v/>
      </c>
      <c r="F1438" s="26">
        <f>IF($L1438&lt;&gt;"",IF(INDEX(SCNet,$L1438)=0,"",INDEX(SCNet,$L1438)),"")</f>
        <v/>
      </c>
      <c r="G1438" s="27">
        <f>IF($L1438&lt;&gt;"",IF(INDEX(SCOp,$L1438)="مرجوعی فروش","",IF(INDEX(SCAmount,$L1438)&lt;=0,"",INDEX(SCAmount,$L1438))),IF($M1438&lt;&gt;"",IF(INDEX(LdgWitB,$M1438)=0,"",INDEX(LdgWitB,$M1438)),""))</f>
        <v/>
      </c>
      <c r="H1438" s="27">
        <f>IF($L1438&lt;&gt;"",IF(INDEX(SCOp,$L1438)="مرجوعی فروش",IF(INDEX(SCAmount,$L1438)=0,"",-INDEX(SCAmount,$L1438)),""),IF($M1438&lt;&gt;"",IF(INDEX(LdgDepB,$M1438)=0,"",INDEX(LdgDepB,$M1438)),""))</f>
        <v/>
      </c>
      <c r="I1438" s="28">
        <f>IF($B1438="","",IF($I1437="",$C$10,$I1437)+IF($G1438="",0,$G1438)-IF($H1438="",0,$H1438))</f>
        <v/>
      </c>
      <c r="L1438">
        <f>IFERROR(MATCH($C$5&amp;"|"&amp;RIGHT("000000"&amp;1422,6),LdgRankKeyA,0),"")</f>
        <v/>
      </c>
      <c r="M1438">
        <f>IFERROR(MATCH($C$5&amp;"|"&amp;RIGHT("000000"&amp;1422,6),LdgRankKeyB,0),"")</f>
        <v/>
      </c>
    </row>
    <row r="1439">
      <c r="A1439" s="17" t="n">
        <v>1423</v>
      </c>
      <c r="B1439" s="18">
        <f>IF(AND($L1439="",$M1439=""),"",IF($L1439&lt;&gt;"",INDEX(SCNormDate,$L1439),INDEX(LdgDateB,$M1439)))</f>
        <v/>
      </c>
      <c r="C1439" s="18">
        <f>IF($L1439&lt;&gt;"",INDEX(SCOp,$L1439),IF($M1439&lt;&gt;"","پرداخت بانکی",""))</f>
        <v/>
      </c>
      <c r="D1439" s="18">
        <f>IF($L1439&lt;&gt;"",IF(INDEX(SCDoc,$L1439)="","—",INDEX(SCDoc,$L1439)),IF($M1439&lt;&gt;"",INDEX(LdgBankB,$M1439),""))</f>
        <v/>
      </c>
      <c r="E1439" s="19">
        <f>IF($L1439&lt;&gt;"",IF(INDEX(SCCitrus,$L1439)&amp;INDEX(SCNotes,$L1439)="","",IF(INDEX(SCCitrus,$L1439)="","",INDEX(SCCitrus,$L1439))&amp;IF(INDEX(SCNotes,$L1439)="",""," — "&amp;INDEX(SCNotes,$L1439))),IF($M1439&lt;&gt;"",IF(INDEX(LdgNoteB,$M1439)="","—",INDEX(LdgNoteB,$M1439)),""))</f>
        <v/>
      </c>
      <c r="F1439" s="20">
        <f>IF($L1439&lt;&gt;"",IF(INDEX(SCNet,$L1439)=0,"",INDEX(SCNet,$L1439)),"")</f>
        <v/>
      </c>
      <c r="G1439" s="21">
        <f>IF($L1439&lt;&gt;"",IF(INDEX(SCOp,$L1439)="مرجوعی فروش","",IF(INDEX(SCAmount,$L1439)&lt;=0,"",INDEX(SCAmount,$L1439))),IF($M1439&lt;&gt;"",IF(INDEX(LdgWitB,$M1439)=0,"",INDEX(LdgWitB,$M1439)),""))</f>
        <v/>
      </c>
      <c r="H1439" s="21">
        <f>IF($L1439&lt;&gt;"",IF(INDEX(SCOp,$L1439)="مرجوعی فروش",IF(INDEX(SCAmount,$L1439)=0,"",-INDEX(SCAmount,$L1439)),""),IF($M1439&lt;&gt;"",IF(INDEX(LdgDepB,$M1439)=0,"",INDEX(LdgDepB,$M1439)),""))</f>
        <v/>
      </c>
      <c r="I1439" s="22">
        <f>IF($B1439="","",IF($I1438="",$C$10,$I1438)+IF($G1439="",0,$G1439)-IF($H1439="",0,$H1439))</f>
        <v/>
      </c>
      <c r="L1439">
        <f>IFERROR(MATCH($C$5&amp;"|"&amp;RIGHT("000000"&amp;1423,6),LdgRankKeyA,0),"")</f>
        <v/>
      </c>
      <c r="M1439">
        <f>IFERROR(MATCH($C$5&amp;"|"&amp;RIGHT("000000"&amp;1423,6),LdgRankKeyB,0),"")</f>
        <v/>
      </c>
    </row>
    <row r="1440">
      <c r="A1440" s="23" t="n">
        <v>1424</v>
      </c>
      <c r="B1440" s="24">
        <f>IF(AND($L1440="",$M1440=""),"",IF($L1440&lt;&gt;"",INDEX(SCNormDate,$L1440),INDEX(LdgDateB,$M1440)))</f>
        <v/>
      </c>
      <c r="C1440" s="24">
        <f>IF($L1440&lt;&gt;"",INDEX(SCOp,$L1440),IF($M1440&lt;&gt;"","پرداخت بانکی",""))</f>
        <v/>
      </c>
      <c r="D1440" s="24">
        <f>IF($L1440&lt;&gt;"",IF(INDEX(SCDoc,$L1440)="","—",INDEX(SCDoc,$L1440)),IF($M1440&lt;&gt;"",INDEX(LdgBankB,$M1440),""))</f>
        <v/>
      </c>
      <c r="E1440" s="25">
        <f>IF($L1440&lt;&gt;"",IF(INDEX(SCCitrus,$L1440)&amp;INDEX(SCNotes,$L1440)="","",IF(INDEX(SCCitrus,$L1440)="","",INDEX(SCCitrus,$L1440))&amp;IF(INDEX(SCNotes,$L1440)="",""," — "&amp;INDEX(SCNotes,$L1440))),IF($M1440&lt;&gt;"",IF(INDEX(LdgNoteB,$M1440)="","—",INDEX(LdgNoteB,$M1440)),""))</f>
        <v/>
      </c>
      <c r="F1440" s="26">
        <f>IF($L1440&lt;&gt;"",IF(INDEX(SCNet,$L1440)=0,"",INDEX(SCNet,$L1440)),"")</f>
        <v/>
      </c>
      <c r="G1440" s="27">
        <f>IF($L1440&lt;&gt;"",IF(INDEX(SCOp,$L1440)="مرجوعی فروش","",IF(INDEX(SCAmount,$L1440)&lt;=0,"",INDEX(SCAmount,$L1440))),IF($M1440&lt;&gt;"",IF(INDEX(LdgWitB,$M1440)=0,"",INDEX(LdgWitB,$M1440)),""))</f>
        <v/>
      </c>
      <c r="H1440" s="27">
        <f>IF($L1440&lt;&gt;"",IF(INDEX(SCOp,$L1440)="مرجوعی فروش",IF(INDEX(SCAmount,$L1440)=0,"",-INDEX(SCAmount,$L1440)),""),IF($M1440&lt;&gt;"",IF(INDEX(LdgDepB,$M1440)=0,"",INDEX(LdgDepB,$M1440)),""))</f>
        <v/>
      </c>
      <c r="I1440" s="28">
        <f>IF($B1440="","",IF($I1439="",$C$10,$I1439)+IF($G1440="",0,$G1440)-IF($H1440="",0,$H1440))</f>
        <v/>
      </c>
      <c r="L1440">
        <f>IFERROR(MATCH($C$5&amp;"|"&amp;RIGHT("000000"&amp;1424,6),LdgRankKeyA,0),"")</f>
        <v/>
      </c>
      <c r="M1440">
        <f>IFERROR(MATCH($C$5&amp;"|"&amp;RIGHT("000000"&amp;1424,6),LdgRankKeyB,0),"")</f>
        <v/>
      </c>
    </row>
    <row r="1441">
      <c r="A1441" s="17" t="n">
        <v>1425</v>
      </c>
      <c r="B1441" s="18">
        <f>IF(AND($L1441="",$M1441=""),"",IF($L1441&lt;&gt;"",INDEX(SCNormDate,$L1441),INDEX(LdgDateB,$M1441)))</f>
        <v/>
      </c>
      <c r="C1441" s="18">
        <f>IF($L1441&lt;&gt;"",INDEX(SCOp,$L1441),IF($M1441&lt;&gt;"","پرداخت بانکی",""))</f>
        <v/>
      </c>
      <c r="D1441" s="18">
        <f>IF($L1441&lt;&gt;"",IF(INDEX(SCDoc,$L1441)="","—",INDEX(SCDoc,$L1441)),IF($M1441&lt;&gt;"",INDEX(LdgBankB,$M1441),""))</f>
        <v/>
      </c>
      <c r="E1441" s="19">
        <f>IF($L1441&lt;&gt;"",IF(INDEX(SCCitrus,$L1441)&amp;INDEX(SCNotes,$L1441)="","",IF(INDEX(SCCitrus,$L1441)="","",INDEX(SCCitrus,$L1441))&amp;IF(INDEX(SCNotes,$L1441)="",""," — "&amp;INDEX(SCNotes,$L1441))),IF($M1441&lt;&gt;"",IF(INDEX(LdgNoteB,$M1441)="","—",INDEX(LdgNoteB,$M1441)),""))</f>
        <v/>
      </c>
      <c r="F1441" s="20">
        <f>IF($L1441&lt;&gt;"",IF(INDEX(SCNet,$L1441)=0,"",INDEX(SCNet,$L1441)),"")</f>
        <v/>
      </c>
      <c r="G1441" s="21">
        <f>IF($L1441&lt;&gt;"",IF(INDEX(SCOp,$L1441)="مرجوعی فروش","",IF(INDEX(SCAmount,$L1441)&lt;=0,"",INDEX(SCAmount,$L1441))),IF($M1441&lt;&gt;"",IF(INDEX(LdgWitB,$M1441)=0,"",INDEX(LdgWitB,$M1441)),""))</f>
        <v/>
      </c>
      <c r="H1441" s="21">
        <f>IF($L1441&lt;&gt;"",IF(INDEX(SCOp,$L1441)="مرجوعی فروش",IF(INDEX(SCAmount,$L1441)=0,"",-INDEX(SCAmount,$L1441)),""),IF($M1441&lt;&gt;"",IF(INDEX(LdgDepB,$M1441)=0,"",INDEX(LdgDepB,$M1441)),""))</f>
        <v/>
      </c>
      <c r="I1441" s="22">
        <f>IF($B1441="","",IF($I1440="",$C$10,$I1440)+IF($G1441="",0,$G1441)-IF($H1441="",0,$H1441))</f>
        <v/>
      </c>
      <c r="L1441">
        <f>IFERROR(MATCH($C$5&amp;"|"&amp;RIGHT("000000"&amp;1425,6),LdgRankKeyA,0),"")</f>
        <v/>
      </c>
      <c r="M1441">
        <f>IFERROR(MATCH($C$5&amp;"|"&amp;RIGHT("000000"&amp;1425,6),LdgRankKeyB,0),"")</f>
        <v/>
      </c>
    </row>
    <row r="1442">
      <c r="A1442" s="23" t="n">
        <v>1426</v>
      </c>
      <c r="B1442" s="24">
        <f>IF(AND($L1442="",$M1442=""),"",IF($L1442&lt;&gt;"",INDEX(SCNormDate,$L1442),INDEX(LdgDateB,$M1442)))</f>
        <v/>
      </c>
      <c r="C1442" s="24">
        <f>IF($L1442&lt;&gt;"",INDEX(SCOp,$L1442),IF($M1442&lt;&gt;"","پرداخت بانکی",""))</f>
        <v/>
      </c>
      <c r="D1442" s="24">
        <f>IF($L1442&lt;&gt;"",IF(INDEX(SCDoc,$L1442)="","—",INDEX(SCDoc,$L1442)),IF($M1442&lt;&gt;"",INDEX(LdgBankB,$M1442),""))</f>
        <v/>
      </c>
      <c r="E1442" s="25">
        <f>IF($L1442&lt;&gt;"",IF(INDEX(SCCitrus,$L1442)&amp;INDEX(SCNotes,$L1442)="","",IF(INDEX(SCCitrus,$L1442)="","",INDEX(SCCitrus,$L1442))&amp;IF(INDEX(SCNotes,$L1442)="",""," — "&amp;INDEX(SCNotes,$L1442))),IF($M1442&lt;&gt;"",IF(INDEX(LdgNoteB,$M1442)="","—",INDEX(LdgNoteB,$M1442)),""))</f>
        <v/>
      </c>
      <c r="F1442" s="26">
        <f>IF($L1442&lt;&gt;"",IF(INDEX(SCNet,$L1442)=0,"",INDEX(SCNet,$L1442)),"")</f>
        <v/>
      </c>
      <c r="G1442" s="27">
        <f>IF($L1442&lt;&gt;"",IF(INDEX(SCOp,$L1442)="مرجوعی فروش","",IF(INDEX(SCAmount,$L1442)&lt;=0,"",INDEX(SCAmount,$L1442))),IF($M1442&lt;&gt;"",IF(INDEX(LdgWitB,$M1442)=0,"",INDEX(LdgWitB,$M1442)),""))</f>
        <v/>
      </c>
      <c r="H1442" s="27">
        <f>IF($L1442&lt;&gt;"",IF(INDEX(SCOp,$L1442)="مرجوعی فروش",IF(INDEX(SCAmount,$L1442)=0,"",-INDEX(SCAmount,$L1442)),""),IF($M1442&lt;&gt;"",IF(INDEX(LdgDepB,$M1442)=0,"",INDEX(LdgDepB,$M1442)),""))</f>
        <v/>
      </c>
      <c r="I1442" s="28">
        <f>IF($B1442="","",IF($I1441="",$C$10,$I1441)+IF($G1442="",0,$G1442)-IF($H1442="",0,$H1442))</f>
        <v/>
      </c>
      <c r="L1442">
        <f>IFERROR(MATCH($C$5&amp;"|"&amp;RIGHT("000000"&amp;1426,6),LdgRankKeyA,0),"")</f>
        <v/>
      </c>
      <c r="M1442">
        <f>IFERROR(MATCH($C$5&amp;"|"&amp;RIGHT("000000"&amp;1426,6),LdgRankKeyB,0),"")</f>
        <v/>
      </c>
    </row>
    <row r="1443">
      <c r="A1443" s="17" t="n">
        <v>1427</v>
      </c>
      <c r="B1443" s="18">
        <f>IF(AND($L1443="",$M1443=""),"",IF($L1443&lt;&gt;"",INDEX(SCNormDate,$L1443),INDEX(LdgDateB,$M1443)))</f>
        <v/>
      </c>
      <c r="C1443" s="18">
        <f>IF($L1443&lt;&gt;"",INDEX(SCOp,$L1443),IF($M1443&lt;&gt;"","پرداخت بانکی",""))</f>
        <v/>
      </c>
      <c r="D1443" s="18">
        <f>IF($L1443&lt;&gt;"",IF(INDEX(SCDoc,$L1443)="","—",INDEX(SCDoc,$L1443)),IF($M1443&lt;&gt;"",INDEX(LdgBankB,$M1443),""))</f>
        <v/>
      </c>
      <c r="E1443" s="19">
        <f>IF($L1443&lt;&gt;"",IF(INDEX(SCCitrus,$L1443)&amp;INDEX(SCNotes,$L1443)="","",IF(INDEX(SCCitrus,$L1443)="","",INDEX(SCCitrus,$L1443))&amp;IF(INDEX(SCNotes,$L1443)="",""," — "&amp;INDEX(SCNotes,$L1443))),IF($M1443&lt;&gt;"",IF(INDEX(LdgNoteB,$M1443)="","—",INDEX(LdgNoteB,$M1443)),""))</f>
        <v/>
      </c>
      <c r="F1443" s="20">
        <f>IF($L1443&lt;&gt;"",IF(INDEX(SCNet,$L1443)=0,"",INDEX(SCNet,$L1443)),"")</f>
        <v/>
      </c>
      <c r="G1443" s="21">
        <f>IF($L1443&lt;&gt;"",IF(INDEX(SCOp,$L1443)="مرجوعی فروش","",IF(INDEX(SCAmount,$L1443)&lt;=0,"",INDEX(SCAmount,$L1443))),IF($M1443&lt;&gt;"",IF(INDEX(LdgWitB,$M1443)=0,"",INDEX(LdgWitB,$M1443)),""))</f>
        <v/>
      </c>
      <c r="H1443" s="21">
        <f>IF($L1443&lt;&gt;"",IF(INDEX(SCOp,$L1443)="مرجوعی فروش",IF(INDEX(SCAmount,$L1443)=0,"",-INDEX(SCAmount,$L1443)),""),IF($M1443&lt;&gt;"",IF(INDEX(LdgDepB,$M1443)=0,"",INDEX(LdgDepB,$M1443)),""))</f>
        <v/>
      </c>
      <c r="I1443" s="22">
        <f>IF($B1443="","",IF($I1442="",$C$10,$I1442)+IF($G1443="",0,$G1443)-IF($H1443="",0,$H1443))</f>
        <v/>
      </c>
      <c r="L1443">
        <f>IFERROR(MATCH($C$5&amp;"|"&amp;RIGHT("000000"&amp;1427,6),LdgRankKeyA,0),"")</f>
        <v/>
      </c>
      <c r="M1443">
        <f>IFERROR(MATCH($C$5&amp;"|"&amp;RIGHT("000000"&amp;1427,6),LdgRankKeyB,0),"")</f>
        <v/>
      </c>
    </row>
    <row r="1444">
      <c r="A1444" s="23" t="n">
        <v>1428</v>
      </c>
      <c r="B1444" s="24">
        <f>IF(AND($L1444="",$M1444=""),"",IF($L1444&lt;&gt;"",INDEX(SCNormDate,$L1444),INDEX(LdgDateB,$M1444)))</f>
        <v/>
      </c>
      <c r="C1444" s="24">
        <f>IF($L1444&lt;&gt;"",INDEX(SCOp,$L1444),IF($M1444&lt;&gt;"","پرداخت بانکی",""))</f>
        <v/>
      </c>
      <c r="D1444" s="24">
        <f>IF($L1444&lt;&gt;"",IF(INDEX(SCDoc,$L1444)="","—",INDEX(SCDoc,$L1444)),IF($M1444&lt;&gt;"",INDEX(LdgBankB,$M1444),""))</f>
        <v/>
      </c>
      <c r="E1444" s="25">
        <f>IF($L1444&lt;&gt;"",IF(INDEX(SCCitrus,$L1444)&amp;INDEX(SCNotes,$L1444)="","",IF(INDEX(SCCitrus,$L1444)="","",INDEX(SCCitrus,$L1444))&amp;IF(INDEX(SCNotes,$L1444)="",""," — "&amp;INDEX(SCNotes,$L1444))),IF($M1444&lt;&gt;"",IF(INDEX(LdgNoteB,$M1444)="","—",INDEX(LdgNoteB,$M1444)),""))</f>
        <v/>
      </c>
      <c r="F1444" s="26">
        <f>IF($L1444&lt;&gt;"",IF(INDEX(SCNet,$L1444)=0,"",INDEX(SCNet,$L1444)),"")</f>
        <v/>
      </c>
      <c r="G1444" s="27">
        <f>IF($L1444&lt;&gt;"",IF(INDEX(SCOp,$L1444)="مرجوعی فروش","",IF(INDEX(SCAmount,$L1444)&lt;=0,"",INDEX(SCAmount,$L1444))),IF($M1444&lt;&gt;"",IF(INDEX(LdgWitB,$M1444)=0,"",INDEX(LdgWitB,$M1444)),""))</f>
        <v/>
      </c>
      <c r="H1444" s="27">
        <f>IF($L1444&lt;&gt;"",IF(INDEX(SCOp,$L1444)="مرجوعی فروش",IF(INDEX(SCAmount,$L1444)=0,"",-INDEX(SCAmount,$L1444)),""),IF($M1444&lt;&gt;"",IF(INDEX(LdgDepB,$M1444)=0,"",INDEX(LdgDepB,$M1444)),""))</f>
        <v/>
      </c>
      <c r="I1444" s="28">
        <f>IF($B1444="","",IF($I1443="",$C$10,$I1443)+IF($G1444="",0,$G1444)-IF($H1444="",0,$H1444))</f>
        <v/>
      </c>
      <c r="L1444">
        <f>IFERROR(MATCH($C$5&amp;"|"&amp;RIGHT("000000"&amp;1428,6),LdgRankKeyA,0),"")</f>
        <v/>
      </c>
      <c r="M1444">
        <f>IFERROR(MATCH($C$5&amp;"|"&amp;RIGHT("000000"&amp;1428,6),LdgRankKeyB,0),"")</f>
        <v/>
      </c>
    </row>
    <row r="1445">
      <c r="A1445" s="17" t="n">
        <v>1429</v>
      </c>
      <c r="B1445" s="18">
        <f>IF(AND($L1445="",$M1445=""),"",IF($L1445&lt;&gt;"",INDEX(SCNormDate,$L1445),INDEX(LdgDateB,$M1445)))</f>
        <v/>
      </c>
      <c r="C1445" s="18">
        <f>IF($L1445&lt;&gt;"",INDEX(SCOp,$L1445),IF($M1445&lt;&gt;"","پرداخت بانکی",""))</f>
        <v/>
      </c>
      <c r="D1445" s="18">
        <f>IF($L1445&lt;&gt;"",IF(INDEX(SCDoc,$L1445)="","—",INDEX(SCDoc,$L1445)),IF($M1445&lt;&gt;"",INDEX(LdgBankB,$M1445),""))</f>
        <v/>
      </c>
      <c r="E1445" s="19">
        <f>IF($L1445&lt;&gt;"",IF(INDEX(SCCitrus,$L1445)&amp;INDEX(SCNotes,$L1445)="","",IF(INDEX(SCCitrus,$L1445)="","",INDEX(SCCitrus,$L1445))&amp;IF(INDEX(SCNotes,$L1445)="",""," — "&amp;INDEX(SCNotes,$L1445))),IF($M1445&lt;&gt;"",IF(INDEX(LdgNoteB,$M1445)="","—",INDEX(LdgNoteB,$M1445)),""))</f>
        <v/>
      </c>
      <c r="F1445" s="20">
        <f>IF($L1445&lt;&gt;"",IF(INDEX(SCNet,$L1445)=0,"",INDEX(SCNet,$L1445)),"")</f>
        <v/>
      </c>
      <c r="G1445" s="21">
        <f>IF($L1445&lt;&gt;"",IF(INDEX(SCOp,$L1445)="مرجوعی فروش","",IF(INDEX(SCAmount,$L1445)&lt;=0,"",INDEX(SCAmount,$L1445))),IF($M1445&lt;&gt;"",IF(INDEX(LdgWitB,$M1445)=0,"",INDEX(LdgWitB,$M1445)),""))</f>
        <v/>
      </c>
      <c r="H1445" s="21">
        <f>IF($L1445&lt;&gt;"",IF(INDEX(SCOp,$L1445)="مرجوعی فروش",IF(INDEX(SCAmount,$L1445)=0,"",-INDEX(SCAmount,$L1445)),""),IF($M1445&lt;&gt;"",IF(INDEX(LdgDepB,$M1445)=0,"",INDEX(LdgDepB,$M1445)),""))</f>
        <v/>
      </c>
      <c r="I1445" s="22">
        <f>IF($B1445="","",IF($I1444="",$C$10,$I1444)+IF($G1445="",0,$G1445)-IF($H1445="",0,$H1445))</f>
        <v/>
      </c>
      <c r="L1445">
        <f>IFERROR(MATCH($C$5&amp;"|"&amp;RIGHT("000000"&amp;1429,6),LdgRankKeyA,0),"")</f>
        <v/>
      </c>
      <c r="M1445">
        <f>IFERROR(MATCH($C$5&amp;"|"&amp;RIGHT("000000"&amp;1429,6),LdgRankKeyB,0),"")</f>
        <v/>
      </c>
    </row>
    <row r="1446">
      <c r="A1446" s="23" t="n">
        <v>1430</v>
      </c>
      <c r="B1446" s="24">
        <f>IF(AND($L1446="",$M1446=""),"",IF($L1446&lt;&gt;"",INDEX(SCNormDate,$L1446),INDEX(LdgDateB,$M1446)))</f>
        <v/>
      </c>
      <c r="C1446" s="24">
        <f>IF($L1446&lt;&gt;"",INDEX(SCOp,$L1446),IF($M1446&lt;&gt;"","پرداخت بانکی",""))</f>
        <v/>
      </c>
      <c r="D1446" s="24">
        <f>IF($L1446&lt;&gt;"",IF(INDEX(SCDoc,$L1446)="","—",INDEX(SCDoc,$L1446)),IF($M1446&lt;&gt;"",INDEX(LdgBankB,$M1446),""))</f>
        <v/>
      </c>
      <c r="E1446" s="25">
        <f>IF($L1446&lt;&gt;"",IF(INDEX(SCCitrus,$L1446)&amp;INDEX(SCNotes,$L1446)="","",IF(INDEX(SCCitrus,$L1446)="","",INDEX(SCCitrus,$L1446))&amp;IF(INDEX(SCNotes,$L1446)="",""," — "&amp;INDEX(SCNotes,$L1446))),IF($M1446&lt;&gt;"",IF(INDEX(LdgNoteB,$M1446)="","—",INDEX(LdgNoteB,$M1446)),""))</f>
        <v/>
      </c>
      <c r="F1446" s="26">
        <f>IF($L1446&lt;&gt;"",IF(INDEX(SCNet,$L1446)=0,"",INDEX(SCNet,$L1446)),"")</f>
        <v/>
      </c>
      <c r="G1446" s="27">
        <f>IF($L1446&lt;&gt;"",IF(INDEX(SCOp,$L1446)="مرجوعی فروش","",IF(INDEX(SCAmount,$L1446)&lt;=0,"",INDEX(SCAmount,$L1446))),IF($M1446&lt;&gt;"",IF(INDEX(LdgWitB,$M1446)=0,"",INDEX(LdgWitB,$M1446)),""))</f>
        <v/>
      </c>
      <c r="H1446" s="27">
        <f>IF($L1446&lt;&gt;"",IF(INDEX(SCOp,$L1446)="مرجوعی فروش",IF(INDEX(SCAmount,$L1446)=0,"",-INDEX(SCAmount,$L1446)),""),IF($M1446&lt;&gt;"",IF(INDEX(LdgDepB,$M1446)=0,"",INDEX(LdgDepB,$M1446)),""))</f>
        <v/>
      </c>
      <c r="I1446" s="28">
        <f>IF($B1446="","",IF($I1445="",$C$10,$I1445)+IF($G1446="",0,$G1446)-IF($H1446="",0,$H1446))</f>
        <v/>
      </c>
      <c r="L1446">
        <f>IFERROR(MATCH($C$5&amp;"|"&amp;RIGHT("000000"&amp;1430,6),LdgRankKeyA,0),"")</f>
        <v/>
      </c>
      <c r="M1446">
        <f>IFERROR(MATCH($C$5&amp;"|"&amp;RIGHT("000000"&amp;1430,6),LdgRankKeyB,0),"")</f>
        <v/>
      </c>
    </row>
    <row r="1447">
      <c r="A1447" s="17" t="n">
        <v>1431</v>
      </c>
      <c r="B1447" s="18">
        <f>IF(AND($L1447="",$M1447=""),"",IF($L1447&lt;&gt;"",INDEX(SCNormDate,$L1447),INDEX(LdgDateB,$M1447)))</f>
        <v/>
      </c>
      <c r="C1447" s="18">
        <f>IF($L1447&lt;&gt;"",INDEX(SCOp,$L1447),IF($M1447&lt;&gt;"","پرداخت بانکی",""))</f>
        <v/>
      </c>
      <c r="D1447" s="18">
        <f>IF($L1447&lt;&gt;"",IF(INDEX(SCDoc,$L1447)="","—",INDEX(SCDoc,$L1447)),IF($M1447&lt;&gt;"",INDEX(LdgBankB,$M1447),""))</f>
        <v/>
      </c>
      <c r="E1447" s="19">
        <f>IF($L1447&lt;&gt;"",IF(INDEX(SCCitrus,$L1447)&amp;INDEX(SCNotes,$L1447)="","",IF(INDEX(SCCitrus,$L1447)="","",INDEX(SCCitrus,$L1447))&amp;IF(INDEX(SCNotes,$L1447)="",""," — "&amp;INDEX(SCNotes,$L1447))),IF($M1447&lt;&gt;"",IF(INDEX(LdgNoteB,$M1447)="","—",INDEX(LdgNoteB,$M1447)),""))</f>
        <v/>
      </c>
      <c r="F1447" s="20">
        <f>IF($L1447&lt;&gt;"",IF(INDEX(SCNet,$L1447)=0,"",INDEX(SCNet,$L1447)),"")</f>
        <v/>
      </c>
      <c r="G1447" s="21">
        <f>IF($L1447&lt;&gt;"",IF(INDEX(SCOp,$L1447)="مرجوعی فروش","",IF(INDEX(SCAmount,$L1447)&lt;=0,"",INDEX(SCAmount,$L1447))),IF($M1447&lt;&gt;"",IF(INDEX(LdgWitB,$M1447)=0,"",INDEX(LdgWitB,$M1447)),""))</f>
        <v/>
      </c>
      <c r="H1447" s="21">
        <f>IF($L1447&lt;&gt;"",IF(INDEX(SCOp,$L1447)="مرجوعی فروش",IF(INDEX(SCAmount,$L1447)=0,"",-INDEX(SCAmount,$L1447)),""),IF($M1447&lt;&gt;"",IF(INDEX(LdgDepB,$M1447)=0,"",INDEX(LdgDepB,$M1447)),""))</f>
        <v/>
      </c>
      <c r="I1447" s="22">
        <f>IF($B1447="","",IF($I1446="",$C$10,$I1446)+IF($G1447="",0,$G1447)-IF($H1447="",0,$H1447))</f>
        <v/>
      </c>
      <c r="L1447">
        <f>IFERROR(MATCH($C$5&amp;"|"&amp;RIGHT("000000"&amp;1431,6),LdgRankKeyA,0),"")</f>
        <v/>
      </c>
      <c r="M1447">
        <f>IFERROR(MATCH($C$5&amp;"|"&amp;RIGHT("000000"&amp;1431,6),LdgRankKeyB,0),"")</f>
        <v/>
      </c>
    </row>
    <row r="1448">
      <c r="A1448" s="23" t="n">
        <v>1432</v>
      </c>
      <c r="B1448" s="24">
        <f>IF(AND($L1448="",$M1448=""),"",IF($L1448&lt;&gt;"",INDEX(SCNormDate,$L1448),INDEX(LdgDateB,$M1448)))</f>
        <v/>
      </c>
      <c r="C1448" s="24">
        <f>IF($L1448&lt;&gt;"",INDEX(SCOp,$L1448),IF($M1448&lt;&gt;"","پرداخت بانکی",""))</f>
        <v/>
      </c>
      <c r="D1448" s="24">
        <f>IF($L1448&lt;&gt;"",IF(INDEX(SCDoc,$L1448)="","—",INDEX(SCDoc,$L1448)),IF($M1448&lt;&gt;"",INDEX(LdgBankB,$M1448),""))</f>
        <v/>
      </c>
      <c r="E1448" s="25">
        <f>IF($L1448&lt;&gt;"",IF(INDEX(SCCitrus,$L1448)&amp;INDEX(SCNotes,$L1448)="","",IF(INDEX(SCCitrus,$L1448)="","",INDEX(SCCitrus,$L1448))&amp;IF(INDEX(SCNotes,$L1448)="",""," — "&amp;INDEX(SCNotes,$L1448))),IF($M1448&lt;&gt;"",IF(INDEX(LdgNoteB,$M1448)="","—",INDEX(LdgNoteB,$M1448)),""))</f>
        <v/>
      </c>
      <c r="F1448" s="26">
        <f>IF($L1448&lt;&gt;"",IF(INDEX(SCNet,$L1448)=0,"",INDEX(SCNet,$L1448)),"")</f>
        <v/>
      </c>
      <c r="G1448" s="27">
        <f>IF($L1448&lt;&gt;"",IF(INDEX(SCOp,$L1448)="مرجوعی فروش","",IF(INDEX(SCAmount,$L1448)&lt;=0,"",INDEX(SCAmount,$L1448))),IF($M1448&lt;&gt;"",IF(INDEX(LdgWitB,$M1448)=0,"",INDEX(LdgWitB,$M1448)),""))</f>
        <v/>
      </c>
      <c r="H1448" s="27">
        <f>IF($L1448&lt;&gt;"",IF(INDEX(SCOp,$L1448)="مرجوعی فروش",IF(INDEX(SCAmount,$L1448)=0,"",-INDEX(SCAmount,$L1448)),""),IF($M1448&lt;&gt;"",IF(INDEX(LdgDepB,$M1448)=0,"",INDEX(LdgDepB,$M1448)),""))</f>
        <v/>
      </c>
      <c r="I1448" s="28">
        <f>IF($B1448="","",IF($I1447="",$C$10,$I1447)+IF($G1448="",0,$G1448)-IF($H1448="",0,$H1448))</f>
        <v/>
      </c>
      <c r="L1448">
        <f>IFERROR(MATCH($C$5&amp;"|"&amp;RIGHT("000000"&amp;1432,6),LdgRankKeyA,0),"")</f>
        <v/>
      </c>
      <c r="M1448">
        <f>IFERROR(MATCH($C$5&amp;"|"&amp;RIGHT("000000"&amp;1432,6),LdgRankKeyB,0),"")</f>
        <v/>
      </c>
    </row>
    <row r="1449">
      <c r="A1449" s="17" t="n">
        <v>1433</v>
      </c>
      <c r="B1449" s="18">
        <f>IF(AND($L1449="",$M1449=""),"",IF($L1449&lt;&gt;"",INDEX(SCNormDate,$L1449),INDEX(LdgDateB,$M1449)))</f>
        <v/>
      </c>
      <c r="C1449" s="18">
        <f>IF($L1449&lt;&gt;"",INDEX(SCOp,$L1449),IF($M1449&lt;&gt;"","پرداخت بانکی",""))</f>
        <v/>
      </c>
      <c r="D1449" s="18">
        <f>IF($L1449&lt;&gt;"",IF(INDEX(SCDoc,$L1449)="","—",INDEX(SCDoc,$L1449)),IF($M1449&lt;&gt;"",INDEX(LdgBankB,$M1449),""))</f>
        <v/>
      </c>
      <c r="E1449" s="19">
        <f>IF($L1449&lt;&gt;"",IF(INDEX(SCCitrus,$L1449)&amp;INDEX(SCNotes,$L1449)="","",IF(INDEX(SCCitrus,$L1449)="","",INDEX(SCCitrus,$L1449))&amp;IF(INDEX(SCNotes,$L1449)="",""," — "&amp;INDEX(SCNotes,$L1449))),IF($M1449&lt;&gt;"",IF(INDEX(LdgNoteB,$M1449)="","—",INDEX(LdgNoteB,$M1449)),""))</f>
        <v/>
      </c>
      <c r="F1449" s="20">
        <f>IF($L1449&lt;&gt;"",IF(INDEX(SCNet,$L1449)=0,"",INDEX(SCNet,$L1449)),"")</f>
        <v/>
      </c>
      <c r="G1449" s="21">
        <f>IF($L1449&lt;&gt;"",IF(INDEX(SCOp,$L1449)="مرجوعی فروش","",IF(INDEX(SCAmount,$L1449)&lt;=0,"",INDEX(SCAmount,$L1449))),IF($M1449&lt;&gt;"",IF(INDEX(LdgWitB,$M1449)=0,"",INDEX(LdgWitB,$M1449)),""))</f>
        <v/>
      </c>
      <c r="H1449" s="21">
        <f>IF($L1449&lt;&gt;"",IF(INDEX(SCOp,$L1449)="مرجوعی فروش",IF(INDEX(SCAmount,$L1449)=0,"",-INDEX(SCAmount,$L1449)),""),IF($M1449&lt;&gt;"",IF(INDEX(LdgDepB,$M1449)=0,"",INDEX(LdgDepB,$M1449)),""))</f>
        <v/>
      </c>
      <c r="I1449" s="22">
        <f>IF($B1449="","",IF($I1448="",$C$10,$I1448)+IF($G1449="",0,$G1449)-IF($H1449="",0,$H1449))</f>
        <v/>
      </c>
      <c r="L1449">
        <f>IFERROR(MATCH($C$5&amp;"|"&amp;RIGHT("000000"&amp;1433,6),LdgRankKeyA,0),"")</f>
        <v/>
      </c>
      <c r="M1449">
        <f>IFERROR(MATCH($C$5&amp;"|"&amp;RIGHT("000000"&amp;1433,6),LdgRankKeyB,0),"")</f>
        <v/>
      </c>
    </row>
    <row r="1450">
      <c r="A1450" s="23" t="n">
        <v>1434</v>
      </c>
      <c r="B1450" s="24">
        <f>IF(AND($L1450="",$M1450=""),"",IF($L1450&lt;&gt;"",INDEX(SCNormDate,$L1450),INDEX(LdgDateB,$M1450)))</f>
        <v/>
      </c>
      <c r="C1450" s="24">
        <f>IF($L1450&lt;&gt;"",INDEX(SCOp,$L1450),IF($M1450&lt;&gt;"","پرداخت بانکی",""))</f>
        <v/>
      </c>
      <c r="D1450" s="24">
        <f>IF($L1450&lt;&gt;"",IF(INDEX(SCDoc,$L1450)="","—",INDEX(SCDoc,$L1450)),IF($M1450&lt;&gt;"",INDEX(LdgBankB,$M1450),""))</f>
        <v/>
      </c>
      <c r="E1450" s="25">
        <f>IF($L1450&lt;&gt;"",IF(INDEX(SCCitrus,$L1450)&amp;INDEX(SCNotes,$L1450)="","",IF(INDEX(SCCitrus,$L1450)="","",INDEX(SCCitrus,$L1450))&amp;IF(INDEX(SCNotes,$L1450)="",""," — "&amp;INDEX(SCNotes,$L1450))),IF($M1450&lt;&gt;"",IF(INDEX(LdgNoteB,$M1450)="","—",INDEX(LdgNoteB,$M1450)),""))</f>
        <v/>
      </c>
      <c r="F1450" s="26">
        <f>IF($L1450&lt;&gt;"",IF(INDEX(SCNet,$L1450)=0,"",INDEX(SCNet,$L1450)),"")</f>
        <v/>
      </c>
      <c r="G1450" s="27">
        <f>IF($L1450&lt;&gt;"",IF(INDEX(SCOp,$L1450)="مرجوعی فروش","",IF(INDEX(SCAmount,$L1450)&lt;=0,"",INDEX(SCAmount,$L1450))),IF($M1450&lt;&gt;"",IF(INDEX(LdgWitB,$M1450)=0,"",INDEX(LdgWitB,$M1450)),""))</f>
        <v/>
      </c>
      <c r="H1450" s="27">
        <f>IF($L1450&lt;&gt;"",IF(INDEX(SCOp,$L1450)="مرجوعی فروش",IF(INDEX(SCAmount,$L1450)=0,"",-INDEX(SCAmount,$L1450)),""),IF($M1450&lt;&gt;"",IF(INDEX(LdgDepB,$M1450)=0,"",INDEX(LdgDepB,$M1450)),""))</f>
        <v/>
      </c>
      <c r="I1450" s="28">
        <f>IF($B1450="","",IF($I1449="",$C$10,$I1449)+IF($G1450="",0,$G1450)-IF($H1450="",0,$H1450))</f>
        <v/>
      </c>
      <c r="L1450">
        <f>IFERROR(MATCH($C$5&amp;"|"&amp;RIGHT("000000"&amp;1434,6),LdgRankKeyA,0),"")</f>
        <v/>
      </c>
      <c r="M1450">
        <f>IFERROR(MATCH($C$5&amp;"|"&amp;RIGHT("000000"&amp;1434,6),LdgRankKeyB,0),"")</f>
        <v/>
      </c>
    </row>
    <row r="1451">
      <c r="A1451" s="17" t="n">
        <v>1435</v>
      </c>
      <c r="B1451" s="18">
        <f>IF(AND($L1451="",$M1451=""),"",IF($L1451&lt;&gt;"",INDEX(SCNormDate,$L1451),INDEX(LdgDateB,$M1451)))</f>
        <v/>
      </c>
      <c r="C1451" s="18">
        <f>IF($L1451&lt;&gt;"",INDEX(SCOp,$L1451),IF($M1451&lt;&gt;"","پرداخت بانکی",""))</f>
        <v/>
      </c>
      <c r="D1451" s="18">
        <f>IF($L1451&lt;&gt;"",IF(INDEX(SCDoc,$L1451)="","—",INDEX(SCDoc,$L1451)),IF($M1451&lt;&gt;"",INDEX(LdgBankB,$M1451),""))</f>
        <v/>
      </c>
      <c r="E1451" s="19">
        <f>IF($L1451&lt;&gt;"",IF(INDEX(SCCitrus,$L1451)&amp;INDEX(SCNotes,$L1451)="","",IF(INDEX(SCCitrus,$L1451)="","",INDEX(SCCitrus,$L1451))&amp;IF(INDEX(SCNotes,$L1451)="",""," — "&amp;INDEX(SCNotes,$L1451))),IF($M1451&lt;&gt;"",IF(INDEX(LdgNoteB,$M1451)="","—",INDEX(LdgNoteB,$M1451)),""))</f>
        <v/>
      </c>
      <c r="F1451" s="20">
        <f>IF($L1451&lt;&gt;"",IF(INDEX(SCNet,$L1451)=0,"",INDEX(SCNet,$L1451)),"")</f>
        <v/>
      </c>
      <c r="G1451" s="21">
        <f>IF($L1451&lt;&gt;"",IF(INDEX(SCOp,$L1451)="مرجوعی فروش","",IF(INDEX(SCAmount,$L1451)&lt;=0,"",INDEX(SCAmount,$L1451))),IF($M1451&lt;&gt;"",IF(INDEX(LdgWitB,$M1451)=0,"",INDEX(LdgWitB,$M1451)),""))</f>
        <v/>
      </c>
      <c r="H1451" s="21">
        <f>IF($L1451&lt;&gt;"",IF(INDEX(SCOp,$L1451)="مرجوعی فروش",IF(INDEX(SCAmount,$L1451)=0,"",-INDEX(SCAmount,$L1451)),""),IF($M1451&lt;&gt;"",IF(INDEX(LdgDepB,$M1451)=0,"",INDEX(LdgDepB,$M1451)),""))</f>
        <v/>
      </c>
      <c r="I1451" s="22">
        <f>IF($B1451="","",IF($I1450="",$C$10,$I1450)+IF($G1451="",0,$G1451)-IF($H1451="",0,$H1451))</f>
        <v/>
      </c>
      <c r="L1451">
        <f>IFERROR(MATCH($C$5&amp;"|"&amp;RIGHT("000000"&amp;1435,6),LdgRankKeyA,0),"")</f>
        <v/>
      </c>
      <c r="M1451">
        <f>IFERROR(MATCH($C$5&amp;"|"&amp;RIGHT("000000"&amp;1435,6),LdgRankKeyB,0),"")</f>
        <v/>
      </c>
    </row>
    <row r="1452">
      <c r="A1452" s="23" t="n">
        <v>1436</v>
      </c>
      <c r="B1452" s="24">
        <f>IF(AND($L1452="",$M1452=""),"",IF($L1452&lt;&gt;"",INDEX(SCNormDate,$L1452),INDEX(LdgDateB,$M1452)))</f>
        <v/>
      </c>
      <c r="C1452" s="24">
        <f>IF($L1452&lt;&gt;"",INDEX(SCOp,$L1452),IF($M1452&lt;&gt;"","پرداخت بانکی",""))</f>
        <v/>
      </c>
      <c r="D1452" s="24">
        <f>IF($L1452&lt;&gt;"",IF(INDEX(SCDoc,$L1452)="","—",INDEX(SCDoc,$L1452)),IF($M1452&lt;&gt;"",INDEX(LdgBankB,$M1452),""))</f>
        <v/>
      </c>
      <c r="E1452" s="25">
        <f>IF($L1452&lt;&gt;"",IF(INDEX(SCCitrus,$L1452)&amp;INDEX(SCNotes,$L1452)="","",IF(INDEX(SCCitrus,$L1452)="","",INDEX(SCCitrus,$L1452))&amp;IF(INDEX(SCNotes,$L1452)="",""," — "&amp;INDEX(SCNotes,$L1452))),IF($M1452&lt;&gt;"",IF(INDEX(LdgNoteB,$M1452)="","—",INDEX(LdgNoteB,$M1452)),""))</f>
        <v/>
      </c>
      <c r="F1452" s="26">
        <f>IF($L1452&lt;&gt;"",IF(INDEX(SCNet,$L1452)=0,"",INDEX(SCNet,$L1452)),"")</f>
        <v/>
      </c>
      <c r="G1452" s="27">
        <f>IF($L1452&lt;&gt;"",IF(INDEX(SCOp,$L1452)="مرجوعی فروش","",IF(INDEX(SCAmount,$L1452)&lt;=0,"",INDEX(SCAmount,$L1452))),IF($M1452&lt;&gt;"",IF(INDEX(LdgWitB,$M1452)=0,"",INDEX(LdgWitB,$M1452)),""))</f>
        <v/>
      </c>
      <c r="H1452" s="27">
        <f>IF($L1452&lt;&gt;"",IF(INDEX(SCOp,$L1452)="مرجوعی فروش",IF(INDEX(SCAmount,$L1452)=0,"",-INDEX(SCAmount,$L1452)),""),IF($M1452&lt;&gt;"",IF(INDEX(LdgDepB,$M1452)=0,"",INDEX(LdgDepB,$M1452)),""))</f>
        <v/>
      </c>
      <c r="I1452" s="28">
        <f>IF($B1452="","",IF($I1451="",$C$10,$I1451)+IF($G1452="",0,$G1452)-IF($H1452="",0,$H1452))</f>
        <v/>
      </c>
      <c r="L1452">
        <f>IFERROR(MATCH($C$5&amp;"|"&amp;RIGHT("000000"&amp;1436,6),LdgRankKeyA,0),"")</f>
        <v/>
      </c>
      <c r="M1452">
        <f>IFERROR(MATCH($C$5&amp;"|"&amp;RIGHT("000000"&amp;1436,6),LdgRankKeyB,0),"")</f>
        <v/>
      </c>
    </row>
    <row r="1453">
      <c r="A1453" s="17" t="n">
        <v>1437</v>
      </c>
      <c r="B1453" s="18">
        <f>IF(AND($L1453="",$M1453=""),"",IF($L1453&lt;&gt;"",INDEX(SCNormDate,$L1453),INDEX(LdgDateB,$M1453)))</f>
        <v/>
      </c>
      <c r="C1453" s="18">
        <f>IF($L1453&lt;&gt;"",INDEX(SCOp,$L1453),IF($M1453&lt;&gt;"","پرداخت بانکی",""))</f>
        <v/>
      </c>
      <c r="D1453" s="18">
        <f>IF($L1453&lt;&gt;"",IF(INDEX(SCDoc,$L1453)="","—",INDEX(SCDoc,$L1453)),IF($M1453&lt;&gt;"",INDEX(LdgBankB,$M1453),""))</f>
        <v/>
      </c>
      <c r="E1453" s="19">
        <f>IF($L1453&lt;&gt;"",IF(INDEX(SCCitrus,$L1453)&amp;INDEX(SCNotes,$L1453)="","",IF(INDEX(SCCitrus,$L1453)="","",INDEX(SCCitrus,$L1453))&amp;IF(INDEX(SCNotes,$L1453)="",""," — "&amp;INDEX(SCNotes,$L1453))),IF($M1453&lt;&gt;"",IF(INDEX(LdgNoteB,$M1453)="","—",INDEX(LdgNoteB,$M1453)),""))</f>
        <v/>
      </c>
      <c r="F1453" s="20">
        <f>IF($L1453&lt;&gt;"",IF(INDEX(SCNet,$L1453)=0,"",INDEX(SCNet,$L1453)),"")</f>
        <v/>
      </c>
      <c r="G1453" s="21">
        <f>IF($L1453&lt;&gt;"",IF(INDEX(SCOp,$L1453)="مرجوعی فروش","",IF(INDEX(SCAmount,$L1453)&lt;=0,"",INDEX(SCAmount,$L1453))),IF($M1453&lt;&gt;"",IF(INDEX(LdgWitB,$M1453)=0,"",INDEX(LdgWitB,$M1453)),""))</f>
        <v/>
      </c>
      <c r="H1453" s="21">
        <f>IF($L1453&lt;&gt;"",IF(INDEX(SCOp,$L1453)="مرجوعی فروش",IF(INDEX(SCAmount,$L1453)=0,"",-INDEX(SCAmount,$L1453)),""),IF($M1453&lt;&gt;"",IF(INDEX(LdgDepB,$M1453)=0,"",INDEX(LdgDepB,$M1453)),""))</f>
        <v/>
      </c>
      <c r="I1453" s="22">
        <f>IF($B1453="","",IF($I1452="",$C$10,$I1452)+IF($G1453="",0,$G1453)-IF($H1453="",0,$H1453))</f>
        <v/>
      </c>
      <c r="L1453">
        <f>IFERROR(MATCH($C$5&amp;"|"&amp;RIGHT("000000"&amp;1437,6),LdgRankKeyA,0),"")</f>
        <v/>
      </c>
      <c r="M1453">
        <f>IFERROR(MATCH($C$5&amp;"|"&amp;RIGHT("000000"&amp;1437,6),LdgRankKeyB,0),"")</f>
        <v/>
      </c>
    </row>
    <row r="1454">
      <c r="A1454" s="23" t="n">
        <v>1438</v>
      </c>
      <c r="B1454" s="24">
        <f>IF(AND($L1454="",$M1454=""),"",IF($L1454&lt;&gt;"",INDEX(SCNormDate,$L1454),INDEX(LdgDateB,$M1454)))</f>
        <v/>
      </c>
      <c r="C1454" s="24">
        <f>IF($L1454&lt;&gt;"",INDEX(SCOp,$L1454),IF($M1454&lt;&gt;"","پرداخت بانکی",""))</f>
        <v/>
      </c>
      <c r="D1454" s="24">
        <f>IF($L1454&lt;&gt;"",IF(INDEX(SCDoc,$L1454)="","—",INDEX(SCDoc,$L1454)),IF($M1454&lt;&gt;"",INDEX(LdgBankB,$M1454),""))</f>
        <v/>
      </c>
      <c r="E1454" s="25">
        <f>IF($L1454&lt;&gt;"",IF(INDEX(SCCitrus,$L1454)&amp;INDEX(SCNotes,$L1454)="","",IF(INDEX(SCCitrus,$L1454)="","",INDEX(SCCitrus,$L1454))&amp;IF(INDEX(SCNotes,$L1454)="",""," — "&amp;INDEX(SCNotes,$L1454))),IF($M1454&lt;&gt;"",IF(INDEX(LdgNoteB,$M1454)="","—",INDEX(LdgNoteB,$M1454)),""))</f>
        <v/>
      </c>
      <c r="F1454" s="26">
        <f>IF($L1454&lt;&gt;"",IF(INDEX(SCNet,$L1454)=0,"",INDEX(SCNet,$L1454)),"")</f>
        <v/>
      </c>
      <c r="G1454" s="27">
        <f>IF($L1454&lt;&gt;"",IF(INDEX(SCOp,$L1454)="مرجوعی فروش","",IF(INDEX(SCAmount,$L1454)&lt;=0,"",INDEX(SCAmount,$L1454))),IF($M1454&lt;&gt;"",IF(INDEX(LdgWitB,$M1454)=0,"",INDEX(LdgWitB,$M1454)),""))</f>
        <v/>
      </c>
      <c r="H1454" s="27">
        <f>IF($L1454&lt;&gt;"",IF(INDEX(SCOp,$L1454)="مرجوعی فروش",IF(INDEX(SCAmount,$L1454)=0,"",-INDEX(SCAmount,$L1454)),""),IF($M1454&lt;&gt;"",IF(INDEX(LdgDepB,$M1454)=0,"",INDEX(LdgDepB,$M1454)),""))</f>
        <v/>
      </c>
      <c r="I1454" s="28">
        <f>IF($B1454="","",IF($I1453="",$C$10,$I1453)+IF($G1454="",0,$G1454)-IF($H1454="",0,$H1454))</f>
        <v/>
      </c>
      <c r="L1454">
        <f>IFERROR(MATCH($C$5&amp;"|"&amp;RIGHT("000000"&amp;1438,6),LdgRankKeyA,0),"")</f>
        <v/>
      </c>
      <c r="M1454">
        <f>IFERROR(MATCH($C$5&amp;"|"&amp;RIGHT("000000"&amp;1438,6),LdgRankKeyB,0),"")</f>
        <v/>
      </c>
    </row>
    <row r="1455">
      <c r="A1455" s="17" t="n">
        <v>1439</v>
      </c>
      <c r="B1455" s="18">
        <f>IF(AND($L1455="",$M1455=""),"",IF($L1455&lt;&gt;"",INDEX(SCNormDate,$L1455),INDEX(LdgDateB,$M1455)))</f>
        <v/>
      </c>
      <c r="C1455" s="18">
        <f>IF($L1455&lt;&gt;"",INDEX(SCOp,$L1455),IF($M1455&lt;&gt;"","پرداخت بانکی",""))</f>
        <v/>
      </c>
      <c r="D1455" s="18">
        <f>IF($L1455&lt;&gt;"",IF(INDEX(SCDoc,$L1455)="","—",INDEX(SCDoc,$L1455)),IF($M1455&lt;&gt;"",INDEX(LdgBankB,$M1455),""))</f>
        <v/>
      </c>
      <c r="E1455" s="19">
        <f>IF($L1455&lt;&gt;"",IF(INDEX(SCCitrus,$L1455)&amp;INDEX(SCNotes,$L1455)="","",IF(INDEX(SCCitrus,$L1455)="","",INDEX(SCCitrus,$L1455))&amp;IF(INDEX(SCNotes,$L1455)="",""," — "&amp;INDEX(SCNotes,$L1455))),IF($M1455&lt;&gt;"",IF(INDEX(LdgNoteB,$M1455)="","—",INDEX(LdgNoteB,$M1455)),""))</f>
        <v/>
      </c>
      <c r="F1455" s="20">
        <f>IF($L1455&lt;&gt;"",IF(INDEX(SCNet,$L1455)=0,"",INDEX(SCNet,$L1455)),"")</f>
        <v/>
      </c>
      <c r="G1455" s="21">
        <f>IF($L1455&lt;&gt;"",IF(INDEX(SCOp,$L1455)="مرجوعی فروش","",IF(INDEX(SCAmount,$L1455)&lt;=0,"",INDEX(SCAmount,$L1455))),IF($M1455&lt;&gt;"",IF(INDEX(LdgWitB,$M1455)=0,"",INDEX(LdgWitB,$M1455)),""))</f>
        <v/>
      </c>
      <c r="H1455" s="21">
        <f>IF($L1455&lt;&gt;"",IF(INDEX(SCOp,$L1455)="مرجوعی فروش",IF(INDEX(SCAmount,$L1455)=0,"",-INDEX(SCAmount,$L1455)),""),IF($M1455&lt;&gt;"",IF(INDEX(LdgDepB,$M1455)=0,"",INDEX(LdgDepB,$M1455)),""))</f>
        <v/>
      </c>
      <c r="I1455" s="22">
        <f>IF($B1455="","",IF($I1454="",$C$10,$I1454)+IF($G1455="",0,$G1455)-IF($H1455="",0,$H1455))</f>
        <v/>
      </c>
      <c r="L1455">
        <f>IFERROR(MATCH($C$5&amp;"|"&amp;RIGHT("000000"&amp;1439,6),LdgRankKeyA,0),"")</f>
        <v/>
      </c>
      <c r="M1455">
        <f>IFERROR(MATCH($C$5&amp;"|"&amp;RIGHT("000000"&amp;1439,6),LdgRankKeyB,0),"")</f>
        <v/>
      </c>
    </row>
    <row r="1456">
      <c r="A1456" s="23" t="n">
        <v>1440</v>
      </c>
      <c r="B1456" s="24">
        <f>IF(AND($L1456="",$M1456=""),"",IF($L1456&lt;&gt;"",INDEX(SCNormDate,$L1456),INDEX(LdgDateB,$M1456)))</f>
        <v/>
      </c>
      <c r="C1456" s="24">
        <f>IF($L1456&lt;&gt;"",INDEX(SCOp,$L1456),IF($M1456&lt;&gt;"","پرداخت بانکی",""))</f>
        <v/>
      </c>
      <c r="D1456" s="24">
        <f>IF($L1456&lt;&gt;"",IF(INDEX(SCDoc,$L1456)="","—",INDEX(SCDoc,$L1456)),IF($M1456&lt;&gt;"",INDEX(LdgBankB,$M1456),""))</f>
        <v/>
      </c>
      <c r="E1456" s="25">
        <f>IF($L1456&lt;&gt;"",IF(INDEX(SCCitrus,$L1456)&amp;INDEX(SCNotes,$L1456)="","",IF(INDEX(SCCitrus,$L1456)="","",INDEX(SCCitrus,$L1456))&amp;IF(INDEX(SCNotes,$L1456)="",""," — "&amp;INDEX(SCNotes,$L1456))),IF($M1456&lt;&gt;"",IF(INDEX(LdgNoteB,$M1456)="","—",INDEX(LdgNoteB,$M1456)),""))</f>
        <v/>
      </c>
      <c r="F1456" s="26">
        <f>IF($L1456&lt;&gt;"",IF(INDEX(SCNet,$L1456)=0,"",INDEX(SCNet,$L1456)),"")</f>
        <v/>
      </c>
      <c r="G1456" s="27">
        <f>IF($L1456&lt;&gt;"",IF(INDEX(SCOp,$L1456)="مرجوعی فروش","",IF(INDEX(SCAmount,$L1456)&lt;=0,"",INDEX(SCAmount,$L1456))),IF($M1456&lt;&gt;"",IF(INDEX(LdgWitB,$M1456)=0,"",INDEX(LdgWitB,$M1456)),""))</f>
        <v/>
      </c>
      <c r="H1456" s="27">
        <f>IF($L1456&lt;&gt;"",IF(INDEX(SCOp,$L1456)="مرجوعی فروش",IF(INDEX(SCAmount,$L1456)=0,"",-INDEX(SCAmount,$L1456)),""),IF($M1456&lt;&gt;"",IF(INDEX(LdgDepB,$M1456)=0,"",INDEX(LdgDepB,$M1456)),""))</f>
        <v/>
      </c>
      <c r="I1456" s="28">
        <f>IF($B1456="","",IF($I1455="",$C$10,$I1455)+IF($G1456="",0,$G1456)-IF($H1456="",0,$H1456))</f>
        <v/>
      </c>
      <c r="L1456">
        <f>IFERROR(MATCH($C$5&amp;"|"&amp;RIGHT("000000"&amp;1440,6),LdgRankKeyA,0),"")</f>
        <v/>
      </c>
      <c r="M1456">
        <f>IFERROR(MATCH($C$5&amp;"|"&amp;RIGHT("000000"&amp;1440,6),LdgRankKeyB,0),"")</f>
        <v/>
      </c>
    </row>
    <row r="1457">
      <c r="A1457" s="17" t="n">
        <v>1441</v>
      </c>
      <c r="B1457" s="18">
        <f>IF(AND($L1457="",$M1457=""),"",IF($L1457&lt;&gt;"",INDEX(SCNormDate,$L1457),INDEX(LdgDateB,$M1457)))</f>
        <v/>
      </c>
      <c r="C1457" s="18">
        <f>IF($L1457&lt;&gt;"",INDEX(SCOp,$L1457),IF($M1457&lt;&gt;"","پرداخت بانکی",""))</f>
        <v/>
      </c>
      <c r="D1457" s="18">
        <f>IF($L1457&lt;&gt;"",IF(INDEX(SCDoc,$L1457)="","—",INDEX(SCDoc,$L1457)),IF($M1457&lt;&gt;"",INDEX(LdgBankB,$M1457),""))</f>
        <v/>
      </c>
      <c r="E1457" s="19">
        <f>IF($L1457&lt;&gt;"",IF(INDEX(SCCitrus,$L1457)&amp;INDEX(SCNotes,$L1457)="","",IF(INDEX(SCCitrus,$L1457)="","",INDEX(SCCitrus,$L1457))&amp;IF(INDEX(SCNotes,$L1457)="",""," — "&amp;INDEX(SCNotes,$L1457))),IF($M1457&lt;&gt;"",IF(INDEX(LdgNoteB,$M1457)="","—",INDEX(LdgNoteB,$M1457)),""))</f>
        <v/>
      </c>
      <c r="F1457" s="20">
        <f>IF($L1457&lt;&gt;"",IF(INDEX(SCNet,$L1457)=0,"",INDEX(SCNet,$L1457)),"")</f>
        <v/>
      </c>
      <c r="G1457" s="21">
        <f>IF($L1457&lt;&gt;"",IF(INDEX(SCOp,$L1457)="مرجوعی فروش","",IF(INDEX(SCAmount,$L1457)&lt;=0,"",INDEX(SCAmount,$L1457))),IF($M1457&lt;&gt;"",IF(INDEX(LdgWitB,$M1457)=0,"",INDEX(LdgWitB,$M1457)),""))</f>
        <v/>
      </c>
      <c r="H1457" s="21">
        <f>IF($L1457&lt;&gt;"",IF(INDEX(SCOp,$L1457)="مرجوعی فروش",IF(INDEX(SCAmount,$L1457)=0,"",-INDEX(SCAmount,$L1457)),""),IF($M1457&lt;&gt;"",IF(INDEX(LdgDepB,$M1457)=0,"",INDEX(LdgDepB,$M1457)),""))</f>
        <v/>
      </c>
      <c r="I1457" s="22">
        <f>IF($B1457="","",IF($I1456="",$C$10,$I1456)+IF($G1457="",0,$G1457)-IF($H1457="",0,$H1457))</f>
        <v/>
      </c>
      <c r="L1457">
        <f>IFERROR(MATCH($C$5&amp;"|"&amp;RIGHT("000000"&amp;1441,6),LdgRankKeyA,0),"")</f>
        <v/>
      </c>
      <c r="M1457">
        <f>IFERROR(MATCH($C$5&amp;"|"&amp;RIGHT("000000"&amp;1441,6),LdgRankKeyB,0),"")</f>
        <v/>
      </c>
    </row>
    <row r="1458">
      <c r="A1458" s="23" t="n">
        <v>1442</v>
      </c>
      <c r="B1458" s="24">
        <f>IF(AND($L1458="",$M1458=""),"",IF($L1458&lt;&gt;"",INDEX(SCNormDate,$L1458),INDEX(LdgDateB,$M1458)))</f>
        <v/>
      </c>
      <c r="C1458" s="24">
        <f>IF($L1458&lt;&gt;"",INDEX(SCOp,$L1458),IF($M1458&lt;&gt;"","پرداخت بانکی",""))</f>
        <v/>
      </c>
      <c r="D1458" s="24">
        <f>IF($L1458&lt;&gt;"",IF(INDEX(SCDoc,$L1458)="","—",INDEX(SCDoc,$L1458)),IF($M1458&lt;&gt;"",INDEX(LdgBankB,$M1458),""))</f>
        <v/>
      </c>
      <c r="E1458" s="25">
        <f>IF($L1458&lt;&gt;"",IF(INDEX(SCCitrus,$L1458)&amp;INDEX(SCNotes,$L1458)="","",IF(INDEX(SCCitrus,$L1458)="","",INDEX(SCCitrus,$L1458))&amp;IF(INDEX(SCNotes,$L1458)="",""," — "&amp;INDEX(SCNotes,$L1458))),IF($M1458&lt;&gt;"",IF(INDEX(LdgNoteB,$M1458)="","—",INDEX(LdgNoteB,$M1458)),""))</f>
        <v/>
      </c>
      <c r="F1458" s="26">
        <f>IF($L1458&lt;&gt;"",IF(INDEX(SCNet,$L1458)=0,"",INDEX(SCNet,$L1458)),"")</f>
        <v/>
      </c>
      <c r="G1458" s="27">
        <f>IF($L1458&lt;&gt;"",IF(INDEX(SCOp,$L1458)="مرجوعی فروش","",IF(INDEX(SCAmount,$L1458)&lt;=0,"",INDEX(SCAmount,$L1458))),IF($M1458&lt;&gt;"",IF(INDEX(LdgWitB,$M1458)=0,"",INDEX(LdgWitB,$M1458)),""))</f>
        <v/>
      </c>
      <c r="H1458" s="27">
        <f>IF($L1458&lt;&gt;"",IF(INDEX(SCOp,$L1458)="مرجوعی فروش",IF(INDEX(SCAmount,$L1458)=0,"",-INDEX(SCAmount,$L1458)),""),IF($M1458&lt;&gt;"",IF(INDEX(LdgDepB,$M1458)=0,"",INDEX(LdgDepB,$M1458)),""))</f>
        <v/>
      </c>
      <c r="I1458" s="28">
        <f>IF($B1458="","",IF($I1457="",$C$10,$I1457)+IF($G1458="",0,$G1458)-IF($H1458="",0,$H1458))</f>
        <v/>
      </c>
      <c r="L1458">
        <f>IFERROR(MATCH($C$5&amp;"|"&amp;RIGHT("000000"&amp;1442,6),LdgRankKeyA,0),"")</f>
        <v/>
      </c>
      <c r="M1458">
        <f>IFERROR(MATCH($C$5&amp;"|"&amp;RIGHT("000000"&amp;1442,6),LdgRankKeyB,0),"")</f>
        <v/>
      </c>
    </row>
    <row r="1459">
      <c r="A1459" s="17" t="n">
        <v>1443</v>
      </c>
      <c r="B1459" s="18">
        <f>IF(AND($L1459="",$M1459=""),"",IF($L1459&lt;&gt;"",INDEX(SCNormDate,$L1459),INDEX(LdgDateB,$M1459)))</f>
        <v/>
      </c>
      <c r="C1459" s="18">
        <f>IF($L1459&lt;&gt;"",INDEX(SCOp,$L1459),IF($M1459&lt;&gt;"","پرداخت بانکی",""))</f>
        <v/>
      </c>
      <c r="D1459" s="18">
        <f>IF($L1459&lt;&gt;"",IF(INDEX(SCDoc,$L1459)="","—",INDEX(SCDoc,$L1459)),IF($M1459&lt;&gt;"",INDEX(LdgBankB,$M1459),""))</f>
        <v/>
      </c>
      <c r="E1459" s="19">
        <f>IF($L1459&lt;&gt;"",IF(INDEX(SCCitrus,$L1459)&amp;INDEX(SCNotes,$L1459)="","",IF(INDEX(SCCitrus,$L1459)="","",INDEX(SCCitrus,$L1459))&amp;IF(INDEX(SCNotes,$L1459)="",""," — "&amp;INDEX(SCNotes,$L1459))),IF($M1459&lt;&gt;"",IF(INDEX(LdgNoteB,$M1459)="","—",INDEX(LdgNoteB,$M1459)),""))</f>
        <v/>
      </c>
      <c r="F1459" s="20">
        <f>IF($L1459&lt;&gt;"",IF(INDEX(SCNet,$L1459)=0,"",INDEX(SCNet,$L1459)),"")</f>
        <v/>
      </c>
      <c r="G1459" s="21">
        <f>IF($L1459&lt;&gt;"",IF(INDEX(SCOp,$L1459)="مرجوعی فروش","",IF(INDEX(SCAmount,$L1459)&lt;=0,"",INDEX(SCAmount,$L1459))),IF($M1459&lt;&gt;"",IF(INDEX(LdgWitB,$M1459)=0,"",INDEX(LdgWitB,$M1459)),""))</f>
        <v/>
      </c>
      <c r="H1459" s="21">
        <f>IF($L1459&lt;&gt;"",IF(INDEX(SCOp,$L1459)="مرجوعی فروش",IF(INDEX(SCAmount,$L1459)=0,"",-INDEX(SCAmount,$L1459)),""),IF($M1459&lt;&gt;"",IF(INDEX(LdgDepB,$M1459)=0,"",INDEX(LdgDepB,$M1459)),""))</f>
        <v/>
      </c>
      <c r="I1459" s="22">
        <f>IF($B1459="","",IF($I1458="",$C$10,$I1458)+IF($G1459="",0,$G1459)-IF($H1459="",0,$H1459))</f>
        <v/>
      </c>
      <c r="L1459">
        <f>IFERROR(MATCH($C$5&amp;"|"&amp;RIGHT("000000"&amp;1443,6),LdgRankKeyA,0),"")</f>
        <v/>
      </c>
      <c r="M1459">
        <f>IFERROR(MATCH($C$5&amp;"|"&amp;RIGHT("000000"&amp;1443,6),LdgRankKeyB,0),"")</f>
        <v/>
      </c>
    </row>
    <row r="1460">
      <c r="A1460" s="23" t="n">
        <v>1444</v>
      </c>
      <c r="B1460" s="24">
        <f>IF(AND($L1460="",$M1460=""),"",IF($L1460&lt;&gt;"",INDEX(SCNormDate,$L1460),INDEX(LdgDateB,$M1460)))</f>
        <v/>
      </c>
      <c r="C1460" s="24">
        <f>IF($L1460&lt;&gt;"",INDEX(SCOp,$L1460),IF($M1460&lt;&gt;"","پرداخت بانکی",""))</f>
        <v/>
      </c>
      <c r="D1460" s="24">
        <f>IF($L1460&lt;&gt;"",IF(INDEX(SCDoc,$L1460)="","—",INDEX(SCDoc,$L1460)),IF($M1460&lt;&gt;"",INDEX(LdgBankB,$M1460),""))</f>
        <v/>
      </c>
      <c r="E1460" s="25">
        <f>IF($L1460&lt;&gt;"",IF(INDEX(SCCitrus,$L1460)&amp;INDEX(SCNotes,$L1460)="","",IF(INDEX(SCCitrus,$L1460)="","",INDEX(SCCitrus,$L1460))&amp;IF(INDEX(SCNotes,$L1460)="",""," — "&amp;INDEX(SCNotes,$L1460))),IF($M1460&lt;&gt;"",IF(INDEX(LdgNoteB,$M1460)="","—",INDEX(LdgNoteB,$M1460)),""))</f>
        <v/>
      </c>
      <c r="F1460" s="26">
        <f>IF($L1460&lt;&gt;"",IF(INDEX(SCNet,$L1460)=0,"",INDEX(SCNet,$L1460)),"")</f>
        <v/>
      </c>
      <c r="G1460" s="27">
        <f>IF($L1460&lt;&gt;"",IF(INDEX(SCOp,$L1460)="مرجوعی فروش","",IF(INDEX(SCAmount,$L1460)&lt;=0,"",INDEX(SCAmount,$L1460))),IF($M1460&lt;&gt;"",IF(INDEX(LdgWitB,$M1460)=0,"",INDEX(LdgWitB,$M1460)),""))</f>
        <v/>
      </c>
      <c r="H1460" s="27">
        <f>IF($L1460&lt;&gt;"",IF(INDEX(SCOp,$L1460)="مرجوعی فروش",IF(INDEX(SCAmount,$L1460)=0,"",-INDEX(SCAmount,$L1460)),""),IF($M1460&lt;&gt;"",IF(INDEX(LdgDepB,$M1460)=0,"",INDEX(LdgDepB,$M1460)),""))</f>
        <v/>
      </c>
      <c r="I1460" s="28">
        <f>IF($B1460="","",IF($I1459="",$C$10,$I1459)+IF($G1460="",0,$G1460)-IF($H1460="",0,$H1460))</f>
        <v/>
      </c>
      <c r="L1460">
        <f>IFERROR(MATCH($C$5&amp;"|"&amp;RIGHT("000000"&amp;1444,6),LdgRankKeyA,0),"")</f>
        <v/>
      </c>
      <c r="M1460">
        <f>IFERROR(MATCH($C$5&amp;"|"&amp;RIGHT("000000"&amp;1444,6),LdgRankKeyB,0),"")</f>
        <v/>
      </c>
    </row>
    <row r="1461">
      <c r="A1461" s="17" t="n">
        <v>1445</v>
      </c>
      <c r="B1461" s="18">
        <f>IF(AND($L1461="",$M1461=""),"",IF($L1461&lt;&gt;"",INDEX(SCNormDate,$L1461),INDEX(LdgDateB,$M1461)))</f>
        <v/>
      </c>
      <c r="C1461" s="18">
        <f>IF($L1461&lt;&gt;"",INDEX(SCOp,$L1461),IF($M1461&lt;&gt;"","پرداخت بانکی",""))</f>
        <v/>
      </c>
      <c r="D1461" s="18">
        <f>IF($L1461&lt;&gt;"",IF(INDEX(SCDoc,$L1461)="","—",INDEX(SCDoc,$L1461)),IF($M1461&lt;&gt;"",INDEX(LdgBankB,$M1461),""))</f>
        <v/>
      </c>
      <c r="E1461" s="19">
        <f>IF($L1461&lt;&gt;"",IF(INDEX(SCCitrus,$L1461)&amp;INDEX(SCNotes,$L1461)="","",IF(INDEX(SCCitrus,$L1461)="","",INDEX(SCCitrus,$L1461))&amp;IF(INDEX(SCNotes,$L1461)="",""," — "&amp;INDEX(SCNotes,$L1461))),IF($M1461&lt;&gt;"",IF(INDEX(LdgNoteB,$M1461)="","—",INDEX(LdgNoteB,$M1461)),""))</f>
        <v/>
      </c>
      <c r="F1461" s="20">
        <f>IF($L1461&lt;&gt;"",IF(INDEX(SCNet,$L1461)=0,"",INDEX(SCNet,$L1461)),"")</f>
        <v/>
      </c>
      <c r="G1461" s="21">
        <f>IF($L1461&lt;&gt;"",IF(INDEX(SCOp,$L1461)="مرجوعی فروش","",IF(INDEX(SCAmount,$L1461)&lt;=0,"",INDEX(SCAmount,$L1461))),IF($M1461&lt;&gt;"",IF(INDEX(LdgWitB,$M1461)=0,"",INDEX(LdgWitB,$M1461)),""))</f>
        <v/>
      </c>
      <c r="H1461" s="21">
        <f>IF($L1461&lt;&gt;"",IF(INDEX(SCOp,$L1461)="مرجوعی فروش",IF(INDEX(SCAmount,$L1461)=0,"",-INDEX(SCAmount,$L1461)),""),IF($M1461&lt;&gt;"",IF(INDEX(LdgDepB,$M1461)=0,"",INDEX(LdgDepB,$M1461)),""))</f>
        <v/>
      </c>
      <c r="I1461" s="22">
        <f>IF($B1461="","",IF($I1460="",$C$10,$I1460)+IF($G1461="",0,$G1461)-IF($H1461="",0,$H1461))</f>
        <v/>
      </c>
      <c r="L1461">
        <f>IFERROR(MATCH($C$5&amp;"|"&amp;RIGHT("000000"&amp;1445,6),LdgRankKeyA,0),"")</f>
        <v/>
      </c>
      <c r="M1461">
        <f>IFERROR(MATCH($C$5&amp;"|"&amp;RIGHT("000000"&amp;1445,6),LdgRankKeyB,0),"")</f>
        <v/>
      </c>
    </row>
    <row r="1462">
      <c r="A1462" s="23" t="n">
        <v>1446</v>
      </c>
      <c r="B1462" s="24">
        <f>IF(AND($L1462="",$M1462=""),"",IF($L1462&lt;&gt;"",INDEX(SCNormDate,$L1462),INDEX(LdgDateB,$M1462)))</f>
        <v/>
      </c>
      <c r="C1462" s="24">
        <f>IF($L1462&lt;&gt;"",INDEX(SCOp,$L1462),IF($M1462&lt;&gt;"","پرداخت بانکی",""))</f>
        <v/>
      </c>
      <c r="D1462" s="24">
        <f>IF($L1462&lt;&gt;"",IF(INDEX(SCDoc,$L1462)="","—",INDEX(SCDoc,$L1462)),IF($M1462&lt;&gt;"",INDEX(LdgBankB,$M1462),""))</f>
        <v/>
      </c>
      <c r="E1462" s="25">
        <f>IF($L1462&lt;&gt;"",IF(INDEX(SCCitrus,$L1462)&amp;INDEX(SCNotes,$L1462)="","",IF(INDEX(SCCitrus,$L1462)="","",INDEX(SCCitrus,$L1462))&amp;IF(INDEX(SCNotes,$L1462)="",""," — "&amp;INDEX(SCNotes,$L1462))),IF($M1462&lt;&gt;"",IF(INDEX(LdgNoteB,$M1462)="","—",INDEX(LdgNoteB,$M1462)),""))</f>
        <v/>
      </c>
      <c r="F1462" s="26">
        <f>IF($L1462&lt;&gt;"",IF(INDEX(SCNet,$L1462)=0,"",INDEX(SCNet,$L1462)),"")</f>
        <v/>
      </c>
      <c r="G1462" s="27">
        <f>IF($L1462&lt;&gt;"",IF(INDEX(SCOp,$L1462)="مرجوعی فروش","",IF(INDEX(SCAmount,$L1462)&lt;=0,"",INDEX(SCAmount,$L1462))),IF($M1462&lt;&gt;"",IF(INDEX(LdgWitB,$M1462)=0,"",INDEX(LdgWitB,$M1462)),""))</f>
        <v/>
      </c>
      <c r="H1462" s="27">
        <f>IF($L1462&lt;&gt;"",IF(INDEX(SCOp,$L1462)="مرجوعی فروش",IF(INDEX(SCAmount,$L1462)=0,"",-INDEX(SCAmount,$L1462)),""),IF($M1462&lt;&gt;"",IF(INDEX(LdgDepB,$M1462)=0,"",INDEX(LdgDepB,$M1462)),""))</f>
        <v/>
      </c>
      <c r="I1462" s="28">
        <f>IF($B1462="","",IF($I1461="",$C$10,$I1461)+IF($G1462="",0,$G1462)-IF($H1462="",0,$H1462))</f>
        <v/>
      </c>
      <c r="L1462">
        <f>IFERROR(MATCH($C$5&amp;"|"&amp;RIGHT("000000"&amp;1446,6),LdgRankKeyA,0),"")</f>
        <v/>
      </c>
      <c r="M1462">
        <f>IFERROR(MATCH($C$5&amp;"|"&amp;RIGHT("000000"&amp;1446,6),LdgRankKeyB,0),"")</f>
        <v/>
      </c>
    </row>
    <row r="1463">
      <c r="A1463" s="17" t="n">
        <v>1447</v>
      </c>
      <c r="B1463" s="18">
        <f>IF(AND($L1463="",$M1463=""),"",IF($L1463&lt;&gt;"",INDEX(SCNormDate,$L1463),INDEX(LdgDateB,$M1463)))</f>
        <v/>
      </c>
      <c r="C1463" s="18">
        <f>IF($L1463&lt;&gt;"",INDEX(SCOp,$L1463),IF($M1463&lt;&gt;"","پرداخت بانکی",""))</f>
        <v/>
      </c>
      <c r="D1463" s="18">
        <f>IF($L1463&lt;&gt;"",IF(INDEX(SCDoc,$L1463)="","—",INDEX(SCDoc,$L1463)),IF($M1463&lt;&gt;"",INDEX(LdgBankB,$M1463),""))</f>
        <v/>
      </c>
      <c r="E1463" s="19">
        <f>IF($L1463&lt;&gt;"",IF(INDEX(SCCitrus,$L1463)&amp;INDEX(SCNotes,$L1463)="","",IF(INDEX(SCCitrus,$L1463)="","",INDEX(SCCitrus,$L1463))&amp;IF(INDEX(SCNotes,$L1463)="",""," — "&amp;INDEX(SCNotes,$L1463))),IF($M1463&lt;&gt;"",IF(INDEX(LdgNoteB,$M1463)="","—",INDEX(LdgNoteB,$M1463)),""))</f>
        <v/>
      </c>
      <c r="F1463" s="20">
        <f>IF($L1463&lt;&gt;"",IF(INDEX(SCNet,$L1463)=0,"",INDEX(SCNet,$L1463)),"")</f>
        <v/>
      </c>
      <c r="G1463" s="21">
        <f>IF($L1463&lt;&gt;"",IF(INDEX(SCOp,$L1463)="مرجوعی فروش","",IF(INDEX(SCAmount,$L1463)&lt;=0,"",INDEX(SCAmount,$L1463))),IF($M1463&lt;&gt;"",IF(INDEX(LdgWitB,$M1463)=0,"",INDEX(LdgWitB,$M1463)),""))</f>
        <v/>
      </c>
      <c r="H1463" s="21">
        <f>IF($L1463&lt;&gt;"",IF(INDEX(SCOp,$L1463)="مرجوعی فروش",IF(INDEX(SCAmount,$L1463)=0,"",-INDEX(SCAmount,$L1463)),""),IF($M1463&lt;&gt;"",IF(INDEX(LdgDepB,$M1463)=0,"",INDEX(LdgDepB,$M1463)),""))</f>
        <v/>
      </c>
      <c r="I1463" s="22">
        <f>IF($B1463="","",IF($I1462="",$C$10,$I1462)+IF($G1463="",0,$G1463)-IF($H1463="",0,$H1463))</f>
        <v/>
      </c>
      <c r="L1463">
        <f>IFERROR(MATCH($C$5&amp;"|"&amp;RIGHT("000000"&amp;1447,6),LdgRankKeyA,0),"")</f>
        <v/>
      </c>
      <c r="M1463">
        <f>IFERROR(MATCH($C$5&amp;"|"&amp;RIGHT("000000"&amp;1447,6),LdgRankKeyB,0),"")</f>
        <v/>
      </c>
    </row>
    <row r="1464">
      <c r="A1464" s="23" t="n">
        <v>1448</v>
      </c>
      <c r="B1464" s="24">
        <f>IF(AND($L1464="",$M1464=""),"",IF($L1464&lt;&gt;"",INDEX(SCNormDate,$L1464),INDEX(LdgDateB,$M1464)))</f>
        <v/>
      </c>
      <c r="C1464" s="24">
        <f>IF($L1464&lt;&gt;"",INDEX(SCOp,$L1464),IF($M1464&lt;&gt;"","پرداخت بانکی",""))</f>
        <v/>
      </c>
      <c r="D1464" s="24">
        <f>IF($L1464&lt;&gt;"",IF(INDEX(SCDoc,$L1464)="","—",INDEX(SCDoc,$L1464)),IF($M1464&lt;&gt;"",INDEX(LdgBankB,$M1464),""))</f>
        <v/>
      </c>
      <c r="E1464" s="25">
        <f>IF($L1464&lt;&gt;"",IF(INDEX(SCCitrus,$L1464)&amp;INDEX(SCNotes,$L1464)="","",IF(INDEX(SCCitrus,$L1464)="","",INDEX(SCCitrus,$L1464))&amp;IF(INDEX(SCNotes,$L1464)="",""," — "&amp;INDEX(SCNotes,$L1464))),IF($M1464&lt;&gt;"",IF(INDEX(LdgNoteB,$M1464)="","—",INDEX(LdgNoteB,$M1464)),""))</f>
        <v/>
      </c>
      <c r="F1464" s="26">
        <f>IF($L1464&lt;&gt;"",IF(INDEX(SCNet,$L1464)=0,"",INDEX(SCNet,$L1464)),"")</f>
        <v/>
      </c>
      <c r="G1464" s="27">
        <f>IF($L1464&lt;&gt;"",IF(INDEX(SCOp,$L1464)="مرجوعی فروش","",IF(INDEX(SCAmount,$L1464)&lt;=0,"",INDEX(SCAmount,$L1464))),IF($M1464&lt;&gt;"",IF(INDEX(LdgWitB,$M1464)=0,"",INDEX(LdgWitB,$M1464)),""))</f>
        <v/>
      </c>
      <c r="H1464" s="27">
        <f>IF($L1464&lt;&gt;"",IF(INDEX(SCOp,$L1464)="مرجوعی فروش",IF(INDEX(SCAmount,$L1464)=0,"",-INDEX(SCAmount,$L1464)),""),IF($M1464&lt;&gt;"",IF(INDEX(LdgDepB,$M1464)=0,"",INDEX(LdgDepB,$M1464)),""))</f>
        <v/>
      </c>
      <c r="I1464" s="28">
        <f>IF($B1464="","",IF($I1463="",$C$10,$I1463)+IF($G1464="",0,$G1464)-IF($H1464="",0,$H1464))</f>
        <v/>
      </c>
      <c r="L1464">
        <f>IFERROR(MATCH($C$5&amp;"|"&amp;RIGHT("000000"&amp;1448,6),LdgRankKeyA,0),"")</f>
        <v/>
      </c>
      <c r="M1464">
        <f>IFERROR(MATCH($C$5&amp;"|"&amp;RIGHT("000000"&amp;1448,6),LdgRankKeyB,0),"")</f>
        <v/>
      </c>
    </row>
    <row r="1465">
      <c r="A1465" s="17" t="n">
        <v>1449</v>
      </c>
      <c r="B1465" s="18">
        <f>IF(AND($L1465="",$M1465=""),"",IF($L1465&lt;&gt;"",INDEX(SCNormDate,$L1465),INDEX(LdgDateB,$M1465)))</f>
        <v/>
      </c>
      <c r="C1465" s="18">
        <f>IF($L1465&lt;&gt;"",INDEX(SCOp,$L1465),IF($M1465&lt;&gt;"","پرداخت بانکی",""))</f>
        <v/>
      </c>
      <c r="D1465" s="18">
        <f>IF($L1465&lt;&gt;"",IF(INDEX(SCDoc,$L1465)="","—",INDEX(SCDoc,$L1465)),IF($M1465&lt;&gt;"",INDEX(LdgBankB,$M1465),""))</f>
        <v/>
      </c>
      <c r="E1465" s="19">
        <f>IF($L1465&lt;&gt;"",IF(INDEX(SCCitrus,$L1465)&amp;INDEX(SCNotes,$L1465)="","",IF(INDEX(SCCitrus,$L1465)="","",INDEX(SCCitrus,$L1465))&amp;IF(INDEX(SCNotes,$L1465)="",""," — "&amp;INDEX(SCNotes,$L1465))),IF($M1465&lt;&gt;"",IF(INDEX(LdgNoteB,$M1465)="","—",INDEX(LdgNoteB,$M1465)),""))</f>
        <v/>
      </c>
      <c r="F1465" s="20">
        <f>IF($L1465&lt;&gt;"",IF(INDEX(SCNet,$L1465)=0,"",INDEX(SCNet,$L1465)),"")</f>
        <v/>
      </c>
      <c r="G1465" s="21">
        <f>IF($L1465&lt;&gt;"",IF(INDEX(SCOp,$L1465)="مرجوعی فروش","",IF(INDEX(SCAmount,$L1465)&lt;=0,"",INDEX(SCAmount,$L1465))),IF($M1465&lt;&gt;"",IF(INDEX(LdgWitB,$M1465)=0,"",INDEX(LdgWitB,$M1465)),""))</f>
        <v/>
      </c>
      <c r="H1465" s="21">
        <f>IF($L1465&lt;&gt;"",IF(INDEX(SCOp,$L1465)="مرجوعی فروش",IF(INDEX(SCAmount,$L1465)=0,"",-INDEX(SCAmount,$L1465)),""),IF($M1465&lt;&gt;"",IF(INDEX(LdgDepB,$M1465)=0,"",INDEX(LdgDepB,$M1465)),""))</f>
        <v/>
      </c>
      <c r="I1465" s="22">
        <f>IF($B1465="","",IF($I1464="",$C$10,$I1464)+IF($G1465="",0,$G1465)-IF($H1465="",0,$H1465))</f>
        <v/>
      </c>
      <c r="L1465">
        <f>IFERROR(MATCH($C$5&amp;"|"&amp;RIGHT("000000"&amp;1449,6),LdgRankKeyA,0),"")</f>
        <v/>
      </c>
      <c r="M1465">
        <f>IFERROR(MATCH($C$5&amp;"|"&amp;RIGHT("000000"&amp;1449,6),LdgRankKeyB,0),"")</f>
        <v/>
      </c>
    </row>
    <row r="1466">
      <c r="A1466" s="23" t="n">
        <v>1450</v>
      </c>
      <c r="B1466" s="24">
        <f>IF(AND($L1466="",$M1466=""),"",IF($L1466&lt;&gt;"",INDEX(SCNormDate,$L1466),INDEX(LdgDateB,$M1466)))</f>
        <v/>
      </c>
      <c r="C1466" s="24">
        <f>IF($L1466&lt;&gt;"",INDEX(SCOp,$L1466),IF($M1466&lt;&gt;"","پرداخت بانکی",""))</f>
        <v/>
      </c>
      <c r="D1466" s="24">
        <f>IF($L1466&lt;&gt;"",IF(INDEX(SCDoc,$L1466)="","—",INDEX(SCDoc,$L1466)),IF($M1466&lt;&gt;"",INDEX(LdgBankB,$M1466),""))</f>
        <v/>
      </c>
      <c r="E1466" s="25">
        <f>IF($L1466&lt;&gt;"",IF(INDEX(SCCitrus,$L1466)&amp;INDEX(SCNotes,$L1466)="","",IF(INDEX(SCCitrus,$L1466)="","",INDEX(SCCitrus,$L1466))&amp;IF(INDEX(SCNotes,$L1466)="",""," — "&amp;INDEX(SCNotes,$L1466))),IF($M1466&lt;&gt;"",IF(INDEX(LdgNoteB,$M1466)="","—",INDEX(LdgNoteB,$M1466)),""))</f>
        <v/>
      </c>
      <c r="F1466" s="26">
        <f>IF($L1466&lt;&gt;"",IF(INDEX(SCNet,$L1466)=0,"",INDEX(SCNet,$L1466)),"")</f>
        <v/>
      </c>
      <c r="G1466" s="27">
        <f>IF($L1466&lt;&gt;"",IF(INDEX(SCOp,$L1466)="مرجوعی فروش","",IF(INDEX(SCAmount,$L1466)&lt;=0,"",INDEX(SCAmount,$L1466))),IF($M1466&lt;&gt;"",IF(INDEX(LdgWitB,$M1466)=0,"",INDEX(LdgWitB,$M1466)),""))</f>
        <v/>
      </c>
      <c r="H1466" s="27">
        <f>IF($L1466&lt;&gt;"",IF(INDEX(SCOp,$L1466)="مرجوعی فروش",IF(INDEX(SCAmount,$L1466)=0,"",-INDEX(SCAmount,$L1466)),""),IF($M1466&lt;&gt;"",IF(INDEX(LdgDepB,$M1466)=0,"",INDEX(LdgDepB,$M1466)),""))</f>
        <v/>
      </c>
      <c r="I1466" s="28">
        <f>IF($B1466="","",IF($I1465="",$C$10,$I1465)+IF($G1466="",0,$G1466)-IF($H1466="",0,$H1466))</f>
        <v/>
      </c>
      <c r="L1466">
        <f>IFERROR(MATCH($C$5&amp;"|"&amp;RIGHT("000000"&amp;1450,6),LdgRankKeyA,0),"")</f>
        <v/>
      </c>
      <c r="M1466">
        <f>IFERROR(MATCH($C$5&amp;"|"&amp;RIGHT("000000"&amp;1450,6),LdgRankKeyB,0),"")</f>
        <v/>
      </c>
    </row>
    <row r="1467">
      <c r="A1467" s="17" t="n">
        <v>1451</v>
      </c>
      <c r="B1467" s="18">
        <f>IF(AND($L1467="",$M1467=""),"",IF($L1467&lt;&gt;"",INDEX(SCNormDate,$L1467),INDEX(LdgDateB,$M1467)))</f>
        <v/>
      </c>
      <c r="C1467" s="18">
        <f>IF($L1467&lt;&gt;"",INDEX(SCOp,$L1467),IF($M1467&lt;&gt;"","پرداخت بانکی",""))</f>
        <v/>
      </c>
      <c r="D1467" s="18">
        <f>IF($L1467&lt;&gt;"",IF(INDEX(SCDoc,$L1467)="","—",INDEX(SCDoc,$L1467)),IF($M1467&lt;&gt;"",INDEX(LdgBankB,$M1467),""))</f>
        <v/>
      </c>
      <c r="E1467" s="19">
        <f>IF($L1467&lt;&gt;"",IF(INDEX(SCCitrus,$L1467)&amp;INDEX(SCNotes,$L1467)="","",IF(INDEX(SCCitrus,$L1467)="","",INDEX(SCCitrus,$L1467))&amp;IF(INDEX(SCNotes,$L1467)="",""," — "&amp;INDEX(SCNotes,$L1467))),IF($M1467&lt;&gt;"",IF(INDEX(LdgNoteB,$M1467)="","—",INDEX(LdgNoteB,$M1467)),""))</f>
        <v/>
      </c>
      <c r="F1467" s="20">
        <f>IF($L1467&lt;&gt;"",IF(INDEX(SCNet,$L1467)=0,"",INDEX(SCNet,$L1467)),"")</f>
        <v/>
      </c>
      <c r="G1467" s="21">
        <f>IF($L1467&lt;&gt;"",IF(INDEX(SCOp,$L1467)="مرجوعی فروش","",IF(INDEX(SCAmount,$L1467)&lt;=0,"",INDEX(SCAmount,$L1467))),IF($M1467&lt;&gt;"",IF(INDEX(LdgWitB,$M1467)=0,"",INDEX(LdgWitB,$M1467)),""))</f>
        <v/>
      </c>
      <c r="H1467" s="21">
        <f>IF($L1467&lt;&gt;"",IF(INDEX(SCOp,$L1467)="مرجوعی فروش",IF(INDEX(SCAmount,$L1467)=0,"",-INDEX(SCAmount,$L1467)),""),IF($M1467&lt;&gt;"",IF(INDEX(LdgDepB,$M1467)=0,"",INDEX(LdgDepB,$M1467)),""))</f>
        <v/>
      </c>
      <c r="I1467" s="22">
        <f>IF($B1467="","",IF($I1466="",$C$10,$I1466)+IF($G1467="",0,$G1467)-IF($H1467="",0,$H1467))</f>
        <v/>
      </c>
      <c r="L1467">
        <f>IFERROR(MATCH($C$5&amp;"|"&amp;RIGHT("000000"&amp;1451,6),LdgRankKeyA,0),"")</f>
        <v/>
      </c>
      <c r="M1467">
        <f>IFERROR(MATCH($C$5&amp;"|"&amp;RIGHT("000000"&amp;1451,6),LdgRankKeyB,0),"")</f>
        <v/>
      </c>
    </row>
    <row r="1468">
      <c r="A1468" s="23" t="n">
        <v>1452</v>
      </c>
      <c r="B1468" s="24">
        <f>IF(AND($L1468="",$M1468=""),"",IF($L1468&lt;&gt;"",INDEX(SCNormDate,$L1468),INDEX(LdgDateB,$M1468)))</f>
        <v/>
      </c>
      <c r="C1468" s="24">
        <f>IF($L1468&lt;&gt;"",INDEX(SCOp,$L1468),IF($M1468&lt;&gt;"","پرداخت بانکی",""))</f>
        <v/>
      </c>
      <c r="D1468" s="24">
        <f>IF($L1468&lt;&gt;"",IF(INDEX(SCDoc,$L1468)="","—",INDEX(SCDoc,$L1468)),IF($M1468&lt;&gt;"",INDEX(LdgBankB,$M1468),""))</f>
        <v/>
      </c>
      <c r="E1468" s="25">
        <f>IF($L1468&lt;&gt;"",IF(INDEX(SCCitrus,$L1468)&amp;INDEX(SCNotes,$L1468)="","",IF(INDEX(SCCitrus,$L1468)="","",INDEX(SCCitrus,$L1468))&amp;IF(INDEX(SCNotes,$L1468)="",""," — "&amp;INDEX(SCNotes,$L1468))),IF($M1468&lt;&gt;"",IF(INDEX(LdgNoteB,$M1468)="","—",INDEX(LdgNoteB,$M1468)),""))</f>
        <v/>
      </c>
      <c r="F1468" s="26">
        <f>IF($L1468&lt;&gt;"",IF(INDEX(SCNet,$L1468)=0,"",INDEX(SCNet,$L1468)),"")</f>
        <v/>
      </c>
      <c r="G1468" s="27">
        <f>IF($L1468&lt;&gt;"",IF(INDEX(SCOp,$L1468)="مرجوعی فروش","",IF(INDEX(SCAmount,$L1468)&lt;=0,"",INDEX(SCAmount,$L1468))),IF($M1468&lt;&gt;"",IF(INDEX(LdgWitB,$M1468)=0,"",INDEX(LdgWitB,$M1468)),""))</f>
        <v/>
      </c>
      <c r="H1468" s="27">
        <f>IF($L1468&lt;&gt;"",IF(INDEX(SCOp,$L1468)="مرجوعی فروش",IF(INDEX(SCAmount,$L1468)=0,"",-INDEX(SCAmount,$L1468)),""),IF($M1468&lt;&gt;"",IF(INDEX(LdgDepB,$M1468)=0,"",INDEX(LdgDepB,$M1468)),""))</f>
        <v/>
      </c>
      <c r="I1468" s="28">
        <f>IF($B1468="","",IF($I1467="",$C$10,$I1467)+IF($G1468="",0,$G1468)-IF($H1468="",0,$H1468))</f>
        <v/>
      </c>
      <c r="L1468">
        <f>IFERROR(MATCH($C$5&amp;"|"&amp;RIGHT("000000"&amp;1452,6),LdgRankKeyA,0),"")</f>
        <v/>
      </c>
      <c r="M1468">
        <f>IFERROR(MATCH($C$5&amp;"|"&amp;RIGHT("000000"&amp;1452,6),LdgRankKeyB,0),"")</f>
        <v/>
      </c>
    </row>
    <row r="1469">
      <c r="A1469" s="17" t="n">
        <v>1453</v>
      </c>
      <c r="B1469" s="18">
        <f>IF(AND($L1469="",$M1469=""),"",IF($L1469&lt;&gt;"",INDEX(SCNormDate,$L1469),INDEX(LdgDateB,$M1469)))</f>
        <v/>
      </c>
      <c r="C1469" s="18">
        <f>IF($L1469&lt;&gt;"",INDEX(SCOp,$L1469),IF($M1469&lt;&gt;"","پرداخت بانکی",""))</f>
        <v/>
      </c>
      <c r="D1469" s="18">
        <f>IF($L1469&lt;&gt;"",IF(INDEX(SCDoc,$L1469)="","—",INDEX(SCDoc,$L1469)),IF($M1469&lt;&gt;"",INDEX(LdgBankB,$M1469),""))</f>
        <v/>
      </c>
      <c r="E1469" s="19">
        <f>IF($L1469&lt;&gt;"",IF(INDEX(SCCitrus,$L1469)&amp;INDEX(SCNotes,$L1469)="","",IF(INDEX(SCCitrus,$L1469)="","",INDEX(SCCitrus,$L1469))&amp;IF(INDEX(SCNotes,$L1469)="",""," — "&amp;INDEX(SCNotes,$L1469))),IF($M1469&lt;&gt;"",IF(INDEX(LdgNoteB,$M1469)="","—",INDEX(LdgNoteB,$M1469)),""))</f>
        <v/>
      </c>
      <c r="F1469" s="20">
        <f>IF($L1469&lt;&gt;"",IF(INDEX(SCNet,$L1469)=0,"",INDEX(SCNet,$L1469)),"")</f>
        <v/>
      </c>
      <c r="G1469" s="21">
        <f>IF($L1469&lt;&gt;"",IF(INDEX(SCOp,$L1469)="مرجوعی فروش","",IF(INDEX(SCAmount,$L1469)&lt;=0,"",INDEX(SCAmount,$L1469))),IF($M1469&lt;&gt;"",IF(INDEX(LdgWitB,$M1469)=0,"",INDEX(LdgWitB,$M1469)),""))</f>
        <v/>
      </c>
      <c r="H1469" s="21">
        <f>IF($L1469&lt;&gt;"",IF(INDEX(SCOp,$L1469)="مرجوعی فروش",IF(INDEX(SCAmount,$L1469)=0,"",-INDEX(SCAmount,$L1469)),""),IF($M1469&lt;&gt;"",IF(INDEX(LdgDepB,$M1469)=0,"",INDEX(LdgDepB,$M1469)),""))</f>
        <v/>
      </c>
      <c r="I1469" s="22">
        <f>IF($B1469="","",IF($I1468="",$C$10,$I1468)+IF($G1469="",0,$G1469)-IF($H1469="",0,$H1469))</f>
        <v/>
      </c>
      <c r="L1469">
        <f>IFERROR(MATCH($C$5&amp;"|"&amp;RIGHT("000000"&amp;1453,6),LdgRankKeyA,0),"")</f>
        <v/>
      </c>
      <c r="M1469">
        <f>IFERROR(MATCH($C$5&amp;"|"&amp;RIGHT("000000"&amp;1453,6),LdgRankKeyB,0),"")</f>
        <v/>
      </c>
    </row>
    <row r="1470">
      <c r="A1470" s="23" t="n">
        <v>1454</v>
      </c>
      <c r="B1470" s="24">
        <f>IF(AND($L1470="",$M1470=""),"",IF($L1470&lt;&gt;"",INDEX(SCNormDate,$L1470),INDEX(LdgDateB,$M1470)))</f>
        <v/>
      </c>
      <c r="C1470" s="24">
        <f>IF($L1470&lt;&gt;"",INDEX(SCOp,$L1470),IF($M1470&lt;&gt;"","پرداخت بانکی",""))</f>
        <v/>
      </c>
      <c r="D1470" s="24">
        <f>IF($L1470&lt;&gt;"",IF(INDEX(SCDoc,$L1470)="","—",INDEX(SCDoc,$L1470)),IF($M1470&lt;&gt;"",INDEX(LdgBankB,$M1470),""))</f>
        <v/>
      </c>
      <c r="E1470" s="25">
        <f>IF($L1470&lt;&gt;"",IF(INDEX(SCCitrus,$L1470)&amp;INDEX(SCNotes,$L1470)="","",IF(INDEX(SCCitrus,$L1470)="","",INDEX(SCCitrus,$L1470))&amp;IF(INDEX(SCNotes,$L1470)="",""," — "&amp;INDEX(SCNotes,$L1470))),IF($M1470&lt;&gt;"",IF(INDEX(LdgNoteB,$M1470)="","—",INDEX(LdgNoteB,$M1470)),""))</f>
        <v/>
      </c>
      <c r="F1470" s="26">
        <f>IF($L1470&lt;&gt;"",IF(INDEX(SCNet,$L1470)=0,"",INDEX(SCNet,$L1470)),"")</f>
        <v/>
      </c>
      <c r="G1470" s="27">
        <f>IF($L1470&lt;&gt;"",IF(INDEX(SCOp,$L1470)="مرجوعی فروش","",IF(INDEX(SCAmount,$L1470)&lt;=0,"",INDEX(SCAmount,$L1470))),IF($M1470&lt;&gt;"",IF(INDEX(LdgWitB,$M1470)=0,"",INDEX(LdgWitB,$M1470)),""))</f>
        <v/>
      </c>
      <c r="H1470" s="27">
        <f>IF($L1470&lt;&gt;"",IF(INDEX(SCOp,$L1470)="مرجوعی فروش",IF(INDEX(SCAmount,$L1470)=0,"",-INDEX(SCAmount,$L1470)),""),IF($M1470&lt;&gt;"",IF(INDEX(LdgDepB,$M1470)=0,"",INDEX(LdgDepB,$M1470)),""))</f>
        <v/>
      </c>
      <c r="I1470" s="28">
        <f>IF($B1470="","",IF($I1469="",$C$10,$I1469)+IF($G1470="",0,$G1470)-IF($H1470="",0,$H1470))</f>
        <v/>
      </c>
      <c r="L1470">
        <f>IFERROR(MATCH($C$5&amp;"|"&amp;RIGHT("000000"&amp;1454,6),LdgRankKeyA,0),"")</f>
        <v/>
      </c>
      <c r="M1470">
        <f>IFERROR(MATCH($C$5&amp;"|"&amp;RIGHT("000000"&amp;1454,6),LdgRankKeyB,0),"")</f>
        <v/>
      </c>
    </row>
    <row r="1471">
      <c r="A1471" s="17" t="n">
        <v>1455</v>
      </c>
      <c r="B1471" s="18">
        <f>IF(AND($L1471="",$M1471=""),"",IF($L1471&lt;&gt;"",INDEX(SCNormDate,$L1471),INDEX(LdgDateB,$M1471)))</f>
        <v/>
      </c>
      <c r="C1471" s="18">
        <f>IF($L1471&lt;&gt;"",INDEX(SCOp,$L1471),IF($M1471&lt;&gt;"","پرداخت بانکی",""))</f>
        <v/>
      </c>
      <c r="D1471" s="18">
        <f>IF($L1471&lt;&gt;"",IF(INDEX(SCDoc,$L1471)="","—",INDEX(SCDoc,$L1471)),IF($M1471&lt;&gt;"",INDEX(LdgBankB,$M1471),""))</f>
        <v/>
      </c>
      <c r="E1471" s="19">
        <f>IF($L1471&lt;&gt;"",IF(INDEX(SCCitrus,$L1471)&amp;INDEX(SCNotes,$L1471)="","",IF(INDEX(SCCitrus,$L1471)="","",INDEX(SCCitrus,$L1471))&amp;IF(INDEX(SCNotes,$L1471)="",""," — "&amp;INDEX(SCNotes,$L1471))),IF($M1471&lt;&gt;"",IF(INDEX(LdgNoteB,$M1471)="","—",INDEX(LdgNoteB,$M1471)),""))</f>
        <v/>
      </c>
      <c r="F1471" s="20">
        <f>IF($L1471&lt;&gt;"",IF(INDEX(SCNet,$L1471)=0,"",INDEX(SCNet,$L1471)),"")</f>
        <v/>
      </c>
      <c r="G1471" s="21">
        <f>IF($L1471&lt;&gt;"",IF(INDEX(SCOp,$L1471)="مرجوعی فروش","",IF(INDEX(SCAmount,$L1471)&lt;=0,"",INDEX(SCAmount,$L1471))),IF($M1471&lt;&gt;"",IF(INDEX(LdgWitB,$M1471)=0,"",INDEX(LdgWitB,$M1471)),""))</f>
        <v/>
      </c>
      <c r="H1471" s="21">
        <f>IF($L1471&lt;&gt;"",IF(INDEX(SCOp,$L1471)="مرجوعی فروش",IF(INDEX(SCAmount,$L1471)=0,"",-INDEX(SCAmount,$L1471)),""),IF($M1471&lt;&gt;"",IF(INDEX(LdgDepB,$M1471)=0,"",INDEX(LdgDepB,$M1471)),""))</f>
        <v/>
      </c>
      <c r="I1471" s="22">
        <f>IF($B1471="","",IF($I1470="",$C$10,$I1470)+IF($G1471="",0,$G1471)-IF($H1471="",0,$H1471))</f>
        <v/>
      </c>
      <c r="L1471">
        <f>IFERROR(MATCH($C$5&amp;"|"&amp;RIGHT("000000"&amp;1455,6),LdgRankKeyA,0),"")</f>
        <v/>
      </c>
      <c r="M1471">
        <f>IFERROR(MATCH($C$5&amp;"|"&amp;RIGHT("000000"&amp;1455,6),LdgRankKeyB,0),"")</f>
        <v/>
      </c>
    </row>
    <row r="1472">
      <c r="A1472" s="23" t="n">
        <v>1456</v>
      </c>
      <c r="B1472" s="24">
        <f>IF(AND($L1472="",$M1472=""),"",IF($L1472&lt;&gt;"",INDEX(SCNormDate,$L1472),INDEX(LdgDateB,$M1472)))</f>
        <v/>
      </c>
      <c r="C1472" s="24">
        <f>IF($L1472&lt;&gt;"",INDEX(SCOp,$L1472),IF($M1472&lt;&gt;"","پرداخت بانکی",""))</f>
        <v/>
      </c>
      <c r="D1472" s="24">
        <f>IF($L1472&lt;&gt;"",IF(INDEX(SCDoc,$L1472)="","—",INDEX(SCDoc,$L1472)),IF($M1472&lt;&gt;"",INDEX(LdgBankB,$M1472),""))</f>
        <v/>
      </c>
      <c r="E1472" s="25">
        <f>IF($L1472&lt;&gt;"",IF(INDEX(SCCitrus,$L1472)&amp;INDEX(SCNotes,$L1472)="","",IF(INDEX(SCCitrus,$L1472)="","",INDEX(SCCitrus,$L1472))&amp;IF(INDEX(SCNotes,$L1472)="",""," — "&amp;INDEX(SCNotes,$L1472))),IF($M1472&lt;&gt;"",IF(INDEX(LdgNoteB,$M1472)="","—",INDEX(LdgNoteB,$M1472)),""))</f>
        <v/>
      </c>
      <c r="F1472" s="26">
        <f>IF($L1472&lt;&gt;"",IF(INDEX(SCNet,$L1472)=0,"",INDEX(SCNet,$L1472)),"")</f>
        <v/>
      </c>
      <c r="G1472" s="27">
        <f>IF($L1472&lt;&gt;"",IF(INDEX(SCOp,$L1472)="مرجوعی فروش","",IF(INDEX(SCAmount,$L1472)&lt;=0,"",INDEX(SCAmount,$L1472))),IF($M1472&lt;&gt;"",IF(INDEX(LdgWitB,$M1472)=0,"",INDEX(LdgWitB,$M1472)),""))</f>
        <v/>
      </c>
      <c r="H1472" s="27">
        <f>IF($L1472&lt;&gt;"",IF(INDEX(SCOp,$L1472)="مرجوعی فروش",IF(INDEX(SCAmount,$L1472)=0,"",-INDEX(SCAmount,$L1472)),""),IF($M1472&lt;&gt;"",IF(INDEX(LdgDepB,$M1472)=0,"",INDEX(LdgDepB,$M1472)),""))</f>
        <v/>
      </c>
      <c r="I1472" s="28">
        <f>IF($B1472="","",IF($I1471="",$C$10,$I1471)+IF($G1472="",0,$G1472)-IF($H1472="",0,$H1472))</f>
        <v/>
      </c>
      <c r="L1472">
        <f>IFERROR(MATCH($C$5&amp;"|"&amp;RIGHT("000000"&amp;1456,6),LdgRankKeyA,0),"")</f>
        <v/>
      </c>
      <c r="M1472">
        <f>IFERROR(MATCH($C$5&amp;"|"&amp;RIGHT("000000"&amp;1456,6),LdgRankKeyB,0),"")</f>
        <v/>
      </c>
    </row>
    <row r="1473">
      <c r="A1473" s="17" t="n">
        <v>1457</v>
      </c>
      <c r="B1473" s="18">
        <f>IF(AND($L1473="",$M1473=""),"",IF($L1473&lt;&gt;"",INDEX(SCNormDate,$L1473),INDEX(LdgDateB,$M1473)))</f>
        <v/>
      </c>
      <c r="C1473" s="18">
        <f>IF($L1473&lt;&gt;"",INDEX(SCOp,$L1473),IF($M1473&lt;&gt;"","پرداخت بانکی",""))</f>
        <v/>
      </c>
      <c r="D1473" s="18">
        <f>IF($L1473&lt;&gt;"",IF(INDEX(SCDoc,$L1473)="","—",INDEX(SCDoc,$L1473)),IF($M1473&lt;&gt;"",INDEX(LdgBankB,$M1473),""))</f>
        <v/>
      </c>
      <c r="E1473" s="19">
        <f>IF($L1473&lt;&gt;"",IF(INDEX(SCCitrus,$L1473)&amp;INDEX(SCNotes,$L1473)="","",IF(INDEX(SCCitrus,$L1473)="","",INDEX(SCCitrus,$L1473))&amp;IF(INDEX(SCNotes,$L1473)="",""," — "&amp;INDEX(SCNotes,$L1473))),IF($M1473&lt;&gt;"",IF(INDEX(LdgNoteB,$M1473)="","—",INDEX(LdgNoteB,$M1473)),""))</f>
        <v/>
      </c>
      <c r="F1473" s="20">
        <f>IF($L1473&lt;&gt;"",IF(INDEX(SCNet,$L1473)=0,"",INDEX(SCNet,$L1473)),"")</f>
        <v/>
      </c>
      <c r="G1473" s="21">
        <f>IF($L1473&lt;&gt;"",IF(INDEX(SCOp,$L1473)="مرجوعی فروش","",IF(INDEX(SCAmount,$L1473)&lt;=0,"",INDEX(SCAmount,$L1473))),IF($M1473&lt;&gt;"",IF(INDEX(LdgWitB,$M1473)=0,"",INDEX(LdgWitB,$M1473)),""))</f>
        <v/>
      </c>
      <c r="H1473" s="21">
        <f>IF($L1473&lt;&gt;"",IF(INDEX(SCOp,$L1473)="مرجوعی فروش",IF(INDEX(SCAmount,$L1473)=0,"",-INDEX(SCAmount,$L1473)),""),IF($M1473&lt;&gt;"",IF(INDEX(LdgDepB,$M1473)=0,"",INDEX(LdgDepB,$M1473)),""))</f>
        <v/>
      </c>
      <c r="I1473" s="22">
        <f>IF($B1473="","",IF($I1472="",$C$10,$I1472)+IF($G1473="",0,$G1473)-IF($H1473="",0,$H1473))</f>
        <v/>
      </c>
      <c r="L1473">
        <f>IFERROR(MATCH($C$5&amp;"|"&amp;RIGHT("000000"&amp;1457,6),LdgRankKeyA,0),"")</f>
        <v/>
      </c>
      <c r="M1473">
        <f>IFERROR(MATCH($C$5&amp;"|"&amp;RIGHT("000000"&amp;1457,6),LdgRankKeyB,0),"")</f>
        <v/>
      </c>
    </row>
    <row r="1474">
      <c r="A1474" s="23" t="n">
        <v>1458</v>
      </c>
      <c r="B1474" s="24">
        <f>IF(AND($L1474="",$M1474=""),"",IF($L1474&lt;&gt;"",INDEX(SCNormDate,$L1474),INDEX(LdgDateB,$M1474)))</f>
        <v/>
      </c>
      <c r="C1474" s="24">
        <f>IF($L1474&lt;&gt;"",INDEX(SCOp,$L1474),IF($M1474&lt;&gt;"","پرداخت بانکی",""))</f>
        <v/>
      </c>
      <c r="D1474" s="24">
        <f>IF($L1474&lt;&gt;"",IF(INDEX(SCDoc,$L1474)="","—",INDEX(SCDoc,$L1474)),IF($M1474&lt;&gt;"",INDEX(LdgBankB,$M1474),""))</f>
        <v/>
      </c>
      <c r="E1474" s="25">
        <f>IF($L1474&lt;&gt;"",IF(INDEX(SCCitrus,$L1474)&amp;INDEX(SCNotes,$L1474)="","",IF(INDEX(SCCitrus,$L1474)="","",INDEX(SCCitrus,$L1474))&amp;IF(INDEX(SCNotes,$L1474)="",""," — "&amp;INDEX(SCNotes,$L1474))),IF($M1474&lt;&gt;"",IF(INDEX(LdgNoteB,$M1474)="","—",INDEX(LdgNoteB,$M1474)),""))</f>
        <v/>
      </c>
      <c r="F1474" s="26">
        <f>IF($L1474&lt;&gt;"",IF(INDEX(SCNet,$L1474)=0,"",INDEX(SCNet,$L1474)),"")</f>
        <v/>
      </c>
      <c r="G1474" s="27">
        <f>IF($L1474&lt;&gt;"",IF(INDEX(SCOp,$L1474)="مرجوعی فروش","",IF(INDEX(SCAmount,$L1474)&lt;=0,"",INDEX(SCAmount,$L1474))),IF($M1474&lt;&gt;"",IF(INDEX(LdgWitB,$M1474)=0,"",INDEX(LdgWitB,$M1474)),""))</f>
        <v/>
      </c>
      <c r="H1474" s="27">
        <f>IF($L1474&lt;&gt;"",IF(INDEX(SCOp,$L1474)="مرجوعی فروش",IF(INDEX(SCAmount,$L1474)=0,"",-INDEX(SCAmount,$L1474)),""),IF($M1474&lt;&gt;"",IF(INDEX(LdgDepB,$M1474)=0,"",INDEX(LdgDepB,$M1474)),""))</f>
        <v/>
      </c>
      <c r="I1474" s="28">
        <f>IF($B1474="","",IF($I1473="",$C$10,$I1473)+IF($G1474="",0,$G1474)-IF($H1474="",0,$H1474))</f>
        <v/>
      </c>
      <c r="L1474">
        <f>IFERROR(MATCH($C$5&amp;"|"&amp;RIGHT("000000"&amp;1458,6),LdgRankKeyA,0),"")</f>
        <v/>
      </c>
      <c r="M1474">
        <f>IFERROR(MATCH($C$5&amp;"|"&amp;RIGHT("000000"&amp;1458,6),LdgRankKeyB,0),"")</f>
        <v/>
      </c>
    </row>
    <row r="1475">
      <c r="A1475" s="17" t="n">
        <v>1459</v>
      </c>
      <c r="B1475" s="18">
        <f>IF(AND($L1475="",$M1475=""),"",IF($L1475&lt;&gt;"",INDEX(SCNormDate,$L1475),INDEX(LdgDateB,$M1475)))</f>
        <v/>
      </c>
      <c r="C1475" s="18">
        <f>IF($L1475&lt;&gt;"",INDEX(SCOp,$L1475),IF($M1475&lt;&gt;"","پرداخت بانکی",""))</f>
        <v/>
      </c>
      <c r="D1475" s="18">
        <f>IF($L1475&lt;&gt;"",IF(INDEX(SCDoc,$L1475)="","—",INDEX(SCDoc,$L1475)),IF($M1475&lt;&gt;"",INDEX(LdgBankB,$M1475),""))</f>
        <v/>
      </c>
      <c r="E1475" s="19">
        <f>IF($L1475&lt;&gt;"",IF(INDEX(SCCitrus,$L1475)&amp;INDEX(SCNotes,$L1475)="","",IF(INDEX(SCCitrus,$L1475)="","",INDEX(SCCitrus,$L1475))&amp;IF(INDEX(SCNotes,$L1475)="",""," — "&amp;INDEX(SCNotes,$L1475))),IF($M1475&lt;&gt;"",IF(INDEX(LdgNoteB,$M1475)="","—",INDEX(LdgNoteB,$M1475)),""))</f>
        <v/>
      </c>
      <c r="F1475" s="20">
        <f>IF($L1475&lt;&gt;"",IF(INDEX(SCNet,$L1475)=0,"",INDEX(SCNet,$L1475)),"")</f>
        <v/>
      </c>
      <c r="G1475" s="21">
        <f>IF($L1475&lt;&gt;"",IF(INDEX(SCOp,$L1475)="مرجوعی فروش","",IF(INDEX(SCAmount,$L1475)&lt;=0,"",INDEX(SCAmount,$L1475))),IF($M1475&lt;&gt;"",IF(INDEX(LdgWitB,$M1475)=0,"",INDEX(LdgWitB,$M1475)),""))</f>
        <v/>
      </c>
      <c r="H1475" s="21">
        <f>IF($L1475&lt;&gt;"",IF(INDEX(SCOp,$L1475)="مرجوعی فروش",IF(INDEX(SCAmount,$L1475)=0,"",-INDEX(SCAmount,$L1475)),""),IF($M1475&lt;&gt;"",IF(INDEX(LdgDepB,$M1475)=0,"",INDEX(LdgDepB,$M1475)),""))</f>
        <v/>
      </c>
      <c r="I1475" s="22">
        <f>IF($B1475="","",IF($I1474="",$C$10,$I1474)+IF($G1475="",0,$G1475)-IF($H1475="",0,$H1475))</f>
        <v/>
      </c>
      <c r="L1475">
        <f>IFERROR(MATCH($C$5&amp;"|"&amp;RIGHT("000000"&amp;1459,6),LdgRankKeyA,0),"")</f>
        <v/>
      </c>
      <c r="M1475">
        <f>IFERROR(MATCH($C$5&amp;"|"&amp;RIGHT("000000"&amp;1459,6),LdgRankKeyB,0),"")</f>
        <v/>
      </c>
    </row>
    <row r="1476">
      <c r="A1476" s="23" t="n">
        <v>1460</v>
      </c>
      <c r="B1476" s="24">
        <f>IF(AND($L1476="",$M1476=""),"",IF($L1476&lt;&gt;"",INDEX(SCNormDate,$L1476),INDEX(LdgDateB,$M1476)))</f>
        <v/>
      </c>
      <c r="C1476" s="24">
        <f>IF($L1476&lt;&gt;"",INDEX(SCOp,$L1476),IF($M1476&lt;&gt;"","پرداخت بانکی",""))</f>
        <v/>
      </c>
      <c r="D1476" s="24">
        <f>IF($L1476&lt;&gt;"",IF(INDEX(SCDoc,$L1476)="","—",INDEX(SCDoc,$L1476)),IF($M1476&lt;&gt;"",INDEX(LdgBankB,$M1476),""))</f>
        <v/>
      </c>
      <c r="E1476" s="25">
        <f>IF($L1476&lt;&gt;"",IF(INDEX(SCCitrus,$L1476)&amp;INDEX(SCNotes,$L1476)="","",IF(INDEX(SCCitrus,$L1476)="","",INDEX(SCCitrus,$L1476))&amp;IF(INDEX(SCNotes,$L1476)="",""," — "&amp;INDEX(SCNotes,$L1476))),IF($M1476&lt;&gt;"",IF(INDEX(LdgNoteB,$M1476)="","—",INDEX(LdgNoteB,$M1476)),""))</f>
        <v/>
      </c>
      <c r="F1476" s="26">
        <f>IF($L1476&lt;&gt;"",IF(INDEX(SCNet,$L1476)=0,"",INDEX(SCNet,$L1476)),"")</f>
        <v/>
      </c>
      <c r="G1476" s="27">
        <f>IF($L1476&lt;&gt;"",IF(INDEX(SCOp,$L1476)="مرجوعی فروش","",IF(INDEX(SCAmount,$L1476)&lt;=0,"",INDEX(SCAmount,$L1476))),IF($M1476&lt;&gt;"",IF(INDEX(LdgWitB,$M1476)=0,"",INDEX(LdgWitB,$M1476)),""))</f>
        <v/>
      </c>
      <c r="H1476" s="27">
        <f>IF($L1476&lt;&gt;"",IF(INDEX(SCOp,$L1476)="مرجوعی فروش",IF(INDEX(SCAmount,$L1476)=0,"",-INDEX(SCAmount,$L1476)),""),IF($M1476&lt;&gt;"",IF(INDEX(LdgDepB,$M1476)=0,"",INDEX(LdgDepB,$M1476)),""))</f>
        <v/>
      </c>
      <c r="I1476" s="28">
        <f>IF($B1476="","",IF($I1475="",$C$10,$I1475)+IF($G1476="",0,$G1476)-IF($H1476="",0,$H1476))</f>
        <v/>
      </c>
      <c r="L1476">
        <f>IFERROR(MATCH($C$5&amp;"|"&amp;RIGHT("000000"&amp;1460,6),LdgRankKeyA,0),"")</f>
        <v/>
      </c>
      <c r="M1476">
        <f>IFERROR(MATCH($C$5&amp;"|"&amp;RIGHT("000000"&amp;1460,6),LdgRankKeyB,0),"")</f>
        <v/>
      </c>
    </row>
    <row r="1477">
      <c r="A1477" s="17" t="n">
        <v>1461</v>
      </c>
      <c r="B1477" s="18">
        <f>IF(AND($L1477="",$M1477=""),"",IF($L1477&lt;&gt;"",INDEX(SCNormDate,$L1477),INDEX(LdgDateB,$M1477)))</f>
        <v/>
      </c>
      <c r="C1477" s="18">
        <f>IF($L1477&lt;&gt;"",INDEX(SCOp,$L1477),IF($M1477&lt;&gt;"","پرداخت بانکی",""))</f>
        <v/>
      </c>
      <c r="D1477" s="18">
        <f>IF($L1477&lt;&gt;"",IF(INDEX(SCDoc,$L1477)="","—",INDEX(SCDoc,$L1477)),IF($M1477&lt;&gt;"",INDEX(LdgBankB,$M1477),""))</f>
        <v/>
      </c>
      <c r="E1477" s="19">
        <f>IF($L1477&lt;&gt;"",IF(INDEX(SCCitrus,$L1477)&amp;INDEX(SCNotes,$L1477)="","",IF(INDEX(SCCitrus,$L1477)="","",INDEX(SCCitrus,$L1477))&amp;IF(INDEX(SCNotes,$L1477)="",""," — "&amp;INDEX(SCNotes,$L1477))),IF($M1477&lt;&gt;"",IF(INDEX(LdgNoteB,$M1477)="","—",INDEX(LdgNoteB,$M1477)),""))</f>
        <v/>
      </c>
      <c r="F1477" s="20">
        <f>IF($L1477&lt;&gt;"",IF(INDEX(SCNet,$L1477)=0,"",INDEX(SCNet,$L1477)),"")</f>
        <v/>
      </c>
      <c r="G1477" s="21">
        <f>IF($L1477&lt;&gt;"",IF(INDEX(SCOp,$L1477)="مرجوعی فروش","",IF(INDEX(SCAmount,$L1477)&lt;=0,"",INDEX(SCAmount,$L1477))),IF($M1477&lt;&gt;"",IF(INDEX(LdgWitB,$M1477)=0,"",INDEX(LdgWitB,$M1477)),""))</f>
        <v/>
      </c>
      <c r="H1477" s="21">
        <f>IF($L1477&lt;&gt;"",IF(INDEX(SCOp,$L1477)="مرجوعی فروش",IF(INDEX(SCAmount,$L1477)=0,"",-INDEX(SCAmount,$L1477)),""),IF($M1477&lt;&gt;"",IF(INDEX(LdgDepB,$M1477)=0,"",INDEX(LdgDepB,$M1477)),""))</f>
        <v/>
      </c>
      <c r="I1477" s="22">
        <f>IF($B1477="","",IF($I1476="",$C$10,$I1476)+IF($G1477="",0,$G1477)-IF($H1477="",0,$H1477))</f>
        <v/>
      </c>
      <c r="L1477">
        <f>IFERROR(MATCH($C$5&amp;"|"&amp;RIGHT("000000"&amp;1461,6),LdgRankKeyA,0),"")</f>
        <v/>
      </c>
      <c r="M1477">
        <f>IFERROR(MATCH($C$5&amp;"|"&amp;RIGHT("000000"&amp;1461,6),LdgRankKeyB,0),"")</f>
        <v/>
      </c>
    </row>
    <row r="1478">
      <c r="A1478" s="23" t="n">
        <v>1462</v>
      </c>
      <c r="B1478" s="24">
        <f>IF(AND($L1478="",$M1478=""),"",IF($L1478&lt;&gt;"",INDEX(SCNormDate,$L1478),INDEX(LdgDateB,$M1478)))</f>
        <v/>
      </c>
      <c r="C1478" s="24">
        <f>IF($L1478&lt;&gt;"",INDEX(SCOp,$L1478),IF($M1478&lt;&gt;"","پرداخت بانکی",""))</f>
        <v/>
      </c>
      <c r="D1478" s="24">
        <f>IF($L1478&lt;&gt;"",IF(INDEX(SCDoc,$L1478)="","—",INDEX(SCDoc,$L1478)),IF($M1478&lt;&gt;"",INDEX(LdgBankB,$M1478),""))</f>
        <v/>
      </c>
      <c r="E1478" s="25">
        <f>IF($L1478&lt;&gt;"",IF(INDEX(SCCitrus,$L1478)&amp;INDEX(SCNotes,$L1478)="","",IF(INDEX(SCCitrus,$L1478)="","",INDEX(SCCitrus,$L1478))&amp;IF(INDEX(SCNotes,$L1478)="",""," — "&amp;INDEX(SCNotes,$L1478))),IF($M1478&lt;&gt;"",IF(INDEX(LdgNoteB,$M1478)="","—",INDEX(LdgNoteB,$M1478)),""))</f>
        <v/>
      </c>
      <c r="F1478" s="26">
        <f>IF($L1478&lt;&gt;"",IF(INDEX(SCNet,$L1478)=0,"",INDEX(SCNet,$L1478)),"")</f>
        <v/>
      </c>
      <c r="G1478" s="27">
        <f>IF($L1478&lt;&gt;"",IF(INDEX(SCOp,$L1478)="مرجوعی فروش","",IF(INDEX(SCAmount,$L1478)&lt;=0,"",INDEX(SCAmount,$L1478))),IF($M1478&lt;&gt;"",IF(INDEX(LdgWitB,$M1478)=0,"",INDEX(LdgWitB,$M1478)),""))</f>
        <v/>
      </c>
      <c r="H1478" s="27">
        <f>IF($L1478&lt;&gt;"",IF(INDEX(SCOp,$L1478)="مرجوعی فروش",IF(INDEX(SCAmount,$L1478)=0,"",-INDEX(SCAmount,$L1478)),""),IF($M1478&lt;&gt;"",IF(INDEX(LdgDepB,$M1478)=0,"",INDEX(LdgDepB,$M1478)),""))</f>
        <v/>
      </c>
      <c r="I1478" s="28">
        <f>IF($B1478="","",IF($I1477="",$C$10,$I1477)+IF($G1478="",0,$G1478)-IF($H1478="",0,$H1478))</f>
        <v/>
      </c>
      <c r="L1478">
        <f>IFERROR(MATCH($C$5&amp;"|"&amp;RIGHT("000000"&amp;1462,6),LdgRankKeyA,0),"")</f>
        <v/>
      </c>
      <c r="M1478">
        <f>IFERROR(MATCH($C$5&amp;"|"&amp;RIGHT("000000"&amp;1462,6),LdgRankKeyB,0),"")</f>
        <v/>
      </c>
    </row>
    <row r="1479">
      <c r="A1479" s="17" t="n">
        <v>1463</v>
      </c>
      <c r="B1479" s="18">
        <f>IF(AND($L1479="",$M1479=""),"",IF($L1479&lt;&gt;"",INDEX(SCNormDate,$L1479),INDEX(LdgDateB,$M1479)))</f>
        <v/>
      </c>
      <c r="C1479" s="18">
        <f>IF($L1479&lt;&gt;"",INDEX(SCOp,$L1479),IF($M1479&lt;&gt;"","پرداخت بانکی",""))</f>
        <v/>
      </c>
      <c r="D1479" s="18">
        <f>IF($L1479&lt;&gt;"",IF(INDEX(SCDoc,$L1479)="","—",INDEX(SCDoc,$L1479)),IF($M1479&lt;&gt;"",INDEX(LdgBankB,$M1479),""))</f>
        <v/>
      </c>
      <c r="E1479" s="19">
        <f>IF($L1479&lt;&gt;"",IF(INDEX(SCCitrus,$L1479)&amp;INDEX(SCNotes,$L1479)="","",IF(INDEX(SCCitrus,$L1479)="","",INDEX(SCCitrus,$L1479))&amp;IF(INDEX(SCNotes,$L1479)="",""," — "&amp;INDEX(SCNotes,$L1479))),IF($M1479&lt;&gt;"",IF(INDEX(LdgNoteB,$M1479)="","—",INDEX(LdgNoteB,$M1479)),""))</f>
        <v/>
      </c>
      <c r="F1479" s="20">
        <f>IF($L1479&lt;&gt;"",IF(INDEX(SCNet,$L1479)=0,"",INDEX(SCNet,$L1479)),"")</f>
        <v/>
      </c>
      <c r="G1479" s="21">
        <f>IF($L1479&lt;&gt;"",IF(INDEX(SCOp,$L1479)="مرجوعی فروش","",IF(INDEX(SCAmount,$L1479)&lt;=0,"",INDEX(SCAmount,$L1479))),IF($M1479&lt;&gt;"",IF(INDEX(LdgWitB,$M1479)=0,"",INDEX(LdgWitB,$M1479)),""))</f>
        <v/>
      </c>
      <c r="H1479" s="21">
        <f>IF($L1479&lt;&gt;"",IF(INDEX(SCOp,$L1479)="مرجوعی فروش",IF(INDEX(SCAmount,$L1479)=0,"",-INDEX(SCAmount,$L1479)),""),IF($M1479&lt;&gt;"",IF(INDEX(LdgDepB,$M1479)=0,"",INDEX(LdgDepB,$M1479)),""))</f>
        <v/>
      </c>
      <c r="I1479" s="22">
        <f>IF($B1479="","",IF($I1478="",$C$10,$I1478)+IF($G1479="",0,$G1479)-IF($H1479="",0,$H1479))</f>
        <v/>
      </c>
      <c r="L1479">
        <f>IFERROR(MATCH($C$5&amp;"|"&amp;RIGHT("000000"&amp;1463,6),LdgRankKeyA,0),"")</f>
        <v/>
      </c>
      <c r="M1479">
        <f>IFERROR(MATCH($C$5&amp;"|"&amp;RIGHT("000000"&amp;1463,6),LdgRankKeyB,0),"")</f>
        <v/>
      </c>
    </row>
    <row r="1480">
      <c r="A1480" s="23" t="n">
        <v>1464</v>
      </c>
      <c r="B1480" s="24">
        <f>IF(AND($L1480="",$M1480=""),"",IF($L1480&lt;&gt;"",INDEX(SCNormDate,$L1480),INDEX(LdgDateB,$M1480)))</f>
        <v/>
      </c>
      <c r="C1480" s="24">
        <f>IF($L1480&lt;&gt;"",INDEX(SCOp,$L1480),IF($M1480&lt;&gt;"","پرداخت بانکی",""))</f>
        <v/>
      </c>
      <c r="D1480" s="24">
        <f>IF($L1480&lt;&gt;"",IF(INDEX(SCDoc,$L1480)="","—",INDEX(SCDoc,$L1480)),IF($M1480&lt;&gt;"",INDEX(LdgBankB,$M1480),""))</f>
        <v/>
      </c>
      <c r="E1480" s="25">
        <f>IF($L1480&lt;&gt;"",IF(INDEX(SCCitrus,$L1480)&amp;INDEX(SCNotes,$L1480)="","",IF(INDEX(SCCitrus,$L1480)="","",INDEX(SCCitrus,$L1480))&amp;IF(INDEX(SCNotes,$L1480)="",""," — "&amp;INDEX(SCNotes,$L1480))),IF($M1480&lt;&gt;"",IF(INDEX(LdgNoteB,$M1480)="","—",INDEX(LdgNoteB,$M1480)),""))</f>
        <v/>
      </c>
      <c r="F1480" s="26">
        <f>IF($L1480&lt;&gt;"",IF(INDEX(SCNet,$L1480)=0,"",INDEX(SCNet,$L1480)),"")</f>
        <v/>
      </c>
      <c r="G1480" s="27">
        <f>IF($L1480&lt;&gt;"",IF(INDEX(SCOp,$L1480)="مرجوعی فروش","",IF(INDEX(SCAmount,$L1480)&lt;=0,"",INDEX(SCAmount,$L1480))),IF($M1480&lt;&gt;"",IF(INDEX(LdgWitB,$M1480)=0,"",INDEX(LdgWitB,$M1480)),""))</f>
        <v/>
      </c>
      <c r="H1480" s="27">
        <f>IF($L1480&lt;&gt;"",IF(INDEX(SCOp,$L1480)="مرجوعی فروش",IF(INDEX(SCAmount,$L1480)=0,"",-INDEX(SCAmount,$L1480)),""),IF($M1480&lt;&gt;"",IF(INDEX(LdgDepB,$M1480)=0,"",INDEX(LdgDepB,$M1480)),""))</f>
        <v/>
      </c>
      <c r="I1480" s="28">
        <f>IF($B1480="","",IF($I1479="",$C$10,$I1479)+IF($G1480="",0,$G1480)-IF($H1480="",0,$H1480))</f>
        <v/>
      </c>
      <c r="L1480">
        <f>IFERROR(MATCH($C$5&amp;"|"&amp;RIGHT("000000"&amp;1464,6),LdgRankKeyA,0),"")</f>
        <v/>
      </c>
      <c r="M1480">
        <f>IFERROR(MATCH($C$5&amp;"|"&amp;RIGHT("000000"&amp;1464,6),LdgRankKeyB,0),"")</f>
        <v/>
      </c>
    </row>
    <row r="1481">
      <c r="A1481" s="17" t="n">
        <v>1465</v>
      </c>
      <c r="B1481" s="18">
        <f>IF(AND($L1481="",$M1481=""),"",IF($L1481&lt;&gt;"",INDEX(SCNormDate,$L1481),INDEX(LdgDateB,$M1481)))</f>
        <v/>
      </c>
      <c r="C1481" s="18">
        <f>IF($L1481&lt;&gt;"",INDEX(SCOp,$L1481),IF($M1481&lt;&gt;"","پرداخت بانکی",""))</f>
        <v/>
      </c>
      <c r="D1481" s="18">
        <f>IF($L1481&lt;&gt;"",IF(INDEX(SCDoc,$L1481)="","—",INDEX(SCDoc,$L1481)),IF($M1481&lt;&gt;"",INDEX(LdgBankB,$M1481),""))</f>
        <v/>
      </c>
      <c r="E1481" s="19">
        <f>IF($L1481&lt;&gt;"",IF(INDEX(SCCitrus,$L1481)&amp;INDEX(SCNotes,$L1481)="","",IF(INDEX(SCCitrus,$L1481)="","",INDEX(SCCitrus,$L1481))&amp;IF(INDEX(SCNotes,$L1481)="",""," — "&amp;INDEX(SCNotes,$L1481))),IF($M1481&lt;&gt;"",IF(INDEX(LdgNoteB,$M1481)="","—",INDEX(LdgNoteB,$M1481)),""))</f>
        <v/>
      </c>
      <c r="F1481" s="20">
        <f>IF($L1481&lt;&gt;"",IF(INDEX(SCNet,$L1481)=0,"",INDEX(SCNet,$L1481)),"")</f>
        <v/>
      </c>
      <c r="G1481" s="21">
        <f>IF($L1481&lt;&gt;"",IF(INDEX(SCOp,$L1481)="مرجوعی فروش","",IF(INDEX(SCAmount,$L1481)&lt;=0,"",INDEX(SCAmount,$L1481))),IF($M1481&lt;&gt;"",IF(INDEX(LdgWitB,$M1481)=0,"",INDEX(LdgWitB,$M1481)),""))</f>
        <v/>
      </c>
      <c r="H1481" s="21">
        <f>IF($L1481&lt;&gt;"",IF(INDEX(SCOp,$L1481)="مرجوعی فروش",IF(INDEX(SCAmount,$L1481)=0,"",-INDEX(SCAmount,$L1481)),""),IF($M1481&lt;&gt;"",IF(INDEX(LdgDepB,$M1481)=0,"",INDEX(LdgDepB,$M1481)),""))</f>
        <v/>
      </c>
      <c r="I1481" s="22">
        <f>IF($B1481="","",IF($I1480="",$C$10,$I1480)+IF($G1481="",0,$G1481)-IF($H1481="",0,$H1481))</f>
        <v/>
      </c>
      <c r="L1481">
        <f>IFERROR(MATCH($C$5&amp;"|"&amp;RIGHT("000000"&amp;1465,6),LdgRankKeyA,0),"")</f>
        <v/>
      </c>
      <c r="M1481">
        <f>IFERROR(MATCH($C$5&amp;"|"&amp;RIGHT("000000"&amp;1465,6),LdgRankKeyB,0),"")</f>
        <v/>
      </c>
    </row>
    <row r="1482">
      <c r="A1482" s="23" t="n">
        <v>1466</v>
      </c>
      <c r="B1482" s="24">
        <f>IF(AND($L1482="",$M1482=""),"",IF($L1482&lt;&gt;"",INDEX(SCNormDate,$L1482),INDEX(LdgDateB,$M1482)))</f>
        <v/>
      </c>
      <c r="C1482" s="24">
        <f>IF($L1482&lt;&gt;"",INDEX(SCOp,$L1482),IF($M1482&lt;&gt;"","پرداخت بانکی",""))</f>
        <v/>
      </c>
      <c r="D1482" s="24">
        <f>IF($L1482&lt;&gt;"",IF(INDEX(SCDoc,$L1482)="","—",INDEX(SCDoc,$L1482)),IF($M1482&lt;&gt;"",INDEX(LdgBankB,$M1482),""))</f>
        <v/>
      </c>
      <c r="E1482" s="25">
        <f>IF($L1482&lt;&gt;"",IF(INDEX(SCCitrus,$L1482)&amp;INDEX(SCNotes,$L1482)="","",IF(INDEX(SCCitrus,$L1482)="","",INDEX(SCCitrus,$L1482))&amp;IF(INDEX(SCNotes,$L1482)="",""," — "&amp;INDEX(SCNotes,$L1482))),IF($M1482&lt;&gt;"",IF(INDEX(LdgNoteB,$M1482)="","—",INDEX(LdgNoteB,$M1482)),""))</f>
        <v/>
      </c>
      <c r="F1482" s="26">
        <f>IF($L1482&lt;&gt;"",IF(INDEX(SCNet,$L1482)=0,"",INDEX(SCNet,$L1482)),"")</f>
        <v/>
      </c>
      <c r="G1482" s="27">
        <f>IF($L1482&lt;&gt;"",IF(INDEX(SCOp,$L1482)="مرجوعی فروش","",IF(INDEX(SCAmount,$L1482)&lt;=0,"",INDEX(SCAmount,$L1482))),IF($M1482&lt;&gt;"",IF(INDEX(LdgWitB,$M1482)=0,"",INDEX(LdgWitB,$M1482)),""))</f>
        <v/>
      </c>
      <c r="H1482" s="27">
        <f>IF($L1482&lt;&gt;"",IF(INDEX(SCOp,$L1482)="مرجوعی فروش",IF(INDEX(SCAmount,$L1482)=0,"",-INDEX(SCAmount,$L1482)),""),IF($M1482&lt;&gt;"",IF(INDEX(LdgDepB,$M1482)=0,"",INDEX(LdgDepB,$M1482)),""))</f>
        <v/>
      </c>
      <c r="I1482" s="28">
        <f>IF($B1482="","",IF($I1481="",$C$10,$I1481)+IF($G1482="",0,$G1482)-IF($H1482="",0,$H1482))</f>
        <v/>
      </c>
      <c r="L1482">
        <f>IFERROR(MATCH($C$5&amp;"|"&amp;RIGHT("000000"&amp;1466,6),LdgRankKeyA,0),"")</f>
        <v/>
      </c>
      <c r="M1482">
        <f>IFERROR(MATCH($C$5&amp;"|"&amp;RIGHT("000000"&amp;1466,6),LdgRankKeyB,0),"")</f>
        <v/>
      </c>
    </row>
    <row r="1483">
      <c r="A1483" s="17" t="n">
        <v>1467</v>
      </c>
      <c r="B1483" s="18">
        <f>IF(AND($L1483="",$M1483=""),"",IF($L1483&lt;&gt;"",INDEX(SCNormDate,$L1483),INDEX(LdgDateB,$M1483)))</f>
        <v/>
      </c>
      <c r="C1483" s="18">
        <f>IF($L1483&lt;&gt;"",INDEX(SCOp,$L1483),IF($M1483&lt;&gt;"","پرداخت بانکی",""))</f>
        <v/>
      </c>
      <c r="D1483" s="18">
        <f>IF($L1483&lt;&gt;"",IF(INDEX(SCDoc,$L1483)="","—",INDEX(SCDoc,$L1483)),IF($M1483&lt;&gt;"",INDEX(LdgBankB,$M1483),""))</f>
        <v/>
      </c>
      <c r="E1483" s="19">
        <f>IF($L1483&lt;&gt;"",IF(INDEX(SCCitrus,$L1483)&amp;INDEX(SCNotes,$L1483)="","",IF(INDEX(SCCitrus,$L1483)="","",INDEX(SCCitrus,$L1483))&amp;IF(INDEX(SCNotes,$L1483)="",""," — "&amp;INDEX(SCNotes,$L1483))),IF($M1483&lt;&gt;"",IF(INDEX(LdgNoteB,$M1483)="","—",INDEX(LdgNoteB,$M1483)),""))</f>
        <v/>
      </c>
      <c r="F1483" s="20">
        <f>IF($L1483&lt;&gt;"",IF(INDEX(SCNet,$L1483)=0,"",INDEX(SCNet,$L1483)),"")</f>
        <v/>
      </c>
      <c r="G1483" s="21">
        <f>IF($L1483&lt;&gt;"",IF(INDEX(SCOp,$L1483)="مرجوعی فروش","",IF(INDEX(SCAmount,$L1483)&lt;=0,"",INDEX(SCAmount,$L1483))),IF($M1483&lt;&gt;"",IF(INDEX(LdgWitB,$M1483)=0,"",INDEX(LdgWitB,$M1483)),""))</f>
        <v/>
      </c>
      <c r="H1483" s="21">
        <f>IF($L1483&lt;&gt;"",IF(INDEX(SCOp,$L1483)="مرجوعی فروش",IF(INDEX(SCAmount,$L1483)=0,"",-INDEX(SCAmount,$L1483)),""),IF($M1483&lt;&gt;"",IF(INDEX(LdgDepB,$M1483)=0,"",INDEX(LdgDepB,$M1483)),""))</f>
        <v/>
      </c>
      <c r="I1483" s="22">
        <f>IF($B1483="","",IF($I1482="",$C$10,$I1482)+IF($G1483="",0,$G1483)-IF($H1483="",0,$H1483))</f>
        <v/>
      </c>
      <c r="L1483">
        <f>IFERROR(MATCH($C$5&amp;"|"&amp;RIGHT("000000"&amp;1467,6),LdgRankKeyA,0),"")</f>
        <v/>
      </c>
      <c r="M1483">
        <f>IFERROR(MATCH($C$5&amp;"|"&amp;RIGHT("000000"&amp;1467,6),LdgRankKeyB,0),"")</f>
        <v/>
      </c>
    </row>
    <row r="1484">
      <c r="A1484" s="23" t="n">
        <v>1468</v>
      </c>
      <c r="B1484" s="24">
        <f>IF(AND($L1484="",$M1484=""),"",IF($L1484&lt;&gt;"",INDEX(SCNormDate,$L1484),INDEX(LdgDateB,$M1484)))</f>
        <v/>
      </c>
      <c r="C1484" s="24">
        <f>IF($L1484&lt;&gt;"",INDEX(SCOp,$L1484),IF($M1484&lt;&gt;"","پرداخت بانکی",""))</f>
        <v/>
      </c>
      <c r="D1484" s="24">
        <f>IF($L1484&lt;&gt;"",IF(INDEX(SCDoc,$L1484)="","—",INDEX(SCDoc,$L1484)),IF($M1484&lt;&gt;"",INDEX(LdgBankB,$M1484),""))</f>
        <v/>
      </c>
      <c r="E1484" s="25">
        <f>IF($L1484&lt;&gt;"",IF(INDEX(SCCitrus,$L1484)&amp;INDEX(SCNotes,$L1484)="","",IF(INDEX(SCCitrus,$L1484)="","",INDEX(SCCitrus,$L1484))&amp;IF(INDEX(SCNotes,$L1484)="",""," — "&amp;INDEX(SCNotes,$L1484))),IF($M1484&lt;&gt;"",IF(INDEX(LdgNoteB,$M1484)="","—",INDEX(LdgNoteB,$M1484)),""))</f>
        <v/>
      </c>
      <c r="F1484" s="26">
        <f>IF($L1484&lt;&gt;"",IF(INDEX(SCNet,$L1484)=0,"",INDEX(SCNet,$L1484)),"")</f>
        <v/>
      </c>
      <c r="G1484" s="27">
        <f>IF($L1484&lt;&gt;"",IF(INDEX(SCOp,$L1484)="مرجوعی فروش","",IF(INDEX(SCAmount,$L1484)&lt;=0,"",INDEX(SCAmount,$L1484))),IF($M1484&lt;&gt;"",IF(INDEX(LdgWitB,$M1484)=0,"",INDEX(LdgWitB,$M1484)),""))</f>
        <v/>
      </c>
      <c r="H1484" s="27">
        <f>IF($L1484&lt;&gt;"",IF(INDEX(SCOp,$L1484)="مرجوعی فروش",IF(INDEX(SCAmount,$L1484)=0,"",-INDEX(SCAmount,$L1484)),""),IF($M1484&lt;&gt;"",IF(INDEX(LdgDepB,$M1484)=0,"",INDEX(LdgDepB,$M1484)),""))</f>
        <v/>
      </c>
      <c r="I1484" s="28">
        <f>IF($B1484="","",IF($I1483="",$C$10,$I1483)+IF($G1484="",0,$G1484)-IF($H1484="",0,$H1484))</f>
        <v/>
      </c>
      <c r="L1484">
        <f>IFERROR(MATCH($C$5&amp;"|"&amp;RIGHT("000000"&amp;1468,6),LdgRankKeyA,0),"")</f>
        <v/>
      </c>
      <c r="M1484">
        <f>IFERROR(MATCH($C$5&amp;"|"&amp;RIGHT("000000"&amp;1468,6),LdgRankKeyB,0),"")</f>
        <v/>
      </c>
    </row>
    <row r="1485">
      <c r="A1485" s="17" t="n">
        <v>1469</v>
      </c>
      <c r="B1485" s="18">
        <f>IF(AND($L1485="",$M1485=""),"",IF($L1485&lt;&gt;"",INDEX(SCNormDate,$L1485),INDEX(LdgDateB,$M1485)))</f>
        <v/>
      </c>
      <c r="C1485" s="18">
        <f>IF($L1485&lt;&gt;"",INDEX(SCOp,$L1485),IF($M1485&lt;&gt;"","پرداخت بانکی",""))</f>
        <v/>
      </c>
      <c r="D1485" s="18">
        <f>IF($L1485&lt;&gt;"",IF(INDEX(SCDoc,$L1485)="","—",INDEX(SCDoc,$L1485)),IF($M1485&lt;&gt;"",INDEX(LdgBankB,$M1485),""))</f>
        <v/>
      </c>
      <c r="E1485" s="19">
        <f>IF($L1485&lt;&gt;"",IF(INDEX(SCCitrus,$L1485)&amp;INDEX(SCNotes,$L1485)="","",IF(INDEX(SCCitrus,$L1485)="","",INDEX(SCCitrus,$L1485))&amp;IF(INDEX(SCNotes,$L1485)="",""," — "&amp;INDEX(SCNotes,$L1485))),IF($M1485&lt;&gt;"",IF(INDEX(LdgNoteB,$M1485)="","—",INDEX(LdgNoteB,$M1485)),""))</f>
        <v/>
      </c>
      <c r="F1485" s="20">
        <f>IF($L1485&lt;&gt;"",IF(INDEX(SCNet,$L1485)=0,"",INDEX(SCNet,$L1485)),"")</f>
        <v/>
      </c>
      <c r="G1485" s="21">
        <f>IF($L1485&lt;&gt;"",IF(INDEX(SCOp,$L1485)="مرجوعی فروش","",IF(INDEX(SCAmount,$L1485)&lt;=0,"",INDEX(SCAmount,$L1485))),IF($M1485&lt;&gt;"",IF(INDEX(LdgWitB,$M1485)=0,"",INDEX(LdgWitB,$M1485)),""))</f>
        <v/>
      </c>
      <c r="H1485" s="21">
        <f>IF($L1485&lt;&gt;"",IF(INDEX(SCOp,$L1485)="مرجوعی فروش",IF(INDEX(SCAmount,$L1485)=0,"",-INDEX(SCAmount,$L1485)),""),IF($M1485&lt;&gt;"",IF(INDEX(LdgDepB,$M1485)=0,"",INDEX(LdgDepB,$M1485)),""))</f>
        <v/>
      </c>
      <c r="I1485" s="22">
        <f>IF($B1485="","",IF($I1484="",$C$10,$I1484)+IF($G1485="",0,$G1485)-IF($H1485="",0,$H1485))</f>
        <v/>
      </c>
      <c r="L1485">
        <f>IFERROR(MATCH($C$5&amp;"|"&amp;RIGHT("000000"&amp;1469,6),LdgRankKeyA,0),"")</f>
        <v/>
      </c>
      <c r="M1485">
        <f>IFERROR(MATCH($C$5&amp;"|"&amp;RIGHT("000000"&amp;1469,6),LdgRankKeyB,0),"")</f>
        <v/>
      </c>
    </row>
    <row r="1486">
      <c r="A1486" s="23" t="n">
        <v>1470</v>
      </c>
      <c r="B1486" s="24">
        <f>IF(AND($L1486="",$M1486=""),"",IF($L1486&lt;&gt;"",INDEX(SCNormDate,$L1486),INDEX(LdgDateB,$M1486)))</f>
        <v/>
      </c>
      <c r="C1486" s="24">
        <f>IF($L1486&lt;&gt;"",INDEX(SCOp,$L1486),IF($M1486&lt;&gt;"","پرداخت بانکی",""))</f>
        <v/>
      </c>
      <c r="D1486" s="24">
        <f>IF($L1486&lt;&gt;"",IF(INDEX(SCDoc,$L1486)="","—",INDEX(SCDoc,$L1486)),IF($M1486&lt;&gt;"",INDEX(LdgBankB,$M1486),""))</f>
        <v/>
      </c>
      <c r="E1486" s="25">
        <f>IF($L1486&lt;&gt;"",IF(INDEX(SCCitrus,$L1486)&amp;INDEX(SCNotes,$L1486)="","",IF(INDEX(SCCitrus,$L1486)="","",INDEX(SCCitrus,$L1486))&amp;IF(INDEX(SCNotes,$L1486)="",""," — "&amp;INDEX(SCNotes,$L1486))),IF($M1486&lt;&gt;"",IF(INDEX(LdgNoteB,$M1486)="","—",INDEX(LdgNoteB,$M1486)),""))</f>
        <v/>
      </c>
      <c r="F1486" s="26">
        <f>IF($L1486&lt;&gt;"",IF(INDEX(SCNet,$L1486)=0,"",INDEX(SCNet,$L1486)),"")</f>
        <v/>
      </c>
      <c r="G1486" s="27">
        <f>IF($L1486&lt;&gt;"",IF(INDEX(SCOp,$L1486)="مرجوعی فروش","",IF(INDEX(SCAmount,$L1486)&lt;=0,"",INDEX(SCAmount,$L1486))),IF($M1486&lt;&gt;"",IF(INDEX(LdgWitB,$M1486)=0,"",INDEX(LdgWitB,$M1486)),""))</f>
        <v/>
      </c>
      <c r="H1486" s="27">
        <f>IF($L1486&lt;&gt;"",IF(INDEX(SCOp,$L1486)="مرجوعی فروش",IF(INDEX(SCAmount,$L1486)=0,"",-INDEX(SCAmount,$L1486)),""),IF($M1486&lt;&gt;"",IF(INDEX(LdgDepB,$M1486)=0,"",INDEX(LdgDepB,$M1486)),""))</f>
        <v/>
      </c>
      <c r="I1486" s="28">
        <f>IF($B1486="","",IF($I1485="",$C$10,$I1485)+IF($G1486="",0,$G1486)-IF($H1486="",0,$H1486))</f>
        <v/>
      </c>
      <c r="L1486">
        <f>IFERROR(MATCH($C$5&amp;"|"&amp;RIGHT("000000"&amp;1470,6),LdgRankKeyA,0),"")</f>
        <v/>
      </c>
      <c r="M1486">
        <f>IFERROR(MATCH($C$5&amp;"|"&amp;RIGHT("000000"&amp;1470,6),LdgRankKeyB,0),"")</f>
        <v/>
      </c>
    </row>
    <row r="1487">
      <c r="A1487" s="17" t="n">
        <v>1471</v>
      </c>
      <c r="B1487" s="18">
        <f>IF(AND($L1487="",$M1487=""),"",IF($L1487&lt;&gt;"",INDEX(SCNormDate,$L1487),INDEX(LdgDateB,$M1487)))</f>
        <v/>
      </c>
      <c r="C1487" s="18">
        <f>IF($L1487&lt;&gt;"",INDEX(SCOp,$L1487),IF($M1487&lt;&gt;"","پرداخت بانکی",""))</f>
        <v/>
      </c>
      <c r="D1487" s="18">
        <f>IF($L1487&lt;&gt;"",IF(INDEX(SCDoc,$L1487)="","—",INDEX(SCDoc,$L1487)),IF($M1487&lt;&gt;"",INDEX(LdgBankB,$M1487),""))</f>
        <v/>
      </c>
      <c r="E1487" s="19">
        <f>IF($L1487&lt;&gt;"",IF(INDEX(SCCitrus,$L1487)&amp;INDEX(SCNotes,$L1487)="","",IF(INDEX(SCCitrus,$L1487)="","",INDEX(SCCitrus,$L1487))&amp;IF(INDEX(SCNotes,$L1487)="",""," — "&amp;INDEX(SCNotes,$L1487))),IF($M1487&lt;&gt;"",IF(INDEX(LdgNoteB,$M1487)="","—",INDEX(LdgNoteB,$M1487)),""))</f>
        <v/>
      </c>
      <c r="F1487" s="20">
        <f>IF($L1487&lt;&gt;"",IF(INDEX(SCNet,$L1487)=0,"",INDEX(SCNet,$L1487)),"")</f>
        <v/>
      </c>
      <c r="G1487" s="21">
        <f>IF($L1487&lt;&gt;"",IF(INDEX(SCOp,$L1487)="مرجوعی فروش","",IF(INDEX(SCAmount,$L1487)&lt;=0,"",INDEX(SCAmount,$L1487))),IF($M1487&lt;&gt;"",IF(INDEX(LdgWitB,$M1487)=0,"",INDEX(LdgWitB,$M1487)),""))</f>
        <v/>
      </c>
      <c r="H1487" s="21">
        <f>IF($L1487&lt;&gt;"",IF(INDEX(SCOp,$L1487)="مرجوعی فروش",IF(INDEX(SCAmount,$L1487)=0,"",-INDEX(SCAmount,$L1487)),""),IF($M1487&lt;&gt;"",IF(INDEX(LdgDepB,$M1487)=0,"",INDEX(LdgDepB,$M1487)),""))</f>
        <v/>
      </c>
      <c r="I1487" s="22">
        <f>IF($B1487="","",IF($I1486="",$C$10,$I1486)+IF($G1487="",0,$G1487)-IF($H1487="",0,$H1487))</f>
        <v/>
      </c>
      <c r="L1487">
        <f>IFERROR(MATCH($C$5&amp;"|"&amp;RIGHT("000000"&amp;1471,6),LdgRankKeyA,0),"")</f>
        <v/>
      </c>
      <c r="M1487">
        <f>IFERROR(MATCH($C$5&amp;"|"&amp;RIGHT("000000"&amp;1471,6),LdgRankKeyB,0),"")</f>
        <v/>
      </c>
    </row>
    <row r="1488">
      <c r="A1488" s="23" t="n">
        <v>1472</v>
      </c>
      <c r="B1488" s="24">
        <f>IF(AND($L1488="",$M1488=""),"",IF($L1488&lt;&gt;"",INDEX(SCNormDate,$L1488),INDEX(LdgDateB,$M1488)))</f>
        <v/>
      </c>
      <c r="C1488" s="24">
        <f>IF($L1488&lt;&gt;"",INDEX(SCOp,$L1488),IF($M1488&lt;&gt;"","پرداخت بانکی",""))</f>
        <v/>
      </c>
      <c r="D1488" s="24">
        <f>IF($L1488&lt;&gt;"",IF(INDEX(SCDoc,$L1488)="","—",INDEX(SCDoc,$L1488)),IF($M1488&lt;&gt;"",INDEX(LdgBankB,$M1488),""))</f>
        <v/>
      </c>
      <c r="E1488" s="25">
        <f>IF($L1488&lt;&gt;"",IF(INDEX(SCCitrus,$L1488)&amp;INDEX(SCNotes,$L1488)="","",IF(INDEX(SCCitrus,$L1488)="","",INDEX(SCCitrus,$L1488))&amp;IF(INDEX(SCNotes,$L1488)="",""," — "&amp;INDEX(SCNotes,$L1488))),IF($M1488&lt;&gt;"",IF(INDEX(LdgNoteB,$M1488)="","—",INDEX(LdgNoteB,$M1488)),""))</f>
        <v/>
      </c>
      <c r="F1488" s="26">
        <f>IF($L1488&lt;&gt;"",IF(INDEX(SCNet,$L1488)=0,"",INDEX(SCNet,$L1488)),"")</f>
        <v/>
      </c>
      <c r="G1488" s="27">
        <f>IF($L1488&lt;&gt;"",IF(INDEX(SCOp,$L1488)="مرجوعی فروش","",IF(INDEX(SCAmount,$L1488)&lt;=0,"",INDEX(SCAmount,$L1488))),IF($M1488&lt;&gt;"",IF(INDEX(LdgWitB,$M1488)=0,"",INDEX(LdgWitB,$M1488)),""))</f>
        <v/>
      </c>
      <c r="H1488" s="27">
        <f>IF($L1488&lt;&gt;"",IF(INDEX(SCOp,$L1488)="مرجوعی فروش",IF(INDEX(SCAmount,$L1488)=0,"",-INDEX(SCAmount,$L1488)),""),IF($M1488&lt;&gt;"",IF(INDEX(LdgDepB,$M1488)=0,"",INDEX(LdgDepB,$M1488)),""))</f>
        <v/>
      </c>
      <c r="I1488" s="28">
        <f>IF($B1488="","",IF($I1487="",$C$10,$I1487)+IF($G1488="",0,$G1488)-IF($H1488="",0,$H1488))</f>
        <v/>
      </c>
      <c r="L1488">
        <f>IFERROR(MATCH($C$5&amp;"|"&amp;RIGHT("000000"&amp;1472,6),LdgRankKeyA,0),"")</f>
        <v/>
      </c>
      <c r="M1488">
        <f>IFERROR(MATCH($C$5&amp;"|"&amp;RIGHT("000000"&amp;1472,6),LdgRankKeyB,0),"")</f>
        <v/>
      </c>
    </row>
    <row r="1489">
      <c r="A1489" s="17" t="n">
        <v>1473</v>
      </c>
      <c r="B1489" s="18">
        <f>IF(AND($L1489="",$M1489=""),"",IF($L1489&lt;&gt;"",INDEX(SCNormDate,$L1489),INDEX(LdgDateB,$M1489)))</f>
        <v/>
      </c>
      <c r="C1489" s="18">
        <f>IF($L1489&lt;&gt;"",INDEX(SCOp,$L1489),IF($M1489&lt;&gt;"","پرداخت بانکی",""))</f>
        <v/>
      </c>
      <c r="D1489" s="18">
        <f>IF($L1489&lt;&gt;"",IF(INDEX(SCDoc,$L1489)="","—",INDEX(SCDoc,$L1489)),IF($M1489&lt;&gt;"",INDEX(LdgBankB,$M1489),""))</f>
        <v/>
      </c>
      <c r="E1489" s="19">
        <f>IF($L1489&lt;&gt;"",IF(INDEX(SCCitrus,$L1489)&amp;INDEX(SCNotes,$L1489)="","",IF(INDEX(SCCitrus,$L1489)="","",INDEX(SCCitrus,$L1489))&amp;IF(INDEX(SCNotes,$L1489)="",""," — "&amp;INDEX(SCNotes,$L1489))),IF($M1489&lt;&gt;"",IF(INDEX(LdgNoteB,$M1489)="","—",INDEX(LdgNoteB,$M1489)),""))</f>
        <v/>
      </c>
      <c r="F1489" s="20">
        <f>IF($L1489&lt;&gt;"",IF(INDEX(SCNet,$L1489)=0,"",INDEX(SCNet,$L1489)),"")</f>
        <v/>
      </c>
      <c r="G1489" s="21">
        <f>IF($L1489&lt;&gt;"",IF(INDEX(SCOp,$L1489)="مرجوعی فروش","",IF(INDEX(SCAmount,$L1489)&lt;=0,"",INDEX(SCAmount,$L1489))),IF($M1489&lt;&gt;"",IF(INDEX(LdgWitB,$M1489)=0,"",INDEX(LdgWitB,$M1489)),""))</f>
        <v/>
      </c>
      <c r="H1489" s="21">
        <f>IF($L1489&lt;&gt;"",IF(INDEX(SCOp,$L1489)="مرجوعی فروش",IF(INDEX(SCAmount,$L1489)=0,"",-INDEX(SCAmount,$L1489)),""),IF($M1489&lt;&gt;"",IF(INDEX(LdgDepB,$M1489)=0,"",INDEX(LdgDepB,$M1489)),""))</f>
        <v/>
      </c>
      <c r="I1489" s="22">
        <f>IF($B1489="","",IF($I1488="",$C$10,$I1488)+IF($G1489="",0,$G1489)-IF($H1489="",0,$H1489))</f>
        <v/>
      </c>
      <c r="L1489">
        <f>IFERROR(MATCH($C$5&amp;"|"&amp;RIGHT("000000"&amp;1473,6),LdgRankKeyA,0),"")</f>
        <v/>
      </c>
      <c r="M1489">
        <f>IFERROR(MATCH($C$5&amp;"|"&amp;RIGHT("000000"&amp;1473,6),LdgRankKeyB,0),"")</f>
        <v/>
      </c>
    </row>
    <row r="1490">
      <c r="A1490" s="23" t="n">
        <v>1474</v>
      </c>
      <c r="B1490" s="24">
        <f>IF(AND($L1490="",$M1490=""),"",IF($L1490&lt;&gt;"",INDEX(SCNormDate,$L1490),INDEX(LdgDateB,$M1490)))</f>
        <v/>
      </c>
      <c r="C1490" s="24">
        <f>IF($L1490&lt;&gt;"",INDEX(SCOp,$L1490),IF($M1490&lt;&gt;"","پرداخت بانکی",""))</f>
        <v/>
      </c>
      <c r="D1490" s="24">
        <f>IF($L1490&lt;&gt;"",IF(INDEX(SCDoc,$L1490)="","—",INDEX(SCDoc,$L1490)),IF($M1490&lt;&gt;"",INDEX(LdgBankB,$M1490),""))</f>
        <v/>
      </c>
      <c r="E1490" s="25">
        <f>IF($L1490&lt;&gt;"",IF(INDEX(SCCitrus,$L1490)&amp;INDEX(SCNotes,$L1490)="","",IF(INDEX(SCCitrus,$L1490)="","",INDEX(SCCitrus,$L1490))&amp;IF(INDEX(SCNotes,$L1490)="",""," — "&amp;INDEX(SCNotes,$L1490))),IF($M1490&lt;&gt;"",IF(INDEX(LdgNoteB,$M1490)="","—",INDEX(LdgNoteB,$M1490)),""))</f>
        <v/>
      </c>
      <c r="F1490" s="26">
        <f>IF($L1490&lt;&gt;"",IF(INDEX(SCNet,$L1490)=0,"",INDEX(SCNet,$L1490)),"")</f>
        <v/>
      </c>
      <c r="G1490" s="27">
        <f>IF($L1490&lt;&gt;"",IF(INDEX(SCOp,$L1490)="مرجوعی فروش","",IF(INDEX(SCAmount,$L1490)&lt;=0,"",INDEX(SCAmount,$L1490))),IF($M1490&lt;&gt;"",IF(INDEX(LdgWitB,$M1490)=0,"",INDEX(LdgWitB,$M1490)),""))</f>
        <v/>
      </c>
      <c r="H1490" s="27">
        <f>IF($L1490&lt;&gt;"",IF(INDEX(SCOp,$L1490)="مرجوعی فروش",IF(INDEX(SCAmount,$L1490)=0,"",-INDEX(SCAmount,$L1490)),""),IF($M1490&lt;&gt;"",IF(INDEX(LdgDepB,$M1490)=0,"",INDEX(LdgDepB,$M1490)),""))</f>
        <v/>
      </c>
      <c r="I1490" s="28">
        <f>IF($B1490="","",IF($I1489="",$C$10,$I1489)+IF($G1490="",0,$G1490)-IF($H1490="",0,$H1490))</f>
        <v/>
      </c>
      <c r="L1490">
        <f>IFERROR(MATCH($C$5&amp;"|"&amp;RIGHT("000000"&amp;1474,6),LdgRankKeyA,0),"")</f>
        <v/>
      </c>
      <c r="M1490">
        <f>IFERROR(MATCH($C$5&amp;"|"&amp;RIGHT("000000"&amp;1474,6),LdgRankKeyB,0),"")</f>
        <v/>
      </c>
    </row>
    <row r="1491">
      <c r="A1491" s="17" t="n">
        <v>1475</v>
      </c>
      <c r="B1491" s="18">
        <f>IF(AND($L1491="",$M1491=""),"",IF($L1491&lt;&gt;"",INDEX(SCNormDate,$L1491),INDEX(LdgDateB,$M1491)))</f>
        <v/>
      </c>
      <c r="C1491" s="18">
        <f>IF($L1491&lt;&gt;"",INDEX(SCOp,$L1491),IF($M1491&lt;&gt;"","پرداخت بانکی",""))</f>
        <v/>
      </c>
      <c r="D1491" s="18">
        <f>IF($L1491&lt;&gt;"",IF(INDEX(SCDoc,$L1491)="","—",INDEX(SCDoc,$L1491)),IF($M1491&lt;&gt;"",INDEX(LdgBankB,$M1491),""))</f>
        <v/>
      </c>
      <c r="E1491" s="19">
        <f>IF($L1491&lt;&gt;"",IF(INDEX(SCCitrus,$L1491)&amp;INDEX(SCNotes,$L1491)="","",IF(INDEX(SCCitrus,$L1491)="","",INDEX(SCCitrus,$L1491))&amp;IF(INDEX(SCNotes,$L1491)="",""," — "&amp;INDEX(SCNotes,$L1491))),IF($M1491&lt;&gt;"",IF(INDEX(LdgNoteB,$M1491)="","—",INDEX(LdgNoteB,$M1491)),""))</f>
        <v/>
      </c>
      <c r="F1491" s="20">
        <f>IF($L1491&lt;&gt;"",IF(INDEX(SCNet,$L1491)=0,"",INDEX(SCNet,$L1491)),"")</f>
        <v/>
      </c>
      <c r="G1491" s="21">
        <f>IF($L1491&lt;&gt;"",IF(INDEX(SCOp,$L1491)="مرجوعی فروش","",IF(INDEX(SCAmount,$L1491)&lt;=0,"",INDEX(SCAmount,$L1491))),IF($M1491&lt;&gt;"",IF(INDEX(LdgWitB,$M1491)=0,"",INDEX(LdgWitB,$M1491)),""))</f>
        <v/>
      </c>
      <c r="H1491" s="21">
        <f>IF($L1491&lt;&gt;"",IF(INDEX(SCOp,$L1491)="مرجوعی فروش",IF(INDEX(SCAmount,$L1491)=0,"",-INDEX(SCAmount,$L1491)),""),IF($M1491&lt;&gt;"",IF(INDEX(LdgDepB,$M1491)=0,"",INDEX(LdgDepB,$M1491)),""))</f>
        <v/>
      </c>
      <c r="I1491" s="22">
        <f>IF($B1491="","",IF($I1490="",$C$10,$I1490)+IF($G1491="",0,$G1491)-IF($H1491="",0,$H1491))</f>
        <v/>
      </c>
      <c r="L1491">
        <f>IFERROR(MATCH($C$5&amp;"|"&amp;RIGHT("000000"&amp;1475,6),LdgRankKeyA,0),"")</f>
        <v/>
      </c>
      <c r="M1491">
        <f>IFERROR(MATCH($C$5&amp;"|"&amp;RIGHT("000000"&amp;1475,6),LdgRankKeyB,0),"")</f>
        <v/>
      </c>
    </row>
    <row r="1492">
      <c r="A1492" s="23" t="n">
        <v>1476</v>
      </c>
      <c r="B1492" s="24">
        <f>IF(AND($L1492="",$M1492=""),"",IF($L1492&lt;&gt;"",INDEX(SCNormDate,$L1492),INDEX(LdgDateB,$M1492)))</f>
        <v/>
      </c>
      <c r="C1492" s="24">
        <f>IF($L1492&lt;&gt;"",INDEX(SCOp,$L1492),IF($M1492&lt;&gt;"","پرداخت بانکی",""))</f>
        <v/>
      </c>
      <c r="D1492" s="24">
        <f>IF($L1492&lt;&gt;"",IF(INDEX(SCDoc,$L1492)="","—",INDEX(SCDoc,$L1492)),IF($M1492&lt;&gt;"",INDEX(LdgBankB,$M1492),""))</f>
        <v/>
      </c>
      <c r="E1492" s="25">
        <f>IF($L1492&lt;&gt;"",IF(INDEX(SCCitrus,$L1492)&amp;INDEX(SCNotes,$L1492)="","",IF(INDEX(SCCitrus,$L1492)="","",INDEX(SCCitrus,$L1492))&amp;IF(INDEX(SCNotes,$L1492)="",""," — "&amp;INDEX(SCNotes,$L1492))),IF($M1492&lt;&gt;"",IF(INDEX(LdgNoteB,$M1492)="","—",INDEX(LdgNoteB,$M1492)),""))</f>
        <v/>
      </c>
      <c r="F1492" s="26">
        <f>IF($L1492&lt;&gt;"",IF(INDEX(SCNet,$L1492)=0,"",INDEX(SCNet,$L1492)),"")</f>
        <v/>
      </c>
      <c r="G1492" s="27">
        <f>IF($L1492&lt;&gt;"",IF(INDEX(SCOp,$L1492)="مرجوعی فروش","",IF(INDEX(SCAmount,$L1492)&lt;=0,"",INDEX(SCAmount,$L1492))),IF($M1492&lt;&gt;"",IF(INDEX(LdgWitB,$M1492)=0,"",INDEX(LdgWitB,$M1492)),""))</f>
        <v/>
      </c>
      <c r="H1492" s="27">
        <f>IF($L1492&lt;&gt;"",IF(INDEX(SCOp,$L1492)="مرجوعی فروش",IF(INDEX(SCAmount,$L1492)=0,"",-INDEX(SCAmount,$L1492)),""),IF($M1492&lt;&gt;"",IF(INDEX(LdgDepB,$M1492)=0,"",INDEX(LdgDepB,$M1492)),""))</f>
        <v/>
      </c>
      <c r="I1492" s="28">
        <f>IF($B1492="","",IF($I1491="",$C$10,$I1491)+IF($G1492="",0,$G1492)-IF($H1492="",0,$H1492))</f>
        <v/>
      </c>
      <c r="L1492">
        <f>IFERROR(MATCH($C$5&amp;"|"&amp;RIGHT("000000"&amp;1476,6),LdgRankKeyA,0),"")</f>
        <v/>
      </c>
      <c r="M1492">
        <f>IFERROR(MATCH($C$5&amp;"|"&amp;RIGHT("000000"&amp;1476,6),LdgRankKeyB,0),"")</f>
        <v/>
      </c>
    </row>
    <row r="1493">
      <c r="A1493" s="17" t="n">
        <v>1477</v>
      </c>
      <c r="B1493" s="18">
        <f>IF(AND($L1493="",$M1493=""),"",IF($L1493&lt;&gt;"",INDEX(SCNormDate,$L1493),INDEX(LdgDateB,$M1493)))</f>
        <v/>
      </c>
      <c r="C1493" s="18">
        <f>IF($L1493&lt;&gt;"",INDEX(SCOp,$L1493),IF($M1493&lt;&gt;"","پرداخت بانکی",""))</f>
        <v/>
      </c>
      <c r="D1493" s="18">
        <f>IF($L1493&lt;&gt;"",IF(INDEX(SCDoc,$L1493)="","—",INDEX(SCDoc,$L1493)),IF($M1493&lt;&gt;"",INDEX(LdgBankB,$M1493),""))</f>
        <v/>
      </c>
      <c r="E1493" s="19">
        <f>IF($L1493&lt;&gt;"",IF(INDEX(SCCitrus,$L1493)&amp;INDEX(SCNotes,$L1493)="","",IF(INDEX(SCCitrus,$L1493)="","",INDEX(SCCitrus,$L1493))&amp;IF(INDEX(SCNotes,$L1493)="",""," — "&amp;INDEX(SCNotes,$L1493))),IF($M1493&lt;&gt;"",IF(INDEX(LdgNoteB,$M1493)="","—",INDEX(LdgNoteB,$M1493)),""))</f>
        <v/>
      </c>
      <c r="F1493" s="20">
        <f>IF($L1493&lt;&gt;"",IF(INDEX(SCNet,$L1493)=0,"",INDEX(SCNet,$L1493)),"")</f>
        <v/>
      </c>
      <c r="G1493" s="21">
        <f>IF($L1493&lt;&gt;"",IF(INDEX(SCOp,$L1493)="مرجوعی فروش","",IF(INDEX(SCAmount,$L1493)&lt;=0,"",INDEX(SCAmount,$L1493))),IF($M1493&lt;&gt;"",IF(INDEX(LdgWitB,$M1493)=0,"",INDEX(LdgWitB,$M1493)),""))</f>
        <v/>
      </c>
      <c r="H1493" s="21">
        <f>IF($L1493&lt;&gt;"",IF(INDEX(SCOp,$L1493)="مرجوعی فروش",IF(INDEX(SCAmount,$L1493)=0,"",-INDEX(SCAmount,$L1493)),""),IF($M1493&lt;&gt;"",IF(INDEX(LdgDepB,$M1493)=0,"",INDEX(LdgDepB,$M1493)),""))</f>
        <v/>
      </c>
      <c r="I1493" s="22">
        <f>IF($B1493="","",IF($I1492="",$C$10,$I1492)+IF($G1493="",0,$G1493)-IF($H1493="",0,$H1493))</f>
        <v/>
      </c>
      <c r="L1493">
        <f>IFERROR(MATCH($C$5&amp;"|"&amp;RIGHT("000000"&amp;1477,6),LdgRankKeyA,0),"")</f>
        <v/>
      </c>
      <c r="M1493">
        <f>IFERROR(MATCH($C$5&amp;"|"&amp;RIGHT("000000"&amp;1477,6),LdgRankKeyB,0),"")</f>
        <v/>
      </c>
    </row>
    <row r="1494">
      <c r="A1494" s="23" t="n">
        <v>1478</v>
      </c>
      <c r="B1494" s="24">
        <f>IF(AND($L1494="",$M1494=""),"",IF($L1494&lt;&gt;"",INDEX(SCNormDate,$L1494),INDEX(LdgDateB,$M1494)))</f>
        <v/>
      </c>
      <c r="C1494" s="24">
        <f>IF($L1494&lt;&gt;"",INDEX(SCOp,$L1494),IF($M1494&lt;&gt;"","پرداخت بانکی",""))</f>
        <v/>
      </c>
      <c r="D1494" s="24">
        <f>IF($L1494&lt;&gt;"",IF(INDEX(SCDoc,$L1494)="","—",INDEX(SCDoc,$L1494)),IF($M1494&lt;&gt;"",INDEX(LdgBankB,$M1494),""))</f>
        <v/>
      </c>
      <c r="E1494" s="25">
        <f>IF($L1494&lt;&gt;"",IF(INDEX(SCCitrus,$L1494)&amp;INDEX(SCNotes,$L1494)="","",IF(INDEX(SCCitrus,$L1494)="","",INDEX(SCCitrus,$L1494))&amp;IF(INDEX(SCNotes,$L1494)="",""," — "&amp;INDEX(SCNotes,$L1494))),IF($M1494&lt;&gt;"",IF(INDEX(LdgNoteB,$M1494)="","—",INDEX(LdgNoteB,$M1494)),""))</f>
        <v/>
      </c>
      <c r="F1494" s="26">
        <f>IF($L1494&lt;&gt;"",IF(INDEX(SCNet,$L1494)=0,"",INDEX(SCNet,$L1494)),"")</f>
        <v/>
      </c>
      <c r="G1494" s="27">
        <f>IF($L1494&lt;&gt;"",IF(INDEX(SCOp,$L1494)="مرجوعی فروش","",IF(INDEX(SCAmount,$L1494)&lt;=0,"",INDEX(SCAmount,$L1494))),IF($M1494&lt;&gt;"",IF(INDEX(LdgWitB,$M1494)=0,"",INDEX(LdgWitB,$M1494)),""))</f>
        <v/>
      </c>
      <c r="H1494" s="27">
        <f>IF($L1494&lt;&gt;"",IF(INDEX(SCOp,$L1494)="مرجوعی فروش",IF(INDEX(SCAmount,$L1494)=0,"",-INDEX(SCAmount,$L1494)),""),IF($M1494&lt;&gt;"",IF(INDEX(LdgDepB,$M1494)=0,"",INDEX(LdgDepB,$M1494)),""))</f>
        <v/>
      </c>
      <c r="I1494" s="28">
        <f>IF($B1494="","",IF($I1493="",$C$10,$I1493)+IF($G1494="",0,$G1494)-IF($H1494="",0,$H1494))</f>
        <v/>
      </c>
      <c r="L1494">
        <f>IFERROR(MATCH($C$5&amp;"|"&amp;RIGHT("000000"&amp;1478,6),LdgRankKeyA,0),"")</f>
        <v/>
      </c>
      <c r="M1494">
        <f>IFERROR(MATCH($C$5&amp;"|"&amp;RIGHT("000000"&amp;1478,6),LdgRankKeyB,0),"")</f>
        <v/>
      </c>
    </row>
    <row r="1495">
      <c r="A1495" s="17" t="n">
        <v>1479</v>
      </c>
      <c r="B1495" s="18">
        <f>IF(AND($L1495="",$M1495=""),"",IF($L1495&lt;&gt;"",INDEX(SCNormDate,$L1495),INDEX(LdgDateB,$M1495)))</f>
        <v/>
      </c>
      <c r="C1495" s="18">
        <f>IF($L1495&lt;&gt;"",INDEX(SCOp,$L1495),IF($M1495&lt;&gt;"","پرداخت بانکی",""))</f>
        <v/>
      </c>
      <c r="D1495" s="18">
        <f>IF($L1495&lt;&gt;"",IF(INDEX(SCDoc,$L1495)="","—",INDEX(SCDoc,$L1495)),IF($M1495&lt;&gt;"",INDEX(LdgBankB,$M1495),""))</f>
        <v/>
      </c>
      <c r="E1495" s="19">
        <f>IF($L1495&lt;&gt;"",IF(INDEX(SCCitrus,$L1495)&amp;INDEX(SCNotes,$L1495)="","",IF(INDEX(SCCitrus,$L1495)="","",INDEX(SCCitrus,$L1495))&amp;IF(INDEX(SCNotes,$L1495)="",""," — "&amp;INDEX(SCNotes,$L1495))),IF($M1495&lt;&gt;"",IF(INDEX(LdgNoteB,$M1495)="","—",INDEX(LdgNoteB,$M1495)),""))</f>
        <v/>
      </c>
      <c r="F1495" s="20">
        <f>IF($L1495&lt;&gt;"",IF(INDEX(SCNet,$L1495)=0,"",INDEX(SCNet,$L1495)),"")</f>
        <v/>
      </c>
      <c r="G1495" s="21">
        <f>IF($L1495&lt;&gt;"",IF(INDEX(SCOp,$L1495)="مرجوعی فروش","",IF(INDEX(SCAmount,$L1495)&lt;=0,"",INDEX(SCAmount,$L1495))),IF($M1495&lt;&gt;"",IF(INDEX(LdgWitB,$M1495)=0,"",INDEX(LdgWitB,$M1495)),""))</f>
        <v/>
      </c>
      <c r="H1495" s="21">
        <f>IF($L1495&lt;&gt;"",IF(INDEX(SCOp,$L1495)="مرجوعی فروش",IF(INDEX(SCAmount,$L1495)=0,"",-INDEX(SCAmount,$L1495)),""),IF($M1495&lt;&gt;"",IF(INDEX(LdgDepB,$M1495)=0,"",INDEX(LdgDepB,$M1495)),""))</f>
        <v/>
      </c>
      <c r="I1495" s="22">
        <f>IF($B1495="","",IF($I1494="",$C$10,$I1494)+IF($G1495="",0,$G1495)-IF($H1495="",0,$H1495))</f>
        <v/>
      </c>
      <c r="L1495">
        <f>IFERROR(MATCH($C$5&amp;"|"&amp;RIGHT("000000"&amp;1479,6),LdgRankKeyA,0),"")</f>
        <v/>
      </c>
      <c r="M1495">
        <f>IFERROR(MATCH($C$5&amp;"|"&amp;RIGHT("000000"&amp;1479,6),LdgRankKeyB,0),"")</f>
        <v/>
      </c>
    </row>
    <row r="1496">
      <c r="A1496" s="23" t="n">
        <v>1480</v>
      </c>
      <c r="B1496" s="24">
        <f>IF(AND($L1496="",$M1496=""),"",IF($L1496&lt;&gt;"",INDEX(SCNormDate,$L1496),INDEX(LdgDateB,$M1496)))</f>
        <v/>
      </c>
      <c r="C1496" s="24">
        <f>IF($L1496&lt;&gt;"",INDEX(SCOp,$L1496),IF($M1496&lt;&gt;"","پرداخت بانکی",""))</f>
        <v/>
      </c>
      <c r="D1496" s="24">
        <f>IF($L1496&lt;&gt;"",IF(INDEX(SCDoc,$L1496)="","—",INDEX(SCDoc,$L1496)),IF($M1496&lt;&gt;"",INDEX(LdgBankB,$M1496),""))</f>
        <v/>
      </c>
      <c r="E1496" s="25">
        <f>IF($L1496&lt;&gt;"",IF(INDEX(SCCitrus,$L1496)&amp;INDEX(SCNotes,$L1496)="","",IF(INDEX(SCCitrus,$L1496)="","",INDEX(SCCitrus,$L1496))&amp;IF(INDEX(SCNotes,$L1496)="",""," — "&amp;INDEX(SCNotes,$L1496))),IF($M1496&lt;&gt;"",IF(INDEX(LdgNoteB,$M1496)="","—",INDEX(LdgNoteB,$M1496)),""))</f>
        <v/>
      </c>
      <c r="F1496" s="26">
        <f>IF($L1496&lt;&gt;"",IF(INDEX(SCNet,$L1496)=0,"",INDEX(SCNet,$L1496)),"")</f>
        <v/>
      </c>
      <c r="G1496" s="27">
        <f>IF($L1496&lt;&gt;"",IF(INDEX(SCOp,$L1496)="مرجوعی فروش","",IF(INDEX(SCAmount,$L1496)&lt;=0,"",INDEX(SCAmount,$L1496))),IF($M1496&lt;&gt;"",IF(INDEX(LdgWitB,$M1496)=0,"",INDEX(LdgWitB,$M1496)),""))</f>
        <v/>
      </c>
      <c r="H1496" s="27">
        <f>IF($L1496&lt;&gt;"",IF(INDEX(SCOp,$L1496)="مرجوعی فروش",IF(INDEX(SCAmount,$L1496)=0,"",-INDEX(SCAmount,$L1496)),""),IF($M1496&lt;&gt;"",IF(INDEX(LdgDepB,$M1496)=0,"",INDEX(LdgDepB,$M1496)),""))</f>
        <v/>
      </c>
      <c r="I1496" s="28">
        <f>IF($B1496="","",IF($I1495="",$C$10,$I1495)+IF($G1496="",0,$G1496)-IF($H1496="",0,$H1496))</f>
        <v/>
      </c>
      <c r="L1496">
        <f>IFERROR(MATCH($C$5&amp;"|"&amp;RIGHT("000000"&amp;1480,6),LdgRankKeyA,0),"")</f>
        <v/>
      </c>
      <c r="M1496">
        <f>IFERROR(MATCH($C$5&amp;"|"&amp;RIGHT("000000"&amp;1480,6),LdgRankKeyB,0),"")</f>
        <v/>
      </c>
    </row>
    <row r="1497">
      <c r="A1497" s="17" t="n">
        <v>1481</v>
      </c>
      <c r="B1497" s="18">
        <f>IF(AND($L1497="",$M1497=""),"",IF($L1497&lt;&gt;"",INDEX(SCNormDate,$L1497),INDEX(LdgDateB,$M1497)))</f>
        <v/>
      </c>
      <c r="C1497" s="18">
        <f>IF($L1497&lt;&gt;"",INDEX(SCOp,$L1497),IF($M1497&lt;&gt;"","پرداخت بانکی",""))</f>
        <v/>
      </c>
      <c r="D1497" s="18">
        <f>IF($L1497&lt;&gt;"",IF(INDEX(SCDoc,$L1497)="","—",INDEX(SCDoc,$L1497)),IF($M1497&lt;&gt;"",INDEX(LdgBankB,$M1497),""))</f>
        <v/>
      </c>
      <c r="E1497" s="19">
        <f>IF($L1497&lt;&gt;"",IF(INDEX(SCCitrus,$L1497)&amp;INDEX(SCNotes,$L1497)="","",IF(INDEX(SCCitrus,$L1497)="","",INDEX(SCCitrus,$L1497))&amp;IF(INDEX(SCNotes,$L1497)="",""," — "&amp;INDEX(SCNotes,$L1497))),IF($M1497&lt;&gt;"",IF(INDEX(LdgNoteB,$M1497)="","—",INDEX(LdgNoteB,$M1497)),""))</f>
        <v/>
      </c>
      <c r="F1497" s="20">
        <f>IF($L1497&lt;&gt;"",IF(INDEX(SCNet,$L1497)=0,"",INDEX(SCNet,$L1497)),"")</f>
        <v/>
      </c>
      <c r="G1497" s="21">
        <f>IF($L1497&lt;&gt;"",IF(INDEX(SCOp,$L1497)="مرجوعی فروش","",IF(INDEX(SCAmount,$L1497)&lt;=0,"",INDEX(SCAmount,$L1497))),IF($M1497&lt;&gt;"",IF(INDEX(LdgWitB,$M1497)=0,"",INDEX(LdgWitB,$M1497)),""))</f>
        <v/>
      </c>
      <c r="H1497" s="21">
        <f>IF($L1497&lt;&gt;"",IF(INDEX(SCOp,$L1497)="مرجوعی فروش",IF(INDEX(SCAmount,$L1497)=0,"",-INDEX(SCAmount,$L1497)),""),IF($M1497&lt;&gt;"",IF(INDEX(LdgDepB,$M1497)=0,"",INDEX(LdgDepB,$M1497)),""))</f>
        <v/>
      </c>
      <c r="I1497" s="22">
        <f>IF($B1497="","",IF($I1496="",$C$10,$I1496)+IF($G1497="",0,$G1497)-IF($H1497="",0,$H1497))</f>
        <v/>
      </c>
      <c r="L1497">
        <f>IFERROR(MATCH($C$5&amp;"|"&amp;RIGHT("000000"&amp;1481,6),LdgRankKeyA,0),"")</f>
        <v/>
      </c>
      <c r="M1497">
        <f>IFERROR(MATCH($C$5&amp;"|"&amp;RIGHT("000000"&amp;1481,6),LdgRankKeyB,0),"")</f>
        <v/>
      </c>
    </row>
    <row r="1498">
      <c r="A1498" s="23" t="n">
        <v>1482</v>
      </c>
      <c r="B1498" s="24">
        <f>IF(AND($L1498="",$M1498=""),"",IF($L1498&lt;&gt;"",INDEX(SCNormDate,$L1498),INDEX(LdgDateB,$M1498)))</f>
        <v/>
      </c>
      <c r="C1498" s="24">
        <f>IF($L1498&lt;&gt;"",INDEX(SCOp,$L1498),IF($M1498&lt;&gt;"","پرداخت بانکی",""))</f>
        <v/>
      </c>
      <c r="D1498" s="24">
        <f>IF($L1498&lt;&gt;"",IF(INDEX(SCDoc,$L1498)="","—",INDEX(SCDoc,$L1498)),IF($M1498&lt;&gt;"",INDEX(LdgBankB,$M1498),""))</f>
        <v/>
      </c>
      <c r="E1498" s="25">
        <f>IF($L1498&lt;&gt;"",IF(INDEX(SCCitrus,$L1498)&amp;INDEX(SCNotes,$L1498)="","",IF(INDEX(SCCitrus,$L1498)="","",INDEX(SCCitrus,$L1498))&amp;IF(INDEX(SCNotes,$L1498)="",""," — "&amp;INDEX(SCNotes,$L1498))),IF($M1498&lt;&gt;"",IF(INDEX(LdgNoteB,$M1498)="","—",INDEX(LdgNoteB,$M1498)),""))</f>
        <v/>
      </c>
      <c r="F1498" s="26">
        <f>IF($L1498&lt;&gt;"",IF(INDEX(SCNet,$L1498)=0,"",INDEX(SCNet,$L1498)),"")</f>
        <v/>
      </c>
      <c r="G1498" s="27">
        <f>IF($L1498&lt;&gt;"",IF(INDEX(SCOp,$L1498)="مرجوعی فروش","",IF(INDEX(SCAmount,$L1498)&lt;=0,"",INDEX(SCAmount,$L1498))),IF($M1498&lt;&gt;"",IF(INDEX(LdgWitB,$M1498)=0,"",INDEX(LdgWitB,$M1498)),""))</f>
        <v/>
      </c>
      <c r="H1498" s="27">
        <f>IF($L1498&lt;&gt;"",IF(INDEX(SCOp,$L1498)="مرجوعی فروش",IF(INDEX(SCAmount,$L1498)=0,"",-INDEX(SCAmount,$L1498)),""),IF($M1498&lt;&gt;"",IF(INDEX(LdgDepB,$M1498)=0,"",INDEX(LdgDepB,$M1498)),""))</f>
        <v/>
      </c>
      <c r="I1498" s="28">
        <f>IF($B1498="","",IF($I1497="",$C$10,$I1497)+IF($G1498="",0,$G1498)-IF($H1498="",0,$H1498))</f>
        <v/>
      </c>
      <c r="L1498">
        <f>IFERROR(MATCH($C$5&amp;"|"&amp;RIGHT("000000"&amp;1482,6),LdgRankKeyA,0),"")</f>
        <v/>
      </c>
      <c r="M1498">
        <f>IFERROR(MATCH($C$5&amp;"|"&amp;RIGHT("000000"&amp;1482,6),LdgRankKeyB,0),"")</f>
        <v/>
      </c>
    </row>
    <row r="1499">
      <c r="A1499" s="17" t="n">
        <v>1483</v>
      </c>
      <c r="B1499" s="18">
        <f>IF(AND($L1499="",$M1499=""),"",IF($L1499&lt;&gt;"",INDEX(SCNormDate,$L1499),INDEX(LdgDateB,$M1499)))</f>
        <v/>
      </c>
      <c r="C1499" s="18">
        <f>IF($L1499&lt;&gt;"",INDEX(SCOp,$L1499),IF($M1499&lt;&gt;"","پرداخت بانکی",""))</f>
        <v/>
      </c>
      <c r="D1499" s="18">
        <f>IF($L1499&lt;&gt;"",IF(INDEX(SCDoc,$L1499)="","—",INDEX(SCDoc,$L1499)),IF($M1499&lt;&gt;"",INDEX(LdgBankB,$M1499),""))</f>
        <v/>
      </c>
      <c r="E1499" s="19">
        <f>IF($L1499&lt;&gt;"",IF(INDEX(SCCitrus,$L1499)&amp;INDEX(SCNotes,$L1499)="","",IF(INDEX(SCCitrus,$L1499)="","",INDEX(SCCitrus,$L1499))&amp;IF(INDEX(SCNotes,$L1499)="",""," — "&amp;INDEX(SCNotes,$L1499))),IF($M1499&lt;&gt;"",IF(INDEX(LdgNoteB,$M1499)="","—",INDEX(LdgNoteB,$M1499)),""))</f>
        <v/>
      </c>
      <c r="F1499" s="20">
        <f>IF($L1499&lt;&gt;"",IF(INDEX(SCNet,$L1499)=0,"",INDEX(SCNet,$L1499)),"")</f>
        <v/>
      </c>
      <c r="G1499" s="21">
        <f>IF($L1499&lt;&gt;"",IF(INDEX(SCOp,$L1499)="مرجوعی فروش","",IF(INDEX(SCAmount,$L1499)&lt;=0,"",INDEX(SCAmount,$L1499))),IF($M1499&lt;&gt;"",IF(INDEX(LdgWitB,$M1499)=0,"",INDEX(LdgWitB,$M1499)),""))</f>
        <v/>
      </c>
      <c r="H1499" s="21">
        <f>IF($L1499&lt;&gt;"",IF(INDEX(SCOp,$L1499)="مرجوعی فروش",IF(INDEX(SCAmount,$L1499)=0,"",-INDEX(SCAmount,$L1499)),""),IF($M1499&lt;&gt;"",IF(INDEX(LdgDepB,$M1499)=0,"",INDEX(LdgDepB,$M1499)),""))</f>
        <v/>
      </c>
      <c r="I1499" s="22">
        <f>IF($B1499="","",IF($I1498="",$C$10,$I1498)+IF($G1499="",0,$G1499)-IF($H1499="",0,$H1499))</f>
        <v/>
      </c>
      <c r="L1499">
        <f>IFERROR(MATCH($C$5&amp;"|"&amp;RIGHT("000000"&amp;1483,6),LdgRankKeyA,0),"")</f>
        <v/>
      </c>
      <c r="M1499">
        <f>IFERROR(MATCH($C$5&amp;"|"&amp;RIGHT("000000"&amp;1483,6),LdgRankKeyB,0),"")</f>
        <v/>
      </c>
    </row>
    <row r="1500">
      <c r="A1500" s="23" t="n">
        <v>1484</v>
      </c>
      <c r="B1500" s="24">
        <f>IF(AND($L1500="",$M1500=""),"",IF($L1500&lt;&gt;"",INDEX(SCNormDate,$L1500),INDEX(LdgDateB,$M1500)))</f>
        <v/>
      </c>
      <c r="C1500" s="24">
        <f>IF($L1500&lt;&gt;"",INDEX(SCOp,$L1500),IF($M1500&lt;&gt;"","پرداخت بانکی",""))</f>
        <v/>
      </c>
      <c r="D1500" s="24">
        <f>IF($L1500&lt;&gt;"",IF(INDEX(SCDoc,$L1500)="","—",INDEX(SCDoc,$L1500)),IF($M1500&lt;&gt;"",INDEX(LdgBankB,$M1500),""))</f>
        <v/>
      </c>
      <c r="E1500" s="25">
        <f>IF($L1500&lt;&gt;"",IF(INDEX(SCCitrus,$L1500)&amp;INDEX(SCNotes,$L1500)="","",IF(INDEX(SCCitrus,$L1500)="","",INDEX(SCCitrus,$L1500))&amp;IF(INDEX(SCNotes,$L1500)="",""," — "&amp;INDEX(SCNotes,$L1500))),IF($M1500&lt;&gt;"",IF(INDEX(LdgNoteB,$M1500)="","—",INDEX(LdgNoteB,$M1500)),""))</f>
        <v/>
      </c>
      <c r="F1500" s="26">
        <f>IF($L1500&lt;&gt;"",IF(INDEX(SCNet,$L1500)=0,"",INDEX(SCNet,$L1500)),"")</f>
        <v/>
      </c>
      <c r="G1500" s="27">
        <f>IF($L1500&lt;&gt;"",IF(INDEX(SCOp,$L1500)="مرجوعی فروش","",IF(INDEX(SCAmount,$L1500)&lt;=0,"",INDEX(SCAmount,$L1500))),IF($M1500&lt;&gt;"",IF(INDEX(LdgWitB,$M1500)=0,"",INDEX(LdgWitB,$M1500)),""))</f>
        <v/>
      </c>
      <c r="H1500" s="27">
        <f>IF($L1500&lt;&gt;"",IF(INDEX(SCOp,$L1500)="مرجوعی فروش",IF(INDEX(SCAmount,$L1500)=0,"",-INDEX(SCAmount,$L1500)),""),IF($M1500&lt;&gt;"",IF(INDEX(LdgDepB,$M1500)=0,"",INDEX(LdgDepB,$M1500)),""))</f>
        <v/>
      </c>
      <c r="I1500" s="28">
        <f>IF($B1500="","",IF($I1499="",$C$10,$I1499)+IF($G1500="",0,$G1500)-IF($H1500="",0,$H1500))</f>
        <v/>
      </c>
      <c r="L1500">
        <f>IFERROR(MATCH($C$5&amp;"|"&amp;RIGHT("000000"&amp;1484,6),LdgRankKeyA,0),"")</f>
        <v/>
      </c>
      <c r="M1500">
        <f>IFERROR(MATCH($C$5&amp;"|"&amp;RIGHT("000000"&amp;1484,6),LdgRankKeyB,0),"")</f>
        <v/>
      </c>
    </row>
    <row r="1501">
      <c r="A1501" s="17" t="n">
        <v>1485</v>
      </c>
      <c r="B1501" s="18">
        <f>IF(AND($L1501="",$M1501=""),"",IF($L1501&lt;&gt;"",INDEX(SCNormDate,$L1501),INDEX(LdgDateB,$M1501)))</f>
        <v/>
      </c>
      <c r="C1501" s="18">
        <f>IF($L1501&lt;&gt;"",INDEX(SCOp,$L1501),IF($M1501&lt;&gt;"","پرداخت بانکی",""))</f>
        <v/>
      </c>
      <c r="D1501" s="18">
        <f>IF($L1501&lt;&gt;"",IF(INDEX(SCDoc,$L1501)="","—",INDEX(SCDoc,$L1501)),IF($M1501&lt;&gt;"",INDEX(LdgBankB,$M1501),""))</f>
        <v/>
      </c>
      <c r="E1501" s="19">
        <f>IF($L1501&lt;&gt;"",IF(INDEX(SCCitrus,$L1501)&amp;INDEX(SCNotes,$L1501)="","",IF(INDEX(SCCitrus,$L1501)="","",INDEX(SCCitrus,$L1501))&amp;IF(INDEX(SCNotes,$L1501)="",""," — "&amp;INDEX(SCNotes,$L1501))),IF($M1501&lt;&gt;"",IF(INDEX(LdgNoteB,$M1501)="","—",INDEX(LdgNoteB,$M1501)),""))</f>
        <v/>
      </c>
      <c r="F1501" s="20">
        <f>IF($L1501&lt;&gt;"",IF(INDEX(SCNet,$L1501)=0,"",INDEX(SCNet,$L1501)),"")</f>
        <v/>
      </c>
      <c r="G1501" s="21">
        <f>IF($L1501&lt;&gt;"",IF(INDEX(SCOp,$L1501)="مرجوعی فروش","",IF(INDEX(SCAmount,$L1501)&lt;=0,"",INDEX(SCAmount,$L1501))),IF($M1501&lt;&gt;"",IF(INDEX(LdgWitB,$M1501)=0,"",INDEX(LdgWitB,$M1501)),""))</f>
        <v/>
      </c>
      <c r="H1501" s="21">
        <f>IF($L1501&lt;&gt;"",IF(INDEX(SCOp,$L1501)="مرجوعی فروش",IF(INDEX(SCAmount,$L1501)=0,"",-INDEX(SCAmount,$L1501)),""),IF($M1501&lt;&gt;"",IF(INDEX(LdgDepB,$M1501)=0,"",INDEX(LdgDepB,$M1501)),""))</f>
        <v/>
      </c>
      <c r="I1501" s="22">
        <f>IF($B1501="","",IF($I1500="",$C$10,$I1500)+IF($G1501="",0,$G1501)-IF($H1501="",0,$H1501))</f>
        <v/>
      </c>
      <c r="L1501">
        <f>IFERROR(MATCH($C$5&amp;"|"&amp;RIGHT("000000"&amp;1485,6),LdgRankKeyA,0),"")</f>
        <v/>
      </c>
      <c r="M1501">
        <f>IFERROR(MATCH($C$5&amp;"|"&amp;RIGHT("000000"&amp;1485,6),LdgRankKeyB,0),"")</f>
        <v/>
      </c>
    </row>
    <row r="1502">
      <c r="A1502" s="23" t="n">
        <v>1486</v>
      </c>
      <c r="B1502" s="24">
        <f>IF(AND($L1502="",$M1502=""),"",IF($L1502&lt;&gt;"",INDEX(SCNormDate,$L1502),INDEX(LdgDateB,$M1502)))</f>
        <v/>
      </c>
      <c r="C1502" s="24">
        <f>IF($L1502&lt;&gt;"",INDEX(SCOp,$L1502),IF($M1502&lt;&gt;"","پرداخت بانکی",""))</f>
        <v/>
      </c>
      <c r="D1502" s="24">
        <f>IF($L1502&lt;&gt;"",IF(INDEX(SCDoc,$L1502)="","—",INDEX(SCDoc,$L1502)),IF($M1502&lt;&gt;"",INDEX(LdgBankB,$M1502),""))</f>
        <v/>
      </c>
      <c r="E1502" s="25">
        <f>IF($L1502&lt;&gt;"",IF(INDEX(SCCitrus,$L1502)&amp;INDEX(SCNotes,$L1502)="","",IF(INDEX(SCCitrus,$L1502)="","",INDEX(SCCitrus,$L1502))&amp;IF(INDEX(SCNotes,$L1502)="",""," — "&amp;INDEX(SCNotes,$L1502))),IF($M1502&lt;&gt;"",IF(INDEX(LdgNoteB,$M1502)="","—",INDEX(LdgNoteB,$M1502)),""))</f>
        <v/>
      </c>
      <c r="F1502" s="26">
        <f>IF($L1502&lt;&gt;"",IF(INDEX(SCNet,$L1502)=0,"",INDEX(SCNet,$L1502)),"")</f>
        <v/>
      </c>
      <c r="G1502" s="27">
        <f>IF($L1502&lt;&gt;"",IF(INDEX(SCOp,$L1502)="مرجوعی فروش","",IF(INDEX(SCAmount,$L1502)&lt;=0,"",INDEX(SCAmount,$L1502))),IF($M1502&lt;&gt;"",IF(INDEX(LdgWitB,$M1502)=0,"",INDEX(LdgWitB,$M1502)),""))</f>
        <v/>
      </c>
      <c r="H1502" s="27">
        <f>IF($L1502&lt;&gt;"",IF(INDEX(SCOp,$L1502)="مرجوعی فروش",IF(INDEX(SCAmount,$L1502)=0,"",-INDEX(SCAmount,$L1502)),""),IF($M1502&lt;&gt;"",IF(INDEX(LdgDepB,$M1502)=0,"",INDEX(LdgDepB,$M1502)),""))</f>
        <v/>
      </c>
      <c r="I1502" s="28">
        <f>IF($B1502="","",IF($I1501="",$C$10,$I1501)+IF($G1502="",0,$G1502)-IF($H1502="",0,$H1502))</f>
        <v/>
      </c>
      <c r="L1502">
        <f>IFERROR(MATCH($C$5&amp;"|"&amp;RIGHT("000000"&amp;1486,6),LdgRankKeyA,0),"")</f>
        <v/>
      </c>
      <c r="M1502">
        <f>IFERROR(MATCH($C$5&amp;"|"&amp;RIGHT("000000"&amp;1486,6),LdgRankKeyB,0),"")</f>
        <v/>
      </c>
    </row>
    <row r="1503">
      <c r="A1503" s="17" t="n">
        <v>1487</v>
      </c>
      <c r="B1503" s="18">
        <f>IF(AND($L1503="",$M1503=""),"",IF($L1503&lt;&gt;"",INDEX(SCNormDate,$L1503),INDEX(LdgDateB,$M1503)))</f>
        <v/>
      </c>
      <c r="C1503" s="18">
        <f>IF($L1503&lt;&gt;"",INDEX(SCOp,$L1503),IF($M1503&lt;&gt;"","پرداخت بانکی",""))</f>
        <v/>
      </c>
      <c r="D1503" s="18">
        <f>IF($L1503&lt;&gt;"",IF(INDEX(SCDoc,$L1503)="","—",INDEX(SCDoc,$L1503)),IF($M1503&lt;&gt;"",INDEX(LdgBankB,$M1503),""))</f>
        <v/>
      </c>
      <c r="E1503" s="19">
        <f>IF($L1503&lt;&gt;"",IF(INDEX(SCCitrus,$L1503)&amp;INDEX(SCNotes,$L1503)="","",IF(INDEX(SCCitrus,$L1503)="","",INDEX(SCCitrus,$L1503))&amp;IF(INDEX(SCNotes,$L1503)="",""," — "&amp;INDEX(SCNotes,$L1503))),IF($M1503&lt;&gt;"",IF(INDEX(LdgNoteB,$M1503)="","—",INDEX(LdgNoteB,$M1503)),""))</f>
        <v/>
      </c>
      <c r="F1503" s="20">
        <f>IF($L1503&lt;&gt;"",IF(INDEX(SCNet,$L1503)=0,"",INDEX(SCNet,$L1503)),"")</f>
        <v/>
      </c>
      <c r="G1503" s="21">
        <f>IF($L1503&lt;&gt;"",IF(INDEX(SCOp,$L1503)="مرجوعی فروش","",IF(INDEX(SCAmount,$L1503)&lt;=0,"",INDEX(SCAmount,$L1503))),IF($M1503&lt;&gt;"",IF(INDEX(LdgWitB,$M1503)=0,"",INDEX(LdgWitB,$M1503)),""))</f>
        <v/>
      </c>
      <c r="H1503" s="21">
        <f>IF($L1503&lt;&gt;"",IF(INDEX(SCOp,$L1503)="مرجوعی فروش",IF(INDEX(SCAmount,$L1503)=0,"",-INDEX(SCAmount,$L1503)),""),IF($M1503&lt;&gt;"",IF(INDEX(LdgDepB,$M1503)=0,"",INDEX(LdgDepB,$M1503)),""))</f>
        <v/>
      </c>
      <c r="I1503" s="22">
        <f>IF($B1503="","",IF($I1502="",$C$10,$I1502)+IF($G1503="",0,$G1503)-IF($H1503="",0,$H1503))</f>
        <v/>
      </c>
      <c r="L1503">
        <f>IFERROR(MATCH($C$5&amp;"|"&amp;RIGHT("000000"&amp;1487,6),LdgRankKeyA,0),"")</f>
        <v/>
      </c>
      <c r="M1503">
        <f>IFERROR(MATCH($C$5&amp;"|"&amp;RIGHT("000000"&amp;1487,6),LdgRankKeyB,0),"")</f>
        <v/>
      </c>
    </row>
    <row r="1504">
      <c r="A1504" s="23" t="n">
        <v>1488</v>
      </c>
      <c r="B1504" s="24">
        <f>IF(AND($L1504="",$M1504=""),"",IF($L1504&lt;&gt;"",INDEX(SCNormDate,$L1504),INDEX(LdgDateB,$M1504)))</f>
        <v/>
      </c>
      <c r="C1504" s="24">
        <f>IF($L1504&lt;&gt;"",INDEX(SCOp,$L1504),IF($M1504&lt;&gt;"","پرداخت بانکی",""))</f>
        <v/>
      </c>
      <c r="D1504" s="24">
        <f>IF($L1504&lt;&gt;"",IF(INDEX(SCDoc,$L1504)="","—",INDEX(SCDoc,$L1504)),IF($M1504&lt;&gt;"",INDEX(LdgBankB,$M1504),""))</f>
        <v/>
      </c>
      <c r="E1504" s="25">
        <f>IF($L1504&lt;&gt;"",IF(INDEX(SCCitrus,$L1504)&amp;INDEX(SCNotes,$L1504)="","",IF(INDEX(SCCitrus,$L1504)="","",INDEX(SCCitrus,$L1504))&amp;IF(INDEX(SCNotes,$L1504)="",""," — "&amp;INDEX(SCNotes,$L1504))),IF($M1504&lt;&gt;"",IF(INDEX(LdgNoteB,$M1504)="","—",INDEX(LdgNoteB,$M1504)),""))</f>
        <v/>
      </c>
      <c r="F1504" s="26">
        <f>IF($L1504&lt;&gt;"",IF(INDEX(SCNet,$L1504)=0,"",INDEX(SCNet,$L1504)),"")</f>
        <v/>
      </c>
      <c r="G1504" s="27">
        <f>IF($L1504&lt;&gt;"",IF(INDEX(SCOp,$L1504)="مرجوعی فروش","",IF(INDEX(SCAmount,$L1504)&lt;=0,"",INDEX(SCAmount,$L1504))),IF($M1504&lt;&gt;"",IF(INDEX(LdgWitB,$M1504)=0,"",INDEX(LdgWitB,$M1504)),""))</f>
        <v/>
      </c>
      <c r="H1504" s="27">
        <f>IF($L1504&lt;&gt;"",IF(INDEX(SCOp,$L1504)="مرجوعی فروش",IF(INDEX(SCAmount,$L1504)=0,"",-INDEX(SCAmount,$L1504)),""),IF($M1504&lt;&gt;"",IF(INDEX(LdgDepB,$M1504)=0,"",INDEX(LdgDepB,$M1504)),""))</f>
        <v/>
      </c>
      <c r="I1504" s="28">
        <f>IF($B1504="","",IF($I1503="",$C$10,$I1503)+IF($G1504="",0,$G1504)-IF($H1504="",0,$H1504))</f>
        <v/>
      </c>
      <c r="L1504">
        <f>IFERROR(MATCH($C$5&amp;"|"&amp;RIGHT("000000"&amp;1488,6),LdgRankKeyA,0),"")</f>
        <v/>
      </c>
      <c r="M1504">
        <f>IFERROR(MATCH($C$5&amp;"|"&amp;RIGHT("000000"&amp;1488,6),LdgRankKeyB,0),"")</f>
        <v/>
      </c>
    </row>
    <row r="1505">
      <c r="A1505" s="17" t="n">
        <v>1489</v>
      </c>
      <c r="B1505" s="18">
        <f>IF(AND($L1505="",$M1505=""),"",IF($L1505&lt;&gt;"",INDEX(SCNormDate,$L1505),INDEX(LdgDateB,$M1505)))</f>
        <v/>
      </c>
      <c r="C1505" s="18">
        <f>IF($L1505&lt;&gt;"",INDEX(SCOp,$L1505),IF($M1505&lt;&gt;"","پرداخت بانکی",""))</f>
        <v/>
      </c>
      <c r="D1505" s="18">
        <f>IF($L1505&lt;&gt;"",IF(INDEX(SCDoc,$L1505)="","—",INDEX(SCDoc,$L1505)),IF($M1505&lt;&gt;"",INDEX(LdgBankB,$M1505),""))</f>
        <v/>
      </c>
      <c r="E1505" s="19">
        <f>IF($L1505&lt;&gt;"",IF(INDEX(SCCitrus,$L1505)&amp;INDEX(SCNotes,$L1505)="","",IF(INDEX(SCCitrus,$L1505)="","",INDEX(SCCitrus,$L1505))&amp;IF(INDEX(SCNotes,$L1505)="",""," — "&amp;INDEX(SCNotes,$L1505))),IF($M1505&lt;&gt;"",IF(INDEX(LdgNoteB,$M1505)="","—",INDEX(LdgNoteB,$M1505)),""))</f>
        <v/>
      </c>
      <c r="F1505" s="20">
        <f>IF($L1505&lt;&gt;"",IF(INDEX(SCNet,$L1505)=0,"",INDEX(SCNet,$L1505)),"")</f>
        <v/>
      </c>
      <c r="G1505" s="21">
        <f>IF($L1505&lt;&gt;"",IF(INDEX(SCOp,$L1505)="مرجوعی فروش","",IF(INDEX(SCAmount,$L1505)&lt;=0,"",INDEX(SCAmount,$L1505))),IF($M1505&lt;&gt;"",IF(INDEX(LdgWitB,$M1505)=0,"",INDEX(LdgWitB,$M1505)),""))</f>
        <v/>
      </c>
      <c r="H1505" s="21">
        <f>IF($L1505&lt;&gt;"",IF(INDEX(SCOp,$L1505)="مرجوعی فروش",IF(INDEX(SCAmount,$L1505)=0,"",-INDEX(SCAmount,$L1505)),""),IF($M1505&lt;&gt;"",IF(INDEX(LdgDepB,$M1505)=0,"",INDEX(LdgDepB,$M1505)),""))</f>
        <v/>
      </c>
      <c r="I1505" s="22">
        <f>IF($B1505="","",IF($I1504="",$C$10,$I1504)+IF($G1505="",0,$G1505)-IF($H1505="",0,$H1505))</f>
        <v/>
      </c>
      <c r="L1505">
        <f>IFERROR(MATCH($C$5&amp;"|"&amp;RIGHT("000000"&amp;1489,6),LdgRankKeyA,0),"")</f>
        <v/>
      </c>
      <c r="M1505">
        <f>IFERROR(MATCH($C$5&amp;"|"&amp;RIGHT("000000"&amp;1489,6),LdgRankKeyB,0),"")</f>
        <v/>
      </c>
    </row>
    <row r="1506">
      <c r="A1506" s="23" t="n">
        <v>1490</v>
      </c>
      <c r="B1506" s="24">
        <f>IF(AND($L1506="",$M1506=""),"",IF($L1506&lt;&gt;"",INDEX(SCNormDate,$L1506),INDEX(LdgDateB,$M1506)))</f>
        <v/>
      </c>
      <c r="C1506" s="24">
        <f>IF($L1506&lt;&gt;"",INDEX(SCOp,$L1506),IF($M1506&lt;&gt;"","پرداخت بانکی",""))</f>
        <v/>
      </c>
      <c r="D1506" s="24">
        <f>IF($L1506&lt;&gt;"",IF(INDEX(SCDoc,$L1506)="","—",INDEX(SCDoc,$L1506)),IF($M1506&lt;&gt;"",INDEX(LdgBankB,$M1506),""))</f>
        <v/>
      </c>
      <c r="E1506" s="25">
        <f>IF($L1506&lt;&gt;"",IF(INDEX(SCCitrus,$L1506)&amp;INDEX(SCNotes,$L1506)="","",IF(INDEX(SCCitrus,$L1506)="","",INDEX(SCCitrus,$L1506))&amp;IF(INDEX(SCNotes,$L1506)="",""," — "&amp;INDEX(SCNotes,$L1506))),IF($M1506&lt;&gt;"",IF(INDEX(LdgNoteB,$M1506)="","—",INDEX(LdgNoteB,$M1506)),""))</f>
        <v/>
      </c>
      <c r="F1506" s="26">
        <f>IF($L1506&lt;&gt;"",IF(INDEX(SCNet,$L1506)=0,"",INDEX(SCNet,$L1506)),"")</f>
        <v/>
      </c>
      <c r="G1506" s="27">
        <f>IF($L1506&lt;&gt;"",IF(INDEX(SCOp,$L1506)="مرجوعی فروش","",IF(INDEX(SCAmount,$L1506)&lt;=0,"",INDEX(SCAmount,$L1506))),IF($M1506&lt;&gt;"",IF(INDEX(LdgWitB,$M1506)=0,"",INDEX(LdgWitB,$M1506)),""))</f>
        <v/>
      </c>
      <c r="H1506" s="27">
        <f>IF($L1506&lt;&gt;"",IF(INDEX(SCOp,$L1506)="مرجوعی فروش",IF(INDEX(SCAmount,$L1506)=0,"",-INDEX(SCAmount,$L1506)),""),IF($M1506&lt;&gt;"",IF(INDEX(LdgDepB,$M1506)=0,"",INDEX(LdgDepB,$M1506)),""))</f>
        <v/>
      </c>
      <c r="I1506" s="28">
        <f>IF($B1506="","",IF($I1505="",$C$10,$I1505)+IF($G1506="",0,$G1506)-IF($H1506="",0,$H1506))</f>
        <v/>
      </c>
      <c r="L1506">
        <f>IFERROR(MATCH($C$5&amp;"|"&amp;RIGHT("000000"&amp;1490,6),LdgRankKeyA,0),"")</f>
        <v/>
      </c>
      <c r="M1506">
        <f>IFERROR(MATCH($C$5&amp;"|"&amp;RIGHT("000000"&amp;1490,6),LdgRankKeyB,0),"")</f>
        <v/>
      </c>
    </row>
    <row r="1507">
      <c r="A1507" s="17" t="n">
        <v>1491</v>
      </c>
      <c r="B1507" s="18">
        <f>IF(AND($L1507="",$M1507=""),"",IF($L1507&lt;&gt;"",INDEX(SCNormDate,$L1507),INDEX(LdgDateB,$M1507)))</f>
        <v/>
      </c>
      <c r="C1507" s="18">
        <f>IF($L1507&lt;&gt;"",INDEX(SCOp,$L1507),IF($M1507&lt;&gt;"","پرداخت بانکی",""))</f>
        <v/>
      </c>
      <c r="D1507" s="18">
        <f>IF($L1507&lt;&gt;"",IF(INDEX(SCDoc,$L1507)="","—",INDEX(SCDoc,$L1507)),IF($M1507&lt;&gt;"",INDEX(LdgBankB,$M1507),""))</f>
        <v/>
      </c>
      <c r="E1507" s="19">
        <f>IF($L1507&lt;&gt;"",IF(INDEX(SCCitrus,$L1507)&amp;INDEX(SCNotes,$L1507)="","",IF(INDEX(SCCitrus,$L1507)="","",INDEX(SCCitrus,$L1507))&amp;IF(INDEX(SCNotes,$L1507)="",""," — "&amp;INDEX(SCNotes,$L1507))),IF($M1507&lt;&gt;"",IF(INDEX(LdgNoteB,$M1507)="","—",INDEX(LdgNoteB,$M1507)),""))</f>
        <v/>
      </c>
      <c r="F1507" s="20">
        <f>IF($L1507&lt;&gt;"",IF(INDEX(SCNet,$L1507)=0,"",INDEX(SCNet,$L1507)),"")</f>
        <v/>
      </c>
      <c r="G1507" s="21">
        <f>IF($L1507&lt;&gt;"",IF(INDEX(SCOp,$L1507)="مرجوعی فروش","",IF(INDEX(SCAmount,$L1507)&lt;=0,"",INDEX(SCAmount,$L1507))),IF($M1507&lt;&gt;"",IF(INDEX(LdgWitB,$M1507)=0,"",INDEX(LdgWitB,$M1507)),""))</f>
        <v/>
      </c>
      <c r="H1507" s="21">
        <f>IF($L1507&lt;&gt;"",IF(INDEX(SCOp,$L1507)="مرجوعی فروش",IF(INDEX(SCAmount,$L1507)=0,"",-INDEX(SCAmount,$L1507)),""),IF($M1507&lt;&gt;"",IF(INDEX(LdgDepB,$M1507)=0,"",INDEX(LdgDepB,$M1507)),""))</f>
        <v/>
      </c>
      <c r="I1507" s="22">
        <f>IF($B1507="","",IF($I1506="",$C$10,$I1506)+IF($G1507="",0,$G1507)-IF($H1507="",0,$H1507))</f>
        <v/>
      </c>
      <c r="L1507">
        <f>IFERROR(MATCH($C$5&amp;"|"&amp;RIGHT("000000"&amp;1491,6),LdgRankKeyA,0),"")</f>
        <v/>
      </c>
      <c r="M1507">
        <f>IFERROR(MATCH($C$5&amp;"|"&amp;RIGHT("000000"&amp;1491,6),LdgRankKeyB,0),"")</f>
        <v/>
      </c>
    </row>
    <row r="1508">
      <c r="A1508" s="23" t="n">
        <v>1492</v>
      </c>
      <c r="B1508" s="24">
        <f>IF(AND($L1508="",$M1508=""),"",IF($L1508&lt;&gt;"",INDEX(SCNormDate,$L1508),INDEX(LdgDateB,$M1508)))</f>
        <v/>
      </c>
      <c r="C1508" s="24">
        <f>IF($L1508&lt;&gt;"",INDEX(SCOp,$L1508),IF($M1508&lt;&gt;"","پرداخت بانکی",""))</f>
        <v/>
      </c>
      <c r="D1508" s="24">
        <f>IF($L1508&lt;&gt;"",IF(INDEX(SCDoc,$L1508)="","—",INDEX(SCDoc,$L1508)),IF($M1508&lt;&gt;"",INDEX(LdgBankB,$M1508),""))</f>
        <v/>
      </c>
      <c r="E1508" s="25">
        <f>IF($L1508&lt;&gt;"",IF(INDEX(SCCitrus,$L1508)&amp;INDEX(SCNotes,$L1508)="","",IF(INDEX(SCCitrus,$L1508)="","",INDEX(SCCitrus,$L1508))&amp;IF(INDEX(SCNotes,$L1508)="",""," — "&amp;INDEX(SCNotes,$L1508))),IF($M1508&lt;&gt;"",IF(INDEX(LdgNoteB,$M1508)="","—",INDEX(LdgNoteB,$M1508)),""))</f>
        <v/>
      </c>
      <c r="F1508" s="26">
        <f>IF($L1508&lt;&gt;"",IF(INDEX(SCNet,$L1508)=0,"",INDEX(SCNet,$L1508)),"")</f>
        <v/>
      </c>
      <c r="G1508" s="27">
        <f>IF($L1508&lt;&gt;"",IF(INDEX(SCOp,$L1508)="مرجوعی فروش","",IF(INDEX(SCAmount,$L1508)&lt;=0,"",INDEX(SCAmount,$L1508))),IF($M1508&lt;&gt;"",IF(INDEX(LdgWitB,$M1508)=0,"",INDEX(LdgWitB,$M1508)),""))</f>
        <v/>
      </c>
      <c r="H1508" s="27">
        <f>IF($L1508&lt;&gt;"",IF(INDEX(SCOp,$L1508)="مرجوعی فروش",IF(INDEX(SCAmount,$L1508)=0,"",-INDEX(SCAmount,$L1508)),""),IF($M1508&lt;&gt;"",IF(INDEX(LdgDepB,$M1508)=0,"",INDEX(LdgDepB,$M1508)),""))</f>
        <v/>
      </c>
      <c r="I1508" s="28">
        <f>IF($B1508="","",IF($I1507="",$C$10,$I1507)+IF($G1508="",0,$G1508)-IF($H1508="",0,$H1508))</f>
        <v/>
      </c>
      <c r="L1508">
        <f>IFERROR(MATCH($C$5&amp;"|"&amp;RIGHT("000000"&amp;1492,6),LdgRankKeyA,0),"")</f>
        <v/>
      </c>
      <c r="M1508">
        <f>IFERROR(MATCH($C$5&amp;"|"&amp;RIGHT("000000"&amp;1492,6),LdgRankKeyB,0),"")</f>
        <v/>
      </c>
    </row>
    <row r="1509">
      <c r="A1509" s="17" t="n">
        <v>1493</v>
      </c>
      <c r="B1509" s="18">
        <f>IF(AND($L1509="",$M1509=""),"",IF($L1509&lt;&gt;"",INDEX(SCNormDate,$L1509),INDEX(LdgDateB,$M1509)))</f>
        <v/>
      </c>
      <c r="C1509" s="18">
        <f>IF($L1509&lt;&gt;"",INDEX(SCOp,$L1509),IF($M1509&lt;&gt;"","پرداخت بانکی",""))</f>
        <v/>
      </c>
      <c r="D1509" s="18">
        <f>IF($L1509&lt;&gt;"",IF(INDEX(SCDoc,$L1509)="","—",INDEX(SCDoc,$L1509)),IF($M1509&lt;&gt;"",INDEX(LdgBankB,$M1509),""))</f>
        <v/>
      </c>
      <c r="E1509" s="19">
        <f>IF($L1509&lt;&gt;"",IF(INDEX(SCCitrus,$L1509)&amp;INDEX(SCNotes,$L1509)="","",IF(INDEX(SCCitrus,$L1509)="","",INDEX(SCCitrus,$L1509))&amp;IF(INDEX(SCNotes,$L1509)="",""," — "&amp;INDEX(SCNotes,$L1509))),IF($M1509&lt;&gt;"",IF(INDEX(LdgNoteB,$M1509)="","—",INDEX(LdgNoteB,$M1509)),""))</f>
        <v/>
      </c>
      <c r="F1509" s="20">
        <f>IF($L1509&lt;&gt;"",IF(INDEX(SCNet,$L1509)=0,"",INDEX(SCNet,$L1509)),"")</f>
        <v/>
      </c>
      <c r="G1509" s="21">
        <f>IF($L1509&lt;&gt;"",IF(INDEX(SCOp,$L1509)="مرجوعی فروش","",IF(INDEX(SCAmount,$L1509)&lt;=0,"",INDEX(SCAmount,$L1509))),IF($M1509&lt;&gt;"",IF(INDEX(LdgWitB,$M1509)=0,"",INDEX(LdgWitB,$M1509)),""))</f>
        <v/>
      </c>
      <c r="H1509" s="21">
        <f>IF($L1509&lt;&gt;"",IF(INDEX(SCOp,$L1509)="مرجوعی فروش",IF(INDEX(SCAmount,$L1509)=0,"",-INDEX(SCAmount,$L1509)),""),IF($M1509&lt;&gt;"",IF(INDEX(LdgDepB,$M1509)=0,"",INDEX(LdgDepB,$M1509)),""))</f>
        <v/>
      </c>
      <c r="I1509" s="22">
        <f>IF($B1509="","",IF($I1508="",$C$10,$I1508)+IF($G1509="",0,$G1509)-IF($H1509="",0,$H1509))</f>
        <v/>
      </c>
      <c r="L1509">
        <f>IFERROR(MATCH($C$5&amp;"|"&amp;RIGHT("000000"&amp;1493,6),LdgRankKeyA,0),"")</f>
        <v/>
      </c>
      <c r="M1509">
        <f>IFERROR(MATCH($C$5&amp;"|"&amp;RIGHT("000000"&amp;1493,6),LdgRankKeyB,0),"")</f>
        <v/>
      </c>
    </row>
    <row r="1510">
      <c r="A1510" s="23" t="n">
        <v>1494</v>
      </c>
      <c r="B1510" s="24">
        <f>IF(AND($L1510="",$M1510=""),"",IF($L1510&lt;&gt;"",INDEX(SCNormDate,$L1510),INDEX(LdgDateB,$M1510)))</f>
        <v/>
      </c>
      <c r="C1510" s="24">
        <f>IF($L1510&lt;&gt;"",INDEX(SCOp,$L1510),IF($M1510&lt;&gt;"","پرداخت بانکی",""))</f>
        <v/>
      </c>
      <c r="D1510" s="24">
        <f>IF($L1510&lt;&gt;"",IF(INDEX(SCDoc,$L1510)="","—",INDEX(SCDoc,$L1510)),IF($M1510&lt;&gt;"",INDEX(LdgBankB,$M1510),""))</f>
        <v/>
      </c>
      <c r="E1510" s="25">
        <f>IF($L1510&lt;&gt;"",IF(INDEX(SCCitrus,$L1510)&amp;INDEX(SCNotes,$L1510)="","",IF(INDEX(SCCitrus,$L1510)="","",INDEX(SCCitrus,$L1510))&amp;IF(INDEX(SCNotes,$L1510)="",""," — "&amp;INDEX(SCNotes,$L1510))),IF($M1510&lt;&gt;"",IF(INDEX(LdgNoteB,$M1510)="","—",INDEX(LdgNoteB,$M1510)),""))</f>
        <v/>
      </c>
      <c r="F1510" s="26">
        <f>IF($L1510&lt;&gt;"",IF(INDEX(SCNet,$L1510)=0,"",INDEX(SCNet,$L1510)),"")</f>
        <v/>
      </c>
      <c r="G1510" s="27">
        <f>IF($L1510&lt;&gt;"",IF(INDEX(SCOp,$L1510)="مرجوعی فروش","",IF(INDEX(SCAmount,$L1510)&lt;=0,"",INDEX(SCAmount,$L1510))),IF($M1510&lt;&gt;"",IF(INDEX(LdgWitB,$M1510)=0,"",INDEX(LdgWitB,$M1510)),""))</f>
        <v/>
      </c>
      <c r="H1510" s="27">
        <f>IF($L1510&lt;&gt;"",IF(INDEX(SCOp,$L1510)="مرجوعی فروش",IF(INDEX(SCAmount,$L1510)=0,"",-INDEX(SCAmount,$L1510)),""),IF($M1510&lt;&gt;"",IF(INDEX(LdgDepB,$M1510)=0,"",INDEX(LdgDepB,$M1510)),""))</f>
        <v/>
      </c>
      <c r="I1510" s="28">
        <f>IF($B1510="","",IF($I1509="",$C$10,$I1509)+IF($G1510="",0,$G1510)-IF($H1510="",0,$H1510))</f>
        <v/>
      </c>
      <c r="L1510">
        <f>IFERROR(MATCH($C$5&amp;"|"&amp;RIGHT("000000"&amp;1494,6),LdgRankKeyA,0),"")</f>
        <v/>
      </c>
      <c r="M1510">
        <f>IFERROR(MATCH($C$5&amp;"|"&amp;RIGHT("000000"&amp;1494,6),LdgRankKeyB,0),"")</f>
        <v/>
      </c>
    </row>
    <row r="1511">
      <c r="A1511" s="17" t="n">
        <v>1495</v>
      </c>
      <c r="B1511" s="18">
        <f>IF(AND($L1511="",$M1511=""),"",IF($L1511&lt;&gt;"",INDEX(SCNormDate,$L1511),INDEX(LdgDateB,$M1511)))</f>
        <v/>
      </c>
      <c r="C1511" s="18">
        <f>IF($L1511&lt;&gt;"",INDEX(SCOp,$L1511),IF($M1511&lt;&gt;"","پرداخت بانکی",""))</f>
        <v/>
      </c>
      <c r="D1511" s="18">
        <f>IF($L1511&lt;&gt;"",IF(INDEX(SCDoc,$L1511)="","—",INDEX(SCDoc,$L1511)),IF($M1511&lt;&gt;"",INDEX(LdgBankB,$M1511),""))</f>
        <v/>
      </c>
      <c r="E1511" s="19">
        <f>IF($L1511&lt;&gt;"",IF(INDEX(SCCitrus,$L1511)&amp;INDEX(SCNotes,$L1511)="","",IF(INDEX(SCCitrus,$L1511)="","",INDEX(SCCitrus,$L1511))&amp;IF(INDEX(SCNotes,$L1511)="",""," — "&amp;INDEX(SCNotes,$L1511))),IF($M1511&lt;&gt;"",IF(INDEX(LdgNoteB,$M1511)="","—",INDEX(LdgNoteB,$M1511)),""))</f>
        <v/>
      </c>
      <c r="F1511" s="20">
        <f>IF($L1511&lt;&gt;"",IF(INDEX(SCNet,$L1511)=0,"",INDEX(SCNet,$L1511)),"")</f>
        <v/>
      </c>
      <c r="G1511" s="21">
        <f>IF($L1511&lt;&gt;"",IF(INDEX(SCOp,$L1511)="مرجوعی فروش","",IF(INDEX(SCAmount,$L1511)&lt;=0,"",INDEX(SCAmount,$L1511))),IF($M1511&lt;&gt;"",IF(INDEX(LdgWitB,$M1511)=0,"",INDEX(LdgWitB,$M1511)),""))</f>
        <v/>
      </c>
      <c r="H1511" s="21">
        <f>IF($L1511&lt;&gt;"",IF(INDEX(SCOp,$L1511)="مرجوعی فروش",IF(INDEX(SCAmount,$L1511)=0,"",-INDEX(SCAmount,$L1511)),""),IF($M1511&lt;&gt;"",IF(INDEX(LdgDepB,$M1511)=0,"",INDEX(LdgDepB,$M1511)),""))</f>
        <v/>
      </c>
      <c r="I1511" s="22">
        <f>IF($B1511="","",IF($I1510="",$C$10,$I1510)+IF($G1511="",0,$G1511)-IF($H1511="",0,$H1511))</f>
        <v/>
      </c>
      <c r="L1511">
        <f>IFERROR(MATCH($C$5&amp;"|"&amp;RIGHT("000000"&amp;1495,6),LdgRankKeyA,0),"")</f>
        <v/>
      </c>
      <c r="M1511">
        <f>IFERROR(MATCH($C$5&amp;"|"&amp;RIGHT("000000"&amp;1495,6),LdgRankKeyB,0),"")</f>
        <v/>
      </c>
    </row>
    <row r="1512">
      <c r="A1512" s="23" t="n">
        <v>1496</v>
      </c>
      <c r="B1512" s="24">
        <f>IF(AND($L1512="",$M1512=""),"",IF($L1512&lt;&gt;"",INDEX(SCNormDate,$L1512),INDEX(LdgDateB,$M1512)))</f>
        <v/>
      </c>
      <c r="C1512" s="24">
        <f>IF($L1512&lt;&gt;"",INDEX(SCOp,$L1512),IF($M1512&lt;&gt;"","پرداخت بانکی",""))</f>
        <v/>
      </c>
      <c r="D1512" s="24">
        <f>IF($L1512&lt;&gt;"",IF(INDEX(SCDoc,$L1512)="","—",INDEX(SCDoc,$L1512)),IF($M1512&lt;&gt;"",INDEX(LdgBankB,$M1512),""))</f>
        <v/>
      </c>
      <c r="E1512" s="25">
        <f>IF($L1512&lt;&gt;"",IF(INDEX(SCCitrus,$L1512)&amp;INDEX(SCNotes,$L1512)="","",IF(INDEX(SCCitrus,$L1512)="","",INDEX(SCCitrus,$L1512))&amp;IF(INDEX(SCNotes,$L1512)="",""," — "&amp;INDEX(SCNotes,$L1512))),IF($M1512&lt;&gt;"",IF(INDEX(LdgNoteB,$M1512)="","—",INDEX(LdgNoteB,$M1512)),""))</f>
        <v/>
      </c>
      <c r="F1512" s="26">
        <f>IF($L1512&lt;&gt;"",IF(INDEX(SCNet,$L1512)=0,"",INDEX(SCNet,$L1512)),"")</f>
        <v/>
      </c>
      <c r="G1512" s="27">
        <f>IF($L1512&lt;&gt;"",IF(INDEX(SCOp,$L1512)="مرجوعی فروش","",IF(INDEX(SCAmount,$L1512)&lt;=0,"",INDEX(SCAmount,$L1512))),IF($M1512&lt;&gt;"",IF(INDEX(LdgWitB,$M1512)=0,"",INDEX(LdgWitB,$M1512)),""))</f>
        <v/>
      </c>
      <c r="H1512" s="27">
        <f>IF($L1512&lt;&gt;"",IF(INDEX(SCOp,$L1512)="مرجوعی فروش",IF(INDEX(SCAmount,$L1512)=0,"",-INDEX(SCAmount,$L1512)),""),IF($M1512&lt;&gt;"",IF(INDEX(LdgDepB,$M1512)=0,"",INDEX(LdgDepB,$M1512)),""))</f>
        <v/>
      </c>
      <c r="I1512" s="28">
        <f>IF($B1512="","",IF($I1511="",$C$10,$I1511)+IF($G1512="",0,$G1512)-IF($H1512="",0,$H1512))</f>
        <v/>
      </c>
      <c r="L1512">
        <f>IFERROR(MATCH($C$5&amp;"|"&amp;RIGHT("000000"&amp;1496,6),LdgRankKeyA,0),"")</f>
        <v/>
      </c>
      <c r="M1512">
        <f>IFERROR(MATCH($C$5&amp;"|"&amp;RIGHT("000000"&amp;1496,6),LdgRankKeyB,0),"")</f>
        <v/>
      </c>
    </row>
    <row r="1513">
      <c r="A1513" s="17" t="n">
        <v>1497</v>
      </c>
      <c r="B1513" s="18">
        <f>IF(AND($L1513="",$M1513=""),"",IF($L1513&lt;&gt;"",INDEX(SCNormDate,$L1513),INDEX(LdgDateB,$M1513)))</f>
        <v/>
      </c>
      <c r="C1513" s="18">
        <f>IF($L1513&lt;&gt;"",INDEX(SCOp,$L1513),IF($M1513&lt;&gt;"","پرداخت بانکی",""))</f>
        <v/>
      </c>
      <c r="D1513" s="18">
        <f>IF($L1513&lt;&gt;"",IF(INDEX(SCDoc,$L1513)="","—",INDEX(SCDoc,$L1513)),IF($M1513&lt;&gt;"",INDEX(LdgBankB,$M1513),""))</f>
        <v/>
      </c>
      <c r="E1513" s="19">
        <f>IF($L1513&lt;&gt;"",IF(INDEX(SCCitrus,$L1513)&amp;INDEX(SCNotes,$L1513)="","",IF(INDEX(SCCitrus,$L1513)="","",INDEX(SCCitrus,$L1513))&amp;IF(INDEX(SCNotes,$L1513)="",""," — "&amp;INDEX(SCNotes,$L1513))),IF($M1513&lt;&gt;"",IF(INDEX(LdgNoteB,$M1513)="","—",INDEX(LdgNoteB,$M1513)),""))</f>
        <v/>
      </c>
      <c r="F1513" s="20">
        <f>IF($L1513&lt;&gt;"",IF(INDEX(SCNet,$L1513)=0,"",INDEX(SCNet,$L1513)),"")</f>
        <v/>
      </c>
      <c r="G1513" s="21">
        <f>IF($L1513&lt;&gt;"",IF(INDEX(SCOp,$L1513)="مرجوعی فروش","",IF(INDEX(SCAmount,$L1513)&lt;=0,"",INDEX(SCAmount,$L1513))),IF($M1513&lt;&gt;"",IF(INDEX(LdgWitB,$M1513)=0,"",INDEX(LdgWitB,$M1513)),""))</f>
        <v/>
      </c>
      <c r="H1513" s="21">
        <f>IF($L1513&lt;&gt;"",IF(INDEX(SCOp,$L1513)="مرجوعی فروش",IF(INDEX(SCAmount,$L1513)=0,"",-INDEX(SCAmount,$L1513)),""),IF($M1513&lt;&gt;"",IF(INDEX(LdgDepB,$M1513)=0,"",INDEX(LdgDepB,$M1513)),""))</f>
        <v/>
      </c>
      <c r="I1513" s="22">
        <f>IF($B1513="","",IF($I1512="",$C$10,$I1512)+IF($G1513="",0,$G1513)-IF($H1513="",0,$H1513))</f>
        <v/>
      </c>
      <c r="L1513">
        <f>IFERROR(MATCH($C$5&amp;"|"&amp;RIGHT("000000"&amp;1497,6),LdgRankKeyA,0),"")</f>
        <v/>
      </c>
      <c r="M1513">
        <f>IFERROR(MATCH($C$5&amp;"|"&amp;RIGHT("000000"&amp;1497,6),LdgRankKeyB,0),"")</f>
        <v/>
      </c>
    </row>
    <row r="1514">
      <c r="A1514" s="23" t="n">
        <v>1498</v>
      </c>
      <c r="B1514" s="24">
        <f>IF(AND($L1514="",$M1514=""),"",IF($L1514&lt;&gt;"",INDEX(SCNormDate,$L1514),INDEX(LdgDateB,$M1514)))</f>
        <v/>
      </c>
      <c r="C1514" s="24">
        <f>IF($L1514&lt;&gt;"",INDEX(SCOp,$L1514),IF($M1514&lt;&gt;"","پرداخت بانکی",""))</f>
        <v/>
      </c>
      <c r="D1514" s="24">
        <f>IF($L1514&lt;&gt;"",IF(INDEX(SCDoc,$L1514)="","—",INDEX(SCDoc,$L1514)),IF($M1514&lt;&gt;"",INDEX(LdgBankB,$M1514),""))</f>
        <v/>
      </c>
      <c r="E1514" s="25">
        <f>IF($L1514&lt;&gt;"",IF(INDEX(SCCitrus,$L1514)&amp;INDEX(SCNotes,$L1514)="","",IF(INDEX(SCCitrus,$L1514)="","",INDEX(SCCitrus,$L1514))&amp;IF(INDEX(SCNotes,$L1514)="",""," — "&amp;INDEX(SCNotes,$L1514))),IF($M1514&lt;&gt;"",IF(INDEX(LdgNoteB,$M1514)="","—",INDEX(LdgNoteB,$M1514)),""))</f>
        <v/>
      </c>
      <c r="F1514" s="26">
        <f>IF($L1514&lt;&gt;"",IF(INDEX(SCNet,$L1514)=0,"",INDEX(SCNet,$L1514)),"")</f>
        <v/>
      </c>
      <c r="G1514" s="27">
        <f>IF($L1514&lt;&gt;"",IF(INDEX(SCOp,$L1514)="مرجوعی فروش","",IF(INDEX(SCAmount,$L1514)&lt;=0,"",INDEX(SCAmount,$L1514))),IF($M1514&lt;&gt;"",IF(INDEX(LdgWitB,$M1514)=0,"",INDEX(LdgWitB,$M1514)),""))</f>
        <v/>
      </c>
      <c r="H1514" s="27">
        <f>IF($L1514&lt;&gt;"",IF(INDEX(SCOp,$L1514)="مرجوعی فروش",IF(INDEX(SCAmount,$L1514)=0,"",-INDEX(SCAmount,$L1514)),""),IF($M1514&lt;&gt;"",IF(INDEX(LdgDepB,$M1514)=0,"",INDEX(LdgDepB,$M1514)),""))</f>
        <v/>
      </c>
      <c r="I1514" s="28">
        <f>IF($B1514="","",IF($I1513="",$C$10,$I1513)+IF($G1514="",0,$G1514)-IF($H1514="",0,$H1514))</f>
        <v/>
      </c>
      <c r="L1514">
        <f>IFERROR(MATCH($C$5&amp;"|"&amp;RIGHT("000000"&amp;1498,6),LdgRankKeyA,0),"")</f>
        <v/>
      </c>
      <c r="M1514">
        <f>IFERROR(MATCH($C$5&amp;"|"&amp;RIGHT("000000"&amp;1498,6),LdgRankKeyB,0),"")</f>
        <v/>
      </c>
    </row>
    <row r="1515">
      <c r="A1515" s="17" t="n">
        <v>1499</v>
      </c>
      <c r="B1515" s="18">
        <f>IF(AND($L1515="",$M1515=""),"",IF($L1515&lt;&gt;"",INDEX(SCNormDate,$L1515),INDEX(LdgDateB,$M1515)))</f>
        <v/>
      </c>
      <c r="C1515" s="18">
        <f>IF($L1515&lt;&gt;"",INDEX(SCOp,$L1515),IF($M1515&lt;&gt;"","پرداخت بانکی",""))</f>
        <v/>
      </c>
      <c r="D1515" s="18">
        <f>IF($L1515&lt;&gt;"",IF(INDEX(SCDoc,$L1515)="","—",INDEX(SCDoc,$L1515)),IF($M1515&lt;&gt;"",INDEX(LdgBankB,$M1515),""))</f>
        <v/>
      </c>
      <c r="E1515" s="19">
        <f>IF($L1515&lt;&gt;"",IF(INDEX(SCCitrus,$L1515)&amp;INDEX(SCNotes,$L1515)="","",IF(INDEX(SCCitrus,$L1515)="","",INDEX(SCCitrus,$L1515))&amp;IF(INDEX(SCNotes,$L1515)="",""," — "&amp;INDEX(SCNotes,$L1515))),IF($M1515&lt;&gt;"",IF(INDEX(LdgNoteB,$M1515)="","—",INDEX(LdgNoteB,$M1515)),""))</f>
        <v/>
      </c>
      <c r="F1515" s="20">
        <f>IF($L1515&lt;&gt;"",IF(INDEX(SCNet,$L1515)=0,"",INDEX(SCNet,$L1515)),"")</f>
        <v/>
      </c>
      <c r="G1515" s="21">
        <f>IF($L1515&lt;&gt;"",IF(INDEX(SCOp,$L1515)="مرجوعی فروش","",IF(INDEX(SCAmount,$L1515)&lt;=0,"",INDEX(SCAmount,$L1515))),IF($M1515&lt;&gt;"",IF(INDEX(LdgWitB,$M1515)=0,"",INDEX(LdgWitB,$M1515)),""))</f>
        <v/>
      </c>
      <c r="H1515" s="21">
        <f>IF($L1515&lt;&gt;"",IF(INDEX(SCOp,$L1515)="مرجوعی فروش",IF(INDEX(SCAmount,$L1515)=0,"",-INDEX(SCAmount,$L1515)),""),IF($M1515&lt;&gt;"",IF(INDEX(LdgDepB,$M1515)=0,"",INDEX(LdgDepB,$M1515)),""))</f>
        <v/>
      </c>
      <c r="I1515" s="22">
        <f>IF($B1515="","",IF($I1514="",$C$10,$I1514)+IF($G1515="",0,$G1515)-IF($H1515="",0,$H1515))</f>
        <v/>
      </c>
      <c r="L1515">
        <f>IFERROR(MATCH($C$5&amp;"|"&amp;RIGHT("000000"&amp;1499,6),LdgRankKeyA,0),"")</f>
        <v/>
      </c>
      <c r="M1515">
        <f>IFERROR(MATCH($C$5&amp;"|"&amp;RIGHT("000000"&amp;1499,6),LdgRankKeyB,0),"")</f>
        <v/>
      </c>
    </row>
    <row r="1516">
      <c r="A1516" s="23" t="n">
        <v>1500</v>
      </c>
      <c r="B1516" s="24">
        <f>IF(AND($L1516="",$M1516=""),"",IF($L1516&lt;&gt;"",INDEX(SCNormDate,$L1516),INDEX(LdgDateB,$M1516)))</f>
        <v/>
      </c>
      <c r="C1516" s="24">
        <f>IF($L1516&lt;&gt;"",INDEX(SCOp,$L1516),IF($M1516&lt;&gt;"","پرداخت بانکی",""))</f>
        <v/>
      </c>
      <c r="D1516" s="24">
        <f>IF($L1516&lt;&gt;"",IF(INDEX(SCDoc,$L1516)="","—",INDEX(SCDoc,$L1516)),IF($M1516&lt;&gt;"",INDEX(LdgBankB,$M1516),""))</f>
        <v/>
      </c>
      <c r="E1516" s="25">
        <f>IF($L1516&lt;&gt;"",IF(INDEX(SCCitrus,$L1516)&amp;INDEX(SCNotes,$L1516)="","",IF(INDEX(SCCitrus,$L1516)="","",INDEX(SCCitrus,$L1516))&amp;IF(INDEX(SCNotes,$L1516)="",""," — "&amp;INDEX(SCNotes,$L1516))),IF($M1516&lt;&gt;"",IF(INDEX(LdgNoteB,$M1516)="","—",INDEX(LdgNoteB,$M1516)),""))</f>
        <v/>
      </c>
      <c r="F1516" s="26">
        <f>IF($L1516&lt;&gt;"",IF(INDEX(SCNet,$L1516)=0,"",INDEX(SCNet,$L1516)),"")</f>
        <v/>
      </c>
      <c r="G1516" s="27">
        <f>IF($L1516&lt;&gt;"",IF(INDEX(SCOp,$L1516)="مرجوعی فروش","",IF(INDEX(SCAmount,$L1516)&lt;=0,"",INDEX(SCAmount,$L1516))),IF($M1516&lt;&gt;"",IF(INDEX(LdgWitB,$M1516)=0,"",INDEX(LdgWitB,$M1516)),""))</f>
        <v/>
      </c>
      <c r="H1516" s="27">
        <f>IF($L1516&lt;&gt;"",IF(INDEX(SCOp,$L1516)="مرجوعی فروش",IF(INDEX(SCAmount,$L1516)=0,"",-INDEX(SCAmount,$L1516)),""),IF($M1516&lt;&gt;"",IF(INDEX(LdgDepB,$M1516)=0,"",INDEX(LdgDepB,$M1516)),""))</f>
        <v/>
      </c>
      <c r="I1516" s="28">
        <f>IF($B1516="","",IF($I1515="",$C$10,$I1515)+IF($G1516="",0,$G1516)-IF($H1516="",0,$H1516))</f>
        <v/>
      </c>
      <c r="L1516">
        <f>IFERROR(MATCH($C$5&amp;"|"&amp;RIGHT("000000"&amp;1500,6),LdgRankKeyA,0),"")</f>
        <v/>
      </c>
      <c r="M1516">
        <f>IFERROR(MATCH($C$5&amp;"|"&amp;RIGHT("000000"&amp;1500,6),LdgRankKeyB,0),"")</f>
        <v/>
      </c>
    </row>
    <row r="1517">
      <c r="A1517" s="17" t="n">
        <v>1501</v>
      </c>
      <c r="B1517" s="18">
        <f>IF(AND($L1517="",$M1517=""),"",IF($L1517&lt;&gt;"",INDEX(SCNormDate,$L1517),INDEX(LdgDateB,$M1517)))</f>
        <v/>
      </c>
      <c r="C1517" s="18">
        <f>IF($L1517&lt;&gt;"",INDEX(SCOp,$L1517),IF($M1517&lt;&gt;"","پرداخت بانکی",""))</f>
        <v/>
      </c>
      <c r="D1517" s="18">
        <f>IF($L1517&lt;&gt;"",IF(INDEX(SCDoc,$L1517)="","—",INDEX(SCDoc,$L1517)),IF($M1517&lt;&gt;"",INDEX(LdgBankB,$M1517),""))</f>
        <v/>
      </c>
      <c r="E1517" s="19">
        <f>IF($L1517&lt;&gt;"",IF(INDEX(SCCitrus,$L1517)&amp;INDEX(SCNotes,$L1517)="","",IF(INDEX(SCCitrus,$L1517)="","",INDEX(SCCitrus,$L1517))&amp;IF(INDEX(SCNotes,$L1517)="",""," — "&amp;INDEX(SCNotes,$L1517))),IF($M1517&lt;&gt;"",IF(INDEX(LdgNoteB,$M1517)="","—",INDEX(LdgNoteB,$M1517)),""))</f>
        <v/>
      </c>
      <c r="F1517" s="20">
        <f>IF($L1517&lt;&gt;"",IF(INDEX(SCNet,$L1517)=0,"",INDEX(SCNet,$L1517)),"")</f>
        <v/>
      </c>
      <c r="G1517" s="21">
        <f>IF($L1517&lt;&gt;"",IF(INDEX(SCOp,$L1517)="مرجوعی فروش","",IF(INDEX(SCAmount,$L1517)&lt;=0,"",INDEX(SCAmount,$L1517))),IF($M1517&lt;&gt;"",IF(INDEX(LdgWitB,$M1517)=0,"",INDEX(LdgWitB,$M1517)),""))</f>
        <v/>
      </c>
      <c r="H1517" s="21">
        <f>IF($L1517&lt;&gt;"",IF(INDEX(SCOp,$L1517)="مرجوعی فروش",IF(INDEX(SCAmount,$L1517)=0,"",-INDEX(SCAmount,$L1517)),""),IF($M1517&lt;&gt;"",IF(INDEX(LdgDepB,$M1517)=0,"",INDEX(LdgDepB,$M1517)),""))</f>
        <v/>
      </c>
      <c r="I1517" s="22">
        <f>IF($B1517="","",IF($I1516="",$C$10,$I1516)+IF($G1517="",0,$G1517)-IF($H1517="",0,$H1517))</f>
        <v/>
      </c>
      <c r="L1517">
        <f>IFERROR(MATCH($C$5&amp;"|"&amp;RIGHT("000000"&amp;1501,6),LdgRankKeyA,0),"")</f>
        <v/>
      </c>
      <c r="M1517">
        <f>IFERROR(MATCH($C$5&amp;"|"&amp;RIGHT("000000"&amp;1501,6),LdgRankKeyB,0),"")</f>
        <v/>
      </c>
    </row>
    <row r="1518">
      <c r="A1518" s="23" t="n">
        <v>1502</v>
      </c>
      <c r="B1518" s="24">
        <f>IF(AND($L1518="",$M1518=""),"",IF($L1518&lt;&gt;"",INDEX(SCNormDate,$L1518),INDEX(LdgDateB,$M1518)))</f>
        <v/>
      </c>
      <c r="C1518" s="24">
        <f>IF($L1518&lt;&gt;"",INDEX(SCOp,$L1518),IF($M1518&lt;&gt;"","پرداخت بانکی",""))</f>
        <v/>
      </c>
      <c r="D1518" s="24">
        <f>IF($L1518&lt;&gt;"",IF(INDEX(SCDoc,$L1518)="","—",INDEX(SCDoc,$L1518)),IF($M1518&lt;&gt;"",INDEX(LdgBankB,$M1518),""))</f>
        <v/>
      </c>
      <c r="E1518" s="25">
        <f>IF($L1518&lt;&gt;"",IF(INDEX(SCCitrus,$L1518)&amp;INDEX(SCNotes,$L1518)="","",IF(INDEX(SCCitrus,$L1518)="","",INDEX(SCCitrus,$L1518))&amp;IF(INDEX(SCNotes,$L1518)="",""," — "&amp;INDEX(SCNotes,$L1518))),IF($M1518&lt;&gt;"",IF(INDEX(LdgNoteB,$M1518)="","—",INDEX(LdgNoteB,$M1518)),""))</f>
        <v/>
      </c>
      <c r="F1518" s="26">
        <f>IF($L1518&lt;&gt;"",IF(INDEX(SCNet,$L1518)=0,"",INDEX(SCNet,$L1518)),"")</f>
        <v/>
      </c>
      <c r="G1518" s="27">
        <f>IF($L1518&lt;&gt;"",IF(INDEX(SCOp,$L1518)="مرجوعی فروش","",IF(INDEX(SCAmount,$L1518)&lt;=0,"",INDEX(SCAmount,$L1518))),IF($M1518&lt;&gt;"",IF(INDEX(LdgWitB,$M1518)=0,"",INDEX(LdgWitB,$M1518)),""))</f>
        <v/>
      </c>
      <c r="H1518" s="27">
        <f>IF($L1518&lt;&gt;"",IF(INDEX(SCOp,$L1518)="مرجوعی فروش",IF(INDEX(SCAmount,$L1518)=0,"",-INDEX(SCAmount,$L1518)),""),IF($M1518&lt;&gt;"",IF(INDEX(LdgDepB,$M1518)=0,"",INDEX(LdgDepB,$M1518)),""))</f>
        <v/>
      </c>
      <c r="I1518" s="28">
        <f>IF($B1518="","",IF($I1517="",$C$10,$I1517)+IF($G1518="",0,$G1518)-IF($H1518="",0,$H1518))</f>
        <v/>
      </c>
      <c r="L1518">
        <f>IFERROR(MATCH($C$5&amp;"|"&amp;RIGHT("000000"&amp;1502,6),LdgRankKeyA,0),"")</f>
        <v/>
      </c>
      <c r="M1518">
        <f>IFERROR(MATCH($C$5&amp;"|"&amp;RIGHT("000000"&amp;1502,6),LdgRankKeyB,0),"")</f>
        <v/>
      </c>
    </row>
    <row r="1519">
      <c r="A1519" s="17" t="n">
        <v>1503</v>
      </c>
      <c r="B1519" s="18">
        <f>IF(AND($L1519="",$M1519=""),"",IF($L1519&lt;&gt;"",INDEX(SCNormDate,$L1519),INDEX(LdgDateB,$M1519)))</f>
        <v/>
      </c>
      <c r="C1519" s="18">
        <f>IF($L1519&lt;&gt;"",INDEX(SCOp,$L1519),IF($M1519&lt;&gt;"","پرداخت بانکی",""))</f>
        <v/>
      </c>
      <c r="D1519" s="18">
        <f>IF($L1519&lt;&gt;"",IF(INDEX(SCDoc,$L1519)="","—",INDEX(SCDoc,$L1519)),IF($M1519&lt;&gt;"",INDEX(LdgBankB,$M1519),""))</f>
        <v/>
      </c>
      <c r="E1519" s="19">
        <f>IF($L1519&lt;&gt;"",IF(INDEX(SCCitrus,$L1519)&amp;INDEX(SCNotes,$L1519)="","",IF(INDEX(SCCitrus,$L1519)="","",INDEX(SCCitrus,$L1519))&amp;IF(INDEX(SCNotes,$L1519)="",""," — "&amp;INDEX(SCNotes,$L1519))),IF($M1519&lt;&gt;"",IF(INDEX(LdgNoteB,$M1519)="","—",INDEX(LdgNoteB,$M1519)),""))</f>
        <v/>
      </c>
      <c r="F1519" s="20">
        <f>IF($L1519&lt;&gt;"",IF(INDEX(SCNet,$L1519)=0,"",INDEX(SCNet,$L1519)),"")</f>
        <v/>
      </c>
      <c r="G1519" s="21">
        <f>IF($L1519&lt;&gt;"",IF(INDEX(SCOp,$L1519)="مرجوعی فروش","",IF(INDEX(SCAmount,$L1519)&lt;=0,"",INDEX(SCAmount,$L1519))),IF($M1519&lt;&gt;"",IF(INDEX(LdgWitB,$M1519)=0,"",INDEX(LdgWitB,$M1519)),""))</f>
        <v/>
      </c>
      <c r="H1519" s="21">
        <f>IF($L1519&lt;&gt;"",IF(INDEX(SCOp,$L1519)="مرجوعی فروش",IF(INDEX(SCAmount,$L1519)=0,"",-INDEX(SCAmount,$L1519)),""),IF($M1519&lt;&gt;"",IF(INDEX(LdgDepB,$M1519)=0,"",INDEX(LdgDepB,$M1519)),""))</f>
        <v/>
      </c>
      <c r="I1519" s="22">
        <f>IF($B1519="","",IF($I1518="",$C$10,$I1518)+IF($G1519="",0,$G1519)-IF($H1519="",0,$H1519))</f>
        <v/>
      </c>
      <c r="L1519">
        <f>IFERROR(MATCH($C$5&amp;"|"&amp;RIGHT("000000"&amp;1503,6),LdgRankKeyA,0),"")</f>
        <v/>
      </c>
      <c r="M1519">
        <f>IFERROR(MATCH($C$5&amp;"|"&amp;RIGHT("000000"&amp;1503,6),LdgRankKeyB,0),"")</f>
        <v/>
      </c>
    </row>
    <row r="1520">
      <c r="A1520" s="23" t="n">
        <v>1504</v>
      </c>
      <c r="B1520" s="24">
        <f>IF(AND($L1520="",$M1520=""),"",IF($L1520&lt;&gt;"",INDEX(SCNormDate,$L1520),INDEX(LdgDateB,$M1520)))</f>
        <v/>
      </c>
      <c r="C1520" s="24">
        <f>IF($L1520&lt;&gt;"",INDEX(SCOp,$L1520),IF($M1520&lt;&gt;"","پرداخت بانکی",""))</f>
        <v/>
      </c>
      <c r="D1520" s="24">
        <f>IF($L1520&lt;&gt;"",IF(INDEX(SCDoc,$L1520)="","—",INDEX(SCDoc,$L1520)),IF($M1520&lt;&gt;"",INDEX(LdgBankB,$M1520),""))</f>
        <v/>
      </c>
      <c r="E1520" s="25">
        <f>IF($L1520&lt;&gt;"",IF(INDEX(SCCitrus,$L1520)&amp;INDEX(SCNotes,$L1520)="","",IF(INDEX(SCCitrus,$L1520)="","",INDEX(SCCitrus,$L1520))&amp;IF(INDEX(SCNotes,$L1520)="",""," — "&amp;INDEX(SCNotes,$L1520))),IF($M1520&lt;&gt;"",IF(INDEX(LdgNoteB,$M1520)="","—",INDEX(LdgNoteB,$M1520)),""))</f>
        <v/>
      </c>
      <c r="F1520" s="26">
        <f>IF($L1520&lt;&gt;"",IF(INDEX(SCNet,$L1520)=0,"",INDEX(SCNet,$L1520)),"")</f>
        <v/>
      </c>
      <c r="G1520" s="27">
        <f>IF($L1520&lt;&gt;"",IF(INDEX(SCOp,$L1520)="مرجوعی فروش","",IF(INDEX(SCAmount,$L1520)&lt;=0,"",INDEX(SCAmount,$L1520))),IF($M1520&lt;&gt;"",IF(INDEX(LdgWitB,$M1520)=0,"",INDEX(LdgWitB,$M1520)),""))</f>
        <v/>
      </c>
      <c r="H1520" s="27">
        <f>IF($L1520&lt;&gt;"",IF(INDEX(SCOp,$L1520)="مرجوعی فروش",IF(INDEX(SCAmount,$L1520)=0,"",-INDEX(SCAmount,$L1520)),""),IF($M1520&lt;&gt;"",IF(INDEX(LdgDepB,$M1520)=0,"",INDEX(LdgDepB,$M1520)),""))</f>
        <v/>
      </c>
      <c r="I1520" s="28">
        <f>IF($B1520="","",IF($I1519="",$C$10,$I1519)+IF($G1520="",0,$G1520)-IF($H1520="",0,$H1520))</f>
        <v/>
      </c>
      <c r="L1520">
        <f>IFERROR(MATCH($C$5&amp;"|"&amp;RIGHT("000000"&amp;1504,6),LdgRankKeyA,0),"")</f>
        <v/>
      </c>
      <c r="M1520">
        <f>IFERROR(MATCH($C$5&amp;"|"&amp;RIGHT("000000"&amp;1504,6),LdgRankKeyB,0),"")</f>
        <v/>
      </c>
    </row>
    <row r="1521">
      <c r="A1521" s="17" t="n">
        <v>1505</v>
      </c>
      <c r="B1521" s="18">
        <f>IF(AND($L1521="",$M1521=""),"",IF($L1521&lt;&gt;"",INDEX(SCNormDate,$L1521),INDEX(LdgDateB,$M1521)))</f>
        <v/>
      </c>
      <c r="C1521" s="18">
        <f>IF($L1521&lt;&gt;"",INDEX(SCOp,$L1521),IF($M1521&lt;&gt;"","پرداخت بانکی",""))</f>
        <v/>
      </c>
      <c r="D1521" s="18">
        <f>IF($L1521&lt;&gt;"",IF(INDEX(SCDoc,$L1521)="","—",INDEX(SCDoc,$L1521)),IF($M1521&lt;&gt;"",INDEX(LdgBankB,$M1521),""))</f>
        <v/>
      </c>
      <c r="E1521" s="19">
        <f>IF($L1521&lt;&gt;"",IF(INDEX(SCCitrus,$L1521)&amp;INDEX(SCNotes,$L1521)="","",IF(INDEX(SCCitrus,$L1521)="","",INDEX(SCCitrus,$L1521))&amp;IF(INDEX(SCNotes,$L1521)="",""," — "&amp;INDEX(SCNotes,$L1521))),IF($M1521&lt;&gt;"",IF(INDEX(LdgNoteB,$M1521)="","—",INDEX(LdgNoteB,$M1521)),""))</f>
        <v/>
      </c>
      <c r="F1521" s="20">
        <f>IF($L1521&lt;&gt;"",IF(INDEX(SCNet,$L1521)=0,"",INDEX(SCNet,$L1521)),"")</f>
        <v/>
      </c>
      <c r="G1521" s="21">
        <f>IF($L1521&lt;&gt;"",IF(INDEX(SCOp,$L1521)="مرجوعی فروش","",IF(INDEX(SCAmount,$L1521)&lt;=0,"",INDEX(SCAmount,$L1521))),IF($M1521&lt;&gt;"",IF(INDEX(LdgWitB,$M1521)=0,"",INDEX(LdgWitB,$M1521)),""))</f>
        <v/>
      </c>
      <c r="H1521" s="21">
        <f>IF($L1521&lt;&gt;"",IF(INDEX(SCOp,$L1521)="مرجوعی فروش",IF(INDEX(SCAmount,$L1521)=0,"",-INDEX(SCAmount,$L1521)),""),IF($M1521&lt;&gt;"",IF(INDEX(LdgDepB,$M1521)=0,"",INDEX(LdgDepB,$M1521)),""))</f>
        <v/>
      </c>
      <c r="I1521" s="22">
        <f>IF($B1521="","",IF($I1520="",$C$10,$I1520)+IF($G1521="",0,$G1521)-IF($H1521="",0,$H1521))</f>
        <v/>
      </c>
      <c r="L1521">
        <f>IFERROR(MATCH($C$5&amp;"|"&amp;RIGHT("000000"&amp;1505,6),LdgRankKeyA,0),"")</f>
        <v/>
      </c>
      <c r="M1521">
        <f>IFERROR(MATCH($C$5&amp;"|"&amp;RIGHT("000000"&amp;1505,6),LdgRankKeyB,0),"")</f>
        <v/>
      </c>
    </row>
    <row r="1522">
      <c r="A1522" s="23" t="n">
        <v>1506</v>
      </c>
      <c r="B1522" s="24">
        <f>IF(AND($L1522="",$M1522=""),"",IF($L1522&lt;&gt;"",INDEX(SCNormDate,$L1522),INDEX(LdgDateB,$M1522)))</f>
        <v/>
      </c>
      <c r="C1522" s="24">
        <f>IF($L1522&lt;&gt;"",INDEX(SCOp,$L1522),IF($M1522&lt;&gt;"","پرداخت بانکی",""))</f>
        <v/>
      </c>
      <c r="D1522" s="24">
        <f>IF($L1522&lt;&gt;"",IF(INDEX(SCDoc,$L1522)="","—",INDEX(SCDoc,$L1522)),IF($M1522&lt;&gt;"",INDEX(LdgBankB,$M1522),""))</f>
        <v/>
      </c>
      <c r="E1522" s="25">
        <f>IF($L1522&lt;&gt;"",IF(INDEX(SCCitrus,$L1522)&amp;INDEX(SCNotes,$L1522)="","",IF(INDEX(SCCitrus,$L1522)="","",INDEX(SCCitrus,$L1522))&amp;IF(INDEX(SCNotes,$L1522)="",""," — "&amp;INDEX(SCNotes,$L1522))),IF($M1522&lt;&gt;"",IF(INDEX(LdgNoteB,$M1522)="","—",INDEX(LdgNoteB,$M1522)),""))</f>
        <v/>
      </c>
      <c r="F1522" s="26">
        <f>IF($L1522&lt;&gt;"",IF(INDEX(SCNet,$L1522)=0,"",INDEX(SCNet,$L1522)),"")</f>
        <v/>
      </c>
      <c r="G1522" s="27">
        <f>IF($L1522&lt;&gt;"",IF(INDEX(SCOp,$L1522)="مرجوعی فروش","",IF(INDEX(SCAmount,$L1522)&lt;=0,"",INDEX(SCAmount,$L1522))),IF($M1522&lt;&gt;"",IF(INDEX(LdgWitB,$M1522)=0,"",INDEX(LdgWitB,$M1522)),""))</f>
        <v/>
      </c>
      <c r="H1522" s="27">
        <f>IF($L1522&lt;&gt;"",IF(INDEX(SCOp,$L1522)="مرجوعی فروش",IF(INDEX(SCAmount,$L1522)=0,"",-INDEX(SCAmount,$L1522)),""),IF($M1522&lt;&gt;"",IF(INDEX(LdgDepB,$M1522)=0,"",INDEX(LdgDepB,$M1522)),""))</f>
        <v/>
      </c>
      <c r="I1522" s="28">
        <f>IF($B1522="","",IF($I1521="",$C$10,$I1521)+IF($G1522="",0,$G1522)-IF($H1522="",0,$H1522))</f>
        <v/>
      </c>
      <c r="L1522">
        <f>IFERROR(MATCH($C$5&amp;"|"&amp;RIGHT("000000"&amp;1506,6),LdgRankKeyA,0),"")</f>
        <v/>
      </c>
      <c r="M1522">
        <f>IFERROR(MATCH($C$5&amp;"|"&amp;RIGHT("000000"&amp;1506,6),LdgRankKeyB,0),"")</f>
        <v/>
      </c>
    </row>
    <row r="1523">
      <c r="A1523" s="17" t="n">
        <v>1507</v>
      </c>
      <c r="B1523" s="18">
        <f>IF(AND($L1523="",$M1523=""),"",IF($L1523&lt;&gt;"",INDEX(SCNormDate,$L1523),INDEX(LdgDateB,$M1523)))</f>
        <v/>
      </c>
      <c r="C1523" s="18">
        <f>IF($L1523&lt;&gt;"",INDEX(SCOp,$L1523),IF($M1523&lt;&gt;"","پرداخت بانکی",""))</f>
        <v/>
      </c>
      <c r="D1523" s="18">
        <f>IF($L1523&lt;&gt;"",IF(INDEX(SCDoc,$L1523)="","—",INDEX(SCDoc,$L1523)),IF($M1523&lt;&gt;"",INDEX(LdgBankB,$M1523),""))</f>
        <v/>
      </c>
      <c r="E1523" s="19">
        <f>IF($L1523&lt;&gt;"",IF(INDEX(SCCitrus,$L1523)&amp;INDEX(SCNotes,$L1523)="","",IF(INDEX(SCCitrus,$L1523)="","",INDEX(SCCitrus,$L1523))&amp;IF(INDEX(SCNotes,$L1523)="",""," — "&amp;INDEX(SCNotes,$L1523))),IF($M1523&lt;&gt;"",IF(INDEX(LdgNoteB,$M1523)="","—",INDEX(LdgNoteB,$M1523)),""))</f>
        <v/>
      </c>
      <c r="F1523" s="20">
        <f>IF($L1523&lt;&gt;"",IF(INDEX(SCNet,$L1523)=0,"",INDEX(SCNet,$L1523)),"")</f>
        <v/>
      </c>
      <c r="G1523" s="21">
        <f>IF($L1523&lt;&gt;"",IF(INDEX(SCOp,$L1523)="مرجوعی فروش","",IF(INDEX(SCAmount,$L1523)&lt;=0,"",INDEX(SCAmount,$L1523))),IF($M1523&lt;&gt;"",IF(INDEX(LdgWitB,$M1523)=0,"",INDEX(LdgWitB,$M1523)),""))</f>
        <v/>
      </c>
      <c r="H1523" s="21">
        <f>IF($L1523&lt;&gt;"",IF(INDEX(SCOp,$L1523)="مرجوعی فروش",IF(INDEX(SCAmount,$L1523)=0,"",-INDEX(SCAmount,$L1523)),""),IF($M1523&lt;&gt;"",IF(INDEX(LdgDepB,$M1523)=0,"",INDEX(LdgDepB,$M1523)),""))</f>
        <v/>
      </c>
      <c r="I1523" s="22">
        <f>IF($B1523="","",IF($I1522="",$C$10,$I1522)+IF($G1523="",0,$G1523)-IF($H1523="",0,$H1523))</f>
        <v/>
      </c>
      <c r="L1523">
        <f>IFERROR(MATCH($C$5&amp;"|"&amp;RIGHT("000000"&amp;1507,6),LdgRankKeyA,0),"")</f>
        <v/>
      </c>
      <c r="M1523">
        <f>IFERROR(MATCH($C$5&amp;"|"&amp;RIGHT("000000"&amp;1507,6),LdgRankKeyB,0),"")</f>
        <v/>
      </c>
    </row>
    <row r="1524">
      <c r="A1524" s="23" t="n">
        <v>1508</v>
      </c>
      <c r="B1524" s="24">
        <f>IF(AND($L1524="",$M1524=""),"",IF($L1524&lt;&gt;"",INDEX(SCNormDate,$L1524),INDEX(LdgDateB,$M1524)))</f>
        <v/>
      </c>
      <c r="C1524" s="24">
        <f>IF($L1524&lt;&gt;"",INDEX(SCOp,$L1524),IF($M1524&lt;&gt;"","پرداخت بانکی",""))</f>
        <v/>
      </c>
      <c r="D1524" s="24">
        <f>IF($L1524&lt;&gt;"",IF(INDEX(SCDoc,$L1524)="","—",INDEX(SCDoc,$L1524)),IF($M1524&lt;&gt;"",INDEX(LdgBankB,$M1524),""))</f>
        <v/>
      </c>
      <c r="E1524" s="25">
        <f>IF($L1524&lt;&gt;"",IF(INDEX(SCCitrus,$L1524)&amp;INDEX(SCNotes,$L1524)="","",IF(INDEX(SCCitrus,$L1524)="","",INDEX(SCCitrus,$L1524))&amp;IF(INDEX(SCNotes,$L1524)="",""," — "&amp;INDEX(SCNotes,$L1524))),IF($M1524&lt;&gt;"",IF(INDEX(LdgNoteB,$M1524)="","—",INDEX(LdgNoteB,$M1524)),""))</f>
        <v/>
      </c>
      <c r="F1524" s="26">
        <f>IF($L1524&lt;&gt;"",IF(INDEX(SCNet,$L1524)=0,"",INDEX(SCNet,$L1524)),"")</f>
        <v/>
      </c>
      <c r="G1524" s="27">
        <f>IF($L1524&lt;&gt;"",IF(INDEX(SCOp,$L1524)="مرجوعی فروش","",IF(INDEX(SCAmount,$L1524)&lt;=0,"",INDEX(SCAmount,$L1524))),IF($M1524&lt;&gt;"",IF(INDEX(LdgWitB,$M1524)=0,"",INDEX(LdgWitB,$M1524)),""))</f>
        <v/>
      </c>
      <c r="H1524" s="27">
        <f>IF($L1524&lt;&gt;"",IF(INDEX(SCOp,$L1524)="مرجوعی فروش",IF(INDEX(SCAmount,$L1524)=0,"",-INDEX(SCAmount,$L1524)),""),IF($M1524&lt;&gt;"",IF(INDEX(LdgDepB,$M1524)=0,"",INDEX(LdgDepB,$M1524)),""))</f>
        <v/>
      </c>
      <c r="I1524" s="28">
        <f>IF($B1524="","",IF($I1523="",$C$10,$I1523)+IF($G1524="",0,$G1524)-IF($H1524="",0,$H1524))</f>
        <v/>
      </c>
      <c r="L1524">
        <f>IFERROR(MATCH($C$5&amp;"|"&amp;RIGHT("000000"&amp;1508,6),LdgRankKeyA,0),"")</f>
        <v/>
      </c>
      <c r="M1524">
        <f>IFERROR(MATCH($C$5&amp;"|"&amp;RIGHT("000000"&amp;1508,6),LdgRankKeyB,0),"")</f>
        <v/>
      </c>
    </row>
    <row r="1525">
      <c r="A1525" s="17" t="n">
        <v>1509</v>
      </c>
      <c r="B1525" s="18">
        <f>IF(AND($L1525="",$M1525=""),"",IF($L1525&lt;&gt;"",INDEX(SCNormDate,$L1525),INDEX(LdgDateB,$M1525)))</f>
        <v/>
      </c>
      <c r="C1525" s="18">
        <f>IF($L1525&lt;&gt;"",INDEX(SCOp,$L1525),IF($M1525&lt;&gt;"","پرداخت بانکی",""))</f>
        <v/>
      </c>
      <c r="D1525" s="18">
        <f>IF($L1525&lt;&gt;"",IF(INDEX(SCDoc,$L1525)="","—",INDEX(SCDoc,$L1525)),IF($M1525&lt;&gt;"",INDEX(LdgBankB,$M1525),""))</f>
        <v/>
      </c>
      <c r="E1525" s="19">
        <f>IF($L1525&lt;&gt;"",IF(INDEX(SCCitrus,$L1525)&amp;INDEX(SCNotes,$L1525)="","",IF(INDEX(SCCitrus,$L1525)="","",INDEX(SCCitrus,$L1525))&amp;IF(INDEX(SCNotes,$L1525)="",""," — "&amp;INDEX(SCNotes,$L1525))),IF($M1525&lt;&gt;"",IF(INDEX(LdgNoteB,$M1525)="","—",INDEX(LdgNoteB,$M1525)),""))</f>
        <v/>
      </c>
      <c r="F1525" s="20">
        <f>IF($L1525&lt;&gt;"",IF(INDEX(SCNet,$L1525)=0,"",INDEX(SCNet,$L1525)),"")</f>
        <v/>
      </c>
      <c r="G1525" s="21">
        <f>IF($L1525&lt;&gt;"",IF(INDEX(SCOp,$L1525)="مرجوعی فروش","",IF(INDEX(SCAmount,$L1525)&lt;=0,"",INDEX(SCAmount,$L1525))),IF($M1525&lt;&gt;"",IF(INDEX(LdgWitB,$M1525)=0,"",INDEX(LdgWitB,$M1525)),""))</f>
        <v/>
      </c>
      <c r="H1525" s="21">
        <f>IF($L1525&lt;&gt;"",IF(INDEX(SCOp,$L1525)="مرجوعی فروش",IF(INDEX(SCAmount,$L1525)=0,"",-INDEX(SCAmount,$L1525)),""),IF($M1525&lt;&gt;"",IF(INDEX(LdgDepB,$M1525)=0,"",INDEX(LdgDepB,$M1525)),""))</f>
        <v/>
      </c>
      <c r="I1525" s="22">
        <f>IF($B1525="","",IF($I1524="",$C$10,$I1524)+IF($G1525="",0,$G1525)-IF($H1525="",0,$H1525))</f>
        <v/>
      </c>
      <c r="L1525">
        <f>IFERROR(MATCH($C$5&amp;"|"&amp;RIGHT("000000"&amp;1509,6),LdgRankKeyA,0),"")</f>
        <v/>
      </c>
      <c r="M1525">
        <f>IFERROR(MATCH($C$5&amp;"|"&amp;RIGHT("000000"&amp;1509,6),LdgRankKeyB,0),"")</f>
        <v/>
      </c>
    </row>
    <row r="1526">
      <c r="A1526" s="23" t="n">
        <v>1510</v>
      </c>
      <c r="B1526" s="24">
        <f>IF(AND($L1526="",$M1526=""),"",IF($L1526&lt;&gt;"",INDEX(SCNormDate,$L1526),INDEX(LdgDateB,$M1526)))</f>
        <v/>
      </c>
      <c r="C1526" s="24">
        <f>IF($L1526&lt;&gt;"",INDEX(SCOp,$L1526),IF($M1526&lt;&gt;"","پرداخت بانکی",""))</f>
        <v/>
      </c>
      <c r="D1526" s="24">
        <f>IF($L1526&lt;&gt;"",IF(INDEX(SCDoc,$L1526)="","—",INDEX(SCDoc,$L1526)),IF($M1526&lt;&gt;"",INDEX(LdgBankB,$M1526),""))</f>
        <v/>
      </c>
      <c r="E1526" s="25">
        <f>IF($L1526&lt;&gt;"",IF(INDEX(SCCitrus,$L1526)&amp;INDEX(SCNotes,$L1526)="","",IF(INDEX(SCCitrus,$L1526)="","",INDEX(SCCitrus,$L1526))&amp;IF(INDEX(SCNotes,$L1526)="",""," — "&amp;INDEX(SCNotes,$L1526))),IF($M1526&lt;&gt;"",IF(INDEX(LdgNoteB,$M1526)="","—",INDEX(LdgNoteB,$M1526)),""))</f>
        <v/>
      </c>
      <c r="F1526" s="26">
        <f>IF($L1526&lt;&gt;"",IF(INDEX(SCNet,$L1526)=0,"",INDEX(SCNet,$L1526)),"")</f>
        <v/>
      </c>
      <c r="G1526" s="27">
        <f>IF($L1526&lt;&gt;"",IF(INDEX(SCOp,$L1526)="مرجوعی فروش","",IF(INDEX(SCAmount,$L1526)&lt;=0,"",INDEX(SCAmount,$L1526))),IF($M1526&lt;&gt;"",IF(INDEX(LdgWitB,$M1526)=0,"",INDEX(LdgWitB,$M1526)),""))</f>
        <v/>
      </c>
      <c r="H1526" s="27">
        <f>IF($L1526&lt;&gt;"",IF(INDEX(SCOp,$L1526)="مرجوعی فروش",IF(INDEX(SCAmount,$L1526)=0,"",-INDEX(SCAmount,$L1526)),""),IF($M1526&lt;&gt;"",IF(INDEX(LdgDepB,$M1526)=0,"",INDEX(LdgDepB,$M1526)),""))</f>
        <v/>
      </c>
      <c r="I1526" s="28">
        <f>IF($B1526="","",IF($I1525="",$C$10,$I1525)+IF($G1526="",0,$G1526)-IF($H1526="",0,$H1526))</f>
        <v/>
      </c>
      <c r="L1526">
        <f>IFERROR(MATCH($C$5&amp;"|"&amp;RIGHT("000000"&amp;1510,6),LdgRankKeyA,0),"")</f>
        <v/>
      </c>
      <c r="M1526">
        <f>IFERROR(MATCH($C$5&amp;"|"&amp;RIGHT("000000"&amp;1510,6),LdgRankKeyB,0),"")</f>
        <v/>
      </c>
    </row>
    <row r="1527">
      <c r="A1527" s="17" t="n">
        <v>1511</v>
      </c>
      <c r="B1527" s="18">
        <f>IF(AND($L1527="",$M1527=""),"",IF($L1527&lt;&gt;"",INDEX(SCNormDate,$L1527),INDEX(LdgDateB,$M1527)))</f>
        <v/>
      </c>
      <c r="C1527" s="18">
        <f>IF($L1527&lt;&gt;"",INDEX(SCOp,$L1527),IF($M1527&lt;&gt;"","پرداخت بانکی",""))</f>
        <v/>
      </c>
      <c r="D1527" s="18">
        <f>IF($L1527&lt;&gt;"",IF(INDEX(SCDoc,$L1527)="","—",INDEX(SCDoc,$L1527)),IF($M1527&lt;&gt;"",INDEX(LdgBankB,$M1527),""))</f>
        <v/>
      </c>
      <c r="E1527" s="19">
        <f>IF($L1527&lt;&gt;"",IF(INDEX(SCCitrus,$L1527)&amp;INDEX(SCNotes,$L1527)="","",IF(INDEX(SCCitrus,$L1527)="","",INDEX(SCCitrus,$L1527))&amp;IF(INDEX(SCNotes,$L1527)="",""," — "&amp;INDEX(SCNotes,$L1527))),IF($M1527&lt;&gt;"",IF(INDEX(LdgNoteB,$M1527)="","—",INDEX(LdgNoteB,$M1527)),""))</f>
        <v/>
      </c>
      <c r="F1527" s="20">
        <f>IF($L1527&lt;&gt;"",IF(INDEX(SCNet,$L1527)=0,"",INDEX(SCNet,$L1527)),"")</f>
        <v/>
      </c>
      <c r="G1527" s="21">
        <f>IF($L1527&lt;&gt;"",IF(INDEX(SCOp,$L1527)="مرجوعی فروش","",IF(INDEX(SCAmount,$L1527)&lt;=0,"",INDEX(SCAmount,$L1527))),IF($M1527&lt;&gt;"",IF(INDEX(LdgWitB,$M1527)=0,"",INDEX(LdgWitB,$M1527)),""))</f>
        <v/>
      </c>
      <c r="H1527" s="21">
        <f>IF($L1527&lt;&gt;"",IF(INDEX(SCOp,$L1527)="مرجوعی فروش",IF(INDEX(SCAmount,$L1527)=0,"",-INDEX(SCAmount,$L1527)),""),IF($M1527&lt;&gt;"",IF(INDEX(LdgDepB,$M1527)=0,"",INDEX(LdgDepB,$M1527)),""))</f>
        <v/>
      </c>
      <c r="I1527" s="22">
        <f>IF($B1527="","",IF($I1526="",$C$10,$I1526)+IF($G1527="",0,$G1527)-IF($H1527="",0,$H1527))</f>
        <v/>
      </c>
      <c r="L1527">
        <f>IFERROR(MATCH($C$5&amp;"|"&amp;RIGHT("000000"&amp;1511,6),LdgRankKeyA,0),"")</f>
        <v/>
      </c>
      <c r="M1527">
        <f>IFERROR(MATCH($C$5&amp;"|"&amp;RIGHT("000000"&amp;1511,6),LdgRankKeyB,0),"")</f>
        <v/>
      </c>
    </row>
    <row r="1528">
      <c r="A1528" s="23" t="n">
        <v>1512</v>
      </c>
      <c r="B1528" s="24">
        <f>IF(AND($L1528="",$M1528=""),"",IF($L1528&lt;&gt;"",INDEX(SCNormDate,$L1528),INDEX(LdgDateB,$M1528)))</f>
        <v/>
      </c>
      <c r="C1528" s="24">
        <f>IF($L1528&lt;&gt;"",INDEX(SCOp,$L1528),IF($M1528&lt;&gt;"","پرداخت بانکی",""))</f>
        <v/>
      </c>
      <c r="D1528" s="24">
        <f>IF($L1528&lt;&gt;"",IF(INDEX(SCDoc,$L1528)="","—",INDEX(SCDoc,$L1528)),IF($M1528&lt;&gt;"",INDEX(LdgBankB,$M1528),""))</f>
        <v/>
      </c>
      <c r="E1528" s="25">
        <f>IF($L1528&lt;&gt;"",IF(INDEX(SCCitrus,$L1528)&amp;INDEX(SCNotes,$L1528)="","",IF(INDEX(SCCitrus,$L1528)="","",INDEX(SCCitrus,$L1528))&amp;IF(INDEX(SCNotes,$L1528)="",""," — "&amp;INDEX(SCNotes,$L1528))),IF($M1528&lt;&gt;"",IF(INDEX(LdgNoteB,$M1528)="","—",INDEX(LdgNoteB,$M1528)),""))</f>
        <v/>
      </c>
      <c r="F1528" s="26">
        <f>IF($L1528&lt;&gt;"",IF(INDEX(SCNet,$L1528)=0,"",INDEX(SCNet,$L1528)),"")</f>
        <v/>
      </c>
      <c r="G1528" s="27">
        <f>IF($L1528&lt;&gt;"",IF(INDEX(SCOp,$L1528)="مرجوعی فروش","",IF(INDEX(SCAmount,$L1528)&lt;=0,"",INDEX(SCAmount,$L1528))),IF($M1528&lt;&gt;"",IF(INDEX(LdgWitB,$M1528)=0,"",INDEX(LdgWitB,$M1528)),""))</f>
        <v/>
      </c>
      <c r="H1528" s="27">
        <f>IF($L1528&lt;&gt;"",IF(INDEX(SCOp,$L1528)="مرجوعی فروش",IF(INDEX(SCAmount,$L1528)=0,"",-INDEX(SCAmount,$L1528)),""),IF($M1528&lt;&gt;"",IF(INDEX(LdgDepB,$M1528)=0,"",INDEX(LdgDepB,$M1528)),""))</f>
        <v/>
      </c>
      <c r="I1528" s="28">
        <f>IF($B1528="","",IF($I1527="",$C$10,$I1527)+IF($G1528="",0,$G1528)-IF($H1528="",0,$H1528))</f>
        <v/>
      </c>
      <c r="L1528">
        <f>IFERROR(MATCH($C$5&amp;"|"&amp;RIGHT("000000"&amp;1512,6),LdgRankKeyA,0),"")</f>
        <v/>
      </c>
      <c r="M1528">
        <f>IFERROR(MATCH($C$5&amp;"|"&amp;RIGHT("000000"&amp;1512,6),LdgRankKeyB,0),"")</f>
        <v/>
      </c>
    </row>
    <row r="1529">
      <c r="A1529" s="17" t="n">
        <v>1513</v>
      </c>
      <c r="B1529" s="18">
        <f>IF(AND($L1529="",$M1529=""),"",IF($L1529&lt;&gt;"",INDEX(SCNormDate,$L1529),INDEX(LdgDateB,$M1529)))</f>
        <v/>
      </c>
      <c r="C1529" s="18">
        <f>IF($L1529&lt;&gt;"",INDEX(SCOp,$L1529),IF($M1529&lt;&gt;"","پرداخت بانکی",""))</f>
        <v/>
      </c>
      <c r="D1529" s="18">
        <f>IF($L1529&lt;&gt;"",IF(INDEX(SCDoc,$L1529)="","—",INDEX(SCDoc,$L1529)),IF($M1529&lt;&gt;"",INDEX(LdgBankB,$M1529),""))</f>
        <v/>
      </c>
      <c r="E1529" s="19">
        <f>IF($L1529&lt;&gt;"",IF(INDEX(SCCitrus,$L1529)&amp;INDEX(SCNotes,$L1529)="","",IF(INDEX(SCCitrus,$L1529)="","",INDEX(SCCitrus,$L1529))&amp;IF(INDEX(SCNotes,$L1529)="",""," — "&amp;INDEX(SCNotes,$L1529))),IF($M1529&lt;&gt;"",IF(INDEX(LdgNoteB,$M1529)="","—",INDEX(LdgNoteB,$M1529)),""))</f>
        <v/>
      </c>
      <c r="F1529" s="20">
        <f>IF($L1529&lt;&gt;"",IF(INDEX(SCNet,$L1529)=0,"",INDEX(SCNet,$L1529)),"")</f>
        <v/>
      </c>
      <c r="G1529" s="21">
        <f>IF($L1529&lt;&gt;"",IF(INDEX(SCOp,$L1529)="مرجوعی فروش","",IF(INDEX(SCAmount,$L1529)&lt;=0,"",INDEX(SCAmount,$L1529))),IF($M1529&lt;&gt;"",IF(INDEX(LdgWitB,$M1529)=0,"",INDEX(LdgWitB,$M1529)),""))</f>
        <v/>
      </c>
      <c r="H1529" s="21">
        <f>IF($L1529&lt;&gt;"",IF(INDEX(SCOp,$L1529)="مرجوعی فروش",IF(INDEX(SCAmount,$L1529)=0,"",-INDEX(SCAmount,$L1529)),""),IF($M1529&lt;&gt;"",IF(INDEX(LdgDepB,$M1529)=0,"",INDEX(LdgDepB,$M1529)),""))</f>
        <v/>
      </c>
      <c r="I1529" s="22">
        <f>IF($B1529="","",IF($I1528="",$C$10,$I1528)+IF($G1529="",0,$G1529)-IF($H1529="",0,$H1529))</f>
        <v/>
      </c>
      <c r="L1529">
        <f>IFERROR(MATCH($C$5&amp;"|"&amp;RIGHT("000000"&amp;1513,6),LdgRankKeyA,0),"")</f>
        <v/>
      </c>
      <c r="M1529">
        <f>IFERROR(MATCH($C$5&amp;"|"&amp;RIGHT("000000"&amp;1513,6),LdgRankKeyB,0),"")</f>
        <v/>
      </c>
    </row>
    <row r="1530">
      <c r="A1530" s="23" t="n">
        <v>1514</v>
      </c>
      <c r="B1530" s="24">
        <f>IF(AND($L1530="",$M1530=""),"",IF($L1530&lt;&gt;"",INDEX(SCNormDate,$L1530),INDEX(LdgDateB,$M1530)))</f>
        <v/>
      </c>
      <c r="C1530" s="24">
        <f>IF($L1530&lt;&gt;"",INDEX(SCOp,$L1530),IF($M1530&lt;&gt;"","پرداخت بانکی",""))</f>
        <v/>
      </c>
      <c r="D1530" s="24">
        <f>IF($L1530&lt;&gt;"",IF(INDEX(SCDoc,$L1530)="","—",INDEX(SCDoc,$L1530)),IF($M1530&lt;&gt;"",INDEX(LdgBankB,$M1530),""))</f>
        <v/>
      </c>
      <c r="E1530" s="25">
        <f>IF($L1530&lt;&gt;"",IF(INDEX(SCCitrus,$L1530)&amp;INDEX(SCNotes,$L1530)="","",IF(INDEX(SCCitrus,$L1530)="","",INDEX(SCCitrus,$L1530))&amp;IF(INDEX(SCNotes,$L1530)="",""," — "&amp;INDEX(SCNotes,$L1530))),IF($M1530&lt;&gt;"",IF(INDEX(LdgNoteB,$M1530)="","—",INDEX(LdgNoteB,$M1530)),""))</f>
        <v/>
      </c>
      <c r="F1530" s="26">
        <f>IF($L1530&lt;&gt;"",IF(INDEX(SCNet,$L1530)=0,"",INDEX(SCNet,$L1530)),"")</f>
        <v/>
      </c>
      <c r="G1530" s="27">
        <f>IF($L1530&lt;&gt;"",IF(INDEX(SCOp,$L1530)="مرجوعی فروش","",IF(INDEX(SCAmount,$L1530)&lt;=0,"",INDEX(SCAmount,$L1530))),IF($M1530&lt;&gt;"",IF(INDEX(LdgWitB,$M1530)=0,"",INDEX(LdgWitB,$M1530)),""))</f>
        <v/>
      </c>
      <c r="H1530" s="27">
        <f>IF($L1530&lt;&gt;"",IF(INDEX(SCOp,$L1530)="مرجوعی فروش",IF(INDEX(SCAmount,$L1530)=0,"",-INDEX(SCAmount,$L1530)),""),IF($M1530&lt;&gt;"",IF(INDEX(LdgDepB,$M1530)=0,"",INDEX(LdgDepB,$M1530)),""))</f>
        <v/>
      </c>
      <c r="I1530" s="28">
        <f>IF($B1530="","",IF($I1529="",$C$10,$I1529)+IF($G1530="",0,$G1530)-IF($H1530="",0,$H1530))</f>
        <v/>
      </c>
      <c r="L1530">
        <f>IFERROR(MATCH($C$5&amp;"|"&amp;RIGHT("000000"&amp;1514,6),LdgRankKeyA,0),"")</f>
        <v/>
      </c>
      <c r="M1530">
        <f>IFERROR(MATCH($C$5&amp;"|"&amp;RIGHT("000000"&amp;1514,6),LdgRankKeyB,0),"")</f>
        <v/>
      </c>
    </row>
    <row r="1531">
      <c r="A1531" s="17" t="n">
        <v>1515</v>
      </c>
      <c r="B1531" s="18">
        <f>IF(AND($L1531="",$M1531=""),"",IF($L1531&lt;&gt;"",INDEX(SCNormDate,$L1531),INDEX(LdgDateB,$M1531)))</f>
        <v/>
      </c>
      <c r="C1531" s="18">
        <f>IF($L1531&lt;&gt;"",INDEX(SCOp,$L1531),IF($M1531&lt;&gt;"","پرداخت بانکی",""))</f>
        <v/>
      </c>
      <c r="D1531" s="18">
        <f>IF($L1531&lt;&gt;"",IF(INDEX(SCDoc,$L1531)="","—",INDEX(SCDoc,$L1531)),IF($M1531&lt;&gt;"",INDEX(LdgBankB,$M1531),""))</f>
        <v/>
      </c>
      <c r="E1531" s="19">
        <f>IF($L1531&lt;&gt;"",IF(INDEX(SCCitrus,$L1531)&amp;INDEX(SCNotes,$L1531)="","",IF(INDEX(SCCitrus,$L1531)="","",INDEX(SCCitrus,$L1531))&amp;IF(INDEX(SCNotes,$L1531)="",""," — "&amp;INDEX(SCNotes,$L1531))),IF($M1531&lt;&gt;"",IF(INDEX(LdgNoteB,$M1531)="","—",INDEX(LdgNoteB,$M1531)),""))</f>
        <v/>
      </c>
      <c r="F1531" s="20">
        <f>IF($L1531&lt;&gt;"",IF(INDEX(SCNet,$L1531)=0,"",INDEX(SCNet,$L1531)),"")</f>
        <v/>
      </c>
      <c r="G1531" s="21">
        <f>IF($L1531&lt;&gt;"",IF(INDEX(SCOp,$L1531)="مرجوعی فروش","",IF(INDEX(SCAmount,$L1531)&lt;=0,"",INDEX(SCAmount,$L1531))),IF($M1531&lt;&gt;"",IF(INDEX(LdgWitB,$M1531)=0,"",INDEX(LdgWitB,$M1531)),""))</f>
        <v/>
      </c>
      <c r="H1531" s="21">
        <f>IF($L1531&lt;&gt;"",IF(INDEX(SCOp,$L1531)="مرجوعی فروش",IF(INDEX(SCAmount,$L1531)=0,"",-INDEX(SCAmount,$L1531)),""),IF($M1531&lt;&gt;"",IF(INDEX(LdgDepB,$M1531)=0,"",INDEX(LdgDepB,$M1531)),""))</f>
        <v/>
      </c>
      <c r="I1531" s="22">
        <f>IF($B1531="","",IF($I1530="",$C$10,$I1530)+IF($G1531="",0,$G1531)-IF($H1531="",0,$H1531))</f>
        <v/>
      </c>
      <c r="L1531">
        <f>IFERROR(MATCH($C$5&amp;"|"&amp;RIGHT("000000"&amp;1515,6),LdgRankKeyA,0),"")</f>
        <v/>
      </c>
      <c r="M1531">
        <f>IFERROR(MATCH($C$5&amp;"|"&amp;RIGHT("000000"&amp;1515,6),LdgRankKeyB,0),"")</f>
        <v/>
      </c>
    </row>
    <row r="1532">
      <c r="A1532" s="23" t="n">
        <v>1516</v>
      </c>
      <c r="B1532" s="24">
        <f>IF(AND($L1532="",$M1532=""),"",IF($L1532&lt;&gt;"",INDEX(SCNormDate,$L1532),INDEX(LdgDateB,$M1532)))</f>
        <v/>
      </c>
      <c r="C1532" s="24">
        <f>IF($L1532&lt;&gt;"",INDEX(SCOp,$L1532),IF($M1532&lt;&gt;"","پرداخت بانکی",""))</f>
        <v/>
      </c>
      <c r="D1532" s="24">
        <f>IF($L1532&lt;&gt;"",IF(INDEX(SCDoc,$L1532)="","—",INDEX(SCDoc,$L1532)),IF($M1532&lt;&gt;"",INDEX(LdgBankB,$M1532),""))</f>
        <v/>
      </c>
      <c r="E1532" s="25">
        <f>IF($L1532&lt;&gt;"",IF(INDEX(SCCitrus,$L1532)&amp;INDEX(SCNotes,$L1532)="","",IF(INDEX(SCCitrus,$L1532)="","",INDEX(SCCitrus,$L1532))&amp;IF(INDEX(SCNotes,$L1532)="",""," — "&amp;INDEX(SCNotes,$L1532))),IF($M1532&lt;&gt;"",IF(INDEX(LdgNoteB,$M1532)="","—",INDEX(LdgNoteB,$M1532)),""))</f>
        <v/>
      </c>
      <c r="F1532" s="26">
        <f>IF($L1532&lt;&gt;"",IF(INDEX(SCNet,$L1532)=0,"",INDEX(SCNet,$L1532)),"")</f>
        <v/>
      </c>
      <c r="G1532" s="27">
        <f>IF($L1532&lt;&gt;"",IF(INDEX(SCOp,$L1532)="مرجوعی فروش","",IF(INDEX(SCAmount,$L1532)&lt;=0,"",INDEX(SCAmount,$L1532))),IF($M1532&lt;&gt;"",IF(INDEX(LdgWitB,$M1532)=0,"",INDEX(LdgWitB,$M1532)),""))</f>
        <v/>
      </c>
      <c r="H1532" s="27">
        <f>IF($L1532&lt;&gt;"",IF(INDEX(SCOp,$L1532)="مرجوعی فروش",IF(INDEX(SCAmount,$L1532)=0,"",-INDEX(SCAmount,$L1532)),""),IF($M1532&lt;&gt;"",IF(INDEX(LdgDepB,$M1532)=0,"",INDEX(LdgDepB,$M1532)),""))</f>
        <v/>
      </c>
      <c r="I1532" s="28">
        <f>IF($B1532="","",IF($I1531="",$C$10,$I1531)+IF($G1532="",0,$G1532)-IF($H1532="",0,$H1532))</f>
        <v/>
      </c>
      <c r="L1532">
        <f>IFERROR(MATCH($C$5&amp;"|"&amp;RIGHT("000000"&amp;1516,6),LdgRankKeyA,0),"")</f>
        <v/>
      </c>
      <c r="M1532">
        <f>IFERROR(MATCH($C$5&amp;"|"&amp;RIGHT("000000"&amp;1516,6),LdgRankKeyB,0),"")</f>
        <v/>
      </c>
    </row>
    <row r="1533">
      <c r="A1533" s="17" t="n">
        <v>1517</v>
      </c>
      <c r="B1533" s="18">
        <f>IF(AND($L1533="",$M1533=""),"",IF($L1533&lt;&gt;"",INDEX(SCNormDate,$L1533),INDEX(LdgDateB,$M1533)))</f>
        <v/>
      </c>
      <c r="C1533" s="18">
        <f>IF($L1533&lt;&gt;"",INDEX(SCOp,$L1533),IF($M1533&lt;&gt;"","پرداخت بانکی",""))</f>
        <v/>
      </c>
      <c r="D1533" s="18">
        <f>IF($L1533&lt;&gt;"",IF(INDEX(SCDoc,$L1533)="","—",INDEX(SCDoc,$L1533)),IF($M1533&lt;&gt;"",INDEX(LdgBankB,$M1533),""))</f>
        <v/>
      </c>
      <c r="E1533" s="19">
        <f>IF($L1533&lt;&gt;"",IF(INDEX(SCCitrus,$L1533)&amp;INDEX(SCNotes,$L1533)="","",IF(INDEX(SCCitrus,$L1533)="","",INDEX(SCCitrus,$L1533))&amp;IF(INDEX(SCNotes,$L1533)="",""," — "&amp;INDEX(SCNotes,$L1533))),IF($M1533&lt;&gt;"",IF(INDEX(LdgNoteB,$M1533)="","—",INDEX(LdgNoteB,$M1533)),""))</f>
        <v/>
      </c>
      <c r="F1533" s="20">
        <f>IF($L1533&lt;&gt;"",IF(INDEX(SCNet,$L1533)=0,"",INDEX(SCNet,$L1533)),"")</f>
        <v/>
      </c>
      <c r="G1533" s="21">
        <f>IF($L1533&lt;&gt;"",IF(INDEX(SCOp,$L1533)="مرجوعی فروش","",IF(INDEX(SCAmount,$L1533)&lt;=0,"",INDEX(SCAmount,$L1533))),IF($M1533&lt;&gt;"",IF(INDEX(LdgWitB,$M1533)=0,"",INDEX(LdgWitB,$M1533)),""))</f>
        <v/>
      </c>
      <c r="H1533" s="21">
        <f>IF($L1533&lt;&gt;"",IF(INDEX(SCOp,$L1533)="مرجوعی فروش",IF(INDEX(SCAmount,$L1533)=0,"",-INDEX(SCAmount,$L1533)),""),IF($M1533&lt;&gt;"",IF(INDEX(LdgDepB,$M1533)=0,"",INDEX(LdgDepB,$M1533)),""))</f>
        <v/>
      </c>
      <c r="I1533" s="22">
        <f>IF($B1533="","",IF($I1532="",$C$10,$I1532)+IF($G1533="",0,$G1533)-IF($H1533="",0,$H1533))</f>
        <v/>
      </c>
      <c r="L1533">
        <f>IFERROR(MATCH($C$5&amp;"|"&amp;RIGHT("000000"&amp;1517,6),LdgRankKeyA,0),"")</f>
        <v/>
      </c>
      <c r="M1533">
        <f>IFERROR(MATCH($C$5&amp;"|"&amp;RIGHT("000000"&amp;1517,6),LdgRankKeyB,0),"")</f>
        <v/>
      </c>
    </row>
    <row r="1534">
      <c r="A1534" s="23" t="n">
        <v>1518</v>
      </c>
      <c r="B1534" s="24">
        <f>IF(AND($L1534="",$M1534=""),"",IF($L1534&lt;&gt;"",INDEX(SCNormDate,$L1534),INDEX(LdgDateB,$M1534)))</f>
        <v/>
      </c>
      <c r="C1534" s="24">
        <f>IF($L1534&lt;&gt;"",INDEX(SCOp,$L1534),IF($M1534&lt;&gt;"","پرداخت بانکی",""))</f>
        <v/>
      </c>
      <c r="D1534" s="24">
        <f>IF($L1534&lt;&gt;"",IF(INDEX(SCDoc,$L1534)="","—",INDEX(SCDoc,$L1534)),IF($M1534&lt;&gt;"",INDEX(LdgBankB,$M1534),""))</f>
        <v/>
      </c>
      <c r="E1534" s="25">
        <f>IF($L1534&lt;&gt;"",IF(INDEX(SCCitrus,$L1534)&amp;INDEX(SCNotes,$L1534)="","",IF(INDEX(SCCitrus,$L1534)="","",INDEX(SCCitrus,$L1534))&amp;IF(INDEX(SCNotes,$L1534)="",""," — "&amp;INDEX(SCNotes,$L1534))),IF($M1534&lt;&gt;"",IF(INDEX(LdgNoteB,$M1534)="","—",INDEX(LdgNoteB,$M1534)),""))</f>
        <v/>
      </c>
      <c r="F1534" s="26">
        <f>IF($L1534&lt;&gt;"",IF(INDEX(SCNet,$L1534)=0,"",INDEX(SCNet,$L1534)),"")</f>
        <v/>
      </c>
      <c r="G1534" s="27">
        <f>IF($L1534&lt;&gt;"",IF(INDEX(SCOp,$L1534)="مرجوعی فروش","",IF(INDEX(SCAmount,$L1534)&lt;=0,"",INDEX(SCAmount,$L1534))),IF($M1534&lt;&gt;"",IF(INDEX(LdgWitB,$M1534)=0,"",INDEX(LdgWitB,$M1534)),""))</f>
        <v/>
      </c>
      <c r="H1534" s="27">
        <f>IF($L1534&lt;&gt;"",IF(INDEX(SCOp,$L1534)="مرجوعی فروش",IF(INDEX(SCAmount,$L1534)=0,"",-INDEX(SCAmount,$L1534)),""),IF($M1534&lt;&gt;"",IF(INDEX(LdgDepB,$M1534)=0,"",INDEX(LdgDepB,$M1534)),""))</f>
        <v/>
      </c>
      <c r="I1534" s="28">
        <f>IF($B1534="","",IF($I1533="",$C$10,$I1533)+IF($G1534="",0,$G1534)-IF($H1534="",0,$H1534))</f>
        <v/>
      </c>
      <c r="L1534">
        <f>IFERROR(MATCH($C$5&amp;"|"&amp;RIGHT("000000"&amp;1518,6),LdgRankKeyA,0),"")</f>
        <v/>
      </c>
      <c r="M1534">
        <f>IFERROR(MATCH($C$5&amp;"|"&amp;RIGHT("000000"&amp;1518,6),LdgRankKeyB,0),"")</f>
        <v/>
      </c>
    </row>
    <row r="1535">
      <c r="A1535" s="17" t="n">
        <v>1519</v>
      </c>
      <c r="B1535" s="18">
        <f>IF(AND($L1535="",$M1535=""),"",IF($L1535&lt;&gt;"",INDEX(SCNormDate,$L1535),INDEX(LdgDateB,$M1535)))</f>
        <v/>
      </c>
      <c r="C1535" s="18">
        <f>IF($L1535&lt;&gt;"",INDEX(SCOp,$L1535),IF($M1535&lt;&gt;"","پرداخت بانکی",""))</f>
        <v/>
      </c>
      <c r="D1535" s="18">
        <f>IF($L1535&lt;&gt;"",IF(INDEX(SCDoc,$L1535)="","—",INDEX(SCDoc,$L1535)),IF($M1535&lt;&gt;"",INDEX(LdgBankB,$M1535),""))</f>
        <v/>
      </c>
      <c r="E1535" s="19">
        <f>IF($L1535&lt;&gt;"",IF(INDEX(SCCitrus,$L1535)&amp;INDEX(SCNotes,$L1535)="","",IF(INDEX(SCCitrus,$L1535)="","",INDEX(SCCitrus,$L1535))&amp;IF(INDEX(SCNotes,$L1535)="",""," — "&amp;INDEX(SCNotes,$L1535))),IF($M1535&lt;&gt;"",IF(INDEX(LdgNoteB,$M1535)="","—",INDEX(LdgNoteB,$M1535)),""))</f>
        <v/>
      </c>
      <c r="F1535" s="20">
        <f>IF($L1535&lt;&gt;"",IF(INDEX(SCNet,$L1535)=0,"",INDEX(SCNet,$L1535)),"")</f>
        <v/>
      </c>
      <c r="G1535" s="21">
        <f>IF($L1535&lt;&gt;"",IF(INDEX(SCOp,$L1535)="مرجوعی فروش","",IF(INDEX(SCAmount,$L1535)&lt;=0,"",INDEX(SCAmount,$L1535))),IF($M1535&lt;&gt;"",IF(INDEX(LdgWitB,$M1535)=0,"",INDEX(LdgWitB,$M1535)),""))</f>
        <v/>
      </c>
      <c r="H1535" s="21">
        <f>IF($L1535&lt;&gt;"",IF(INDEX(SCOp,$L1535)="مرجوعی فروش",IF(INDEX(SCAmount,$L1535)=0,"",-INDEX(SCAmount,$L1535)),""),IF($M1535&lt;&gt;"",IF(INDEX(LdgDepB,$M1535)=0,"",INDEX(LdgDepB,$M1535)),""))</f>
        <v/>
      </c>
      <c r="I1535" s="22">
        <f>IF($B1535="","",IF($I1534="",$C$10,$I1534)+IF($G1535="",0,$G1535)-IF($H1535="",0,$H1535))</f>
        <v/>
      </c>
      <c r="L1535">
        <f>IFERROR(MATCH($C$5&amp;"|"&amp;RIGHT("000000"&amp;1519,6),LdgRankKeyA,0),"")</f>
        <v/>
      </c>
      <c r="M1535">
        <f>IFERROR(MATCH($C$5&amp;"|"&amp;RIGHT("000000"&amp;1519,6),LdgRankKeyB,0),"")</f>
        <v/>
      </c>
    </row>
    <row r="1536">
      <c r="A1536" s="23" t="n">
        <v>1520</v>
      </c>
      <c r="B1536" s="24">
        <f>IF(AND($L1536="",$M1536=""),"",IF($L1536&lt;&gt;"",INDEX(SCNormDate,$L1536),INDEX(LdgDateB,$M1536)))</f>
        <v/>
      </c>
      <c r="C1536" s="24">
        <f>IF($L1536&lt;&gt;"",INDEX(SCOp,$L1536),IF($M1536&lt;&gt;"","پرداخت بانکی",""))</f>
        <v/>
      </c>
      <c r="D1536" s="24">
        <f>IF($L1536&lt;&gt;"",IF(INDEX(SCDoc,$L1536)="","—",INDEX(SCDoc,$L1536)),IF($M1536&lt;&gt;"",INDEX(LdgBankB,$M1536),""))</f>
        <v/>
      </c>
      <c r="E1536" s="25">
        <f>IF($L1536&lt;&gt;"",IF(INDEX(SCCitrus,$L1536)&amp;INDEX(SCNotes,$L1536)="","",IF(INDEX(SCCitrus,$L1536)="","",INDEX(SCCitrus,$L1536))&amp;IF(INDEX(SCNotes,$L1536)="",""," — "&amp;INDEX(SCNotes,$L1536))),IF($M1536&lt;&gt;"",IF(INDEX(LdgNoteB,$M1536)="","—",INDEX(LdgNoteB,$M1536)),""))</f>
        <v/>
      </c>
      <c r="F1536" s="26">
        <f>IF($L1536&lt;&gt;"",IF(INDEX(SCNet,$L1536)=0,"",INDEX(SCNet,$L1536)),"")</f>
        <v/>
      </c>
      <c r="G1536" s="27">
        <f>IF($L1536&lt;&gt;"",IF(INDEX(SCOp,$L1536)="مرجوعی فروش","",IF(INDEX(SCAmount,$L1536)&lt;=0,"",INDEX(SCAmount,$L1536))),IF($M1536&lt;&gt;"",IF(INDEX(LdgWitB,$M1536)=0,"",INDEX(LdgWitB,$M1536)),""))</f>
        <v/>
      </c>
      <c r="H1536" s="27">
        <f>IF($L1536&lt;&gt;"",IF(INDEX(SCOp,$L1536)="مرجوعی فروش",IF(INDEX(SCAmount,$L1536)=0,"",-INDEX(SCAmount,$L1536)),""),IF($M1536&lt;&gt;"",IF(INDEX(LdgDepB,$M1536)=0,"",INDEX(LdgDepB,$M1536)),""))</f>
        <v/>
      </c>
      <c r="I1536" s="28">
        <f>IF($B1536="","",IF($I1535="",$C$10,$I1535)+IF($G1536="",0,$G1536)-IF($H1536="",0,$H1536))</f>
        <v/>
      </c>
      <c r="L1536">
        <f>IFERROR(MATCH($C$5&amp;"|"&amp;RIGHT("000000"&amp;1520,6),LdgRankKeyA,0),"")</f>
        <v/>
      </c>
      <c r="M1536">
        <f>IFERROR(MATCH($C$5&amp;"|"&amp;RIGHT("000000"&amp;1520,6),LdgRankKeyB,0),"")</f>
        <v/>
      </c>
    </row>
    <row r="1537">
      <c r="A1537" s="17" t="n">
        <v>1521</v>
      </c>
      <c r="B1537" s="18">
        <f>IF(AND($L1537="",$M1537=""),"",IF($L1537&lt;&gt;"",INDEX(SCNormDate,$L1537),INDEX(LdgDateB,$M1537)))</f>
        <v/>
      </c>
      <c r="C1537" s="18">
        <f>IF($L1537&lt;&gt;"",INDEX(SCOp,$L1537),IF($M1537&lt;&gt;"","پرداخت بانکی",""))</f>
        <v/>
      </c>
      <c r="D1537" s="18">
        <f>IF($L1537&lt;&gt;"",IF(INDEX(SCDoc,$L1537)="","—",INDEX(SCDoc,$L1537)),IF($M1537&lt;&gt;"",INDEX(LdgBankB,$M1537),""))</f>
        <v/>
      </c>
      <c r="E1537" s="19">
        <f>IF($L1537&lt;&gt;"",IF(INDEX(SCCitrus,$L1537)&amp;INDEX(SCNotes,$L1537)="","",IF(INDEX(SCCitrus,$L1537)="","",INDEX(SCCitrus,$L1537))&amp;IF(INDEX(SCNotes,$L1537)="",""," — "&amp;INDEX(SCNotes,$L1537))),IF($M1537&lt;&gt;"",IF(INDEX(LdgNoteB,$M1537)="","—",INDEX(LdgNoteB,$M1537)),""))</f>
        <v/>
      </c>
      <c r="F1537" s="20">
        <f>IF($L1537&lt;&gt;"",IF(INDEX(SCNet,$L1537)=0,"",INDEX(SCNet,$L1537)),"")</f>
        <v/>
      </c>
      <c r="G1537" s="21">
        <f>IF($L1537&lt;&gt;"",IF(INDEX(SCOp,$L1537)="مرجوعی فروش","",IF(INDEX(SCAmount,$L1537)&lt;=0,"",INDEX(SCAmount,$L1537))),IF($M1537&lt;&gt;"",IF(INDEX(LdgWitB,$M1537)=0,"",INDEX(LdgWitB,$M1537)),""))</f>
        <v/>
      </c>
      <c r="H1537" s="21">
        <f>IF($L1537&lt;&gt;"",IF(INDEX(SCOp,$L1537)="مرجوعی فروش",IF(INDEX(SCAmount,$L1537)=0,"",-INDEX(SCAmount,$L1537)),""),IF($M1537&lt;&gt;"",IF(INDEX(LdgDepB,$M1537)=0,"",INDEX(LdgDepB,$M1537)),""))</f>
        <v/>
      </c>
      <c r="I1537" s="22">
        <f>IF($B1537="","",IF($I1536="",$C$10,$I1536)+IF($G1537="",0,$G1537)-IF($H1537="",0,$H1537))</f>
        <v/>
      </c>
      <c r="L1537">
        <f>IFERROR(MATCH($C$5&amp;"|"&amp;RIGHT("000000"&amp;1521,6),LdgRankKeyA,0),"")</f>
        <v/>
      </c>
      <c r="M1537">
        <f>IFERROR(MATCH($C$5&amp;"|"&amp;RIGHT("000000"&amp;1521,6),LdgRankKeyB,0),"")</f>
        <v/>
      </c>
    </row>
    <row r="1538">
      <c r="A1538" s="23" t="n">
        <v>1522</v>
      </c>
      <c r="B1538" s="24">
        <f>IF(AND($L1538="",$M1538=""),"",IF($L1538&lt;&gt;"",INDEX(SCNormDate,$L1538),INDEX(LdgDateB,$M1538)))</f>
        <v/>
      </c>
      <c r="C1538" s="24">
        <f>IF($L1538&lt;&gt;"",INDEX(SCOp,$L1538),IF($M1538&lt;&gt;"","پرداخت بانکی",""))</f>
        <v/>
      </c>
      <c r="D1538" s="24">
        <f>IF($L1538&lt;&gt;"",IF(INDEX(SCDoc,$L1538)="","—",INDEX(SCDoc,$L1538)),IF($M1538&lt;&gt;"",INDEX(LdgBankB,$M1538),""))</f>
        <v/>
      </c>
      <c r="E1538" s="25">
        <f>IF($L1538&lt;&gt;"",IF(INDEX(SCCitrus,$L1538)&amp;INDEX(SCNotes,$L1538)="","",IF(INDEX(SCCitrus,$L1538)="","",INDEX(SCCitrus,$L1538))&amp;IF(INDEX(SCNotes,$L1538)="",""," — "&amp;INDEX(SCNotes,$L1538))),IF($M1538&lt;&gt;"",IF(INDEX(LdgNoteB,$M1538)="","—",INDEX(LdgNoteB,$M1538)),""))</f>
        <v/>
      </c>
      <c r="F1538" s="26">
        <f>IF($L1538&lt;&gt;"",IF(INDEX(SCNet,$L1538)=0,"",INDEX(SCNet,$L1538)),"")</f>
        <v/>
      </c>
      <c r="G1538" s="27">
        <f>IF($L1538&lt;&gt;"",IF(INDEX(SCOp,$L1538)="مرجوعی فروش","",IF(INDEX(SCAmount,$L1538)&lt;=0,"",INDEX(SCAmount,$L1538))),IF($M1538&lt;&gt;"",IF(INDEX(LdgWitB,$M1538)=0,"",INDEX(LdgWitB,$M1538)),""))</f>
        <v/>
      </c>
      <c r="H1538" s="27">
        <f>IF($L1538&lt;&gt;"",IF(INDEX(SCOp,$L1538)="مرجوعی فروش",IF(INDEX(SCAmount,$L1538)=0,"",-INDEX(SCAmount,$L1538)),""),IF($M1538&lt;&gt;"",IF(INDEX(LdgDepB,$M1538)=0,"",INDEX(LdgDepB,$M1538)),""))</f>
        <v/>
      </c>
      <c r="I1538" s="28">
        <f>IF($B1538="","",IF($I1537="",$C$10,$I1537)+IF($G1538="",0,$G1538)-IF($H1538="",0,$H1538))</f>
        <v/>
      </c>
      <c r="L1538">
        <f>IFERROR(MATCH($C$5&amp;"|"&amp;RIGHT("000000"&amp;1522,6),LdgRankKeyA,0),"")</f>
        <v/>
      </c>
      <c r="M1538">
        <f>IFERROR(MATCH($C$5&amp;"|"&amp;RIGHT("000000"&amp;1522,6),LdgRankKeyB,0),"")</f>
        <v/>
      </c>
    </row>
    <row r="1539">
      <c r="A1539" s="17" t="n">
        <v>1523</v>
      </c>
      <c r="B1539" s="18">
        <f>IF(AND($L1539="",$M1539=""),"",IF($L1539&lt;&gt;"",INDEX(SCNormDate,$L1539),INDEX(LdgDateB,$M1539)))</f>
        <v/>
      </c>
      <c r="C1539" s="18">
        <f>IF($L1539&lt;&gt;"",INDEX(SCOp,$L1539),IF($M1539&lt;&gt;"","پرداخت بانکی",""))</f>
        <v/>
      </c>
      <c r="D1539" s="18">
        <f>IF($L1539&lt;&gt;"",IF(INDEX(SCDoc,$L1539)="","—",INDEX(SCDoc,$L1539)),IF($M1539&lt;&gt;"",INDEX(LdgBankB,$M1539),""))</f>
        <v/>
      </c>
      <c r="E1539" s="19">
        <f>IF($L1539&lt;&gt;"",IF(INDEX(SCCitrus,$L1539)&amp;INDEX(SCNotes,$L1539)="","",IF(INDEX(SCCitrus,$L1539)="","",INDEX(SCCitrus,$L1539))&amp;IF(INDEX(SCNotes,$L1539)="",""," — "&amp;INDEX(SCNotes,$L1539))),IF($M1539&lt;&gt;"",IF(INDEX(LdgNoteB,$M1539)="","—",INDEX(LdgNoteB,$M1539)),""))</f>
        <v/>
      </c>
      <c r="F1539" s="20">
        <f>IF($L1539&lt;&gt;"",IF(INDEX(SCNet,$L1539)=0,"",INDEX(SCNet,$L1539)),"")</f>
        <v/>
      </c>
      <c r="G1539" s="21">
        <f>IF($L1539&lt;&gt;"",IF(INDEX(SCOp,$L1539)="مرجوعی فروش","",IF(INDEX(SCAmount,$L1539)&lt;=0,"",INDEX(SCAmount,$L1539))),IF($M1539&lt;&gt;"",IF(INDEX(LdgWitB,$M1539)=0,"",INDEX(LdgWitB,$M1539)),""))</f>
        <v/>
      </c>
      <c r="H1539" s="21">
        <f>IF($L1539&lt;&gt;"",IF(INDEX(SCOp,$L1539)="مرجوعی فروش",IF(INDEX(SCAmount,$L1539)=0,"",-INDEX(SCAmount,$L1539)),""),IF($M1539&lt;&gt;"",IF(INDEX(LdgDepB,$M1539)=0,"",INDEX(LdgDepB,$M1539)),""))</f>
        <v/>
      </c>
      <c r="I1539" s="22">
        <f>IF($B1539="","",IF($I1538="",$C$10,$I1538)+IF($G1539="",0,$G1539)-IF($H1539="",0,$H1539))</f>
        <v/>
      </c>
      <c r="L1539">
        <f>IFERROR(MATCH($C$5&amp;"|"&amp;RIGHT("000000"&amp;1523,6),LdgRankKeyA,0),"")</f>
        <v/>
      </c>
      <c r="M1539">
        <f>IFERROR(MATCH($C$5&amp;"|"&amp;RIGHT("000000"&amp;1523,6),LdgRankKeyB,0),"")</f>
        <v/>
      </c>
    </row>
    <row r="1540">
      <c r="A1540" s="23" t="n">
        <v>1524</v>
      </c>
      <c r="B1540" s="24">
        <f>IF(AND($L1540="",$M1540=""),"",IF($L1540&lt;&gt;"",INDEX(SCNormDate,$L1540),INDEX(LdgDateB,$M1540)))</f>
        <v/>
      </c>
      <c r="C1540" s="24">
        <f>IF($L1540&lt;&gt;"",INDEX(SCOp,$L1540),IF($M1540&lt;&gt;"","پرداخت بانکی",""))</f>
        <v/>
      </c>
      <c r="D1540" s="24">
        <f>IF($L1540&lt;&gt;"",IF(INDEX(SCDoc,$L1540)="","—",INDEX(SCDoc,$L1540)),IF($M1540&lt;&gt;"",INDEX(LdgBankB,$M1540),""))</f>
        <v/>
      </c>
      <c r="E1540" s="25">
        <f>IF($L1540&lt;&gt;"",IF(INDEX(SCCitrus,$L1540)&amp;INDEX(SCNotes,$L1540)="","",IF(INDEX(SCCitrus,$L1540)="","",INDEX(SCCitrus,$L1540))&amp;IF(INDEX(SCNotes,$L1540)="",""," — "&amp;INDEX(SCNotes,$L1540))),IF($M1540&lt;&gt;"",IF(INDEX(LdgNoteB,$M1540)="","—",INDEX(LdgNoteB,$M1540)),""))</f>
        <v/>
      </c>
      <c r="F1540" s="26">
        <f>IF($L1540&lt;&gt;"",IF(INDEX(SCNet,$L1540)=0,"",INDEX(SCNet,$L1540)),"")</f>
        <v/>
      </c>
      <c r="G1540" s="27">
        <f>IF($L1540&lt;&gt;"",IF(INDEX(SCOp,$L1540)="مرجوعی فروش","",IF(INDEX(SCAmount,$L1540)&lt;=0,"",INDEX(SCAmount,$L1540))),IF($M1540&lt;&gt;"",IF(INDEX(LdgWitB,$M1540)=0,"",INDEX(LdgWitB,$M1540)),""))</f>
        <v/>
      </c>
      <c r="H1540" s="27">
        <f>IF($L1540&lt;&gt;"",IF(INDEX(SCOp,$L1540)="مرجوعی فروش",IF(INDEX(SCAmount,$L1540)=0,"",-INDEX(SCAmount,$L1540)),""),IF($M1540&lt;&gt;"",IF(INDEX(LdgDepB,$M1540)=0,"",INDEX(LdgDepB,$M1540)),""))</f>
        <v/>
      </c>
      <c r="I1540" s="28">
        <f>IF($B1540="","",IF($I1539="",$C$10,$I1539)+IF($G1540="",0,$G1540)-IF($H1540="",0,$H1540))</f>
        <v/>
      </c>
      <c r="L1540">
        <f>IFERROR(MATCH($C$5&amp;"|"&amp;RIGHT("000000"&amp;1524,6),LdgRankKeyA,0),"")</f>
        <v/>
      </c>
      <c r="M1540">
        <f>IFERROR(MATCH($C$5&amp;"|"&amp;RIGHT("000000"&amp;1524,6),LdgRankKeyB,0),"")</f>
        <v/>
      </c>
    </row>
    <row r="1541">
      <c r="A1541" s="17" t="n">
        <v>1525</v>
      </c>
      <c r="B1541" s="18">
        <f>IF(AND($L1541="",$M1541=""),"",IF($L1541&lt;&gt;"",INDEX(SCNormDate,$L1541),INDEX(LdgDateB,$M1541)))</f>
        <v/>
      </c>
      <c r="C1541" s="18">
        <f>IF($L1541&lt;&gt;"",INDEX(SCOp,$L1541),IF($M1541&lt;&gt;"","پرداخت بانکی",""))</f>
        <v/>
      </c>
      <c r="D1541" s="18">
        <f>IF($L1541&lt;&gt;"",IF(INDEX(SCDoc,$L1541)="","—",INDEX(SCDoc,$L1541)),IF($M1541&lt;&gt;"",INDEX(LdgBankB,$M1541),""))</f>
        <v/>
      </c>
      <c r="E1541" s="19">
        <f>IF($L1541&lt;&gt;"",IF(INDEX(SCCitrus,$L1541)&amp;INDEX(SCNotes,$L1541)="","",IF(INDEX(SCCitrus,$L1541)="","",INDEX(SCCitrus,$L1541))&amp;IF(INDEX(SCNotes,$L1541)="",""," — "&amp;INDEX(SCNotes,$L1541))),IF($M1541&lt;&gt;"",IF(INDEX(LdgNoteB,$M1541)="","—",INDEX(LdgNoteB,$M1541)),""))</f>
        <v/>
      </c>
      <c r="F1541" s="20">
        <f>IF($L1541&lt;&gt;"",IF(INDEX(SCNet,$L1541)=0,"",INDEX(SCNet,$L1541)),"")</f>
        <v/>
      </c>
      <c r="G1541" s="21">
        <f>IF($L1541&lt;&gt;"",IF(INDEX(SCOp,$L1541)="مرجوعی فروش","",IF(INDEX(SCAmount,$L1541)&lt;=0,"",INDEX(SCAmount,$L1541))),IF($M1541&lt;&gt;"",IF(INDEX(LdgWitB,$M1541)=0,"",INDEX(LdgWitB,$M1541)),""))</f>
        <v/>
      </c>
      <c r="H1541" s="21">
        <f>IF($L1541&lt;&gt;"",IF(INDEX(SCOp,$L1541)="مرجوعی فروش",IF(INDEX(SCAmount,$L1541)=0,"",-INDEX(SCAmount,$L1541)),""),IF($M1541&lt;&gt;"",IF(INDEX(LdgDepB,$M1541)=0,"",INDEX(LdgDepB,$M1541)),""))</f>
        <v/>
      </c>
      <c r="I1541" s="22">
        <f>IF($B1541="","",IF($I1540="",$C$10,$I1540)+IF($G1541="",0,$G1541)-IF($H1541="",0,$H1541))</f>
        <v/>
      </c>
      <c r="L1541">
        <f>IFERROR(MATCH($C$5&amp;"|"&amp;RIGHT("000000"&amp;1525,6),LdgRankKeyA,0),"")</f>
        <v/>
      </c>
      <c r="M1541">
        <f>IFERROR(MATCH($C$5&amp;"|"&amp;RIGHT("000000"&amp;1525,6),LdgRankKeyB,0),"")</f>
        <v/>
      </c>
    </row>
    <row r="1542">
      <c r="A1542" s="23" t="n">
        <v>1526</v>
      </c>
      <c r="B1542" s="24">
        <f>IF(AND($L1542="",$M1542=""),"",IF($L1542&lt;&gt;"",INDEX(SCNormDate,$L1542),INDEX(LdgDateB,$M1542)))</f>
        <v/>
      </c>
      <c r="C1542" s="24">
        <f>IF($L1542&lt;&gt;"",INDEX(SCOp,$L1542),IF($M1542&lt;&gt;"","پرداخت بانکی",""))</f>
        <v/>
      </c>
      <c r="D1542" s="24">
        <f>IF($L1542&lt;&gt;"",IF(INDEX(SCDoc,$L1542)="","—",INDEX(SCDoc,$L1542)),IF($M1542&lt;&gt;"",INDEX(LdgBankB,$M1542),""))</f>
        <v/>
      </c>
      <c r="E1542" s="25">
        <f>IF($L1542&lt;&gt;"",IF(INDEX(SCCitrus,$L1542)&amp;INDEX(SCNotes,$L1542)="","",IF(INDEX(SCCitrus,$L1542)="","",INDEX(SCCitrus,$L1542))&amp;IF(INDEX(SCNotes,$L1542)="",""," — "&amp;INDEX(SCNotes,$L1542))),IF($M1542&lt;&gt;"",IF(INDEX(LdgNoteB,$M1542)="","—",INDEX(LdgNoteB,$M1542)),""))</f>
        <v/>
      </c>
      <c r="F1542" s="26">
        <f>IF($L1542&lt;&gt;"",IF(INDEX(SCNet,$L1542)=0,"",INDEX(SCNet,$L1542)),"")</f>
        <v/>
      </c>
      <c r="G1542" s="27">
        <f>IF($L1542&lt;&gt;"",IF(INDEX(SCOp,$L1542)="مرجوعی فروش","",IF(INDEX(SCAmount,$L1542)&lt;=0,"",INDEX(SCAmount,$L1542))),IF($M1542&lt;&gt;"",IF(INDEX(LdgWitB,$M1542)=0,"",INDEX(LdgWitB,$M1542)),""))</f>
        <v/>
      </c>
      <c r="H1542" s="27">
        <f>IF($L1542&lt;&gt;"",IF(INDEX(SCOp,$L1542)="مرجوعی فروش",IF(INDEX(SCAmount,$L1542)=0,"",-INDEX(SCAmount,$L1542)),""),IF($M1542&lt;&gt;"",IF(INDEX(LdgDepB,$M1542)=0,"",INDEX(LdgDepB,$M1542)),""))</f>
        <v/>
      </c>
      <c r="I1542" s="28">
        <f>IF($B1542="","",IF($I1541="",$C$10,$I1541)+IF($G1542="",0,$G1542)-IF($H1542="",0,$H1542))</f>
        <v/>
      </c>
      <c r="L1542">
        <f>IFERROR(MATCH($C$5&amp;"|"&amp;RIGHT("000000"&amp;1526,6),LdgRankKeyA,0),"")</f>
        <v/>
      </c>
      <c r="M1542">
        <f>IFERROR(MATCH($C$5&amp;"|"&amp;RIGHT("000000"&amp;1526,6),LdgRankKeyB,0),"")</f>
        <v/>
      </c>
    </row>
    <row r="1543">
      <c r="A1543" s="17" t="n">
        <v>1527</v>
      </c>
      <c r="B1543" s="18">
        <f>IF(AND($L1543="",$M1543=""),"",IF($L1543&lt;&gt;"",INDEX(SCNormDate,$L1543),INDEX(LdgDateB,$M1543)))</f>
        <v/>
      </c>
      <c r="C1543" s="18">
        <f>IF($L1543&lt;&gt;"",INDEX(SCOp,$L1543),IF($M1543&lt;&gt;"","پرداخت بانکی",""))</f>
        <v/>
      </c>
      <c r="D1543" s="18">
        <f>IF($L1543&lt;&gt;"",IF(INDEX(SCDoc,$L1543)="","—",INDEX(SCDoc,$L1543)),IF($M1543&lt;&gt;"",INDEX(LdgBankB,$M1543),""))</f>
        <v/>
      </c>
      <c r="E1543" s="19">
        <f>IF($L1543&lt;&gt;"",IF(INDEX(SCCitrus,$L1543)&amp;INDEX(SCNotes,$L1543)="","",IF(INDEX(SCCitrus,$L1543)="","",INDEX(SCCitrus,$L1543))&amp;IF(INDEX(SCNotes,$L1543)="",""," — "&amp;INDEX(SCNotes,$L1543))),IF($M1543&lt;&gt;"",IF(INDEX(LdgNoteB,$M1543)="","—",INDEX(LdgNoteB,$M1543)),""))</f>
        <v/>
      </c>
      <c r="F1543" s="20">
        <f>IF($L1543&lt;&gt;"",IF(INDEX(SCNet,$L1543)=0,"",INDEX(SCNet,$L1543)),"")</f>
        <v/>
      </c>
      <c r="G1543" s="21">
        <f>IF($L1543&lt;&gt;"",IF(INDEX(SCOp,$L1543)="مرجوعی فروش","",IF(INDEX(SCAmount,$L1543)&lt;=0,"",INDEX(SCAmount,$L1543))),IF($M1543&lt;&gt;"",IF(INDEX(LdgWitB,$M1543)=0,"",INDEX(LdgWitB,$M1543)),""))</f>
        <v/>
      </c>
      <c r="H1543" s="21">
        <f>IF($L1543&lt;&gt;"",IF(INDEX(SCOp,$L1543)="مرجوعی فروش",IF(INDEX(SCAmount,$L1543)=0,"",-INDEX(SCAmount,$L1543)),""),IF($M1543&lt;&gt;"",IF(INDEX(LdgDepB,$M1543)=0,"",INDEX(LdgDepB,$M1543)),""))</f>
        <v/>
      </c>
      <c r="I1543" s="22">
        <f>IF($B1543="","",IF($I1542="",$C$10,$I1542)+IF($G1543="",0,$G1543)-IF($H1543="",0,$H1543))</f>
        <v/>
      </c>
      <c r="L1543">
        <f>IFERROR(MATCH($C$5&amp;"|"&amp;RIGHT("000000"&amp;1527,6),LdgRankKeyA,0),"")</f>
        <v/>
      </c>
      <c r="M1543">
        <f>IFERROR(MATCH($C$5&amp;"|"&amp;RIGHT("000000"&amp;1527,6),LdgRankKeyB,0),"")</f>
        <v/>
      </c>
    </row>
    <row r="1544">
      <c r="A1544" s="23" t="n">
        <v>1528</v>
      </c>
      <c r="B1544" s="24">
        <f>IF(AND($L1544="",$M1544=""),"",IF($L1544&lt;&gt;"",INDEX(SCNormDate,$L1544),INDEX(LdgDateB,$M1544)))</f>
        <v/>
      </c>
      <c r="C1544" s="24">
        <f>IF($L1544&lt;&gt;"",INDEX(SCOp,$L1544),IF($M1544&lt;&gt;"","پرداخت بانکی",""))</f>
        <v/>
      </c>
      <c r="D1544" s="24">
        <f>IF($L1544&lt;&gt;"",IF(INDEX(SCDoc,$L1544)="","—",INDEX(SCDoc,$L1544)),IF($M1544&lt;&gt;"",INDEX(LdgBankB,$M1544),""))</f>
        <v/>
      </c>
      <c r="E1544" s="25">
        <f>IF($L1544&lt;&gt;"",IF(INDEX(SCCitrus,$L1544)&amp;INDEX(SCNotes,$L1544)="","",IF(INDEX(SCCitrus,$L1544)="","",INDEX(SCCitrus,$L1544))&amp;IF(INDEX(SCNotes,$L1544)="",""," — "&amp;INDEX(SCNotes,$L1544))),IF($M1544&lt;&gt;"",IF(INDEX(LdgNoteB,$M1544)="","—",INDEX(LdgNoteB,$M1544)),""))</f>
        <v/>
      </c>
      <c r="F1544" s="26">
        <f>IF($L1544&lt;&gt;"",IF(INDEX(SCNet,$L1544)=0,"",INDEX(SCNet,$L1544)),"")</f>
        <v/>
      </c>
      <c r="G1544" s="27">
        <f>IF($L1544&lt;&gt;"",IF(INDEX(SCOp,$L1544)="مرجوعی فروش","",IF(INDEX(SCAmount,$L1544)&lt;=0,"",INDEX(SCAmount,$L1544))),IF($M1544&lt;&gt;"",IF(INDEX(LdgWitB,$M1544)=0,"",INDEX(LdgWitB,$M1544)),""))</f>
        <v/>
      </c>
      <c r="H1544" s="27">
        <f>IF($L1544&lt;&gt;"",IF(INDEX(SCOp,$L1544)="مرجوعی فروش",IF(INDEX(SCAmount,$L1544)=0,"",-INDEX(SCAmount,$L1544)),""),IF($M1544&lt;&gt;"",IF(INDEX(LdgDepB,$M1544)=0,"",INDEX(LdgDepB,$M1544)),""))</f>
        <v/>
      </c>
      <c r="I1544" s="28">
        <f>IF($B1544="","",IF($I1543="",$C$10,$I1543)+IF($G1544="",0,$G1544)-IF($H1544="",0,$H1544))</f>
        <v/>
      </c>
      <c r="L1544">
        <f>IFERROR(MATCH($C$5&amp;"|"&amp;RIGHT("000000"&amp;1528,6),LdgRankKeyA,0),"")</f>
        <v/>
      </c>
      <c r="M1544">
        <f>IFERROR(MATCH($C$5&amp;"|"&amp;RIGHT("000000"&amp;1528,6),LdgRankKeyB,0),"")</f>
        <v/>
      </c>
    </row>
    <row r="1545">
      <c r="A1545" s="17" t="n">
        <v>1529</v>
      </c>
      <c r="B1545" s="18">
        <f>IF(AND($L1545="",$M1545=""),"",IF($L1545&lt;&gt;"",INDEX(SCNormDate,$L1545),INDEX(LdgDateB,$M1545)))</f>
        <v/>
      </c>
      <c r="C1545" s="18">
        <f>IF($L1545&lt;&gt;"",INDEX(SCOp,$L1545),IF($M1545&lt;&gt;"","پرداخت بانکی",""))</f>
        <v/>
      </c>
      <c r="D1545" s="18">
        <f>IF($L1545&lt;&gt;"",IF(INDEX(SCDoc,$L1545)="","—",INDEX(SCDoc,$L1545)),IF($M1545&lt;&gt;"",INDEX(LdgBankB,$M1545),""))</f>
        <v/>
      </c>
      <c r="E1545" s="19">
        <f>IF($L1545&lt;&gt;"",IF(INDEX(SCCitrus,$L1545)&amp;INDEX(SCNotes,$L1545)="","",IF(INDEX(SCCitrus,$L1545)="","",INDEX(SCCitrus,$L1545))&amp;IF(INDEX(SCNotes,$L1545)="",""," — "&amp;INDEX(SCNotes,$L1545))),IF($M1545&lt;&gt;"",IF(INDEX(LdgNoteB,$M1545)="","—",INDEX(LdgNoteB,$M1545)),""))</f>
        <v/>
      </c>
      <c r="F1545" s="20">
        <f>IF($L1545&lt;&gt;"",IF(INDEX(SCNet,$L1545)=0,"",INDEX(SCNet,$L1545)),"")</f>
        <v/>
      </c>
      <c r="G1545" s="21">
        <f>IF($L1545&lt;&gt;"",IF(INDEX(SCOp,$L1545)="مرجوعی فروش","",IF(INDEX(SCAmount,$L1545)&lt;=0,"",INDEX(SCAmount,$L1545))),IF($M1545&lt;&gt;"",IF(INDEX(LdgWitB,$M1545)=0,"",INDEX(LdgWitB,$M1545)),""))</f>
        <v/>
      </c>
      <c r="H1545" s="21">
        <f>IF($L1545&lt;&gt;"",IF(INDEX(SCOp,$L1545)="مرجوعی فروش",IF(INDEX(SCAmount,$L1545)=0,"",-INDEX(SCAmount,$L1545)),""),IF($M1545&lt;&gt;"",IF(INDEX(LdgDepB,$M1545)=0,"",INDEX(LdgDepB,$M1545)),""))</f>
        <v/>
      </c>
      <c r="I1545" s="22">
        <f>IF($B1545="","",IF($I1544="",$C$10,$I1544)+IF($G1545="",0,$G1545)-IF($H1545="",0,$H1545))</f>
        <v/>
      </c>
      <c r="L1545">
        <f>IFERROR(MATCH($C$5&amp;"|"&amp;RIGHT("000000"&amp;1529,6),LdgRankKeyA,0),"")</f>
        <v/>
      </c>
      <c r="M1545">
        <f>IFERROR(MATCH($C$5&amp;"|"&amp;RIGHT("000000"&amp;1529,6),LdgRankKeyB,0),"")</f>
        <v/>
      </c>
    </row>
    <row r="1546">
      <c r="A1546" s="23" t="n">
        <v>1530</v>
      </c>
      <c r="B1546" s="24">
        <f>IF(AND($L1546="",$M1546=""),"",IF($L1546&lt;&gt;"",INDEX(SCNormDate,$L1546),INDEX(LdgDateB,$M1546)))</f>
        <v/>
      </c>
      <c r="C1546" s="24">
        <f>IF($L1546&lt;&gt;"",INDEX(SCOp,$L1546),IF($M1546&lt;&gt;"","پرداخت بانکی",""))</f>
        <v/>
      </c>
      <c r="D1546" s="24">
        <f>IF($L1546&lt;&gt;"",IF(INDEX(SCDoc,$L1546)="","—",INDEX(SCDoc,$L1546)),IF($M1546&lt;&gt;"",INDEX(LdgBankB,$M1546),""))</f>
        <v/>
      </c>
      <c r="E1546" s="25">
        <f>IF($L1546&lt;&gt;"",IF(INDEX(SCCitrus,$L1546)&amp;INDEX(SCNotes,$L1546)="","",IF(INDEX(SCCitrus,$L1546)="","",INDEX(SCCitrus,$L1546))&amp;IF(INDEX(SCNotes,$L1546)="",""," — "&amp;INDEX(SCNotes,$L1546))),IF($M1546&lt;&gt;"",IF(INDEX(LdgNoteB,$M1546)="","—",INDEX(LdgNoteB,$M1546)),""))</f>
        <v/>
      </c>
      <c r="F1546" s="26">
        <f>IF($L1546&lt;&gt;"",IF(INDEX(SCNet,$L1546)=0,"",INDEX(SCNet,$L1546)),"")</f>
        <v/>
      </c>
      <c r="G1546" s="27">
        <f>IF($L1546&lt;&gt;"",IF(INDEX(SCOp,$L1546)="مرجوعی فروش","",IF(INDEX(SCAmount,$L1546)&lt;=0,"",INDEX(SCAmount,$L1546))),IF($M1546&lt;&gt;"",IF(INDEX(LdgWitB,$M1546)=0,"",INDEX(LdgWitB,$M1546)),""))</f>
        <v/>
      </c>
      <c r="H1546" s="27">
        <f>IF($L1546&lt;&gt;"",IF(INDEX(SCOp,$L1546)="مرجوعی فروش",IF(INDEX(SCAmount,$L1546)=0,"",-INDEX(SCAmount,$L1546)),""),IF($M1546&lt;&gt;"",IF(INDEX(LdgDepB,$M1546)=0,"",INDEX(LdgDepB,$M1546)),""))</f>
        <v/>
      </c>
      <c r="I1546" s="28">
        <f>IF($B1546="","",IF($I1545="",$C$10,$I1545)+IF($G1546="",0,$G1546)-IF($H1546="",0,$H1546))</f>
        <v/>
      </c>
      <c r="L1546">
        <f>IFERROR(MATCH($C$5&amp;"|"&amp;RIGHT("000000"&amp;1530,6),LdgRankKeyA,0),"")</f>
        <v/>
      </c>
      <c r="M1546">
        <f>IFERROR(MATCH($C$5&amp;"|"&amp;RIGHT("000000"&amp;1530,6),LdgRankKeyB,0),"")</f>
        <v/>
      </c>
    </row>
    <row r="1547">
      <c r="A1547" s="17" t="n">
        <v>1531</v>
      </c>
      <c r="B1547" s="18">
        <f>IF(AND($L1547="",$M1547=""),"",IF($L1547&lt;&gt;"",INDEX(SCNormDate,$L1547),INDEX(LdgDateB,$M1547)))</f>
        <v/>
      </c>
      <c r="C1547" s="18">
        <f>IF($L1547&lt;&gt;"",INDEX(SCOp,$L1547),IF($M1547&lt;&gt;"","پرداخت بانکی",""))</f>
        <v/>
      </c>
      <c r="D1547" s="18">
        <f>IF($L1547&lt;&gt;"",IF(INDEX(SCDoc,$L1547)="","—",INDEX(SCDoc,$L1547)),IF($M1547&lt;&gt;"",INDEX(LdgBankB,$M1547),""))</f>
        <v/>
      </c>
      <c r="E1547" s="19">
        <f>IF($L1547&lt;&gt;"",IF(INDEX(SCCitrus,$L1547)&amp;INDEX(SCNotes,$L1547)="","",IF(INDEX(SCCitrus,$L1547)="","",INDEX(SCCitrus,$L1547))&amp;IF(INDEX(SCNotes,$L1547)="",""," — "&amp;INDEX(SCNotes,$L1547))),IF($M1547&lt;&gt;"",IF(INDEX(LdgNoteB,$M1547)="","—",INDEX(LdgNoteB,$M1547)),""))</f>
        <v/>
      </c>
      <c r="F1547" s="20">
        <f>IF($L1547&lt;&gt;"",IF(INDEX(SCNet,$L1547)=0,"",INDEX(SCNet,$L1547)),"")</f>
        <v/>
      </c>
      <c r="G1547" s="21">
        <f>IF($L1547&lt;&gt;"",IF(INDEX(SCOp,$L1547)="مرجوعی فروش","",IF(INDEX(SCAmount,$L1547)&lt;=0,"",INDEX(SCAmount,$L1547))),IF($M1547&lt;&gt;"",IF(INDEX(LdgWitB,$M1547)=0,"",INDEX(LdgWitB,$M1547)),""))</f>
        <v/>
      </c>
      <c r="H1547" s="21">
        <f>IF($L1547&lt;&gt;"",IF(INDEX(SCOp,$L1547)="مرجوعی فروش",IF(INDEX(SCAmount,$L1547)=0,"",-INDEX(SCAmount,$L1547)),""),IF($M1547&lt;&gt;"",IF(INDEX(LdgDepB,$M1547)=0,"",INDEX(LdgDepB,$M1547)),""))</f>
        <v/>
      </c>
      <c r="I1547" s="22">
        <f>IF($B1547="","",IF($I1546="",$C$10,$I1546)+IF($G1547="",0,$G1547)-IF($H1547="",0,$H1547))</f>
        <v/>
      </c>
      <c r="L1547">
        <f>IFERROR(MATCH($C$5&amp;"|"&amp;RIGHT("000000"&amp;1531,6),LdgRankKeyA,0),"")</f>
        <v/>
      </c>
      <c r="M1547">
        <f>IFERROR(MATCH($C$5&amp;"|"&amp;RIGHT("000000"&amp;1531,6),LdgRankKeyB,0),"")</f>
        <v/>
      </c>
    </row>
    <row r="1548">
      <c r="A1548" s="23" t="n">
        <v>1532</v>
      </c>
      <c r="B1548" s="24">
        <f>IF(AND($L1548="",$M1548=""),"",IF($L1548&lt;&gt;"",INDEX(SCNormDate,$L1548),INDEX(LdgDateB,$M1548)))</f>
        <v/>
      </c>
      <c r="C1548" s="24">
        <f>IF($L1548&lt;&gt;"",INDEX(SCOp,$L1548),IF($M1548&lt;&gt;"","پرداخت بانکی",""))</f>
        <v/>
      </c>
      <c r="D1548" s="24">
        <f>IF($L1548&lt;&gt;"",IF(INDEX(SCDoc,$L1548)="","—",INDEX(SCDoc,$L1548)),IF($M1548&lt;&gt;"",INDEX(LdgBankB,$M1548),""))</f>
        <v/>
      </c>
      <c r="E1548" s="25">
        <f>IF($L1548&lt;&gt;"",IF(INDEX(SCCitrus,$L1548)&amp;INDEX(SCNotes,$L1548)="","",IF(INDEX(SCCitrus,$L1548)="","",INDEX(SCCitrus,$L1548))&amp;IF(INDEX(SCNotes,$L1548)="",""," — "&amp;INDEX(SCNotes,$L1548))),IF($M1548&lt;&gt;"",IF(INDEX(LdgNoteB,$M1548)="","—",INDEX(LdgNoteB,$M1548)),""))</f>
        <v/>
      </c>
      <c r="F1548" s="26">
        <f>IF($L1548&lt;&gt;"",IF(INDEX(SCNet,$L1548)=0,"",INDEX(SCNet,$L1548)),"")</f>
        <v/>
      </c>
      <c r="G1548" s="27">
        <f>IF($L1548&lt;&gt;"",IF(INDEX(SCOp,$L1548)="مرجوعی فروش","",IF(INDEX(SCAmount,$L1548)&lt;=0,"",INDEX(SCAmount,$L1548))),IF($M1548&lt;&gt;"",IF(INDEX(LdgWitB,$M1548)=0,"",INDEX(LdgWitB,$M1548)),""))</f>
        <v/>
      </c>
      <c r="H1548" s="27">
        <f>IF($L1548&lt;&gt;"",IF(INDEX(SCOp,$L1548)="مرجوعی فروش",IF(INDEX(SCAmount,$L1548)=0,"",-INDEX(SCAmount,$L1548)),""),IF($M1548&lt;&gt;"",IF(INDEX(LdgDepB,$M1548)=0,"",INDEX(LdgDepB,$M1548)),""))</f>
        <v/>
      </c>
      <c r="I1548" s="28">
        <f>IF($B1548="","",IF($I1547="",$C$10,$I1547)+IF($G1548="",0,$G1548)-IF($H1548="",0,$H1548))</f>
        <v/>
      </c>
      <c r="L1548">
        <f>IFERROR(MATCH($C$5&amp;"|"&amp;RIGHT("000000"&amp;1532,6),LdgRankKeyA,0),"")</f>
        <v/>
      </c>
      <c r="M1548">
        <f>IFERROR(MATCH($C$5&amp;"|"&amp;RIGHT("000000"&amp;1532,6),LdgRankKeyB,0),"")</f>
        <v/>
      </c>
    </row>
    <row r="1549">
      <c r="A1549" s="17" t="n">
        <v>1533</v>
      </c>
      <c r="B1549" s="18">
        <f>IF(AND($L1549="",$M1549=""),"",IF($L1549&lt;&gt;"",INDEX(SCNormDate,$L1549),INDEX(LdgDateB,$M1549)))</f>
        <v/>
      </c>
      <c r="C1549" s="18">
        <f>IF($L1549&lt;&gt;"",INDEX(SCOp,$L1549),IF($M1549&lt;&gt;"","پرداخت بانکی",""))</f>
        <v/>
      </c>
      <c r="D1549" s="18">
        <f>IF($L1549&lt;&gt;"",IF(INDEX(SCDoc,$L1549)="","—",INDEX(SCDoc,$L1549)),IF($M1549&lt;&gt;"",INDEX(LdgBankB,$M1549),""))</f>
        <v/>
      </c>
      <c r="E1549" s="19">
        <f>IF($L1549&lt;&gt;"",IF(INDEX(SCCitrus,$L1549)&amp;INDEX(SCNotes,$L1549)="","",IF(INDEX(SCCitrus,$L1549)="","",INDEX(SCCitrus,$L1549))&amp;IF(INDEX(SCNotes,$L1549)="",""," — "&amp;INDEX(SCNotes,$L1549))),IF($M1549&lt;&gt;"",IF(INDEX(LdgNoteB,$M1549)="","—",INDEX(LdgNoteB,$M1549)),""))</f>
        <v/>
      </c>
      <c r="F1549" s="20">
        <f>IF($L1549&lt;&gt;"",IF(INDEX(SCNet,$L1549)=0,"",INDEX(SCNet,$L1549)),"")</f>
        <v/>
      </c>
      <c r="G1549" s="21">
        <f>IF($L1549&lt;&gt;"",IF(INDEX(SCOp,$L1549)="مرجوعی فروش","",IF(INDEX(SCAmount,$L1549)&lt;=0,"",INDEX(SCAmount,$L1549))),IF($M1549&lt;&gt;"",IF(INDEX(LdgWitB,$M1549)=0,"",INDEX(LdgWitB,$M1549)),""))</f>
        <v/>
      </c>
      <c r="H1549" s="21">
        <f>IF($L1549&lt;&gt;"",IF(INDEX(SCOp,$L1549)="مرجوعی فروش",IF(INDEX(SCAmount,$L1549)=0,"",-INDEX(SCAmount,$L1549)),""),IF($M1549&lt;&gt;"",IF(INDEX(LdgDepB,$M1549)=0,"",INDEX(LdgDepB,$M1549)),""))</f>
        <v/>
      </c>
      <c r="I1549" s="22">
        <f>IF($B1549="","",IF($I1548="",$C$10,$I1548)+IF($G1549="",0,$G1549)-IF($H1549="",0,$H1549))</f>
        <v/>
      </c>
      <c r="L1549">
        <f>IFERROR(MATCH($C$5&amp;"|"&amp;RIGHT("000000"&amp;1533,6),LdgRankKeyA,0),"")</f>
        <v/>
      </c>
      <c r="M1549">
        <f>IFERROR(MATCH($C$5&amp;"|"&amp;RIGHT("000000"&amp;1533,6),LdgRankKeyB,0),"")</f>
        <v/>
      </c>
    </row>
    <row r="1550">
      <c r="A1550" s="23" t="n">
        <v>1534</v>
      </c>
      <c r="B1550" s="24">
        <f>IF(AND($L1550="",$M1550=""),"",IF($L1550&lt;&gt;"",INDEX(SCNormDate,$L1550),INDEX(LdgDateB,$M1550)))</f>
        <v/>
      </c>
      <c r="C1550" s="24">
        <f>IF($L1550&lt;&gt;"",INDEX(SCOp,$L1550),IF($M1550&lt;&gt;"","پرداخت بانکی",""))</f>
        <v/>
      </c>
      <c r="D1550" s="24">
        <f>IF($L1550&lt;&gt;"",IF(INDEX(SCDoc,$L1550)="","—",INDEX(SCDoc,$L1550)),IF($M1550&lt;&gt;"",INDEX(LdgBankB,$M1550),""))</f>
        <v/>
      </c>
      <c r="E1550" s="25">
        <f>IF($L1550&lt;&gt;"",IF(INDEX(SCCitrus,$L1550)&amp;INDEX(SCNotes,$L1550)="","",IF(INDEX(SCCitrus,$L1550)="","",INDEX(SCCitrus,$L1550))&amp;IF(INDEX(SCNotes,$L1550)="",""," — "&amp;INDEX(SCNotes,$L1550))),IF($M1550&lt;&gt;"",IF(INDEX(LdgNoteB,$M1550)="","—",INDEX(LdgNoteB,$M1550)),""))</f>
        <v/>
      </c>
      <c r="F1550" s="26">
        <f>IF($L1550&lt;&gt;"",IF(INDEX(SCNet,$L1550)=0,"",INDEX(SCNet,$L1550)),"")</f>
        <v/>
      </c>
      <c r="G1550" s="27">
        <f>IF($L1550&lt;&gt;"",IF(INDEX(SCOp,$L1550)="مرجوعی فروش","",IF(INDEX(SCAmount,$L1550)&lt;=0,"",INDEX(SCAmount,$L1550))),IF($M1550&lt;&gt;"",IF(INDEX(LdgWitB,$M1550)=0,"",INDEX(LdgWitB,$M1550)),""))</f>
        <v/>
      </c>
      <c r="H1550" s="27">
        <f>IF($L1550&lt;&gt;"",IF(INDEX(SCOp,$L1550)="مرجوعی فروش",IF(INDEX(SCAmount,$L1550)=0,"",-INDEX(SCAmount,$L1550)),""),IF($M1550&lt;&gt;"",IF(INDEX(LdgDepB,$M1550)=0,"",INDEX(LdgDepB,$M1550)),""))</f>
        <v/>
      </c>
      <c r="I1550" s="28">
        <f>IF($B1550="","",IF($I1549="",$C$10,$I1549)+IF($G1550="",0,$G1550)-IF($H1550="",0,$H1550))</f>
        <v/>
      </c>
      <c r="L1550">
        <f>IFERROR(MATCH($C$5&amp;"|"&amp;RIGHT("000000"&amp;1534,6),LdgRankKeyA,0),"")</f>
        <v/>
      </c>
      <c r="M1550">
        <f>IFERROR(MATCH($C$5&amp;"|"&amp;RIGHT("000000"&amp;1534,6),LdgRankKeyB,0),"")</f>
        <v/>
      </c>
    </row>
    <row r="1551">
      <c r="A1551" s="17" t="n">
        <v>1535</v>
      </c>
      <c r="B1551" s="18">
        <f>IF(AND($L1551="",$M1551=""),"",IF($L1551&lt;&gt;"",INDEX(SCNormDate,$L1551),INDEX(LdgDateB,$M1551)))</f>
        <v/>
      </c>
      <c r="C1551" s="18">
        <f>IF($L1551&lt;&gt;"",INDEX(SCOp,$L1551),IF($M1551&lt;&gt;"","پرداخت بانکی",""))</f>
        <v/>
      </c>
      <c r="D1551" s="18">
        <f>IF($L1551&lt;&gt;"",IF(INDEX(SCDoc,$L1551)="","—",INDEX(SCDoc,$L1551)),IF($M1551&lt;&gt;"",INDEX(LdgBankB,$M1551),""))</f>
        <v/>
      </c>
      <c r="E1551" s="19">
        <f>IF($L1551&lt;&gt;"",IF(INDEX(SCCitrus,$L1551)&amp;INDEX(SCNotes,$L1551)="","",IF(INDEX(SCCitrus,$L1551)="","",INDEX(SCCitrus,$L1551))&amp;IF(INDEX(SCNotes,$L1551)="",""," — "&amp;INDEX(SCNotes,$L1551))),IF($M1551&lt;&gt;"",IF(INDEX(LdgNoteB,$M1551)="","—",INDEX(LdgNoteB,$M1551)),""))</f>
        <v/>
      </c>
      <c r="F1551" s="20">
        <f>IF($L1551&lt;&gt;"",IF(INDEX(SCNet,$L1551)=0,"",INDEX(SCNet,$L1551)),"")</f>
        <v/>
      </c>
      <c r="G1551" s="21">
        <f>IF($L1551&lt;&gt;"",IF(INDEX(SCOp,$L1551)="مرجوعی فروش","",IF(INDEX(SCAmount,$L1551)&lt;=0,"",INDEX(SCAmount,$L1551))),IF($M1551&lt;&gt;"",IF(INDEX(LdgWitB,$M1551)=0,"",INDEX(LdgWitB,$M1551)),""))</f>
        <v/>
      </c>
      <c r="H1551" s="21">
        <f>IF($L1551&lt;&gt;"",IF(INDEX(SCOp,$L1551)="مرجوعی فروش",IF(INDEX(SCAmount,$L1551)=0,"",-INDEX(SCAmount,$L1551)),""),IF($M1551&lt;&gt;"",IF(INDEX(LdgDepB,$M1551)=0,"",INDEX(LdgDepB,$M1551)),""))</f>
        <v/>
      </c>
      <c r="I1551" s="22">
        <f>IF($B1551="","",IF($I1550="",$C$10,$I1550)+IF($G1551="",0,$G1551)-IF($H1551="",0,$H1551))</f>
        <v/>
      </c>
      <c r="L1551">
        <f>IFERROR(MATCH($C$5&amp;"|"&amp;RIGHT("000000"&amp;1535,6),LdgRankKeyA,0),"")</f>
        <v/>
      </c>
      <c r="M1551">
        <f>IFERROR(MATCH($C$5&amp;"|"&amp;RIGHT("000000"&amp;1535,6),LdgRankKeyB,0),"")</f>
        <v/>
      </c>
    </row>
    <row r="1552">
      <c r="A1552" s="23" t="n">
        <v>1536</v>
      </c>
      <c r="B1552" s="24">
        <f>IF(AND($L1552="",$M1552=""),"",IF($L1552&lt;&gt;"",INDEX(SCNormDate,$L1552),INDEX(LdgDateB,$M1552)))</f>
        <v/>
      </c>
      <c r="C1552" s="24">
        <f>IF($L1552&lt;&gt;"",INDEX(SCOp,$L1552),IF($M1552&lt;&gt;"","پرداخت بانکی",""))</f>
        <v/>
      </c>
      <c r="D1552" s="24">
        <f>IF($L1552&lt;&gt;"",IF(INDEX(SCDoc,$L1552)="","—",INDEX(SCDoc,$L1552)),IF($M1552&lt;&gt;"",INDEX(LdgBankB,$M1552),""))</f>
        <v/>
      </c>
      <c r="E1552" s="25">
        <f>IF($L1552&lt;&gt;"",IF(INDEX(SCCitrus,$L1552)&amp;INDEX(SCNotes,$L1552)="","",IF(INDEX(SCCitrus,$L1552)="","",INDEX(SCCitrus,$L1552))&amp;IF(INDEX(SCNotes,$L1552)="",""," — "&amp;INDEX(SCNotes,$L1552))),IF($M1552&lt;&gt;"",IF(INDEX(LdgNoteB,$M1552)="","—",INDEX(LdgNoteB,$M1552)),""))</f>
        <v/>
      </c>
      <c r="F1552" s="26">
        <f>IF($L1552&lt;&gt;"",IF(INDEX(SCNet,$L1552)=0,"",INDEX(SCNet,$L1552)),"")</f>
        <v/>
      </c>
      <c r="G1552" s="27">
        <f>IF($L1552&lt;&gt;"",IF(INDEX(SCOp,$L1552)="مرجوعی فروش","",IF(INDEX(SCAmount,$L1552)&lt;=0,"",INDEX(SCAmount,$L1552))),IF($M1552&lt;&gt;"",IF(INDEX(LdgWitB,$M1552)=0,"",INDEX(LdgWitB,$M1552)),""))</f>
        <v/>
      </c>
      <c r="H1552" s="27">
        <f>IF($L1552&lt;&gt;"",IF(INDEX(SCOp,$L1552)="مرجوعی فروش",IF(INDEX(SCAmount,$L1552)=0,"",-INDEX(SCAmount,$L1552)),""),IF($M1552&lt;&gt;"",IF(INDEX(LdgDepB,$M1552)=0,"",INDEX(LdgDepB,$M1552)),""))</f>
        <v/>
      </c>
      <c r="I1552" s="28">
        <f>IF($B1552="","",IF($I1551="",$C$10,$I1551)+IF($G1552="",0,$G1552)-IF($H1552="",0,$H1552))</f>
        <v/>
      </c>
      <c r="L1552">
        <f>IFERROR(MATCH($C$5&amp;"|"&amp;RIGHT("000000"&amp;1536,6),LdgRankKeyA,0),"")</f>
        <v/>
      </c>
      <c r="M1552">
        <f>IFERROR(MATCH($C$5&amp;"|"&amp;RIGHT("000000"&amp;1536,6),LdgRankKeyB,0),"")</f>
        <v/>
      </c>
    </row>
    <row r="1553">
      <c r="A1553" s="17" t="n">
        <v>1537</v>
      </c>
      <c r="B1553" s="18">
        <f>IF(AND($L1553="",$M1553=""),"",IF($L1553&lt;&gt;"",INDEX(SCNormDate,$L1553),INDEX(LdgDateB,$M1553)))</f>
        <v/>
      </c>
      <c r="C1553" s="18">
        <f>IF($L1553&lt;&gt;"",INDEX(SCOp,$L1553),IF($M1553&lt;&gt;"","پرداخت بانکی",""))</f>
        <v/>
      </c>
      <c r="D1553" s="18">
        <f>IF($L1553&lt;&gt;"",IF(INDEX(SCDoc,$L1553)="","—",INDEX(SCDoc,$L1553)),IF($M1553&lt;&gt;"",INDEX(LdgBankB,$M1553),""))</f>
        <v/>
      </c>
      <c r="E1553" s="19">
        <f>IF($L1553&lt;&gt;"",IF(INDEX(SCCitrus,$L1553)&amp;INDEX(SCNotes,$L1553)="","",IF(INDEX(SCCitrus,$L1553)="","",INDEX(SCCitrus,$L1553))&amp;IF(INDEX(SCNotes,$L1553)="",""," — "&amp;INDEX(SCNotes,$L1553))),IF($M1553&lt;&gt;"",IF(INDEX(LdgNoteB,$M1553)="","—",INDEX(LdgNoteB,$M1553)),""))</f>
        <v/>
      </c>
      <c r="F1553" s="20">
        <f>IF($L1553&lt;&gt;"",IF(INDEX(SCNet,$L1553)=0,"",INDEX(SCNet,$L1553)),"")</f>
        <v/>
      </c>
      <c r="G1553" s="21">
        <f>IF($L1553&lt;&gt;"",IF(INDEX(SCOp,$L1553)="مرجوعی فروش","",IF(INDEX(SCAmount,$L1553)&lt;=0,"",INDEX(SCAmount,$L1553))),IF($M1553&lt;&gt;"",IF(INDEX(LdgWitB,$M1553)=0,"",INDEX(LdgWitB,$M1553)),""))</f>
        <v/>
      </c>
      <c r="H1553" s="21">
        <f>IF($L1553&lt;&gt;"",IF(INDEX(SCOp,$L1553)="مرجوعی فروش",IF(INDEX(SCAmount,$L1553)=0,"",-INDEX(SCAmount,$L1553)),""),IF($M1553&lt;&gt;"",IF(INDEX(LdgDepB,$M1553)=0,"",INDEX(LdgDepB,$M1553)),""))</f>
        <v/>
      </c>
      <c r="I1553" s="22">
        <f>IF($B1553="","",IF($I1552="",$C$10,$I1552)+IF($G1553="",0,$G1553)-IF($H1553="",0,$H1553))</f>
        <v/>
      </c>
      <c r="L1553">
        <f>IFERROR(MATCH($C$5&amp;"|"&amp;RIGHT("000000"&amp;1537,6),LdgRankKeyA,0),"")</f>
        <v/>
      </c>
      <c r="M1553">
        <f>IFERROR(MATCH($C$5&amp;"|"&amp;RIGHT("000000"&amp;1537,6),LdgRankKeyB,0),"")</f>
        <v/>
      </c>
    </row>
    <row r="1554">
      <c r="A1554" s="23" t="n">
        <v>1538</v>
      </c>
      <c r="B1554" s="24">
        <f>IF(AND($L1554="",$M1554=""),"",IF($L1554&lt;&gt;"",INDEX(SCNormDate,$L1554),INDEX(LdgDateB,$M1554)))</f>
        <v/>
      </c>
      <c r="C1554" s="24">
        <f>IF($L1554&lt;&gt;"",INDEX(SCOp,$L1554),IF($M1554&lt;&gt;"","پرداخت بانکی",""))</f>
        <v/>
      </c>
      <c r="D1554" s="24">
        <f>IF($L1554&lt;&gt;"",IF(INDEX(SCDoc,$L1554)="","—",INDEX(SCDoc,$L1554)),IF($M1554&lt;&gt;"",INDEX(LdgBankB,$M1554),""))</f>
        <v/>
      </c>
      <c r="E1554" s="25">
        <f>IF($L1554&lt;&gt;"",IF(INDEX(SCCitrus,$L1554)&amp;INDEX(SCNotes,$L1554)="","",IF(INDEX(SCCitrus,$L1554)="","",INDEX(SCCitrus,$L1554))&amp;IF(INDEX(SCNotes,$L1554)="",""," — "&amp;INDEX(SCNotes,$L1554))),IF($M1554&lt;&gt;"",IF(INDEX(LdgNoteB,$M1554)="","—",INDEX(LdgNoteB,$M1554)),""))</f>
        <v/>
      </c>
      <c r="F1554" s="26">
        <f>IF($L1554&lt;&gt;"",IF(INDEX(SCNet,$L1554)=0,"",INDEX(SCNet,$L1554)),"")</f>
        <v/>
      </c>
      <c r="G1554" s="27">
        <f>IF($L1554&lt;&gt;"",IF(INDEX(SCOp,$L1554)="مرجوعی فروش","",IF(INDEX(SCAmount,$L1554)&lt;=0,"",INDEX(SCAmount,$L1554))),IF($M1554&lt;&gt;"",IF(INDEX(LdgWitB,$M1554)=0,"",INDEX(LdgWitB,$M1554)),""))</f>
        <v/>
      </c>
      <c r="H1554" s="27">
        <f>IF($L1554&lt;&gt;"",IF(INDEX(SCOp,$L1554)="مرجوعی فروش",IF(INDEX(SCAmount,$L1554)=0,"",-INDEX(SCAmount,$L1554)),""),IF($M1554&lt;&gt;"",IF(INDEX(LdgDepB,$M1554)=0,"",INDEX(LdgDepB,$M1554)),""))</f>
        <v/>
      </c>
      <c r="I1554" s="28">
        <f>IF($B1554="","",IF($I1553="",$C$10,$I1553)+IF($G1554="",0,$G1554)-IF($H1554="",0,$H1554))</f>
        <v/>
      </c>
      <c r="L1554">
        <f>IFERROR(MATCH($C$5&amp;"|"&amp;RIGHT("000000"&amp;1538,6),LdgRankKeyA,0),"")</f>
        <v/>
      </c>
      <c r="M1554">
        <f>IFERROR(MATCH($C$5&amp;"|"&amp;RIGHT("000000"&amp;1538,6),LdgRankKeyB,0),"")</f>
        <v/>
      </c>
    </row>
    <row r="1555">
      <c r="A1555" s="17" t="n">
        <v>1539</v>
      </c>
      <c r="B1555" s="18">
        <f>IF(AND($L1555="",$M1555=""),"",IF($L1555&lt;&gt;"",INDEX(SCNormDate,$L1555),INDEX(LdgDateB,$M1555)))</f>
        <v/>
      </c>
      <c r="C1555" s="18">
        <f>IF($L1555&lt;&gt;"",INDEX(SCOp,$L1555),IF($M1555&lt;&gt;"","پرداخت بانکی",""))</f>
        <v/>
      </c>
      <c r="D1555" s="18">
        <f>IF($L1555&lt;&gt;"",IF(INDEX(SCDoc,$L1555)="","—",INDEX(SCDoc,$L1555)),IF($M1555&lt;&gt;"",INDEX(LdgBankB,$M1555),""))</f>
        <v/>
      </c>
      <c r="E1555" s="19">
        <f>IF($L1555&lt;&gt;"",IF(INDEX(SCCitrus,$L1555)&amp;INDEX(SCNotes,$L1555)="","",IF(INDEX(SCCitrus,$L1555)="","",INDEX(SCCitrus,$L1555))&amp;IF(INDEX(SCNotes,$L1555)="",""," — "&amp;INDEX(SCNotes,$L1555))),IF($M1555&lt;&gt;"",IF(INDEX(LdgNoteB,$M1555)="","—",INDEX(LdgNoteB,$M1555)),""))</f>
        <v/>
      </c>
      <c r="F1555" s="20">
        <f>IF($L1555&lt;&gt;"",IF(INDEX(SCNet,$L1555)=0,"",INDEX(SCNet,$L1555)),"")</f>
        <v/>
      </c>
      <c r="G1555" s="21">
        <f>IF($L1555&lt;&gt;"",IF(INDEX(SCOp,$L1555)="مرجوعی فروش","",IF(INDEX(SCAmount,$L1555)&lt;=0,"",INDEX(SCAmount,$L1555))),IF($M1555&lt;&gt;"",IF(INDEX(LdgWitB,$M1555)=0,"",INDEX(LdgWitB,$M1555)),""))</f>
        <v/>
      </c>
      <c r="H1555" s="21">
        <f>IF($L1555&lt;&gt;"",IF(INDEX(SCOp,$L1555)="مرجوعی فروش",IF(INDEX(SCAmount,$L1555)=0,"",-INDEX(SCAmount,$L1555)),""),IF($M1555&lt;&gt;"",IF(INDEX(LdgDepB,$M1555)=0,"",INDEX(LdgDepB,$M1555)),""))</f>
        <v/>
      </c>
      <c r="I1555" s="22">
        <f>IF($B1555="","",IF($I1554="",$C$10,$I1554)+IF($G1555="",0,$G1555)-IF($H1555="",0,$H1555))</f>
        <v/>
      </c>
      <c r="L1555">
        <f>IFERROR(MATCH($C$5&amp;"|"&amp;RIGHT("000000"&amp;1539,6),LdgRankKeyA,0),"")</f>
        <v/>
      </c>
      <c r="M1555">
        <f>IFERROR(MATCH($C$5&amp;"|"&amp;RIGHT("000000"&amp;1539,6),LdgRankKeyB,0),"")</f>
        <v/>
      </c>
    </row>
    <row r="1556">
      <c r="A1556" s="23" t="n">
        <v>1540</v>
      </c>
      <c r="B1556" s="24">
        <f>IF(AND($L1556="",$M1556=""),"",IF($L1556&lt;&gt;"",INDEX(SCNormDate,$L1556),INDEX(LdgDateB,$M1556)))</f>
        <v/>
      </c>
      <c r="C1556" s="24">
        <f>IF($L1556&lt;&gt;"",INDEX(SCOp,$L1556),IF($M1556&lt;&gt;"","پرداخت بانکی",""))</f>
        <v/>
      </c>
      <c r="D1556" s="24">
        <f>IF($L1556&lt;&gt;"",IF(INDEX(SCDoc,$L1556)="","—",INDEX(SCDoc,$L1556)),IF($M1556&lt;&gt;"",INDEX(LdgBankB,$M1556),""))</f>
        <v/>
      </c>
      <c r="E1556" s="25">
        <f>IF($L1556&lt;&gt;"",IF(INDEX(SCCitrus,$L1556)&amp;INDEX(SCNotes,$L1556)="","",IF(INDEX(SCCitrus,$L1556)="","",INDEX(SCCitrus,$L1556))&amp;IF(INDEX(SCNotes,$L1556)="",""," — "&amp;INDEX(SCNotes,$L1556))),IF($M1556&lt;&gt;"",IF(INDEX(LdgNoteB,$M1556)="","—",INDEX(LdgNoteB,$M1556)),""))</f>
        <v/>
      </c>
      <c r="F1556" s="26">
        <f>IF($L1556&lt;&gt;"",IF(INDEX(SCNet,$L1556)=0,"",INDEX(SCNet,$L1556)),"")</f>
        <v/>
      </c>
      <c r="G1556" s="27">
        <f>IF($L1556&lt;&gt;"",IF(INDEX(SCOp,$L1556)="مرجوعی فروش","",IF(INDEX(SCAmount,$L1556)&lt;=0,"",INDEX(SCAmount,$L1556))),IF($M1556&lt;&gt;"",IF(INDEX(LdgWitB,$M1556)=0,"",INDEX(LdgWitB,$M1556)),""))</f>
        <v/>
      </c>
      <c r="H1556" s="27">
        <f>IF($L1556&lt;&gt;"",IF(INDEX(SCOp,$L1556)="مرجوعی فروش",IF(INDEX(SCAmount,$L1556)=0,"",-INDEX(SCAmount,$L1556)),""),IF($M1556&lt;&gt;"",IF(INDEX(LdgDepB,$M1556)=0,"",INDEX(LdgDepB,$M1556)),""))</f>
        <v/>
      </c>
      <c r="I1556" s="28">
        <f>IF($B1556="","",IF($I1555="",$C$10,$I1555)+IF($G1556="",0,$G1556)-IF($H1556="",0,$H1556))</f>
        <v/>
      </c>
      <c r="L1556">
        <f>IFERROR(MATCH($C$5&amp;"|"&amp;RIGHT("000000"&amp;1540,6),LdgRankKeyA,0),"")</f>
        <v/>
      </c>
      <c r="M1556">
        <f>IFERROR(MATCH($C$5&amp;"|"&amp;RIGHT("000000"&amp;1540,6),LdgRankKeyB,0),"")</f>
        <v/>
      </c>
    </row>
    <row r="1557">
      <c r="A1557" s="17" t="n">
        <v>1541</v>
      </c>
      <c r="B1557" s="18">
        <f>IF(AND($L1557="",$M1557=""),"",IF($L1557&lt;&gt;"",INDEX(SCNormDate,$L1557),INDEX(LdgDateB,$M1557)))</f>
        <v/>
      </c>
      <c r="C1557" s="18">
        <f>IF($L1557&lt;&gt;"",INDEX(SCOp,$L1557),IF($M1557&lt;&gt;"","پرداخت بانکی",""))</f>
        <v/>
      </c>
      <c r="D1557" s="18">
        <f>IF($L1557&lt;&gt;"",IF(INDEX(SCDoc,$L1557)="","—",INDEX(SCDoc,$L1557)),IF($M1557&lt;&gt;"",INDEX(LdgBankB,$M1557),""))</f>
        <v/>
      </c>
      <c r="E1557" s="19">
        <f>IF($L1557&lt;&gt;"",IF(INDEX(SCCitrus,$L1557)&amp;INDEX(SCNotes,$L1557)="","",IF(INDEX(SCCitrus,$L1557)="","",INDEX(SCCitrus,$L1557))&amp;IF(INDEX(SCNotes,$L1557)="",""," — "&amp;INDEX(SCNotes,$L1557))),IF($M1557&lt;&gt;"",IF(INDEX(LdgNoteB,$M1557)="","—",INDEX(LdgNoteB,$M1557)),""))</f>
        <v/>
      </c>
      <c r="F1557" s="20">
        <f>IF($L1557&lt;&gt;"",IF(INDEX(SCNet,$L1557)=0,"",INDEX(SCNet,$L1557)),"")</f>
        <v/>
      </c>
      <c r="G1557" s="21">
        <f>IF($L1557&lt;&gt;"",IF(INDEX(SCOp,$L1557)="مرجوعی فروش","",IF(INDEX(SCAmount,$L1557)&lt;=0,"",INDEX(SCAmount,$L1557))),IF($M1557&lt;&gt;"",IF(INDEX(LdgWitB,$M1557)=0,"",INDEX(LdgWitB,$M1557)),""))</f>
        <v/>
      </c>
      <c r="H1557" s="21">
        <f>IF($L1557&lt;&gt;"",IF(INDEX(SCOp,$L1557)="مرجوعی فروش",IF(INDEX(SCAmount,$L1557)=0,"",-INDEX(SCAmount,$L1557)),""),IF($M1557&lt;&gt;"",IF(INDEX(LdgDepB,$M1557)=0,"",INDEX(LdgDepB,$M1557)),""))</f>
        <v/>
      </c>
      <c r="I1557" s="22">
        <f>IF($B1557="","",IF($I1556="",$C$10,$I1556)+IF($G1557="",0,$G1557)-IF($H1557="",0,$H1557))</f>
        <v/>
      </c>
      <c r="L1557">
        <f>IFERROR(MATCH($C$5&amp;"|"&amp;RIGHT("000000"&amp;1541,6),LdgRankKeyA,0),"")</f>
        <v/>
      </c>
      <c r="M1557">
        <f>IFERROR(MATCH($C$5&amp;"|"&amp;RIGHT("000000"&amp;1541,6),LdgRankKeyB,0),"")</f>
        <v/>
      </c>
    </row>
    <row r="1558">
      <c r="A1558" s="23" t="n">
        <v>1542</v>
      </c>
      <c r="B1558" s="24">
        <f>IF(AND($L1558="",$M1558=""),"",IF($L1558&lt;&gt;"",INDEX(SCNormDate,$L1558),INDEX(LdgDateB,$M1558)))</f>
        <v/>
      </c>
      <c r="C1558" s="24">
        <f>IF($L1558&lt;&gt;"",INDEX(SCOp,$L1558),IF($M1558&lt;&gt;"","پرداخت بانکی",""))</f>
        <v/>
      </c>
      <c r="D1558" s="24">
        <f>IF($L1558&lt;&gt;"",IF(INDEX(SCDoc,$L1558)="","—",INDEX(SCDoc,$L1558)),IF($M1558&lt;&gt;"",INDEX(LdgBankB,$M1558),""))</f>
        <v/>
      </c>
      <c r="E1558" s="25">
        <f>IF($L1558&lt;&gt;"",IF(INDEX(SCCitrus,$L1558)&amp;INDEX(SCNotes,$L1558)="","",IF(INDEX(SCCitrus,$L1558)="","",INDEX(SCCitrus,$L1558))&amp;IF(INDEX(SCNotes,$L1558)="",""," — "&amp;INDEX(SCNotes,$L1558))),IF($M1558&lt;&gt;"",IF(INDEX(LdgNoteB,$M1558)="","—",INDEX(LdgNoteB,$M1558)),""))</f>
        <v/>
      </c>
      <c r="F1558" s="26">
        <f>IF($L1558&lt;&gt;"",IF(INDEX(SCNet,$L1558)=0,"",INDEX(SCNet,$L1558)),"")</f>
        <v/>
      </c>
      <c r="G1558" s="27">
        <f>IF($L1558&lt;&gt;"",IF(INDEX(SCOp,$L1558)="مرجوعی فروش","",IF(INDEX(SCAmount,$L1558)&lt;=0,"",INDEX(SCAmount,$L1558))),IF($M1558&lt;&gt;"",IF(INDEX(LdgWitB,$M1558)=0,"",INDEX(LdgWitB,$M1558)),""))</f>
        <v/>
      </c>
      <c r="H1558" s="27">
        <f>IF($L1558&lt;&gt;"",IF(INDEX(SCOp,$L1558)="مرجوعی فروش",IF(INDEX(SCAmount,$L1558)=0,"",-INDEX(SCAmount,$L1558)),""),IF($M1558&lt;&gt;"",IF(INDEX(LdgDepB,$M1558)=0,"",INDEX(LdgDepB,$M1558)),""))</f>
        <v/>
      </c>
      <c r="I1558" s="28">
        <f>IF($B1558="","",IF($I1557="",$C$10,$I1557)+IF($G1558="",0,$G1558)-IF($H1558="",0,$H1558))</f>
        <v/>
      </c>
      <c r="L1558">
        <f>IFERROR(MATCH($C$5&amp;"|"&amp;RIGHT("000000"&amp;1542,6),LdgRankKeyA,0),"")</f>
        <v/>
      </c>
      <c r="M1558">
        <f>IFERROR(MATCH($C$5&amp;"|"&amp;RIGHT("000000"&amp;1542,6),LdgRankKeyB,0),"")</f>
        <v/>
      </c>
    </row>
    <row r="1559">
      <c r="A1559" s="17" t="n">
        <v>1543</v>
      </c>
      <c r="B1559" s="18">
        <f>IF(AND($L1559="",$M1559=""),"",IF($L1559&lt;&gt;"",INDEX(SCNormDate,$L1559),INDEX(LdgDateB,$M1559)))</f>
        <v/>
      </c>
      <c r="C1559" s="18">
        <f>IF($L1559&lt;&gt;"",INDEX(SCOp,$L1559),IF($M1559&lt;&gt;"","پرداخت بانکی",""))</f>
        <v/>
      </c>
      <c r="D1559" s="18">
        <f>IF($L1559&lt;&gt;"",IF(INDEX(SCDoc,$L1559)="","—",INDEX(SCDoc,$L1559)),IF($M1559&lt;&gt;"",INDEX(LdgBankB,$M1559),""))</f>
        <v/>
      </c>
      <c r="E1559" s="19">
        <f>IF($L1559&lt;&gt;"",IF(INDEX(SCCitrus,$L1559)&amp;INDEX(SCNotes,$L1559)="","",IF(INDEX(SCCitrus,$L1559)="","",INDEX(SCCitrus,$L1559))&amp;IF(INDEX(SCNotes,$L1559)="",""," — "&amp;INDEX(SCNotes,$L1559))),IF($M1559&lt;&gt;"",IF(INDEX(LdgNoteB,$M1559)="","—",INDEX(LdgNoteB,$M1559)),""))</f>
        <v/>
      </c>
      <c r="F1559" s="20">
        <f>IF($L1559&lt;&gt;"",IF(INDEX(SCNet,$L1559)=0,"",INDEX(SCNet,$L1559)),"")</f>
        <v/>
      </c>
      <c r="G1559" s="21">
        <f>IF($L1559&lt;&gt;"",IF(INDEX(SCOp,$L1559)="مرجوعی فروش","",IF(INDEX(SCAmount,$L1559)&lt;=0,"",INDEX(SCAmount,$L1559))),IF($M1559&lt;&gt;"",IF(INDEX(LdgWitB,$M1559)=0,"",INDEX(LdgWitB,$M1559)),""))</f>
        <v/>
      </c>
      <c r="H1559" s="21">
        <f>IF($L1559&lt;&gt;"",IF(INDEX(SCOp,$L1559)="مرجوعی فروش",IF(INDEX(SCAmount,$L1559)=0,"",-INDEX(SCAmount,$L1559)),""),IF($M1559&lt;&gt;"",IF(INDEX(LdgDepB,$M1559)=0,"",INDEX(LdgDepB,$M1559)),""))</f>
        <v/>
      </c>
      <c r="I1559" s="22">
        <f>IF($B1559="","",IF($I1558="",$C$10,$I1558)+IF($G1559="",0,$G1559)-IF($H1559="",0,$H1559))</f>
        <v/>
      </c>
      <c r="L1559">
        <f>IFERROR(MATCH($C$5&amp;"|"&amp;RIGHT("000000"&amp;1543,6),LdgRankKeyA,0),"")</f>
        <v/>
      </c>
      <c r="M1559">
        <f>IFERROR(MATCH($C$5&amp;"|"&amp;RIGHT("000000"&amp;1543,6),LdgRankKeyB,0),"")</f>
        <v/>
      </c>
    </row>
    <row r="1560">
      <c r="A1560" s="23" t="n">
        <v>1544</v>
      </c>
      <c r="B1560" s="24">
        <f>IF(AND($L1560="",$M1560=""),"",IF($L1560&lt;&gt;"",INDEX(SCNormDate,$L1560),INDEX(LdgDateB,$M1560)))</f>
        <v/>
      </c>
      <c r="C1560" s="24">
        <f>IF($L1560&lt;&gt;"",INDEX(SCOp,$L1560),IF($M1560&lt;&gt;"","پرداخت بانکی",""))</f>
        <v/>
      </c>
      <c r="D1560" s="24">
        <f>IF($L1560&lt;&gt;"",IF(INDEX(SCDoc,$L1560)="","—",INDEX(SCDoc,$L1560)),IF($M1560&lt;&gt;"",INDEX(LdgBankB,$M1560),""))</f>
        <v/>
      </c>
      <c r="E1560" s="25">
        <f>IF($L1560&lt;&gt;"",IF(INDEX(SCCitrus,$L1560)&amp;INDEX(SCNotes,$L1560)="","",IF(INDEX(SCCitrus,$L1560)="","",INDEX(SCCitrus,$L1560))&amp;IF(INDEX(SCNotes,$L1560)="",""," — "&amp;INDEX(SCNotes,$L1560))),IF($M1560&lt;&gt;"",IF(INDEX(LdgNoteB,$M1560)="","—",INDEX(LdgNoteB,$M1560)),""))</f>
        <v/>
      </c>
      <c r="F1560" s="26">
        <f>IF($L1560&lt;&gt;"",IF(INDEX(SCNet,$L1560)=0,"",INDEX(SCNet,$L1560)),"")</f>
        <v/>
      </c>
      <c r="G1560" s="27">
        <f>IF($L1560&lt;&gt;"",IF(INDEX(SCOp,$L1560)="مرجوعی فروش","",IF(INDEX(SCAmount,$L1560)&lt;=0,"",INDEX(SCAmount,$L1560))),IF($M1560&lt;&gt;"",IF(INDEX(LdgWitB,$M1560)=0,"",INDEX(LdgWitB,$M1560)),""))</f>
        <v/>
      </c>
      <c r="H1560" s="27">
        <f>IF($L1560&lt;&gt;"",IF(INDEX(SCOp,$L1560)="مرجوعی فروش",IF(INDEX(SCAmount,$L1560)=0,"",-INDEX(SCAmount,$L1560)),""),IF($M1560&lt;&gt;"",IF(INDEX(LdgDepB,$M1560)=0,"",INDEX(LdgDepB,$M1560)),""))</f>
        <v/>
      </c>
      <c r="I1560" s="28">
        <f>IF($B1560="","",IF($I1559="",$C$10,$I1559)+IF($G1560="",0,$G1560)-IF($H1560="",0,$H1560))</f>
        <v/>
      </c>
      <c r="L1560">
        <f>IFERROR(MATCH($C$5&amp;"|"&amp;RIGHT("000000"&amp;1544,6),LdgRankKeyA,0),"")</f>
        <v/>
      </c>
      <c r="M1560">
        <f>IFERROR(MATCH($C$5&amp;"|"&amp;RIGHT("000000"&amp;1544,6),LdgRankKeyB,0),"")</f>
        <v/>
      </c>
    </row>
    <row r="1561">
      <c r="A1561" s="17" t="n">
        <v>1545</v>
      </c>
      <c r="B1561" s="18">
        <f>IF(AND($L1561="",$M1561=""),"",IF($L1561&lt;&gt;"",INDEX(SCNormDate,$L1561),INDEX(LdgDateB,$M1561)))</f>
        <v/>
      </c>
      <c r="C1561" s="18">
        <f>IF($L1561&lt;&gt;"",INDEX(SCOp,$L1561),IF($M1561&lt;&gt;"","پرداخت بانکی",""))</f>
        <v/>
      </c>
      <c r="D1561" s="18">
        <f>IF($L1561&lt;&gt;"",IF(INDEX(SCDoc,$L1561)="","—",INDEX(SCDoc,$L1561)),IF($M1561&lt;&gt;"",INDEX(LdgBankB,$M1561),""))</f>
        <v/>
      </c>
      <c r="E1561" s="19">
        <f>IF($L1561&lt;&gt;"",IF(INDEX(SCCitrus,$L1561)&amp;INDEX(SCNotes,$L1561)="","",IF(INDEX(SCCitrus,$L1561)="","",INDEX(SCCitrus,$L1561))&amp;IF(INDEX(SCNotes,$L1561)="",""," — "&amp;INDEX(SCNotes,$L1561))),IF($M1561&lt;&gt;"",IF(INDEX(LdgNoteB,$M1561)="","—",INDEX(LdgNoteB,$M1561)),""))</f>
        <v/>
      </c>
      <c r="F1561" s="20">
        <f>IF($L1561&lt;&gt;"",IF(INDEX(SCNet,$L1561)=0,"",INDEX(SCNet,$L1561)),"")</f>
        <v/>
      </c>
      <c r="G1561" s="21">
        <f>IF($L1561&lt;&gt;"",IF(INDEX(SCOp,$L1561)="مرجوعی فروش","",IF(INDEX(SCAmount,$L1561)&lt;=0,"",INDEX(SCAmount,$L1561))),IF($M1561&lt;&gt;"",IF(INDEX(LdgWitB,$M1561)=0,"",INDEX(LdgWitB,$M1561)),""))</f>
        <v/>
      </c>
      <c r="H1561" s="21">
        <f>IF($L1561&lt;&gt;"",IF(INDEX(SCOp,$L1561)="مرجوعی فروش",IF(INDEX(SCAmount,$L1561)=0,"",-INDEX(SCAmount,$L1561)),""),IF($M1561&lt;&gt;"",IF(INDEX(LdgDepB,$M1561)=0,"",INDEX(LdgDepB,$M1561)),""))</f>
        <v/>
      </c>
      <c r="I1561" s="22">
        <f>IF($B1561="","",IF($I1560="",$C$10,$I1560)+IF($G1561="",0,$G1561)-IF($H1561="",0,$H1561))</f>
        <v/>
      </c>
      <c r="L1561">
        <f>IFERROR(MATCH($C$5&amp;"|"&amp;RIGHT("000000"&amp;1545,6),LdgRankKeyA,0),"")</f>
        <v/>
      </c>
      <c r="M1561">
        <f>IFERROR(MATCH($C$5&amp;"|"&amp;RIGHT("000000"&amp;1545,6),LdgRankKeyB,0),"")</f>
        <v/>
      </c>
    </row>
    <row r="1562">
      <c r="A1562" s="23" t="n">
        <v>1546</v>
      </c>
      <c r="B1562" s="24">
        <f>IF(AND($L1562="",$M1562=""),"",IF($L1562&lt;&gt;"",INDEX(SCNormDate,$L1562),INDEX(LdgDateB,$M1562)))</f>
        <v/>
      </c>
      <c r="C1562" s="24">
        <f>IF($L1562&lt;&gt;"",INDEX(SCOp,$L1562),IF($M1562&lt;&gt;"","پرداخت بانکی",""))</f>
        <v/>
      </c>
      <c r="D1562" s="24">
        <f>IF($L1562&lt;&gt;"",IF(INDEX(SCDoc,$L1562)="","—",INDEX(SCDoc,$L1562)),IF($M1562&lt;&gt;"",INDEX(LdgBankB,$M1562),""))</f>
        <v/>
      </c>
      <c r="E1562" s="25">
        <f>IF($L1562&lt;&gt;"",IF(INDEX(SCCitrus,$L1562)&amp;INDEX(SCNotes,$L1562)="","",IF(INDEX(SCCitrus,$L1562)="","",INDEX(SCCitrus,$L1562))&amp;IF(INDEX(SCNotes,$L1562)="",""," — "&amp;INDEX(SCNotes,$L1562))),IF($M1562&lt;&gt;"",IF(INDEX(LdgNoteB,$M1562)="","—",INDEX(LdgNoteB,$M1562)),""))</f>
        <v/>
      </c>
      <c r="F1562" s="26">
        <f>IF($L1562&lt;&gt;"",IF(INDEX(SCNet,$L1562)=0,"",INDEX(SCNet,$L1562)),"")</f>
        <v/>
      </c>
      <c r="G1562" s="27">
        <f>IF($L1562&lt;&gt;"",IF(INDEX(SCOp,$L1562)="مرجوعی فروش","",IF(INDEX(SCAmount,$L1562)&lt;=0,"",INDEX(SCAmount,$L1562))),IF($M1562&lt;&gt;"",IF(INDEX(LdgWitB,$M1562)=0,"",INDEX(LdgWitB,$M1562)),""))</f>
        <v/>
      </c>
      <c r="H1562" s="27">
        <f>IF($L1562&lt;&gt;"",IF(INDEX(SCOp,$L1562)="مرجوعی فروش",IF(INDEX(SCAmount,$L1562)=0,"",-INDEX(SCAmount,$L1562)),""),IF($M1562&lt;&gt;"",IF(INDEX(LdgDepB,$M1562)=0,"",INDEX(LdgDepB,$M1562)),""))</f>
        <v/>
      </c>
      <c r="I1562" s="28">
        <f>IF($B1562="","",IF($I1561="",$C$10,$I1561)+IF($G1562="",0,$G1562)-IF($H1562="",0,$H1562))</f>
        <v/>
      </c>
      <c r="L1562">
        <f>IFERROR(MATCH($C$5&amp;"|"&amp;RIGHT("000000"&amp;1546,6),LdgRankKeyA,0),"")</f>
        <v/>
      </c>
      <c r="M1562">
        <f>IFERROR(MATCH($C$5&amp;"|"&amp;RIGHT("000000"&amp;1546,6),LdgRankKeyB,0),"")</f>
        <v/>
      </c>
    </row>
    <row r="1563">
      <c r="A1563" s="17" t="n">
        <v>1547</v>
      </c>
      <c r="B1563" s="18">
        <f>IF(AND($L1563="",$M1563=""),"",IF($L1563&lt;&gt;"",INDEX(SCNormDate,$L1563),INDEX(LdgDateB,$M1563)))</f>
        <v/>
      </c>
      <c r="C1563" s="18">
        <f>IF($L1563&lt;&gt;"",INDEX(SCOp,$L1563),IF($M1563&lt;&gt;"","پرداخت بانکی",""))</f>
        <v/>
      </c>
      <c r="D1563" s="18">
        <f>IF($L1563&lt;&gt;"",IF(INDEX(SCDoc,$L1563)="","—",INDEX(SCDoc,$L1563)),IF($M1563&lt;&gt;"",INDEX(LdgBankB,$M1563),""))</f>
        <v/>
      </c>
      <c r="E1563" s="19">
        <f>IF($L1563&lt;&gt;"",IF(INDEX(SCCitrus,$L1563)&amp;INDEX(SCNotes,$L1563)="","",IF(INDEX(SCCitrus,$L1563)="","",INDEX(SCCitrus,$L1563))&amp;IF(INDEX(SCNotes,$L1563)="",""," — "&amp;INDEX(SCNotes,$L1563))),IF($M1563&lt;&gt;"",IF(INDEX(LdgNoteB,$M1563)="","—",INDEX(LdgNoteB,$M1563)),""))</f>
        <v/>
      </c>
      <c r="F1563" s="20">
        <f>IF($L1563&lt;&gt;"",IF(INDEX(SCNet,$L1563)=0,"",INDEX(SCNet,$L1563)),"")</f>
        <v/>
      </c>
      <c r="G1563" s="21">
        <f>IF($L1563&lt;&gt;"",IF(INDEX(SCOp,$L1563)="مرجوعی فروش","",IF(INDEX(SCAmount,$L1563)&lt;=0,"",INDEX(SCAmount,$L1563))),IF($M1563&lt;&gt;"",IF(INDEX(LdgWitB,$M1563)=0,"",INDEX(LdgWitB,$M1563)),""))</f>
        <v/>
      </c>
      <c r="H1563" s="21">
        <f>IF($L1563&lt;&gt;"",IF(INDEX(SCOp,$L1563)="مرجوعی فروش",IF(INDEX(SCAmount,$L1563)=0,"",-INDEX(SCAmount,$L1563)),""),IF($M1563&lt;&gt;"",IF(INDEX(LdgDepB,$M1563)=0,"",INDEX(LdgDepB,$M1563)),""))</f>
        <v/>
      </c>
      <c r="I1563" s="22">
        <f>IF($B1563="","",IF($I1562="",$C$10,$I1562)+IF($G1563="",0,$G1563)-IF($H1563="",0,$H1563))</f>
        <v/>
      </c>
      <c r="L1563">
        <f>IFERROR(MATCH($C$5&amp;"|"&amp;RIGHT("000000"&amp;1547,6),LdgRankKeyA,0),"")</f>
        <v/>
      </c>
      <c r="M1563">
        <f>IFERROR(MATCH($C$5&amp;"|"&amp;RIGHT("000000"&amp;1547,6),LdgRankKeyB,0),"")</f>
        <v/>
      </c>
    </row>
    <row r="1564">
      <c r="A1564" s="23" t="n">
        <v>1548</v>
      </c>
      <c r="B1564" s="24">
        <f>IF(AND($L1564="",$M1564=""),"",IF($L1564&lt;&gt;"",INDEX(SCNormDate,$L1564),INDEX(LdgDateB,$M1564)))</f>
        <v/>
      </c>
      <c r="C1564" s="24">
        <f>IF($L1564&lt;&gt;"",INDEX(SCOp,$L1564),IF($M1564&lt;&gt;"","پرداخت بانکی",""))</f>
        <v/>
      </c>
      <c r="D1564" s="24">
        <f>IF($L1564&lt;&gt;"",IF(INDEX(SCDoc,$L1564)="","—",INDEX(SCDoc,$L1564)),IF($M1564&lt;&gt;"",INDEX(LdgBankB,$M1564),""))</f>
        <v/>
      </c>
      <c r="E1564" s="25">
        <f>IF($L1564&lt;&gt;"",IF(INDEX(SCCitrus,$L1564)&amp;INDEX(SCNotes,$L1564)="","",IF(INDEX(SCCitrus,$L1564)="","",INDEX(SCCitrus,$L1564))&amp;IF(INDEX(SCNotes,$L1564)="",""," — "&amp;INDEX(SCNotes,$L1564))),IF($M1564&lt;&gt;"",IF(INDEX(LdgNoteB,$M1564)="","—",INDEX(LdgNoteB,$M1564)),""))</f>
        <v/>
      </c>
      <c r="F1564" s="26">
        <f>IF($L1564&lt;&gt;"",IF(INDEX(SCNet,$L1564)=0,"",INDEX(SCNet,$L1564)),"")</f>
        <v/>
      </c>
      <c r="G1564" s="27">
        <f>IF($L1564&lt;&gt;"",IF(INDEX(SCOp,$L1564)="مرجوعی فروش","",IF(INDEX(SCAmount,$L1564)&lt;=0,"",INDEX(SCAmount,$L1564))),IF($M1564&lt;&gt;"",IF(INDEX(LdgWitB,$M1564)=0,"",INDEX(LdgWitB,$M1564)),""))</f>
        <v/>
      </c>
      <c r="H1564" s="27">
        <f>IF($L1564&lt;&gt;"",IF(INDEX(SCOp,$L1564)="مرجوعی فروش",IF(INDEX(SCAmount,$L1564)=0,"",-INDEX(SCAmount,$L1564)),""),IF($M1564&lt;&gt;"",IF(INDEX(LdgDepB,$M1564)=0,"",INDEX(LdgDepB,$M1564)),""))</f>
        <v/>
      </c>
      <c r="I1564" s="28">
        <f>IF($B1564="","",IF($I1563="",$C$10,$I1563)+IF($G1564="",0,$G1564)-IF($H1564="",0,$H1564))</f>
        <v/>
      </c>
      <c r="L1564">
        <f>IFERROR(MATCH($C$5&amp;"|"&amp;RIGHT("000000"&amp;1548,6),LdgRankKeyA,0),"")</f>
        <v/>
      </c>
      <c r="M1564">
        <f>IFERROR(MATCH($C$5&amp;"|"&amp;RIGHT("000000"&amp;1548,6),LdgRankKeyB,0),"")</f>
        <v/>
      </c>
    </row>
    <row r="1565">
      <c r="A1565" s="17" t="n">
        <v>1549</v>
      </c>
      <c r="B1565" s="18">
        <f>IF(AND($L1565="",$M1565=""),"",IF($L1565&lt;&gt;"",INDEX(SCNormDate,$L1565),INDEX(LdgDateB,$M1565)))</f>
        <v/>
      </c>
      <c r="C1565" s="18">
        <f>IF($L1565&lt;&gt;"",INDEX(SCOp,$L1565),IF($M1565&lt;&gt;"","پرداخت بانکی",""))</f>
        <v/>
      </c>
      <c r="D1565" s="18">
        <f>IF($L1565&lt;&gt;"",IF(INDEX(SCDoc,$L1565)="","—",INDEX(SCDoc,$L1565)),IF($M1565&lt;&gt;"",INDEX(LdgBankB,$M1565),""))</f>
        <v/>
      </c>
      <c r="E1565" s="19">
        <f>IF($L1565&lt;&gt;"",IF(INDEX(SCCitrus,$L1565)&amp;INDEX(SCNotes,$L1565)="","",IF(INDEX(SCCitrus,$L1565)="","",INDEX(SCCitrus,$L1565))&amp;IF(INDEX(SCNotes,$L1565)="",""," — "&amp;INDEX(SCNotes,$L1565))),IF($M1565&lt;&gt;"",IF(INDEX(LdgNoteB,$M1565)="","—",INDEX(LdgNoteB,$M1565)),""))</f>
        <v/>
      </c>
      <c r="F1565" s="20">
        <f>IF($L1565&lt;&gt;"",IF(INDEX(SCNet,$L1565)=0,"",INDEX(SCNet,$L1565)),"")</f>
        <v/>
      </c>
      <c r="G1565" s="21">
        <f>IF($L1565&lt;&gt;"",IF(INDEX(SCOp,$L1565)="مرجوعی فروش","",IF(INDEX(SCAmount,$L1565)&lt;=0,"",INDEX(SCAmount,$L1565))),IF($M1565&lt;&gt;"",IF(INDEX(LdgWitB,$M1565)=0,"",INDEX(LdgWitB,$M1565)),""))</f>
        <v/>
      </c>
      <c r="H1565" s="21">
        <f>IF($L1565&lt;&gt;"",IF(INDEX(SCOp,$L1565)="مرجوعی فروش",IF(INDEX(SCAmount,$L1565)=0,"",-INDEX(SCAmount,$L1565)),""),IF($M1565&lt;&gt;"",IF(INDEX(LdgDepB,$M1565)=0,"",INDEX(LdgDepB,$M1565)),""))</f>
        <v/>
      </c>
      <c r="I1565" s="22">
        <f>IF($B1565="","",IF($I1564="",$C$10,$I1564)+IF($G1565="",0,$G1565)-IF($H1565="",0,$H1565))</f>
        <v/>
      </c>
      <c r="L1565">
        <f>IFERROR(MATCH($C$5&amp;"|"&amp;RIGHT("000000"&amp;1549,6),LdgRankKeyA,0),"")</f>
        <v/>
      </c>
      <c r="M1565">
        <f>IFERROR(MATCH($C$5&amp;"|"&amp;RIGHT("000000"&amp;1549,6),LdgRankKeyB,0),"")</f>
        <v/>
      </c>
    </row>
    <row r="1566">
      <c r="A1566" s="23" t="n">
        <v>1550</v>
      </c>
      <c r="B1566" s="24">
        <f>IF(AND($L1566="",$M1566=""),"",IF($L1566&lt;&gt;"",INDEX(SCNormDate,$L1566),INDEX(LdgDateB,$M1566)))</f>
        <v/>
      </c>
      <c r="C1566" s="24">
        <f>IF($L1566&lt;&gt;"",INDEX(SCOp,$L1566),IF($M1566&lt;&gt;"","پرداخت بانکی",""))</f>
        <v/>
      </c>
      <c r="D1566" s="24">
        <f>IF($L1566&lt;&gt;"",IF(INDEX(SCDoc,$L1566)="","—",INDEX(SCDoc,$L1566)),IF($M1566&lt;&gt;"",INDEX(LdgBankB,$M1566),""))</f>
        <v/>
      </c>
      <c r="E1566" s="25">
        <f>IF($L1566&lt;&gt;"",IF(INDEX(SCCitrus,$L1566)&amp;INDEX(SCNotes,$L1566)="","",IF(INDEX(SCCitrus,$L1566)="","",INDEX(SCCitrus,$L1566))&amp;IF(INDEX(SCNotes,$L1566)="",""," — "&amp;INDEX(SCNotes,$L1566))),IF($M1566&lt;&gt;"",IF(INDEX(LdgNoteB,$M1566)="","—",INDEX(LdgNoteB,$M1566)),""))</f>
        <v/>
      </c>
      <c r="F1566" s="26">
        <f>IF($L1566&lt;&gt;"",IF(INDEX(SCNet,$L1566)=0,"",INDEX(SCNet,$L1566)),"")</f>
        <v/>
      </c>
      <c r="G1566" s="27">
        <f>IF($L1566&lt;&gt;"",IF(INDEX(SCOp,$L1566)="مرجوعی فروش","",IF(INDEX(SCAmount,$L1566)&lt;=0,"",INDEX(SCAmount,$L1566))),IF($M1566&lt;&gt;"",IF(INDEX(LdgWitB,$M1566)=0,"",INDEX(LdgWitB,$M1566)),""))</f>
        <v/>
      </c>
      <c r="H1566" s="27">
        <f>IF($L1566&lt;&gt;"",IF(INDEX(SCOp,$L1566)="مرجوعی فروش",IF(INDEX(SCAmount,$L1566)=0,"",-INDEX(SCAmount,$L1566)),""),IF($M1566&lt;&gt;"",IF(INDEX(LdgDepB,$M1566)=0,"",INDEX(LdgDepB,$M1566)),""))</f>
        <v/>
      </c>
      <c r="I1566" s="28">
        <f>IF($B1566="","",IF($I1565="",$C$10,$I1565)+IF($G1566="",0,$G1566)-IF($H1566="",0,$H1566))</f>
        <v/>
      </c>
      <c r="L1566">
        <f>IFERROR(MATCH($C$5&amp;"|"&amp;RIGHT("000000"&amp;1550,6),LdgRankKeyA,0),"")</f>
        <v/>
      </c>
      <c r="M1566">
        <f>IFERROR(MATCH($C$5&amp;"|"&amp;RIGHT("000000"&amp;1550,6),LdgRankKeyB,0),"")</f>
        <v/>
      </c>
    </row>
    <row r="1567">
      <c r="A1567" s="17" t="n">
        <v>1551</v>
      </c>
      <c r="B1567" s="18">
        <f>IF(AND($L1567="",$M1567=""),"",IF($L1567&lt;&gt;"",INDEX(SCNormDate,$L1567),INDEX(LdgDateB,$M1567)))</f>
        <v/>
      </c>
      <c r="C1567" s="18">
        <f>IF($L1567&lt;&gt;"",INDEX(SCOp,$L1567),IF($M1567&lt;&gt;"","پرداخت بانکی",""))</f>
        <v/>
      </c>
      <c r="D1567" s="18">
        <f>IF($L1567&lt;&gt;"",IF(INDEX(SCDoc,$L1567)="","—",INDEX(SCDoc,$L1567)),IF($M1567&lt;&gt;"",INDEX(LdgBankB,$M1567),""))</f>
        <v/>
      </c>
      <c r="E1567" s="19">
        <f>IF($L1567&lt;&gt;"",IF(INDEX(SCCitrus,$L1567)&amp;INDEX(SCNotes,$L1567)="","",IF(INDEX(SCCitrus,$L1567)="","",INDEX(SCCitrus,$L1567))&amp;IF(INDEX(SCNotes,$L1567)="",""," — "&amp;INDEX(SCNotes,$L1567))),IF($M1567&lt;&gt;"",IF(INDEX(LdgNoteB,$M1567)="","—",INDEX(LdgNoteB,$M1567)),""))</f>
        <v/>
      </c>
      <c r="F1567" s="20">
        <f>IF($L1567&lt;&gt;"",IF(INDEX(SCNet,$L1567)=0,"",INDEX(SCNet,$L1567)),"")</f>
        <v/>
      </c>
      <c r="G1567" s="21">
        <f>IF($L1567&lt;&gt;"",IF(INDEX(SCOp,$L1567)="مرجوعی فروش","",IF(INDEX(SCAmount,$L1567)&lt;=0,"",INDEX(SCAmount,$L1567))),IF($M1567&lt;&gt;"",IF(INDEX(LdgWitB,$M1567)=0,"",INDEX(LdgWitB,$M1567)),""))</f>
        <v/>
      </c>
      <c r="H1567" s="21">
        <f>IF($L1567&lt;&gt;"",IF(INDEX(SCOp,$L1567)="مرجوعی فروش",IF(INDEX(SCAmount,$L1567)=0,"",-INDEX(SCAmount,$L1567)),""),IF($M1567&lt;&gt;"",IF(INDEX(LdgDepB,$M1567)=0,"",INDEX(LdgDepB,$M1567)),""))</f>
        <v/>
      </c>
      <c r="I1567" s="22">
        <f>IF($B1567="","",IF($I1566="",$C$10,$I1566)+IF($G1567="",0,$G1567)-IF($H1567="",0,$H1567))</f>
        <v/>
      </c>
      <c r="L1567">
        <f>IFERROR(MATCH($C$5&amp;"|"&amp;RIGHT("000000"&amp;1551,6),LdgRankKeyA,0),"")</f>
        <v/>
      </c>
      <c r="M1567">
        <f>IFERROR(MATCH($C$5&amp;"|"&amp;RIGHT("000000"&amp;1551,6),LdgRankKeyB,0),"")</f>
        <v/>
      </c>
    </row>
    <row r="1568">
      <c r="A1568" s="23" t="n">
        <v>1552</v>
      </c>
      <c r="B1568" s="24">
        <f>IF(AND($L1568="",$M1568=""),"",IF($L1568&lt;&gt;"",INDEX(SCNormDate,$L1568),INDEX(LdgDateB,$M1568)))</f>
        <v/>
      </c>
      <c r="C1568" s="24">
        <f>IF($L1568&lt;&gt;"",INDEX(SCOp,$L1568),IF($M1568&lt;&gt;"","پرداخت بانکی",""))</f>
        <v/>
      </c>
      <c r="D1568" s="24">
        <f>IF($L1568&lt;&gt;"",IF(INDEX(SCDoc,$L1568)="","—",INDEX(SCDoc,$L1568)),IF($M1568&lt;&gt;"",INDEX(LdgBankB,$M1568),""))</f>
        <v/>
      </c>
      <c r="E1568" s="25">
        <f>IF($L1568&lt;&gt;"",IF(INDEX(SCCitrus,$L1568)&amp;INDEX(SCNotes,$L1568)="","",IF(INDEX(SCCitrus,$L1568)="","",INDEX(SCCitrus,$L1568))&amp;IF(INDEX(SCNotes,$L1568)="",""," — "&amp;INDEX(SCNotes,$L1568))),IF($M1568&lt;&gt;"",IF(INDEX(LdgNoteB,$M1568)="","—",INDEX(LdgNoteB,$M1568)),""))</f>
        <v/>
      </c>
      <c r="F1568" s="26">
        <f>IF($L1568&lt;&gt;"",IF(INDEX(SCNet,$L1568)=0,"",INDEX(SCNet,$L1568)),"")</f>
        <v/>
      </c>
      <c r="G1568" s="27">
        <f>IF($L1568&lt;&gt;"",IF(INDEX(SCOp,$L1568)="مرجوعی فروش","",IF(INDEX(SCAmount,$L1568)&lt;=0,"",INDEX(SCAmount,$L1568))),IF($M1568&lt;&gt;"",IF(INDEX(LdgWitB,$M1568)=0,"",INDEX(LdgWitB,$M1568)),""))</f>
        <v/>
      </c>
      <c r="H1568" s="27">
        <f>IF($L1568&lt;&gt;"",IF(INDEX(SCOp,$L1568)="مرجوعی فروش",IF(INDEX(SCAmount,$L1568)=0,"",-INDEX(SCAmount,$L1568)),""),IF($M1568&lt;&gt;"",IF(INDEX(LdgDepB,$M1568)=0,"",INDEX(LdgDepB,$M1568)),""))</f>
        <v/>
      </c>
      <c r="I1568" s="28">
        <f>IF($B1568="","",IF($I1567="",$C$10,$I1567)+IF($G1568="",0,$G1568)-IF($H1568="",0,$H1568))</f>
        <v/>
      </c>
      <c r="L1568">
        <f>IFERROR(MATCH($C$5&amp;"|"&amp;RIGHT("000000"&amp;1552,6),LdgRankKeyA,0),"")</f>
        <v/>
      </c>
      <c r="M1568">
        <f>IFERROR(MATCH($C$5&amp;"|"&amp;RIGHT("000000"&amp;1552,6),LdgRankKeyB,0),"")</f>
        <v/>
      </c>
    </row>
    <row r="1569">
      <c r="A1569" s="17" t="n">
        <v>1553</v>
      </c>
      <c r="B1569" s="18">
        <f>IF(AND($L1569="",$M1569=""),"",IF($L1569&lt;&gt;"",INDEX(SCNormDate,$L1569),INDEX(LdgDateB,$M1569)))</f>
        <v/>
      </c>
      <c r="C1569" s="18">
        <f>IF($L1569&lt;&gt;"",INDEX(SCOp,$L1569),IF($M1569&lt;&gt;"","پرداخت بانکی",""))</f>
        <v/>
      </c>
      <c r="D1569" s="18">
        <f>IF($L1569&lt;&gt;"",IF(INDEX(SCDoc,$L1569)="","—",INDEX(SCDoc,$L1569)),IF($M1569&lt;&gt;"",INDEX(LdgBankB,$M1569),""))</f>
        <v/>
      </c>
      <c r="E1569" s="19">
        <f>IF($L1569&lt;&gt;"",IF(INDEX(SCCitrus,$L1569)&amp;INDEX(SCNotes,$L1569)="","",IF(INDEX(SCCitrus,$L1569)="","",INDEX(SCCitrus,$L1569))&amp;IF(INDEX(SCNotes,$L1569)="",""," — "&amp;INDEX(SCNotes,$L1569))),IF($M1569&lt;&gt;"",IF(INDEX(LdgNoteB,$M1569)="","—",INDEX(LdgNoteB,$M1569)),""))</f>
        <v/>
      </c>
      <c r="F1569" s="20">
        <f>IF($L1569&lt;&gt;"",IF(INDEX(SCNet,$L1569)=0,"",INDEX(SCNet,$L1569)),"")</f>
        <v/>
      </c>
      <c r="G1569" s="21">
        <f>IF($L1569&lt;&gt;"",IF(INDEX(SCOp,$L1569)="مرجوعی فروش","",IF(INDEX(SCAmount,$L1569)&lt;=0,"",INDEX(SCAmount,$L1569))),IF($M1569&lt;&gt;"",IF(INDEX(LdgWitB,$M1569)=0,"",INDEX(LdgWitB,$M1569)),""))</f>
        <v/>
      </c>
      <c r="H1569" s="21">
        <f>IF($L1569&lt;&gt;"",IF(INDEX(SCOp,$L1569)="مرجوعی فروش",IF(INDEX(SCAmount,$L1569)=0,"",-INDEX(SCAmount,$L1569)),""),IF($M1569&lt;&gt;"",IF(INDEX(LdgDepB,$M1569)=0,"",INDEX(LdgDepB,$M1569)),""))</f>
        <v/>
      </c>
      <c r="I1569" s="22">
        <f>IF($B1569="","",IF($I1568="",$C$10,$I1568)+IF($G1569="",0,$G1569)-IF($H1569="",0,$H1569))</f>
        <v/>
      </c>
      <c r="L1569">
        <f>IFERROR(MATCH($C$5&amp;"|"&amp;RIGHT("000000"&amp;1553,6),LdgRankKeyA,0),"")</f>
        <v/>
      </c>
      <c r="M1569">
        <f>IFERROR(MATCH($C$5&amp;"|"&amp;RIGHT("000000"&amp;1553,6),LdgRankKeyB,0),"")</f>
        <v/>
      </c>
    </row>
    <row r="1570">
      <c r="A1570" s="23" t="n">
        <v>1554</v>
      </c>
      <c r="B1570" s="24">
        <f>IF(AND($L1570="",$M1570=""),"",IF($L1570&lt;&gt;"",INDEX(SCNormDate,$L1570),INDEX(LdgDateB,$M1570)))</f>
        <v/>
      </c>
      <c r="C1570" s="24">
        <f>IF($L1570&lt;&gt;"",INDEX(SCOp,$L1570),IF($M1570&lt;&gt;"","پرداخت بانکی",""))</f>
        <v/>
      </c>
      <c r="D1570" s="24">
        <f>IF($L1570&lt;&gt;"",IF(INDEX(SCDoc,$L1570)="","—",INDEX(SCDoc,$L1570)),IF($M1570&lt;&gt;"",INDEX(LdgBankB,$M1570),""))</f>
        <v/>
      </c>
      <c r="E1570" s="25">
        <f>IF($L1570&lt;&gt;"",IF(INDEX(SCCitrus,$L1570)&amp;INDEX(SCNotes,$L1570)="","",IF(INDEX(SCCitrus,$L1570)="","",INDEX(SCCitrus,$L1570))&amp;IF(INDEX(SCNotes,$L1570)="",""," — "&amp;INDEX(SCNotes,$L1570))),IF($M1570&lt;&gt;"",IF(INDEX(LdgNoteB,$M1570)="","—",INDEX(LdgNoteB,$M1570)),""))</f>
        <v/>
      </c>
      <c r="F1570" s="26">
        <f>IF($L1570&lt;&gt;"",IF(INDEX(SCNet,$L1570)=0,"",INDEX(SCNet,$L1570)),"")</f>
        <v/>
      </c>
      <c r="G1570" s="27">
        <f>IF($L1570&lt;&gt;"",IF(INDEX(SCOp,$L1570)="مرجوعی فروش","",IF(INDEX(SCAmount,$L1570)&lt;=0,"",INDEX(SCAmount,$L1570))),IF($M1570&lt;&gt;"",IF(INDEX(LdgWitB,$M1570)=0,"",INDEX(LdgWitB,$M1570)),""))</f>
        <v/>
      </c>
      <c r="H1570" s="27">
        <f>IF($L1570&lt;&gt;"",IF(INDEX(SCOp,$L1570)="مرجوعی فروش",IF(INDEX(SCAmount,$L1570)=0,"",-INDEX(SCAmount,$L1570)),""),IF($M1570&lt;&gt;"",IF(INDEX(LdgDepB,$M1570)=0,"",INDEX(LdgDepB,$M1570)),""))</f>
        <v/>
      </c>
      <c r="I1570" s="28">
        <f>IF($B1570="","",IF($I1569="",$C$10,$I1569)+IF($G1570="",0,$G1570)-IF($H1570="",0,$H1570))</f>
        <v/>
      </c>
      <c r="L1570">
        <f>IFERROR(MATCH($C$5&amp;"|"&amp;RIGHT("000000"&amp;1554,6),LdgRankKeyA,0),"")</f>
        <v/>
      </c>
      <c r="M1570">
        <f>IFERROR(MATCH($C$5&amp;"|"&amp;RIGHT("000000"&amp;1554,6),LdgRankKeyB,0),"")</f>
        <v/>
      </c>
    </row>
    <row r="1571">
      <c r="A1571" s="17" t="n">
        <v>1555</v>
      </c>
      <c r="B1571" s="18">
        <f>IF(AND($L1571="",$M1571=""),"",IF($L1571&lt;&gt;"",INDEX(SCNormDate,$L1571),INDEX(LdgDateB,$M1571)))</f>
        <v/>
      </c>
      <c r="C1571" s="18">
        <f>IF($L1571&lt;&gt;"",INDEX(SCOp,$L1571),IF($M1571&lt;&gt;"","پرداخت بانکی",""))</f>
        <v/>
      </c>
      <c r="D1571" s="18">
        <f>IF($L1571&lt;&gt;"",IF(INDEX(SCDoc,$L1571)="","—",INDEX(SCDoc,$L1571)),IF($M1571&lt;&gt;"",INDEX(LdgBankB,$M1571),""))</f>
        <v/>
      </c>
      <c r="E1571" s="19">
        <f>IF($L1571&lt;&gt;"",IF(INDEX(SCCitrus,$L1571)&amp;INDEX(SCNotes,$L1571)="","",IF(INDEX(SCCitrus,$L1571)="","",INDEX(SCCitrus,$L1571))&amp;IF(INDEX(SCNotes,$L1571)="",""," — "&amp;INDEX(SCNotes,$L1571))),IF($M1571&lt;&gt;"",IF(INDEX(LdgNoteB,$M1571)="","—",INDEX(LdgNoteB,$M1571)),""))</f>
        <v/>
      </c>
      <c r="F1571" s="20">
        <f>IF($L1571&lt;&gt;"",IF(INDEX(SCNet,$L1571)=0,"",INDEX(SCNet,$L1571)),"")</f>
        <v/>
      </c>
      <c r="G1571" s="21">
        <f>IF($L1571&lt;&gt;"",IF(INDEX(SCOp,$L1571)="مرجوعی فروش","",IF(INDEX(SCAmount,$L1571)&lt;=0,"",INDEX(SCAmount,$L1571))),IF($M1571&lt;&gt;"",IF(INDEX(LdgWitB,$M1571)=0,"",INDEX(LdgWitB,$M1571)),""))</f>
        <v/>
      </c>
      <c r="H1571" s="21">
        <f>IF($L1571&lt;&gt;"",IF(INDEX(SCOp,$L1571)="مرجوعی فروش",IF(INDEX(SCAmount,$L1571)=0,"",-INDEX(SCAmount,$L1571)),""),IF($M1571&lt;&gt;"",IF(INDEX(LdgDepB,$M1571)=0,"",INDEX(LdgDepB,$M1571)),""))</f>
        <v/>
      </c>
      <c r="I1571" s="22">
        <f>IF($B1571="","",IF($I1570="",$C$10,$I1570)+IF($G1571="",0,$G1571)-IF($H1571="",0,$H1571))</f>
        <v/>
      </c>
      <c r="L1571">
        <f>IFERROR(MATCH($C$5&amp;"|"&amp;RIGHT("000000"&amp;1555,6),LdgRankKeyA,0),"")</f>
        <v/>
      </c>
      <c r="M1571">
        <f>IFERROR(MATCH($C$5&amp;"|"&amp;RIGHT("000000"&amp;1555,6),LdgRankKeyB,0),"")</f>
        <v/>
      </c>
    </row>
    <row r="1572">
      <c r="A1572" s="23" t="n">
        <v>1556</v>
      </c>
      <c r="B1572" s="24">
        <f>IF(AND($L1572="",$M1572=""),"",IF($L1572&lt;&gt;"",INDEX(SCNormDate,$L1572),INDEX(LdgDateB,$M1572)))</f>
        <v/>
      </c>
      <c r="C1572" s="24">
        <f>IF($L1572&lt;&gt;"",INDEX(SCOp,$L1572),IF($M1572&lt;&gt;"","پرداخت بانکی",""))</f>
        <v/>
      </c>
      <c r="D1572" s="24">
        <f>IF($L1572&lt;&gt;"",IF(INDEX(SCDoc,$L1572)="","—",INDEX(SCDoc,$L1572)),IF($M1572&lt;&gt;"",INDEX(LdgBankB,$M1572),""))</f>
        <v/>
      </c>
      <c r="E1572" s="25">
        <f>IF($L1572&lt;&gt;"",IF(INDEX(SCCitrus,$L1572)&amp;INDEX(SCNotes,$L1572)="","",IF(INDEX(SCCitrus,$L1572)="","",INDEX(SCCitrus,$L1572))&amp;IF(INDEX(SCNotes,$L1572)="",""," — "&amp;INDEX(SCNotes,$L1572))),IF($M1572&lt;&gt;"",IF(INDEX(LdgNoteB,$M1572)="","—",INDEX(LdgNoteB,$M1572)),""))</f>
        <v/>
      </c>
      <c r="F1572" s="26">
        <f>IF($L1572&lt;&gt;"",IF(INDEX(SCNet,$L1572)=0,"",INDEX(SCNet,$L1572)),"")</f>
        <v/>
      </c>
      <c r="G1572" s="27">
        <f>IF($L1572&lt;&gt;"",IF(INDEX(SCOp,$L1572)="مرجوعی فروش","",IF(INDEX(SCAmount,$L1572)&lt;=0,"",INDEX(SCAmount,$L1572))),IF($M1572&lt;&gt;"",IF(INDEX(LdgWitB,$M1572)=0,"",INDEX(LdgWitB,$M1572)),""))</f>
        <v/>
      </c>
      <c r="H1572" s="27">
        <f>IF($L1572&lt;&gt;"",IF(INDEX(SCOp,$L1572)="مرجوعی فروش",IF(INDEX(SCAmount,$L1572)=0,"",-INDEX(SCAmount,$L1572)),""),IF($M1572&lt;&gt;"",IF(INDEX(LdgDepB,$M1572)=0,"",INDEX(LdgDepB,$M1572)),""))</f>
        <v/>
      </c>
      <c r="I1572" s="28">
        <f>IF($B1572="","",IF($I1571="",$C$10,$I1571)+IF($G1572="",0,$G1572)-IF($H1572="",0,$H1572))</f>
        <v/>
      </c>
      <c r="L1572">
        <f>IFERROR(MATCH($C$5&amp;"|"&amp;RIGHT("000000"&amp;1556,6),LdgRankKeyA,0),"")</f>
        <v/>
      </c>
      <c r="M1572">
        <f>IFERROR(MATCH($C$5&amp;"|"&amp;RIGHT("000000"&amp;1556,6),LdgRankKeyB,0),"")</f>
        <v/>
      </c>
    </row>
    <row r="1573">
      <c r="A1573" s="17" t="n">
        <v>1557</v>
      </c>
      <c r="B1573" s="18">
        <f>IF(AND($L1573="",$M1573=""),"",IF($L1573&lt;&gt;"",INDEX(SCNormDate,$L1573),INDEX(LdgDateB,$M1573)))</f>
        <v/>
      </c>
      <c r="C1573" s="18">
        <f>IF($L1573&lt;&gt;"",INDEX(SCOp,$L1573),IF($M1573&lt;&gt;"","پرداخت بانکی",""))</f>
        <v/>
      </c>
      <c r="D1573" s="18">
        <f>IF($L1573&lt;&gt;"",IF(INDEX(SCDoc,$L1573)="","—",INDEX(SCDoc,$L1573)),IF($M1573&lt;&gt;"",INDEX(LdgBankB,$M1573),""))</f>
        <v/>
      </c>
      <c r="E1573" s="19">
        <f>IF($L1573&lt;&gt;"",IF(INDEX(SCCitrus,$L1573)&amp;INDEX(SCNotes,$L1573)="","",IF(INDEX(SCCitrus,$L1573)="","",INDEX(SCCitrus,$L1573))&amp;IF(INDEX(SCNotes,$L1573)="",""," — "&amp;INDEX(SCNotes,$L1573))),IF($M1573&lt;&gt;"",IF(INDEX(LdgNoteB,$M1573)="","—",INDEX(LdgNoteB,$M1573)),""))</f>
        <v/>
      </c>
      <c r="F1573" s="20">
        <f>IF($L1573&lt;&gt;"",IF(INDEX(SCNet,$L1573)=0,"",INDEX(SCNet,$L1573)),"")</f>
        <v/>
      </c>
      <c r="G1573" s="21">
        <f>IF($L1573&lt;&gt;"",IF(INDEX(SCOp,$L1573)="مرجوعی فروش","",IF(INDEX(SCAmount,$L1573)&lt;=0,"",INDEX(SCAmount,$L1573))),IF($M1573&lt;&gt;"",IF(INDEX(LdgWitB,$M1573)=0,"",INDEX(LdgWitB,$M1573)),""))</f>
        <v/>
      </c>
      <c r="H1573" s="21">
        <f>IF($L1573&lt;&gt;"",IF(INDEX(SCOp,$L1573)="مرجوعی فروش",IF(INDEX(SCAmount,$L1573)=0,"",-INDEX(SCAmount,$L1573)),""),IF($M1573&lt;&gt;"",IF(INDEX(LdgDepB,$M1573)=0,"",INDEX(LdgDepB,$M1573)),""))</f>
        <v/>
      </c>
      <c r="I1573" s="22">
        <f>IF($B1573="","",IF($I1572="",$C$10,$I1572)+IF($G1573="",0,$G1573)-IF($H1573="",0,$H1573))</f>
        <v/>
      </c>
      <c r="L1573">
        <f>IFERROR(MATCH($C$5&amp;"|"&amp;RIGHT("000000"&amp;1557,6),LdgRankKeyA,0),"")</f>
        <v/>
      </c>
      <c r="M1573">
        <f>IFERROR(MATCH($C$5&amp;"|"&amp;RIGHT("000000"&amp;1557,6),LdgRankKeyB,0),"")</f>
        <v/>
      </c>
    </row>
    <row r="1574">
      <c r="A1574" s="23" t="n">
        <v>1558</v>
      </c>
      <c r="B1574" s="24">
        <f>IF(AND($L1574="",$M1574=""),"",IF($L1574&lt;&gt;"",INDEX(SCNormDate,$L1574),INDEX(LdgDateB,$M1574)))</f>
        <v/>
      </c>
      <c r="C1574" s="24">
        <f>IF($L1574&lt;&gt;"",INDEX(SCOp,$L1574),IF($M1574&lt;&gt;"","پرداخت بانکی",""))</f>
        <v/>
      </c>
      <c r="D1574" s="24">
        <f>IF($L1574&lt;&gt;"",IF(INDEX(SCDoc,$L1574)="","—",INDEX(SCDoc,$L1574)),IF($M1574&lt;&gt;"",INDEX(LdgBankB,$M1574),""))</f>
        <v/>
      </c>
      <c r="E1574" s="25">
        <f>IF($L1574&lt;&gt;"",IF(INDEX(SCCitrus,$L1574)&amp;INDEX(SCNotes,$L1574)="","",IF(INDEX(SCCitrus,$L1574)="","",INDEX(SCCitrus,$L1574))&amp;IF(INDEX(SCNotes,$L1574)="",""," — "&amp;INDEX(SCNotes,$L1574))),IF($M1574&lt;&gt;"",IF(INDEX(LdgNoteB,$M1574)="","—",INDEX(LdgNoteB,$M1574)),""))</f>
        <v/>
      </c>
      <c r="F1574" s="26">
        <f>IF($L1574&lt;&gt;"",IF(INDEX(SCNet,$L1574)=0,"",INDEX(SCNet,$L1574)),"")</f>
        <v/>
      </c>
      <c r="G1574" s="27">
        <f>IF($L1574&lt;&gt;"",IF(INDEX(SCOp,$L1574)="مرجوعی فروش","",IF(INDEX(SCAmount,$L1574)&lt;=0,"",INDEX(SCAmount,$L1574))),IF($M1574&lt;&gt;"",IF(INDEX(LdgWitB,$M1574)=0,"",INDEX(LdgWitB,$M1574)),""))</f>
        <v/>
      </c>
      <c r="H1574" s="27">
        <f>IF($L1574&lt;&gt;"",IF(INDEX(SCOp,$L1574)="مرجوعی فروش",IF(INDEX(SCAmount,$L1574)=0,"",-INDEX(SCAmount,$L1574)),""),IF($M1574&lt;&gt;"",IF(INDEX(LdgDepB,$M1574)=0,"",INDEX(LdgDepB,$M1574)),""))</f>
        <v/>
      </c>
      <c r="I1574" s="28">
        <f>IF($B1574="","",IF($I1573="",$C$10,$I1573)+IF($G1574="",0,$G1574)-IF($H1574="",0,$H1574))</f>
        <v/>
      </c>
      <c r="L1574">
        <f>IFERROR(MATCH($C$5&amp;"|"&amp;RIGHT("000000"&amp;1558,6),LdgRankKeyA,0),"")</f>
        <v/>
      </c>
      <c r="M1574">
        <f>IFERROR(MATCH($C$5&amp;"|"&amp;RIGHT("000000"&amp;1558,6),LdgRankKeyB,0),"")</f>
        <v/>
      </c>
    </row>
    <row r="1575">
      <c r="A1575" s="17" t="n">
        <v>1559</v>
      </c>
      <c r="B1575" s="18">
        <f>IF(AND($L1575="",$M1575=""),"",IF($L1575&lt;&gt;"",INDEX(SCNormDate,$L1575),INDEX(LdgDateB,$M1575)))</f>
        <v/>
      </c>
      <c r="C1575" s="18">
        <f>IF($L1575&lt;&gt;"",INDEX(SCOp,$L1575),IF($M1575&lt;&gt;"","پرداخت بانکی",""))</f>
        <v/>
      </c>
      <c r="D1575" s="18">
        <f>IF($L1575&lt;&gt;"",IF(INDEX(SCDoc,$L1575)="","—",INDEX(SCDoc,$L1575)),IF($M1575&lt;&gt;"",INDEX(LdgBankB,$M1575),""))</f>
        <v/>
      </c>
      <c r="E1575" s="19">
        <f>IF($L1575&lt;&gt;"",IF(INDEX(SCCitrus,$L1575)&amp;INDEX(SCNotes,$L1575)="","",IF(INDEX(SCCitrus,$L1575)="","",INDEX(SCCitrus,$L1575))&amp;IF(INDEX(SCNotes,$L1575)="",""," — "&amp;INDEX(SCNotes,$L1575))),IF($M1575&lt;&gt;"",IF(INDEX(LdgNoteB,$M1575)="","—",INDEX(LdgNoteB,$M1575)),""))</f>
        <v/>
      </c>
      <c r="F1575" s="20">
        <f>IF($L1575&lt;&gt;"",IF(INDEX(SCNet,$L1575)=0,"",INDEX(SCNet,$L1575)),"")</f>
        <v/>
      </c>
      <c r="G1575" s="21">
        <f>IF($L1575&lt;&gt;"",IF(INDEX(SCOp,$L1575)="مرجوعی فروش","",IF(INDEX(SCAmount,$L1575)&lt;=0,"",INDEX(SCAmount,$L1575))),IF($M1575&lt;&gt;"",IF(INDEX(LdgWitB,$M1575)=0,"",INDEX(LdgWitB,$M1575)),""))</f>
        <v/>
      </c>
      <c r="H1575" s="21">
        <f>IF($L1575&lt;&gt;"",IF(INDEX(SCOp,$L1575)="مرجوعی فروش",IF(INDEX(SCAmount,$L1575)=0,"",-INDEX(SCAmount,$L1575)),""),IF($M1575&lt;&gt;"",IF(INDEX(LdgDepB,$M1575)=0,"",INDEX(LdgDepB,$M1575)),""))</f>
        <v/>
      </c>
      <c r="I1575" s="22">
        <f>IF($B1575="","",IF($I1574="",$C$10,$I1574)+IF($G1575="",0,$G1575)-IF($H1575="",0,$H1575))</f>
        <v/>
      </c>
      <c r="L1575">
        <f>IFERROR(MATCH($C$5&amp;"|"&amp;RIGHT("000000"&amp;1559,6),LdgRankKeyA,0),"")</f>
        <v/>
      </c>
      <c r="M1575">
        <f>IFERROR(MATCH($C$5&amp;"|"&amp;RIGHT("000000"&amp;1559,6),LdgRankKeyB,0),"")</f>
        <v/>
      </c>
    </row>
    <row r="1576">
      <c r="A1576" s="23" t="n">
        <v>1560</v>
      </c>
      <c r="B1576" s="24">
        <f>IF(AND($L1576="",$M1576=""),"",IF($L1576&lt;&gt;"",INDEX(SCNormDate,$L1576),INDEX(LdgDateB,$M1576)))</f>
        <v/>
      </c>
      <c r="C1576" s="24">
        <f>IF($L1576&lt;&gt;"",INDEX(SCOp,$L1576),IF($M1576&lt;&gt;"","پرداخت بانکی",""))</f>
        <v/>
      </c>
      <c r="D1576" s="24">
        <f>IF($L1576&lt;&gt;"",IF(INDEX(SCDoc,$L1576)="","—",INDEX(SCDoc,$L1576)),IF($M1576&lt;&gt;"",INDEX(LdgBankB,$M1576),""))</f>
        <v/>
      </c>
      <c r="E1576" s="25">
        <f>IF($L1576&lt;&gt;"",IF(INDEX(SCCitrus,$L1576)&amp;INDEX(SCNotes,$L1576)="","",IF(INDEX(SCCitrus,$L1576)="","",INDEX(SCCitrus,$L1576))&amp;IF(INDEX(SCNotes,$L1576)="",""," — "&amp;INDEX(SCNotes,$L1576))),IF($M1576&lt;&gt;"",IF(INDEX(LdgNoteB,$M1576)="","—",INDEX(LdgNoteB,$M1576)),""))</f>
        <v/>
      </c>
      <c r="F1576" s="26">
        <f>IF($L1576&lt;&gt;"",IF(INDEX(SCNet,$L1576)=0,"",INDEX(SCNet,$L1576)),"")</f>
        <v/>
      </c>
      <c r="G1576" s="27">
        <f>IF($L1576&lt;&gt;"",IF(INDEX(SCOp,$L1576)="مرجوعی فروش","",IF(INDEX(SCAmount,$L1576)&lt;=0,"",INDEX(SCAmount,$L1576))),IF($M1576&lt;&gt;"",IF(INDEX(LdgWitB,$M1576)=0,"",INDEX(LdgWitB,$M1576)),""))</f>
        <v/>
      </c>
      <c r="H1576" s="27">
        <f>IF($L1576&lt;&gt;"",IF(INDEX(SCOp,$L1576)="مرجوعی فروش",IF(INDEX(SCAmount,$L1576)=0,"",-INDEX(SCAmount,$L1576)),""),IF($M1576&lt;&gt;"",IF(INDEX(LdgDepB,$M1576)=0,"",INDEX(LdgDepB,$M1576)),""))</f>
        <v/>
      </c>
      <c r="I1576" s="28">
        <f>IF($B1576="","",IF($I1575="",$C$10,$I1575)+IF($G1576="",0,$G1576)-IF($H1576="",0,$H1576))</f>
        <v/>
      </c>
      <c r="L1576">
        <f>IFERROR(MATCH($C$5&amp;"|"&amp;RIGHT("000000"&amp;1560,6),LdgRankKeyA,0),"")</f>
        <v/>
      </c>
      <c r="M1576">
        <f>IFERROR(MATCH($C$5&amp;"|"&amp;RIGHT("000000"&amp;1560,6),LdgRankKeyB,0),"")</f>
        <v/>
      </c>
    </row>
    <row r="1577">
      <c r="A1577" s="17" t="n">
        <v>1561</v>
      </c>
      <c r="B1577" s="18">
        <f>IF(AND($L1577="",$M1577=""),"",IF($L1577&lt;&gt;"",INDEX(SCNormDate,$L1577),INDEX(LdgDateB,$M1577)))</f>
        <v/>
      </c>
      <c r="C1577" s="18">
        <f>IF($L1577&lt;&gt;"",INDEX(SCOp,$L1577),IF($M1577&lt;&gt;"","پرداخت بانکی",""))</f>
        <v/>
      </c>
      <c r="D1577" s="18">
        <f>IF($L1577&lt;&gt;"",IF(INDEX(SCDoc,$L1577)="","—",INDEX(SCDoc,$L1577)),IF($M1577&lt;&gt;"",INDEX(LdgBankB,$M1577),""))</f>
        <v/>
      </c>
      <c r="E1577" s="19">
        <f>IF($L1577&lt;&gt;"",IF(INDEX(SCCitrus,$L1577)&amp;INDEX(SCNotes,$L1577)="","",IF(INDEX(SCCitrus,$L1577)="","",INDEX(SCCitrus,$L1577))&amp;IF(INDEX(SCNotes,$L1577)="",""," — "&amp;INDEX(SCNotes,$L1577))),IF($M1577&lt;&gt;"",IF(INDEX(LdgNoteB,$M1577)="","—",INDEX(LdgNoteB,$M1577)),""))</f>
        <v/>
      </c>
      <c r="F1577" s="20">
        <f>IF($L1577&lt;&gt;"",IF(INDEX(SCNet,$L1577)=0,"",INDEX(SCNet,$L1577)),"")</f>
        <v/>
      </c>
      <c r="G1577" s="21">
        <f>IF($L1577&lt;&gt;"",IF(INDEX(SCOp,$L1577)="مرجوعی فروش","",IF(INDEX(SCAmount,$L1577)&lt;=0,"",INDEX(SCAmount,$L1577))),IF($M1577&lt;&gt;"",IF(INDEX(LdgWitB,$M1577)=0,"",INDEX(LdgWitB,$M1577)),""))</f>
        <v/>
      </c>
      <c r="H1577" s="21">
        <f>IF($L1577&lt;&gt;"",IF(INDEX(SCOp,$L1577)="مرجوعی فروش",IF(INDEX(SCAmount,$L1577)=0,"",-INDEX(SCAmount,$L1577)),""),IF($M1577&lt;&gt;"",IF(INDEX(LdgDepB,$M1577)=0,"",INDEX(LdgDepB,$M1577)),""))</f>
        <v/>
      </c>
      <c r="I1577" s="22">
        <f>IF($B1577="","",IF($I1576="",$C$10,$I1576)+IF($G1577="",0,$G1577)-IF($H1577="",0,$H1577))</f>
        <v/>
      </c>
      <c r="L1577">
        <f>IFERROR(MATCH($C$5&amp;"|"&amp;RIGHT("000000"&amp;1561,6),LdgRankKeyA,0),"")</f>
        <v/>
      </c>
      <c r="M1577">
        <f>IFERROR(MATCH($C$5&amp;"|"&amp;RIGHT("000000"&amp;1561,6),LdgRankKeyB,0),"")</f>
        <v/>
      </c>
    </row>
    <row r="1578">
      <c r="A1578" s="23" t="n">
        <v>1562</v>
      </c>
      <c r="B1578" s="24">
        <f>IF(AND($L1578="",$M1578=""),"",IF($L1578&lt;&gt;"",INDEX(SCNormDate,$L1578),INDEX(LdgDateB,$M1578)))</f>
        <v/>
      </c>
      <c r="C1578" s="24">
        <f>IF($L1578&lt;&gt;"",INDEX(SCOp,$L1578),IF($M1578&lt;&gt;"","پرداخت بانکی",""))</f>
        <v/>
      </c>
      <c r="D1578" s="24">
        <f>IF($L1578&lt;&gt;"",IF(INDEX(SCDoc,$L1578)="","—",INDEX(SCDoc,$L1578)),IF($M1578&lt;&gt;"",INDEX(LdgBankB,$M1578),""))</f>
        <v/>
      </c>
      <c r="E1578" s="25">
        <f>IF($L1578&lt;&gt;"",IF(INDEX(SCCitrus,$L1578)&amp;INDEX(SCNotes,$L1578)="","",IF(INDEX(SCCitrus,$L1578)="","",INDEX(SCCitrus,$L1578))&amp;IF(INDEX(SCNotes,$L1578)="",""," — "&amp;INDEX(SCNotes,$L1578))),IF($M1578&lt;&gt;"",IF(INDEX(LdgNoteB,$M1578)="","—",INDEX(LdgNoteB,$M1578)),""))</f>
        <v/>
      </c>
      <c r="F1578" s="26">
        <f>IF($L1578&lt;&gt;"",IF(INDEX(SCNet,$L1578)=0,"",INDEX(SCNet,$L1578)),"")</f>
        <v/>
      </c>
      <c r="G1578" s="27">
        <f>IF($L1578&lt;&gt;"",IF(INDEX(SCOp,$L1578)="مرجوعی فروش","",IF(INDEX(SCAmount,$L1578)&lt;=0,"",INDEX(SCAmount,$L1578))),IF($M1578&lt;&gt;"",IF(INDEX(LdgWitB,$M1578)=0,"",INDEX(LdgWitB,$M1578)),""))</f>
        <v/>
      </c>
      <c r="H1578" s="27">
        <f>IF($L1578&lt;&gt;"",IF(INDEX(SCOp,$L1578)="مرجوعی فروش",IF(INDEX(SCAmount,$L1578)=0,"",-INDEX(SCAmount,$L1578)),""),IF($M1578&lt;&gt;"",IF(INDEX(LdgDepB,$M1578)=0,"",INDEX(LdgDepB,$M1578)),""))</f>
        <v/>
      </c>
      <c r="I1578" s="28">
        <f>IF($B1578="","",IF($I1577="",$C$10,$I1577)+IF($G1578="",0,$G1578)-IF($H1578="",0,$H1578))</f>
        <v/>
      </c>
      <c r="L1578">
        <f>IFERROR(MATCH($C$5&amp;"|"&amp;RIGHT("000000"&amp;1562,6),LdgRankKeyA,0),"")</f>
        <v/>
      </c>
      <c r="M1578">
        <f>IFERROR(MATCH($C$5&amp;"|"&amp;RIGHT("000000"&amp;1562,6),LdgRankKeyB,0),"")</f>
        <v/>
      </c>
    </row>
    <row r="1579">
      <c r="A1579" s="17" t="n">
        <v>1563</v>
      </c>
      <c r="B1579" s="18">
        <f>IF(AND($L1579="",$M1579=""),"",IF($L1579&lt;&gt;"",INDEX(SCNormDate,$L1579),INDEX(LdgDateB,$M1579)))</f>
        <v/>
      </c>
      <c r="C1579" s="18">
        <f>IF($L1579&lt;&gt;"",INDEX(SCOp,$L1579),IF($M1579&lt;&gt;"","پرداخت بانکی",""))</f>
        <v/>
      </c>
      <c r="D1579" s="18">
        <f>IF($L1579&lt;&gt;"",IF(INDEX(SCDoc,$L1579)="","—",INDEX(SCDoc,$L1579)),IF($M1579&lt;&gt;"",INDEX(LdgBankB,$M1579),""))</f>
        <v/>
      </c>
      <c r="E1579" s="19">
        <f>IF($L1579&lt;&gt;"",IF(INDEX(SCCitrus,$L1579)&amp;INDEX(SCNotes,$L1579)="","",IF(INDEX(SCCitrus,$L1579)="","",INDEX(SCCitrus,$L1579))&amp;IF(INDEX(SCNotes,$L1579)="",""," — "&amp;INDEX(SCNotes,$L1579))),IF($M1579&lt;&gt;"",IF(INDEX(LdgNoteB,$M1579)="","—",INDEX(LdgNoteB,$M1579)),""))</f>
        <v/>
      </c>
      <c r="F1579" s="20">
        <f>IF($L1579&lt;&gt;"",IF(INDEX(SCNet,$L1579)=0,"",INDEX(SCNet,$L1579)),"")</f>
        <v/>
      </c>
      <c r="G1579" s="21">
        <f>IF($L1579&lt;&gt;"",IF(INDEX(SCOp,$L1579)="مرجوعی فروش","",IF(INDEX(SCAmount,$L1579)&lt;=0,"",INDEX(SCAmount,$L1579))),IF($M1579&lt;&gt;"",IF(INDEX(LdgWitB,$M1579)=0,"",INDEX(LdgWitB,$M1579)),""))</f>
        <v/>
      </c>
      <c r="H1579" s="21">
        <f>IF($L1579&lt;&gt;"",IF(INDEX(SCOp,$L1579)="مرجوعی فروش",IF(INDEX(SCAmount,$L1579)=0,"",-INDEX(SCAmount,$L1579)),""),IF($M1579&lt;&gt;"",IF(INDEX(LdgDepB,$M1579)=0,"",INDEX(LdgDepB,$M1579)),""))</f>
        <v/>
      </c>
      <c r="I1579" s="22">
        <f>IF($B1579="","",IF($I1578="",$C$10,$I1578)+IF($G1579="",0,$G1579)-IF($H1579="",0,$H1579))</f>
        <v/>
      </c>
      <c r="L1579">
        <f>IFERROR(MATCH($C$5&amp;"|"&amp;RIGHT("000000"&amp;1563,6),LdgRankKeyA,0),"")</f>
        <v/>
      </c>
      <c r="M1579">
        <f>IFERROR(MATCH($C$5&amp;"|"&amp;RIGHT("000000"&amp;1563,6),LdgRankKeyB,0),"")</f>
        <v/>
      </c>
    </row>
    <row r="1580">
      <c r="A1580" s="23" t="n">
        <v>1564</v>
      </c>
      <c r="B1580" s="24">
        <f>IF(AND($L1580="",$M1580=""),"",IF($L1580&lt;&gt;"",INDEX(SCNormDate,$L1580),INDEX(LdgDateB,$M1580)))</f>
        <v/>
      </c>
      <c r="C1580" s="24">
        <f>IF($L1580&lt;&gt;"",INDEX(SCOp,$L1580),IF($M1580&lt;&gt;"","پرداخت بانکی",""))</f>
        <v/>
      </c>
      <c r="D1580" s="24">
        <f>IF($L1580&lt;&gt;"",IF(INDEX(SCDoc,$L1580)="","—",INDEX(SCDoc,$L1580)),IF($M1580&lt;&gt;"",INDEX(LdgBankB,$M1580),""))</f>
        <v/>
      </c>
      <c r="E1580" s="25">
        <f>IF($L1580&lt;&gt;"",IF(INDEX(SCCitrus,$L1580)&amp;INDEX(SCNotes,$L1580)="","",IF(INDEX(SCCitrus,$L1580)="","",INDEX(SCCitrus,$L1580))&amp;IF(INDEX(SCNotes,$L1580)="",""," — "&amp;INDEX(SCNotes,$L1580))),IF($M1580&lt;&gt;"",IF(INDEX(LdgNoteB,$M1580)="","—",INDEX(LdgNoteB,$M1580)),""))</f>
        <v/>
      </c>
      <c r="F1580" s="26">
        <f>IF($L1580&lt;&gt;"",IF(INDEX(SCNet,$L1580)=0,"",INDEX(SCNet,$L1580)),"")</f>
        <v/>
      </c>
      <c r="G1580" s="27">
        <f>IF($L1580&lt;&gt;"",IF(INDEX(SCOp,$L1580)="مرجوعی فروش","",IF(INDEX(SCAmount,$L1580)&lt;=0,"",INDEX(SCAmount,$L1580))),IF($M1580&lt;&gt;"",IF(INDEX(LdgWitB,$M1580)=0,"",INDEX(LdgWitB,$M1580)),""))</f>
        <v/>
      </c>
      <c r="H1580" s="27">
        <f>IF($L1580&lt;&gt;"",IF(INDEX(SCOp,$L1580)="مرجوعی فروش",IF(INDEX(SCAmount,$L1580)=0,"",-INDEX(SCAmount,$L1580)),""),IF($M1580&lt;&gt;"",IF(INDEX(LdgDepB,$M1580)=0,"",INDEX(LdgDepB,$M1580)),""))</f>
        <v/>
      </c>
      <c r="I1580" s="28">
        <f>IF($B1580="","",IF($I1579="",$C$10,$I1579)+IF($G1580="",0,$G1580)-IF($H1580="",0,$H1580))</f>
        <v/>
      </c>
      <c r="L1580">
        <f>IFERROR(MATCH($C$5&amp;"|"&amp;RIGHT("000000"&amp;1564,6),LdgRankKeyA,0),"")</f>
        <v/>
      </c>
      <c r="M1580">
        <f>IFERROR(MATCH($C$5&amp;"|"&amp;RIGHT("000000"&amp;1564,6),LdgRankKeyB,0),"")</f>
        <v/>
      </c>
    </row>
    <row r="1581">
      <c r="A1581" s="17" t="n">
        <v>1565</v>
      </c>
      <c r="B1581" s="18">
        <f>IF(AND($L1581="",$M1581=""),"",IF($L1581&lt;&gt;"",INDEX(SCNormDate,$L1581),INDEX(LdgDateB,$M1581)))</f>
        <v/>
      </c>
      <c r="C1581" s="18">
        <f>IF($L1581&lt;&gt;"",INDEX(SCOp,$L1581),IF($M1581&lt;&gt;"","پرداخت بانکی",""))</f>
        <v/>
      </c>
      <c r="D1581" s="18">
        <f>IF($L1581&lt;&gt;"",IF(INDEX(SCDoc,$L1581)="","—",INDEX(SCDoc,$L1581)),IF($M1581&lt;&gt;"",INDEX(LdgBankB,$M1581),""))</f>
        <v/>
      </c>
      <c r="E1581" s="19">
        <f>IF($L1581&lt;&gt;"",IF(INDEX(SCCitrus,$L1581)&amp;INDEX(SCNotes,$L1581)="","",IF(INDEX(SCCitrus,$L1581)="","",INDEX(SCCitrus,$L1581))&amp;IF(INDEX(SCNotes,$L1581)="",""," — "&amp;INDEX(SCNotes,$L1581))),IF($M1581&lt;&gt;"",IF(INDEX(LdgNoteB,$M1581)="","—",INDEX(LdgNoteB,$M1581)),""))</f>
        <v/>
      </c>
      <c r="F1581" s="20">
        <f>IF($L1581&lt;&gt;"",IF(INDEX(SCNet,$L1581)=0,"",INDEX(SCNet,$L1581)),"")</f>
        <v/>
      </c>
      <c r="G1581" s="21">
        <f>IF($L1581&lt;&gt;"",IF(INDEX(SCOp,$L1581)="مرجوعی فروش","",IF(INDEX(SCAmount,$L1581)&lt;=0,"",INDEX(SCAmount,$L1581))),IF($M1581&lt;&gt;"",IF(INDEX(LdgWitB,$M1581)=0,"",INDEX(LdgWitB,$M1581)),""))</f>
        <v/>
      </c>
      <c r="H1581" s="21">
        <f>IF($L1581&lt;&gt;"",IF(INDEX(SCOp,$L1581)="مرجوعی فروش",IF(INDEX(SCAmount,$L1581)=0,"",-INDEX(SCAmount,$L1581)),""),IF($M1581&lt;&gt;"",IF(INDEX(LdgDepB,$M1581)=0,"",INDEX(LdgDepB,$M1581)),""))</f>
        <v/>
      </c>
      <c r="I1581" s="22">
        <f>IF($B1581="","",IF($I1580="",$C$10,$I1580)+IF($G1581="",0,$G1581)-IF($H1581="",0,$H1581))</f>
        <v/>
      </c>
      <c r="L1581">
        <f>IFERROR(MATCH($C$5&amp;"|"&amp;RIGHT("000000"&amp;1565,6),LdgRankKeyA,0),"")</f>
        <v/>
      </c>
      <c r="M1581">
        <f>IFERROR(MATCH($C$5&amp;"|"&amp;RIGHT("000000"&amp;1565,6),LdgRankKeyB,0),"")</f>
        <v/>
      </c>
    </row>
    <row r="1582">
      <c r="A1582" s="23" t="n">
        <v>1566</v>
      </c>
      <c r="B1582" s="24">
        <f>IF(AND($L1582="",$M1582=""),"",IF($L1582&lt;&gt;"",INDEX(SCNormDate,$L1582),INDEX(LdgDateB,$M1582)))</f>
        <v/>
      </c>
      <c r="C1582" s="24">
        <f>IF($L1582&lt;&gt;"",INDEX(SCOp,$L1582),IF($M1582&lt;&gt;"","پرداخت بانکی",""))</f>
        <v/>
      </c>
      <c r="D1582" s="24">
        <f>IF($L1582&lt;&gt;"",IF(INDEX(SCDoc,$L1582)="","—",INDEX(SCDoc,$L1582)),IF($M1582&lt;&gt;"",INDEX(LdgBankB,$M1582),""))</f>
        <v/>
      </c>
      <c r="E1582" s="25">
        <f>IF($L1582&lt;&gt;"",IF(INDEX(SCCitrus,$L1582)&amp;INDEX(SCNotes,$L1582)="","",IF(INDEX(SCCitrus,$L1582)="","",INDEX(SCCitrus,$L1582))&amp;IF(INDEX(SCNotes,$L1582)="",""," — "&amp;INDEX(SCNotes,$L1582))),IF($M1582&lt;&gt;"",IF(INDEX(LdgNoteB,$M1582)="","—",INDEX(LdgNoteB,$M1582)),""))</f>
        <v/>
      </c>
      <c r="F1582" s="26">
        <f>IF($L1582&lt;&gt;"",IF(INDEX(SCNet,$L1582)=0,"",INDEX(SCNet,$L1582)),"")</f>
        <v/>
      </c>
      <c r="G1582" s="27">
        <f>IF($L1582&lt;&gt;"",IF(INDEX(SCOp,$L1582)="مرجوعی فروش","",IF(INDEX(SCAmount,$L1582)&lt;=0,"",INDEX(SCAmount,$L1582))),IF($M1582&lt;&gt;"",IF(INDEX(LdgWitB,$M1582)=0,"",INDEX(LdgWitB,$M1582)),""))</f>
        <v/>
      </c>
      <c r="H1582" s="27">
        <f>IF($L1582&lt;&gt;"",IF(INDEX(SCOp,$L1582)="مرجوعی فروش",IF(INDEX(SCAmount,$L1582)=0,"",-INDEX(SCAmount,$L1582)),""),IF($M1582&lt;&gt;"",IF(INDEX(LdgDepB,$M1582)=0,"",INDEX(LdgDepB,$M1582)),""))</f>
        <v/>
      </c>
      <c r="I1582" s="28">
        <f>IF($B1582="","",IF($I1581="",$C$10,$I1581)+IF($G1582="",0,$G1582)-IF($H1582="",0,$H1582))</f>
        <v/>
      </c>
      <c r="L1582">
        <f>IFERROR(MATCH($C$5&amp;"|"&amp;RIGHT("000000"&amp;1566,6),LdgRankKeyA,0),"")</f>
        <v/>
      </c>
      <c r="M1582">
        <f>IFERROR(MATCH($C$5&amp;"|"&amp;RIGHT("000000"&amp;1566,6),LdgRankKeyB,0),"")</f>
        <v/>
      </c>
    </row>
    <row r="1583">
      <c r="A1583" s="17" t="n">
        <v>1567</v>
      </c>
      <c r="B1583" s="18">
        <f>IF(AND($L1583="",$M1583=""),"",IF($L1583&lt;&gt;"",INDEX(SCNormDate,$L1583),INDEX(LdgDateB,$M1583)))</f>
        <v/>
      </c>
      <c r="C1583" s="18">
        <f>IF($L1583&lt;&gt;"",INDEX(SCOp,$L1583),IF($M1583&lt;&gt;"","پرداخت بانکی",""))</f>
        <v/>
      </c>
      <c r="D1583" s="18">
        <f>IF($L1583&lt;&gt;"",IF(INDEX(SCDoc,$L1583)="","—",INDEX(SCDoc,$L1583)),IF($M1583&lt;&gt;"",INDEX(LdgBankB,$M1583),""))</f>
        <v/>
      </c>
      <c r="E1583" s="19">
        <f>IF($L1583&lt;&gt;"",IF(INDEX(SCCitrus,$L1583)&amp;INDEX(SCNotes,$L1583)="","",IF(INDEX(SCCitrus,$L1583)="","",INDEX(SCCitrus,$L1583))&amp;IF(INDEX(SCNotes,$L1583)="",""," — "&amp;INDEX(SCNotes,$L1583))),IF($M1583&lt;&gt;"",IF(INDEX(LdgNoteB,$M1583)="","—",INDEX(LdgNoteB,$M1583)),""))</f>
        <v/>
      </c>
      <c r="F1583" s="20">
        <f>IF($L1583&lt;&gt;"",IF(INDEX(SCNet,$L1583)=0,"",INDEX(SCNet,$L1583)),"")</f>
        <v/>
      </c>
      <c r="G1583" s="21">
        <f>IF($L1583&lt;&gt;"",IF(INDEX(SCOp,$L1583)="مرجوعی فروش","",IF(INDEX(SCAmount,$L1583)&lt;=0,"",INDEX(SCAmount,$L1583))),IF($M1583&lt;&gt;"",IF(INDEX(LdgWitB,$M1583)=0,"",INDEX(LdgWitB,$M1583)),""))</f>
        <v/>
      </c>
      <c r="H1583" s="21">
        <f>IF($L1583&lt;&gt;"",IF(INDEX(SCOp,$L1583)="مرجوعی فروش",IF(INDEX(SCAmount,$L1583)=0,"",-INDEX(SCAmount,$L1583)),""),IF($M1583&lt;&gt;"",IF(INDEX(LdgDepB,$M1583)=0,"",INDEX(LdgDepB,$M1583)),""))</f>
        <v/>
      </c>
      <c r="I1583" s="22">
        <f>IF($B1583="","",IF($I1582="",$C$10,$I1582)+IF($G1583="",0,$G1583)-IF($H1583="",0,$H1583))</f>
        <v/>
      </c>
      <c r="L1583">
        <f>IFERROR(MATCH($C$5&amp;"|"&amp;RIGHT("000000"&amp;1567,6),LdgRankKeyA,0),"")</f>
        <v/>
      </c>
      <c r="M1583">
        <f>IFERROR(MATCH($C$5&amp;"|"&amp;RIGHT("000000"&amp;1567,6),LdgRankKeyB,0),"")</f>
        <v/>
      </c>
    </row>
    <row r="1584">
      <c r="A1584" s="23" t="n">
        <v>1568</v>
      </c>
      <c r="B1584" s="24">
        <f>IF(AND($L1584="",$M1584=""),"",IF($L1584&lt;&gt;"",INDEX(SCNormDate,$L1584),INDEX(LdgDateB,$M1584)))</f>
        <v/>
      </c>
      <c r="C1584" s="24">
        <f>IF($L1584&lt;&gt;"",INDEX(SCOp,$L1584),IF($M1584&lt;&gt;"","پرداخت بانکی",""))</f>
        <v/>
      </c>
      <c r="D1584" s="24">
        <f>IF($L1584&lt;&gt;"",IF(INDEX(SCDoc,$L1584)="","—",INDEX(SCDoc,$L1584)),IF($M1584&lt;&gt;"",INDEX(LdgBankB,$M1584),""))</f>
        <v/>
      </c>
      <c r="E1584" s="25">
        <f>IF($L1584&lt;&gt;"",IF(INDEX(SCCitrus,$L1584)&amp;INDEX(SCNotes,$L1584)="","",IF(INDEX(SCCitrus,$L1584)="","",INDEX(SCCitrus,$L1584))&amp;IF(INDEX(SCNotes,$L1584)="",""," — "&amp;INDEX(SCNotes,$L1584))),IF($M1584&lt;&gt;"",IF(INDEX(LdgNoteB,$M1584)="","—",INDEX(LdgNoteB,$M1584)),""))</f>
        <v/>
      </c>
      <c r="F1584" s="26">
        <f>IF($L1584&lt;&gt;"",IF(INDEX(SCNet,$L1584)=0,"",INDEX(SCNet,$L1584)),"")</f>
        <v/>
      </c>
      <c r="G1584" s="27">
        <f>IF($L1584&lt;&gt;"",IF(INDEX(SCOp,$L1584)="مرجوعی فروش","",IF(INDEX(SCAmount,$L1584)&lt;=0,"",INDEX(SCAmount,$L1584))),IF($M1584&lt;&gt;"",IF(INDEX(LdgWitB,$M1584)=0,"",INDEX(LdgWitB,$M1584)),""))</f>
        <v/>
      </c>
      <c r="H1584" s="27">
        <f>IF($L1584&lt;&gt;"",IF(INDEX(SCOp,$L1584)="مرجوعی فروش",IF(INDEX(SCAmount,$L1584)=0,"",-INDEX(SCAmount,$L1584)),""),IF($M1584&lt;&gt;"",IF(INDEX(LdgDepB,$M1584)=0,"",INDEX(LdgDepB,$M1584)),""))</f>
        <v/>
      </c>
      <c r="I1584" s="28">
        <f>IF($B1584="","",IF($I1583="",$C$10,$I1583)+IF($G1584="",0,$G1584)-IF($H1584="",0,$H1584))</f>
        <v/>
      </c>
      <c r="L1584">
        <f>IFERROR(MATCH($C$5&amp;"|"&amp;RIGHT("000000"&amp;1568,6),LdgRankKeyA,0),"")</f>
        <v/>
      </c>
      <c r="M1584">
        <f>IFERROR(MATCH($C$5&amp;"|"&amp;RIGHT("000000"&amp;1568,6),LdgRankKeyB,0),"")</f>
        <v/>
      </c>
    </row>
    <row r="1585">
      <c r="A1585" s="17" t="n">
        <v>1569</v>
      </c>
      <c r="B1585" s="18">
        <f>IF(AND($L1585="",$M1585=""),"",IF($L1585&lt;&gt;"",INDEX(SCNormDate,$L1585),INDEX(LdgDateB,$M1585)))</f>
        <v/>
      </c>
      <c r="C1585" s="18">
        <f>IF($L1585&lt;&gt;"",INDEX(SCOp,$L1585),IF($M1585&lt;&gt;"","پرداخت بانکی",""))</f>
        <v/>
      </c>
      <c r="D1585" s="18">
        <f>IF($L1585&lt;&gt;"",IF(INDEX(SCDoc,$L1585)="","—",INDEX(SCDoc,$L1585)),IF($M1585&lt;&gt;"",INDEX(LdgBankB,$M1585),""))</f>
        <v/>
      </c>
      <c r="E1585" s="19">
        <f>IF($L1585&lt;&gt;"",IF(INDEX(SCCitrus,$L1585)&amp;INDEX(SCNotes,$L1585)="","",IF(INDEX(SCCitrus,$L1585)="","",INDEX(SCCitrus,$L1585))&amp;IF(INDEX(SCNotes,$L1585)="",""," — "&amp;INDEX(SCNotes,$L1585))),IF($M1585&lt;&gt;"",IF(INDEX(LdgNoteB,$M1585)="","—",INDEX(LdgNoteB,$M1585)),""))</f>
        <v/>
      </c>
      <c r="F1585" s="20">
        <f>IF($L1585&lt;&gt;"",IF(INDEX(SCNet,$L1585)=0,"",INDEX(SCNet,$L1585)),"")</f>
        <v/>
      </c>
      <c r="G1585" s="21">
        <f>IF($L1585&lt;&gt;"",IF(INDEX(SCOp,$L1585)="مرجوعی فروش","",IF(INDEX(SCAmount,$L1585)&lt;=0,"",INDEX(SCAmount,$L1585))),IF($M1585&lt;&gt;"",IF(INDEX(LdgWitB,$M1585)=0,"",INDEX(LdgWitB,$M1585)),""))</f>
        <v/>
      </c>
      <c r="H1585" s="21">
        <f>IF($L1585&lt;&gt;"",IF(INDEX(SCOp,$L1585)="مرجوعی فروش",IF(INDEX(SCAmount,$L1585)=0,"",-INDEX(SCAmount,$L1585)),""),IF($M1585&lt;&gt;"",IF(INDEX(LdgDepB,$M1585)=0,"",INDEX(LdgDepB,$M1585)),""))</f>
        <v/>
      </c>
      <c r="I1585" s="22">
        <f>IF($B1585="","",IF($I1584="",$C$10,$I1584)+IF($G1585="",0,$G1585)-IF($H1585="",0,$H1585))</f>
        <v/>
      </c>
      <c r="L1585">
        <f>IFERROR(MATCH($C$5&amp;"|"&amp;RIGHT("000000"&amp;1569,6),LdgRankKeyA,0),"")</f>
        <v/>
      </c>
      <c r="M1585">
        <f>IFERROR(MATCH($C$5&amp;"|"&amp;RIGHT("000000"&amp;1569,6),LdgRankKeyB,0),"")</f>
        <v/>
      </c>
    </row>
    <row r="1586">
      <c r="A1586" s="23" t="n">
        <v>1570</v>
      </c>
      <c r="B1586" s="24">
        <f>IF(AND($L1586="",$M1586=""),"",IF($L1586&lt;&gt;"",INDEX(SCNormDate,$L1586),INDEX(LdgDateB,$M1586)))</f>
        <v/>
      </c>
      <c r="C1586" s="24">
        <f>IF($L1586&lt;&gt;"",INDEX(SCOp,$L1586),IF($M1586&lt;&gt;"","پرداخت بانکی",""))</f>
        <v/>
      </c>
      <c r="D1586" s="24">
        <f>IF($L1586&lt;&gt;"",IF(INDEX(SCDoc,$L1586)="","—",INDEX(SCDoc,$L1586)),IF($M1586&lt;&gt;"",INDEX(LdgBankB,$M1586),""))</f>
        <v/>
      </c>
      <c r="E1586" s="25">
        <f>IF($L1586&lt;&gt;"",IF(INDEX(SCCitrus,$L1586)&amp;INDEX(SCNotes,$L1586)="","",IF(INDEX(SCCitrus,$L1586)="","",INDEX(SCCitrus,$L1586))&amp;IF(INDEX(SCNotes,$L1586)="",""," — "&amp;INDEX(SCNotes,$L1586))),IF($M1586&lt;&gt;"",IF(INDEX(LdgNoteB,$M1586)="","—",INDEX(LdgNoteB,$M1586)),""))</f>
        <v/>
      </c>
      <c r="F1586" s="26">
        <f>IF($L1586&lt;&gt;"",IF(INDEX(SCNet,$L1586)=0,"",INDEX(SCNet,$L1586)),"")</f>
        <v/>
      </c>
      <c r="G1586" s="27">
        <f>IF($L1586&lt;&gt;"",IF(INDEX(SCOp,$L1586)="مرجوعی فروش","",IF(INDEX(SCAmount,$L1586)&lt;=0,"",INDEX(SCAmount,$L1586))),IF($M1586&lt;&gt;"",IF(INDEX(LdgWitB,$M1586)=0,"",INDEX(LdgWitB,$M1586)),""))</f>
        <v/>
      </c>
      <c r="H1586" s="27">
        <f>IF($L1586&lt;&gt;"",IF(INDEX(SCOp,$L1586)="مرجوعی فروش",IF(INDEX(SCAmount,$L1586)=0,"",-INDEX(SCAmount,$L1586)),""),IF($M1586&lt;&gt;"",IF(INDEX(LdgDepB,$M1586)=0,"",INDEX(LdgDepB,$M1586)),""))</f>
        <v/>
      </c>
      <c r="I1586" s="28">
        <f>IF($B1586="","",IF($I1585="",$C$10,$I1585)+IF($G1586="",0,$G1586)-IF($H1586="",0,$H1586))</f>
        <v/>
      </c>
      <c r="L1586">
        <f>IFERROR(MATCH($C$5&amp;"|"&amp;RIGHT("000000"&amp;1570,6),LdgRankKeyA,0),"")</f>
        <v/>
      </c>
      <c r="M1586">
        <f>IFERROR(MATCH($C$5&amp;"|"&amp;RIGHT("000000"&amp;1570,6),LdgRankKeyB,0),"")</f>
        <v/>
      </c>
    </row>
    <row r="1587">
      <c r="A1587" s="17" t="n">
        <v>1571</v>
      </c>
      <c r="B1587" s="18">
        <f>IF(AND($L1587="",$M1587=""),"",IF($L1587&lt;&gt;"",INDEX(SCNormDate,$L1587),INDEX(LdgDateB,$M1587)))</f>
        <v/>
      </c>
      <c r="C1587" s="18">
        <f>IF($L1587&lt;&gt;"",INDEX(SCOp,$L1587),IF($M1587&lt;&gt;"","پرداخت بانکی",""))</f>
        <v/>
      </c>
      <c r="D1587" s="18">
        <f>IF($L1587&lt;&gt;"",IF(INDEX(SCDoc,$L1587)="","—",INDEX(SCDoc,$L1587)),IF($M1587&lt;&gt;"",INDEX(LdgBankB,$M1587),""))</f>
        <v/>
      </c>
      <c r="E1587" s="19">
        <f>IF($L1587&lt;&gt;"",IF(INDEX(SCCitrus,$L1587)&amp;INDEX(SCNotes,$L1587)="","",IF(INDEX(SCCitrus,$L1587)="","",INDEX(SCCitrus,$L1587))&amp;IF(INDEX(SCNotes,$L1587)="",""," — "&amp;INDEX(SCNotes,$L1587))),IF($M1587&lt;&gt;"",IF(INDEX(LdgNoteB,$M1587)="","—",INDEX(LdgNoteB,$M1587)),""))</f>
        <v/>
      </c>
      <c r="F1587" s="20">
        <f>IF($L1587&lt;&gt;"",IF(INDEX(SCNet,$L1587)=0,"",INDEX(SCNet,$L1587)),"")</f>
        <v/>
      </c>
      <c r="G1587" s="21">
        <f>IF($L1587&lt;&gt;"",IF(INDEX(SCOp,$L1587)="مرجوعی فروش","",IF(INDEX(SCAmount,$L1587)&lt;=0,"",INDEX(SCAmount,$L1587))),IF($M1587&lt;&gt;"",IF(INDEX(LdgWitB,$M1587)=0,"",INDEX(LdgWitB,$M1587)),""))</f>
        <v/>
      </c>
      <c r="H1587" s="21">
        <f>IF($L1587&lt;&gt;"",IF(INDEX(SCOp,$L1587)="مرجوعی فروش",IF(INDEX(SCAmount,$L1587)=0,"",-INDEX(SCAmount,$L1587)),""),IF($M1587&lt;&gt;"",IF(INDEX(LdgDepB,$M1587)=0,"",INDEX(LdgDepB,$M1587)),""))</f>
        <v/>
      </c>
      <c r="I1587" s="22">
        <f>IF($B1587="","",IF($I1586="",$C$10,$I1586)+IF($G1587="",0,$G1587)-IF($H1587="",0,$H1587))</f>
        <v/>
      </c>
      <c r="L1587">
        <f>IFERROR(MATCH($C$5&amp;"|"&amp;RIGHT("000000"&amp;1571,6),LdgRankKeyA,0),"")</f>
        <v/>
      </c>
      <c r="M1587">
        <f>IFERROR(MATCH($C$5&amp;"|"&amp;RIGHT("000000"&amp;1571,6),LdgRankKeyB,0),"")</f>
        <v/>
      </c>
    </row>
    <row r="1588">
      <c r="A1588" s="23" t="n">
        <v>1572</v>
      </c>
      <c r="B1588" s="24">
        <f>IF(AND($L1588="",$M1588=""),"",IF($L1588&lt;&gt;"",INDEX(SCNormDate,$L1588),INDEX(LdgDateB,$M1588)))</f>
        <v/>
      </c>
      <c r="C1588" s="24">
        <f>IF($L1588&lt;&gt;"",INDEX(SCOp,$L1588),IF($M1588&lt;&gt;"","پرداخت بانکی",""))</f>
        <v/>
      </c>
      <c r="D1588" s="24">
        <f>IF($L1588&lt;&gt;"",IF(INDEX(SCDoc,$L1588)="","—",INDEX(SCDoc,$L1588)),IF($M1588&lt;&gt;"",INDEX(LdgBankB,$M1588),""))</f>
        <v/>
      </c>
      <c r="E1588" s="25">
        <f>IF($L1588&lt;&gt;"",IF(INDEX(SCCitrus,$L1588)&amp;INDEX(SCNotes,$L1588)="","",IF(INDEX(SCCitrus,$L1588)="","",INDEX(SCCitrus,$L1588))&amp;IF(INDEX(SCNotes,$L1588)="",""," — "&amp;INDEX(SCNotes,$L1588))),IF($M1588&lt;&gt;"",IF(INDEX(LdgNoteB,$M1588)="","—",INDEX(LdgNoteB,$M1588)),""))</f>
        <v/>
      </c>
      <c r="F1588" s="26">
        <f>IF($L1588&lt;&gt;"",IF(INDEX(SCNet,$L1588)=0,"",INDEX(SCNet,$L1588)),"")</f>
        <v/>
      </c>
      <c r="G1588" s="27">
        <f>IF($L1588&lt;&gt;"",IF(INDEX(SCOp,$L1588)="مرجوعی فروش","",IF(INDEX(SCAmount,$L1588)&lt;=0,"",INDEX(SCAmount,$L1588))),IF($M1588&lt;&gt;"",IF(INDEX(LdgWitB,$M1588)=0,"",INDEX(LdgWitB,$M1588)),""))</f>
        <v/>
      </c>
      <c r="H1588" s="27">
        <f>IF($L1588&lt;&gt;"",IF(INDEX(SCOp,$L1588)="مرجوعی فروش",IF(INDEX(SCAmount,$L1588)=0,"",-INDEX(SCAmount,$L1588)),""),IF($M1588&lt;&gt;"",IF(INDEX(LdgDepB,$M1588)=0,"",INDEX(LdgDepB,$M1588)),""))</f>
        <v/>
      </c>
      <c r="I1588" s="28">
        <f>IF($B1588="","",IF($I1587="",$C$10,$I1587)+IF($G1588="",0,$G1588)-IF($H1588="",0,$H1588))</f>
        <v/>
      </c>
      <c r="L1588">
        <f>IFERROR(MATCH($C$5&amp;"|"&amp;RIGHT("000000"&amp;1572,6),LdgRankKeyA,0),"")</f>
        <v/>
      </c>
      <c r="M1588">
        <f>IFERROR(MATCH($C$5&amp;"|"&amp;RIGHT("000000"&amp;1572,6),LdgRankKeyB,0),"")</f>
        <v/>
      </c>
    </row>
    <row r="1589">
      <c r="A1589" s="17" t="n">
        <v>1573</v>
      </c>
      <c r="B1589" s="18">
        <f>IF(AND($L1589="",$M1589=""),"",IF($L1589&lt;&gt;"",INDEX(SCNormDate,$L1589),INDEX(LdgDateB,$M1589)))</f>
        <v/>
      </c>
      <c r="C1589" s="18">
        <f>IF($L1589&lt;&gt;"",INDEX(SCOp,$L1589),IF($M1589&lt;&gt;"","پرداخت بانکی",""))</f>
        <v/>
      </c>
      <c r="D1589" s="18">
        <f>IF($L1589&lt;&gt;"",IF(INDEX(SCDoc,$L1589)="","—",INDEX(SCDoc,$L1589)),IF($M1589&lt;&gt;"",INDEX(LdgBankB,$M1589),""))</f>
        <v/>
      </c>
      <c r="E1589" s="19">
        <f>IF($L1589&lt;&gt;"",IF(INDEX(SCCitrus,$L1589)&amp;INDEX(SCNotes,$L1589)="","",IF(INDEX(SCCitrus,$L1589)="","",INDEX(SCCitrus,$L1589))&amp;IF(INDEX(SCNotes,$L1589)="",""," — "&amp;INDEX(SCNotes,$L1589))),IF($M1589&lt;&gt;"",IF(INDEX(LdgNoteB,$M1589)="","—",INDEX(LdgNoteB,$M1589)),""))</f>
        <v/>
      </c>
      <c r="F1589" s="20">
        <f>IF($L1589&lt;&gt;"",IF(INDEX(SCNet,$L1589)=0,"",INDEX(SCNet,$L1589)),"")</f>
        <v/>
      </c>
      <c r="G1589" s="21">
        <f>IF($L1589&lt;&gt;"",IF(INDEX(SCOp,$L1589)="مرجوعی فروش","",IF(INDEX(SCAmount,$L1589)&lt;=0,"",INDEX(SCAmount,$L1589))),IF($M1589&lt;&gt;"",IF(INDEX(LdgWitB,$M1589)=0,"",INDEX(LdgWitB,$M1589)),""))</f>
        <v/>
      </c>
      <c r="H1589" s="21">
        <f>IF($L1589&lt;&gt;"",IF(INDEX(SCOp,$L1589)="مرجوعی فروش",IF(INDEX(SCAmount,$L1589)=0,"",-INDEX(SCAmount,$L1589)),""),IF($M1589&lt;&gt;"",IF(INDEX(LdgDepB,$M1589)=0,"",INDEX(LdgDepB,$M1589)),""))</f>
        <v/>
      </c>
      <c r="I1589" s="22">
        <f>IF($B1589="","",IF($I1588="",$C$10,$I1588)+IF($G1589="",0,$G1589)-IF($H1589="",0,$H1589))</f>
        <v/>
      </c>
      <c r="L1589">
        <f>IFERROR(MATCH($C$5&amp;"|"&amp;RIGHT("000000"&amp;1573,6),LdgRankKeyA,0),"")</f>
        <v/>
      </c>
      <c r="M1589">
        <f>IFERROR(MATCH($C$5&amp;"|"&amp;RIGHT("000000"&amp;1573,6),LdgRankKeyB,0),"")</f>
        <v/>
      </c>
    </row>
    <row r="1590">
      <c r="A1590" s="23" t="n">
        <v>1574</v>
      </c>
      <c r="B1590" s="24">
        <f>IF(AND($L1590="",$M1590=""),"",IF($L1590&lt;&gt;"",INDEX(SCNormDate,$L1590),INDEX(LdgDateB,$M1590)))</f>
        <v/>
      </c>
      <c r="C1590" s="24">
        <f>IF($L1590&lt;&gt;"",INDEX(SCOp,$L1590),IF($M1590&lt;&gt;"","پرداخت بانکی",""))</f>
        <v/>
      </c>
      <c r="D1590" s="24">
        <f>IF($L1590&lt;&gt;"",IF(INDEX(SCDoc,$L1590)="","—",INDEX(SCDoc,$L1590)),IF($M1590&lt;&gt;"",INDEX(LdgBankB,$M1590),""))</f>
        <v/>
      </c>
      <c r="E1590" s="25">
        <f>IF($L1590&lt;&gt;"",IF(INDEX(SCCitrus,$L1590)&amp;INDEX(SCNotes,$L1590)="","",IF(INDEX(SCCitrus,$L1590)="","",INDEX(SCCitrus,$L1590))&amp;IF(INDEX(SCNotes,$L1590)="",""," — "&amp;INDEX(SCNotes,$L1590))),IF($M1590&lt;&gt;"",IF(INDEX(LdgNoteB,$M1590)="","—",INDEX(LdgNoteB,$M1590)),""))</f>
        <v/>
      </c>
      <c r="F1590" s="26">
        <f>IF($L1590&lt;&gt;"",IF(INDEX(SCNet,$L1590)=0,"",INDEX(SCNet,$L1590)),"")</f>
        <v/>
      </c>
      <c r="G1590" s="27">
        <f>IF($L1590&lt;&gt;"",IF(INDEX(SCOp,$L1590)="مرجوعی فروش","",IF(INDEX(SCAmount,$L1590)&lt;=0,"",INDEX(SCAmount,$L1590))),IF($M1590&lt;&gt;"",IF(INDEX(LdgWitB,$M1590)=0,"",INDEX(LdgWitB,$M1590)),""))</f>
        <v/>
      </c>
      <c r="H1590" s="27">
        <f>IF($L1590&lt;&gt;"",IF(INDEX(SCOp,$L1590)="مرجوعی فروش",IF(INDEX(SCAmount,$L1590)=0,"",-INDEX(SCAmount,$L1590)),""),IF($M1590&lt;&gt;"",IF(INDEX(LdgDepB,$M1590)=0,"",INDEX(LdgDepB,$M1590)),""))</f>
        <v/>
      </c>
      <c r="I1590" s="28">
        <f>IF($B1590="","",IF($I1589="",$C$10,$I1589)+IF($G1590="",0,$G1590)-IF($H1590="",0,$H1590))</f>
        <v/>
      </c>
      <c r="L1590">
        <f>IFERROR(MATCH($C$5&amp;"|"&amp;RIGHT("000000"&amp;1574,6),LdgRankKeyA,0),"")</f>
        <v/>
      </c>
      <c r="M1590">
        <f>IFERROR(MATCH($C$5&amp;"|"&amp;RIGHT("000000"&amp;1574,6),LdgRankKeyB,0),"")</f>
        <v/>
      </c>
    </row>
    <row r="1591">
      <c r="A1591" s="17" t="n">
        <v>1575</v>
      </c>
      <c r="B1591" s="18">
        <f>IF(AND($L1591="",$M1591=""),"",IF($L1591&lt;&gt;"",INDEX(SCNormDate,$L1591),INDEX(LdgDateB,$M1591)))</f>
        <v/>
      </c>
      <c r="C1591" s="18">
        <f>IF($L1591&lt;&gt;"",INDEX(SCOp,$L1591),IF($M1591&lt;&gt;"","پرداخت بانکی",""))</f>
        <v/>
      </c>
      <c r="D1591" s="18">
        <f>IF($L1591&lt;&gt;"",IF(INDEX(SCDoc,$L1591)="","—",INDEX(SCDoc,$L1591)),IF($M1591&lt;&gt;"",INDEX(LdgBankB,$M1591),""))</f>
        <v/>
      </c>
      <c r="E1591" s="19">
        <f>IF($L1591&lt;&gt;"",IF(INDEX(SCCitrus,$L1591)&amp;INDEX(SCNotes,$L1591)="","",IF(INDEX(SCCitrus,$L1591)="","",INDEX(SCCitrus,$L1591))&amp;IF(INDEX(SCNotes,$L1591)="",""," — "&amp;INDEX(SCNotes,$L1591))),IF($M1591&lt;&gt;"",IF(INDEX(LdgNoteB,$M1591)="","—",INDEX(LdgNoteB,$M1591)),""))</f>
        <v/>
      </c>
      <c r="F1591" s="20">
        <f>IF($L1591&lt;&gt;"",IF(INDEX(SCNet,$L1591)=0,"",INDEX(SCNet,$L1591)),"")</f>
        <v/>
      </c>
      <c r="G1591" s="21">
        <f>IF($L1591&lt;&gt;"",IF(INDEX(SCOp,$L1591)="مرجوعی فروش","",IF(INDEX(SCAmount,$L1591)&lt;=0,"",INDEX(SCAmount,$L1591))),IF($M1591&lt;&gt;"",IF(INDEX(LdgWitB,$M1591)=0,"",INDEX(LdgWitB,$M1591)),""))</f>
        <v/>
      </c>
      <c r="H1591" s="21">
        <f>IF($L1591&lt;&gt;"",IF(INDEX(SCOp,$L1591)="مرجوعی فروش",IF(INDEX(SCAmount,$L1591)=0,"",-INDEX(SCAmount,$L1591)),""),IF($M1591&lt;&gt;"",IF(INDEX(LdgDepB,$M1591)=0,"",INDEX(LdgDepB,$M1591)),""))</f>
        <v/>
      </c>
      <c r="I1591" s="22">
        <f>IF($B1591="","",IF($I1590="",$C$10,$I1590)+IF($G1591="",0,$G1591)-IF($H1591="",0,$H1591))</f>
        <v/>
      </c>
      <c r="L1591">
        <f>IFERROR(MATCH($C$5&amp;"|"&amp;RIGHT("000000"&amp;1575,6),LdgRankKeyA,0),"")</f>
        <v/>
      </c>
      <c r="M1591">
        <f>IFERROR(MATCH($C$5&amp;"|"&amp;RIGHT("000000"&amp;1575,6),LdgRankKeyB,0),"")</f>
        <v/>
      </c>
    </row>
    <row r="1592">
      <c r="A1592" s="23" t="n">
        <v>1576</v>
      </c>
      <c r="B1592" s="24">
        <f>IF(AND($L1592="",$M1592=""),"",IF($L1592&lt;&gt;"",INDEX(SCNormDate,$L1592),INDEX(LdgDateB,$M1592)))</f>
        <v/>
      </c>
      <c r="C1592" s="24">
        <f>IF($L1592&lt;&gt;"",INDEX(SCOp,$L1592),IF($M1592&lt;&gt;"","پرداخت بانکی",""))</f>
        <v/>
      </c>
      <c r="D1592" s="24">
        <f>IF($L1592&lt;&gt;"",IF(INDEX(SCDoc,$L1592)="","—",INDEX(SCDoc,$L1592)),IF($M1592&lt;&gt;"",INDEX(LdgBankB,$M1592),""))</f>
        <v/>
      </c>
      <c r="E1592" s="25">
        <f>IF($L1592&lt;&gt;"",IF(INDEX(SCCitrus,$L1592)&amp;INDEX(SCNotes,$L1592)="","",IF(INDEX(SCCitrus,$L1592)="","",INDEX(SCCitrus,$L1592))&amp;IF(INDEX(SCNotes,$L1592)="",""," — "&amp;INDEX(SCNotes,$L1592))),IF($M1592&lt;&gt;"",IF(INDEX(LdgNoteB,$M1592)="","—",INDEX(LdgNoteB,$M1592)),""))</f>
        <v/>
      </c>
      <c r="F1592" s="26">
        <f>IF($L1592&lt;&gt;"",IF(INDEX(SCNet,$L1592)=0,"",INDEX(SCNet,$L1592)),"")</f>
        <v/>
      </c>
      <c r="G1592" s="27">
        <f>IF($L1592&lt;&gt;"",IF(INDEX(SCOp,$L1592)="مرجوعی فروش","",IF(INDEX(SCAmount,$L1592)&lt;=0,"",INDEX(SCAmount,$L1592))),IF($M1592&lt;&gt;"",IF(INDEX(LdgWitB,$M1592)=0,"",INDEX(LdgWitB,$M1592)),""))</f>
        <v/>
      </c>
      <c r="H1592" s="27">
        <f>IF($L1592&lt;&gt;"",IF(INDEX(SCOp,$L1592)="مرجوعی فروش",IF(INDEX(SCAmount,$L1592)=0,"",-INDEX(SCAmount,$L1592)),""),IF($M1592&lt;&gt;"",IF(INDEX(LdgDepB,$M1592)=0,"",INDEX(LdgDepB,$M1592)),""))</f>
        <v/>
      </c>
      <c r="I1592" s="28">
        <f>IF($B1592="","",IF($I1591="",$C$10,$I1591)+IF($G1592="",0,$G1592)-IF($H1592="",0,$H1592))</f>
        <v/>
      </c>
      <c r="L1592">
        <f>IFERROR(MATCH($C$5&amp;"|"&amp;RIGHT("000000"&amp;1576,6),LdgRankKeyA,0),"")</f>
        <v/>
      </c>
      <c r="M1592">
        <f>IFERROR(MATCH($C$5&amp;"|"&amp;RIGHT("000000"&amp;1576,6),LdgRankKeyB,0),"")</f>
        <v/>
      </c>
    </row>
    <row r="1593">
      <c r="A1593" s="17" t="n">
        <v>1577</v>
      </c>
      <c r="B1593" s="18">
        <f>IF(AND($L1593="",$M1593=""),"",IF($L1593&lt;&gt;"",INDEX(SCNormDate,$L1593),INDEX(LdgDateB,$M1593)))</f>
        <v/>
      </c>
      <c r="C1593" s="18">
        <f>IF($L1593&lt;&gt;"",INDEX(SCOp,$L1593),IF($M1593&lt;&gt;"","پرداخت بانکی",""))</f>
        <v/>
      </c>
      <c r="D1593" s="18">
        <f>IF($L1593&lt;&gt;"",IF(INDEX(SCDoc,$L1593)="","—",INDEX(SCDoc,$L1593)),IF($M1593&lt;&gt;"",INDEX(LdgBankB,$M1593),""))</f>
        <v/>
      </c>
      <c r="E1593" s="19">
        <f>IF($L1593&lt;&gt;"",IF(INDEX(SCCitrus,$L1593)&amp;INDEX(SCNotes,$L1593)="","",IF(INDEX(SCCitrus,$L1593)="","",INDEX(SCCitrus,$L1593))&amp;IF(INDEX(SCNotes,$L1593)="",""," — "&amp;INDEX(SCNotes,$L1593))),IF($M1593&lt;&gt;"",IF(INDEX(LdgNoteB,$M1593)="","—",INDEX(LdgNoteB,$M1593)),""))</f>
        <v/>
      </c>
      <c r="F1593" s="20">
        <f>IF($L1593&lt;&gt;"",IF(INDEX(SCNet,$L1593)=0,"",INDEX(SCNet,$L1593)),"")</f>
        <v/>
      </c>
      <c r="G1593" s="21">
        <f>IF($L1593&lt;&gt;"",IF(INDEX(SCOp,$L1593)="مرجوعی فروش","",IF(INDEX(SCAmount,$L1593)&lt;=0,"",INDEX(SCAmount,$L1593))),IF($M1593&lt;&gt;"",IF(INDEX(LdgWitB,$M1593)=0,"",INDEX(LdgWitB,$M1593)),""))</f>
        <v/>
      </c>
      <c r="H1593" s="21">
        <f>IF($L1593&lt;&gt;"",IF(INDEX(SCOp,$L1593)="مرجوعی فروش",IF(INDEX(SCAmount,$L1593)=0,"",-INDEX(SCAmount,$L1593)),""),IF($M1593&lt;&gt;"",IF(INDEX(LdgDepB,$M1593)=0,"",INDEX(LdgDepB,$M1593)),""))</f>
        <v/>
      </c>
      <c r="I1593" s="22">
        <f>IF($B1593="","",IF($I1592="",$C$10,$I1592)+IF($G1593="",0,$G1593)-IF($H1593="",0,$H1593))</f>
        <v/>
      </c>
      <c r="L1593">
        <f>IFERROR(MATCH($C$5&amp;"|"&amp;RIGHT("000000"&amp;1577,6),LdgRankKeyA,0),"")</f>
        <v/>
      </c>
      <c r="M1593">
        <f>IFERROR(MATCH($C$5&amp;"|"&amp;RIGHT("000000"&amp;1577,6),LdgRankKeyB,0),"")</f>
        <v/>
      </c>
    </row>
    <row r="1594">
      <c r="A1594" s="23" t="n">
        <v>1578</v>
      </c>
      <c r="B1594" s="24">
        <f>IF(AND($L1594="",$M1594=""),"",IF($L1594&lt;&gt;"",INDEX(SCNormDate,$L1594),INDEX(LdgDateB,$M1594)))</f>
        <v/>
      </c>
      <c r="C1594" s="24">
        <f>IF($L1594&lt;&gt;"",INDEX(SCOp,$L1594),IF($M1594&lt;&gt;"","پرداخت بانکی",""))</f>
        <v/>
      </c>
      <c r="D1594" s="24">
        <f>IF($L1594&lt;&gt;"",IF(INDEX(SCDoc,$L1594)="","—",INDEX(SCDoc,$L1594)),IF($M1594&lt;&gt;"",INDEX(LdgBankB,$M1594),""))</f>
        <v/>
      </c>
      <c r="E1594" s="25">
        <f>IF($L1594&lt;&gt;"",IF(INDEX(SCCitrus,$L1594)&amp;INDEX(SCNotes,$L1594)="","",IF(INDEX(SCCitrus,$L1594)="","",INDEX(SCCitrus,$L1594))&amp;IF(INDEX(SCNotes,$L1594)="",""," — "&amp;INDEX(SCNotes,$L1594))),IF($M1594&lt;&gt;"",IF(INDEX(LdgNoteB,$M1594)="","—",INDEX(LdgNoteB,$M1594)),""))</f>
        <v/>
      </c>
      <c r="F1594" s="26">
        <f>IF($L1594&lt;&gt;"",IF(INDEX(SCNet,$L1594)=0,"",INDEX(SCNet,$L1594)),"")</f>
        <v/>
      </c>
      <c r="G1594" s="27">
        <f>IF($L1594&lt;&gt;"",IF(INDEX(SCOp,$L1594)="مرجوعی فروش","",IF(INDEX(SCAmount,$L1594)&lt;=0,"",INDEX(SCAmount,$L1594))),IF($M1594&lt;&gt;"",IF(INDEX(LdgWitB,$M1594)=0,"",INDEX(LdgWitB,$M1594)),""))</f>
        <v/>
      </c>
      <c r="H1594" s="27">
        <f>IF($L1594&lt;&gt;"",IF(INDEX(SCOp,$L1594)="مرجوعی فروش",IF(INDEX(SCAmount,$L1594)=0,"",-INDEX(SCAmount,$L1594)),""),IF($M1594&lt;&gt;"",IF(INDEX(LdgDepB,$M1594)=0,"",INDEX(LdgDepB,$M1594)),""))</f>
        <v/>
      </c>
      <c r="I1594" s="28">
        <f>IF($B1594="","",IF($I1593="",$C$10,$I1593)+IF($G1594="",0,$G1594)-IF($H1594="",0,$H1594))</f>
        <v/>
      </c>
      <c r="L1594">
        <f>IFERROR(MATCH($C$5&amp;"|"&amp;RIGHT("000000"&amp;1578,6),LdgRankKeyA,0),"")</f>
        <v/>
      </c>
      <c r="M1594">
        <f>IFERROR(MATCH($C$5&amp;"|"&amp;RIGHT("000000"&amp;1578,6),LdgRankKeyB,0),"")</f>
        <v/>
      </c>
    </row>
    <row r="1595">
      <c r="A1595" s="17" t="n">
        <v>1579</v>
      </c>
      <c r="B1595" s="18">
        <f>IF(AND($L1595="",$M1595=""),"",IF($L1595&lt;&gt;"",INDEX(SCNormDate,$L1595),INDEX(LdgDateB,$M1595)))</f>
        <v/>
      </c>
      <c r="C1595" s="18">
        <f>IF($L1595&lt;&gt;"",INDEX(SCOp,$L1595),IF($M1595&lt;&gt;"","پرداخت بانکی",""))</f>
        <v/>
      </c>
      <c r="D1595" s="18">
        <f>IF($L1595&lt;&gt;"",IF(INDEX(SCDoc,$L1595)="","—",INDEX(SCDoc,$L1595)),IF($M1595&lt;&gt;"",INDEX(LdgBankB,$M1595),""))</f>
        <v/>
      </c>
      <c r="E1595" s="19">
        <f>IF($L1595&lt;&gt;"",IF(INDEX(SCCitrus,$L1595)&amp;INDEX(SCNotes,$L1595)="","",IF(INDEX(SCCitrus,$L1595)="","",INDEX(SCCitrus,$L1595))&amp;IF(INDEX(SCNotes,$L1595)="",""," — "&amp;INDEX(SCNotes,$L1595))),IF($M1595&lt;&gt;"",IF(INDEX(LdgNoteB,$M1595)="","—",INDEX(LdgNoteB,$M1595)),""))</f>
        <v/>
      </c>
      <c r="F1595" s="20">
        <f>IF($L1595&lt;&gt;"",IF(INDEX(SCNet,$L1595)=0,"",INDEX(SCNet,$L1595)),"")</f>
        <v/>
      </c>
      <c r="G1595" s="21">
        <f>IF($L1595&lt;&gt;"",IF(INDEX(SCOp,$L1595)="مرجوعی فروش","",IF(INDEX(SCAmount,$L1595)&lt;=0,"",INDEX(SCAmount,$L1595))),IF($M1595&lt;&gt;"",IF(INDEX(LdgWitB,$M1595)=0,"",INDEX(LdgWitB,$M1595)),""))</f>
        <v/>
      </c>
      <c r="H1595" s="21">
        <f>IF($L1595&lt;&gt;"",IF(INDEX(SCOp,$L1595)="مرجوعی فروش",IF(INDEX(SCAmount,$L1595)=0,"",-INDEX(SCAmount,$L1595)),""),IF($M1595&lt;&gt;"",IF(INDEX(LdgDepB,$M1595)=0,"",INDEX(LdgDepB,$M1595)),""))</f>
        <v/>
      </c>
      <c r="I1595" s="22">
        <f>IF($B1595="","",IF($I1594="",$C$10,$I1594)+IF($G1595="",0,$G1595)-IF($H1595="",0,$H1595))</f>
        <v/>
      </c>
      <c r="L1595">
        <f>IFERROR(MATCH($C$5&amp;"|"&amp;RIGHT("000000"&amp;1579,6),LdgRankKeyA,0),"")</f>
        <v/>
      </c>
      <c r="M1595">
        <f>IFERROR(MATCH($C$5&amp;"|"&amp;RIGHT("000000"&amp;1579,6),LdgRankKeyB,0),"")</f>
        <v/>
      </c>
    </row>
    <row r="1596">
      <c r="A1596" s="23" t="n">
        <v>1580</v>
      </c>
      <c r="B1596" s="24">
        <f>IF(AND($L1596="",$M1596=""),"",IF($L1596&lt;&gt;"",INDEX(SCNormDate,$L1596),INDEX(LdgDateB,$M1596)))</f>
        <v/>
      </c>
      <c r="C1596" s="24">
        <f>IF($L1596&lt;&gt;"",INDEX(SCOp,$L1596),IF($M1596&lt;&gt;"","پرداخت بانکی",""))</f>
        <v/>
      </c>
      <c r="D1596" s="24">
        <f>IF($L1596&lt;&gt;"",IF(INDEX(SCDoc,$L1596)="","—",INDEX(SCDoc,$L1596)),IF($M1596&lt;&gt;"",INDEX(LdgBankB,$M1596),""))</f>
        <v/>
      </c>
      <c r="E1596" s="25">
        <f>IF($L1596&lt;&gt;"",IF(INDEX(SCCitrus,$L1596)&amp;INDEX(SCNotes,$L1596)="","",IF(INDEX(SCCitrus,$L1596)="","",INDEX(SCCitrus,$L1596))&amp;IF(INDEX(SCNotes,$L1596)="",""," — "&amp;INDEX(SCNotes,$L1596))),IF($M1596&lt;&gt;"",IF(INDEX(LdgNoteB,$M1596)="","—",INDEX(LdgNoteB,$M1596)),""))</f>
        <v/>
      </c>
      <c r="F1596" s="26">
        <f>IF($L1596&lt;&gt;"",IF(INDEX(SCNet,$L1596)=0,"",INDEX(SCNet,$L1596)),"")</f>
        <v/>
      </c>
      <c r="G1596" s="27">
        <f>IF($L1596&lt;&gt;"",IF(INDEX(SCOp,$L1596)="مرجوعی فروش","",IF(INDEX(SCAmount,$L1596)&lt;=0,"",INDEX(SCAmount,$L1596))),IF($M1596&lt;&gt;"",IF(INDEX(LdgWitB,$M1596)=0,"",INDEX(LdgWitB,$M1596)),""))</f>
        <v/>
      </c>
      <c r="H1596" s="27">
        <f>IF($L1596&lt;&gt;"",IF(INDEX(SCOp,$L1596)="مرجوعی فروش",IF(INDEX(SCAmount,$L1596)=0,"",-INDEX(SCAmount,$L1596)),""),IF($M1596&lt;&gt;"",IF(INDEX(LdgDepB,$M1596)=0,"",INDEX(LdgDepB,$M1596)),""))</f>
        <v/>
      </c>
      <c r="I1596" s="28">
        <f>IF($B1596="","",IF($I1595="",$C$10,$I1595)+IF($G1596="",0,$G1596)-IF($H1596="",0,$H1596))</f>
        <v/>
      </c>
      <c r="L1596">
        <f>IFERROR(MATCH($C$5&amp;"|"&amp;RIGHT("000000"&amp;1580,6),LdgRankKeyA,0),"")</f>
        <v/>
      </c>
      <c r="M1596">
        <f>IFERROR(MATCH($C$5&amp;"|"&amp;RIGHT("000000"&amp;1580,6),LdgRankKeyB,0),"")</f>
        <v/>
      </c>
    </row>
    <row r="1597">
      <c r="A1597" s="17" t="n">
        <v>1581</v>
      </c>
      <c r="B1597" s="18">
        <f>IF(AND($L1597="",$M1597=""),"",IF($L1597&lt;&gt;"",INDEX(SCNormDate,$L1597),INDEX(LdgDateB,$M1597)))</f>
        <v/>
      </c>
      <c r="C1597" s="18">
        <f>IF($L1597&lt;&gt;"",INDEX(SCOp,$L1597),IF($M1597&lt;&gt;"","پرداخت بانکی",""))</f>
        <v/>
      </c>
      <c r="D1597" s="18">
        <f>IF($L1597&lt;&gt;"",IF(INDEX(SCDoc,$L1597)="","—",INDEX(SCDoc,$L1597)),IF($M1597&lt;&gt;"",INDEX(LdgBankB,$M1597),""))</f>
        <v/>
      </c>
      <c r="E1597" s="19">
        <f>IF($L1597&lt;&gt;"",IF(INDEX(SCCitrus,$L1597)&amp;INDEX(SCNotes,$L1597)="","",IF(INDEX(SCCitrus,$L1597)="","",INDEX(SCCitrus,$L1597))&amp;IF(INDEX(SCNotes,$L1597)="",""," — "&amp;INDEX(SCNotes,$L1597))),IF($M1597&lt;&gt;"",IF(INDEX(LdgNoteB,$M1597)="","—",INDEX(LdgNoteB,$M1597)),""))</f>
        <v/>
      </c>
      <c r="F1597" s="20">
        <f>IF($L1597&lt;&gt;"",IF(INDEX(SCNet,$L1597)=0,"",INDEX(SCNet,$L1597)),"")</f>
        <v/>
      </c>
      <c r="G1597" s="21">
        <f>IF($L1597&lt;&gt;"",IF(INDEX(SCOp,$L1597)="مرجوعی فروش","",IF(INDEX(SCAmount,$L1597)&lt;=0,"",INDEX(SCAmount,$L1597))),IF($M1597&lt;&gt;"",IF(INDEX(LdgWitB,$M1597)=0,"",INDEX(LdgWitB,$M1597)),""))</f>
        <v/>
      </c>
      <c r="H1597" s="21">
        <f>IF($L1597&lt;&gt;"",IF(INDEX(SCOp,$L1597)="مرجوعی فروش",IF(INDEX(SCAmount,$L1597)=0,"",-INDEX(SCAmount,$L1597)),""),IF($M1597&lt;&gt;"",IF(INDEX(LdgDepB,$M1597)=0,"",INDEX(LdgDepB,$M1597)),""))</f>
        <v/>
      </c>
      <c r="I1597" s="22">
        <f>IF($B1597="","",IF($I1596="",$C$10,$I1596)+IF($G1597="",0,$G1597)-IF($H1597="",0,$H1597))</f>
        <v/>
      </c>
      <c r="L1597">
        <f>IFERROR(MATCH($C$5&amp;"|"&amp;RIGHT("000000"&amp;1581,6),LdgRankKeyA,0),"")</f>
        <v/>
      </c>
      <c r="M1597">
        <f>IFERROR(MATCH($C$5&amp;"|"&amp;RIGHT("000000"&amp;1581,6),LdgRankKeyB,0),"")</f>
        <v/>
      </c>
    </row>
    <row r="1598">
      <c r="A1598" s="23" t="n">
        <v>1582</v>
      </c>
      <c r="B1598" s="24">
        <f>IF(AND($L1598="",$M1598=""),"",IF($L1598&lt;&gt;"",INDEX(SCNormDate,$L1598),INDEX(LdgDateB,$M1598)))</f>
        <v/>
      </c>
      <c r="C1598" s="24">
        <f>IF($L1598&lt;&gt;"",INDEX(SCOp,$L1598),IF($M1598&lt;&gt;"","پرداخت بانکی",""))</f>
        <v/>
      </c>
      <c r="D1598" s="24">
        <f>IF($L1598&lt;&gt;"",IF(INDEX(SCDoc,$L1598)="","—",INDEX(SCDoc,$L1598)),IF($M1598&lt;&gt;"",INDEX(LdgBankB,$M1598),""))</f>
        <v/>
      </c>
      <c r="E1598" s="25">
        <f>IF($L1598&lt;&gt;"",IF(INDEX(SCCitrus,$L1598)&amp;INDEX(SCNotes,$L1598)="","",IF(INDEX(SCCitrus,$L1598)="","",INDEX(SCCitrus,$L1598))&amp;IF(INDEX(SCNotes,$L1598)="",""," — "&amp;INDEX(SCNotes,$L1598))),IF($M1598&lt;&gt;"",IF(INDEX(LdgNoteB,$M1598)="","—",INDEX(LdgNoteB,$M1598)),""))</f>
        <v/>
      </c>
      <c r="F1598" s="26">
        <f>IF($L1598&lt;&gt;"",IF(INDEX(SCNet,$L1598)=0,"",INDEX(SCNet,$L1598)),"")</f>
        <v/>
      </c>
      <c r="G1598" s="27">
        <f>IF($L1598&lt;&gt;"",IF(INDEX(SCOp,$L1598)="مرجوعی فروش","",IF(INDEX(SCAmount,$L1598)&lt;=0,"",INDEX(SCAmount,$L1598))),IF($M1598&lt;&gt;"",IF(INDEX(LdgWitB,$M1598)=0,"",INDEX(LdgWitB,$M1598)),""))</f>
        <v/>
      </c>
      <c r="H1598" s="27">
        <f>IF($L1598&lt;&gt;"",IF(INDEX(SCOp,$L1598)="مرجوعی فروش",IF(INDEX(SCAmount,$L1598)=0,"",-INDEX(SCAmount,$L1598)),""),IF($M1598&lt;&gt;"",IF(INDEX(LdgDepB,$M1598)=0,"",INDEX(LdgDepB,$M1598)),""))</f>
        <v/>
      </c>
      <c r="I1598" s="28">
        <f>IF($B1598="","",IF($I1597="",$C$10,$I1597)+IF($G1598="",0,$G1598)-IF($H1598="",0,$H1598))</f>
        <v/>
      </c>
      <c r="L1598">
        <f>IFERROR(MATCH($C$5&amp;"|"&amp;RIGHT("000000"&amp;1582,6),LdgRankKeyA,0),"")</f>
        <v/>
      </c>
      <c r="M1598">
        <f>IFERROR(MATCH($C$5&amp;"|"&amp;RIGHT("000000"&amp;1582,6),LdgRankKeyB,0),"")</f>
        <v/>
      </c>
    </row>
    <row r="1599">
      <c r="A1599" s="17" t="n">
        <v>1583</v>
      </c>
      <c r="B1599" s="18">
        <f>IF(AND($L1599="",$M1599=""),"",IF($L1599&lt;&gt;"",INDEX(SCNormDate,$L1599),INDEX(LdgDateB,$M1599)))</f>
        <v/>
      </c>
      <c r="C1599" s="18">
        <f>IF($L1599&lt;&gt;"",INDEX(SCOp,$L1599),IF($M1599&lt;&gt;"","پرداخت بانکی",""))</f>
        <v/>
      </c>
      <c r="D1599" s="18">
        <f>IF($L1599&lt;&gt;"",IF(INDEX(SCDoc,$L1599)="","—",INDEX(SCDoc,$L1599)),IF($M1599&lt;&gt;"",INDEX(LdgBankB,$M1599),""))</f>
        <v/>
      </c>
      <c r="E1599" s="19">
        <f>IF($L1599&lt;&gt;"",IF(INDEX(SCCitrus,$L1599)&amp;INDEX(SCNotes,$L1599)="","",IF(INDEX(SCCitrus,$L1599)="","",INDEX(SCCitrus,$L1599))&amp;IF(INDEX(SCNotes,$L1599)="",""," — "&amp;INDEX(SCNotes,$L1599))),IF($M1599&lt;&gt;"",IF(INDEX(LdgNoteB,$M1599)="","—",INDEX(LdgNoteB,$M1599)),""))</f>
        <v/>
      </c>
      <c r="F1599" s="20">
        <f>IF($L1599&lt;&gt;"",IF(INDEX(SCNet,$L1599)=0,"",INDEX(SCNet,$L1599)),"")</f>
        <v/>
      </c>
      <c r="G1599" s="21">
        <f>IF($L1599&lt;&gt;"",IF(INDEX(SCOp,$L1599)="مرجوعی فروش","",IF(INDEX(SCAmount,$L1599)&lt;=0,"",INDEX(SCAmount,$L1599))),IF($M1599&lt;&gt;"",IF(INDEX(LdgWitB,$M1599)=0,"",INDEX(LdgWitB,$M1599)),""))</f>
        <v/>
      </c>
      <c r="H1599" s="21">
        <f>IF($L1599&lt;&gt;"",IF(INDEX(SCOp,$L1599)="مرجوعی فروش",IF(INDEX(SCAmount,$L1599)=0,"",-INDEX(SCAmount,$L1599)),""),IF($M1599&lt;&gt;"",IF(INDEX(LdgDepB,$M1599)=0,"",INDEX(LdgDepB,$M1599)),""))</f>
        <v/>
      </c>
      <c r="I1599" s="22">
        <f>IF($B1599="","",IF($I1598="",$C$10,$I1598)+IF($G1599="",0,$G1599)-IF($H1599="",0,$H1599))</f>
        <v/>
      </c>
      <c r="L1599">
        <f>IFERROR(MATCH($C$5&amp;"|"&amp;RIGHT("000000"&amp;1583,6),LdgRankKeyA,0),"")</f>
        <v/>
      </c>
      <c r="M1599">
        <f>IFERROR(MATCH($C$5&amp;"|"&amp;RIGHT("000000"&amp;1583,6),LdgRankKeyB,0),"")</f>
        <v/>
      </c>
    </row>
    <row r="1600">
      <c r="A1600" s="23" t="n">
        <v>1584</v>
      </c>
      <c r="B1600" s="24">
        <f>IF(AND($L1600="",$M1600=""),"",IF($L1600&lt;&gt;"",INDEX(SCNormDate,$L1600),INDEX(LdgDateB,$M1600)))</f>
        <v/>
      </c>
      <c r="C1600" s="24">
        <f>IF($L1600&lt;&gt;"",INDEX(SCOp,$L1600),IF($M1600&lt;&gt;"","پرداخت بانکی",""))</f>
        <v/>
      </c>
      <c r="D1600" s="24">
        <f>IF($L1600&lt;&gt;"",IF(INDEX(SCDoc,$L1600)="","—",INDEX(SCDoc,$L1600)),IF($M1600&lt;&gt;"",INDEX(LdgBankB,$M1600),""))</f>
        <v/>
      </c>
      <c r="E1600" s="25">
        <f>IF($L1600&lt;&gt;"",IF(INDEX(SCCitrus,$L1600)&amp;INDEX(SCNotes,$L1600)="","",IF(INDEX(SCCitrus,$L1600)="","",INDEX(SCCitrus,$L1600))&amp;IF(INDEX(SCNotes,$L1600)="",""," — "&amp;INDEX(SCNotes,$L1600))),IF($M1600&lt;&gt;"",IF(INDEX(LdgNoteB,$M1600)="","—",INDEX(LdgNoteB,$M1600)),""))</f>
        <v/>
      </c>
      <c r="F1600" s="26">
        <f>IF($L1600&lt;&gt;"",IF(INDEX(SCNet,$L1600)=0,"",INDEX(SCNet,$L1600)),"")</f>
        <v/>
      </c>
      <c r="G1600" s="27">
        <f>IF($L1600&lt;&gt;"",IF(INDEX(SCOp,$L1600)="مرجوعی فروش","",IF(INDEX(SCAmount,$L1600)&lt;=0,"",INDEX(SCAmount,$L1600))),IF($M1600&lt;&gt;"",IF(INDEX(LdgWitB,$M1600)=0,"",INDEX(LdgWitB,$M1600)),""))</f>
        <v/>
      </c>
      <c r="H1600" s="27">
        <f>IF($L1600&lt;&gt;"",IF(INDEX(SCOp,$L1600)="مرجوعی فروش",IF(INDEX(SCAmount,$L1600)=0,"",-INDEX(SCAmount,$L1600)),""),IF($M1600&lt;&gt;"",IF(INDEX(LdgDepB,$M1600)=0,"",INDEX(LdgDepB,$M1600)),""))</f>
        <v/>
      </c>
      <c r="I1600" s="28">
        <f>IF($B1600="","",IF($I1599="",$C$10,$I1599)+IF($G1600="",0,$G1600)-IF($H1600="",0,$H1600))</f>
        <v/>
      </c>
      <c r="L1600">
        <f>IFERROR(MATCH($C$5&amp;"|"&amp;RIGHT("000000"&amp;1584,6),LdgRankKeyA,0),"")</f>
        <v/>
      </c>
      <c r="M1600">
        <f>IFERROR(MATCH($C$5&amp;"|"&amp;RIGHT("000000"&amp;1584,6),LdgRankKeyB,0),"")</f>
        <v/>
      </c>
    </row>
    <row r="1601">
      <c r="A1601" s="17" t="n">
        <v>1585</v>
      </c>
      <c r="B1601" s="18">
        <f>IF(AND($L1601="",$M1601=""),"",IF($L1601&lt;&gt;"",INDEX(SCNormDate,$L1601),INDEX(LdgDateB,$M1601)))</f>
        <v/>
      </c>
      <c r="C1601" s="18">
        <f>IF($L1601&lt;&gt;"",INDEX(SCOp,$L1601),IF($M1601&lt;&gt;"","پرداخت بانکی",""))</f>
        <v/>
      </c>
      <c r="D1601" s="18">
        <f>IF($L1601&lt;&gt;"",IF(INDEX(SCDoc,$L1601)="","—",INDEX(SCDoc,$L1601)),IF($M1601&lt;&gt;"",INDEX(LdgBankB,$M1601),""))</f>
        <v/>
      </c>
      <c r="E1601" s="19">
        <f>IF($L1601&lt;&gt;"",IF(INDEX(SCCitrus,$L1601)&amp;INDEX(SCNotes,$L1601)="","",IF(INDEX(SCCitrus,$L1601)="","",INDEX(SCCitrus,$L1601))&amp;IF(INDEX(SCNotes,$L1601)="",""," — "&amp;INDEX(SCNotes,$L1601))),IF($M1601&lt;&gt;"",IF(INDEX(LdgNoteB,$M1601)="","—",INDEX(LdgNoteB,$M1601)),""))</f>
        <v/>
      </c>
      <c r="F1601" s="20">
        <f>IF($L1601&lt;&gt;"",IF(INDEX(SCNet,$L1601)=0,"",INDEX(SCNet,$L1601)),"")</f>
        <v/>
      </c>
      <c r="G1601" s="21">
        <f>IF($L1601&lt;&gt;"",IF(INDEX(SCOp,$L1601)="مرجوعی فروش","",IF(INDEX(SCAmount,$L1601)&lt;=0,"",INDEX(SCAmount,$L1601))),IF($M1601&lt;&gt;"",IF(INDEX(LdgWitB,$M1601)=0,"",INDEX(LdgWitB,$M1601)),""))</f>
        <v/>
      </c>
      <c r="H1601" s="21">
        <f>IF($L1601&lt;&gt;"",IF(INDEX(SCOp,$L1601)="مرجوعی فروش",IF(INDEX(SCAmount,$L1601)=0,"",-INDEX(SCAmount,$L1601)),""),IF($M1601&lt;&gt;"",IF(INDEX(LdgDepB,$M1601)=0,"",INDEX(LdgDepB,$M1601)),""))</f>
        <v/>
      </c>
      <c r="I1601" s="22">
        <f>IF($B1601="","",IF($I1600="",$C$10,$I1600)+IF($G1601="",0,$G1601)-IF($H1601="",0,$H1601))</f>
        <v/>
      </c>
      <c r="L1601">
        <f>IFERROR(MATCH($C$5&amp;"|"&amp;RIGHT("000000"&amp;1585,6),LdgRankKeyA,0),"")</f>
        <v/>
      </c>
      <c r="M1601">
        <f>IFERROR(MATCH($C$5&amp;"|"&amp;RIGHT("000000"&amp;1585,6),LdgRankKeyB,0),"")</f>
        <v/>
      </c>
    </row>
    <row r="1602">
      <c r="A1602" s="23" t="n">
        <v>1586</v>
      </c>
      <c r="B1602" s="24">
        <f>IF(AND($L1602="",$M1602=""),"",IF($L1602&lt;&gt;"",INDEX(SCNormDate,$L1602),INDEX(LdgDateB,$M1602)))</f>
        <v/>
      </c>
      <c r="C1602" s="24">
        <f>IF($L1602&lt;&gt;"",INDEX(SCOp,$L1602),IF($M1602&lt;&gt;"","پرداخت بانکی",""))</f>
        <v/>
      </c>
      <c r="D1602" s="24">
        <f>IF($L1602&lt;&gt;"",IF(INDEX(SCDoc,$L1602)="","—",INDEX(SCDoc,$L1602)),IF($M1602&lt;&gt;"",INDEX(LdgBankB,$M1602),""))</f>
        <v/>
      </c>
      <c r="E1602" s="25">
        <f>IF($L1602&lt;&gt;"",IF(INDEX(SCCitrus,$L1602)&amp;INDEX(SCNotes,$L1602)="","",IF(INDEX(SCCitrus,$L1602)="","",INDEX(SCCitrus,$L1602))&amp;IF(INDEX(SCNotes,$L1602)="",""," — "&amp;INDEX(SCNotes,$L1602))),IF($M1602&lt;&gt;"",IF(INDEX(LdgNoteB,$M1602)="","—",INDEX(LdgNoteB,$M1602)),""))</f>
        <v/>
      </c>
      <c r="F1602" s="26">
        <f>IF($L1602&lt;&gt;"",IF(INDEX(SCNet,$L1602)=0,"",INDEX(SCNet,$L1602)),"")</f>
        <v/>
      </c>
      <c r="G1602" s="27">
        <f>IF($L1602&lt;&gt;"",IF(INDEX(SCOp,$L1602)="مرجوعی فروش","",IF(INDEX(SCAmount,$L1602)&lt;=0,"",INDEX(SCAmount,$L1602))),IF($M1602&lt;&gt;"",IF(INDEX(LdgWitB,$M1602)=0,"",INDEX(LdgWitB,$M1602)),""))</f>
        <v/>
      </c>
      <c r="H1602" s="27">
        <f>IF($L1602&lt;&gt;"",IF(INDEX(SCOp,$L1602)="مرجوعی فروش",IF(INDEX(SCAmount,$L1602)=0,"",-INDEX(SCAmount,$L1602)),""),IF($M1602&lt;&gt;"",IF(INDEX(LdgDepB,$M1602)=0,"",INDEX(LdgDepB,$M1602)),""))</f>
        <v/>
      </c>
      <c r="I1602" s="28">
        <f>IF($B1602="","",IF($I1601="",$C$10,$I1601)+IF($G1602="",0,$G1602)-IF($H1602="",0,$H1602))</f>
        <v/>
      </c>
      <c r="L1602">
        <f>IFERROR(MATCH($C$5&amp;"|"&amp;RIGHT("000000"&amp;1586,6),LdgRankKeyA,0),"")</f>
        <v/>
      </c>
      <c r="M1602">
        <f>IFERROR(MATCH($C$5&amp;"|"&amp;RIGHT("000000"&amp;1586,6),LdgRankKeyB,0),"")</f>
        <v/>
      </c>
    </row>
    <row r="1603">
      <c r="A1603" s="17" t="n">
        <v>1587</v>
      </c>
      <c r="B1603" s="18">
        <f>IF(AND($L1603="",$M1603=""),"",IF($L1603&lt;&gt;"",INDEX(SCNormDate,$L1603),INDEX(LdgDateB,$M1603)))</f>
        <v/>
      </c>
      <c r="C1603" s="18">
        <f>IF($L1603&lt;&gt;"",INDEX(SCOp,$L1603),IF($M1603&lt;&gt;"","پرداخت بانکی",""))</f>
        <v/>
      </c>
      <c r="D1603" s="18">
        <f>IF($L1603&lt;&gt;"",IF(INDEX(SCDoc,$L1603)="","—",INDEX(SCDoc,$L1603)),IF($M1603&lt;&gt;"",INDEX(LdgBankB,$M1603),""))</f>
        <v/>
      </c>
      <c r="E1603" s="19">
        <f>IF($L1603&lt;&gt;"",IF(INDEX(SCCitrus,$L1603)&amp;INDEX(SCNotes,$L1603)="","",IF(INDEX(SCCitrus,$L1603)="","",INDEX(SCCitrus,$L1603))&amp;IF(INDEX(SCNotes,$L1603)="",""," — "&amp;INDEX(SCNotes,$L1603))),IF($M1603&lt;&gt;"",IF(INDEX(LdgNoteB,$M1603)="","—",INDEX(LdgNoteB,$M1603)),""))</f>
        <v/>
      </c>
      <c r="F1603" s="20">
        <f>IF($L1603&lt;&gt;"",IF(INDEX(SCNet,$L1603)=0,"",INDEX(SCNet,$L1603)),"")</f>
        <v/>
      </c>
      <c r="G1603" s="21">
        <f>IF($L1603&lt;&gt;"",IF(INDEX(SCOp,$L1603)="مرجوعی فروش","",IF(INDEX(SCAmount,$L1603)&lt;=0,"",INDEX(SCAmount,$L1603))),IF($M1603&lt;&gt;"",IF(INDEX(LdgWitB,$M1603)=0,"",INDEX(LdgWitB,$M1603)),""))</f>
        <v/>
      </c>
      <c r="H1603" s="21">
        <f>IF($L1603&lt;&gt;"",IF(INDEX(SCOp,$L1603)="مرجوعی فروش",IF(INDEX(SCAmount,$L1603)=0,"",-INDEX(SCAmount,$L1603)),""),IF($M1603&lt;&gt;"",IF(INDEX(LdgDepB,$M1603)=0,"",INDEX(LdgDepB,$M1603)),""))</f>
        <v/>
      </c>
      <c r="I1603" s="22">
        <f>IF($B1603="","",IF($I1602="",$C$10,$I1602)+IF($G1603="",0,$G1603)-IF($H1603="",0,$H1603))</f>
        <v/>
      </c>
      <c r="L1603">
        <f>IFERROR(MATCH($C$5&amp;"|"&amp;RIGHT("000000"&amp;1587,6),LdgRankKeyA,0),"")</f>
        <v/>
      </c>
      <c r="M1603">
        <f>IFERROR(MATCH($C$5&amp;"|"&amp;RIGHT("000000"&amp;1587,6),LdgRankKeyB,0),"")</f>
        <v/>
      </c>
    </row>
    <row r="1604">
      <c r="A1604" s="23" t="n">
        <v>1588</v>
      </c>
      <c r="B1604" s="24">
        <f>IF(AND($L1604="",$M1604=""),"",IF($L1604&lt;&gt;"",INDEX(SCNormDate,$L1604),INDEX(LdgDateB,$M1604)))</f>
        <v/>
      </c>
      <c r="C1604" s="24">
        <f>IF($L1604&lt;&gt;"",INDEX(SCOp,$L1604),IF($M1604&lt;&gt;"","پرداخت بانکی",""))</f>
        <v/>
      </c>
      <c r="D1604" s="24">
        <f>IF($L1604&lt;&gt;"",IF(INDEX(SCDoc,$L1604)="","—",INDEX(SCDoc,$L1604)),IF($M1604&lt;&gt;"",INDEX(LdgBankB,$M1604),""))</f>
        <v/>
      </c>
      <c r="E1604" s="25">
        <f>IF($L1604&lt;&gt;"",IF(INDEX(SCCitrus,$L1604)&amp;INDEX(SCNotes,$L1604)="","",IF(INDEX(SCCitrus,$L1604)="","",INDEX(SCCitrus,$L1604))&amp;IF(INDEX(SCNotes,$L1604)="",""," — "&amp;INDEX(SCNotes,$L1604))),IF($M1604&lt;&gt;"",IF(INDEX(LdgNoteB,$M1604)="","—",INDEX(LdgNoteB,$M1604)),""))</f>
        <v/>
      </c>
      <c r="F1604" s="26">
        <f>IF($L1604&lt;&gt;"",IF(INDEX(SCNet,$L1604)=0,"",INDEX(SCNet,$L1604)),"")</f>
        <v/>
      </c>
      <c r="G1604" s="27">
        <f>IF($L1604&lt;&gt;"",IF(INDEX(SCOp,$L1604)="مرجوعی فروش","",IF(INDEX(SCAmount,$L1604)&lt;=0,"",INDEX(SCAmount,$L1604))),IF($M1604&lt;&gt;"",IF(INDEX(LdgWitB,$M1604)=0,"",INDEX(LdgWitB,$M1604)),""))</f>
        <v/>
      </c>
      <c r="H1604" s="27">
        <f>IF($L1604&lt;&gt;"",IF(INDEX(SCOp,$L1604)="مرجوعی فروش",IF(INDEX(SCAmount,$L1604)=0,"",-INDEX(SCAmount,$L1604)),""),IF($M1604&lt;&gt;"",IF(INDEX(LdgDepB,$M1604)=0,"",INDEX(LdgDepB,$M1604)),""))</f>
        <v/>
      </c>
      <c r="I1604" s="28">
        <f>IF($B1604="","",IF($I1603="",$C$10,$I1603)+IF($G1604="",0,$G1604)-IF($H1604="",0,$H1604))</f>
        <v/>
      </c>
      <c r="L1604">
        <f>IFERROR(MATCH($C$5&amp;"|"&amp;RIGHT("000000"&amp;1588,6),LdgRankKeyA,0),"")</f>
        <v/>
      </c>
      <c r="M1604">
        <f>IFERROR(MATCH($C$5&amp;"|"&amp;RIGHT("000000"&amp;1588,6),LdgRankKeyB,0),"")</f>
        <v/>
      </c>
    </row>
    <row r="1605">
      <c r="A1605" s="17" t="n">
        <v>1589</v>
      </c>
      <c r="B1605" s="18">
        <f>IF(AND($L1605="",$M1605=""),"",IF($L1605&lt;&gt;"",INDEX(SCNormDate,$L1605),INDEX(LdgDateB,$M1605)))</f>
        <v/>
      </c>
      <c r="C1605" s="18">
        <f>IF($L1605&lt;&gt;"",INDEX(SCOp,$L1605),IF($M1605&lt;&gt;"","پرداخت بانکی",""))</f>
        <v/>
      </c>
      <c r="D1605" s="18">
        <f>IF($L1605&lt;&gt;"",IF(INDEX(SCDoc,$L1605)="","—",INDEX(SCDoc,$L1605)),IF($M1605&lt;&gt;"",INDEX(LdgBankB,$M1605),""))</f>
        <v/>
      </c>
      <c r="E1605" s="19">
        <f>IF($L1605&lt;&gt;"",IF(INDEX(SCCitrus,$L1605)&amp;INDEX(SCNotes,$L1605)="","",IF(INDEX(SCCitrus,$L1605)="","",INDEX(SCCitrus,$L1605))&amp;IF(INDEX(SCNotes,$L1605)="",""," — "&amp;INDEX(SCNotes,$L1605))),IF($M1605&lt;&gt;"",IF(INDEX(LdgNoteB,$M1605)="","—",INDEX(LdgNoteB,$M1605)),""))</f>
        <v/>
      </c>
      <c r="F1605" s="20">
        <f>IF($L1605&lt;&gt;"",IF(INDEX(SCNet,$L1605)=0,"",INDEX(SCNet,$L1605)),"")</f>
        <v/>
      </c>
      <c r="G1605" s="21">
        <f>IF($L1605&lt;&gt;"",IF(INDEX(SCOp,$L1605)="مرجوعی فروش","",IF(INDEX(SCAmount,$L1605)&lt;=0,"",INDEX(SCAmount,$L1605))),IF($M1605&lt;&gt;"",IF(INDEX(LdgWitB,$M1605)=0,"",INDEX(LdgWitB,$M1605)),""))</f>
        <v/>
      </c>
      <c r="H1605" s="21">
        <f>IF($L1605&lt;&gt;"",IF(INDEX(SCOp,$L1605)="مرجوعی فروش",IF(INDEX(SCAmount,$L1605)=0,"",-INDEX(SCAmount,$L1605)),""),IF($M1605&lt;&gt;"",IF(INDEX(LdgDepB,$M1605)=0,"",INDEX(LdgDepB,$M1605)),""))</f>
        <v/>
      </c>
      <c r="I1605" s="22">
        <f>IF($B1605="","",IF($I1604="",$C$10,$I1604)+IF($G1605="",0,$G1605)-IF($H1605="",0,$H1605))</f>
        <v/>
      </c>
      <c r="L1605">
        <f>IFERROR(MATCH($C$5&amp;"|"&amp;RIGHT("000000"&amp;1589,6),LdgRankKeyA,0),"")</f>
        <v/>
      </c>
      <c r="M1605">
        <f>IFERROR(MATCH($C$5&amp;"|"&amp;RIGHT("000000"&amp;1589,6),LdgRankKeyB,0),"")</f>
        <v/>
      </c>
    </row>
    <row r="1606">
      <c r="A1606" s="23" t="n">
        <v>1590</v>
      </c>
      <c r="B1606" s="24">
        <f>IF(AND($L1606="",$M1606=""),"",IF($L1606&lt;&gt;"",INDEX(SCNormDate,$L1606),INDEX(LdgDateB,$M1606)))</f>
        <v/>
      </c>
      <c r="C1606" s="24">
        <f>IF($L1606&lt;&gt;"",INDEX(SCOp,$L1606),IF($M1606&lt;&gt;"","پرداخت بانکی",""))</f>
        <v/>
      </c>
      <c r="D1606" s="24">
        <f>IF($L1606&lt;&gt;"",IF(INDEX(SCDoc,$L1606)="","—",INDEX(SCDoc,$L1606)),IF($M1606&lt;&gt;"",INDEX(LdgBankB,$M1606),""))</f>
        <v/>
      </c>
      <c r="E1606" s="25">
        <f>IF($L1606&lt;&gt;"",IF(INDEX(SCCitrus,$L1606)&amp;INDEX(SCNotes,$L1606)="","",IF(INDEX(SCCitrus,$L1606)="","",INDEX(SCCitrus,$L1606))&amp;IF(INDEX(SCNotes,$L1606)="",""," — "&amp;INDEX(SCNotes,$L1606))),IF($M1606&lt;&gt;"",IF(INDEX(LdgNoteB,$M1606)="","—",INDEX(LdgNoteB,$M1606)),""))</f>
        <v/>
      </c>
      <c r="F1606" s="26">
        <f>IF($L1606&lt;&gt;"",IF(INDEX(SCNet,$L1606)=0,"",INDEX(SCNet,$L1606)),"")</f>
        <v/>
      </c>
      <c r="G1606" s="27">
        <f>IF($L1606&lt;&gt;"",IF(INDEX(SCOp,$L1606)="مرجوعی فروش","",IF(INDEX(SCAmount,$L1606)&lt;=0,"",INDEX(SCAmount,$L1606))),IF($M1606&lt;&gt;"",IF(INDEX(LdgWitB,$M1606)=0,"",INDEX(LdgWitB,$M1606)),""))</f>
        <v/>
      </c>
      <c r="H1606" s="27">
        <f>IF($L1606&lt;&gt;"",IF(INDEX(SCOp,$L1606)="مرجوعی فروش",IF(INDEX(SCAmount,$L1606)=0,"",-INDEX(SCAmount,$L1606)),""),IF($M1606&lt;&gt;"",IF(INDEX(LdgDepB,$M1606)=0,"",INDEX(LdgDepB,$M1606)),""))</f>
        <v/>
      </c>
      <c r="I1606" s="28">
        <f>IF($B1606="","",IF($I1605="",$C$10,$I1605)+IF($G1606="",0,$G1606)-IF($H1606="",0,$H1606))</f>
        <v/>
      </c>
      <c r="L1606">
        <f>IFERROR(MATCH($C$5&amp;"|"&amp;RIGHT("000000"&amp;1590,6),LdgRankKeyA,0),"")</f>
        <v/>
      </c>
      <c r="M1606">
        <f>IFERROR(MATCH($C$5&amp;"|"&amp;RIGHT("000000"&amp;1590,6),LdgRankKeyB,0),"")</f>
        <v/>
      </c>
    </row>
    <row r="1607">
      <c r="A1607" s="17" t="n">
        <v>1591</v>
      </c>
      <c r="B1607" s="18">
        <f>IF(AND($L1607="",$M1607=""),"",IF($L1607&lt;&gt;"",INDEX(SCNormDate,$L1607),INDEX(LdgDateB,$M1607)))</f>
        <v/>
      </c>
      <c r="C1607" s="18">
        <f>IF($L1607&lt;&gt;"",INDEX(SCOp,$L1607),IF($M1607&lt;&gt;"","پرداخت بانکی",""))</f>
        <v/>
      </c>
      <c r="D1607" s="18">
        <f>IF($L1607&lt;&gt;"",IF(INDEX(SCDoc,$L1607)="","—",INDEX(SCDoc,$L1607)),IF($M1607&lt;&gt;"",INDEX(LdgBankB,$M1607),""))</f>
        <v/>
      </c>
      <c r="E1607" s="19">
        <f>IF($L1607&lt;&gt;"",IF(INDEX(SCCitrus,$L1607)&amp;INDEX(SCNotes,$L1607)="","",IF(INDEX(SCCitrus,$L1607)="","",INDEX(SCCitrus,$L1607))&amp;IF(INDEX(SCNotes,$L1607)="",""," — "&amp;INDEX(SCNotes,$L1607))),IF($M1607&lt;&gt;"",IF(INDEX(LdgNoteB,$M1607)="","—",INDEX(LdgNoteB,$M1607)),""))</f>
        <v/>
      </c>
      <c r="F1607" s="20">
        <f>IF($L1607&lt;&gt;"",IF(INDEX(SCNet,$L1607)=0,"",INDEX(SCNet,$L1607)),"")</f>
        <v/>
      </c>
      <c r="G1607" s="21">
        <f>IF($L1607&lt;&gt;"",IF(INDEX(SCOp,$L1607)="مرجوعی فروش","",IF(INDEX(SCAmount,$L1607)&lt;=0,"",INDEX(SCAmount,$L1607))),IF($M1607&lt;&gt;"",IF(INDEX(LdgWitB,$M1607)=0,"",INDEX(LdgWitB,$M1607)),""))</f>
        <v/>
      </c>
      <c r="H1607" s="21">
        <f>IF($L1607&lt;&gt;"",IF(INDEX(SCOp,$L1607)="مرجوعی فروش",IF(INDEX(SCAmount,$L1607)=0,"",-INDEX(SCAmount,$L1607)),""),IF($M1607&lt;&gt;"",IF(INDEX(LdgDepB,$M1607)=0,"",INDEX(LdgDepB,$M1607)),""))</f>
        <v/>
      </c>
      <c r="I1607" s="22">
        <f>IF($B1607="","",IF($I1606="",$C$10,$I1606)+IF($G1607="",0,$G1607)-IF($H1607="",0,$H1607))</f>
        <v/>
      </c>
      <c r="L1607">
        <f>IFERROR(MATCH($C$5&amp;"|"&amp;RIGHT("000000"&amp;1591,6),LdgRankKeyA,0),"")</f>
        <v/>
      </c>
      <c r="M1607">
        <f>IFERROR(MATCH($C$5&amp;"|"&amp;RIGHT("000000"&amp;1591,6),LdgRankKeyB,0),"")</f>
        <v/>
      </c>
    </row>
    <row r="1608">
      <c r="A1608" s="23" t="n">
        <v>1592</v>
      </c>
      <c r="B1608" s="24">
        <f>IF(AND($L1608="",$M1608=""),"",IF($L1608&lt;&gt;"",INDEX(SCNormDate,$L1608),INDEX(LdgDateB,$M1608)))</f>
        <v/>
      </c>
      <c r="C1608" s="24">
        <f>IF($L1608&lt;&gt;"",INDEX(SCOp,$L1608),IF($M1608&lt;&gt;"","پرداخت بانکی",""))</f>
        <v/>
      </c>
      <c r="D1608" s="24">
        <f>IF($L1608&lt;&gt;"",IF(INDEX(SCDoc,$L1608)="","—",INDEX(SCDoc,$L1608)),IF($M1608&lt;&gt;"",INDEX(LdgBankB,$M1608),""))</f>
        <v/>
      </c>
      <c r="E1608" s="25">
        <f>IF($L1608&lt;&gt;"",IF(INDEX(SCCitrus,$L1608)&amp;INDEX(SCNotes,$L1608)="","",IF(INDEX(SCCitrus,$L1608)="","",INDEX(SCCitrus,$L1608))&amp;IF(INDEX(SCNotes,$L1608)="",""," — "&amp;INDEX(SCNotes,$L1608))),IF($M1608&lt;&gt;"",IF(INDEX(LdgNoteB,$M1608)="","—",INDEX(LdgNoteB,$M1608)),""))</f>
        <v/>
      </c>
      <c r="F1608" s="26">
        <f>IF($L1608&lt;&gt;"",IF(INDEX(SCNet,$L1608)=0,"",INDEX(SCNet,$L1608)),"")</f>
        <v/>
      </c>
      <c r="G1608" s="27">
        <f>IF($L1608&lt;&gt;"",IF(INDEX(SCOp,$L1608)="مرجوعی فروش","",IF(INDEX(SCAmount,$L1608)&lt;=0,"",INDEX(SCAmount,$L1608))),IF($M1608&lt;&gt;"",IF(INDEX(LdgWitB,$M1608)=0,"",INDEX(LdgWitB,$M1608)),""))</f>
        <v/>
      </c>
      <c r="H1608" s="27">
        <f>IF($L1608&lt;&gt;"",IF(INDEX(SCOp,$L1608)="مرجوعی فروش",IF(INDEX(SCAmount,$L1608)=0,"",-INDEX(SCAmount,$L1608)),""),IF($M1608&lt;&gt;"",IF(INDEX(LdgDepB,$M1608)=0,"",INDEX(LdgDepB,$M1608)),""))</f>
        <v/>
      </c>
      <c r="I1608" s="28">
        <f>IF($B1608="","",IF($I1607="",$C$10,$I1607)+IF($G1608="",0,$G1608)-IF($H1608="",0,$H1608))</f>
        <v/>
      </c>
      <c r="L1608">
        <f>IFERROR(MATCH($C$5&amp;"|"&amp;RIGHT("000000"&amp;1592,6),LdgRankKeyA,0),"")</f>
        <v/>
      </c>
      <c r="M1608">
        <f>IFERROR(MATCH($C$5&amp;"|"&amp;RIGHT("000000"&amp;1592,6),LdgRankKeyB,0),"")</f>
        <v/>
      </c>
    </row>
    <row r="1609">
      <c r="A1609" s="17" t="n">
        <v>1593</v>
      </c>
      <c r="B1609" s="18">
        <f>IF(AND($L1609="",$M1609=""),"",IF($L1609&lt;&gt;"",INDEX(SCNormDate,$L1609),INDEX(LdgDateB,$M1609)))</f>
        <v/>
      </c>
      <c r="C1609" s="18">
        <f>IF($L1609&lt;&gt;"",INDEX(SCOp,$L1609),IF($M1609&lt;&gt;"","پرداخت بانکی",""))</f>
        <v/>
      </c>
      <c r="D1609" s="18">
        <f>IF($L1609&lt;&gt;"",IF(INDEX(SCDoc,$L1609)="","—",INDEX(SCDoc,$L1609)),IF($M1609&lt;&gt;"",INDEX(LdgBankB,$M1609),""))</f>
        <v/>
      </c>
      <c r="E1609" s="19">
        <f>IF($L1609&lt;&gt;"",IF(INDEX(SCCitrus,$L1609)&amp;INDEX(SCNotes,$L1609)="","",IF(INDEX(SCCitrus,$L1609)="","",INDEX(SCCitrus,$L1609))&amp;IF(INDEX(SCNotes,$L1609)="",""," — "&amp;INDEX(SCNotes,$L1609))),IF($M1609&lt;&gt;"",IF(INDEX(LdgNoteB,$M1609)="","—",INDEX(LdgNoteB,$M1609)),""))</f>
        <v/>
      </c>
      <c r="F1609" s="20">
        <f>IF($L1609&lt;&gt;"",IF(INDEX(SCNet,$L1609)=0,"",INDEX(SCNet,$L1609)),"")</f>
        <v/>
      </c>
      <c r="G1609" s="21">
        <f>IF($L1609&lt;&gt;"",IF(INDEX(SCOp,$L1609)="مرجوعی فروش","",IF(INDEX(SCAmount,$L1609)&lt;=0,"",INDEX(SCAmount,$L1609))),IF($M1609&lt;&gt;"",IF(INDEX(LdgWitB,$M1609)=0,"",INDEX(LdgWitB,$M1609)),""))</f>
        <v/>
      </c>
      <c r="H1609" s="21">
        <f>IF($L1609&lt;&gt;"",IF(INDEX(SCOp,$L1609)="مرجوعی فروش",IF(INDEX(SCAmount,$L1609)=0,"",-INDEX(SCAmount,$L1609)),""),IF($M1609&lt;&gt;"",IF(INDEX(LdgDepB,$M1609)=0,"",INDEX(LdgDepB,$M1609)),""))</f>
        <v/>
      </c>
      <c r="I1609" s="22">
        <f>IF($B1609="","",IF($I1608="",$C$10,$I1608)+IF($G1609="",0,$G1609)-IF($H1609="",0,$H1609))</f>
        <v/>
      </c>
      <c r="L1609">
        <f>IFERROR(MATCH($C$5&amp;"|"&amp;RIGHT("000000"&amp;1593,6),LdgRankKeyA,0),"")</f>
        <v/>
      </c>
      <c r="M1609">
        <f>IFERROR(MATCH($C$5&amp;"|"&amp;RIGHT("000000"&amp;1593,6),LdgRankKeyB,0),"")</f>
        <v/>
      </c>
    </row>
    <row r="1610">
      <c r="A1610" s="23" t="n">
        <v>1594</v>
      </c>
      <c r="B1610" s="24">
        <f>IF(AND($L1610="",$M1610=""),"",IF($L1610&lt;&gt;"",INDEX(SCNormDate,$L1610),INDEX(LdgDateB,$M1610)))</f>
        <v/>
      </c>
      <c r="C1610" s="24">
        <f>IF($L1610&lt;&gt;"",INDEX(SCOp,$L1610),IF($M1610&lt;&gt;"","پرداخت بانکی",""))</f>
        <v/>
      </c>
      <c r="D1610" s="24">
        <f>IF($L1610&lt;&gt;"",IF(INDEX(SCDoc,$L1610)="","—",INDEX(SCDoc,$L1610)),IF($M1610&lt;&gt;"",INDEX(LdgBankB,$M1610),""))</f>
        <v/>
      </c>
      <c r="E1610" s="25">
        <f>IF($L1610&lt;&gt;"",IF(INDEX(SCCitrus,$L1610)&amp;INDEX(SCNotes,$L1610)="","",IF(INDEX(SCCitrus,$L1610)="","",INDEX(SCCitrus,$L1610))&amp;IF(INDEX(SCNotes,$L1610)="",""," — "&amp;INDEX(SCNotes,$L1610))),IF($M1610&lt;&gt;"",IF(INDEX(LdgNoteB,$M1610)="","—",INDEX(LdgNoteB,$M1610)),""))</f>
        <v/>
      </c>
      <c r="F1610" s="26">
        <f>IF($L1610&lt;&gt;"",IF(INDEX(SCNet,$L1610)=0,"",INDEX(SCNet,$L1610)),"")</f>
        <v/>
      </c>
      <c r="G1610" s="27">
        <f>IF($L1610&lt;&gt;"",IF(INDEX(SCOp,$L1610)="مرجوعی فروش","",IF(INDEX(SCAmount,$L1610)&lt;=0,"",INDEX(SCAmount,$L1610))),IF($M1610&lt;&gt;"",IF(INDEX(LdgWitB,$M1610)=0,"",INDEX(LdgWitB,$M1610)),""))</f>
        <v/>
      </c>
      <c r="H1610" s="27">
        <f>IF($L1610&lt;&gt;"",IF(INDEX(SCOp,$L1610)="مرجوعی فروش",IF(INDEX(SCAmount,$L1610)=0,"",-INDEX(SCAmount,$L1610)),""),IF($M1610&lt;&gt;"",IF(INDEX(LdgDepB,$M1610)=0,"",INDEX(LdgDepB,$M1610)),""))</f>
        <v/>
      </c>
      <c r="I1610" s="28">
        <f>IF($B1610="","",IF($I1609="",$C$10,$I1609)+IF($G1610="",0,$G1610)-IF($H1610="",0,$H1610))</f>
        <v/>
      </c>
      <c r="L1610">
        <f>IFERROR(MATCH($C$5&amp;"|"&amp;RIGHT("000000"&amp;1594,6),LdgRankKeyA,0),"")</f>
        <v/>
      </c>
      <c r="M1610">
        <f>IFERROR(MATCH($C$5&amp;"|"&amp;RIGHT("000000"&amp;1594,6),LdgRankKeyB,0),"")</f>
        <v/>
      </c>
    </row>
    <row r="1611">
      <c r="A1611" s="17" t="n">
        <v>1595</v>
      </c>
      <c r="B1611" s="18">
        <f>IF(AND($L1611="",$M1611=""),"",IF($L1611&lt;&gt;"",INDEX(SCNormDate,$L1611),INDEX(LdgDateB,$M1611)))</f>
        <v/>
      </c>
      <c r="C1611" s="18">
        <f>IF($L1611&lt;&gt;"",INDEX(SCOp,$L1611),IF($M1611&lt;&gt;"","پرداخت بانکی",""))</f>
        <v/>
      </c>
      <c r="D1611" s="18">
        <f>IF($L1611&lt;&gt;"",IF(INDEX(SCDoc,$L1611)="","—",INDEX(SCDoc,$L1611)),IF($M1611&lt;&gt;"",INDEX(LdgBankB,$M1611),""))</f>
        <v/>
      </c>
      <c r="E1611" s="19">
        <f>IF($L1611&lt;&gt;"",IF(INDEX(SCCitrus,$L1611)&amp;INDEX(SCNotes,$L1611)="","",IF(INDEX(SCCitrus,$L1611)="","",INDEX(SCCitrus,$L1611))&amp;IF(INDEX(SCNotes,$L1611)="",""," — "&amp;INDEX(SCNotes,$L1611))),IF($M1611&lt;&gt;"",IF(INDEX(LdgNoteB,$M1611)="","—",INDEX(LdgNoteB,$M1611)),""))</f>
        <v/>
      </c>
      <c r="F1611" s="20">
        <f>IF($L1611&lt;&gt;"",IF(INDEX(SCNet,$L1611)=0,"",INDEX(SCNet,$L1611)),"")</f>
        <v/>
      </c>
      <c r="G1611" s="21">
        <f>IF($L1611&lt;&gt;"",IF(INDEX(SCOp,$L1611)="مرجوعی فروش","",IF(INDEX(SCAmount,$L1611)&lt;=0,"",INDEX(SCAmount,$L1611))),IF($M1611&lt;&gt;"",IF(INDEX(LdgWitB,$M1611)=0,"",INDEX(LdgWitB,$M1611)),""))</f>
        <v/>
      </c>
      <c r="H1611" s="21">
        <f>IF($L1611&lt;&gt;"",IF(INDEX(SCOp,$L1611)="مرجوعی فروش",IF(INDEX(SCAmount,$L1611)=0,"",-INDEX(SCAmount,$L1611)),""),IF($M1611&lt;&gt;"",IF(INDEX(LdgDepB,$M1611)=0,"",INDEX(LdgDepB,$M1611)),""))</f>
        <v/>
      </c>
      <c r="I1611" s="22">
        <f>IF($B1611="","",IF($I1610="",$C$10,$I1610)+IF($G1611="",0,$G1611)-IF($H1611="",0,$H1611))</f>
        <v/>
      </c>
      <c r="L1611">
        <f>IFERROR(MATCH($C$5&amp;"|"&amp;RIGHT("000000"&amp;1595,6),LdgRankKeyA,0),"")</f>
        <v/>
      </c>
      <c r="M1611">
        <f>IFERROR(MATCH($C$5&amp;"|"&amp;RIGHT("000000"&amp;1595,6),LdgRankKeyB,0),"")</f>
        <v/>
      </c>
    </row>
    <row r="1612">
      <c r="A1612" s="23" t="n">
        <v>1596</v>
      </c>
      <c r="B1612" s="24">
        <f>IF(AND($L1612="",$M1612=""),"",IF($L1612&lt;&gt;"",INDEX(SCNormDate,$L1612),INDEX(LdgDateB,$M1612)))</f>
        <v/>
      </c>
      <c r="C1612" s="24">
        <f>IF($L1612&lt;&gt;"",INDEX(SCOp,$L1612),IF($M1612&lt;&gt;"","پرداخت بانکی",""))</f>
        <v/>
      </c>
      <c r="D1612" s="24">
        <f>IF($L1612&lt;&gt;"",IF(INDEX(SCDoc,$L1612)="","—",INDEX(SCDoc,$L1612)),IF($M1612&lt;&gt;"",INDEX(LdgBankB,$M1612),""))</f>
        <v/>
      </c>
      <c r="E1612" s="25">
        <f>IF($L1612&lt;&gt;"",IF(INDEX(SCCitrus,$L1612)&amp;INDEX(SCNotes,$L1612)="","",IF(INDEX(SCCitrus,$L1612)="","",INDEX(SCCitrus,$L1612))&amp;IF(INDEX(SCNotes,$L1612)="",""," — "&amp;INDEX(SCNotes,$L1612))),IF($M1612&lt;&gt;"",IF(INDEX(LdgNoteB,$M1612)="","—",INDEX(LdgNoteB,$M1612)),""))</f>
        <v/>
      </c>
      <c r="F1612" s="26">
        <f>IF($L1612&lt;&gt;"",IF(INDEX(SCNet,$L1612)=0,"",INDEX(SCNet,$L1612)),"")</f>
        <v/>
      </c>
      <c r="G1612" s="27">
        <f>IF($L1612&lt;&gt;"",IF(INDEX(SCOp,$L1612)="مرجوعی فروش","",IF(INDEX(SCAmount,$L1612)&lt;=0,"",INDEX(SCAmount,$L1612))),IF($M1612&lt;&gt;"",IF(INDEX(LdgWitB,$M1612)=0,"",INDEX(LdgWitB,$M1612)),""))</f>
        <v/>
      </c>
      <c r="H1612" s="27">
        <f>IF($L1612&lt;&gt;"",IF(INDEX(SCOp,$L1612)="مرجوعی فروش",IF(INDEX(SCAmount,$L1612)=0,"",-INDEX(SCAmount,$L1612)),""),IF($M1612&lt;&gt;"",IF(INDEX(LdgDepB,$M1612)=0,"",INDEX(LdgDepB,$M1612)),""))</f>
        <v/>
      </c>
      <c r="I1612" s="28">
        <f>IF($B1612="","",IF($I1611="",$C$10,$I1611)+IF($G1612="",0,$G1612)-IF($H1612="",0,$H1612))</f>
        <v/>
      </c>
      <c r="L1612">
        <f>IFERROR(MATCH($C$5&amp;"|"&amp;RIGHT("000000"&amp;1596,6),LdgRankKeyA,0),"")</f>
        <v/>
      </c>
      <c r="M1612">
        <f>IFERROR(MATCH($C$5&amp;"|"&amp;RIGHT("000000"&amp;1596,6),LdgRankKeyB,0),"")</f>
        <v/>
      </c>
    </row>
    <row r="1613">
      <c r="A1613" s="17" t="n">
        <v>1597</v>
      </c>
      <c r="B1613" s="18">
        <f>IF(AND($L1613="",$M1613=""),"",IF($L1613&lt;&gt;"",INDEX(SCNormDate,$L1613),INDEX(LdgDateB,$M1613)))</f>
        <v/>
      </c>
      <c r="C1613" s="18">
        <f>IF($L1613&lt;&gt;"",INDEX(SCOp,$L1613),IF($M1613&lt;&gt;"","پرداخت بانکی",""))</f>
        <v/>
      </c>
      <c r="D1613" s="18">
        <f>IF($L1613&lt;&gt;"",IF(INDEX(SCDoc,$L1613)="","—",INDEX(SCDoc,$L1613)),IF($M1613&lt;&gt;"",INDEX(LdgBankB,$M1613),""))</f>
        <v/>
      </c>
      <c r="E1613" s="19">
        <f>IF($L1613&lt;&gt;"",IF(INDEX(SCCitrus,$L1613)&amp;INDEX(SCNotes,$L1613)="","",IF(INDEX(SCCitrus,$L1613)="","",INDEX(SCCitrus,$L1613))&amp;IF(INDEX(SCNotes,$L1613)="",""," — "&amp;INDEX(SCNotes,$L1613))),IF($M1613&lt;&gt;"",IF(INDEX(LdgNoteB,$M1613)="","—",INDEX(LdgNoteB,$M1613)),""))</f>
        <v/>
      </c>
      <c r="F1613" s="20">
        <f>IF($L1613&lt;&gt;"",IF(INDEX(SCNet,$L1613)=0,"",INDEX(SCNet,$L1613)),"")</f>
        <v/>
      </c>
      <c r="G1613" s="21">
        <f>IF($L1613&lt;&gt;"",IF(INDEX(SCOp,$L1613)="مرجوعی فروش","",IF(INDEX(SCAmount,$L1613)&lt;=0,"",INDEX(SCAmount,$L1613))),IF($M1613&lt;&gt;"",IF(INDEX(LdgWitB,$M1613)=0,"",INDEX(LdgWitB,$M1613)),""))</f>
        <v/>
      </c>
      <c r="H1613" s="21">
        <f>IF($L1613&lt;&gt;"",IF(INDEX(SCOp,$L1613)="مرجوعی فروش",IF(INDEX(SCAmount,$L1613)=0,"",-INDEX(SCAmount,$L1613)),""),IF($M1613&lt;&gt;"",IF(INDEX(LdgDepB,$M1613)=0,"",INDEX(LdgDepB,$M1613)),""))</f>
        <v/>
      </c>
      <c r="I1613" s="22">
        <f>IF($B1613="","",IF($I1612="",$C$10,$I1612)+IF($G1613="",0,$G1613)-IF($H1613="",0,$H1613))</f>
        <v/>
      </c>
      <c r="L1613">
        <f>IFERROR(MATCH($C$5&amp;"|"&amp;RIGHT("000000"&amp;1597,6),LdgRankKeyA,0),"")</f>
        <v/>
      </c>
      <c r="M1613">
        <f>IFERROR(MATCH($C$5&amp;"|"&amp;RIGHT("000000"&amp;1597,6),LdgRankKeyB,0),"")</f>
        <v/>
      </c>
    </row>
    <row r="1614">
      <c r="A1614" s="23" t="n">
        <v>1598</v>
      </c>
      <c r="B1614" s="24">
        <f>IF(AND($L1614="",$M1614=""),"",IF($L1614&lt;&gt;"",INDEX(SCNormDate,$L1614),INDEX(LdgDateB,$M1614)))</f>
        <v/>
      </c>
      <c r="C1614" s="24">
        <f>IF($L1614&lt;&gt;"",INDEX(SCOp,$L1614),IF($M1614&lt;&gt;"","پرداخت بانکی",""))</f>
        <v/>
      </c>
      <c r="D1614" s="24">
        <f>IF($L1614&lt;&gt;"",IF(INDEX(SCDoc,$L1614)="","—",INDEX(SCDoc,$L1614)),IF($M1614&lt;&gt;"",INDEX(LdgBankB,$M1614),""))</f>
        <v/>
      </c>
      <c r="E1614" s="25">
        <f>IF($L1614&lt;&gt;"",IF(INDEX(SCCitrus,$L1614)&amp;INDEX(SCNotes,$L1614)="","",IF(INDEX(SCCitrus,$L1614)="","",INDEX(SCCitrus,$L1614))&amp;IF(INDEX(SCNotes,$L1614)="",""," — "&amp;INDEX(SCNotes,$L1614))),IF($M1614&lt;&gt;"",IF(INDEX(LdgNoteB,$M1614)="","—",INDEX(LdgNoteB,$M1614)),""))</f>
        <v/>
      </c>
      <c r="F1614" s="26">
        <f>IF($L1614&lt;&gt;"",IF(INDEX(SCNet,$L1614)=0,"",INDEX(SCNet,$L1614)),"")</f>
        <v/>
      </c>
      <c r="G1614" s="27">
        <f>IF($L1614&lt;&gt;"",IF(INDEX(SCOp,$L1614)="مرجوعی فروش","",IF(INDEX(SCAmount,$L1614)&lt;=0,"",INDEX(SCAmount,$L1614))),IF($M1614&lt;&gt;"",IF(INDEX(LdgWitB,$M1614)=0,"",INDEX(LdgWitB,$M1614)),""))</f>
        <v/>
      </c>
      <c r="H1614" s="27">
        <f>IF($L1614&lt;&gt;"",IF(INDEX(SCOp,$L1614)="مرجوعی فروش",IF(INDEX(SCAmount,$L1614)=0,"",-INDEX(SCAmount,$L1614)),""),IF($M1614&lt;&gt;"",IF(INDEX(LdgDepB,$M1614)=0,"",INDEX(LdgDepB,$M1614)),""))</f>
        <v/>
      </c>
      <c r="I1614" s="28">
        <f>IF($B1614="","",IF($I1613="",$C$10,$I1613)+IF($G1614="",0,$G1614)-IF($H1614="",0,$H1614))</f>
        <v/>
      </c>
      <c r="L1614">
        <f>IFERROR(MATCH($C$5&amp;"|"&amp;RIGHT("000000"&amp;1598,6),LdgRankKeyA,0),"")</f>
        <v/>
      </c>
      <c r="M1614">
        <f>IFERROR(MATCH($C$5&amp;"|"&amp;RIGHT("000000"&amp;1598,6),LdgRankKeyB,0),"")</f>
        <v/>
      </c>
    </row>
    <row r="1615">
      <c r="A1615" s="17" t="n">
        <v>1599</v>
      </c>
      <c r="B1615" s="18">
        <f>IF(AND($L1615="",$M1615=""),"",IF($L1615&lt;&gt;"",INDEX(SCNormDate,$L1615),INDEX(LdgDateB,$M1615)))</f>
        <v/>
      </c>
      <c r="C1615" s="18">
        <f>IF($L1615&lt;&gt;"",INDEX(SCOp,$L1615),IF($M1615&lt;&gt;"","پرداخت بانکی",""))</f>
        <v/>
      </c>
      <c r="D1615" s="18">
        <f>IF($L1615&lt;&gt;"",IF(INDEX(SCDoc,$L1615)="","—",INDEX(SCDoc,$L1615)),IF($M1615&lt;&gt;"",INDEX(LdgBankB,$M1615),""))</f>
        <v/>
      </c>
      <c r="E1615" s="19">
        <f>IF($L1615&lt;&gt;"",IF(INDEX(SCCitrus,$L1615)&amp;INDEX(SCNotes,$L1615)="","",IF(INDEX(SCCitrus,$L1615)="","",INDEX(SCCitrus,$L1615))&amp;IF(INDEX(SCNotes,$L1615)="",""," — "&amp;INDEX(SCNotes,$L1615))),IF($M1615&lt;&gt;"",IF(INDEX(LdgNoteB,$M1615)="","—",INDEX(LdgNoteB,$M1615)),""))</f>
        <v/>
      </c>
      <c r="F1615" s="20">
        <f>IF($L1615&lt;&gt;"",IF(INDEX(SCNet,$L1615)=0,"",INDEX(SCNet,$L1615)),"")</f>
        <v/>
      </c>
      <c r="G1615" s="21">
        <f>IF($L1615&lt;&gt;"",IF(INDEX(SCOp,$L1615)="مرجوعی فروش","",IF(INDEX(SCAmount,$L1615)&lt;=0,"",INDEX(SCAmount,$L1615))),IF($M1615&lt;&gt;"",IF(INDEX(LdgWitB,$M1615)=0,"",INDEX(LdgWitB,$M1615)),""))</f>
        <v/>
      </c>
      <c r="H1615" s="21">
        <f>IF($L1615&lt;&gt;"",IF(INDEX(SCOp,$L1615)="مرجوعی فروش",IF(INDEX(SCAmount,$L1615)=0,"",-INDEX(SCAmount,$L1615)),""),IF($M1615&lt;&gt;"",IF(INDEX(LdgDepB,$M1615)=0,"",INDEX(LdgDepB,$M1615)),""))</f>
        <v/>
      </c>
      <c r="I1615" s="22">
        <f>IF($B1615="","",IF($I1614="",$C$10,$I1614)+IF($G1615="",0,$G1615)-IF($H1615="",0,$H1615))</f>
        <v/>
      </c>
      <c r="L1615">
        <f>IFERROR(MATCH($C$5&amp;"|"&amp;RIGHT("000000"&amp;1599,6),LdgRankKeyA,0),"")</f>
        <v/>
      </c>
      <c r="M1615">
        <f>IFERROR(MATCH($C$5&amp;"|"&amp;RIGHT("000000"&amp;1599,6),LdgRankKeyB,0),"")</f>
        <v/>
      </c>
    </row>
    <row r="1616">
      <c r="A1616" s="23" t="n">
        <v>1600</v>
      </c>
      <c r="B1616" s="24">
        <f>IF(AND($L1616="",$M1616=""),"",IF($L1616&lt;&gt;"",INDEX(SCNormDate,$L1616),INDEX(LdgDateB,$M1616)))</f>
        <v/>
      </c>
      <c r="C1616" s="24">
        <f>IF($L1616&lt;&gt;"",INDEX(SCOp,$L1616),IF($M1616&lt;&gt;"","پرداخت بانکی",""))</f>
        <v/>
      </c>
      <c r="D1616" s="24">
        <f>IF($L1616&lt;&gt;"",IF(INDEX(SCDoc,$L1616)="","—",INDEX(SCDoc,$L1616)),IF($M1616&lt;&gt;"",INDEX(LdgBankB,$M1616),""))</f>
        <v/>
      </c>
      <c r="E1616" s="25">
        <f>IF($L1616&lt;&gt;"",IF(INDEX(SCCitrus,$L1616)&amp;INDEX(SCNotes,$L1616)="","",IF(INDEX(SCCitrus,$L1616)="","",INDEX(SCCitrus,$L1616))&amp;IF(INDEX(SCNotes,$L1616)="",""," — "&amp;INDEX(SCNotes,$L1616))),IF($M1616&lt;&gt;"",IF(INDEX(LdgNoteB,$M1616)="","—",INDEX(LdgNoteB,$M1616)),""))</f>
        <v/>
      </c>
      <c r="F1616" s="26">
        <f>IF($L1616&lt;&gt;"",IF(INDEX(SCNet,$L1616)=0,"",INDEX(SCNet,$L1616)),"")</f>
        <v/>
      </c>
      <c r="G1616" s="27">
        <f>IF($L1616&lt;&gt;"",IF(INDEX(SCOp,$L1616)="مرجوعی فروش","",IF(INDEX(SCAmount,$L1616)&lt;=0,"",INDEX(SCAmount,$L1616))),IF($M1616&lt;&gt;"",IF(INDEX(LdgWitB,$M1616)=0,"",INDEX(LdgWitB,$M1616)),""))</f>
        <v/>
      </c>
      <c r="H1616" s="27">
        <f>IF($L1616&lt;&gt;"",IF(INDEX(SCOp,$L1616)="مرجوعی فروش",IF(INDEX(SCAmount,$L1616)=0,"",-INDEX(SCAmount,$L1616)),""),IF($M1616&lt;&gt;"",IF(INDEX(LdgDepB,$M1616)=0,"",INDEX(LdgDepB,$M1616)),""))</f>
        <v/>
      </c>
      <c r="I1616" s="28">
        <f>IF($B1616="","",IF($I1615="",$C$10,$I1615)+IF($G1616="",0,$G1616)-IF($H1616="",0,$H1616))</f>
        <v/>
      </c>
      <c r="L1616">
        <f>IFERROR(MATCH($C$5&amp;"|"&amp;RIGHT("000000"&amp;1600,6),LdgRankKeyA,0),"")</f>
        <v/>
      </c>
      <c r="M1616">
        <f>IFERROR(MATCH($C$5&amp;"|"&amp;RIGHT("000000"&amp;1600,6),LdgRankKeyB,0),"")</f>
        <v/>
      </c>
    </row>
    <row r="1617">
      <c r="A1617" s="17" t="n">
        <v>1601</v>
      </c>
      <c r="B1617" s="18">
        <f>IF(AND($L1617="",$M1617=""),"",IF($L1617&lt;&gt;"",INDEX(SCNormDate,$L1617),INDEX(LdgDateB,$M1617)))</f>
        <v/>
      </c>
      <c r="C1617" s="18">
        <f>IF($L1617&lt;&gt;"",INDEX(SCOp,$L1617),IF($M1617&lt;&gt;"","پرداخت بانکی",""))</f>
        <v/>
      </c>
      <c r="D1617" s="18">
        <f>IF($L1617&lt;&gt;"",IF(INDEX(SCDoc,$L1617)="","—",INDEX(SCDoc,$L1617)),IF($M1617&lt;&gt;"",INDEX(LdgBankB,$M1617),""))</f>
        <v/>
      </c>
      <c r="E1617" s="19">
        <f>IF($L1617&lt;&gt;"",IF(INDEX(SCCitrus,$L1617)&amp;INDEX(SCNotes,$L1617)="","",IF(INDEX(SCCitrus,$L1617)="","",INDEX(SCCitrus,$L1617))&amp;IF(INDEX(SCNotes,$L1617)="",""," — "&amp;INDEX(SCNotes,$L1617))),IF($M1617&lt;&gt;"",IF(INDEX(LdgNoteB,$M1617)="","—",INDEX(LdgNoteB,$M1617)),""))</f>
        <v/>
      </c>
      <c r="F1617" s="20">
        <f>IF($L1617&lt;&gt;"",IF(INDEX(SCNet,$L1617)=0,"",INDEX(SCNet,$L1617)),"")</f>
        <v/>
      </c>
      <c r="G1617" s="21">
        <f>IF($L1617&lt;&gt;"",IF(INDEX(SCOp,$L1617)="مرجوعی فروش","",IF(INDEX(SCAmount,$L1617)&lt;=0,"",INDEX(SCAmount,$L1617))),IF($M1617&lt;&gt;"",IF(INDEX(LdgWitB,$M1617)=0,"",INDEX(LdgWitB,$M1617)),""))</f>
        <v/>
      </c>
      <c r="H1617" s="21">
        <f>IF($L1617&lt;&gt;"",IF(INDEX(SCOp,$L1617)="مرجوعی فروش",IF(INDEX(SCAmount,$L1617)=0,"",-INDEX(SCAmount,$L1617)),""),IF($M1617&lt;&gt;"",IF(INDEX(LdgDepB,$M1617)=0,"",INDEX(LdgDepB,$M1617)),""))</f>
        <v/>
      </c>
      <c r="I1617" s="22">
        <f>IF($B1617="","",IF($I1616="",$C$10,$I1616)+IF($G1617="",0,$G1617)-IF($H1617="",0,$H1617))</f>
        <v/>
      </c>
      <c r="L1617">
        <f>IFERROR(MATCH($C$5&amp;"|"&amp;RIGHT("000000"&amp;1601,6),LdgRankKeyA,0),"")</f>
        <v/>
      </c>
      <c r="M1617">
        <f>IFERROR(MATCH($C$5&amp;"|"&amp;RIGHT("000000"&amp;1601,6),LdgRankKeyB,0),"")</f>
        <v/>
      </c>
    </row>
    <row r="1618">
      <c r="A1618" s="23" t="n">
        <v>1602</v>
      </c>
      <c r="B1618" s="24">
        <f>IF(AND($L1618="",$M1618=""),"",IF($L1618&lt;&gt;"",INDEX(SCNormDate,$L1618),INDEX(LdgDateB,$M1618)))</f>
        <v/>
      </c>
      <c r="C1618" s="24">
        <f>IF($L1618&lt;&gt;"",INDEX(SCOp,$L1618),IF($M1618&lt;&gt;"","پرداخت بانکی",""))</f>
        <v/>
      </c>
      <c r="D1618" s="24">
        <f>IF($L1618&lt;&gt;"",IF(INDEX(SCDoc,$L1618)="","—",INDEX(SCDoc,$L1618)),IF($M1618&lt;&gt;"",INDEX(LdgBankB,$M1618),""))</f>
        <v/>
      </c>
      <c r="E1618" s="25">
        <f>IF($L1618&lt;&gt;"",IF(INDEX(SCCitrus,$L1618)&amp;INDEX(SCNotes,$L1618)="","",IF(INDEX(SCCitrus,$L1618)="","",INDEX(SCCitrus,$L1618))&amp;IF(INDEX(SCNotes,$L1618)="",""," — "&amp;INDEX(SCNotes,$L1618))),IF($M1618&lt;&gt;"",IF(INDEX(LdgNoteB,$M1618)="","—",INDEX(LdgNoteB,$M1618)),""))</f>
        <v/>
      </c>
      <c r="F1618" s="26">
        <f>IF($L1618&lt;&gt;"",IF(INDEX(SCNet,$L1618)=0,"",INDEX(SCNet,$L1618)),"")</f>
        <v/>
      </c>
      <c r="G1618" s="27">
        <f>IF($L1618&lt;&gt;"",IF(INDEX(SCOp,$L1618)="مرجوعی فروش","",IF(INDEX(SCAmount,$L1618)&lt;=0,"",INDEX(SCAmount,$L1618))),IF($M1618&lt;&gt;"",IF(INDEX(LdgWitB,$M1618)=0,"",INDEX(LdgWitB,$M1618)),""))</f>
        <v/>
      </c>
      <c r="H1618" s="27">
        <f>IF($L1618&lt;&gt;"",IF(INDEX(SCOp,$L1618)="مرجوعی فروش",IF(INDEX(SCAmount,$L1618)=0,"",-INDEX(SCAmount,$L1618)),""),IF($M1618&lt;&gt;"",IF(INDEX(LdgDepB,$M1618)=0,"",INDEX(LdgDepB,$M1618)),""))</f>
        <v/>
      </c>
      <c r="I1618" s="28">
        <f>IF($B1618="","",IF($I1617="",$C$10,$I1617)+IF($G1618="",0,$G1618)-IF($H1618="",0,$H1618))</f>
        <v/>
      </c>
      <c r="L1618">
        <f>IFERROR(MATCH($C$5&amp;"|"&amp;RIGHT("000000"&amp;1602,6),LdgRankKeyA,0),"")</f>
        <v/>
      </c>
      <c r="M1618">
        <f>IFERROR(MATCH($C$5&amp;"|"&amp;RIGHT("000000"&amp;1602,6),LdgRankKeyB,0),"")</f>
        <v/>
      </c>
    </row>
    <row r="1619">
      <c r="A1619" s="17" t="n">
        <v>1603</v>
      </c>
      <c r="B1619" s="18">
        <f>IF(AND($L1619="",$M1619=""),"",IF($L1619&lt;&gt;"",INDEX(SCNormDate,$L1619),INDEX(LdgDateB,$M1619)))</f>
        <v/>
      </c>
      <c r="C1619" s="18">
        <f>IF($L1619&lt;&gt;"",INDEX(SCOp,$L1619),IF($M1619&lt;&gt;"","پرداخت بانکی",""))</f>
        <v/>
      </c>
      <c r="D1619" s="18">
        <f>IF($L1619&lt;&gt;"",IF(INDEX(SCDoc,$L1619)="","—",INDEX(SCDoc,$L1619)),IF($M1619&lt;&gt;"",INDEX(LdgBankB,$M1619),""))</f>
        <v/>
      </c>
      <c r="E1619" s="19">
        <f>IF($L1619&lt;&gt;"",IF(INDEX(SCCitrus,$L1619)&amp;INDEX(SCNotes,$L1619)="","",IF(INDEX(SCCitrus,$L1619)="","",INDEX(SCCitrus,$L1619))&amp;IF(INDEX(SCNotes,$L1619)="",""," — "&amp;INDEX(SCNotes,$L1619))),IF($M1619&lt;&gt;"",IF(INDEX(LdgNoteB,$M1619)="","—",INDEX(LdgNoteB,$M1619)),""))</f>
        <v/>
      </c>
      <c r="F1619" s="20">
        <f>IF($L1619&lt;&gt;"",IF(INDEX(SCNet,$L1619)=0,"",INDEX(SCNet,$L1619)),"")</f>
        <v/>
      </c>
      <c r="G1619" s="21">
        <f>IF($L1619&lt;&gt;"",IF(INDEX(SCOp,$L1619)="مرجوعی فروش","",IF(INDEX(SCAmount,$L1619)&lt;=0,"",INDEX(SCAmount,$L1619))),IF($M1619&lt;&gt;"",IF(INDEX(LdgWitB,$M1619)=0,"",INDEX(LdgWitB,$M1619)),""))</f>
        <v/>
      </c>
      <c r="H1619" s="21">
        <f>IF($L1619&lt;&gt;"",IF(INDEX(SCOp,$L1619)="مرجوعی فروش",IF(INDEX(SCAmount,$L1619)=0,"",-INDEX(SCAmount,$L1619)),""),IF($M1619&lt;&gt;"",IF(INDEX(LdgDepB,$M1619)=0,"",INDEX(LdgDepB,$M1619)),""))</f>
        <v/>
      </c>
      <c r="I1619" s="22">
        <f>IF($B1619="","",IF($I1618="",$C$10,$I1618)+IF($G1619="",0,$G1619)-IF($H1619="",0,$H1619))</f>
        <v/>
      </c>
      <c r="L1619">
        <f>IFERROR(MATCH($C$5&amp;"|"&amp;RIGHT("000000"&amp;1603,6),LdgRankKeyA,0),"")</f>
        <v/>
      </c>
      <c r="M1619">
        <f>IFERROR(MATCH($C$5&amp;"|"&amp;RIGHT("000000"&amp;1603,6),LdgRankKeyB,0),"")</f>
        <v/>
      </c>
    </row>
    <row r="1620">
      <c r="A1620" s="23" t="n">
        <v>1604</v>
      </c>
      <c r="B1620" s="24">
        <f>IF(AND($L1620="",$M1620=""),"",IF($L1620&lt;&gt;"",INDEX(SCNormDate,$L1620),INDEX(LdgDateB,$M1620)))</f>
        <v/>
      </c>
      <c r="C1620" s="24">
        <f>IF($L1620&lt;&gt;"",INDEX(SCOp,$L1620),IF($M1620&lt;&gt;"","پرداخت بانکی",""))</f>
        <v/>
      </c>
      <c r="D1620" s="24">
        <f>IF($L1620&lt;&gt;"",IF(INDEX(SCDoc,$L1620)="","—",INDEX(SCDoc,$L1620)),IF($M1620&lt;&gt;"",INDEX(LdgBankB,$M1620),""))</f>
        <v/>
      </c>
      <c r="E1620" s="25">
        <f>IF($L1620&lt;&gt;"",IF(INDEX(SCCitrus,$L1620)&amp;INDEX(SCNotes,$L1620)="","",IF(INDEX(SCCitrus,$L1620)="","",INDEX(SCCitrus,$L1620))&amp;IF(INDEX(SCNotes,$L1620)="",""," — "&amp;INDEX(SCNotes,$L1620))),IF($M1620&lt;&gt;"",IF(INDEX(LdgNoteB,$M1620)="","—",INDEX(LdgNoteB,$M1620)),""))</f>
        <v/>
      </c>
      <c r="F1620" s="26">
        <f>IF($L1620&lt;&gt;"",IF(INDEX(SCNet,$L1620)=0,"",INDEX(SCNet,$L1620)),"")</f>
        <v/>
      </c>
      <c r="G1620" s="27">
        <f>IF($L1620&lt;&gt;"",IF(INDEX(SCOp,$L1620)="مرجوعی فروش","",IF(INDEX(SCAmount,$L1620)&lt;=0,"",INDEX(SCAmount,$L1620))),IF($M1620&lt;&gt;"",IF(INDEX(LdgWitB,$M1620)=0,"",INDEX(LdgWitB,$M1620)),""))</f>
        <v/>
      </c>
      <c r="H1620" s="27">
        <f>IF($L1620&lt;&gt;"",IF(INDEX(SCOp,$L1620)="مرجوعی فروش",IF(INDEX(SCAmount,$L1620)=0,"",-INDEX(SCAmount,$L1620)),""),IF($M1620&lt;&gt;"",IF(INDEX(LdgDepB,$M1620)=0,"",INDEX(LdgDepB,$M1620)),""))</f>
        <v/>
      </c>
      <c r="I1620" s="28">
        <f>IF($B1620="","",IF($I1619="",$C$10,$I1619)+IF($G1620="",0,$G1620)-IF($H1620="",0,$H1620))</f>
        <v/>
      </c>
      <c r="L1620">
        <f>IFERROR(MATCH($C$5&amp;"|"&amp;RIGHT("000000"&amp;1604,6),LdgRankKeyA,0),"")</f>
        <v/>
      </c>
      <c r="M1620">
        <f>IFERROR(MATCH($C$5&amp;"|"&amp;RIGHT("000000"&amp;1604,6),LdgRankKeyB,0),"")</f>
        <v/>
      </c>
    </row>
    <row r="1621">
      <c r="A1621" s="17" t="n">
        <v>1605</v>
      </c>
      <c r="B1621" s="18">
        <f>IF(AND($L1621="",$M1621=""),"",IF($L1621&lt;&gt;"",INDEX(SCNormDate,$L1621),INDEX(LdgDateB,$M1621)))</f>
        <v/>
      </c>
      <c r="C1621" s="18">
        <f>IF($L1621&lt;&gt;"",INDEX(SCOp,$L1621),IF($M1621&lt;&gt;"","پرداخت بانکی",""))</f>
        <v/>
      </c>
      <c r="D1621" s="18">
        <f>IF($L1621&lt;&gt;"",IF(INDEX(SCDoc,$L1621)="","—",INDEX(SCDoc,$L1621)),IF($M1621&lt;&gt;"",INDEX(LdgBankB,$M1621),""))</f>
        <v/>
      </c>
      <c r="E1621" s="19">
        <f>IF($L1621&lt;&gt;"",IF(INDEX(SCCitrus,$L1621)&amp;INDEX(SCNotes,$L1621)="","",IF(INDEX(SCCitrus,$L1621)="","",INDEX(SCCitrus,$L1621))&amp;IF(INDEX(SCNotes,$L1621)="",""," — "&amp;INDEX(SCNotes,$L1621))),IF($M1621&lt;&gt;"",IF(INDEX(LdgNoteB,$M1621)="","—",INDEX(LdgNoteB,$M1621)),""))</f>
        <v/>
      </c>
      <c r="F1621" s="20">
        <f>IF($L1621&lt;&gt;"",IF(INDEX(SCNet,$L1621)=0,"",INDEX(SCNet,$L1621)),"")</f>
        <v/>
      </c>
      <c r="G1621" s="21">
        <f>IF($L1621&lt;&gt;"",IF(INDEX(SCOp,$L1621)="مرجوعی فروش","",IF(INDEX(SCAmount,$L1621)&lt;=0,"",INDEX(SCAmount,$L1621))),IF($M1621&lt;&gt;"",IF(INDEX(LdgWitB,$M1621)=0,"",INDEX(LdgWitB,$M1621)),""))</f>
        <v/>
      </c>
      <c r="H1621" s="21">
        <f>IF($L1621&lt;&gt;"",IF(INDEX(SCOp,$L1621)="مرجوعی فروش",IF(INDEX(SCAmount,$L1621)=0,"",-INDEX(SCAmount,$L1621)),""),IF($M1621&lt;&gt;"",IF(INDEX(LdgDepB,$M1621)=0,"",INDEX(LdgDepB,$M1621)),""))</f>
        <v/>
      </c>
      <c r="I1621" s="22">
        <f>IF($B1621="","",IF($I1620="",$C$10,$I1620)+IF($G1621="",0,$G1621)-IF($H1621="",0,$H1621))</f>
        <v/>
      </c>
      <c r="L1621">
        <f>IFERROR(MATCH($C$5&amp;"|"&amp;RIGHT("000000"&amp;1605,6),LdgRankKeyA,0),"")</f>
        <v/>
      </c>
      <c r="M1621">
        <f>IFERROR(MATCH($C$5&amp;"|"&amp;RIGHT("000000"&amp;1605,6),LdgRankKeyB,0),"")</f>
        <v/>
      </c>
    </row>
    <row r="1622">
      <c r="A1622" s="23" t="n">
        <v>1606</v>
      </c>
      <c r="B1622" s="24">
        <f>IF(AND($L1622="",$M1622=""),"",IF($L1622&lt;&gt;"",INDEX(SCNormDate,$L1622),INDEX(LdgDateB,$M1622)))</f>
        <v/>
      </c>
      <c r="C1622" s="24">
        <f>IF($L1622&lt;&gt;"",INDEX(SCOp,$L1622),IF($M1622&lt;&gt;"","پرداخت بانکی",""))</f>
        <v/>
      </c>
      <c r="D1622" s="24">
        <f>IF($L1622&lt;&gt;"",IF(INDEX(SCDoc,$L1622)="","—",INDEX(SCDoc,$L1622)),IF($M1622&lt;&gt;"",INDEX(LdgBankB,$M1622),""))</f>
        <v/>
      </c>
      <c r="E1622" s="25">
        <f>IF($L1622&lt;&gt;"",IF(INDEX(SCCitrus,$L1622)&amp;INDEX(SCNotes,$L1622)="","",IF(INDEX(SCCitrus,$L1622)="","",INDEX(SCCitrus,$L1622))&amp;IF(INDEX(SCNotes,$L1622)="",""," — "&amp;INDEX(SCNotes,$L1622))),IF($M1622&lt;&gt;"",IF(INDEX(LdgNoteB,$M1622)="","—",INDEX(LdgNoteB,$M1622)),""))</f>
        <v/>
      </c>
      <c r="F1622" s="26">
        <f>IF($L1622&lt;&gt;"",IF(INDEX(SCNet,$L1622)=0,"",INDEX(SCNet,$L1622)),"")</f>
        <v/>
      </c>
      <c r="G1622" s="27">
        <f>IF($L1622&lt;&gt;"",IF(INDEX(SCOp,$L1622)="مرجوعی فروش","",IF(INDEX(SCAmount,$L1622)&lt;=0,"",INDEX(SCAmount,$L1622))),IF($M1622&lt;&gt;"",IF(INDEX(LdgWitB,$M1622)=0,"",INDEX(LdgWitB,$M1622)),""))</f>
        <v/>
      </c>
      <c r="H1622" s="27">
        <f>IF($L1622&lt;&gt;"",IF(INDEX(SCOp,$L1622)="مرجوعی فروش",IF(INDEX(SCAmount,$L1622)=0,"",-INDEX(SCAmount,$L1622)),""),IF($M1622&lt;&gt;"",IF(INDEX(LdgDepB,$M1622)=0,"",INDEX(LdgDepB,$M1622)),""))</f>
        <v/>
      </c>
      <c r="I1622" s="28">
        <f>IF($B1622="","",IF($I1621="",$C$10,$I1621)+IF($G1622="",0,$G1622)-IF($H1622="",0,$H1622))</f>
        <v/>
      </c>
      <c r="L1622">
        <f>IFERROR(MATCH($C$5&amp;"|"&amp;RIGHT("000000"&amp;1606,6),LdgRankKeyA,0),"")</f>
        <v/>
      </c>
      <c r="M1622">
        <f>IFERROR(MATCH($C$5&amp;"|"&amp;RIGHT("000000"&amp;1606,6),LdgRankKeyB,0),"")</f>
        <v/>
      </c>
    </row>
    <row r="1623">
      <c r="A1623" s="17" t="n">
        <v>1607</v>
      </c>
      <c r="B1623" s="18">
        <f>IF(AND($L1623="",$M1623=""),"",IF($L1623&lt;&gt;"",INDEX(SCNormDate,$L1623),INDEX(LdgDateB,$M1623)))</f>
        <v/>
      </c>
      <c r="C1623" s="18">
        <f>IF($L1623&lt;&gt;"",INDEX(SCOp,$L1623),IF($M1623&lt;&gt;"","پرداخت بانکی",""))</f>
        <v/>
      </c>
      <c r="D1623" s="18">
        <f>IF($L1623&lt;&gt;"",IF(INDEX(SCDoc,$L1623)="","—",INDEX(SCDoc,$L1623)),IF($M1623&lt;&gt;"",INDEX(LdgBankB,$M1623),""))</f>
        <v/>
      </c>
      <c r="E1623" s="19">
        <f>IF($L1623&lt;&gt;"",IF(INDEX(SCCitrus,$L1623)&amp;INDEX(SCNotes,$L1623)="","",IF(INDEX(SCCitrus,$L1623)="","",INDEX(SCCitrus,$L1623))&amp;IF(INDEX(SCNotes,$L1623)="",""," — "&amp;INDEX(SCNotes,$L1623))),IF($M1623&lt;&gt;"",IF(INDEX(LdgNoteB,$M1623)="","—",INDEX(LdgNoteB,$M1623)),""))</f>
        <v/>
      </c>
      <c r="F1623" s="20">
        <f>IF($L1623&lt;&gt;"",IF(INDEX(SCNet,$L1623)=0,"",INDEX(SCNet,$L1623)),"")</f>
        <v/>
      </c>
      <c r="G1623" s="21">
        <f>IF($L1623&lt;&gt;"",IF(INDEX(SCOp,$L1623)="مرجوعی فروش","",IF(INDEX(SCAmount,$L1623)&lt;=0,"",INDEX(SCAmount,$L1623))),IF($M1623&lt;&gt;"",IF(INDEX(LdgWitB,$M1623)=0,"",INDEX(LdgWitB,$M1623)),""))</f>
        <v/>
      </c>
      <c r="H1623" s="21">
        <f>IF($L1623&lt;&gt;"",IF(INDEX(SCOp,$L1623)="مرجوعی فروش",IF(INDEX(SCAmount,$L1623)=0,"",-INDEX(SCAmount,$L1623)),""),IF($M1623&lt;&gt;"",IF(INDEX(LdgDepB,$M1623)=0,"",INDEX(LdgDepB,$M1623)),""))</f>
        <v/>
      </c>
      <c r="I1623" s="22">
        <f>IF($B1623="","",IF($I1622="",$C$10,$I1622)+IF($G1623="",0,$G1623)-IF($H1623="",0,$H1623))</f>
        <v/>
      </c>
      <c r="L1623">
        <f>IFERROR(MATCH($C$5&amp;"|"&amp;RIGHT("000000"&amp;1607,6),LdgRankKeyA,0),"")</f>
        <v/>
      </c>
      <c r="M1623">
        <f>IFERROR(MATCH($C$5&amp;"|"&amp;RIGHT("000000"&amp;1607,6),LdgRankKeyB,0),"")</f>
        <v/>
      </c>
    </row>
    <row r="1624">
      <c r="A1624" s="23" t="n">
        <v>1608</v>
      </c>
      <c r="B1624" s="24">
        <f>IF(AND($L1624="",$M1624=""),"",IF($L1624&lt;&gt;"",INDEX(SCNormDate,$L1624),INDEX(LdgDateB,$M1624)))</f>
        <v/>
      </c>
      <c r="C1624" s="24">
        <f>IF($L1624&lt;&gt;"",INDEX(SCOp,$L1624),IF($M1624&lt;&gt;"","پرداخت بانکی",""))</f>
        <v/>
      </c>
      <c r="D1624" s="24">
        <f>IF($L1624&lt;&gt;"",IF(INDEX(SCDoc,$L1624)="","—",INDEX(SCDoc,$L1624)),IF($M1624&lt;&gt;"",INDEX(LdgBankB,$M1624),""))</f>
        <v/>
      </c>
      <c r="E1624" s="25">
        <f>IF($L1624&lt;&gt;"",IF(INDEX(SCCitrus,$L1624)&amp;INDEX(SCNotes,$L1624)="","",IF(INDEX(SCCitrus,$L1624)="","",INDEX(SCCitrus,$L1624))&amp;IF(INDEX(SCNotes,$L1624)="",""," — "&amp;INDEX(SCNotes,$L1624))),IF($M1624&lt;&gt;"",IF(INDEX(LdgNoteB,$M1624)="","—",INDEX(LdgNoteB,$M1624)),""))</f>
        <v/>
      </c>
      <c r="F1624" s="26">
        <f>IF($L1624&lt;&gt;"",IF(INDEX(SCNet,$L1624)=0,"",INDEX(SCNet,$L1624)),"")</f>
        <v/>
      </c>
      <c r="G1624" s="27">
        <f>IF($L1624&lt;&gt;"",IF(INDEX(SCOp,$L1624)="مرجوعی فروش","",IF(INDEX(SCAmount,$L1624)&lt;=0,"",INDEX(SCAmount,$L1624))),IF($M1624&lt;&gt;"",IF(INDEX(LdgWitB,$M1624)=0,"",INDEX(LdgWitB,$M1624)),""))</f>
        <v/>
      </c>
      <c r="H1624" s="27">
        <f>IF($L1624&lt;&gt;"",IF(INDEX(SCOp,$L1624)="مرجوعی فروش",IF(INDEX(SCAmount,$L1624)=0,"",-INDEX(SCAmount,$L1624)),""),IF($M1624&lt;&gt;"",IF(INDEX(LdgDepB,$M1624)=0,"",INDEX(LdgDepB,$M1624)),""))</f>
        <v/>
      </c>
      <c r="I1624" s="28">
        <f>IF($B1624="","",IF($I1623="",$C$10,$I1623)+IF($G1624="",0,$G1624)-IF($H1624="",0,$H1624))</f>
        <v/>
      </c>
      <c r="L1624">
        <f>IFERROR(MATCH($C$5&amp;"|"&amp;RIGHT("000000"&amp;1608,6),LdgRankKeyA,0),"")</f>
        <v/>
      </c>
      <c r="M1624">
        <f>IFERROR(MATCH($C$5&amp;"|"&amp;RIGHT("000000"&amp;1608,6),LdgRankKeyB,0),"")</f>
        <v/>
      </c>
    </row>
    <row r="1625">
      <c r="A1625" s="17" t="n">
        <v>1609</v>
      </c>
      <c r="B1625" s="18">
        <f>IF(AND($L1625="",$M1625=""),"",IF($L1625&lt;&gt;"",INDEX(SCNormDate,$L1625),INDEX(LdgDateB,$M1625)))</f>
        <v/>
      </c>
      <c r="C1625" s="18">
        <f>IF($L1625&lt;&gt;"",INDEX(SCOp,$L1625),IF($M1625&lt;&gt;"","پرداخت بانکی",""))</f>
        <v/>
      </c>
      <c r="D1625" s="18">
        <f>IF($L1625&lt;&gt;"",IF(INDEX(SCDoc,$L1625)="","—",INDEX(SCDoc,$L1625)),IF($M1625&lt;&gt;"",INDEX(LdgBankB,$M1625),""))</f>
        <v/>
      </c>
      <c r="E1625" s="19">
        <f>IF($L1625&lt;&gt;"",IF(INDEX(SCCitrus,$L1625)&amp;INDEX(SCNotes,$L1625)="","",IF(INDEX(SCCitrus,$L1625)="","",INDEX(SCCitrus,$L1625))&amp;IF(INDEX(SCNotes,$L1625)="",""," — "&amp;INDEX(SCNotes,$L1625))),IF($M1625&lt;&gt;"",IF(INDEX(LdgNoteB,$M1625)="","—",INDEX(LdgNoteB,$M1625)),""))</f>
        <v/>
      </c>
      <c r="F1625" s="20">
        <f>IF($L1625&lt;&gt;"",IF(INDEX(SCNet,$L1625)=0,"",INDEX(SCNet,$L1625)),"")</f>
        <v/>
      </c>
      <c r="G1625" s="21">
        <f>IF($L1625&lt;&gt;"",IF(INDEX(SCOp,$L1625)="مرجوعی فروش","",IF(INDEX(SCAmount,$L1625)&lt;=0,"",INDEX(SCAmount,$L1625))),IF($M1625&lt;&gt;"",IF(INDEX(LdgWitB,$M1625)=0,"",INDEX(LdgWitB,$M1625)),""))</f>
        <v/>
      </c>
      <c r="H1625" s="21">
        <f>IF($L1625&lt;&gt;"",IF(INDEX(SCOp,$L1625)="مرجوعی فروش",IF(INDEX(SCAmount,$L1625)=0,"",-INDEX(SCAmount,$L1625)),""),IF($M1625&lt;&gt;"",IF(INDEX(LdgDepB,$M1625)=0,"",INDEX(LdgDepB,$M1625)),""))</f>
        <v/>
      </c>
      <c r="I1625" s="22">
        <f>IF($B1625="","",IF($I1624="",$C$10,$I1624)+IF($G1625="",0,$G1625)-IF($H1625="",0,$H1625))</f>
        <v/>
      </c>
      <c r="L1625">
        <f>IFERROR(MATCH($C$5&amp;"|"&amp;RIGHT("000000"&amp;1609,6),LdgRankKeyA,0),"")</f>
        <v/>
      </c>
      <c r="M1625">
        <f>IFERROR(MATCH($C$5&amp;"|"&amp;RIGHT("000000"&amp;1609,6),LdgRankKeyB,0),"")</f>
        <v/>
      </c>
    </row>
    <row r="1626">
      <c r="A1626" s="23" t="n">
        <v>1610</v>
      </c>
      <c r="B1626" s="24">
        <f>IF(AND($L1626="",$M1626=""),"",IF($L1626&lt;&gt;"",INDEX(SCNormDate,$L1626),INDEX(LdgDateB,$M1626)))</f>
        <v/>
      </c>
      <c r="C1626" s="24">
        <f>IF($L1626&lt;&gt;"",INDEX(SCOp,$L1626),IF($M1626&lt;&gt;"","پرداخت بانکی",""))</f>
        <v/>
      </c>
      <c r="D1626" s="24">
        <f>IF($L1626&lt;&gt;"",IF(INDEX(SCDoc,$L1626)="","—",INDEX(SCDoc,$L1626)),IF($M1626&lt;&gt;"",INDEX(LdgBankB,$M1626),""))</f>
        <v/>
      </c>
      <c r="E1626" s="25">
        <f>IF($L1626&lt;&gt;"",IF(INDEX(SCCitrus,$L1626)&amp;INDEX(SCNotes,$L1626)="","",IF(INDEX(SCCitrus,$L1626)="","",INDEX(SCCitrus,$L1626))&amp;IF(INDEX(SCNotes,$L1626)="",""," — "&amp;INDEX(SCNotes,$L1626))),IF($M1626&lt;&gt;"",IF(INDEX(LdgNoteB,$M1626)="","—",INDEX(LdgNoteB,$M1626)),""))</f>
        <v/>
      </c>
      <c r="F1626" s="26">
        <f>IF($L1626&lt;&gt;"",IF(INDEX(SCNet,$L1626)=0,"",INDEX(SCNet,$L1626)),"")</f>
        <v/>
      </c>
      <c r="G1626" s="27">
        <f>IF($L1626&lt;&gt;"",IF(INDEX(SCOp,$L1626)="مرجوعی فروش","",IF(INDEX(SCAmount,$L1626)&lt;=0,"",INDEX(SCAmount,$L1626))),IF($M1626&lt;&gt;"",IF(INDEX(LdgWitB,$M1626)=0,"",INDEX(LdgWitB,$M1626)),""))</f>
        <v/>
      </c>
      <c r="H1626" s="27">
        <f>IF($L1626&lt;&gt;"",IF(INDEX(SCOp,$L1626)="مرجوعی فروش",IF(INDEX(SCAmount,$L1626)=0,"",-INDEX(SCAmount,$L1626)),""),IF($M1626&lt;&gt;"",IF(INDEX(LdgDepB,$M1626)=0,"",INDEX(LdgDepB,$M1626)),""))</f>
        <v/>
      </c>
      <c r="I1626" s="28">
        <f>IF($B1626="","",IF($I1625="",$C$10,$I1625)+IF($G1626="",0,$G1626)-IF($H1626="",0,$H1626))</f>
        <v/>
      </c>
      <c r="L1626">
        <f>IFERROR(MATCH($C$5&amp;"|"&amp;RIGHT("000000"&amp;1610,6),LdgRankKeyA,0),"")</f>
        <v/>
      </c>
      <c r="M1626">
        <f>IFERROR(MATCH($C$5&amp;"|"&amp;RIGHT("000000"&amp;1610,6),LdgRankKeyB,0),"")</f>
        <v/>
      </c>
    </row>
    <row r="1627">
      <c r="A1627" s="17" t="n">
        <v>1611</v>
      </c>
      <c r="B1627" s="18">
        <f>IF(AND($L1627="",$M1627=""),"",IF($L1627&lt;&gt;"",INDEX(SCNormDate,$L1627),INDEX(LdgDateB,$M1627)))</f>
        <v/>
      </c>
      <c r="C1627" s="18">
        <f>IF($L1627&lt;&gt;"",INDEX(SCOp,$L1627),IF($M1627&lt;&gt;"","پرداخت بانکی",""))</f>
        <v/>
      </c>
      <c r="D1627" s="18">
        <f>IF($L1627&lt;&gt;"",IF(INDEX(SCDoc,$L1627)="","—",INDEX(SCDoc,$L1627)),IF($M1627&lt;&gt;"",INDEX(LdgBankB,$M1627),""))</f>
        <v/>
      </c>
      <c r="E1627" s="19">
        <f>IF($L1627&lt;&gt;"",IF(INDEX(SCCitrus,$L1627)&amp;INDEX(SCNotes,$L1627)="","",IF(INDEX(SCCitrus,$L1627)="","",INDEX(SCCitrus,$L1627))&amp;IF(INDEX(SCNotes,$L1627)="",""," — "&amp;INDEX(SCNotes,$L1627))),IF($M1627&lt;&gt;"",IF(INDEX(LdgNoteB,$M1627)="","—",INDEX(LdgNoteB,$M1627)),""))</f>
        <v/>
      </c>
      <c r="F1627" s="20">
        <f>IF($L1627&lt;&gt;"",IF(INDEX(SCNet,$L1627)=0,"",INDEX(SCNet,$L1627)),"")</f>
        <v/>
      </c>
      <c r="G1627" s="21">
        <f>IF($L1627&lt;&gt;"",IF(INDEX(SCOp,$L1627)="مرجوعی فروش","",IF(INDEX(SCAmount,$L1627)&lt;=0,"",INDEX(SCAmount,$L1627))),IF($M1627&lt;&gt;"",IF(INDEX(LdgWitB,$M1627)=0,"",INDEX(LdgWitB,$M1627)),""))</f>
        <v/>
      </c>
      <c r="H1627" s="21">
        <f>IF($L1627&lt;&gt;"",IF(INDEX(SCOp,$L1627)="مرجوعی فروش",IF(INDEX(SCAmount,$L1627)=0,"",-INDEX(SCAmount,$L1627)),""),IF($M1627&lt;&gt;"",IF(INDEX(LdgDepB,$M1627)=0,"",INDEX(LdgDepB,$M1627)),""))</f>
        <v/>
      </c>
      <c r="I1627" s="22">
        <f>IF($B1627="","",IF($I1626="",$C$10,$I1626)+IF($G1627="",0,$G1627)-IF($H1627="",0,$H1627))</f>
        <v/>
      </c>
      <c r="L1627">
        <f>IFERROR(MATCH($C$5&amp;"|"&amp;RIGHT("000000"&amp;1611,6),LdgRankKeyA,0),"")</f>
        <v/>
      </c>
      <c r="M1627">
        <f>IFERROR(MATCH($C$5&amp;"|"&amp;RIGHT("000000"&amp;1611,6),LdgRankKeyB,0),"")</f>
        <v/>
      </c>
    </row>
    <row r="1628">
      <c r="A1628" s="23" t="n">
        <v>1612</v>
      </c>
      <c r="B1628" s="24">
        <f>IF(AND($L1628="",$M1628=""),"",IF($L1628&lt;&gt;"",INDEX(SCNormDate,$L1628),INDEX(LdgDateB,$M1628)))</f>
        <v/>
      </c>
      <c r="C1628" s="24">
        <f>IF($L1628&lt;&gt;"",INDEX(SCOp,$L1628),IF($M1628&lt;&gt;"","پرداخت بانکی",""))</f>
        <v/>
      </c>
      <c r="D1628" s="24">
        <f>IF($L1628&lt;&gt;"",IF(INDEX(SCDoc,$L1628)="","—",INDEX(SCDoc,$L1628)),IF($M1628&lt;&gt;"",INDEX(LdgBankB,$M1628),""))</f>
        <v/>
      </c>
      <c r="E1628" s="25">
        <f>IF($L1628&lt;&gt;"",IF(INDEX(SCCitrus,$L1628)&amp;INDEX(SCNotes,$L1628)="","",IF(INDEX(SCCitrus,$L1628)="","",INDEX(SCCitrus,$L1628))&amp;IF(INDEX(SCNotes,$L1628)="",""," — "&amp;INDEX(SCNotes,$L1628))),IF($M1628&lt;&gt;"",IF(INDEX(LdgNoteB,$M1628)="","—",INDEX(LdgNoteB,$M1628)),""))</f>
        <v/>
      </c>
      <c r="F1628" s="26">
        <f>IF($L1628&lt;&gt;"",IF(INDEX(SCNet,$L1628)=0,"",INDEX(SCNet,$L1628)),"")</f>
        <v/>
      </c>
      <c r="G1628" s="27">
        <f>IF($L1628&lt;&gt;"",IF(INDEX(SCOp,$L1628)="مرجوعی فروش","",IF(INDEX(SCAmount,$L1628)&lt;=0,"",INDEX(SCAmount,$L1628))),IF($M1628&lt;&gt;"",IF(INDEX(LdgWitB,$M1628)=0,"",INDEX(LdgWitB,$M1628)),""))</f>
        <v/>
      </c>
      <c r="H1628" s="27">
        <f>IF($L1628&lt;&gt;"",IF(INDEX(SCOp,$L1628)="مرجوعی فروش",IF(INDEX(SCAmount,$L1628)=0,"",-INDEX(SCAmount,$L1628)),""),IF($M1628&lt;&gt;"",IF(INDEX(LdgDepB,$M1628)=0,"",INDEX(LdgDepB,$M1628)),""))</f>
        <v/>
      </c>
      <c r="I1628" s="28">
        <f>IF($B1628="","",IF($I1627="",$C$10,$I1627)+IF($G1628="",0,$G1628)-IF($H1628="",0,$H1628))</f>
        <v/>
      </c>
      <c r="L1628">
        <f>IFERROR(MATCH($C$5&amp;"|"&amp;RIGHT("000000"&amp;1612,6),LdgRankKeyA,0),"")</f>
        <v/>
      </c>
      <c r="M1628">
        <f>IFERROR(MATCH($C$5&amp;"|"&amp;RIGHT("000000"&amp;1612,6),LdgRankKeyB,0),"")</f>
        <v/>
      </c>
    </row>
    <row r="1629">
      <c r="A1629" s="17" t="n">
        <v>1613</v>
      </c>
      <c r="B1629" s="18">
        <f>IF(AND($L1629="",$M1629=""),"",IF($L1629&lt;&gt;"",INDEX(SCNormDate,$L1629),INDEX(LdgDateB,$M1629)))</f>
        <v/>
      </c>
      <c r="C1629" s="18">
        <f>IF($L1629&lt;&gt;"",INDEX(SCOp,$L1629),IF($M1629&lt;&gt;"","پرداخت بانکی",""))</f>
        <v/>
      </c>
      <c r="D1629" s="18">
        <f>IF($L1629&lt;&gt;"",IF(INDEX(SCDoc,$L1629)="","—",INDEX(SCDoc,$L1629)),IF($M1629&lt;&gt;"",INDEX(LdgBankB,$M1629),""))</f>
        <v/>
      </c>
      <c r="E1629" s="19">
        <f>IF($L1629&lt;&gt;"",IF(INDEX(SCCitrus,$L1629)&amp;INDEX(SCNotes,$L1629)="","",IF(INDEX(SCCitrus,$L1629)="","",INDEX(SCCitrus,$L1629))&amp;IF(INDEX(SCNotes,$L1629)="",""," — "&amp;INDEX(SCNotes,$L1629))),IF($M1629&lt;&gt;"",IF(INDEX(LdgNoteB,$M1629)="","—",INDEX(LdgNoteB,$M1629)),""))</f>
        <v/>
      </c>
      <c r="F1629" s="20">
        <f>IF($L1629&lt;&gt;"",IF(INDEX(SCNet,$L1629)=0,"",INDEX(SCNet,$L1629)),"")</f>
        <v/>
      </c>
      <c r="G1629" s="21">
        <f>IF($L1629&lt;&gt;"",IF(INDEX(SCOp,$L1629)="مرجوعی فروش","",IF(INDEX(SCAmount,$L1629)&lt;=0,"",INDEX(SCAmount,$L1629))),IF($M1629&lt;&gt;"",IF(INDEX(LdgWitB,$M1629)=0,"",INDEX(LdgWitB,$M1629)),""))</f>
        <v/>
      </c>
      <c r="H1629" s="21">
        <f>IF($L1629&lt;&gt;"",IF(INDEX(SCOp,$L1629)="مرجوعی فروش",IF(INDEX(SCAmount,$L1629)=0,"",-INDEX(SCAmount,$L1629)),""),IF($M1629&lt;&gt;"",IF(INDEX(LdgDepB,$M1629)=0,"",INDEX(LdgDepB,$M1629)),""))</f>
        <v/>
      </c>
      <c r="I1629" s="22">
        <f>IF($B1629="","",IF($I1628="",$C$10,$I1628)+IF($G1629="",0,$G1629)-IF($H1629="",0,$H1629))</f>
        <v/>
      </c>
      <c r="L1629">
        <f>IFERROR(MATCH($C$5&amp;"|"&amp;RIGHT("000000"&amp;1613,6),LdgRankKeyA,0),"")</f>
        <v/>
      </c>
      <c r="M1629">
        <f>IFERROR(MATCH($C$5&amp;"|"&amp;RIGHT("000000"&amp;1613,6),LdgRankKeyB,0),"")</f>
        <v/>
      </c>
    </row>
    <row r="1630">
      <c r="A1630" s="23" t="n">
        <v>1614</v>
      </c>
      <c r="B1630" s="24">
        <f>IF(AND($L1630="",$M1630=""),"",IF($L1630&lt;&gt;"",INDEX(SCNormDate,$L1630),INDEX(LdgDateB,$M1630)))</f>
        <v/>
      </c>
      <c r="C1630" s="24">
        <f>IF($L1630&lt;&gt;"",INDEX(SCOp,$L1630),IF($M1630&lt;&gt;"","پرداخت بانکی",""))</f>
        <v/>
      </c>
      <c r="D1630" s="24">
        <f>IF($L1630&lt;&gt;"",IF(INDEX(SCDoc,$L1630)="","—",INDEX(SCDoc,$L1630)),IF($M1630&lt;&gt;"",INDEX(LdgBankB,$M1630),""))</f>
        <v/>
      </c>
      <c r="E1630" s="25">
        <f>IF($L1630&lt;&gt;"",IF(INDEX(SCCitrus,$L1630)&amp;INDEX(SCNotes,$L1630)="","",IF(INDEX(SCCitrus,$L1630)="","",INDEX(SCCitrus,$L1630))&amp;IF(INDEX(SCNotes,$L1630)="",""," — "&amp;INDEX(SCNotes,$L1630))),IF($M1630&lt;&gt;"",IF(INDEX(LdgNoteB,$M1630)="","—",INDEX(LdgNoteB,$M1630)),""))</f>
        <v/>
      </c>
      <c r="F1630" s="26">
        <f>IF($L1630&lt;&gt;"",IF(INDEX(SCNet,$L1630)=0,"",INDEX(SCNet,$L1630)),"")</f>
        <v/>
      </c>
      <c r="G1630" s="27">
        <f>IF($L1630&lt;&gt;"",IF(INDEX(SCOp,$L1630)="مرجوعی فروش","",IF(INDEX(SCAmount,$L1630)&lt;=0,"",INDEX(SCAmount,$L1630))),IF($M1630&lt;&gt;"",IF(INDEX(LdgWitB,$M1630)=0,"",INDEX(LdgWitB,$M1630)),""))</f>
        <v/>
      </c>
      <c r="H1630" s="27">
        <f>IF($L1630&lt;&gt;"",IF(INDEX(SCOp,$L1630)="مرجوعی فروش",IF(INDEX(SCAmount,$L1630)=0,"",-INDEX(SCAmount,$L1630)),""),IF($M1630&lt;&gt;"",IF(INDEX(LdgDepB,$M1630)=0,"",INDEX(LdgDepB,$M1630)),""))</f>
        <v/>
      </c>
      <c r="I1630" s="28">
        <f>IF($B1630="","",IF($I1629="",$C$10,$I1629)+IF($G1630="",0,$G1630)-IF($H1630="",0,$H1630))</f>
        <v/>
      </c>
      <c r="L1630">
        <f>IFERROR(MATCH($C$5&amp;"|"&amp;RIGHT("000000"&amp;1614,6),LdgRankKeyA,0),"")</f>
        <v/>
      </c>
      <c r="M1630">
        <f>IFERROR(MATCH($C$5&amp;"|"&amp;RIGHT("000000"&amp;1614,6),LdgRankKeyB,0),"")</f>
        <v/>
      </c>
    </row>
    <row r="1631">
      <c r="A1631" s="17" t="n">
        <v>1615</v>
      </c>
      <c r="B1631" s="18">
        <f>IF(AND($L1631="",$M1631=""),"",IF($L1631&lt;&gt;"",INDEX(SCNormDate,$L1631),INDEX(LdgDateB,$M1631)))</f>
        <v/>
      </c>
      <c r="C1631" s="18">
        <f>IF($L1631&lt;&gt;"",INDEX(SCOp,$L1631),IF($M1631&lt;&gt;"","پرداخت بانکی",""))</f>
        <v/>
      </c>
      <c r="D1631" s="18">
        <f>IF($L1631&lt;&gt;"",IF(INDEX(SCDoc,$L1631)="","—",INDEX(SCDoc,$L1631)),IF($M1631&lt;&gt;"",INDEX(LdgBankB,$M1631),""))</f>
        <v/>
      </c>
      <c r="E1631" s="19">
        <f>IF($L1631&lt;&gt;"",IF(INDEX(SCCitrus,$L1631)&amp;INDEX(SCNotes,$L1631)="","",IF(INDEX(SCCitrus,$L1631)="","",INDEX(SCCitrus,$L1631))&amp;IF(INDEX(SCNotes,$L1631)="",""," — "&amp;INDEX(SCNotes,$L1631))),IF($M1631&lt;&gt;"",IF(INDEX(LdgNoteB,$M1631)="","—",INDEX(LdgNoteB,$M1631)),""))</f>
        <v/>
      </c>
      <c r="F1631" s="20">
        <f>IF($L1631&lt;&gt;"",IF(INDEX(SCNet,$L1631)=0,"",INDEX(SCNet,$L1631)),"")</f>
        <v/>
      </c>
      <c r="G1631" s="21">
        <f>IF($L1631&lt;&gt;"",IF(INDEX(SCOp,$L1631)="مرجوعی فروش","",IF(INDEX(SCAmount,$L1631)&lt;=0,"",INDEX(SCAmount,$L1631))),IF($M1631&lt;&gt;"",IF(INDEX(LdgWitB,$M1631)=0,"",INDEX(LdgWitB,$M1631)),""))</f>
        <v/>
      </c>
      <c r="H1631" s="21">
        <f>IF($L1631&lt;&gt;"",IF(INDEX(SCOp,$L1631)="مرجوعی فروش",IF(INDEX(SCAmount,$L1631)=0,"",-INDEX(SCAmount,$L1631)),""),IF($M1631&lt;&gt;"",IF(INDEX(LdgDepB,$M1631)=0,"",INDEX(LdgDepB,$M1631)),""))</f>
        <v/>
      </c>
      <c r="I1631" s="22">
        <f>IF($B1631="","",IF($I1630="",$C$10,$I1630)+IF($G1631="",0,$G1631)-IF($H1631="",0,$H1631))</f>
        <v/>
      </c>
      <c r="L1631">
        <f>IFERROR(MATCH($C$5&amp;"|"&amp;RIGHT("000000"&amp;1615,6),LdgRankKeyA,0),"")</f>
        <v/>
      </c>
      <c r="M1631">
        <f>IFERROR(MATCH($C$5&amp;"|"&amp;RIGHT("000000"&amp;1615,6),LdgRankKeyB,0),"")</f>
        <v/>
      </c>
    </row>
    <row r="1632">
      <c r="A1632" s="23" t="n">
        <v>1616</v>
      </c>
      <c r="B1632" s="24">
        <f>IF(AND($L1632="",$M1632=""),"",IF($L1632&lt;&gt;"",INDEX(SCNormDate,$L1632),INDEX(LdgDateB,$M1632)))</f>
        <v/>
      </c>
      <c r="C1632" s="24">
        <f>IF($L1632&lt;&gt;"",INDEX(SCOp,$L1632),IF($M1632&lt;&gt;"","پرداخت بانکی",""))</f>
        <v/>
      </c>
      <c r="D1632" s="24">
        <f>IF($L1632&lt;&gt;"",IF(INDEX(SCDoc,$L1632)="","—",INDEX(SCDoc,$L1632)),IF($M1632&lt;&gt;"",INDEX(LdgBankB,$M1632),""))</f>
        <v/>
      </c>
      <c r="E1632" s="25">
        <f>IF($L1632&lt;&gt;"",IF(INDEX(SCCitrus,$L1632)&amp;INDEX(SCNotes,$L1632)="","",IF(INDEX(SCCitrus,$L1632)="","",INDEX(SCCitrus,$L1632))&amp;IF(INDEX(SCNotes,$L1632)="",""," — "&amp;INDEX(SCNotes,$L1632))),IF($M1632&lt;&gt;"",IF(INDEX(LdgNoteB,$M1632)="","—",INDEX(LdgNoteB,$M1632)),""))</f>
        <v/>
      </c>
      <c r="F1632" s="26">
        <f>IF($L1632&lt;&gt;"",IF(INDEX(SCNet,$L1632)=0,"",INDEX(SCNet,$L1632)),"")</f>
        <v/>
      </c>
      <c r="G1632" s="27">
        <f>IF($L1632&lt;&gt;"",IF(INDEX(SCOp,$L1632)="مرجوعی فروش","",IF(INDEX(SCAmount,$L1632)&lt;=0,"",INDEX(SCAmount,$L1632))),IF($M1632&lt;&gt;"",IF(INDEX(LdgWitB,$M1632)=0,"",INDEX(LdgWitB,$M1632)),""))</f>
        <v/>
      </c>
      <c r="H1632" s="27">
        <f>IF($L1632&lt;&gt;"",IF(INDEX(SCOp,$L1632)="مرجوعی فروش",IF(INDEX(SCAmount,$L1632)=0,"",-INDEX(SCAmount,$L1632)),""),IF($M1632&lt;&gt;"",IF(INDEX(LdgDepB,$M1632)=0,"",INDEX(LdgDepB,$M1632)),""))</f>
        <v/>
      </c>
      <c r="I1632" s="28">
        <f>IF($B1632="","",IF($I1631="",$C$10,$I1631)+IF($G1632="",0,$G1632)-IF($H1632="",0,$H1632))</f>
        <v/>
      </c>
      <c r="L1632">
        <f>IFERROR(MATCH($C$5&amp;"|"&amp;RIGHT("000000"&amp;1616,6),LdgRankKeyA,0),"")</f>
        <v/>
      </c>
      <c r="M1632">
        <f>IFERROR(MATCH($C$5&amp;"|"&amp;RIGHT("000000"&amp;1616,6),LdgRankKeyB,0),"")</f>
        <v/>
      </c>
    </row>
    <row r="1633">
      <c r="A1633" s="17" t="n">
        <v>1617</v>
      </c>
      <c r="B1633" s="18">
        <f>IF(AND($L1633="",$M1633=""),"",IF($L1633&lt;&gt;"",INDEX(SCNormDate,$L1633),INDEX(LdgDateB,$M1633)))</f>
        <v/>
      </c>
      <c r="C1633" s="18">
        <f>IF($L1633&lt;&gt;"",INDEX(SCOp,$L1633),IF($M1633&lt;&gt;"","پرداخت بانکی",""))</f>
        <v/>
      </c>
      <c r="D1633" s="18">
        <f>IF($L1633&lt;&gt;"",IF(INDEX(SCDoc,$L1633)="","—",INDEX(SCDoc,$L1633)),IF($M1633&lt;&gt;"",INDEX(LdgBankB,$M1633),""))</f>
        <v/>
      </c>
      <c r="E1633" s="19">
        <f>IF($L1633&lt;&gt;"",IF(INDEX(SCCitrus,$L1633)&amp;INDEX(SCNotes,$L1633)="","",IF(INDEX(SCCitrus,$L1633)="","",INDEX(SCCitrus,$L1633))&amp;IF(INDEX(SCNotes,$L1633)="",""," — "&amp;INDEX(SCNotes,$L1633))),IF($M1633&lt;&gt;"",IF(INDEX(LdgNoteB,$M1633)="","—",INDEX(LdgNoteB,$M1633)),""))</f>
        <v/>
      </c>
      <c r="F1633" s="20">
        <f>IF($L1633&lt;&gt;"",IF(INDEX(SCNet,$L1633)=0,"",INDEX(SCNet,$L1633)),"")</f>
        <v/>
      </c>
      <c r="G1633" s="21">
        <f>IF($L1633&lt;&gt;"",IF(INDEX(SCOp,$L1633)="مرجوعی فروش","",IF(INDEX(SCAmount,$L1633)&lt;=0,"",INDEX(SCAmount,$L1633))),IF($M1633&lt;&gt;"",IF(INDEX(LdgWitB,$M1633)=0,"",INDEX(LdgWitB,$M1633)),""))</f>
        <v/>
      </c>
      <c r="H1633" s="21">
        <f>IF($L1633&lt;&gt;"",IF(INDEX(SCOp,$L1633)="مرجوعی فروش",IF(INDEX(SCAmount,$L1633)=0,"",-INDEX(SCAmount,$L1633)),""),IF($M1633&lt;&gt;"",IF(INDEX(LdgDepB,$M1633)=0,"",INDEX(LdgDepB,$M1633)),""))</f>
        <v/>
      </c>
      <c r="I1633" s="22">
        <f>IF($B1633="","",IF($I1632="",$C$10,$I1632)+IF($G1633="",0,$G1633)-IF($H1633="",0,$H1633))</f>
        <v/>
      </c>
      <c r="L1633">
        <f>IFERROR(MATCH($C$5&amp;"|"&amp;RIGHT("000000"&amp;1617,6),LdgRankKeyA,0),"")</f>
        <v/>
      </c>
      <c r="M1633">
        <f>IFERROR(MATCH($C$5&amp;"|"&amp;RIGHT("000000"&amp;1617,6),LdgRankKeyB,0),"")</f>
        <v/>
      </c>
    </row>
    <row r="1634">
      <c r="A1634" s="23" t="n">
        <v>1618</v>
      </c>
      <c r="B1634" s="24">
        <f>IF(AND($L1634="",$M1634=""),"",IF($L1634&lt;&gt;"",INDEX(SCNormDate,$L1634),INDEX(LdgDateB,$M1634)))</f>
        <v/>
      </c>
      <c r="C1634" s="24">
        <f>IF($L1634&lt;&gt;"",INDEX(SCOp,$L1634),IF($M1634&lt;&gt;"","پرداخت بانکی",""))</f>
        <v/>
      </c>
      <c r="D1634" s="24">
        <f>IF($L1634&lt;&gt;"",IF(INDEX(SCDoc,$L1634)="","—",INDEX(SCDoc,$L1634)),IF($M1634&lt;&gt;"",INDEX(LdgBankB,$M1634),""))</f>
        <v/>
      </c>
      <c r="E1634" s="25">
        <f>IF($L1634&lt;&gt;"",IF(INDEX(SCCitrus,$L1634)&amp;INDEX(SCNotes,$L1634)="","",IF(INDEX(SCCitrus,$L1634)="","",INDEX(SCCitrus,$L1634))&amp;IF(INDEX(SCNotes,$L1634)="",""," — "&amp;INDEX(SCNotes,$L1634))),IF($M1634&lt;&gt;"",IF(INDEX(LdgNoteB,$M1634)="","—",INDEX(LdgNoteB,$M1634)),""))</f>
        <v/>
      </c>
      <c r="F1634" s="26">
        <f>IF($L1634&lt;&gt;"",IF(INDEX(SCNet,$L1634)=0,"",INDEX(SCNet,$L1634)),"")</f>
        <v/>
      </c>
      <c r="G1634" s="27">
        <f>IF($L1634&lt;&gt;"",IF(INDEX(SCOp,$L1634)="مرجوعی فروش","",IF(INDEX(SCAmount,$L1634)&lt;=0,"",INDEX(SCAmount,$L1634))),IF($M1634&lt;&gt;"",IF(INDEX(LdgWitB,$M1634)=0,"",INDEX(LdgWitB,$M1634)),""))</f>
        <v/>
      </c>
      <c r="H1634" s="27">
        <f>IF($L1634&lt;&gt;"",IF(INDEX(SCOp,$L1634)="مرجوعی فروش",IF(INDEX(SCAmount,$L1634)=0,"",-INDEX(SCAmount,$L1634)),""),IF($M1634&lt;&gt;"",IF(INDEX(LdgDepB,$M1634)=0,"",INDEX(LdgDepB,$M1634)),""))</f>
        <v/>
      </c>
      <c r="I1634" s="28">
        <f>IF($B1634="","",IF($I1633="",$C$10,$I1633)+IF($G1634="",0,$G1634)-IF($H1634="",0,$H1634))</f>
        <v/>
      </c>
      <c r="L1634">
        <f>IFERROR(MATCH($C$5&amp;"|"&amp;RIGHT("000000"&amp;1618,6),LdgRankKeyA,0),"")</f>
        <v/>
      </c>
      <c r="M1634">
        <f>IFERROR(MATCH($C$5&amp;"|"&amp;RIGHT("000000"&amp;1618,6),LdgRankKeyB,0),"")</f>
        <v/>
      </c>
    </row>
    <row r="1635">
      <c r="A1635" s="17" t="n">
        <v>1619</v>
      </c>
      <c r="B1635" s="18">
        <f>IF(AND($L1635="",$M1635=""),"",IF($L1635&lt;&gt;"",INDEX(SCNormDate,$L1635),INDEX(LdgDateB,$M1635)))</f>
        <v/>
      </c>
      <c r="C1635" s="18">
        <f>IF($L1635&lt;&gt;"",INDEX(SCOp,$L1635),IF($M1635&lt;&gt;"","پرداخت بانکی",""))</f>
        <v/>
      </c>
      <c r="D1635" s="18">
        <f>IF($L1635&lt;&gt;"",IF(INDEX(SCDoc,$L1635)="","—",INDEX(SCDoc,$L1635)),IF($M1635&lt;&gt;"",INDEX(LdgBankB,$M1635),""))</f>
        <v/>
      </c>
      <c r="E1635" s="19">
        <f>IF($L1635&lt;&gt;"",IF(INDEX(SCCitrus,$L1635)&amp;INDEX(SCNotes,$L1635)="","",IF(INDEX(SCCitrus,$L1635)="","",INDEX(SCCitrus,$L1635))&amp;IF(INDEX(SCNotes,$L1635)="",""," — "&amp;INDEX(SCNotes,$L1635))),IF($M1635&lt;&gt;"",IF(INDEX(LdgNoteB,$M1635)="","—",INDEX(LdgNoteB,$M1635)),""))</f>
        <v/>
      </c>
      <c r="F1635" s="20">
        <f>IF($L1635&lt;&gt;"",IF(INDEX(SCNet,$L1635)=0,"",INDEX(SCNet,$L1635)),"")</f>
        <v/>
      </c>
      <c r="G1635" s="21">
        <f>IF($L1635&lt;&gt;"",IF(INDEX(SCOp,$L1635)="مرجوعی فروش","",IF(INDEX(SCAmount,$L1635)&lt;=0,"",INDEX(SCAmount,$L1635))),IF($M1635&lt;&gt;"",IF(INDEX(LdgWitB,$M1635)=0,"",INDEX(LdgWitB,$M1635)),""))</f>
        <v/>
      </c>
      <c r="H1635" s="21">
        <f>IF($L1635&lt;&gt;"",IF(INDEX(SCOp,$L1635)="مرجوعی فروش",IF(INDEX(SCAmount,$L1635)=0,"",-INDEX(SCAmount,$L1635)),""),IF($M1635&lt;&gt;"",IF(INDEX(LdgDepB,$M1635)=0,"",INDEX(LdgDepB,$M1635)),""))</f>
        <v/>
      </c>
      <c r="I1635" s="22">
        <f>IF($B1635="","",IF($I1634="",$C$10,$I1634)+IF($G1635="",0,$G1635)-IF($H1635="",0,$H1635))</f>
        <v/>
      </c>
      <c r="L1635">
        <f>IFERROR(MATCH($C$5&amp;"|"&amp;RIGHT("000000"&amp;1619,6),LdgRankKeyA,0),"")</f>
        <v/>
      </c>
      <c r="M1635">
        <f>IFERROR(MATCH($C$5&amp;"|"&amp;RIGHT("000000"&amp;1619,6),LdgRankKeyB,0),"")</f>
        <v/>
      </c>
    </row>
    <row r="1636">
      <c r="A1636" s="23" t="n">
        <v>1620</v>
      </c>
      <c r="B1636" s="24">
        <f>IF(AND($L1636="",$M1636=""),"",IF($L1636&lt;&gt;"",INDEX(SCNormDate,$L1636),INDEX(LdgDateB,$M1636)))</f>
        <v/>
      </c>
      <c r="C1636" s="24">
        <f>IF($L1636&lt;&gt;"",INDEX(SCOp,$L1636),IF($M1636&lt;&gt;"","پرداخت بانکی",""))</f>
        <v/>
      </c>
      <c r="D1636" s="24">
        <f>IF($L1636&lt;&gt;"",IF(INDEX(SCDoc,$L1636)="","—",INDEX(SCDoc,$L1636)),IF($M1636&lt;&gt;"",INDEX(LdgBankB,$M1636),""))</f>
        <v/>
      </c>
      <c r="E1636" s="25">
        <f>IF($L1636&lt;&gt;"",IF(INDEX(SCCitrus,$L1636)&amp;INDEX(SCNotes,$L1636)="","",IF(INDEX(SCCitrus,$L1636)="","",INDEX(SCCitrus,$L1636))&amp;IF(INDEX(SCNotes,$L1636)="",""," — "&amp;INDEX(SCNotes,$L1636))),IF($M1636&lt;&gt;"",IF(INDEX(LdgNoteB,$M1636)="","—",INDEX(LdgNoteB,$M1636)),""))</f>
        <v/>
      </c>
      <c r="F1636" s="26">
        <f>IF($L1636&lt;&gt;"",IF(INDEX(SCNet,$L1636)=0,"",INDEX(SCNet,$L1636)),"")</f>
        <v/>
      </c>
      <c r="G1636" s="27">
        <f>IF($L1636&lt;&gt;"",IF(INDEX(SCOp,$L1636)="مرجوعی فروش","",IF(INDEX(SCAmount,$L1636)&lt;=0,"",INDEX(SCAmount,$L1636))),IF($M1636&lt;&gt;"",IF(INDEX(LdgWitB,$M1636)=0,"",INDEX(LdgWitB,$M1636)),""))</f>
        <v/>
      </c>
      <c r="H1636" s="27">
        <f>IF($L1636&lt;&gt;"",IF(INDEX(SCOp,$L1636)="مرجوعی فروش",IF(INDEX(SCAmount,$L1636)=0,"",-INDEX(SCAmount,$L1636)),""),IF($M1636&lt;&gt;"",IF(INDEX(LdgDepB,$M1636)=0,"",INDEX(LdgDepB,$M1636)),""))</f>
        <v/>
      </c>
      <c r="I1636" s="28">
        <f>IF($B1636="","",IF($I1635="",$C$10,$I1635)+IF($G1636="",0,$G1636)-IF($H1636="",0,$H1636))</f>
        <v/>
      </c>
      <c r="L1636">
        <f>IFERROR(MATCH($C$5&amp;"|"&amp;RIGHT("000000"&amp;1620,6),LdgRankKeyA,0),"")</f>
        <v/>
      </c>
      <c r="M1636">
        <f>IFERROR(MATCH($C$5&amp;"|"&amp;RIGHT("000000"&amp;1620,6),LdgRankKeyB,0),"")</f>
        <v/>
      </c>
    </row>
    <row r="1637">
      <c r="A1637" s="17" t="n">
        <v>1621</v>
      </c>
      <c r="B1637" s="18">
        <f>IF(AND($L1637="",$M1637=""),"",IF($L1637&lt;&gt;"",INDEX(SCNormDate,$L1637),INDEX(LdgDateB,$M1637)))</f>
        <v/>
      </c>
      <c r="C1637" s="18">
        <f>IF($L1637&lt;&gt;"",INDEX(SCOp,$L1637),IF($M1637&lt;&gt;"","پرداخت بانکی",""))</f>
        <v/>
      </c>
      <c r="D1637" s="18">
        <f>IF($L1637&lt;&gt;"",IF(INDEX(SCDoc,$L1637)="","—",INDEX(SCDoc,$L1637)),IF($M1637&lt;&gt;"",INDEX(LdgBankB,$M1637),""))</f>
        <v/>
      </c>
      <c r="E1637" s="19">
        <f>IF($L1637&lt;&gt;"",IF(INDEX(SCCitrus,$L1637)&amp;INDEX(SCNotes,$L1637)="","",IF(INDEX(SCCitrus,$L1637)="","",INDEX(SCCitrus,$L1637))&amp;IF(INDEX(SCNotes,$L1637)="",""," — "&amp;INDEX(SCNotes,$L1637))),IF($M1637&lt;&gt;"",IF(INDEX(LdgNoteB,$M1637)="","—",INDEX(LdgNoteB,$M1637)),""))</f>
        <v/>
      </c>
      <c r="F1637" s="20">
        <f>IF($L1637&lt;&gt;"",IF(INDEX(SCNet,$L1637)=0,"",INDEX(SCNet,$L1637)),"")</f>
        <v/>
      </c>
      <c r="G1637" s="21">
        <f>IF($L1637&lt;&gt;"",IF(INDEX(SCOp,$L1637)="مرجوعی فروش","",IF(INDEX(SCAmount,$L1637)&lt;=0,"",INDEX(SCAmount,$L1637))),IF($M1637&lt;&gt;"",IF(INDEX(LdgWitB,$M1637)=0,"",INDEX(LdgWitB,$M1637)),""))</f>
        <v/>
      </c>
      <c r="H1637" s="21">
        <f>IF($L1637&lt;&gt;"",IF(INDEX(SCOp,$L1637)="مرجوعی فروش",IF(INDEX(SCAmount,$L1637)=0,"",-INDEX(SCAmount,$L1637)),""),IF($M1637&lt;&gt;"",IF(INDEX(LdgDepB,$M1637)=0,"",INDEX(LdgDepB,$M1637)),""))</f>
        <v/>
      </c>
      <c r="I1637" s="22">
        <f>IF($B1637="","",IF($I1636="",$C$10,$I1636)+IF($G1637="",0,$G1637)-IF($H1637="",0,$H1637))</f>
        <v/>
      </c>
      <c r="L1637">
        <f>IFERROR(MATCH($C$5&amp;"|"&amp;RIGHT("000000"&amp;1621,6),LdgRankKeyA,0),"")</f>
        <v/>
      </c>
      <c r="M1637">
        <f>IFERROR(MATCH($C$5&amp;"|"&amp;RIGHT("000000"&amp;1621,6),LdgRankKeyB,0),"")</f>
        <v/>
      </c>
    </row>
    <row r="1638">
      <c r="A1638" s="23" t="n">
        <v>1622</v>
      </c>
      <c r="B1638" s="24">
        <f>IF(AND($L1638="",$M1638=""),"",IF($L1638&lt;&gt;"",INDEX(SCNormDate,$L1638),INDEX(LdgDateB,$M1638)))</f>
        <v/>
      </c>
      <c r="C1638" s="24">
        <f>IF($L1638&lt;&gt;"",INDEX(SCOp,$L1638),IF($M1638&lt;&gt;"","پرداخت بانکی",""))</f>
        <v/>
      </c>
      <c r="D1638" s="24">
        <f>IF($L1638&lt;&gt;"",IF(INDEX(SCDoc,$L1638)="","—",INDEX(SCDoc,$L1638)),IF($M1638&lt;&gt;"",INDEX(LdgBankB,$M1638),""))</f>
        <v/>
      </c>
      <c r="E1638" s="25">
        <f>IF($L1638&lt;&gt;"",IF(INDEX(SCCitrus,$L1638)&amp;INDEX(SCNotes,$L1638)="","",IF(INDEX(SCCitrus,$L1638)="","",INDEX(SCCitrus,$L1638))&amp;IF(INDEX(SCNotes,$L1638)="",""," — "&amp;INDEX(SCNotes,$L1638))),IF($M1638&lt;&gt;"",IF(INDEX(LdgNoteB,$M1638)="","—",INDEX(LdgNoteB,$M1638)),""))</f>
        <v/>
      </c>
      <c r="F1638" s="26">
        <f>IF($L1638&lt;&gt;"",IF(INDEX(SCNet,$L1638)=0,"",INDEX(SCNet,$L1638)),"")</f>
        <v/>
      </c>
      <c r="G1638" s="27">
        <f>IF($L1638&lt;&gt;"",IF(INDEX(SCOp,$L1638)="مرجوعی فروش","",IF(INDEX(SCAmount,$L1638)&lt;=0,"",INDEX(SCAmount,$L1638))),IF($M1638&lt;&gt;"",IF(INDEX(LdgWitB,$M1638)=0,"",INDEX(LdgWitB,$M1638)),""))</f>
        <v/>
      </c>
      <c r="H1638" s="27">
        <f>IF($L1638&lt;&gt;"",IF(INDEX(SCOp,$L1638)="مرجوعی فروش",IF(INDEX(SCAmount,$L1638)=0,"",-INDEX(SCAmount,$L1638)),""),IF($M1638&lt;&gt;"",IF(INDEX(LdgDepB,$M1638)=0,"",INDEX(LdgDepB,$M1638)),""))</f>
        <v/>
      </c>
      <c r="I1638" s="28">
        <f>IF($B1638="","",IF($I1637="",$C$10,$I1637)+IF($G1638="",0,$G1638)-IF($H1638="",0,$H1638))</f>
        <v/>
      </c>
      <c r="L1638">
        <f>IFERROR(MATCH($C$5&amp;"|"&amp;RIGHT("000000"&amp;1622,6),LdgRankKeyA,0),"")</f>
        <v/>
      </c>
      <c r="M1638">
        <f>IFERROR(MATCH($C$5&amp;"|"&amp;RIGHT("000000"&amp;1622,6),LdgRankKeyB,0),"")</f>
        <v/>
      </c>
    </row>
    <row r="1639">
      <c r="A1639" s="17" t="n">
        <v>1623</v>
      </c>
      <c r="B1639" s="18">
        <f>IF(AND($L1639="",$M1639=""),"",IF($L1639&lt;&gt;"",INDEX(SCNormDate,$L1639),INDEX(LdgDateB,$M1639)))</f>
        <v/>
      </c>
      <c r="C1639" s="18">
        <f>IF($L1639&lt;&gt;"",INDEX(SCOp,$L1639),IF($M1639&lt;&gt;"","پرداخت بانکی",""))</f>
        <v/>
      </c>
      <c r="D1639" s="18">
        <f>IF($L1639&lt;&gt;"",IF(INDEX(SCDoc,$L1639)="","—",INDEX(SCDoc,$L1639)),IF($M1639&lt;&gt;"",INDEX(LdgBankB,$M1639),""))</f>
        <v/>
      </c>
      <c r="E1639" s="19">
        <f>IF($L1639&lt;&gt;"",IF(INDEX(SCCitrus,$L1639)&amp;INDEX(SCNotes,$L1639)="","",IF(INDEX(SCCitrus,$L1639)="","",INDEX(SCCitrus,$L1639))&amp;IF(INDEX(SCNotes,$L1639)="",""," — "&amp;INDEX(SCNotes,$L1639))),IF($M1639&lt;&gt;"",IF(INDEX(LdgNoteB,$M1639)="","—",INDEX(LdgNoteB,$M1639)),""))</f>
        <v/>
      </c>
      <c r="F1639" s="20">
        <f>IF($L1639&lt;&gt;"",IF(INDEX(SCNet,$L1639)=0,"",INDEX(SCNet,$L1639)),"")</f>
        <v/>
      </c>
      <c r="G1639" s="21">
        <f>IF($L1639&lt;&gt;"",IF(INDEX(SCOp,$L1639)="مرجوعی فروش","",IF(INDEX(SCAmount,$L1639)&lt;=0,"",INDEX(SCAmount,$L1639))),IF($M1639&lt;&gt;"",IF(INDEX(LdgWitB,$M1639)=0,"",INDEX(LdgWitB,$M1639)),""))</f>
        <v/>
      </c>
      <c r="H1639" s="21">
        <f>IF($L1639&lt;&gt;"",IF(INDEX(SCOp,$L1639)="مرجوعی فروش",IF(INDEX(SCAmount,$L1639)=0,"",-INDEX(SCAmount,$L1639)),""),IF($M1639&lt;&gt;"",IF(INDEX(LdgDepB,$M1639)=0,"",INDEX(LdgDepB,$M1639)),""))</f>
        <v/>
      </c>
      <c r="I1639" s="22">
        <f>IF($B1639="","",IF($I1638="",$C$10,$I1638)+IF($G1639="",0,$G1639)-IF($H1639="",0,$H1639))</f>
        <v/>
      </c>
      <c r="L1639">
        <f>IFERROR(MATCH($C$5&amp;"|"&amp;RIGHT("000000"&amp;1623,6),LdgRankKeyA,0),"")</f>
        <v/>
      </c>
      <c r="M1639">
        <f>IFERROR(MATCH($C$5&amp;"|"&amp;RIGHT("000000"&amp;1623,6),LdgRankKeyB,0),"")</f>
        <v/>
      </c>
    </row>
    <row r="1640">
      <c r="A1640" s="23" t="n">
        <v>1624</v>
      </c>
      <c r="B1640" s="24">
        <f>IF(AND($L1640="",$M1640=""),"",IF($L1640&lt;&gt;"",INDEX(SCNormDate,$L1640),INDEX(LdgDateB,$M1640)))</f>
        <v/>
      </c>
      <c r="C1640" s="24">
        <f>IF($L1640&lt;&gt;"",INDEX(SCOp,$L1640),IF($M1640&lt;&gt;"","پرداخت بانکی",""))</f>
        <v/>
      </c>
      <c r="D1640" s="24">
        <f>IF($L1640&lt;&gt;"",IF(INDEX(SCDoc,$L1640)="","—",INDEX(SCDoc,$L1640)),IF($M1640&lt;&gt;"",INDEX(LdgBankB,$M1640),""))</f>
        <v/>
      </c>
      <c r="E1640" s="25">
        <f>IF($L1640&lt;&gt;"",IF(INDEX(SCCitrus,$L1640)&amp;INDEX(SCNotes,$L1640)="","",IF(INDEX(SCCitrus,$L1640)="","",INDEX(SCCitrus,$L1640))&amp;IF(INDEX(SCNotes,$L1640)="",""," — "&amp;INDEX(SCNotes,$L1640))),IF($M1640&lt;&gt;"",IF(INDEX(LdgNoteB,$M1640)="","—",INDEX(LdgNoteB,$M1640)),""))</f>
        <v/>
      </c>
      <c r="F1640" s="26">
        <f>IF($L1640&lt;&gt;"",IF(INDEX(SCNet,$L1640)=0,"",INDEX(SCNet,$L1640)),"")</f>
        <v/>
      </c>
      <c r="G1640" s="27">
        <f>IF($L1640&lt;&gt;"",IF(INDEX(SCOp,$L1640)="مرجوعی فروش","",IF(INDEX(SCAmount,$L1640)&lt;=0,"",INDEX(SCAmount,$L1640))),IF($M1640&lt;&gt;"",IF(INDEX(LdgWitB,$M1640)=0,"",INDEX(LdgWitB,$M1640)),""))</f>
        <v/>
      </c>
      <c r="H1640" s="27">
        <f>IF($L1640&lt;&gt;"",IF(INDEX(SCOp,$L1640)="مرجوعی فروش",IF(INDEX(SCAmount,$L1640)=0,"",-INDEX(SCAmount,$L1640)),""),IF($M1640&lt;&gt;"",IF(INDEX(LdgDepB,$M1640)=0,"",INDEX(LdgDepB,$M1640)),""))</f>
        <v/>
      </c>
      <c r="I1640" s="28">
        <f>IF($B1640="","",IF($I1639="",$C$10,$I1639)+IF($G1640="",0,$G1640)-IF($H1640="",0,$H1640))</f>
        <v/>
      </c>
      <c r="L1640">
        <f>IFERROR(MATCH($C$5&amp;"|"&amp;RIGHT("000000"&amp;1624,6),LdgRankKeyA,0),"")</f>
        <v/>
      </c>
      <c r="M1640">
        <f>IFERROR(MATCH($C$5&amp;"|"&amp;RIGHT("000000"&amp;1624,6),LdgRankKeyB,0),"")</f>
        <v/>
      </c>
    </row>
    <row r="1641">
      <c r="A1641" s="17" t="n">
        <v>1625</v>
      </c>
      <c r="B1641" s="18">
        <f>IF(AND($L1641="",$M1641=""),"",IF($L1641&lt;&gt;"",INDEX(SCNormDate,$L1641),INDEX(LdgDateB,$M1641)))</f>
        <v/>
      </c>
      <c r="C1641" s="18">
        <f>IF($L1641&lt;&gt;"",INDEX(SCOp,$L1641),IF($M1641&lt;&gt;"","پرداخت بانکی",""))</f>
        <v/>
      </c>
      <c r="D1641" s="18">
        <f>IF($L1641&lt;&gt;"",IF(INDEX(SCDoc,$L1641)="","—",INDEX(SCDoc,$L1641)),IF($M1641&lt;&gt;"",INDEX(LdgBankB,$M1641),""))</f>
        <v/>
      </c>
      <c r="E1641" s="19">
        <f>IF($L1641&lt;&gt;"",IF(INDEX(SCCitrus,$L1641)&amp;INDEX(SCNotes,$L1641)="","",IF(INDEX(SCCitrus,$L1641)="","",INDEX(SCCitrus,$L1641))&amp;IF(INDEX(SCNotes,$L1641)="",""," — "&amp;INDEX(SCNotes,$L1641))),IF($M1641&lt;&gt;"",IF(INDEX(LdgNoteB,$M1641)="","—",INDEX(LdgNoteB,$M1641)),""))</f>
        <v/>
      </c>
      <c r="F1641" s="20">
        <f>IF($L1641&lt;&gt;"",IF(INDEX(SCNet,$L1641)=0,"",INDEX(SCNet,$L1641)),"")</f>
        <v/>
      </c>
      <c r="G1641" s="21">
        <f>IF($L1641&lt;&gt;"",IF(INDEX(SCOp,$L1641)="مرجوعی فروش","",IF(INDEX(SCAmount,$L1641)&lt;=0,"",INDEX(SCAmount,$L1641))),IF($M1641&lt;&gt;"",IF(INDEX(LdgWitB,$M1641)=0,"",INDEX(LdgWitB,$M1641)),""))</f>
        <v/>
      </c>
      <c r="H1641" s="21">
        <f>IF($L1641&lt;&gt;"",IF(INDEX(SCOp,$L1641)="مرجوعی فروش",IF(INDEX(SCAmount,$L1641)=0,"",-INDEX(SCAmount,$L1641)),""),IF($M1641&lt;&gt;"",IF(INDEX(LdgDepB,$M1641)=0,"",INDEX(LdgDepB,$M1641)),""))</f>
        <v/>
      </c>
      <c r="I1641" s="22">
        <f>IF($B1641="","",IF($I1640="",$C$10,$I1640)+IF($G1641="",0,$G1641)-IF($H1641="",0,$H1641))</f>
        <v/>
      </c>
      <c r="L1641">
        <f>IFERROR(MATCH($C$5&amp;"|"&amp;RIGHT("000000"&amp;1625,6),LdgRankKeyA,0),"")</f>
        <v/>
      </c>
      <c r="M1641">
        <f>IFERROR(MATCH($C$5&amp;"|"&amp;RIGHT("000000"&amp;1625,6),LdgRankKeyB,0),"")</f>
        <v/>
      </c>
    </row>
    <row r="1642">
      <c r="A1642" s="23" t="n">
        <v>1626</v>
      </c>
      <c r="B1642" s="24">
        <f>IF(AND($L1642="",$M1642=""),"",IF($L1642&lt;&gt;"",INDEX(SCNormDate,$L1642),INDEX(LdgDateB,$M1642)))</f>
        <v/>
      </c>
      <c r="C1642" s="24">
        <f>IF($L1642&lt;&gt;"",INDEX(SCOp,$L1642),IF($M1642&lt;&gt;"","پرداخت بانکی",""))</f>
        <v/>
      </c>
      <c r="D1642" s="24">
        <f>IF($L1642&lt;&gt;"",IF(INDEX(SCDoc,$L1642)="","—",INDEX(SCDoc,$L1642)),IF($M1642&lt;&gt;"",INDEX(LdgBankB,$M1642),""))</f>
        <v/>
      </c>
      <c r="E1642" s="25">
        <f>IF($L1642&lt;&gt;"",IF(INDEX(SCCitrus,$L1642)&amp;INDEX(SCNotes,$L1642)="","",IF(INDEX(SCCitrus,$L1642)="","",INDEX(SCCitrus,$L1642))&amp;IF(INDEX(SCNotes,$L1642)="",""," — "&amp;INDEX(SCNotes,$L1642))),IF($M1642&lt;&gt;"",IF(INDEX(LdgNoteB,$M1642)="","—",INDEX(LdgNoteB,$M1642)),""))</f>
        <v/>
      </c>
      <c r="F1642" s="26">
        <f>IF($L1642&lt;&gt;"",IF(INDEX(SCNet,$L1642)=0,"",INDEX(SCNet,$L1642)),"")</f>
        <v/>
      </c>
      <c r="G1642" s="27">
        <f>IF($L1642&lt;&gt;"",IF(INDEX(SCOp,$L1642)="مرجوعی فروش","",IF(INDEX(SCAmount,$L1642)&lt;=0,"",INDEX(SCAmount,$L1642))),IF($M1642&lt;&gt;"",IF(INDEX(LdgWitB,$M1642)=0,"",INDEX(LdgWitB,$M1642)),""))</f>
        <v/>
      </c>
      <c r="H1642" s="27">
        <f>IF($L1642&lt;&gt;"",IF(INDEX(SCOp,$L1642)="مرجوعی فروش",IF(INDEX(SCAmount,$L1642)=0,"",-INDEX(SCAmount,$L1642)),""),IF($M1642&lt;&gt;"",IF(INDEX(LdgDepB,$M1642)=0,"",INDEX(LdgDepB,$M1642)),""))</f>
        <v/>
      </c>
      <c r="I1642" s="28">
        <f>IF($B1642="","",IF($I1641="",$C$10,$I1641)+IF($G1642="",0,$G1642)-IF($H1642="",0,$H1642))</f>
        <v/>
      </c>
      <c r="L1642">
        <f>IFERROR(MATCH($C$5&amp;"|"&amp;RIGHT("000000"&amp;1626,6),LdgRankKeyA,0),"")</f>
        <v/>
      </c>
      <c r="M1642">
        <f>IFERROR(MATCH($C$5&amp;"|"&amp;RIGHT("000000"&amp;1626,6),LdgRankKeyB,0),"")</f>
        <v/>
      </c>
    </row>
    <row r="1643">
      <c r="A1643" s="17" t="n">
        <v>1627</v>
      </c>
      <c r="B1643" s="18">
        <f>IF(AND($L1643="",$M1643=""),"",IF($L1643&lt;&gt;"",INDEX(SCNormDate,$L1643),INDEX(LdgDateB,$M1643)))</f>
        <v/>
      </c>
      <c r="C1643" s="18">
        <f>IF($L1643&lt;&gt;"",INDEX(SCOp,$L1643),IF($M1643&lt;&gt;"","پرداخت بانکی",""))</f>
        <v/>
      </c>
      <c r="D1643" s="18">
        <f>IF($L1643&lt;&gt;"",IF(INDEX(SCDoc,$L1643)="","—",INDEX(SCDoc,$L1643)),IF($M1643&lt;&gt;"",INDEX(LdgBankB,$M1643),""))</f>
        <v/>
      </c>
      <c r="E1643" s="19">
        <f>IF($L1643&lt;&gt;"",IF(INDEX(SCCitrus,$L1643)&amp;INDEX(SCNotes,$L1643)="","",IF(INDEX(SCCitrus,$L1643)="","",INDEX(SCCitrus,$L1643))&amp;IF(INDEX(SCNotes,$L1643)="",""," — "&amp;INDEX(SCNotes,$L1643))),IF($M1643&lt;&gt;"",IF(INDEX(LdgNoteB,$M1643)="","—",INDEX(LdgNoteB,$M1643)),""))</f>
        <v/>
      </c>
      <c r="F1643" s="20">
        <f>IF($L1643&lt;&gt;"",IF(INDEX(SCNet,$L1643)=0,"",INDEX(SCNet,$L1643)),"")</f>
        <v/>
      </c>
      <c r="G1643" s="21">
        <f>IF($L1643&lt;&gt;"",IF(INDEX(SCOp,$L1643)="مرجوعی فروش","",IF(INDEX(SCAmount,$L1643)&lt;=0,"",INDEX(SCAmount,$L1643))),IF($M1643&lt;&gt;"",IF(INDEX(LdgWitB,$M1643)=0,"",INDEX(LdgWitB,$M1643)),""))</f>
        <v/>
      </c>
      <c r="H1643" s="21">
        <f>IF($L1643&lt;&gt;"",IF(INDEX(SCOp,$L1643)="مرجوعی فروش",IF(INDEX(SCAmount,$L1643)=0,"",-INDEX(SCAmount,$L1643)),""),IF($M1643&lt;&gt;"",IF(INDEX(LdgDepB,$M1643)=0,"",INDEX(LdgDepB,$M1643)),""))</f>
        <v/>
      </c>
      <c r="I1643" s="22">
        <f>IF($B1643="","",IF($I1642="",$C$10,$I1642)+IF($G1643="",0,$G1643)-IF($H1643="",0,$H1643))</f>
        <v/>
      </c>
      <c r="L1643">
        <f>IFERROR(MATCH($C$5&amp;"|"&amp;RIGHT("000000"&amp;1627,6),LdgRankKeyA,0),"")</f>
        <v/>
      </c>
      <c r="M1643">
        <f>IFERROR(MATCH($C$5&amp;"|"&amp;RIGHT("000000"&amp;1627,6),LdgRankKeyB,0),"")</f>
        <v/>
      </c>
    </row>
    <row r="1644">
      <c r="A1644" s="23" t="n">
        <v>1628</v>
      </c>
      <c r="B1644" s="24">
        <f>IF(AND($L1644="",$M1644=""),"",IF($L1644&lt;&gt;"",INDEX(SCNormDate,$L1644),INDEX(LdgDateB,$M1644)))</f>
        <v/>
      </c>
      <c r="C1644" s="24">
        <f>IF($L1644&lt;&gt;"",INDEX(SCOp,$L1644),IF($M1644&lt;&gt;"","پرداخت بانکی",""))</f>
        <v/>
      </c>
      <c r="D1644" s="24">
        <f>IF($L1644&lt;&gt;"",IF(INDEX(SCDoc,$L1644)="","—",INDEX(SCDoc,$L1644)),IF($M1644&lt;&gt;"",INDEX(LdgBankB,$M1644),""))</f>
        <v/>
      </c>
      <c r="E1644" s="25">
        <f>IF($L1644&lt;&gt;"",IF(INDEX(SCCitrus,$L1644)&amp;INDEX(SCNotes,$L1644)="","",IF(INDEX(SCCitrus,$L1644)="","",INDEX(SCCitrus,$L1644))&amp;IF(INDEX(SCNotes,$L1644)="",""," — "&amp;INDEX(SCNotes,$L1644))),IF($M1644&lt;&gt;"",IF(INDEX(LdgNoteB,$M1644)="","—",INDEX(LdgNoteB,$M1644)),""))</f>
        <v/>
      </c>
      <c r="F1644" s="26">
        <f>IF($L1644&lt;&gt;"",IF(INDEX(SCNet,$L1644)=0,"",INDEX(SCNet,$L1644)),"")</f>
        <v/>
      </c>
      <c r="G1644" s="27">
        <f>IF($L1644&lt;&gt;"",IF(INDEX(SCOp,$L1644)="مرجوعی فروش","",IF(INDEX(SCAmount,$L1644)&lt;=0,"",INDEX(SCAmount,$L1644))),IF($M1644&lt;&gt;"",IF(INDEX(LdgWitB,$M1644)=0,"",INDEX(LdgWitB,$M1644)),""))</f>
        <v/>
      </c>
      <c r="H1644" s="27">
        <f>IF($L1644&lt;&gt;"",IF(INDEX(SCOp,$L1644)="مرجوعی فروش",IF(INDEX(SCAmount,$L1644)=0,"",-INDEX(SCAmount,$L1644)),""),IF($M1644&lt;&gt;"",IF(INDEX(LdgDepB,$M1644)=0,"",INDEX(LdgDepB,$M1644)),""))</f>
        <v/>
      </c>
      <c r="I1644" s="28">
        <f>IF($B1644="","",IF($I1643="",$C$10,$I1643)+IF($G1644="",0,$G1644)-IF($H1644="",0,$H1644))</f>
        <v/>
      </c>
      <c r="L1644">
        <f>IFERROR(MATCH($C$5&amp;"|"&amp;RIGHT("000000"&amp;1628,6),LdgRankKeyA,0),"")</f>
        <v/>
      </c>
      <c r="M1644">
        <f>IFERROR(MATCH($C$5&amp;"|"&amp;RIGHT("000000"&amp;1628,6),LdgRankKeyB,0),"")</f>
        <v/>
      </c>
    </row>
    <row r="1645">
      <c r="A1645" s="17" t="n">
        <v>1629</v>
      </c>
      <c r="B1645" s="18">
        <f>IF(AND($L1645="",$M1645=""),"",IF($L1645&lt;&gt;"",INDEX(SCNormDate,$L1645),INDEX(LdgDateB,$M1645)))</f>
        <v/>
      </c>
      <c r="C1645" s="18">
        <f>IF($L1645&lt;&gt;"",INDEX(SCOp,$L1645),IF($M1645&lt;&gt;"","پرداخت بانکی",""))</f>
        <v/>
      </c>
      <c r="D1645" s="18">
        <f>IF($L1645&lt;&gt;"",IF(INDEX(SCDoc,$L1645)="","—",INDEX(SCDoc,$L1645)),IF($M1645&lt;&gt;"",INDEX(LdgBankB,$M1645),""))</f>
        <v/>
      </c>
      <c r="E1645" s="19">
        <f>IF($L1645&lt;&gt;"",IF(INDEX(SCCitrus,$L1645)&amp;INDEX(SCNotes,$L1645)="","",IF(INDEX(SCCitrus,$L1645)="","",INDEX(SCCitrus,$L1645))&amp;IF(INDEX(SCNotes,$L1645)="",""," — "&amp;INDEX(SCNotes,$L1645))),IF($M1645&lt;&gt;"",IF(INDEX(LdgNoteB,$M1645)="","—",INDEX(LdgNoteB,$M1645)),""))</f>
        <v/>
      </c>
      <c r="F1645" s="20">
        <f>IF($L1645&lt;&gt;"",IF(INDEX(SCNet,$L1645)=0,"",INDEX(SCNet,$L1645)),"")</f>
        <v/>
      </c>
      <c r="G1645" s="21">
        <f>IF($L1645&lt;&gt;"",IF(INDEX(SCOp,$L1645)="مرجوعی فروش","",IF(INDEX(SCAmount,$L1645)&lt;=0,"",INDEX(SCAmount,$L1645))),IF($M1645&lt;&gt;"",IF(INDEX(LdgWitB,$M1645)=0,"",INDEX(LdgWitB,$M1645)),""))</f>
        <v/>
      </c>
      <c r="H1645" s="21">
        <f>IF($L1645&lt;&gt;"",IF(INDEX(SCOp,$L1645)="مرجوعی فروش",IF(INDEX(SCAmount,$L1645)=0,"",-INDEX(SCAmount,$L1645)),""),IF($M1645&lt;&gt;"",IF(INDEX(LdgDepB,$M1645)=0,"",INDEX(LdgDepB,$M1645)),""))</f>
        <v/>
      </c>
      <c r="I1645" s="22">
        <f>IF($B1645="","",IF($I1644="",$C$10,$I1644)+IF($G1645="",0,$G1645)-IF($H1645="",0,$H1645))</f>
        <v/>
      </c>
      <c r="L1645">
        <f>IFERROR(MATCH($C$5&amp;"|"&amp;RIGHT("000000"&amp;1629,6),LdgRankKeyA,0),"")</f>
        <v/>
      </c>
      <c r="M1645">
        <f>IFERROR(MATCH($C$5&amp;"|"&amp;RIGHT("000000"&amp;1629,6),LdgRankKeyB,0),"")</f>
        <v/>
      </c>
    </row>
    <row r="1646">
      <c r="A1646" s="23" t="n">
        <v>1630</v>
      </c>
      <c r="B1646" s="24">
        <f>IF(AND($L1646="",$M1646=""),"",IF($L1646&lt;&gt;"",INDEX(SCNormDate,$L1646),INDEX(LdgDateB,$M1646)))</f>
        <v/>
      </c>
      <c r="C1646" s="24">
        <f>IF($L1646&lt;&gt;"",INDEX(SCOp,$L1646),IF($M1646&lt;&gt;"","پرداخت بانکی",""))</f>
        <v/>
      </c>
      <c r="D1646" s="24">
        <f>IF($L1646&lt;&gt;"",IF(INDEX(SCDoc,$L1646)="","—",INDEX(SCDoc,$L1646)),IF($M1646&lt;&gt;"",INDEX(LdgBankB,$M1646),""))</f>
        <v/>
      </c>
      <c r="E1646" s="25">
        <f>IF($L1646&lt;&gt;"",IF(INDEX(SCCitrus,$L1646)&amp;INDEX(SCNotes,$L1646)="","",IF(INDEX(SCCitrus,$L1646)="","",INDEX(SCCitrus,$L1646))&amp;IF(INDEX(SCNotes,$L1646)="",""," — "&amp;INDEX(SCNotes,$L1646))),IF($M1646&lt;&gt;"",IF(INDEX(LdgNoteB,$M1646)="","—",INDEX(LdgNoteB,$M1646)),""))</f>
        <v/>
      </c>
      <c r="F1646" s="26">
        <f>IF($L1646&lt;&gt;"",IF(INDEX(SCNet,$L1646)=0,"",INDEX(SCNet,$L1646)),"")</f>
        <v/>
      </c>
      <c r="G1646" s="27">
        <f>IF($L1646&lt;&gt;"",IF(INDEX(SCOp,$L1646)="مرجوعی فروش","",IF(INDEX(SCAmount,$L1646)&lt;=0,"",INDEX(SCAmount,$L1646))),IF($M1646&lt;&gt;"",IF(INDEX(LdgWitB,$M1646)=0,"",INDEX(LdgWitB,$M1646)),""))</f>
        <v/>
      </c>
      <c r="H1646" s="27">
        <f>IF($L1646&lt;&gt;"",IF(INDEX(SCOp,$L1646)="مرجوعی فروش",IF(INDEX(SCAmount,$L1646)=0,"",-INDEX(SCAmount,$L1646)),""),IF($M1646&lt;&gt;"",IF(INDEX(LdgDepB,$M1646)=0,"",INDEX(LdgDepB,$M1646)),""))</f>
        <v/>
      </c>
      <c r="I1646" s="28">
        <f>IF($B1646="","",IF($I1645="",$C$10,$I1645)+IF($G1646="",0,$G1646)-IF($H1646="",0,$H1646))</f>
        <v/>
      </c>
      <c r="L1646">
        <f>IFERROR(MATCH($C$5&amp;"|"&amp;RIGHT("000000"&amp;1630,6),LdgRankKeyA,0),"")</f>
        <v/>
      </c>
      <c r="M1646">
        <f>IFERROR(MATCH($C$5&amp;"|"&amp;RIGHT("000000"&amp;1630,6),LdgRankKeyB,0),"")</f>
        <v/>
      </c>
    </row>
    <row r="1647">
      <c r="A1647" s="17" t="n">
        <v>1631</v>
      </c>
      <c r="B1647" s="18">
        <f>IF(AND($L1647="",$M1647=""),"",IF($L1647&lt;&gt;"",INDEX(SCNormDate,$L1647),INDEX(LdgDateB,$M1647)))</f>
        <v/>
      </c>
      <c r="C1647" s="18">
        <f>IF($L1647&lt;&gt;"",INDEX(SCOp,$L1647),IF($M1647&lt;&gt;"","پرداخت بانکی",""))</f>
        <v/>
      </c>
      <c r="D1647" s="18">
        <f>IF($L1647&lt;&gt;"",IF(INDEX(SCDoc,$L1647)="","—",INDEX(SCDoc,$L1647)),IF($M1647&lt;&gt;"",INDEX(LdgBankB,$M1647),""))</f>
        <v/>
      </c>
      <c r="E1647" s="19">
        <f>IF($L1647&lt;&gt;"",IF(INDEX(SCCitrus,$L1647)&amp;INDEX(SCNotes,$L1647)="","",IF(INDEX(SCCitrus,$L1647)="","",INDEX(SCCitrus,$L1647))&amp;IF(INDEX(SCNotes,$L1647)="",""," — "&amp;INDEX(SCNotes,$L1647))),IF($M1647&lt;&gt;"",IF(INDEX(LdgNoteB,$M1647)="","—",INDEX(LdgNoteB,$M1647)),""))</f>
        <v/>
      </c>
      <c r="F1647" s="20">
        <f>IF($L1647&lt;&gt;"",IF(INDEX(SCNet,$L1647)=0,"",INDEX(SCNet,$L1647)),"")</f>
        <v/>
      </c>
      <c r="G1647" s="21">
        <f>IF($L1647&lt;&gt;"",IF(INDEX(SCOp,$L1647)="مرجوعی فروش","",IF(INDEX(SCAmount,$L1647)&lt;=0,"",INDEX(SCAmount,$L1647))),IF($M1647&lt;&gt;"",IF(INDEX(LdgWitB,$M1647)=0,"",INDEX(LdgWitB,$M1647)),""))</f>
        <v/>
      </c>
      <c r="H1647" s="21">
        <f>IF($L1647&lt;&gt;"",IF(INDEX(SCOp,$L1647)="مرجوعی فروش",IF(INDEX(SCAmount,$L1647)=0,"",-INDEX(SCAmount,$L1647)),""),IF($M1647&lt;&gt;"",IF(INDEX(LdgDepB,$M1647)=0,"",INDEX(LdgDepB,$M1647)),""))</f>
        <v/>
      </c>
      <c r="I1647" s="22">
        <f>IF($B1647="","",IF($I1646="",$C$10,$I1646)+IF($G1647="",0,$G1647)-IF($H1647="",0,$H1647))</f>
        <v/>
      </c>
      <c r="L1647">
        <f>IFERROR(MATCH($C$5&amp;"|"&amp;RIGHT("000000"&amp;1631,6),LdgRankKeyA,0),"")</f>
        <v/>
      </c>
      <c r="M1647">
        <f>IFERROR(MATCH($C$5&amp;"|"&amp;RIGHT("000000"&amp;1631,6),LdgRankKeyB,0),"")</f>
        <v/>
      </c>
    </row>
    <row r="1648">
      <c r="A1648" s="23" t="n">
        <v>1632</v>
      </c>
      <c r="B1648" s="24">
        <f>IF(AND($L1648="",$M1648=""),"",IF($L1648&lt;&gt;"",INDEX(SCNormDate,$L1648),INDEX(LdgDateB,$M1648)))</f>
        <v/>
      </c>
      <c r="C1648" s="24">
        <f>IF($L1648&lt;&gt;"",INDEX(SCOp,$L1648),IF($M1648&lt;&gt;"","پرداخت بانکی",""))</f>
        <v/>
      </c>
      <c r="D1648" s="24">
        <f>IF($L1648&lt;&gt;"",IF(INDEX(SCDoc,$L1648)="","—",INDEX(SCDoc,$L1648)),IF($M1648&lt;&gt;"",INDEX(LdgBankB,$M1648),""))</f>
        <v/>
      </c>
      <c r="E1648" s="25">
        <f>IF($L1648&lt;&gt;"",IF(INDEX(SCCitrus,$L1648)&amp;INDEX(SCNotes,$L1648)="","",IF(INDEX(SCCitrus,$L1648)="","",INDEX(SCCitrus,$L1648))&amp;IF(INDEX(SCNotes,$L1648)="",""," — "&amp;INDEX(SCNotes,$L1648))),IF($M1648&lt;&gt;"",IF(INDEX(LdgNoteB,$M1648)="","—",INDEX(LdgNoteB,$M1648)),""))</f>
        <v/>
      </c>
      <c r="F1648" s="26">
        <f>IF($L1648&lt;&gt;"",IF(INDEX(SCNet,$L1648)=0,"",INDEX(SCNet,$L1648)),"")</f>
        <v/>
      </c>
      <c r="G1648" s="27">
        <f>IF($L1648&lt;&gt;"",IF(INDEX(SCOp,$L1648)="مرجوعی فروش","",IF(INDEX(SCAmount,$L1648)&lt;=0,"",INDEX(SCAmount,$L1648))),IF($M1648&lt;&gt;"",IF(INDEX(LdgWitB,$M1648)=0,"",INDEX(LdgWitB,$M1648)),""))</f>
        <v/>
      </c>
      <c r="H1648" s="27">
        <f>IF($L1648&lt;&gt;"",IF(INDEX(SCOp,$L1648)="مرجوعی فروش",IF(INDEX(SCAmount,$L1648)=0,"",-INDEX(SCAmount,$L1648)),""),IF($M1648&lt;&gt;"",IF(INDEX(LdgDepB,$M1648)=0,"",INDEX(LdgDepB,$M1648)),""))</f>
        <v/>
      </c>
      <c r="I1648" s="28">
        <f>IF($B1648="","",IF($I1647="",$C$10,$I1647)+IF($G1648="",0,$G1648)-IF($H1648="",0,$H1648))</f>
        <v/>
      </c>
      <c r="L1648">
        <f>IFERROR(MATCH($C$5&amp;"|"&amp;RIGHT("000000"&amp;1632,6),LdgRankKeyA,0),"")</f>
        <v/>
      </c>
      <c r="M1648">
        <f>IFERROR(MATCH($C$5&amp;"|"&amp;RIGHT("000000"&amp;1632,6),LdgRankKeyB,0),"")</f>
        <v/>
      </c>
    </row>
    <row r="1649">
      <c r="A1649" s="17" t="n">
        <v>1633</v>
      </c>
      <c r="B1649" s="18">
        <f>IF(AND($L1649="",$M1649=""),"",IF($L1649&lt;&gt;"",INDEX(SCNormDate,$L1649),INDEX(LdgDateB,$M1649)))</f>
        <v/>
      </c>
      <c r="C1649" s="18">
        <f>IF($L1649&lt;&gt;"",INDEX(SCOp,$L1649),IF($M1649&lt;&gt;"","پرداخت بانکی",""))</f>
        <v/>
      </c>
      <c r="D1649" s="18">
        <f>IF($L1649&lt;&gt;"",IF(INDEX(SCDoc,$L1649)="","—",INDEX(SCDoc,$L1649)),IF($M1649&lt;&gt;"",INDEX(LdgBankB,$M1649),""))</f>
        <v/>
      </c>
      <c r="E1649" s="19">
        <f>IF($L1649&lt;&gt;"",IF(INDEX(SCCitrus,$L1649)&amp;INDEX(SCNotes,$L1649)="","",IF(INDEX(SCCitrus,$L1649)="","",INDEX(SCCitrus,$L1649))&amp;IF(INDEX(SCNotes,$L1649)="",""," — "&amp;INDEX(SCNotes,$L1649))),IF($M1649&lt;&gt;"",IF(INDEX(LdgNoteB,$M1649)="","—",INDEX(LdgNoteB,$M1649)),""))</f>
        <v/>
      </c>
      <c r="F1649" s="20">
        <f>IF($L1649&lt;&gt;"",IF(INDEX(SCNet,$L1649)=0,"",INDEX(SCNet,$L1649)),"")</f>
        <v/>
      </c>
      <c r="G1649" s="21">
        <f>IF($L1649&lt;&gt;"",IF(INDEX(SCOp,$L1649)="مرجوعی فروش","",IF(INDEX(SCAmount,$L1649)&lt;=0,"",INDEX(SCAmount,$L1649))),IF($M1649&lt;&gt;"",IF(INDEX(LdgWitB,$M1649)=0,"",INDEX(LdgWitB,$M1649)),""))</f>
        <v/>
      </c>
      <c r="H1649" s="21">
        <f>IF($L1649&lt;&gt;"",IF(INDEX(SCOp,$L1649)="مرجوعی فروش",IF(INDEX(SCAmount,$L1649)=0,"",-INDEX(SCAmount,$L1649)),""),IF($M1649&lt;&gt;"",IF(INDEX(LdgDepB,$M1649)=0,"",INDEX(LdgDepB,$M1649)),""))</f>
        <v/>
      </c>
      <c r="I1649" s="22">
        <f>IF($B1649="","",IF($I1648="",$C$10,$I1648)+IF($G1649="",0,$G1649)-IF($H1649="",0,$H1649))</f>
        <v/>
      </c>
      <c r="L1649">
        <f>IFERROR(MATCH($C$5&amp;"|"&amp;RIGHT("000000"&amp;1633,6),LdgRankKeyA,0),"")</f>
        <v/>
      </c>
      <c r="M1649">
        <f>IFERROR(MATCH($C$5&amp;"|"&amp;RIGHT("000000"&amp;1633,6),LdgRankKeyB,0),"")</f>
        <v/>
      </c>
    </row>
    <row r="1650">
      <c r="A1650" s="23" t="n">
        <v>1634</v>
      </c>
      <c r="B1650" s="24">
        <f>IF(AND($L1650="",$M1650=""),"",IF($L1650&lt;&gt;"",INDEX(SCNormDate,$L1650),INDEX(LdgDateB,$M1650)))</f>
        <v/>
      </c>
      <c r="C1650" s="24">
        <f>IF($L1650&lt;&gt;"",INDEX(SCOp,$L1650),IF($M1650&lt;&gt;"","پرداخت بانکی",""))</f>
        <v/>
      </c>
      <c r="D1650" s="24">
        <f>IF($L1650&lt;&gt;"",IF(INDEX(SCDoc,$L1650)="","—",INDEX(SCDoc,$L1650)),IF($M1650&lt;&gt;"",INDEX(LdgBankB,$M1650),""))</f>
        <v/>
      </c>
      <c r="E1650" s="25">
        <f>IF($L1650&lt;&gt;"",IF(INDEX(SCCitrus,$L1650)&amp;INDEX(SCNotes,$L1650)="","",IF(INDEX(SCCitrus,$L1650)="","",INDEX(SCCitrus,$L1650))&amp;IF(INDEX(SCNotes,$L1650)="",""," — "&amp;INDEX(SCNotes,$L1650))),IF($M1650&lt;&gt;"",IF(INDEX(LdgNoteB,$M1650)="","—",INDEX(LdgNoteB,$M1650)),""))</f>
        <v/>
      </c>
      <c r="F1650" s="26">
        <f>IF($L1650&lt;&gt;"",IF(INDEX(SCNet,$L1650)=0,"",INDEX(SCNet,$L1650)),"")</f>
        <v/>
      </c>
      <c r="G1650" s="27">
        <f>IF($L1650&lt;&gt;"",IF(INDEX(SCOp,$L1650)="مرجوعی فروش","",IF(INDEX(SCAmount,$L1650)&lt;=0,"",INDEX(SCAmount,$L1650))),IF($M1650&lt;&gt;"",IF(INDEX(LdgWitB,$M1650)=0,"",INDEX(LdgWitB,$M1650)),""))</f>
        <v/>
      </c>
      <c r="H1650" s="27">
        <f>IF($L1650&lt;&gt;"",IF(INDEX(SCOp,$L1650)="مرجوعی فروش",IF(INDEX(SCAmount,$L1650)=0,"",-INDEX(SCAmount,$L1650)),""),IF($M1650&lt;&gt;"",IF(INDEX(LdgDepB,$M1650)=0,"",INDEX(LdgDepB,$M1650)),""))</f>
        <v/>
      </c>
      <c r="I1650" s="28">
        <f>IF($B1650="","",IF($I1649="",$C$10,$I1649)+IF($G1650="",0,$G1650)-IF($H1650="",0,$H1650))</f>
        <v/>
      </c>
      <c r="L1650">
        <f>IFERROR(MATCH($C$5&amp;"|"&amp;RIGHT("000000"&amp;1634,6),LdgRankKeyA,0),"")</f>
        <v/>
      </c>
      <c r="M1650">
        <f>IFERROR(MATCH($C$5&amp;"|"&amp;RIGHT("000000"&amp;1634,6),LdgRankKeyB,0),"")</f>
        <v/>
      </c>
    </row>
    <row r="1651">
      <c r="A1651" s="17" t="n">
        <v>1635</v>
      </c>
      <c r="B1651" s="18">
        <f>IF(AND($L1651="",$M1651=""),"",IF($L1651&lt;&gt;"",INDEX(SCNormDate,$L1651),INDEX(LdgDateB,$M1651)))</f>
        <v/>
      </c>
      <c r="C1651" s="18">
        <f>IF($L1651&lt;&gt;"",INDEX(SCOp,$L1651),IF($M1651&lt;&gt;"","پرداخت بانکی",""))</f>
        <v/>
      </c>
      <c r="D1651" s="18">
        <f>IF($L1651&lt;&gt;"",IF(INDEX(SCDoc,$L1651)="","—",INDEX(SCDoc,$L1651)),IF($M1651&lt;&gt;"",INDEX(LdgBankB,$M1651),""))</f>
        <v/>
      </c>
      <c r="E1651" s="19">
        <f>IF($L1651&lt;&gt;"",IF(INDEX(SCCitrus,$L1651)&amp;INDEX(SCNotes,$L1651)="","",IF(INDEX(SCCitrus,$L1651)="","",INDEX(SCCitrus,$L1651))&amp;IF(INDEX(SCNotes,$L1651)="",""," — "&amp;INDEX(SCNotes,$L1651))),IF($M1651&lt;&gt;"",IF(INDEX(LdgNoteB,$M1651)="","—",INDEX(LdgNoteB,$M1651)),""))</f>
        <v/>
      </c>
      <c r="F1651" s="20">
        <f>IF($L1651&lt;&gt;"",IF(INDEX(SCNet,$L1651)=0,"",INDEX(SCNet,$L1651)),"")</f>
        <v/>
      </c>
      <c r="G1651" s="21">
        <f>IF($L1651&lt;&gt;"",IF(INDEX(SCOp,$L1651)="مرجوعی فروش","",IF(INDEX(SCAmount,$L1651)&lt;=0,"",INDEX(SCAmount,$L1651))),IF($M1651&lt;&gt;"",IF(INDEX(LdgWitB,$M1651)=0,"",INDEX(LdgWitB,$M1651)),""))</f>
        <v/>
      </c>
      <c r="H1651" s="21">
        <f>IF($L1651&lt;&gt;"",IF(INDEX(SCOp,$L1651)="مرجوعی فروش",IF(INDEX(SCAmount,$L1651)=0,"",-INDEX(SCAmount,$L1651)),""),IF($M1651&lt;&gt;"",IF(INDEX(LdgDepB,$M1651)=0,"",INDEX(LdgDepB,$M1651)),""))</f>
        <v/>
      </c>
      <c r="I1651" s="22">
        <f>IF($B1651="","",IF($I1650="",$C$10,$I1650)+IF($G1651="",0,$G1651)-IF($H1651="",0,$H1651))</f>
        <v/>
      </c>
      <c r="L1651">
        <f>IFERROR(MATCH($C$5&amp;"|"&amp;RIGHT("000000"&amp;1635,6),LdgRankKeyA,0),"")</f>
        <v/>
      </c>
      <c r="M1651">
        <f>IFERROR(MATCH($C$5&amp;"|"&amp;RIGHT("000000"&amp;1635,6),LdgRankKeyB,0),"")</f>
        <v/>
      </c>
    </row>
    <row r="1652">
      <c r="A1652" s="23" t="n">
        <v>1636</v>
      </c>
      <c r="B1652" s="24">
        <f>IF(AND($L1652="",$M1652=""),"",IF($L1652&lt;&gt;"",INDEX(SCNormDate,$L1652),INDEX(LdgDateB,$M1652)))</f>
        <v/>
      </c>
      <c r="C1652" s="24">
        <f>IF($L1652&lt;&gt;"",INDEX(SCOp,$L1652),IF($M1652&lt;&gt;"","پرداخت بانکی",""))</f>
        <v/>
      </c>
      <c r="D1652" s="24">
        <f>IF($L1652&lt;&gt;"",IF(INDEX(SCDoc,$L1652)="","—",INDEX(SCDoc,$L1652)),IF($M1652&lt;&gt;"",INDEX(LdgBankB,$M1652),""))</f>
        <v/>
      </c>
      <c r="E1652" s="25">
        <f>IF($L1652&lt;&gt;"",IF(INDEX(SCCitrus,$L1652)&amp;INDEX(SCNotes,$L1652)="","",IF(INDEX(SCCitrus,$L1652)="","",INDEX(SCCitrus,$L1652))&amp;IF(INDEX(SCNotes,$L1652)="",""," — "&amp;INDEX(SCNotes,$L1652))),IF($M1652&lt;&gt;"",IF(INDEX(LdgNoteB,$M1652)="","—",INDEX(LdgNoteB,$M1652)),""))</f>
        <v/>
      </c>
      <c r="F1652" s="26">
        <f>IF($L1652&lt;&gt;"",IF(INDEX(SCNet,$L1652)=0,"",INDEX(SCNet,$L1652)),"")</f>
        <v/>
      </c>
      <c r="G1652" s="27">
        <f>IF($L1652&lt;&gt;"",IF(INDEX(SCOp,$L1652)="مرجوعی فروش","",IF(INDEX(SCAmount,$L1652)&lt;=0,"",INDEX(SCAmount,$L1652))),IF($M1652&lt;&gt;"",IF(INDEX(LdgWitB,$M1652)=0,"",INDEX(LdgWitB,$M1652)),""))</f>
        <v/>
      </c>
      <c r="H1652" s="27">
        <f>IF($L1652&lt;&gt;"",IF(INDEX(SCOp,$L1652)="مرجوعی فروش",IF(INDEX(SCAmount,$L1652)=0,"",-INDEX(SCAmount,$L1652)),""),IF($M1652&lt;&gt;"",IF(INDEX(LdgDepB,$M1652)=0,"",INDEX(LdgDepB,$M1652)),""))</f>
        <v/>
      </c>
      <c r="I1652" s="28">
        <f>IF($B1652="","",IF($I1651="",$C$10,$I1651)+IF($G1652="",0,$G1652)-IF($H1652="",0,$H1652))</f>
        <v/>
      </c>
      <c r="L1652">
        <f>IFERROR(MATCH($C$5&amp;"|"&amp;RIGHT("000000"&amp;1636,6),LdgRankKeyA,0),"")</f>
        <v/>
      </c>
      <c r="M1652">
        <f>IFERROR(MATCH($C$5&amp;"|"&amp;RIGHT("000000"&amp;1636,6),LdgRankKeyB,0),"")</f>
        <v/>
      </c>
    </row>
    <row r="1653">
      <c r="A1653" s="17" t="n">
        <v>1637</v>
      </c>
      <c r="B1653" s="18">
        <f>IF(AND($L1653="",$M1653=""),"",IF($L1653&lt;&gt;"",INDEX(SCNormDate,$L1653),INDEX(LdgDateB,$M1653)))</f>
        <v/>
      </c>
      <c r="C1653" s="18">
        <f>IF($L1653&lt;&gt;"",INDEX(SCOp,$L1653),IF($M1653&lt;&gt;"","پرداخت بانکی",""))</f>
        <v/>
      </c>
      <c r="D1653" s="18">
        <f>IF($L1653&lt;&gt;"",IF(INDEX(SCDoc,$L1653)="","—",INDEX(SCDoc,$L1653)),IF($M1653&lt;&gt;"",INDEX(LdgBankB,$M1653),""))</f>
        <v/>
      </c>
      <c r="E1653" s="19">
        <f>IF($L1653&lt;&gt;"",IF(INDEX(SCCitrus,$L1653)&amp;INDEX(SCNotes,$L1653)="","",IF(INDEX(SCCitrus,$L1653)="","",INDEX(SCCitrus,$L1653))&amp;IF(INDEX(SCNotes,$L1653)="",""," — "&amp;INDEX(SCNotes,$L1653))),IF($M1653&lt;&gt;"",IF(INDEX(LdgNoteB,$M1653)="","—",INDEX(LdgNoteB,$M1653)),""))</f>
        <v/>
      </c>
      <c r="F1653" s="20">
        <f>IF($L1653&lt;&gt;"",IF(INDEX(SCNet,$L1653)=0,"",INDEX(SCNet,$L1653)),"")</f>
        <v/>
      </c>
      <c r="G1653" s="21">
        <f>IF($L1653&lt;&gt;"",IF(INDEX(SCOp,$L1653)="مرجوعی فروش","",IF(INDEX(SCAmount,$L1653)&lt;=0,"",INDEX(SCAmount,$L1653))),IF($M1653&lt;&gt;"",IF(INDEX(LdgWitB,$M1653)=0,"",INDEX(LdgWitB,$M1653)),""))</f>
        <v/>
      </c>
      <c r="H1653" s="21">
        <f>IF($L1653&lt;&gt;"",IF(INDEX(SCOp,$L1653)="مرجوعی فروش",IF(INDEX(SCAmount,$L1653)=0,"",-INDEX(SCAmount,$L1653)),""),IF($M1653&lt;&gt;"",IF(INDEX(LdgDepB,$M1653)=0,"",INDEX(LdgDepB,$M1653)),""))</f>
        <v/>
      </c>
      <c r="I1653" s="22">
        <f>IF($B1653="","",IF($I1652="",$C$10,$I1652)+IF($G1653="",0,$G1653)-IF($H1653="",0,$H1653))</f>
        <v/>
      </c>
      <c r="L1653">
        <f>IFERROR(MATCH($C$5&amp;"|"&amp;RIGHT("000000"&amp;1637,6),LdgRankKeyA,0),"")</f>
        <v/>
      </c>
      <c r="M1653">
        <f>IFERROR(MATCH($C$5&amp;"|"&amp;RIGHT("000000"&amp;1637,6),LdgRankKeyB,0),"")</f>
        <v/>
      </c>
    </row>
    <row r="1654">
      <c r="A1654" s="23" t="n">
        <v>1638</v>
      </c>
      <c r="B1654" s="24">
        <f>IF(AND($L1654="",$M1654=""),"",IF($L1654&lt;&gt;"",INDEX(SCNormDate,$L1654),INDEX(LdgDateB,$M1654)))</f>
        <v/>
      </c>
      <c r="C1654" s="24">
        <f>IF($L1654&lt;&gt;"",INDEX(SCOp,$L1654),IF($M1654&lt;&gt;"","پرداخت بانکی",""))</f>
        <v/>
      </c>
      <c r="D1654" s="24">
        <f>IF($L1654&lt;&gt;"",IF(INDEX(SCDoc,$L1654)="","—",INDEX(SCDoc,$L1654)),IF($M1654&lt;&gt;"",INDEX(LdgBankB,$M1654),""))</f>
        <v/>
      </c>
      <c r="E1654" s="25">
        <f>IF($L1654&lt;&gt;"",IF(INDEX(SCCitrus,$L1654)&amp;INDEX(SCNotes,$L1654)="","",IF(INDEX(SCCitrus,$L1654)="","",INDEX(SCCitrus,$L1654))&amp;IF(INDEX(SCNotes,$L1654)="",""," — "&amp;INDEX(SCNotes,$L1654))),IF($M1654&lt;&gt;"",IF(INDEX(LdgNoteB,$M1654)="","—",INDEX(LdgNoteB,$M1654)),""))</f>
        <v/>
      </c>
      <c r="F1654" s="26">
        <f>IF($L1654&lt;&gt;"",IF(INDEX(SCNet,$L1654)=0,"",INDEX(SCNet,$L1654)),"")</f>
        <v/>
      </c>
      <c r="G1654" s="27">
        <f>IF($L1654&lt;&gt;"",IF(INDEX(SCOp,$L1654)="مرجوعی فروش","",IF(INDEX(SCAmount,$L1654)&lt;=0,"",INDEX(SCAmount,$L1654))),IF($M1654&lt;&gt;"",IF(INDEX(LdgWitB,$M1654)=0,"",INDEX(LdgWitB,$M1654)),""))</f>
        <v/>
      </c>
      <c r="H1654" s="27">
        <f>IF($L1654&lt;&gt;"",IF(INDEX(SCOp,$L1654)="مرجوعی فروش",IF(INDEX(SCAmount,$L1654)=0,"",-INDEX(SCAmount,$L1654)),""),IF($M1654&lt;&gt;"",IF(INDEX(LdgDepB,$M1654)=0,"",INDEX(LdgDepB,$M1654)),""))</f>
        <v/>
      </c>
      <c r="I1654" s="28">
        <f>IF($B1654="","",IF($I1653="",$C$10,$I1653)+IF($G1654="",0,$G1654)-IF($H1654="",0,$H1654))</f>
        <v/>
      </c>
      <c r="L1654">
        <f>IFERROR(MATCH($C$5&amp;"|"&amp;RIGHT("000000"&amp;1638,6),LdgRankKeyA,0),"")</f>
        <v/>
      </c>
      <c r="M1654">
        <f>IFERROR(MATCH($C$5&amp;"|"&amp;RIGHT("000000"&amp;1638,6),LdgRankKeyB,0),"")</f>
        <v/>
      </c>
    </row>
    <row r="1655">
      <c r="A1655" s="17" t="n">
        <v>1639</v>
      </c>
      <c r="B1655" s="18">
        <f>IF(AND($L1655="",$M1655=""),"",IF($L1655&lt;&gt;"",INDEX(SCNormDate,$L1655),INDEX(LdgDateB,$M1655)))</f>
        <v/>
      </c>
      <c r="C1655" s="18">
        <f>IF($L1655&lt;&gt;"",INDEX(SCOp,$L1655),IF($M1655&lt;&gt;"","پرداخت بانکی",""))</f>
        <v/>
      </c>
      <c r="D1655" s="18">
        <f>IF($L1655&lt;&gt;"",IF(INDEX(SCDoc,$L1655)="","—",INDEX(SCDoc,$L1655)),IF($M1655&lt;&gt;"",INDEX(LdgBankB,$M1655),""))</f>
        <v/>
      </c>
      <c r="E1655" s="19">
        <f>IF($L1655&lt;&gt;"",IF(INDEX(SCCitrus,$L1655)&amp;INDEX(SCNotes,$L1655)="","",IF(INDEX(SCCitrus,$L1655)="","",INDEX(SCCitrus,$L1655))&amp;IF(INDEX(SCNotes,$L1655)="",""," — "&amp;INDEX(SCNotes,$L1655))),IF($M1655&lt;&gt;"",IF(INDEX(LdgNoteB,$M1655)="","—",INDEX(LdgNoteB,$M1655)),""))</f>
        <v/>
      </c>
      <c r="F1655" s="20">
        <f>IF($L1655&lt;&gt;"",IF(INDEX(SCNet,$L1655)=0,"",INDEX(SCNet,$L1655)),"")</f>
        <v/>
      </c>
      <c r="G1655" s="21">
        <f>IF($L1655&lt;&gt;"",IF(INDEX(SCOp,$L1655)="مرجوعی فروش","",IF(INDEX(SCAmount,$L1655)&lt;=0,"",INDEX(SCAmount,$L1655))),IF($M1655&lt;&gt;"",IF(INDEX(LdgWitB,$M1655)=0,"",INDEX(LdgWitB,$M1655)),""))</f>
        <v/>
      </c>
      <c r="H1655" s="21">
        <f>IF($L1655&lt;&gt;"",IF(INDEX(SCOp,$L1655)="مرجوعی فروش",IF(INDEX(SCAmount,$L1655)=0,"",-INDEX(SCAmount,$L1655)),""),IF($M1655&lt;&gt;"",IF(INDEX(LdgDepB,$M1655)=0,"",INDEX(LdgDepB,$M1655)),""))</f>
        <v/>
      </c>
      <c r="I1655" s="22">
        <f>IF($B1655="","",IF($I1654="",$C$10,$I1654)+IF($G1655="",0,$G1655)-IF($H1655="",0,$H1655))</f>
        <v/>
      </c>
      <c r="L1655">
        <f>IFERROR(MATCH($C$5&amp;"|"&amp;RIGHT("000000"&amp;1639,6),LdgRankKeyA,0),"")</f>
        <v/>
      </c>
      <c r="M1655">
        <f>IFERROR(MATCH($C$5&amp;"|"&amp;RIGHT("000000"&amp;1639,6),LdgRankKeyB,0),"")</f>
        <v/>
      </c>
    </row>
    <row r="1656">
      <c r="A1656" s="23" t="n">
        <v>1640</v>
      </c>
      <c r="B1656" s="24">
        <f>IF(AND($L1656="",$M1656=""),"",IF($L1656&lt;&gt;"",INDEX(SCNormDate,$L1656),INDEX(LdgDateB,$M1656)))</f>
        <v/>
      </c>
      <c r="C1656" s="24">
        <f>IF($L1656&lt;&gt;"",INDEX(SCOp,$L1656),IF($M1656&lt;&gt;"","پرداخت بانکی",""))</f>
        <v/>
      </c>
      <c r="D1656" s="24">
        <f>IF($L1656&lt;&gt;"",IF(INDEX(SCDoc,$L1656)="","—",INDEX(SCDoc,$L1656)),IF($M1656&lt;&gt;"",INDEX(LdgBankB,$M1656),""))</f>
        <v/>
      </c>
      <c r="E1656" s="25">
        <f>IF($L1656&lt;&gt;"",IF(INDEX(SCCitrus,$L1656)&amp;INDEX(SCNotes,$L1656)="","",IF(INDEX(SCCitrus,$L1656)="","",INDEX(SCCitrus,$L1656))&amp;IF(INDEX(SCNotes,$L1656)="",""," — "&amp;INDEX(SCNotes,$L1656))),IF($M1656&lt;&gt;"",IF(INDEX(LdgNoteB,$M1656)="","—",INDEX(LdgNoteB,$M1656)),""))</f>
        <v/>
      </c>
      <c r="F1656" s="26">
        <f>IF($L1656&lt;&gt;"",IF(INDEX(SCNet,$L1656)=0,"",INDEX(SCNet,$L1656)),"")</f>
        <v/>
      </c>
      <c r="G1656" s="27">
        <f>IF($L1656&lt;&gt;"",IF(INDEX(SCOp,$L1656)="مرجوعی فروش","",IF(INDEX(SCAmount,$L1656)&lt;=0,"",INDEX(SCAmount,$L1656))),IF($M1656&lt;&gt;"",IF(INDEX(LdgWitB,$M1656)=0,"",INDEX(LdgWitB,$M1656)),""))</f>
        <v/>
      </c>
      <c r="H1656" s="27">
        <f>IF($L1656&lt;&gt;"",IF(INDEX(SCOp,$L1656)="مرجوعی فروش",IF(INDEX(SCAmount,$L1656)=0,"",-INDEX(SCAmount,$L1656)),""),IF($M1656&lt;&gt;"",IF(INDEX(LdgDepB,$M1656)=0,"",INDEX(LdgDepB,$M1656)),""))</f>
        <v/>
      </c>
      <c r="I1656" s="28">
        <f>IF($B1656="","",IF($I1655="",$C$10,$I1655)+IF($G1656="",0,$G1656)-IF($H1656="",0,$H1656))</f>
        <v/>
      </c>
      <c r="L1656">
        <f>IFERROR(MATCH($C$5&amp;"|"&amp;RIGHT("000000"&amp;1640,6),LdgRankKeyA,0),"")</f>
        <v/>
      </c>
      <c r="M1656">
        <f>IFERROR(MATCH($C$5&amp;"|"&amp;RIGHT("000000"&amp;1640,6),LdgRankKeyB,0),"")</f>
        <v/>
      </c>
    </row>
    <row r="1657">
      <c r="A1657" s="17" t="n">
        <v>1641</v>
      </c>
      <c r="B1657" s="18">
        <f>IF(AND($L1657="",$M1657=""),"",IF($L1657&lt;&gt;"",INDEX(SCNormDate,$L1657),INDEX(LdgDateB,$M1657)))</f>
        <v/>
      </c>
      <c r="C1657" s="18">
        <f>IF($L1657&lt;&gt;"",INDEX(SCOp,$L1657),IF($M1657&lt;&gt;"","پرداخت بانکی",""))</f>
        <v/>
      </c>
      <c r="D1657" s="18">
        <f>IF($L1657&lt;&gt;"",IF(INDEX(SCDoc,$L1657)="","—",INDEX(SCDoc,$L1657)),IF($M1657&lt;&gt;"",INDEX(LdgBankB,$M1657),""))</f>
        <v/>
      </c>
      <c r="E1657" s="19">
        <f>IF($L1657&lt;&gt;"",IF(INDEX(SCCitrus,$L1657)&amp;INDEX(SCNotes,$L1657)="","",IF(INDEX(SCCitrus,$L1657)="","",INDEX(SCCitrus,$L1657))&amp;IF(INDEX(SCNotes,$L1657)="",""," — "&amp;INDEX(SCNotes,$L1657))),IF($M1657&lt;&gt;"",IF(INDEX(LdgNoteB,$M1657)="","—",INDEX(LdgNoteB,$M1657)),""))</f>
        <v/>
      </c>
      <c r="F1657" s="20">
        <f>IF($L1657&lt;&gt;"",IF(INDEX(SCNet,$L1657)=0,"",INDEX(SCNet,$L1657)),"")</f>
        <v/>
      </c>
      <c r="G1657" s="21">
        <f>IF($L1657&lt;&gt;"",IF(INDEX(SCOp,$L1657)="مرجوعی فروش","",IF(INDEX(SCAmount,$L1657)&lt;=0,"",INDEX(SCAmount,$L1657))),IF($M1657&lt;&gt;"",IF(INDEX(LdgWitB,$M1657)=0,"",INDEX(LdgWitB,$M1657)),""))</f>
        <v/>
      </c>
      <c r="H1657" s="21">
        <f>IF($L1657&lt;&gt;"",IF(INDEX(SCOp,$L1657)="مرجوعی فروش",IF(INDEX(SCAmount,$L1657)=0,"",-INDEX(SCAmount,$L1657)),""),IF($M1657&lt;&gt;"",IF(INDEX(LdgDepB,$M1657)=0,"",INDEX(LdgDepB,$M1657)),""))</f>
        <v/>
      </c>
      <c r="I1657" s="22">
        <f>IF($B1657="","",IF($I1656="",$C$10,$I1656)+IF($G1657="",0,$G1657)-IF($H1657="",0,$H1657))</f>
        <v/>
      </c>
      <c r="L1657">
        <f>IFERROR(MATCH($C$5&amp;"|"&amp;RIGHT("000000"&amp;1641,6),LdgRankKeyA,0),"")</f>
        <v/>
      </c>
      <c r="M1657">
        <f>IFERROR(MATCH($C$5&amp;"|"&amp;RIGHT("000000"&amp;1641,6),LdgRankKeyB,0),"")</f>
        <v/>
      </c>
    </row>
    <row r="1658">
      <c r="A1658" s="23" t="n">
        <v>1642</v>
      </c>
      <c r="B1658" s="24">
        <f>IF(AND($L1658="",$M1658=""),"",IF($L1658&lt;&gt;"",INDEX(SCNormDate,$L1658),INDEX(LdgDateB,$M1658)))</f>
        <v/>
      </c>
      <c r="C1658" s="24">
        <f>IF($L1658&lt;&gt;"",INDEX(SCOp,$L1658),IF($M1658&lt;&gt;"","پرداخت بانکی",""))</f>
        <v/>
      </c>
      <c r="D1658" s="24">
        <f>IF($L1658&lt;&gt;"",IF(INDEX(SCDoc,$L1658)="","—",INDEX(SCDoc,$L1658)),IF($M1658&lt;&gt;"",INDEX(LdgBankB,$M1658),""))</f>
        <v/>
      </c>
      <c r="E1658" s="25">
        <f>IF($L1658&lt;&gt;"",IF(INDEX(SCCitrus,$L1658)&amp;INDEX(SCNotes,$L1658)="","",IF(INDEX(SCCitrus,$L1658)="","",INDEX(SCCitrus,$L1658))&amp;IF(INDEX(SCNotes,$L1658)="",""," — "&amp;INDEX(SCNotes,$L1658))),IF($M1658&lt;&gt;"",IF(INDEX(LdgNoteB,$M1658)="","—",INDEX(LdgNoteB,$M1658)),""))</f>
        <v/>
      </c>
      <c r="F1658" s="26">
        <f>IF($L1658&lt;&gt;"",IF(INDEX(SCNet,$L1658)=0,"",INDEX(SCNet,$L1658)),"")</f>
        <v/>
      </c>
      <c r="G1658" s="27">
        <f>IF($L1658&lt;&gt;"",IF(INDEX(SCOp,$L1658)="مرجوعی فروش","",IF(INDEX(SCAmount,$L1658)&lt;=0,"",INDEX(SCAmount,$L1658))),IF($M1658&lt;&gt;"",IF(INDEX(LdgWitB,$M1658)=0,"",INDEX(LdgWitB,$M1658)),""))</f>
        <v/>
      </c>
      <c r="H1658" s="27">
        <f>IF($L1658&lt;&gt;"",IF(INDEX(SCOp,$L1658)="مرجوعی فروش",IF(INDEX(SCAmount,$L1658)=0,"",-INDEX(SCAmount,$L1658)),""),IF($M1658&lt;&gt;"",IF(INDEX(LdgDepB,$M1658)=0,"",INDEX(LdgDepB,$M1658)),""))</f>
        <v/>
      </c>
      <c r="I1658" s="28">
        <f>IF($B1658="","",IF($I1657="",$C$10,$I1657)+IF($G1658="",0,$G1658)-IF($H1658="",0,$H1658))</f>
        <v/>
      </c>
      <c r="L1658">
        <f>IFERROR(MATCH($C$5&amp;"|"&amp;RIGHT("000000"&amp;1642,6),LdgRankKeyA,0),"")</f>
        <v/>
      </c>
      <c r="M1658">
        <f>IFERROR(MATCH($C$5&amp;"|"&amp;RIGHT("000000"&amp;1642,6),LdgRankKeyB,0),"")</f>
        <v/>
      </c>
    </row>
    <row r="1659">
      <c r="A1659" s="17" t="n">
        <v>1643</v>
      </c>
      <c r="B1659" s="18">
        <f>IF(AND($L1659="",$M1659=""),"",IF($L1659&lt;&gt;"",INDEX(SCNormDate,$L1659),INDEX(LdgDateB,$M1659)))</f>
        <v/>
      </c>
      <c r="C1659" s="18">
        <f>IF($L1659&lt;&gt;"",INDEX(SCOp,$L1659),IF($M1659&lt;&gt;"","پرداخت بانکی",""))</f>
        <v/>
      </c>
      <c r="D1659" s="18">
        <f>IF($L1659&lt;&gt;"",IF(INDEX(SCDoc,$L1659)="","—",INDEX(SCDoc,$L1659)),IF($M1659&lt;&gt;"",INDEX(LdgBankB,$M1659),""))</f>
        <v/>
      </c>
      <c r="E1659" s="19">
        <f>IF($L1659&lt;&gt;"",IF(INDEX(SCCitrus,$L1659)&amp;INDEX(SCNotes,$L1659)="","",IF(INDEX(SCCitrus,$L1659)="","",INDEX(SCCitrus,$L1659))&amp;IF(INDEX(SCNotes,$L1659)="",""," — "&amp;INDEX(SCNotes,$L1659))),IF($M1659&lt;&gt;"",IF(INDEX(LdgNoteB,$M1659)="","—",INDEX(LdgNoteB,$M1659)),""))</f>
        <v/>
      </c>
      <c r="F1659" s="20">
        <f>IF($L1659&lt;&gt;"",IF(INDEX(SCNet,$L1659)=0,"",INDEX(SCNet,$L1659)),"")</f>
        <v/>
      </c>
      <c r="G1659" s="21">
        <f>IF($L1659&lt;&gt;"",IF(INDEX(SCOp,$L1659)="مرجوعی فروش","",IF(INDEX(SCAmount,$L1659)&lt;=0,"",INDEX(SCAmount,$L1659))),IF($M1659&lt;&gt;"",IF(INDEX(LdgWitB,$M1659)=0,"",INDEX(LdgWitB,$M1659)),""))</f>
        <v/>
      </c>
      <c r="H1659" s="21">
        <f>IF($L1659&lt;&gt;"",IF(INDEX(SCOp,$L1659)="مرجوعی فروش",IF(INDEX(SCAmount,$L1659)=0,"",-INDEX(SCAmount,$L1659)),""),IF($M1659&lt;&gt;"",IF(INDEX(LdgDepB,$M1659)=0,"",INDEX(LdgDepB,$M1659)),""))</f>
        <v/>
      </c>
      <c r="I1659" s="22">
        <f>IF($B1659="","",IF($I1658="",$C$10,$I1658)+IF($G1659="",0,$G1659)-IF($H1659="",0,$H1659))</f>
        <v/>
      </c>
      <c r="L1659">
        <f>IFERROR(MATCH($C$5&amp;"|"&amp;RIGHT("000000"&amp;1643,6),LdgRankKeyA,0),"")</f>
        <v/>
      </c>
      <c r="M1659">
        <f>IFERROR(MATCH($C$5&amp;"|"&amp;RIGHT("000000"&amp;1643,6),LdgRankKeyB,0),"")</f>
        <v/>
      </c>
    </row>
    <row r="1660">
      <c r="A1660" s="23" t="n">
        <v>1644</v>
      </c>
      <c r="B1660" s="24">
        <f>IF(AND($L1660="",$M1660=""),"",IF($L1660&lt;&gt;"",INDEX(SCNormDate,$L1660),INDEX(LdgDateB,$M1660)))</f>
        <v/>
      </c>
      <c r="C1660" s="24">
        <f>IF($L1660&lt;&gt;"",INDEX(SCOp,$L1660),IF($M1660&lt;&gt;"","پرداخت بانکی",""))</f>
        <v/>
      </c>
      <c r="D1660" s="24">
        <f>IF($L1660&lt;&gt;"",IF(INDEX(SCDoc,$L1660)="","—",INDEX(SCDoc,$L1660)),IF($M1660&lt;&gt;"",INDEX(LdgBankB,$M1660),""))</f>
        <v/>
      </c>
      <c r="E1660" s="25">
        <f>IF($L1660&lt;&gt;"",IF(INDEX(SCCitrus,$L1660)&amp;INDEX(SCNotes,$L1660)="","",IF(INDEX(SCCitrus,$L1660)="","",INDEX(SCCitrus,$L1660))&amp;IF(INDEX(SCNotes,$L1660)="",""," — "&amp;INDEX(SCNotes,$L1660))),IF($M1660&lt;&gt;"",IF(INDEX(LdgNoteB,$M1660)="","—",INDEX(LdgNoteB,$M1660)),""))</f>
        <v/>
      </c>
      <c r="F1660" s="26">
        <f>IF($L1660&lt;&gt;"",IF(INDEX(SCNet,$L1660)=0,"",INDEX(SCNet,$L1660)),"")</f>
        <v/>
      </c>
      <c r="G1660" s="27">
        <f>IF($L1660&lt;&gt;"",IF(INDEX(SCOp,$L1660)="مرجوعی فروش","",IF(INDEX(SCAmount,$L1660)&lt;=0,"",INDEX(SCAmount,$L1660))),IF($M1660&lt;&gt;"",IF(INDEX(LdgWitB,$M1660)=0,"",INDEX(LdgWitB,$M1660)),""))</f>
        <v/>
      </c>
      <c r="H1660" s="27">
        <f>IF($L1660&lt;&gt;"",IF(INDEX(SCOp,$L1660)="مرجوعی فروش",IF(INDEX(SCAmount,$L1660)=0,"",-INDEX(SCAmount,$L1660)),""),IF($M1660&lt;&gt;"",IF(INDEX(LdgDepB,$M1660)=0,"",INDEX(LdgDepB,$M1660)),""))</f>
        <v/>
      </c>
      <c r="I1660" s="28">
        <f>IF($B1660="","",IF($I1659="",$C$10,$I1659)+IF($G1660="",0,$G1660)-IF($H1660="",0,$H1660))</f>
        <v/>
      </c>
      <c r="L1660">
        <f>IFERROR(MATCH($C$5&amp;"|"&amp;RIGHT("000000"&amp;1644,6),LdgRankKeyA,0),"")</f>
        <v/>
      </c>
      <c r="M1660">
        <f>IFERROR(MATCH($C$5&amp;"|"&amp;RIGHT("000000"&amp;1644,6),LdgRankKeyB,0),"")</f>
        <v/>
      </c>
    </row>
    <row r="1661">
      <c r="A1661" s="17" t="n">
        <v>1645</v>
      </c>
      <c r="B1661" s="18">
        <f>IF(AND($L1661="",$M1661=""),"",IF($L1661&lt;&gt;"",INDEX(SCNormDate,$L1661),INDEX(LdgDateB,$M1661)))</f>
        <v/>
      </c>
      <c r="C1661" s="18">
        <f>IF($L1661&lt;&gt;"",INDEX(SCOp,$L1661),IF($M1661&lt;&gt;"","پرداخت بانکی",""))</f>
        <v/>
      </c>
      <c r="D1661" s="18">
        <f>IF($L1661&lt;&gt;"",IF(INDEX(SCDoc,$L1661)="","—",INDEX(SCDoc,$L1661)),IF($M1661&lt;&gt;"",INDEX(LdgBankB,$M1661),""))</f>
        <v/>
      </c>
      <c r="E1661" s="19">
        <f>IF($L1661&lt;&gt;"",IF(INDEX(SCCitrus,$L1661)&amp;INDEX(SCNotes,$L1661)="","",IF(INDEX(SCCitrus,$L1661)="","",INDEX(SCCitrus,$L1661))&amp;IF(INDEX(SCNotes,$L1661)="",""," — "&amp;INDEX(SCNotes,$L1661))),IF($M1661&lt;&gt;"",IF(INDEX(LdgNoteB,$M1661)="","—",INDEX(LdgNoteB,$M1661)),""))</f>
        <v/>
      </c>
      <c r="F1661" s="20">
        <f>IF($L1661&lt;&gt;"",IF(INDEX(SCNet,$L1661)=0,"",INDEX(SCNet,$L1661)),"")</f>
        <v/>
      </c>
      <c r="G1661" s="21">
        <f>IF($L1661&lt;&gt;"",IF(INDEX(SCOp,$L1661)="مرجوعی فروش","",IF(INDEX(SCAmount,$L1661)&lt;=0,"",INDEX(SCAmount,$L1661))),IF($M1661&lt;&gt;"",IF(INDEX(LdgWitB,$M1661)=0,"",INDEX(LdgWitB,$M1661)),""))</f>
        <v/>
      </c>
      <c r="H1661" s="21">
        <f>IF($L1661&lt;&gt;"",IF(INDEX(SCOp,$L1661)="مرجوعی فروش",IF(INDEX(SCAmount,$L1661)=0,"",-INDEX(SCAmount,$L1661)),""),IF($M1661&lt;&gt;"",IF(INDEX(LdgDepB,$M1661)=0,"",INDEX(LdgDepB,$M1661)),""))</f>
        <v/>
      </c>
      <c r="I1661" s="22">
        <f>IF($B1661="","",IF($I1660="",$C$10,$I1660)+IF($G1661="",0,$G1661)-IF($H1661="",0,$H1661))</f>
        <v/>
      </c>
      <c r="L1661">
        <f>IFERROR(MATCH($C$5&amp;"|"&amp;RIGHT("000000"&amp;1645,6),LdgRankKeyA,0),"")</f>
        <v/>
      </c>
      <c r="M1661">
        <f>IFERROR(MATCH($C$5&amp;"|"&amp;RIGHT("000000"&amp;1645,6),LdgRankKeyB,0),"")</f>
        <v/>
      </c>
    </row>
    <row r="1662">
      <c r="A1662" s="23" t="n">
        <v>1646</v>
      </c>
      <c r="B1662" s="24">
        <f>IF(AND($L1662="",$M1662=""),"",IF($L1662&lt;&gt;"",INDEX(SCNormDate,$L1662),INDEX(LdgDateB,$M1662)))</f>
        <v/>
      </c>
      <c r="C1662" s="24">
        <f>IF($L1662&lt;&gt;"",INDEX(SCOp,$L1662),IF($M1662&lt;&gt;"","پرداخت بانکی",""))</f>
        <v/>
      </c>
      <c r="D1662" s="24">
        <f>IF($L1662&lt;&gt;"",IF(INDEX(SCDoc,$L1662)="","—",INDEX(SCDoc,$L1662)),IF($M1662&lt;&gt;"",INDEX(LdgBankB,$M1662),""))</f>
        <v/>
      </c>
      <c r="E1662" s="25">
        <f>IF($L1662&lt;&gt;"",IF(INDEX(SCCitrus,$L1662)&amp;INDEX(SCNotes,$L1662)="","",IF(INDEX(SCCitrus,$L1662)="","",INDEX(SCCitrus,$L1662))&amp;IF(INDEX(SCNotes,$L1662)="",""," — "&amp;INDEX(SCNotes,$L1662))),IF($M1662&lt;&gt;"",IF(INDEX(LdgNoteB,$M1662)="","—",INDEX(LdgNoteB,$M1662)),""))</f>
        <v/>
      </c>
      <c r="F1662" s="26">
        <f>IF($L1662&lt;&gt;"",IF(INDEX(SCNet,$L1662)=0,"",INDEX(SCNet,$L1662)),"")</f>
        <v/>
      </c>
      <c r="G1662" s="27">
        <f>IF($L1662&lt;&gt;"",IF(INDEX(SCOp,$L1662)="مرجوعی فروش","",IF(INDEX(SCAmount,$L1662)&lt;=0,"",INDEX(SCAmount,$L1662))),IF($M1662&lt;&gt;"",IF(INDEX(LdgWitB,$M1662)=0,"",INDEX(LdgWitB,$M1662)),""))</f>
        <v/>
      </c>
      <c r="H1662" s="27">
        <f>IF($L1662&lt;&gt;"",IF(INDEX(SCOp,$L1662)="مرجوعی فروش",IF(INDEX(SCAmount,$L1662)=0,"",-INDEX(SCAmount,$L1662)),""),IF($M1662&lt;&gt;"",IF(INDEX(LdgDepB,$M1662)=0,"",INDEX(LdgDepB,$M1662)),""))</f>
        <v/>
      </c>
      <c r="I1662" s="28">
        <f>IF($B1662="","",IF($I1661="",$C$10,$I1661)+IF($G1662="",0,$G1662)-IF($H1662="",0,$H1662))</f>
        <v/>
      </c>
      <c r="L1662">
        <f>IFERROR(MATCH($C$5&amp;"|"&amp;RIGHT("000000"&amp;1646,6),LdgRankKeyA,0),"")</f>
        <v/>
      </c>
      <c r="M1662">
        <f>IFERROR(MATCH($C$5&amp;"|"&amp;RIGHT("000000"&amp;1646,6),LdgRankKeyB,0),"")</f>
        <v/>
      </c>
    </row>
    <row r="1663">
      <c r="A1663" s="17" t="n">
        <v>1647</v>
      </c>
      <c r="B1663" s="18">
        <f>IF(AND($L1663="",$M1663=""),"",IF($L1663&lt;&gt;"",INDEX(SCNormDate,$L1663),INDEX(LdgDateB,$M1663)))</f>
        <v/>
      </c>
      <c r="C1663" s="18">
        <f>IF($L1663&lt;&gt;"",INDEX(SCOp,$L1663),IF($M1663&lt;&gt;"","پرداخت بانکی",""))</f>
        <v/>
      </c>
      <c r="D1663" s="18">
        <f>IF($L1663&lt;&gt;"",IF(INDEX(SCDoc,$L1663)="","—",INDEX(SCDoc,$L1663)),IF($M1663&lt;&gt;"",INDEX(LdgBankB,$M1663),""))</f>
        <v/>
      </c>
      <c r="E1663" s="19">
        <f>IF($L1663&lt;&gt;"",IF(INDEX(SCCitrus,$L1663)&amp;INDEX(SCNotes,$L1663)="","",IF(INDEX(SCCitrus,$L1663)="","",INDEX(SCCitrus,$L1663))&amp;IF(INDEX(SCNotes,$L1663)="",""," — "&amp;INDEX(SCNotes,$L1663))),IF($M1663&lt;&gt;"",IF(INDEX(LdgNoteB,$M1663)="","—",INDEX(LdgNoteB,$M1663)),""))</f>
        <v/>
      </c>
      <c r="F1663" s="20">
        <f>IF($L1663&lt;&gt;"",IF(INDEX(SCNet,$L1663)=0,"",INDEX(SCNet,$L1663)),"")</f>
        <v/>
      </c>
      <c r="G1663" s="21">
        <f>IF($L1663&lt;&gt;"",IF(INDEX(SCOp,$L1663)="مرجوعی فروش","",IF(INDEX(SCAmount,$L1663)&lt;=0,"",INDEX(SCAmount,$L1663))),IF($M1663&lt;&gt;"",IF(INDEX(LdgWitB,$M1663)=0,"",INDEX(LdgWitB,$M1663)),""))</f>
        <v/>
      </c>
      <c r="H1663" s="21">
        <f>IF($L1663&lt;&gt;"",IF(INDEX(SCOp,$L1663)="مرجوعی فروش",IF(INDEX(SCAmount,$L1663)=0,"",-INDEX(SCAmount,$L1663)),""),IF($M1663&lt;&gt;"",IF(INDEX(LdgDepB,$M1663)=0,"",INDEX(LdgDepB,$M1663)),""))</f>
        <v/>
      </c>
      <c r="I1663" s="22">
        <f>IF($B1663="","",IF($I1662="",$C$10,$I1662)+IF($G1663="",0,$G1663)-IF($H1663="",0,$H1663))</f>
        <v/>
      </c>
      <c r="L1663">
        <f>IFERROR(MATCH($C$5&amp;"|"&amp;RIGHT("000000"&amp;1647,6),LdgRankKeyA,0),"")</f>
        <v/>
      </c>
      <c r="M1663">
        <f>IFERROR(MATCH($C$5&amp;"|"&amp;RIGHT("000000"&amp;1647,6),LdgRankKeyB,0),"")</f>
        <v/>
      </c>
    </row>
    <row r="1664">
      <c r="A1664" s="23" t="n">
        <v>1648</v>
      </c>
      <c r="B1664" s="24">
        <f>IF(AND($L1664="",$M1664=""),"",IF($L1664&lt;&gt;"",INDEX(SCNormDate,$L1664),INDEX(LdgDateB,$M1664)))</f>
        <v/>
      </c>
      <c r="C1664" s="24">
        <f>IF($L1664&lt;&gt;"",INDEX(SCOp,$L1664),IF($M1664&lt;&gt;"","پرداخت بانکی",""))</f>
        <v/>
      </c>
      <c r="D1664" s="24">
        <f>IF($L1664&lt;&gt;"",IF(INDEX(SCDoc,$L1664)="","—",INDEX(SCDoc,$L1664)),IF($M1664&lt;&gt;"",INDEX(LdgBankB,$M1664),""))</f>
        <v/>
      </c>
      <c r="E1664" s="25">
        <f>IF($L1664&lt;&gt;"",IF(INDEX(SCCitrus,$L1664)&amp;INDEX(SCNotes,$L1664)="","",IF(INDEX(SCCitrus,$L1664)="","",INDEX(SCCitrus,$L1664))&amp;IF(INDEX(SCNotes,$L1664)="",""," — "&amp;INDEX(SCNotes,$L1664))),IF($M1664&lt;&gt;"",IF(INDEX(LdgNoteB,$M1664)="","—",INDEX(LdgNoteB,$M1664)),""))</f>
        <v/>
      </c>
      <c r="F1664" s="26">
        <f>IF($L1664&lt;&gt;"",IF(INDEX(SCNet,$L1664)=0,"",INDEX(SCNet,$L1664)),"")</f>
        <v/>
      </c>
      <c r="G1664" s="27">
        <f>IF($L1664&lt;&gt;"",IF(INDEX(SCOp,$L1664)="مرجوعی فروش","",IF(INDEX(SCAmount,$L1664)&lt;=0,"",INDEX(SCAmount,$L1664))),IF($M1664&lt;&gt;"",IF(INDEX(LdgWitB,$M1664)=0,"",INDEX(LdgWitB,$M1664)),""))</f>
        <v/>
      </c>
      <c r="H1664" s="27">
        <f>IF($L1664&lt;&gt;"",IF(INDEX(SCOp,$L1664)="مرجوعی فروش",IF(INDEX(SCAmount,$L1664)=0,"",-INDEX(SCAmount,$L1664)),""),IF($M1664&lt;&gt;"",IF(INDEX(LdgDepB,$M1664)=0,"",INDEX(LdgDepB,$M1664)),""))</f>
        <v/>
      </c>
      <c r="I1664" s="28">
        <f>IF($B1664="","",IF($I1663="",$C$10,$I1663)+IF($G1664="",0,$G1664)-IF($H1664="",0,$H1664))</f>
        <v/>
      </c>
      <c r="L1664">
        <f>IFERROR(MATCH($C$5&amp;"|"&amp;RIGHT("000000"&amp;1648,6),LdgRankKeyA,0),"")</f>
        <v/>
      </c>
      <c r="M1664">
        <f>IFERROR(MATCH($C$5&amp;"|"&amp;RIGHT("000000"&amp;1648,6),LdgRankKeyB,0),"")</f>
        <v/>
      </c>
    </row>
    <row r="1665">
      <c r="A1665" s="17" t="n">
        <v>1649</v>
      </c>
      <c r="B1665" s="18">
        <f>IF(AND($L1665="",$M1665=""),"",IF($L1665&lt;&gt;"",INDEX(SCNormDate,$L1665),INDEX(LdgDateB,$M1665)))</f>
        <v/>
      </c>
      <c r="C1665" s="18">
        <f>IF($L1665&lt;&gt;"",INDEX(SCOp,$L1665),IF($M1665&lt;&gt;"","پرداخت بانکی",""))</f>
        <v/>
      </c>
      <c r="D1665" s="18">
        <f>IF($L1665&lt;&gt;"",IF(INDEX(SCDoc,$L1665)="","—",INDEX(SCDoc,$L1665)),IF($M1665&lt;&gt;"",INDEX(LdgBankB,$M1665),""))</f>
        <v/>
      </c>
      <c r="E1665" s="19">
        <f>IF($L1665&lt;&gt;"",IF(INDEX(SCCitrus,$L1665)&amp;INDEX(SCNotes,$L1665)="","",IF(INDEX(SCCitrus,$L1665)="","",INDEX(SCCitrus,$L1665))&amp;IF(INDEX(SCNotes,$L1665)="",""," — "&amp;INDEX(SCNotes,$L1665))),IF($M1665&lt;&gt;"",IF(INDEX(LdgNoteB,$M1665)="","—",INDEX(LdgNoteB,$M1665)),""))</f>
        <v/>
      </c>
      <c r="F1665" s="20">
        <f>IF($L1665&lt;&gt;"",IF(INDEX(SCNet,$L1665)=0,"",INDEX(SCNet,$L1665)),"")</f>
        <v/>
      </c>
      <c r="G1665" s="21">
        <f>IF($L1665&lt;&gt;"",IF(INDEX(SCOp,$L1665)="مرجوعی فروش","",IF(INDEX(SCAmount,$L1665)&lt;=0,"",INDEX(SCAmount,$L1665))),IF($M1665&lt;&gt;"",IF(INDEX(LdgWitB,$M1665)=0,"",INDEX(LdgWitB,$M1665)),""))</f>
        <v/>
      </c>
      <c r="H1665" s="21">
        <f>IF($L1665&lt;&gt;"",IF(INDEX(SCOp,$L1665)="مرجوعی فروش",IF(INDEX(SCAmount,$L1665)=0,"",-INDEX(SCAmount,$L1665)),""),IF($M1665&lt;&gt;"",IF(INDEX(LdgDepB,$M1665)=0,"",INDEX(LdgDepB,$M1665)),""))</f>
        <v/>
      </c>
      <c r="I1665" s="22">
        <f>IF($B1665="","",IF($I1664="",$C$10,$I1664)+IF($G1665="",0,$G1665)-IF($H1665="",0,$H1665))</f>
        <v/>
      </c>
      <c r="L1665">
        <f>IFERROR(MATCH($C$5&amp;"|"&amp;RIGHT("000000"&amp;1649,6),LdgRankKeyA,0),"")</f>
        <v/>
      </c>
      <c r="M1665">
        <f>IFERROR(MATCH($C$5&amp;"|"&amp;RIGHT("000000"&amp;1649,6),LdgRankKeyB,0),"")</f>
        <v/>
      </c>
    </row>
    <row r="1666">
      <c r="A1666" s="23" t="n">
        <v>1650</v>
      </c>
      <c r="B1666" s="24">
        <f>IF(AND($L1666="",$M1666=""),"",IF($L1666&lt;&gt;"",INDEX(SCNormDate,$L1666),INDEX(LdgDateB,$M1666)))</f>
        <v/>
      </c>
      <c r="C1666" s="24">
        <f>IF($L1666&lt;&gt;"",INDEX(SCOp,$L1666),IF($M1666&lt;&gt;"","پرداخت بانکی",""))</f>
        <v/>
      </c>
      <c r="D1666" s="24">
        <f>IF($L1666&lt;&gt;"",IF(INDEX(SCDoc,$L1666)="","—",INDEX(SCDoc,$L1666)),IF($M1666&lt;&gt;"",INDEX(LdgBankB,$M1666),""))</f>
        <v/>
      </c>
      <c r="E1666" s="25">
        <f>IF($L1666&lt;&gt;"",IF(INDEX(SCCitrus,$L1666)&amp;INDEX(SCNotes,$L1666)="","",IF(INDEX(SCCitrus,$L1666)="","",INDEX(SCCitrus,$L1666))&amp;IF(INDEX(SCNotes,$L1666)="",""," — "&amp;INDEX(SCNotes,$L1666))),IF($M1666&lt;&gt;"",IF(INDEX(LdgNoteB,$M1666)="","—",INDEX(LdgNoteB,$M1666)),""))</f>
        <v/>
      </c>
      <c r="F1666" s="26">
        <f>IF($L1666&lt;&gt;"",IF(INDEX(SCNet,$L1666)=0,"",INDEX(SCNet,$L1666)),"")</f>
        <v/>
      </c>
      <c r="G1666" s="27">
        <f>IF($L1666&lt;&gt;"",IF(INDEX(SCOp,$L1666)="مرجوعی فروش","",IF(INDEX(SCAmount,$L1666)&lt;=0,"",INDEX(SCAmount,$L1666))),IF($M1666&lt;&gt;"",IF(INDEX(LdgWitB,$M1666)=0,"",INDEX(LdgWitB,$M1666)),""))</f>
        <v/>
      </c>
      <c r="H1666" s="27">
        <f>IF($L1666&lt;&gt;"",IF(INDEX(SCOp,$L1666)="مرجوعی فروش",IF(INDEX(SCAmount,$L1666)=0,"",-INDEX(SCAmount,$L1666)),""),IF($M1666&lt;&gt;"",IF(INDEX(LdgDepB,$M1666)=0,"",INDEX(LdgDepB,$M1666)),""))</f>
        <v/>
      </c>
      <c r="I1666" s="28">
        <f>IF($B1666="","",IF($I1665="",$C$10,$I1665)+IF($G1666="",0,$G1666)-IF($H1666="",0,$H1666))</f>
        <v/>
      </c>
      <c r="L1666">
        <f>IFERROR(MATCH($C$5&amp;"|"&amp;RIGHT("000000"&amp;1650,6),LdgRankKeyA,0),"")</f>
        <v/>
      </c>
      <c r="M1666">
        <f>IFERROR(MATCH($C$5&amp;"|"&amp;RIGHT("000000"&amp;1650,6),LdgRankKeyB,0),"")</f>
        <v/>
      </c>
    </row>
    <row r="1667">
      <c r="A1667" s="17" t="n">
        <v>1651</v>
      </c>
      <c r="B1667" s="18">
        <f>IF(AND($L1667="",$M1667=""),"",IF($L1667&lt;&gt;"",INDEX(SCNormDate,$L1667),INDEX(LdgDateB,$M1667)))</f>
        <v/>
      </c>
      <c r="C1667" s="18">
        <f>IF($L1667&lt;&gt;"",INDEX(SCOp,$L1667),IF($M1667&lt;&gt;"","پرداخت بانکی",""))</f>
        <v/>
      </c>
      <c r="D1667" s="18">
        <f>IF($L1667&lt;&gt;"",IF(INDEX(SCDoc,$L1667)="","—",INDEX(SCDoc,$L1667)),IF($M1667&lt;&gt;"",INDEX(LdgBankB,$M1667),""))</f>
        <v/>
      </c>
      <c r="E1667" s="19">
        <f>IF($L1667&lt;&gt;"",IF(INDEX(SCCitrus,$L1667)&amp;INDEX(SCNotes,$L1667)="","",IF(INDEX(SCCitrus,$L1667)="","",INDEX(SCCitrus,$L1667))&amp;IF(INDEX(SCNotes,$L1667)="",""," — "&amp;INDEX(SCNotes,$L1667))),IF($M1667&lt;&gt;"",IF(INDEX(LdgNoteB,$M1667)="","—",INDEX(LdgNoteB,$M1667)),""))</f>
        <v/>
      </c>
      <c r="F1667" s="20">
        <f>IF($L1667&lt;&gt;"",IF(INDEX(SCNet,$L1667)=0,"",INDEX(SCNet,$L1667)),"")</f>
        <v/>
      </c>
      <c r="G1667" s="21">
        <f>IF($L1667&lt;&gt;"",IF(INDEX(SCOp,$L1667)="مرجوعی فروش","",IF(INDEX(SCAmount,$L1667)&lt;=0,"",INDEX(SCAmount,$L1667))),IF($M1667&lt;&gt;"",IF(INDEX(LdgWitB,$M1667)=0,"",INDEX(LdgWitB,$M1667)),""))</f>
        <v/>
      </c>
      <c r="H1667" s="21">
        <f>IF($L1667&lt;&gt;"",IF(INDEX(SCOp,$L1667)="مرجوعی فروش",IF(INDEX(SCAmount,$L1667)=0,"",-INDEX(SCAmount,$L1667)),""),IF($M1667&lt;&gt;"",IF(INDEX(LdgDepB,$M1667)=0,"",INDEX(LdgDepB,$M1667)),""))</f>
        <v/>
      </c>
      <c r="I1667" s="22">
        <f>IF($B1667="","",IF($I1666="",$C$10,$I1666)+IF($G1667="",0,$G1667)-IF($H1667="",0,$H1667))</f>
        <v/>
      </c>
      <c r="L1667">
        <f>IFERROR(MATCH($C$5&amp;"|"&amp;RIGHT("000000"&amp;1651,6),LdgRankKeyA,0),"")</f>
        <v/>
      </c>
      <c r="M1667">
        <f>IFERROR(MATCH($C$5&amp;"|"&amp;RIGHT("000000"&amp;1651,6),LdgRankKeyB,0),"")</f>
        <v/>
      </c>
    </row>
    <row r="1668">
      <c r="A1668" s="23" t="n">
        <v>1652</v>
      </c>
      <c r="B1668" s="24">
        <f>IF(AND($L1668="",$M1668=""),"",IF($L1668&lt;&gt;"",INDEX(SCNormDate,$L1668),INDEX(LdgDateB,$M1668)))</f>
        <v/>
      </c>
      <c r="C1668" s="24">
        <f>IF($L1668&lt;&gt;"",INDEX(SCOp,$L1668),IF($M1668&lt;&gt;"","پرداخت بانکی",""))</f>
        <v/>
      </c>
      <c r="D1668" s="24">
        <f>IF($L1668&lt;&gt;"",IF(INDEX(SCDoc,$L1668)="","—",INDEX(SCDoc,$L1668)),IF($M1668&lt;&gt;"",INDEX(LdgBankB,$M1668),""))</f>
        <v/>
      </c>
      <c r="E1668" s="25">
        <f>IF($L1668&lt;&gt;"",IF(INDEX(SCCitrus,$L1668)&amp;INDEX(SCNotes,$L1668)="","",IF(INDEX(SCCitrus,$L1668)="","",INDEX(SCCitrus,$L1668))&amp;IF(INDEX(SCNotes,$L1668)="",""," — "&amp;INDEX(SCNotes,$L1668))),IF($M1668&lt;&gt;"",IF(INDEX(LdgNoteB,$M1668)="","—",INDEX(LdgNoteB,$M1668)),""))</f>
        <v/>
      </c>
      <c r="F1668" s="26">
        <f>IF($L1668&lt;&gt;"",IF(INDEX(SCNet,$L1668)=0,"",INDEX(SCNet,$L1668)),"")</f>
        <v/>
      </c>
      <c r="G1668" s="27">
        <f>IF($L1668&lt;&gt;"",IF(INDEX(SCOp,$L1668)="مرجوعی فروش","",IF(INDEX(SCAmount,$L1668)&lt;=0,"",INDEX(SCAmount,$L1668))),IF($M1668&lt;&gt;"",IF(INDEX(LdgWitB,$M1668)=0,"",INDEX(LdgWitB,$M1668)),""))</f>
        <v/>
      </c>
      <c r="H1668" s="27">
        <f>IF($L1668&lt;&gt;"",IF(INDEX(SCOp,$L1668)="مرجوعی فروش",IF(INDEX(SCAmount,$L1668)=0,"",-INDEX(SCAmount,$L1668)),""),IF($M1668&lt;&gt;"",IF(INDEX(LdgDepB,$M1668)=0,"",INDEX(LdgDepB,$M1668)),""))</f>
        <v/>
      </c>
      <c r="I1668" s="28">
        <f>IF($B1668="","",IF($I1667="",$C$10,$I1667)+IF($G1668="",0,$G1668)-IF($H1668="",0,$H1668))</f>
        <v/>
      </c>
      <c r="L1668">
        <f>IFERROR(MATCH($C$5&amp;"|"&amp;RIGHT("000000"&amp;1652,6),LdgRankKeyA,0),"")</f>
        <v/>
      </c>
      <c r="M1668">
        <f>IFERROR(MATCH($C$5&amp;"|"&amp;RIGHT("000000"&amp;1652,6),LdgRankKeyB,0),"")</f>
        <v/>
      </c>
    </row>
    <row r="1669">
      <c r="A1669" s="17" t="n">
        <v>1653</v>
      </c>
      <c r="B1669" s="18">
        <f>IF(AND($L1669="",$M1669=""),"",IF($L1669&lt;&gt;"",INDEX(SCNormDate,$L1669),INDEX(LdgDateB,$M1669)))</f>
        <v/>
      </c>
      <c r="C1669" s="18">
        <f>IF($L1669&lt;&gt;"",INDEX(SCOp,$L1669),IF($M1669&lt;&gt;"","پرداخت بانکی",""))</f>
        <v/>
      </c>
      <c r="D1669" s="18">
        <f>IF($L1669&lt;&gt;"",IF(INDEX(SCDoc,$L1669)="","—",INDEX(SCDoc,$L1669)),IF($M1669&lt;&gt;"",INDEX(LdgBankB,$M1669),""))</f>
        <v/>
      </c>
      <c r="E1669" s="19">
        <f>IF($L1669&lt;&gt;"",IF(INDEX(SCCitrus,$L1669)&amp;INDEX(SCNotes,$L1669)="","",IF(INDEX(SCCitrus,$L1669)="","",INDEX(SCCitrus,$L1669))&amp;IF(INDEX(SCNotes,$L1669)="",""," — "&amp;INDEX(SCNotes,$L1669))),IF($M1669&lt;&gt;"",IF(INDEX(LdgNoteB,$M1669)="","—",INDEX(LdgNoteB,$M1669)),""))</f>
        <v/>
      </c>
      <c r="F1669" s="20">
        <f>IF($L1669&lt;&gt;"",IF(INDEX(SCNet,$L1669)=0,"",INDEX(SCNet,$L1669)),"")</f>
        <v/>
      </c>
      <c r="G1669" s="21">
        <f>IF($L1669&lt;&gt;"",IF(INDEX(SCOp,$L1669)="مرجوعی فروش","",IF(INDEX(SCAmount,$L1669)&lt;=0,"",INDEX(SCAmount,$L1669))),IF($M1669&lt;&gt;"",IF(INDEX(LdgWitB,$M1669)=0,"",INDEX(LdgWitB,$M1669)),""))</f>
        <v/>
      </c>
      <c r="H1669" s="21">
        <f>IF($L1669&lt;&gt;"",IF(INDEX(SCOp,$L1669)="مرجوعی فروش",IF(INDEX(SCAmount,$L1669)=0,"",-INDEX(SCAmount,$L1669)),""),IF($M1669&lt;&gt;"",IF(INDEX(LdgDepB,$M1669)=0,"",INDEX(LdgDepB,$M1669)),""))</f>
        <v/>
      </c>
      <c r="I1669" s="22">
        <f>IF($B1669="","",IF($I1668="",$C$10,$I1668)+IF($G1669="",0,$G1669)-IF($H1669="",0,$H1669))</f>
        <v/>
      </c>
      <c r="L1669">
        <f>IFERROR(MATCH($C$5&amp;"|"&amp;RIGHT("000000"&amp;1653,6),LdgRankKeyA,0),"")</f>
        <v/>
      </c>
      <c r="M1669">
        <f>IFERROR(MATCH($C$5&amp;"|"&amp;RIGHT("000000"&amp;1653,6),LdgRankKeyB,0),"")</f>
        <v/>
      </c>
    </row>
    <row r="1670">
      <c r="A1670" s="23" t="n">
        <v>1654</v>
      </c>
      <c r="B1670" s="24">
        <f>IF(AND($L1670="",$M1670=""),"",IF($L1670&lt;&gt;"",INDEX(SCNormDate,$L1670),INDEX(LdgDateB,$M1670)))</f>
        <v/>
      </c>
      <c r="C1670" s="24">
        <f>IF($L1670&lt;&gt;"",INDEX(SCOp,$L1670),IF($M1670&lt;&gt;"","پرداخت بانکی",""))</f>
        <v/>
      </c>
      <c r="D1670" s="24">
        <f>IF($L1670&lt;&gt;"",IF(INDEX(SCDoc,$L1670)="","—",INDEX(SCDoc,$L1670)),IF($M1670&lt;&gt;"",INDEX(LdgBankB,$M1670),""))</f>
        <v/>
      </c>
      <c r="E1670" s="25">
        <f>IF($L1670&lt;&gt;"",IF(INDEX(SCCitrus,$L1670)&amp;INDEX(SCNotes,$L1670)="","",IF(INDEX(SCCitrus,$L1670)="","",INDEX(SCCitrus,$L1670))&amp;IF(INDEX(SCNotes,$L1670)="",""," — "&amp;INDEX(SCNotes,$L1670))),IF($M1670&lt;&gt;"",IF(INDEX(LdgNoteB,$M1670)="","—",INDEX(LdgNoteB,$M1670)),""))</f>
        <v/>
      </c>
      <c r="F1670" s="26">
        <f>IF($L1670&lt;&gt;"",IF(INDEX(SCNet,$L1670)=0,"",INDEX(SCNet,$L1670)),"")</f>
        <v/>
      </c>
      <c r="G1670" s="27">
        <f>IF($L1670&lt;&gt;"",IF(INDEX(SCOp,$L1670)="مرجوعی فروش","",IF(INDEX(SCAmount,$L1670)&lt;=0,"",INDEX(SCAmount,$L1670))),IF($M1670&lt;&gt;"",IF(INDEX(LdgWitB,$M1670)=0,"",INDEX(LdgWitB,$M1670)),""))</f>
        <v/>
      </c>
      <c r="H1670" s="27">
        <f>IF($L1670&lt;&gt;"",IF(INDEX(SCOp,$L1670)="مرجوعی فروش",IF(INDEX(SCAmount,$L1670)=0,"",-INDEX(SCAmount,$L1670)),""),IF($M1670&lt;&gt;"",IF(INDEX(LdgDepB,$M1670)=0,"",INDEX(LdgDepB,$M1670)),""))</f>
        <v/>
      </c>
      <c r="I1670" s="28">
        <f>IF($B1670="","",IF($I1669="",$C$10,$I1669)+IF($G1670="",0,$G1670)-IF($H1670="",0,$H1670))</f>
        <v/>
      </c>
      <c r="L1670">
        <f>IFERROR(MATCH($C$5&amp;"|"&amp;RIGHT("000000"&amp;1654,6),LdgRankKeyA,0),"")</f>
        <v/>
      </c>
      <c r="M1670">
        <f>IFERROR(MATCH($C$5&amp;"|"&amp;RIGHT("000000"&amp;1654,6),LdgRankKeyB,0),"")</f>
        <v/>
      </c>
    </row>
    <row r="1671">
      <c r="A1671" s="17" t="n">
        <v>1655</v>
      </c>
      <c r="B1671" s="18">
        <f>IF(AND($L1671="",$M1671=""),"",IF($L1671&lt;&gt;"",INDEX(SCNormDate,$L1671),INDEX(LdgDateB,$M1671)))</f>
        <v/>
      </c>
      <c r="C1671" s="18">
        <f>IF($L1671&lt;&gt;"",INDEX(SCOp,$L1671),IF($M1671&lt;&gt;"","پرداخت بانکی",""))</f>
        <v/>
      </c>
      <c r="D1671" s="18">
        <f>IF($L1671&lt;&gt;"",IF(INDEX(SCDoc,$L1671)="","—",INDEX(SCDoc,$L1671)),IF($M1671&lt;&gt;"",INDEX(LdgBankB,$M1671),""))</f>
        <v/>
      </c>
      <c r="E1671" s="19">
        <f>IF($L1671&lt;&gt;"",IF(INDEX(SCCitrus,$L1671)&amp;INDEX(SCNotes,$L1671)="","",IF(INDEX(SCCitrus,$L1671)="","",INDEX(SCCitrus,$L1671))&amp;IF(INDEX(SCNotes,$L1671)="",""," — "&amp;INDEX(SCNotes,$L1671))),IF($M1671&lt;&gt;"",IF(INDEX(LdgNoteB,$M1671)="","—",INDEX(LdgNoteB,$M1671)),""))</f>
        <v/>
      </c>
      <c r="F1671" s="20">
        <f>IF($L1671&lt;&gt;"",IF(INDEX(SCNet,$L1671)=0,"",INDEX(SCNet,$L1671)),"")</f>
        <v/>
      </c>
      <c r="G1671" s="21">
        <f>IF($L1671&lt;&gt;"",IF(INDEX(SCOp,$L1671)="مرجوعی فروش","",IF(INDEX(SCAmount,$L1671)&lt;=0,"",INDEX(SCAmount,$L1671))),IF($M1671&lt;&gt;"",IF(INDEX(LdgWitB,$M1671)=0,"",INDEX(LdgWitB,$M1671)),""))</f>
        <v/>
      </c>
      <c r="H1671" s="21">
        <f>IF($L1671&lt;&gt;"",IF(INDEX(SCOp,$L1671)="مرجوعی فروش",IF(INDEX(SCAmount,$L1671)=0,"",-INDEX(SCAmount,$L1671)),""),IF($M1671&lt;&gt;"",IF(INDEX(LdgDepB,$M1671)=0,"",INDEX(LdgDepB,$M1671)),""))</f>
        <v/>
      </c>
      <c r="I1671" s="22">
        <f>IF($B1671="","",IF($I1670="",$C$10,$I1670)+IF($G1671="",0,$G1671)-IF($H1671="",0,$H1671))</f>
        <v/>
      </c>
      <c r="L1671">
        <f>IFERROR(MATCH($C$5&amp;"|"&amp;RIGHT("000000"&amp;1655,6),LdgRankKeyA,0),"")</f>
        <v/>
      </c>
      <c r="M1671">
        <f>IFERROR(MATCH($C$5&amp;"|"&amp;RIGHT("000000"&amp;1655,6),LdgRankKeyB,0),"")</f>
        <v/>
      </c>
    </row>
    <row r="1672">
      <c r="A1672" s="23" t="n">
        <v>1656</v>
      </c>
      <c r="B1672" s="24">
        <f>IF(AND($L1672="",$M1672=""),"",IF($L1672&lt;&gt;"",INDEX(SCNormDate,$L1672),INDEX(LdgDateB,$M1672)))</f>
        <v/>
      </c>
      <c r="C1672" s="24">
        <f>IF($L1672&lt;&gt;"",INDEX(SCOp,$L1672),IF($M1672&lt;&gt;"","پرداخت بانکی",""))</f>
        <v/>
      </c>
      <c r="D1672" s="24">
        <f>IF($L1672&lt;&gt;"",IF(INDEX(SCDoc,$L1672)="","—",INDEX(SCDoc,$L1672)),IF($M1672&lt;&gt;"",INDEX(LdgBankB,$M1672),""))</f>
        <v/>
      </c>
      <c r="E1672" s="25">
        <f>IF($L1672&lt;&gt;"",IF(INDEX(SCCitrus,$L1672)&amp;INDEX(SCNotes,$L1672)="","",IF(INDEX(SCCitrus,$L1672)="","",INDEX(SCCitrus,$L1672))&amp;IF(INDEX(SCNotes,$L1672)="",""," — "&amp;INDEX(SCNotes,$L1672))),IF($M1672&lt;&gt;"",IF(INDEX(LdgNoteB,$M1672)="","—",INDEX(LdgNoteB,$M1672)),""))</f>
        <v/>
      </c>
      <c r="F1672" s="26">
        <f>IF($L1672&lt;&gt;"",IF(INDEX(SCNet,$L1672)=0,"",INDEX(SCNet,$L1672)),"")</f>
        <v/>
      </c>
      <c r="G1672" s="27">
        <f>IF($L1672&lt;&gt;"",IF(INDEX(SCOp,$L1672)="مرجوعی فروش","",IF(INDEX(SCAmount,$L1672)&lt;=0,"",INDEX(SCAmount,$L1672))),IF($M1672&lt;&gt;"",IF(INDEX(LdgWitB,$M1672)=0,"",INDEX(LdgWitB,$M1672)),""))</f>
        <v/>
      </c>
      <c r="H1672" s="27">
        <f>IF($L1672&lt;&gt;"",IF(INDEX(SCOp,$L1672)="مرجوعی فروش",IF(INDEX(SCAmount,$L1672)=0,"",-INDEX(SCAmount,$L1672)),""),IF($M1672&lt;&gt;"",IF(INDEX(LdgDepB,$M1672)=0,"",INDEX(LdgDepB,$M1672)),""))</f>
        <v/>
      </c>
      <c r="I1672" s="28">
        <f>IF($B1672="","",IF($I1671="",$C$10,$I1671)+IF($G1672="",0,$G1672)-IF($H1672="",0,$H1672))</f>
        <v/>
      </c>
      <c r="L1672">
        <f>IFERROR(MATCH($C$5&amp;"|"&amp;RIGHT("000000"&amp;1656,6),LdgRankKeyA,0),"")</f>
        <v/>
      </c>
      <c r="M1672">
        <f>IFERROR(MATCH($C$5&amp;"|"&amp;RIGHT("000000"&amp;1656,6),LdgRankKeyB,0),"")</f>
        <v/>
      </c>
    </row>
    <row r="1673">
      <c r="A1673" s="17" t="n">
        <v>1657</v>
      </c>
      <c r="B1673" s="18">
        <f>IF(AND($L1673="",$M1673=""),"",IF($L1673&lt;&gt;"",INDEX(SCNormDate,$L1673),INDEX(LdgDateB,$M1673)))</f>
        <v/>
      </c>
      <c r="C1673" s="18">
        <f>IF($L1673&lt;&gt;"",INDEX(SCOp,$L1673),IF($M1673&lt;&gt;"","پرداخت بانکی",""))</f>
        <v/>
      </c>
      <c r="D1673" s="18">
        <f>IF($L1673&lt;&gt;"",IF(INDEX(SCDoc,$L1673)="","—",INDEX(SCDoc,$L1673)),IF($M1673&lt;&gt;"",INDEX(LdgBankB,$M1673),""))</f>
        <v/>
      </c>
      <c r="E1673" s="19">
        <f>IF($L1673&lt;&gt;"",IF(INDEX(SCCitrus,$L1673)&amp;INDEX(SCNotes,$L1673)="","",IF(INDEX(SCCitrus,$L1673)="","",INDEX(SCCitrus,$L1673))&amp;IF(INDEX(SCNotes,$L1673)="",""," — "&amp;INDEX(SCNotes,$L1673))),IF($M1673&lt;&gt;"",IF(INDEX(LdgNoteB,$M1673)="","—",INDEX(LdgNoteB,$M1673)),""))</f>
        <v/>
      </c>
      <c r="F1673" s="20">
        <f>IF($L1673&lt;&gt;"",IF(INDEX(SCNet,$L1673)=0,"",INDEX(SCNet,$L1673)),"")</f>
        <v/>
      </c>
      <c r="G1673" s="21">
        <f>IF($L1673&lt;&gt;"",IF(INDEX(SCOp,$L1673)="مرجوعی فروش","",IF(INDEX(SCAmount,$L1673)&lt;=0,"",INDEX(SCAmount,$L1673))),IF($M1673&lt;&gt;"",IF(INDEX(LdgWitB,$M1673)=0,"",INDEX(LdgWitB,$M1673)),""))</f>
        <v/>
      </c>
      <c r="H1673" s="21">
        <f>IF($L1673&lt;&gt;"",IF(INDEX(SCOp,$L1673)="مرجوعی فروش",IF(INDEX(SCAmount,$L1673)=0,"",-INDEX(SCAmount,$L1673)),""),IF($M1673&lt;&gt;"",IF(INDEX(LdgDepB,$M1673)=0,"",INDEX(LdgDepB,$M1673)),""))</f>
        <v/>
      </c>
      <c r="I1673" s="22">
        <f>IF($B1673="","",IF($I1672="",$C$10,$I1672)+IF($G1673="",0,$G1673)-IF($H1673="",0,$H1673))</f>
        <v/>
      </c>
      <c r="L1673">
        <f>IFERROR(MATCH($C$5&amp;"|"&amp;RIGHT("000000"&amp;1657,6),LdgRankKeyA,0),"")</f>
        <v/>
      </c>
      <c r="M1673">
        <f>IFERROR(MATCH($C$5&amp;"|"&amp;RIGHT("000000"&amp;1657,6),LdgRankKeyB,0),"")</f>
        <v/>
      </c>
    </row>
    <row r="1674">
      <c r="A1674" s="23" t="n">
        <v>1658</v>
      </c>
      <c r="B1674" s="24">
        <f>IF(AND($L1674="",$M1674=""),"",IF($L1674&lt;&gt;"",INDEX(SCNormDate,$L1674),INDEX(LdgDateB,$M1674)))</f>
        <v/>
      </c>
      <c r="C1674" s="24">
        <f>IF($L1674&lt;&gt;"",INDEX(SCOp,$L1674),IF($M1674&lt;&gt;"","پرداخت بانکی",""))</f>
        <v/>
      </c>
      <c r="D1674" s="24">
        <f>IF($L1674&lt;&gt;"",IF(INDEX(SCDoc,$L1674)="","—",INDEX(SCDoc,$L1674)),IF($M1674&lt;&gt;"",INDEX(LdgBankB,$M1674),""))</f>
        <v/>
      </c>
      <c r="E1674" s="25">
        <f>IF($L1674&lt;&gt;"",IF(INDEX(SCCitrus,$L1674)&amp;INDEX(SCNotes,$L1674)="","",IF(INDEX(SCCitrus,$L1674)="","",INDEX(SCCitrus,$L1674))&amp;IF(INDEX(SCNotes,$L1674)="",""," — "&amp;INDEX(SCNotes,$L1674))),IF($M1674&lt;&gt;"",IF(INDEX(LdgNoteB,$M1674)="","—",INDEX(LdgNoteB,$M1674)),""))</f>
        <v/>
      </c>
      <c r="F1674" s="26">
        <f>IF($L1674&lt;&gt;"",IF(INDEX(SCNet,$L1674)=0,"",INDEX(SCNet,$L1674)),"")</f>
        <v/>
      </c>
      <c r="G1674" s="27">
        <f>IF($L1674&lt;&gt;"",IF(INDEX(SCOp,$L1674)="مرجوعی فروش","",IF(INDEX(SCAmount,$L1674)&lt;=0,"",INDEX(SCAmount,$L1674))),IF($M1674&lt;&gt;"",IF(INDEX(LdgWitB,$M1674)=0,"",INDEX(LdgWitB,$M1674)),""))</f>
        <v/>
      </c>
      <c r="H1674" s="27">
        <f>IF($L1674&lt;&gt;"",IF(INDEX(SCOp,$L1674)="مرجوعی فروش",IF(INDEX(SCAmount,$L1674)=0,"",-INDEX(SCAmount,$L1674)),""),IF($M1674&lt;&gt;"",IF(INDEX(LdgDepB,$M1674)=0,"",INDEX(LdgDepB,$M1674)),""))</f>
        <v/>
      </c>
      <c r="I1674" s="28">
        <f>IF($B1674="","",IF($I1673="",$C$10,$I1673)+IF($G1674="",0,$G1674)-IF($H1674="",0,$H1674))</f>
        <v/>
      </c>
      <c r="L1674">
        <f>IFERROR(MATCH($C$5&amp;"|"&amp;RIGHT("000000"&amp;1658,6),LdgRankKeyA,0),"")</f>
        <v/>
      </c>
      <c r="M1674">
        <f>IFERROR(MATCH($C$5&amp;"|"&amp;RIGHT("000000"&amp;1658,6),LdgRankKeyB,0),"")</f>
        <v/>
      </c>
    </row>
    <row r="1675">
      <c r="A1675" s="17" t="n">
        <v>1659</v>
      </c>
      <c r="B1675" s="18">
        <f>IF(AND($L1675="",$M1675=""),"",IF($L1675&lt;&gt;"",INDEX(SCNormDate,$L1675),INDEX(LdgDateB,$M1675)))</f>
        <v/>
      </c>
      <c r="C1675" s="18">
        <f>IF($L1675&lt;&gt;"",INDEX(SCOp,$L1675),IF($M1675&lt;&gt;"","پرداخت بانکی",""))</f>
        <v/>
      </c>
      <c r="D1675" s="18">
        <f>IF($L1675&lt;&gt;"",IF(INDEX(SCDoc,$L1675)="","—",INDEX(SCDoc,$L1675)),IF($M1675&lt;&gt;"",INDEX(LdgBankB,$M1675),""))</f>
        <v/>
      </c>
      <c r="E1675" s="19">
        <f>IF($L1675&lt;&gt;"",IF(INDEX(SCCitrus,$L1675)&amp;INDEX(SCNotes,$L1675)="","",IF(INDEX(SCCitrus,$L1675)="","",INDEX(SCCitrus,$L1675))&amp;IF(INDEX(SCNotes,$L1675)="",""," — "&amp;INDEX(SCNotes,$L1675))),IF($M1675&lt;&gt;"",IF(INDEX(LdgNoteB,$M1675)="","—",INDEX(LdgNoteB,$M1675)),""))</f>
        <v/>
      </c>
      <c r="F1675" s="20">
        <f>IF($L1675&lt;&gt;"",IF(INDEX(SCNet,$L1675)=0,"",INDEX(SCNet,$L1675)),"")</f>
        <v/>
      </c>
      <c r="G1675" s="21">
        <f>IF($L1675&lt;&gt;"",IF(INDEX(SCOp,$L1675)="مرجوعی فروش","",IF(INDEX(SCAmount,$L1675)&lt;=0,"",INDEX(SCAmount,$L1675))),IF($M1675&lt;&gt;"",IF(INDEX(LdgWitB,$M1675)=0,"",INDEX(LdgWitB,$M1675)),""))</f>
        <v/>
      </c>
      <c r="H1675" s="21">
        <f>IF($L1675&lt;&gt;"",IF(INDEX(SCOp,$L1675)="مرجوعی فروش",IF(INDEX(SCAmount,$L1675)=0,"",-INDEX(SCAmount,$L1675)),""),IF($M1675&lt;&gt;"",IF(INDEX(LdgDepB,$M1675)=0,"",INDEX(LdgDepB,$M1675)),""))</f>
        <v/>
      </c>
      <c r="I1675" s="22">
        <f>IF($B1675="","",IF($I1674="",$C$10,$I1674)+IF($G1675="",0,$G1675)-IF($H1675="",0,$H1675))</f>
        <v/>
      </c>
      <c r="L1675">
        <f>IFERROR(MATCH($C$5&amp;"|"&amp;RIGHT("000000"&amp;1659,6),LdgRankKeyA,0),"")</f>
        <v/>
      </c>
      <c r="M1675">
        <f>IFERROR(MATCH($C$5&amp;"|"&amp;RIGHT("000000"&amp;1659,6),LdgRankKeyB,0),"")</f>
        <v/>
      </c>
    </row>
    <row r="1676">
      <c r="A1676" s="23" t="n">
        <v>1660</v>
      </c>
      <c r="B1676" s="24">
        <f>IF(AND($L1676="",$M1676=""),"",IF($L1676&lt;&gt;"",INDEX(SCNormDate,$L1676),INDEX(LdgDateB,$M1676)))</f>
        <v/>
      </c>
      <c r="C1676" s="24">
        <f>IF($L1676&lt;&gt;"",INDEX(SCOp,$L1676),IF($M1676&lt;&gt;"","پرداخت بانکی",""))</f>
        <v/>
      </c>
      <c r="D1676" s="24">
        <f>IF($L1676&lt;&gt;"",IF(INDEX(SCDoc,$L1676)="","—",INDEX(SCDoc,$L1676)),IF($M1676&lt;&gt;"",INDEX(LdgBankB,$M1676),""))</f>
        <v/>
      </c>
      <c r="E1676" s="25">
        <f>IF($L1676&lt;&gt;"",IF(INDEX(SCCitrus,$L1676)&amp;INDEX(SCNotes,$L1676)="","",IF(INDEX(SCCitrus,$L1676)="","",INDEX(SCCitrus,$L1676))&amp;IF(INDEX(SCNotes,$L1676)="",""," — "&amp;INDEX(SCNotes,$L1676))),IF($M1676&lt;&gt;"",IF(INDEX(LdgNoteB,$M1676)="","—",INDEX(LdgNoteB,$M1676)),""))</f>
        <v/>
      </c>
      <c r="F1676" s="26">
        <f>IF($L1676&lt;&gt;"",IF(INDEX(SCNet,$L1676)=0,"",INDEX(SCNet,$L1676)),"")</f>
        <v/>
      </c>
      <c r="G1676" s="27">
        <f>IF($L1676&lt;&gt;"",IF(INDEX(SCOp,$L1676)="مرجوعی فروش","",IF(INDEX(SCAmount,$L1676)&lt;=0,"",INDEX(SCAmount,$L1676))),IF($M1676&lt;&gt;"",IF(INDEX(LdgWitB,$M1676)=0,"",INDEX(LdgWitB,$M1676)),""))</f>
        <v/>
      </c>
      <c r="H1676" s="27">
        <f>IF($L1676&lt;&gt;"",IF(INDEX(SCOp,$L1676)="مرجوعی فروش",IF(INDEX(SCAmount,$L1676)=0,"",-INDEX(SCAmount,$L1676)),""),IF($M1676&lt;&gt;"",IF(INDEX(LdgDepB,$M1676)=0,"",INDEX(LdgDepB,$M1676)),""))</f>
        <v/>
      </c>
      <c r="I1676" s="28">
        <f>IF($B1676="","",IF($I1675="",$C$10,$I1675)+IF($G1676="",0,$G1676)-IF($H1676="",0,$H1676))</f>
        <v/>
      </c>
      <c r="L1676">
        <f>IFERROR(MATCH($C$5&amp;"|"&amp;RIGHT("000000"&amp;1660,6),LdgRankKeyA,0),"")</f>
        <v/>
      </c>
      <c r="M1676">
        <f>IFERROR(MATCH($C$5&amp;"|"&amp;RIGHT("000000"&amp;1660,6),LdgRankKeyB,0),"")</f>
        <v/>
      </c>
    </row>
    <row r="1677">
      <c r="A1677" s="17" t="n">
        <v>1661</v>
      </c>
      <c r="B1677" s="18">
        <f>IF(AND($L1677="",$M1677=""),"",IF($L1677&lt;&gt;"",INDEX(SCNormDate,$L1677),INDEX(LdgDateB,$M1677)))</f>
        <v/>
      </c>
      <c r="C1677" s="18">
        <f>IF($L1677&lt;&gt;"",INDEX(SCOp,$L1677),IF($M1677&lt;&gt;"","پرداخت بانکی",""))</f>
        <v/>
      </c>
      <c r="D1677" s="18">
        <f>IF($L1677&lt;&gt;"",IF(INDEX(SCDoc,$L1677)="","—",INDEX(SCDoc,$L1677)),IF($M1677&lt;&gt;"",INDEX(LdgBankB,$M1677),""))</f>
        <v/>
      </c>
      <c r="E1677" s="19">
        <f>IF($L1677&lt;&gt;"",IF(INDEX(SCCitrus,$L1677)&amp;INDEX(SCNotes,$L1677)="","",IF(INDEX(SCCitrus,$L1677)="","",INDEX(SCCitrus,$L1677))&amp;IF(INDEX(SCNotes,$L1677)="",""," — "&amp;INDEX(SCNotes,$L1677))),IF($M1677&lt;&gt;"",IF(INDEX(LdgNoteB,$M1677)="","—",INDEX(LdgNoteB,$M1677)),""))</f>
        <v/>
      </c>
      <c r="F1677" s="20">
        <f>IF($L1677&lt;&gt;"",IF(INDEX(SCNet,$L1677)=0,"",INDEX(SCNet,$L1677)),"")</f>
        <v/>
      </c>
      <c r="G1677" s="21">
        <f>IF($L1677&lt;&gt;"",IF(INDEX(SCOp,$L1677)="مرجوعی فروش","",IF(INDEX(SCAmount,$L1677)&lt;=0,"",INDEX(SCAmount,$L1677))),IF($M1677&lt;&gt;"",IF(INDEX(LdgWitB,$M1677)=0,"",INDEX(LdgWitB,$M1677)),""))</f>
        <v/>
      </c>
      <c r="H1677" s="21">
        <f>IF($L1677&lt;&gt;"",IF(INDEX(SCOp,$L1677)="مرجوعی فروش",IF(INDEX(SCAmount,$L1677)=0,"",-INDEX(SCAmount,$L1677)),""),IF($M1677&lt;&gt;"",IF(INDEX(LdgDepB,$M1677)=0,"",INDEX(LdgDepB,$M1677)),""))</f>
        <v/>
      </c>
      <c r="I1677" s="22">
        <f>IF($B1677="","",IF($I1676="",$C$10,$I1676)+IF($G1677="",0,$G1677)-IF($H1677="",0,$H1677))</f>
        <v/>
      </c>
      <c r="L1677">
        <f>IFERROR(MATCH($C$5&amp;"|"&amp;RIGHT("000000"&amp;1661,6),LdgRankKeyA,0),"")</f>
        <v/>
      </c>
      <c r="M1677">
        <f>IFERROR(MATCH($C$5&amp;"|"&amp;RIGHT("000000"&amp;1661,6),LdgRankKeyB,0),"")</f>
        <v/>
      </c>
    </row>
    <row r="1678">
      <c r="A1678" s="23" t="n">
        <v>1662</v>
      </c>
      <c r="B1678" s="24">
        <f>IF(AND($L1678="",$M1678=""),"",IF($L1678&lt;&gt;"",INDEX(SCNormDate,$L1678),INDEX(LdgDateB,$M1678)))</f>
        <v/>
      </c>
      <c r="C1678" s="24">
        <f>IF($L1678&lt;&gt;"",INDEX(SCOp,$L1678),IF($M1678&lt;&gt;"","پرداخت بانکی",""))</f>
        <v/>
      </c>
      <c r="D1678" s="24">
        <f>IF($L1678&lt;&gt;"",IF(INDEX(SCDoc,$L1678)="","—",INDEX(SCDoc,$L1678)),IF($M1678&lt;&gt;"",INDEX(LdgBankB,$M1678),""))</f>
        <v/>
      </c>
      <c r="E1678" s="25">
        <f>IF($L1678&lt;&gt;"",IF(INDEX(SCCitrus,$L1678)&amp;INDEX(SCNotes,$L1678)="","",IF(INDEX(SCCitrus,$L1678)="","",INDEX(SCCitrus,$L1678))&amp;IF(INDEX(SCNotes,$L1678)="",""," — "&amp;INDEX(SCNotes,$L1678))),IF($M1678&lt;&gt;"",IF(INDEX(LdgNoteB,$M1678)="","—",INDEX(LdgNoteB,$M1678)),""))</f>
        <v/>
      </c>
      <c r="F1678" s="26">
        <f>IF($L1678&lt;&gt;"",IF(INDEX(SCNet,$L1678)=0,"",INDEX(SCNet,$L1678)),"")</f>
        <v/>
      </c>
      <c r="G1678" s="27">
        <f>IF($L1678&lt;&gt;"",IF(INDEX(SCOp,$L1678)="مرجوعی فروش","",IF(INDEX(SCAmount,$L1678)&lt;=0,"",INDEX(SCAmount,$L1678))),IF($M1678&lt;&gt;"",IF(INDEX(LdgWitB,$M1678)=0,"",INDEX(LdgWitB,$M1678)),""))</f>
        <v/>
      </c>
      <c r="H1678" s="27">
        <f>IF($L1678&lt;&gt;"",IF(INDEX(SCOp,$L1678)="مرجوعی فروش",IF(INDEX(SCAmount,$L1678)=0,"",-INDEX(SCAmount,$L1678)),""),IF($M1678&lt;&gt;"",IF(INDEX(LdgDepB,$M1678)=0,"",INDEX(LdgDepB,$M1678)),""))</f>
        <v/>
      </c>
      <c r="I1678" s="28">
        <f>IF($B1678="","",IF($I1677="",$C$10,$I1677)+IF($G1678="",0,$G1678)-IF($H1678="",0,$H1678))</f>
        <v/>
      </c>
      <c r="L1678">
        <f>IFERROR(MATCH($C$5&amp;"|"&amp;RIGHT("000000"&amp;1662,6),LdgRankKeyA,0),"")</f>
        <v/>
      </c>
      <c r="M1678">
        <f>IFERROR(MATCH($C$5&amp;"|"&amp;RIGHT("000000"&amp;1662,6),LdgRankKeyB,0),"")</f>
        <v/>
      </c>
    </row>
    <row r="1679">
      <c r="A1679" s="17" t="n">
        <v>1663</v>
      </c>
      <c r="B1679" s="18">
        <f>IF(AND($L1679="",$M1679=""),"",IF($L1679&lt;&gt;"",INDEX(SCNormDate,$L1679),INDEX(LdgDateB,$M1679)))</f>
        <v/>
      </c>
      <c r="C1679" s="18">
        <f>IF($L1679&lt;&gt;"",INDEX(SCOp,$L1679),IF($M1679&lt;&gt;"","پرداخت بانکی",""))</f>
        <v/>
      </c>
      <c r="D1679" s="18">
        <f>IF($L1679&lt;&gt;"",IF(INDEX(SCDoc,$L1679)="","—",INDEX(SCDoc,$L1679)),IF($M1679&lt;&gt;"",INDEX(LdgBankB,$M1679),""))</f>
        <v/>
      </c>
      <c r="E1679" s="19">
        <f>IF($L1679&lt;&gt;"",IF(INDEX(SCCitrus,$L1679)&amp;INDEX(SCNotes,$L1679)="","",IF(INDEX(SCCitrus,$L1679)="","",INDEX(SCCitrus,$L1679))&amp;IF(INDEX(SCNotes,$L1679)="",""," — "&amp;INDEX(SCNotes,$L1679))),IF($M1679&lt;&gt;"",IF(INDEX(LdgNoteB,$M1679)="","—",INDEX(LdgNoteB,$M1679)),""))</f>
        <v/>
      </c>
      <c r="F1679" s="20">
        <f>IF($L1679&lt;&gt;"",IF(INDEX(SCNet,$L1679)=0,"",INDEX(SCNet,$L1679)),"")</f>
        <v/>
      </c>
      <c r="G1679" s="21">
        <f>IF($L1679&lt;&gt;"",IF(INDEX(SCOp,$L1679)="مرجوعی فروش","",IF(INDEX(SCAmount,$L1679)&lt;=0,"",INDEX(SCAmount,$L1679))),IF($M1679&lt;&gt;"",IF(INDEX(LdgWitB,$M1679)=0,"",INDEX(LdgWitB,$M1679)),""))</f>
        <v/>
      </c>
      <c r="H1679" s="21">
        <f>IF($L1679&lt;&gt;"",IF(INDEX(SCOp,$L1679)="مرجوعی فروش",IF(INDEX(SCAmount,$L1679)=0,"",-INDEX(SCAmount,$L1679)),""),IF($M1679&lt;&gt;"",IF(INDEX(LdgDepB,$M1679)=0,"",INDEX(LdgDepB,$M1679)),""))</f>
        <v/>
      </c>
      <c r="I1679" s="22">
        <f>IF($B1679="","",IF($I1678="",$C$10,$I1678)+IF($G1679="",0,$G1679)-IF($H1679="",0,$H1679))</f>
        <v/>
      </c>
      <c r="L1679">
        <f>IFERROR(MATCH($C$5&amp;"|"&amp;RIGHT("000000"&amp;1663,6),LdgRankKeyA,0),"")</f>
        <v/>
      </c>
      <c r="M1679">
        <f>IFERROR(MATCH($C$5&amp;"|"&amp;RIGHT("000000"&amp;1663,6),LdgRankKeyB,0),"")</f>
        <v/>
      </c>
    </row>
    <row r="1680">
      <c r="A1680" s="23" t="n">
        <v>1664</v>
      </c>
      <c r="B1680" s="24">
        <f>IF(AND($L1680="",$M1680=""),"",IF($L1680&lt;&gt;"",INDEX(SCNormDate,$L1680),INDEX(LdgDateB,$M1680)))</f>
        <v/>
      </c>
      <c r="C1680" s="24">
        <f>IF($L1680&lt;&gt;"",INDEX(SCOp,$L1680),IF($M1680&lt;&gt;"","پرداخت بانکی",""))</f>
        <v/>
      </c>
      <c r="D1680" s="24">
        <f>IF($L1680&lt;&gt;"",IF(INDEX(SCDoc,$L1680)="","—",INDEX(SCDoc,$L1680)),IF($M1680&lt;&gt;"",INDEX(LdgBankB,$M1680),""))</f>
        <v/>
      </c>
      <c r="E1680" s="25">
        <f>IF($L1680&lt;&gt;"",IF(INDEX(SCCitrus,$L1680)&amp;INDEX(SCNotes,$L1680)="","",IF(INDEX(SCCitrus,$L1680)="","",INDEX(SCCitrus,$L1680))&amp;IF(INDEX(SCNotes,$L1680)="",""," — "&amp;INDEX(SCNotes,$L1680))),IF($M1680&lt;&gt;"",IF(INDEX(LdgNoteB,$M1680)="","—",INDEX(LdgNoteB,$M1680)),""))</f>
        <v/>
      </c>
      <c r="F1680" s="26">
        <f>IF($L1680&lt;&gt;"",IF(INDEX(SCNet,$L1680)=0,"",INDEX(SCNet,$L1680)),"")</f>
        <v/>
      </c>
      <c r="G1680" s="27">
        <f>IF($L1680&lt;&gt;"",IF(INDEX(SCOp,$L1680)="مرجوعی فروش","",IF(INDEX(SCAmount,$L1680)&lt;=0,"",INDEX(SCAmount,$L1680))),IF($M1680&lt;&gt;"",IF(INDEX(LdgWitB,$M1680)=0,"",INDEX(LdgWitB,$M1680)),""))</f>
        <v/>
      </c>
      <c r="H1680" s="27">
        <f>IF($L1680&lt;&gt;"",IF(INDEX(SCOp,$L1680)="مرجوعی فروش",IF(INDEX(SCAmount,$L1680)=0,"",-INDEX(SCAmount,$L1680)),""),IF($M1680&lt;&gt;"",IF(INDEX(LdgDepB,$M1680)=0,"",INDEX(LdgDepB,$M1680)),""))</f>
        <v/>
      </c>
      <c r="I1680" s="28">
        <f>IF($B1680="","",IF($I1679="",$C$10,$I1679)+IF($G1680="",0,$G1680)-IF($H1680="",0,$H1680))</f>
        <v/>
      </c>
      <c r="L1680">
        <f>IFERROR(MATCH($C$5&amp;"|"&amp;RIGHT("000000"&amp;1664,6),LdgRankKeyA,0),"")</f>
        <v/>
      </c>
      <c r="M1680">
        <f>IFERROR(MATCH($C$5&amp;"|"&amp;RIGHT("000000"&amp;1664,6),LdgRankKeyB,0),"")</f>
        <v/>
      </c>
    </row>
    <row r="1681">
      <c r="A1681" s="17" t="n">
        <v>1665</v>
      </c>
      <c r="B1681" s="18">
        <f>IF(AND($L1681="",$M1681=""),"",IF($L1681&lt;&gt;"",INDEX(SCNormDate,$L1681),INDEX(LdgDateB,$M1681)))</f>
        <v/>
      </c>
      <c r="C1681" s="18">
        <f>IF($L1681&lt;&gt;"",INDEX(SCOp,$L1681),IF($M1681&lt;&gt;"","پرداخت بانکی",""))</f>
        <v/>
      </c>
      <c r="D1681" s="18">
        <f>IF($L1681&lt;&gt;"",IF(INDEX(SCDoc,$L1681)="","—",INDEX(SCDoc,$L1681)),IF($M1681&lt;&gt;"",INDEX(LdgBankB,$M1681),""))</f>
        <v/>
      </c>
      <c r="E1681" s="19">
        <f>IF($L1681&lt;&gt;"",IF(INDEX(SCCitrus,$L1681)&amp;INDEX(SCNotes,$L1681)="","",IF(INDEX(SCCitrus,$L1681)="","",INDEX(SCCitrus,$L1681))&amp;IF(INDEX(SCNotes,$L1681)="",""," — "&amp;INDEX(SCNotes,$L1681))),IF($M1681&lt;&gt;"",IF(INDEX(LdgNoteB,$M1681)="","—",INDEX(LdgNoteB,$M1681)),""))</f>
        <v/>
      </c>
      <c r="F1681" s="20">
        <f>IF($L1681&lt;&gt;"",IF(INDEX(SCNet,$L1681)=0,"",INDEX(SCNet,$L1681)),"")</f>
        <v/>
      </c>
      <c r="G1681" s="21">
        <f>IF($L1681&lt;&gt;"",IF(INDEX(SCOp,$L1681)="مرجوعی فروش","",IF(INDEX(SCAmount,$L1681)&lt;=0,"",INDEX(SCAmount,$L1681))),IF($M1681&lt;&gt;"",IF(INDEX(LdgWitB,$M1681)=0,"",INDEX(LdgWitB,$M1681)),""))</f>
        <v/>
      </c>
      <c r="H1681" s="21">
        <f>IF($L1681&lt;&gt;"",IF(INDEX(SCOp,$L1681)="مرجوعی فروش",IF(INDEX(SCAmount,$L1681)=0,"",-INDEX(SCAmount,$L1681)),""),IF($M1681&lt;&gt;"",IF(INDEX(LdgDepB,$M1681)=0,"",INDEX(LdgDepB,$M1681)),""))</f>
        <v/>
      </c>
      <c r="I1681" s="22">
        <f>IF($B1681="","",IF($I1680="",$C$10,$I1680)+IF($G1681="",0,$G1681)-IF($H1681="",0,$H1681))</f>
        <v/>
      </c>
      <c r="L1681">
        <f>IFERROR(MATCH($C$5&amp;"|"&amp;RIGHT("000000"&amp;1665,6),LdgRankKeyA,0),"")</f>
        <v/>
      </c>
      <c r="M1681">
        <f>IFERROR(MATCH($C$5&amp;"|"&amp;RIGHT("000000"&amp;1665,6),LdgRankKeyB,0),"")</f>
        <v/>
      </c>
    </row>
    <row r="1682">
      <c r="A1682" s="23" t="n">
        <v>1666</v>
      </c>
      <c r="B1682" s="24">
        <f>IF(AND($L1682="",$M1682=""),"",IF($L1682&lt;&gt;"",INDEX(SCNormDate,$L1682),INDEX(LdgDateB,$M1682)))</f>
        <v/>
      </c>
      <c r="C1682" s="24">
        <f>IF($L1682&lt;&gt;"",INDEX(SCOp,$L1682),IF($M1682&lt;&gt;"","پرداخت بانکی",""))</f>
        <v/>
      </c>
      <c r="D1682" s="24">
        <f>IF($L1682&lt;&gt;"",IF(INDEX(SCDoc,$L1682)="","—",INDEX(SCDoc,$L1682)),IF($M1682&lt;&gt;"",INDEX(LdgBankB,$M1682),""))</f>
        <v/>
      </c>
      <c r="E1682" s="25">
        <f>IF($L1682&lt;&gt;"",IF(INDEX(SCCitrus,$L1682)&amp;INDEX(SCNotes,$L1682)="","",IF(INDEX(SCCitrus,$L1682)="","",INDEX(SCCitrus,$L1682))&amp;IF(INDEX(SCNotes,$L1682)="",""," — "&amp;INDEX(SCNotes,$L1682))),IF($M1682&lt;&gt;"",IF(INDEX(LdgNoteB,$M1682)="","—",INDEX(LdgNoteB,$M1682)),""))</f>
        <v/>
      </c>
      <c r="F1682" s="26">
        <f>IF($L1682&lt;&gt;"",IF(INDEX(SCNet,$L1682)=0,"",INDEX(SCNet,$L1682)),"")</f>
        <v/>
      </c>
      <c r="G1682" s="27">
        <f>IF($L1682&lt;&gt;"",IF(INDEX(SCOp,$L1682)="مرجوعی فروش","",IF(INDEX(SCAmount,$L1682)&lt;=0,"",INDEX(SCAmount,$L1682))),IF($M1682&lt;&gt;"",IF(INDEX(LdgWitB,$M1682)=0,"",INDEX(LdgWitB,$M1682)),""))</f>
        <v/>
      </c>
      <c r="H1682" s="27">
        <f>IF($L1682&lt;&gt;"",IF(INDEX(SCOp,$L1682)="مرجوعی فروش",IF(INDEX(SCAmount,$L1682)=0,"",-INDEX(SCAmount,$L1682)),""),IF($M1682&lt;&gt;"",IF(INDEX(LdgDepB,$M1682)=0,"",INDEX(LdgDepB,$M1682)),""))</f>
        <v/>
      </c>
      <c r="I1682" s="28">
        <f>IF($B1682="","",IF($I1681="",$C$10,$I1681)+IF($G1682="",0,$G1682)-IF($H1682="",0,$H1682))</f>
        <v/>
      </c>
      <c r="L1682">
        <f>IFERROR(MATCH($C$5&amp;"|"&amp;RIGHT("000000"&amp;1666,6),LdgRankKeyA,0),"")</f>
        <v/>
      </c>
      <c r="M1682">
        <f>IFERROR(MATCH($C$5&amp;"|"&amp;RIGHT("000000"&amp;1666,6),LdgRankKeyB,0),"")</f>
        <v/>
      </c>
    </row>
    <row r="1683">
      <c r="A1683" s="17" t="n">
        <v>1667</v>
      </c>
      <c r="B1683" s="18">
        <f>IF(AND($L1683="",$M1683=""),"",IF($L1683&lt;&gt;"",INDEX(SCNormDate,$L1683),INDEX(LdgDateB,$M1683)))</f>
        <v/>
      </c>
      <c r="C1683" s="18">
        <f>IF($L1683&lt;&gt;"",INDEX(SCOp,$L1683),IF($M1683&lt;&gt;"","پرداخت بانکی",""))</f>
        <v/>
      </c>
      <c r="D1683" s="18">
        <f>IF($L1683&lt;&gt;"",IF(INDEX(SCDoc,$L1683)="","—",INDEX(SCDoc,$L1683)),IF($M1683&lt;&gt;"",INDEX(LdgBankB,$M1683),""))</f>
        <v/>
      </c>
      <c r="E1683" s="19">
        <f>IF($L1683&lt;&gt;"",IF(INDEX(SCCitrus,$L1683)&amp;INDEX(SCNotes,$L1683)="","",IF(INDEX(SCCitrus,$L1683)="","",INDEX(SCCitrus,$L1683))&amp;IF(INDEX(SCNotes,$L1683)="",""," — "&amp;INDEX(SCNotes,$L1683))),IF($M1683&lt;&gt;"",IF(INDEX(LdgNoteB,$M1683)="","—",INDEX(LdgNoteB,$M1683)),""))</f>
        <v/>
      </c>
      <c r="F1683" s="20">
        <f>IF($L1683&lt;&gt;"",IF(INDEX(SCNet,$L1683)=0,"",INDEX(SCNet,$L1683)),"")</f>
        <v/>
      </c>
      <c r="G1683" s="21">
        <f>IF($L1683&lt;&gt;"",IF(INDEX(SCOp,$L1683)="مرجوعی فروش","",IF(INDEX(SCAmount,$L1683)&lt;=0,"",INDEX(SCAmount,$L1683))),IF($M1683&lt;&gt;"",IF(INDEX(LdgWitB,$M1683)=0,"",INDEX(LdgWitB,$M1683)),""))</f>
        <v/>
      </c>
      <c r="H1683" s="21">
        <f>IF($L1683&lt;&gt;"",IF(INDEX(SCOp,$L1683)="مرجوعی فروش",IF(INDEX(SCAmount,$L1683)=0,"",-INDEX(SCAmount,$L1683)),""),IF($M1683&lt;&gt;"",IF(INDEX(LdgDepB,$M1683)=0,"",INDEX(LdgDepB,$M1683)),""))</f>
        <v/>
      </c>
      <c r="I1683" s="22">
        <f>IF($B1683="","",IF($I1682="",$C$10,$I1682)+IF($G1683="",0,$G1683)-IF($H1683="",0,$H1683))</f>
        <v/>
      </c>
      <c r="L1683">
        <f>IFERROR(MATCH($C$5&amp;"|"&amp;RIGHT("000000"&amp;1667,6),LdgRankKeyA,0),"")</f>
        <v/>
      </c>
      <c r="M1683">
        <f>IFERROR(MATCH($C$5&amp;"|"&amp;RIGHT("000000"&amp;1667,6),LdgRankKeyB,0),"")</f>
        <v/>
      </c>
    </row>
    <row r="1684">
      <c r="A1684" s="23" t="n">
        <v>1668</v>
      </c>
      <c r="B1684" s="24">
        <f>IF(AND($L1684="",$M1684=""),"",IF($L1684&lt;&gt;"",INDEX(SCNormDate,$L1684),INDEX(LdgDateB,$M1684)))</f>
        <v/>
      </c>
      <c r="C1684" s="24">
        <f>IF($L1684&lt;&gt;"",INDEX(SCOp,$L1684),IF($M1684&lt;&gt;"","پرداخت بانکی",""))</f>
        <v/>
      </c>
      <c r="D1684" s="24">
        <f>IF($L1684&lt;&gt;"",IF(INDEX(SCDoc,$L1684)="","—",INDEX(SCDoc,$L1684)),IF($M1684&lt;&gt;"",INDEX(LdgBankB,$M1684),""))</f>
        <v/>
      </c>
      <c r="E1684" s="25">
        <f>IF($L1684&lt;&gt;"",IF(INDEX(SCCitrus,$L1684)&amp;INDEX(SCNotes,$L1684)="","",IF(INDEX(SCCitrus,$L1684)="","",INDEX(SCCitrus,$L1684))&amp;IF(INDEX(SCNotes,$L1684)="",""," — "&amp;INDEX(SCNotes,$L1684))),IF($M1684&lt;&gt;"",IF(INDEX(LdgNoteB,$M1684)="","—",INDEX(LdgNoteB,$M1684)),""))</f>
        <v/>
      </c>
      <c r="F1684" s="26">
        <f>IF($L1684&lt;&gt;"",IF(INDEX(SCNet,$L1684)=0,"",INDEX(SCNet,$L1684)),"")</f>
        <v/>
      </c>
      <c r="G1684" s="27">
        <f>IF($L1684&lt;&gt;"",IF(INDEX(SCOp,$L1684)="مرجوعی فروش","",IF(INDEX(SCAmount,$L1684)&lt;=0,"",INDEX(SCAmount,$L1684))),IF($M1684&lt;&gt;"",IF(INDEX(LdgWitB,$M1684)=0,"",INDEX(LdgWitB,$M1684)),""))</f>
        <v/>
      </c>
      <c r="H1684" s="27">
        <f>IF($L1684&lt;&gt;"",IF(INDEX(SCOp,$L1684)="مرجوعی فروش",IF(INDEX(SCAmount,$L1684)=0,"",-INDEX(SCAmount,$L1684)),""),IF($M1684&lt;&gt;"",IF(INDEX(LdgDepB,$M1684)=0,"",INDEX(LdgDepB,$M1684)),""))</f>
        <v/>
      </c>
      <c r="I1684" s="28">
        <f>IF($B1684="","",IF($I1683="",$C$10,$I1683)+IF($G1684="",0,$G1684)-IF($H1684="",0,$H1684))</f>
        <v/>
      </c>
      <c r="L1684">
        <f>IFERROR(MATCH($C$5&amp;"|"&amp;RIGHT("000000"&amp;1668,6),LdgRankKeyA,0),"")</f>
        <v/>
      </c>
      <c r="M1684">
        <f>IFERROR(MATCH($C$5&amp;"|"&amp;RIGHT("000000"&amp;1668,6),LdgRankKeyB,0),"")</f>
        <v/>
      </c>
    </row>
    <row r="1685">
      <c r="A1685" s="17" t="n">
        <v>1669</v>
      </c>
      <c r="B1685" s="18">
        <f>IF(AND($L1685="",$M1685=""),"",IF($L1685&lt;&gt;"",INDEX(SCNormDate,$L1685),INDEX(LdgDateB,$M1685)))</f>
        <v/>
      </c>
      <c r="C1685" s="18">
        <f>IF($L1685&lt;&gt;"",INDEX(SCOp,$L1685),IF($M1685&lt;&gt;"","پرداخت بانکی",""))</f>
        <v/>
      </c>
      <c r="D1685" s="18">
        <f>IF($L1685&lt;&gt;"",IF(INDEX(SCDoc,$L1685)="","—",INDEX(SCDoc,$L1685)),IF($M1685&lt;&gt;"",INDEX(LdgBankB,$M1685),""))</f>
        <v/>
      </c>
      <c r="E1685" s="19">
        <f>IF($L1685&lt;&gt;"",IF(INDEX(SCCitrus,$L1685)&amp;INDEX(SCNotes,$L1685)="","",IF(INDEX(SCCitrus,$L1685)="","",INDEX(SCCitrus,$L1685))&amp;IF(INDEX(SCNotes,$L1685)="",""," — "&amp;INDEX(SCNotes,$L1685))),IF($M1685&lt;&gt;"",IF(INDEX(LdgNoteB,$M1685)="","—",INDEX(LdgNoteB,$M1685)),""))</f>
        <v/>
      </c>
      <c r="F1685" s="20">
        <f>IF($L1685&lt;&gt;"",IF(INDEX(SCNet,$L1685)=0,"",INDEX(SCNet,$L1685)),"")</f>
        <v/>
      </c>
      <c r="G1685" s="21">
        <f>IF($L1685&lt;&gt;"",IF(INDEX(SCOp,$L1685)="مرجوعی فروش","",IF(INDEX(SCAmount,$L1685)&lt;=0,"",INDEX(SCAmount,$L1685))),IF($M1685&lt;&gt;"",IF(INDEX(LdgWitB,$M1685)=0,"",INDEX(LdgWitB,$M1685)),""))</f>
        <v/>
      </c>
      <c r="H1685" s="21">
        <f>IF($L1685&lt;&gt;"",IF(INDEX(SCOp,$L1685)="مرجوعی فروش",IF(INDEX(SCAmount,$L1685)=0,"",-INDEX(SCAmount,$L1685)),""),IF($M1685&lt;&gt;"",IF(INDEX(LdgDepB,$M1685)=0,"",INDEX(LdgDepB,$M1685)),""))</f>
        <v/>
      </c>
      <c r="I1685" s="22">
        <f>IF($B1685="","",IF($I1684="",$C$10,$I1684)+IF($G1685="",0,$G1685)-IF($H1685="",0,$H1685))</f>
        <v/>
      </c>
      <c r="L1685">
        <f>IFERROR(MATCH($C$5&amp;"|"&amp;RIGHT("000000"&amp;1669,6),LdgRankKeyA,0),"")</f>
        <v/>
      </c>
      <c r="M1685">
        <f>IFERROR(MATCH($C$5&amp;"|"&amp;RIGHT("000000"&amp;1669,6),LdgRankKeyB,0),"")</f>
        <v/>
      </c>
    </row>
    <row r="1686">
      <c r="A1686" s="23" t="n">
        <v>1670</v>
      </c>
      <c r="B1686" s="24">
        <f>IF(AND($L1686="",$M1686=""),"",IF($L1686&lt;&gt;"",INDEX(SCNormDate,$L1686),INDEX(LdgDateB,$M1686)))</f>
        <v/>
      </c>
      <c r="C1686" s="24">
        <f>IF($L1686&lt;&gt;"",INDEX(SCOp,$L1686),IF($M1686&lt;&gt;"","پرداخت بانکی",""))</f>
        <v/>
      </c>
      <c r="D1686" s="24">
        <f>IF($L1686&lt;&gt;"",IF(INDEX(SCDoc,$L1686)="","—",INDEX(SCDoc,$L1686)),IF($M1686&lt;&gt;"",INDEX(LdgBankB,$M1686),""))</f>
        <v/>
      </c>
      <c r="E1686" s="25">
        <f>IF($L1686&lt;&gt;"",IF(INDEX(SCCitrus,$L1686)&amp;INDEX(SCNotes,$L1686)="","",IF(INDEX(SCCitrus,$L1686)="","",INDEX(SCCitrus,$L1686))&amp;IF(INDEX(SCNotes,$L1686)="",""," — "&amp;INDEX(SCNotes,$L1686))),IF($M1686&lt;&gt;"",IF(INDEX(LdgNoteB,$M1686)="","—",INDEX(LdgNoteB,$M1686)),""))</f>
        <v/>
      </c>
      <c r="F1686" s="26">
        <f>IF($L1686&lt;&gt;"",IF(INDEX(SCNet,$L1686)=0,"",INDEX(SCNet,$L1686)),"")</f>
        <v/>
      </c>
      <c r="G1686" s="27">
        <f>IF($L1686&lt;&gt;"",IF(INDEX(SCOp,$L1686)="مرجوعی فروش","",IF(INDEX(SCAmount,$L1686)&lt;=0,"",INDEX(SCAmount,$L1686))),IF($M1686&lt;&gt;"",IF(INDEX(LdgWitB,$M1686)=0,"",INDEX(LdgWitB,$M1686)),""))</f>
        <v/>
      </c>
      <c r="H1686" s="27">
        <f>IF($L1686&lt;&gt;"",IF(INDEX(SCOp,$L1686)="مرجوعی فروش",IF(INDEX(SCAmount,$L1686)=0,"",-INDEX(SCAmount,$L1686)),""),IF($M1686&lt;&gt;"",IF(INDEX(LdgDepB,$M1686)=0,"",INDEX(LdgDepB,$M1686)),""))</f>
        <v/>
      </c>
      <c r="I1686" s="28">
        <f>IF($B1686="","",IF($I1685="",$C$10,$I1685)+IF($G1686="",0,$G1686)-IF($H1686="",0,$H1686))</f>
        <v/>
      </c>
      <c r="L1686">
        <f>IFERROR(MATCH($C$5&amp;"|"&amp;RIGHT("000000"&amp;1670,6),LdgRankKeyA,0),"")</f>
        <v/>
      </c>
      <c r="M1686">
        <f>IFERROR(MATCH($C$5&amp;"|"&amp;RIGHT("000000"&amp;1670,6),LdgRankKeyB,0),"")</f>
        <v/>
      </c>
    </row>
    <row r="1687">
      <c r="A1687" s="17" t="n">
        <v>1671</v>
      </c>
      <c r="B1687" s="18">
        <f>IF(AND($L1687="",$M1687=""),"",IF($L1687&lt;&gt;"",INDEX(SCNormDate,$L1687),INDEX(LdgDateB,$M1687)))</f>
        <v/>
      </c>
      <c r="C1687" s="18">
        <f>IF($L1687&lt;&gt;"",INDEX(SCOp,$L1687),IF($M1687&lt;&gt;"","پرداخت بانکی",""))</f>
        <v/>
      </c>
      <c r="D1687" s="18">
        <f>IF($L1687&lt;&gt;"",IF(INDEX(SCDoc,$L1687)="","—",INDEX(SCDoc,$L1687)),IF($M1687&lt;&gt;"",INDEX(LdgBankB,$M1687),""))</f>
        <v/>
      </c>
      <c r="E1687" s="19">
        <f>IF($L1687&lt;&gt;"",IF(INDEX(SCCitrus,$L1687)&amp;INDEX(SCNotes,$L1687)="","",IF(INDEX(SCCitrus,$L1687)="","",INDEX(SCCitrus,$L1687))&amp;IF(INDEX(SCNotes,$L1687)="",""," — "&amp;INDEX(SCNotes,$L1687))),IF($M1687&lt;&gt;"",IF(INDEX(LdgNoteB,$M1687)="","—",INDEX(LdgNoteB,$M1687)),""))</f>
        <v/>
      </c>
      <c r="F1687" s="20">
        <f>IF($L1687&lt;&gt;"",IF(INDEX(SCNet,$L1687)=0,"",INDEX(SCNet,$L1687)),"")</f>
        <v/>
      </c>
      <c r="G1687" s="21">
        <f>IF($L1687&lt;&gt;"",IF(INDEX(SCOp,$L1687)="مرجوعی فروش","",IF(INDEX(SCAmount,$L1687)&lt;=0,"",INDEX(SCAmount,$L1687))),IF($M1687&lt;&gt;"",IF(INDEX(LdgWitB,$M1687)=0,"",INDEX(LdgWitB,$M1687)),""))</f>
        <v/>
      </c>
      <c r="H1687" s="21">
        <f>IF($L1687&lt;&gt;"",IF(INDEX(SCOp,$L1687)="مرجوعی فروش",IF(INDEX(SCAmount,$L1687)=0,"",-INDEX(SCAmount,$L1687)),""),IF($M1687&lt;&gt;"",IF(INDEX(LdgDepB,$M1687)=0,"",INDEX(LdgDepB,$M1687)),""))</f>
        <v/>
      </c>
      <c r="I1687" s="22">
        <f>IF($B1687="","",IF($I1686="",$C$10,$I1686)+IF($G1687="",0,$G1687)-IF($H1687="",0,$H1687))</f>
        <v/>
      </c>
      <c r="L1687">
        <f>IFERROR(MATCH($C$5&amp;"|"&amp;RIGHT("000000"&amp;1671,6),LdgRankKeyA,0),"")</f>
        <v/>
      </c>
      <c r="M1687">
        <f>IFERROR(MATCH($C$5&amp;"|"&amp;RIGHT("000000"&amp;1671,6),LdgRankKeyB,0),"")</f>
        <v/>
      </c>
    </row>
    <row r="1688">
      <c r="A1688" s="23" t="n">
        <v>1672</v>
      </c>
      <c r="B1688" s="24">
        <f>IF(AND($L1688="",$M1688=""),"",IF($L1688&lt;&gt;"",INDEX(SCNormDate,$L1688),INDEX(LdgDateB,$M1688)))</f>
        <v/>
      </c>
      <c r="C1688" s="24">
        <f>IF($L1688&lt;&gt;"",INDEX(SCOp,$L1688),IF($M1688&lt;&gt;"","پرداخت بانکی",""))</f>
        <v/>
      </c>
      <c r="D1688" s="24">
        <f>IF($L1688&lt;&gt;"",IF(INDEX(SCDoc,$L1688)="","—",INDEX(SCDoc,$L1688)),IF($M1688&lt;&gt;"",INDEX(LdgBankB,$M1688),""))</f>
        <v/>
      </c>
      <c r="E1688" s="25">
        <f>IF($L1688&lt;&gt;"",IF(INDEX(SCCitrus,$L1688)&amp;INDEX(SCNotes,$L1688)="","",IF(INDEX(SCCitrus,$L1688)="","",INDEX(SCCitrus,$L1688))&amp;IF(INDEX(SCNotes,$L1688)="",""," — "&amp;INDEX(SCNotes,$L1688))),IF($M1688&lt;&gt;"",IF(INDEX(LdgNoteB,$M1688)="","—",INDEX(LdgNoteB,$M1688)),""))</f>
        <v/>
      </c>
      <c r="F1688" s="26">
        <f>IF($L1688&lt;&gt;"",IF(INDEX(SCNet,$L1688)=0,"",INDEX(SCNet,$L1688)),"")</f>
        <v/>
      </c>
      <c r="G1688" s="27">
        <f>IF($L1688&lt;&gt;"",IF(INDEX(SCOp,$L1688)="مرجوعی فروش","",IF(INDEX(SCAmount,$L1688)&lt;=0,"",INDEX(SCAmount,$L1688))),IF($M1688&lt;&gt;"",IF(INDEX(LdgWitB,$M1688)=0,"",INDEX(LdgWitB,$M1688)),""))</f>
        <v/>
      </c>
      <c r="H1688" s="27">
        <f>IF($L1688&lt;&gt;"",IF(INDEX(SCOp,$L1688)="مرجوعی فروش",IF(INDEX(SCAmount,$L1688)=0,"",-INDEX(SCAmount,$L1688)),""),IF($M1688&lt;&gt;"",IF(INDEX(LdgDepB,$M1688)=0,"",INDEX(LdgDepB,$M1688)),""))</f>
        <v/>
      </c>
      <c r="I1688" s="28">
        <f>IF($B1688="","",IF($I1687="",$C$10,$I1687)+IF($G1688="",0,$G1688)-IF($H1688="",0,$H1688))</f>
        <v/>
      </c>
      <c r="L1688">
        <f>IFERROR(MATCH($C$5&amp;"|"&amp;RIGHT("000000"&amp;1672,6),LdgRankKeyA,0),"")</f>
        <v/>
      </c>
      <c r="M1688">
        <f>IFERROR(MATCH($C$5&amp;"|"&amp;RIGHT("000000"&amp;1672,6),LdgRankKeyB,0),"")</f>
        <v/>
      </c>
    </row>
    <row r="1689">
      <c r="A1689" s="17" t="n">
        <v>1673</v>
      </c>
      <c r="B1689" s="18">
        <f>IF(AND($L1689="",$M1689=""),"",IF($L1689&lt;&gt;"",INDEX(SCNormDate,$L1689),INDEX(LdgDateB,$M1689)))</f>
        <v/>
      </c>
      <c r="C1689" s="18">
        <f>IF($L1689&lt;&gt;"",INDEX(SCOp,$L1689),IF($M1689&lt;&gt;"","پرداخت بانکی",""))</f>
        <v/>
      </c>
      <c r="D1689" s="18">
        <f>IF($L1689&lt;&gt;"",IF(INDEX(SCDoc,$L1689)="","—",INDEX(SCDoc,$L1689)),IF($M1689&lt;&gt;"",INDEX(LdgBankB,$M1689),""))</f>
        <v/>
      </c>
      <c r="E1689" s="19">
        <f>IF($L1689&lt;&gt;"",IF(INDEX(SCCitrus,$L1689)&amp;INDEX(SCNotes,$L1689)="","",IF(INDEX(SCCitrus,$L1689)="","",INDEX(SCCitrus,$L1689))&amp;IF(INDEX(SCNotes,$L1689)="",""," — "&amp;INDEX(SCNotes,$L1689))),IF($M1689&lt;&gt;"",IF(INDEX(LdgNoteB,$M1689)="","—",INDEX(LdgNoteB,$M1689)),""))</f>
        <v/>
      </c>
      <c r="F1689" s="20">
        <f>IF($L1689&lt;&gt;"",IF(INDEX(SCNet,$L1689)=0,"",INDEX(SCNet,$L1689)),"")</f>
        <v/>
      </c>
      <c r="G1689" s="21">
        <f>IF($L1689&lt;&gt;"",IF(INDEX(SCOp,$L1689)="مرجوعی فروش","",IF(INDEX(SCAmount,$L1689)&lt;=0,"",INDEX(SCAmount,$L1689))),IF($M1689&lt;&gt;"",IF(INDEX(LdgWitB,$M1689)=0,"",INDEX(LdgWitB,$M1689)),""))</f>
        <v/>
      </c>
      <c r="H1689" s="21">
        <f>IF($L1689&lt;&gt;"",IF(INDEX(SCOp,$L1689)="مرجوعی فروش",IF(INDEX(SCAmount,$L1689)=0,"",-INDEX(SCAmount,$L1689)),""),IF($M1689&lt;&gt;"",IF(INDEX(LdgDepB,$M1689)=0,"",INDEX(LdgDepB,$M1689)),""))</f>
        <v/>
      </c>
      <c r="I1689" s="22">
        <f>IF($B1689="","",IF($I1688="",$C$10,$I1688)+IF($G1689="",0,$G1689)-IF($H1689="",0,$H1689))</f>
        <v/>
      </c>
      <c r="L1689">
        <f>IFERROR(MATCH($C$5&amp;"|"&amp;RIGHT("000000"&amp;1673,6),LdgRankKeyA,0),"")</f>
        <v/>
      </c>
      <c r="M1689">
        <f>IFERROR(MATCH($C$5&amp;"|"&amp;RIGHT("000000"&amp;1673,6),LdgRankKeyB,0),"")</f>
        <v/>
      </c>
    </row>
    <row r="1690">
      <c r="A1690" s="23" t="n">
        <v>1674</v>
      </c>
      <c r="B1690" s="24">
        <f>IF(AND($L1690="",$M1690=""),"",IF($L1690&lt;&gt;"",INDEX(SCNormDate,$L1690),INDEX(LdgDateB,$M1690)))</f>
        <v/>
      </c>
      <c r="C1690" s="24">
        <f>IF($L1690&lt;&gt;"",INDEX(SCOp,$L1690),IF($M1690&lt;&gt;"","پرداخت بانکی",""))</f>
        <v/>
      </c>
      <c r="D1690" s="24">
        <f>IF($L1690&lt;&gt;"",IF(INDEX(SCDoc,$L1690)="","—",INDEX(SCDoc,$L1690)),IF($M1690&lt;&gt;"",INDEX(LdgBankB,$M1690),""))</f>
        <v/>
      </c>
      <c r="E1690" s="25">
        <f>IF($L1690&lt;&gt;"",IF(INDEX(SCCitrus,$L1690)&amp;INDEX(SCNotes,$L1690)="","",IF(INDEX(SCCitrus,$L1690)="","",INDEX(SCCitrus,$L1690))&amp;IF(INDEX(SCNotes,$L1690)="",""," — "&amp;INDEX(SCNotes,$L1690))),IF($M1690&lt;&gt;"",IF(INDEX(LdgNoteB,$M1690)="","—",INDEX(LdgNoteB,$M1690)),""))</f>
        <v/>
      </c>
      <c r="F1690" s="26">
        <f>IF($L1690&lt;&gt;"",IF(INDEX(SCNet,$L1690)=0,"",INDEX(SCNet,$L1690)),"")</f>
        <v/>
      </c>
      <c r="G1690" s="27">
        <f>IF($L1690&lt;&gt;"",IF(INDEX(SCOp,$L1690)="مرجوعی فروش","",IF(INDEX(SCAmount,$L1690)&lt;=0,"",INDEX(SCAmount,$L1690))),IF($M1690&lt;&gt;"",IF(INDEX(LdgWitB,$M1690)=0,"",INDEX(LdgWitB,$M1690)),""))</f>
        <v/>
      </c>
      <c r="H1690" s="27">
        <f>IF($L1690&lt;&gt;"",IF(INDEX(SCOp,$L1690)="مرجوعی فروش",IF(INDEX(SCAmount,$L1690)=0,"",-INDEX(SCAmount,$L1690)),""),IF($M1690&lt;&gt;"",IF(INDEX(LdgDepB,$M1690)=0,"",INDEX(LdgDepB,$M1690)),""))</f>
        <v/>
      </c>
      <c r="I1690" s="28">
        <f>IF($B1690="","",IF($I1689="",$C$10,$I1689)+IF($G1690="",0,$G1690)-IF($H1690="",0,$H1690))</f>
        <v/>
      </c>
      <c r="L1690">
        <f>IFERROR(MATCH($C$5&amp;"|"&amp;RIGHT("000000"&amp;1674,6),LdgRankKeyA,0),"")</f>
        <v/>
      </c>
      <c r="M1690">
        <f>IFERROR(MATCH($C$5&amp;"|"&amp;RIGHT("000000"&amp;1674,6),LdgRankKeyB,0),"")</f>
        <v/>
      </c>
    </row>
    <row r="1691">
      <c r="A1691" s="17" t="n">
        <v>1675</v>
      </c>
      <c r="B1691" s="18">
        <f>IF(AND($L1691="",$M1691=""),"",IF($L1691&lt;&gt;"",INDEX(SCNormDate,$L1691),INDEX(LdgDateB,$M1691)))</f>
        <v/>
      </c>
      <c r="C1691" s="18">
        <f>IF($L1691&lt;&gt;"",INDEX(SCOp,$L1691),IF($M1691&lt;&gt;"","پرداخت بانکی",""))</f>
        <v/>
      </c>
      <c r="D1691" s="18">
        <f>IF($L1691&lt;&gt;"",IF(INDEX(SCDoc,$L1691)="","—",INDEX(SCDoc,$L1691)),IF($M1691&lt;&gt;"",INDEX(LdgBankB,$M1691),""))</f>
        <v/>
      </c>
      <c r="E1691" s="19">
        <f>IF($L1691&lt;&gt;"",IF(INDEX(SCCitrus,$L1691)&amp;INDEX(SCNotes,$L1691)="","",IF(INDEX(SCCitrus,$L1691)="","",INDEX(SCCitrus,$L1691))&amp;IF(INDEX(SCNotes,$L1691)="",""," — "&amp;INDEX(SCNotes,$L1691))),IF($M1691&lt;&gt;"",IF(INDEX(LdgNoteB,$M1691)="","—",INDEX(LdgNoteB,$M1691)),""))</f>
        <v/>
      </c>
      <c r="F1691" s="20">
        <f>IF($L1691&lt;&gt;"",IF(INDEX(SCNet,$L1691)=0,"",INDEX(SCNet,$L1691)),"")</f>
        <v/>
      </c>
      <c r="G1691" s="21">
        <f>IF($L1691&lt;&gt;"",IF(INDEX(SCOp,$L1691)="مرجوعی فروش","",IF(INDEX(SCAmount,$L1691)&lt;=0,"",INDEX(SCAmount,$L1691))),IF($M1691&lt;&gt;"",IF(INDEX(LdgWitB,$M1691)=0,"",INDEX(LdgWitB,$M1691)),""))</f>
        <v/>
      </c>
      <c r="H1691" s="21">
        <f>IF($L1691&lt;&gt;"",IF(INDEX(SCOp,$L1691)="مرجوعی فروش",IF(INDEX(SCAmount,$L1691)=0,"",-INDEX(SCAmount,$L1691)),""),IF($M1691&lt;&gt;"",IF(INDEX(LdgDepB,$M1691)=0,"",INDEX(LdgDepB,$M1691)),""))</f>
        <v/>
      </c>
      <c r="I1691" s="22">
        <f>IF($B1691="","",IF($I1690="",$C$10,$I1690)+IF($G1691="",0,$G1691)-IF($H1691="",0,$H1691))</f>
        <v/>
      </c>
      <c r="L1691">
        <f>IFERROR(MATCH($C$5&amp;"|"&amp;RIGHT("000000"&amp;1675,6),LdgRankKeyA,0),"")</f>
        <v/>
      </c>
      <c r="M1691">
        <f>IFERROR(MATCH($C$5&amp;"|"&amp;RIGHT("000000"&amp;1675,6),LdgRankKeyB,0),"")</f>
        <v/>
      </c>
    </row>
    <row r="1692">
      <c r="A1692" s="23" t="n">
        <v>1676</v>
      </c>
      <c r="B1692" s="24">
        <f>IF(AND($L1692="",$M1692=""),"",IF($L1692&lt;&gt;"",INDEX(SCNormDate,$L1692),INDEX(LdgDateB,$M1692)))</f>
        <v/>
      </c>
      <c r="C1692" s="24">
        <f>IF($L1692&lt;&gt;"",INDEX(SCOp,$L1692),IF($M1692&lt;&gt;"","پرداخت بانکی",""))</f>
        <v/>
      </c>
      <c r="D1692" s="24">
        <f>IF($L1692&lt;&gt;"",IF(INDEX(SCDoc,$L1692)="","—",INDEX(SCDoc,$L1692)),IF($M1692&lt;&gt;"",INDEX(LdgBankB,$M1692),""))</f>
        <v/>
      </c>
      <c r="E1692" s="25">
        <f>IF($L1692&lt;&gt;"",IF(INDEX(SCCitrus,$L1692)&amp;INDEX(SCNotes,$L1692)="","",IF(INDEX(SCCitrus,$L1692)="","",INDEX(SCCitrus,$L1692))&amp;IF(INDEX(SCNotes,$L1692)="",""," — "&amp;INDEX(SCNotes,$L1692))),IF($M1692&lt;&gt;"",IF(INDEX(LdgNoteB,$M1692)="","—",INDEX(LdgNoteB,$M1692)),""))</f>
        <v/>
      </c>
      <c r="F1692" s="26">
        <f>IF($L1692&lt;&gt;"",IF(INDEX(SCNet,$L1692)=0,"",INDEX(SCNet,$L1692)),"")</f>
        <v/>
      </c>
      <c r="G1692" s="27">
        <f>IF($L1692&lt;&gt;"",IF(INDEX(SCOp,$L1692)="مرجوعی فروش","",IF(INDEX(SCAmount,$L1692)&lt;=0,"",INDEX(SCAmount,$L1692))),IF($M1692&lt;&gt;"",IF(INDEX(LdgWitB,$M1692)=0,"",INDEX(LdgWitB,$M1692)),""))</f>
        <v/>
      </c>
      <c r="H1692" s="27">
        <f>IF($L1692&lt;&gt;"",IF(INDEX(SCOp,$L1692)="مرجوعی فروش",IF(INDEX(SCAmount,$L1692)=0,"",-INDEX(SCAmount,$L1692)),""),IF($M1692&lt;&gt;"",IF(INDEX(LdgDepB,$M1692)=0,"",INDEX(LdgDepB,$M1692)),""))</f>
        <v/>
      </c>
      <c r="I1692" s="28">
        <f>IF($B1692="","",IF($I1691="",$C$10,$I1691)+IF($G1692="",0,$G1692)-IF($H1692="",0,$H1692))</f>
        <v/>
      </c>
      <c r="L1692">
        <f>IFERROR(MATCH($C$5&amp;"|"&amp;RIGHT("000000"&amp;1676,6),LdgRankKeyA,0),"")</f>
        <v/>
      </c>
      <c r="M1692">
        <f>IFERROR(MATCH($C$5&amp;"|"&amp;RIGHT("000000"&amp;1676,6),LdgRankKeyB,0),"")</f>
        <v/>
      </c>
    </row>
    <row r="1693">
      <c r="A1693" s="17" t="n">
        <v>1677</v>
      </c>
      <c r="B1693" s="18">
        <f>IF(AND($L1693="",$M1693=""),"",IF($L1693&lt;&gt;"",INDEX(SCNormDate,$L1693),INDEX(LdgDateB,$M1693)))</f>
        <v/>
      </c>
      <c r="C1693" s="18">
        <f>IF($L1693&lt;&gt;"",INDEX(SCOp,$L1693),IF($M1693&lt;&gt;"","پرداخت بانکی",""))</f>
        <v/>
      </c>
      <c r="D1693" s="18">
        <f>IF($L1693&lt;&gt;"",IF(INDEX(SCDoc,$L1693)="","—",INDEX(SCDoc,$L1693)),IF($M1693&lt;&gt;"",INDEX(LdgBankB,$M1693),""))</f>
        <v/>
      </c>
      <c r="E1693" s="19">
        <f>IF($L1693&lt;&gt;"",IF(INDEX(SCCitrus,$L1693)&amp;INDEX(SCNotes,$L1693)="","",IF(INDEX(SCCitrus,$L1693)="","",INDEX(SCCitrus,$L1693))&amp;IF(INDEX(SCNotes,$L1693)="",""," — "&amp;INDEX(SCNotes,$L1693))),IF($M1693&lt;&gt;"",IF(INDEX(LdgNoteB,$M1693)="","—",INDEX(LdgNoteB,$M1693)),""))</f>
        <v/>
      </c>
      <c r="F1693" s="20">
        <f>IF($L1693&lt;&gt;"",IF(INDEX(SCNet,$L1693)=0,"",INDEX(SCNet,$L1693)),"")</f>
        <v/>
      </c>
      <c r="G1693" s="21">
        <f>IF($L1693&lt;&gt;"",IF(INDEX(SCOp,$L1693)="مرجوعی فروش","",IF(INDEX(SCAmount,$L1693)&lt;=0,"",INDEX(SCAmount,$L1693))),IF($M1693&lt;&gt;"",IF(INDEX(LdgWitB,$M1693)=0,"",INDEX(LdgWitB,$M1693)),""))</f>
        <v/>
      </c>
      <c r="H1693" s="21">
        <f>IF($L1693&lt;&gt;"",IF(INDEX(SCOp,$L1693)="مرجوعی فروش",IF(INDEX(SCAmount,$L1693)=0,"",-INDEX(SCAmount,$L1693)),""),IF($M1693&lt;&gt;"",IF(INDEX(LdgDepB,$M1693)=0,"",INDEX(LdgDepB,$M1693)),""))</f>
        <v/>
      </c>
      <c r="I1693" s="22">
        <f>IF($B1693="","",IF($I1692="",$C$10,$I1692)+IF($G1693="",0,$G1693)-IF($H1693="",0,$H1693))</f>
        <v/>
      </c>
      <c r="L1693">
        <f>IFERROR(MATCH($C$5&amp;"|"&amp;RIGHT("000000"&amp;1677,6),LdgRankKeyA,0),"")</f>
        <v/>
      </c>
      <c r="M1693">
        <f>IFERROR(MATCH($C$5&amp;"|"&amp;RIGHT("000000"&amp;1677,6),LdgRankKeyB,0),"")</f>
        <v/>
      </c>
    </row>
    <row r="1694">
      <c r="A1694" s="23" t="n">
        <v>1678</v>
      </c>
      <c r="B1694" s="24">
        <f>IF(AND($L1694="",$M1694=""),"",IF($L1694&lt;&gt;"",INDEX(SCNormDate,$L1694),INDEX(LdgDateB,$M1694)))</f>
        <v/>
      </c>
      <c r="C1694" s="24">
        <f>IF($L1694&lt;&gt;"",INDEX(SCOp,$L1694),IF($M1694&lt;&gt;"","پرداخت بانکی",""))</f>
        <v/>
      </c>
      <c r="D1694" s="24">
        <f>IF($L1694&lt;&gt;"",IF(INDEX(SCDoc,$L1694)="","—",INDEX(SCDoc,$L1694)),IF($M1694&lt;&gt;"",INDEX(LdgBankB,$M1694),""))</f>
        <v/>
      </c>
      <c r="E1694" s="25">
        <f>IF($L1694&lt;&gt;"",IF(INDEX(SCCitrus,$L1694)&amp;INDEX(SCNotes,$L1694)="","",IF(INDEX(SCCitrus,$L1694)="","",INDEX(SCCitrus,$L1694))&amp;IF(INDEX(SCNotes,$L1694)="",""," — "&amp;INDEX(SCNotes,$L1694))),IF($M1694&lt;&gt;"",IF(INDEX(LdgNoteB,$M1694)="","—",INDEX(LdgNoteB,$M1694)),""))</f>
        <v/>
      </c>
      <c r="F1694" s="26">
        <f>IF($L1694&lt;&gt;"",IF(INDEX(SCNet,$L1694)=0,"",INDEX(SCNet,$L1694)),"")</f>
        <v/>
      </c>
      <c r="G1694" s="27">
        <f>IF($L1694&lt;&gt;"",IF(INDEX(SCOp,$L1694)="مرجوعی فروش","",IF(INDEX(SCAmount,$L1694)&lt;=0,"",INDEX(SCAmount,$L1694))),IF($M1694&lt;&gt;"",IF(INDEX(LdgWitB,$M1694)=0,"",INDEX(LdgWitB,$M1694)),""))</f>
        <v/>
      </c>
      <c r="H1694" s="27">
        <f>IF($L1694&lt;&gt;"",IF(INDEX(SCOp,$L1694)="مرجوعی فروش",IF(INDEX(SCAmount,$L1694)=0,"",-INDEX(SCAmount,$L1694)),""),IF($M1694&lt;&gt;"",IF(INDEX(LdgDepB,$M1694)=0,"",INDEX(LdgDepB,$M1694)),""))</f>
        <v/>
      </c>
      <c r="I1694" s="28">
        <f>IF($B1694="","",IF($I1693="",$C$10,$I1693)+IF($G1694="",0,$G1694)-IF($H1694="",0,$H1694))</f>
        <v/>
      </c>
      <c r="L1694">
        <f>IFERROR(MATCH($C$5&amp;"|"&amp;RIGHT("000000"&amp;1678,6),LdgRankKeyA,0),"")</f>
        <v/>
      </c>
      <c r="M1694">
        <f>IFERROR(MATCH($C$5&amp;"|"&amp;RIGHT("000000"&amp;1678,6),LdgRankKeyB,0),"")</f>
        <v/>
      </c>
    </row>
    <row r="1695">
      <c r="A1695" s="17" t="n">
        <v>1679</v>
      </c>
      <c r="B1695" s="18">
        <f>IF(AND($L1695="",$M1695=""),"",IF($L1695&lt;&gt;"",INDEX(SCNormDate,$L1695),INDEX(LdgDateB,$M1695)))</f>
        <v/>
      </c>
      <c r="C1695" s="18">
        <f>IF($L1695&lt;&gt;"",INDEX(SCOp,$L1695),IF($M1695&lt;&gt;"","پرداخت بانکی",""))</f>
        <v/>
      </c>
      <c r="D1695" s="18">
        <f>IF($L1695&lt;&gt;"",IF(INDEX(SCDoc,$L1695)="","—",INDEX(SCDoc,$L1695)),IF($M1695&lt;&gt;"",INDEX(LdgBankB,$M1695),""))</f>
        <v/>
      </c>
      <c r="E1695" s="19">
        <f>IF($L1695&lt;&gt;"",IF(INDEX(SCCitrus,$L1695)&amp;INDEX(SCNotes,$L1695)="","",IF(INDEX(SCCitrus,$L1695)="","",INDEX(SCCitrus,$L1695))&amp;IF(INDEX(SCNotes,$L1695)="",""," — "&amp;INDEX(SCNotes,$L1695))),IF($M1695&lt;&gt;"",IF(INDEX(LdgNoteB,$M1695)="","—",INDEX(LdgNoteB,$M1695)),""))</f>
        <v/>
      </c>
      <c r="F1695" s="20">
        <f>IF($L1695&lt;&gt;"",IF(INDEX(SCNet,$L1695)=0,"",INDEX(SCNet,$L1695)),"")</f>
        <v/>
      </c>
      <c r="G1695" s="21">
        <f>IF($L1695&lt;&gt;"",IF(INDEX(SCOp,$L1695)="مرجوعی فروش","",IF(INDEX(SCAmount,$L1695)&lt;=0,"",INDEX(SCAmount,$L1695))),IF($M1695&lt;&gt;"",IF(INDEX(LdgWitB,$M1695)=0,"",INDEX(LdgWitB,$M1695)),""))</f>
        <v/>
      </c>
      <c r="H1695" s="21">
        <f>IF($L1695&lt;&gt;"",IF(INDEX(SCOp,$L1695)="مرجوعی فروش",IF(INDEX(SCAmount,$L1695)=0,"",-INDEX(SCAmount,$L1695)),""),IF($M1695&lt;&gt;"",IF(INDEX(LdgDepB,$M1695)=0,"",INDEX(LdgDepB,$M1695)),""))</f>
        <v/>
      </c>
      <c r="I1695" s="22">
        <f>IF($B1695="","",IF($I1694="",$C$10,$I1694)+IF($G1695="",0,$G1695)-IF($H1695="",0,$H1695))</f>
        <v/>
      </c>
      <c r="L1695">
        <f>IFERROR(MATCH($C$5&amp;"|"&amp;RIGHT("000000"&amp;1679,6),LdgRankKeyA,0),"")</f>
        <v/>
      </c>
      <c r="M1695">
        <f>IFERROR(MATCH($C$5&amp;"|"&amp;RIGHT("000000"&amp;1679,6),LdgRankKeyB,0),"")</f>
        <v/>
      </c>
    </row>
    <row r="1696">
      <c r="A1696" s="23" t="n">
        <v>1680</v>
      </c>
      <c r="B1696" s="24">
        <f>IF(AND($L1696="",$M1696=""),"",IF($L1696&lt;&gt;"",INDEX(SCNormDate,$L1696),INDEX(LdgDateB,$M1696)))</f>
        <v/>
      </c>
      <c r="C1696" s="24">
        <f>IF($L1696&lt;&gt;"",INDEX(SCOp,$L1696),IF($M1696&lt;&gt;"","پرداخت بانکی",""))</f>
        <v/>
      </c>
      <c r="D1696" s="24">
        <f>IF($L1696&lt;&gt;"",IF(INDEX(SCDoc,$L1696)="","—",INDEX(SCDoc,$L1696)),IF($M1696&lt;&gt;"",INDEX(LdgBankB,$M1696),""))</f>
        <v/>
      </c>
      <c r="E1696" s="25">
        <f>IF($L1696&lt;&gt;"",IF(INDEX(SCCitrus,$L1696)&amp;INDEX(SCNotes,$L1696)="","",IF(INDEX(SCCitrus,$L1696)="","",INDEX(SCCitrus,$L1696))&amp;IF(INDEX(SCNotes,$L1696)="",""," — "&amp;INDEX(SCNotes,$L1696))),IF($M1696&lt;&gt;"",IF(INDEX(LdgNoteB,$M1696)="","—",INDEX(LdgNoteB,$M1696)),""))</f>
        <v/>
      </c>
      <c r="F1696" s="26">
        <f>IF($L1696&lt;&gt;"",IF(INDEX(SCNet,$L1696)=0,"",INDEX(SCNet,$L1696)),"")</f>
        <v/>
      </c>
      <c r="G1696" s="27">
        <f>IF($L1696&lt;&gt;"",IF(INDEX(SCOp,$L1696)="مرجوعی فروش","",IF(INDEX(SCAmount,$L1696)&lt;=0,"",INDEX(SCAmount,$L1696))),IF($M1696&lt;&gt;"",IF(INDEX(LdgWitB,$M1696)=0,"",INDEX(LdgWitB,$M1696)),""))</f>
        <v/>
      </c>
      <c r="H1696" s="27">
        <f>IF($L1696&lt;&gt;"",IF(INDEX(SCOp,$L1696)="مرجوعی فروش",IF(INDEX(SCAmount,$L1696)=0,"",-INDEX(SCAmount,$L1696)),""),IF($M1696&lt;&gt;"",IF(INDEX(LdgDepB,$M1696)=0,"",INDEX(LdgDepB,$M1696)),""))</f>
        <v/>
      </c>
      <c r="I1696" s="28">
        <f>IF($B1696="","",IF($I1695="",$C$10,$I1695)+IF($G1696="",0,$G1696)-IF($H1696="",0,$H1696))</f>
        <v/>
      </c>
      <c r="L1696">
        <f>IFERROR(MATCH($C$5&amp;"|"&amp;RIGHT("000000"&amp;1680,6),LdgRankKeyA,0),"")</f>
        <v/>
      </c>
      <c r="M1696">
        <f>IFERROR(MATCH($C$5&amp;"|"&amp;RIGHT("000000"&amp;1680,6),LdgRankKeyB,0),"")</f>
        <v/>
      </c>
    </row>
    <row r="1697">
      <c r="A1697" s="17" t="n">
        <v>1681</v>
      </c>
      <c r="B1697" s="18">
        <f>IF(AND($L1697="",$M1697=""),"",IF($L1697&lt;&gt;"",INDEX(SCNormDate,$L1697),INDEX(LdgDateB,$M1697)))</f>
        <v/>
      </c>
      <c r="C1697" s="18">
        <f>IF($L1697&lt;&gt;"",INDEX(SCOp,$L1697),IF($M1697&lt;&gt;"","پرداخت بانکی",""))</f>
        <v/>
      </c>
      <c r="D1697" s="18">
        <f>IF($L1697&lt;&gt;"",IF(INDEX(SCDoc,$L1697)="","—",INDEX(SCDoc,$L1697)),IF($M1697&lt;&gt;"",INDEX(LdgBankB,$M1697),""))</f>
        <v/>
      </c>
      <c r="E1697" s="19">
        <f>IF($L1697&lt;&gt;"",IF(INDEX(SCCitrus,$L1697)&amp;INDEX(SCNotes,$L1697)="","",IF(INDEX(SCCitrus,$L1697)="","",INDEX(SCCitrus,$L1697))&amp;IF(INDEX(SCNotes,$L1697)="",""," — "&amp;INDEX(SCNotes,$L1697))),IF($M1697&lt;&gt;"",IF(INDEX(LdgNoteB,$M1697)="","—",INDEX(LdgNoteB,$M1697)),""))</f>
        <v/>
      </c>
      <c r="F1697" s="20">
        <f>IF($L1697&lt;&gt;"",IF(INDEX(SCNet,$L1697)=0,"",INDEX(SCNet,$L1697)),"")</f>
        <v/>
      </c>
      <c r="G1697" s="21">
        <f>IF($L1697&lt;&gt;"",IF(INDEX(SCOp,$L1697)="مرجوعی فروش","",IF(INDEX(SCAmount,$L1697)&lt;=0,"",INDEX(SCAmount,$L1697))),IF($M1697&lt;&gt;"",IF(INDEX(LdgWitB,$M1697)=0,"",INDEX(LdgWitB,$M1697)),""))</f>
        <v/>
      </c>
      <c r="H1697" s="21">
        <f>IF($L1697&lt;&gt;"",IF(INDEX(SCOp,$L1697)="مرجوعی فروش",IF(INDEX(SCAmount,$L1697)=0,"",-INDEX(SCAmount,$L1697)),""),IF($M1697&lt;&gt;"",IF(INDEX(LdgDepB,$M1697)=0,"",INDEX(LdgDepB,$M1697)),""))</f>
        <v/>
      </c>
      <c r="I1697" s="22">
        <f>IF($B1697="","",IF($I1696="",$C$10,$I1696)+IF($G1697="",0,$G1697)-IF($H1697="",0,$H1697))</f>
        <v/>
      </c>
      <c r="L1697">
        <f>IFERROR(MATCH($C$5&amp;"|"&amp;RIGHT("000000"&amp;1681,6),LdgRankKeyA,0),"")</f>
        <v/>
      </c>
      <c r="M1697">
        <f>IFERROR(MATCH($C$5&amp;"|"&amp;RIGHT("000000"&amp;1681,6),LdgRankKeyB,0),"")</f>
        <v/>
      </c>
    </row>
    <row r="1698">
      <c r="A1698" s="23" t="n">
        <v>1682</v>
      </c>
      <c r="B1698" s="24">
        <f>IF(AND($L1698="",$M1698=""),"",IF($L1698&lt;&gt;"",INDEX(SCNormDate,$L1698),INDEX(LdgDateB,$M1698)))</f>
        <v/>
      </c>
      <c r="C1698" s="24">
        <f>IF($L1698&lt;&gt;"",INDEX(SCOp,$L1698),IF($M1698&lt;&gt;"","پرداخت بانکی",""))</f>
        <v/>
      </c>
      <c r="D1698" s="24">
        <f>IF($L1698&lt;&gt;"",IF(INDEX(SCDoc,$L1698)="","—",INDEX(SCDoc,$L1698)),IF($M1698&lt;&gt;"",INDEX(LdgBankB,$M1698),""))</f>
        <v/>
      </c>
      <c r="E1698" s="25">
        <f>IF($L1698&lt;&gt;"",IF(INDEX(SCCitrus,$L1698)&amp;INDEX(SCNotes,$L1698)="","",IF(INDEX(SCCitrus,$L1698)="","",INDEX(SCCitrus,$L1698))&amp;IF(INDEX(SCNotes,$L1698)="",""," — "&amp;INDEX(SCNotes,$L1698))),IF($M1698&lt;&gt;"",IF(INDEX(LdgNoteB,$M1698)="","—",INDEX(LdgNoteB,$M1698)),""))</f>
        <v/>
      </c>
      <c r="F1698" s="26">
        <f>IF($L1698&lt;&gt;"",IF(INDEX(SCNet,$L1698)=0,"",INDEX(SCNet,$L1698)),"")</f>
        <v/>
      </c>
      <c r="G1698" s="27">
        <f>IF($L1698&lt;&gt;"",IF(INDEX(SCOp,$L1698)="مرجوعی فروش","",IF(INDEX(SCAmount,$L1698)&lt;=0,"",INDEX(SCAmount,$L1698))),IF($M1698&lt;&gt;"",IF(INDEX(LdgWitB,$M1698)=0,"",INDEX(LdgWitB,$M1698)),""))</f>
        <v/>
      </c>
      <c r="H1698" s="27">
        <f>IF($L1698&lt;&gt;"",IF(INDEX(SCOp,$L1698)="مرجوعی فروش",IF(INDEX(SCAmount,$L1698)=0,"",-INDEX(SCAmount,$L1698)),""),IF($M1698&lt;&gt;"",IF(INDEX(LdgDepB,$M1698)=0,"",INDEX(LdgDepB,$M1698)),""))</f>
        <v/>
      </c>
      <c r="I1698" s="28">
        <f>IF($B1698="","",IF($I1697="",$C$10,$I1697)+IF($G1698="",0,$G1698)-IF($H1698="",0,$H1698))</f>
        <v/>
      </c>
      <c r="L1698">
        <f>IFERROR(MATCH($C$5&amp;"|"&amp;RIGHT("000000"&amp;1682,6),LdgRankKeyA,0),"")</f>
        <v/>
      </c>
      <c r="M1698">
        <f>IFERROR(MATCH($C$5&amp;"|"&amp;RIGHT("000000"&amp;1682,6),LdgRankKeyB,0),"")</f>
        <v/>
      </c>
    </row>
    <row r="1699">
      <c r="A1699" s="17" t="n">
        <v>1683</v>
      </c>
      <c r="B1699" s="18">
        <f>IF(AND($L1699="",$M1699=""),"",IF($L1699&lt;&gt;"",INDEX(SCNormDate,$L1699),INDEX(LdgDateB,$M1699)))</f>
        <v/>
      </c>
      <c r="C1699" s="18">
        <f>IF($L1699&lt;&gt;"",INDEX(SCOp,$L1699),IF($M1699&lt;&gt;"","پرداخت بانکی",""))</f>
        <v/>
      </c>
      <c r="D1699" s="18">
        <f>IF($L1699&lt;&gt;"",IF(INDEX(SCDoc,$L1699)="","—",INDEX(SCDoc,$L1699)),IF($M1699&lt;&gt;"",INDEX(LdgBankB,$M1699),""))</f>
        <v/>
      </c>
      <c r="E1699" s="19">
        <f>IF($L1699&lt;&gt;"",IF(INDEX(SCCitrus,$L1699)&amp;INDEX(SCNotes,$L1699)="","",IF(INDEX(SCCitrus,$L1699)="","",INDEX(SCCitrus,$L1699))&amp;IF(INDEX(SCNotes,$L1699)="",""," — "&amp;INDEX(SCNotes,$L1699))),IF($M1699&lt;&gt;"",IF(INDEX(LdgNoteB,$M1699)="","—",INDEX(LdgNoteB,$M1699)),""))</f>
        <v/>
      </c>
      <c r="F1699" s="20">
        <f>IF($L1699&lt;&gt;"",IF(INDEX(SCNet,$L1699)=0,"",INDEX(SCNet,$L1699)),"")</f>
        <v/>
      </c>
      <c r="G1699" s="21">
        <f>IF($L1699&lt;&gt;"",IF(INDEX(SCOp,$L1699)="مرجوعی فروش","",IF(INDEX(SCAmount,$L1699)&lt;=0,"",INDEX(SCAmount,$L1699))),IF($M1699&lt;&gt;"",IF(INDEX(LdgWitB,$M1699)=0,"",INDEX(LdgWitB,$M1699)),""))</f>
        <v/>
      </c>
      <c r="H1699" s="21">
        <f>IF($L1699&lt;&gt;"",IF(INDEX(SCOp,$L1699)="مرجوعی فروش",IF(INDEX(SCAmount,$L1699)=0,"",-INDEX(SCAmount,$L1699)),""),IF($M1699&lt;&gt;"",IF(INDEX(LdgDepB,$M1699)=0,"",INDEX(LdgDepB,$M1699)),""))</f>
        <v/>
      </c>
      <c r="I1699" s="22">
        <f>IF($B1699="","",IF($I1698="",$C$10,$I1698)+IF($G1699="",0,$G1699)-IF($H1699="",0,$H1699))</f>
        <v/>
      </c>
      <c r="L1699">
        <f>IFERROR(MATCH($C$5&amp;"|"&amp;RIGHT("000000"&amp;1683,6),LdgRankKeyA,0),"")</f>
        <v/>
      </c>
      <c r="M1699">
        <f>IFERROR(MATCH($C$5&amp;"|"&amp;RIGHT("000000"&amp;1683,6),LdgRankKeyB,0),"")</f>
        <v/>
      </c>
    </row>
    <row r="1700">
      <c r="A1700" s="23" t="n">
        <v>1684</v>
      </c>
      <c r="B1700" s="24">
        <f>IF(AND($L1700="",$M1700=""),"",IF($L1700&lt;&gt;"",INDEX(SCNormDate,$L1700),INDEX(LdgDateB,$M1700)))</f>
        <v/>
      </c>
      <c r="C1700" s="24">
        <f>IF($L1700&lt;&gt;"",INDEX(SCOp,$L1700),IF($M1700&lt;&gt;"","پرداخت بانکی",""))</f>
        <v/>
      </c>
      <c r="D1700" s="24">
        <f>IF($L1700&lt;&gt;"",IF(INDEX(SCDoc,$L1700)="","—",INDEX(SCDoc,$L1700)),IF($M1700&lt;&gt;"",INDEX(LdgBankB,$M1700),""))</f>
        <v/>
      </c>
      <c r="E1700" s="25">
        <f>IF($L1700&lt;&gt;"",IF(INDEX(SCCitrus,$L1700)&amp;INDEX(SCNotes,$L1700)="","",IF(INDEX(SCCitrus,$L1700)="","",INDEX(SCCitrus,$L1700))&amp;IF(INDEX(SCNotes,$L1700)="",""," — "&amp;INDEX(SCNotes,$L1700))),IF($M1700&lt;&gt;"",IF(INDEX(LdgNoteB,$M1700)="","—",INDEX(LdgNoteB,$M1700)),""))</f>
        <v/>
      </c>
      <c r="F1700" s="26">
        <f>IF($L1700&lt;&gt;"",IF(INDEX(SCNet,$L1700)=0,"",INDEX(SCNet,$L1700)),"")</f>
        <v/>
      </c>
      <c r="G1700" s="27">
        <f>IF($L1700&lt;&gt;"",IF(INDEX(SCOp,$L1700)="مرجوعی فروش","",IF(INDEX(SCAmount,$L1700)&lt;=0,"",INDEX(SCAmount,$L1700))),IF($M1700&lt;&gt;"",IF(INDEX(LdgWitB,$M1700)=0,"",INDEX(LdgWitB,$M1700)),""))</f>
        <v/>
      </c>
      <c r="H1700" s="27">
        <f>IF($L1700&lt;&gt;"",IF(INDEX(SCOp,$L1700)="مرجوعی فروش",IF(INDEX(SCAmount,$L1700)=0,"",-INDEX(SCAmount,$L1700)),""),IF($M1700&lt;&gt;"",IF(INDEX(LdgDepB,$M1700)=0,"",INDEX(LdgDepB,$M1700)),""))</f>
        <v/>
      </c>
      <c r="I1700" s="28">
        <f>IF($B1700="","",IF($I1699="",$C$10,$I1699)+IF($G1700="",0,$G1700)-IF($H1700="",0,$H1700))</f>
        <v/>
      </c>
      <c r="L1700">
        <f>IFERROR(MATCH($C$5&amp;"|"&amp;RIGHT("000000"&amp;1684,6),LdgRankKeyA,0),"")</f>
        <v/>
      </c>
      <c r="M1700">
        <f>IFERROR(MATCH($C$5&amp;"|"&amp;RIGHT("000000"&amp;1684,6),LdgRankKeyB,0),"")</f>
        <v/>
      </c>
    </row>
    <row r="1701">
      <c r="A1701" s="17" t="n">
        <v>1685</v>
      </c>
      <c r="B1701" s="18">
        <f>IF(AND($L1701="",$M1701=""),"",IF($L1701&lt;&gt;"",INDEX(SCNormDate,$L1701),INDEX(LdgDateB,$M1701)))</f>
        <v/>
      </c>
      <c r="C1701" s="18">
        <f>IF($L1701&lt;&gt;"",INDEX(SCOp,$L1701),IF($M1701&lt;&gt;"","پرداخت بانکی",""))</f>
        <v/>
      </c>
      <c r="D1701" s="18">
        <f>IF($L1701&lt;&gt;"",IF(INDEX(SCDoc,$L1701)="","—",INDEX(SCDoc,$L1701)),IF($M1701&lt;&gt;"",INDEX(LdgBankB,$M1701),""))</f>
        <v/>
      </c>
      <c r="E1701" s="19">
        <f>IF($L1701&lt;&gt;"",IF(INDEX(SCCitrus,$L1701)&amp;INDEX(SCNotes,$L1701)="","",IF(INDEX(SCCitrus,$L1701)="","",INDEX(SCCitrus,$L1701))&amp;IF(INDEX(SCNotes,$L1701)="",""," — "&amp;INDEX(SCNotes,$L1701))),IF($M1701&lt;&gt;"",IF(INDEX(LdgNoteB,$M1701)="","—",INDEX(LdgNoteB,$M1701)),""))</f>
        <v/>
      </c>
      <c r="F1701" s="20">
        <f>IF($L1701&lt;&gt;"",IF(INDEX(SCNet,$L1701)=0,"",INDEX(SCNet,$L1701)),"")</f>
        <v/>
      </c>
      <c r="G1701" s="21">
        <f>IF($L1701&lt;&gt;"",IF(INDEX(SCOp,$L1701)="مرجوعی فروش","",IF(INDEX(SCAmount,$L1701)&lt;=0,"",INDEX(SCAmount,$L1701))),IF($M1701&lt;&gt;"",IF(INDEX(LdgWitB,$M1701)=0,"",INDEX(LdgWitB,$M1701)),""))</f>
        <v/>
      </c>
      <c r="H1701" s="21">
        <f>IF($L1701&lt;&gt;"",IF(INDEX(SCOp,$L1701)="مرجوعی فروش",IF(INDEX(SCAmount,$L1701)=0,"",-INDEX(SCAmount,$L1701)),""),IF($M1701&lt;&gt;"",IF(INDEX(LdgDepB,$M1701)=0,"",INDEX(LdgDepB,$M1701)),""))</f>
        <v/>
      </c>
      <c r="I1701" s="22">
        <f>IF($B1701="","",IF($I1700="",$C$10,$I1700)+IF($G1701="",0,$G1701)-IF($H1701="",0,$H1701))</f>
        <v/>
      </c>
      <c r="L1701">
        <f>IFERROR(MATCH($C$5&amp;"|"&amp;RIGHT("000000"&amp;1685,6),LdgRankKeyA,0),"")</f>
        <v/>
      </c>
      <c r="M1701">
        <f>IFERROR(MATCH($C$5&amp;"|"&amp;RIGHT("000000"&amp;1685,6),LdgRankKeyB,0),"")</f>
        <v/>
      </c>
    </row>
    <row r="1702">
      <c r="A1702" s="23" t="n">
        <v>1686</v>
      </c>
      <c r="B1702" s="24">
        <f>IF(AND($L1702="",$M1702=""),"",IF($L1702&lt;&gt;"",INDEX(SCNormDate,$L1702),INDEX(LdgDateB,$M1702)))</f>
        <v/>
      </c>
      <c r="C1702" s="24">
        <f>IF($L1702&lt;&gt;"",INDEX(SCOp,$L1702),IF($M1702&lt;&gt;"","پرداخت بانکی",""))</f>
        <v/>
      </c>
      <c r="D1702" s="24">
        <f>IF($L1702&lt;&gt;"",IF(INDEX(SCDoc,$L1702)="","—",INDEX(SCDoc,$L1702)),IF($M1702&lt;&gt;"",INDEX(LdgBankB,$M1702),""))</f>
        <v/>
      </c>
      <c r="E1702" s="25">
        <f>IF($L1702&lt;&gt;"",IF(INDEX(SCCitrus,$L1702)&amp;INDEX(SCNotes,$L1702)="","",IF(INDEX(SCCitrus,$L1702)="","",INDEX(SCCitrus,$L1702))&amp;IF(INDEX(SCNotes,$L1702)="",""," — "&amp;INDEX(SCNotes,$L1702))),IF($M1702&lt;&gt;"",IF(INDEX(LdgNoteB,$M1702)="","—",INDEX(LdgNoteB,$M1702)),""))</f>
        <v/>
      </c>
      <c r="F1702" s="26">
        <f>IF($L1702&lt;&gt;"",IF(INDEX(SCNet,$L1702)=0,"",INDEX(SCNet,$L1702)),"")</f>
        <v/>
      </c>
      <c r="G1702" s="27">
        <f>IF($L1702&lt;&gt;"",IF(INDEX(SCOp,$L1702)="مرجوعی فروش","",IF(INDEX(SCAmount,$L1702)&lt;=0,"",INDEX(SCAmount,$L1702))),IF($M1702&lt;&gt;"",IF(INDEX(LdgWitB,$M1702)=0,"",INDEX(LdgWitB,$M1702)),""))</f>
        <v/>
      </c>
      <c r="H1702" s="27">
        <f>IF($L1702&lt;&gt;"",IF(INDEX(SCOp,$L1702)="مرجوعی فروش",IF(INDEX(SCAmount,$L1702)=0,"",-INDEX(SCAmount,$L1702)),""),IF($M1702&lt;&gt;"",IF(INDEX(LdgDepB,$M1702)=0,"",INDEX(LdgDepB,$M1702)),""))</f>
        <v/>
      </c>
      <c r="I1702" s="28">
        <f>IF($B1702="","",IF($I1701="",$C$10,$I1701)+IF($G1702="",0,$G1702)-IF($H1702="",0,$H1702))</f>
        <v/>
      </c>
      <c r="L1702">
        <f>IFERROR(MATCH($C$5&amp;"|"&amp;RIGHT("000000"&amp;1686,6),LdgRankKeyA,0),"")</f>
        <v/>
      </c>
      <c r="M1702">
        <f>IFERROR(MATCH($C$5&amp;"|"&amp;RIGHT("000000"&amp;1686,6),LdgRankKeyB,0),"")</f>
        <v/>
      </c>
    </row>
    <row r="1703">
      <c r="A1703" s="17" t="n">
        <v>1687</v>
      </c>
      <c r="B1703" s="18">
        <f>IF(AND($L1703="",$M1703=""),"",IF($L1703&lt;&gt;"",INDEX(SCNormDate,$L1703),INDEX(LdgDateB,$M1703)))</f>
        <v/>
      </c>
      <c r="C1703" s="18">
        <f>IF($L1703&lt;&gt;"",INDEX(SCOp,$L1703),IF($M1703&lt;&gt;"","پرداخت بانکی",""))</f>
        <v/>
      </c>
      <c r="D1703" s="18">
        <f>IF($L1703&lt;&gt;"",IF(INDEX(SCDoc,$L1703)="","—",INDEX(SCDoc,$L1703)),IF($M1703&lt;&gt;"",INDEX(LdgBankB,$M1703),""))</f>
        <v/>
      </c>
      <c r="E1703" s="19">
        <f>IF($L1703&lt;&gt;"",IF(INDEX(SCCitrus,$L1703)&amp;INDEX(SCNotes,$L1703)="","",IF(INDEX(SCCitrus,$L1703)="","",INDEX(SCCitrus,$L1703))&amp;IF(INDEX(SCNotes,$L1703)="",""," — "&amp;INDEX(SCNotes,$L1703))),IF($M1703&lt;&gt;"",IF(INDEX(LdgNoteB,$M1703)="","—",INDEX(LdgNoteB,$M1703)),""))</f>
        <v/>
      </c>
      <c r="F1703" s="20">
        <f>IF($L1703&lt;&gt;"",IF(INDEX(SCNet,$L1703)=0,"",INDEX(SCNet,$L1703)),"")</f>
        <v/>
      </c>
      <c r="G1703" s="21">
        <f>IF($L1703&lt;&gt;"",IF(INDEX(SCOp,$L1703)="مرجوعی فروش","",IF(INDEX(SCAmount,$L1703)&lt;=0,"",INDEX(SCAmount,$L1703))),IF($M1703&lt;&gt;"",IF(INDEX(LdgWitB,$M1703)=0,"",INDEX(LdgWitB,$M1703)),""))</f>
        <v/>
      </c>
      <c r="H1703" s="21">
        <f>IF($L1703&lt;&gt;"",IF(INDEX(SCOp,$L1703)="مرجوعی فروش",IF(INDEX(SCAmount,$L1703)=0,"",-INDEX(SCAmount,$L1703)),""),IF($M1703&lt;&gt;"",IF(INDEX(LdgDepB,$M1703)=0,"",INDEX(LdgDepB,$M1703)),""))</f>
        <v/>
      </c>
      <c r="I1703" s="22">
        <f>IF($B1703="","",IF($I1702="",$C$10,$I1702)+IF($G1703="",0,$G1703)-IF($H1703="",0,$H1703))</f>
        <v/>
      </c>
      <c r="L1703">
        <f>IFERROR(MATCH($C$5&amp;"|"&amp;RIGHT("000000"&amp;1687,6),LdgRankKeyA,0),"")</f>
        <v/>
      </c>
      <c r="M1703">
        <f>IFERROR(MATCH($C$5&amp;"|"&amp;RIGHT("000000"&amp;1687,6),LdgRankKeyB,0),"")</f>
        <v/>
      </c>
    </row>
    <row r="1704">
      <c r="A1704" s="23" t="n">
        <v>1688</v>
      </c>
      <c r="B1704" s="24">
        <f>IF(AND($L1704="",$M1704=""),"",IF($L1704&lt;&gt;"",INDEX(SCNormDate,$L1704),INDEX(LdgDateB,$M1704)))</f>
        <v/>
      </c>
      <c r="C1704" s="24">
        <f>IF($L1704&lt;&gt;"",INDEX(SCOp,$L1704),IF($M1704&lt;&gt;"","پرداخت بانکی",""))</f>
        <v/>
      </c>
      <c r="D1704" s="24">
        <f>IF($L1704&lt;&gt;"",IF(INDEX(SCDoc,$L1704)="","—",INDEX(SCDoc,$L1704)),IF($M1704&lt;&gt;"",INDEX(LdgBankB,$M1704),""))</f>
        <v/>
      </c>
      <c r="E1704" s="25">
        <f>IF($L1704&lt;&gt;"",IF(INDEX(SCCitrus,$L1704)&amp;INDEX(SCNotes,$L1704)="","",IF(INDEX(SCCitrus,$L1704)="","",INDEX(SCCitrus,$L1704))&amp;IF(INDEX(SCNotes,$L1704)="",""," — "&amp;INDEX(SCNotes,$L1704))),IF($M1704&lt;&gt;"",IF(INDEX(LdgNoteB,$M1704)="","—",INDEX(LdgNoteB,$M1704)),""))</f>
        <v/>
      </c>
      <c r="F1704" s="26">
        <f>IF($L1704&lt;&gt;"",IF(INDEX(SCNet,$L1704)=0,"",INDEX(SCNet,$L1704)),"")</f>
        <v/>
      </c>
      <c r="G1704" s="27">
        <f>IF($L1704&lt;&gt;"",IF(INDEX(SCOp,$L1704)="مرجوعی فروش","",IF(INDEX(SCAmount,$L1704)&lt;=0,"",INDEX(SCAmount,$L1704))),IF($M1704&lt;&gt;"",IF(INDEX(LdgWitB,$M1704)=0,"",INDEX(LdgWitB,$M1704)),""))</f>
        <v/>
      </c>
      <c r="H1704" s="27">
        <f>IF($L1704&lt;&gt;"",IF(INDEX(SCOp,$L1704)="مرجوعی فروش",IF(INDEX(SCAmount,$L1704)=0,"",-INDEX(SCAmount,$L1704)),""),IF($M1704&lt;&gt;"",IF(INDEX(LdgDepB,$M1704)=0,"",INDEX(LdgDepB,$M1704)),""))</f>
        <v/>
      </c>
      <c r="I1704" s="28">
        <f>IF($B1704="","",IF($I1703="",$C$10,$I1703)+IF($G1704="",0,$G1704)-IF($H1704="",0,$H1704))</f>
        <v/>
      </c>
      <c r="L1704">
        <f>IFERROR(MATCH($C$5&amp;"|"&amp;RIGHT("000000"&amp;1688,6),LdgRankKeyA,0),"")</f>
        <v/>
      </c>
      <c r="M1704">
        <f>IFERROR(MATCH($C$5&amp;"|"&amp;RIGHT("000000"&amp;1688,6),LdgRankKeyB,0),"")</f>
        <v/>
      </c>
    </row>
    <row r="1705">
      <c r="A1705" s="17" t="n">
        <v>1689</v>
      </c>
      <c r="B1705" s="18">
        <f>IF(AND($L1705="",$M1705=""),"",IF($L1705&lt;&gt;"",INDEX(SCNormDate,$L1705),INDEX(LdgDateB,$M1705)))</f>
        <v/>
      </c>
      <c r="C1705" s="18">
        <f>IF($L1705&lt;&gt;"",INDEX(SCOp,$L1705),IF($M1705&lt;&gt;"","پرداخت بانکی",""))</f>
        <v/>
      </c>
      <c r="D1705" s="18">
        <f>IF($L1705&lt;&gt;"",IF(INDEX(SCDoc,$L1705)="","—",INDEX(SCDoc,$L1705)),IF($M1705&lt;&gt;"",INDEX(LdgBankB,$M1705),""))</f>
        <v/>
      </c>
      <c r="E1705" s="19">
        <f>IF($L1705&lt;&gt;"",IF(INDEX(SCCitrus,$L1705)&amp;INDEX(SCNotes,$L1705)="","",IF(INDEX(SCCitrus,$L1705)="","",INDEX(SCCitrus,$L1705))&amp;IF(INDEX(SCNotes,$L1705)="",""," — "&amp;INDEX(SCNotes,$L1705))),IF($M1705&lt;&gt;"",IF(INDEX(LdgNoteB,$M1705)="","—",INDEX(LdgNoteB,$M1705)),""))</f>
        <v/>
      </c>
      <c r="F1705" s="20">
        <f>IF($L1705&lt;&gt;"",IF(INDEX(SCNet,$L1705)=0,"",INDEX(SCNet,$L1705)),"")</f>
        <v/>
      </c>
      <c r="G1705" s="21">
        <f>IF($L1705&lt;&gt;"",IF(INDEX(SCOp,$L1705)="مرجوعی فروش","",IF(INDEX(SCAmount,$L1705)&lt;=0,"",INDEX(SCAmount,$L1705))),IF($M1705&lt;&gt;"",IF(INDEX(LdgWitB,$M1705)=0,"",INDEX(LdgWitB,$M1705)),""))</f>
        <v/>
      </c>
      <c r="H1705" s="21">
        <f>IF($L1705&lt;&gt;"",IF(INDEX(SCOp,$L1705)="مرجوعی فروش",IF(INDEX(SCAmount,$L1705)=0,"",-INDEX(SCAmount,$L1705)),""),IF($M1705&lt;&gt;"",IF(INDEX(LdgDepB,$M1705)=0,"",INDEX(LdgDepB,$M1705)),""))</f>
        <v/>
      </c>
      <c r="I1705" s="22">
        <f>IF($B1705="","",IF($I1704="",$C$10,$I1704)+IF($G1705="",0,$G1705)-IF($H1705="",0,$H1705))</f>
        <v/>
      </c>
      <c r="L1705">
        <f>IFERROR(MATCH($C$5&amp;"|"&amp;RIGHT("000000"&amp;1689,6),LdgRankKeyA,0),"")</f>
        <v/>
      </c>
      <c r="M1705">
        <f>IFERROR(MATCH($C$5&amp;"|"&amp;RIGHT("000000"&amp;1689,6),LdgRankKeyB,0),"")</f>
        <v/>
      </c>
    </row>
    <row r="1706">
      <c r="A1706" s="23" t="n">
        <v>1690</v>
      </c>
      <c r="B1706" s="24">
        <f>IF(AND($L1706="",$M1706=""),"",IF($L1706&lt;&gt;"",INDEX(SCNormDate,$L1706),INDEX(LdgDateB,$M1706)))</f>
        <v/>
      </c>
      <c r="C1706" s="24">
        <f>IF($L1706&lt;&gt;"",INDEX(SCOp,$L1706),IF($M1706&lt;&gt;"","پرداخت بانکی",""))</f>
        <v/>
      </c>
      <c r="D1706" s="24">
        <f>IF($L1706&lt;&gt;"",IF(INDEX(SCDoc,$L1706)="","—",INDEX(SCDoc,$L1706)),IF($M1706&lt;&gt;"",INDEX(LdgBankB,$M1706),""))</f>
        <v/>
      </c>
      <c r="E1706" s="25">
        <f>IF($L1706&lt;&gt;"",IF(INDEX(SCCitrus,$L1706)&amp;INDEX(SCNotes,$L1706)="","",IF(INDEX(SCCitrus,$L1706)="","",INDEX(SCCitrus,$L1706))&amp;IF(INDEX(SCNotes,$L1706)="",""," — "&amp;INDEX(SCNotes,$L1706))),IF($M1706&lt;&gt;"",IF(INDEX(LdgNoteB,$M1706)="","—",INDEX(LdgNoteB,$M1706)),""))</f>
        <v/>
      </c>
      <c r="F1706" s="26">
        <f>IF($L1706&lt;&gt;"",IF(INDEX(SCNet,$L1706)=0,"",INDEX(SCNet,$L1706)),"")</f>
        <v/>
      </c>
      <c r="G1706" s="27">
        <f>IF($L1706&lt;&gt;"",IF(INDEX(SCOp,$L1706)="مرجوعی فروش","",IF(INDEX(SCAmount,$L1706)&lt;=0,"",INDEX(SCAmount,$L1706))),IF($M1706&lt;&gt;"",IF(INDEX(LdgWitB,$M1706)=0,"",INDEX(LdgWitB,$M1706)),""))</f>
        <v/>
      </c>
      <c r="H1706" s="27">
        <f>IF($L1706&lt;&gt;"",IF(INDEX(SCOp,$L1706)="مرجوعی فروش",IF(INDEX(SCAmount,$L1706)=0,"",-INDEX(SCAmount,$L1706)),""),IF($M1706&lt;&gt;"",IF(INDEX(LdgDepB,$M1706)=0,"",INDEX(LdgDepB,$M1706)),""))</f>
        <v/>
      </c>
      <c r="I1706" s="28">
        <f>IF($B1706="","",IF($I1705="",$C$10,$I1705)+IF($G1706="",0,$G1706)-IF($H1706="",0,$H1706))</f>
        <v/>
      </c>
      <c r="L1706">
        <f>IFERROR(MATCH($C$5&amp;"|"&amp;RIGHT("000000"&amp;1690,6),LdgRankKeyA,0),"")</f>
        <v/>
      </c>
      <c r="M1706">
        <f>IFERROR(MATCH($C$5&amp;"|"&amp;RIGHT("000000"&amp;1690,6),LdgRankKeyB,0),"")</f>
        <v/>
      </c>
    </row>
    <row r="1707">
      <c r="A1707" s="17" t="n">
        <v>1691</v>
      </c>
      <c r="B1707" s="18">
        <f>IF(AND($L1707="",$M1707=""),"",IF($L1707&lt;&gt;"",INDEX(SCNormDate,$L1707),INDEX(LdgDateB,$M1707)))</f>
        <v/>
      </c>
      <c r="C1707" s="18">
        <f>IF($L1707&lt;&gt;"",INDEX(SCOp,$L1707),IF($M1707&lt;&gt;"","پرداخت بانکی",""))</f>
        <v/>
      </c>
      <c r="D1707" s="18">
        <f>IF($L1707&lt;&gt;"",IF(INDEX(SCDoc,$L1707)="","—",INDEX(SCDoc,$L1707)),IF($M1707&lt;&gt;"",INDEX(LdgBankB,$M1707),""))</f>
        <v/>
      </c>
      <c r="E1707" s="19">
        <f>IF($L1707&lt;&gt;"",IF(INDEX(SCCitrus,$L1707)&amp;INDEX(SCNotes,$L1707)="","",IF(INDEX(SCCitrus,$L1707)="","",INDEX(SCCitrus,$L1707))&amp;IF(INDEX(SCNotes,$L1707)="",""," — "&amp;INDEX(SCNotes,$L1707))),IF($M1707&lt;&gt;"",IF(INDEX(LdgNoteB,$M1707)="","—",INDEX(LdgNoteB,$M1707)),""))</f>
        <v/>
      </c>
      <c r="F1707" s="20">
        <f>IF($L1707&lt;&gt;"",IF(INDEX(SCNet,$L1707)=0,"",INDEX(SCNet,$L1707)),"")</f>
        <v/>
      </c>
      <c r="G1707" s="21">
        <f>IF($L1707&lt;&gt;"",IF(INDEX(SCOp,$L1707)="مرجوعی فروش","",IF(INDEX(SCAmount,$L1707)&lt;=0,"",INDEX(SCAmount,$L1707))),IF($M1707&lt;&gt;"",IF(INDEX(LdgWitB,$M1707)=0,"",INDEX(LdgWitB,$M1707)),""))</f>
        <v/>
      </c>
      <c r="H1707" s="21">
        <f>IF($L1707&lt;&gt;"",IF(INDEX(SCOp,$L1707)="مرجوعی فروش",IF(INDEX(SCAmount,$L1707)=0,"",-INDEX(SCAmount,$L1707)),""),IF($M1707&lt;&gt;"",IF(INDEX(LdgDepB,$M1707)=0,"",INDEX(LdgDepB,$M1707)),""))</f>
        <v/>
      </c>
      <c r="I1707" s="22">
        <f>IF($B1707="","",IF($I1706="",$C$10,$I1706)+IF($G1707="",0,$G1707)-IF($H1707="",0,$H1707))</f>
        <v/>
      </c>
      <c r="L1707">
        <f>IFERROR(MATCH($C$5&amp;"|"&amp;RIGHT("000000"&amp;1691,6),LdgRankKeyA,0),"")</f>
        <v/>
      </c>
      <c r="M1707">
        <f>IFERROR(MATCH($C$5&amp;"|"&amp;RIGHT("000000"&amp;1691,6),LdgRankKeyB,0),"")</f>
        <v/>
      </c>
    </row>
    <row r="1708">
      <c r="A1708" s="23" t="n">
        <v>1692</v>
      </c>
      <c r="B1708" s="24">
        <f>IF(AND($L1708="",$M1708=""),"",IF($L1708&lt;&gt;"",INDEX(SCNormDate,$L1708),INDEX(LdgDateB,$M1708)))</f>
        <v/>
      </c>
      <c r="C1708" s="24">
        <f>IF($L1708&lt;&gt;"",INDEX(SCOp,$L1708),IF($M1708&lt;&gt;"","پرداخت بانکی",""))</f>
        <v/>
      </c>
      <c r="D1708" s="24">
        <f>IF($L1708&lt;&gt;"",IF(INDEX(SCDoc,$L1708)="","—",INDEX(SCDoc,$L1708)),IF($M1708&lt;&gt;"",INDEX(LdgBankB,$M1708),""))</f>
        <v/>
      </c>
      <c r="E1708" s="25">
        <f>IF($L1708&lt;&gt;"",IF(INDEX(SCCitrus,$L1708)&amp;INDEX(SCNotes,$L1708)="","",IF(INDEX(SCCitrus,$L1708)="","",INDEX(SCCitrus,$L1708))&amp;IF(INDEX(SCNotes,$L1708)="",""," — "&amp;INDEX(SCNotes,$L1708))),IF($M1708&lt;&gt;"",IF(INDEX(LdgNoteB,$M1708)="","—",INDEX(LdgNoteB,$M1708)),""))</f>
        <v/>
      </c>
      <c r="F1708" s="26">
        <f>IF($L1708&lt;&gt;"",IF(INDEX(SCNet,$L1708)=0,"",INDEX(SCNet,$L1708)),"")</f>
        <v/>
      </c>
      <c r="G1708" s="27">
        <f>IF($L1708&lt;&gt;"",IF(INDEX(SCOp,$L1708)="مرجوعی فروش","",IF(INDEX(SCAmount,$L1708)&lt;=0,"",INDEX(SCAmount,$L1708))),IF($M1708&lt;&gt;"",IF(INDEX(LdgWitB,$M1708)=0,"",INDEX(LdgWitB,$M1708)),""))</f>
        <v/>
      </c>
      <c r="H1708" s="27">
        <f>IF($L1708&lt;&gt;"",IF(INDEX(SCOp,$L1708)="مرجوعی فروش",IF(INDEX(SCAmount,$L1708)=0,"",-INDEX(SCAmount,$L1708)),""),IF($M1708&lt;&gt;"",IF(INDEX(LdgDepB,$M1708)=0,"",INDEX(LdgDepB,$M1708)),""))</f>
        <v/>
      </c>
      <c r="I1708" s="28">
        <f>IF($B1708="","",IF($I1707="",$C$10,$I1707)+IF($G1708="",0,$G1708)-IF($H1708="",0,$H1708))</f>
        <v/>
      </c>
      <c r="L1708">
        <f>IFERROR(MATCH($C$5&amp;"|"&amp;RIGHT("000000"&amp;1692,6),LdgRankKeyA,0),"")</f>
        <v/>
      </c>
      <c r="M1708">
        <f>IFERROR(MATCH($C$5&amp;"|"&amp;RIGHT("000000"&amp;1692,6),LdgRankKeyB,0),"")</f>
        <v/>
      </c>
    </row>
    <row r="1709">
      <c r="A1709" s="17" t="n">
        <v>1693</v>
      </c>
      <c r="B1709" s="18">
        <f>IF(AND($L1709="",$M1709=""),"",IF($L1709&lt;&gt;"",INDEX(SCNormDate,$L1709),INDEX(LdgDateB,$M1709)))</f>
        <v/>
      </c>
      <c r="C1709" s="18">
        <f>IF($L1709&lt;&gt;"",INDEX(SCOp,$L1709),IF($M1709&lt;&gt;"","پرداخت بانکی",""))</f>
        <v/>
      </c>
      <c r="D1709" s="18">
        <f>IF($L1709&lt;&gt;"",IF(INDEX(SCDoc,$L1709)="","—",INDEX(SCDoc,$L1709)),IF($M1709&lt;&gt;"",INDEX(LdgBankB,$M1709),""))</f>
        <v/>
      </c>
      <c r="E1709" s="19">
        <f>IF($L1709&lt;&gt;"",IF(INDEX(SCCitrus,$L1709)&amp;INDEX(SCNotes,$L1709)="","",IF(INDEX(SCCitrus,$L1709)="","",INDEX(SCCitrus,$L1709))&amp;IF(INDEX(SCNotes,$L1709)="",""," — "&amp;INDEX(SCNotes,$L1709))),IF($M1709&lt;&gt;"",IF(INDEX(LdgNoteB,$M1709)="","—",INDEX(LdgNoteB,$M1709)),""))</f>
        <v/>
      </c>
      <c r="F1709" s="20">
        <f>IF($L1709&lt;&gt;"",IF(INDEX(SCNet,$L1709)=0,"",INDEX(SCNet,$L1709)),"")</f>
        <v/>
      </c>
      <c r="G1709" s="21">
        <f>IF($L1709&lt;&gt;"",IF(INDEX(SCOp,$L1709)="مرجوعی فروش","",IF(INDEX(SCAmount,$L1709)&lt;=0,"",INDEX(SCAmount,$L1709))),IF($M1709&lt;&gt;"",IF(INDEX(LdgWitB,$M1709)=0,"",INDEX(LdgWitB,$M1709)),""))</f>
        <v/>
      </c>
      <c r="H1709" s="21">
        <f>IF($L1709&lt;&gt;"",IF(INDEX(SCOp,$L1709)="مرجوعی فروش",IF(INDEX(SCAmount,$L1709)=0,"",-INDEX(SCAmount,$L1709)),""),IF($M1709&lt;&gt;"",IF(INDEX(LdgDepB,$M1709)=0,"",INDEX(LdgDepB,$M1709)),""))</f>
        <v/>
      </c>
      <c r="I1709" s="22">
        <f>IF($B1709="","",IF($I1708="",$C$10,$I1708)+IF($G1709="",0,$G1709)-IF($H1709="",0,$H1709))</f>
        <v/>
      </c>
      <c r="L1709">
        <f>IFERROR(MATCH($C$5&amp;"|"&amp;RIGHT("000000"&amp;1693,6),LdgRankKeyA,0),"")</f>
        <v/>
      </c>
      <c r="M1709">
        <f>IFERROR(MATCH($C$5&amp;"|"&amp;RIGHT("000000"&amp;1693,6),LdgRankKeyB,0),"")</f>
        <v/>
      </c>
    </row>
    <row r="1710">
      <c r="A1710" s="23" t="n">
        <v>1694</v>
      </c>
      <c r="B1710" s="24">
        <f>IF(AND($L1710="",$M1710=""),"",IF($L1710&lt;&gt;"",INDEX(SCNormDate,$L1710),INDEX(LdgDateB,$M1710)))</f>
        <v/>
      </c>
      <c r="C1710" s="24">
        <f>IF($L1710&lt;&gt;"",INDEX(SCOp,$L1710),IF($M1710&lt;&gt;"","پرداخت بانکی",""))</f>
        <v/>
      </c>
      <c r="D1710" s="24">
        <f>IF($L1710&lt;&gt;"",IF(INDEX(SCDoc,$L1710)="","—",INDEX(SCDoc,$L1710)),IF($M1710&lt;&gt;"",INDEX(LdgBankB,$M1710),""))</f>
        <v/>
      </c>
      <c r="E1710" s="25">
        <f>IF($L1710&lt;&gt;"",IF(INDEX(SCCitrus,$L1710)&amp;INDEX(SCNotes,$L1710)="","",IF(INDEX(SCCitrus,$L1710)="","",INDEX(SCCitrus,$L1710))&amp;IF(INDEX(SCNotes,$L1710)="",""," — "&amp;INDEX(SCNotes,$L1710))),IF($M1710&lt;&gt;"",IF(INDEX(LdgNoteB,$M1710)="","—",INDEX(LdgNoteB,$M1710)),""))</f>
        <v/>
      </c>
      <c r="F1710" s="26">
        <f>IF($L1710&lt;&gt;"",IF(INDEX(SCNet,$L1710)=0,"",INDEX(SCNet,$L1710)),"")</f>
        <v/>
      </c>
      <c r="G1710" s="27">
        <f>IF($L1710&lt;&gt;"",IF(INDEX(SCOp,$L1710)="مرجوعی فروش","",IF(INDEX(SCAmount,$L1710)&lt;=0,"",INDEX(SCAmount,$L1710))),IF($M1710&lt;&gt;"",IF(INDEX(LdgWitB,$M1710)=0,"",INDEX(LdgWitB,$M1710)),""))</f>
        <v/>
      </c>
      <c r="H1710" s="27">
        <f>IF($L1710&lt;&gt;"",IF(INDEX(SCOp,$L1710)="مرجوعی فروش",IF(INDEX(SCAmount,$L1710)=0,"",-INDEX(SCAmount,$L1710)),""),IF($M1710&lt;&gt;"",IF(INDEX(LdgDepB,$M1710)=0,"",INDEX(LdgDepB,$M1710)),""))</f>
        <v/>
      </c>
      <c r="I1710" s="28">
        <f>IF($B1710="","",IF($I1709="",$C$10,$I1709)+IF($G1710="",0,$G1710)-IF($H1710="",0,$H1710))</f>
        <v/>
      </c>
      <c r="L1710">
        <f>IFERROR(MATCH($C$5&amp;"|"&amp;RIGHT("000000"&amp;1694,6),LdgRankKeyA,0),"")</f>
        <v/>
      </c>
      <c r="M1710">
        <f>IFERROR(MATCH($C$5&amp;"|"&amp;RIGHT("000000"&amp;1694,6),LdgRankKeyB,0),"")</f>
        <v/>
      </c>
    </row>
    <row r="1711">
      <c r="A1711" s="17" t="n">
        <v>1695</v>
      </c>
      <c r="B1711" s="18">
        <f>IF(AND($L1711="",$M1711=""),"",IF($L1711&lt;&gt;"",INDEX(SCNormDate,$L1711),INDEX(LdgDateB,$M1711)))</f>
        <v/>
      </c>
      <c r="C1711" s="18">
        <f>IF($L1711&lt;&gt;"",INDEX(SCOp,$L1711),IF($M1711&lt;&gt;"","پرداخت بانکی",""))</f>
        <v/>
      </c>
      <c r="D1711" s="18">
        <f>IF($L1711&lt;&gt;"",IF(INDEX(SCDoc,$L1711)="","—",INDEX(SCDoc,$L1711)),IF($M1711&lt;&gt;"",INDEX(LdgBankB,$M1711),""))</f>
        <v/>
      </c>
      <c r="E1711" s="19">
        <f>IF($L1711&lt;&gt;"",IF(INDEX(SCCitrus,$L1711)&amp;INDEX(SCNotes,$L1711)="","",IF(INDEX(SCCitrus,$L1711)="","",INDEX(SCCitrus,$L1711))&amp;IF(INDEX(SCNotes,$L1711)="",""," — "&amp;INDEX(SCNotes,$L1711))),IF($M1711&lt;&gt;"",IF(INDEX(LdgNoteB,$M1711)="","—",INDEX(LdgNoteB,$M1711)),""))</f>
        <v/>
      </c>
      <c r="F1711" s="20">
        <f>IF($L1711&lt;&gt;"",IF(INDEX(SCNet,$L1711)=0,"",INDEX(SCNet,$L1711)),"")</f>
        <v/>
      </c>
      <c r="G1711" s="21">
        <f>IF($L1711&lt;&gt;"",IF(INDEX(SCOp,$L1711)="مرجوعی فروش","",IF(INDEX(SCAmount,$L1711)&lt;=0,"",INDEX(SCAmount,$L1711))),IF($M1711&lt;&gt;"",IF(INDEX(LdgWitB,$M1711)=0,"",INDEX(LdgWitB,$M1711)),""))</f>
        <v/>
      </c>
      <c r="H1711" s="21">
        <f>IF($L1711&lt;&gt;"",IF(INDEX(SCOp,$L1711)="مرجوعی فروش",IF(INDEX(SCAmount,$L1711)=0,"",-INDEX(SCAmount,$L1711)),""),IF($M1711&lt;&gt;"",IF(INDEX(LdgDepB,$M1711)=0,"",INDEX(LdgDepB,$M1711)),""))</f>
        <v/>
      </c>
      <c r="I1711" s="22">
        <f>IF($B1711="","",IF($I1710="",$C$10,$I1710)+IF($G1711="",0,$G1711)-IF($H1711="",0,$H1711))</f>
        <v/>
      </c>
      <c r="L1711">
        <f>IFERROR(MATCH($C$5&amp;"|"&amp;RIGHT("000000"&amp;1695,6),LdgRankKeyA,0),"")</f>
        <v/>
      </c>
      <c r="M1711">
        <f>IFERROR(MATCH($C$5&amp;"|"&amp;RIGHT("000000"&amp;1695,6),LdgRankKeyB,0),"")</f>
        <v/>
      </c>
    </row>
    <row r="1712">
      <c r="A1712" s="23" t="n">
        <v>1696</v>
      </c>
      <c r="B1712" s="24">
        <f>IF(AND($L1712="",$M1712=""),"",IF($L1712&lt;&gt;"",INDEX(SCNormDate,$L1712),INDEX(LdgDateB,$M1712)))</f>
        <v/>
      </c>
      <c r="C1712" s="24">
        <f>IF($L1712&lt;&gt;"",INDEX(SCOp,$L1712),IF($M1712&lt;&gt;"","پرداخت بانکی",""))</f>
        <v/>
      </c>
      <c r="D1712" s="24">
        <f>IF($L1712&lt;&gt;"",IF(INDEX(SCDoc,$L1712)="","—",INDEX(SCDoc,$L1712)),IF($M1712&lt;&gt;"",INDEX(LdgBankB,$M1712),""))</f>
        <v/>
      </c>
      <c r="E1712" s="25">
        <f>IF($L1712&lt;&gt;"",IF(INDEX(SCCitrus,$L1712)&amp;INDEX(SCNotes,$L1712)="","",IF(INDEX(SCCitrus,$L1712)="","",INDEX(SCCitrus,$L1712))&amp;IF(INDEX(SCNotes,$L1712)="",""," — "&amp;INDEX(SCNotes,$L1712))),IF($M1712&lt;&gt;"",IF(INDEX(LdgNoteB,$M1712)="","—",INDEX(LdgNoteB,$M1712)),""))</f>
        <v/>
      </c>
      <c r="F1712" s="26">
        <f>IF($L1712&lt;&gt;"",IF(INDEX(SCNet,$L1712)=0,"",INDEX(SCNet,$L1712)),"")</f>
        <v/>
      </c>
      <c r="G1712" s="27">
        <f>IF($L1712&lt;&gt;"",IF(INDEX(SCOp,$L1712)="مرجوعی فروش","",IF(INDEX(SCAmount,$L1712)&lt;=0,"",INDEX(SCAmount,$L1712))),IF($M1712&lt;&gt;"",IF(INDEX(LdgWitB,$M1712)=0,"",INDEX(LdgWitB,$M1712)),""))</f>
        <v/>
      </c>
      <c r="H1712" s="27">
        <f>IF($L1712&lt;&gt;"",IF(INDEX(SCOp,$L1712)="مرجوعی فروش",IF(INDEX(SCAmount,$L1712)=0,"",-INDEX(SCAmount,$L1712)),""),IF($M1712&lt;&gt;"",IF(INDEX(LdgDepB,$M1712)=0,"",INDEX(LdgDepB,$M1712)),""))</f>
        <v/>
      </c>
      <c r="I1712" s="28">
        <f>IF($B1712="","",IF($I1711="",$C$10,$I1711)+IF($G1712="",0,$G1712)-IF($H1712="",0,$H1712))</f>
        <v/>
      </c>
      <c r="L1712">
        <f>IFERROR(MATCH($C$5&amp;"|"&amp;RIGHT("000000"&amp;1696,6),LdgRankKeyA,0),"")</f>
        <v/>
      </c>
      <c r="M1712">
        <f>IFERROR(MATCH($C$5&amp;"|"&amp;RIGHT("000000"&amp;1696,6),LdgRankKeyB,0),"")</f>
        <v/>
      </c>
    </row>
    <row r="1713">
      <c r="A1713" s="17" t="n">
        <v>1697</v>
      </c>
      <c r="B1713" s="18">
        <f>IF(AND($L1713="",$M1713=""),"",IF($L1713&lt;&gt;"",INDEX(SCNormDate,$L1713),INDEX(LdgDateB,$M1713)))</f>
        <v/>
      </c>
      <c r="C1713" s="18">
        <f>IF($L1713&lt;&gt;"",INDEX(SCOp,$L1713),IF($M1713&lt;&gt;"","پرداخت بانکی",""))</f>
        <v/>
      </c>
      <c r="D1713" s="18">
        <f>IF($L1713&lt;&gt;"",IF(INDEX(SCDoc,$L1713)="","—",INDEX(SCDoc,$L1713)),IF($M1713&lt;&gt;"",INDEX(LdgBankB,$M1713),""))</f>
        <v/>
      </c>
      <c r="E1713" s="19">
        <f>IF($L1713&lt;&gt;"",IF(INDEX(SCCitrus,$L1713)&amp;INDEX(SCNotes,$L1713)="","",IF(INDEX(SCCitrus,$L1713)="","",INDEX(SCCitrus,$L1713))&amp;IF(INDEX(SCNotes,$L1713)="",""," — "&amp;INDEX(SCNotes,$L1713))),IF($M1713&lt;&gt;"",IF(INDEX(LdgNoteB,$M1713)="","—",INDEX(LdgNoteB,$M1713)),""))</f>
        <v/>
      </c>
      <c r="F1713" s="20">
        <f>IF($L1713&lt;&gt;"",IF(INDEX(SCNet,$L1713)=0,"",INDEX(SCNet,$L1713)),"")</f>
        <v/>
      </c>
      <c r="G1713" s="21">
        <f>IF($L1713&lt;&gt;"",IF(INDEX(SCOp,$L1713)="مرجوعی فروش","",IF(INDEX(SCAmount,$L1713)&lt;=0,"",INDEX(SCAmount,$L1713))),IF($M1713&lt;&gt;"",IF(INDEX(LdgWitB,$M1713)=0,"",INDEX(LdgWitB,$M1713)),""))</f>
        <v/>
      </c>
      <c r="H1713" s="21">
        <f>IF($L1713&lt;&gt;"",IF(INDEX(SCOp,$L1713)="مرجوعی فروش",IF(INDEX(SCAmount,$L1713)=0,"",-INDEX(SCAmount,$L1713)),""),IF($M1713&lt;&gt;"",IF(INDEX(LdgDepB,$M1713)=0,"",INDEX(LdgDepB,$M1713)),""))</f>
        <v/>
      </c>
      <c r="I1713" s="22">
        <f>IF($B1713="","",IF($I1712="",$C$10,$I1712)+IF($G1713="",0,$G1713)-IF($H1713="",0,$H1713))</f>
        <v/>
      </c>
      <c r="L1713">
        <f>IFERROR(MATCH($C$5&amp;"|"&amp;RIGHT("000000"&amp;1697,6),LdgRankKeyA,0),"")</f>
        <v/>
      </c>
      <c r="M1713">
        <f>IFERROR(MATCH($C$5&amp;"|"&amp;RIGHT("000000"&amp;1697,6),LdgRankKeyB,0),"")</f>
        <v/>
      </c>
    </row>
    <row r="1714">
      <c r="A1714" s="23" t="n">
        <v>1698</v>
      </c>
      <c r="B1714" s="24">
        <f>IF(AND($L1714="",$M1714=""),"",IF($L1714&lt;&gt;"",INDEX(SCNormDate,$L1714),INDEX(LdgDateB,$M1714)))</f>
        <v/>
      </c>
      <c r="C1714" s="24">
        <f>IF($L1714&lt;&gt;"",INDEX(SCOp,$L1714),IF($M1714&lt;&gt;"","پرداخت بانکی",""))</f>
        <v/>
      </c>
      <c r="D1714" s="24">
        <f>IF($L1714&lt;&gt;"",IF(INDEX(SCDoc,$L1714)="","—",INDEX(SCDoc,$L1714)),IF($M1714&lt;&gt;"",INDEX(LdgBankB,$M1714),""))</f>
        <v/>
      </c>
      <c r="E1714" s="25">
        <f>IF($L1714&lt;&gt;"",IF(INDEX(SCCitrus,$L1714)&amp;INDEX(SCNotes,$L1714)="","",IF(INDEX(SCCitrus,$L1714)="","",INDEX(SCCitrus,$L1714))&amp;IF(INDEX(SCNotes,$L1714)="",""," — "&amp;INDEX(SCNotes,$L1714))),IF($M1714&lt;&gt;"",IF(INDEX(LdgNoteB,$M1714)="","—",INDEX(LdgNoteB,$M1714)),""))</f>
        <v/>
      </c>
      <c r="F1714" s="26">
        <f>IF($L1714&lt;&gt;"",IF(INDEX(SCNet,$L1714)=0,"",INDEX(SCNet,$L1714)),"")</f>
        <v/>
      </c>
      <c r="G1714" s="27">
        <f>IF($L1714&lt;&gt;"",IF(INDEX(SCOp,$L1714)="مرجوعی فروش","",IF(INDEX(SCAmount,$L1714)&lt;=0,"",INDEX(SCAmount,$L1714))),IF($M1714&lt;&gt;"",IF(INDEX(LdgWitB,$M1714)=0,"",INDEX(LdgWitB,$M1714)),""))</f>
        <v/>
      </c>
      <c r="H1714" s="27">
        <f>IF($L1714&lt;&gt;"",IF(INDEX(SCOp,$L1714)="مرجوعی فروش",IF(INDEX(SCAmount,$L1714)=0,"",-INDEX(SCAmount,$L1714)),""),IF($M1714&lt;&gt;"",IF(INDEX(LdgDepB,$M1714)=0,"",INDEX(LdgDepB,$M1714)),""))</f>
        <v/>
      </c>
      <c r="I1714" s="28">
        <f>IF($B1714="","",IF($I1713="",$C$10,$I1713)+IF($G1714="",0,$G1714)-IF($H1714="",0,$H1714))</f>
        <v/>
      </c>
      <c r="L1714">
        <f>IFERROR(MATCH($C$5&amp;"|"&amp;RIGHT("000000"&amp;1698,6),LdgRankKeyA,0),"")</f>
        <v/>
      </c>
      <c r="M1714">
        <f>IFERROR(MATCH($C$5&amp;"|"&amp;RIGHT("000000"&amp;1698,6),LdgRankKeyB,0),"")</f>
        <v/>
      </c>
    </row>
    <row r="1715">
      <c r="A1715" s="17" t="n">
        <v>1699</v>
      </c>
      <c r="B1715" s="18">
        <f>IF(AND($L1715="",$M1715=""),"",IF($L1715&lt;&gt;"",INDEX(SCNormDate,$L1715),INDEX(LdgDateB,$M1715)))</f>
        <v/>
      </c>
      <c r="C1715" s="18">
        <f>IF($L1715&lt;&gt;"",INDEX(SCOp,$L1715),IF($M1715&lt;&gt;"","پرداخت بانکی",""))</f>
        <v/>
      </c>
      <c r="D1715" s="18">
        <f>IF($L1715&lt;&gt;"",IF(INDEX(SCDoc,$L1715)="","—",INDEX(SCDoc,$L1715)),IF($M1715&lt;&gt;"",INDEX(LdgBankB,$M1715),""))</f>
        <v/>
      </c>
      <c r="E1715" s="19">
        <f>IF($L1715&lt;&gt;"",IF(INDEX(SCCitrus,$L1715)&amp;INDEX(SCNotes,$L1715)="","",IF(INDEX(SCCitrus,$L1715)="","",INDEX(SCCitrus,$L1715))&amp;IF(INDEX(SCNotes,$L1715)="",""," — "&amp;INDEX(SCNotes,$L1715))),IF($M1715&lt;&gt;"",IF(INDEX(LdgNoteB,$M1715)="","—",INDEX(LdgNoteB,$M1715)),""))</f>
        <v/>
      </c>
      <c r="F1715" s="20">
        <f>IF($L1715&lt;&gt;"",IF(INDEX(SCNet,$L1715)=0,"",INDEX(SCNet,$L1715)),"")</f>
        <v/>
      </c>
      <c r="G1715" s="21">
        <f>IF($L1715&lt;&gt;"",IF(INDEX(SCOp,$L1715)="مرجوعی فروش","",IF(INDEX(SCAmount,$L1715)&lt;=0,"",INDEX(SCAmount,$L1715))),IF($M1715&lt;&gt;"",IF(INDEX(LdgWitB,$M1715)=0,"",INDEX(LdgWitB,$M1715)),""))</f>
        <v/>
      </c>
      <c r="H1715" s="21">
        <f>IF($L1715&lt;&gt;"",IF(INDEX(SCOp,$L1715)="مرجوعی فروش",IF(INDEX(SCAmount,$L1715)=0,"",-INDEX(SCAmount,$L1715)),""),IF($M1715&lt;&gt;"",IF(INDEX(LdgDepB,$M1715)=0,"",INDEX(LdgDepB,$M1715)),""))</f>
        <v/>
      </c>
      <c r="I1715" s="22">
        <f>IF($B1715="","",IF($I1714="",$C$10,$I1714)+IF($G1715="",0,$G1715)-IF($H1715="",0,$H1715))</f>
        <v/>
      </c>
      <c r="L1715">
        <f>IFERROR(MATCH($C$5&amp;"|"&amp;RIGHT("000000"&amp;1699,6),LdgRankKeyA,0),"")</f>
        <v/>
      </c>
      <c r="M1715">
        <f>IFERROR(MATCH($C$5&amp;"|"&amp;RIGHT("000000"&amp;1699,6),LdgRankKeyB,0),"")</f>
        <v/>
      </c>
    </row>
    <row r="1716">
      <c r="A1716" s="23" t="n">
        <v>1700</v>
      </c>
      <c r="B1716" s="24">
        <f>IF(AND($L1716="",$M1716=""),"",IF($L1716&lt;&gt;"",INDEX(SCNormDate,$L1716),INDEX(LdgDateB,$M1716)))</f>
        <v/>
      </c>
      <c r="C1716" s="24">
        <f>IF($L1716&lt;&gt;"",INDEX(SCOp,$L1716),IF($M1716&lt;&gt;"","پرداخت بانکی",""))</f>
        <v/>
      </c>
      <c r="D1716" s="24">
        <f>IF($L1716&lt;&gt;"",IF(INDEX(SCDoc,$L1716)="","—",INDEX(SCDoc,$L1716)),IF($M1716&lt;&gt;"",INDEX(LdgBankB,$M1716),""))</f>
        <v/>
      </c>
      <c r="E1716" s="25">
        <f>IF($L1716&lt;&gt;"",IF(INDEX(SCCitrus,$L1716)&amp;INDEX(SCNotes,$L1716)="","",IF(INDEX(SCCitrus,$L1716)="","",INDEX(SCCitrus,$L1716))&amp;IF(INDEX(SCNotes,$L1716)="",""," — "&amp;INDEX(SCNotes,$L1716))),IF($M1716&lt;&gt;"",IF(INDEX(LdgNoteB,$M1716)="","—",INDEX(LdgNoteB,$M1716)),""))</f>
        <v/>
      </c>
      <c r="F1716" s="26">
        <f>IF($L1716&lt;&gt;"",IF(INDEX(SCNet,$L1716)=0,"",INDEX(SCNet,$L1716)),"")</f>
        <v/>
      </c>
      <c r="G1716" s="27">
        <f>IF($L1716&lt;&gt;"",IF(INDEX(SCOp,$L1716)="مرجوعی فروش","",IF(INDEX(SCAmount,$L1716)&lt;=0,"",INDEX(SCAmount,$L1716))),IF($M1716&lt;&gt;"",IF(INDEX(LdgWitB,$M1716)=0,"",INDEX(LdgWitB,$M1716)),""))</f>
        <v/>
      </c>
      <c r="H1716" s="27">
        <f>IF($L1716&lt;&gt;"",IF(INDEX(SCOp,$L1716)="مرجوعی فروش",IF(INDEX(SCAmount,$L1716)=0,"",-INDEX(SCAmount,$L1716)),""),IF($M1716&lt;&gt;"",IF(INDEX(LdgDepB,$M1716)=0,"",INDEX(LdgDepB,$M1716)),""))</f>
        <v/>
      </c>
      <c r="I1716" s="28">
        <f>IF($B1716="","",IF($I1715="",$C$10,$I1715)+IF($G1716="",0,$G1716)-IF($H1716="",0,$H1716))</f>
        <v/>
      </c>
      <c r="L1716">
        <f>IFERROR(MATCH($C$5&amp;"|"&amp;RIGHT("000000"&amp;1700,6),LdgRankKeyA,0),"")</f>
        <v/>
      </c>
      <c r="M1716">
        <f>IFERROR(MATCH($C$5&amp;"|"&amp;RIGHT("000000"&amp;1700,6),LdgRankKeyB,0),"")</f>
        <v/>
      </c>
    </row>
    <row r="1717">
      <c r="A1717" s="17" t="n">
        <v>1701</v>
      </c>
      <c r="B1717" s="18">
        <f>IF(AND($L1717="",$M1717=""),"",IF($L1717&lt;&gt;"",INDEX(SCNormDate,$L1717),INDEX(LdgDateB,$M1717)))</f>
        <v/>
      </c>
      <c r="C1717" s="18">
        <f>IF($L1717&lt;&gt;"",INDEX(SCOp,$L1717),IF($M1717&lt;&gt;"","پرداخت بانکی",""))</f>
        <v/>
      </c>
      <c r="D1717" s="18">
        <f>IF($L1717&lt;&gt;"",IF(INDEX(SCDoc,$L1717)="","—",INDEX(SCDoc,$L1717)),IF($M1717&lt;&gt;"",INDEX(LdgBankB,$M1717),""))</f>
        <v/>
      </c>
      <c r="E1717" s="19">
        <f>IF($L1717&lt;&gt;"",IF(INDEX(SCCitrus,$L1717)&amp;INDEX(SCNotes,$L1717)="","",IF(INDEX(SCCitrus,$L1717)="","",INDEX(SCCitrus,$L1717))&amp;IF(INDEX(SCNotes,$L1717)="",""," — "&amp;INDEX(SCNotes,$L1717))),IF($M1717&lt;&gt;"",IF(INDEX(LdgNoteB,$M1717)="","—",INDEX(LdgNoteB,$M1717)),""))</f>
        <v/>
      </c>
      <c r="F1717" s="20">
        <f>IF($L1717&lt;&gt;"",IF(INDEX(SCNet,$L1717)=0,"",INDEX(SCNet,$L1717)),"")</f>
        <v/>
      </c>
      <c r="G1717" s="21">
        <f>IF($L1717&lt;&gt;"",IF(INDEX(SCOp,$L1717)="مرجوعی فروش","",IF(INDEX(SCAmount,$L1717)&lt;=0,"",INDEX(SCAmount,$L1717))),IF($M1717&lt;&gt;"",IF(INDEX(LdgWitB,$M1717)=0,"",INDEX(LdgWitB,$M1717)),""))</f>
        <v/>
      </c>
      <c r="H1717" s="21">
        <f>IF($L1717&lt;&gt;"",IF(INDEX(SCOp,$L1717)="مرجوعی فروش",IF(INDEX(SCAmount,$L1717)=0,"",-INDEX(SCAmount,$L1717)),""),IF($M1717&lt;&gt;"",IF(INDEX(LdgDepB,$M1717)=0,"",INDEX(LdgDepB,$M1717)),""))</f>
        <v/>
      </c>
      <c r="I1717" s="22">
        <f>IF($B1717="","",IF($I1716="",$C$10,$I1716)+IF($G1717="",0,$G1717)-IF($H1717="",0,$H1717))</f>
        <v/>
      </c>
      <c r="L1717">
        <f>IFERROR(MATCH($C$5&amp;"|"&amp;RIGHT("000000"&amp;1701,6),LdgRankKeyA,0),"")</f>
        <v/>
      </c>
      <c r="M1717">
        <f>IFERROR(MATCH($C$5&amp;"|"&amp;RIGHT("000000"&amp;1701,6),LdgRankKeyB,0),"")</f>
        <v/>
      </c>
    </row>
    <row r="1718">
      <c r="A1718" s="23" t="n">
        <v>1702</v>
      </c>
      <c r="B1718" s="24">
        <f>IF(AND($L1718="",$M1718=""),"",IF($L1718&lt;&gt;"",INDEX(SCNormDate,$L1718),INDEX(LdgDateB,$M1718)))</f>
        <v/>
      </c>
      <c r="C1718" s="24">
        <f>IF($L1718&lt;&gt;"",INDEX(SCOp,$L1718),IF($M1718&lt;&gt;"","پرداخت بانکی",""))</f>
        <v/>
      </c>
      <c r="D1718" s="24">
        <f>IF($L1718&lt;&gt;"",IF(INDEX(SCDoc,$L1718)="","—",INDEX(SCDoc,$L1718)),IF($M1718&lt;&gt;"",INDEX(LdgBankB,$M1718),""))</f>
        <v/>
      </c>
      <c r="E1718" s="25">
        <f>IF($L1718&lt;&gt;"",IF(INDEX(SCCitrus,$L1718)&amp;INDEX(SCNotes,$L1718)="","",IF(INDEX(SCCitrus,$L1718)="","",INDEX(SCCitrus,$L1718))&amp;IF(INDEX(SCNotes,$L1718)="",""," — "&amp;INDEX(SCNotes,$L1718))),IF($M1718&lt;&gt;"",IF(INDEX(LdgNoteB,$M1718)="","—",INDEX(LdgNoteB,$M1718)),""))</f>
        <v/>
      </c>
      <c r="F1718" s="26">
        <f>IF($L1718&lt;&gt;"",IF(INDEX(SCNet,$L1718)=0,"",INDEX(SCNet,$L1718)),"")</f>
        <v/>
      </c>
      <c r="G1718" s="27">
        <f>IF($L1718&lt;&gt;"",IF(INDEX(SCOp,$L1718)="مرجوعی فروش","",IF(INDEX(SCAmount,$L1718)&lt;=0,"",INDEX(SCAmount,$L1718))),IF($M1718&lt;&gt;"",IF(INDEX(LdgWitB,$M1718)=0,"",INDEX(LdgWitB,$M1718)),""))</f>
        <v/>
      </c>
      <c r="H1718" s="27">
        <f>IF($L1718&lt;&gt;"",IF(INDEX(SCOp,$L1718)="مرجوعی فروش",IF(INDEX(SCAmount,$L1718)=0,"",-INDEX(SCAmount,$L1718)),""),IF($M1718&lt;&gt;"",IF(INDEX(LdgDepB,$M1718)=0,"",INDEX(LdgDepB,$M1718)),""))</f>
        <v/>
      </c>
      <c r="I1718" s="28">
        <f>IF($B1718="","",IF($I1717="",$C$10,$I1717)+IF($G1718="",0,$G1718)-IF($H1718="",0,$H1718))</f>
        <v/>
      </c>
      <c r="L1718">
        <f>IFERROR(MATCH($C$5&amp;"|"&amp;RIGHT("000000"&amp;1702,6),LdgRankKeyA,0),"")</f>
        <v/>
      </c>
      <c r="M1718">
        <f>IFERROR(MATCH($C$5&amp;"|"&amp;RIGHT("000000"&amp;1702,6),LdgRankKeyB,0),"")</f>
        <v/>
      </c>
    </row>
    <row r="1719">
      <c r="A1719" s="17" t="n">
        <v>1703</v>
      </c>
      <c r="B1719" s="18">
        <f>IF(AND($L1719="",$M1719=""),"",IF($L1719&lt;&gt;"",INDEX(SCNormDate,$L1719),INDEX(LdgDateB,$M1719)))</f>
        <v/>
      </c>
      <c r="C1719" s="18">
        <f>IF($L1719&lt;&gt;"",INDEX(SCOp,$L1719),IF($M1719&lt;&gt;"","پرداخت بانکی",""))</f>
        <v/>
      </c>
      <c r="D1719" s="18">
        <f>IF($L1719&lt;&gt;"",IF(INDEX(SCDoc,$L1719)="","—",INDEX(SCDoc,$L1719)),IF($M1719&lt;&gt;"",INDEX(LdgBankB,$M1719),""))</f>
        <v/>
      </c>
      <c r="E1719" s="19">
        <f>IF($L1719&lt;&gt;"",IF(INDEX(SCCitrus,$L1719)&amp;INDEX(SCNotes,$L1719)="","",IF(INDEX(SCCitrus,$L1719)="","",INDEX(SCCitrus,$L1719))&amp;IF(INDEX(SCNotes,$L1719)="",""," — "&amp;INDEX(SCNotes,$L1719))),IF($M1719&lt;&gt;"",IF(INDEX(LdgNoteB,$M1719)="","—",INDEX(LdgNoteB,$M1719)),""))</f>
        <v/>
      </c>
      <c r="F1719" s="20">
        <f>IF($L1719&lt;&gt;"",IF(INDEX(SCNet,$L1719)=0,"",INDEX(SCNet,$L1719)),"")</f>
        <v/>
      </c>
      <c r="G1719" s="21">
        <f>IF($L1719&lt;&gt;"",IF(INDEX(SCOp,$L1719)="مرجوعی فروش","",IF(INDEX(SCAmount,$L1719)&lt;=0,"",INDEX(SCAmount,$L1719))),IF($M1719&lt;&gt;"",IF(INDEX(LdgWitB,$M1719)=0,"",INDEX(LdgWitB,$M1719)),""))</f>
        <v/>
      </c>
      <c r="H1719" s="21">
        <f>IF($L1719&lt;&gt;"",IF(INDEX(SCOp,$L1719)="مرجوعی فروش",IF(INDEX(SCAmount,$L1719)=0,"",-INDEX(SCAmount,$L1719)),""),IF($M1719&lt;&gt;"",IF(INDEX(LdgDepB,$M1719)=0,"",INDEX(LdgDepB,$M1719)),""))</f>
        <v/>
      </c>
      <c r="I1719" s="22">
        <f>IF($B1719="","",IF($I1718="",$C$10,$I1718)+IF($G1719="",0,$G1719)-IF($H1719="",0,$H1719))</f>
        <v/>
      </c>
      <c r="L1719">
        <f>IFERROR(MATCH($C$5&amp;"|"&amp;RIGHT("000000"&amp;1703,6),LdgRankKeyA,0),"")</f>
        <v/>
      </c>
      <c r="M1719">
        <f>IFERROR(MATCH($C$5&amp;"|"&amp;RIGHT("000000"&amp;1703,6),LdgRankKeyB,0),"")</f>
        <v/>
      </c>
    </row>
    <row r="1720">
      <c r="A1720" s="23" t="n">
        <v>1704</v>
      </c>
      <c r="B1720" s="24">
        <f>IF(AND($L1720="",$M1720=""),"",IF($L1720&lt;&gt;"",INDEX(SCNormDate,$L1720),INDEX(LdgDateB,$M1720)))</f>
        <v/>
      </c>
      <c r="C1720" s="24">
        <f>IF($L1720&lt;&gt;"",INDEX(SCOp,$L1720),IF($M1720&lt;&gt;"","پرداخت بانکی",""))</f>
        <v/>
      </c>
      <c r="D1720" s="24">
        <f>IF($L1720&lt;&gt;"",IF(INDEX(SCDoc,$L1720)="","—",INDEX(SCDoc,$L1720)),IF($M1720&lt;&gt;"",INDEX(LdgBankB,$M1720),""))</f>
        <v/>
      </c>
      <c r="E1720" s="25">
        <f>IF($L1720&lt;&gt;"",IF(INDEX(SCCitrus,$L1720)&amp;INDEX(SCNotes,$L1720)="","",IF(INDEX(SCCitrus,$L1720)="","",INDEX(SCCitrus,$L1720))&amp;IF(INDEX(SCNotes,$L1720)="",""," — "&amp;INDEX(SCNotes,$L1720))),IF($M1720&lt;&gt;"",IF(INDEX(LdgNoteB,$M1720)="","—",INDEX(LdgNoteB,$M1720)),""))</f>
        <v/>
      </c>
      <c r="F1720" s="26">
        <f>IF($L1720&lt;&gt;"",IF(INDEX(SCNet,$L1720)=0,"",INDEX(SCNet,$L1720)),"")</f>
        <v/>
      </c>
      <c r="G1720" s="27">
        <f>IF($L1720&lt;&gt;"",IF(INDEX(SCOp,$L1720)="مرجوعی فروش","",IF(INDEX(SCAmount,$L1720)&lt;=0,"",INDEX(SCAmount,$L1720))),IF($M1720&lt;&gt;"",IF(INDEX(LdgWitB,$M1720)=0,"",INDEX(LdgWitB,$M1720)),""))</f>
        <v/>
      </c>
      <c r="H1720" s="27">
        <f>IF($L1720&lt;&gt;"",IF(INDEX(SCOp,$L1720)="مرجوعی فروش",IF(INDEX(SCAmount,$L1720)=0,"",-INDEX(SCAmount,$L1720)),""),IF($M1720&lt;&gt;"",IF(INDEX(LdgDepB,$M1720)=0,"",INDEX(LdgDepB,$M1720)),""))</f>
        <v/>
      </c>
      <c r="I1720" s="28">
        <f>IF($B1720="","",IF($I1719="",$C$10,$I1719)+IF($G1720="",0,$G1720)-IF($H1720="",0,$H1720))</f>
        <v/>
      </c>
      <c r="L1720">
        <f>IFERROR(MATCH($C$5&amp;"|"&amp;RIGHT("000000"&amp;1704,6),LdgRankKeyA,0),"")</f>
        <v/>
      </c>
      <c r="M1720">
        <f>IFERROR(MATCH($C$5&amp;"|"&amp;RIGHT("000000"&amp;1704,6),LdgRankKeyB,0),"")</f>
        <v/>
      </c>
    </row>
    <row r="1721">
      <c r="A1721" s="17" t="n">
        <v>1705</v>
      </c>
      <c r="B1721" s="18">
        <f>IF(AND($L1721="",$M1721=""),"",IF($L1721&lt;&gt;"",INDEX(SCNormDate,$L1721),INDEX(LdgDateB,$M1721)))</f>
        <v/>
      </c>
      <c r="C1721" s="18">
        <f>IF($L1721&lt;&gt;"",INDEX(SCOp,$L1721),IF($M1721&lt;&gt;"","پرداخت بانکی",""))</f>
        <v/>
      </c>
      <c r="D1721" s="18">
        <f>IF($L1721&lt;&gt;"",IF(INDEX(SCDoc,$L1721)="","—",INDEX(SCDoc,$L1721)),IF($M1721&lt;&gt;"",INDEX(LdgBankB,$M1721),""))</f>
        <v/>
      </c>
      <c r="E1721" s="19">
        <f>IF($L1721&lt;&gt;"",IF(INDEX(SCCitrus,$L1721)&amp;INDEX(SCNotes,$L1721)="","",IF(INDEX(SCCitrus,$L1721)="","",INDEX(SCCitrus,$L1721))&amp;IF(INDEX(SCNotes,$L1721)="",""," — "&amp;INDEX(SCNotes,$L1721))),IF($M1721&lt;&gt;"",IF(INDEX(LdgNoteB,$M1721)="","—",INDEX(LdgNoteB,$M1721)),""))</f>
        <v/>
      </c>
      <c r="F1721" s="20">
        <f>IF($L1721&lt;&gt;"",IF(INDEX(SCNet,$L1721)=0,"",INDEX(SCNet,$L1721)),"")</f>
        <v/>
      </c>
      <c r="G1721" s="21">
        <f>IF($L1721&lt;&gt;"",IF(INDEX(SCOp,$L1721)="مرجوعی فروش","",IF(INDEX(SCAmount,$L1721)&lt;=0,"",INDEX(SCAmount,$L1721))),IF($M1721&lt;&gt;"",IF(INDEX(LdgWitB,$M1721)=0,"",INDEX(LdgWitB,$M1721)),""))</f>
        <v/>
      </c>
      <c r="H1721" s="21">
        <f>IF($L1721&lt;&gt;"",IF(INDEX(SCOp,$L1721)="مرجوعی فروش",IF(INDEX(SCAmount,$L1721)=0,"",-INDEX(SCAmount,$L1721)),""),IF($M1721&lt;&gt;"",IF(INDEX(LdgDepB,$M1721)=0,"",INDEX(LdgDepB,$M1721)),""))</f>
        <v/>
      </c>
      <c r="I1721" s="22">
        <f>IF($B1721="","",IF($I1720="",$C$10,$I1720)+IF($G1721="",0,$G1721)-IF($H1721="",0,$H1721))</f>
        <v/>
      </c>
      <c r="L1721">
        <f>IFERROR(MATCH($C$5&amp;"|"&amp;RIGHT("000000"&amp;1705,6),LdgRankKeyA,0),"")</f>
        <v/>
      </c>
      <c r="M1721">
        <f>IFERROR(MATCH($C$5&amp;"|"&amp;RIGHT("000000"&amp;1705,6),LdgRankKeyB,0),"")</f>
        <v/>
      </c>
    </row>
    <row r="1722">
      <c r="A1722" s="23" t="n">
        <v>1706</v>
      </c>
      <c r="B1722" s="24">
        <f>IF(AND($L1722="",$M1722=""),"",IF($L1722&lt;&gt;"",INDEX(SCNormDate,$L1722),INDEX(LdgDateB,$M1722)))</f>
        <v/>
      </c>
      <c r="C1722" s="24">
        <f>IF($L1722&lt;&gt;"",INDEX(SCOp,$L1722),IF($M1722&lt;&gt;"","پرداخت بانکی",""))</f>
        <v/>
      </c>
      <c r="D1722" s="24">
        <f>IF($L1722&lt;&gt;"",IF(INDEX(SCDoc,$L1722)="","—",INDEX(SCDoc,$L1722)),IF($M1722&lt;&gt;"",INDEX(LdgBankB,$M1722),""))</f>
        <v/>
      </c>
      <c r="E1722" s="25">
        <f>IF($L1722&lt;&gt;"",IF(INDEX(SCCitrus,$L1722)&amp;INDEX(SCNotes,$L1722)="","",IF(INDEX(SCCitrus,$L1722)="","",INDEX(SCCitrus,$L1722))&amp;IF(INDEX(SCNotes,$L1722)="",""," — "&amp;INDEX(SCNotes,$L1722))),IF($M1722&lt;&gt;"",IF(INDEX(LdgNoteB,$M1722)="","—",INDEX(LdgNoteB,$M1722)),""))</f>
        <v/>
      </c>
      <c r="F1722" s="26">
        <f>IF($L1722&lt;&gt;"",IF(INDEX(SCNet,$L1722)=0,"",INDEX(SCNet,$L1722)),"")</f>
        <v/>
      </c>
      <c r="G1722" s="27">
        <f>IF($L1722&lt;&gt;"",IF(INDEX(SCOp,$L1722)="مرجوعی فروش","",IF(INDEX(SCAmount,$L1722)&lt;=0,"",INDEX(SCAmount,$L1722))),IF($M1722&lt;&gt;"",IF(INDEX(LdgWitB,$M1722)=0,"",INDEX(LdgWitB,$M1722)),""))</f>
        <v/>
      </c>
      <c r="H1722" s="27">
        <f>IF($L1722&lt;&gt;"",IF(INDEX(SCOp,$L1722)="مرجوعی فروش",IF(INDEX(SCAmount,$L1722)=0,"",-INDEX(SCAmount,$L1722)),""),IF($M1722&lt;&gt;"",IF(INDEX(LdgDepB,$M1722)=0,"",INDEX(LdgDepB,$M1722)),""))</f>
        <v/>
      </c>
      <c r="I1722" s="28">
        <f>IF($B1722="","",IF($I1721="",$C$10,$I1721)+IF($G1722="",0,$G1722)-IF($H1722="",0,$H1722))</f>
        <v/>
      </c>
      <c r="L1722">
        <f>IFERROR(MATCH($C$5&amp;"|"&amp;RIGHT("000000"&amp;1706,6),LdgRankKeyA,0),"")</f>
        <v/>
      </c>
      <c r="M1722">
        <f>IFERROR(MATCH($C$5&amp;"|"&amp;RIGHT("000000"&amp;1706,6),LdgRankKeyB,0),"")</f>
        <v/>
      </c>
    </row>
    <row r="1723">
      <c r="A1723" s="17" t="n">
        <v>1707</v>
      </c>
      <c r="B1723" s="18">
        <f>IF(AND($L1723="",$M1723=""),"",IF($L1723&lt;&gt;"",INDEX(SCNormDate,$L1723),INDEX(LdgDateB,$M1723)))</f>
        <v/>
      </c>
      <c r="C1723" s="18">
        <f>IF($L1723&lt;&gt;"",INDEX(SCOp,$L1723),IF($M1723&lt;&gt;"","پرداخت بانکی",""))</f>
        <v/>
      </c>
      <c r="D1723" s="18">
        <f>IF($L1723&lt;&gt;"",IF(INDEX(SCDoc,$L1723)="","—",INDEX(SCDoc,$L1723)),IF($M1723&lt;&gt;"",INDEX(LdgBankB,$M1723),""))</f>
        <v/>
      </c>
      <c r="E1723" s="19">
        <f>IF($L1723&lt;&gt;"",IF(INDEX(SCCitrus,$L1723)&amp;INDEX(SCNotes,$L1723)="","",IF(INDEX(SCCitrus,$L1723)="","",INDEX(SCCitrus,$L1723))&amp;IF(INDEX(SCNotes,$L1723)="",""," — "&amp;INDEX(SCNotes,$L1723))),IF($M1723&lt;&gt;"",IF(INDEX(LdgNoteB,$M1723)="","—",INDEX(LdgNoteB,$M1723)),""))</f>
        <v/>
      </c>
      <c r="F1723" s="20">
        <f>IF($L1723&lt;&gt;"",IF(INDEX(SCNet,$L1723)=0,"",INDEX(SCNet,$L1723)),"")</f>
        <v/>
      </c>
      <c r="G1723" s="21">
        <f>IF($L1723&lt;&gt;"",IF(INDEX(SCOp,$L1723)="مرجوعی فروش","",IF(INDEX(SCAmount,$L1723)&lt;=0,"",INDEX(SCAmount,$L1723))),IF($M1723&lt;&gt;"",IF(INDEX(LdgWitB,$M1723)=0,"",INDEX(LdgWitB,$M1723)),""))</f>
        <v/>
      </c>
      <c r="H1723" s="21">
        <f>IF($L1723&lt;&gt;"",IF(INDEX(SCOp,$L1723)="مرجوعی فروش",IF(INDEX(SCAmount,$L1723)=0,"",-INDEX(SCAmount,$L1723)),""),IF($M1723&lt;&gt;"",IF(INDEX(LdgDepB,$M1723)=0,"",INDEX(LdgDepB,$M1723)),""))</f>
        <v/>
      </c>
      <c r="I1723" s="22">
        <f>IF($B1723="","",IF($I1722="",$C$10,$I1722)+IF($G1723="",0,$G1723)-IF($H1723="",0,$H1723))</f>
        <v/>
      </c>
      <c r="L1723">
        <f>IFERROR(MATCH($C$5&amp;"|"&amp;RIGHT("000000"&amp;1707,6),LdgRankKeyA,0),"")</f>
        <v/>
      </c>
      <c r="M1723">
        <f>IFERROR(MATCH($C$5&amp;"|"&amp;RIGHT("000000"&amp;1707,6),LdgRankKeyB,0),"")</f>
        <v/>
      </c>
    </row>
    <row r="1724">
      <c r="A1724" s="23" t="n">
        <v>1708</v>
      </c>
      <c r="B1724" s="24">
        <f>IF(AND($L1724="",$M1724=""),"",IF($L1724&lt;&gt;"",INDEX(SCNormDate,$L1724),INDEX(LdgDateB,$M1724)))</f>
        <v/>
      </c>
      <c r="C1724" s="24">
        <f>IF($L1724&lt;&gt;"",INDEX(SCOp,$L1724),IF($M1724&lt;&gt;"","پرداخت بانکی",""))</f>
        <v/>
      </c>
      <c r="D1724" s="24">
        <f>IF($L1724&lt;&gt;"",IF(INDEX(SCDoc,$L1724)="","—",INDEX(SCDoc,$L1724)),IF($M1724&lt;&gt;"",INDEX(LdgBankB,$M1724),""))</f>
        <v/>
      </c>
      <c r="E1724" s="25">
        <f>IF($L1724&lt;&gt;"",IF(INDEX(SCCitrus,$L1724)&amp;INDEX(SCNotes,$L1724)="","",IF(INDEX(SCCitrus,$L1724)="","",INDEX(SCCitrus,$L1724))&amp;IF(INDEX(SCNotes,$L1724)="",""," — "&amp;INDEX(SCNotes,$L1724))),IF($M1724&lt;&gt;"",IF(INDEX(LdgNoteB,$M1724)="","—",INDEX(LdgNoteB,$M1724)),""))</f>
        <v/>
      </c>
      <c r="F1724" s="26">
        <f>IF($L1724&lt;&gt;"",IF(INDEX(SCNet,$L1724)=0,"",INDEX(SCNet,$L1724)),"")</f>
        <v/>
      </c>
      <c r="G1724" s="27">
        <f>IF($L1724&lt;&gt;"",IF(INDEX(SCOp,$L1724)="مرجوعی فروش","",IF(INDEX(SCAmount,$L1724)&lt;=0,"",INDEX(SCAmount,$L1724))),IF($M1724&lt;&gt;"",IF(INDEX(LdgWitB,$M1724)=0,"",INDEX(LdgWitB,$M1724)),""))</f>
        <v/>
      </c>
      <c r="H1724" s="27">
        <f>IF($L1724&lt;&gt;"",IF(INDEX(SCOp,$L1724)="مرجوعی فروش",IF(INDEX(SCAmount,$L1724)=0,"",-INDEX(SCAmount,$L1724)),""),IF($M1724&lt;&gt;"",IF(INDEX(LdgDepB,$M1724)=0,"",INDEX(LdgDepB,$M1724)),""))</f>
        <v/>
      </c>
      <c r="I1724" s="28">
        <f>IF($B1724="","",IF($I1723="",$C$10,$I1723)+IF($G1724="",0,$G1724)-IF($H1724="",0,$H1724))</f>
        <v/>
      </c>
      <c r="L1724">
        <f>IFERROR(MATCH($C$5&amp;"|"&amp;RIGHT("000000"&amp;1708,6),LdgRankKeyA,0),"")</f>
        <v/>
      </c>
      <c r="M1724">
        <f>IFERROR(MATCH($C$5&amp;"|"&amp;RIGHT("000000"&amp;1708,6),LdgRankKeyB,0),"")</f>
        <v/>
      </c>
    </row>
    <row r="1725">
      <c r="A1725" s="17" t="n">
        <v>1709</v>
      </c>
      <c r="B1725" s="18">
        <f>IF(AND($L1725="",$M1725=""),"",IF($L1725&lt;&gt;"",INDEX(SCNormDate,$L1725),INDEX(LdgDateB,$M1725)))</f>
        <v/>
      </c>
      <c r="C1725" s="18">
        <f>IF($L1725&lt;&gt;"",INDEX(SCOp,$L1725),IF($M1725&lt;&gt;"","پرداخت بانکی",""))</f>
        <v/>
      </c>
      <c r="D1725" s="18">
        <f>IF($L1725&lt;&gt;"",IF(INDEX(SCDoc,$L1725)="","—",INDEX(SCDoc,$L1725)),IF($M1725&lt;&gt;"",INDEX(LdgBankB,$M1725),""))</f>
        <v/>
      </c>
      <c r="E1725" s="19">
        <f>IF($L1725&lt;&gt;"",IF(INDEX(SCCitrus,$L1725)&amp;INDEX(SCNotes,$L1725)="","",IF(INDEX(SCCitrus,$L1725)="","",INDEX(SCCitrus,$L1725))&amp;IF(INDEX(SCNotes,$L1725)="",""," — "&amp;INDEX(SCNotes,$L1725))),IF($M1725&lt;&gt;"",IF(INDEX(LdgNoteB,$M1725)="","—",INDEX(LdgNoteB,$M1725)),""))</f>
        <v/>
      </c>
      <c r="F1725" s="20">
        <f>IF($L1725&lt;&gt;"",IF(INDEX(SCNet,$L1725)=0,"",INDEX(SCNet,$L1725)),"")</f>
        <v/>
      </c>
      <c r="G1725" s="21">
        <f>IF($L1725&lt;&gt;"",IF(INDEX(SCOp,$L1725)="مرجوعی فروش","",IF(INDEX(SCAmount,$L1725)&lt;=0,"",INDEX(SCAmount,$L1725))),IF($M1725&lt;&gt;"",IF(INDEX(LdgWitB,$M1725)=0,"",INDEX(LdgWitB,$M1725)),""))</f>
        <v/>
      </c>
      <c r="H1725" s="21">
        <f>IF($L1725&lt;&gt;"",IF(INDEX(SCOp,$L1725)="مرجوعی فروش",IF(INDEX(SCAmount,$L1725)=0,"",-INDEX(SCAmount,$L1725)),""),IF($M1725&lt;&gt;"",IF(INDEX(LdgDepB,$M1725)=0,"",INDEX(LdgDepB,$M1725)),""))</f>
        <v/>
      </c>
      <c r="I1725" s="22">
        <f>IF($B1725="","",IF($I1724="",$C$10,$I1724)+IF($G1725="",0,$G1725)-IF($H1725="",0,$H1725))</f>
        <v/>
      </c>
      <c r="L1725">
        <f>IFERROR(MATCH($C$5&amp;"|"&amp;RIGHT("000000"&amp;1709,6),LdgRankKeyA,0),"")</f>
        <v/>
      </c>
      <c r="M1725">
        <f>IFERROR(MATCH($C$5&amp;"|"&amp;RIGHT("000000"&amp;1709,6),LdgRankKeyB,0),"")</f>
        <v/>
      </c>
    </row>
    <row r="1726">
      <c r="A1726" s="23" t="n">
        <v>1710</v>
      </c>
      <c r="B1726" s="24">
        <f>IF(AND($L1726="",$M1726=""),"",IF($L1726&lt;&gt;"",INDEX(SCNormDate,$L1726),INDEX(LdgDateB,$M1726)))</f>
        <v/>
      </c>
      <c r="C1726" s="24">
        <f>IF($L1726&lt;&gt;"",INDEX(SCOp,$L1726),IF($M1726&lt;&gt;"","پرداخت بانکی",""))</f>
        <v/>
      </c>
      <c r="D1726" s="24">
        <f>IF($L1726&lt;&gt;"",IF(INDEX(SCDoc,$L1726)="","—",INDEX(SCDoc,$L1726)),IF($M1726&lt;&gt;"",INDEX(LdgBankB,$M1726),""))</f>
        <v/>
      </c>
      <c r="E1726" s="25">
        <f>IF($L1726&lt;&gt;"",IF(INDEX(SCCitrus,$L1726)&amp;INDEX(SCNotes,$L1726)="","",IF(INDEX(SCCitrus,$L1726)="","",INDEX(SCCitrus,$L1726))&amp;IF(INDEX(SCNotes,$L1726)="",""," — "&amp;INDEX(SCNotes,$L1726))),IF($M1726&lt;&gt;"",IF(INDEX(LdgNoteB,$M1726)="","—",INDEX(LdgNoteB,$M1726)),""))</f>
        <v/>
      </c>
      <c r="F1726" s="26">
        <f>IF($L1726&lt;&gt;"",IF(INDEX(SCNet,$L1726)=0,"",INDEX(SCNet,$L1726)),"")</f>
        <v/>
      </c>
      <c r="G1726" s="27">
        <f>IF($L1726&lt;&gt;"",IF(INDEX(SCOp,$L1726)="مرجوعی فروش","",IF(INDEX(SCAmount,$L1726)&lt;=0,"",INDEX(SCAmount,$L1726))),IF($M1726&lt;&gt;"",IF(INDEX(LdgWitB,$M1726)=0,"",INDEX(LdgWitB,$M1726)),""))</f>
        <v/>
      </c>
      <c r="H1726" s="27">
        <f>IF($L1726&lt;&gt;"",IF(INDEX(SCOp,$L1726)="مرجوعی فروش",IF(INDEX(SCAmount,$L1726)=0,"",-INDEX(SCAmount,$L1726)),""),IF($M1726&lt;&gt;"",IF(INDEX(LdgDepB,$M1726)=0,"",INDEX(LdgDepB,$M1726)),""))</f>
        <v/>
      </c>
      <c r="I1726" s="28">
        <f>IF($B1726="","",IF($I1725="",$C$10,$I1725)+IF($G1726="",0,$G1726)-IF($H1726="",0,$H1726))</f>
        <v/>
      </c>
      <c r="L1726">
        <f>IFERROR(MATCH($C$5&amp;"|"&amp;RIGHT("000000"&amp;1710,6),LdgRankKeyA,0),"")</f>
        <v/>
      </c>
      <c r="M1726">
        <f>IFERROR(MATCH($C$5&amp;"|"&amp;RIGHT("000000"&amp;1710,6),LdgRankKeyB,0),"")</f>
        <v/>
      </c>
    </row>
    <row r="1727">
      <c r="A1727" s="17" t="n">
        <v>1711</v>
      </c>
      <c r="B1727" s="18">
        <f>IF(AND($L1727="",$M1727=""),"",IF($L1727&lt;&gt;"",INDEX(SCNormDate,$L1727),INDEX(LdgDateB,$M1727)))</f>
        <v/>
      </c>
      <c r="C1727" s="18">
        <f>IF($L1727&lt;&gt;"",INDEX(SCOp,$L1727),IF($M1727&lt;&gt;"","پرداخت بانکی",""))</f>
        <v/>
      </c>
      <c r="D1727" s="18">
        <f>IF($L1727&lt;&gt;"",IF(INDEX(SCDoc,$L1727)="","—",INDEX(SCDoc,$L1727)),IF($M1727&lt;&gt;"",INDEX(LdgBankB,$M1727),""))</f>
        <v/>
      </c>
      <c r="E1727" s="19">
        <f>IF($L1727&lt;&gt;"",IF(INDEX(SCCitrus,$L1727)&amp;INDEX(SCNotes,$L1727)="","",IF(INDEX(SCCitrus,$L1727)="","",INDEX(SCCitrus,$L1727))&amp;IF(INDEX(SCNotes,$L1727)="",""," — "&amp;INDEX(SCNotes,$L1727))),IF($M1727&lt;&gt;"",IF(INDEX(LdgNoteB,$M1727)="","—",INDEX(LdgNoteB,$M1727)),""))</f>
        <v/>
      </c>
      <c r="F1727" s="20">
        <f>IF($L1727&lt;&gt;"",IF(INDEX(SCNet,$L1727)=0,"",INDEX(SCNet,$L1727)),"")</f>
        <v/>
      </c>
      <c r="G1727" s="21">
        <f>IF($L1727&lt;&gt;"",IF(INDEX(SCOp,$L1727)="مرجوعی فروش","",IF(INDEX(SCAmount,$L1727)&lt;=0,"",INDEX(SCAmount,$L1727))),IF($M1727&lt;&gt;"",IF(INDEX(LdgWitB,$M1727)=0,"",INDEX(LdgWitB,$M1727)),""))</f>
        <v/>
      </c>
      <c r="H1727" s="21">
        <f>IF($L1727&lt;&gt;"",IF(INDEX(SCOp,$L1727)="مرجوعی فروش",IF(INDEX(SCAmount,$L1727)=0,"",-INDEX(SCAmount,$L1727)),""),IF($M1727&lt;&gt;"",IF(INDEX(LdgDepB,$M1727)=0,"",INDEX(LdgDepB,$M1727)),""))</f>
        <v/>
      </c>
      <c r="I1727" s="22">
        <f>IF($B1727="","",IF($I1726="",$C$10,$I1726)+IF($G1727="",0,$G1727)-IF($H1727="",0,$H1727))</f>
        <v/>
      </c>
      <c r="L1727">
        <f>IFERROR(MATCH($C$5&amp;"|"&amp;RIGHT("000000"&amp;1711,6),LdgRankKeyA,0),"")</f>
        <v/>
      </c>
      <c r="M1727">
        <f>IFERROR(MATCH($C$5&amp;"|"&amp;RIGHT("000000"&amp;1711,6),LdgRankKeyB,0),"")</f>
        <v/>
      </c>
    </row>
    <row r="1728">
      <c r="A1728" s="23" t="n">
        <v>1712</v>
      </c>
      <c r="B1728" s="24">
        <f>IF(AND($L1728="",$M1728=""),"",IF($L1728&lt;&gt;"",INDEX(SCNormDate,$L1728),INDEX(LdgDateB,$M1728)))</f>
        <v/>
      </c>
      <c r="C1728" s="24">
        <f>IF($L1728&lt;&gt;"",INDEX(SCOp,$L1728),IF($M1728&lt;&gt;"","پرداخت بانکی",""))</f>
        <v/>
      </c>
      <c r="D1728" s="24">
        <f>IF($L1728&lt;&gt;"",IF(INDEX(SCDoc,$L1728)="","—",INDEX(SCDoc,$L1728)),IF($M1728&lt;&gt;"",INDEX(LdgBankB,$M1728),""))</f>
        <v/>
      </c>
      <c r="E1728" s="25">
        <f>IF($L1728&lt;&gt;"",IF(INDEX(SCCitrus,$L1728)&amp;INDEX(SCNotes,$L1728)="","",IF(INDEX(SCCitrus,$L1728)="","",INDEX(SCCitrus,$L1728))&amp;IF(INDEX(SCNotes,$L1728)="",""," — "&amp;INDEX(SCNotes,$L1728))),IF($M1728&lt;&gt;"",IF(INDEX(LdgNoteB,$M1728)="","—",INDEX(LdgNoteB,$M1728)),""))</f>
        <v/>
      </c>
      <c r="F1728" s="26">
        <f>IF($L1728&lt;&gt;"",IF(INDEX(SCNet,$L1728)=0,"",INDEX(SCNet,$L1728)),"")</f>
        <v/>
      </c>
      <c r="G1728" s="27">
        <f>IF($L1728&lt;&gt;"",IF(INDEX(SCOp,$L1728)="مرجوعی فروش","",IF(INDEX(SCAmount,$L1728)&lt;=0,"",INDEX(SCAmount,$L1728))),IF($M1728&lt;&gt;"",IF(INDEX(LdgWitB,$M1728)=0,"",INDEX(LdgWitB,$M1728)),""))</f>
        <v/>
      </c>
      <c r="H1728" s="27">
        <f>IF($L1728&lt;&gt;"",IF(INDEX(SCOp,$L1728)="مرجوعی فروش",IF(INDEX(SCAmount,$L1728)=0,"",-INDEX(SCAmount,$L1728)),""),IF($M1728&lt;&gt;"",IF(INDEX(LdgDepB,$M1728)=0,"",INDEX(LdgDepB,$M1728)),""))</f>
        <v/>
      </c>
      <c r="I1728" s="28">
        <f>IF($B1728="","",IF($I1727="",$C$10,$I1727)+IF($G1728="",0,$G1728)-IF($H1728="",0,$H1728))</f>
        <v/>
      </c>
      <c r="L1728">
        <f>IFERROR(MATCH($C$5&amp;"|"&amp;RIGHT("000000"&amp;1712,6),LdgRankKeyA,0),"")</f>
        <v/>
      </c>
      <c r="M1728">
        <f>IFERROR(MATCH($C$5&amp;"|"&amp;RIGHT("000000"&amp;1712,6),LdgRankKeyB,0),"")</f>
        <v/>
      </c>
    </row>
    <row r="1729">
      <c r="A1729" s="17" t="n">
        <v>1713</v>
      </c>
      <c r="B1729" s="18">
        <f>IF(AND($L1729="",$M1729=""),"",IF($L1729&lt;&gt;"",INDEX(SCNormDate,$L1729),INDEX(LdgDateB,$M1729)))</f>
        <v/>
      </c>
      <c r="C1729" s="18">
        <f>IF($L1729&lt;&gt;"",INDEX(SCOp,$L1729),IF($M1729&lt;&gt;"","پرداخت بانکی",""))</f>
        <v/>
      </c>
      <c r="D1729" s="18">
        <f>IF($L1729&lt;&gt;"",IF(INDEX(SCDoc,$L1729)="","—",INDEX(SCDoc,$L1729)),IF($M1729&lt;&gt;"",INDEX(LdgBankB,$M1729),""))</f>
        <v/>
      </c>
      <c r="E1729" s="19">
        <f>IF($L1729&lt;&gt;"",IF(INDEX(SCCitrus,$L1729)&amp;INDEX(SCNotes,$L1729)="","",IF(INDEX(SCCitrus,$L1729)="","",INDEX(SCCitrus,$L1729))&amp;IF(INDEX(SCNotes,$L1729)="",""," — "&amp;INDEX(SCNotes,$L1729))),IF($M1729&lt;&gt;"",IF(INDEX(LdgNoteB,$M1729)="","—",INDEX(LdgNoteB,$M1729)),""))</f>
        <v/>
      </c>
      <c r="F1729" s="20">
        <f>IF($L1729&lt;&gt;"",IF(INDEX(SCNet,$L1729)=0,"",INDEX(SCNet,$L1729)),"")</f>
        <v/>
      </c>
      <c r="G1729" s="21">
        <f>IF($L1729&lt;&gt;"",IF(INDEX(SCOp,$L1729)="مرجوعی فروش","",IF(INDEX(SCAmount,$L1729)&lt;=0,"",INDEX(SCAmount,$L1729))),IF($M1729&lt;&gt;"",IF(INDEX(LdgWitB,$M1729)=0,"",INDEX(LdgWitB,$M1729)),""))</f>
        <v/>
      </c>
      <c r="H1729" s="21">
        <f>IF($L1729&lt;&gt;"",IF(INDEX(SCOp,$L1729)="مرجوعی فروش",IF(INDEX(SCAmount,$L1729)=0,"",-INDEX(SCAmount,$L1729)),""),IF($M1729&lt;&gt;"",IF(INDEX(LdgDepB,$M1729)=0,"",INDEX(LdgDepB,$M1729)),""))</f>
        <v/>
      </c>
      <c r="I1729" s="22">
        <f>IF($B1729="","",IF($I1728="",$C$10,$I1728)+IF($G1729="",0,$G1729)-IF($H1729="",0,$H1729))</f>
        <v/>
      </c>
      <c r="L1729">
        <f>IFERROR(MATCH($C$5&amp;"|"&amp;RIGHT("000000"&amp;1713,6),LdgRankKeyA,0),"")</f>
        <v/>
      </c>
      <c r="M1729">
        <f>IFERROR(MATCH($C$5&amp;"|"&amp;RIGHT("000000"&amp;1713,6),LdgRankKeyB,0),"")</f>
        <v/>
      </c>
    </row>
    <row r="1730">
      <c r="A1730" s="23" t="n">
        <v>1714</v>
      </c>
      <c r="B1730" s="24">
        <f>IF(AND($L1730="",$M1730=""),"",IF($L1730&lt;&gt;"",INDEX(SCNormDate,$L1730),INDEX(LdgDateB,$M1730)))</f>
        <v/>
      </c>
      <c r="C1730" s="24">
        <f>IF($L1730&lt;&gt;"",INDEX(SCOp,$L1730),IF($M1730&lt;&gt;"","پرداخت بانکی",""))</f>
        <v/>
      </c>
      <c r="D1730" s="24">
        <f>IF($L1730&lt;&gt;"",IF(INDEX(SCDoc,$L1730)="","—",INDEX(SCDoc,$L1730)),IF($M1730&lt;&gt;"",INDEX(LdgBankB,$M1730),""))</f>
        <v/>
      </c>
      <c r="E1730" s="25">
        <f>IF($L1730&lt;&gt;"",IF(INDEX(SCCitrus,$L1730)&amp;INDEX(SCNotes,$L1730)="","",IF(INDEX(SCCitrus,$L1730)="","",INDEX(SCCitrus,$L1730))&amp;IF(INDEX(SCNotes,$L1730)="",""," — "&amp;INDEX(SCNotes,$L1730))),IF($M1730&lt;&gt;"",IF(INDEX(LdgNoteB,$M1730)="","—",INDEX(LdgNoteB,$M1730)),""))</f>
        <v/>
      </c>
      <c r="F1730" s="26">
        <f>IF($L1730&lt;&gt;"",IF(INDEX(SCNet,$L1730)=0,"",INDEX(SCNet,$L1730)),"")</f>
        <v/>
      </c>
      <c r="G1730" s="27">
        <f>IF($L1730&lt;&gt;"",IF(INDEX(SCOp,$L1730)="مرجوعی فروش","",IF(INDEX(SCAmount,$L1730)&lt;=0,"",INDEX(SCAmount,$L1730))),IF($M1730&lt;&gt;"",IF(INDEX(LdgWitB,$M1730)=0,"",INDEX(LdgWitB,$M1730)),""))</f>
        <v/>
      </c>
      <c r="H1730" s="27">
        <f>IF($L1730&lt;&gt;"",IF(INDEX(SCOp,$L1730)="مرجوعی فروش",IF(INDEX(SCAmount,$L1730)=0,"",-INDEX(SCAmount,$L1730)),""),IF($M1730&lt;&gt;"",IF(INDEX(LdgDepB,$M1730)=0,"",INDEX(LdgDepB,$M1730)),""))</f>
        <v/>
      </c>
      <c r="I1730" s="28">
        <f>IF($B1730="","",IF($I1729="",$C$10,$I1729)+IF($G1730="",0,$G1730)-IF($H1730="",0,$H1730))</f>
        <v/>
      </c>
      <c r="L1730">
        <f>IFERROR(MATCH($C$5&amp;"|"&amp;RIGHT("000000"&amp;1714,6),LdgRankKeyA,0),"")</f>
        <v/>
      </c>
      <c r="M1730">
        <f>IFERROR(MATCH($C$5&amp;"|"&amp;RIGHT("000000"&amp;1714,6),LdgRankKeyB,0),"")</f>
        <v/>
      </c>
    </row>
    <row r="1731">
      <c r="A1731" s="17" t="n">
        <v>1715</v>
      </c>
      <c r="B1731" s="18">
        <f>IF(AND($L1731="",$M1731=""),"",IF($L1731&lt;&gt;"",INDEX(SCNormDate,$L1731),INDEX(LdgDateB,$M1731)))</f>
        <v/>
      </c>
      <c r="C1731" s="18">
        <f>IF($L1731&lt;&gt;"",INDEX(SCOp,$L1731),IF($M1731&lt;&gt;"","پرداخت بانکی",""))</f>
        <v/>
      </c>
      <c r="D1731" s="18">
        <f>IF($L1731&lt;&gt;"",IF(INDEX(SCDoc,$L1731)="","—",INDEX(SCDoc,$L1731)),IF($M1731&lt;&gt;"",INDEX(LdgBankB,$M1731),""))</f>
        <v/>
      </c>
      <c r="E1731" s="19">
        <f>IF($L1731&lt;&gt;"",IF(INDEX(SCCitrus,$L1731)&amp;INDEX(SCNotes,$L1731)="","",IF(INDEX(SCCitrus,$L1731)="","",INDEX(SCCitrus,$L1731))&amp;IF(INDEX(SCNotes,$L1731)="",""," — "&amp;INDEX(SCNotes,$L1731))),IF($M1731&lt;&gt;"",IF(INDEX(LdgNoteB,$M1731)="","—",INDEX(LdgNoteB,$M1731)),""))</f>
        <v/>
      </c>
      <c r="F1731" s="20">
        <f>IF($L1731&lt;&gt;"",IF(INDEX(SCNet,$L1731)=0,"",INDEX(SCNet,$L1731)),"")</f>
        <v/>
      </c>
      <c r="G1731" s="21">
        <f>IF($L1731&lt;&gt;"",IF(INDEX(SCOp,$L1731)="مرجوعی فروش","",IF(INDEX(SCAmount,$L1731)&lt;=0,"",INDEX(SCAmount,$L1731))),IF($M1731&lt;&gt;"",IF(INDEX(LdgWitB,$M1731)=0,"",INDEX(LdgWitB,$M1731)),""))</f>
        <v/>
      </c>
      <c r="H1731" s="21">
        <f>IF($L1731&lt;&gt;"",IF(INDEX(SCOp,$L1731)="مرجوعی فروش",IF(INDEX(SCAmount,$L1731)=0,"",-INDEX(SCAmount,$L1731)),""),IF($M1731&lt;&gt;"",IF(INDEX(LdgDepB,$M1731)=0,"",INDEX(LdgDepB,$M1731)),""))</f>
        <v/>
      </c>
      <c r="I1731" s="22">
        <f>IF($B1731="","",IF($I1730="",$C$10,$I1730)+IF($G1731="",0,$G1731)-IF($H1731="",0,$H1731))</f>
        <v/>
      </c>
      <c r="L1731">
        <f>IFERROR(MATCH($C$5&amp;"|"&amp;RIGHT("000000"&amp;1715,6),LdgRankKeyA,0),"")</f>
        <v/>
      </c>
      <c r="M1731">
        <f>IFERROR(MATCH($C$5&amp;"|"&amp;RIGHT("000000"&amp;1715,6),LdgRankKeyB,0),"")</f>
        <v/>
      </c>
    </row>
    <row r="1732">
      <c r="A1732" s="23" t="n">
        <v>1716</v>
      </c>
      <c r="B1732" s="24">
        <f>IF(AND($L1732="",$M1732=""),"",IF($L1732&lt;&gt;"",INDEX(SCNormDate,$L1732),INDEX(LdgDateB,$M1732)))</f>
        <v/>
      </c>
      <c r="C1732" s="24">
        <f>IF($L1732&lt;&gt;"",INDEX(SCOp,$L1732),IF($M1732&lt;&gt;"","پرداخت بانکی",""))</f>
        <v/>
      </c>
      <c r="D1732" s="24">
        <f>IF($L1732&lt;&gt;"",IF(INDEX(SCDoc,$L1732)="","—",INDEX(SCDoc,$L1732)),IF($M1732&lt;&gt;"",INDEX(LdgBankB,$M1732),""))</f>
        <v/>
      </c>
      <c r="E1732" s="25">
        <f>IF($L1732&lt;&gt;"",IF(INDEX(SCCitrus,$L1732)&amp;INDEX(SCNotes,$L1732)="","",IF(INDEX(SCCitrus,$L1732)="","",INDEX(SCCitrus,$L1732))&amp;IF(INDEX(SCNotes,$L1732)="",""," — "&amp;INDEX(SCNotes,$L1732))),IF($M1732&lt;&gt;"",IF(INDEX(LdgNoteB,$M1732)="","—",INDEX(LdgNoteB,$M1732)),""))</f>
        <v/>
      </c>
      <c r="F1732" s="26">
        <f>IF($L1732&lt;&gt;"",IF(INDEX(SCNet,$L1732)=0,"",INDEX(SCNet,$L1732)),"")</f>
        <v/>
      </c>
      <c r="G1732" s="27">
        <f>IF($L1732&lt;&gt;"",IF(INDEX(SCOp,$L1732)="مرجوعی فروش","",IF(INDEX(SCAmount,$L1732)&lt;=0,"",INDEX(SCAmount,$L1732))),IF($M1732&lt;&gt;"",IF(INDEX(LdgWitB,$M1732)=0,"",INDEX(LdgWitB,$M1732)),""))</f>
        <v/>
      </c>
      <c r="H1732" s="27">
        <f>IF($L1732&lt;&gt;"",IF(INDEX(SCOp,$L1732)="مرجوعی فروش",IF(INDEX(SCAmount,$L1732)=0,"",-INDEX(SCAmount,$L1732)),""),IF($M1732&lt;&gt;"",IF(INDEX(LdgDepB,$M1732)=0,"",INDEX(LdgDepB,$M1732)),""))</f>
        <v/>
      </c>
      <c r="I1732" s="28">
        <f>IF($B1732="","",IF($I1731="",$C$10,$I1731)+IF($G1732="",0,$G1732)-IF($H1732="",0,$H1732))</f>
        <v/>
      </c>
      <c r="L1732">
        <f>IFERROR(MATCH($C$5&amp;"|"&amp;RIGHT("000000"&amp;1716,6),LdgRankKeyA,0),"")</f>
        <v/>
      </c>
      <c r="M1732">
        <f>IFERROR(MATCH($C$5&amp;"|"&amp;RIGHT("000000"&amp;1716,6),LdgRankKeyB,0),"")</f>
        <v/>
      </c>
    </row>
    <row r="1733">
      <c r="A1733" s="17" t="n">
        <v>1717</v>
      </c>
      <c r="B1733" s="18">
        <f>IF(AND($L1733="",$M1733=""),"",IF($L1733&lt;&gt;"",INDEX(SCNormDate,$L1733),INDEX(LdgDateB,$M1733)))</f>
        <v/>
      </c>
      <c r="C1733" s="18">
        <f>IF($L1733&lt;&gt;"",INDEX(SCOp,$L1733),IF($M1733&lt;&gt;"","پرداخت بانکی",""))</f>
        <v/>
      </c>
      <c r="D1733" s="18">
        <f>IF($L1733&lt;&gt;"",IF(INDEX(SCDoc,$L1733)="","—",INDEX(SCDoc,$L1733)),IF($M1733&lt;&gt;"",INDEX(LdgBankB,$M1733),""))</f>
        <v/>
      </c>
      <c r="E1733" s="19">
        <f>IF($L1733&lt;&gt;"",IF(INDEX(SCCitrus,$L1733)&amp;INDEX(SCNotes,$L1733)="","",IF(INDEX(SCCitrus,$L1733)="","",INDEX(SCCitrus,$L1733))&amp;IF(INDEX(SCNotes,$L1733)="",""," — "&amp;INDEX(SCNotes,$L1733))),IF($M1733&lt;&gt;"",IF(INDEX(LdgNoteB,$M1733)="","—",INDEX(LdgNoteB,$M1733)),""))</f>
        <v/>
      </c>
      <c r="F1733" s="20">
        <f>IF($L1733&lt;&gt;"",IF(INDEX(SCNet,$L1733)=0,"",INDEX(SCNet,$L1733)),"")</f>
        <v/>
      </c>
      <c r="G1733" s="21">
        <f>IF($L1733&lt;&gt;"",IF(INDEX(SCOp,$L1733)="مرجوعی فروش","",IF(INDEX(SCAmount,$L1733)&lt;=0,"",INDEX(SCAmount,$L1733))),IF($M1733&lt;&gt;"",IF(INDEX(LdgWitB,$M1733)=0,"",INDEX(LdgWitB,$M1733)),""))</f>
        <v/>
      </c>
      <c r="H1733" s="21">
        <f>IF($L1733&lt;&gt;"",IF(INDEX(SCOp,$L1733)="مرجوعی فروش",IF(INDEX(SCAmount,$L1733)=0,"",-INDEX(SCAmount,$L1733)),""),IF($M1733&lt;&gt;"",IF(INDEX(LdgDepB,$M1733)=0,"",INDEX(LdgDepB,$M1733)),""))</f>
        <v/>
      </c>
      <c r="I1733" s="22">
        <f>IF($B1733="","",IF($I1732="",$C$10,$I1732)+IF($G1733="",0,$G1733)-IF($H1733="",0,$H1733))</f>
        <v/>
      </c>
      <c r="L1733">
        <f>IFERROR(MATCH($C$5&amp;"|"&amp;RIGHT("000000"&amp;1717,6),LdgRankKeyA,0),"")</f>
        <v/>
      </c>
      <c r="M1733">
        <f>IFERROR(MATCH($C$5&amp;"|"&amp;RIGHT("000000"&amp;1717,6),LdgRankKeyB,0),"")</f>
        <v/>
      </c>
    </row>
    <row r="1734">
      <c r="A1734" s="23" t="n">
        <v>1718</v>
      </c>
      <c r="B1734" s="24">
        <f>IF(AND($L1734="",$M1734=""),"",IF($L1734&lt;&gt;"",INDEX(SCNormDate,$L1734),INDEX(LdgDateB,$M1734)))</f>
        <v/>
      </c>
      <c r="C1734" s="24">
        <f>IF($L1734&lt;&gt;"",INDEX(SCOp,$L1734),IF($M1734&lt;&gt;"","پرداخت بانکی",""))</f>
        <v/>
      </c>
      <c r="D1734" s="24">
        <f>IF($L1734&lt;&gt;"",IF(INDEX(SCDoc,$L1734)="","—",INDEX(SCDoc,$L1734)),IF($M1734&lt;&gt;"",INDEX(LdgBankB,$M1734),""))</f>
        <v/>
      </c>
      <c r="E1734" s="25">
        <f>IF($L1734&lt;&gt;"",IF(INDEX(SCCitrus,$L1734)&amp;INDEX(SCNotes,$L1734)="","",IF(INDEX(SCCitrus,$L1734)="","",INDEX(SCCitrus,$L1734))&amp;IF(INDEX(SCNotes,$L1734)="",""," — "&amp;INDEX(SCNotes,$L1734))),IF($M1734&lt;&gt;"",IF(INDEX(LdgNoteB,$M1734)="","—",INDEX(LdgNoteB,$M1734)),""))</f>
        <v/>
      </c>
      <c r="F1734" s="26">
        <f>IF($L1734&lt;&gt;"",IF(INDEX(SCNet,$L1734)=0,"",INDEX(SCNet,$L1734)),"")</f>
        <v/>
      </c>
      <c r="G1734" s="27">
        <f>IF($L1734&lt;&gt;"",IF(INDEX(SCOp,$L1734)="مرجوعی فروش","",IF(INDEX(SCAmount,$L1734)&lt;=0,"",INDEX(SCAmount,$L1734))),IF($M1734&lt;&gt;"",IF(INDEX(LdgWitB,$M1734)=0,"",INDEX(LdgWitB,$M1734)),""))</f>
        <v/>
      </c>
      <c r="H1734" s="27">
        <f>IF($L1734&lt;&gt;"",IF(INDEX(SCOp,$L1734)="مرجوعی فروش",IF(INDEX(SCAmount,$L1734)=0,"",-INDEX(SCAmount,$L1734)),""),IF($M1734&lt;&gt;"",IF(INDEX(LdgDepB,$M1734)=0,"",INDEX(LdgDepB,$M1734)),""))</f>
        <v/>
      </c>
      <c r="I1734" s="28">
        <f>IF($B1734="","",IF($I1733="",$C$10,$I1733)+IF($G1734="",0,$G1734)-IF($H1734="",0,$H1734))</f>
        <v/>
      </c>
      <c r="L1734">
        <f>IFERROR(MATCH($C$5&amp;"|"&amp;RIGHT("000000"&amp;1718,6),LdgRankKeyA,0),"")</f>
        <v/>
      </c>
      <c r="M1734">
        <f>IFERROR(MATCH($C$5&amp;"|"&amp;RIGHT("000000"&amp;1718,6),LdgRankKeyB,0),"")</f>
        <v/>
      </c>
    </row>
    <row r="1735">
      <c r="A1735" s="17" t="n">
        <v>1719</v>
      </c>
      <c r="B1735" s="18">
        <f>IF(AND($L1735="",$M1735=""),"",IF($L1735&lt;&gt;"",INDEX(SCNormDate,$L1735),INDEX(LdgDateB,$M1735)))</f>
        <v/>
      </c>
      <c r="C1735" s="18">
        <f>IF($L1735&lt;&gt;"",INDEX(SCOp,$L1735),IF($M1735&lt;&gt;"","پرداخت بانکی",""))</f>
        <v/>
      </c>
      <c r="D1735" s="18">
        <f>IF($L1735&lt;&gt;"",IF(INDEX(SCDoc,$L1735)="","—",INDEX(SCDoc,$L1735)),IF($M1735&lt;&gt;"",INDEX(LdgBankB,$M1735),""))</f>
        <v/>
      </c>
      <c r="E1735" s="19">
        <f>IF($L1735&lt;&gt;"",IF(INDEX(SCCitrus,$L1735)&amp;INDEX(SCNotes,$L1735)="","",IF(INDEX(SCCitrus,$L1735)="","",INDEX(SCCitrus,$L1735))&amp;IF(INDEX(SCNotes,$L1735)="",""," — "&amp;INDEX(SCNotes,$L1735))),IF($M1735&lt;&gt;"",IF(INDEX(LdgNoteB,$M1735)="","—",INDEX(LdgNoteB,$M1735)),""))</f>
        <v/>
      </c>
      <c r="F1735" s="20">
        <f>IF($L1735&lt;&gt;"",IF(INDEX(SCNet,$L1735)=0,"",INDEX(SCNet,$L1735)),"")</f>
        <v/>
      </c>
      <c r="G1735" s="21">
        <f>IF($L1735&lt;&gt;"",IF(INDEX(SCOp,$L1735)="مرجوعی فروش","",IF(INDEX(SCAmount,$L1735)&lt;=0,"",INDEX(SCAmount,$L1735))),IF($M1735&lt;&gt;"",IF(INDEX(LdgWitB,$M1735)=0,"",INDEX(LdgWitB,$M1735)),""))</f>
        <v/>
      </c>
      <c r="H1735" s="21">
        <f>IF($L1735&lt;&gt;"",IF(INDEX(SCOp,$L1735)="مرجوعی فروش",IF(INDEX(SCAmount,$L1735)=0,"",-INDEX(SCAmount,$L1735)),""),IF($M1735&lt;&gt;"",IF(INDEX(LdgDepB,$M1735)=0,"",INDEX(LdgDepB,$M1735)),""))</f>
        <v/>
      </c>
      <c r="I1735" s="22">
        <f>IF($B1735="","",IF($I1734="",$C$10,$I1734)+IF($G1735="",0,$G1735)-IF($H1735="",0,$H1735))</f>
        <v/>
      </c>
      <c r="L1735">
        <f>IFERROR(MATCH($C$5&amp;"|"&amp;RIGHT("000000"&amp;1719,6),LdgRankKeyA,0),"")</f>
        <v/>
      </c>
      <c r="M1735">
        <f>IFERROR(MATCH($C$5&amp;"|"&amp;RIGHT("000000"&amp;1719,6),LdgRankKeyB,0),"")</f>
        <v/>
      </c>
    </row>
    <row r="1736">
      <c r="A1736" s="23" t="n">
        <v>1720</v>
      </c>
      <c r="B1736" s="24">
        <f>IF(AND($L1736="",$M1736=""),"",IF($L1736&lt;&gt;"",INDEX(SCNormDate,$L1736),INDEX(LdgDateB,$M1736)))</f>
        <v/>
      </c>
      <c r="C1736" s="24">
        <f>IF($L1736&lt;&gt;"",INDEX(SCOp,$L1736),IF($M1736&lt;&gt;"","پرداخت بانکی",""))</f>
        <v/>
      </c>
      <c r="D1736" s="24">
        <f>IF($L1736&lt;&gt;"",IF(INDEX(SCDoc,$L1736)="","—",INDEX(SCDoc,$L1736)),IF($M1736&lt;&gt;"",INDEX(LdgBankB,$M1736),""))</f>
        <v/>
      </c>
      <c r="E1736" s="25">
        <f>IF($L1736&lt;&gt;"",IF(INDEX(SCCitrus,$L1736)&amp;INDEX(SCNotes,$L1736)="","",IF(INDEX(SCCitrus,$L1736)="","",INDEX(SCCitrus,$L1736))&amp;IF(INDEX(SCNotes,$L1736)="",""," — "&amp;INDEX(SCNotes,$L1736))),IF($M1736&lt;&gt;"",IF(INDEX(LdgNoteB,$M1736)="","—",INDEX(LdgNoteB,$M1736)),""))</f>
        <v/>
      </c>
      <c r="F1736" s="26">
        <f>IF($L1736&lt;&gt;"",IF(INDEX(SCNet,$L1736)=0,"",INDEX(SCNet,$L1736)),"")</f>
        <v/>
      </c>
      <c r="G1736" s="27">
        <f>IF($L1736&lt;&gt;"",IF(INDEX(SCOp,$L1736)="مرجوعی فروش","",IF(INDEX(SCAmount,$L1736)&lt;=0,"",INDEX(SCAmount,$L1736))),IF($M1736&lt;&gt;"",IF(INDEX(LdgWitB,$M1736)=0,"",INDEX(LdgWitB,$M1736)),""))</f>
        <v/>
      </c>
      <c r="H1736" s="27">
        <f>IF($L1736&lt;&gt;"",IF(INDEX(SCOp,$L1736)="مرجوعی فروش",IF(INDEX(SCAmount,$L1736)=0,"",-INDEX(SCAmount,$L1736)),""),IF($M1736&lt;&gt;"",IF(INDEX(LdgDepB,$M1736)=0,"",INDEX(LdgDepB,$M1736)),""))</f>
        <v/>
      </c>
      <c r="I1736" s="28">
        <f>IF($B1736="","",IF($I1735="",$C$10,$I1735)+IF($G1736="",0,$G1736)-IF($H1736="",0,$H1736))</f>
        <v/>
      </c>
      <c r="L1736">
        <f>IFERROR(MATCH($C$5&amp;"|"&amp;RIGHT("000000"&amp;1720,6),LdgRankKeyA,0),"")</f>
        <v/>
      </c>
      <c r="M1736">
        <f>IFERROR(MATCH($C$5&amp;"|"&amp;RIGHT("000000"&amp;1720,6),LdgRankKeyB,0),"")</f>
        <v/>
      </c>
    </row>
    <row r="1737">
      <c r="A1737" s="17" t="n">
        <v>1721</v>
      </c>
      <c r="B1737" s="18">
        <f>IF(AND($L1737="",$M1737=""),"",IF($L1737&lt;&gt;"",INDEX(SCNormDate,$L1737),INDEX(LdgDateB,$M1737)))</f>
        <v/>
      </c>
      <c r="C1737" s="18">
        <f>IF($L1737&lt;&gt;"",INDEX(SCOp,$L1737),IF($M1737&lt;&gt;"","پرداخت بانکی",""))</f>
        <v/>
      </c>
      <c r="D1737" s="18">
        <f>IF($L1737&lt;&gt;"",IF(INDEX(SCDoc,$L1737)="","—",INDEX(SCDoc,$L1737)),IF($M1737&lt;&gt;"",INDEX(LdgBankB,$M1737),""))</f>
        <v/>
      </c>
      <c r="E1737" s="19">
        <f>IF($L1737&lt;&gt;"",IF(INDEX(SCCitrus,$L1737)&amp;INDEX(SCNotes,$L1737)="","",IF(INDEX(SCCitrus,$L1737)="","",INDEX(SCCitrus,$L1737))&amp;IF(INDEX(SCNotes,$L1737)="",""," — "&amp;INDEX(SCNotes,$L1737))),IF($M1737&lt;&gt;"",IF(INDEX(LdgNoteB,$M1737)="","—",INDEX(LdgNoteB,$M1737)),""))</f>
        <v/>
      </c>
      <c r="F1737" s="20">
        <f>IF($L1737&lt;&gt;"",IF(INDEX(SCNet,$L1737)=0,"",INDEX(SCNet,$L1737)),"")</f>
        <v/>
      </c>
      <c r="G1737" s="21">
        <f>IF($L1737&lt;&gt;"",IF(INDEX(SCOp,$L1737)="مرجوعی فروش","",IF(INDEX(SCAmount,$L1737)&lt;=0,"",INDEX(SCAmount,$L1737))),IF($M1737&lt;&gt;"",IF(INDEX(LdgWitB,$M1737)=0,"",INDEX(LdgWitB,$M1737)),""))</f>
        <v/>
      </c>
      <c r="H1737" s="21">
        <f>IF($L1737&lt;&gt;"",IF(INDEX(SCOp,$L1737)="مرجوعی فروش",IF(INDEX(SCAmount,$L1737)=0,"",-INDEX(SCAmount,$L1737)),""),IF($M1737&lt;&gt;"",IF(INDEX(LdgDepB,$M1737)=0,"",INDEX(LdgDepB,$M1737)),""))</f>
        <v/>
      </c>
      <c r="I1737" s="22">
        <f>IF($B1737="","",IF($I1736="",$C$10,$I1736)+IF($G1737="",0,$G1737)-IF($H1737="",0,$H1737))</f>
        <v/>
      </c>
      <c r="L1737">
        <f>IFERROR(MATCH($C$5&amp;"|"&amp;RIGHT("000000"&amp;1721,6),LdgRankKeyA,0),"")</f>
        <v/>
      </c>
      <c r="M1737">
        <f>IFERROR(MATCH($C$5&amp;"|"&amp;RIGHT("000000"&amp;1721,6),LdgRankKeyB,0),"")</f>
        <v/>
      </c>
    </row>
    <row r="1738">
      <c r="A1738" s="23" t="n">
        <v>1722</v>
      </c>
      <c r="B1738" s="24">
        <f>IF(AND($L1738="",$M1738=""),"",IF($L1738&lt;&gt;"",INDEX(SCNormDate,$L1738),INDEX(LdgDateB,$M1738)))</f>
        <v/>
      </c>
      <c r="C1738" s="24">
        <f>IF($L1738&lt;&gt;"",INDEX(SCOp,$L1738),IF($M1738&lt;&gt;"","پرداخت بانکی",""))</f>
        <v/>
      </c>
      <c r="D1738" s="24">
        <f>IF($L1738&lt;&gt;"",IF(INDEX(SCDoc,$L1738)="","—",INDEX(SCDoc,$L1738)),IF($M1738&lt;&gt;"",INDEX(LdgBankB,$M1738),""))</f>
        <v/>
      </c>
      <c r="E1738" s="25">
        <f>IF($L1738&lt;&gt;"",IF(INDEX(SCCitrus,$L1738)&amp;INDEX(SCNotes,$L1738)="","",IF(INDEX(SCCitrus,$L1738)="","",INDEX(SCCitrus,$L1738))&amp;IF(INDEX(SCNotes,$L1738)="",""," — "&amp;INDEX(SCNotes,$L1738))),IF($M1738&lt;&gt;"",IF(INDEX(LdgNoteB,$M1738)="","—",INDEX(LdgNoteB,$M1738)),""))</f>
        <v/>
      </c>
      <c r="F1738" s="26">
        <f>IF($L1738&lt;&gt;"",IF(INDEX(SCNet,$L1738)=0,"",INDEX(SCNet,$L1738)),"")</f>
        <v/>
      </c>
      <c r="G1738" s="27">
        <f>IF($L1738&lt;&gt;"",IF(INDEX(SCOp,$L1738)="مرجوعی فروش","",IF(INDEX(SCAmount,$L1738)&lt;=0,"",INDEX(SCAmount,$L1738))),IF($M1738&lt;&gt;"",IF(INDEX(LdgWitB,$M1738)=0,"",INDEX(LdgWitB,$M1738)),""))</f>
        <v/>
      </c>
      <c r="H1738" s="27">
        <f>IF($L1738&lt;&gt;"",IF(INDEX(SCOp,$L1738)="مرجوعی فروش",IF(INDEX(SCAmount,$L1738)=0,"",-INDEX(SCAmount,$L1738)),""),IF($M1738&lt;&gt;"",IF(INDEX(LdgDepB,$M1738)=0,"",INDEX(LdgDepB,$M1738)),""))</f>
        <v/>
      </c>
      <c r="I1738" s="28">
        <f>IF($B1738="","",IF($I1737="",$C$10,$I1737)+IF($G1738="",0,$G1738)-IF($H1738="",0,$H1738))</f>
        <v/>
      </c>
      <c r="L1738">
        <f>IFERROR(MATCH($C$5&amp;"|"&amp;RIGHT("000000"&amp;1722,6),LdgRankKeyA,0),"")</f>
        <v/>
      </c>
      <c r="M1738">
        <f>IFERROR(MATCH($C$5&amp;"|"&amp;RIGHT("000000"&amp;1722,6),LdgRankKeyB,0),"")</f>
        <v/>
      </c>
    </row>
    <row r="1739">
      <c r="A1739" s="17" t="n">
        <v>1723</v>
      </c>
      <c r="B1739" s="18">
        <f>IF(AND($L1739="",$M1739=""),"",IF($L1739&lt;&gt;"",INDEX(SCNormDate,$L1739),INDEX(LdgDateB,$M1739)))</f>
        <v/>
      </c>
      <c r="C1739" s="18">
        <f>IF($L1739&lt;&gt;"",INDEX(SCOp,$L1739),IF($M1739&lt;&gt;"","پرداخت بانکی",""))</f>
        <v/>
      </c>
      <c r="D1739" s="18">
        <f>IF($L1739&lt;&gt;"",IF(INDEX(SCDoc,$L1739)="","—",INDEX(SCDoc,$L1739)),IF($M1739&lt;&gt;"",INDEX(LdgBankB,$M1739),""))</f>
        <v/>
      </c>
      <c r="E1739" s="19">
        <f>IF($L1739&lt;&gt;"",IF(INDEX(SCCitrus,$L1739)&amp;INDEX(SCNotes,$L1739)="","",IF(INDEX(SCCitrus,$L1739)="","",INDEX(SCCitrus,$L1739))&amp;IF(INDEX(SCNotes,$L1739)="",""," — "&amp;INDEX(SCNotes,$L1739))),IF($M1739&lt;&gt;"",IF(INDEX(LdgNoteB,$M1739)="","—",INDEX(LdgNoteB,$M1739)),""))</f>
        <v/>
      </c>
      <c r="F1739" s="20">
        <f>IF($L1739&lt;&gt;"",IF(INDEX(SCNet,$L1739)=0,"",INDEX(SCNet,$L1739)),"")</f>
        <v/>
      </c>
      <c r="G1739" s="21">
        <f>IF($L1739&lt;&gt;"",IF(INDEX(SCOp,$L1739)="مرجوعی فروش","",IF(INDEX(SCAmount,$L1739)&lt;=0,"",INDEX(SCAmount,$L1739))),IF($M1739&lt;&gt;"",IF(INDEX(LdgWitB,$M1739)=0,"",INDEX(LdgWitB,$M1739)),""))</f>
        <v/>
      </c>
      <c r="H1739" s="21">
        <f>IF($L1739&lt;&gt;"",IF(INDEX(SCOp,$L1739)="مرجوعی فروش",IF(INDEX(SCAmount,$L1739)=0,"",-INDEX(SCAmount,$L1739)),""),IF($M1739&lt;&gt;"",IF(INDEX(LdgDepB,$M1739)=0,"",INDEX(LdgDepB,$M1739)),""))</f>
        <v/>
      </c>
      <c r="I1739" s="22">
        <f>IF($B1739="","",IF($I1738="",$C$10,$I1738)+IF($G1739="",0,$G1739)-IF($H1739="",0,$H1739))</f>
        <v/>
      </c>
      <c r="L1739">
        <f>IFERROR(MATCH($C$5&amp;"|"&amp;RIGHT("000000"&amp;1723,6),LdgRankKeyA,0),"")</f>
        <v/>
      </c>
      <c r="M1739">
        <f>IFERROR(MATCH($C$5&amp;"|"&amp;RIGHT("000000"&amp;1723,6),LdgRankKeyB,0),"")</f>
        <v/>
      </c>
    </row>
    <row r="1740">
      <c r="A1740" s="23" t="n">
        <v>1724</v>
      </c>
      <c r="B1740" s="24">
        <f>IF(AND($L1740="",$M1740=""),"",IF($L1740&lt;&gt;"",INDEX(SCNormDate,$L1740),INDEX(LdgDateB,$M1740)))</f>
        <v/>
      </c>
      <c r="C1740" s="24">
        <f>IF($L1740&lt;&gt;"",INDEX(SCOp,$L1740),IF($M1740&lt;&gt;"","پرداخت بانکی",""))</f>
        <v/>
      </c>
      <c r="D1740" s="24">
        <f>IF($L1740&lt;&gt;"",IF(INDEX(SCDoc,$L1740)="","—",INDEX(SCDoc,$L1740)),IF($M1740&lt;&gt;"",INDEX(LdgBankB,$M1740),""))</f>
        <v/>
      </c>
      <c r="E1740" s="25">
        <f>IF($L1740&lt;&gt;"",IF(INDEX(SCCitrus,$L1740)&amp;INDEX(SCNotes,$L1740)="","",IF(INDEX(SCCitrus,$L1740)="","",INDEX(SCCitrus,$L1740))&amp;IF(INDEX(SCNotes,$L1740)="",""," — "&amp;INDEX(SCNotes,$L1740))),IF($M1740&lt;&gt;"",IF(INDEX(LdgNoteB,$M1740)="","—",INDEX(LdgNoteB,$M1740)),""))</f>
        <v/>
      </c>
      <c r="F1740" s="26">
        <f>IF($L1740&lt;&gt;"",IF(INDEX(SCNet,$L1740)=0,"",INDEX(SCNet,$L1740)),"")</f>
        <v/>
      </c>
      <c r="G1740" s="27">
        <f>IF($L1740&lt;&gt;"",IF(INDEX(SCOp,$L1740)="مرجوعی فروش","",IF(INDEX(SCAmount,$L1740)&lt;=0,"",INDEX(SCAmount,$L1740))),IF($M1740&lt;&gt;"",IF(INDEX(LdgWitB,$M1740)=0,"",INDEX(LdgWitB,$M1740)),""))</f>
        <v/>
      </c>
      <c r="H1740" s="27">
        <f>IF($L1740&lt;&gt;"",IF(INDEX(SCOp,$L1740)="مرجوعی فروش",IF(INDEX(SCAmount,$L1740)=0,"",-INDEX(SCAmount,$L1740)),""),IF($M1740&lt;&gt;"",IF(INDEX(LdgDepB,$M1740)=0,"",INDEX(LdgDepB,$M1740)),""))</f>
        <v/>
      </c>
      <c r="I1740" s="28">
        <f>IF($B1740="","",IF($I1739="",$C$10,$I1739)+IF($G1740="",0,$G1740)-IF($H1740="",0,$H1740))</f>
        <v/>
      </c>
      <c r="L1740">
        <f>IFERROR(MATCH($C$5&amp;"|"&amp;RIGHT("000000"&amp;1724,6),LdgRankKeyA,0),"")</f>
        <v/>
      </c>
      <c r="M1740">
        <f>IFERROR(MATCH($C$5&amp;"|"&amp;RIGHT("000000"&amp;1724,6),LdgRankKeyB,0),"")</f>
        <v/>
      </c>
    </row>
    <row r="1741">
      <c r="A1741" s="17" t="n">
        <v>1725</v>
      </c>
      <c r="B1741" s="18">
        <f>IF(AND($L1741="",$M1741=""),"",IF($L1741&lt;&gt;"",INDEX(SCNormDate,$L1741),INDEX(LdgDateB,$M1741)))</f>
        <v/>
      </c>
      <c r="C1741" s="18">
        <f>IF($L1741&lt;&gt;"",INDEX(SCOp,$L1741),IF($M1741&lt;&gt;"","پرداخت بانکی",""))</f>
        <v/>
      </c>
      <c r="D1741" s="18">
        <f>IF($L1741&lt;&gt;"",IF(INDEX(SCDoc,$L1741)="","—",INDEX(SCDoc,$L1741)),IF($M1741&lt;&gt;"",INDEX(LdgBankB,$M1741),""))</f>
        <v/>
      </c>
      <c r="E1741" s="19">
        <f>IF($L1741&lt;&gt;"",IF(INDEX(SCCitrus,$L1741)&amp;INDEX(SCNotes,$L1741)="","",IF(INDEX(SCCitrus,$L1741)="","",INDEX(SCCitrus,$L1741))&amp;IF(INDEX(SCNotes,$L1741)="",""," — "&amp;INDEX(SCNotes,$L1741))),IF($M1741&lt;&gt;"",IF(INDEX(LdgNoteB,$M1741)="","—",INDEX(LdgNoteB,$M1741)),""))</f>
        <v/>
      </c>
      <c r="F1741" s="20">
        <f>IF($L1741&lt;&gt;"",IF(INDEX(SCNet,$L1741)=0,"",INDEX(SCNet,$L1741)),"")</f>
        <v/>
      </c>
      <c r="G1741" s="21">
        <f>IF($L1741&lt;&gt;"",IF(INDEX(SCOp,$L1741)="مرجوعی فروش","",IF(INDEX(SCAmount,$L1741)&lt;=0,"",INDEX(SCAmount,$L1741))),IF($M1741&lt;&gt;"",IF(INDEX(LdgWitB,$M1741)=0,"",INDEX(LdgWitB,$M1741)),""))</f>
        <v/>
      </c>
      <c r="H1741" s="21">
        <f>IF($L1741&lt;&gt;"",IF(INDEX(SCOp,$L1741)="مرجوعی فروش",IF(INDEX(SCAmount,$L1741)=0,"",-INDEX(SCAmount,$L1741)),""),IF($M1741&lt;&gt;"",IF(INDEX(LdgDepB,$M1741)=0,"",INDEX(LdgDepB,$M1741)),""))</f>
        <v/>
      </c>
      <c r="I1741" s="22">
        <f>IF($B1741="","",IF($I1740="",$C$10,$I1740)+IF($G1741="",0,$G1741)-IF($H1741="",0,$H1741))</f>
        <v/>
      </c>
      <c r="L1741">
        <f>IFERROR(MATCH($C$5&amp;"|"&amp;RIGHT("000000"&amp;1725,6),LdgRankKeyA,0),"")</f>
        <v/>
      </c>
      <c r="M1741">
        <f>IFERROR(MATCH($C$5&amp;"|"&amp;RIGHT("000000"&amp;1725,6),LdgRankKeyB,0),"")</f>
        <v/>
      </c>
    </row>
    <row r="1742">
      <c r="A1742" s="23" t="n">
        <v>1726</v>
      </c>
      <c r="B1742" s="24">
        <f>IF(AND($L1742="",$M1742=""),"",IF($L1742&lt;&gt;"",INDEX(SCNormDate,$L1742),INDEX(LdgDateB,$M1742)))</f>
        <v/>
      </c>
      <c r="C1742" s="24">
        <f>IF($L1742&lt;&gt;"",INDEX(SCOp,$L1742),IF($M1742&lt;&gt;"","پرداخت بانکی",""))</f>
        <v/>
      </c>
      <c r="D1742" s="24">
        <f>IF($L1742&lt;&gt;"",IF(INDEX(SCDoc,$L1742)="","—",INDEX(SCDoc,$L1742)),IF($M1742&lt;&gt;"",INDEX(LdgBankB,$M1742),""))</f>
        <v/>
      </c>
      <c r="E1742" s="25">
        <f>IF($L1742&lt;&gt;"",IF(INDEX(SCCitrus,$L1742)&amp;INDEX(SCNotes,$L1742)="","",IF(INDEX(SCCitrus,$L1742)="","",INDEX(SCCitrus,$L1742))&amp;IF(INDEX(SCNotes,$L1742)="",""," — "&amp;INDEX(SCNotes,$L1742))),IF($M1742&lt;&gt;"",IF(INDEX(LdgNoteB,$M1742)="","—",INDEX(LdgNoteB,$M1742)),""))</f>
        <v/>
      </c>
      <c r="F1742" s="26">
        <f>IF($L1742&lt;&gt;"",IF(INDEX(SCNet,$L1742)=0,"",INDEX(SCNet,$L1742)),"")</f>
        <v/>
      </c>
      <c r="G1742" s="27">
        <f>IF($L1742&lt;&gt;"",IF(INDEX(SCOp,$L1742)="مرجوعی فروش","",IF(INDEX(SCAmount,$L1742)&lt;=0,"",INDEX(SCAmount,$L1742))),IF($M1742&lt;&gt;"",IF(INDEX(LdgWitB,$M1742)=0,"",INDEX(LdgWitB,$M1742)),""))</f>
        <v/>
      </c>
      <c r="H1742" s="27">
        <f>IF($L1742&lt;&gt;"",IF(INDEX(SCOp,$L1742)="مرجوعی فروش",IF(INDEX(SCAmount,$L1742)=0,"",-INDEX(SCAmount,$L1742)),""),IF($M1742&lt;&gt;"",IF(INDEX(LdgDepB,$M1742)=0,"",INDEX(LdgDepB,$M1742)),""))</f>
        <v/>
      </c>
      <c r="I1742" s="28">
        <f>IF($B1742="","",IF($I1741="",$C$10,$I1741)+IF($G1742="",0,$G1742)-IF($H1742="",0,$H1742))</f>
        <v/>
      </c>
      <c r="L1742">
        <f>IFERROR(MATCH($C$5&amp;"|"&amp;RIGHT("000000"&amp;1726,6),LdgRankKeyA,0),"")</f>
        <v/>
      </c>
      <c r="M1742">
        <f>IFERROR(MATCH($C$5&amp;"|"&amp;RIGHT("000000"&amp;1726,6),LdgRankKeyB,0),"")</f>
        <v/>
      </c>
    </row>
    <row r="1743">
      <c r="A1743" s="17" t="n">
        <v>1727</v>
      </c>
      <c r="B1743" s="18">
        <f>IF(AND($L1743="",$M1743=""),"",IF($L1743&lt;&gt;"",INDEX(SCNormDate,$L1743),INDEX(LdgDateB,$M1743)))</f>
        <v/>
      </c>
      <c r="C1743" s="18">
        <f>IF($L1743&lt;&gt;"",INDEX(SCOp,$L1743),IF($M1743&lt;&gt;"","پرداخت بانکی",""))</f>
        <v/>
      </c>
      <c r="D1743" s="18">
        <f>IF($L1743&lt;&gt;"",IF(INDEX(SCDoc,$L1743)="","—",INDEX(SCDoc,$L1743)),IF($M1743&lt;&gt;"",INDEX(LdgBankB,$M1743),""))</f>
        <v/>
      </c>
      <c r="E1743" s="19">
        <f>IF($L1743&lt;&gt;"",IF(INDEX(SCCitrus,$L1743)&amp;INDEX(SCNotes,$L1743)="","",IF(INDEX(SCCitrus,$L1743)="","",INDEX(SCCitrus,$L1743))&amp;IF(INDEX(SCNotes,$L1743)="",""," — "&amp;INDEX(SCNotes,$L1743))),IF($M1743&lt;&gt;"",IF(INDEX(LdgNoteB,$M1743)="","—",INDEX(LdgNoteB,$M1743)),""))</f>
        <v/>
      </c>
      <c r="F1743" s="20">
        <f>IF($L1743&lt;&gt;"",IF(INDEX(SCNet,$L1743)=0,"",INDEX(SCNet,$L1743)),"")</f>
        <v/>
      </c>
      <c r="G1743" s="21">
        <f>IF($L1743&lt;&gt;"",IF(INDEX(SCOp,$L1743)="مرجوعی فروش","",IF(INDEX(SCAmount,$L1743)&lt;=0,"",INDEX(SCAmount,$L1743))),IF($M1743&lt;&gt;"",IF(INDEX(LdgWitB,$M1743)=0,"",INDEX(LdgWitB,$M1743)),""))</f>
        <v/>
      </c>
      <c r="H1743" s="21">
        <f>IF($L1743&lt;&gt;"",IF(INDEX(SCOp,$L1743)="مرجوعی فروش",IF(INDEX(SCAmount,$L1743)=0,"",-INDEX(SCAmount,$L1743)),""),IF($M1743&lt;&gt;"",IF(INDEX(LdgDepB,$M1743)=0,"",INDEX(LdgDepB,$M1743)),""))</f>
        <v/>
      </c>
      <c r="I1743" s="22">
        <f>IF($B1743="","",IF($I1742="",$C$10,$I1742)+IF($G1743="",0,$G1743)-IF($H1743="",0,$H1743))</f>
        <v/>
      </c>
      <c r="L1743">
        <f>IFERROR(MATCH($C$5&amp;"|"&amp;RIGHT("000000"&amp;1727,6),LdgRankKeyA,0),"")</f>
        <v/>
      </c>
      <c r="M1743">
        <f>IFERROR(MATCH($C$5&amp;"|"&amp;RIGHT("000000"&amp;1727,6),LdgRankKeyB,0),"")</f>
        <v/>
      </c>
    </row>
    <row r="1744">
      <c r="A1744" s="23" t="n">
        <v>1728</v>
      </c>
      <c r="B1744" s="24">
        <f>IF(AND($L1744="",$M1744=""),"",IF($L1744&lt;&gt;"",INDEX(SCNormDate,$L1744),INDEX(LdgDateB,$M1744)))</f>
        <v/>
      </c>
      <c r="C1744" s="24">
        <f>IF($L1744&lt;&gt;"",INDEX(SCOp,$L1744),IF($M1744&lt;&gt;"","پرداخت بانکی",""))</f>
        <v/>
      </c>
      <c r="D1744" s="24">
        <f>IF($L1744&lt;&gt;"",IF(INDEX(SCDoc,$L1744)="","—",INDEX(SCDoc,$L1744)),IF($M1744&lt;&gt;"",INDEX(LdgBankB,$M1744),""))</f>
        <v/>
      </c>
      <c r="E1744" s="25">
        <f>IF($L1744&lt;&gt;"",IF(INDEX(SCCitrus,$L1744)&amp;INDEX(SCNotes,$L1744)="","",IF(INDEX(SCCitrus,$L1744)="","",INDEX(SCCitrus,$L1744))&amp;IF(INDEX(SCNotes,$L1744)="",""," — "&amp;INDEX(SCNotes,$L1744))),IF($M1744&lt;&gt;"",IF(INDEX(LdgNoteB,$M1744)="","—",INDEX(LdgNoteB,$M1744)),""))</f>
        <v/>
      </c>
      <c r="F1744" s="26">
        <f>IF($L1744&lt;&gt;"",IF(INDEX(SCNet,$L1744)=0,"",INDEX(SCNet,$L1744)),"")</f>
        <v/>
      </c>
      <c r="G1744" s="27">
        <f>IF($L1744&lt;&gt;"",IF(INDEX(SCOp,$L1744)="مرجوعی فروش","",IF(INDEX(SCAmount,$L1744)&lt;=0,"",INDEX(SCAmount,$L1744))),IF($M1744&lt;&gt;"",IF(INDEX(LdgWitB,$M1744)=0,"",INDEX(LdgWitB,$M1744)),""))</f>
        <v/>
      </c>
      <c r="H1744" s="27">
        <f>IF($L1744&lt;&gt;"",IF(INDEX(SCOp,$L1744)="مرجوعی فروش",IF(INDEX(SCAmount,$L1744)=0,"",-INDEX(SCAmount,$L1744)),""),IF($M1744&lt;&gt;"",IF(INDEX(LdgDepB,$M1744)=0,"",INDEX(LdgDepB,$M1744)),""))</f>
        <v/>
      </c>
      <c r="I1744" s="28">
        <f>IF($B1744="","",IF($I1743="",$C$10,$I1743)+IF($G1744="",0,$G1744)-IF($H1744="",0,$H1744))</f>
        <v/>
      </c>
      <c r="L1744">
        <f>IFERROR(MATCH($C$5&amp;"|"&amp;RIGHT("000000"&amp;1728,6),LdgRankKeyA,0),"")</f>
        <v/>
      </c>
      <c r="M1744">
        <f>IFERROR(MATCH($C$5&amp;"|"&amp;RIGHT("000000"&amp;1728,6),LdgRankKeyB,0),"")</f>
        <v/>
      </c>
    </row>
    <row r="1745">
      <c r="A1745" s="17" t="n">
        <v>1729</v>
      </c>
      <c r="B1745" s="18">
        <f>IF(AND($L1745="",$M1745=""),"",IF($L1745&lt;&gt;"",INDEX(SCNormDate,$L1745),INDEX(LdgDateB,$M1745)))</f>
        <v/>
      </c>
      <c r="C1745" s="18">
        <f>IF($L1745&lt;&gt;"",INDEX(SCOp,$L1745),IF($M1745&lt;&gt;"","پرداخت بانکی",""))</f>
        <v/>
      </c>
      <c r="D1745" s="18">
        <f>IF($L1745&lt;&gt;"",IF(INDEX(SCDoc,$L1745)="","—",INDEX(SCDoc,$L1745)),IF($M1745&lt;&gt;"",INDEX(LdgBankB,$M1745),""))</f>
        <v/>
      </c>
      <c r="E1745" s="19">
        <f>IF($L1745&lt;&gt;"",IF(INDEX(SCCitrus,$L1745)&amp;INDEX(SCNotes,$L1745)="","",IF(INDEX(SCCitrus,$L1745)="","",INDEX(SCCitrus,$L1745))&amp;IF(INDEX(SCNotes,$L1745)="",""," — "&amp;INDEX(SCNotes,$L1745))),IF($M1745&lt;&gt;"",IF(INDEX(LdgNoteB,$M1745)="","—",INDEX(LdgNoteB,$M1745)),""))</f>
        <v/>
      </c>
      <c r="F1745" s="20">
        <f>IF($L1745&lt;&gt;"",IF(INDEX(SCNet,$L1745)=0,"",INDEX(SCNet,$L1745)),"")</f>
        <v/>
      </c>
      <c r="G1745" s="21">
        <f>IF($L1745&lt;&gt;"",IF(INDEX(SCOp,$L1745)="مرجوعی فروش","",IF(INDEX(SCAmount,$L1745)&lt;=0,"",INDEX(SCAmount,$L1745))),IF($M1745&lt;&gt;"",IF(INDEX(LdgWitB,$M1745)=0,"",INDEX(LdgWitB,$M1745)),""))</f>
        <v/>
      </c>
      <c r="H1745" s="21">
        <f>IF($L1745&lt;&gt;"",IF(INDEX(SCOp,$L1745)="مرجوعی فروش",IF(INDEX(SCAmount,$L1745)=0,"",-INDEX(SCAmount,$L1745)),""),IF($M1745&lt;&gt;"",IF(INDEX(LdgDepB,$M1745)=0,"",INDEX(LdgDepB,$M1745)),""))</f>
        <v/>
      </c>
      <c r="I1745" s="22">
        <f>IF($B1745="","",IF($I1744="",$C$10,$I1744)+IF($G1745="",0,$G1745)-IF($H1745="",0,$H1745))</f>
        <v/>
      </c>
      <c r="L1745">
        <f>IFERROR(MATCH($C$5&amp;"|"&amp;RIGHT("000000"&amp;1729,6),LdgRankKeyA,0),"")</f>
        <v/>
      </c>
      <c r="M1745">
        <f>IFERROR(MATCH($C$5&amp;"|"&amp;RIGHT("000000"&amp;1729,6),LdgRankKeyB,0),"")</f>
        <v/>
      </c>
    </row>
    <row r="1746">
      <c r="A1746" s="23" t="n">
        <v>1730</v>
      </c>
      <c r="B1746" s="24">
        <f>IF(AND($L1746="",$M1746=""),"",IF($L1746&lt;&gt;"",INDEX(SCNormDate,$L1746),INDEX(LdgDateB,$M1746)))</f>
        <v/>
      </c>
      <c r="C1746" s="24">
        <f>IF($L1746&lt;&gt;"",INDEX(SCOp,$L1746),IF($M1746&lt;&gt;"","پرداخت بانکی",""))</f>
        <v/>
      </c>
      <c r="D1746" s="24">
        <f>IF($L1746&lt;&gt;"",IF(INDEX(SCDoc,$L1746)="","—",INDEX(SCDoc,$L1746)),IF($M1746&lt;&gt;"",INDEX(LdgBankB,$M1746),""))</f>
        <v/>
      </c>
      <c r="E1746" s="25">
        <f>IF($L1746&lt;&gt;"",IF(INDEX(SCCitrus,$L1746)&amp;INDEX(SCNotes,$L1746)="","",IF(INDEX(SCCitrus,$L1746)="","",INDEX(SCCitrus,$L1746))&amp;IF(INDEX(SCNotes,$L1746)="",""," — "&amp;INDEX(SCNotes,$L1746))),IF($M1746&lt;&gt;"",IF(INDEX(LdgNoteB,$M1746)="","—",INDEX(LdgNoteB,$M1746)),""))</f>
        <v/>
      </c>
      <c r="F1746" s="26">
        <f>IF($L1746&lt;&gt;"",IF(INDEX(SCNet,$L1746)=0,"",INDEX(SCNet,$L1746)),"")</f>
        <v/>
      </c>
      <c r="G1746" s="27">
        <f>IF($L1746&lt;&gt;"",IF(INDEX(SCOp,$L1746)="مرجوعی فروش","",IF(INDEX(SCAmount,$L1746)&lt;=0,"",INDEX(SCAmount,$L1746))),IF($M1746&lt;&gt;"",IF(INDEX(LdgWitB,$M1746)=0,"",INDEX(LdgWitB,$M1746)),""))</f>
        <v/>
      </c>
      <c r="H1746" s="27">
        <f>IF($L1746&lt;&gt;"",IF(INDEX(SCOp,$L1746)="مرجوعی فروش",IF(INDEX(SCAmount,$L1746)=0,"",-INDEX(SCAmount,$L1746)),""),IF($M1746&lt;&gt;"",IF(INDEX(LdgDepB,$M1746)=0,"",INDEX(LdgDepB,$M1746)),""))</f>
        <v/>
      </c>
      <c r="I1746" s="28">
        <f>IF($B1746="","",IF($I1745="",$C$10,$I1745)+IF($G1746="",0,$G1746)-IF($H1746="",0,$H1746))</f>
        <v/>
      </c>
      <c r="L1746">
        <f>IFERROR(MATCH($C$5&amp;"|"&amp;RIGHT("000000"&amp;1730,6),LdgRankKeyA,0),"")</f>
        <v/>
      </c>
      <c r="M1746">
        <f>IFERROR(MATCH($C$5&amp;"|"&amp;RIGHT("000000"&amp;1730,6),LdgRankKeyB,0),"")</f>
        <v/>
      </c>
    </row>
    <row r="1747">
      <c r="A1747" s="17" t="n">
        <v>1731</v>
      </c>
      <c r="B1747" s="18">
        <f>IF(AND($L1747="",$M1747=""),"",IF($L1747&lt;&gt;"",INDEX(SCNormDate,$L1747),INDEX(LdgDateB,$M1747)))</f>
        <v/>
      </c>
      <c r="C1747" s="18">
        <f>IF($L1747&lt;&gt;"",INDEX(SCOp,$L1747),IF($M1747&lt;&gt;"","پرداخت بانکی",""))</f>
        <v/>
      </c>
      <c r="D1747" s="18">
        <f>IF($L1747&lt;&gt;"",IF(INDEX(SCDoc,$L1747)="","—",INDEX(SCDoc,$L1747)),IF($M1747&lt;&gt;"",INDEX(LdgBankB,$M1747),""))</f>
        <v/>
      </c>
      <c r="E1747" s="19">
        <f>IF($L1747&lt;&gt;"",IF(INDEX(SCCitrus,$L1747)&amp;INDEX(SCNotes,$L1747)="","",IF(INDEX(SCCitrus,$L1747)="","",INDEX(SCCitrus,$L1747))&amp;IF(INDEX(SCNotes,$L1747)="",""," — "&amp;INDEX(SCNotes,$L1747))),IF($M1747&lt;&gt;"",IF(INDEX(LdgNoteB,$M1747)="","—",INDEX(LdgNoteB,$M1747)),""))</f>
        <v/>
      </c>
      <c r="F1747" s="20">
        <f>IF($L1747&lt;&gt;"",IF(INDEX(SCNet,$L1747)=0,"",INDEX(SCNet,$L1747)),"")</f>
        <v/>
      </c>
      <c r="G1747" s="21">
        <f>IF($L1747&lt;&gt;"",IF(INDEX(SCOp,$L1747)="مرجوعی فروش","",IF(INDEX(SCAmount,$L1747)&lt;=0,"",INDEX(SCAmount,$L1747))),IF($M1747&lt;&gt;"",IF(INDEX(LdgWitB,$M1747)=0,"",INDEX(LdgWitB,$M1747)),""))</f>
        <v/>
      </c>
      <c r="H1747" s="21">
        <f>IF($L1747&lt;&gt;"",IF(INDEX(SCOp,$L1747)="مرجوعی فروش",IF(INDEX(SCAmount,$L1747)=0,"",-INDEX(SCAmount,$L1747)),""),IF($M1747&lt;&gt;"",IF(INDEX(LdgDepB,$M1747)=0,"",INDEX(LdgDepB,$M1747)),""))</f>
        <v/>
      </c>
      <c r="I1747" s="22">
        <f>IF($B1747="","",IF($I1746="",$C$10,$I1746)+IF($G1747="",0,$G1747)-IF($H1747="",0,$H1747))</f>
        <v/>
      </c>
      <c r="L1747">
        <f>IFERROR(MATCH($C$5&amp;"|"&amp;RIGHT("000000"&amp;1731,6),LdgRankKeyA,0),"")</f>
        <v/>
      </c>
      <c r="M1747">
        <f>IFERROR(MATCH($C$5&amp;"|"&amp;RIGHT("000000"&amp;1731,6),LdgRankKeyB,0),"")</f>
        <v/>
      </c>
    </row>
    <row r="1748">
      <c r="A1748" s="23" t="n">
        <v>1732</v>
      </c>
      <c r="B1748" s="24">
        <f>IF(AND($L1748="",$M1748=""),"",IF($L1748&lt;&gt;"",INDEX(SCNormDate,$L1748),INDEX(LdgDateB,$M1748)))</f>
        <v/>
      </c>
      <c r="C1748" s="24">
        <f>IF($L1748&lt;&gt;"",INDEX(SCOp,$L1748),IF($M1748&lt;&gt;"","پرداخت بانکی",""))</f>
        <v/>
      </c>
      <c r="D1748" s="24">
        <f>IF($L1748&lt;&gt;"",IF(INDEX(SCDoc,$L1748)="","—",INDEX(SCDoc,$L1748)),IF($M1748&lt;&gt;"",INDEX(LdgBankB,$M1748),""))</f>
        <v/>
      </c>
      <c r="E1748" s="25">
        <f>IF($L1748&lt;&gt;"",IF(INDEX(SCCitrus,$L1748)&amp;INDEX(SCNotes,$L1748)="","",IF(INDEX(SCCitrus,$L1748)="","",INDEX(SCCitrus,$L1748))&amp;IF(INDEX(SCNotes,$L1748)="",""," — "&amp;INDEX(SCNotes,$L1748))),IF($M1748&lt;&gt;"",IF(INDEX(LdgNoteB,$M1748)="","—",INDEX(LdgNoteB,$M1748)),""))</f>
        <v/>
      </c>
      <c r="F1748" s="26">
        <f>IF($L1748&lt;&gt;"",IF(INDEX(SCNet,$L1748)=0,"",INDEX(SCNet,$L1748)),"")</f>
        <v/>
      </c>
      <c r="G1748" s="27">
        <f>IF($L1748&lt;&gt;"",IF(INDEX(SCOp,$L1748)="مرجوعی فروش","",IF(INDEX(SCAmount,$L1748)&lt;=0,"",INDEX(SCAmount,$L1748))),IF($M1748&lt;&gt;"",IF(INDEX(LdgWitB,$M1748)=0,"",INDEX(LdgWitB,$M1748)),""))</f>
        <v/>
      </c>
      <c r="H1748" s="27">
        <f>IF($L1748&lt;&gt;"",IF(INDEX(SCOp,$L1748)="مرجوعی فروش",IF(INDEX(SCAmount,$L1748)=0,"",-INDEX(SCAmount,$L1748)),""),IF($M1748&lt;&gt;"",IF(INDEX(LdgDepB,$M1748)=0,"",INDEX(LdgDepB,$M1748)),""))</f>
        <v/>
      </c>
      <c r="I1748" s="28">
        <f>IF($B1748="","",IF($I1747="",$C$10,$I1747)+IF($G1748="",0,$G1748)-IF($H1748="",0,$H1748))</f>
        <v/>
      </c>
      <c r="L1748">
        <f>IFERROR(MATCH($C$5&amp;"|"&amp;RIGHT("000000"&amp;1732,6),LdgRankKeyA,0),"")</f>
        <v/>
      </c>
      <c r="M1748">
        <f>IFERROR(MATCH($C$5&amp;"|"&amp;RIGHT("000000"&amp;1732,6),LdgRankKeyB,0),"")</f>
        <v/>
      </c>
    </row>
    <row r="1749">
      <c r="A1749" s="17" t="n">
        <v>1733</v>
      </c>
      <c r="B1749" s="18">
        <f>IF(AND($L1749="",$M1749=""),"",IF($L1749&lt;&gt;"",INDEX(SCNormDate,$L1749),INDEX(LdgDateB,$M1749)))</f>
        <v/>
      </c>
      <c r="C1749" s="18">
        <f>IF($L1749&lt;&gt;"",INDEX(SCOp,$L1749),IF($M1749&lt;&gt;"","پرداخت بانکی",""))</f>
        <v/>
      </c>
      <c r="D1749" s="18">
        <f>IF($L1749&lt;&gt;"",IF(INDEX(SCDoc,$L1749)="","—",INDEX(SCDoc,$L1749)),IF($M1749&lt;&gt;"",INDEX(LdgBankB,$M1749),""))</f>
        <v/>
      </c>
      <c r="E1749" s="19">
        <f>IF($L1749&lt;&gt;"",IF(INDEX(SCCitrus,$L1749)&amp;INDEX(SCNotes,$L1749)="","",IF(INDEX(SCCitrus,$L1749)="","",INDEX(SCCitrus,$L1749))&amp;IF(INDEX(SCNotes,$L1749)="",""," — "&amp;INDEX(SCNotes,$L1749))),IF($M1749&lt;&gt;"",IF(INDEX(LdgNoteB,$M1749)="","—",INDEX(LdgNoteB,$M1749)),""))</f>
        <v/>
      </c>
      <c r="F1749" s="20">
        <f>IF($L1749&lt;&gt;"",IF(INDEX(SCNet,$L1749)=0,"",INDEX(SCNet,$L1749)),"")</f>
        <v/>
      </c>
      <c r="G1749" s="21">
        <f>IF($L1749&lt;&gt;"",IF(INDEX(SCOp,$L1749)="مرجوعی فروش","",IF(INDEX(SCAmount,$L1749)&lt;=0,"",INDEX(SCAmount,$L1749))),IF($M1749&lt;&gt;"",IF(INDEX(LdgWitB,$M1749)=0,"",INDEX(LdgWitB,$M1749)),""))</f>
        <v/>
      </c>
      <c r="H1749" s="21">
        <f>IF($L1749&lt;&gt;"",IF(INDEX(SCOp,$L1749)="مرجوعی فروش",IF(INDEX(SCAmount,$L1749)=0,"",-INDEX(SCAmount,$L1749)),""),IF($M1749&lt;&gt;"",IF(INDEX(LdgDepB,$M1749)=0,"",INDEX(LdgDepB,$M1749)),""))</f>
        <v/>
      </c>
      <c r="I1749" s="22">
        <f>IF($B1749="","",IF($I1748="",$C$10,$I1748)+IF($G1749="",0,$G1749)-IF($H1749="",0,$H1749))</f>
        <v/>
      </c>
      <c r="L1749">
        <f>IFERROR(MATCH($C$5&amp;"|"&amp;RIGHT("000000"&amp;1733,6),LdgRankKeyA,0),"")</f>
        <v/>
      </c>
      <c r="M1749">
        <f>IFERROR(MATCH($C$5&amp;"|"&amp;RIGHT("000000"&amp;1733,6),LdgRankKeyB,0),"")</f>
        <v/>
      </c>
    </row>
    <row r="1750">
      <c r="A1750" s="23" t="n">
        <v>1734</v>
      </c>
      <c r="B1750" s="24">
        <f>IF(AND($L1750="",$M1750=""),"",IF($L1750&lt;&gt;"",INDEX(SCNormDate,$L1750),INDEX(LdgDateB,$M1750)))</f>
        <v/>
      </c>
      <c r="C1750" s="24">
        <f>IF($L1750&lt;&gt;"",INDEX(SCOp,$L1750),IF($M1750&lt;&gt;"","پرداخت بانکی",""))</f>
        <v/>
      </c>
      <c r="D1750" s="24">
        <f>IF($L1750&lt;&gt;"",IF(INDEX(SCDoc,$L1750)="","—",INDEX(SCDoc,$L1750)),IF($M1750&lt;&gt;"",INDEX(LdgBankB,$M1750),""))</f>
        <v/>
      </c>
      <c r="E1750" s="25">
        <f>IF($L1750&lt;&gt;"",IF(INDEX(SCCitrus,$L1750)&amp;INDEX(SCNotes,$L1750)="","",IF(INDEX(SCCitrus,$L1750)="","",INDEX(SCCitrus,$L1750))&amp;IF(INDEX(SCNotes,$L1750)="",""," — "&amp;INDEX(SCNotes,$L1750))),IF($M1750&lt;&gt;"",IF(INDEX(LdgNoteB,$M1750)="","—",INDEX(LdgNoteB,$M1750)),""))</f>
        <v/>
      </c>
      <c r="F1750" s="26">
        <f>IF($L1750&lt;&gt;"",IF(INDEX(SCNet,$L1750)=0,"",INDEX(SCNet,$L1750)),"")</f>
        <v/>
      </c>
      <c r="G1750" s="27">
        <f>IF($L1750&lt;&gt;"",IF(INDEX(SCOp,$L1750)="مرجوعی فروش","",IF(INDEX(SCAmount,$L1750)&lt;=0,"",INDEX(SCAmount,$L1750))),IF($M1750&lt;&gt;"",IF(INDEX(LdgWitB,$M1750)=0,"",INDEX(LdgWitB,$M1750)),""))</f>
        <v/>
      </c>
      <c r="H1750" s="27">
        <f>IF($L1750&lt;&gt;"",IF(INDEX(SCOp,$L1750)="مرجوعی فروش",IF(INDEX(SCAmount,$L1750)=0,"",-INDEX(SCAmount,$L1750)),""),IF($M1750&lt;&gt;"",IF(INDEX(LdgDepB,$M1750)=0,"",INDEX(LdgDepB,$M1750)),""))</f>
        <v/>
      </c>
      <c r="I1750" s="28">
        <f>IF($B1750="","",IF($I1749="",$C$10,$I1749)+IF($G1750="",0,$G1750)-IF($H1750="",0,$H1750))</f>
        <v/>
      </c>
      <c r="L1750">
        <f>IFERROR(MATCH($C$5&amp;"|"&amp;RIGHT("000000"&amp;1734,6),LdgRankKeyA,0),"")</f>
        <v/>
      </c>
      <c r="M1750">
        <f>IFERROR(MATCH($C$5&amp;"|"&amp;RIGHT("000000"&amp;1734,6),LdgRankKeyB,0),"")</f>
        <v/>
      </c>
    </row>
    <row r="1751">
      <c r="A1751" s="17" t="n">
        <v>1735</v>
      </c>
      <c r="B1751" s="18">
        <f>IF(AND($L1751="",$M1751=""),"",IF($L1751&lt;&gt;"",INDEX(SCNormDate,$L1751),INDEX(LdgDateB,$M1751)))</f>
        <v/>
      </c>
      <c r="C1751" s="18">
        <f>IF($L1751&lt;&gt;"",INDEX(SCOp,$L1751),IF($M1751&lt;&gt;"","پرداخت بانکی",""))</f>
        <v/>
      </c>
      <c r="D1751" s="18">
        <f>IF($L1751&lt;&gt;"",IF(INDEX(SCDoc,$L1751)="","—",INDEX(SCDoc,$L1751)),IF($M1751&lt;&gt;"",INDEX(LdgBankB,$M1751),""))</f>
        <v/>
      </c>
      <c r="E1751" s="19">
        <f>IF($L1751&lt;&gt;"",IF(INDEX(SCCitrus,$L1751)&amp;INDEX(SCNotes,$L1751)="","",IF(INDEX(SCCitrus,$L1751)="","",INDEX(SCCitrus,$L1751))&amp;IF(INDEX(SCNotes,$L1751)="",""," — "&amp;INDEX(SCNotes,$L1751))),IF($M1751&lt;&gt;"",IF(INDEX(LdgNoteB,$M1751)="","—",INDEX(LdgNoteB,$M1751)),""))</f>
        <v/>
      </c>
      <c r="F1751" s="20">
        <f>IF($L1751&lt;&gt;"",IF(INDEX(SCNet,$L1751)=0,"",INDEX(SCNet,$L1751)),"")</f>
        <v/>
      </c>
      <c r="G1751" s="21">
        <f>IF($L1751&lt;&gt;"",IF(INDEX(SCOp,$L1751)="مرجوعی فروش","",IF(INDEX(SCAmount,$L1751)&lt;=0,"",INDEX(SCAmount,$L1751))),IF($M1751&lt;&gt;"",IF(INDEX(LdgWitB,$M1751)=0,"",INDEX(LdgWitB,$M1751)),""))</f>
        <v/>
      </c>
      <c r="H1751" s="21">
        <f>IF($L1751&lt;&gt;"",IF(INDEX(SCOp,$L1751)="مرجوعی فروش",IF(INDEX(SCAmount,$L1751)=0,"",-INDEX(SCAmount,$L1751)),""),IF($M1751&lt;&gt;"",IF(INDEX(LdgDepB,$M1751)=0,"",INDEX(LdgDepB,$M1751)),""))</f>
        <v/>
      </c>
      <c r="I1751" s="22">
        <f>IF($B1751="","",IF($I1750="",$C$10,$I1750)+IF($G1751="",0,$G1751)-IF($H1751="",0,$H1751))</f>
        <v/>
      </c>
      <c r="L1751">
        <f>IFERROR(MATCH($C$5&amp;"|"&amp;RIGHT("000000"&amp;1735,6),LdgRankKeyA,0),"")</f>
        <v/>
      </c>
      <c r="M1751">
        <f>IFERROR(MATCH($C$5&amp;"|"&amp;RIGHT("000000"&amp;1735,6),LdgRankKeyB,0),"")</f>
        <v/>
      </c>
    </row>
    <row r="1752">
      <c r="A1752" s="23" t="n">
        <v>1736</v>
      </c>
      <c r="B1752" s="24">
        <f>IF(AND($L1752="",$M1752=""),"",IF($L1752&lt;&gt;"",INDEX(SCNormDate,$L1752),INDEX(LdgDateB,$M1752)))</f>
        <v/>
      </c>
      <c r="C1752" s="24">
        <f>IF($L1752&lt;&gt;"",INDEX(SCOp,$L1752),IF($M1752&lt;&gt;"","پرداخت بانکی",""))</f>
        <v/>
      </c>
      <c r="D1752" s="24">
        <f>IF($L1752&lt;&gt;"",IF(INDEX(SCDoc,$L1752)="","—",INDEX(SCDoc,$L1752)),IF($M1752&lt;&gt;"",INDEX(LdgBankB,$M1752),""))</f>
        <v/>
      </c>
      <c r="E1752" s="25">
        <f>IF($L1752&lt;&gt;"",IF(INDEX(SCCitrus,$L1752)&amp;INDEX(SCNotes,$L1752)="","",IF(INDEX(SCCitrus,$L1752)="","",INDEX(SCCitrus,$L1752))&amp;IF(INDEX(SCNotes,$L1752)="",""," — "&amp;INDEX(SCNotes,$L1752))),IF($M1752&lt;&gt;"",IF(INDEX(LdgNoteB,$M1752)="","—",INDEX(LdgNoteB,$M1752)),""))</f>
        <v/>
      </c>
      <c r="F1752" s="26">
        <f>IF($L1752&lt;&gt;"",IF(INDEX(SCNet,$L1752)=0,"",INDEX(SCNet,$L1752)),"")</f>
        <v/>
      </c>
      <c r="G1752" s="27">
        <f>IF($L1752&lt;&gt;"",IF(INDEX(SCOp,$L1752)="مرجوعی فروش","",IF(INDEX(SCAmount,$L1752)&lt;=0,"",INDEX(SCAmount,$L1752))),IF($M1752&lt;&gt;"",IF(INDEX(LdgWitB,$M1752)=0,"",INDEX(LdgWitB,$M1752)),""))</f>
        <v/>
      </c>
      <c r="H1752" s="27">
        <f>IF($L1752&lt;&gt;"",IF(INDEX(SCOp,$L1752)="مرجوعی فروش",IF(INDEX(SCAmount,$L1752)=0,"",-INDEX(SCAmount,$L1752)),""),IF($M1752&lt;&gt;"",IF(INDEX(LdgDepB,$M1752)=0,"",INDEX(LdgDepB,$M1752)),""))</f>
        <v/>
      </c>
      <c r="I1752" s="28">
        <f>IF($B1752="","",IF($I1751="",$C$10,$I1751)+IF($G1752="",0,$G1752)-IF($H1752="",0,$H1752))</f>
        <v/>
      </c>
      <c r="L1752">
        <f>IFERROR(MATCH($C$5&amp;"|"&amp;RIGHT("000000"&amp;1736,6),LdgRankKeyA,0),"")</f>
        <v/>
      </c>
      <c r="M1752">
        <f>IFERROR(MATCH($C$5&amp;"|"&amp;RIGHT("000000"&amp;1736,6),LdgRankKeyB,0),"")</f>
        <v/>
      </c>
    </row>
    <row r="1753">
      <c r="A1753" s="17" t="n">
        <v>1737</v>
      </c>
      <c r="B1753" s="18">
        <f>IF(AND($L1753="",$M1753=""),"",IF($L1753&lt;&gt;"",INDEX(SCNormDate,$L1753),INDEX(LdgDateB,$M1753)))</f>
        <v/>
      </c>
      <c r="C1753" s="18">
        <f>IF($L1753&lt;&gt;"",INDEX(SCOp,$L1753),IF($M1753&lt;&gt;"","پرداخت بانکی",""))</f>
        <v/>
      </c>
      <c r="D1753" s="18">
        <f>IF($L1753&lt;&gt;"",IF(INDEX(SCDoc,$L1753)="","—",INDEX(SCDoc,$L1753)),IF($M1753&lt;&gt;"",INDEX(LdgBankB,$M1753),""))</f>
        <v/>
      </c>
      <c r="E1753" s="19">
        <f>IF($L1753&lt;&gt;"",IF(INDEX(SCCitrus,$L1753)&amp;INDEX(SCNotes,$L1753)="","",IF(INDEX(SCCitrus,$L1753)="","",INDEX(SCCitrus,$L1753))&amp;IF(INDEX(SCNotes,$L1753)="",""," — "&amp;INDEX(SCNotes,$L1753))),IF($M1753&lt;&gt;"",IF(INDEX(LdgNoteB,$M1753)="","—",INDEX(LdgNoteB,$M1753)),""))</f>
        <v/>
      </c>
      <c r="F1753" s="20">
        <f>IF($L1753&lt;&gt;"",IF(INDEX(SCNet,$L1753)=0,"",INDEX(SCNet,$L1753)),"")</f>
        <v/>
      </c>
      <c r="G1753" s="21">
        <f>IF($L1753&lt;&gt;"",IF(INDEX(SCOp,$L1753)="مرجوعی فروش","",IF(INDEX(SCAmount,$L1753)&lt;=0,"",INDEX(SCAmount,$L1753))),IF($M1753&lt;&gt;"",IF(INDEX(LdgWitB,$M1753)=0,"",INDEX(LdgWitB,$M1753)),""))</f>
        <v/>
      </c>
      <c r="H1753" s="21">
        <f>IF($L1753&lt;&gt;"",IF(INDEX(SCOp,$L1753)="مرجوعی فروش",IF(INDEX(SCAmount,$L1753)=0,"",-INDEX(SCAmount,$L1753)),""),IF($M1753&lt;&gt;"",IF(INDEX(LdgDepB,$M1753)=0,"",INDEX(LdgDepB,$M1753)),""))</f>
        <v/>
      </c>
      <c r="I1753" s="22">
        <f>IF($B1753="","",IF($I1752="",$C$10,$I1752)+IF($G1753="",0,$G1753)-IF($H1753="",0,$H1753))</f>
        <v/>
      </c>
      <c r="L1753">
        <f>IFERROR(MATCH($C$5&amp;"|"&amp;RIGHT("000000"&amp;1737,6),LdgRankKeyA,0),"")</f>
        <v/>
      </c>
      <c r="M1753">
        <f>IFERROR(MATCH($C$5&amp;"|"&amp;RIGHT("000000"&amp;1737,6),LdgRankKeyB,0),"")</f>
        <v/>
      </c>
    </row>
    <row r="1754">
      <c r="A1754" s="23" t="n">
        <v>1738</v>
      </c>
      <c r="B1754" s="24">
        <f>IF(AND($L1754="",$M1754=""),"",IF($L1754&lt;&gt;"",INDEX(SCNormDate,$L1754),INDEX(LdgDateB,$M1754)))</f>
        <v/>
      </c>
      <c r="C1754" s="24">
        <f>IF($L1754&lt;&gt;"",INDEX(SCOp,$L1754),IF($M1754&lt;&gt;"","پرداخت بانکی",""))</f>
        <v/>
      </c>
      <c r="D1754" s="24">
        <f>IF($L1754&lt;&gt;"",IF(INDEX(SCDoc,$L1754)="","—",INDEX(SCDoc,$L1754)),IF($M1754&lt;&gt;"",INDEX(LdgBankB,$M1754),""))</f>
        <v/>
      </c>
      <c r="E1754" s="25">
        <f>IF($L1754&lt;&gt;"",IF(INDEX(SCCitrus,$L1754)&amp;INDEX(SCNotes,$L1754)="","",IF(INDEX(SCCitrus,$L1754)="","",INDEX(SCCitrus,$L1754))&amp;IF(INDEX(SCNotes,$L1754)="",""," — "&amp;INDEX(SCNotes,$L1754))),IF($M1754&lt;&gt;"",IF(INDEX(LdgNoteB,$M1754)="","—",INDEX(LdgNoteB,$M1754)),""))</f>
        <v/>
      </c>
      <c r="F1754" s="26">
        <f>IF($L1754&lt;&gt;"",IF(INDEX(SCNet,$L1754)=0,"",INDEX(SCNet,$L1754)),"")</f>
        <v/>
      </c>
      <c r="G1754" s="27">
        <f>IF($L1754&lt;&gt;"",IF(INDEX(SCOp,$L1754)="مرجوعی فروش","",IF(INDEX(SCAmount,$L1754)&lt;=0,"",INDEX(SCAmount,$L1754))),IF($M1754&lt;&gt;"",IF(INDEX(LdgWitB,$M1754)=0,"",INDEX(LdgWitB,$M1754)),""))</f>
        <v/>
      </c>
      <c r="H1754" s="27">
        <f>IF($L1754&lt;&gt;"",IF(INDEX(SCOp,$L1754)="مرجوعی فروش",IF(INDEX(SCAmount,$L1754)=0,"",-INDEX(SCAmount,$L1754)),""),IF($M1754&lt;&gt;"",IF(INDEX(LdgDepB,$M1754)=0,"",INDEX(LdgDepB,$M1754)),""))</f>
        <v/>
      </c>
      <c r="I1754" s="28">
        <f>IF($B1754="","",IF($I1753="",$C$10,$I1753)+IF($G1754="",0,$G1754)-IF($H1754="",0,$H1754))</f>
        <v/>
      </c>
      <c r="L1754">
        <f>IFERROR(MATCH($C$5&amp;"|"&amp;RIGHT("000000"&amp;1738,6),LdgRankKeyA,0),"")</f>
        <v/>
      </c>
      <c r="M1754">
        <f>IFERROR(MATCH($C$5&amp;"|"&amp;RIGHT("000000"&amp;1738,6),LdgRankKeyB,0),"")</f>
        <v/>
      </c>
    </row>
    <row r="1755">
      <c r="A1755" s="17" t="n">
        <v>1739</v>
      </c>
      <c r="B1755" s="18">
        <f>IF(AND($L1755="",$M1755=""),"",IF($L1755&lt;&gt;"",INDEX(SCNormDate,$L1755),INDEX(LdgDateB,$M1755)))</f>
        <v/>
      </c>
      <c r="C1755" s="18">
        <f>IF($L1755&lt;&gt;"",INDEX(SCOp,$L1755),IF($M1755&lt;&gt;"","پرداخت بانکی",""))</f>
        <v/>
      </c>
      <c r="D1755" s="18">
        <f>IF($L1755&lt;&gt;"",IF(INDEX(SCDoc,$L1755)="","—",INDEX(SCDoc,$L1755)),IF($M1755&lt;&gt;"",INDEX(LdgBankB,$M1755),""))</f>
        <v/>
      </c>
      <c r="E1755" s="19">
        <f>IF($L1755&lt;&gt;"",IF(INDEX(SCCitrus,$L1755)&amp;INDEX(SCNotes,$L1755)="","",IF(INDEX(SCCitrus,$L1755)="","",INDEX(SCCitrus,$L1755))&amp;IF(INDEX(SCNotes,$L1755)="",""," — "&amp;INDEX(SCNotes,$L1755))),IF($M1755&lt;&gt;"",IF(INDEX(LdgNoteB,$M1755)="","—",INDEX(LdgNoteB,$M1755)),""))</f>
        <v/>
      </c>
      <c r="F1755" s="20">
        <f>IF($L1755&lt;&gt;"",IF(INDEX(SCNet,$L1755)=0,"",INDEX(SCNet,$L1755)),"")</f>
        <v/>
      </c>
      <c r="G1755" s="21">
        <f>IF($L1755&lt;&gt;"",IF(INDEX(SCOp,$L1755)="مرجوعی فروش","",IF(INDEX(SCAmount,$L1755)&lt;=0,"",INDEX(SCAmount,$L1755))),IF($M1755&lt;&gt;"",IF(INDEX(LdgWitB,$M1755)=0,"",INDEX(LdgWitB,$M1755)),""))</f>
        <v/>
      </c>
      <c r="H1755" s="21">
        <f>IF($L1755&lt;&gt;"",IF(INDEX(SCOp,$L1755)="مرجوعی فروش",IF(INDEX(SCAmount,$L1755)=0,"",-INDEX(SCAmount,$L1755)),""),IF($M1755&lt;&gt;"",IF(INDEX(LdgDepB,$M1755)=0,"",INDEX(LdgDepB,$M1755)),""))</f>
        <v/>
      </c>
      <c r="I1755" s="22">
        <f>IF($B1755="","",IF($I1754="",$C$10,$I1754)+IF($G1755="",0,$G1755)-IF($H1755="",0,$H1755))</f>
        <v/>
      </c>
      <c r="L1755">
        <f>IFERROR(MATCH($C$5&amp;"|"&amp;RIGHT("000000"&amp;1739,6),LdgRankKeyA,0),"")</f>
        <v/>
      </c>
      <c r="M1755">
        <f>IFERROR(MATCH($C$5&amp;"|"&amp;RIGHT("000000"&amp;1739,6),LdgRankKeyB,0),"")</f>
        <v/>
      </c>
    </row>
    <row r="1756">
      <c r="A1756" s="23" t="n">
        <v>1740</v>
      </c>
      <c r="B1756" s="24">
        <f>IF(AND($L1756="",$M1756=""),"",IF($L1756&lt;&gt;"",INDEX(SCNormDate,$L1756),INDEX(LdgDateB,$M1756)))</f>
        <v/>
      </c>
      <c r="C1756" s="24">
        <f>IF($L1756&lt;&gt;"",INDEX(SCOp,$L1756),IF($M1756&lt;&gt;"","پرداخت بانکی",""))</f>
        <v/>
      </c>
      <c r="D1756" s="24">
        <f>IF($L1756&lt;&gt;"",IF(INDEX(SCDoc,$L1756)="","—",INDEX(SCDoc,$L1756)),IF($M1756&lt;&gt;"",INDEX(LdgBankB,$M1756),""))</f>
        <v/>
      </c>
      <c r="E1756" s="25">
        <f>IF($L1756&lt;&gt;"",IF(INDEX(SCCitrus,$L1756)&amp;INDEX(SCNotes,$L1756)="","",IF(INDEX(SCCitrus,$L1756)="","",INDEX(SCCitrus,$L1756))&amp;IF(INDEX(SCNotes,$L1756)="",""," — "&amp;INDEX(SCNotes,$L1756))),IF($M1756&lt;&gt;"",IF(INDEX(LdgNoteB,$M1756)="","—",INDEX(LdgNoteB,$M1756)),""))</f>
        <v/>
      </c>
      <c r="F1756" s="26">
        <f>IF($L1756&lt;&gt;"",IF(INDEX(SCNet,$L1756)=0,"",INDEX(SCNet,$L1756)),"")</f>
        <v/>
      </c>
      <c r="G1756" s="27">
        <f>IF($L1756&lt;&gt;"",IF(INDEX(SCOp,$L1756)="مرجوعی فروش","",IF(INDEX(SCAmount,$L1756)&lt;=0,"",INDEX(SCAmount,$L1756))),IF($M1756&lt;&gt;"",IF(INDEX(LdgWitB,$M1756)=0,"",INDEX(LdgWitB,$M1756)),""))</f>
        <v/>
      </c>
      <c r="H1756" s="27">
        <f>IF($L1756&lt;&gt;"",IF(INDEX(SCOp,$L1756)="مرجوعی فروش",IF(INDEX(SCAmount,$L1756)=0,"",-INDEX(SCAmount,$L1756)),""),IF($M1756&lt;&gt;"",IF(INDEX(LdgDepB,$M1756)=0,"",INDEX(LdgDepB,$M1756)),""))</f>
        <v/>
      </c>
      <c r="I1756" s="28">
        <f>IF($B1756="","",IF($I1755="",$C$10,$I1755)+IF($G1756="",0,$G1756)-IF($H1756="",0,$H1756))</f>
        <v/>
      </c>
      <c r="L1756">
        <f>IFERROR(MATCH($C$5&amp;"|"&amp;RIGHT("000000"&amp;1740,6),LdgRankKeyA,0),"")</f>
        <v/>
      </c>
      <c r="M1756">
        <f>IFERROR(MATCH($C$5&amp;"|"&amp;RIGHT("000000"&amp;1740,6),LdgRankKeyB,0),"")</f>
        <v/>
      </c>
    </row>
    <row r="1757">
      <c r="A1757" s="17" t="n">
        <v>1741</v>
      </c>
      <c r="B1757" s="18">
        <f>IF(AND($L1757="",$M1757=""),"",IF($L1757&lt;&gt;"",INDEX(SCNormDate,$L1757),INDEX(LdgDateB,$M1757)))</f>
        <v/>
      </c>
      <c r="C1757" s="18">
        <f>IF($L1757&lt;&gt;"",INDEX(SCOp,$L1757),IF($M1757&lt;&gt;"","پرداخت بانکی",""))</f>
        <v/>
      </c>
      <c r="D1757" s="18">
        <f>IF($L1757&lt;&gt;"",IF(INDEX(SCDoc,$L1757)="","—",INDEX(SCDoc,$L1757)),IF($M1757&lt;&gt;"",INDEX(LdgBankB,$M1757),""))</f>
        <v/>
      </c>
      <c r="E1757" s="19">
        <f>IF($L1757&lt;&gt;"",IF(INDEX(SCCitrus,$L1757)&amp;INDEX(SCNotes,$L1757)="","",IF(INDEX(SCCitrus,$L1757)="","",INDEX(SCCitrus,$L1757))&amp;IF(INDEX(SCNotes,$L1757)="",""," — "&amp;INDEX(SCNotes,$L1757))),IF($M1757&lt;&gt;"",IF(INDEX(LdgNoteB,$M1757)="","—",INDEX(LdgNoteB,$M1757)),""))</f>
        <v/>
      </c>
      <c r="F1757" s="20">
        <f>IF($L1757&lt;&gt;"",IF(INDEX(SCNet,$L1757)=0,"",INDEX(SCNet,$L1757)),"")</f>
        <v/>
      </c>
      <c r="G1757" s="21">
        <f>IF($L1757&lt;&gt;"",IF(INDEX(SCOp,$L1757)="مرجوعی فروش","",IF(INDEX(SCAmount,$L1757)&lt;=0,"",INDEX(SCAmount,$L1757))),IF($M1757&lt;&gt;"",IF(INDEX(LdgWitB,$M1757)=0,"",INDEX(LdgWitB,$M1757)),""))</f>
        <v/>
      </c>
      <c r="H1757" s="21">
        <f>IF($L1757&lt;&gt;"",IF(INDEX(SCOp,$L1757)="مرجوعی فروش",IF(INDEX(SCAmount,$L1757)=0,"",-INDEX(SCAmount,$L1757)),""),IF($M1757&lt;&gt;"",IF(INDEX(LdgDepB,$M1757)=0,"",INDEX(LdgDepB,$M1757)),""))</f>
        <v/>
      </c>
      <c r="I1757" s="22">
        <f>IF($B1757="","",IF($I1756="",$C$10,$I1756)+IF($G1757="",0,$G1757)-IF($H1757="",0,$H1757))</f>
        <v/>
      </c>
      <c r="L1757">
        <f>IFERROR(MATCH($C$5&amp;"|"&amp;RIGHT("000000"&amp;1741,6),LdgRankKeyA,0),"")</f>
        <v/>
      </c>
      <c r="M1757">
        <f>IFERROR(MATCH($C$5&amp;"|"&amp;RIGHT("000000"&amp;1741,6),LdgRankKeyB,0),"")</f>
        <v/>
      </c>
    </row>
    <row r="1758">
      <c r="A1758" s="23" t="n">
        <v>1742</v>
      </c>
      <c r="B1758" s="24">
        <f>IF(AND($L1758="",$M1758=""),"",IF($L1758&lt;&gt;"",INDEX(SCNormDate,$L1758),INDEX(LdgDateB,$M1758)))</f>
        <v/>
      </c>
      <c r="C1758" s="24">
        <f>IF($L1758&lt;&gt;"",INDEX(SCOp,$L1758),IF($M1758&lt;&gt;"","پرداخت بانکی",""))</f>
        <v/>
      </c>
      <c r="D1758" s="24">
        <f>IF($L1758&lt;&gt;"",IF(INDEX(SCDoc,$L1758)="","—",INDEX(SCDoc,$L1758)),IF($M1758&lt;&gt;"",INDEX(LdgBankB,$M1758),""))</f>
        <v/>
      </c>
      <c r="E1758" s="25">
        <f>IF($L1758&lt;&gt;"",IF(INDEX(SCCitrus,$L1758)&amp;INDEX(SCNotes,$L1758)="","",IF(INDEX(SCCitrus,$L1758)="","",INDEX(SCCitrus,$L1758))&amp;IF(INDEX(SCNotes,$L1758)="",""," — "&amp;INDEX(SCNotes,$L1758))),IF($M1758&lt;&gt;"",IF(INDEX(LdgNoteB,$M1758)="","—",INDEX(LdgNoteB,$M1758)),""))</f>
        <v/>
      </c>
      <c r="F1758" s="26">
        <f>IF($L1758&lt;&gt;"",IF(INDEX(SCNet,$L1758)=0,"",INDEX(SCNet,$L1758)),"")</f>
        <v/>
      </c>
      <c r="G1758" s="27">
        <f>IF($L1758&lt;&gt;"",IF(INDEX(SCOp,$L1758)="مرجوعی فروش","",IF(INDEX(SCAmount,$L1758)&lt;=0,"",INDEX(SCAmount,$L1758))),IF($M1758&lt;&gt;"",IF(INDEX(LdgWitB,$M1758)=0,"",INDEX(LdgWitB,$M1758)),""))</f>
        <v/>
      </c>
      <c r="H1758" s="27">
        <f>IF($L1758&lt;&gt;"",IF(INDEX(SCOp,$L1758)="مرجوعی فروش",IF(INDEX(SCAmount,$L1758)=0,"",-INDEX(SCAmount,$L1758)),""),IF($M1758&lt;&gt;"",IF(INDEX(LdgDepB,$M1758)=0,"",INDEX(LdgDepB,$M1758)),""))</f>
        <v/>
      </c>
      <c r="I1758" s="28">
        <f>IF($B1758="","",IF($I1757="",$C$10,$I1757)+IF($G1758="",0,$G1758)-IF($H1758="",0,$H1758))</f>
        <v/>
      </c>
      <c r="L1758">
        <f>IFERROR(MATCH($C$5&amp;"|"&amp;RIGHT("000000"&amp;1742,6),LdgRankKeyA,0),"")</f>
        <v/>
      </c>
      <c r="M1758">
        <f>IFERROR(MATCH($C$5&amp;"|"&amp;RIGHT("000000"&amp;1742,6),LdgRankKeyB,0),"")</f>
        <v/>
      </c>
    </row>
    <row r="1759">
      <c r="A1759" s="17" t="n">
        <v>1743</v>
      </c>
      <c r="B1759" s="18">
        <f>IF(AND($L1759="",$M1759=""),"",IF($L1759&lt;&gt;"",INDEX(SCNormDate,$L1759),INDEX(LdgDateB,$M1759)))</f>
        <v/>
      </c>
      <c r="C1759" s="18">
        <f>IF($L1759&lt;&gt;"",INDEX(SCOp,$L1759),IF($M1759&lt;&gt;"","پرداخت بانکی",""))</f>
        <v/>
      </c>
      <c r="D1759" s="18">
        <f>IF($L1759&lt;&gt;"",IF(INDEX(SCDoc,$L1759)="","—",INDEX(SCDoc,$L1759)),IF($M1759&lt;&gt;"",INDEX(LdgBankB,$M1759),""))</f>
        <v/>
      </c>
      <c r="E1759" s="19">
        <f>IF($L1759&lt;&gt;"",IF(INDEX(SCCitrus,$L1759)&amp;INDEX(SCNotes,$L1759)="","",IF(INDEX(SCCitrus,$L1759)="","",INDEX(SCCitrus,$L1759))&amp;IF(INDEX(SCNotes,$L1759)="",""," — "&amp;INDEX(SCNotes,$L1759))),IF($M1759&lt;&gt;"",IF(INDEX(LdgNoteB,$M1759)="","—",INDEX(LdgNoteB,$M1759)),""))</f>
        <v/>
      </c>
      <c r="F1759" s="20">
        <f>IF($L1759&lt;&gt;"",IF(INDEX(SCNet,$L1759)=0,"",INDEX(SCNet,$L1759)),"")</f>
        <v/>
      </c>
      <c r="G1759" s="21">
        <f>IF($L1759&lt;&gt;"",IF(INDEX(SCOp,$L1759)="مرجوعی فروش","",IF(INDEX(SCAmount,$L1759)&lt;=0,"",INDEX(SCAmount,$L1759))),IF($M1759&lt;&gt;"",IF(INDEX(LdgWitB,$M1759)=0,"",INDEX(LdgWitB,$M1759)),""))</f>
        <v/>
      </c>
      <c r="H1759" s="21">
        <f>IF($L1759&lt;&gt;"",IF(INDEX(SCOp,$L1759)="مرجوعی فروش",IF(INDEX(SCAmount,$L1759)=0,"",-INDEX(SCAmount,$L1759)),""),IF($M1759&lt;&gt;"",IF(INDEX(LdgDepB,$M1759)=0,"",INDEX(LdgDepB,$M1759)),""))</f>
        <v/>
      </c>
      <c r="I1759" s="22">
        <f>IF($B1759="","",IF($I1758="",$C$10,$I1758)+IF($G1759="",0,$G1759)-IF($H1759="",0,$H1759))</f>
        <v/>
      </c>
      <c r="L1759">
        <f>IFERROR(MATCH($C$5&amp;"|"&amp;RIGHT("000000"&amp;1743,6),LdgRankKeyA,0),"")</f>
        <v/>
      </c>
      <c r="M1759">
        <f>IFERROR(MATCH($C$5&amp;"|"&amp;RIGHT("000000"&amp;1743,6),LdgRankKeyB,0),"")</f>
        <v/>
      </c>
    </row>
    <row r="1760">
      <c r="A1760" s="23" t="n">
        <v>1744</v>
      </c>
      <c r="B1760" s="24">
        <f>IF(AND($L1760="",$M1760=""),"",IF($L1760&lt;&gt;"",INDEX(SCNormDate,$L1760),INDEX(LdgDateB,$M1760)))</f>
        <v/>
      </c>
      <c r="C1760" s="24">
        <f>IF($L1760&lt;&gt;"",INDEX(SCOp,$L1760),IF($M1760&lt;&gt;"","پرداخت بانکی",""))</f>
        <v/>
      </c>
      <c r="D1760" s="24">
        <f>IF($L1760&lt;&gt;"",IF(INDEX(SCDoc,$L1760)="","—",INDEX(SCDoc,$L1760)),IF($M1760&lt;&gt;"",INDEX(LdgBankB,$M1760),""))</f>
        <v/>
      </c>
      <c r="E1760" s="25">
        <f>IF($L1760&lt;&gt;"",IF(INDEX(SCCitrus,$L1760)&amp;INDEX(SCNotes,$L1760)="","",IF(INDEX(SCCitrus,$L1760)="","",INDEX(SCCitrus,$L1760))&amp;IF(INDEX(SCNotes,$L1760)="",""," — "&amp;INDEX(SCNotes,$L1760))),IF($M1760&lt;&gt;"",IF(INDEX(LdgNoteB,$M1760)="","—",INDEX(LdgNoteB,$M1760)),""))</f>
        <v/>
      </c>
      <c r="F1760" s="26">
        <f>IF($L1760&lt;&gt;"",IF(INDEX(SCNet,$L1760)=0,"",INDEX(SCNet,$L1760)),"")</f>
        <v/>
      </c>
      <c r="G1760" s="27">
        <f>IF($L1760&lt;&gt;"",IF(INDEX(SCOp,$L1760)="مرجوعی فروش","",IF(INDEX(SCAmount,$L1760)&lt;=0,"",INDEX(SCAmount,$L1760))),IF($M1760&lt;&gt;"",IF(INDEX(LdgWitB,$M1760)=0,"",INDEX(LdgWitB,$M1760)),""))</f>
        <v/>
      </c>
      <c r="H1760" s="27">
        <f>IF($L1760&lt;&gt;"",IF(INDEX(SCOp,$L1760)="مرجوعی فروش",IF(INDEX(SCAmount,$L1760)=0,"",-INDEX(SCAmount,$L1760)),""),IF($M1760&lt;&gt;"",IF(INDEX(LdgDepB,$M1760)=0,"",INDEX(LdgDepB,$M1760)),""))</f>
        <v/>
      </c>
      <c r="I1760" s="28">
        <f>IF($B1760="","",IF($I1759="",$C$10,$I1759)+IF($G1760="",0,$G1760)-IF($H1760="",0,$H1760))</f>
        <v/>
      </c>
      <c r="L1760">
        <f>IFERROR(MATCH($C$5&amp;"|"&amp;RIGHT("000000"&amp;1744,6),LdgRankKeyA,0),"")</f>
        <v/>
      </c>
      <c r="M1760">
        <f>IFERROR(MATCH($C$5&amp;"|"&amp;RIGHT("000000"&amp;1744,6),LdgRankKeyB,0),"")</f>
        <v/>
      </c>
    </row>
    <row r="1761">
      <c r="A1761" s="17" t="n">
        <v>1745</v>
      </c>
      <c r="B1761" s="18">
        <f>IF(AND($L1761="",$M1761=""),"",IF($L1761&lt;&gt;"",INDEX(SCNormDate,$L1761),INDEX(LdgDateB,$M1761)))</f>
        <v/>
      </c>
      <c r="C1761" s="18">
        <f>IF($L1761&lt;&gt;"",INDEX(SCOp,$L1761),IF($M1761&lt;&gt;"","پرداخت بانکی",""))</f>
        <v/>
      </c>
      <c r="D1761" s="18">
        <f>IF($L1761&lt;&gt;"",IF(INDEX(SCDoc,$L1761)="","—",INDEX(SCDoc,$L1761)),IF($M1761&lt;&gt;"",INDEX(LdgBankB,$M1761),""))</f>
        <v/>
      </c>
      <c r="E1761" s="19">
        <f>IF($L1761&lt;&gt;"",IF(INDEX(SCCitrus,$L1761)&amp;INDEX(SCNotes,$L1761)="","",IF(INDEX(SCCitrus,$L1761)="","",INDEX(SCCitrus,$L1761))&amp;IF(INDEX(SCNotes,$L1761)="",""," — "&amp;INDEX(SCNotes,$L1761))),IF($M1761&lt;&gt;"",IF(INDEX(LdgNoteB,$M1761)="","—",INDEX(LdgNoteB,$M1761)),""))</f>
        <v/>
      </c>
      <c r="F1761" s="20">
        <f>IF($L1761&lt;&gt;"",IF(INDEX(SCNet,$L1761)=0,"",INDEX(SCNet,$L1761)),"")</f>
        <v/>
      </c>
      <c r="G1761" s="21">
        <f>IF($L1761&lt;&gt;"",IF(INDEX(SCOp,$L1761)="مرجوعی فروش","",IF(INDEX(SCAmount,$L1761)&lt;=0,"",INDEX(SCAmount,$L1761))),IF($M1761&lt;&gt;"",IF(INDEX(LdgWitB,$M1761)=0,"",INDEX(LdgWitB,$M1761)),""))</f>
        <v/>
      </c>
      <c r="H1761" s="21">
        <f>IF($L1761&lt;&gt;"",IF(INDEX(SCOp,$L1761)="مرجوعی فروش",IF(INDEX(SCAmount,$L1761)=0,"",-INDEX(SCAmount,$L1761)),""),IF($M1761&lt;&gt;"",IF(INDEX(LdgDepB,$M1761)=0,"",INDEX(LdgDepB,$M1761)),""))</f>
        <v/>
      </c>
      <c r="I1761" s="22">
        <f>IF($B1761="","",IF($I1760="",$C$10,$I1760)+IF($G1761="",0,$G1761)-IF($H1761="",0,$H1761))</f>
        <v/>
      </c>
      <c r="L1761">
        <f>IFERROR(MATCH($C$5&amp;"|"&amp;RIGHT("000000"&amp;1745,6),LdgRankKeyA,0),"")</f>
        <v/>
      </c>
      <c r="M1761">
        <f>IFERROR(MATCH($C$5&amp;"|"&amp;RIGHT("000000"&amp;1745,6),LdgRankKeyB,0),"")</f>
        <v/>
      </c>
    </row>
    <row r="1762">
      <c r="A1762" s="23" t="n">
        <v>1746</v>
      </c>
      <c r="B1762" s="24">
        <f>IF(AND($L1762="",$M1762=""),"",IF($L1762&lt;&gt;"",INDEX(SCNormDate,$L1762),INDEX(LdgDateB,$M1762)))</f>
        <v/>
      </c>
      <c r="C1762" s="24">
        <f>IF($L1762&lt;&gt;"",INDEX(SCOp,$L1762),IF($M1762&lt;&gt;"","پرداخت بانکی",""))</f>
        <v/>
      </c>
      <c r="D1762" s="24">
        <f>IF($L1762&lt;&gt;"",IF(INDEX(SCDoc,$L1762)="","—",INDEX(SCDoc,$L1762)),IF($M1762&lt;&gt;"",INDEX(LdgBankB,$M1762),""))</f>
        <v/>
      </c>
      <c r="E1762" s="25">
        <f>IF($L1762&lt;&gt;"",IF(INDEX(SCCitrus,$L1762)&amp;INDEX(SCNotes,$L1762)="","",IF(INDEX(SCCitrus,$L1762)="","",INDEX(SCCitrus,$L1762))&amp;IF(INDEX(SCNotes,$L1762)="",""," — "&amp;INDEX(SCNotes,$L1762))),IF($M1762&lt;&gt;"",IF(INDEX(LdgNoteB,$M1762)="","—",INDEX(LdgNoteB,$M1762)),""))</f>
        <v/>
      </c>
      <c r="F1762" s="26">
        <f>IF($L1762&lt;&gt;"",IF(INDEX(SCNet,$L1762)=0,"",INDEX(SCNet,$L1762)),"")</f>
        <v/>
      </c>
      <c r="G1762" s="27">
        <f>IF($L1762&lt;&gt;"",IF(INDEX(SCOp,$L1762)="مرجوعی فروش","",IF(INDEX(SCAmount,$L1762)&lt;=0,"",INDEX(SCAmount,$L1762))),IF($M1762&lt;&gt;"",IF(INDEX(LdgWitB,$M1762)=0,"",INDEX(LdgWitB,$M1762)),""))</f>
        <v/>
      </c>
      <c r="H1762" s="27">
        <f>IF($L1762&lt;&gt;"",IF(INDEX(SCOp,$L1762)="مرجوعی فروش",IF(INDEX(SCAmount,$L1762)=0,"",-INDEX(SCAmount,$L1762)),""),IF($M1762&lt;&gt;"",IF(INDEX(LdgDepB,$M1762)=0,"",INDEX(LdgDepB,$M1762)),""))</f>
        <v/>
      </c>
      <c r="I1762" s="28">
        <f>IF($B1762="","",IF($I1761="",$C$10,$I1761)+IF($G1762="",0,$G1762)-IF($H1762="",0,$H1762))</f>
        <v/>
      </c>
      <c r="L1762">
        <f>IFERROR(MATCH($C$5&amp;"|"&amp;RIGHT("000000"&amp;1746,6),LdgRankKeyA,0),"")</f>
        <v/>
      </c>
      <c r="M1762">
        <f>IFERROR(MATCH($C$5&amp;"|"&amp;RIGHT("000000"&amp;1746,6),LdgRankKeyB,0),"")</f>
        <v/>
      </c>
    </row>
    <row r="1763">
      <c r="A1763" s="17" t="n">
        <v>1747</v>
      </c>
      <c r="B1763" s="18">
        <f>IF(AND($L1763="",$M1763=""),"",IF($L1763&lt;&gt;"",INDEX(SCNormDate,$L1763),INDEX(LdgDateB,$M1763)))</f>
        <v/>
      </c>
      <c r="C1763" s="18">
        <f>IF($L1763&lt;&gt;"",INDEX(SCOp,$L1763),IF($M1763&lt;&gt;"","پرداخت بانکی",""))</f>
        <v/>
      </c>
      <c r="D1763" s="18">
        <f>IF($L1763&lt;&gt;"",IF(INDEX(SCDoc,$L1763)="","—",INDEX(SCDoc,$L1763)),IF($M1763&lt;&gt;"",INDEX(LdgBankB,$M1763),""))</f>
        <v/>
      </c>
      <c r="E1763" s="19">
        <f>IF($L1763&lt;&gt;"",IF(INDEX(SCCitrus,$L1763)&amp;INDEX(SCNotes,$L1763)="","",IF(INDEX(SCCitrus,$L1763)="","",INDEX(SCCitrus,$L1763))&amp;IF(INDEX(SCNotes,$L1763)="",""," — "&amp;INDEX(SCNotes,$L1763))),IF($M1763&lt;&gt;"",IF(INDEX(LdgNoteB,$M1763)="","—",INDEX(LdgNoteB,$M1763)),""))</f>
        <v/>
      </c>
      <c r="F1763" s="20">
        <f>IF($L1763&lt;&gt;"",IF(INDEX(SCNet,$L1763)=0,"",INDEX(SCNet,$L1763)),"")</f>
        <v/>
      </c>
      <c r="G1763" s="21">
        <f>IF($L1763&lt;&gt;"",IF(INDEX(SCOp,$L1763)="مرجوعی فروش","",IF(INDEX(SCAmount,$L1763)&lt;=0,"",INDEX(SCAmount,$L1763))),IF($M1763&lt;&gt;"",IF(INDEX(LdgWitB,$M1763)=0,"",INDEX(LdgWitB,$M1763)),""))</f>
        <v/>
      </c>
      <c r="H1763" s="21">
        <f>IF($L1763&lt;&gt;"",IF(INDEX(SCOp,$L1763)="مرجوعی فروش",IF(INDEX(SCAmount,$L1763)=0,"",-INDEX(SCAmount,$L1763)),""),IF($M1763&lt;&gt;"",IF(INDEX(LdgDepB,$M1763)=0,"",INDEX(LdgDepB,$M1763)),""))</f>
        <v/>
      </c>
      <c r="I1763" s="22">
        <f>IF($B1763="","",IF($I1762="",$C$10,$I1762)+IF($G1763="",0,$G1763)-IF($H1763="",0,$H1763))</f>
        <v/>
      </c>
      <c r="L1763">
        <f>IFERROR(MATCH($C$5&amp;"|"&amp;RIGHT("000000"&amp;1747,6),LdgRankKeyA,0),"")</f>
        <v/>
      </c>
      <c r="M1763">
        <f>IFERROR(MATCH($C$5&amp;"|"&amp;RIGHT("000000"&amp;1747,6),LdgRankKeyB,0),"")</f>
        <v/>
      </c>
    </row>
    <row r="1764">
      <c r="A1764" s="23" t="n">
        <v>1748</v>
      </c>
      <c r="B1764" s="24">
        <f>IF(AND($L1764="",$M1764=""),"",IF($L1764&lt;&gt;"",INDEX(SCNormDate,$L1764),INDEX(LdgDateB,$M1764)))</f>
        <v/>
      </c>
      <c r="C1764" s="24">
        <f>IF($L1764&lt;&gt;"",INDEX(SCOp,$L1764),IF($M1764&lt;&gt;"","پرداخت بانکی",""))</f>
        <v/>
      </c>
      <c r="D1764" s="24">
        <f>IF($L1764&lt;&gt;"",IF(INDEX(SCDoc,$L1764)="","—",INDEX(SCDoc,$L1764)),IF($M1764&lt;&gt;"",INDEX(LdgBankB,$M1764),""))</f>
        <v/>
      </c>
      <c r="E1764" s="25">
        <f>IF($L1764&lt;&gt;"",IF(INDEX(SCCitrus,$L1764)&amp;INDEX(SCNotes,$L1764)="","",IF(INDEX(SCCitrus,$L1764)="","",INDEX(SCCitrus,$L1764))&amp;IF(INDEX(SCNotes,$L1764)="",""," — "&amp;INDEX(SCNotes,$L1764))),IF($M1764&lt;&gt;"",IF(INDEX(LdgNoteB,$M1764)="","—",INDEX(LdgNoteB,$M1764)),""))</f>
        <v/>
      </c>
      <c r="F1764" s="26">
        <f>IF($L1764&lt;&gt;"",IF(INDEX(SCNet,$L1764)=0,"",INDEX(SCNet,$L1764)),"")</f>
        <v/>
      </c>
      <c r="G1764" s="27">
        <f>IF($L1764&lt;&gt;"",IF(INDEX(SCOp,$L1764)="مرجوعی فروش","",IF(INDEX(SCAmount,$L1764)&lt;=0,"",INDEX(SCAmount,$L1764))),IF($M1764&lt;&gt;"",IF(INDEX(LdgWitB,$M1764)=0,"",INDEX(LdgWitB,$M1764)),""))</f>
        <v/>
      </c>
      <c r="H1764" s="27">
        <f>IF($L1764&lt;&gt;"",IF(INDEX(SCOp,$L1764)="مرجوعی فروش",IF(INDEX(SCAmount,$L1764)=0,"",-INDEX(SCAmount,$L1764)),""),IF($M1764&lt;&gt;"",IF(INDEX(LdgDepB,$M1764)=0,"",INDEX(LdgDepB,$M1764)),""))</f>
        <v/>
      </c>
      <c r="I1764" s="28">
        <f>IF($B1764="","",IF($I1763="",$C$10,$I1763)+IF($G1764="",0,$G1764)-IF($H1764="",0,$H1764))</f>
        <v/>
      </c>
      <c r="L1764">
        <f>IFERROR(MATCH($C$5&amp;"|"&amp;RIGHT("000000"&amp;1748,6),LdgRankKeyA,0),"")</f>
        <v/>
      </c>
      <c r="M1764">
        <f>IFERROR(MATCH($C$5&amp;"|"&amp;RIGHT("000000"&amp;1748,6),LdgRankKeyB,0),"")</f>
        <v/>
      </c>
    </row>
    <row r="1765">
      <c r="A1765" s="17" t="n">
        <v>1749</v>
      </c>
      <c r="B1765" s="18">
        <f>IF(AND($L1765="",$M1765=""),"",IF($L1765&lt;&gt;"",INDEX(SCNormDate,$L1765),INDEX(LdgDateB,$M1765)))</f>
        <v/>
      </c>
      <c r="C1765" s="18">
        <f>IF($L1765&lt;&gt;"",INDEX(SCOp,$L1765),IF($M1765&lt;&gt;"","پرداخت بانکی",""))</f>
        <v/>
      </c>
      <c r="D1765" s="18">
        <f>IF($L1765&lt;&gt;"",IF(INDEX(SCDoc,$L1765)="","—",INDEX(SCDoc,$L1765)),IF($M1765&lt;&gt;"",INDEX(LdgBankB,$M1765),""))</f>
        <v/>
      </c>
      <c r="E1765" s="19">
        <f>IF($L1765&lt;&gt;"",IF(INDEX(SCCitrus,$L1765)&amp;INDEX(SCNotes,$L1765)="","",IF(INDEX(SCCitrus,$L1765)="","",INDEX(SCCitrus,$L1765))&amp;IF(INDEX(SCNotes,$L1765)="",""," — "&amp;INDEX(SCNotes,$L1765))),IF($M1765&lt;&gt;"",IF(INDEX(LdgNoteB,$M1765)="","—",INDEX(LdgNoteB,$M1765)),""))</f>
        <v/>
      </c>
      <c r="F1765" s="20">
        <f>IF($L1765&lt;&gt;"",IF(INDEX(SCNet,$L1765)=0,"",INDEX(SCNet,$L1765)),"")</f>
        <v/>
      </c>
      <c r="G1765" s="21">
        <f>IF($L1765&lt;&gt;"",IF(INDEX(SCOp,$L1765)="مرجوعی فروش","",IF(INDEX(SCAmount,$L1765)&lt;=0,"",INDEX(SCAmount,$L1765))),IF($M1765&lt;&gt;"",IF(INDEX(LdgWitB,$M1765)=0,"",INDEX(LdgWitB,$M1765)),""))</f>
        <v/>
      </c>
      <c r="H1765" s="21">
        <f>IF($L1765&lt;&gt;"",IF(INDEX(SCOp,$L1765)="مرجوعی فروش",IF(INDEX(SCAmount,$L1765)=0,"",-INDEX(SCAmount,$L1765)),""),IF($M1765&lt;&gt;"",IF(INDEX(LdgDepB,$M1765)=0,"",INDEX(LdgDepB,$M1765)),""))</f>
        <v/>
      </c>
      <c r="I1765" s="22">
        <f>IF($B1765="","",IF($I1764="",$C$10,$I1764)+IF($G1765="",0,$G1765)-IF($H1765="",0,$H1765))</f>
        <v/>
      </c>
      <c r="L1765">
        <f>IFERROR(MATCH($C$5&amp;"|"&amp;RIGHT("000000"&amp;1749,6),LdgRankKeyA,0),"")</f>
        <v/>
      </c>
      <c r="M1765">
        <f>IFERROR(MATCH($C$5&amp;"|"&amp;RIGHT("000000"&amp;1749,6),LdgRankKeyB,0),"")</f>
        <v/>
      </c>
    </row>
    <row r="1766">
      <c r="A1766" s="23" t="n">
        <v>1750</v>
      </c>
      <c r="B1766" s="24">
        <f>IF(AND($L1766="",$M1766=""),"",IF($L1766&lt;&gt;"",INDEX(SCNormDate,$L1766),INDEX(LdgDateB,$M1766)))</f>
        <v/>
      </c>
      <c r="C1766" s="24">
        <f>IF($L1766&lt;&gt;"",INDEX(SCOp,$L1766),IF($M1766&lt;&gt;"","پرداخت بانکی",""))</f>
        <v/>
      </c>
      <c r="D1766" s="24">
        <f>IF($L1766&lt;&gt;"",IF(INDEX(SCDoc,$L1766)="","—",INDEX(SCDoc,$L1766)),IF($M1766&lt;&gt;"",INDEX(LdgBankB,$M1766),""))</f>
        <v/>
      </c>
      <c r="E1766" s="25">
        <f>IF($L1766&lt;&gt;"",IF(INDEX(SCCitrus,$L1766)&amp;INDEX(SCNotes,$L1766)="","",IF(INDEX(SCCitrus,$L1766)="","",INDEX(SCCitrus,$L1766))&amp;IF(INDEX(SCNotes,$L1766)="",""," — "&amp;INDEX(SCNotes,$L1766))),IF($M1766&lt;&gt;"",IF(INDEX(LdgNoteB,$M1766)="","—",INDEX(LdgNoteB,$M1766)),""))</f>
        <v/>
      </c>
      <c r="F1766" s="26">
        <f>IF($L1766&lt;&gt;"",IF(INDEX(SCNet,$L1766)=0,"",INDEX(SCNet,$L1766)),"")</f>
        <v/>
      </c>
      <c r="G1766" s="27">
        <f>IF($L1766&lt;&gt;"",IF(INDEX(SCOp,$L1766)="مرجوعی فروش","",IF(INDEX(SCAmount,$L1766)&lt;=0,"",INDEX(SCAmount,$L1766))),IF($M1766&lt;&gt;"",IF(INDEX(LdgWitB,$M1766)=0,"",INDEX(LdgWitB,$M1766)),""))</f>
        <v/>
      </c>
      <c r="H1766" s="27">
        <f>IF($L1766&lt;&gt;"",IF(INDEX(SCOp,$L1766)="مرجوعی فروش",IF(INDEX(SCAmount,$L1766)=0,"",-INDEX(SCAmount,$L1766)),""),IF($M1766&lt;&gt;"",IF(INDEX(LdgDepB,$M1766)=0,"",INDEX(LdgDepB,$M1766)),""))</f>
        <v/>
      </c>
      <c r="I1766" s="28">
        <f>IF($B1766="","",IF($I1765="",$C$10,$I1765)+IF($G1766="",0,$G1766)-IF($H1766="",0,$H1766))</f>
        <v/>
      </c>
      <c r="L1766">
        <f>IFERROR(MATCH($C$5&amp;"|"&amp;RIGHT("000000"&amp;1750,6),LdgRankKeyA,0),"")</f>
        <v/>
      </c>
      <c r="M1766">
        <f>IFERROR(MATCH($C$5&amp;"|"&amp;RIGHT("000000"&amp;1750,6),LdgRankKeyB,0),"")</f>
        <v/>
      </c>
    </row>
    <row r="1767">
      <c r="A1767" s="17" t="n">
        <v>1751</v>
      </c>
      <c r="B1767" s="18">
        <f>IF(AND($L1767="",$M1767=""),"",IF($L1767&lt;&gt;"",INDEX(SCNormDate,$L1767),INDEX(LdgDateB,$M1767)))</f>
        <v/>
      </c>
      <c r="C1767" s="18">
        <f>IF($L1767&lt;&gt;"",INDEX(SCOp,$L1767),IF($M1767&lt;&gt;"","پرداخت بانکی",""))</f>
        <v/>
      </c>
      <c r="D1767" s="18">
        <f>IF($L1767&lt;&gt;"",IF(INDEX(SCDoc,$L1767)="","—",INDEX(SCDoc,$L1767)),IF($M1767&lt;&gt;"",INDEX(LdgBankB,$M1767),""))</f>
        <v/>
      </c>
      <c r="E1767" s="19">
        <f>IF($L1767&lt;&gt;"",IF(INDEX(SCCitrus,$L1767)&amp;INDEX(SCNotes,$L1767)="","",IF(INDEX(SCCitrus,$L1767)="","",INDEX(SCCitrus,$L1767))&amp;IF(INDEX(SCNotes,$L1767)="",""," — "&amp;INDEX(SCNotes,$L1767))),IF($M1767&lt;&gt;"",IF(INDEX(LdgNoteB,$M1767)="","—",INDEX(LdgNoteB,$M1767)),""))</f>
        <v/>
      </c>
      <c r="F1767" s="20">
        <f>IF($L1767&lt;&gt;"",IF(INDEX(SCNet,$L1767)=0,"",INDEX(SCNet,$L1767)),"")</f>
        <v/>
      </c>
      <c r="G1767" s="21">
        <f>IF($L1767&lt;&gt;"",IF(INDEX(SCOp,$L1767)="مرجوعی فروش","",IF(INDEX(SCAmount,$L1767)&lt;=0,"",INDEX(SCAmount,$L1767))),IF($M1767&lt;&gt;"",IF(INDEX(LdgWitB,$M1767)=0,"",INDEX(LdgWitB,$M1767)),""))</f>
        <v/>
      </c>
      <c r="H1767" s="21">
        <f>IF($L1767&lt;&gt;"",IF(INDEX(SCOp,$L1767)="مرجوعی فروش",IF(INDEX(SCAmount,$L1767)=0,"",-INDEX(SCAmount,$L1767)),""),IF($M1767&lt;&gt;"",IF(INDEX(LdgDepB,$M1767)=0,"",INDEX(LdgDepB,$M1767)),""))</f>
        <v/>
      </c>
      <c r="I1767" s="22">
        <f>IF($B1767="","",IF($I1766="",$C$10,$I1766)+IF($G1767="",0,$G1767)-IF($H1767="",0,$H1767))</f>
        <v/>
      </c>
      <c r="L1767">
        <f>IFERROR(MATCH($C$5&amp;"|"&amp;RIGHT("000000"&amp;1751,6),LdgRankKeyA,0),"")</f>
        <v/>
      </c>
      <c r="M1767">
        <f>IFERROR(MATCH($C$5&amp;"|"&amp;RIGHT("000000"&amp;1751,6),LdgRankKeyB,0),"")</f>
        <v/>
      </c>
    </row>
    <row r="1768">
      <c r="A1768" s="23" t="n">
        <v>1752</v>
      </c>
      <c r="B1768" s="24">
        <f>IF(AND($L1768="",$M1768=""),"",IF($L1768&lt;&gt;"",INDEX(SCNormDate,$L1768),INDEX(LdgDateB,$M1768)))</f>
        <v/>
      </c>
      <c r="C1768" s="24">
        <f>IF($L1768&lt;&gt;"",INDEX(SCOp,$L1768),IF($M1768&lt;&gt;"","پرداخت بانکی",""))</f>
        <v/>
      </c>
      <c r="D1768" s="24">
        <f>IF($L1768&lt;&gt;"",IF(INDEX(SCDoc,$L1768)="","—",INDEX(SCDoc,$L1768)),IF($M1768&lt;&gt;"",INDEX(LdgBankB,$M1768),""))</f>
        <v/>
      </c>
      <c r="E1768" s="25">
        <f>IF($L1768&lt;&gt;"",IF(INDEX(SCCitrus,$L1768)&amp;INDEX(SCNotes,$L1768)="","",IF(INDEX(SCCitrus,$L1768)="","",INDEX(SCCitrus,$L1768))&amp;IF(INDEX(SCNotes,$L1768)="",""," — "&amp;INDEX(SCNotes,$L1768))),IF($M1768&lt;&gt;"",IF(INDEX(LdgNoteB,$M1768)="","—",INDEX(LdgNoteB,$M1768)),""))</f>
        <v/>
      </c>
      <c r="F1768" s="26">
        <f>IF($L1768&lt;&gt;"",IF(INDEX(SCNet,$L1768)=0,"",INDEX(SCNet,$L1768)),"")</f>
        <v/>
      </c>
      <c r="G1768" s="27">
        <f>IF($L1768&lt;&gt;"",IF(INDEX(SCOp,$L1768)="مرجوعی فروش","",IF(INDEX(SCAmount,$L1768)&lt;=0,"",INDEX(SCAmount,$L1768))),IF($M1768&lt;&gt;"",IF(INDEX(LdgWitB,$M1768)=0,"",INDEX(LdgWitB,$M1768)),""))</f>
        <v/>
      </c>
      <c r="H1768" s="27">
        <f>IF($L1768&lt;&gt;"",IF(INDEX(SCOp,$L1768)="مرجوعی فروش",IF(INDEX(SCAmount,$L1768)=0,"",-INDEX(SCAmount,$L1768)),""),IF($M1768&lt;&gt;"",IF(INDEX(LdgDepB,$M1768)=0,"",INDEX(LdgDepB,$M1768)),""))</f>
        <v/>
      </c>
      <c r="I1768" s="28">
        <f>IF($B1768="","",IF($I1767="",$C$10,$I1767)+IF($G1768="",0,$G1768)-IF($H1768="",0,$H1768))</f>
        <v/>
      </c>
      <c r="L1768">
        <f>IFERROR(MATCH($C$5&amp;"|"&amp;RIGHT("000000"&amp;1752,6),LdgRankKeyA,0),"")</f>
        <v/>
      </c>
      <c r="M1768">
        <f>IFERROR(MATCH($C$5&amp;"|"&amp;RIGHT("000000"&amp;1752,6),LdgRankKeyB,0),"")</f>
        <v/>
      </c>
    </row>
    <row r="1769">
      <c r="A1769" s="17" t="n">
        <v>1753</v>
      </c>
      <c r="B1769" s="18">
        <f>IF(AND($L1769="",$M1769=""),"",IF($L1769&lt;&gt;"",INDEX(SCNormDate,$L1769),INDEX(LdgDateB,$M1769)))</f>
        <v/>
      </c>
      <c r="C1769" s="18">
        <f>IF($L1769&lt;&gt;"",INDEX(SCOp,$L1769),IF($M1769&lt;&gt;"","پرداخت بانکی",""))</f>
        <v/>
      </c>
      <c r="D1769" s="18">
        <f>IF($L1769&lt;&gt;"",IF(INDEX(SCDoc,$L1769)="","—",INDEX(SCDoc,$L1769)),IF($M1769&lt;&gt;"",INDEX(LdgBankB,$M1769),""))</f>
        <v/>
      </c>
      <c r="E1769" s="19">
        <f>IF($L1769&lt;&gt;"",IF(INDEX(SCCitrus,$L1769)&amp;INDEX(SCNotes,$L1769)="","",IF(INDEX(SCCitrus,$L1769)="","",INDEX(SCCitrus,$L1769))&amp;IF(INDEX(SCNotes,$L1769)="",""," — "&amp;INDEX(SCNotes,$L1769))),IF($M1769&lt;&gt;"",IF(INDEX(LdgNoteB,$M1769)="","—",INDEX(LdgNoteB,$M1769)),""))</f>
        <v/>
      </c>
      <c r="F1769" s="20">
        <f>IF($L1769&lt;&gt;"",IF(INDEX(SCNet,$L1769)=0,"",INDEX(SCNet,$L1769)),"")</f>
        <v/>
      </c>
      <c r="G1769" s="21">
        <f>IF($L1769&lt;&gt;"",IF(INDEX(SCOp,$L1769)="مرجوعی فروش","",IF(INDEX(SCAmount,$L1769)&lt;=0,"",INDEX(SCAmount,$L1769))),IF($M1769&lt;&gt;"",IF(INDEX(LdgWitB,$M1769)=0,"",INDEX(LdgWitB,$M1769)),""))</f>
        <v/>
      </c>
      <c r="H1769" s="21">
        <f>IF($L1769&lt;&gt;"",IF(INDEX(SCOp,$L1769)="مرجوعی فروش",IF(INDEX(SCAmount,$L1769)=0,"",-INDEX(SCAmount,$L1769)),""),IF($M1769&lt;&gt;"",IF(INDEX(LdgDepB,$M1769)=0,"",INDEX(LdgDepB,$M1769)),""))</f>
        <v/>
      </c>
      <c r="I1769" s="22">
        <f>IF($B1769="","",IF($I1768="",$C$10,$I1768)+IF($G1769="",0,$G1769)-IF($H1769="",0,$H1769))</f>
        <v/>
      </c>
      <c r="L1769">
        <f>IFERROR(MATCH($C$5&amp;"|"&amp;RIGHT("000000"&amp;1753,6),LdgRankKeyA,0),"")</f>
        <v/>
      </c>
      <c r="M1769">
        <f>IFERROR(MATCH($C$5&amp;"|"&amp;RIGHT("000000"&amp;1753,6),LdgRankKeyB,0),"")</f>
        <v/>
      </c>
    </row>
    <row r="1770">
      <c r="A1770" s="23" t="n">
        <v>1754</v>
      </c>
      <c r="B1770" s="24">
        <f>IF(AND($L1770="",$M1770=""),"",IF($L1770&lt;&gt;"",INDEX(SCNormDate,$L1770),INDEX(LdgDateB,$M1770)))</f>
        <v/>
      </c>
      <c r="C1770" s="24">
        <f>IF($L1770&lt;&gt;"",INDEX(SCOp,$L1770),IF($M1770&lt;&gt;"","پرداخت بانکی",""))</f>
        <v/>
      </c>
      <c r="D1770" s="24">
        <f>IF($L1770&lt;&gt;"",IF(INDEX(SCDoc,$L1770)="","—",INDEX(SCDoc,$L1770)),IF($M1770&lt;&gt;"",INDEX(LdgBankB,$M1770),""))</f>
        <v/>
      </c>
      <c r="E1770" s="25">
        <f>IF($L1770&lt;&gt;"",IF(INDEX(SCCitrus,$L1770)&amp;INDEX(SCNotes,$L1770)="","",IF(INDEX(SCCitrus,$L1770)="","",INDEX(SCCitrus,$L1770))&amp;IF(INDEX(SCNotes,$L1770)="",""," — "&amp;INDEX(SCNotes,$L1770))),IF($M1770&lt;&gt;"",IF(INDEX(LdgNoteB,$M1770)="","—",INDEX(LdgNoteB,$M1770)),""))</f>
        <v/>
      </c>
      <c r="F1770" s="26">
        <f>IF($L1770&lt;&gt;"",IF(INDEX(SCNet,$L1770)=0,"",INDEX(SCNet,$L1770)),"")</f>
        <v/>
      </c>
      <c r="G1770" s="27">
        <f>IF($L1770&lt;&gt;"",IF(INDEX(SCOp,$L1770)="مرجوعی فروش","",IF(INDEX(SCAmount,$L1770)&lt;=0,"",INDEX(SCAmount,$L1770))),IF($M1770&lt;&gt;"",IF(INDEX(LdgWitB,$M1770)=0,"",INDEX(LdgWitB,$M1770)),""))</f>
        <v/>
      </c>
      <c r="H1770" s="27">
        <f>IF($L1770&lt;&gt;"",IF(INDEX(SCOp,$L1770)="مرجوعی فروش",IF(INDEX(SCAmount,$L1770)=0,"",-INDEX(SCAmount,$L1770)),""),IF($M1770&lt;&gt;"",IF(INDEX(LdgDepB,$M1770)=0,"",INDEX(LdgDepB,$M1770)),""))</f>
        <v/>
      </c>
      <c r="I1770" s="28">
        <f>IF($B1770="","",IF($I1769="",$C$10,$I1769)+IF($G1770="",0,$G1770)-IF($H1770="",0,$H1770))</f>
        <v/>
      </c>
      <c r="L1770">
        <f>IFERROR(MATCH($C$5&amp;"|"&amp;RIGHT("000000"&amp;1754,6),LdgRankKeyA,0),"")</f>
        <v/>
      </c>
      <c r="M1770">
        <f>IFERROR(MATCH($C$5&amp;"|"&amp;RIGHT("000000"&amp;1754,6),LdgRankKeyB,0),"")</f>
        <v/>
      </c>
    </row>
    <row r="1771">
      <c r="A1771" s="17" t="n">
        <v>1755</v>
      </c>
      <c r="B1771" s="18">
        <f>IF(AND($L1771="",$M1771=""),"",IF($L1771&lt;&gt;"",INDEX(SCNormDate,$L1771),INDEX(LdgDateB,$M1771)))</f>
        <v/>
      </c>
      <c r="C1771" s="18">
        <f>IF($L1771&lt;&gt;"",INDEX(SCOp,$L1771),IF($M1771&lt;&gt;"","پرداخت بانکی",""))</f>
        <v/>
      </c>
      <c r="D1771" s="18">
        <f>IF($L1771&lt;&gt;"",IF(INDEX(SCDoc,$L1771)="","—",INDEX(SCDoc,$L1771)),IF($M1771&lt;&gt;"",INDEX(LdgBankB,$M1771),""))</f>
        <v/>
      </c>
      <c r="E1771" s="19">
        <f>IF($L1771&lt;&gt;"",IF(INDEX(SCCitrus,$L1771)&amp;INDEX(SCNotes,$L1771)="","",IF(INDEX(SCCitrus,$L1771)="","",INDEX(SCCitrus,$L1771))&amp;IF(INDEX(SCNotes,$L1771)="",""," — "&amp;INDEX(SCNotes,$L1771))),IF($M1771&lt;&gt;"",IF(INDEX(LdgNoteB,$M1771)="","—",INDEX(LdgNoteB,$M1771)),""))</f>
        <v/>
      </c>
      <c r="F1771" s="20">
        <f>IF($L1771&lt;&gt;"",IF(INDEX(SCNet,$L1771)=0,"",INDEX(SCNet,$L1771)),"")</f>
        <v/>
      </c>
      <c r="G1771" s="21">
        <f>IF($L1771&lt;&gt;"",IF(INDEX(SCOp,$L1771)="مرجوعی فروش","",IF(INDEX(SCAmount,$L1771)&lt;=0,"",INDEX(SCAmount,$L1771))),IF($M1771&lt;&gt;"",IF(INDEX(LdgWitB,$M1771)=0,"",INDEX(LdgWitB,$M1771)),""))</f>
        <v/>
      </c>
      <c r="H1771" s="21">
        <f>IF($L1771&lt;&gt;"",IF(INDEX(SCOp,$L1771)="مرجوعی فروش",IF(INDEX(SCAmount,$L1771)=0,"",-INDEX(SCAmount,$L1771)),""),IF($M1771&lt;&gt;"",IF(INDEX(LdgDepB,$M1771)=0,"",INDEX(LdgDepB,$M1771)),""))</f>
        <v/>
      </c>
      <c r="I1771" s="22">
        <f>IF($B1771="","",IF($I1770="",$C$10,$I1770)+IF($G1771="",0,$G1771)-IF($H1771="",0,$H1771))</f>
        <v/>
      </c>
      <c r="L1771">
        <f>IFERROR(MATCH($C$5&amp;"|"&amp;RIGHT("000000"&amp;1755,6),LdgRankKeyA,0),"")</f>
        <v/>
      </c>
      <c r="M1771">
        <f>IFERROR(MATCH($C$5&amp;"|"&amp;RIGHT("000000"&amp;1755,6),LdgRankKeyB,0),"")</f>
        <v/>
      </c>
    </row>
    <row r="1772">
      <c r="A1772" s="23" t="n">
        <v>1756</v>
      </c>
      <c r="B1772" s="24">
        <f>IF(AND($L1772="",$M1772=""),"",IF($L1772&lt;&gt;"",INDEX(SCNormDate,$L1772),INDEX(LdgDateB,$M1772)))</f>
        <v/>
      </c>
      <c r="C1772" s="24">
        <f>IF($L1772&lt;&gt;"",INDEX(SCOp,$L1772),IF($M1772&lt;&gt;"","پرداخت بانکی",""))</f>
        <v/>
      </c>
      <c r="D1772" s="24">
        <f>IF($L1772&lt;&gt;"",IF(INDEX(SCDoc,$L1772)="","—",INDEX(SCDoc,$L1772)),IF($M1772&lt;&gt;"",INDEX(LdgBankB,$M1772),""))</f>
        <v/>
      </c>
      <c r="E1772" s="25">
        <f>IF($L1772&lt;&gt;"",IF(INDEX(SCCitrus,$L1772)&amp;INDEX(SCNotes,$L1772)="","",IF(INDEX(SCCitrus,$L1772)="","",INDEX(SCCitrus,$L1772))&amp;IF(INDEX(SCNotes,$L1772)="",""," — "&amp;INDEX(SCNotes,$L1772))),IF($M1772&lt;&gt;"",IF(INDEX(LdgNoteB,$M1772)="","—",INDEX(LdgNoteB,$M1772)),""))</f>
        <v/>
      </c>
      <c r="F1772" s="26">
        <f>IF($L1772&lt;&gt;"",IF(INDEX(SCNet,$L1772)=0,"",INDEX(SCNet,$L1772)),"")</f>
        <v/>
      </c>
      <c r="G1772" s="27">
        <f>IF($L1772&lt;&gt;"",IF(INDEX(SCOp,$L1772)="مرجوعی فروش","",IF(INDEX(SCAmount,$L1772)&lt;=0,"",INDEX(SCAmount,$L1772))),IF($M1772&lt;&gt;"",IF(INDEX(LdgWitB,$M1772)=0,"",INDEX(LdgWitB,$M1772)),""))</f>
        <v/>
      </c>
      <c r="H1772" s="27">
        <f>IF($L1772&lt;&gt;"",IF(INDEX(SCOp,$L1772)="مرجوعی فروش",IF(INDEX(SCAmount,$L1772)=0,"",-INDEX(SCAmount,$L1772)),""),IF($M1772&lt;&gt;"",IF(INDEX(LdgDepB,$M1772)=0,"",INDEX(LdgDepB,$M1772)),""))</f>
        <v/>
      </c>
      <c r="I1772" s="28">
        <f>IF($B1772="","",IF($I1771="",$C$10,$I1771)+IF($G1772="",0,$G1772)-IF($H1772="",0,$H1772))</f>
        <v/>
      </c>
      <c r="L1772">
        <f>IFERROR(MATCH($C$5&amp;"|"&amp;RIGHT("000000"&amp;1756,6),LdgRankKeyA,0),"")</f>
        <v/>
      </c>
      <c r="M1772">
        <f>IFERROR(MATCH($C$5&amp;"|"&amp;RIGHT("000000"&amp;1756,6),LdgRankKeyB,0),"")</f>
        <v/>
      </c>
    </row>
    <row r="1773">
      <c r="A1773" s="17" t="n">
        <v>1757</v>
      </c>
      <c r="B1773" s="18">
        <f>IF(AND($L1773="",$M1773=""),"",IF($L1773&lt;&gt;"",INDEX(SCNormDate,$L1773),INDEX(LdgDateB,$M1773)))</f>
        <v/>
      </c>
      <c r="C1773" s="18">
        <f>IF($L1773&lt;&gt;"",INDEX(SCOp,$L1773),IF($M1773&lt;&gt;"","پرداخت بانکی",""))</f>
        <v/>
      </c>
      <c r="D1773" s="18">
        <f>IF($L1773&lt;&gt;"",IF(INDEX(SCDoc,$L1773)="","—",INDEX(SCDoc,$L1773)),IF($M1773&lt;&gt;"",INDEX(LdgBankB,$M1773),""))</f>
        <v/>
      </c>
      <c r="E1773" s="19">
        <f>IF($L1773&lt;&gt;"",IF(INDEX(SCCitrus,$L1773)&amp;INDEX(SCNotes,$L1773)="","",IF(INDEX(SCCitrus,$L1773)="","",INDEX(SCCitrus,$L1773))&amp;IF(INDEX(SCNotes,$L1773)="",""," — "&amp;INDEX(SCNotes,$L1773))),IF($M1773&lt;&gt;"",IF(INDEX(LdgNoteB,$M1773)="","—",INDEX(LdgNoteB,$M1773)),""))</f>
        <v/>
      </c>
      <c r="F1773" s="20">
        <f>IF($L1773&lt;&gt;"",IF(INDEX(SCNet,$L1773)=0,"",INDEX(SCNet,$L1773)),"")</f>
        <v/>
      </c>
      <c r="G1773" s="21">
        <f>IF($L1773&lt;&gt;"",IF(INDEX(SCOp,$L1773)="مرجوعی فروش","",IF(INDEX(SCAmount,$L1773)&lt;=0,"",INDEX(SCAmount,$L1773))),IF($M1773&lt;&gt;"",IF(INDEX(LdgWitB,$M1773)=0,"",INDEX(LdgWitB,$M1773)),""))</f>
        <v/>
      </c>
      <c r="H1773" s="21">
        <f>IF($L1773&lt;&gt;"",IF(INDEX(SCOp,$L1773)="مرجوعی فروش",IF(INDEX(SCAmount,$L1773)=0,"",-INDEX(SCAmount,$L1773)),""),IF($M1773&lt;&gt;"",IF(INDEX(LdgDepB,$M1773)=0,"",INDEX(LdgDepB,$M1773)),""))</f>
        <v/>
      </c>
      <c r="I1773" s="22">
        <f>IF($B1773="","",IF($I1772="",$C$10,$I1772)+IF($G1773="",0,$G1773)-IF($H1773="",0,$H1773))</f>
        <v/>
      </c>
      <c r="L1773">
        <f>IFERROR(MATCH($C$5&amp;"|"&amp;RIGHT("000000"&amp;1757,6),LdgRankKeyA,0),"")</f>
        <v/>
      </c>
      <c r="M1773">
        <f>IFERROR(MATCH($C$5&amp;"|"&amp;RIGHT("000000"&amp;1757,6),LdgRankKeyB,0),"")</f>
        <v/>
      </c>
    </row>
    <row r="1774">
      <c r="A1774" s="23" t="n">
        <v>1758</v>
      </c>
      <c r="B1774" s="24">
        <f>IF(AND($L1774="",$M1774=""),"",IF($L1774&lt;&gt;"",INDEX(SCNormDate,$L1774),INDEX(LdgDateB,$M1774)))</f>
        <v/>
      </c>
      <c r="C1774" s="24">
        <f>IF($L1774&lt;&gt;"",INDEX(SCOp,$L1774),IF($M1774&lt;&gt;"","پرداخت بانکی",""))</f>
        <v/>
      </c>
      <c r="D1774" s="24">
        <f>IF($L1774&lt;&gt;"",IF(INDEX(SCDoc,$L1774)="","—",INDEX(SCDoc,$L1774)),IF($M1774&lt;&gt;"",INDEX(LdgBankB,$M1774),""))</f>
        <v/>
      </c>
      <c r="E1774" s="25">
        <f>IF($L1774&lt;&gt;"",IF(INDEX(SCCitrus,$L1774)&amp;INDEX(SCNotes,$L1774)="","",IF(INDEX(SCCitrus,$L1774)="","",INDEX(SCCitrus,$L1774))&amp;IF(INDEX(SCNotes,$L1774)="",""," — "&amp;INDEX(SCNotes,$L1774))),IF($M1774&lt;&gt;"",IF(INDEX(LdgNoteB,$M1774)="","—",INDEX(LdgNoteB,$M1774)),""))</f>
        <v/>
      </c>
      <c r="F1774" s="26">
        <f>IF($L1774&lt;&gt;"",IF(INDEX(SCNet,$L1774)=0,"",INDEX(SCNet,$L1774)),"")</f>
        <v/>
      </c>
      <c r="G1774" s="27">
        <f>IF($L1774&lt;&gt;"",IF(INDEX(SCOp,$L1774)="مرجوعی فروش","",IF(INDEX(SCAmount,$L1774)&lt;=0,"",INDEX(SCAmount,$L1774))),IF($M1774&lt;&gt;"",IF(INDEX(LdgWitB,$M1774)=0,"",INDEX(LdgWitB,$M1774)),""))</f>
        <v/>
      </c>
      <c r="H1774" s="27">
        <f>IF($L1774&lt;&gt;"",IF(INDEX(SCOp,$L1774)="مرجوعی فروش",IF(INDEX(SCAmount,$L1774)=0,"",-INDEX(SCAmount,$L1774)),""),IF($M1774&lt;&gt;"",IF(INDEX(LdgDepB,$M1774)=0,"",INDEX(LdgDepB,$M1774)),""))</f>
        <v/>
      </c>
      <c r="I1774" s="28">
        <f>IF($B1774="","",IF($I1773="",$C$10,$I1773)+IF($G1774="",0,$G1774)-IF($H1774="",0,$H1774))</f>
        <v/>
      </c>
      <c r="L1774">
        <f>IFERROR(MATCH($C$5&amp;"|"&amp;RIGHT("000000"&amp;1758,6),LdgRankKeyA,0),"")</f>
        <v/>
      </c>
      <c r="M1774">
        <f>IFERROR(MATCH($C$5&amp;"|"&amp;RIGHT("000000"&amp;1758,6),LdgRankKeyB,0),"")</f>
        <v/>
      </c>
    </row>
    <row r="1775">
      <c r="A1775" s="17" t="n">
        <v>1759</v>
      </c>
      <c r="B1775" s="18">
        <f>IF(AND($L1775="",$M1775=""),"",IF($L1775&lt;&gt;"",INDEX(SCNormDate,$L1775),INDEX(LdgDateB,$M1775)))</f>
        <v/>
      </c>
      <c r="C1775" s="18">
        <f>IF($L1775&lt;&gt;"",INDEX(SCOp,$L1775),IF($M1775&lt;&gt;"","پرداخت بانکی",""))</f>
        <v/>
      </c>
      <c r="D1775" s="18">
        <f>IF($L1775&lt;&gt;"",IF(INDEX(SCDoc,$L1775)="","—",INDEX(SCDoc,$L1775)),IF($M1775&lt;&gt;"",INDEX(LdgBankB,$M1775),""))</f>
        <v/>
      </c>
      <c r="E1775" s="19">
        <f>IF($L1775&lt;&gt;"",IF(INDEX(SCCitrus,$L1775)&amp;INDEX(SCNotes,$L1775)="","",IF(INDEX(SCCitrus,$L1775)="","",INDEX(SCCitrus,$L1775))&amp;IF(INDEX(SCNotes,$L1775)="",""," — "&amp;INDEX(SCNotes,$L1775))),IF($M1775&lt;&gt;"",IF(INDEX(LdgNoteB,$M1775)="","—",INDEX(LdgNoteB,$M1775)),""))</f>
        <v/>
      </c>
      <c r="F1775" s="20">
        <f>IF($L1775&lt;&gt;"",IF(INDEX(SCNet,$L1775)=0,"",INDEX(SCNet,$L1775)),"")</f>
        <v/>
      </c>
      <c r="G1775" s="21">
        <f>IF($L1775&lt;&gt;"",IF(INDEX(SCOp,$L1775)="مرجوعی فروش","",IF(INDEX(SCAmount,$L1775)&lt;=0,"",INDEX(SCAmount,$L1775))),IF($M1775&lt;&gt;"",IF(INDEX(LdgWitB,$M1775)=0,"",INDEX(LdgWitB,$M1775)),""))</f>
        <v/>
      </c>
      <c r="H1775" s="21">
        <f>IF($L1775&lt;&gt;"",IF(INDEX(SCOp,$L1775)="مرجوعی فروش",IF(INDEX(SCAmount,$L1775)=0,"",-INDEX(SCAmount,$L1775)),""),IF($M1775&lt;&gt;"",IF(INDEX(LdgDepB,$M1775)=0,"",INDEX(LdgDepB,$M1775)),""))</f>
        <v/>
      </c>
      <c r="I1775" s="22">
        <f>IF($B1775="","",IF($I1774="",$C$10,$I1774)+IF($G1775="",0,$G1775)-IF($H1775="",0,$H1775))</f>
        <v/>
      </c>
      <c r="L1775">
        <f>IFERROR(MATCH($C$5&amp;"|"&amp;RIGHT("000000"&amp;1759,6),LdgRankKeyA,0),"")</f>
        <v/>
      </c>
      <c r="M1775">
        <f>IFERROR(MATCH($C$5&amp;"|"&amp;RIGHT("000000"&amp;1759,6),LdgRankKeyB,0),"")</f>
        <v/>
      </c>
    </row>
    <row r="1776">
      <c r="A1776" s="23" t="n">
        <v>1760</v>
      </c>
      <c r="B1776" s="24">
        <f>IF(AND($L1776="",$M1776=""),"",IF($L1776&lt;&gt;"",INDEX(SCNormDate,$L1776),INDEX(LdgDateB,$M1776)))</f>
        <v/>
      </c>
      <c r="C1776" s="24">
        <f>IF($L1776&lt;&gt;"",INDEX(SCOp,$L1776),IF($M1776&lt;&gt;"","پرداخت بانکی",""))</f>
        <v/>
      </c>
      <c r="D1776" s="24">
        <f>IF($L1776&lt;&gt;"",IF(INDEX(SCDoc,$L1776)="","—",INDEX(SCDoc,$L1776)),IF($M1776&lt;&gt;"",INDEX(LdgBankB,$M1776),""))</f>
        <v/>
      </c>
      <c r="E1776" s="25">
        <f>IF($L1776&lt;&gt;"",IF(INDEX(SCCitrus,$L1776)&amp;INDEX(SCNotes,$L1776)="","",IF(INDEX(SCCitrus,$L1776)="","",INDEX(SCCitrus,$L1776))&amp;IF(INDEX(SCNotes,$L1776)="",""," — "&amp;INDEX(SCNotes,$L1776))),IF($M1776&lt;&gt;"",IF(INDEX(LdgNoteB,$M1776)="","—",INDEX(LdgNoteB,$M1776)),""))</f>
        <v/>
      </c>
      <c r="F1776" s="26">
        <f>IF($L1776&lt;&gt;"",IF(INDEX(SCNet,$L1776)=0,"",INDEX(SCNet,$L1776)),"")</f>
        <v/>
      </c>
      <c r="G1776" s="27">
        <f>IF($L1776&lt;&gt;"",IF(INDEX(SCOp,$L1776)="مرجوعی فروش","",IF(INDEX(SCAmount,$L1776)&lt;=0,"",INDEX(SCAmount,$L1776))),IF($M1776&lt;&gt;"",IF(INDEX(LdgWitB,$M1776)=0,"",INDEX(LdgWitB,$M1776)),""))</f>
        <v/>
      </c>
      <c r="H1776" s="27">
        <f>IF($L1776&lt;&gt;"",IF(INDEX(SCOp,$L1776)="مرجوعی فروش",IF(INDEX(SCAmount,$L1776)=0,"",-INDEX(SCAmount,$L1776)),""),IF($M1776&lt;&gt;"",IF(INDEX(LdgDepB,$M1776)=0,"",INDEX(LdgDepB,$M1776)),""))</f>
        <v/>
      </c>
      <c r="I1776" s="28">
        <f>IF($B1776="","",IF($I1775="",$C$10,$I1775)+IF($G1776="",0,$G1776)-IF($H1776="",0,$H1776))</f>
        <v/>
      </c>
      <c r="L1776">
        <f>IFERROR(MATCH($C$5&amp;"|"&amp;RIGHT("000000"&amp;1760,6),LdgRankKeyA,0),"")</f>
        <v/>
      </c>
      <c r="M1776">
        <f>IFERROR(MATCH($C$5&amp;"|"&amp;RIGHT("000000"&amp;1760,6),LdgRankKeyB,0),"")</f>
        <v/>
      </c>
    </row>
    <row r="1777">
      <c r="A1777" s="17" t="n">
        <v>1761</v>
      </c>
      <c r="B1777" s="18">
        <f>IF(AND($L1777="",$M1777=""),"",IF($L1777&lt;&gt;"",INDEX(SCNormDate,$L1777),INDEX(LdgDateB,$M1777)))</f>
        <v/>
      </c>
      <c r="C1777" s="18">
        <f>IF($L1777&lt;&gt;"",INDEX(SCOp,$L1777),IF($M1777&lt;&gt;"","پرداخت بانکی",""))</f>
        <v/>
      </c>
      <c r="D1777" s="18">
        <f>IF($L1777&lt;&gt;"",IF(INDEX(SCDoc,$L1777)="","—",INDEX(SCDoc,$L1777)),IF($M1777&lt;&gt;"",INDEX(LdgBankB,$M1777),""))</f>
        <v/>
      </c>
      <c r="E1777" s="19">
        <f>IF($L1777&lt;&gt;"",IF(INDEX(SCCitrus,$L1777)&amp;INDEX(SCNotes,$L1777)="","",IF(INDEX(SCCitrus,$L1777)="","",INDEX(SCCitrus,$L1777))&amp;IF(INDEX(SCNotes,$L1777)="",""," — "&amp;INDEX(SCNotes,$L1777))),IF($M1777&lt;&gt;"",IF(INDEX(LdgNoteB,$M1777)="","—",INDEX(LdgNoteB,$M1777)),""))</f>
        <v/>
      </c>
      <c r="F1777" s="20">
        <f>IF($L1777&lt;&gt;"",IF(INDEX(SCNet,$L1777)=0,"",INDEX(SCNet,$L1777)),"")</f>
        <v/>
      </c>
      <c r="G1777" s="21">
        <f>IF($L1777&lt;&gt;"",IF(INDEX(SCOp,$L1777)="مرجوعی فروش","",IF(INDEX(SCAmount,$L1777)&lt;=0,"",INDEX(SCAmount,$L1777))),IF($M1777&lt;&gt;"",IF(INDEX(LdgWitB,$M1777)=0,"",INDEX(LdgWitB,$M1777)),""))</f>
        <v/>
      </c>
      <c r="H1777" s="21">
        <f>IF($L1777&lt;&gt;"",IF(INDEX(SCOp,$L1777)="مرجوعی فروش",IF(INDEX(SCAmount,$L1777)=0,"",-INDEX(SCAmount,$L1777)),""),IF($M1777&lt;&gt;"",IF(INDEX(LdgDepB,$M1777)=0,"",INDEX(LdgDepB,$M1777)),""))</f>
        <v/>
      </c>
      <c r="I1777" s="22">
        <f>IF($B1777="","",IF($I1776="",$C$10,$I1776)+IF($G1777="",0,$G1777)-IF($H1777="",0,$H1777))</f>
        <v/>
      </c>
      <c r="L1777">
        <f>IFERROR(MATCH($C$5&amp;"|"&amp;RIGHT("000000"&amp;1761,6),LdgRankKeyA,0),"")</f>
        <v/>
      </c>
      <c r="M1777">
        <f>IFERROR(MATCH($C$5&amp;"|"&amp;RIGHT("000000"&amp;1761,6),LdgRankKeyB,0),"")</f>
        <v/>
      </c>
    </row>
    <row r="1778">
      <c r="A1778" s="23" t="n">
        <v>1762</v>
      </c>
      <c r="B1778" s="24">
        <f>IF(AND($L1778="",$M1778=""),"",IF($L1778&lt;&gt;"",INDEX(SCNormDate,$L1778),INDEX(LdgDateB,$M1778)))</f>
        <v/>
      </c>
      <c r="C1778" s="24">
        <f>IF($L1778&lt;&gt;"",INDEX(SCOp,$L1778),IF($M1778&lt;&gt;"","پرداخت بانکی",""))</f>
        <v/>
      </c>
      <c r="D1778" s="24">
        <f>IF($L1778&lt;&gt;"",IF(INDEX(SCDoc,$L1778)="","—",INDEX(SCDoc,$L1778)),IF($M1778&lt;&gt;"",INDEX(LdgBankB,$M1778),""))</f>
        <v/>
      </c>
      <c r="E1778" s="25">
        <f>IF($L1778&lt;&gt;"",IF(INDEX(SCCitrus,$L1778)&amp;INDEX(SCNotes,$L1778)="","",IF(INDEX(SCCitrus,$L1778)="","",INDEX(SCCitrus,$L1778))&amp;IF(INDEX(SCNotes,$L1778)="",""," — "&amp;INDEX(SCNotes,$L1778))),IF($M1778&lt;&gt;"",IF(INDEX(LdgNoteB,$M1778)="","—",INDEX(LdgNoteB,$M1778)),""))</f>
        <v/>
      </c>
      <c r="F1778" s="26">
        <f>IF($L1778&lt;&gt;"",IF(INDEX(SCNet,$L1778)=0,"",INDEX(SCNet,$L1778)),"")</f>
        <v/>
      </c>
      <c r="G1778" s="27">
        <f>IF($L1778&lt;&gt;"",IF(INDEX(SCOp,$L1778)="مرجوعی فروش","",IF(INDEX(SCAmount,$L1778)&lt;=0,"",INDEX(SCAmount,$L1778))),IF($M1778&lt;&gt;"",IF(INDEX(LdgWitB,$M1778)=0,"",INDEX(LdgWitB,$M1778)),""))</f>
        <v/>
      </c>
      <c r="H1778" s="27">
        <f>IF($L1778&lt;&gt;"",IF(INDEX(SCOp,$L1778)="مرجوعی فروش",IF(INDEX(SCAmount,$L1778)=0,"",-INDEX(SCAmount,$L1778)),""),IF($M1778&lt;&gt;"",IF(INDEX(LdgDepB,$M1778)=0,"",INDEX(LdgDepB,$M1778)),""))</f>
        <v/>
      </c>
      <c r="I1778" s="28">
        <f>IF($B1778="","",IF($I1777="",$C$10,$I1777)+IF($G1778="",0,$G1778)-IF($H1778="",0,$H1778))</f>
        <v/>
      </c>
      <c r="L1778">
        <f>IFERROR(MATCH($C$5&amp;"|"&amp;RIGHT("000000"&amp;1762,6),LdgRankKeyA,0),"")</f>
        <v/>
      </c>
      <c r="M1778">
        <f>IFERROR(MATCH($C$5&amp;"|"&amp;RIGHT("000000"&amp;1762,6),LdgRankKeyB,0),"")</f>
        <v/>
      </c>
    </row>
    <row r="1779">
      <c r="A1779" s="17" t="n">
        <v>1763</v>
      </c>
      <c r="B1779" s="18">
        <f>IF(AND($L1779="",$M1779=""),"",IF($L1779&lt;&gt;"",INDEX(SCNormDate,$L1779),INDEX(LdgDateB,$M1779)))</f>
        <v/>
      </c>
      <c r="C1779" s="18">
        <f>IF($L1779&lt;&gt;"",INDEX(SCOp,$L1779),IF($M1779&lt;&gt;"","پرداخت بانکی",""))</f>
        <v/>
      </c>
      <c r="D1779" s="18">
        <f>IF($L1779&lt;&gt;"",IF(INDEX(SCDoc,$L1779)="","—",INDEX(SCDoc,$L1779)),IF($M1779&lt;&gt;"",INDEX(LdgBankB,$M1779),""))</f>
        <v/>
      </c>
      <c r="E1779" s="19">
        <f>IF($L1779&lt;&gt;"",IF(INDEX(SCCitrus,$L1779)&amp;INDEX(SCNotes,$L1779)="","",IF(INDEX(SCCitrus,$L1779)="","",INDEX(SCCitrus,$L1779))&amp;IF(INDEX(SCNotes,$L1779)="",""," — "&amp;INDEX(SCNotes,$L1779))),IF($M1779&lt;&gt;"",IF(INDEX(LdgNoteB,$M1779)="","—",INDEX(LdgNoteB,$M1779)),""))</f>
        <v/>
      </c>
      <c r="F1779" s="20">
        <f>IF($L1779&lt;&gt;"",IF(INDEX(SCNet,$L1779)=0,"",INDEX(SCNet,$L1779)),"")</f>
        <v/>
      </c>
      <c r="G1779" s="21">
        <f>IF($L1779&lt;&gt;"",IF(INDEX(SCOp,$L1779)="مرجوعی فروش","",IF(INDEX(SCAmount,$L1779)&lt;=0,"",INDEX(SCAmount,$L1779))),IF($M1779&lt;&gt;"",IF(INDEX(LdgWitB,$M1779)=0,"",INDEX(LdgWitB,$M1779)),""))</f>
        <v/>
      </c>
      <c r="H1779" s="21">
        <f>IF($L1779&lt;&gt;"",IF(INDEX(SCOp,$L1779)="مرجوعی فروش",IF(INDEX(SCAmount,$L1779)=0,"",-INDEX(SCAmount,$L1779)),""),IF($M1779&lt;&gt;"",IF(INDEX(LdgDepB,$M1779)=0,"",INDEX(LdgDepB,$M1779)),""))</f>
        <v/>
      </c>
      <c r="I1779" s="22">
        <f>IF($B1779="","",IF($I1778="",$C$10,$I1778)+IF($G1779="",0,$G1779)-IF($H1779="",0,$H1779))</f>
        <v/>
      </c>
      <c r="L1779">
        <f>IFERROR(MATCH($C$5&amp;"|"&amp;RIGHT("000000"&amp;1763,6),LdgRankKeyA,0),"")</f>
        <v/>
      </c>
      <c r="M1779">
        <f>IFERROR(MATCH($C$5&amp;"|"&amp;RIGHT("000000"&amp;1763,6),LdgRankKeyB,0),"")</f>
        <v/>
      </c>
    </row>
    <row r="1780">
      <c r="A1780" s="23" t="n">
        <v>1764</v>
      </c>
      <c r="B1780" s="24">
        <f>IF(AND($L1780="",$M1780=""),"",IF($L1780&lt;&gt;"",INDEX(SCNormDate,$L1780),INDEX(LdgDateB,$M1780)))</f>
        <v/>
      </c>
      <c r="C1780" s="24">
        <f>IF($L1780&lt;&gt;"",INDEX(SCOp,$L1780),IF($M1780&lt;&gt;"","پرداخت بانکی",""))</f>
        <v/>
      </c>
      <c r="D1780" s="24">
        <f>IF($L1780&lt;&gt;"",IF(INDEX(SCDoc,$L1780)="","—",INDEX(SCDoc,$L1780)),IF($M1780&lt;&gt;"",INDEX(LdgBankB,$M1780),""))</f>
        <v/>
      </c>
      <c r="E1780" s="25">
        <f>IF($L1780&lt;&gt;"",IF(INDEX(SCCitrus,$L1780)&amp;INDEX(SCNotes,$L1780)="","",IF(INDEX(SCCitrus,$L1780)="","",INDEX(SCCitrus,$L1780))&amp;IF(INDEX(SCNotes,$L1780)="",""," — "&amp;INDEX(SCNotes,$L1780))),IF($M1780&lt;&gt;"",IF(INDEX(LdgNoteB,$M1780)="","—",INDEX(LdgNoteB,$M1780)),""))</f>
        <v/>
      </c>
      <c r="F1780" s="26">
        <f>IF($L1780&lt;&gt;"",IF(INDEX(SCNet,$L1780)=0,"",INDEX(SCNet,$L1780)),"")</f>
        <v/>
      </c>
      <c r="G1780" s="27">
        <f>IF($L1780&lt;&gt;"",IF(INDEX(SCOp,$L1780)="مرجوعی فروش","",IF(INDEX(SCAmount,$L1780)&lt;=0,"",INDEX(SCAmount,$L1780))),IF($M1780&lt;&gt;"",IF(INDEX(LdgWitB,$M1780)=0,"",INDEX(LdgWitB,$M1780)),""))</f>
        <v/>
      </c>
      <c r="H1780" s="27">
        <f>IF($L1780&lt;&gt;"",IF(INDEX(SCOp,$L1780)="مرجوعی فروش",IF(INDEX(SCAmount,$L1780)=0,"",-INDEX(SCAmount,$L1780)),""),IF($M1780&lt;&gt;"",IF(INDEX(LdgDepB,$M1780)=0,"",INDEX(LdgDepB,$M1780)),""))</f>
        <v/>
      </c>
      <c r="I1780" s="28">
        <f>IF($B1780="","",IF($I1779="",$C$10,$I1779)+IF($G1780="",0,$G1780)-IF($H1780="",0,$H1780))</f>
        <v/>
      </c>
      <c r="L1780">
        <f>IFERROR(MATCH($C$5&amp;"|"&amp;RIGHT("000000"&amp;1764,6),LdgRankKeyA,0),"")</f>
        <v/>
      </c>
      <c r="M1780">
        <f>IFERROR(MATCH($C$5&amp;"|"&amp;RIGHT("000000"&amp;1764,6),LdgRankKeyB,0),"")</f>
        <v/>
      </c>
    </row>
    <row r="1781">
      <c r="A1781" s="17" t="n">
        <v>1765</v>
      </c>
      <c r="B1781" s="18">
        <f>IF(AND($L1781="",$M1781=""),"",IF($L1781&lt;&gt;"",INDEX(SCNormDate,$L1781),INDEX(LdgDateB,$M1781)))</f>
        <v/>
      </c>
      <c r="C1781" s="18">
        <f>IF($L1781&lt;&gt;"",INDEX(SCOp,$L1781),IF($M1781&lt;&gt;"","پرداخت بانکی",""))</f>
        <v/>
      </c>
      <c r="D1781" s="18">
        <f>IF($L1781&lt;&gt;"",IF(INDEX(SCDoc,$L1781)="","—",INDEX(SCDoc,$L1781)),IF($M1781&lt;&gt;"",INDEX(LdgBankB,$M1781),""))</f>
        <v/>
      </c>
      <c r="E1781" s="19">
        <f>IF($L1781&lt;&gt;"",IF(INDEX(SCCitrus,$L1781)&amp;INDEX(SCNotes,$L1781)="","",IF(INDEX(SCCitrus,$L1781)="","",INDEX(SCCitrus,$L1781))&amp;IF(INDEX(SCNotes,$L1781)="",""," — "&amp;INDEX(SCNotes,$L1781))),IF($M1781&lt;&gt;"",IF(INDEX(LdgNoteB,$M1781)="","—",INDEX(LdgNoteB,$M1781)),""))</f>
        <v/>
      </c>
      <c r="F1781" s="20">
        <f>IF($L1781&lt;&gt;"",IF(INDEX(SCNet,$L1781)=0,"",INDEX(SCNet,$L1781)),"")</f>
        <v/>
      </c>
      <c r="G1781" s="21">
        <f>IF($L1781&lt;&gt;"",IF(INDEX(SCOp,$L1781)="مرجوعی فروش","",IF(INDEX(SCAmount,$L1781)&lt;=0,"",INDEX(SCAmount,$L1781))),IF($M1781&lt;&gt;"",IF(INDEX(LdgWitB,$M1781)=0,"",INDEX(LdgWitB,$M1781)),""))</f>
        <v/>
      </c>
      <c r="H1781" s="21">
        <f>IF($L1781&lt;&gt;"",IF(INDEX(SCOp,$L1781)="مرجوعی فروش",IF(INDEX(SCAmount,$L1781)=0,"",-INDEX(SCAmount,$L1781)),""),IF($M1781&lt;&gt;"",IF(INDEX(LdgDepB,$M1781)=0,"",INDEX(LdgDepB,$M1781)),""))</f>
        <v/>
      </c>
      <c r="I1781" s="22">
        <f>IF($B1781="","",IF($I1780="",$C$10,$I1780)+IF($G1781="",0,$G1781)-IF($H1781="",0,$H1781))</f>
        <v/>
      </c>
      <c r="L1781">
        <f>IFERROR(MATCH($C$5&amp;"|"&amp;RIGHT("000000"&amp;1765,6),LdgRankKeyA,0),"")</f>
        <v/>
      </c>
      <c r="M1781">
        <f>IFERROR(MATCH($C$5&amp;"|"&amp;RIGHT("000000"&amp;1765,6),LdgRankKeyB,0),"")</f>
        <v/>
      </c>
    </row>
    <row r="1782">
      <c r="A1782" s="23" t="n">
        <v>1766</v>
      </c>
      <c r="B1782" s="24">
        <f>IF(AND($L1782="",$M1782=""),"",IF($L1782&lt;&gt;"",INDEX(SCNormDate,$L1782),INDEX(LdgDateB,$M1782)))</f>
        <v/>
      </c>
      <c r="C1782" s="24">
        <f>IF($L1782&lt;&gt;"",INDEX(SCOp,$L1782),IF($M1782&lt;&gt;"","پرداخت بانکی",""))</f>
        <v/>
      </c>
      <c r="D1782" s="24">
        <f>IF($L1782&lt;&gt;"",IF(INDEX(SCDoc,$L1782)="","—",INDEX(SCDoc,$L1782)),IF($M1782&lt;&gt;"",INDEX(LdgBankB,$M1782),""))</f>
        <v/>
      </c>
      <c r="E1782" s="25">
        <f>IF($L1782&lt;&gt;"",IF(INDEX(SCCitrus,$L1782)&amp;INDEX(SCNotes,$L1782)="","",IF(INDEX(SCCitrus,$L1782)="","",INDEX(SCCitrus,$L1782))&amp;IF(INDEX(SCNotes,$L1782)="",""," — "&amp;INDEX(SCNotes,$L1782))),IF($M1782&lt;&gt;"",IF(INDEX(LdgNoteB,$M1782)="","—",INDEX(LdgNoteB,$M1782)),""))</f>
        <v/>
      </c>
      <c r="F1782" s="26">
        <f>IF($L1782&lt;&gt;"",IF(INDEX(SCNet,$L1782)=0,"",INDEX(SCNet,$L1782)),"")</f>
        <v/>
      </c>
      <c r="G1782" s="27">
        <f>IF($L1782&lt;&gt;"",IF(INDEX(SCOp,$L1782)="مرجوعی فروش","",IF(INDEX(SCAmount,$L1782)&lt;=0,"",INDEX(SCAmount,$L1782))),IF($M1782&lt;&gt;"",IF(INDEX(LdgWitB,$M1782)=0,"",INDEX(LdgWitB,$M1782)),""))</f>
        <v/>
      </c>
      <c r="H1782" s="27">
        <f>IF($L1782&lt;&gt;"",IF(INDEX(SCOp,$L1782)="مرجوعی فروش",IF(INDEX(SCAmount,$L1782)=0,"",-INDEX(SCAmount,$L1782)),""),IF($M1782&lt;&gt;"",IF(INDEX(LdgDepB,$M1782)=0,"",INDEX(LdgDepB,$M1782)),""))</f>
        <v/>
      </c>
      <c r="I1782" s="28">
        <f>IF($B1782="","",IF($I1781="",$C$10,$I1781)+IF($G1782="",0,$G1782)-IF($H1782="",0,$H1782))</f>
        <v/>
      </c>
      <c r="L1782">
        <f>IFERROR(MATCH($C$5&amp;"|"&amp;RIGHT("000000"&amp;1766,6),LdgRankKeyA,0),"")</f>
        <v/>
      </c>
      <c r="M1782">
        <f>IFERROR(MATCH($C$5&amp;"|"&amp;RIGHT("000000"&amp;1766,6),LdgRankKeyB,0),"")</f>
        <v/>
      </c>
    </row>
    <row r="1783">
      <c r="A1783" s="17" t="n">
        <v>1767</v>
      </c>
      <c r="B1783" s="18">
        <f>IF(AND($L1783="",$M1783=""),"",IF($L1783&lt;&gt;"",INDEX(SCNormDate,$L1783),INDEX(LdgDateB,$M1783)))</f>
        <v/>
      </c>
      <c r="C1783" s="18">
        <f>IF($L1783&lt;&gt;"",INDEX(SCOp,$L1783),IF($M1783&lt;&gt;"","پرداخت بانکی",""))</f>
        <v/>
      </c>
      <c r="D1783" s="18">
        <f>IF($L1783&lt;&gt;"",IF(INDEX(SCDoc,$L1783)="","—",INDEX(SCDoc,$L1783)),IF($M1783&lt;&gt;"",INDEX(LdgBankB,$M1783),""))</f>
        <v/>
      </c>
      <c r="E1783" s="19">
        <f>IF($L1783&lt;&gt;"",IF(INDEX(SCCitrus,$L1783)&amp;INDEX(SCNotes,$L1783)="","",IF(INDEX(SCCitrus,$L1783)="","",INDEX(SCCitrus,$L1783))&amp;IF(INDEX(SCNotes,$L1783)="",""," — "&amp;INDEX(SCNotes,$L1783))),IF($M1783&lt;&gt;"",IF(INDEX(LdgNoteB,$M1783)="","—",INDEX(LdgNoteB,$M1783)),""))</f>
        <v/>
      </c>
      <c r="F1783" s="20">
        <f>IF($L1783&lt;&gt;"",IF(INDEX(SCNet,$L1783)=0,"",INDEX(SCNet,$L1783)),"")</f>
        <v/>
      </c>
      <c r="G1783" s="21">
        <f>IF($L1783&lt;&gt;"",IF(INDEX(SCOp,$L1783)="مرجوعی فروش","",IF(INDEX(SCAmount,$L1783)&lt;=0,"",INDEX(SCAmount,$L1783))),IF($M1783&lt;&gt;"",IF(INDEX(LdgWitB,$M1783)=0,"",INDEX(LdgWitB,$M1783)),""))</f>
        <v/>
      </c>
      <c r="H1783" s="21">
        <f>IF($L1783&lt;&gt;"",IF(INDEX(SCOp,$L1783)="مرجوعی فروش",IF(INDEX(SCAmount,$L1783)=0,"",-INDEX(SCAmount,$L1783)),""),IF($M1783&lt;&gt;"",IF(INDEX(LdgDepB,$M1783)=0,"",INDEX(LdgDepB,$M1783)),""))</f>
        <v/>
      </c>
      <c r="I1783" s="22">
        <f>IF($B1783="","",IF($I1782="",$C$10,$I1782)+IF($G1783="",0,$G1783)-IF($H1783="",0,$H1783))</f>
        <v/>
      </c>
      <c r="L1783">
        <f>IFERROR(MATCH($C$5&amp;"|"&amp;RIGHT("000000"&amp;1767,6),LdgRankKeyA,0),"")</f>
        <v/>
      </c>
      <c r="M1783">
        <f>IFERROR(MATCH($C$5&amp;"|"&amp;RIGHT("000000"&amp;1767,6),LdgRankKeyB,0),"")</f>
        <v/>
      </c>
    </row>
    <row r="1784">
      <c r="A1784" s="23" t="n">
        <v>1768</v>
      </c>
      <c r="B1784" s="24">
        <f>IF(AND($L1784="",$M1784=""),"",IF($L1784&lt;&gt;"",INDEX(SCNormDate,$L1784),INDEX(LdgDateB,$M1784)))</f>
        <v/>
      </c>
      <c r="C1784" s="24">
        <f>IF($L1784&lt;&gt;"",INDEX(SCOp,$L1784),IF($M1784&lt;&gt;"","پرداخت بانکی",""))</f>
        <v/>
      </c>
      <c r="D1784" s="24">
        <f>IF($L1784&lt;&gt;"",IF(INDEX(SCDoc,$L1784)="","—",INDEX(SCDoc,$L1784)),IF($M1784&lt;&gt;"",INDEX(LdgBankB,$M1784),""))</f>
        <v/>
      </c>
      <c r="E1784" s="25">
        <f>IF($L1784&lt;&gt;"",IF(INDEX(SCCitrus,$L1784)&amp;INDEX(SCNotes,$L1784)="","",IF(INDEX(SCCitrus,$L1784)="","",INDEX(SCCitrus,$L1784))&amp;IF(INDEX(SCNotes,$L1784)="",""," — "&amp;INDEX(SCNotes,$L1784))),IF($M1784&lt;&gt;"",IF(INDEX(LdgNoteB,$M1784)="","—",INDEX(LdgNoteB,$M1784)),""))</f>
        <v/>
      </c>
      <c r="F1784" s="26">
        <f>IF($L1784&lt;&gt;"",IF(INDEX(SCNet,$L1784)=0,"",INDEX(SCNet,$L1784)),"")</f>
        <v/>
      </c>
      <c r="G1784" s="27">
        <f>IF($L1784&lt;&gt;"",IF(INDEX(SCOp,$L1784)="مرجوعی فروش","",IF(INDEX(SCAmount,$L1784)&lt;=0,"",INDEX(SCAmount,$L1784))),IF($M1784&lt;&gt;"",IF(INDEX(LdgWitB,$M1784)=0,"",INDEX(LdgWitB,$M1784)),""))</f>
        <v/>
      </c>
      <c r="H1784" s="27">
        <f>IF($L1784&lt;&gt;"",IF(INDEX(SCOp,$L1784)="مرجوعی فروش",IF(INDEX(SCAmount,$L1784)=0,"",-INDEX(SCAmount,$L1784)),""),IF($M1784&lt;&gt;"",IF(INDEX(LdgDepB,$M1784)=0,"",INDEX(LdgDepB,$M1784)),""))</f>
        <v/>
      </c>
      <c r="I1784" s="28">
        <f>IF($B1784="","",IF($I1783="",$C$10,$I1783)+IF($G1784="",0,$G1784)-IF($H1784="",0,$H1784))</f>
        <v/>
      </c>
      <c r="L1784">
        <f>IFERROR(MATCH($C$5&amp;"|"&amp;RIGHT("000000"&amp;1768,6),LdgRankKeyA,0),"")</f>
        <v/>
      </c>
      <c r="M1784">
        <f>IFERROR(MATCH($C$5&amp;"|"&amp;RIGHT("000000"&amp;1768,6),LdgRankKeyB,0),"")</f>
        <v/>
      </c>
    </row>
    <row r="1785">
      <c r="A1785" s="17" t="n">
        <v>1769</v>
      </c>
      <c r="B1785" s="18">
        <f>IF(AND($L1785="",$M1785=""),"",IF($L1785&lt;&gt;"",INDEX(SCNormDate,$L1785),INDEX(LdgDateB,$M1785)))</f>
        <v/>
      </c>
      <c r="C1785" s="18">
        <f>IF($L1785&lt;&gt;"",INDEX(SCOp,$L1785),IF($M1785&lt;&gt;"","پرداخت بانکی",""))</f>
        <v/>
      </c>
      <c r="D1785" s="18">
        <f>IF($L1785&lt;&gt;"",IF(INDEX(SCDoc,$L1785)="","—",INDEX(SCDoc,$L1785)),IF($M1785&lt;&gt;"",INDEX(LdgBankB,$M1785),""))</f>
        <v/>
      </c>
      <c r="E1785" s="19">
        <f>IF($L1785&lt;&gt;"",IF(INDEX(SCCitrus,$L1785)&amp;INDEX(SCNotes,$L1785)="","",IF(INDEX(SCCitrus,$L1785)="","",INDEX(SCCitrus,$L1785))&amp;IF(INDEX(SCNotes,$L1785)="",""," — "&amp;INDEX(SCNotes,$L1785))),IF($M1785&lt;&gt;"",IF(INDEX(LdgNoteB,$M1785)="","—",INDEX(LdgNoteB,$M1785)),""))</f>
        <v/>
      </c>
      <c r="F1785" s="20">
        <f>IF($L1785&lt;&gt;"",IF(INDEX(SCNet,$L1785)=0,"",INDEX(SCNet,$L1785)),"")</f>
        <v/>
      </c>
      <c r="G1785" s="21">
        <f>IF($L1785&lt;&gt;"",IF(INDEX(SCOp,$L1785)="مرجوعی فروش","",IF(INDEX(SCAmount,$L1785)&lt;=0,"",INDEX(SCAmount,$L1785))),IF($M1785&lt;&gt;"",IF(INDEX(LdgWitB,$M1785)=0,"",INDEX(LdgWitB,$M1785)),""))</f>
        <v/>
      </c>
      <c r="H1785" s="21">
        <f>IF($L1785&lt;&gt;"",IF(INDEX(SCOp,$L1785)="مرجوعی فروش",IF(INDEX(SCAmount,$L1785)=0,"",-INDEX(SCAmount,$L1785)),""),IF($M1785&lt;&gt;"",IF(INDEX(LdgDepB,$M1785)=0,"",INDEX(LdgDepB,$M1785)),""))</f>
        <v/>
      </c>
      <c r="I1785" s="22">
        <f>IF($B1785="","",IF($I1784="",$C$10,$I1784)+IF($G1785="",0,$G1785)-IF($H1785="",0,$H1785))</f>
        <v/>
      </c>
      <c r="L1785">
        <f>IFERROR(MATCH($C$5&amp;"|"&amp;RIGHT("000000"&amp;1769,6),LdgRankKeyA,0),"")</f>
        <v/>
      </c>
      <c r="M1785">
        <f>IFERROR(MATCH($C$5&amp;"|"&amp;RIGHT("000000"&amp;1769,6),LdgRankKeyB,0),"")</f>
        <v/>
      </c>
    </row>
    <row r="1786">
      <c r="A1786" s="23" t="n">
        <v>1770</v>
      </c>
      <c r="B1786" s="24">
        <f>IF(AND($L1786="",$M1786=""),"",IF($L1786&lt;&gt;"",INDEX(SCNormDate,$L1786),INDEX(LdgDateB,$M1786)))</f>
        <v/>
      </c>
      <c r="C1786" s="24">
        <f>IF($L1786&lt;&gt;"",INDEX(SCOp,$L1786),IF($M1786&lt;&gt;"","پرداخت بانکی",""))</f>
        <v/>
      </c>
      <c r="D1786" s="24">
        <f>IF($L1786&lt;&gt;"",IF(INDEX(SCDoc,$L1786)="","—",INDEX(SCDoc,$L1786)),IF($M1786&lt;&gt;"",INDEX(LdgBankB,$M1786),""))</f>
        <v/>
      </c>
      <c r="E1786" s="25">
        <f>IF($L1786&lt;&gt;"",IF(INDEX(SCCitrus,$L1786)&amp;INDEX(SCNotes,$L1786)="","",IF(INDEX(SCCitrus,$L1786)="","",INDEX(SCCitrus,$L1786))&amp;IF(INDEX(SCNotes,$L1786)="",""," — "&amp;INDEX(SCNotes,$L1786))),IF($M1786&lt;&gt;"",IF(INDEX(LdgNoteB,$M1786)="","—",INDEX(LdgNoteB,$M1786)),""))</f>
        <v/>
      </c>
      <c r="F1786" s="26">
        <f>IF($L1786&lt;&gt;"",IF(INDEX(SCNet,$L1786)=0,"",INDEX(SCNet,$L1786)),"")</f>
        <v/>
      </c>
      <c r="G1786" s="27">
        <f>IF($L1786&lt;&gt;"",IF(INDEX(SCOp,$L1786)="مرجوعی فروش","",IF(INDEX(SCAmount,$L1786)&lt;=0,"",INDEX(SCAmount,$L1786))),IF($M1786&lt;&gt;"",IF(INDEX(LdgWitB,$M1786)=0,"",INDEX(LdgWitB,$M1786)),""))</f>
        <v/>
      </c>
      <c r="H1786" s="27">
        <f>IF($L1786&lt;&gt;"",IF(INDEX(SCOp,$L1786)="مرجوعی فروش",IF(INDEX(SCAmount,$L1786)=0,"",-INDEX(SCAmount,$L1786)),""),IF($M1786&lt;&gt;"",IF(INDEX(LdgDepB,$M1786)=0,"",INDEX(LdgDepB,$M1786)),""))</f>
        <v/>
      </c>
      <c r="I1786" s="28">
        <f>IF($B1786="","",IF($I1785="",$C$10,$I1785)+IF($G1786="",0,$G1786)-IF($H1786="",0,$H1786))</f>
        <v/>
      </c>
      <c r="L1786">
        <f>IFERROR(MATCH($C$5&amp;"|"&amp;RIGHT("000000"&amp;1770,6),LdgRankKeyA,0),"")</f>
        <v/>
      </c>
      <c r="M1786">
        <f>IFERROR(MATCH($C$5&amp;"|"&amp;RIGHT("000000"&amp;1770,6),LdgRankKeyB,0),"")</f>
        <v/>
      </c>
    </row>
    <row r="1787">
      <c r="A1787" s="17" t="n">
        <v>1771</v>
      </c>
      <c r="B1787" s="18">
        <f>IF(AND($L1787="",$M1787=""),"",IF($L1787&lt;&gt;"",INDEX(SCNormDate,$L1787),INDEX(LdgDateB,$M1787)))</f>
        <v/>
      </c>
      <c r="C1787" s="18">
        <f>IF($L1787&lt;&gt;"",INDEX(SCOp,$L1787),IF($M1787&lt;&gt;"","پرداخت بانکی",""))</f>
        <v/>
      </c>
      <c r="D1787" s="18">
        <f>IF($L1787&lt;&gt;"",IF(INDEX(SCDoc,$L1787)="","—",INDEX(SCDoc,$L1787)),IF($M1787&lt;&gt;"",INDEX(LdgBankB,$M1787),""))</f>
        <v/>
      </c>
      <c r="E1787" s="19">
        <f>IF($L1787&lt;&gt;"",IF(INDEX(SCCitrus,$L1787)&amp;INDEX(SCNotes,$L1787)="","",IF(INDEX(SCCitrus,$L1787)="","",INDEX(SCCitrus,$L1787))&amp;IF(INDEX(SCNotes,$L1787)="",""," — "&amp;INDEX(SCNotes,$L1787))),IF($M1787&lt;&gt;"",IF(INDEX(LdgNoteB,$M1787)="","—",INDEX(LdgNoteB,$M1787)),""))</f>
        <v/>
      </c>
      <c r="F1787" s="20">
        <f>IF($L1787&lt;&gt;"",IF(INDEX(SCNet,$L1787)=0,"",INDEX(SCNet,$L1787)),"")</f>
        <v/>
      </c>
      <c r="G1787" s="21">
        <f>IF($L1787&lt;&gt;"",IF(INDEX(SCOp,$L1787)="مرجوعی فروش","",IF(INDEX(SCAmount,$L1787)&lt;=0,"",INDEX(SCAmount,$L1787))),IF($M1787&lt;&gt;"",IF(INDEX(LdgWitB,$M1787)=0,"",INDEX(LdgWitB,$M1787)),""))</f>
        <v/>
      </c>
      <c r="H1787" s="21">
        <f>IF($L1787&lt;&gt;"",IF(INDEX(SCOp,$L1787)="مرجوعی فروش",IF(INDEX(SCAmount,$L1787)=0,"",-INDEX(SCAmount,$L1787)),""),IF($M1787&lt;&gt;"",IF(INDEX(LdgDepB,$M1787)=0,"",INDEX(LdgDepB,$M1787)),""))</f>
        <v/>
      </c>
      <c r="I1787" s="22">
        <f>IF($B1787="","",IF($I1786="",$C$10,$I1786)+IF($G1787="",0,$G1787)-IF($H1787="",0,$H1787))</f>
        <v/>
      </c>
      <c r="L1787">
        <f>IFERROR(MATCH($C$5&amp;"|"&amp;RIGHT("000000"&amp;1771,6),LdgRankKeyA,0),"")</f>
        <v/>
      </c>
      <c r="M1787">
        <f>IFERROR(MATCH($C$5&amp;"|"&amp;RIGHT("000000"&amp;1771,6),LdgRankKeyB,0),"")</f>
        <v/>
      </c>
    </row>
    <row r="1788">
      <c r="A1788" s="23" t="n">
        <v>1772</v>
      </c>
      <c r="B1788" s="24">
        <f>IF(AND($L1788="",$M1788=""),"",IF($L1788&lt;&gt;"",INDEX(SCNormDate,$L1788),INDEX(LdgDateB,$M1788)))</f>
        <v/>
      </c>
      <c r="C1788" s="24">
        <f>IF($L1788&lt;&gt;"",INDEX(SCOp,$L1788),IF($M1788&lt;&gt;"","پرداخت بانکی",""))</f>
        <v/>
      </c>
      <c r="D1788" s="24">
        <f>IF($L1788&lt;&gt;"",IF(INDEX(SCDoc,$L1788)="","—",INDEX(SCDoc,$L1788)),IF($M1788&lt;&gt;"",INDEX(LdgBankB,$M1788),""))</f>
        <v/>
      </c>
      <c r="E1788" s="25">
        <f>IF($L1788&lt;&gt;"",IF(INDEX(SCCitrus,$L1788)&amp;INDEX(SCNotes,$L1788)="","",IF(INDEX(SCCitrus,$L1788)="","",INDEX(SCCitrus,$L1788))&amp;IF(INDEX(SCNotes,$L1788)="",""," — "&amp;INDEX(SCNotes,$L1788))),IF($M1788&lt;&gt;"",IF(INDEX(LdgNoteB,$M1788)="","—",INDEX(LdgNoteB,$M1788)),""))</f>
        <v/>
      </c>
      <c r="F1788" s="26">
        <f>IF($L1788&lt;&gt;"",IF(INDEX(SCNet,$L1788)=0,"",INDEX(SCNet,$L1788)),"")</f>
        <v/>
      </c>
      <c r="G1788" s="27">
        <f>IF($L1788&lt;&gt;"",IF(INDEX(SCOp,$L1788)="مرجوعی فروش","",IF(INDEX(SCAmount,$L1788)&lt;=0,"",INDEX(SCAmount,$L1788))),IF($M1788&lt;&gt;"",IF(INDEX(LdgWitB,$M1788)=0,"",INDEX(LdgWitB,$M1788)),""))</f>
        <v/>
      </c>
      <c r="H1788" s="27">
        <f>IF($L1788&lt;&gt;"",IF(INDEX(SCOp,$L1788)="مرجوعی فروش",IF(INDEX(SCAmount,$L1788)=0,"",-INDEX(SCAmount,$L1788)),""),IF($M1788&lt;&gt;"",IF(INDEX(LdgDepB,$M1788)=0,"",INDEX(LdgDepB,$M1788)),""))</f>
        <v/>
      </c>
      <c r="I1788" s="28">
        <f>IF($B1788="","",IF($I1787="",$C$10,$I1787)+IF($G1788="",0,$G1788)-IF($H1788="",0,$H1788))</f>
        <v/>
      </c>
      <c r="L1788">
        <f>IFERROR(MATCH($C$5&amp;"|"&amp;RIGHT("000000"&amp;1772,6),LdgRankKeyA,0),"")</f>
        <v/>
      </c>
      <c r="M1788">
        <f>IFERROR(MATCH($C$5&amp;"|"&amp;RIGHT("000000"&amp;1772,6),LdgRankKeyB,0),"")</f>
        <v/>
      </c>
    </row>
    <row r="1789">
      <c r="A1789" s="17" t="n">
        <v>1773</v>
      </c>
      <c r="B1789" s="18">
        <f>IF(AND($L1789="",$M1789=""),"",IF($L1789&lt;&gt;"",INDEX(SCNormDate,$L1789),INDEX(LdgDateB,$M1789)))</f>
        <v/>
      </c>
      <c r="C1789" s="18">
        <f>IF($L1789&lt;&gt;"",INDEX(SCOp,$L1789),IF($M1789&lt;&gt;"","پرداخت بانکی",""))</f>
        <v/>
      </c>
      <c r="D1789" s="18">
        <f>IF($L1789&lt;&gt;"",IF(INDEX(SCDoc,$L1789)="","—",INDEX(SCDoc,$L1789)),IF($M1789&lt;&gt;"",INDEX(LdgBankB,$M1789),""))</f>
        <v/>
      </c>
      <c r="E1789" s="19">
        <f>IF($L1789&lt;&gt;"",IF(INDEX(SCCitrus,$L1789)&amp;INDEX(SCNotes,$L1789)="","",IF(INDEX(SCCitrus,$L1789)="","",INDEX(SCCitrus,$L1789))&amp;IF(INDEX(SCNotes,$L1789)="",""," — "&amp;INDEX(SCNotes,$L1789))),IF($M1789&lt;&gt;"",IF(INDEX(LdgNoteB,$M1789)="","—",INDEX(LdgNoteB,$M1789)),""))</f>
        <v/>
      </c>
      <c r="F1789" s="20">
        <f>IF($L1789&lt;&gt;"",IF(INDEX(SCNet,$L1789)=0,"",INDEX(SCNet,$L1789)),"")</f>
        <v/>
      </c>
      <c r="G1789" s="21">
        <f>IF($L1789&lt;&gt;"",IF(INDEX(SCOp,$L1789)="مرجوعی فروش","",IF(INDEX(SCAmount,$L1789)&lt;=0,"",INDEX(SCAmount,$L1789))),IF($M1789&lt;&gt;"",IF(INDEX(LdgWitB,$M1789)=0,"",INDEX(LdgWitB,$M1789)),""))</f>
        <v/>
      </c>
      <c r="H1789" s="21">
        <f>IF($L1789&lt;&gt;"",IF(INDEX(SCOp,$L1789)="مرجوعی فروش",IF(INDEX(SCAmount,$L1789)=0,"",-INDEX(SCAmount,$L1789)),""),IF($M1789&lt;&gt;"",IF(INDEX(LdgDepB,$M1789)=0,"",INDEX(LdgDepB,$M1789)),""))</f>
        <v/>
      </c>
      <c r="I1789" s="22">
        <f>IF($B1789="","",IF($I1788="",$C$10,$I1788)+IF($G1789="",0,$G1789)-IF($H1789="",0,$H1789))</f>
        <v/>
      </c>
      <c r="L1789">
        <f>IFERROR(MATCH($C$5&amp;"|"&amp;RIGHT("000000"&amp;1773,6),LdgRankKeyA,0),"")</f>
        <v/>
      </c>
      <c r="M1789">
        <f>IFERROR(MATCH($C$5&amp;"|"&amp;RIGHT("000000"&amp;1773,6),LdgRankKeyB,0),"")</f>
        <v/>
      </c>
    </row>
    <row r="1790">
      <c r="A1790" s="23" t="n">
        <v>1774</v>
      </c>
      <c r="B1790" s="24">
        <f>IF(AND($L1790="",$M1790=""),"",IF($L1790&lt;&gt;"",INDEX(SCNormDate,$L1790),INDEX(LdgDateB,$M1790)))</f>
        <v/>
      </c>
      <c r="C1790" s="24">
        <f>IF($L1790&lt;&gt;"",INDEX(SCOp,$L1790),IF($M1790&lt;&gt;"","پرداخت بانکی",""))</f>
        <v/>
      </c>
      <c r="D1790" s="24">
        <f>IF($L1790&lt;&gt;"",IF(INDEX(SCDoc,$L1790)="","—",INDEX(SCDoc,$L1790)),IF($M1790&lt;&gt;"",INDEX(LdgBankB,$M1790),""))</f>
        <v/>
      </c>
      <c r="E1790" s="25">
        <f>IF($L1790&lt;&gt;"",IF(INDEX(SCCitrus,$L1790)&amp;INDEX(SCNotes,$L1790)="","",IF(INDEX(SCCitrus,$L1790)="","",INDEX(SCCitrus,$L1790))&amp;IF(INDEX(SCNotes,$L1790)="",""," — "&amp;INDEX(SCNotes,$L1790))),IF($M1790&lt;&gt;"",IF(INDEX(LdgNoteB,$M1790)="","—",INDEX(LdgNoteB,$M1790)),""))</f>
        <v/>
      </c>
      <c r="F1790" s="26">
        <f>IF($L1790&lt;&gt;"",IF(INDEX(SCNet,$L1790)=0,"",INDEX(SCNet,$L1790)),"")</f>
        <v/>
      </c>
      <c r="G1790" s="27">
        <f>IF($L1790&lt;&gt;"",IF(INDEX(SCOp,$L1790)="مرجوعی فروش","",IF(INDEX(SCAmount,$L1790)&lt;=0,"",INDEX(SCAmount,$L1790))),IF($M1790&lt;&gt;"",IF(INDEX(LdgWitB,$M1790)=0,"",INDEX(LdgWitB,$M1790)),""))</f>
        <v/>
      </c>
      <c r="H1790" s="27">
        <f>IF($L1790&lt;&gt;"",IF(INDEX(SCOp,$L1790)="مرجوعی فروش",IF(INDEX(SCAmount,$L1790)=0,"",-INDEX(SCAmount,$L1790)),""),IF($M1790&lt;&gt;"",IF(INDEX(LdgDepB,$M1790)=0,"",INDEX(LdgDepB,$M1790)),""))</f>
        <v/>
      </c>
      <c r="I1790" s="28">
        <f>IF($B1790="","",IF($I1789="",$C$10,$I1789)+IF($G1790="",0,$G1790)-IF($H1790="",0,$H1790))</f>
        <v/>
      </c>
      <c r="L1790">
        <f>IFERROR(MATCH($C$5&amp;"|"&amp;RIGHT("000000"&amp;1774,6),LdgRankKeyA,0),"")</f>
        <v/>
      </c>
      <c r="M1790">
        <f>IFERROR(MATCH($C$5&amp;"|"&amp;RIGHT("000000"&amp;1774,6),LdgRankKeyB,0),"")</f>
        <v/>
      </c>
    </row>
    <row r="1791">
      <c r="A1791" s="17" t="n">
        <v>1775</v>
      </c>
      <c r="B1791" s="18">
        <f>IF(AND($L1791="",$M1791=""),"",IF($L1791&lt;&gt;"",INDEX(SCNormDate,$L1791),INDEX(LdgDateB,$M1791)))</f>
        <v/>
      </c>
      <c r="C1791" s="18">
        <f>IF($L1791&lt;&gt;"",INDEX(SCOp,$L1791),IF($M1791&lt;&gt;"","پرداخت بانکی",""))</f>
        <v/>
      </c>
      <c r="D1791" s="18">
        <f>IF($L1791&lt;&gt;"",IF(INDEX(SCDoc,$L1791)="","—",INDEX(SCDoc,$L1791)),IF($M1791&lt;&gt;"",INDEX(LdgBankB,$M1791),""))</f>
        <v/>
      </c>
      <c r="E1791" s="19">
        <f>IF($L1791&lt;&gt;"",IF(INDEX(SCCitrus,$L1791)&amp;INDEX(SCNotes,$L1791)="","",IF(INDEX(SCCitrus,$L1791)="","",INDEX(SCCitrus,$L1791))&amp;IF(INDEX(SCNotes,$L1791)="",""," — "&amp;INDEX(SCNotes,$L1791))),IF($M1791&lt;&gt;"",IF(INDEX(LdgNoteB,$M1791)="","—",INDEX(LdgNoteB,$M1791)),""))</f>
        <v/>
      </c>
      <c r="F1791" s="20">
        <f>IF($L1791&lt;&gt;"",IF(INDEX(SCNet,$L1791)=0,"",INDEX(SCNet,$L1791)),"")</f>
        <v/>
      </c>
      <c r="G1791" s="21">
        <f>IF($L1791&lt;&gt;"",IF(INDEX(SCOp,$L1791)="مرجوعی فروش","",IF(INDEX(SCAmount,$L1791)&lt;=0,"",INDEX(SCAmount,$L1791))),IF($M1791&lt;&gt;"",IF(INDEX(LdgWitB,$M1791)=0,"",INDEX(LdgWitB,$M1791)),""))</f>
        <v/>
      </c>
      <c r="H1791" s="21">
        <f>IF($L1791&lt;&gt;"",IF(INDEX(SCOp,$L1791)="مرجوعی فروش",IF(INDEX(SCAmount,$L1791)=0,"",-INDEX(SCAmount,$L1791)),""),IF($M1791&lt;&gt;"",IF(INDEX(LdgDepB,$M1791)=0,"",INDEX(LdgDepB,$M1791)),""))</f>
        <v/>
      </c>
      <c r="I1791" s="22">
        <f>IF($B1791="","",IF($I1790="",$C$10,$I1790)+IF($G1791="",0,$G1791)-IF($H1791="",0,$H1791))</f>
        <v/>
      </c>
      <c r="L1791">
        <f>IFERROR(MATCH($C$5&amp;"|"&amp;RIGHT("000000"&amp;1775,6),LdgRankKeyA,0),"")</f>
        <v/>
      </c>
      <c r="M1791">
        <f>IFERROR(MATCH($C$5&amp;"|"&amp;RIGHT("000000"&amp;1775,6),LdgRankKeyB,0),"")</f>
        <v/>
      </c>
    </row>
    <row r="1792">
      <c r="A1792" s="23" t="n">
        <v>1776</v>
      </c>
      <c r="B1792" s="24">
        <f>IF(AND($L1792="",$M1792=""),"",IF($L1792&lt;&gt;"",INDEX(SCNormDate,$L1792),INDEX(LdgDateB,$M1792)))</f>
        <v/>
      </c>
      <c r="C1792" s="24">
        <f>IF($L1792&lt;&gt;"",INDEX(SCOp,$L1792),IF($M1792&lt;&gt;"","پرداخت بانکی",""))</f>
        <v/>
      </c>
      <c r="D1792" s="24">
        <f>IF($L1792&lt;&gt;"",IF(INDEX(SCDoc,$L1792)="","—",INDEX(SCDoc,$L1792)),IF($M1792&lt;&gt;"",INDEX(LdgBankB,$M1792),""))</f>
        <v/>
      </c>
      <c r="E1792" s="25">
        <f>IF($L1792&lt;&gt;"",IF(INDEX(SCCitrus,$L1792)&amp;INDEX(SCNotes,$L1792)="","",IF(INDEX(SCCitrus,$L1792)="","",INDEX(SCCitrus,$L1792))&amp;IF(INDEX(SCNotes,$L1792)="",""," — "&amp;INDEX(SCNotes,$L1792))),IF($M1792&lt;&gt;"",IF(INDEX(LdgNoteB,$M1792)="","—",INDEX(LdgNoteB,$M1792)),""))</f>
        <v/>
      </c>
      <c r="F1792" s="26">
        <f>IF($L1792&lt;&gt;"",IF(INDEX(SCNet,$L1792)=0,"",INDEX(SCNet,$L1792)),"")</f>
        <v/>
      </c>
      <c r="G1792" s="27">
        <f>IF($L1792&lt;&gt;"",IF(INDEX(SCOp,$L1792)="مرجوعی فروش","",IF(INDEX(SCAmount,$L1792)&lt;=0,"",INDEX(SCAmount,$L1792))),IF($M1792&lt;&gt;"",IF(INDEX(LdgWitB,$M1792)=0,"",INDEX(LdgWitB,$M1792)),""))</f>
        <v/>
      </c>
      <c r="H1792" s="27">
        <f>IF($L1792&lt;&gt;"",IF(INDEX(SCOp,$L1792)="مرجوعی فروش",IF(INDEX(SCAmount,$L1792)=0,"",-INDEX(SCAmount,$L1792)),""),IF($M1792&lt;&gt;"",IF(INDEX(LdgDepB,$M1792)=0,"",INDEX(LdgDepB,$M1792)),""))</f>
        <v/>
      </c>
      <c r="I1792" s="28">
        <f>IF($B1792="","",IF($I1791="",$C$10,$I1791)+IF($G1792="",0,$G1792)-IF($H1792="",0,$H1792))</f>
        <v/>
      </c>
      <c r="L1792">
        <f>IFERROR(MATCH($C$5&amp;"|"&amp;RIGHT("000000"&amp;1776,6),LdgRankKeyA,0),"")</f>
        <v/>
      </c>
      <c r="M1792">
        <f>IFERROR(MATCH($C$5&amp;"|"&amp;RIGHT("000000"&amp;1776,6),LdgRankKeyB,0),"")</f>
        <v/>
      </c>
    </row>
    <row r="1793">
      <c r="A1793" s="17" t="n">
        <v>1777</v>
      </c>
      <c r="B1793" s="18">
        <f>IF(AND($L1793="",$M1793=""),"",IF($L1793&lt;&gt;"",INDEX(SCNormDate,$L1793),INDEX(LdgDateB,$M1793)))</f>
        <v/>
      </c>
      <c r="C1793" s="18">
        <f>IF($L1793&lt;&gt;"",INDEX(SCOp,$L1793),IF($M1793&lt;&gt;"","پرداخت بانکی",""))</f>
        <v/>
      </c>
      <c r="D1793" s="18">
        <f>IF($L1793&lt;&gt;"",IF(INDEX(SCDoc,$L1793)="","—",INDEX(SCDoc,$L1793)),IF($M1793&lt;&gt;"",INDEX(LdgBankB,$M1793),""))</f>
        <v/>
      </c>
      <c r="E1793" s="19">
        <f>IF($L1793&lt;&gt;"",IF(INDEX(SCCitrus,$L1793)&amp;INDEX(SCNotes,$L1793)="","",IF(INDEX(SCCitrus,$L1793)="","",INDEX(SCCitrus,$L1793))&amp;IF(INDEX(SCNotes,$L1793)="",""," — "&amp;INDEX(SCNotes,$L1793))),IF($M1793&lt;&gt;"",IF(INDEX(LdgNoteB,$M1793)="","—",INDEX(LdgNoteB,$M1793)),""))</f>
        <v/>
      </c>
      <c r="F1793" s="20">
        <f>IF($L1793&lt;&gt;"",IF(INDEX(SCNet,$L1793)=0,"",INDEX(SCNet,$L1793)),"")</f>
        <v/>
      </c>
      <c r="G1793" s="21">
        <f>IF($L1793&lt;&gt;"",IF(INDEX(SCOp,$L1793)="مرجوعی فروش","",IF(INDEX(SCAmount,$L1793)&lt;=0,"",INDEX(SCAmount,$L1793))),IF($M1793&lt;&gt;"",IF(INDEX(LdgWitB,$M1793)=0,"",INDEX(LdgWitB,$M1793)),""))</f>
        <v/>
      </c>
      <c r="H1793" s="21">
        <f>IF($L1793&lt;&gt;"",IF(INDEX(SCOp,$L1793)="مرجوعی فروش",IF(INDEX(SCAmount,$L1793)=0,"",-INDEX(SCAmount,$L1793)),""),IF($M1793&lt;&gt;"",IF(INDEX(LdgDepB,$M1793)=0,"",INDEX(LdgDepB,$M1793)),""))</f>
        <v/>
      </c>
      <c r="I1793" s="22">
        <f>IF($B1793="","",IF($I1792="",$C$10,$I1792)+IF($G1793="",0,$G1793)-IF($H1793="",0,$H1793))</f>
        <v/>
      </c>
      <c r="L1793">
        <f>IFERROR(MATCH($C$5&amp;"|"&amp;RIGHT("000000"&amp;1777,6),LdgRankKeyA,0),"")</f>
        <v/>
      </c>
      <c r="M1793">
        <f>IFERROR(MATCH($C$5&amp;"|"&amp;RIGHT("000000"&amp;1777,6),LdgRankKeyB,0),"")</f>
        <v/>
      </c>
    </row>
    <row r="1794">
      <c r="A1794" s="23" t="n">
        <v>1778</v>
      </c>
      <c r="B1794" s="24">
        <f>IF(AND($L1794="",$M1794=""),"",IF($L1794&lt;&gt;"",INDEX(SCNormDate,$L1794),INDEX(LdgDateB,$M1794)))</f>
        <v/>
      </c>
      <c r="C1794" s="24">
        <f>IF($L1794&lt;&gt;"",INDEX(SCOp,$L1794),IF($M1794&lt;&gt;"","پرداخت بانکی",""))</f>
        <v/>
      </c>
      <c r="D1794" s="24">
        <f>IF($L1794&lt;&gt;"",IF(INDEX(SCDoc,$L1794)="","—",INDEX(SCDoc,$L1794)),IF($M1794&lt;&gt;"",INDEX(LdgBankB,$M1794),""))</f>
        <v/>
      </c>
      <c r="E1794" s="25">
        <f>IF($L1794&lt;&gt;"",IF(INDEX(SCCitrus,$L1794)&amp;INDEX(SCNotes,$L1794)="","",IF(INDEX(SCCitrus,$L1794)="","",INDEX(SCCitrus,$L1794))&amp;IF(INDEX(SCNotes,$L1794)="",""," — "&amp;INDEX(SCNotes,$L1794))),IF($M1794&lt;&gt;"",IF(INDEX(LdgNoteB,$M1794)="","—",INDEX(LdgNoteB,$M1794)),""))</f>
        <v/>
      </c>
      <c r="F1794" s="26">
        <f>IF($L1794&lt;&gt;"",IF(INDEX(SCNet,$L1794)=0,"",INDEX(SCNet,$L1794)),"")</f>
        <v/>
      </c>
      <c r="G1794" s="27">
        <f>IF($L1794&lt;&gt;"",IF(INDEX(SCOp,$L1794)="مرجوعی فروش","",IF(INDEX(SCAmount,$L1794)&lt;=0,"",INDEX(SCAmount,$L1794))),IF($M1794&lt;&gt;"",IF(INDEX(LdgWitB,$M1794)=0,"",INDEX(LdgWitB,$M1794)),""))</f>
        <v/>
      </c>
      <c r="H1794" s="27">
        <f>IF($L1794&lt;&gt;"",IF(INDEX(SCOp,$L1794)="مرجوعی فروش",IF(INDEX(SCAmount,$L1794)=0,"",-INDEX(SCAmount,$L1794)),""),IF($M1794&lt;&gt;"",IF(INDEX(LdgDepB,$M1794)=0,"",INDEX(LdgDepB,$M1794)),""))</f>
        <v/>
      </c>
      <c r="I1794" s="28">
        <f>IF($B1794="","",IF($I1793="",$C$10,$I1793)+IF($G1794="",0,$G1794)-IF($H1794="",0,$H1794))</f>
        <v/>
      </c>
      <c r="L1794">
        <f>IFERROR(MATCH($C$5&amp;"|"&amp;RIGHT("000000"&amp;1778,6),LdgRankKeyA,0),"")</f>
        <v/>
      </c>
      <c r="M1794">
        <f>IFERROR(MATCH($C$5&amp;"|"&amp;RIGHT("000000"&amp;1778,6),LdgRankKeyB,0),"")</f>
        <v/>
      </c>
    </row>
    <row r="1795">
      <c r="A1795" s="17" t="n">
        <v>1779</v>
      </c>
      <c r="B1795" s="18">
        <f>IF(AND($L1795="",$M1795=""),"",IF($L1795&lt;&gt;"",INDEX(SCNormDate,$L1795),INDEX(LdgDateB,$M1795)))</f>
        <v/>
      </c>
      <c r="C1795" s="18">
        <f>IF($L1795&lt;&gt;"",INDEX(SCOp,$L1795),IF($M1795&lt;&gt;"","پرداخت بانکی",""))</f>
        <v/>
      </c>
      <c r="D1795" s="18">
        <f>IF($L1795&lt;&gt;"",IF(INDEX(SCDoc,$L1795)="","—",INDEX(SCDoc,$L1795)),IF($M1795&lt;&gt;"",INDEX(LdgBankB,$M1795),""))</f>
        <v/>
      </c>
      <c r="E1795" s="19">
        <f>IF($L1795&lt;&gt;"",IF(INDEX(SCCitrus,$L1795)&amp;INDEX(SCNotes,$L1795)="","",IF(INDEX(SCCitrus,$L1795)="","",INDEX(SCCitrus,$L1795))&amp;IF(INDEX(SCNotes,$L1795)="",""," — "&amp;INDEX(SCNotes,$L1795))),IF($M1795&lt;&gt;"",IF(INDEX(LdgNoteB,$M1795)="","—",INDEX(LdgNoteB,$M1795)),""))</f>
        <v/>
      </c>
      <c r="F1795" s="20">
        <f>IF($L1795&lt;&gt;"",IF(INDEX(SCNet,$L1795)=0,"",INDEX(SCNet,$L1795)),"")</f>
        <v/>
      </c>
      <c r="G1795" s="21">
        <f>IF($L1795&lt;&gt;"",IF(INDEX(SCOp,$L1795)="مرجوعی فروش","",IF(INDEX(SCAmount,$L1795)&lt;=0,"",INDEX(SCAmount,$L1795))),IF($M1795&lt;&gt;"",IF(INDEX(LdgWitB,$M1795)=0,"",INDEX(LdgWitB,$M1795)),""))</f>
        <v/>
      </c>
      <c r="H1795" s="21">
        <f>IF($L1795&lt;&gt;"",IF(INDEX(SCOp,$L1795)="مرجوعی فروش",IF(INDEX(SCAmount,$L1795)=0,"",-INDEX(SCAmount,$L1795)),""),IF($M1795&lt;&gt;"",IF(INDEX(LdgDepB,$M1795)=0,"",INDEX(LdgDepB,$M1795)),""))</f>
        <v/>
      </c>
      <c r="I1795" s="22">
        <f>IF($B1795="","",IF($I1794="",$C$10,$I1794)+IF($G1795="",0,$G1795)-IF($H1795="",0,$H1795))</f>
        <v/>
      </c>
      <c r="L1795">
        <f>IFERROR(MATCH($C$5&amp;"|"&amp;RIGHT("000000"&amp;1779,6),LdgRankKeyA,0),"")</f>
        <v/>
      </c>
      <c r="M1795">
        <f>IFERROR(MATCH($C$5&amp;"|"&amp;RIGHT("000000"&amp;1779,6),LdgRankKeyB,0),"")</f>
        <v/>
      </c>
    </row>
    <row r="1796">
      <c r="A1796" s="23" t="n">
        <v>1780</v>
      </c>
      <c r="B1796" s="24">
        <f>IF(AND($L1796="",$M1796=""),"",IF($L1796&lt;&gt;"",INDEX(SCNormDate,$L1796),INDEX(LdgDateB,$M1796)))</f>
        <v/>
      </c>
      <c r="C1796" s="24">
        <f>IF($L1796&lt;&gt;"",INDEX(SCOp,$L1796),IF($M1796&lt;&gt;"","پرداخت بانکی",""))</f>
        <v/>
      </c>
      <c r="D1796" s="24">
        <f>IF($L1796&lt;&gt;"",IF(INDEX(SCDoc,$L1796)="","—",INDEX(SCDoc,$L1796)),IF($M1796&lt;&gt;"",INDEX(LdgBankB,$M1796),""))</f>
        <v/>
      </c>
      <c r="E1796" s="25">
        <f>IF($L1796&lt;&gt;"",IF(INDEX(SCCitrus,$L1796)&amp;INDEX(SCNotes,$L1796)="","",IF(INDEX(SCCitrus,$L1796)="","",INDEX(SCCitrus,$L1796))&amp;IF(INDEX(SCNotes,$L1796)="",""," — "&amp;INDEX(SCNotes,$L1796))),IF($M1796&lt;&gt;"",IF(INDEX(LdgNoteB,$M1796)="","—",INDEX(LdgNoteB,$M1796)),""))</f>
        <v/>
      </c>
      <c r="F1796" s="26">
        <f>IF($L1796&lt;&gt;"",IF(INDEX(SCNet,$L1796)=0,"",INDEX(SCNet,$L1796)),"")</f>
        <v/>
      </c>
      <c r="G1796" s="27">
        <f>IF($L1796&lt;&gt;"",IF(INDEX(SCOp,$L1796)="مرجوعی فروش","",IF(INDEX(SCAmount,$L1796)&lt;=0,"",INDEX(SCAmount,$L1796))),IF($M1796&lt;&gt;"",IF(INDEX(LdgWitB,$M1796)=0,"",INDEX(LdgWitB,$M1796)),""))</f>
        <v/>
      </c>
      <c r="H1796" s="27">
        <f>IF($L1796&lt;&gt;"",IF(INDEX(SCOp,$L1796)="مرجوعی فروش",IF(INDEX(SCAmount,$L1796)=0,"",-INDEX(SCAmount,$L1796)),""),IF($M1796&lt;&gt;"",IF(INDEX(LdgDepB,$M1796)=0,"",INDEX(LdgDepB,$M1796)),""))</f>
        <v/>
      </c>
      <c r="I1796" s="28">
        <f>IF($B1796="","",IF($I1795="",$C$10,$I1795)+IF($G1796="",0,$G1796)-IF($H1796="",0,$H1796))</f>
        <v/>
      </c>
      <c r="L1796">
        <f>IFERROR(MATCH($C$5&amp;"|"&amp;RIGHT("000000"&amp;1780,6),LdgRankKeyA,0),"")</f>
        <v/>
      </c>
      <c r="M1796">
        <f>IFERROR(MATCH($C$5&amp;"|"&amp;RIGHT("000000"&amp;1780,6),LdgRankKeyB,0),"")</f>
        <v/>
      </c>
    </row>
    <row r="1797">
      <c r="A1797" s="17" t="n">
        <v>1781</v>
      </c>
      <c r="B1797" s="18">
        <f>IF(AND($L1797="",$M1797=""),"",IF($L1797&lt;&gt;"",INDEX(SCNormDate,$L1797),INDEX(LdgDateB,$M1797)))</f>
        <v/>
      </c>
      <c r="C1797" s="18">
        <f>IF($L1797&lt;&gt;"",INDEX(SCOp,$L1797),IF($M1797&lt;&gt;"","پرداخت بانکی",""))</f>
        <v/>
      </c>
      <c r="D1797" s="18">
        <f>IF($L1797&lt;&gt;"",IF(INDEX(SCDoc,$L1797)="","—",INDEX(SCDoc,$L1797)),IF($M1797&lt;&gt;"",INDEX(LdgBankB,$M1797),""))</f>
        <v/>
      </c>
      <c r="E1797" s="19">
        <f>IF($L1797&lt;&gt;"",IF(INDEX(SCCitrus,$L1797)&amp;INDEX(SCNotes,$L1797)="","",IF(INDEX(SCCitrus,$L1797)="","",INDEX(SCCitrus,$L1797))&amp;IF(INDEX(SCNotes,$L1797)="",""," — "&amp;INDEX(SCNotes,$L1797))),IF($M1797&lt;&gt;"",IF(INDEX(LdgNoteB,$M1797)="","—",INDEX(LdgNoteB,$M1797)),""))</f>
        <v/>
      </c>
      <c r="F1797" s="20">
        <f>IF($L1797&lt;&gt;"",IF(INDEX(SCNet,$L1797)=0,"",INDEX(SCNet,$L1797)),"")</f>
        <v/>
      </c>
      <c r="G1797" s="21">
        <f>IF($L1797&lt;&gt;"",IF(INDEX(SCOp,$L1797)="مرجوعی فروش","",IF(INDEX(SCAmount,$L1797)&lt;=0,"",INDEX(SCAmount,$L1797))),IF($M1797&lt;&gt;"",IF(INDEX(LdgWitB,$M1797)=0,"",INDEX(LdgWitB,$M1797)),""))</f>
        <v/>
      </c>
      <c r="H1797" s="21">
        <f>IF($L1797&lt;&gt;"",IF(INDEX(SCOp,$L1797)="مرجوعی فروش",IF(INDEX(SCAmount,$L1797)=0,"",-INDEX(SCAmount,$L1797)),""),IF($M1797&lt;&gt;"",IF(INDEX(LdgDepB,$M1797)=0,"",INDEX(LdgDepB,$M1797)),""))</f>
        <v/>
      </c>
      <c r="I1797" s="22">
        <f>IF($B1797="","",IF($I1796="",$C$10,$I1796)+IF($G1797="",0,$G1797)-IF($H1797="",0,$H1797))</f>
        <v/>
      </c>
      <c r="L1797">
        <f>IFERROR(MATCH($C$5&amp;"|"&amp;RIGHT("000000"&amp;1781,6),LdgRankKeyA,0),"")</f>
        <v/>
      </c>
      <c r="M1797">
        <f>IFERROR(MATCH($C$5&amp;"|"&amp;RIGHT("000000"&amp;1781,6),LdgRankKeyB,0),"")</f>
        <v/>
      </c>
    </row>
    <row r="1798">
      <c r="A1798" s="23" t="n">
        <v>1782</v>
      </c>
      <c r="B1798" s="24">
        <f>IF(AND($L1798="",$M1798=""),"",IF($L1798&lt;&gt;"",INDEX(SCNormDate,$L1798),INDEX(LdgDateB,$M1798)))</f>
        <v/>
      </c>
      <c r="C1798" s="24">
        <f>IF($L1798&lt;&gt;"",INDEX(SCOp,$L1798),IF($M1798&lt;&gt;"","پرداخت بانکی",""))</f>
        <v/>
      </c>
      <c r="D1798" s="24">
        <f>IF($L1798&lt;&gt;"",IF(INDEX(SCDoc,$L1798)="","—",INDEX(SCDoc,$L1798)),IF($M1798&lt;&gt;"",INDEX(LdgBankB,$M1798),""))</f>
        <v/>
      </c>
      <c r="E1798" s="25">
        <f>IF($L1798&lt;&gt;"",IF(INDEX(SCCitrus,$L1798)&amp;INDEX(SCNotes,$L1798)="","",IF(INDEX(SCCitrus,$L1798)="","",INDEX(SCCitrus,$L1798))&amp;IF(INDEX(SCNotes,$L1798)="",""," — "&amp;INDEX(SCNotes,$L1798))),IF($M1798&lt;&gt;"",IF(INDEX(LdgNoteB,$M1798)="","—",INDEX(LdgNoteB,$M1798)),""))</f>
        <v/>
      </c>
      <c r="F1798" s="26">
        <f>IF($L1798&lt;&gt;"",IF(INDEX(SCNet,$L1798)=0,"",INDEX(SCNet,$L1798)),"")</f>
        <v/>
      </c>
      <c r="G1798" s="27">
        <f>IF($L1798&lt;&gt;"",IF(INDEX(SCOp,$L1798)="مرجوعی فروش","",IF(INDEX(SCAmount,$L1798)&lt;=0,"",INDEX(SCAmount,$L1798))),IF($M1798&lt;&gt;"",IF(INDEX(LdgWitB,$M1798)=0,"",INDEX(LdgWitB,$M1798)),""))</f>
        <v/>
      </c>
      <c r="H1798" s="27">
        <f>IF($L1798&lt;&gt;"",IF(INDEX(SCOp,$L1798)="مرجوعی فروش",IF(INDEX(SCAmount,$L1798)=0,"",-INDEX(SCAmount,$L1798)),""),IF($M1798&lt;&gt;"",IF(INDEX(LdgDepB,$M1798)=0,"",INDEX(LdgDepB,$M1798)),""))</f>
        <v/>
      </c>
      <c r="I1798" s="28">
        <f>IF($B1798="","",IF($I1797="",$C$10,$I1797)+IF($G1798="",0,$G1798)-IF($H1798="",0,$H1798))</f>
        <v/>
      </c>
      <c r="L1798">
        <f>IFERROR(MATCH($C$5&amp;"|"&amp;RIGHT("000000"&amp;1782,6),LdgRankKeyA,0),"")</f>
        <v/>
      </c>
      <c r="M1798">
        <f>IFERROR(MATCH($C$5&amp;"|"&amp;RIGHT("000000"&amp;1782,6),LdgRankKeyB,0),"")</f>
        <v/>
      </c>
    </row>
    <row r="1799">
      <c r="A1799" s="17" t="n">
        <v>1783</v>
      </c>
      <c r="B1799" s="18">
        <f>IF(AND($L1799="",$M1799=""),"",IF($L1799&lt;&gt;"",INDEX(SCNormDate,$L1799),INDEX(LdgDateB,$M1799)))</f>
        <v/>
      </c>
      <c r="C1799" s="18">
        <f>IF($L1799&lt;&gt;"",INDEX(SCOp,$L1799),IF($M1799&lt;&gt;"","پرداخت بانکی",""))</f>
        <v/>
      </c>
      <c r="D1799" s="18">
        <f>IF($L1799&lt;&gt;"",IF(INDEX(SCDoc,$L1799)="","—",INDEX(SCDoc,$L1799)),IF($M1799&lt;&gt;"",INDEX(LdgBankB,$M1799),""))</f>
        <v/>
      </c>
      <c r="E1799" s="19">
        <f>IF($L1799&lt;&gt;"",IF(INDEX(SCCitrus,$L1799)&amp;INDEX(SCNotes,$L1799)="","",IF(INDEX(SCCitrus,$L1799)="","",INDEX(SCCitrus,$L1799))&amp;IF(INDEX(SCNotes,$L1799)="",""," — "&amp;INDEX(SCNotes,$L1799))),IF($M1799&lt;&gt;"",IF(INDEX(LdgNoteB,$M1799)="","—",INDEX(LdgNoteB,$M1799)),""))</f>
        <v/>
      </c>
      <c r="F1799" s="20">
        <f>IF($L1799&lt;&gt;"",IF(INDEX(SCNet,$L1799)=0,"",INDEX(SCNet,$L1799)),"")</f>
        <v/>
      </c>
      <c r="G1799" s="21">
        <f>IF($L1799&lt;&gt;"",IF(INDEX(SCOp,$L1799)="مرجوعی فروش","",IF(INDEX(SCAmount,$L1799)&lt;=0,"",INDEX(SCAmount,$L1799))),IF($M1799&lt;&gt;"",IF(INDEX(LdgWitB,$M1799)=0,"",INDEX(LdgWitB,$M1799)),""))</f>
        <v/>
      </c>
      <c r="H1799" s="21">
        <f>IF($L1799&lt;&gt;"",IF(INDEX(SCOp,$L1799)="مرجوعی فروش",IF(INDEX(SCAmount,$L1799)=0,"",-INDEX(SCAmount,$L1799)),""),IF($M1799&lt;&gt;"",IF(INDEX(LdgDepB,$M1799)=0,"",INDEX(LdgDepB,$M1799)),""))</f>
        <v/>
      </c>
      <c r="I1799" s="22">
        <f>IF($B1799="","",IF($I1798="",$C$10,$I1798)+IF($G1799="",0,$G1799)-IF($H1799="",0,$H1799))</f>
        <v/>
      </c>
      <c r="L1799">
        <f>IFERROR(MATCH($C$5&amp;"|"&amp;RIGHT("000000"&amp;1783,6),LdgRankKeyA,0),"")</f>
        <v/>
      </c>
      <c r="M1799">
        <f>IFERROR(MATCH($C$5&amp;"|"&amp;RIGHT("000000"&amp;1783,6),LdgRankKeyB,0),"")</f>
        <v/>
      </c>
    </row>
    <row r="1800">
      <c r="A1800" s="23" t="n">
        <v>1784</v>
      </c>
      <c r="B1800" s="24">
        <f>IF(AND($L1800="",$M1800=""),"",IF($L1800&lt;&gt;"",INDEX(SCNormDate,$L1800),INDEX(LdgDateB,$M1800)))</f>
        <v/>
      </c>
      <c r="C1800" s="24">
        <f>IF($L1800&lt;&gt;"",INDEX(SCOp,$L1800),IF($M1800&lt;&gt;"","پرداخت بانکی",""))</f>
        <v/>
      </c>
      <c r="D1800" s="24">
        <f>IF($L1800&lt;&gt;"",IF(INDEX(SCDoc,$L1800)="","—",INDEX(SCDoc,$L1800)),IF($M1800&lt;&gt;"",INDEX(LdgBankB,$M1800),""))</f>
        <v/>
      </c>
      <c r="E1800" s="25">
        <f>IF($L1800&lt;&gt;"",IF(INDEX(SCCitrus,$L1800)&amp;INDEX(SCNotes,$L1800)="","",IF(INDEX(SCCitrus,$L1800)="","",INDEX(SCCitrus,$L1800))&amp;IF(INDEX(SCNotes,$L1800)="",""," — "&amp;INDEX(SCNotes,$L1800))),IF($M1800&lt;&gt;"",IF(INDEX(LdgNoteB,$M1800)="","—",INDEX(LdgNoteB,$M1800)),""))</f>
        <v/>
      </c>
      <c r="F1800" s="26">
        <f>IF($L1800&lt;&gt;"",IF(INDEX(SCNet,$L1800)=0,"",INDEX(SCNet,$L1800)),"")</f>
        <v/>
      </c>
      <c r="G1800" s="27">
        <f>IF($L1800&lt;&gt;"",IF(INDEX(SCOp,$L1800)="مرجوعی فروش","",IF(INDEX(SCAmount,$L1800)&lt;=0,"",INDEX(SCAmount,$L1800))),IF($M1800&lt;&gt;"",IF(INDEX(LdgWitB,$M1800)=0,"",INDEX(LdgWitB,$M1800)),""))</f>
        <v/>
      </c>
      <c r="H1800" s="27">
        <f>IF($L1800&lt;&gt;"",IF(INDEX(SCOp,$L1800)="مرجوعی فروش",IF(INDEX(SCAmount,$L1800)=0,"",-INDEX(SCAmount,$L1800)),""),IF($M1800&lt;&gt;"",IF(INDEX(LdgDepB,$M1800)=0,"",INDEX(LdgDepB,$M1800)),""))</f>
        <v/>
      </c>
      <c r="I1800" s="28">
        <f>IF($B1800="","",IF($I1799="",$C$10,$I1799)+IF($G1800="",0,$G1800)-IF($H1800="",0,$H1800))</f>
        <v/>
      </c>
      <c r="L1800">
        <f>IFERROR(MATCH($C$5&amp;"|"&amp;RIGHT("000000"&amp;1784,6),LdgRankKeyA,0),"")</f>
        <v/>
      </c>
      <c r="M1800">
        <f>IFERROR(MATCH($C$5&amp;"|"&amp;RIGHT("000000"&amp;1784,6),LdgRankKeyB,0),"")</f>
        <v/>
      </c>
    </row>
    <row r="1801">
      <c r="A1801" s="17" t="n">
        <v>1785</v>
      </c>
      <c r="B1801" s="18">
        <f>IF(AND($L1801="",$M1801=""),"",IF($L1801&lt;&gt;"",INDEX(SCNormDate,$L1801),INDEX(LdgDateB,$M1801)))</f>
        <v/>
      </c>
      <c r="C1801" s="18">
        <f>IF($L1801&lt;&gt;"",INDEX(SCOp,$L1801),IF($M1801&lt;&gt;"","پرداخت بانکی",""))</f>
        <v/>
      </c>
      <c r="D1801" s="18">
        <f>IF($L1801&lt;&gt;"",IF(INDEX(SCDoc,$L1801)="","—",INDEX(SCDoc,$L1801)),IF($M1801&lt;&gt;"",INDEX(LdgBankB,$M1801),""))</f>
        <v/>
      </c>
      <c r="E1801" s="19">
        <f>IF($L1801&lt;&gt;"",IF(INDEX(SCCitrus,$L1801)&amp;INDEX(SCNotes,$L1801)="","",IF(INDEX(SCCitrus,$L1801)="","",INDEX(SCCitrus,$L1801))&amp;IF(INDEX(SCNotes,$L1801)="",""," — "&amp;INDEX(SCNotes,$L1801))),IF($M1801&lt;&gt;"",IF(INDEX(LdgNoteB,$M1801)="","—",INDEX(LdgNoteB,$M1801)),""))</f>
        <v/>
      </c>
      <c r="F1801" s="20">
        <f>IF($L1801&lt;&gt;"",IF(INDEX(SCNet,$L1801)=0,"",INDEX(SCNet,$L1801)),"")</f>
        <v/>
      </c>
      <c r="G1801" s="21">
        <f>IF($L1801&lt;&gt;"",IF(INDEX(SCOp,$L1801)="مرجوعی فروش","",IF(INDEX(SCAmount,$L1801)&lt;=0,"",INDEX(SCAmount,$L1801))),IF($M1801&lt;&gt;"",IF(INDEX(LdgWitB,$M1801)=0,"",INDEX(LdgWitB,$M1801)),""))</f>
        <v/>
      </c>
      <c r="H1801" s="21">
        <f>IF($L1801&lt;&gt;"",IF(INDEX(SCOp,$L1801)="مرجوعی فروش",IF(INDEX(SCAmount,$L1801)=0,"",-INDEX(SCAmount,$L1801)),""),IF($M1801&lt;&gt;"",IF(INDEX(LdgDepB,$M1801)=0,"",INDEX(LdgDepB,$M1801)),""))</f>
        <v/>
      </c>
      <c r="I1801" s="22">
        <f>IF($B1801="","",IF($I1800="",$C$10,$I1800)+IF($G1801="",0,$G1801)-IF($H1801="",0,$H1801))</f>
        <v/>
      </c>
      <c r="L1801">
        <f>IFERROR(MATCH($C$5&amp;"|"&amp;RIGHT("000000"&amp;1785,6),LdgRankKeyA,0),"")</f>
        <v/>
      </c>
      <c r="M1801">
        <f>IFERROR(MATCH($C$5&amp;"|"&amp;RIGHT("000000"&amp;1785,6),LdgRankKeyB,0),"")</f>
        <v/>
      </c>
    </row>
    <row r="1802">
      <c r="A1802" s="23" t="n">
        <v>1786</v>
      </c>
      <c r="B1802" s="24">
        <f>IF(AND($L1802="",$M1802=""),"",IF($L1802&lt;&gt;"",INDEX(SCNormDate,$L1802),INDEX(LdgDateB,$M1802)))</f>
        <v/>
      </c>
      <c r="C1802" s="24">
        <f>IF($L1802&lt;&gt;"",INDEX(SCOp,$L1802),IF($M1802&lt;&gt;"","پرداخت بانکی",""))</f>
        <v/>
      </c>
      <c r="D1802" s="24">
        <f>IF($L1802&lt;&gt;"",IF(INDEX(SCDoc,$L1802)="","—",INDEX(SCDoc,$L1802)),IF($M1802&lt;&gt;"",INDEX(LdgBankB,$M1802),""))</f>
        <v/>
      </c>
      <c r="E1802" s="25">
        <f>IF($L1802&lt;&gt;"",IF(INDEX(SCCitrus,$L1802)&amp;INDEX(SCNotes,$L1802)="","",IF(INDEX(SCCitrus,$L1802)="","",INDEX(SCCitrus,$L1802))&amp;IF(INDEX(SCNotes,$L1802)="",""," — "&amp;INDEX(SCNotes,$L1802))),IF($M1802&lt;&gt;"",IF(INDEX(LdgNoteB,$M1802)="","—",INDEX(LdgNoteB,$M1802)),""))</f>
        <v/>
      </c>
      <c r="F1802" s="26">
        <f>IF($L1802&lt;&gt;"",IF(INDEX(SCNet,$L1802)=0,"",INDEX(SCNet,$L1802)),"")</f>
        <v/>
      </c>
      <c r="G1802" s="27">
        <f>IF($L1802&lt;&gt;"",IF(INDEX(SCOp,$L1802)="مرجوعی فروش","",IF(INDEX(SCAmount,$L1802)&lt;=0,"",INDEX(SCAmount,$L1802))),IF($M1802&lt;&gt;"",IF(INDEX(LdgWitB,$M1802)=0,"",INDEX(LdgWitB,$M1802)),""))</f>
        <v/>
      </c>
      <c r="H1802" s="27">
        <f>IF($L1802&lt;&gt;"",IF(INDEX(SCOp,$L1802)="مرجوعی فروش",IF(INDEX(SCAmount,$L1802)=0,"",-INDEX(SCAmount,$L1802)),""),IF($M1802&lt;&gt;"",IF(INDEX(LdgDepB,$M1802)=0,"",INDEX(LdgDepB,$M1802)),""))</f>
        <v/>
      </c>
      <c r="I1802" s="28">
        <f>IF($B1802="","",IF($I1801="",$C$10,$I1801)+IF($G1802="",0,$G1802)-IF($H1802="",0,$H1802))</f>
        <v/>
      </c>
      <c r="L1802">
        <f>IFERROR(MATCH($C$5&amp;"|"&amp;RIGHT("000000"&amp;1786,6),LdgRankKeyA,0),"")</f>
        <v/>
      </c>
      <c r="M1802">
        <f>IFERROR(MATCH($C$5&amp;"|"&amp;RIGHT("000000"&amp;1786,6),LdgRankKeyB,0),"")</f>
        <v/>
      </c>
    </row>
    <row r="1803">
      <c r="A1803" s="17" t="n">
        <v>1787</v>
      </c>
      <c r="B1803" s="18">
        <f>IF(AND($L1803="",$M1803=""),"",IF($L1803&lt;&gt;"",INDEX(SCNormDate,$L1803),INDEX(LdgDateB,$M1803)))</f>
        <v/>
      </c>
      <c r="C1803" s="18">
        <f>IF($L1803&lt;&gt;"",INDEX(SCOp,$L1803),IF($M1803&lt;&gt;"","پرداخت بانکی",""))</f>
        <v/>
      </c>
      <c r="D1803" s="18">
        <f>IF($L1803&lt;&gt;"",IF(INDEX(SCDoc,$L1803)="","—",INDEX(SCDoc,$L1803)),IF($M1803&lt;&gt;"",INDEX(LdgBankB,$M1803),""))</f>
        <v/>
      </c>
      <c r="E1803" s="19">
        <f>IF($L1803&lt;&gt;"",IF(INDEX(SCCitrus,$L1803)&amp;INDEX(SCNotes,$L1803)="","",IF(INDEX(SCCitrus,$L1803)="","",INDEX(SCCitrus,$L1803))&amp;IF(INDEX(SCNotes,$L1803)="",""," — "&amp;INDEX(SCNotes,$L1803))),IF($M1803&lt;&gt;"",IF(INDEX(LdgNoteB,$M1803)="","—",INDEX(LdgNoteB,$M1803)),""))</f>
        <v/>
      </c>
      <c r="F1803" s="20">
        <f>IF($L1803&lt;&gt;"",IF(INDEX(SCNet,$L1803)=0,"",INDEX(SCNet,$L1803)),"")</f>
        <v/>
      </c>
      <c r="G1803" s="21">
        <f>IF($L1803&lt;&gt;"",IF(INDEX(SCOp,$L1803)="مرجوعی فروش","",IF(INDEX(SCAmount,$L1803)&lt;=0,"",INDEX(SCAmount,$L1803))),IF($M1803&lt;&gt;"",IF(INDEX(LdgWitB,$M1803)=0,"",INDEX(LdgWitB,$M1803)),""))</f>
        <v/>
      </c>
      <c r="H1803" s="21">
        <f>IF($L1803&lt;&gt;"",IF(INDEX(SCOp,$L1803)="مرجوعی فروش",IF(INDEX(SCAmount,$L1803)=0,"",-INDEX(SCAmount,$L1803)),""),IF($M1803&lt;&gt;"",IF(INDEX(LdgDepB,$M1803)=0,"",INDEX(LdgDepB,$M1803)),""))</f>
        <v/>
      </c>
      <c r="I1803" s="22">
        <f>IF($B1803="","",IF($I1802="",$C$10,$I1802)+IF($G1803="",0,$G1803)-IF($H1803="",0,$H1803))</f>
        <v/>
      </c>
      <c r="L1803">
        <f>IFERROR(MATCH($C$5&amp;"|"&amp;RIGHT("000000"&amp;1787,6),LdgRankKeyA,0),"")</f>
        <v/>
      </c>
      <c r="M1803">
        <f>IFERROR(MATCH($C$5&amp;"|"&amp;RIGHT("000000"&amp;1787,6),LdgRankKeyB,0),"")</f>
        <v/>
      </c>
    </row>
    <row r="1804">
      <c r="A1804" s="23" t="n">
        <v>1788</v>
      </c>
      <c r="B1804" s="24">
        <f>IF(AND($L1804="",$M1804=""),"",IF($L1804&lt;&gt;"",INDEX(SCNormDate,$L1804),INDEX(LdgDateB,$M1804)))</f>
        <v/>
      </c>
      <c r="C1804" s="24">
        <f>IF($L1804&lt;&gt;"",INDEX(SCOp,$L1804),IF($M1804&lt;&gt;"","پرداخت بانکی",""))</f>
        <v/>
      </c>
      <c r="D1804" s="24">
        <f>IF($L1804&lt;&gt;"",IF(INDEX(SCDoc,$L1804)="","—",INDEX(SCDoc,$L1804)),IF($M1804&lt;&gt;"",INDEX(LdgBankB,$M1804),""))</f>
        <v/>
      </c>
      <c r="E1804" s="25">
        <f>IF($L1804&lt;&gt;"",IF(INDEX(SCCitrus,$L1804)&amp;INDEX(SCNotes,$L1804)="","",IF(INDEX(SCCitrus,$L1804)="","",INDEX(SCCitrus,$L1804))&amp;IF(INDEX(SCNotes,$L1804)="",""," — "&amp;INDEX(SCNotes,$L1804))),IF($M1804&lt;&gt;"",IF(INDEX(LdgNoteB,$M1804)="","—",INDEX(LdgNoteB,$M1804)),""))</f>
        <v/>
      </c>
      <c r="F1804" s="26">
        <f>IF($L1804&lt;&gt;"",IF(INDEX(SCNet,$L1804)=0,"",INDEX(SCNet,$L1804)),"")</f>
        <v/>
      </c>
      <c r="G1804" s="27">
        <f>IF($L1804&lt;&gt;"",IF(INDEX(SCOp,$L1804)="مرجوعی فروش","",IF(INDEX(SCAmount,$L1804)&lt;=0,"",INDEX(SCAmount,$L1804))),IF($M1804&lt;&gt;"",IF(INDEX(LdgWitB,$M1804)=0,"",INDEX(LdgWitB,$M1804)),""))</f>
        <v/>
      </c>
      <c r="H1804" s="27">
        <f>IF($L1804&lt;&gt;"",IF(INDEX(SCOp,$L1804)="مرجوعی فروش",IF(INDEX(SCAmount,$L1804)=0,"",-INDEX(SCAmount,$L1804)),""),IF($M1804&lt;&gt;"",IF(INDEX(LdgDepB,$M1804)=0,"",INDEX(LdgDepB,$M1804)),""))</f>
        <v/>
      </c>
      <c r="I1804" s="28">
        <f>IF($B1804="","",IF($I1803="",$C$10,$I1803)+IF($G1804="",0,$G1804)-IF($H1804="",0,$H1804))</f>
        <v/>
      </c>
      <c r="L1804">
        <f>IFERROR(MATCH($C$5&amp;"|"&amp;RIGHT("000000"&amp;1788,6),LdgRankKeyA,0),"")</f>
        <v/>
      </c>
      <c r="M1804">
        <f>IFERROR(MATCH($C$5&amp;"|"&amp;RIGHT("000000"&amp;1788,6),LdgRankKeyB,0),"")</f>
        <v/>
      </c>
    </row>
    <row r="1805">
      <c r="A1805" s="17" t="n">
        <v>1789</v>
      </c>
      <c r="B1805" s="18">
        <f>IF(AND($L1805="",$M1805=""),"",IF($L1805&lt;&gt;"",INDEX(SCNormDate,$L1805),INDEX(LdgDateB,$M1805)))</f>
        <v/>
      </c>
      <c r="C1805" s="18">
        <f>IF($L1805&lt;&gt;"",INDEX(SCOp,$L1805),IF($M1805&lt;&gt;"","پرداخت بانکی",""))</f>
        <v/>
      </c>
      <c r="D1805" s="18">
        <f>IF($L1805&lt;&gt;"",IF(INDEX(SCDoc,$L1805)="","—",INDEX(SCDoc,$L1805)),IF($M1805&lt;&gt;"",INDEX(LdgBankB,$M1805),""))</f>
        <v/>
      </c>
      <c r="E1805" s="19">
        <f>IF($L1805&lt;&gt;"",IF(INDEX(SCCitrus,$L1805)&amp;INDEX(SCNotes,$L1805)="","",IF(INDEX(SCCitrus,$L1805)="","",INDEX(SCCitrus,$L1805))&amp;IF(INDEX(SCNotes,$L1805)="",""," — "&amp;INDEX(SCNotes,$L1805))),IF($M1805&lt;&gt;"",IF(INDEX(LdgNoteB,$M1805)="","—",INDEX(LdgNoteB,$M1805)),""))</f>
        <v/>
      </c>
      <c r="F1805" s="20">
        <f>IF($L1805&lt;&gt;"",IF(INDEX(SCNet,$L1805)=0,"",INDEX(SCNet,$L1805)),"")</f>
        <v/>
      </c>
      <c r="G1805" s="21">
        <f>IF($L1805&lt;&gt;"",IF(INDEX(SCOp,$L1805)="مرجوعی فروش","",IF(INDEX(SCAmount,$L1805)&lt;=0,"",INDEX(SCAmount,$L1805))),IF($M1805&lt;&gt;"",IF(INDEX(LdgWitB,$M1805)=0,"",INDEX(LdgWitB,$M1805)),""))</f>
        <v/>
      </c>
      <c r="H1805" s="21">
        <f>IF($L1805&lt;&gt;"",IF(INDEX(SCOp,$L1805)="مرجوعی فروش",IF(INDEX(SCAmount,$L1805)=0,"",-INDEX(SCAmount,$L1805)),""),IF($M1805&lt;&gt;"",IF(INDEX(LdgDepB,$M1805)=0,"",INDEX(LdgDepB,$M1805)),""))</f>
        <v/>
      </c>
      <c r="I1805" s="22">
        <f>IF($B1805="","",IF($I1804="",$C$10,$I1804)+IF($G1805="",0,$G1805)-IF($H1805="",0,$H1805))</f>
        <v/>
      </c>
      <c r="L1805">
        <f>IFERROR(MATCH($C$5&amp;"|"&amp;RIGHT("000000"&amp;1789,6),LdgRankKeyA,0),"")</f>
        <v/>
      </c>
      <c r="M1805">
        <f>IFERROR(MATCH($C$5&amp;"|"&amp;RIGHT("000000"&amp;1789,6),LdgRankKeyB,0),"")</f>
        <v/>
      </c>
    </row>
    <row r="1806">
      <c r="A1806" s="23" t="n">
        <v>1790</v>
      </c>
      <c r="B1806" s="24">
        <f>IF(AND($L1806="",$M1806=""),"",IF($L1806&lt;&gt;"",INDEX(SCNormDate,$L1806),INDEX(LdgDateB,$M1806)))</f>
        <v/>
      </c>
      <c r="C1806" s="24">
        <f>IF($L1806&lt;&gt;"",INDEX(SCOp,$L1806),IF($M1806&lt;&gt;"","پرداخت بانکی",""))</f>
        <v/>
      </c>
      <c r="D1806" s="24">
        <f>IF($L1806&lt;&gt;"",IF(INDEX(SCDoc,$L1806)="","—",INDEX(SCDoc,$L1806)),IF($M1806&lt;&gt;"",INDEX(LdgBankB,$M1806),""))</f>
        <v/>
      </c>
      <c r="E1806" s="25">
        <f>IF($L1806&lt;&gt;"",IF(INDEX(SCCitrus,$L1806)&amp;INDEX(SCNotes,$L1806)="","",IF(INDEX(SCCitrus,$L1806)="","",INDEX(SCCitrus,$L1806))&amp;IF(INDEX(SCNotes,$L1806)="",""," — "&amp;INDEX(SCNotes,$L1806))),IF($M1806&lt;&gt;"",IF(INDEX(LdgNoteB,$M1806)="","—",INDEX(LdgNoteB,$M1806)),""))</f>
        <v/>
      </c>
      <c r="F1806" s="26">
        <f>IF($L1806&lt;&gt;"",IF(INDEX(SCNet,$L1806)=0,"",INDEX(SCNet,$L1806)),"")</f>
        <v/>
      </c>
      <c r="G1806" s="27">
        <f>IF($L1806&lt;&gt;"",IF(INDEX(SCOp,$L1806)="مرجوعی فروش","",IF(INDEX(SCAmount,$L1806)&lt;=0,"",INDEX(SCAmount,$L1806))),IF($M1806&lt;&gt;"",IF(INDEX(LdgWitB,$M1806)=0,"",INDEX(LdgWitB,$M1806)),""))</f>
        <v/>
      </c>
      <c r="H1806" s="27">
        <f>IF($L1806&lt;&gt;"",IF(INDEX(SCOp,$L1806)="مرجوعی فروش",IF(INDEX(SCAmount,$L1806)=0,"",-INDEX(SCAmount,$L1806)),""),IF($M1806&lt;&gt;"",IF(INDEX(LdgDepB,$M1806)=0,"",INDEX(LdgDepB,$M1806)),""))</f>
        <v/>
      </c>
      <c r="I1806" s="28">
        <f>IF($B1806="","",IF($I1805="",$C$10,$I1805)+IF($G1806="",0,$G1806)-IF($H1806="",0,$H1806))</f>
        <v/>
      </c>
      <c r="L1806">
        <f>IFERROR(MATCH($C$5&amp;"|"&amp;RIGHT("000000"&amp;1790,6),LdgRankKeyA,0),"")</f>
        <v/>
      </c>
      <c r="M1806">
        <f>IFERROR(MATCH($C$5&amp;"|"&amp;RIGHT("000000"&amp;1790,6),LdgRankKeyB,0),"")</f>
        <v/>
      </c>
    </row>
    <row r="1807">
      <c r="A1807" s="17" t="n">
        <v>1791</v>
      </c>
      <c r="B1807" s="18">
        <f>IF(AND($L1807="",$M1807=""),"",IF($L1807&lt;&gt;"",INDEX(SCNormDate,$L1807),INDEX(LdgDateB,$M1807)))</f>
        <v/>
      </c>
      <c r="C1807" s="18">
        <f>IF($L1807&lt;&gt;"",INDEX(SCOp,$L1807),IF($M1807&lt;&gt;"","پرداخت بانکی",""))</f>
        <v/>
      </c>
      <c r="D1807" s="18">
        <f>IF($L1807&lt;&gt;"",IF(INDEX(SCDoc,$L1807)="","—",INDEX(SCDoc,$L1807)),IF($M1807&lt;&gt;"",INDEX(LdgBankB,$M1807),""))</f>
        <v/>
      </c>
      <c r="E1807" s="19">
        <f>IF($L1807&lt;&gt;"",IF(INDEX(SCCitrus,$L1807)&amp;INDEX(SCNotes,$L1807)="","",IF(INDEX(SCCitrus,$L1807)="","",INDEX(SCCitrus,$L1807))&amp;IF(INDEX(SCNotes,$L1807)="",""," — "&amp;INDEX(SCNotes,$L1807))),IF($M1807&lt;&gt;"",IF(INDEX(LdgNoteB,$M1807)="","—",INDEX(LdgNoteB,$M1807)),""))</f>
        <v/>
      </c>
      <c r="F1807" s="20">
        <f>IF($L1807&lt;&gt;"",IF(INDEX(SCNet,$L1807)=0,"",INDEX(SCNet,$L1807)),"")</f>
        <v/>
      </c>
      <c r="G1807" s="21">
        <f>IF($L1807&lt;&gt;"",IF(INDEX(SCOp,$L1807)="مرجوعی فروش","",IF(INDEX(SCAmount,$L1807)&lt;=0,"",INDEX(SCAmount,$L1807))),IF($M1807&lt;&gt;"",IF(INDEX(LdgWitB,$M1807)=0,"",INDEX(LdgWitB,$M1807)),""))</f>
        <v/>
      </c>
      <c r="H1807" s="21">
        <f>IF($L1807&lt;&gt;"",IF(INDEX(SCOp,$L1807)="مرجوعی فروش",IF(INDEX(SCAmount,$L1807)=0,"",-INDEX(SCAmount,$L1807)),""),IF($M1807&lt;&gt;"",IF(INDEX(LdgDepB,$M1807)=0,"",INDEX(LdgDepB,$M1807)),""))</f>
        <v/>
      </c>
      <c r="I1807" s="22">
        <f>IF($B1807="","",IF($I1806="",$C$10,$I1806)+IF($G1807="",0,$G1807)-IF($H1807="",0,$H1807))</f>
        <v/>
      </c>
      <c r="L1807">
        <f>IFERROR(MATCH($C$5&amp;"|"&amp;RIGHT("000000"&amp;1791,6),LdgRankKeyA,0),"")</f>
        <v/>
      </c>
      <c r="M1807">
        <f>IFERROR(MATCH($C$5&amp;"|"&amp;RIGHT("000000"&amp;1791,6),LdgRankKeyB,0),"")</f>
        <v/>
      </c>
    </row>
    <row r="1808">
      <c r="A1808" s="23" t="n">
        <v>1792</v>
      </c>
      <c r="B1808" s="24">
        <f>IF(AND($L1808="",$M1808=""),"",IF($L1808&lt;&gt;"",INDEX(SCNormDate,$L1808),INDEX(LdgDateB,$M1808)))</f>
        <v/>
      </c>
      <c r="C1808" s="24">
        <f>IF($L1808&lt;&gt;"",INDEX(SCOp,$L1808),IF($M1808&lt;&gt;"","پرداخت بانکی",""))</f>
        <v/>
      </c>
      <c r="D1808" s="24">
        <f>IF($L1808&lt;&gt;"",IF(INDEX(SCDoc,$L1808)="","—",INDEX(SCDoc,$L1808)),IF($M1808&lt;&gt;"",INDEX(LdgBankB,$M1808),""))</f>
        <v/>
      </c>
      <c r="E1808" s="25">
        <f>IF($L1808&lt;&gt;"",IF(INDEX(SCCitrus,$L1808)&amp;INDEX(SCNotes,$L1808)="","",IF(INDEX(SCCitrus,$L1808)="","",INDEX(SCCitrus,$L1808))&amp;IF(INDEX(SCNotes,$L1808)="",""," — "&amp;INDEX(SCNotes,$L1808))),IF($M1808&lt;&gt;"",IF(INDEX(LdgNoteB,$M1808)="","—",INDEX(LdgNoteB,$M1808)),""))</f>
        <v/>
      </c>
      <c r="F1808" s="26">
        <f>IF($L1808&lt;&gt;"",IF(INDEX(SCNet,$L1808)=0,"",INDEX(SCNet,$L1808)),"")</f>
        <v/>
      </c>
      <c r="G1808" s="27">
        <f>IF($L1808&lt;&gt;"",IF(INDEX(SCOp,$L1808)="مرجوعی فروش","",IF(INDEX(SCAmount,$L1808)&lt;=0,"",INDEX(SCAmount,$L1808))),IF($M1808&lt;&gt;"",IF(INDEX(LdgWitB,$M1808)=0,"",INDEX(LdgWitB,$M1808)),""))</f>
        <v/>
      </c>
      <c r="H1808" s="27">
        <f>IF($L1808&lt;&gt;"",IF(INDEX(SCOp,$L1808)="مرجوعی فروش",IF(INDEX(SCAmount,$L1808)=0,"",-INDEX(SCAmount,$L1808)),""),IF($M1808&lt;&gt;"",IF(INDEX(LdgDepB,$M1808)=0,"",INDEX(LdgDepB,$M1808)),""))</f>
        <v/>
      </c>
      <c r="I1808" s="28">
        <f>IF($B1808="","",IF($I1807="",$C$10,$I1807)+IF($G1808="",0,$G1808)-IF($H1808="",0,$H1808))</f>
        <v/>
      </c>
      <c r="L1808">
        <f>IFERROR(MATCH($C$5&amp;"|"&amp;RIGHT("000000"&amp;1792,6),LdgRankKeyA,0),"")</f>
        <v/>
      </c>
      <c r="M1808">
        <f>IFERROR(MATCH($C$5&amp;"|"&amp;RIGHT("000000"&amp;1792,6),LdgRankKeyB,0),"")</f>
        <v/>
      </c>
    </row>
    <row r="1809">
      <c r="A1809" s="17" t="n">
        <v>1793</v>
      </c>
      <c r="B1809" s="18">
        <f>IF(AND($L1809="",$M1809=""),"",IF($L1809&lt;&gt;"",INDEX(SCNormDate,$L1809),INDEX(LdgDateB,$M1809)))</f>
        <v/>
      </c>
      <c r="C1809" s="18">
        <f>IF($L1809&lt;&gt;"",INDEX(SCOp,$L1809),IF($M1809&lt;&gt;"","پرداخت بانکی",""))</f>
        <v/>
      </c>
      <c r="D1809" s="18">
        <f>IF($L1809&lt;&gt;"",IF(INDEX(SCDoc,$L1809)="","—",INDEX(SCDoc,$L1809)),IF($M1809&lt;&gt;"",INDEX(LdgBankB,$M1809),""))</f>
        <v/>
      </c>
      <c r="E1809" s="19">
        <f>IF($L1809&lt;&gt;"",IF(INDEX(SCCitrus,$L1809)&amp;INDEX(SCNotes,$L1809)="","",IF(INDEX(SCCitrus,$L1809)="","",INDEX(SCCitrus,$L1809))&amp;IF(INDEX(SCNotes,$L1809)="",""," — "&amp;INDEX(SCNotes,$L1809))),IF($M1809&lt;&gt;"",IF(INDEX(LdgNoteB,$M1809)="","—",INDEX(LdgNoteB,$M1809)),""))</f>
        <v/>
      </c>
      <c r="F1809" s="20">
        <f>IF($L1809&lt;&gt;"",IF(INDEX(SCNet,$L1809)=0,"",INDEX(SCNet,$L1809)),"")</f>
        <v/>
      </c>
      <c r="G1809" s="21">
        <f>IF($L1809&lt;&gt;"",IF(INDEX(SCOp,$L1809)="مرجوعی فروش","",IF(INDEX(SCAmount,$L1809)&lt;=0,"",INDEX(SCAmount,$L1809))),IF($M1809&lt;&gt;"",IF(INDEX(LdgWitB,$M1809)=0,"",INDEX(LdgWitB,$M1809)),""))</f>
        <v/>
      </c>
      <c r="H1809" s="21">
        <f>IF($L1809&lt;&gt;"",IF(INDEX(SCOp,$L1809)="مرجوعی فروش",IF(INDEX(SCAmount,$L1809)=0,"",-INDEX(SCAmount,$L1809)),""),IF($M1809&lt;&gt;"",IF(INDEX(LdgDepB,$M1809)=0,"",INDEX(LdgDepB,$M1809)),""))</f>
        <v/>
      </c>
      <c r="I1809" s="22">
        <f>IF($B1809="","",IF($I1808="",$C$10,$I1808)+IF($G1809="",0,$G1809)-IF($H1809="",0,$H1809))</f>
        <v/>
      </c>
      <c r="L1809">
        <f>IFERROR(MATCH($C$5&amp;"|"&amp;RIGHT("000000"&amp;1793,6),LdgRankKeyA,0),"")</f>
        <v/>
      </c>
      <c r="M1809">
        <f>IFERROR(MATCH($C$5&amp;"|"&amp;RIGHT("000000"&amp;1793,6),LdgRankKeyB,0),"")</f>
        <v/>
      </c>
    </row>
    <row r="1810">
      <c r="A1810" s="23" t="n">
        <v>1794</v>
      </c>
      <c r="B1810" s="24">
        <f>IF(AND($L1810="",$M1810=""),"",IF($L1810&lt;&gt;"",INDEX(SCNormDate,$L1810),INDEX(LdgDateB,$M1810)))</f>
        <v/>
      </c>
      <c r="C1810" s="24">
        <f>IF($L1810&lt;&gt;"",INDEX(SCOp,$L1810),IF($M1810&lt;&gt;"","پرداخت بانکی",""))</f>
        <v/>
      </c>
      <c r="D1810" s="24">
        <f>IF($L1810&lt;&gt;"",IF(INDEX(SCDoc,$L1810)="","—",INDEX(SCDoc,$L1810)),IF($M1810&lt;&gt;"",INDEX(LdgBankB,$M1810),""))</f>
        <v/>
      </c>
      <c r="E1810" s="25">
        <f>IF($L1810&lt;&gt;"",IF(INDEX(SCCitrus,$L1810)&amp;INDEX(SCNotes,$L1810)="","",IF(INDEX(SCCitrus,$L1810)="","",INDEX(SCCitrus,$L1810))&amp;IF(INDEX(SCNotes,$L1810)="",""," — "&amp;INDEX(SCNotes,$L1810))),IF($M1810&lt;&gt;"",IF(INDEX(LdgNoteB,$M1810)="","—",INDEX(LdgNoteB,$M1810)),""))</f>
        <v/>
      </c>
      <c r="F1810" s="26">
        <f>IF($L1810&lt;&gt;"",IF(INDEX(SCNet,$L1810)=0,"",INDEX(SCNet,$L1810)),"")</f>
        <v/>
      </c>
      <c r="G1810" s="27">
        <f>IF($L1810&lt;&gt;"",IF(INDEX(SCOp,$L1810)="مرجوعی فروش","",IF(INDEX(SCAmount,$L1810)&lt;=0,"",INDEX(SCAmount,$L1810))),IF($M1810&lt;&gt;"",IF(INDEX(LdgWitB,$M1810)=0,"",INDEX(LdgWitB,$M1810)),""))</f>
        <v/>
      </c>
      <c r="H1810" s="27">
        <f>IF($L1810&lt;&gt;"",IF(INDEX(SCOp,$L1810)="مرجوعی فروش",IF(INDEX(SCAmount,$L1810)=0,"",-INDEX(SCAmount,$L1810)),""),IF($M1810&lt;&gt;"",IF(INDEX(LdgDepB,$M1810)=0,"",INDEX(LdgDepB,$M1810)),""))</f>
        <v/>
      </c>
      <c r="I1810" s="28">
        <f>IF($B1810="","",IF($I1809="",$C$10,$I1809)+IF($G1810="",0,$G1810)-IF($H1810="",0,$H1810))</f>
        <v/>
      </c>
      <c r="L1810">
        <f>IFERROR(MATCH($C$5&amp;"|"&amp;RIGHT("000000"&amp;1794,6),LdgRankKeyA,0),"")</f>
        <v/>
      </c>
      <c r="M1810">
        <f>IFERROR(MATCH($C$5&amp;"|"&amp;RIGHT("000000"&amp;1794,6),LdgRankKeyB,0),"")</f>
        <v/>
      </c>
    </row>
    <row r="1811">
      <c r="A1811" s="17" t="n">
        <v>1795</v>
      </c>
      <c r="B1811" s="18">
        <f>IF(AND($L1811="",$M1811=""),"",IF($L1811&lt;&gt;"",INDEX(SCNormDate,$L1811),INDEX(LdgDateB,$M1811)))</f>
        <v/>
      </c>
      <c r="C1811" s="18">
        <f>IF($L1811&lt;&gt;"",INDEX(SCOp,$L1811),IF($M1811&lt;&gt;"","پرداخت بانکی",""))</f>
        <v/>
      </c>
      <c r="D1811" s="18">
        <f>IF($L1811&lt;&gt;"",IF(INDEX(SCDoc,$L1811)="","—",INDEX(SCDoc,$L1811)),IF($M1811&lt;&gt;"",INDEX(LdgBankB,$M1811),""))</f>
        <v/>
      </c>
      <c r="E1811" s="19">
        <f>IF($L1811&lt;&gt;"",IF(INDEX(SCCitrus,$L1811)&amp;INDEX(SCNotes,$L1811)="","",IF(INDEX(SCCitrus,$L1811)="","",INDEX(SCCitrus,$L1811))&amp;IF(INDEX(SCNotes,$L1811)="",""," — "&amp;INDEX(SCNotes,$L1811))),IF($M1811&lt;&gt;"",IF(INDEX(LdgNoteB,$M1811)="","—",INDEX(LdgNoteB,$M1811)),""))</f>
        <v/>
      </c>
      <c r="F1811" s="20">
        <f>IF($L1811&lt;&gt;"",IF(INDEX(SCNet,$L1811)=0,"",INDEX(SCNet,$L1811)),"")</f>
        <v/>
      </c>
      <c r="G1811" s="21">
        <f>IF($L1811&lt;&gt;"",IF(INDEX(SCOp,$L1811)="مرجوعی فروش","",IF(INDEX(SCAmount,$L1811)&lt;=0,"",INDEX(SCAmount,$L1811))),IF($M1811&lt;&gt;"",IF(INDEX(LdgWitB,$M1811)=0,"",INDEX(LdgWitB,$M1811)),""))</f>
        <v/>
      </c>
      <c r="H1811" s="21">
        <f>IF($L1811&lt;&gt;"",IF(INDEX(SCOp,$L1811)="مرجوعی فروش",IF(INDEX(SCAmount,$L1811)=0,"",-INDEX(SCAmount,$L1811)),""),IF($M1811&lt;&gt;"",IF(INDEX(LdgDepB,$M1811)=0,"",INDEX(LdgDepB,$M1811)),""))</f>
        <v/>
      </c>
      <c r="I1811" s="22">
        <f>IF($B1811="","",IF($I1810="",$C$10,$I1810)+IF($G1811="",0,$G1811)-IF($H1811="",0,$H1811))</f>
        <v/>
      </c>
      <c r="L1811">
        <f>IFERROR(MATCH($C$5&amp;"|"&amp;RIGHT("000000"&amp;1795,6),LdgRankKeyA,0),"")</f>
        <v/>
      </c>
      <c r="M1811">
        <f>IFERROR(MATCH($C$5&amp;"|"&amp;RIGHT("000000"&amp;1795,6),LdgRankKeyB,0),"")</f>
        <v/>
      </c>
    </row>
    <row r="1812">
      <c r="A1812" s="23" t="n">
        <v>1796</v>
      </c>
      <c r="B1812" s="24">
        <f>IF(AND($L1812="",$M1812=""),"",IF($L1812&lt;&gt;"",INDEX(SCNormDate,$L1812),INDEX(LdgDateB,$M1812)))</f>
        <v/>
      </c>
      <c r="C1812" s="24">
        <f>IF($L1812&lt;&gt;"",INDEX(SCOp,$L1812),IF($M1812&lt;&gt;"","پرداخت بانکی",""))</f>
        <v/>
      </c>
      <c r="D1812" s="24">
        <f>IF($L1812&lt;&gt;"",IF(INDEX(SCDoc,$L1812)="","—",INDEX(SCDoc,$L1812)),IF($M1812&lt;&gt;"",INDEX(LdgBankB,$M1812),""))</f>
        <v/>
      </c>
      <c r="E1812" s="25">
        <f>IF($L1812&lt;&gt;"",IF(INDEX(SCCitrus,$L1812)&amp;INDEX(SCNotes,$L1812)="","",IF(INDEX(SCCitrus,$L1812)="","",INDEX(SCCitrus,$L1812))&amp;IF(INDEX(SCNotes,$L1812)="",""," — "&amp;INDEX(SCNotes,$L1812))),IF($M1812&lt;&gt;"",IF(INDEX(LdgNoteB,$M1812)="","—",INDEX(LdgNoteB,$M1812)),""))</f>
        <v/>
      </c>
      <c r="F1812" s="26">
        <f>IF($L1812&lt;&gt;"",IF(INDEX(SCNet,$L1812)=0,"",INDEX(SCNet,$L1812)),"")</f>
        <v/>
      </c>
      <c r="G1812" s="27">
        <f>IF($L1812&lt;&gt;"",IF(INDEX(SCOp,$L1812)="مرجوعی فروش","",IF(INDEX(SCAmount,$L1812)&lt;=0,"",INDEX(SCAmount,$L1812))),IF($M1812&lt;&gt;"",IF(INDEX(LdgWitB,$M1812)=0,"",INDEX(LdgWitB,$M1812)),""))</f>
        <v/>
      </c>
      <c r="H1812" s="27">
        <f>IF($L1812&lt;&gt;"",IF(INDEX(SCOp,$L1812)="مرجوعی فروش",IF(INDEX(SCAmount,$L1812)=0,"",-INDEX(SCAmount,$L1812)),""),IF($M1812&lt;&gt;"",IF(INDEX(LdgDepB,$M1812)=0,"",INDEX(LdgDepB,$M1812)),""))</f>
        <v/>
      </c>
      <c r="I1812" s="28">
        <f>IF($B1812="","",IF($I1811="",$C$10,$I1811)+IF($G1812="",0,$G1812)-IF($H1812="",0,$H1812))</f>
        <v/>
      </c>
      <c r="L1812">
        <f>IFERROR(MATCH($C$5&amp;"|"&amp;RIGHT("000000"&amp;1796,6),LdgRankKeyA,0),"")</f>
        <v/>
      </c>
      <c r="M1812">
        <f>IFERROR(MATCH($C$5&amp;"|"&amp;RIGHT("000000"&amp;1796,6),LdgRankKeyB,0),"")</f>
        <v/>
      </c>
    </row>
    <row r="1813">
      <c r="A1813" s="17" t="n">
        <v>1797</v>
      </c>
      <c r="B1813" s="18">
        <f>IF(AND($L1813="",$M1813=""),"",IF($L1813&lt;&gt;"",INDEX(SCNormDate,$L1813),INDEX(LdgDateB,$M1813)))</f>
        <v/>
      </c>
      <c r="C1813" s="18">
        <f>IF($L1813&lt;&gt;"",INDEX(SCOp,$L1813),IF($M1813&lt;&gt;"","پرداخت بانکی",""))</f>
        <v/>
      </c>
      <c r="D1813" s="18">
        <f>IF($L1813&lt;&gt;"",IF(INDEX(SCDoc,$L1813)="","—",INDEX(SCDoc,$L1813)),IF($M1813&lt;&gt;"",INDEX(LdgBankB,$M1813),""))</f>
        <v/>
      </c>
      <c r="E1813" s="19">
        <f>IF($L1813&lt;&gt;"",IF(INDEX(SCCitrus,$L1813)&amp;INDEX(SCNotes,$L1813)="","",IF(INDEX(SCCitrus,$L1813)="","",INDEX(SCCitrus,$L1813))&amp;IF(INDEX(SCNotes,$L1813)="",""," — "&amp;INDEX(SCNotes,$L1813))),IF($M1813&lt;&gt;"",IF(INDEX(LdgNoteB,$M1813)="","—",INDEX(LdgNoteB,$M1813)),""))</f>
        <v/>
      </c>
      <c r="F1813" s="20">
        <f>IF($L1813&lt;&gt;"",IF(INDEX(SCNet,$L1813)=0,"",INDEX(SCNet,$L1813)),"")</f>
        <v/>
      </c>
      <c r="G1813" s="21">
        <f>IF($L1813&lt;&gt;"",IF(INDEX(SCOp,$L1813)="مرجوعی فروش","",IF(INDEX(SCAmount,$L1813)&lt;=0,"",INDEX(SCAmount,$L1813))),IF($M1813&lt;&gt;"",IF(INDEX(LdgWitB,$M1813)=0,"",INDEX(LdgWitB,$M1813)),""))</f>
        <v/>
      </c>
      <c r="H1813" s="21">
        <f>IF($L1813&lt;&gt;"",IF(INDEX(SCOp,$L1813)="مرجوعی فروش",IF(INDEX(SCAmount,$L1813)=0,"",-INDEX(SCAmount,$L1813)),""),IF($M1813&lt;&gt;"",IF(INDEX(LdgDepB,$M1813)=0,"",INDEX(LdgDepB,$M1813)),""))</f>
        <v/>
      </c>
      <c r="I1813" s="22">
        <f>IF($B1813="","",IF($I1812="",$C$10,$I1812)+IF($G1813="",0,$G1813)-IF($H1813="",0,$H1813))</f>
        <v/>
      </c>
      <c r="L1813">
        <f>IFERROR(MATCH($C$5&amp;"|"&amp;RIGHT("000000"&amp;1797,6),LdgRankKeyA,0),"")</f>
        <v/>
      </c>
      <c r="M1813">
        <f>IFERROR(MATCH($C$5&amp;"|"&amp;RIGHT("000000"&amp;1797,6),LdgRankKeyB,0),"")</f>
        <v/>
      </c>
    </row>
    <row r="1814">
      <c r="A1814" s="23" t="n">
        <v>1798</v>
      </c>
      <c r="B1814" s="24">
        <f>IF(AND($L1814="",$M1814=""),"",IF($L1814&lt;&gt;"",INDEX(SCNormDate,$L1814),INDEX(LdgDateB,$M1814)))</f>
        <v/>
      </c>
      <c r="C1814" s="24">
        <f>IF($L1814&lt;&gt;"",INDEX(SCOp,$L1814),IF($M1814&lt;&gt;"","پرداخت بانکی",""))</f>
        <v/>
      </c>
      <c r="D1814" s="24">
        <f>IF($L1814&lt;&gt;"",IF(INDEX(SCDoc,$L1814)="","—",INDEX(SCDoc,$L1814)),IF($M1814&lt;&gt;"",INDEX(LdgBankB,$M1814),""))</f>
        <v/>
      </c>
      <c r="E1814" s="25">
        <f>IF($L1814&lt;&gt;"",IF(INDEX(SCCitrus,$L1814)&amp;INDEX(SCNotes,$L1814)="","",IF(INDEX(SCCitrus,$L1814)="","",INDEX(SCCitrus,$L1814))&amp;IF(INDEX(SCNotes,$L1814)="",""," — "&amp;INDEX(SCNotes,$L1814))),IF($M1814&lt;&gt;"",IF(INDEX(LdgNoteB,$M1814)="","—",INDEX(LdgNoteB,$M1814)),""))</f>
        <v/>
      </c>
      <c r="F1814" s="26">
        <f>IF($L1814&lt;&gt;"",IF(INDEX(SCNet,$L1814)=0,"",INDEX(SCNet,$L1814)),"")</f>
        <v/>
      </c>
      <c r="G1814" s="27">
        <f>IF($L1814&lt;&gt;"",IF(INDEX(SCOp,$L1814)="مرجوعی فروش","",IF(INDEX(SCAmount,$L1814)&lt;=0,"",INDEX(SCAmount,$L1814))),IF($M1814&lt;&gt;"",IF(INDEX(LdgWitB,$M1814)=0,"",INDEX(LdgWitB,$M1814)),""))</f>
        <v/>
      </c>
      <c r="H1814" s="27">
        <f>IF($L1814&lt;&gt;"",IF(INDEX(SCOp,$L1814)="مرجوعی فروش",IF(INDEX(SCAmount,$L1814)=0,"",-INDEX(SCAmount,$L1814)),""),IF($M1814&lt;&gt;"",IF(INDEX(LdgDepB,$M1814)=0,"",INDEX(LdgDepB,$M1814)),""))</f>
        <v/>
      </c>
      <c r="I1814" s="28">
        <f>IF($B1814="","",IF($I1813="",$C$10,$I1813)+IF($G1814="",0,$G1814)-IF($H1814="",0,$H1814))</f>
        <v/>
      </c>
      <c r="L1814">
        <f>IFERROR(MATCH($C$5&amp;"|"&amp;RIGHT("000000"&amp;1798,6),LdgRankKeyA,0),"")</f>
        <v/>
      </c>
      <c r="M1814">
        <f>IFERROR(MATCH($C$5&amp;"|"&amp;RIGHT("000000"&amp;1798,6),LdgRankKeyB,0),"")</f>
        <v/>
      </c>
    </row>
    <row r="1815">
      <c r="A1815" s="17" t="n">
        <v>1799</v>
      </c>
      <c r="B1815" s="18">
        <f>IF(AND($L1815="",$M1815=""),"",IF($L1815&lt;&gt;"",INDEX(SCNormDate,$L1815),INDEX(LdgDateB,$M1815)))</f>
        <v/>
      </c>
      <c r="C1815" s="18">
        <f>IF($L1815&lt;&gt;"",INDEX(SCOp,$L1815),IF($M1815&lt;&gt;"","پرداخت بانکی",""))</f>
        <v/>
      </c>
      <c r="D1815" s="18">
        <f>IF($L1815&lt;&gt;"",IF(INDEX(SCDoc,$L1815)="","—",INDEX(SCDoc,$L1815)),IF($M1815&lt;&gt;"",INDEX(LdgBankB,$M1815),""))</f>
        <v/>
      </c>
      <c r="E1815" s="19">
        <f>IF($L1815&lt;&gt;"",IF(INDEX(SCCitrus,$L1815)&amp;INDEX(SCNotes,$L1815)="","",IF(INDEX(SCCitrus,$L1815)="","",INDEX(SCCitrus,$L1815))&amp;IF(INDEX(SCNotes,$L1815)="",""," — "&amp;INDEX(SCNotes,$L1815))),IF($M1815&lt;&gt;"",IF(INDEX(LdgNoteB,$M1815)="","—",INDEX(LdgNoteB,$M1815)),""))</f>
        <v/>
      </c>
      <c r="F1815" s="20">
        <f>IF($L1815&lt;&gt;"",IF(INDEX(SCNet,$L1815)=0,"",INDEX(SCNet,$L1815)),"")</f>
        <v/>
      </c>
      <c r="G1815" s="21">
        <f>IF($L1815&lt;&gt;"",IF(INDEX(SCOp,$L1815)="مرجوعی فروش","",IF(INDEX(SCAmount,$L1815)&lt;=0,"",INDEX(SCAmount,$L1815))),IF($M1815&lt;&gt;"",IF(INDEX(LdgWitB,$M1815)=0,"",INDEX(LdgWitB,$M1815)),""))</f>
        <v/>
      </c>
      <c r="H1815" s="21">
        <f>IF($L1815&lt;&gt;"",IF(INDEX(SCOp,$L1815)="مرجوعی فروش",IF(INDEX(SCAmount,$L1815)=0,"",-INDEX(SCAmount,$L1815)),""),IF($M1815&lt;&gt;"",IF(INDEX(LdgDepB,$M1815)=0,"",INDEX(LdgDepB,$M1815)),""))</f>
        <v/>
      </c>
      <c r="I1815" s="22">
        <f>IF($B1815="","",IF($I1814="",$C$10,$I1814)+IF($G1815="",0,$G1815)-IF($H1815="",0,$H1815))</f>
        <v/>
      </c>
      <c r="L1815">
        <f>IFERROR(MATCH($C$5&amp;"|"&amp;RIGHT("000000"&amp;1799,6),LdgRankKeyA,0),"")</f>
        <v/>
      </c>
      <c r="M1815">
        <f>IFERROR(MATCH($C$5&amp;"|"&amp;RIGHT("000000"&amp;1799,6),LdgRankKeyB,0),"")</f>
        <v/>
      </c>
    </row>
    <row r="1816">
      <c r="A1816" s="23" t="n">
        <v>1800</v>
      </c>
      <c r="B1816" s="24">
        <f>IF(AND($L1816="",$M1816=""),"",IF($L1816&lt;&gt;"",INDEX(SCNormDate,$L1816),INDEX(LdgDateB,$M1816)))</f>
        <v/>
      </c>
      <c r="C1816" s="24">
        <f>IF($L1816&lt;&gt;"",INDEX(SCOp,$L1816),IF($M1816&lt;&gt;"","پرداخت بانکی",""))</f>
        <v/>
      </c>
      <c r="D1816" s="24">
        <f>IF($L1816&lt;&gt;"",IF(INDEX(SCDoc,$L1816)="","—",INDEX(SCDoc,$L1816)),IF($M1816&lt;&gt;"",INDEX(LdgBankB,$M1816),""))</f>
        <v/>
      </c>
      <c r="E1816" s="25">
        <f>IF($L1816&lt;&gt;"",IF(INDEX(SCCitrus,$L1816)&amp;INDEX(SCNotes,$L1816)="","",IF(INDEX(SCCitrus,$L1816)="","",INDEX(SCCitrus,$L1816))&amp;IF(INDEX(SCNotes,$L1816)="",""," — "&amp;INDEX(SCNotes,$L1816))),IF($M1816&lt;&gt;"",IF(INDEX(LdgNoteB,$M1816)="","—",INDEX(LdgNoteB,$M1816)),""))</f>
        <v/>
      </c>
      <c r="F1816" s="26">
        <f>IF($L1816&lt;&gt;"",IF(INDEX(SCNet,$L1816)=0,"",INDEX(SCNet,$L1816)),"")</f>
        <v/>
      </c>
      <c r="G1816" s="27">
        <f>IF($L1816&lt;&gt;"",IF(INDEX(SCOp,$L1816)="مرجوعی فروش","",IF(INDEX(SCAmount,$L1816)&lt;=0,"",INDEX(SCAmount,$L1816))),IF($M1816&lt;&gt;"",IF(INDEX(LdgWitB,$M1816)=0,"",INDEX(LdgWitB,$M1816)),""))</f>
        <v/>
      </c>
      <c r="H1816" s="27">
        <f>IF($L1816&lt;&gt;"",IF(INDEX(SCOp,$L1816)="مرجوعی فروش",IF(INDEX(SCAmount,$L1816)=0,"",-INDEX(SCAmount,$L1816)),""),IF($M1816&lt;&gt;"",IF(INDEX(LdgDepB,$M1816)=0,"",INDEX(LdgDepB,$M1816)),""))</f>
        <v/>
      </c>
      <c r="I1816" s="28">
        <f>IF($B1816="","",IF($I1815="",$C$10,$I1815)+IF($G1816="",0,$G1816)-IF($H1816="",0,$H1816))</f>
        <v/>
      </c>
      <c r="L1816">
        <f>IFERROR(MATCH($C$5&amp;"|"&amp;RIGHT("000000"&amp;1800,6),LdgRankKeyA,0),"")</f>
        <v/>
      </c>
      <c r="M1816">
        <f>IFERROR(MATCH($C$5&amp;"|"&amp;RIGHT("000000"&amp;1800,6),LdgRankKeyB,0),"")</f>
        <v/>
      </c>
    </row>
    <row r="1817">
      <c r="A1817" s="17" t="n">
        <v>1801</v>
      </c>
      <c r="B1817" s="18">
        <f>IF(AND($L1817="",$M1817=""),"",IF($L1817&lt;&gt;"",INDEX(SCNormDate,$L1817),INDEX(LdgDateB,$M1817)))</f>
        <v/>
      </c>
      <c r="C1817" s="18">
        <f>IF($L1817&lt;&gt;"",INDEX(SCOp,$L1817),IF($M1817&lt;&gt;"","پرداخت بانکی",""))</f>
        <v/>
      </c>
      <c r="D1817" s="18">
        <f>IF($L1817&lt;&gt;"",IF(INDEX(SCDoc,$L1817)="","—",INDEX(SCDoc,$L1817)),IF($M1817&lt;&gt;"",INDEX(LdgBankB,$M1817),""))</f>
        <v/>
      </c>
      <c r="E1817" s="19">
        <f>IF($L1817&lt;&gt;"",IF(INDEX(SCCitrus,$L1817)&amp;INDEX(SCNotes,$L1817)="","",IF(INDEX(SCCitrus,$L1817)="","",INDEX(SCCitrus,$L1817))&amp;IF(INDEX(SCNotes,$L1817)="",""," — "&amp;INDEX(SCNotes,$L1817))),IF($M1817&lt;&gt;"",IF(INDEX(LdgNoteB,$M1817)="","—",INDEX(LdgNoteB,$M1817)),""))</f>
        <v/>
      </c>
      <c r="F1817" s="20">
        <f>IF($L1817&lt;&gt;"",IF(INDEX(SCNet,$L1817)=0,"",INDEX(SCNet,$L1817)),"")</f>
        <v/>
      </c>
      <c r="G1817" s="21">
        <f>IF($L1817&lt;&gt;"",IF(INDEX(SCOp,$L1817)="مرجوعی فروش","",IF(INDEX(SCAmount,$L1817)&lt;=0,"",INDEX(SCAmount,$L1817))),IF($M1817&lt;&gt;"",IF(INDEX(LdgWitB,$M1817)=0,"",INDEX(LdgWitB,$M1817)),""))</f>
        <v/>
      </c>
      <c r="H1817" s="21">
        <f>IF($L1817&lt;&gt;"",IF(INDEX(SCOp,$L1817)="مرجوعی فروش",IF(INDEX(SCAmount,$L1817)=0,"",-INDEX(SCAmount,$L1817)),""),IF($M1817&lt;&gt;"",IF(INDEX(LdgDepB,$M1817)=0,"",INDEX(LdgDepB,$M1817)),""))</f>
        <v/>
      </c>
      <c r="I1817" s="22">
        <f>IF($B1817="","",IF($I1816="",$C$10,$I1816)+IF($G1817="",0,$G1817)-IF($H1817="",0,$H1817))</f>
        <v/>
      </c>
      <c r="L1817">
        <f>IFERROR(MATCH($C$5&amp;"|"&amp;RIGHT("000000"&amp;1801,6),LdgRankKeyA,0),"")</f>
        <v/>
      </c>
      <c r="M1817">
        <f>IFERROR(MATCH($C$5&amp;"|"&amp;RIGHT("000000"&amp;1801,6),LdgRankKeyB,0),"")</f>
        <v/>
      </c>
    </row>
    <row r="1818">
      <c r="A1818" s="23" t="n">
        <v>1802</v>
      </c>
      <c r="B1818" s="24">
        <f>IF(AND($L1818="",$M1818=""),"",IF($L1818&lt;&gt;"",INDEX(SCNormDate,$L1818),INDEX(LdgDateB,$M1818)))</f>
        <v/>
      </c>
      <c r="C1818" s="24">
        <f>IF($L1818&lt;&gt;"",INDEX(SCOp,$L1818),IF($M1818&lt;&gt;"","پرداخت بانکی",""))</f>
        <v/>
      </c>
      <c r="D1818" s="24">
        <f>IF($L1818&lt;&gt;"",IF(INDEX(SCDoc,$L1818)="","—",INDEX(SCDoc,$L1818)),IF($M1818&lt;&gt;"",INDEX(LdgBankB,$M1818),""))</f>
        <v/>
      </c>
      <c r="E1818" s="25">
        <f>IF($L1818&lt;&gt;"",IF(INDEX(SCCitrus,$L1818)&amp;INDEX(SCNotes,$L1818)="","",IF(INDEX(SCCitrus,$L1818)="","",INDEX(SCCitrus,$L1818))&amp;IF(INDEX(SCNotes,$L1818)="",""," — "&amp;INDEX(SCNotes,$L1818))),IF($M1818&lt;&gt;"",IF(INDEX(LdgNoteB,$M1818)="","—",INDEX(LdgNoteB,$M1818)),""))</f>
        <v/>
      </c>
      <c r="F1818" s="26">
        <f>IF($L1818&lt;&gt;"",IF(INDEX(SCNet,$L1818)=0,"",INDEX(SCNet,$L1818)),"")</f>
        <v/>
      </c>
      <c r="G1818" s="27">
        <f>IF($L1818&lt;&gt;"",IF(INDEX(SCOp,$L1818)="مرجوعی فروش","",IF(INDEX(SCAmount,$L1818)&lt;=0,"",INDEX(SCAmount,$L1818))),IF($M1818&lt;&gt;"",IF(INDEX(LdgWitB,$M1818)=0,"",INDEX(LdgWitB,$M1818)),""))</f>
        <v/>
      </c>
      <c r="H1818" s="27">
        <f>IF($L1818&lt;&gt;"",IF(INDEX(SCOp,$L1818)="مرجوعی فروش",IF(INDEX(SCAmount,$L1818)=0,"",-INDEX(SCAmount,$L1818)),""),IF($M1818&lt;&gt;"",IF(INDEX(LdgDepB,$M1818)=0,"",INDEX(LdgDepB,$M1818)),""))</f>
        <v/>
      </c>
      <c r="I1818" s="28">
        <f>IF($B1818="","",IF($I1817="",$C$10,$I1817)+IF($G1818="",0,$G1818)-IF($H1818="",0,$H1818))</f>
        <v/>
      </c>
      <c r="L1818">
        <f>IFERROR(MATCH($C$5&amp;"|"&amp;RIGHT("000000"&amp;1802,6),LdgRankKeyA,0),"")</f>
        <v/>
      </c>
      <c r="M1818">
        <f>IFERROR(MATCH($C$5&amp;"|"&amp;RIGHT("000000"&amp;1802,6),LdgRankKeyB,0),"")</f>
        <v/>
      </c>
    </row>
    <row r="1819">
      <c r="A1819" s="17" t="n">
        <v>1803</v>
      </c>
      <c r="B1819" s="18">
        <f>IF(AND($L1819="",$M1819=""),"",IF($L1819&lt;&gt;"",INDEX(SCNormDate,$L1819),INDEX(LdgDateB,$M1819)))</f>
        <v/>
      </c>
      <c r="C1819" s="18">
        <f>IF($L1819&lt;&gt;"",INDEX(SCOp,$L1819),IF($M1819&lt;&gt;"","پرداخت بانکی",""))</f>
        <v/>
      </c>
      <c r="D1819" s="18">
        <f>IF($L1819&lt;&gt;"",IF(INDEX(SCDoc,$L1819)="","—",INDEX(SCDoc,$L1819)),IF($M1819&lt;&gt;"",INDEX(LdgBankB,$M1819),""))</f>
        <v/>
      </c>
      <c r="E1819" s="19">
        <f>IF($L1819&lt;&gt;"",IF(INDEX(SCCitrus,$L1819)&amp;INDEX(SCNotes,$L1819)="","",IF(INDEX(SCCitrus,$L1819)="","",INDEX(SCCitrus,$L1819))&amp;IF(INDEX(SCNotes,$L1819)="",""," — "&amp;INDEX(SCNotes,$L1819))),IF($M1819&lt;&gt;"",IF(INDEX(LdgNoteB,$M1819)="","—",INDEX(LdgNoteB,$M1819)),""))</f>
        <v/>
      </c>
      <c r="F1819" s="20">
        <f>IF($L1819&lt;&gt;"",IF(INDEX(SCNet,$L1819)=0,"",INDEX(SCNet,$L1819)),"")</f>
        <v/>
      </c>
      <c r="G1819" s="21">
        <f>IF($L1819&lt;&gt;"",IF(INDEX(SCOp,$L1819)="مرجوعی فروش","",IF(INDEX(SCAmount,$L1819)&lt;=0,"",INDEX(SCAmount,$L1819))),IF($M1819&lt;&gt;"",IF(INDEX(LdgWitB,$M1819)=0,"",INDEX(LdgWitB,$M1819)),""))</f>
        <v/>
      </c>
      <c r="H1819" s="21">
        <f>IF($L1819&lt;&gt;"",IF(INDEX(SCOp,$L1819)="مرجوعی فروش",IF(INDEX(SCAmount,$L1819)=0,"",-INDEX(SCAmount,$L1819)),""),IF($M1819&lt;&gt;"",IF(INDEX(LdgDepB,$M1819)=0,"",INDEX(LdgDepB,$M1819)),""))</f>
        <v/>
      </c>
      <c r="I1819" s="22">
        <f>IF($B1819="","",IF($I1818="",$C$10,$I1818)+IF($G1819="",0,$G1819)-IF($H1819="",0,$H1819))</f>
        <v/>
      </c>
      <c r="L1819">
        <f>IFERROR(MATCH($C$5&amp;"|"&amp;RIGHT("000000"&amp;1803,6),LdgRankKeyA,0),"")</f>
        <v/>
      </c>
      <c r="M1819">
        <f>IFERROR(MATCH($C$5&amp;"|"&amp;RIGHT("000000"&amp;1803,6),LdgRankKeyB,0),"")</f>
        <v/>
      </c>
    </row>
    <row r="1820">
      <c r="A1820" s="23" t="n">
        <v>1804</v>
      </c>
      <c r="B1820" s="24">
        <f>IF(AND($L1820="",$M1820=""),"",IF($L1820&lt;&gt;"",INDEX(SCNormDate,$L1820),INDEX(LdgDateB,$M1820)))</f>
        <v/>
      </c>
      <c r="C1820" s="24">
        <f>IF($L1820&lt;&gt;"",INDEX(SCOp,$L1820),IF($M1820&lt;&gt;"","پرداخت بانکی",""))</f>
        <v/>
      </c>
      <c r="D1820" s="24">
        <f>IF($L1820&lt;&gt;"",IF(INDEX(SCDoc,$L1820)="","—",INDEX(SCDoc,$L1820)),IF($M1820&lt;&gt;"",INDEX(LdgBankB,$M1820),""))</f>
        <v/>
      </c>
      <c r="E1820" s="25">
        <f>IF($L1820&lt;&gt;"",IF(INDEX(SCCitrus,$L1820)&amp;INDEX(SCNotes,$L1820)="","",IF(INDEX(SCCitrus,$L1820)="","",INDEX(SCCitrus,$L1820))&amp;IF(INDEX(SCNotes,$L1820)="",""," — "&amp;INDEX(SCNotes,$L1820))),IF($M1820&lt;&gt;"",IF(INDEX(LdgNoteB,$M1820)="","—",INDEX(LdgNoteB,$M1820)),""))</f>
        <v/>
      </c>
      <c r="F1820" s="26">
        <f>IF($L1820&lt;&gt;"",IF(INDEX(SCNet,$L1820)=0,"",INDEX(SCNet,$L1820)),"")</f>
        <v/>
      </c>
      <c r="G1820" s="27">
        <f>IF($L1820&lt;&gt;"",IF(INDEX(SCOp,$L1820)="مرجوعی فروش","",IF(INDEX(SCAmount,$L1820)&lt;=0,"",INDEX(SCAmount,$L1820))),IF($M1820&lt;&gt;"",IF(INDEX(LdgWitB,$M1820)=0,"",INDEX(LdgWitB,$M1820)),""))</f>
        <v/>
      </c>
      <c r="H1820" s="27">
        <f>IF($L1820&lt;&gt;"",IF(INDEX(SCOp,$L1820)="مرجوعی فروش",IF(INDEX(SCAmount,$L1820)=0,"",-INDEX(SCAmount,$L1820)),""),IF($M1820&lt;&gt;"",IF(INDEX(LdgDepB,$M1820)=0,"",INDEX(LdgDepB,$M1820)),""))</f>
        <v/>
      </c>
      <c r="I1820" s="28">
        <f>IF($B1820="","",IF($I1819="",$C$10,$I1819)+IF($G1820="",0,$G1820)-IF($H1820="",0,$H1820))</f>
        <v/>
      </c>
      <c r="L1820">
        <f>IFERROR(MATCH($C$5&amp;"|"&amp;RIGHT("000000"&amp;1804,6),LdgRankKeyA,0),"")</f>
        <v/>
      </c>
      <c r="M1820">
        <f>IFERROR(MATCH($C$5&amp;"|"&amp;RIGHT("000000"&amp;1804,6),LdgRankKeyB,0),"")</f>
        <v/>
      </c>
    </row>
    <row r="1821">
      <c r="A1821" s="17" t="n">
        <v>1805</v>
      </c>
      <c r="B1821" s="18">
        <f>IF(AND($L1821="",$M1821=""),"",IF($L1821&lt;&gt;"",INDEX(SCNormDate,$L1821),INDEX(LdgDateB,$M1821)))</f>
        <v/>
      </c>
      <c r="C1821" s="18">
        <f>IF($L1821&lt;&gt;"",INDEX(SCOp,$L1821),IF($M1821&lt;&gt;"","پرداخت بانکی",""))</f>
        <v/>
      </c>
      <c r="D1821" s="18">
        <f>IF($L1821&lt;&gt;"",IF(INDEX(SCDoc,$L1821)="","—",INDEX(SCDoc,$L1821)),IF($M1821&lt;&gt;"",INDEX(LdgBankB,$M1821),""))</f>
        <v/>
      </c>
      <c r="E1821" s="19">
        <f>IF($L1821&lt;&gt;"",IF(INDEX(SCCitrus,$L1821)&amp;INDEX(SCNotes,$L1821)="","",IF(INDEX(SCCitrus,$L1821)="","",INDEX(SCCitrus,$L1821))&amp;IF(INDEX(SCNotes,$L1821)="",""," — "&amp;INDEX(SCNotes,$L1821))),IF($M1821&lt;&gt;"",IF(INDEX(LdgNoteB,$M1821)="","—",INDEX(LdgNoteB,$M1821)),""))</f>
        <v/>
      </c>
      <c r="F1821" s="20">
        <f>IF($L1821&lt;&gt;"",IF(INDEX(SCNet,$L1821)=0,"",INDEX(SCNet,$L1821)),"")</f>
        <v/>
      </c>
      <c r="G1821" s="21">
        <f>IF($L1821&lt;&gt;"",IF(INDEX(SCOp,$L1821)="مرجوعی فروش","",IF(INDEX(SCAmount,$L1821)&lt;=0,"",INDEX(SCAmount,$L1821))),IF($M1821&lt;&gt;"",IF(INDEX(LdgWitB,$M1821)=0,"",INDEX(LdgWitB,$M1821)),""))</f>
        <v/>
      </c>
      <c r="H1821" s="21">
        <f>IF($L1821&lt;&gt;"",IF(INDEX(SCOp,$L1821)="مرجوعی فروش",IF(INDEX(SCAmount,$L1821)=0,"",-INDEX(SCAmount,$L1821)),""),IF($M1821&lt;&gt;"",IF(INDEX(LdgDepB,$M1821)=0,"",INDEX(LdgDepB,$M1821)),""))</f>
        <v/>
      </c>
      <c r="I1821" s="22">
        <f>IF($B1821="","",IF($I1820="",$C$10,$I1820)+IF($G1821="",0,$G1821)-IF($H1821="",0,$H1821))</f>
        <v/>
      </c>
      <c r="L1821">
        <f>IFERROR(MATCH($C$5&amp;"|"&amp;RIGHT("000000"&amp;1805,6),LdgRankKeyA,0),"")</f>
        <v/>
      </c>
      <c r="M1821">
        <f>IFERROR(MATCH($C$5&amp;"|"&amp;RIGHT("000000"&amp;1805,6),LdgRankKeyB,0),"")</f>
        <v/>
      </c>
    </row>
    <row r="1822">
      <c r="A1822" s="23" t="n">
        <v>1806</v>
      </c>
      <c r="B1822" s="24">
        <f>IF(AND($L1822="",$M1822=""),"",IF($L1822&lt;&gt;"",INDEX(SCNormDate,$L1822),INDEX(LdgDateB,$M1822)))</f>
        <v/>
      </c>
      <c r="C1822" s="24">
        <f>IF($L1822&lt;&gt;"",INDEX(SCOp,$L1822),IF($M1822&lt;&gt;"","پرداخت بانکی",""))</f>
        <v/>
      </c>
      <c r="D1822" s="24">
        <f>IF($L1822&lt;&gt;"",IF(INDEX(SCDoc,$L1822)="","—",INDEX(SCDoc,$L1822)),IF($M1822&lt;&gt;"",INDEX(LdgBankB,$M1822),""))</f>
        <v/>
      </c>
      <c r="E1822" s="25">
        <f>IF($L1822&lt;&gt;"",IF(INDEX(SCCitrus,$L1822)&amp;INDEX(SCNotes,$L1822)="","",IF(INDEX(SCCitrus,$L1822)="","",INDEX(SCCitrus,$L1822))&amp;IF(INDEX(SCNotes,$L1822)="",""," — "&amp;INDEX(SCNotes,$L1822))),IF($M1822&lt;&gt;"",IF(INDEX(LdgNoteB,$M1822)="","—",INDEX(LdgNoteB,$M1822)),""))</f>
        <v/>
      </c>
      <c r="F1822" s="26">
        <f>IF($L1822&lt;&gt;"",IF(INDEX(SCNet,$L1822)=0,"",INDEX(SCNet,$L1822)),"")</f>
        <v/>
      </c>
      <c r="G1822" s="27">
        <f>IF($L1822&lt;&gt;"",IF(INDEX(SCOp,$L1822)="مرجوعی فروش","",IF(INDEX(SCAmount,$L1822)&lt;=0,"",INDEX(SCAmount,$L1822))),IF($M1822&lt;&gt;"",IF(INDEX(LdgWitB,$M1822)=0,"",INDEX(LdgWitB,$M1822)),""))</f>
        <v/>
      </c>
      <c r="H1822" s="27">
        <f>IF($L1822&lt;&gt;"",IF(INDEX(SCOp,$L1822)="مرجوعی فروش",IF(INDEX(SCAmount,$L1822)=0,"",-INDEX(SCAmount,$L1822)),""),IF($M1822&lt;&gt;"",IF(INDEX(LdgDepB,$M1822)=0,"",INDEX(LdgDepB,$M1822)),""))</f>
        <v/>
      </c>
      <c r="I1822" s="28">
        <f>IF($B1822="","",IF($I1821="",$C$10,$I1821)+IF($G1822="",0,$G1822)-IF($H1822="",0,$H1822))</f>
        <v/>
      </c>
      <c r="L1822">
        <f>IFERROR(MATCH($C$5&amp;"|"&amp;RIGHT("000000"&amp;1806,6),LdgRankKeyA,0),"")</f>
        <v/>
      </c>
      <c r="M1822">
        <f>IFERROR(MATCH($C$5&amp;"|"&amp;RIGHT("000000"&amp;1806,6),LdgRankKeyB,0),"")</f>
        <v/>
      </c>
    </row>
    <row r="1823">
      <c r="A1823" s="17" t="n">
        <v>1807</v>
      </c>
      <c r="B1823" s="18">
        <f>IF(AND($L1823="",$M1823=""),"",IF($L1823&lt;&gt;"",INDEX(SCNormDate,$L1823),INDEX(LdgDateB,$M1823)))</f>
        <v/>
      </c>
      <c r="C1823" s="18">
        <f>IF($L1823&lt;&gt;"",INDEX(SCOp,$L1823),IF($M1823&lt;&gt;"","پرداخت بانکی",""))</f>
        <v/>
      </c>
      <c r="D1823" s="18">
        <f>IF($L1823&lt;&gt;"",IF(INDEX(SCDoc,$L1823)="","—",INDEX(SCDoc,$L1823)),IF($M1823&lt;&gt;"",INDEX(LdgBankB,$M1823),""))</f>
        <v/>
      </c>
      <c r="E1823" s="19">
        <f>IF($L1823&lt;&gt;"",IF(INDEX(SCCitrus,$L1823)&amp;INDEX(SCNotes,$L1823)="","",IF(INDEX(SCCitrus,$L1823)="","",INDEX(SCCitrus,$L1823))&amp;IF(INDEX(SCNotes,$L1823)="",""," — "&amp;INDEX(SCNotes,$L1823))),IF($M1823&lt;&gt;"",IF(INDEX(LdgNoteB,$M1823)="","—",INDEX(LdgNoteB,$M1823)),""))</f>
        <v/>
      </c>
      <c r="F1823" s="20">
        <f>IF($L1823&lt;&gt;"",IF(INDEX(SCNet,$L1823)=0,"",INDEX(SCNet,$L1823)),"")</f>
        <v/>
      </c>
      <c r="G1823" s="21">
        <f>IF($L1823&lt;&gt;"",IF(INDEX(SCOp,$L1823)="مرجوعی فروش","",IF(INDEX(SCAmount,$L1823)&lt;=0,"",INDEX(SCAmount,$L1823))),IF($M1823&lt;&gt;"",IF(INDEX(LdgWitB,$M1823)=0,"",INDEX(LdgWitB,$M1823)),""))</f>
        <v/>
      </c>
      <c r="H1823" s="21">
        <f>IF($L1823&lt;&gt;"",IF(INDEX(SCOp,$L1823)="مرجوعی فروش",IF(INDEX(SCAmount,$L1823)=0,"",-INDEX(SCAmount,$L1823)),""),IF($M1823&lt;&gt;"",IF(INDEX(LdgDepB,$M1823)=0,"",INDEX(LdgDepB,$M1823)),""))</f>
        <v/>
      </c>
      <c r="I1823" s="22">
        <f>IF($B1823="","",IF($I1822="",$C$10,$I1822)+IF($G1823="",0,$G1823)-IF($H1823="",0,$H1823))</f>
        <v/>
      </c>
      <c r="L1823">
        <f>IFERROR(MATCH($C$5&amp;"|"&amp;RIGHT("000000"&amp;1807,6),LdgRankKeyA,0),"")</f>
        <v/>
      </c>
      <c r="M1823">
        <f>IFERROR(MATCH($C$5&amp;"|"&amp;RIGHT("000000"&amp;1807,6),LdgRankKeyB,0),"")</f>
        <v/>
      </c>
    </row>
    <row r="1824">
      <c r="A1824" s="23" t="n">
        <v>1808</v>
      </c>
      <c r="B1824" s="24">
        <f>IF(AND($L1824="",$M1824=""),"",IF($L1824&lt;&gt;"",INDEX(SCNormDate,$L1824),INDEX(LdgDateB,$M1824)))</f>
        <v/>
      </c>
      <c r="C1824" s="24">
        <f>IF($L1824&lt;&gt;"",INDEX(SCOp,$L1824),IF($M1824&lt;&gt;"","پرداخت بانکی",""))</f>
        <v/>
      </c>
      <c r="D1824" s="24">
        <f>IF($L1824&lt;&gt;"",IF(INDEX(SCDoc,$L1824)="","—",INDEX(SCDoc,$L1824)),IF($M1824&lt;&gt;"",INDEX(LdgBankB,$M1824),""))</f>
        <v/>
      </c>
      <c r="E1824" s="25">
        <f>IF($L1824&lt;&gt;"",IF(INDEX(SCCitrus,$L1824)&amp;INDEX(SCNotes,$L1824)="","",IF(INDEX(SCCitrus,$L1824)="","",INDEX(SCCitrus,$L1824))&amp;IF(INDEX(SCNotes,$L1824)="",""," — "&amp;INDEX(SCNotes,$L1824))),IF($M1824&lt;&gt;"",IF(INDEX(LdgNoteB,$M1824)="","—",INDEX(LdgNoteB,$M1824)),""))</f>
        <v/>
      </c>
      <c r="F1824" s="26">
        <f>IF($L1824&lt;&gt;"",IF(INDEX(SCNet,$L1824)=0,"",INDEX(SCNet,$L1824)),"")</f>
        <v/>
      </c>
      <c r="G1824" s="27">
        <f>IF($L1824&lt;&gt;"",IF(INDEX(SCOp,$L1824)="مرجوعی فروش","",IF(INDEX(SCAmount,$L1824)&lt;=0,"",INDEX(SCAmount,$L1824))),IF($M1824&lt;&gt;"",IF(INDEX(LdgWitB,$M1824)=0,"",INDEX(LdgWitB,$M1824)),""))</f>
        <v/>
      </c>
      <c r="H1824" s="27">
        <f>IF($L1824&lt;&gt;"",IF(INDEX(SCOp,$L1824)="مرجوعی فروش",IF(INDEX(SCAmount,$L1824)=0,"",-INDEX(SCAmount,$L1824)),""),IF($M1824&lt;&gt;"",IF(INDEX(LdgDepB,$M1824)=0,"",INDEX(LdgDepB,$M1824)),""))</f>
        <v/>
      </c>
      <c r="I1824" s="28">
        <f>IF($B1824="","",IF($I1823="",$C$10,$I1823)+IF($G1824="",0,$G1824)-IF($H1824="",0,$H1824))</f>
        <v/>
      </c>
      <c r="L1824">
        <f>IFERROR(MATCH($C$5&amp;"|"&amp;RIGHT("000000"&amp;1808,6),LdgRankKeyA,0),"")</f>
        <v/>
      </c>
      <c r="M1824">
        <f>IFERROR(MATCH($C$5&amp;"|"&amp;RIGHT("000000"&amp;1808,6),LdgRankKeyB,0),"")</f>
        <v/>
      </c>
    </row>
    <row r="1825">
      <c r="A1825" s="17" t="n">
        <v>1809</v>
      </c>
      <c r="B1825" s="18">
        <f>IF(AND($L1825="",$M1825=""),"",IF($L1825&lt;&gt;"",INDEX(SCNormDate,$L1825),INDEX(LdgDateB,$M1825)))</f>
        <v/>
      </c>
      <c r="C1825" s="18">
        <f>IF($L1825&lt;&gt;"",INDEX(SCOp,$L1825),IF($M1825&lt;&gt;"","پرداخت بانکی",""))</f>
        <v/>
      </c>
      <c r="D1825" s="18">
        <f>IF($L1825&lt;&gt;"",IF(INDEX(SCDoc,$L1825)="","—",INDEX(SCDoc,$L1825)),IF($M1825&lt;&gt;"",INDEX(LdgBankB,$M1825),""))</f>
        <v/>
      </c>
      <c r="E1825" s="19">
        <f>IF($L1825&lt;&gt;"",IF(INDEX(SCCitrus,$L1825)&amp;INDEX(SCNotes,$L1825)="","",IF(INDEX(SCCitrus,$L1825)="","",INDEX(SCCitrus,$L1825))&amp;IF(INDEX(SCNotes,$L1825)="",""," — "&amp;INDEX(SCNotes,$L1825))),IF($M1825&lt;&gt;"",IF(INDEX(LdgNoteB,$M1825)="","—",INDEX(LdgNoteB,$M1825)),""))</f>
        <v/>
      </c>
      <c r="F1825" s="20">
        <f>IF($L1825&lt;&gt;"",IF(INDEX(SCNet,$L1825)=0,"",INDEX(SCNet,$L1825)),"")</f>
        <v/>
      </c>
      <c r="G1825" s="21">
        <f>IF($L1825&lt;&gt;"",IF(INDEX(SCOp,$L1825)="مرجوعی فروش","",IF(INDEX(SCAmount,$L1825)&lt;=0,"",INDEX(SCAmount,$L1825))),IF($M1825&lt;&gt;"",IF(INDEX(LdgWitB,$M1825)=0,"",INDEX(LdgWitB,$M1825)),""))</f>
        <v/>
      </c>
      <c r="H1825" s="21">
        <f>IF($L1825&lt;&gt;"",IF(INDEX(SCOp,$L1825)="مرجوعی فروش",IF(INDEX(SCAmount,$L1825)=0,"",-INDEX(SCAmount,$L1825)),""),IF($M1825&lt;&gt;"",IF(INDEX(LdgDepB,$M1825)=0,"",INDEX(LdgDepB,$M1825)),""))</f>
        <v/>
      </c>
      <c r="I1825" s="22">
        <f>IF($B1825="","",IF($I1824="",$C$10,$I1824)+IF($G1825="",0,$G1825)-IF($H1825="",0,$H1825))</f>
        <v/>
      </c>
      <c r="L1825">
        <f>IFERROR(MATCH($C$5&amp;"|"&amp;RIGHT("000000"&amp;1809,6),LdgRankKeyA,0),"")</f>
        <v/>
      </c>
      <c r="M1825">
        <f>IFERROR(MATCH($C$5&amp;"|"&amp;RIGHT("000000"&amp;1809,6),LdgRankKeyB,0),"")</f>
        <v/>
      </c>
    </row>
    <row r="1826">
      <c r="A1826" s="23" t="n">
        <v>1810</v>
      </c>
      <c r="B1826" s="24">
        <f>IF(AND($L1826="",$M1826=""),"",IF($L1826&lt;&gt;"",INDEX(SCNormDate,$L1826),INDEX(LdgDateB,$M1826)))</f>
        <v/>
      </c>
      <c r="C1826" s="24">
        <f>IF($L1826&lt;&gt;"",INDEX(SCOp,$L1826),IF($M1826&lt;&gt;"","پرداخت بانکی",""))</f>
        <v/>
      </c>
      <c r="D1826" s="24">
        <f>IF($L1826&lt;&gt;"",IF(INDEX(SCDoc,$L1826)="","—",INDEX(SCDoc,$L1826)),IF($M1826&lt;&gt;"",INDEX(LdgBankB,$M1826),""))</f>
        <v/>
      </c>
      <c r="E1826" s="25">
        <f>IF($L1826&lt;&gt;"",IF(INDEX(SCCitrus,$L1826)&amp;INDEX(SCNotes,$L1826)="","",IF(INDEX(SCCitrus,$L1826)="","",INDEX(SCCitrus,$L1826))&amp;IF(INDEX(SCNotes,$L1826)="",""," — "&amp;INDEX(SCNotes,$L1826))),IF($M1826&lt;&gt;"",IF(INDEX(LdgNoteB,$M1826)="","—",INDEX(LdgNoteB,$M1826)),""))</f>
        <v/>
      </c>
      <c r="F1826" s="26">
        <f>IF($L1826&lt;&gt;"",IF(INDEX(SCNet,$L1826)=0,"",INDEX(SCNet,$L1826)),"")</f>
        <v/>
      </c>
      <c r="G1826" s="27">
        <f>IF($L1826&lt;&gt;"",IF(INDEX(SCOp,$L1826)="مرجوعی فروش","",IF(INDEX(SCAmount,$L1826)&lt;=0,"",INDEX(SCAmount,$L1826))),IF($M1826&lt;&gt;"",IF(INDEX(LdgWitB,$M1826)=0,"",INDEX(LdgWitB,$M1826)),""))</f>
        <v/>
      </c>
      <c r="H1826" s="27">
        <f>IF($L1826&lt;&gt;"",IF(INDEX(SCOp,$L1826)="مرجوعی فروش",IF(INDEX(SCAmount,$L1826)=0,"",-INDEX(SCAmount,$L1826)),""),IF($M1826&lt;&gt;"",IF(INDEX(LdgDepB,$M1826)=0,"",INDEX(LdgDepB,$M1826)),""))</f>
        <v/>
      </c>
      <c r="I1826" s="28">
        <f>IF($B1826="","",IF($I1825="",$C$10,$I1825)+IF($G1826="",0,$G1826)-IF($H1826="",0,$H1826))</f>
        <v/>
      </c>
      <c r="L1826">
        <f>IFERROR(MATCH($C$5&amp;"|"&amp;RIGHT("000000"&amp;1810,6),LdgRankKeyA,0),"")</f>
        <v/>
      </c>
      <c r="M1826">
        <f>IFERROR(MATCH($C$5&amp;"|"&amp;RIGHT("000000"&amp;1810,6),LdgRankKeyB,0),"")</f>
        <v/>
      </c>
    </row>
    <row r="1827">
      <c r="A1827" s="17" t="n">
        <v>1811</v>
      </c>
      <c r="B1827" s="18">
        <f>IF(AND($L1827="",$M1827=""),"",IF($L1827&lt;&gt;"",INDEX(SCNormDate,$L1827),INDEX(LdgDateB,$M1827)))</f>
        <v/>
      </c>
      <c r="C1827" s="18">
        <f>IF($L1827&lt;&gt;"",INDEX(SCOp,$L1827),IF($M1827&lt;&gt;"","پرداخت بانکی",""))</f>
        <v/>
      </c>
      <c r="D1827" s="18">
        <f>IF($L1827&lt;&gt;"",IF(INDEX(SCDoc,$L1827)="","—",INDEX(SCDoc,$L1827)),IF($M1827&lt;&gt;"",INDEX(LdgBankB,$M1827),""))</f>
        <v/>
      </c>
      <c r="E1827" s="19">
        <f>IF($L1827&lt;&gt;"",IF(INDEX(SCCitrus,$L1827)&amp;INDEX(SCNotes,$L1827)="","",IF(INDEX(SCCitrus,$L1827)="","",INDEX(SCCitrus,$L1827))&amp;IF(INDEX(SCNotes,$L1827)="",""," — "&amp;INDEX(SCNotes,$L1827))),IF($M1827&lt;&gt;"",IF(INDEX(LdgNoteB,$M1827)="","—",INDEX(LdgNoteB,$M1827)),""))</f>
        <v/>
      </c>
      <c r="F1827" s="20">
        <f>IF($L1827&lt;&gt;"",IF(INDEX(SCNet,$L1827)=0,"",INDEX(SCNet,$L1827)),"")</f>
        <v/>
      </c>
      <c r="G1827" s="21">
        <f>IF($L1827&lt;&gt;"",IF(INDEX(SCOp,$L1827)="مرجوعی فروش","",IF(INDEX(SCAmount,$L1827)&lt;=0,"",INDEX(SCAmount,$L1827))),IF($M1827&lt;&gt;"",IF(INDEX(LdgWitB,$M1827)=0,"",INDEX(LdgWitB,$M1827)),""))</f>
        <v/>
      </c>
      <c r="H1827" s="21">
        <f>IF($L1827&lt;&gt;"",IF(INDEX(SCOp,$L1827)="مرجوعی فروش",IF(INDEX(SCAmount,$L1827)=0,"",-INDEX(SCAmount,$L1827)),""),IF($M1827&lt;&gt;"",IF(INDEX(LdgDepB,$M1827)=0,"",INDEX(LdgDepB,$M1827)),""))</f>
        <v/>
      </c>
      <c r="I1827" s="22">
        <f>IF($B1827="","",IF($I1826="",$C$10,$I1826)+IF($G1827="",0,$G1827)-IF($H1827="",0,$H1827))</f>
        <v/>
      </c>
      <c r="L1827">
        <f>IFERROR(MATCH($C$5&amp;"|"&amp;RIGHT("000000"&amp;1811,6),LdgRankKeyA,0),"")</f>
        <v/>
      </c>
      <c r="M1827">
        <f>IFERROR(MATCH($C$5&amp;"|"&amp;RIGHT("000000"&amp;1811,6),LdgRankKeyB,0),"")</f>
        <v/>
      </c>
    </row>
    <row r="1828">
      <c r="A1828" s="23" t="n">
        <v>1812</v>
      </c>
      <c r="B1828" s="24">
        <f>IF(AND($L1828="",$M1828=""),"",IF($L1828&lt;&gt;"",INDEX(SCNormDate,$L1828),INDEX(LdgDateB,$M1828)))</f>
        <v/>
      </c>
      <c r="C1828" s="24">
        <f>IF($L1828&lt;&gt;"",INDEX(SCOp,$L1828),IF($M1828&lt;&gt;"","پرداخت بانکی",""))</f>
        <v/>
      </c>
      <c r="D1828" s="24">
        <f>IF($L1828&lt;&gt;"",IF(INDEX(SCDoc,$L1828)="","—",INDEX(SCDoc,$L1828)),IF($M1828&lt;&gt;"",INDEX(LdgBankB,$M1828),""))</f>
        <v/>
      </c>
      <c r="E1828" s="25">
        <f>IF($L1828&lt;&gt;"",IF(INDEX(SCCitrus,$L1828)&amp;INDEX(SCNotes,$L1828)="","",IF(INDEX(SCCitrus,$L1828)="","",INDEX(SCCitrus,$L1828))&amp;IF(INDEX(SCNotes,$L1828)="",""," — "&amp;INDEX(SCNotes,$L1828))),IF($M1828&lt;&gt;"",IF(INDEX(LdgNoteB,$M1828)="","—",INDEX(LdgNoteB,$M1828)),""))</f>
        <v/>
      </c>
      <c r="F1828" s="26">
        <f>IF($L1828&lt;&gt;"",IF(INDEX(SCNet,$L1828)=0,"",INDEX(SCNet,$L1828)),"")</f>
        <v/>
      </c>
      <c r="G1828" s="27">
        <f>IF($L1828&lt;&gt;"",IF(INDEX(SCOp,$L1828)="مرجوعی فروش","",IF(INDEX(SCAmount,$L1828)&lt;=0,"",INDEX(SCAmount,$L1828))),IF($M1828&lt;&gt;"",IF(INDEX(LdgWitB,$M1828)=0,"",INDEX(LdgWitB,$M1828)),""))</f>
        <v/>
      </c>
      <c r="H1828" s="27">
        <f>IF($L1828&lt;&gt;"",IF(INDEX(SCOp,$L1828)="مرجوعی فروش",IF(INDEX(SCAmount,$L1828)=0,"",-INDEX(SCAmount,$L1828)),""),IF($M1828&lt;&gt;"",IF(INDEX(LdgDepB,$M1828)=0,"",INDEX(LdgDepB,$M1828)),""))</f>
        <v/>
      </c>
      <c r="I1828" s="28">
        <f>IF($B1828="","",IF($I1827="",$C$10,$I1827)+IF($G1828="",0,$G1828)-IF($H1828="",0,$H1828))</f>
        <v/>
      </c>
      <c r="L1828">
        <f>IFERROR(MATCH($C$5&amp;"|"&amp;RIGHT("000000"&amp;1812,6),LdgRankKeyA,0),"")</f>
        <v/>
      </c>
      <c r="M1828">
        <f>IFERROR(MATCH($C$5&amp;"|"&amp;RIGHT("000000"&amp;1812,6),LdgRankKeyB,0),"")</f>
        <v/>
      </c>
    </row>
    <row r="1829">
      <c r="A1829" s="17" t="n">
        <v>1813</v>
      </c>
      <c r="B1829" s="18">
        <f>IF(AND($L1829="",$M1829=""),"",IF($L1829&lt;&gt;"",INDEX(SCNormDate,$L1829),INDEX(LdgDateB,$M1829)))</f>
        <v/>
      </c>
      <c r="C1829" s="18">
        <f>IF($L1829&lt;&gt;"",INDEX(SCOp,$L1829),IF($M1829&lt;&gt;"","پرداخت بانکی",""))</f>
        <v/>
      </c>
      <c r="D1829" s="18">
        <f>IF($L1829&lt;&gt;"",IF(INDEX(SCDoc,$L1829)="","—",INDEX(SCDoc,$L1829)),IF($M1829&lt;&gt;"",INDEX(LdgBankB,$M1829),""))</f>
        <v/>
      </c>
      <c r="E1829" s="19">
        <f>IF($L1829&lt;&gt;"",IF(INDEX(SCCitrus,$L1829)&amp;INDEX(SCNotes,$L1829)="","",IF(INDEX(SCCitrus,$L1829)="","",INDEX(SCCitrus,$L1829))&amp;IF(INDEX(SCNotes,$L1829)="",""," — "&amp;INDEX(SCNotes,$L1829))),IF($M1829&lt;&gt;"",IF(INDEX(LdgNoteB,$M1829)="","—",INDEX(LdgNoteB,$M1829)),""))</f>
        <v/>
      </c>
      <c r="F1829" s="20">
        <f>IF($L1829&lt;&gt;"",IF(INDEX(SCNet,$L1829)=0,"",INDEX(SCNet,$L1829)),"")</f>
        <v/>
      </c>
      <c r="G1829" s="21">
        <f>IF($L1829&lt;&gt;"",IF(INDEX(SCOp,$L1829)="مرجوعی فروش","",IF(INDEX(SCAmount,$L1829)&lt;=0,"",INDEX(SCAmount,$L1829))),IF($M1829&lt;&gt;"",IF(INDEX(LdgWitB,$M1829)=0,"",INDEX(LdgWitB,$M1829)),""))</f>
        <v/>
      </c>
      <c r="H1829" s="21">
        <f>IF($L1829&lt;&gt;"",IF(INDEX(SCOp,$L1829)="مرجوعی فروش",IF(INDEX(SCAmount,$L1829)=0,"",-INDEX(SCAmount,$L1829)),""),IF($M1829&lt;&gt;"",IF(INDEX(LdgDepB,$M1829)=0,"",INDEX(LdgDepB,$M1829)),""))</f>
        <v/>
      </c>
      <c r="I1829" s="22">
        <f>IF($B1829="","",IF($I1828="",$C$10,$I1828)+IF($G1829="",0,$G1829)-IF($H1829="",0,$H1829))</f>
        <v/>
      </c>
      <c r="L1829">
        <f>IFERROR(MATCH($C$5&amp;"|"&amp;RIGHT("000000"&amp;1813,6),LdgRankKeyA,0),"")</f>
        <v/>
      </c>
      <c r="M1829">
        <f>IFERROR(MATCH($C$5&amp;"|"&amp;RIGHT("000000"&amp;1813,6),LdgRankKeyB,0),"")</f>
        <v/>
      </c>
    </row>
    <row r="1830">
      <c r="A1830" s="23" t="n">
        <v>1814</v>
      </c>
      <c r="B1830" s="24">
        <f>IF(AND($L1830="",$M1830=""),"",IF($L1830&lt;&gt;"",INDEX(SCNormDate,$L1830),INDEX(LdgDateB,$M1830)))</f>
        <v/>
      </c>
      <c r="C1830" s="24">
        <f>IF($L1830&lt;&gt;"",INDEX(SCOp,$L1830),IF($M1830&lt;&gt;"","پرداخت بانکی",""))</f>
        <v/>
      </c>
      <c r="D1830" s="24">
        <f>IF($L1830&lt;&gt;"",IF(INDEX(SCDoc,$L1830)="","—",INDEX(SCDoc,$L1830)),IF($M1830&lt;&gt;"",INDEX(LdgBankB,$M1830),""))</f>
        <v/>
      </c>
      <c r="E1830" s="25">
        <f>IF($L1830&lt;&gt;"",IF(INDEX(SCCitrus,$L1830)&amp;INDEX(SCNotes,$L1830)="","",IF(INDEX(SCCitrus,$L1830)="","",INDEX(SCCitrus,$L1830))&amp;IF(INDEX(SCNotes,$L1830)="",""," — "&amp;INDEX(SCNotes,$L1830))),IF($M1830&lt;&gt;"",IF(INDEX(LdgNoteB,$M1830)="","—",INDEX(LdgNoteB,$M1830)),""))</f>
        <v/>
      </c>
      <c r="F1830" s="26">
        <f>IF($L1830&lt;&gt;"",IF(INDEX(SCNet,$L1830)=0,"",INDEX(SCNet,$L1830)),"")</f>
        <v/>
      </c>
      <c r="G1830" s="27">
        <f>IF($L1830&lt;&gt;"",IF(INDEX(SCOp,$L1830)="مرجوعی فروش","",IF(INDEX(SCAmount,$L1830)&lt;=0,"",INDEX(SCAmount,$L1830))),IF($M1830&lt;&gt;"",IF(INDEX(LdgWitB,$M1830)=0,"",INDEX(LdgWitB,$M1830)),""))</f>
        <v/>
      </c>
      <c r="H1830" s="27">
        <f>IF($L1830&lt;&gt;"",IF(INDEX(SCOp,$L1830)="مرجوعی فروش",IF(INDEX(SCAmount,$L1830)=0,"",-INDEX(SCAmount,$L1830)),""),IF($M1830&lt;&gt;"",IF(INDEX(LdgDepB,$M1830)=0,"",INDEX(LdgDepB,$M1830)),""))</f>
        <v/>
      </c>
      <c r="I1830" s="28">
        <f>IF($B1830="","",IF($I1829="",$C$10,$I1829)+IF($G1830="",0,$G1830)-IF($H1830="",0,$H1830))</f>
        <v/>
      </c>
      <c r="L1830">
        <f>IFERROR(MATCH($C$5&amp;"|"&amp;RIGHT("000000"&amp;1814,6),LdgRankKeyA,0),"")</f>
        <v/>
      </c>
      <c r="M1830">
        <f>IFERROR(MATCH($C$5&amp;"|"&amp;RIGHT("000000"&amp;1814,6),LdgRankKeyB,0),"")</f>
        <v/>
      </c>
    </row>
    <row r="1831">
      <c r="A1831" s="17" t="n">
        <v>1815</v>
      </c>
      <c r="B1831" s="18">
        <f>IF(AND($L1831="",$M1831=""),"",IF($L1831&lt;&gt;"",INDEX(SCNormDate,$L1831),INDEX(LdgDateB,$M1831)))</f>
        <v/>
      </c>
      <c r="C1831" s="18">
        <f>IF($L1831&lt;&gt;"",INDEX(SCOp,$L1831),IF($M1831&lt;&gt;"","پرداخت بانکی",""))</f>
        <v/>
      </c>
      <c r="D1831" s="18">
        <f>IF($L1831&lt;&gt;"",IF(INDEX(SCDoc,$L1831)="","—",INDEX(SCDoc,$L1831)),IF($M1831&lt;&gt;"",INDEX(LdgBankB,$M1831),""))</f>
        <v/>
      </c>
      <c r="E1831" s="19">
        <f>IF($L1831&lt;&gt;"",IF(INDEX(SCCitrus,$L1831)&amp;INDEX(SCNotes,$L1831)="","",IF(INDEX(SCCitrus,$L1831)="","",INDEX(SCCitrus,$L1831))&amp;IF(INDEX(SCNotes,$L1831)="",""," — "&amp;INDEX(SCNotes,$L1831))),IF($M1831&lt;&gt;"",IF(INDEX(LdgNoteB,$M1831)="","—",INDEX(LdgNoteB,$M1831)),""))</f>
        <v/>
      </c>
      <c r="F1831" s="20">
        <f>IF($L1831&lt;&gt;"",IF(INDEX(SCNet,$L1831)=0,"",INDEX(SCNet,$L1831)),"")</f>
        <v/>
      </c>
      <c r="G1831" s="21">
        <f>IF($L1831&lt;&gt;"",IF(INDEX(SCOp,$L1831)="مرجوعی فروش","",IF(INDEX(SCAmount,$L1831)&lt;=0,"",INDEX(SCAmount,$L1831))),IF($M1831&lt;&gt;"",IF(INDEX(LdgWitB,$M1831)=0,"",INDEX(LdgWitB,$M1831)),""))</f>
        <v/>
      </c>
      <c r="H1831" s="21">
        <f>IF($L1831&lt;&gt;"",IF(INDEX(SCOp,$L1831)="مرجوعی فروش",IF(INDEX(SCAmount,$L1831)=0,"",-INDEX(SCAmount,$L1831)),""),IF($M1831&lt;&gt;"",IF(INDEX(LdgDepB,$M1831)=0,"",INDEX(LdgDepB,$M1831)),""))</f>
        <v/>
      </c>
      <c r="I1831" s="22">
        <f>IF($B1831="","",IF($I1830="",$C$10,$I1830)+IF($G1831="",0,$G1831)-IF($H1831="",0,$H1831))</f>
        <v/>
      </c>
      <c r="L1831">
        <f>IFERROR(MATCH($C$5&amp;"|"&amp;RIGHT("000000"&amp;1815,6),LdgRankKeyA,0),"")</f>
        <v/>
      </c>
      <c r="M1831">
        <f>IFERROR(MATCH($C$5&amp;"|"&amp;RIGHT("000000"&amp;1815,6),LdgRankKeyB,0),"")</f>
        <v/>
      </c>
    </row>
    <row r="1832">
      <c r="A1832" s="23" t="n">
        <v>1816</v>
      </c>
      <c r="B1832" s="24">
        <f>IF(AND($L1832="",$M1832=""),"",IF($L1832&lt;&gt;"",INDEX(SCNormDate,$L1832),INDEX(LdgDateB,$M1832)))</f>
        <v/>
      </c>
      <c r="C1832" s="24">
        <f>IF($L1832&lt;&gt;"",INDEX(SCOp,$L1832),IF($M1832&lt;&gt;"","پرداخت بانکی",""))</f>
        <v/>
      </c>
      <c r="D1832" s="24">
        <f>IF($L1832&lt;&gt;"",IF(INDEX(SCDoc,$L1832)="","—",INDEX(SCDoc,$L1832)),IF($M1832&lt;&gt;"",INDEX(LdgBankB,$M1832),""))</f>
        <v/>
      </c>
      <c r="E1832" s="25">
        <f>IF($L1832&lt;&gt;"",IF(INDEX(SCCitrus,$L1832)&amp;INDEX(SCNotes,$L1832)="","",IF(INDEX(SCCitrus,$L1832)="","",INDEX(SCCitrus,$L1832))&amp;IF(INDEX(SCNotes,$L1832)="",""," — "&amp;INDEX(SCNotes,$L1832))),IF($M1832&lt;&gt;"",IF(INDEX(LdgNoteB,$M1832)="","—",INDEX(LdgNoteB,$M1832)),""))</f>
        <v/>
      </c>
      <c r="F1832" s="26">
        <f>IF($L1832&lt;&gt;"",IF(INDEX(SCNet,$L1832)=0,"",INDEX(SCNet,$L1832)),"")</f>
        <v/>
      </c>
      <c r="G1832" s="27">
        <f>IF($L1832&lt;&gt;"",IF(INDEX(SCOp,$L1832)="مرجوعی فروش","",IF(INDEX(SCAmount,$L1832)&lt;=0,"",INDEX(SCAmount,$L1832))),IF($M1832&lt;&gt;"",IF(INDEX(LdgWitB,$M1832)=0,"",INDEX(LdgWitB,$M1832)),""))</f>
        <v/>
      </c>
      <c r="H1832" s="27">
        <f>IF($L1832&lt;&gt;"",IF(INDEX(SCOp,$L1832)="مرجوعی فروش",IF(INDEX(SCAmount,$L1832)=0,"",-INDEX(SCAmount,$L1832)),""),IF($M1832&lt;&gt;"",IF(INDEX(LdgDepB,$M1832)=0,"",INDEX(LdgDepB,$M1832)),""))</f>
        <v/>
      </c>
      <c r="I1832" s="28">
        <f>IF($B1832="","",IF($I1831="",$C$10,$I1831)+IF($G1832="",0,$G1832)-IF($H1832="",0,$H1832))</f>
        <v/>
      </c>
      <c r="L1832">
        <f>IFERROR(MATCH($C$5&amp;"|"&amp;RIGHT("000000"&amp;1816,6),LdgRankKeyA,0),"")</f>
        <v/>
      </c>
      <c r="M1832">
        <f>IFERROR(MATCH($C$5&amp;"|"&amp;RIGHT("000000"&amp;1816,6),LdgRankKeyB,0),"")</f>
        <v/>
      </c>
    </row>
    <row r="1833">
      <c r="A1833" s="17" t="n">
        <v>1817</v>
      </c>
      <c r="B1833" s="18">
        <f>IF(AND($L1833="",$M1833=""),"",IF($L1833&lt;&gt;"",INDEX(SCNormDate,$L1833),INDEX(LdgDateB,$M1833)))</f>
        <v/>
      </c>
      <c r="C1833" s="18">
        <f>IF($L1833&lt;&gt;"",INDEX(SCOp,$L1833),IF($M1833&lt;&gt;"","پرداخت بانکی",""))</f>
        <v/>
      </c>
      <c r="D1833" s="18">
        <f>IF($L1833&lt;&gt;"",IF(INDEX(SCDoc,$L1833)="","—",INDEX(SCDoc,$L1833)),IF($M1833&lt;&gt;"",INDEX(LdgBankB,$M1833),""))</f>
        <v/>
      </c>
      <c r="E1833" s="19">
        <f>IF($L1833&lt;&gt;"",IF(INDEX(SCCitrus,$L1833)&amp;INDEX(SCNotes,$L1833)="","",IF(INDEX(SCCitrus,$L1833)="","",INDEX(SCCitrus,$L1833))&amp;IF(INDEX(SCNotes,$L1833)="",""," — "&amp;INDEX(SCNotes,$L1833))),IF($M1833&lt;&gt;"",IF(INDEX(LdgNoteB,$M1833)="","—",INDEX(LdgNoteB,$M1833)),""))</f>
        <v/>
      </c>
      <c r="F1833" s="20">
        <f>IF($L1833&lt;&gt;"",IF(INDEX(SCNet,$L1833)=0,"",INDEX(SCNet,$L1833)),"")</f>
        <v/>
      </c>
      <c r="G1833" s="21">
        <f>IF($L1833&lt;&gt;"",IF(INDEX(SCOp,$L1833)="مرجوعی فروش","",IF(INDEX(SCAmount,$L1833)&lt;=0,"",INDEX(SCAmount,$L1833))),IF($M1833&lt;&gt;"",IF(INDEX(LdgWitB,$M1833)=0,"",INDEX(LdgWitB,$M1833)),""))</f>
        <v/>
      </c>
      <c r="H1833" s="21">
        <f>IF($L1833&lt;&gt;"",IF(INDEX(SCOp,$L1833)="مرجوعی فروش",IF(INDEX(SCAmount,$L1833)=0,"",-INDEX(SCAmount,$L1833)),""),IF($M1833&lt;&gt;"",IF(INDEX(LdgDepB,$M1833)=0,"",INDEX(LdgDepB,$M1833)),""))</f>
        <v/>
      </c>
      <c r="I1833" s="22">
        <f>IF($B1833="","",IF($I1832="",$C$10,$I1832)+IF($G1833="",0,$G1833)-IF($H1833="",0,$H1833))</f>
        <v/>
      </c>
      <c r="L1833">
        <f>IFERROR(MATCH($C$5&amp;"|"&amp;RIGHT("000000"&amp;1817,6),LdgRankKeyA,0),"")</f>
        <v/>
      </c>
      <c r="M1833">
        <f>IFERROR(MATCH($C$5&amp;"|"&amp;RIGHT("000000"&amp;1817,6),LdgRankKeyB,0),"")</f>
        <v/>
      </c>
    </row>
    <row r="1834">
      <c r="A1834" s="23" t="n">
        <v>1818</v>
      </c>
      <c r="B1834" s="24">
        <f>IF(AND($L1834="",$M1834=""),"",IF($L1834&lt;&gt;"",INDEX(SCNormDate,$L1834),INDEX(LdgDateB,$M1834)))</f>
        <v/>
      </c>
      <c r="C1834" s="24">
        <f>IF($L1834&lt;&gt;"",INDEX(SCOp,$L1834),IF($M1834&lt;&gt;"","پرداخت بانکی",""))</f>
        <v/>
      </c>
      <c r="D1834" s="24">
        <f>IF($L1834&lt;&gt;"",IF(INDEX(SCDoc,$L1834)="","—",INDEX(SCDoc,$L1834)),IF($M1834&lt;&gt;"",INDEX(LdgBankB,$M1834),""))</f>
        <v/>
      </c>
      <c r="E1834" s="25">
        <f>IF($L1834&lt;&gt;"",IF(INDEX(SCCitrus,$L1834)&amp;INDEX(SCNotes,$L1834)="","",IF(INDEX(SCCitrus,$L1834)="","",INDEX(SCCitrus,$L1834))&amp;IF(INDEX(SCNotes,$L1834)="",""," — "&amp;INDEX(SCNotes,$L1834))),IF($M1834&lt;&gt;"",IF(INDEX(LdgNoteB,$M1834)="","—",INDEX(LdgNoteB,$M1834)),""))</f>
        <v/>
      </c>
      <c r="F1834" s="26">
        <f>IF($L1834&lt;&gt;"",IF(INDEX(SCNet,$L1834)=0,"",INDEX(SCNet,$L1834)),"")</f>
        <v/>
      </c>
      <c r="G1834" s="27">
        <f>IF($L1834&lt;&gt;"",IF(INDEX(SCOp,$L1834)="مرجوعی فروش","",IF(INDEX(SCAmount,$L1834)&lt;=0,"",INDEX(SCAmount,$L1834))),IF($M1834&lt;&gt;"",IF(INDEX(LdgWitB,$M1834)=0,"",INDEX(LdgWitB,$M1834)),""))</f>
        <v/>
      </c>
      <c r="H1834" s="27">
        <f>IF($L1834&lt;&gt;"",IF(INDEX(SCOp,$L1834)="مرجوعی فروش",IF(INDEX(SCAmount,$L1834)=0,"",-INDEX(SCAmount,$L1834)),""),IF($M1834&lt;&gt;"",IF(INDEX(LdgDepB,$M1834)=0,"",INDEX(LdgDepB,$M1834)),""))</f>
        <v/>
      </c>
      <c r="I1834" s="28">
        <f>IF($B1834="","",IF($I1833="",$C$10,$I1833)+IF($G1834="",0,$G1834)-IF($H1834="",0,$H1834))</f>
        <v/>
      </c>
      <c r="L1834">
        <f>IFERROR(MATCH($C$5&amp;"|"&amp;RIGHT("000000"&amp;1818,6),LdgRankKeyA,0),"")</f>
        <v/>
      </c>
      <c r="M1834">
        <f>IFERROR(MATCH($C$5&amp;"|"&amp;RIGHT("000000"&amp;1818,6),LdgRankKeyB,0),"")</f>
        <v/>
      </c>
    </row>
    <row r="1835">
      <c r="A1835" s="17" t="n">
        <v>1819</v>
      </c>
      <c r="B1835" s="18">
        <f>IF(AND($L1835="",$M1835=""),"",IF($L1835&lt;&gt;"",INDEX(SCNormDate,$L1835),INDEX(LdgDateB,$M1835)))</f>
        <v/>
      </c>
      <c r="C1835" s="18">
        <f>IF($L1835&lt;&gt;"",INDEX(SCOp,$L1835),IF($M1835&lt;&gt;"","پرداخت بانکی",""))</f>
        <v/>
      </c>
      <c r="D1835" s="18">
        <f>IF($L1835&lt;&gt;"",IF(INDEX(SCDoc,$L1835)="","—",INDEX(SCDoc,$L1835)),IF($M1835&lt;&gt;"",INDEX(LdgBankB,$M1835),""))</f>
        <v/>
      </c>
      <c r="E1835" s="19">
        <f>IF($L1835&lt;&gt;"",IF(INDEX(SCCitrus,$L1835)&amp;INDEX(SCNotes,$L1835)="","",IF(INDEX(SCCitrus,$L1835)="","",INDEX(SCCitrus,$L1835))&amp;IF(INDEX(SCNotes,$L1835)="",""," — "&amp;INDEX(SCNotes,$L1835))),IF($M1835&lt;&gt;"",IF(INDEX(LdgNoteB,$M1835)="","—",INDEX(LdgNoteB,$M1835)),""))</f>
        <v/>
      </c>
      <c r="F1835" s="20">
        <f>IF($L1835&lt;&gt;"",IF(INDEX(SCNet,$L1835)=0,"",INDEX(SCNet,$L1835)),"")</f>
        <v/>
      </c>
      <c r="G1835" s="21">
        <f>IF($L1835&lt;&gt;"",IF(INDEX(SCOp,$L1835)="مرجوعی فروش","",IF(INDEX(SCAmount,$L1835)&lt;=0,"",INDEX(SCAmount,$L1835))),IF($M1835&lt;&gt;"",IF(INDEX(LdgWitB,$M1835)=0,"",INDEX(LdgWitB,$M1835)),""))</f>
        <v/>
      </c>
      <c r="H1835" s="21">
        <f>IF($L1835&lt;&gt;"",IF(INDEX(SCOp,$L1835)="مرجوعی فروش",IF(INDEX(SCAmount,$L1835)=0,"",-INDEX(SCAmount,$L1835)),""),IF($M1835&lt;&gt;"",IF(INDEX(LdgDepB,$M1835)=0,"",INDEX(LdgDepB,$M1835)),""))</f>
        <v/>
      </c>
      <c r="I1835" s="22">
        <f>IF($B1835="","",IF($I1834="",$C$10,$I1834)+IF($G1835="",0,$G1835)-IF($H1835="",0,$H1835))</f>
        <v/>
      </c>
      <c r="L1835">
        <f>IFERROR(MATCH($C$5&amp;"|"&amp;RIGHT("000000"&amp;1819,6),LdgRankKeyA,0),"")</f>
        <v/>
      </c>
      <c r="M1835">
        <f>IFERROR(MATCH($C$5&amp;"|"&amp;RIGHT("000000"&amp;1819,6),LdgRankKeyB,0),"")</f>
        <v/>
      </c>
    </row>
    <row r="1836">
      <c r="A1836" s="23" t="n">
        <v>1820</v>
      </c>
      <c r="B1836" s="24">
        <f>IF(AND($L1836="",$M1836=""),"",IF($L1836&lt;&gt;"",INDEX(SCNormDate,$L1836),INDEX(LdgDateB,$M1836)))</f>
        <v/>
      </c>
      <c r="C1836" s="24">
        <f>IF($L1836&lt;&gt;"",INDEX(SCOp,$L1836),IF($M1836&lt;&gt;"","پرداخت بانکی",""))</f>
        <v/>
      </c>
      <c r="D1836" s="24">
        <f>IF($L1836&lt;&gt;"",IF(INDEX(SCDoc,$L1836)="","—",INDEX(SCDoc,$L1836)),IF($M1836&lt;&gt;"",INDEX(LdgBankB,$M1836),""))</f>
        <v/>
      </c>
      <c r="E1836" s="25">
        <f>IF($L1836&lt;&gt;"",IF(INDEX(SCCitrus,$L1836)&amp;INDEX(SCNotes,$L1836)="","",IF(INDEX(SCCitrus,$L1836)="","",INDEX(SCCitrus,$L1836))&amp;IF(INDEX(SCNotes,$L1836)="",""," — "&amp;INDEX(SCNotes,$L1836))),IF($M1836&lt;&gt;"",IF(INDEX(LdgNoteB,$M1836)="","—",INDEX(LdgNoteB,$M1836)),""))</f>
        <v/>
      </c>
      <c r="F1836" s="26">
        <f>IF($L1836&lt;&gt;"",IF(INDEX(SCNet,$L1836)=0,"",INDEX(SCNet,$L1836)),"")</f>
        <v/>
      </c>
      <c r="G1836" s="27">
        <f>IF($L1836&lt;&gt;"",IF(INDEX(SCOp,$L1836)="مرجوعی فروش","",IF(INDEX(SCAmount,$L1836)&lt;=0,"",INDEX(SCAmount,$L1836))),IF($M1836&lt;&gt;"",IF(INDEX(LdgWitB,$M1836)=0,"",INDEX(LdgWitB,$M1836)),""))</f>
        <v/>
      </c>
      <c r="H1836" s="27">
        <f>IF($L1836&lt;&gt;"",IF(INDEX(SCOp,$L1836)="مرجوعی فروش",IF(INDEX(SCAmount,$L1836)=0,"",-INDEX(SCAmount,$L1836)),""),IF($M1836&lt;&gt;"",IF(INDEX(LdgDepB,$M1836)=0,"",INDEX(LdgDepB,$M1836)),""))</f>
        <v/>
      </c>
      <c r="I1836" s="28">
        <f>IF($B1836="","",IF($I1835="",$C$10,$I1835)+IF($G1836="",0,$G1836)-IF($H1836="",0,$H1836))</f>
        <v/>
      </c>
      <c r="L1836">
        <f>IFERROR(MATCH($C$5&amp;"|"&amp;RIGHT("000000"&amp;1820,6),LdgRankKeyA,0),"")</f>
        <v/>
      </c>
      <c r="M1836">
        <f>IFERROR(MATCH($C$5&amp;"|"&amp;RIGHT("000000"&amp;1820,6),LdgRankKeyB,0),"")</f>
        <v/>
      </c>
    </row>
    <row r="1837">
      <c r="A1837" s="17" t="n">
        <v>1821</v>
      </c>
      <c r="B1837" s="18">
        <f>IF(AND($L1837="",$M1837=""),"",IF($L1837&lt;&gt;"",INDEX(SCNormDate,$L1837),INDEX(LdgDateB,$M1837)))</f>
        <v/>
      </c>
      <c r="C1837" s="18">
        <f>IF($L1837&lt;&gt;"",INDEX(SCOp,$L1837),IF($M1837&lt;&gt;"","پرداخت بانکی",""))</f>
        <v/>
      </c>
      <c r="D1837" s="18">
        <f>IF($L1837&lt;&gt;"",IF(INDEX(SCDoc,$L1837)="","—",INDEX(SCDoc,$L1837)),IF($M1837&lt;&gt;"",INDEX(LdgBankB,$M1837),""))</f>
        <v/>
      </c>
      <c r="E1837" s="19">
        <f>IF($L1837&lt;&gt;"",IF(INDEX(SCCitrus,$L1837)&amp;INDEX(SCNotes,$L1837)="","",IF(INDEX(SCCitrus,$L1837)="","",INDEX(SCCitrus,$L1837))&amp;IF(INDEX(SCNotes,$L1837)="",""," — "&amp;INDEX(SCNotes,$L1837))),IF($M1837&lt;&gt;"",IF(INDEX(LdgNoteB,$M1837)="","—",INDEX(LdgNoteB,$M1837)),""))</f>
        <v/>
      </c>
      <c r="F1837" s="20">
        <f>IF($L1837&lt;&gt;"",IF(INDEX(SCNet,$L1837)=0,"",INDEX(SCNet,$L1837)),"")</f>
        <v/>
      </c>
      <c r="G1837" s="21">
        <f>IF($L1837&lt;&gt;"",IF(INDEX(SCOp,$L1837)="مرجوعی فروش","",IF(INDEX(SCAmount,$L1837)&lt;=0,"",INDEX(SCAmount,$L1837))),IF($M1837&lt;&gt;"",IF(INDEX(LdgWitB,$M1837)=0,"",INDEX(LdgWitB,$M1837)),""))</f>
        <v/>
      </c>
      <c r="H1837" s="21">
        <f>IF($L1837&lt;&gt;"",IF(INDEX(SCOp,$L1837)="مرجوعی فروش",IF(INDEX(SCAmount,$L1837)=0,"",-INDEX(SCAmount,$L1837)),""),IF($M1837&lt;&gt;"",IF(INDEX(LdgDepB,$M1837)=0,"",INDEX(LdgDepB,$M1837)),""))</f>
        <v/>
      </c>
      <c r="I1837" s="22">
        <f>IF($B1837="","",IF($I1836="",$C$10,$I1836)+IF($G1837="",0,$G1837)-IF($H1837="",0,$H1837))</f>
        <v/>
      </c>
      <c r="L1837">
        <f>IFERROR(MATCH($C$5&amp;"|"&amp;RIGHT("000000"&amp;1821,6),LdgRankKeyA,0),"")</f>
        <v/>
      </c>
      <c r="M1837">
        <f>IFERROR(MATCH($C$5&amp;"|"&amp;RIGHT("000000"&amp;1821,6),LdgRankKeyB,0),"")</f>
        <v/>
      </c>
    </row>
    <row r="1838">
      <c r="A1838" s="23" t="n">
        <v>1822</v>
      </c>
      <c r="B1838" s="24">
        <f>IF(AND($L1838="",$M1838=""),"",IF($L1838&lt;&gt;"",INDEX(SCNormDate,$L1838),INDEX(LdgDateB,$M1838)))</f>
        <v/>
      </c>
      <c r="C1838" s="24">
        <f>IF($L1838&lt;&gt;"",INDEX(SCOp,$L1838),IF($M1838&lt;&gt;"","پرداخت بانکی",""))</f>
        <v/>
      </c>
      <c r="D1838" s="24">
        <f>IF($L1838&lt;&gt;"",IF(INDEX(SCDoc,$L1838)="","—",INDEX(SCDoc,$L1838)),IF($M1838&lt;&gt;"",INDEX(LdgBankB,$M1838),""))</f>
        <v/>
      </c>
      <c r="E1838" s="25">
        <f>IF($L1838&lt;&gt;"",IF(INDEX(SCCitrus,$L1838)&amp;INDEX(SCNotes,$L1838)="","",IF(INDEX(SCCitrus,$L1838)="","",INDEX(SCCitrus,$L1838))&amp;IF(INDEX(SCNotes,$L1838)="",""," — "&amp;INDEX(SCNotes,$L1838))),IF($M1838&lt;&gt;"",IF(INDEX(LdgNoteB,$M1838)="","—",INDEX(LdgNoteB,$M1838)),""))</f>
        <v/>
      </c>
      <c r="F1838" s="26">
        <f>IF($L1838&lt;&gt;"",IF(INDEX(SCNet,$L1838)=0,"",INDEX(SCNet,$L1838)),"")</f>
        <v/>
      </c>
      <c r="G1838" s="27">
        <f>IF($L1838&lt;&gt;"",IF(INDEX(SCOp,$L1838)="مرجوعی فروش","",IF(INDEX(SCAmount,$L1838)&lt;=0,"",INDEX(SCAmount,$L1838))),IF($M1838&lt;&gt;"",IF(INDEX(LdgWitB,$M1838)=0,"",INDEX(LdgWitB,$M1838)),""))</f>
        <v/>
      </c>
      <c r="H1838" s="27">
        <f>IF($L1838&lt;&gt;"",IF(INDEX(SCOp,$L1838)="مرجوعی فروش",IF(INDEX(SCAmount,$L1838)=0,"",-INDEX(SCAmount,$L1838)),""),IF($M1838&lt;&gt;"",IF(INDEX(LdgDepB,$M1838)=0,"",INDEX(LdgDepB,$M1838)),""))</f>
        <v/>
      </c>
      <c r="I1838" s="28">
        <f>IF($B1838="","",IF($I1837="",$C$10,$I1837)+IF($G1838="",0,$G1838)-IF($H1838="",0,$H1838))</f>
        <v/>
      </c>
      <c r="L1838">
        <f>IFERROR(MATCH($C$5&amp;"|"&amp;RIGHT("000000"&amp;1822,6),LdgRankKeyA,0),"")</f>
        <v/>
      </c>
      <c r="M1838">
        <f>IFERROR(MATCH($C$5&amp;"|"&amp;RIGHT("000000"&amp;1822,6),LdgRankKeyB,0),"")</f>
        <v/>
      </c>
    </row>
    <row r="1839">
      <c r="A1839" s="17" t="n">
        <v>1823</v>
      </c>
      <c r="B1839" s="18">
        <f>IF(AND($L1839="",$M1839=""),"",IF($L1839&lt;&gt;"",INDEX(SCNormDate,$L1839),INDEX(LdgDateB,$M1839)))</f>
        <v/>
      </c>
      <c r="C1839" s="18">
        <f>IF($L1839&lt;&gt;"",INDEX(SCOp,$L1839),IF($M1839&lt;&gt;"","پرداخت بانکی",""))</f>
        <v/>
      </c>
      <c r="D1839" s="18">
        <f>IF($L1839&lt;&gt;"",IF(INDEX(SCDoc,$L1839)="","—",INDEX(SCDoc,$L1839)),IF($M1839&lt;&gt;"",INDEX(LdgBankB,$M1839),""))</f>
        <v/>
      </c>
      <c r="E1839" s="19">
        <f>IF($L1839&lt;&gt;"",IF(INDEX(SCCitrus,$L1839)&amp;INDEX(SCNotes,$L1839)="","",IF(INDEX(SCCitrus,$L1839)="","",INDEX(SCCitrus,$L1839))&amp;IF(INDEX(SCNotes,$L1839)="",""," — "&amp;INDEX(SCNotes,$L1839))),IF($M1839&lt;&gt;"",IF(INDEX(LdgNoteB,$M1839)="","—",INDEX(LdgNoteB,$M1839)),""))</f>
        <v/>
      </c>
      <c r="F1839" s="20">
        <f>IF($L1839&lt;&gt;"",IF(INDEX(SCNet,$L1839)=0,"",INDEX(SCNet,$L1839)),"")</f>
        <v/>
      </c>
      <c r="G1839" s="21">
        <f>IF($L1839&lt;&gt;"",IF(INDEX(SCOp,$L1839)="مرجوعی فروش","",IF(INDEX(SCAmount,$L1839)&lt;=0,"",INDEX(SCAmount,$L1839))),IF($M1839&lt;&gt;"",IF(INDEX(LdgWitB,$M1839)=0,"",INDEX(LdgWitB,$M1839)),""))</f>
        <v/>
      </c>
      <c r="H1839" s="21">
        <f>IF($L1839&lt;&gt;"",IF(INDEX(SCOp,$L1839)="مرجوعی فروش",IF(INDEX(SCAmount,$L1839)=0,"",-INDEX(SCAmount,$L1839)),""),IF($M1839&lt;&gt;"",IF(INDEX(LdgDepB,$M1839)=0,"",INDEX(LdgDepB,$M1839)),""))</f>
        <v/>
      </c>
      <c r="I1839" s="22">
        <f>IF($B1839="","",IF($I1838="",$C$10,$I1838)+IF($G1839="",0,$G1839)-IF($H1839="",0,$H1839))</f>
        <v/>
      </c>
      <c r="L1839">
        <f>IFERROR(MATCH($C$5&amp;"|"&amp;RIGHT("000000"&amp;1823,6),LdgRankKeyA,0),"")</f>
        <v/>
      </c>
      <c r="M1839">
        <f>IFERROR(MATCH($C$5&amp;"|"&amp;RIGHT("000000"&amp;1823,6),LdgRankKeyB,0),"")</f>
        <v/>
      </c>
    </row>
    <row r="1840">
      <c r="A1840" s="23" t="n">
        <v>1824</v>
      </c>
      <c r="B1840" s="24">
        <f>IF(AND($L1840="",$M1840=""),"",IF($L1840&lt;&gt;"",INDEX(SCNormDate,$L1840),INDEX(LdgDateB,$M1840)))</f>
        <v/>
      </c>
      <c r="C1840" s="24">
        <f>IF($L1840&lt;&gt;"",INDEX(SCOp,$L1840),IF($M1840&lt;&gt;"","پرداخت بانکی",""))</f>
        <v/>
      </c>
      <c r="D1840" s="24">
        <f>IF($L1840&lt;&gt;"",IF(INDEX(SCDoc,$L1840)="","—",INDEX(SCDoc,$L1840)),IF($M1840&lt;&gt;"",INDEX(LdgBankB,$M1840),""))</f>
        <v/>
      </c>
      <c r="E1840" s="25">
        <f>IF($L1840&lt;&gt;"",IF(INDEX(SCCitrus,$L1840)&amp;INDEX(SCNotes,$L1840)="","",IF(INDEX(SCCitrus,$L1840)="","",INDEX(SCCitrus,$L1840))&amp;IF(INDEX(SCNotes,$L1840)="",""," — "&amp;INDEX(SCNotes,$L1840))),IF($M1840&lt;&gt;"",IF(INDEX(LdgNoteB,$M1840)="","—",INDEX(LdgNoteB,$M1840)),""))</f>
        <v/>
      </c>
      <c r="F1840" s="26">
        <f>IF($L1840&lt;&gt;"",IF(INDEX(SCNet,$L1840)=0,"",INDEX(SCNet,$L1840)),"")</f>
        <v/>
      </c>
      <c r="G1840" s="27">
        <f>IF($L1840&lt;&gt;"",IF(INDEX(SCOp,$L1840)="مرجوعی فروش","",IF(INDEX(SCAmount,$L1840)&lt;=0,"",INDEX(SCAmount,$L1840))),IF($M1840&lt;&gt;"",IF(INDEX(LdgWitB,$M1840)=0,"",INDEX(LdgWitB,$M1840)),""))</f>
        <v/>
      </c>
      <c r="H1840" s="27">
        <f>IF($L1840&lt;&gt;"",IF(INDEX(SCOp,$L1840)="مرجوعی فروش",IF(INDEX(SCAmount,$L1840)=0,"",-INDEX(SCAmount,$L1840)),""),IF($M1840&lt;&gt;"",IF(INDEX(LdgDepB,$M1840)=0,"",INDEX(LdgDepB,$M1840)),""))</f>
        <v/>
      </c>
      <c r="I1840" s="28">
        <f>IF($B1840="","",IF($I1839="",$C$10,$I1839)+IF($G1840="",0,$G1840)-IF($H1840="",0,$H1840))</f>
        <v/>
      </c>
      <c r="L1840">
        <f>IFERROR(MATCH($C$5&amp;"|"&amp;RIGHT("000000"&amp;1824,6),LdgRankKeyA,0),"")</f>
        <v/>
      </c>
      <c r="M1840">
        <f>IFERROR(MATCH($C$5&amp;"|"&amp;RIGHT("000000"&amp;1824,6),LdgRankKeyB,0),"")</f>
        <v/>
      </c>
    </row>
    <row r="1841">
      <c r="A1841" s="17" t="n">
        <v>1825</v>
      </c>
      <c r="B1841" s="18">
        <f>IF(AND($L1841="",$M1841=""),"",IF($L1841&lt;&gt;"",INDEX(SCNormDate,$L1841),INDEX(LdgDateB,$M1841)))</f>
        <v/>
      </c>
      <c r="C1841" s="18">
        <f>IF($L1841&lt;&gt;"",INDEX(SCOp,$L1841),IF($M1841&lt;&gt;"","پرداخت بانکی",""))</f>
        <v/>
      </c>
      <c r="D1841" s="18">
        <f>IF($L1841&lt;&gt;"",IF(INDEX(SCDoc,$L1841)="","—",INDEX(SCDoc,$L1841)),IF($M1841&lt;&gt;"",INDEX(LdgBankB,$M1841),""))</f>
        <v/>
      </c>
      <c r="E1841" s="19">
        <f>IF($L1841&lt;&gt;"",IF(INDEX(SCCitrus,$L1841)&amp;INDEX(SCNotes,$L1841)="","",IF(INDEX(SCCitrus,$L1841)="","",INDEX(SCCitrus,$L1841))&amp;IF(INDEX(SCNotes,$L1841)="",""," — "&amp;INDEX(SCNotes,$L1841))),IF($M1841&lt;&gt;"",IF(INDEX(LdgNoteB,$M1841)="","—",INDEX(LdgNoteB,$M1841)),""))</f>
        <v/>
      </c>
      <c r="F1841" s="20">
        <f>IF($L1841&lt;&gt;"",IF(INDEX(SCNet,$L1841)=0,"",INDEX(SCNet,$L1841)),"")</f>
        <v/>
      </c>
      <c r="G1841" s="21">
        <f>IF($L1841&lt;&gt;"",IF(INDEX(SCOp,$L1841)="مرجوعی فروش","",IF(INDEX(SCAmount,$L1841)&lt;=0,"",INDEX(SCAmount,$L1841))),IF($M1841&lt;&gt;"",IF(INDEX(LdgWitB,$M1841)=0,"",INDEX(LdgWitB,$M1841)),""))</f>
        <v/>
      </c>
      <c r="H1841" s="21">
        <f>IF($L1841&lt;&gt;"",IF(INDEX(SCOp,$L1841)="مرجوعی فروش",IF(INDEX(SCAmount,$L1841)=0,"",-INDEX(SCAmount,$L1841)),""),IF($M1841&lt;&gt;"",IF(INDEX(LdgDepB,$M1841)=0,"",INDEX(LdgDepB,$M1841)),""))</f>
        <v/>
      </c>
      <c r="I1841" s="22">
        <f>IF($B1841="","",IF($I1840="",$C$10,$I1840)+IF($G1841="",0,$G1841)-IF($H1841="",0,$H1841))</f>
        <v/>
      </c>
      <c r="L1841">
        <f>IFERROR(MATCH($C$5&amp;"|"&amp;RIGHT("000000"&amp;1825,6),LdgRankKeyA,0),"")</f>
        <v/>
      </c>
      <c r="M1841">
        <f>IFERROR(MATCH($C$5&amp;"|"&amp;RIGHT("000000"&amp;1825,6),LdgRankKeyB,0),"")</f>
        <v/>
      </c>
    </row>
    <row r="1842">
      <c r="A1842" s="23" t="n">
        <v>1826</v>
      </c>
      <c r="B1842" s="24">
        <f>IF(AND($L1842="",$M1842=""),"",IF($L1842&lt;&gt;"",INDEX(SCNormDate,$L1842),INDEX(LdgDateB,$M1842)))</f>
        <v/>
      </c>
      <c r="C1842" s="24">
        <f>IF($L1842&lt;&gt;"",INDEX(SCOp,$L1842),IF($M1842&lt;&gt;"","پرداخت بانکی",""))</f>
        <v/>
      </c>
      <c r="D1842" s="24">
        <f>IF($L1842&lt;&gt;"",IF(INDEX(SCDoc,$L1842)="","—",INDEX(SCDoc,$L1842)),IF($M1842&lt;&gt;"",INDEX(LdgBankB,$M1842),""))</f>
        <v/>
      </c>
      <c r="E1842" s="25">
        <f>IF($L1842&lt;&gt;"",IF(INDEX(SCCitrus,$L1842)&amp;INDEX(SCNotes,$L1842)="","",IF(INDEX(SCCitrus,$L1842)="","",INDEX(SCCitrus,$L1842))&amp;IF(INDEX(SCNotes,$L1842)="",""," — "&amp;INDEX(SCNotes,$L1842))),IF($M1842&lt;&gt;"",IF(INDEX(LdgNoteB,$M1842)="","—",INDEX(LdgNoteB,$M1842)),""))</f>
        <v/>
      </c>
      <c r="F1842" s="26">
        <f>IF($L1842&lt;&gt;"",IF(INDEX(SCNet,$L1842)=0,"",INDEX(SCNet,$L1842)),"")</f>
        <v/>
      </c>
      <c r="G1842" s="27">
        <f>IF($L1842&lt;&gt;"",IF(INDEX(SCOp,$L1842)="مرجوعی فروش","",IF(INDEX(SCAmount,$L1842)&lt;=0,"",INDEX(SCAmount,$L1842))),IF($M1842&lt;&gt;"",IF(INDEX(LdgWitB,$M1842)=0,"",INDEX(LdgWitB,$M1842)),""))</f>
        <v/>
      </c>
      <c r="H1842" s="27">
        <f>IF($L1842&lt;&gt;"",IF(INDEX(SCOp,$L1842)="مرجوعی فروش",IF(INDEX(SCAmount,$L1842)=0,"",-INDEX(SCAmount,$L1842)),""),IF($M1842&lt;&gt;"",IF(INDEX(LdgDepB,$M1842)=0,"",INDEX(LdgDepB,$M1842)),""))</f>
        <v/>
      </c>
      <c r="I1842" s="28">
        <f>IF($B1842="","",IF($I1841="",$C$10,$I1841)+IF($G1842="",0,$G1842)-IF($H1842="",0,$H1842))</f>
        <v/>
      </c>
      <c r="L1842">
        <f>IFERROR(MATCH($C$5&amp;"|"&amp;RIGHT("000000"&amp;1826,6),LdgRankKeyA,0),"")</f>
        <v/>
      </c>
      <c r="M1842">
        <f>IFERROR(MATCH($C$5&amp;"|"&amp;RIGHT("000000"&amp;1826,6),LdgRankKeyB,0),"")</f>
        <v/>
      </c>
    </row>
    <row r="1843">
      <c r="A1843" s="17" t="n">
        <v>1827</v>
      </c>
      <c r="B1843" s="18">
        <f>IF(AND($L1843="",$M1843=""),"",IF($L1843&lt;&gt;"",INDEX(SCNormDate,$L1843),INDEX(LdgDateB,$M1843)))</f>
        <v/>
      </c>
      <c r="C1843" s="18">
        <f>IF($L1843&lt;&gt;"",INDEX(SCOp,$L1843),IF($M1843&lt;&gt;"","پرداخت بانکی",""))</f>
        <v/>
      </c>
      <c r="D1843" s="18">
        <f>IF($L1843&lt;&gt;"",IF(INDEX(SCDoc,$L1843)="","—",INDEX(SCDoc,$L1843)),IF($M1843&lt;&gt;"",INDEX(LdgBankB,$M1843),""))</f>
        <v/>
      </c>
      <c r="E1843" s="19">
        <f>IF($L1843&lt;&gt;"",IF(INDEX(SCCitrus,$L1843)&amp;INDEX(SCNotes,$L1843)="","",IF(INDEX(SCCitrus,$L1843)="","",INDEX(SCCitrus,$L1843))&amp;IF(INDEX(SCNotes,$L1843)="",""," — "&amp;INDEX(SCNotes,$L1843))),IF($M1843&lt;&gt;"",IF(INDEX(LdgNoteB,$M1843)="","—",INDEX(LdgNoteB,$M1843)),""))</f>
        <v/>
      </c>
      <c r="F1843" s="20">
        <f>IF($L1843&lt;&gt;"",IF(INDEX(SCNet,$L1843)=0,"",INDEX(SCNet,$L1843)),"")</f>
        <v/>
      </c>
      <c r="G1843" s="21">
        <f>IF($L1843&lt;&gt;"",IF(INDEX(SCOp,$L1843)="مرجوعی فروش","",IF(INDEX(SCAmount,$L1843)&lt;=0,"",INDEX(SCAmount,$L1843))),IF($M1843&lt;&gt;"",IF(INDEX(LdgWitB,$M1843)=0,"",INDEX(LdgWitB,$M1843)),""))</f>
        <v/>
      </c>
      <c r="H1843" s="21">
        <f>IF($L1843&lt;&gt;"",IF(INDEX(SCOp,$L1843)="مرجوعی فروش",IF(INDEX(SCAmount,$L1843)=0,"",-INDEX(SCAmount,$L1843)),""),IF($M1843&lt;&gt;"",IF(INDEX(LdgDepB,$M1843)=0,"",INDEX(LdgDepB,$M1843)),""))</f>
        <v/>
      </c>
      <c r="I1843" s="22">
        <f>IF($B1843="","",IF($I1842="",$C$10,$I1842)+IF($G1843="",0,$G1843)-IF($H1843="",0,$H1843))</f>
        <v/>
      </c>
      <c r="L1843">
        <f>IFERROR(MATCH($C$5&amp;"|"&amp;RIGHT("000000"&amp;1827,6),LdgRankKeyA,0),"")</f>
        <v/>
      </c>
      <c r="M1843">
        <f>IFERROR(MATCH($C$5&amp;"|"&amp;RIGHT("000000"&amp;1827,6),LdgRankKeyB,0),"")</f>
        <v/>
      </c>
    </row>
    <row r="1844">
      <c r="A1844" s="23" t="n">
        <v>1828</v>
      </c>
      <c r="B1844" s="24">
        <f>IF(AND($L1844="",$M1844=""),"",IF($L1844&lt;&gt;"",INDEX(SCNormDate,$L1844),INDEX(LdgDateB,$M1844)))</f>
        <v/>
      </c>
      <c r="C1844" s="24">
        <f>IF($L1844&lt;&gt;"",INDEX(SCOp,$L1844),IF($M1844&lt;&gt;"","پرداخت بانکی",""))</f>
        <v/>
      </c>
      <c r="D1844" s="24">
        <f>IF($L1844&lt;&gt;"",IF(INDEX(SCDoc,$L1844)="","—",INDEX(SCDoc,$L1844)),IF($M1844&lt;&gt;"",INDEX(LdgBankB,$M1844),""))</f>
        <v/>
      </c>
      <c r="E1844" s="25">
        <f>IF($L1844&lt;&gt;"",IF(INDEX(SCCitrus,$L1844)&amp;INDEX(SCNotes,$L1844)="","",IF(INDEX(SCCitrus,$L1844)="","",INDEX(SCCitrus,$L1844))&amp;IF(INDEX(SCNotes,$L1844)="",""," — "&amp;INDEX(SCNotes,$L1844))),IF($M1844&lt;&gt;"",IF(INDEX(LdgNoteB,$M1844)="","—",INDEX(LdgNoteB,$M1844)),""))</f>
        <v/>
      </c>
      <c r="F1844" s="26">
        <f>IF($L1844&lt;&gt;"",IF(INDEX(SCNet,$L1844)=0,"",INDEX(SCNet,$L1844)),"")</f>
        <v/>
      </c>
      <c r="G1844" s="27">
        <f>IF($L1844&lt;&gt;"",IF(INDEX(SCOp,$L1844)="مرجوعی فروش","",IF(INDEX(SCAmount,$L1844)&lt;=0,"",INDEX(SCAmount,$L1844))),IF($M1844&lt;&gt;"",IF(INDEX(LdgWitB,$M1844)=0,"",INDEX(LdgWitB,$M1844)),""))</f>
        <v/>
      </c>
      <c r="H1844" s="27">
        <f>IF($L1844&lt;&gt;"",IF(INDEX(SCOp,$L1844)="مرجوعی فروش",IF(INDEX(SCAmount,$L1844)=0,"",-INDEX(SCAmount,$L1844)),""),IF($M1844&lt;&gt;"",IF(INDEX(LdgDepB,$M1844)=0,"",INDEX(LdgDepB,$M1844)),""))</f>
        <v/>
      </c>
      <c r="I1844" s="28">
        <f>IF($B1844="","",IF($I1843="",$C$10,$I1843)+IF($G1844="",0,$G1844)-IF($H1844="",0,$H1844))</f>
        <v/>
      </c>
      <c r="L1844">
        <f>IFERROR(MATCH($C$5&amp;"|"&amp;RIGHT("000000"&amp;1828,6),LdgRankKeyA,0),"")</f>
        <v/>
      </c>
      <c r="M1844">
        <f>IFERROR(MATCH($C$5&amp;"|"&amp;RIGHT("000000"&amp;1828,6),LdgRankKeyB,0),"")</f>
        <v/>
      </c>
    </row>
    <row r="1845">
      <c r="A1845" s="17" t="n">
        <v>1829</v>
      </c>
      <c r="B1845" s="18">
        <f>IF(AND($L1845="",$M1845=""),"",IF($L1845&lt;&gt;"",INDEX(SCNormDate,$L1845),INDEX(LdgDateB,$M1845)))</f>
        <v/>
      </c>
      <c r="C1845" s="18">
        <f>IF($L1845&lt;&gt;"",INDEX(SCOp,$L1845),IF($M1845&lt;&gt;"","پرداخت بانکی",""))</f>
        <v/>
      </c>
      <c r="D1845" s="18">
        <f>IF($L1845&lt;&gt;"",IF(INDEX(SCDoc,$L1845)="","—",INDEX(SCDoc,$L1845)),IF($M1845&lt;&gt;"",INDEX(LdgBankB,$M1845),""))</f>
        <v/>
      </c>
      <c r="E1845" s="19">
        <f>IF($L1845&lt;&gt;"",IF(INDEX(SCCitrus,$L1845)&amp;INDEX(SCNotes,$L1845)="","",IF(INDEX(SCCitrus,$L1845)="","",INDEX(SCCitrus,$L1845))&amp;IF(INDEX(SCNotes,$L1845)="",""," — "&amp;INDEX(SCNotes,$L1845))),IF($M1845&lt;&gt;"",IF(INDEX(LdgNoteB,$M1845)="","—",INDEX(LdgNoteB,$M1845)),""))</f>
        <v/>
      </c>
      <c r="F1845" s="20">
        <f>IF($L1845&lt;&gt;"",IF(INDEX(SCNet,$L1845)=0,"",INDEX(SCNet,$L1845)),"")</f>
        <v/>
      </c>
      <c r="G1845" s="21">
        <f>IF($L1845&lt;&gt;"",IF(INDEX(SCOp,$L1845)="مرجوعی فروش","",IF(INDEX(SCAmount,$L1845)&lt;=0,"",INDEX(SCAmount,$L1845))),IF($M1845&lt;&gt;"",IF(INDEX(LdgWitB,$M1845)=0,"",INDEX(LdgWitB,$M1845)),""))</f>
        <v/>
      </c>
      <c r="H1845" s="21">
        <f>IF($L1845&lt;&gt;"",IF(INDEX(SCOp,$L1845)="مرجوعی فروش",IF(INDEX(SCAmount,$L1845)=0,"",-INDEX(SCAmount,$L1845)),""),IF($M1845&lt;&gt;"",IF(INDEX(LdgDepB,$M1845)=0,"",INDEX(LdgDepB,$M1845)),""))</f>
        <v/>
      </c>
      <c r="I1845" s="22">
        <f>IF($B1845="","",IF($I1844="",$C$10,$I1844)+IF($G1845="",0,$G1845)-IF($H1845="",0,$H1845))</f>
        <v/>
      </c>
      <c r="L1845">
        <f>IFERROR(MATCH($C$5&amp;"|"&amp;RIGHT("000000"&amp;1829,6),LdgRankKeyA,0),"")</f>
        <v/>
      </c>
      <c r="M1845">
        <f>IFERROR(MATCH($C$5&amp;"|"&amp;RIGHT("000000"&amp;1829,6),LdgRankKeyB,0),"")</f>
        <v/>
      </c>
    </row>
    <row r="1846">
      <c r="A1846" s="23" t="n">
        <v>1830</v>
      </c>
      <c r="B1846" s="24">
        <f>IF(AND($L1846="",$M1846=""),"",IF($L1846&lt;&gt;"",INDEX(SCNormDate,$L1846),INDEX(LdgDateB,$M1846)))</f>
        <v/>
      </c>
      <c r="C1846" s="24">
        <f>IF($L1846&lt;&gt;"",INDEX(SCOp,$L1846),IF($M1846&lt;&gt;"","پرداخت بانکی",""))</f>
        <v/>
      </c>
      <c r="D1846" s="24">
        <f>IF($L1846&lt;&gt;"",IF(INDEX(SCDoc,$L1846)="","—",INDEX(SCDoc,$L1846)),IF($M1846&lt;&gt;"",INDEX(LdgBankB,$M1846),""))</f>
        <v/>
      </c>
      <c r="E1846" s="25">
        <f>IF($L1846&lt;&gt;"",IF(INDEX(SCCitrus,$L1846)&amp;INDEX(SCNotes,$L1846)="","",IF(INDEX(SCCitrus,$L1846)="","",INDEX(SCCitrus,$L1846))&amp;IF(INDEX(SCNotes,$L1846)="",""," — "&amp;INDEX(SCNotes,$L1846))),IF($M1846&lt;&gt;"",IF(INDEX(LdgNoteB,$M1846)="","—",INDEX(LdgNoteB,$M1846)),""))</f>
        <v/>
      </c>
      <c r="F1846" s="26">
        <f>IF($L1846&lt;&gt;"",IF(INDEX(SCNet,$L1846)=0,"",INDEX(SCNet,$L1846)),"")</f>
        <v/>
      </c>
      <c r="G1846" s="27">
        <f>IF($L1846&lt;&gt;"",IF(INDEX(SCOp,$L1846)="مرجوعی فروش","",IF(INDEX(SCAmount,$L1846)&lt;=0,"",INDEX(SCAmount,$L1846))),IF($M1846&lt;&gt;"",IF(INDEX(LdgWitB,$M1846)=0,"",INDEX(LdgWitB,$M1846)),""))</f>
        <v/>
      </c>
      <c r="H1846" s="27">
        <f>IF($L1846&lt;&gt;"",IF(INDEX(SCOp,$L1846)="مرجوعی فروش",IF(INDEX(SCAmount,$L1846)=0,"",-INDEX(SCAmount,$L1846)),""),IF($M1846&lt;&gt;"",IF(INDEX(LdgDepB,$M1846)=0,"",INDEX(LdgDepB,$M1846)),""))</f>
        <v/>
      </c>
      <c r="I1846" s="28">
        <f>IF($B1846="","",IF($I1845="",$C$10,$I1845)+IF($G1846="",0,$G1846)-IF($H1846="",0,$H1846))</f>
        <v/>
      </c>
      <c r="L1846">
        <f>IFERROR(MATCH($C$5&amp;"|"&amp;RIGHT("000000"&amp;1830,6),LdgRankKeyA,0),"")</f>
        <v/>
      </c>
      <c r="M1846">
        <f>IFERROR(MATCH($C$5&amp;"|"&amp;RIGHT("000000"&amp;1830,6),LdgRankKeyB,0),"")</f>
        <v/>
      </c>
    </row>
    <row r="1847">
      <c r="A1847" s="17" t="n">
        <v>1831</v>
      </c>
      <c r="B1847" s="18">
        <f>IF(AND($L1847="",$M1847=""),"",IF($L1847&lt;&gt;"",INDEX(SCNormDate,$L1847),INDEX(LdgDateB,$M1847)))</f>
        <v/>
      </c>
      <c r="C1847" s="18">
        <f>IF($L1847&lt;&gt;"",INDEX(SCOp,$L1847),IF($M1847&lt;&gt;"","پرداخت بانکی",""))</f>
        <v/>
      </c>
      <c r="D1847" s="18">
        <f>IF($L1847&lt;&gt;"",IF(INDEX(SCDoc,$L1847)="","—",INDEX(SCDoc,$L1847)),IF($M1847&lt;&gt;"",INDEX(LdgBankB,$M1847),""))</f>
        <v/>
      </c>
      <c r="E1847" s="19">
        <f>IF($L1847&lt;&gt;"",IF(INDEX(SCCitrus,$L1847)&amp;INDEX(SCNotes,$L1847)="","",IF(INDEX(SCCitrus,$L1847)="","",INDEX(SCCitrus,$L1847))&amp;IF(INDEX(SCNotes,$L1847)="",""," — "&amp;INDEX(SCNotes,$L1847))),IF($M1847&lt;&gt;"",IF(INDEX(LdgNoteB,$M1847)="","—",INDEX(LdgNoteB,$M1847)),""))</f>
        <v/>
      </c>
      <c r="F1847" s="20">
        <f>IF($L1847&lt;&gt;"",IF(INDEX(SCNet,$L1847)=0,"",INDEX(SCNet,$L1847)),"")</f>
        <v/>
      </c>
      <c r="G1847" s="21">
        <f>IF($L1847&lt;&gt;"",IF(INDEX(SCOp,$L1847)="مرجوعی فروش","",IF(INDEX(SCAmount,$L1847)&lt;=0,"",INDEX(SCAmount,$L1847))),IF($M1847&lt;&gt;"",IF(INDEX(LdgWitB,$M1847)=0,"",INDEX(LdgWitB,$M1847)),""))</f>
        <v/>
      </c>
      <c r="H1847" s="21">
        <f>IF($L1847&lt;&gt;"",IF(INDEX(SCOp,$L1847)="مرجوعی فروش",IF(INDEX(SCAmount,$L1847)=0,"",-INDEX(SCAmount,$L1847)),""),IF($M1847&lt;&gt;"",IF(INDEX(LdgDepB,$M1847)=0,"",INDEX(LdgDepB,$M1847)),""))</f>
        <v/>
      </c>
      <c r="I1847" s="22">
        <f>IF($B1847="","",IF($I1846="",$C$10,$I1846)+IF($G1847="",0,$G1847)-IF($H1847="",0,$H1847))</f>
        <v/>
      </c>
      <c r="L1847">
        <f>IFERROR(MATCH($C$5&amp;"|"&amp;RIGHT("000000"&amp;1831,6),LdgRankKeyA,0),"")</f>
        <v/>
      </c>
      <c r="M1847">
        <f>IFERROR(MATCH($C$5&amp;"|"&amp;RIGHT("000000"&amp;1831,6),LdgRankKeyB,0),"")</f>
        <v/>
      </c>
    </row>
    <row r="1848">
      <c r="A1848" s="23" t="n">
        <v>1832</v>
      </c>
      <c r="B1848" s="24">
        <f>IF(AND($L1848="",$M1848=""),"",IF($L1848&lt;&gt;"",INDEX(SCNormDate,$L1848),INDEX(LdgDateB,$M1848)))</f>
        <v/>
      </c>
      <c r="C1848" s="24">
        <f>IF($L1848&lt;&gt;"",INDEX(SCOp,$L1848),IF($M1848&lt;&gt;"","پرداخت بانکی",""))</f>
        <v/>
      </c>
      <c r="D1848" s="24">
        <f>IF($L1848&lt;&gt;"",IF(INDEX(SCDoc,$L1848)="","—",INDEX(SCDoc,$L1848)),IF($M1848&lt;&gt;"",INDEX(LdgBankB,$M1848),""))</f>
        <v/>
      </c>
      <c r="E1848" s="25">
        <f>IF($L1848&lt;&gt;"",IF(INDEX(SCCitrus,$L1848)&amp;INDEX(SCNotes,$L1848)="","",IF(INDEX(SCCitrus,$L1848)="","",INDEX(SCCitrus,$L1848))&amp;IF(INDEX(SCNotes,$L1848)="",""," — "&amp;INDEX(SCNotes,$L1848))),IF($M1848&lt;&gt;"",IF(INDEX(LdgNoteB,$M1848)="","—",INDEX(LdgNoteB,$M1848)),""))</f>
        <v/>
      </c>
      <c r="F1848" s="26">
        <f>IF($L1848&lt;&gt;"",IF(INDEX(SCNet,$L1848)=0,"",INDEX(SCNet,$L1848)),"")</f>
        <v/>
      </c>
      <c r="G1848" s="27">
        <f>IF($L1848&lt;&gt;"",IF(INDEX(SCOp,$L1848)="مرجوعی فروش","",IF(INDEX(SCAmount,$L1848)&lt;=0,"",INDEX(SCAmount,$L1848))),IF($M1848&lt;&gt;"",IF(INDEX(LdgWitB,$M1848)=0,"",INDEX(LdgWitB,$M1848)),""))</f>
        <v/>
      </c>
      <c r="H1848" s="27">
        <f>IF($L1848&lt;&gt;"",IF(INDEX(SCOp,$L1848)="مرجوعی فروش",IF(INDEX(SCAmount,$L1848)=0,"",-INDEX(SCAmount,$L1848)),""),IF($M1848&lt;&gt;"",IF(INDEX(LdgDepB,$M1848)=0,"",INDEX(LdgDepB,$M1848)),""))</f>
        <v/>
      </c>
      <c r="I1848" s="28">
        <f>IF($B1848="","",IF($I1847="",$C$10,$I1847)+IF($G1848="",0,$G1848)-IF($H1848="",0,$H1848))</f>
        <v/>
      </c>
      <c r="L1848">
        <f>IFERROR(MATCH($C$5&amp;"|"&amp;RIGHT("000000"&amp;1832,6),LdgRankKeyA,0),"")</f>
        <v/>
      </c>
      <c r="M1848">
        <f>IFERROR(MATCH($C$5&amp;"|"&amp;RIGHT("000000"&amp;1832,6),LdgRankKeyB,0),"")</f>
        <v/>
      </c>
    </row>
    <row r="1849">
      <c r="A1849" s="17" t="n">
        <v>1833</v>
      </c>
      <c r="B1849" s="18">
        <f>IF(AND($L1849="",$M1849=""),"",IF($L1849&lt;&gt;"",INDEX(SCNormDate,$L1849),INDEX(LdgDateB,$M1849)))</f>
        <v/>
      </c>
      <c r="C1849" s="18">
        <f>IF($L1849&lt;&gt;"",INDEX(SCOp,$L1849),IF($M1849&lt;&gt;"","پرداخت بانکی",""))</f>
        <v/>
      </c>
      <c r="D1849" s="18">
        <f>IF($L1849&lt;&gt;"",IF(INDEX(SCDoc,$L1849)="","—",INDEX(SCDoc,$L1849)),IF($M1849&lt;&gt;"",INDEX(LdgBankB,$M1849),""))</f>
        <v/>
      </c>
      <c r="E1849" s="19">
        <f>IF($L1849&lt;&gt;"",IF(INDEX(SCCitrus,$L1849)&amp;INDEX(SCNotes,$L1849)="","",IF(INDEX(SCCitrus,$L1849)="","",INDEX(SCCitrus,$L1849))&amp;IF(INDEX(SCNotes,$L1849)="",""," — "&amp;INDEX(SCNotes,$L1849))),IF($M1849&lt;&gt;"",IF(INDEX(LdgNoteB,$M1849)="","—",INDEX(LdgNoteB,$M1849)),""))</f>
        <v/>
      </c>
      <c r="F1849" s="20">
        <f>IF($L1849&lt;&gt;"",IF(INDEX(SCNet,$L1849)=0,"",INDEX(SCNet,$L1849)),"")</f>
        <v/>
      </c>
      <c r="G1849" s="21">
        <f>IF($L1849&lt;&gt;"",IF(INDEX(SCOp,$L1849)="مرجوعی فروش","",IF(INDEX(SCAmount,$L1849)&lt;=0,"",INDEX(SCAmount,$L1849))),IF($M1849&lt;&gt;"",IF(INDEX(LdgWitB,$M1849)=0,"",INDEX(LdgWitB,$M1849)),""))</f>
        <v/>
      </c>
      <c r="H1849" s="21">
        <f>IF($L1849&lt;&gt;"",IF(INDEX(SCOp,$L1849)="مرجوعی فروش",IF(INDEX(SCAmount,$L1849)=0,"",-INDEX(SCAmount,$L1849)),""),IF($M1849&lt;&gt;"",IF(INDEX(LdgDepB,$M1849)=0,"",INDEX(LdgDepB,$M1849)),""))</f>
        <v/>
      </c>
      <c r="I1849" s="22">
        <f>IF($B1849="","",IF($I1848="",$C$10,$I1848)+IF($G1849="",0,$G1849)-IF($H1849="",0,$H1849))</f>
        <v/>
      </c>
      <c r="L1849">
        <f>IFERROR(MATCH($C$5&amp;"|"&amp;RIGHT("000000"&amp;1833,6),LdgRankKeyA,0),"")</f>
        <v/>
      </c>
      <c r="M1849">
        <f>IFERROR(MATCH($C$5&amp;"|"&amp;RIGHT("000000"&amp;1833,6),LdgRankKeyB,0),"")</f>
        <v/>
      </c>
    </row>
    <row r="1850">
      <c r="A1850" s="23" t="n">
        <v>1834</v>
      </c>
      <c r="B1850" s="24">
        <f>IF(AND($L1850="",$M1850=""),"",IF($L1850&lt;&gt;"",INDEX(SCNormDate,$L1850),INDEX(LdgDateB,$M1850)))</f>
        <v/>
      </c>
      <c r="C1850" s="24">
        <f>IF($L1850&lt;&gt;"",INDEX(SCOp,$L1850),IF($M1850&lt;&gt;"","پرداخت بانکی",""))</f>
        <v/>
      </c>
      <c r="D1850" s="24">
        <f>IF($L1850&lt;&gt;"",IF(INDEX(SCDoc,$L1850)="","—",INDEX(SCDoc,$L1850)),IF($M1850&lt;&gt;"",INDEX(LdgBankB,$M1850),""))</f>
        <v/>
      </c>
      <c r="E1850" s="25">
        <f>IF($L1850&lt;&gt;"",IF(INDEX(SCCitrus,$L1850)&amp;INDEX(SCNotes,$L1850)="","",IF(INDEX(SCCitrus,$L1850)="","",INDEX(SCCitrus,$L1850))&amp;IF(INDEX(SCNotes,$L1850)="",""," — "&amp;INDEX(SCNotes,$L1850))),IF($M1850&lt;&gt;"",IF(INDEX(LdgNoteB,$M1850)="","—",INDEX(LdgNoteB,$M1850)),""))</f>
        <v/>
      </c>
      <c r="F1850" s="26">
        <f>IF($L1850&lt;&gt;"",IF(INDEX(SCNet,$L1850)=0,"",INDEX(SCNet,$L1850)),"")</f>
        <v/>
      </c>
      <c r="G1850" s="27">
        <f>IF($L1850&lt;&gt;"",IF(INDEX(SCOp,$L1850)="مرجوعی فروش","",IF(INDEX(SCAmount,$L1850)&lt;=0,"",INDEX(SCAmount,$L1850))),IF($M1850&lt;&gt;"",IF(INDEX(LdgWitB,$M1850)=0,"",INDEX(LdgWitB,$M1850)),""))</f>
        <v/>
      </c>
      <c r="H1850" s="27">
        <f>IF($L1850&lt;&gt;"",IF(INDEX(SCOp,$L1850)="مرجوعی فروش",IF(INDEX(SCAmount,$L1850)=0,"",-INDEX(SCAmount,$L1850)),""),IF($M1850&lt;&gt;"",IF(INDEX(LdgDepB,$M1850)=0,"",INDEX(LdgDepB,$M1850)),""))</f>
        <v/>
      </c>
      <c r="I1850" s="28">
        <f>IF($B1850="","",IF($I1849="",$C$10,$I1849)+IF($G1850="",0,$G1850)-IF($H1850="",0,$H1850))</f>
        <v/>
      </c>
      <c r="L1850">
        <f>IFERROR(MATCH($C$5&amp;"|"&amp;RIGHT("000000"&amp;1834,6),LdgRankKeyA,0),"")</f>
        <v/>
      </c>
      <c r="M1850">
        <f>IFERROR(MATCH($C$5&amp;"|"&amp;RIGHT("000000"&amp;1834,6),LdgRankKeyB,0),"")</f>
        <v/>
      </c>
    </row>
    <row r="1851">
      <c r="A1851" s="17" t="n">
        <v>1835</v>
      </c>
      <c r="B1851" s="18">
        <f>IF(AND($L1851="",$M1851=""),"",IF($L1851&lt;&gt;"",INDEX(SCNormDate,$L1851),INDEX(LdgDateB,$M1851)))</f>
        <v/>
      </c>
      <c r="C1851" s="18">
        <f>IF($L1851&lt;&gt;"",INDEX(SCOp,$L1851),IF($M1851&lt;&gt;"","پرداخت بانکی",""))</f>
        <v/>
      </c>
      <c r="D1851" s="18">
        <f>IF($L1851&lt;&gt;"",IF(INDEX(SCDoc,$L1851)="","—",INDEX(SCDoc,$L1851)),IF($M1851&lt;&gt;"",INDEX(LdgBankB,$M1851),""))</f>
        <v/>
      </c>
      <c r="E1851" s="19">
        <f>IF($L1851&lt;&gt;"",IF(INDEX(SCCitrus,$L1851)&amp;INDEX(SCNotes,$L1851)="","",IF(INDEX(SCCitrus,$L1851)="","",INDEX(SCCitrus,$L1851))&amp;IF(INDEX(SCNotes,$L1851)="",""," — "&amp;INDEX(SCNotes,$L1851))),IF($M1851&lt;&gt;"",IF(INDEX(LdgNoteB,$M1851)="","—",INDEX(LdgNoteB,$M1851)),""))</f>
        <v/>
      </c>
      <c r="F1851" s="20">
        <f>IF($L1851&lt;&gt;"",IF(INDEX(SCNet,$L1851)=0,"",INDEX(SCNet,$L1851)),"")</f>
        <v/>
      </c>
      <c r="G1851" s="21">
        <f>IF($L1851&lt;&gt;"",IF(INDEX(SCOp,$L1851)="مرجوعی فروش","",IF(INDEX(SCAmount,$L1851)&lt;=0,"",INDEX(SCAmount,$L1851))),IF($M1851&lt;&gt;"",IF(INDEX(LdgWitB,$M1851)=0,"",INDEX(LdgWitB,$M1851)),""))</f>
        <v/>
      </c>
      <c r="H1851" s="21">
        <f>IF($L1851&lt;&gt;"",IF(INDEX(SCOp,$L1851)="مرجوعی فروش",IF(INDEX(SCAmount,$L1851)=0,"",-INDEX(SCAmount,$L1851)),""),IF($M1851&lt;&gt;"",IF(INDEX(LdgDepB,$M1851)=0,"",INDEX(LdgDepB,$M1851)),""))</f>
        <v/>
      </c>
      <c r="I1851" s="22">
        <f>IF($B1851="","",IF($I1850="",$C$10,$I1850)+IF($G1851="",0,$G1851)-IF($H1851="",0,$H1851))</f>
        <v/>
      </c>
      <c r="L1851">
        <f>IFERROR(MATCH($C$5&amp;"|"&amp;RIGHT("000000"&amp;1835,6),LdgRankKeyA,0),"")</f>
        <v/>
      </c>
      <c r="M1851">
        <f>IFERROR(MATCH($C$5&amp;"|"&amp;RIGHT("000000"&amp;1835,6),LdgRankKeyB,0),"")</f>
        <v/>
      </c>
    </row>
    <row r="1852">
      <c r="A1852" s="23" t="n">
        <v>1836</v>
      </c>
      <c r="B1852" s="24">
        <f>IF(AND($L1852="",$M1852=""),"",IF($L1852&lt;&gt;"",INDEX(SCNormDate,$L1852),INDEX(LdgDateB,$M1852)))</f>
        <v/>
      </c>
      <c r="C1852" s="24">
        <f>IF($L1852&lt;&gt;"",INDEX(SCOp,$L1852),IF($M1852&lt;&gt;"","پرداخت بانکی",""))</f>
        <v/>
      </c>
      <c r="D1852" s="24">
        <f>IF($L1852&lt;&gt;"",IF(INDEX(SCDoc,$L1852)="","—",INDEX(SCDoc,$L1852)),IF($M1852&lt;&gt;"",INDEX(LdgBankB,$M1852),""))</f>
        <v/>
      </c>
      <c r="E1852" s="25">
        <f>IF($L1852&lt;&gt;"",IF(INDEX(SCCitrus,$L1852)&amp;INDEX(SCNotes,$L1852)="","",IF(INDEX(SCCitrus,$L1852)="","",INDEX(SCCitrus,$L1852))&amp;IF(INDEX(SCNotes,$L1852)="",""," — "&amp;INDEX(SCNotes,$L1852))),IF($M1852&lt;&gt;"",IF(INDEX(LdgNoteB,$M1852)="","—",INDEX(LdgNoteB,$M1852)),""))</f>
        <v/>
      </c>
      <c r="F1852" s="26">
        <f>IF($L1852&lt;&gt;"",IF(INDEX(SCNet,$L1852)=0,"",INDEX(SCNet,$L1852)),"")</f>
        <v/>
      </c>
      <c r="G1852" s="27">
        <f>IF($L1852&lt;&gt;"",IF(INDEX(SCOp,$L1852)="مرجوعی فروش","",IF(INDEX(SCAmount,$L1852)&lt;=0,"",INDEX(SCAmount,$L1852))),IF($M1852&lt;&gt;"",IF(INDEX(LdgWitB,$M1852)=0,"",INDEX(LdgWitB,$M1852)),""))</f>
        <v/>
      </c>
      <c r="H1852" s="27">
        <f>IF($L1852&lt;&gt;"",IF(INDEX(SCOp,$L1852)="مرجوعی فروش",IF(INDEX(SCAmount,$L1852)=0,"",-INDEX(SCAmount,$L1852)),""),IF($M1852&lt;&gt;"",IF(INDEX(LdgDepB,$M1852)=0,"",INDEX(LdgDepB,$M1852)),""))</f>
        <v/>
      </c>
      <c r="I1852" s="28">
        <f>IF($B1852="","",IF($I1851="",$C$10,$I1851)+IF($G1852="",0,$G1852)-IF($H1852="",0,$H1852))</f>
        <v/>
      </c>
      <c r="L1852">
        <f>IFERROR(MATCH($C$5&amp;"|"&amp;RIGHT("000000"&amp;1836,6),LdgRankKeyA,0),"")</f>
        <v/>
      </c>
      <c r="M1852">
        <f>IFERROR(MATCH($C$5&amp;"|"&amp;RIGHT("000000"&amp;1836,6),LdgRankKeyB,0),"")</f>
        <v/>
      </c>
    </row>
    <row r="1853">
      <c r="A1853" s="17" t="n">
        <v>1837</v>
      </c>
      <c r="B1853" s="18">
        <f>IF(AND($L1853="",$M1853=""),"",IF($L1853&lt;&gt;"",INDEX(SCNormDate,$L1853),INDEX(LdgDateB,$M1853)))</f>
        <v/>
      </c>
      <c r="C1853" s="18">
        <f>IF($L1853&lt;&gt;"",INDEX(SCOp,$L1853),IF($M1853&lt;&gt;"","پرداخت بانکی",""))</f>
        <v/>
      </c>
      <c r="D1853" s="18">
        <f>IF($L1853&lt;&gt;"",IF(INDEX(SCDoc,$L1853)="","—",INDEX(SCDoc,$L1853)),IF($M1853&lt;&gt;"",INDEX(LdgBankB,$M1853),""))</f>
        <v/>
      </c>
      <c r="E1853" s="19">
        <f>IF($L1853&lt;&gt;"",IF(INDEX(SCCitrus,$L1853)&amp;INDEX(SCNotes,$L1853)="","",IF(INDEX(SCCitrus,$L1853)="","",INDEX(SCCitrus,$L1853))&amp;IF(INDEX(SCNotes,$L1853)="",""," — "&amp;INDEX(SCNotes,$L1853))),IF($M1853&lt;&gt;"",IF(INDEX(LdgNoteB,$M1853)="","—",INDEX(LdgNoteB,$M1853)),""))</f>
        <v/>
      </c>
      <c r="F1853" s="20">
        <f>IF($L1853&lt;&gt;"",IF(INDEX(SCNet,$L1853)=0,"",INDEX(SCNet,$L1853)),"")</f>
        <v/>
      </c>
      <c r="G1853" s="21">
        <f>IF($L1853&lt;&gt;"",IF(INDEX(SCOp,$L1853)="مرجوعی فروش","",IF(INDEX(SCAmount,$L1853)&lt;=0,"",INDEX(SCAmount,$L1853))),IF($M1853&lt;&gt;"",IF(INDEX(LdgWitB,$M1853)=0,"",INDEX(LdgWitB,$M1853)),""))</f>
        <v/>
      </c>
      <c r="H1853" s="21">
        <f>IF($L1853&lt;&gt;"",IF(INDEX(SCOp,$L1853)="مرجوعی فروش",IF(INDEX(SCAmount,$L1853)=0,"",-INDEX(SCAmount,$L1853)),""),IF($M1853&lt;&gt;"",IF(INDEX(LdgDepB,$M1853)=0,"",INDEX(LdgDepB,$M1853)),""))</f>
        <v/>
      </c>
      <c r="I1853" s="22">
        <f>IF($B1853="","",IF($I1852="",$C$10,$I1852)+IF($G1853="",0,$G1853)-IF($H1853="",0,$H1853))</f>
        <v/>
      </c>
      <c r="L1853">
        <f>IFERROR(MATCH($C$5&amp;"|"&amp;RIGHT("000000"&amp;1837,6),LdgRankKeyA,0),"")</f>
        <v/>
      </c>
      <c r="M1853">
        <f>IFERROR(MATCH($C$5&amp;"|"&amp;RIGHT("000000"&amp;1837,6),LdgRankKeyB,0),"")</f>
        <v/>
      </c>
    </row>
    <row r="1854">
      <c r="A1854" s="23" t="n">
        <v>1838</v>
      </c>
      <c r="B1854" s="24">
        <f>IF(AND($L1854="",$M1854=""),"",IF($L1854&lt;&gt;"",INDEX(SCNormDate,$L1854),INDEX(LdgDateB,$M1854)))</f>
        <v/>
      </c>
      <c r="C1854" s="24">
        <f>IF($L1854&lt;&gt;"",INDEX(SCOp,$L1854),IF($M1854&lt;&gt;"","پرداخت بانکی",""))</f>
        <v/>
      </c>
      <c r="D1854" s="24">
        <f>IF($L1854&lt;&gt;"",IF(INDEX(SCDoc,$L1854)="","—",INDEX(SCDoc,$L1854)),IF($M1854&lt;&gt;"",INDEX(LdgBankB,$M1854),""))</f>
        <v/>
      </c>
      <c r="E1854" s="25">
        <f>IF($L1854&lt;&gt;"",IF(INDEX(SCCitrus,$L1854)&amp;INDEX(SCNotes,$L1854)="","",IF(INDEX(SCCitrus,$L1854)="","",INDEX(SCCitrus,$L1854))&amp;IF(INDEX(SCNotes,$L1854)="",""," — "&amp;INDEX(SCNotes,$L1854))),IF($M1854&lt;&gt;"",IF(INDEX(LdgNoteB,$M1854)="","—",INDEX(LdgNoteB,$M1854)),""))</f>
        <v/>
      </c>
      <c r="F1854" s="26">
        <f>IF($L1854&lt;&gt;"",IF(INDEX(SCNet,$L1854)=0,"",INDEX(SCNet,$L1854)),"")</f>
        <v/>
      </c>
      <c r="G1854" s="27">
        <f>IF($L1854&lt;&gt;"",IF(INDEX(SCOp,$L1854)="مرجوعی فروش","",IF(INDEX(SCAmount,$L1854)&lt;=0,"",INDEX(SCAmount,$L1854))),IF($M1854&lt;&gt;"",IF(INDEX(LdgWitB,$M1854)=0,"",INDEX(LdgWitB,$M1854)),""))</f>
        <v/>
      </c>
      <c r="H1854" s="27">
        <f>IF($L1854&lt;&gt;"",IF(INDEX(SCOp,$L1854)="مرجوعی فروش",IF(INDEX(SCAmount,$L1854)=0,"",-INDEX(SCAmount,$L1854)),""),IF($M1854&lt;&gt;"",IF(INDEX(LdgDepB,$M1854)=0,"",INDEX(LdgDepB,$M1854)),""))</f>
        <v/>
      </c>
      <c r="I1854" s="28">
        <f>IF($B1854="","",IF($I1853="",$C$10,$I1853)+IF($G1854="",0,$G1854)-IF($H1854="",0,$H1854))</f>
        <v/>
      </c>
      <c r="L1854">
        <f>IFERROR(MATCH($C$5&amp;"|"&amp;RIGHT("000000"&amp;1838,6),LdgRankKeyA,0),"")</f>
        <v/>
      </c>
      <c r="M1854">
        <f>IFERROR(MATCH($C$5&amp;"|"&amp;RIGHT("000000"&amp;1838,6),LdgRankKeyB,0),"")</f>
        <v/>
      </c>
    </row>
    <row r="1855">
      <c r="A1855" s="17" t="n">
        <v>1839</v>
      </c>
      <c r="B1855" s="18">
        <f>IF(AND($L1855="",$M1855=""),"",IF($L1855&lt;&gt;"",INDEX(SCNormDate,$L1855),INDEX(LdgDateB,$M1855)))</f>
        <v/>
      </c>
      <c r="C1855" s="18">
        <f>IF($L1855&lt;&gt;"",INDEX(SCOp,$L1855),IF($M1855&lt;&gt;"","پرداخت بانکی",""))</f>
        <v/>
      </c>
      <c r="D1855" s="18">
        <f>IF($L1855&lt;&gt;"",IF(INDEX(SCDoc,$L1855)="","—",INDEX(SCDoc,$L1855)),IF($M1855&lt;&gt;"",INDEX(LdgBankB,$M1855),""))</f>
        <v/>
      </c>
      <c r="E1855" s="19">
        <f>IF($L1855&lt;&gt;"",IF(INDEX(SCCitrus,$L1855)&amp;INDEX(SCNotes,$L1855)="","",IF(INDEX(SCCitrus,$L1855)="","",INDEX(SCCitrus,$L1855))&amp;IF(INDEX(SCNotes,$L1855)="",""," — "&amp;INDEX(SCNotes,$L1855))),IF($M1855&lt;&gt;"",IF(INDEX(LdgNoteB,$M1855)="","—",INDEX(LdgNoteB,$M1855)),""))</f>
        <v/>
      </c>
      <c r="F1855" s="20">
        <f>IF($L1855&lt;&gt;"",IF(INDEX(SCNet,$L1855)=0,"",INDEX(SCNet,$L1855)),"")</f>
        <v/>
      </c>
      <c r="G1855" s="21">
        <f>IF($L1855&lt;&gt;"",IF(INDEX(SCOp,$L1855)="مرجوعی فروش","",IF(INDEX(SCAmount,$L1855)&lt;=0,"",INDEX(SCAmount,$L1855))),IF($M1855&lt;&gt;"",IF(INDEX(LdgWitB,$M1855)=0,"",INDEX(LdgWitB,$M1855)),""))</f>
        <v/>
      </c>
      <c r="H1855" s="21">
        <f>IF($L1855&lt;&gt;"",IF(INDEX(SCOp,$L1855)="مرجوعی فروش",IF(INDEX(SCAmount,$L1855)=0,"",-INDEX(SCAmount,$L1855)),""),IF($M1855&lt;&gt;"",IF(INDEX(LdgDepB,$M1855)=0,"",INDEX(LdgDepB,$M1855)),""))</f>
        <v/>
      </c>
      <c r="I1855" s="22">
        <f>IF($B1855="","",IF($I1854="",$C$10,$I1854)+IF($G1855="",0,$G1855)-IF($H1855="",0,$H1855))</f>
        <v/>
      </c>
      <c r="L1855">
        <f>IFERROR(MATCH($C$5&amp;"|"&amp;RIGHT("000000"&amp;1839,6),LdgRankKeyA,0),"")</f>
        <v/>
      </c>
      <c r="M1855">
        <f>IFERROR(MATCH($C$5&amp;"|"&amp;RIGHT("000000"&amp;1839,6),LdgRankKeyB,0),"")</f>
        <v/>
      </c>
    </row>
    <row r="1856">
      <c r="A1856" s="23" t="n">
        <v>1840</v>
      </c>
      <c r="B1856" s="24">
        <f>IF(AND($L1856="",$M1856=""),"",IF($L1856&lt;&gt;"",INDEX(SCNormDate,$L1856),INDEX(LdgDateB,$M1856)))</f>
        <v/>
      </c>
      <c r="C1856" s="24">
        <f>IF($L1856&lt;&gt;"",INDEX(SCOp,$L1856),IF($M1856&lt;&gt;"","پرداخت بانکی",""))</f>
        <v/>
      </c>
      <c r="D1856" s="24">
        <f>IF($L1856&lt;&gt;"",IF(INDEX(SCDoc,$L1856)="","—",INDEX(SCDoc,$L1856)),IF($M1856&lt;&gt;"",INDEX(LdgBankB,$M1856),""))</f>
        <v/>
      </c>
      <c r="E1856" s="25">
        <f>IF($L1856&lt;&gt;"",IF(INDEX(SCCitrus,$L1856)&amp;INDEX(SCNotes,$L1856)="","",IF(INDEX(SCCitrus,$L1856)="","",INDEX(SCCitrus,$L1856))&amp;IF(INDEX(SCNotes,$L1856)="",""," — "&amp;INDEX(SCNotes,$L1856))),IF($M1856&lt;&gt;"",IF(INDEX(LdgNoteB,$M1856)="","—",INDEX(LdgNoteB,$M1856)),""))</f>
        <v/>
      </c>
      <c r="F1856" s="26">
        <f>IF($L1856&lt;&gt;"",IF(INDEX(SCNet,$L1856)=0,"",INDEX(SCNet,$L1856)),"")</f>
        <v/>
      </c>
      <c r="G1856" s="27">
        <f>IF($L1856&lt;&gt;"",IF(INDEX(SCOp,$L1856)="مرجوعی فروش","",IF(INDEX(SCAmount,$L1856)&lt;=0,"",INDEX(SCAmount,$L1856))),IF($M1856&lt;&gt;"",IF(INDEX(LdgWitB,$M1856)=0,"",INDEX(LdgWitB,$M1856)),""))</f>
        <v/>
      </c>
      <c r="H1856" s="27">
        <f>IF($L1856&lt;&gt;"",IF(INDEX(SCOp,$L1856)="مرجوعی فروش",IF(INDEX(SCAmount,$L1856)=0,"",-INDEX(SCAmount,$L1856)),""),IF($M1856&lt;&gt;"",IF(INDEX(LdgDepB,$M1856)=0,"",INDEX(LdgDepB,$M1856)),""))</f>
        <v/>
      </c>
      <c r="I1856" s="28">
        <f>IF($B1856="","",IF($I1855="",$C$10,$I1855)+IF($G1856="",0,$G1856)-IF($H1856="",0,$H1856))</f>
        <v/>
      </c>
      <c r="L1856">
        <f>IFERROR(MATCH($C$5&amp;"|"&amp;RIGHT("000000"&amp;1840,6),LdgRankKeyA,0),"")</f>
        <v/>
      </c>
      <c r="M1856">
        <f>IFERROR(MATCH($C$5&amp;"|"&amp;RIGHT("000000"&amp;1840,6),LdgRankKeyB,0),"")</f>
        <v/>
      </c>
    </row>
    <row r="1857">
      <c r="A1857" s="17" t="n">
        <v>1841</v>
      </c>
      <c r="B1857" s="18">
        <f>IF(AND($L1857="",$M1857=""),"",IF($L1857&lt;&gt;"",INDEX(SCNormDate,$L1857),INDEX(LdgDateB,$M1857)))</f>
        <v/>
      </c>
      <c r="C1857" s="18">
        <f>IF($L1857&lt;&gt;"",INDEX(SCOp,$L1857),IF($M1857&lt;&gt;"","پرداخت بانکی",""))</f>
        <v/>
      </c>
      <c r="D1857" s="18">
        <f>IF($L1857&lt;&gt;"",IF(INDEX(SCDoc,$L1857)="","—",INDEX(SCDoc,$L1857)),IF($M1857&lt;&gt;"",INDEX(LdgBankB,$M1857),""))</f>
        <v/>
      </c>
      <c r="E1857" s="19">
        <f>IF($L1857&lt;&gt;"",IF(INDEX(SCCitrus,$L1857)&amp;INDEX(SCNotes,$L1857)="","",IF(INDEX(SCCitrus,$L1857)="","",INDEX(SCCitrus,$L1857))&amp;IF(INDEX(SCNotes,$L1857)="",""," — "&amp;INDEX(SCNotes,$L1857))),IF($M1857&lt;&gt;"",IF(INDEX(LdgNoteB,$M1857)="","—",INDEX(LdgNoteB,$M1857)),""))</f>
        <v/>
      </c>
      <c r="F1857" s="20">
        <f>IF($L1857&lt;&gt;"",IF(INDEX(SCNet,$L1857)=0,"",INDEX(SCNet,$L1857)),"")</f>
        <v/>
      </c>
      <c r="G1857" s="21">
        <f>IF($L1857&lt;&gt;"",IF(INDEX(SCOp,$L1857)="مرجوعی فروش","",IF(INDEX(SCAmount,$L1857)&lt;=0,"",INDEX(SCAmount,$L1857))),IF($M1857&lt;&gt;"",IF(INDEX(LdgWitB,$M1857)=0,"",INDEX(LdgWitB,$M1857)),""))</f>
        <v/>
      </c>
      <c r="H1857" s="21">
        <f>IF($L1857&lt;&gt;"",IF(INDEX(SCOp,$L1857)="مرجوعی فروش",IF(INDEX(SCAmount,$L1857)=0,"",-INDEX(SCAmount,$L1857)),""),IF($M1857&lt;&gt;"",IF(INDEX(LdgDepB,$M1857)=0,"",INDEX(LdgDepB,$M1857)),""))</f>
        <v/>
      </c>
      <c r="I1857" s="22">
        <f>IF($B1857="","",IF($I1856="",$C$10,$I1856)+IF($G1857="",0,$G1857)-IF($H1857="",0,$H1857))</f>
        <v/>
      </c>
      <c r="L1857">
        <f>IFERROR(MATCH($C$5&amp;"|"&amp;RIGHT("000000"&amp;1841,6),LdgRankKeyA,0),"")</f>
        <v/>
      </c>
      <c r="M1857">
        <f>IFERROR(MATCH($C$5&amp;"|"&amp;RIGHT("000000"&amp;1841,6),LdgRankKeyB,0),"")</f>
        <v/>
      </c>
    </row>
    <row r="1858">
      <c r="A1858" s="23" t="n">
        <v>1842</v>
      </c>
      <c r="B1858" s="24">
        <f>IF(AND($L1858="",$M1858=""),"",IF($L1858&lt;&gt;"",INDEX(SCNormDate,$L1858),INDEX(LdgDateB,$M1858)))</f>
        <v/>
      </c>
      <c r="C1858" s="24">
        <f>IF($L1858&lt;&gt;"",INDEX(SCOp,$L1858),IF($M1858&lt;&gt;"","پرداخت بانکی",""))</f>
        <v/>
      </c>
      <c r="D1858" s="24">
        <f>IF($L1858&lt;&gt;"",IF(INDEX(SCDoc,$L1858)="","—",INDEX(SCDoc,$L1858)),IF($M1858&lt;&gt;"",INDEX(LdgBankB,$M1858),""))</f>
        <v/>
      </c>
      <c r="E1858" s="25">
        <f>IF($L1858&lt;&gt;"",IF(INDEX(SCCitrus,$L1858)&amp;INDEX(SCNotes,$L1858)="","",IF(INDEX(SCCitrus,$L1858)="","",INDEX(SCCitrus,$L1858))&amp;IF(INDEX(SCNotes,$L1858)="",""," — "&amp;INDEX(SCNotes,$L1858))),IF($M1858&lt;&gt;"",IF(INDEX(LdgNoteB,$M1858)="","—",INDEX(LdgNoteB,$M1858)),""))</f>
        <v/>
      </c>
      <c r="F1858" s="26">
        <f>IF($L1858&lt;&gt;"",IF(INDEX(SCNet,$L1858)=0,"",INDEX(SCNet,$L1858)),"")</f>
        <v/>
      </c>
      <c r="G1858" s="27">
        <f>IF($L1858&lt;&gt;"",IF(INDEX(SCOp,$L1858)="مرجوعی فروش","",IF(INDEX(SCAmount,$L1858)&lt;=0,"",INDEX(SCAmount,$L1858))),IF($M1858&lt;&gt;"",IF(INDEX(LdgWitB,$M1858)=0,"",INDEX(LdgWitB,$M1858)),""))</f>
        <v/>
      </c>
      <c r="H1858" s="27">
        <f>IF($L1858&lt;&gt;"",IF(INDEX(SCOp,$L1858)="مرجوعی فروش",IF(INDEX(SCAmount,$L1858)=0,"",-INDEX(SCAmount,$L1858)),""),IF($M1858&lt;&gt;"",IF(INDEX(LdgDepB,$M1858)=0,"",INDEX(LdgDepB,$M1858)),""))</f>
        <v/>
      </c>
      <c r="I1858" s="28">
        <f>IF($B1858="","",IF($I1857="",$C$10,$I1857)+IF($G1858="",0,$G1858)-IF($H1858="",0,$H1858))</f>
        <v/>
      </c>
      <c r="L1858">
        <f>IFERROR(MATCH($C$5&amp;"|"&amp;RIGHT("000000"&amp;1842,6),LdgRankKeyA,0),"")</f>
        <v/>
      </c>
      <c r="M1858">
        <f>IFERROR(MATCH($C$5&amp;"|"&amp;RIGHT("000000"&amp;1842,6),LdgRankKeyB,0),"")</f>
        <v/>
      </c>
    </row>
    <row r="1859">
      <c r="A1859" s="17" t="n">
        <v>1843</v>
      </c>
      <c r="B1859" s="18">
        <f>IF(AND($L1859="",$M1859=""),"",IF($L1859&lt;&gt;"",INDEX(SCNormDate,$L1859),INDEX(LdgDateB,$M1859)))</f>
        <v/>
      </c>
      <c r="C1859" s="18">
        <f>IF($L1859&lt;&gt;"",INDEX(SCOp,$L1859),IF($M1859&lt;&gt;"","پرداخت بانکی",""))</f>
        <v/>
      </c>
      <c r="D1859" s="18">
        <f>IF($L1859&lt;&gt;"",IF(INDEX(SCDoc,$L1859)="","—",INDEX(SCDoc,$L1859)),IF($M1859&lt;&gt;"",INDEX(LdgBankB,$M1859),""))</f>
        <v/>
      </c>
      <c r="E1859" s="19">
        <f>IF($L1859&lt;&gt;"",IF(INDEX(SCCitrus,$L1859)&amp;INDEX(SCNotes,$L1859)="","",IF(INDEX(SCCitrus,$L1859)="","",INDEX(SCCitrus,$L1859))&amp;IF(INDEX(SCNotes,$L1859)="",""," — "&amp;INDEX(SCNotes,$L1859))),IF($M1859&lt;&gt;"",IF(INDEX(LdgNoteB,$M1859)="","—",INDEX(LdgNoteB,$M1859)),""))</f>
        <v/>
      </c>
      <c r="F1859" s="20">
        <f>IF($L1859&lt;&gt;"",IF(INDEX(SCNet,$L1859)=0,"",INDEX(SCNet,$L1859)),"")</f>
        <v/>
      </c>
      <c r="G1859" s="21">
        <f>IF($L1859&lt;&gt;"",IF(INDEX(SCOp,$L1859)="مرجوعی فروش","",IF(INDEX(SCAmount,$L1859)&lt;=0,"",INDEX(SCAmount,$L1859))),IF($M1859&lt;&gt;"",IF(INDEX(LdgWitB,$M1859)=0,"",INDEX(LdgWitB,$M1859)),""))</f>
        <v/>
      </c>
      <c r="H1859" s="21">
        <f>IF($L1859&lt;&gt;"",IF(INDEX(SCOp,$L1859)="مرجوعی فروش",IF(INDEX(SCAmount,$L1859)=0,"",-INDEX(SCAmount,$L1859)),""),IF($M1859&lt;&gt;"",IF(INDEX(LdgDepB,$M1859)=0,"",INDEX(LdgDepB,$M1859)),""))</f>
        <v/>
      </c>
      <c r="I1859" s="22">
        <f>IF($B1859="","",IF($I1858="",$C$10,$I1858)+IF($G1859="",0,$G1859)-IF($H1859="",0,$H1859))</f>
        <v/>
      </c>
      <c r="L1859">
        <f>IFERROR(MATCH($C$5&amp;"|"&amp;RIGHT("000000"&amp;1843,6),LdgRankKeyA,0),"")</f>
        <v/>
      </c>
      <c r="M1859">
        <f>IFERROR(MATCH($C$5&amp;"|"&amp;RIGHT("000000"&amp;1843,6),LdgRankKeyB,0),"")</f>
        <v/>
      </c>
    </row>
    <row r="1860">
      <c r="A1860" s="23" t="n">
        <v>1844</v>
      </c>
      <c r="B1860" s="24">
        <f>IF(AND($L1860="",$M1860=""),"",IF($L1860&lt;&gt;"",INDEX(SCNormDate,$L1860),INDEX(LdgDateB,$M1860)))</f>
        <v/>
      </c>
      <c r="C1860" s="24">
        <f>IF($L1860&lt;&gt;"",INDEX(SCOp,$L1860),IF($M1860&lt;&gt;"","پرداخت بانکی",""))</f>
        <v/>
      </c>
      <c r="D1860" s="24">
        <f>IF($L1860&lt;&gt;"",IF(INDEX(SCDoc,$L1860)="","—",INDEX(SCDoc,$L1860)),IF($M1860&lt;&gt;"",INDEX(LdgBankB,$M1860),""))</f>
        <v/>
      </c>
      <c r="E1860" s="25">
        <f>IF($L1860&lt;&gt;"",IF(INDEX(SCCitrus,$L1860)&amp;INDEX(SCNotes,$L1860)="","",IF(INDEX(SCCitrus,$L1860)="","",INDEX(SCCitrus,$L1860))&amp;IF(INDEX(SCNotes,$L1860)="",""," — "&amp;INDEX(SCNotes,$L1860))),IF($M1860&lt;&gt;"",IF(INDEX(LdgNoteB,$M1860)="","—",INDEX(LdgNoteB,$M1860)),""))</f>
        <v/>
      </c>
      <c r="F1860" s="26">
        <f>IF($L1860&lt;&gt;"",IF(INDEX(SCNet,$L1860)=0,"",INDEX(SCNet,$L1860)),"")</f>
        <v/>
      </c>
      <c r="G1860" s="27">
        <f>IF($L1860&lt;&gt;"",IF(INDEX(SCOp,$L1860)="مرجوعی فروش","",IF(INDEX(SCAmount,$L1860)&lt;=0,"",INDEX(SCAmount,$L1860))),IF($M1860&lt;&gt;"",IF(INDEX(LdgWitB,$M1860)=0,"",INDEX(LdgWitB,$M1860)),""))</f>
        <v/>
      </c>
      <c r="H1860" s="27">
        <f>IF($L1860&lt;&gt;"",IF(INDEX(SCOp,$L1860)="مرجوعی فروش",IF(INDEX(SCAmount,$L1860)=0,"",-INDEX(SCAmount,$L1860)),""),IF($M1860&lt;&gt;"",IF(INDEX(LdgDepB,$M1860)=0,"",INDEX(LdgDepB,$M1860)),""))</f>
        <v/>
      </c>
      <c r="I1860" s="28">
        <f>IF($B1860="","",IF($I1859="",$C$10,$I1859)+IF($G1860="",0,$G1860)-IF($H1860="",0,$H1860))</f>
        <v/>
      </c>
      <c r="L1860">
        <f>IFERROR(MATCH($C$5&amp;"|"&amp;RIGHT("000000"&amp;1844,6),LdgRankKeyA,0),"")</f>
        <v/>
      </c>
      <c r="M1860">
        <f>IFERROR(MATCH($C$5&amp;"|"&amp;RIGHT("000000"&amp;1844,6),LdgRankKeyB,0),"")</f>
        <v/>
      </c>
    </row>
    <row r="1861">
      <c r="A1861" s="17" t="n">
        <v>1845</v>
      </c>
      <c r="B1861" s="18">
        <f>IF(AND($L1861="",$M1861=""),"",IF($L1861&lt;&gt;"",INDEX(SCNormDate,$L1861),INDEX(LdgDateB,$M1861)))</f>
        <v/>
      </c>
      <c r="C1861" s="18">
        <f>IF($L1861&lt;&gt;"",INDEX(SCOp,$L1861),IF($M1861&lt;&gt;"","پرداخت بانکی",""))</f>
        <v/>
      </c>
      <c r="D1861" s="18">
        <f>IF($L1861&lt;&gt;"",IF(INDEX(SCDoc,$L1861)="","—",INDEX(SCDoc,$L1861)),IF($M1861&lt;&gt;"",INDEX(LdgBankB,$M1861),""))</f>
        <v/>
      </c>
      <c r="E1861" s="19">
        <f>IF($L1861&lt;&gt;"",IF(INDEX(SCCitrus,$L1861)&amp;INDEX(SCNotes,$L1861)="","",IF(INDEX(SCCitrus,$L1861)="","",INDEX(SCCitrus,$L1861))&amp;IF(INDEX(SCNotes,$L1861)="",""," — "&amp;INDEX(SCNotes,$L1861))),IF($M1861&lt;&gt;"",IF(INDEX(LdgNoteB,$M1861)="","—",INDEX(LdgNoteB,$M1861)),""))</f>
        <v/>
      </c>
      <c r="F1861" s="20">
        <f>IF($L1861&lt;&gt;"",IF(INDEX(SCNet,$L1861)=0,"",INDEX(SCNet,$L1861)),"")</f>
        <v/>
      </c>
      <c r="G1861" s="21">
        <f>IF($L1861&lt;&gt;"",IF(INDEX(SCOp,$L1861)="مرجوعی فروش","",IF(INDEX(SCAmount,$L1861)&lt;=0,"",INDEX(SCAmount,$L1861))),IF($M1861&lt;&gt;"",IF(INDEX(LdgWitB,$M1861)=0,"",INDEX(LdgWitB,$M1861)),""))</f>
        <v/>
      </c>
      <c r="H1861" s="21">
        <f>IF($L1861&lt;&gt;"",IF(INDEX(SCOp,$L1861)="مرجوعی فروش",IF(INDEX(SCAmount,$L1861)=0,"",-INDEX(SCAmount,$L1861)),""),IF($M1861&lt;&gt;"",IF(INDEX(LdgDepB,$M1861)=0,"",INDEX(LdgDepB,$M1861)),""))</f>
        <v/>
      </c>
      <c r="I1861" s="22">
        <f>IF($B1861="","",IF($I1860="",$C$10,$I1860)+IF($G1861="",0,$G1861)-IF($H1861="",0,$H1861))</f>
        <v/>
      </c>
      <c r="L1861">
        <f>IFERROR(MATCH($C$5&amp;"|"&amp;RIGHT("000000"&amp;1845,6),LdgRankKeyA,0),"")</f>
        <v/>
      </c>
      <c r="M1861">
        <f>IFERROR(MATCH($C$5&amp;"|"&amp;RIGHT("000000"&amp;1845,6),LdgRankKeyB,0),"")</f>
        <v/>
      </c>
    </row>
    <row r="1862">
      <c r="A1862" s="23" t="n">
        <v>1846</v>
      </c>
      <c r="B1862" s="24">
        <f>IF(AND($L1862="",$M1862=""),"",IF($L1862&lt;&gt;"",INDEX(SCNormDate,$L1862),INDEX(LdgDateB,$M1862)))</f>
        <v/>
      </c>
      <c r="C1862" s="24">
        <f>IF($L1862&lt;&gt;"",INDEX(SCOp,$L1862),IF($M1862&lt;&gt;"","پرداخت بانکی",""))</f>
        <v/>
      </c>
      <c r="D1862" s="24">
        <f>IF($L1862&lt;&gt;"",IF(INDEX(SCDoc,$L1862)="","—",INDEX(SCDoc,$L1862)),IF($M1862&lt;&gt;"",INDEX(LdgBankB,$M1862),""))</f>
        <v/>
      </c>
      <c r="E1862" s="25">
        <f>IF($L1862&lt;&gt;"",IF(INDEX(SCCitrus,$L1862)&amp;INDEX(SCNotes,$L1862)="","",IF(INDEX(SCCitrus,$L1862)="","",INDEX(SCCitrus,$L1862))&amp;IF(INDEX(SCNotes,$L1862)="",""," — "&amp;INDEX(SCNotes,$L1862))),IF($M1862&lt;&gt;"",IF(INDEX(LdgNoteB,$M1862)="","—",INDEX(LdgNoteB,$M1862)),""))</f>
        <v/>
      </c>
      <c r="F1862" s="26">
        <f>IF($L1862&lt;&gt;"",IF(INDEX(SCNet,$L1862)=0,"",INDEX(SCNet,$L1862)),"")</f>
        <v/>
      </c>
      <c r="G1862" s="27">
        <f>IF($L1862&lt;&gt;"",IF(INDEX(SCOp,$L1862)="مرجوعی فروش","",IF(INDEX(SCAmount,$L1862)&lt;=0,"",INDEX(SCAmount,$L1862))),IF($M1862&lt;&gt;"",IF(INDEX(LdgWitB,$M1862)=0,"",INDEX(LdgWitB,$M1862)),""))</f>
        <v/>
      </c>
      <c r="H1862" s="27">
        <f>IF($L1862&lt;&gt;"",IF(INDEX(SCOp,$L1862)="مرجوعی فروش",IF(INDEX(SCAmount,$L1862)=0,"",-INDEX(SCAmount,$L1862)),""),IF($M1862&lt;&gt;"",IF(INDEX(LdgDepB,$M1862)=0,"",INDEX(LdgDepB,$M1862)),""))</f>
        <v/>
      </c>
      <c r="I1862" s="28">
        <f>IF($B1862="","",IF($I1861="",$C$10,$I1861)+IF($G1862="",0,$G1862)-IF($H1862="",0,$H1862))</f>
        <v/>
      </c>
      <c r="L1862">
        <f>IFERROR(MATCH($C$5&amp;"|"&amp;RIGHT("000000"&amp;1846,6),LdgRankKeyA,0),"")</f>
        <v/>
      </c>
      <c r="M1862">
        <f>IFERROR(MATCH($C$5&amp;"|"&amp;RIGHT("000000"&amp;1846,6),LdgRankKeyB,0),"")</f>
        <v/>
      </c>
    </row>
    <row r="1863">
      <c r="A1863" s="17" t="n">
        <v>1847</v>
      </c>
      <c r="B1863" s="18">
        <f>IF(AND($L1863="",$M1863=""),"",IF($L1863&lt;&gt;"",INDEX(SCNormDate,$L1863),INDEX(LdgDateB,$M1863)))</f>
        <v/>
      </c>
      <c r="C1863" s="18">
        <f>IF($L1863&lt;&gt;"",INDEX(SCOp,$L1863),IF($M1863&lt;&gt;"","پرداخت بانکی",""))</f>
        <v/>
      </c>
      <c r="D1863" s="18">
        <f>IF($L1863&lt;&gt;"",IF(INDEX(SCDoc,$L1863)="","—",INDEX(SCDoc,$L1863)),IF($M1863&lt;&gt;"",INDEX(LdgBankB,$M1863),""))</f>
        <v/>
      </c>
      <c r="E1863" s="19">
        <f>IF($L1863&lt;&gt;"",IF(INDEX(SCCitrus,$L1863)&amp;INDEX(SCNotes,$L1863)="","",IF(INDEX(SCCitrus,$L1863)="","",INDEX(SCCitrus,$L1863))&amp;IF(INDEX(SCNotes,$L1863)="",""," — "&amp;INDEX(SCNotes,$L1863))),IF($M1863&lt;&gt;"",IF(INDEX(LdgNoteB,$M1863)="","—",INDEX(LdgNoteB,$M1863)),""))</f>
        <v/>
      </c>
      <c r="F1863" s="20">
        <f>IF($L1863&lt;&gt;"",IF(INDEX(SCNet,$L1863)=0,"",INDEX(SCNet,$L1863)),"")</f>
        <v/>
      </c>
      <c r="G1863" s="21">
        <f>IF($L1863&lt;&gt;"",IF(INDEX(SCOp,$L1863)="مرجوعی فروش","",IF(INDEX(SCAmount,$L1863)&lt;=0,"",INDEX(SCAmount,$L1863))),IF($M1863&lt;&gt;"",IF(INDEX(LdgWitB,$M1863)=0,"",INDEX(LdgWitB,$M1863)),""))</f>
        <v/>
      </c>
      <c r="H1863" s="21">
        <f>IF($L1863&lt;&gt;"",IF(INDEX(SCOp,$L1863)="مرجوعی فروش",IF(INDEX(SCAmount,$L1863)=0,"",-INDEX(SCAmount,$L1863)),""),IF($M1863&lt;&gt;"",IF(INDEX(LdgDepB,$M1863)=0,"",INDEX(LdgDepB,$M1863)),""))</f>
        <v/>
      </c>
      <c r="I1863" s="22">
        <f>IF($B1863="","",IF($I1862="",$C$10,$I1862)+IF($G1863="",0,$G1863)-IF($H1863="",0,$H1863))</f>
        <v/>
      </c>
      <c r="L1863">
        <f>IFERROR(MATCH($C$5&amp;"|"&amp;RIGHT("000000"&amp;1847,6),LdgRankKeyA,0),"")</f>
        <v/>
      </c>
      <c r="M1863">
        <f>IFERROR(MATCH($C$5&amp;"|"&amp;RIGHT("000000"&amp;1847,6),LdgRankKeyB,0),"")</f>
        <v/>
      </c>
    </row>
    <row r="1864">
      <c r="A1864" s="23" t="n">
        <v>1848</v>
      </c>
      <c r="B1864" s="24">
        <f>IF(AND($L1864="",$M1864=""),"",IF($L1864&lt;&gt;"",INDEX(SCNormDate,$L1864),INDEX(LdgDateB,$M1864)))</f>
        <v/>
      </c>
      <c r="C1864" s="24">
        <f>IF($L1864&lt;&gt;"",INDEX(SCOp,$L1864),IF($M1864&lt;&gt;"","پرداخت بانکی",""))</f>
        <v/>
      </c>
      <c r="D1864" s="24">
        <f>IF($L1864&lt;&gt;"",IF(INDEX(SCDoc,$L1864)="","—",INDEX(SCDoc,$L1864)),IF($M1864&lt;&gt;"",INDEX(LdgBankB,$M1864),""))</f>
        <v/>
      </c>
      <c r="E1864" s="25">
        <f>IF($L1864&lt;&gt;"",IF(INDEX(SCCitrus,$L1864)&amp;INDEX(SCNotes,$L1864)="","",IF(INDEX(SCCitrus,$L1864)="","",INDEX(SCCitrus,$L1864))&amp;IF(INDEX(SCNotes,$L1864)="",""," — "&amp;INDEX(SCNotes,$L1864))),IF($M1864&lt;&gt;"",IF(INDEX(LdgNoteB,$M1864)="","—",INDEX(LdgNoteB,$M1864)),""))</f>
        <v/>
      </c>
      <c r="F1864" s="26">
        <f>IF($L1864&lt;&gt;"",IF(INDEX(SCNet,$L1864)=0,"",INDEX(SCNet,$L1864)),"")</f>
        <v/>
      </c>
      <c r="G1864" s="27">
        <f>IF($L1864&lt;&gt;"",IF(INDEX(SCOp,$L1864)="مرجوعی فروش","",IF(INDEX(SCAmount,$L1864)&lt;=0,"",INDEX(SCAmount,$L1864))),IF($M1864&lt;&gt;"",IF(INDEX(LdgWitB,$M1864)=0,"",INDEX(LdgWitB,$M1864)),""))</f>
        <v/>
      </c>
      <c r="H1864" s="27">
        <f>IF($L1864&lt;&gt;"",IF(INDEX(SCOp,$L1864)="مرجوعی فروش",IF(INDEX(SCAmount,$L1864)=0,"",-INDEX(SCAmount,$L1864)),""),IF($M1864&lt;&gt;"",IF(INDEX(LdgDepB,$M1864)=0,"",INDEX(LdgDepB,$M1864)),""))</f>
        <v/>
      </c>
      <c r="I1864" s="28">
        <f>IF($B1864="","",IF($I1863="",$C$10,$I1863)+IF($G1864="",0,$G1864)-IF($H1864="",0,$H1864))</f>
        <v/>
      </c>
      <c r="L1864">
        <f>IFERROR(MATCH($C$5&amp;"|"&amp;RIGHT("000000"&amp;1848,6),LdgRankKeyA,0),"")</f>
        <v/>
      </c>
      <c r="M1864">
        <f>IFERROR(MATCH($C$5&amp;"|"&amp;RIGHT("000000"&amp;1848,6),LdgRankKeyB,0),"")</f>
        <v/>
      </c>
    </row>
    <row r="1865">
      <c r="A1865" s="17" t="n">
        <v>1849</v>
      </c>
      <c r="B1865" s="18">
        <f>IF(AND($L1865="",$M1865=""),"",IF($L1865&lt;&gt;"",INDEX(SCNormDate,$L1865),INDEX(LdgDateB,$M1865)))</f>
        <v/>
      </c>
      <c r="C1865" s="18">
        <f>IF($L1865&lt;&gt;"",INDEX(SCOp,$L1865),IF($M1865&lt;&gt;"","پرداخت بانکی",""))</f>
        <v/>
      </c>
      <c r="D1865" s="18">
        <f>IF($L1865&lt;&gt;"",IF(INDEX(SCDoc,$L1865)="","—",INDEX(SCDoc,$L1865)),IF($M1865&lt;&gt;"",INDEX(LdgBankB,$M1865),""))</f>
        <v/>
      </c>
      <c r="E1865" s="19">
        <f>IF($L1865&lt;&gt;"",IF(INDEX(SCCitrus,$L1865)&amp;INDEX(SCNotes,$L1865)="","",IF(INDEX(SCCitrus,$L1865)="","",INDEX(SCCitrus,$L1865))&amp;IF(INDEX(SCNotes,$L1865)="",""," — "&amp;INDEX(SCNotes,$L1865))),IF($M1865&lt;&gt;"",IF(INDEX(LdgNoteB,$M1865)="","—",INDEX(LdgNoteB,$M1865)),""))</f>
        <v/>
      </c>
      <c r="F1865" s="20">
        <f>IF($L1865&lt;&gt;"",IF(INDEX(SCNet,$L1865)=0,"",INDEX(SCNet,$L1865)),"")</f>
        <v/>
      </c>
      <c r="G1865" s="21">
        <f>IF($L1865&lt;&gt;"",IF(INDEX(SCOp,$L1865)="مرجوعی فروش","",IF(INDEX(SCAmount,$L1865)&lt;=0,"",INDEX(SCAmount,$L1865))),IF($M1865&lt;&gt;"",IF(INDEX(LdgWitB,$M1865)=0,"",INDEX(LdgWitB,$M1865)),""))</f>
        <v/>
      </c>
      <c r="H1865" s="21">
        <f>IF($L1865&lt;&gt;"",IF(INDEX(SCOp,$L1865)="مرجوعی فروش",IF(INDEX(SCAmount,$L1865)=0,"",-INDEX(SCAmount,$L1865)),""),IF($M1865&lt;&gt;"",IF(INDEX(LdgDepB,$M1865)=0,"",INDEX(LdgDepB,$M1865)),""))</f>
        <v/>
      </c>
      <c r="I1865" s="22">
        <f>IF($B1865="","",IF($I1864="",$C$10,$I1864)+IF($G1865="",0,$G1865)-IF($H1865="",0,$H1865))</f>
        <v/>
      </c>
      <c r="L1865">
        <f>IFERROR(MATCH($C$5&amp;"|"&amp;RIGHT("000000"&amp;1849,6),LdgRankKeyA,0),"")</f>
        <v/>
      </c>
      <c r="M1865">
        <f>IFERROR(MATCH($C$5&amp;"|"&amp;RIGHT("000000"&amp;1849,6),LdgRankKeyB,0),"")</f>
        <v/>
      </c>
    </row>
    <row r="1866">
      <c r="A1866" s="23" t="n">
        <v>1850</v>
      </c>
      <c r="B1866" s="24">
        <f>IF(AND($L1866="",$M1866=""),"",IF($L1866&lt;&gt;"",INDEX(SCNormDate,$L1866),INDEX(LdgDateB,$M1866)))</f>
        <v/>
      </c>
      <c r="C1866" s="24">
        <f>IF($L1866&lt;&gt;"",INDEX(SCOp,$L1866),IF($M1866&lt;&gt;"","پرداخت بانکی",""))</f>
        <v/>
      </c>
      <c r="D1866" s="24">
        <f>IF($L1866&lt;&gt;"",IF(INDEX(SCDoc,$L1866)="","—",INDEX(SCDoc,$L1866)),IF($M1866&lt;&gt;"",INDEX(LdgBankB,$M1866),""))</f>
        <v/>
      </c>
      <c r="E1866" s="25">
        <f>IF($L1866&lt;&gt;"",IF(INDEX(SCCitrus,$L1866)&amp;INDEX(SCNotes,$L1866)="","",IF(INDEX(SCCitrus,$L1866)="","",INDEX(SCCitrus,$L1866))&amp;IF(INDEX(SCNotes,$L1866)="",""," — "&amp;INDEX(SCNotes,$L1866))),IF($M1866&lt;&gt;"",IF(INDEX(LdgNoteB,$M1866)="","—",INDEX(LdgNoteB,$M1866)),""))</f>
        <v/>
      </c>
      <c r="F1866" s="26">
        <f>IF($L1866&lt;&gt;"",IF(INDEX(SCNet,$L1866)=0,"",INDEX(SCNet,$L1866)),"")</f>
        <v/>
      </c>
      <c r="G1866" s="27">
        <f>IF($L1866&lt;&gt;"",IF(INDEX(SCOp,$L1866)="مرجوعی فروش","",IF(INDEX(SCAmount,$L1866)&lt;=0,"",INDEX(SCAmount,$L1866))),IF($M1866&lt;&gt;"",IF(INDEX(LdgWitB,$M1866)=0,"",INDEX(LdgWitB,$M1866)),""))</f>
        <v/>
      </c>
      <c r="H1866" s="27">
        <f>IF($L1866&lt;&gt;"",IF(INDEX(SCOp,$L1866)="مرجوعی فروش",IF(INDEX(SCAmount,$L1866)=0,"",-INDEX(SCAmount,$L1866)),""),IF($M1866&lt;&gt;"",IF(INDEX(LdgDepB,$M1866)=0,"",INDEX(LdgDepB,$M1866)),""))</f>
        <v/>
      </c>
      <c r="I1866" s="28">
        <f>IF($B1866="","",IF($I1865="",$C$10,$I1865)+IF($G1866="",0,$G1866)-IF($H1866="",0,$H1866))</f>
        <v/>
      </c>
      <c r="L1866">
        <f>IFERROR(MATCH($C$5&amp;"|"&amp;RIGHT("000000"&amp;1850,6),LdgRankKeyA,0),"")</f>
        <v/>
      </c>
      <c r="M1866">
        <f>IFERROR(MATCH($C$5&amp;"|"&amp;RIGHT("000000"&amp;1850,6),LdgRankKeyB,0),"")</f>
        <v/>
      </c>
    </row>
    <row r="1867">
      <c r="A1867" s="17" t="n">
        <v>1851</v>
      </c>
      <c r="B1867" s="18">
        <f>IF(AND($L1867="",$M1867=""),"",IF($L1867&lt;&gt;"",INDEX(SCNormDate,$L1867),INDEX(LdgDateB,$M1867)))</f>
        <v/>
      </c>
      <c r="C1867" s="18">
        <f>IF($L1867&lt;&gt;"",INDEX(SCOp,$L1867),IF($M1867&lt;&gt;"","پرداخت بانکی",""))</f>
        <v/>
      </c>
      <c r="D1867" s="18">
        <f>IF($L1867&lt;&gt;"",IF(INDEX(SCDoc,$L1867)="","—",INDEX(SCDoc,$L1867)),IF($M1867&lt;&gt;"",INDEX(LdgBankB,$M1867),""))</f>
        <v/>
      </c>
      <c r="E1867" s="19">
        <f>IF($L1867&lt;&gt;"",IF(INDEX(SCCitrus,$L1867)&amp;INDEX(SCNotes,$L1867)="","",IF(INDEX(SCCitrus,$L1867)="","",INDEX(SCCitrus,$L1867))&amp;IF(INDEX(SCNotes,$L1867)="",""," — "&amp;INDEX(SCNotes,$L1867))),IF($M1867&lt;&gt;"",IF(INDEX(LdgNoteB,$M1867)="","—",INDEX(LdgNoteB,$M1867)),""))</f>
        <v/>
      </c>
      <c r="F1867" s="20">
        <f>IF($L1867&lt;&gt;"",IF(INDEX(SCNet,$L1867)=0,"",INDEX(SCNet,$L1867)),"")</f>
        <v/>
      </c>
      <c r="G1867" s="21">
        <f>IF($L1867&lt;&gt;"",IF(INDEX(SCOp,$L1867)="مرجوعی فروش","",IF(INDEX(SCAmount,$L1867)&lt;=0,"",INDEX(SCAmount,$L1867))),IF($M1867&lt;&gt;"",IF(INDEX(LdgWitB,$M1867)=0,"",INDEX(LdgWitB,$M1867)),""))</f>
        <v/>
      </c>
      <c r="H1867" s="21">
        <f>IF($L1867&lt;&gt;"",IF(INDEX(SCOp,$L1867)="مرجوعی فروش",IF(INDEX(SCAmount,$L1867)=0,"",-INDEX(SCAmount,$L1867)),""),IF($M1867&lt;&gt;"",IF(INDEX(LdgDepB,$M1867)=0,"",INDEX(LdgDepB,$M1867)),""))</f>
        <v/>
      </c>
      <c r="I1867" s="22">
        <f>IF($B1867="","",IF($I1866="",$C$10,$I1866)+IF($G1867="",0,$G1867)-IF($H1867="",0,$H1867))</f>
        <v/>
      </c>
      <c r="L1867">
        <f>IFERROR(MATCH($C$5&amp;"|"&amp;RIGHT("000000"&amp;1851,6),LdgRankKeyA,0),"")</f>
        <v/>
      </c>
      <c r="M1867">
        <f>IFERROR(MATCH($C$5&amp;"|"&amp;RIGHT("000000"&amp;1851,6),LdgRankKeyB,0),"")</f>
        <v/>
      </c>
    </row>
    <row r="1868">
      <c r="A1868" s="23" t="n">
        <v>1852</v>
      </c>
      <c r="B1868" s="24">
        <f>IF(AND($L1868="",$M1868=""),"",IF($L1868&lt;&gt;"",INDEX(SCNormDate,$L1868),INDEX(LdgDateB,$M1868)))</f>
        <v/>
      </c>
      <c r="C1868" s="24">
        <f>IF($L1868&lt;&gt;"",INDEX(SCOp,$L1868),IF($M1868&lt;&gt;"","پرداخت بانکی",""))</f>
        <v/>
      </c>
      <c r="D1868" s="24">
        <f>IF($L1868&lt;&gt;"",IF(INDEX(SCDoc,$L1868)="","—",INDEX(SCDoc,$L1868)),IF($M1868&lt;&gt;"",INDEX(LdgBankB,$M1868),""))</f>
        <v/>
      </c>
      <c r="E1868" s="25">
        <f>IF($L1868&lt;&gt;"",IF(INDEX(SCCitrus,$L1868)&amp;INDEX(SCNotes,$L1868)="","",IF(INDEX(SCCitrus,$L1868)="","",INDEX(SCCitrus,$L1868))&amp;IF(INDEX(SCNotes,$L1868)="",""," — "&amp;INDEX(SCNotes,$L1868))),IF($M1868&lt;&gt;"",IF(INDEX(LdgNoteB,$M1868)="","—",INDEX(LdgNoteB,$M1868)),""))</f>
        <v/>
      </c>
      <c r="F1868" s="26">
        <f>IF($L1868&lt;&gt;"",IF(INDEX(SCNet,$L1868)=0,"",INDEX(SCNet,$L1868)),"")</f>
        <v/>
      </c>
      <c r="G1868" s="27">
        <f>IF($L1868&lt;&gt;"",IF(INDEX(SCOp,$L1868)="مرجوعی فروش","",IF(INDEX(SCAmount,$L1868)&lt;=0,"",INDEX(SCAmount,$L1868))),IF($M1868&lt;&gt;"",IF(INDEX(LdgWitB,$M1868)=0,"",INDEX(LdgWitB,$M1868)),""))</f>
        <v/>
      </c>
      <c r="H1868" s="27">
        <f>IF($L1868&lt;&gt;"",IF(INDEX(SCOp,$L1868)="مرجوعی فروش",IF(INDEX(SCAmount,$L1868)=0,"",-INDEX(SCAmount,$L1868)),""),IF($M1868&lt;&gt;"",IF(INDEX(LdgDepB,$M1868)=0,"",INDEX(LdgDepB,$M1868)),""))</f>
        <v/>
      </c>
      <c r="I1868" s="28">
        <f>IF($B1868="","",IF($I1867="",$C$10,$I1867)+IF($G1868="",0,$G1868)-IF($H1868="",0,$H1868))</f>
        <v/>
      </c>
      <c r="L1868">
        <f>IFERROR(MATCH($C$5&amp;"|"&amp;RIGHT("000000"&amp;1852,6),LdgRankKeyA,0),"")</f>
        <v/>
      </c>
      <c r="M1868">
        <f>IFERROR(MATCH($C$5&amp;"|"&amp;RIGHT("000000"&amp;1852,6),LdgRankKeyB,0),"")</f>
        <v/>
      </c>
    </row>
    <row r="1869">
      <c r="A1869" s="17" t="n">
        <v>1853</v>
      </c>
      <c r="B1869" s="18">
        <f>IF(AND($L1869="",$M1869=""),"",IF($L1869&lt;&gt;"",INDEX(SCNormDate,$L1869),INDEX(LdgDateB,$M1869)))</f>
        <v/>
      </c>
      <c r="C1869" s="18">
        <f>IF($L1869&lt;&gt;"",INDEX(SCOp,$L1869),IF($M1869&lt;&gt;"","پرداخت بانکی",""))</f>
        <v/>
      </c>
      <c r="D1869" s="18">
        <f>IF($L1869&lt;&gt;"",IF(INDEX(SCDoc,$L1869)="","—",INDEX(SCDoc,$L1869)),IF($M1869&lt;&gt;"",INDEX(LdgBankB,$M1869),""))</f>
        <v/>
      </c>
      <c r="E1869" s="19">
        <f>IF($L1869&lt;&gt;"",IF(INDEX(SCCitrus,$L1869)&amp;INDEX(SCNotes,$L1869)="","",IF(INDEX(SCCitrus,$L1869)="","",INDEX(SCCitrus,$L1869))&amp;IF(INDEX(SCNotes,$L1869)="",""," — "&amp;INDEX(SCNotes,$L1869))),IF($M1869&lt;&gt;"",IF(INDEX(LdgNoteB,$M1869)="","—",INDEX(LdgNoteB,$M1869)),""))</f>
        <v/>
      </c>
      <c r="F1869" s="20">
        <f>IF($L1869&lt;&gt;"",IF(INDEX(SCNet,$L1869)=0,"",INDEX(SCNet,$L1869)),"")</f>
        <v/>
      </c>
      <c r="G1869" s="21">
        <f>IF($L1869&lt;&gt;"",IF(INDEX(SCOp,$L1869)="مرجوعی فروش","",IF(INDEX(SCAmount,$L1869)&lt;=0,"",INDEX(SCAmount,$L1869))),IF($M1869&lt;&gt;"",IF(INDEX(LdgWitB,$M1869)=0,"",INDEX(LdgWitB,$M1869)),""))</f>
        <v/>
      </c>
      <c r="H1869" s="21">
        <f>IF($L1869&lt;&gt;"",IF(INDEX(SCOp,$L1869)="مرجوعی فروش",IF(INDEX(SCAmount,$L1869)=0,"",-INDEX(SCAmount,$L1869)),""),IF($M1869&lt;&gt;"",IF(INDEX(LdgDepB,$M1869)=0,"",INDEX(LdgDepB,$M1869)),""))</f>
        <v/>
      </c>
      <c r="I1869" s="22">
        <f>IF($B1869="","",IF($I1868="",$C$10,$I1868)+IF($G1869="",0,$G1869)-IF($H1869="",0,$H1869))</f>
        <v/>
      </c>
      <c r="L1869">
        <f>IFERROR(MATCH($C$5&amp;"|"&amp;RIGHT("000000"&amp;1853,6),LdgRankKeyA,0),"")</f>
        <v/>
      </c>
      <c r="M1869">
        <f>IFERROR(MATCH($C$5&amp;"|"&amp;RIGHT("000000"&amp;1853,6),LdgRankKeyB,0),"")</f>
        <v/>
      </c>
    </row>
    <row r="1870">
      <c r="A1870" s="23" t="n">
        <v>1854</v>
      </c>
      <c r="B1870" s="24">
        <f>IF(AND($L1870="",$M1870=""),"",IF($L1870&lt;&gt;"",INDEX(SCNormDate,$L1870),INDEX(LdgDateB,$M1870)))</f>
        <v/>
      </c>
      <c r="C1870" s="24">
        <f>IF($L1870&lt;&gt;"",INDEX(SCOp,$L1870),IF($M1870&lt;&gt;"","پرداخت بانکی",""))</f>
        <v/>
      </c>
      <c r="D1870" s="24">
        <f>IF($L1870&lt;&gt;"",IF(INDEX(SCDoc,$L1870)="","—",INDEX(SCDoc,$L1870)),IF($M1870&lt;&gt;"",INDEX(LdgBankB,$M1870),""))</f>
        <v/>
      </c>
      <c r="E1870" s="25">
        <f>IF($L1870&lt;&gt;"",IF(INDEX(SCCitrus,$L1870)&amp;INDEX(SCNotes,$L1870)="","",IF(INDEX(SCCitrus,$L1870)="","",INDEX(SCCitrus,$L1870))&amp;IF(INDEX(SCNotes,$L1870)="",""," — "&amp;INDEX(SCNotes,$L1870))),IF($M1870&lt;&gt;"",IF(INDEX(LdgNoteB,$M1870)="","—",INDEX(LdgNoteB,$M1870)),""))</f>
        <v/>
      </c>
      <c r="F1870" s="26">
        <f>IF($L1870&lt;&gt;"",IF(INDEX(SCNet,$L1870)=0,"",INDEX(SCNet,$L1870)),"")</f>
        <v/>
      </c>
      <c r="G1870" s="27">
        <f>IF($L1870&lt;&gt;"",IF(INDEX(SCOp,$L1870)="مرجوعی فروش","",IF(INDEX(SCAmount,$L1870)&lt;=0,"",INDEX(SCAmount,$L1870))),IF($M1870&lt;&gt;"",IF(INDEX(LdgWitB,$M1870)=0,"",INDEX(LdgWitB,$M1870)),""))</f>
        <v/>
      </c>
      <c r="H1870" s="27">
        <f>IF($L1870&lt;&gt;"",IF(INDEX(SCOp,$L1870)="مرجوعی فروش",IF(INDEX(SCAmount,$L1870)=0,"",-INDEX(SCAmount,$L1870)),""),IF($M1870&lt;&gt;"",IF(INDEX(LdgDepB,$M1870)=0,"",INDEX(LdgDepB,$M1870)),""))</f>
        <v/>
      </c>
      <c r="I1870" s="28">
        <f>IF($B1870="","",IF($I1869="",$C$10,$I1869)+IF($G1870="",0,$G1870)-IF($H1870="",0,$H1870))</f>
        <v/>
      </c>
      <c r="L1870">
        <f>IFERROR(MATCH($C$5&amp;"|"&amp;RIGHT("000000"&amp;1854,6),LdgRankKeyA,0),"")</f>
        <v/>
      </c>
      <c r="M1870">
        <f>IFERROR(MATCH($C$5&amp;"|"&amp;RIGHT("000000"&amp;1854,6),LdgRankKeyB,0),"")</f>
        <v/>
      </c>
    </row>
    <row r="1871">
      <c r="A1871" s="17" t="n">
        <v>1855</v>
      </c>
      <c r="B1871" s="18">
        <f>IF(AND($L1871="",$M1871=""),"",IF($L1871&lt;&gt;"",INDEX(SCNormDate,$L1871),INDEX(LdgDateB,$M1871)))</f>
        <v/>
      </c>
      <c r="C1871" s="18">
        <f>IF($L1871&lt;&gt;"",INDEX(SCOp,$L1871),IF($M1871&lt;&gt;"","پرداخت بانکی",""))</f>
        <v/>
      </c>
      <c r="D1871" s="18">
        <f>IF($L1871&lt;&gt;"",IF(INDEX(SCDoc,$L1871)="","—",INDEX(SCDoc,$L1871)),IF($M1871&lt;&gt;"",INDEX(LdgBankB,$M1871),""))</f>
        <v/>
      </c>
      <c r="E1871" s="19">
        <f>IF($L1871&lt;&gt;"",IF(INDEX(SCCitrus,$L1871)&amp;INDEX(SCNotes,$L1871)="","",IF(INDEX(SCCitrus,$L1871)="","",INDEX(SCCitrus,$L1871))&amp;IF(INDEX(SCNotes,$L1871)="",""," — "&amp;INDEX(SCNotes,$L1871))),IF($M1871&lt;&gt;"",IF(INDEX(LdgNoteB,$M1871)="","—",INDEX(LdgNoteB,$M1871)),""))</f>
        <v/>
      </c>
      <c r="F1871" s="20">
        <f>IF($L1871&lt;&gt;"",IF(INDEX(SCNet,$L1871)=0,"",INDEX(SCNet,$L1871)),"")</f>
        <v/>
      </c>
      <c r="G1871" s="21">
        <f>IF($L1871&lt;&gt;"",IF(INDEX(SCOp,$L1871)="مرجوعی فروش","",IF(INDEX(SCAmount,$L1871)&lt;=0,"",INDEX(SCAmount,$L1871))),IF($M1871&lt;&gt;"",IF(INDEX(LdgWitB,$M1871)=0,"",INDEX(LdgWitB,$M1871)),""))</f>
        <v/>
      </c>
      <c r="H1871" s="21">
        <f>IF($L1871&lt;&gt;"",IF(INDEX(SCOp,$L1871)="مرجوعی فروش",IF(INDEX(SCAmount,$L1871)=0,"",-INDEX(SCAmount,$L1871)),""),IF($M1871&lt;&gt;"",IF(INDEX(LdgDepB,$M1871)=0,"",INDEX(LdgDepB,$M1871)),""))</f>
        <v/>
      </c>
      <c r="I1871" s="22">
        <f>IF($B1871="","",IF($I1870="",$C$10,$I1870)+IF($G1871="",0,$G1871)-IF($H1871="",0,$H1871))</f>
        <v/>
      </c>
      <c r="L1871">
        <f>IFERROR(MATCH($C$5&amp;"|"&amp;RIGHT("000000"&amp;1855,6),LdgRankKeyA,0),"")</f>
        <v/>
      </c>
      <c r="M1871">
        <f>IFERROR(MATCH($C$5&amp;"|"&amp;RIGHT("000000"&amp;1855,6),LdgRankKeyB,0),"")</f>
        <v/>
      </c>
    </row>
    <row r="1872">
      <c r="A1872" s="23" t="n">
        <v>1856</v>
      </c>
      <c r="B1872" s="24">
        <f>IF(AND($L1872="",$M1872=""),"",IF($L1872&lt;&gt;"",INDEX(SCNormDate,$L1872),INDEX(LdgDateB,$M1872)))</f>
        <v/>
      </c>
      <c r="C1872" s="24">
        <f>IF($L1872&lt;&gt;"",INDEX(SCOp,$L1872),IF($M1872&lt;&gt;"","پرداخت بانکی",""))</f>
        <v/>
      </c>
      <c r="D1872" s="24">
        <f>IF($L1872&lt;&gt;"",IF(INDEX(SCDoc,$L1872)="","—",INDEX(SCDoc,$L1872)),IF($M1872&lt;&gt;"",INDEX(LdgBankB,$M1872),""))</f>
        <v/>
      </c>
      <c r="E1872" s="25">
        <f>IF($L1872&lt;&gt;"",IF(INDEX(SCCitrus,$L1872)&amp;INDEX(SCNotes,$L1872)="","",IF(INDEX(SCCitrus,$L1872)="","",INDEX(SCCitrus,$L1872))&amp;IF(INDEX(SCNotes,$L1872)="",""," — "&amp;INDEX(SCNotes,$L1872))),IF($M1872&lt;&gt;"",IF(INDEX(LdgNoteB,$M1872)="","—",INDEX(LdgNoteB,$M1872)),""))</f>
        <v/>
      </c>
      <c r="F1872" s="26">
        <f>IF($L1872&lt;&gt;"",IF(INDEX(SCNet,$L1872)=0,"",INDEX(SCNet,$L1872)),"")</f>
        <v/>
      </c>
      <c r="G1872" s="27">
        <f>IF($L1872&lt;&gt;"",IF(INDEX(SCOp,$L1872)="مرجوعی فروش","",IF(INDEX(SCAmount,$L1872)&lt;=0,"",INDEX(SCAmount,$L1872))),IF($M1872&lt;&gt;"",IF(INDEX(LdgWitB,$M1872)=0,"",INDEX(LdgWitB,$M1872)),""))</f>
        <v/>
      </c>
      <c r="H1872" s="27">
        <f>IF($L1872&lt;&gt;"",IF(INDEX(SCOp,$L1872)="مرجوعی فروش",IF(INDEX(SCAmount,$L1872)=0,"",-INDEX(SCAmount,$L1872)),""),IF($M1872&lt;&gt;"",IF(INDEX(LdgDepB,$M1872)=0,"",INDEX(LdgDepB,$M1872)),""))</f>
        <v/>
      </c>
      <c r="I1872" s="28">
        <f>IF($B1872="","",IF($I1871="",$C$10,$I1871)+IF($G1872="",0,$G1872)-IF($H1872="",0,$H1872))</f>
        <v/>
      </c>
      <c r="L1872">
        <f>IFERROR(MATCH($C$5&amp;"|"&amp;RIGHT("000000"&amp;1856,6),LdgRankKeyA,0),"")</f>
        <v/>
      </c>
      <c r="M1872">
        <f>IFERROR(MATCH($C$5&amp;"|"&amp;RIGHT("000000"&amp;1856,6),LdgRankKeyB,0),"")</f>
        <v/>
      </c>
    </row>
    <row r="1873">
      <c r="A1873" s="17" t="n">
        <v>1857</v>
      </c>
      <c r="B1873" s="18">
        <f>IF(AND($L1873="",$M1873=""),"",IF($L1873&lt;&gt;"",INDEX(SCNormDate,$L1873),INDEX(LdgDateB,$M1873)))</f>
        <v/>
      </c>
      <c r="C1873" s="18">
        <f>IF($L1873&lt;&gt;"",INDEX(SCOp,$L1873),IF($M1873&lt;&gt;"","پرداخت بانکی",""))</f>
        <v/>
      </c>
      <c r="D1873" s="18">
        <f>IF($L1873&lt;&gt;"",IF(INDEX(SCDoc,$L1873)="","—",INDEX(SCDoc,$L1873)),IF($M1873&lt;&gt;"",INDEX(LdgBankB,$M1873),""))</f>
        <v/>
      </c>
      <c r="E1873" s="19">
        <f>IF($L1873&lt;&gt;"",IF(INDEX(SCCitrus,$L1873)&amp;INDEX(SCNotes,$L1873)="","",IF(INDEX(SCCitrus,$L1873)="","",INDEX(SCCitrus,$L1873))&amp;IF(INDEX(SCNotes,$L1873)="",""," — "&amp;INDEX(SCNotes,$L1873))),IF($M1873&lt;&gt;"",IF(INDEX(LdgNoteB,$M1873)="","—",INDEX(LdgNoteB,$M1873)),""))</f>
        <v/>
      </c>
      <c r="F1873" s="20">
        <f>IF($L1873&lt;&gt;"",IF(INDEX(SCNet,$L1873)=0,"",INDEX(SCNet,$L1873)),"")</f>
        <v/>
      </c>
      <c r="G1873" s="21">
        <f>IF($L1873&lt;&gt;"",IF(INDEX(SCOp,$L1873)="مرجوعی فروش","",IF(INDEX(SCAmount,$L1873)&lt;=0,"",INDEX(SCAmount,$L1873))),IF($M1873&lt;&gt;"",IF(INDEX(LdgWitB,$M1873)=0,"",INDEX(LdgWitB,$M1873)),""))</f>
        <v/>
      </c>
      <c r="H1873" s="21">
        <f>IF($L1873&lt;&gt;"",IF(INDEX(SCOp,$L1873)="مرجوعی فروش",IF(INDEX(SCAmount,$L1873)=0,"",-INDEX(SCAmount,$L1873)),""),IF($M1873&lt;&gt;"",IF(INDEX(LdgDepB,$M1873)=0,"",INDEX(LdgDepB,$M1873)),""))</f>
        <v/>
      </c>
      <c r="I1873" s="22">
        <f>IF($B1873="","",IF($I1872="",$C$10,$I1872)+IF($G1873="",0,$G1873)-IF($H1873="",0,$H1873))</f>
        <v/>
      </c>
      <c r="L1873">
        <f>IFERROR(MATCH($C$5&amp;"|"&amp;RIGHT("000000"&amp;1857,6),LdgRankKeyA,0),"")</f>
        <v/>
      </c>
      <c r="M1873">
        <f>IFERROR(MATCH($C$5&amp;"|"&amp;RIGHT("000000"&amp;1857,6),LdgRankKeyB,0),"")</f>
        <v/>
      </c>
    </row>
    <row r="1874">
      <c r="A1874" s="23" t="n">
        <v>1858</v>
      </c>
      <c r="B1874" s="24">
        <f>IF(AND($L1874="",$M1874=""),"",IF($L1874&lt;&gt;"",INDEX(SCNormDate,$L1874),INDEX(LdgDateB,$M1874)))</f>
        <v/>
      </c>
      <c r="C1874" s="24">
        <f>IF($L1874&lt;&gt;"",INDEX(SCOp,$L1874),IF($M1874&lt;&gt;"","پرداخت بانکی",""))</f>
        <v/>
      </c>
      <c r="D1874" s="24">
        <f>IF($L1874&lt;&gt;"",IF(INDEX(SCDoc,$L1874)="","—",INDEX(SCDoc,$L1874)),IF($M1874&lt;&gt;"",INDEX(LdgBankB,$M1874),""))</f>
        <v/>
      </c>
      <c r="E1874" s="25">
        <f>IF($L1874&lt;&gt;"",IF(INDEX(SCCitrus,$L1874)&amp;INDEX(SCNotes,$L1874)="","",IF(INDEX(SCCitrus,$L1874)="","",INDEX(SCCitrus,$L1874))&amp;IF(INDEX(SCNotes,$L1874)="",""," — "&amp;INDEX(SCNotes,$L1874))),IF($M1874&lt;&gt;"",IF(INDEX(LdgNoteB,$M1874)="","—",INDEX(LdgNoteB,$M1874)),""))</f>
        <v/>
      </c>
      <c r="F1874" s="26">
        <f>IF($L1874&lt;&gt;"",IF(INDEX(SCNet,$L1874)=0,"",INDEX(SCNet,$L1874)),"")</f>
        <v/>
      </c>
      <c r="G1874" s="27">
        <f>IF($L1874&lt;&gt;"",IF(INDEX(SCOp,$L1874)="مرجوعی فروش","",IF(INDEX(SCAmount,$L1874)&lt;=0,"",INDEX(SCAmount,$L1874))),IF($M1874&lt;&gt;"",IF(INDEX(LdgWitB,$M1874)=0,"",INDEX(LdgWitB,$M1874)),""))</f>
        <v/>
      </c>
      <c r="H1874" s="27">
        <f>IF($L1874&lt;&gt;"",IF(INDEX(SCOp,$L1874)="مرجوعی فروش",IF(INDEX(SCAmount,$L1874)=0,"",-INDEX(SCAmount,$L1874)),""),IF($M1874&lt;&gt;"",IF(INDEX(LdgDepB,$M1874)=0,"",INDEX(LdgDepB,$M1874)),""))</f>
        <v/>
      </c>
      <c r="I1874" s="28">
        <f>IF($B1874="","",IF($I1873="",$C$10,$I1873)+IF($G1874="",0,$G1874)-IF($H1874="",0,$H1874))</f>
        <v/>
      </c>
      <c r="L1874">
        <f>IFERROR(MATCH($C$5&amp;"|"&amp;RIGHT("000000"&amp;1858,6),LdgRankKeyA,0),"")</f>
        <v/>
      </c>
      <c r="M1874">
        <f>IFERROR(MATCH($C$5&amp;"|"&amp;RIGHT("000000"&amp;1858,6),LdgRankKeyB,0),"")</f>
        <v/>
      </c>
    </row>
    <row r="1875">
      <c r="A1875" s="17" t="n">
        <v>1859</v>
      </c>
      <c r="B1875" s="18">
        <f>IF(AND($L1875="",$M1875=""),"",IF($L1875&lt;&gt;"",INDEX(SCNormDate,$L1875),INDEX(LdgDateB,$M1875)))</f>
        <v/>
      </c>
      <c r="C1875" s="18">
        <f>IF($L1875&lt;&gt;"",INDEX(SCOp,$L1875),IF($M1875&lt;&gt;"","پرداخت بانکی",""))</f>
        <v/>
      </c>
      <c r="D1875" s="18">
        <f>IF($L1875&lt;&gt;"",IF(INDEX(SCDoc,$L1875)="","—",INDEX(SCDoc,$L1875)),IF($M1875&lt;&gt;"",INDEX(LdgBankB,$M1875),""))</f>
        <v/>
      </c>
      <c r="E1875" s="19">
        <f>IF($L1875&lt;&gt;"",IF(INDEX(SCCitrus,$L1875)&amp;INDEX(SCNotes,$L1875)="","",IF(INDEX(SCCitrus,$L1875)="","",INDEX(SCCitrus,$L1875))&amp;IF(INDEX(SCNotes,$L1875)="",""," — "&amp;INDEX(SCNotes,$L1875))),IF($M1875&lt;&gt;"",IF(INDEX(LdgNoteB,$M1875)="","—",INDEX(LdgNoteB,$M1875)),""))</f>
        <v/>
      </c>
      <c r="F1875" s="20">
        <f>IF($L1875&lt;&gt;"",IF(INDEX(SCNet,$L1875)=0,"",INDEX(SCNet,$L1875)),"")</f>
        <v/>
      </c>
      <c r="G1875" s="21">
        <f>IF($L1875&lt;&gt;"",IF(INDEX(SCOp,$L1875)="مرجوعی فروش","",IF(INDEX(SCAmount,$L1875)&lt;=0,"",INDEX(SCAmount,$L1875))),IF($M1875&lt;&gt;"",IF(INDEX(LdgWitB,$M1875)=0,"",INDEX(LdgWitB,$M1875)),""))</f>
        <v/>
      </c>
      <c r="H1875" s="21">
        <f>IF($L1875&lt;&gt;"",IF(INDEX(SCOp,$L1875)="مرجوعی فروش",IF(INDEX(SCAmount,$L1875)=0,"",-INDEX(SCAmount,$L1875)),""),IF($M1875&lt;&gt;"",IF(INDEX(LdgDepB,$M1875)=0,"",INDEX(LdgDepB,$M1875)),""))</f>
        <v/>
      </c>
      <c r="I1875" s="22">
        <f>IF($B1875="","",IF($I1874="",$C$10,$I1874)+IF($G1875="",0,$G1875)-IF($H1875="",0,$H1875))</f>
        <v/>
      </c>
      <c r="L1875">
        <f>IFERROR(MATCH($C$5&amp;"|"&amp;RIGHT("000000"&amp;1859,6),LdgRankKeyA,0),"")</f>
        <v/>
      </c>
      <c r="M1875">
        <f>IFERROR(MATCH($C$5&amp;"|"&amp;RIGHT("000000"&amp;1859,6),LdgRankKeyB,0),"")</f>
        <v/>
      </c>
    </row>
    <row r="1876">
      <c r="A1876" s="23" t="n">
        <v>1860</v>
      </c>
      <c r="B1876" s="24">
        <f>IF(AND($L1876="",$M1876=""),"",IF($L1876&lt;&gt;"",INDEX(SCNormDate,$L1876),INDEX(LdgDateB,$M1876)))</f>
        <v/>
      </c>
      <c r="C1876" s="24">
        <f>IF($L1876&lt;&gt;"",INDEX(SCOp,$L1876),IF($M1876&lt;&gt;"","پرداخت بانکی",""))</f>
        <v/>
      </c>
      <c r="D1876" s="24">
        <f>IF($L1876&lt;&gt;"",IF(INDEX(SCDoc,$L1876)="","—",INDEX(SCDoc,$L1876)),IF($M1876&lt;&gt;"",INDEX(LdgBankB,$M1876),""))</f>
        <v/>
      </c>
      <c r="E1876" s="25">
        <f>IF($L1876&lt;&gt;"",IF(INDEX(SCCitrus,$L1876)&amp;INDEX(SCNotes,$L1876)="","",IF(INDEX(SCCitrus,$L1876)="","",INDEX(SCCitrus,$L1876))&amp;IF(INDEX(SCNotes,$L1876)="",""," — "&amp;INDEX(SCNotes,$L1876))),IF($M1876&lt;&gt;"",IF(INDEX(LdgNoteB,$M1876)="","—",INDEX(LdgNoteB,$M1876)),""))</f>
        <v/>
      </c>
      <c r="F1876" s="26">
        <f>IF($L1876&lt;&gt;"",IF(INDEX(SCNet,$L1876)=0,"",INDEX(SCNet,$L1876)),"")</f>
        <v/>
      </c>
      <c r="G1876" s="27">
        <f>IF($L1876&lt;&gt;"",IF(INDEX(SCOp,$L1876)="مرجوعی فروش","",IF(INDEX(SCAmount,$L1876)&lt;=0,"",INDEX(SCAmount,$L1876))),IF($M1876&lt;&gt;"",IF(INDEX(LdgWitB,$M1876)=0,"",INDEX(LdgWitB,$M1876)),""))</f>
        <v/>
      </c>
      <c r="H1876" s="27">
        <f>IF($L1876&lt;&gt;"",IF(INDEX(SCOp,$L1876)="مرجوعی فروش",IF(INDEX(SCAmount,$L1876)=0,"",-INDEX(SCAmount,$L1876)),""),IF($M1876&lt;&gt;"",IF(INDEX(LdgDepB,$M1876)=0,"",INDEX(LdgDepB,$M1876)),""))</f>
        <v/>
      </c>
      <c r="I1876" s="28">
        <f>IF($B1876="","",IF($I1875="",$C$10,$I1875)+IF($G1876="",0,$G1876)-IF($H1876="",0,$H1876))</f>
        <v/>
      </c>
      <c r="L1876">
        <f>IFERROR(MATCH($C$5&amp;"|"&amp;RIGHT("000000"&amp;1860,6),LdgRankKeyA,0),"")</f>
        <v/>
      </c>
      <c r="M1876">
        <f>IFERROR(MATCH($C$5&amp;"|"&amp;RIGHT("000000"&amp;1860,6),LdgRankKeyB,0),"")</f>
        <v/>
      </c>
    </row>
    <row r="1877">
      <c r="A1877" s="17" t="n">
        <v>1861</v>
      </c>
      <c r="B1877" s="18">
        <f>IF(AND($L1877="",$M1877=""),"",IF($L1877&lt;&gt;"",INDEX(SCNormDate,$L1877),INDEX(LdgDateB,$M1877)))</f>
        <v/>
      </c>
      <c r="C1877" s="18">
        <f>IF($L1877&lt;&gt;"",INDEX(SCOp,$L1877),IF($M1877&lt;&gt;"","پرداخت بانکی",""))</f>
        <v/>
      </c>
      <c r="D1877" s="18">
        <f>IF($L1877&lt;&gt;"",IF(INDEX(SCDoc,$L1877)="","—",INDEX(SCDoc,$L1877)),IF($M1877&lt;&gt;"",INDEX(LdgBankB,$M1877),""))</f>
        <v/>
      </c>
      <c r="E1877" s="19">
        <f>IF($L1877&lt;&gt;"",IF(INDEX(SCCitrus,$L1877)&amp;INDEX(SCNotes,$L1877)="","",IF(INDEX(SCCitrus,$L1877)="","",INDEX(SCCitrus,$L1877))&amp;IF(INDEX(SCNotes,$L1877)="",""," — "&amp;INDEX(SCNotes,$L1877))),IF($M1877&lt;&gt;"",IF(INDEX(LdgNoteB,$M1877)="","—",INDEX(LdgNoteB,$M1877)),""))</f>
        <v/>
      </c>
      <c r="F1877" s="20">
        <f>IF($L1877&lt;&gt;"",IF(INDEX(SCNet,$L1877)=0,"",INDEX(SCNet,$L1877)),"")</f>
        <v/>
      </c>
      <c r="G1877" s="21">
        <f>IF($L1877&lt;&gt;"",IF(INDEX(SCOp,$L1877)="مرجوعی فروش","",IF(INDEX(SCAmount,$L1877)&lt;=0,"",INDEX(SCAmount,$L1877))),IF($M1877&lt;&gt;"",IF(INDEX(LdgWitB,$M1877)=0,"",INDEX(LdgWitB,$M1877)),""))</f>
        <v/>
      </c>
      <c r="H1877" s="21">
        <f>IF($L1877&lt;&gt;"",IF(INDEX(SCOp,$L1877)="مرجوعی فروش",IF(INDEX(SCAmount,$L1877)=0,"",-INDEX(SCAmount,$L1877)),""),IF($M1877&lt;&gt;"",IF(INDEX(LdgDepB,$M1877)=0,"",INDEX(LdgDepB,$M1877)),""))</f>
        <v/>
      </c>
      <c r="I1877" s="22">
        <f>IF($B1877="","",IF($I1876="",$C$10,$I1876)+IF($G1877="",0,$G1877)-IF($H1877="",0,$H1877))</f>
        <v/>
      </c>
      <c r="L1877">
        <f>IFERROR(MATCH($C$5&amp;"|"&amp;RIGHT("000000"&amp;1861,6),LdgRankKeyA,0),"")</f>
        <v/>
      </c>
      <c r="M1877">
        <f>IFERROR(MATCH($C$5&amp;"|"&amp;RIGHT("000000"&amp;1861,6),LdgRankKeyB,0),"")</f>
        <v/>
      </c>
    </row>
    <row r="1878">
      <c r="A1878" s="23" t="n">
        <v>1862</v>
      </c>
      <c r="B1878" s="24">
        <f>IF(AND($L1878="",$M1878=""),"",IF($L1878&lt;&gt;"",INDEX(SCNormDate,$L1878),INDEX(LdgDateB,$M1878)))</f>
        <v/>
      </c>
      <c r="C1878" s="24">
        <f>IF($L1878&lt;&gt;"",INDEX(SCOp,$L1878),IF($M1878&lt;&gt;"","پرداخت بانکی",""))</f>
        <v/>
      </c>
      <c r="D1878" s="24">
        <f>IF($L1878&lt;&gt;"",IF(INDEX(SCDoc,$L1878)="","—",INDEX(SCDoc,$L1878)),IF($M1878&lt;&gt;"",INDEX(LdgBankB,$M1878),""))</f>
        <v/>
      </c>
      <c r="E1878" s="25">
        <f>IF($L1878&lt;&gt;"",IF(INDEX(SCCitrus,$L1878)&amp;INDEX(SCNotes,$L1878)="","",IF(INDEX(SCCitrus,$L1878)="","",INDEX(SCCitrus,$L1878))&amp;IF(INDEX(SCNotes,$L1878)="",""," — "&amp;INDEX(SCNotes,$L1878))),IF($M1878&lt;&gt;"",IF(INDEX(LdgNoteB,$M1878)="","—",INDEX(LdgNoteB,$M1878)),""))</f>
        <v/>
      </c>
      <c r="F1878" s="26">
        <f>IF($L1878&lt;&gt;"",IF(INDEX(SCNet,$L1878)=0,"",INDEX(SCNet,$L1878)),"")</f>
        <v/>
      </c>
      <c r="G1878" s="27">
        <f>IF($L1878&lt;&gt;"",IF(INDEX(SCOp,$L1878)="مرجوعی فروش","",IF(INDEX(SCAmount,$L1878)&lt;=0,"",INDEX(SCAmount,$L1878))),IF($M1878&lt;&gt;"",IF(INDEX(LdgWitB,$M1878)=0,"",INDEX(LdgWitB,$M1878)),""))</f>
        <v/>
      </c>
      <c r="H1878" s="27">
        <f>IF($L1878&lt;&gt;"",IF(INDEX(SCOp,$L1878)="مرجوعی فروش",IF(INDEX(SCAmount,$L1878)=0,"",-INDEX(SCAmount,$L1878)),""),IF($M1878&lt;&gt;"",IF(INDEX(LdgDepB,$M1878)=0,"",INDEX(LdgDepB,$M1878)),""))</f>
        <v/>
      </c>
      <c r="I1878" s="28">
        <f>IF($B1878="","",IF($I1877="",$C$10,$I1877)+IF($G1878="",0,$G1878)-IF($H1878="",0,$H1878))</f>
        <v/>
      </c>
      <c r="L1878">
        <f>IFERROR(MATCH($C$5&amp;"|"&amp;RIGHT("000000"&amp;1862,6),LdgRankKeyA,0),"")</f>
        <v/>
      </c>
      <c r="M1878">
        <f>IFERROR(MATCH($C$5&amp;"|"&amp;RIGHT("000000"&amp;1862,6),LdgRankKeyB,0),"")</f>
        <v/>
      </c>
    </row>
    <row r="1879">
      <c r="A1879" s="17" t="n">
        <v>1863</v>
      </c>
      <c r="B1879" s="18">
        <f>IF(AND($L1879="",$M1879=""),"",IF($L1879&lt;&gt;"",INDEX(SCNormDate,$L1879),INDEX(LdgDateB,$M1879)))</f>
        <v/>
      </c>
      <c r="C1879" s="18">
        <f>IF($L1879&lt;&gt;"",INDEX(SCOp,$L1879),IF($M1879&lt;&gt;"","پرداخت بانکی",""))</f>
        <v/>
      </c>
      <c r="D1879" s="18">
        <f>IF($L1879&lt;&gt;"",IF(INDEX(SCDoc,$L1879)="","—",INDEX(SCDoc,$L1879)),IF($M1879&lt;&gt;"",INDEX(LdgBankB,$M1879),""))</f>
        <v/>
      </c>
      <c r="E1879" s="19">
        <f>IF($L1879&lt;&gt;"",IF(INDEX(SCCitrus,$L1879)&amp;INDEX(SCNotes,$L1879)="","",IF(INDEX(SCCitrus,$L1879)="","",INDEX(SCCitrus,$L1879))&amp;IF(INDEX(SCNotes,$L1879)="",""," — "&amp;INDEX(SCNotes,$L1879))),IF($M1879&lt;&gt;"",IF(INDEX(LdgNoteB,$M1879)="","—",INDEX(LdgNoteB,$M1879)),""))</f>
        <v/>
      </c>
      <c r="F1879" s="20">
        <f>IF($L1879&lt;&gt;"",IF(INDEX(SCNet,$L1879)=0,"",INDEX(SCNet,$L1879)),"")</f>
        <v/>
      </c>
      <c r="G1879" s="21">
        <f>IF($L1879&lt;&gt;"",IF(INDEX(SCOp,$L1879)="مرجوعی فروش","",IF(INDEX(SCAmount,$L1879)&lt;=0,"",INDEX(SCAmount,$L1879))),IF($M1879&lt;&gt;"",IF(INDEX(LdgWitB,$M1879)=0,"",INDEX(LdgWitB,$M1879)),""))</f>
        <v/>
      </c>
      <c r="H1879" s="21">
        <f>IF($L1879&lt;&gt;"",IF(INDEX(SCOp,$L1879)="مرجوعی فروش",IF(INDEX(SCAmount,$L1879)=0,"",-INDEX(SCAmount,$L1879)),""),IF($M1879&lt;&gt;"",IF(INDEX(LdgDepB,$M1879)=0,"",INDEX(LdgDepB,$M1879)),""))</f>
        <v/>
      </c>
      <c r="I1879" s="22">
        <f>IF($B1879="","",IF($I1878="",$C$10,$I1878)+IF($G1879="",0,$G1879)-IF($H1879="",0,$H1879))</f>
        <v/>
      </c>
      <c r="L1879">
        <f>IFERROR(MATCH($C$5&amp;"|"&amp;RIGHT("000000"&amp;1863,6),LdgRankKeyA,0),"")</f>
        <v/>
      </c>
      <c r="M1879">
        <f>IFERROR(MATCH($C$5&amp;"|"&amp;RIGHT("000000"&amp;1863,6),LdgRankKeyB,0),"")</f>
        <v/>
      </c>
    </row>
    <row r="1880">
      <c r="A1880" s="23" t="n">
        <v>1864</v>
      </c>
      <c r="B1880" s="24">
        <f>IF(AND($L1880="",$M1880=""),"",IF($L1880&lt;&gt;"",INDEX(SCNormDate,$L1880),INDEX(LdgDateB,$M1880)))</f>
        <v/>
      </c>
      <c r="C1880" s="24">
        <f>IF($L1880&lt;&gt;"",INDEX(SCOp,$L1880),IF($M1880&lt;&gt;"","پرداخت بانکی",""))</f>
        <v/>
      </c>
      <c r="D1880" s="24">
        <f>IF($L1880&lt;&gt;"",IF(INDEX(SCDoc,$L1880)="","—",INDEX(SCDoc,$L1880)),IF($M1880&lt;&gt;"",INDEX(LdgBankB,$M1880),""))</f>
        <v/>
      </c>
      <c r="E1880" s="25">
        <f>IF($L1880&lt;&gt;"",IF(INDEX(SCCitrus,$L1880)&amp;INDEX(SCNotes,$L1880)="","",IF(INDEX(SCCitrus,$L1880)="","",INDEX(SCCitrus,$L1880))&amp;IF(INDEX(SCNotes,$L1880)="",""," — "&amp;INDEX(SCNotes,$L1880))),IF($M1880&lt;&gt;"",IF(INDEX(LdgNoteB,$M1880)="","—",INDEX(LdgNoteB,$M1880)),""))</f>
        <v/>
      </c>
      <c r="F1880" s="26">
        <f>IF($L1880&lt;&gt;"",IF(INDEX(SCNet,$L1880)=0,"",INDEX(SCNet,$L1880)),"")</f>
        <v/>
      </c>
      <c r="G1880" s="27">
        <f>IF($L1880&lt;&gt;"",IF(INDEX(SCOp,$L1880)="مرجوعی فروش","",IF(INDEX(SCAmount,$L1880)&lt;=0,"",INDEX(SCAmount,$L1880))),IF($M1880&lt;&gt;"",IF(INDEX(LdgWitB,$M1880)=0,"",INDEX(LdgWitB,$M1880)),""))</f>
        <v/>
      </c>
      <c r="H1880" s="27">
        <f>IF($L1880&lt;&gt;"",IF(INDEX(SCOp,$L1880)="مرجوعی فروش",IF(INDEX(SCAmount,$L1880)=0,"",-INDEX(SCAmount,$L1880)),""),IF($M1880&lt;&gt;"",IF(INDEX(LdgDepB,$M1880)=0,"",INDEX(LdgDepB,$M1880)),""))</f>
        <v/>
      </c>
      <c r="I1880" s="28">
        <f>IF($B1880="","",IF($I1879="",$C$10,$I1879)+IF($G1880="",0,$G1880)-IF($H1880="",0,$H1880))</f>
        <v/>
      </c>
      <c r="L1880">
        <f>IFERROR(MATCH($C$5&amp;"|"&amp;RIGHT("000000"&amp;1864,6),LdgRankKeyA,0),"")</f>
        <v/>
      </c>
      <c r="M1880">
        <f>IFERROR(MATCH($C$5&amp;"|"&amp;RIGHT("000000"&amp;1864,6),LdgRankKeyB,0),"")</f>
        <v/>
      </c>
    </row>
    <row r="1881">
      <c r="A1881" s="17" t="n">
        <v>1865</v>
      </c>
      <c r="B1881" s="18">
        <f>IF(AND($L1881="",$M1881=""),"",IF($L1881&lt;&gt;"",INDEX(SCNormDate,$L1881),INDEX(LdgDateB,$M1881)))</f>
        <v/>
      </c>
      <c r="C1881" s="18">
        <f>IF($L1881&lt;&gt;"",INDEX(SCOp,$L1881),IF($M1881&lt;&gt;"","پرداخت بانکی",""))</f>
        <v/>
      </c>
      <c r="D1881" s="18">
        <f>IF($L1881&lt;&gt;"",IF(INDEX(SCDoc,$L1881)="","—",INDEX(SCDoc,$L1881)),IF($M1881&lt;&gt;"",INDEX(LdgBankB,$M1881),""))</f>
        <v/>
      </c>
      <c r="E1881" s="19">
        <f>IF($L1881&lt;&gt;"",IF(INDEX(SCCitrus,$L1881)&amp;INDEX(SCNotes,$L1881)="","",IF(INDEX(SCCitrus,$L1881)="","",INDEX(SCCitrus,$L1881))&amp;IF(INDEX(SCNotes,$L1881)="",""," — "&amp;INDEX(SCNotes,$L1881))),IF($M1881&lt;&gt;"",IF(INDEX(LdgNoteB,$M1881)="","—",INDEX(LdgNoteB,$M1881)),""))</f>
        <v/>
      </c>
      <c r="F1881" s="20">
        <f>IF($L1881&lt;&gt;"",IF(INDEX(SCNet,$L1881)=0,"",INDEX(SCNet,$L1881)),"")</f>
        <v/>
      </c>
      <c r="G1881" s="21">
        <f>IF($L1881&lt;&gt;"",IF(INDEX(SCOp,$L1881)="مرجوعی فروش","",IF(INDEX(SCAmount,$L1881)&lt;=0,"",INDEX(SCAmount,$L1881))),IF($M1881&lt;&gt;"",IF(INDEX(LdgWitB,$M1881)=0,"",INDEX(LdgWitB,$M1881)),""))</f>
        <v/>
      </c>
      <c r="H1881" s="21">
        <f>IF($L1881&lt;&gt;"",IF(INDEX(SCOp,$L1881)="مرجوعی فروش",IF(INDEX(SCAmount,$L1881)=0,"",-INDEX(SCAmount,$L1881)),""),IF($M1881&lt;&gt;"",IF(INDEX(LdgDepB,$M1881)=0,"",INDEX(LdgDepB,$M1881)),""))</f>
        <v/>
      </c>
      <c r="I1881" s="22">
        <f>IF($B1881="","",IF($I1880="",$C$10,$I1880)+IF($G1881="",0,$G1881)-IF($H1881="",0,$H1881))</f>
        <v/>
      </c>
      <c r="L1881">
        <f>IFERROR(MATCH($C$5&amp;"|"&amp;RIGHT("000000"&amp;1865,6),LdgRankKeyA,0),"")</f>
        <v/>
      </c>
      <c r="M1881">
        <f>IFERROR(MATCH($C$5&amp;"|"&amp;RIGHT("000000"&amp;1865,6),LdgRankKeyB,0),"")</f>
        <v/>
      </c>
    </row>
    <row r="1882">
      <c r="A1882" s="23" t="n">
        <v>1866</v>
      </c>
      <c r="B1882" s="24">
        <f>IF(AND($L1882="",$M1882=""),"",IF($L1882&lt;&gt;"",INDEX(SCNormDate,$L1882),INDEX(LdgDateB,$M1882)))</f>
        <v/>
      </c>
      <c r="C1882" s="24">
        <f>IF($L1882&lt;&gt;"",INDEX(SCOp,$L1882),IF($M1882&lt;&gt;"","پرداخت بانکی",""))</f>
        <v/>
      </c>
      <c r="D1882" s="24">
        <f>IF($L1882&lt;&gt;"",IF(INDEX(SCDoc,$L1882)="","—",INDEX(SCDoc,$L1882)),IF($M1882&lt;&gt;"",INDEX(LdgBankB,$M1882),""))</f>
        <v/>
      </c>
      <c r="E1882" s="25">
        <f>IF($L1882&lt;&gt;"",IF(INDEX(SCCitrus,$L1882)&amp;INDEX(SCNotes,$L1882)="","",IF(INDEX(SCCitrus,$L1882)="","",INDEX(SCCitrus,$L1882))&amp;IF(INDEX(SCNotes,$L1882)="",""," — "&amp;INDEX(SCNotes,$L1882))),IF($M1882&lt;&gt;"",IF(INDEX(LdgNoteB,$M1882)="","—",INDEX(LdgNoteB,$M1882)),""))</f>
        <v/>
      </c>
      <c r="F1882" s="26">
        <f>IF($L1882&lt;&gt;"",IF(INDEX(SCNet,$L1882)=0,"",INDEX(SCNet,$L1882)),"")</f>
        <v/>
      </c>
      <c r="G1882" s="27">
        <f>IF($L1882&lt;&gt;"",IF(INDEX(SCOp,$L1882)="مرجوعی فروش","",IF(INDEX(SCAmount,$L1882)&lt;=0,"",INDEX(SCAmount,$L1882))),IF($M1882&lt;&gt;"",IF(INDEX(LdgWitB,$M1882)=0,"",INDEX(LdgWitB,$M1882)),""))</f>
        <v/>
      </c>
      <c r="H1882" s="27">
        <f>IF($L1882&lt;&gt;"",IF(INDEX(SCOp,$L1882)="مرجوعی فروش",IF(INDEX(SCAmount,$L1882)=0,"",-INDEX(SCAmount,$L1882)),""),IF($M1882&lt;&gt;"",IF(INDEX(LdgDepB,$M1882)=0,"",INDEX(LdgDepB,$M1882)),""))</f>
        <v/>
      </c>
      <c r="I1882" s="28">
        <f>IF($B1882="","",IF($I1881="",$C$10,$I1881)+IF($G1882="",0,$G1882)-IF($H1882="",0,$H1882))</f>
        <v/>
      </c>
      <c r="L1882">
        <f>IFERROR(MATCH($C$5&amp;"|"&amp;RIGHT("000000"&amp;1866,6),LdgRankKeyA,0),"")</f>
        <v/>
      </c>
      <c r="M1882">
        <f>IFERROR(MATCH($C$5&amp;"|"&amp;RIGHT("000000"&amp;1866,6),LdgRankKeyB,0),"")</f>
        <v/>
      </c>
    </row>
    <row r="1883">
      <c r="A1883" s="17" t="n">
        <v>1867</v>
      </c>
      <c r="B1883" s="18">
        <f>IF(AND($L1883="",$M1883=""),"",IF($L1883&lt;&gt;"",INDEX(SCNormDate,$L1883),INDEX(LdgDateB,$M1883)))</f>
        <v/>
      </c>
      <c r="C1883" s="18">
        <f>IF($L1883&lt;&gt;"",INDEX(SCOp,$L1883),IF($M1883&lt;&gt;"","پرداخت بانکی",""))</f>
        <v/>
      </c>
      <c r="D1883" s="18">
        <f>IF($L1883&lt;&gt;"",IF(INDEX(SCDoc,$L1883)="","—",INDEX(SCDoc,$L1883)),IF($M1883&lt;&gt;"",INDEX(LdgBankB,$M1883),""))</f>
        <v/>
      </c>
      <c r="E1883" s="19">
        <f>IF($L1883&lt;&gt;"",IF(INDEX(SCCitrus,$L1883)&amp;INDEX(SCNotes,$L1883)="","",IF(INDEX(SCCitrus,$L1883)="","",INDEX(SCCitrus,$L1883))&amp;IF(INDEX(SCNotes,$L1883)="",""," — "&amp;INDEX(SCNotes,$L1883))),IF($M1883&lt;&gt;"",IF(INDEX(LdgNoteB,$M1883)="","—",INDEX(LdgNoteB,$M1883)),""))</f>
        <v/>
      </c>
      <c r="F1883" s="20">
        <f>IF($L1883&lt;&gt;"",IF(INDEX(SCNet,$L1883)=0,"",INDEX(SCNet,$L1883)),"")</f>
        <v/>
      </c>
      <c r="G1883" s="21">
        <f>IF($L1883&lt;&gt;"",IF(INDEX(SCOp,$L1883)="مرجوعی فروش","",IF(INDEX(SCAmount,$L1883)&lt;=0,"",INDEX(SCAmount,$L1883))),IF($M1883&lt;&gt;"",IF(INDEX(LdgWitB,$M1883)=0,"",INDEX(LdgWitB,$M1883)),""))</f>
        <v/>
      </c>
      <c r="H1883" s="21">
        <f>IF($L1883&lt;&gt;"",IF(INDEX(SCOp,$L1883)="مرجوعی فروش",IF(INDEX(SCAmount,$L1883)=0,"",-INDEX(SCAmount,$L1883)),""),IF($M1883&lt;&gt;"",IF(INDEX(LdgDepB,$M1883)=0,"",INDEX(LdgDepB,$M1883)),""))</f>
        <v/>
      </c>
      <c r="I1883" s="22">
        <f>IF($B1883="","",IF($I1882="",$C$10,$I1882)+IF($G1883="",0,$G1883)-IF($H1883="",0,$H1883))</f>
        <v/>
      </c>
      <c r="L1883">
        <f>IFERROR(MATCH($C$5&amp;"|"&amp;RIGHT("000000"&amp;1867,6),LdgRankKeyA,0),"")</f>
        <v/>
      </c>
      <c r="M1883">
        <f>IFERROR(MATCH($C$5&amp;"|"&amp;RIGHT("000000"&amp;1867,6),LdgRankKeyB,0),"")</f>
        <v/>
      </c>
    </row>
    <row r="1884">
      <c r="A1884" s="23" t="n">
        <v>1868</v>
      </c>
      <c r="B1884" s="24">
        <f>IF(AND($L1884="",$M1884=""),"",IF($L1884&lt;&gt;"",INDEX(SCNormDate,$L1884),INDEX(LdgDateB,$M1884)))</f>
        <v/>
      </c>
      <c r="C1884" s="24">
        <f>IF($L1884&lt;&gt;"",INDEX(SCOp,$L1884),IF($M1884&lt;&gt;"","پرداخت بانکی",""))</f>
        <v/>
      </c>
      <c r="D1884" s="24">
        <f>IF($L1884&lt;&gt;"",IF(INDEX(SCDoc,$L1884)="","—",INDEX(SCDoc,$L1884)),IF($M1884&lt;&gt;"",INDEX(LdgBankB,$M1884),""))</f>
        <v/>
      </c>
      <c r="E1884" s="25">
        <f>IF($L1884&lt;&gt;"",IF(INDEX(SCCitrus,$L1884)&amp;INDEX(SCNotes,$L1884)="","",IF(INDEX(SCCitrus,$L1884)="","",INDEX(SCCitrus,$L1884))&amp;IF(INDEX(SCNotes,$L1884)="",""," — "&amp;INDEX(SCNotes,$L1884))),IF($M1884&lt;&gt;"",IF(INDEX(LdgNoteB,$M1884)="","—",INDEX(LdgNoteB,$M1884)),""))</f>
        <v/>
      </c>
      <c r="F1884" s="26">
        <f>IF($L1884&lt;&gt;"",IF(INDEX(SCNet,$L1884)=0,"",INDEX(SCNet,$L1884)),"")</f>
        <v/>
      </c>
      <c r="G1884" s="27">
        <f>IF($L1884&lt;&gt;"",IF(INDEX(SCOp,$L1884)="مرجوعی فروش","",IF(INDEX(SCAmount,$L1884)&lt;=0,"",INDEX(SCAmount,$L1884))),IF($M1884&lt;&gt;"",IF(INDEX(LdgWitB,$M1884)=0,"",INDEX(LdgWitB,$M1884)),""))</f>
        <v/>
      </c>
      <c r="H1884" s="27">
        <f>IF($L1884&lt;&gt;"",IF(INDEX(SCOp,$L1884)="مرجوعی فروش",IF(INDEX(SCAmount,$L1884)=0,"",-INDEX(SCAmount,$L1884)),""),IF($M1884&lt;&gt;"",IF(INDEX(LdgDepB,$M1884)=0,"",INDEX(LdgDepB,$M1884)),""))</f>
        <v/>
      </c>
      <c r="I1884" s="28">
        <f>IF($B1884="","",IF($I1883="",$C$10,$I1883)+IF($G1884="",0,$G1884)-IF($H1884="",0,$H1884))</f>
        <v/>
      </c>
      <c r="L1884">
        <f>IFERROR(MATCH($C$5&amp;"|"&amp;RIGHT("000000"&amp;1868,6),LdgRankKeyA,0),"")</f>
        <v/>
      </c>
      <c r="M1884">
        <f>IFERROR(MATCH($C$5&amp;"|"&amp;RIGHT("000000"&amp;1868,6),LdgRankKeyB,0),"")</f>
        <v/>
      </c>
    </row>
    <row r="1885">
      <c r="A1885" s="17" t="n">
        <v>1869</v>
      </c>
      <c r="B1885" s="18">
        <f>IF(AND($L1885="",$M1885=""),"",IF($L1885&lt;&gt;"",INDEX(SCNormDate,$L1885),INDEX(LdgDateB,$M1885)))</f>
        <v/>
      </c>
      <c r="C1885" s="18">
        <f>IF($L1885&lt;&gt;"",INDEX(SCOp,$L1885),IF($M1885&lt;&gt;"","پرداخت بانکی",""))</f>
        <v/>
      </c>
      <c r="D1885" s="18">
        <f>IF($L1885&lt;&gt;"",IF(INDEX(SCDoc,$L1885)="","—",INDEX(SCDoc,$L1885)),IF($M1885&lt;&gt;"",INDEX(LdgBankB,$M1885),""))</f>
        <v/>
      </c>
      <c r="E1885" s="19">
        <f>IF($L1885&lt;&gt;"",IF(INDEX(SCCitrus,$L1885)&amp;INDEX(SCNotes,$L1885)="","",IF(INDEX(SCCitrus,$L1885)="","",INDEX(SCCitrus,$L1885))&amp;IF(INDEX(SCNotes,$L1885)="",""," — "&amp;INDEX(SCNotes,$L1885))),IF($M1885&lt;&gt;"",IF(INDEX(LdgNoteB,$M1885)="","—",INDEX(LdgNoteB,$M1885)),""))</f>
        <v/>
      </c>
      <c r="F1885" s="20">
        <f>IF($L1885&lt;&gt;"",IF(INDEX(SCNet,$L1885)=0,"",INDEX(SCNet,$L1885)),"")</f>
        <v/>
      </c>
      <c r="G1885" s="21">
        <f>IF($L1885&lt;&gt;"",IF(INDEX(SCOp,$L1885)="مرجوعی فروش","",IF(INDEX(SCAmount,$L1885)&lt;=0,"",INDEX(SCAmount,$L1885))),IF($M1885&lt;&gt;"",IF(INDEX(LdgWitB,$M1885)=0,"",INDEX(LdgWitB,$M1885)),""))</f>
        <v/>
      </c>
      <c r="H1885" s="21">
        <f>IF($L1885&lt;&gt;"",IF(INDEX(SCOp,$L1885)="مرجوعی فروش",IF(INDEX(SCAmount,$L1885)=0,"",-INDEX(SCAmount,$L1885)),""),IF($M1885&lt;&gt;"",IF(INDEX(LdgDepB,$M1885)=0,"",INDEX(LdgDepB,$M1885)),""))</f>
        <v/>
      </c>
      <c r="I1885" s="22">
        <f>IF($B1885="","",IF($I1884="",$C$10,$I1884)+IF($G1885="",0,$G1885)-IF($H1885="",0,$H1885))</f>
        <v/>
      </c>
      <c r="L1885">
        <f>IFERROR(MATCH($C$5&amp;"|"&amp;RIGHT("000000"&amp;1869,6),LdgRankKeyA,0),"")</f>
        <v/>
      </c>
      <c r="M1885">
        <f>IFERROR(MATCH($C$5&amp;"|"&amp;RIGHT("000000"&amp;1869,6),LdgRankKeyB,0),"")</f>
        <v/>
      </c>
    </row>
    <row r="1886">
      <c r="A1886" s="23" t="n">
        <v>1870</v>
      </c>
      <c r="B1886" s="24">
        <f>IF(AND($L1886="",$M1886=""),"",IF($L1886&lt;&gt;"",INDEX(SCNormDate,$L1886),INDEX(LdgDateB,$M1886)))</f>
        <v/>
      </c>
      <c r="C1886" s="24">
        <f>IF($L1886&lt;&gt;"",INDEX(SCOp,$L1886),IF($M1886&lt;&gt;"","پرداخت بانکی",""))</f>
        <v/>
      </c>
      <c r="D1886" s="24">
        <f>IF($L1886&lt;&gt;"",IF(INDEX(SCDoc,$L1886)="","—",INDEX(SCDoc,$L1886)),IF($M1886&lt;&gt;"",INDEX(LdgBankB,$M1886),""))</f>
        <v/>
      </c>
      <c r="E1886" s="25">
        <f>IF($L1886&lt;&gt;"",IF(INDEX(SCCitrus,$L1886)&amp;INDEX(SCNotes,$L1886)="","",IF(INDEX(SCCitrus,$L1886)="","",INDEX(SCCitrus,$L1886))&amp;IF(INDEX(SCNotes,$L1886)="",""," — "&amp;INDEX(SCNotes,$L1886))),IF($M1886&lt;&gt;"",IF(INDEX(LdgNoteB,$M1886)="","—",INDEX(LdgNoteB,$M1886)),""))</f>
        <v/>
      </c>
      <c r="F1886" s="26">
        <f>IF($L1886&lt;&gt;"",IF(INDEX(SCNet,$L1886)=0,"",INDEX(SCNet,$L1886)),"")</f>
        <v/>
      </c>
      <c r="G1886" s="27">
        <f>IF($L1886&lt;&gt;"",IF(INDEX(SCOp,$L1886)="مرجوعی فروش","",IF(INDEX(SCAmount,$L1886)&lt;=0,"",INDEX(SCAmount,$L1886))),IF($M1886&lt;&gt;"",IF(INDEX(LdgWitB,$M1886)=0,"",INDEX(LdgWitB,$M1886)),""))</f>
        <v/>
      </c>
      <c r="H1886" s="27">
        <f>IF($L1886&lt;&gt;"",IF(INDEX(SCOp,$L1886)="مرجوعی فروش",IF(INDEX(SCAmount,$L1886)=0,"",-INDEX(SCAmount,$L1886)),""),IF($M1886&lt;&gt;"",IF(INDEX(LdgDepB,$M1886)=0,"",INDEX(LdgDepB,$M1886)),""))</f>
        <v/>
      </c>
      <c r="I1886" s="28">
        <f>IF($B1886="","",IF($I1885="",$C$10,$I1885)+IF($G1886="",0,$G1886)-IF($H1886="",0,$H1886))</f>
        <v/>
      </c>
      <c r="L1886">
        <f>IFERROR(MATCH($C$5&amp;"|"&amp;RIGHT("000000"&amp;1870,6),LdgRankKeyA,0),"")</f>
        <v/>
      </c>
      <c r="M1886">
        <f>IFERROR(MATCH($C$5&amp;"|"&amp;RIGHT("000000"&amp;1870,6),LdgRankKeyB,0),"")</f>
        <v/>
      </c>
    </row>
    <row r="1887">
      <c r="A1887" s="17" t="n">
        <v>1871</v>
      </c>
      <c r="B1887" s="18">
        <f>IF(AND($L1887="",$M1887=""),"",IF($L1887&lt;&gt;"",INDEX(SCNormDate,$L1887),INDEX(LdgDateB,$M1887)))</f>
        <v/>
      </c>
      <c r="C1887" s="18">
        <f>IF($L1887&lt;&gt;"",INDEX(SCOp,$L1887),IF($M1887&lt;&gt;"","پرداخت بانکی",""))</f>
        <v/>
      </c>
      <c r="D1887" s="18">
        <f>IF($L1887&lt;&gt;"",IF(INDEX(SCDoc,$L1887)="","—",INDEX(SCDoc,$L1887)),IF($M1887&lt;&gt;"",INDEX(LdgBankB,$M1887),""))</f>
        <v/>
      </c>
      <c r="E1887" s="19">
        <f>IF($L1887&lt;&gt;"",IF(INDEX(SCCitrus,$L1887)&amp;INDEX(SCNotes,$L1887)="","",IF(INDEX(SCCitrus,$L1887)="","",INDEX(SCCitrus,$L1887))&amp;IF(INDEX(SCNotes,$L1887)="",""," — "&amp;INDEX(SCNotes,$L1887))),IF($M1887&lt;&gt;"",IF(INDEX(LdgNoteB,$M1887)="","—",INDEX(LdgNoteB,$M1887)),""))</f>
        <v/>
      </c>
      <c r="F1887" s="20">
        <f>IF($L1887&lt;&gt;"",IF(INDEX(SCNet,$L1887)=0,"",INDEX(SCNet,$L1887)),"")</f>
        <v/>
      </c>
      <c r="G1887" s="21">
        <f>IF($L1887&lt;&gt;"",IF(INDEX(SCOp,$L1887)="مرجوعی فروش","",IF(INDEX(SCAmount,$L1887)&lt;=0,"",INDEX(SCAmount,$L1887))),IF($M1887&lt;&gt;"",IF(INDEX(LdgWitB,$M1887)=0,"",INDEX(LdgWitB,$M1887)),""))</f>
        <v/>
      </c>
      <c r="H1887" s="21">
        <f>IF($L1887&lt;&gt;"",IF(INDEX(SCOp,$L1887)="مرجوعی فروش",IF(INDEX(SCAmount,$L1887)=0,"",-INDEX(SCAmount,$L1887)),""),IF($M1887&lt;&gt;"",IF(INDEX(LdgDepB,$M1887)=0,"",INDEX(LdgDepB,$M1887)),""))</f>
        <v/>
      </c>
      <c r="I1887" s="22">
        <f>IF($B1887="","",IF($I1886="",$C$10,$I1886)+IF($G1887="",0,$G1887)-IF($H1887="",0,$H1887))</f>
        <v/>
      </c>
      <c r="L1887">
        <f>IFERROR(MATCH($C$5&amp;"|"&amp;RIGHT("000000"&amp;1871,6),LdgRankKeyA,0),"")</f>
        <v/>
      </c>
      <c r="M1887">
        <f>IFERROR(MATCH($C$5&amp;"|"&amp;RIGHT("000000"&amp;1871,6),LdgRankKeyB,0),"")</f>
        <v/>
      </c>
    </row>
    <row r="1888">
      <c r="A1888" s="23" t="n">
        <v>1872</v>
      </c>
      <c r="B1888" s="24">
        <f>IF(AND($L1888="",$M1888=""),"",IF($L1888&lt;&gt;"",INDEX(SCNormDate,$L1888),INDEX(LdgDateB,$M1888)))</f>
        <v/>
      </c>
      <c r="C1888" s="24">
        <f>IF($L1888&lt;&gt;"",INDEX(SCOp,$L1888),IF($M1888&lt;&gt;"","پرداخت بانکی",""))</f>
        <v/>
      </c>
      <c r="D1888" s="24">
        <f>IF($L1888&lt;&gt;"",IF(INDEX(SCDoc,$L1888)="","—",INDEX(SCDoc,$L1888)),IF($M1888&lt;&gt;"",INDEX(LdgBankB,$M1888),""))</f>
        <v/>
      </c>
      <c r="E1888" s="25">
        <f>IF($L1888&lt;&gt;"",IF(INDEX(SCCitrus,$L1888)&amp;INDEX(SCNotes,$L1888)="","",IF(INDEX(SCCitrus,$L1888)="","",INDEX(SCCitrus,$L1888))&amp;IF(INDEX(SCNotes,$L1888)="",""," — "&amp;INDEX(SCNotes,$L1888))),IF($M1888&lt;&gt;"",IF(INDEX(LdgNoteB,$M1888)="","—",INDEX(LdgNoteB,$M1888)),""))</f>
        <v/>
      </c>
      <c r="F1888" s="26">
        <f>IF($L1888&lt;&gt;"",IF(INDEX(SCNet,$L1888)=0,"",INDEX(SCNet,$L1888)),"")</f>
        <v/>
      </c>
      <c r="G1888" s="27">
        <f>IF($L1888&lt;&gt;"",IF(INDEX(SCOp,$L1888)="مرجوعی فروش","",IF(INDEX(SCAmount,$L1888)&lt;=0,"",INDEX(SCAmount,$L1888))),IF($M1888&lt;&gt;"",IF(INDEX(LdgWitB,$M1888)=0,"",INDEX(LdgWitB,$M1888)),""))</f>
        <v/>
      </c>
      <c r="H1888" s="27">
        <f>IF($L1888&lt;&gt;"",IF(INDEX(SCOp,$L1888)="مرجوعی فروش",IF(INDEX(SCAmount,$L1888)=0,"",-INDEX(SCAmount,$L1888)),""),IF($M1888&lt;&gt;"",IF(INDEX(LdgDepB,$M1888)=0,"",INDEX(LdgDepB,$M1888)),""))</f>
        <v/>
      </c>
      <c r="I1888" s="28">
        <f>IF($B1888="","",IF($I1887="",$C$10,$I1887)+IF($G1888="",0,$G1888)-IF($H1888="",0,$H1888))</f>
        <v/>
      </c>
      <c r="L1888">
        <f>IFERROR(MATCH($C$5&amp;"|"&amp;RIGHT("000000"&amp;1872,6),LdgRankKeyA,0),"")</f>
        <v/>
      </c>
      <c r="M1888">
        <f>IFERROR(MATCH($C$5&amp;"|"&amp;RIGHT("000000"&amp;1872,6),LdgRankKeyB,0),"")</f>
        <v/>
      </c>
    </row>
    <row r="1889">
      <c r="A1889" s="17" t="n">
        <v>1873</v>
      </c>
      <c r="B1889" s="18">
        <f>IF(AND($L1889="",$M1889=""),"",IF($L1889&lt;&gt;"",INDEX(SCNormDate,$L1889),INDEX(LdgDateB,$M1889)))</f>
        <v/>
      </c>
      <c r="C1889" s="18">
        <f>IF($L1889&lt;&gt;"",INDEX(SCOp,$L1889),IF($M1889&lt;&gt;"","پرداخت بانکی",""))</f>
        <v/>
      </c>
      <c r="D1889" s="18">
        <f>IF($L1889&lt;&gt;"",IF(INDEX(SCDoc,$L1889)="","—",INDEX(SCDoc,$L1889)),IF($M1889&lt;&gt;"",INDEX(LdgBankB,$M1889),""))</f>
        <v/>
      </c>
      <c r="E1889" s="19">
        <f>IF($L1889&lt;&gt;"",IF(INDEX(SCCitrus,$L1889)&amp;INDEX(SCNotes,$L1889)="","",IF(INDEX(SCCitrus,$L1889)="","",INDEX(SCCitrus,$L1889))&amp;IF(INDEX(SCNotes,$L1889)="",""," — "&amp;INDEX(SCNotes,$L1889))),IF($M1889&lt;&gt;"",IF(INDEX(LdgNoteB,$M1889)="","—",INDEX(LdgNoteB,$M1889)),""))</f>
        <v/>
      </c>
      <c r="F1889" s="20">
        <f>IF($L1889&lt;&gt;"",IF(INDEX(SCNet,$L1889)=0,"",INDEX(SCNet,$L1889)),"")</f>
        <v/>
      </c>
      <c r="G1889" s="21">
        <f>IF($L1889&lt;&gt;"",IF(INDEX(SCOp,$L1889)="مرجوعی فروش","",IF(INDEX(SCAmount,$L1889)&lt;=0,"",INDEX(SCAmount,$L1889))),IF($M1889&lt;&gt;"",IF(INDEX(LdgWitB,$M1889)=0,"",INDEX(LdgWitB,$M1889)),""))</f>
        <v/>
      </c>
      <c r="H1889" s="21">
        <f>IF($L1889&lt;&gt;"",IF(INDEX(SCOp,$L1889)="مرجوعی فروش",IF(INDEX(SCAmount,$L1889)=0,"",-INDEX(SCAmount,$L1889)),""),IF($M1889&lt;&gt;"",IF(INDEX(LdgDepB,$M1889)=0,"",INDEX(LdgDepB,$M1889)),""))</f>
        <v/>
      </c>
      <c r="I1889" s="22">
        <f>IF($B1889="","",IF($I1888="",$C$10,$I1888)+IF($G1889="",0,$G1889)-IF($H1889="",0,$H1889))</f>
        <v/>
      </c>
      <c r="L1889">
        <f>IFERROR(MATCH($C$5&amp;"|"&amp;RIGHT("000000"&amp;1873,6),LdgRankKeyA,0),"")</f>
        <v/>
      </c>
      <c r="M1889">
        <f>IFERROR(MATCH($C$5&amp;"|"&amp;RIGHT("000000"&amp;1873,6),LdgRankKeyB,0),"")</f>
        <v/>
      </c>
    </row>
    <row r="1890">
      <c r="A1890" s="23" t="n">
        <v>1874</v>
      </c>
      <c r="B1890" s="24">
        <f>IF(AND($L1890="",$M1890=""),"",IF($L1890&lt;&gt;"",INDEX(SCNormDate,$L1890),INDEX(LdgDateB,$M1890)))</f>
        <v/>
      </c>
      <c r="C1890" s="24">
        <f>IF($L1890&lt;&gt;"",INDEX(SCOp,$L1890),IF($M1890&lt;&gt;"","پرداخت بانکی",""))</f>
        <v/>
      </c>
      <c r="D1890" s="24">
        <f>IF($L1890&lt;&gt;"",IF(INDEX(SCDoc,$L1890)="","—",INDEX(SCDoc,$L1890)),IF($M1890&lt;&gt;"",INDEX(LdgBankB,$M1890),""))</f>
        <v/>
      </c>
      <c r="E1890" s="25">
        <f>IF($L1890&lt;&gt;"",IF(INDEX(SCCitrus,$L1890)&amp;INDEX(SCNotes,$L1890)="","",IF(INDEX(SCCitrus,$L1890)="","",INDEX(SCCitrus,$L1890))&amp;IF(INDEX(SCNotes,$L1890)="",""," — "&amp;INDEX(SCNotes,$L1890))),IF($M1890&lt;&gt;"",IF(INDEX(LdgNoteB,$M1890)="","—",INDEX(LdgNoteB,$M1890)),""))</f>
        <v/>
      </c>
      <c r="F1890" s="26">
        <f>IF($L1890&lt;&gt;"",IF(INDEX(SCNet,$L1890)=0,"",INDEX(SCNet,$L1890)),"")</f>
        <v/>
      </c>
      <c r="G1890" s="27">
        <f>IF($L1890&lt;&gt;"",IF(INDEX(SCOp,$L1890)="مرجوعی فروش","",IF(INDEX(SCAmount,$L1890)&lt;=0,"",INDEX(SCAmount,$L1890))),IF($M1890&lt;&gt;"",IF(INDEX(LdgWitB,$M1890)=0,"",INDEX(LdgWitB,$M1890)),""))</f>
        <v/>
      </c>
      <c r="H1890" s="27">
        <f>IF($L1890&lt;&gt;"",IF(INDEX(SCOp,$L1890)="مرجوعی فروش",IF(INDEX(SCAmount,$L1890)=0,"",-INDEX(SCAmount,$L1890)),""),IF($M1890&lt;&gt;"",IF(INDEX(LdgDepB,$M1890)=0,"",INDEX(LdgDepB,$M1890)),""))</f>
        <v/>
      </c>
      <c r="I1890" s="28">
        <f>IF($B1890="","",IF($I1889="",$C$10,$I1889)+IF($G1890="",0,$G1890)-IF($H1890="",0,$H1890))</f>
        <v/>
      </c>
      <c r="L1890">
        <f>IFERROR(MATCH($C$5&amp;"|"&amp;RIGHT("000000"&amp;1874,6),LdgRankKeyA,0),"")</f>
        <v/>
      </c>
      <c r="M1890">
        <f>IFERROR(MATCH($C$5&amp;"|"&amp;RIGHT("000000"&amp;1874,6),LdgRankKeyB,0),"")</f>
        <v/>
      </c>
    </row>
    <row r="1891">
      <c r="A1891" s="17" t="n">
        <v>1875</v>
      </c>
      <c r="B1891" s="18">
        <f>IF(AND($L1891="",$M1891=""),"",IF($L1891&lt;&gt;"",INDEX(SCNormDate,$L1891),INDEX(LdgDateB,$M1891)))</f>
        <v/>
      </c>
      <c r="C1891" s="18">
        <f>IF($L1891&lt;&gt;"",INDEX(SCOp,$L1891),IF($M1891&lt;&gt;"","پرداخت بانکی",""))</f>
        <v/>
      </c>
      <c r="D1891" s="18">
        <f>IF($L1891&lt;&gt;"",IF(INDEX(SCDoc,$L1891)="","—",INDEX(SCDoc,$L1891)),IF($M1891&lt;&gt;"",INDEX(LdgBankB,$M1891),""))</f>
        <v/>
      </c>
      <c r="E1891" s="19">
        <f>IF($L1891&lt;&gt;"",IF(INDEX(SCCitrus,$L1891)&amp;INDEX(SCNotes,$L1891)="","",IF(INDEX(SCCitrus,$L1891)="","",INDEX(SCCitrus,$L1891))&amp;IF(INDEX(SCNotes,$L1891)="",""," — "&amp;INDEX(SCNotes,$L1891))),IF($M1891&lt;&gt;"",IF(INDEX(LdgNoteB,$M1891)="","—",INDEX(LdgNoteB,$M1891)),""))</f>
        <v/>
      </c>
      <c r="F1891" s="20">
        <f>IF($L1891&lt;&gt;"",IF(INDEX(SCNet,$L1891)=0,"",INDEX(SCNet,$L1891)),"")</f>
        <v/>
      </c>
      <c r="G1891" s="21">
        <f>IF($L1891&lt;&gt;"",IF(INDEX(SCOp,$L1891)="مرجوعی فروش","",IF(INDEX(SCAmount,$L1891)&lt;=0,"",INDEX(SCAmount,$L1891))),IF($M1891&lt;&gt;"",IF(INDEX(LdgWitB,$M1891)=0,"",INDEX(LdgWitB,$M1891)),""))</f>
        <v/>
      </c>
      <c r="H1891" s="21">
        <f>IF($L1891&lt;&gt;"",IF(INDEX(SCOp,$L1891)="مرجوعی فروش",IF(INDEX(SCAmount,$L1891)=0,"",-INDEX(SCAmount,$L1891)),""),IF($M1891&lt;&gt;"",IF(INDEX(LdgDepB,$M1891)=0,"",INDEX(LdgDepB,$M1891)),""))</f>
        <v/>
      </c>
      <c r="I1891" s="22">
        <f>IF($B1891="","",IF($I1890="",$C$10,$I1890)+IF($G1891="",0,$G1891)-IF($H1891="",0,$H1891))</f>
        <v/>
      </c>
      <c r="L1891">
        <f>IFERROR(MATCH($C$5&amp;"|"&amp;RIGHT("000000"&amp;1875,6),LdgRankKeyA,0),"")</f>
        <v/>
      </c>
      <c r="M1891">
        <f>IFERROR(MATCH($C$5&amp;"|"&amp;RIGHT("000000"&amp;1875,6),LdgRankKeyB,0),"")</f>
        <v/>
      </c>
    </row>
    <row r="1892">
      <c r="A1892" s="23" t="n">
        <v>1876</v>
      </c>
      <c r="B1892" s="24">
        <f>IF(AND($L1892="",$M1892=""),"",IF($L1892&lt;&gt;"",INDEX(SCNormDate,$L1892),INDEX(LdgDateB,$M1892)))</f>
        <v/>
      </c>
      <c r="C1892" s="24">
        <f>IF($L1892&lt;&gt;"",INDEX(SCOp,$L1892),IF($M1892&lt;&gt;"","پرداخت بانکی",""))</f>
        <v/>
      </c>
      <c r="D1892" s="24">
        <f>IF($L1892&lt;&gt;"",IF(INDEX(SCDoc,$L1892)="","—",INDEX(SCDoc,$L1892)),IF($M1892&lt;&gt;"",INDEX(LdgBankB,$M1892),""))</f>
        <v/>
      </c>
      <c r="E1892" s="25">
        <f>IF($L1892&lt;&gt;"",IF(INDEX(SCCitrus,$L1892)&amp;INDEX(SCNotes,$L1892)="","",IF(INDEX(SCCitrus,$L1892)="","",INDEX(SCCitrus,$L1892))&amp;IF(INDEX(SCNotes,$L1892)="",""," — "&amp;INDEX(SCNotes,$L1892))),IF($M1892&lt;&gt;"",IF(INDEX(LdgNoteB,$M1892)="","—",INDEX(LdgNoteB,$M1892)),""))</f>
        <v/>
      </c>
      <c r="F1892" s="26">
        <f>IF($L1892&lt;&gt;"",IF(INDEX(SCNet,$L1892)=0,"",INDEX(SCNet,$L1892)),"")</f>
        <v/>
      </c>
      <c r="G1892" s="27">
        <f>IF($L1892&lt;&gt;"",IF(INDEX(SCOp,$L1892)="مرجوعی فروش","",IF(INDEX(SCAmount,$L1892)&lt;=0,"",INDEX(SCAmount,$L1892))),IF($M1892&lt;&gt;"",IF(INDEX(LdgWitB,$M1892)=0,"",INDEX(LdgWitB,$M1892)),""))</f>
        <v/>
      </c>
      <c r="H1892" s="27">
        <f>IF($L1892&lt;&gt;"",IF(INDEX(SCOp,$L1892)="مرجوعی فروش",IF(INDEX(SCAmount,$L1892)=0,"",-INDEX(SCAmount,$L1892)),""),IF($M1892&lt;&gt;"",IF(INDEX(LdgDepB,$M1892)=0,"",INDEX(LdgDepB,$M1892)),""))</f>
        <v/>
      </c>
      <c r="I1892" s="28">
        <f>IF($B1892="","",IF($I1891="",$C$10,$I1891)+IF($G1892="",0,$G1892)-IF($H1892="",0,$H1892))</f>
        <v/>
      </c>
      <c r="L1892">
        <f>IFERROR(MATCH($C$5&amp;"|"&amp;RIGHT("000000"&amp;1876,6),LdgRankKeyA,0),"")</f>
        <v/>
      </c>
      <c r="M1892">
        <f>IFERROR(MATCH($C$5&amp;"|"&amp;RIGHT("000000"&amp;1876,6),LdgRankKeyB,0),"")</f>
        <v/>
      </c>
    </row>
    <row r="1893">
      <c r="A1893" s="17" t="n">
        <v>1877</v>
      </c>
      <c r="B1893" s="18">
        <f>IF(AND($L1893="",$M1893=""),"",IF($L1893&lt;&gt;"",INDEX(SCNormDate,$L1893),INDEX(LdgDateB,$M1893)))</f>
        <v/>
      </c>
      <c r="C1893" s="18">
        <f>IF($L1893&lt;&gt;"",INDEX(SCOp,$L1893),IF($M1893&lt;&gt;"","پرداخت بانکی",""))</f>
        <v/>
      </c>
      <c r="D1893" s="18">
        <f>IF($L1893&lt;&gt;"",IF(INDEX(SCDoc,$L1893)="","—",INDEX(SCDoc,$L1893)),IF($M1893&lt;&gt;"",INDEX(LdgBankB,$M1893),""))</f>
        <v/>
      </c>
      <c r="E1893" s="19">
        <f>IF($L1893&lt;&gt;"",IF(INDEX(SCCitrus,$L1893)&amp;INDEX(SCNotes,$L1893)="","",IF(INDEX(SCCitrus,$L1893)="","",INDEX(SCCitrus,$L1893))&amp;IF(INDEX(SCNotes,$L1893)="",""," — "&amp;INDEX(SCNotes,$L1893))),IF($M1893&lt;&gt;"",IF(INDEX(LdgNoteB,$M1893)="","—",INDEX(LdgNoteB,$M1893)),""))</f>
        <v/>
      </c>
      <c r="F1893" s="20">
        <f>IF($L1893&lt;&gt;"",IF(INDEX(SCNet,$L1893)=0,"",INDEX(SCNet,$L1893)),"")</f>
        <v/>
      </c>
      <c r="G1893" s="21">
        <f>IF($L1893&lt;&gt;"",IF(INDEX(SCOp,$L1893)="مرجوعی فروش","",IF(INDEX(SCAmount,$L1893)&lt;=0,"",INDEX(SCAmount,$L1893))),IF($M1893&lt;&gt;"",IF(INDEX(LdgWitB,$M1893)=0,"",INDEX(LdgWitB,$M1893)),""))</f>
        <v/>
      </c>
      <c r="H1893" s="21">
        <f>IF($L1893&lt;&gt;"",IF(INDEX(SCOp,$L1893)="مرجوعی فروش",IF(INDEX(SCAmount,$L1893)=0,"",-INDEX(SCAmount,$L1893)),""),IF($M1893&lt;&gt;"",IF(INDEX(LdgDepB,$M1893)=0,"",INDEX(LdgDepB,$M1893)),""))</f>
        <v/>
      </c>
      <c r="I1893" s="22">
        <f>IF($B1893="","",IF($I1892="",$C$10,$I1892)+IF($G1893="",0,$G1893)-IF($H1893="",0,$H1893))</f>
        <v/>
      </c>
      <c r="L1893">
        <f>IFERROR(MATCH($C$5&amp;"|"&amp;RIGHT("000000"&amp;1877,6),LdgRankKeyA,0),"")</f>
        <v/>
      </c>
      <c r="M1893">
        <f>IFERROR(MATCH($C$5&amp;"|"&amp;RIGHT("000000"&amp;1877,6),LdgRankKeyB,0),"")</f>
        <v/>
      </c>
    </row>
    <row r="1894">
      <c r="A1894" s="23" t="n">
        <v>1878</v>
      </c>
      <c r="B1894" s="24">
        <f>IF(AND($L1894="",$M1894=""),"",IF($L1894&lt;&gt;"",INDEX(SCNormDate,$L1894),INDEX(LdgDateB,$M1894)))</f>
        <v/>
      </c>
      <c r="C1894" s="24">
        <f>IF($L1894&lt;&gt;"",INDEX(SCOp,$L1894),IF($M1894&lt;&gt;"","پرداخت بانکی",""))</f>
        <v/>
      </c>
      <c r="D1894" s="24">
        <f>IF($L1894&lt;&gt;"",IF(INDEX(SCDoc,$L1894)="","—",INDEX(SCDoc,$L1894)),IF($M1894&lt;&gt;"",INDEX(LdgBankB,$M1894),""))</f>
        <v/>
      </c>
      <c r="E1894" s="25">
        <f>IF($L1894&lt;&gt;"",IF(INDEX(SCCitrus,$L1894)&amp;INDEX(SCNotes,$L1894)="","",IF(INDEX(SCCitrus,$L1894)="","",INDEX(SCCitrus,$L1894))&amp;IF(INDEX(SCNotes,$L1894)="",""," — "&amp;INDEX(SCNotes,$L1894))),IF($M1894&lt;&gt;"",IF(INDEX(LdgNoteB,$M1894)="","—",INDEX(LdgNoteB,$M1894)),""))</f>
        <v/>
      </c>
      <c r="F1894" s="26">
        <f>IF($L1894&lt;&gt;"",IF(INDEX(SCNet,$L1894)=0,"",INDEX(SCNet,$L1894)),"")</f>
        <v/>
      </c>
      <c r="G1894" s="27">
        <f>IF($L1894&lt;&gt;"",IF(INDEX(SCOp,$L1894)="مرجوعی فروش","",IF(INDEX(SCAmount,$L1894)&lt;=0,"",INDEX(SCAmount,$L1894))),IF($M1894&lt;&gt;"",IF(INDEX(LdgWitB,$M1894)=0,"",INDEX(LdgWitB,$M1894)),""))</f>
        <v/>
      </c>
      <c r="H1894" s="27">
        <f>IF($L1894&lt;&gt;"",IF(INDEX(SCOp,$L1894)="مرجوعی فروش",IF(INDEX(SCAmount,$L1894)=0,"",-INDEX(SCAmount,$L1894)),""),IF($M1894&lt;&gt;"",IF(INDEX(LdgDepB,$M1894)=0,"",INDEX(LdgDepB,$M1894)),""))</f>
        <v/>
      </c>
      <c r="I1894" s="28">
        <f>IF($B1894="","",IF($I1893="",$C$10,$I1893)+IF($G1894="",0,$G1894)-IF($H1894="",0,$H1894))</f>
        <v/>
      </c>
      <c r="L1894">
        <f>IFERROR(MATCH($C$5&amp;"|"&amp;RIGHT("000000"&amp;1878,6),LdgRankKeyA,0),"")</f>
        <v/>
      </c>
      <c r="M1894">
        <f>IFERROR(MATCH($C$5&amp;"|"&amp;RIGHT("000000"&amp;1878,6),LdgRankKeyB,0),"")</f>
        <v/>
      </c>
    </row>
    <row r="1895">
      <c r="A1895" s="17" t="n">
        <v>1879</v>
      </c>
      <c r="B1895" s="18">
        <f>IF(AND($L1895="",$M1895=""),"",IF($L1895&lt;&gt;"",INDEX(SCNormDate,$L1895),INDEX(LdgDateB,$M1895)))</f>
        <v/>
      </c>
      <c r="C1895" s="18">
        <f>IF($L1895&lt;&gt;"",INDEX(SCOp,$L1895),IF($M1895&lt;&gt;"","پرداخت بانکی",""))</f>
        <v/>
      </c>
      <c r="D1895" s="18">
        <f>IF($L1895&lt;&gt;"",IF(INDEX(SCDoc,$L1895)="","—",INDEX(SCDoc,$L1895)),IF($M1895&lt;&gt;"",INDEX(LdgBankB,$M1895),""))</f>
        <v/>
      </c>
      <c r="E1895" s="19">
        <f>IF($L1895&lt;&gt;"",IF(INDEX(SCCitrus,$L1895)&amp;INDEX(SCNotes,$L1895)="","",IF(INDEX(SCCitrus,$L1895)="","",INDEX(SCCitrus,$L1895))&amp;IF(INDEX(SCNotes,$L1895)="",""," — "&amp;INDEX(SCNotes,$L1895))),IF($M1895&lt;&gt;"",IF(INDEX(LdgNoteB,$M1895)="","—",INDEX(LdgNoteB,$M1895)),""))</f>
        <v/>
      </c>
      <c r="F1895" s="20">
        <f>IF($L1895&lt;&gt;"",IF(INDEX(SCNet,$L1895)=0,"",INDEX(SCNet,$L1895)),"")</f>
        <v/>
      </c>
      <c r="G1895" s="21">
        <f>IF($L1895&lt;&gt;"",IF(INDEX(SCOp,$L1895)="مرجوعی فروش","",IF(INDEX(SCAmount,$L1895)&lt;=0,"",INDEX(SCAmount,$L1895))),IF($M1895&lt;&gt;"",IF(INDEX(LdgWitB,$M1895)=0,"",INDEX(LdgWitB,$M1895)),""))</f>
        <v/>
      </c>
      <c r="H1895" s="21">
        <f>IF($L1895&lt;&gt;"",IF(INDEX(SCOp,$L1895)="مرجوعی فروش",IF(INDEX(SCAmount,$L1895)=0,"",-INDEX(SCAmount,$L1895)),""),IF($M1895&lt;&gt;"",IF(INDEX(LdgDepB,$M1895)=0,"",INDEX(LdgDepB,$M1895)),""))</f>
        <v/>
      </c>
      <c r="I1895" s="22">
        <f>IF($B1895="","",IF($I1894="",$C$10,$I1894)+IF($G1895="",0,$G1895)-IF($H1895="",0,$H1895))</f>
        <v/>
      </c>
      <c r="L1895">
        <f>IFERROR(MATCH($C$5&amp;"|"&amp;RIGHT("000000"&amp;1879,6),LdgRankKeyA,0),"")</f>
        <v/>
      </c>
      <c r="M1895">
        <f>IFERROR(MATCH($C$5&amp;"|"&amp;RIGHT("000000"&amp;1879,6),LdgRankKeyB,0),"")</f>
        <v/>
      </c>
    </row>
    <row r="1896">
      <c r="A1896" s="23" t="n">
        <v>1880</v>
      </c>
      <c r="B1896" s="24">
        <f>IF(AND($L1896="",$M1896=""),"",IF($L1896&lt;&gt;"",INDEX(SCNormDate,$L1896),INDEX(LdgDateB,$M1896)))</f>
        <v/>
      </c>
      <c r="C1896" s="24">
        <f>IF($L1896&lt;&gt;"",INDEX(SCOp,$L1896),IF($M1896&lt;&gt;"","پرداخت بانکی",""))</f>
        <v/>
      </c>
      <c r="D1896" s="24">
        <f>IF($L1896&lt;&gt;"",IF(INDEX(SCDoc,$L1896)="","—",INDEX(SCDoc,$L1896)),IF($M1896&lt;&gt;"",INDEX(LdgBankB,$M1896),""))</f>
        <v/>
      </c>
      <c r="E1896" s="25">
        <f>IF($L1896&lt;&gt;"",IF(INDEX(SCCitrus,$L1896)&amp;INDEX(SCNotes,$L1896)="","",IF(INDEX(SCCitrus,$L1896)="","",INDEX(SCCitrus,$L1896))&amp;IF(INDEX(SCNotes,$L1896)="",""," — "&amp;INDEX(SCNotes,$L1896))),IF($M1896&lt;&gt;"",IF(INDEX(LdgNoteB,$M1896)="","—",INDEX(LdgNoteB,$M1896)),""))</f>
        <v/>
      </c>
      <c r="F1896" s="26">
        <f>IF($L1896&lt;&gt;"",IF(INDEX(SCNet,$L1896)=0,"",INDEX(SCNet,$L1896)),"")</f>
        <v/>
      </c>
      <c r="G1896" s="27">
        <f>IF($L1896&lt;&gt;"",IF(INDEX(SCOp,$L1896)="مرجوعی فروش","",IF(INDEX(SCAmount,$L1896)&lt;=0,"",INDEX(SCAmount,$L1896))),IF($M1896&lt;&gt;"",IF(INDEX(LdgWitB,$M1896)=0,"",INDEX(LdgWitB,$M1896)),""))</f>
        <v/>
      </c>
      <c r="H1896" s="27">
        <f>IF($L1896&lt;&gt;"",IF(INDEX(SCOp,$L1896)="مرجوعی فروش",IF(INDEX(SCAmount,$L1896)=0,"",-INDEX(SCAmount,$L1896)),""),IF($M1896&lt;&gt;"",IF(INDEX(LdgDepB,$M1896)=0,"",INDEX(LdgDepB,$M1896)),""))</f>
        <v/>
      </c>
      <c r="I1896" s="28">
        <f>IF($B1896="","",IF($I1895="",$C$10,$I1895)+IF($G1896="",0,$G1896)-IF($H1896="",0,$H1896))</f>
        <v/>
      </c>
      <c r="L1896">
        <f>IFERROR(MATCH($C$5&amp;"|"&amp;RIGHT("000000"&amp;1880,6),LdgRankKeyA,0),"")</f>
        <v/>
      </c>
      <c r="M1896">
        <f>IFERROR(MATCH($C$5&amp;"|"&amp;RIGHT("000000"&amp;1880,6),LdgRankKeyB,0),"")</f>
        <v/>
      </c>
    </row>
    <row r="1897">
      <c r="A1897" s="17" t="n">
        <v>1881</v>
      </c>
      <c r="B1897" s="18">
        <f>IF(AND($L1897="",$M1897=""),"",IF($L1897&lt;&gt;"",INDEX(SCNormDate,$L1897),INDEX(LdgDateB,$M1897)))</f>
        <v/>
      </c>
      <c r="C1897" s="18">
        <f>IF($L1897&lt;&gt;"",INDEX(SCOp,$L1897),IF($M1897&lt;&gt;"","پرداخت بانکی",""))</f>
        <v/>
      </c>
      <c r="D1897" s="18">
        <f>IF($L1897&lt;&gt;"",IF(INDEX(SCDoc,$L1897)="","—",INDEX(SCDoc,$L1897)),IF($M1897&lt;&gt;"",INDEX(LdgBankB,$M1897),""))</f>
        <v/>
      </c>
      <c r="E1897" s="19">
        <f>IF($L1897&lt;&gt;"",IF(INDEX(SCCitrus,$L1897)&amp;INDEX(SCNotes,$L1897)="","",IF(INDEX(SCCitrus,$L1897)="","",INDEX(SCCitrus,$L1897))&amp;IF(INDEX(SCNotes,$L1897)="",""," — "&amp;INDEX(SCNotes,$L1897))),IF($M1897&lt;&gt;"",IF(INDEX(LdgNoteB,$M1897)="","—",INDEX(LdgNoteB,$M1897)),""))</f>
        <v/>
      </c>
      <c r="F1897" s="20">
        <f>IF($L1897&lt;&gt;"",IF(INDEX(SCNet,$L1897)=0,"",INDEX(SCNet,$L1897)),"")</f>
        <v/>
      </c>
      <c r="G1897" s="21">
        <f>IF($L1897&lt;&gt;"",IF(INDEX(SCOp,$L1897)="مرجوعی فروش","",IF(INDEX(SCAmount,$L1897)&lt;=0,"",INDEX(SCAmount,$L1897))),IF($M1897&lt;&gt;"",IF(INDEX(LdgWitB,$M1897)=0,"",INDEX(LdgWitB,$M1897)),""))</f>
        <v/>
      </c>
      <c r="H1897" s="21">
        <f>IF($L1897&lt;&gt;"",IF(INDEX(SCOp,$L1897)="مرجوعی فروش",IF(INDEX(SCAmount,$L1897)=0,"",-INDEX(SCAmount,$L1897)),""),IF($M1897&lt;&gt;"",IF(INDEX(LdgDepB,$M1897)=0,"",INDEX(LdgDepB,$M1897)),""))</f>
        <v/>
      </c>
      <c r="I1897" s="22">
        <f>IF($B1897="","",IF($I1896="",$C$10,$I1896)+IF($G1897="",0,$G1897)-IF($H1897="",0,$H1897))</f>
        <v/>
      </c>
      <c r="L1897">
        <f>IFERROR(MATCH($C$5&amp;"|"&amp;RIGHT("000000"&amp;1881,6),LdgRankKeyA,0),"")</f>
        <v/>
      </c>
      <c r="M1897">
        <f>IFERROR(MATCH($C$5&amp;"|"&amp;RIGHT("000000"&amp;1881,6),LdgRankKeyB,0),"")</f>
        <v/>
      </c>
    </row>
    <row r="1898">
      <c r="A1898" s="23" t="n">
        <v>1882</v>
      </c>
      <c r="B1898" s="24">
        <f>IF(AND($L1898="",$M1898=""),"",IF($L1898&lt;&gt;"",INDEX(SCNormDate,$L1898),INDEX(LdgDateB,$M1898)))</f>
        <v/>
      </c>
      <c r="C1898" s="24">
        <f>IF($L1898&lt;&gt;"",INDEX(SCOp,$L1898),IF($M1898&lt;&gt;"","پرداخت بانکی",""))</f>
        <v/>
      </c>
      <c r="D1898" s="24">
        <f>IF($L1898&lt;&gt;"",IF(INDEX(SCDoc,$L1898)="","—",INDEX(SCDoc,$L1898)),IF($M1898&lt;&gt;"",INDEX(LdgBankB,$M1898),""))</f>
        <v/>
      </c>
      <c r="E1898" s="25">
        <f>IF($L1898&lt;&gt;"",IF(INDEX(SCCitrus,$L1898)&amp;INDEX(SCNotes,$L1898)="","",IF(INDEX(SCCitrus,$L1898)="","",INDEX(SCCitrus,$L1898))&amp;IF(INDEX(SCNotes,$L1898)="",""," — "&amp;INDEX(SCNotes,$L1898))),IF($M1898&lt;&gt;"",IF(INDEX(LdgNoteB,$M1898)="","—",INDEX(LdgNoteB,$M1898)),""))</f>
        <v/>
      </c>
      <c r="F1898" s="26">
        <f>IF($L1898&lt;&gt;"",IF(INDEX(SCNet,$L1898)=0,"",INDEX(SCNet,$L1898)),"")</f>
        <v/>
      </c>
      <c r="G1898" s="27">
        <f>IF($L1898&lt;&gt;"",IF(INDEX(SCOp,$L1898)="مرجوعی فروش","",IF(INDEX(SCAmount,$L1898)&lt;=0,"",INDEX(SCAmount,$L1898))),IF($M1898&lt;&gt;"",IF(INDEX(LdgWitB,$M1898)=0,"",INDEX(LdgWitB,$M1898)),""))</f>
        <v/>
      </c>
      <c r="H1898" s="27">
        <f>IF($L1898&lt;&gt;"",IF(INDEX(SCOp,$L1898)="مرجوعی فروش",IF(INDEX(SCAmount,$L1898)=0,"",-INDEX(SCAmount,$L1898)),""),IF($M1898&lt;&gt;"",IF(INDEX(LdgDepB,$M1898)=0,"",INDEX(LdgDepB,$M1898)),""))</f>
        <v/>
      </c>
      <c r="I1898" s="28">
        <f>IF($B1898="","",IF($I1897="",$C$10,$I1897)+IF($G1898="",0,$G1898)-IF($H1898="",0,$H1898))</f>
        <v/>
      </c>
      <c r="L1898">
        <f>IFERROR(MATCH($C$5&amp;"|"&amp;RIGHT("000000"&amp;1882,6),LdgRankKeyA,0),"")</f>
        <v/>
      </c>
      <c r="M1898">
        <f>IFERROR(MATCH($C$5&amp;"|"&amp;RIGHT("000000"&amp;1882,6),LdgRankKeyB,0),"")</f>
        <v/>
      </c>
    </row>
    <row r="1899">
      <c r="A1899" s="17" t="n">
        <v>1883</v>
      </c>
      <c r="B1899" s="18">
        <f>IF(AND($L1899="",$M1899=""),"",IF($L1899&lt;&gt;"",INDEX(SCNormDate,$L1899),INDEX(LdgDateB,$M1899)))</f>
        <v/>
      </c>
      <c r="C1899" s="18">
        <f>IF($L1899&lt;&gt;"",INDEX(SCOp,$L1899),IF($M1899&lt;&gt;"","پرداخت بانکی",""))</f>
        <v/>
      </c>
      <c r="D1899" s="18">
        <f>IF($L1899&lt;&gt;"",IF(INDEX(SCDoc,$L1899)="","—",INDEX(SCDoc,$L1899)),IF($M1899&lt;&gt;"",INDEX(LdgBankB,$M1899),""))</f>
        <v/>
      </c>
      <c r="E1899" s="19">
        <f>IF($L1899&lt;&gt;"",IF(INDEX(SCCitrus,$L1899)&amp;INDEX(SCNotes,$L1899)="","",IF(INDEX(SCCitrus,$L1899)="","",INDEX(SCCitrus,$L1899))&amp;IF(INDEX(SCNotes,$L1899)="",""," — "&amp;INDEX(SCNotes,$L1899))),IF($M1899&lt;&gt;"",IF(INDEX(LdgNoteB,$M1899)="","—",INDEX(LdgNoteB,$M1899)),""))</f>
        <v/>
      </c>
      <c r="F1899" s="20">
        <f>IF($L1899&lt;&gt;"",IF(INDEX(SCNet,$L1899)=0,"",INDEX(SCNet,$L1899)),"")</f>
        <v/>
      </c>
      <c r="G1899" s="21">
        <f>IF($L1899&lt;&gt;"",IF(INDEX(SCOp,$L1899)="مرجوعی فروش","",IF(INDEX(SCAmount,$L1899)&lt;=0,"",INDEX(SCAmount,$L1899))),IF($M1899&lt;&gt;"",IF(INDEX(LdgWitB,$M1899)=0,"",INDEX(LdgWitB,$M1899)),""))</f>
        <v/>
      </c>
      <c r="H1899" s="21">
        <f>IF($L1899&lt;&gt;"",IF(INDEX(SCOp,$L1899)="مرجوعی فروش",IF(INDEX(SCAmount,$L1899)=0,"",-INDEX(SCAmount,$L1899)),""),IF($M1899&lt;&gt;"",IF(INDEX(LdgDepB,$M1899)=0,"",INDEX(LdgDepB,$M1899)),""))</f>
        <v/>
      </c>
      <c r="I1899" s="22">
        <f>IF($B1899="","",IF($I1898="",$C$10,$I1898)+IF($G1899="",0,$G1899)-IF($H1899="",0,$H1899))</f>
        <v/>
      </c>
      <c r="L1899">
        <f>IFERROR(MATCH($C$5&amp;"|"&amp;RIGHT("000000"&amp;1883,6),LdgRankKeyA,0),"")</f>
        <v/>
      </c>
      <c r="M1899">
        <f>IFERROR(MATCH($C$5&amp;"|"&amp;RIGHT("000000"&amp;1883,6),LdgRankKeyB,0),"")</f>
        <v/>
      </c>
    </row>
    <row r="1900">
      <c r="A1900" s="23" t="n">
        <v>1884</v>
      </c>
      <c r="B1900" s="24">
        <f>IF(AND($L1900="",$M1900=""),"",IF($L1900&lt;&gt;"",INDEX(SCNormDate,$L1900),INDEX(LdgDateB,$M1900)))</f>
        <v/>
      </c>
      <c r="C1900" s="24">
        <f>IF($L1900&lt;&gt;"",INDEX(SCOp,$L1900),IF($M1900&lt;&gt;"","پرداخت بانکی",""))</f>
        <v/>
      </c>
      <c r="D1900" s="24">
        <f>IF($L1900&lt;&gt;"",IF(INDEX(SCDoc,$L1900)="","—",INDEX(SCDoc,$L1900)),IF($M1900&lt;&gt;"",INDEX(LdgBankB,$M1900),""))</f>
        <v/>
      </c>
      <c r="E1900" s="25">
        <f>IF($L1900&lt;&gt;"",IF(INDEX(SCCitrus,$L1900)&amp;INDEX(SCNotes,$L1900)="","",IF(INDEX(SCCitrus,$L1900)="","",INDEX(SCCitrus,$L1900))&amp;IF(INDEX(SCNotes,$L1900)="",""," — "&amp;INDEX(SCNotes,$L1900))),IF($M1900&lt;&gt;"",IF(INDEX(LdgNoteB,$M1900)="","—",INDEX(LdgNoteB,$M1900)),""))</f>
        <v/>
      </c>
      <c r="F1900" s="26">
        <f>IF($L1900&lt;&gt;"",IF(INDEX(SCNet,$L1900)=0,"",INDEX(SCNet,$L1900)),"")</f>
        <v/>
      </c>
      <c r="G1900" s="27">
        <f>IF($L1900&lt;&gt;"",IF(INDEX(SCOp,$L1900)="مرجوعی فروش","",IF(INDEX(SCAmount,$L1900)&lt;=0,"",INDEX(SCAmount,$L1900))),IF($M1900&lt;&gt;"",IF(INDEX(LdgWitB,$M1900)=0,"",INDEX(LdgWitB,$M1900)),""))</f>
        <v/>
      </c>
      <c r="H1900" s="27">
        <f>IF($L1900&lt;&gt;"",IF(INDEX(SCOp,$L1900)="مرجوعی فروش",IF(INDEX(SCAmount,$L1900)=0,"",-INDEX(SCAmount,$L1900)),""),IF($M1900&lt;&gt;"",IF(INDEX(LdgDepB,$M1900)=0,"",INDEX(LdgDepB,$M1900)),""))</f>
        <v/>
      </c>
      <c r="I1900" s="28">
        <f>IF($B1900="","",IF($I1899="",$C$10,$I1899)+IF($G1900="",0,$G1900)-IF($H1900="",0,$H1900))</f>
        <v/>
      </c>
      <c r="L1900">
        <f>IFERROR(MATCH($C$5&amp;"|"&amp;RIGHT("000000"&amp;1884,6),LdgRankKeyA,0),"")</f>
        <v/>
      </c>
      <c r="M1900">
        <f>IFERROR(MATCH($C$5&amp;"|"&amp;RIGHT("000000"&amp;1884,6),LdgRankKeyB,0),"")</f>
        <v/>
      </c>
    </row>
    <row r="1901">
      <c r="A1901" s="17" t="n">
        <v>1885</v>
      </c>
      <c r="B1901" s="18">
        <f>IF(AND($L1901="",$M1901=""),"",IF($L1901&lt;&gt;"",INDEX(SCNormDate,$L1901),INDEX(LdgDateB,$M1901)))</f>
        <v/>
      </c>
      <c r="C1901" s="18">
        <f>IF($L1901&lt;&gt;"",INDEX(SCOp,$L1901),IF($M1901&lt;&gt;"","پرداخت بانکی",""))</f>
        <v/>
      </c>
      <c r="D1901" s="18">
        <f>IF($L1901&lt;&gt;"",IF(INDEX(SCDoc,$L1901)="","—",INDEX(SCDoc,$L1901)),IF($M1901&lt;&gt;"",INDEX(LdgBankB,$M1901),""))</f>
        <v/>
      </c>
      <c r="E1901" s="19">
        <f>IF($L1901&lt;&gt;"",IF(INDEX(SCCitrus,$L1901)&amp;INDEX(SCNotes,$L1901)="","",IF(INDEX(SCCitrus,$L1901)="","",INDEX(SCCitrus,$L1901))&amp;IF(INDEX(SCNotes,$L1901)="",""," — "&amp;INDEX(SCNotes,$L1901))),IF($M1901&lt;&gt;"",IF(INDEX(LdgNoteB,$M1901)="","—",INDEX(LdgNoteB,$M1901)),""))</f>
        <v/>
      </c>
      <c r="F1901" s="20">
        <f>IF($L1901&lt;&gt;"",IF(INDEX(SCNet,$L1901)=0,"",INDEX(SCNet,$L1901)),"")</f>
        <v/>
      </c>
      <c r="G1901" s="21">
        <f>IF($L1901&lt;&gt;"",IF(INDEX(SCOp,$L1901)="مرجوعی فروش","",IF(INDEX(SCAmount,$L1901)&lt;=0,"",INDEX(SCAmount,$L1901))),IF($M1901&lt;&gt;"",IF(INDEX(LdgWitB,$M1901)=0,"",INDEX(LdgWitB,$M1901)),""))</f>
        <v/>
      </c>
      <c r="H1901" s="21">
        <f>IF($L1901&lt;&gt;"",IF(INDEX(SCOp,$L1901)="مرجوعی فروش",IF(INDEX(SCAmount,$L1901)=0,"",-INDEX(SCAmount,$L1901)),""),IF($M1901&lt;&gt;"",IF(INDEX(LdgDepB,$M1901)=0,"",INDEX(LdgDepB,$M1901)),""))</f>
        <v/>
      </c>
      <c r="I1901" s="22">
        <f>IF($B1901="","",IF($I1900="",$C$10,$I1900)+IF($G1901="",0,$G1901)-IF($H1901="",0,$H1901))</f>
        <v/>
      </c>
      <c r="L1901">
        <f>IFERROR(MATCH($C$5&amp;"|"&amp;RIGHT("000000"&amp;1885,6),LdgRankKeyA,0),"")</f>
        <v/>
      </c>
      <c r="M1901">
        <f>IFERROR(MATCH($C$5&amp;"|"&amp;RIGHT("000000"&amp;1885,6),LdgRankKeyB,0),"")</f>
        <v/>
      </c>
    </row>
    <row r="1902">
      <c r="A1902" s="23" t="n">
        <v>1886</v>
      </c>
      <c r="B1902" s="24">
        <f>IF(AND($L1902="",$M1902=""),"",IF($L1902&lt;&gt;"",INDEX(SCNormDate,$L1902),INDEX(LdgDateB,$M1902)))</f>
        <v/>
      </c>
      <c r="C1902" s="24">
        <f>IF($L1902&lt;&gt;"",INDEX(SCOp,$L1902),IF($M1902&lt;&gt;"","پرداخت بانکی",""))</f>
        <v/>
      </c>
      <c r="D1902" s="24">
        <f>IF($L1902&lt;&gt;"",IF(INDEX(SCDoc,$L1902)="","—",INDEX(SCDoc,$L1902)),IF($M1902&lt;&gt;"",INDEX(LdgBankB,$M1902),""))</f>
        <v/>
      </c>
      <c r="E1902" s="25">
        <f>IF($L1902&lt;&gt;"",IF(INDEX(SCCitrus,$L1902)&amp;INDEX(SCNotes,$L1902)="","",IF(INDEX(SCCitrus,$L1902)="","",INDEX(SCCitrus,$L1902))&amp;IF(INDEX(SCNotes,$L1902)="",""," — "&amp;INDEX(SCNotes,$L1902))),IF($M1902&lt;&gt;"",IF(INDEX(LdgNoteB,$M1902)="","—",INDEX(LdgNoteB,$M1902)),""))</f>
        <v/>
      </c>
      <c r="F1902" s="26">
        <f>IF($L1902&lt;&gt;"",IF(INDEX(SCNet,$L1902)=0,"",INDEX(SCNet,$L1902)),"")</f>
        <v/>
      </c>
      <c r="G1902" s="27">
        <f>IF($L1902&lt;&gt;"",IF(INDEX(SCOp,$L1902)="مرجوعی فروش","",IF(INDEX(SCAmount,$L1902)&lt;=0,"",INDEX(SCAmount,$L1902))),IF($M1902&lt;&gt;"",IF(INDEX(LdgWitB,$M1902)=0,"",INDEX(LdgWitB,$M1902)),""))</f>
        <v/>
      </c>
      <c r="H1902" s="27">
        <f>IF($L1902&lt;&gt;"",IF(INDEX(SCOp,$L1902)="مرجوعی فروش",IF(INDEX(SCAmount,$L1902)=0,"",-INDEX(SCAmount,$L1902)),""),IF($M1902&lt;&gt;"",IF(INDEX(LdgDepB,$M1902)=0,"",INDEX(LdgDepB,$M1902)),""))</f>
        <v/>
      </c>
      <c r="I1902" s="28">
        <f>IF($B1902="","",IF($I1901="",$C$10,$I1901)+IF($G1902="",0,$G1902)-IF($H1902="",0,$H1902))</f>
        <v/>
      </c>
      <c r="L1902">
        <f>IFERROR(MATCH($C$5&amp;"|"&amp;RIGHT("000000"&amp;1886,6),LdgRankKeyA,0),"")</f>
        <v/>
      </c>
      <c r="M1902">
        <f>IFERROR(MATCH($C$5&amp;"|"&amp;RIGHT("000000"&amp;1886,6),LdgRankKeyB,0),"")</f>
        <v/>
      </c>
    </row>
    <row r="1903">
      <c r="A1903" s="17" t="n">
        <v>1887</v>
      </c>
      <c r="B1903" s="18">
        <f>IF(AND($L1903="",$M1903=""),"",IF($L1903&lt;&gt;"",INDEX(SCNormDate,$L1903),INDEX(LdgDateB,$M1903)))</f>
        <v/>
      </c>
      <c r="C1903" s="18">
        <f>IF($L1903&lt;&gt;"",INDEX(SCOp,$L1903),IF($M1903&lt;&gt;"","پرداخت بانکی",""))</f>
        <v/>
      </c>
      <c r="D1903" s="18">
        <f>IF($L1903&lt;&gt;"",IF(INDEX(SCDoc,$L1903)="","—",INDEX(SCDoc,$L1903)),IF($M1903&lt;&gt;"",INDEX(LdgBankB,$M1903),""))</f>
        <v/>
      </c>
      <c r="E1903" s="19">
        <f>IF($L1903&lt;&gt;"",IF(INDEX(SCCitrus,$L1903)&amp;INDEX(SCNotes,$L1903)="","",IF(INDEX(SCCitrus,$L1903)="","",INDEX(SCCitrus,$L1903))&amp;IF(INDEX(SCNotes,$L1903)="",""," — "&amp;INDEX(SCNotes,$L1903))),IF($M1903&lt;&gt;"",IF(INDEX(LdgNoteB,$M1903)="","—",INDEX(LdgNoteB,$M1903)),""))</f>
        <v/>
      </c>
      <c r="F1903" s="20">
        <f>IF($L1903&lt;&gt;"",IF(INDEX(SCNet,$L1903)=0,"",INDEX(SCNet,$L1903)),"")</f>
        <v/>
      </c>
      <c r="G1903" s="21">
        <f>IF($L1903&lt;&gt;"",IF(INDEX(SCOp,$L1903)="مرجوعی فروش","",IF(INDEX(SCAmount,$L1903)&lt;=0,"",INDEX(SCAmount,$L1903))),IF($M1903&lt;&gt;"",IF(INDEX(LdgWitB,$M1903)=0,"",INDEX(LdgWitB,$M1903)),""))</f>
        <v/>
      </c>
      <c r="H1903" s="21">
        <f>IF($L1903&lt;&gt;"",IF(INDEX(SCOp,$L1903)="مرجوعی فروش",IF(INDEX(SCAmount,$L1903)=0,"",-INDEX(SCAmount,$L1903)),""),IF($M1903&lt;&gt;"",IF(INDEX(LdgDepB,$M1903)=0,"",INDEX(LdgDepB,$M1903)),""))</f>
        <v/>
      </c>
      <c r="I1903" s="22">
        <f>IF($B1903="","",IF($I1902="",$C$10,$I1902)+IF($G1903="",0,$G1903)-IF($H1903="",0,$H1903))</f>
        <v/>
      </c>
      <c r="L1903">
        <f>IFERROR(MATCH($C$5&amp;"|"&amp;RIGHT("000000"&amp;1887,6),LdgRankKeyA,0),"")</f>
        <v/>
      </c>
      <c r="M1903">
        <f>IFERROR(MATCH($C$5&amp;"|"&amp;RIGHT("000000"&amp;1887,6),LdgRankKeyB,0),"")</f>
        <v/>
      </c>
    </row>
    <row r="1904">
      <c r="A1904" s="23" t="n">
        <v>1888</v>
      </c>
      <c r="B1904" s="24">
        <f>IF(AND($L1904="",$M1904=""),"",IF($L1904&lt;&gt;"",INDEX(SCNormDate,$L1904),INDEX(LdgDateB,$M1904)))</f>
        <v/>
      </c>
      <c r="C1904" s="24">
        <f>IF($L1904&lt;&gt;"",INDEX(SCOp,$L1904),IF($M1904&lt;&gt;"","پرداخت بانکی",""))</f>
        <v/>
      </c>
      <c r="D1904" s="24">
        <f>IF($L1904&lt;&gt;"",IF(INDEX(SCDoc,$L1904)="","—",INDEX(SCDoc,$L1904)),IF($M1904&lt;&gt;"",INDEX(LdgBankB,$M1904),""))</f>
        <v/>
      </c>
      <c r="E1904" s="25">
        <f>IF($L1904&lt;&gt;"",IF(INDEX(SCCitrus,$L1904)&amp;INDEX(SCNotes,$L1904)="","",IF(INDEX(SCCitrus,$L1904)="","",INDEX(SCCitrus,$L1904))&amp;IF(INDEX(SCNotes,$L1904)="",""," — "&amp;INDEX(SCNotes,$L1904))),IF($M1904&lt;&gt;"",IF(INDEX(LdgNoteB,$M1904)="","—",INDEX(LdgNoteB,$M1904)),""))</f>
        <v/>
      </c>
      <c r="F1904" s="26">
        <f>IF($L1904&lt;&gt;"",IF(INDEX(SCNet,$L1904)=0,"",INDEX(SCNet,$L1904)),"")</f>
        <v/>
      </c>
      <c r="G1904" s="27">
        <f>IF($L1904&lt;&gt;"",IF(INDEX(SCOp,$L1904)="مرجوعی فروش","",IF(INDEX(SCAmount,$L1904)&lt;=0,"",INDEX(SCAmount,$L1904))),IF($M1904&lt;&gt;"",IF(INDEX(LdgWitB,$M1904)=0,"",INDEX(LdgWitB,$M1904)),""))</f>
        <v/>
      </c>
      <c r="H1904" s="27">
        <f>IF($L1904&lt;&gt;"",IF(INDEX(SCOp,$L1904)="مرجوعی فروش",IF(INDEX(SCAmount,$L1904)=0,"",-INDEX(SCAmount,$L1904)),""),IF($M1904&lt;&gt;"",IF(INDEX(LdgDepB,$M1904)=0,"",INDEX(LdgDepB,$M1904)),""))</f>
        <v/>
      </c>
      <c r="I1904" s="28">
        <f>IF($B1904="","",IF($I1903="",$C$10,$I1903)+IF($G1904="",0,$G1904)-IF($H1904="",0,$H1904))</f>
        <v/>
      </c>
      <c r="L1904">
        <f>IFERROR(MATCH($C$5&amp;"|"&amp;RIGHT("000000"&amp;1888,6),LdgRankKeyA,0),"")</f>
        <v/>
      </c>
      <c r="M1904">
        <f>IFERROR(MATCH($C$5&amp;"|"&amp;RIGHT("000000"&amp;1888,6),LdgRankKeyB,0),"")</f>
        <v/>
      </c>
    </row>
    <row r="1905">
      <c r="A1905" s="17" t="n">
        <v>1889</v>
      </c>
      <c r="B1905" s="18">
        <f>IF(AND($L1905="",$M1905=""),"",IF($L1905&lt;&gt;"",INDEX(SCNormDate,$L1905),INDEX(LdgDateB,$M1905)))</f>
        <v/>
      </c>
      <c r="C1905" s="18">
        <f>IF($L1905&lt;&gt;"",INDEX(SCOp,$L1905),IF($M1905&lt;&gt;"","پرداخت بانکی",""))</f>
        <v/>
      </c>
      <c r="D1905" s="18">
        <f>IF($L1905&lt;&gt;"",IF(INDEX(SCDoc,$L1905)="","—",INDEX(SCDoc,$L1905)),IF($M1905&lt;&gt;"",INDEX(LdgBankB,$M1905),""))</f>
        <v/>
      </c>
      <c r="E1905" s="19">
        <f>IF($L1905&lt;&gt;"",IF(INDEX(SCCitrus,$L1905)&amp;INDEX(SCNotes,$L1905)="","",IF(INDEX(SCCitrus,$L1905)="","",INDEX(SCCitrus,$L1905))&amp;IF(INDEX(SCNotes,$L1905)="",""," — "&amp;INDEX(SCNotes,$L1905))),IF($M1905&lt;&gt;"",IF(INDEX(LdgNoteB,$M1905)="","—",INDEX(LdgNoteB,$M1905)),""))</f>
        <v/>
      </c>
      <c r="F1905" s="20">
        <f>IF($L1905&lt;&gt;"",IF(INDEX(SCNet,$L1905)=0,"",INDEX(SCNet,$L1905)),"")</f>
        <v/>
      </c>
      <c r="G1905" s="21">
        <f>IF($L1905&lt;&gt;"",IF(INDEX(SCOp,$L1905)="مرجوعی فروش","",IF(INDEX(SCAmount,$L1905)&lt;=0,"",INDEX(SCAmount,$L1905))),IF($M1905&lt;&gt;"",IF(INDEX(LdgWitB,$M1905)=0,"",INDEX(LdgWitB,$M1905)),""))</f>
        <v/>
      </c>
      <c r="H1905" s="21">
        <f>IF($L1905&lt;&gt;"",IF(INDEX(SCOp,$L1905)="مرجوعی فروش",IF(INDEX(SCAmount,$L1905)=0,"",-INDEX(SCAmount,$L1905)),""),IF($M1905&lt;&gt;"",IF(INDEX(LdgDepB,$M1905)=0,"",INDEX(LdgDepB,$M1905)),""))</f>
        <v/>
      </c>
      <c r="I1905" s="22">
        <f>IF($B1905="","",IF($I1904="",$C$10,$I1904)+IF($G1905="",0,$G1905)-IF($H1905="",0,$H1905))</f>
        <v/>
      </c>
      <c r="L1905">
        <f>IFERROR(MATCH($C$5&amp;"|"&amp;RIGHT("000000"&amp;1889,6),LdgRankKeyA,0),"")</f>
        <v/>
      </c>
      <c r="M1905">
        <f>IFERROR(MATCH($C$5&amp;"|"&amp;RIGHT("000000"&amp;1889,6),LdgRankKeyB,0),"")</f>
        <v/>
      </c>
    </row>
    <row r="1906">
      <c r="A1906" s="23" t="n">
        <v>1890</v>
      </c>
      <c r="B1906" s="24">
        <f>IF(AND($L1906="",$M1906=""),"",IF($L1906&lt;&gt;"",INDEX(SCNormDate,$L1906),INDEX(LdgDateB,$M1906)))</f>
        <v/>
      </c>
      <c r="C1906" s="24">
        <f>IF($L1906&lt;&gt;"",INDEX(SCOp,$L1906),IF($M1906&lt;&gt;"","پرداخت بانکی",""))</f>
        <v/>
      </c>
      <c r="D1906" s="24">
        <f>IF($L1906&lt;&gt;"",IF(INDEX(SCDoc,$L1906)="","—",INDEX(SCDoc,$L1906)),IF($M1906&lt;&gt;"",INDEX(LdgBankB,$M1906),""))</f>
        <v/>
      </c>
      <c r="E1906" s="25">
        <f>IF($L1906&lt;&gt;"",IF(INDEX(SCCitrus,$L1906)&amp;INDEX(SCNotes,$L1906)="","",IF(INDEX(SCCitrus,$L1906)="","",INDEX(SCCitrus,$L1906))&amp;IF(INDEX(SCNotes,$L1906)="",""," — "&amp;INDEX(SCNotes,$L1906))),IF($M1906&lt;&gt;"",IF(INDEX(LdgNoteB,$M1906)="","—",INDEX(LdgNoteB,$M1906)),""))</f>
        <v/>
      </c>
      <c r="F1906" s="26">
        <f>IF($L1906&lt;&gt;"",IF(INDEX(SCNet,$L1906)=0,"",INDEX(SCNet,$L1906)),"")</f>
        <v/>
      </c>
      <c r="G1906" s="27">
        <f>IF($L1906&lt;&gt;"",IF(INDEX(SCOp,$L1906)="مرجوعی فروش","",IF(INDEX(SCAmount,$L1906)&lt;=0,"",INDEX(SCAmount,$L1906))),IF($M1906&lt;&gt;"",IF(INDEX(LdgWitB,$M1906)=0,"",INDEX(LdgWitB,$M1906)),""))</f>
        <v/>
      </c>
      <c r="H1906" s="27">
        <f>IF($L1906&lt;&gt;"",IF(INDEX(SCOp,$L1906)="مرجوعی فروش",IF(INDEX(SCAmount,$L1906)=0,"",-INDEX(SCAmount,$L1906)),""),IF($M1906&lt;&gt;"",IF(INDEX(LdgDepB,$M1906)=0,"",INDEX(LdgDepB,$M1906)),""))</f>
        <v/>
      </c>
      <c r="I1906" s="28">
        <f>IF($B1906="","",IF($I1905="",$C$10,$I1905)+IF($G1906="",0,$G1906)-IF($H1906="",0,$H1906))</f>
        <v/>
      </c>
      <c r="L1906">
        <f>IFERROR(MATCH($C$5&amp;"|"&amp;RIGHT("000000"&amp;1890,6),LdgRankKeyA,0),"")</f>
        <v/>
      </c>
      <c r="M1906">
        <f>IFERROR(MATCH($C$5&amp;"|"&amp;RIGHT("000000"&amp;1890,6),LdgRankKeyB,0),"")</f>
        <v/>
      </c>
    </row>
    <row r="1907">
      <c r="A1907" s="17" t="n">
        <v>1891</v>
      </c>
      <c r="B1907" s="18">
        <f>IF(AND($L1907="",$M1907=""),"",IF($L1907&lt;&gt;"",INDEX(SCNormDate,$L1907),INDEX(LdgDateB,$M1907)))</f>
        <v/>
      </c>
      <c r="C1907" s="18">
        <f>IF($L1907&lt;&gt;"",INDEX(SCOp,$L1907),IF($M1907&lt;&gt;"","پرداخت بانکی",""))</f>
        <v/>
      </c>
      <c r="D1907" s="18">
        <f>IF($L1907&lt;&gt;"",IF(INDEX(SCDoc,$L1907)="","—",INDEX(SCDoc,$L1907)),IF($M1907&lt;&gt;"",INDEX(LdgBankB,$M1907),""))</f>
        <v/>
      </c>
      <c r="E1907" s="19">
        <f>IF($L1907&lt;&gt;"",IF(INDEX(SCCitrus,$L1907)&amp;INDEX(SCNotes,$L1907)="","",IF(INDEX(SCCitrus,$L1907)="","",INDEX(SCCitrus,$L1907))&amp;IF(INDEX(SCNotes,$L1907)="",""," — "&amp;INDEX(SCNotes,$L1907))),IF($M1907&lt;&gt;"",IF(INDEX(LdgNoteB,$M1907)="","—",INDEX(LdgNoteB,$M1907)),""))</f>
        <v/>
      </c>
      <c r="F1907" s="20">
        <f>IF($L1907&lt;&gt;"",IF(INDEX(SCNet,$L1907)=0,"",INDEX(SCNet,$L1907)),"")</f>
        <v/>
      </c>
      <c r="G1907" s="21">
        <f>IF($L1907&lt;&gt;"",IF(INDEX(SCOp,$L1907)="مرجوعی فروش","",IF(INDEX(SCAmount,$L1907)&lt;=0,"",INDEX(SCAmount,$L1907))),IF($M1907&lt;&gt;"",IF(INDEX(LdgWitB,$M1907)=0,"",INDEX(LdgWitB,$M1907)),""))</f>
        <v/>
      </c>
      <c r="H1907" s="21">
        <f>IF($L1907&lt;&gt;"",IF(INDEX(SCOp,$L1907)="مرجوعی فروش",IF(INDEX(SCAmount,$L1907)=0,"",-INDEX(SCAmount,$L1907)),""),IF($M1907&lt;&gt;"",IF(INDEX(LdgDepB,$M1907)=0,"",INDEX(LdgDepB,$M1907)),""))</f>
        <v/>
      </c>
      <c r="I1907" s="22">
        <f>IF($B1907="","",IF($I1906="",$C$10,$I1906)+IF($G1907="",0,$G1907)-IF($H1907="",0,$H1907))</f>
        <v/>
      </c>
      <c r="L1907">
        <f>IFERROR(MATCH($C$5&amp;"|"&amp;RIGHT("000000"&amp;1891,6),LdgRankKeyA,0),"")</f>
        <v/>
      </c>
      <c r="M1907">
        <f>IFERROR(MATCH($C$5&amp;"|"&amp;RIGHT("000000"&amp;1891,6),LdgRankKeyB,0),"")</f>
        <v/>
      </c>
    </row>
    <row r="1908">
      <c r="A1908" s="23" t="n">
        <v>1892</v>
      </c>
      <c r="B1908" s="24">
        <f>IF(AND($L1908="",$M1908=""),"",IF($L1908&lt;&gt;"",INDEX(SCNormDate,$L1908),INDEX(LdgDateB,$M1908)))</f>
        <v/>
      </c>
      <c r="C1908" s="24">
        <f>IF($L1908&lt;&gt;"",INDEX(SCOp,$L1908),IF($M1908&lt;&gt;"","پرداخت بانکی",""))</f>
        <v/>
      </c>
      <c r="D1908" s="24">
        <f>IF($L1908&lt;&gt;"",IF(INDEX(SCDoc,$L1908)="","—",INDEX(SCDoc,$L1908)),IF($M1908&lt;&gt;"",INDEX(LdgBankB,$M1908),""))</f>
        <v/>
      </c>
      <c r="E1908" s="25">
        <f>IF($L1908&lt;&gt;"",IF(INDEX(SCCitrus,$L1908)&amp;INDEX(SCNotes,$L1908)="","",IF(INDEX(SCCitrus,$L1908)="","",INDEX(SCCitrus,$L1908))&amp;IF(INDEX(SCNotes,$L1908)="",""," — "&amp;INDEX(SCNotes,$L1908))),IF($M1908&lt;&gt;"",IF(INDEX(LdgNoteB,$M1908)="","—",INDEX(LdgNoteB,$M1908)),""))</f>
        <v/>
      </c>
      <c r="F1908" s="26">
        <f>IF($L1908&lt;&gt;"",IF(INDEX(SCNet,$L1908)=0,"",INDEX(SCNet,$L1908)),"")</f>
        <v/>
      </c>
      <c r="G1908" s="27">
        <f>IF($L1908&lt;&gt;"",IF(INDEX(SCOp,$L1908)="مرجوعی فروش","",IF(INDEX(SCAmount,$L1908)&lt;=0,"",INDEX(SCAmount,$L1908))),IF($M1908&lt;&gt;"",IF(INDEX(LdgWitB,$M1908)=0,"",INDEX(LdgWitB,$M1908)),""))</f>
        <v/>
      </c>
      <c r="H1908" s="27">
        <f>IF($L1908&lt;&gt;"",IF(INDEX(SCOp,$L1908)="مرجوعی فروش",IF(INDEX(SCAmount,$L1908)=0,"",-INDEX(SCAmount,$L1908)),""),IF($M1908&lt;&gt;"",IF(INDEX(LdgDepB,$M1908)=0,"",INDEX(LdgDepB,$M1908)),""))</f>
        <v/>
      </c>
      <c r="I1908" s="28">
        <f>IF($B1908="","",IF($I1907="",$C$10,$I1907)+IF($G1908="",0,$G1908)-IF($H1908="",0,$H1908))</f>
        <v/>
      </c>
      <c r="L1908">
        <f>IFERROR(MATCH($C$5&amp;"|"&amp;RIGHT("000000"&amp;1892,6),LdgRankKeyA,0),"")</f>
        <v/>
      </c>
      <c r="M1908">
        <f>IFERROR(MATCH($C$5&amp;"|"&amp;RIGHT("000000"&amp;1892,6),LdgRankKeyB,0),"")</f>
        <v/>
      </c>
    </row>
    <row r="1909">
      <c r="A1909" s="17" t="n">
        <v>1893</v>
      </c>
      <c r="B1909" s="18">
        <f>IF(AND($L1909="",$M1909=""),"",IF($L1909&lt;&gt;"",INDEX(SCNormDate,$L1909),INDEX(LdgDateB,$M1909)))</f>
        <v/>
      </c>
      <c r="C1909" s="18">
        <f>IF($L1909&lt;&gt;"",INDEX(SCOp,$L1909),IF($M1909&lt;&gt;"","پرداخت بانکی",""))</f>
        <v/>
      </c>
      <c r="D1909" s="18">
        <f>IF($L1909&lt;&gt;"",IF(INDEX(SCDoc,$L1909)="","—",INDEX(SCDoc,$L1909)),IF($M1909&lt;&gt;"",INDEX(LdgBankB,$M1909),""))</f>
        <v/>
      </c>
      <c r="E1909" s="19">
        <f>IF($L1909&lt;&gt;"",IF(INDEX(SCCitrus,$L1909)&amp;INDEX(SCNotes,$L1909)="","",IF(INDEX(SCCitrus,$L1909)="","",INDEX(SCCitrus,$L1909))&amp;IF(INDEX(SCNotes,$L1909)="",""," — "&amp;INDEX(SCNotes,$L1909))),IF($M1909&lt;&gt;"",IF(INDEX(LdgNoteB,$M1909)="","—",INDEX(LdgNoteB,$M1909)),""))</f>
        <v/>
      </c>
      <c r="F1909" s="20">
        <f>IF($L1909&lt;&gt;"",IF(INDEX(SCNet,$L1909)=0,"",INDEX(SCNet,$L1909)),"")</f>
        <v/>
      </c>
      <c r="G1909" s="21">
        <f>IF($L1909&lt;&gt;"",IF(INDEX(SCOp,$L1909)="مرجوعی فروش","",IF(INDEX(SCAmount,$L1909)&lt;=0,"",INDEX(SCAmount,$L1909))),IF($M1909&lt;&gt;"",IF(INDEX(LdgWitB,$M1909)=0,"",INDEX(LdgWitB,$M1909)),""))</f>
        <v/>
      </c>
      <c r="H1909" s="21">
        <f>IF($L1909&lt;&gt;"",IF(INDEX(SCOp,$L1909)="مرجوعی فروش",IF(INDEX(SCAmount,$L1909)=0,"",-INDEX(SCAmount,$L1909)),""),IF($M1909&lt;&gt;"",IF(INDEX(LdgDepB,$M1909)=0,"",INDEX(LdgDepB,$M1909)),""))</f>
        <v/>
      </c>
      <c r="I1909" s="22">
        <f>IF($B1909="","",IF($I1908="",$C$10,$I1908)+IF($G1909="",0,$G1909)-IF($H1909="",0,$H1909))</f>
        <v/>
      </c>
      <c r="L1909">
        <f>IFERROR(MATCH($C$5&amp;"|"&amp;RIGHT("000000"&amp;1893,6),LdgRankKeyA,0),"")</f>
        <v/>
      </c>
      <c r="M1909">
        <f>IFERROR(MATCH($C$5&amp;"|"&amp;RIGHT("000000"&amp;1893,6),LdgRankKeyB,0),"")</f>
        <v/>
      </c>
    </row>
    <row r="1910">
      <c r="A1910" s="23" t="n">
        <v>1894</v>
      </c>
      <c r="B1910" s="24">
        <f>IF(AND($L1910="",$M1910=""),"",IF($L1910&lt;&gt;"",INDEX(SCNormDate,$L1910),INDEX(LdgDateB,$M1910)))</f>
        <v/>
      </c>
      <c r="C1910" s="24">
        <f>IF($L1910&lt;&gt;"",INDEX(SCOp,$L1910),IF($M1910&lt;&gt;"","پرداخت بانکی",""))</f>
        <v/>
      </c>
      <c r="D1910" s="24">
        <f>IF($L1910&lt;&gt;"",IF(INDEX(SCDoc,$L1910)="","—",INDEX(SCDoc,$L1910)),IF($M1910&lt;&gt;"",INDEX(LdgBankB,$M1910),""))</f>
        <v/>
      </c>
      <c r="E1910" s="25">
        <f>IF($L1910&lt;&gt;"",IF(INDEX(SCCitrus,$L1910)&amp;INDEX(SCNotes,$L1910)="","",IF(INDEX(SCCitrus,$L1910)="","",INDEX(SCCitrus,$L1910))&amp;IF(INDEX(SCNotes,$L1910)="",""," — "&amp;INDEX(SCNotes,$L1910))),IF($M1910&lt;&gt;"",IF(INDEX(LdgNoteB,$M1910)="","—",INDEX(LdgNoteB,$M1910)),""))</f>
        <v/>
      </c>
      <c r="F1910" s="26">
        <f>IF($L1910&lt;&gt;"",IF(INDEX(SCNet,$L1910)=0,"",INDEX(SCNet,$L1910)),"")</f>
        <v/>
      </c>
      <c r="G1910" s="27">
        <f>IF($L1910&lt;&gt;"",IF(INDEX(SCOp,$L1910)="مرجوعی فروش","",IF(INDEX(SCAmount,$L1910)&lt;=0,"",INDEX(SCAmount,$L1910))),IF($M1910&lt;&gt;"",IF(INDEX(LdgWitB,$M1910)=0,"",INDEX(LdgWitB,$M1910)),""))</f>
        <v/>
      </c>
      <c r="H1910" s="27">
        <f>IF($L1910&lt;&gt;"",IF(INDEX(SCOp,$L1910)="مرجوعی فروش",IF(INDEX(SCAmount,$L1910)=0,"",-INDEX(SCAmount,$L1910)),""),IF($M1910&lt;&gt;"",IF(INDEX(LdgDepB,$M1910)=0,"",INDEX(LdgDepB,$M1910)),""))</f>
        <v/>
      </c>
      <c r="I1910" s="28">
        <f>IF($B1910="","",IF($I1909="",$C$10,$I1909)+IF($G1910="",0,$G1910)-IF($H1910="",0,$H1910))</f>
        <v/>
      </c>
      <c r="L1910">
        <f>IFERROR(MATCH($C$5&amp;"|"&amp;RIGHT("000000"&amp;1894,6),LdgRankKeyA,0),"")</f>
        <v/>
      </c>
      <c r="M1910">
        <f>IFERROR(MATCH($C$5&amp;"|"&amp;RIGHT("000000"&amp;1894,6),LdgRankKeyB,0),"")</f>
        <v/>
      </c>
    </row>
    <row r="1911">
      <c r="A1911" s="17" t="n">
        <v>1895</v>
      </c>
      <c r="B1911" s="18">
        <f>IF(AND($L1911="",$M1911=""),"",IF($L1911&lt;&gt;"",INDEX(SCNormDate,$L1911),INDEX(LdgDateB,$M1911)))</f>
        <v/>
      </c>
      <c r="C1911" s="18">
        <f>IF($L1911&lt;&gt;"",INDEX(SCOp,$L1911),IF($M1911&lt;&gt;"","پرداخت بانکی",""))</f>
        <v/>
      </c>
      <c r="D1911" s="18">
        <f>IF($L1911&lt;&gt;"",IF(INDEX(SCDoc,$L1911)="","—",INDEX(SCDoc,$L1911)),IF($M1911&lt;&gt;"",INDEX(LdgBankB,$M1911),""))</f>
        <v/>
      </c>
      <c r="E1911" s="19">
        <f>IF($L1911&lt;&gt;"",IF(INDEX(SCCitrus,$L1911)&amp;INDEX(SCNotes,$L1911)="","",IF(INDEX(SCCitrus,$L1911)="","",INDEX(SCCitrus,$L1911))&amp;IF(INDEX(SCNotes,$L1911)="",""," — "&amp;INDEX(SCNotes,$L1911))),IF($M1911&lt;&gt;"",IF(INDEX(LdgNoteB,$M1911)="","—",INDEX(LdgNoteB,$M1911)),""))</f>
        <v/>
      </c>
      <c r="F1911" s="20">
        <f>IF($L1911&lt;&gt;"",IF(INDEX(SCNet,$L1911)=0,"",INDEX(SCNet,$L1911)),"")</f>
        <v/>
      </c>
      <c r="G1911" s="21">
        <f>IF($L1911&lt;&gt;"",IF(INDEX(SCOp,$L1911)="مرجوعی فروش","",IF(INDEX(SCAmount,$L1911)&lt;=0,"",INDEX(SCAmount,$L1911))),IF($M1911&lt;&gt;"",IF(INDEX(LdgWitB,$M1911)=0,"",INDEX(LdgWitB,$M1911)),""))</f>
        <v/>
      </c>
      <c r="H1911" s="21">
        <f>IF($L1911&lt;&gt;"",IF(INDEX(SCOp,$L1911)="مرجوعی فروش",IF(INDEX(SCAmount,$L1911)=0,"",-INDEX(SCAmount,$L1911)),""),IF($M1911&lt;&gt;"",IF(INDEX(LdgDepB,$M1911)=0,"",INDEX(LdgDepB,$M1911)),""))</f>
        <v/>
      </c>
      <c r="I1911" s="22">
        <f>IF($B1911="","",IF($I1910="",$C$10,$I1910)+IF($G1911="",0,$G1911)-IF($H1911="",0,$H1911))</f>
        <v/>
      </c>
      <c r="L1911">
        <f>IFERROR(MATCH($C$5&amp;"|"&amp;RIGHT("000000"&amp;1895,6),LdgRankKeyA,0),"")</f>
        <v/>
      </c>
      <c r="M1911">
        <f>IFERROR(MATCH($C$5&amp;"|"&amp;RIGHT("000000"&amp;1895,6),LdgRankKeyB,0),"")</f>
        <v/>
      </c>
    </row>
    <row r="1912">
      <c r="A1912" s="23" t="n">
        <v>1896</v>
      </c>
      <c r="B1912" s="24">
        <f>IF(AND($L1912="",$M1912=""),"",IF($L1912&lt;&gt;"",INDEX(SCNormDate,$L1912),INDEX(LdgDateB,$M1912)))</f>
        <v/>
      </c>
      <c r="C1912" s="24">
        <f>IF($L1912&lt;&gt;"",INDEX(SCOp,$L1912),IF($M1912&lt;&gt;"","پرداخت بانکی",""))</f>
        <v/>
      </c>
      <c r="D1912" s="24">
        <f>IF($L1912&lt;&gt;"",IF(INDEX(SCDoc,$L1912)="","—",INDEX(SCDoc,$L1912)),IF($M1912&lt;&gt;"",INDEX(LdgBankB,$M1912),""))</f>
        <v/>
      </c>
      <c r="E1912" s="25">
        <f>IF($L1912&lt;&gt;"",IF(INDEX(SCCitrus,$L1912)&amp;INDEX(SCNotes,$L1912)="","",IF(INDEX(SCCitrus,$L1912)="","",INDEX(SCCitrus,$L1912))&amp;IF(INDEX(SCNotes,$L1912)="",""," — "&amp;INDEX(SCNotes,$L1912))),IF($M1912&lt;&gt;"",IF(INDEX(LdgNoteB,$M1912)="","—",INDEX(LdgNoteB,$M1912)),""))</f>
        <v/>
      </c>
      <c r="F1912" s="26">
        <f>IF($L1912&lt;&gt;"",IF(INDEX(SCNet,$L1912)=0,"",INDEX(SCNet,$L1912)),"")</f>
        <v/>
      </c>
      <c r="G1912" s="27">
        <f>IF($L1912&lt;&gt;"",IF(INDEX(SCOp,$L1912)="مرجوعی فروش","",IF(INDEX(SCAmount,$L1912)&lt;=0,"",INDEX(SCAmount,$L1912))),IF($M1912&lt;&gt;"",IF(INDEX(LdgWitB,$M1912)=0,"",INDEX(LdgWitB,$M1912)),""))</f>
        <v/>
      </c>
      <c r="H1912" s="27">
        <f>IF($L1912&lt;&gt;"",IF(INDEX(SCOp,$L1912)="مرجوعی فروش",IF(INDEX(SCAmount,$L1912)=0,"",-INDEX(SCAmount,$L1912)),""),IF($M1912&lt;&gt;"",IF(INDEX(LdgDepB,$M1912)=0,"",INDEX(LdgDepB,$M1912)),""))</f>
        <v/>
      </c>
      <c r="I1912" s="28">
        <f>IF($B1912="","",IF($I1911="",$C$10,$I1911)+IF($G1912="",0,$G1912)-IF($H1912="",0,$H1912))</f>
        <v/>
      </c>
      <c r="L1912">
        <f>IFERROR(MATCH($C$5&amp;"|"&amp;RIGHT("000000"&amp;1896,6),LdgRankKeyA,0),"")</f>
        <v/>
      </c>
      <c r="M1912">
        <f>IFERROR(MATCH($C$5&amp;"|"&amp;RIGHT("000000"&amp;1896,6),LdgRankKeyB,0),"")</f>
        <v/>
      </c>
    </row>
    <row r="1913">
      <c r="A1913" s="17" t="n">
        <v>1897</v>
      </c>
      <c r="B1913" s="18">
        <f>IF(AND($L1913="",$M1913=""),"",IF($L1913&lt;&gt;"",INDEX(SCNormDate,$L1913),INDEX(LdgDateB,$M1913)))</f>
        <v/>
      </c>
      <c r="C1913" s="18">
        <f>IF($L1913&lt;&gt;"",INDEX(SCOp,$L1913),IF($M1913&lt;&gt;"","پرداخت بانکی",""))</f>
        <v/>
      </c>
      <c r="D1913" s="18">
        <f>IF($L1913&lt;&gt;"",IF(INDEX(SCDoc,$L1913)="","—",INDEX(SCDoc,$L1913)),IF($M1913&lt;&gt;"",INDEX(LdgBankB,$M1913),""))</f>
        <v/>
      </c>
      <c r="E1913" s="19">
        <f>IF($L1913&lt;&gt;"",IF(INDEX(SCCitrus,$L1913)&amp;INDEX(SCNotes,$L1913)="","",IF(INDEX(SCCitrus,$L1913)="","",INDEX(SCCitrus,$L1913))&amp;IF(INDEX(SCNotes,$L1913)="",""," — "&amp;INDEX(SCNotes,$L1913))),IF($M1913&lt;&gt;"",IF(INDEX(LdgNoteB,$M1913)="","—",INDEX(LdgNoteB,$M1913)),""))</f>
        <v/>
      </c>
      <c r="F1913" s="20">
        <f>IF($L1913&lt;&gt;"",IF(INDEX(SCNet,$L1913)=0,"",INDEX(SCNet,$L1913)),"")</f>
        <v/>
      </c>
      <c r="G1913" s="21">
        <f>IF($L1913&lt;&gt;"",IF(INDEX(SCOp,$L1913)="مرجوعی فروش","",IF(INDEX(SCAmount,$L1913)&lt;=0,"",INDEX(SCAmount,$L1913))),IF($M1913&lt;&gt;"",IF(INDEX(LdgWitB,$M1913)=0,"",INDEX(LdgWitB,$M1913)),""))</f>
        <v/>
      </c>
      <c r="H1913" s="21">
        <f>IF($L1913&lt;&gt;"",IF(INDEX(SCOp,$L1913)="مرجوعی فروش",IF(INDEX(SCAmount,$L1913)=0,"",-INDEX(SCAmount,$L1913)),""),IF($M1913&lt;&gt;"",IF(INDEX(LdgDepB,$M1913)=0,"",INDEX(LdgDepB,$M1913)),""))</f>
        <v/>
      </c>
      <c r="I1913" s="22">
        <f>IF($B1913="","",IF($I1912="",$C$10,$I1912)+IF($G1913="",0,$G1913)-IF($H1913="",0,$H1913))</f>
        <v/>
      </c>
      <c r="L1913">
        <f>IFERROR(MATCH($C$5&amp;"|"&amp;RIGHT("000000"&amp;1897,6),LdgRankKeyA,0),"")</f>
        <v/>
      </c>
      <c r="M1913">
        <f>IFERROR(MATCH($C$5&amp;"|"&amp;RIGHT("000000"&amp;1897,6),LdgRankKeyB,0),"")</f>
        <v/>
      </c>
    </row>
    <row r="1914">
      <c r="A1914" s="23" t="n">
        <v>1898</v>
      </c>
      <c r="B1914" s="24">
        <f>IF(AND($L1914="",$M1914=""),"",IF($L1914&lt;&gt;"",INDEX(SCNormDate,$L1914),INDEX(LdgDateB,$M1914)))</f>
        <v/>
      </c>
      <c r="C1914" s="24">
        <f>IF($L1914&lt;&gt;"",INDEX(SCOp,$L1914),IF($M1914&lt;&gt;"","پرداخت بانکی",""))</f>
        <v/>
      </c>
      <c r="D1914" s="24">
        <f>IF($L1914&lt;&gt;"",IF(INDEX(SCDoc,$L1914)="","—",INDEX(SCDoc,$L1914)),IF($M1914&lt;&gt;"",INDEX(LdgBankB,$M1914),""))</f>
        <v/>
      </c>
      <c r="E1914" s="25">
        <f>IF($L1914&lt;&gt;"",IF(INDEX(SCCitrus,$L1914)&amp;INDEX(SCNotes,$L1914)="","",IF(INDEX(SCCitrus,$L1914)="","",INDEX(SCCitrus,$L1914))&amp;IF(INDEX(SCNotes,$L1914)="",""," — "&amp;INDEX(SCNotes,$L1914))),IF($M1914&lt;&gt;"",IF(INDEX(LdgNoteB,$M1914)="","—",INDEX(LdgNoteB,$M1914)),""))</f>
        <v/>
      </c>
      <c r="F1914" s="26">
        <f>IF($L1914&lt;&gt;"",IF(INDEX(SCNet,$L1914)=0,"",INDEX(SCNet,$L1914)),"")</f>
        <v/>
      </c>
      <c r="G1914" s="27">
        <f>IF($L1914&lt;&gt;"",IF(INDEX(SCOp,$L1914)="مرجوعی فروش","",IF(INDEX(SCAmount,$L1914)&lt;=0,"",INDEX(SCAmount,$L1914))),IF($M1914&lt;&gt;"",IF(INDEX(LdgWitB,$M1914)=0,"",INDEX(LdgWitB,$M1914)),""))</f>
        <v/>
      </c>
      <c r="H1914" s="27">
        <f>IF($L1914&lt;&gt;"",IF(INDEX(SCOp,$L1914)="مرجوعی فروش",IF(INDEX(SCAmount,$L1914)=0,"",-INDEX(SCAmount,$L1914)),""),IF($M1914&lt;&gt;"",IF(INDEX(LdgDepB,$M1914)=0,"",INDEX(LdgDepB,$M1914)),""))</f>
        <v/>
      </c>
      <c r="I1914" s="28">
        <f>IF($B1914="","",IF($I1913="",$C$10,$I1913)+IF($G1914="",0,$G1914)-IF($H1914="",0,$H1914))</f>
        <v/>
      </c>
      <c r="L1914">
        <f>IFERROR(MATCH($C$5&amp;"|"&amp;RIGHT("000000"&amp;1898,6),LdgRankKeyA,0),"")</f>
        <v/>
      </c>
      <c r="M1914">
        <f>IFERROR(MATCH($C$5&amp;"|"&amp;RIGHT("000000"&amp;1898,6),LdgRankKeyB,0),"")</f>
        <v/>
      </c>
    </row>
    <row r="1915">
      <c r="A1915" s="17" t="n">
        <v>1899</v>
      </c>
      <c r="B1915" s="18">
        <f>IF(AND($L1915="",$M1915=""),"",IF($L1915&lt;&gt;"",INDEX(SCNormDate,$L1915),INDEX(LdgDateB,$M1915)))</f>
        <v/>
      </c>
      <c r="C1915" s="18">
        <f>IF($L1915&lt;&gt;"",INDEX(SCOp,$L1915),IF($M1915&lt;&gt;"","پرداخت بانکی",""))</f>
        <v/>
      </c>
      <c r="D1915" s="18">
        <f>IF($L1915&lt;&gt;"",IF(INDEX(SCDoc,$L1915)="","—",INDEX(SCDoc,$L1915)),IF($M1915&lt;&gt;"",INDEX(LdgBankB,$M1915),""))</f>
        <v/>
      </c>
      <c r="E1915" s="19">
        <f>IF($L1915&lt;&gt;"",IF(INDEX(SCCitrus,$L1915)&amp;INDEX(SCNotes,$L1915)="","",IF(INDEX(SCCitrus,$L1915)="","",INDEX(SCCitrus,$L1915))&amp;IF(INDEX(SCNotes,$L1915)="",""," — "&amp;INDEX(SCNotes,$L1915))),IF($M1915&lt;&gt;"",IF(INDEX(LdgNoteB,$M1915)="","—",INDEX(LdgNoteB,$M1915)),""))</f>
        <v/>
      </c>
      <c r="F1915" s="20">
        <f>IF($L1915&lt;&gt;"",IF(INDEX(SCNet,$L1915)=0,"",INDEX(SCNet,$L1915)),"")</f>
        <v/>
      </c>
      <c r="G1915" s="21">
        <f>IF($L1915&lt;&gt;"",IF(INDEX(SCOp,$L1915)="مرجوعی فروش","",IF(INDEX(SCAmount,$L1915)&lt;=0,"",INDEX(SCAmount,$L1915))),IF($M1915&lt;&gt;"",IF(INDEX(LdgWitB,$M1915)=0,"",INDEX(LdgWitB,$M1915)),""))</f>
        <v/>
      </c>
      <c r="H1915" s="21">
        <f>IF($L1915&lt;&gt;"",IF(INDEX(SCOp,$L1915)="مرجوعی فروش",IF(INDEX(SCAmount,$L1915)=0,"",-INDEX(SCAmount,$L1915)),""),IF($M1915&lt;&gt;"",IF(INDEX(LdgDepB,$M1915)=0,"",INDEX(LdgDepB,$M1915)),""))</f>
        <v/>
      </c>
      <c r="I1915" s="22">
        <f>IF($B1915="","",IF($I1914="",$C$10,$I1914)+IF($G1915="",0,$G1915)-IF($H1915="",0,$H1915))</f>
        <v/>
      </c>
      <c r="L1915">
        <f>IFERROR(MATCH($C$5&amp;"|"&amp;RIGHT("000000"&amp;1899,6),LdgRankKeyA,0),"")</f>
        <v/>
      </c>
      <c r="M1915">
        <f>IFERROR(MATCH($C$5&amp;"|"&amp;RIGHT("000000"&amp;1899,6),LdgRankKeyB,0),"")</f>
        <v/>
      </c>
    </row>
    <row r="1916">
      <c r="A1916" s="23" t="n">
        <v>1900</v>
      </c>
      <c r="B1916" s="24">
        <f>IF(AND($L1916="",$M1916=""),"",IF($L1916&lt;&gt;"",INDEX(SCNormDate,$L1916),INDEX(LdgDateB,$M1916)))</f>
        <v/>
      </c>
      <c r="C1916" s="24">
        <f>IF($L1916&lt;&gt;"",INDEX(SCOp,$L1916),IF($M1916&lt;&gt;"","پرداخت بانکی",""))</f>
        <v/>
      </c>
      <c r="D1916" s="24">
        <f>IF($L1916&lt;&gt;"",IF(INDEX(SCDoc,$L1916)="","—",INDEX(SCDoc,$L1916)),IF($M1916&lt;&gt;"",INDEX(LdgBankB,$M1916),""))</f>
        <v/>
      </c>
      <c r="E1916" s="25">
        <f>IF($L1916&lt;&gt;"",IF(INDEX(SCCitrus,$L1916)&amp;INDEX(SCNotes,$L1916)="","",IF(INDEX(SCCitrus,$L1916)="","",INDEX(SCCitrus,$L1916))&amp;IF(INDEX(SCNotes,$L1916)="",""," — "&amp;INDEX(SCNotes,$L1916))),IF($M1916&lt;&gt;"",IF(INDEX(LdgNoteB,$M1916)="","—",INDEX(LdgNoteB,$M1916)),""))</f>
        <v/>
      </c>
      <c r="F1916" s="26">
        <f>IF($L1916&lt;&gt;"",IF(INDEX(SCNet,$L1916)=0,"",INDEX(SCNet,$L1916)),"")</f>
        <v/>
      </c>
      <c r="G1916" s="27">
        <f>IF($L1916&lt;&gt;"",IF(INDEX(SCOp,$L1916)="مرجوعی فروش","",IF(INDEX(SCAmount,$L1916)&lt;=0,"",INDEX(SCAmount,$L1916))),IF($M1916&lt;&gt;"",IF(INDEX(LdgWitB,$M1916)=0,"",INDEX(LdgWitB,$M1916)),""))</f>
        <v/>
      </c>
      <c r="H1916" s="27">
        <f>IF($L1916&lt;&gt;"",IF(INDEX(SCOp,$L1916)="مرجوعی فروش",IF(INDEX(SCAmount,$L1916)=0,"",-INDEX(SCAmount,$L1916)),""),IF($M1916&lt;&gt;"",IF(INDEX(LdgDepB,$M1916)=0,"",INDEX(LdgDepB,$M1916)),""))</f>
        <v/>
      </c>
      <c r="I1916" s="28">
        <f>IF($B1916="","",IF($I1915="",$C$10,$I1915)+IF($G1916="",0,$G1916)-IF($H1916="",0,$H1916))</f>
        <v/>
      </c>
      <c r="L1916">
        <f>IFERROR(MATCH($C$5&amp;"|"&amp;RIGHT("000000"&amp;1900,6),LdgRankKeyA,0),"")</f>
        <v/>
      </c>
      <c r="M1916">
        <f>IFERROR(MATCH($C$5&amp;"|"&amp;RIGHT("000000"&amp;1900,6),LdgRankKeyB,0),"")</f>
        <v/>
      </c>
    </row>
    <row r="1917">
      <c r="A1917" s="17" t="n">
        <v>1901</v>
      </c>
      <c r="B1917" s="18">
        <f>IF(AND($L1917="",$M1917=""),"",IF($L1917&lt;&gt;"",INDEX(SCNormDate,$L1917),INDEX(LdgDateB,$M1917)))</f>
        <v/>
      </c>
      <c r="C1917" s="18">
        <f>IF($L1917&lt;&gt;"",INDEX(SCOp,$L1917),IF($M1917&lt;&gt;"","پرداخت بانکی",""))</f>
        <v/>
      </c>
      <c r="D1917" s="18">
        <f>IF($L1917&lt;&gt;"",IF(INDEX(SCDoc,$L1917)="","—",INDEX(SCDoc,$L1917)),IF($M1917&lt;&gt;"",INDEX(LdgBankB,$M1917),""))</f>
        <v/>
      </c>
      <c r="E1917" s="19">
        <f>IF($L1917&lt;&gt;"",IF(INDEX(SCCitrus,$L1917)&amp;INDEX(SCNotes,$L1917)="","",IF(INDEX(SCCitrus,$L1917)="","",INDEX(SCCitrus,$L1917))&amp;IF(INDEX(SCNotes,$L1917)="",""," — "&amp;INDEX(SCNotes,$L1917))),IF($M1917&lt;&gt;"",IF(INDEX(LdgNoteB,$M1917)="","—",INDEX(LdgNoteB,$M1917)),""))</f>
        <v/>
      </c>
      <c r="F1917" s="20">
        <f>IF($L1917&lt;&gt;"",IF(INDEX(SCNet,$L1917)=0,"",INDEX(SCNet,$L1917)),"")</f>
        <v/>
      </c>
      <c r="G1917" s="21">
        <f>IF($L1917&lt;&gt;"",IF(INDEX(SCOp,$L1917)="مرجوعی فروش","",IF(INDEX(SCAmount,$L1917)&lt;=0,"",INDEX(SCAmount,$L1917))),IF($M1917&lt;&gt;"",IF(INDEX(LdgWitB,$M1917)=0,"",INDEX(LdgWitB,$M1917)),""))</f>
        <v/>
      </c>
      <c r="H1917" s="21">
        <f>IF($L1917&lt;&gt;"",IF(INDEX(SCOp,$L1917)="مرجوعی فروش",IF(INDEX(SCAmount,$L1917)=0,"",-INDEX(SCAmount,$L1917)),""),IF($M1917&lt;&gt;"",IF(INDEX(LdgDepB,$M1917)=0,"",INDEX(LdgDepB,$M1917)),""))</f>
        <v/>
      </c>
      <c r="I1917" s="22">
        <f>IF($B1917="","",IF($I1916="",$C$10,$I1916)+IF($G1917="",0,$G1917)-IF($H1917="",0,$H1917))</f>
        <v/>
      </c>
      <c r="L1917">
        <f>IFERROR(MATCH($C$5&amp;"|"&amp;RIGHT("000000"&amp;1901,6),LdgRankKeyA,0),"")</f>
        <v/>
      </c>
      <c r="M1917">
        <f>IFERROR(MATCH($C$5&amp;"|"&amp;RIGHT("000000"&amp;1901,6),LdgRankKeyB,0),"")</f>
        <v/>
      </c>
    </row>
    <row r="1918">
      <c r="A1918" s="23" t="n">
        <v>1902</v>
      </c>
      <c r="B1918" s="24">
        <f>IF(AND($L1918="",$M1918=""),"",IF($L1918&lt;&gt;"",INDEX(SCNormDate,$L1918),INDEX(LdgDateB,$M1918)))</f>
        <v/>
      </c>
      <c r="C1918" s="24">
        <f>IF($L1918&lt;&gt;"",INDEX(SCOp,$L1918),IF($M1918&lt;&gt;"","پرداخت بانکی",""))</f>
        <v/>
      </c>
      <c r="D1918" s="24">
        <f>IF($L1918&lt;&gt;"",IF(INDEX(SCDoc,$L1918)="","—",INDEX(SCDoc,$L1918)),IF($M1918&lt;&gt;"",INDEX(LdgBankB,$M1918),""))</f>
        <v/>
      </c>
      <c r="E1918" s="25">
        <f>IF($L1918&lt;&gt;"",IF(INDEX(SCCitrus,$L1918)&amp;INDEX(SCNotes,$L1918)="","",IF(INDEX(SCCitrus,$L1918)="","",INDEX(SCCitrus,$L1918))&amp;IF(INDEX(SCNotes,$L1918)="",""," — "&amp;INDEX(SCNotes,$L1918))),IF($M1918&lt;&gt;"",IF(INDEX(LdgNoteB,$M1918)="","—",INDEX(LdgNoteB,$M1918)),""))</f>
        <v/>
      </c>
      <c r="F1918" s="26">
        <f>IF($L1918&lt;&gt;"",IF(INDEX(SCNet,$L1918)=0,"",INDEX(SCNet,$L1918)),"")</f>
        <v/>
      </c>
      <c r="G1918" s="27">
        <f>IF($L1918&lt;&gt;"",IF(INDEX(SCOp,$L1918)="مرجوعی فروش","",IF(INDEX(SCAmount,$L1918)&lt;=0,"",INDEX(SCAmount,$L1918))),IF($M1918&lt;&gt;"",IF(INDEX(LdgWitB,$M1918)=0,"",INDEX(LdgWitB,$M1918)),""))</f>
        <v/>
      </c>
      <c r="H1918" s="27">
        <f>IF($L1918&lt;&gt;"",IF(INDEX(SCOp,$L1918)="مرجوعی فروش",IF(INDEX(SCAmount,$L1918)=0,"",-INDEX(SCAmount,$L1918)),""),IF($M1918&lt;&gt;"",IF(INDEX(LdgDepB,$M1918)=0,"",INDEX(LdgDepB,$M1918)),""))</f>
        <v/>
      </c>
      <c r="I1918" s="28">
        <f>IF($B1918="","",IF($I1917="",$C$10,$I1917)+IF($G1918="",0,$G1918)-IF($H1918="",0,$H1918))</f>
        <v/>
      </c>
      <c r="L1918">
        <f>IFERROR(MATCH($C$5&amp;"|"&amp;RIGHT("000000"&amp;1902,6),LdgRankKeyA,0),"")</f>
        <v/>
      </c>
      <c r="M1918">
        <f>IFERROR(MATCH($C$5&amp;"|"&amp;RIGHT("000000"&amp;1902,6),LdgRankKeyB,0),"")</f>
        <v/>
      </c>
    </row>
    <row r="1919">
      <c r="A1919" s="17" t="n">
        <v>1903</v>
      </c>
      <c r="B1919" s="18">
        <f>IF(AND($L1919="",$M1919=""),"",IF($L1919&lt;&gt;"",INDEX(SCNormDate,$L1919),INDEX(LdgDateB,$M1919)))</f>
        <v/>
      </c>
      <c r="C1919" s="18">
        <f>IF($L1919&lt;&gt;"",INDEX(SCOp,$L1919),IF($M1919&lt;&gt;"","پرداخت بانکی",""))</f>
        <v/>
      </c>
      <c r="D1919" s="18">
        <f>IF($L1919&lt;&gt;"",IF(INDEX(SCDoc,$L1919)="","—",INDEX(SCDoc,$L1919)),IF($M1919&lt;&gt;"",INDEX(LdgBankB,$M1919),""))</f>
        <v/>
      </c>
      <c r="E1919" s="19">
        <f>IF($L1919&lt;&gt;"",IF(INDEX(SCCitrus,$L1919)&amp;INDEX(SCNotes,$L1919)="","",IF(INDEX(SCCitrus,$L1919)="","",INDEX(SCCitrus,$L1919))&amp;IF(INDEX(SCNotes,$L1919)="",""," — "&amp;INDEX(SCNotes,$L1919))),IF($M1919&lt;&gt;"",IF(INDEX(LdgNoteB,$M1919)="","—",INDEX(LdgNoteB,$M1919)),""))</f>
        <v/>
      </c>
      <c r="F1919" s="20">
        <f>IF($L1919&lt;&gt;"",IF(INDEX(SCNet,$L1919)=0,"",INDEX(SCNet,$L1919)),"")</f>
        <v/>
      </c>
      <c r="G1919" s="21">
        <f>IF($L1919&lt;&gt;"",IF(INDEX(SCOp,$L1919)="مرجوعی فروش","",IF(INDEX(SCAmount,$L1919)&lt;=0,"",INDEX(SCAmount,$L1919))),IF($M1919&lt;&gt;"",IF(INDEX(LdgWitB,$M1919)=0,"",INDEX(LdgWitB,$M1919)),""))</f>
        <v/>
      </c>
      <c r="H1919" s="21">
        <f>IF($L1919&lt;&gt;"",IF(INDEX(SCOp,$L1919)="مرجوعی فروش",IF(INDEX(SCAmount,$L1919)=0,"",-INDEX(SCAmount,$L1919)),""),IF($M1919&lt;&gt;"",IF(INDEX(LdgDepB,$M1919)=0,"",INDEX(LdgDepB,$M1919)),""))</f>
        <v/>
      </c>
      <c r="I1919" s="22">
        <f>IF($B1919="","",IF($I1918="",$C$10,$I1918)+IF($G1919="",0,$G1919)-IF($H1919="",0,$H1919))</f>
        <v/>
      </c>
      <c r="L1919">
        <f>IFERROR(MATCH($C$5&amp;"|"&amp;RIGHT("000000"&amp;1903,6),LdgRankKeyA,0),"")</f>
        <v/>
      </c>
      <c r="M1919">
        <f>IFERROR(MATCH($C$5&amp;"|"&amp;RIGHT("000000"&amp;1903,6),LdgRankKeyB,0),"")</f>
        <v/>
      </c>
    </row>
    <row r="1920">
      <c r="A1920" s="23" t="n">
        <v>1904</v>
      </c>
      <c r="B1920" s="24">
        <f>IF(AND($L1920="",$M1920=""),"",IF($L1920&lt;&gt;"",INDEX(SCNormDate,$L1920),INDEX(LdgDateB,$M1920)))</f>
        <v/>
      </c>
      <c r="C1920" s="24">
        <f>IF($L1920&lt;&gt;"",INDEX(SCOp,$L1920),IF($M1920&lt;&gt;"","پرداخت بانکی",""))</f>
        <v/>
      </c>
      <c r="D1920" s="24">
        <f>IF($L1920&lt;&gt;"",IF(INDEX(SCDoc,$L1920)="","—",INDEX(SCDoc,$L1920)),IF($M1920&lt;&gt;"",INDEX(LdgBankB,$M1920),""))</f>
        <v/>
      </c>
      <c r="E1920" s="25">
        <f>IF($L1920&lt;&gt;"",IF(INDEX(SCCitrus,$L1920)&amp;INDEX(SCNotes,$L1920)="","",IF(INDEX(SCCitrus,$L1920)="","",INDEX(SCCitrus,$L1920))&amp;IF(INDEX(SCNotes,$L1920)="",""," — "&amp;INDEX(SCNotes,$L1920))),IF($M1920&lt;&gt;"",IF(INDEX(LdgNoteB,$M1920)="","—",INDEX(LdgNoteB,$M1920)),""))</f>
        <v/>
      </c>
      <c r="F1920" s="26">
        <f>IF($L1920&lt;&gt;"",IF(INDEX(SCNet,$L1920)=0,"",INDEX(SCNet,$L1920)),"")</f>
        <v/>
      </c>
      <c r="G1920" s="27">
        <f>IF($L1920&lt;&gt;"",IF(INDEX(SCOp,$L1920)="مرجوعی فروش","",IF(INDEX(SCAmount,$L1920)&lt;=0,"",INDEX(SCAmount,$L1920))),IF($M1920&lt;&gt;"",IF(INDEX(LdgWitB,$M1920)=0,"",INDEX(LdgWitB,$M1920)),""))</f>
        <v/>
      </c>
      <c r="H1920" s="27">
        <f>IF($L1920&lt;&gt;"",IF(INDEX(SCOp,$L1920)="مرجوعی فروش",IF(INDEX(SCAmount,$L1920)=0,"",-INDEX(SCAmount,$L1920)),""),IF($M1920&lt;&gt;"",IF(INDEX(LdgDepB,$M1920)=0,"",INDEX(LdgDepB,$M1920)),""))</f>
        <v/>
      </c>
      <c r="I1920" s="28">
        <f>IF($B1920="","",IF($I1919="",$C$10,$I1919)+IF($G1920="",0,$G1920)-IF($H1920="",0,$H1920))</f>
        <v/>
      </c>
      <c r="L1920">
        <f>IFERROR(MATCH($C$5&amp;"|"&amp;RIGHT("000000"&amp;1904,6),LdgRankKeyA,0),"")</f>
        <v/>
      </c>
      <c r="M1920">
        <f>IFERROR(MATCH($C$5&amp;"|"&amp;RIGHT("000000"&amp;1904,6),LdgRankKeyB,0),"")</f>
        <v/>
      </c>
    </row>
    <row r="1921">
      <c r="A1921" s="17" t="n">
        <v>1905</v>
      </c>
      <c r="B1921" s="18">
        <f>IF(AND($L1921="",$M1921=""),"",IF($L1921&lt;&gt;"",INDEX(SCNormDate,$L1921),INDEX(LdgDateB,$M1921)))</f>
        <v/>
      </c>
      <c r="C1921" s="18">
        <f>IF($L1921&lt;&gt;"",INDEX(SCOp,$L1921),IF($M1921&lt;&gt;"","پرداخت بانکی",""))</f>
        <v/>
      </c>
      <c r="D1921" s="18">
        <f>IF($L1921&lt;&gt;"",IF(INDEX(SCDoc,$L1921)="","—",INDEX(SCDoc,$L1921)),IF($M1921&lt;&gt;"",INDEX(LdgBankB,$M1921),""))</f>
        <v/>
      </c>
      <c r="E1921" s="19">
        <f>IF($L1921&lt;&gt;"",IF(INDEX(SCCitrus,$L1921)&amp;INDEX(SCNotes,$L1921)="","",IF(INDEX(SCCitrus,$L1921)="","",INDEX(SCCitrus,$L1921))&amp;IF(INDEX(SCNotes,$L1921)="",""," — "&amp;INDEX(SCNotes,$L1921))),IF($M1921&lt;&gt;"",IF(INDEX(LdgNoteB,$M1921)="","—",INDEX(LdgNoteB,$M1921)),""))</f>
        <v/>
      </c>
      <c r="F1921" s="20">
        <f>IF($L1921&lt;&gt;"",IF(INDEX(SCNet,$L1921)=0,"",INDEX(SCNet,$L1921)),"")</f>
        <v/>
      </c>
      <c r="G1921" s="21">
        <f>IF($L1921&lt;&gt;"",IF(INDEX(SCOp,$L1921)="مرجوعی فروش","",IF(INDEX(SCAmount,$L1921)&lt;=0,"",INDEX(SCAmount,$L1921))),IF($M1921&lt;&gt;"",IF(INDEX(LdgWitB,$M1921)=0,"",INDEX(LdgWitB,$M1921)),""))</f>
        <v/>
      </c>
      <c r="H1921" s="21">
        <f>IF($L1921&lt;&gt;"",IF(INDEX(SCOp,$L1921)="مرجوعی فروش",IF(INDEX(SCAmount,$L1921)=0,"",-INDEX(SCAmount,$L1921)),""),IF($M1921&lt;&gt;"",IF(INDEX(LdgDepB,$M1921)=0,"",INDEX(LdgDepB,$M1921)),""))</f>
        <v/>
      </c>
      <c r="I1921" s="22">
        <f>IF($B1921="","",IF($I1920="",$C$10,$I1920)+IF($G1921="",0,$G1921)-IF($H1921="",0,$H1921))</f>
        <v/>
      </c>
      <c r="L1921">
        <f>IFERROR(MATCH($C$5&amp;"|"&amp;RIGHT("000000"&amp;1905,6),LdgRankKeyA,0),"")</f>
        <v/>
      </c>
      <c r="M1921">
        <f>IFERROR(MATCH($C$5&amp;"|"&amp;RIGHT("000000"&amp;1905,6),LdgRankKeyB,0),"")</f>
        <v/>
      </c>
    </row>
    <row r="1922">
      <c r="A1922" s="23" t="n">
        <v>1906</v>
      </c>
      <c r="B1922" s="24">
        <f>IF(AND($L1922="",$M1922=""),"",IF($L1922&lt;&gt;"",INDEX(SCNormDate,$L1922),INDEX(LdgDateB,$M1922)))</f>
        <v/>
      </c>
      <c r="C1922" s="24">
        <f>IF($L1922&lt;&gt;"",INDEX(SCOp,$L1922),IF($M1922&lt;&gt;"","پرداخت بانکی",""))</f>
        <v/>
      </c>
      <c r="D1922" s="24">
        <f>IF($L1922&lt;&gt;"",IF(INDEX(SCDoc,$L1922)="","—",INDEX(SCDoc,$L1922)),IF($M1922&lt;&gt;"",INDEX(LdgBankB,$M1922),""))</f>
        <v/>
      </c>
      <c r="E1922" s="25">
        <f>IF($L1922&lt;&gt;"",IF(INDEX(SCCitrus,$L1922)&amp;INDEX(SCNotes,$L1922)="","",IF(INDEX(SCCitrus,$L1922)="","",INDEX(SCCitrus,$L1922))&amp;IF(INDEX(SCNotes,$L1922)="",""," — "&amp;INDEX(SCNotes,$L1922))),IF($M1922&lt;&gt;"",IF(INDEX(LdgNoteB,$M1922)="","—",INDEX(LdgNoteB,$M1922)),""))</f>
        <v/>
      </c>
      <c r="F1922" s="26">
        <f>IF($L1922&lt;&gt;"",IF(INDEX(SCNet,$L1922)=0,"",INDEX(SCNet,$L1922)),"")</f>
        <v/>
      </c>
      <c r="G1922" s="27">
        <f>IF($L1922&lt;&gt;"",IF(INDEX(SCOp,$L1922)="مرجوعی فروش","",IF(INDEX(SCAmount,$L1922)&lt;=0,"",INDEX(SCAmount,$L1922))),IF($M1922&lt;&gt;"",IF(INDEX(LdgWitB,$M1922)=0,"",INDEX(LdgWitB,$M1922)),""))</f>
        <v/>
      </c>
      <c r="H1922" s="27">
        <f>IF($L1922&lt;&gt;"",IF(INDEX(SCOp,$L1922)="مرجوعی فروش",IF(INDEX(SCAmount,$L1922)=0,"",-INDEX(SCAmount,$L1922)),""),IF($M1922&lt;&gt;"",IF(INDEX(LdgDepB,$M1922)=0,"",INDEX(LdgDepB,$M1922)),""))</f>
        <v/>
      </c>
      <c r="I1922" s="28">
        <f>IF($B1922="","",IF($I1921="",$C$10,$I1921)+IF($G1922="",0,$G1922)-IF($H1922="",0,$H1922))</f>
        <v/>
      </c>
      <c r="L1922">
        <f>IFERROR(MATCH($C$5&amp;"|"&amp;RIGHT("000000"&amp;1906,6),LdgRankKeyA,0),"")</f>
        <v/>
      </c>
      <c r="M1922">
        <f>IFERROR(MATCH($C$5&amp;"|"&amp;RIGHT("000000"&amp;1906,6),LdgRankKeyB,0),"")</f>
        <v/>
      </c>
    </row>
    <row r="1923">
      <c r="A1923" s="17" t="n">
        <v>1907</v>
      </c>
      <c r="B1923" s="18">
        <f>IF(AND($L1923="",$M1923=""),"",IF($L1923&lt;&gt;"",INDEX(SCNormDate,$L1923),INDEX(LdgDateB,$M1923)))</f>
        <v/>
      </c>
      <c r="C1923" s="18">
        <f>IF($L1923&lt;&gt;"",INDEX(SCOp,$L1923),IF($M1923&lt;&gt;"","پرداخت بانکی",""))</f>
        <v/>
      </c>
      <c r="D1923" s="18">
        <f>IF($L1923&lt;&gt;"",IF(INDEX(SCDoc,$L1923)="","—",INDEX(SCDoc,$L1923)),IF($M1923&lt;&gt;"",INDEX(LdgBankB,$M1923),""))</f>
        <v/>
      </c>
      <c r="E1923" s="19">
        <f>IF($L1923&lt;&gt;"",IF(INDEX(SCCitrus,$L1923)&amp;INDEX(SCNotes,$L1923)="","",IF(INDEX(SCCitrus,$L1923)="","",INDEX(SCCitrus,$L1923))&amp;IF(INDEX(SCNotes,$L1923)="",""," — "&amp;INDEX(SCNotes,$L1923))),IF($M1923&lt;&gt;"",IF(INDEX(LdgNoteB,$M1923)="","—",INDEX(LdgNoteB,$M1923)),""))</f>
        <v/>
      </c>
      <c r="F1923" s="20">
        <f>IF($L1923&lt;&gt;"",IF(INDEX(SCNet,$L1923)=0,"",INDEX(SCNet,$L1923)),"")</f>
        <v/>
      </c>
      <c r="G1923" s="21">
        <f>IF($L1923&lt;&gt;"",IF(INDEX(SCOp,$L1923)="مرجوعی فروش","",IF(INDEX(SCAmount,$L1923)&lt;=0,"",INDEX(SCAmount,$L1923))),IF($M1923&lt;&gt;"",IF(INDEX(LdgWitB,$M1923)=0,"",INDEX(LdgWitB,$M1923)),""))</f>
        <v/>
      </c>
      <c r="H1923" s="21">
        <f>IF($L1923&lt;&gt;"",IF(INDEX(SCOp,$L1923)="مرجوعی فروش",IF(INDEX(SCAmount,$L1923)=0,"",-INDEX(SCAmount,$L1923)),""),IF($M1923&lt;&gt;"",IF(INDEX(LdgDepB,$M1923)=0,"",INDEX(LdgDepB,$M1923)),""))</f>
        <v/>
      </c>
      <c r="I1923" s="22">
        <f>IF($B1923="","",IF($I1922="",$C$10,$I1922)+IF($G1923="",0,$G1923)-IF($H1923="",0,$H1923))</f>
        <v/>
      </c>
      <c r="L1923">
        <f>IFERROR(MATCH($C$5&amp;"|"&amp;RIGHT("000000"&amp;1907,6),LdgRankKeyA,0),"")</f>
        <v/>
      </c>
      <c r="M1923">
        <f>IFERROR(MATCH($C$5&amp;"|"&amp;RIGHT("000000"&amp;1907,6),LdgRankKeyB,0),"")</f>
        <v/>
      </c>
    </row>
    <row r="1924">
      <c r="A1924" s="23" t="n">
        <v>1908</v>
      </c>
      <c r="B1924" s="24">
        <f>IF(AND($L1924="",$M1924=""),"",IF($L1924&lt;&gt;"",INDEX(SCNormDate,$L1924),INDEX(LdgDateB,$M1924)))</f>
        <v/>
      </c>
      <c r="C1924" s="24">
        <f>IF($L1924&lt;&gt;"",INDEX(SCOp,$L1924),IF($M1924&lt;&gt;"","پرداخت بانکی",""))</f>
        <v/>
      </c>
      <c r="D1924" s="24">
        <f>IF($L1924&lt;&gt;"",IF(INDEX(SCDoc,$L1924)="","—",INDEX(SCDoc,$L1924)),IF($M1924&lt;&gt;"",INDEX(LdgBankB,$M1924),""))</f>
        <v/>
      </c>
      <c r="E1924" s="25">
        <f>IF($L1924&lt;&gt;"",IF(INDEX(SCCitrus,$L1924)&amp;INDEX(SCNotes,$L1924)="","",IF(INDEX(SCCitrus,$L1924)="","",INDEX(SCCitrus,$L1924))&amp;IF(INDEX(SCNotes,$L1924)="",""," — "&amp;INDEX(SCNotes,$L1924))),IF($M1924&lt;&gt;"",IF(INDEX(LdgNoteB,$M1924)="","—",INDEX(LdgNoteB,$M1924)),""))</f>
        <v/>
      </c>
      <c r="F1924" s="26">
        <f>IF($L1924&lt;&gt;"",IF(INDEX(SCNet,$L1924)=0,"",INDEX(SCNet,$L1924)),"")</f>
        <v/>
      </c>
      <c r="G1924" s="27">
        <f>IF($L1924&lt;&gt;"",IF(INDEX(SCOp,$L1924)="مرجوعی فروش","",IF(INDEX(SCAmount,$L1924)&lt;=0,"",INDEX(SCAmount,$L1924))),IF($M1924&lt;&gt;"",IF(INDEX(LdgWitB,$M1924)=0,"",INDEX(LdgWitB,$M1924)),""))</f>
        <v/>
      </c>
      <c r="H1924" s="27">
        <f>IF($L1924&lt;&gt;"",IF(INDEX(SCOp,$L1924)="مرجوعی فروش",IF(INDEX(SCAmount,$L1924)=0,"",-INDEX(SCAmount,$L1924)),""),IF($M1924&lt;&gt;"",IF(INDEX(LdgDepB,$M1924)=0,"",INDEX(LdgDepB,$M1924)),""))</f>
        <v/>
      </c>
      <c r="I1924" s="28">
        <f>IF($B1924="","",IF($I1923="",$C$10,$I1923)+IF($G1924="",0,$G1924)-IF($H1924="",0,$H1924))</f>
        <v/>
      </c>
      <c r="L1924">
        <f>IFERROR(MATCH($C$5&amp;"|"&amp;RIGHT("000000"&amp;1908,6),LdgRankKeyA,0),"")</f>
        <v/>
      </c>
      <c r="M1924">
        <f>IFERROR(MATCH($C$5&amp;"|"&amp;RIGHT("000000"&amp;1908,6),LdgRankKeyB,0),"")</f>
        <v/>
      </c>
    </row>
    <row r="1925">
      <c r="A1925" s="17" t="n">
        <v>1909</v>
      </c>
      <c r="B1925" s="18">
        <f>IF(AND($L1925="",$M1925=""),"",IF($L1925&lt;&gt;"",INDEX(SCNormDate,$L1925),INDEX(LdgDateB,$M1925)))</f>
        <v/>
      </c>
      <c r="C1925" s="18">
        <f>IF($L1925&lt;&gt;"",INDEX(SCOp,$L1925),IF($M1925&lt;&gt;"","پرداخت بانکی",""))</f>
        <v/>
      </c>
      <c r="D1925" s="18">
        <f>IF($L1925&lt;&gt;"",IF(INDEX(SCDoc,$L1925)="","—",INDEX(SCDoc,$L1925)),IF($M1925&lt;&gt;"",INDEX(LdgBankB,$M1925),""))</f>
        <v/>
      </c>
      <c r="E1925" s="19">
        <f>IF($L1925&lt;&gt;"",IF(INDEX(SCCitrus,$L1925)&amp;INDEX(SCNotes,$L1925)="","",IF(INDEX(SCCitrus,$L1925)="","",INDEX(SCCitrus,$L1925))&amp;IF(INDEX(SCNotes,$L1925)="",""," — "&amp;INDEX(SCNotes,$L1925))),IF($M1925&lt;&gt;"",IF(INDEX(LdgNoteB,$M1925)="","—",INDEX(LdgNoteB,$M1925)),""))</f>
        <v/>
      </c>
      <c r="F1925" s="20">
        <f>IF($L1925&lt;&gt;"",IF(INDEX(SCNet,$L1925)=0,"",INDEX(SCNet,$L1925)),"")</f>
        <v/>
      </c>
      <c r="G1925" s="21">
        <f>IF($L1925&lt;&gt;"",IF(INDEX(SCOp,$L1925)="مرجوعی فروش","",IF(INDEX(SCAmount,$L1925)&lt;=0,"",INDEX(SCAmount,$L1925))),IF($M1925&lt;&gt;"",IF(INDEX(LdgWitB,$M1925)=0,"",INDEX(LdgWitB,$M1925)),""))</f>
        <v/>
      </c>
      <c r="H1925" s="21">
        <f>IF($L1925&lt;&gt;"",IF(INDEX(SCOp,$L1925)="مرجوعی فروش",IF(INDEX(SCAmount,$L1925)=0,"",-INDEX(SCAmount,$L1925)),""),IF($M1925&lt;&gt;"",IF(INDEX(LdgDepB,$M1925)=0,"",INDEX(LdgDepB,$M1925)),""))</f>
        <v/>
      </c>
      <c r="I1925" s="22">
        <f>IF($B1925="","",IF($I1924="",$C$10,$I1924)+IF($G1925="",0,$G1925)-IF($H1925="",0,$H1925))</f>
        <v/>
      </c>
      <c r="L1925">
        <f>IFERROR(MATCH($C$5&amp;"|"&amp;RIGHT("000000"&amp;1909,6),LdgRankKeyA,0),"")</f>
        <v/>
      </c>
      <c r="M1925">
        <f>IFERROR(MATCH($C$5&amp;"|"&amp;RIGHT("000000"&amp;1909,6),LdgRankKeyB,0),"")</f>
        <v/>
      </c>
    </row>
    <row r="1926">
      <c r="A1926" s="23" t="n">
        <v>1910</v>
      </c>
      <c r="B1926" s="24">
        <f>IF(AND($L1926="",$M1926=""),"",IF($L1926&lt;&gt;"",INDEX(SCNormDate,$L1926),INDEX(LdgDateB,$M1926)))</f>
        <v/>
      </c>
      <c r="C1926" s="24">
        <f>IF($L1926&lt;&gt;"",INDEX(SCOp,$L1926),IF($M1926&lt;&gt;"","پرداخت بانکی",""))</f>
        <v/>
      </c>
      <c r="D1926" s="24">
        <f>IF($L1926&lt;&gt;"",IF(INDEX(SCDoc,$L1926)="","—",INDEX(SCDoc,$L1926)),IF($M1926&lt;&gt;"",INDEX(LdgBankB,$M1926),""))</f>
        <v/>
      </c>
      <c r="E1926" s="25">
        <f>IF($L1926&lt;&gt;"",IF(INDEX(SCCitrus,$L1926)&amp;INDEX(SCNotes,$L1926)="","",IF(INDEX(SCCitrus,$L1926)="","",INDEX(SCCitrus,$L1926))&amp;IF(INDEX(SCNotes,$L1926)="",""," — "&amp;INDEX(SCNotes,$L1926))),IF($M1926&lt;&gt;"",IF(INDEX(LdgNoteB,$M1926)="","—",INDEX(LdgNoteB,$M1926)),""))</f>
        <v/>
      </c>
      <c r="F1926" s="26">
        <f>IF($L1926&lt;&gt;"",IF(INDEX(SCNet,$L1926)=0,"",INDEX(SCNet,$L1926)),"")</f>
        <v/>
      </c>
      <c r="G1926" s="27">
        <f>IF($L1926&lt;&gt;"",IF(INDEX(SCOp,$L1926)="مرجوعی فروش","",IF(INDEX(SCAmount,$L1926)&lt;=0,"",INDEX(SCAmount,$L1926))),IF($M1926&lt;&gt;"",IF(INDEX(LdgWitB,$M1926)=0,"",INDEX(LdgWitB,$M1926)),""))</f>
        <v/>
      </c>
      <c r="H1926" s="27">
        <f>IF($L1926&lt;&gt;"",IF(INDEX(SCOp,$L1926)="مرجوعی فروش",IF(INDEX(SCAmount,$L1926)=0,"",-INDEX(SCAmount,$L1926)),""),IF($M1926&lt;&gt;"",IF(INDEX(LdgDepB,$M1926)=0,"",INDEX(LdgDepB,$M1926)),""))</f>
        <v/>
      </c>
      <c r="I1926" s="28">
        <f>IF($B1926="","",IF($I1925="",$C$10,$I1925)+IF($G1926="",0,$G1926)-IF($H1926="",0,$H1926))</f>
        <v/>
      </c>
      <c r="L1926">
        <f>IFERROR(MATCH($C$5&amp;"|"&amp;RIGHT("000000"&amp;1910,6),LdgRankKeyA,0),"")</f>
        <v/>
      </c>
      <c r="M1926">
        <f>IFERROR(MATCH($C$5&amp;"|"&amp;RIGHT("000000"&amp;1910,6),LdgRankKeyB,0),"")</f>
        <v/>
      </c>
    </row>
    <row r="1927">
      <c r="A1927" s="17" t="n">
        <v>1911</v>
      </c>
      <c r="B1927" s="18">
        <f>IF(AND($L1927="",$M1927=""),"",IF($L1927&lt;&gt;"",INDEX(SCNormDate,$L1927),INDEX(LdgDateB,$M1927)))</f>
        <v/>
      </c>
      <c r="C1927" s="18">
        <f>IF($L1927&lt;&gt;"",INDEX(SCOp,$L1927),IF($M1927&lt;&gt;"","پرداخت بانکی",""))</f>
        <v/>
      </c>
      <c r="D1927" s="18">
        <f>IF($L1927&lt;&gt;"",IF(INDEX(SCDoc,$L1927)="","—",INDEX(SCDoc,$L1927)),IF($M1927&lt;&gt;"",INDEX(LdgBankB,$M1927),""))</f>
        <v/>
      </c>
      <c r="E1927" s="19">
        <f>IF($L1927&lt;&gt;"",IF(INDEX(SCCitrus,$L1927)&amp;INDEX(SCNotes,$L1927)="","",IF(INDEX(SCCitrus,$L1927)="","",INDEX(SCCitrus,$L1927))&amp;IF(INDEX(SCNotes,$L1927)="",""," — "&amp;INDEX(SCNotes,$L1927))),IF($M1927&lt;&gt;"",IF(INDEX(LdgNoteB,$M1927)="","—",INDEX(LdgNoteB,$M1927)),""))</f>
        <v/>
      </c>
      <c r="F1927" s="20">
        <f>IF($L1927&lt;&gt;"",IF(INDEX(SCNet,$L1927)=0,"",INDEX(SCNet,$L1927)),"")</f>
        <v/>
      </c>
      <c r="G1927" s="21">
        <f>IF($L1927&lt;&gt;"",IF(INDEX(SCOp,$L1927)="مرجوعی فروش","",IF(INDEX(SCAmount,$L1927)&lt;=0,"",INDEX(SCAmount,$L1927))),IF($M1927&lt;&gt;"",IF(INDEX(LdgWitB,$M1927)=0,"",INDEX(LdgWitB,$M1927)),""))</f>
        <v/>
      </c>
      <c r="H1927" s="21">
        <f>IF($L1927&lt;&gt;"",IF(INDEX(SCOp,$L1927)="مرجوعی فروش",IF(INDEX(SCAmount,$L1927)=0,"",-INDEX(SCAmount,$L1927)),""),IF($M1927&lt;&gt;"",IF(INDEX(LdgDepB,$M1927)=0,"",INDEX(LdgDepB,$M1927)),""))</f>
        <v/>
      </c>
      <c r="I1927" s="22">
        <f>IF($B1927="","",IF($I1926="",$C$10,$I1926)+IF($G1927="",0,$G1927)-IF($H1927="",0,$H1927))</f>
        <v/>
      </c>
      <c r="L1927">
        <f>IFERROR(MATCH($C$5&amp;"|"&amp;RIGHT("000000"&amp;1911,6),LdgRankKeyA,0),"")</f>
        <v/>
      </c>
      <c r="M1927">
        <f>IFERROR(MATCH($C$5&amp;"|"&amp;RIGHT("000000"&amp;1911,6),LdgRankKeyB,0),"")</f>
        <v/>
      </c>
    </row>
    <row r="1928">
      <c r="A1928" s="23" t="n">
        <v>1912</v>
      </c>
      <c r="B1928" s="24">
        <f>IF(AND($L1928="",$M1928=""),"",IF($L1928&lt;&gt;"",INDEX(SCNormDate,$L1928),INDEX(LdgDateB,$M1928)))</f>
        <v/>
      </c>
      <c r="C1928" s="24">
        <f>IF($L1928&lt;&gt;"",INDEX(SCOp,$L1928),IF($M1928&lt;&gt;"","پرداخت بانکی",""))</f>
        <v/>
      </c>
      <c r="D1928" s="24">
        <f>IF($L1928&lt;&gt;"",IF(INDEX(SCDoc,$L1928)="","—",INDEX(SCDoc,$L1928)),IF($M1928&lt;&gt;"",INDEX(LdgBankB,$M1928),""))</f>
        <v/>
      </c>
      <c r="E1928" s="25">
        <f>IF($L1928&lt;&gt;"",IF(INDEX(SCCitrus,$L1928)&amp;INDEX(SCNotes,$L1928)="","",IF(INDEX(SCCitrus,$L1928)="","",INDEX(SCCitrus,$L1928))&amp;IF(INDEX(SCNotes,$L1928)="",""," — "&amp;INDEX(SCNotes,$L1928))),IF($M1928&lt;&gt;"",IF(INDEX(LdgNoteB,$M1928)="","—",INDEX(LdgNoteB,$M1928)),""))</f>
        <v/>
      </c>
      <c r="F1928" s="26">
        <f>IF($L1928&lt;&gt;"",IF(INDEX(SCNet,$L1928)=0,"",INDEX(SCNet,$L1928)),"")</f>
        <v/>
      </c>
      <c r="G1928" s="27">
        <f>IF($L1928&lt;&gt;"",IF(INDEX(SCOp,$L1928)="مرجوعی فروش","",IF(INDEX(SCAmount,$L1928)&lt;=0,"",INDEX(SCAmount,$L1928))),IF($M1928&lt;&gt;"",IF(INDEX(LdgWitB,$M1928)=0,"",INDEX(LdgWitB,$M1928)),""))</f>
        <v/>
      </c>
      <c r="H1928" s="27">
        <f>IF($L1928&lt;&gt;"",IF(INDEX(SCOp,$L1928)="مرجوعی فروش",IF(INDEX(SCAmount,$L1928)=0,"",-INDEX(SCAmount,$L1928)),""),IF($M1928&lt;&gt;"",IF(INDEX(LdgDepB,$M1928)=0,"",INDEX(LdgDepB,$M1928)),""))</f>
        <v/>
      </c>
      <c r="I1928" s="28">
        <f>IF($B1928="","",IF($I1927="",$C$10,$I1927)+IF($G1928="",0,$G1928)-IF($H1928="",0,$H1928))</f>
        <v/>
      </c>
      <c r="L1928">
        <f>IFERROR(MATCH($C$5&amp;"|"&amp;RIGHT("000000"&amp;1912,6),LdgRankKeyA,0),"")</f>
        <v/>
      </c>
      <c r="M1928">
        <f>IFERROR(MATCH($C$5&amp;"|"&amp;RIGHT("000000"&amp;1912,6),LdgRankKeyB,0),"")</f>
        <v/>
      </c>
    </row>
    <row r="1929">
      <c r="A1929" s="17" t="n">
        <v>1913</v>
      </c>
      <c r="B1929" s="18">
        <f>IF(AND($L1929="",$M1929=""),"",IF($L1929&lt;&gt;"",INDEX(SCNormDate,$L1929),INDEX(LdgDateB,$M1929)))</f>
        <v/>
      </c>
      <c r="C1929" s="18">
        <f>IF($L1929&lt;&gt;"",INDEX(SCOp,$L1929),IF($M1929&lt;&gt;"","پرداخت بانکی",""))</f>
        <v/>
      </c>
      <c r="D1929" s="18">
        <f>IF($L1929&lt;&gt;"",IF(INDEX(SCDoc,$L1929)="","—",INDEX(SCDoc,$L1929)),IF($M1929&lt;&gt;"",INDEX(LdgBankB,$M1929),""))</f>
        <v/>
      </c>
      <c r="E1929" s="19">
        <f>IF($L1929&lt;&gt;"",IF(INDEX(SCCitrus,$L1929)&amp;INDEX(SCNotes,$L1929)="","",IF(INDEX(SCCitrus,$L1929)="","",INDEX(SCCitrus,$L1929))&amp;IF(INDEX(SCNotes,$L1929)="",""," — "&amp;INDEX(SCNotes,$L1929))),IF($M1929&lt;&gt;"",IF(INDEX(LdgNoteB,$M1929)="","—",INDEX(LdgNoteB,$M1929)),""))</f>
        <v/>
      </c>
      <c r="F1929" s="20">
        <f>IF($L1929&lt;&gt;"",IF(INDEX(SCNet,$L1929)=0,"",INDEX(SCNet,$L1929)),"")</f>
        <v/>
      </c>
      <c r="G1929" s="21">
        <f>IF($L1929&lt;&gt;"",IF(INDEX(SCOp,$L1929)="مرجوعی فروش","",IF(INDEX(SCAmount,$L1929)&lt;=0,"",INDEX(SCAmount,$L1929))),IF($M1929&lt;&gt;"",IF(INDEX(LdgWitB,$M1929)=0,"",INDEX(LdgWitB,$M1929)),""))</f>
        <v/>
      </c>
      <c r="H1929" s="21">
        <f>IF($L1929&lt;&gt;"",IF(INDEX(SCOp,$L1929)="مرجوعی فروش",IF(INDEX(SCAmount,$L1929)=0,"",-INDEX(SCAmount,$L1929)),""),IF($M1929&lt;&gt;"",IF(INDEX(LdgDepB,$M1929)=0,"",INDEX(LdgDepB,$M1929)),""))</f>
        <v/>
      </c>
      <c r="I1929" s="22">
        <f>IF($B1929="","",IF($I1928="",$C$10,$I1928)+IF($G1929="",0,$G1929)-IF($H1929="",0,$H1929))</f>
        <v/>
      </c>
      <c r="L1929">
        <f>IFERROR(MATCH($C$5&amp;"|"&amp;RIGHT("000000"&amp;1913,6),LdgRankKeyA,0),"")</f>
        <v/>
      </c>
      <c r="M1929">
        <f>IFERROR(MATCH($C$5&amp;"|"&amp;RIGHT("000000"&amp;1913,6),LdgRankKeyB,0),"")</f>
        <v/>
      </c>
    </row>
    <row r="1930">
      <c r="A1930" s="23" t="n">
        <v>1914</v>
      </c>
      <c r="B1930" s="24">
        <f>IF(AND($L1930="",$M1930=""),"",IF($L1930&lt;&gt;"",INDEX(SCNormDate,$L1930),INDEX(LdgDateB,$M1930)))</f>
        <v/>
      </c>
      <c r="C1930" s="24">
        <f>IF($L1930&lt;&gt;"",INDEX(SCOp,$L1930),IF($M1930&lt;&gt;"","پرداخت بانکی",""))</f>
        <v/>
      </c>
      <c r="D1930" s="24">
        <f>IF($L1930&lt;&gt;"",IF(INDEX(SCDoc,$L1930)="","—",INDEX(SCDoc,$L1930)),IF($M1930&lt;&gt;"",INDEX(LdgBankB,$M1930),""))</f>
        <v/>
      </c>
      <c r="E1930" s="25">
        <f>IF($L1930&lt;&gt;"",IF(INDEX(SCCitrus,$L1930)&amp;INDEX(SCNotes,$L1930)="","",IF(INDEX(SCCitrus,$L1930)="","",INDEX(SCCitrus,$L1930))&amp;IF(INDEX(SCNotes,$L1930)="",""," — "&amp;INDEX(SCNotes,$L1930))),IF($M1930&lt;&gt;"",IF(INDEX(LdgNoteB,$M1930)="","—",INDEX(LdgNoteB,$M1930)),""))</f>
        <v/>
      </c>
      <c r="F1930" s="26">
        <f>IF($L1930&lt;&gt;"",IF(INDEX(SCNet,$L1930)=0,"",INDEX(SCNet,$L1930)),"")</f>
        <v/>
      </c>
      <c r="G1930" s="27">
        <f>IF($L1930&lt;&gt;"",IF(INDEX(SCOp,$L1930)="مرجوعی فروش","",IF(INDEX(SCAmount,$L1930)&lt;=0,"",INDEX(SCAmount,$L1930))),IF($M1930&lt;&gt;"",IF(INDEX(LdgWitB,$M1930)=0,"",INDEX(LdgWitB,$M1930)),""))</f>
        <v/>
      </c>
      <c r="H1930" s="27">
        <f>IF($L1930&lt;&gt;"",IF(INDEX(SCOp,$L1930)="مرجوعی فروش",IF(INDEX(SCAmount,$L1930)=0,"",-INDEX(SCAmount,$L1930)),""),IF($M1930&lt;&gt;"",IF(INDEX(LdgDepB,$M1930)=0,"",INDEX(LdgDepB,$M1930)),""))</f>
        <v/>
      </c>
      <c r="I1930" s="28">
        <f>IF($B1930="","",IF($I1929="",$C$10,$I1929)+IF($G1930="",0,$G1930)-IF($H1930="",0,$H1930))</f>
        <v/>
      </c>
      <c r="L1930">
        <f>IFERROR(MATCH($C$5&amp;"|"&amp;RIGHT("000000"&amp;1914,6),LdgRankKeyA,0),"")</f>
        <v/>
      </c>
      <c r="M1930">
        <f>IFERROR(MATCH($C$5&amp;"|"&amp;RIGHT("000000"&amp;1914,6),LdgRankKeyB,0),"")</f>
        <v/>
      </c>
    </row>
    <row r="1931">
      <c r="A1931" s="17" t="n">
        <v>1915</v>
      </c>
      <c r="B1931" s="18">
        <f>IF(AND($L1931="",$M1931=""),"",IF($L1931&lt;&gt;"",INDEX(SCNormDate,$L1931),INDEX(LdgDateB,$M1931)))</f>
        <v/>
      </c>
      <c r="C1931" s="18">
        <f>IF($L1931&lt;&gt;"",INDEX(SCOp,$L1931),IF($M1931&lt;&gt;"","پرداخت بانکی",""))</f>
        <v/>
      </c>
      <c r="D1931" s="18">
        <f>IF($L1931&lt;&gt;"",IF(INDEX(SCDoc,$L1931)="","—",INDEX(SCDoc,$L1931)),IF($M1931&lt;&gt;"",INDEX(LdgBankB,$M1931),""))</f>
        <v/>
      </c>
      <c r="E1931" s="19">
        <f>IF($L1931&lt;&gt;"",IF(INDEX(SCCitrus,$L1931)&amp;INDEX(SCNotes,$L1931)="","",IF(INDEX(SCCitrus,$L1931)="","",INDEX(SCCitrus,$L1931))&amp;IF(INDEX(SCNotes,$L1931)="",""," — "&amp;INDEX(SCNotes,$L1931))),IF($M1931&lt;&gt;"",IF(INDEX(LdgNoteB,$M1931)="","—",INDEX(LdgNoteB,$M1931)),""))</f>
        <v/>
      </c>
      <c r="F1931" s="20">
        <f>IF($L1931&lt;&gt;"",IF(INDEX(SCNet,$L1931)=0,"",INDEX(SCNet,$L1931)),"")</f>
        <v/>
      </c>
      <c r="G1931" s="21">
        <f>IF($L1931&lt;&gt;"",IF(INDEX(SCOp,$L1931)="مرجوعی فروش","",IF(INDEX(SCAmount,$L1931)&lt;=0,"",INDEX(SCAmount,$L1931))),IF($M1931&lt;&gt;"",IF(INDEX(LdgWitB,$M1931)=0,"",INDEX(LdgWitB,$M1931)),""))</f>
        <v/>
      </c>
      <c r="H1931" s="21">
        <f>IF($L1931&lt;&gt;"",IF(INDEX(SCOp,$L1931)="مرجوعی فروش",IF(INDEX(SCAmount,$L1931)=0,"",-INDEX(SCAmount,$L1931)),""),IF($M1931&lt;&gt;"",IF(INDEX(LdgDepB,$M1931)=0,"",INDEX(LdgDepB,$M1931)),""))</f>
        <v/>
      </c>
      <c r="I1931" s="22">
        <f>IF($B1931="","",IF($I1930="",$C$10,$I1930)+IF($G1931="",0,$G1931)-IF($H1931="",0,$H1931))</f>
        <v/>
      </c>
      <c r="L1931">
        <f>IFERROR(MATCH($C$5&amp;"|"&amp;RIGHT("000000"&amp;1915,6),LdgRankKeyA,0),"")</f>
        <v/>
      </c>
      <c r="M1931">
        <f>IFERROR(MATCH($C$5&amp;"|"&amp;RIGHT("000000"&amp;1915,6),LdgRankKeyB,0),"")</f>
        <v/>
      </c>
    </row>
    <row r="1932">
      <c r="A1932" s="23" t="n">
        <v>1916</v>
      </c>
      <c r="B1932" s="24">
        <f>IF(AND($L1932="",$M1932=""),"",IF($L1932&lt;&gt;"",INDEX(SCNormDate,$L1932),INDEX(LdgDateB,$M1932)))</f>
        <v/>
      </c>
      <c r="C1932" s="24">
        <f>IF($L1932&lt;&gt;"",INDEX(SCOp,$L1932),IF($M1932&lt;&gt;"","پرداخت بانکی",""))</f>
        <v/>
      </c>
      <c r="D1932" s="24">
        <f>IF($L1932&lt;&gt;"",IF(INDEX(SCDoc,$L1932)="","—",INDEX(SCDoc,$L1932)),IF($M1932&lt;&gt;"",INDEX(LdgBankB,$M1932),""))</f>
        <v/>
      </c>
      <c r="E1932" s="25">
        <f>IF($L1932&lt;&gt;"",IF(INDEX(SCCitrus,$L1932)&amp;INDEX(SCNotes,$L1932)="","",IF(INDEX(SCCitrus,$L1932)="","",INDEX(SCCitrus,$L1932))&amp;IF(INDEX(SCNotes,$L1932)="",""," — "&amp;INDEX(SCNotes,$L1932))),IF($M1932&lt;&gt;"",IF(INDEX(LdgNoteB,$M1932)="","—",INDEX(LdgNoteB,$M1932)),""))</f>
        <v/>
      </c>
      <c r="F1932" s="26">
        <f>IF($L1932&lt;&gt;"",IF(INDEX(SCNet,$L1932)=0,"",INDEX(SCNet,$L1932)),"")</f>
        <v/>
      </c>
      <c r="G1932" s="27">
        <f>IF($L1932&lt;&gt;"",IF(INDEX(SCOp,$L1932)="مرجوعی فروش","",IF(INDEX(SCAmount,$L1932)&lt;=0,"",INDEX(SCAmount,$L1932))),IF($M1932&lt;&gt;"",IF(INDEX(LdgWitB,$M1932)=0,"",INDEX(LdgWitB,$M1932)),""))</f>
        <v/>
      </c>
      <c r="H1932" s="27">
        <f>IF($L1932&lt;&gt;"",IF(INDEX(SCOp,$L1932)="مرجوعی فروش",IF(INDEX(SCAmount,$L1932)=0,"",-INDEX(SCAmount,$L1932)),""),IF($M1932&lt;&gt;"",IF(INDEX(LdgDepB,$M1932)=0,"",INDEX(LdgDepB,$M1932)),""))</f>
        <v/>
      </c>
      <c r="I1932" s="28">
        <f>IF($B1932="","",IF($I1931="",$C$10,$I1931)+IF($G1932="",0,$G1932)-IF($H1932="",0,$H1932))</f>
        <v/>
      </c>
      <c r="L1932">
        <f>IFERROR(MATCH($C$5&amp;"|"&amp;RIGHT("000000"&amp;1916,6),LdgRankKeyA,0),"")</f>
        <v/>
      </c>
      <c r="M1932">
        <f>IFERROR(MATCH($C$5&amp;"|"&amp;RIGHT("000000"&amp;1916,6),LdgRankKeyB,0),"")</f>
        <v/>
      </c>
    </row>
    <row r="1933">
      <c r="A1933" s="17" t="n">
        <v>1917</v>
      </c>
      <c r="B1933" s="18">
        <f>IF(AND($L1933="",$M1933=""),"",IF($L1933&lt;&gt;"",INDEX(SCNormDate,$L1933),INDEX(LdgDateB,$M1933)))</f>
        <v/>
      </c>
      <c r="C1933" s="18">
        <f>IF($L1933&lt;&gt;"",INDEX(SCOp,$L1933),IF($M1933&lt;&gt;"","پرداخت بانکی",""))</f>
        <v/>
      </c>
      <c r="D1933" s="18">
        <f>IF($L1933&lt;&gt;"",IF(INDEX(SCDoc,$L1933)="","—",INDEX(SCDoc,$L1933)),IF($M1933&lt;&gt;"",INDEX(LdgBankB,$M1933),""))</f>
        <v/>
      </c>
      <c r="E1933" s="19">
        <f>IF($L1933&lt;&gt;"",IF(INDEX(SCCitrus,$L1933)&amp;INDEX(SCNotes,$L1933)="","",IF(INDEX(SCCitrus,$L1933)="","",INDEX(SCCitrus,$L1933))&amp;IF(INDEX(SCNotes,$L1933)="",""," — "&amp;INDEX(SCNotes,$L1933))),IF($M1933&lt;&gt;"",IF(INDEX(LdgNoteB,$M1933)="","—",INDEX(LdgNoteB,$M1933)),""))</f>
        <v/>
      </c>
      <c r="F1933" s="20">
        <f>IF($L1933&lt;&gt;"",IF(INDEX(SCNet,$L1933)=0,"",INDEX(SCNet,$L1933)),"")</f>
        <v/>
      </c>
      <c r="G1933" s="21">
        <f>IF($L1933&lt;&gt;"",IF(INDEX(SCOp,$L1933)="مرجوعی فروش","",IF(INDEX(SCAmount,$L1933)&lt;=0,"",INDEX(SCAmount,$L1933))),IF($M1933&lt;&gt;"",IF(INDEX(LdgWitB,$M1933)=0,"",INDEX(LdgWitB,$M1933)),""))</f>
        <v/>
      </c>
      <c r="H1933" s="21">
        <f>IF($L1933&lt;&gt;"",IF(INDEX(SCOp,$L1933)="مرجوعی فروش",IF(INDEX(SCAmount,$L1933)=0,"",-INDEX(SCAmount,$L1933)),""),IF($M1933&lt;&gt;"",IF(INDEX(LdgDepB,$M1933)=0,"",INDEX(LdgDepB,$M1933)),""))</f>
        <v/>
      </c>
      <c r="I1933" s="22">
        <f>IF($B1933="","",IF($I1932="",$C$10,$I1932)+IF($G1933="",0,$G1933)-IF($H1933="",0,$H1933))</f>
        <v/>
      </c>
      <c r="L1933">
        <f>IFERROR(MATCH($C$5&amp;"|"&amp;RIGHT("000000"&amp;1917,6),LdgRankKeyA,0),"")</f>
        <v/>
      </c>
      <c r="M1933">
        <f>IFERROR(MATCH($C$5&amp;"|"&amp;RIGHT("000000"&amp;1917,6),LdgRankKeyB,0),"")</f>
        <v/>
      </c>
    </row>
    <row r="1934">
      <c r="A1934" s="23" t="n">
        <v>1918</v>
      </c>
      <c r="B1934" s="24">
        <f>IF(AND($L1934="",$M1934=""),"",IF($L1934&lt;&gt;"",INDEX(SCNormDate,$L1934),INDEX(LdgDateB,$M1934)))</f>
        <v/>
      </c>
      <c r="C1934" s="24">
        <f>IF($L1934&lt;&gt;"",INDEX(SCOp,$L1934),IF($M1934&lt;&gt;"","پرداخت بانکی",""))</f>
        <v/>
      </c>
      <c r="D1934" s="24">
        <f>IF($L1934&lt;&gt;"",IF(INDEX(SCDoc,$L1934)="","—",INDEX(SCDoc,$L1934)),IF($M1934&lt;&gt;"",INDEX(LdgBankB,$M1934),""))</f>
        <v/>
      </c>
      <c r="E1934" s="25">
        <f>IF($L1934&lt;&gt;"",IF(INDEX(SCCitrus,$L1934)&amp;INDEX(SCNotes,$L1934)="","",IF(INDEX(SCCitrus,$L1934)="","",INDEX(SCCitrus,$L1934))&amp;IF(INDEX(SCNotes,$L1934)="",""," — "&amp;INDEX(SCNotes,$L1934))),IF($M1934&lt;&gt;"",IF(INDEX(LdgNoteB,$M1934)="","—",INDEX(LdgNoteB,$M1934)),""))</f>
        <v/>
      </c>
      <c r="F1934" s="26">
        <f>IF($L1934&lt;&gt;"",IF(INDEX(SCNet,$L1934)=0,"",INDEX(SCNet,$L1934)),"")</f>
        <v/>
      </c>
      <c r="G1934" s="27">
        <f>IF($L1934&lt;&gt;"",IF(INDEX(SCOp,$L1934)="مرجوعی فروش","",IF(INDEX(SCAmount,$L1934)&lt;=0,"",INDEX(SCAmount,$L1934))),IF($M1934&lt;&gt;"",IF(INDEX(LdgWitB,$M1934)=0,"",INDEX(LdgWitB,$M1934)),""))</f>
        <v/>
      </c>
      <c r="H1934" s="27">
        <f>IF($L1934&lt;&gt;"",IF(INDEX(SCOp,$L1934)="مرجوعی فروش",IF(INDEX(SCAmount,$L1934)=0,"",-INDEX(SCAmount,$L1934)),""),IF($M1934&lt;&gt;"",IF(INDEX(LdgDepB,$M1934)=0,"",INDEX(LdgDepB,$M1934)),""))</f>
        <v/>
      </c>
      <c r="I1934" s="28">
        <f>IF($B1934="","",IF($I1933="",$C$10,$I1933)+IF($G1934="",0,$G1934)-IF($H1934="",0,$H1934))</f>
        <v/>
      </c>
      <c r="L1934">
        <f>IFERROR(MATCH($C$5&amp;"|"&amp;RIGHT("000000"&amp;1918,6),LdgRankKeyA,0),"")</f>
        <v/>
      </c>
      <c r="M1934">
        <f>IFERROR(MATCH($C$5&amp;"|"&amp;RIGHT("000000"&amp;1918,6),LdgRankKeyB,0),"")</f>
        <v/>
      </c>
    </row>
    <row r="1935">
      <c r="A1935" s="17" t="n">
        <v>1919</v>
      </c>
      <c r="B1935" s="18">
        <f>IF(AND($L1935="",$M1935=""),"",IF($L1935&lt;&gt;"",INDEX(SCNormDate,$L1935),INDEX(LdgDateB,$M1935)))</f>
        <v/>
      </c>
      <c r="C1935" s="18">
        <f>IF($L1935&lt;&gt;"",INDEX(SCOp,$L1935),IF($M1935&lt;&gt;"","پرداخت بانکی",""))</f>
        <v/>
      </c>
      <c r="D1935" s="18">
        <f>IF($L1935&lt;&gt;"",IF(INDEX(SCDoc,$L1935)="","—",INDEX(SCDoc,$L1935)),IF($M1935&lt;&gt;"",INDEX(LdgBankB,$M1935),""))</f>
        <v/>
      </c>
      <c r="E1935" s="19">
        <f>IF($L1935&lt;&gt;"",IF(INDEX(SCCitrus,$L1935)&amp;INDEX(SCNotes,$L1935)="","",IF(INDEX(SCCitrus,$L1935)="","",INDEX(SCCitrus,$L1935))&amp;IF(INDEX(SCNotes,$L1935)="",""," — "&amp;INDEX(SCNotes,$L1935))),IF($M1935&lt;&gt;"",IF(INDEX(LdgNoteB,$M1935)="","—",INDEX(LdgNoteB,$M1935)),""))</f>
        <v/>
      </c>
      <c r="F1935" s="20">
        <f>IF($L1935&lt;&gt;"",IF(INDEX(SCNet,$L1935)=0,"",INDEX(SCNet,$L1935)),"")</f>
        <v/>
      </c>
      <c r="G1935" s="21">
        <f>IF($L1935&lt;&gt;"",IF(INDEX(SCOp,$L1935)="مرجوعی فروش","",IF(INDEX(SCAmount,$L1935)&lt;=0,"",INDEX(SCAmount,$L1935))),IF($M1935&lt;&gt;"",IF(INDEX(LdgWitB,$M1935)=0,"",INDEX(LdgWitB,$M1935)),""))</f>
        <v/>
      </c>
      <c r="H1935" s="21">
        <f>IF($L1935&lt;&gt;"",IF(INDEX(SCOp,$L1935)="مرجوعی فروش",IF(INDEX(SCAmount,$L1935)=0,"",-INDEX(SCAmount,$L1935)),""),IF($M1935&lt;&gt;"",IF(INDEX(LdgDepB,$M1935)=0,"",INDEX(LdgDepB,$M1935)),""))</f>
        <v/>
      </c>
      <c r="I1935" s="22">
        <f>IF($B1935="","",IF($I1934="",$C$10,$I1934)+IF($G1935="",0,$G1935)-IF($H1935="",0,$H1935))</f>
        <v/>
      </c>
      <c r="L1935">
        <f>IFERROR(MATCH($C$5&amp;"|"&amp;RIGHT("000000"&amp;1919,6),LdgRankKeyA,0),"")</f>
        <v/>
      </c>
      <c r="M1935">
        <f>IFERROR(MATCH($C$5&amp;"|"&amp;RIGHT("000000"&amp;1919,6),LdgRankKeyB,0),"")</f>
        <v/>
      </c>
    </row>
    <row r="1936">
      <c r="A1936" s="23" t="n">
        <v>1920</v>
      </c>
      <c r="B1936" s="24">
        <f>IF(AND($L1936="",$M1936=""),"",IF($L1936&lt;&gt;"",INDEX(SCNormDate,$L1936),INDEX(LdgDateB,$M1936)))</f>
        <v/>
      </c>
      <c r="C1936" s="24">
        <f>IF($L1936&lt;&gt;"",INDEX(SCOp,$L1936),IF($M1936&lt;&gt;"","پرداخت بانکی",""))</f>
        <v/>
      </c>
      <c r="D1936" s="24">
        <f>IF($L1936&lt;&gt;"",IF(INDEX(SCDoc,$L1936)="","—",INDEX(SCDoc,$L1936)),IF($M1936&lt;&gt;"",INDEX(LdgBankB,$M1936),""))</f>
        <v/>
      </c>
      <c r="E1936" s="25">
        <f>IF($L1936&lt;&gt;"",IF(INDEX(SCCitrus,$L1936)&amp;INDEX(SCNotes,$L1936)="","",IF(INDEX(SCCitrus,$L1936)="","",INDEX(SCCitrus,$L1936))&amp;IF(INDEX(SCNotes,$L1936)="",""," — "&amp;INDEX(SCNotes,$L1936))),IF($M1936&lt;&gt;"",IF(INDEX(LdgNoteB,$M1936)="","—",INDEX(LdgNoteB,$M1936)),""))</f>
        <v/>
      </c>
      <c r="F1936" s="26">
        <f>IF($L1936&lt;&gt;"",IF(INDEX(SCNet,$L1936)=0,"",INDEX(SCNet,$L1936)),"")</f>
        <v/>
      </c>
      <c r="G1936" s="27">
        <f>IF($L1936&lt;&gt;"",IF(INDEX(SCOp,$L1936)="مرجوعی فروش","",IF(INDEX(SCAmount,$L1936)&lt;=0,"",INDEX(SCAmount,$L1936))),IF($M1936&lt;&gt;"",IF(INDEX(LdgWitB,$M1936)=0,"",INDEX(LdgWitB,$M1936)),""))</f>
        <v/>
      </c>
      <c r="H1936" s="27">
        <f>IF($L1936&lt;&gt;"",IF(INDEX(SCOp,$L1936)="مرجوعی فروش",IF(INDEX(SCAmount,$L1936)=0,"",-INDEX(SCAmount,$L1936)),""),IF($M1936&lt;&gt;"",IF(INDEX(LdgDepB,$M1936)=0,"",INDEX(LdgDepB,$M1936)),""))</f>
        <v/>
      </c>
      <c r="I1936" s="28">
        <f>IF($B1936="","",IF($I1935="",$C$10,$I1935)+IF($G1936="",0,$G1936)-IF($H1936="",0,$H1936))</f>
        <v/>
      </c>
      <c r="L1936">
        <f>IFERROR(MATCH($C$5&amp;"|"&amp;RIGHT("000000"&amp;1920,6),LdgRankKeyA,0),"")</f>
        <v/>
      </c>
      <c r="M1936">
        <f>IFERROR(MATCH($C$5&amp;"|"&amp;RIGHT("000000"&amp;1920,6),LdgRankKeyB,0),"")</f>
        <v/>
      </c>
    </row>
    <row r="1937">
      <c r="A1937" s="17" t="n">
        <v>1921</v>
      </c>
      <c r="B1937" s="18">
        <f>IF(AND($L1937="",$M1937=""),"",IF($L1937&lt;&gt;"",INDEX(SCNormDate,$L1937),INDEX(LdgDateB,$M1937)))</f>
        <v/>
      </c>
      <c r="C1937" s="18">
        <f>IF($L1937&lt;&gt;"",INDEX(SCOp,$L1937),IF($M1937&lt;&gt;"","پرداخت بانکی",""))</f>
        <v/>
      </c>
      <c r="D1937" s="18">
        <f>IF($L1937&lt;&gt;"",IF(INDEX(SCDoc,$L1937)="","—",INDEX(SCDoc,$L1937)),IF($M1937&lt;&gt;"",INDEX(LdgBankB,$M1937),""))</f>
        <v/>
      </c>
      <c r="E1937" s="19">
        <f>IF($L1937&lt;&gt;"",IF(INDEX(SCCitrus,$L1937)&amp;INDEX(SCNotes,$L1937)="","",IF(INDEX(SCCitrus,$L1937)="","",INDEX(SCCitrus,$L1937))&amp;IF(INDEX(SCNotes,$L1937)="",""," — "&amp;INDEX(SCNotes,$L1937))),IF($M1937&lt;&gt;"",IF(INDEX(LdgNoteB,$M1937)="","—",INDEX(LdgNoteB,$M1937)),""))</f>
        <v/>
      </c>
      <c r="F1937" s="20">
        <f>IF($L1937&lt;&gt;"",IF(INDEX(SCNet,$L1937)=0,"",INDEX(SCNet,$L1937)),"")</f>
        <v/>
      </c>
      <c r="G1937" s="21">
        <f>IF($L1937&lt;&gt;"",IF(INDEX(SCOp,$L1937)="مرجوعی فروش","",IF(INDEX(SCAmount,$L1937)&lt;=0,"",INDEX(SCAmount,$L1937))),IF($M1937&lt;&gt;"",IF(INDEX(LdgWitB,$M1937)=0,"",INDEX(LdgWitB,$M1937)),""))</f>
        <v/>
      </c>
      <c r="H1937" s="21">
        <f>IF($L1937&lt;&gt;"",IF(INDEX(SCOp,$L1937)="مرجوعی فروش",IF(INDEX(SCAmount,$L1937)=0,"",-INDEX(SCAmount,$L1937)),""),IF($M1937&lt;&gt;"",IF(INDEX(LdgDepB,$M1937)=0,"",INDEX(LdgDepB,$M1937)),""))</f>
        <v/>
      </c>
      <c r="I1937" s="22">
        <f>IF($B1937="","",IF($I1936="",$C$10,$I1936)+IF($G1937="",0,$G1937)-IF($H1937="",0,$H1937))</f>
        <v/>
      </c>
      <c r="L1937">
        <f>IFERROR(MATCH($C$5&amp;"|"&amp;RIGHT("000000"&amp;1921,6),LdgRankKeyA,0),"")</f>
        <v/>
      </c>
      <c r="M1937">
        <f>IFERROR(MATCH($C$5&amp;"|"&amp;RIGHT("000000"&amp;1921,6),LdgRankKeyB,0),"")</f>
        <v/>
      </c>
    </row>
    <row r="1938">
      <c r="A1938" s="23" t="n">
        <v>1922</v>
      </c>
      <c r="B1938" s="24">
        <f>IF(AND($L1938="",$M1938=""),"",IF($L1938&lt;&gt;"",INDEX(SCNormDate,$L1938),INDEX(LdgDateB,$M1938)))</f>
        <v/>
      </c>
      <c r="C1938" s="24">
        <f>IF($L1938&lt;&gt;"",INDEX(SCOp,$L1938),IF($M1938&lt;&gt;"","پرداخت بانکی",""))</f>
        <v/>
      </c>
      <c r="D1938" s="24">
        <f>IF($L1938&lt;&gt;"",IF(INDEX(SCDoc,$L1938)="","—",INDEX(SCDoc,$L1938)),IF($M1938&lt;&gt;"",INDEX(LdgBankB,$M1938),""))</f>
        <v/>
      </c>
      <c r="E1938" s="25">
        <f>IF($L1938&lt;&gt;"",IF(INDEX(SCCitrus,$L1938)&amp;INDEX(SCNotes,$L1938)="","",IF(INDEX(SCCitrus,$L1938)="","",INDEX(SCCitrus,$L1938))&amp;IF(INDEX(SCNotes,$L1938)="",""," — "&amp;INDEX(SCNotes,$L1938))),IF($M1938&lt;&gt;"",IF(INDEX(LdgNoteB,$M1938)="","—",INDEX(LdgNoteB,$M1938)),""))</f>
        <v/>
      </c>
      <c r="F1938" s="26">
        <f>IF($L1938&lt;&gt;"",IF(INDEX(SCNet,$L1938)=0,"",INDEX(SCNet,$L1938)),"")</f>
        <v/>
      </c>
      <c r="G1938" s="27">
        <f>IF($L1938&lt;&gt;"",IF(INDEX(SCOp,$L1938)="مرجوعی فروش","",IF(INDEX(SCAmount,$L1938)&lt;=0,"",INDEX(SCAmount,$L1938))),IF($M1938&lt;&gt;"",IF(INDEX(LdgWitB,$M1938)=0,"",INDEX(LdgWitB,$M1938)),""))</f>
        <v/>
      </c>
      <c r="H1938" s="27">
        <f>IF($L1938&lt;&gt;"",IF(INDEX(SCOp,$L1938)="مرجوعی فروش",IF(INDEX(SCAmount,$L1938)=0,"",-INDEX(SCAmount,$L1938)),""),IF($M1938&lt;&gt;"",IF(INDEX(LdgDepB,$M1938)=0,"",INDEX(LdgDepB,$M1938)),""))</f>
        <v/>
      </c>
      <c r="I1938" s="28">
        <f>IF($B1938="","",IF($I1937="",$C$10,$I1937)+IF($G1938="",0,$G1938)-IF($H1938="",0,$H1938))</f>
        <v/>
      </c>
      <c r="L1938">
        <f>IFERROR(MATCH($C$5&amp;"|"&amp;RIGHT("000000"&amp;1922,6),LdgRankKeyA,0),"")</f>
        <v/>
      </c>
      <c r="M1938">
        <f>IFERROR(MATCH($C$5&amp;"|"&amp;RIGHT("000000"&amp;1922,6),LdgRankKeyB,0),"")</f>
        <v/>
      </c>
    </row>
    <row r="1939">
      <c r="A1939" s="17" t="n">
        <v>1923</v>
      </c>
      <c r="B1939" s="18">
        <f>IF(AND($L1939="",$M1939=""),"",IF($L1939&lt;&gt;"",INDEX(SCNormDate,$L1939),INDEX(LdgDateB,$M1939)))</f>
        <v/>
      </c>
      <c r="C1939" s="18">
        <f>IF($L1939&lt;&gt;"",INDEX(SCOp,$L1939),IF($M1939&lt;&gt;"","پرداخت بانکی",""))</f>
        <v/>
      </c>
      <c r="D1939" s="18">
        <f>IF($L1939&lt;&gt;"",IF(INDEX(SCDoc,$L1939)="","—",INDEX(SCDoc,$L1939)),IF($M1939&lt;&gt;"",INDEX(LdgBankB,$M1939),""))</f>
        <v/>
      </c>
      <c r="E1939" s="19">
        <f>IF($L1939&lt;&gt;"",IF(INDEX(SCCitrus,$L1939)&amp;INDEX(SCNotes,$L1939)="","",IF(INDEX(SCCitrus,$L1939)="","",INDEX(SCCitrus,$L1939))&amp;IF(INDEX(SCNotes,$L1939)="",""," — "&amp;INDEX(SCNotes,$L1939))),IF($M1939&lt;&gt;"",IF(INDEX(LdgNoteB,$M1939)="","—",INDEX(LdgNoteB,$M1939)),""))</f>
        <v/>
      </c>
      <c r="F1939" s="20">
        <f>IF($L1939&lt;&gt;"",IF(INDEX(SCNet,$L1939)=0,"",INDEX(SCNet,$L1939)),"")</f>
        <v/>
      </c>
      <c r="G1939" s="21">
        <f>IF($L1939&lt;&gt;"",IF(INDEX(SCOp,$L1939)="مرجوعی فروش","",IF(INDEX(SCAmount,$L1939)&lt;=0,"",INDEX(SCAmount,$L1939))),IF($M1939&lt;&gt;"",IF(INDEX(LdgWitB,$M1939)=0,"",INDEX(LdgWitB,$M1939)),""))</f>
        <v/>
      </c>
      <c r="H1939" s="21">
        <f>IF($L1939&lt;&gt;"",IF(INDEX(SCOp,$L1939)="مرجوعی فروش",IF(INDEX(SCAmount,$L1939)=0,"",-INDEX(SCAmount,$L1939)),""),IF($M1939&lt;&gt;"",IF(INDEX(LdgDepB,$M1939)=0,"",INDEX(LdgDepB,$M1939)),""))</f>
        <v/>
      </c>
      <c r="I1939" s="22">
        <f>IF($B1939="","",IF($I1938="",$C$10,$I1938)+IF($G1939="",0,$G1939)-IF($H1939="",0,$H1939))</f>
        <v/>
      </c>
      <c r="L1939">
        <f>IFERROR(MATCH($C$5&amp;"|"&amp;RIGHT("000000"&amp;1923,6),LdgRankKeyA,0),"")</f>
        <v/>
      </c>
      <c r="M1939">
        <f>IFERROR(MATCH($C$5&amp;"|"&amp;RIGHT("000000"&amp;1923,6),LdgRankKeyB,0),"")</f>
        <v/>
      </c>
    </row>
    <row r="1940">
      <c r="A1940" s="23" t="n">
        <v>1924</v>
      </c>
      <c r="B1940" s="24">
        <f>IF(AND($L1940="",$M1940=""),"",IF($L1940&lt;&gt;"",INDEX(SCNormDate,$L1940),INDEX(LdgDateB,$M1940)))</f>
        <v/>
      </c>
      <c r="C1940" s="24">
        <f>IF($L1940&lt;&gt;"",INDEX(SCOp,$L1940),IF($M1940&lt;&gt;"","پرداخت بانکی",""))</f>
        <v/>
      </c>
      <c r="D1940" s="24">
        <f>IF($L1940&lt;&gt;"",IF(INDEX(SCDoc,$L1940)="","—",INDEX(SCDoc,$L1940)),IF($M1940&lt;&gt;"",INDEX(LdgBankB,$M1940),""))</f>
        <v/>
      </c>
      <c r="E1940" s="25">
        <f>IF($L1940&lt;&gt;"",IF(INDEX(SCCitrus,$L1940)&amp;INDEX(SCNotes,$L1940)="","",IF(INDEX(SCCitrus,$L1940)="","",INDEX(SCCitrus,$L1940))&amp;IF(INDEX(SCNotes,$L1940)="",""," — "&amp;INDEX(SCNotes,$L1940))),IF($M1940&lt;&gt;"",IF(INDEX(LdgNoteB,$M1940)="","—",INDEX(LdgNoteB,$M1940)),""))</f>
        <v/>
      </c>
      <c r="F1940" s="26">
        <f>IF($L1940&lt;&gt;"",IF(INDEX(SCNet,$L1940)=0,"",INDEX(SCNet,$L1940)),"")</f>
        <v/>
      </c>
      <c r="G1940" s="27">
        <f>IF($L1940&lt;&gt;"",IF(INDEX(SCOp,$L1940)="مرجوعی فروش","",IF(INDEX(SCAmount,$L1940)&lt;=0,"",INDEX(SCAmount,$L1940))),IF($M1940&lt;&gt;"",IF(INDEX(LdgWitB,$M1940)=0,"",INDEX(LdgWitB,$M1940)),""))</f>
        <v/>
      </c>
      <c r="H1940" s="27">
        <f>IF($L1940&lt;&gt;"",IF(INDEX(SCOp,$L1940)="مرجوعی فروش",IF(INDEX(SCAmount,$L1940)=0,"",-INDEX(SCAmount,$L1940)),""),IF($M1940&lt;&gt;"",IF(INDEX(LdgDepB,$M1940)=0,"",INDEX(LdgDepB,$M1940)),""))</f>
        <v/>
      </c>
      <c r="I1940" s="28">
        <f>IF($B1940="","",IF($I1939="",$C$10,$I1939)+IF($G1940="",0,$G1940)-IF($H1940="",0,$H1940))</f>
        <v/>
      </c>
      <c r="L1940">
        <f>IFERROR(MATCH($C$5&amp;"|"&amp;RIGHT("000000"&amp;1924,6),LdgRankKeyA,0),"")</f>
        <v/>
      </c>
      <c r="M1940">
        <f>IFERROR(MATCH($C$5&amp;"|"&amp;RIGHT("000000"&amp;1924,6),LdgRankKeyB,0),"")</f>
        <v/>
      </c>
    </row>
    <row r="1941">
      <c r="A1941" s="17" t="n">
        <v>1925</v>
      </c>
      <c r="B1941" s="18">
        <f>IF(AND($L1941="",$M1941=""),"",IF($L1941&lt;&gt;"",INDEX(SCNormDate,$L1941),INDEX(LdgDateB,$M1941)))</f>
        <v/>
      </c>
      <c r="C1941" s="18">
        <f>IF($L1941&lt;&gt;"",INDEX(SCOp,$L1941),IF($M1941&lt;&gt;"","پرداخت بانکی",""))</f>
        <v/>
      </c>
      <c r="D1941" s="18">
        <f>IF($L1941&lt;&gt;"",IF(INDEX(SCDoc,$L1941)="","—",INDEX(SCDoc,$L1941)),IF($M1941&lt;&gt;"",INDEX(LdgBankB,$M1941),""))</f>
        <v/>
      </c>
      <c r="E1941" s="19">
        <f>IF($L1941&lt;&gt;"",IF(INDEX(SCCitrus,$L1941)&amp;INDEX(SCNotes,$L1941)="","",IF(INDEX(SCCitrus,$L1941)="","",INDEX(SCCitrus,$L1941))&amp;IF(INDEX(SCNotes,$L1941)="",""," — "&amp;INDEX(SCNotes,$L1941))),IF($M1941&lt;&gt;"",IF(INDEX(LdgNoteB,$M1941)="","—",INDEX(LdgNoteB,$M1941)),""))</f>
        <v/>
      </c>
      <c r="F1941" s="20">
        <f>IF($L1941&lt;&gt;"",IF(INDEX(SCNet,$L1941)=0,"",INDEX(SCNet,$L1941)),"")</f>
        <v/>
      </c>
      <c r="G1941" s="21">
        <f>IF($L1941&lt;&gt;"",IF(INDEX(SCOp,$L1941)="مرجوعی فروش","",IF(INDEX(SCAmount,$L1941)&lt;=0,"",INDEX(SCAmount,$L1941))),IF($M1941&lt;&gt;"",IF(INDEX(LdgWitB,$M1941)=0,"",INDEX(LdgWitB,$M1941)),""))</f>
        <v/>
      </c>
      <c r="H1941" s="21">
        <f>IF($L1941&lt;&gt;"",IF(INDEX(SCOp,$L1941)="مرجوعی فروش",IF(INDEX(SCAmount,$L1941)=0,"",-INDEX(SCAmount,$L1941)),""),IF($M1941&lt;&gt;"",IF(INDEX(LdgDepB,$M1941)=0,"",INDEX(LdgDepB,$M1941)),""))</f>
        <v/>
      </c>
      <c r="I1941" s="22">
        <f>IF($B1941="","",IF($I1940="",$C$10,$I1940)+IF($G1941="",0,$G1941)-IF($H1941="",0,$H1941))</f>
        <v/>
      </c>
      <c r="L1941">
        <f>IFERROR(MATCH($C$5&amp;"|"&amp;RIGHT("000000"&amp;1925,6),LdgRankKeyA,0),"")</f>
        <v/>
      </c>
      <c r="M1941">
        <f>IFERROR(MATCH($C$5&amp;"|"&amp;RIGHT("000000"&amp;1925,6),LdgRankKeyB,0),"")</f>
        <v/>
      </c>
    </row>
    <row r="1942">
      <c r="A1942" s="23" t="n">
        <v>1926</v>
      </c>
      <c r="B1942" s="24">
        <f>IF(AND($L1942="",$M1942=""),"",IF($L1942&lt;&gt;"",INDEX(SCNormDate,$L1942),INDEX(LdgDateB,$M1942)))</f>
        <v/>
      </c>
      <c r="C1942" s="24">
        <f>IF($L1942&lt;&gt;"",INDEX(SCOp,$L1942),IF($M1942&lt;&gt;"","پرداخت بانکی",""))</f>
        <v/>
      </c>
      <c r="D1942" s="24">
        <f>IF($L1942&lt;&gt;"",IF(INDEX(SCDoc,$L1942)="","—",INDEX(SCDoc,$L1942)),IF($M1942&lt;&gt;"",INDEX(LdgBankB,$M1942),""))</f>
        <v/>
      </c>
      <c r="E1942" s="25">
        <f>IF($L1942&lt;&gt;"",IF(INDEX(SCCitrus,$L1942)&amp;INDEX(SCNotes,$L1942)="","",IF(INDEX(SCCitrus,$L1942)="","",INDEX(SCCitrus,$L1942))&amp;IF(INDEX(SCNotes,$L1942)="",""," — "&amp;INDEX(SCNotes,$L1942))),IF($M1942&lt;&gt;"",IF(INDEX(LdgNoteB,$M1942)="","—",INDEX(LdgNoteB,$M1942)),""))</f>
        <v/>
      </c>
      <c r="F1942" s="26">
        <f>IF($L1942&lt;&gt;"",IF(INDEX(SCNet,$L1942)=0,"",INDEX(SCNet,$L1942)),"")</f>
        <v/>
      </c>
      <c r="G1942" s="27">
        <f>IF($L1942&lt;&gt;"",IF(INDEX(SCOp,$L1942)="مرجوعی فروش","",IF(INDEX(SCAmount,$L1942)&lt;=0,"",INDEX(SCAmount,$L1942))),IF($M1942&lt;&gt;"",IF(INDEX(LdgWitB,$M1942)=0,"",INDEX(LdgWitB,$M1942)),""))</f>
        <v/>
      </c>
      <c r="H1942" s="27">
        <f>IF($L1942&lt;&gt;"",IF(INDEX(SCOp,$L1942)="مرجوعی فروش",IF(INDEX(SCAmount,$L1942)=0,"",-INDEX(SCAmount,$L1942)),""),IF($M1942&lt;&gt;"",IF(INDEX(LdgDepB,$M1942)=0,"",INDEX(LdgDepB,$M1942)),""))</f>
        <v/>
      </c>
      <c r="I1942" s="28">
        <f>IF($B1942="","",IF($I1941="",$C$10,$I1941)+IF($G1942="",0,$G1942)-IF($H1942="",0,$H1942))</f>
        <v/>
      </c>
      <c r="L1942">
        <f>IFERROR(MATCH($C$5&amp;"|"&amp;RIGHT("000000"&amp;1926,6),LdgRankKeyA,0),"")</f>
        <v/>
      </c>
      <c r="M1942">
        <f>IFERROR(MATCH($C$5&amp;"|"&amp;RIGHT("000000"&amp;1926,6),LdgRankKeyB,0),"")</f>
        <v/>
      </c>
    </row>
    <row r="1943">
      <c r="A1943" s="17" t="n">
        <v>1927</v>
      </c>
      <c r="B1943" s="18">
        <f>IF(AND($L1943="",$M1943=""),"",IF($L1943&lt;&gt;"",INDEX(SCNormDate,$L1943),INDEX(LdgDateB,$M1943)))</f>
        <v/>
      </c>
      <c r="C1943" s="18">
        <f>IF($L1943&lt;&gt;"",INDEX(SCOp,$L1943),IF($M1943&lt;&gt;"","پرداخت بانکی",""))</f>
        <v/>
      </c>
      <c r="D1943" s="18">
        <f>IF($L1943&lt;&gt;"",IF(INDEX(SCDoc,$L1943)="","—",INDEX(SCDoc,$L1943)),IF($M1943&lt;&gt;"",INDEX(LdgBankB,$M1943),""))</f>
        <v/>
      </c>
      <c r="E1943" s="19">
        <f>IF($L1943&lt;&gt;"",IF(INDEX(SCCitrus,$L1943)&amp;INDEX(SCNotes,$L1943)="","",IF(INDEX(SCCitrus,$L1943)="","",INDEX(SCCitrus,$L1943))&amp;IF(INDEX(SCNotes,$L1943)="",""," — "&amp;INDEX(SCNotes,$L1943))),IF($M1943&lt;&gt;"",IF(INDEX(LdgNoteB,$M1943)="","—",INDEX(LdgNoteB,$M1943)),""))</f>
        <v/>
      </c>
      <c r="F1943" s="20">
        <f>IF($L1943&lt;&gt;"",IF(INDEX(SCNet,$L1943)=0,"",INDEX(SCNet,$L1943)),"")</f>
        <v/>
      </c>
      <c r="G1943" s="21">
        <f>IF($L1943&lt;&gt;"",IF(INDEX(SCOp,$L1943)="مرجوعی فروش","",IF(INDEX(SCAmount,$L1943)&lt;=0,"",INDEX(SCAmount,$L1943))),IF($M1943&lt;&gt;"",IF(INDEX(LdgWitB,$M1943)=0,"",INDEX(LdgWitB,$M1943)),""))</f>
        <v/>
      </c>
      <c r="H1943" s="21">
        <f>IF($L1943&lt;&gt;"",IF(INDEX(SCOp,$L1943)="مرجوعی فروش",IF(INDEX(SCAmount,$L1943)=0,"",-INDEX(SCAmount,$L1943)),""),IF($M1943&lt;&gt;"",IF(INDEX(LdgDepB,$M1943)=0,"",INDEX(LdgDepB,$M1943)),""))</f>
        <v/>
      </c>
      <c r="I1943" s="22">
        <f>IF($B1943="","",IF($I1942="",$C$10,$I1942)+IF($G1943="",0,$G1943)-IF($H1943="",0,$H1943))</f>
        <v/>
      </c>
      <c r="L1943">
        <f>IFERROR(MATCH($C$5&amp;"|"&amp;RIGHT("000000"&amp;1927,6),LdgRankKeyA,0),"")</f>
        <v/>
      </c>
      <c r="M1943">
        <f>IFERROR(MATCH($C$5&amp;"|"&amp;RIGHT("000000"&amp;1927,6),LdgRankKeyB,0),"")</f>
        <v/>
      </c>
    </row>
    <row r="1944">
      <c r="A1944" s="23" t="n">
        <v>1928</v>
      </c>
      <c r="B1944" s="24">
        <f>IF(AND($L1944="",$M1944=""),"",IF($L1944&lt;&gt;"",INDEX(SCNormDate,$L1944),INDEX(LdgDateB,$M1944)))</f>
        <v/>
      </c>
      <c r="C1944" s="24">
        <f>IF($L1944&lt;&gt;"",INDEX(SCOp,$L1944),IF($M1944&lt;&gt;"","پرداخت بانکی",""))</f>
        <v/>
      </c>
      <c r="D1944" s="24">
        <f>IF($L1944&lt;&gt;"",IF(INDEX(SCDoc,$L1944)="","—",INDEX(SCDoc,$L1944)),IF($M1944&lt;&gt;"",INDEX(LdgBankB,$M1944),""))</f>
        <v/>
      </c>
      <c r="E1944" s="25">
        <f>IF($L1944&lt;&gt;"",IF(INDEX(SCCitrus,$L1944)&amp;INDEX(SCNotes,$L1944)="","",IF(INDEX(SCCitrus,$L1944)="","",INDEX(SCCitrus,$L1944))&amp;IF(INDEX(SCNotes,$L1944)="",""," — "&amp;INDEX(SCNotes,$L1944))),IF($M1944&lt;&gt;"",IF(INDEX(LdgNoteB,$M1944)="","—",INDEX(LdgNoteB,$M1944)),""))</f>
        <v/>
      </c>
      <c r="F1944" s="26">
        <f>IF($L1944&lt;&gt;"",IF(INDEX(SCNet,$L1944)=0,"",INDEX(SCNet,$L1944)),"")</f>
        <v/>
      </c>
      <c r="G1944" s="27">
        <f>IF($L1944&lt;&gt;"",IF(INDEX(SCOp,$L1944)="مرجوعی فروش","",IF(INDEX(SCAmount,$L1944)&lt;=0,"",INDEX(SCAmount,$L1944))),IF($M1944&lt;&gt;"",IF(INDEX(LdgWitB,$M1944)=0,"",INDEX(LdgWitB,$M1944)),""))</f>
        <v/>
      </c>
      <c r="H1944" s="27">
        <f>IF($L1944&lt;&gt;"",IF(INDEX(SCOp,$L1944)="مرجوعی فروش",IF(INDEX(SCAmount,$L1944)=0,"",-INDEX(SCAmount,$L1944)),""),IF($M1944&lt;&gt;"",IF(INDEX(LdgDepB,$M1944)=0,"",INDEX(LdgDepB,$M1944)),""))</f>
        <v/>
      </c>
      <c r="I1944" s="28">
        <f>IF($B1944="","",IF($I1943="",$C$10,$I1943)+IF($G1944="",0,$G1944)-IF($H1944="",0,$H1944))</f>
        <v/>
      </c>
      <c r="L1944">
        <f>IFERROR(MATCH($C$5&amp;"|"&amp;RIGHT("000000"&amp;1928,6),LdgRankKeyA,0),"")</f>
        <v/>
      </c>
      <c r="M1944">
        <f>IFERROR(MATCH($C$5&amp;"|"&amp;RIGHT("000000"&amp;1928,6),LdgRankKeyB,0),"")</f>
        <v/>
      </c>
    </row>
    <row r="1945">
      <c r="A1945" s="17" t="n">
        <v>1929</v>
      </c>
      <c r="B1945" s="18">
        <f>IF(AND($L1945="",$M1945=""),"",IF($L1945&lt;&gt;"",INDEX(SCNormDate,$L1945),INDEX(LdgDateB,$M1945)))</f>
        <v/>
      </c>
      <c r="C1945" s="18">
        <f>IF($L1945&lt;&gt;"",INDEX(SCOp,$L1945),IF($M1945&lt;&gt;"","پرداخت بانکی",""))</f>
        <v/>
      </c>
      <c r="D1945" s="18">
        <f>IF($L1945&lt;&gt;"",IF(INDEX(SCDoc,$L1945)="","—",INDEX(SCDoc,$L1945)),IF($M1945&lt;&gt;"",INDEX(LdgBankB,$M1945),""))</f>
        <v/>
      </c>
      <c r="E1945" s="19">
        <f>IF($L1945&lt;&gt;"",IF(INDEX(SCCitrus,$L1945)&amp;INDEX(SCNotes,$L1945)="","",IF(INDEX(SCCitrus,$L1945)="","",INDEX(SCCitrus,$L1945))&amp;IF(INDEX(SCNotes,$L1945)="",""," — "&amp;INDEX(SCNotes,$L1945))),IF($M1945&lt;&gt;"",IF(INDEX(LdgNoteB,$M1945)="","—",INDEX(LdgNoteB,$M1945)),""))</f>
        <v/>
      </c>
      <c r="F1945" s="20">
        <f>IF($L1945&lt;&gt;"",IF(INDEX(SCNet,$L1945)=0,"",INDEX(SCNet,$L1945)),"")</f>
        <v/>
      </c>
      <c r="G1945" s="21">
        <f>IF($L1945&lt;&gt;"",IF(INDEX(SCOp,$L1945)="مرجوعی فروش","",IF(INDEX(SCAmount,$L1945)&lt;=0,"",INDEX(SCAmount,$L1945))),IF($M1945&lt;&gt;"",IF(INDEX(LdgWitB,$M1945)=0,"",INDEX(LdgWitB,$M1945)),""))</f>
        <v/>
      </c>
      <c r="H1945" s="21">
        <f>IF($L1945&lt;&gt;"",IF(INDEX(SCOp,$L1945)="مرجوعی فروش",IF(INDEX(SCAmount,$L1945)=0,"",-INDEX(SCAmount,$L1945)),""),IF($M1945&lt;&gt;"",IF(INDEX(LdgDepB,$M1945)=0,"",INDEX(LdgDepB,$M1945)),""))</f>
        <v/>
      </c>
      <c r="I1945" s="22">
        <f>IF($B1945="","",IF($I1944="",$C$10,$I1944)+IF($G1945="",0,$G1945)-IF($H1945="",0,$H1945))</f>
        <v/>
      </c>
      <c r="L1945">
        <f>IFERROR(MATCH($C$5&amp;"|"&amp;RIGHT("000000"&amp;1929,6),LdgRankKeyA,0),"")</f>
        <v/>
      </c>
      <c r="M1945">
        <f>IFERROR(MATCH($C$5&amp;"|"&amp;RIGHT("000000"&amp;1929,6),LdgRankKeyB,0),"")</f>
        <v/>
      </c>
    </row>
    <row r="1946">
      <c r="A1946" s="23" t="n">
        <v>1930</v>
      </c>
      <c r="B1946" s="24">
        <f>IF(AND($L1946="",$M1946=""),"",IF($L1946&lt;&gt;"",INDEX(SCNormDate,$L1946),INDEX(LdgDateB,$M1946)))</f>
        <v/>
      </c>
      <c r="C1946" s="24">
        <f>IF($L1946&lt;&gt;"",INDEX(SCOp,$L1946),IF($M1946&lt;&gt;"","پرداخت بانکی",""))</f>
        <v/>
      </c>
      <c r="D1946" s="24">
        <f>IF($L1946&lt;&gt;"",IF(INDEX(SCDoc,$L1946)="","—",INDEX(SCDoc,$L1946)),IF($M1946&lt;&gt;"",INDEX(LdgBankB,$M1946),""))</f>
        <v/>
      </c>
      <c r="E1946" s="25">
        <f>IF($L1946&lt;&gt;"",IF(INDEX(SCCitrus,$L1946)&amp;INDEX(SCNotes,$L1946)="","",IF(INDEX(SCCitrus,$L1946)="","",INDEX(SCCitrus,$L1946))&amp;IF(INDEX(SCNotes,$L1946)="",""," — "&amp;INDEX(SCNotes,$L1946))),IF($M1946&lt;&gt;"",IF(INDEX(LdgNoteB,$M1946)="","—",INDEX(LdgNoteB,$M1946)),""))</f>
        <v/>
      </c>
      <c r="F1946" s="26">
        <f>IF($L1946&lt;&gt;"",IF(INDEX(SCNet,$L1946)=0,"",INDEX(SCNet,$L1946)),"")</f>
        <v/>
      </c>
      <c r="G1946" s="27">
        <f>IF($L1946&lt;&gt;"",IF(INDEX(SCOp,$L1946)="مرجوعی فروش","",IF(INDEX(SCAmount,$L1946)&lt;=0,"",INDEX(SCAmount,$L1946))),IF($M1946&lt;&gt;"",IF(INDEX(LdgWitB,$M1946)=0,"",INDEX(LdgWitB,$M1946)),""))</f>
        <v/>
      </c>
      <c r="H1946" s="27">
        <f>IF($L1946&lt;&gt;"",IF(INDEX(SCOp,$L1946)="مرجوعی فروش",IF(INDEX(SCAmount,$L1946)=0,"",-INDEX(SCAmount,$L1946)),""),IF($M1946&lt;&gt;"",IF(INDEX(LdgDepB,$M1946)=0,"",INDEX(LdgDepB,$M1946)),""))</f>
        <v/>
      </c>
      <c r="I1946" s="28">
        <f>IF($B1946="","",IF($I1945="",$C$10,$I1945)+IF($G1946="",0,$G1946)-IF($H1946="",0,$H1946))</f>
        <v/>
      </c>
      <c r="L1946">
        <f>IFERROR(MATCH($C$5&amp;"|"&amp;RIGHT("000000"&amp;1930,6),LdgRankKeyA,0),"")</f>
        <v/>
      </c>
      <c r="M1946">
        <f>IFERROR(MATCH($C$5&amp;"|"&amp;RIGHT("000000"&amp;1930,6),LdgRankKeyB,0),"")</f>
        <v/>
      </c>
    </row>
    <row r="1947">
      <c r="A1947" s="17" t="n">
        <v>1931</v>
      </c>
      <c r="B1947" s="18">
        <f>IF(AND($L1947="",$M1947=""),"",IF($L1947&lt;&gt;"",INDEX(SCNormDate,$L1947),INDEX(LdgDateB,$M1947)))</f>
        <v/>
      </c>
      <c r="C1947" s="18">
        <f>IF($L1947&lt;&gt;"",INDEX(SCOp,$L1947),IF($M1947&lt;&gt;"","پرداخت بانکی",""))</f>
        <v/>
      </c>
      <c r="D1947" s="18">
        <f>IF($L1947&lt;&gt;"",IF(INDEX(SCDoc,$L1947)="","—",INDEX(SCDoc,$L1947)),IF($M1947&lt;&gt;"",INDEX(LdgBankB,$M1947),""))</f>
        <v/>
      </c>
      <c r="E1947" s="19">
        <f>IF($L1947&lt;&gt;"",IF(INDEX(SCCitrus,$L1947)&amp;INDEX(SCNotes,$L1947)="","",IF(INDEX(SCCitrus,$L1947)="","",INDEX(SCCitrus,$L1947))&amp;IF(INDEX(SCNotes,$L1947)="",""," — "&amp;INDEX(SCNotes,$L1947))),IF($M1947&lt;&gt;"",IF(INDEX(LdgNoteB,$M1947)="","—",INDEX(LdgNoteB,$M1947)),""))</f>
        <v/>
      </c>
      <c r="F1947" s="20">
        <f>IF($L1947&lt;&gt;"",IF(INDEX(SCNet,$L1947)=0,"",INDEX(SCNet,$L1947)),"")</f>
        <v/>
      </c>
      <c r="G1947" s="21">
        <f>IF($L1947&lt;&gt;"",IF(INDEX(SCOp,$L1947)="مرجوعی فروش","",IF(INDEX(SCAmount,$L1947)&lt;=0,"",INDEX(SCAmount,$L1947))),IF($M1947&lt;&gt;"",IF(INDEX(LdgWitB,$M1947)=0,"",INDEX(LdgWitB,$M1947)),""))</f>
        <v/>
      </c>
      <c r="H1947" s="21">
        <f>IF($L1947&lt;&gt;"",IF(INDEX(SCOp,$L1947)="مرجوعی فروش",IF(INDEX(SCAmount,$L1947)=0,"",-INDEX(SCAmount,$L1947)),""),IF($M1947&lt;&gt;"",IF(INDEX(LdgDepB,$M1947)=0,"",INDEX(LdgDepB,$M1947)),""))</f>
        <v/>
      </c>
      <c r="I1947" s="22">
        <f>IF($B1947="","",IF($I1946="",$C$10,$I1946)+IF($G1947="",0,$G1947)-IF($H1947="",0,$H1947))</f>
        <v/>
      </c>
      <c r="L1947">
        <f>IFERROR(MATCH($C$5&amp;"|"&amp;RIGHT("000000"&amp;1931,6),LdgRankKeyA,0),"")</f>
        <v/>
      </c>
      <c r="M1947">
        <f>IFERROR(MATCH($C$5&amp;"|"&amp;RIGHT("000000"&amp;1931,6),LdgRankKeyB,0),"")</f>
        <v/>
      </c>
    </row>
    <row r="1948">
      <c r="A1948" s="23" t="n">
        <v>1932</v>
      </c>
      <c r="B1948" s="24">
        <f>IF(AND($L1948="",$M1948=""),"",IF($L1948&lt;&gt;"",INDEX(SCNormDate,$L1948),INDEX(LdgDateB,$M1948)))</f>
        <v/>
      </c>
      <c r="C1948" s="24">
        <f>IF($L1948&lt;&gt;"",INDEX(SCOp,$L1948),IF($M1948&lt;&gt;"","پرداخت بانکی",""))</f>
        <v/>
      </c>
      <c r="D1948" s="24">
        <f>IF($L1948&lt;&gt;"",IF(INDEX(SCDoc,$L1948)="","—",INDEX(SCDoc,$L1948)),IF($M1948&lt;&gt;"",INDEX(LdgBankB,$M1948),""))</f>
        <v/>
      </c>
      <c r="E1948" s="25">
        <f>IF($L1948&lt;&gt;"",IF(INDEX(SCCitrus,$L1948)&amp;INDEX(SCNotes,$L1948)="","",IF(INDEX(SCCitrus,$L1948)="","",INDEX(SCCitrus,$L1948))&amp;IF(INDEX(SCNotes,$L1948)="",""," — "&amp;INDEX(SCNotes,$L1948))),IF($M1948&lt;&gt;"",IF(INDEX(LdgNoteB,$M1948)="","—",INDEX(LdgNoteB,$M1948)),""))</f>
        <v/>
      </c>
      <c r="F1948" s="26">
        <f>IF($L1948&lt;&gt;"",IF(INDEX(SCNet,$L1948)=0,"",INDEX(SCNet,$L1948)),"")</f>
        <v/>
      </c>
      <c r="G1948" s="27">
        <f>IF($L1948&lt;&gt;"",IF(INDEX(SCOp,$L1948)="مرجوعی فروش","",IF(INDEX(SCAmount,$L1948)&lt;=0,"",INDEX(SCAmount,$L1948))),IF($M1948&lt;&gt;"",IF(INDEX(LdgWitB,$M1948)=0,"",INDEX(LdgWitB,$M1948)),""))</f>
        <v/>
      </c>
      <c r="H1948" s="27">
        <f>IF($L1948&lt;&gt;"",IF(INDEX(SCOp,$L1948)="مرجوعی فروش",IF(INDEX(SCAmount,$L1948)=0,"",-INDEX(SCAmount,$L1948)),""),IF($M1948&lt;&gt;"",IF(INDEX(LdgDepB,$M1948)=0,"",INDEX(LdgDepB,$M1948)),""))</f>
        <v/>
      </c>
      <c r="I1948" s="28">
        <f>IF($B1948="","",IF($I1947="",$C$10,$I1947)+IF($G1948="",0,$G1948)-IF($H1948="",0,$H1948))</f>
        <v/>
      </c>
      <c r="L1948">
        <f>IFERROR(MATCH($C$5&amp;"|"&amp;RIGHT("000000"&amp;1932,6),LdgRankKeyA,0),"")</f>
        <v/>
      </c>
      <c r="M1948">
        <f>IFERROR(MATCH($C$5&amp;"|"&amp;RIGHT("000000"&amp;1932,6),LdgRankKeyB,0),"")</f>
        <v/>
      </c>
    </row>
    <row r="1949">
      <c r="A1949" s="17" t="n">
        <v>1933</v>
      </c>
      <c r="B1949" s="18">
        <f>IF(AND($L1949="",$M1949=""),"",IF($L1949&lt;&gt;"",INDEX(SCNormDate,$L1949),INDEX(LdgDateB,$M1949)))</f>
        <v/>
      </c>
      <c r="C1949" s="18">
        <f>IF($L1949&lt;&gt;"",INDEX(SCOp,$L1949),IF($M1949&lt;&gt;"","پرداخت بانکی",""))</f>
        <v/>
      </c>
      <c r="D1949" s="18">
        <f>IF($L1949&lt;&gt;"",IF(INDEX(SCDoc,$L1949)="","—",INDEX(SCDoc,$L1949)),IF($M1949&lt;&gt;"",INDEX(LdgBankB,$M1949),""))</f>
        <v/>
      </c>
      <c r="E1949" s="19">
        <f>IF($L1949&lt;&gt;"",IF(INDEX(SCCitrus,$L1949)&amp;INDEX(SCNotes,$L1949)="","",IF(INDEX(SCCitrus,$L1949)="","",INDEX(SCCitrus,$L1949))&amp;IF(INDEX(SCNotes,$L1949)="",""," — "&amp;INDEX(SCNotes,$L1949))),IF($M1949&lt;&gt;"",IF(INDEX(LdgNoteB,$M1949)="","—",INDEX(LdgNoteB,$M1949)),""))</f>
        <v/>
      </c>
      <c r="F1949" s="20">
        <f>IF($L1949&lt;&gt;"",IF(INDEX(SCNet,$L1949)=0,"",INDEX(SCNet,$L1949)),"")</f>
        <v/>
      </c>
      <c r="G1949" s="21">
        <f>IF($L1949&lt;&gt;"",IF(INDEX(SCOp,$L1949)="مرجوعی فروش","",IF(INDEX(SCAmount,$L1949)&lt;=0,"",INDEX(SCAmount,$L1949))),IF($M1949&lt;&gt;"",IF(INDEX(LdgWitB,$M1949)=0,"",INDEX(LdgWitB,$M1949)),""))</f>
        <v/>
      </c>
      <c r="H1949" s="21">
        <f>IF($L1949&lt;&gt;"",IF(INDEX(SCOp,$L1949)="مرجوعی فروش",IF(INDEX(SCAmount,$L1949)=0,"",-INDEX(SCAmount,$L1949)),""),IF($M1949&lt;&gt;"",IF(INDEX(LdgDepB,$M1949)=0,"",INDEX(LdgDepB,$M1949)),""))</f>
        <v/>
      </c>
      <c r="I1949" s="22">
        <f>IF($B1949="","",IF($I1948="",$C$10,$I1948)+IF($G1949="",0,$G1949)-IF($H1949="",0,$H1949))</f>
        <v/>
      </c>
      <c r="L1949">
        <f>IFERROR(MATCH($C$5&amp;"|"&amp;RIGHT("000000"&amp;1933,6),LdgRankKeyA,0),"")</f>
        <v/>
      </c>
      <c r="M1949">
        <f>IFERROR(MATCH($C$5&amp;"|"&amp;RIGHT("000000"&amp;1933,6),LdgRankKeyB,0),"")</f>
        <v/>
      </c>
    </row>
    <row r="1950">
      <c r="A1950" s="23" t="n">
        <v>1934</v>
      </c>
      <c r="B1950" s="24">
        <f>IF(AND($L1950="",$M1950=""),"",IF($L1950&lt;&gt;"",INDEX(SCNormDate,$L1950),INDEX(LdgDateB,$M1950)))</f>
        <v/>
      </c>
      <c r="C1950" s="24">
        <f>IF($L1950&lt;&gt;"",INDEX(SCOp,$L1950),IF($M1950&lt;&gt;"","پرداخت بانکی",""))</f>
        <v/>
      </c>
      <c r="D1950" s="24">
        <f>IF($L1950&lt;&gt;"",IF(INDEX(SCDoc,$L1950)="","—",INDEX(SCDoc,$L1950)),IF($M1950&lt;&gt;"",INDEX(LdgBankB,$M1950),""))</f>
        <v/>
      </c>
      <c r="E1950" s="25">
        <f>IF($L1950&lt;&gt;"",IF(INDEX(SCCitrus,$L1950)&amp;INDEX(SCNotes,$L1950)="","",IF(INDEX(SCCitrus,$L1950)="","",INDEX(SCCitrus,$L1950))&amp;IF(INDEX(SCNotes,$L1950)="",""," — "&amp;INDEX(SCNotes,$L1950))),IF($M1950&lt;&gt;"",IF(INDEX(LdgNoteB,$M1950)="","—",INDEX(LdgNoteB,$M1950)),""))</f>
        <v/>
      </c>
      <c r="F1950" s="26">
        <f>IF($L1950&lt;&gt;"",IF(INDEX(SCNet,$L1950)=0,"",INDEX(SCNet,$L1950)),"")</f>
        <v/>
      </c>
      <c r="G1950" s="27">
        <f>IF($L1950&lt;&gt;"",IF(INDEX(SCOp,$L1950)="مرجوعی فروش","",IF(INDEX(SCAmount,$L1950)&lt;=0,"",INDEX(SCAmount,$L1950))),IF($M1950&lt;&gt;"",IF(INDEX(LdgWitB,$M1950)=0,"",INDEX(LdgWitB,$M1950)),""))</f>
        <v/>
      </c>
      <c r="H1950" s="27">
        <f>IF($L1950&lt;&gt;"",IF(INDEX(SCOp,$L1950)="مرجوعی فروش",IF(INDEX(SCAmount,$L1950)=0,"",-INDEX(SCAmount,$L1950)),""),IF($M1950&lt;&gt;"",IF(INDEX(LdgDepB,$M1950)=0,"",INDEX(LdgDepB,$M1950)),""))</f>
        <v/>
      </c>
      <c r="I1950" s="28">
        <f>IF($B1950="","",IF($I1949="",$C$10,$I1949)+IF($G1950="",0,$G1950)-IF($H1950="",0,$H1950))</f>
        <v/>
      </c>
      <c r="L1950">
        <f>IFERROR(MATCH($C$5&amp;"|"&amp;RIGHT("000000"&amp;1934,6),LdgRankKeyA,0),"")</f>
        <v/>
      </c>
      <c r="M1950">
        <f>IFERROR(MATCH($C$5&amp;"|"&amp;RIGHT("000000"&amp;1934,6),LdgRankKeyB,0),"")</f>
        <v/>
      </c>
    </row>
    <row r="1951">
      <c r="A1951" s="17" t="n">
        <v>1935</v>
      </c>
      <c r="B1951" s="18">
        <f>IF(AND($L1951="",$M1951=""),"",IF($L1951&lt;&gt;"",INDEX(SCNormDate,$L1951),INDEX(LdgDateB,$M1951)))</f>
        <v/>
      </c>
      <c r="C1951" s="18">
        <f>IF($L1951&lt;&gt;"",INDEX(SCOp,$L1951),IF($M1951&lt;&gt;"","پرداخت بانکی",""))</f>
        <v/>
      </c>
      <c r="D1951" s="18">
        <f>IF($L1951&lt;&gt;"",IF(INDEX(SCDoc,$L1951)="","—",INDEX(SCDoc,$L1951)),IF($M1951&lt;&gt;"",INDEX(LdgBankB,$M1951),""))</f>
        <v/>
      </c>
      <c r="E1951" s="19">
        <f>IF($L1951&lt;&gt;"",IF(INDEX(SCCitrus,$L1951)&amp;INDEX(SCNotes,$L1951)="","",IF(INDEX(SCCitrus,$L1951)="","",INDEX(SCCitrus,$L1951))&amp;IF(INDEX(SCNotes,$L1951)="",""," — "&amp;INDEX(SCNotes,$L1951))),IF($M1951&lt;&gt;"",IF(INDEX(LdgNoteB,$M1951)="","—",INDEX(LdgNoteB,$M1951)),""))</f>
        <v/>
      </c>
      <c r="F1951" s="20">
        <f>IF($L1951&lt;&gt;"",IF(INDEX(SCNet,$L1951)=0,"",INDEX(SCNet,$L1951)),"")</f>
        <v/>
      </c>
      <c r="G1951" s="21">
        <f>IF($L1951&lt;&gt;"",IF(INDEX(SCOp,$L1951)="مرجوعی فروش","",IF(INDEX(SCAmount,$L1951)&lt;=0,"",INDEX(SCAmount,$L1951))),IF($M1951&lt;&gt;"",IF(INDEX(LdgWitB,$M1951)=0,"",INDEX(LdgWitB,$M1951)),""))</f>
        <v/>
      </c>
      <c r="H1951" s="21">
        <f>IF($L1951&lt;&gt;"",IF(INDEX(SCOp,$L1951)="مرجوعی فروش",IF(INDEX(SCAmount,$L1951)=0,"",-INDEX(SCAmount,$L1951)),""),IF($M1951&lt;&gt;"",IF(INDEX(LdgDepB,$M1951)=0,"",INDEX(LdgDepB,$M1951)),""))</f>
        <v/>
      </c>
      <c r="I1951" s="22">
        <f>IF($B1951="","",IF($I1950="",$C$10,$I1950)+IF($G1951="",0,$G1951)-IF($H1951="",0,$H1951))</f>
        <v/>
      </c>
      <c r="L1951">
        <f>IFERROR(MATCH($C$5&amp;"|"&amp;RIGHT("000000"&amp;1935,6),LdgRankKeyA,0),"")</f>
        <v/>
      </c>
      <c r="M1951">
        <f>IFERROR(MATCH($C$5&amp;"|"&amp;RIGHT("000000"&amp;1935,6),LdgRankKeyB,0),"")</f>
        <v/>
      </c>
    </row>
    <row r="1952">
      <c r="A1952" s="23" t="n">
        <v>1936</v>
      </c>
      <c r="B1952" s="24">
        <f>IF(AND($L1952="",$M1952=""),"",IF($L1952&lt;&gt;"",INDEX(SCNormDate,$L1952),INDEX(LdgDateB,$M1952)))</f>
        <v/>
      </c>
      <c r="C1952" s="24">
        <f>IF($L1952&lt;&gt;"",INDEX(SCOp,$L1952),IF($M1952&lt;&gt;"","پرداخت بانکی",""))</f>
        <v/>
      </c>
      <c r="D1952" s="24">
        <f>IF($L1952&lt;&gt;"",IF(INDEX(SCDoc,$L1952)="","—",INDEX(SCDoc,$L1952)),IF($M1952&lt;&gt;"",INDEX(LdgBankB,$M1952),""))</f>
        <v/>
      </c>
      <c r="E1952" s="25">
        <f>IF($L1952&lt;&gt;"",IF(INDEX(SCCitrus,$L1952)&amp;INDEX(SCNotes,$L1952)="","",IF(INDEX(SCCitrus,$L1952)="","",INDEX(SCCitrus,$L1952))&amp;IF(INDEX(SCNotes,$L1952)="",""," — "&amp;INDEX(SCNotes,$L1952))),IF($M1952&lt;&gt;"",IF(INDEX(LdgNoteB,$M1952)="","—",INDEX(LdgNoteB,$M1952)),""))</f>
        <v/>
      </c>
      <c r="F1952" s="26">
        <f>IF($L1952&lt;&gt;"",IF(INDEX(SCNet,$L1952)=0,"",INDEX(SCNet,$L1952)),"")</f>
        <v/>
      </c>
      <c r="G1952" s="27">
        <f>IF($L1952&lt;&gt;"",IF(INDEX(SCOp,$L1952)="مرجوعی فروش","",IF(INDEX(SCAmount,$L1952)&lt;=0,"",INDEX(SCAmount,$L1952))),IF($M1952&lt;&gt;"",IF(INDEX(LdgWitB,$M1952)=0,"",INDEX(LdgWitB,$M1952)),""))</f>
        <v/>
      </c>
      <c r="H1952" s="27">
        <f>IF($L1952&lt;&gt;"",IF(INDEX(SCOp,$L1952)="مرجوعی فروش",IF(INDEX(SCAmount,$L1952)=0,"",-INDEX(SCAmount,$L1952)),""),IF($M1952&lt;&gt;"",IF(INDEX(LdgDepB,$M1952)=0,"",INDEX(LdgDepB,$M1952)),""))</f>
        <v/>
      </c>
      <c r="I1952" s="28">
        <f>IF($B1952="","",IF($I1951="",$C$10,$I1951)+IF($G1952="",0,$G1952)-IF($H1952="",0,$H1952))</f>
        <v/>
      </c>
      <c r="L1952">
        <f>IFERROR(MATCH($C$5&amp;"|"&amp;RIGHT("000000"&amp;1936,6),LdgRankKeyA,0),"")</f>
        <v/>
      </c>
      <c r="M1952">
        <f>IFERROR(MATCH($C$5&amp;"|"&amp;RIGHT("000000"&amp;1936,6),LdgRankKeyB,0),"")</f>
        <v/>
      </c>
    </row>
    <row r="1953">
      <c r="A1953" s="17" t="n">
        <v>1937</v>
      </c>
      <c r="B1953" s="18">
        <f>IF(AND($L1953="",$M1953=""),"",IF($L1953&lt;&gt;"",INDEX(SCNormDate,$L1953),INDEX(LdgDateB,$M1953)))</f>
        <v/>
      </c>
      <c r="C1953" s="18">
        <f>IF($L1953&lt;&gt;"",INDEX(SCOp,$L1953),IF($M1953&lt;&gt;"","پرداخت بانکی",""))</f>
        <v/>
      </c>
      <c r="D1953" s="18">
        <f>IF($L1953&lt;&gt;"",IF(INDEX(SCDoc,$L1953)="","—",INDEX(SCDoc,$L1953)),IF($M1953&lt;&gt;"",INDEX(LdgBankB,$M1953),""))</f>
        <v/>
      </c>
      <c r="E1953" s="19">
        <f>IF($L1953&lt;&gt;"",IF(INDEX(SCCitrus,$L1953)&amp;INDEX(SCNotes,$L1953)="","",IF(INDEX(SCCitrus,$L1953)="","",INDEX(SCCitrus,$L1953))&amp;IF(INDEX(SCNotes,$L1953)="",""," — "&amp;INDEX(SCNotes,$L1953))),IF($M1953&lt;&gt;"",IF(INDEX(LdgNoteB,$M1953)="","—",INDEX(LdgNoteB,$M1953)),""))</f>
        <v/>
      </c>
      <c r="F1953" s="20">
        <f>IF($L1953&lt;&gt;"",IF(INDEX(SCNet,$L1953)=0,"",INDEX(SCNet,$L1953)),"")</f>
        <v/>
      </c>
      <c r="G1953" s="21">
        <f>IF($L1953&lt;&gt;"",IF(INDEX(SCOp,$L1953)="مرجوعی فروش","",IF(INDEX(SCAmount,$L1953)&lt;=0,"",INDEX(SCAmount,$L1953))),IF($M1953&lt;&gt;"",IF(INDEX(LdgWitB,$M1953)=0,"",INDEX(LdgWitB,$M1953)),""))</f>
        <v/>
      </c>
      <c r="H1953" s="21">
        <f>IF($L1953&lt;&gt;"",IF(INDEX(SCOp,$L1953)="مرجوعی فروش",IF(INDEX(SCAmount,$L1953)=0,"",-INDEX(SCAmount,$L1953)),""),IF($M1953&lt;&gt;"",IF(INDEX(LdgDepB,$M1953)=0,"",INDEX(LdgDepB,$M1953)),""))</f>
        <v/>
      </c>
      <c r="I1953" s="22">
        <f>IF($B1953="","",IF($I1952="",$C$10,$I1952)+IF($G1953="",0,$G1953)-IF($H1953="",0,$H1953))</f>
        <v/>
      </c>
      <c r="L1953">
        <f>IFERROR(MATCH($C$5&amp;"|"&amp;RIGHT("000000"&amp;1937,6),LdgRankKeyA,0),"")</f>
        <v/>
      </c>
      <c r="M1953">
        <f>IFERROR(MATCH($C$5&amp;"|"&amp;RIGHT("000000"&amp;1937,6),LdgRankKeyB,0),"")</f>
        <v/>
      </c>
    </row>
    <row r="1954">
      <c r="A1954" s="23" t="n">
        <v>1938</v>
      </c>
      <c r="B1954" s="24">
        <f>IF(AND($L1954="",$M1954=""),"",IF($L1954&lt;&gt;"",INDEX(SCNormDate,$L1954),INDEX(LdgDateB,$M1954)))</f>
        <v/>
      </c>
      <c r="C1954" s="24">
        <f>IF($L1954&lt;&gt;"",INDEX(SCOp,$L1954),IF($M1954&lt;&gt;"","پرداخت بانکی",""))</f>
        <v/>
      </c>
      <c r="D1954" s="24">
        <f>IF($L1954&lt;&gt;"",IF(INDEX(SCDoc,$L1954)="","—",INDEX(SCDoc,$L1954)),IF($M1954&lt;&gt;"",INDEX(LdgBankB,$M1954),""))</f>
        <v/>
      </c>
      <c r="E1954" s="25">
        <f>IF($L1954&lt;&gt;"",IF(INDEX(SCCitrus,$L1954)&amp;INDEX(SCNotes,$L1954)="","",IF(INDEX(SCCitrus,$L1954)="","",INDEX(SCCitrus,$L1954))&amp;IF(INDEX(SCNotes,$L1954)="",""," — "&amp;INDEX(SCNotes,$L1954))),IF($M1954&lt;&gt;"",IF(INDEX(LdgNoteB,$M1954)="","—",INDEX(LdgNoteB,$M1954)),""))</f>
        <v/>
      </c>
      <c r="F1954" s="26">
        <f>IF($L1954&lt;&gt;"",IF(INDEX(SCNet,$L1954)=0,"",INDEX(SCNet,$L1954)),"")</f>
        <v/>
      </c>
      <c r="G1954" s="27">
        <f>IF($L1954&lt;&gt;"",IF(INDEX(SCOp,$L1954)="مرجوعی فروش","",IF(INDEX(SCAmount,$L1954)&lt;=0,"",INDEX(SCAmount,$L1954))),IF($M1954&lt;&gt;"",IF(INDEX(LdgWitB,$M1954)=0,"",INDEX(LdgWitB,$M1954)),""))</f>
        <v/>
      </c>
      <c r="H1954" s="27">
        <f>IF($L1954&lt;&gt;"",IF(INDEX(SCOp,$L1954)="مرجوعی فروش",IF(INDEX(SCAmount,$L1954)=0,"",-INDEX(SCAmount,$L1954)),""),IF($M1954&lt;&gt;"",IF(INDEX(LdgDepB,$M1954)=0,"",INDEX(LdgDepB,$M1954)),""))</f>
        <v/>
      </c>
      <c r="I1954" s="28">
        <f>IF($B1954="","",IF($I1953="",$C$10,$I1953)+IF($G1954="",0,$G1954)-IF($H1954="",0,$H1954))</f>
        <v/>
      </c>
      <c r="L1954">
        <f>IFERROR(MATCH($C$5&amp;"|"&amp;RIGHT("000000"&amp;1938,6),LdgRankKeyA,0),"")</f>
        <v/>
      </c>
      <c r="M1954">
        <f>IFERROR(MATCH($C$5&amp;"|"&amp;RIGHT("000000"&amp;1938,6),LdgRankKeyB,0),"")</f>
        <v/>
      </c>
    </row>
    <row r="1955">
      <c r="A1955" s="17" t="n">
        <v>1939</v>
      </c>
      <c r="B1955" s="18">
        <f>IF(AND($L1955="",$M1955=""),"",IF($L1955&lt;&gt;"",INDEX(SCNormDate,$L1955),INDEX(LdgDateB,$M1955)))</f>
        <v/>
      </c>
      <c r="C1955" s="18">
        <f>IF($L1955&lt;&gt;"",INDEX(SCOp,$L1955),IF($M1955&lt;&gt;"","پرداخت بانکی",""))</f>
        <v/>
      </c>
      <c r="D1955" s="18">
        <f>IF($L1955&lt;&gt;"",IF(INDEX(SCDoc,$L1955)="","—",INDEX(SCDoc,$L1955)),IF($M1955&lt;&gt;"",INDEX(LdgBankB,$M1955),""))</f>
        <v/>
      </c>
      <c r="E1955" s="19">
        <f>IF($L1955&lt;&gt;"",IF(INDEX(SCCitrus,$L1955)&amp;INDEX(SCNotes,$L1955)="","",IF(INDEX(SCCitrus,$L1955)="","",INDEX(SCCitrus,$L1955))&amp;IF(INDEX(SCNotes,$L1955)="",""," — "&amp;INDEX(SCNotes,$L1955))),IF($M1955&lt;&gt;"",IF(INDEX(LdgNoteB,$M1955)="","—",INDEX(LdgNoteB,$M1955)),""))</f>
        <v/>
      </c>
      <c r="F1955" s="20">
        <f>IF($L1955&lt;&gt;"",IF(INDEX(SCNet,$L1955)=0,"",INDEX(SCNet,$L1955)),"")</f>
        <v/>
      </c>
      <c r="G1955" s="21">
        <f>IF($L1955&lt;&gt;"",IF(INDEX(SCOp,$L1955)="مرجوعی فروش","",IF(INDEX(SCAmount,$L1955)&lt;=0,"",INDEX(SCAmount,$L1955))),IF($M1955&lt;&gt;"",IF(INDEX(LdgWitB,$M1955)=0,"",INDEX(LdgWitB,$M1955)),""))</f>
        <v/>
      </c>
      <c r="H1955" s="21">
        <f>IF($L1955&lt;&gt;"",IF(INDEX(SCOp,$L1955)="مرجوعی فروش",IF(INDEX(SCAmount,$L1955)=0,"",-INDEX(SCAmount,$L1955)),""),IF($M1955&lt;&gt;"",IF(INDEX(LdgDepB,$M1955)=0,"",INDEX(LdgDepB,$M1955)),""))</f>
        <v/>
      </c>
      <c r="I1955" s="22">
        <f>IF($B1955="","",IF($I1954="",$C$10,$I1954)+IF($G1955="",0,$G1955)-IF($H1955="",0,$H1955))</f>
        <v/>
      </c>
      <c r="L1955">
        <f>IFERROR(MATCH($C$5&amp;"|"&amp;RIGHT("000000"&amp;1939,6),LdgRankKeyA,0),"")</f>
        <v/>
      </c>
      <c r="M1955">
        <f>IFERROR(MATCH($C$5&amp;"|"&amp;RIGHT("000000"&amp;1939,6),LdgRankKeyB,0),"")</f>
        <v/>
      </c>
    </row>
    <row r="1956">
      <c r="A1956" s="23" t="n">
        <v>1940</v>
      </c>
      <c r="B1956" s="24">
        <f>IF(AND($L1956="",$M1956=""),"",IF($L1956&lt;&gt;"",INDEX(SCNormDate,$L1956),INDEX(LdgDateB,$M1956)))</f>
        <v/>
      </c>
      <c r="C1956" s="24">
        <f>IF($L1956&lt;&gt;"",INDEX(SCOp,$L1956),IF($M1956&lt;&gt;"","پرداخت بانکی",""))</f>
        <v/>
      </c>
      <c r="D1956" s="24">
        <f>IF($L1956&lt;&gt;"",IF(INDEX(SCDoc,$L1956)="","—",INDEX(SCDoc,$L1956)),IF($M1956&lt;&gt;"",INDEX(LdgBankB,$M1956),""))</f>
        <v/>
      </c>
      <c r="E1956" s="25">
        <f>IF($L1956&lt;&gt;"",IF(INDEX(SCCitrus,$L1956)&amp;INDEX(SCNotes,$L1956)="","",IF(INDEX(SCCitrus,$L1956)="","",INDEX(SCCitrus,$L1956))&amp;IF(INDEX(SCNotes,$L1956)="",""," — "&amp;INDEX(SCNotes,$L1956))),IF($M1956&lt;&gt;"",IF(INDEX(LdgNoteB,$M1956)="","—",INDEX(LdgNoteB,$M1956)),""))</f>
        <v/>
      </c>
      <c r="F1956" s="26">
        <f>IF($L1956&lt;&gt;"",IF(INDEX(SCNet,$L1956)=0,"",INDEX(SCNet,$L1956)),"")</f>
        <v/>
      </c>
      <c r="G1956" s="27">
        <f>IF($L1956&lt;&gt;"",IF(INDEX(SCOp,$L1956)="مرجوعی فروش","",IF(INDEX(SCAmount,$L1956)&lt;=0,"",INDEX(SCAmount,$L1956))),IF($M1956&lt;&gt;"",IF(INDEX(LdgWitB,$M1956)=0,"",INDEX(LdgWitB,$M1956)),""))</f>
        <v/>
      </c>
      <c r="H1956" s="27">
        <f>IF($L1956&lt;&gt;"",IF(INDEX(SCOp,$L1956)="مرجوعی فروش",IF(INDEX(SCAmount,$L1956)=0,"",-INDEX(SCAmount,$L1956)),""),IF($M1956&lt;&gt;"",IF(INDEX(LdgDepB,$M1956)=0,"",INDEX(LdgDepB,$M1956)),""))</f>
        <v/>
      </c>
      <c r="I1956" s="28">
        <f>IF($B1956="","",IF($I1955="",$C$10,$I1955)+IF($G1956="",0,$G1956)-IF($H1956="",0,$H1956))</f>
        <v/>
      </c>
      <c r="L1956">
        <f>IFERROR(MATCH($C$5&amp;"|"&amp;RIGHT("000000"&amp;1940,6),LdgRankKeyA,0),"")</f>
        <v/>
      </c>
      <c r="M1956">
        <f>IFERROR(MATCH($C$5&amp;"|"&amp;RIGHT("000000"&amp;1940,6),LdgRankKeyB,0),"")</f>
        <v/>
      </c>
    </row>
    <row r="1957">
      <c r="A1957" s="17" t="n">
        <v>1941</v>
      </c>
      <c r="B1957" s="18">
        <f>IF(AND($L1957="",$M1957=""),"",IF($L1957&lt;&gt;"",INDEX(SCNormDate,$L1957),INDEX(LdgDateB,$M1957)))</f>
        <v/>
      </c>
      <c r="C1957" s="18">
        <f>IF($L1957&lt;&gt;"",INDEX(SCOp,$L1957),IF($M1957&lt;&gt;"","پرداخت بانکی",""))</f>
        <v/>
      </c>
      <c r="D1957" s="18">
        <f>IF($L1957&lt;&gt;"",IF(INDEX(SCDoc,$L1957)="","—",INDEX(SCDoc,$L1957)),IF($M1957&lt;&gt;"",INDEX(LdgBankB,$M1957),""))</f>
        <v/>
      </c>
      <c r="E1957" s="19">
        <f>IF($L1957&lt;&gt;"",IF(INDEX(SCCitrus,$L1957)&amp;INDEX(SCNotes,$L1957)="","",IF(INDEX(SCCitrus,$L1957)="","",INDEX(SCCitrus,$L1957))&amp;IF(INDEX(SCNotes,$L1957)="",""," — "&amp;INDEX(SCNotes,$L1957))),IF($M1957&lt;&gt;"",IF(INDEX(LdgNoteB,$M1957)="","—",INDEX(LdgNoteB,$M1957)),""))</f>
        <v/>
      </c>
      <c r="F1957" s="20">
        <f>IF($L1957&lt;&gt;"",IF(INDEX(SCNet,$L1957)=0,"",INDEX(SCNet,$L1957)),"")</f>
        <v/>
      </c>
      <c r="G1957" s="21">
        <f>IF($L1957&lt;&gt;"",IF(INDEX(SCOp,$L1957)="مرجوعی فروش","",IF(INDEX(SCAmount,$L1957)&lt;=0,"",INDEX(SCAmount,$L1957))),IF($M1957&lt;&gt;"",IF(INDEX(LdgWitB,$M1957)=0,"",INDEX(LdgWitB,$M1957)),""))</f>
        <v/>
      </c>
      <c r="H1957" s="21">
        <f>IF($L1957&lt;&gt;"",IF(INDEX(SCOp,$L1957)="مرجوعی فروش",IF(INDEX(SCAmount,$L1957)=0,"",-INDEX(SCAmount,$L1957)),""),IF($M1957&lt;&gt;"",IF(INDEX(LdgDepB,$M1957)=0,"",INDEX(LdgDepB,$M1957)),""))</f>
        <v/>
      </c>
      <c r="I1957" s="22">
        <f>IF($B1957="","",IF($I1956="",$C$10,$I1956)+IF($G1957="",0,$G1957)-IF($H1957="",0,$H1957))</f>
        <v/>
      </c>
      <c r="L1957">
        <f>IFERROR(MATCH($C$5&amp;"|"&amp;RIGHT("000000"&amp;1941,6),LdgRankKeyA,0),"")</f>
        <v/>
      </c>
      <c r="M1957">
        <f>IFERROR(MATCH($C$5&amp;"|"&amp;RIGHT("000000"&amp;1941,6),LdgRankKeyB,0),"")</f>
        <v/>
      </c>
    </row>
    <row r="1958">
      <c r="A1958" s="23" t="n">
        <v>1942</v>
      </c>
      <c r="B1958" s="24">
        <f>IF(AND($L1958="",$M1958=""),"",IF($L1958&lt;&gt;"",INDEX(SCNormDate,$L1958),INDEX(LdgDateB,$M1958)))</f>
        <v/>
      </c>
      <c r="C1958" s="24">
        <f>IF($L1958&lt;&gt;"",INDEX(SCOp,$L1958),IF($M1958&lt;&gt;"","پرداخت بانکی",""))</f>
        <v/>
      </c>
      <c r="D1958" s="24">
        <f>IF($L1958&lt;&gt;"",IF(INDEX(SCDoc,$L1958)="","—",INDEX(SCDoc,$L1958)),IF($M1958&lt;&gt;"",INDEX(LdgBankB,$M1958),""))</f>
        <v/>
      </c>
      <c r="E1958" s="25">
        <f>IF($L1958&lt;&gt;"",IF(INDEX(SCCitrus,$L1958)&amp;INDEX(SCNotes,$L1958)="","",IF(INDEX(SCCitrus,$L1958)="","",INDEX(SCCitrus,$L1958))&amp;IF(INDEX(SCNotes,$L1958)="",""," — "&amp;INDEX(SCNotes,$L1958))),IF($M1958&lt;&gt;"",IF(INDEX(LdgNoteB,$M1958)="","—",INDEX(LdgNoteB,$M1958)),""))</f>
        <v/>
      </c>
      <c r="F1958" s="26">
        <f>IF($L1958&lt;&gt;"",IF(INDEX(SCNet,$L1958)=0,"",INDEX(SCNet,$L1958)),"")</f>
        <v/>
      </c>
      <c r="G1958" s="27">
        <f>IF($L1958&lt;&gt;"",IF(INDEX(SCOp,$L1958)="مرجوعی فروش","",IF(INDEX(SCAmount,$L1958)&lt;=0,"",INDEX(SCAmount,$L1958))),IF($M1958&lt;&gt;"",IF(INDEX(LdgWitB,$M1958)=0,"",INDEX(LdgWitB,$M1958)),""))</f>
        <v/>
      </c>
      <c r="H1958" s="27">
        <f>IF($L1958&lt;&gt;"",IF(INDEX(SCOp,$L1958)="مرجوعی فروش",IF(INDEX(SCAmount,$L1958)=0,"",-INDEX(SCAmount,$L1958)),""),IF($M1958&lt;&gt;"",IF(INDEX(LdgDepB,$M1958)=0,"",INDEX(LdgDepB,$M1958)),""))</f>
        <v/>
      </c>
      <c r="I1958" s="28">
        <f>IF($B1958="","",IF($I1957="",$C$10,$I1957)+IF($G1958="",0,$G1958)-IF($H1958="",0,$H1958))</f>
        <v/>
      </c>
      <c r="L1958">
        <f>IFERROR(MATCH($C$5&amp;"|"&amp;RIGHT("000000"&amp;1942,6),LdgRankKeyA,0),"")</f>
        <v/>
      </c>
      <c r="M1958">
        <f>IFERROR(MATCH($C$5&amp;"|"&amp;RIGHT("000000"&amp;1942,6),LdgRankKeyB,0),"")</f>
        <v/>
      </c>
    </row>
    <row r="1959">
      <c r="A1959" s="17" t="n">
        <v>1943</v>
      </c>
      <c r="B1959" s="18">
        <f>IF(AND($L1959="",$M1959=""),"",IF($L1959&lt;&gt;"",INDEX(SCNormDate,$L1959),INDEX(LdgDateB,$M1959)))</f>
        <v/>
      </c>
      <c r="C1959" s="18">
        <f>IF($L1959&lt;&gt;"",INDEX(SCOp,$L1959),IF($M1959&lt;&gt;"","پرداخت بانکی",""))</f>
        <v/>
      </c>
      <c r="D1959" s="18">
        <f>IF($L1959&lt;&gt;"",IF(INDEX(SCDoc,$L1959)="","—",INDEX(SCDoc,$L1959)),IF($M1959&lt;&gt;"",INDEX(LdgBankB,$M1959),""))</f>
        <v/>
      </c>
      <c r="E1959" s="19">
        <f>IF($L1959&lt;&gt;"",IF(INDEX(SCCitrus,$L1959)&amp;INDEX(SCNotes,$L1959)="","",IF(INDEX(SCCitrus,$L1959)="","",INDEX(SCCitrus,$L1959))&amp;IF(INDEX(SCNotes,$L1959)="",""," — "&amp;INDEX(SCNotes,$L1959))),IF($M1959&lt;&gt;"",IF(INDEX(LdgNoteB,$M1959)="","—",INDEX(LdgNoteB,$M1959)),""))</f>
        <v/>
      </c>
      <c r="F1959" s="20">
        <f>IF($L1959&lt;&gt;"",IF(INDEX(SCNet,$L1959)=0,"",INDEX(SCNet,$L1959)),"")</f>
        <v/>
      </c>
      <c r="G1959" s="21">
        <f>IF($L1959&lt;&gt;"",IF(INDEX(SCOp,$L1959)="مرجوعی فروش","",IF(INDEX(SCAmount,$L1959)&lt;=0,"",INDEX(SCAmount,$L1959))),IF($M1959&lt;&gt;"",IF(INDEX(LdgWitB,$M1959)=0,"",INDEX(LdgWitB,$M1959)),""))</f>
        <v/>
      </c>
      <c r="H1959" s="21">
        <f>IF($L1959&lt;&gt;"",IF(INDEX(SCOp,$L1959)="مرجوعی فروش",IF(INDEX(SCAmount,$L1959)=0,"",-INDEX(SCAmount,$L1959)),""),IF($M1959&lt;&gt;"",IF(INDEX(LdgDepB,$M1959)=0,"",INDEX(LdgDepB,$M1959)),""))</f>
        <v/>
      </c>
      <c r="I1959" s="22">
        <f>IF($B1959="","",IF($I1958="",$C$10,$I1958)+IF($G1959="",0,$G1959)-IF($H1959="",0,$H1959))</f>
        <v/>
      </c>
      <c r="L1959">
        <f>IFERROR(MATCH($C$5&amp;"|"&amp;RIGHT("000000"&amp;1943,6),LdgRankKeyA,0),"")</f>
        <v/>
      </c>
      <c r="M1959">
        <f>IFERROR(MATCH($C$5&amp;"|"&amp;RIGHT("000000"&amp;1943,6),LdgRankKeyB,0),"")</f>
        <v/>
      </c>
    </row>
    <row r="1960">
      <c r="A1960" s="23" t="n">
        <v>1944</v>
      </c>
      <c r="B1960" s="24">
        <f>IF(AND($L1960="",$M1960=""),"",IF($L1960&lt;&gt;"",INDEX(SCNormDate,$L1960),INDEX(LdgDateB,$M1960)))</f>
        <v/>
      </c>
      <c r="C1960" s="24">
        <f>IF($L1960&lt;&gt;"",INDEX(SCOp,$L1960),IF($M1960&lt;&gt;"","پرداخت بانکی",""))</f>
        <v/>
      </c>
      <c r="D1960" s="24">
        <f>IF($L1960&lt;&gt;"",IF(INDEX(SCDoc,$L1960)="","—",INDEX(SCDoc,$L1960)),IF($M1960&lt;&gt;"",INDEX(LdgBankB,$M1960),""))</f>
        <v/>
      </c>
      <c r="E1960" s="25">
        <f>IF($L1960&lt;&gt;"",IF(INDEX(SCCitrus,$L1960)&amp;INDEX(SCNotes,$L1960)="","",IF(INDEX(SCCitrus,$L1960)="","",INDEX(SCCitrus,$L1960))&amp;IF(INDEX(SCNotes,$L1960)="",""," — "&amp;INDEX(SCNotes,$L1960))),IF($M1960&lt;&gt;"",IF(INDEX(LdgNoteB,$M1960)="","—",INDEX(LdgNoteB,$M1960)),""))</f>
        <v/>
      </c>
      <c r="F1960" s="26">
        <f>IF($L1960&lt;&gt;"",IF(INDEX(SCNet,$L1960)=0,"",INDEX(SCNet,$L1960)),"")</f>
        <v/>
      </c>
      <c r="G1960" s="27">
        <f>IF($L1960&lt;&gt;"",IF(INDEX(SCOp,$L1960)="مرجوعی فروش","",IF(INDEX(SCAmount,$L1960)&lt;=0,"",INDEX(SCAmount,$L1960))),IF($M1960&lt;&gt;"",IF(INDEX(LdgWitB,$M1960)=0,"",INDEX(LdgWitB,$M1960)),""))</f>
        <v/>
      </c>
      <c r="H1960" s="27">
        <f>IF($L1960&lt;&gt;"",IF(INDEX(SCOp,$L1960)="مرجوعی فروش",IF(INDEX(SCAmount,$L1960)=0,"",-INDEX(SCAmount,$L1960)),""),IF($M1960&lt;&gt;"",IF(INDEX(LdgDepB,$M1960)=0,"",INDEX(LdgDepB,$M1960)),""))</f>
        <v/>
      </c>
      <c r="I1960" s="28">
        <f>IF($B1960="","",IF($I1959="",$C$10,$I1959)+IF($G1960="",0,$G1960)-IF($H1960="",0,$H1960))</f>
        <v/>
      </c>
      <c r="L1960">
        <f>IFERROR(MATCH($C$5&amp;"|"&amp;RIGHT("000000"&amp;1944,6),LdgRankKeyA,0),"")</f>
        <v/>
      </c>
      <c r="M1960">
        <f>IFERROR(MATCH($C$5&amp;"|"&amp;RIGHT("000000"&amp;1944,6),LdgRankKeyB,0),"")</f>
        <v/>
      </c>
    </row>
    <row r="1961">
      <c r="A1961" s="17" t="n">
        <v>1945</v>
      </c>
      <c r="B1961" s="18">
        <f>IF(AND($L1961="",$M1961=""),"",IF($L1961&lt;&gt;"",INDEX(SCNormDate,$L1961),INDEX(LdgDateB,$M1961)))</f>
        <v/>
      </c>
      <c r="C1961" s="18">
        <f>IF($L1961&lt;&gt;"",INDEX(SCOp,$L1961),IF($M1961&lt;&gt;"","پرداخت بانکی",""))</f>
        <v/>
      </c>
      <c r="D1961" s="18">
        <f>IF($L1961&lt;&gt;"",IF(INDEX(SCDoc,$L1961)="","—",INDEX(SCDoc,$L1961)),IF($M1961&lt;&gt;"",INDEX(LdgBankB,$M1961),""))</f>
        <v/>
      </c>
      <c r="E1961" s="19">
        <f>IF($L1961&lt;&gt;"",IF(INDEX(SCCitrus,$L1961)&amp;INDEX(SCNotes,$L1961)="","",IF(INDEX(SCCitrus,$L1961)="","",INDEX(SCCitrus,$L1961))&amp;IF(INDEX(SCNotes,$L1961)="",""," — "&amp;INDEX(SCNotes,$L1961))),IF($M1961&lt;&gt;"",IF(INDEX(LdgNoteB,$M1961)="","—",INDEX(LdgNoteB,$M1961)),""))</f>
        <v/>
      </c>
      <c r="F1961" s="20">
        <f>IF($L1961&lt;&gt;"",IF(INDEX(SCNet,$L1961)=0,"",INDEX(SCNet,$L1961)),"")</f>
        <v/>
      </c>
      <c r="G1961" s="21">
        <f>IF($L1961&lt;&gt;"",IF(INDEX(SCOp,$L1961)="مرجوعی فروش","",IF(INDEX(SCAmount,$L1961)&lt;=0,"",INDEX(SCAmount,$L1961))),IF($M1961&lt;&gt;"",IF(INDEX(LdgWitB,$M1961)=0,"",INDEX(LdgWitB,$M1961)),""))</f>
        <v/>
      </c>
      <c r="H1961" s="21">
        <f>IF($L1961&lt;&gt;"",IF(INDEX(SCOp,$L1961)="مرجوعی فروش",IF(INDEX(SCAmount,$L1961)=0,"",-INDEX(SCAmount,$L1961)),""),IF($M1961&lt;&gt;"",IF(INDEX(LdgDepB,$M1961)=0,"",INDEX(LdgDepB,$M1961)),""))</f>
        <v/>
      </c>
      <c r="I1961" s="22">
        <f>IF($B1961="","",IF($I1960="",$C$10,$I1960)+IF($G1961="",0,$G1961)-IF($H1961="",0,$H1961))</f>
        <v/>
      </c>
      <c r="L1961">
        <f>IFERROR(MATCH($C$5&amp;"|"&amp;RIGHT("000000"&amp;1945,6),LdgRankKeyA,0),"")</f>
        <v/>
      </c>
      <c r="M1961">
        <f>IFERROR(MATCH($C$5&amp;"|"&amp;RIGHT("000000"&amp;1945,6),LdgRankKeyB,0),"")</f>
        <v/>
      </c>
    </row>
    <row r="1962">
      <c r="A1962" s="23" t="n">
        <v>1946</v>
      </c>
      <c r="B1962" s="24">
        <f>IF(AND($L1962="",$M1962=""),"",IF($L1962&lt;&gt;"",INDEX(SCNormDate,$L1962),INDEX(LdgDateB,$M1962)))</f>
        <v/>
      </c>
      <c r="C1962" s="24">
        <f>IF($L1962&lt;&gt;"",INDEX(SCOp,$L1962),IF($M1962&lt;&gt;"","پرداخت بانکی",""))</f>
        <v/>
      </c>
      <c r="D1962" s="24">
        <f>IF($L1962&lt;&gt;"",IF(INDEX(SCDoc,$L1962)="","—",INDEX(SCDoc,$L1962)),IF($M1962&lt;&gt;"",INDEX(LdgBankB,$M1962),""))</f>
        <v/>
      </c>
      <c r="E1962" s="25">
        <f>IF($L1962&lt;&gt;"",IF(INDEX(SCCitrus,$L1962)&amp;INDEX(SCNotes,$L1962)="","",IF(INDEX(SCCitrus,$L1962)="","",INDEX(SCCitrus,$L1962))&amp;IF(INDEX(SCNotes,$L1962)="",""," — "&amp;INDEX(SCNotes,$L1962))),IF($M1962&lt;&gt;"",IF(INDEX(LdgNoteB,$M1962)="","—",INDEX(LdgNoteB,$M1962)),""))</f>
        <v/>
      </c>
      <c r="F1962" s="26">
        <f>IF($L1962&lt;&gt;"",IF(INDEX(SCNet,$L1962)=0,"",INDEX(SCNet,$L1962)),"")</f>
        <v/>
      </c>
      <c r="G1962" s="27">
        <f>IF($L1962&lt;&gt;"",IF(INDEX(SCOp,$L1962)="مرجوعی فروش","",IF(INDEX(SCAmount,$L1962)&lt;=0,"",INDEX(SCAmount,$L1962))),IF($M1962&lt;&gt;"",IF(INDEX(LdgWitB,$M1962)=0,"",INDEX(LdgWitB,$M1962)),""))</f>
        <v/>
      </c>
      <c r="H1962" s="27">
        <f>IF($L1962&lt;&gt;"",IF(INDEX(SCOp,$L1962)="مرجوعی فروش",IF(INDEX(SCAmount,$L1962)=0,"",-INDEX(SCAmount,$L1962)),""),IF($M1962&lt;&gt;"",IF(INDEX(LdgDepB,$M1962)=0,"",INDEX(LdgDepB,$M1962)),""))</f>
        <v/>
      </c>
      <c r="I1962" s="28">
        <f>IF($B1962="","",IF($I1961="",$C$10,$I1961)+IF($G1962="",0,$G1962)-IF($H1962="",0,$H1962))</f>
        <v/>
      </c>
      <c r="L1962">
        <f>IFERROR(MATCH($C$5&amp;"|"&amp;RIGHT("000000"&amp;1946,6),LdgRankKeyA,0),"")</f>
        <v/>
      </c>
      <c r="M1962">
        <f>IFERROR(MATCH($C$5&amp;"|"&amp;RIGHT("000000"&amp;1946,6),LdgRankKeyB,0),"")</f>
        <v/>
      </c>
    </row>
    <row r="1963">
      <c r="A1963" s="17" t="n">
        <v>1947</v>
      </c>
      <c r="B1963" s="18">
        <f>IF(AND($L1963="",$M1963=""),"",IF($L1963&lt;&gt;"",INDEX(SCNormDate,$L1963),INDEX(LdgDateB,$M1963)))</f>
        <v/>
      </c>
      <c r="C1963" s="18">
        <f>IF($L1963&lt;&gt;"",INDEX(SCOp,$L1963),IF($M1963&lt;&gt;"","پرداخت بانکی",""))</f>
        <v/>
      </c>
      <c r="D1963" s="18">
        <f>IF($L1963&lt;&gt;"",IF(INDEX(SCDoc,$L1963)="","—",INDEX(SCDoc,$L1963)),IF($M1963&lt;&gt;"",INDEX(LdgBankB,$M1963),""))</f>
        <v/>
      </c>
      <c r="E1963" s="19">
        <f>IF($L1963&lt;&gt;"",IF(INDEX(SCCitrus,$L1963)&amp;INDEX(SCNotes,$L1963)="","",IF(INDEX(SCCitrus,$L1963)="","",INDEX(SCCitrus,$L1963))&amp;IF(INDEX(SCNotes,$L1963)="",""," — "&amp;INDEX(SCNotes,$L1963))),IF($M1963&lt;&gt;"",IF(INDEX(LdgNoteB,$M1963)="","—",INDEX(LdgNoteB,$M1963)),""))</f>
        <v/>
      </c>
      <c r="F1963" s="20">
        <f>IF($L1963&lt;&gt;"",IF(INDEX(SCNet,$L1963)=0,"",INDEX(SCNet,$L1963)),"")</f>
        <v/>
      </c>
      <c r="G1963" s="21">
        <f>IF($L1963&lt;&gt;"",IF(INDEX(SCOp,$L1963)="مرجوعی فروش","",IF(INDEX(SCAmount,$L1963)&lt;=0,"",INDEX(SCAmount,$L1963))),IF($M1963&lt;&gt;"",IF(INDEX(LdgWitB,$M1963)=0,"",INDEX(LdgWitB,$M1963)),""))</f>
        <v/>
      </c>
      <c r="H1963" s="21">
        <f>IF($L1963&lt;&gt;"",IF(INDEX(SCOp,$L1963)="مرجوعی فروش",IF(INDEX(SCAmount,$L1963)=0,"",-INDEX(SCAmount,$L1963)),""),IF($M1963&lt;&gt;"",IF(INDEX(LdgDepB,$M1963)=0,"",INDEX(LdgDepB,$M1963)),""))</f>
        <v/>
      </c>
      <c r="I1963" s="22">
        <f>IF($B1963="","",IF($I1962="",$C$10,$I1962)+IF($G1963="",0,$G1963)-IF($H1963="",0,$H1963))</f>
        <v/>
      </c>
      <c r="L1963">
        <f>IFERROR(MATCH($C$5&amp;"|"&amp;RIGHT("000000"&amp;1947,6),LdgRankKeyA,0),"")</f>
        <v/>
      </c>
      <c r="M1963">
        <f>IFERROR(MATCH($C$5&amp;"|"&amp;RIGHT("000000"&amp;1947,6),LdgRankKeyB,0),"")</f>
        <v/>
      </c>
    </row>
    <row r="1964">
      <c r="A1964" s="23" t="n">
        <v>1948</v>
      </c>
      <c r="B1964" s="24">
        <f>IF(AND($L1964="",$M1964=""),"",IF($L1964&lt;&gt;"",INDEX(SCNormDate,$L1964),INDEX(LdgDateB,$M1964)))</f>
        <v/>
      </c>
      <c r="C1964" s="24">
        <f>IF($L1964&lt;&gt;"",INDEX(SCOp,$L1964),IF($M1964&lt;&gt;"","پرداخت بانکی",""))</f>
        <v/>
      </c>
      <c r="D1964" s="24">
        <f>IF($L1964&lt;&gt;"",IF(INDEX(SCDoc,$L1964)="","—",INDEX(SCDoc,$L1964)),IF($M1964&lt;&gt;"",INDEX(LdgBankB,$M1964),""))</f>
        <v/>
      </c>
      <c r="E1964" s="25">
        <f>IF($L1964&lt;&gt;"",IF(INDEX(SCCitrus,$L1964)&amp;INDEX(SCNotes,$L1964)="","",IF(INDEX(SCCitrus,$L1964)="","",INDEX(SCCitrus,$L1964))&amp;IF(INDEX(SCNotes,$L1964)="",""," — "&amp;INDEX(SCNotes,$L1964))),IF($M1964&lt;&gt;"",IF(INDEX(LdgNoteB,$M1964)="","—",INDEX(LdgNoteB,$M1964)),""))</f>
        <v/>
      </c>
      <c r="F1964" s="26">
        <f>IF($L1964&lt;&gt;"",IF(INDEX(SCNet,$L1964)=0,"",INDEX(SCNet,$L1964)),"")</f>
        <v/>
      </c>
      <c r="G1964" s="27">
        <f>IF($L1964&lt;&gt;"",IF(INDEX(SCOp,$L1964)="مرجوعی فروش","",IF(INDEX(SCAmount,$L1964)&lt;=0,"",INDEX(SCAmount,$L1964))),IF($M1964&lt;&gt;"",IF(INDEX(LdgWitB,$M1964)=0,"",INDEX(LdgWitB,$M1964)),""))</f>
        <v/>
      </c>
      <c r="H1964" s="27">
        <f>IF($L1964&lt;&gt;"",IF(INDEX(SCOp,$L1964)="مرجوعی فروش",IF(INDEX(SCAmount,$L1964)=0,"",-INDEX(SCAmount,$L1964)),""),IF($M1964&lt;&gt;"",IF(INDEX(LdgDepB,$M1964)=0,"",INDEX(LdgDepB,$M1964)),""))</f>
        <v/>
      </c>
      <c r="I1964" s="28">
        <f>IF($B1964="","",IF($I1963="",$C$10,$I1963)+IF($G1964="",0,$G1964)-IF($H1964="",0,$H1964))</f>
        <v/>
      </c>
      <c r="L1964">
        <f>IFERROR(MATCH($C$5&amp;"|"&amp;RIGHT("000000"&amp;1948,6),LdgRankKeyA,0),"")</f>
        <v/>
      </c>
      <c r="M1964">
        <f>IFERROR(MATCH($C$5&amp;"|"&amp;RIGHT("000000"&amp;1948,6),LdgRankKeyB,0),"")</f>
        <v/>
      </c>
    </row>
    <row r="1965">
      <c r="A1965" s="17" t="n">
        <v>1949</v>
      </c>
      <c r="B1965" s="18">
        <f>IF(AND($L1965="",$M1965=""),"",IF($L1965&lt;&gt;"",INDEX(SCNormDate,$L1965),INDEX(LdgDateB,$M1965)))</f>
        <v/>
      </c>
      <c r="C1965" s="18">
        <f>IF($L1965&lt;&gt;"",INDEX(SCOp,$L1965),IF($M1965&lt;&gt;"","پرداخت بانکی",""))</f>
        <v/>
      </c>
      <c r="D1965" s="18">
        <f>IF($L1965&lt;&gt;"",IF(INDEX(SCDoc,$L1965)="","—",INDEX(SCDoc,$L1965)),IF($M1965&lt;&gt;"",INDEX(LdgBankB,$M1965),""))</f>
        <v/>
      </c>
      <c r="E1965" s="19">
        <f>IF($L1965&lt;&gt;"",IF(INDEX(SCCitrus,$L1965)&amp;INDEX(SCNotes,$L1965)="","",IF(INDEX(SCCitrus,$L1965)="","",INDEX(SCCitrus,$L1965))&amp;IF(INDEX(SCNotes,$L1965)="",""," — "&amp;INDEX(SCNotes,$L1965))),IF($M1965&lt;&gt;"",IF(INDEX(LdgNoteB,$M1965)="","—",INDEX(LdgNoteB,$M1965)),""))</f>
        <v/>
      </c>
      <c r="F1965" s="20">
        <f>IF($L1965&lt;&gt;"",IF(INDEX(SCNet,$L1965)=0,"",INDEX(SCNet,$L1965)),"")</f>
        <v/>
      </c>
      <c r="G1965" s="21">
        <f>IF($L1965&lt;&gt;"",IF(INDEX(SCOp,$L1965)="مرجوعی فروش","",IF(INDEX(SCAmount,$L1965)&lt;=0,"",INDEX(SCAmount,$L1965))),IF($M1965&lt;&gt;"",IF(INDEX(LdgWitB,$M1965)=0,"",INDEX(LdgWitB,$M1965)),""))</f>
        <v/>
      </c>
      <c r="H1965" s="21">
        <f>IF($L1965&lt;&gt;"",IF(INDEX(SCOp,$L1965)="مرجوعی فروش",IF(INDEX(SCAmount,$L1965)=0,"",-INDEX(SCAmount,$L1965)),""),IF($M1965&lt;&gt;"",IF(INDEX(LdgDepB,$M1965)=0,"",INDEX(LdgDepB,$M1965)),""))</f>
        <v/>
      </c>
      <c r="I1965" s="22">
        <f>IF($B1965="","",IF($I1964="",$C$10,$I1964)+IF($G1965="",0,$G1965)-IF($H1965="",0,$H1965))</f>
        <v/>
      </c>
      <c r="L1965">
        <f>IFERROR(MATCH($C$5&amp;"|"&amp;RIGHT("000000"&amp;1949,6),LdgRankKeyA,0),"")</f>
        <v/>
      </c>
      <c r="M1965">
        <f>IFERROR(MATCH($C$5&amp;"|"&amp;RIGHT("000000"&amp;1949,6),LdgRankKeyB,0),"")</f>
        <v/>
      </c>
    </row>
    <row r="1966">
      <c r="A1966" s="23" t="n">
        <v>1950</v>
      </c>
      <c r="B1966" s="24">
        <f>IF(AND($L1966="",$M1966=""),"",IF($L1966&lt;&gt;"",INDEX(SCNormDate,$L1966),INDEX(LdgDateB,$M1966)))</f>
        <v/>
      </c>
      <c r="C1966" s="24">
        <f>IF($L1966&lt;&gt;"",INDEX(SCOp,$L1966),IF($M1966&lt;&gt;"","پرداخت بانکی",""))</f>
        <v/>
      </c>
      <c r="D1966" s="24">
        <f>IF($L1966&lt;&gt;"",IF(INDEX(SCDoc,$L1966)="","—",INDEX(SCDoc,$L1966)),IF($M1966&lt;&gt;"",INDEX(LdgBankB,$M1966),""))</f>
        <v/>
      </c>
      <c r="E1966" s="25">
        <f>IF($L1966&lt;&gt;"",IF(INDEX(SCCitrus,$L1966)&amp;INDEX(SCNotes,$L1966)="","",IF(INDEX(SCCitrus,$L1966)="","",INDEX(SCCitrus,$L1966))&amp;IF(INDEX(SCNotes,$L1966)="",""," — "&amp;INDEX(SCNotes,$L1966))),IF($M1966&lt;&gt;"",IF(INDEX(LdgNoteB,$M1966)="","—",INDEX(LdgNoteB,$M1966)),""))</f>
        <v/>
      </c>
      <c r="F1966" s="26">
        <f>IF($L1966&lt;&gt;"",IF(INDEX(SCNet,$L1966)=0,"",INDEX(SCNet,$L1966)),"")</f>
        <v/>
      </c>
      <c r="G1966" s="27">
        <f>IF($L1966&lt;&gt;"",IF(INDEX(SCOp,$L1966)="مرجوعی فروش","",IF(INDEX(SCAmount,$L1966)&lt;=0,"",INDEX(SCAmount,$L1966))),IF($M1966&lt;&gt;"",IF(INDEX(LdgWitB,$M1966)=0,"",INDEX(LdgWitB,$M1966)),""))</f>
        <v/>
      </c>
      <c r="H1966" s="27">
        <f>IF($L1966&lt;&gt;"",IF(INDEX(SCOp,$L1966)="مرجوعی فروش",IF(INDEX(SCAmount,$L1966)=0,"",-INDEX(SCAmount,$L1966)),""),IF($M1966&lt;&gt;"",IF(INDEX(LdgDepB,$M1966)=0,"",INDEX(LdgDepB,$M1966)),""))</f>
        <v/>
      </c>
      <c r="I1966" s="28">
        <f>IF($B1966="","",IF($I1965="",$C$10,$I1965)+IF($G1966="",0,$G1966)-IF($H1966="",0,$H1966))</f>
        <v/>
      </c>
      <c r="L1966">
        <f>IFERROR(MATCH($C$5&amp;"|"&amp;RIGHT("000000"&amp;1950,6),LdgRankKeyA,0),"")</f>
        <v/>
      </c>
      <c r="M1966">
        <f>IFERROR(MATCH($C$5&amp;"|"&amp;RIGHT("000000"&amp;1950,6),LdgRankKeyB,0),"")</f>
        <v/>
      </c>
    </row>
    <row r="1967">
      <c r="A1967" s="17" t="n">
        <v>1951</v>
      </c>
      <c r="B1967" s="18">
        <f>IF(AND($L1967="",$M1967=""),"",IF($L1967&lt;&gt;"",INDEX(SCNormDate,$L1967),INDEX(LdgDateB,$M1967)))</f>
        <v/>
      </c>
      <c r="C1967" s="18">
        <f>IF($L1967&lt;&gt;"",INDEX(SCOp,$L1967),IF($M1967&lt;&gt;"","پرداخت بانکی",""))</f>
        <v/>
      </c>
      <c r="D1967" s="18">
        <f>IF($L1967&lt;&gt;"",IF(INDEX(SCDoc,$L1967)="","—",INDEX(SCDoc,$L1967)),IF($M1967&lt;&gt;"",INDEX(LdgBankB,$M1967),""))</f>
        <v/>
      </c>
      <c r="E1967" s="19">
        <f>IF($L1967&lt;&gt;"",IF(INDEX(SCCitrus,$L1967)&amp;INDEX(SCNotes,$L1967)="","",IF(INDEX(SCCitrus,$L1967)="","",INDEX(SCCitrus,$L1967))&amp;IF(INDEX(SCNotes,$L1967)="",""," — "&amp;INDEX(SCNotes,$L1967))),IF($M1967&lt;&gt;"",IF(INDEX(LdgNoteB,$M1967)="","—",INDEX(LdgNoteB,$M1967)),""))</f>
        <v/>
      </c>
      <c r="F1967" s="20">
        <f>IF($L1967&lt;&gt;"",IF(INDEX(SCNet,$L1967)=0,"",INDEX(SCNet,$L1967)),"")</f>
        <v/>
      </c>
      <c r="G1967" s="21">
        <f>IF($L1967&lt;&gt;"",IF(INDEX(SCOp,$L1967)="مرجوعی فروش","",IF(INDEX(SCAmount,$L1967)&lt;=0,"",INDEX(SCAmount,$L1967))),IF($M1967&lt;&gt;"",IF(INDEX(LdgWitB,$M1967)=0,"",INDEX(LdgWitB,$M1967)),""))</f>
        <v/>
      </c>
      <c r="H1967" s="21">
        <f>IF($L1967&lt;&gt;"",IF(INDEX(SCOp,$L1967)="مرجوعی فروش",IF(INDEX(SCAmount,$L1967)=0,"",-INDEX(SCAmount,$L1967)),""),IF($M1967&lt;&gt;"",IF(INDEX(LdgDepB,$M1967)=0,"",INDEX(LdgDepB,$M1967)),""))</f>
        <v/>
      </c>
      <c r="I1967" s="22">
        <f>IF($B1967="","",IF($I1966="",$C$10,$I1966)+IF($G1967="",0,$G1967)-IF($H1967="",0,$H1967))</f>
        <v/>
      </c>
      <c r="L1967">
        <f>IFERROR(MATCH($C$5&amp;"|"&amp;RIGHT("000000"&amp;1951,6),LdgRankKeyA,0),"")</f>
        <v/>
      </c>
      <c r="M1967">
        <f>IFERROR(MATCH($C$5&amp;"|"&amp;RIGHT("000000"&amp;1951,6),LdgRankKeyB,0),"")</f>
        <v/>
      </c>
    </row>
    <row r="1968">
      <c r="A1968" s="23" t="n">
        <v>1952</v>
      </c>
      <c r="B1968" s="24">
        <f>IF(AND($L1968="",$M1968=""),"",IF($L1968&lt;&gt;"",INDEX(SCNormDate,$L1968),INDEX(LdgDateB,$M1968)))</f>
        <v/>
      </c>
      <c r="C1968" s="24">
        <f>IF($L1968&lt;&gt;"",INDEX(SCOp,$L1968),IF($M1968&lt;&gt;"","پرداخت بانکی",""))</f>
        <v/>
      </c>
      <c r="D1968" s="24">
        <f>IF($L1968&lt;&gt;"",IF(INDEX(SCDoc,$L1968)="","—",INDEX(SCDoc,$L1968)),IF($M1968&lt;&gt;"",INDEX(LdgBankB,$M1968),""))</f>
        <v/>
      </c>
      <c r="E1968" s="25">
        <f>IF($L1968&lt;&gt;"",IF(INDEX(SCCitrus,$L1968)&amp;INDEX(SCNotes,$L1968)="","",IF(INDEX(SCCitrus,$L1968)="","",INDEX(SCCitrus,$L1968))&amp;IF(INDEX(SCNotes,$L1968)="",""," — "&amp;INDEX(SCNotes,$L1968))),IF($M1968&lt;&gt;"",IF(INDEX(LdgNoteB,$M1968)="","—",INDEX(LdgNoteB,$M1968)),""))</f>
        <v/>
      </c>
      <c r="F1968" s="26">
        <f>IF($L1968&lt;&gt;"",IF(INDEX(SCNet,$L1968)=0,"",INDEX(SCNet,$L1968)),"")</f>
        <v/>
      </c>
      <c r="G1968" s="27">
        <f>IF($L1968&lt;&gt;"",IF(INDEX(SCOp,$L1968)="مرجوعی فروش","",IF(INDEX(SCAmount,$L1968)&lt;=0,"",INDEX(SCAmount,$L1968))),IF($M1968&lt;&gt;"",IF(INDEX(LdgWitB,$M1968)=0,"",INDEX(LdgWitB,$M1968)),""))</f>
        <v/>
      </c>
      <c r="H1968" s="27">
        <f>IF($L1968&lt;&gt;"",IF(INDEX(SCOp,$L1968)="مرجوعی فروش",IF(INDEX(SCAmount,$L1968)=0,"",-INDEX(SCAmount,$L1968)),""),IF($M1968&lt;&gt;"",IF(INDEX(LdgDepB,$M1968)=0,"",INDEX(LdgDepB,$M1968)),""))</f>
        <v/>
      </c>
      <c r="I1968" s="28">
        <f>IF($B1968="","",IF($I1967="",$C$10,$I1967)+IF($G1968="",0,$G1968)-IF($H1968="",0,$H1968))</f>
        <v/>
      </c>
      <c r="L1968">
        <f>IFERROR(MATCH($C$5&amp;"|"&amp;RIGHT("000000"&amp;1952,6),LdgRankKeyA,0),"")</f>
        <v/>
      </c>
      <c r="M1968">
        <f>IFERROR(MATCH($C$5&amp;"|"&amp;RIGHT("000000"&amp;1952,6),LdgRankKeyB,0),"")</f>
        <v/>
      </c>
    </row>
    <row r="1969">
      <c r="A1969" s="17" t="n">
        <v>1953</v>
      </c>
      <c r="B1969" s="18">
        <f>IF(AND($L1969="",$M1969=""),"",IF($L1969&lt;&gt;"",INDEX(SCNormDate,$L1969),INDEX(LdgDateB,$M1969)))</f>
        <v/>
      </c>
      <c r="C1969" s="18">
        <f>IF($L1969&lt;&gt;"",INDEX(SCOp,$L1969),IF($M1969&lt;&gt;"","پرداخت بانکی",""))</f>
        <v/>
      </c>
      <c r="D1969" s="18">
        <f>IF($L1969&lt;&gt;"",IF(INDEX(SCDoc,$L1969)="","—",INDEX(SCDoc,$L1969)),IF($M1969&lt;&gt;"",INDEX(LdgBankB,$M1969),""))</f>
        <v/>
      </c>
      <c r="E1969" s="19">
        <f>IF($L1969&lt;&gt;"",IF(INDEX(SCCitrus,$L1969)&amp;INDEX(SCNotes,$L1969)="","",IF(INDEX(SCCitrus,$L1969)="","",INDEX(SCCitrus,$L1969))&amp;IF(INDEX(SCNotes,$L1969)="",""," — "&amp;INDEX(SCNotes,$L1969))),IF($M1969&lt;&gt;"",IF(INDEX(LdgNoteB,$M1969)="","—",INDEX(LdgNoteB,$M1969)),""))</f>
        <v/>
      </c>
      <c r="F1969" s="20">
        <f>IF($L1969&lt;&gt;"",IF(INDEX(SCNet,$L1969)=0,"",INDEX(SCNet,$L1969)),"")</f>
        <v/>
      </c>
      <c r="G1969" s="21">
        <f>IF($L1969&lt;&gt;"",IF(INDEX(SCOp,$L1969)="مرجوعی فروش","",IF(INDEX(SCAmount,$L1969)&lt;=0,"",INDEX(SCAmount,$L1969))),IF($M1969&lt;&gt;"",IF(INDEX(LdgWitB,$M1969)=0,"",INDEX(LdgWitB,$M1969)),""))</f>
        <v/>
      </c>
      <c r="H1969" s="21">
        <f>IF($L1969&lt;&gt;"",IF(INDEX(SCOp,$L1969)="مرجوعی فروش",IF(INDEX(SCAmount,$L1969)=0,"",-INDEX(SCAmount,$L1969)),""),IF($M1969&lt;&gt;"",IF(INDEX(LdgDepB,$M1969)=0,"",INDEX(LdgDepB,$M1969)),""))</f>
        <v/>
      </c>
      <c r="I1969" s="22">
        <f>IF($B1969="","",IF($I1968="",$C$10,$I1968)+IF($G1969="",0,$G1969)-IF($H1969="",0,$H1969))</f>
        <v/>
      </c>
      <c r="L1969">
        <f>IFERROR(MATCH($C$5&amp;"|"&amp;RIGHT("000000"&amp;1953,6),LdgRankKeyA,0),"")</f>
        <v/>
      </c>
      <c r="M1969">
        <f>IFERROR(MATCH($C$5&amp;"|"&amp;RIGHT("000000"&amp;1953,6),LdgRankKeyB,0),"")</f>
        <v/>
      </c>
    </row>
    <row r="1970">
      <c r="A1970" s="23" t="n">
        <v>1954</v>
      </c>
      <c r="B1970" s="24">
        <f>IF(AND($L1970="",$M1970=""),"",IF($L1970&lt;&gt;"",INDEX(SCNormDate,$L1970),INDEX(LdgDateB,$M1970)))</f>
        <v/>
      </c>
      <c r="C1970" s="24">
        <f>IF($L1970&lt;&gt;"",INDEX(SCOp,$L1970),IF($M1970&lt;&gt;"","پرداخت بانکی",""))</f>
        <v/>
      </c>
      <c r="D1970" s="24">
        <f>IF($L1970&lt;&gt;"",IF(INDEX(SCDoc,$L1970)="","—",INDEX(SCDoc,$L1970)),IF($M1970&lt;&gt;"",INDEX(LdgBankB,$M1970),""))</f>
        <v/>
      </c>
      <c r="E1970" s="25">
        <f>IF($L1970&lt;&gt;"",IF(INDEX(SCCitrus,$L1970)&amp;INDEX(SCNotes,$L1970)="","",IF(INDEX(SCCitrus,$L1970)="","",INDEX(SCCitrus,$L1970))&amp;IF(INDEX(SCNotes,$L1970)="",""," — "&amp;INDEX(SCNotes,$L1970))),IF($M1970&lt;&gt;"",IF(INDEX(LdgNoteB,$M1970)="","—",INDEX(LdgNoteB,$M1970)),""))</f>
        <v/>
      </c>
      <c r="F1970" s="26">
        <f>IF($L1970&lt;&gt;"",IF(INDEX(SCNet,$L1970)=0,"",INDEX(SCNet,$L1970)),"")</f>
        <v/>
      </c>
      <c r="G1970" s="27">
        <f>IF($L1970&lt;&gt;"",IF(INDEX(SCOp,$L1970)="مرجوعی فروش","",IF(INDEX(SCAmount,$L1970)&lt;=0,"",INDEX(SCAmount,$L1970))),IF($M1970&lt;&gt;"",IF(INDEX(LdgWitB,$M1970)=0,"",INDEX(LdgWitB,$M1970)),""))</f>
        <v/>
      </c>
      <c r="H1970" s="27">
        <f>IF($L1970&lt;&gt;"",IF(INDEX(SCOp,$L1970)="مرجوعی فروش",IF(INDEX(SCAmount,$L1970)=0,"",-INDEX(SCAmount,$L1970)),""),IF($M1970&lt;&gt;"",IF(INDEX(LdgDepB,$M1970)=0,"",INDEX(LdgDepB,$M1970)),""))</f>
        <v/>
      </c>
      <c r="I1970" s="28">
        <f>IF($B1970="","",IF($I1969="",$C$10,$I1969)+IF($G1970="",0,$G1970)-IF($H1970="",0,$H1970))</f>
        <v/>
      </c>
      <c r="L1970">
        <f>IFERROR(MATCH($C$5&amp;"|"&amp;RIGHT("000000"&amp;1954,6),LdgRankKeyA,0),"")</f>
        <v/>
      </c>
      <c r="M1970">
        <f>IFERROR(MATCH($C$5&amp;"|"&amp;RIGHT("000000"&amp;1954,6),LdgRankKeyB,0),"")</f>
        <v/>
      </c>
    </row>
    <row r="1971">
      <c r="A1971" s="17" t="n">
        <v>1955</v>
      </c>
      <c r="B1971" s="18">
        <f>IF(AND($L1971="",$M1971=""),"",IF($L1971&lt;&gt;"",INDEX(SCNormDate,$L1971),INDEX(LdgDateB,$M1971)))</f>
        <v/>
      </c>
      <c r="C1971" s="18">
        <f>IF($L1971&lt;&gt;"",INDEX(SCOp,$L1971),IF($M1971&lt;&gt;"","پرداخت بانکی",""))</f>
        <v/>
      </c>
      <c r="D1971" s="18">
        <f>IF($L1971&lt;&gt;"",IF(INDEX(SCDoc,$L1971)="","—",INDEX(SCDoc,$L1971)),IF($M1971&lt;&gt;"",INDEX(LdgBankB,$M1971),""))</f>
        <v/>
      </c>
      <c r="E1971" s="19">
        <f>IF($L1971&lt;&gt;"",IF(INDEX(SCCitrus,$L1971)&amp;INDEX(SCNotes,$L1971)="","",IF(INDEX(SCCitrus,$L1971)="","",INDEX(SCCitrus,$L1971))&amp;IF(INDEX(SCNotes,$L1971)="",""," — "&amp;INDEX(SCNotes,$L1971))),IF($M1971&lt;&gt;"",IF(INDEX(LdgNoteB,$M1971)="","—",INDEX(LdgNoteB,$M1971)),""))</f>
        <v/>
      </c>
      <c r="F1971" s="20">
        <f>IF($L1971&lt;&gt;"",IF(INDEX(SCNet,$L1971)=0,"",INDEX(SCNet,$L1971)),"")</f>
        <v/>
      </c>
      <c r="G1971" s="21">
        <f>IF($L1971&lt;&gt;"",IF(INDEX(SCOp,$L1971)="مرجوعی فروش","",IF(INDEX(SCAmount,$L1971)&lt;=0,"",INDEX(SCAmount,$L1971))),IF($M1971&lt;&gt;"",IF(INDEX(LdgWitB,$M1971)=0,"",INDEX(LdgWitB,$M1971)),""))</f>
        <v/>
      </c>
      <c r="H1971" s="21">
        <f>IF($L1971&lt;&gt;"",IF(INDEX(SCOp,$L1971)="مرجوعی فروش",IF(INDEX(SCAmount,$L1971)=0,"",-INDEX(SCAmount,$L1971)),""),IF($M1971&lt;&gt;"",IF(INDEX(LdgDepB,$M1971)=0,"",INDEX(LdgDepB,$M1971)),""))</f>
        <v/>
      </c>
      <c r="I1971" s="22">
        <f>IF($B1971="","",IF($I1970="",$C$10,$I1970)+IF($G1971="",0,$G1971)-IF($H1971="",0,$H1971))</f>
        <v/>
      </c>
      <c r="L1971">
        <f>IFERROR(MATCH($C$5&amp;"|"&amp;RIGHT("000000"&amp;1955,6),LdgRankKeyA,0),"")</f>
        <v/>
      </c>
      <c r="M1971">
        <f>IFERROR(MATCH($C$5&amp;"|"&amp;RIGHT("000000"&amp;1955,6),LdgRankKeyB,0),"")</f>
        <v/>
      </c>
    </row>
    <row r="1972">
      <c r="A1972" s="23" t="n">
        <v>1956</v>
      </c>
      <c r="B1972" s="24">
        <f>IF(AND($L1972="",$M1972=""),"",IF($L1972&lt;&gt;"",INDEX(SCNormDate,$L1972),INDEX(LdgDateB,$M1972)))</f>
        <v/>
      </c>
      <c r="C1972" s="24">
        <f>IF($L1972&lt;&gt;"",INDEX(SCOp,$L1972),IF($M1972&lt;&gt;"","پرداخت بانکی",""))</f>
        <v/>
      </c>
      <c r="D1972" s="24">
        <f>IF($L1972&lt;&gt;"",IF(INDEX(SCDoc,$L1972)="","—",INDEX(SCDoc,$L1972)),IF($M1972&lt;&gt;"",INDEX(LdgBankB,$M1972),""))</f>
        <v/>
      </c>
      <c r="E1972" s="25">
        <f>IF($L1972&lt;&gt;"",IF(INDEX(SCCitrus,$L1972)&amp;INDEX(SCNotes,$L1972)="","",IF(INDEX(SCCitrus,$L1972)="","",INDEX(SCCitrus,$L1972))&amp;IF(INDEX(SCNotes,$L1972)="",""," — "&amp;INDEX(SCNotes,$L1972))),IF($M1972&lt;&gt;"",IF(INDEX(LdgNoteB,$M1972)="","—",INDEX(LdgNoteB,$M1972)),""))</f>
        <v/>
      </c>
      <c r="F1972" s="26">
        <f>IF($L1972&lt;&gt;"",IF(INDEX(SCNet,$L1972)=0,"",INDEX(SCNet,$L1972)),"")</f>
        <v/>
      </c>
      <c r="G1972" s="27">
        <f>IF($L1972&lt;&gt;"",IF(INDEX(SCOp,$L1972)="مرجوعی فروش","",IF(INDEX(SCAmount,$L1972)&lt;=0,"",INDEX(SCAmount,$L1972))),IF($M1972&lt;&gt;"",IF(INDEX(LdgWitB,$M1972)=0,"",INDEX(LdgWitB,$M1972)),""))</f>
        <v/>
      </c>
      <c r="H1972" s="27">
        <f>IF($L1972&lt;&gt;"",IF(INDEX(SCOp,$L1972)="مرجوعی فروش",IF(INDEX(SCAmount,$L1972)=0,"",-INDEX(SCAmount,$L1972)),""),IF($M1972&lt;&gt;"",IF(INDEX(LdgDepB,$M1972)=0,"",INDEX(LdgDepB,$M1972)),""))</f>
        <v/>
      </c>
      <c r="I1972" s="28">
        <f>IF($B1972="","",IF($I1971="",$C$10,$I1971)+IF($G1972="",0,$G1972)-IF($H1972="",0,$H1972))</f>
        <v/>
      </c>
      <c r="L1972">
        <f>IFERROR(MATCH($C$5&amp;"|"&amp;RIGHT("000000"&amp;1956,6),LdgRankKeyA,0),"")</f>
        <v/>
      </c>
      <c r="M1972">
        <f>IFERROR(MATCH($C$5&amp;"|"&amp;RIGHT("000000"&amp;1956,6),LdgRankKeyB,0),"")</f>
        <v/>
      </c>
    </row>
    <row r="1973">
      <c r="A1973" s="17" t="n">
        <v>1957</v>
      </c>
      <c r="B1973" s="18">
        <f>IF(AND($L1973="",$M1973=""),"",IF($L1973&lt;&gt;"",INDEX(SCNormDate,$L1973),INDEX(LdgDateB,$M1973)))</f>
        <v/>
      </c>
      <c r="C1973" s="18">
        <f>IF($L1973&lt;&gt;"",INDEX(SCOp,$L1973),IF($M1973&lt;&gt;"","پرداخت بانکی",""))</f>
        <v/>
      </c>
      <c r="D1973" s="18">
        <f>IF($L1973&lt;&gt;"",IF(INDEX(SCDoc,$L1973)="","—",INDEX(SCDoc,$L1973)),IF($M1973&lt;&gt;"",INDEX(LdgBankB,$M1973),""))</f>
        <v/>
      </c>
      <c r="E1973" s="19">
        <f>IF($L1973&lt;&gt;"",IF(INDEX(SCCitrus,$L1973)&amp;INDEX(SCNotes,$L1973)="","",IF(INDEX(SCCitrus,$L1973)="","",INDEX(SCCitrus,$L1973))&amp;IF(INDEX(SCNotes,$L1973)="",""," — "&amp;INDEX(SCNotes,$L1973))),IF($M1973&lt;&gt;"",IF(INDEX(LdgNoteB,$M1973)="","—",INDEX(LdgNoteB,$M1973)),""))</f>
        <v/>
      </c>
      <c r="F1973" s="20">
        <f>IF($L1973&lt;&gt;"",IF(INDEX(SCNet,$L1973)=0,"",INDEX(SCNet,$L1973)),"")</f>
        <v/>
      </c>
      <c r="G1973" s="21">
        <f>IF($L1973&lt;&gt;"",IF(INDEX(SCOp,$L1973)="مرجوعی فروش","",IF(INDEX(SCAmount,$L1973)&lt;=0,"",INDEX(SCAmount,$L1973))),IF($M1973&lt;&gt;"",IF(INDEX(LdgWitB,$M1973)=0,"",INDEX(LdgWitB,$M1973)),""))</f>
        <v/>
      </c>
      <c r="H1973" s="21">
        <f>IF($L1973&lt;&gt;"",IF(INDEX(SCOp,$L1973)="مرجوعی فروش",IF(INDEX(SCAmount,$L1973)=0,"",-INDEX(SCAmount,$L1973)),""),IF($M1973&lt;&gt;"",IF(INDEX(LdgDepB,$M1973)=0,"",INDEX(LdgDepB,$M1973)),""))</f>
        <v/>
      </c>
      <c r="I1973" s="22">
        <f>IF($B1973="","",IF($I1972="",$C$10,$I1972)+IF($G1973="",0,$G1973)-IF($H1973="",0,$H1973))</f>
        <v/>
      </c>
      <c r="L1973">
        <f>IFERROR(MATCH($C$5&amp;"|"&amp;RIGHT("000000"&amp;1957,6),LdgRankKeyA,0),"")</f>
        <v/>
      </c>
      <c r="M1973">
        <f>IFERROR(MATCH($C$5&amp;"|"&amp;RIGHT("000000"&amp;1957,6),LdgRankKeyB,0),"")</f>
        <v/>
      </c>
    </row>
    <row r="1974">
      <c r="A1974" s="23" t="n">
        <v>1958</v>
      </c>
      <c r="B1974" s="24">
        <f>IF(AND($L1974="",$M1974=""),"",IF($L1974&lt;&gt;"",INDEX(SCNormDate,$L1974),INDEX(LdgDateB,$M1974)))</f>
        <v/>
      </c>
      <c r="C1974" s="24">
        <f>IF($L1974&lt;&gt;"",INDEX(SCOp,$L1974),IF($M1974&lt;&gt;"","پرداخت بانکی",""))</f>
        <v/>
      </c>
      <c r="D1974" s="24">
        <f>IF($L1974&lt;&gt;"",IF(INDEX(SCDoc,$L1974)="","—",INDEX(SCDoc,$L1974)),IF($M1974&lt;&gt;"",INDEX(LdgBankB,$M1974),""))</f>
        <v/>
      </c>
      <c r="E1974" s="25">
        <f>IF($L1974&lt;&gt;"",IF(INDEX(SCCitrus,$L1974)&amp;INDEX(SCNotes,$L1974)="","",IF(INDEX(SCCitrus,$L1974)="","",INDEX(SCCitrus,$L1974))&amp;IF(INDEX(SCNotes,$L1974)="",""," — "&amp;INDEX(SCNotes,$L1974))),IF($M1974&lt;&gt;"",IF(INDEX(LdgNoteB,$M1974)="","—",INDEX(LdgNoteB,$M1974)),""))</f>
        <v/>
      </c>
      <c r="F1974" s="26">
        <f>IF($L1974&lt;&gt;"",IF(INDEX(SCNet,$L1974)=0,"",INDEX(SCNet,$L1974)),"")</f>
        <v/>
      </c>
      <c r="G1974" s="27">
        <f>IF($L1974&lt;&gt;"",IF(INDEX(SCOp,$L1974)="مرجوعی فروش","",IF(INDEX(SCAmount,$L1974)&lt;=0,"",INDEX(SCAmount,$L1974))),IF($M1974&lt;&gt;"",IF(INDEX(LdgWitB,$M1974)=0,"",INDEX(LdgWitB,$M1974)),""))</f>
        <v/>
      </c>
      <c r="H1974" s="27">
        <f>IF($L1974&lt;&gt;"",IF(INDEX(SCOp,$L1974)="مرجوعی فروش",IF(INDEX(SCAmount,$L1974)=0,"",-INDEX(SCAmount,$L1974)),""),IF($M1974&lt;&gt;"",IF(INDEX(LdgDepB,$M1974)=0,"",INDEX(LdgDepB,$M1974)),""))</f>
        <v/>
      </c>
      <c r="I1974" s="28">
        <f>IF($B1974="","",IF($I1973="",$C$10,$I1973)+IF($G1974="",0,$G1974)-IF($H1974="",0,$H1974))</f>
        <v/>
      </c>
      <c r="L1974">
        <f>IFERROR(MATCH($C$5&amp;"|"&amp;RIGHT("000000"&amp;1958,6),LdgRankKeyA,0),"")</f>
        <v/>
      </c>
      <c r="M1974">
        <f>IFERROR(MATCH($C$5&amp;"|"&amp;RIGHT("000000"&amp;1958,6),LdgRankKeyB,0),"")</f>
        <v/>
      </c>
    </row>
    <row r="1975">
      <c r="A1975" s="17" t="n">
        <v>1959</v>
      </c>
      <c r="B1975" s="18">
        <f>IF(AND($L1975="",$M1975=""),"",IF($L1975&lt;&gt;"",INDEX(SCNormDate,$L1975),INDEX(LdgDateB,$M1975)))</f>
        <v/>
      </c>
      <c r="C1975" s="18">
        <f>IF($L1975&lt;&gt;"",INDEX(SCOp,$L1975),IF($M1975&lt;&gt;"","پرداخت بانکی",""))</f>
        <v/>
      </c>
      <c r="D1975" s="18">
        <f>IF($L1975&lt;&gt;"",IF(INDEX(SCDoc,$L1975)="","—",INDEX(SCDoc,$L1975)),IF($M1975&lt;&gt;"",INDEX(LdgBankB,$M1975),""))</f>
        <v/>
      </c>
      <c r="E1975" s="19">
        <f>IF($L1975&lt;&gt;"",IF(INDEX(SCCitrus,$L1975)&amp;INDEX(SCNotes,$L1975)="","",IF(INDEX(SCCitrus,$L1975)="","",INDEX(SCCitrus,$L1975))&amp;IF(INDEX(SCNotes,$L1975)="",""," — "&amp;INDEX(SCNotes,$L1975))),IF($M1975&lt;&gt;"",IF(INDEX(LdgNoteB,$M1975)="","—",INDEX(LdgNoteB,$M1975)),""))</f>
        <v/>
      </c>
      <c r="F1975" s="20">
        <f>IF($L1975&lt;&gt;"",IF(INDEX(SCNet,$L1975)=0,"",INDEX(SCNet,$L1975)),"")</f>
        <v/>
      </c>
      <c r="G1975" s="21">
        <f>IF($L1975&lt;&gt;"",IF(INDEX(SCOp,$L1975)="مرجوعی فروش","",IF(INDEX(SCAmount,$L1975)&lt;=0,"",INDEX(SCAmount,$L1975))),IF($M1975&lt;&gt;"",IF(INDEX(LdgWitB,$M1975)=0,"",INDEX(LdgWitB,$M1975)),""))</f>
        <v/>
      </c>
      <c r="H1975" s="21">
        <f>IF($L1975&lt;&gt;"",IF(INDEX(SCOp,$L1975)="مرجوعی فروش",IF(INDEX(SCAmount,$L1975)=0,"",-INDEX(SCAmount,$L1975)),""),IF($M1975&lt;&gt;"",IF(INDEX(LdgDepB,$M1975)=0,"",INDEX(LdgDepB,$M1975)),""))</f>
        <v/>
      </c>
      <c r="I1975" s="22">
        <f>IF($B1975="","",IF($I1974="",$C$10,$I1974)+IF($G1975="",0,$G1975)-IF($H1975="",0,$H1975))</f>
        <v/>
      </c>
      <c r="L1975">
        <f>IFERROR(MATCH($C$5&amp;"|"&amp;RIGHT("000000"&amp;1959,6),LdgRankKeyA,0),"")</f>
        <v/>
      </c>
      <c r="M1975">
        <f>IFERROR(MATCH($C$5&amp;"|"&amp;RIGHT("000000"&amp;1959,6),LdgRankKeyB,0),"")</f>
        <v/>
      </c>
    </row>
    <row r="1976">
      <c r="A1976" s="23" t="n">
        <v>1960</v>
      </c>
      <c r="B1976" s="24">
        <f>IF(AND($L1976="",$M1976=""),"",IF($L1976&lt;&gt;"",INDEX(SCNormDate,$L1976),INDEX(LdgDateB,$M1976)))</f>
        <v/>
      </c>
      <c r="C1976" s="24">
        <f>IF($L1976&lt;&gt;"",INDEX(SCOp,$L1976),IF($M1976&lt;&gt;"","پرداخت بانکی",""))</f>
        <v/>
      </c>
      <c r="D1976" s="24">
        <f>IF($L1976&lt;&gt;"",IF(INDEX(SCDoc,$L1976)="","—",INDEX(SCDoc,$L1976)),IF($M1976&lt;&gt;"",INDEX(LdgBankB,$M1976),""))</f>
        <v/>
      </c>
      <c r="E1976" s="25">
        <f>IF($L1976&lt;&gt;"",IF(INDEX(SCCitrus,$L1976)&amp;INDEX(SCNotes,$L1976)="","",IF(INDEX(SCCitrus,$L1976)="","",INDEX(SCCitrus,$L1976))&amp;IF(INDEX(SCNotes,$L1976)="",""," — "&amp;INDEX(SCNotes,$L1976))),IF($M1976&lt;&gt;"",IF(INDEX(LdgNoteB,$M1976)="","—",INDEX(LdgNoteB,$M1976)),""))</f>
        <v/>
      </c>
      <c r="F1976" s="26">
        <f>IF($L1976&lt;&gt;"",IF(INDEX(SCNet,$L1976)=0,"",INDEX(SCNet,$L1976)),"")</f>
        <v/>
      </c>
      <c r="G1976" s="27">
        <f>IF($L1976&lt;&gt;"",IF(INDEX(SCOp,$L1976)="مرجوعی فروش","",IF(INDEX(SCAmount,$L1976)&lt;=0,"",INDEX(SCAmount,$L1976))),IF($M1976&lt;&gt;"",IF(INDEX(LdgWitB,$M1976)=0,"",INDEX(LdgWitB,$M1976)),""))</f>
        <v/>
      </c>
      <c r="H1976" s="27">
        <f>IF($L1976&lt;&gt;"",IF(INDEX(SCOp,$L1976)="مرجوعی فروش",IF(INDEX(SCAmount,$L1976)=0,"",-INDEX(SCAmount,$L1976)),""),IF($M1976&lt;&gt;"",IF(INDEX(LdgDepB,$M1976)=0,"",INDEX(LdgDepB,$M1976)),""))</f>
        <v/>
      </c>
      <c r="I1976" s="28">
        <f>IF($B1976="","",IF($I1975="",$C$10,$I1975)+IF($G1976="",0,$G1976)-IF($H1976="",0,$H1976))</f>
        <v/>
      </c>
      <c r="L1976">
        <f>IFERROR(MATCH($C$5&amp;"|"&amp;RIGHT("000000"&amp;1960,6),LdgRankKeyA,0),"")</f>
        <v/>
      </c>
      <c r="M1976">
        <f>IFERROR(MATCH($C$5&amp;"|"&amp;RIGHT("000000"&amp;1960,6),LdgRankKeyB,0),"")</f>
        <v/>
      </c>
    </row>
    <row r="1977">
      <c r="A1977" s="17" t="n">
        <v>1961</v>
      </c>
      <c r="B1977" s="18">
        <f>IF(AND($L1977="",$M1977=""),"",IF($L1977&lt;&gt;"",INDEX(SCNormDate,$L1977),INDEX(LdgDateB,$M1977)))</f>
        <v/>
      </c>
      <c r="C1977" s="18">
        <f>IF($L1977&lt;&gt;"",INDEX(SCOp,$L1977),IF($M1977&lt;&gt;"","پرداخت بانکی",""))</f>
        <v/>
      </c>
      <c r="D1977" s="18">
        <f>IF($L1977&lt;&gt;"",IF(INDEX(SCDoc,$L1977)="","—",INDEX(SCDoc,$L1977)),IF($M1977&lt;&gt;"",INDEX(LdgBankB,$M1977),""))</f>
        <v/>
      </c>
      <c r="E1977" s="19">
        <f>IF($L1977&lt;&gt;"",IF(INDEX(SCCitrus,$L1977)&amp;INDEX(SCNotes,$L1977)="","",IF(INDEX(SCCitrus,$L1977)="","",INDEX(SCCitrus,$L1977))&amp;IF(INDEX(SCNotes,$L1977)="",""," — "&amp;INDEX(SCNotes,$L1977))),IF($M1977&lt;&gt;"",IF(INDEX(LdgNoteB,$M1977)="","—",INDEX(LdgNoteB,$M1977)),""))</f>
        <v/>
      </c>
      <c r="F1977" s="20">
        <f>IF($L1977&lt;&gt;"",IF(INDEX(SCNet,$L1977)=0,"",INDEX(SCNet,$L1977)),"")</f>
        <v/>
      </c>
      <c r="G1977" s="21">
        <f>IF($L1977&lt;&gt;"",IF(INDEX(SCOp,$L1977)="مرجوعی فروش","",IF(INDEX(SCAmount,$L1977)&lt;=0,"",INDEX(SCAmount,$L1977))),IF($M1977&lt;&gt;"",IF(INDEX(LdgWitB,$M1977)=0,"",INDEX(LdgWitB,$M1977)),""))</f>
        <v/>
      </c>
      <c r="H1977" s="21">
        <f>IF($L1977&lt;&gt;"",IF(INDEX(SCOp,$L1977)="مرجوعی فروش",IF(INDEX(SCAmount,$L1977)=0,"",-INDEX(SCAmount,$L1977)),""),IF($M1977&lt;&gt;"",IF(INDEX(LdgDepB,$M1977)=0,"",INDEX(LdgDepB,$M1977)),""))</f>
        <v/>
      </c>
      <c r="I1977" s="22">
        <f>IF($B1977="","",IF($I1976="",$C$10,$I1976)+IF($G1977="",0,$G1977)-IF($H1977="",0,$H1977))</f>
        <v/>
      </c>
      <c r="L1977">
        <f>IFERROR(MATCH($C$5&amp;"|"&amp;RIGHT("000000"&amp;1961,6),LdgRankKeyA,0),"")</f>
        <v/>
      </c>
      <c r="M1977">
        <f>IFERROR(MATCH($C$5&amp;"|"&amp;RIGHT("000000"&amp;1961,6),LdgRankKeyB,0),"")</f>
        <v/>
      </c>
    </row>
    <row r="1978">
      <c r="A1978" s="23" t="n">
        <v>1962</v>
      </c>
      <c r="B1978" s="24">
        <f>IF(AND($L1978="",$M1978=""),"",IF($L1978&lt;&gt;"",INDEX(SCNormDate,$L1978),INDEX(LdgDateB,$M1978)))</f>
        <v/>
      </c>
      <c r="C1978" s="24">
        <f>IF($L1978&lt;&gt;"",INDEX(SCOp,$L1978),IF($M1978&lt;&gt;"","پرداخت بانکی",""))</f>
        <v/>
      </c>
      <c r="D1978" s="24">
        <f>IF($L1978&lt;&gt;"",IF(INDEX(SCDoc,$L1978)="","—",INDEX(SCDoc,$L1978)),IF($M1978&lt;&gt;"",INDEX(LdgBankB,$M1978),""))</f>
        <v/>
      </c>
      <c r="E1978" s="25">
        <f>IF($L1978&lt;&gt;"",IF(INDEX(SCCitrus,$L1978)&amp;INDEX(SCNotes,$L1978)="","",IF(INDEX(SCCitrus,$L1978)="","",INDEX(SCCitrus,$L1978))&amp;IF(INDEX(SCNotes,$L1978)="",""," — "&amp;INDEX(SCNotes,$L1978))),IF($M1978&lt;&gt;"",IF(INDEX(LdgNoteB,$M1978)="","—",INDEX(LdgNoteB,$M1978)),""))</f>
        <v/>
      </c>
      <c r="F1978" s="26">
        <f>IF($L1978&lt;&gt;"",IF(INDEX(SCNet,$L1978)=0,"",INDEX(SCNet,$L1978)),"")</f>
        <v/>
      </c>
      <c r="G1978" s="27">
        <f>IF($L1978&lt;&gt;"",IF(INDEX(SCOp,$L1978)="مرجوعی فروش","",IF(INDEX(SCAmount,$L1978)&lt;=0,"",INDEX(SCAmount,$L1978))),IF($M1978&lt;&gt;"",IF(INDEX(LdgWitB,$M1978)=0,"",INDEX(LdgWitB,$M1978)),""))</f>
        <v/>
      </c>
      <c r="H1978" s="27">
        <f>IF($L1978&lt;&gt;"",IF(INDEX(SCOp,$L1978)="مرجوعی فروش",IF(INDEX(SCAmount,$L1978)=0,"",-INDEX(SCAmount,$L1978)),""),IF($M1978&lt;&gt;"",IF(INDEX(LdgDepB,$M1978)=0,"",INDEX(LdgDepB,$M1978)),""))</f>
        <v/>
      </c>
      <c r="I1978" s="28">
        <f>IF($B1978="","",IF($I1977="",$C$10,$I1977)+IF($G1978="",0,$G1978)-IF($H1978="",0,$H1978))</f>
        <v/>
      </c>
      <c r="L1978">
        <f>IFERROR(MATCH($C$5&amp;"|"&amp;RIGHT("000000"&amp;1962,6),LdgRankKeyA,0),"")</f>
        <v/>
      </c>
      <c r="M1978">
        <f>IFERROR(MATCH($C$5&amp;"|"&amp;RIGHT("000000"&amp;1962,6),LdgRankKeyB,0),"")</f>
        <v/>
      </c>
    </row>
    <row r="1979">
      <c r="A1979" s="17" t="n">
        <v>1963</v>
      </c>
      <c r="B1979" s="18">
        <f>IF(AND($L1979="",$M1979=""),"",IF($L1979&lt;&gt;"",INDEX(SCNormDate,$L1979),INDEX(LdgDateB,$M1979)))</f>
        <v/>
      </c>
      <c r="C1979" s="18">
        <f>IF($L1979&lt;&gt;"",INDEX(SCOp,$L1979),IF($M1979&lt;&gt;"","پرداخت بانکی",""))</f>
        <v/>
      </c>
      <c r="D1979" s="18">
        <f>IF($L1979&lt;&gt;"",IF(INDEX(SCDoc,$L1979)="","—",INDEX(SCDoc,$L1979)),IF($M1979&lt;&gt;"",INDEX(LdgBankB,$M1979),""))</f>
        <v/>
      </c>
      <c r="E1979" s="19">
        <f>IF($L1979&lt;&gt;"",IF(INDEX(SCCitrus,$L1979)&amp;INDEX(SCNotes,$L1979)="","",IF(INDEX(SCCitrus,$L1979)="","",INDEX(SCCitrus,$L1979))&amp;IF(INDEX(SCNotes,$L1979)="",""," — "&amp;INDEX(SCNotes,$L1979))),IF($M1979&lt;&gt;"",IF(INDEX(LdgNoteB,$M1979)="","—",INDEX(LdgNoteB,$M1979)),""))</f>
        <v/>
      </c>
      <c r="F1979" s="20">
        <f>IF($L1979&lt;&gt;"",IF(INDEX(SCNet,$L1979)=0,"",INDEX(SCNet,$L1979)),"")</f>
        <v/>
      </c>
      <c r="G1979" s="21">
        <f>IF($L1979&lt;&gt;"",IF(INDEX(SCOp,$L1979)="مرجوعی فروش","",IF(INDEX(SCAmount,$L1979)&lt;=0,"",INDEX(SCAmount,$L1979))),IF($M1979&lt;&gt;"",IF(INDEX(LdgWitB,$M1979)=0,"",INDEX(LdgWitB,$M1979)),""))</f>
        <v/>
      </c>
      <c r="H1979" s="21">
        <f>IF($L1979&lt;&gt;"",IF(INDEX(SCOp,$L1979)="مرجوعی فروش",IF(INDEX(SCAmount,$L1979)=0,"",-INDEX(SCAmount,$L1979)),""),IF($M1979&lt;&gt;"",IF(INDEX(LdgDepB,$M1979)=0,"",INDEX(LdgDepB,$M1979)),""))</f>
        <v/>
      </c>
      <c r="I1979" s="22">
        <f>IF($B1979="","",IF($I1978="",$C$10,$I1978)+IF($G1979="",0,$G1979)-IF($H1979="",0,$H1979))</f>
        <v/>
      </c>
      <c r="L1979">
        <f>IFERROR(MATCH($C$5&amp;"|"&amp;RIGHT("000000"&amp;1963,6),LdgRankKeyA,0),"")</f>
        <v/>
      </c>
      <c r="M1979">
        <f>IFERROR(MATCH($C$5&amp;"|"&amp;RIGHT("000000"&amp;1963,6),LdgRankKeyB,0),"")</f>
        <v/>
      </c>
    </row>
    <row r="1980">
      <c r="A1980" s="23" t="n">
        <v>1964</v>
      </c>
      <c r="B1980" s="24">
        <f>IF(AND($L1980="",$M1980=""),"",IF($L1980&lt;&gt;"",INDEX(SCNormDate,$L1980),INDEX(LdgDateB,$M1980)))</f>
        <v/>
      </c>
      <c r="C1980" s="24">
        <f>IF($L1980&lt;&gt;"",INDEX(SCOp,$L1980),IF($M1980&lt;&gt;"","پرداخت بانکی",""))</f>
        <v/>
      </c>
      <c r="D1980" s="24">
        <f>IF($L1980&lt;&gt;"",IF(INDEX(SCDoc,$L1980)="","—",INDEX(SCDoc,$L1980)),IF($M1980&lt;&gt;"",INDEX(LdgBankB,$M1980),""))</f>
        <v/>
      </c>
      <c r="E1980" s="25">
        <f>IF($L1980&lt;&gt;"",IF(INDEX(SCCitrus,$L1980)&amp;INDEX(SCNotes,$L1980)="","",IF(INDEX(SCCitrus,$L1980)="","",INDEX(SCCitrus,$L1980))&amp;IF(INDEX(SCNotes,$L1980)="",""," — "&amp;INDEX(SCNotes,$L1980))),IF($M1980&lt;&gt;"",IF(INDEX(LdgNoteB,$M1980)="","—",INDEX(LdgNoteB,$M1980)),""))</f>
        <v/>
      </c>
      <c r="F1980" s="26">
        <f>IF($L1980&lt;&gt;"",IF(INDEX(SCNet,$L1980)=0,"",INDEX(SCNet,$L1980)),"")</f>
        <v/>
      </c>
      <c r="G1980" s="27">
        <f>IF($L1980&lt;&gt;"",IF(INDEX(SCOp,$L1980)="مرجوعی فروش","",IF(INDEX(SCAmount,$L1980)&lt;=0,"",INDEX(SCAmount,$L1980))),IF($M1980&lt;&gt;"",IF(INDEX(LdgWitB,$M1980)=0,"",INDEX(LdgWitB,$M1980)),""))</f>
        <v/>
      </c>
      <c r="H1980" s="27">
        <f>IF($L1980&lt;&gt;"",IF(INDEX(SCOp,$L1980)="مرجوعی فروش",IF(INDEX(SCAmount,$L1980)=0,"",-INDEX(SCAmount,$L1980)),""),IF($M1980&lt;&gt;"",IF(INDEX(LdgDepB,$M1980)=0,"",INDEX(LdgDepB,$M1980)),""))</f>
        <v/>
      </c>
      <c r="I1980" s="28">
        <f>IF($B1980="","",IF($I1979="",$C$10,$I1979)+IF($G1980="",0,$G1980)-IF($H1980="",0,$H1980))</f>
        <v/>
      </c>
      <c r="L1980">
        <f>IFERROR(MATCH($C$5&amp;"|"&amp;RIGHT("000000"&amp;1964,6),LdgRankKeyA,0),"")</f>
        <v/>
      </c>
      <c r="M1980">
        <f>IFERROR(MATCH($C$5&amp;"|"&amp;RIGHT("000000"&amp;1964,6),LdgRankKeyB,0),"")</f>
        <v/>
      </c>
    </row>
    <row r="1981">
      <c r="A1981" s="17" t="n">
        <v>1965</v>
      </c>
      <c r="B1981" s="18">
        <f>IF(AND($L1981="",$M1981=""),"",IF($L1981&lt;&gt;"",INDEX(SCNormDate,$L1981),INDEX(LdgDateB,$M1981)))</f>
        <v/>
      </c>
      <c r="C1981" s="18">
        <f>IF($L1981&lt;&gt;"",INDEX(SCOp,$L1981),IF($M1981&lt;&gt;"","پرداخت بانکی",""))</f>
        <v/>
      </c>
      <c r="D1981" s="18">
        <f>IF($L1981&lt;&gt;"",IF(INDEX(SCDoc,$L1981)="","—",INDEX(SCDoc,$L1981)),IF($M1981&lt;&gt;"",INDEX(LdgBankB,$M1981),""))</f>
        <v/>
      </c>
      <c r="E1981" s="19">
        <f>IF($L1981&lt;&gt;"",IF(INDEX(SCCitrus,$L1981)&amp;INDEX(SCNotes,$L1981)="","",IF(INDEX(SCCitrus,$L1981)="","",INDEX(SCCitrus,$L1981))&amp;IF(INDEX(SCNotes,$L1981)="",""," — "&amp;INDEX(SCNotes,$L1981))),IF($M1981&lt;&gt;"",IF(INDEX(LdgNoteB,$M1981)="","—",INDEX(LdgNoteB,$M1981)),""))</f>
        <v/>
      </c>
      <c r="F1981" s="20">
        <f>IF($L1981&lt;&gt;"",IF(INDEX(SCNet,$L1981)=0,"",INDEX(SCNet,$L1981)),"")</f>
        <v/>
      </c>
      <c r="G1981" s="21">
        <f>IF($L1981&lt;&gt;"",IF(INDEX(SCOp,$L1981)="مرجوعی فروش","",IF(INDEX(SCAmount,$L1981)&lt;=0,"",INDEX(SCAmount,$L1981))),IF($M1981&lt;&gt;"",IF(INDEX(LdgWitB,$M1981)=0,"",INDEX(LdgWitB,$M1981)),""))</f>
        <v/>
      </c>
      <c r="H1981" s="21">
        <f>IF($L1981&lt;&gt;"",IF(INDEX(SCOp,$L1981)="مرجوعی فروش",IF(INDEX(SCAmount,$L1981)=0,"",-INDEX(SCAmount,$L1981)),""),IF($M1981&lt;&gt;"",IF(INDEX(LdgDepB,$M1981)=0,"",INDEX(LdgDepB,$M1981)),""))</f>
        <v/>
      </c>
      <c r="I1981" s="22">
        <f>IF($B1981="","",IF($I1980="",$C$10,$I1980)+IF($G1981="",0,$G1981)-IF($H1981="",0,$H1981))</f>
        <v/>
      </c>
      <c r="L1981">
        <f>IFERROR(MATCH($C$5&amp;"|"&amp;RIGHT("000000"&amp;1965,6),LdgRankKeyA,0),"")</f>
        <v/>
      </c>
      <c r="M1981">
        <f>IFERROR(MATCH($C$5&amp;"|"&amp;RIGHT("000000"&amp;1965,6),LdgRankKeyB,0),"")</f>
        <v/>
      </c>
    </row>
    <row r="1982">
      <c r="A1982" s="23" t="n">
        <v>1966</v>
      </c>
      <c r="B1982" s="24">
        <f>IF(AND($L1982="",$M1982=""),"",IF($L1982&lt;&gt;"",INDEX(SCNormDate,$L1982),INDEX(LdgDateB,$M1982)))</f>
        <v/>
      </c>
      <c r="C1982" s="24">
        <f>IF($L1982&lt;&gt;"",INDEX(SCOp,$L1982),IF($M1982&lt;&gt;"","پرداخت بانکی",""))</f>
        <v/>
      </c>
      <c r="D1982" s="24">
        <f>IF($L1982&lt;&gt;"",IF(INDEX(SCDoc,$L1982)="","—",INDEX(SCDoc,$L1982)),IF($M1982&lt;&gt;"",INDEX(LdgBankB,$M1982),""))</f>
        <v/>
      </c>
      <c r="E1982" s="25">
        <f>IF($L1982&lt;&gt;"",IF(INDEX(SCCitrus,$L1982)&amp;INDEX(SCNotes,$L1982)="","",IF(INDEX(SCCitrus,$L1982)="","",INDEX(SCCitrus,$L1982))&amp;IF(INDEX(SCNotes,$L1982)="",""," — "&amp;INDEX(SCNotes,$L1982))),IF($M1982&lt;&gt;"",IF(INDEX(LdgNoteB,$M1982)="","—",INDEX(LdgNoteB,$M1982)),""))</f>
        <v/>
      </c>
      <c r="F1982" s="26">
        <f>IF($L1982&lt;&gt;"",IF(INDEX(SCNet,$L1982)=0,"",INDEX(SCNet,$L1982)),"")</f>
        <v/>
      </c>
      <c r="G1982" s="27">
        <f>IF($L1982&lt;&gt;"",IF(INDEX(SCOp,$L1982)="مرجوعی فروش","",IF(INDEX(SCAmount,$L1982)&lt;=0,"",INDEX(SCAmount,$L1982))),IF($M1982&lt;&gt;"",IF(INDEX(LdgWitB,$M1982)=0,"",INDEX(LdgWitB,$M1982)),""))</f>
        <v/>
      </c>
      <c r="H1982" s="27">
        <f>IF($L1982&lt;&gt;"",IF(INDEX(SCOp,$L1982)="مرجوعی فروش",IF(INDEX(SCAmount,$L1982)=0,"",-INDEX(SCAmount,$L1982)),""),IF($M1982&lt;&gt;"",IF(INDEX(LdgDepB,$M1982)=0,"",INDEX(LdgDepB,$M1982)),""))</f>
        <v/>
      </c>
      <c r="I1982" s="28">
        <f>IF($B1982="","",IF($I1981="",$C$10,$I1981)+IF($G1982="",0,$G1982)-IF($H1982="",0,$H1982))</f>
        <v/>
      </c>
      <c r="L1982">
        <f>IFERROR(MATCH($C$5&amp;"|"&amp;RIGHT("000000"&amp;1966,6),LdgRankKeyA,0),"")</f>
        <v/>
      </c>
      <c r="M1982">
        <f>IFERROR(MATCH($C$5&amp;"|"&amp;RIGHT("000000"&amp;1966,6),LdgRankKeyB,0),"")</f>
        <v/>
      </c>
    </row>
    <row r="1983">
      <c r="A1983" s="17" t="n">
        <v>1967</v>
      </c>
      <c r="B1983" s="18">
        <f>IF(AND($L1983="",$M1983=""),"",IF($L1983&lt;&gt;"",INDEX(SCNormDate,$L1983),INDEX(LdgDateB,$M1983)))</f>
        <v/>
      </c>
      <c r="C1983" s="18">
        <f>IF($L1983&lt;&gt;"",INDEX(SCOp,$L1983),IF($M1983&lt;&gt;"","پرداخت بانکی",""))</f>
        <v/>
      </c>
      <c r="D1983" s="18">
        <f>IF($L1983&lt;&gt;"",IF(INDEX(SCDoc,$L1983)="","—",INDEX(SCDoc,$L1983)),IF($M1983&lt;&gt;"",INDEX(LdgBankB,$M1983),""))</f>
        <v/>
      </c>
      <c r="E1983" s="19">
        <f>IF($L1983&lt;&gt;"",IF(INDEX(SCCitrus,$L1983)&amp;INDEX(SCNotes,$L1983)="","",IF(INDEX(SCCitrus,$L1983)="","",INDEX(SCCitrus,$L1983))&amp;IF(INDEX(SCNotes,$L1983)="",""," — "&amp;INDEX(SCNotes,$L1983))),IF($M1983&lt;&gt;"",IF(INDEX(LdgNoteB,$M1983)="","—",INDEX(LdgNoteB,$M1983)),""))</f>
        <v/>
      </c>
      <c r="F1983" s="20">
        <f>IF($L1983&lt;&gt;"",IF(INDEX(SCNet,$L1983)=0,"",INDEX(SCNet,$L1983)),"")</f>
        <v/>
      </c>
      <c r="G1983" s="21">
        <f>IF($L1983&lt;&gt;"",IF(INDEX(SCOp,$L1983)="مرجوعی فروش","",IF(INDEX(SCAmount,$L1983)&lt;=0,"",INDEX(SCAmount,$L1983))),IF($M1983&lt;&gt;"",IF(INDEX(LdgWitB,$M1983)=0,"",INDEX(LdgWitB,$M1983)),""))</f>
        <v/>
      </c>
      <c r="H1983" s="21">
        <f>IF($L1983&lt;&gt;"",IF(INDEX(SCOp,$L1983)="مرجوعی فروش",IF(INDEX(SCAmount,$L1983)=0,"",-INDEX(SCAmount,$L1983)),""),IF($M1983&lt;&gt;"",IF(INDEX(LdgDepB,$M1983)=0,"",INDEX(LdgDepB,$M1983)),""))</f>
        <v/>
      </c>
      <c r="I1983" s="22">
        <f>IF($B1983="","",IF($I1982="",$C$10,$I1982)+IF($G1983="",0,$G1983)-IF($H1983="",0,$H1983))</f>
        <v/>
      </c>
      <c r="L1983">
        <f>IFERROR(MATCH($C$5&amp;"|"&amp;RIGHT("000000"&amp;1967,6),LdgRankKeyA,0),"")</f>
        <v/>
      </c>
      <c r="M1983">
        <f>IFERROR(MATCH($C$5&amp;"|"&amp;RIGHT("000000"&amp;1967,6),LdgRankKeyB,0),"")</f>
        <v/>
      </c>
    </row>
    <row r="1984">
      <c r="A1984" s="23" t="n">
        <v>1968</v>
      </c>
      <c r="B1984" s="24">
        <f>IF(AND($L1984="",$M1984=""),"",IF($L1984&lt;&gt;"",INDEX(SCNormDate,$L1984),INDEX(LdgDateB,$M1984)))</f>
        <v/>
      </c>
      <c r="C1984" s="24">
        <f>IF($L1984&lt;&gt;"",INDEX(SCOp,$L1984),IF($M1984&lt;&gt;"","پرداخت بانکی",""))</f>
        <v/>
      </c>
      <c r="D1984" s="24">
        <f>IF($L1984&lt;&gt;"",IF(INDEX(SCDoc,$L1984)="","—",INDEX(SCDoc,$L1984)),IF($M1984&lt;&gt;"",INDEX(LdgBankB,$M1984),""))</f>
        <v/>
      </c>
      <c r="E1984" s="25">
        <f>IF($L1984&lt;&gt;"",IF(INDEX(SCCitrus,$L1984)&amp;INDEX(SCNotes,$L1984)="","",IF(INDEX(SCCitrus,$L1984)="","",INDEX(SCCitrus,$L1984))&amp;IF(INDEX(SCNotes,$L1984)="",""," — "&amp;INDEX(SCNotes,$L1984))),IF($M1984&lt;&gt;"",IF(INDEX(LdgNoteB,$M1984)="","—",INDEX(LdgNoteB,$M1984)),""))</f>
        <v/>
      </c>
      <c r="F1984" s="26">
        <f>IF($L1984&lt;&gt;"",IF(INDEX(SCNet,$L1984)=0,"",INDEX(SCNet,$L1984)),"")</f>
        <v/>
      </c>
      <c r="G1984" s="27">
        <f>IF($L1984&lt;&gt;"",IF(INDEX(SCOp,$L1984)="مرجوعی فروش","",IF(INDEX(SCAmount,$L1984)&lt;=0,"",INDEX(SCAmount,$L1984))),IF($M1984&lt;&gt;"",IF(INDEX(LdgWitB,$M1984)=0,"",INDEX(LdgWitB,$M1984)),""))</f>
        <v/>
      </c>
      <c r="H1984" s="27">
        <f>IF($L1984&lt;&gt;"",IF(INDEX(SCOp,$L1984)="مرجوعی فروش",IF(INDEX(SCAmount,$L1984)=0,"",-INDEX(SCAmount,$L1984)),""),IF($M1984&lt;&gt;"",IF(INDEX(LdgDepB,$M1984)=0,"",INDEX(LdgDepB,$M1984)),""))</f>
        <v/>
      </c>
      <c r="I1984" s="28">
        <f>IF($B1984="","",IF($I1983="",$C$10,$I1983)+IF($G1984="",0,$G1984)-IF($H1984="",0,$H1984))</f>
        <v/>
      </c>
      <c r="L1984">
        <f>IFERROR(MATCH($C$5&amp;"|"&amp;RIGHT("000000"&amp;1968,6),LdgRankKeyA,0),"")</f>
        <v/>
      </c>
      <c r="M1984">
        <f>IFERROR(MATCH($C$5&amp;"|"&amp;RIGHT("000000"&amp;1968,6),LdgRankKeyB,0),"")</f>
        <v/>
      </c>
    </row>
    <row r="1985">
      <c r="A1985" s="17" t="n">
        <v>1969</v>
      </c>
      <c r="B1985" s="18">
        <f>IF(AND($L1985="",$M1985=""),"",IF($L1985&lt;&gt;"",INDEX(SCNormDate,$L1985),INDEX(LdgDateB,$M1985)))</f>
        <v/>
      </c>
      <c r="C1985" s="18">
        <f>IF($L1985&lt;&gt;"",INDEX(SCOp,$L1985),IF($M1985&lt;&gt;"","پرداخت بانکی",""))</f>
        <v/>
      </c>
      <c r="D1985" s="18">
        <f>IF($L1985&lt;&gt;"",IF(INDEX(SCDoc,$L1985)="","—",INDEX(SCDoc,$L1985)),IF($M1985&lt;&gt;"",INDEX(LdgBankB,$M1985),""))</f>
        <v/>
      </c>
      <c r="E1985" s="19">
        <f>IF($L1985&lt;&gt;"",IF(INDEX(SCCitrus,$L1985)&amp;INDEX(SCNotes,$L1985)="","",IF(INDEX(SCCitrus,$L1985)="","",INDEX(SCCitrus,$L1985))&amp;IF(INDEX(SCNotes,$L1985)="",""," — "&amp;INDEX(SCNotes,$L1985))),IF($M1985&lt;&gt;"",IF(INDEX(LdgNoteB,$M1985)="","—",INDEX(LdgNoteB,$M1985)),""))</f>
        <v/>
      </c>
      <c r="F1985" s="20">
        <f>IF($L1985&lt;&gt;"",IF(INDEX(SCNet,$L1985)=0,"",INDEX(SCNet,$L1985)),"")</f>
        <v/>
      </c>
      <c r="G1985" s="21">
        <f>IF($L1985&lt;&gt;"",IF(INDEX(SCOp,$L1985)="مرجوعی فروش","",IF(INDEX(SCAmount,$L1985)&lt;=0,"",INDEX(SCAmount,$L1985))),IF($M1985&lt;&gt;"",IF(INDEX(LdgWitB,$M1985)=0,"",INDEX(LdgWitB,$M1985)),""))</f>
        <v/>
      </c>
      <c r="H1985" s="21">
        <f>IF($L1985&lt;&gt;"",IF(INDEX(SCOp,$L1985)="مرجوعی فروش",IF(INDEX(SCAmount,$L1985)=0,"",-INDEX(SCAmount,$L1985)),""),IF($M1985&lt;&gt;"",IF(INDEX(LdgDepB,$M1985)=0,"",INDEX(LdgDepB,$M1985)),""))</f>
        <v/>
      </c>
      <c r="I1985" s="22">
        <f>IF($B1985="","",IF($I1984="",$C$10,$I1984)+IF($G1985="",0,$G1985)-IF($H1985="",0,$H1985))</f>
        <v/>
      </c>
      <c r="L1985">
        <f>IFERROR(MATCH($C$5&amp;"|"&amp;RIGHT("000000"&amp;1969,6),LdgRankKeyA,0),"")</f>
        <v/>
      </c>
      <c r="M1985">
        <f>IFERROR(MATCH($C$5&amp;"|"&amp;RIGHT("000000"&amp;1969,6),LdgRankKeyB,0),"")</f>
        <v/>
      </c>
    </row>
    <row r="1986">
      <c r="A1986" s="23" t="n">
        <v>1970</v>
      </c>
      <c r="B1986" s="24">
        <f>IF(AND($L1986="",$M1986=""),"",IF($L1986&lt;&gt;"",INDEX(SCNormDate,$L1986),INDEX(LdgDateB,$M1986)))</f>
        <v/>
      </c>
      <c r="C1986" s="24">
        <f>IF($L1986&lt;&gt;"",INDEX(SCOp,$L1986),IF($M1986&lt;&gt;"","پرداخت بانکی",""))</f>
        <v/>
      </c>
      <c r="D1986" s="24">
        <f>IF($L1986&lt;&gt;"",IF(INDEX(SCDoc,$L1986)="","—",INDEX(SCDoc,$L1986)),IF($M1986&lt;&gt;"",INDEX(LdgBankB,$M1986),""))</f>
        <v/>
      </c>
      <c r="E1986" s="25">
        <f>IF($L1986&lt;&gt;"",IF(INDEX(SCCitrus,$L1986)&amp;INDEX(SCNotes,$L1986)="","",IF(INDEX(SCCitrus,$L1986)="","",INDEX(SCCitrus,$L1986))&amp;IF(INDEX(SCNotes,$L1986)="",""," — "&amp;INDEX(SCNotes,$L1986))),IF($M1986&lt;&gt;"",IF(INDEX(LdgNoteB,$M1986)="","—",INDEX(LdgNoteB,$M1986)),""))</f>
        <v/>
      </c>
      <c r="F1986" s="26">
        <f>IF($L1986&lt;&gt;"",IF(INDEX(SCNet,$L1986)=0,"",INDEX(SCNet,$L1986)),"")</f>
        <v/>
      </c>
      <c r="G1986" s="27">
        <f>IF($L1986&lt;&gt;"",IF(INDEX(SCOp,$L1986)="مرجوعی فروش","",IF(INDEX(SCAmount,$L1986)&lt;=0,"",INDEX(SCAmount,$L1986))),IF($M1986&lt;&gt;"",IF(INDEX(LdgWitB,$M1986)=0,"",INDEX(LdgWitB,$M1986)),""))</f>
        <v/>
      </c>
      <c r="H1986" s="27">
        <f>IF($L1986&lt;&gt;"",IF(INDEX(SCOp,$L1986)="مرجوعی فروش",IF(INDEX(SCAmount,$L1986)=0,"",-INDEX(SCAmount,$L1986)),""),IF($M1986&lt;&gt;"",IF(INDEX(LdgDepB,$M1986)=0,"",INDEX(LdgDepB,$M1986)),""))</f>
        <v/>
      </c>
      <c r="I1986" s="28">
        <f>IF($B1986="","",IF($I1985="",$C$10,$I1985)+IF($G1986="",0,$G1986)-IF($H1986="",0,$H1986))</f>
        <v/>
      </c>
      <c r="L1986">
        <f>IFERROR(MATCH($C$5&amp;"|"&amp;RIGHT("000000"&amp;1970,6),LdgRankKeyA,0),"")</f>
        <v/>
      </c>
      <c r="M1986">
        <f>IFERROR(MATCH($C$5&amp;"|"&amp;RIGHT("000000"&amp;1970,6),LdgRankKeyB,0),"")</f>
        <v/>
      </c>
    </row>
    <row r="1987">
      <c r="A1987" s="17" t="n">
        <v>1971</v>
      </c>
      <c r="B1987" s="18">
        <f>IF(AND($L1987="",$M1987=""),"",IF($L1987&lt;&gt;"",INDEX(SCNormDate,$L1987),INDEX(LdgDateB,$M1987)))</f>
        <v/>
      </c>
      <c r="C1987" s="18">
        <f>IF($L1987&lt;&gt;"",INDEX(SCOp,$L1987),IF($M1987&lt;&gt;"","پرداخت بانکی",""))</f>
        <v/>
      </c>
      <c r="D1987" s="18">
        <f>IF($L1987&lt;&gt;"",IF(INDEX(SCDoc,$L1987)="","—",INDEX(SCDoc,$L1987)),IF($M1987&lt;&gt;"",INDEX(LdgBankB,$M1987),""))</f>
        <v/>
      </c>
      <c r="E1987" s="19">
        <f>IF($L1987&lt;&gt;"",IF(INDEX(SCCitrus,$L1987)&amp;INDEX(SCNotes,$L1987)="","",IF(INDEX(SCCitrus,$L1987)="","",INDEX(SCCitrus,$L1987))&amp;IF(INDEX(SCNotes,$L1987)="",""," — "&amp;INDEX(SCNotes,$L1987))),IF($M1987&lt;&gt;"",IF(INDEX(LdgNoteB,$M1987)="","—",INDEX(LdgNoteB,$M1987)),""))</f>
        <v/>
      </c>
      <c r="F1987" s="20">
        <f>IF($L1987&lt;&gt;"",IF(INDEX(SCNet,$L1987)=0,"",INDEX(SCNet,$L1987)),"")</f>
        <v/>
      </c>
      <c r="G1987" s="21">
        <f>IF($L1987&lt;&gt;"",IF(INDEX(SCOp,$L1987)="مرجوعی فروش","",IF(INDEX(SCAmount,$L1987)&lt;=0,"",INDEX(SCAmount,$L1987))),IF($M1987&lt;&gt;"",IF(INDEX(LdgWitB,$M1987)=0,"",INDEX(LdgWitB,$M1987)),""))</f>
        <v/>
      </c>
      <c r="H1987" s="21">
        <f>IF($L1987&lt;&gt;"",IF(INDEX(SCOp,$L1987)="مرجوعی فروش",IF(INDEX(SCAmount,$L1987)=0,"",-INDEX(SCAmount,$L1987)),""),IF($M1987&lt;&gt;"",IF(INDEX(LdgDepB,$M1987)=0,"",INDEX(LdgDepB,$M1987)),""))</f>
        <v/>
      </c>
      <c r="I1987" s="22">
        <f>IF($B1987="","",IF($I1986="",$C$10,$I1986)+IF($G1987="",0,$G1987)-IF($H1987="",0,$H1987))</f>
        <v/>
      </c>
      <c r="L1987">
        <f>IFERROR(MATCH($C$5&amp;"|"&amp;RIGHT("000000"&amp;1971,6),LdgRankKeyA,0),"")</f>
        <v/>
      </c>
      <c r="M1987">
        <f>IFERROR(MATCH($C$5&amp;"|"&amp;RIGHT("000000"&amp;1971,6),LdgRankKeyB,0),"")</f>
        <v/>
      </c>
    </row>
    <row r="1988">
      <c r="A1988" s="23" t="n">
        <v>1972</v>
      </c>
      <c r="B1988" s="24">
        <f>IF(AND($L1988="",$M1988=""),"",IF($L1988&lt;&gt;"",INDEX(SCNormDate,$L1988),INDEX(LdgDateB,$M1988)))</f>
        <v/>
      </c>
      <c r="C1988" s="24">
        <f>IF($L1988&lt;&gt;"",INDEX(SCOp,$L1988),IF($M1988&lt;&gt;"","پرداخت بانکی",""))</f>
        <v/>
      </c>
      <c r="D1988" s="24">
        <f>IF($L1988&lt;&gt;"",IF(INDEX(SCDoc,$L1988)="","—",INDEX(SCDoc,$L1988)),IF($M1988&lt;&gt;"",INDEX(LdgBankB,$M1988),""))</f>
        <v/>
      </c>
      <c r="E1988" s="25">
        <f>IF($L1988&lt;&gt;"",IF(INDEX(SCCitrus,$L1988)&amp;INDEX(SCNotes,$L1988)="","",IF(INDEX(SCCitrus,$L1988)="","",INDEX(SCCitrus,$L1988))&amp;IF(INDEX(SCNotes,$L1988)="",""," — "&amp;INDEX(SCNotes,$L1988))),IF($M1988&lt;&gt;"",IF(INDEX(LdgNoteB,$M1988)="","—",INDEX(LdgNoteB,$M1988)),""))</f>
        <v/>
      </c>
      <c r="F1988" s="26">
        <f>IF($L1988&lt;&gt;"",IF(INDEX(SCNet,$L1988)=0,"",INDEX(SCNet,$L1988)),"")</f>
        <v/>
      </c>
      <c r="G1988" s="27">
        <f>IF($L1988&lt;&gt;"",IF(INDEX(SCOp,$L1988)="مرجوعی فروش","",IF(INDEX(SCAmount,$L1988)&lt;=0,"",INDEX(SCAmount,$L1988))),IF($M1988&lt;&gt;"",IF(INDEX(LdgWitB,$M1988)=0,"",INDEX(LdgWitB,$M1988)),""))</f>
        <v/>
      </c>
      <c r="H1988" s="27">
        <f>IF($L1988&lt;&gt;"",IF(INDEX(SCOp,$L1988)="مرجوعی فروش",IF(INDEX(SCAmount,$L1988)=0,"",-INDEX(SCAmount,$L1988)),""),IF($M1988&lt;&gt;"",IF(INDEX(LdgDepB,$M1988)=0,"",INDEX(LdgDepB,$M1988)),""))</f>
        <v/>
      </c>
      <c r="I1988" s="28">
        <f>IF($B1988="","",IF($I1987="",$C$10,$I1987)+IF($G1988="",0,$G1988)-IF($H1988="",0,$H1988))</f>
        <v/>
      </c>
      <c r="L1988">
        <f>IFERROR(MATCH($C$5&amp;"|"&amp;RIGHT("000000"&amp;1972,6),LdgRankKeyA,0),"")</f>
        <v/>
      </c>
      <c r="M1988">
        <f>IFERROR(MATCH($C$5&amp;"|"&amp;RIGHT("000000"&amp;1972,6),LdgRankKeyB,0),"")</f>
        <v/>
      </c>
    </row>
    <row r="1989">
      <c r="A1989" s="17" t="n">
        <v>1973</v>
      </c>
      <c r="B1989" s="18">
        <f>IF(AND($L1989="",$M1989=""),"",IF($L1989&lt;&gt;"",INDEX(SCNormDate,$L1989),INDEX(LdgDateB,$M1989)))</f>
        <v/>
      </c>
      <c r="C1989" s="18">
        <f>IF($L1989&lt;&gt;"",INDEX(SCOp,$L1989),IF($M1989&lt;&gt;"","پرداخت بانکی",""))</f>
        <v/>
      </c>
      <c r="D1989" s="18">
        <f>IF($L1989&lt;&gt;"",IF(INDEX(SCDoc,$L1989)="","—",INDEX(SCDoc,$L1989)),IF($M1989&lt;&gt;"",INDEX(LdgBankB,$M1989),""))</f>
        <v/>
      </c>
      <c r="E1989" s="19">
        <f>IF($L1989&lt;&gt;"",IF(INDEX(SCCitrus,$L1989)&amp;INDEX(SCNotes,$L1989)="","",IF(INDEX(SCCitrus,$L1989)="","",INDEX(SCCitrus,$L1989))&amp;IF(INDEX(SCNotes,$L1989)="",""," — "&amp;INDEX(SCNotes,$L1989))),IF($M1989&lt;&gt;"",IF(INDEX(LdgNoteB,$M1989)="","—",INDEX(LdgNoteB,$M1989)),""))</f>
        <v/>
      </c>
      <c r="F1989" s="20">
        <f>IF($L1989&lt;&gt;"",IF(INDEX(SCNet,$L1989)=0,"",INDEX(SCNet,$L1989)),"")</f>
        <v/>
      </c>
      <c r="G1989" s="21">
        <f>IF($L1989&lt;&gt;"",IF(INDEX(SCOp,$L1989)="مرجوعی فروش","",IF(INDEX(SCAmount,$L1989)&lt;=0,"",INDEX(SCAmount,$L1989))),IF($M1989&lt;&gt;"",IF(INDEX(LdgWitB,$M1989)=0,"",INDEX(LdgWitB,$M1989)),""))</f>
        <v/>
      </c>
      <c r="H1989" s="21">
        <f>IF($L1989&lt;&gt;"",IF(INDEX(SCOp,$L1989)="مرجوعی فروش",IF(INDEX(SCAmount,$L1989)=0,"",-INDEX(SCAmount,$L1989)),""),IF($M1989&lt;&gt;"",IF(INDEX(LdgDepB,$M1989)=0,"",INDEX(LdgDepB,$M1989)),""))</f>
        <v/>
      </c>
      <c r="I1989" s="22">
        <f>IF($B1989="","",IF($I1988="",$C$10,$I1988)+IF($G1989="",0,$G1989)-IF($H1989="",0,$H1989))</f>
        <v/>
      </c>
      <c r="L1989">
        <f>IFERROR(MATCH($C$5&amp;"|"&amp;RIGHT("000000"&amp;1973,6),LdgRankKeyA,0),"")</f>
        <v/>
      </c>
      <c r="M1989">
        <f>IFERROR(MATCH($C$5&amp;"|"&amp;RIGHT("000000"&amp;1973,6),LdgRankKeyB,0),"")</f>
        <v/>
      </c>
    </row>
    <row r="1990">
      <c r="A1990" s="23" t="n">
        <v>1974</v>
      </c>
      <c r="B1990" s="24">
        <f>IF(AND($L1990="",$M1990=""),"",IF($L1990&lt;&gt;"",INDEX(SCNormDate,$L1990),INDEX(LdgDateB,$M1990)))</f>
        <v/>
      </c>
      <c r="C1990" s="24">
        <f>IF($L1990&lt;&gt;"",INDEX(SCOp,$L1990),IF($M1990&lt;&gt;"","پرداخت بانکی",""))</f>
        <v/>
      </c>
      <c r="D1990" s="24">
        <f>IF($L1990&lt;&gt;"",IF(INDEX(SCDoc,$L1990)="","—",INDEX(SCDoc,$L1990)),IF($M1990&lt;&gt;"",INDEX(LdgBankB,$M1990),""))</f>
        <v/>
      </c>
      <c r="E1990" s="25">
        <f>IF($L1990&lt;&gt;"",IF(INDEX(SCCitrus,$L1990)&amp;INDEX(SCNotes,$L1990)="","",IF(INDEX(SCCitrus,$L1990)="","",INDEX(SCCitrus,$L1990))&amp;IF(INDEX(SCNotes,$L1990)="",""," — "&amp;INDEX(SCNotes,$L1990))),IF($M1990&lt;&gt;"",IF(INDEX(LdgNoteB,$M1990)="","—",INDEX(LdgNoteB,$M1990)),""))</f>
        <v/>
      </c>
      <c r="F1990" s="26">
        <f>IF($L1990&lt;&gt;"",IF(INDEX(SCNet,$L1990)=0,"",INDEX(SCNet,$L1990)),"")</f>
        <v/>
      </c>
      <c r="G1990" s="27">
        <f>IF($L1990&lt;&gt;"",IF(INDEX(SCOp,$L1990)="مرجوعی فروش","",IF(INDEX(SCAmount,$L1990)&lt;=0,"",INDEX(SCAmount,$L1990))),IF($M1990&lt;&gt;"",IF(INDEX(LdgWitB,$M1990)=0,"",INDEX(LdgWitB,$M1990)),""))</f>
        <v/>
      </c>
      <c r="H1990" s="27">
        <f>IF($L1990&lt;&gt;"",IF(INDEX(SCOp,$L1990)="مرجوعی فروش",IF(INDEX(SCAmount,$L1990)=0,"",-INDEX(SCAmount,$L1990)),""),IF($M1990&lt;&gt;"",IF(INDEX(LdgDepB,$M1990)=0,"",INDEX(LdgDepB,$M1990)),""))</f>
        <v/>
      </c>
      <c r="I1990" s="28">
        <f>IF($B1990="","",IF($I1989="",$C$10,$I1989)+IF($G1990="",0,$G1990)-IF($H1990="",0,$H1990))</f>
        <v/>
      </c>
      <c r="L1990">
        <f>IFERROR(MATCH($C$5&amp;"|"&amp;RIGHT("000000"&amp;1974,6),LdgRankKeyA,0),"")</f>
        <v/>
      </c>
      <c r="M1990">
        <f>IFERROR(MATCH($C$5&amp;"|"&amp;RIGHT("000000"&amp;1974,6),LdgRankKeyB,0),"")</f>
        <v/>
      </c>
    </row>
    <row r="1991">
      <c r="A1991" s="17" t="n">
        <v>1975</v>
      </c>
      <c r="B1991" s="18">
        <f>IF(AND($L1991="",$M1991=""),"",IF($L1991&lt;&gt;"",INDEX(SCNormDate,$L1991),INDEX(LdgDateB,$M1991)))</f>
        <v/>
      </c>
      <c r="C1991" s="18">
        <f>IF($L1991&lt;&gt;"",INDEX(SCOp,$L1991),IF($M1991&lt;&gt;"","پرداخت بانکی",""))</f>
        <v/>
      </c>
      <c r="D1991" s="18">
        <f>IF($L1991&lt;&gt;"",IF(INDEX(SCDoc,$L1991)="","—",INDEX(SCDoc,$L1991)),IF($M1991&lt;&gt;"",INDEX(LdgBankB,$M1991),""))</f>
        <v/>
      </c>
      <c r="E1991" s="19">
        <f>IF($L1991&lt;&gt;"",IF(INDEX(SCCitrus,$L1991)&amp;INDEX(SCNotes,$L1991)="","",IF(INDEX(SCCitrus,$L1991)="","",INDEX(SCCitrus,$L1991))&amp;IF(INDEX(SCNotes,$L1991)="",""," — "&amp;INDEX(SCNotes,$L1991))),IF($M1991&lt;&gt;"",IF(INDEX(LdgNoteB,$M1991)="","—",INDEX(LdgNoteB,$M1991)),""))</f>
        <v/>
      </c>
      <c r="F1991" s="20">
        <f>IF($L1991&lt;&gt;"",IF(INDEX(SCNet,$L1991)=0,"",INDEX(SCNet,$L1991)),"")</f>
        <v/>
      </c>
      <c r="G1991" s="21">
        <f>IF($L1991&lt;&gt;"",IF(INDEX(SCOp,$L1991)="مرجوعی فروش","",IF(INDEX(SCAmount,$L1991)&lt;=0,"",INDEX(SCAmount,$L1991))),IF($M1991&lt;&gt;"",IF(INDEX(LdgWitB,$M1991)=0,"",INDEX(LdgWitB,$M1991)),""))</f>
        <v/>
      </c>
      <c r="H1991" s="21">
        <f>IF($L1991&lt;&gt;"",IF(INDEX(SCOp,$L1991)="مرجوعی فروش",IF(INDEX(SCAmount,$L1991)=0,"",-INDEX(SCAmount,$L1991)),""),IF($M1991&lt;&gt;"",IF(INDEX(LdgDepB,$M1991)=0,"",INDEX(LdgDepB,$M1991)),""))</f>
        <v/>
      </c>
      <c r="I1991" s="22">
        <f>IF($B1991="","",IF($I1990="",$C$10,$I1990)+IF($G1991="",0,$G1991)-IF($H1991="",0,$H1991))</f>
        <v/>
      </c>
      <c r="L1991">
        <f>IFERROR(MATCH($C$5&amp;"|"&amp;RIGHT("000000"&amp;1975,6),LdgRankKeyA,0),"")</f>
        <v/>
      </c>
      <c r="M1991">
        <f>IFERROR(MATCH($C$5&amp;"|"&amp;RIGHT("000000"&amp;1975,6),LdgRankKeyB,0),"")</f>
        <v/>
      </c>
    </row>
    <row r="1992">
      <c r="A1992" s="23" t="n">
        <v>1976</v>
      </c>
      <c r="B1992" s="24">
        <f>IF(AND($L1992="",$M1992=""),"",IF($L1992&lt;&gt;"",INDEX(SCNormDate,$L1992),INDEX(LdgDateB,$M1992)))</f>
        <v/>
      </c>
      <c r="C1992" s="24">
        <f>IF($L1992&lt;&gt;"",INDEX(SCOp,$L1992),IF($M1992&lt;&gt;"","پرداخت بانکی",""))</f>
        <v/>
      </c>
      <c r="D1992" s="24">
        <f>IF($L1992&lt;&gt;"",IF(INDEX(SCDoc,$L1992)="","—",INDEX(SCDoc,$L1992)),IF($M1992&lt;&gt;"",INDEX(LdgBankB,$M1992),""))</f>
        <v/>
      </c>
      <c r="E1992" s="25">
        <f>IF($L1992&lt;&gt;"",IF(INDEX(SCCitrus,$L1992)&amp;INDEX(SCNotes,$L1992)="","",IF(INDEX(SCCitrus,$L1992)="","",INDEX(SCCitrus,$L1992))&amp;IF(INDEX(SCNotes,$L1992)="",""," — "&amp;INDEX(SCNotes,$L1992))),IF($M1992&lt;&gt;"",IF(INDEX(LdgNoteB,$M1992)="","—",INDEX(LdgNoteB,$M1992)),""))</f>
        <v/>
      </c>
      <c r="F1992" s="26">
        <f>IF($L1992&lt;&gt;"",IF(INDEX(SCNet,$L1992)=0,"",INDEX(SCNet,$L1992)),"")</f>
        <v/>
      </c>
      <c r="G1992" s="27">
        <f>IF($L1992&lt;&gt;"",IF(INDEX(SCOp,$L1992)="مرجوعی فروش","",IF(INDEX(SCAmount,$L1992)&lt;=0,"",INDEX(SCAmount,$L1992))),IF($M1992&lt;&gt;"",IF(INDEX(LdgWitB,$M1992)=0,"",INDEX(LdgWitB,$M1992)),""))</f>
        <v/>
      </c>
      <c r="H1992" s="27">
        <f>IF($L1992&lt;&gt;"",IF(INDEX(SCOp,$L1992)="مرجوعی فروش",IF(INDEX(SCAmount,$L1992)=0,"",-INDEX(SCAmount,$L1992)),""),IF($M1992&lt;&gt;"",IF(INDEX(LdgDepB,$M1992)=0,"",INDEX(LdgDepB,$M1992)),""))</f>
        <v/>
      </c>
      <c r="I1992" s="28">
        <f>IF($B1992="","",IF($I1991="",$C$10,$I1991)+IF($G1992="",0,$G1992)-IF($H1992="",0,$H1992))</f>
        <v/>
      </c>
      <c r="L1992">
        <f>IFERROR(MATCH($C$5&amp;"|"&amp;RIGHT("000000"&amp;1976,6),LdgRankKeyA,0),"")</f>
        <v/>
      </c>
      <c r="M1992">
        <f>IFERROR(MATCH($C$5&amp;"|"&amp;RIGHT("000000"&amp;1976,6),LdgRankKeyB,0),"")</f>
        <v/>
      </c>
    </row>
    <row r="1993">
      <c r="A1993" s="17" t="n">
        <v>1977</v>
      </c>
      <c r="B1993" s="18">
        <f>IF(AND($L1993="",$M1993=""),"",IF($L1993&lt;&gt;"",INDEX(SCNormDate,$L1993),INDEX(LdgDateB,$M1993)))</f>
        <v/>
      </c>
      <c r="C1993" s="18">
        <f>IF($L1993&lt;&gt;"",INDEX(SCOp,$L1993),IF($M1993&lt;&gt;"","پرداخت بانکی",""))</f>
        <v/>
      </c>
      <c r="D1993" s="18">
        <f>IF($L1993&lt;&gt;"",IF(INDEX(SCDoc,$L1993)="","—",INDEX(SCDoc,$L1993)),IF($M1993&lt;&gt;"",INDEX(LdgBankB,$M1993),""))</f>
        <v/>
      </c>
      <c r="E1993" s="19">
        <f>IF($L1993&lt;&gt;"",IF(INDEX(SCCitrus,$L1993)&amp;INDEX(SCNotes,$L1993)="","",IF(INDEX(SCCitrus,$L1993)="","",INDEX(SCCitrus,$L1993))&amp;IF(INDEX(SCNotes,$L1993)="",""," — "&amp;INDEX(SCNotes,$L1993))),IF($M1993&lt;&gt;"",IF(INDEX(LdgNoteB,$M1993)="","—",INDEX(LdgNoteB,$M1993)),""))</f>
        <v/>
      </c>
      <c r="F1993" s="20">
        <f>IF($L1993&lt;&gt;"",IF(INDEX(SCNet,$L1993)=0,"",INDEX(SCNet,$L1993)),"")</f>
        <v/>
      </c>
      <c r="G1993" s="21">
        <f>IF($L1993&lt;&gt;"",IF(INDEX(SCOp,$L1993)="مرجوعی فروش","",IF(INDEX(SCAmount,$L1993)&lt;=0,"",INDEX(SCAmount,$L1993))),IF($M1993&lt;&gt;"",IF(INDEX(LdgWitB,$M1993)=0,"",INDEX(LdgWitB,$M1993)),""))</f>
        <v/>
      </c>
      <c r="H1993" s="21">
        <f>IF($L1993&lt;&gt;"",IF(INDEX(SCOp,$L1993)="مرجوعی فروش",IF(INDEX(SCAmount,$L1993)=0,"",-INDEX(SCAmount,$L1993)),""),IF($M1993&lt;&gt;"",IF(INDEX(LdgDepB,$M1993)=0,"",INDEX(LdgDepB,$M1993)),""))</f>
        <v/>
      </c>
      <c r="I1993" s="22">
        <f>IF($B1993="","",IF($I1992="",$C$10,$I1992)+IF($G1993="",0,$G1993)-IF($H1993="",0,$H1993))</f>
        <v/>
      </c>
      <c r="L1993">
        <f>IFERROR(MATCH($C$5&amp;"|"&amp;RIGHT("000000"&amp;1977,6),LdgRankKeyA,0),"")</f>
        <v/>
      </c>
      <c r="M1993">
        <f>IFERROR(MATCH($C$5&amp;"|"&amp;RIGHT("000000"&amp;1977,6),LdgRankKeyB,0),"")</f>
        <v/>
      </c>
    </row>
    <row r="1994">
      <c r="A1994" s="23" t="n">
        <v>1978</v>
      </c>
      <c r="B1994" s="24">
        <f>IF(AND($L1994="",$M1994=""),"",IF($L1994&lt;&gt;"",INDEX(SCNormDate,$L1994),INDEX(LdgDateB,$M1994)))</f>
        <v/>
      </c>
      <c r="C1994" s="24">
        <f>IF($L1994&lt;&gt;"",INDEX(SCOp,$L1994),IF($M1994&lt;&gt;"","پرداخت بانکی",""))</f>
        <v/>
      </c>
      <c r="D1994" s="24">
        <f>IF($L1994&lt;&gt;"",IF(INDEX(SCDoc,$L1994)="","—",INDEX(SCDoc,$L1994)),IF($M1994&lt;&gt;"",INDEX(LdgBankB,$M1994),""))</f>
        <v/>
      </c>
      <c r="E1994" s="25">
        <f>IF($L1994&lt;&gt;"",IF(INDEX(SCCitrus,$L1994)&amp;INDEX(SCNotes,$L1994)="","",IF(INDEX(SCCitrus,$L1994)="","",INDEX(SCCitrus,$L1994))&amp;IF(INDEX(SCNotes,$L1994)="",""," — "&amp;INDEX(SCNotes,$L1994))),IF($M1994&lt;&gt;"",IF(INDEX(LdgNoteB,$M1994)="","—",INDEX(LdgNoteB,$M1994)),""))</f>
        <v/>
      </c>
      <c r="F1994" s="26">
        <f>IF($L1994&lt;&gt;"",IF(INDEX(SCNet,$L1994)=0,"",INDEX(SCNet,$L1994)),"")</f>
        <v/>
      </c>
      <c r="G1994" s="27">
        <f>IF($L1994&lt;&gt;"",IF(INDEX(SCOp,$L1994)="مرجوعی فروش","",IF(INDEX(SCAmount,$L1994)&lt;=0,"",INDEX(SCAmount,$L1994))),IF($M1994&lt;&gt;"",IF(INDEX(LdgWitB,$M1994)=0,"",INDEX(LdgWitB,$M1994)),""))</f>
        <v/>
      </c>
      <c r="H1994" s="27">
        <f>IF($L1994&lt;&gt;"",IF(INDEX(SCOp,$L1994)="مرجوعی فروش",IF(INDEX(SCAmount,$L1994)=0,"",-INDEX(SCAmount,$L1994)),""),IF($M1994&lt;&gt;"",IF(INDEX(LdgDepB,$M1994)=0,"",INDEX(LdgDepB,$M1994)),""))</f>
        <v/>
      </c>
      <c r="I1994" s="28">
        <f>IF($B1994="","",IF($I1993="",$C$10,$I1993)+IF($G1994="",0,$G1994)-IF($H1994="",0,$H1994))</f>
        <v/>
      </c>
      <c r="L1994">
        <f>IFERROR(MATCH($C$5&amp;"|"&amp;RIGHT("000000"&amp;1978,6),LdgRankKeyA,0),"")</f>
        <v/>
      </c>
      <c r="M1994">
        <f>IFERROR(MATCH($C$5&amp;"|"&amp;RIGHT("000000"&amp;1978,6),LdgRankKeyB,0),"")</f>
        <v/>
      </c>
    </row>
    <row r="1995">
      <c r="A1995" s="17" t="n">
        <v>1979</v>
      </c>
      <c r="B1995" s="18">
        <f>IF(AND($L1995="",$M1995=""),"",IF($L1995&lt;&gt;"",INDEX(SCNormDate,$L1995),INDEX(LdgDateB,$M1995)))</f>
        <v/>
      </c>
      <c r="C1995" s="18">
        <f>IF($L1995&lt;&gt;"",INDEX(SCOp,$L1995),IF($M1995&lt;&gt;"","پرداخت بانکی",""))</f>
        <v/>
      </c>
      <c r="D1995" s="18">
        <f>IF($L1995&lt;&gt;"",IF(INDEX(SCDoc,$L1995)="","—",INDEX(SCDoc,$L1995)),IF($M1995&lt;&gt;"",INDEX(LdgBankB,$M1995),""))</f>
        <v/>
      </c>
      <c r="E1995" s="19">
        <f>IF($L1995&lt;&gt;"",IF(INDEX(SCCitrus,$L1995)&amp;INDEX(SCNotes,$L1995)="","",IF(INDEX(SCCitrus,$L1995)="","",INDEX(SCCitrus,$L1995))&amp;IF(INDEX(SCNotes,$L1995)="",""," — "&amp;INDEX(SCNotes,$L1995))),IF($M1995&lt;&gt;"",IF(INDEX(LdgNoteB,$M1995)="","—",INDEX(LdgNoteB,$M1995)),""))</f>
        <v/>
      </c>
      <c r="F1995" s="20">
        <f>IF($L1995&lt;&gt;"",IF(INDEX(SCNet,$L1995)=0,"",INDEX(SCNet,$L1995)),"")</f>
        <v/>
      </c>
      <c r="G1995" s="21">
        <f>IF($L1995&lt;&gt;"",IF(INDEX(SCOp,$L1995)="مرجوعی فروش","",IF(INDEX(SCAmount,$L1995)&lt;=0,"",INDEX(SCAmount,$L1995))),IF($M1995&lt;&gt;"",IF(INDEX(LdgWitB,$M1995)=0,"",INDEX(LdgWitB,$M1995)),""))</f>
        <v/>
      </c>
      <c r="H1995" s="21">
        <f>IF($L1995&lt;&gt;"",IF(INDEX(SCOp,$L1995)="مرجوعی فروش",IF(INDEX(SCAmount,$L1995)=0,"",-INDEX(SCAmount,$L1995)),""),IF($M1995&lt;&gt;"",IF(INDEX(LdgDepB,$M1995)=0,"",INDEX(LdgDepB,$M1995)),""))</f>
        <v/>
      </c>
      <c r="I1995" s="22">
        <f>IF($B1995="","",IF($I1994="",$C$10,$I1994)+IF($G1995="",0,$G1995)-IF($H1995="",0,$H1995))</f>
        <v/>
      </c>
      <c r="L1995">
        <f>IFERROR(MATCH($C$5&amp;"|"&amp;RIGHT("000000"&amp;1979,6),LdgRankKeyA,0),"")</f>
        <v/>
      </c>
      <c r="M1995">
        <f>IFERROR(MATCH($C$5&amp;"|"&amp;RIGHT("000000"&amp;1979,6),LdgRankKeyB,0),"")</f>
        <v/>
      </c>
    </row>
    <row r="1996">
      <c r="A1996" s="23" t="n">
        <v>1980</v>
      </c>
      <c r="B1996" s="24">
        <f>IF(AND($L1996="",$M1996=""),"",IF($L1996&lt;&gt;"",INDEX(SCNormDate,$L1996),INDEX(LdgDateB,$M1996)))</f>
        <v/>
      </c>
      <c r="C1996" s="24">
        <f>IF($L1996&lt;&gt;"",INDEX(SCOp,$L1996),IF($M1996&lt;&gt;"","پرداخت بانکی",""))</f>
        <v/>
      </c>
      <c r="D1996" s="24">
        <f>IF($L1996&lt;&gt;"",IF(INDEX(SCDoc,$L1996)="","—",INDEX(SCDoc,$L1996)),IF($M1996&lt;&gt;"",INDEX(LdgBankB,$M1996),""))</f>
        <v/>
      </c>
      <c r="E1996" s="25">
        <f>IF($L1996&lt;&gt;"",IF(INDEX(SCCitrus,$L1996)&amp;INDEX(SCNotes,$L1996)="","",IF(INDEX(SCCitrus,$L1996)="","",INDEX(SCCitrus,$L1996))&amp;IF(INDEX(SCNotes,$L1996)="",""," — "&amp;INDEX(SCNotes,$L1996))),IF($M1996&lt;&gt;"",IF(INDEX(LdgNoteB,$M1996)="","—",INDEX(LdgNoteB,$M1996)),""))</f>
        <v/>
      </c>
      <c r="F1996" s="26">
        <f>IF($L1996&lt;&gt;"",IF(INDEX(SCNet,$L1996)=0,"",INDEX(SCNet,$L1996)),"")</f>
        <v/>
      </c>
      <c r="G1996" s="27">
        <f>IF($L1996&lt;&gt;"",IF(INDEX(SCOp,$L1996)="مرجوعی فروش","",IF(INDEX(SCAmount,$L1996)&lt;=0,"",INDEX(SCAmount,$L1996))),IF($M1996&lt;&gt;"",IF(INDEX(LdgWitB,$M1996)=0,"",INDEX(LdgWitB,$M1996)),""))</f>
        <v/>
      </c>
      <c r="H1996" s="27">
        <f>IF($L1996&lt;&gt;"",IF(INDEX(SCOp,$L1996)="مرجوعی فروش",IF(INDEX(SCAmount,$L1996)=0,"",-INDEX(SCAmount,$L1996)),""),IF($M1996&lt;&gt;"",IF(INDEX(LdgDepB,$M1996)=0,"",INDEX(LdgDepB,$M1996)),""))</f>
        <v/>
      </c>
      <c r="I1996" s="28">
        <f>IF($B1996="","",IF($I1995="",$C$10,$I1995)+IF($G1996="",0,$G1996)-IF($H1996="",0,$H1996))</f>
        <v/>
      </c>
      <c r="L1996">
        <f>IFERROR(MATCH($C$5&amp;"|"&amp;RIGHT("000000"&amp;1980,6),LdgRankKeyA,0),"")</f>
        <v/>
      </c>
      <c r="M1996">
        <f>IFERROR(MATCH($C$5&amp;"|"&amp;RIGHT("000000"&amp;1980,6),LdgRankKeyB,0),"")</f>
        <v/>
      </c>
    </row>
    <row r="1997">
      <c r="A1997" s="17" t="n">
        <v>1981</v>
      </c>
      <c r="B1997" s="18">
        <f>IF(AND($L1997="",$M1997=""),"",IF($L1997&lt;&gt;"",INDEX(SCNormDate,$L1997),INDEX(LdgDateB,$M1997)))</f>
        <v/>
      </c>
      <c r="C1997" s="18">
        <f>IF($L1997&lt;&gt;"",INDEX(SCOp,$L1997),IF($M1997&lt;&gt;"","پرداخت بانکی",""))</f>
        <v/>
      </c>
      <c r="D1997" s="18">
        <f>IF($L1997&lt;&gt;"",IF(INDEX(SCDoc,$L1997)="","—",INDEX(SCDoc,$L1997)),IF($M1997&lt;&gt;"",INDEX(LdgBankB,$M1997),""))</f>
        <v/>
      </c>
      <c r="E1997" s="19">
        <f>IF($L1997&lt;&gt;"",IF(INDEX(SCCitrus,$L1997)&amp;INDEX(SCNotes,$L1997)="","",IF(INDEX(SCCitrus,$L1997)="","",INDEX(SCCitrus,$L1997))&amp;IF(INDEX(SCNotes,$L1997)="",""," — "&amp;INDEX(SCNotes,$L1997))),IF($M1997&lt;&gt;"",IF(INDEX(LdgNoteB,$M1997)="","—",INDEX(LdgNoteB,$M1997)),""))</f>
        <v/>
      </c>
      <c r="F1997" s="20">
        <f>IF($L1997&lt;&gt;"",IF(INDEX(SCNet,$L1997)=0,"",INDEX(SCNet,$L1997)),"")</f>
        <v/>
      </c>
      <c r="G1997" s="21">
        <f>IF($L1997&lt;&gt;"",IF(INDEX(SCOp,$L1997)="مرجوعی فروش","",IF(INDEX(SCAmount,$L1997)&lt;=0,"",INDEX(SCAmount,$L1997))),IF($M1997&lt;&gt;"",IF(INDEX(LdgWitB,$M1997)=0,"",INDEX(LdgWitB,$M1997)),""))</f>
        <v/>
      </c>
      <c r="H1997" s="21">
        <f>IF($L1997&lt;&gt;"",IF(INDEX(SCOp,$L1997)="مرجوعی فروش",IF(INDEX(SCAmount,$L1997)=0,"",-INDEX(SCAmount,$L1997)),""),IF($M1997&lt;&gt;"",IF(INDEX(LdgDepB,$M1997)=0,"",INDEX(LdgDepB,$M1997)),""))</f>
        <v/>
      </c>
      <c r="I1997" s="22">
        <f>IF($B1997="","",IF($I1996="",$C$10,$I1996)+IF($G1997="",0,$G1997)-IF($H1997="",0,$H1997))</f>
        <v/>
      </c>
      <c r="L1997">
        <f>IFERROR(MATCH($C$5&amp;"|"&amp;RIGHT("000000"&amp;1981,6),LdgRankKeyA,0),"")</f>
        <v/>
      </c>
      <c r="M1997">
        <f>IFERROR(MATCH($C$5&amp;"|"&amp;RIGHT("000000"&amp;1981,6),LdgRankKeyB,0),"")</f>
        <v/>
      </c>
    </row>
    <row r="1998">
      <c r="A1998" s="23" t="n">
        <v>1982</v>
      </c>
      <c r="B1998" s="24">
        <f>IF(AND($L1998="",$M1998=""),"",IF($L1998&lt;&gt;"",INDEX(SCNormDate,$L1998),INDEX(LdgDateB,$M1998)))</f>
        <v/>
      </c>
      <c r="C1998" s="24">
        <f>IF($L1998&lt;&gt;"",INDEX(SCOp,$L1998),IF($M1998&lt;&gt;"","پرداخت بانکی",""))</f>
        <v/>
      </c>
      <c r="D1998" s="24">
        <f>IF($L1998&lt;&gt;"",IF(INDEX(SCDoc,$L1998)="","—",INDEX(SCDoc,$L1998)),IF($M1998&lt;&gt;"",INDEX(LdgBankB,$M1998),""))</f>
        <v/>
      </c>
      <c r="E1998" s="25">
        <f>IF($L1998&lt;&gt;"",IF(INDEX(SCCitrus,$L1998)&amp;INDEX(SCNotes,$L1998)="","",IF(INDEX(SCCitrus,$L1998)="","",INDEX(SCCitrus,$L1998))&amp;IF(INDEX(SCNotes,$L1998)="",""," — "&amp;INDEX(SCNotes,$L1998))),IF($M1998&lt;&gt;"",IF(INDEX(LdgNoteB,$M1998)="","—",INDEX(LdgNoteB,$M1998)),""))</f>
        <v/>
      </c>
      <c r="F1998" s="26">
        <f>IF($L1998&lt;&gt;"",IF(INDEX(SCNet,$L1998)=0,"",INDEX(SCNet,$L1998)),"")</f>
        <v/>
      </c>
      <c r="G1998" s="27">
        <f>IF($L1998&lt;&gt;"",IF(INDEX(SCOp,$L1998)="مرجوعی فروش","",IF(INDEX(SCAmount,$L1998)&lt;=0,"",INDEX(SCAmount,$L1998))),IF($M1998&lt;&gt;"",IF(INDEX(LdgWitB,$M1998)=0,"",INDEX(LdgWitB,$M1998)),""))</f>
        <v/>
      </c>
      <c r="H1998" s="27">
        <f>IF($L1998&lt;&gt;"",IF(INDEX(SCOp,$L1998)="مرجوعی فروش",IF(INDEX(SCAmount,$L1998)=0,"",-INDEX(SCAmount,$L1998)),""),IF($M1998&lt;&gt;"",IF(INDEX(LdgDepB,$M1998)=0,"",INDEX(LdgDepB,$M1998)),""))</f>
        <v/>
      </c>
      <c r="I1998" s="28">
        <f>IF($B1998="","",IF($I1997="",$C$10,$I1997)+IF($G1998="",0,$G1998)-IF($H1998="",0,$H1998))</f>
        <v/>
      </c>
      <c r="L1998">
        <f>IFERROR(MATCH($C$5&amp;"|"&amp;RIGHT("000000"&amp;1982,6),LdgRankKeyA,0),"")</f>
        <v/>
      </c>
      <c r="M1998">
        <f>IFERROR(MATCH($C$5&amp;"|"&amp;RIGHT("000000"&amp;1982,6),LdgRankKeyB,0),"")</f>
        <v/>
      </c>
    </row>
    <row r="1999">
      <c r="A1999" s="17" t="n">
        <v>1983</v>
      </c>
      <c r="B1999" s="18">
        <f>IF(AND($L1999="",$M1999=""),"",IF($L1999&lt;&gt;"",INDEX(SCNormDate,$L1999),INDEX(LdgDateB,$M1999)))</f>
        <v/>
      </c>
      <c r="C1999" s="18">
        <f>IF($L1999&lt;&gt;"",INDEX(SCOp,$L1999),IF($M1999&lt;&gt;"","پرداخت بانکی",""))</f>
        <v/>
      </c>
      <c r="D1999" s="18">
        <f>IF($L1999&lt;&gt;"",IF(INDEX(SCDoc,$L1999)="","—",INDEX(SCDoc,$L1999)),IF($M1999&lt;&gt;"",INDEX(LdgBankB,$M1999),""))</f>
        <v/>
      </c>
      <c r="E1999" s="19">
        <f>IF($L1999&lt;&gt;"",IF(INDEX(SCCitrus,$L1999)&amp;INDEX(SCNotes,$L1999)="","",IF(INDEX(SCCitrus,$L1999)="","",INDEX(SCCitrus,$L1999))&amp;IF(INDEX(SCNotes,$L1999)="",""," — "&amp;INDEX(SCNotes,$L1999))),IF($M1999&lt;&gt;"",IF(INDEX(LdgNoteB,$M1999)="","—",INDEX(LdgNoteB,$M1999)),""))</f>
        <v/>
      </c>
      <c r="F1999" s="20">
        <f>IF($L1999&lt;&gt;"",IF(INDEX(SCNet,$L1999)=0,"",INDEX(SCNet,$L1999)),"")</f>
        <v/>
      </c>
      <c r="G1999" s="21">
        <f>IF($L1999&lt;&gt;"",IF(INDEX(SCOp,$L1999)="مرجوعی فروش","",IF(INDEX(SCAmount,$L1999)&lt;=0,"",INDEX(SCAmount,$L1999))),IF($M1999&lt;&gt;"",IF(INDEX(LdgWitB,$M1999)=0,"",INDEX(LdgWitB,$M1999)),""))</f>
        <v/>
      </c>
      <c r="H1999" s="21">
        <f>IF($L1999&lt;&gt;"",IF(INDEX(SCOp,$L1999)="مرجوعی فروش",IF(INDEX(SCAmount,$L1999)=0,"",-INDEX(SCAmount,$L1999)),""),IF($M1999&lt;&gt;"",IF(INDEX(LdgDepB,$M1999)=0,"",INDEX(LdgDepB,$M1999)),""))</f>
        <v/>
      </c>
      <c r="I1999" s="22">
        <f>IF($B1999="","",IF($I1998="",$C$10,$I1998)+IF($G1999="",0,$G1999)-IF($H1999="",0,$H1999))</f>
        <v/>
      </c>
      <c r="L1999">
        <f>IFERROR(MATCH($C$5&amp;"|"&amp;RIGHT("000000"&amp;1983,6),LdgRankKeyA,0),"")</f>
        <v/>
      </c>
      <c r="M1999">
        <f>IFERROR(MATCH($C$5&amp;"|"&amp;RIGHT("000000"&amp;1983,6),LdgRankKeyB,0),"")</f>
        <v/>
      </c>
    </row>
    <row r="2000">
      <c r="A2000" s="23" t="n">
        <v>1984</v>
      </c>
      <c r="B2000" s="24">
        <f>IF(AND($L2000="",$M2000=""),"",IF($L2000&lt;&gt;"",INDEX(SCNormDate,$L2000),INDEX(LdgDateB,$M2000)))</f>
        <v/>
      </c>
      <c r="C2000" s="24">
        <f>IF($L2000&lt;&gt;"",INDEX(SCOp,$L2000),IF($M2000&lt;&gt;"","پرداخت بانکی",""))</f>
        <v/>
      </c>
      <c r="D2000" s="24">
        <f>IF($L2000&lt;&gt;"",IF(INDEX(SCDoc,$L2000)="","—",INDEX(SCDoc,$L2000)),IF($M2000&lt;&gt;"",INDEX(LdgBankB,$M2000),""))</f>
        <v/>
      </c>
      <c r="E2000" s="25">
        <f>IF($L2000&lt;&gt;"",IF(INDEX(SCCitrus,$L2000)&amp;INDEX(SCNotes,$L2000)="","",IF(INDEX(SCCitrus,$L2000)="","",INDEX(SCCitrus,$L2000))&amp;IF(INDEX(SCNotes,$L2000)="",""," — "&amp;INDEX(SCNotes,$L2000))),IF($M2000&lt;&gt;"",IF(INDEX(LdgNoteB,$M2000)="","—",INDEX(LdgNoteB,$M2000)),""))</f>
        <v/>
      </c>
      <c r="F2000" s="26">
        <f>IF($L2000&lt;&gt;"",IF(INDEX(SCNet,$L2000)=0,"",INDEX(SCNet,$L2000)),"")</f>
        <v/>
      </c>
      <c r="G2000" s="27">
        <f>IF($L2000&lt;&gt;"",IF(INDEX(SCOp,$L2000)="مرجوعی فروش","",IF(INDEX(SCAmount,$L2000)&lt;=0,"",INDEX(SCAmount,$L2000))),IF($M2000&lt;&gt;"",IF(INDEX(LdgWitB,$M2000)=0,"",INDEX(LdgWitB,$M2000)),""))</f>
        <v/>
      </c>
      <c r="H2000" s="27">
        <f>IF($L2000&lt;&gt;"",IF(INDEX(SCOp,$L2000)="مرجوعی فروش",IF(INDEX(SCAmount,$L2000)=0,"",-INDEX(SCAmount,$L2000)),""),IF($M2000&lt;&gt;"",IF(INDEX(LdgDepB,$M2000)=0,"",INDEX(LdgDepB,$M2000)),""))</f>
        <v/>
      </c>
      <c r="I2000" s="28">
        <f>IF($B2000="","",IF($I1999="",$C$10,$I1999)+IF($G2000="",0,$G2000)-IF($H2000="",0,$H2000))</f>
        <v/>
      </c>
      <c r="L2000">
        <f>IFERROR(MATCH($C$5&amp;"|"&amp;RIGHT("000000"&amp;1984,6),LdgRankKeyA,0),"")</f>
        <v/>
      </c>
      <c r="M2000">
        <f>IFERROR(MATCH($C$5&amp;"|"&amp;RIGHT("000000"&amp;1984,6),LdgRankKeyB,0),"")</f>
        <v/>
      </c>
    </row>
    <row r="2001">
      <c r="A2001" s="17" t="n">
        <v>1985</v>
      </c>
      <c r="B2001" s="18">
        <f>IF(AND($L2001="",$M2001=""),"",IF($L2001&lt;&gt;"",INDEX(SCNormDate,$L2001),INDEX(LdgDateB,$M2001)))</f>
        <v/>
      </c>
      <c r="C2001" s="18">
        <f>IF($L2001&lt;&gt;"",INDEX(SCOp,$L2001),IF($M2001&lt;&gt;"","پرداخت بانکی",""))</f>
        <v/>
      </c>
      <c r="D2001" s="18">
        <f>IF($L2001&lt;&gt;"",IF(INDEX(SCDoc,$L2001)="","—",INDEX(SCDoc,$L2001)),IF($M2001&lt;&gt;"",INDEX(LdgBankB,$M2001),""))</f>
        <v/>
      </c>
      <c r="E2001" s="19">
        <f>IF($L2001&lt;&gt;"",IF(INDEX(SCCitrus,$L2001)&amp;INDEX(SCNotes,$L2001)="","",IF(INDEX(SCCitrus,$L2001)="","",INDEX(SCCitrus,$L2001))&amp;IF(INDEX(SCNotes,$L2001)="",""," — "&amp;INDEX(SCNotes,$L2001))),IF($M2001&lt;&gt;"",IF(INDEX(LdgNoteB,$M2001)="","—",INDEX(LdgNoteB,$M2001)),""))</f>
        <v/>
      </c>
      <c r="F2001" s="20">
        <f>IF($L2001&lt;&gt;"",IF(INDEX(SCNet,$L2001)=0,"",INDEX(SCNet,$L2001)),"")</f>
        <v/>
      </c>
      <c r="G2001" s="21">
        <f>IF($L2001&lt;&gt;"",IF(INDEX(SCOp,$L2001)="مرجوعی فروش","",IF(INDEX(SCAmount,$L2001)&lt;=0,"",INDEX(SCAmount,$L2001))),IF($M2001&lt;&gt;"",IF(INDEX(LdgWitB,$M2001)=0,"",INDEX(LdgWitB,$M2001)),""))</f>
        <v/>
      </c>
      <c r="H2001" s="21">
        <f>IF($L2001&lt;&gt;"",IF(INDEX(SCOp,$L2001)="مرجوعی فروش",IF(INDEX(SCAmount,$L2001)=0,"",-INDEX(SCAmount,$L2001)),""),IF($M2001&lt;&gt;"",IF(INDEX(LdgDepB,$M2001)=0,"",INDEX(LdgDepB,$M2001)),""))</f>
        <v/>
      </c>
      <c r="I2001" s="22">
        <f>IF($B2001="","",IF($I2000="",$C$10,$I2000)+IF($G2001="",0,$G2001)-IF($H2001="",0,$H2001))</f>
        <v/>
      </c>
      <c r="L2001">
        <f>IFERROR(MATCH($C$5&amp;"|"&amp;RIGHT("000000"&amp;1985,6),LdgRankKeyA,0),"")</f>
        <v/>
      </c>
      <c r="M2001">
        <f>IFERROR(MATCH($C$5&amp;"|"&amp;RIGHT("000000"&amp;1985,6),LdgRankKeyB,0),"")</f>
        <v/>
      </c>
    </row>
    <row r="2002">
      <c r="A2002" s="23" t="n">
        <v>1986</v>
      </c>
      <c r="B2002" s="24">
        <f>IF(AND($L2002="",$M2002=""),"",IF($L2002&lt;&gt;"",INDEX(SCNormDate,$L2002),INDEX(LdgDateB,$M2002)))</f>
        <v/>
      </c>
      <c r="C2002" s="24">
        <f>IF($L2002&lt;&gt;"",INDEX(SCOp,$L2002),IF($M2002&lt;&gt;"","پرداخت بانکی",""))</f>
        <v/>
      </c>
      <c r="D2002" s="24">
        <f>IF($L2002&lt;&gt;"",IF(INDEX(SCDoc,$L2002)="","—",INDEX(SCDoc,$L2002)),IF($M2002&lt;&gt;"",INDEX(LdgBankB,$M2002),""))</f>
        <v/>
      </c>
      <c r="E2002" s="25">
        <f>IF($L2002&lt;&gt;"",IF(INDEX(SCCitrus,$L2002)&amp;INDEX(SCNotes,$L2002)="","",IF(INDEX(SCCitrus,$L2002)="","",INDEX(SCCitrus,$L2002))&amp;IF(INDEX(SCNotes,$L2002)="",""," — "&amp;INDEX(SCNotes,$L2002))),IF($M2002&lt;&gt;"",IF(INDEX(LdgNoteB,$M2002)="","—",INDEX(LdgNoteB,$M2002)),""))</f>
        <v/>
      </c>
      <c r="F2002" s="26">
        <f>IF($L2002&lt;&gt;"",IF(INDEX(SCNet,$L2002)=0,"",INDEX(SCNet,$L2002)),"")</f>
        <v/>
      </c>
      <c r="G2002" s="27">
        <f>IF($L2002&lt;&gt;"",IF(INDEX(SCOp,$L2002)="مرجوعی فروش","",IF(INDEX(SCAmount,$L2002)&lt;=0,"",INDEX(SCAmount,$L2002))),IF($M2002&lt;&gt;"",IF(INDEX(LdgWitB,$M2002)=0,"",INDEX(LdgWitB,$M2002)),""))</f>
        <v/>
      </c>
      <c r="H2002" s="27">
        <f>IF($L2002&lt;&gt;"",IF(INDEX(SCOp,$L2002)="مرجوعی فروش",IF(INDEX(SCAmount,$L2002)=0,"",-INDEX(SCAmount,$L2002)),""),IF($M2002&lt;&gt;"",IF(INDEX(LdgDepB,$M2002)=0,"",INDEX(LdgDepB,$M2002)),""))</f>
        <v/>
      </c>
      <c r="I2002" s="28">
        <f>IF($B2002="","",IF($I2001="",$C$10,$I2001)+IF($G2002="",0,$G2002)-IF($H2002="",0,$H2002))</f>
        <v/>
      </c>
      <c r="L2002">
        <f>IFERROR(MATCH($C$5&amp;"|"&amp;RIGHT("000000"&amp;1986,6),LdgRankKeyA,0),"")</f>
        <v/>
      </c>
      <c r="M2002">
        <f>IFERROR(MATCH($C$5&amp;"|"&amp;RIGHT("000000"&amp;1986,6),LdgRankKeyB,0),"")</f>
        <v/>
      </c>
    </row>
    <row r="2003">
      <c r="A2003" s="17" t="n">
        <v>1987</v>
      </c>
      <c r="B2003" s="18">
        <f>IF(AND($L2003="",$M2003=""),"",IF($L2003&lt;&gt;"",INDEX(SCNormDate,$L2003),INDEX(LdgDateB,$M2003)))</f>
        <v/>
      </c>
      <c r="C2003" s="18">
        <f>IF($L2003&lt;&gt;"",INDEX(SCOp,$L2003),IF($M2003&lt;&gt;"","پرداخت بانکی",""))</f>
        <v/>
      </c>
      <c r="D2003" s="18">
        <f>IF($L2003&lt;&gt;"",IF(INDEX(SCDoc,$L2003)="","—",INDEX(SCDoc,$L2003)),IF($M2003&lt;&gt;"",INDEX(LdgBankB,$M2003),""))</f>
        <v/>
      </c>
      <c r="E2003" s="19">
        <f>IF($L2003&lt;&gt;"",IF(INDEX(SCCitrus,$L2003)&amp;INDEX(SCNotes,$L2003)="","",IF(INDEX(SCCitrus,$L2003)="","",INDEX(SCCitrus,$L2003))&amp;IF(INDEX(SCNotes,$L2003)="",""," — "&amp;INDEX(SCNotes,$L2003))),IF($M2003&lt;&gt;"",IF(INDEX(LdgNoteB,$M2003)="","—",INDEX(LdgNoteB,$M2003)),""))</f>
        <v/>
      </c>
      <c r="F2003" s="20">
        <f>IF($L2003&lt;&gt;"",IF(INDEX(SCNet,$L2003)=0,"",INDEX(SCNet,$L2003)),"")</f>
        <v/>
      </c>
      <c r="G2003" s="21">
        <f>IF($L2003&lt;&gt;"",IF(INDEX(SCOp,$L2003)="مرجوعی فروش","",IF(INDEX(SCAmount,$L2003)&lt;=0,"",INDEX(SCAmount,$L2003))),IF($M2003&lt;&gt;"",IF(INDEX(LdgWitB,$M2003)=0,"",INDEX(LdgWitB,$M2003)),""))</f>
        <v/>
      </c>
      <c r="H2003" s="21">
        <f>IF($L2003&lt;&gt;"",IF(INDEX(SCOp,$L2003)="مرجوعی فروش",IF(INDEX(SCAmount,$L2003)=0,"",-INDEX(SCAmount,$L2003)),""),IF($M2003&lt;&gt;"",IF(INDEX(LdgDepB,$M2003)=0,"",INDEX(LdgDepB,$M2003)),""))</f>
        <v/>
      </c>
      <c r="I2003" s="22">
        <f>IF($B2003="","",IF($I2002="",$C$10,$I2002)+IF($G2003="",0,$G2003)-IF($H2003="",0,$H2003))</f>
        <v/>
      </c>
      <c r="L2003">
        <f>IFERROR(MATCH($C$5&amp;"|"&amp;RIGHT("000000"&amp;1987,6),LdgRankKeyA,0),"")</f>
        <v/>
      </c>
      <c r="M2003">
        <f>IFERROR(MATCH($C$5&amp;"|"&amp;RIGHT("000000"&amp;1987,6),LdgRankKeyB,0),"")</f>
        <v/>
      </c>
    </row>
    <row r="2004">
      <c r="A2004" s="23" t="n">
        <v>1988</v>
      </c>
      <c r="B2004" s="24">
        <f>IF(AND($L2004="",$M2004=""),"",IF($L2004&lt;&gt;"",INDEX(SCNormDate,$L2004),INDEX(LdgDateB,$M2004)))</f>
        <v/>
      </c>
      <c r="C2004" s="24">
        <f>IF($L2004&lt;&gt;"",INDEX(SCOp,$L2004),IF($M2004&lt;&gt;"","پرداخت بانکی",""))</f>
        <v/>
      </c>
      <c r="D2004" s="24">
        <f>IF($L2004&lt;&gt;"",IF(INDEX(SCDoc,$L2004)="","—",INDEX(SCDoc,$L2004)),IF($M2004&lt;&gt;"",INDEX(LdgBankB,$M2004),""))</f>
        <v/>
      </c>
      <c r="E2004" s="25">
        <f>IF($L2004&lt;&gt;"",IF(INDEX(SCCitrus,$L2004)&amp;INDEX(SCNotes,$L2004)="","",IF(INDEX(SCCitrus,$L2004)="","",INDEX(SCCitrus,$L2004))&amp;IF(INDEX(SCNotes,$L2004)="",""," — "&amp;INDEX(SCNotes,$L2004))),IF($M2004&lt;&gt;"",IF(INDEX(LdgNoteB,$M2004)="","—",INDEX(LdgNoteB,$M2004)),""))</f>
        <v/>
      </c>
      <c r="F2004" s="26">
        <f>IF($L2004&lt;&gt;"",IF(INDEX(SCNet,$L2004)=0,"",INDEX(SCNet,$L2004)),"")</f>
        <v/>
      </c>
      <c r="G2004" s="27">
        <f>IF($L2004&lt;&gt;"",IF(INDEX(SCOp,$L2004)="مرجوعی فروش","",IF(INDEX(SCAmount,$L2004)&lt;=0,"",INDEX(SCAmount,$L2004))),IF($M2004&lt;&gt;"",IF(INDEX(LdgWitB,$M2004)=0,"",INDEX(LdgWitB,$M2004)),""))</f>
        <v/>
      </c>
      <c r="H2004" s="27">
        <f>IF($L2004&lt;&gt;"",IF(INDEX(SCOp,$L2004)="مرجوعی فروش",IF(INDEX(SCAmount,$L2004)=0,"",-INDEX(SCAmount,$L2004)),""),IF($M2004&lt;&gt;"",IF(INDEX(LdgDepB,$M2004)=0,"",INDEX(LdgDepB,$M2004)),""))</f>
        <v/>
      </c>
      <c r="I2004" s="28">
        <f>IF($B2004="","",IF($I2003="",$C$10,$I2003)+IF($G2004="",0,$G2004)-IF($H2004="",0,$H2004))</f>
        <v/>
      </c>
      <c r="L2004">
        <f>IFERROR(MATCH($C$5&amp;"|"&amp;RIGHT("000000"&amp;1988,6),LdgRankKeyA,0),"")</f>
        <v/>
      </c>
      <c r="M2004">
        <f>IFERROR(MATCH($C$5&amp;"|"&amp;RIGHT("000000"&amp;1988,6),LdgRankKeyB,0),"")</f>
        <v/>
      </c>
    </row>
    <row r="2005">
      <c r="A2005" s="17" t="n">
        <v>1989</v>
      </c>
      <c r="B2005" s="18">
        <f>IF(AND($L2005="",$M2005=""),"",IF($L2005&lt;&gt;"",INDEX(SCNormDate,$L2005),INDEX(LdgDateB,$M2005)))</f>
        <v/>
      </c>
      <c r="C2005" s="18">
        <f>IF($L2005&lt;&gt;"",INDEX(SCOp,$L2005),IF($M2005&lt;&gt;"","پرداخت بانکی",""))</f>
        <v/>
      </c>
      <c r="D2005" s="18">
        <f>IF($L2005&lt;&gt;"",IF(INDEX(SCDoc,$L2005)="","—",INDEX(SCDoc,$L2005)),IF($M2005&lt;&gt;"",INDEX(LdgBankB,$M2005),""))</f>
        <v/>
      </c>
      <c r="E2005" s="19">
        <f>IF($L2005&lt;&gt;"",IF(INDEX(SCCitrus,$L2005)&amp;INDEX(SCNotes,$L2005)="","",IF(INDEX(SCCitrus,$L2005)="","",INDEX(SCCitrus,$L2005))&amp;IF(INDEX(SCNotes,$L2005)="",""," — "&amp;INDEX(SCNotes,$L2005))),IF($M2005&lt;&gt;"",IF(INDEX(LdgNoteB,$M2005)="","—",INDEX(LdgNoteB,$M2005)),""))</f>
        <v/>
      </c>
      <c r="F2005" s="20">
        <f>IF($L2005&lt;&gt;"",IF(INDEX(SCNet,$L2005)=0,"",INDEX(SCNet,$L2005)),"")</f>
        <v/>
      </c>
      <c r="G2005" s="21">
        <f>IF($L2005&lt;&gt;"",IF(INDEX(SCOp,$L2005)="مرجوعی فروش","",IF(INDEX(SCAmount,$L2005)&lt;=0,"",INDEX(SCAmount,$L2005))),IF($M2005&lt;&gt;"",IF(INDEX(LdgWitB,$M2005)=0,"",INDEX(LdgWitB,$M2005)),""))</f>
        <v/>
      </c>
      <c r="H2005" s="21">
        <f>IF($L2005&lt;&gt;"",IF(INDEX(SCOp,$L2005)="مرجوعی فروش",IF(INDEX(SCAmount,$L2005)=0,"",-INDEX(SCAmount,$L2005)),""),IF($M2005&lt;&gt;"",IF(INDEX(LdgDepB,$M2005)=0,"",INDEX(LdgDepB,$M2005)),""))</f>
        <v/>
      </c>
      <c r="I2005" s="22">
        <f>IF($B2005="","",IF($I2004="",$C$10,$I2004)+IF($G2005="",0,$G2005)-IF($H2005="",0,$H2005))</f>
        <v/>
      </c>
      <c r="L2005">
        <f>IFERROR(MATCH($C$5&amp;"|"&amp;RIGHT("000000"&amp;1989,6),LdgRankKeyA,0),"")</f>
        <v/>
      </c>
      <c r="M2005">
        <f>IFERROR(MATCH($C$5&amp;"|"&amp;RIGHT("000000"&amp;1989,6),LdgRankKeyB,0),"")</f>
        <v/>
      </c>
    </row>
    <row r="2006">
      <c r="A2006" s="23" t="n">
        <v>1990</v>
      </c>
      <c r="B2006" s="24">
        <f>IF(AND($L2006="",$M2006=""),"",IF($L2006&lt;&gt;"",INDEX(SCNormDate,$L2006),INDEX(LdgDateB,$M2006)))</f>
        <v/>
      </c>
      <c r="C2006" s="24">
        <f>IF($L2006&lt;&gt;"",INDEX(SCOp,$L2006),IF($M2006&lt;&gt;"","پرداخت بانکی",""))</f>
        <v/>
      </c>
      <c r="D2006" s="24">
        <f>IF($L2006&lt;&gt;"",IF(INDEX(SCDoc,$L2006)="","—",INDEX(SCDoc,$L2006)),IF($M2006&lt;&gt;"",INDEX(LdgBankB,$M2006),""))</f>
        <v/>
      </c>
      <c r="E2006" s="25">
        <f>IF($L2006&lt;&gt;"",IF(INDEX(SCCitrus,$L2006)&amp;INDEX(SCNotes,$L2006)="","",IF(INDEX(SCCitrus,$L2006)="","",INDEX(SCCitrus,$L2006))&amp;IF(INDEX(SCNotes,$L2006)="",""," — "&amp;INDEX(SCNotes,$L2006))),IF($M2006&lt;&gt;"",IF(INDEX(LdgNoteB,$M2006)="","—",INDEX(LdgNoteB,$M2006)),""))</f>
        <v/>
      </c>
      <c r="F2006" s="26">
        <f>IF($L2006&lt;&gt;"",IF(INDEX(SCNet,$L2006)=0,"",INDEX(SCNet,$L2006)),"")</f>
        <v/>
      </c>
      <c r="G2006" s="27">
        <f>IF($L2006&lt;&gt;"",IF(INDEX(SCOp,$L2006)="مرجوعی فروش","",IF(INDEX(SCAmount,$L2006)&lt;=0,"",INDEX(SCAmount,$L2006))),IF($M2006&lt;&gt;"",IF(INDEX(LdgWitB,$M2006)=0,"",INDEX(LdgWitB,$M2006)),""))</f>
        <v/>
      </c>
      <c r="H2006" s="27">
        <f>IF($L2006&lt;&gt;"",IF(INDEX(SCOp,$L2006)="مرجوعی فروش",IF(INDEX(SCAmount,$L2006)=0,"",-INDEX(SCAmount,$L2006)),""),IF($M2006&lt;&gt;"",IF(INDEX(LdgDepB,$M2006)=0,"",INDEX(LdgDepB,$M2006)),""))</f>
        <v/>
      </c>
      <c r="I2006" s="28">
        <f>IF($B2006="","",IF($I2005="",$C$10,$I2005)+IF($G2006="",0,$G2006)-IF($H2006="",0,$H2006))</f>
        <v/>
      </c>
      <c r="L2006">
        <f>IFERROR(MATCH($C$5&amp;"|"&amp;RIGHT("000000"&amp;1990,6),LdgRankKeyA,0),"")</f>
        <v/>
      </c>
      <c r="M2006">
        <f>IFERROR(MATCH($C$5&amp;"|"&amp;RIGHT("000000"&amp;1990,6),LdgRankKeyB,0),"")</f>
        <v/>
      </c>
    </row>
    <row r="2007">
      <c r="A2007" s="17" t="n">
        <v>1991</v>
      </c>
      <c r="B2007" s="18">
        <f>IF(AND($L2007="",$M2007=""),"",IF($L2007&lt;&gt;"",INDEX(SCNormDate,$L2007),INDEX(LdgDateB,$M2007)))</f>
        <v/>
      </c>
      <c r="C2007" s="18">
        <f>IF($L2007&lt;&gt;"",INDEX(SCOp,$L2007),IF($M2007&lt;&gt;"","پرداخت بانکی",""))</f>
        <v/>
      </c>
      <c r="D2007" s="18">
        <f>IF($L2007&lt;&gt;"",IF(INDEX(SCDoc,$L2007)="","—",INDEX(SCDoc,$L2007)),IF($M2007&lt;&gt;"",INDEX(LdgBankB,$M2007),""))</f>
        <v/>
      </c>
      <c r="E2007" s="19">
        <f>IF($L2007&lt;&gt;"",IF(INDEX(SCCitrus,$L2007)&amp;INDEX(SCNotes,$L2007)="","",IF(INDEX(SCCitrus,$L2007)="","",INDEX(SCCitrus,$L2007))&amp;IF(INDEX(SCNotes,$L2007)="",""," — "&amp;INDEX(SCNotes,$L2007))),IF($M2007&lt;&gt;"",IF(INDEX(LdgNoteB,$M2007)="","—",INDEX(LdgNoteB,$M2007)),""))</f>
        <v/>
      </c>
      <c r="F2007" s="20">
        <f>IF($L2007&lt;&gt;"",IF(INDEX(SCNet,$L2007)=0,"",INDEX(SCNet,$L2007)),"")</f>
        <v/>
      </c>
      <c r="G2007" s="21">
        <f>IF($L2007&lt;&gt;"",IF(INDEX(SCOp,$L2007)="مرجوعی فروش","",IF(INDEX(SCAmount,$L2007)&lt;=0,"",INDEX(SCAmount,$L2007))),IF($M2007&lt;&gt;"",IF(INDEX(LdgWitB,$M2007)=0,"",INDEX(LdgWitB,$M2007)),""))</f>
        <v/>
      </c>
      <c r="H2007" s="21">
        <f>IF($L2007&lt;&gt;"",IF(INDEX(SCOp,$L2007)="مرجوعی فروش",IF(INDEX(SCAmount,$L2007)=0,"",-INDEX(SCAmount,$L2007)),""),IF($M2007&lt;&gt;"",IF(INDEX(LdgDepB,$M2007)=0,"",INDEX(LdgDepB,$M2007)),""))</f>
        <v/>
      </c>
      <c r="I2007" s="22">
        <f>IF($B2007="","",IF($I2006="",$C$10,$I2006)+IF($G2007="",0,$G2007)-IF($H2007="",0,$H2007))</f>
        <v/>
      </c>
      <c r="L2007">
        <f>IFERROR(MATCH($C$5&amp;"|"&amp;RIGHT("000000"&amp;1991,6),LdgRankKeyA,0),"")</f>
        <v/>
      </c>
      <c r="M2007">
        <f>IFERROR(MATCH($C$5&amp;"|"&amp;RIGHT("000000"&amp;1991,6),LdgRankKeyB,0),"")</f>
        <v/>
      </c>
    </row>
    <row r="2008">
      <c r="A2008" s="23" t="n">
        <v>1992</v>
      </c>
      <c r="B2008" s="24">
        <f>IF(AND($L2008="",$M2008=""),"",IF($L2008&lt;&gt;"",INDEX(SCNormDate,$L2008),INDEX(LdgDateB,$M2008)))</f>
        <v/>
      </c>
      <c r="C2008" s="24">
        <f>IF($L2008&lt;&gt;"",INDEX(SCOp,$L2008),IF($M2008&lt;&gt;"","پرداخت بانکی",""))</f>
        <v/>
      </c>
      <c r="D2008" s="24">
        <f>IF($L2008&lt;&gt;"",IF(INDEX(SCDoc,$L2008)="","—",INDEX(SCDoc,$L2008)),IF($M2008&lt;&gt;"",INDEX(LdgBankB,$M2008),""))</f>
        <v/>
      </c>
      <c r="E2008" s="25">
        <f>IF($L2008&lt;&gt;"",IF(INDEX(SCCitrus,$L2008)&amp;INDEX(SCNotes,$L2008)="","",IF(INDEX(SCCitrus,$L2008)="","",INDEX(SCCitrus,$L2008))&amp;IF(INDEX(SCNotes,$L2008)="",""," — "&amp;INDEX(SCNotes,$L2008))),IF($M2008&lt;&gt;"",IF(INDEX(LdgNoteB,$M2008)="","—",INDEX(LdgNoteB,$M2008)),""))</f>
        <v/>
      </c>
      <c r="F2008" s="26">
        <f>IF($L2008&lt;&gt;"",IF(INDEX(SCNet,$L2008)=0,"",INDEX(SCNet,$L2008)),"")</f>
        <v/>
      </c>
      <c r="G2008" s="27">
        <f>IF($L2008&lt;&gt;"",IF(INDEX(SCOp,$L2008)="مرجوعی فروش","",IF(INDEX(SCAmount,$L2008)&lt;=0,"",INDEX(SCAmount,$L2008))),IF($M2008&lt;&gt;"",IF(INDEX(LdgWitB,$M2008)=0,"",INDEX(LdgWitB,$M2008)),""))</f>
        <v/>
      </c>
      <c r="H2008" s="27">
        <f>IF($L2008&lt;&gt;"",IF(INDEX(SCOp,$L2008)="مرجوعی فروش",IF(INDEX(SCAmount,$L2008)=0,"",-INDEX(SCAmount,$L2008)),""),IF($M2008&lt;&gt;"",IF(INDEX(LdgDepB,$M2008)=0,"",INDEX(LdgDepB,$M2008)),""))</f>
        <v/>
      </c>
      <c r="I2008" s="28">
        <f>IF($B2008="","",IF($I2007="",$C$10,$I2007)+IF($G2008="",0,$G2008)-IF($H2008="",0,$H2008))</f>
        <v/>
      </c>
      <c r="L2008">
        <f>IFERROR(MATCH($C$5&amp;"|"&amp;RIGHT("000000"&amp;1992,6),LdgRankKeyA,0),"")</f>
        <v/>
      </c>
      <c r="M2008">
        <f>IFERROR(MATCH($C$5&amp;"|"&amp;RIGHT("000000"&amp;1992,6),LdgRankKeyB,0),"")</f>
        <v/>
      </c>
    </row>
    <row r="2009">
      <c r="A2009" s="17" t="n">
        <v>1993</v>
      </c>
      <c r="B2009" s="18">
        <f>IF(AND($L2009="",$M2009=""),"",IF($L2009&lt;&gt;"",INDEX(SCNormDate,$L2009),INDEX(LdgDateB,$M2009)))</f>
        <v/>
      </c>
      <c r="C2009" s="18">
        <f>IF($L2009&lt;&gt;"",INDEX(SCOp,$L2009),IF($M2009&lt;&gt;"","پرداخت بانکی",""))</f>
        <v/>
      </c>
      <c r="D2009" s="18">
        <f>IF($L2009&lt;&gt;"",IF(INDEX(SCDoc,$L2009)="","—",INDEX(SCDoc,$L2009)),IF($M2009&lt;&gt;"",INDEX(LdgBankB,$M2009),""))</f>
        <v/>
      </c>
      <c r="E2009" s="19">
        <f>IF($L2009&lt;&gt;"",IF(INDEX(SCCitrus,$L2009)&amp;INDEX(SCNotes,$L2009)="","",IF(INDEX(SCCitrus,$L2009)="","",INDEX(SCCitrus,$L2009))&amp;IF(INDEX(SCNotes,$L2009)="",""," — "&amp;INDEX(SCNotes,$L2009))),IF($M2009&lt;&gt;"",IF(INDEX(LdgNoteB,$M2009)="","—",INDEX(LdgNoteB,$M2009)),""))</f>
        <v/>
      </c>
      <c r="F2009" s="20">
        <f>IF($L2009&lt;&gt;"",IF(INDEX(SCNet,$L2009)=0,"",INDEX(SCNet,$L2009)),"")</f>
        <v/>
      </c>
      <c r="G2009" s="21">
        <f>IF($L2009&lt;&gt;"",IF(INDEX(SCOp,$L2009)="مرجوعی فروش","",IF(INDEX(SCAmount,$L2009)&lt;=0,"",INDEX(SCAmount,$L2009))),IF($M2009&lt;&gt;"",IF(INDEX(LdgWitB,$M2009)=0,"",INDEX(LdgWitB,$M2009)),""))</f>
        <v/>
      </c>
      <c r="H2009" s="21">
        <f>IF($L2009&lt;&gt;"",IF(INDEX(SCOp,$L2009)="مرجوعی فروش",IF(INDEX(SCAmount,$L2009)=0,"",-INDEX(SCAmount,$L2009)),""),IF($M2009&lt;&gt;"",IF(INDEX(LdgDepB,$M2009)=0,"",INDEX(LdgDepB,$M2009)),""))</f>
        <v/>
      </c>
      <c r="I2009" s="22">
        <f>IF($B2009="","",IF($I2008="",$C$10,$I2008)+IF($G2009="",0,$G2009)-IF($H2009="",0,$H2009))</f>
        <v/>
      </c>
      <c r="L2009">
        <f>IFERROR(MATCH($C$5&amp;"|"&amp;RIGHT("000000"&amp;1993,6),LdgRankKeyA,0),"")</f>
        <v/>
      </c>
      <c r="M2009">
        <f>IFERROR(MATCH($C$5&amp;"|"&amp;RIGHT("000000"&amp;1993,6),LdgRankKeyB,0),"")</f>
        <v/>
      </c>
    </row>
    <row r="2010">
      <c r="A2010" s="23" t="n">
        <v>1994</v>
      </c>
      <c r="B2010" s="24">
        <f>IF(AND($L2010="",$M2010=""),"",IF($L2010&lt;&gt;"",INDEX(SCNormDate,$L2010),INDEX(LdgDateB,$M2010)))</f>
        <v/>
      </c>
      <c r="C2010" s="24">
        <f>IF($L2010&lt;&gt;"",INDEX(SCOp,$L2010),IF($M2010&lt;&gt;"","پرداخت بانکی",""))</f>
        <v/>
      </c>
      <c r="D2010" s="24">
        <f>IF($L2010&lt;&gt;"",IF(INDEX(SCDoc,$L2010)="","—",INDEX(SCDoc,$L2010)),IF($M2010&lt;&gt;"",INDEX(LdgBankB,$M2010),""))</f>
        <v/>
      </c>
      <c r="E2010" s="25">
        <f>IF($L2010&lt;&gt;"",IF(INDEX(SCCitrus,$L2010)&amp;INDEX(SCNotes,$L2010)="","",IF(INDEX(SCCitrus,$L2010)="","",INDEX(SCCitrus,$L2010))&amp;IF(INDEX(SCNotes,$L2010)="",""," — "&amp;INDEX(SCNotes,$L2010))),IF($M2010&lt;&gt;"",IF(INDEX(LdgNoteB,$M2010)="","—",INDEX(LdgNoteB,$M2010)),""))</f>
        <v/>
      </c>
      <c r="F2010" s="26">
        <f>IF($L2010&lt;&gt;"",IF(INDEX(SCNet,$L2010)=0,"",INDEX(SCNet,$L2010)),"")</f>
        <v/>
      </c>
      <c r="G2010" s="27">
        <f>IF($L2010&lt;&gt;"",IF(INDEX(SCOp,$L2010)="مرجوعی فروش","",IF(INDEX(SCAmount,$L2010)&lt;=0,"",INDEX(SCAmount,$L2010))),IF($M2010&lt;&gt;"",IF(INDEX(LdgWitB,$M2010)=0,"",INDEX(LdgWitB,$M2010)),""))</f>
        <v/>
      </c>
      <c r="H2010" s="27">
        <f>IF($L2010&lt;&gt;"",IF(INDEX(SCOp,$L2010)="مرجوعی فروش",IF(INDEX(SCAmount,$L2010)=0,"",-INDEX(SCAmount,$L2010)),""),IF($M2010&lt;&gt;"",IF(INDEX(LdgDepB,$M2010)=0,"",INDEX(LdgDepB,$M2010)),""))</f>
        <v/>
      </c>
      <c r="I2010" s="28">
        <f>IF($B2010="","",IF($I2009="",$C$10,$I2009)+IF($G2010="",0,$G2010)-IF($H2010="",0,$H2010))</f>
        <v/>
      </c>
      <c r="L2010">
        <f>IFERROR(MATCH($C$5&amp;"|"&amp;RIGHT("000000"&amp;1994,6),LdgRankKeyA,0),"")</f>
        <v/>
      </c>
      <c r="M2010">
        <f>IFERROR(MATCH($C$5&amp;"|"&amp;RIGHT("000000"&amp;1994,6),LdgRankKeyB,0),"")</f>
        <v/>
      </c>
    </row>
    <row r="2011">
      <c r="A2011" s="17" t="n">
        <v>1995</v>
      </c>
      <c r="B2011" s="18">
        <f>IF(AND($L2011="",$M2011=""),"",IF($L2011&lt;&gt;"",INDEX(SCNormDate,$L2011),INDEX(LdgDateB,$M2011)))</f>
        <v/>
      </c>
      <c r="C2011" s="18">
        <f>IF($L2011&lt;&gt;"",INDEX(SCOp,$L2011),IF($M2011&lt;&gt;"","پرداخت بانکی",""))</f>
        <v/>
      </c>
      <c r="D2011" s="18">
        <f>IF($L2011&lt;&gt;"",IF(INDEX(SCDoc,$L2011)="","—",INDEX(SCDoc,$L2011)),IF($M2011&lt;&gt;"",INDEX(LdgBankB,$M2011),""))</f>
        <v/>
      </c>
      <c r="E2011" s="19">
        <f>IF($L2011&lt;&gt;"",IF(INDEX(SCCitrus,$L2011)&amp;INDEX(SCNotes,$L2011)="","",IF(INDEX(SCCitrus,$L2011)="","",INDEX(SCCitrus,$L2011))&amp;IF(INDEX(SCNotes,$L2011)="",""," — "&amp;INDEX(SCNotes,$L2011))),IF($M2011&lt;&gt;"",IF(INDEX(LdgNoteB,$M2011)="","—",INDEX(LdgNoteB,$M2011)),""))</f>
        <v/>
      </c>
      <c r="F2011" s="20">
        <f>IF($L2011&lt;&gt;"",IF(INDEX(SCNet,$L2011)=0,"",INDEX(SCNet,$L2011)),"")</f>
        <v/>
      </c>
      <c r="G2011" s="21">
        <f>IF($L2011&lt;&gt;"",IF(INDEX(SCOp,$L2011)="مرجوعی فروش","",IF(INDEX(SCAmount,$L2011)&lt;=0,"",INDEX(SCAmount,$L2011))),IF($M2011&lt;&gt;"",IF(INDEX(LdgWitB,$M2011)=0,"",INDEX(LdgWitB,$M2011)),""))</f>
        <v/>
      </c>
      <c r="H2011" s="21">
        <f>IF($L2011&lt;&gt;"",IF(INDEX(SCOp,$L2011)="مرجوعی فروش",IF(INDEX(SCAmount,$L2011)=0,"",-INDEX(SCAmount,$L2011)),""),IF($M2011&lt;&gt;"",IF(INDEX(LdgDepB,$M2011)=0,"",INDEX(LdgDepB,$M2011)),""))</f>
        <v/>
      </c>
      <c r="I2011" s="22">
        <f>IF($B2011="","",IF($I2010="",$C$10,$I2010)+IF($G2011="",0,$G2011)-IF($H2011="",0,$H2011))</f>
        <v/>
      </c>
      <c r="L2011">
        <f>IFERROR(MATCH($C$5&amp;"|"&amp;RIGHT("000000"&amp;1995,6),LdgRankKeyA,0),"")</f>
        <v/>
      </c>
      <c r="M2011">
        <f>IFERROR(MATCH($C$5&amp;"|"&amp;RIGHT("000000"&amp;1995,6),LdgRankKeyB,0),"")</f>
        <v/>
      </c>
    </row>
    <row r="2012">
      <c r="A2012" s="23" t="n">
        <v>1996</v>
      </c>
      <c r="B2012" s="24">
        <f>IF(AND($L2012="",$M2012=""),"",IF($L2012&lt;&gt;"",INDEX(SCNormDate,$L2012),INDEX(LdgDateB,$M2012)))</f>
        <v/>
      </c>
      <c r="C2012" s="24">
        <f>IF($L2012&lt;&gt;"",INDEX(SCOp,$L2012),IF($M2012&lt;&gt;"","پرداخت بانکی",""))</f>
        <v/>
      </c>
      <c r="D2012" s="24">
        <f>IF($L2012&lt;&gt;"",IF(INDEX(SCDoc,$L2012)="","—",INDEX(SCDoc,$L2012)),IF($M2012&lt;&gt;"",INDEX(LdgBankB,$M2012),""))</f>
        <v/>
      </c>
      <c r="E2012" s="25">
        <f>IF($L2012&lt;&gt;"",IF(INDEX(SCCitrus,$L2012)&amp;INDEX(SCNotes,$L2012)="","",IF(INDEX(SCCitrus,$L2012)="","",INDEX(SCCitrus,$L2012))&amp;IF(INDEX(SCNotes,$L2012)="",""," — "&amp;INDEX(SCNotes,$L2012))),IF($M2012&lt;&gt;"",IF(INDEX(LdgNoteB,$M2012)="","—",INDEX(LdgNoteB,$M2012)),""))</f>
        <v/>
      </c>
      <c r="F2012" s="26">
        <f>IF($L2012&lt;&gt;"",IF(INDEX(SCNet,$L2012)=0,"",INDEX(SCNet,$L2012)),"")</f>
        <v/>
      </c>
      <c r="G2012" s="27">
        <f>IF($L2012&lt;&gt;"",IF(INDEX(SCOp,$L2012)="مرجوعی فروش","",IF(INDEX(SCAmount,$L2012)&lt;=0,"",INDEX(SCAmount,$L2012))),IF($M2012&lt;&gt;"",IF(INDEX(LdgWitB,$M2012)=0,"",INDEX(LdgWitB,$M2012)),""))</f>
        <v/>
      </c>
      <c r="H2012" s="27">
        <f>IF($L2012&lt;&gt;"",IF(INDEX(SCOp,$L2012)="مرجوعی فروش",IF(INDEX(SCAmount,$L2012)=0,"",-INDEX(SCAmount,$L2012)),""),IF($M2012&lt;&gt;"",IF(INDEX(LdgDepB,$M2012)=0,"",INDEX(LdgDepB,$M2012)),""))</f>
        <v/>
      </c>
      <c r="I2012" s="28">
        <f>IF($B2012="","",IF($I2011="",$C$10,$I2011)+IF($G2012="",0,$G2012)-IF($H2012="",0,$H2012))</f>
        <v/>
      </c>
      <c r="L2012">
        <f>IFERROR(MATCH($C$5&amp;"|"&amp;RIGHT("000000"&amp;1996,6),LdgRankKeyA,0),"")</f>
        <v/>
      </c>
      <c r="M2012">
        <f>IFERROR(MATCH($C$5&amp;"|"&amp;RIGHT("000000"&amp;1996,6),LdgRankKeyB,0),"")</f>
        <v/>
      </c>
    </row>
    <row r="2013">
      <c r="A2013" s="17" t="n">
        <v>1997</v>
      </c>
      <c r="B2013" s="18">
        <f>IF(AND($L2013="",$M2013=""),"",IF($L2013&lt;&gt;"",INDEX(SCNormDate,$L2013),INDEX(LdgDateB,$M2013)))</f>
        <v/>
      </c>
      <c r="C2013" s="18">
        <f>IF($L2013&lt;&gt;"",INDEX(SCOp,$L2013),IF($M2013&lt;&gt;"","پرداخت بانکی",""))</f>
        <v/>
      </c>
      <c r="D2013" s="18">
        <f>IF($L2013&lt;&gt;"",IF(INDEX(SCDoc,$L2013)="","—",INDEX(SCDoc,$L2013)),IF($M2013&lt;&gt;"",INDEX(LdgBankB,$M2013),""))</f>
        <v/>
      </c>
      <c r="E2013" s="19">
        <f>IF($L2013&lt;&gt;"",IF(INDEX(SCCitrus,$L2013)&amp;INDEX(SCNotes,$L2013)="","",IF(INDEX(SCCitrus,$L2013)="","",INDEX(SCCitrus,$L2013))&amp;IF(INDEX(SCNotes,$L2013)="",""," — "&amp;INDEX(SCNotes,$L2013))),IF($M2013&lt;&gt;"",IF(INDEX(LdgNoteB,$M2013)="","—",INDEX(LdgNoteB,$M2013)),""))</f>
        <v/>
      </c>
      <c r="F2013" s="20">
        <f>IF($L2013&lt;&gt;"",IF(INDEX(SCNet,$L2013)=0,"",INDEX(SCNet,$L2013)),"")</f>
        <v/>
      </c>
      <c r="G2013" s="21">
        <f>IF($L2013&lt;&gt;"",IF(INDEX(SCOp,$L2013)="مرجوعی فروش","",IF(INDEX(SCAmount,$L2013)&lt;=0,"",INDEX(SCAmount,$L2013))),IF($M2013&lt;&gt;"",IF(INDEX(LdgWitB,$M2013)=0,"",INDEX(LdgWitB,$M2013)),""))</f>
        <v/>
      </c>
      <c r="H2013" s="21">
        <f>IF($L2013&lt;&gt;"",IF(INDEX(SCOp,$L2013)="مرجوعی فروش",IF(INDEX(SCAmount,$L2013)=0,"",-INDEX(SCAmount,$L2013)),""),IF($M2013&lt;&gt;"",IF(INDEX(LdgDepB,$M2013)=0,"",INDEX(LdgDepB,$M2013)),""))</f>
        <v/>
      </c>
      <c r="I2013" s="22">
        <f>IF($B2013="","",IF($I2012="",$C$10,$I2012)+IF($G2013="",0,$G2013)-IF($H2013="",0,$H2013))</f>
        <v/>
      </c>
      <c r="L2013">
        <f>IFERROR(MATCH($C$5&amp;"|"&amp;RIGHT("000000"&amp;1997,6),LdgRankKeyA,0),"")</f>
        <v/>
      </c>
      <c r="M2013">
        <f>IFERROR(MATCH($C$5&amp;"|"&amp;RIGHT("000000"&amp;1997,6),LdgRankKeyB,0),"")</f>
        <v/>
      </c>
    </row>
    <row r="2014">
      <c r="A2014" s="23" t="n">
        <v>1998</v>
      </c>
      <c r="B2014" s="24">
        <f>IF(AND($L2014="",$M2014=""),"",IF($L2014&lt;&gt;"",INDEX(SCNormDate,$L2014),INDEX(LdgDateB,$M2014)))</f>
        <v/>
      </c>
      <c r="C2014" s="24">
        <f>IF($L2014&lt;&gt;"",INDEX(SCOp,$L2014),IF($M2014&lt;&gt;"","پرداخت بانکی",""))</f>
        <v/>
      </c>
      <c r="D2014" s="24">
        <f>IF($L2014&lt;&gt;"",IF(INDEX(SCDoc,$L2014)="","—",INDEX(SCDoc,$L2014)),IF($M2014&lt;&gt;"",INDEX(LdgBankB,$M2014),""))</f>
        <v/>
      </c>
      <c r="E2014" s="25">
        <f>IF($L2014&lt;&gt;"",IF(INDEX(SCCitrus,$L2014)&amp;INDEX(SCNotes,$L2014)="","",IF(INDEX(SCCitrus,$L2014)="","",INDEX(SCCitrus,$L2014))&amp;IF(INDEX(SCNotes,$L2014)="",""," — "&amp;INDEX(SCNotes,$L2014))),IF($M2014&lt;&gt;"",IF(INDEX(LdgNoteB,$M2014)="","—",INDEX(LdgNoteB,$M2014)),""))</f>
        <v/>
      </c>
      <c r="F2014" s="26">
        <f>IF($L2014&lt;&gt;"",IF(INDEX(SCNet,$L2014)=0,"",INDEX(SCNet,$L2014)),"")</f>
        <v/>
      </c>
      <c r="G2014" s="27">
        <f>IF($L2014&lt;&gt;"",IF(INDEX(SCOp,$L2014)="مرجوعی فروش","",IF(INDEX(SCAmount,$L2014)&lt;=0,"",INDEX(SCAmount,$L2014))),IF($M2014&lt;&gt;"",IF(INDEX(LdgWitB,$M2014)=0,"",INDEX(LdgWitB,$M2014)),""))</f>
        <v/>
      </c>
      <c r="H2014" s="27">
        <f>IF($L2014&lt;&gt;"",IF(INDEX(SCOp,$L2014)="مرجوعی فروش",IF(INDEX(SCAmount,$L2014)=0,"",-INDEX(SCAmount,$L2014)),""),IF($M2014&lt;&gt;"",IF(INDEX(LdgDepB,$M2014)=0,"",INDEX(LdgDepB,$M2014)),""))</f>
        <v/>
      </c>
      <c r="I2014" s="28">
        <f>IF($B2014="","",IF($I2013="",$C$10,$I2013)+IF($G2014="",0,$G2014)-IF($H2014="",0,$H2014))</f>
        <v/>
      </c>
      <c r="L2014">
        <f>IFERROR(MATCH($C$5&amp;"|"&amp;RIGHT("000000"&amp;1998,6),LdgRankKeyA,0),"")</f>
        <v/>
      </c>
      <c r="M2014">
        <f>IFERROR(MATCH($C$5&amp;"|"&amp;RIGHT("000000"&amp;1998,6),LdgRankKeyB,0),"")</f>
        <v/>
      </c>
    </row>
    <row r="2015">
      <c r="A2015" s="17" t="n">
        <v>1999</v>
      </c>
      <c r="B2015" s="18">
        <f>IF(AND($L2015="",$M2015=""),"",IF($L2015&lt;&gt;"",INDEX(SCNormDate,$L2015),INDEX(LdgDateB,$M2015)))</f>
        <v/>
      </c>
      <c r="C2015" s="18">
        <f>IF($L2015&lt;&gt;"",INDEX(SCOp,$L2015),IF($M2015&lt;&gt;"","پرداخت بانکی",""))</f>
        <v/>
      </c>
      <c r="D2015" s="18">
        <f>IF($L2015&lt;&gt;"",IF(INDEX(SCDoc,$L2015)="","—",INDEX(SCDoc,$L2015)),IF($M2015&lt;&gt;"",INDEX(LdgBankB,$M2015),""))</f>
        <v/>
      </c>
      <c r="E2015" s="19">
        <f>IF($L2015&lt;&gt;"",IF(INDEX(SCCitrus,$L2015)&amp;INDEX(SCNotes,$L2015)="","",IF(INDEX(SCCitrus,$L2015)="","",INDEX(SCCitrus,$L2015))&amp;IF(INDEX(SCNotes,$L2015)="",""," — "&amp;INDEX(SCNotes,$L2015))),IF($M2015&lt;&gt;"",IF(INDEX(LdgNoteB,$M2015)="","—",INDEX(LdgNoteB,$M2015)),""))</f>
        <v/>
      </c>
      <c r="F2015" s="20">
        <f>IF($L2015&lt;&gt;"",IF(INDEX(SCNet,$L2015)=0,"",INDEX(SCNet,$L2015)),"")</f>
        <v/>
      </c>
      <c r="G2015" s="21">
        <f>IF($L2015&lt;&gt;"",IF(INDEX(SCOp,$L2015)="مرجوعی فروش","",IF(INDEX(SCAmount,$L2015)&lt;=0,"",INDEX(SCAmount,$L2015))),IF($M2015&lt;&gt;"",IF(INDEX(LdgWitB,$M2015)=0,"",INDEX(LdgWitB,$M2015)),""))</f>
        <v/>
      </c>
      <c r="H2015" s="21">
        <f>IF($L2015&lt;&gt;"",IF(INDEX(SCOp,$L2015)="مرجوعی فروش",IF(INDEX(SCAmount,$L2015)=0,"",-INDEX(SCAmount,$L2015)),""),IF($M2015&lt;&gt;"",IF(INDEX(LdgDepB,$M2015)=0,"",INDEX(LdgDepB,$M2015)),""))</f>
        <v/>
      </c>
      <c r="I2015" s="22">
        <f>IF($B2015="","",IF($I2014="",$C$10,$I2014)+IF($G2015="",0,$G2015)-IF($H2015="",0,$H2015))</f>
        <v/>
      </c>
      <c r="L2015">
        <f>IFERROR(MATCH($C$5&amp;"|"&amp;RIGHT("000000"&amp;1999,6),LdgRankKeyA,0),"")</f>
        <v/>
      </c>
      <c r="M2015">
        <f>IFERROR(MATCH($C$5&amp;"|"&amp;RIGHT("000000"&amp;1999,6),LdgRankKeyB,0),"")</f>
        <v/>
      </c>
    </row>
    <row r="2016">
      <c r="A2016" s="23" t="n">
        <v>2000</v>
      </c>
      <c r="B2016" s="24">
        <f>IF(AND($L2016="",$M2016=""),"",IF($L2016&lt;&gt;"",INDEX(SCNormDate,$L2016),INDEX(LdgDateB,$M2016)))</f>
        <v/>
      </c>
      <c r="C2016" s="24">
        <f>IF($L2016&lt;&gt;"",INDEX(SCOp,$L2016),IF($M2016&lt;&gt;"","پرداخت بانکی",""))</f>
        <v/>
      </c>
      <c r="D2016" s="24">
        <f>IF($L2016&lt;&gt;"",IF(INDEX(SCDoc,$L2016)="","—",INDEX(SCDoc,$L2016)),IF($M2016&lt;&gt;"",INDEX(LdgBankB,$M2016),""))</f>
        <v/>
      </c>
      <c r="E2016" s="25">
        <f>IF($L2016&lt;&gt;"",IF(INDEX(SCCitrus,$L2016)&amp;INDEX(SCNotes,$L2016)="","",IF(INDEX(SCCitrus,$L2016)="","",INDEX(SCCitrus,$L2016))&amp;IF(INDEX(SCNotes,$L2016)="",""," — "&amp;INDEX(SCNotes,$L2016))),IF($M2016&lt;&gt;"",IF(INDEX(LdgNoteB,$M2016)="","—",INDEX(LdgNoteB,$M2016)),""))</f>
        <v/>
      </c>
      <c r="F2016" s="26">
        <f>IF($L2016&lt;&gt;"",IF(INDEX(SCNet,$L2016)=0,"",INDEX(SCNet,$L2016)),"")</f>
        <v/>
      </c>
      <c r="G2016" s="27">
        <f>IF($L2016&lt;&gt;"",IF(INDEX(SCOp,$L2016)="مرجوعی فروش","",IF(INDEX(SCAmount,$L2016)&lt;=0,"",INDEX(SCAmount,$L2016))),IF($M2016&lt;&gt;"",IF(INDEX(LdgWitB,$M2016)=0,"",INDEX(LdgWitB,$M2016)),""))</f>
        <v/>
      </c>
      <c r="H2016" s="27">
        <f>IF($L2016&lt;&gt;"",IF(INDEX(SCOp,$L2016)="مرجوعی فروش",IF(INDEX(SCAmount,$L2016)=0,"",-INDEX(SCAmount,$L2016)),""),IF($M2016&lt;&gt;"",IF(INDEX(LdgDepB,$M2016)=0,"",INDEX(LdgDepB,$M2016)),""))</f>
        <v/>
      </c>
      <c r="I2016" s="28">
        <f>IF($B2016="","",IF($I2015="",$C$10,$I2015)+IF($G2016="",0,$G2016)-IF($H2016="",0,$H2016))</f>
        <v/>
      </c>
      <c r="L2016">
        <f>IFERROR(MATCH($C$5&amp;"|"&amp;RIGHT("000000"&amp;2000,6),LdgRankKeyA,0),"")</f>
        <v/>
      </c>
      <c r="M2016">
        <f>IFERROR(MATCH($C$5&amp;"|"&amp;RIGHT("000000"&amp;2000,6),LdgRankKeyB,0),"")</f>
        <v/>
      </c>
    </row>
  </sheetData>
  <mergeCells count="33">
    <mergeCell ref="E12:F12"/>
    <mergeCell ref="E10:J10"/>
    <mergeCell ref="A11:B11"/>
    <mergeCell ref="C6:J6"/>
    <mergeCell ref="C5:D5"/>
    <mergeCell ref="C14:D14"/>
    <mergeCell ref="E14:F14"/>
    <mergeCell ref="A6:B6"/>
    <mergeCell ref="C10:D10"/>
    <mergeCell ref="A7:B7"/>
    <mergeCell ref="G12:J12"/>
    <mergeCell ref="E13:F13"/>
    <mergeCell ref="G11:J11"/>
    <mergeCell ref="A12:B12"/>
    <mergeCell ref="C9:J9"/>
    <mergeCell ref="A1:J1"/>
    <mergeCell ref="C12:D12"/>
    <mergeCell ref="C11:D11"/>
    <mergeCell ref="E11:F11"/>
    <mergeCell ref="A5:B5"/>
    <mergeCell ref="A14:B14"/>
    <mergeCell ref="A8:B8"/>
    <mergeCell ref="C8:J8"/>
    <mergeCell ref="G13:J13"/>
    <mergeCell ref="C7:J7"/>
    <mergeCell ref="A3:J3"/>
    <mergeCell ref="E5:J5"/>
    <mergeCell ref="A10:B10"/>
    <mergeCell ref="A13:B13"/>
    <mergeCell ref="C13:D13"/>
    <mergeCell ref="A2:J2"/>
    <mergeCell ref="A9:B9"/>
    <mergeCell ref="G14:J14"/>
  </mergeCells>
  <conditionalFormatting sqref="C17:C2016">
    <cfRule type="cellIs" priority="1" operator="equal" dxfId="0">
      <formula>"فروش"</formula>
    </cfRule>
    <cfRule type="cellIs" priority="2" operator="equal" dxfId="1">
      <formula>"مرجوعی فروش"</formula>
    </cfRule>
    <cfRule type="cellIs" priority="3" operator="equal" dxfId="2">
      <formula>"پرداخت بانکی"</formula>
    </cfRule>
  </conditionalFormatting>
  <conditionalFormatting sqref="G17:G2016">
    <cfRule type="cellIs" priority="4" operator="greaterThan" dxfId="3">
      <formula>0</formula>
    </cfRule>
  </conditionalFormatting>
  <conditionalFormatting sqref="H17:H2016">
    <cfRule type="cellIs" priority="5" operator="greaterThan" dxfId="4">
      <formula>0</formula>
    </cfRule>
  </conditionalFormatting>
  <conditionalFormatting sqref="I17:I2016">
    <cfRule type="cellIs" priority="6" operator="lessThan" dxfId="5">
      <formula>0</formula>
    </cfRule>
  </conditionalFormatting>
  <conditionalFormatting sqref="G12">
    <cfRule type="expression" priority="7" dxfId="6">
      <formula>ISNUMBER(SEARCH("▲",$G$12))</formula>
    </cfRule>
    <cfRule type="expression" priority="8" dxfId="7">
      <formula>ISNUMBER(SEARCH("▼",$G$12))</formula>
    </cfRule>
    <cfRule type="expression" priority="9" dxfId="8">
      <formula>ISNUMBER(SEARCH("تسویه",$G$12))</formula>
    </cfRule>
  </conditionalFormatting>
  <conditionalFormatting sqref="E12">
    <cfRule type="cellIs" priority="10" operator="greaterThan" dxfId="9">
      <formula>0</formula>
    </cfRule>
    <cfRule type="cellIs" priority="11" operator="lessThan" dxfId="10">
      <formula>0</formula>
    </cfRule>
    <cfRule type="cellIs" priority="12" operator="equal" dxfId="11">
      <formula>0</formula>
    </cfRule>
  </conditionalFormatting>
  <dataValidations count="1">
    <dataValidation sqref="C5" showDropDown="0" showInputMessage="1" showErrorMessage="0" allowBlank="1" errorTitle="کد حساب نامعتبر" error="کد از فایل INFO (شیت Accounts) — C…، SL…، S…، E…، X…" promptTitle="کد حساب" prompt="کد را وارد کنید؛ کل صورت‌حساب خودکار به‌روز می‌شود. برای حساب دیگر، شیت را کپی کنید و این کد را عوض کنید." type="custom" errorStyle="warning">
      <formula1>OR($C$5="",COUNTIF(AcctCodes,$C$5)&gt;0)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حساب — فایل فروش&amp;R&amp;"Tahoma"&amp;8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90A4AE"/>
    <outlinePr summaryBelow="1" summaryRight="1"/>
    <pageSetUpPr/>
  </sheetPr>
  <dimension ref="A1:AM200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28" customWidth="1" min="4" max="4"/>
    <col width="13" customWidth="1" min="5" max="5"/>
    <col width="13" customWidth="1" min="6" max="6"/>
    <col width="30" customWidth="1" min="7" max="7"/>
    <col width="9" customWidth="1" min="9" max="9"/>
    <col width="22" customWidth="1" min="10" max="10"/>
    <col width="10" customWidth="1" min="11" max="11"/>
    <col width="13" customWidth="1" min="12" max="12"/>
    <col width="9" customWidth="1" min="14" max="14"/>
    <col width="24" customWidth="1" min="15" max="15"/>
    <col width="10" customWidth="1" min="16" max="16"/>
    <col width="30" customWidth="1" min="18" max="18"/>
    <col width="11" customWidth="1" min="20" max="20"/>
    <col width="8" customWidth="1" min="21" max="21"/>
    <col width="10" customWidth="1" min="22" max="22"/>
    <col width="16" customWidth="1" min="23" max="23"/>
    <col width="12" customWidth="1" min="24" max="24"/>
    <col width="15" customWidth="1" min="25" max="25"/>
    <col width="13" customWidth="1" min="26" max="26"/>
    <col width="13" customWidth="1" min="27" max="27"/>
    <col width="11" customWidth="1" min="28" max="28"/>
    <col width="15" customWidth="1" min="29" max="29"/>
    <col width="30" customWidth="1" min="30" max="30"/>
    <col width="12" customWidth="1" min="31" max="31"/>
    <col width="8" customWidth="1" min="32" max="32"/>
    <col width="28" customWidth="1" min="33" max="33"/>
    <col width="10" customWidth="1" min="34" max="34"/>
    <col width="12" customWidth="1" min="35" max="35"/>
    <col width="15" customWidth="1" min="36" max="36"/>
    <col width="14" customWidth="1" min="37" max="37"/>
    <col width="14" customWidth="1" min="38" max="38"/>
    <col width="30" customWidth="1" min="39" max="39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</row>
    <row r="3">
      <c r="A3" s="29" t="inlineStr">
        <is>
          <t>برگه فنی — آینه‌ی فایل مادر (INFO)، دفتر باسکول (Baskol) و فایل واریز/برداشت (Transactions) برای صورت‌حساب حساب‌ها. فرمول‌ها را تغییر ندهید. اگر همه سلول‌ها خالی شدند یعنی لینک به‌روز نشده: Data ← Edit Links ← Update Values.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29" t="n"/>
      <c r="AF3" s="29" t="n"/>
      <c r="AG3" s="29" t="n"/>
      <c r="AH3" s="29" t="n"/>
      <c r="AI3" s="29" t="n"/>
      <c r="AJ3" s="29" t="n"/>
      <c r="AK3" s="29" t="n"/>
      <c r="AL3" s="29" t="n"/>
      <c r="AM3" s="29" t="n"/>
    </row>
    <row r="5">
      <c r="A5" s="30" t="inlineStr">
        <is>
          <t>Accounts · Code</t>
        </is>
      </c>
      <c r="B5" s="30" t="inlineStr">
        <is>
          <t>· Nature</t>
        </is>
      </c>
      <c r="C5" s="30" t="inlineStr">
        <is>
          <t>· Subgroup</t>
        </is>
      </c>
      <c r="D5" s="30" t="inlineStr">
        <is>
          <t>· Name</t>
        </is>
      </c>
      <c r="E5" s="30" t="inlineStr">
        <is>
          <t>· Phone</t>
        </is>
      </c>
      <c r="F5" s="30" t="inlineStr">
        <is>
          <t>· Mobile</t>
        </is>
      </c>
      <c r="G5" s="30" t="inlineStr">
        <is>
          <t>· Address</t>
        </is>
      </c>
      <c r="I5" s="30" t="inlineStr">
        <is>
          <t>Ops · Code</t>
        </is>
      </c>
      <c r="J5" s="30" t="inlineStr">
        <is>
          <t>· Title</t>
        </is>
      </c>
      <c r="K5" s="30" t="inlineStr">
        <is>
          <t>· Direction</t>
        </is>
      </c>
      <c r="L5" s="30" t="inlineStr">
        <is>
          <t>· Group</t>
        </is>
      </c>
      <c r="N5" s="30" t="inlineStr">
        <is>
          <t>Params · Code</t>
        </is>
      </c>
      <c r="O5" s="30" t="inlineStr">
        <is>
          <t>· Name</t>
        </is>
      </c>
      <c r="P5" s="30" t="inlineStr">
        <is>
          <t>· Value</t>
        </is>
      </c>
      <c r="R5" s="30" t="inlineStr">
        <is>
          <t>Company</t>
        </is>
      </c>
      <c r="T5" s="30" t="inlineStr">
        <is>
          <t>Baskol · Date</t>
        </is>
      </c>
      <c r="U5" s="30" t="inlineStr">
        <is>
          <t>· Time</t>
        </is>
      </c>
      <c r="V5" s="30" t="inlineStr">
        <is>
          <t>· Doc</t>
        </is>
      </c>
      <c r="W5" s="30" t="inlineStr">
        <is>
          <t>· Op</t>
        </is>
      </c>
      <c r="X5" s="30" t="inlineStr">
        <is>
          <t>· Party</t>
        </is>
      </c>
      <c r="Y5" s="30" t="inlineStr">
        <is>
          <t>· Sub</t>
        </is>
      </c>
      <c r="Z5" s="30" t="inlineStr">
        <is>
          <t>· Citrus</t>
        </is>
      </c>
      <c r="AA5" s="30" t="inlineStr">
        <is>
          <t>· Scale</t>
        </is>
      </c>
      <c r="AB5" s="30" t="inlineStr">
        <is>
          <t>· Baskets</t>
        </is>
      </c>
      <c r="AC5" s="30" t="inlineStr">
        <is>
          <t>· Amount</t>
        </is>
      </c>
      <c r="AD5" s="30" t="inlineStr">
        <is>
          <t>· Notes</t>
        </is>
      </c>
      <c r="AE5" s="30" t="inlineStr">
        <is>
          <t>Txn Entry · C</t>
        </is>
      </c>
      <c r="AF5" s="30" t="inlineStr">
        <is>
          <t>Txn Entry · D</t>
        </is>
      </c>
      <c r="AG5" s="30" t="inlineStr">
        <is>
          <t>Txn Entry · E</t>
        </is>
      </c>
      <c r="AH5" s="30" t="inlineStr">
        <is>
          <t>Txn Entry · G</t>
        </is>
      </c>
      <c r="AI5" s="30" t="inlineStr">
        <is>
          <t>Txn Entry · K</t>
        </is>
      </c>
      <c r="AJ5" s="30" t="inlineStr">
        <is>
          <t>Txn Entry · L</t>
        </is>
      </c>
      <c r="AK5" s="30" t="inlineStr">
        <is>
          <t>Txn Entry · M</t>
        </is>
      </c>
      <c r="AL5" s="30" t="inlineStr">
        <is>
          <t>Txn Entry · N</t>
        </is>
      </c>
      <c r="AM5" s="30" t="inlineStr">
        <is>
          <t>Txn Entry · R</t>
        </is>
      </c>
    </row>
    <row r="6">
      <c r="A6">
        <f>IF([1]Accounts!$D$7="","",[1]Accounts!$A$7)</f>
        <v/>
      </c>
      <c r="B6">
        <f>IF([1]Accounts!$D$7="","",[1]Accounts!$B$7)</f>
        <v/>
      </c>
      <c r="C6">
        <f>IF([1]Accounts!$D$7="","",[1]Accounts!$C$7)</f>
        <v/>
      </c>
      <c r="D6">
        <f>IF([1]Accounts!$D$7="","",[1]Accounts!$D$7)</f>
        <v/>
      </c>
      <c r="E6">
        <f>IF([1]Accounts!$D$7="","",[1]Accounts!$E$7)</f>
        <v/>
      </c>
      <c r="F6">
        <f>IF([1]Accounts!$D$7="","",[1]Accounts!$F$7)</f>
        <v/>
      </c>
      <c r="G6">
        <f>IF([1]Accounts!$D$7="","",[1]Accounts!$G$7)</f>
        <v/>
      </c>
      <c r="I6">
        <f>IF([1]Ops!$B$7="","",[1]Ops!$A$7)</f>
        <v/>
      </c>
      <c r="J6">
        <f>IF([1]Ops!$B$7="","",[1]Ops!$B$7)</f>
        <v/>
      </c>
      <c r="K6">
        <f>IF([1]Ops!$B$7="","",[1]Ops!$C$7)</f>
        <v/>
      </c>
      <c r="L6">
        <f>IF([1]Ops!$B$7="","",[1]Ops!$D$7)</f>
        <v/>
      </c>
      <c r="N6">
        <f>IF([1]Params!$A$7="","",[1]Params!$A$7)</f>
        <v/>
      </c>
      <c r="O6">
        <f>IF([1]Params!$B$7="","",[1]Params!$B$7)</f>
        <v/>
      </c>
      <c r="P6">
        <f>[1]Params!$C$7</f>
        <v/>
      </c>
      <c r="R6">
        <f>IF([1]Company!$C$5="","",[1]Company!$C$5)</f>
        <v/>
      </c>
      <c r="T6">
        <f>IF([2]Baskol!$B$9="","",[2]Baskol!$B$9)</f>
        <v/>
      </c>
      <c r="U6">
        <f>IF([2]Baskol!$C$9="","",[2]Baskol!$C$9)</f>
        <v/>
      </c>
      <c r="V6">
        <f>IF([2]Baskol!$D$9="","",[2]Baskol!$D$9)</f>
        <v/>
      </c>
      <c r="W6">
        <f>IF([2]Baskol!$E$9="","",[2]Baskol!$E$9)</f>
        <v/>
      </c>
      <c r="X6">
        <f>IF([2]Baskol!$G$9="","",[2]Baskol!$G$9)</f>
        <v/>
      </c>
      <c r="Y6">
        <f>IF([2]Baskol!$I$9="","",[2]Baskol!$I$9)</f>
        <v/>
      </c>
      <c r="Z6">
        <f>IF([2]Baskol!$J$9="","",[2]Baskol!$J$9)</f>
        <v/>
      </c>
      <c r="AA6">
        <f>IF([2]Baskol!$K$9="","",[2]Baskol!$K$9)</f>
        <v/>
      </c>
      <c r="AB6">
        <f>IF([2]Baskol!$L$9="","",[2]Baskol!$L$9)</f>
        <v/>
      </c>
      <c r="AC6">
        <f>IF([2]Baskol!$N$9="","",[2]Baskol!$N$9)</f>
        <v/>
      </c>
      <c r="AD6">
        <f>IF([2]Baskol!$O$9="","",[2]Baskol!$O$9)</f>
        <v/>
      </c>
      <c r="AE6">
        <f>IF([3]Entry!$C$9="","",[3]Entry!$C$9)</f>
        <v/>
      </c>
      <c r="AF6">
        <f>IF([3]Entry!$D$9="","",[3]Entry!$D$9)</f>
        <v/>
      </c>
      <c r="AG6">
        <f>IF([3]Entry!$E$9="","",[3]Entry!$E$9)</f>
        <v/>
      </c>
      <c r="AH6">
        <f>IF([3]Entry!$G$9="","",[3]Entry!$G$9)</f>
        <v/>
      </c>
      <c r="AI6">
        <f>IF([3]Entry!$K$9="","",[3]Entry!$K$9)</f>
        <v/>
      </c>
      <c r="AJ6">
        <f>IF([3]Entry!$L$9="","",[3]Entry!$L$9)</f>
        <v/>
      </c>
      <c r="AK6">
        <f>IF([3]Entry!$M$9="","",[3]Entry!$M$9)</f>
        <v/>
      </c>
      <c r="AL6">
        <f>IF([3]Entry!$N$9="","",[3]Entry!$N$9)</f>
        <v/>
      </c>
      <c r="AM6">
        <f>IF([3]Entry!$R$9="","",[3]Entry!$R$9)</f>
        <v/>
      </c>
    </row>
    <row r="7">
      <c r="A7">
        <f>IF([1]Accounts!$D$8="","",[1]Accounts!$A$8)</f>
        <v/>
      </c>
      <c r="B7">
        <f>IF([1]Accounts!$D$8="","",[1]Accounts!$B$8)</f>
        <v/>
      </c>
      <c r="C7">
        <f>IF([1]Accounts!$D$8="","",[1]Accounts!$C$8)</f>
        <v/>
      </c>
      <c r="D7">
        <f>IF([1]Accounts!$D$8="","",[1]Accounts!$D$8)</f>
        <v/>
      </c>
      <c r="E7">
        <f>IF([1]Accounts!$D$8="","",[1]Accounts!$E$8)</f>
        <v/>
      </c>
      <c r="F7">
        <f>IF([1]Accounts!$D$8="","",[1]Accounts!$F$8)</f>
        <v/>
      </c>
      <c r="G7">
        <f>IF([1]Accounts!$D$8="","",[1]Accounts!$G$8)</f>
        <v/>
      </c>
      <c r="I7">
        <f>IF([1]Ops!$B$8="","",[1]Ops!$A$8)</f>
        <v/>
      </c>
      <c r="J7">
        <f>IF([1]Ops!$B$8="","",[1]Ops!$B$8)</f>
        <v/>
      </c>
      <c r="K7">
        <f>IF([1]Ops!$B$8="","",[1]Ops!$C$8)</f>
        <v/>
      </c>
      <c r="L7">
        <f>IF([1]Ops!$B$8="","",[1]Ops!$D$8)</f>
        <v/>
      </c>
      <c r="N7">
        <f>IF([1]Params!$A$8="","",[1]Params!$A$8)</f>
        <v/>
      </c>
      <c r="O7">
        <f>IF([1]Params!$B$8="","",[1]Params!$B$8)</f>
        <v/>
      </c>
      <c r="P7">
        <f>[1]Params!$C$8</f>
        <v/>
      </c>
      <c r="R7">
        <f>IF([1]Company!$C$8="","",[1]Company!$C$8)</f>
        <v/>
      </c>
      <c r="T7">
        <f>IF([2]Baskol!$B$10="","",[2]Baskol!$B$10)</f>
        <v/>
      </c>
      <c r="U7">
        <f>IF([2]Baskol!$C$10="","",[2]Baskol!$C$10)</f>
        <v/>
      </c>
      <c r="V7">
        <f>IF([2]Baskol!$D$10="","",[2]Baskol!$D$10)</f>
        <v/>
      </c>
      <c r="W7">
        <f>IF([2]Baskol!$E$10="","",[2]Baskol!$E$10)</f>
        <v/>
      </c>
      <c r="X7">
        <f>IF([2]Baskol!$G$10="","",[2]Baskol!$G$10)</f>
        <v/>
      </c>
      <c r="Y7">
        <f>IF([2]Baskol!$I$10="","",[2]Baskol!$I$10)</f>
        <v/>
      </c>
      <c r="Z7">
        <f>IF([2]Baskol!$J$10="","",[2]Baskol!$J$10)</f>
        <v/>
      </c>
      <c r="AA7">
        <f>IF([2]Baskol!$K$10="","",[2]Baskol!$K$10)</f>
        <v/>
      </c>
      <c r="AB7">
        <f>IF([2]Baskol!$L$10="","",[2]Baskol!$L$10)</f>
        <v/>
      </c>
      <c r="AC7">
        <f>IF([2]Baskol!$N$10="","",[2]Baskol!$N$10)</f>
        <v/>
      </c>
      <c r="AD7">
        <f>IF([2]Baskol!$O$10="","",[2]Baskol!$O$10)</f>
        <v/>
      </c>
      <c r="AE7">
        <f>IF([3]Entry!$C$10="","",[3]Entry!$C$10)</f>
        <v/>
      </c>
      <c r="AF7">
        <f>IF([3]Entry!$D$10="","",[3]Entry!$D$10)</f>
        <v/>
      </c>
      <c r="AG7">
        <f>IF([3]Entry!$E$10="","",[3]Entry!$E$10)</f>
        <v/>
      </c>
      <c r="AH7">
        <f>IF([3]Entry!$G$10="","",[3]Entry!$G$10)</f>
        <v/>
      </c>
      <c r="AI7">
        <f>IF([3]Entry!$K$10="","",[3]Entry!$K$10)</f>
        <v/>
      </c>
      <c r="AJ7">
        <f>IF([3]Entry!$L$10="","",[3]Entry!$L$10)</f>
        <v/>
      </c>
      <c r="AK7">
        <f>IF([3]Entry!$M$10="","",[3]Entry!$M$10)</f>
        <v/>
      </c>
      <c r="AL7">
        <f>IF([3]Entry!$N$10="","",[3]Entry!$N$10)</f>
        <v/>
      </c>
      <c r="AM7">
        <f>IF([3]Entry!$R$10="","",[3]Entry!$R$10)</f>
        <v/>
      </c>
    </row>
    <row r="8">
      <c r="A8">
        <f>IF([1]Accounts!$D$9="","",[1]Accounts!$A$9)</f>
        <v/>
      </c>
      <c r="B8">
        <f>IF([1]Accounts!$D$9="","",[1]Accounts!$B$9)</f>
        <v/>
      </c>
      <c r="C8">
        <f>IF([1]Accounts!$D$9="","",[1]Accounts!$C$9)</f>
        <v/>
      </c>
      <c r="D8">
        <f>IF([1]Accounts!$D$9="","",[1]Accounts!$D$9)</f>
        <v/>
      </c>
      <c r="E8">
        <f>IF([1]Accounts!$D$9="","",[1]Accounts!$E$9)</f>
        <v/>
      </c>
      <c r="F8">
        <f>IF([1]Accounts!$D$9="","",[1]Accounts!$F$9)</f>
        <v/>
      </c>
      <c r="G8">
        <f>IF([1]Accounts!$D$9="","",[1]Accounts!$G$9)</f>
        <v/>
      </c>
      <c r="I8">
        <f>IF([1]Ops!$B$9="","",[1]Ops!$A$9)</f>
        <v/>
      </c>
      <c r="J8">
        <f>IF([1]Ops!$B$9="","",[1]Ops!$B$9)</f>
        <v/>
      </c>
      <c r="K8">
        <f>IF([1]Ops!$B$9="","",[1]Ops!$C$9)</f>
        <v/>
      </c>
      <c r="L8">
        <f>IF([1]Ops!$B$9="","",[1]Ops!$D$9)</f>
        <v/>
      </c>
      <c r="N8">
        <f>IF([1]Params!$A$9="","",[1]Params!$A$9)</f>
        <v/>
      </c>
      <c r="O8">
        <f>IF([1]Params!$B$9="","",[1]Params!$B$9)</f>
        <v/>
      </c>
      <c r="P8">
        <f>[1]Params!$C$9</f>
        <v/>
      </c>
      <c r="R8">
        <f>IF([1]Company!$C$9="","",[1]Company!$C$9)</f>
        <v/>
      </c>
      <c r="T8">
        <f>IF([2]Baskol!$B$11="","",[2]Baskol!$B$11)</f>
        <v/>
      </c>
      <c r="U8">
        <f>IF([2]Baskol!$C$11="","",[2]Baskol!$C$11)</f>
        <v/>
      </c>
      <c r="V8">
        <f>IF([2]Baskol!$D$11="","",[2]Baskol!$D$11)</f>
        <v/>
      </c>
      <c r="W8">
        <f>IF([2]Baskol!$E$11="","",[2]Baskol!$E$11)</f>
        <v/>
      </c>
      <c r="X8">
        <f>IF([2]Baskol!$G$11="","",[2]Baskol!$G$11)</f>
        <v/>
      </c>
      <c r="Y8">
        <f>IF([2]Baskol!$I$11="","",[2]Baskol!$I$11)</f>
        <v/>
      </c>
      <c r="Z8">
        <f>IF([2]Baskol!$J$11="","",[2]Baskol!$J$11)</f>
        <v/>
      </c>
      <c r="AA8">
        <f>IF([2]Baskol!$K$11="","",[2]Baskol!$K$11)</f>
        <v/>
      </c>
      <c r="AB8">
        <f>IF([2]Baskol!$L$11="","",[2]Baskol!$L$11)</f>
        <v/>
      </c>
      <c r="AC8">
        <f>IF([2]Baskol!$N$11="","",[2]Baskol!$N$11)</f>
        <v/>
      </c>
      <c r="AD8">
        <f>IF([2]Baskol!$O$11="","",[2]Baskol!$O$11)</f>
        <v/>
      </c>
      <c r="AE8">
        <f>IF([3]Entry!$C$11="","",[3]Entry!$C$11)</f>
        <v/>
      </c>
      <c r="AF8">
        <f>IF([3]Entry!$D$11="","",[3]Entry!$D$11)</f>
        <v/>
      </c>
      <c r="AG8">
        <f>IF([3]Entry!$E$11="","",[3]Entry!$E$11)</f>
        <v/>
      </c>
      <c r="AH8">
        <f>IF([3]Entry!$G$11="","",[3]Entry!$G$11)</f>
        <v/>
      </c>
      <c r="AI8">
        <f>IF([3]Entry!$K$11="","",[3]Entry!$K$11)</f>
        <v/>
      </c>
      <c r="AJ8">
        <f>IF([3]Entry!$L$11="","",[3]Entry!$L$11)</f>
        <v/>
      </c>
      <c r="AK8">
        <f>IF([3]Entry!$M$11="","",[3]Entry!$M$11)</f>
        <v/>
      </c>
      <c r="AL8">
        <f>IF([3]Entry!$N$11="","",[3]Entry!$N$11)</f>
        <v/>
      </c>
      <c r="AM8">
        <f>IF([3]Entry!$R$11="","",[3]Entry!$R$11)</f>
        <v/>
      </c>
    </row>
    <row r="9">
      <c r="A9">
        <f>IF([1]Accounts!$D$10="","",[1]Accounts!$A$10)</f>
        <v/>
      </c>
      <c r="B9">
        <f>IF([1]Accounts!$D$10="","",[1]Accounts!$B$10)</f>
        <v/>
      </c>
      <c r="C9">
        <f>IF([1]Accounts!$D$10="","",[1]Accounts!$C$10)</f>
        <v/>
      </c>
      <c r="D9">
        <f>IF([1]Accounts!$D$10="","",[1]Accounts!$D$10)</f>
        <v/>
      </c>
      <c r="E9">
        <f>IF([1]Accounts!$D$10="","",[1]Accounts!$E$10)</f>
        <v/>
      </c>
      <c r="F9">
        <f>IF([1]Accounts!$D$10="","",[1]Accounts!$F$10)</f>
        <v/>
      </c>
      <c r="G9">
        <f>IF([1]Accounts!$D$10="","",[1]Accounts!$G$10)</f>
        <v/>
      </c>
      <c r="I9">
        <f>IF([1]Ops!$B$10="","",[1]Ops!$A$10)</f>
        <v/>
      </c>
      <c r="J9">
        <f>IF([1]Ops!$B$10="","",[1]Ops!$B$10)</f>
        <v/>
      </c>
      <c r="K9">
        <f>IF([1]Ops!$B$10="","",[1]Ops!$C$10)</f>
        <v/>
      </c>
      <c r="L9">
        <f>IF([1]Ops!$B$10="","",[1]Ops!$D$10)</f>
        <v/>
      </c>
      <c r="N9">
        <f>IF([1]Params!$A$10="","",[1]Params!$A$10)</f>
        <v/>
      </c>
      <c r="O9">
        <f>IF([1]Params!$B$10="","",[1]Params!$B$10)</f>
        <v/>
      </c>
      <c r="P9">
        <f>[1]Params!$C$10</f>
        <v/>
      </c>
      <c r="R9">
        <f>IF([1]Company!$C$7="","",[1]Company!$C$7)</f>
        <v/>
      </c>
      <c r="T9">
        <f>IF([2]Baskol!$B$12="","",[2]Baskol!$B$12)</f>
        <v/>
      </c>
      <c r="U9">
        <f>IF([2]Baskol!$C$12="","",[2]Baskol!$C$12)</f>
        <v/>
      </c>
      <c r="V9">
        <f>IF([2]Baskol!$D$12="","",[2]Baskol!$D$12)</f>
        <v/>
      </c>
      <c r="W9">
        <f>IF([2]Baskol!$E$12="","",[2]Baskol!$E$12)</f>
        <v/>
      </c>
      <c r="X9">
        <f>IF([2]Baskol!$G$12="","",[2]Baskol!$G$12)</f>
        <v/>
      </c>
      <c r="Y9">
        <f>IF([2]Baskol!$I$12="","",[2]Baskol!$I$12)</f>
        <v/>
      </c>
      <c r="Z9">
        <f>IF([2]Baskol!$J$12="","",[2]Baskol!$J$12)</f>
        <v/>
      </c>
      <c r="AA9">
        <f>IF([2]Baskol!$K$12="","",[2]Baskol!$K$12)</f>
        <v/>
      </c>
      <c r="AB9">
        <f>IF([2]Baskol!$L$12="","",[2]Baskol!$L$12)</f>
        <v/>
      </c>
      <c r="AC9">
        <f>IF([2]Baskol!$N$12="","",[2]Baskol!$N$12)</f>
        <v/>
      </c>
      <c r="AD9">
        <f>IF([2]Baskol!$O$12="","",[2]Baskol!$O$12)</f>
        <v/>
      </c>
      <c r="AE9">
        <f>IF([3]Entry!$C$12="","",[3]Entry!$C$12)</f>
        <v/>
      </c>
      <c r="AF9">
        <f>IF([3]Entry!$D$12="","",[3]Entry!$D$12)</f>
        <v/>
      </c>
      <c r="AG9">
        <f>IF([3]Entry!$E$12="","",[3]Entry!$E$12)</f>
        <v/>
      </c>
      <c r="AH9">
        <f>IF([3]Entry!$G$12="","",[3]Entry!$G$12)</f>
        <v/>
      </c>
      <c r="AI9">
        <f>IF([3]Entry!$K$12="","",[3]Entry!$K$12)</f>
        <v/>
      </c>
      <c r="AJ9">
        <f>IF([3]Entry!$L$12="","",[3]Entry!$L$12)</f>
        <v/>
      </c>
      <c r="AK9">
        <f>IF([3]Entry!$M$12="","",[3]Entry!$M$12)</f>
        <v/>
      </c>
      <c r="AL9">
        <f>IF([3]Entry!$N$12="","",[3]Entry!$N$12)</f>
        <v/>
      </c>
      <c r="AM9">
        <f>IF([3]Entry!$R$12="","",[3]Entry!$R$12)</f>
        <v/>
      </c>
    </row>
    <row r="10">
      <c r="A10">
        <f>IF([1]Accounts!$D$11="","",[1]Accounts!$A$11)</f>
        <v/>
      </c>
      <c r="B10">
        <f>IF([1]Accounts!$D$11="","",[1]Accounts!$B$11)</f>
        <v/>
      </c>
      <c r="C10">
        <f>IF([1]Accounts!$D$11="","",[1]Accounts!$C$11)</f>
        <v/>
      </c>
      <c r="D10">
        <f>IF([1]Accounts!$D$11="","",[1]Accounts!$D$11)</f>
        <v/>
      </c>
      <c r="E10">
        <f>IF([1]Accounts!$D$11="","",[1]Accounts!$E$11)</f>
        <v/>
      </c>
      <c r="F10">
        <f>IF([1]Accounts!$D$11="","",[1]Accounts!$F$11)</f>
        <v/>
      </c>
      <c r="G10">
        <f>IF([1]Accounts!$D$11="","",[1]Accounts!$G$11)</f>
        <v/>
      </c>
      <c r="I10">
        <f>IF([1]Ops!$B$11="","",[1]Ops!$A$11)</f>
        <v/>
      </c>
      <c r="J10">
        <f>IF([1]Ops!$B$11="","",[1]Ops!$B$11)</f>
        <v/>
      </c>
      <c r="K10">
        <f>IF([1]Ops!$B$11="","",[1]Ops!$C$11)</f>
        <v/>
      </c>
      <c r="L10">
        <f>IF([1]Ops!$B$11="","",[1]Ops!$D$11)</f>
        <v/>
      </c>
      <c r="N10">
        <f>IF([1]Params!$A$11="","",[1]Params!$A$11)</f>
        <v/>
      </c>
      <c r="O10">
        <f>IF([1]Params!$B$11="","",[1]Params!$B$11)</f>
        <v/>
      </c>
      <c r="P10">
        <f>[1]Params!$C$11</f>
        <v/>
      </c>
      <c r="T10">
        <f>IF([2]Baskol!$B$13="","",[2]Baskol!$B$13)</f>
        <v/>
      </c>
      <c r="U10">
        <f>IF([2]Baskol!$C$13="","",[2]Baskol!$C$13)</f>
        <v/>
      </c>
      <c r="V10">
        <f>IF([2]Baskol!$D$13="","",[2]Baskol!$D$13)</f>
        <v/>
      </c>
      <c r="W10">
        <f>IF([2]Baskol!$E$13="","",[2]Baskol!$E$13)</f>
        <v/>
      </c>
      <c r="X10">
        <f>IF([2]Baskol!$G$13="","",[2]Baskol!$G$13)</f>
        <v/>
      </c>
      <c r="Y10">
        <f>IF([2]Baskol!$I$13="","",[2]Baskol!$I$13)</f>
        <v/>
      </c>
      <c r="Z10">
        <f>IF([2]Baskol!$J$13="","",[2]Baskol!$J$13)</f>
        <v/>
      </c>
      <c r="AA10">
        <f>IF([2]Baskol!$K$13="","",[2]Baskol!$K$13)</f>
        <v/>
      </c>
      <c r="AB10">
        <f>IF([2]Baskol!$L$13="","",[2]Baskol!$L$13)</f>
        <v/>
      </c>
      <c r="AC10">
        <f>IF([2]Baskol!$N$13="","",[2]Baskol!$N$13)</f>
        <v/>
      </c>
      <c r="AD10">
        <f>IF([2]Baskol!$O$13="","",[2]Baskol!$O$13)</f>
        <v/>
      </c>
      <c r="AE10">
        <f>IF([3]Entry!$C$13="","",[3]Entry!$C$13)</f>
        <v/>
      </c>
      <c r="AF10">
        <f>IF([3]Entry!$D$13="","",[3]Entry!$D$13)</f>
        <v/>
      </c>
      <c r="AG10">
        <f>IF([3]Entry!$E$13="","",[3]Entry!$E$13)</f>
        <v/>
      </c>
      <c r="AH10">
        <f>IF([3]Entry!$G$13="","",[3]Entry!$G$13)</f>
        <v/>
      </c>
      <c r="AI10">
        <f>IF([3]Entry!$K$13="","",[3]Entry!$K$13)</f>
        <v/>
      </c>
      <c r="AJ10">
        <f>IF([3]Entry!$L$13="","",[3]Entry!$L$13)</f>
        <v/>
      </c>
      <c r="AK10">
        <f>IF([3]Entry!$M$13="","",[3]Entry!$M$13)</f>
        <v/>
      </c>
      <c r="AL10">
        <f>IF([3]Entry!$N$13="","",[3]Entry!$N$13)</f>
        <v/>
      </c>
      <c r="AM10">
        <f>IF([3]Entry!$R$13="","",[3]Entry!$R$13)</f>
        <v/>
      </c>
    </row>
    <row r="11">
      <c r="A11">
        <f>IF([1]Accounts!$D$12="","",[1]Accounts!$A$12)</f>
        <v/>
      </c>
      <c r="B11">
        <f>IF([1]Accounts!$D$12="","",[1]Accounts!$B$12)</f>
        <v/>
      </c>
      <c r="C11">
        <f>IF([1]Accounts!$D$12="","",[1]Accounts!$C$12)</f>
        <v/>
      </c>
      <c r="D11">
        <f>IF([1]Accounts!$D$12="","",[1]Accounts!$D$12)</f>
        <v/>
      </c>
      <c r="E11">
        <f>IF([1]Accounts!$D$12="","",[1]Accounts!$E$12)</f>
        <v/>
      </c>
      <c r="F11">
        <f>IF([1]Accounts!$D$12="","",[1]Accounts!$F$12)</f>
        <v/>
      </c>
      <c r="G11">
        <f>IF([1]Accounts!$D$12="","",[1]Accounts!$G$12)</f>
        <v/>
      </c>
      <c r="I11">
        <f>IF([1]Ops!$B$12="","",[1]Ops!$A$12)</f>
        <v/>
      </c>
      <c r="J11">
        <f>IF([1]Ops!$B$12="","",[1]Ops!$B$12)</f>
        <v/>
      </c>
      <c r="K11">
        <f>IF([1]Ops!$B$12="","",[1]Ops!$C$12)</f>
        <v/>
      </c>
      <c r="L11">
        <f>IF([1]Ops!$B$12="","",[1]Ops!$D$12)</f>
        <v/>
      </c>
      <c r="N11">
        <f>IF([1]Params!$A$12="","",[1]Params!$A$12)</f>
        <v/>
      </c>
      <c r="O11">
        <f>IF([1]Params!$B$12="","",[1]Params!$B$12)</f>
        <v/>
      </c>
      <c r="P11">
        <f>[1]Params!$C$12</f>
        <v/>
      </c>
      <c r="T11">
        <f>IF([2]Baskol!$B$14="","",[2]Baskol!$B$14)</f>
        <v/>
      </c>
      <c r="U11">
        <f>IF([2]Baskol!$C$14="","",[2]Baskol!$C$14)</f>
        <v/>
      </c>
      <c r="V11">
        <f>IF([2]Baskol!$D$14="","",[2]Baskol!$D$14)</f>
        <v/>
      </c>
      <c r="W11">
        <f>IF([2]Baskol!$E$14="","",[2]Baskol!$E$14)</f>
        <v/>
      </c>
      <c r="X11">
        <f>IF([2]Baskol!$G$14="","",[2]Baskol!$G$14)</f>
        <v/>
      </c>
      <c r="Y11">
        <f>IF([2]Baskol!$I$14="","",[2]Baskol!$I$14)</f>
        <v/>
      </c>
      <c r="Z11">
        <f>IF([2]Baskol!$J$14="","",[2]Baskol!$J$14)</f>
        <v/>
      </c>
      <c r="AA11">
        <f>IF([2]Baskol!$K$14="","",[2]Baskol!$K$14)</f>
        <v/>
      </c>
      <c r="AB11">
        <f>IF([2]Baskol!$L$14="","",[2]Baskol!$L$14)</f>
        <v/>
      </c>
      <c r="AC11">
        <f>IF([2]Baskol!$N$14="","",[2]Baskol!$N$14)</f>
        <v/>
      </c>
      <c r="AD11">
        <f>IF([2]Baskol!$O$14="","",[2]Baskol!$O$14)</f>
        <v/>
      </c>
      <c r="AE11">
        <f>IF([3]Entry!$C$14="","",[3]Entry!$C$14)</f>
        <v/>
      </c>
      <c r="AF11">
        <f>IF([3]Entry!$D$14="","",[3]Entry!$D$14)</f>
        <v/>
      </c>
      <c r="AG11">
        <f>IF([3]Entry!$E$14="","",[3]Entry!$E$14)</f>
        <v/>
      </c>
      <c r="AH11">
        <f>IF([3]Entry!$G$14="","",[3]Entry!$G$14)</f>
        <v/>
      </c>
      <c r="AI11">
        <f>IF([3]Entry!$K$14="","",[3]Entry!$K$14)</f>
        <v/>
      </c>
      <c r="AJ11">
        <f>IF([3]Entry!$L$14="","",[3]Entry!$L$14)</f>
        <v/>
      </c>
      <c r="AK11">
        <f>IF([3]Entry!$M$14="","",[3]Entry!$M$14)</f>
        <v/>
      </c>
      <c r="AL11">
        <f>IF([3]Entry!$N$14="","",[3]Entry!$N$14)</f>
        <v/>
      </c>
      <c r="AM11">
        <f>IF([3]Entry!$R$14="","",[3]Entry!$R$14)</f>
        <v/>
      </c>
    </row>
    <row r="12">
      <c r="A12">
        <f>IF([1]Accounts!$D$13="","",[1]Accounts!$A$13)</f>
        <v/>
      </c>
      <c r="B12">
        <f>IF([1]Accounts!$D$13="","",[1]Accounts!$B$13)</f>
        <v/>
      </c>
      <c r="C12">
        <f>IF([1]Accounts!$D$13="","",[1]Accounts!$C$13)</f>
        <v/>
      </c>
      <c r="D12">
        <f>IF([1]Accounts!$D$13="","",[1]Accounts!$D$13)</f>
        <v/>
      </c>
      <c r="E12">
        <f>IF([1]Accounts!$D$13="","",[1]Accounts!$E$13)</f>
        <v/>
      </c>
      <c r="F12">
        <f>IF([1]Accounts!$D$13="","",[1]Accounts!$F$13)</f>
        <v/>
      </c>
      <c r="G12">
        <f>IF([1]Accounts!$D$13="","",[1]Accounts!$G$13)</f>
        <v/>
      </c>
      <c r="I12">
        <f>IF([1]Ops!$B$13="","",[1]Ops!$A$13)</f>
        <v/>
      </c>
      <c r="J12">
        <f>IF([1]Ops!$B$13="","",[1]Ops!$B$13)</f>
        <v/>
      </c>
      <c r="K12">
        <f>IF([1]Ops!$B$13="","",[1]Ops!$C$13)</f>
        <v/>
      </c>
      <c r="L12">
        <f>IF([1]Ops!$B$13="","",[1]Ops!$D$13)</f>
        <v/>
      </c>
      <c r="N12">
        <f>IF([1]Params!$A$13="","",[1]Params!$A$13)</f>
        <v/>
      </c>
      <c r="O12">
        <f>IF([1]Params!$B$13="","",[1]Params!$B$13)</f>
        <v/>
      </c>
      <c r="P12">
        <f>[1]Params!$C$13</f>
        <v/>
      </c>
      <c r="T12">
        <f>IF([2]Baskol!$B$15="","",[2]Baskol!$B$15)</f>
        <v/>
      </c>
      <c r="U12">
        <f>IF([2]Baskol!$C$15="","",[2]Baskol!$C$15)</f>
        <v/>
      </c>
      <c r="V12">
        <f>IF([2]Baskol!$D$15="","",[2]Baskol!$D$15)</f>
        <v/>
      </c>
      <c r="W12">
        <f>IF([2]Baskol!$E$15="","",[2]Baskol!$E$15)</f>
        <v/>
      </c>
      <c r="X12">
        <f>IF([2]Baskol!$G$15="","",[2]Baskol!$G$15)</f>
        <v/>
      </c>
      <c r="Y12">
        <f>IF([2]Baskol!$I$15="","",[2]Baskol!$I$15)</f>
        <v/>
      </c>
      <c r="Z12">
        <f>IF([2]Baskol!$J$15="","",[2]Baskol!$J$15)</f>
        <v/>
      </c>
      <c r="AA12">
        <f>IF([2]Baskol!$K$15="","",[2]Baskol!$K$15)</f>
        <v/>
      </c>
      <c r="AB12">
        <f>IF([2]Baskol!$L$15="","",[2]Baskol!$L$15)</f>
        <v/>
      </c>
      <c r="AC12">
        <f>IF([2]Baskol!$N$15="","",[2]Baskol!$N$15)</f>
        <v/>
      </c>
      <c r="AD12">
        <f>IF([2]Baskol!$O$15="","",[2]Baskol!$O$15)</f>
        <v/>
      </c>
      <c r="AE12">
        <f>IF([3]Entry!$C$15="","",[3]Entry!$C$15)</f>
        <v/>
      </c>
      <c r="AF12">
        <f>IF([3]Entry!$D$15="","",[3]Entry!$D$15)</f>
        <v/>
      </c>
      <c r="AG12">
        <f>IF([3]Entry!$E$15="","",[3]Entry!$E$15)</f>
        <v/>
      </c>
      <c r="AH12">
        <f>IF([3]Entry!$G$15="","",[3]Entry!$G$15)</f>
        <v/>
      </c>
      <c r="AI12">
        <f>IF([3]Entry!$K$15="","",[3]Entry!$K$15)</f>
        <v/>
      </c>
      <c r="AJ12">
        <f>IF([3]Entry!$L$15="","",[3]Entry!$L$15)</f>
        <v/>
      </c>
      <c r="AK12">
        <f>IF([3]Entry!$M$15="","",[3]Entry!$M$15)</f>
        <v/>
      </c>
      <c r="AL12">
        <f>IF([3]Entry!$N$15="","",[3]Entry!$N$15)</f>
        <v/>
      </c>
      <c r="AM12">
        <f>IF([3]Entry!$R$15="","",[3]Entry!$R$15)</f>
        <v/>
      </c>
    </row>
    <row r="13">
      <c r="A13">
        <f>IF([1]Accounts!$D$14="","",[1]Accounts!$A$14)</f>
        <v/>
      </c>
      <c r="B13">
        <f>IF([1]Accounts!$D$14="","",[1]Accounts!$B$14)</f>
        <v/>
      </c>
      <c r="C13">
        <f>IF([1]Accounts!$D$14="","",[1]Accounts!$C$14)</f>
        <v/>
      </c>
      <c r="D13">
        <f>IF([1]Accounts!$D$14="","",[1]Accounts!$D$14)</f>
        <v/>
      </c>
      <c r="E13">
        <f>IF([1]Accounts!$D$14="","",[1]Accounts!$E$14)</f>
        <v/>
      </c>
      <c r="F13">
        <f>IF([1]Accounts!$D$14="","",[1]Accounts!$F$14)</f>
        <v/>
      </c>
      <c r="G13">
        <f>IF([1]Accounts!$D$14="","",[1]Accounts!$G$14)</f>
        <v/>
      </c>
      <c r="I13">
        <f>IF([1]Ops!$B$14="","",[1]Ops!$A$14)</f>
        <v/>
      </c>
      <c r="J13">
        <f>IF([1]Ops!$B$14="","",[1]Ops!$B$14)</f>
        <v/>
      </c>
      <c r="K13">
        <f>IF([1]Ops!$B$14="","",[1]Ops!$C$14)</f>
        <v/>
      </c>
      <c r="L13">
        <f>IF([1]Ops!$B$14="","",[1]Ops!$D$14)</f>
        <v/>
      </c>
      <c r="N13">
        <f>IF([1]Params!$A$14="","",[1]Params!$A$14)</f>
        <v/>
      </c>
      <c r="O13">
        <f>IF([1]Params!$B$14="","",[1]Params!$B$14)</f>
        <v/>
      </c>
      <c r="P13">
        <f>[1]Params!$C$14</f>
        <v/>
      </c>
      <c r="T13">
        <f>IF([2]Baskol!$B$16="","",[2]Baskol!$B$16)</f>
        <v/>
      </c>
      <c r="U13">
        <f>IF([2]Baskol!$C$16="","",[2]Baskol!$C$16)</f>
        <v/>
      </c>
      <c r="V13">
        <f>IF([2]Baskol!$D$16="","",[2]Baskol!$D$16)</f>
        <v/>
      </c>
      <c r="W13">
        <f>IF([2]Baskol!$E$16="","",[2]Baskol!$E$16)</f>
        <v/>
      </c>
      <c r="X13">
        <f>IF([2]Baskol!$G$16="","",[2]Baskol!$G$16)</f>
        <v/>
      </c>
      <c r="Y13">
        <f>IF([2]Baskol!$I$16="","",[2]Baskol!$I$16)</f>
        <v/>
      </c>
      <c r="Z13">
        <f>IF([2]Baskol!$J$16="","",[2]Baskol!$J$16)</f>
        <v/>
      </c>
      <c r="AA13">
        <f>IF([2]Baskol!$K$16="","",[2]Baskol!$K$16)</f>
        <v/>
      </c>
      <c r="AB13">
        <f>IF([2]Baskol!$L$16="","",[2]Baskol!$L$16)</f>
        <v/>
      </c>
      <c r="AC13">
        <f>IF([2]Baskol!$N$16="","",[2]Baskol!$N$16)</f>
        <v/>
      </c>
      <c r="AD13">
        <f>IF([2]Baskol!$O$16="","",[2]Baskol!$O$16)</f>
        <v/>
      </c>
      <c r="AE13">
        <f>IF([3]Entry!$C$16="","",[3]Entry!$C$16)</f>
        <v/>
      </c>
      <c r="AF13">
        <f>IF([3]Entry!$D$16="","",[3]Entry!$D$16)</f>
        <v/>
      </c>
      <c r="AG13">
        <f>IF([3]Entry!$E$16="","",[3]Entry!$E$16)</f>
        <v/>
      </c>
      <c r="AH13">
        <f>IF([3]Entry!$G$16="","",[3]Entry!$G$16)</f>
        <v/>
      </c>
      <c r="AI13">
        <f>IF([3]Entry!$K$16="","",[3]Entry!$K$16)</f>
        <v/>
      </c>
      <c r="AJ13">
        <f>IF([3]Entry!$L$16="","",[3]Entry!$L$16)</f>
        <v/>
      </c>
      <c r="AK13">
        <f>IF([3]Entry!$M$16="","",[3]Entry!$M$16)</f>
        <v/>
      </c>
      <c r="AL13">
        <f>IF([3]Entry!$N$16="","",[3]Entry!$N$16)</f>
        <v/>
      </c>
      <c r="AM13">
        <f>IF([3]Entry!$R$16="","",[3]Entry!$R$16)</f>
        <v/>
      </c>
    </row>
    <row r="14">
      <c r="A14">
        <f>IF([1]Accounts!$D$15="","",[1]Accounts!$A$15)</f>
        <v/>
      </c>
      <c r="B14">
        <f>IF([1]Accounts!$D$15="","",[1]Accounts!$B$15)</f>
        <v/>
      </c>
      <c r="C14">
        <f>IF([1]Accounts!$D$15="","",[1]Accounts!$C$15)</f>
        <v/>
      </c>
      <c r="D14">
        <f>IF([1]Accounts!$D$15="","",[1]Accounts!$D$15)</f>
        <v/>
      </c>
      <c r="E14">
        <f>IF([1]Accounts!$D$15="","",[1]Accounts!$E$15)</f>
        <v/>
      </c>
      <c r="F14">
        <f>IF([1]Accounts!$D$15="","",[1]Accounts!$F$15)</f>
        <v/>
      </c>
      <c r="G14">
        <f>IF([1]Accounts!$D$15="","",[1]Accounts!$G$15)</f>
        <v/>
      </c>
      <c r="I14">
        <f>IF([1]Ops!$B$15="","",[1]Ops!$A$15)</f>
        <v/>
      </c>
      <c r="J14">
        <f>IF([1]Ops!$B$15="","",[1]Ops!$B$15)</f>
        <v/>
      </c>
      <c r="K14">
        <f>IF([1]Ops!$B$15="","",[1]Ops!$C$15)</f>
        <v/>
      </c>
      <c r="L14">
        <f>IF([1]Ops!$B$15="","",[1]Ops!$D$15)</f>
        <v/>
      </c>
      <c r="N14">
        <f>IF([1]Params!$A$15="","",[1]Params!$A$15)</f>
        <v/>
      </c>
      <c r="O14">
        <f>IF([1]Params!$B$15="","",[1]Params!$B$15)</f>
        <v/>
      </c>
      <c r="P14">
        <f>[1]Params!$C$15</f>
        <v/>
      </c>
      <c r="T14">
        <f>IF([2]Baskol!$B$17="","",[2]Baskol!$B$17)</f>
        <v/>
      </c>
      <c r="U14">
        <f>IF([2]Baskol!$C$17="","",[2]Baskol!$C$17)</f>
        <v/>
      </c>
      <c r="V14">
        <f>IF([2]Baskol!$D$17="","",[2]Baskol!$D$17)</f>
        <v/>
      </c>
      <c r="W14">
        <f>IF([2]Baskol!$E$17="","",[2]Baskol!$E$17)</f>
        <v/>
      </c>
      <c r="X14">
        <f>IF([2]Baskol!$G$17="","",[2]Baskol!$G$17)</f>
        <v/>
      </c>
      <c r="Y14">
        <f>IF([2]Baskol!$I$17="","",[2]Baskol!$I$17)</f>
        <v/>
      </c>
      <c r="Z14">
        <f>IF([2]Baskol!$J$17="","",[2]Baskol!$J$17)</f>
        <v/>
      </c>
      <c r="AA14">
        <f>IF([2]Baskol!$K$17="","",[2]Baskol!$K$17)</f>
        <v/>
      </c>
      <c r="AB14">
        <f>IF([2]Baskol!$L$17="","",[2]Baskol!$L$17)</f>
        <v/>
      </c>
      <c r="AC14">
        <f>IF([2]Baskol!$N$17="","",[2]Baskol!$N$17)</f>
        <v/>
      </c>
      <c r="AD14">
        <f>IF([2]Baskol!$O$17="","",[2]Baskol!$O$17)</f>
        <v/>
      </c>
      <c r="AE14">
        <f>IF([3]Entry!$C$17="","",[3]Entry!$C$17)</f>
        <v/>
      </c>
      <c r="AF14">
        <f>IF([3]Entry!$D$17="","",[3]Entry!$D$17)</f>
        <v/>
      </c>
      <c r="AG14">
        <f>IF([3]Entry!$E$17="","",[3]Entry!$E$17)</f>
        <v/>
      </c>
      <c r="AH14">
        <f>IF([3]Entry!$G$17="","",[3]Entry!$G$17)</f>
        <v/>
      </c>
      <c r="AI14">
        <f>IF([3]Entry!$K$17="","",[3]Entry!$K$17)</f>
        <v/>
      </c>
      <c r="AJ14">
        <f>IF([3]Entry!$L$17="","",[3]Entry!$L$17)</f>
        <v/>
      </c>
      <c r="AK14">
        <f>IF([3]Entry!$M$17="","",[3]Entry!$M$17)</f>
        <v/>
      </c>
      <c r="AL14">
        <f>IF([3]Entry!$N$17="","",[3]Entry!$N$17)</f>
        <v/>
      </c>
      <c r="AM14">
        <f>IF([3]Entry!$R$17="","",[3]Entry!$R$17)</f>
        <v/>
      </c>
    </row>
    <row r="15">
      <c r="A15">
        <f>IF([1]Accounts!$D$16="","",[1]Accounts!$A$16)</f>
        <v/>
      </c>
      <c r="B15">
        <f>IF([1]Accounts!$D$16="","",[1]Accounts!$B$16)</f>
        <v/>
      </c>
      <c r="C15">
        <f>IF([1]Accounts!$D$16="","",[1]Accounts!$C$16)</f>
        <v/>
      </c>
      <c r="D15">
        <f>IF([1]Accounts!$D$16="","",[1]Accounts!$D$16)</f>
        <v/>
      </c>
      <c r="E15">
        <f>IF([1]Accounts!$D$16="","",[1]Accounts!$E$16)</f>
        <v/>
      </c>
      <c r="F15">
        <f>IF([1]Accounts!$D$16="","",[1]Accounts!$F$16)</f>
        <v/>
      </c>
      <c r="G15">
        <f>IF([1]Accounts!$D$16="","",[1]Accounts!$G$16)</f>
        <v/>
      </c>
      <c r="I15">
        <f>IF([1]Ops!$B$16="","",[1]Ops!$A$16)</f>
        <v/>
      </c>
      <c r="J15">
        <f>IF([1]Ops!$B$16="","",[1]Ops!$B$16)</f>
        <v/>
      </c>
      <c r="K15">
        <f>IF([1]Ops!$B$16="","",[1]Ops!$C$16)</f>
        <v/>
      </c>
      <c r="L15">
        <f>IF([1]Ops!$B$16="","",[1]Ops!$D$16)</f>
        <v/>
      </c>
      <c r="N15">
        <f>IF([1]Params!$A$16="","",[1]Params!$A$16)</f>
        <v/>
      </c>
      <c r="O15">
        <f>IF([1]Params!$B$16="","",[1]Params!$B$16)</f>
        <v/>
      </c>
      <c r="P15">
        <f>[1]Params!$C$16</f>
        <v/>
      </c>
      <c r="T15">
        <f>IF([2]Baskol!$B$18="","",[2]Baskol!$B$18)</f>
        <v/>
      </c>
      <c r="U15">
        <f>IF([2]Baskol!$C$18="","",[2]Baskol!$C$18)</f>
        <v/>
      </c>
      <c r="V15">
        <f>IF([2]Baskol!$D$18="","",[2]Baskol!$D$18)</f>
        <v/>
      </c>
      <c r="W15">
        <f>IF([2]Baskol!$E$18="","",[2]Baskol!$E$18)</f>
        <v/>
      </c>
      <c r="X15">
        <f>IF([2]Baskol!$G$18="","",[2]Baskol!$G$18)</f>
        <v/>
      </c>
      <c r="Y15">
        <f>IF([2]Baskol!$I$18="","",[2]Baskol!$I$18)</f>
        <v/>
      </c>
      <c r="Z15">
        <f>IF([2]Baskol!$J$18="","",[2]Baskol!$J$18)</f>
        <v/>
      </c>
      <c r="AA15">
        <f>IF([2]Baskol!$K$18="","",[2]Baskol!$K$18)</f>
        <v/>
      </c>
      <c r="AB15">
        <f>IF([2]Baskol!$L$18="","",[2]Baskol!$L$18)</f>
        <v/>
      </c>
      <c r="AC15">
        <f>IF([2]Baskol!$N$18="","",[2]Baskol!$N$18)</f>
        <v/>
      </c>
      <c r="AD15">
        <f>IF([2]Baskol!$O$18="","",[2]Baskol!$O$18)</f>
        <v/>
      </c>
      <c r="AE15">
        <f>IF([3]Entry!$C$18="","",[3]Entry!$C$18)</f>
        <v/>
      </c>
      <c r="AF15">
        <f>IF([3]Entry!$D$18="","",[3]Entry!$D$18)</f>
        <v/>
      </c>
      <c r="AG15">
        <f>IF([3]Entry!$E$18="","",[3]Entry!$E$18)</f>
        <v/>
      </c>
      <c r="AH15">
        <f>IF([3]Entry!$G$18="","",[3]Entry!$G$18)</f>
        <v/>
      </c>
      <c r="AI15">
        <f>IF([3]Entry!$K$18="","",[3]Entry!$K$18)</f>
        <v/>
      </c>
      <c r="AJ15">
        <f>IF([3]Entry!$L$18="","",[3]Entry!$L$18)</f>
        <v/>
      </c>
      <c r="AK15">
        <f>IF([3]Entry!$M$18="","",[3]Entry!$M$18)</f>
        <v/>
      </c>
      <c r="AL15">
        <f>IF([3]Entry!$N$18="","",[3]Entry!$N$18)</f>
        <v/>
      </c>
      <c r="AM15">
        <f>IF([3]Entry!$R$18="","",[3]Entry!$R$18)</f>
        <v/>
      </c>
    </row>
    <row r="16">
      <c r="A16">
        <f>IF([1]Accounts!$D$17="","",[1]Accounts!$A$17)</f>
        <v/>
      </c>
      <c r="B16">
        <f>IF([1]Accounts!$D$17="","",[1]Accounts!$B$17)</f>
        <v/>
      </c>
      <c r="C16">
        <f>IF([1]Accounts!$D$17="","",[1]Accounts!$C$17)</f>
        <v/>
      </c>
      <c r="D16">
        <f>IF([1]Accounts!$D$17="","",[1]Accounts!$D$17)</f>
        <v/>
      </c>
      <c r="E16">
        <f>IF([1]Accounts!$D$17="","",[1]Accounts!$E$17)</f>
        <v/>
      </c>
      <c r="F16">
        <f>IF([1]Accounts!$D$17="","",[1]Accounts!$F$17)</f>
        <v/>
      </c>
      <c r="G16">
        <f>IF([1]Accounts!$D$17="","",[1]Accounts!$G$17)</f>
        <v/>
      </c>
      <c r="I16">
        <f>IF([1]Ops!$B$17="","",[1]Ops!$A$17)</f>
        <v/>
      </c>
      <c r="J16">
        <f>IF([1]Ops!$B$17="","",[1]Ops!$B$17)</f>
        <v/>
      </c>
      <c r="K16">
        <f>IF([1]Ops!$B$17="","",[1]Ops!$C$17)</f>
        <v/>
      </c>
      <c r="L16">
        <f>IF([1]Ops!$B$17="","",[1]Ops!$D$17)</f>
        <v/>
      </c>
      <c r="N16">
        <f>IF([1]Params!$A$17="","",[1]Params!$A$17)</f>
        <v/>
      </c>
      <c r="O16">
        <f>IF([1]Params!$B$17="","",[1]Params!$B$17)</f>
        <v/>
      </c>
      <c r="P16">
        <f>[1]Params!$C$17</f>
        <v/>
      </c>
      <c r="T16">
        <f>IF([2]Baskol!$B$19="","",[2]Baskol!$B$19)</f>
        <v/>
      </c>
      <c r="U16">
        <f>IF([2]Baskol!$C$19="","",[2]Baskol!$C$19)</f>
        <v/>
      </c>
      <c r="V16">
        <f>IF([2]Baskol!$D$19="","",[2]Baskol!$D$19)</f>
        <v/>
      </c>
      <c r="W16">
        <f>IF([2]Baskol!$E$19="","",[2]Baskol!$E$19)</f>
        <v/>
      </c>
      <c r="X16">
        <f>IF([2]Baskol!$G$19="","",[2]Baskol!$G$19)</f>
        <v/>
      </c>
      <c r="Y16">
        <f>IF([2]Baskol!$I$19="","",[2]Baskol!$I$19)</f>
        <v/>
      </c>
      <c r="Z16">
        <f>IF([2]Baskol!$J$19="","",[2]Baskol!$J$19)</f>
        <v/>
      </c>
      <c r="AA16">
        <f>IF([2]Baskol!$K$19="","",[2]Baskol!$K$19)</f>
        <v/>
      </c>
      <c r="AB16">
        <f>IF([2]Baskol!$L$19="","",[2]Baskol!$L$19)</f>
        <v/>
      </c>
      <c r="AC16">
        <f>IF([2]Baskol!$N$19="","",[2]Baskol!$N$19)</f>
        <v/>
      </c>
      <c r="AD16">
        <f>IF([2]Baskol!$O$19="","",[2]Baskol!$O$19)</f>
        <v/>
      </c>
      <c r="AE16">
        <f>IF([3]Entry!$C$19="","",[3]Entry!$C$19)</f>
        <v/>
      </c>
      <c r="AF16">
        <f>IF([3]Entry!$D$19="","",[3]Entry!$D$19)</f>
        <v/>
      </c>
      <c r="AG16">
        <f>IF([3]Entry!$E$19="","",[3]Entry!$E$19)</f>
        <v/>
      </c>
      <c r="AH16">
        <f>IF([3]Entry!$G$19="","",[3]Entry!$G$19)</f>
        <v/>
      </c>
      <c r="AI16">
        <f>IF([3]Entry!$K$19="","",[3]Entry!$K$19)</f>
        <v/>
      </c>
      <c r="AJ16">
        <f>IF([3]Entry!$L$19="","",[3]Entry!$L$19)</f>
        <v/>
      </c>
      <c r="AK16">
        <f>IF([3]Entry!$M$19="","",[3]Entry!$M$19)</f>
        <v/>
      </c>
      <c r="AL16">
        <f>IF([3]Entry!$N$19="","",[3]Entry!$N$19)</f>
        <v/>
      </c>
      <c r="AM16">
        <f>IF([3]Entry!$R$19="","",[3]Entry!$R$19)</f>
        <v/>
      </c>
    </row>
    <row r="17">
      <c r="A17">
        <f>IF([1]Accounts!$D$18="","",[1]Accounts!$A$18)</f>
        <v/>
      </c>
      <c r="B17">
        <f>IF([1]Accounts!$D$18="","",[1]Accounts!$B$18)</f>
        <v/>
      </c>
      <c r="C17">
        <f>IF([1]Accounts!$D$18="","",[1]Accounts!$C$18)</f>
        <v/>
      </c>
      <c r="D17">
        <f>IF([1]Accounts!$D$18="","",[1]Accounts!$D$18)</f>
        <v/>
      </c>
      <c r="E17">
        <f>IF([1]Accounts!$D$18="","",[1]Accounts!$E$18)</f>
        <v/>
      </c>
      <c r="F17">
        <f>IF([1]Accounts!$D$18="","",[1]Accounts!$F$18)</f>
        <v/>
      </c>
      <c r="G17">
        <f>IF([1]Accounts!$D$18="","",[1]Accounts!$G$18)</f>
        <v/>
      </c>
      <c r="I17">
        <f>IF([1]Ops!$B$18="","",[1]Ops!$A$18)</f>
        <v/>
      </c>
      <c r="J17">
        <f>IF([1]Ops!$B$18="","",[1]Ops!$B$18)</f>
        <v/>
      </c>
      <c r="K17">
        <f>IF([1]Ops!$B$18="","",[1]Ops!$C$18)</f>
        <v/>
      </c>
      <c r="L17">
        <f>IF([1]Ops!$B$18="","",[1]Ops!$D$18)</f>
        <v/>
      </c>
      <c r="N17">
        <f>IF([1]Params!$A$18="","",[1]Params!$A$18)</f>
        <v/>
      </c>
      <c r="O17">
        <f>IF([1]Params!$B$18="","",[1]Params!$B$18)</f>
        <v/>
      </c>
      <c r="P17">
        <f>[1]Params!$C$18</f>
        <v/>
      </c>
      <c r="T17">
        <f>IF([2]Baskol!$B$20="","",[2]Baskol!$B$20)</f>
        <v/>
      </c>
      <c r="U17">
        <f>IF([2]Baskol!$C$20="","",[2]Baskol!$C$20)</f>
        <v/>
      </c>
      <c r="V17">
        <f>IF([2]Baskol!$D$20="","",[2]Baskol!$D$20)</f>
        <v/>
      </c>
      <c r="W17">
        <f>IF([2]Baskol!$E$20="","",[2]Baskol!$E$20)</f>
        <v/>
      </c>
      <c r="X17">
        <f>IF([2]Baskol!$G$20="","",[2]Baskol!$G$20)</f>
        <v/>
      </c>
      <c r="Y17">
        <f>IF([2]Baskol!$I$20="","",[2]Baskol!$I$20)</f>
        <v/>
      </c>
      <c r="Z17">
        <f>IF([2]Baskol!$J$20="","",[2]Baskol!$J$20)</f>
        <v/>
      </c>
      <c r="AA17">
        <f>IF([2]Baskol!$K$20="","",[2]Baskol!$K$20)</f>
        <v/>
      </c>
      <c r="AB17">
        <f>IF([2]Baskol!$L$20="","",[2]Baskol!$L$20)</f>
        <v/>
      </c>
      <c r="AC17">
        <f>IF([2]Baskol!$N$20="","",[2]Baskol!$N$20)</f>
        <v/>
      </c>
      <c r="AD17">
        <f>IF([2]Baskol!$O$20="","",[2]Baskol!$O$20)</f>
        <v/>
      </c>
      <c r="AE17">
        <f>IF([3]Entry!$C$20="","",[3]Entry!$C$20)</f>
        <v/>
      </c>
      <c r="AF17">
        <f>IF([3]Entry!$D$20="","",[3]Entry!$D$20)</f>
        <v/>
      </c>
      <c r="AG17">
        <f>IF([3]Entry!$E$20="","",[3]Entry!$E$20)</f>
        <v/>
      </c>
      <c r="AH17">
        <f>IF([3]Entry!$G$20="","",[3]Entry!$G$20)</f>
        <v/>
      </c>
      <c r="AI17">
        <f>IF([3]Entry!$K$20="","",[3]Entry!$K$20)</f>
        <v/>
      </c>
      <c r="AJ17">
        <f>IF([3]Entry!$L$20="","",[3]Entry!$L$20)</f>
        <v/>
      </c>
      <c r="AK17">
        <f>IF([3]Entry!$M$20="","",[3]Entry!$M$20)</f>
        <v/>
      </c>
      <c r="AL17">
        <f>IF([3]Entry!$N$20="","",[3]Entry!$N$20)</f>
        <v/>
      </c>
      <c r="AM17">
        <f>IF([3]Entry!$R$20="","",[3]Entry!$R$20)</f>
        <v/>
      </c>
    </row>
    <row r="18">
      <c r="A18">
        <f>IF([1]Accounts!$D$19="","",[1]Accounts!$A$19)</f>
        <v/>
      </c>
      <c r="B18">
        <f>IF([1]Accounts!$D$19="","",[1]Accounts!$B$19)</f>
        <v/>
      </c>
      <c r="C18">
        <f>IF([1]Accounts!$D$19="","",[1]Accounts!$C$19)</f>
        <v/>
      </c>
      <c r="D18">
        <f>IF([1]Accounts!$D$19="","",[1]Accounts!$D$19)</f>
        <v/>
      </c>
      <c r="E18">
        <f>IF([1]Accounts!$D$19="","",[1]Accounts!$E$19)</f>
        <v/>
      </c>
      <c r="F18">
        <f>IF([1]Accounts!$D$19="","",[1]Accounts!$F$19)</f>
        <v/>
      </c>
      <c r="G18">
        <f>IF([1]Accounts!$D$19="","",[1]Accounts!$G$19)</f>
        <v/>
      </c>
      <c r="I18">
        <f>IF([1]Ops!$B$19="","",[1]Ops!$A$19)</f>
        <v/>
      </c>
      <c r="J18">
        <f>IF([1]Ops!$B$19="","",[1]Ops!$B$19)</f>
        <v/>
      </c>
      <c r="K18">
        <f>IF([1]Ops!$B$19="","",[1]Ops!$C$19)</f>
        <v/>
      </c>
      <c r="L18">
        <f>IF([1]Ops!$B$19="","",[1]Ops!$D$19)</f>
        <v/>
      </c>
      <c r="T18">
        <f>IF([2]Baskol!$B$21="","",[2]Baskol!$B$21)</f>
        <v/>
      </c>
      <c r="U18">
        <f>IF([2]Baskol!$C$21="","",[2]Baskol!$C$21)</f>
        <v/>
      </c>
      <c r="V18">
        <f>IF([2]Baskol!$D$21="","",[2]Baskol!$D$21)</f>
        <v/>
      </c>
      <c r="W18">
        <f>IF([2]Baskol!$E$21="","",[2]Baskol!$E$21)</f>
        <v/>
      </c>
      <c r="X18">
        <f>IF([2]Baskol!$G$21="","",[2]Baskol!$G$21)</f>
        <v/>
      </c>
      <c r="Y18">
        <f>IF([2]Baskol!$I$21="","",[2]Baskol!$I$21)</f>
        <v/>
      </c>
      <c r="Z18">
        <f>IF([2]Baskol!$J$21="","",[2]Baskol!$J$21)</f>
        <v/>
      </c>
      <c r="AA18">
        <f>IF([2]Baskol!$K$21="","",[2]Baskol!$K$21)</f>
        <v/>
      </c>
      <c r="AB18">
        <f>IF([2]Baskol!$L$21="","",[2]Baskol!$L$21)</f>
        <v/>
      </c>
      <c r="AC18">
        <f>IF([2]Baskol!$N$21="","",[2]Baskol!$N$21)</f>
        <v/>
      </c>
      <c r="AD18">
        <f>IF([2]Baskol!$O$21="","",[2]Baskol!$O$21)</f>
        <v/>
      </c>
      <c r="AE18">
        <f>IF([3]Entry!$C$21="","",[3]Entry!$C$21)</f>
        <v/>
      </c>
      <c r="AF18">
        <f>IF([3]Entry!$D$21="","",[3]Entry!$D$21)</f>
        <v/>
      </c>
      <c r="AG18">
        <f>IF([3]Entry!$E$21="","",[3]Entry!$E$21)</f>
        <v/>
      </c>
      <c r="AH18">
        <f>IF([3]Entry!$G$21="","",[3]Entry!$G$21)</f>
        <v/>
      </c>
      <c r="AI18">
        <f>IF([3]Entry!$K$21="","",[3]Entry!$K$21)</f>
        <v/>
      </c>
      <c r="AJ18">
        <f>IF([3]Entry!$L$21="","",[3]Entry!$L$21)</f>
        <v/>
      </c>
      <c r="AK18">
        <f>IF([3]Entry!$M$21="","",[3]Entry!$M$21)</f>
        <v/>
      </c>
      <c r="AL18">
        <f>IF([3]Entry!$N$21="","",[3]Entry!$N$21)</f>
        <v/>
      </c>
      <c r="AM18">
        <f>IF([3]Entry!$R$21="","",[3]Entry!$R$21)</f>
        <v/>
      </c>
    </row>
    <row r="19">
      <c r="A19">
        <f>IF([1]Accounts!$D$20="","",[1]Accounts!$A$20)</f>
        <v/>
      </c>
      <c r="B19">
        <f>IF([1]Accounts!$D$20="","",[1]Accounts!$B$20)</f>
        <v/>
      </c>
      <c r="C19">
        <f>IF([1]Accounts!$D$20="","",[1]Accounts!$C$20)</f>
        <v/>
      </c>
      <c r="D19">
        <f>IF([1]Accounts!$D$20="","",[1]Accounts!$D$20)</f>
        <v/>
      </c>
      <c r="E19">
        <f>IF([1]Accounts!$D$20="","",[1]Accounts!$E$20)</f>
        <v/>
      </c>
      <c r="F19">
        <f>IF([1]Accounts!$D$20="","",[1]Accounts!$F$20)</f>
        <v/>
      </c>
      <c r="G19">
        <f>IF([1]Accounts!$D$20="","",[1]Accounts!$G$20)</f>
        <v/>
      </c>
      <c r="I19">
        <f>IF([1]Ops!$B$20="","",[1]Ops!$A$20)</f>
        <v/>
      </c>
      <c r="J19">
        <f>IF([1]Ops!$B$20="","",[1]Ops!$B$20)</f>
        <v/>
      </c>
      <c r="K19">
        <f>IF([1]Ops!$B$20="","",[1]Ops!$C$20)</f>
        <v/>
      </c>
      <c r="L19">
        <f>IF([1]Ops!$B$20="","",[1]Ops!$D$20)</f>
        <v/>
      </c>
      <c r="T19">
        <f>IF([2]Baskol!$B$22="","",[2]Baskol!$B$22)</f>
        <v/>
      </c>
      <c r="U19">
        <f>IF([2]Baskol!$C$22="","",[2]Baskol!$C$22)</f>
        <v/>
      </c>
      <c r="V19">
        <f>IF([2]Baskol!$D$22="","",[2]Baskol!$D$22)</f>
        <v/>
      </c>
      <c r="W19">
        <f>IF([2]Baskol!$E$22="","",[2]Baskol!$E$22)</f>
        <v/>
      </c>
      <c r="X19">
        <f>IF([2]Baskol!$G$22="","",[2]Baskol!$G$22)</f>
        <v/>
      </c>
      <c r="Y19">
        <f>IF([2]Baskol!$I$22="","",[2]Baskol!$I$22)</f>
        <v/>
      </c>
      <c r="Z19">
        <f>IF([2]Baskol!$J$22="","",[2]Baskol!$J$22)</f>
        <v/>
      </c>
      <c r="AA19">
        <f>IF([2]Baskol!$K$22="","",[2]Baskol!$K$22)</f>
        <v/>
      </c>
      <c r="AB19">
        <f>IF([2]Baskol!$L$22="","",[2]Baskol!$L$22)</f>
        <v/>
      </c>
      <c r="AC19">
        <f>IF([2]Baskol!$N$22="","",[2]Baskol!$N$22)</f>
        <v/>
      </c>
      <c r="AD19">
        <f>IF([2]Baskol!$O$22="","",[2]Baskol!$O$22)</f>
        <v/>
      </c>
      <c r="AE19">
        <f>IF([3]Entry!$C$22="","",[3]Entry!$C$22)</f>
        <v/>
      </c>
      <c r="AF19">
        <f>IF([3]Entry!$D$22="","",[3]Entry!$D$22)</f>
        <v/>
      </c>
      <c r="AG19">
        <f>IF([3]Entry!$E$22="","",[3]Entry!$E$22)</f>
        <v/>
      </c>
      <c r="AH19">
        <f>IF([3]Entry!$G$22="","",[3]Entry!$G$22)</f>
        <v/>
      </c>
      <c r="AI19">
        <f>IF([3]Entry!$K$22="","",[3]Entry!$K$22)</f>
        <v/>
      </c>
      <c r="AJ19">
        <f>IF([3]Entry!$L$22="","",[3]Entry!$L$22)</f>
        <v/>
      </c>
      <c r="AK19">
        <f>IF([3]Entry!$M$22="","",[3]Entry!$M$22)</f>
        <v/>
      </c>
      <c r="AL19">
        <f>IF([3]Entry!$N$22="","",[3]Entry!$N$22)</f>
        <v/>
      </c>
      <c r="AM19">
        <f>IF([3]Entry!$R$22="","",[3]Entry!$R$22)</f>
        <v/>
      </c>
    </row>
    <row r="20">
      <c r="A20">
        <f>IF([1]Accounts!$D$21="","",[1]Accounts!$A$21)</f>
        <v/>
      </c>
      <c r="B20">
        <f>IF([1]Accounts!$D$21="","",[1]Accounts!$B$21)</f>
        <v/>
      </c>
      <c r="C20">
        <f>IF([1]Accounts!$D$21="","",[1]Accounts!$C$21)</f>
        <v/>
      </c>
      <c r="D20">
        <f>IF([1]Accounts!$D$21="","",[1]Accounts!$D$21)</f>
        <v/>
      </c>
      <c r="E20">
        <f>IF([1]Accounts!$D$21="","",[1]Accounts!$E$21)</f>
        <v/>
      </c>
      <c r="F20">
        <f>IF([1]Accounts!$D$21="","",[1]Accounts!$F$21)</f>
        <v/>
      </c>
      <c r="G20">
        <f>IF([1]Accounts!$D$21="","",[1]Accounts!$G$21)</f>
        <v/>
      </c>
      <c r="I20">
        <f>IF([1]Ops!$B$21="","",[1]Ops!$A$21)</f>
        <v/>
      </c>
      <c r="J20">
        <f>IF([1]Ops!$B$21="","",[1]Ops!$B$21)</f>
        <v/>
      </c>
      <c r="K20">
        <f>IF([1]Ops!$B$21="","",[1]Ops!$C$21)</f>
        <v/>
      </c>
      <c r="L20">
        <f>IF([1]Ops!$B$21="","",[1]Ops!$D$21)</f>
        <v/>
      </c>
      <c r="T20">
        <f>IF([2]Baskol!$B$23="","",[2]Baskol!$B$23)</f>
        <v/>
      </c>
      <c r="U20">
        <f>IF([2]Baskol!$C$23="","",[2]Baskol!$C$23)</f>
        <v/>
      </c>
      <c r="V20">
        <f>IF([2]Baskol!$D$23="","",[2]Baskol!$D$23)</f>
        <v/>
      </c>
      <c r="W20">
        <f>IF([2]Baskol!$E$23="","",[2]Baskol!$E$23)</f>
        <v/>
      </c>
      <c r="X20">
        <f>IF([2]Baskol!$G$23="","",[2]Baskol!$G$23)</f>
        <v/>
      </c>
      <c r="Y20">
        <f>IF([2]Baskol!$I$23="","",[2]Baskol!$I$23)</f>
        <v/>
      </c>
      <c r="Z20">
        <f>IF([2]Baskol!$J$23="","",[2]Baskol!$J$23)</f>
        <v/>
      </c>
      <c r="AA20">
        <f>IF([2]Baskol!$K$23="","",[2]Baskol!$K$23)</f>
        <v/>
      </c>
      <c r="AB20">
        <f>IF([2]Baskol!$L$23="","",[2]Baskol!$L$23)</f>
        <v/>
      </c>
      <c r="AC20">
        <f>IF([2]Baskol!$N$23="","",[2]Baskol!$N$23)</f>
        <v/>
      </c>
      <c r="AD20">
        <f>IF([2]Baskol!$O$23="","",[2]Baskol!$O$23)</f>
        <v/>
      </c>
      <c r="AE20">
        <f>IF([3]Entry!$C$23="","",[3]Entry!$C$23)</f>
        <v/>
      </c>
      <c r="AF20">
        <f>IF([3]Entry!$D$23="","",[3]Entry!$D$23)</f>
        <v/>
      </c>
      <c r="AG20">
        <f>IF([3]Entry!$E$23="","",[3]Entry!$E$23)</f>
        <v/>
      </c>
      <c r="AH20">
        <f>IF([3]Entry!$G$23="","",[3]Entry!$G$23)</f>
        <v/>
      </c>
      <c r="AI20">
        <f>IF([3]Entry!$K$23="","",[3]Entry!$K$23)</f>
        <v/>
      </c>
      <c r="AJ20">
        <f>IF([3]Entry!$L$23="","",[3]Entry!$L$23)</f>
        <v/>
      </c>
      <c r="AK20">
        <f>IF([3]Entry!$M$23="","",[3]Entry!$M$23)</f>
        <v/>
      </c>
      <c r="AL20">
        <f>IF([3]Entry!$N$23="","",[3]Entry!$N$23)</f>
        <v/>
      </c>
      <c r="AM20">
        <f>IF([3]Entry!$R$23="","",[3]Entry!$R$23)</f>
        <v/>
      </c>
    </row>
    <row r="21">
      <c r="A21">
        <f>IF([1]Accounts!$D$22="","",[1]Accounts!$A$22)</f>
        <v/>
      </c>
      <c r="B21">
        <f>IF([1]Accounts!$D$22="","",[1]Accounts!$B$22)</f>
        <v/>
      </c>
      <c r="C21">
        <f>IF([1]Accounts!$D$22="","",[1]Accounts!$C$22)</f>
        <v/>
      </c>
      <c r="D21">
        <f>IF([1]Accounts!$D$22="","",[1]Accounts!$D$22)</f>
        <v/>
      </c>
      <c r="E21">
        <f>IF([1]Accounts!$D$22="","",[1]Accounts!$E$22)</f>
        <v/>
      </c>
      <c r="F21">
        <f>IF([1]Accounts!$D$22="","",[1]Accounts!$F$22)</f>
        <v/>
      </c>
      <c r="G21">
        <f>IF([1]Accounts!$D$22="","",[1]Accounts!$G$22)</f>
        <v/>
      </c>
      <c r="I21">
        <f>IF([1]Ops!$B$22="","",[1]Ops!$A$22)</f>
        <v/>
      </c>
      <c r="J21">
        <f>IF([1]Ops!$B$22="","",[1]Ops!$B$22)</f>
        <v/>
      </c>
      <c r="K21">
        <f>IF([1]Ops!$B$22="","",[1]Ops!$C$22)</f>
        <v/>
      </c>
      <c r="L21">
        <f>IF([1]Ops!$B$22="","",[1]Ops!$D$22)</f>
        <v/>
      </c>
      <c r="T21">
        <f>IF([2]Baskol!$B$24="","",[2]Baskol!$B$24)</f>
        <v/>
      </c>
      <c r="U21">
        <f>IF([2]Baskol!$C$24="","",[2]Baskol!$C$24)</f>
        <v/>
      </c>
      <c r="V21">
        <f>IF([2]Baskol!$D$24="","",[2]Baskol!$D$24)</f>
        <v/>
      </c>
      <c r="W21">
        <f>IF([2]Baskol!$E$24="","",[2]Baskol!$E$24)</f>
        <v/>
      </c>
      <c r="X21">
        <f>IF([2]Baskol!$G$24="","",[2]Baskol!$G$24)</f>
        <v/>
      </c>
      <c r="Y21">
        <f>IF([2]Baskol!$I$24="","",[2]Baskol!$I$24)</f>
        <v/>
      </c>
      <c r="Z21">
        <f>IF([2]Baskol!$J$24="","",[2]Baskol!$J$24)</f>
        <v/>
      </c>
      <c r="AA21">
        <f>IF([2]Baskol!$K$24="","",[2]Baskol!$K$24)</f>
        <v/>
      </c>
      <c r="AB21">
        <f>IF([2]Baskol!$L$24="","",[2]Baskol!$L$24)</f>
        <v/>
      </c>
      <c r="AC21">
        <f>IF([2]Baskol!$N$24="","",[2]Baskol!$N$24)</f>
        <v/>
      </c>
      <c r="AD21">
        <f>IF([2]Baskol!$O$24="","",[2]Baskol!$O$24)</f>
        <v/>
      </c>
      <c r="AE21">
        <f>IF([3]Entry!$C$24="","",[3]Entry!$C$24)</f>
        <v/>
      </c>
      <c r="AF21">
        <f>IF([3]Entry!$D$24="","",[3]Entry!$D$24)</f>
        <v/>
      </c>
      <c r="AG21">
        <f>IF([3]Entry!$E$24="","",[3]Entry!$E$24)</f>
        <v/>
      </c>
      <c r="AH21">
        <f>IF([3]Entry!$G$24="","",[3]Entry!$G$24)</f>
        <v/>
      </c>
      <c r="AI21">
        <f>IF([3]Entry!$K$24="","",[3]Entry!$K$24)</f>
        <v/>
      </c>
      <c r="AJ21">
        <f>IF([3]Entry!$L$24="","",[3]Entry!$L$24)</f>
        <v/>
      </c>
      <c r="AK21">
        <f>IF([3]Entry!$M$24="","",[3]Entry!$M$24)</f>
        <v/>
      </c>
      <c r="AL21">
        <f>IF([3]Entry!$N$24="","",[3]Entry!$N$24)</f>
        <v/>
      </c>
      <c r="AM21">
        <f>IF([3]Entry!$R$24="","",[3]Entry!$R$24)</f>
        <v/>
      </c>
    </row>
    <row r="22">
      <c r="A22">
        <f>IF([1]Accounts!$D$23="","",[1]Accounts!$A$23)</f>
        <v/>
      </c>
      <c r="B22">
        <f>IF([1]Accounts!$D$23="","",[1]Accounts!$B$23)</f>
        <v/>
      </c>
      <c r="C22">
        <f>IF([1]Accounts!$D$23="","",[1]Accounts!$C$23)</f>
        <v/>
      </c>
      <c r="D22">
        <f>IF([1]Accounts!$D$23="","",[1]Accounts!$D$23)</f>
        <v/>
      </c>
      <c r="E22">
        <f>IF([1]Accounts!$D$23="","",[1]Accounts!$E$23)</f>
        <v/>
      </c>
      <c r="F22">
        <f>IF([1]Accounts!$D$23="","",[1]Accounts!$F$23)</f>
        <v/>
      </c>
      <c r="G22">
        <f>IF([1]Accounts!$D$23="","",[1]Accounts!$G$23)</f>
        <v/>
      </c>
      <c r="I22">
        <f>IF([1]Ops!$B$23="","",[1]Ops!$A$23)</f>
        <v/>
      </c>
      <c r="J22">
        <f>IF([1]Ops!$B$23="","",[1]Ops!$B$23)</f>
        <v/>
      </c>
      <c r="K22">
        <f>IF([1]Ops!$B$23="","",[1]Ops!$C$23)</f>
        <v/>
      </c>
      <c r="L22">
        <f>IF([1]Ops!$B$23="","",[1]Ops!$D$23)</f>
        <v/>
      </c>
      <c r="T22">
        <f>IF([2]Baskol!$B$25="","",[2]Baskol!$B$25)</f>
        <v/>
      </c>
      <c r="U22">
        <f>IF([2]Baskol!$C$25="","",[2]Baskol!$C$25)</f>
        <v/>
      </c>
      <c r="V22">
        <f>IF([2]Baskol!$D$25="","",[2]Baskol!$D$25)</f>
        <v/>
      </c>
      <c r="W22">
        <f>IF([2]Baskol!$E$25="","",[2]Baskol!$E$25)</f>
        <v/>
      </c>
      <c r="X22">
        <f>IF([2]Baskol!$G$25="","",[2]Baskol!$G$25)</f>
        <v/>
      </c>
      <c r="Y22">
        <f>IF([2]Baskol!$I$25="","",[2]Baskol!$I$25)</f>
        <v/>
      </c>
      <c r="Z22">
        <f>IF([2]Baskol!$J$25="","",[2]Baskol!$J$25)</f>
        <v/>
      </c>
      <c r="AA22">
        <f>IF([2]Baskol!$K$25="","",[2]Baskol!$K$25)</f>
        <v/>
      </c>
      <c r="AB22">
        <f>IF([2]Baskol!$L$25="","",[2]Baskol!$L$25)</f>
        <v/>
      </c>
      <c r="AC22">
        <f>IF([2]Baskol!$N$25="","",[2]Baskol!$N$25)</f>
        <v/>
      </c>
      <c r="AD22">
        <f>IF([2]Baskol!$O$25="","",[2]Baskol!$O$25)</f>
        <v/>
      </c>
      <c r="AE22">
        <f>IF([3]Entry!$C$25="","",[3]Entry!$C$25)</f>
        <v/>
      </c>
      <c r="AF22">
        <f>IF([3]Entry!$D$25="","",[3]Entry!$D$25)</f>
        <v/>
      </c>
      <c r="AG22">
        <f>IF([3]Entry!$E$25="","",[3]Entry!$E$25)</f>
        <v/>
      </c>
      <c r="AH22">
        <f>IF([3]Entry!$G$25="","",[3]Entry!$G$25)</f>
        <v/>
      </c>
      <c r="AI22">
        <f>IF([3]Entry!$K$25="","",[3]Entry!$K$25)</f>
        <v/>
      </c>
      <c r="AJ22">
        <f>IF([3]Entry!$L$25="","",[3]Entry!$L$25)</f>
        <v/>
      </c>
      <c r="AK22">
        <f>IF([3]Entry!$M$25="","",[3]Entry!$M$25)</f>
        <v/>
      </c>
      <c r="AL22">
        <f>IF([3]Entry!$N$25="","",[3]Entry!$N$25)</f>
        <v/>
      </c>
      <c r="AM22">
        <f>IF([3]Entry!$R$25="","",[3]Entry!$R$25)</f>
        <v/>
      </c>
    </row>
    <row r="23">
      <c r="A23">
        <f>IF([1]Accounts!$D$24="","",[1]Accounts!$A$24)</f>
        <v/>
      </c>
      <c r="B23">
        <f>IF([1]Accounts!$D$24="","",[1]Accounts!$B$24)</f>
        <v/>
      </c>
      <c r="C23">
        <f>IF([1]Accounts!$D$24="","",[1]Accounts!$C$24)</f>
        <v/>
      </c>
      <c r="D23">
        <f>IF([1]Accounts!$D$24="","",[1]Accounts!$D$24)</f>
        <v/>
      </c>
      <c r="E23">
        <f>IF([1]Accounts!$D$24="","",[1]Accounts!$E$24)</f>
        <v/>
      </c>
      <c r="F23">
        <f>IF([1]Accounts!$D$24="","",[1]Accounts!$F$24)</f>
        <v/>
      </c>
      <c r="G23">
        <f>IF([1]Accounts!$D$24="","",[1]Accounts!$G$24)</f>
        <v/>
      </c>
      <c r="I23">
        <f>IF([1]Ops!$B$24="","",[1]Ops!$A$24)</f>
        <v/>
      </c>
      <c r="J23">
        <f>IF([1]Ops!$B$24="","",[1]Ops!$B$24)</f>
        <v/>
      </c>
      <c r="K23">
        <f>IF([1]Ops!$B$24="","",[1]Ops!$C$24)</f>
        <v/>
      </c>
      <c r="L23">
        <f>IF([1]Ops!$B$24="","",[1]Ops!$D$24)</f>
        <v/>
      </c>
      <c r="T23">
        <f>IF([2]Baskol!$B$26="","",[2]Baskol!$B$26)</f>
        <v/>
      </c>
      <c r="U23">
        <f>IF([2]Baskol!$C$26="","",[2]Baskol!$C$26)</f>
        <v/>
      </c>
      <c r="V23">
        <f>IF([2]Baskol!$D$26="","",[2]Baskol!$D$26)</f>
        <v/>
      </c>
      <c r="W23">
        <f>IF([2]Baskol!$E$26="","",[2]Baskol!$E$26)</f>
        <v/>
      </c>
      <c r="X23">
        <f>IF([2]Baskol!$G$26="","",[2]Baskol!$G$26)</f>
        <v/>
      </c>
      <c r="Y23">
        <f>IF([2]Baskol!$I$26="","",[2]Baskol!$I$26)</f>
        <v/>
      </c>
      <c r="Z23">
        <f>IF([2]Baskol!$J$26="","",[2]Baskol!$J$26)</f>
        <v/>
      </c>
      <c r="AA23">
        <f>IF([2]Baskol!$K$26="","",[2]Baskol!$K$26)</f>
        <v/>
      </c>
      <c r="AB23">
        <f>IF([2]Baskol!$L$26="","",[2]Baskol!$L$26)</f>
        <v/>
      </c>
      <c r="AC23">
        <f>IF([2]Baskol!$N$26="","",[2]Baskol!$N$26)</f>
        <v/>
      </c>
      <c r="AD23">
        <f>IF([2]Baskol!$O$26="","",[2]Baskol!$O$26)</f>
        <v/>
      </c>
      <c r="AE23">
        <f>IF([3]Entry!$C$26="","",[3]Entry!$C$26)</f>
        <v/>
      </c>
      <c r="AF23">
        <f>IF([3]Entry!$D$26="","",[3]Entry!$D$26)</f>
        <v/>
      </c>
      <c r="AG23">
        <f>IF([3]Entry!$E$26="","",[3]Entry!$E$26)</f>
        <v/>
      </c>
      <c r="AH23">
        <f>IF([3]Entry!$G$26="","",[3]Entry!$G$26)</f>
        <v/>
      </c>
      <c r="AI23">
        <f>IF([3]Entry!$K$26="","",[3]Entry!$K$26)</f>
        <v/>
      </c>
      <c r="AJ23">
        <f>IF([3]Entry!$L$26="","",[3]Entry!$L$26)</f>
        <v/>
      </c>
      <c r="AK23">
        <f>IF([3]Entry!$M$26="","",[3]Entry!$M$26)</f>
        <v/>
      </c>
      <c r="AL23">
        <f>IF([3]Entry!$N$26="","",[3]Entry!$N$26)</f>
        <v/>
      </c>
      <c r="AM23">
        <f>IF([3]Entry!$R$26="","",[3]Entry!$R$26)</f>
        <v/>
      </c>
    </row>
    <row r="24">
      <c r="A24">
        <f>IF([1]Accounts!$D$25="","",[1]Accounts!$A$25)</f>
        <v/>
      </c>
      <c r="B24">
        <f>IF([1]Accounts!$D$25="","",[1]Accounts!$B$25)</f>
        <v/>
      </c>
      <c r="C24">
        <f>IF([1]Accounts!$D$25="","",[1]Accounts!$C$25)</f>
        <v/>
      </c>
      <c r="D24">
        <f>IF([1]Accounts!$D$25="","",[1]Accounts!$D$25)</f>
        <v/>
      </c>
      <c r="E24">
        <f>IF([1]Accounts!$D$25="","",[1]Accounts!$E$25)</f>
        <v/>
      </c>
      <c r="F24">
        <f>IF([1]Accounts!$D$25="","",[1]Accounts!$F$25)</f>
        <v/>
      </c>
      <c r="G24">
        <f>IF([1]Accounts!$D$25="","",[1]Accounts!$G$25)</f>
        <v/>
      </c>
      <c r="I24">
        <f>IF([1]Ops!$B$25="","",[1]Ops!$A$25)</f>
        <v/>
      </c>
      <c r="J24">
        <f>IF([1]Ops!$B$25="","",[1]Ops!$B$25)</f>
        <v/>
      </c>
      <c r="K24">
        <f>IF([1]Ops!$B$25="","",[1]Ops!$C$25)</f>
        <v/>
      </c>
      <c r="L24">
        <f>IF([1]Ops!$B$25="","",[1]Ops!$D$25)</f>
        <v/>
      </c>
      <c r="T24">
        <f>IF([2]Baskol!$B$27="","",[2]Baskol!$B$27)</f>
        <v/>
      </c>
      <c r="U24">
        <f>IF([2]Baskol!$C$27="","",[2]Baskol!$C$27)</f>
        <v/>
      </c>
      <c r="V24">
        <f>IF([2]Baskol!$D$27="","",[2]Baskol!$D$27)</f>
        <v/>
      </c>
      <c r="W24">
        <f>IF([2]Baskol!$E$27="","",[2]Baskol!$E$27)</f>
        <v/>
      </c>
      <c r="X24">
        <f>IF([2]Baskol!$G$27="","",[2]Baskol!$G$27)</f>
        <v/>
      </c>
      <c r="Y24">
        <f>IF([2]Baskol!$I$27="","",[2]Baskol!$I$27)</f>
        <v/>
      </c>
      <c r="Z24">
        <f>IF([2]Baskol!$J$27="","",[2]Baskol!$J$27)</f>
        <v/>
      </c>
      <c r="AA24">
        <f>IF([2]Baskol!$K$27="","",[2]Baskol!$K$27)</f>
        <v/>
      </c>
      <c r="AB24">
        <f>IF([2]Baskol!$L$27="","",[2]Baskol!$L$27)</f>
        <v/>
      </c>
      <c r="AC24">
        <f>IF([2]Baskol!$N$27="","",[2]Baskol!$N$27)</f>
        <v/>
      </c>
      <c r="AD24">
        <f>IF([2]Baskol!$O$27="","",[2]Baskol!$O$27)</f>
        <v/>
      </c>
      <c r="AE24">
        <f>IF([3]Entry!$C$27="","",[3]Entry!$C$27)</f>
        <v/>
      </c>
      <c r="AF24">
        <f>IF([3]Entry!$D$27="","",[3]Entry!$D$27)</f>
        <v/>
      </c>
      <c r="AG24">
        <f>IF([3]Entry!$E$27="","",[3]Entry!$E$27)</f>
        <v/>
      </c>
      <c r="AH24">
        <f>IF([3]Entry!$G$27="","",[3]Entry!$G$27)</f>
        <v/>
      </c>
      <c r="AI24">
        <f>IF([3]Entry!$K$27="","",[3]Entry!$K$27)</f>
        <v/>
      </c>
      <c r="AJ24">
        <f>IF([3]Entry!$L$27="","",[3]Entry!$L$27)</f>
        <v/>
      </c>
      <c r="AK24">
        <f>IF([3]Entry!$M$27="","",[3]Entry!$M$27)</f>
        <v/>
      </c>
      <c r="AL24">
        <f>IF([3]Entry!$N$27="","",[3]Entry!$N$27)</f>
        <v/>
      </c>
      <c r="AM24">
        <f>IF([3]Entry!$R$27="","",[3]Entry!$R$27)</f>
        <v/>
      </c>
    </row>
    <row r="25">
      <c r="A25">
        <f>IF([1]Accounts!$D$26="","",[1]Accounts!$A$26)</f>
        <v/>
      </c>
      <c r="B25">
        <f>IF([1]Accounts!$D$26="","",[1]Accounts!$B$26)</f>
        <v/>
      </c>
      <c r="C25">
        <f>IF([1]Accounts!$D$26="","",[1]Accounts!$C$26)</f>
        <v/>
      </c>
      <c r="D25">
        <f>IF([1]Accounts!$D$26="","",[1]Accounts!$D$26)</f>
        <v/>
      </c>
      <c r="E25">
        <f>IF([1]Accounts!$D$26="","",[1]Accounts!$E$26)</f>
        <v/>
      </c>
      <c r="F25">
        <f>IF([1]Accounts!$D$26="","",[1]Accounts!$F$26)</f>
        <v/>
      </c>
      <c r="G25">
        <f>IF([1]Accounts!$D$26="","",[1]Accounts!$G$26)</f>
        <v/>
      </c>
      <c r="I25">
        <f>IF([1]Ops!$B$26="","",[1]Ops!$A$26)</f>
        <v/>
      </c>
      <c r="J25">
        <f>IF([1]Ops!$B$26="","",[1]Ops!$B$26)</f>
        <v/>
      </c>
      <c r="K25">
        <f>IF([1]Ops!$B$26="","",[1]Ops!$C$26)</f>
        <v/>
      </c>
      <c r="L25">
        <f>IF([1]Ops!$B$26="","",[1]Ops!$D$26)</f>
        <v/>
      </c>
      <c r="T25">
        <f>IF([2]Baskol!$B$28="","",[2]Baskol!$B$28)</f>
        <v/>
      </c>
      <c r="U25">
        <f>IF([2]Baskol!$C$28="","",[2]Baskol!$C$28)</f>
        <v/>
      </c>
      <c r="V25">
        <f>IF([2]Baskol!$D$28="","",[2]Baskol!$D$28)</f>
        <v/>
      </c>
      <c r="W25">
        <f>IF([2]Baskol!$E$28="","",[2]Baskol!$E$28)</f>
        <v/>
      </c>
      <c r="X25">
        <f>IF([2]Baskol!$G$28="","",[2]Baskol!$G$28)</f>
        <v/>
      </c>
      <c r="Y25">
        <f>IF([2]Baskol!$I$28="","",[2]Baskol!$I$28)</f>
        <v/>
      </c>
      <c r="Z25">
        <f>IF([2]Baskol!$J$28="","",[2]Baskol!$J$28)</f>
        <v/>
      </c>
      <c r="AA25">
        <f>IF([2]Baskol!$K$28="","",[2]Baskol!$K$28)</f>
        <v/>
      </c>
      <c r="AB25">
        <f>IF([2]Baskol!$L$28="","",[2]Baskol!$L$28)</f>
        <v/>
      </c>
      <c r="AC25">
        <f>IF([2]Baskol!$N$28="","",[2]Baskol!$N$28)</f>
        <v/>
      </c>
      <c r="AD25">
        <f>IF([2]Baskol!$O$28="","",[2]Baskol!$O$28)</f>
        <v/>
      </c>
      <c r="AE25">
        <f>IF([3]Entry!$C$28="","",[3]Entry!$C$28)</f>
        <v/>
      </c>
      <c r="AF25">
        <f>IF([3]Entry!$D$28="","",[3]Entry!$D$28)</f>
        <v/>
      </c>
      <c r="AG25">
        <f>IF([3]Entry!$E$28="","",[3]Entry!$E$28)</f>
        <v/>
      </c>
      <c r="AH25">
        <f>IF([3]Entry!$G$28="","",[3]Entry!$G$28)</f>
        <v/>
      </c>
      <c r="AI25">
        <f>IF([3]Entry!$K$28="","",[3]Entry!$K$28)</f>
        <v/>
      </c>
      <c r="AJ25">
        <f>IF([3]Entry!$L$28="","",[3]Entry!$L$28)</f>
        <v/>
      </c>
      <c r="AK25">
        <f>IF([3]Entry!$M$28="","",[3]Entry!$M$28)</f>
        <v/>
      </c>
      <c r="AL25">
        <f>IF([3]Entry!$N$28="","",[3]Entry!$N$28)</f>
        <v/>
      </c>
      <c r="AM25">
        <f>IF([3]Entry!$R$28="","",[3]Entry!$R$28)</f>
        <v/>
      </c>
    </row>
    <row r="26">
      <c r="A26">
        <f>IF([1]Accounts!$D$27="","",[1]Accounts!$A$27)</f>
        <v/>
      </c>
      <c r="B26">
        <f>IF([1]Accounts!$D$27="","",[1]Accounts!$B$27)</f>
        <v/>
      </c>
      <c r="C26">
        <f>IF([1]Accounts!$D$27="","",[1]Accounts!$C$27)</f>
        <v/>
      </c>
      <c r="D26">
        <f>IF([1]Accounts!$D$27="","",[1]Accounts!$D$27)</f>
        <v/>
      </c>
      <c r="E26">
        <f>IF([1]Accounts!$D$27="","",[1]Accounts!$E$27)</f>
        <v/>
      </c>
      <c r="F26">
        <f>IF([1]Accounts!$D$27="","",[1]Accounts!$F$27)</f>
        <v/>
      </c>
      <c r="G26">
        <f>IF([1]Accounts!$D$27="","",[1]Accounts!$G$27)</f>
        <v/>
      </c>
      <c r="T26">
        <f>IF([2]Baskol!$B$29="","",[2]Baskol!$B$29)</f>
        <v/>
      </c>
      <c r="U26">
        <f>IF([2]Baskol!$C$29="","",[2]Baskol!$C$29)</f>
        <v/>
      </c>
      <c r="V26">
        <f>IF([2]Baskol!$D$29="","",[2]Baskol!$D$29)</f>
        <v/>
      </c>
      <c r="W26">
        <f>IF([2]Baskol!$E$29="","",[2]Baskol!$E$29)</f>
        <v/>
      </c>
      <c r="X26">
        <f>IF([2]Baskol!$G$29="","",[2]Baskol!$G$29)</f>
        <v/>
      </c>
      <c r="Y26">
        <f>IF([2]Baskol!$I$29="","",[2]Baskol!$I$29)</f>
        <v/>
      </c>
      <c r="Z26">
        <f>IF([2]Baskol!$J$29="","",[2]Baskol!$J$29)</f>
        <v/>
      </c>
      <c r="AA26">
        <f>IF([2]Baskol!$K$29="","",[2]Baskol!$K$29)</f>
        <v/>
      </c>
      <c r="AB26">
        <f>IF([2]Baskol!$L$29="","",[2]Baskol!$L$29)</f>
        <v/>
      </c>
      <c r="AC26">
        <f>IF([2]Baskol!$N$29="","",[2]Baskol!$N$29)</f>
        <v/>
      </c>
      <c r="AD26">
        <f>IF([2]Baskol!$O$29="","",[2]Baskol!$O$29)</f>
        <v/>
      </c>
      <c r="AE26">
        <f>IF([3]Entry!$C$29="","",[3]Entry!$C$29)</f>
        <v/>
      </c>
      <c r="AF26">
        <f>IF([3]Entry!$D$29="","",[3]Entry!$D$29)</f>
        <v/>
      </c>
      <c r="AG26">
        <f>IF([3]Entry!$E$29="","",[3]Entry!$E$29)</f>
        <v/>
      </c>
      <c r="AH26">
        <f>IF([3]Entry!$G$29="","",[3]Entry!$G$29)</f>
        <v/>
      </c>
      <c r="AI26">
        <f>IF([3]Entry!$K$29="","",[3]Entry!$K$29)</f>
        <v/>
      </c>
      <c r="AJ26">
        <f>IF([3]Entry!$L$29="","",[3]Entry!$L$29)</f>
        <v/>
      </c>
      <c r="AK26">
        <f>IF([3]Entry!$M$29="","",[3]Entry!$M$29)</f>
        <v/>
      </c>
      <c r="AL26">
        <f>IF([3]Entry!$N$29="","",[3]Entry!$N$29)</f>
        <v/>
      </c>
      <c r="AM26">
        <f>IF([3]Entry!$R$29="","",[3]Entry!$R$29)</f>
        <v/>
      </c>
    </row>
    <row r="27">
      <c r="A27">
        <f>IF([1]Accounts!$D$28="","",[1]Accounts!$A$28)</f>
        <v/>
      </c>
      <c r="B27">
        <f>IF([1]Accounts!$D$28="","",[1]Accounts!$B$28)</f>
        <v/>
      </c>
      <c r="C27">
        <f>IF([1]Accounts!$D$28="","",[1]Accounts!$C$28)</f>
        <v/>
      </c>
      <c r="D27">
        <f>IF([1]Accounts!$D$28="","",[1]Accounts!$D$28)</f>
        <v/>
      </c>
      <c r="E27">
        <f>IF([1]Accounts!$D$28="","",[1]Accounts!$E$28)</f>
        <v/>
      </c>
      <c r="F27">
        <f>IF([1]Accounts!$D$28="","",[1]Accounts!$F$28)</f>
        <v/>
      </c>
      <c r="G27">
        <f>IF([1]Accounts!$D$28="","",[1]Accounts!$G$28)</f>
        <v/>
      </c>
      <c r="T27">
        <f>IF([2]Baskol!$B$30="","",[2]Baskol!$B$30)</f>
        <v/>
      </c>
      <c r="U27">
        <f>IF([2]Baskol!$C$30="","",[2]Baskol!$C$30)</f>
        <v/>
      </c>
      <c r="V27">
        <f>IF([2]Baskol!$D$30="","",[2]Baskol!$D$30)</f>
        <v/>
      </c>
      <c r="W27">
        <f>IF([2]Baskol!$E$30="","",[2]Baskol!$E$30)</f>
        <v/>
      </c>
      <c r="X27">
        <f>IF([2]Baskol!$G$30="","",[2]Baskol!$G$30)</f>
        <v/>
      </c>
      <c r="Y27">
        <f>IF([2]Baskol!$I$30="","",[2]Baskol!$I$30)</f>
        <v/>
      </c>
      <c r="Z27">
        <f>IF([2]Baskol!$J$30="","",[2]Baskol!$J$30)</f>
        <v/>
      </c>
      <c r="AA27">
        <f>IF([2]Baskol!$K$30="","",[2]Baskol!$K$30)</f>
        <v/>
      </c>
      <c r="AB27">
        <f>IF([2]Baskol!$L$30="","",[2]Baskol!$L$30)</f>
        <v/>
      </c>
      <c r="AC27">
        <f>IF([2]Baskol!$N$30="","",[2]Baskol!$N$30)</f>
        <v/>
      </c>
      <c r="AD27">
        <f>IF([2]Baskol!$O$30="","",[2]Baskol!$O$30)</f>
        <v/>
      </c>
      <c r="AE27">
        <f>IF([3]Entry!$C$30="","",[3]Entry!$C$30)</f>
        <v/>
      </c>
      <c r="AF27">
        <f>IF([3]Entry!$D$30="","",[3]Entry!$D$30)</f>
        <v/>
      </c>
      <c r="AG27">
        <f>IF([3]Entry!$E$30="","",[3]Entry!$E$30)</f>
        <v/>
      </c>
      <c r="AH27">
        <f>IF([3]Entry!$G$30="","",[3]Entry!$G$30)</f>
        <v/>
      </c>
      <c r="AI27">
        <f>IF([3]Entry!$K$30="","",[3]Entry!$K$30)</f>
        <v/>
      </c>
      <c r="AJ27">
        <f>IF([3]Entry!$L$30="","",[3]Entry!$L$30)</f>
        <v/>
      </c>
      <c r="AK27">
        <f>IF([3]Entry!$M$30="","",[3]Entry!$M$30)</f>
        <v/>
      </c>
      <c r="AL27">
        <f>IF([3]Entry!$N$30="","",[3]Entry!$N$30)</f>
        <v/>
      </c>
      <c r="AM27">
        <f>IF([3]Entry!$R$30="","",[3]Entry!$R$30)</f>
        <v/>
      </c>
    </row>
    <row r="28">
      <c r="A28">
        <f>IF([1]Accounts!$D$29="","",[1]Accounts!$A$29)</f>
        <v/>
      </c>
      <c r="B28">
        <f>IF([1]Accounts!$D$29="","",[1]Accounts!$B$29)</f>
        <v/>
      </c>
      <c r="C28">
        <f>IF([1]Accounts!$D$29="","",[1]Accounts!$C$29)</f>
        <v/>
      </c>
      <c r="D28">
        <f>IF([1]Accounts!$D$29="","",[1]Accounts!$D$29)</f>
        <v/>
      </c>
      <c r="E28">
        <f>IF([1]Accounts!$D$29="","",[1]Accounts!$E$29)</f>
        <v/>
      </c>
      <c r="F28">
        <f>IF([1]Accounts!$D$29="","",[1]Accounts!$F$29)</f>
        <v/>
      </c>
      <c r="G28">
        <f>IF([1]Accounts!$D$29="","",[1]Accounts!$G$29)</f>
        <v/>
      </c>
      <c r="T28">
        <f>IF([2]Baskol!$B$31="","",[2]Baskol!$B$31)</f>
        <v/>
      </c>
      <c r="U28">
        <f>IF([2]Baskol!$C$31="","",[2]Baskol!$C$31)</f>
        <v/>
      </c>
      <c r="V28">
        <f>IF([2]Baskol!$D$31="","",[2]Baskol!$D$31)</f>
        <v/>
      </c>
      <c r="W28">
        <f>IF([2]Baskol!$E$31="","",[2]Baskol!$E$31)</f>
        <v/>
      </c>
      <c r="X28">
        <f>IF([2]Baskol!$G$31="","",[2]Baskol!$G$31)</f>
        <v/>
      </c>
      <c r="Y28">
        <f>IF([2]Baskol!$I$31="","",[2]Baskol!$I$31)</f>
        <v/>
      </c>
      <c r="Z28">
        <f>IF([2]Baskol!$J$31="","",[2]Baskol!$J$31)</f>
        <v/>
      </c>
      <c r="AA28">
        <f>IF([2]Baskol!$K$31="","",[2]Baskol!$K$31)</f>
        <v/>
      </c>
      <c r="AB28">
        <f>IF([2]Baskol!$L$31="","",[2]Baskol!$L$31)</f>
        <v/>
      </c>
      <c r="AC28">
        <f>IF([2]Baskol!$N$31="","",[2]Baskol!$N$31)</f>
        <v/>
      </c>
      <c r="AD28">
        <f>IF([2]Baskol!$O$31="","",[2]Baskol!$O$31)</f>
        <v/>
      </c>
      <c r="AE28">
        <f>IF([3]Entry!$C$31="","",[3]Entry!$C$31)</f>
        <v/>
      </c>
      <c r="AF28">
        <f>IF([3]Entry!$D$31="","",[3]Entry!$D$31)</f>
        <v/>
      </c>
      <c r="AG28">
        <f>IF([3]Entry!$E$31="","",[3]Entry!$E$31)</f>
        <v/>
      </c>
      <c r="AH28">
        <f>IF([3]Entry!$G$31="","",[3]Entry!$G$31)</f>
        <v/>
      </c>
      <c r="AI28">
        <f>IF([3]Entry!$K$31="","",[3]Entry!$K$31)</f>
        <v/>
      </c>
      <c r="AJ28">
        <f>IF([3]Entry!$L$31="","",[3]Entry!$L$31)</f>
        <v/>
      </c>
      <c r="AK28">
        <f>IF([3]Entry!$M$31="","",[3]Entry!$M$31)</f>
        <v/>
      </c>
      <c r="AL28">
        <f>IF([3]Entry!$N$31="","",[3]Entry!$N$31)</f>
        <v/>
      </c>
      <c r="AM28">
        <f>IF([3]Entry!$R$31="","",[3]Entry!$R$31)</f>
        <v/>
      </c>
    </row>
    <row r="29">
      <c r="A29">
        <f>IF([1]Accounts!$D$30="","",[1]Accounts!$A$30)</f>
        <v/>
      </c>
      <c r="B29">
        <f>IF([1]Accounts!$D$30="","",[1]Accounts!$B$30)</f>
        <v/>
      </c>
      <c r="C29">
        <f>IF([1]Accounts!$D$30="","",[1]Accounts!$C$30)</f>
        <v/>
      </c>
      <c r="D29">
        <f>IF([1]Accounts!$D$30="","",[1]Accounts!$D$30)</f>
        <v/>
      </c>
      <c r="E29">
        <f>IF([1]Accounts!$D$30="","",[1]Accounts!$E$30)</f>
        <v/>
      </c>
      <c r="F29">
        <f>IF([1]Accounts!$D$30="","",[1]Accounts!$F$30)</f>
        <v/>
      </c>
      <c r="G29">
        <f>IF([1]Accounts!$D$30="","",[1]Accounts!$G$30)</f>
        <v/>
      </c>
      <c r="T29">
        <f>IF([2]Baskol!$B$32="","",[2]Baskol!$B$32)</f>
        <v/>
      </c>
      <c r="U29">
        <f>IF([2]Baskol!$C$32="","",[2]Baskol!$C$32)</f>
        <v/>
      </c>
      <c r="V29">
        <f>IF([2]Baskol!$D$32="","",[2]Baskol!$D$32)</f>
        <v/>
      </c>
      <c r="W29">
        <f>IF([2]Baskol!$E$32="","",[2]Baskol!$E$32)</f>
        <v/>
      </c>
      <c r="X29">
        <f>IF([2]Baskol!$G$32="","",[2]Baskol!$G$32)</f>
        <v/>
      </c>
      <c r="Y29">
        <f>IF([2]Baskol!$I$32="","",[2]Baskol!$I$32)</f>
        <v/>
      </c>
      <c r="Z29">
        <f>IF([2]Baskol!$J$32="","",[2]Baskol!$J$32)</f>
        <v/>
      </c>
      <c r="AA29">
        <f>IF([2]Baskol!$K$32="","",[2]Baskol!$K$32)</f>
        <v/>
      </c>
      <c r="AB29">
        <f>IF([2]Baskol!$L$32="","",[2]Baskol!$L$32)</f>
        <v/>
      </c>
      <c r="AC29">
        <f>IF([2]Baskol!$N$32="","",[2]Baskol!$N$32)</f>
        <v/>
      </c>
      <c r="AD29">
        <f>IF([2]Baskol!$O$32="","",[2]Baskol!$O$32)</f>
        <v/>
      </c>
      <c r="AE29">
        <f>IF([3]Entry!$C$32="","",[3]Entry!$C$32)</f>
        <v/>
      </c>
      <c r="AF29">
        <f>IF([3]Entry!$D$32="","",[3]Entry!$D$32)</f>
        <v/>
      </c>
      <c r="AG29">
        <f>IF([3]Entry!$E$32="","",[3]Entry!$E$32)</f>
        <v/>
      </c>
      <c r="AH29">
        <f>IF([3]Entry!$G$32="","",[3]Entry!$G$32)</f>
        <v/>
      </c>
      <c r="AI29">
        <f>IF([3]Entry!$K$32="","",[3]Entry!$K$32)</f>
        <v/>
      </c>
      <c r="AJ29">
        <f>IF([3]Entry!$L$32="","",[3]Entry!$L$32)</f>
        <v/>
      </c>
      <c r="AK29">
        <f>IF([3]Entry!$M$32="","",[3]Entry!$M$32)</f>
        <v/>
      </c>
      <c r="AL29">
        <f>IF([3]Entry!$N$32="","",[3]Entry!$N$32)</f>
        <v/>
      </c>
      <c r="AM29">
        <f>IF([3]Entry!$R$32="","",[3]Entry!$R$32)</f>
        <v/>
      </c>
    </row>
    <row r="30">
      <c r="A30">
        <f>IF([1]Accounts!$D$31="","",[1]Accounts!$A$31)</f>
        <v/>
      </c>
      <c r="B30">
        <f>IF([1]Accounts!$D$31="","",[1]Accounts!$B$31)</f>
        <v/>
      </c>
      <c r="C30">
        <f>IF([1]Accounts!$D$31="","",[1]Accounts!$C$31)</f>
        <v/>
      </c>
      <c r="D30">
        <f>IF([1]Accounts!$D$31="","",[1]Accounts!$D$31)</f>
        <v/>
      </c>
      <c r="E30">
        <f>IF([1]Accounts!$D$31="","",[1]Accounts!$E$31)</f>
        <v/>
      </c>
      <c r="F30">
        <f>IF([1]Accounts!$D$31="","",[1]Accounts!$F$31)</f>
        <v/>
      </c>
      <c r="G30">
        <f>IF([1]Accounts!$D$31="","",[1]Accounts!$G$31)</f>
        <v/>
      </c>
      <c r="T30">
        <f>IF([2]Baskol!$B$33="","",[2]Baskol!$B$33)</f>
        <v/>
      </c>
      <c r="U30">
        <f>IF([2]Baskol!$C$33="","",[2]Baskol!$C$33)</f>
        <v/>
      </c>
      <c r="V30">
        <f>IF([2]Baskol!$D$33="","",[2]Baskol!$D$33)</f>
        <v/>
      </c>
      <c r="W30">
        <f>IF([2]Baskol!$E$33="","",[2]Baskol!$E$33)</f>
        <v/>
      </c>
      <c r="X30">
        <f>IF([2]Baskol!$G$33="","",[2]Baskol!$G$33)</f>
        <v/>
      </c>
      <c r="Y30">
        <f>IF([2]Baskol!$I$33="","",[2]Baskol!$I$33)</f>
        <v/>
      </c>
      <c r="Z30">
        <f>IF([2]Baskol!$J$33="","",[2]Baskol!$J$33)</f>
        <v/>
      </c>
      <c r="AA30">
        <f>IF([2]Baskol!$K$33="","",[2]Baskol!$K$33)</f>
        <v/>
      </c>
      <c r="AB30">
        <f>IF([2]Baskol!$L$33="","",[2]Baskol!$L$33)</f>
        <v/>
      </c>
      <c r="AC30">
        <f>IF([2]Baskol!$N$33="","",[2]Baskol!$N$33)</f>
        <v/>
      </c>
      <c r="AD30">
        <f>IF([2]Baskol!$O$33="","",[2]Baskol!$O$33)</f>
        <v/>
      </c>
      <c r="AE30">
        <f>IF([3]Entry!$C$33="","",[3]Entry!$C$33)</f>
        <v/>
      </c>
      <c r="AF30">
        <f>IF([3]Entry!$D$33="","",[3]Entry!$D$33)</f>
        <v/>
      </c>
      <c r="AG30">
        <f>IF([3]Entry!$E$33="","",[3]Entry!$E$33)</f>
        <v/>
      </c>
      <c r="AH30">
        <f>IF([3]Entry!$G$33="","",[3]Entry!$G$33)</f>
        <v/>
      </c>
      <c r="AI30">
        <f>IF([3]Entry!$K$33="","",[3]Entry!$K$33)</f>
        <v/>
      </c>
      <c r="AJ30">
        <f>IF([3]Entry!$L$33="","",[3]Entry!$L$33)</f>
        <v/>
      </c>
      <c r="AK30">
        <f>IF([3]Entry!$M$33="","",[3]Entry!$M$33)</f>
        <v/>
      </c>
      <c r="AL30">
        <f>IF([3]Entry!$N$33="","",[3]Entry!$N$33)</f>
        <v/>
      </c>
      <c r="AM30">
        <f>IF([3]Entry!$R$33="","",[3]Entry!$R$33)</f>
        <v/>
      </c>
    </row>
    <row r="31">
      <c r="A31">
        <f>IF([1]Accounts!$D$32="","",[1]Accounts!$A$32)</f>
        <v/>
      </c>
      <c r="B31">
        <f>IF([1]Accounts!$D$32="","",[1]Accounts!$B$32)</f>
        <v/>
      </c>
      <c r="C31">
        <f>IF([1]Accounts!$D$32="","",[1]Accounts!$C$32)</f>
        <v/>
      </c>
      <c r="D31">
        <f>IF([1]Accounts!$D$32="","",[1]Accounts!$D$32)</f>
        <v/>
      </c>
      <c r="E31">
        <f>IF([1]Accounts!$D$32="","",[1]Accounts!$E$32)</f>
        <v/>
      </c>
      <c r="F31">
        <f>IF([1]Accounts!$D$32="","",[1]Accounts!$F$32)</f>
        <v/>
      </c>
      <c r="G31">
        <f>IF([1]Accounts!$D$32="","",[1]Accounts!$G$32)</f>
        <v/>
      </c>
      <c r="T31">
        <f>IF([2]Baskol!$B$34="","",[2]Baskol!$B$34)</f>
        <v/>
      </c>
      <c r="U31">
        <f>IF([2]Baskol!$C$34="","",[2]Baskol!$C$34)</f>
        <v/>
      </c>
      <c r="V31">
        <f>IF([2]Baskol!$D$34="","",[2]Baskol!$D$34)</f>
        <v/>
      </c>
      <c r="W31">
        <f>IF([2]Baskol!$E$34="","",[2]Baskol!$E$34)</f>
        <v/>
      </c>
      <c r="X31">
        <f>IF([2]Baskol!$G$34="","",[2]Baskol!$G$34)</f>
        <v/>
      </c>
      <c r="Y31">
        <f>IF([2]Baskol!$I$34="","",[2]Baskol!$I$34)</f>
        <v/>
      </c>
      <c r="Z31">
        <f>IF([2]Baskol!$J$34="","",[2]Baskol!$J$34)</f>
        <v/>
      </c>
      <c r="AA31">
        <f>IF([2]Baskol!$K$34="","",[2]Baskol!$K$34)</f>
        <v/>
      </c>
      <c r="AB31">
        <f>IF([2]Baskol!$L$34="","",[2]Baskol!$L$34)</f>
        <v/>
      </c>
      <c r="AC31">
        <f>IF([2]Baskol!$N$34="","",[2]Baskol!$N$34)</f>
        <v/>
      </c>
      <c r="AD31">
        <f>IF([2]Baskol!$O$34="","",[2]Baskol!$O$34)</f>
        <v/>
      </c>
      <c r="AE31">
        <f>IF([3]Entry!$C$34="","",[3]Entry!$C$34)</f>
        <v/>
      </c>
      <c r="AF31">
        <f>IF([3]Entry!$D$34="","",[3]Entry!$D$34)</f>
        <v/>
      </c>
      <c r="AG31">
        <f>IF([3]Entry!$E$34="","",[3]Entry!$E$34)</f>
        <v/>
      </c>
      <c r="AH31">
        <f>IF([3]Entry!$G$34="","",[3]Entry!$G$34)</f>
        <v/>
      </c>
      <c r="AI31">
        <f>IF([3]Entry!$K$34="","",[3]Entry!$K$34)</f>
        <v/>
      </c>
      <c r="AJ31">
        <f>IF([3]Entry!$L$34="","",[3]Entry!$L$34)</f>
        <v/>
      </c>
      <c r="AK31">
        <f>IF([3]Entry!$M$34="","",[3]Entry!$M$34)</f>
        <v/>
      </c>
      <c r="AL31">
        <f>IF([3]Entry!$N$34="","",[3]Entry!$N$34)</f>
        <v/>
      </c>
      <c r="AM31">
        <f>IF([3]Entry!$R$34="","",[3]Entry!$R$34)</f>
        <v/>
      </c>
    </row>
    <row r="32">
      <c r="A32">
        <f>IF([1]Accounts!$D$33="","",[1]Accounts!$A$33)</f>
        <v/>
      </c>
      <c r="B32">
        <f>IF([1]Accounts!$D$33="","",[1]Accounts!$B$33)</f>
        <v/>
      </c>
      <c r="C32">
        <f>IF([1]Accounts!$D$33="","",[1]Accounts!$C$33)</f>
        <v/>
      </c>
      <c r="D32">
        <f>IF([1]Accounts!$D$33="","",[1]Accounts!$D$33)</f>
        <v/>
      </c>
      <c r="E32">
        <f>IF([1]Accounts!$D$33="","",[1]Accounts!$E$33)</f>
        <v/>
      </c>
      <c r="F32">
        <f>IF([1]Accounts!$D$33="","",[1]Accounts!$F$33)</f>
        <v/>
      </c>
      <c r="G32">
        <f>IF([1]Accounts!$D$33="","",[1]Accounts!$G$33)</f>
        <v/>
      </c>
      <c r="T32">
        <f>IF([2]Baskol!$B$35="","",[2]Baskol!$B$35)</f>
        <v/>
      </c>
      <c r="U32">
        <f>IF([2]Baskol!$C$35="","",[2]Baskol!$C$35)</f>
        <v/>
      </c>
      <c r="V32">
        <f>IF([2]Baskol!$D$35="","",[2]Baskol!$D$35)</f>
        <v/>
      </c>
      <c r="W32">
        <f>IF([2]Baskol!$E$35="","",[2]Baskol!$E$35)</f>
        <v/>
      </c>
      <c r="X32">
        <f>IF([2]Baskol!$G$35="","",[2]Baskol!$G$35)</f>
        <v/>
      </c>
      <c r="Y32">
        <f>IF([2]Baskol!$I$35="","",[2]Baskol!$I$35)</f>
        <v/>
      </c>
      <c r="Z32">
        <f>IF([2]Baskol!$J$35="","",[2]Baskol!$J$35)</f>
        <v/>
      </c>
      <c r="AA32">
        <f>IF([2]Baskol!$K$35="","",[2]Baskol!$K$35)</f>
        <v/>
      </c>
      <c r="AB32">
        <f>IF([2]Baskol!$L$35="","",[2]Baskol!$L$35)</f>
        <v/>
      </c>
      <c r="AC32">
        <f>IF([2]Baskol!$N$35="","",[2]Baskol!$N$35)</f>
        <v/>
      </c>
      <c r="AD32">
        <f>IF([2]Baskol!$O$35="","",[2]Baskol!$O$35)</f>
        <v/>
      </c>
      <c r="AE32">
        <f>IF([3]Entry!$C$35="","",[3]Entry!$C$35)</f>
        <v/>
      </c>
      <c r="AF32">
        <f>IF([3]Entry!$D$35="","",[3]Entry!$D$35)</f>
        <v/>
      </c>
      <c r="AG32">
        <f>IF([3]Entry!$E$35="","",[3]Entry!$E$35)</f>
        <v/>
      </c>
      <c r="AH32">
        <f>IF([3]Entry!$G$35="","",[3]Entry!$G$35)</f>
        <v/>
      </c>
      <c r="AI32">
        <f>IF([3]Entry!$K$35="","",[3]Entry!$K$35)</f>
        <v/>
      </c>
      <c r="AJ32">
        <f>IF([3]Entry!$L$35="","",[3]Entry!$L$35)</f>
        <v/>
      </c>
      <c r="AK32">
        <f>IF([3]Entry!$M$35="","",[3]Entry!$M$35)</f>
        <v/>
      </c>
      <c r="AL32">
        <f>IF([3]Entry!$N$35="","",[3]Entry!$N$35)</f>
        <v/>
      </c>
      <c r="AM32">
        <f>IF([3]Entry!$R$35="","",[3]Entry!$R$35)</f>
        <v/>
      </c>
    </row>
    <row r="33">
      <c r="A33">
        <f>IF([1]Accounts!$D$34="","",[1]Accounts!$A$34)</f>
        <v/>
      </c>
      <c r="B33">
        <f>IF([1]Accounts!$D$34="","",[1]Accounts!$B$34)</f>
        <v/>
      </c>
      <c r="C33">
        <f>IF([1]Accounts!$D$34="","",[1]Accounts!$C$34)</f>
        <v/>
      </c>
      <c r="D33">
        <f>IF([1]Accounts!$D$34="","",[1]Accounts!$D$34)</f>
        <v/>
      </c>
      <c r="E33">
        <f>IF([1]Accounts!$D$34="","",[1]Accounts!$E$34)</f>
        <v/>
      </c>
      <c r="F33">
        <f>IF([1]Accounts!$D$34="","",[1]Accounts!$F$34)</f>
        <v/>
      </c>
      <c r="G33">
        <f>IF([1]Accounts!$D$34="","",[1]Accounts!$G$34)</f>
        <v/>
      </c>
      <c r="T33">
        <f>IF([2]Baskol!$B$36="","",[2]Baskol!$B$36)</f>
        <v/>
      </c>
      <c r="U33">
        <f>IF([2]Baskol!$C$36="","",[2]Baskol!$C$36)</f>
        <v/>
      </c>
      <c r="V33">
        <f>IF([2]Baskol!$D$36="","",[2]Baskol!$D$36)</f>
        <v/>
      </c>
      <c r="W33">
        <f>IF([2]Baskol!$E$36="","",[2]Baskol!$E$36)</f>
        <v/>
      </c>
      <c r="X33">
        <f>IF([2]Baskol!$G$36="","",[2]Baskol!$G$36)</f>
        <v/>
      </c>
      <c r="Y33">
        <f>IF([2]Baskol!$I$36="","",[2]Baskol!$I$36)</f>
        <v/>
      </c>
      <c r="Z33">
        <f>IF([2]Baskol!$J$36="","",[2]Baskol!$J$36)</f>
        <v/>
      </c>
      <c r="AA33">
        <f>IF([2]Baskol!$K$36="","",[2]Baskol!$K$36)</f>
        <v/>
      </c>
      <c r="AB33">
        <f>IF([2]Baskol!$L$36="","",[2]Baskol!$L$36)</f>
        <v/>
      </c>
      <c r="AC33">
        <f>IF([2]Baskol!$N$36="","",[2]Baskol!$N$36)</f>
        <v/>
      </c>
      <c r="AD33">
        <f>IF([2]Baskol!$O$36="","",[2]Baskol!$O$36)</f>
        <v/>
      </c>
      <c r="AE33">
        <f>IF([3]Entry!$C$36="","",[3]Entry!$C$36)</f>
        <v/>
      </c>
      <c r="AF33">
        <f>IF([3]Entry!$D$36="","",[3]Entry!$D$36)</f>
        <v/>
      </c>
      <c r="AG33">
        <f>IF([3]Entry!$E$36="","",[3]Entry!$E$36)</f>
        <v/>
      </c>
      <c r="AH33">
        <f>IF([3]Entry!$G$36="","",[3]Entry!$G$36)</f>
        <v/>
      </c>
      <c r="AI33">
        <f>IF([3]Entry!$K$36="","",[3]Entry!$K$36)</f>
        <v/>
      </c>
      <c r="AJ33">
        <f>IF([3]Entry!$L$36="","",[3]Entry!$L$36)</f>
        <v/>
      </c>
      <c r="AK33">
        <f>IF([3]Entry!$M$36="","",[3]Entry!$M$36)</f>
        <v/>
      </c>
      <c r="AL33">
        <f>IF([3]Entry!$N$36="","",[3]Entry!$N$36)</f>
        <v/>
      </c>
      <c r="AM33">
        <f>IF([3]Entry!$R$36="","",[3]Entry!$R$36)</f>
        <v/>
      </c>
    </row>
    <row r="34">
      <c r="A34">
        <f>IF([1]Accounts!$D$35="","",[1]Accounts!$A$35)</f>
        <v/>
      </c>
      <c r="B34">
        <f>IF([1]Accounts!$D$35="","",[1]Accounts!$B$35)</f>
        <v/>
      </c>
      <c r="C34">
        <f>IF([1]Accounts!$D$35="","",[1]Accounts!$C$35)</f>
        <v/>
      </c>
      <c r="D34">
        <f>IF([1]Accounts!$D$35="","",[1]Accounts!$D$35)</f>
        <v/>
      </c>
      <c r="E34">
        <f>IF([1]Accounts!$D$35="","",[1]Accounts!$E$35)</f>
        <v/>
      </c>
      <c r="F34">
        <f>IF([1]Accounts!$D$35="","",[1]Accounts!$F$35)</f>
        <v/>
      </c>
      <c r="G34">
        <f>IF([1]Accounts!$D$35="","",[1]Accounts!$G$35)</f>
        <v/>
      </c>
      <c r="T34">
        <f>IF([2]Baskol!$B$37="","",[2]Baskol!$B$37)</f>
        <v/>
      </c>
      <c r="U34">
        <f>IF([2]Baskol!$C$37="","",[2]Baskol!$C$37)</f>
        <v/>
      </c>
      <c r="V34">
        <f>IF([2]Baskol!$D$37="","",[2]Baskol!$D$37)</f>
        <v/>
      </c>
      <c r="W34">
        <f>IF([2]Baskol!$E$37="","",[2]Baskol!$E$37)</f>
        <v/>
      </c>
      <c r="X34">
        <f>IF([2]Baskol!$G$37="","",[2]Baskol!$G$37)</f>
        <v/>
      </c>
      <c r="Y34">
        <f>IF([2]Baskol!$I$37="","",[2]Baskol!$I$37)</f>
        <v/>
      </c>
      <c r="Z34">
        <f>IF([2]Baskol!$J$37="","",[2]Baskol!$J$37)</f>
        <v/>
      </c>
      <c r="AA34">
        <f>IF([2]Baskol!$K$37="","",[2]Baskol!$K$37)</f>
        <v/>
      </c>
      <c r="AB34">
        <f>IF([2]Baskol!$L$37="","",[2]Baskol!$L$37)</f>
        <v/>
      </c>
      <c r="AC34">
        <f>IF([2]Baskol!$N$37="","",[2]Baskol!$N$37)</f>
        <v/>
      </c>
      <c r="AD34">
        <f>IF([2]Baskol!$O$37="","",[2]Baskol!$O$37)</f>
        <v/>
      </c>
      <c r="AE34">
        <f>IF([3]Entry!$C$37="","",[3]Entry!$C$37)</f>
        <v/>
      </c>
      <c r="AF34">
        <f>IF([3]Entry!$D$37="","",[3]Entry!$D$37)</f>
        <v/>
      </c>
      <c r="AG34">
        <f>IF([3]Entry!$E$37="","",[3]Entry!$E$37)</f>
        <v/>
      </c>
      <c r="AH34">
        <f>IF([3]Entry!$G$37="","",[3]Entry!$G$37)</f>
        <v/>
      </c>
      <c r="AI34">
        <f>IF([3]Entry!$K$37="","",[3]Entry!$K$37)</f>
        <v/>
      </c>
      <c r="AJ34">
        <f>IF([3]Entry!$L$37="","",[3]Entry!$L$37)</f>
        <v/>
      </c>
      <c r="AK34">
        <f>IF([3]Entry!$M$37="","",[3]Entry!$M$37)</f>
        <v/>
      </c>
      <c r="AL34">
        <f>IF([3]Entry!$N$37="","",[3]Entry!$N$37)</f>
        <v/>
      </c>
      <c r="AM34">
        <f>IF([3]Entry!$R$37="","",[3]Entry!$R$37)</f>
        <v/>
      </c>
    </row>
    <row r="35">
      <c r="A35">
        <f>IF([1]Accounts!$D$36="","",[1]Accounts!$A$36)</f>
        <v/>
      </c>
      <c r="B35">
        <f>IF([1]Accounts!$D$36="","",[1]Accounts!$B$36)</f>
        <v/>
      </c>
      <c r="C35">
        <f>IF([1]Accounts!$D$36="","",[1]Accounts!$C$36)</f>
        <v/>
      </c>
      <c r="D35">
        <f>IF([1]Accounts!$D$36="","",[1]Accounts!$D$36)</f>
        <v/>
      </c>
      <c r="E35">
        <f>IF([1]Accounts!$D$36="","",[1]Accounts!$E$36)</f>
        <v/>
      </c>
      <c r="F35">
        <f>IF([1]Accounts!$D$36="","",[1]Accounts!$F$36)</f>
        <v/>
      </c>
      <c r="G35">
        <f>IF([1]Accounts!$D$36="","",[1]Accounts!$G$36)</f>
        <v/>
      </c>
      <c r="T35">
        <f>IF([2]Baskol!$B$38="","",[2]Baskol!$B$38)</f>
        <v/>
      </c>
      <c r="U35">
        <f>IF([2]Baskol!$C$38="","",[2]Baskol!$C$38)</f>
        <v/>
      </c>
      <c r="V35">
        <f>IF([2]Baskol!$D$38="","",[2]Baskol!$D$38)</f>
        <v/>
      </c>
      <c r="W35">
        <f>IF([2]Baskol!$E$38="","",[2]Baskol!$E$38)</f>
        <v/>
      </c>
      <c r="X35">
        <f>IF([2]Baskol!$G$38="","",[2]Baskol!$G$38)</f>
        <v/>
      </c>
      <c r="Y35">
        <f>IF([2]Baskol!$I$38="","",[2]Baskol!$I$38)</f>
        <v/>
      </c>
      <c r="Z35">
        <f>IF([2]Baskol!$J$38="","",[2]Baskol!$J$38)</f>
        <v/>
      </c>
      <c r="AA35">
        <f>IF([2]Baskol!$K$38="","",[2]Baskol!$K$38)</f>
        <v/>
      </c>
      <c r="AB35">
        <f>IF([2]Baskol!$L$38="","",[2]Baskol!$L$38)</f>
        <v/>
      </c>
      <c r="AC35">
        <f>IF([2]Baskol!$N$38="","",[2]Baskol!$N$38)</f>
        <v/>
      </c>
      <c r="AD35">
        <f>IF([2]Baskol!$O$38="","",[2]Baskol!$O$38)</f>
        <v/>
      </c>
      <c r="AE35">
        <f>IF([3]Entry!$C$38="","",[3]Entry!$C$38)</f>
        <v/>
      </c>
      <c r="AF35">
        <f>IF([3]Entry!$D$38="","",[3]Entry!$D$38)</f>
        <v/>
      </c>
      <c r="AG35">
        <f>IF([3]Entry!$E$38="","",[3]Entry!$E$38)</f>
        <v/>
      </c>
      <c r="AH35">
        <f>IF([3]Entry!$G$38="","",[3]Entry!$G$38)</f>
        <v/>
      </c>
      <c r="AI35">
        <f>IF([3]Entry!$K$38="","",[3]Entry!$K$38)</f>
        <v/>
      </c>
      <c r="AJ35">
        <f>IF([3]Entry!$L$38="","",[3]Entry!$L$38)</f>
        <v/>
      </c>
      <c r="AK35">
        <f>IF([3]Entry!$M$38="","",[3]Entry!$M$38)</f>
        <v/>
      </c>
      <c r="AL35">
        <f>IF([3]Entry!$N$38="","",[3]Entry!$N$38)</f>
        <v/>
      </c>
      <c r="AM35">
        <f>IF([3]Entry!$R$38="","",[3]Entry!$R$38)</f>
        <v/>
      </c>
    </row>
    <row r="36">
      <c r="A36">
        <f>IF([1]Accounts!$D$37="","",[1]Accounts!$A$37)</f>
        <v/>
      </c>
      <c r="B36">
        <f>IF([1]Accounts!$D$37="","",[1]Accounts!$B$37)</f>
        <v/>
      </c>
      <c r="C36">
        <f>IF([1]Accounts!$D$37="","",[1]Accounts!$C$37)</f>
        <v/>
      </c>
      <c r="D36">
        <f>IF([1]Accounts!$D$37="","",[1]Accounts!$D$37)</f>
        <v/>
      </c>
      <c r="E36">
        <f>IF([1]Accounts!$D$37="","",[1]Accounts!$E$37)</f>
        <v/>
      </c>
      <c r="F36">
        <f>IF([1]Accounts!$D$37="","",[1]Accounts!$F$37)</f>
        <v/>
      </c>
      <c r="G36">
        <f>IF([1]Accounts!$D$37="","",[1]Accounts!$G$37)</f>
        <v/>
      </c>
      <c r="T36">
        <f>IF([2]Baskol!$B$39="","",[2]Baskol!$B$39)</f>
        <v/>
      </c>
      <c r="U36">
        <f>IF([2]Baskol!$C$39="","",[2]Baskol!$C$39)</f>
        <v/>
      </c>
      <c r="V36">
        <f>IF([2]Baskol!$D$39="","",[2]Baskol!$D$39)</f>
        <v/>
      </c>
      <c r="W36">
        <f>IF([2]Baskol!$E$39="","",[2]Baskol!$E$39)</f>
        <v/>
      </c>
      <c r="X36">
        <f>IF([2]Baskol!$G$39="","",[2]Baskol!$G$39)</f>
        <v/>
      </c>
      <c r="Y36">
        <f>IF([2]Baskol!$I$39="","",[2]Baskol!$I$39)</f>
        <v/>
      </c>
      <c r="Z36">
        <f>IF([2]Baskol!$J$39="","",[2]Baskol!$J$39)</f>
        <v/>
      </c>
      <c r="AA36">
        <f>IF([2]Baskol!$K$39="","",[2]Baskol!$K$39)</f>
        <v/>
      </c>
      <c r="AB36">
        <f>IF([2]Baskol!$L$39="","",[2]Baskol!$L$39)</f>
        <v/>
      </c>
      <c r="AC36">
        <f>IF([2]Baskol!$N$39="","",[2]Baskol!$N$39)</f>
        <v/>
      </c>
      <c r="AD36">
        <f>IF([2]Baskol!$O$39="","",[2]Baskol!$O$39)</f>
        <v/>
      </c>
      <c r="AE36">
        <f>IF([3]Entry!$C$39="","",[3]Entry!$C$39)</f>
        <v/>
      </c>
      <c r="AF36">
        <f>IF([3]Entry!$D$39="","",[3]Entry!$D$39)</f>
        <v/>
      </c>
      <c r="AG36">
        <f>IF([3]Entry!$E$39="","",[3]Entry!$E$39)</f>
        <v/>
      </c>
      <c r="AH36">
        <f>IF([3]Entry!$G$39="","",[3]Entry!$G$39)</f>
        <v/>
      </c>
      <c r="AI36">
        <f>IF([3]Entry!$K$39="","",[3]Entry!$K$39)</f>
        <v/>
      </c>
      <c r="AJ36">
        <f>IF([3]Entry!$L$39="","",[3]Entry!$L$39)</f>
        <v/>
      </c>
      <c r="AK36">
        <f>IF([3]Entry!$M$39="","",[3]Entry!$M$39)</f>
        <v/>
      </c>
      <c r="AL36">
        <f>IF([3]Entry!$N$39="","",[3]Entry!$N$39)</f>
        <v/>
      </c>
      <c r="AM36">
        <f>IF([3]Entry!$R$39="","",[3]Entry!$R$39)</f>
        <v/>
      </c>
    </row>
    <row r="37">
      <c r="A37">
        <f>IF([1]Accounts!$D$38="","",[1]Accounts!$A$38)</f>
        <v/>
      </c>
      <c r="B37">
        <f>IF([1]Accounts!$D$38="","",[1]Accounts!$B$38)</f>
        <v/>
      </c>
      <c r="C37">
        <f>IF([1]Accounts!$D$38="","",[1]Accounts!$C$38)</f>
        <v/>
      </c>
      <c r="D37">
        <f>IF([1]Accounts!$D$38="","",[1]Accounts!$D$38)</f>
        <v/>
      </c>
      <c r="E37">
        <f>IF([1]Accounts!$D$38="","",[1]Accounts!$E$38)</f>
        <v/>
      </c>
      <c r="F37">
        <f>IF([1]Accounts!$D$38="","",[1]Accounts!$F$38)</f>
        <v/>
      </c>
      <c r="G37">
        <f>IF([1]Accounts!$D$38="","",[1]Accounts!$G$38)</f>
        <v/>
      </c>
      <c r="T37">
        <f>IF([2]Baskol!$B$40="","",[2]Baskol!$B$40)</f>
        <v/>
      </c>
      <c r="U37">
        <f>IF([2]Baskol!$C$40="","",[2]Baskol!$C$40)</f>
        <v/>
      </c>
      <c r="V37">
        <f>IF([2]Baskol!$D$40="","",[2]Baskol!$D$40)</f>
        <v/>
      </c>
      <c r="W37">
        <f>IF([2]Baskol!$E$40="","",[2]Baskol!$E$40)</f>
        <v/>
      </c>
      <c r="X37">
        <f>IF([2]Baskol!$G$40="","",[2]Baskol!$G$40)</f>
        <v/>
      </c>
      <c r="Y37">
        <f>IF([2]Baskol!$I$40="","",[2]Baskol!$I$40)</f>
        <v/>
      </c>
      <c r="Z37">
        <f>IF([2]Baskol!$J$40="","",[2]Baskol!$J$40)</f>
        <v/>
      </c>
      <c r="AA37">
        <f>IF([2]Baskol!$K$40="","",[2]Baskol!$K$40)</f>
        <v/>
      </c>
      <c r="AB37">
        <f>IF([2]Baskol!$L$40="","",[2]Baskol!$L$40)</f>
        <v/>
      </c>
      <c r="AC37">
        <f>IF([2]Baskol!$N$40="","",[2]Baskol!$N$40)</f>
        <v/>
      </c>
      <c r="AD37">
        <f>IF([2]Baskol!$O$40="","",[2]Baskol!$O$40)</f>
        <v/>
      </c>
      <c r="AE37">
        <f>IF([3]Entry!$C$40="","",[3]Entry!$C$40)</f>
        <v/>
      </c>
      <c r="AF37">
        <f>IF([3]Entry!$D$40="","",[3]Entry!$D$40)</f>
        <v/>
      </c>
      <c r="AG37">
        <f>IF([3]Entry!$E$40="","",[3]Entry!$E$40)</f>
        <v/>
      </c>
      <c r="AH37">
        <f>IF([3]Entry!$G$40="","",[3]Entry!$G$40)</f>
        <v/>
      </c>
      <c r="AI37">
        <f>IF([3]Entry!$K$40="","",[3]Entry!$K$40)</f>
        <v/>
      </c>
      <c r="AJ37">
        <f>IF([3]Entry!$L$40="","",[3]Entry!$L$40)</f>
        <v/>
      </c>
      <c r="AK37">
        <f>IF([3]Entry!$M$40="","",[3]Entry!$M$40)</f>
        <v/>
      </c>
      <c r="AL37">
        <f>IF([3]Entry!$N$40="","",[3]Entry!$N$40)</f>
        <v/>
      </c>
      <c r="AM37">
        <f>IF([3]Entry!$R$40="","",[3]Entry!$R$40)</f>
        <v/>
      </c>
    </row>
    <row r="38">
      <c r="A38">
        <f>IF([1]Accounts!$D$39="","",[1]Accounts!$A$39)</f>
        <v/>
      </c>
      <c r="B38">
        <f>IF([1]Accounts!$D$39="","",[1]Accounts!$B$39)</f>
        <v/>
      </c>
      <c r="C38">
        <f>IF([1]Accounts!$D$39="","",[1]Accounts!$C$39)</f>
        <v/>
      </c>
      <c r="D38">
        <f>IF([1]Accounts!$D$39="","",[1]Accounts!$D$39)</f>
        <v/>
      </c>
      <c r="E38">
        <f>IF([1]Accounts!$D$39="","",[1]Accounts!$E$39)</f>
        <v/>
      </c>
      <c r="F38">
        <f>IF([1]Accounts!$D$39="","",[1]Accounts!$F$39)</f>
        <v/>
      </c>
      <c r="G38">
        <f>IF([1]Accounts!$D$39="","",[1]Accounts!$G$39)</f>
        <v/>
      </c>
      <c r="T38">
        <f>IF([2]Baskol!$B$41="","",[2]Baskol!$B$41)</f>
        <v/>
      </c>
      <c r="U38">
        <f>IF([2]Baskol!$C$41="","",[2]Baskol!$C$41)</f>
        <v/>
      </c>
      <c r="V38">
        <f>IF([2]Baskol!$D$41="","",[2]Baskol!$D$41)</f>
        <v/>
      </c>
      <c r="W38">
        <f>IF([2]Baskol!$E$41="","",[2]Baskol!$E$41)</f>
        <v/>
      </c>
      <c r="X38">
        <f>IF([2]Baskol!$G$41="","",[2]Baskol!$G$41)</f>
        <v/>
      </c>
      <c r="Y38">
        <f>IF([2]Baskol!$I$41="","",[2]Baskol!$I$41)</f>
        <v/>
      </c>
      <c r="Z38">
        <f>IF([2]Baskol!$J$41="","",[2]Baskol!$J$41)</f>
        <v/>
      </c>
      <c r="AA38">
        <f>IF([2]Baskol!$K$41="","",[2]Baskol!$K$41)</f>
        <v/>
      </c>
      <c r="AB38">
        <f>IF([2]Baskol!$L$41="","",[2]Baskol!$L$41)</f>
        <v/>
      </c>
      <c r="AC38">
        <f>IF([2]Baskol!$N$41="","",[2]Baskol!$N$41)</f>
        <v/>
      </c>
      <c r="AD38">
        <f>IF([2]Baskol!$O$41="","",[2]Baskol!$O$41)</f>
        <v/>
      </c>
      <c r="AE38">
        <f>IF([3]Entry!$C$41="","",[3]Entry!$C$41)</f>
        <v/>
      </c>
      <c r="AF38">
        <f>IF([3]Entry!$D$41="","",[3]Entry!$D$41)</f>
        <v/>
      </c>
      <c r="AG38">
        <f>IF([3]Entry!$E$41="","",[3]Entry!$E$41)</f>
        <v/>
      </c>
      <c r="AH38">
        <f>IF([3]Entry!$G$41="","",[3]Entry!$G$41)</f>
        <v/>
      </c>
      <c r="AI38">
        <f>IF([3]Entry!$K$41="","",[3]Entry!$K$41)</f>
        <v/>
      </c>
      <c r="AJ38">
        <f>IF([3]Entry!$L$41="","",[3]Entry!$L$41)</f>
        <v/>
      </c>
      <c r="AK38">
        <f>IF([3]Entry!$M$41="","",[3]Entry!$M$41)</f>
        <v/>
      </c>
      <c r="AL38">
        <f>IF([3]Entry!$N$41="","",[3]Entry!$N$41)</f>
        <v/>
      </c>
      <c r="AM38">
        <f>IF([3]Entry!$R$41="","",[3]Entry!$R$41)</f>
        <v/>
      </c>
    </row>
    <row r="39">
      <c r="A39">
        <f>IF([1]Accounts!$D$40="","",[1]Accounts!$A$40)</f>
        <v/>
      </c>
      <c r="B39">
        <f>IF([1]Accounts!$D$40="","",[1]Accounts!$B$40)</f>
        <v/>
      </c>
      <c r="C39">
        <f>IF([1]Accounts!$D$40="","",[1]Accounts!$C$40)</f>
        <v/>
      </c>
      <c r="D39">
        <f>IF([1]Accounts!$D$40="","",[1]Accounts!$D$40)</f>
        <v/>
      </c>
      <c r="E39">
        <f>IF([1]Accounts!$D$40="","",[1]Accounts!$E$40)</f>
        <v/>
      </c>
      <c r="F39">
        <f>IF([1]Accounts!$D$40="","",[1]Accounts!$F$40)</f>
        <v/>
      </c>
      <c r="G39">
        <f>IF([1]Accounts!$D$40="","",[1]Accounts!$G$40)</f>
        <v/>
      </c>
      <c r="T39">
        <f>IF([2]Baskol!$B$42="","",[2]Baskol!$B$42)</f>
        <v/>
      </c>
      <c r="U39">
        <f>IF([2]Baskol!$C$42="","",[2]Baskol!$C$42)</f>
        <v/>
      </c>
      <c r="V39">
        <f>IF([2]Baskol!$D$42="","",[2]Baskol!$D$42)</f>
        <v/>
      </c>
      <c r="W39">
        <f>IF([2]Baskol!$E$42="","",[2]Baskol!$E$42)</f>
        <v/>
      </c>
      <c r="X39">
        <f>IF([2]Baskol!$G$42="","",[2]Baskol!$G$42)</f>
        <v/>
      </c>
      <c r="Y39">
        <f>IF([2]Baskol!$I$42="","",[2]Baskol!$I$42)</f>
        <v/>
      </c>
      <c r="Z39">
        <f>IF([2]Baskol!$J$42="","",[2]Baskol!$J$42)</f>
        <v/>
      </c>
      <c r="AA39">
        <f>IF([2]Baskol!$K$42="","",[2]Baskol!$K$42)</f>
        <v/>
      </c>
      <c r="AB39">
        <f>IF([2]Baskol!$L$42="","",[2]Baskol!$L$42)</f>
        <v/>
      </c>
      <c r="AC39">
        <f>IF([2]Baskol!$N$42="","",[2]Baskol!$N$42)</f>
        <v/>
      </c>
      <c r="AD39">
        <f>IF([2]Baskol!$O$42="","",[2]Baskol!$O$42)</f>
        <v/>
      </c>
      <c r="AE39">
        <f>IF([3]Entry!$C$42="","",[3]Entry!$C$42)</f>
        <v/>
      </c>
      <c r="AF39">
        <f>IF([3]Entry!$D$42="","",[3]Entry!$D$42)</f>
        <v/>
      </c>
      <c r="AG39">
        <f>IF([3]Entry!$E$42="","",[3]Entry!$E$42)</f>
        <v/>
      </c>
      <c r="AH39">
        <f>IF([3]Entry!$G$42="","",[3]Entry!$G$42)</f>
        <v/>
      </c>
      <c r="AI39">
        <f>IF([3]Entry!$K$42="","",[3]Entry!$K$42)</f>
        <v/>
      </c>
      <c r="AJ39">
        <f>IF([3]Entry!$L$42="","",[3]Entry!$L$42)</f>
        <v/>
      </c>
      <c r="AK39">
        <f>IF([3]Entry!$M$42="","",[3]Entry!$M$42)</f>
        <v/>
      </c>
      <c r="AL39">
        <f>IF([3]Entry!$N$42="","",[3]Entry!$N$42)</f>
        <v/>
      </c>
      <c r="AM39">
        <f>IF([3]Entry!$R$42="","",[3]Entry!$R$42)</f>
        <v/>
      </c>
    </row>
    <row r="40">
      <c r="A40">
        <f>IF([1]Accounts!$D$41="","",[1]Accounts!$A$41)</f>
        <v/>
      </c>
      <c r="B40">
        <f>IF([1]Accounts!$D$41="","",[1]Accounts!$B$41)</f>
        <v/>
      </c>
      <c r="C40">
        <f>IF([1]Accounts!$D$41="","",[1]Accounts!$C$41)</f>
        <v/>
      </c>
      <c r="D40">
        <f>IF([1]Accounts!$D$41="","",[1]Accounts!$D$41)</f>
        <v/>
      </c>
      <c r="E40">
        <f>IF([1]Accounts!$D$41="","",[1]Accounts!$E$41)</f>
        <v/>
      </c>
      <c r="F40">
        <f>IF([1]Accounts!$D$41="","",[1]Accounts!$F$41)</f>
        <v/>
      </c>
      <c r="G40">
        <f>IF([1]Accounts!$D$41="","",[1]Accounts!$G$41)</f>
        <v/>
      </c>
      <c r="T40">
        <f>IF([2]Baskol!$B$43="","",[2]Baskol!$B$43)</f>
        <v/>
      </c>
      <c r="U40">
        <f>IF([2]Baskol!$C$43="","",[2]Baskol!$C$43)</f>
        <v/>
      </c>
      <c r="V40">
        <f>IF([2]Baskol!$D$43="","",[2]Baskol!$D$43)</f>
        <v/>
      </c>
      <c r="W40">
        <f>IF([2]Baskol!$E$43="","",[2]Baskol!$E$43)</f>
        <v/>
      </c>
      <c r="X40">
        <f>IF([2]Baskol!$G$43="","",[2]Baskol!$G$43)</f>
        <v/>
      </c>
      <c r="Y40">
        <f>IF([2]Baskol!$I$43="","",[2]Baskol!$I$43)</f>
        <v/>
      </c>
      <c r="Z40">
        <f>IF([2]Baskol!$J$43="","",[2]Baskol!$J$43)</f>
        <v/>
      </c>
      <c r="AA40">
        <f>IF([2]Baskol!$K$43="","",[2]Baskol!$K$43)</f>
        <v/>
      </c>
      <c r="AB40">
        <f>IF([2]Baskol!$L$43="","",[2]Baskol!$L$43)</f>
        <v/>
      </c>
      <c r="AC40">
        <f>IF([2]Baskol!$N$43="","",[2]Baskol!$N$43)</f>
        <v/>
      </c>
      <c r="AD40">
        <f>IF([2]Baskol!$O$43="","",[2]Baskol!$O$43)</f>
        <v/>
      </c>
      <c r="AE40">
        <f>IF([3]Entry!$C$43="","",[3]Entry!$C$43)</f>
        <v/>
      </c>
      <c r="AF40">
        <f>IF([3]Entry!$D$43="","",[3]Entry!$D$43)</f>
        <v/>
      </c>
      <c r="AG40">
        <f>IF([3]Entry!$E$43="","",[3]Entry!$E$43)</f>
        <v/>
      </c>
      <c r="AH40">
        <f>IF([3]Entry!$G$43="","",[3]Entry!$G$43)</f>
        <v/>
      </c>
      <c r="AI40">
        <f>IF([3]Entry!$K$43="","",[3]Entry!$K$43)</f>
        <v/>
      </c>
      <c r="AJ40">
        <f>IF([3]Entry!$L$43="","",[3]Entry!$L$43)</f>
        <v/>
      </c>
      <c r="AK40">
        <f>IF([3]Entry!$M$43="","",[3]Entry!$M$43)</f>
        <v/>
      </c>
      <c r="AL40">
        <f>IF([3]Entry!$N$43="","",[3]Entry!$N$43)</f>
        <v/>
      </c>
      <c r="AM40">
        <f>IF([3]Entry!$R$43="","",[3]Entry!$R$43)</f>
        <v/>
      </c>
    </row>
    <row r="41">
      <c r="A41">
        <f>IF([1]Accounts!$D$42="","",[1]Accounts!$A$42)</f>
        <v/>
      </c>
      <c r="B41">
        <f>IF([1]Accounts!$D$42="","",[1]Accounts!$B$42)</f>
        <v/>
      </c>
      <c r="C41">
        <f>IF([1]Accounts!$D$42="","",[1]Accounts!$C$42)</f>
        <v/>
      </c>
      <c r="D41">
        <f>IF([1]Accounts!$D$42="","",[1]Accounts!$D$42)</f>
        <v/>
      </c>
      <c r="E41">
        <f>IF([1]Accounts!$D$42="","",[1]Accounts!$E$42)</f>
        <v/>
      </c>
      <c r="F41">
        <f>IF([1]Accounts!$D$42="","",[1]Accounts!$F$42)</f>
        <v/>
      </c>
      <c r="G41">
        <f>IF([1]Accounts!$D$42="","",[1]Accounts!$G$42)</f>
        <v/>
      </c>
      <c r="T41">
        <f>IF([2]Baskol!$B$44="","",[2]Baskol!$B$44)</f>
        <v/>
      </c>
      <c r="U41">
        <f>IF([2]Baskol!$C$44="","",[2]Baskol!$C$44)</f>
        <v/>
      </c>
      <c r="V41">
        <f>IF([2]Baskol!$D$44="","",[2]Baskol!$D$44)</f>
        <v/>
      </c>
      <c r="W41">
        <f>IF([2]Baskol!$E$44="","",[2]Baskol!$E$44)</f>
        <v/>
      </c>
      <c r="X41">
        <f>IF([2]Baskol!$G$44="","",[2]Baskol!$G$44)</f>
        <v/>
      </c>
      <c r="Y41">
        <f>IF([2]Baskol!$I$44="","",[2]Baskol!$I$44)</f>
        <v/>
      </c>
      <c r="Z41">
        <f>IF([2]Baskol!$J$44="","",[2]Baskol!$J$44)</f>
        <v/>
      </c>
      <c r="AA41">
        <f>IF([2]Baskol!$K$44="","",[2]Baskol!$K$44)</f>
        <v/>
      </c>
      <c r="AB41">
        <f>IF([2]Baskol!$L$44="","",[2]Baskol!$L$44)</f>
        <v/>
      </c>
      <c r="AC41">
        <f>IF([2]Baskol!$N$44="","",[2]Baskol!$N$44)</f>
        <v/>
      </c>
      <c r="AD41">
        <f>IF([2]Baskol!$O$44="","",[2]Baskol!$O$44)</f>
        <v/>
      </c>
      <c r="AE41">
        <f>IF([3]Entry!$C$44="","",[3]Entry!$C$44)</f>
        <v/>
      </c>
      <c r="AF41">
        <f>IF([3]Entry!$D$44="","",[3]Entry!$D$44)</f>
        <v/>
      </c>
      <c r="AG41">
        <f>IF([3]Entry!$E$44="","",[3]Entry!$E$44)</f>
        <v/>
      </c>
      <c r="AH41">
        <f>IF([3]Entry!$G$44="","",[3]Entry!$G$44)</f>
        <v/>
      </c>
      <c r="AI41">
        <f>IF([3]Entry!$K$44="","",[3]Entry!$K$44)</f>
        <v/>
      </c>
      <c r="AJ41">
        <f>IF([3]Entry!$L$44="","",[3]Entry!$L$44)</f>
        <v/>
      </c>
      <c r="AK41">
        <f>IF([3]Entry!$M$44="","",[3]Entry!$M$44)</f>
        <v/>
      </c>
      <c r="AL41">
        <f>IF([3]Entry!$N$44="","",[3]Entry!$N$44)</f>
        <v/>
      </c>
      <c r="AM41">
        <f>IF([3]Entry!$R$44="","",[3]Entry!$R$44)</f>
        <v/>
      </c>
    </row>
    <row r="42">
      <c r="A42">
        <f>IF([1]Accounts!$D$43="","",[1]Accounts!$A$43)</f>
        <v/>
      </c>
      <c r="B42">
        <f>IF([1]Accounts!$D$43="","",[1]Accounts!$B$43)</f>
        <v/>
      </c>
      <c r="C42">
        <f>IF([1]Accounts!$D$43="","",[1]Accounts!$C$43)</f>
        <v/>
      </c>
      <c r="D42">
        <f>IF([1]Accounts!$D$43="","",[1]Accounts!$D$43)</f>
        <v/>
      </c>
      <c r="E42">
        <f>IF([1]Accounts!$D$43="","",[1]Accounts!$E$43)</f>
        <v/>
      </c>
      <c r="F42">
        <f>IF([1]Accounts!$D$43="","",[1]Accounts!$F$43)</f>
        <v/>
      </c>
      <c r="G42">
        <f>IF([1]Accounts!$D$43="","",[1]Accounts!$G$43)</f>
        <v/>
      </c>
      <c r="T42">
        <f>IF([2]Baskol!$B$45="","",[2]Baskol!$B$45)</f>
        <v/>
      </c>
      <c r="U42">
        <f>IF([2]Baskol!$C$45="","",[2]Baskol!$C$45)</f>
        <v/>
      </c>
      <c r="V42">
        <f>IF([2]Baskol!$D$45="","",[2]Baskol!$D$45)</f>
        <v/>
      </c>
      <c r="W42">
        <f>IF([2]Baskol!$E$45="","",[2]Baskol!$E$45)</f>
        <v/>
      </c>
      <c r="X42">
        <f>IF([2]Baskol!$G$45="","",[2]Baskol!$G$45)</f>
        <v/>
      </c>
      <c r="Y42">
        <f>IF([2]Baskol!$I$45="","",[2]Baskol!$I$45)</f>
        <v/>
      </c>
      <c r="Z42">
        <f>IF([2]Baskol!$J$45="","",[2]Baskol!$J$45)</f>
        <v/>
      </c>
      <c r="AA42">
        <f>IF([2]Baskol!$K$45="","",[2]Baskol!$K$45)</f>
        <v/>
      </c>
      <c r="AB42">
        <f>IF([2]Baskol!$L$45="","",[2]Baskol!$L$45)</f>
        <v/>
      </c>
      <c r="AC42">
        <f>IF([2]Baskol!$N$45="","",[2]Baskol!$N$45)</f>
        <v/>
      </c>
      <c r="AD42">
        <f>IF([2]Baskol!$O$45="","",[2]Baskol!$O$45)</f>
        <v/>
      </c>
      <c r="AE42">
        <f>IF([3]Entry!$C$45="","",[3]Entry!$C$45)</f>
        <v/>
      </c>
      <c r="AF42">
        <f>IF([3]Entry!$D$45="","",[3]Entry!$D$45)</f>
        <v/>
      </c>
      <c r="AG42">
        <f>IF([3]Entry!$E$45="","",[3]Entry!$E$45)</f>
        <v/>
      </c>
      <c r="AH42">
        <f>IF([3]Entry!$G$45="","",[3]Entry!$G$45)</f>
        <v/>
      </c>
      <c r="AI42">
        <f>IF([3]Entry!$K$45="","",[3]Entry!$K$45)</f>
        <v/>
      </c>
      <c r="AJ42">
        <f>IF([3]Entry!$L$45="","",[3]Entry!$L$45)</f>
        <v/>
      </c>
      <c r="AK42">
        <f>IF([3]Entry!$M$45="","",[3]Entry!$M$45)</f>
        <v/>
      </c>
      <c r="AL42">
        <f>IF([3]Entry!$N$45="","",[3]Entry!$N$45)</f>
        <v/>
      </c>
      <c r="AM42">
        <f>IF([3]Entry!$R$45="","",[3]Entry!$R$45)</f>
        <v/>
      </c>
    </row>
    <row r="43">
      <c r="A43">
        <f>IF([1]Accounts!$D$44="","",[1]Accounts!$A$44)</f>
        <v/>
      </c>
      <c r="B43">
        <f>IF([1]Accounts!$D$44="","",[1]Accounts!$B$44)</f>
        <v/>
      </c>
      <c r="C43">
        <f>IF([1]Accounts!$D$44="","",[1]Accounts!$C$44)</f>
        <v/>
      </c>
      <c r="D43">
        <f>IF([1]Accounts!$D$44="","",[1]Accounts!$D$44)</f>
        <v/>
      </c>
      <c r="E43">
        <f>IF([1]Accounts!$D$44="","",[1]Accounts!$E$44)</f>
        <v/>
      </c>
      <c r="F43">
        <f>IF([1]Accounts!$D$44="","",[1]Accounts!$F$44)</f>
        <v/>
      </c>
      <c r="G43">
        <f>IF([1]Accounts!$D$44="","",[1]Accounts!$G$44)</f>
        <v/>
      </c>
      <c r="T43">
        <f>IF([2]Baskol!$B$46="","",[2]Baskol!$B$46)</f>
        <v/>
      </c>
      <c r="U43">
        <f>IF([2]Baskol!$C$46="","",[2]Baskol!$C$46)</f>
        <v/>
      </c>
      <c r="V43">
        <f>IF([2]Baskol!$D$46="","",[2]Baskol!$D$46)</f>
        <v/>
      </c>
      <c r="W43">
        <f>IF([2]Baskol!$E$46="","",[2]Baskol!$E$46)</f>
        <v/>
      </c>
      <c r="X43">
        <f>IF([2]Baskol!$G$46="","",[2]Baskol!$G$46)</f>
        <v/>
      </c>
      <c r="Y43">
        <f>IF([2]Baskol!$I$46="","",[2]Baskol!$I$46)</f>
        <v/>
      </c>
      <c r="Z43">
        <f>IF([2]Baskol!$J$46="","",[2]Baskol!$J$46)</f>
        <v/>
      </c>
      <c r="AA43">
        <f>IF([2]Baskol!$K$46="","",[2]Baskol!$K$46)</f>
        <v/>
      </c>
      <c r="AB43">
        <f>IF([2]Baskol!$L$46="","",[2]Baskol!$L$46)</f>
        <v/>
      </c>
      <c r="AC43">
        <f>IF([2]Baskol!$N$46="","",[2]Baskol!$N$46)</f>
        <v/>
      </c>
      <c r="AD43">
        <f>IF([2]Baskol!$O$46="","",[2]Baskol!$O$46)</f>
        <v/>
      </c>
      <c r="AE43">
        <f>IF([3]Entry!$C$46="","",[3]Entry!$C$46)</f>
        <v/>
      </c>
      <c r="AF43">
        <f>IF([3]Entry!$D$46="","",[3]Entry!$D$46)</f>
        <v/>
      </c>
      <c r="AG43">
        <f>IF([3]Entry!$E$46="","",[3]Entry!$E$46)</f>
        <v/>
      </c>
      <c r="AH43">
        <f>IF([3]Entry!$G$46="","",[3]Entry!$G$46)</f>
        <v/>
      </c>
      <c r="AI43">
        <f>IF([3]Entry!$K$46="","",[3]Entry!$K$46)</f>
        <v/>
      </c>
      <c r="AJ43">
        <f>IF([3]Entry!$L$46="","",[3]Entry!$L$46)</f>
        <v/>
      </c>
      <c r="AK43">
        <f>IF([3]Entry!$M$46="","",[3]Entry!$M$46)</f>
        <v/>
      </c>
      <c r="AL43">
        <f>IF([3]Entry!$N$46="","",[3]Entry!$N$46)</f>
        <v/>
      </c>
      <c r="AM43">
        <f>IF([3]Entry!$R$46="","",[3]Entry!$R$46)</f>
        <v/>
      </c>
    </row>
    <row r="44">
      <c r="A44">
        <f>IF([1]Accounts!$D$45="","",[1]Accounts!$A$45)</f>
        <v/>
      </c>
      <c r="B44">
        <f>IF([1]Accounts!$D$45="","",[1]Accounts!$B$45)</f>
        <v/>
      </c>
      <c r="C44">
        <f>IF([1]Accounts!$D$45="","",[1]Accounts!$C$45)</f>
        <v/>
      </c>
      <c r="D44">
        <f>IF([1]Accounts!$D$45="","",[1]Accounts!$D$45)</f>
        <v/>
      </c>
      <c r="E44">
        <f>IF([1]Accounts!$D$45="","",[1]Accounts!$E$45)</f>
        <v/>
      </c>
      <c r="F44">
        <f>IF([1]Accounts!$D$45="","",[1]Accounts!$F$45)</f>
        <v/>
      </c>
      <c r="G44">
        <f>IF([1]Accounts!$D$45="","",[1]Accounts!$G$45)</f>
        <v/>
      </c>
      <c r="T44">
        <f>IF([2]Baskol!$B$47="","",[2]Baskol!$B$47)</f>
        <v/>
      </c>
      <c r="U44">
        <f>IF([2]Baskol!$C$47="","",[2]Baskol!$C$47)</f>
        <v/>
      </c>
      <c r="V44">
        <f>IF([2]Baskol!$D$47="","",[2]Baskol!$D$47)</f>
        <v/>
      </c>
      <c r="W44">
        <f>IF([2]Baskol!$E$47="","",[2]Baskol!$E$47)</f>
        <v/>
      </c>
      <c r="X44">
        <f>IF([2]Baskol!$G$47="","",[2]Baskol!$G$47)</f>
        <v/>
      </c>
      <c r="Y44">
        <f>IF([2]Baskol!$I$47="","",[2]Baskol!$I$47)</f>
        <v/>
      </c>
      <c r="Z44">
        <f>IF([2]Baskol!$J$47="","",[2]Baskol!$J$47)</f>
        <v/>
      </c>
      <c r="AA44">
        <f>IF([2]Baskol!$K$47="","",[2]Baskol!$K$47)</f>
        <v/>
      </c>
      <c r="AB44">
        <f>IF([2]Baskol!$L$47="","",[2]Baskol!$L$47)</f>
        <v/>
      </c>
      <c r="AC44">
        <f>IF([2]Baskol!$N$47="","",[2]Baskol!$N$47)</f>
        <v/>
      </c>
      <c r="AD44">
        <f>IF([2]Baskol!$O$47="","",[2]Baskol!$O$47)</f>
        <v/>
      </c>
      <c r="AE44">
        <f>IF([3]Entry!$C$47="","",[3]Entry!$C$47)</f>
        <v/>
      </c>
      <c r="AF44">
        <f>IF([3]Entry!$D$47="","",[3]Entry!$D$47)</f>
        <v/>
      </c>
      <c r="AG44">
        <f>IF([3]Entry!$E$47="","",[3]Entry!$E$47)</f>
        <v/>
      </c>
      <c r="AH44">
        <f>IF([3]Entry!$G$47="","",[3]Entry!$G$47)</f>
        <v/>
      </c>
      <c r="AI44">
        <f>IF([3]Entry!$K$47="","",[3]Entry!$K$47)</f>
        <v/>
      </c>
      <c r="AJ44">
        <f>IF([3]Entry!$L$47="","",[3]Entry!$L$47)</f>
        <v/>
      </c>
      <c r="AK44">
        <f>IF([3]Entry!$M$47="","",[3]Entry!$M$47)</f>
        <v/>
      </c>
      <c r="AL44">
        <f>IF([3]Entry!$N$47="","",[3]Entry!$N$47)</f>
        <v/>
      </c>
      <c r="AM44">
        <f>IF([3]Entry!$R$47="","",[3]Entry!$R$47)</f>
        <v/>
      </c>
    </row>
    <row r="45">
      <c r="A45">
        <f>IF([1]Accounts!$D$46="","",[1]Accounts!$A$46)</f>
        <v/>
      </c>
      <c r="B45">
        <f>IF([1]Accounts!$D$46="","",[1]Accounts!$B$46)</f>
        <v/>
      </c>
      <c r="C45">
        <f>IF([1]Accounts!$D$46="","",[1]Accounts!$C$46)</f>
        <v/>
      </c>
      <c r="D45">
        <f>IF([1]Accounts!$D$46="","",[1]Accounts!$D$46)</f>
        <v/>
      </c>
      <c r="E45">
        <f>IF([1]Accounts!$D$46="","",[1]Accounts!$E$46)</f>
        <v/>
      </c>
      <c r="F45">
        <f>IF([1]Accounts!$D$46="","",[1]Accounts!$F$46)</f>
        <v/>
      </c>
      <c r="G45">
        <f>IF([1]Accounts!$D$46="","",[1]Accounts!$G$46)</f>
        <v/>
      </c>
      <c r="T45">
        <f>IF([2]Baskol!$B$48="","",[2]Baskol!$B$48)</f>
        <v/>
      </c>
      <c r="U45">
        <f>IF([2]Baskol!$C$48="","",[2]Baskol!$C$48)</f>
        <v/>
      </c>
      <c r="V45">
        <f>IF([2]Baskol!$D$48="","",[2]Baskol!$D$48)</f>
        <v/>
      </c>
      <c r="W45">
        <f>IF([2]Baskol!$E$48="","",[2]Baskol!$E$48)</f>
        <v/>
      </c>
      <c r="X45">
        <f>IF([2]Baskol!$G$48="","",[2]Baskol!$G$48)</f>
        <v/>
      </c>
      <c r="Y45">
        <f>IF([2]Baskol!$I$48="","",[2]Baskol!$I$48)</f>
        <v/>
      </c>
      <c r="Z45">
        <f>IF([2]Baskol!$J$48="","",[2]Baskol!$J$48)</f>
        <v/>
      </c>
      <c r="AA45">
        <f>IF([2]Baskol!$K$48="","",[2]Baskol!$K$48)</f>
        <v/>
      </c>
      <c r="AB45">
        <f>IF([2]Baskol!$L$48="","",[2]Baskol!$L$48)</f>
        <v/>
      </c>
      <c r="AC45">
        <f>IF([2]Baskol!$N$48="","",[2]Baskol!$N$48)</f>
        <v/>
      </c>
      <c r="AD45">
        <f>IF([2]Baskol!$O$48="","",[2]Baskol!$O$48)</f>
        <v/>
      </c>
      <c r="AE45">
        <f>IF([3]Entry!$C$48="","",[3]Entry!$C$48)</f>
        <v/>
      </c>
      <c r="AF45">
        <f>IF([3]Entry!$D$48="","",[3]Entry!$D$48)</f>
        <v/>
      </c>
      <c r="AG45">
        <f>IF([3]Entry!$E$48="","",[3]Entry!$E$48)</f>
        <v/>
      </c>
      <c r="AH45">
        <f>IF([3]Entry!$G$48="","",[3]Entry!$G$48)</f>
        <v/>
      </c>
      <c r="AI45">
        <f>IF([3]Entry!$K$48="","",[3]Entry!$K$48)</f>
        <v/>
      </c>
      <c r="AJ45">
        <f>IF([3]Entry!$L$48="","",[3]Entry!$L$48)</f>
        <v/>
      </c>
      <c r="AK45">
        <f>IF([3]Entry!$M$48="","",[3]Entry!$M$48)</f>
        <v/>
      </c>
      <c r="AL45">
        <f>IF([3]Entry!$N$48="","",[3]Entry!$N$48)</f>
        <v/>
      </c>
      <c r="AM45">
        <f>IF([3]Entry!$R$48="","",[3]Entry!$R$48)</f>
        <v/>
      </c>
    </row>
    <row r="46">
      <c r="A46">
        <f>IF([1]Accounts!$D$47="","",[1]Accounts!$A$47)</f>
        <v/>
      </c>
      <c r="B46">
        <f>IF([1]Accounts!$D$47="","",[1]Accounts!$B$47)</f>
        <v/>
      </c>
      <c r="C46">
        <f>IF([1]Accounts!$D$47="","",[1]Accounts!$C$47)</f>
        <v/>
      </c>
      <c r="D46">
        <f>IF([1]Accounts!$D$47="","",[1]Accounts!$D$47)</f>
        <v/>
      </c>
      <c r="E46">
        <f>IF([1]Accounts!$D$47="","",[1]Accounts!$E$47)</f>
        <v/>
      </c>
      <c r="F46">
        <f>IF([1]Accounts!$D$47="","",[1]Accounts!$F$47)</f>
        <v/>
      </c>
      <c r="G46">
        <f>IF([1]Accounts!$D$47="","",[1]Accounts!$G$47)</f>
        <v/>
      </c>
      <c r="T46">
        <f>IF([2]Baskol!$B$49="","",[2]Baskol!$B$49)</f>
        <v/>
      </c>
      <c r="U46">
        <f>IF([2]Baskol!$C$49="","",[2]Baskol!$C$49)</f>
        <v/>
      </c>
      <c r="V46">
        <f>IF([2]Baskol!$D$49="","",[2]Baskol!$D$49)</f>
        <v/>
      </c>
      <c r="W46">
        <f>IF([2]Baskol!$E$49="","",[2]Baskol!$E$49)</f>
        <v/>
      </c>
      <c r="X46">
        <f>IF([2]Baskol!$G$49="","",[2]Baskol!$G$49)</f>
        <v/>
      </c>
      <c r="Y46">
        <f>IF([2]Baskol!$I$49="","",[2]Baskol!$I$49)</f>
        <v/>
      </c>
      <c r="Z46">
        <f>IF([2]Baskol!$J$49="","",[2]Baskol!$J$49)</f>
        <v/>
      </c>
      <c r="AA46">
        <f>IF([2]Baskol!$K$49="","",[2]Baskol!$K$49)</f>
        <v/>
      </c>
      <c r="AB46">
        <f>IF([2]Baskol!$L$49="","",[2]Baskol!$L$49)</f>
        <v/>
      </c>
      <c r="AC46">
        <f>IF([2]Baskol!$N$49="","",[2]Baskol!$N$49)</f>
        <v/>
      </c>
      <c r="AD46">
        <f>IF([2]Baskol!$O$49="","",[2]Baskol!$O$49)</f>
        <v/>
      </c>
      <c r="AE46">
        <f>IF([3]Entry!$C$49="","",[3]Entry!$C$49)</f>
        <v/>
      </c>
      <c r="AF46">
        <f>IF([3]Entry!$D$49="","",[3]Entry!$D$49)</f>
        <v/>
      </c>
      <c r="AG46">
        <f>IF([3]Entry!$E$49="","",[3]Entry!$E$49)</f>
        <v/>
      </c>
      <c r="AH46">
        <f>IF([3]Entry!$G$49="","",[3]Entry!$G$49)</f>
        <v/>
      </c>
      <c r="AI46">
        <f>IF([3]Entry!$K$49="","",[3]Entry!$K$49)</f>
        <v/>
      </c>
      <c r="AJ46">
        <f>IF([3]Entry!$L$49="","",[3]Entry!$L$49)</f>
        <v/>
      </c>
      <c r="AK46">
        <f>IF([3]Entry!$M$49="","",[3]Entry!$M$49)</f>
        <v/>
      </c>
      <c r="AL46">
        <f>IF([3]Entry!$N$49="","",[3]Entry!$N$49)</f>
        <v/>
      </c>
      <c r="AM46">
        <f>IF([3]Entry!$R$49="","",[3]Entry!$R$49)</f>
        <v/>
      </c>
    </row>
    <row r="47">
      <c r="A47">
        <f>IF([1]Accounts!$D$48="","",[1]Accounts!$A$48)</f>
        <v/>
      </c>
      <c r="B47">
        <f>IF([1]Accounts!$D$48="","",[1]Accounts!$B$48)</f>
        <v/>
      </c>
      <c r="C47">
        <f>IF([1]Accounts!$D$48="","",[1]Accounts!$C$48)</f>
        <v/>
      </c>
      <c r="D47">
        <f>IF([1]Accounts!$D$48="","",[1]Accounts!$D$48)</f>
        <v/>
      </c>
      <c r="E47">
        <f>IF([1]Accounts!$D$48="","",[1]Accounts!$E$48)</f>
        <v/>
      </c>
      <c r="F47">
        <f>IF([1]Accounts!$D$48="","",[1]Accounts!$F$48)</f>
        <v/>
      </c>
      <c r="G47">
        <f>IF([1]Accounts!$D$48="","",[1]Accounts!$G$48)</f>
        <v/>
      </c>
      <c r="T47">
        <f>IF([2]Baskol!$B$50="","",[2]Baskol!$B$50)</f>
        <v/>
      </c>
      <c r="U47">
        <f>IF([2]Baskol!$C$50="","",[2]Baskol!$C$50)</f>
        <v/>
      </c>
      <c r="V47">
        <f>IF([2]Baskol!$D$50="","",[2]Baskol!$D$50)</f>
        <v/>
      </c>
      <c r="W47">
        <f>IF([2]Baskol!$E$50="","",[2]Baskol!$E$50)</f>
        <v/>
      </c>
      <c r="X47">
        <f>IF([2]Baskol!$G$50="","",[2]Baskol!$G$50)</f>
        <v/>
      </c>
      <c r="Y47">
        <f>IF([2]Baskol!$I$50="","",[2]Baskol!$I$50)</f>
        <v/>
      </c>
      <c r="Z47">
        <f>IF([2]Baskol!$J$50="","",[2]Baskol!$J$50)</f>
        <v/>
      </c>
      <c r="AA47">
        <f>IF([2]Baskol!$K$50="","",[2]Baskol!$K$50)</f>
        <v/>
      </c>
      <c r="AB47">
        <f>IF([2]Baskol!$L$50="","",[2]Baskol!$L$50)</f>
        <v/>
      </c>
      <c r="AC47">
        <f>IF([2]Baskol!$N$50="","",[2]Baskol!$N$50)</f>
        <v/>
      </c>
      <c r="AD47">
        <f>IF([2]Baskol!$O$50="","",[2]Baskol!$O$50)</f>
        <v/>
      </c>
      <c r="AE47">
        <f>IF([3]Entry!$C$50="","",[3]Entry!$C$50)</f>
        <v/>
      </c>
      <c r="AF47">
        <f>IF([3]Entry!$D$50="","",[3]Entry!$D$50)</f>
        <v/>
      </c>
      <c r="AG47">
        <f>IF([3]Entry!$E$50="","",[3]Entry!$E$50)</f>
        <v/>
      </c>
      <c r="AH47">
        <f>IF([3]Entry!$G$50="","",[3]Entry!$G$50)</f>
        <v/>
      </c>
      <c r="AI47">
        <f>IF([3]Entry!$K$50="","",[3]Entry!$K$50)</f>
        <v/>
      </c>
      <c r="AJ47">
        <f>IF([3]Entry!$L$50="","",[3]Entry!$L$50)</f>
        <v/>
      </c>
      <c r="AK47">
        <f>IF([3]Entry!$M$50="","",[3]Entry!$M$50)</f>
        <v/>
      </c>
      <c r="AL47">
        <f>IF([3]Entry!$N$50="","",[3]Entry!$N$50)</f>
        <v/>
      </c>
      <c r="AM47">
        <f>IF([3]Entry!$R$50="","",[3]Entry!$R$50)</f>
        <v/>
      </c>
    </row>
    <row r="48">
      <c r="A48">
        <f>IF([1]Accounts!$D$49="","",[1]Accounts!$A$49)</f>
        <v/>
      </c>
      <c r="B48">
        <f>IF([1]Accounts!$D$49="","",[1]Accounts!$B$49)</f>
        <v/>
      </c>
      <c r="C48">
        <f>IF([1]Accounts!$D$49="","",[1]Accounts!$C$49)</f>
        <v/>
      </c>
      <c r="D48">
        <f>IF([1]Accounts!$D$49="","",[1]Accounts!$D$49)</f>
        <v/>
      </c>
      <c r="E48">
        <f>IF([1]Accounts!$D$49="","",[1]Accounts!$E$49)</f>
        <v/>
      </c>
      <c r="F48">
        <f>IF([1]Accounts!$D$49="","",[1]Accounts!$F$49)</f>
        <v/>
      </c>
      <c r="G48">
        <f>IF([1]Accounts!$D$49="","",[1]Accounts!$G$49)</f>
        <v/>
      </c>
      <c r="T48">
        <f>IF([2]Baskol!$B$51="","",[2]Baskol!$B$51)</f>
        <v/>
      </c>
      <c r="U48">
        <f>IF([2]Baskol!$C$51="","",[2]Baskol!$C$51)</f>
        <v/>
      </c>
      <c r="V48">
        <f>IF([2]Baskol!$D$51="","",[2]Baskol!$D$51)</f>
        <v/>
      </c>
      <c r="W48">
        <f>IF([2]Baskol!$E$51="","",[2]Baskol!$E$51)</f>
        <v/>
      </c>
      <c r="X48">
        <f>IF([2]Baskol!$G$51="","",[2]Baskol!$G$51)</f>
        <v/>
      </c>
      <c r="Y48">
        <f>IF([2]Baskol!$I$51="","",[2]Baskol!$I$51)</f>
        <v/>
      </c>
      <c r="Z48">
        <f>IF([2]Baskol!$J$51="","",[2]Baskol!$J$51)</f>
        <v/>
      </c>
      <c r="AA48">
        <f>IF([2]Baskol!$K$51="","",[2]Baskol!$K$51)</f>
        <v/>
      </c>
      <c r="AB48">
        <f>IF([2]Baskol!$L$51="","",[2]Baskol!$L$51)</f>
        <v/>
      </c>
      <c r="AC48">
        <f>IF([2]Baskol!$N$51="","",[2]Baskol!$N$51)</f>
        <v/>
      </c>
      <c r="AD48">
        <f>IF([2]Baskol!$O$51="","",[2]Baskol!$O$51)</f>
        <v/>
      </c>
      <c r="AE48">
        <f>IF([3]Entry!$C$51="","",[3]Entry!$C$51)</f>
        <v/>
      </c>
      <c r="AF48">
        <f>IF([3]Entry!$D$51="","",[3]Entry!$D$51)</f>
        <v/>
      </c>
      <c r="AG48">
        <f>IF([3]Entry!$E$51="","",[3]Entry!$E$51)</f>
        <v/>
      </c>
      <c r="AH48">
        <f>IF([3]Entry!$G$51="","",[3]Entry!$G$51)</f>
        <v/>
      </c>
      <c r="AI48">
        <f>IF([3]Entry!$K$51="","",[3]Entry!$K$51)</f>
        <v/>
      </c>
      <c r="AJ48">
        <f>IF([3]Entry!$L$51="","",[3]Entry!$L$51)</f>
        <v/>
      </c>
      <c r="AK48">
        <f>IF([3]Entry!$M$51="","",[3]Entry!$M$51)</f>
        <v/>
      </c>
      <c r="AL48">
        <f>IF([3]Entry!$N$51="","",[3]Entry!$N$51)</f>
        <v/>
      </c>
      <c r="AM48">
        <f>IF([3]Entry!$R$51="","",[3]Entry!$R$51)</f>
        <v/>
      </c>
    </row>
    <row r="49">
      <c r="A49">
        <f>IF([1]Accounts!$D$50="","",[1]Accounts!$A$50)</f>
        <v/>
      </c>
      <c r="B49">
        <f>IF([1]Accounts!$D$50="","",[1]Accounts!$B$50)</f>
        <v/>
      </c>
      <c r="C49">
        <f>IF([1]Accounts!$D$50="","",[1]Accounts!$C$50)</f>
        <v/>
      </c>
      <c r="D49">
        <f>IF([1]Accounts!$D$50="","",[1]Accounts!$D$50)</f>
        <v/>
      </c>
      <c r="E49">
        <f>IF([1]Accounts!$D$50="","",[1]Accounts!$E$50)</f>
        <v/>
      </c>
      <c r="F49">
        <f>IF([1]Accounts!$D$50="","",[1]Accounts!$F$50)</f>
        <v/>
      </c>
      <c r="G49">
        <f>IF([1]Accounts!$D$50="","",[1]Accounts!$G$50)</f>
        <v/>
      </c>
      <c r="T49">
        <f>IF([2]Baskol!$B$52="","",[2]Baskol!$B$52)</f>
        <v/>
      </c>
      <c r="U49">
        <f>IF([2]Baskol!$C$52="","",[2]Baskol!$C$52)</f>
        <v/>
      </c>
      <c r="V49">
        <f>IF([2]Baskol!$D$52="","",[2]Baskol!$D$52)</f>
        <v/>
      </c>
      <c r="W49">
        <f>IF([2]Baskol!$E$52="","",[2]Baskol!$E$52)</f>
        <v/>
      </c>
      <c r="X49">
        <f>IF([2]Baskol!$G$52="","",[2]Baskol!$G$52)</f>
        <v/>
      </c>
      <c r="Y49">
        <f>IF([2]Baskol!$I$52="","",[2]Baskol!$I$52)</f>
        <v/>
      </c>
      <c r="Z49">
        <f>IF([2]Baskol!$J$52="","",[2]Baskol!$J$52)</f>
        <v/>
      </c>
      <c r="AA49">
        <f>IF([2]Baskol!$K$52="","",[2]Baskol!$K$52)</f>
        <v/>
      </c>
      <c r="AB49">
        <f>IF([2]Baskol!$L$52="","",[2]Baskol!$L$52)</f>
        <v/>
      </c>
      <c r="AC49">
        <f>IF([2]Baskol!$N$52="","",[2]Baskol!$N$52)</f>
        <v/>
      </c>
      <c r="AD49">
        <f>IF([2]Baskol!$O$52="","",[2]Baskol!$O$52)</f>
        <v/>
      </c>
      <c r="AE49">
        <f>IF([3]Entry!$C$52="","",[3]Entry!$C$52)</f>
        <v/>
      </c>
      <c r="AF49">
        <f>IF([3]Entry!$D$52="","",[3]Entry!$D$52)</f>
        <v/>
      </c>
      <c r="AG49">
        <f>IF([3]Entry!$E$52="","",[3]Entry!$E$52)</f>
        <v/>
      </c>
      <c r="AH49">
        <f>IF([3]Entry!$G$52="","",[3]Entry!$G$52)</f>
        <v/>
      </c>
      <c r="AI49">
        <f>IF([3]Entry!$K$52="","",[3]Entry!$K$52)</f>
        <v/>
      </c>
      <c r="AJ49">
        <f>IF([3]Entry!$L$52="","",[3]Entry!$L$52)</f>
        <v/>
      </c>
      <c r="AK49">
        <f>IF([3]Entry!$M$52="","",[3]Entry!$M$52)</f>
        <v/>
      </c>
      <c r="AL49">
        <f>IF([3]Entry!$N$52="","",[3]Entry!$N$52)</f>
        <v/>
      </c>
      <c r="AM49">
        <f>IF([3]Entry!$R$52="","",[3]Entry!$R$52)</f>
        <v/>
      </c>
    </row>
    <row r="50">
      <c r="A50">
        <f>IF([1]Accounts!$D$51="","",[1]Accounts!$A$51)</f>
        <v/>
      </c>
      <c r="B50">
        <f>IF([1]Accounts!$D$51="","",[1]Accounts!$B$51)</f>
        <v/>
      </c>
      <c r="C50">
        <f>IF([1]Accounts!$D$51="","",[1]Accounts!$C$51)</f>
        <v/>
      </c>
      <c r="D50">
        <f>IF([1]Accounts!$D$51="","",[1]Accounts!$D$51)</f>
        <v/>
      </c>
      <c r="E50">
        <f>IF([1]Accounts!$D$51="","",[1]Accounts!$E$51)</f>
        <v/>
      </c>
      <c r="F50">
        <f>IF([1]Accounts!$D$51="","",[1]Accounts!$F$51)</f>
        <v/>
      </c>
      <c r="G50">
        <f>IF([1]Accounts!$D$51="","",[1]Accounts!$G$51)</f>
        <v/>
      </c>
      <c r="T50">
        <f>IF([2]Baskol!$B$53="","",[2]Baskol!$B$53)</f>
        <v/>
      </c>
      <c r="U50">
        <f>IF([2]Baskol!$C$53="","",[2]Baskol!$C$53)</f>
        <v/>
      </c>
      <c r="V50">
        <f>IF([2]Baskol!$D$53="","",[2]Baskol!$D$53)</f>
        <v/>
      </c>
      <c r="W50">
        <f>IF([2]Baskol!$E$53="","",[2]Baskol!$E$53)</f>
        <v/>
      </c>
      <c r="X50">
        <f>IF([2]Baskol!$G$53="","",[2]Baskol!$G$53)</f>
        <v/>
      </c>
      <c r="Y50">
        <f>IF([2]Baskol!$I$53="","",[2]Baskol!$I$53)</f>
        <v/>
      </c>
      <c r="Z50">
        <f>IF([2]Baskol!$J$53="","",[2]Baskol!$J$53)</f>
        <v/>
      </c>
      <c r="AA50">
        <f>IF([2]Baskol!$K$53="","",[2]Baskol!$K$53)</f>
        <v/>
      </c>
      <c r="AB50">
        <f>IF([2]Baskol!$L$53="","",[2]Baskol!$L$53)</f>
        <v/>
      </c>
      <c r="AC50">
        <f>IF([2]Baskol!$N$53="","",[2]Baskol!$N$53)</f>
        <v/>
      </c>
      <c r="AD50">
        <f>IF([2]Baskol!$O$53="","",[2]Baskol!$O$53)</f>
        <v/>
      </c>
      <c r="AE50">
        <f>IF([3]Entry!$C$53="","",[3]Entry!$C$53)</f>
        <v/>
      </c>
      <c r="AF50">
        <f>IF([3]Entry!$D$53="","",[3]Entry!$D$53)</f>
        <v/>
      </c>
      <c r="AG50">
        <f>IF([3]Entry!$E$53="","",[3]Entry!$E$53)</f>
        <v/>
      </c>
      <c r="AH50">
        <f>IF([3]Entry!$G$53="","",[3]Entry!$G$53)</f>
        <v/>
      </c>
      <c r="AI50">
        <f>IF([3]Entry!$K$53="","",[3]Entry!$K$53)</f>
        <v/>
      </c>
      <c r="AJ50">
        <f>IF([3]Entry!$L$53="","",[3]Entry!$L$53)</f>
        <v/>
      </c>
      <c r="AK50">
        <f>IF([3]Entry!$M$53="","",[3]Entry!$M$53)</f>
        <v/>
      </c>
      <c r="AL50">
        <f>IF([3]Entry!$N$53="","",[3]Entry!$N$53)</f>
        <v/>
      </c>
      <c r="AM50">
        <f>IF([3]Entry!$R$53="","",[3]Entry!$R$53)</f>
        <v/>
      </c>
    </row>
    <row r="51">
      <c r="A51">
        <f>IF([1]Accounts!$D$52="","",[1]Accounts!$A$52)</f>
        <v/>
      </c>
      <c r="B51">
        <f>IF([1]Accounts!$D$52="","",[1]Accounts!$B$52)</f>
        <v/>
      </c>
      <c r="C51">
        <f>IF([1]Accounts!$D$52="","",[1]Accounts!$C$52)</f>
        <v/>
      </c>
      <c r="D51">
        <f>IF([1]Accounts!$D$52="","",[1]Accounts!$D$52)</f>
        <v/>
      </c>
      <c r="E51">
        <f>IF([1]Accounts!$D$52="","",[1]Accounts!$E$52)</f>
        <v/>
      </c>
      <c r="F51">
        <f>IF([1]Accounts!$D$52="","",[1]Accounts!$F$52)</f>
        <v/>
      </c>
      <c r="G51">
        <f>IF([1]Accounts!$D$52="","",[1]Accounts!$G$52)</f>
        <v/>
      </c>
      <c r="T51">
        <f>IF([2]Baskol!$B$54="","",[2]Baskol!$B$54)</f>
        <v/>
      </c>
      <c r="U51">
        <f>IF([2]Baskol!$C$54="","",[2]Baskol!$C$54)</f>
        <v/>
      </c>
      <c r="V51">
        <f>IF([2]Baskol!$D$54="","",[2]Baskol!$D$54)</f>
        <v/>
      </c>
      <c r="W51">
        <f>IF([2]Baskol!$E$54="","",[2]Baskol!$E$54)</f>
        <v/>
      </c>
      <c r="X51">
        <f>IF([2]Baskol!$G$54="","",[2]Baskol!$G$54)</f>
        <v/>
      </c>
      <c r="Y51">
        <f>IF([2]Baskol!$I$54="","",[2]Baskol!$I$54)</f>
        <v/>
      </c>
      <c r="Z51">
        <f>IF([2]Baskol!$J$54="","",[2]Baskol!$J$54)</f>
        <v/>
      </c>
      <c r="AA51">
        <f>IF([2]Baskol!$K$54="","",[2]Baskol!$K$54)</f>
        <v/>
      </c>
      <c r="AB51">
        <f>IF([2]Baskol!$L$54="","",[2]Baskol!$L$54)</f>
        <v/>
      </c>
      <c r="AC51">
        <f>IF([2]Baskol!$N$54="","",[2]Baskol!$N$54)</f>
        <v/>
      </c>
      <c r="AD51">
        <f>IF([2]Baskol!$O$54="","",[2]Baskol!$O$54)</f>
        <v/>
      </c>
      <c r="AE51">
        <f>IF([3]Entry!$C$54="","",[3]Entry!$C$54)</f>
        <v/>
      </c>
      <c r="AF51">
        <f>IF([3]Entry!$D$54="","",[3]Entry!$D$54)</f>
        <v/>
      </c>
      <c r="AG51">
        <f>IF([3]Entry!$E$54="","",[3]Entry!$E$54)</f>
        <v/>
      </c>
      <c r="AH51">
        <f>IF([3]Entry!$G$54="","",[3]Entry!$G$54)</f>
        <v/>
      </c>
      <c r="AI51">
        <f>IF([3]Entry!$K$54="","",[3]Entry!$K$54)</f>
        <v/>
      </c>
      <c r="AJ51">
        <f>IF([3]Entry!$L$54="","",[3]Entry!$L$54)</f>
        <v/>
      </c>
      <c r="AK51">
        <f>IF([3]Entry!$M$54="","",[3]Entry!$M$54)</f>
        <v/>
      </c>
      <c r="AL51">
        <f>IF([3]Entry!$N$54="","",[3]Entry!$N$54)</f>
        <v/>
      </c>
      <c r="AM51">
        <f>IF([3]Entry!$R$54="","",[3]Entry!$R$54)</f>
        <v/>
      </c>
    </row>
    <row r="52">
      <c r="A52">
        <f>IF([1]Accounts!$D$53="","",[1]Accounts!$A$53)</f>
        <v/>
      </c>
      <c r="B52">
        <f>IF([1]Accounts!$D$53="","",[1]Accounts!$B$53)</f>
        <v/>
      </c>
      <c r="C52">
        <f>IF([1]Accounts!$D$53="","",[1]Accounts!$C$53)</f>
        <v/>
      </c>
      <c r="D52">
        <f>IF([1]Accounts!$D$53="","",[1]Accounts!$D$53)</f>
        <v/>
      </c>
      <c r="E52">
        <f>IF([1]Accounts!$D$53="","",[1]Accounts!$E$53)</f>
        <v/>
      </c>
      <c r="F52">
        <f>IF([1]Accounts!$D$53="","",[1]Accounts!$F$53)</f>
        <v/>
      </c>
      <c r="G52">
        <f>IF([1]Accounts!$D$53="","",[1]Accounts!$G$53)</f>
        <v/>
      </c>
      <c r="T52">
        <f>IF([2]Baskol!$B$55="","",[2]Baskol!$B$55)</f>
        <v/>
      </c>
      <c r="U52">
        <f>IF([2]Baskol!$C$55="","",[2]Baskol!$C$55)</f>
        <v/>
      </c>
      <c r="V52">
        <f>IF([2]Baskol!$D$55="","",[2]Baskol!$D$55)</f>
        <v/>
      </c>
      <c r="W52">
        <f>IF([2]Baskol!$E$55="","",[2]Baskol!$E$55)</f>
        <v/>
      </c>
      <c r="X52">
        <f>IF([2]Baskol!$G$55="","",[2]Baskol!$G$55)</f>
        <v/>
      </c>
      <c r="Y52">
        <f>IF([2]Baskol!$I$55="","",[2]Baskol!$I$55)</f>
        <v/>
      </c>
      <c r="Z52">
        <f>IF([2]Baskol!$J$55="","",[2]Baskol!$J$55)</f>
        <v/>
      </c>
      <c r="AA52">
        <f>IF([2]Baskol!$K$55="","",[2]Baskol!$K$55)</f>
        <v/>
      </c>
      <c r="AB52">
        <f>IF([2]Baskol!$L$55="","",[2]Baskol!$L$55)</f>
        <v/>
      </c>
      <c r="AC52">
        <f>IF([2]Baskol!$N$55="","",[2]Baskol!$N$55)</f>
        <v/>
      </c>
      <c r="AD52">
        <f>IF([2]Baskol!$O$55="","",[2]Baskol!$O$55)</f>
        <v/>
      </c>
      <c r="AE52">
        <f>IF([3]Entry!$C$55="","",[3]Entry!$C$55)</f>
        <v/>
      </c>
      <c r="AF52">
        <f>IF([3]Entry!$D$55="","",[3]Entry!$D$55)</f>
        <v/>
      </c>
      <c r="AG52">
        <f>IF([3]Entry!$E$55="","",[3]Entry!$E$55)</f>
        <v/>
      </c>
      <c r="AH52">
        <f>IF([3]Entry!$G$55="","",[3]Entry!$G$55)</f>
        <v/>
      </c>
      <c r="AI52">
        <f>IF([3]Entry!$K$55="","",[3]Entry!$K$55)</f>
        <v/>
      </c>
      <c r="AJ52">
        <f>IF([3]Entry!$L$55="","",[3]Entry!$L$55)</f>
        <v/>
      </c>
      <c r="AK52">
        <f>IF([3]Entry!$M$55="","",[3]Entry!$M$55)</f>
        <v/>
      </c>
      <c r="AL52">
        <f>IF([3]Entry!$N$55="","",[3]Entry!$N$55)</f>
        <v/>
      </c>
      <c r="AM52">
        <f>IF([3]Entry!$R$55="","",[3]Entry!$R$55)</f>
        <v/>
      </c>
    </row>
    <row r="53">
      <c r="A53">
        <f>IF([1]Accounts!$D$54="","",[1]Accounts!$A$54)</f>
        <v/>
      </c>
      <c r="B53">
        <f>IF([1]Accounts!$D$54="","",[1]Accounts!$B$54)</f>
        <v/>
      </c>
      <c r="C53">
        <f>IF([1]Accounts!$D$54="","",[1]Accounts!$C$54)</f>
        <v/>
      </c>
      <c r="D53">
        <f>IF([1]Accounts!$D$54="","",[1]Accounts!$D$54)</f>
        <v/>
      </c>
      <c r="E53">
        <f>IF([1]Accounts!$D$54="","",[1]Accounts!$E$54)</f>
        <v/>
      </c>
      <c r="F53">
        <f>IF([1]Accounts!$D$54="","",[1]Accounts!$F$54)</f>
        <v/>
      </c>
      <c r="G53">
        <f>IF([1]Accounts!$D$54="","",[1]Accounts!$G$54)</f>
        <v/>
      </c>
      <c r="T53">
        <f>IF([2]Baskol!$B$56="","",[2]Baskol!$B$56)</f>
        <v/>
      </c>
      <c r="U53">
        <f>IF([2]Baskol!$C$56="","",[2]Baskol!$C$56)</f>
        <v/>
      </c>
      <c r="V53">
        <f>IF([2]Baskol!$D$56="","",[2]Baskol!$D$56)</f>
        <v/>
      </c>
      <c r="W53">
        <f>IF([2]Baskol!$E$56="","",[2]Baskol!$E$56)</f>
        <v/>
      </c>
      <c r="X53">
        <f>IF([2]Baskol!$G$56="","",[2]Baskol!$G$56)</f>
        <v/>
      </c>
      <c r="Y53">
        <f>IF([2]Baskol!$I$56="","",[2]Baskol!$I$56)</f>
        <v/>
      </c>
      <c r="Z53">
        <f>IF([2]Baskol!$J$56="","",[2]Baskol!$J$56)</f>
        <v/>
      </c>
      <c r="AA53">
        <f>IF([2]Baskol!$K$56="","",[2]Baskol!$K$56)</f>
        <v/>
      </c>
      <c r="AB53">
        <f>IF([2]Baskol!$L$56="","",[2]Baskol!$L$56)</f>
        <v/>
      </c>
      <c r="AC53">
        <f>IF([2]Baskol!$N$56="","",[2]Baskol!$N$56)</f>
        <v/>
      </c>
      <c r="AD53">
        <f>IF([2]Baskol!$O$56="","",[2]Baskol!$O$56)</f>
        <v/>
      </c>
      <c r="AE53">
        <f>IF([3]Entry!$C$56="","",[3]Entry!$C$56)</f>
        <v/>
      </c>
      <c r="AF53">
        <f>IF([3]Entry!$D$56="","",[3]Entry!$D$56)</f>
        <v/>
      </c>
      <c r="AG53">
        <f>IF([3]Entry!$E$56="","",[3]Entry!$E$56)</f>
        <v/>
      </c>
      <c r="AH53">
        <f>IF([3]Entry!$G$56="","",[3]Entry!$G$56)</f>
        <v/>
      </c>
      <c r="AI53">
        <f>IF([3]Entry!$K$56="","",[3]Entry!$K$56)</f>
        <v/>
      </c>
      <c r="AJ53">
        <f>IF([3]Entry!$L$56="","",[3]Entry!$L$56)</f>
        <v/>
      </c>
      <c r="AK53">
        <f>IF([3]Entry!$M$56="","",[3]Entry!$M$56)</f>
        <v/>
      </c>
      <c r="AL53">
        <f>IF([3]Entry!$N$56="","",[3]Entry!$N$56)</f>
        <v/>
      </c>
      <c r="AM53">
        <f>IF([3]Entry!$R$56="","",[3]Entry!$R$56)</f>
        <v/>
      </c>
    </row>
    <row r="54">
      <c r="A54">
        <f>IF([1]Accounts!$D$55="","",[1]Accounts!$A$55)</f>
        <v/>
      </c>
      <c r="B54">
        <f>IF([1]Accounts!$D$55="","",[1]Accounts!$B$55)</f>
        <v/>
      </c>
      <c r="C54">
        <f>IF([1]Accounts!$D$55="","",[1]Accounts!$C$55)</f>
        <v/>
      </c>
      <c r="D54">
        <f>IF([1]Accounts!$D$55="","",[1]Accounts!$D$55)</f>
        <v/>
      </c>
      <c r="E54">
        <f>IF([1]Accounts!$D$55="","",[1]Accounts!$E$55)</f>
        <v/>
      </c>
      <c r="F54">
        <f>IF([1]Accounts!$D$55="","",[1]Accounts!$F$55)</f>
        <v/>
      </c>
      <c r="G54">
        <f>IF([1]Accounts!$D$55="","",[1]Accounts!$G$55)</f>
        <v/>
      </c>
      <c r="T54">
        <f>IF([2]Baskol!$B$57="","",[2]Baskol!$B$57)</f>
        <v/>
      </c>
      <c r="U54">
        <f>IF([2]Baskol!$C$57="","",[2]Baskol!$C$57)</f>
        <v/>
      </c>
      <c r="V54">
        <f>IF([2]Baskol!$D$57="","",[2]Baskol!$D$57)</f>
        <v/>
      </c>
      <c r="W54">
        <f>IF([2]Baskol!$E$57="","",[2]Baskol!$E$57)</f>
        <v/>
      </c>
      <c r="X54">
        <f>IF([2]Baskol!$G$57="","",[2]Baskol!$G$57)</f>
        <v/>
      </c>
      <c r="Y54">
        <f>IF([2]Baskol!$I$57="","",[2]Baskol!$I$57)</f>
        <v/>
      </c>
      <c r="Z54">
        <f>IF([2]Baskol!$J$57="","",[2]Baskol!$J$57)</f>
        <v/>
      </c>
      <c r="AA54">
        <f>IF([2]Baskol!$K$57="","",[2]Baskol!$K$57)</f>
        <v/>
      </c>
      <c r="AB54">
        <f>IF([2]Baskol!$L$57="","",[2]Baskol!$L$57)</f>
        <v/>
      </c>
      <c r="AC54">
        <f>IF([2]Baskol!$N$57="","",[2]Baskol!$N$57)</f>
        <v/>
      </c>
      <c r="AD54">
        <f>IF([2]Baskol!$O$57="","",[2]Baskol!$O$57)</f>
        <v/>
      </c>
      <c r="AE54">
        <f>IF([3]Entry!$C$57="","",[3]Entry!$C$57)</f>
        <v/>
      </c>
      <c r="AF54">
        <f>IF([3]Entry!$D$57="","",[3]Entry!$D$57)</f>
        <v/>
      </c>
      <c r="AG54">
        <f>IF([3]Entry!$E$57="","",[3]Entry!$E$57)</f>
        <v/>
      </c>
      <c r="AH54">
        <f>IF([3]Entry!$G$57="","",[3]Entry!$G$57)</f>
        <v/>
      </c>
      <c r="AI54">
        <f>IF([3]Entry!$K$57="","",[3]Entry!$K$57)</f>
        <v/>
      </c>
      <c r="AJ54">
        <f>IF([3]Entry!$L$57="","",[3]Entry!$L$57)</f>
        <v/>
      </c>
      <c r="AK54">
        <f>IF([3]Entry!$M$57="","",[3]Entry!$M$57)</f>
        <v/>
      </c>
      <c r="AL54">
        <f>IF([3]Entry!$N$57="","",[3]Entry!$N$57)</f>
        <v/>
      </c>
      <c r="AM54">
        <f>IF([3]Entry!$R$57="","",[3]Entry!$R$57)</f>
        <v/>
      </c>
    </row>
    <row r="55">
      <c r="A55">
        <f>IF([1]Accounts!$D$56="","",[1]Accounts!$A$56)</f>
        <v/>
      </c>
      <c r="B55">
        <f>IF([1]Accounts!$D$56="","",[1]Accounts!$B$56)</f>
        <v/>
      </c>
      <c r="C55">
        <f>IF([1]Accounts!$D$56="","",[1]Accounts!$C$56)</f>
        <v/>
      </c>
      <c r="D55">
        <f>IF([1]Accounts!$D$56="","",[1]Accounts!$D$56)</f>
        <v/>
      </c>
      <c r="E55">
        <f>IF([1]Accounts!$D$56="","",[1]Accounts!$E$56)</f>
        <v/>
      </c>
      <c r="F55">
        <f>IF([1]Accounts!$D$56="","",[1]Accounts!$F$56)</f>
        <v/>
      </c>
      <c r="G55">
        <f>IF([1]Accounts!$D$56="","",[1]Accounts!$G$56)</f>
        <v/>
      </c>
      <c r="T55">
        <f>IF([2]Baskol!$B$58="","",[2]Baskol!$B$58)</f>
        <v/>
      </c>
      <c r="U55">
        <f>IF([2]Baskol!$C$58="","",[2]Baskol!$C$58)</f>
        <v/>
      </c>
      <c r="V55">
        <f>IF([2]Baskol!$D$58="","",[2]Baskol!$D$58)</f>
        <v/>
      </c>
      <c r="W55">
        <f>IF([2]Baskol!$E$58="","",[2]Baskol!$E$58)</f>
        <v/>
      </c>
      <c r="X55">
        <f>IF([2]Baskol!$G$58="","",[2]Baskol!$G$58)</f>
        <v/>
      </c>
      <c r="Y55">
        <f>IF([2]Baskol!$I$58="","",[2]Baskol!$I$58)</f>
        <v/>
      </c>
      <c r="Z55">
        <f>IF([2]Baskol!$J$58="","",[2]Baskol!$J$58)</f>
        <v/>
      </c>
      <c r="AA55">
        <f>IF([2]Baskol!$K$58="","",[2]Baskol!$K$58)</f>
        <v/>
      </c>
      <c r="AB55">
        <f>IF([2]Baskol!$L$58="","",[2]Baskol!$L$58)</f>
        <v/>
      </c>
      <c r="AC55">
        <f>IF([2]Baskol!$N$58="","",[2]Baskol!$N$58)</f>
        <v/>
      </c>
      <c r="AD55">
        <f>IF([2]Baskol!$O$58="","",[2]Baskol!$O$58)</f>
        <v/>
      </c>
      <c r="AE55">
        <f>IF([3]Entry!$C$58="","",[3]Entry!$C$58)</f>
        <v/>
      </c>
      <c r="AF55">
        <f>IF([3]Entry!$D$58="","",[3]Entry!$D$58)</f>
        <v/>
      </c>
      <c r="AG55">
        <f>IF([3]Entry!$E$58="","",[3]Entry!$E$58)</f>
        <v/>
      </c>
      <c r="AH55">
        <f>IF([3]Entry!$G$58="","",[3]Entry!$G$58)</f>
        <v/>
      </c>
      <c r="AI55">
        <f>IF([3]Entry!$K$58="","",[3]Entry!$K$58)</f>
        <v/>
      </c>
      <c r="AJ55">
        <f>IF([3]Entry!$L$58="","",[3]Entry!$L$58)</f>
        <v/>
      </c>
      <c r="AK55">
        <f>IF([3]Entry!$M$58="","",[3]Entry!$M$58)</f>
        <v/>
      </c>
      <c r="AL55">
        <f>IF([3]Entry!$N$58="","",[3]Entry!$N$58)</f>
        <v/>
      </c>
      <c r="AM55">
        <f>IF([3]Entry!$R$58="","",[3]Entry!$R$58)</f>
        <v/>
      </c>
    </row>
    <row r="56">
      <c r="A56">
        <f>IF([1]Accounts!$D$57="","",[1]Accounts!$A$57)</f>
        <v/>
      </c>
      <c r="B56">
        <f>IF([1]Accounts!$D$57="","",[1]Accounts!$B$57)</f>
        <v/>
      </c>
      <c r="C56">
        <f>IF([1]Accounts!$D$57="","",[1]Accounts!$C$57)</f>
        <v/>
      </c>
      <c r="D56">
        <f>IF([1]Accounts!$D$57="","",[1]Accounts!$D$57)</f>
        <v/>
      </c>
      <c r="E56">
        <f>IF([1]Accounts!$D$57="","",[1]Accounts!$E$57)</f>
        <v/>
      </c>
      <c r="F56">
        <f>IF([1]Accounts!$D$57="","",[1]Accounts!$F$57)</f>
        <v/>
      </c>
      <c r="G56">
        <f>IF([1]Accounts!$D$57="","",[1]Accounts!$G$57)</f>
        <v/>
      </c>
      <c r="T56">
        <f>IF([2]Baskol!$B$59="","",[2]Baskol!$B$59)</f>
        <v/>
      </c>
      <c r="U56">
        <f>IF([2]Baskol!$C$59="","",[2]Baskol!$C$59)</f>
        <v/>
      </c>
      <c r="V56">
        <f>IF([2]Baskol!$D$59="","",[2]Baskol!$D$59)</f>
        <v/>
      </c>
      <c r="W56">
        <f>IF([2]Baskol!$E$59="","",[2]Baskol!$E$59)</f>
        <v/>
      </c>
      <c r="X56">
        <f>IF([2]Baskol!$G$59="","",[2]Baskol!$G$59)</f>
        <v/>
      </c>
      <c r="Y56">
        <f>IF([2]Baskol!$I$59="","",[2]Baskol!$I$59)</f>
        <v/>
      </c>
      <c r="Z56">
        <f>IF([2]Baskol!$J$59="","",[2]Baskol!$J$59)</f>
        <v/>
      </c>
      <c r="AA56">
        <f>IF([2]Baskol!$K$59="","",[2]Baskol!$K$59)</f>
        <v/>
      </c>
      <c r="AB56">
        <f>IF([2]Baskol!$L$59="","",[2]Baskol!$L$59)</f>
        <v/>
      </c>
      <c r="AC56">
        <f>IF([2]Baskol!$N$59="","",[2]Baskol!$N$59)</f>
        <v/>
      </c>
      <c r="AD56">
        <f>IF([2]Baskol!$O$59="","",[2]Baskol!$O$59)</f>
        <v/>
      </c>
      <c r="AE56">
        <f>IF([3]Entry!$C$59="","",[3]Entry!$C$59)</f>
        <v/>
      </c>
      <c r="AF56">
        <f>IF([3]Entry!$D$59="","",[3]Entry!$D$59)</f>
        <v/>
      </c>
      <c r="AG56">
        <f>IF([3]Entry!$E$59="","",[3]Entry!$E$59)</f>
        <v/>
      </c>
      <c r="AH56">
        <f>IF([3]Entry!$G$59="","",[3]Entry!$G$59)</f>
        <v/>
      </c>
      <c r="AI56">
        <f>IF([3]Entry!$K$59="","",[3]Entry!$K$59)</f>
        <v/>
      </c>
      <c r="AJ56">
        <f>IF([3]Entry!$L$59="","",[3]Entry!$L$59)</f>
        <v/>
      </c>
      <c r="AK56">
        <f>IF([3]Entry!$M$59="","",[3]Entry!$M$59)</f>
        <v/>
      </c>
      <c r="AL56">
        <f>IF([3]Entry!$N$59="","",[3]Entry!$N$59)</f>
        <v/>
      </c>
      <c r="AM56">
        <f>IF([3]Entry!$R$59="","",[3]Entry!$R$59)</f>
        <v/>
      </c>
    </row>
    <row r="57">
      <c r="A57">
        <f>IF([1]Accounts!$D$58="","",[1]Accounts!$A$58)</f>
        <v/>
      </c>
      <c r="B57">
        <f>IF([1]Accounts!$D$58="","",[1]Accounts!$B$58)</f>
        <v/>
      </c>
      <c r="C57">
        <f>IF([1]Accounts!$D$58="","",[1]Accounts!$C$58)</f>
        <v/>
      </c>
      <c r="D57">
        <f>IF([1]Accounts!$D$58="","",[1]Accounts!$D$58)</f>
        <v/>
      </c>
      <c r="E57">
        <f>IF([1]Accounts!$D$58="","",[1]Accounts!$E$58)</f>
        <v/>
      </c>
      <c r="F57">
        <f>IF([1]Accounts!$D$58="","",[1]Accounts!$F$58)</f>
        <v/>
      </c>
      <c r="G57">
        <f>IF([1]Accounts!$D$58="","",[1]Accounts!$G$58)</f>
        <v/>
      </c>
      <c r="T57">
        <f>IF([2]Baskol!$B$60="","",[2]Baskol!$B$60)</f>
        <v/>
      </c>
      <c r="U57">
        <f>IF([2]Baskol!$C$60="","",[2]Baskol!$C$60)</f>
        <v/>
      </c>
      <c r="V57">
        <f>IF([2]Baskol!$D$60="","",[2]Baskol!$D$60)</f>
        <v/>
      </c>
      <c r="W57">
        <f>IF([2]Baskol!$E$60="","",[2]Baskol!$E$60)</f>
        <v/>
      </c>
      <c r="X57">
        <f>IF([2]Baskol!$G$60="","",[2]Baskol!$G$60)</f>
        <v/>
      </c>
      <c r="Y57">
        <f>IF([2]Baskol!$I$60="","",[2]Baskol!$I$60)</f>
        <v/>
      </c>
      <c r="Z57">
        <f>IF([2]Baskol!$J$60="","",[2]Baskol!$J$60)</f>
        <v/>
      </c>
      <c r="AA57">
        <f>IF([2]Baskol!$K$60="","",[2]Baskol!$K$60)</f>
        <v/>
      </c>
      <c r="AB57">
        <f>IF([2]Baskol!$L$60="","",[2]Baskol!$L$60)</f>
        <v/>
      </c>
      <c r="AC57">
        <f>IF([2]Baskol!$N$60="","",[2]Baskol!$N$60)</f>
        <v/>
      </c>
      <c r="AD57">
        <f>IF([2]Baskol!$O$60="","",[2]Baskol!$O$60)</f>
        <v/>
      </c>
      <c r="AE57">
        <f>IF([3]Entry!$C$60="","",[3]Entry!$C$60)</f>
        <v/>
      </c>
      <c r="AF57">
        <f>IF([3]Entry!$D$60="","",[3]Entry!$D$60)</f>
        <v/>
      </c>
      <c r="AG57">
        <f>IF([3]Entry!$E$60="","",[3]Entry!$E$60)</f>
        <v/>
      </c>
      <c r="AH57">
        <f>IF([3]Entry!$G$60="","",[3]Entry!$G$60)</f>
        <v/>
      </c>
      <c r="AI57">
        <f>IF([3]Entry!$K$60="","",[3]Entry!$K$60)</f>
        <v/>
      </c>
      <c r="AJ57">
        <f>IF([3]Entry!$L$60="","",[3]Entry!$L$60)</f>
        <v/>
      </c>
      <c r="AK57">
        <f>IF([3]Entry!$M$60="","",[3]Entry!$M$60)</f>
        <v/>
      </c>
      <c r="AL57">
        <f>IF([3]Entry!$N$60="","",[3]Entry!$N$60)</f>
        <v/>
      </c>
      <c r="AM57">
        <f>IF([3]Entry!$R$60="","",[3]Entry!$R$60)</f>
        <v/>
      </c>
    </row>
    <row r="58">
      <c r="A58">
        <f>IF([1]Accounts!$D$59="","",[1]Accounts!$A$59)</f>
        <v/>
      </c>
      <c r="B58">
        <f>IF([1]Accounts!$D$59="","",[1]Accounts!$B$59)</f>
        <v/>
      </c>
      <c r="C58">
        <f>IF([1]Accounts!$D$59="","",[1]Accounts!$C$59)</f>
        <v/>
      </c>
      <c r="D58">
        <f>IF([1]Accounts!$D$59="","",[1]Accounts!$D$59)</f>
        <v/>
      </c>
      <c r="E58">
        <f>IF([1]Accounts!$D$59="","",[1]Accounts!$E$59)</f>
        <v/>
      </c>
      <c r="F58">
        <f>IF([1]Accounts!$D$59="","",[1]Accounts!$F$59)</f>
        <v/>
      </c>
      <c r="G58">
        <f>IF([1]Accounts!$D$59="","",[1]Accounts!$G$59)</f>
        <v/>
      </c>
      <c r="T58">
        <f>IF([2]Baskol!$B$61="","",[2]Baskol!$B$61)</f>
        <v/>
      </c>
      <c r="U58">
        <f>IF([2]Baskol!$C$61="","",[2]Baskol!$C$61)</f>
        <v/>
      </c>
      <c r="V58">
        <f>IF([2]Baskol!$D$61="","",[2]Baskol!$D$61)</f>
        <v/>
      </c>
      <c r="W58">
        <f>IF([2]Baskol!$E$61="","",[2]Baskol!$E$61)</f>
        <v/>
      </c>
      <c r="X58">
        <f>IF([2]Baskol!$G$61="","",[2]Baskol!$G$61)</f>
        <v/>
      </c>
      <c r="Y58">
        <f>IF([2]Baskol!$I$61="","",[2]Baskol!$I$61)</f>
        <v/>
      </c>
      <c r="Z58">
        <f>IF([2]Baskol!$J$61="","",[2]Baskol!$J$61)</f>
        <v/>
      </c>
      <c r="AA58">
        <f>IF([2]Baskol!$K$61="","",[2]Baskol!$K$61)</f>
        <v/>
      </c>
      <c r="AB58">
        <f>IF([2]Baskol!$L$61="","",[2]Baskol!$L$61)</f>
        <v/>
      </c>
      <c r="AC58">
        <f>IF([2]Baskol!$N$61="","",[2]Baskol!$N$61)</f>
        <v/>
      </c>
      <c r="AD58">
        <f>IF([2]Baskol!$O$61="","",[2]Baskol!$O$61)</f>
        <v/>
      </c>
      <c r="AE58">
        <f>IF([3]Entry!$C$61="","",[3]Entry!$C$61)</f>
        <v/>
      </c>
      <c r="AF58">
        <f>IF([3]Entry!$D$61="","",[3]Entry!$D$61)</f>
        <v/>
      </c>
      <c r="AG58">
        <f>IF([3]Entry!$E$61="","",[3]Entry!$E$61)</f>
        <v/>
      </c>
      <c r="AH58">
        <f>IF([3]Entry!$G$61="","",[3]Entry!$G$61)</f>
        <v/>
      </c>
      <c r="AI58">
        <f>IF([3]Entry!$K$61="","",[3]Entry!$K$61)</f>
        <v/>
      </c>
      <c r="AJ58">
        <f>IF([3]Entry!$L$61="","",[3]Entry!$L$61)</f>
        <v/>
      </c>
      <c r="AK58">
        <f>IF([3]Entry!$M$61="","",[3]Entry!$M$61)</f>
        <v/>
      </c>
      <c r="AL58">
        <f>IF([3]Entry!$N$61="","",[3]Entry!$N$61)</f>
        <v/>
      </c>
      <c r="AM58">
        <f>IF([3]Entry!$R$61="","",[3]Entry!$R$61)</f>
        <v/>
      </c>
    </row>
    <row r="59">
      <c r="A59">
        <f>IF([1]Accounts!$D$60="","",[1]Accounts!$A$60)</f>
        <v/>
      </c>
      <c r="B59">
        <f>IF([1]Accounts!$D$60="","",[1]Accounts!$B$60)</f>
        <v/>
      </c>
      <c r="C59">
        <f>IF([1]Accounts!$D$60="","",[1]Accounts!$C$60)</f>
        <v/>
      </c>
      <c r="D59">
        <f>IF([1]Accounts!$D$60="","",[1]Accounts!$D$60)</f>
        <v/>
      </c>
      <c r="E59">
        <f>IF([1]Accounts!$D$60="","",[1]Accounts!$E$60)</f>
        <v/>
      </c>
      <c r="F59">
        <f>IF([1]Accounts!$D$60="","",[1]Accounts!$F$60)</f>
        <v/>
      </c>
      <c r="G59">
        <f>IF([1]Accounts!$D$60="","",[1]Accounts!$G$60)</f>
        <v/>
      </c>
      <c r="T59">
        <f>IF([2]Baskol!$B$62="","",[2]Baskol!$B$62)</f>
        <v/>
      </c>
      <c r="U59">
        <f>IF([2]Baskol!$C$62="","",[2]Baskol!$C$62)</f>
        <v/>
      </c>
      <c r="V59">
        <f>IF([2]Baskol!$D$62="","",[2]Baskol!$D$62)</f>
        <v/>
      </c>
      <c r="W59">
        <f>IF([2]Baskol!$E$62="","",[2]Baskol!$E$62)</f>
        <v/>
      </c>
      <c r="X59">
        <f>IF([2]Baskol!$G$62="","",[2]Baskol!$G$62)</f>
        <v/>
      </c>
      <c r="Y59">
        <f>IF([2]Baskol!$I$62="","",[2]Baskol!$I$62)</f>
        <v/>
      </c>
      <c r="Z59">
        <f>IF([2]Baskol!$J$62="","",[2]Baskol!$J$62)</f>
        <v/>
      </c>
      <c r="AA59">
        <f>IF([2]Baskol!$K$62="","",[2]Baskol!$K$62)</f>
        <v/>
      </c>
      <c r="AB59">
        <f>IF([2]Baskol!$L$62="","",[2]Baskol!$L$62)</f>
        <v/>
      </c>
      <c r="AC59">
        <f>IF([2]Baskol!$N$62="","",[2]Baskol!$N$62)</f>
        <v/>
      </c>
      <c r="AD59">
        <f>IF([2]Baskol!$O$62="","",[2]Baskol!$O$62)</f>
        <v/>
      </c>
      <c r="AE59">
        <f>IF([3]Entry!$C$62="","",[3]Entry!$C$62)</f>
        <v/>
      </c>
      <c r="AF59">
        <f>IF([3]Entry!$D$62="","",[3]Entry!$D$62)</f>
        <v/>
      </c>
      <c r="AG59">
        <f>IF([3]Entry!$E$62="","",[3]Entry!$E$62)</f>
        <v/>
      </c>
      <c r="AH59">
        <f>IF([3]Entry!$G$62="","",[3]Entry!$G$62)</f>
        <v/>
      </c>
      <c r="AI59">
        <f>IF([3]Entry!$K$62="","",[3]Entry!$K$62)</f>
        <v/>
      </c>
      <c r="AJ59">
        <f>IF([3]Entry!$L$62="","",[3]Entry!$L$62)</f>
        <v/>
      </c>
      <c r="AK59">
        <f>IF([3]Entry!$M$62="","",[3]Entry!$M$62)</f>
        <v/>
      </c>
      <c r="AL59">
        <f>IF([3]Entry!$N$62="","",[3]Entry!$N$62)</f>
        <v/>
      </c>
      <c r="AM59">
        <f>IF([3]Entry!$R$62="","",[3]Entry!$R$62)</f>
        <v/>
      </c>
    </row>
    <row r="60">
      <c r="A60">
        <f>IF([1]Accounts!$D$61="","",[1]Accounts!$A$61)</f>
        <v/>
      </c>
      <c r="B60">
        <f>IF([1]Accounts!$D$61="","",[1]Accounts!$B$61)</f>
        <v/>
      </c>
      <c r="C60">
        <f>IF([1]Accounts!$D$61="","",[1]Accounts!$C$61)</f>
        <v/>
      </c>
      <c r="D60">
        <f>IF([1]Accounts!$D$61="","",[1]Accounts!$D$61)</f>
        <v/>
      </c>
      <c r="E60">
        <f>IF([1]Accounts!$D$61="","",[1]Accounts!$E$61)</f>
        <v/>
      </c>
      <c r="F60">
        <f>IF([1]Accounts!$D$61="","",[1]Accounts!$F$61)</f>
        <v/>
      </c>
      <c r="G60">
        <f>IF([1]Accounts!$D$61="","",[1]Accounts!$G$61)</f>
        <v/>
      </c>
      <c r="T60">
        <f>IF([2]Baskol!$B$63="","",[2]Baskol!$B$63)</f>
        <v/>
      </c>
      <c r="U60">
        <f>IF([2]Baskol!$C$63="","",[2]Baskol!$C$63)</f>
        <v/>
      </c>
      <c r="V60">
        <f>IF([2]Baskol!$D$63="","",[2]Baskol!$D$63)</f>
        <v/>
      </c>
      <c r="W60">
        <f>IF([2]Baskol!$E$63="","",[2]Baskol!$E$63)</f>
        <v/>
      </c>
      <c r="X60">
        <f>IF([2]Baskol!$G$63="","",[2]Baskol!$G$63)</f>
        <v/>
      </c>
      <c r="Y60">
        <f>IF([2]Baskol!$I$63="","",[2]Baskol!$I$63)</f>
        <v/>
      </c>
      <c r="Z60">
        <f>IF([2]Baskol!$J$63="","",[2]Baskol!$J$63)</f>
        <v/>
      </c>
      <c r="AA60">
        <f>IF([2]Baskol!$K$63="","",[2]Baskol!$K$63)</f>
        <v/>
      </c>
      <c r="AB60">
        <f>IF([2]Baskol!$L$63="","",[2]Baskol!$L$63)</f>
        <v/>
      </c>
      <c r="AC60">
        <f>IF([2]Baskol!$N$63="","",[2]Baskol!$N$63)</f>
        <v/>
      </c>
      <c r="AD60">
        <f>IF([2]Baskol!$O$63="","",[2]Baskol!$O$63)</f>
        <v/>
      </c>
      <c r="AE60">
        <f>IF([3]Entry!$C$63="","",[3]Entry!$C$63)</f>
        <v/>
      </c>
      <c r="AF60">
        <f>IF([3]Entry!$D$63="","",[3]Entry!$D$63)</f>
        <v/>
      </c>
      <c r="AG60">
        <f>IF([3]Entry!$E$63="","",[3]Entry!$E$63)</f>
        <v/>
      </c>
      <c r="AH60">
        <f>IF([3]Entry!$G$63="","",[3]Entry!$G$63)</f>
        <v/>
      </c>
      <c r="AI60">
        <f>IF([3]Entry!$K$63="","",[3]Entry!$K$63)</f>
        <v/>
      </c>
      <c r="AJ60">
        <f>IF([3]Entry!$L$63="","",[3]Entry!$L$63)</f>
        <v/>
      </c>
      <c r="AK60">
        <f>IF([3]Entry!$M$63="","",[3]Entry!$M$63)</f>
        <v/>
      </c>
      <c r="AL60">
        <f>IF([3]Entry!$N$63="","",[3]Entry!$N$63)</f>
        <v/>
      </c>
      <c r="AM60">
        <f>IF([3]Entry!$R$63="","",[3]Entry!$R$63)</f>
        <v/>
      </c>
    </row>
    <row r="61">
      <c r="A61">
        <f>IF([1]Accounts!$D$62="","",[1]Accounts!$A$62)</f>
        <v/>
      </c>
      <c r="B61">
        <f>IF([1]Accounts!$D$62="","",[1]Accounts!$B$62)</f>
        <v/>
      </c>
      <c r="C61">
        <f>IF([1]Accounts!$D$62="","",[1]Accounts!$C$62)</f>
        <v/>
      </c>
      <c r="D61">
        <f>IF([1]Accounts!$D$62="","",[1]Accounts!$D$62)</f>
        <v/>
      </c>
      <c r="E61">
        <f>IF([1]Accounts!$D$62="","",[1]Accounts!$E$62)</f>
        <v/>
      </c>
      <c r="F61">
        <f>IF([1]Accounts!$D$62="","",[1]Accounts!$F$62)</f>
        <v/>
      </c>
      <c r="G61">
        <f>IF([1]Accounts!$D$62="","",[1]Accounts!$G$62)</f>
        <v/>
      </c>
      <c r="T61">
        <f>IF([2]Baskol!$B$64="","",[2]Baskol!$B$64)</f>
        <v/>
      </c>
      <c r="U61">
        <f>IF([2]Baskol!$C$64="","",[2]Baskol!$C$64)</f>
        <v/>
      </c>
      <c r="V61">
        <f>IF([2]Baskol!$D$64="","",[2]Baskol!$D$64)</f>
        <v/>
      </c>
      <c r="W61">
        <f>IF([2]Baskol!$E$64="","",[2]Baskol!$E$64)</f>
        <v/>
      </c>
      <c r="X61">
        <f>IF([2]Baskol!$G$64="","",[2]Baskol!$G$64)</f>
        <v/>
      </c>
      <c r="Y61">
        <f>IF([2]Baskol!$I$64="","",[2]Baskol!$I$64)</f>
        <v/>
      </c>
      <c r="Z61">
        <f>IF([2]Baskol!$J$64="","",[2]Baskol!$J$64)</f>
        <v/>
      </c>
      <c r="AA61">
        <f>IF([2]Baskol!$K$64="","",[2]Baskol!$K$64)</f>
        <v/>
      </c>
      <c r="AB61">
        <f>IF([2]Baskol!$L$64="","",[2]Baskol!$L$64)</f>
        <v/>
      </c>
      <c r="AC61">
        <f>IF([2]Baskol!$N$64="","",[2]Baskol!$N$64)</f>
        <v/>
      </c>
      <c r="AD61">
        <f>IF([2]Baskol!$O$64="","",[2]Baskol!$O$64)</f>
        <v/>
      </c>
      <c r="AE61">
        <f>IF([3]Entry!$C$64="","",[3]Entry!$C$64)</f>
        <v/>
      </c>
      <c r="AF61">
        <f>IF([3]Entry!$D$64="","",[3]Entry!$D$64)</f>
        <v/>
      </c>
      <c r="AG61">
        <f>IF([3]Entry!$E$64="","",[3]Entry!$E$64)</f>
        <v/>
      </c>
      <c r="AH61">
        <f>IF([3]Entry!$G$64="","",[3]Entry!$G$64)</f>
        <v/>
      </c>
      <c r="AI61">
        <f>IF([3]Entry!$K$64="","",[3]Entry!$K$64)</f>
        <v/>
      </c>
      <c r="AJ61">
        <f>IF([3]Entry!$L$64="","",[3]Entry!$L$64)</f>
        <v/>
      </c>
      <c r="AK61">
        <f>IF([3]Entry!$M$64="","",[3]Entry!$M$64)</f>
        <v/>
      </c>
      <c r="AL61">
        <f>IF([3]Entry!$N$64="","",[3]Entry!$N$64)</f>
        <v/>
      </c>
      <c r="AM61">
        <f>IF([3]Entry!$R$64="","",[3]Entry!$R$64)</f>
        <v/>
      </c>
    </row>
    <row r="62">
      <c r="A62">
        <f>IF([1]Accounts!$D$63="","",[1]Accounts!$A$63)</f>
        <v/>
      </c>
      <c r="B62">
        <f>IF([1]Accounts!$D$63="","",[1]Accounts!$B$63)</f>
        <v/>
      </c>
      <c r="C62">
        <f>IF([1]Accounts!$D$63="","",[1]Accounts!$C$63)</f>
        <v/>
      </c>
      <c r="D62">
        <f>IF([1]Accounts!$D$63="","",[1]Accounts!$D$63)</f>
        <v/>
      </c>
      <c r="E62">
        <f>IF([1]Accounts!$D$63="","",[1]Accounts!$E$63)</f>
        <v/>
      </c>
      <c r="F62">
        <f>IF([1]Accounts!$D$63="","",[1]Accounts!$F$63)</f>
        <v/>
      </c>
      <c r="G62">
        <f>IF([1]Accounts!$D$63="","",[1]Accounts!$G$63)</f>
        <v/>
      </c>
      <c r="T62">
        <f>IF([2]Baskol!$B$65="","",[2]Baskol!$B$65)</f>
        <v/>
      </c>
      <c r="U62">
        <f>IF([2]Baskol!$C$65="","",[2]Baskol!$C$65)</f>
        <v/>
      </c>
      <c r="V62">
        <f>IF([2]Baskol!$D$65="","",[2]Baskol!$D$65)</f>
        <v/>
      </c>
      <c r="W62">
        <f>IF([2]Baskol!$E$65="","",[2]Baskol!$E$65)</f>
        <v/>
      </c>
      <c r="X62">
        <f>IF([2]Baskol!$G$65="","",[2]Baskol!$G$65)</f>
        <v/>
      </c>
      <c r="Y62">
        <f>IF([2]Baskol!$I$65="","",[2]Baskol!$I$65)</f>
        <v/>
      </c>
      <c r="Z62">
        <f>IF([2]Baskol!$J$65="","",[2]Baskol!$J$65)</f>
        <v/>
      </c>
      <c r="AA62">
        <f>IF([2]Baskol!$K$65="","",[2]Baskol!$K$65)</f>
        <v/>
      </c>
      <c r="AB62">
        <f>IF([2]Baskol!$L$65="","",[2]Baskol!$L$65)</f>
        <v/>
      </c>
      <c r="AC62">
        <f>IF([2]Baskol!$N$65="","",[2]Baskol!$N$65)</f>
        <v/>
      </c>
      <c r="AD62">
        <f>IF([2]Baskol!$O$65="","",[2]Baskol!$O$65)</f>
        <v/>
      </c>
      <c r="AE62">
        <f>IF([3]Entry!$C$65="","",[3]Entry!$C$65)</f>
        <v/>
      </c>
      <c r="AF62">
        <f>IF([3]Entry!$D$65="","",[3]Entry!$D$65)</f>
        <v/>
      </c>
      <c r="AG62">
        <f>IF([3]Entry!$E$65="","",[3]Entry!$E$65)</f>
        <v/>
      </c>
      <c r="AH62">
        <f>IF([3]Entry!$G$65="","",[3]Entry!$G$65)</f>
        <v/>
      </c>
      <c r="AI62">
        <f>IF([3]Entry!$K$65="","",[3]Entry!$K$65)</f>
        <v/>
      </c>
      <c r="AJ62">
        <f>IF([3]Entry!$L$65="","",[3]Entry!$L$65)</f>
        <v/>
      </c>
      <c r="AK62">
        <f>IF([3]Entry!$M$65="","",[3]Entry!$M$65)</f>
        <v/>
      </c>
      <c r="AL62">
        <f>IF([3]Entry!$N$65="","",[3]Entry!$N$65)</f>
        <v/>
      </c>
      <c r="AM62">
        <f>IF([3]Entry!$R$65="","",[3]Entry!$R$65)</f>
        <v/>
      </c>
    </row>
    <row r="63">
      <c r="A63">
        <f>IF([1]Accounts!$D$64="","",[1]Accounts!$A$64)</f>
        <v/>
      </c>
      <c r="B63">
        <f>IF([1]Accounts!$D$64="","",[1]Accounts!$B$64)</f>
        <v/>
      </c>
      <c r="C63">
        <f>IF([1]Accounts!$D$64="","",[1]Accounts!$C$64)</f>
        <v/>
      </c>
      <c r="D63">
        <f>IF([1]Accounts!$D$64="","",[1]Accounts!$D$64)</f>
        <v/>
      </c>
      <c r="E63">
        <f>IF([1]Accounts!$D$64="","",[1]Accounts!$E$64)</f>
        <v/>
      </c>
      <c r="F63">
        <f>IF([1]Accounts!$D$64="","",[1]Accounts!$F$64)</f>
        <v/>
      </c>
      <c r="G63">
        <f>IF([1]Accounts!$D$64="","",[1]Accounts!$G$64)</f>
        <v/>
      </c>
      <c r="T63">
        <f>IF([2]Baskol!$B$66="","",[2]Baskol!$B$66)</f>
        <v/>
      </c>
      <c r="U63">
        <f>IF([2]Baskol!$C$66="","",[2]Baskol!$C$66)</f>
        <v/>
      </c>
      <c r="V63">
        <f>IF([2]Baskol!$D$66="","",[2]Baskol!$D$66)</f>
        <v/>
      </c>
      <c r="W63">
        <f>IF([2]Baskol!$E$66="","",[2]Baskol!$E$66)</f>
        <v/>
      </c>
      <c r="X63">
        <f>IF([2]Baskol!$G$66="","",[2]Baskol!$G$66)</f>
        <v/>
      </c>
      <c r="Y63">
        <f>IF([2]Baskol!$I$66="","",[2]Baskol!$I$66)</f>
        <v/>
      </c>
      <c r="Z63">
        <f>IF([2]Baskol!$J$66="","",[2]Baskol!$J$66)</f>
        <v/>
      </c>
      <c r="AA63">
        <f>IF([2]Baskol!$K$66="","",[2]Baskol!$K$66)</f>
        <v/>
      </c>
      <c r="AB63">
        <f>IF([2]Baskol!$L$66="","",[2]Baskol!$L$66)</f>
        <v/>
      </c>
      <c r="AC63">
        <f>IF([2]Baskol!$N$66="","",[2]Baskol!$N$66)</f>
        <v/>
      </c>
      <c r="AD63">
        <f>IF([2]Baskol!$O$66="","",[2]Baskol!$O$66)</f>
        <v/>
      </c>
      <c r="AE63">
        <f>IF([3]Entry!$C$66="","",[3]Entry!$C$66)</f>
        <v/>
      </c>
      <c r="AF63">
        <f>IF([3]Entry!$D$66="","",[3]Entry!$D$66)</f>
        <v/>
      </c>
      <c r="AG63">
        <f>IF([3]Entry!$E$66="","",[3]Entry!$E$66)</f>
        <v/>
      </c>
      <c r="AH63">
        <f>IF([3]Entry!$G$66="","",[3]Entry!$G$66)</f>
        <v/>
      </c>
      <c r="AI63">
        <f>IF([3]Entry!$K$66="","",[3]Entry!$K$66)</f>
        <v/>
      </c>
      <c r="AJ63">
        <f>IF([3]Entry!$L$66="","",[3]Entry!$L$66)</f>
        <v/>
      </c>
      <c r="AK63">
        <f>IF([3]Entry!$M$66="","",[3]Entry!$M$66)</f>
        <v/>
      </c>
      <c r="AL63">
        <f>IF([3]Entry!$N$66="","",[3]Entry!$N$66)</f>
        <v/>
      </c>
      <c r="AM63">
        <f>IF([3]Entry!$R$66="","",[3]Entry!$R$66)</f>
        <v/>
      </c>
    </row>
    <row r="64">
      <c r="A64">
        <f>IF([1]Accounts!$D$65="","",[1]Accounts!$A$65)</f>
        <v/>
      </c>
      <c r="B64">
        <f>IF([1]Accounts!$D$65="","",[1]Accounts!$B$65)</f>
        <v/>
      </c>
      <c r="C64">
        <f>IF([1]Accounts!$D$65="","",[1]Accounts!$C$65)</f>
        <v/>
      </c>
      <c r="D64">
        <f>IF([1]Accounts!$D$65="","",[1]Accounts!$D$65)</f>
        <v/>
      </c>
      <c r="E64">
        <f>IF([1]Accounts!$D$65="","",[1]Accounts!$E$65)</f>
        <v/>
      </c>
      <c r="F64">
        <f>IF([1]Accounts!$D$65="","",[1]Accounts!$F$65)</f>
        <v/>
      </c>
      <c r="G64">
        <f>IF([1]Accounts!$D$65="","",[1]Accounts!$G$65)</f>
        <v/>
      </c>
      <c r="T64">
        <f>IF([2]Baskol!$B$67="","",[2]Baskol!$B$67)</f>
        <v/>
      </c>
      <c r="U64">
        <f>IF([2]Baskol!$C$67="","",[2]Baskol!$C$67)</f>
        <v/>
      </c>
      <c r="V64">
        <f>IF([2]Baskol!$D$67="","",[2]Baskol!$D$67)</f>
        <v/>
      </c>
      <c r="W64">
        <f>IF([2]Baskol!$E$67="","",[2]Baskol!$E$67)</f>
        <v/>
      </c>
      <c r="X64">
        <f>IF([2]Baskol!$G$67="","",[2]Baskol!$G$67)</f>
        <v/>
      </c>
      <c r="Y64">
        <f>IF([2]Baskol!$I$67="","",[2]Baskol!$I$67)</f>
        <v/>
      </c>
      <c r="Z64">
        <f>IF([2]Baskol!$J$67="","",[2]Baskol!$J$67)</f>
        <v/>
      </c>
      <c r="AA64">
        <f>IF([2]Baskol!$K$67="","",[2]Baskol!$K$67)</f>
        <v/>
      </c>
      <c r="AB64">
        <f>IF([2]Baskol!$L$67="","",[2]Baskol!$L$67)</f>
        <v/>
      </c>
      <c r="AC64">
        <f>IF([2]Baskol!$N$67="","",[2]Baskol!$N$67)</f>
        <v/>
      </c>
      <c r="AD64">
        <f>IF([2]Baskol!$O$67="","",[2]Baskol!$O$67)</f>
        <v/>
      </c>
      <c r="AE64">
        <f>IF([3]Entry!$C$67="","",[3]Entry!$C$67)</f>
        <v/>
      </c>
      <c r="AF64">
        <f>IF([3]Entry!$D$67="","",[3]Entry!$D$67)</f>
        <v/>
      </c>
      <c r="AG64">
        <f>IF([3]Entry!$E$67="","",[3]Entry!$E$67)</f>
        <v/>
      </c>
      <c r="AH64">
        <f>IF([3]Entry!$G$67="","",[3]Entry!$G$67)</f>
        <v/>
      </c>
      <c r="AI64">
        <f>IF([3]Entry!$K$67="","",[3]Entry!$K$67)</f>
        <v/>
      </c>
      <c r="AJ64">
        <f>IF([3]Entry!$L$67="","",[3]Entry!$L$67)</f>
        <v/>
      </c>
      <c r="AK64">
        <f>IF([3]Entry!$M$67="","",[3]Entry!$M$67)</f>
        <v/>
      </c>
      <c r="AL64">
        <f>IF([3]Entry!$N$67="","",[3]Entry!$N$67)</f>
        <v/>
      </c>
      <c r="AM64">
        <f>IF([3]Entry!$R$67="","",[3]Entry!$R$67)</f>
        <v/>
      </c>
    </row>
    <row r="65">
      <c r="A65">
        <f>IF([1]Accounts!$D$66="","",[1]Accounts!$A$66)</f>
        <v/>
      </c>
      <c r="B65">
        <f>IF([1]Accounts!$D$66="","",[1]Accounts!$B$66)</f>
        <v/>
      </c>
      <c r="C65">
        <f>IF([1]Accounts!$D$66="","",[1]Accounts!$C$66)</f>
        <v/>
      </c>
      <c r="D65">
        <f>IF([1]Accounts!$D$66="","",[1]Accounts!$D$66)</f>
        <v/>
      </c>
      <c r="E65">
        <f>IF([1]Accounts!$D$66="","",[1]Accounts!$E$66)</f>
        <v/>
      </c>
      <c r="F65">
        <f>IF([1]Accounts!$D$66="","",[1]Accounts!$F$66)</f>
        <v/>
      </c>
      <c r="G65">
        <f>IF([1]Accounts!$D$66="","",[1]Accounts!$G$66)</f>
        <v/>
      </c>
      <c r="T65">
        <f>IF([2]Baskol!$B$68="","",[2]Baskol!$B$68)</f>
        <v/>
      </c>
      <c r="U65">
        <f>IF([2]Baskol!$C$68="","",[2]Baskol!$C$68)</f>
        <v/>
      </c>
      <c r="V65">
        <f>IF([2]Baskol!$D$68="","",[2]Baskol!$D$68)</f>
        <v/>
      </c>
      <c r="W65">
        <f>IF([2]Baskol!$E$68="","",[2]Baskol!$E$68)</f>
        <v/>
      </c>
      <c r="X65">
        <f>IF([2]Baskol!$G$68="","",[2]Baskol!$G$68)</f>
        <v/>
      </c>
      <c r="Y65">
        <f>IF([2]Baskol!$I$68="","",[2]Baskol!$I$68)</f>
        <v/>
      </c>
      <c r="Z65">
        <f>IF([2]Baskol!$J$68="","",[2]Baskol!$J$68)</f>
        <v/>
      </c>
      <c r="AA65">
        <f>IF([2]Baskol!$K$68="","",[2]Baskol!$K$68)</f>
        <v/>
      </c>
      <c r="AB65">
        <f>IF([2]Baskol!$L$68="","",[2]Baskol!$L$68)</f>
        <v/>
      </c>
      <c r="AC65">
        <f>IF([2]Baskol!$N$68="","",[2]Baskol!$N$68)</f>
        <v/>
      </c>
      <c r="AD65">
        <f>IF([2]Baskol!$O$68="","",[2]Baskol!$O$68)</f>
        <v/>
      </c>
      <c r="AE65">
        <f>IF([3]Entry!$C$68="","",[3]Entry!$C$68)</f>
        <v/>
      </c>
      <c r="AF65">
        <f>IF([3]Entry!$D$68="","",[3]Entry!$D$68)</f>
        <v/>
      </c>
      <c r="AG65">
        <f>IF([3]Entry!$E$68="","",[3]Entry!$E$68)</f>
        <v/>
      </c>
      <c r="AH65">
        <f>IF([3]Entry!$G$68="","",[3]Entry!$G$68)</f>
        <v/>
      </c>
      <c r="AI65">
        <f>IF([3]Entry!$K$68="","",[3]Entry!$K$68)</f>
        <v/>
      </c>
      <c r="AJ65">
        <f>IF([3]Entry!$L$68="","",[3]Entry!$L$68)</f>
        <v/>
      </c>
      <c r="AK65">
        <f>IF([3]Entry!$M$68="","",[3]Entry!$M$68)</f>
        <v/>
      </c>
      <c r="AL65">
        <f>IF([3]Entry!$N$68="","",[3]Entry!$N$68)</f>
        <v/>
      </c>
      <c r="AM65">
        <f>IF([3]Entry!$R$68="","",[3]Entry!$R$68)</f>
        <v/>
      </c>
    </row>
    <row r="66">
      <c r="A66">
        <f>IF([1]Accounts!$D$67="","",[1]Accounts!$A$67)</f>
        <v/>
      </c>
      <c r="B66">
        <f>IF([1]Accounts!$D$67="","",[1]Accounts!$B$67)</f>
        <v/>
      </c>
      <c r="C66">
        <f>IF([1]Accounts!$D$67="","",[1]Accounts!$C$67)</f>
        <v/>
      </c>
      <c r="D66">
        <f>IF([1]Accounts!$D$67="","",[1]Accounts!$D$67)</f>
        <v/>
      </c>
      <c r="E66">
        <f>IF([1]Accounts!$D$67="","",[1]Accounts!$E$67)</f>
        <v/>
      </c>
      <c r="F66">
        <f>IF([1]Accounts!$D$67="","",[1]Accounts!$F$67)</f>
        <v/>
      </c>
      <c r="G66">
        <f>IF([1]Accounts!$D$67="","",[1]Accounts!$G$67)</f>
        <v/>
      </c>
      <c r="T66">
        <f>IF([2]Baskol!$B$69="","",[2]Baskol!$B$69)</f>
        <v/>
      </c>
      <c r="U66">
        <f>IF([2]Baskol!$C$69="","",[2]Baskol!$C$69)</f>
        <v/>
      </c>
      <c r="V66">
        <f>IF([2]Baskol!$D$69="","",[2]Baskol!$D$69)</f>
        <v/>
      </c>
      <c r="W66">
        <f>IF([2]Baskol!$E$69="","",[2]Baskol!$E$69)</f>
        <v/>
      </c>
      <c r="X66">
        <f>IF([2]Baskol!$G$69="","",[2]Baskol!$G$69)</f>
        <v/>
      </c>
      <c r="Y66">
        <f>IF([2]Baskol!$I$69="","",[2]Baskol!$I$69)</f>
        <v/>
      </c>
      <c r="Z66">
        <f>IF([2]Baskol!$J$69="","",[2]Baskol!$J$69)</f>
        <v/>
      </c>
      <c r="AA66">
        <f>IF([2]Baskol!$K$69="","",[2]Baskol!$K$69)</f>
        <v/>
      </c>
      <c r="AB66">
        <f>IF([2]Baskol!$L$69="","",[2]Baskol!$L$69)</f>
        <v/>
      </c>
      <c r="AC66">
        <f>IF([2]Baskol!$N$69="","",[2]Baskol!$N$69)</f>
        <v/>
      </c>
      <c r="AD66">
        <f>IF([2]Baskol!$O$69="","",[2]Baskol!$O$69)</f>
        <v/>
      </c>
      <c r="AE66">
        <f>IF([3]Entry!$C$69="","",[3]Entry!$C$69)</f>
        <v/>
      </c>
      <c r="AF66">
        <f>IF([3]Entry!$D$69="","",[3]Entry!$D$69)</f>
        <v/>
      </c>
      <c r="AG66">
        <f>IF([3]Entry!$E$69="","",[3]Entry!$E$69)</f>
        <v/>
      </c>
      <c r="AH66">
        <f>IF([3]Entry!$G$69="","",[3]Entry!$G$69)</f>
        <v/>
      </c>
      <c r="AI66">
        <f>IF([3]Entry!$K$69="","",[3]Entry!$K$69)</f>
        <v/>
      </c>
      <c r="AJ66">
        <f>IF([3]Entry!$L$69="","",[3]Entry!$L$69)</f>
        <v/>
      </c>
      <c r="AK66">
        <f>IF([3]Entry!$M$69="","",[3]Entry!$M$69)</f>
        <v/>
      </c>
      <c r="AL66">
        <f>IF([3]Entry!$N$69="","",[3]Entry!$N$69)</f>
        <v/>
      </c>
      <c r="AM66">
        <f>IF([3]Entry!$R$69="","",[3]Entry!$R$69)</f>
        <v/>
      </c>
    </row>
    <row r="67">
      <c r="A67">
        <f>IF([1]Accounts!$D$68="","",[1]Accounts!$A$68)</f>
        <v/>
      </c>
      <c r="B67">
        <f>IF([1]Accounts!$D$68="","",[1]Accounts!$B$68)</f>
        <v/>
      </c>
      <c r="C67">
        <f>IF([1]Accounts!$D$68="","",[1]Accounts!$C$68)</f>
        <v/>
      </c>
      <c r="D67">
        <f>IF([1]Accounts!$D$68="","",[1]Accounts!$D$68)</f>
        <v/>
      </c>
      <c r="E67">
        <f>IF([1]Accounts!$D$68="","",[1]Accounts!$E$68)</f>
        <v/>
      </c>
      <c r="F67">
        <f>IF([1]Accounts!$D$68="","",[1]Accounts!$F$68)</f>
        <v/>
      </c>
      <c r="G67">
        <f>IF([1]Accounts!$D$68="","",[1]Accounts!$G$68)</f>
        <v/>
      </c>
      <c r="T67">
        <f>IF([2]Baskol!$B$70="","",[2]Baskol!$B$70)</f>
        <v/>
      </c>
      <c r="U67">
        <f>IF([2]Baskol!$C$70="","",[2]Baskol!$C$70)</f>
        <v/>
      </c>
      <c r="V67">
        <f>IF([2]Baskol!$D$70="","",[2]Baskol!$D$70)</f>
        <v/>
      </c>
      <c r="W67">
        <f>IF([2]Baskol!$E$70="","",[2]Baskol!$E$70)</f>
        <v/>
      </c>
      <c r="X67">
        <f>IF([2]Baskol!$G$70="","",[2]Baskol!$G$70)</f>
        <v/>
      </c>
      <c r="Y67">
        <f>IF([2]Baskol!$I$70="","",[2]Baskol!$I$70)</f>
        <v/>
      </c>
      <c r="Z67">
        <f>IF([2]Baskol!$J$70="","",[2]Baskol!$J$70)</f>
        <v/>
      </c>
      <c r="AA67">
        <f>IF([2]Baskol!$K$70="","",[2]Baskol!$K$70)</f>
        <v/>
      </c>
      <c r="AB67">
        <f>IF([2]Baskol!$L$70="","",[2]Baskol!$L$70)</f>
        <v/>
      </c>
      <c r="AC67">
        <f>IF([2]Baskol!$N$70="","",[2]Baskol!$N$70)</f>
        <v/>
      </c>
      <c r="AD67">
        <f>IF([2]Baskol!$O$70="","",[2]Baskol!$O$70)</f>
        <v/>
      </c>
      <c r="AE67">
        <f>IF([3]Entry!$C$70="","",[3]Entry!$C$70)</f>
        <v/>
      </c>
      <c r="AF67">
        <f>IF([3]Entry!$D$70="","",[3]Entry!$D$70)</f>
        <v/>
      </c>
      <c r="AG67">
        <f>IF([3]Entry!$E$70="","",[3]Entry!$E$70)</f>
        <v/>
      </c>
      <c r="AH67">
        <f>IF([3]Entry!$G$70="","",[3]Entry!$G$70)</f>
        <v/>
      </c>
      <c r="AI67">
        <f>IF([3]Entry!$K$70="","",[3]Entry!$K$70)</f>
        <v/>
      </c>
      <c r="AJ67">
        <f>IF([3]Entry!$L$70="","",[3]Entry!$L$70)</f>
        <v/>
      </c>
      <c r="AK67">
        <f>IF([3]Entry!$M$70="","",[3]Entry!$M$70)</f>
        <v/>
      </c>
      <c r="AL67">
        <f>IF([3]Entry!$N$70="","",[3]Entry!$N$70)</f>
        <v/>
      </c>
      <c r="AM67">
        <f>IF([3]Entry!$R$70="","",[3]Entry!$R$70)</f>
        <v/>
      </c>
    </row>
    <row r="68">
      <c r="A68">
        <f>IF([1]Accounts!$D$69="","",[1]Accounts!$A$69)</f>
        <v/>
      </c>
      <c r="B68">
        <f>IF([1]Accounts!$D$69="","",[1]Accounts!$B$69)</f>
        <v/>
      </c>
      <c r="C68">
        <f>IF([1]Accounts!$D$69="","",[1]Accounts!$C$69)</f>
        <v/>
      </c>
      <c r="D68">
        <f>IF([1]Accounts!$D$69="","",[1]Accounts!$D$69)</f>
        <v/>
      </c>
      <c r="E68">
        <f>IF([1]Accounts!$D$69="","",[1]Accounts!$E$69)</f>
        <v/>
      </c>
      <c r="F68">
        <f>IF([1]Accounts!$D$69="","",[1]Accounts!$F$69)</f>
        <v/>
      </c>
      <c r="G68">
        <f>IF([1]Accounts!$D$69="","",[1]Accounts!$G$69)</f>
        <v/>
      </c>
      <c r="T68">
        <f>IF([2]Baskol!$B$71="","",[2]Baskol!$B$71)</f>
        <v/>
      </c>
      <c r="U68">
        <f>IF([2]Baskol!$C$71="","",[2]Baskol!$C$71)</f>
        <v/>
      </c>
      <c r="V68">
        <f>IF([2]Baskol!$D$71="","",[2]Baskol!$D$71)</f>
        <v/>
      </c>
      <c r="W68">
        <f>IF([2]Baskol!$E$71="","",[2]Baskol!$E$71)</f>
        <v/>
      </c>
      <c r="X68">
        <f>IF([2]Baskol!$G$71="","",[2]Baskol!$G$71)</f>
        <v/>
      </c>
      <c r="Y68">
        <f>IF([2]Baskol!$I$71="","",[2]Baskol!$I$71)</f>
        <v/>
      </c>
      <c r="Z68">
        <f>IF([2]Baskol!$J$71="","",[2]Baskol!$J$71)</f>
        <v/>
      </c>
      <c r="AA68">
        <f>IF([2]Baskol!$K$71="","",[2]Baskol!$K$71)</f>
        <v/>
      </c>
      <c r="AB68">
        <f>IF([2]Baskol!$L$71="","",[2]Baskol!$L$71)</f>
        <v/>
      </c>
      <c r="AC68">
        <f>IF([2]Baskol!$N$71="","",[2]Baskol!$N$71)</f>
        <v/>
      </c>
      <c r="AD68">
        <f>IF([2]Baskol!$O$71="","",[2]Baskol!$O$71)</f>
        <v/>
      </c>
      <c r="AE68">
        <f>IF([3]Entry!$C$71="","",[3]Entry!$C$71)</f>
        <v/>
      </c>
      <c r="AF68">
        <f>IF([3]Entry!$D$71="","",[3]Entry!$D$71)</f>
        <v/>
      </c>
      <c r="AG68">
        <f>IF([3]Entry!$E$71="","",[3]Entry!$E$71)</f>
        <v/>
      </c>
      <c r="AH68">
        <f>IF([3]Entry!$G$71="","",[3]Entry!$G$71)</f>
        <v/>
      </c>
      <c r="AI68">
        <f>IF([3]Entry!$K$71="","",[3]Entry!$K$71)</f>
        <v/>
      </c>
      <c r="AJ68">
        <f>IF([3]Entry!$L$71="","",[3]Entry!$L$71)</f>
        <v/>
      </c>
      <c r="AK68">
        <f>IF([3]Entry!$M$71="","",[3]Entry!$M$71)</f>
        <v/>
      </c>
      <c r="AL68">
        <f>IF([3]Entry!$N$71="","",[3]Entry!$N$71)</f>
        <v/>
      </c>
      <c r="AM68">
        <f>IF([3]Entry!$R$71="","",[3]Entry!$R$71)</f>
        <v/>
      </c>
    </row>
    <row r="69">
      <c r="A69">
        <f>IF([1]Accounts!$D$70="","",[1]Accounts!$A$70)</f>
        <v/>
      </c>
      <c r="B69">
        <f>IF([1]Accounts!$D$70="","",[1]Accounts!$B$70)</f>
        <v/>
      </c>
      <c r="C69">
        <f>IF([1]Accounts!$D$70="","",[1]Accounts!$C$70)</f>
        <v/>
      </c>
      <c r="D69">
        <f>IF([1]Accounts!$D$70="","",[1]Accounts!$D$70)</f>
        <v/>
      </c>
      <c r="E69">
        <f>IF([1]Accounts!$D$70="","",[1]Accounts!$E$70)</f>
        <v/>
      </c>
      <c r="F69">
        <f>IF([1]Accounts!$D$70="","",[1]Accounts!$F$70)</f>
        <v/>
      </c>
      <c r="G69">
        <f>IF([1]Accounts!$D$70="","",[1]Accounts!$G$70)</f>
        <v/>
      </c>
      <c r="T69">
        <f>IF([2]Baskol!$B$72="","",[2]Baskol!$B$72)</f>
        <v/>
      </c>
      <c r="U69">
        <f>IF([2]Baskol!$C$72="","",[2]Baskol!$C$72)</f>
        <v/>
      </c>
      <c r="V69">
        <f>IF([2]Baskol!$D$72="","",[2]Baskol!$D$72)</f>
        <v/>
      </c>
      <c r="W69">
        <f>IF([2]Baskol!$E$72="","",[2]Baskol!$E$72)</f>
        <v/>
      </c>
      <c r="X69">
        <f>IF([2]Baskol!$G$72="","",[2]Baskol!$G$72)</f>
        <v/>
      </c>
      <c r="Y69">
        <f>IF([2]Baskol!$I$72="","",[2]Baskol!$I$72)</f>
        <v/>
      </c>
      <c r="Z69">
        <f>IF([2]Baskol!$J$72="","",[2]Baskol!$J$72)</f>
        <v/>
      </c>
      <c r="AA69">
        <f>IF([2]Baskol!$K$72="","",[2]Baskol!$K$72)</f>
        <v/>
      </c>
      <c r="AB69">
        <f>IF([2]Baskol!$L$72="","",[2]Baskol!$L$72)</f>
        <v/>
      </c>
      <c r="AC69">
        <f>IF([2]Baskol!$N$72="","",[2]Baskol!$N$72)</f>
        <v/>
      </c>
      <c r="AD69">
        <f>IF([2]Baskol!$O$72="","",[2]Baskol!$O$72)</f>
        <v/>
      </c>
      <c r="AE69">
        <f>IF([3]Entry!$C$72="","",[3]Entry!$C$72)</f>
        <v/>
      </c>
      <c r="AF69">
        <f>IF([3]Entry!$D$72="","",[3]Entry!$D$72)</f>
        <v/>
      </c>
      <c r="AG69">
        <f>IF([3]Entry!$E$72="","",[3]Entry!$E$72)</f>
        <v/>
      </c>
      <c r="AH69">
        <f>IF([3]Entry!$G$72="","",[3]Entry!$G$72)</f>
        <v/>
      </c>
      <c r="AI69">
        <f>IF([3]Entry!$K$72="","",[3]Entry!$K$72)</f>
        <v/>
      </c>
      <c r="AJ69">
        <f>IF([3]Entry!$L$72="","",[3]Entry!$L$72)</f>
        <v/>
      </c>
      <c r="AK69">
        <f>IF([3]Entry!$M$72="","",[3]Entry!$M$72)</f>
        <v/>
      </c>
      <c r="AL69">
        <f>IF([3]Entry!$N$72="","",[3]Entry!$N$72)</f>
        <v/>
      </c>
      <c r="AM69">
        <f>IF([3]Entry!$R$72="","",[3]Entry!$R$72)</f>
        <v/>
      </c>
    </row>
    <row r="70">
      <c r="A70">
        <f>IF([1]Accounts!$D$71="","",[1]Accounts!$A$71)</f>
        <v/>
      </c>
      <c r="B70">
        <f>IF([1]Accounts!$D$71="","",[1]Accounts!$B$71)</f>
        <v/>
      </c>
      <c r="C70">
        <f>IF([1]Accounts!$D$71="","",[1]Accounts!$C$71)</f>
        <v/>
      </c>
      <c r="D70">
        <f>IF([1]Accounts!$D$71="","",[1]Accounts!$D$71)</f>
        <v/>
      </c>
      <c r="E70">
        <f>IF([1]Accounts!$D$71="","",[1]Accounts!$E$71)</f>
        <v/>
      </c>
      <c r="F70">
        <f>IF([1]Accounts!$D$71="","",[1]Accounts!$F$71)</f>
        <v/>
      </c>
      <c r="G70">
        <f>IF([1]Accounts!$D$71="","",[1]Accounts!$G$71)</f>
        <v/>
      </c>
      <c r="T70">
        <f>IF([2]Baskol!$B$73="","",[2]Baskol!$B$73)</f>
        <v/>
      </c>
      <c r="U70">
        <f>IF([2]Baskol!$C$73="","",[2]Baskol!$C$73)</f>
        <v/>
      </c>
      <c r="V70">
        <f>IF([2]Baskol!$D$73="","",[2]Baskol!$D$73)</f>
        <v/>
      </c>
      <c r="W70">
        <f>IF([2]Baskol!$E$73="","",[2]Baskol!$E$73)</f>
        <v/>
      </c>
      <c r="X70">
        <f>IF([2]Baskol!$G$73="","",[2]Baskol!$G$73)</f>
        <v/>
      </c>
      <c r="Y70">
        <f>IF([2]Baskol!$I$73="","",[2]Baskol!$I$73)</f>
        <v/>
      </c>
      <c r="Z70">
        <f>IF([2]Baskol!$J$73="","",[2]Baskol!$J$73)</f>
        <v/>
      </c>
      <c r="AA70">
        <f>IF([2]Baskol!$K$73="","",[2]Baskol!$K$73)</f>
        <v/>
      </c>
      <c r="AB70">
        <f>IF([2]Baskol!$L$73="","",[2]Baskol!$L$73)</f>
        <v/>
      </c>
      <c r="AC70">
        <f>IF([2]Baskol!$N$73="","",[2]Baskol!$N$73)</f>
        <v/>
      </c>
      <c r="AD70">
        <f>IF([2]Baskol!$O$73="","",[2]Baskol!$O$73)</f>
        <v/>
      </c>
      <c r="AE70">
        <f>IF([3]Entry!$C$73="","",[3]Entry!$C$73)</f>
        <v/>
      </c>
      <c r="AF70">
        <f>IF([3]Entry!$D$73="","",[3]Entry!$D$73)</f>
        <v/>
      </c>
      <c r="AG70">
        <f>IF([3]Entry!$E$73="","",[3]Entry!$E$73)</f>
        <v/>
      </c>
      <c r="AH70">
        <f>IF([3]Entry!$G$73="","",[3]Entry!$G$73)</f>
        <v/>
      </c>
      <c r="AI70">
        <f>IF([3]Entry!$K$73="","",[3]Entry!$K$73)</f>
        <v/>
      </c>
      <c r="AJ70">
        <f>IF([3]Entry!$L$73="","",[3]Entry!$L$73)</f>
        <v/>
      </c>
      <c r="AK70">
        <f>IF([3]Entry!$M$73="","",[3]Entry!$M$73)</f>
        <v/>
      </c>
      <c r="AL70">
        <f>IF([3]Entry!$N$73="","",[3]Entry!$N$73)</f>
        <v/>
      </c>
      <c r="AM70">
        <f>IF([3]Entry!$R$73="","",[3]Entry!$R$73)</f>
        <v/>
      </c>
    </row>
    <row r="71">
      <c r="A71">
        <f>IF([1]Accounts!$D$72="","",[1]Accounts!$A$72)</f>
        <v/>
      </c>
      <c r="B71">
        <f>IF([1]Accounts!$D$72="","",[1]Accounts!$B$72)</f>
        <v/>
      </c>
      <c r="C71">
        <f>IF([1]Accounts!$D$72="","",[1]Accounts!$C$72)</f>
        <v/>
      </c>
      <c r="D71">
        <f>IF([1]Accounts!$D$72="","",[1]Accounts!$D$72)</f>
        <v/>
      </c>
      <c r="E71">
        <f>IF([1]Accounts!$D$72="","",[1]Accounts!$E$72)</f>
        <v/>
      </c>
      <c r="F71">
        <f>IF([1]Accounts!$D$72="","",[1]Accounts!$F$72)</f>
        <v/>
      </c>
      <c r="G71">
        <f>IF([1]Accounts!$D$72="","",[1]Accounts!$G$72)</f>
        <v/>
      </c>
      <c r="T71">
        <f>IF([2]Baskol!$B$74="","",[2]Baskol!$B$74)</f>
        <v/>
      </c>
      <c r="U71">
        <f>IF([2]Baskol!$C$74="","",[2]Baskol!$C$74)</f>
        <v/>
      </c>
      <c r="V71">
        <f>IF([2]Baskol!$D$74="","",[2]Baskol!$D$74)</f>
        <v/>
      </c>
      <c r="W71">
        <f>IF([2]Baskol!$E$74="","",[2]Baskol!$E$74)</f>
        <v/>
      </c>
      <c r="X71">
        <f>IF([2]Baskol!$G$74="","",[2]Baskol!$G$74)</f>
        <v/>
      </c>
      <c r="Y71">
        <f>IF([2]Baskol!$I$74="","",[2]Baskol!$I$74)</f>
        <v/>
      </c>
      <c r="Z71">
        <f>IF([2]Baskol!$J$74="","",[2]Baskol!$J$74)</f>
        <v/>
      </c>
      <c r="AA71">
        <f>IF([2]Baskol!$K$74="","",[2]Baskol!$K$74)</f>
        <v/>
      </c>
      <c r="AB71">
        <f>IF([2]Baskol!$L$74="","",[2]Baskol!$L$74)</f>
        <v/>
      </c>
      <c r="AC71">
        <f>IF([2]Baskol!$N$74="","",[2]Baskol!$N$74)</f>
        <v/>
      </c>
      <c r="AD71">
        <f>IF([2]Baskol!$O$74="","",[2]Baskol!$O$74)</f>
        <v/>
      </c>
      <c r="AE71">
        <f>IF([3]Entry!$C$74="","",[3]Entry!$C$74)</f>
        <v/>
      </c>
      <c r="AF71">
        <f>IF([3]Entry!$D$74="","",[3]Entry!$D$74)</f>
        <v/>
      </c>
      <c r="AG71">
        <f>IF([3]Entry!$E$74="","",[3]Entry!$E$74)</f>
        <v/>
      </c>
      <c r="AH71">
        <f>IF([3]Entry!$G$74="","",[3]Entry!$G$74)</f>
        <v/>
      </c>
      <c r="AI71">
        <f>IF([3]Entry!$K$74="","",[3]Entry!$K$74)</f>
        <v/>
      </c>
      <c r="AJ71">
        <f>IF([3]Entry!$L$74="","",[3]Entry!$L$74)</f>
        <v/>
      </c>
      <c r="AK71">
        <f>IF([3]Entry!$M$74="","",[3]Entry!$M$74)</f>
        <v/>
      </c>
      <c r="AL71">
        <f>IF([3]Entry!$N$74="","",[3]Entry!$N$74)</f>
        <v/>
      </c>
      <c r="AM71">
        <f>IF([3]Entry!$R$74="","",[3]Entry!$R$74)</f>
        <v/>
      </c>
    </row>
    <row r="72">
      <c r="A72">
        <f>IF([1]Accounts!$D$73="","",[1]Accounts!$A$73)</f>
        <v/>
      </c>
      <c r="B72">
        <f>IF([1]Accounts!$D$73="","",[1]Accounts!$B$73)</f>
        <v/>
      </c>
      <c r="C72">
        <f>IF([1]Accounts!$D$73="","",[1]Accounts!$C$73)</f>
        <v/>
      </c>
      <c r="D72">
        <f>IF([1]Accounts!$D$73="","",[1]Accounts!$D$73)</f>
        <v/>
      </c>
      <c r="E72">
        <f>IF([1]Accounts!$D$73="","",[1]Accounts!$E$73)</f>
        <v/>
      </c>
      <c r="F72">
        <f>IF([1]Accounts!$D$73="","",[1]Accounts!$F$73)</f>
        <v/>
      </c>
      <c r="G72">
        <f>IF([1]Accounts!$D$73="","",[1]Accounts!$G$73)</f>
        <v/>
      </c>
      <c r="T72">
        <f>IF([2]Baskol!$B$75="","",[2]Baskol!$B$75)</f>
        <v/>
      </c>
      <c r="U72">
        <f>IF([2]Baskol!$C$75="","",[2]Baskol!$C$75)</f>
        <v/>
      </c>
      <c r="V72">
        <f>IF([2]Baskol!$D$75="","",[2]Baskol!$D$75)</f>
        <v/>
      </c>
      <c r="W72">
        <f>IF([2]Baskol!$E$75="","",[2]Baskol!$E$75)</f>
        <v/>
      </c>
      <c r="X72">
        <f>IF([2]Baskol!$G$75="","",[2]Baskol!$G$75)</f>
        <v/>
      </c>
      <c r="Y72">
        <f>IF([2]Baskol!$I$75="","",[2]Baskol!$I$75)</f>
        <v/>
      </c>
      <c r="Z72">
        <f>IF([2]Baskol!$J$75="","",[2]Baskol!$J$75)</f>
        <v/>
      </c>
      <c r="AA72">
        <f>IF([2]Baskol!$K$75="","",[2]Baskol!$K$75)</f>
        <v/>
      </c>
      <c r="AB72">
        <f>IF([2]Baskol!$L$75="","",[2]Baskol!$L$75)</f>
        <v/>
      </c>
      <c r="AC72">
        <f>IF([2]Baskol!$N$75="","",[2]Baskol!$N$75)</f>
        <v/>
      </c>
      <c r="AD72">
        <f>IF([2]Baskol!$O$75="","",[2]Baskol!$O$75)</f>
        <v/>
      </c>
      <c r="AE72">
        <f>IF([3]Entry!$C$75="","",[3]Entry!$C$75)</f>
        <v/>
      </c>
      <c r="AF72">
        <f>IF([3]Entry!$D$75="","",[3]Entry!$D$75)</f>
        <v/>
      </c>
      <c r="AG72">
        <f>IF([3]Entry!$E$75="","",[3]Entry!$E$75)</f>
        <v/>
      </c>
      <c r="AH72">
        <f>IF([3]Entry!$G$75="","",[3]Entry!$G$75)</f>
        <v/>
      </c>
      <c r="AI72">
        <f>IF([3]Entry!$K$75="","",[3]Entry!$K$75)</f>
        <v/>
      </c>
      <c r="AJ72">
        <f>IF([3]Entry!$L$75="","",[3]Entry!$L$75)</f>
        <v/>
      </c>
      <c r="AK72">
        <f>IF([3]Entry!$M$75="","",[3]Entry!$M$75)</f>
        <v/>
      </c>
      <c r="AL72">
        <f>IF([3]Entry!$N$75="","",[3]Entry!$N$75)</f>
        <v/>
      </c>
      <c r="AM72">
        <f>IF([3]Entry!$R$75="","",[3]Entry!$R$75)</f>
        <v/>
      </c>
    </row>
    <row r="73">
      <c r="A73">
        <f>IF([1]Accounts!$D$74="","",[1]Accounts!$A$74)</f>
        <v/>
      </c>
      <c r="B73">
        <f>IF([1]Accounts!$D$74="","",[1]Accounts!$B$74)</f>
        <v/>
      </c>
      <c r="C73">
        <f>IF([1]Accounts!$D$74="","",[1]Accounts!$C$74)</f>
        <v/>
      </c>
      <c r="D73">
        <f>IF([1]Accounts!$D$74="","",[1]Accounts!$D$74)</f>
        <v/>
      </c>
      <c r="E73">
        <f>IF([1]Accounts!$D$74="","",[1]Accounts!$E$74)</f>
        <v/>
      </c>
      <c r="F73">
        <f>IF([1]Accounts!$D$74="","",[1]Accounts!$F$74)</f>
        <v/>
      </c>
      <c r="G73">
        <f>IF([1]Accounts!$D$74="","",[1]Accounts!$G$74)</f>
        <v/>
      </c>
      <c r="T73">
        <f>IF([2]Baskol!$B$76="","",[2]Baskol!$B$76)</f>
        <v/>
      </c>
      <c r="U73">
        <f>IF([2]Baskol!$C$76="","",[2]Baskol!$C$76)</f>
        <v/>
      </c>
      <c r="V73">
        <f>IF([2]Baskol!$D$76="","",[2]Baskol!$D$76)</f>
        <v/>
      </c>
      <c r="W73">
        <f>IF([2]Baskol!$E$76="","",[2]Baskol!$E$76)</f>
        <v/>
      </c>
      <c r="X73">
        <f>IF([2]Baskol!$G$76="","",[2]Baskol!$G$76)</f>
        <v/>
      </c>
      <c r="Y73">
        <f>IF([2]Baskol!$I$76="","",[2]Baskol!$I$76)</f>
        <v/>
      </c>
      <c r="Z73">
        <f>IF([2]Baskol!$J$76="","",[2]Baskol!$J$76)</f>
        <v/>
      </c>
      <c r="AA73">
        <f>IF([2]Baskol!$K$76="","",[2]Baskol!$K$76)</f>
        <v/>
      </c>
      <c r="AB73">
        <f>IF([2]Baskol!$L$76="","",[2]Baskol!$L$76)</f>
        <v/>
      </c>
      <c r="AC73">
        <f>IF([2]Baskol!$N$76="","",[2]Baskol!$N$76)</f>
        <v/>
      </c>
      <c r="AD73">
        <f>IF([2]Baskol!$O$76="","",[2]Baskol!$O$76)</f>
        <v/>
      </c>
      <c r="AE73">
        <f>IF([3]Entry!$C$76="","",[3]Entry!$C$76)</f>
        <v/>
      </c>
      <c r="AF73">
        <f>IF([3]Entry!$D$76="","",[3]Entry!$D$76)</f>
        <v/>
      </c>
      <c r="AG73">
        <f>IF([3]Entry!$E$76="","",[3]Entry!$E$76)</f>
        <v/>
      </c>
      <c r="AH73">
        <f>IF([3]Entry!$G$76="","",[3]Entry!$G$76)</f>
        <v/>
      </c>
      <c r="AI73">
        <f>IF([3]Entry!$K$76="","",[3]Entry!$K$76)</f>
        <v/>
      </c>
      <c r="AJ73">
        <f>IF([3]Entry!$L$76="","",[3]Entry!$L$76)</f>
        <v/>
      </c>
      <c r="AK73">
        <f>IF([3]Entry!$M$76="","",[3]Entry!$M$76)</f>
        <v/>
      </c>
      <c r="AL73">
        <f>IF([3]Entry!$N$76="","",[3]Entry!$N$76)</f>
        <v/>
      </c>
      <c r="AM73">
        <f>IF([3]Entry!$R$76="","",[3]Entry!$R$76)</f>
        <v/>
      </c>
    </row>
    <row r="74">
      <c r="A74">
        <f>IF([1]Accounts!$D$75="","",[1]Accounts!$A$75)</f>
        <v/>
      </c>
      <c r="B74">
        <f>IF([1]Accounts!$D$75="","",[1]Accounts!$B$75)</f>
        <v/>
      </c>
      <c r="C74">
        <f>IF([1]Accounts!$D$75="","",[1]Accounts!$C$75)</f>
        <v/>
      </c>
      <c r="D74">
        <f>IF([1]Accounts!$D$75="","",[1]Accounts!$D$75)</f>
        <v/>
      </c>
      <c r="E74">
        <f>IF([1]Accounts!$D$75="","",[1]Accounts!$E$75)</f>
        <v/>
      </c>
      <c r="F74">
        <f>IF([1]Accounts!$D$75="","",[1]Accounts!$F$75)</f>
        <v/>
      </c>
      <c r="G74">
        <f>IF([1]Accounts!$D$75="","",[1]Accounts!$G$75)</f>
        <v/>
      </c>
      <c r="T74">
        <f>IF([2]Baskol!$B$77="","",[2]Baskol!$B$77)</f>
        <v/>
      </c>
      <c r="U74">
        <f>IF([2]Baskol!$C$77="","",[2]Baskol!$C$77)</f>
        <v/>
      </c>
      <c r="V74">
        <f>IF([2]Baskol!$D$77="","",[2]Baskol!$D$77)</f>
        <v/>
      </c>
      <c r="W74">
        <f>IF([2]Baskol!$E$77="","",[2]Baskol!$E$77)</f>
        <v/>
      </c>
      <c r="X74">
        <f>IF([2]Baskol!$G$77="","",[2]Baskol!$G$77)</f>
        <v/>
      </c>
      <c r="Y74">
        <f>IF([2]Baskol!$I$77="","",[2]Baskol!$I$77)</f>
        <v/>
      </c>
      <c r="Z74">
        <f>IF([2]Baskol!$J$77="","",[2]Baskol!$J$77)</f>
        <v/>
      </c>
      <c r="AA74">
        <f>IF([2]Baskol!$K$77="","",[2]Baskol!$K$77)</f>
        <v/>
      </c>
      <c r="AB74">
        <f>IF([2]Baskol!$L$77="","",[2]Baskol!$L$77)</f>
        <v/>
      </c>
      <c r="AC74">
        <f>IF([2]Baskol!$N$77="","",[2]Baskol!$N$77)</f>
        <v/>
      </c>
      <c r="AD74">
        <f>IF([2]Baskol!$O$77="","",[2]Baskol!$O$77)</f>
        <v/>
      </c>
      <c r="AE74">
        <f>IF([3]Entry!$C$77="","",[3]Entry!$C$77)</f>
        <v/>
      </c>
      <c r="AF74">
        <f>IF([3]Entry!$D$77="","",[3]Entry!$D$77)</f>
        <v/>
      </c>
      <c r="AG74">
        <f>IF([3]Entry!$E$77="","",[3]Entry!$E$77)</f>
        <v/>
      </c>
      <c r="AH74">
        <f>IF([3]Entry!$G$77="","",[3]Entry!$G$77)</f>
        <v/>
      </c>
      <c r="AI74">
        <f>IF([3]Entry!$K$77="","",[3]Entry!$K$77)</f>
        <v/>
      </c>
      <c r="AJ74">
        <f>IF([3]Entry!$L$77="","",[3]Entry!$L$77)</f>
        <v/>
      </c>
      <c r="AK74">
        <f>IF([3]Entry!$M$77="","",[3]Entry!$M$77)</f>
        <v/>
      </c>
      <c r="AL74">
        <f>IF([3]Entry!$N$77="","",[3]Entry!$N$77)</f>
        <v/>
      </c>
      <c r="AM74">
        <f>IF([3]Entry!$R$77="","",[3]Entry!$R$77)</f>
        <v/>
      </c>
    </row>
    <row r="75">
      <c r="A75">
        <f>IF([1]Accounts!$D$76="","",[1]Accounts!$A$76)</f>
        <v/>
      </c>
      <c r="B75">
        <f>IF([1]Accounts!$D$76="","",[1]Accounts!$B$76)</f>
        <v/>
      </c>
      <c r="C75">
        <f>IF([1]Accounts!$D$76="","",[1]Accounts!$C$76)</f>
        <v/>
      </c>
      <c r="D75">
        <f>IF([1]Accounts!$D$76="","",[1]Accounts!$D$76)</f>
        <v/>
      </c>
      <c r="E75">
        <f>IF([1]Accounts!$D$76="","",[1]Accounts!$E$76)</f>
        <v/>
      </c>
      <c r="F75">
        <f>IF([1]Accounts!$D$76="","",[1]Accounts!$F$76)</f>
        <v/>
      </c>
      <c r="G75">
        <f>IF([1]Accounts!$D$76="","",[1]Accounts!$G$76)</f>
        <v/>
      </c>
      <c r="T75">
        <f>IF([2]Baskol!$B$78="","",[2]Baskol!$B$78)</f>
        <v/>
      </c>
      <c r="U75">
        <f>IF([2]Baskol!$C$78="","",[2]Baskol!$C$78)</f>
        <v/>
      </c>
      <c r="V75">
        <f>IF([2]Baskol!$D$78="","",[2]Baskol!$D$78)</f>
        <v/>
      </c>
      <c r="W75">
        <f>IF([2]Baskol!$E$78="","",[2]Baskol!$E$78)</f>
        <v/>
      </c>
      <c r="X75">
        <f>IF([2]Baskol!$G$78="","",[2]Baskol!$G$78)</f>
        <v/>
      </c>
      <c r="Y75">
        <f>IF([2]Baskol!$I$78="","",[2]Baskol!$I$78)</f>
        <v/>
      </c>
      <c r="Z75">
        <f>IF([2]Baskol!$J$78="","",[2]Baskol!$J$78)</f>
        <v/>
      </c>
      <c r="AA75">
        <f>IF([2]Baskol!$K$78="","",[2]Baskol!$K$78)</f>
        <v/>
      </c>
      <c r="AB75">
        <f>IF([2]Baskol!$L$78="","",[2]Baskol!$L$78)</f>
        <v/>
      </c>
      <c r="AC75">
        <f>IF([2]Baskol!$N$78="","",[2]Baskol!$N$78)</f>
        <v/>
      </c>
      <c r="AD75">
        <f>IF([2]Baskol!$O$78="","",[2]Baskol!$O$78)</f>
        <v/>
      </c>
      <c r="AE75">
        <f>IF([3]Entry!$C$78="","",[3]Entry!$C$78)</f>
        <v/>
      </c>
      <c r="AF75">
        <f>IF([3]Entry!$D$78="","",[3]Entry!$D$78)</f>
        <v/>
      </c>
      <c r="AG75">
        <f>IF([3]Entry!$E$78="","",[3]Entry!$E$78)</f>
        <v/>
      </c>
      <c r="AH75">
        <f>IF([3]Entry!$G$78="","",[3]Entry!$G$78)</f>
        <v/>
      </c>
      <c r="AI75">
        <f>IF([3]Entry!$K$78="","",[3]Entry!$K$78)</f>
        <v/>
      </c>
      <c r="AJ75">
        <f>IF([3]Entry!$L$78="","",[3]Entry!$L$78)</f>
        <v/>
      </c>
      <c r="AK75">
        <f>IF([3]Entry!$M$78="","",[3]Entry!$M$78)</f>
        <v/>
      </c>
      <c r="AL75">
        <f>IF([3]Entry!$N$78="","",[3]Entry!$N$78)</f>
        <v/>
      </c>
      <c r="AM75">
        <f>IF([3]Entry!$R$78="","",[3]Entry!$R$78)</f>
        <v/>
      </c>
    </row>
    <row r="76">
      <c r="A76">
        <f>IF([1]Accounts!$D$77="","",[1]Accounts!$A$77)</f>
        <v/>
      </c>
      <c r="B76">
        <f>IF([1]Accounts!$D$77="","",[1]Accounts!$B$77)</f>
        <v/>
      </c>
      <c r="C76">
        <f>IF([1]Accounts!$D$77="","",[1]Accounts!$C$77)</f>
        <v/>
      </c>
      <c r="D76">
        <f>IF([1]Accounts!$D$77="","",[1]Accounts!$D$77)</f>
        <v/>
      </c>
      <c r="E76">
        <f>IF([1]Accounts!$D$77="","",[1]Accounts!$E$77)</f>
        <v/>
      </c>
      <c r="F76">
        <f>IF([1]Accounts!$D$77="","",[1]Accounts!$F$77)</f>
        <v/>
      </c>
      <c r="G76">
        <f>IF([1]Accounts!$D$77="","",[1]Accounts!$G$77)</f>
        <v/>
      </c>
      <c r="T76">
        <f>IF([2]Baskol!$B$79="","",[2]Baskol!$B$79)</f>
        <v/>
      </c>
      <c r="U76">
        <f>IF([2]Baskol!$C$79="","",[2]Baskol!$C$79)</f>
        <v/>
      </c>
      <c r="V76">
        <f>IF([2]Baskol!$D$79="","",[2]Baskol!$D$79)</f>
        <v/>
      </c>
      <c r="W76">
        <f>IF([2]Baskol!$E$79="","",[2]Baskol!$E$79)</f>
        <v/>
      </c>
      <c r="X76">
        <f>IF([2]Baskol!$G$79="","",[2]Baskol!$G$79)</f>
        <v/>
      </c>
      <c r="Y76">
        <f>IF([2]Baskol!$I$79="","",[2]Baskol!$I$79)</f>
        <v/>
      </c>
      <c r="Z76">
        <f>IF([2]Baskol!$J$79="","",[2]Baskol!$J$79)</f>
        <v/>
      </c>
      <c r="AA76">
        <f>IF([2]Baskol!$K$79="","",[2]Baskol!$K$79)</f>
        <v/>
      </c>
      <c r="AB76">
        <f>IF([2]Baskol!$L$79="","",[2]Baskol!$L$79)</f>
        <v/>
      </c>
      <c r="AC76">
        <f>IF([2]Baskol!$N$79="","",[2]Baskol!$N$79)</f>
        <v/>
      </c>
      <c r="AD76">
        <f>IF([2]Baskol!$O$79="","",[2]Baskol!$O$79)</f>
        <v/>
      </c>
      <c r="AE76">
        <f>IF([3]Entry!$C$79="","",[3]Entry!$C$79)</f>
        <v/>
      </c>
      <c r="AF76">
        <f>IF([3]Entry!$D$79="","",[3]Entry!$D$79)</f>
        <v/>
      </c>
      <c r="AG76">
        <f>IF([3]Entry!$E$79="","",[3]Entry!$E$79)</f>
        <v/>
      </c>
      <c r="AH76">
        <f>IF([3]Entry!$G$79="","",[3]Entry!$G$79)</f>
        <v/>
      </c>
      <c r="AI76">
        <f>IF([3]Entry!$K$79="","",[3]Entry!$K$79)</f>
        <v/>
      </c>
      <c r="AJ76">
        <f>IF([3]Entry!$L$79="","",[3]Entry!$L$79)</f>
        <v/>
      </c>
      <c r="AK76">
        <f>IF([3]Entry!$M$79="","",[3]Entry!$M$79)</f>
        <v/>
      </c>
      <c r="AL76">
        <f>IF([3]Entry!$N$79="","",[3]Entry!$N$79)</f>
        <v/>
      </c>
      <c r="AM76">
        <f>IF([3]Entry!$R$79="","",[3]Entry!$R$79)</f>
        <v/>
      </c>
    </row>
    <row r="77">
      <c r="A77">
        <f>IF([1]Accounts!$D$78="","",[1]Accounts!$A$78)</f>
        <v/>
      </c>
      <c r="B77">
        <f>IF([1]Accounts!$D$78="","",[1]Accounts!$B$78)</f>
        <v/>
      </c>
      <c r="C77">
        <f>IF([1]Accounts!$D$78="","",[1]Accounts!$C$78)</f>
        <v/>
      </c>
      <c r="D77">
        <f>IF([1]Accounts!$D$78="","",[1]Accounts!$D$78)</f>
        <v/>
      </c>
      <c r="E77">
        <f>IF([1]Accounts!$D$78="","",[1]Accounts!$E$78)</f>
        <v/>
      </c>
      <c r="F77">
        <f>IF([1]Accounts!$D$78="","",[1]Accounts!$F$78)</f>
        <v/>
      </c>
      <c r="G77">
        <f>IF([1]Accounts!$D$78="","",[1]Accounts!$G$78)</f>
        <v/>
      </c>
      <c r="T77">
        <f>IF([2]Baskol!$B$80="","",[2]Baskol!$B$80)</f>
        <v/>
      </c>
      <c r="U77">
        <f>IF([2]Baskol!$C$80="","",[2]Baskol!$C$80)</f>
        <v/>
      </c>
      <c r="V77">
        <f>IF([2]Baskol!$D$80="","",[2]Baskol!$D$80)</f>
        <v/>
      </c>
      <c r="W77">
        <f>IF([2]Baskol!$E$80="","",[2]Baskol!$E$80)</f>
        <v/>
      </c>
      <c r="X77">
        <f>IF([2]Baskol!$G$80="","",[2]Baskol!$G$80)</f>
        <v/>
      </c>
      <c r="Y77">
        <f>IF([2]Baskol!$I$80="","",[2]Baskol!$I$80)</f>
        <v/>
      </c>
      <c r="Z77">
        <f>IF([2]Baskol!$J$80="","",[2]Baskol!$J$80)</f>
        <v/>
      </c>
      <c r="AA77">
        <f>IF([2]Baskol!$K$80="","",[2]Baskol!$K$80)</f>
        <v/>
      </c>
      <c r="AB77">
        <f>IF([2]Baskol!$L$80="","",[2]Baskol!$L$80)</f>
        <v/>
      </c>
      <c r="AC77">
        <f>IF([2]Baskol!$N$80="","",[2]Baskol!$N$80)</f>
        <v/>
      </c>
      <c r="AD77">
        <f>IF([2]Baskol!$O$80="","",[2]Baskol!$O$80)</f>
        <v/>
      </c>
      <c r="AE77">
        <f>IF([3]Entry!$C$80="","",[3]Entry!$C$80)</f>
        <v/>
      </c>
      <c r="AF77">
        <f>IF([3]Entry!$D$80="","",[3]Entry!$D$80)</f>
        <v/>
      </c>
      <c r="AG77">
        <f>IF([3]Entry!$E$80="","",[3]Entry!$E$80)</f>
        <v/>
      </c>
      <c r="AH77">
        <f>IF([3]Entry!$G$80="","",[3]Entry!$G$80)</f>
        <v/>
      </c>
      <c r="AI77">
        <f>IF([3]Entry!$K$80="","",[3]Entry!$K$80)</f>
        <v/>
      </c>
      <c r="AJ77">
        <f>IF([3]Entry!$L$80="","",[3]Entry!$L$80)</f>
        <v/>
      </c>
      <c r="AK77">
        <f>IF([3]Entry!$M$80="","",[3]Entry!$M$80)</f>
        <v/>
      </c>
      <c r="AL77">
        <f>IF([3]Entry!$N$80="","",[3]Entry!$N$80)</f>
        <v/>
      </c>
      <c r="AM77">
        <f>IF([3]Entry!$R$80="","",[3]Entry!$R$80)</f>
        <v/>
      </c>
    </row>
    <row r="78">
      <c r="A78">
        <f>IF([1]Accounts!$D$79="","",[1]Accounts!$A$79)</f>
        <v/>
      </c>
      <c r="B78">
        <f>IF([1]Accounts!$D$79="","",[1]Accounts!$B$79)</f>
        <v/>
      </c>
      <c r="C78">
        <f>IF([1]Accounts!$D$79="","",[1]Accounts!$C$79)</f>
        <v/>
      </c>
      <c r="D78">
        <f>IF([1]Accounts!$D$79="","",[1]Accounts!$D$79)</f>
        <v/>
      </c>
      <c r="E78">
        <f>IF([1]Accounts!$D$79="","",[1]Accounts!$E$79)</f>
        <v/>
      </c>
      <c r="F78">
        <f>IF([1]Accounts!$D$79="","",[1]Accounts!$F$79)</f>
        <v/>
      </c>
      <c r="G78">
        <f>IF([1]Accounts!$D$79="","",[1]Accounts!$G$79)</f>
        <v/>
      </c>
      <c r="T78">
        <f>IF([2]Baskol!$B$81="","",[2]Baskol!$B$81)</f>
        <v/>
      </c>
      <c r="U78">
        <f>IF([2]Baskol!$C$81="","",[2]Baskol!$C$81)</f>
        <v/>
      </c>
      <c r="V78">
        <f>IF([2]Baskol!$D$81="","",[2]Baskol!$D$81)</f>
        <v/>
      </c>
      <c r="W78">
        <f>IF([2]Baskol!$E$81="","",[2]Baskol!$E$81)</f>
        <v/>
      </c>
      <c r="X78">
        <f>IF([2]Baskol!$G$81="","",[2]Baskol!$G$81)</f>
        <v/>
      </c>
      <c r="Y78">
        <f>IF([2]Baskol!$I$81="","",[2]Baskol!$I$81)</f>
        <v/>
      </c>
      <c r="Z78">
        <f>IF([2]Baskol!$J$81="","",[2]Baskol!$J$81)</f>
        <v/>
      </c>
      <c r="AA78">
        <f>IF([2]Baskol!$K$81="","",[2]Baskol!$K$81)</f>
        <v/>
      </c>
      <c r="AB78">
        <f>IF([2]Baskol!$L$81="","",[2]Baskol!$L$81)</f>
        <v/>
      </c>
      <c r="AC78">
        <f>IF([2]Baskol!$N$81="","",[2]Baskol!$N$81)</f>
        <v/>
      </c>
      <c r="AD78">
        <f>IF([2]Baskol!$O$81="","",[2]Baskol!$O$81)</f>
        <v/>
      </c>
      <c r="AE78">
        <f>IF([3]Entry!$C$81="","",[3]Entry!$C$81)</f>
        <v/>
      </c>
      <c r="AF78">
        <f>IF([3]Entry!$D$81="","",[3]Entry!$D$81)</f>
        <v/>
      </c>
      <c r="AG78">
        <f>IF([3]Entry!$E$81="","",[3]Entry!$E$81)</f>
        <v/>
      </c>
      <c r="AH78">
        <f>IF([3]Entry!$G$81="","",[3]Entry!$G$81)</f>
        <v/>
      </c>
      <c r="AI78">
        <f>IF([3]Entry!$K$81="","",[3]Entry!$K$81)</f>
        <v/>
      </c>
      <c r="AJ78">
        <f>IF([3]Entry!$L$81="","",[3]Entry!$L$81)</f>
        <v/>
      </c>
      <c r="AK78">
        <f>IF([3]Entry!$M$81="","",[3]Entry!$M$81)</f>
        <v/>
      </c>
      <c r="AL78">
        <f>IF([3]Entry!$N$81="","",[3]Entry!$N$81)</f>
        <v/>
      </c>
      <c r="AM78">
        <f>IF([3]Entry!$R$81="","",[3]Entry!$R$81)</f>
        <v/>
      </c>
    </row>
    <row r="79">
      <c r="A79">
        <f>IF([1]Accounts!$D$80="","",[1]Accounts!$A$80)</f>
        <v/>
      </c>
      <c r="B79">
        <f>IF([1]Accounts!$D$80="","",[1]Accounts!$B$80)</f>
        <v/>
      </c>
      <c r="C79">
        <f>IF([1]Accounts!$D$80="","",[1]Accounts!$C$80)</f>
        <v/>
      </c>
      <c r="D79">
        <f>IF([1]Accounts!$D$80="","",[1]Accounts!$D$80)</f>
        <v/>
      </c>
      <c r="E79">
        <f>IF([1]Accounts!$D$80="","",[1]Accounts!$E$80)</f>
        <v/>
      </c>
      <c r="F79">
        <f>IF([1]Accounts!$D$80="","",[1]Accounts!$F$80)</f>
        <v/>
      </c>
      <c r="G79">
        <f>IF([1]Accounts!$D$80="","",[1]Accounts!$G$80)</f>
        <v/>
      </c>
      <c r="T79">
        <f>IF([2]Baskol!$B$82="","",[2]Baskol!$B$82)</f>
        <v/>
      </c>
      <c r="U79">
        <f>IF([2]Baskol!$C$82="","",[2]Baskol!$C$82)</f>
        <v/>
      </c>
      <c r="V79">
        <f>IF([2]Baskol!$D$82="","",[2]Baskol!$D$82)</f>
        <v/>
      </c>
      <c r="W79">
        <f>IF([2]Baskol!$E$82="","",[2]Baskol!$E$82)</f>
        <v/>
      </c>
      <c r="X79">
        <f>IF([2]Baskol!$G$82="","",[2]Baskol!$G$82)</f>
        <v/>
      </c>
      <c r="Y79">
        <f>IF([2]Baskol!$I$82="","",[2]Baskol!$I$82)</f>
        <v/>
      </c>
      <c r="Z79">
        <f>IF([2]Baskol!$J$82="","",[2]Baskol!$J$82)</f>
        <v/>
      </c>
      <c r="AA79">
        <f>IF([2]Baskol!$K$82="","",[2]Baskol!$K$82)</f>
        <v/>
      </c>
      <c r="AB79">
        <f>IF([2]Baskol!$L$82="","",[2]Baskol!$L$82)</f>
        <v/>
      </c>
      <c r="AC79">
        <f>IF([2]Baskol!$N$82="","",[2]Baskol!$N$82)</f>
        <v/>
      </c>
      <c r="AD79">
        <f>IF([2]Baskol!$O$82="","",[2]Baskol!$O$82)</f>
        <v/>
      </c>
      <c r="AE79">
        <f>IF([3]Entry!$C$82="","",[3]Entry!$C$82)</f>
        <v/>
      </c>
      <c r="AF79">
        <f>IF([3]Entry!$D$82="","",[3]Entry!$D$82)</f>
        <v/>
      </c>
      <c r="AG79">
        <f>IF([3]Entry!$E$82="","",[3]Entry!$E$82)</f>
        <v/>
      </c>
      <c r="AH79">
        <f>IF([3]Entry!$G$82="","",[3]Entry!$G$82)</f>
        <v/>
      </c>
      <c r="AI79">
        <f>IF([3]Entry!$K$82="","",[3]Entry!$K$82)</f>
        <v/>
      </c>
      <c r="AJ79">
        <f>IF([3]Entry!$L$82="","",[3]Entry!$L$82)</f>
        <v/>
      </c>
      <c r="AK79">
        <f>IF([3]Entry!$M$82="","",[3]Entry!$M$82)</f>
        <v/>
      </c>
      <c r="AL79">
        <f>IF([3]Entry!$N$82="","",[3]Entry!$N$82)</f>
        <v/>
      </c>
      <c r="AM79">
        <f>IF([3]Entry!$R$82="","",[3]Entry!$R$82)</f>
        <v/>
      </c>
    </row>
    <row r="80">
      <c r="A80">
        <f>IF([1]Accounts!$D$81="","",[1]Accounts!$A$81)</f>
        <v/>
      </c>
      <c r="B80">
        <f>IF([1]Accounts!$D$81="","",[1]Accounts!$B$81)</f>
        <v/>
      </c>
      <c r="C80">
        <f>IF([1]Accounts!$D$81="","",[1]Accounts!$C$81)</f>
        <v/>
      </c>
      <c r="D80">
        <f>IF([1]Accounts!$D$81="","",[1]Accounts!$D$81)</f>
        <v/>
      </c>
      <c r="E80">
        <f>IF([1]Accounts!$D$81="","",[1]Accounts!$E$81)</f>
        <v/>
      </c>
      <c r="F80">
        <f>IF([1]Accounts!$D$81="","",[1]Accounts!$F$81)</f>
        <v/>
      </c>
      <c r="G80">
        <f>IF([1]Accounts!$D$81="","",[1]Accounts!$G$81)</f>
        <v/>
      </c>
      <c r="T80">
        <f>IF([2]Baskol!$B$83="","",[2]Baskol!$B$83)</f>
        <v/>
      </c>
      <c r="U80">
        <f>IF([2]Baskol!$C$83="","",[2]Baskol!$C$83)</f>
        <v/>
      </c>
      <c r="V80">
        <f>IF([2]Baskol!$D$83="","",[2]Baskol!$D$83)</f>
        <v/>
      </c>
      <c r="W80">
        <f>IF([2]Baskol!$E$83="","",[2]Baskol!$E$83)</f>
        <v/>
      </c>
      <c r="X80">
        <f>IF([2]Baskol!$G$83="","",[2]Baskol!$G$83)</f>
        <v/>
      </c>
      <c r="Y80">
        <f>IF([2]Baskol!$I$83="","",[2]Baskol!$I$83)</f>
        <v/>
      </c>
      <c r="Z80">
        <f>IF([2]Baskol!$J$83="","",[2]Baskol!$J$83)</f>
        <v/>
      </c>
      <c r="AA80">
        <f>IF([2]Baskol!$K$83="","",[2]Baskol!$K$83)</f>
        <v/>
      </c>
      <c r="AB80">
        <f>IF([2]Baskol!$L$83="","",[2]Baskol!$L$83)</f>
        <v/>
      </c>
      <c r="AC80">
        <f>IF([2]Baskol!$N$83="","",[2]Baskol!$N$83)</f>
        <v/>
      </c>
      <c r="AD80">
        <f>IF([2]Baskol!$O$83="","",[2]Baskol!$O$83)</f>
        <v/>
      </c>
      <c r="AE80">
        <f>IF([3]Entry!$C$83="","",[3]Entry!$C$83)</f>
        <v/>
      </c>
      <c r="AF80">
        <f>IF([3]Entry!$D$83="","",[3]Entry!$D$83)</f>
        <v/>
      </c>
      <c r="AG80">
        <f>IF([3]Entry!$E$83="","",[3]Entry!$E$83)</f>
        <v/>
      </c>
      <c r="AH80">
        <f>IF([3]Entry!$G$83="","",[3]Entry!$G$83)</f>
        <v/>
      </c>
      <c r="AI80">
        <f>IF([3]Entry!$K$83="","",[3]Entry!$K$83)</f>
        <v/>
      </c>
      <c r="AJ80">
        <f>IF([3]Entry!$L$83="","",[3]Entry!$L$83)</f>
        <v/>
      </c>
      <c r="AK80">
        <f>IF([3]Entry!$M$83="","",[3]Entry!$M$83)</f>
        <v/>
      </c>
      <c r="AL80">
        <f>IF([3]Entry!$N$83="","",[3]Entry!$N$83)</f>
        <v/>
      </c>
      <c r="AM80">
        <f>IF([3]Entry!$R$83="","",[3]Entry!$R$83)</f>
        <v/>
      </c>
    </row>
    <row r="81">
      <c r="A81">
        <f>IF([1]Accounts!$D$82="","",[1]Accounts!$A$82)</f>
        <v/>
      </c>
      <c r="B81">
        <f>IF([1]Accounts!$D$82="","",[1]Accounts!$B$82)</f>
        <v/>
      </c>
      <c r="C81">
        <f>IF([1]Accounts!$D$82="","",[1]Accounts!$C$82)</f>
        <v/>
      </c>
      <c r="D81">
        <f>IF([1]Accounts!$D$82="","",[1]Accounts!$D$82)</f>
        <v/>
      </c>
      <c r="E81">
        <f>IF([1]Accounts!$D$82="","",[1]Accounts!$E$82)</f>
        <v/>
      </c>
      <c r="F81">
        <f>IF([1]Accounts!$D$82="","",[1]Accounts!$F$82)</f>
        <v/>
      </c>
      <c r="G81">
        <f>IF([1]Accounts!$D$82="","",[1]Accounts!$G$82)</f>
        <v/>
      </c>
      <c r="T81">
        <f>IF([2]Baskol!$B$84="","",[2]Baskol!$B$84)</f>
        <v/>
      </c>
      <c r="U81">
        <f>IF([2]Baskol!$C$84="","",[2]Baskol!$C$84)</f>
        <v/>
      </c>
      <c r="V81">
        <f>IF([2]Baskol!$D$84="","",[2]Baskol!$D$84)</f>
        <v/>
      </c>
      <c r="W81">
        <f>IF([2]Baskol!$E$84="","",[2]Baskol!$E$84)</f>
        <v/>
      </c>
      <c r="X81">
        <f>IF([2]Baskol!$G$84="","",[2]Baskol!$G$84)</f>
        <v/>
      </c>
      <c r="Y81">
        <f>IF([2]Baskol!$I$84="","",[2]Baskol!$I$84)</f>
        <v/>
      </c>
      <c r="Z81">
        <f>IF([2]Baskol!$J$84="","",[2]Baskol!$J$84)</f>
        <v/>
      </c>
      <c r="AA81">
        <f>IF([2]Baskol!$K$84="","",[2]Baskol!$K$84)</f>
        <v/>
      </c>
      <c r="AB81">
        <f>IF([2]Baskol!$L$84="","",[2]Baskol!$L$84)</f>
        <v/>
      </c>
      <c r="AC81">
        <f>IF([2]Baskol!$N$84="","",[2]Baskol!$N$84)</f>
        <v/>
      </c>
      <c r="AD81">
        <f>IF([2]Baskol!$O$84="","",[2]Baskol!$O$84)</f>
        <v/>
      </c>
      <c r="AE81">
        <f>IF([3]Entry!$C$84="","",[3]Entry!$C$84)</f>
        <v/>
      </c>
      <c r="AF81">
        <f>IF([3]Entry!$D$84="","",[3]Entry!$D$84)</f>
        <v/>
      </c>
      <c r="AG81">
        <f>IF([3]Entry!$E$84="","",[3]Entry!$E$84)</f>
        <v/>
      </c>
      <c r="AH81">
        <f>IF([3]Entry!$G$84="","",[3]Entry!$G$84)</f>
        <v/>
      </c>
      <c r="AI81">
        <f>IF([3]Entry!$K$84="","",[3]Entry!$K$84)</f>
        <v/>
      </c>
      <c r="AJ81">
        <f>IF([3]Entry!$L$84="","",[3]Entry!$L$84)</f>
        <v/>
      </c>
      <c r="AK81">
        <f>IF([3]Entry!$M$84="","",[3]Entry!$M$84)</f>
        <v/>
      </c>
      <c r="AL81">
        <f>IF([3]Entry!$N$84="","",[3]Entry!$N$84)</f>
        <v/>
      </c>
      <c r="AM81">
        <f>IF([3]Entry!$R$84="","",[3]Entry!$R$84)</f>
        <v/>
      </c>
    </row>
    <row r="82">
      <c r="A82">
        <f>IF([1]Accounts!$D$83="","",[1]Accounts!$A$83)</f>
        <v/>
      </c>
      <c r="B82">
        <f>IF([1]Accounts!$D$83="","",[1]Accounts!$B$83)</f>
        <v/>
      </c>
      <c r="C82">
        <f>IF([1]Accounts!$D$83="","",[1]Accounts!$C$83)</f>
        <v/>
      </c>
      <c r="D82">
        <f>IF([1]Accounts!$D$83="","",[1]Accounts!$D$83)</f>
        <v/>
      </c>
      <c r="E82">
        <f>IF([1]Accounts!$D$83="","",[1]Accounts!$E$83)</f>
        <v/>
      </c>
      <c r="F82">
        <f>IF([1]Accounts!$D$83="","",[1]Accounts!$F$83)</f>
        <v/>
      </c>
      <c r="G82">
        <f>IF([1]Accounts!$D$83="","",[1]Accounts!$G$83)</f>
        <v/>
      </c>
      <c r="T82">
        <f>IF([2]Baskol!$B$85="","",[2]Baskol!$B$85)</f>
        <v/>
      </c>
      <c r="U82">
        <f>IF([2]Baskol!$C$85="","",[2]Baskol!$C$85)</f>
        <v/>
      </c>
      <c r="V82">
        <f>IF([2]Baskol!$D$85="","",[2]Baskol!$D$85)</f>
        <v/>
      </c>
      <c r="W82">
        <f>IF([2]Baskol!$E$85="","",[2]Baskol!$E$85)</f>
        <v/>
      </c>
      <c r="X82">
        <f>IF([2]Baskol!$G$85="","",[2]Baskol!$G$85)</f>
        <v/>
      </c>
      <c r="Y82">
        <f>IF([2]Baskol!$I$85="","",[2]Baskol!$I$85)</f>
        <v/>
      </c>
      <c r="Z82">
        <f>IF([2]Baskol!$J$85="","",[2]Baskol!$J$85)</f>
        <v/>
      </c>
      <c r="AA82">
        <f>IF([2]Baskol!$K$85="","",[2]Baskol!$K$85)</f>
        <v/>
      </c>
      <c r="AB82">
        <f>IF([2]Baskol!$L$85="","",[2]Baskol!$L$85)</f>
        <v/>
      </c>
      <c r="AC82">
        <f>IF([2]Baskol!$N$85="","",[2]Baskol!$N$85)</f>
        <v/>
      </c>
      <c r="AD82">
        <f>IF([2]Baskol!$O$85="","",[2]Baskol!$O$85)</f>
        <v/>
      </c>
      <c r="AE82">
        <f>IF([3]Entry!$C$85="","",[3]Entry!$C$85)</f>
        <v/>
      </c>
      <c r="AF82">
        <f>IF([3]Entry!$D$85="","",[3]Entry!$D$85)</f>
        <v/>
      </c>
      <c r="AG82">
        <f>IF([3]Entry!$E$85="","",[3]Entry!$E$85)</f>
        <v/>
      </c>
      <c r="AH82">
        <f>IF([3]Entry!$G$85="","",[3]Entry!$G$85)</f>
        <v/>
      </c>
      <c r="AI82">
        <f>IF([3]Entry!$K$85="","",[3]Entry!$K$85)</f>
        <v/>
      </c>
      <c r="AJ82">
        <f>IF([3]Entry!$L$85="","",[3]Entry!$L$85)</f>
        <v/>
      </c>
      <c r="AK82">
        <f>IF([3]Entry!$M$85="","",[3]Entry!$M$85)</f>
        <v/>
      </c>
      <c r="AL82">
        <f>IF([3]Entry!$N$85="","",[3]Entry!$N$85)</f>
        <v/>
      </c>
      <c r="AM82">
        <f>IF([3]Entry!$R$85="","",[3]Entry!$R$85)</f>
        <v/>
      </c>
    </row>
    <row r="83">
      <c r="A83">
        <f>IF([1]Accounts!$D$84="","",[1]Accounts!$A$84)</f>
        <v/>
      </c>
      <c r="B83">
        <f>IF([1]Accounts!$D$84="","",[1]Accounts!$B$84)</f>
        <v/>
      </c>
      <c r="C83">
        <f>IF([1]Accounts!$D$84="","",[1]Accounts!$C$84)</f>
        <v/>
      </c>
      <c r="D83">
        <f>IF([1]Accounts!$D$84="","",[1]Accounts!$D$84)</f>
        <v/>
      </c>
      <c r="E83">
        <f>IF([1]Accounts!$D$84="","",[1]Accounts!$E$84)</f>
        <v/>
      </c>
      <c r="F83">
        <f>IF([1]Accounts!$D$84="","",[1]Accounts!$F$84)</f>
        <v/>
      </c>
      <c r="G83">
        <f>IF([1]Accounts!$D$84="","",[1]Accounts!$G$84)</f>
        <v/>
      </c>
      <c r="T83">
        <f>IF([2]Baskol!$B$86="","",[2]Baskol!$B$86)</f>
        <v/>
      </c>
      <c r="U83">
        <f>IF([2]Baskol!$C$86="","",[2]Baskol!$C$86)</f>
        <v/>
      </c>
      <c r="V83">
        <f>IF([2]Baskol!$D$86="","",[2]Baskol!$D$86)</f>
        <v/>
      </c>
      <c r="W83">
        <f>IF([2]Baskol!$E$86="","",[2]Baskol!$E$86)</f>
        <v/>
      </c>
      <c r="X83">
        <f>IF([2]Baskol!$G$86="","",[2]Baskol!$G$86)</f>
        <v/>
      </c>
      <c r="Y83">
        <f>IF([2]Baskol!$I$86="","",[2]Baskol!$I$86)</f>
        <v/>
      </c>
      <c r="Z83">
        <f>IF([2]Baskol!$J$86="","",[2]Baskol!$J$86)</f>
        <v/>
      </c>
      <c r="AA83">
        <f>IF([2]Baskol!$K$86="","",[2]Baskol!$K$86)</f>
        <v/>
      </c>
      <c r="AB83">
        <f>IF([2]Baskol!$L$86="","",[2]Baskol!$L$86)</f>
        <v/>
      </c>
      <c r="AC83">
        <f>IF([2]Baskol!$N$86="","",[2]Baskol!$N$86)</f>
        <v/>
      </c>
      <c r="AD83">
        <f>IF([2]Baskol!$O$86="","",[2]Baskol!$O$86)</f>
        <v/>
      </c>
      <c r="AE83">
        <f>IF([3]Entry!$C$86="","",[3]Entry!$C$86)</f>
        <v/>
      </c>
      <c r="AF83">
        <f>IF([3]Entry!$D$86="","",[3]Entry!$D$86)</f>
        <v/>
      </c>
      <c r="AG83">
        <f>IF([3]Entry!$E$86="","",[3]Entry!$E$86)</f>
        <v/>
      </c>
      <c r="AH83">
        <f>IF([3]Entry!$G$86="","",[3]Entry!$G$86)</f>
        <v/>
      </c>
      <c r="AI83">
        <f>IF([3]Entry!$K$86="","",[3]Entry!$K$86)</f>
        <v/>
      </c>
      <c r="AJ83">
        <f>IF([3]Entry!$L$86="","",[3]Entry!$L$86)</f>
        <v/>
      </c>
      <c r="AK83">
        <f>IF([3]Entry!$M$86="","",[3]Entry!$M$86)</f>
        <v/>
      </c>
      <c r="AL83">
        <f>IF([3]Entry!$N$86="","",[3]Entry!$N$86)</f>
        <v/>
      </c>
      <c r="AM83">
        <f>IF([3]Entry!$R$86="","",[3]Entry!$R$86)</f>
        <v/>
      </c>
    </row>
    <row r="84">
      <c r="A84">
        <f>IF([1]Accounts!$D$85="","",[1]Accounts!$A$85)</f>
        <v/>
      </c>
      <c r="B84">
        <f>IF([1]Accounts!$D$85="","",[1]Accounts!$B$85)</f>
        <v/>
      </c>
      <c r="C84">
        <f>IF([1]Accounts!$D$85="","",[1]Accounts!$C$85)</f>
        <v/>
      </c>
      <c r="D84">
        <f>IF([1]Accounts!$D$85="","",[1]Accounts!$D$85)</f>
        <v/>
      </c>
      <c r="E84">
        <f>IF([1]Accounts!$D$85="","",[1]Accounts!$E$85)</f>
        <v/>
      </c>
      <c r="F84">
        <f>IF([1]Accounts!$D$85="","",[1]Accounts!$F$85)</f>
        <v/>
      </c>
      <c r="G84">
        <f>IF([1]Accounts!$D$85="","",[1]Accounts!$G$85)</f>
        <v/>
      </c>
      <c r="T84">
        <f>IF([2]Baskol!$B$87="","",[2]Baskol!$B$87)</f>
        <v/>
      </c>
      <c r="U84">
        <f>IF([2]Baskol!$C$87="","",[2]Baskol!$C$87)</f>
        <v/>
      </c>
      <c r="V84">
        <f>IF([2]Baskol!$D$87="","",[2]Baskol!$D$87)</f>
        <v/>
      </c>
      <c r="W84">
        <f>IF([2]Baskol!$E$87="","",[2]Baskol!$E$87)</f>
        <v/>
      </c>
      <c r="X84">
        <f>IF([2]Baskol!$G$87="","",[2]Baskol!$G$87)</f>
        <v/>
      </c>
      <c r="Y84">
        <f>IF([2]Baskol!$I$87="","",[2]Baskol!$I$87)</f>
        <v/>
      </c>
      <c r="Z84">
        <f>IF([2]Baskol!$J$87="","",[2]Baskol!$J$87)</f>
        <v/>
      </c>
      <c r="AA84">
        <f>IF([2]Baskol!$K$87="","",[2]Baskol!$K$87)</f>
        <v/>
      </c>
      <c r="AB84">
        <f>IF([2]Baskol!$L$87="","",[2]Baskol!$L$87)</f>
        <v/>
      </c>
      <c r="AC84">
        <f>IF([2]Baskol!$N$87="","",[2]Baskol!$N$87)</f>
        <v/>
      </c>
      <c r="AD84">
        <f>IF([2]Baskol!$O$87="","",[2]Baskol!$O$87)</f>
        <v/>
      </c>
      <c r="AE84">
        <f>IF([3]Entry!$C$87="","",[3]Entry!$C$87)</f>
        <v/>
      </c>
      <c r="AF84">
        <f>IF([3]Entry!$D$87="","",[3]Entry!$D$87)</f>
        <v/>
      </c>
      <c r="AG84">
        <f>IF([3]Entry!$E$87="","",[3]Entry!$E$87)</f>
        <v/>
      </c>
      <c r="AH84">
        <f>IF([3]Entry!$G$87="","",[3]Entry!$G$87)</f>
        <v/>
      </c>
      <c r="AI84">
        <f>IF([3]Entry!$K$87="","",[3]Entry!$K$87)</f>
        <v/>
      </c>
      <c r="AJ84">
        <f>IF([3]Entry!$L$87="","",[3]Entry!$L$87)</f>
        <v/>
      </c>
      <c r="AK84">
        <f>IF([3]Entry!$M$87="","",[3]Entry!$M$87)</f>
        <v/>
      </c>
      <c r="AL84">
        <f>IF([3]Entry!$N$87="","",[3]Entry!$N$87)</f>
        <v/>
      </c>
      <c r="AM84">
        <f>IF([3]Entry!$R$87="","",[3]Entry!$R$87)</f>
        <v/>
      </c>
    </row>
    <row r="85">
      <c r="A85">
        <f>IF([1]Accounts!$D$86="","",[1]Accounts!$A$86)</f>
        <v/>
      </c>
      <c r="B85">
        <f>IF([1]Accounts!$D$86="","",[1]Accounts!$B$86)</f>
        <v/>
      </c>
      <c r="C85">
        <f>IF([1]Accounts!$D$86="","",[1]Accounts!$C$86)</f>
        <v/>
      </c>
      <c r="D85">
        <f>IF([1]Accounts!$D$86="","",[1]Accounts!$D$86)</f>
        <v/>
      </c>
      <c r="E85">
        <f>IF([1]Accounts!$D$86="","",[1]Accounts!$E$86)</f>
        <v/>
      </c>
      <c r="F85">
        <f>IF([1]Accounts!$D$86="","",[1]Accounts!$F$86)</f>
        <v/>
      </c>
      <c r="G85">
        <f>IF([1]Accounts!$D$86="","",[1]Accounts!$G$86)</f>
        <v/>
      </c>
      <c r="T85">
        <f>IF([2]Baskol!$B$88="","",[2]Baskol!$B$88)</f>
        <v/>
      </c>
      <c r="U85">
        <f>IF([2]Baskol!$C$88="","",[2]Baskol!$C$88)</f>
        <v/>
      </c>
      <c r="V85">
        <f>IF([2]Baskol!$D$88="","",[2]Baskol!$D$88)</f>
        <v/>
      </c>
      <c r="W85">
        <f>IF([2]Baskol!$E$88="","",[2]Baskol!$E$88)</f>
        <v/>
      </c>
      <c r="X85">
        <f>IF([2]Baskol!$G$88="","",[2]Baskol!$G$88)</f>
        <v/>
      </c>
      <c r="Y85">
        <f>IF([2]Baskol!$I$88="","",[2]Baskol!$I$88)</f>
        <v/>
      </c>
      <c r="Z85">
        <f>IF([2]Baskol!$J$88="","",[2]Baskol!$J$88)</f>
        <v/>
      </c>
      <c r="AA85">
        <f>IF([2]Baskol!$K$88="","",[2]Baskol!$K$88)</f>
        <v/>
      </c>
      <c r="AB85">
        <f>IF([2]Baskol!$L$88="","",[2]Baskol!$L$88)</f>
        <v/>
      </c>
      <c r="AC85">
        <f>IF([2]Baskol!$N$88="","",[2]Baskol!$N$88)</f>
        <v/>
      </c>
      <c r="AD85">
        <f>IF([2]Baskol!$O$88="","",[2]Baskol!$O$88)</f>
        <v/>
      </c>
      <c r="AE85">
        <f>IF([3]Entry!$C$88="","",[3]Entry!$C$88)</f>
        <v/>
      </c>
      <c r="AF85">
        <f>IF([3]Entry!$D$88="","",[3]Entry!$D$88)</f>
        <v/>
      </c>
      <c r="AG85">
        <f>IF([3]Entry!$E$88="","",[3]Entry!$E$88)</f>
        <v/>
      </c>
      <c r="AH85">
        <f>IF([3]Entry!$G$88="","",[3]Entry!$G$88)</f>
        <v/>
      </c>
      <c r="AI85">
        <f>IF([3]Entry!$K$88="","",[3]Entry!$K$88)</f>
        <v/>
      </c>
      <c r="AJ85">
        <f>IF([3]Entry!$L$88="","",[3]Entry!$L$88)</f>
        <v/>
      </c>
      <c r="AK85">
        <f>IF([3]Entry!$M$88="","",[3]Entry!$M$88)</f>
        <v/>
      </c>
      <c r="AL85">
        <f>IF([3]Entry!$N$88="","",[3]Entry!$N$88)</f>
        <v/>
      </c>
      <c r="AM85">
        <f>IF([3]Entry!$R$88="","",[3]Entry!$R$88)</f>
        <v/>
      </c>
    </row>
    <row r="86">
      <c r="A86">
        <f>IF([1]Accounts!$D$87="","",[1]Accounts!$A$87)</f>
        <v/>
      </c>
      <c r="B86">
        <f>IF([1]Accounts!$D$87="","",[1]Accounts!$B$87)</f>
        <v/>
      </c>
      <c r="C86">
        <f>IF([1]Accounts!$D$87="","",[1]Accounts!$C$87)</f>
        <v/>
      </c>
      <c r="D86">
        <f>IF([1]Accounts!$D$87="","",[1]Accounts!$D$87)</f>
        <v/>
      </c>
      <c r="E86">
        <f>IF([1]Accounts!$D$87="","",[1]Accounts!$E$87)</f>
        <v/>
      </c>
      <c r="F86">
        <f>IF([1]Accounts!$D$87="","",[1]Accounts!$F$87)</f>
        <v/>
      </c>
      <c r="G86">
        <f>IF([1]Accounts!$D$87="","",[1]Accounts!$G$87)</f>
        <v/>
      </c>
      <c r="T86">
        <f>IF([2]Baskol!$B$89="","",[2]Baskol!$B$89)</f>
        <v/>
      </c>
      <c r="U86">
        <f>IF([2]Baskol!$C$89="","",[2]Baskol!$C$89)</f>
        <v/>
      </c>
      <c r="V86">
        <f>IF([2]Baskol!$D$89="","",[2]Baskol!$D$89)</f>
        <v/>
      </c>
      <c r="W86">
        <f>IF([2]Baskol!$E$89="","",[2]Baskol!$E$89)</f>
        <v/>
      </c>
      <c r="X86">
        <f>IF([2]Baskol!$G$89="","",[2]Baskol!$G$89)</f>
        <v/>
      </c>
      <c r="Y86">
        <f>IF([2]Baskol!$I$89="","",[2]Baskol!$I$89)</f>
        <v/>
      </c>
      <c r="Z86">
        <f>IF([2]Baskol!$J$89="","",[2]Baskol!$J$89)</f>
        <v/>
      </c>
      <c r="AA86">
        <f>IF([2]Baskol!$K$89="","",[2]Baskol!$K$89)</f>
        <v/>
      </c>
      <c r="AB86">
        <f>IF([2]Baskol!$L$89="","",[2]Baskol!$L$89)</f>
        <v/>
      </c>
      <c r="AC86">
        <f>IF([2]Baskol!$N$89="","",[2]Baskol!$N$89)</f>
        <v/>
      </c>
      <c r="AD86">
        <f>IF([2]Baskol!$O$89="","",[2]Baskol!$O$89)</f>
        <v/>
      </c>
      <c r="AE86">
        <f>IF([3]Entry!$C$89="","",[3]Entry!$C$89)</f>
        <v/>
      </c>
      <c r="AF86">
        <f>IF([3]Entry!$D$89="","",[3]Entry!$D$89)</f>
        <v/>
      </c>
      <c r="AG86">
        <f>IF([3]Entry!$E$89="","",[3]Entry!$E$89)</f>
        <v/>
      </c>
      <c r="AH86">
        <f>IF([3]Entry!$G$89="","",[3]Entry!$G$89)</f>
        <v/>
      </c>
      <c r="AI86">
        <f>IF([3]Entry!$K$89="","",[3]Entry!$K$89)</f>
        <v/>
      </c>
      <c r="AJ86">
        <f>IF([3]Entry!$L$89="","",[3]Entry!$L$89)</f>
        <v/>
      </c>
      <c r="AK86">
        <f>IF([3]Entry!$M$89="","",[3]Entry!$M$89)</f>
        <v/>
      </c>
      <c r="AL86">
        <f>IF([3]Entry!$N$89="","",[3]Entry!$N$89)</f>
        <v/>
      </c>
      <c r="AM86">
        <f>IF([3]Entry!$R$89="","",[3]Entry!$R$89)</f>
        <v/>
      </c>
    </row>
    <row r="87">
      <c r="A87">
        <f>IF([1]Accounts!$D$88="","",[1]Accounts!$A$88)</f>
        <v/>
      </c>
      <c r="B87">
        <f>IF([1]Accounts!$D$88="","",[1]Accounts!$B$88)</f>
        <v/>
      </c>
      <c r="C87">
        <f>IF([1]Accounts!$D$88="","",[1]Accounts!$C$88)</f>
        <v/>
      </c>
      <c r="D87">
        <f>IF([1]Accounts!$D$88="","",[1]Accounts!$D$88)</f>
        <v/>
      </c>
      <c r="E87">
        <f>IF([1]Accounts!$D$88="","",[1]Accounts!$E$88)</f>
        <v/>
      </c>
      <c r="F87">
        <f>IF([1]Accounts!$D$88="","",[1]Accounts!$F$88)</f>
        <v/>
      </c>
      <c r="G87">
        <f>IF([1]Accounts!$D$88="","",[1]Accounts!$G$88)</f>
        <v/>
      </c>
      <c r="T87">
        <f>IF([2]Baskol!$B$90="","",[2]Baskol!$B$90)</f>
        <v/>
      </c>
      <c r="U87">
        <f>IF([2]Baskol!$C$90="","",[2]Baskol!$C$90)</f>
        <v/>
      </c>
      <c r="V87">
        <f>IF([2]Baskol!$D$90="","",[2]Baskol!$D$90)</f>
        <v/>
      </c>
      <c r="W87">
        <f>IF([2]Baskol!$E$90="","",[2]Baskol!$E$90)</f>
        <v/>
      </c>
      <c r="X87">
        <f>IF([2]Baskol!$G$90="","",[2]Baskol!$G$90)</f>
        <v/>
      </c>
      <c r="Y87">
        <f>IF([2]Baskol!$I$90="","",[2]Baskol!$I$90)</f>
        <v/>
      </c>
      <c r="Z87">
        <f>IF([2]Baskol!$J$90="","",[2]Baskol!$J$90)</f>
        <v/>
      </c>
      <c r="AA87">
        <f>IF([2]Baskol!$K$90="","",[2]Baskol!$K$90)</f>
        <v/>
      </c>
      <c r="AB87">
        <f>IF([2]Baskol!$L$90="","",[2]Baskol!$L$90)</f>
        <v/>
      </c>
      <c r="AC87">
        <f>IF([2]Baskol!$N$90="","",[2]Baskol!$N$90)</f>
        <v/>
      </c>
      <c r="AD87">
        <f>IF([2]Baskol!$O$90="","",[2]Baskol!$O$90)</f>
        <v/>
      </c>
      <c r="AE87">
        <f>IF([3]Entry!$C$90="","",[3]Entry!$C$90)</f>
        <v/>
      </c>
      <c r="AF87">
        <f>IF([3]Entry!$D$90="","",[3]Entry!$D$90)</f>
        <v/>
      </c>
      <c r="AG87">
        <f>IF([3]Entry!$E$90="","",[3]Entry!$E$90)</f>
        <v/>
      </c>
      <c r="AH87">
        <f>IF([3]Entry!$G$90="","",[3]Entry!$G$90)</f>
        <v/>
      </c>
      <c r="AI87">
        <f>IF([3]Entry!$K$90="","",[3]Entry!$K$90)</f>
        <v/>
      </c>
      <c r="AJ87">
        <f>IF([3]Entry!$L$90="","",[3]Entry!$L$90)</f>
        <v/>
      </c>
      <c r="AK87">
        <f>IF([3]Entry!$M$90="","",[3]Entry!$M$90)</f>
        <v/>
      </c>
      <c r="AL87">
        <f>IF([3]Entry!$N$90="","",[3]Entry!$N$90)</f>
        <v/>
      </c>
      <c r="AM87">
        <f>IF([3]Entry!$R$90="","",[3]Entry!$R$90)</f>
        <v/>
      </c>
    </row>
    <row r="88">
      <c r="A88">
        <f>IF([1]Accounts!$D$89="","",[1]Accounts!$A$89)</f>
        <v/>
      </c>
      <c r="B88">
        <f>IF([1]Accounts!$D$89="","",[1]Accounts!$B$89)</f>
        <v/>
      </c>
      <c r="C88">
        <f>IF([1]Accounts!$D$89="","",[1]Accounts!$C$89)</f>
        <v/>
      </c>
      <c r="D88">
        <f>IF([1]Accounts!$D$89="","",[1]Accounts!$D$89)</f>
        <v/>
      </c>
      <c r="E88">
        <f>IF([1]Accounts!$D$89="","",[1]Accounts!$E$89)</f>
        <v/>
      </c>
      <c r="F88">
        <f>IF([1]Accounts!$D$89="","",[1]Accounts!$F$89)</f>
        <v/>
      </c>
      <c r="G88">
        <f>IF([1]Accounts!$D$89="","",[1]Accounts!$G$89)</f>
        <v/>
      </c>
      <c r="T88">
        <f>IF([2]Baskol!$B$91="","",[2]Baskol!$B$91)</f>
        <v/>
      </c>
      <c r="U88">
        <f>IF([2]Baskol!$C$91="","",[2]Baskol!$C$91)</f>
        <v/>
      </c>
      <c r="V88">
        <f>IF([2]Baskol!$D$91="","",[2]Baskol!$D$91)</f>
        <v/>
      </c>
      <c r="W88">
        <f>IF([2]Baskol!$E$91="","",[2]Baskol!$E$91)</f>
        <v/>
      </c>
      <c r="X88">
        <f>IF([2]Baskol!$G$91="","",[2]Baskol!$G$91)</f>
        <v/>
      </c>
      <c r="Y88">
        <f>IF([2]Baskol!$I$91="","",[2]Baskol!$I$91)</f>
        <v/>
      </c>
      <c r="Z88">
        <f>IF([2]Baskol!$J$91="","",[2]Baskol!$J$91)</f>
        <v/>
      </c>
      <c r="AA88">
        <f>IF([2]Baskol!$K$91="","",[2]Baskol!$K$91)</f>
        <v/>
      </c>
      <c r="AB88">
        <f>IF([2]Baskol!$L$91="","",[2]Baskol!$L$91)</f>
        <v/>
      </c>
      <c r="AC88">
        <f>IF([2]Baskol!$N$91="","",[2]Baskol!$N$91)</f>
        <v/>
      </c>
      <c r="AD88">
        <f>IF([2]Baskol!$O$91="","",[2]Baskol!$O$91)</f>
        <v/>
      </c>
      <c r="AE88">
        <f>IF([3]Entry!$C$91="","",[3]Entry!$C$91)</f>
        <v/>
      </c>
      <c r="AF88">
        <f>IF([3]Entry!$D$91="","",[3]Entry!$D$91)</f>
        <v/>
      </c>
      <c r="AG88">
        <f>IF([3]Entry!$E$91="","",[3]Entry!$E$91)</f>
        <v/>
      </c>
      <c r="AH88">
        <f>IF([3]Entry!$G$91="","",[3]Entry!$G$91)</f>
        <v/>
      </c>
      <c r="AI88">
        <f>IF([3]Entry!$K$91="","",[3]Entry!$K$91)</f>
        <v/>
      </c>
      <c r="AJ88">
        <f>IF([3]Entry!$L$91="","",[3]Entry!$L$91)</f>
        <v/>
      </c>
      <c r="AK88">
        <f>IF([3]Entry!$M$91="","",[3]Entry!$M$91)</f>
        <v/>
      </c>
      <c r="AL88">
        <f>IF([3]Entry!$N$91="","",[3]Entry!$N$91)</f>
        <v/>
      </c>
      <c r="AM88">
        <f>IF([3]Entry!$R$91="","",[3]Entry!$R$91)</f>
        <v/>
      </c>
    </row>
    <row r="89">
      <c r="A89">
        <f>IF([1]Accounts!$D$90="","",[1]Accounts!$A$90)</f>
        <v/>
      </c>
      <c r="B89">
        <f>IF([1]Accounts!$D$90="","",[1]Accounts!$B$90)</f>
        <v/>
      </c>
      <c r="C89">
        <f>IF([1]Accounts!$D$90="","",[1]Accounts!$C$90)</f>
        <v/>
      </c>
      <c r="D89">
        <f>IF([1]Accounts!$D$90="","",[1]Accounts!$D$90)</f>
        <v/>
      </c>
      <c r="E89">
        <f>IF([1]Accounts!$D$90="","",[1]Accounts!$E$90)</f>
        <v/>
      </c>
      <c r="F89">
        <f>IF([1]Accounts!$D$90="","",[1]Accounts!$F$90)</f>
        <v/>
      </c>
      <c r="G89">
        <f>IF([1]Accounts!$D$90="","",[1]Accounts!$G$90)</f>
        <v/>
      </c>
      <c r="T89">
        <f>IF([2]Baskol!$B$92="","",[2]Baskol!$B$92)</f>
        <v/>
      </c>
      <c r="U89">
        <f>IF([2]Baskol!$C$92="","",[2]Baskol!$C$92)</f>
        <v/>
      </c>
      <c r="V89">
        <f>IF([2]Baskol!$D$92="","",[2]Baskol!$D$92)</f>
        <v/>
      </c>
      <c r="W89">
        <f>IF([2]Baskol!$E$92="","",[2]Baskol!$E$92)</f>
        <v/>
      </c>
      <c r="X89">
        <f>IF([2]Baskol!$G$92="","",[2]Baskol!$G$92)</f>
        <v/>
      </c>
      <c r="Y89">
        <f>IF([2]Baskol!$I$92="","",[2]Baskol!$I$92)</f>
        <v/>
      </c>
      <c r="Z89">
        <f>IF([2]Baskol!$J$92="","",[2]Baskol!$J$92)</f>
        <v/>
      </c>
      <c r="AA89">
        <f>IF([2]Baskol!$K$92="","",[2]Baskol!$K$92)</f>
        <v/>
      </c>
      <c r="AB89">
        <f>IF([2]Baskol!$L$92="","",[2]Baskol!$L$92)</f>
        <v/>
      </c>
      <c r="AC89">
        <f>IF([2]Baskol!$N$92="","",[2]Baskol!$N$92)</f>
        <v/>
      </c>
      <c r="AD89">
        <f>IF([2]Baskol!$O$92="","",[2]Baskol!$O$92)</f>
        <v/>
      </c>
      <c r="AE89">
        <f>IF([3]Entry!$C$92="","",[3]Entry!$C$92)</f>
        <v/>
      </c>
      <c r="AF89">
        <f>IF([3]Entry!$D$92="","",[3]Entry!$D$92)</f>
        <v/>
      </c>
      <c r="AG89">
        <f>IF([3]Entry!$E$92="","",[3]Entry!$E$92)</f>
        <v/>
      </c>
      <c r="AH89">
        <f>IF([3]Entry!$G$92="","",[3]Entry!$G$92)</f>
        <v/>
      </c>
      <c r="AI89">
        <f>IF([3]Entry!$K$92="","",[3]Entry!$K$92)</f>
        <v/>
      </c>
      <c r="AJ89">
        <f>IF([3]Entry!$L$92="","",[3]Entry!$L$92)</f>
        <v/>
      </c>
      <c r="AK89">
        <f>IF([3]Entry!$M$92="","",[3]Entry!$M$92)</f>
        <v/>
      </c>
      <c r="AL89">
        <f>IF([3]Entry!$N$92="","",[3]Entry!$N$92)</f>
        <v/>
      </c>
      <c r="AM89">
        <f>IF([3]Entry!$R$92="","",[3]Entry!$R$92)</f>
        <v/>
      </c>
    </row>
    <row r="90">
      <c r="A90">
        <f>IF([1]Accounts!$D$91="","",[1]Accounts!$A$91)</f>
        <v/>
      </c>
      <c r="B90">
        <f>IF([1]Accounts!$D$91="","",[1]Accounts!$B$91)</f>
        <v/>
      </c>
      <c r="C90">
        <f>IF([1]Accounts!$D$91="","",[1]Accounts!$C$91)</f>
        <v/>
      </c>
      <c r="D90">
        <f>IF([1]Accounts!$D$91="","",[1]Accounts!$D$91)</f>
        <v/>
      </c>
      <c r="E90">
        <f>IF([1]Accounts!$D$91="","",[1]Accounts!$E$91)</f>
        <v/>
      </c>
      <c r="F90">
        <f>IF([1]Accounts!$D$91="","",[1]Accounts!$F$91)</f>
        <v/>
      </c>
      <c r="G90">
        <f>IF([1]Accounts!$D$91="","",[1]Accounts!$G$91)</f>
        <v/>
      </c>
      <c r="T90">
        <f>IF([2]Baskol!$B$93="","",[2]Baskol!$B$93)</f>
        <v/>
      </c>
      <c r="U90">
        <f>IF([2]Baskol!$C$93="","",[2]Baskol!$C$93)</f>
        <v/>
      </c>
      <c r="V90">
        <f>IF([2]Baskol!$D$93="","",[2]Baskol!$D$93)</f>
        <v/>
      </c>
      <c r="W90">
        <f>IF([2]Baskol!$E$93="","",[2]Baskol!$E$93)</f>
        <v/>
      </c>
      <c r="X90">
        <f>IF([2]Baskol!$G$93="","",[2]Baskol!$G$93)</f>
        <v/>
      </c>
      <c r="Y90">
        <f>IF([2]Baskol!$I$93="","",[2]Baskol!$I$93)</f>
        <v/>
      </c>
      <c r="Z90">
        <f>IF([2]Baskol!$J$93="","",[2]Baskol!$J$93)</f>
        <v/>
      </c>
      <c r="AA90">
        <f>IF([2]Baskol!$K$93="","",[2]Baskol!$K$93)</f>
        <v/>
      </c>
      <c r="AB90">
        <f>IF([2]Baskol!$L$93="","",[2]Baskol!$L$93)</f>
        <v/>
      </c>
      <c r="AC90">
        <f>IF([2]Baskol!$N$93="","",[2]Baskol!$N$93)</f>
        <v/>
      </c>
      <c r="AD90">
        <f>IF([2]Baskol!$O$93="","",[2]Baskol!$O$93)</f>
        <v/>
      </c>
      <c r="AE90">
        <f>IF([3]Entry!$C$93="","",[3]Entry!$C$93)</f>
        <v/>
      </c>
      <c r="AF90">
        <f>IF([3]Entry!$D$93="","",[3]Entry!$D$93)</f>
        <v/>
      </c>
      <c r="AG90">
        <f>IF([3]Entry!$E$93="","",[3]Entry!$E$93)</f>
        <v/>
      </c>
      <c r="AH90">
        <f>IF([3]Entry!$G$93="","",[3]Entry!$G$93)</f>
        <v/>
      </c>
      <c r="AI90">
        <f>IF([3]Entry!$K$93="","",[3]Entry!$K$93)</f>
        <v/>
      </c>
      <c r="AJ90">
        <f>IF([3]Entry!$L$93="","",[3]Entry!$L$93)</f>
        <v/>
      </c>
      <c r="AK90">
        <f>IF([3]Entry!$M$93="","",[3]Entry!$M$93)</f>
        <v/>
      </c>
      <c r="AL90">
        <f>IF([3]Entry!$N$93="","",[3]Entry!$N$93)</f>
        <v/>
      </c>
      <c r="AM90">
        <f>IF([3]Entry!$R$93="","",[3]Entry!$R$93)</f>
        <v/>
      </c>
    </row>
    <row r="91">
      <c r="A91">
        <f>IF([1]Accounts!$D$92="","",[1]Accounts!$A$92)</f>
        <v/>
      </c>
      <c r="B91">
        <f>IF([1]Accounts!$D$92="","",[1]Accounts!$B$92)</f>
        <v/>
      </c>
      <c r="C91">
        <f>IF([1]Accounts!$D$92="","",[1]Accounts!$C$92)</f>
        <v/>
      </c>
      <c r="D91">
        <f>IF([1]Accounts!$D$92="","",[1]Accounts!$D$92)</f>
        <v/>
      </c>
      <c r="E91">
        <f>IF([1]Accounts!$D$92="","",[1]Accounts!$E$92)</f>
        <v/>
      </c>
      <c r="F91">
        <f>IF([1]Accounts!$D$92="","",[1]Accounts!$F$92)</f>
        <v/>
      </c>
      <c r="G91">
        <f>IF([1]Accounts!$D$92="","",[1]Accounts!$G$92)</f>
        <v/>
      </c>
      <c r="T91">
        <f>IF([2]Baskol!$B$94="","",[2]Baskol!$B$94)</f>
        <v/>
      </c>
      <c r="U91">
        <f>IF([2]Baskol!$C$94="","",[2]Baskol!$C$94)</f>
        <v/>
      </c>
      <c r="V91">
        <f>IF([2]Baskol!$D$94="","",[2]Baskol!$D$94)</f>
        <v/>
      </c>
      <c r="W91">
        <f>IF([2]Baskol!$E$94="","",[2]Baskol!$E$94)</f>
        <v/>
      </c>
      <c r="X91">
        <f>IF([2]Baskol!$G$94="","",[2]Baskol!$G$94)</f>
        <v/>
      </c>
      <c r="Y91">
        <f>IF([2]Baskol!$I$94="","",[2]Baskol!$I$94)</f>
        <v/>
      </c>
      <c r="Z91">
        <f>IF([2]Baskol!$J$94="","",[2]Baskol!$J$94)</f>
        <v/>
      </c>
      <c r="AA91">
        <f>IF([2]Baskol!$K$94="","",[2]Baskol!$K$94)</f>
        <v/>
      </c>
      <c r="AB91">
        <f>IF([2]Baskol!$L$94="","",[2]Baskol!$L$94)</f>
        <v/>
      </c>
      <c r="AC91">
        <f>IF([2]Baskol!$N$94="","",[2]Baskol!$N$94)</f>
        <v/>
      </c>
      <c r="AD91">
        <f>IF([2]Baskol!$O$94="","",[2]Baskol!$O$94)</f>
        <v/>
      </c>
      <c r="AE91">
        <f>IF([3]Entry!$C$94="","",[3]Entry!$C$94)</f>
        <v/>
      </c>
      <c r="AF91">
        <f>IF([3]Entry!$D$94="","",[3]Entry!$D$94)</f>
        <v/>
      </c>
      <c r="AG91">
        <f>IF([3]Entry!$E$94="","",[3]Entry!$E$94)</f>
        <v/>
      </c>
      <c r="AH91">
        <f>IF([3]Entry!$G$94="","",[3]Entry!$G$94)</f>
        <v/>
      </c>
      <c r="AI91">
        <f>IF([3]Entry!$K$94="","",[3]Entry!$K$94)</f>
        <v/>
      </c>
      <c r="AJ91">
        <f>IF([3]Entry!$L$94="","",[3]Entry!$L$94)</f>
        <v/>
      </c>
      <c r="AK91">
        <f>IF([3]Entry!$M$94="","",[3]Entry!$M$94)</f>
        <v/>
      </c>
      <c r="AL91">
        <f>IF([3]Entry!$N$94="","",[3]Entry!$N$94)</f>
        <v/>
      </c>
      <c r="AM91">
        <f>IF([3]Entry!$R$94="","",[3]Entry!$R$94)</f>
        <v/>
      </c>
    </row>
    <row r="92">
      <c r="A92">
        <f>IF([1]Accounts!$D$93="","",[1]Accounts!$A$93)</f>
        <v/>
      </c>
      <c r="B92">
        <f>IF([1]Accounts!$D$93="","",[1]Accounts!$B$93)</f>
        <v/>
      </c>
      <c r="C92">
        <f>IF([1]Accounts!$D$93="","",[1]Accounts!$C$93)</f>
        <v/>
      </c>
      <c r="D92">
        <f>IF([1]Accounts!$D$93="","",[1]Accounts!$D$93)</f>
        <v/>
      </c>
      <c r="E92">
        <f>IF([1]Accounts!$D$93="","",[1]Accounts!$E$93)</f>
        <v/>
      </c>
      <c r="F92">
        <f>IF([1]Accounts!$D$93="","",[1]Accounts!$F$93)</f>
        <v/>
      </c>
      <c r="G92">
        <f>IF([1]Accounts!$D$93="","",[1]Accounts!$G$93)</f>
        <v/>
      </c>
      <c r="T92">
        <f>IF([2]Baskol!$B$95="","",[2]Baskol!$B$95)</f>
        <v/>
      </c>
      <c r="U92">
        <f>IF([2]Baskol!$C$95="","",[2]Baskol!$C$95)</f>
        <v/>
      </c>
      <c r="V92">
        <f>IF([2]Baskol!$D$95="","",[2]Baskol!$D$95)</f>
        <v/>
      </c>
      <c r="W92">
        <f>IF([2]Baskol!$E$95="","",[2]Baskol!$E$95)</f>
        <v/>
      </c>
      <c r="X92">
        <f>IF([2]Baskol!$G$95="","",[2]Baskol!$G$95)</f>
        <v/>
      </c>
      <c r="Y92">
        <f>IF([2]Baskol!$I$95="","",[2]Baskol!$I$95)</f>
        <v/>
      </c>
      <c r="Z92">
        <f>IF([2]Baskol!$J$95="","",[2]Baskol!$J$95)</f>
        <v/>
      </c>
      <c r="AA92">
        <f>IF([2]Baskol!$K$95="","",[2]Baskol!$K$95)</f>
        <v/>
      </c>
      <c r="AB92">
        <f>IF([2]Baskol!$L$95="","",[2]Baskol!$L$95)</f>
        <v/>
      </c>
      <c r="AC92">
        <f>IF([2]Baskol!$N$95="","",[2]Baskol!$N$95)</f>
        <v/>
      </c>
      <c r="AD92">
        <f>IF([2]Baskol!$O$95="","",[2]Baskol!$O$95)</f>
        <v/>
      </c>
      <c r="AE92">
        <f>IF([3]Entry!$C$95="","",[3]Entry!$C$95)</f>
        <v/>
      </c>
      <c r="AF92">
        <f>IF([3]Entry!$D$95="","",[3]Entry!$D$95)</f>
        <v/>
      </c>
      <c r="AG92">
        <f>IF([3]Entry!$E$95="","",[3]Entry!$E$95)</f>
        <v/>
      </c>
      <c r="AH92">
        <f>IF([3]Entry!$G$95="","",[3]Entry!$G$95)</f>
        <v/>
      </c>
      <c r="AI92">
        <f>IF([3]Entry!$K$95="","",[3]Entry!$K$95)</f>
        <v/>
      </c>
      <c r="AJ92">
        <f>IF([3]Entry!$L$95="","",[3]Entry!$L$95)</f>
        <v/>
      </c>
      <c r="AK92">
        <f>IF([3]Entry!$M$95="","",[3]Entry!$M$95)</f>
        <v/>
      </c>
      <c r="AL92">
        <f>IF([3]Entry!$N$95="","",[3]Entry!$N$95)</f>
        <v/>
      </c>
      <c r="AM92">
        <f>IF([3]Entry!$R$95="","",[3]Entry!$R$95)</f>
        <v/>
      </c>
    </row>
    <row r="93">
      <c r="A93">
        <f>IF([1]Accounts!$D$94="","",[1]Accounts!$A$94)</f>
        <v/>
      </c>
      <c r="B93">
        <f>IF([1]Accounts!$D$94="","",[1]Accounts!$B$94)</f>
        <v/>
      </c>
      <c r="C93">
        <f>IF([1]Accounts!$D$94="","",[1]Accounts!$C$94)</f>
        <v/>
      </c>
      <c r="D93">
        <f>IF([1]Accounts!$D$94="","",[1]Accounts!$D$94)</f>
        <v/>
      </c>
      <c r="E93">
        <f>IF([1]Accounts!$D$94="","",[1]Accounts!$E$94)</f>
        <v/>
      </c>
      <c r="F93">
        <f>IF([1]Accounts!$D$94="","",[1]Accounts!$F$94)</f>
        <v/>
      </c>
      <c r="G93">
        <f>IF([1]Accounts!$D$94="","",[1]Accounts!$G$94)</f>
        <v/>
      </c>
      <c r="T93">
        <f>IF([2]Baskol!$B$96="","",[2]Baskol!$B$96)</f>
        <v/>
      </c>
      <c r="U93">
        <f>IF([2]Baskol!$C$96="","",[2]Baskol!$C$96)</f>
        <v/>
      </c>
      <c r="V93">
        <f>IF([2]Baskol!$D$96="","",[2]Baskol!$D$96)</f>
        <v/>
      </c>
      <c r="W93">
        <f>IF([2]Baskol!$E$96="","",[2]Baskol!$E$96)</f>
        <v/>
      </c>
      <c r="X93">
        <f>IF([2]Baskol!$G$96="","",[2]Baskol!$G$96)</f>
        <v/>
      </c>
      <c r="Y93">
        <f>IF([2]Baskol!$I$96="","",[2]Baskol!$I$96)</f>
        <v/>
      </c>
      <c r="Z93">
        <f>IF([2]Baskol!$J$96="","",[2]Baskol!$J$96)</f>
        <v/>
      </c>
      <c r="AA93">
        <f>IF([2]Baskol!$K$96="","",[2]Baskol!$K$96)</f>
        <v/>
      </c>
      <c r="AB93">
        <f>IF([2]Baskol!$L$96="","",[2]Baskol!$L$96)</f>
        <v/>
      </c>
      <c r="AC93">
        <f>IF([2]Baskol!$N$96="","",[2]Baskol!$N$96)</f>
        <v/>
      </c>
      <c r="AD93">
        <f>IF([2]Baskol!$O$96="","",[2]Baskol!$O$96)</f>
        <v/>
      </c>
      <c r="AE93">
        <f>IF([3]Entry!$C$96="","",[3]Entry!$C$96)</f>
        <v/>
      </c>
      <c r="AF93">
        <f>IF([3]Entry!$D$96="","",[3]Entry!$D$96)</f>
        <v/>
      </c>
      <c r="AG93">
        <f>IF([3]Entry!$E$96="","",[3]Entry!$E$96)</f>
        <v/>
      </c>
      <c r="AH93">
        <f>IF([3]Entry!$G$96="","",[3]Entry!$G$96)</f>
        <v/>
      </c>
      <c r="AI93">
        <f>IF([3]Entry!$K$96="","",[3]Entry!$K$96)</f>
        <v/>
      </c>
      <c r="AJ93">
        <f>IF([3]Entry!$L$96="","",[3]Entry!$L$96)</f>
        <v/>
      </c>
      <c r="AK93">
        <f>IF([3]Entry!$M$96="","",[3]Entry!$M$96)</f>
        <v/>
      </c>
      <c r="AL93">
        <f>IF([3]Entry!$N$96="","",[3]Entry!$N$96)</f>
        <v/>
      </c>
      <c r="AM93">
        <f>IF([3]Entry!$R$96="","",[3]Entry!$R$96)</f>
        <v/>
      </c>
    </row>
    <row r="94">
      <c r="A94">
        <f>IF([1]Accounts!$D$95="","",[1]Accounts!$A$95)</f>
        <v/>
      </c>
      <c r="B94">
        <f>IF([1]Accounts!$D$95="","",[1]Accounts!$B$95)</f>
        <v/>
      </c>
      <c r="C94">
        <f>IF([1]Accounts!$D$95="","",[1]Accounts!$C$95)</f>
        <v/>
      </c>
      <c r="D94">
        <f>IF([1]Accounts!$D$95="","",[1]Accounts!$D$95)</f>
        <v/>
      </c>
      <c r="E94">
        <f>IF([1]Accounts!$D$95="","",[1]Accounts!$E$95)</f>
        <v/>
      </c>
      <c r="F94">
        <f>IF([1]Accounts!$D$95="","",[1]Accounts!$F$95)</f>
        <v/>
      </c>
      <c r="G94">
        <f>IF([1]Accounts!$D$95="","",[1]Accounts!$G$95)</f>
        <v/>
      </c>
      <c r="T94">
        <f>IF([2]Baskol!$B$97="","",[2]Baskol!$B$97)</f>
        <v/>
      </c>
      <c r="U94">
        <f>IF([2]Baskol!$C$97="","",[2]Baskol!$C$97)</f>
        <v/>
      </c>
      <c r="V94">
        <f>IF([2]Baskol!$D$97="","",[2]Baskol!$D$97)</f>
        <v/>
      </c>
      <c r="W94">
        <f>IF([2]Baskol!$E$97="","",[2]Baskol!$E$97)</f>
        <v/>
      </c>
      <c r="X94">
        <f>IF([2]Baskol!$G$97="","",[2]Baskol!$G$97)</f>
        <v/>
      </c>
      <c r="Y94">
        <f>IF([2]Baskol!$I$97="","",[2]Baskol!$I$97)</f>
        <v/>
      </c>
      <c r="Z94">
        <f>IF([2]Baskol!$J$97="","",[2]Baskol!$J$97)</f>
        <v/>
      </c>
      <c r="AA94">
        <f>IF([2]Baskol!$K$97="","",[2]Baskol!$K$97)</f>
        <v/>
      </c>
      <c r="AB94">
        <f>IF([2]Baskol!$L$97="","",[2]Baskol!$L$97)</f>
        <v/>
      </c>
      <c r="AC94">
        <f>IF([2]Baskol!$N$97="","",[2]Baskol!$N$97)</f>
        <v/>
      </c>
      <c r="AD94">
        <f>IF([2]Baskol!$O$97="","",[2]Baskol!$O$97)</f>
        <v/>
      </c>
      <c r="AE94">
        <f>IF([3]Entry!$C$97="","",[3]Entry!$C$97)</f>
        <v/>
      </c>
      <c r="AF94">
        <f>IF([3]Entry!$D$97="","",[3]Entry!$D$97)</f>
        <v/>
      </c>
      <c r="AG94">
        <f>IF([3]Entry!$E$97="","",[3]Entry!$E$97)</f>
        <v/>
      </c>
      <c r="AH94">
        <f>IF([3]Entry!$G$97="","",[3]Entry!$G$97)</f>
        <v/>
      </c>
      <c r="AI94">
        <f>IF([3]Entry!$K$97="","",[3]Entry!$K$97)</f>
        <v/>
      </c>
      <c r="AJ94">
        <f>IF([3]Entry!$L$97="","",[3]Entry!$L$97)</f>
        <v/>
      </c>
      <c r="AK94">
        <f>IF([3]Entry!$M$97="","",[3]Entry!$M$97)</f>
        <v/>
      </c>
      <c r="AL94">
        <f>IF([3]Entry!$N$97="","",[3]Entry!$N$97)</f>
        <v/>
      </c>
      <c r="AM94">
        <f>IF([3]Entry!$R$97="","",[3]Entry!$R$97)</f>
        <v/>
      </c>
    </row>
    <row r="95">
      <c r="A95">
        <f>IF([1]Accounts!$D$96="","",[1]Accounts!$A$96)</f>
        <v/>
      </c>
      <c r="B95">
        <f>IF([1]Accounts!$D$96="","",[1]Accounts!$B$96)</f>
        <v/>
      </c>
      <c r="C95">
        <f>IF([1]Accounts!$D$96="","",[1]Accounts!$C$96)</f>
        <v/>
      </c>
      <c r="D95">
        <f>IF([1]Accounts!$D$96="","",[1]Accounts!$D$96)</f>
        <v/>
      </c>
      <c r="E95">
        <f>IF([1]Accounts!$D$96="","",[1]Accounts!$E$96)</f>
        <v/>
      </c>
      <c r="F95">
        <f>IF([1]Accounts!$D$96="","",[1]Accounts!$F$96)</f>
        <v/>
      </c>
      <c r="G95">
        <f>IF([1]Accounts!$D$96="","",[1]Accounts!$G$96)</f>
        <v/>
      </c>
      <c r="T95">
        <f>IF([2]Baskol!$B$98="","",[2]Baskol!$B$98)</f>
        <v/>
      </c>
      <c r="U95">
        <f>IF([2]Baskol!$C$98="","",[2]Baskol!$C$98)</f>
        <v/>
      </c>
      <c r="V95">
        <f>IF([2]Baskol!$D$98="","",[2]Baskol!$D$98)</f>
        <v/>
      </c>
      <c r="W95">
        <f>IF([2]Baskol!$E$98="","",[2]Baskol!$E$98)</f>
        <v/>
      </c>
      <c r="X95">
        <f>IF([2]Baskol!$G$98="","",[2]Baskol!$G$98)</f>
        <v/>
      </c>
      <c r="Y95">
        <f>IF([2]Baskol!$I$98="","",[2]Baskol!$I$98)</f>
        <v/>
      </c>
      <c r="Z95">
        <f>IF([2]Baskol!$J$98="","",[2]Baskol!$J$98)</f>
        <v/>
      </c>
      <c r="AA95">
        <f>IF([2]Baskol!$K$98="","",[2]Baskol!$K$98)</f>
        <v/>
      </c>
      <c r="AB95">
        <f>IF([2]Baskol!$L$98="","",[2]Baskol!$L$98)</f>
        <v/>
      </c>
      <c r="AC95">
        <f>IF([2]Baskol!$N$98="","",[2]Baskol!$N$98)</f>
        <v/>
      </c>
      <c r="AD95">
        <f>IF([2]Baskol!$O$98="","",[2]Baskol!$O$98)</f>
        <v/>
      </c>
      <c r="AE95">
        <f>IF([3]Entry!$C$98="","",[3]Entry!$C$98)</f>
        <v/>
      </c>
      <c r="AF95">
        <f>IF([3]Entry!$D$98="","",[3]Entry!$D$98)</f>
        <v/>
      </c>
      <c r="AG95">
        <f>IF([3]Entry!$E$98="","",[3]Entry!$E$98)</f>
        <v/>
      </c>
      <c r="AH95">
        <f>IF([3]Entry!$G$98="","",[3]Entry!$G$98)</f>
        <v/>
      </c>
      <c r="AI95">
        <f>IF([3]Entry!$K$98="","",[3]Entry!$K$98)</f>
        <v/>
      </c>
      <c r="AJ95">
        <f>IF([3]Entry!$L$98="","",[3]Entry!$L$98)</f>
        <v/>
      </c>
      <c r="AK95">
        <f>IF([3]Entry!$M$98="","",[3]Entry!$M$98)</f>
        <v/>
      </c>
      <c r="AL95">
        <f>IF([3]Entry!$N$98="","",[3]Entry!$N$98)</f>
        <v/>
      </c>
      <c r="AM95">
        <f>IF([3]Entry!$R$98="","",[3]Entry!$R$98)</f>
        <v/>
      </c>
    </row>
    <row r="96">
      <c r="A96">
        <f>IF([1]Accounts!$D$97="","",[1]Accounts!$A$97)</f>
        <v/>
      </c>
      <c r="B96">
        <f>IF([1]Accounts!$D$97="","",[1]Accounts!$B$97)</f>
        <v/>
      </c>
      <c r="C96">
        <f>IF([1]Accounts!$D$97="","",[1]Accounts!$C$97)</f>
        <v/>
      </c>
      <c r="D96">
        <f>IF([1]Accounts!$D$97="","",[1]Accounts!$D$97)</f>
        <v/>
      </c>
      <c r="E96">
        <f>IF([1]Accounts!$D$97="","",[1]Accounts!$E$97)</f>
        <v/>
      </c>
      <c r="F96">
        <f>IF([1]Accounts!$D$97="","",[1]Accounts!$F$97)</f>
        <v/>
      </c>
      <c r="G96">
        <f>IF([1]Accounts!$D$97="","",[1]Accounts!$G$97)</f>
        <v/>
      </c>
      <c r="T96">
        <f>IF([2]Baskol!$B$99="","",[2]Baskol!$B$99)</f>
        <v/>
      </c>
      <c r="U96">
        <f>IF([2]Baskol!$C$99="","",[2]Baskol!$C$99)</f>
        <v/>
      </c>
      <c r="V96">
        <f>IF([2]Baskol!$D$99="","",[2]Baskol!$D$99)</f>
        <v/>
      </c>
      <c r="W96">
        <f>IF([2]Baskol!$E$99="","",[2]Baskol!$E$99)</f>
        <v/>
      </c>
      <c r="X96">
        <f>IF([2]Baskol!$G$99="","",[2]Baskol!$G$99)</f>
        <v/>
      </c>
      <c r="Y96">
        <f>IF([2]Baskol!$I$99="","",[2]Baskol!$I$99)</f>
        <v/>
      </c>
      <c r="Z96">
        <f>IF([2]Baskol!$J$99="","",[2]Baskol!$J$99)</f>
        <v/>
      </c>
      <c r="AA96">
        <f>IF([2]Baskol!$K$99="","",[2]Baskol!$K$99)</f>
        <v/>
      </c>
      <c r="AB96">
        <f>IF([2]Baskol!$L$99="","",[2]Baskol!$L$99)</f>
        <v/>
      </c>
      <c r="AC96">
        <f>IF([2]Baskol!$N$99="","",[2]Baskol!$N$99)</f>
        <v/>
      </c>
      <c r="AD96">
        <f>IF([2]Baskol!$O$99="","",[2]Baskol!$O$99)</f>
        <v/>
      </c>
      <c r="AE96">
        <f>IF([3]Entry!$C$99="","",[3]Entry!$C$99)</f>
        <v/>
      </c>
      <c r="AF96">
        <f>IF([3]Entry!$D$99="","",[3]Entry!$D$99)</f>
        <v/>
      </c>
      <c r="AG96">
        <f>IF([3]Entry!$E$99="","",[3]Entry!$E$99)</f>
        <v/>
      </c>
      <c r="AH96">
        <f>IF([3]Entry!$G$99="","",[3]Entry!$G$99)</f>
        <v/>
      </c>
      <c r="AI96">
        <f>IF([3]Entry!$K$99="","",[3]Entry!$K$99)</f>
        <v/>
      </c>
      <c r="AJ96">
        <f>IF([3]Entry!$L$99="","",[3]Entry!$L$99)</f>
        <v/>
      </c>
      <c r="AK96">
        <f>IF([3]Entry!$M$99="","",[3]Entry!$M$99)</f>
        <v/>
      </c>
      <c r="AL96">
        <f>IF([3]Entry!$N$99="","",[3]Entry!$N$99)</f>
        <v/>
      </c>
      <c r="AM96">
        <f>IF([3]Entry!$R$99="","",[3]Entry!$R$99)</f>
        <v/>
      </c>
    </row>
    <row r="97">
      <c r="A97">
        <f>IF([1]Accounts!$D$98="","",[1]Accounts!$A$98)</f>
        <v/>
      </c>
      <c r="B97">
        <f>IF([1]Accounts!$D$98="","",[1]Accounts!$B$98)</f>
        <v/>
      </c>
      <c r="C97">
        <f>IF([1]Accounts!$D$98="","",[1]Accounts!$C$98)</f>
        <v/>
      </c>
      <c r="D97">
        <f>IF([1]Accounts!$D$98="","",[1]Accounts!$D$98)</f>
        <v/>
      </c>
      <c r="E97">
        <f>IF([1]Accounts!$D$98="","",[1]Accounts!$E$98)</f>
        <v/>
      </c>
      <c r="F97">
        <f>IF([1]Accounts!$D$98="","",[1]Accounts!$F$98)</f>
        <v/>
      </c>
      <c r="G97">
        <f>IF([1]Accounts!$D$98="","",[1]Accounts!$G$98)</f>
        <v/>
      </c>
      <c r="T97">
        <f>IF([2]Baskol!$B$100="","",[2]Baskol!$B$100)</f>
        <v/>
      </c>
      <c r="U97">
        <f>IF([2]Baskol!$C$100="","",[2]Baskol!$C$100)</f>
        <v/>
      </c>
      <c r="V97">
        <f>IF([2]Baskol!$D$100="","",[2]Baskol!$D$100)</f>
        <v/>
      </c>
      <c r="W97">
        <f>IF([2]Baskol!$E$100="","",[2]Baskol!$E$100)</f>
        <v/>
      </c>
      <c r="X97">
        <f>IF([2]Baskol!$G$100="","",[2]Baskol!$G$100)</f>
        <v/>
      </c>
      <c r="Y97">
        <f>IF([2]Baskol!$I$100="","",[2]Baskol!$I$100)</f>
        <v/>
      </c>
      <c r="Z97">
        <f>IF([2]Baskol!$J$100="","",[2]Baskol!$J$100)</f>
        <v/>
      </c>
      <c r="AA97">
        <f>IF([2]Baskol!$K$100="","",[2]Baskol!$K$100)</f>
        <v/>
      </c>
      <c r="AB97">
        <f>IF([2]Baskol!$L$100="","",[2]Baskol!$L$100)</f>
        <v/>
      </c>
      <c r="AC97">
        <f>IF([2]Baskol!$N$100="","",[2]Baskol!$N$100)</f>
        <v/>
      </c>
      <c r="AD97">
        <f>IF([2]Baskol!$O$100="","",[2]Baskol!$O$100)</f>
        <v/>
      </c>
      <c r="AE97">
        <f>IF([3]Entry!$C$100="","",[3]Entry!$C$100)</f>
        <v/>
      </c>
      <c r="AF97">
        <f>IF([3]Entry!$D$100="","",[3]Entry!$D$100)</f>
        <v/>
      </c>
      <c r="AG97">
        <f>IF([3]Entry!$E$100="","",[3]Entry!$E$100)</f>
        <v/>
      </c>
      <c r="AH97">
        <f>IF([3]Entry!$G$100="","",[3]Entry!$G$100)</f>
        <v/>
      </c>
      <c r="AI97">
        <f>IF([3]Entry!$K$100="","",[3]Entry!$K$100)</f>
        <v/>
      </c>
      <c r="AJ97">
        <f>IF([3]Entry!$L$100="","",[3]Entry!$L$100)</f>
        <v/>
      </c>
      <c r="AK97">
        <f>IF([3]Entry!$M$100="","",[3]Entry!$M$100)</f>
        <v/>
      </c>
      <c r="AL97">
        <f>IF([3]Entry!$N$100="","",[3]Entry!$N$100)</f>
        <v/>
      </c>
      <c r="AM97">
        <f>IF([3]Entry!$R$100="","",[3]Entry!$R$100)</f>
        <v/>
      </c>
    </row>
    <row r="98">
      <c r="A98">
        <f>IF([1]Accounts!$D$99="","",[1]Accounts!$A$99)</f>
        <v/>
      </c>
      <c r="B98">
        <f>IF([1]Accounts!$D$99="","",[1]Accounts!$B$99)</f>
        <v/>
      </c>
      <c r="C98">
        <f>IF([1]Accounts!$D$99="","",[1]Accounts!$C$99)</f>
        <v/>
      </c>
      <c r="D98">
        <f>IF([1]Accounts!$D$99="","",[1]Accounts!$D$99)</f>
        <v/>
      </c>
      <c r="E98">
        <f>IF([1]Accounts!$D$99="","",[1]Accounts!$E$99)</f>
        <v/>
      </c>
      <c r="F98">
        <f>IF([1]Accounts!$D$99="","",[1]Accounts!$F$99)</f>
        <v/>
      </c>
      <c r="G98">
        <f>IF([1]Accounts!$D$99="","",[1]Accounts!$G$99)</f>
        <v/>
      </c>
      <c r="T98">
        <f>IF([2]Baskol!$B$101="","",[2]Baskol!$B$101)</f>
        <v/>
      </c>
      <c r="U98">
        <f>IF([2]Baskol!$C$101="","",[2]Baskol!$C$101)</f>
        <v/>
      </c>
      <c r="V98">
        <f>IF([2]Baskol!$D$101="","",[2]Baskol!$D$101)</f>
        <v/>
      </c>
      <c r="W98">
        <f>IF([2]Baskol!$E$101="","",[2]Baskol!$E$101)</f>
        <v/>
      </c>
      <c r="X98">
        <f>IF([2]Baskol!$G$101="","",[2]Baskol!$G$101)</f>
        <v/>
      </c>
      <c r="Y98">
        <f>IF([2]Baskol!$I$101="","",[2]Baskol!$I$101)</f>
        <v/>
      </c>
      <c r="Z98">
        <f>IF([2]Baskol!$J$101="","",[2]Baskol!$J$101)</f>
        <v/>
      </c>
      <c r="AA98">
        <f>IF([2]Baskol!$K$101="","",[2]Baskol!$K$101)</f>
        <v/>
      </c>
      <c r="AB98">
        <f>IF([2]Baskol!$L$101="","",[2]Baskol!$L$101)</f>
        <v/>
      </c>
      <c r="AC98">
        <f>IF([2]Baskol!$N$101="","",[2]Baskol!$N$101)</f>
        <v/>
      </c>
      <c r="AD98">
        <f>IF([2]Baskol!$O$101="","",[2]Baskol!$O$101)</f>
        <v/>
      </c>
      <c r="AE98">
        <f>IF([3]Entry!$C$101="","",[3]Entry!$C$101)</f>
        <v/>
      </c>
      <c r="AF98">
        <f>IF([3]Entry!$D$101="","",[3]Entry!$D$101)</f>
        <v/>
      </c>
      <c r="AG98">
        <f>IF([3]Entry!$E$101="","",[3]Entry!$E$101)</f>
        <v/>
      </c>
      <c r="AH98">
        <f>IF([3]Entry!$G$101="","",[3]Entry!$G$101)</f>
        <v/>
      </c>
      <c r="AI98">
        <f>IF([3]Entry!$K$101="","",[3]Entry!$K$101)</f>
        <v/>
      </c>
      <c r="AJ98">
        <f>IF([3]Entry!$L$101="","",[3]Entry!$L$101)</f>
        <v/>
      </c>
      <c r="AK98">
        <f>IF([3]Entry!$M$101="","",[3]Entry!$M$101)</f>
        <v/>
      </c>
      <c r="AL98">
        <f>IF([3]Entry!$N$101="","",[3]Entry!$N$101)</f>
        <v/>
      </c>
      <c r="AM98">
        <f>IF([3]Entry!$R$101="","",[3]Entry!$R$101)</f>
        <v/>
      </c>
    </row>
    <row r="99">
      <c r="A99">
        <f>IF([1]Accounts!$D$100="","",[1]Accounts!$A$100)</f>
        <v/>
      </c>
      <c r="B99">
        <f>IF([1]Accounts!$D$100="","",[1]Accounts!$B$100)</f>
        <v/>
      </c>
      <c r="C99">
        <f>IF([1]Accounts!$D$100="","",[1]Accounts!$C$100)</f>
        <v/>
      </c>
      <c r="D99">
        <f>IF([1]Accounts!$D$100="","",[1]Accounts!$D$100)</f>
        <v/>
      </c>
      <c r="E99">
        <f>IF([1]Accounts!$D$100="","",[1]Accounts!$E$100)</f>
        <v/>
      </c>
      <c r="F99">
        <f>IF([1]Accounts!$D$100="","",[1]Accounts!$F$100)</f>
        <v/>
      </c>
      <c r="G99">
        <f>IF([1]Accounts!$D$100="","",[1]Accounts!$G$100)</f>
        <v/>
      </c>
      <c r="T99">
        <f>IF([2]Baskol!$B$102="","",[2]Baskol!$B$102)</f>
        <v/>
      </c>
      <c r="U99">
        <f>IF([2]Baskol!$C$102="","",[2]Baskol!$C$102)</f>
        <v/>
      </c>
      <c r="V99">
        <f>IF([2]Baskol!$D$102="","",[2]Baskol!$D$102)</f>
        <v/>
      </c>
      <c r="W99">
        <f>IF([2]Baskol!$E$102="","",[2]Baskol!$E$102)</f>
        <v/>
      </c>
      <c r="X99">
        <f>IF([2]Baskol!$G$102="","",[2]Baskol!$G$102)</f>
        <v/>
      </c>
      <c r="Y99">
        <f>IF([2]Baskol!$I$102="","",[2]Baskol!$I$102)</f>
        <v/>
      </c>
      <c r="Z99">
        <f>IF([2]Baskol!$J$102="","",[2]Baskol!$J$102)</f>
        <v/>
      </c>
      <c r="AA99">
        <f>IF([2]Baskol!$K$102="","",[2]Baskol!$K$102)</f>
        <v/>
      </c>
      <c r="AB99">
        <f>IF([2]Baskol!$L$102="","",[2]Baskol!$L$102)</f>
        <v/>
      </c>
      <c r="AC99">
        <f>IF([2]Baskol!$N$102="","",[2]Baskol!$N$102)</f>
        <v/>
      </c>
      <c r="AD99">
        <f>IF([2]Baskol!$O$102="","",[2]Baskol!$O$102)</f>
        <v/>
      </c>
      <c r="AE99">
        <f>IF([3]Entry!$C$102="","",[3]Entry!$C$102)</f>
        <v/>
      </c>
      <c r="AF99">
        <f>IF([3]Entry!$D$102="","",[3]Entry!$D$102)</f>
        <v/>
      </c>
      <c r="AG99">
        <f>IF([3]Entry!$E$102="","",[3]Entry!$E$102)</f>
        <v/>
      </c>
      <c r="AH99">
        <f>IF([3]Entry!$G$102="","",[3]Entry!$G$102)</f>
        <v/>
      </c>
      <c r="AI99">
        <f>IF([3]Entry!$K$102="","",[3]Entry!$K$102)</f>
        <v/>
      </c>
      <c r="AJ99">
        <f>IF([3]Entry!$L$102="","",[3]Entry!$L$102)</f>
        <v/>
      </c>
      <c r="AK99">
        <f>IF([3]Entry!$M$102="","",[3]Entry!$M$102)</f>
        <v/>
      </c>
      <c r="AL99">
        <f>IF([3]Entry!$N$102="","",[3]Entry!$N$102)</f>
        <v/>
      </c>
      <c r="AM99">
        <f>IF([3]Entry!$R$102="","",[3]Entry!$R$102)</f>
        <v/>
      </c>
    </row>
    <row r="100">
      <c r="A100">
        <f>IF([1]Accounts!$D$101="","",[1]Accounts!$A$101)</f>
        <v/>
      </c>
      <c r="B100">
        <f>IF([1]Accounts!$D$101="","",[1]Accounts!$B$101)</f>
        <v/>
      </c>
      <c r="C100">
        <f>IF([1]Accounts!$D$101="","",[1]Accounts!$C$101)</f>
        <v/>
      </c>
      <c r="D100">
        <f>IF([1]Accounts!$D$101="","",[1]Accounts!$D$101)</f>
        <v/>
      </c>
      <c r="E100">
        <f>IF([1]Accounts!$D$101="","",[1]Accounts!$E$101)</f>
        <v/>
      </c>
      <c r="F100">
        <f>IF([1]Accounts!$D$101="","",[1]Accounts!$F$101)</f>
        <v/>
      </c>
      <c r="G100">
        <f>IF([1]Accounts!$D$101="","",[1]Accounts!$G$101)</f>
        <v/>
      </c>
      <c r="T100">
        <f>IF([2]Baskol!$B$103="","",[2]Baskol!$B$103)</f>
        <v/>
      </c>
      <c r="U100">
        <f>IF([2]Baskol!$C$103="","",[2]Baskol!$C$103)</f>
        <v/>
      </c>
      <c r="V100">
        <f>IF([2]Baskol!$D$103="","",[2]Baskol!$D$103)</f>
        <v/>
      </c>
      <c r="W100">
        <f>IF([2]Baskol!$E$103="","",[2]Baskol!$E$103)</f>
        <v/>
      </c>
      <c r="X100">
        <f>IF([2]Baskol!$G$103="","",[2]Baskol!$G$103)</f>
        <v/>
      </c>
      <c r="Y100">
        <f>IF([2]Baskol!$I$103="","",[2]Baskol!$I$103)</f>
        <v/>
      </c>
      <c r="Z100">
        <f>IF([2]Baskol!$J$103="","",[2]Baskol!$J$103)</f>
        <v/>
      </c>
      <c r="AA100">
        <f>IF([2]Baskol!$K$103="","",[2]Baskol!$K$103)</f>
        <v/>
      </c>
      <c r="AB100">
        <f>IF([2]Baskol!$L$103="","",[2]Baskol!$L$103)</f>
        <v/>
      </c>
      <c r="AC100">
        <f>IF([2]Baskol!$N$103="","",[2]Baskol!$N$103)</f>
        <v/>
      </c>
      <c r="AD100">
        <f>IF([2]Baskol!$O$103="","",[2]Baskol!$O$103)</f>
        <v/>
      </c>
      <c r="AE100">
        <f>IF([3]Entry!$C$103="","",[3]Entry!$C$103)</f>
        <v/>
      </c>
      <c r="AF100">
        <f>IF([3]Entry!$D$103="","",[3]Entry!$D$103)</f>
        <v/>
      </c>
      <c r="AG100">
        <f>IF([3]Entry!$E$103="","",[3]Entry!$E$103)</f>
        <v/>
      </c>
      <c r="AH100">
        <f>IF([3]Entry!$G$103="","",[3]Entry!$G$103)</f>
        <v/>
      </c>
      <c r="AI100">
        <f>IF([3]Entry!$K$103="","",[3]Entry!$K$103)</f>
        <v/>
      </c>
      <c r="AJ100">
        <f>IF([3]Entry!$L$103="","",[3]Entry!$L$103)</f>
        <v/>
      </c>
      <c r="AK100">
        <f>IF([3]Entry!$M$103="","",[3]Entry!$M$103)</f>
        <v/>
      </c>
      <c r="AL100">
        <f>IF([3]Entry!$N$103="","",[3]Entry!$N$103)</f>
        <v/>
      </c>
      <c r="AM100">
        <f>IF([3]Entry!$R$103="","",[3]Entry!$R$103)</f>
        <v/>
      </c>
    </row>
    <row r="101">
      <c r="A101">
        <f>IF([1]Accounts!$D$102="","",[1]Accounts!$A$102)</f>
        <v/>
      </c>
      <c r="B101">
        <f>IF([1]Accounts!$D$102="","",[1]Accounts!$B$102)</f>
        <v/>
      </c>
      <c r="C101">
        <f>IF([1]Accounts!$D$102="","",[1]Accounts!$C$102)</f>
        <v/>
      </c>
      <c r="D101">
        <f>IF([1]Accounts!$D$102="","",[1]Accounts!$D$102)</f>
        <v/>
      </c>
      <c r="E101">
        <f>IF([1]Accounts!$D$102="","",[1]Accounts!$E$102)</f>
        <v/>
      </c>
      <c r="F101">
        <f>IF([1]Accounts!$D$102="","",[1]Accounts!$F$102)</f>
        <v/>
      </c>
      <c r="G101">
        <f>IF([1]Accounts!$D$102="","",[1]Accounts!$G$102)</f>
        <v/>
      </c>
      <c r="T101">
        <f>IF([2]Baskol!$B$104="","",[2]Baskol!$B$104)</f>
        <v/>
      </c>
      <c r="U101">
        <f>IF([2]Baskol!$C$104="","",[2]Baskol!$C$104)</f>
        <v/>
      </c>
      <c r="V101">
        <f>IF([2]Baskol!$D$104="","",[2]Baskol!$D$104)</f>
        <v/>
      </c>
      <c r="W101">
        <f>IF([2]Baskol!$E$104="","",[2]Baskol!$E$104)</f>
        <v/>
      </c>
      <c r="X101">
        <f>IF([2]Baskol!$G$104="","",[2]Baskol!$G$104)</f>
        <v/>
      </c>
      <c r="Y101">
        <f>IF([2]Baskol!$I$104="","",[2]Baskol!$I$104)</f>
        <v/>
      </c>
      <c r="Z101">
        <f>IF([2]Baskol!$J$104="","",[2]Baskol!$J$104)</f>
        <v/>
      </c>
      <c r="AA101">
        <f>IF([2]Baskol!$K$104="","",[2]Baskol!$K$104)</f>
        <v/>
      </c>
      <c r="AB101">
        <f>IF([2]Baskol!$L$104="","",[2]Baskol!$L$104)</f>
        <v/>
      </c>
      <c r="AC101">
        <f>IF([2]Baskol!$N$104="","",[2]Baskol!$N$104)</f>
        <v/>
      </c>
      <c r="AD101">
        <f>IF([2]Baskol!$O$104="","",[2]Baskol!$O$104)</f>
        <v/>
      </c>
      <c r="AE101">
        <f>IF([3]Entry!$C$104="","",[3]Entry!$C$104)</f>
        <v/>
      </c>
      <c r="AF101">
        <f>IF([3]Entry!$D$104="","",[3]Entry!$D$104)</f>
        <v/>
      </c>
      <c r="AG101">
        <f>IF([3]Entry!$E$104="","",[3]Entry!$E$104)</f>
        <v/>
      </c>
      <c r="AH101">
        <f>IF([3]Entry!$G$104="","",[3]Entry!$G$104)</f>
        <v/>
      </c>
      <c r="AI101">
        <f>IF([3]Entry!$K$104="","",[3]Entry!$K$104)</f>
        <v/>
      </c>
      <c r="AJ101">
        <f>IF([3]Entry!$L$104="","",[3]Entry!$L$104)</f>
        <v/>
      </c>
      <c r="AK101">
        <f>IF([3]Entry!$M$104="","",[3]Entry!$M$104)</f>
        <v/>
      </c>
      <c r="AL101">
        <f>IF([3]Entry!$N$104="","",[3]Entry!$N$104)</f>
        <v/>
      </c>
      <c r="AM101">
        <f>IF([3]Entry!$R$104="","",[3]Entry!$R$104)</f>
        <v/>
      </c>
    </row>
    <row r="102">
      <c r="A102">
        <f>IF([1]Accounts!$D$103="","",[1]Accounts!$A$103)</f>
        <v/>
      </c>
      <c r="B102">
        <f>IF([1]Accounts!$D$103="","",[1]Accounts!$B$103)</f>
        <v/>
      </c>
      <c r="C102">
        <f>IF([1]Accounts!$D$103="","",[1]Accounts!$C$103)</f>
        <v/>
      </c>
      <c r="D102">
        <f>IF([1]Accounts!$D$103="","",[1]Accounts!$D$103)</f>
        <v/>
      </c>
      <c r="E102">
        <f>IF([1]Accounts!$D$103="","",[1]Accounts!$E$103)</f>
        <v/>
      </c>
      <c r="F102">
        <f>IF([1]Accounts!$D$103="","",[1]Accounts!$F$103)</f>
        <v/>
      </c>
      <c r="G102">
        <f>IF([1]Accounts!$D$103="","",[1]Accounts!$G$103)</f>
        <v/>
      </c>
      <c r="T102">
        <f>IF([2]Baskol!$B$105="","",[2]Baskol!$B$105)</f>
        <v/>
      </c>
      <c r="U102">
        <f>IF([2]Baskol!$C$105="","",[2]Baskol!$C$105)</f>
        <v/>
      </c>
      <c r="V102">
        <f>IF([2]Baskol!$D$105="","",[2]Baskol!$D$105)</f>
        <v/>
      </c>
      <c r="W102">
        <f>IF([2]Baskol!$E$105="","",[2]Baskol!$E$105)</f>
        <v/>
      </c>
      <c r="X102">
        <f>IF([2]Baskol!$G$105="","",[2]Baskol!$G$105)</f>
        <v/>
      </c>
      <c r="Y102">
        <f>IF([2]Baskol!$I$105="","",[2]Baskol!$I$105)</f>
        <v/>
      </c>
      <c r="Z102">
        <f>IF([2]Baskol!$J$105="","",[2]Baskol!$J$105)</f>
        <v/>
      </c>
      <c r="AA102">
        <f>IF([2]Baskol!$K$105="","",[2]Baskol!$K$105)</f>
        <v/>
      </c>
      <c r="AB102">
        <f>IF([2]Baskol!$L$105="","",[2]Baskol!$L$105)</f>
        <v/>
      </c>
      <c r="AC102">
        <f>IF([2]Baskol!$N$105="","",[2]Baskol!$N$105)</f>
        <v/>
      </c>
      <c r="AD102">
        <f>IF([2]Baskol!$O$105="","",[2]Baskol!$O$105)</f>
        <v/>
      </c>
      <c r="AE102">
        <f>IF([3]Entry!$C$105="","",[3]Entry!$C$105)</f>
        <v/>
      </c>
      <c r="AF102">
        <f>IF([3]Entry!$D$105="","",[3]Entry!$D$105)</f>
        <v/>
      </c>
      <c r="AG102">
        <f>IF([3]Entry!$E$105="","",[3]Entry!$E$105)</f>
        <v/>
      </c>
      <c r="AH102">
        <f>IF([3]Entry!$G$105="","",[3]Entry!$G$105)</f>
        <v/>
      </c>
      <c r="AI102">
        <f>IF([3]Entry!$K$105="","",[3]Entry!$K$105)</f>
        <v/>
      </c>
      <c r="AJ102">
        <f>IF([3]Entry!$L$105="","",[3]Entry!$L$105)</f>
        <v/>
      </c>
      <c r="AK102">
        <f>IF([3]Entry!$M$105="","",[3]Entry!$M$105)</f>
        <v/>
      </c>
      <c r="AL102">
        <f>IF([3]Entry!$N$105="","",[3]Entry!$N$105)</f>
        <v/>
      </c>
      <c r="AM102">
        <f>IF([3]Entry!$R$105="","",[3]Entry!$R$105)</f>
        <v/>
      </c>
    </row>
    <row r="103">
      <c r="A103">
        <f>IF([1]Accounts!$D$104="","",[1]Accounts!$A$104)</f>
        <v/>
      </c>
      <c r="B103">
        <f>IF([1]Accounts!$D$104="","",[1]Accounts!$B$104)</f>
        <v/>
      </c>
      <c r="C103">
        <f>IF([1]Accounts!$D$104="","",[1]Accounts!$C$104)</f>
        <v/>
      </c>
      <c r="D103">
        <f>IF([1]Accounts!$D$104="","",[1]Accounts!$D$104)</f>
        <v/>
      </c>
      <c r="E103">
        <f>IF([1]Accounts!$D$104="","",[1]Accounts!$E$104)</f>
        <v/>
      </c>
      <c r="F103">
        <f>IF([1]Accounts!$D$104="","",[1]Accounts!$F$104)</f>
        <v/>
      </c>
      <c r="G103">
        <f>IF([1]Accounts!$D$104="","",[1]Accounts!$G$104)</f>
        <v/>
      </c>
      <c r="T103">
        <f>IF([2]Baskol!$B$106="","",[2]Baskol!$B$106)</f>
        <v/>
      </c>
      <c r="U103">
        <f>IF([2]Baskol!$C$106="","",[2]Baskol!$C$106)</f>
        <v/>
      </c>
      <c r="V103">
        <f>IF([2]Baskol!$D$106="","",[2]Baskol!$D$106)</f>
        <v/>
      </c>
      <c r="W103">
        <f>IF([2]Baskol!$E$106="","",[2]Baskol!$E$106)</f>
        <v/>
      </c>
      <c r="X103">
        <f>IF([2]Baskol!$G$106="","",[2]Baskol!$G$106)</f>
        <v/>
      </c>
      <c r="Y103">
        <f>IF([2]Baskol!$I$106="","",[2]Baskol!$I$106)</f>
        <v/>
      </c>
      <c r="Z103">
        <f>IF([2]Baskol!$J$106="","",[2]Baskol!$J$106)</f>
        <v/>
      </c>
      <c r="AA103">
        <f>IF([2]Baskol!$K$106="","",[2]Baskol!$K$106)</f>
        <v/>
      </c>
      <c r="AB103">
        <f>IF([2]Baskol!$L$106="","",[2]Baskol!$L$106)</f>
        <v/>
      </c>
      <c r="AC103">
        <f>IF([2]Baskol!$N$106="","",[2]Baskol!$N$106)</f>
        <v/>
      </c>
      <c r="AD103">
        <f>IF([2]Baskol!$O$106="","",[2]Baskol!$O$106)</f>
        <v/>
      </c>
      <c r="AE103">
        <f>IF([3]Entry!$C$106="","",[3]Entry!$C$106)</f>
        <v/>
      </c>
      <c r="AF103">
        <f>IF([3]Entry!$D$106="","",[3]Entry!$D$106)</f>
        <v/>
      </c>
      <c r="AG103">
        <f>IF([3]Entry!$E$106="","",[3]Entry!$E$106)</f>
        <v/>
      </c>
      <c r="AH103">
        <f>IF([3]Entry!$G$106="","",[3]Entry!$G$106)</f>
        <v/>
      </c>
      <c r="AI103">
        <f>IF([3]Entry!$K$106="","",[3]Entry!$K$106)</f>
        <v/>
      </c>
      <c r="AJ103">
        <f>IF([3]Entry!$L$106="","",[3]Entry!$L$106)</f>
        <v/>
      </c>
      <c r="AK103">
        <f>IF([3]Entry!$M$106="","",[3]Entry!$M$106)</f>
        <v/>
      </c>
      <c r="AL103">
        <f>IF([3]Entry!$N$106="","",[3]Entry!$N$106)</f>
        <v/>
      </c>
      <c r="AM103">
        <f>IF([3]Entry!$R$106="","",[3]Entry!$R$106)</f>
        <v/>
      </c>
    </row>
    <row r="104">
      <c r="A104">
        <f>IF([1]Accounts!$D$105="","",[1]Accounts!$A$105)</f>
        <v/>
      </c>
      <c r="B104">
        <f>IF([1]Accounts!$D$105="","",[1]Accounts!$B$105)</f>
        <v/>
      </c>
      <c r="C104">
        <f>IF([1]Accounts!$D$105="","",[1]Accounts!$C$105)</f>
        <v/>
      </c>
      <c r="D104">
        <f>IF([1]Accounts!$D$105="","",[1]Accounts!$D$105)</f>
        <v/>
      </c>
      <c r="E104">
        <f>IF([1]Accounts!$D$105="","",[1]Accounts!$E$105)</f>
        <v/>
      </c>
      <c r="F104">
        <f>IF([1]Accounts!$D$105="","",[1]Accounts!$F$105)</f>
        <v/>
      </c>
      <c r="G104">
        <f>IF([1]Accounts!$D$105="","",[1]Accounts!$G$105)</f>
        <v/>
      </c>
      <c r="T104">
        <f>IF([2]Baskol!$B$107="","",[2]Baskol!$B$107)</f>
        <v/>
      </c>
      <c r="U104">
        <f>IF([2]Baskol!$C$107="","",[2]Baskol!$C$107)</f>
        <v/>
      </c>
      <c r="V104">
        <f>IF([2]Baskol!$D$107="","",[2]Baskol!$D$107)</f>
        <v/>
      </c>
      <c r="W104">
        <f>IF([2]Baskol!$E$107="","",[2]Baskol!$E$107)</f>
        <v/>
      </c>
      <c r="X104">
        <f>IF([2]Baskol!$G$107="","",[2]Baskol!$G$107)</f>
        <v/>
      </c>
      <c r="Y104">
        <f>IF([2]Baskol!$I$107="","",[2]Baskol!$I$107)</f>
        <v/>
      </c>
      <c r="Z104">
        <f>IF([2]Baskol!$J$107="","",[2]Baskol!$J$107)</f>
        <v/>
      </c>
      <c r="AA104">
        <f>IF([2]Baskol!$K$107="","",[2]Baskol!$K$107)</f>
        <v/>
      </c>
      <c r="AB104">
        <f>IF([2]Baskol!$L$107="","",[2]Baskol!$L$107)</f>
        <v/>
      </c>
      <c r="AC104">
        <f>IF([2]Baskol!$N$107="","",[2]Baskol!$N$107)</f>
        <v/>
      </c>
      <c r="AD104">
        <f>IF([2]Baskol!$O$107="","",[2]Baskol!$O$107)</f>
        <v/>
      </c>
      <c r="AE104">
        <f>IF([3]Entry!$C$107="","",[3]Entry!$C$107)</f>
        <v/>
      </c>
      <c r="AF104">
        <f>IF([3]Entry!$D$107="","",[3]Entry!$D$107)</f>
        <v/>
      </c>
      <c r="AG104">
        <f>IF([3]Entry!$E$107="","",[3]Entry!$E$107)</f>
        <v/>
      </c>
      <c r="AH104">
        <f>IF([3]Entry!$G$107="","",[3]Entry!$G$107)</f>
        <v/>
      </c>
      <c r="AI104">
        <f>IF([3]Entry!$K$107="","",[3]Entry!$K$107)</f>
        <v/>
      </c>
      <c r="AJ104">
        <f>IF([3]Entry!$L$107="","",[3]Entry!$L$107)</f>
        <v/>
      </c>
      <c r="AK104">
        <f>IF([3]Entry!$M$107="","",[3]Entry!$M$107)</f>
        <v/>
      </c>
      <c r="AL104">
        <f>IF([3]Entry!$N$107="","",[3]Entry!$N$107)</f>
        <v/>
      </c>
      <c r="AM104">
        <f>IF([3]Entry!$R$107="","",[3]Entry!$R$107)</f>
        <v/>
      </c>
    </row>
    <row r="105">
      <c r="A105">
        <f>IF([1]Accounts!$D$106="","",[1]Accounts!$A$106)</f>
        <v/>
      </c>
      <c r="B105">
        <f>IF([1]Accounts!$D$106="","",[1]Accounts!$B$106)</f>
        <v/>
      </c>
      <c r="C105">
        <f>IF([1]Accounts!$D$106="","",[1]Accounts!$C$106)</f>
        <v/>
      </c>
      <c r="D105">
        <f>IF([1]Accounts!$D$106="","",[1]Accounts!$D$106)</f>
        <v/>
      </c>
      <c r="E105">
        <f>IF([1]Accounts!$D$106="","",[1]Accounts!$E$106)</f>
        <v/>
      </c>
      <c r="F105">
        <f>IF([1]Accounts!$D$106="","",[1]Accounts!$F$106)</f>
        <v/>
      </c>
      <c r="G105">
        <f>IF([1]Accounts!$D$106="","",[1]Accounts!$G$106)</f>
        <v/>
      </c>
      <c r="T105">
        <f>IF([2]Baskol!$B$108="","",[2]Baskol!$B$108)</f>
        <v/>
      </c>
      <c r="U105">
        <f>IF([2]Baskol!$C$108="","",[2]Baskol!$C$108)</f>
        <v/>
      </c>
      <c r="V105">
        <f>IF([2]Baskol!$D$108="","",[2]Baskol!$D$108)</f>
        <v/>
      </c>
      <c r="W105">
        <f>IF([2]Baskol!$E$108="","",[2]Baskol!$E$108)</f>
        <v/>
      </c>
      <c r="X105">
        <f>IF([2]Baskol!$G$108="","",[2]Baskol!$G$108)</f>
        <v/>
      </c>
      <c r="Y105">
        <f>IF([2]Baskol!$I$108="","",[2]Baskol!$I$108)</f>
        <v/>
      </c>
      <c r="Z105">
        <f>IF([2]Baskol!$J$108="","",[2]Baskol!$J$108)</f>
        <v/>
      </c>
      <c r="AA105">
        <f>IF([2]Baskol!$K$108="","",[2]Baskol!$K$108)</f>
        <v/>
      </c>
      <c r="AB105">
        <f>IF([2]Baskol!$L$108="","",[2]Baskol!$L$108)</f>
        <v/>
      </c>
      <c r="AC105">
        <f>IF([2]Baskol!$N$108="","",[2]Baskol!$N$108)</f>
        <v/>
      </c>
      <c r="AD105">
        <f>IF([2]Baskol!$O$108="","",[2]Baskol!$O$108)</f>
        <v/>
      </c>
      <c r="AE105">
        <f>IF([3]Entry!$C$108="","",[3]Entry!$C$108)</f>
        <v/>
      </c>
      <c r="AF105">
        <f>IF([3]Entry!$D$108="","",[3]Entry!$D$108)</f>
        <v/>
      </c>
      <c r="AG105">
        <f>IF([3]Entry!$E$108="","",[3]Entry!$E$108)</f>
        <v/>
      </c>
      <c r="AH105">
        <f>IF([3]Entry!$G$108="","",[3]Entry!$G$108)</f>
        <v/>
      </c>
      <c r="AI105">
        <f>IF([3]Entry!$K$108="","",[3]Entry!$K$108)</f>
        <v/>
      </c>
      <c r="AJ105">
        <f>IF([3]Entry!$L$108="","",[3]Entry!$L$108)</f>
        <v/>
      </c>
      <c r="AK105">
        <f>IF([3]Entry!$M$108="","",[3]Entry!$M$108)</f>
        <v/>
      </c>
      <c r="AL105">
        <f>IF([3]Entry!$N$108="","",[3]Entry!$N$108)</f>
        <v/>
      </c>
      <c r="AM105">
        <f>IF([3]Entry!$R$108="","",[3]Entry!$R$108)</f>
        <v/>
      </c>
    </row>
    <row r="106">
      <c r="A106">
        <f>IF([1]Accounts!$D$107="","",[1]Accounts!$A$107)</f>
        <v/>
      </c>
      <c r="B106">
        <f>IF([1]Accounts!$D$107="","",[1]Accounts!$B$107)</f>
        <v/>
      </c>
      <c r="C106">
        <f>IF([1]Accounts!$D$107="","",[1]Accounts!$C$107)</f>
        <v/>
      </c>
      <c r="D106">
        <f>IF([1]Accounts!$D$107="","",[1]Accounts!$D$107)</f>
        <v/>
      </c>
      <c r="E106">
        <f>IF([1]Accounts!$D$107="","",[1]Accounts!$E$107)</f>
        <v/>
      </c>
      <c r="F106">
        <f>IF([1]Accounts!$D$107="","",[1]Accounts!$F$107)</f>
        <v/>
      </c>
      <c r="G106">
        <f>IF([1]Accounts!$D$107="","",[1]Accounts!$G$107)</f>
        <v/>
      </c>
      <c r="T106">
        <f>IF([2]Baskol!$B$109="","",[2]Baskol!$B$109)</f>
        <v/>
      </c>
      <c r="U106">
        <f>IF([2]Baskol!$C$109="","",[2]Baskol!$C$109)</f>
        <v/>
      </c>
      <c r="V106">
        <f>IF([2]Baskol!$D$109="","",[2]Baskol!$D$109)</f>
        <v/>
      </c>
      <c r="W106">
        <f>IF([2]Baskol!$E$109="","",[2]Baskol!$E$109)</f>
        <v/>
      </c>
      <c r="X106">
        <f>IF([2]Baskol!$G$109="","",[2]Baskol!$G$109)</f>
        <v/>
      </c>
      <c r="Y106">
        <f>IF([2]Baskol!$I$109="","",[2]Baskol!$I$109)</f>
        <v/>
      </c>
      <c r="Z106">
        <f>IF([2]Baskol!$J$109="","",[2]Baskol!$J$109)</f>
        <v/>
      </c>
      <c r="AA106">
        <f>IF([2]Baskol!$K$109="","",[2]Baskol!$K$109)</f>
        <v/>
      </c>
      <c r="AB106">
        <f>IF([2]Baskol!$L$109="","",[2]Baskol!$L$109)</f>
        <v/>
      </c>
      <c r="AC106">
        <f>IF([2]Baskol!$N$109="","",[2]Baskol!$N$109)</f>
        <v/>
      </c>
      <c r="AD106">
        <f>IF([2]Baskol!$O$109="","",[2]Baskol!$O$109)</f>
        <v/>
      </c>
      <c r="AE106">
        <f>IF([3]Entry!$C$109="","",[3]Entry!$C$109)</f>
        <v/>
      </c>
      <c r="AF106">
        <f>IF([3]Entry!$D$109="","",[3]Entry!$D$109)</f>
        <v/>
      </c>
      <c r="AG106">
        <f>IF([3]Entry!$E$109="","",[3]Entry!$E$109)</f>
        <v/>
      </c>
      <c r="AH106">
        <f>IF([3]Entry!$G$109="","",[3]Entry!$G$109)</f>
        <v/>
      </c>
      <c r="AI106">
        <f>IF([3]Entry!$K$109="","",[3]Entry!$K$109)</f>
        <v/>
      </c>
      <c r="AJ106">
        <f>IF([3]Entry!$L$109="","",[3]Entry!$L$109)</f>
        <v/>
      </c>
      <c r="AK106">
        <f>IF([3]Entry!$M$109="","",[3]Entry!$M$109)</f>
        <v/>
      </c>
      <c r="AL106">
        <f>IF([3]Entry!$N$109="","",[3]Entry!$N$109)</f>
        <v/>
      </c>
      <c r="AM106">
        <f>IF([3]Entry!$R$109="","",[3]Entry!$R$109)</f>
        <v/>
      </c>
    </row>
    <row r="107">
      <c r="A107">
        <f>IF([1]Accounts!$D$108="","",[1]Accounts!$A$108)</f>
        <v/>
      </c>
      <c r="B107">
        <f>IF([1]Accounts!$D$108="","",[1]Accounts!$B$108)</f>
        <v/>
      </c>
      <c r="C107">
        <f>IF([1]Accounts!$D$108="","",[1]Accounts!$C$108)</f>
        <v/>
      </c>
      <c r="D107">
        <f>IF([1]Accounts!$D$108="","",[1]Accounts!$D$108)</f>
        <v/>
      </c>
      <c r="E107">
        <f>IF([1]Accounts!$D$108="","",[1]Accounts!$E$108)</f>
        <v/>
      </c>
      <c r="F107">
        <f>IF([1]Accounts!$D$108="","",[1]Accounts!$F$108)</f>
        <v/>
      </c>
      <c r="G107">
        <f>IF([1]Accounts!$D$108="","",[1]Accounts!$G$108)</f>
        <v/>
      </c>
      <c r="T107">
        <f>IF([2]Baskol!$B$110="","",[2]Baskol!$B$110)</f>
        <v/>
      </c>
      <c r="U107">
        <f>IF([2]Baskol!$C$110="","",[2]Baskol!$C$110)</f>
        <v/>
      </c>
      <c r="V107">
        <f>IF([2]Baskol!$D$110="","",[2]Baskol!$D$110)</f>
        <v/>
      </c>
      <c r="W107">
        <f>IF([2]Baskol!$E$110="","",[2]Baskol!$E$110)</f>
        <v/>
      </c>
      <c r="X107">
        <f>IF([2]Baskol!$G$110="","",[2]Baskol!$G$110)</f>
        <v/>
      </c>
      <c r="Y107">
        <f>IF([2]Baskol!$I$110="","",[2]Baskol!$I$110)</f>
        <v/>
      </c>
      <c r="Z107">
        <f>IF([2]Baskol!$J$110="","",[2]Baskol!$J$110)</f>
        <v/>
      </c>
      <c r="AA107">
        <f>IF([2]Baskol!$K$110="","",[2]Baskol!$K$110)</f>
        <v/>
      </c>
      <c r="AB107">
        <f>IF([2]Baskol!$L$110="","",[2]Baskol!$L$110)</f>
        <v/>
      </c>
      <c r="AC107">
        <f>IF([2]Baskol!$N$110="","",[2]Baskol!$N$110)</f>
        <v/>
      </c>
      <c r="AD107">
        <f>IF([2]Baskol!$O$110="","",[2]Baskol!$O$110)</f>
        <v/>
      </c>
      <c r="AE107">
        <f>IF([3]Entry!$C$110="","",[3]Entry!$C$110)</f>
        <v/>
      </c>
      <c r="AF107">
        <f>IF([3]Entry!$D$110="","",[3]Entry!$D$110)</f>
        <v/>
      </c>
      <c r="AG107">
        <f>IF([3]Entry!$E$110="","",[3]Entry!$E$110)</f>
        <v/>
      </c>
      <c r="AH107">
        <f>IF([3]Entry!$G$110="","",[3]Entry!$G$110)</f>
        <v/>
      </c>
      <c r="AI107">
        <f>IF([3]Entry!$K$110="","",[3]Entry!$K$110)</f>
        <v/>
      </c>
      <c r="AJ107">
        <f>IF([3]Entry!$L$110="","",[3]Entry!$L$110)</f>
        <v/>
      </c>
      <c r="AK107">
        <f>IF([3]Entry!$M$110="","",[3]Entry!$M$110)</f>
        <v/>
      </c>
      <c r="AL107">
        <f>IF([3]Entry!$N$110="","",[3]Entry!$N$110)</f>
        <v/>
      </c>
      <c r="AM107">
        <f>IF([3]Entry!$R$110="","",[3]Entry!$R$110)</f>
        <v/>
      </c>
    </row>
    <row r="108">
      <c r="A108">
        <f>IF([1]Accounts!$D$109="","",[1]Accounts!$A$109)</f>
        <v/>
      </c>
      <c r="B108">
        <f>IF([1]Accounts!$D$109="","",[1]Accounts!$B$109)</f>
        <v/>
      </c>
      <c r="C108">
        <f>IF([1]Accounts!$D$109="","",[1]Accounts!$C$109)</f>
        <v/>
      </c>
      <c r="D108">
        <f>IF([1]Accounts!$D$109="","",[1]Accounts!$D$109)</f>
        <v/>
      </c>
      <c r="E108">
        <f>IF([1]Accounts!$D$109="","",[1]Accounts!$E$109)</f>
        <v/>
      </c>
      <c r="F108">
        <f>IF([1]Accounts!$D$109="","",[1]Accounts!$F$109)</f>
        <v/>
      </c>
      <c r="G108">
        <f>IF([1]Accounts!$D$109="","",[1]Accounts!$G$109)</f>
        <v/>
      </c>
      <c r="T108">
        <f>IF([2]Baskol!$B$111="","",[2]Baskol!$B$111)</f>
        <v/>
      </c>
      <c r="U108">
        <f>IF([2]Baskol!$C$111="","",[2]Baskol!$C$111)</f>
        <v/>
      </c>
      <c r="V108">
        <f>IF([2]Baskol!$D$111="","",[2]Baskol!$D$111)</f>
        <v/>
      </c>
      <c r="W108">
        <f>IF([2]Baskol!$E$111="","",[2]Baskol!$E$111)</f>
        <v/>
      </c>
      <c r="X108">
        <f>IF([2]Baskol!$G$111="","",[2]Baskol!$G$111)</f>
        <v/>
      </c>
      <c r="Y108">
        <f>IF([2]Baskol!$I$111="","",[2]Baskol!$I$111)</f>
        <v/>
      </c>
      <c r="Z108">
        <f>IF([2]Baskol!$J$111="","",[2]Baskol!$J$111)</f>
        <v/>
      </c>
      <c r="AA108">
        <f>IF([2]Baskol!$K$111="","",[2]Baskol!$K$111)</f>
        <v/>
      </c>
      <c r="AB108">
        <f>IF([2]Baskol!$L$111="","",[2]Baskol!$L$111)</f>
        <v/>
      </c>
      <c r="AC108">
        <f>IF([2]Baskol!$N$111="","",[2]Baskol!$N$111)</f>
        <v/>
      </c>
      <c r="AD108">
        <f>IF([2]Baskol!$O$111="","",[2]Baskol!$O$111)</f>
        <v/>
      </c>
      <c r="AE108">
        <f>IF([3]Entry!$C$111="","",[3]Entry!$C$111)</f>
        <v/>
      </c>
      <c r="AF108">
        <f>IF([3]Entry!$D$111="","",[3]Entry!$D$111)</f>
        <v/>
      </c>
      <c r="AG108">
        <f>IF([3]Entry!$E$111="","",[3]Entry!$E$111)</f>
        <v/>
      </c>
      <c r="AH108">
        <f>IF([3]Entry!$G$111="","",[3]Entry!$G$111)</f>
        <v/>
      </c>
      <c r="AI108">
        <f>IF([3]Entry!$K$111="","",[3]Entry!$K$111)</f>
        <v/>
      </c>
      <c r="AJ108">
        <f>IF([3]Entry!$L$111="","",[3]Entry!$L$111)</f>
        <v/>
      </c>
      <c r="AK108">
        <f>IF([3]Entry!$M$111="","",[3]Entry!$M$111)</f>
        <v/>
      </c>
      <c r="AL108">
        <f>IF([3]Entry!$N$111="","",[3]Entry!$N$111)</f>
        <v/>
      </c>
      <c r="AM108">
        <f>IF([3]Entry!$R$111="","",[3]Entry!$R$111)</f>
        <v/>
      </c>
    </row>
    <row r="109">
      <c r="A109">
        <f>IF([1]Accounts!$D$110="","",[1]Accounts!$A$110)</f>
        <v/>
      </c>
      <c r="B109">
        <f>IF([1]Accounts!$D$110="","",[1]Accounts!$B$110)</f>
        <v/>
      </c>
      <c r="C109">
        <f>IF([1]Accounts!$D$110="","",[1]Accounts!$C$110)</f>
        <v/>
      </c>
      <c r="D109">
        <f>IF([1]Accounts!$D$110="","",[1]Accounts!$D$110)</f>
        <v/>
      </c>
      <c r="E109">
        <f>IF([1]Accounts!$D$110="","",[1]Accounts!$E$110)</f>
        <v/>
      </c>
      <c r="F109">
        <f>IF([1]Accounts!$D$110="","",[1]Accounts!$F$110)</f>
        <v/>
      </c>
      <c r="G109">
        <f>IF([1]Accounts!$D$110="","",[1]Accounts!$G$110)</f>
        <v/>
      </c>
      <c r="T109">
        <f>IF([2]Baskol!$B$112="","",[2]Baskol!$B$112)</f>
        <v/>
      </c>
      <c r="U109">
        <f>IF([2]Baskol!$C$112="","",[2]Baskol!$C$112)</f>
        <v/>
      </c>
      <c r="V109">
        <f>IF([2]Baskol!$D$112="","",[2]Baskol!$D$112)</f>
        <v/>
      </c>
      <c r="W109">
        <f>IF([2]Baskol!$E$112="","",[2]Baskol!$E$112)</f>
        <v/>
      </c>
      <c r="X109">
        <f>IF([2]Baskol!$G$112="","",[2]Baskol!$G$112)</f>
        <v/>
      </c>
      <c r="Y109">
        <f>IF([2]Baskol!$I$112="","",[2]Baskol!$I$112)</f>
        <v/>
      </c>
      <c r="Z109">
        <f>IF([2]Baskol!$J$112="","",[2]Baskol!$J$112)</f>
        <v/>
      </c>
      <c r="AA109">
        <f>IF([2]Baskol!$K$112="","",[2]Baskol!$K$112)</f>
        <v/>
      </c>
      <c r="AB109">
        <f>IF([2]Baskol!$L$112="","",[2]Baskol!$L$112)</f>
        <v/>
      </c>
      <c r="AC109">
        <f>IF([2]Baskol!$N$112="","",[2]Baskol!$N$112)</f>
        <v/>
      </c>
      <c r="AD109">
        <f>IF([2]Baskol!$O$112="","",[2]Baskol!$O$112)</f>
        <v/>
      </c>
      <c r="AE109">
        <f>IF([3]Entry!$C$112="","",[3]Entry!$C$112)</f>
        <v/>
      </c>
      <c r="AF109">
        <f>IF([3]Entry!$D$112="","",[3]Entry!$D$112)</f>
        <v/>
      </c>
      <c r="AG109">
        <f>IF([3]Entry!$E$112="","",[3]Entry!$E$112)</f>
        <v/>
      </c>
      <c r="AH109">
        <f>IF([3]Entry!$G$112="","",[3]Entry!$G$112)</f>
        <v/>
      </c>
      <c r="AI109">
        <f>IF([3]Entry!$K$112="","",[3]Entry!$K$112)</f>
        <v/>
      </c>
      <c r="AJ109">
        <f>IF([3]Entry!$L$112="","",[3]Entry!$L$112)</f>
        <v/>
      </c>
      <c r="AK109">
        <f>IF([3]Entry!$M$112="","",[3]Entry!$M$112)</f>
        <v/>
      </c>
      <c r="AL109">
        <f>IF([3]Entry!$N$112="","",[3]Entry!$N$112)</f>
        <v/>
      </c>
      <c r="AM109">
        <f>IF([3]Entry!$R$112="","",[3]Entry!$R$112)</f>
        <v/>
      </c>
    </row>
    <row r="110">
      <c r="A110">
        <f>IF([1]Accounts!$D$111="","",[1]Accounts!$A$111)</f>
        <v/>
      </c>
      <c r="B110">
        <f>IF([1]Accounts!$D$111="","",[1]Accounts!$B$111)</f>
        <v/>
      </c>
      <c r="C110">
        <f>IF([1]Accounts!$D$111="","",[1]Accounts!$C$111)</f>
        <v/>
      </c>
      <c r="D110">
        <f>IF([1]Accounts!$D$111="","",[1]Accounts!$D$111)</f>
        <v/>
      </c>
      <c r="E110">
        <f>IF([1]Accounts!$D$111="","",[1]Accounts!$E$111)</f>
        <v/>
      </c>
      <c r="F110">
        <f>IF([1]Accounts!$D$111="","",[1]Accounts!$F$111)</f>
        <v/>
      </c>
      <c r="G110">
        <f>IF([1]Accounts!$D$111="","",[1]Accounts!$G$111)</f>
        <v/>
      </c>
      <c r="T110">
        <f>IF([2]Baskol!$B$113="","",[2]Baskol!$B$113)</f>
        <v/>
      </c>
      <c r="U110">
        <f>IF([2]Baskol!$C$113="","",[2]Baskol!$C$113)</f>
        <v/>
      </c>
      <c r="V110">
        <f>IF([2]Baskol!$D$113="","",[2]Baskol!$D$113)</f>
        <v/>
      </c>
      <c r="W110">
        <f>IF([2]Baskol!$E$113="","",[2]Baskol!$E$113)</f>
        <v/>
      </c>
      <c r="X110">
        <f>IF([2]Baskol!$G$113="","",[2]Baskol!$G$113)</f>
        <v/>
      </c>
      <c r="Y110">
        <f>IF([2]Baskol!$I$113="","",[2]Baskol!$I$113)</f>
        <v/>
      </c>
      <c r="Z110">
        <f>IF([2]Baskol!$J$113="","",[2]Baskol!$J$113)</f>
        <v/>
      </c>
      <c r="AA110">
        <f>IF([2]Baskol!$K$113="","",[2]Baskol!$K$113)</f>
        <v/>
      </c>
      <c r="AB110">
        <f>IF([2]Baskol!$L$113="","",[2]Baskol!$L$113)</f>
        <v/>
      </c>
      <c r="AC110">
        <f>IF([2]Baskol!$N$113="","",[2]Baskol!$N$113)</f>
        <v/>
      </c>
      <c r="AD110">
        <f>IF([2]Baskol!$O$113="","",[2]Baskol!$O$113)</f>
        <v/>
      </c>
      <c r="AE110">
        <f>IF([3]Entry!$C$113="","",[3]Entry!$C$113)</f>
        <v/>
      </c>
      <c r="AF110">
        <f>IF([3]Entry!$D$113="","",[3]Entry!$D$113)</f>
        <v/>
      </c>
      <c r="AG110">
        <f>IF([3]Entry!$E$113="","",[3]Entry!$E$113)</f>
        <v/>
      </c>
      <c r="AH110">
        <f>IF([3]Entry!$G$113="","",[3]Entry!$G$113)</f>
        <v/>
      </c>
      <c r="AI110">
        <f>IF([3]Entry!$K$113="","",[3]Entry!$K$113)</f>
        <v/>
      </c>
      <c r="AJ110">
        <f>IF([3]Entry!$L$113="","",[3]Entry!$L$113)</f>
        <v/>
      </c>
      <c r="AK110">
        <f>IF([3]Entry!$M$113="","",[3]Entry!$M$113)</f>
        <v/>
      </c>
      <c r="AL110">
        <f>IF([3]Entry!$N$113="","",[3]Entry!$N$113)</f>
        <v/>
      </c>
      <c r="AM110">
        <f>IF([3]Entry!$R$113="","",[3]Entry!$R$113)</f>
        <v/>
      </c>
    </row>
    <row r="111">
      <c r="A111">
        <f>IF([1]Accounts!$D$112="","",[1]Accounts!$A$112)</f>
        <v/>
      </c>
      <c r="B111">
        <f>IF([1]Accounts!$D$112="","",[1]Accounts!$B$112)</f>
        <v/>
      </c>
      <c r="C111">
        <f>IF([1]Accounts!$D$112="","",[1]Accounts!$C$112)</f>
        <v/>
      </c>
      <c r="D111">
        <f>IF([1]Accounts!$D$112="","",[1]Accounts!$D$112)</f>
        <v/>
      </c>
      <c r="E111">
        <f>IF([1]Accounts!$D$112="","",[1]Accounts!$E$112)</f>
        <v/>
      </c>
      <c r="F111">
        <f>IF([1]Accounts!$D$112="","",[1]Accounts!$F$112)</f>
        <v/>
      </c>
      <c r="G111">
        <f>IF([1]Accounts!$D$112="","",[1]Accounts!$G$112)</f>
        <v/>
      </c>
      <c r="T111">
        <f>IF([2]Baskol!$B$114="","",[2]Baskol!$B$114)</f>
        <v/>
      </c>
      <c r="U111">
        <f>IF([2]Baskol!$C$114="","",[2]Baskol!$C$114)</f>
        <v/>
      </c>
      <c r="V111">
        <f>IF([2]Baskol!$D$114="","",[2]Baskol!$D$114)</f>
        <v/>
      </c>
      <c r="W111">
        <f>IF([2]Baskol!$E$114="","",[2]Baskol!$E$114)</f>
        <v/>
      </c>
      <c r="X111">
        <f>IF([2]Baskol!$G$114="","",[2]Baskol!$G$114)</f>
        <v/>
      </c>
      <c r="Y111">
        <f>IF([2]Baskol!$I$114="","",[2]Baskol!$I$114)</f>
        <v/>
      </c>
      <c r="Z111">
        <f>IF([2]Baskol!$J$114="","",[2]Baskol!$J$114)</f>
        <v/>
      </c>
      <c r="AA111">
        <f>IF([2]Baskol!$K$114="","",[2]Baskol!$K$114)</f>
        <v/>
      </c>
      <c r="AB111">
        <f>IF([2]Baskol!$L$114="","",[2]Baskol!$L$114)</f>
        <v/>
      </c>
      <c r="AC111">
        <f>IF([2]Baskol!$N$114="","",[2]Baskol!$N$114)</f>
        <v/>
      </c>
      <c r="AD111">
        <f>IF([2]Baskol!$O$114="","",[2]Baskol!$O$114)</f>
        <v/>
      </c>
      <c r="AE111">
        <f>IF([3]Entry!$C$114="","",[3]Entry!$C$114)</f>
        <v/>
      </c>
      <c r="AF111">
        <f>IF([3]Entry!$D$114="","",[3]Entry!$D$114)</f>
        <v/>
      </c>
      <c r="AG111">
        <f>IF([3]Entry!$E$114="","",[3]Entry!$E$114)</f>
        <v/>
      </c>
      <c r="AH111">
        <f>IF([3]Entry!$G$114="","",[3]Entry!$G$114)</f>
        <v/>
      </c>
      <c r="AI111">
        <f>IF([3]Entry!$K$114="","",[3]Entry!$K$114)</f>
        <v/>
      </c>
      <c r="AJ111">
        <f>IF([3]Entry!$L$114="","",[3]Entry!$L$114)</f>
        <v/>
      </c>
      <c r="AK111">
        <f>IF([3]Entry!$M$114="","",[3]Entry!$M$114)</f>
        <v/>
      </c>
      <c r="AL111">
        <f>IF([3]Entry!$N$114="","",[3]Entry!$N$114)</f>
        <v/>
      </c>
      <c r="AM111">
        <f>IF([3]Entry!$R$114="","",[3]Entry!$R$114)</f>
        <v/>
      </c>
    </row>
    <row r="112">
      <c r="A112">
        <f>IF([1]Accounts!$D$113="","",[1]Accounts!$A$113)</f>
        <v/>
      </c>
      <c r="B112">
        <f>IF([1]Accounts!$D$113="","",[1]Accounts!$B$113)</f>
        <v/>
      </c>
      <c r="C112">
        <f>IF([1]Accounts!$D$113="","",[1]Accounts!$C$113)</f>
        <v/>
      </c>
      <c r="D112">
        <f>IF([1]Accounts!$D$113="","",[1]Accounts!$D$113)</f>
        <v/>
      </c>
      <c r="E112">
        <f>IF([1]Accounts!$D$113="","",[1]Accounts!$E$113)</f>
        <v/>
      </c>
      <c r="F112">
        <f>IF([1]Accounts!$D$113="","",[1]Accounts!$F$113)</f>
        <v/>
      </c>
      <c r="G112">
        <f>IF([1]Accounts!$D$113="","",[1]Accounts!$G$113)</f>
        <v/>
      </c>
      <c r="T112">
        <f>IF([2]Baskol!$B$115="","",[2]Baskol!$B$115)</f>
        <v/>
      </c>
      <c r="U112">
        <f>IF([2]Baskol!$C$115="","",[2]Baskol!$C$115)</f>
        <v/>
      </c>
      <c r="V112">
        <f>IF([2]Baskol!$D$115="","",[2]Baskol!$D$115)</f>
        <v/>
      </c>
      <c r="W112">
        <f>IF([2]Baskol!$E$115="","",[2]Baskol!$E$115)</f>
        <v/>
      </c>
      <c r="X112">
        <f>IF([2]Baskol!$G$115="","",[2]Baskol!$G$115)</f>
        <v/>
      </c>
      <c r="Y112">
        <f>IF([2]Baskol!$I$115="","",[2]Baskol!$I$115)</f>
        <v/>
      </c>
      <c r="Z112">
        <f>IF([2]Baskol!$J$115="","",[2]Baskol!$J$115)</f>
        <v/>
      </c>
      <c r="AA112">
        <f>IF([2]Baskol!$K$115="","",[2]Baskol!$K$115)</f>
        <v/>
      </c>
      <c r="AB112">
        <f>IF([2]Baskol!$L$115="","",[2]Baskol!$L$115)</f>
        <v/>
      </c>
      <c r="AC112">
        <f>IF([2]Baskol!$N$115="","",[2]Baskol!$N$115)</f>
        <v/>
      </c>
      <c r="AD112">
        <f>IF([2]Baskol!$O$115="","",[2]Baskol!$O$115)</f>
        <v/>
      </c>
      <c r="AE112">
        <f>IF([3]Entry!$C$115="","",[3]Entry!$C$115)</f>
        <v/>
      </c>
      <c r="AF112">
        <f>IF([3]Entry!$D$115="","",[3]Entry!$D$115)</f>
        <v/>
      </c>
      <c r="AG112">
        <f>IF([3]Entry!$E$115="","",[3]Entry!$E$115)</f>
        <v/>
      </c>
      <c r="AH112">
        <f>IF([3]Entry!$G$115="","",[3]Entry!$G$115)</f>
        <v/>
      </c>
      <c r="AI112">
        <f>IF([3]Entry!$K$115="","",[3]Entry!$K$115)</f>
        <v/>
      </c>
      <c r="AJ112">
        <f>IF([3]Entry!$L$115="","",[3]Entry!$L$115)</f>
        <v/>
      </c>
      <c r="AK112">
        <f>IF([3]Entry!$M$115="","",[3]Entry!$M$115)</f>
        <v/>
      </c>
      <c r="AL112">
        <f>IF([3]Entry!$N$115="","",[3]Entry!$N$115)</f>
        <v/>
      </c>
      <c r="AM112">
        <f>IF([3]Entry!$R$115="","",[3]Entry!$R$115)</f>
        <v/>
      </c>
    </row>
    <row r="113">
      <c r="A113">
        <f>IF([1]Accounts!$D$114="","",[1]Accounts!$A$114)</f>
        <v/>
      </c>
      <c r="B113">
        <f>IF([1]Accounts!$D$114="","",[1]Accounts!$B$114)</f>
        <v/>
      </c>
      <c r="C113">
        <f>IF([1]Accounts!$D$114="","",[1]Accounts!$C$114)</f>
        <v/>
      </c>
      <c r="D113">
        <f>IF([1]Accounts!$D$114="","",[1]Accounts!$D$114)</f>
        <v/>
      </c>
      <c r="E113">
        <f>IF([1]Accounts!$D$114="","",[1]Accounts!$E$114)</f>
        <v/>
      </c>
      <c r="F113">
        <f>IF([1]Accounts!$D$114="","",[1]Accounts!$F$114)</f>
        <v/>
      </c>
      <c r="G113">
        <f>IF([1]Accounts!$D$114="","",[1]Accounts!$G$114)</f>
        <v/>
      </c>
      <c r="T113">
        <f>IF([2]Baskol!$B$116="","",[2]Baskol!$B$116)</f>
        <v/>
      </c>
      <c r="U113">
        <f>IF([2]Baskol!$C$116="","",[2]Baskol!$C$116)</f>
        <v/>
      </c>
      <c r="V113">
        <f>IF([2]Baskol!$D$116="","",[2]Baskol!$D$116)</f>
        <v/>
      </c>
      <c r="W113">
        <f>IF([2]Baskol!$E$116="","",[2]Baskol!$E$116)</f>
        <v/>
      </c>
      <c r="X113">
        <f>IF([2]Baskol!$G$116="","",[2]Baskol!$G$116)</f>
        <v/>
      </c>
      <c r="Y113">
        <f>IF([2]Baskol!$I$116="","",[2]Baskol!$I$116)</f>
        <v/>
      </c>
      <c r="Z113">
        <f>IF([2]Baskol!$J$116="","",[2]Baskol!$J$116)</f>
        <v/>
      </c>
      <c r="AA113">
        <f>IF([2]Baskol!$K$116="","",[2]Baskol!$K$116)</f>
        <v/>
      </c>
      <c r="AB113">
        <f>IF([2]Baskol!$L$116="","",[2]Baskol!$L$116)</f>
        <v/>
      </c>
      <c r="AC113">
        <f>IF([2]Baskol!$N$116="","",[2]Baskol!$N$116)</f>
        <v/>
      </c>
      <c r="AD113">
        <f>IF([2]Baskol!$O$116="","",[2]Baskol!$O$116)</f>
        <v/>
      </c>
      <c r="AE113">
        <f>IF([3]Entry!$C$116="","",[3]Entry!$C$116)</f>
        <v/>
      </c>
      <c r="AF113">
        <f>IF([3]Entry!$D$116="","",[3]Entry!$D$116)</f>
        <v/>
      </c>
      <c r="AG113">
        <f>IF([3]Entry!$E$116="","",[3]Entry!$E$116)</f>
        <v/>
      </c>
      <c r="AH113">
        <f>IF([3]Entry!$G$116="","",[3]Entry!$G$116)</f>
        <v/>
      </c>
      <c r="AI113">
        <f>IF([3]Entry!$K$116="","",[3]Entry!$K$116)</f>
        <v/>
      </c>
      <c r="AJ113">
        <f>IF([3]Entry!$L$116="","",[3]Entry!$L$116)</f>
        <v/>
      </c>
      <c r="AK113">
        <f>IF([3]Entry!$M$116="","",[3]Entry!$M$116)</f>
        <v/>
      </c>
      <c r="AL113">
        <f>IF([3]Entry!$N$116="","",[3]Entry!$N$116)</f>
        <v/>
      </c>
      <c r="AM113">
        <f>IF([3]Entry!$R$116="","",[3]Entry!$R$116)</f>
        <v/>
      </c>
    </row>
    <row r="114">
      <c r="A114">
        <f>IF([1]Accounts!$D$115="","",[1]Accounts!$A$115)</f>
        <v/>
      </c>
      <c r="B114">
        <f>IF([1]Accounts!$D$115="","",[1]Accounts!$B$115)</f>
        <v/>
      </c>
      <c r="C114">
        <f>IF([1]Accounts!$D$115="","",[1]Accounts!$C$115)</f>
        <v/>
      </c>
      <c r="D114">
        <f>IF([1]Accounts!$D$115="","",[1]Accounts!$D$115)</f>
        <v/>
      </c>
      <c r="E114">
        <f>IF([1]Accounts!$D$115="","",[1]Accounts!$E$115)</f>
        <v/>
      </c>
      <c r="F114">
        <f>IF([1]Accounts!$D$115="","",[1]Accounts!$F$115)</f>
        <v/>
      </c>
      <c r="G114">
        <f>IF([1]Accounts!$D$115="","",[1]Accounts!$G$115)</f>
        <v/>
      </c>
      <c r="T114">
        <f>IF([2]Baskol!$B$117="","",[2]Baskol!$B$117)</f>
        <v/>
      </c>
      <c r="U114">
        <f>IF([2]Baskol!$C$117="","",[2]Baskol!$C$117)</f>
        <v/>
      </c>
      <c r="V114">
        <f>IF([2]Baskol!$D$117="","",[2]Baskol!$D$117)</f>
        <v/>
      </c>
      <c r="W114">
        <f>IF([2]Baskol!$E$117="","",[2]Baskol!$E$117)</f>
        <v/>
      </c>
      <c r="X114">
        <f>IF([2]Baskol!$G$117="","",[2]Baskol!$G$117)</f>
        <v/>
      </c>
      <c r="Y114">
        <f>IF([2]Baskol!$I$117="","",[2]Baskol!$I$117)</f>
        <v/>
      </c>
      <c r="Z114">
        <f>IF([2]Baskol!$J$117="","",[2]Baskol!$J$117)</f>
        <v/>
      </c>
      <c r="AA114">
        <f>IF([2]Baskol!$K$117="","",[2]Baskol!$K$117)</f>
        <v/>
      </c>
      <c r="AB114">
        <f>IF([2]Baskol!$L$117="","",[2]Baskol!$L$117)</f>
        <v/>
      </c>
      <c r="AC114">
        <f>IF([2]Baskol!$N$117="","",[2]Baskol!$N$117)</f>
        <v/>
      </c>
      <c r="AD114">
        <f>IF([2]Baskol!$O$117="","",[2]Baskol!$O$117)</f>
        <v/>
      </c>
      <c r="AE114">
        <f>IF([3]Entry!$C$117="","",[3]Entry!$C$117)</f>
        <v/>
      </c>
      <c r="AF114">
        <f>IF([3]Entry!$D$117="","",[3]Entry!$D$117)</f>
        <v/>
      </c>
      <c r="AG114">
        <f>IF([3]Entry!$E$117="","",[3]Entry!$E$117)</f>
        <v/>
      </c>
      <c r="AH114">
        <f>IF([3]Entry!$G$117="","",[3]Entry!$G$117)</f>
        <v/>
      </c>
      <c r="AI114">
        <f>IF([3]Entry!$K$117="","",[3]Entry!$K$117)</f>
        <v/>
      </c>
      <c r="AJ114">
        <f>IF([3]Entry!$L$117="","",[3]Entry!$L$117)</f>
        <v/>
      </c>
      <c r="AK114">
        <f>IF([3]Entry!$M$117="","",[3]Entry!$M$117)</f>
        <v/>
      </c>
      <c r="AL114">
        <f>IF([3]Entry!$N$117="","",[3]Entry!$N$117)</f>
        <v/>
      </c>
      <c r="AM114">
        <f>IF([3]Entry!$R$117="","",[3]Entry!$R$117)</f>
        <v/>
      </c>
    </row>
    <row r="115">
      <c r="A115">
        <f>IF([1]Accounts!$D$116="","",[1]Accounts!$A$116)</f>
        <v/>
      </c>
      <c r="B115">
        <f>IF([1]Accounts!$D$116="","",[1]Accounts!$B$116)</f>
        <v/>
      </c>
      <c r="C115">
        <f>IF([1]Accounts!$D$116="","",[1]Accounts!$C$116)</f>
        <v/>
      </c>
      <c r="D115">
        <f>IF([1]Accounts!$D$116="","",[1]Accounts!$D$116)</f>
        <v/>
      </c>
      <c r="E115">
        <f>IF([1]Accounts!$D$116="","",[1]Accounts!$E$116)</f>
        <v/>
      </c>
      <c r="F115">
        <f>IF([1]Accounts!$D$116="","",[1]Accounts!$F$116)</f>
        <v/>
      </c>
      <c r="G115">
        <f>IF([1]Accounts!$D$116="","",[1]Accounts!$G$116)</f>
        <v/>
      </c>
      <c r="T115">
        <f>IF([2]Baskol!$B$118="","",[2]Baskol!$B$118)</f>
        <v/>
      </c>
      <c r="U115">
        <f>IF([2]Baskol!$C$118="","",[2]Baskol!$C$118)</f>
        <v/>
      </c>
      <c r="V115">
        <f>IF([2]Baskol!$D$118="","",[2]Baskol!$D$118)</f>
        <v/>
      </c>
      <c r="W115">
        <f>IF([2]Baskol!$E$118="","",[2]Baskol!$E$118)</f>
        <v/>
      </c>
      <c r="X115">
        <f>IF([2]Baskol!$G$118="","",[2]Baskol!$G$118)</f>
        <v/>
      </c>
      <c r="Y115">
        <f>IF([2]Baskol!$I$118="","",[2]Baskol!$I$118)</f>
        <v/>
      </c>
      <c r="Z115">
        <f>IF([2]Baskol!$J$118="","",[2]Baskol!$J$118)</f>
        <v/>
      </c>
      <c r="AA115">
        <f>IF([2]Baskol!$K$118="","",[2]Baskol!$K$118)</f>
        <v/>
      </c>
      <c r="AB115">
        <f>IF([2]Baskol!$L$118="","",[2]Baskol!$L$118)</f>
        <v/>
      </c>
      <c r="AC115">
        <f>IF([2]Baskol!$N$118="","",[2]Baskol!$N$118)</f>
        <v/>
      </c>
      <c r="AD115">
        <f>IF([2]Baskol!$O$118="","",[2]Baskol!$O$118)</f>
        <v/>
      </c>
      <c r="AE115">
        <f>IF([3]Entry!$C$118="","",[3]Entry!$C$118)</f>
        <v/>
      </c>
      <c r="AF115">
        <f>IF([3]Entry!$D$118="","",[3]Entry!$D$118)</f>
        <v/>
      </c>
      <c r="AG115">
        <f>IF([3]Entry!$E$118="","",[3]Entry!$E$118)</f>
        <v/>
      </c>
      <c r="AH115">
        <f>IF([3]Entry!$G$118="","",[3]Entry!$G$118)</f>
        <v/>
      </c>
      <c r="AI115">
        <f>IF([3]Entry!$K$118="","",[3]Entry!$K$118)</f>
        <v/>
      </c>
      <c r="AJ115">
        <f>IF([3]Entry!$L$118="","",[3]Entry!$L$118)</f>
        <v/>
      </c>
      <c r="AK115">
        <f>IF([3]Entry!$M$118="","",[3]Entry!$M$118)</f>
        <v/>
      </c>
      <c r="AL115">
        <f>IF([3]Entry!$N$118="","",[3]Entry!$N$118)</f>
        <v/>
      </c>
      <c r="AM115">
        <f>IF([3]Entry!$R$118="","",[3]Entry!$R$118)</f>
        <v/>
      </c>
    </row>
    <row r="116">
      <c r="A116">
        <f>IF([1]Accounts!$D$117="","",[1]Accounts!$A$117)</f>
        <v/>
      </c>
      <c r="B116">
        <f>IF([1]Accounts!$D$117="","",[1]Accounts!$B$117)</f>
        <v/>
      </c>
      <c r="C116">
        <f>IF([1]Accounts!$D$117="","",[1]Accounts!$C$117)</f>
        <v/>
      </c>
      <c r="D116">
        <f>IF([1]Accounts!$D$117="","",[1]Accounts!$D$117)</f>
        <v/>
      </c>
      <c r="E116">
        <f>IF([1]Accounts!$D$117="","",[1]Accounts!$E$117)</f>
        <v/>
      </c>
      <c r="F116">
        <f>IF([1]Accounts!$D$117="","",[1]Accounts!$F$117)</f>
        <v/>
      </c>
      <c r="G116">
        <f>IF([1]Accounts!$D$117="","",[1]Accounts!$G$117)</f>
        <v/>
      </c>
      <c r="T116">
        <f>IF([2]Baskol!$B$119="","",[2]Baskol!$B$119)</f>
        <v/>
      </c>
      <c r="U116">
        <f>IF([2]Baskol!$C$119="","",[2]Baskol!$C$119)</f>
        <v/>
      </c>
      <c r="V116">
        <f>IF([2]Baskol!$D$119="","",[2]Baskol!$D$119)</f>
        <v/>
      </c>
      <c r="W116">
        <f>IF([2]Baskol!$E$119="","",[2]Baskol!$E$119)</f>
        <v/>
      </c>
      <c r="X116">
        <f>IF([2]Baskol!$G$119="","",[2]Baskol!$G$119)</f>
        <v/>
      </c>
      <c r="Y116">
        <f>IF([2]Baskol!$I$119="","",[2]Baskol!$I$119)</f>
        <v/>
      </c>
      <c r="Z116">
        <f>IF([2]Baskol!$J$119="","",[2]Baskol!$J$119)</f>
        <v/>
      </c>
      <c r="AA116">
        <f>IF([2]Baskol!$K$119="","",[2]Baskol!$K$119)</f>
        <v/>
      </c>
      <c r="AB116">
        <f>IF([2]Baskol!$L$119="","",[2]Baskol!$L$119)</f>
        <v/>
      </c>
      <c r="AC116">
        <f>IF([2]Baskol!$N$119="","",[2]Baskol!$N$119)</f>
        <v/>
      </c>
      <c r="AD116">
        <f>IF([2]Baskol!$O$119="","",[2]Baskol!$O$119)</f>
        <v/>
      </c>
      <c r="AE116">
        <f>IF([3]Entry!$C$119="","",[3]Entry!$C$119)</f>
        <v/>
      </c>
      <c r="AF116">
        <f>IF([3]Entry!$D$119="","",[3]Entry!$D$119)</f>
        <v/>
      </c>
      <c r="AG116">
        <f>IF([3]Entry!$E$119="","",[3]Entry!$E$119)</f>
        <v/>
      </c>
      <c r="AH116">
        <f>IF([3]Entry!$G$119="","",[3]Entry!$G$119)</f>
        <v/>
      </c>
      <c r="AI116">
        <f>IF([3]Entry!$K$119="","",[3]Entry!$K$119)</f>
        <v/>
      </c>
      <c r="AJ116">
        <f>IF([3]Entry!$L$119="","",[3]Entry!$L$119)</f>
        <v/>
      </c>
      <c r="AK116">
        <f>IF([3]Entry!$M$119="","",[3]Entry!$M$119)</f>
        <v/>
      </c>
      <c r="AL116">
        <f>IF([3]Entry!$N$119="","",[3]Entry!$N$119)</f>
        <v/>
      </c>
      <c r="AM116">
        <f>IF([3]Entry!$R$119="","",[3]Entry!$R$119)</f>
        <v/>
      </c>
    </row>
    <row r="117">
      <c r="A117">
        <f>IF([1]Accounts!$D$118="","",[1]Accounts!$A$118)</f>
        <v/>
      </c>
      <c r="B117">
        <f>IF([1]Accounts!$D$118="","",[1]Accounts!$B$118)</f>
        <v/>
      </c>
      <c r="C117">
        <f>IF([1]Accounts!$D$118="","",[1]Accounts!$C$118)</f>
        <v/>
      </c>
      <c r="D117">
        <f>IF([1]Accounts!$D$118="","",[1]Accounts!$D$118)</f>
        <v/>
      </c>
      <c r="E117">
        <f>IF([1]Accounts!$D$118="","",[1]Accounts!$E$118)</f>
        <v/>
      </c>
      <c r="F117">
        <f>IF([1]Accounts!$D$118="","",[1]Accounts!$F$118)</f>
        <v/>
      </c>
      <c r="G117">
        <f>IF([1]Accounts!$D$118="","",[1]Accounts!$G$118)</f>
        <v/>
      </c>
      <c r="T117">
        <f>IF([2]Baskol!$B$120="","",[2]Baskol!$B$120)</f>
        <v/>
      </c>
      <c r="U117">
        <f>IF([2]Baskol!$C$120="","",[2]Baskol!$C$120)</f>
        <v/>
      </c>
      <c r="V117">
        <f>IF([2]Baskol!$D$120="","",[2]Baskol!$D$120)</f>
        <v/>
      </c>
      <c r="W117">
        <f>IF([2]Baskol!$E$120="","",[2]Baskol!$E$120)</f>
        <v/>
      </c>
      <c r="X117">
        <f>IF([2]Baskol!$G$120="","",[2]Baskol!$G$120)</f>
        <v/>
      </c>
      <c r="Y117">
        <f>IF([2]Baskol!$I$120="","",[2]Baskol!$I$120)</f>
        <v/>
      </c>
      <c r="Z117">
        <f>IF([2]Baskol!$J$120="","",[2]Baskol!$J$120)</f>
        <v/>
      </c>
      <c r="AA117">
        <f>IF([2]Baskol!$K$120="","",[2]Baskol!$K$120)</f>
        <v/>
      </c>
      <c r="AB117">
        <f>IF([2]Baskol!$L$120="","",[2]Baskol!$L$120)</f>
        <v/>
      </c>
      <c r="AC117">
        <f>IF([2]Baskol!$N$120="","",[2]Baskol!$N$120)</f>
        <v/>
      </c>
      <c r="AD117">
        <f>IF([2]Baskol!$O$120="","",[2]Baskol!$O$120)</f>
        <v/>
      </c>
      <c r="AE117">
        <f>IF([3]Entry!$C$120="","",[3]Entry!$C$120)</f>
        <v/>
      </c>
      <c r="AF117">
        <f>IF([3]Entry!$D$120="","",[3]Entry!$D$120)</f>
        <v/>
      </c>
      <c r="AG117">
        <f>IF([3]Entry!$E$120="","",[3]Entry!$E$120)</f>
        <v/>
      </c>
      <c r="AH117">
        <f>IF([3]Entry!$G$120="","",[3]Entry!$G$120)</f>
        <v/>
      </c>
      <c r="AI117">
        <f>IF([3]Entry!$K$120="","",[3]Entry!$K$120)</f>
        <v/>
      </c>
      <c r="AJ117">
        <f>IF([3]Entry!$L$120="","",[3]Entry!$L$120)</f>
        <v/>
      </c>
      <c r="AK117">
        <f>IF([3]Entry!$M$120="","",[3]Entry!$M$120)</f>
        <v/>
      </c>
      <c r="AL117">
        <f>IF([3]Entry!$N$120="","",[3]Entry!$N$120)</f>
        <v/>
      </c>
      <c r="AM117">
        <f>IF([3]Entry!$R$120="","",[3]Entry!$R$120)</f>
        <v/>
      </c>
    </row>
    <row r="118">
      <c r="A118">
        <f>IF([1]Accounts!$D$119="","",[1]Accounts!$A$119)</f>
        <v/>
      </c>
      <c r="B118">
        <f>IF([1]Accounts!$D$119="","",[1]Accounts!$B$119)</f>
        <v/>
      </c>
      <c r="C118">
        <f>IF([1]Accounts!$D$119="","",[1]Accounts!$C$119)</f>
        <v/>
      </c>
      <c r="D118">
        <f>IF([1]Accounts!$D$119="","",[1]Accounts!$D$119)</f>
        <v/>
      </c>
      <c r="E118">
        <f>IF([1]Accounts!$D$119="","",[1]Accounts!$E$119)</f>
        <v/>
      </c>
      <c r="F118">
        <f>IF([1]Accounts!$D$119="","",[1]Accounts!$F$119)</f>
        <v/>
      </c>
      <c r="G118">
        <f>IF([1]Accounts!$D$119="","",[1]Accounts!$G$119)</f>
        <v/>
      </c>
      <c r="T118">
        <f>IF([2]Baskol!$B$121="","",[2]Baskol!$B$121)</f>
        <v/>
      </c>
      <c r="U118">
        <f>IF([2]Baskol!$C$121="","",[2]Baskol!$C$121)</f>
        <v/>
      </c>
      <c r="V118">
        <f>IF([2]Baskol!$D$121="","",[2]Baskol!$D$121)</f>
        <v/>
      </c>
      <c r="W118">
        <f>IF([2]Baskol!$E$121="","",[2]Baskol!$E$121)</f>
        <v/>
      </c>
      <c r="X118">
        <f>IF([2]Baskol!$G$121="","",[2]Baskol!$G$121)</f>
        <v/>
      </c>
      <c r="Y118">
        <f>IF([2]Baskol!$I$121="","",[2]Baskol!$I$121)</f>
        <v/>
      </c>
      <c r="Z118">
        <f>IF([2]Baskol!$J$121="","",[2]Baskol!$J$121)</f>
        <v/>
      </c>
      <c r="AA118">
        <f>IF([2]Baskol!$K$121="","",[2]Baskol!$K$121)</f>
        <v/>
      </c>
      <c r="AB118">
        <f>IF([2]Baskol!$L$121="","",[2]Baskol!$L$121)</f>
        <v/>
      </c>
      <c r="AC118">
        <f>IF([2]Baskol!$N$121="","",[2]Baskol!$N$121)</f>
        <v/>
      </c>
      <c r="AD118">
        <f>IF([2]Baskol!$O$121="","",[2]Baskol!$O$121)</f>
        <v/>
      </c>
      <c r="AE118">
        <f>IF([3]Entry!$C$121="","",[3]Entry!$C$121)</f>
        <v/>
      </c>
      <c r="AF118">
        <f>IF([3]Entry!$D$121="","",[3]Entry!$D$121)</f>
        <v/>
      </c>
      <c r="AG118">
        <f>IF([3]Entry!$E$121="","",[3]Entry!$E$121)</f>
        <v/>
      </c>
      <c r="AH118">
        <f>IF([3]Entry!$G$121="","",[3]Entry!$G$121)</f>
        <v/>
      </c>
      <c r="AI118">
        <f>IF([3]Entry!$K$121="","",[3]Entry!$K$121)</f>
        <v/>
      </c>
      <c r="AJ118">
        <f>IF([3]Entry!$L$121="","",[3]Entry!$L$121)</f>
        <v/>
      </c>
      <c r="AK118">
        <f>IF([3]Entry!$M$121="","",[3]Entry!$M$121)</f>
        <v/>
      </c>
      <c r="AL118">
        <f>IF([3]Entry!$N$121="","",[3]Entry!$N$121)</f>
        <v/>
      </c>
      <c r="AM118">
        <f>IF([3]Entry!$R$121="","",[3]Entry!$R$121)</f>
        <v/>
      </c>
    </row>
    <row r="119">
      <c r="A119">
        <f>IF([1]Accounts!$D$120="","",[1]Accounts!$A$120)</f>
        <v/>
      </c>
      <c r="B119">
        <f>IF([1]Accounts!$D$120="","",[1]Accounts!$B$120)</f>
        <v/>
      </c>
      <c r="C119">
        <f>IF([1]Accounts!$D$120="","",[1]Accounts!$C$120)</f>
        <v/>
      </c>
      <c r="D119">
        <f>IF([1]Accounts!$D$120="","",[1]Accounts!$D$120)</f>
        <v/>
      </c>
      <c r="E119">
        <f>IF([1]Accounts!$D$120="","",[1]Accounts!$E$120)</f>
        <v/>
      </c>
      <c r="F119">
        <f>IF([1]Accounts!$D$120="","",[1]Accounts!$F$120)</f>
        <v/>
      </c>
      <c r="G119">
        <f>IF([1]Accounts!$D$120="","",[1]Accounts!$G$120)</f>
        <v/>
      </c>
      <c r="T119">
        <f>IF([2]Baskol!$B$122="","",[2]Baskol!$B$122)</f>
        <v/>
      </c>
      <c r="U119">
        <f>IF([2]Baskol!$C$122="","",[2]Baskol!$C$122)</f>
        <v/>
      </c>
      <c r="V119">
        <f>IF([2]Baskol!$D$122="","",[2]Baskol!$D$122)</f>
        <v/>
      </c>
      <c r="W119">
        <f>IF([2]Baskol!$E$122="","",[2]Baskol!$E$122)</f>
        <v/>
      </c>
      <c r="X119">
        <f>IF([2]Baskol!$G$122="","",[2]Baskol!$G$122)</f>
        <v/>
      </c>
      <c r="Y119">
        <f>IF([2]Baskol!$I$122="","",[2]Baskol!$I$122)</f>
        <v/>
      </c>
      <c r="Z119">
        <f>IF([2]Baskol!$J$122="","",[2]Baskol!$J$122)</f>
        <v/>
      </c>
      <c r="AA119">
        <f>IF([2]Baskol!$K$122="","",[2]Baskol!$K$122)</f>
        <v/>
      </c>
      <c r="AB119">
        <f>IF([2]Baskol!$L$122="","",[2]Baskol!$L$122)</f>
        <v/>
      </c>
      <c r="AC119">
        <f>IF([2]Baskol!$N$122="","",[2]Baskol!$N$122)</f>
        <v/>
      </c>
      <c r="AD119">
        <f>IF([2]Baskol!$O$122="","",[2]Baskol!$O$122)</f>
        <v/>
      </c>
      <c r="AE119">
        <f>IF([3]Entry!$C$122="","",[3]Entry!$C$122)</f>
        <v/>
      </c>
      <c r="AF119">
        <f>IF([3]Entry!$D$122="","",[3]Entry!$D$122)</f>
        <v/>
      </c>
      <c r="AG119">
        <f>IF([3]Entry!$E$122="","",[3]Entry!$E$122)</f>
        <v/>
      </c>
      <c r="AH119">
        <f>IF([3]Entry!$G$122="","",[3]Entry!$G$122)</f>
        <v/>
      </c>
      <c r="AI119">
        <f>IF([3]Entry!$K$122="","",[3]Entry!$K$122)</f>
        <v/>
      </c>
      <c r="AJ119">
        <f>IF([3]Entry!$L$122="","",[3]Entry!$L$122)</f>
        <v/>
      </c>
      <c r="AK119">
        <f>IF([3]Entry!$M$122="","",[3]Entry!$M$122)</f>
        <v/>
      </c>
      <c r="AL119">
        <f>IF([3]Entry!$N$122="","",[3]Entry!$N$122)</f>
        <v/>
      </c>
      <c r="AM119">
        <f>IF([3]Entry!$R$122="","",[3]Entry!$R$122)</f>
        <v/>
      </c>
    </row>
    <row r="120">
      <c r="A120">
        <f>IF([1]Accounts!$D$121="","",[1]Accounts!$A$121)</f>
        <v/>
      </c>
      <c r="B120">
        <f>IF([1]Accounts!$D$121="","",[1]Accounts!$B$121)</f>
        <v/>
      </c>
      <c r="C120">
        <f>IF([1]Accounts!$D$121="","",[1]Accounts!$C$121)</f>
        <v/>
      </c>
      <c r="D120">
        <f>IF([1]Accounts!$D$121="","",[1]Accounts!$D$121)</f>
        <v/>
      </c>
      <c r="E120">
        <f>IF([1]Accounts!$D$121="","",[1]Accounts!$E$121)</f>
        <v/>
      </c>
      <c r="F120">
        <f>IF([1]Accounts!$D$121="","",[1]Accounts!$F$121)</f>
        <v/>
      </c>
      <c r="G120">
        <f>IF([1]Accounts!$D$121="","",[1]Accounts!$G$121)</f>
        <v/>
      </c>
      <c r="T120">
        <f>IF([2]Baskol!$B$123="","",[2]Baskol!$B$123)</f>
        <v/>
      </c>
      <c r="U120">
        <f>IF([2]Baskol!$C$123="","",[2]Baskol!$C$123)</f>
        <v/>
      </c>
      <c r="V120">
        <f>IF([2]Baskol!$D$123="","",[2]Baskol!$D$123)</f>
        <v/>
      </c>
      <c r="W120">
        <f>IF([2]Baskol!$E$123="","",[2]Baskol!$E$123)</f>
        <v/>
      </c>
      <c r="X120">
        <f>IF([2]Baskol!$G$123="","",[2]Baskol!$G$123)</f>
        <v/>
      </c>
      <c r="Y120">
        <f>IF([2]Baskol!$I$123="","",[2]Baskol!$I$123)</f>
        <v/>
      </c>
      <c r="Z120">
        <f>IF([2]Baskol!$J$123="","",[2]Baskol!$J$123)</f>
        <v/>
      </c>
      <c r="AA120">
        <f>IF([2]Baskol!$K$123="","",[2]Baskol!$K$123)</f>
        <v/>
      </c>
      <c r="AB120">
        <f>IF([2]Baskol!$L$123="","",[2]Baskol!$L$123)</f>
        <v/>
      </c>
      <c r="AC120">
        <f>IF([2]Baskol!$N$123="","",[2]Baskol!$N$123)</f>
        <v/>
      </c>
      <c r="AD120">
        <f>IF([2]Baskol!$O$123="","",[2]Baskol!$O$123)</f>
        <v/>
      </c>
      <c r="AE120">
        <f>IF([3]Entry!$C$123="","",[3]Entry!$C$123)</f>
        <v/>
      </c>
      <c r="AF120">
        <f>IF([3]Entry!$D$123="","",[3]Entry!$D$123)</f>
        <v/>
      </c>
      <c r="AG120">
        <f>IF([3]Entry!$E$123="","",[3]Entry!$E$123)</f>
        <v/>
      </c>
      <c r="AH120">
        <f>IF([3]Entry!$G$123="","",[3]Entry!$G$123)</f>
        <v/>
      </c>
      <c r="AI120">
        <f>IF([3]Entry!$K$123="","",[3]Entry!$K$123)</f>
        <v/>
      </c>
      <c r="AJ120">
        <f>IF([3]Entry!$L$123="","",[3]Entry!$L$123)</f>
        <v/>
      </c>
      <c r="AK120">
        <f>IF([3]Entry!$M$123="","",[3]Entry!$M$123)</f>
        <v/>
      </c>
      <c r="AL120">
        <f>IF([3]Entry!$N$123="","",[3]Entry!$N$123)</f>
        <v/>
      </c>
      <c r="AM120">
        <f>IF([3]Entry!$R$123="","",[3]Entry!$R$123)</f>
        <v/>
      </c>
    </row>
    <row r="121">
      <c r="A121">
        <f>IF([1]Accounts!$D$122="","",[1]Accounts!$A$122)</f>
        <v/>
      </c>
      <c r="B121">
        <f>IF([1]Accounts!$D$122="","",[1]Accounts!$B$122)</f>
        <v/>
      </c>
      <c r="C121">
        <f>IF([1]Accounts!$D$122="","",[1]Accounts!$C$122)</f>
        <v/>
      </c>
      <c r="D121">
        <f>IF([1]Accounts!$D$122="","",[1]Accounts!$D$122)</f>
        <v/>
      </c>
      <c r="E121">
        <f>IF([1]Accounts!$D$122="","",[1]Accounts!$E$122)</f>
        <v/>
      </c>
      <c r="F121">
        <f>IF([1]Accounts!$D$122="","",[1]Accounts!$F$122)</f>
        <v/>
      </c>
      <c r="G121">
        <f>IF([1]Accounts!$D$122="","",[1]Accounts!$G$122)</f>
        <v/>
      </c>
      <c r="T121">
        <f>IF([2]Baskol!$B$124="","",[2]Baskol!$B$124)</f>
        <v/>
      </c>
      <c r="U121">
        <f>IF([2]Baskol!$C$124="","",[2]Baskol!$C$124)</f>
        <v/>
      </c>
      <c r="V121">
        <f>IF([2]Baskol!$D$124="","",[2]Baskol!$D$124)</f>
        <v/>
      </c>
      <c r="W121">
        <f>IF([2]Baskol!$E$124="","",[2]Baskol!$E$124)</f>
        <v/>
      </c>
      <c r="X121">
        <f>IF([2]Baskol!$G$124="","",[2]Baskol!$G$124)</f>
        <v/>
      </c>
      <c r="Y121">
        <f>IF([2]Baskol!$I$124="","",[2]Baskol!$I$124)</f>
        <v/>
      </c>
      <c r="Z121">
        <f>IF([2]Baskol!$J$124="","",[2]Baskol!$J$124)</f>
        <v/>
      </c>
      <c r="AA121">
        <f>IF([2]Baskol!$K$124="","",[2]Baskol!$K$124)</f>
        <v/>
      </c>
      <c r="AB121">
        <f>IF([2]Baskol!$L$124="","",[2]Baskol!$L$124)</f>
        <v/>
      </c>
      <c r="AC121">
        <f>IF([2]Baskol!$N$124="","",[2]Baskol!$N$124)</f>
        <v/>
      </c>
      <c r="AD121">
        <f>IF([2]Baskol!$O$124="","",[2]Baskol!$O$124)</f>
        <v/>
      </c>
      <c r="AE121">
        <f>IF([3]Entry!$C$124="","",[3]Entry!$C$124)</f>
        <v/>
      </c>
      <c r="AF121">
        <f>IF([3]Entry!$D$124="","",[3]Entry!$D$124)</f>
        <v/>
      </c>
      <c r="AG121">
        <f>IF([3]Entry!$E$124="","",[3]Entry!$E$124)</f>
        <v/>
      </c>
      <c r="AH121">
        <f>IF([3]Entry!$G$124="","",[3]Entry!$G$124)</f>
        <v/>
      </c>
      <c r="AI121">
        <f>IF([3]Entry!$K$124="","",[3]Entry!$K$124)</f>
        <v/>
      </c>
      <c r="AJ121">
        <f>IF([3]Entry!$L$124="","",[3]Entry!$L$124)</f>
        <v/>
      </c>
      <c r="AK121">
        <f>IF([3]Entry!$M$124="","",[3]Entry!$M$124)</f>
        <v/>
      </c>
      <c r="AL121">
        <f>IF([3]Entry!$N$124="","",[3]Entry!$N$124)</f>
        <v/>
      </c>
      <c r="AM121">
        <f>IF([3]Entry!$R$124="","",[3]Entry!$R$124)</f>
        <v/>
      </c>
    </row>
    <row r="122">
      <c r="A122">
        <f>IF([1]Accounts!$D$123="","",[1]Accounts!$A$123)</f>
        <v/>
      </c>
      <c r="B122">
        <f>IF([1]Accounts!$D$123="","",[1]Accounts!$B$123)</f>
        <v/>
      </c>
      <c r="C122">
        <f>IF([1]Accounts!$D$123="","",[1]Accounts!$C$123)</f>
        <v/>
      </c>
      <c r="D122">
        <f>IF([1]Accounts!$D$123="","",[1]Accounts!$D$123)</f>
        <v/>
      </c>
      <c r="E122">
        <f>IF([1]Accounts!$D$123="","",[1]Accounts!$E$123)</f>
        <v/>
      </c>
      <c r="F122">
        <f>IF([1]Accounts!$D$123="","",[1]Accounts!$F$123)</f>
        <v/>
      </c>
      <c r="G122">
        <f>IF([1]Accounts!$D$123="","",[1]Accounts!$G$123)</f>
        <v/>
      </c>
      <c r="T122">
        <f>IF([2]Baskol!$B$125="","",[2]Baskol!$B$125)</f>
        <v/>
      </c>
      <c r="U122">
        <f>IF([2]Baskol!$C$125="","",[2]Baskol!$C$125)</f>
        <v/>
      </c>
      <c r="V122">
        <f>IF([2]Baskol!$D$125="","",[2]Baskol!$D$125)</f>
        <v/>
      </c>
      <c r="W122">
        <f>IF([2]Baskol!$E$125="","",[2]Baskol!$E$125)</f>
        <v/>
      </c>
      <c r="X122">
        <f>IF([2]Baskol!$G$125="","",[2]Baskol!$G$125)</f>
        <v/>
      </c>
      <c r="Y122">
        <f>IF([2]Baskol!$I$125="","",[2]Baskol!$I$125)</f>
        <v/>
      </c>
      <c r="Z122">
        <f>IF([2]Baskol!$J$125="","",[2]Baskol!$J$125)</f>
        <v/>
      </c>
      <c r="AA122">
        <f>IF([2]Baskol!$K$125="","",[2]Baskol!$K$125)</f>
        <v/>
      </c>
      <c r="AB122">
        <f>IF([2]Baskol!$L$125="","",[2]Baskol!$L$125)</f>
        <v/>
      </c>
      <c r="AC122">
        <f>IF([2]Baskol!$N$125="","",[2]Baskol!$N$125)</f>
        <v/>
      </c>
      <c r="AD122">
        <f>IF([2]Baskol!$O$125="","",[2]Baskol!$O$125)</f>
        <v/>
      </c>
      <c r="AE122">
        <f>IF([3]Entry!$C$125="","",[3]Entry!$C$125)</f>
        <v/>
      </c>
      <c r="AF122">
        <f>IF([3]Entry!$D$125="","",[3]Entry!$D$125)</f>
        <v/>
      </c>
      <c r="AG122">
        <f>IF([3]Entry!$E$125="","",[3]Entry!$E$125)</f>
        <v/>
      </c>
      <c r="AH122">
        <f>IF([3]Entry!$G$125="","",[3]Entry!$G$125)</f>
        <v/>
      </c>
      <c r="AI122">
        <f>IF([3]Entry!$K$125="","",[3]Entry!$K$125)</f>
        <v/>
      </c>
      <c r="AJ122">
        <f>IF([3]Entry!$L$125="","",[3]Entry!$L$125)</f>
        <v/>
      </c>
      <c r="AK122">
        <f>IF([3]Entry!$M$125="","",[3]Entry!$M$125)</f>
        <v/>
      </c>
      <c r="AL122">
        <f>IF([3]Entry!$N$125="","",[3]Entry!$N$125)</f>
        <v/>
      </c>
      <c r="AM122">
        <f>IF([3]Entry!$R$125="","",[3]Entry!$R$125)</f>
        <v/>
      </c>
    </row>
    <row r="123">
      <c r="A123">
        <f>IF([1]Accounts!$D$124="","",[1]Accounts!$A$124)</f>
        <v/>
      </c>
      <c r="B123">
        <f>IF([1]Accounts!$D$124="","",[1]Accounts!$B$124)</f>
        <v/>
      </c>
      <c r="C123">
        <f>IF([1]Accounts!$D$124="","",[1]Accounts!$C$124)</f>
        <v/>
      </c>
      <c r="D123">
        <f>IF([1]Accounts!$D$124="","",[1]Accounts!$D$124)</f>
        <v/>
      </c>
      <c r="E123">
        <f>IF([1]Accounts!$D$124="","",[1]Accounts!$E$124)</f>
        <v/>
      </c>
      <c r="F123">
        <f>IF([1]Accounts!$D$124="","",[1]Accounts!$F$124)</f>
        <v/>
      </c>
      <c r="G123">
        <f>IF([1]Accounts!$D$124="","",[1]Accounts!$G$124)</f>
        <v/>
      </c>
      <c r="T123">
        <f>IF([2]Baskol!$B$126="","",[2]Baskol!$B$126)</f>
        <v/>
      </c>
      <c r="U123">
        <f>IF([2]Baskol!$C$126="","",[2]Baskol!$C$126)</f>
        <v/>
      </c>
      <c r="V123">
        <f>IF([2]Baskol!$D$126="","",[2]Baskol!$D$126)</f>
        <v/>
      </c>
      <c r="W123">
        <f>IF([2]Baskol!$E$126="","",[2]Baskol!$E$126)</f>
        <v/>
      </c>
      <c r="X123">
        <f>IF([2]Baskol!$G$126="","",[2]Baskol!$G$126)</f>
        <v/>
      </c>
      <c r="Y123">
        <f>IF([2]Baskol!$I$126="","",[2]Baskol!$I$126)</f>
        <v/>
      </c>
      <c r="Z123">
        <f>IF([2]Baskol!$J$126="","",[2]Baskol!$J$126)</f>
        <v/>
      </c>
      <c r="AA123">
        <f>IF([2]Baskol!$K$126="","",[2]Baskol!$K$126)</f>
        <v/>
      </c>
      <c r="AB123">
        <f>IF([2]Baskol!$L$126="","",[2]Baskol!$L$126)</f>
        <v/>
      </c>
      <c r="AC123">
        <f>IF([2]Baskol!$N$126="","",[2]Baskol!$N$126)</f>
        <v/>
      </c>
      <c r="AD123">
        <f>IF([2]Baskol!$O$126="","",[2]Baskol!$O$126)</f>
        <v/>
      </c>
      <c r="AE123">
        <f>IF([3]Entry!$C$126="","",[3]Entry!$C$126)</f>
        <v/>
      </c>
      <c r="AF123">
        <f>IF([3]Entry!$D$126="","",[3]Entry!$D$126)</f>
        <v/>
      </c>
      <c r="AG123">
        <f>IF([3]Entry!$E$126="","",[3]Entry!$E$126)</f>
        <v/>
      </c>
      <c r="AH123">
        <f>IF([3]Entry!$G$126="","",[3]Entry!$G$126)</f>
        <v/>
      </c>
      <c r="AI123">
        <f>IF([3]Entry!$K$126="","",[3]Entry!$K$126)</f>
        <v/>
      </c>
      <c r="AJ123">
        <f>IF([3]Entry!$L$126="","",[3]Entry!$L$126)</f>
        <v/>
      </c>
      <c r="AK123">
        <f>IF([3]Entry!$M$126="","",[3]Entry!$M$126)</f>
        <v/>
      </c>
      <c r="AL123">
        <f>IF([3]Entry!$N$126="","",[3]Entry!$N$126)</f>
        <v/>
      </c>
      <c r="AM123">
        <f>IF([3]Entry!$R$126="","",[3]Entry!$R$126)</f>
        <v/>
      </c>
    </row>
    <row r="124">
      <c r="A124">
        <f>IF([1]Accounts!$D$125="","",[1]Accounts!$A$125)</f>
        <v/>
      </c>
      <c r="B124">
        <f>IF([1]Accounts!$D$125="","",[1]Accounts!$B$125)</f>
        <v/>
      </c>
      <c r="C124">
        <f>IF([1]Accounts!$D$125="","",[1]Accounts!$C$125)</f>
        <v/>
      </c>
      <c r="D124">
        <f>IF([1]Accounts!$D$125="","",[1]Accounts!$D$125)</f>
        <v/>
      </c>
      <c r="E124">
        <f>IF([1]Accounts!$D$125="","",[1]Accounts!$E$125)</f>
        <v/>
      </c>
      <c r="F124">
        <f>IF([1]Accounts!$D$125="","",[1]Accounts!$F$125)</f>
        <v/>
      </c>
      <c r="G124">
        <f>IF([1]Accounts!$D$125="","",[1]Accounts!$G$125)</f>
        <v/>
      </c>
      <c r="T124">
        <f>IF([2]Baskol!$B$127="","",[2]Baskol!$B$127)</f>
        <v/>
      </c>
      <c r="U124">
        <f>IF([2]Baskol!$C$127="","",[2]Baskol!$C$127)</f>
        <v/>
      </c>
      <c r="V124">
        <f>IF([2]Baskol!$D$127="","",[2]Baskol!$D$127)</f>
        <v/>
      </c>
      <c r="W124">
        <f>IF([2]Baskol!$E$127="","",[2]Baskol!$E$127)</f>
        <v/>
      </c>
      <c r="X124">
        <f>IF([2]Baskol!$G$127="","",[2]Baskol!$G$127)</f>
        <v/>
      </c>
      <c r="Y124">
        <f>IF([2]Baskol!$I$127="","",[2]Baskol!$I$127)</f>
        <v/>
      </c>
      <c r="Z124">
        <f>IF([2]Baskol!$J$127="","",[2]Baskol!$J$127)</f>
        <v/>
      </c>
      <c r="AA124">
        <f>IF([2]Baskol!$K$127="","",[2]Baskol!$K$127)</f>
        <v/>
      </c>
      <c r="AB124">
        <f>IF([2]Baskol!$L$127="","",[2]Baskol!$L$127)</f>
        <v/>
      </c>
      <c r="AC124">
        <f>IF([2]Baskol!$N$127="","",[2]Baskol!$N$127)</f>
        <v/>
      </c>
      <c r="AD124">
        <f>IF([2]Baskol!$O$127="","",[2]Baskol!$O$127)</f>
        <v/>
      </c>
      <c r="AE124">
        <f>IF([3]Entry!$C$127="","",[3]Entry!$C$127)</f>
        <v/>
      </c>
      <c r="AF124">
        <f>IF([3]Entry!$D$127="","",[3]Entry!$D$127)</f>
        <v/>
      </c>
      <c r="AG124">
        <f>IF([3]Entry!$E$127="","",[3]Entry!$E$127)</f>
        <v/>
      </c>
      <c r="AH124">
        <f>IF([3]Entry!$G$127="","",[3]Entry!$G$127)</f>
        <v/>
      </c>
      <c r="AI124">
        <f>IF([3]Entry!$K$127="","",[3]Entry!$K$127)</f>
        <v/>
      </c>
      <c r="AJ124">
        <f>IF([3]Entry!$L$127="","",[3]Entry!$L$127)</f>
        <v/>
      </c>
      <c r="AK124">
        <f>IF([3]Entry!$M$127="","",[3]Entry!$M$127)</f>
        <v/>
      </c>
      <c r="AL124">
        <f>IF([3]Entry!$N$127="","",[3]Entry!$N$127)</f>
        <v/>
      </c>
      <c r="AM124">
        <f>IF([3]Entry!$R$127="","",[3]Entry!$R$127)</f>
        <v/>
      </c>
    </row>
    <row r="125">
      <c r="A125">
        <f>IF([1]Accounts!$D$126="","",[1]Accounts!$A$126)</f>
        <v/>
      </c>
      <c r="B125">
        <f>IF([1]Accounts!$D$126="","",[1]Accounts!$B$126)</f>
        <v/>
      </c>
      <c r="C125">
        <f>IF([1]Accounts!$D$126="","",[1]Accounts!$C$126)</f>
        <v/>
      </c>
      <c r="D125">
        <f>IF([1]Accounts!$D$126="","",[1]Accounts!$D$126)</f>
        <v/>
      </c>
      <c r="E125">
        <f>IF([1]Accounts!$D$126="","",[1]Accounts!$E$126)</f>
        <v/>
      </c>
      <c r="F125">
        <f>IF([1]Accounts!$D$126="","",[1]Accounts!$F$126)</f>
        <v/>
      </c>
      <c r="G125">
        <f>IF([1]Accounts!$D$126="","",[1]Accounts!$G$126)</f>
        <v/>
      </c>
      <c r="T125">
        <f>IF([2]Baskol!$B$128="","",[2]Baskol!$B$128)</f>
        <v/>
      </c>
      <c r="U125">
        <f>IF([2]Baskol!$C$128="","",[2]Baskol!$C$128)</f>
        <v/>
      </c>
      <c r="V125">
        <f>IF([2]Baskol!$D$128="","",[2]Baskol!$D$128)</f>
        <v/>
      </c>
      <c r="W125">
        <f>IF([2]Baskol!$E$128="","",[2]Baskol!$E$128)</f>
        <v/>
      </c>
      <c r="X125">
        <f>IF([2]Baskol!$G$128="","",[2]Baskol!$G$128)</f>
        <v/>
      </c>
      <c r="Y125">
        <f>IF([2]Baskol!$I$128="","",[2]Baskol!$I$128)</f>
        <v/>
      </c>
      <c r="Z125">
        <f>IF([2]Baskol!$J$128="","",[2]Baskol!$J$128)</f>
        <v/>
      </c>
      <c r="AA125">
        <f>IF([2]Baskol!$K$128="","",[2]Baskol!$K$128)</f>
        <v/>
      </c>
      <c r="AB125">
        <f>IF([2]Baskol!$L$128="","",[2]Baskol!$L$128)</f>
        <v/>
      </c>
      <c r="AC125">
        <f>IF([2]Baskol!$N$128="","",[2]Baskol!$N$128)</f>
        <v/>
      </c>
      <c r="AD125">
        <f>IF([2]Baskol!$O$128="","",[2]Baskol!$O$128)</f>
        <v/>
      </c>
      <c r="AE125">
        <f>IF([3]Entry!$C$128="","",[3]Entry!$C$128)</f>
        <v/>
      </c>
      <c r="AF125">
        <f>IF([3]Entry!$D$128="","",[3]Entry!$D$128)</f>
        <v/>
      </c>
      <c r="AG125">
        <f>IF([3]Entry!$E$128="","",[3]Entry!$E$128)</f>
        <v/>
      </c>
      <c r="AH125">
        <f>IF([3]Entry!$G$128="","",[3]Entry!$G$128)</f>
        <v/>
      </c>
      <c r="AI125">
        <f>IF([3]Entry!$K$128="","",[3]Entry!$K$128)</f>
        <v/>
      </c>
      <c r="AJ125">
        <f>IF([3]Entry!$L$128="","",[3]Entry!$L$128)</f>
        <v/>
      </c>
      <c r="AK125">
        <f>IF([3]Entry!$M$128="","",[3]Entry!$M$128)</f>
        <v/>
      </c>
      <c r="AL125">
        <f>IF([3]Entry!$N$128="","",[3]Entry!$N$128)</f>
        <v/>
      </c>
      <c r="AM125">
        <f>IF([3]Entry!$R$128="","",[3]Entry!$R$128)</f>
        <v/>
      </c>
    </row>
    <row r="126">
      <c r="A126">
        <f>IF([1]Accounts!$D$127="","",[1]Accounts!$A$127)</f>
        <v/>
      </c>
      <c r="B126">
        <f>IF([1]Accounts!$D$127="","",[1]Accounts!$B$127)</f>
        <v/>
      </c>
      <c r="C126">
        <f>IF([1]Accounts!$D$127="","",[1]Accounts!$C$127)</f>
        <v/>
      </c>
      <c r="D126">
        <f>IF([1]Accounts!$D$127="","",[1]Accounts!$D$127)</f>
        <v/>
      </c>
      <c r="E126">
        <f>IF([1]Accounts!$D$127="","",[1]Accounts!$E$127)</f>
        <v/>
      </c>
      <c r="F126">
        <f>IF([1]Accounts!$D$127="","",[1]Accounts!$F$127)</f>
        <v/>
      </c>
      <c r="G126">
        <f>IF([1]Accounts!$D$127="","",[1]Accounts!$G$127)</f>
        <v/>
      </c>
      <c r="T126">
        <f>IF([2]Baskol!$B$129="","",[2]Baskol!$B$129)</f>
        <v/>
      </c>
      <c r="U126">
        <f>IF([2]Baskol!$C$129="","",[2]Baskol!$C$129)</f>
        <v/>
      </c>
      <c r="V126">
        <f>IF([2]Baskol!$D$129="","",[2]Baskol!$D$129)</f>
        <v/>
      </c>
      <c r="W126">
        <f>IF([2]Baskol!$E$129="","",[2]Baskol!$E$129)</f>
        <v/>
      </c>
      <c r="X126">
        <f>IF([2]Baskol!$G$129="","",[2]Baskol!$G$129)</f>
        <v/>
      </c>
      <c r="Y126">
        <f>IF([2]Baskol!$I$129="","",[2]Baskol!$I$129)</f>
        <v/>
      </c>
      <c r="Z126">
        <f>IF([2]Baskol!$J$129="","",[2]Baskol!$J$129)</f>
        <v/>
      </c>
      <c r="AA126">
        <f>IF([2]Baskol!$K$129="","",[2]Baskol!$K$129)</f>
        <v/>
      </c>
      <c r="AB126">
        <f>IF([2]Baskol!$L$129="","",[2]Baskol!$L$129)</f>
        <v/>
      </c>
      <c r="AC126">
        <f>IF([2]Baskol!$N$129="","",[2]Baskol!$N$129)</f>
        <v/>
      </c>
      <c r="AD126">
        <f>IF([2]Baskol!$O$129="","",[2]Baskol!$O$129)</f>
        <v/>
      </c>
      <c r="AE126">
        <f>IF([3]Entry!$C$129="","",[3]Entry!$C$129)</f>
        <v/>
      </c>
      <c r="AF126">
        <f>IF([3]Entry!$D$129="","",[3]Entry!$D$129)</f>
        <v/>
      </c>
      <c r="AG126">
        <f>IF([3]Entry!$E$129="","",[3]Entry!$E$129)</f>
        <v/>
      </c>
      <c r="AH126">
        <f>IF([3]Entry!$G$129="","",[3]Entry!$G$129)</f>
        <v/>
      </c>
      <c r="AI126">
        <f>IF([3]Entry!$K$129="","",[3]Entry!$K$129)</f>
        <v/>
      </c>
      <c r="AJ126">
        <f>IF([3]Entry!$L$129="","",[3]Entry!$L$129)</f>
        <v/>
      </c>
      <c r="AK126">
        <f>IF([3]Entry!$M$129="","",[3]Entry!$M$129)</f>
        <v/>
      </c>
      <c r="AL126">
        <f>IF([3]Entry!$N$129="","",[3]Entry!$N$129)</f>
        <v/>
      </c>
      <c r="AM126">
        <f>IF([3]Entry!$R$129="","",[3]Entry!$R$129)</f>
        <v/>
      </c>
    </row>
    <row r="127">
      <c r="A127">
        <f>IF([1]Accounts!$D$128="","",[1]Accounts!$A$128)</f>
        <v/>
      </c>
      <c r="B127">
        <f>IF([1]Accounts!$D$128="","",[1]Accounts!$B$128)</f>
        <v/>
      </c>
      <c r="C127">
        <f>IF([1]Accounts!$D$128="","",[1]Accounts!$C$128)</f>
        <v/>
      </c>
      <c r="D127">
        <f>IF([1]Accounts!$D$128="","",[1]Accounts!$D$128)</f>
        <v/>
      </c>
      <c r="E127">
        <f>IF([1]Accounts!$D$128="","",[1]Accounts!$E$128)</f>
        <v/>
      </c>
      <c r="F127">
        <f>IF([1]Accounts!$D$128="","",[1]Accounts!$F$128)</f>
        <v/>
      </c>
      <c r="G127">
        <f>IF([1]Accounts!$D$128="","",[1]Accounts!$G$128)</f>
        <v/>
      </c>
      <c r="T127">
        <f>IF([2]Baskol!$B$130="","",[2]Baskol!$B$130)</f>
        <v/>
      </c>
      <c r="U127">
        <f>IF([2]Baskol!$C$130="","",[2]Baskol!$C$130)</f>
        <v/>
      </c>
      <c r="V127">
        <f>IF([2]Baskol!$D$130="","",[2]Baskol!$D$130)</f>
        <v/>
      </c>
      <c r="W127">
        <f>IF([2]Baskol!$E$130="","",[2]Baskol!$E$130)</f>
        <v/>
      </c>
      <c r="X127">
        <f>IF([2]Baskol!$G$130="","",[2]Baskol!$G$130)</f>
        <v/>
      </c>
      <c r="Y127">
        <f>IF([2]Baskol!$I$130="","",[2]Baskol!$I$130)</f>
        <v/>
      </c>
      <c r="Z127">
        <f>IF([2]Baskol!$J$130="","",[2]Baskol!$J$130)</f>
        <v/>
      </c>
      <c r="AA127">
        <f>IF([2]Baskol!$K$130="","",[2]Baskol!$K$130)</f>
        <v/>
      </c>
      <c r="AB127">
        <f>IF([2]Baskol!$L$130="","",[2]Baskol!$L$130)</f>
        <v/>
      </c>
      <c r="AC127">
        <f>IF([2]Baskol!$N$130="","",[2]Baskol!$N$130)</f>
        <v/>
      </c>
      <c r="AD127">
        <f>IF([2]Baskol!$O$130="","",[2]Baskol!$O$130)</f>
        <v/>
      </c>
      <c r="AE127">
        <f>IF([3]Entry!$C$130="","",[3]Entry!$C$130)</f>
        <v/>
      </c>
      <c r="AF127">
        <f>IF([3]Entry!$D$130="","",[3]Entry!$D$130)</f>
        <v/>
      </c>
      <c r="AG127">
        <f>IF([3]Entry!$E$130="","",[3]Entry!$E$130)</f>
        <v/>
      </c>
      <c r="AH127">
        <f>IF([3]Entry!$G$130="","",[3]Entry!$G$130)</f>
        <v/>
      </c>
      <c r="AI127">
        <f>IF([3]Entry!$K$130="","",[3]Entry!$K$130)</f>
        <v/>
      </c>
      <c r="AJ127">
        <f>IF([3]Entry!$L$130="","",[3]Entry!$L$130)</f>
        <v/>
      </c>
      <c r="AK127">
        <f>IF([3]Entry!$M$130="","",[3]Entry!$M$130)</f>
        <v/>
      </c>
      <c r="AL127">
        <f>IF([3]Entry!$N$130="","",[3]Entry!$N$130)</f>
        <v/>
      </c>
      <c r="AM127">
        <f>IF([3]Entry!$R$130="","",[3]Entry!$R$130)</f>
        <v/>
      </c>
    </row>
    <row r="128">
      <c r="A128">
        <f>IF([1]Accounts!$D$129="","",[1]Accounts!$A$129)</f>
        <v/>
      </c>
      <c r="B128">
        <f>IF([1]Accounts!$D$129="","",[1]Accounts!$B$129)</f>
        <v/>
      </c>
      <c r="C128">
        <f>IF([1]Accounts!$D$129="","",[1]Accounts!$C$129)</f>
        <v/>
      </c>
      <c r="D128">
        <f>IF([1]Accounts!$D$129="","",[1]Accounts!$D$129)</f>
        <v/>
      </c>
      <c r="E128">
        <f>IF([1]Accounts!$D$129="","",[1]Accounts!$E$129)</f>
        <v/>
      </c>
      <c r="F128">
        <f>IF([1]Accounts!$D$129="","",[1]Accounts!$F$129)</f>
        <v/>
      </c>
      <c r="G128">
        <f>IF([1]Accounts!$D$129="","",[1]Accounts!$G$129)</f>
        <v/>
      </c>
      <c r="T128">
        <f>IF([2]Baskol!$B$131="","",[2]Baskol!$B$131)</f>
        <v/>
      </c>
      <c r="U128">
        <f>IF([2]Baskol!$C$131="","",[2]Baskol!$C$131)</f>
        <v/>
      </c>
      <c r="V128">
        <f>IF([2]Baskol!$D$131="","",[2]Baskol!$D$131)</f>
        <v/>
      </c>
      <c r="W128">
        <f>IF([2]Baskol!$E$131="","",[2]Baskol!$E$131)</f>
        <v/>
      </c>
      <c r="X128">
        <f>IF([2]Baskol!$G$131="","",[2]Baskol!$G$131)</f>
        <v/>
      </c>
      <c r="Y128">
        <f>IF([2]Baskol!$I$131="","",[2]Baskol!$I$131)</f>
        <v/>
      </c>
      <c r="Z128">
        <f>IF([2]Baskol!$J$131="","",[2]Baskol!$J$131)</f>
        <v/>
      </c>
      <c r="AA128">
        <f>IF([2]Baskol!$K$131="","",[2]Baskol!$K$131)</f>
        <v/>
      </c>
      <c r="AB128">
        <f>IF([2]Baskol!$L$131="","",[2]Baskol!$L$131)</f>
        <v/>
      </c>
      <c r="AC128">
        <f>IF([2]Baskol!$N$131="","",[2]Baskol!$N$131)</f>
        <v/>
      </c>
      <c r="AD128">
        <f>IF([2]Baskol!$O$131="","",[2]Baskol!$O$131)</f>
        <v/>
      </c>
      <c r="AE128">
        <f>IF([3]Entry!$C$131="","",[3]Entry!$C$131)</f>
        <v/>
      </c>
      <c r="AF128">
        <f>IF([3]Entry!$D$131="","",[3]Entry!$D$131)</f>
        <v/>
      </c>
      <c r="AG128">
        <f>IF([3]Entry!$E$131="","",[3]Entry!$E$131)</f>
        <v/>
      </c>
      <c r="AH128">
        <f>IF([3]Entry!$G$131="","",[3]Entry!$G$131)</f>
        <v/>
      </c>
      <c r="AI128">
        <f>IF([3]Entry!$K$131="","",[3]Entry!$K$131)</f>
        <v/>
      </c>
      <c r="AJ128">
        <f>IF([3]Entry!$L$131="","",[3]Entry!$L$131)</f>
        <v/>
      </c>
      <c r="AK128">
        <f>IF([3]Entry!$M$131="","",[3]Entry!$M$131)</f>
        <v/>
      </c>
      <c r="AL128">
        <f>IF([3]Entry!$N$131="","",[3]Entry!$N$131)</f>
        <v/>
      </c>
      <c r="AM128">
        <f>IF([3]Entry!$R$131="","",[3]Entry!$R$131)</f>
        <v/>
      </c>
    </row>
    <row r="129">
      <c r="A129">
        <f>IF([1]Accounts!$D$130="","",[1]Accounts!$A$130)</f>
        <v/>
      </c>
      <c r="B129">
        <f>IF([1]Accounts!$D$130="","",[1]Accounts!$B$130)</f>
        <v/>
      </c>
      <c r="C129">
        <f>IF([1]Accounts!$D$130="","",[1]Accounts!$C$130)</f>
        <v/>
      </c>
      <c r="D129">
        <f>IF([1]Accounts!$D$130="","",[1]Accounts!$D$130)</f>
        <v/>
      </c>
      <c r="E129">
        <f>IF([1]Accounts!$D$130="","",[1]Accounts!$E$130)</f>
        <v/>
      </c>
      <c r="F129">
        <f>IF([1]Accounts!$D$130="","",[1]Accounts!$F$130)</f>
        <v/>
      </c>
      <c r="G129">
        <f>IF([1]Accounts!$D$130="","",[1]Accounts!$G$130)</f>
        <v/>
      </c>
      <c r="T129">
        <f>IF([2]Baskol!$B$132="","",[2]Baskol!$B$132)</f>
        <v/>
      </c>
      <c r="U129">
        <f>IF([2]Baskol!$C$132="","",[2]Baskol!$C$132)</f>
        <v/>
      </c>
      <c r="V129">
        <f>IF([2]Baskol!$D$132="","",[2]Baskol!$D$132)</f>
        <v/>
      </c>
      <c r="W129">
        <f>IF([2]Baskol!$E$132="","",[2]Baskol!$E$132)</f>
        <v/>
      </c>
      <c r="X129">
        <f>IF([2]Baskol!$G$132="","",[2]Baskol!$G$132)</f>
        <v/>
      </c>
      <c r="Y129">
        <f>IF([2]Baskol!$I$132="","",[2]Baskol!$I$132)</f>
        <v/>
      </c>
      <c r="Z129">
        <f>IF([2]Baskol!$J$132="","",[2]Baskol!$J$132)</f>
        <v/>
      </c>
      <c r="AA129">
        <f>IF([2]Baskol!$K$132="","",[2]Baskol!$K$132)</f>
        <v/>
      </c>
      <c r="AB129">
        <f>IF([2]Baskol!$L$132="","",[2]Baskol!$L$132)</f>
        <v/>
      </c>
      <c r="AC129">
        <f>IF([2]Baskol!$N$132="","",[2]Baskol!$N$132)</f>
        <v/>
      </c>
      <c r="AD129">
        <f>IF([2]Baskol!$O$132="","",[2]Baskol!$O$132)</f>
        <v/>
      </c>
      <c r="AE129">
        <f>IF([3]Entry!$C$132="","",[3]Entry!$C$132)</f>
        <v/>
      </c>
      <c r="AF129">
        <f>IF([3]Entry!$D$132="","",[3]Entry!$D$132)</f>
        <v/>
      </c>
      <c r="AG129">
        <f>IF([3]Entry!$E$132="","",[3]Entry!$E$132)</f>
        <v/>
      </c>
      <c r="AH129">
        <f>IF([3]Entry!$G$132="","",[3]Entry!$G$132)</f>
        <v/>
      </c>
      <c r="AI129">
        <f>IF([3]Entry!$K$132="","",[3]Entry!$K$132)</f>
        <v/>
      </c>
      <c r="AJ129">
        <f>IF([3]Entry!$L$132="","",[3]Entry!$L$132)</f>
        <v/>
      </c>
      <c r="AK129">
        <f>IF([3]Entry!$M$132="","",[3]Entry!$M$132)</f>
        <v/>
      </c>
      <c r="AL129">
        <f>IF([3]Entry!$N$132="","",[3]Entry!$N$132)</f>
        <v/>
      </c>
      <c r="AM129">
        <f>IF([3]Entry!$R$132="","",[3]Entry!$R$132)</f>
        <v/>
      </c>
    </row>
    <row r="130">
      <c r="A130">
        <f>IF([1]Accounts!$D$131="","",[1]Accounts!$A$131)</f>
        <v/>
      </c>
      <c r="B130">
        <f>IF([1]Accounts!$D$131="","",[1]Accounts!$B$131)</f>
        <v/>
      </c>
      <c r="C130">
        <f>IF([1]Accounts!$D$131="","",[1]Accounts!$C$131)</f>
        <v/>
      </c>
      <c r="D130">
        <f>IF([1]Accounts!$D$131="","",[1]Accounts!$D$131)</f>
        <v/>
      </c>
      <c r="E130">
        <f>IF([1]Accounts!$D$131="","",[1]Accounts!$E$131)</f>
        <v/>
      </c>
      <c r="F130">
        <f>IF([1]Accounts!$D$131="","",[1]Accounts!$F$131)</f>
        <v/>
      </c>
      <c r="G130">
        <f>IF([1]Accounts!$D$131="","",[1]Accounts!$G$131)</f>
        <v/>
      </c>
      <c r="T130">
        <f>IF([2]Baskol!$B$133="","",[2]Baskol!$B$133)</f>
        <v/>
      </c>
      <c r="U130">
        <f>IF([2]Baskol!$C$133="","",[2]Baskol!$C$133)</f>
        <v/>
      </c>
      <c r="V130">
        <f>IF([2]Baskol!$D$133="","",[2]Baskol!$D$133)</f>
        <v/>
      </c>
      <c r="W130">
        <f>IF([2]Baskol!$E$133="","",[2]Baskol!$E$133)</f>
        <v/>
      </c>
      <c r="X130">
        <f>IF([2]Baskol!$G$133="","",[2]Baskol!$G$133)</f>
        <v/>
      </c>
      <c r="Y130">
        <f>IF([2]Baskol!$I$133="","",[2]Baskol!$I$133)</f>
        <v/>
      </c>
      <c r="Z130">
        <f>IF([2]Baskol!$J$133="","",[2]Baskol!$J$133)</f>
        <v/>
      </c>
      <c r="AA130">
        <f>IF([2]Baskol!$K$133="","",[2]Baskol!$K$133)</f>
        <v/>
      </c>
      <c r="AB130">
        <f>IF([2]Baskol!$L$133="","",[2]Baskol!$L$133)</f>
        <v/>
      </c>
      <c r="AC130">
        <f>IF([2]Baskol!$N$133="","",[2]Baskol!$N$133)</f>
        <v/>
      </c>
      <c r="AD130">
        <f>IF([2]Baskol!$O$133="","",[2]Baskol!$O$133)</f>
        <v/>
      </c>
      <c r="AE130">
        <f>IF([3]Entry!$C$133="","",[3]Entry!$C$133)</f>
        <v/>
      </c>
      <c r="AF130">
        <f>IF([3]Entry!$D$133="","",[3]Entry!$D$133)</f>
        <v/>
      </c>
      <c r="AG130">
        <f>IF([3]Entry!$E$133="","",[3]Entry!$E$133)</f>
        <v/>
      </c>
      <c r="AH130">
        <f>IF([3]Entry!$G$133="","",[3]Entry!$G$133)</f>
        <v/>
      </c>
      <c r="AI130">
        <f>IF([3]Entry!$K$133="","",[3]Entry!$K$133)</f>
        <v/>
      </c>
      <c r="AJ130">
        <f>IF([3]Entry!$L$133="","",[3]Entry!$L$133)</f>
        <v/>
      </c>
      <c r="AK130">
        <f>IF([3]Entry!$M$133="","",[3]Entry!$M$133)</f>
        <v/>
      </c>
      <c r="AL130">
        <f>IF([3]Entry!$N$133="","",[3]Entry!$N$133)</f>
        <v/>
      </c>
      <c r="AM130">
        <f>IF([3]Entry!$R$133="","",[3]Entry!$R$133)</f>
        <v/>
      </c>
    </row>
    <row r="131">
      <c r="A131">
        <f>IF([1]Accounts!$D$132="","",[1]Accounts!$A$132)</f>
        <v/>
      </c>
      <c r="B131">
        <f>IF([1]Accounts!$D$132="","",[1]Accounts!$B$132)</f>
        <v/>
      </c>
      <c r="C131">
        <f>IF([1]Accounts!$D$132="","",[1]Accounts!$C$132)</f>
        <v/>
      </c>
      <c r="D131">
        <f>IF([1]Accounts!$D$132="","",[1]Accounts!$D$132)</f>
        <v/>
      </c>
      <c r="E131">
        <f>IF([1]Accounts!$D$132="","",[1]Accounts!$E$132)</f>
        <v/>
      </c>
      <c r="F131">
        <f>IF([1]Accounts!$D$132="","",[1]Accounts!$F$132)</f>
        <v/>
      </c>
      <c r="G131">
        <f>IF([1]Accounts!$D$132="","",[1]Accounts!$G$132)</f>
        <v/>
      </c>
      <c r="T131">
        <f>IF([2]Baskol!$B$134="","",[2]Baskol!$B$134)</f>
        <v/>
      </c>
      <c r="U131">
        <f>IF([2]Baskol!$C$134="","",[2]Baskol!$C$134)</f>
        <v/>
      </c>
      <c r="V131">
        <f>IF([2]Baskol!$D$134="","",[2]Baskol!$D$134)</f>
        <v/>
      </c>
      <c r="W131">
        <f>IF([2]Baskol!$E$134="","",[2]Baskol!$E$134)</f>
        <v/>
      </c>
      <c r="X131">
        <f>IF([2]Baskol!$G$134="","",[2]Baskol!$G$134)</f>
        <v/>
      </c>
      <c r="Y131">
        <f>IF([2]Baskol!$I$134="","",[2]Baskol!$I$134)</f>
        <v/>
      </c>
      <c r="Z131">
        <f>IF([2]Baskol!$J$134="","",[2]Baskol!$J$134)</f>
        <v/>
      </c>
      <c r="AA131">
        <f>IF([2]Baskol!$K$134="","",[2]Baskol!$K$134)</f>
        <v/>
      </c>
      <c r="AB131">
        <f>IF([2]Baskol!$L$134="","",[2]Baskol!$L$134)</f>
        <v/>
      </c>
      <c r="AC131">
        <f>IF([2]Baskol!$N$134="","",[2]Baskol!$N$134)</f>
        <v/>
      </c>
      <c r="AD131">
        <f>IF([2]Baskol!$O$134="","",[2]Baskol!$O$134)</f>
        <v/>
      </c>
      <c r="AE131">
        <f>IF([3]Entry!$C$134="","",[3]Entry!$C$134)</f>
        <v/>
      </c>
      <c r="AF131">
        <f>IF([3]Entry!$D$134="","",[3]Entry!$D$134)</f>
        <v/>
      </c>
      <c r="AG131">
        <f>IF([3]Entry!$E$134="","",[3]Entry!$E$134)</f>
        <v/>
      </c>
      <c r="AH131">
        <f>IF([3]Entry!$G$134="","",[3]Entry!$G$134)</f>
        <v/>
      </c>
      <c r="AI131">
        <f>IF([3]Entry!$K$134="","",[3]Entry!$K$134)</f>
        <v/>
      </c>
      <c r="AJ131">
        <f>IF([3]Entry!$L$134="","",[3]Entry!$L$134)</f>
        <v/>
      </c>
      <c r="AK131">
        <f>IF([3]Entry!$M$134="","",[3]Entry!$M$134)</f>
        <v/>
      </c>
      <c r="AL131">
        <f>IF([3]Entry!$N$134="","",[3]Entry!$N$134)</f>
        <v/>
      </c>
      <c r="AM131">
        <f>IF([3]Entry!$R$134="","",[3]Entry!$R$134)</f>
        <v/>
      </c>
    </row>
    <row r="132">
      <c r="A132">
        <f>IF([1]Accounts!$D$133="","",[1]Accounts!$A$133)</f>
        <v/>
      </c>
      <c r="B132">
        <f>IF([1]Accounts!$D$133="","",[1]Accounts!$B$133)</f>
        <v/>
      </c>
      <c r="C132">
        <f>IF([1]Accounts!$D$133="","",[1]Accounts!$C$133)</f>
        <v/>
      </c>
      <c r="D132">
        <f>IF([1]Accounts!$D$133="","",[1]Accounts!$D$133)</f>
        <v/>
      </c>
      <c r="E132">
        <f>IF([1]Accounts!$D$133="","",[1]Accounts!$E$133)</f>
        <v/>
      </c>
      <c r="F132">
        <f>IF([1]Accounts!$D$133="","",[1]Accounts!$F$133)</f>
        <v/>
      </c>
      <c r="G132">
        <f>IF([1]Accounts!$D$133="","",[1]Accounts!$G$133)</f>
        <v/>
      </c>
      <c r="T132">
        <f>IF([2]Baskol!$B$135="","",[2]Baskol!$B$135)</f>
        <v/>
      </c>
      <c r="U132">
        <f>IF([2]Baskol!$C$135="","",[2]Baskol!$C$135)</f>
        <v/>
      </c>
      <c r="V132">
        <f>IF([2]Baskol!$D$135="","",[2]Baskol!$D$135)</f>
        <v/>
      </c>
      <c r="W132">
        <f>IF([2]Baskol!$E$135="","",[2]Baskol!$E$135)</f>
        <v/>
      </c>
      <c r="X132">
        <f>IF([2]Baskol!$G$135="","",[2]Baskol!$G$135)</f>
        <v/>
      </c>
      <c r="Y132">
        <f>IF([2]Baskol!$I$135="","",[2]Baskol!$I$135)</f>
        <v/>
      </c>
      <c r="Z132">
        <f>IF([2]Baskol!$J$135="","",[2]Baskol!$J$135)</f>
        <v/>
      </c>
      <c r="AA132">
        <f>IF([2]Baskol!$K$135="","",[2]Baskol!$K$135)</f>
        <v/>
      </c>
      <c r="AB132">
        <f>IF([2]Baskol!$L$135="","",[2]Baskol!$L$135)</f>
        <v/>
      </c>
      <c r="AC132">
        <f>IF([2]Baskol!$N$135="","",[2]Baskol!$N$135)</f>
        <v/>
      </c>
      <c r="AD132">
        <f>IF([2]Baskol!$O$135="","",[2]Baskol!$O$135)</f>
        <v/>
      </c>
      <c r="AE132">
        <f>IF([3]Entry!$C$135="","",[3]Entry!$C$135)</f>
        <v/>
      </c>
      <c r="AF132">
        <f>IF([3]Entry!$D$135="","",[3]Entry!$D$135)</f>
        <v/>
      </c>
      <c r="AG132">
        <f>IF([3]Entry!$E$135="","",[3]Entry!$E$135)</f>
        <v/>
      </c>
      <c r="AH132">
        <f>IF([3]Entry!$G$135="","",[3]Entry!$G$135)</f>
        <v/>
      </c>
      <c r="AI132">
        <f>IF([3]Entry!$K$135="","",[3]Entry!$K$135)</f>
        <v/>
      </c>
      <c r="AJ132">
        <f>IF([3]Entry!$L$135="","",[3]Entry!$L$135)</f>
        <v/>
      </c>
      <c r="AK132">
        <f>IF([3]Entry!$M$135="","",[3]Entry!$M$135)</f>
        <v/>
      </c>
      <c r="AL132">
        <f>IF([3]Entry!$N$135="","",[3]Entry!$N$135)</f>
        <v/>
      </c>
      <c r="AM132">
        <f>IF([3]Entry!$R$135="","",[3]Entry!$R$135)</f>
        <v/>
      </c>
    </row>
    <row r="133">
      <c r="A133">
        <f>IF([1]Accounts!$D$134="","",[1]Accounts!$A$134)</f>
        <v/>
      </c>
      <c r="B133">
        <f>IF([1]Accounts!$D$134="","",[1]Accounts!$B$134)</f>
        <v/>
      </c>
      <c r="C133">
        <f>IF([1]Accounts!$D$134="","",[1]Accounts!$C$134)</f>
        <v/>
      </c>
      <c r="D133">
        <f>IF([1]Accounts!$D$134="","",[1]Accounts!$D$134)</f>
        <v/>
      </c>
      <c r="E133">
        <f>IF([1]Accounts!$D$134="","",[1]Accounts!$E$134)</f>
        <v/>
      </c>
      <c r="F133">
        <f>IF([1]Accounts!$D$134="","",[1]Accounts!$F$134)</f>
        <v/>
      </c>
      <c r="G133">
        <f>IF([1]Accounts!$D$134="","",[1]Accounts!$G$134)</f>
        <v/>
      </c>
      <c r="T133">
        <f>IF([2]Baskol!$B$136="","",[2]Baskol!$B$136)</f>
        <v/>
      </c>
      <c r="U133">
        <f>IF([2]Baskol!$C$136="","",[2]Baskol!$C$136)</f>
        <v/>
      </c>
      <c r="V133">
        <f>IF([2]Baskol!$D$136="","",[2]Baskol!$D$136)</f>
        <v/>
      </c>
      <c r="W133">
        <f>IF([2]Baskol!$E$136="","",[2]Baskol!$E$136)</f>
        <v/>
      </c>
      <c r="X133">
        <f>IF([2]Baskol!$G$136="","",[2]Baskol!$G$136)</f>
        <v/>
      </c>
      <c r="Y133">
        <f>IF([2]Baskol!$I$136="","",[2]Baskol!$I$136)</f>
        <v/>
      </c>
      <c r="Z133">
        <f>IF([2]Baskol!$J$136="","",[2]Baskol!$J$136)</f>
        <v/>
      </c>
      <c r="AA133">
        <f>IF([2]Baskol!$K$136="","",[2]Baskol!$K$136)</f>
        <v/>
      </c>
      <c r="AB133">
        <f>IF([2]Baskol!$L$136="","",[2]Baskol!$L$136)</f>
        <v/>
      </c>
      <c r="AC133">
        <f>IF([2]Baskol!$N$136="","",[2]Baskol!$N$136)</f>
        <v/>
      </c>
      <c r="AD133">
        <f>IF([2]Baskol!$O$136="","",[2]Baskol!$O$136)</f>
        <v/>
      </c>
      <c r="AE133">
        <f>IF([3]Entry!$C$136="","",[3]Entry!$C$136)</f>
        <v/>
      </c>
      <c r="AF133">
        <f>IF([3]Entry!$D$136="","",[3]Entry!$D$136)</f>
        <v/>
      </c>
      <c r="AG133">
        <f>IF([3]Entry!$E$136="","",[3]Entry!$E$136)</f>
        <v/>
      </c>
      <c r="AH133">
        <f>IF([3]Entry!$G$136="","",[3]Entry!$G$136)</f>
        <v/>
      </c>
      <c r="AI133">
        <f>IF([3]Entry!$K$136="","",[3]Entry!$K$136)</f>
        <v/>
      </c>
      <c r="AJ133">
        <f>IF([3]Entry!$L$136="","",[3]Entry!$L$136)</f>
        <v/>
      </c>
      <c r="AK133">
        <f>IF([3]Entry!$M$136="","",[3]Entry!$M$136)</f>
        <v/>
      </c>
      <c r="AL133">
        <f>IF([3]Entry!$N$136="","",[3]Entry!$N$136)</f>
        <v/>
      </c>
      <c r="AM133">
        <f>IF([3]Entry!$R$136="","",[3]Entry!$R$136)</f>
        <v/>
      </c>
    </row>
    <row r="134">
      <c r="A134">
        <f>IF([1]Accounts!$D$135="","",[1]Accounts!$A$135)</f>
        <v/>
      </c>
      <c r="B134">
        <f>IF([1]Accounts!$D$135="","",[1]Accounts!$B$135)</f>
        <v/>
      </c>
      <c r="C134">
        <f>IF([1]Accounts!$D$135="","",[1]Accounts!$C$135)</f>
        <v/>
      </c>
      <c r="D134">
        <f>IF([1]Accounts!$D$135="","",[1]Accounts!$D$135)</f>
        <v/>
      </c>
      <c r="E134">
        <f>IF([1]Accounts!$D$135="","",[1]Accounts!$E$135)</f>
        <v/>
      </c>
      <c r="F134">
        <f>IF([1]Accounts!$D$135="","",[1]Accounts!$F$135)</f>
        <v/>
      </c>
      <c r="G134">
        <f>IF([1]Accounts!$D$135="","",[1]Accounts!$G$135)</f>
        <v/>
      </c>
      <c r="T134">
        <f>IF([2]Baskol!$B$137="","",[2]Baskol!$B$137)</f>
        <v/>
      </c>
      <c r="U134">
        <f>IF([2]Baskol!$C$137="","",[2]Baskol!$C$137)</f>
        <v/>
      </c>
      <c r="V134">
        <f>IF([2]Baskol!$D$137="","",[2]Baskol!$D$137)</f>
        <v/>
      </c>
      <c r="W134">
        <f>IF([2]Baskol!$E$137="","",[2]Baskol!$E$137)</f>
        <v/>
      </c>
      <c r="X134">
        <f>IF([2]Baskol!$G$137="","",[2]Baskol!$G$137)</f>
        <v/>
      </c>
      <c r="Y134">
        <f>IF([2]Baskol!$I$137="","",[2]Baskol!$I$137)</f>
        <v/>
      </c>
      <c r="Z134">
        <f>IF([2]Baskol!$J$137="","",[2]Baskol!$J$137)</f>
        <v/>
      </c>
      <c r="AA134">
        <f>IF([2]Baskol!$K$137="","",[2]Baskol!$K$137)</f>
        <v/>
      </c>
      <c r="AB134">
        <f>IF([2]Baskol!$L$137="","",[2]Baskol!$L$137)</f>
        <v/>
      </c>
      <c r="AC134">
        <f>IF([2]Baskol!$N$137="","",[2]Baskol!$N$137)</f>
        <v/>
      </c>
      <c r="AD134">
        <f>IF([2]Baskol!$O$137="","",[2]Baskol!$O$137)</f>
        <v/>
      </c>
      <c r="AE134">
        <f>IF([3]Entry!$C$137="","",[3]Entry!$C$137)</f>
        <v/>
      </c>
      <c r="AF134">
        <f>IF([3]Entry!$D$137="","",[3]Entry!$D$137)</f>
        <v/>
      </c>
      <c r="AG134">
        <f>IF([3]Entry!$E$137="","",[3]Entry!$E$137)</f>
        <v/>
      </c>
      <c r="AH134">
        <f>IF([3]Entry!$G$137="","",[3]Entry!$G$137)</f>
        <v/>
      </c>
      <c r="AI134">
        <f>IF([3]Entry!$K$137="","",[3]Entry!$K$137)</f>
        <v/>
      </c>
      <c r="AJ134">
        <f>IF([3]Entry!$L$137="","",[3]Entry!$L$137)</f>
        <v/>
      </c>
      <c r="AK134">
        <f>IF([3]Entry!$M$137="","",[3]Entry!$M$137)</f>
        <v/>
      </c>
      <c r="AL134">
        <f>IF([3]Entry!$N$137="","",[3]Entry!$N$137)</f>
        <v/>
      </c>
      <c r="AM134">
        <f>IF([3]Entry!$R$137="","",[3]Entry!$R$137)</f>
        <v/>
      </c>
    </row>
    <row r="135">
      <c r="A135">
        <f>IF([1]Accounts!$D$136="","",[1]Accounts!$A$136)</f>
        <v/>
      </c>
      <c r="B135">
        <f>IF([1]Accounts!$D$136="","",[1]Accounts!$B$136)</f>
        <v/>
      </c>
      <c r="C135">
        <f>IF([1]Accounts!$D$136="","",[1]Accounts!$C$136)</f>
        <v/>
      </c>
      <c r="D135">
        <f>IF([1]Accounts!$D$136="","",[1]Accounts!$D$136)</f>
        <v/>
      </c>
      <c r="E135">
        <f>IF([1]Accounts!$D$136="","",[1]Accounts!$E$136)</f>
        <v/>
      </c>
      <c r="F135">
        <f>IF([1]Accounts!$D$136="","",[1]Accounts!$F$136)</f>
        <v/>
      </c>
      <c r="G135">
        <f>IF([1]Accounts!$D$136="","",[1]Accounts!$G$136)</f>
        <v/>
      </c>
      <c r="T135">
        <f>IF([2]Baskol!$B$138="","",[2]Baskol!$B$138)</f>
        <v/>
      </c>
      <c r="U135">
        <f>IF([2]Baskol!$C$138="","",[2]Baskol!$C$138)</f>
        <v/>
      </c>
      <c r="V135">
        <f>IF([2]Baskol!$D$138="","",[2]Baskol!$D$138)</f>
        <v/>
      </c>
      <c r="W135">
        <f>IF([2]Baskol!$E$138="","",[2]Baskol!$E$138)</f>
        <v/>
      </c>
      <c r="X135">
        <f>IF([2]Baskol!$G$138="","",[2]Baskol!$G$138)</f>
        <v/>
      </c>
      <c r="Y135">
        <f>IF([2]Baskol!$I$138="","",[2]Baskol!$I$138)</f>
        <v/>
      </c>
      <c r="Z135">
        <f>IF([2]Baskol!$J$138="","",[2]Baskol!$J$138)</f>
        <v/>
      </c>
      <c r="AA135">
        <f>IF([2]Baskol!$K$138="","",[2]Baskol!$K$138)</f>
        <v/>
      </c>
      <c r="AB135">
        <f>IF([2]Baskol!$L$138="","",[2]Baskol!$L$138)</f>
        <v/>
      </c>
      <c r="AC135">
        <f>IF([2]Baskol!$N$138="","",[2]Baskol!$N$138)</f>
        <v/>
      </c>
      <c r="AD135">
        <f>IF([2]Baskol!$O$138="","",[2]Baskol!$O$138)</f>
        <v/>
      </c>
      <c r="AE135">
        <f>IF([3]Entry!$C$138="","",[3]Entry!$C$138)</f>
        <v/>
      </c>
      <c r="AF135">
        <f>IF([3]Entry!$D$138="","",[3]Entry!$D$138)</f>
        <v/>
      </c>
      <c r="AG135">
        <f>IF([3]Entry!$E$138="","",[3]Entry!$E$138)</f>
        <v/>
      </c>
      <c r="AH135">
        <f>IF([3]Entry!$G$138="","",[3]Entry!$G$138)</f>
        <v/>
      </c>
      <c r="AI135">
        <f>IF([3]Entry!$K$138="","",[3]Entry!$K$138)</f>
        <v/>
      </c>
      <c r="AJ135">
        <f>IF([3]Entry!$L$138="","",[3]Entry!$L$138)</f>
        <v/>
      </c>
      <c r="AK135">
        <f>IF([3]Entry!$M$138="","",[3]Entry!$M$138)</f>
        <v/>
      </c>
      <c r="AL135">
        <f>IF([3]Entry!$N$138="","",[3]Entry!$N$138)</f>
        <v/>
      </c>
      <c r="AM135">
        <f>IF([3]Entry!$R$138="","",[3]Entry!$R$138)</f>
        <v/>
      </c>
    </row>
    <row r="136">
      <c r="A136">
        <f>IF([1]Accounts!$D$137="","",[1]Accounts!$A$137)</f>
        <v/>
      </c>
      <c r="B136">
        <f>IF([1]Accounts!$D$137="","",[1]Accounts!$B$137)</f>
        <v/>
      </c>
      <c r="C136">
        <f>IF([1]Accounts!$D$137="","",[1]Accounts!$C$137)</f>
        <v/>
      </c>
      <c r="D136">
        <f>IF([1]Accounts!$D$137="","",[1]Accounts!$D$137)</f>
        <v/>
      </c>
      <c r="E136">
        <f>IF([1]Accounts!$D$137="","",[1]Accounts!$E$137)</f>
        <v/>
      </c>
      <c r="F136">
        <f>IF([1]Accounts!$D$137="","",[1]Accounts!$F$137)</f>
        <v/>
      </c>
      <c r="G136">
        <f>IF([1]Accounts!$D$137="","",[1]Accounts!$G$137)</f>
        <v/>
      </c>
      <c r="T136">
        <f>IF([2]Baskol!$B$139="","",[2]Baskol!$B$139)</f>
        <v/>
      </c>
      <c r="U136">
        <f>IF([2]Baskol!$C$139="","",[2]Baskol!$C$139)</f>
        <v/>
      </c>
      <c r="V136">
        <f>IF([2]Baskol!$D$139="","",[2]Baskol!$D$139)</f>
        <v/>
      </c>
      <c r="W136">
        <f>IF([2]Baskol!$E$139="","",[2]Baskol!$E$139)</f>
        <v/>
      </c>
      <c r="X136">
        <f>IF([2]Baskol!$G$139="","",[2]Baskol!$G$139)</f>
        <v/>
      </c>
      <c r="Y136">
        <f>IF([2]Baskol!$I$139="","",[2]Baskol!$I$139)</f>
        <v/>
      </c>
      <c r="Z136">
        <f>IF([2]Baskol!$J$139="","",[2]Baskol!$J$139)</f>
        <v/>
      </c>
      <c r="AA136">
        <f>IF([2]Baskol!$K$139="","",[2]Baskol!$K$139)</f>
        <v/>
      </c>
      <c r="AB136">
        <f>IF([2]Baskol!$L$139="","",[2]Baskol!$L$139)</f>
        <v/>
      </c>
      <c r="AC136">
        <f>IF([2]Baskol!$N$139="","",[2]Baskol!$N$139)</f>
        <v/>
      </c>
      <c r="AD136">
        <f>IF([2]Baskol!$O$139="","",[2]Baskol!$O$139)</f>
        <v/>
      </c>
      <c r="AE136">
        <f>IF([3]Entry!$C$139="","",[3]Entry!$C$139)</f>
        <v/>
      </c>
      <c r="AF136">
        <f>IF([3]Entry!$D$139="","",[3]Entry!$D$139)</f>
        <v/>
      </c>
      <c r="AG136">
        <f>IF([3]Entry!$E$139="","",[3]Entry!$E$139)</f>
        <v/>
      </c>
      <c r="AH136">
        <f>IF([3]Entry!$G$139="","",[3]Entry!$G$139)</f>
        <v/>
      </c>
      <c r="AI136">
        <f>IF([3]Entry!$K$139="","",[3]Entry!$K$139)</f>
        <v/>
      </c>
      <c r="AJ136">
        <f>IF([3]Entry!$L$139="","",[3]Entry!$L$139)</f>
        <v/>
      </c>
      <c r="AK136">
        <f>IF([3]Entry!$M$139="","",[3]Entry!$M$139)</f>
        <v/>
      </c>
      <c r="AL136">
        <f>IF([3]Entry!$N$139="","",[3]Entry!$N$139)</f>
        <v/>
      </c>
      <c r="AM136">
        <f>IF([3]Entry!$R$139="","",[3]Entry!$R$139)</f>
        <v/>
      </c>
    </row>
    <row r="137">
      <c r="A137">
        <f>IF([1]Accounts!$D$138="","",[1]Accounts!$A$138)</f>
        <v/>
      </c>
      <c r="B137">
        <f>IF([1]Accounts!$D$138="","",[1]Accounts!$B$138)</f>
        <v/>
      </c>
      <c r="C137">
        <f>IF([1]Accounts!$D$138="","",[1]Accounts!$C$138)</f>
        <v/>
      </c>
      <c r="D137">
        <f>IF([1]Accounts!$D$138="","",[1]Accounts!$D$138)</f>
        <v/>
      </c>
      <c r="E137">
        <f>IF([1]Accounts!$D$138="","",[1]Accounts!$E$138)</f>
        <v/>
      </c>
      <c r="F137">
        <f>IF([1]Accounts!$D$138="","",[1]Accounts!$F$138)</f>
        <v/>
      </c>
      <c r="G137">
        <f>IF([1]Accounts!$D$138="","",[1]Accounts!$G$138)</f>
        <v/>
      </c>
      <c r="T137">
        <f>IF([2]Baskol!$B$140="","",[2]Baskol!$B$140)</f>
        <v/>
      </c>
      <c r="U137">
        <f>IF([2]Baskol!$C$140="","",[2]Baskol!$C$140)</f>
        <v/>
      </c>
      <c r="V137">
        <f>IF([2]Baskol!$D$140="","",[2]Baskol!$D$140)</f>
        <v/>
      </c>
      <c r="W137">
        <f>IF([2]Baskol!$E$140="","",[2]Baskol!$E$140)</f>
        <v/>
      </c>
      <c r="X137">
        <f>IF([2]Baskol!$G$140="","",[2]Baskol!$G$140)</f>
        <v/>
      </c>
      <c r="Y137">
        <f>IF([2]Baskol!$I$140="","",[2]Baskol!$I$140)</f>
        <v/>
      </c>
      <c r="Z137">
        <f>IF([2]Baskol!$J$140="","",[2]Baskol!$J$140)</f>
        <v/>
      </c>
      <c r="AA137">
        <f>IF([2]Baskol!$K$140="","",[2]Baskol!$K$140)</f>
        <v/>
      </c>
      <c r="AB137">
        <f>IF([2]Baskol!$L$140="","",[2]Baskol!$L$140)</f>
        <v/>
      </c>
      <c r="AC137">
        <f>IF([2]Baskol!$N$140="","",[2]Baskol!$N$140)</f>
        <v/>
      </c>
      <c r="AD137">
        <f>IF([2]Baskol!$O$140="","",[2]Baskol!$O$140)</f>
        <v/>
      </c>
      <c r="AE137">
        <f>IF([3]Entry!$C$140="","",[3]Entry!$C$140)</f>
        <v/>
      </c>
      <c r="AF137">
        <f>IF([3]Entry!$D$140="","",[3]Entry!$D$140)</f>
        <v/>
      </c>
      <c r="AG137">
        <f>IF([3]Entry!$E$140="","",[3]Entry!$E$140)</f>
        <v/>
      </c>
      <c r="AH137">
        <f>IF([3]Entry!$G$140="","",[3]Entry!$G$140)</f>
        <v/>
      </c>
      <c r="AI137">
        <f>IF([3]Entry!$K$140="","",[3]Entry!$K$140)</f>
        <v/>
      </c>
      <c r="AJ137">
        <f>IF([3]Entry!$L$140="","",[3]Entry!$L$140)</f>
        <v/>
      </c>
      <c r="AK137">
        <f>IF([3]Entry!$M$140="","",[3]Entry!$M$140)</f>
        <v/>
      </c>
      <c r="AL137">
        <f>IF([3]Entry!$N$140="","",[3]Entry!$N$140)</f>
        <v/>
      </c>
      <c r="AM137">
        <f>IF([3]Entry!$R$140="","",[3]Entry!$R$140)</f>
        <v/>
      </c>
    </row>
    <row r="138">
      <c r="A138">
        <f>IF([1]Accounts!$D$139="","",[1]Accounts!$A$139)</f>
        <v/>
      </c>
      <c r="B138">
        <f>IF([1]Accounts!$D$139="","",[1]Accounts!$B$139)</f>
        <v/>
      </c>
      <c r="C138">
        <f>IF([1]Accounts!$D$139="","",[1]Accounts!$C$139)</f>
        <v/>
      </c>
      <c r="D138">
        <f>IF([1]Accounts!$D$139="","",[1]Accounts!$D$139)</f>
        <v/>
      </c>
      <c r="E138">
        <f>IF([1]Accounts!$D$139="","",[1]Accounts!$E$139)</f>
        <v/>
      </c>
      <c r="F138">
        <f>IF([1]Accounts!$D$139="","",[1]Accounts!$F$139)</f>
        <v/>
      </c>
      <c r="G138">
        <f>IF([1]Accounts!$D$139="","",[1]Accounts!$G$139)</f>
        <v/>
      </c>
      <c r="T138">
        <f>IF([2]Baskol!$B$141="","",[2]Baskol!$B$141)</f>
        <v/>
      </c>
      <c r="U138">
        <f>IF([2]Baskol!$C$141="","",[2]Baskol!$C$141)</f>
        <v/>
      </c>
      <c r="V138">
        <f>IF([2]Baskol!$D$141="","",[2]Baskol!$D$141)</f>
        <v/>
      </c>
      <c r="W138">
        <f>IF([2]Baskol!$E$141="","",[2]Baskol!$E$141)</f>
        <v/>
      </c>
      <c r="X138">
        <f>IF([2]Baskol!$G$141="","",[2]Baskol!$G$141)</f>
        <v/>
      </c>
      <c r="Y138">
        <f>IF([2]Baskol!$I$141="","",[2]Baskol!$I$141)</f>
        <v/>
      </c>
      <c r="Z138">
        <f>IF([2]Baskol!$J$141="","",[2]Baskol!$J$141)</f>
        <v/>
      </c>
      <c r="AA138">
        <f>IF([2]Baskol!$K$141="","",[2]Baskol!$K$141)</f>
        <v/>
      </c>
      <c r="AB138">
        <f>IF([2]Baskol!$L$141="","",[2]Baskol!$L$141)</f>
        <v/>
      </c>
      <c r="AC138">
        <f>IF([2]Baskol!$N$141="","",[2]Baskol!$N$141)</f>
        <v/>
      </c>
      <c r="AD138">
        <f>IF([2]Baskol!$O$141="","",[2]Baskol!$O$141)</f>
        <v/>
      </c>
      <c r="AE138">
        <f>IF([3]Entry!$C$141="","",[3]Entry!$C$141)</f>
        <v/>
      </c>
      <c r="AF138">
        <f>IF([3]Entry!$D$141="","",[3]Entry!$D$141)</f>
        <v/>
      </c>
      <c r="AG138">
        <f>IF([3]Entry!$E$141="","",[3]Entry!$E$141)</f>
        <v/>
      </c>
      <c r="AH138">
        <f>IF([3]Entry!$G$141="","",[3]Entry!$G$141)</f>
        <v/>
      </c>
      <c r="AI138">
        <f>IF([3]Entry!$K$141="","",[3]Entry!$K$141)</f>
        <v/>
      </c>
      <c r="AJ138">
        <f>IF([3]Entry!$L$141="","",[3]Entry!$L$141)</f>
        <v/>
      </c>
      <c r="AK138">
        <f>IF([3]Entry!$M$141="","",[3]Entry!$M$141)</f>
        <v/>
      </c>
      <c r="AL138">
        <f>IF([3]Entry!$N$141="","",[3]Entry!$N$141)</f>
        <v/>
      </c>
      <c r="AM138">
        <f>IF([3]Entry!$R$141="","",[3]Entry!$R$141)</f>
        <v/>
      </c>
    </row>
    <row r="139">
      <c r="A139">
        <f>IF([1]Accounts!$D$140="","",[1]Accounts!$A$140)</f>
        <v/>
      </c>
      <c r="B139">
        <f>IF([1]Accounts!$D$140="","",[1]Accounts!$B$140)</f>
        <v/>
      </c>
      <c r="C139">
        <f>IF([1]Accounts!$D$140="","",[1]Accounts!$C$140)</f>
        <v/>
      </c>
      <c r="D139">
        <f>IF([1]Accounts!$D$140="","",[1]Accounts!$D$140)</f>
        <v/>
      </c>
      <c r="E139">
        <f>IF([1]Accounts!$D$140="","",[1]Accounts!$E$140)</f>
        <v/>
      </c>
      <c r="F139">
        <f>IF([1]Accounts!$D$140="","",[1]Accounts!$F$140)</f>
        <v/>
      </c>
      <c r="G139">
        <f>IF([1]Accounts!$D$140="","",[1]Accounts!$G$140)</f>
        <v/>
      </c>
      <c r="T139">
        <f>IF([2]Baskol!$B$142="","",[2]Baskol!$B$142)</f>
        <v/>
      </c>
      <c r="U139">
        <f>IF([2]Baskol!$C$142="","",[2]Baskol!$C$142)</f>
        <v/>
      </c>
      <c r="V139">
        <f>IF([2]Baskol!$D$142="","",[2]Baskol!$D$142)</f>
        <v/>
      </c>
      <c r="W139">
        <f>IF([2]Baskol!$E$142="","",[2]Baskol!$E$142)</f>
        <v/>
      </c>
      <c r="X139">
        <f>IF([2]Baskol!$G$142="","",[2]Baskol!$G$142)</f>
        <v/>
      </c>
      <c r="Y139">
        <f>IF([2]Baskol!$I$142="","",[2]Baskol!$I$142)</f>
        <v/>
      </c>
      <c r="Z139">
        <f>IF([2]Baskol!$J$142="","",[2]Baskol!$J$142)</f>
        <v/>
      </c>
      <c r="AA139">
        <f>IF([2]Baskol!$K$142="","",[2]Baskol!$K$142)</f>
        <v/>
      </c>
      <c r="AB139">
        <f>IF([2]Baskol!$L$142="","",[2]Baskol!$L$142)</f>
        <v/>
      </c>
      <c r="AC139">
        <f>IF([2]Baskol!$N$142="","",[2]Baskol!$N$142)</f>
        <v/>
      </c>
      <c r="AD139">
        <f>IF([2]Baskol!$O$142="","",[2]Baskol!$O$142)</f>
        <v/>
      </c>
      <c r="AE139">
        <f>IF([3]Entry!$C$142="","",[3]Entry!$C$142)</f>
        <v/>
      </c>
      <c r="AF139">
        <f>IF([3]Entry!$D$142="","",[3]Entry!$D$142)</f>
        <v/>
      </c>
      <c r="AG139">
        <f>IF([3]Entry!$E$142="","",[3]Entry!$E$142)</f>
        <v/>
      </c>
      <c r="AH139">
        <f>IF([3]Entry!$G$142="","",[3]Entry!$G$142)</f>
        <v/>
      </c>
      <c r="AI139">
        <f>IF([3]Entry!$K$142="","",[3]Entry!$K$142)</f>
        <v/>
      </c>
      <c r="AJ139">
        <f>IF([3]Entry!$L$142="","",[3]Entry!$L$142)</f>
        <v/>
      </c>
      <c r="AK139">
        <f>IF([3]Entry!$M$142="","",[3]Entry!$M$142)</f>
        <v/>
      </c>
      <c r="AL139">
        <f>IF([3]Entry!$N$142="","",[3]Entry!$N$142)</f>
        <v/>
      </c>
      <c r="AM139">
        <f>IF([3]Entry!$R$142="","",[3]Entry!$R$142)</f>
        <v/>
      </c>
    </row>
    <row r="140">
      <c r="A140">
        <f>IF([1]Accounts!$D$141="","",[1]Accounts!$A$141)</f>
        <v/>
      </c>
      <c r="B140">
        <f>IF([1]Accounts!$D$141="","",[1]Accounts!$B$141)</f>
        <v/>
      </c>
      <c r="C140">
        <f>IF([1]Accounts!$D$141="","",[1]Accounts!$C$141)</f>
        <v/>
      </c>
      <c r="D140">
        <f>IF([1]Accounts!$D$141="","",[1]Accounts!$D$141)</f>
        <v/>
      </c>
      <c r="E140">
        <f>IF([1]Accounts!$D$141="","",[1]Accounts!$E$141)</f>
        <v/>
      </c>
      <c r="F140">
        <f>IF([1]Accounts!$D$141="","",[1]Accounts!$F$141)</f>
        <v/>
      </c>
      <c r="G140">
        <f>IF([1]Accounts!$D$141="","",[1]Accounts!$G$141)</f>
        <v/>
      </c>
      <c r="T140">
        <f>IF([2]Baskol!$B$143="","",[2]Baskol!$B$143)</f>
        <v/>
      </c>
      <c r="U140">
        <f>IF([2]Baskol!$C$143="","",[2]Baskol!$C$143)</f>
        <v/>
      </c>
      <c r="V140">
        <f>IF([2]Baskol!$D$143="","",[2]Baskol!$D$143)</f>
        <v/>
      </c>
      <c r="W140">
        <f>IF([2]Baskol!$E$143="","",[2]Baskol!$E$143)</f>
        <v/>
      </c>
      <c r="X140">
        <f>IF([2]Baskol!$G$143="","",[2]Baskol!$G$143)</f>
        <v/>
      </c>
      <c r="Y140">
        <f>IF([2]Baskol!$I$143="","",[2]Baskol!$I$143)</f>
        <v/>
      </c>
      <c r="Z140">
        <f>IF([2]Baskol!$J$143="","",[2]Baskol!$J$143)</f>
        <v/>
      </c>
      <c r="AA140">
        <f>IF([2]Baskol!$K$143="","",[2]Baskol!$K$143)</f>
        <v/>
      </c>
      <c r="AB140">
        <f>IF([2]Baskol!$L$143="","",[2]Baskol!$L$143)</f>
        <v/>
      </c>
      <c r="AC140">
        <f>IF([2]Baskol!$N$143="","",[2]Baskol!$N$143)</f>
        <v/>
      </c>
      <c r="AD140">
        <f>IF([2]Baskol!$O$143="","",[2]Baskol!$O$143)</f>
        <v/>
      </c>
      <c r="AE140">
        <f>IF([3]Entry!$C$143="","",[3]Entry!$C$143)</f>
        <v/>
      </c>
      <c r="AF140">
        <f>IF([3]Entry!$D$143="","",[3]Entry!$D$143)</f>
        <v/>
      </c>
      <c r="AG140">
        <f>IF([3]Entry!$E$143="","",[3]Entry!$E$143)</f>
        <v/>
      </c>
      <c r="AH140">
        <f>IF([3]Entry!$G$143="","",[3]Entry!$G$143)</f>
        <v/>
      </c>
      <c r="AI140">
        <f>IF([3]Entry!$K$143="","",[3]Entry!$K$143)</f>
        <v/>
      </c>
      <c r="AJ140">
        <f>IF([3]Entry!$L$143="","",[3]Entry!$L$143)</f>
        <v/>
      </c>
      <c r="AK140">
        <f>IF([3]Entry!$M$143="","",[3]Entry!$M$143)</f>
        <v/>
      </c>
      <c r="AL140">
        <f>IF([3]Entry!$N$143="","",[3]Entry!$N$143)</f>
        <v/>
      </c>
      <c r="AM140">
        <f>IF([3]Entry!$R$143="","",[3]Entry!$R$143)</f>
        <v/>
      </c>
    </row>
    <row r="141">
      <c r="A141">
        <f>IF([1]Accounts!$D$142="","",[1]Accounts!$A$142)</f>
        <v/>
      </c>
      <c r="B141">
        <f>IF([1]Accounts!$D$142="","",[1]Accounts!$B$142)</f>
        <v/>
      </c>
      <c r="C141">
        <f>IF([1]Accounts!$D$142="","",[1]Accounts!$C$142)</f>
        <v/>
      </c>
      <c r="D141">
        <f>IF([1]Accounts!$D$142="","",[1]Accounts!$D$142)</f>
        <v/>
      </c>
      <c r="E141">
        <f>IF([1]Accounts!$D$142="","",[1]Accounts!$E$142)</f>
        <v/>
      </c>
      <c r="F141">
        <f>IF([1]Accounts!$D$142="","",[1]Accounts!$F$142)</f>
        <v/>
      </c>
      <c r="G141">
        <f>IF([1]Accounts!$D$142="","",[1]Accounts!$G$142)</f>
        <v/>
      </c>
      <c r="T141">
        <f>IF([2]Baskol!$B$144="","",[2]Baskol!$B$144)</f>
        <v/>
      </c>
      <c r="U141">
        <f>IF([2]Baskol!$C$144="","",[2]Baskol!$C$144)</f>
        <v/>
      </c>
      <c r="V141">
        <f>IF([2]Baskol!$D$144="","",[2]Baskol!$D$144)</f>
        <v/>
      </c>
      <c r="W141">
        <f>IF([2]Baskol!$E$144="","",[2]Baskol!$E$144)</f>
        <v/>
      </c>
      <c r="X141">
        <f>IF([2]Baskol!$G$144="","",[2]Baskol!$G$144)</f>
        <v/>
      </c>
      <c r="Y141">
        <f>IF([2]Baskol!$I$144="","",[2]Baskol!$I$144)</f>
        <v/>
      </c>
      <c r="Z141">
        <f>IF([2]Baskol!$J$144="","",[2]Baskol!$J$144)</f>
        <v/>
      </c>
      <c r="AA141">
        <f>IF([2]Baskol!$K$144="","",[2]Baskol!$K$144)</f>
        <v/>
      </c>
      <c r="AB141">
        <f>IF([2]Baskol!$L$144="","",[2]Baskol!$L$144)</f>
        <v/>
      </c>
      <c r="AC141">
        <f>IF([2]Baskol!$N$144="","",[2]Baskol!$N$144)</f>
        <v/>
      </c>
      <c r="AD141">
        <f>IF([2]Baskol!$O$144="","",[2]Baskol!$O$144)</f>
        <v/>
      </c>
      <c r="AE141">
        <f>IF([3]Entry!$C$144="","",[3]Entry!$C$144)</f>
        <v/>
      </c>
      <c r="AF141">
        <f>IF([3]Entry!$D$144="","",[3]Entry!$D$144)</f>
        <v/>
      </c>
      <c r="AG141">
        <f>IF([3]Entry!$E$144="","",[3]Entry!$E$144)</f>
        <v/>
      </c>
      <c r="AH141">
        <f>IF([3]Entry!$G$144="","",[3]Entry!$G$144)</f>
        <v/>
      </c>
      <c r="AI141">
        <f>IF([3]Entry!$K$144="","",[3]Entry!$K$144)</f>
        <v/>
      </c>
      <c r="AJ141">
        <f>IF([3]Entry!$L$144="","",[3]Entry!$L$144)</f>
        <v/>
      </c>
      <c r="AK141">
        <f>IF([3]Entry!$M$144="","",[3]Entry!$M$144)</f>
        <v/>
      </c>
      <c r="AL141">
        <f>IF([3]Entry!$N$144="","",[3]Entry!$N$144)</f>
        <v/>
      </c>
      <c r="AM141">
        <f>IF([3]Entry!$R$144="","",[3]Entry!$R$144)</f>
        <v/>
      </c>
    </row>
    <row r="142">
      <c r="A142">
        <f>IF([1]Accounts!$D$143="","",[1]Accounts!$A$143)</f>
        <v/>
      </c>
      <c r="B142">
        <f>IF([1]Accounts!$D$143="","",[1]Accounts!$B$143)</f>
        <v/>
      </c>
      <c r="C142">
        <f>IF([1]Accounts!$D$143="","",[1]Accounts!$C$143)</f>
        <v/>
      </c>
      <c r="D142">
        <f>IF([1]Accounts!$D$143="","",[1]Accounts!$D$143)</f>
        <v/>
      </c>
      <c r="E142">
        <f>IF([1]Accounts!$D$143="","",[1]Accounts!$E$143)</f>
        <v/>
      </c>
      <c r="F142">
        <f>IF([1]Accounts!$D$143="","",[1]Accounts!$F$143)</f>
        <v/>
      </c>
      <c r="G142">
        <f>IF([1]Accounts!$D$143="","",[1]Accounts!$G$143)</f>
        <v/>
      </c>
      <c r="T142">
        <f>IF([2]Baskol!$B$145="","",[2]Baskol!$B$145)</f>
        <v/>
      </c>
      <c r="U142">
        <f>IF([2]Baskol!$C$145="","",[2]Baskol!$C$145)</f>
        <v/>
      </c>
      <c r="V142">
        <f>IF([2]Baskol!$D$145="","",[2]Baskol!$D$145)</f>
        <v/>
      </c>
      <c r="W142">
        <f>IF([2]Baskol!$E$145="","",[2]Baskol!$E$145)</f>
        <v/>
      </c>
      <c r="X142">
        <f>IF([2]Baskol!$G$145="","",[2]Baskol!$G$145)</f>
        <v/>
      </c>
      <c r="Y142">
        <f>IF([2]Baskol!$I$145="","",[2]Baskol!$I$145)</f>
        <v/>
      </c>
      <c r="Z142">
        <f>IF([2]Baskol!$J$145="","",[2]Baskol!$J$145)</f>
        <v/>
      </c>
      <c r="AA142">
        <f>IF([2]Baskol!$K$145="","",[2]Baskol!$K$145)</f>
        <v/>
      </c>
      <c r="AB142">
        <f>IF([2]Baskol!$L$145="","",[2]Baskol!$L$145)</f>
        <v/>
      </c>
      <c r="AC142">
        <f>IF([2]Baskol!$N$145="","",[2]Baskol!$N$145)</f>
        <v/>
      </c>
      <c r="AD142">
        <f>IF([2]Baskol!$O$145="","",[2]Baskol!$O$145)</f>
        <v/>
      </c>
      <c r="AE142">
        <f>IF([3]Entry!$C$145="","",[3]Entry!$C$145)</f>
        <v/>
      </c>
      <c r="AF142">
        <f>IF([3]Entry!$D$145="","",[3]Entry!$D$145)</f>
        <v/>
      </c>
      <c r="AG142">
        <f>IF([3]Entry!$E$145="","",[3]Entry!$E$145)</f>
        <v/>
      </c>
      <c r="AH142">
        <f>IF([3]Entry!$G$145="","",[3]Entry!$G$145)</f>
        <v/>
      </c>
      <c r="AI142">
        <f>IF([3]Entry!$K$145="","",[3]Entry!$K$145)</f>
        <v/>
      </c>
      <c r="AJ142">
        <f>IF([3]Entry!$L$145="","",[3]Entry!$L$145)</f>
        <v/>
      </c>
      <c r="AK142">
        <f>IF([3]Entry!$M$145="","",[3]Entry!$M$145)</f>
        <v/>
      </c>
      <c r="AL142">
        <f>IF([3]Entry!$N$145="","",[3]Entry!$N$145)</f>
        <v/>
      </c>
      <c r="AM142">
        <f>IF([3]Entry!$R$145="","",[3]Entry!$R$145)</f>
        <v/>
      </c>
    </row>
    <row r="143">
      <c r="A143">
        <f>IF([1]Accounts!$D$144="","",[1]Accounts!$A$144)</f>
        <v/>
      </c>
      <c r="B143">
        <f>IF([1]Accounts!$D$144="","",[1]Accounts!$B$144)</f>
        <v/>
      </c>
      <c r="C143">
        <f>IF([1]Accounts!$D$144="","",[1]Accounts!$C$144)</f>
        <v/>
      </c>
      <c r="D143">
        <f>IF([1]Accounts!$D$144="","",[1]Accounts!$D$144)</f>
        <v/>
      </c>
      <c r="E143">
        <f>IF([1]Accounts!$D$144="","",[1]Accounts!$E$144)</f>
        <v/>
      </c>
      <c r="F143">
        <f>IF([1]Accounts!$D$144="","",[1]Accounts!$F$144)</f>
        <v/>
      </c>
      <c r="G143">
        <f>IF([1]Accounts!$D$144="","",[1]Accounts!$G$144)</f>
        <v/>
      </c>
      <c r="T143">
        <f>IF([2]Baskol!$B$146="","",[2]Baskol!$B$146)</f>
        <v/>
      </c>
      <c r="U143">
        <f>IF([2]Baskol!$C$146="","",[2]Baskol!$C$146)</f>
        <v/>
      </c>
      <c r="V143">
        <f>IF([2]Baskol!$D$146="","",[2]Baskol!$D$146)</f>
        <v/>
      </c>
      <c r="W143">
        <f>IF([2]Baskol!$E$146="","",[2]Baskol!$E$146)</f>
        <v/>
      </c>
      <c r="X143">
        <f>IF([2]Baskol!$G$146="","",[2]Baskol!$G$146)</f>
        <v/>
      </c>
      <c r="Y143">
        <f>IF([2]Baskol!$I$146="","",[2]Baskol!$I$146)</f>
        <v/>
      </c>
      <c r="Z143">
        <f>IF([2]Baskol!$J$146="","",[2]Baskol!$J$146)</f>
        <v/>
      </c>
      <c r="AA143">
        <f>IF([2]Baskol!$K$146="","",[2]Baskol!$K$146)</f>
        <v/>
      </c>
      <c r="AB143">
        <f>IF([2]Baskol!$L$146="","",[2]Baskol!$L$146)</f>
        <v/>
      </c>
      <c r="AC143">
        <f>IF([2]Baskol!$N$146="","",[2]Baskol!$N$146)</f>
        <v/>
      </c>
      <c r="AD143">
        <f>IF([2]Baskol!$O$146="","",[2]Baskol!$O$146)</f>
        <v/>
      </c>
      <c r="AE143">
        <f>IF([3]Entry!$C$146="","",[3]Entry!$C$146)</f>
        <v/>
      </c>
      <c r="AF143">
        <f>IF([3]Entry!$D$146="","",[3]Entry!$D$146)</f>
        <v/>
      </c>
      <c r="AG143">
        <f>IF([3]Entry!$E$146="","",[3]Entry!$E$146)</f>
        <v/>
      </c>
      <c r="AH143">
        <f>IF([3]Entry!$G$146="","",[3]Entry!$G$146)</f>
        <v/>
      </c>
      <c r="AI143">
        <f>IF([3]Entry!$K$146="","",[3]Entry!$K$146)</f>
        <v/>
      </c>
      <c r="AJ143">
        <f>IF([3]Entry!$L$146="","",[3]Entry!$L$146)</f>
        <v/>
      </c>
      <c r="AK143">
        <f>IF([3]Entry!$M$146="","",[3]Entry!$M$146)</f>
        <v/>
      </c>
      <c r="AL143">
        <f>IF([3]Entry!$N$146="","",[3]Entry!$N$146)</f>
        <v/>
      </c>
      <c r="AM143">
        <f>IF([3]Entry!$R$146="","",[3]Entry!$R$146)</f>
        <v/>
      </c>
    </row>
    <row r="144">
      <c r="A144">
        <f>IF([1]Accounts!$D$145="","",[1]Accounts!$A$145)</f>
        <v/>
      </c>
      <c r="B144">
        <f>IF([1]Accounts!$D$145="","",[1]Accounts!$B$145)</f>
        <v/>
      </c>
      <c r="C144">
        <f>IF([1]Accounts!$D$145="","",[1]Accounts!$C$145)</f>
        <v/>
      </c>
      <c r="D144">
        <f>IF([1]Accounts!$D$145="","",[1]Accounts!$D$145)</f>
        <v/>
      </c>
      <c r="E144">
        <f>IF([1]Accounts!$D$145="","",[1]Accounts!$E$145)</f>
        <v/>
      </c>
      <c r="F144">
        <f>IF([1]Accounts!$D$145="","",[1]Accounts!$F$145)</f>
        <v/>
      </c>
      <c r="G144">
        <f>IF([1]Accounts!$D$145="","",[1]Accounts!$G$145)</f>
        <v/>
      </c>
      <c r="T144">
        <f>IF([2]Baskol!$B$147="","",[2]Baskol!$B$147)</f>
        <v/>
      </c>
      <c r="U144">
        <f>IF([2]Baskol!$C$147="","",[2]Baskol!$C$147)</f>
        <v/>
      </c>
      <c r="V144">
        <f>IF([2]Baskol!$D$147="","",[2]Baskol!$D$147)</f>
        <v/>
      </c>
      <c r="W144">
        <f>IF([2]Baskol!$E$147="","",[2]Baskol!$E$147)</f>
        <v/>
      </c>
      <c r="X144">
        <f>IF([2]Baskol!$G$147="","",[2]Baskol!$G$147)</f>
        <v/>
      </c>
      <c r="Y144">
        <f>IF([2]Baskol!$I$147="","",[2]Baskol!$I$147)</f>
        <v/>
      </c>
      <c r="Z144">
        <f>IF([2]Baskol!$J$147="","",[2]Baskol!$J$147)</f>
        <v/>
      </c>
      <c r="AA144">
        <f>IF([2]Baskol!$K$147="","",[2]Baskol!$K$147)</f>
        <v/>
      </c>
      <c r="AB144">
        <f>IF([2]Baskol!$L$147="","",[2]Baskol!$L$147)</f>
        <v/>
      </c>
      <c r="AC144">
        <f>IF([2]Baskol!$N$147="","",[2]Baskol!$N$147)</f>
        <v/>
      </c>
      <c r="AD144">
        <f>IF([2]Baskol!$O$147="","",[2]Baskol!$O$147)</f>
        <v/>
      </c>
      <c r="AE144">
        <f>IF([3]Entry!$C$147="","",[3]Entry!$C$147)</f>
        <v/>
      </c>
      <c r="AF144">
        <f>IF([3]Entry!$D$147="","",[3]Entry!$D$147)</f>
        <v/>
      </c>
      <c r="AG144">
        <f>IF([3]Entry!$E$147="","",[3]Entry!$E$147)</f>
        <v/>
      </c>
      <c r="AH144">
        <f>IF([3]Entry!$G$147="","",[3]Entry!$G$147)</f>
        <v/>
      </c>
      <c r="AI144">
        <f>IF([3]Entry!$K$147="","",[3]Entry!$K$147)</f>
        <v/>
      </c>
      <c r="AJ144">
        <f>IF([3]Entry!$L$147="","",[3]Entry!$L$147)</f>
        <v/>
      </c>
      <c r="AK144">
        <f>IF([3]Entry!$M$147="","",[3]Entry!$M$147)</f>
        <v/>
      </c>
      <c r="AL144">
        <f>IF([3]Entry!$N$147="","",[3]Entry!$N$147)</f>
        <v/>
      </c>
      <c r="AM144">
        <f>IF([3]Entry!$R$147="","",[3]Entry!$R$147)</f>
        <v/>
      </c>
    </row>
    <row r="145">
      <c r="A145">
        <f>IF([1]Accounts!$D$146="","",[1]Accounts!$A$146)</f>
        <v/>
      </c>
      <c r="B145">
        <f>IF([1]Accounts!$D$146="","",[1]Accounts!$B$146)</f>
        <v/>
      </c>
      <c r="C145">
        <f>IF([1]Accounts!$D$146="","",[1]Accounts!$C$146)</f>
        <v/>
      </c>
      <c r="D145">
        <f>IF([1]Accounts!$D$146="","",[1]Accounts!$D$146)</f>
        <v/>
      </c>
      <c r="E145">
        <f>IF([1]Accounts!$D$146="","",[1]Accounts!$E$146)</f>
        <v/>
      </c>
      <c r="F145">
        <f>IF([1]Accounts!$D$146="","",[1]Accounts!$F$146)</f>
        <v/>
      </c>
      <c r="G145">
        <f>IF([1]Accounts!$D$146="","",[1]Accounts!$G$146)</f>
        <v/>
      </c>
      <c r="T145">
        <f>IF([2]Baskol!$B$148="","",[2]Baskol!$B$148)</f>
        <v/>
      </c>
      <c r="U145">
        <f>IF([2]Baskol!$C$148="","",[2]Baskol!$C$148)</f>
        <v/>
      </c>
      <c r="V145">
        <f>IF([2]Baskol!$D$148="","",[2]Baskol!$D$148)</f>
        <v/>
      </c>
      <c r="W145">
        <f>IF([2]Baskol!$E$148="","",[2]Baskol!$E$148)</f>
        <v/>
      </c>
      <c r="X145">
        <f>IF([2]Baskol!$G$148="","",[2]Baskol!$G$148)</f>
        <v/>
      </c>
      <c r="Y145">
        <f>IF([2]Baskol!$I$148="","",[2]Baskol!$I$148)</f>
        <v/>
      </c>
      <c r="Z145">
        <f>IF([2]Baskol!$J$148="","",[2]Baskol!$J$148)</f>
        <v/>
      </c>
      <c r="AA145">
        <f>IF([2]Baskol!$K$148="","",[2]Baskol!$K$148)</f>
        <v/>
      </c>
      <c r="AB145">
        <f>IF([2]Baskol!$L$148="","",[2]Baskol!$L$148)</f>
        <v/>
      </c>
      <c r="AC145">
        <f>IF([2]Baskol!$N$148="","",[2]Baskol!$N$148)</f>
        <v/>
      </c>
      <c r="AD145">
        <f>IF([2]Baskol!$O$148="","",[2]Baskol!$O$148)</f>
        <v/>
      </c>
      <c r="AE145">
        <f>IF([3]Entry!$C$148="","",[3]Entry!$C$148)</f>
        <v/>
      </c>
      <c r="AF145">
        <f>IF([3]Entry!$D$148="","",[3]Entry!$D$148)</f>
        <v/>
      </c>
      <c r="AG145">
        <f>IF([3]Entry!$E$148="","",[3]Entry!$E$148)</f>
        <v/>
      </c>
      <c r="AH145">
        <f>IF([3]Entry!$G$148="","",[3]Entry!$G$148)</f>
        <v/>
      </c>
      <c r="AI145">
        <f>IF([3]Entry!$K$148="","",[3]Entry!$K$148)</f>
        <v/>
      </c>
      <c r="AJ145">
        <f>IF([3]Entry!$L$148="","",[3]Entry!$L$148)</f>
        <v/>
      </c>
      <c r="AK145">
        <f>IF([3]Entry!$M$148="","",[3]Entry!$M$148)</f>
        <v/>
      </c>
      <c r="AL145">
        <f>IF([3]Entry!$N$148="","",[3]Entry!$N$148)</f>
        <v/>
      </c>
      <c r="AM145">
        <f>IF([3]Entry!$R$148="","",[3]Entry!$R$148)</f>
        <v/>
      </c>
    </row>
    <row r="146">
      <c r="A146">
        <f>IF([1]Accounts!$D$147="","",[1]Accounts!$A$147)</f>
        <v/>
      </c>
      <c r="B146">
        <f>IF([1]Accounts!$D$147="","",[1]Accounts!$B$147)</f>
        <v/>
      </c>
      <c r="C146">
        <f>IF([1]Accounts!$D$147="","",[1]Accounts!$C$147)</f>
        <v/>
      </c>
      <c r="D146">
        <f>IF([1]Accounts!$D$147="","",[1]Accounts!$D$147)</f>
        <v/>
      </c>
      <c r="E146">
        <f>IF([1]Accounts!$D$147="","",[1]Accounts!$E$147)</f>
        <v/>
      </c>
      <c r="F146">
        <f>IF([1]Accounts!$D$147="","",[1]Accounts!$F$147)</f>
        <v/>
      </c>
      <c r="G146">
        <f>IF([1]Accounts!$D$147="","",[1]Accounts!$G$147)</f>
        <v/>
      </c>
      <c r="T146">
        <f>IF([2]Baskol!$B$149="","",[2]Baskol!$B$149)</f>
        <v/>
      </c>
      <c r="U146">
        <f>IF([2]Baskol!$C$149="","",[2]Baskol!$C$149)</f>
        <v/>
      </c>
      <c r="V146">
        <f>IF([2]Baskol!$D$149="","",[2]Baskol!$D$149)</f>
        <v/>
      </c>
      <c r="W146">
        <f>IF([2]Baskol!$E$149="","",[2]Baskol!$E$149)</f>
        <v/>
      </c>
      <c r="X146">
        <f>IF([2]Baskol!$G$149="","",[2]Baskol!$G$149)</f>
        <v/>
      </c>
      <c r="Y146">
        <f>IF([2]Baskol!$I$149="","",[2]Baskol!$I$149)</f>
        <v/>
      </c>
      <c r="Z146">
        <f>IF([2]Baskol!$J$149="","",[2]Baskol!$J$149)</f>
        <v/>
      </c>
      <c r="AA146">
        <f>IF([2]Baskol!$K$149="","",[2]Baskol!$K$149)</f>
        <v/>
      </c>
      <c r="AB146">
        <f>IF([2]Baskol!$L$149="","",[2]Baskol!$L$149)</f>
        <v/>
      </c>
      <c r="AC146">
        <f>IF([2]Baskol!$N$149="","",[2]Baskol!$N$149)</f>
        <v/>
      </c>
      <c r="AD146">
        <f>IF([2]Baskol!$O$149="","",[2]Baskol!$O$149)</f>
        <v/>
      </c>
      <c r="AE146">
        <f>IF([3]Entry!$C$149="","",[3]Entry!$C$149)</f>
        <v/>
      </c>
      <c r="AF146">
        <f>IF([3]Entry!$D$149="","",[3]Entry!$D$149)</f>
        <v/>
      </c>
      <c r="AG146">
        <f>IF([3]Entry!$E$149="","",[3]Entry!$E$149)</f>
        <v/>
      </c>
      <c r="AH146">
        <f>IF([3]Entry!$G$149="","",[3]Entry!$G$149)</f>
        <v/>
      </c>
      <c r="AI146">
        <f>IF([3]Entry!$K$149="","",[3]Entry!$K$149)</f>
        <v/>
      </c>
      <c r="AJ146">
        <f>IF([3]Entry!$L$149="","",[3]Entry!$L$149)</f>
        <v/>
      </c>
      <c r="AK146">
        <f>IF([3]Entry!$M$149="","",[3]Entry!$M$149)</f>
        <v/>
      </c>
      <c r="AL146">
        <f>IF([3]Entry!$N$149="","",[3]Entry!$N$149)</f>
        <v/>
      </c>
      <c r="AM146">
        <f>IF([3]Entry!$R$149="","",[3]Entry!$R$149)</f>
        <v/>
      </c>
    </row>
    <row r="147">
      <c r="A147">
        <f>IF([1]Accounts!$D$148="","",[1]Accounts!$A$148)</f>
        <v/>
      </c>
      <c r="B147">
        <f>IF([1]Accounts!$D$148="","",[1]Accounts!$B$148)</f>
        <v/>
      </c>
      <c r="C147">
        <f>IF([1]Accounts!$D$148="","",[1]Accounts!$C$148)</f>
        <v/>
      </c>
      <c r="D147">
        <f>IF([1]Accounts!$D$148="","",[1]Accounts!$D$148)</f>
        <v/>
      </c>
      <c r="E147">
        <f>IF([1]Accounts!$D$148="","",[1]Accounts!$E$148)</f>
        <v/>
      </c>
      <c r="F147">
        <f>IF([1]Accounts!$D$148="","",[1]Accounts!$F$148)</f>
        <v/>
      </c>
      <c r="G147">
        <f>IF([1]Accounts!$D$148="","",[1]Accounts!$G$148)</f>
        <v/>
      </c>
      <c r="T147">
        <f>IF([2]Baskol!$B$150="","",[2]Baskol!$B$150)</f>
        <v/>
      </c>
      <c r="U147">
        <f>IF([2]Baskol!$C$150="","",[2]Baskol!$C$150)</f>
        <v/>
      </c>
      <c r="V147">
        <f>IF([2]Baskol!$D$150="","",[2]Baskol!$D$150)</f>
        <v/>
      </c>
      <c r="W147">
        <f>IF([2]Baskol!$E$150="","",[2]Baskol!$E$150)</f>
        <v/>
      </c>
      <c r="X147">
        <f>IF([2]Baskol!$G$150="","",[2]Baskol!$G$150)</f>
        <v/>
      </c>
      <c r="Y147">
        <f>IF([2]Baskol!$I$150="","",[2]Baskol!$I$150)</f>
        <v/>
      </c>
      <c r="Z147">
        <f>IF([2]Baskol!$J$150="","",[2]Baskol!$J$150)</f>
        <v/>
      </c>
      <c r="AA147">
        <f>IF([2]Baskol!$K$150="","",[2]Baskol!$K$150)</f>
        <v/>
      </c>
      <c r="AB147">
        <f>IF([2]Baskol!$L$150="","",[2]Baskol!$L$150)</f>
        <v/>
      </c>
      <c r="AC147">
        <f>IF([2]Baskol!$N$150="","",[2]Baskol!$N$150)</f>
        <v/>
      </c>
      <c r="AD147">
        <f>IF([2]Baskol!$O$150="","",[2]Baskol!$O$150)</f>
        <v/>
      </c>
      <c r="AE147">
        <f>IF([3]Entry!$C$150="","",[3]Entry!$C$150)</f>
        <v/>
      </c>
      <c r="AF147">
        <f>IF([3]Entry!$D$150="","",[3]Entry!$D$150)</f>
        <v/>
      </c>
      <c r="AG147">
        <f>IF([3]Entry!$E$150="","",[3]Entry!$E$150)</f>
        <v/>
      </c>
      <c r="AH147">
        <f>IF([3]Entry!$G$150="","",[3]Entry!$G$150)</f>
        <v/>
      </c>
      <c r="AI147">
        <f>IF([3]Entry!$K$150="","",[3]Entry!$K$150)</f>
        <v/>
      </c>
      <c r="AJ147">
        <f>IF([3]Entry!$L$150="","",[3]Entry!$L$150)</f>
        <v/>
      </c>
      <c r="AK147">
        <f>IF([3]Entry!$M$150="","",[3]Entry!$M$150)</f>
        <v/>
      </c>
      <c r="AL147">
        <f>IF([3]Entry!$N$150="","",[3]Entry!$N$150)</f>
        <v/>
      </c>
      <c r="AM147">
        <f>IF([3]Entry!$R$150="","",[3]Entry!$R$150)</f>
        <v/>
      </c>
    </row>
    <row r="148">
      <c r="A148">
        <f>IF([1]Accounts!$D$149="","",[1]Accounts!$A$149)</f>
        <v/>
      </c>
      <c r="B148">
        <f>IF([1]Accounts!$D$149="","",[1]Accounts!$B$149)</f>
        <v/>
      </c>
      <c r="C148">
        <f>IF([1]Accounts!$D$149="","",[1]Accounts!$C$149)</f>
        <v/>
      </c>
      <c r="D148">
        <f>IF([1]Accounts!$D$149="","",[1]Accounts!$D$149)</f>
        <v/>
      </c>
      <c r="E148">
        <f>IF([1]Accounts!$D$149="","",[1]Accounts!$E$149)</f>
        <v/>
      </c>
      <c r="F148">
        <f>IF([1]Accounts!$D$149="","",[1]Accounts!$F$149)</f>
        <v/>
      </c>
      <c r="G148">
        <f>IF([1]Accounts!$D$149="","",[1]Accounts!$G$149)</f>
        <v/>
      </c>
      <c r="T148">
        <f>IF([2]Baskol!$B$151="","",[2]Baskol!$B$151)</f>
        <v/>
      </c>
      <c r="U148">
        <f>IF([2]Baskol!$C$151="","",[2]Baskol!$C$151)</f>
        <v/>
      </c>
      <c r="V148">
        <f>IF([2]Baskol!$D$151="","",[2]Baskol!$D$151)</f>
        <v/>
      </c>
      <c r="W148">
        <f>IF([2]Baskol!$E$151="","",[2]Baskol!$E$151)</f>
        <v/>
      </c>
      <c r="X148">
        <f>IF([2]Baskol!$G$151="","",[2]Baskol!$G$151)</f>
        <v/>
      </c>
      <c r="Y148">
        <f>IF([2]Baskol!$I$151="","",[2]Baskol!$I$151)</f>
        <v/>
      </c>
      <c r="Z148">
        <f>IF([2]Baskol!$J$151="","",[2]Baskol!$J$151)</f>
        <v/>
      </c>
      <c r="AA148">
        <f>IF([2]Baskol!$K$151="","",[2]Baskol!$K$151)</f>
        <v/>
      </c>
      <c r="AB148">
        <f>IF([2]Baskol!$L$151="","",[2]Baskol!$L$151)</f>
        <v/>
      </c>
      <c r="AC148">
        <f>IF([2]Baskol!$N$151="","",[2]Baskol!$N$151)</f>
        <v/>
      </c>
      <c r="AD148">
        <f>IF([2]Baskol!$O$151="","",[2]Baskol!$O$151)</f>
        <v/>
      </c>
      <c r="AE148">
        <f>IF([3]Entry!$C$151="","",[3]Entry!$C$151)</f>
        <v/>
      </c>
      <c r="AF148">
        <f>IF([3]Entry!$D$151="","",[3]Entry!$D$151)</f>
        <v/>
      </c>
      <c r="AG148">
        <f>IF([3]Entry!$E$151="","",[3]Entry!$E$151)</f>
        <v/>
      </c>
      <c r="AH148">
        <f>IF([3]Entry!$G$151="","",[3]Entry!$G$151)</f>
        <v/>
      </c>
      <c r="AI148">
        <f>IF([3]Entry!$K$151="","",[3]Entry!$K$151)</f>
        <v/>
      </c>
      <c r="AJ148">
        <f>IF([3]Entry!$L$151="","",[3]Entry!$L$151)</f>
        <v/>
      </c>
      <c r="AK148">
        <f>IF([3]Entry!$M$151="","",[3]Entry!$M$151)</f>
        <v/>
      </c>
      <c r="AL148">
        <f>IF([3]Entry!$N$151="","",[3]Entry!$N$151)</f>
        <v/>
      </c>
      <c r="AM148">
        <f>IF([3]Entry!$R$151="","",[3]Entry!$R$151)</f>
        <v/>
      </c>
    </row>
    <row r="149">
      <c r="A149">
        <f>IF([1]Accounts!$D$150="","",[1]Accounts!$A$150)</f>
        <v/>
      </c>
      <c r="B149">
        <f>IF([1]Accounts!$D$150="","",[1]Accounts!$B$150)</f>
        <v/>
      </c>
      <c r="C149">
        <f>IF([1]Accounts!$D$150="","",[1]Accounts!$C$150)</f>
        <v/>
      </c>
      <c r="D149">
        <f>IF([1]Accounts!$D$150="","",[1]Accounts!$D$150)</f>
        <v/>
      </c>
      <c r="E149">
        <f>IF([1]Accounts!$D$150="","",[1]Accounts!$E$150)</f>
        <v/>
      </c>
      <c r="F149">
        <f>IF([1]Accounts!$D$150="","",[1]Accounts!$F$150)</f>
        <v/>
      </c>
      <c r="G149">
        <f>IF([1]Accounts!$D$150="","",[1]Accounts!$G$150)</f>
        <v/>
      </c>
      <c r="T149">
        <f>IF([2]Baskol!$B$152="","",[2]Baskol!$B$152)</f>
        <v/>
      </c>
      <c r="U149">
        <f>IF([2]Baskol!$C$152="","",[2]Baskol!$C$152)</f>
        <v/>
      </c>
      <c r="V149">
        <f>IF([2]Baskol!$D$152="","",[2]Baskol!$D$152)</f>
        <v/>
      </c>
      <c r="W149">
        <f>IF([2]Baskol!$E$152="","",[2]Baskol!$E$152)</f>
        <v/>
      </c>
      <c r="X149">
        <f>IF([2]Baskol!$G$152="","",[2]Baskol!$G$152)</f>
        <v/>
      </c>
      <c r="Y149">
        <f>IF([2]Baskol!$I$152="","",[2]Baskol!$I$152)</f>
        <v/>
      </c>
      <c r="Z149">
        <f>IF([2]Baskol!$J$152="","",[2]Baskol!$J$152)</f>
        <v/>
      </c>
      <c r="AA149">
        <f>IF([2]Baskol!$K$152="","",[2]Baskol!$K$152)</f>
        <v/>
      </c>
      <c r="AB149">
        <f>IF([2]Baskol!$L$152="","",[2]Baskol!$L$152)</f>
        <v/>
      </c>
      <c r="AC149">
        <f>IF([2]Baskol!$N$152="","",[2]Baskol!$N$152)</f>
        <v/>
      </c>
      <c r="AD149">
        <f>IF([2]Baskol!$O$152="","",[2]Baskol!$O$152)</f>
        <v/>
      </c>
      <c r="AE149">
        <f>IF([3]Entry!$C$152="","",[3]Entry!$C$152)</f>
        <v/>
      </c>
      <c r="AF149">
        <f>IF([3]Entry!$D$152="","",[3]Entry!$D$152)</f>
        <v/>
      </c>
      <c r="AG149">
        <f>IF([3]Entry!$E$152="","",[3]Entry!$E$152)</f>
        <v/>
      </c>
      <c r="AH149">
        <f>IF([3]Entry!$G$152="","",[3]Entry!$G$152)</f>
        <v/>
      </c>
      <c r="AI149">
        <f>IF([3]Entry!$K$152="","",[3]Entry!$K$152)</f>
        <v/>
      </c>
      <c r="AJ149">
        <f>IF([3]Entry!$L$152="","",[3]Entry!$L$152)</f>
        <v/>
      </c>
      <c r="AK149">
        <f>IF([3]Entry!$M$152="","",[3]Entry!$M$152)</f>
        <v/>
      </c>
      <c r="AL149">
        <f>IF([3]Entry!$N$152="","",[3]Entry!$N$152)</f>
        <v/>
      </c>
      <c r="AM149">
        <f>IF([3]Entry!$R$152="","",[3]Entry!$R$152)</f>
        <v/>
      </c>
    </row>
    <row r="150">
      <c r="A150">
        <f>IF([1]Accounts!$D$151="","",[1]Accounts!$A$151)</f>
        <v/>
      </c>
      <c r="B150">
        <f>IF([1]Accounts!$D$151="","",[1]Accounts!$B$151)</f>
        <v/>
      </c>
      <c r="C150">
        <f>IF([1]Accounts!$D$151="","",[1]Accounts!$C$151)</f>
        <v/>
      </c>
      <c r="D150">
        <f>IF([1]Accounts!$D$151="","",[1]Accounts!$D$151)</f>
        <v/>
      </c>
      <c r="E150">
        <f>IF([1]Accounts!$D$151="","",[1]Accounts!$E$151)</f>
        <v/>
      </c>
      <c r="F150">
        <f>IF([1]Accounts!$D$151="","",[1]Accounts!$F$151)</f>
        <v/>
      </c>
      <c r="G150">
        <f>IF([1]Accounts!$D$151="","",[1]Accounts!$G$151)</f>
        <v/>
      </c>
      <c r="T150">
        <f>IF([2]Baskol!$B$153="","",[2]Baskol!$B$153)</f>
        <v/>
      </c>
      <c r="U150">
        <f>IF([2]Baskol!$C$153="","",[2]Baskol!$C$153)</f>
        <v/>
      </c>
      <c r="V150">
        <f>IF([2]Baskol!$D$153="","",[2]Baskol!$D$153)</f>
        <v/>
      </c>
      <c r="W150">
        <f>IF([2]Baskol!$E$153="","",[2]Baskol!$E$153)</f>
        <v/>
      </c>
      <c r="X150">
        <f>IF([2]Baskol!$G$153="","",[2]Baskol!$G$153)</f>
        <v/>
      </c>
      <c r="Y150">
        <f>IF([2]Baskol!$I$153="","",[2]Baskol!$I$153)</f>
        <v/>
      </c>
      <c r="Z150">
        <f>IF([2]Baskol!$J$153="","",[2]Baskol!$J$153)</f>
        <v/>
      </c>
      <c r="AA150">
        <f>IF([2]Baskol!$K$153="","",[2]Baskol!$K$153)</f>
        <v/>
      </c>
      <c r="AB150">
        <f>IF([2]Baskol!$L$153="","",[2]Baskol!$L$153)</f>
        <v/>
      </c>
      <c r="AC150">
        <f>IF([2]Baskol!$N$153="","",[2]Baskol!$N$153)</f>
        <v/>
      </c>
      <c r="AD150">
        <f>IF([2]Baskol!$O$153="","",[2]Baskol!$O$153)</f>
        <v/>
      </c>
      <c r="AE150">
        <f>IF([3]Entry!$C$153="","",[3]Entry!$C$153)</f>
        <v/>
      </c>
      <c r="AF150">
        <f>IF([3]Entry!$D$153="","",[3]Entry!$D$153)</f>
        <v/>
      </c>
      <c r="AG150">
        <f>IF([3]Entry!$E$153="","",[3]Entry!$E$153)</f>
        <v/>
      </c>
      <c r="AH150">
        <f>IF([3]Entry!$G$153="","",[3]Entry!$G$153)</f>
        <v/>
      </c>
      <c r="AI150">
        <f>IF([3]Entry!$K$153="","",[3]Entry!$K$153)</f>
        <v/>
      </c>
      <c r="AJ150">
        <f>IF([3]Entry!$L$153="","",[3]Entry!$L$153)</f>
        <v/>
      </c>
      <c r="AK150">
        <f>IF([3]Entry!$M$153="","",[3]Entry!$M$153)</f>
        <v/>
      </c>
      <c r="AL150">
        <f>IF([3]Entry!$N$153="","",[3]Entry!$N$153)</f>
        <v/>
      </c>
      <c r="AM150">
        <f>IF([3]Entry!$R$153="","",[3]Entry!$R$153)</f>
        <v/>
      </c>
    </row>
    <row r="151">
      <c r="A151">
        <f>IF([1]Accounts!$D$152="","",[1]Accounts!$A$152)</f>
        <v/>
      </c>
      <c r="B151">
        <f>IF([1]Accounts!$D$152="","",[1]Accounts!$B$152)</f>
        <v/>
      </c>
      <c r="C151">
        <f>IF([1]Accounts!$D$152="","",[1]Accounts!$C$152)</f>
        <v/>
      </c>
      <c r="D151">
        <f>IF([1]Accounts!$D$152="","",[1]Accounts!$D$152)</f>
        <v/>
      </c>
      <c r="E151">
        <f>IF([1]Accounts!$D$152="","",[1]Accounts!$E$152)</f>
        <v/>
      </c>
      <c r="F151">
        <f>IF([1]Accounts!$D$152="","",[1]Accounts!$F$152)</f>
        <v/>
      </c>
      <c r="G151">
        <f>IF([1]Accounts!$D$152="","",[1]Accounts!$G$152)</f>
        <v/>
      </c>
      <c r="T151">
        <f>IF([2]Baskol!$B$154="","",[2]Baskol!$B$154)</f>
        <v/>
      </c>
      <c r="U151">
        <f>IF([2]Baskol!$C$154="","",[2]Baskol!$C$154)</f>
        <v/>
      </c>
      <c r="V151">
        <f>IF([2]Baskol!$D$154="","",[2]Baskol!$D$154)</f>
        <v/>
      </c>
      <c r="W151">
        <f>IF([2]Baskol!$E$154="","",[2]Baskol!$E$154)</f>
        <v/>
      </c>
      <c r="X151">
        <f>IF([2]Baskol!$G$154="","",[2]Baskol!$G$154)</f>
        <v/>
      </c>
      <c r="Y151">
        <f>IF([2]Baskol!$I$154="","",[2]Baskol!$I$154)</f>
        <v/>
      </c>
      <c r="Z151">
        <f>IF([2]Baskol!$J$154="","",[2]Baskol!$J$154)</f>
        <v/>
      </c>
      <c r="AA151">
        <f>IF([2]Baskol!$K$154="","",[2]Baskol!$K$154)</f>
        <v/>
      </c>
      <c r="AB151">
        <f>IF([2]Baskol!$L$154="","",[2]Baskol!$L$154)</f>
        <v/>
      </c>
      <c r="AC151">
        <f>IF([2]Baskol!$N$154="","",[2]Baskol!$N$154)</f>
        <v/>
      </c>
      <c r="AD151">
        <f>IF([2]Baskol!$O$154="","",[2]Baskol!$O$154)</f>
        <v/>
      </c>
      <c r="AE151">
        <f>IF([3]Entry!$C$154="","",[3]Entry!$C$154)</f>
        <v/>
      </c>
      <c r="AF151">
        <f>IF([3]Entry!$D$154="","",[3]Entry!$D$154)</f>
        <v/>
      </c>
      <c r="AG151">
        <f>IF([3]Entry!$E$154="","",[3]Entry!$E$154)</f>
        <v/>
      </c>
      <c r="AH151">
        <f>IF([3]Entry!$G$154="","",[3]Entry!$G$154)</f>
        <v/>
      </c>
      <c r="AI151">
        <f>IF([3]Entry!$K$154="","",[3]Entry!$K$154)</f>
        <v/>
      </c>
      <c r="AJ151">
        <f>IF([3]Entry!$L$154="","",[3]Entry!$L$154)</f>
        <v/>
      </c>
      <c r="AK151">
        <f>IF([3]Entry!$M$154="","",[3]Entry!$M$154)</f>
        <v/>
      </c>
      <c r="AL151">
        <f>IF([3]Entry!$N$154="","",[3]Entry!$N$154)</f>
        <v/>
      </c>
      <c r="AM151">
        <f>IF([3]Entry!$R$154="","",[3]Entry!$R$154)</f>
        <v/>
      </c>
    </row>
    <row r="152">
      <c r="A152">
        <f>IF([1]Accounts!$D$153="","",[1]Accounts!$A$153)</f>
        <v/>
      </c>
      <c r="B152">
        <f>IF([1]Accounts!$D$153="","",[1]Accounts!$B$153)</f>
        <v/>
      </c>
      <c r="C152">
        <f>IF([1]Accounts!$D$153="","",[1]Accounts!$C$153)</f>
        <v/>
      </c>
      <c r="D152">
        <f>IF([1]Accounts!$D$153="","",[1]Accounts!$D$153)</f>
        <v/>
      </c>
      <c r="E152">
        <f>IF([1]Accounts!$D$153="","",[1]Accounts!$E$153)</f>
        <v/>
      </c>
      <c r="F152">
        <f>IF([1]Accounts!$D$153="","",[1]Accounts!$F$153)</f>
        <v/>
      </c>
      <c r="G152">
        <f>IF([1]Accounts!$D$153="","",[1]Accounts!$G$153)</f>
        <v/>
      </c>
      <c r="T152">
        <f>IF([2]Baskol!$B$155="","",[2]Baskol!$B$155)</f>
        <v/>
      </c>
      <c r="U152">
        <f>IF([2]Baskol!$C$155="","",[2]Baskol!$C$155)</f>
        <v/>
      </c>
      <c r="V152">
        <f>IF([2]Baskol!$D$155="","",[2]Baskol!$D$155)</f>
        <v/>
      </c>
      <c r="W152">
        <f>IF([2]Baskol!$E$155="","",[2]Baskol!$E$155)</f>
        <v/>
      </c>
      <c r="X152">
        <f>IF([2]Baskol!$G$155="","",[2]Baskol!$G$155)</f>
        <v/>
      </c>
      <c r="Y152">
        <f>IF([2]Baskol!$I$155="","",[2]Baskol!$I$155)</f>
        <v/>
      </c>
      <c r="Z152">
        <f>IF([2]Baskol!$J$155="","",[2]Baskol!$J$155)</f>
        <v/>
      </c>
      <c r="AA152">
        <f>IF([2]Baskol!$K$155="","",[2]Baskol!$K$155)</f>
        <v/>
      </c>
      <c r="AB152">
        <f>IF([2]Baskol!$L$155="","",[2]Baskol!$L$155)</f>
        <v/>
      </c>
      <c r="AC152">
        <f>IF([2]Baskol!$N$155="","",[2]Baskol!$N$155)</f>
        <v/>
      </c>
      <c r="AD152">
        <f>IF([2]Baskol!$O$155="","",[2]Baskol!$O$155)</f>
        <v/>
      </c>
      <c r="AE152">
        <f>IF([3]Entry!$C$155="","",[3]Entry!$C$155)</f>
        <v/>
      </c>
      <c r="AF152">
        <f>IF([3]Entry!$D$155="","",[3]Entry!$D$155)</f>
        <v/>
      </c>
      <c r="AG152">
        <f>IF([3]Entry!$E$155="","",[3]Entry!$E$155)</f>
        <v/>
      </c>
      <c r="AH152">
        <f>IF([3]Entry!$G$155="","",[3]Entry!$G$155)</f>
        <v/>
      </c>
      <c r="AI152">
        <f>IF([3]Entry!$K$155="","",[3]Entry!$K$155)</f>
        <v/>
      </c>
      <c r="AJ152">
        <f>IF([3]Entry!$L$155="","",[3]Entry!$L$155)</f>
        <v/>
      </c>
      <c r="AK152">
        <f>IF([3]Entry!$M$155="","",[3]Entry!$M$155)</f>
        <v/>
      </c>
      <c r="AL152">
        <f>IF([3]Entry!$N$155="","",[3]Entry!$N$155)</f>
        <v/>
      </c>
      <c r="AM152">
        <f>IF([3]Entry!$R$155="","",[3]Entry!$R$155)</f>
        <v/>
      </c>
    </row>
    <row r="153">
      <c r="A153">
        <f>IF([1]Accounts!$D$154="","",[1]Accounts!$A$154)</f>
        <v/>
      </c>
      <c r="B153">
        <f>IF([1]Accounts!$D$154="","",[1]Accounts!$B$154)</f>
        <v/>
      </c>
      <c r="C153">
        <f>IF([1]Accounts!$D$154="","",[1]Accounts!$C$154)</f>
        <v/>
      </c>
      <c r="D153">
        <f>IF([1]Accounts!$D$154="","",[1]Accounts!$D$154)</f>
        <v/>
      </c>
      <c r="E153">
        <f>IF([1]Accounts!$D$154="","",[1]Accounts!$E$154)</f>
        <v/>
      </c>
      <c r="F153">
        <f>IF([1]Accounts!$D$154="","",[1]Accounts!$F$154)</f>
        <v/>
      </c>
      <c r="G153">
        <f>IF([1]Accounts!$D$154="","",[1]Accounts!$G$154)</f>
        <v/>
      </c>
      <c r="T153">
        <f>IF([2]Baskol!$B$156="","",[2]Baskol!$B$156)</f>
        <v/>
      </c>
      <c r="U153">
        <f>IF([2]Baskol!$C$156="","",[2]Baskol!$C$156)</f>
        <v/>
      </c>
      <c r="V153">
        <f>IF([2]Baskol!$D$156="","",[2]Baskol!$D$156)</f>
        <v/>
      </c>
      <c r="W153">
        <f>IF([2]Baskol!$E$156="","",[2]Baskol!$E$156)</f>
        <v/>
      </c>
      <c r="X153">
        <f>IF([2]Baskol!$G$156="","",[2]Baskol!$G$156)</f>
        <v/>
      </c>
      <c r="Y153">
        <f>IF([2]Baskol!$I$156="","",[2]Baskol!$I$156)</f>
        <v/>
      </c>
      <c r="Z153">
        <f>IF([2]Baskol!$J$156="","",[2]Baskol!$J$156)</f>
        <v/>
      </c>
      <c r="AA153">
        <f>IF([2]Baskol!$K$156="","",[2]Baskol!$K$156)</f>
        <v/>
      </c>
      <c r="AB153">
        <f>IF([2]Baskol!$L$156="","",[2]Baskol!$L$156)</f>
        <v/>
      </c>
      <c r="AC153">
        <f>IF([2]Baskol!$N$156="","",[2]Baskol!$N$156)</f>
        <v/>
      </c>
      <c r="AD153">
        <f>IF([2]Baskol!$O$156="","",[2]Baskol!$O$156)</f>
        <v/>
      </c>
      <c r="AE153">
        <f>IF([3]Entry!$C$156="","",[3]Entry!$C$156)</f>
        <v/>
      </c>
      <c r="AF153">
        <f>IF([3]Entry!$D$156="","",[3]Entry!$D$156)</f>
        <v/>
      </c>
      <c r="AG153">
        <f>IF([3]Entry!$E$156="","",[3]Entry!$E$156)</f>
        <v/>
      </c>
      <c r="AH153">
        <f>IF([3]Entry!$G$156="","",[3]Entry!$G$156)</f>
        <v/>
      </c>
      <c r="AI153">
        <f>IF([3]Entry!$K$156="","",[3]Entry!$K$156)</f>
        <v/>
      </c>
      <c r="AJ153">
        <f>IF([3]Entry!$L$156="","",[3]Entry!$L$156)</f>
        <v/>
      </c>
      <c r="AK153">
        <f>IF([3]Entry!$M$156="","",[3]Entry!$M$156)</f>
        <v/>
      </c>
      <c r="AL153">
        <f>IF([3]Entry!$N$156="","",[3]Entry!$N$156)</f>
        <v/>
      </c>
      <c r="AM153">
        <f>IF([3]Entry!$R$156="","",[3]Entry!$R$156)</f>
        <v/>
      </c>
    </row>
    <row r="154">
      <c r="A154">
        <f>IF([1]Accounts!$D$155="","",[1]Accounts!$A$155)</f>
        <v/>
      </c>
      <c r="B154">
        <f>IF([1]Accounts!$D$155="","",[1]Accounts!$B$155)</f>
        <v/>
      </c>
      <c r="C154">
        <f>IF([1]Accounts!$D$155="","",[1]Accounts!$C$155)</f>
        <v/>
      </c>
      <c r="D154">
        <f>IF([1]Accounts!$D$155="","",[1]Accounts!$D$155)</f>
        <v/>
      </c>
      <c r="E154">
        <f>IF([1]Accounts!$D$155="","",[1]Accounts!$E$155)</f>
        <v/>
      </c>
      <c r="F154">
        <f>IF([1]Accounts!$D$155="","",[1]Accounts!$F$155)</f>
        <v/>
      </c>
      <c r="G154">
        <f>IF([1]Accounts!$D$155="","",[1]Accounts!$G$155)</f>
        <v/>
      </c>
      <c r="T154">
        <f>IF([2]Baskol!$B$157="","",[2]Baskol!$B$157)</f>
        <v/>
      </c>
      <c r="U154">
        <f>IF([2]Baskol!$C$157="","",[2]Baskol!$C$157)</f>
        <v/>
      </c>
      <c r="V154">
        <f>IF([2]Baskol!$D$157="","",[2]Baskol!$D$157)</f>
        <v/>
      </c>
      <c r="W154">
        <f>IF([2]Baskol!$E$157="","",[2]Baskol!$E$157)</f>
        <v/>
      </c>
      <c r="X154">
        <f>IF([2]Baskol!$G$157="","",[2]Baskol!$G$157)</f>
        <v/>
      </c>
      <c r="Y154">
        <f>IF([2]Baskol!$I$157="","",[2]Baskol!$I$157)</f>
        <v/>
      </c>
      <c r="Z154">
        <f>IF([2]Baskol!$J$157="","",[2]Baskol!$J$157)</f>
        <v/>
      </c>
      <c r="AA154">
        <f>IF([2]Baskol!$K$157="","",[2]Baskol!$K$157)</f>
        <v/>
      </c>
      <c r="AB154">
        <f>IF([2]Baskol!$L$157="","",[2]Baskol!$L$157)</f>
        <v/>
      </c>
      <c r="AC154">
        <f>IF([2]Baskol!$N$157="","",[2]Baskol!$N$157)</f>
        <v/>
      </c>
      <c r="AD154">
        <f>IF([2]Baskol!$O$157="","",[2]Baskol!$O$157)</f>
        <v/>
      </c>
      <c r="AE154">
        <f>IF([3]Entry!$C$157="","",[3]Entry!$C$157)</f>
        <v/>
      </c>
      <c r="AF154">
        <f>IF([3]Entry!$D$157="","",[3]Entry!$D$157)</f>
        <v/>
      </c>
      <c r="AG154">
        <f>IF([3]Entry!$E$157="","",[3]Entry!$E$157)</f>
        <v/>
      </c>
      <c r="AH154">
        <f>IF([3]Entry!$G$157="","",[3]Entry!$G$157)</f>
        <v/>
      </c>
      <c r="AI154">
        <f>IF([3]Entry!$K$157="","",[3]Entry!$K$157)</f>
        <v/>
      </c>
      <c r="AJ154">
        <f>IF([3]Entry!$L$157="","",[3]Entry!$L$157)</f>
        <v/>
      </c>
      <c r="AK154">
        <f>IF([3]Entry!$M$157="","",[3]Entry!$M$157)</f>
        <v/>
      </c>
      <c r="AL154">
        <f>IF([3]Entry!$N$157="","",[3]Entry!$N$157)</f>
        <v/>
      </c>
      <c r="AM154">
        <f>IF([3]Entry!$R$157="","",[3]Entry!$R$157)</f>
        <v/>
      </c>
    </row>
    <row r="155">
      <c r="A155">
        <f>IF([1]Accounts!$D$156="","",[1]Accounts!$A$156)</f>
        <v/>
      </c>
      <c r="B155">
        <f>IF([1]Accounts!$D$156="","",[1]Accounts!$B$156)</f>
        <v/>
      </c>
      <c r="C155">
        <f>IF([1]Accounts!$D$156="","",[1]Accounts!$C$156)</f>
        <v/>
      </c>
      <c r="D155">
        <f>IF([1]Accounts!$D$156="","",[1]Accounts!$D$156)</f>
        <v/>
      </c>
      <c r="E155">
        <f>IF([1]Accounts!$D$156="","",[1]Accounts!$E$156)</f>
        <v/>
      </c>
      <c r="F155">
        <f>IF([1]Accounts!$D$156="","",[1]Accounts!$F$156)</f>
        <v/>
      </c>
      <c r="G155">
        <f>IF([1]Accounts!$D$156="","",[1]Accounts!$G$156)</f>
        <v/>
      </c>
      <c r="T155">
        <f>IF([2]Baskol!$B$158="","",[2]Baskol!$B$158)</f>
        <v/>
      </c>
      <c r="U155">
        <f>IF([2]Baskol!$C$158="","",[2]Baskol!$C$158)</f>
        <v/>
      </c>
      <c r="V155">
        <f>IF([2]Baskol!$D$158="","",[2]Baskol!$D$158)</f>
        <v/>
      </c>
      <c r="W155">
        <f>IF([2]Baskol!$E$158="","",[2]Baskol!$E$158)</f>
        <v/>
      </c>
      <c r="X155">
        <f>IF([2]Baskol!$G$158="","",[2]Baskol!$G$158)</f>
        <v/>
      </c>
      <c r="Y155">
        <f>IF([2]Baskol!$I$158="","",[2]Baskol!$I$158)</f>
        <v/>
      </c>
      <c r="Z155">
        <f>IF([2]Baskol!$J$158="","",[2]Baskol!$J$158)</f>
        <v/>
      </c>
      <c r="AA155">
        <f>IF([2]Baskol!$K$158="","",[2]Baskol!$K$158)</f>
        <v/>
      </c>
      <c r="AB155">
        <f>IF([2]Baskol!$L$158="","",[2]Baskol!$L$158)</f>
        <v/>
      </c>
      <c r="AC155">
        <f>IF([2]Baskol!$N$158="","",[2]Baskol!$N$158)</f>
        <v/>
      </c>
      <c r="AD155">
        <f>IF([2]Baskol!$O$158="","",[2]Baskol!$O$158)</f>
        <v/>
      </c>
      <c r="AE155">
        <f>IF([3]Entry!$C$158="","",[3]Entry!$C$158)</f>
        <v/>
      </c>
      <c r="AF155">
        <f>IF([3]Entry!$D$158="","",[3]Entry!$D$158)</f>
        <v/>
      </c>
      <c r="AG155">
        <f>IF([3]Entry!$E$158="","",[3]Entry!$E$158)</f>
        <v/>
      </c>
      <c r="AH155">
        <f>IF([3]Entry!$G$158="","",[3]Entry!$G$158)</f>
        <v/>
      </c>
      <c r="AI155">
        <f>IF([3]Entry!$K$158="","",[3]Entry!$K$158)</f>
        <v/>
      </c>
      <c r="AJ155">
        <f>IF([3]Entry!$L$158="","",[3]Entry!$L$158)</f>
        <v/>
      </c>
      <c r="AK155">
        <f>IF([3]Entry!$M$158="","",[3]Entry!$M$158)</f>
        <v/>
      </c>
      <c r="AL155">
        <f>IF([3]Entry!$N$158="","",[3]Entry!$N$158)</f>
        <v/>
      </c>
      <c r="AM155">
        <f>IF([3]Entry!$R$158="","",[3]Entry!$R$158)</f>
        <v/>
      </c>
    </row>
    <row r="156">
      <c r="A156">
        <f>IF([1]Accounts!$D$157="","",[1]Accounts!$A$157)</f>
        <v/>
      </c>
      <c r="B156">
        <f>IF([1]Accounts!$D$157="","",[1]Accounts!$B$157)</f>
        <v/>
      </c>
      <c r="C156">
        <f>IF([1]Accounts!$D$157="","",[1]Accounts!$C$157)</f>
        <v/>
      </c>
      <c r="D156">
        <f>IF([1]Accounts!$D$157="","",[1]Accounts!$D$157)</f>
        <v/>
      </c>
      <c r="E156">
        <f>IF([1]Accounts!$D$157="","",[1]Accounts!$E$157)</f>
        <v/>
      </c>
      <c r="F156">
        <f>IF([1]Accounts!$D$157="","",[1]Accounts!$F$157)</f>
        <v/>
      </c>
      <c r="G156">
        <f>IF([1]Accounts!$D$157="","",[1]Accounts!$G$157)</f>
        <v/>
      </c>
      <c r="T156">
        <f>IF([2]Baskol!$B$159="","",[2]Baskol!$B$159)</f>
        <v/>
      </c>
      <c r="U156">
        <f>IF([2]Baskol!$C$159="","",[2]Baskol!$C$159)</f>
        <v/>
      </c>
      <c r="V156">
        <f>IF([2]Baskol!$D$159="","",[2]Baskol!$D$159)</f>
        <v/>
      </c>
      <c r="W156">
        <f>IF([2]Baskol!$E$159="","",[2]Baskol!$E$159)</f>
        <v/>
      </c>
      <c r="X156">
        <f>IF([2]Baskol!$G$159="","",[2]Baskol!$G$159)</f>
        <v/>
      </c>
      <c r="Y156">
        <f>IF([2]Baskol!$I$159="","",[2]Baskol!$I$159)</f>
        <v/>
      </c>
      <c r="Z156">
        <f>IF([2]Baskol!$J$159="","",[2]Baskol!$J$159)</f>
        <v/>
      </c>
      <c r="AA156">
        <f>IF([2]Baskol!$K$159="","",[2]Baskol!$K$159)</f>
        <v/>
      </c>
      <c r="AB156">
        <f>IF([2]Baskol!$L$159="","",[2]Baskol!$L$159)</f>
        <v/>
      </c>
      <c r="AC156">
        <f>IF([2]Baskol!$N$159="","",[2]Baskol!$N$159)</f>
        <v/>
      </c>
      <c r="AD156">
        <f>IF([2]Baskol!$O$159="","",[2]Baskol!$O$159)</f>
        <v/>
      </c>
      <c r="AE156">
        <f>IF([3]Entry!$C$159="","",[3]Entry!$C$159)</f>
        <v/>
      </c>
      <c r="AF156">
        <f>IF([3]Entry!$D$159="","",[3]Entry!$D$159)</f>
        <v/>
      </c>
      <c r="AG156">
        <f>IF([3]Entry!$E$159="","",[3]Entry!$E$159)</f>
        <v/>
      </c>
      <c r="AH156">
        <f>IF([3]Entry!$G$159="","",[3]Entry!$G$159)</f>
        <v/>
      </c>
      <c r="AI156">
        <f>IF([3]Entry!$K$159="","",[3]Entry!$K$159)</f>
        <v/>
      </c>
      <c r="AJ156">
        <f>IF([3]Entry!$L$159="","",[3]Entry!$L$159)</f>
        <v/>
      </c>
      <c r="AK156">
        <f>IF([3]Entry!$M$159="","",[3]Entry!$M$159)</f>
        <v/>
      </c>
      <c r="AL156">
        <f>IF([3]Entry!$N$159="","",[3]Entry!$N$159)</f>
        <v/>
      </c>
      <c r="AM156">
        <f>IF([3]Entry!$R$159="","",[3]Entry!$R$159)</f>
        <v/>
      </c>
    </row>
    <row r="157">
      <c r="A157">
        <f>IF([1]Accounts!$D$158="","",[1]Accounts!$A$158)</f>
        <v/>
      </c>
      <c r="B157">
        <f>IF([1]Accounts!$D$158="","",[1]Accounts!$B$158)</f>
        <v/>
      </c>
      <c r="C157">
        <f>IF([1]Accounts!$D$158="","",[1]Accounts!$C$158)</f>
        <v/>
      </c>
      <c r="D157">
        <f>IF([1]Accounts!$D$158="","",[1]Accounts!$D$158)</f>
        <v/>
      </c>
      <c r="E157">
        <f>IF([1]Accounts!$D$158="","",[1]Accounts!$E$158)</f>
        <v/>
      </c>
      <c r="F157">
        <f>IF([1]Accounts!$D$158="","",[1]Accounts!$F$158)</f>
        <v/>
      </c>
      <c r="G157">
        <f>IF([1]Accounts!$D$158="","",[1]Accounts!$G$158)</f>
        <v/>
      </c>
      <c r="T157">
        <f>IF([2]Baskol!$B$160="","",[2]Baskol!$B$160)</f>
        <v/>
      </c>
      <c r="U157">
        <f>IF([2]Baskol!$C$160="","",[2]Baskol!$C$160)</f>
        <v/>
      </c>
      <c r="V157">
        <f>IF([2]Baskol!$D$160="","",[2]Baskol!$D$160)</f>
        <v/>
      </c>
      <c r="W157">
        <f>IF([2]Baskol!$E$160="","",[2]Baskol!$E$160)</f>
        <v/>
      </c>
      <c r="X157">
        <f>IF([2]Baskol!$G$160="","",[2]Baskol!$G$160)</f>
        <v/>
      </c>
      <c r="Y157">
        <f>IF([2]Baskol!$I$160="","",[2]Baskol!$I$160)</f>
        <v/>
      </c>
      <c r="Z157">
        <f>IF([2]Baskol!$J$160="","",[2]Baskol!$J$160)</f>
        <v/>
      </c>
      <c r="AA157">
        <f>IF([2]Baskol!$K$160="","",[2]Baskol!$K$160)</f>
        <v/>
      </c>
      <c r="AB157">
        <f>IF([2]Baskol!$L$160="","",[2]Baskol!$L$160)</f>
        <v/>
      </c>
      <c r="AC157">
        <f>IF([2]Baskol!$N$160="","",[2]Baskol!$N$160)</f>
        <v/>
      </c>
      <c r="AD157">
        <f>IF([2]Baskol!$O$160="","",[2]Baskol!$O$160)</f>
        <v/>
      </c>
      <c r="AE157">
        <f>IF([3]Entry!$C$160="","",[3]Entry!$C$160)</f>
        <v/>
      </c>
      <c r="AF157">
        <f>IF([3]Entry!$D$160="","",[3]Entry!$D$160)</f>
        <v/>
      </c>
      <c r="AG157">
        <f>IF([3]Entry!$E$160="","",[3]Entry!$E$160)</f>
        <v/>
      </c>
      <c r="AH157">
        <f>IF([3]Entry!$G$160="","",[3]Entry!$G$160)</f>
        <v/>
      </c>
      <c r="AI157">
        <f>IF([3]Entry!$K$160="","",[3]Entry!$K$160)</f>
        <v/>
      </c>
      <c r="AJ157">
        <f>IF([3]Entry!$L$160="","",[3]Entry!$L$160)</f>
        <v/>
      </c>
      <c r="AK157">
        <f>IF([3]Entry!$M$160="","",[3]Entry!$M$160)</f>
        <v/>
      </c>
      <c r="AL157">
        <f>IF([3]Entry!$N$160="","",[3]Entry!$N$160)</f>
        <v/>
      </c>
      <c r="AM157">
        <f>IF([3]Entry!$R$160="","",[3]Entry!$R$160)</f>
        <v/>
      </c>
    </row>
    <row r="158">
      <c r="A158">
        <f>IF([1]Accounts!$D$159="","",[1]Accounts!$A$159)</f>
        <v/>
      </c>
      <c r="B158">
        <f>IF([1]Accounts!$D$159="","",[1]Accounts!$B$159)</f>
        <v/>
      </c>
      <c r="C158">
        <f>IF([1]Accounts!$D$159="","",[1]Accounts!$C$159)</f>
        <v/>
      </c>
      <c r="D158">
        <f>IF([1]Accounts!$D$159="","",[1]Accounts!$D$159)</f>
        <v/>
      </c>
      <c r="E158">
        <f>IF([1]Accounts!$D$159="","",[1]Accounts!$E$159)</f>
        <v/>
      </c>
      <c r="F158">
        <f>IF([1]Accounts!$D$159="","",[1]Accounts!$F$159)</f>
        <v/>
      </c>
      <c r="G158">
        <f>IF([1]Accounts!$D$159="","",[1]Accounts!$G$159)</f>
        <v/>
      </c>
      <c r="T158">
        <f>IF([2]Baskol!$B$161="","",[2]Baskol!$B$161)</f>
        <v/>
      </c>
      <c r="U158">
        <f>IF([2]Baskol!$C$161="","",[2]Baskol!$C$161)</f>
        <v/>
      </c>
      <c r="V158">
        <f>IF([2]Baskol!$D$161="","",[2]Baskol!$D$161)</f>
        <v/>
      </c>
      <c r="W158">
        <f>IF([2]Baskol!$E$161="","",[2]Baskol!$E$161)</f>
        <v/>
      </c>
      <c r="X158">
        <f>IF([2]Baskol!$G$161="","",[2]Baskol!$G$161)</f>
        <v/>
      </c>
      <c r="Y158">
        <f>IF([2]Baskol!$I$161="","",[2]Baskol!$I$161)</f>
        <v/>
      </c>
      <c r="Z158">
        <f>IF([2]Baskol!$J$161="","",[2]Baskol!$J$161)</f>
        <v/>
      </c>
      <c r="AA158">
        <f>IF([2]Baskol!$K$161="","",[2]Baskol!$K$161)</f>
        <v/>
      </c>
      <c r="AB158">
        <f>IF([2]Baskol!$L$161="","",[2]Baskol!$L$161)</f>
        <v/>
      </c>
      <c r="AC158">
        <f>IF([2]Baskol!$N$161="","",[2]Baskol!$N$161)</f>
        <v/>
      </c>
      <c r="AD158">
        <f>IF([2]Baskol!$O$161="","",[2]Baskol!$O$161)</f>
        <v/>
      </c>
      <c r="AE158">
        <f>IF([3]Entry!$C$161="","",[3]Entry!$C$161)</f>
        <v/>
      </c>
      <c r="AF158">
        <f>IF([3]Entry!$D$161="","",[3]Entry!$D$161)</f>
        <v/>
      </c>
      <c r="AG158">
        <f>IF([3]Entry!$E$161="","",[3]Entry!$E$161)</f>
        <v/>
      </c>
      <c r="AH158">
        <f>IF([3]Entry!$G$161="","",[3]Entry!$G$161)</f>
        <v/>
      </c>
      <c r="AI158">
        <f>IF([3]Entry!$K$161="","",[3]Entry!$K$161)</f>
        <v/>
      </c>
      <c r="AJ158">
        <f>IF([3]Entry!$L$161="","",[3]Entry!$L$161)</f>
        <v/>
      </c>
      <c r="AK158">
        <f>IF([3]Entry!$M$161="","",[3]Entry!$M$161)</f>
        <v/>
      </c>
      <c r="AL158">
        <f>IF([3]Entry!$N$161="","",[3]Entry!$N$161)</f>
        <v/>
      </c>
      <c r="AM158">
        <f>IF([3]Entry!$R$161="","",[3]Entry!$R$161)</f>
        <v/>
      </c>
    </row>
    <row r="159">
      <c r="A159">
        <f>IF([1]Accounts!$D$160="","",[1]Accounts!$A$160)</f>
        <v/>
      </c>
      <c r="B159">
        <f>IF([1]Accounts!$D$160="","",[1]Accounts!$B$160)</f>
        <v/>
      </c>
      <c r="C159">
        <f>IF([1]Accounts!$D$160="","",[1]Accounts!$C$160)</f>
        <v/>
      </c>
      <c r="D159">
        <f>IF([1]Accounts!$D$160="","",[1]Accounts!$D$160)</f>
        <v/>
      </c>
      <c r="E159">
        <f>IF([1]Accounts!$D$160="","",[1]Accounts!$E$160)</f>
        <v/>
      </c>
      <c r="F159">
        <f>IF([1]Accounts!$D$160="","",[1]Accounts!$F$160)</f>
        <v/>
      </c>
      <c r="G159">
        <f>IF([1]Accounts!$D$160="","",[1]Accounts!$G$160)</f>
        <v/>
      </c>
      <c r="T159">
        <f>IF([2]Baskol!$B$162="","",[2]Baskol!$B$162)</f>
        <v/>
      </c>
      <c r="U159">
        <f>IF([2]Baskol!$C$162="","",[2]Baskol!$C$162)</f>
        <v/>
      </c>
      <c r="V159">
        <f>IF([2]Baskol!$D$162="","",[2]Baskol!$D$162)</f>
        <v/>
      </c>
      <c r="W159">
        <f>IF([2]Baskol!$E$162="","",[2]Baskol!$E$162)</f>
        <v/>
      </c>
      <c r="X159">
        <f>IF([2]Baskol!$G$162="","",[2]Baskol!$G$162)</f>
        <v/>
      </c>
      <c r="Y159">
        <f>IF([2]Baskol!$I$162="","",[2]Baskol!$I$162)</f>
        <v/>
      </c>
      <c r="Z159">
        <f>IF([2]Baskol!$J$162="","",[2]Baskol!$J$162)</f>
        <v/>
      </c>
      <c r="AA159">
        <f>IF([2]Baskol!$K$162="","",[2]Baskol!$K$162)</f>
        <v/>
      </c>
      <c r="AB159">
        <f>IF([2]Baskol!$L$162="","",[2]Baskol!$L$162)</f>
        <v/>
      </c>
      <c r="AC159">
        <f>IF([2]Baskol!$N$162="","",[2]Baskol!$N$162)</f>
        <v/>
      </c>
      <c r="AD159">
        <f>IF([2]Baskol!$O$162="","",[2]Baskol!$O$162)</f>
        <v/>
      </c>
      <c r="AE159">
        <f>IF([3]Entry!$C$162="","",[3]Entry!$C$162)</f>
        <v/>
      </c>
      <c r="AF159">
        <f>IF([3]Entry!$D$162="","",[3]Entry!$D$162)</f>
        <v/>
      </c>
      <c r="AG159">
        <f>IF([3]Entry!$E$162="","",[3]Entry!$E$162)</f>
        <v/>
      </c>
      <c r="AH159">
        <f>IF([3]Entry!$G$162="","",[3]Entry!$G$162)</f>
        <v/>
      </c>
      <c r="AI159">
        <f>IF([3]Entry!$K$162="","",[3]Entry!$K$162)</f>
        <v/>
      </c>
      <c r="AJ159">
        <f>IF([3]Entry!$L$162="","",[3]Entry!$L$162)</f>
        <v/>
      </c>
      <c r="AK159">
        <f>IF([3]Entry!$M$162="","",[3]Entry!$M$162)</f>
        <v/>
      </c>
      <c r="AL159">
        <f>IF([3]Entry!$N$162="","",[3]Entry!$N$162)</f>
        <v/>
      </c>
      <c r="AM159">
        <f>IF([3]Entry!$R$162="","",[3]Entry!$R$162)</f>
        <v/>
      </c>
    </row>
    <row r="160">
      <c r="A160">
        <f>IF([1]Accounts!$D$161="","",[1]Accounts!$A$161)</f>
        <v/>
      </c>
      <c r="B160">
        <f>IF([1]Accounts!$D$161="","",[1]Accounts!$B$161)</f>
        <v/>
      </c>
      <c r="C160">
        <f>IF([1]Accounts!$D$161="","",[1]Accounts!$C$161)</f>
        <v/>
      </c>
      <c r="D160">
        <f>IF([1]Accounts!$D$161="","",[1]Accounts!$D$161)</f>
        <v/>
      </c>
      <c r="E160">
        <f>IF([1]Accounts!$D$161="","",[1]Accounts!$E$161)</f>
        <v/>
      </c>
      <c r="F160">
        <f>IF([1]Accounts!$D$161="","",[1]Accounts!$F$161)</f>
        <v/>
      </c>
      <c r="G160">
        <f>IF([1]Accounts!$D$161="","",[1]Accounts!$G$161)</f>
        <v/>
      </c>
      <c r="T160">
        <f>IF([2]Baskol!$B$163="","",[2]Baskol!$B$163)</f>
        <v/>
      </c>
      <c r="U160">
        <f>IF([2]Baskol!$C$163="","",[2]Baskol!$C$163)</f>
        <v/>
      </c>
      <c r="V160">
        <f>IF([2]Baskol!$D$163="","",[2]Baskol!$D$163)</f>
        <v/>
      </c>
      <c r="W160">
        <f>IF([2]Baskol!$E$163="","",[2]Baskol!$E$163)</f>
        <v/>
      </c>
      <c r="X160">
        <f>IF([2]Baskol!$G$163="","",[2]Baskol!$G$163)</f>
        <v/>
      </c>
      <c r="Y160">
        <f>IF([2]Baskol!$I$163="","",[2]Baskol!$I$163)</f>
        <v/>
      </c>
      <c r="Z160">
        <f>IF([2]Baskol!$J$163="","",[2]Baskol!$J$163)</f>
        <v/>
      </c>
      <c r="AA160">
        <f>IF([2]Baskol!$K$163="","",[2]Baskol!$K$163)</f>
        <v/>
      </c>
      <c r="AB160">
        <f>IF([2]Baskol!$L$163="","",[2]Baskol!$L$163)</f>
        <v/>
      </c>
      <c r="AC160">
        <f>IF([2]Baskol!$N$163="","",[2]Baskol!$N$163)</f>
        <v/>
      </c>
      <c r="AD160">
        <f>IF([2]Baskol!$O$163="","",[2]Baskol!$O$163)</f>
        <v/>
      </c>
      <c r="AE160">
        <f>IF([3]Entry!$C$163="","",[3]Entry!$C$163)</f>
        <v/>
      </c>
      <c r="AF160">
        <f>IF([3]Entry!$D$163="","",[3]Entry!$D$163)</f>
        <v/>
      </c>
      <c r="AG160">
        <f>IF([3]Entry!$E$163="","",[3]Entry!$E$163)</f>
        <v/>
      </c>
      <c r="AH160">
        <f>IF([3]Entry!$G$163="","",[3]Entry!$G$163)</f>
        <v/>
      </c>
      <c r="AI160">
        <f>IF([3]Entry!$K$163="","",[3]Entry!$K$163)</f>
        <v/>
      </c>
      <c r="AJ160">
        <f>IF([3]Entry!$L$163="","",[3]Entry!$L$163)</f>
        <v/>
      </c>
      <c r="AK160">
        <f>IF([3]Entry!$M$163="","",[3]Entry!$M$163)</f>
        <v/>
      </c>
      <c r="AL160">
        <f>IF([3]Entry!$N$163="","",[3]Entry!$N$163)</f>
        <v/>
      </c>
      <c r="AM160">
        <f>IF([3]Entry!$R$163="","",[3]Entry!$R$163)</f>
        <v/>
      </c>
    </row>
    <row r="161">
      <c r="A161">
        <f>IF([1]Accounts!$D$162="","",[1]Accounts!$A$162)</f>
        <v/>
      </c>
      <c r="B161">
        <f>IF([1]Accounts!$D$162="","",[1]Accounts!$B$162)</f>
        <v/>
      </c>
      <c r="C161">
        <f>IF([1]Accounts!$D$162="","",[1]Accounts!$C$162)</f>
        <v/>
      </c>
      <c r="D161">
        <f>IF([1]Accounts!$D$162="","",[1]Accounts!$D$162)</f>
        <v/>
      </c>
      <c r="E161">
        <f>IF([1]Accounts!$D$162="","",[1]Accounts!$E$162)</f>
        <v/>
      </c>
      <c r="F161">
        <f>IF([1]Accounts!$D$162="","",[1]Accounts!$F$162)</f>
        <v/>
      </c>
      <c r="G161">
        <f>IF([1]Accounts!$D$162="","",[1]Accounts!$G$162)</f>
        <v/>
      </c>
      <c r="T161">
        <f>IF([2]Baskol!$B$164="","",[2]Baskol!$B$164)</f>
        <v/>
      </c>
      <c r="U161">
        <f>IF([2]Baskol!$C$164="","",[2]Baskol!$C$164)</f>
        <v/>
      </c>
      <c r="V161">
        <f>IF([2]Baskol!$D$164="","",[2]Baskol!$D$164)</f>
        <v/>
      </c>
      <c r="W161">
        <f>IF([2]Baskol!$E$164="","",[2]Baskol!$E$164)</f>
        <v/>
      </c>
      <c r="X161">
        <f>IF([2]Baskol!$G$164="","",[2]Baskol!$G$164)</f>
        <v/>
      </c>
      <c r="Y161">
        <f>IF([2]Baskol!$I$164="","",[2]Baskol!$I$164)</f>
        <v/>
      </c>
      <c r="Z161">
        <f>IF([2]Baskol!$J$164="","",[2]Baskol!$J$164)</f>
        <v/>
      </c>
      <c r="AA161">
        <f>IF([2]Baskol!$K$164="","",[2]Baskol!$K$164)</f>
        <v/>
      </c>
      <c r="AB161">
        <f>IF([2]Baskol!$L$164="","",[2]Baskol!$L$164)</f>
        <v/>
      </c>
      <c r="AC161">
        <f>IF([2]Baskol!$N$164="","",[2]Baskol!$N$164)</f>
        <v/>
      </c>
      <c r="AD161">
        <f>IF([2]Baskol!$O$164="","",[2]Baskol!$O$164)</f>
        <v/>
      </c>
      <c r="AE161">
        <f>IF([3]Entry!$C$164="","",[3]Entry!$C$164)</f>
        <v/>
      </c>
      <c r="AF161">
        <f>IF([3]Entry!$D$164="","",[3]Entry!$D$164)</f>
        <v/>
      </c>
      <c r="AG161">
        <f>IF([3]Entry!$E$164="","",[3]Entry!$E$164)</f>
        <v/>
      </c>
      <c r="AH161">
        <f>IF([3]Entry!$G$164="","",[3]Entry!$G$164)</f>
        <v/>
      </c>
      <c r="AI161">
        <f>IF([3]Entry!$K$164="","",[3]Entry!$K$164)</f>
        <v/>
      </c>
      <c r="AJ161">
        <f>IF([3]Entry!$L$164="","",[3]Entry!$L$164)</f>
        <v/>
      </c>
      <c r="AK161">
        <f>IF([3]Entry!$M$164="","",[3]Entry!$M$164)</f>
        <v/>
      </c>
      <c r="AL161">
        <f>IF([3]Entry!$N$164="","",[3]Entry!$N$164)</f>
        <v/>
      </c>
      <c r="AM161">
        <f>IF([3]Entry!$R$164="","",[3]Entry!$R$164)</f>
        <v/>
      </c>
    </row>
    <row r="162">
      <c r="A162">
        <f>IF([1]Accounts!$D$163="","",[1]Accounts!$A$163)</f>
        <v/>
      </c>
      <c r="B162">
        <f>IF([1]Accounts!$D$163="","",[1]Accounts!$B$163)</f>
        <v/>
      </c>
      <c r="C162">
        <f>IF([1]Accounts!$D$163="","",[1]Accounts!$C$163)</f>
        <v/>
      </c>
      <c r="D162">
        <f>IF([1]Accounts!$D$163="","",[1]Accounts!$D$163)</f>
        <v/>
      </c>
      <c r="E162">
        <f>IF([1]Accounts!$D$163="","",[1]Accounts!$E$163)</f>
        <v/>
      </c>
      <c r="F162">
        <f>IF([1]Accounts!$D$163="","",[1]Accounts!$F$163)</f>
        <v/>
      </c>
      <c r="G162">
        <f>IF([1]Accounts!$D$163="","",[1]Accounts!$G$163)</f>
        <v/>
      </c>
      <c r="T162">
        <f>IF([2]Baskol!$B$165="","",[2]Baskol!$B$165)</f>
        <v/>
      </c>
      <c r="U162">
        <f>IF([2]Baskol!$C$165="","",[2]Baskol!$C$165)</f>
        <v/>
      </c>
      <c r="V162">
        <f>IF([2]Baskol!$D$165="","",[2]Baskol!$D$165)</f>
        <v/>
      </c>
      <c r="W162">
        <f>IF([2]Baskol!$E$165="","",[2]Baskol!$E$165)</f>
        <v/>
      </c>
      <c r="X162">
        <f>IF([2]Baskol!$G$165="","",[2]Baskol!$G$165)</f>
        <v/>
      </c>
      <c r="Y162">
        <f>IF([2]Baskol!$I$165="","",[2]Baskol!$I$165)</f>
        <v/>
      </c>
      <c r="Z162">
        <f>IF([2]Baskol!$J$165="","",[2]Baskol!$J$165)</f>
        <v/>
      </c>
      <c r="AA162">
        <f>IF([2]Baskol!$K$165="","",[2]Baskol!$K$165)</f>
        <v/>
      </c>
      <c r="AB162">
        <f>IF([2]Baskol!$L$165="","",[2]Baskol!$L$165)</f>
        <v/>
      </c>
      <c r="AC162">
        <f>IF([2]Baskol!$N$165="","",[2]Baskol!$N$165)</f>
        <v/>
      </c>
      <c r="AD162">
        <f>IF([2]Baskol!$O$165="","",[2]Baskol!$O$165)</f>
        <v/>
      </c>
      <c r="AE162">
        <f>IF([3]Entry!$C$165="","",[3]Entry!$C$165)</f>
        <v/>
      </c>
      <c r="AF162">
        <f>IF([3]Entry!$D$165="","",[3]Entry!$D$165)</f>
        <v/>
      </c>
      <c r="AG162">
        <f>IF([3]Entry!$E$165="","",[3]Entry!$E$165)</f>
        <v/>
      </c>
      <c r="AH162">
        <f>IF([3]Entry!$G$165="","",[3]Entry!$G$165)</f>
        <v/>
      </c>
      <c r="AI162">
        <f>IF([3]Entry!$K$165="","",[3]Entry!$K$165)</f>
        <v/>
      </c>
      <c r="AJ162">
        <f>IF([3]Entry!$L$165="","",[3]Entry!$L$165)</f>
        <v/>
      </c>
      <c r="AK162">
        <f>IF([3]Entry!$M$165="","",[3]Entry!$M$165)</f>
        <v/>
      </c>
      <c r="AL162">
        <f>IF([3]Entry!$N$165="","",[3]Entry!$N$165)</f>
        <v/>
      </c>
      <c r="AM162">
        <f>IF([3]Entry!$R$165="","",[3]Entry!$R$165)</f>
        <v/>
      </c>
    </row>
    <row r="163">
      <c r="A163">
        <f>IF([1]Accounts!$D$164="","",[1]Accounts!$A$164)</f>
        <v/>
      </c>
      <c r="B163">
        <f>IF([1]Accounts!$D$164="","",[1]Accounts!$B$164)</f>
        <v/>
      </c>
      <c r="C163">
        <f>IF([1]Accounts!$D$164="","",[1]Accounts!$C$164)</f>
        <v/>
      </c>
      <c r="D163">
        <f>IF([1]Accounts!$D$164="","",[1]Accounts!$D$164)</f>
        <v/>
      </c>
      <c r="E163">
        <f>IF([1]Accounts!$D$164="","",[1]Accounts!$E$164)</f>
        <v/>
      </c>
      <c r="F163">
        <f>IF([1]Accounts!$D$164="","",[1]Accounts!$F$164)</f>
        <v/>
      </c>
      <c r="G163">
        <f>IF([1]Accounts!$D$164="","",[1]Accounts!$G$164)</f>
        <v/>
      </c>
      <c r="T163">
        <f>IF([2]Baskol!$B$166="","",[2]Baskol!$B$166)</f>
        <v/>
      </c>
      <c r="U163">
        <f>IF([2]Baskol!$C$166="","",[2]Baskol!$C$166)</f>
        <v/>
      </c>
      <c r="V163">
        <f>IF([2]Baskol!$D$166="","",[2]Baskol!$D$166)</f>
        <v/>
      </c>
      <c r="W163">
        <f>IF([2]Baskol!$E$166="","",[2]Baskol!$E$166)</f>
        <v/>
      </c>
      <c r="X163">
        <f>IF([2]Baskol!$G$166="","",[2]Baskol!$G$166)</f>
        <v/>
      </c>
      <c r="Y163">
        <f>IF([2]Baskol!$I$166="","",[2]Baskol!$I$166)</f>
        <v/>
      </c>
      <c r="Z163">
        <f>IF([2]Baskol!$J$166="","",[2]Baskol!$J$166)</f>
        <v/>
      </c>
      <c r="AA163">
        <f>IF([2]Baskol!$K$166="","",[2]Baskol!$K$166)</f>
        <v/>
      </c>
      <c r="AB163">
        <f>IF([2]Baskol!$L$166="","",[2]Baskol!$L$166)</f>
        <v/>
      </c>
      <c r="AC163">
        <f>IF([2]Baskol!$N$166="","",[2]Baskol!$N$166)</f>
        <v/>
      </c>
      <c r="AD163">
        <f>IF([2]Baskol!$O$166="","",[2]Baskol!$O$166)</f>
        <v/>
      </c>
      <c r="AE163">
        <f>IF([3]Entry!$C$166="","",[3]Entry!$C$166)</f>
        <v/>
      </c>
      <c r="AF163">
        <f>IF([3]Entry!$D$166="","",[3]Entry!$D$166)</f>
        <v/>
      </c>
      <c r="AG163">
        <f>IF([3]Entry!$E$166="","",[3]Entry!$E$166)</f>
        <v/>
      </c>
      <c r="AH163">
        <f>IF([3]Entry!$G$166="","",[3]Entry!$G$166)</f>
        <v/>
      </c>
      <c r="AI163">
        <f>IF([3]Entry!$K$166="","",[3]Entry!$K$166)</f>
        <v/>
      </c>
      <c r="AJ163">
        <f>IF([3]Entry!$L$166="","",[3]Entry!$L$166)</f>
        <v/>
      </c>
      <c r="AK163">
        <f>IF([3]Entry!$M$166="","",[3]Entry!$M$166)</f>
        <v/>
      </c>
      <c r="AL163">
        <f>IF([3]Entry!$N$166="","",[3]Entry!$N$166)</f>
        <v/>
      </c>
      <c r="AM163">
        <f>IF([3]Entry!$R$166="","",[3]Entry!$R$166)</f>
        <v/>
      </c>
    </row>
    <row r="164">
      <c r="A164">
        <f>IF([1]Accounts!$D$165="","",[1]Accounts!$A$165)</f>
        <v/>
      </c>
      <c r="B164">
        <f>IF([1]Accounts!$D$165="","",[1]Accounts!$B$165)</f>
        <v/>
      </c>
      <c r="C164">
        <f>IF([1]Accounts!$D$165="","",[1]Accounts!$C$165)</f>
        <v/>
      </c>
      <c r="D164">
        <f>IF([1]Accounts!$D$165="","",[1]Accounts!$D$165)</f>
        <v/>
      </c>
      <c r="E164">
        <f>IF([1]Accounts!$D$165="","",[1]Accounts!$E$165)</f>
        <v/>
      </c>
      <c r="F164">
        <f>IF([1]Accounts!$D$165="","",[1]Accounts!$F$165)</f>
        <v/>
      </c>
      <c r="G164">
        <f>IF([1]Accounts!$D$165="","",[1]Accounts!$G$165)</f>
        <v/>
      </c>
      <c r="T164">
        <f>IF([2]Baskol!$B$167="","",[2]Baskol!$B$167)</f>
        <v/>
      </c>
      <c r="U164">
        <f>IF([2]Baskol!$C$167="","",[2]Baskol!$C$167)</f>
        <v/>
      </c>
      <c r="V164">
        <f>IF([2]Baskol!$D$167="","",[2]Baskol!$D$167)</f>
        <v/>
      </c>
      <c r="W164">
        <f>IF([2]Baskol!$E$167="","",[2]Baskol!$E$167)</f>
        <v/>
      </c>
      <c r="X164">
        <f>IF([2]Baskol!$G$167="","",[2]Baskol!$G$167)</f>
        <v/>
      </c>
      <c r="Y164">
        <f>IF([2]Baskol!$I$167="","",[2]Baskol!$I$167)</f>
        <v/>
      </c>
      <c r="Z164">
        <f>IF([2]Baskol!$J$167="","",[2]Baskol!$J$167)</f>
        <v/>
      </c>
      <c r="AA164">
        <f>IF([2]Baskol!$K$167="","",[2]Baskol!$K$167)</f>
        <v/>
      </c>
      <c r="AB164">
        <f>IF([2]Baskol!$L$167="","",[2]Baskol!$L$167)</f>
        <v/>
      </c>
      <c r="AC164">
        <f>IF([2]Baskol!$N$167="","",[2]Baskol!$N$167)</f>
        <v/>
      </c>
      <c r="AD164">
        <f>IF([2]Baskol!$O$167="","",[2]Baskol!$O$167)</f>
        <v/>
      </c>
      <c r="AE164">
        <f>IF([3]Entry!$C$167="","",[3]Entry!$C$167)</f>
        <v/>
      </c>
      <c r="AF164">
        <f>IF([3]Entry!$D$167="","",[3]Entry!$D$167)</f>
        <v/>
      </c>
      <c r="AG164">
        <f>IF([3]Entry!$E$167="","",[3]Entry!$E$167)</f>
        <v/>
      </c>
      <c r="AH164">
        <f>IF([3]Entry!$G$167="","",[3]Entry!$G$167)</f>
        <v/>
      </c>
      <c r="AI164">
        <f>IF([3]Entry!$K$167="","",[3]Entry!$K$167)</f>
        <v/>
      </c>
      <c r="AJ164">
        <f>IF([3]Entry!$L$167="","",[3]Entry!$L$167)</f>
        <v/>
      </c>
      <c r="AK164">
        <f>IF([3]Entry!$M$167="","",[3]Entry!$M$167)</f>
        <v/>
      </c>
      <c r="AL164">
        <f>IF([3]Entry!$N$167="","",[3]Entry!$N$167)</f>
        <v/>
      </c>
      <c r="AM164">
        <f>IF([3]Entry!$R$167="","",[3]Entry!$R$167)</f>
        <v/>
      </c>
    </row>
    <row r="165">
      <c r="A165">
        <f>IF([1]Accounts!$D$166="","",[1]Accounts!$A$166)</f>
        <v/>
      </c>
      <c r="B165">
        <f>IF([1]Accounts!$D$166="","",[1]Accounts!$B$166)</f>
        <v/>
      </c>
      <c r="C165">
        <f>IF([1]Accounts!$D$166="","",[1]Accounts!$C$166)</f>
        <v/>
      </c>
      <c r="D165">
        <f>IF([1]Accounts!$D$166="","",[1]Accounts!$D$166)</f>
        <v/>
      </c>
      <c r="E165">
        <f>IF([1]Accounts!$D$166="","",[1]Accounts!$E$166)</f>
        <v/>
      </c>
      <c r="F165">
        <f>IF([1]Accounts!$D$166="","",[1]Accounts!$F$166)</f>
        <v/>
      </c>
      <c r="G165">
        <f>IF([1]Accounts!$D$166="","",[1]Accounts!$G$166)</f>
        <v/>
      </c>
      <c r="T165">
        <f>IF([2]Baskol!$B$168="","",[2]Baskol!$B$168)</f>
        <v/>
      </c>
      <c r="U165">
        <f>IF([2]Baskol!$C$168="","",[2]Baskol!$C$168)</f>
        <v/>
      </c>
      <c r="V165">
        <f>IF([2]Baskol!$D$168="","",[2]Baskol!$D$168)</f>
        <v/>
      </c>
      <c r="W165">
        <f>IF([2]Baskol!$E$168="","",[2]Baskol!$E$168)</f>
        <v/>
      </c>
      <c r="X165">
        <f>IF([2]Baskol!$G$168="","",[2]Baskol!$G$168)</f>
        <v/>
      </c>
      <c r="Y165">
        <f>IF([2]Baskol!$I$168="","",[2]Baskol!$I$168)</f>
        <v/>
      </c>
      <c r="Z165">
        <f>IF([2]Baskol!$J$168="","",[2]Baskol!$J$168)</f>
        <v/>
      </c>
      <c r="AA165">
        <f>IF([2]Baskol!$K$168="","",[2]Baskol!$K$168)</f>
        <v/>
      </c>
      <c r="AB165">
        <f>IF([2]Baskol!$L$168="","",[2]Baskol!$L$168)</f>
        <v/>
      </c>
      <c r="AC165">
        <f>IF([2]Baskol!$N$168="","",[2]Baskol!$N$168)</f>
        <v/>
      </c>
      <c r="AD165">
        <f>IF([2]Baskol!$O$168="","",[2]Baskol!$O$168)</f>
        <v/>
      </c>
      <c r="AE165">
        <f>IF([3]Entry!$C$168="","",[3]Entry!$C$168)</f>
        <v/>
      </c>
      <c r="AF165">
        <f>IF([3]Entry!$D$168="","",[3]Entry!$D$168)</f>
        <v/>
      </c>
      <c r="AG165">
        <f>IF([3]Entry!$E$168="","",[3]Entry!$E$168)</f>
        <v/>
      </c>
      <c r="AH165">
        <f>IF([3]Entry!$G$168="","",[3]Entry!$G$168)</f>
        <v/>
      </c>
      <c r="AI165">
        <f>IF([3]Entry!$K$168="","",[3]Entry!$K$168)</f>
        <v/>
      </c>
      <c r="AJ165">
        <f>IF([3]Entry!$L$168="","",[3]Entry!$L$168)</f>
        <v/>
      </c>
      <c r="AK165">
        <f>IF([3]Entry!$M$168="","",[3]Entry!$M$168)</f>
        <v/>
      </c>
      <c r="AL165">
        <f>IF([3]Entry!$N$168="","",[3]Entry!$N$168)</f>
        <v/>
      </c>
      <c r="AM165">
        <f>IF([3]Entry!$R$168="","",[3]Entry!$R$168)</f>
        <v/>
      </c>
    </row>
    <row r="166">
      <c r="A166">
        <f>IF([1]Accounts!$D$167="","",[1]Accounts!$A$167)</f>
        <v/>
      </c>
      <c r="B166">
        <f>IF([1]Accounts!$D$167="","",[1]Accounts!$B$167)</f>
        <v/>
      </c>
      <c r="C166">
        <f>IF([1]Accounts!$D$167="","",[1]Accounts!$C$167)</f>
        <v/>
      </c>
      <c r="D166">
        <f>IF([1]Accounts!$D$167="","",[1]Accounts!$D$167)</f>
        <v/>
      </c>
      <c r="E166">
        <f>IF([1]Accounts!$D$167="","",[1]Accounts!$E$167)</f>
        <v/>
      </c>
      <c r="F166">
        <f>IF([1]Accounts!$D$167="","",[1]Accounts!$F$167)</f>
        <v/>
      </c>
      <c r="G166">
        <f>IF([1]Accounts!$D$167="","",[1]Accounts!$G$167)</f>
        <v/>
      </c>
      <c r="T166">
        <f>IF([2]Baskol!$B$169="","",[2]Baskol!$B$169)</f>
        <v/>
      </c>
      <c r="U166">
        <f>IF([2]Baskol!$C$169="","",[2]Baskol!$C$169)</f>
        <v/>
      </c>
      <c r="V166">
        <f>IF([2]Baskol!$D$169="","",[2]Baskol!$D$169)</f>
        <v/>
      </c>
      <c r="W166">
        <f>IF([2]Baskol!$E$169="","",[2]Baskol!$E$169)</f>
        <v/>
      </c>
      <c r="X166">
        <f>IF([2]Baskol!$G$169="","",[2]Baskol!$G$169)</f>
        <v/>
      </c>
      <c r="Y166">
        <f>IF([2]Baskol!$I$169="","",[2]Baskol!$I$169)</f>
        <v/>
      </c>
      <c r="Z166">
        <f>IF([2]Baskol!$J$169="","",[2]Baskol!$J$169)</f>
        <v/>
      </c>
      <c r="AA166">
        <f>IF([2]Baskol!$K$169="","",[2]Baskol!$K$169)</f>
        <v/>
      </c>
      <c r="AB166">
        <f>IF([2]Baskol!$L$169="","",[2]Baskol!$L$169)</f>
        <v/>
      </c>
      <c r="AC166">
        <f>IF([2]Baskol!$N$169="","",[2]Baskol!$N$169)</f>
        <v/>
      </c>
      <c r="AD166">
        <f>IF([2]Baskol!$O$169="","",[2]Baskol!$O$169)</f>
        <v/>
      </c>
      <c r="AE166">
        <f>IF([3]Entry!$C$169="","",[3]Entry!$C$169)</f>
        <v/>
      </c>
      <c r="AF166">
        <f>IF([3]Entry!$D$169="","",[3]Entry!$D$169)</f>
        <v/>
      </c>
      <c r="AG166">
        <f>IF([3]Entry!$E$169="","",[3]Entry!$E$169)</f>
        <v/>
      </c>
      <c r="AH166">
        <f>IF([3]Entry!$G$169="","",[3]Entry!$G$169)</f>
        <v/>
      </c>
      <c r="AI166">
        <f>IF([3]Entry!$K$169="","",[3]Entry!$K$169)</f>
        <v/>
      </c>
      <c r="AJ166">
        <f>IF([3]Entry!$L$169="","",[3]Entry!$L$169)</f>
        <v/>
      </c>
      <c r="AK166">
        <f>IF([3]Entry!$M$169="","",[3]Entry!$M$169)</f>
        <v/>
      </c>
      <c r="AL166">
        <f>IF([3]Entry!$N$169="","",[3]Entry!$N$169)</f>
        <v/>
      </c>
      <c r="AM166">
        <f>IF([3]Entry!$R$169="","",[3]Entry!$R$169)</f>
        <v/>
      </c>
    </row>
    <row r="167">
      <c r="A167">
        <f>IF([1]Accounts!$D$168="","",[1]Accounts!$A$168)</f>
        <v/>
      </c>
      <c r="B167">
        <f>IF([1]Accounts!$D$168="","",[1]Accounts!$B$168)</f>
        <v/>
      </c>
      <c r="C167">
        <f>IF([1]Accounts!$D$168="","",[1]Accounts!$C$168)</f>
        <v/>
      </c>
      <c r="D167">
        <f>IF([1]Accounts!$D$168="","",[1]Accounts!$D$168)</f>
        <v/>
      </c>
      <c r="E167">
        <f>IF([1]Accounts!$D$168="","",[1]Accounts!$E$168)</f>
        <v/>
      </c>
      <c r="F167">
        <f>IF([1]Accounts!$D$168="","",[1]Accounts!$F$168)</f>
        <v/>
      </c>
      <c r="G167">
        <f>IF([1]Accounts!$D$168="","",[1]Accounts!$G$168)</f>
        <v/>
      </c>
      <c r="T167">
        <f>IF([2]Baskol!$B$170="","",[2]Baskol!$B$170)</f>
        <v/>
      </c>
      <c r="U167">
        <f>IF([2]Baskol!$C$170="","",[2]Baskol!$C$170)</f>
        <v/>
      </c>
      <c r="V167">
        <f>IF([2]Baskol!$D$170="","",[2]Baskol!$D$170)</f>
        <v/>
      </c>
      <c r="W167">
        <f>IF([2]Baskol!$E$170="","",[2]Baskol!$E$170)</f>
        <v/>
      </c>
      <c r="X167">
        <f>IF([2]Baskol!$G$170="","",[2]Baskol!$G$170)</f>
        <v/>
      </c>
      <c r="Y167">
        <f>IF([2]Baskol!$I$170="","",[2]Baskol!$I$170)</f>
        <v/>
      </c>
      <c r="Z167">
        <f>IF([2]Baskol!$J$170="","",[2]Baskol!$J$170)</f>
        <v/>
      </c>
      <c r="AA167">
        <f>IF([2]Baskol!$K$170="","",[2]Baskol!$K$170)</f>
        <v/>
      </c>
      <c r="AB167">
        <f>IF([2]Baskol!$L$170="","",[2]Baskol!$L$170)</f>
        <v/>
      </c>
      <c r="AC167">
        <f>IF([2]Baskol!$N$170="","",[2]Baskol!$N$170)</f>
        <v/>
      </c>
      <c r="AD167">
        <f>IF([2]Baskol!$O$170="","",[2]Baskol!$O$170)</f>
        <v/>
      </c>
      <c r="AE167">
        <f>IF([3]Entry!$C$170="","",[3]Entry!$C$170)</f>
        <v/>
      </c>
      <c r="AF167">
        <f>IF([3]Entry!$D$170="","",[3]Entry!$D$170)</f>
        <v/>
      </c>
      <c r="AG167">
        <f>IF([3]Entry!$E$170="","",[3]Entry!$E$170)</f>
        <v/>
      </c>
      <c r="AH167">
        <f>IF([3]Entry!$G$170="","",[3]Entry!$G$170)</f>
        <v/>
      </c>
      <c r="AI167">
        <f>IF([3]Entry!$K$170="","",[3]Entry!$K$170)</f>
        <v/>
      </c>
      <c r="AJ167">
        <f>IF([3]Entry!$L$170="","",[3]Entry!$L$170)</f>
        <v/>
      </c>
      <c r="AK167">
        <f>IF([3]Entry!$M$170="","",[3]Entry!$M$170)</f>
        <v/>
      </c>
      <c r="AL167">
        <f>IF([3]Entry!$N$170="","",[3]Entry!$N$170)</f>
        <v/>
      </c>
      <c r="AM167">
        <f>IF([3]Entry!$R$170="","",[3]Entry!$R$170)</f>
        <v/>
      </c>
    </row>
    <row r="168">
      <c r="A168">
        <f>IF([1]Accounts!$D$169="","",[1]Accounts!$A$169)</f>
        <v/>
      </c>
      <c r="B168">
        <f>IF([1]Accounts!$D$169="","",[1]Accounts!$B$169)</f>
        <v/>
      </c>
      <c r="C168">
        <f>IF([1]Accounts!$D$169="","",[1]Accounts!$C$169)</f>
        <v/>
      </c>
      <c r="D168">
        <f>IF([1]Accounts!$D$169="","",[1]Accounts!$D$169)</f>
        <v/>
      </c>
      <c r="E168">
        <f>IF([1]Accounts!$D$169="","",[1]Accounts!$E$169)</f>
        <v/>
      </c>
      <c r="F168">
        <f>IF([1]Accounts!$D$169="","",[1]Accounts!$F$169)</f>
        <v/>
      </c>
      <c r="G168">
        <f>IF([1]Accounts!$D$169="","",[1]Accounts!$G$169)</f>
        <v/>
      </c>
      <c r="T168">
        <f>IF([2]Baskol!$B$171="","",[2]Baskol!$B$171)</f>
        <v/>
      </c>
      <c r="U168">
        <f>IF([2]Baskol!$C$171="","",[2]Baskol!$C$171)</f>
        <v/>
      </c>
      <c r="V168">
        <f>IF([2]Baskol!$D$171="","",[2]Baskol!$D$171)</f>
        <v/>
      </c>
      <c r="W168">
        <f>IF([2]Baskol!$E$171="","",[2]Baskol!$E$171)</f>
        <v/>
      </c>
      <c r="X168">
        <f>IF([2]Baskol!$G$171="","",[2]Baskol!$G$171)</f>
        <v/>
      </c>
      <c r="Y168">
        <f>IF([2]Baskol!$I$171="","",[2]Baskol!$I$171)</f>
        <v/>
      </c>
      <c r="Z168">
        <f>IF([2]Baskol!$J$171="","",[2]Baskol!$J$171)</f>
        <v/>
      </c>
      <c r="AA168">
        <f>IF([2]Baskol!$K$171="","",[2]Baskol!$K$171)</f>
        <v/>
      </c>
      <c r="AB168">
        <f>IF([2]Baskol!$L$171="","",[2]Baskol!$L$171)</f>
        <v/>
      </c>
      <c r="AC168">
        <f>IF([2]Baskol!$N$171="","",[2]Baskol!$N$171)</f>
        <v/>
      </c>
      <c r="AD168">
        <f>IF([2]Baskol!$O$171="","",[2]Baskol!$O$171)</f>
        <v/>
      </c>
      <c r="AE168">
        <f>IF([3]Entry!$C$171="","",[3]Entry!$C$171)</f>
        <v/>
      </c>
      <c r="AF168">
        <f>IF([3]Entry!$D$171="","",[3]Entry!$D$171)</f>
        <v/>
      </c>
      <c r="AG168">
        <f>IF([3]Entry!$E$171="","",[3]Entry!$E$171)</f>
        <v/>
      </c>
      <c r="AH168">
        <f>IF([3]Entry!$G$171="","",[3]Entry!$G$171)</f>
        <v/>
      </c>
      <c r="AI168">
        <f>IF([3]Entry!$K$171="","",[3]Entry!$K$171)</f>
        <v/>
      </c>
      <c r="AJ168">
        <f>IF([3]Entry!$L$171="","",[3]Entry!$L$171)</f>
        <v/>
      </c>
      <c r="AK168">
        <f>IF([3]Entry!$M$171="","",[3]Entry!$M$171)</f>
        <v/>
      </c>
      <c r="AL168">
        <f>IF([3]Entry!$N$171="","",[3]Entry!$N$171)</f>
        <v/>
      </c>
      <c r="AM168">
        <f>IF([3]Entry!$R$171="","",[3]Entry!$R$171)</f>
        <v/>
      </c>
    </row>
    <row r="169">
      <c r="A169">
        <f>IF([1]Accounts!$D$170="","",[1]Accounts!$A$170)</f>
        <v/>
      </c>
      <c r="B169">
        <f>IF([1]Accounts!$D$170="","",[1]Accounts!$B$170)</f>
        <v/>
      </c>
      <c r="C169">
        <f>IF([1]Accounts!$D$170="","",[1]Accounts!$C$170)</f>
        <v/>
      </c>
      <c r="D169">
        <f>IF([1]Accounts!$D$170="","",[1]Accounts!$D$170)</f>
        <v/>
      </c>
      <c r="E169">
        <f>IF([1]Accounts!$D$170="","",[1]Accounts!$E$170)</f>
        <v/>
      </c>
      <c r="F169">
        <f>IF([1]Accounts!$D$170="","",[1]Accounts!$F$170)</f>
        <v/>
      </c>
      <c r="G169">
        <f>IF([1]Accounts!$D$170="","",[1]Accounts!$G$170)</f>
        <v/>
      </c>
      <c r="T169">
        <f>IF([2]Baskol!$B$172="","",[2]Baskol!$B$172)</f>
        <v/>
      </c>
      <c r="U169">
        <f>IF([2]Baskol!$C$172="","",[2]Baskol!$C$172)</f>
        <v/>
      </c>
      <c r="V169">
        <f>IF([2]Baskol!$D$172="","",[2]Baskol!$D$172)</f>
        <v/>
      </c>
      <c r="W169">
        <f>IF([2]Baskol!$E$172="","",[2]Baskol!$E$172)</f>
        <v/>
      </c>
      <c r="X169">
        <f>IF([2]Baskol!$G$172="","",[2]Baskol!$G$172)</f>
        <v/>
      </c>
      <c r="Y169">
        <f>IF([2]Baskol!$I$172="","",[2]Baskol!$I$172)</f>
        <v/>
      </c>
      <c r="Z169">
        <f>IF([2]Baskol!$J$172="","",[2]Baskol!$J$172)</f>
        <v/>
      </c>
      <c r="AA169">
        <f>IF([2]Baskol!$K$172="","",[2]Baskol!$K$172)</f>
        <v/>
      </c>
      <c r="AB169">
        <f>IF([2]Baskol!$L$172="","",[2]Baskol!$L$172)</f>
        <v/>
      </c>
      <c r="AC169">
        <f>IF([2]Baskol!$N$172="","",[2]Baskol!$N$172)</f>
        <v/>
      </c>
      <c r="AD169">
        <f>IF([2]Baskol!$O$172="","",[2]Baskol!$O$172)</f>
        <v/>
      </c>
      <c r="AE169">
        <f>IF([3]Entry!$C$172="","",[3]Entry!$C$172)</f>
        <v/>
      </c>
      <c r="AF169">
        <f>IF([3]Entry!$D$172="","",[3]Entry!$D$172)</f>
        <v/>
      </c>
      <c r="AG169">
        <f>IF([3]Entry!$E$172="","",[3]Entry!$E$172)</f>
        <v/>
      </c>
      <c r="AH169">
        <f>IF([3]Entry!$G$172="","",[3]Entry!$G$172)</f>
        <v/>
      </c>
      <c r="AI169">
        <f>IF([3]Entry!$K$172="","",[3]Entry!$K$172)</f>
        <v/>
      </c>
      <c r="AJ169">
        <f>IF([3]Entry!$L$172="","",[3]Entry!$L$172)</f>
        <v/>
      </c>
      <c r="AK169">
        <f>IF([3]Entry!$M$172="","",[3]Entry!$M$172)</f>
        <v/>
      </c>
      <c r="AL169">
        <f>IF([3]Entry!$N$172="","",[3]Entry!$N$172)</f>
        <v/>
      </c>
      <c r="AM169">
        <f>IF([3]Entry!$R$172="","",[3]Entry!$R$172)</f>
        <v/>
      </c>
    </row>
    <row r="170">
      <c r="A170">
        <f>IF([1]Accounts!$D$171="","",[1]Accounts!$A$171)</f>
        <v/>
      </c>
      <c r="B170">
        <f>IF([1]Accounts!$D$171="","",[1]Accounts!$B$171)</f>
        <v/>
      </c>
      <c r="C170">
        <f>IF([1]Accounts!$D$171="","",[1]Accounts!$C$171)</f>
        <v/>
      </c>
      <c r="D170">
        <f>IF([1]Accounts!$D$171="","",[1]Accounts!$D$171)</f>
        <v/>
      </c>
      <c r="E170">
        <f>IF([1]Accounts!$D$171="","",[1]Accounts!$E$171)</f>
        <v/>
      </c>
      <c r="F170">
        <f>IF([1]Accounts!$D$171="","",[1]Accounts!$F$171)</f>
        <v/>
      </c>
      <c r="G170">
        <f>IF([1]Accounts!$D$171="","",[1]Accounts!$G$171)</f>
        <v/>
      </c>
      <c r="T170">
        <f>IF([2]Baskol!$B$173="","",[2]Baskol!$B$173)</f>
        <v/>
      </c>
      <c r="U170">
        <f>IF([2]Baskol!$C$173="","",[2]Baskol!$C$173)</f>
        <v/>
      </c>
      <c r="V170">
        <f>IF([2]Baskol!$D$173="","",[2]Baskol!$D$173)</f>
        <v/>
      </c>
      <c r="W170">
        <f>IF([2]Baskol!$E$173="","",[2]Baskol!$E$173)</f>
        <v/>
      </c>
      <c r="X170">
        <f>IF([2]Baskol!$G$173="","",[2]Baskol!$G$173)</f>
        <v/>
      </c>
      <c r="Y170">
        <f>IF([2]Baskol!$I$173="","",[2]Baskol!$I$173)</f>
        <v/>
      </c>
      <c r="Z170">
        <f>IF([2]Baskol!$J$173="","",[2]Baskol!$J$173)</f>
        <v/>
      </c>
      <c r="AA170">
        <f>IF([2]Baskol!$K$173="","",[2]Baskol!$K$173)</f>
        <v/>
      </c>
      <c r="AB170">
        <f>IF([2]Baskol!$L$173="","",[2]Baskol!$L$173)</f>
        <v/>
      </c>
      <c r="AC170">
        <f>IF([2]Baskol!$N$173="","",[2]Baskol!$N$173)</f>
        <v/>
      </c>
      <c r="AD170">
        <f>IF([2]Baskol!$O$173="","",[2]Baskol!$O$173)</f>
        <v/>
      </c>
      <c r="AE170">
        <f>IF([3]Entry!$C$173="","",[3]Entry!$C$173)</f>
        <v/>
      </c>
      <c r="AF170">
        <f>IF([3]Entry!$D$173="","",[3]Entry!$D$173)</f>
        <v/>
      </c>
      <c r="AG170">
        <f>IF([3]Entry!$E$173="","",[3]Entry!$E$173)</f>
        <v/>
      </c>
      <c r="AH170">
        <f>IF([3]Entry!$G$173="","",[3]Entry!$G$173)</f>
        <v/>
      </c>
      <c r="AI170">
        <f>IF([3]Entry!$K$173="","",[3]Entry!$K$173)</f>
        <v/>
      </c>
      <c r="AJ170">
        <f>IF([3]Entry!$L$173="","",[3]Entry!$L$173)</f>
        <v/>
      </c>
      <c r="AK170">
        <f>IF([3]Entry!$M$173="","",[3]Entry!$M$173)</f>
        <v/>
      </c>
      <c r="AL170">
        <f>IF([3]Entry!$N$173="","",[3]Entry!$N$173)</f>
        <v/>
      </c>
      <c r="AM170">
        <f>IF([3]Entry!$R$173="","",[3]Entry!$R$173)</f>
        <v/>
      </c>
    </row>
    <row r="171">
      <c r="A171">
        <f>IF([1]Accounts!$D$172="","",[1]Accounts!$A$172)</f>
        <v/>
      </c>
      <c r="B171">
        <f>IF([1]Accounts!$D$172="","",[1]Accounts!$B$172)</f>
        <v/>
      </c>
      <c r="C171">
        <f>IF([1]Accounts!$D$172="","",[1]Accounts!$C$172)</f>
        <v/>
      </c>
      <c r="D171">
        <f>IF([1]Accounts!$D$172="","",[1]Accounts!$D$172)</f>
        <v/>
      </c>
      <c r="E171">
        <f>IF([1]Accounts!$D$172="","",[1]Accounts!$E$172)</f>
        <v/>
      </c>
      <c r="F171">
        <f>IF([1]Accounts!$D$172="","",[1]Accounts!$F$172)</f>
        <v/>
      </c>
      <c r="G171">
        <f>IF([1]Accounts!$D$172="","",[1]Accounts!$G$172)</f>
        <v/>
      </c>
      <c r="T171">
        <f>IF([2]Baskol!$B$174="","",[2]Baskol!$B$174)</f>
        <v/>
      </c>
      <c r="U171">
        <f>IF([2]Baskol!$C$174="","",[2]Baskol!$C$174)</f>
        <v/>
      </c>
      <c r="V171">
        <f>IF([2]Baskol!$D$174="","",[2]Baskol!$D$174)</f>
        <v/>
      </c>
      <c r="W171">
        <f>IF([2]Baskol!$E$174="","",[2]Baskol!$E$174)</f>
        <v/>
      </c>
      <c r="X171">
        <f>IF([2]Baskol!$G$174="","",[2]Baskol!$G$174)</f>
        <v/>
      </c>
      <c r="Y171">
        <f>IF([2]Baskol!$I$174="","",[2]Baskol!$I$174)</f>
        <v/>
      </c>
      <c r="Z171">
        <f>IF([2]Baskol!$J$174="","",[2]Baskol!$J$174)</f>
        <v/>
      </c>
      <c r="AA171">
        <f>IF([2]Baskol!$K$174="","",[2]Baskol!$K$174)</f>
        <v/>
      </c>
      <c r="AB171">
        <f>IF([2]Baskol!$L$174="","",[2]Baskol!$L$174)</f>
        <v/>
      </c>
      <c r="AC171">
        <f>IF([2]Baskol!$N$174="","",[2]Baskol!$N$174)</f>
        <v/>
      </c>
      <c r="AD171">
        <f>IF([2]Baskol!$O$174="","",[2]Baskol!$O$174)</f>
        <v/>
      </c>
      <c r="AE171">
        <f>IF([3]Entry!$C$174="","",[3]Entry!$C$174)</f>
        <v/>
      </c>
      <c r="AF171">
        <f>IF([3]Entry!$D$174="","",[3]Entry!$D$174)</f>
        <v/>
      </c>
      <c r="AG171">
        <f>IF([3]Entry!$E$174="","",[3]Entry!$E$174)</f>
        <v/>
      </c>
      <c r="AH171">
        <f>IF([3]Entry!$G$174="","",[3]Entry!$G$174)</f>
        <v/>
      </c>
      <c r="AI171">
        <f>IF([3]Entry!$K$174="","",[3]Entry!$K$174)</f>
        <v/>
      </c>
      <c r="AJ171">
        <f>IF([3]Entry!$L$174="","",[3]Entry!$L$174)</f>
        <v/>
      </c>
      <c r="AK171">
        <f>IF([3]Entry!$M$174="","",[3]Entry!$M$174)</f>
        <v/>
      </c>
      <c r="AL171">
        <f>IF([3]Entry!$N$174="","",[3]Entry!$N$174)</f>
        <v/>
      </c>
      <c r="AM171">
        <f>IF([3]Entry!$R$174="","",[3]Entry!$R$174)</f>
        <v/>
      </c>
    </row>
    <row r="172">
      <c r="A172">
        <f>IF([1]Accounts!$D$173="","",[1]Accounts!$A$173)</f>
        <v/>
      </c>
      <c r="B172">
        <f>IF([1]Accounts!$D$173="","",[1]Accounts!$B$173)</f>
        <v/>
      </c>
      <c r="C172">
        <f>IF([1]Accounts!$D$173="","",[1]Accounts!$C$173)</f>
        <v/>
      </c>
      <c r="D172">
        <f>IF([1]Accounts!$D$173="","",[1]Accounts!$D$173)</f>
        <v/>
      </c>
      <c r="E172">
        <f>IF([1]Accounts!$D$173="","",[1]Accounts!$E$173)</f>
        <v/>
      </c>
      <c r="F172">
        <f>IF([1]Accounts!$D$173="","",[1]Accounts!$F$173)</f>
        <v/>
      </c>
      <c r="G172">
        <f>IF([1]Accounts!$D$173="","",[1]Accounts!$G$173)</f>
        <v/>
      </c>
      <c r="T172">
        <f>IF([2]Baskol!$B$175="","",[2]Baskol!$B$175)</f>
        <v/>
      </c>
      <c r="U172">
        <f>IF([2]Baskol!$C$175="","",[2]Baskol!$C$175)</f>
        <v/>
      </c>
      <c r="V172">
        <f>IF([2]Baskol!$D$175="","",[2]Baskol!$D$175)</f>
        <v/>
      </c>
      <c r="W172">
        <f>IF([2]Baskol!$E$175="","",[2]Baskol!$E$175)</f>
        <v/>
      </c>
      <c r="X172">
        <f>IF([2]Baskol!$G$175="","",[2]Baskol!$G$175)</f>
        <v/>
      </c>
      <c r="Y172">
        <f>IF([2]Baskol!$I$175="","",[2]Baskol!$I$175)</f>
        <v/>
      </c>
      <c r="Z172">
        <f>IF([2]Baskol!$J$175="","",[2]Baskol!$J$175)</f>
        <v/>
      </c>
      <c r="AA172">
        <f>IF([2]Baskol!$K$175="","",[2]Baskol!$K$175)</f>
        <v/>
      </c>
      <c r="AB172">
        <f>IF([2]Baskol!$L$175="","",[2]Baskol!$L$175)</f>
        <v/>
      </c>
      <c r="AC172">
        <f>IF([2]Baskol!$N$175="","",[2]Baskol!$N$175)</f>
        <v/>
      </c>
      <c r="AD172">
        <f>IF([2]Baskol!$O$175="","",[2]Baskol!$O$175)</f>
        <v/>
      </c>
      <c r="AE172">
        <f>IF([3]Entry!$C$175="","",[3]Entry!$C$175)</f>
        <v/>
      </c>
      <c r="AF172">
        <f>IF([3]Entry!$D$175="","",[3]Entry!$D$175)</f>
        <v/>
      </c>
      <c r="AG172">
        <f>IF([3]Entry!$E$175="","",[3]Entry!$E$175)</f>
        <v/>
      </c>
      <c r="AH172">
        <f>IF([3]Entry!$G$175="","",[3]Entry!$G$175)</f>
        <v/>
      </c>
      <c r="AI172">
        <f>IF([3]Entry!$K$175="","",[3]Entry!$K$175)</f>
        <v/>
      </c>
      <c r="AJ172">
        <f>IF([3]Entry!$L$175="","",[3]Entry!$L$175)</f>
        <v/>
      </c>
      <c r="AK172">
        <f>IF([3]Entry!$M$175="","",[3]Entry!$M$175)</f>
        <v/>
      </c>
      <c r="AL172">
        <f>IF([3]Entry!$N$175="","",[3]Entry!$N$175)</f>
        <v/>
      </c>
      <c r="AM172">
        <f>IF([3]Entry!$R$175="","",[3]Entry!$R$175)</f>
        <v/>
      </c>
    </row>
    <row r="173">
      <c r="A173">
        <f>IF([1]Accounts!$D$174="","",[1]Accounts!$A$174)</f>
        <v/>
      </c>
      <c r="B173">
        <f>IF([1]Accounts!$D$174="","",[1]Accounts!$B$174)</f>
        <v/>
      </c>
      <c r="C173">
        <f>IF([1]Accounts!$D$174="","",[1]Accounts!$C$174)</f>
        <v/>
      </c>
      <c r="D173">
        <f>IF([1]Accounts!$D$174="","",[1]Accounts!$D$174)</f>
        <v/>
      </c>
      <c r="E173">
        <f>IF([1]Accounts!$D$174="","",[1]Accounts!$E$174)</f>
        <v/>
      </c>
      <c r="F173">
        <f>IF([1]Accounts!$D$174="","",[1]Accounts!$F$174)</f>
        <v/>
      </c>
      <c r="G173">
        <f>IF([1]Accounts!$D$174="","",[1]Accounts!$G$174)</f>
        <v/>
      </c>
      <c r="T173">
        <f>IF([2]Baskol!$B$176="","",[2]Baskol!$B$176)</f>
        <v/>
      </c>
      <c r="U173">
        <f>IF([2]Baskol!$C$176="","",[2]Baskol!$C$176)</f>
        <v/>
      </c>
      <c r="V173">
        <f>IF([2]Baskol!$D$176="","",[2]Baskol!$D$176)</f>
        <v/>
      </c>
      <c r="W173">
        <f>IF([2]Baskol!$E$176="","",[2]Baskol!$E$176)</f>
        <v/>
      </c>
      <c r="X173">
        <f>IF([2]Baskol!$G$176="","",[2]Baskol!$G$176)</f>
        <v/>
      </c>
      <c r="Y173">
        <f>IF([2]Baskol!$I$176="","",[2]Baskol!$I$176)</f>
        <v/>
      </c>
      <c r="Z173">
        <f>IF([2]Baskol!$J$176="","",[2]Baskol!$J$176)</f>
        <v/>
      </c>
      <c r="AA173">
        <f>IF([2]Baskol!$K$176="","",[2]Baskol!$K$176)</f>
        <v/>
      </c>
      <c r="AB173">
        <f>IF([2]Baskol!$L$176="","",[2]Baskol!$L$176)</f>
        <v/>
      </c>
      <c r="AC173">
        <f>IF([2]Baskol!$N$176="","",[2]Baskol!$N$176)</f>
        <v/>
      </c>
      <c r="AD173">
        <f>IF([2]Baskol!$O$176="","",[2]Baskol!$O$176)</f>
        <v/>
      </c>
      <c r="AE173">
        <f>IF([3]Entry!$C$176="","",[3]Entry!$C$176)</f>
        <v/>
      </c>
      <c r="AF173">
        <f>IF([3]Entry!$D$176="","",[3]Entry!$D$176)</f>
        <v/>
      </c>
      <c r="AG173">
        <f>IF([3]Entry!$E$176="","",[3]Entry!$E$176)</f>
        <v/>
      </c>
      <c r="AH173">
        <f>IF([3]Entry!$G$176="","",[3]Entry!$G$176)</f>
        <v/>
      </c>
      <c r="AI173">
        <f>IF([3]Entry!$K$176="","",[3]Entry!$K$176)</f>
        <v/>
      </c>
      <c r="AJ173">
        <f>IF([3]Entry!$L$176="","",[3]Entry!$L$176)</f>
        <v/>
      </c>
      <c r="AK173">
        <f>IF([3]Entry!$M$176="","",[3]Entry!$M$176)</f>
        <v/>
      </c>
      <c r="AL173">
        <f>IF([3]Entry!$N$176="","",[3]Entry!$N$176)</f>
        <v/>
      </c>
      <c r="AM173">
        <f>IF([3]Entry!$R$176="","",[3]Entry!$R$176)</f>
        <v/>
      </c>
    </row>
    <row r="174">
      <c r="A174">
        <f>IF([1]Accounts!$D$175="","",[1]Accounts!$A$175)</f>
        <v/>
      </c>
      <c r="B174">
        <f>IF([1]Accounts!$D$175="","",[1]Accounts!$B$175)</f>
        <v/>
      </c>
      <c r="C174">
        <f>IF([1]Accounts!$D$175="","",[1]Accounts!$C$175)</f>
        <v/>
      </c>
      <c r="D174">
        <f>IF([1]Accounts!$D$175="","",[1]Accounts!$D$175)</f>
        <v/>
      </c>
      <c r="E174">
        <f>IF([1]Accounts!$D$175="","",[1]Accounts!$E$175)</f>
        <v/>
      </c>
      <c r="F174">
        <f>IF([1]Accounts!$D$175="","",[1]Accounts!$F$175)</f>
        <v/>
      </c>
      <c r="G174">
        <f>IF([1]Accounts!$D$175="","",[1]Accounts!$G$175)</f>
        <v/>
      </c>
      <c r="T174">
        <f>IF([2]Baskol!$B$177="","",[2]Baskol!$B$177)</f>
        <v/>
      </c>
      <c r="U174">
        <f>IF([2]Baskol!$C$177="","",[2]Baskol!$C$177)</f>
        <v/>
      </c>
      <c r="V174">
        <f>IF([2]Baskol!$D$177="","",[2]Baskol!$D$177)</f>
        <v/>
      </c>
      <c r="W174">
        <f>IF([2]Baskol!$E$177="","",[2]Baskol!$E$177)</f>
        <v/>
      </c>
      <c r="X174">
        <f>IF([2]Baskol!$G$177="","",[2]Baskol!$G$177)</f>
        <v/>
      </c>
      <c r="Y174">
        <f>IF([2]Baskol!$I$177="","",[2]Baskol!$I$177)</f>
        <v/>
      </c>
      <c r="Z174">
        <f>IF([2]Baskol!$J$177="","",[2]Baskol!$J$177)</f>
        <v/>
      </c>
      <c r="AA174">
        <f>IF([2]Baskol!$K$177="","",[2]Baskol!$K$177)</f>
        <v/>
      </c>
      <c r="AB174">
        <f>IF([2]Baskol!$L$177="","",[2]Baskol!$L$177)</f>
        <v/>
      </c>
      <c r="AC174">
        <f>IF([2]Baskol!$N$177="","",[2]Baskol!$N$177)</f>
        <v/>
      </c>
      <c r="AD174">
        <f>IF([2]Baskol!$O$177="","",[2]Baskol!$O$177)</f>
        <v/>
      </c>
      <c r="AE174">
        <f>IF([3]Entry!$C$177="","",[3]Entry!$C$177)</f>
        <v/>
      </c>
      <c r="AF174">
        <f>IF([3]Entry!$D$177="","",[3]Entry!$D$177)</f>
        <v/>
      </c>
      <c r="AG174">
        <f>IF([3]Entry!$E$177="","",[3]Entry!$E$177)</f>
        <v/>
      </c>
      <c r="AH174">
        <f>IF([3]Entry!$G$177="","",[3]Entry!$G$177)</f>
        <v/>
      </c>
      <c r="AI174">
        <f>IF([3]Entry!$K$177="","",[3]Entry!$K$177)</f>
        <v/>
      </c>
      <c r="AJ174">
        <f>IF([3]Entry!$L$177="","",[3]Entry!$L$177)</f>
        <v/>
      </c>
      <c r="AK174">
        <f>IF([3]Entry!$M$177="","",[3]Entry!$M$177)</f>
        <v/>
      </c>
      <c r="AL174">
        <f>IF([3]Entry!$N$177="","",[3]Entry!$N$177)</f>
        <v/>
      </c>
      <c r="AM174">
        <f>IF([3]Entry!$R$177="","",[3]Entry!$R$177)</f>
        <v/>
      </c>
    </row>
    <row r="175">
      <c r="A175">
        <f>IF([1]Accounts!$D$176="","",[1]Accounts!$A$176)</f>
        <v/>
      </c>
      <c r="B175">
        <f>IF([1]Accounts!$D$176="","",[1]Accounts!$B$176)</f>
        <v/>
      </c>
      <c r="C175">
        <f>IF([1]Accounts!$D$176="","",[1]Accounts!$C$176)</f>
        <v/>
      </c>
      <c r="D175">
        <f>IF([1]Accounts!$D$176="","",[1]Accounts!$D$176)</f>
        <v/>
      </c>
      <c r="E175">
        <f>IF([1]Accounts!$D$176="","",[1]Accounts!$E$176)</f>
        <v/>
      </c>
      <c r="F175">
        <f>IF([1]Accounts!$D$176="","",[1]Accounts!$F$176)</f>
        <v/>
      </c>
      <c r="G175">
        <f>IF([1]Accounts!$D$176="","",[1]Accounts!$G$176)</f>
        <v/>
      </c>
      <c r="T175">
        <f>IF([2]Baskol!$B$178="","",[2]Baskol!$B$178)</f>
        <v/>
      </c>
      <c r="U175">
        <f>IF([2]Baskol!$C$178="","",[2]Baskol!$C$178)</f>
        <v/>
      </c>
      <c r="V175">
        <f>IF([2]Baskol!$D$178="","",[2]Baskol!$D$178)</f>
        <v/>
      </c>
      <c r="W175">
        <f>IF([2]Baskol!$E$178="","",[2]Baskol!$E$178)</f>
        <v/>
      </c>
      <c r="X175">
        <f>IF([2]Baskol!$G$178="","",[2]Baskol!$G$178)</f>
        <v/>
      </c>
      <c r="Y175">
        <f>IF([2]Baskol!$I$178="","",[2]Baskol!$I$178)</f>
        <v/>
      </c>
      <c r="Z175">
        <f>IF([2]Baskol!$J$178="","",[2]Baskol!$J$178)</f>
        <v/>
      </c>
      <c r="AA175">
        <f>IF([2]Baskol!$K$178="","",[2]Baskol!$K$178)</f>
        <v/>
      </c>
      <c r="AB175">
        <f>IF([2]Baskol!$L$178="","",[2]Baskol!$L$178)</f>
        <v/>
      </c>
      <c r="AC175">
        <f>IF([2]Baskol!$N$178="","",[2]Baskol!$N$178)</f>
        <v/>
      </c>
      <c r="AD175">
        <f>IF([2]Baskol!$O$178="","",[2]Baskol!$O$178)</f>
        <v/>
      </c>
      <c r="AE175">
        <f>IF([3]Entry!$C$178="","",[3]Entry!$C$178)</f>
        <v/>
      </c>
      <c r="AF175">
        <f>IF([3]Entry!$D$178="","",[3]Entry!$D$178)</f>
        <v/>
      </c>
      <c r="AG175">
        <f>IF([3]Entry!$E$178="","",[3]Entry!$E$178)</f>
        <v/>
      </c>
      <c r="AH175">
        <f>IF([3]Entry!$G$178="","",[3]Entry!$G$178)</f>
        <v/>
      </c>
      <c r="AI175">
        <f>IF([3]Entry!$K$178="","",[3]Entry!$K$178)</f>
        <v/>
      </c>
      <c r="AJ175">
        <f>IF([3]Entry!$L$178="","",[3]Entry!$L$178)</f>
        <v/>
      </c>
      <c r="AK175">
        <f>IF([3]Entry!$M$178="","",[3]Entry!$M$178)</f>
        <v/>
      </c>
      <c r="AL175">
        <f>IF([3]Entry!$N$178="","",[3]Entry!$N$178)</f>
        <v/>
      </c>
      <c r="AM175">
        <f>IF([3]Entry!$R$178="","",[3]Entry!$R$178)</f>
        <v/>
      </c>
    </row>
    <row r="176">
      <c r="A176">
        <f>IF([1]Accounts!$D$177="","",[1]Accounts!$A$177)</f>
        <v/>
      </c>
      <c r="B176">
        <f>IF([1]Accounts!$D$177="","",[1]Accounts!$B$177)</f>
        <v/>
      </c>
      <c r="C176">
        <f>IF([1]Accounts!$D$177="","",[1]Accounts!$C$177)</f>
        <v/>
      </c>
      <c r="D176">
        <f>IF([1]Accounts!$D$177="","",[1]Accounts!$D$177)</f>
        <v/>
      </c>
      <c r="E176">
        <f>IF([1]Accounts!$D$177="","",[1]Accounts!$E$177)</f>
        <v/>
      </c>
      <c r="F176">
        <f>IF([1]Accounts!$D$177="","",[1]Accounts!$F$177)</f>
        <v/>
      </c>
      <c r="G176">
        <f>IF([1]Accounts!$D$177="","",[1]Accounts!$G$177)</f>
        <v/>
      </c>
      <c r="T176">
        <f>IF([2]Baskol!$B$179="","",[2]Baskol!$B$179)</f>
        <v/>
      </c>
      <c r="U176">
        <f>IF([2]Baskol!$C$179="","",[2]Baskol!$C$179)</f>
        <v/>
      </c>
      <c r="V176">
        <f>IF([2]Baskol!$D$179="","",[2]Baskol!$D$179)</f>
        <v/>
      </c>
      <c r="W176">
        <f>IF([2]Baskol!$E$179="","",[2]Baskol!$E$179)</f>
        <v/>
      </c>
      <c r="X176">
        <f>IF([2]Baskol!$G$179="","",[2]Baskol!$G$179)</f>
        <v/>
      </c>
      <c r="Y176">
        <f>IF([2]Baskol!$I$179="","",[2]Baskol!$I$179)</f>
        <v/>
      </c>
      <c r="Z176">
        <f>IF([2]Baskol!$J$179="","",[2]Baskol!$J$179)</f>
        <v/>
      </c>
      <c r="AA176">
        <f>IF([2]Baskol!$K$179="","",[2]Baskol!$K$179)</f>
        <v/>
      </c>
      <c r="AB176">
        <f>IF([2]Baskol!$L$179="","",[2]Baskol!$L$179)</f>
        <v/>
      </c>
      <c r="AC176">
        <f>IF([2]Baskol!$N$179="","",[2]Baskol!$N$179)</f>
        <v/>
      </c>
      <c r="AD176">
        <f>IF([2]Baskol!$O$179="","",[2]Baskol!$O$179)</f>
        <v/>
      </c>
      <c r="AE176">
        <f>IF([3]Entry!$C$179="","",[3]Entry!$C$179)</f>
        <v/>
      </c>
      <c r="AF176">
        <f>IF([3]Entry!$D$179="","",[3]Entry!$D$179)</f>
        <v/>
      </c>
      <c r="AG176">
        <f>IF([3]Entry!$E$179="","",[3]Entry!$E$179)</f>
        <v/>
      </c>
      <c r="AH176">
        <f>IF([3]Entry!$G$179="","",[3]Entry!$G$179)</f>
        <v/>
      </c>
      <c r="AI176">
        <f>IF([3]Entry!$K$179="","",[3]Entry!$K$179)</f>
        <v/>
      </c>
      <c r="AJ176">
        <f>IF([3]Entry!$L$179="","",[3]Entry!$L$179)</f>
        <v/>
      </c>
      <c r="AK176">
        <f>IF([3]Entry!$M$179="","",[3]Entry!$M$179)</f>
        <v/>
      </c>
      <c r="AL176">
        <f>IF([3]Entry!$N$179="","",[3]Entry!$N$179)</f>
        <v/>
      </c>
      <c r="AM176">
        <f>IF([3]Entry!$R$179="","",[3]Entry!$R$179)</f>
        <v/>
      </c>
    </row>
    <row r="177">
      <c r="A177">
        <f>IF([1]Accounts!$D$178="","",[1]Accounts!$A$178)</f>
        <v/>
      </c>
      <c r="B177">
        <f>IF([1]Accounts!$D$178="","",[1]Accounts!$B$178)</f>
        <v/>
      </c>
      <c r="C177">
        <f>IF([1]Accounts!$D$178="","",[1]Accounts!$C$178)</f>
        <v/>
      </c>
      <c r="D177">
        <f>IF([1]Accounts!$D$178="","",[1]Accounts!$D$178)</f>
        <v/>
      </c>
      <c r="E177">
        <f>IF([1]Accounts!$D$178="","",[1]Accounts!$E$178)</f>
        <v/>
      </c>
      <c r="F177">
        <f>IF([1]Accounts!$D$178="","",[1]Accounts!$F$178)</f>
        <v/>
      </c>
      <c r="G177">
        <f>IF([1]Accounts!$D$178="","",[1]Accounts!$G$178)</f>
        <v/>
      </c>
      <c r="T177">
        <f>IF([2]Baskol!$B$180="","",[2]Baskol!$B$180)</f>
        <v/>
      </c>
      <c r="U177">
        <f>IF([2]Baskol!$C$180="","",[2]Baskol!$C$180)</f>
        <v/>
      </c>
      <c r="V177">
        <f>IF([2]Baskol!$D$180="","",[2]Baskol!$D$180)</f>
        <v/>
      </c>
      <c r="W177">
        <f>IF([2]Baskol!$E$180="","",[2]Baskol!$E$180)</f>
        <v/>
      </c>
      <c r="X177">
        <f>IF([2]Baskol!$G$180="","",[2]Baskol!$G$180)</f>
        <v/>
      </c>
      <c r="Y177">
        <f>IF([2]Baskol!$I$180="","",[2]Baskol!$I$180)</f>
        <v/>
      </c>
      <c r="Z177">
        <f>IF([2]Baskol!$J$180="","",[2]Baskol!$J$180)</f>
        <v/>
      </c>
      <c r="AA177">
        <f>IF([2]Baskol!$K$180="","",[2]Baskol!$K$180)</f>
        <v/>
      </c>
      <c r="AB177">
        <f>IF([2]Baskol!$L$180="","",[2]Baskol!$L$180)</f>
        <v/>
      </c>
      <c r="AC177">
        <f>IF([2]Baskol!$N$180="","",[2]Baskol!$N$180)</f>
        <v/>
      </c>
      <c r="AD177">
        <f>IF([2]Baskol!$O$180="","",[2]Baskol!$O$180)</f>
        <v/>
      </c>
      <c r="AE177">
        <f>IF([3]Entry!$C$180="","",[3]Entry!$C$180)</f>
        <v/>
      </c>
      <c r="AF177">
        <f>IF([3]Entry!$D$180="","",[3]Entry!$D$180)</f>
        <v/>
      </c>
      <c r="AG177">
        <f>IF([3]Entry!$E$180="","",[3]Entry!$E$180)</f>
        <v/>
      </c>
      <c r="AH177">
        <f>IF([3]Entry!$G$180="","",[3]Entry!$G$180)</f>
        <v/>
      </c>
      <c r="AI177">
        <f>IF([3]Entry!$K$180="","",[3]Entry!$K$180)</f>
        <v/>
      </c>
      <c r="AJ177">
        <f>IF([3]Entry!$L$180="","",[3]Entry!$L$180)</f>
        <v/>
      </c>
      <c r="AK177">
        <f>IF([3]Entry!$M$180="","",[3]Entry!$M$180)</f>
        <v/>
      </c>
      <c r="AL177">
        <f>IF([3]Entry!$N$180="","",[3]Entry!$N$180)</f>
        <v/>
      </c>
      <c r="AM177">
        <f>IF([3]Entry!$R$180="","",[3]Entry!$R$180)</f>
        <v/>
      </c>
    </row>
    <row r="178">
      <c r="A178">
        <f>IF([1]Accounts!$D$179="","",[1]Accounts!$A$179)</f>
        <v/>
      </c>
      <c r="B178">
        <f>IF([1]Accounts!$D$179="","",[1]Accounts!$B$179)</f>
        <v/>
      </c>
      <c r="C178">
        <f>IF([1]Accounts!$D$179="","",[1]Accounts!$C$179)</f>
        <v/>
      </c>
      <c r="D178">
        <f>IF([1]Accounts!$D$179="","",[1]Accounts!$D$179)</f>
        <v/>
      </c>
      <c r="E178">
        <f>IF([1]Accounts!$D$179="","",[1]Accounts!$E$179)</f>
        <v/>
      </c>
      <c r="F178">
        <f>IF([1]Accounts!$D$179="","",[1]Accounts!$F$179)</f>
        <v/>
      </c>
      <c r="G178">
        <f>IF([1]Accounts!$D$179="","",[1]Accounts!$G$179)</f>
        <v/>
      </c>
      <c r="T178">
        <f>IF([2]Baskol!$B$181="","",[2]Baskol!$B$181)</f>
        <v/>
      </c>
      <c r="U178">
        <f>IF([2]Baskol!$C$181="","",[2]Baskol!$C$181)</f>
        <v/>
      </c>
      <c r="V178">
        <f>IF([2]Baskol!$D$181="","",[2]Baskol!$D$181)</f>
        <v/>
      </c>
      <c r="W178">
        <f>IF([2]Baskol!$E$181="","",[2]Baskol!$E$181)</f>
        <v/>
      </c>
      <c r="X178">
        <f>IF([2]Baskol!$G$181="","",[2]Baskol!$G$181)</f>
        <v/>
      </c>
      <c r="Y178">
        <f>IF([2]Baskol!$I$181="","",[2]Baskol!$I$181)</f>
        <v/>
      </c>
      <c r="Z178">
        <f>IF([2]Baskol!$J$181="","",[2]Baskol!$J$181)</f>
        <v/>
      </c>
      <c r="AA178">
        <f>IF([2]Baskol!$K$181="","",[2]Baskol!$K$181)</f>
        <v/>
      </c>
      <c r="AB178">
        <f>IF([2]Baskol!$L$181="","",[2]Baskol!$L$181)</f>
        <v/>
      </c>
      <c r="AC178">
        <f>IF([2]Baskol!$N$181="","",[2]Baskol!$N$181)</f>
        <v/>
      </c>
      <c r="AD178">
        <f>IF([2]Baskol!$O$181="","",[2]Baskol!$O$181)</f>
        <v/>
      </c>
      <c r="AE178">
        <f>IF([3]Entry!$C$181="","",[3]Entry!$C$181)</f>
        <v/>
      </c>
      <c r="AF178">
        <f>IF([3]Entry!$D$181="","",[3]Entry!$D$181)</f>
        <v/>
      </c>
      <c r="AG178">
        <f>IF([3]Entry!$E$181="","",[3]Entry!$E$181)</f>
        <v/>
      </c>
      <c r="AH178">
        <f>IF([3]Entry!$G$181="","",[3]Entry!$G$181)</f>
        <v/>
      </c>
      <c r="AI178">
        <f>IF([3]Entry!$K$181="","",[3]Entry!$K$181)</f>
        <v/>
      </c>
      <c r="AJ178">
        <f>IF([3]Entry!$L$181="","",[3]Entry!$L$181)</f>
        <v/>
      </c>
      <c r="AK178">
        <f>IF([3]Entry!$M$181="","",[3]Entry!$M$181)</f>
        <v/>
      </c>
      <c r="AL178">
        <f>IF([3]Entry!$N$181="","",[3]Entry!$N$181)</f>
        <v/>
      </c>
      <c r="AM178">
        <f>IF([3]Entry!$R$181="","",[3]Entry!$R$181)</f>
        <v/>
      </c>
    </row>
    <row r="179">
      <c r="A179">
        <f>IF([1]Accounts!$D$180="","",[1]Accounts!$A$180)</f>
        <v/>
      </c>
      <c r="B179">
        <f>IF([1]Accounts!$D$180="","",[1]Accounts!$B$180)</f>
        <v/>
      </c>
      <c r="C179">
        <f>IF([1]Accounts!$D$180="","",[1]Accounts!$C$180)</f>
        <v/>
      </c>
      <c r="D179">
        <f>IF([1]Accounts!$D$180="","",[1]Accounts!$D$180)</f>
        <v/>
      </c>
      <c r="E179">
        <f>IF([1]Accounts!$D$180="","",[1]Accounts!$E$180)</f>
        <v/>
      </c>
      <c r="F179">
        <f>IF([1]Accounts!$D$180="","",[1]Accounts!$F$180)</f>
        <v/>
      </c>
      <c r="G179">
        <f>IF([1]Accounts!$D$180="","",[1]Accounts!$G$180)</f>
        <v/>
      </c>
      <c r="T179">
        <f>IF([2]Baskol!$B$182="","",[2]Baskol!$B$182)</f>
        <v/>
      </c>
      <c r="U179">
        <f>IF([2]Baskol!$C$182="","",[2]Baskol!$C$182)</f>
        <v/>
      </c>
      <c r="V179">
        <f>IF([2]Baskol!$D$182="","",[2]Baskol!$D$182)</f>
        <v/>
      </c>
      <c r="W179">
        <f>IF([2]Baskol!$E$182="","",[2]Baskol!$E$182)</f>
        <v/>
      </c>
      <c r="X179">
        <f>IF([2]Baskol!$G$182="","",[2]Baskol!$G$182)</f>
        <v/>
      </c>
      <c r="Y179">
        <f>IF([2]Baskol!$I$182="","",[2]Baskol!$I$182)</f>
        <v/>
      </c>
      <c r="Z179">
        <f>IF([2]Baskol!$J$182="","",[2]Baskol!$J$182)</f>
        <v/>
      </c>
      <c r="AA179">
        <f>IF([2]Baskol!$K$182="","",[2]Baskol!$K$182)</f>
        <v/>
      </c>
      <c r="AB179">
        <f>IF([2]Baskol!$L$182="","",[2]Baskol!$L$182)</f>
        <v/>
      </c>
      <c r="AC179">
        <f>IF([2]Baskol!$N$182="","",[2]Baskol!$N$182)</f>
        <v/>
      </c>
      <c r="AD179">
        <f>IF([2]Baskol!$O$182="","",[2]Baskol!$O$182)</f>
        <v/>
      </c>
      <c r="AE179">
        <f>IF([3]Entry!$C$182="","",[3]Entry!$C$182)</f>
        <v/>
      </c>
      <c r="AF179">
        <f>IF([3]Entry!$D$182="","",[3]Entry!$D$182)</f>
        <v/>
      </c>
      <c r="AG179">
        <f>IF([3]Entry!$E$182="","",[3]Entry!$E$182)</f>
        <v/>
      </c>
      <c r="AH179">
        <f>IF([3]Entry!$G$182="","",[3]Entry!$G$182)</f>
        <v/>
      </c>
      <c r="AI179">
        <f>IF([3]Entry!$K$182="","",[3]Entry!$K$182)</f>
        <v/>
      </c>
      <c r="AJ179">
        <f>IF([3]Entry!$L$182="","",[3]Entry!$L$182)</f>
        <v/>
      </c>
      <c r="AK179">
        <f>IF([3]Entry!$M$182="","",[3]Entry!$M$182)</f>
        <v/>
      </c>
      <c r="AL179">
        <f>IF([3]Entry!$N$182="","",[3]Entry!$N$182)</f>
        <v/>
      </c>
      <c r="AM179">
        <f>IF([3]Entry!$R$182="","",[3]Entry!$R$182)</f>
        <v/>
      </c>
    </row>
    <row r="180">
      <c r="A180">
        <f>IF([1]Accounts!$D$181="","",[1]Accounts!$A$181)</f>
        <v/>
      </c>
      <c r="B180">
        <f>IF([1]Accounts!$D$181="","",[1]Accounts!$B$181)</f>
        <v/>
      </c>
      <c r="C180">
        <f>IF([1]Accounts!$D$181="","",[1]Accounts!$C$181)</f>
        <v/>
      </c>
      <c r="D180">
        <f>IF([1]Accounts!$D$181="","",[1]Accounts!$D$181)</f>
        <v/>
      </c>
      <c r="E180">
        <f>IF([1]Accounts!$D$181="","",[1]Accounts!$E$181)</f>
        <v/>
      </c>
      <c r="F180">
        <f>IF([1]Accounts!$D$181="","",[1]Accounts!$F$181)</f>
        <v/>
      </c>
      <c r="G180">
        <f>IF([1]Accounts!$D$181="","",[1]Accounts!$G$181)</f>
        <v/>
      </c>
      <c r="T180">
        <f>IF([2]Baskol!$B$183="","",[2]Baskol!$B$183)</f>
        <v/>
      </c>
      <c r="U180">
        <f>IF([2]Baskol!$C$183="","",[2]Baskol!$C$183)</f>
        <v/>
      </c>
      <c r="V180">
        <f>IF([2]Baskol!$D$183="","",[2]Baskol!$D$183)</f>
        <v/>
      </c>
      <c r="W180">
        <f>IF([2]Baskol!$E$183="","",[2]Baskol!$E$183)</f>
        <v/>
      </c>
      <c r="X180">
        <f>IF([2]Baskol!$G$183="","",[2]Baskol!$G$183)</f>
        <v/>
      </c>
      <c r="Y180">
        <f>IF([2]Baskol!$I$183="","",[2]Baskol!$I$183)</f>
        <v/>
      </c>
      <c r="Z180">
        <f>IF([2]Baskol!$J$183="","",[2]Baskol!$J$183)</f>
        <v/>
      </c>
      <c r="AA180">
        <f>IF([2]Baskol!$K$183="","",[2]Baskol!$K$183)</f>
        <v/>
      </c>
      <c r="AB180">
        <f>IF([2]Baskol!$L$183="","",[2]Baskol!$L$183)</f>
        <v/>
      </c>
      <c r="AC180">
        <f>IF([2]Baskol!$N$183="","",[2]Baskol!$N$183)</f>
        <v/>
      </c>
      <c r="AD180">
        <f>IF([2]Baskol!$O$183="","",[2]Baskol!$O$183)</f>
        <v/>
      </c>
      <c r="AE180">
        <f>IF([3]Entry!$C$183="","",[3]Entry!$C$183)</f>
        <v/>
      </c>
      <c r="AF180">
        <f>IF([3]Entry!$D$183="","",[3]Entry!$D$183)</f>
        <v/>
      </c>
      <c r="AG180">
        <f>IF([3]Entry!$E$183="","",[3]Entry!$E$183)</f>
        <v/>
      </c>
      <c r="AH180">
        <f>IF([3]Entry!$G$183="","",[3]Entry!$G$183)</f>
        <v/>
      </c>
      <c r="AI180">
        <f>IF([3]Entry!$K$183="","",[3]Entry!$K$183)</f>
        <v/>
      </c>
      <c r="AJ180">
        <f>IF([3]Entry!$L$183="","",[3]Entry!$L$183)</f>
        <v/>
      </c>
      <c r="AK180">
        <f>IF([3]Entry!$M$183="","",[3]Entry!$M$183)</f>
        <v/>
      </c>
      <c r="AL180">
        <f>IF([3]Entry!$N$183="","",[3]Entry!$N$183)</f>
        <v/>
      </c>
      <c r="AM180">
        <f>IF([3]Entry!$R$183="","",[3]Entry!$R$183)</f>
        <v/>
      </c>
    </row>
    <row r="181">
      <c r="A181">
        <f>IF([1]Accounts!$D$182="","",[1]Accounts!$A$182)</f>
        <v/>
      </c>
      <c r="B181">
        <f>IF([1]Accounts!$D$182="","",[1]Accounts!$B$182)</f>
        <v/>
      </c>
      <c r="C181">
        <f>IF([1]Accounts!$D$182="","",[1]Accounts!$C$182)</f>
        <v/>
      </c>
      <c r="D181">
        <f>IF([1]Accounts!$D$182="","",[1]Accounts!$D$182)</f>
        <v/>
      </c>
      <c r="E181">
        <f>IF([1]Accounts!$D$182="","",[1]Accounts!$E$182)</f>
        <v/>
      </c>
      <c r="F181">
        <f>IF([1]Accounts!$D$182="","",[1]Accounts!$F$182)</f>
        <v/>
      </c>
      <c r="G181">
        <f>IF([1]Accounts!$D$182="","",[1]Accounts!$G$182)</f>
        <v/>
      </c>
      <c r="T181">
        <f>IF([2]Baskol!$B$184="","",[2]Baskol!$B$184)</f>
        <v/>
      </c>
      <c r="U181">
        <f>IF([2]Baskol!$C$184="","",[2]Baskol!$C$184)</f>
        <v/>
      </c>
      <c r="V181">
        <f>IF([2]Baskol!$D$184="","",[2]Baskol!$D$184)</f>
        <v/>
      </c>
      <c r="W181">
        <f>IF([2]Baskol!$E$184="","",[2]Baskol!$E$184)</f>
        <v/>
      </c>
      <c r="X181">
        <f>IF([2]Baskol!$G$184="","",[2]Baskol!$G$184)</f>
        <v/>
      </c>
      <c r="Y181">
        <f>IF([2]Baskol!$I$184="","",[2]Baskol!$I$184)</f>
        <v/>
      </c>
      <c r="Z181">
        <f>IF([2]Baskol!$J$184="","",[2]Baskol!$J$184)</f>
        <v/>
      </c>
      <c r="AA181">
        <f>IF([2]Baskol!$K$184="","",[2]Baskol!$K$184)</f>
        <v/>
      </c>
      <c r="AB181">
        <f>IF([2]Baskol!$L$184="","",[2]Baskol!$L$184)</f>
        <v/>
      </c>
      <c r="AC181">
        <f>IF([2]Baskol!$N$184="","",[2]Baskol!$N$184)</f>
        <v/>
      </c>
      <c r="AD181">
        <f>IF([2]Baskol!$O$184="","",[2]Baskol!$O$184)</f>
        <v/>
      </c>
      <c r="AE181">
        <f>IF([3]Entry!$C$184="","",[3]Entry!$C$184)</f>
        <v/>
      </c>
      <c r="AF181">
        <f>IF([3]Entry!$D$184="","",[3]Entry!$D$184)</f>
        <v/>
      </c>
      <c r="AG181">
        <f>IF([3]Entry!$E$184="","",[3]Entry!$E$184)</f>
        <v/>
      </c>
      <c r="AH181">
        <f>IF([3]Entry!$G$184="","",[3]Entry!$G$184)</f>
        <v/>
      </c>
      <c r="AI181">
        <f>IF([3]Entry!$K$184="","",[3]Entry!$K$184)</f>
        <v/>
      </c>
      <c r="AJ181">
        <f>IF([3]Entry!$L$184="","",[3]Entry!$L$184)</f>
        <v/>
      </c>
      <c r="AK181">
        <f>IF([3]Entry!$M$184="","",[3]Entry!$M$184)</f>
        <v/>
      </c>
      <c r="AL181">
        <f>IF([3]Entry!$N$184="","",[3]Entry!$N$184)</f>
        <v/>
      </c>
      <c r="AM181">
        <f>IF([3]Entry!$R$184="","",[3]Entry!$R$184)</f>
        <v/>
      </c>
    </row>
    <row r="182">
      <c r="A182">
        <f>IF([1]Accounts!$D$183="","",[1]Accounts!$A$183)</f>
        <v/>
      </c>
      <c r="B182">
        <f>IF([1]Accounts!$D$183="","",[1]Accounts!$B$183)</f>
        <v/>
      </c>
      <c r="C182">
        <f>IF([1]Accounts!$D$183="","",[1]Accounts!$C$183)</f>
        <v/>
      </c>
      <c r="D182">
        <f>IF([1]Accounts!$D$183="","",[1]Accounts!$D$183)</f>
        <v/>
      </c>
      <c r="E182">
        <f>IF([1]Accounts!$D$183="","",[1]Accounts!$E$183)</f>
        <v/>
      </c>
      <c r="F182">
        <f>IF([1]Accounts!$D$183="","",[1]Accounts!$F$183)</f>
        <v/>
      </c>
      <c r="G182">
        <f>IF([1]Accounts!$D$183="","",[1]Accounts!$G$183)</f>
        <v/>
      </c>
      <c r="T182">
        <f>IF([2]Baskol!$B$185="","",[2]Baskol!$B$185)</f>
        <v/>
      </c>
      <c r="U182">
        <f>IF([2]Baskol!$C$185="","",[2]Baskol!$C$185)</f>
        <v/>
      </c>
      <c r="V182">
        <f>IF([2]Baskol!$D$185="","",[2]Baskol!$D$185)</f>
        <v/>
      </c>
      <c r="W182">
        <f>IF([2]Baskol!$E$185="","",[2]Baskol!$E$185)</f>
        <v/>
      </c>
      <c r="X182">
        <f>IF([2]Baskol!$G$185="","",[2]Baskol!$G$185)</f>
        <v/>
      </c>
      <c r="Y182">
        <f>IF([2]Baskol!$I$185="","",[2]Baskol!$I$185)</f>
        <v/>
      </c>
      <c r="Z182">
        <f>IF([2]Baskol!$J$185="","",[2]Baskol!$J$185)</f>
        <v/>
      </c>
      <c r="AA182">
        <f>IF([2]Baskol!$K$185="","",[2]Baskol!$K$185)</f>
        <v/>
      </c>
      <c r="AB182">
        <f>IF([2]Baskol!$L$185="","",[2]Baskol!$L$185)</f>
        <v/>
      </c>
      <c r="AC182">
        <f>IF([2]Baskol!$N$185="","",[2]Baskol!$N$185)</f>
        <v/>
      </c>
      <c r="AD182">
        <f>IF([2]Baskol!$O$185="","",[2]Baskol!$O$185)</f>
        <v/>
      </c>
      <c r="AE182">
        <f>IF([3]Entry!$C$185="","",[3]Entry!$C$185)</f>
        <v/>
      </c>
      <c r="AF182">
        <f>IF([3]Entry!$D$185="","",[3]Entry!$D$185)</f>
        <v/>
      </c>
      <c r="AG182">
        <f>IF([3]Entry!$E$185="","",[3]Entry!$E$185)</f>
        <v/>
      </c>
      <c r="AH182">
        <f>IF([3]Entry!$G$185="","",[3]Entry!$G$185)</f>
        <v/>
      </c>
      <c r="AI182">
        <f>IF([3]Entry!$K$185="","",[3]Entry!$K$185)</f>
        <v/>
      </c>
      <c r="AJ182">
        <f>IF([3]Entry!$L$185="","",[3]Entry!$L$185)</f>
        <v/>
      </c>
      <c r="AK182">
        <f>IF([3]Entry!$M$185="","",[3]Entry!$M$185)</f>
        <v/>
      </c>
      <c r="AL182">
        <f>IF([3]Entry!$N$185="","",[3]Entry!$N$185)</f>
        <v/>
      </c>
      <c r="AM182">
        <f>IF([3]Entry!$R$185="","",[3]Entry!$R$185)</f>
        <v/>
      </c>
    </row>
    <row r="183">
      <c r="A183">
        <f>IF([1]Accounts!$D$184="","",[1]Accounts!$A$184)</f>
        <v/>
      </c>
      <c r="B183">
        <f>IF([1]Accounts!$D$184="","",[1]Accounts!$B$184)</f>
        <v/>
      </c>
      <c r="C183">
        <f>IF([1]Accounts!$D$184="","",[1]Accounts!$C$184)</f>
        <v/>
      </c>
      <c r="D183">
        <f>IF([1]Accounts!$D$184="","",[1]Accounts!$D$184)</f>
        <v/>
      </c>
      <c r="E183">
        <f>IF([1]Accounts!$D$184="","",[1]Accounts!$E$184)</f>
        <v/>
      </c>
      <c r="F183">
        <f>IF([1]Accounts!$D$184="","",[1]Accounts!$F$184)</f>
        <v/>
      </c>
      <c r="G183">
        <f>IF([1]Accounts!$D$184="","",[1]Accounts!$G$184)</f>
        <v/>
      </c>
      <c r="T183">
        <f>IF([2]Baskol!$B$186="","",[2]Baskol!$B$186)</f>
        <v/>
      </c>
      <c r="U183">
        <f>IF([2]Baskol!$C$186="","",[2]Baskol!$C$186)</f>
        <v/>
      </c>
      <c r="V183">
        <f>IF([2]Baskol!$D$186="","",[2]Baskol!$D$186)</f>
        <v/>
      </c>
      <c r="W183">
        <f>IF([2]Baskol!$E$186="","",[2]Baskol!$E$186)</f>
        <v/>
      </c>
      <c r="X183">
        <f>IF([2]Baskol!$G$186="","",[2]Baskol!$G$186)</f>
        <v/>
      </c>
      <c r="Y183">
        <f>IF([2]Baskol!$I$186="","",[2]Baskol!$I$186)</f>
        <v/>
      </c>
      <c r="Z183">
        <f>IF([2]Baskol!$J$186="","",[2]Baskol!$J$186)</f>
        <v/>
      </c>
      <c r="AA183">
        <f>IF([2]Baskol!$K$186="","",[2]Baskol!$K$186)</f>
        <v/>
      </c>
      <c r="AB183">
        <f>IF([2]Baskol!$L$186="","",[2]Baskol!$L$186)</f>
        <v/>
      </c>
      <c r="AC183">
        <f>IF([2]Baskol!$N$186="","",[2]Baskol!$N$186)</f>
        <v/>
      </c>
      <c r="AD183">
        <f>IF([2]Baskol!$O$186="","",[2]Baskol!$O$186)</f>
        <v/>
      </c>
      <c r="AE183">
        <f>IF([3]Entry!$C$186="","",[3]Entry!$C$186)</f>
        <v/>
      </c>
      <c r="AF183">
        <f>IF([3]Entry!$D$186="","",[3]Entry!$D$186)</f>
        <v/>
      </c>
      <c r="AG183">
        <f>IF([3]Entry!$E$186="","",[3]Entry!$E$186)</f>
        <v/>
      </c>
      <c r="AH183">
        <f>IF([3]Entry!$G$186="","",[3]Entry!$G$186)</f>
        <v/>
      </c>
      <c r="AI183">
        <f>IF([3]Entry!$K$186="","",[3]Entry!$K$186)</f>
        <v/>
      </c>
      <c r="AJ183">
        <f>IF([3]Entry!$L$186="","",[3]Entry!$L$186)</f>
        <v/>
      </c>
      <c r="AK183">
        <f>IF([3]Entry!$M$186="","",[3]Entry!$M$186)</f>
        <v/>
      </c>
      <c r="AL183">
        <f>IF([3]Entry!$N$186="","",[3]Entry!$N$186)</f>
        <v/>
      </c>
      <c r="AM183">
        <f>IF([3]Entry!$R$186="","",[3]Entry!$R$186)</f>
        <v/>
      </c>
    </row>
    <row r="184">
      <c r="A184">
        <f>IF([1]Accounts!$D$185="","",[1]Accounts!$A$185)</f>
        <v/>
      </c>
      <c r="B184">
        <f>IF([1]Accounts!$D$185="","",[1]Accounts!$B$185)</f>
        <v/>
      </c>
      <c r="C184">
        <f>IF([1]Accounts!$D$185="","",[1]Accounts!$C$185)</f>
        <v/>
      </c>
      <c r="D184">
        <f>IF([1]Accounts!$D$185="","",[1]Accounts!$D$185)</f>
        <v/>
      </c>
      <c r="E184">
        <f>IF([1]Accounts!$D$185="","",[1]Accounts!$E$185)</f>
        <v/>
      </c>
      <c r="F184">
        <f>IF([1]Accounts!$D$185="","",[1]Accounts!$F$185)</f>
        <v/>
      </c>
      <c r="G184">
        <f>IF([1]Accounts!$D$185="","",[1]Accounts!$G$185)</f>
        <v/>
      </c>
      <c r="T184">
        <f>IF([2]Baskol!$B$187="","",[2]Baskol!$B$187)</f>
        <v/>
      </c>
      <c r="U184">
        <f>IF([2]Baskol!$C$187="","",[2]Baskol!$C$187)</f>
        <v/>
      </c>
      <c r="V184">
        <f>IF([2]Baskol!$D$187="","",[2]Baskol!$D$187)</f>
        <v/>
      </c>
      <c r="W184">
        <f>IF([2]Baskol!$E$187="","",[2]Baskol!$E$187)</f>
        <v/>
      </c>
      <c r="X184">
        <f>IF([2]Baskol!$G$187="","",[2]Baskol!$G$187)</f>
        <v/>
      </c>
      <c r="Y184">
        <f>IF([2]Baskol!$I$187="","",[2]Baskol!$I$187)</f>
        <v/>
      </c>
      <c r="Z184">
        <f>IF([2]Baskol!$J$187="","",[2]Baskol!$J$187)</f>
        <v/>
      </c>
      <c r="AA184">
        <f>IF([2]Baskol!$K$187="","",[2]Baskol!$K$187)</f>
        <v/>
      </c>
      <c r="AB184">
        <f>IF([2]Baskol!$L$187="","",[2]Baskol!$L$187)</f>
        <v/>
      </c>
      <c r="AC184">
        <f>IF([2]Baskol!$N$187="","",[2]Baskol!$N$187)</f>
        <v/>
      </c>
      <c r="AD184">
        <f>IF([2]Baskol!$O$187="","",[2]Baskol!$O$187)</f>
        <v/>
      </c>
      <c r="AE184">
        <f>IF([3]Entry!$C$187="","",[3]Entry!$C$187)</f>
        <v/>
      </c>
      <c r="AF184">
        <f>IF([3]Entry!$D$187="","",[3]Entry!$D$187)</f>
        <v/>
      </c>
      <c r="AG184">
        <f>IF([3]Entry!$E$187="","",[3]Entry!$E$187)</f>
        <v/>
      </c>
      <c r="AH184">
        <f>IF([3]Entry!$G$187="","",[3]Entry!$G$187)</f>
        <v/>
      </c>
      <c r="AI184">
        <f>IF([3]Entry!$K$187="","",[3]Entry!$K$187)</f>
        <v/>
      </c>
      <c r="AJ184">
        <f>IF([3]Entry!$L$187="","",[3]Entry!$L$187)</f>
        <v/>
      </c>
      <c r="AK184">
        <f>IF([3]Entry!$M$187="","",[3]Entry!$M$187)</f>
        <v/>
      </c>
      <c r="AL184">
        <f>IF([3]Entry!$N$187="","",[3]Entry!$N$187)</f>
        <v/>
      </c>
      <c r="AM184">
        <f>IF([3]Entry!$R$187="","",[3]Entry!$R$187)</f>
        <v/>
      </c>
    </row>
    <row r="185">
      <c r="A185">
        <f>IF([1]Accounts!$D$186="","",[1]Accounts!$A$186)</f>
        <v/>
      </c>
      <c r="B185">
        <f>IF([1]Accounts!$D$186="","",[1]Accounts!$B$186)</f>
        <v/>
      </c>
      <c r="C185">
        <f>IF([1]Accounts!$D$186="","",[1]Accounts!$C$186)</f>
        <v/>
      </c>
      <c r="D185">
        <f>IF([1]Accounts!$D$186="","",[1]Accounts!$D$186)</f>
        <v/>
      </c>
      <c r="E185">
        <f>IF([1]Accounts!$D$186="","",[1]Accounts!$E$186)</f>
        <v/>
      </c>
      <c r="F185">
        <f>IF([1]Accounts!$D$186="","",[1]Accounts!$F$186)</f>
        <v/>
      </c>
      <c r="G185">
        <f>IF([1]Accounts!$D$186="","",[1]Accounts!$G$186)</f>
        <v/>
      </c>
      <c r="T185">
        <f>IF([2]Baskol!$B$188="","",[2]Baskol!$B$188)</f>
        <v/>
      </c>
      <c r="U185">
        <f>IF([2]Baskol!$C$188="","",[2]Baskol!$C$188)</f>
        <v/>
      </c>
      <c r="V185">
        <f>IF([2]Baskol!$D$188="","",[2]Baskol!$D$188)</f>
        <v/>
      </c>
      <c r="W185">
        <f>IF([2]Baskol!$E$188="","",[2]Baskol!$E$188)</f>
        <v/>
      </c>
      <c r="X185">
        <f>IF([2]Baskol!$G$188="","",[2]Baskol!$G$188)</f>
        <v/>
      </c>
      <c r="Y185">
        <f>IF([2]Baskol!$I$188="","",[2]Baskol!$I$188)</f>
        <v/>
      </c>
      <c r="Z185">
        <f>IF([2]Baskol!$J$188="","",[2]Baskol!$J$188)</f>
        <v/>
      </c>
      <c r="AA185">
        <f>IF([2]Baskol!$K$188="","",[2]Baskol!$K$188)</f>
        <v/>
      </c>
      <c r="AB185">
        <f>IF([2]Baskol!$L$188="","",[2]Baskol!$L$188)</f>
        <v/>
      </c>
      <c r="AC185">
        <f>IF([2]Baskol!$N$188="","",[2]Baskol!$N$188)</f>
        <v/>
      </c>
      <c r="AD185">
        <f>IF([2]Baskol!$O$188="","",[2]Baskol!$O$188)</f>
        <v/>
      </c>
      <c r="AE185">
        <f>IF([3]Entry!$C$188="","",[3]Entry!$C$188)</f>
        <v/>
      </c>
      <c r="AF185">
        <f>IF([3]Entry!$D$188="","",[3]Entry!$D$188)</f>
        <v/>
      </c>
      <c r="AG185">
        <f>IF([3]Entry!$E$188="","",[3]Entry!$E$188)</f>
        <v/>
      </c>
      <c r="AH185">
        <f>IF([3]Entry!$G$188="","",[3]Entry!$G$188)</f>
        <v/>
      </c>
      <c r="AI185">
        <f>IF([3]Entry!$K$188="","",[3]Entry!$K$188)</f>
        <v/>
      </c>
      <c r="AJ185">
        <f>IF([3]Entry!$L$188="","",[3]Entry!$L$188)</f>
        <v/>
      </c>
      <c r="AK185">
        <f>IF([3]Entry!$M$188="","",[3]Entry!$M$188)</f>
        <v/>
      </c>
      <c r="AL185">
        <f>IF([3]Entry!$N$188="","",[3]Entry!$N$188)</f>
        <v/>
      </c>
      <c r="AM185">
        <f>IF([3]Entry!$R$188="","",[3]Entry!$R$188)</f>
        <v/>
      </c>
    </row>
    <row r="186">
      <c r="A186">
        <f>IF([1]Accounts!$D$187="","",[1]Accounts!$A$187)</f>
        <v/>
      </c>
      <c r="B186">
        <f>IF([1]Accounts!$D$187="","",[1]Accounts!$B$187)</f>
        <v/>
      </c>
      <c r="C186">
        <f>IF([1]Accounts!$D$187="","",[1]Accounts!$C$187)</f>
        <v/>
      </c>
      <c r="D186">
        <f>IF([1]Accounts!$D$187="","",[1]Accounts!$D$187)</f>
        <v/>
      </c>
      <c r="E186">
        <f>IF([1]Accounts!$D$187="","",[1]Accounts!$E$187)</f>
        <v/>
      </c>
      <c r="F186">
        <f>IF([1]Accounts!$D$187="","",[1]Accounts!$F$187)</f>
        <v/>
      </c>
      <c r="G186">
        <f>IF([1]Accounts!$D$187="","",[1]Accounts!$G$187)</f>
        <v/>
      </c>
      <c r="T186">
        <f>IF([2]Baskol!$B$189="","",[2]Baskol!$B$189)</f>
        <v/>
      </c>
      <c r="U186">
        <f>IF([2]Baskol!$C$189="","",[2]Baskol!$C$189)</f>
        <v/>
      </c>
      <c r="V186">
        <f>IF([2]Baskol!$D$189="","",[2]Baskol!$D$189)</f>
        <v/>
      </c>
      <c r="W186">
        <f>IF([2]Baskol!$E$189="","",[2]Baskol!$E$189)</f>
        <v/>
      </c>
      <c r="X186">
        <f>IF([2]Baskol!$G$189="","",[2]Baskol!$G$189)</f>
        <v/>
      </c>
      <c r="Y186">
        <f>IF([2]Baskol!$I$189="","",[2]Baskol!$I$189)</f>
        <v/>
      </c>
      <c r="Z186">
        <f>IF([2]Baskol!$J$189="","",[2]Baskol!$J$189)</f>
        <v/>
      </c>
      <c r="AA186">
        <f>IF([2]Baskol!$K$189="","",[2]Baskol!$K$189)</f>
        <v/>
      </c>
      <c r="AB186">
        <f>IF([2]Baskol!$L$189="","",[2]Baskol!$L$189)</f>
        <v/>
      </c>
      <c r="AC186">
        <f>IF([2]Baskol!$N$189="","",[2]Baskol!$N$189)</f>
        <v/>
      </c>
      <c r="AD186">
        <f>IF([2]Baskol!$O$189="","",[2]Baskol!$O$189)</f>
        <v/>
      </c>
      <c r="AE186">
        <f>IF([3]Entry!$C$189="","",[3]Entry!$C$189)</f>
        <v/>
      </c>
      <c r="AF186">
        <f>IF([3]Entry!$D$189="","",[3]Entry!$D$189)</f>
        <v/>
      </c>
      <c r="AG186">
        <f>IF([3]Entry!$E$189="","",[3]Entry!$E$189)</f>
        <v/>
      </c>
      <c r="AH186">
        <f>IF([3]Entry!$G$189="","",[3]Entry!$G$189)</f>
        <v/>
      </c>
      <c r="AI186">
        <f>IF([3]Entry!$K$189="","",[3]Entry!$K$189)</f>
        <v/>
      </c>
      <c r="AJ186">
        <f>IF([3]Entry!$L$189="","",[3]Entry!$L$189)</f>
        <v/>
      </c>
      <c r="AK186">
        <f>IF([3]Entry!$M$189="","",[3]Entry!$M$189)</f>
        <v/>
      </c>
      <c r="AL186">
        <f>IF([3]Entry!$N$189="","",[3]Entry!$N$189)</f>
        <v/>
      </c>
      <c r="AM186">
        <f>IF([3]Entry!$R$189="","",[3]Entry!$R$189)</f>
        <v/>
      </c>
    </row>
    <row r="187">
      <c r="A187">
        <f>IF([1]Accounts!$D$188="","",[1]Accounts!$A$188)</f>
        <v/>
      </c>
      <c r="B187">
        <f>IF([1]Accounts!$D$188="","",[1]Accounts!$B$188)</f>
        <v/>
      </c>
      <c r="C187">
        <f>IF([1]Accounts!$D$188="","",[1]Accounts!$C$188)</f>
        <v/>
      </c>
      <c r="D187">
        <f>IF([1]Accounts!$D$188="","",[1]Accounts!$D$188)</f>
        <v/>
      </c>
      <c r="E187">
        <f>IF([1]Accounts!$D$188="","",[1]Accounts!$E$188)</f>
        <v/>
      </c>
      <c r="F187">
        <f>IF([1]Accounts!$D$188="","",[1]Accounts!$F$188)</f>
        <v/>
      </c>
      <c r="G187">
        <f>IF([1]Accounts!$D$188="","",[1]Accounts!$G$188)</f>
        <v/>
      </c>
      <c r="T187">
        <f>IF([2]Baskol!$B$190="","",[2]Baskol!$B$190)</f>
        <v/>
      </c>
      <c r="U187">
        <f>IF([2]Baskol!$C$190="","",[2]Baskol!$C$190)</f>
        <v/>
      </c>
      <c r="V187">
        <f>IF([2]Baskol!$D$190="","",[2]Baskol!$D$190)</f>
        <v/>
      </c>
      <c r="W187">
        <f>IF([2]Baskol!$E$190="","",[2]Baskol!$E$190)</f>
        <v/>
      </c>
      <c r="X187">
        <f>IF([2]Baskol!$G$190="","",[2]Baskol!$G$190)</f>
        <v/>
      </c>
      <c r="Y187">
        <f>IF([2]Baskol!$I$190="","",[2]Baskol!$I$190)</f>
        <v/>
      </c>
      <c r="Z187">
        <f>IF([2]Baskol!$J$190="","",[2]Baskol!$J$190)</f>
        <v/>
      </c>
      <c r="AA187">
        <f>IF([2]Baskol!$K$190="","",[2]Baskol!$K$190)</f>
        <v/>
      </c>
      <c r="AB187">
        <f>IF([2]Baskol!$L$190="","",[2]Baskol!$L$190)</f>
        <v/>
      </c>
      <c r="AC187">
        <f>IF([2]Baskol!$N$190="","",[2]Baskol!$N$190)</f>
        <v/>
      </c>
      <c r="AD187">
        <f>IF([2]Baskol!$O$190="","",[2]Baskol!$O$190)</f>
        <v/>
      </c>
      <c r="AE187">
        <f>IF([3]Entry!$C$190="","",[3]Entry!$C$190)</f>
        <v/>
      </c>
      <c r="AF187">
        <f>IF([3]Entry!$D$190="","",[3]Entry!$D$190)</f>
        <v/>
      </c>
      <c r="AG187">
        <f>IF([3]Entry!$E$190="","",[3]Entry!$E$190)</f>
        <v/>
      </c>
      <c r="AH187">
        <f>IF([3]Entry!$G$190="","",[3]Entry!$G$190)</f>
        <v/>
      </c>
      <c r="AI187">
        <f>IF([3]Entry!$K$190="","",[3]Entry!$K$190)</f>
        <v/>
      </c>
      <c r="AJ187">
        <f>IF([3]Entry!$L$190="","",[3]Entry!$L$190)</f>
        <v/>
      </c>
      <c r="AK187">
        <f>IF([3]Entry!$M$190="","",[3]Entry!$M$190)</f>
        <v/>
      </c>
      <c r="AL187">
        <f>IF([3]Entry!$N$190="","",[3]Entry!$N$190)</f>
        <v/>
      </c>
      <c r="AM187">
        <f>IF([3]Entry!$R$190="","",[3]Entry!$R$190)</f>
        <v/>
      </c>
    </row>
    <row r="188">
      <c r="A188">
        <f>IF([1]Accounts!$D$189="","",[1]Accounts!$A$189)</f>
        <v/>
      </c>
      <c r="B188">
        <f>IF([1]Accounts!$D$189="","",[1]Accounts!$B$189)</f>
        <v/>
      </c>
      <c r="C188">
        <f>IF([1]Accounts!$D$189="","",[1]Accounts!$C$189)</f>
        <v/>
      </c>
      <c r="D188">
        <f>IF([1]Accounts!$D$189="","",[1]Accounts!$D$189)</f>
        <v/>
      </c>
      <c r="E188">
        <f>IF([1]Accounts!$D$189="","",[1]Accounts!$E$189)</f>
        <v/>
      </c>
      <c r="F188">
        <f>IF([1]Accounts!$D$189="","",[1]Accounts!$F$189)</f>
        <v/>
      </c>
      <c r="G188">
        <f>IF([1]Accounts!$D$189="","",[1]Accounts!$G$189)</f>
        <v/>
      </c>
      <c r="T188">
        <f>IF([2]Baskol!$B$191="","",[2]Baskol!$B$191)</f>
        <v/>
      </c>
      <c r="U188">
        <f>IF([2]Baskol!$C$191="","",[2]Baskol!$C$191)</f>
        <v/>
      </c>
      <c r="V188">
        <f>IF([2]Baskol!$D$191="","",[2]Baskol!$D$191)</f>
        <v/>
      </c>
      <c r="W188">
        <f>IF([2]Baskol!$E$191="","",[2]Baskol!$E$191)</f>
        <v/>
      </c>
      <c r="X188">
        <f>IF([2]Baskol!$G$191="","",[2]Baskol!$G$191)</f>
        <v/>
      </c>
      <c r="Y188">
        <f>IF([2]Baskol!$I$191="","",[2]Baskol!$I$191)</f>
        <v/>
      </c>
      <c r="Z188">
        <f>IF([2]Baskol!$J$191="","",[2]Baskol!$J$191)</f>
        <v/>
      </c>
      <c r="AA188">
        <f>IF([2]Baskol!$K$191="","",[2]Baskol!$K$191)</f>
        <v/>
      </c>
      <c r="AB188">
        <f>IF([2]Baskol!$L$191="","",[2]Baskol!$L$191)</f>
        <v/>
      </c>
      <c r="AC188">
        <f>IF([2]Baskol!$N$191="","",[2]Baskol!$N$191)</f>
        <v/>
      </c>
      <c r="AD188">
        <f>IF([2]Baskol!$O$191="","",[2]Baskol!$O$191)</f>
        <v/>
      </c>
      <c r="AE188">
        <f>IF([3]Entry!$C$191="","",[3]Entry!$C$191)</f>
        <v/>
      </c>
      <c r="AF188">
        <f>IF([3]Entry!$D$191="","",[3]Entry!$D$191)</f>
        <v/>
      </c>
      <c r="AG188">
        <f>IF([3]Entry!$E$191="","",[3]Entry!$E$191)</f>
        <v/>
      </c>
      <c r="AH188">
        <f>IF([3]Entry!$G$191="","",[3]Entry!$G$191)</f>
        <v/>
      </c>
      <c r="AI188">
        <f>IF([3]Entry!$K$191="","",[3]Entry!$K$191)</f>
        <v/>
      </c>
      <c r="AJ188">
        <f>IF([3]Entry!$L$191="","",[3]Entry!$L$191)</f>
        <v/>
      </c>
      <c r="AK188">
        <f>IF([3]Entry!$M$191="","",[3]Entry!$M$191)</f>
        <v/>
      </c>
      <c r="AL188">
        <f>IF([3]Entry!$N$191="","",[3]Entry!$N$191)</f>
        <v/>
      </c>
      <c r="AM188">
        <f>IF([3]Entry!$R$191="","",[3]Entry!$R$191)</f>
        <v/>
      </c>
    </row>
    <row r="189">
      <c r="A189">
        <f>IF([1]Accounts!$D$190="","",[1]Accounts!$A$190)</f>
        <v/>
      </c>
      <c r="B189">
        <f>IF([1]Accounts!$D$190="","",[1]Accounts!$B$190)</f>
        <v/>
      </c>
      <c r="C189">
        <f>IF([1]Accounts!$D$190="","",[1]Accounts!$C$190)</f>
        <v/>
      </c>
      <c r="D189">
        <f>IF([1]Accounts!$D$190="","",[1]Accounts!$D$190)</f>
        <v/>
      </c>
      <c r="E189">
        <f>IF([1]Accounts!$D$190="","",[1]Accounts!$E$190)</f>
        <v/>
      </c>
      <c r="F189">
        <f>IF([1]Accounts!$D$190="","",[1]Accounts!$F$190)</f>
        <v/>
      </c>
      <c r="G189">
        <f>IF([1]Accounts!$D$190="","",[1]Accounts!$G$190)</f>
        <v/>
      </c>
      <c r="T189">
        <f>IF([2]Baskol!$B$192="","",[2]Baskol!$B$192)</f>
        <v/>
      </c>
      <c r="U189">
        <f>IF([2]Baskol!$C$192="","",[2]Baskol!$C$192)</f>
        <v/>
      </c>
      <c r="V189">
        <f>IF([2]Baskol!$D$192="","",[2]Baskol!$D$192)</f>
        <v/>
      </c>
      <c r="W189">
        <f>IF([2]Baskol!$E$192="","",[2]Baskol!$E$192)</f>
        <v/>
      </c>
      <c r="X189">
        <f>IF([2]Baskol!$G$192="","",[2]Baskol!$G$192)</f>
        <v/>
      </c>
      <c r="Y189">
        <f>IF([2]Baskol!$I$192="","",[2]Baskol!$I$192)</f>
        <v/>
      </c>
      <c r="Z189">
        <f>IF([2]Baskol!$J$192="","",[2]Baskol!$J$192)</f>
        <v/>
      </c>
      <c r="AA189">
        <f>IF([2]Baskol!$K$192="","",[2]Baskol!$K$192)</f>
        <v/>
      </c>
      <c r="AB189">
        <f>IF([2]Baskol!$L$192="","",[2]Baskol!$L$192)</f>
        <v/>
      </c>
      <c r="AC189">
        <f>IF([2]Baskol!$N$192="","",[2]Baskol!$N$192)</f>
        <v/>
      </c>
      <c r="AD189">
        <f>IF([2]Baskol!$O$192="","",[2]Baskol!$O$192)</f>
        <v/>
      </c>
      <c r="AE189">
        <f>IF([3]Entry!$C$192="","",[3]Entry!$C$192)</f>
        <v/>
      </c>
      <c r="AF189">
        <f>IF([3]Entry!$D$192="","",[3]Entry!$D$192)</f>
        <v/>
      </c>
      <c r="AG189">
        <f>IF([3]Entry!$E$192="","",[3]Entry!$E$192)</f>
        <v/>
      </c>
      <c r="AH189">
        <f>IF([3]Entry!$G$192="","",[3]Entry!$G$192)</f>
        <v/>
      </c>
      <c r="AI189">
        <f>IF([3]Entry!$K$192="","",[3]Entry!$K$192)</f>
        <v/>
      </c>
      <c r="AJ189">
        <f>IF([3]Entry!$L$192="","",[3]Entry!$L$192)</f>
        <v/>
      </c>
      <c r="AK189">
        <f>IF([3]Entry!$M$192="","",[3]Entry!$M$192)</f>
        <v/>
      </c>
      <c r="AL189">
        <f>IF([3]Entry!$N$192="","",[3]Entry!$N$192)</f>
        <v/>
      </c>
      <c r="AM189">
        <f>IF([3]Entry!$R$192="","",[3]Entry!$R$192)</f>
        <v/>
      </c>
    </row>
    <row r="190">
      <c r="A190">
        <f>IF([1]Accounts!$D$191="","",[1]Accounts!$A$191)</f>
        <v/>
      </c>
      <c r="B190">
        <f>IF([1]Accounts!$D$191="","",[1]Accounts!$B$191)</f>
        <v/>
      </c>
      <c r="C190">
        <f>IF([1]Accounts!$D$191="","",[1]Accounts!$C$191)</f>
        <v/>
      </c>
      <c r="D190">
        <f>IF([1]Accounts!$D$191="","",[1]Accounts!$D$191)</f>
        <v/>
      </c>
      <c r="E190">
        <f>IF([1]Accounts!$D$191="","",[1]Accounts!$E$191)</f>
        <v/>
      </c>
      <c r="F190">
        <f>IF([1]Accounts!$D$191="","",[1]Accounts!$F$191)</f>
        <v/>
      </c>
      <c r="G190">
        <f>IF([1]Accounts!$D$191="","",[1]Accounts!$G$191)</f>
        <v/>
      </c>
      <c r="T190">
        <f>IF([2]Baskol!$B$193="","",[2]Baskol!$B$193)</f>
        <v/>
      </c>
      <c r="U190">
        <f>IF([2]Baskol!$C$193="","",[2]Baskol!$C$193)</f>
        <v/>
      </c>
      <c r="V190">
        <f>IF([2]Baskol!$D$193="","",[2]Baskol!$D$193)</f>
        <v/>
      </c>
      <c r="W190">
        <f>IF([2]Baskol!$E$193="","",[2]Baskol!$E$193)</f>
        <v/>
      </c>
      <c r="X190">
        <f>IF([2]Baskol!$G$193="","",[2]Baskol!$G$193)</f>
        <v/>
      </c>
      <c r="Y190">
        <f>IF([2]Baskol!$I$193="","",[2]Baskol!$I$193)</f>
        <v/>
      </c>
      <c r="Z190">
        <f>IF([2]Baskol!$J$193="","",[2]Baskol!$J$193)</f>
        <v/>
      </c>
      <c r="AA190">
        <f>IF([2]Baskol!$K$193="","",[2]Baskol!$K$193)</f>
        <v/>
      </c>
      <c r="AB190">
        <f>IF([2]Baskol!$L$193="","",[2]Baskol!$L$193)</f>
        <v/>
      </c>
      <c r="AC190">
        <f>IF([2]Baskol!$N$193="","",[2]Baskol!$N$193)</f>
        <v/>
      </c>
      <c r="AD190">
        <f>IF([2]Baskol!$O$193="","",[2]Baskol!$O$193)</f>
        <v/>
      </c>
      <c r="AE190">
        <f>IF([3]Entry!$C$193="","",[3]Entry!$C$193)</f>
        <v/>
      </c>
      <c r="AF190">
        <f>IF([3]Entry!$D$193="","",[3]Entry!$D$193)</f>
        <v/>
      </c>
      <c r="AG190">
        <f>IF([3]Entry!$E$193="","",[3]Entry!$E$193)</f>
        <v/>
      </c>
      <c r="AH190">
        <f>IF([3]Entry!$G$193="","",[3]Entry!$G$193)</f>
        <v/>
      </c>
      <c r="AI190">
        <f>IF([3]Entry!$K$193="","",[3]Entry!$K$193)</f>
        <v/>
      </c>
      <c r="AJ190">
        <f>IF([3]Entry!$L$193="","",[3]Entry!$L$193)</f>
        <v/>
      </c>
      <c r="AK190">
        <f>IF([3]Entry!$M$193="","",[3]Entry!$M$193)</f>
        <v/>
      </c>
      <c r="AL190">
        <f>IF([3]Entry!$N$193="","",[3]Entry!$N$193)</f>
        <v/>
      </c>
      <c r="AM190">
        <f>IF([3]Entry!$R$193="","",[3]Entry!$R$193)</f>
        <v/>
      </c>
    </row>
    <row r="191">
      <c r="A191">
        <f>IF([1]Accounts!$D$192="","",[1]Accounts!$A$192)</f>
        <v/>
      </c>
      <c r="B191">
        <f>IF([1]Accounts!$D$192="","",[1]Accounts!$B$192)</f>
        <v/>
      </c>
      <c r="C191">
        <f>IF([1]Accounts!$D$192="","",[1]Accounts!$C$192)</f>
        <v/>
      </c>
      <c r="D191">
        <f>IF([1]Accounts!$D$192="","",[1]Accounts!$D$192)</f>
        <v/>
      </c>
      <c r="E191">
        <f>IF([1]Accounts!$D$192="","",[1]Accounts!$E$192)</f>
        <v/>
      </c>
      <c r="F191">
        <f>IF([1]Accounts!$D$192="","",[1]Accounts!$F$192)</f>
        <v/>
      </c>
      <c r="G191">
        <f>IF([1]Accounts!$D$192="","",[1]Accounts!$G$192)</f>
        <v/>
      </c>
      <c r="T191">
        <f>IF([2]Baskol!$B$194="","",[2]Baskol!$B$194)</f>
        <v/>
      </c>
      <c r="U191">
        <f>IF([2]Baskol!$C$194="","",[2]Baskol!$C$194)</f>
        <v/>
      </c>
      <c r="V191">
        <f>IF([2]Baskol!$D$194="","",[2]Baskol!$D$194)</f>
        <v/>
      </c>
      <c r="W191">
        <f>IF([2]Baskol!$E$194="","",[2]Baskol!$E$194)</f>
        <v/>
      </c>
      <c r="X191">
        <f>IF([2]Baskol!$G$194="","",[2]Baskol!$G$194)</f>
        <v/>
      </c>
      <c r="Y191">
        <f>IF([2]Baskol!$I$194="","",[2]Baskol!$I$194)</f>
        <v/>
      </c>
      <c r="Z191">
        <f>IF([2]Baskol!$J$194="","",[2]Baskol!$J$194)</f>
        <v/>
      </c>
      <c r="AA191">
        <f>IF([2]Baskol!$K$194="","",[2]Baskol!$K$194)</f>
        <v/>
      </c>
      <c r="AB191">
        <f>IF([2]Baskol!$L$194="","",[2]Baskol!$L$194)</f>
        <v/>
      </c>
      <c r="AC191">
        <f>IF([2]Baskol!$N$194="","",[2]Baskol!$N$194)</f>
        <v/>
      </c>
      <c r="AD191">
        <f>IF([2]Baskol!$O$194="","",[2]Baskol!$O$194)</f>
        <v/>
      </c>
      <c r="AE191">
        <f>IF([3]Entry!$C$194="","",[3]Entry!$C$194)</f>
        <v/>
      </c>
      <c r="AF191">
        <f>IF([3]Entry!$D$194="","",[3]Entry!$D$194)</f>
        <v/>
      </c>
      <c r="AG191">
        <f>IF([3]Entry!$E$194="","",[3]Entry!$E$194)</f>
        <v/>
      </c>
      <c r="AH191">
        <f>IF([3]Entry!$G$194="","",[3]Entry!$G$194)</f>
        <v/>
      </c>
      <c r="AI191">
        <f>IF([3]Entry!$K$194="","",[3]Entry!$K$194)</f>
        <v/>
      </c>
      <c r="AJ191">
        <f>IF([3]Entry!$L$194="","",[3]Entry!$L$194)</f>
        <v/>
      </c>
      <c r="AK191">
        <f>IF([3]Entry!$M$194="","",[3]Entry!$M$194)</f>
        <v/>
      </c>
      <c r="AL191">
        <f>IF([3]Entry!$N$194="","",[3]Entry!$N$194)</f>
        <v/>
      </c>
      <c r="AM191">
        <f>IF([3]Entry!$R$194="","",[3]Entry!$R$194)</f>
        <v/>
      </c>
    </row>
    <row r="192">
      <c r="A192">
        <f>IF([1]Accounts!$D$193="","",[1]Accounts!$A$193)</f>
        <v/>
      </c>
      <c r="B192">
        <f>IF([1]Accounts!$D$193="","",[1]Accounts!$B$193)</f>
        <v/>
      </c>
      <c r="C192">
        <f>IF([1]Accounts!$D$193="","",[1]Accounts!$C$193)</f>
        <v/>
      </c>
      <c r="D192">
        <f>IF([1]Accounts!$D$193="","",[1]Accounts!$D$193)</f>
        <v/>
      </c>
      <c r="E192">
        <f>IF([1]Accounts!$D$193="","",[1]Accounts!$E$193)</f>
        <v/>
      </c>
      <c r="F192">
        <f>IF([1]Accounts!$D$193="","",[1]Accounts!$F$193)</f>
        <v/>
      </c>
      <c r="G192">
        <f>IF([1]Accounts!$D$193="","",[1]Accounts!$G$193)</f>
        <v/>
      </c>
      <c r="T192">
        <f>IF([2]Baskol!$B$195="","",[2]Baskol!$B$195)</f>
        <v/>
      </c>
      <c r="U192">
        <f>IF([2]Baskol!$C$195="","",[2]Baskol!$C$195)</f>
        <v/>
      </c>
      <c r="V192">
        <f>IF([2]Baskol!$D$195="","",[2]Baskol!$D$195)</f>
        <v/>
      </c>
      <c r="W192">
        <f>IF([2]Baskol!$E$195="","",[2]Baskol!$E$195)</f>
        <v/>
      </c>
      <c r="X192">
        <f>IF([2]Baskol!$G$195="","",[2]Baskol!$G$195)</f>
        <v/>
      </c>
      <c r="Y192">
        <f>IF([2]Baskol!$I$195="","",[2]Baskol!$I$195)</f>
        <v/>
      </c>
      <c r="Z192">
        <f>IF([2]Baskol!$J$195="","",[2]Baskol!$J$195)</f>
        <v/>
      </c>
      <c r="AA192">
        <f>IF([2]Baskol!$K$195="","",[2]Baskol!$K$195)</f>
        <v/>
      </c>
      <c r="AB192">
        <f>IF([2]Baskol!$L$195="","",[2]Baskol!$L$195)</f>
        <v/>
      </c>
      <c r="AC192">
        <f>IF([2]Baskol!$N$195="","",[2]Baskol!$N$195)</f>
        <v/>
      </c>
      <c r="AD192">
        <f>IF([2]Baskol!$O$195="","",[2]Baskol!$O$195)</f>
        <v/>
      </c>
      <c r="AE192">
        <f>IF([3]Entry!$C$195="","",[3]Entry!$C$195)</f>
        <v/>
      </c>
      <c r="AF192">
        <f>IF([3]Entry!$D$195="","",[3]Entry!$D$195)</f>
        <v/>
      </c>
      <c r="AG192">
        <f>IF([3]Entry!$E$195="","",[3]Entry!$E$195)</f>
        <v/>
      </c>
      <c r="AH192">
        <f>IF([3]Entry!$G$195="","",[3]Entry!$G$195)</f>
        <v/>
      </c>
      <c r="AI192">
        <f>IF([3]Entry!$K$195="","",[3]Entry!$K$195)</f>
        <v/>
      </c>
      <c r="AJ192">
        <f>IF([3]Entry!$L$195="","",[3]Entry!$L$195)</f>
        <v/>
      </c>
      <c r="AK192">
        <f>IF([3]Entry!$M$195="","",[3]Entry!$M$195)</f>
        <v/>
      </c>
      <c r="AL192">
        <f>IF([3]Entry!$N$195="","",[3]Entry!$N$195)</f>
        <v/>
      </c>
      <c r="AM192">
        <f>IF([3]Entry!$R$195="","",[3]Entry!$R$195)</f>
        <v/>
      </c>
    </row>
    <row r="193">
      <c r="A193">
        <f>IF([1]Accounts!$D$194="","",[1]Accounts!$A$194)</f>
        <v/>
      </c>
      <c r="B193">
        <f>IF([1]Accounts!$D$194="","",[1]Accounts!$B$194)</f>
        <v/>
      </c>
      <c r="C193">
        <f>IF([1]Accounts!$D$194="","",[1]Accounts!$C$194)</f>
        <v/>
      </c>
      <c r="D193">
        <f>IF([1]Accounts!$D$194="","",[1]Accounts!$D$194)</f>
        <v/>
      </c>
      <c r="E193">
        <f>IF([1]Accounts!$D$194="","",[1]Accounts!$E$194)</f>
        <v/>
      </c>
      <c r="F193">
        <f>IF([1]Accounts!$D$194="","",[1]Accounts!$F$194)</f>
        <v/>
      </c>
      <c r="G193">
        <f>IF([1]Accounts!$D$194="","",[1]Accounts!$G$194)</f>
        <v/>
      </c>
      <c r="T193">
        <f>IF([2]Baskol!$B$196="","",[2]Baskol!$B$196)</f>
        <v/>
      </c>
      <c r="U193">
        <f>IF([2]Baskol!$C$196="","",[2]Baskol!$C$196)</f>
        <v/>
      </c>
      <c r="V193">
        <f>IF([2]Baskol!$D$196="","",[2]Baskol!$D$196)</f>
        <v/>
      </c>
      <c r="W193">
        <f>IF([2]Baskol!$E$196="","",[2]Baskol!$E$196)</f>
        <v/>
      </c>
      <c r="X193">
        <f>IF([2]Baskol!$G$196="","",[2]Baskol!$G$196)</f>
        <v/>
      </c>
      <c r="Y193">
        <f>IF([2]Baskol!$I$196="","",[2]Baskol!$I$196)</f>
        <v/>
      </c>
      <c r="Z193">
        <f>IF([2]Baskol!$J$196="","",[2]Baskol!$J$196)</f>
        <v/>
      </c>
      <c r="AA193">
        <f>IF([2]Baskol!$K$196="","",[2]Baskol!$K$196)</f>
        <v/>
      </c>
      <c r="AB193">
        <f>IF([2]Baskol!$L$196="","",[2]Baskol!$L$196)</f>
        <v/>
      </c>
      <c r="AC193">
        <f>IF([2]Baskol!$N$196="","",[2]Baskol!$N$196)</f>
        <v/>
      </c>
      <c r="AD193">
        <f>IF([2]Baskol!$O$196="","",[2]Baskol!$O$196)</f>
        <v/>
      </c>
      <c r="AE193">
        <f>IF([3]Entry!$C$196="","",[3]Entry!$C$196)</f>
        <v/>
      </c>
      <c r="AF193">
        <f>IF([3]Entry!$D$196="","",[3]Entry!$D$196)</f>
        <v/>
      </c>
      <c r="AG193">
        <f>IF([3]Entry!$E$196="","",[3]Entry!$E$196)</f>
        <v/>
      </c>
      <c r="AH193">
        <f>IF([3]Entry!$G$196="","",[3]Entry!$G$196)</f>
        <v/>
      </c>
      <c r="AI193">
        <f>IF([3]Entry!$K$196="","",[3]Entry!$K$196)</f>
        <v/>
      </c>
      <c r="AJ193">
        <f>IF([3]Entry!$L$196="","",[3]Entry!$L$196)</f>
        <v/>
      </c>
      <c r="AK193">
        <f>IF([3]Entry!$M$196="","",[3]Entry!$M$196)</f>
        <v/>
      </c>
      <c r="AL193">
        <f>IF([3]Entry!$N$196="","",[3]Entry!$N$196)</f>
        <v/>
      </c>
      <c r="AM193">
        <f>IF([3]Entry!$R$196="","",[3]Entry!$R$196)</f>
        <v/>
      </c>
    </row>
    <row r="194">
      <c r="A194">
        <f>IF([1]Accounts!$D$195="","",[1]Accounts!$A$195)</f>
        <v/>
      </c>
      <c r="B194">
        <f>IF([1]Accounts!$D$195="","",[1]Accounts!$B$195)</f>
        <v/>
      </c>
      <c r="C194">
        <f>IF([1]Accounts!$D$195="","",[1]Accounts!$C$195)</f>
        <v/>
      </c>
      <c r="D194">
        <f>IF([1]Accounts!$D$195="","",[1]Accounts!$D$195)</f>
        <v/>
      </c>
      <c r="E194">
        <f>IF([1]Accounts!$D$195="","",[1]Accounts!$E$195)</f>
        <v/>
      </c>
      <c r="F194">
        <f>IF([1]Accounts!$D$195="","",[1]Accounts!$F$195)</f>
        <v/>
      </c>
      <c r="G194">
        <f>IF([1]Accounts!$D$195="","",[1]Accounts!$G$195)</f>
        <v/>
      </c>
      <c r="T194">
        <f>IF([2]Baskol!$B$197="","",[2]Baskol!$B$197)</f>
        <v/>
      </c>
      <c r="U194">
        <f>IF([2]Baskol!$C$197="","",[2]Baskol!$C$197)</f>
        <v/>
      </c>
      <c r="V194">
        <f>IF([2]Baskol!$D$197="","",[2]Baskol!$D$197)</f>
        <v/>
      </c>
      <c r="W194">
        <f>IF([2]Baskol!$E$197="","",[2]Baskol!$E$197)</f>
        <v/>
      </c>
      <c r="X194">
        <f>IF([2]Baskol!$G$197="","",[2]Baskol!$G$197)</f>
        <v/>
      </c>
      <c r="Y194">
        <f>IF([2]Baskol!$I$197="","",[2]Baskol!$I$197)</f>
        <v/>
      </c>
      <c r="Z194">
        <f>IF([2]Baskol!$J$197="","",[2]Baskol!$J$197)</f>
        <v/>
      </c>
      <c r="AA194">
        <f>IF([2]Baskol!$K$197="","",[2]Baskol!$K$197)</f>
        <v/>
      </c>
      <c r="AB194">
        <f>IF([2]Baskol!$L$197="","",[2]Baskol!$L$197)</f>
        <v/>
      </c>
      <c r="AC194">
        <f>IF([2]Baskol!$N$197="","",[2]Baskol!$N$197)</f>
        <v/>
      </c>
      <c r="AD194">
        <f>IF([2]Baskol!$O$197="","",[2]Baskol!$O$197)</f>
        <v/>
      </c>
      <c r="AE194">
        <f>IF([3]Entry!$C$197="","",[3]Entry!$C$197)</f>
        <v/>
      </c>
      <c r="AF194">
        <f>IF([3]Entry!$D$197="","",[3]Entry!$D$197)</f>
        <v/>
      </c>
      <c r="AG194">
        <f>IF([3]Entry!$E$197="","",[3]Entry!$E$197)</f>
        <v/>
      </c>
      <c r="AH194">
        <f>IF([3]Entry!$G$197="","",[3]Entry!$G$197)</f>
        <v/>
      </c>
      <c r="AI194">
        <f>IF([3]Entry!$K$197="","",[3]Entry!$K$197)</f>
        <v/>
      </c>
      <c r="AJ194">
        <f>IF([3]Entry!$L$197="","",[3]Entry!$L$197)</f>
        <v/>
      </c>
      <c r="AK194">
        <f>IF([3]Entry!$M$197="","",[3]Entry!$M$197)</f>
        <v/>
      </c>
      <c r="AL194">
        <f>IF([3]Entry!$N$197="","",[3]Entry!$N$197)</f>
        <v/>
      </c>
      <c r="AM194">
        <f>IF([3]Entry!$R$197="","",[3]Entry!$R$197)</f>
        <v/>
      </c>
    </row>
    <row r="195">
      <c r="A195">
        <f>IF([1]Accounts!$D$196="","",[1]Accounts!$A$196)</f>
        <v/>
      </c>
      <c r="B195">
        <f>IF([1]Accounts!$D$196="","",[1]Accounts!$B$196)</f>
        <v/>
      </c>
      <c r="C195">
        <f>IF([1]Accounts!$D$196="","",[1]Accounts!$C$196)</f>
        <v/>
      </c>
      <c r="D195">
        <f>IF([1]Accounts!$D$196="","",[1]Accounts!$D$196)</f>
        <v/>
      </c>
      <c r="E195">
        <f>IF([1]Accounts!$D$196="","",[1]Accounts!$E$196)</f>
        <v/>
      </c>
      <c r="F195">
        <f>IF([1]Accounts!$D$196="","",[1]Accounts!$F$196)</f>
        <v/>
      </c>
      <c r="G195">
        <f>IF([1]Accounts!$D$196="","",[1]Accounts!$G$196)</f>
        <v/>
      </c>
      <c r="T195">
        <f>IF([2]Baskol!$B$198="","",[2]Baskol!$B$198)</f>
        <v/>
      </c>
      <c r="U195">
        <f>IF([2]Baskol!$C$198="","",[2]Baskol!$C$198)</f>
        <v/>
      </c>
      <c r="V195">
        <f>IF([2]Baskol!$D$198="","",[2]Baskol!$D$198)</f>
        <v/>
      </c>
      <c r="W195">
        <f>IF([2]Baskol!$E$198="","",[2]Baskol!$E$198)</f>
        <v/>
      </c>
      <c r="X195">
        <f>IF([2]Baskol!$G$198="","",[2]Baskol!$G$198)</f>
        <v/>
      </c>
      <c r="Y195">
        <f>IF([2]Baskol!$I$198="","",[2]Baskol!$I$198)</f>
        <v/>
      </c>
      <c r="Z195">
        <f>IF([2]Baskol!$J$198="","",[2]Baskol!$J$198)</f>
        <v/>
      </c>
      <c r="AA195">
        <f>IF([2]Baskol!$K$198="","",[2]Baskol!$K$198)</f>
        <v/>
      </c>
      <c r="AB195">
        <f>IF([2]Baskol!$L$198="","",[2]Baskol!$L$198)</f>
        <v/>
      </c>
      <c r="AC195">
        <f>IF([2]Baskol!$N$198="","",[2]Baskol!$N$198)</f>
        <v/>
      </c>
      <c r="AD195">
        <f>IF([2]Baskol!$O$198="","",[2]Baskol!$O$198)</f>
        <v/>
      </c>
      <c r="AE195">
        <f>IF([3]Entry!$C$198="","",[3]Entry!$C$198)</f>
        <v/>
      </c>
      <c r="AF195">
        <f>IF([3]Entry!$D$198="","",[3]Entry!$D$198)</f>
        <v/>
      </c>
      <c r="AG195">
        <f>IF([3]Entry!$E$198="","",[3]Entry!$E$198)</f>
        <v/>
      </c>
      <c r="AH195">
        <f>IF([3]Entry!$G$198="","",[3]Entry!$G$198)</f>
        <v/>
      </c>
      <c r="AI195">
        <f>IF([3]Entry!$K$198="","",[3]Entry!$K$198)</f>
        <v/>
      </c>
      <c r="AJ195">
        <f>IF([3]Entry!$L$198="","",[3]Entry!$L$198)</f>
        <v/>
      </c>
      <c r="AK195">
        <f>IF([3]Entry!$M$198="","",[3]Entry!$M$198)</f>
        <v/>
      </c>
      <c r="AL195">
        <f>IF([3]Entry!$N$198="","",[3]Entry!$N$198)</f>
        <v/>
      </c>
      <c r="AM195">
        <f>IF([3]Entry!$R$198="","",[3]Entry!$R$198)</f>
        <v/>
      </c>
    </row>
    <row r="196">
      <c r="A196">
        <f>IF([1]Accounts!$D$197="","",[1]Accounts!$A$197)</f>
        <v/>
      </c>
      <c r="B196">
        <f>IF([1]Accounts!$D$197="","",[1]Accounts!$B$197)</f>
        <v/>
      </c>
      <c r="C196">
        <f>IF([1]Accounts!$D$197="","",[1]Accounts!$C$197)</f>
        <v/>
      </c>
      <c r="D196">
        <f>IF([1]Accounts!$D$197="","",[1]Accounts!$D$197)</f>
        <v/>
      </c>
      <c r="E196">
        <f>IF([1]Accounts!$D$197="","",[1]Accounts!$E$197)</f>
        <v/>
      </c>
      <c r="F196">
        <f>IF([1]Accounts!$D$197="","",[1]Accounts!$F$197)</f>
        <v/>
      </c>
      <c r="G196">
        <f>IF([1]Accounts!$D$197="","",[1]Accounts!$G$197)</f>
        <v/>
      </c>
      <c r="T196">
        <f>IF([2]Baskol!$B$199="","",[2]Baskol!$B$199)</f>
        <v/>
      </c>
      <c r="U196">
        <f>IF([2]Baskol!$C$199="","",[2]Baskol!$C$199)</f>
        <v/>
      </c>
      <c r="V196">
        <f>IF([2]Baskol!$D$199="","",[2]Baskol!$D$199)</f>
        <v/>
      </c>
      <c r="W196">
        <f>IF([2]Baskol!$E$199="","",[2]Baskol!$E$199)</f>
        <v/>
      </c>
      <c r="X196">
        <f>IF([2]Baskol!$G$199="","",[2]Baskol!$G$199)</f>
        <v/>
      </c>
      <c r="Y196">
        <f>IF([2]Baskol!$I$199="","",[2]Baskol!$I$199)</f>
        <v/>
      </c>
      <c r="Z196">
        <f>IF([2]Baskol!$J$199="","",[2]Baskol!$J$199)</f>
        <v/>
      </c>
      <c r="AA196">
        <f>IF([2]Baskol!$K$199="","",[2]Baskol!$K$199)</f>
        <v/>
      </c>
      <c r="AB196">
        <f>IF([2]Baskol!$L$199="","",[2]Baskol!$L$199)</f>
        <v/>
      </c>
      <c r="AC196">
        <f>IF([2]Baskol!$N$199="","",[2]Baskol!$N$199)</f>
        <v/>
      </c>
      <c r="AD196">
        <f>IF([2]Baskol!$O$199="","",[2]Baskol!$O$199)</f>
        <v/>
      </c>
      <c r="AE196">
        <f>IF([3]Entry!$C$199="","",[3]Entry!$C$199)</f>
        <v/>
      </c>
      <c r="AF196">
        <f>IF([3]Entry!$D$199="","",[3]Entry!$D$199)</f>
        <v/>
      </c>
      <c r="AG196">
        <f>IF([3]Entry!$E$199="","",[3]Entry!$E$199)</f>
        <v/>
      </c>
      <c r="AH196">
        <f>IF([3]Entry!$G$199="","",[3]Entry!$G$199)</f>
        <v/>
      </c>
      <c r="AI196">
        <f>IF([3]Entry!$K$199="","",[3]Entry!$K$199)</f>
        <v/>
      </c>
      <c r="AJ196">
        <f>IF([3]Entry!$L$199="","",[3]Entry!$L$199)</f>
        <v/>
      </c>
      <c r="AK196">
        <f>IF([3]Entry!$M$199="","",[3]Entry!$M$199)</f>
        <v/>
      </c>
      <c r="AL196">
        <f>IF([3]Entry!$N$199="","",[3]Entry!$N$199)</f>
        <v/>
      </c>
      <c r="AM196">
        <f>IF([3]Entry!$R$199="","",[3]Entry!$R$199)</f>
        <v/>
      </c>
    </row>
    <row r="197">
      <c r="A197">
        <f>IF([1]Accounts!$D$198="","",[1]Accounts!$A$198)</f>
        <v/>
      </c>
      <c r="B197">
        <f>IF([1]Accounts!$D$198="","",[1]Accounts!$B$198)</f>
        <v/>
      </c>
      <c r="C197">
        <f>IF([1]Accounts!$D$198="","",[1]Accounts!$C$198)</f>
        <v/>
      </c>
      <c r="D197">
        <f>IF([1]Accounts!$D$198="","",[1]Accounts!$D$198)</f>
        <v/>
      </c>
      <c r="E197">
        <f>IF([1]Accounts!$D$198="","",[1]Accounts!$E$198)</f>
        <v/>
      </c>
      <c r="F197">
        <f>IF([1]Accounts!$D$198="","",[1]Accounts!$F$198)</f>
        <v/>
      </c>
      <c r="G197">
        <f>IF([1]Accounts!$D$198="","",[1]Accounts!$G$198)</f>
        <v/>
      </c>
      <c r="T197">
        <f>IF([2]Baskol!$B$200="","",[2]Baskol!$B$200)</f>
        <v/>
      </c>
      <c r="U197">
        <f>IF([2]Baskol!$C$200="","",[2]Baskol!$C$200)</f>
        <v/>
      </c>
      <c r="V197">
        <f>IF([2]Baskol!$D$200="","",[2]Baskol!$D$200)</f>
        <v/>
      </c>
      <c r="W197">
        <f>IF([2]Baskol!$E$200="","",[2]Baskol!$E$200)</f>
        <v/>
      </c>
      <c r="X197">
        <f>IF([2]Baskol!$G$200="","",[2]Baskol!$G$200)</f>
        <v/>
      </c>
      <c r="Y197">
        <f>IF([2]Baskol!$I$200="","",[2]Baskol!$I$200)</f>
        <v/>
      </c>
      <c r="Z197">
        <f>IF([2]Baskol!$J$200="","",[2]Baskol!$J$200)</f>
        <v/>
      </c>
      <c r="AA197">
        <f>IF([2]Baskol!$K$200="","",[2]Baskol!$K$200)</f>
        <v/>
      </c>
      <c r="AB197">
        <f>IF([2]Baskol!$L$200="","",[2]Baskol!$L$200)</f>
        <v/>
      </c>
      <c r="AC197">
        <f>IF([2]Baskol!$N$200="","",[2]Baskol!$N$200)</f>
        <v/>
      </c>
      <c r="AD197">
        <f>IF([2]Baskol!$O$200="","",[2]Baskol!$O$200)</f>
        <v/>
      </c>
      <c r="AE197">
        <f>IF([3]Entry!$C$200="","",[3]Entry!$C$200)</f>
        <v/>
      </c>
      <c r="AF197">
        <f>IF([3]Entry!$D$200="","",[3]Entry!$D$200)</f>
        <v/>
      </c>
      <c r="AG197">
        <f>IF([3]Entry!$E$200="","",[3]Entry!$E$200)</f>
        <v/>
      </c>
      <c r="AH197">
        <f>IF([3]Entry!$G$200="","",[3]Entry!$G$200)</f>
        <v/>
      </c>
      <c r="AI197">
        <f>IF([3]Entry!$K$200="","",[3]Entry!$K$200)</f>
        <v/>
      </c>
      <c r="AJ197">
        <f>IF([3]Entry!$L$200="","",[3]Entry!$L$200)</f>
        <v/>
      </c>
      <c r="AK197">
        <f>IF([3]Entry!$M$200="","",[3]Entry!$M$200)</f>
        <v/>
      </c>
      <c r="AL197">
        <f>IF([3]Entry!$N$200="","",[3]Entry!$N$200)</f>
        <v/>
      </c>
      <c r="AM197">
        <f>IF([3]Entry!$R$200="","",[3]Entry!$R$200)</f>
        <v/>
      </c>
    </row>
    <row r="198">
      <c r="A198">
        <f>IF([1]Accounts!$D$199="","",[1]Accounts!$A$199)</f>
        <v/>
      </c>
      <c r="B198">
        <f>IF([1]Accounts!$D$199="","",[1]Accounts!$B$199)</f>
        <v/>
      </c>
      <c r="C198">
        <f>IF([1]Accounts!$D$199="","",[1]Accounts!$C$199)</f>
        <v/>
      </c>
      <c r="D198">
        <f>IF([1]Accounts!$D$199="","",[1]Accounts!$D$199)</f>
        <v/>
      </c>
      <c r="E198">
        <f>IF([1]Accounts!$D$199="","",[1]Accounts!$E$199)</f>
        <v/>
      </c>
      <c r="F198">
        <f>IF([1]Accounts!$D$199="","",[1]Accounts!$F$199)</f>
        <v/>
      </c>
      <c r="G198">
        <f>IF([1]Accounts!$D$199="","",[1]Accounts!$G$199)</f>
        <v/>
      </c>
      <c r="T198">
        <f>IF([2]Baskol!$B$201="","",[2]Baskol!$B$201)</f>
        <v/>
      </c>
      <c r="U198">
        <f>IF([2]Baskol!$C$201="","",[2]Baskol!$C$201)</f>
        <v/>
      </c>
      <c r="V198">
        <f>IF([2]Baskol!$D$201="","",[2]Baskol!$D$201)</f>
        <v/>
      </c>
      <c r="W198">
        <f>IF([2]Baskol!$E$201="","",[2]Baskol!$E$201)</f>
        <v/>
      </c>
      <c r="X198">
        <f>IF([2]Baskol!$G$201="","",[2]Baskol!$G$201)</f>
        <v/>
      </c>
      <c r="Y198">
        <f>IF([2]Baskol!$I$201="","",[2]Baskol!$I$201)</f>
        <v/>
      </c>
      <c r="Z198">
        <f>IF([2]Baskol!$J$201="","",[2]Baskol!$J$201)</f>
        <v/>
      </c>
      <c r="AA198">
        <f>IF([2]Baskol!$K$201="","",[2]Baskol!$K$201)</f>
        <v/>
      </c>
      <c r="AB198">
        <f>IF([2]Baskol!$L$201="","",[2]Baskol!$L$201)</f>
        <v/>
      </c>
      <c r="AC198">
        <f>IF([2]Baskol!$N$201="","",[2]Baskol!$N$201)</f>
        <v/>
      </c>
      <c r="AD198">
        <f>IF([2]Baskol!$O$201="","",[2]Baskol!$O$201)</f>
        <v/>
      </c>
      <c r="AE198">
        <f>IF([3]Entry!$C$201="","",[3]Entry!$C$201)</f>
        <v/>
      </c>
      <c r="AF198">
        <f>IF([3]Entry!$D$201="","",[3]Entry!$D$201)</f>
        <v/>
      </c>
      <c r="AG198">
        <f>IF([3]Entry!$E$201="","",[3]Entry!$E$201)</f>
        <v/>
      </c>
      <c r="AH198">
        <f>IF([3]Entry!$G$201="","",[3]Entry!$G$201)</f>
        <v/>
      </c>
      <c r="AI198">
        <f>IF([3]Entry!$K$201="","",[3]Entry!$K$201)</f>
        <v/>
      </c>
      <c r="AJ198">
        <f>IF([3]Entry!$L$201="","",[3]Entry!$L$201)</f>
        <v/>
      </c>
      <c r="AK198">
        <f>IF([3]Entry!$M$201="","",[3]Entry!$M$201)</f>
        <v/>
      </c>
      <c r="AL198">
        <f>IF([3]Entry!$N$201="","",[3]Entry!$N$201)</f>
        <v/>
      </c>
      <c r="AM198">
        <f>IF([3]Entry!$R$201="","",[3]Entry!$R$201)</f>
        <v/>
      </c>
    </row>
    <row r="199">
      <c r="A199">
        <f>IF([1]Accounts!$D$200="","",[1]Accounts!$A$200)</f>
        <v/>
      </c>
      <c r="B199">
        <f>IF([1]Accounts!$D$200="","",[1]Accounts!$B$200)</f>
        <v/>
      </c>
      <c r="C199">
        <f>IF([1]Accounts!$D$200="","",[1]Accounts!$C$200)</f>
        <v/>
      </c>
      <c r="D199">
        <f>IF([1]Accounts!$D$200="","",[1]Accounts!$D$200)</f>
        <v/>
      </c>
      <c r="E199">
        <f>IF([1]Accounts!$D$200="","",[1]Accounts!$E$200)</f>
        <v/>
      </c>
      <c r="F199">
        <f>IF([1]Accounts!$D$200="","",[1]Accounts!$F$200)</f>
        <v/>
      </c>
      <c r="G199">
        <f>IF([1]Accounts!$D$200="","",[1]Accounts!$G$200)</f>
        <v/>
      </c>
      <c r="T199">
        <f>IF([2]Baskol!$B$202="","",[2]Baskol!$B$202)</f>
        <v/>
      </c>
      <c r="U199">
        <f>IF([2]Baskol!$C$202="","",[2]Baskol!$C$202)</f>
        <v/>
      </c>
      <c r="V199">
        <f>IF([2]Baskol!$D$202="","",[2]Baskol!$D$202)</f>
        <v/>
      </c>
      <c r="W199">
        <f>IF([2]Baskol!$E$202="","",[2]Baskol!$E$202)</f>
        <v/>
      </c>
      <c r="X199">
        <f>IF([2]Baskol!$G$202="","",[2]Baskol!$G$202)</f>
        <v/>
      </c>
      <c r="Y199">
        <f>IF([2]Baskol!$I$202="","",[2]Baskol!$I$202)</f>
        <v/>
      </c>
      <c r="Z199">
        <f>IF([2]Baskol!$J$202="","",[2]Baskol!$J$202)</f>
        <v/>
      </c>
      <c r="AA199">
        <f>IF([2]Baskol!$K$202="","",[2]Baskol!$K$202)</f>
        <v/>
      </c>
      <c r="AB199">
        <f>IF([2]Baskol!$L$202="","",[2]Baskol!$L$202)</f>
        <v/>
      </c>
      <c r="AC199">
        <f>IF([2]Baskol!$N$202="","",[2]Baskol!$N$202)</f>
        <v/>
      </c>
      <c r="AD199">
        <f>IF([2]Baskol!$O$202="","",[2]Baskol!$O$202)</f>
        <v/>
      </c>
      <c r="AE199">
        <f>IF([3]Entry!$C$202="","",[3]Entry!$C$202)</f>
        <v/>
      </c>
      <c r="AF199">
        <f>IF([3]Entry!$D$202="","",[3]Entry!$D$202)</f>
        <v/>
      </c>
      <c r="AG199">
        <f>IF([3]Entry!$E$202="","",[3]Entry!$E$202)</f>
        <v/>
      </c>
      <c r="AH199">
        <f>IF([3]Entry!$G$202="","",[3]Entry!$G$202)</f>
        <v/>
      </c>
      <c r="AI199">
        <f>IF([3]Entry!$K$202="","",[3]Entry!$K$202)</f>
        <v/>
      </c>
      <c r="AJ199">
        <f>IF([3]Entry!$L$202="","",[3]Entry!$L$202)</f>
        <v/>
      </c>
      <c r="AK199">
        <f>IF([3]Entry!$M$202="","",[3]Entry!$M$202)</f>
        <v/>
      </c>
      <c r="AL199">
        <f>IF([3]Entry!$N$202="","",[3]Entry!$N$202)</f>
        <v/>
      </c>
      <c r="AM199">
        <f>IF([3]Entry!$R$202="","",[3]Entry!$R$202)</f>
        <v/>
      </c>
    </row>
    <row r="200">
      <c r="A200">
        <f>IF([1]Accounts!$D$201="","",[1]Accounts!$A$201)</f>
        <v/>
      </c>
      <c r="B200">
        <f>IF([1]Accounts!$D$201="","",[1]Accounts!$B$201)</f>
        <v/>
      </c>
      <c r="C200">
        <f>IF([1]Accounts!$D$201="","",[1]Accounts!$C$201)</f>
        <v/>
      </c>
      <c r="D200">
        <f>IF([1]Accounts!$D$201="","",[1]Accounts!$D$201)</f>
        <v/>
      </c>
      <c r="E200">
        <f>IF([1]Accounts!$D$201="","",[1]Accounts!$E$201)</f>
        <v/>
      </c>
      <c r="F200">
        <f>IF([1]Accounts!$D$201="","",[1]Accounts!$F$201)</f>
        <v/>
      </c>
      <c r="G200">
        <f>IF([1]Accounts!$D$201="","",[1]Accounts!$G$201)</f>
        <v/>
      </c>
      <c r="T200">
        <f>IF([2]Baskol!$B$203="","",[2]Baskol!$B$203)</f>
        <v/>
      </c>
      <c r="U200">
        <f>IF([2]Baskol!$C$203="","",[2]Baskol!$C$203)</f>
        <v/>
      </c>
      <c r="V200">
        <f>IF([2]Baskol!$D$203="","",[2]Baskol!$D$203)</f>
        <v/>
      </c>
      <c r="W200">
        <f>IF([2]Baskol!$E$203="","",[2]Baskol!$E$203)</f>
        <v/>
      </c>
      <c r="X200">
        <f>IF([2]Baskol!$G$203="","",[2]Baskol!$G$203)</f>
        <v/>
      </c>
      <c r="Y200">
        <f>IF([2]Baskol!$I$203="","",[2]Baskol!$I$203)</f>
        <v/>
      </c>
      <c r="Z200">
        <f>IF([2]Baskol!$J$203="","",[2]Baskol!$J$203)</f>
        <v/>
      </c>
      <c r="AA200">
        <f>IF([2]Baskol!$K$203="","",[2]Baskol!$K$203)</f>
        <v/>
      </c>
      <c r="AB200">
        <f>IF([2]Baskol!$L$203="","",[2]Baskol!$L$203)</f>
        <v/>
      </c>
      <c r="AC200">
        <f>IF([2]Baskol!$N$203="","",[2]Baskol!$N$203)</f>
        <v/>
      </c>
      <c r="AD200">
        <f>IF([2]Baskol!$O$203="","",[2]Baskol!$O$203)</f>
        <v/>
      </c>
      <c r="AE200">
        <f>IF([3]Entry!$C$203="","",[3]Entry!$C$203)</f>
        <v/>
      </c>
      <c r="AF200">
        <f>IF([3]Entry!$D$203="","",[3]Entry!$D$203)</f>
        <v/>
      </c>
      <c r="AG200">
        <f>IF([3]Entry!$E$203="","",[3]Entry!$E$203)</f>
        <v/>
      </c>
      <c r="AH200">
        <f>IF([3]Entry!$G$203="","",[3]Entry!$G$203)</f>
        <v/>
      </c>
      <c r="AI200">
        <f>IF([3]Entry!$K$203="","",[3]Entry!$K$203)</f>
        <v/>
      </c>
      <c r="AJ200">
        <f>IF([3]Entry!$L$203="","",[3]Entry!$L$203)</f>
        <v/>
      </c>
      <c r="AK200">
        <f>IF([3]Entry!$M$203="","",[3]Entry!$M$203)</f>
        <v/>
      </c>
      <c r="AL200">
        <f>IF([3]Entry!$N$203="","",[3]Entry!$N$203)</f>
        <v/>
      </c>
      <c r="AM200">
        <f>IF([3]Entry!$R$203="","",[3]Entry!$R$203)</f>
        <v/>
      </c>
    </row>
    <row r="201">
      <c r="A201">
        <f>IF([1]Accounts!$D$202="","",[1]Accounts!$A$202)</f>
        <v/>
      </c>
      <c r="B201">
        <f>IF([1]Accounts!$D$202="","",[1]Accounts!$B$202)</f>
        <v/>
      </c>
      <c r="C201">
        <f>IF([1]Accounts!$D$202="","",[1]Accounts!$C$202)</f>
        <v/>
      </c>
      <c r="D201">
        <f>IF([1]Accounts!$D$202="","",[1]Accounts!$D$202)</f>
        <v/>
      </c>
      <c r="E201">
        <f>IF([1]Accounts!$D$202="","",[1]Accounts!$E$202)</f>
        <v/>
      </c>
      <c r="F201">
        <f>IF([1]Accounts!$D$202="","",[1]Accounts!$F$202)</f>
        <v/>
      </c>
      <c r="G201">
        <f>IF([1]Accounts!$D$202="","",[1]Accounts!$G$202)</f>
        <v/>
      </c>
      <c r="T201">
        <f>IF([2]Baskol!$B$204="","",[2]Baskol!$B$204)</f>
        <v/>
      </c>
      <c r="U201">
        <f>IF([2]Baskol!$C$204="","",[2]Baskol!$C$204)</f>
        <v/>
      </c>
      <c r="V201">
        <f>IF([2]Baskol!$D$204="","",[2]Baskol!$D$204)</f>
        <v/>
      </c>
      <c r="W201">
        <f>IF([2]Baskol!$E$204="","",[2]Baskol!$E$204)</f>
        <v/>
      </c>
      <c r="X201">
        <f>IF([2]Baskol!$G$204="","",[2]Baskol!$G$204)</f>
        <v/>
      </c>
      <c r="Y201">
        <f>IF([2]Baskol!$I$204="","",[2]Baskol!$I$204)</f>
        <v/>
      </c>
      <c r="Z201">
        <f>IF([2]Baskol!$J$204="","",[2]Baskol!$J$204)</f>
        <v/>
      </c>
      <c r="AA201">
        <f>IF([2]Baskol!$K$204="","",[2]Baskol!$K$204)</f>
        <v/>
      </c>
      <c r="AB201">
        <f>IF([2]Baskol!$L$204="","",[2]Baskol!$L$204)</f>
        <v/>
      </c>
      <c r="AC201">
        <f>IF([2]Baskol!$N$204="","",[2]Baskol!$N$204)</f>
        <v/>
      </c>
      <c r="AD201">
        <f>IF([2]Baskol!$O$204="","",[2]Baskol!$O$204)</f>
        <v/>
      </c>
      <c r="AE201">
        <f>IF([3]Entry!$C$204="","",[3]Entry!$C$204)</f>
        <v/>
      </c>
      <c r="AF201">
        <f>IF([3]Entry!$D$204="","",[3]Entry!$D$204)</f>
        <v/>
      </c>
      <c r="AG201">
        <f>IF([3]Entry!$E$204="","",[3]Entry!$E$204)</f>
        <v/>
      </c>
      <c r="AH201">
        <f>IF([3]Entry!$G$204="","",[3]Entry!$G$204)</f>
        <v/>
      </c>
      <c r="AI201">
        <f>IF([3]Entry!$K$204="","",[3]Entry!$K$204)</f>
        <v/>
      </c>
      <c r="AJ201">
        <f>IF([3]Entry!$L$204="","",[3]Entry!$L$204)</f>
        <v/>
      </c>
      <c r="AK201">
        <f>IF([3]Entry!$M$204="","",[3]Entry!$M$204)</f>
        <v/>
      </c>
      <c r="AL201">
        <f>IF([3]Entry!$N$204="","",[3]Entry!$N$204)</f>
        <v/>
      </c>
      <c r="AM201">
        <f>IF([3]Entry!$R$204="","",[3]Entry!$R$204)</f>
        <v/>
      </c>
    </row>
    <row r="202">
      <c r="A202">
        <f>IF([1]Accounts!$D$203="","",[1]Accounts!$A$203)</f>
        <v/>
      </c>
      <c r="B202">
        <f>IF([1]Accounts!$D$203="","",[1]Accounts!$B$203)</f>
        <v/>
      </c>
      <c r="C202">
        <f>IF([1]Accounts!$D$203="","",[1]Accounts!$C$203)</f>
        <v/>
      </c>
      <c r="D202">
        <f>IF([1]Accounts!$D$203="","",[1]Accounts!$D$203)</f>
        <v/>
      </c>
      <c r="E202">
        <f>IF([1]Accounts!$D$203="","",[1]Accounts!$E$203)</f>
        <v/>
      </c>
      <c r="F202">
        <f>IF([1]Accounts!$D$203="","",[1]Accounts!$F$203)</f>
        <v/>
      </c>
      <c r="G202">
        <f>IF([1]Accounts!$D$203="","",[1]Accounts!$G$203)</f>
        <v/>
      </c>
      <c r="T202">
        <f>IF([2]Baskol!$B$205="","",[2]Baskol!$B$205)</f>
        <v/>
      </c>
      <c r="U202">
        <f>IF([2]Baskol!$C$205="","",[2]Baskol!$C$205)</f>
        <v/>
      </c>
      <c r="V202">
        <f>IF([2]Baskol!$D$205="","",[2]Baskol!$D$205)</f>
        <v/>
      </c>
      <c r="W202">
        <f>IF([2]Baskol!$E$205="","",[2]Baskol!$E$205)</f>
        <v/>
      </c>
      <c r="X202">
        <f>IF([2]Baskol!$G$205="","",[2]Baskol!$G$205)</f>
        <v/>
      </c>
      <c r="Y202">
        <f>IF([2]Baskol!$I$205="","",[2]Baskol!$I$205)</f>
        <v/>
      </c>
      <c r="Z202">
        <f>IF([2]Baskol!$J$205="","",[2]Baskol!$J$205)</f>
        <v/>
      </c>
      <c r="AA202">
        <f>IF([2]Baskol!$K$205="","",[2]Baskol!$K$205)</f>
        <v/>
      </c>
      <c r="AB202">
        <f>IF([2]Baskol!$L$205="","",[2]Baskol!$L$205)</f>
        <v/>
      </c>
      <c r="AC202">
        <f>IF([2]Baskol!$N$205="","",[2]Baskol!$N$205)</f>
        <v/>
      </c>
      <c r="AD202">
        <f>IF([2]Baskol!$O$205="","",[2]Baskol!$O$205)</f>
        <v/>
      </c>
      <c r="AE202">
        <f>IF([3]Entry!$C$205="","",[3]Entry!$C$205)</f>
        <v/>
      </c>
      <c r="AF202">
        <f>IF([3]Entry!$D$205="","",[3]Entry!$D$205)</f>
        <v/>
      </c>
      <c r="AG202">
        <f>IF([3]Entry!$E$205="","",[3]Entry!$E$205)</f>
        <v/>
      </c>
      <c r="AH202">
        <f>IF([3]Entry!$G$205="","",[3]Entry!$G$205)</f>
        <v/>
      </c>
      <c r="AI202">
        <f>IF([3]Entry!$K$205="","",[3]Entry!$K$205)</f>
        <v/>
      </c>
      <c r="AJ202">
        <f>IF([3]Entry!$L$205="","",[3]Entry!$L$205)</f>
        <v/>
      </c>
      <c r="AK202">
        <f>IF([3]Entry!$M$205="","",[3]Entry!$M$205)</f>
        <v/>
      </c>
      <c r="AL202">
        <f>IF([3]Entry!$N$205="","",[3]Entry!$N$205)</f>
        <v/>
      </c>
      <c r="AM202">
        <f>IF([3]Entry!$R$205="","",[3]Entry!$R$205)</f>
        <v/>
      </c>
    </row>
    <row r="203">
      <c r="A203">
        <f>IF([1]Accounts!$D$204="","",[1]Accounts!$A$204)</f>
        <v/>
      </c>
      <c r="B203">
        <f>IF([1]Accounts!$D$204="","",[1]Accounts!$B$204)</f>
        <v/>
      </c>
      <c r="C203">
        <f>IF([1]Accounts!$D$204="","",[1]Accounts!$C$204)</f>
        <v/>
      </c>
      <c r="D203">
        <f>IF([1]Accounts!$D$204="","",[1]Accounts!$D$204)</f>
        <v/>
      </c>
      <c r="E203">
        <f>IF([1]Accounts!$D$204="","",[1]Accounts!$E$204)</f>
        <v/>
      </c>
      <c r="F203">
        <f>IF([1]Accounts!$D$204="","",[1]Accounts!$F$204)</f>
        <v/>
      </c>
      <c r="G203">
        <f>IF([1]Accounts!$D$204="","",[1]Accounts!$G$204)</f>
        <v/>
      </c>
      <c r="T203">
        <f>IF([2]Baskol!$B$206="","",[2]Baskol!$B$206)</f>
        <v/>
      </c>
      <c r="U203">
        <f>IF([2]Baskol!$C$206="","",[2]Baskol!$C$206)</f>
        <v/>
      </c>
      <c r="V203">
        <f>IF([2]Baskol!$D$206="","",[2]Baskol!$D$206)</f>
        <v/>
      </c>
      <c r="W203">
        <f>IF([2]Baskol!$E$206="","",[2]Baskol!$E$206)</f>
        <v/>
      </c>
      <c r="X203">
        <f>IF([2]Baskol!$G$206="","",[2]Baskol!$G$206)</f>
        <v/>
      </c>
      <c r="Y203">
        <f>IF([2]Baskol!$I$206="","",[2]Baskol!$I$206)</f>
        <v/>
      </c>
      <c r="Z203">
        <f>IF([2]Baskol!$J$206="","",[2]Baskol!$J$206)</f>
        <v/>
      </c>
      <c r="AA203">
        <f>IF([2]Baskol!$K$206="","",[2]Baskol!$K$206)</f>
        <v/>
      </c>
      <c r="AB203">
        <f>IF([2]Baskol!$L$206="","",[2]Baskol!$L$206)</f>
        <v/>
      </c>
      <c r="AC203">
        <f>IF([2]Baskol!$N$206="","",[2]Baskol!$N$206)</f>
        <v/>
      </c>
      <c r="AD203">
        <f>IF([2]Baskol!$O$206="","",[2]Baskol!$O$206)</f>
        <v/>
      </c>
      <c r="AE203">
        <f>IF([3]Entry!$C$206="","",[3]Entry!$C$206)</f>
        <v/>
      </c>
      <c r="AF203">
        <f>IF([3]Entry!$D$206="","",[3]Entry!$D$206)</f>
        <v/>
      </c>
      <c r="AG203">
        <f>IF([3]Entry!$E$206="","",[3]Entry!$E$206)</f>
        <v/>
      </c>
      <c r="AH203">
        <f>IF([3]Entry!$G$206="","",[3]Entry!$G$206)</f>
        <v/>
      </c>
      <c r="AI203">
        <f>IF([3]Entry!$K$206="","",[3]Entry!$K$206)</f>
        <v/>
      </c>
      <c r="AJ203">
        <f>IF([3]Entry!$L$206="","",[3]Entry!$L$206)</f>
        <v/>
      </c>
      <c r="AK203">
        <f>IF([3]Entry!$M$206="","",[3]Entry!$M$206)</f>
        <v/>
      </c>
      <c r="AL203">
        <f>IF([3]Entry!$N$206="","",[3]Entry!$N$206)</f>
        <v/>
      </c>
      <c r="AM203">
        <f>IF([3]Entry!$R$206="","",[3]Entry!$R$206)</f>
        <v/>
      </c>
    </row>
    <row r="204">
      <c r="A204">
        <f>IF([1]Accounts!$D$205="","",[1]Accounts!$A$205)</f>
        <v/>
      </c>
      <c r="B204">
        <f>IF([1]Accounts!$D$205="","",[1]Accounts!$B$205)</f>
        <v/>
      </c>
      <c r="C204">
        <f>IF([1]Accounts!$D$205="","",[1]Accounts!$C$205)</f>
        <v/>
      </c>
      <c r="D204">
        <f>IF([1]Accounts!$D$205="","",[1]Accounts!$D$205)</f>
        <v/>
      </c>
      <c r="E204">
        <f>IF([1]Accounts!$D$205="","",[1]Accounts!$E$205)</f>
        <v/>
      </c>
      <c r="F204">
        <f>IF([1]Accounts!$D$205="","",[1]Accounts!$F$205)</f>
        <v/>
      </c>
      <c r="G204">
        <f>IF([1]Accounts!$D$205="","",[1]Accounts!$G$205)</f>
        <v/>
      </c>
      <c r="T204">
        <f>IF([2]Baskol!$B$207="","",[2]Baskol!$B$207)</f>
        <v/>
      </c>
      <c r="U204">
        <f>IF([2]Baskol!$C$207="","",[2]Baskol!$C$207)</f>
        <v/>
      </c>
      <c r="V204">
        <f>IF([2]Baskol!$D$207="","",[2]Baskol!$D$207)</f>
        <v/>
      </c>
      <c r="W204">
        <f>IF([2]Baskol!$E$207="","",[2]Baskol!$E$207)</f>
        <v/>
      </c>
      <c r="X204">
        <f>IF([2]Baskol!$G$207="","",[2]Baskol!$G$207)</f>
        <v/>
      </c>
      <c r="Y204">
        <f>IF([2]Baskol!$I$207="","",[2]Baskol!$I$207)</f>
        <v/>
      </c>
      <c r="Z204">
        <f>IF([2]Baskol!$J$207="","",[2]Baskol!$J$207)</f>
        <v/>
      </c>
      <c r="AA204">
        <f>IF([2]Baskol!$K$207="","",[2]Baskol!$K$207)</f>
        <v/>
      </c>
      <c r="AB204">
        <f>IF([2]Baskol!$L$207="","",[2]Baskol!$L$207)</f>
        <v/>
      </c>
      <c r="AC204">
        <f>IF([2]Baskol!$N$207="","",[2]Baskol!$N$207)</f>
        <v/>
      </c>
      <c r="AD204">
        <f>IF([2]Baskol!$O$207="","",[2]Baskol!$O$207)</f>
        <v/>
      </c>
      <c r="AE204">
        <f>IF([3]Entry!$C$207="","",[3]Entry!$C$207)</f>
        <v/>
      </c>
      <c r="AF204">
        <f>IF([3]Entry!$D$207="","",[3]Entry!$D$207)</f>
        <v/>
      </c>
      <c r="AG204">
        <f>IF([3]Entry!$E$207="","",[3]Entry!$E$207)</f>
        <v/>
      </c>
      <c r="AH204">
        <f>IF([3]Entry!$G$207="","",[3]Entry!$G$207)</f>
        <v/>
      </c>
      <c r="AI204">
        <f>IF([3]Entry!$K$207="","",[3]Entry!$K$207)</f>
        <v/>
      </c>
      <c r="AJ204">
        <f>IF([3]Entry!$L$207="","",[3]Entry!$L$207)</f>
        <v/>
      </c>
      <c r="AK204">
        <f>IF([3]Entry!$M$207="","",[3]Entry!$M$207)</f>
        <v/>
      </c>
      <c r="AL204">
        <f>IF([3]Entry!$N$207="","",[3]Entry!$N$207)</f>
        <v/>
      </c>
      <c r="AM204">
        <f>IF([3]Entry!$R$207="","",[3]Entry!$R$207)</f>
        <v/>
      </c>
    </row>
    <row r="205">
      <c r="A205">
        <f>IF([1]Accounts!$D$206="","",[1]Accounts!$A$206)</f>
        <v/>
      </c>
      <c r="B205">
        <f>IF([1]Accounts!$D$206="","",[1]Accounts!$B$206)</f>
        <v/>
      </c>
      <c r="C205">
        <f>IF([1]Accounts!$D$206="","",[1]Accounts!$C$206)</f>
        <v/>
      </c>
      <c r="D205">
        <f>IF([1]Accounts!$D$206="","",[1]Accounts!$D$206)</f>
        <v/>
      </c>
      <c r="E205">
        <f>IF([1]Accounts!$D$206="","",[1]Accounts!$E$206)</f>
        <v/>
      </c>
      <c r="F205">
        <f>IF([1]Accounts!$D$206="","",[1]Accounts!$F$206)</f>
        <v/>
      </c>
      <c r="G205">
        <f>IF([1]Accounts!$D$206="","",[1]Accounts!$G$206)</f>
        <v/>
      </c>
      <c r="T205">
        <f>IF([2]Baskol!$B$208="","",[2]Baskol!$B$208)</f>
        <v/>
      </c>
      <c r="U205">
        <f>IF([2]Baskol!$C$208="","",[2]Baskol!$C$208)</f>
        <v/>
      </c>
      <c r="V205">
        <f>IF([2]Baskol!$D$208="","",[2]Baskol!$D$208)</f>
        <v/>
      </c>
      <c r="W205">
        <f>IF([2]Baskol!$E$208="","",[2]Baskol!$E$208)</f>
        <v/>
      </c>
      <c r="X205">
        <f>IF([2]Baskol!$G$208="","",[2]Baskol!$G$208)</f>
        <v/>
      </c>
      <c r="Y205">
        <f>IF([2]Baskol!$I$208="","",[2]Baskol!$I$208)</f>
        <v/>
      </c>
      <c r="Z205">
        <f>IF([2]Baskol!$J$208="","",[2]Baskol!$J$208)</f>
        <v/>
      </c>
      <c r="AA205">
        <f>IF([2]Baskol!$K$208="","",[2]Baskol!$K$208)</f>
        <v/>
      </c>
      <c r="AB205">
        <f>IF([2]Baskol!$L$208="","",[2]Baskol!$L$208)</f>
        <v/>
      </c>
      <c r="AC205">
        <f>IF([2]Baskol!$N$208="","",[2]Baskol!$N$208)</f>
        <v/>
      </c>
      <c r="AD205">
        <f>IF([2]Baskol!$O$208="","",[2]Baskol!$O$208)</f>
        <v/>
      </c>
      <c r="AE205">
        <f>IF([3]Entry!$C$208="","",[3]Entry!$C$208)</f>
        <v/>
      </c>
      <c r="AF205">
        <f>IF([3]Entry!$D$208="","",[3]Entry!$D$208)</f>
        <v/>
      </c>
      <c r="AG205">
        <f>IF([3]Entry!$E$208="","",[3]Entry!$E$208)</f>
        <v/>
      </c>
      <c r="AH205">
        <f>IF([3]Entry!$G$208="","",[3]Entry!$G$208)</f>
        <v/>
      </c>
      <c r="AI205">
        <f>IF([3]Entry!$K$208="","",[3]Entry!$K$208)</f>
        <v/>
      </c>
      <c r="AJ205">
        <f>IF([3]Entry!$L$208="","",[3]Entry!$L$208)</f>
        <v/>
      </c>
      <c r="AK205">
        <f>IF([3]Entry!$M$208="","",[3]Entry!$M$208)</f>
        <v/>
      </c>
      <c r="AL205">
        <f>IF([3]Entry!$N$208="","",[3]Entry!$N$208)</f>
        <v/>
      </c>
      <c r="AM205">
        <f>IF([3]Entry!$R$208="","",[3]Entry!$R$208)</f>
        <v/>
      </c>
    </row>
    <row r="206">
      <c r="A206">
        <f>IF([1]Accounts!$D$207="","",[1]Accounts!$A$207)</f>
        <v/>
      </c>
      <c r="B206">
        <f>IF([1]Accounts!$D$207="","",[1]Accounts!$B$207)</f>
        <v/>
      </c>
      <c r="C206">
        <f>IF([1]Accounts!$D$207="","",[1]Accounts!$C$207)</f>
        <v/>
      </c>
      <c r="D206">
        <f>IF([1]Accounts!$D$207="","",[1]Accounts!$D$207)</f>
        <v/>
      </c>
      <c r="E206">
        <f>IF([1]Accounts!$D$207="","",[1]Accounts!$E$207)</f>
        <v/>
      </c>
      <c r="F206">
        <f>IF([1]Accounts!$D$207="","",[1]Accounts!$F$207)</f>
        <v/>
      </c>
      <c r="G206">
        <f>IF([1]Accounts!$D$207="","",[1]Accounts!$G$207)</f>
        <v/>
      </c>
      <c r="T206">
        <f>IF([2]Baskol!$B$209="","",[2]Baskol!$B$209)</f>
        <v/>
      </c>
      <c r="U206">
        <f>IF([2]Baskol!$C$209="","",[2]Baskol!$C$209)</f>
        <v/>
      </c>
      <c r="V206">
        <f>IF([2]Baskol!$D$209="","",[2]Baskol!$D$209)</f>
        <v/>
      </c>
      <c r="W206">
        <f>IF([2]Baskol!$E$209="","",[2]Baskol!$E$209)</f>
        <v/>
      </c>
      <c r="X206">
        <f>IF([2]Baskol!$G$209="","",[2]Baskol!$G$209)</f>
        <v/>
      </c>
      <c r="Y206">
        <f>IF([2]Baskol!$I$209="","",[2]Baskol!$I$209)</f>
        <v/>
      </c>
      <c r="Z206">
        <f>IF([2]Baskol!$J$209="","",[2]Baskol!$J$209)</f>
        <v/>
      </c>
      <c r="AA206">
        <f>IF([2]Baskol!$K$209="","",[2]Baskol!$K$209)</f>
        <v/>
      </c>
      <c r="AB206">
        <f>IF([2]Baskol!$L$209="","",[2]Baskol!$L$209)</f>
        <v/>
      </c>
      <c r="AC206">
        <f>IF([2]Baskol!$N$209="","",[2]Baskol!$N$209)</f>
        <v/>
      </c>
      <c r="AD206">
        <f>IF([2]Baskol!$O$209="","",[2]Baskol!$O$209)</f>
        <v/>
      </c>
      <c r="AE206">
        <f>IF([3]Entry!$C$209="","",[3]Entry!$C$209)</f>
        <v/>
      </c>
      <c r="AF206">
        <f>IF([3]Entry!$D$209="","",[3]Entry!$D$209)</f>
        <v/>
      </c>
      <c r="AG206">
        <f>IF([3]Entry!$E$209="","",[3]Entry!$E$209)</f>
        <v/>
      </c>
      <c r="AH206">
        <f>IF([3]Entry!$G$209="","",[3]Entry!$G$209)</f>
        <v/>
      </c>
      <c r="AI206">
        <f>IF([3]Entry!$K$209="","",[3]Entry!$K$209)</f>
        <v/>
      </c>
      <c r="AJ206">
        <f>IF([3]Entry!$L$209="","",[3]Entry!$L$209)</f>
        <v/>
      </c>
      <c r="AK206">
        <f>IF([3]Entry!$M$209="","",[3]Entry!$M$209)</f>
        <v/>
      </c>
      <c r="AL206">
        <f>IF([3]Entry!$N$209="","",[3]Entry!$N$209)</f>
        <v/>
      </c>
      <c r="AM206">
        <f>IF([3]Entry!$R$209="","",[3]Entry!$R$209)</f>
        <v/>
      </c>
    </row>
    <row r="207">
      <c r="A207">
        <f>IF([1]Accounts!$D$208="","",[1]Accounts!$A$208)</f>
        <v/>
      </c>
      <c r="B207">
        <f>IF([1]Accounts!$D$208="","",[1]Accounts!$B$208)</f>
        <v/>
      </c>
      <c r="C207">
        <f>IF([1]Accounts!$D$208="","",[1]Accounts!$C$208)</f>
        <v/>
      </c>
      <c r="D207">
        <f>IF([1]Accounts!$D$208="","",[1]Accounts!$D$208)</f>
        <v/>
      </c>
      <c r="E207">
        <f>IF([1]Accounts!$D$208="","",[1]Accounts!$E$208)</f>
        <v/>
      </c>
      <c r="F207">
        <f>IF([1]Accounts!$D$208="","",[1]Accounts!$F$208)</f>
        <v/>
      </c>
      <c r="G207">
        <f>IF([1]Accounts!$D$208="","",[1]Accounts!$G$208)</f>
        <v/>
      </c>
      <c r="T207">
        <f>IF([2]Baskol!$B$210="","",[2]Baskol!$B$210)</f>
        <v/>
      </c>
      <c r="U207">
        <f>IF([2]Baskol!$C$210="","",[2]Baskol!$C$210)</f>
        <v/>
      </c>
      <c r="V207">
        <f>IF([2]Baskol!$D$210="","",[2]Baskol!$D$210)</f>
        <v/>
      </c>
      <c r="W207">
        <f>IF([2]Baskol!$E$210="","",[2]Baskol!$E$210)</f>
        <v/>
      </c>
      <c r="X207">
        <f>IF([2]Baskol!$G$210="","",[2]Baskol!$G$210)</f>
        <v/>
      </c>
      <c r="Y207">
        <f>IF([2]Baskol!$I$210="","",[2]Baskol!$I$210)</f>
        <v/>
      </c>
      <c r="Z207">
        <f>IF([2]Baskol!$J$210="","",[2]Baskol!$J$210)</f>
        <v/>
      </c>
      <c r="AA207">
        <f>IF([2]Baskol!$K$210="","",[2]Baskol!$K$210)</f>
        <v/>
      </c>
      <c r="AB207">
        <f>IF([2]Baskol!$L$210="","",[2]Baskol!$L$210)</f>
        <v/>
      </c>
      <c r="AC207">
        <f>IF([2]Baskol!$N$210="","",[2]Baskol!$N$210)</f>
        <v/>
      </c>
      <c r="AD207">
        <f>IF([2]Baskol!$O$210="","",[2]Baskol!$O$210)</f>
        <v/>
      </c>
      <c r="AE207">
        <f>IF([3]Entry!$C$210="","",[3]Entry!$C$210)</f>
        <v/>
      </c>
      <c r="AF207">
        <f>IF([3]Entry!$D$210="","",[3]Entry!$D$210)</f>
        <v/>
      </c>
      <c r="AG207">
        <f>IF([3]Entry!$E$210="","",[3]Entry!$E$210)</f>
        <v/>
      </c>
      <c r="AH207">
        <f>IF([3]Entry!$G$210="","",[3]Entry!$G$210)</f>
        <v/>
      </c>
      <c r="AI207">
        <f>IF([3]Entry!$K$210="","",[3]Entry!$K$210)</f>
        <v/>
      </c>
      <c r="AJ207">
        <f>IF([3]Entry!$L$210="","",[3]Entry!$L$210)</f>
        <v/>
      </c>
      <c r="AK207">
        <f>IF([3]Entry!$M$210="","",[3]Entry!$M$210)</f>
        <v/>
      </c>
      <c r="AL207">
        <f>IF([3]Entry!$N$210="","",[3]Entry!$N$210)</f>
        <v/>
      </c>
      <c r="AM207">
        <f>IF([3]Entry!$R$210="","",[3]Entry!$R$210)</f>
        <v/>
      </c>
    </row>
    <row r="208">
      <c r="A208">
        <f>IF([1]Accounts!$D$209="","",[1]Accounts!$A$209)</f>
        <v/>
      </c>
      <c r="B208">
        <f>IF([1]Accounts!$D$209="","",[1]Accounts!$B$209)</f>
        <v/>
      </c>
      <c r="C208">
        <f>IF([1]Accounts!$D$209="","",[1]Accounts!$C$209)</f>
        <v/>
      </c>
      <c r="D208">
        <f>IF([1]Accounts!$D$209="","",[1]Accounts!$D$209)</f>
        <v/>
      </c>
      <c r="E208">
        <f>IF([1]Accounts!$D$209="","",[1]Accounts!$E$209)</f>
        <v/>
      </c>
      <c r="F208">
        <f>IF([1]Accounts!$D$209="","",[1]Accounts!$F$209)</f>
        <v/>
      </c>
      <c r="G208">
        <f>IF([1]Accounts!$D$209="","",[1]Accounts!$G$209)</f>
        <v/>
      </c>
      <c r="T208">
        <f>IF([2]Baskol!$B$211="","",[2]Baskol!$B$211)</f>
        <v/>
      </c>
      <c r="U208">
        <f>IF([2]Baskol!$C$211="","",[2]Baskol!$C$211)</f>
        <v/>
      </c>
      <c r="V208">
        <f>IF([2]Baskol!$D$211="","",[2]Baskol!$D$211)</f>
        <v/>
      </c>
      <c r="W208">
        <f>IF([2]Baskol!$E$211="","",[2]Baskol!$E$211)</f>
        <v/>
      </c>
      <c r="X208">
        <f>IF([2]Baskol!$G$211="","",[2]Baskol!$G$211)</f>
        <v/>
      </c>
      <c r="Y208">
        <f>IF([2]Baskol!$I$211="","",[2]Baskol!$I$211)</f>
        <v/>
      </c>
      <c r="Z208">
        <f>IF([2]Baskol!$J$211="","",[2]Baskol!$J$211)</f>
        <v/>
      </c>
      <c r="AA208">
        <f>IF([2]Baskol!$K$211="","",[2]Baskol!$K$211)</f>
        <v/>
      </c>
      <c r="AB208">
        <f>IF([2]Baskol!$L$211="","",[2]Baskol!$L$211)</f>
        <v/>
      </c>
      <c r="AC208">
        <f>IF([2]Baskol!$N$211="","",[2]Baskol!$N$211)</f>
        <v/>
      </c>
      <c r="AD208">
        <f>IF([2]Baskol!$O$211="","",[2]Baskol!$O$211)</f>
        <v/>
      </c>
      <c r="AE208">
        <f>IF([3]Entry!$C$211="","",[3]Entry!$C$211)</f>
        <v/>
      </c>
      <c r="AF208">
        <f>IF([3]Entry!$D$211="","",[3]Entry!$D$211)</f>
        <v/>
      </c>
      <c r="AG208">
        <f>IF([3]Entry!$E$211="","",[3]Entry!$E$211)</f>
        <v/>
      </c>
      <c r="AH208">
        <f>IF([3]Entry!$G$211="","",[3]Entry!$G$211)</f>
        <v/>
      </c>
      <c r="AI208">
        <f>IF([3]Entry!$K$211="","",[3]Entry!$K$211)</f>
        <v/>
      </c>
      <c r="AJ208">
        <f>IF([3]Entry!$L$211="","",[3]Entry!$L$211)</f>
        <v/>
      </c>
      <c r="AK208">
        <f>IF([3]Entry!$M$211="","",[3]Entry!$M$211)</f>
        <v/>
      </c>
      <c r="AL208">
        <f>IF([3]Entry!$N$211="","",[3]Entry!$N$211)</f>
        <v/>
      </c>
      <c r="AM208">
        <f>IF([3]Entry!$R$211="","",[3]Entry!$R$211)</f>
        <v/>
      </c>
    </row>
    <row r="209">
      <c r="A209">
        <f>IF([1]Accounts!$D$210="","",[1]Accounts!$A$210)</f>
        <v/>
      </c>
      <c r="B209">
        <f>IF([1]Accounts!$D$210="","",[1]Accounts!$B$210)</f>
        <v/>
      </c>
      <c r="C209">
        <f>IF([1]Accounts!$D$210="","",[1]Accounts!$C$210)</f>
        <v/>
      </c>
      <c r="D209">
        <f>IF([1]Accounts!$D$210="","",[1]Accounts!$D$210)</f>
        <v/>
      </c>
      <c r="E209">
        <f>IF([1]Accounts!$D$210="","",[1]Accounts!$E$210)</f>
        <v/>
      </c>
      <c r="F209">
        <f>IF([1]Accounts!$D$210="","",[1]Accounts!$F$210)</f>
        <v/>
      </c>
      <c r="G209">
        <f>IF([1]Accounts!$D$210="","",[1]Accounts!$G$210)</f>
        <v/>
      </c>
      <c r="T209">
        <f>IF([2]Baskol!$B$212="","",[2]Baskol!$B$212)</f>
        <v/>
      </c>
      <c r="U209">
        <f>IF([2]Baskol!$C$212="","",[2]Baskol!$C$212)</f>
        <v/>
      </c>
      <c r="V209">
        <f>IF([2]Baskol!$D$212="","",[2]Baskol!$D$212)</f>
        <v/>
      </c>
      <c r="W209">
        <f>IF([2]Baskol!$E$212="","",[2]Baskol!$E$212)</f>
        <v/>
      </c>
      <c r="X209">
        <f>IF([2]Baskol!$G$212="","",[2]Baskol!$G$212)</f>
        <v/>
      </c>
      <c r="Y209">
        <f>IF([2]Baskol!$I$212="","",[2]Baskol!$I$212)</f>
        <v/>
      </c>
      <c r="Z209">
        <f>IF([2]Baskol!$J$212="","",[2]Baskol!$J$212)</f>
        <v/>
      </c>
      <c r="AA209">
        <f>IF([2]Baskol!$K$212="","",[2]Baskol!$K$212)</f>
        <v/>
      </c>
      <c r="AB209">
        <f>IF([2]Baskol!$L$212="","",[2]Baskol!$L$212)</f>
        <v/>
      </c>
      <c r="AC209">
        <f>IF([2]Baskol!$N$212="","",[2]Baskol!$N$212)</f>
        <v/>
      </c>
      <c r="AD209">
        <f>IF([2]Baskol!$O$212="","",[2]Baskol!$O$212)</f>
        <v/>
      </c>
      <c r="AE209">
        <f>IF([3]Entry!$C$212="","",[3]Entry!$C$212)</f>
        <v/>
      </c>
      <c r="AF209">
        <f>IF([3]Entry!$D$212="","",[3]Entry!$D$212)</f>
        <v/>
      </c>
      <c r="AG209">
        <f>IF([3]Entry!$E$212="","",[3]Entry!$E$212)</f>
        <v/>
      </c>
      <c r="AH209">
        <f>IF([3]Entry!$G$212="","",[3]Entry!$G$212)</f>
        <v/>
      </c>
      <c r="AI209">
        <f>IF([3]Entry!$K$212="","",[3]Entry!$K$212)</f>
        <v/>
      </c>
      <c r="AJ209">
        <f>IF([3]Entry!$L$212="","",[3]Entry!$L$212)</f>
        <v/>
      </c>
      <c r="AK209">
        <f>IF([3]Entry!$M$212="","",[3]Entry!$M$212)</f>
        <v/>
      </c>
      <c r="AL209">
        <f>IF([3]Entry!$N$212="","",[3]Entry!$N$212)</f>
        <v/>
      </c>
      <c r="AM209">
        <f>IF([3]Entry!$R$212="","",[3]Entry!$R$212)</f>
        <v/>
      </c>
    </row>
    <row r="210">
      <c r="A210">
        <f>IF([1]Accounts!$D$211="","",[1]Accounts!$A$211)</f>
        <v/>
      </c>
      <c r="B210">
        <f>IF([1]Accounts!$D$211="","",[1]Accounts!$B$211)</f>
        <v/>
      </c>
      <c r="C210">
        <f>IF([1]Accounts!$D$211="","",[1]Accounts!$C$211)</f>
        <v/>
      </c>
      <c r="D210">
        <f>IF([1]Accounts!$D$211="","",[1]Accounts!$D$211)</f>
        <v/>
      </c>
      <c r="E210">
        <f>IF([1]Accounts!$D$211="","",[1]Accounts!$E$211)</f>
        <v/>
      </c>
      <c r="F210">
        <f>IF([1]Accounts!$D$211="","",[1]Accounts!$F$211)</f>
        <v/>
      </c>
      <c r="G210">
        <f>IF([1]Accounts!$D$211="","",[1]Accounts!$G$211)</f>
        <v/>
      </c>
      <c r="T210">
        <f>IF([2]Baskol!$B$213="","",[2]Baskol!$B$213)</f>
        <v/>
      </c>
      <c r="U210">
        <f>IF([2]Baskol!$C$213="","",[2]Baskol!$C$213)</f>
        <v/>
      </c>
      <c r="V210">
        <f>IF([2]Baskol!$D$213="","",[2]Baskol!$D$213)</f>
        <v/>
      </c>
      <c r="W210">
        <f>IF([2]Baskol!$E$213="","",[2]Baskol!$E$213)</f>
        <v/>
      </c>
      <c r="X210">
        <f>IF([2]Baskol!$G$213="","",[2]Baskol!$G$213)</f>
        <v/>
      </c>
      <c r="Y210">
        <f>IF([2]Baskol!$I$213="","",[2]Baskol!$I$213)</f>
        <v/>
      </c>
      <c r="Z210">
        <f>IF([2]Baskol!$J$213="","",[2]Baskol!$J$213)</f>
        <v/>
      </c>
      <c r="AA210">
        <f>IF([2]Baskol!$K$213="","",[2]Baskol!$K$213)</f>
        <v/>
      </c>
      <c r="AB210">
        <f>IF([2]Baskol!$L$213="","",[2]Baskol!$L$213)</f>
        <v/>
      </c>
      <c r="AC210">
        <f>IF([2]Baskol!$N$213="","",[2]Baskol!$N$213)</f>
        <v/>
      </c>
      <c r="AD210">
        <f>IF([2]Baskol!$O$213="","",[2]Baskol!$O$213)</f>
        <v/>
      </c>
      <c r="AE210">
        <f>IF([3]Entry!$C$213="","",[3]Entry!$C$213)</f>
        <v/>
      </c>
      <c r="AF210">
        <f>IF([3]Entry!$D$213="","",[3]Entry!$D$213)</f>
        <v/>
      </c>
      <c r="AG210">
        <f>IF([3]Entry!$E$213="","",[3]Entry!$E$213)</f>
        <v/>
      </c>
      <c r="AH210">
        <f>IF([3]Entry!$G$213="","",[3]Entry!$G$213)</f>
        <v/>
      </c>
      <c r="AI210">
        <f>IF([3]Entry!$K$213="","",[3]Entry!$K$213)</f>
        <v/>
      </c>
      <c r="AJ210">
        <f>IF([3]Entry!$L$213="","",[3]Entry!$L$213)</f>
        <v/>
      </c>
      <c r="AK210">
        <f>IF([3]Entry!$M$213="","",[3]Entry!$M$213)</f>
        <v/>
      </c>
      <c r="AL210">
        <f>IF([3]Entry!$N$213="","",[3]Entry!$N$213)</f>
        <v/>
      </c>
      <c r="AM210">
        <f>IF([3]Entry!$R$213="","",[3]Entry!$R$213)</f>
        <v/>
      </c>
    </row>
    <row r="211">
      <c r="A211">
        <f>IF([1]Accounts!$D$212="","",[1]Accounts!$A$212)</f>
        <v/>
      </c>
      <c r="B211">
        <f>IF([1]Accounts!$D$212="","",[1]Accounts!$B$212)</f>
        <v/>
      </c>
      <c r="C211">
        <f>IF([1]Accounts!$D$212="","",[1]Accounts!$C$212)</f>
        <v/>
      </c>
      <c r="D211">
        <f>IF([1]Accounts!$D$212="","",[1]Accounts!$D$212)</f>
        <v/>
      </c>
      <c r="E211">
        <f>IF([1]Accounts!$D$212="","",[1]Accounts!$E$212)</f>
        <v/>
      </c>
      <c r="F211">
        <f>IF([1]Accounts!$D$212="","",[1]Accounts!$F$212)</f>
        <v/>
      </c>
      <c r="G211">
        <f>IF([1]Accounts!$D$212="","",[1]Accounts!$G$212)</f>
        <v/>
      </c>
      <c r="T211">
        <f>IF([2]Baskol!$B$214="","",[2]Baskol!$B$214)</f>
        <v/>
      </c>
      <c r="U211">
        <f>IF([2]Baskol!$C$214="","",[2]Baskol!$C$214)</f>
        <v/>
      </c>
      <c r="V211">
        <f>IF([2]Baskol!$D$214="","",[2]Baskol!$D$214)</f>
        <v/>
      </c>
      <c r="W211">
        <f>IF([2]Baskol!$E$214="","",[2]Baskol!$E$214)</f>
        <v/>
      </c>
      <c r="X211">
        <f>IF([2]Baskol!$G$214="","",[2]Baskol!$G$214)</f>
        <v/>
      </c>
      <c r="Y211">
        <f>IF([2]Baskol!$I$214="","",[2]Baskol!$I$214)</f>
        <v/>
      </c>
      <c r="Z211">
        <f>IF([2]Baskol!$J$214="","",[2]Baskol!$J$214)</f>
        <v/>
      </c>
      <c r="AA211">
        <f>IF([2]Baskol!$K$214="","",[2]Baskol!$K$214)</f>
        <v/>
      </c>
      <c r="AB211">
        <f>IF([2]Baskol!$L$214="","",[2]Baskol!$L$214)</f>
        <v/>
      </c>
      <c r="AC211">
        <f>IF([2]Baskol!$N$214="","",[2]Baskol!$N$214)</f>
        <v/>
      </c>
      <c r="AD211">
        <f>IF([2]Baskol!$O$214="","",[2]Baskol!$O$214)</f>
        <v/>
      </c>
      <c r="AE211">
        <f>IF([3]Entry!$C$214="","",[3]Entry!$C$214)</f>
        <v/>
      </c>
      <c r="AF211">
        <f>IF([3]Entry!$D$214="","",[3]Entry!$D$214)</f>
        <v/>
      </c>
      <c r="AG211">
        <f>IF([3]Entry!$E$214="","",[3]Entry!$E$214)</f>
        <v/>
      </c>
      <c r="AH211">
        <f>IF([3]Entry!$G$214="","",[3]Entry!$G$214)</f>
        <v/>
      </c>
      <c r="AI211">
        <f>IF([3]Entry!$K$214="","",[3]Entry!$K$214)</f>
        <v/>
      </c>
      <c r="AJ211">
        <f>IF([3]Entry!$L$214="","",[3]Entry!$L$214)</f>
        <v/>
      </c>
      <c r="AK211">
        <f>IF([3]Entry!$M$214="","",[3]Entry!$M$214)</f>
        <v/>
      </c>
      <c r="AL211">
        <f>IF([3]Entry!$N$214="","",[3]Entry!$N$214)</f>
        <v/>
      </c>
      <c r="AM211">
        <f>IF([3]Entry!$R$214="","",[3]Entry!$R$214)</f>
        <v/>
      </c>
    </row>
    <row r="212">
      <c r="A212">
        <f>IF([1]Accounts!$D$213="","",[1]Accounts!$A$213)</f>
        <v/>
      </c>
      <c r="B212">
        <f>IF([1]Accounts!$D$213="","",[1]Accounts!$B$213)</f>
        <v/>
      </c>
      <c r="C212">
        <f>IF([1]Accounts!$D$213="","",[1]Accounts!$C$213)</f>
        <v/>
      </c>
      <c r="D212">
        <f>IF([1]Accounts!$D$213="","",[1]Accounts!$D$213)</f>
        <v/>
      </c>
      <c r="E212">
        <f>IF([1]Accounts!$D$213="","",[1]Accounts!$E$213)</f>
        <v/>
      </c>
      <c r="F212">
        <f>IF([1]Accounts!$D$213="","",[1]Accounts!$F$213)</f>
        <v/>
      </c>
      <c r="G212">
        <f>IF([1]Accounts!$D$213="","",[1]Accounts!$G$213)</f>
        <v/>
      </c>
      <c r="T212">
        <f>IF([2]Baskol!$B$215="","",[2]Baskol!$B$215)</f>
        <v/>
      </c>
      <c r="U212">
        <f>IF([2]Baskol!$C$215="","",[2]Baskol!$C$215)</f>
        <v/>
      </c>
      <c r="V212">
        <f>IF([2]Baskol!$D$215="","",[2]Baskol!$D$215)</f>
        <v/>
      </c>
      <c r="W212">
        <f>IF([2]Baskol!$E$215="","",[2]Baskol!$E$215)</f>
        <v/>
      </c>
      <c r="X212">
        <f>IF([2]Baskol!$G$215="","",[2]Baskol!$G$215)</f>
        <v/>
      </c>
      <c r="Y212">
        <f>IF([2]Baskol!$I$215="","",[2]Baskol!$I$215)</f>
        <v/>
      </c>
      <c r="Z212">
        <f>IF([2]Baskol!$J$215="","",[2]Baskol!$J$215)</f>
        <v/>
      </c>
      <c r="AA212">
        <f>IF([2]Baskol!$K$215="","",[2]Baskol!$K$215)</f>
        <v/>
      </c>
      <c r="AB212">
        <f>IF([2]Baskol!$L$215="","",[2]Baskol!$L$215)</f>
        <v/>
      </c>
      <c r="AC212">
        <f>IF([2]Baskol!$N$215="","",[2]Baskol!$N$215)</f>
        <v/>
      </c>
      <c r="AD212">
        <f>IF([2]Baskol!$O$215="","",[2]Baskol!$O$215)</f>
        <v/>
      </c>
      <c r="AE212">
        <f>IF([3]Entry!$C$215="","",[3]Entry!$C$215)</f>
        <v/>
      </c>
      <c r="AF212">
        <f>IF([3]Entry!$D$215="","",[3]Entry!$D$215)</f>
        <v/>
      </c>
      <c r="AG212">
        <f>IF([3]Entry!$E$215="","",[3]Entry!$E$215)</f>
        <v/>
      </c>
      <c r="AH212">
        <f>IF([3]Entry!$G$215="","",[3]Entry!$G$215)</f>
        <v/>
      </c>
      <c r="AI212">
        <f>IF([3]Entry!$K$215="","",[3]Entry!$K$215)</f>
        <v/>
      </c>
      <c r="AJ212">
        <f>IF([3]Entry!$L$215="","",[3]Entry!$L$215)</f>
        <v/>
      </c>
      <c r="AK212">
        <f>IF([3]Entry!$M$215="","",[3]Entry!$M$215)</f>
        <v/>
      </c>
      <c r="AL212">
        <f>IF([3]Entry!$N$215="","",[3]Entry!$N$215)</f>
        <v/>
      </c>
      <c r="AM212">
        <f>IF([3]Entry!$R$215="","",[3]Entry!$R$215)</f>
        <v/>
      </c>
    </row>
    <row r="213">
      <c r="A213">
        <f>IF([1]Accounts!$D$214="","",[1]Accounts!$A$214)</f>
        <v/>
      </c>
      <c r="B213">
        <f>IF([1]Accounts!$D$214="","",[1]Accounts!$B$214)</f>
        <v/>
      </c>
      <c r="C213">
        <f>IF([1]Accounts!$D$214="","",[1]Accounts!$C$214)</f>
        <v/>
      </c>
      <c r="D213">
        <f>IF([1]Accounts!$D$214="","",[1]Accounts!$D$214)</f>
        <v/>
      </c>
      <c r="E213">
        <f>IF([1]Accounts!$D$214="","",[1]Accounts!$E$214)</f>
        <v/>
      </c>
      <c r="F213">
        <f>IF([1]Accounts!$D$214="","",[1]Accounts!$F$214)</f>
        <v/>
      </c>
      <c r="G213">
        <f>IF([1]Accounts!$D$214="","",[1]Accounts!$G$214)</f>
        <v/>
      </c>
      <c r="T213">
        <f>IF([2]Baskol!$B$216="","",[2]Baskol!$B$216)</f>
        <v/>
      </c>
      <c r="U213">
        <f>IF([2]Baskol!$C$216="","",[2]Baskol!$C$216)</f>
        <v/>
      </c>
      <c r="V213">
        <f>IF([2]Baskol!$D$216="","",[2]Baskol!$D$216)</f>
        <v/>
      </c>
      <c r="W213">
        <f>IF([2]Baskol!$E$216="","",[2]Baskol!$E$216)</f>
        <v/>
      </c>
      <c r="X213">
        <f>IF([2]Baskol!$G$216="","",[2]Baskol!$G$216)</f>
        <v/>
      </c>
      <c r="Y213">
        <f>IF([2]Baskol!$I$216="","",[2]Baskol!$I$216)</f>
        <v/>
      </c>
      <c r="Z213">
        <f>IF([2]Baskol!$J$216="","",[2]Baskol!$J$216)</f>
        <v/>
      </c>
      <c r="AA213">
        <f>IF([2]Baskol!$K$216="","",[2]Baskol!$K$216)</f>
        <v/>
      </c>
      <c r="AB213">
        <f>IF([2]Baskol!$L$216="","",[2]Baskol!$L$216)</f>
        <v/>
      </c>
      <c r="AC213">
        <f>IF([2]Baskol!$N$216="","",[2]Baskol!$N$216)</f>
        <v/>
      </c>
      <c r="AD213">
        <f>IF([2]Baskol!$O$216="","",[2]Baskol!$O$216)</f>
        <v/>
      </c>
      <c r="AE213">
        <f>IF([3]Entry!$C$216="","",[3]Entry!$C$216)</f>
        <v/>
      </c>
      <c r="AF213">
        <f>IF([3]Entry!$D$216="","",[3]Entry!$D$216)</f>
        <v/>
      </c>
      <c r="AG213">
        <f>IF([3]Entry!$E$216="","",[3]Entry!$E$216)</f>
        <v/>
      </c>
      <c r="AH213">
        <f>IF([3]Entry!$G$216="","",[3]Entry!$G$216)</f>
        <v/>
      </c>
      <c r="AI213">
        <f>IF([3]Entry!$K$216="","",[3]Entry!$K$216)</f>
        <v/>
      </c>
      <c r="AJ213">
        <f>IF([3]Entry!$L$216="","",[3]Entry!$L$216)</f>
        <v/>
      </c>
      <c r="AK213">
        <f>IF([3]Entry!$M$216="","",[3]Entry!$M$216)</f>
        <v/>
      </c>
      <c r="AL213">
        <f>IF([3]Entry!$N$216="","",[3]Entry!$N$216)</f>
        <v/>
      </c>
      <c r="AM213">
        <f>IF([3]Entry!$R$216="","",[3]Entry!$R$216)</f>
        <v/>
      </c>
    </row>
    <row r="214">
      <c r="A214">
        <f>IF([1]Accounts!$D$215="","",[1]Accounts!$A$215)</f>
        <v/>
      </c>
      <c r="B214">
        <f>IF([1]Accounts!$D$215="","",[1]Accounts!$B$215)</f>
        <v/>
      </c>
      <c r="C214">
        <f>IF([1]Accounts!$D$215="","",[1]Accounts!$C$215)</f>
        <v/>
      </c>
      <c r="D214">
        <f>IF([1]Accounts!$D$215="","",[1]Accounts!$D$215)</f>
        <v/>
      </c>
      <c r="E214">
        <f>IF([1]Accounts!$D$215="","",[1]Accounts!$E$215)</f>
        <v/>
      </c>
      <c r="F214">
        <f>IF([1]Accounts!$D$215="","",[1]Accounts!$F$215)</f>
        <v/>
      </c>
      <c r="G214">
        <f>IF([1]Accounts!$D$215="","",[1]Accounts!$G$215)</f>
        <v/>
      </c>
      <c r="T214">
        <f>IF([2]Baskol!$B$217="","",[2]Baskol!$B$217)</f>
        <v/>
      </c>
      <c r="U214">
        <f>IF([2]Baskol!$C$217="","",[2]Baskol!$C$217)</f>
        <v/>
      </c>
      <c r="V214">
        <f>IF([2]Baskol!$D$217="","",[2]Baskol!$D$217)</f>
        <v/>
      </c>
      <c r="W214">
        <f>IF([2]Baskol!$E$217="","",[2]Baskol!$E$217)</f>
        <v/>
      </c>
      <c r="X214">
        <f>IF([2]Baskol!$G$217="","",[2]Baskol!$G$217)</f>
        <v/>
      </c>
      <c r="Y214">
        <f>IF([2]Baskol!$I$217="","",[2]Baskol!$I$217)</f>
        <v/>
      </c>
      <c r="Z214">
        <f>IF([2]Baskol!$J$217="","",[2]Baskol!$J$217)</f>
        <v/>
      </c>
      <c r="AA214">
        <f>IF([2]Baskol!$K$217="","",[2]Baskol!$K$217)</f>
        <v/>
      </c>
      <c r="AB214">
        <f>IF([2]Baskol!$L$217="","",[2]Baskol!$L$217)</f>
        <v/>
      </c>
      <c r="AC214">
        <f>IF([2]Baskol!$N$217="","",[2]Baskol!$N$217)</f>
        <v/>
      </c>
      <c r="AD214">
        <f>IF([2]Baskol!$O$217="","",[2]Baskol!$O$217)</f>
        <v/>
      </c>
      <c r="AE214">
        <f>IF([3]Entry!$C$217="","",[3]Entry!$C$217)</f>
        <v/>
      </c>
      <c r="AF214">
        <f>IF([3]Entry!$D$217="","",[3]Entry!$D$217)</f>
        <v/>
      </c>
      <c r="AG214">
        <f>IF([3]Entry!$E$217="","",[3]Entry!$E$217)</f>
        <v/>
      </c>
      <c r="AH214">
        <f>IF([3]Entry!$G$217="","",[3]Entry!$G$217)</f>
        <v/>
      </c>
      <c r="AI214">
        <f>IF([3]Entry!$K$217="","",[3]Entry!$K$217)</f>
        <v/>
      </c>
      <c r="AJ214">
        <f>IF([3]Entry!$L$217="","",[3]Entry!$L$217)</f>
        <v/>
      </c>
      <c r="AK214">
        <f>IF([3]Entry!$M$217="","",[3]Entry!$M$217)</f>
        <v/>
      </c>
      <c r="AL214">
        <f>IF([3]Entry!$N$217="","",[3]Entry!$N$217)</f>
        <v/>
      </c>
      <c r="AM214">
        <f>IF([3]Entry!$R$217="","",[3]Entry!$R$217)</f>
        <v/>
      </c>
    </row>
    <row r="215">
      <c r="A215">
        <f>IF([1]Accounts!$D$216="","",[1]Accounts!$A$216)</f>
        <v/>
      </c>
      <c r="B215">
        <f>IF([1]Accounts!$D$216="","",[1]Accounts!$B$216)</f>
        <v/>
      </c>
      <c r="C215">
        <f>IF([1]Accounts!$D$216="","",[1]Accounts!$C$216)</f>
        <v/>
      </c>
      <c r="D215">
        <f>IF([1]Accounts!$D$216="","",[1]Accounts!$D$216)</f>
        <v/>
      </c>
      <c r="E215">
        <f>IF([1]Accounts!$D$216="","",[1]Accounts!$E$216)</f>
        <v/>
      </c>
      <c r="F215">
        <f>IF([1]Accounts!$D$216="","",[1]Accounts!$F$216)</f>
        <v/>
      </c>
      <c r="G215">
        <f>IF([1]Accounts!$D$216="","",[1]Accounts!$G$216)</f>
        <v/>
      </c>
      <c r="T215">
        <f>IF([2]Baskol!$B$218="","",[2]Baskol!$B$218)</f>
        <v/>
      </c>
      <c r="U215">
        <f>IF([2]Baskol!$C$218="","",[2]Baskol!$C$218)</f>
        <v/>
      </c>
      <c r="V215">
        <f>IF([2]Baskol!$D$218="","",[2]Baskol!$D$218)</f>
        <v/>
      </c>
      <c r="W215">
        <f>IF([2]Baskol!$E$218="","",[2]Baskol!$E$218)</f>
        <v/>
      </c>
      <c r="X215">
        <f>IF([2]Baskol!$G$218="","",[2]Baskol!$G$218)</f>
        <v/>
      </c>
      <c r="Y215">
        <f>IF([2]Baskol!$I$218="","",[2]Baskol!$I$218)</f>
        <v/>
      </c>
      <c r="Z215">
        <f>IF([2]Baskol!$J$218="","",[2]Baskol!$J$218)</f>
        <v/>
      </c>
      <c r="AA215">
        <f>IF([2]Baskol!$K$218="","",[2]Baskol!$K$218)</f>
        <v/>
      </c>
      <c r="AB215">
        <f>IF([2]Baskol!$L$218="","",[2]Baskol!$L$218)</f>
        <v/>
      </c>
      <c r="AC215">
        <f>IF([2]Baskol!$N$218="","",[2]Baskol!$N$218)</f>
        <v/>
      </c>
      <c r="AD215">
        <f>IF([2]Baskol!$O$218="","",[2]Baskol!$O$218)</f>
        <v/>
      </c>
      <c r="AE215">
        <f>IF([3]Entry!$C$218="","",[3]Entry!$C$218)</f>
        <v/>
      </c>
      <c r="AF215">
        <f>IF([3]Entry!$D$218="","",[3]Entry!$D$218)</f>
        <v/>
      </c>
      <c r="AG215">
        <f>IF([3]Entry!$E$218="","",[3]Entry!$E$218)</f>
        <v/>
      </c>
      <c r="AH215">
        <f>IF([3]Entry!$G$218="","",[3]Entry!$G$218)</f>
        <v/>
      </c>
      <c r="AI215">
        <f>IF([3]Entry!$K$218="","",[3]Entry!$K$218)</f>
        <v/>
      </c>
      <c r="AJ215">
        <f>IF([3]Entry!$L$218="","",[3]Entry!$L$218)</f>
        <v/>
      </c>
      <c r="AK215">
        <f>IF([3]Entry!$M$218="","",[3]Entry!$M$218)</f>
        <v/>
      </c>
      <c r="AL215">
        <f>IF([3]Entry!$N$218="","",[3]Entry!$N$218)</f>
        <v/>
      </c>
      <c r="AM215">
        <f>IF([3]Entry!$R$218="","",[3]Entry!$R$218)</f>
        <v/>
      </c>
    </row>
    <row r="216">
      <c r="A216">
        <f>IF([1]Accounts!$D$217="","",[1]Accounts!$A$217)</f>
        <v/>
      </c>
      <c r="B216">
        <f>IF([1]Accounts!$D$217="","",[1]Accounts!$B$217)</f>
        <v/>
      </c>
      <c r="C216">
        <f>IF([1]Accounts!$D$217="","",[1]Accounts!$C$217)</f>
        <v/>
      </c>
      <c r="D216">
        <f>IF([1]Accounts!$D$217="","",[1]Accounts!$D$217)</f>
        <v/>
      </c>
      <c r="E216">
        <f>IF([1]Accounts!$D$217="","",[1]Accounts!$E$217)</f>
        <v/>
      </c>
      <c r="F216">
        <f>IF([1]Accounts!$D$217="","",[1]Accounts!$F$217)</f>
        <v/>
      </c>
      <c r="G216">
        <f>IF([1]Accounts!$D$217="","",[1]Accounts!$G$217)</f>
        <v/>
      </c>
      <c r="T216">
        <f>IF([2]Baskol!$B$219="","",[2]Baskol!$B$219)</f>
        <v/>
      </c>
      <c r="U216">
        <f>IF([2]Baskol!$C$219="","",[2]Baskol!$C$219)</f>
        <v/>
      </c>
      <c r="V216">
        <f>IF([2]Baskol!$D$219="","",[2]Baskol!$D$219)</f>
        <v/>
      </c>
      <c r="W216">
        <f>IF([2]Baskol!$E$219="","",[2]Baskol!$E$219)</f>
        <v/>
      </c>
      <c r="X216">
        <f>IF([2]Baskol!$G$219="","",[2]Baskol!$G$219)</f>
        <v/>
      </c>
      <c r="Y216">
        <f>IF([2]Baskol!$I$219="","",[2]Baskol!$I$219)</f>
        <v/>
      </c>
      <c r="Z216">
        <f>IF([2]Baskol!$J$219="","",[2]Baskol!$J$219)</f>
        <v/>
      </c>
      <c r="AA216">
        <f>IF([2]Baskol!$K$219="","",[2]Baskol!$K$219)</f>
        <v/>
      </c>
      <c r="AB216">
        <f>IF([2]Baskol!$L$219="","",[2]Baskol!$L$219)</f>
        <v/>
      </c>
      <c r="AC216">
        <f>IF([2]Baskol!$N$219="","",[2]Baskol!$N$219)</f>
        <v/>
      </c>
      <c r="AD216">
        <f>IF([2]Baskol!$O$219="","",[2]Baskol!$O$219)</f>
        <v/>
      </c>
      <c r="AE216">
        <f>IF([3]Entry!$C$219="","",[3]Entry!$C$219)</f>
        <v/>
      </c>
      <c r="AF216">
        <f>IF([3]Entry!$D$219="","",[3]Entry!$D$219)</f>
        <v/>
      </c>
      <c r="AG216">
        <f>IF([3]Entry!$E$219="","",[3]Entry!$E$219)</f>
        <v/>
      </c>
      <c r="AH216">
        <f>IF([3]Entry!$G$219="","",[3]Entry!$G$219)</f>
        <v/>
      </c>
      <c r="AI216">
        <f>IF([3]Entry!$K$219="","",[3]Entry!$K$219)</f>
        <v/>
      </c>
      <c r="AJ216">
        <f>IF([3]Entry!$L$219="","",[3]Entry!$L$219)</f>
        <v/>
      </c>
      <c r="AK216">
        <f>IF([3]Entry!$M$219="","",[3]Entry!$M$219)</f>
        <v/>
      </c>
      <c r="AL216">
        <f>IF([3]Entry!$N$219="","",[3]Entry!$N$219)</f>
        <v/>
      </c>
      <c r="AM216">
        <f>IF([3]Entry!$R$219="","",[3]Entry!$R$219)</f>
        <v/>
      </c>
    </row>
    <row r="217">
      <c r="A217">
        <f>IF([1]Accounts!$D$218="","",[1]Accounts!$A$218)</f>
        <v/>
      </c>
      <c r="B217">
        <f>IF([1]Accounts!$D$218="","",[1]Accounts!$B$218)</f>
        <v/>
      </c>
      <c r="C217">
        <f>IF([1]Accounts!$D$218="","",[1]Accounts!$C$218)</f>
        <v/>
      </c>
      <c r="D217">
        <f>IF([1]Accounts!$D$218="","",[1]Accounts!$D$218)</f>
        <v/>
      </c>
      <c r="E217">
        <f>IF([1]Accounts!$D$218="","",[1]Accounts!$E$218)</f>
        <v/>
      </c>
      <c r="F217">
        <f>IF([1]Accounts!$D$218="","",[1]Accounts!$F$218)</f>
        <v/>
      </c>
      <c r="G217">
        <f>IF([1]Accounts!$D$218="","",[1]Accounts!$G$218)</f>
        <v/>
      </c>
      <c r="T217">
        <f>IF([2]Baskol!$B$220="","",[2]Baskol!$B$220)</f>
        <v/>
      </c>
      <c r="U217">
        <f>IF([2]Baskol!$C$220="","",[2]Baskol!$C$220)</f>
        <v/>
      </c>
      <c r="V217">
        <f>IF([2]Baskol!$D$220="","",[2]Baskol!$D$220)</f>
        <v/>
      </c>
      <c r="W217">
        <f>IF([2]Baskol!$E$220="","",[2]Baskol!$E$220)</f>
        <v/>
      </c>
      <c r="X217">
        <f>IF([2]Baskol!$G$220="","",[2]Baskol!$G$220)</f>
        <v/>
      </c>
      <c r="Y217">
        <f>IF([2]Baskol!$I$220="","",[2]Baskol!$I$220)</f>
        <v/>
      </c>
      <c r="Z217">
        <f>IF([2]Baskol!$J$220="","",[2]Baskol!$J$220)</f>
        <v/>
      </c>
      <c r="AA217">
        <f>IF([2]Baskol!$K$220="","",[2]Baskol!$K$220)</f>
        <v/>
      </c>
      <c r="AB217">
        <f>IF([2]Baskol!$L$220="","",[2]Baskol!$L$220)</f>
        <v/>
      </c>
      <c r="AC217">
        <f>IF([2]Baskol!$N$220="","",[2]Baskol!$N$220)</f>
        <v/>
      </c>
      <c r="AD217">
        <f>IF([2]Baskol!$O$220="","",[2]Baskol!$O$220)</f>
        <v/>
      </c>
      <c r="AE217">
        <f>IF([3]Entry!$C$220="","",[3]Entry!$C$220)</f>
        <v/>
      </c>
      <c r="AF217">
        <f>IF([3]Entry!$D$220="","",[3]Entry!$D$220)</f>
        <v/>
      </c>
      <c r="AG217">
        <f>IF([3]Entry!$E$220="","",[3]Entry!$E$220)</f>
        <v/>
      </c>
      <c r="AH217">
        <f>IF([3]Entry!$G$220="","",[3]Entry!$G$220)</f>
        <v/>
      </c>
      <c r="AI217">
        <f>IF([3]Entry!$K$220="","",[3]Entry!$K$220)</f>
        <v/>
      </c>
      <c r="AJ217">
        <f>IF([3]Entry!$L$220="","",[3]Entry!$L$220)</f>
        <v/>
      </c>
      <c r="AK217">
        <f>IF([3]Entry!$M$220="","",[3]Entry!$M$220)</f>
        <v/>
      </c>
      <c r="AL217">
        <f>IF([3]Entry!$N$220="","",[3]Entry!$N$220)</f>
        <v/>
      </c>
      <c r="AM217">
        <f>IF([3]Entry!$R$220="","",[3]Entry!$R$220)</f>
        <v/>
      </c>
    </row>
    <row r="218">
      <c r="A218">
        <f>IF([1]Accounts!$D$219="","",[1]Accounts!$A$219)</f>
        <v/>
      </c>
      <c r="B218">
        <f>IF([1]Accounts!$D$219="","",[1]Accounts!$B$219)</f>
        <v/>
      </c>
      <c r="C218">
        <f>IF([1]Accounts!$D$219="","",[1]Accounts!$C$219)</f>
        <v/>
      </c>
      <c r="D218">
        <f>IF([1]Accounts!$D$219="","",[1]Accounts!$D$219)</f>
        <v/>
      </c>
      <c r="E218">
        <f>IF([1]Accounts!$D$219="","",[1]Accounts!$E$219)</f>
        <v/>
      </c>
      <c r="F218">
        <f>IF([1]Accounts!$D$219="","",[1]Accounts!$F$219)</f>
        <v/>
      </c>
      <c r="G218">
        <f>IF([1]Accounts!$D$219="","",[1]Accounts!$G$219)</f>
        <v/>
      </c>
      <c r="T218">
        <f>IF([2]Baskol!$B$221="","",[2]Baskol!$B$221)</f>
        <v/>
      </c>
      <c r="U218">
        <f>IF([2]Baskol!$C$221="","",[2]Baskol!$C$221)</f>
        <v/>
      </c>
      <c r="V218">
        <f>IF([2]Baskol!$D$221="","",[2]Baskol!$D$221)</f>
        <v/>
      </c>
      <c r="W218">
        <f>IF([2]Baskol!$E$221="","",[2]Baskol!$E$221)</f>
        <v/>
      </c>
      <c r="X218">
        <f>IF([2]Baskol!$G$221="","",[2]Baskol!$G$221)</f>
        <v/>
      </c>
      <c r="Y218">
        <f>IF([2]Baskol!$I$221="","",[2]Baskol!$I$221)</f>
        <v/>
      </c>
      <c r="Z218">
        <f>IF([2]Baskol!$J$221="","",[2]Baskol!$J$221)</f>
        <v/>
      </c>
      <c r="AA218">
        <f>IF([2]Baskol!$K$221="","",[2]Baskol!$K$221)</f>
        <v/>
      </c>
      <c r="AB218">
        <f>IF([2]Baskol!$L$221="","",[2]Baskol!$L$221)</f>
        <v/>
      </c>
      <c r="AC218">
        <f>IF([2]Baskol!$N$221="","",[2]Baskol!$N$221)</f>
        <v/>
      </c>
      <c r="AD218">
        <f>IF([2]Baskol!$O$221="","",[2]Baskol!$O$221)</f>
        <v/>
      </c>
      <c r="AE218">
        <f>IF([3]Entry!$C$221="","",[3]Entry!$C$221)</f>
        <v/>
      </c>
      <c r="AF218">
        <f>IF([3]Entry!$D$221="","",[3]Entry!$D$221)</f>
        <v/>
      </c>
      <c r="AG218">
        <f>IF([3]Entry!$E$221="","",[3]Entry!$E$221)</f>
        <v/>
      </c>
      <c r="AH218">
        <f>IF([3]Entry!$G$221="","",[3]Entry!$G$221)</f>
        <v/>
      </c>
      <c r="AI218">
        <f>IF([3]Entry!$K$221="","",[3]Entry!$K$221)</f>
        <v/>
      </c>
      <c r="AJ218">
        <f>IF([3]Entry!$L$221="","",[3]Entry!$L$221)</f>
        <v/>
      </c>
      <c r="AK218">
        <f>IF([3]Entry!$M$221="","",[3]Entry!$M$221)</f>
        <v/>
      </c>
      <c r="AL218">
        <f>IF([3]Entry!$N$221="","",[3]Entry!$N$221)</f>
        <v/>
      </c>
      <c r="AM218">
        <f>IF([3]Entry!$R$221="","",[3]Entry!$R$221)</f>
        <v/>
      </c>
    </row>
    <row r="219">
      <c r="A219">
        <f>IF([1]Accounts!$D$220="","",[1]Accounts!$A$220)</f>
        <v/>
      </c>
      <c r="B219">
        <f>IF([1]Accounts!$D$220="","",[1]Accounts!$B$220)</f>
        <v/>
      </c>
      <c r="C219">
        <f>IF([1]Accounts!$D$220="","",[1]Accounts!$C$220)</f>
        <v/>
      </c>
      <c r="D219">
        <f>IF([1]Accounts!$D$220="","",[1]Accounts!$D$220)</f>
        <v/>
      </c>
      <c r="E219">
        <f>IF([1]Accounts!$D$220="","",[1]Accounts!$E$220)</f>
        <v/>
      </c>
      <c r="F219">
        <f>IF([1]Accounts!$D$220="","",[1]Accounts!$F$220)</f>
        <v/>
      </c>
      <c r="G219">
        <f>IF([1]Accounts!$D$220="","",[1]Accounts!$G$220)</f>
        <v/>
      </c>
      <c r="T219">
        <f>IF([2]Baskol!$B$222="","",[2]Baskol!$B$222)</f>
        <v/>
      </c>
      <c r="U219">
        <f>IF([2]Baskol!$C$222="","",[2]Baskol!$C$222)</f>
        <v/>
      </c>
      <c r="V219">
        <f>IF([2]Baskol!$D$222="","",[2]Baskol!$D$222)</f>
        <v/>
      </c>
      <c r="W219">
        <f>IF([2]Baskol!$E$222="","",[2]Baskol!$E$222)</f>
        <v/>
      </c>
      <c r="X219">
        <f>IF([2]Baskol!$G$222="","",[2]Baskol!$G$222)</f>
        <v/>
      </c>
      <c r="Y219">
        <f>IF([2]Baskol!$I$222="","",[2]Baskol!$I$222)</f>
        <v/>
      </c>
      <c r="Z219">
        <f>IF([2]Baskol!$J$222="","",[2]Baskol!$J$222)</f>
        <v/>
      </c>
      <c r="AA219">
        <f>IF([2]Baskol!$K$222="","",[2]Baskol!$K$222)</f>
        <v/>
      </c>
      <c r="AB219">
        <f>IF([2]Baskol!$L$222="","",[2]Baskol!$L$222)</f>
        <v/>
      </c>
      <c r="AC219">
        <f>IF([2]Baskol!$N$222="","",[2]Baskol!$N$222)</f>
        <v/>
      </c>
      <c r="AD219">
        <f>IF([2]Baskol!$O$222="","",[2]Baskol!$O$222)</f>
        <v/>
      </c>
      <c r="AE219">
        <f>IF([3]Entry!$C$222="","",[3]Entry!$C$222)</f>
        <v/>
      </c>
      <c r="AF219">
        <f>IF([3]Entry!$D$222="","",[3]Entry!$D$222)</f>
        <v/>
      </c>
      <c r="AG219">
        <f>IF([3]Entry!$E$222="","",[3]Entry!$E$222)</f>
        <v/>
      </c>
      <c r="AH219">
        <f>IF([3]Entry!$G$222="","",[3]Entry!$G$222)</f>
        <v/>
      </c>
      <c r="AI219">
        <f>IF([3]Entry!$K$222="","",[3]Entry!$K$222)</f>
        <v/>
      </c>
      <c r="AJ219">
        <f>IF([3]Entry!$L$222="","",[3]Entry!$L$222)</f>
        <v/>
      </c>
      <c r="AK219">
        <f>IF([3]Entry!$M$222="","",[3]Entry!$M$222)</f>
        <v/>
      </c>
      <c r="AL219">
        <f>IF([3]Entry!$N$222="","",[3]Entry!$N$222)</f>
        <v/>
      </c>
      <c r="AM219">
        <f>IF([3]Entry!$R$222="","",[3]Entry!$R$222)</f>
        <v/>
      </c>
    </row>
    <row r="220">
      <c r="A220">
        <f>IF([1]Accounts!$D$221="","",[1]Accounts!$A$221)</f>
        <v/>
      </c>
      <c r="B220">
        <f>IF([1]Accounts!$D$221="","",[1]Accounts!$B$221)</f>
        <v/>
      </c>
      <c r="C220">
        <f>IF([1]Accounts!$D$221="","",[1]Accounts!$C$221)</f>
        <v/>
      </c>
      <c r="D220">
        <f>IF([1]Accounts!$D$221="","",[1]Accounts!$D$221)</f>
        <v/>
      </c>
      <c r="E220">
        <f>IF([1]Accounts!$D$221="","",[1]Accounts!$E$221)</f>
        <v/>
      </c>
      <c r="F220">
        <f>IF([1]Accounts!$D$221="","",[1]Accounts!$F$221)</f>
        <v/>
      </c>
      <c r="G220">
        <f>IF([1]Accounts!$D$221="","",[1]Accounts!$G$221)</f>
        <v/>
      </c>
      <c r="T220">
        <f>IF([2]Baskol!$B$223="","",[2]Baskol!$B$223)</f>
        <v/>
      </c>
      <c r="U220">
        <f>IF([2]Baskol!$C$223="","",[2]Baskol!$C$223)</f>
        <v/>
      </c>
      <c r="V220">
        <f>IF([2]Baskol!$D$223="","",[2]Baskol!$D$223)</f>
        <v/>
      </c>
      <c r="W220">
        <f>IF([2]Baskol!$E$223="","",[2]Baskol!$E$223)</f>
        <v/>
      </c>
      <c r="X220">
        <f>IF([2]Baskol!$G$223="","",[2]Baskol!$G$223)</f>
        <v/>
      </c>
      <c r="Y220">
        <f>IF([2]Baskol!$I$223="","",[2]Baskol!$I$223)</f>
        <v/>
      </c>
      <c r="Z220">
        <f>IF([2]Baskol!$J$223="","",[2]Baskol!$J$223)</f>
        <v/>
      </c>
      <c r="AA220">
        <f>IF([2]Baskol!$K$223="","",[2]Baskol!$K$223)</f>
        <v/>
      </c>
      <c r="AB220">
        <f>IF([2]Baskol!$L$223="","",[2]Baskol!$L$223)</f>
        <v/>
      </c>
      <c r="AC220">
        <f>IF([2]Baskol!$N$223="","",[2]Baskol!$N$223)</f>
        <v/>
      </c>
      <c r="AD220">
        <f>IF([2]Baskol!$O$223="","",[2]Baskol!$O$223)</f>
        <v/>
      </c>
      <c r="AE220">
        <f>IF([3]Entry!$C$223="","",[3]Entry!$C$223)</f>
        <v/>
      </c>
      <c r="AF220">
        <f>IF([3]Entry!$D$223="","",[3]Entry!$D$223)</f>
        <v/>
      </c>
      <c r="AG220">
        <f>IF([3]Entry!$E$223="","",[3]Entry!$E$223)</f>
        <v/>
      </c>
      <c r="AH220">
        <f>IF([3]Entry!$G$223="","",[3]Entry!$G$223)</f>
        <v/>
      </c>
      <c r="AI220">
        <f>IF([3]Entry!$K$223="","",[3]Entry!$K$223)</f>
        <v/>
      </c>
      <c r="AJ220">
        <f>IF([3]Entry!$L$223="","",[3]Entry!$L$223)</f>
        <v/>
      </c>
      <c r="AK220">
        <f>IF([3]Entry!$M$223="","",[3]Entry!$M$223)</f>
        <v/>
      </c>
      <c r="AL220">
        <f>IF([3]Entry!$N$223="","",[3]Entry!$N$223)</f>
        <v/>
      </c>
      <c r="AM220">
        <f>IF([3]Entry!$R$223="","",[3]Entry!$R$223)</f>
        <v/>
      </c>
    </row>
    <row r="221">
      <c r="A221">
        <f>IF([1]Accounts!$D$222="","",[1]Accounts!$A$222)</f>
        <v/>
      </c>
      <c r="B221">
        <f>IF([1]Accounts!$D$222="","",[1]Accounts!$B$222)</f>
        <v/>
      </c>
      <c r="C221">
        <f>IF([1]Accounts!$D$222="","",[1]Accounts!$C$222)</f>
        <v/>
      </c>
      <c r="D221">
        <f>IF([1]Accounts!$D$222="","",[1]Accounts!$D$222)</f>
        <v/>
      </c>
      <c r="E221">
        <f>IF([1]Accounts!$D$222="","",[1]Accounts!$E$222)</f>
        <v/>
      </c>
      <c r="F221">
        <f>IF([1]Accounts!$D$222="","",[1]Accounts!$F$222)</f>
        <v/>
      </c>
      <c r="G221">
        <f>IF([1]Accounts!$D$222="","",[1]Accounts!$G$222)</f>
        <v/>
      </c>
      <c r="T221">
        <f>IF([2]Baskol!$B$224="","",[2]Baskol!$B$224)</f>
        <v/>
      </c>
      <c r="U221">
        <f>IF([2]Baskol!$C$224="","",[2]Baskol!$C$224)</f>
        <v/>
      </c>
      <c r="V221">
        <f>IF([2]Baskol!$D$224="","",[2]Baskol!$D$224)</f>
        <v/>
      </c>
      <c r="W221">
        <f>IF([2]Baskol!$E$224="","",[2]Baskol!$E$224)</f>
        <v/>
      </c>
      <c r="X221">
        <f>IF([2]Baskol!$G$224="","",[2]Baskol!$G$224)</f>
        <v/>
      </c>
      <c r="Y221">
        <f>IF([2]Baskol!$I$224="","",[2]Baskol!$I$224)</f>
        <v/>
      </c>
      <c r="Z221">
        <f>IF([2]Baskol!$J$224="","",[2]Baskol!$J$224)</f>
        <v/>
      </c>
      <c r="AA221">
        <f>IF([2]Baskol!$K$224="","",[2]Baskol!$K$224)</f>
        <v/>
      </c>
      <c r="AB221">
        <f>IF([2]Baskol!$L$224="","",[2]Baskol!$L$224)</f>
        <v/>
      </c>
      <c r="AC221">
        <f>IF([2]Baskol!$N$224="","",[2]Baskol!$N$224)</f>
        <v/>
      </c>
      <c r="AD221">
        <f>IF([2]Baskol!$O$224="","",[2]Baskol!$O$224)</f>
        <v/>
      </c>
      <c r="AE221">
        <f>IF([3]Entry!$C$224="","",[3]Entry!$C$224)</f>
        <v/>
      </c>
      <c r="AF221">
        <f>IF([3]Entry!$D$224="","",[3]Entry!$D$224)</f>
        <v/>
      </c>
      <c r="AG221">
        <f>IF([3]Entry!$E$224="","",[3]Entry!$E$224)</f>
        <v/>
      </c>
      <c r="AH221">
        <f>IF([3]Entry!$G$224="","",[3]Entry!$G$224)</f>
        <v/>
      </c>
      <c r="AI221">
        <f>IF([3]Entry!$K$224="","",[3]Entry!$K$224)</f>
        <v/>
      </c>
      <c r="AJ221">
        <f>IF([3]Entry!$L$224="","",[3]Entry!$L$224)</f>
        <v/>
      </c>
      <c r="AK221">
        <f>IF([3]Entry!$M$224="","",[3]Entry!$M$224)</f>
        <v/>
      </c>
      <c r="AL221">
        <f>IF([3]Entry!$N$224="","",[3]Entry!$N$224)</f>
        <v/>
      </c>
      <c r="AM221">
        <f>IF([3]Entry!$R$224="","",[3]Entry!$R$224)</f>
        <v/>
      </c>
    </row>
    <row r="222">
      <c r="A222">
        <f>IF([1]Accounts!$D$223="","",[1]Accounts!$A$223)</f>
        <v/>
      </c>
      <c r="B222">
        <f>IF([1]Accounts!$D$223="","",[1]Accounts!$B$223)</f>
        <v/>
      </c>
      <c r="C222">
        <f>IF([1]Accounts!$D$223="","",[1]Accounts!$C$223)</f>
        <v/>
      </c>
      <c r="D222">
        <f>IF([1]Accounts!$D$223="","",[1]Accounts!$D$223)</f>
        <v/>
      </c>
      <c r="E222">
        <f>IF([1]Accounts!$D$223="","",[1]Accounts!$E$223)</f>
        <v/>
      </c>
      <c r="F222">
        <f>IF([1]Accounts!$D$223="","",[1]Accounts!$F$223)</f>
        <v/>
      </c>
      <c r="G222">
        <f>IF([1]Accounts!$D$223="","",[1]Accounts!$G$223)</f>
        <v/>
      </c>
      <c r="T222">
        <f>IF([2]Baskol!$B$225="","",[2]Baskol!$B$225)</f>
        <v/>
      </c>
      <c r="U222">
        <f>IF([2]Baskol!$C$225="","",[2]Baskol!$C$225)</f>
        <v/>
      </c>
      <c r="V222">
        <f>IF([2]Baskol!$D$225="","",[2]Baskol!$D$225)</f>
        <v/>
      </c>
      <c r="W222">
        <f>IF([2]Baskol!$E$225="","",[2]Baskol!$E$225)</f>
        <v/>
      </c>
      <c r="X222">
        <f>IF([2]Baskol!$G$225="","",[2]Baskol!$G$225)</f>
        <v/>
      </c>
      <c r="Y222">
        <f>IF([2]Baskol!$I$225="","",[2]Baskol!$I$225)</f>
        <v/>
      </c>
      <c r="Z222">
        <f>IF([2]Baskol!$J$225="","",[2]Baskol!$J$225)</f>
        <v/>
      </c>
      <c r="AA222">
        <f>IF([2]Baskol!$K$225="","",[2]Baskol!$K$225)</f>
        <v/>
      </c>
      <c r="AB222">
        <f>IF([2]Baskol!$L$225="","",[2]Baskol!$L$225)</f>
        <v/>
      </c>
      <c r="AC222">
        <f>IF([2]Baskol!$N$225="","",[2]Baskol!$N$225)</f>
        <v/>
      </c>
      <c r="AD222">
        <f>IF([2]Baskol!$O$225="","",[2]Baskol!$O$225)</f>
        <v/>
      </c>
      <c r="AE222">
        <f>IF([3]Entry!$C$225="","",[3]Entry!$C$225)</f>
        <v/>
      </c>
      <c r="AF222">
        <f>IF([3]Entry!$D$225="","",[3]Entry!$D$225)</f>
        <v/>
      </c>
      <c r="AG222">
        <f>IF([3]Entry!$E$225="","",[3]Entry!$E$225)</f>
        <v/>
      </c>
      <c r="AH222">
        <f>IF([3]Entry!$G$225="","",[3]Entry!$G$225)</f>
        <v/>
      </c>
      <c r="AI222">
        <f>IF([3]Entry!$K$225="","",[3]Entry!$K$225)</f>
        <v/>
      </c>
      <c r="AJ222">
        <f>IF([3]Entry!$L$225="","",[3]Entry!$L$225)</f>
        <v/>
      </c>
      <c r="AK222">
        <f>IF([3]Entry!$M$225="","",[3]Entry!$M$225)</f>
        <v/>
      </c>
      <c r="AL222">
        <f>IF([3]Entry!$N$225="","",[3]Entry!$N$225)</f>
        <v/>
      </c>
      <c r="AM222">
        <f>IF([3]Entry!$R$225="","",[3]Entry!$R$225)</f>
        <v/>
      </c>
    </row>
    <row r="223">
      <c r="A223">
        <f>IF([1]Accounts!$D$224="","",[1]Accounts!$A$224)</f>
        <v/>
      </c>
      <c r="B223">
        <f>IF([1]Accounts!$D$224="","",[1]Accounts!$B$224)</f>
        <v/>
      </c>
      <c r="C223">
        <f>IF([1]Accounts!$D$224="","",[1]Accounts!$C$224)</f>
        <v/>
      </c>
      <c r="D223">
        <f>IF([1]Accounts!$D$224="","",[1]Accounts!$D$224)</f>
        <v/>
      </c>
      <c r="E223">
        <f>IF([1]Accounts!$D$224="","",[1]Accounts!$E$224)</f>
        <v/>
      </c>
      <c r="F223">
        <f>IF([1]Accounts!$D$224="","",[1]Accounts!$F$224)</f>
        <v/>
      </c>
      <c r="G223">
        <f>IF([1]Accounts!$D$224="","",[1]Accounts!$G$224)</f>
        <v/>
      </c>
      <c r="T223">
        <f>IF([2]Baskol!$B$226="","",[2]Baskol!$B$226)</f>
        <v/>
      </c>
      <c r="U223">
        <f>IF([2]Baskol!$C$226="","",[2]Baskol!$C$226)</f>
        <v/>
      </c>
      <c r="V223">
        <f>IF([2]Baskol!$D$226="","",[2]Baskol!$D$226)</f>
        <v/>
      </c>
      <c r="W223">
        <f>IF([2]Baskol!$E$226="","",[2]Baskol!$E$226)</f>
        <v/>
      </c>
      <c r="X223">
        <f>IF([2]Baskol!$G$226="","",[2]Baskol!$G$226)</f>
        <v/>
      </c>
      <c r="Y223">
        <f>IF([2]Baskol!$I$226="","",[2]Baskol!$I$226)</f>
        <v/>
      </c>
      <c r="Z223">
        <f>IF([2]Baskol!$J$226="","",[2]Baskol!$J$226)</f>
        <v/>
      </c>
      <c r="AA223">
        <f>IF([2]Baskol!$K$226="","",[2]Baskol!$K$226)</f>
        <v/>
      </c>
      <c r="AB223">
        <f>IF([2]Baskol!$L$226="","",[2]Baskol!$L$226)</f>
        <v/>
      </c>
      <c r="AC223">
        <f>IF([2]Baskol!$N$226="","",[2]Baskol!$N$226)</f>
        <v/>
      </c>
      <c r="AD223">
        <f>IF([2]Baskol!$O$226="","",[2]Baskol!$O$226)</f>
        <v/>
      </c>
      <c r="AE223">
        <f>IF([3]Entry!$C$226="","",[3]Entry!$C$226)</f>
        <v/>
      </c>
      <c r="AF223">
        <f>IF([3]Entry!$D$226="","",[3]Entry!$D$226)</f>
        <v/>
      </c>
      <c r="AG223">
        <f>IF([3]Entry!$E$226="","",[3]Entry!$E$226)</f>
        <v/>
      </c>
      <c r="AH223">
        <f>IF([3]Entry!$G$226="","",[3]Entry!$G$226)</f>
        <v/>
      </c>
      <c r="AI223">
        <f>IF([3]Entry!$K$226="","",[3]Entry!$K$226)</f>
        <v/>
      </c>
      <c r="AJ223">
        <f>IF([3]Entry!$L$226="","",[3]Entry!$L$226)</f>
        <v/>
      </c>
      <c r="AK223">
        <f>IF([3]Entry!$M$226="","",[3]Entry!$M$226)</f>
        <v/>
      </c>
      <c r="AL223">
        <f>IF([3]Entry!$N$226="","",[3]Entry!$N$226)</f>
        <v/>
      </c>
      <c r="AM223">
        <f>IF([3]Entry!$R$226="","",[3]Entry!$R$226)</f>
        <v/>
      </c>
    </row>
    <row r="224">
      <c r="A224">
        <f>IF([1]Accounts!$D$225="","",[1]Accounts!$A$225)</f>
        <v/>
      </c>
      <c r="B224">
        <f>IF([1]Accounts!$D$225="","",[1]Accounts!$B$225)</f>
        <v/>
      </c>
      <c r="C224">
        <f>IF([1]Accounts!$D$225="","",[1]Accounts!$C$225)</f>
        <v/>
      </c>
      <c r="D224">
        <f>IF([1]Accounts!$D$225="","",[1]Accounts!$D$225)</f>
        <v/>
      </c>
      <c r="E224">
        <f>IF([1]Accounts!$D$225="","",[1]Accounts!$E$225)</f>
        <v/>
      </c>
      <c r="F224">
        <f>IF([1]Accounts!$D$225="","",[1]Accounts!$F$225)</f>
        <v/>
      </c>
      <c r="G224">
        <f>IF([1]Accounts!$D$225="","",[1]Accounts!$G$225)</f>
        <v/>
      </c>
      <c r="T224">
        <f>IF([2]Baskol!$B$227="","",[2]Baskol!$B$227)</f>
        <v/>
      </c>
      <c r="U224">
        <f>IF([2]Baskol!$C$227="","",[2]Baskol!$C$227)</f>
        <v/>
      </c>
      <c r="V224">
        <f>IF([2]Baskol!$D$227="","",[2]Baskol!$D$227)</f>
        <v/>
      </c>
      <c r="W224">
        <f>IF([2]Baskol!$E$227="","",[2]Baskol!$E$227)</f>
        <v/>
      </c>
      <c r="X224">
        <f>IF([2]Baskol!$G$227="","",[2]Baskol!$G$227)</f>
        <v/>
      </c>
      <c r="Y224">
        <f>IF([2]Baskol!$I$227="","",[2]Baskol!$I$227)</f>
        <v/>
      </c>
      <c r="Z224">
        <f>IF([2]Baskol!$J$227="","",[2]Baskol!$J$227)</f>
        <v/>
      </c>
      <c r="AA224">
        <f>IF([2]Baskol!$K$227="","",[2]Baskol!$K$227)</f>
        <v/>
      </c>
      <c r="AB224">
        <f>IF([2]Baskol!$L$227="","",[2]Baskol!$L$227)</f>
        <v/>
      </c>
      <c r="AC224">
        <f>IF([2]Baskol!$N$227="","",[2]Baskol!$N$227)</f>
        <v/>
      </c>
      <c r="AD224">
        <f>IF([2]Baskol!$O$227="","",[2]Baskol!$O$227)</f>
        <v/>
      </c>
      <c r="AE224">
        <f>IF([3]Entry!$C$227="","",[3]Entry!$C$227)</f>
        <v/>
      </c>
      <c r="AF224">
        <f>IF([3]Entry!$D$227="","",[3]Entry!$D$227)</f>
        <v/>
      </c>
      <c r="AG224">
        <f>IF([3]Entry!$E$227="","",[3]Entry!$E$227)</f>
        <v/>
      </c>
      <c r="AH224">
        <f>IF([3]Entry!$G$227="","",[3]Entry!$G$227)</f>
        <v/>
      </c>
      <c r="AI224">
        <f>IF([3]Entry!$K$227="","",[3]Entry!$K$227)</f>
        <v/>
      </c>
      <c r="AJ224">
        <f>IF([3]Entry!$L$227="","",[3]Entry!$L$227)</f>
        <v/>
      </c>
      <c r="AK224">
        <f>IF([3]Entry!$M$227="","",[3]Entry!$M$227)</f>
        <v/>
      </c>
      <c r="AL224">
        <f>IF([3]Entry!$N$227="","",[3]Entry!$N$227)</f>
        <v/>
      </c>
      <c r="AM224">
        <f>IF([3]Entry!$R$227="","",[3]Entry!$R$227)</f>
        <v/>
      </c>
    </row>
    <row r="225">
      <c r="A225">
        <f>IF([1]Accounts!$D$226="","",[1]Accounts!$A$226)</f>
        <v/>
      </c>
      <c r="B225">
        <f>IF([1]Accounts!$D$226="","",[1]Accounts!$B$226)</f>
        <v/>
      </c>
      <c r="C225">
        <f>IF([1]Accounts!$D$226="","",[1]Accounts!$C$226)</f>
        <v/>
      </c>
      <c r="D225">
        <f>IF([1]Accounts!$D$226="","",[1]Accounts!$D$226)</f>
        <v/>
      </c>
      <c r="E225">
        <f>IF([1]Accounts!$D$226="","",[1]Accounts!$E$226)</f>
        <v/>
      </c>
      <c r="F225">
        <f>IF([1]Accounts!$D$226="","",[1]Accounts!$F$226)</f>
        <v/>
      </c>
      <c r="G225">
        <f>IF([1]Accounts!$D$226="","",[1]Accounts!$G$226)</f>
        <v/>
      </c>
      <c r="T225">
        <f>IF([2]Baskol!$B$228="","",[2]Baskol!$B$228)</f>
        <v/>
      </c>
      <c r="U225">
        <f>IF([2]Baskol!$C$228="","",[2]Baskol!$C$228)</f>
        <v/>
      </c>
      <c r="V225">
        <f>IF([2]Baskol!$D$228="","",[2]Baskol!$D$228)</f>
        <v/>
      </c>
      <c r="W225">
        <f>IF([2]Baskol!$E$228="","",[2]Baskol!$E$228)</f>
        <v/>
      </c>
      <c r="X225">
        <f>IF([2]Baskol!$G$228="","",[2]Baskol!$G$228)</f>
        <v/>
      </c>
      <c r="Y225">
        <f>IF([2]Baskol!$I$228="","",[2]Baskol!$I$228)</f>
        <v/>
      </c>
      <c r="Z225">
        <f>IF([2]Baskol!$J$228="","",[2]Baskol!$J$228)</f>
        <v/>
      </c>
      <c r="AA225">
        <f>IF([2]Baskol!$K$228="","",[2]Baskol!$K$228)</f>
        <v/>
      </c>
      <c r="AB225">
        <f>IF([2]Baskol!$L$228="","",[2]Baskol!$L$228)</f>
        <v/>
      </c>
      <c r="AC225">
        <f>IF([2]Baskol!$N$228="","",[2]Baskol!$N$228)</f>
        <v/>
      </c>
      <c r="AD225">
        <f>IF([2]Baskol!$O$228="","",[2]Baskol!$O$228)</f>
        <v/>
      </c>
      <c r="AE225">
        <f>IF([3]Entry!$C$228="","",[3]Entry!$C$228)</f>
        <v/>
      </c>
      <c r="AF225">
        <f>IF([3]Entry!$D$228="","",[3]Entry!$D$228)</f>
        <v/>
      </c>
      <c r="AG225">
        <f>IF([3]Entry!$E$228="","",[3]Entry!$E$228)</f>
        <v/>
      </c>
      <c r="AH225">
        <f>IF([3]Entry!$G$228="","",[3]Entry!$G$228)</f>
        <v/>
      </c>
      <c r="AI225">
        <f>IF([3]Entry!$K$228="","",[3]Entry!$K$228)</f>
        <v/>
      </c>
      <c r="AJ225">
        <f>IF([3]Entry!$L$228="","",[3]Entry!$L$228)</f>
        <v/>
      </c>
      <c r="AK225">
        <f>IF([3]Entry!$M$228="","",[3]Entry!$M$228)</f>
        <v/>
      </c>
      <c r="AL225">
        <f>IF([3]Entry!$N$228="","",[3]Entry!$N$228)</f>
        <v/>
      </c>
      <c r="AM225">
        <f>IF([3]Entry!$R$228="","",[3]Entry!$R$228)</f>
        <v/>
      </c>
    </row>
    <row r="226">
      <c r="A226">
        <f>IF([1]Accounts!$D$227="","",[1]Accounts!$A$227)</f>
        <v/>
      </c>
      <c r="B226">
        <f>IF([1]Accounts!$D$227="","",[1]Accounts!$B$227)</f>
        <v/>
      </c>
      <c r="C226">
        <f>IF([1]Accounts!$D$227="","",[1]Accounts!$C$227)</f>
        <v/>
      </c>
      <c r="D226">
        <f>IF([1]Accounts!$D$227="","",[1]Accounts!$D$227)</f>
        <v/>
      </c>
      <c r="E226">
        <f>IF([1]Accounts!$D$227="","",[1]Accounts!$E$227)</f>
        <v/>
      </c>
      <c r="F226">
        <f>IF([1]Accounts!$D$227="","",[1]Accounts!$F$227)</f>
        <v/>
      </c>
      <c r="G226">
        <f>IF([1]Accounts!$D$227="","",[1]Accounts!$G$227)</f>
        <v/>
      </c>
      <c r="T226">
        <f>IF([2]Baskol!$B$229="","",[2]Baskol!$B$229)</f>
        <v/>
      </c>
      <c r="U226">
        <f>IF([2]Baskol!$C$229="","",[2]Baskol!$C$229)</f>
        <v/>
      </c>
      <c r="V226">
        <f>IF([2]Baskol!$D$229="","",[2]Baskol!$D$229)</f>
        <v/>
      </c>
      <c r="W226">
        <f>IF([2]Baskol!$E$229="","",[2]Baskol!$E$229)</f>
        <v/>
      </c>
      <c r="X226">
        <f>IF([2]Baskol!$G$229="","",[2]Baskol!$G$229)</f>
        <v/>
      </c>
      <c r="Y226">
        <f>IF([2]Baskol!$I$229="","",[2]Baskol!$I$229)</f>
        <v/>
      </c>
      <c r="Z226">
        <f>IF([2]Baskol!$J$229="","",[2]Baskol!$J$229)</f>
        <v/>
      </c>
      <c r="AA226">
        <f>IF([2]Baskol!$K$229="","",[2]Baskol!$K$229)</f>
        <v/>
      </c>
      <c r="AB226">
        <f>IF([2]Baskol!$L$229="","",[2]Baskol!$L$229)</f>
        <v/>
      </c>
      <c r="AC226">
        <f>IF([2]Baskol!$N$229="","",[2]Baskol!$N$229)</f>
        <v/>
      </c>
      <c r="AD226">
        <f>IF([2]Baskol!$O$229="","",[2]Baskol!$O$229)</f>
        <v/>
      </c>
      <c r="AE226">
        <f>IF([3]Entry!$C$229="","",[3]Entry!$C$229)</f>
        <v/>
      </c>
      <c r="AF226">
        <f>IF([3]Entry!$D$229="","",[3]Entry!$D$229)</f>
        <v/>
      </c>
      <c r="AG226">
        <f>IF([3]Entry!$E$229="","",[3]Entry!$E$229)</f>
        <v/>
      </c>
      <c r="AH226">
        <f>IF([3]Entry!$G$229="","",[3]Entry!$G$229)</f>
        <v/>
      </c>
      <c r="AI226">
        <f>IF([3]Entry!$K$229="","",[3]Entry!$K$229)</f>
        <v/>
      </c>
      <c r="AJ226">
        <f>IF([3]Entry!$L$229="","",[3]Entry!$L$229)</f>
        <v/>
      </c>
      <c r="AK226">
        <f>IF([3]Entry!$M$229="","",[3]Entry!$M$229)</f>
        <v/>
      </c>
      <c r="AL226">
        <f>IF([3]Entry!$N$229="","",[3]Entry!$N$229)</f>
        <v/>
      </c>
      <c r="AM226">
        <f>IF([3]Entry!$R$229="","",[3]Entry!$R$229)</f>
        <v/>
      </c>
    </row>
    <row r="227">
      <c r="A227">
        <f>IF([1]Accounts!$D$228="","",[1]Accounts!$A$228)</f>
        <v/>
      </c>
      <c r="B227">
        <f>IF([1]Accounts!$D$228="","",[1]Accounts!$B$228)</f>
        <v/>
      </c>
      <c r="C227">
        <f>IF([1]Accounts!$D$228="","",[1]Accounts!$C$228)</f>
        <v/>
      </c>
      <c r="D227">
        <f>IF([1]Accounts!$D$228="","",[1]Accounts!$D$228)</f>
        <v/>
      </c>
      <c r="E227">
        <f>IF([1]Accounts!$D$228="","",[1]Accounts!$E$228)</f>
        <v/>
      </c>
      <c r="F227">
        <f>IF([1]Accounts!$D$228="","",[1]Accounts!$F$228)</f>
        <v/>
      </c>
      <c r="G227">
        <f>IF([1]Accounts!$D$228="","",[1]Accounts!$G$228)</f>
        <v/>
      </c>
      <c r="T227">
        <f>IF([2]Baskol!$B$230="","",[2]Baskol!$B$230)</f>
        <v/>
      </c>
      <c r="U227">
        <f>IF([2]Baskol!$C$230="","",[2]Baskol!$C$230)</f>
        <v/>
      </c>
      <c r="V227">
        <f>IF([2]Baskol!$D$230="","",[2]Baskol!$D$230)</f>
        <v/>
      </c>
      <c r="W227">
        <f>IF([2]Baskol!$E$230="","",[2]Baskol!$E$230)</f>
        <v/>
      </c>
      <c r="X227">
        <f>IF([2]Baskol!$G$230="","",[2]Baskol!$G$230)</f>
        <v/>
      </c>
      <c r="Y227">
        <f>IF([2]Baskol!$I$230="","",[2]Baskol!$I$230)</f>
        <v/>
      </c>
      <c r="Z227">
        <f>IF([2]Baskol!$J$230="","",[2]Baskol!$J$230)</f>
        <v/>
      </c>
      <c r="AA227">
        <f>IF([2]Baskol!$K$230="","",[2]Baskol!$K$230)</f>
        <v/>
      </c>
      <c r="AB227">
        <f>IF([2]Baskol!$L$230="","",[2]Baskol!$L$230)</f>
        <v/>
      </c>
      <c r="AC227">
        <f>IF([2]Baskol!$N$230="","",[2]Baskol!$N$230)</f>
        <v/>
      </c>
      <c r="AD227">
        <f>IF([2]Baskol!$O$230="","",[2]Baskol!$O$230)</f>
        <v/>
      </c>
      <c r="AE227">
        <f>IF([3]Entry!$C$230="","",[3]Entry!$C$230)</f>
        <v/>
      </c>
      <c r="AF227">
        <f>IF([3]Entry!$D$230="","",[3]Entry!$D$230)</f>
        <v/>
      </c>
      <c r="AG227">
        <f>IF([3]Entry!$E$230="","",[3]Entry!$E$230)</f>
        <v/>
      </c>
      <c r="AH227">
        <f>IF([3]Entry!$G$230="","",[3]Entry!$G$230)</f>
        <v/>
      </c>
      <c r="AI227">
        <f>IF([3]Entry!$K$230="","",[3]Entry!$K$230)</f>
        <v/>
      </c>
      <c r="AJ227">
        <f>IF([3]Entry!$L$230="","",[3]Entry!$L$230)</f>
        <v/>
      </c>
      <c r="AK227">
        <f>IF([3]Entry!$M$230="","",[3]Entry!$M$230)</f>
        <v/>
      </c>
      <c r="AL227">
        <f>IF([3]Entry!$N$230="","",[3]Entry!$N$230)</f>
        <v/>
      </c>
      <c r="AM227">
        <f>IF([3]Entry!$R$230="","",[3]Entry!$R$230)</f>
        <v/>
      </c>
    </row>
    <row r="228">
      <c r="A228">
        <f>IF([1]Accounts!$D$229="","",[1]Accounts!$A$229)</f>
        <v/>
      </c>
      <c r="B228">
        <f>IF([1]Accounts!$D$229="","",[1]Accounts!$B$229)</f>
        <v/>
      </c>
      <c r="C228">
        <f>IF([1]Accounts!$D$229="","",[1]Accounts!$C$229)</f>
        <v/>
      </c>
      <c r="D228">
        <f>IF([1]Accounts!$D$229="","",[1]Accounts!$D$229)</f>
        <v/>
      </c>
      <c r="E228">
        <f>IF([1]Accounts!$D$229="","",[1]Accounts!$E$229)</f>
        <v/>
      </c>
      <c r="F228">
        <f>IF([1]Accounts!$D$229="","",[1]Accounts!$F$229)</f>
        <v/>
      </c>
      <c r="G228">
        <f>IF([1]Accounts!$D$229="","",[1]Accounts!$G$229)</f>
        <v/>
      </c>
      <c r="T228">
        <f>IF([2]Baskol!$B$231="","",[2]Baskol!$B$231)</f>
        <v/>
      </c>
      <c r="U228">
        <f>IF([2]Baskol!$C$231="","",[2]Baskol!$C$231)</f>
        <v/>
      </c>
      <c r="V228">
        <f>IF([2]Baskol!$D$231="","",[2]Baskol!$D$231)</f>
        <v/>
      </c>
      <c r="W228">
        <f>IF([2]Baskol!$E$231="","",[2]Baskol!$E$231)</f>
        <v/>
      </c>
      <c r="X228">
        <f>IF([2]Baskol!$G$231="","",[2]Baskol!$G$231)</f>
        <v/>
      </c>
      <c r="Y228">
        <f>IF([2]Baskol!$I$231="","",[2]Baskol!$I$231)</f>
        <v/>
      </c>
      <c r="Z228">
        <f>IF([2]Baskol!$J$231="","",[2]Baskol!$J$231)</f>
        <v/>
      </c>
      <c r="AA228">
        <f>IF([2]Baskol!$K$231="","",[2]Baskol!$K$231)</f>
        <v/>
      </c>
      <c r="AB228">
        <f>IF([2]Baskol!$L$231="","",[2]Baskol!$L$231)</f>
        <v/>
      </c>
      <c r="AC228">
        <f>IF([2]Baskol!$N$231="","",[2]Baskol!$N$231)</f>
        <v/>
      </c>
      <c r="AD228">
        <f>IF([2]Baskol!$O$231="","",[2]Baskol!$O$231)</f>
        <v/>
      </c>
      <c r="AE228">
        <f>IF([3]Entry!$C$231="","",[3]Entry!$C$231)</f>
        <v/>
      </c>
      <c r="AF228">
        <f>IF([3]Entry!$D$231="","",[3]Entry!$D$231)</f>
        <v/>
      </c>
      <c r="AG228">
        <f>IF([3]Entry!$E$231="","",[3]Entry!$E$231)</f>
        <v/>
      </c>
      <c r="AH228">
        <f>IF([3]Entry!$G$231="","",[3]Entry!$G$231)</f>
        <v/>
      </c>
      <c r="AI228">
        <f>IF([3]Entry!$K$231="","",[3]Entry!$K$231)</f>
        <v/>
      </c>
      <c r="AJ228">
        <f>IF([3]Entry!$L$231="","",[3]Entry!$L$231)</f>
        <v/>
      </c>
      <c r="AK228">
        <f>IF([3]Entry!$M$231="","",[3]Entry!$M$231)</f>
        <v/>
      </c>
      <c r="AL228">
        <f>IF([3]Entry!$N$231="","",[3]Entry!$N$231)</f>
        <v/>
      </c>
      <c r="AM228">
        <f>IF([3]Entry!$R$231="","",[3]Entry!$R$231)</f>
        <v/>
      </c>
    </row>
    <row r="229">
      <c r="A229">
        <f>IF([1]Accounts!$D$230="","",[1]Accounts!$A$230)</f>
        <v/>
      </c>
      <c r="B229">
        <f>IF([1]Accounts!$D$230="","",[1]Accounts!$B$230)</f>
        <v/>
      </c>
      <c r="C229">
        <f>IF([1]Accounts!$D$230="","",[1]Accounts!$C$230)</f>
        <v/>
      </c>
      <c r="D229">
        <f>IF([1]Accounts!$D$230="","",[1]Accounts!$D$230)</f>
        <v/>
      </c>
      <c r="E229">
        <f>IF([1]Accounts!$D$230="","",[1]Accounts!$E$230)</f>
        <v/>
      </c>
      <c r="F229">
        <f>IF([1]Accounts!$D$230="","",[1]Accounts!$F$230)</f>
        <v/>
      </c>
      <c r="G229">
        <f>IF([1]Accounts!$D$230="","",[1]Accounts!$G$230)</f>
        <v/>
      </c>
      <c r="T229">
        <f>IF([2]Baskol!$B$232="","",[2]Baskol!$B$232)</f>
        <v/>
      </c>
      <c r="U229">
        <f>IF([2]Baskol!$C$232="","",[2]Baskol!$C$232)</f>
        <v/>
      </c>
      <c r="V229">
        <f>IF([2]Baskol!$D$232="","",[2]Baskol!$D$232)</f>
        <v/>
      </c>
      <c r="W229">
        <f>IF([2]Baskol!$E$232="","",[2]Baskol!$E$232)</f>
        <v/>
      </c>
      <c r="X229">
        <f>IF([2]Baskol!$G$232="","",[2]Baskol!$G$232)</f>
        <v/>
      </c>
      <c r="Y229">
        <f>IF([2]Baskol!$I$232="","",[2]Baskol!$I$232)</f>
        <v/>
      </c>
      <c r="Z229">
        <f>IF([2]Baskol!$J$232="","",[2]Baskol!$J$232)</f>
        <v/>
      </c>
      <c r="AA229">
        <f>IF([2]Baskol!$K$232="","",[2]Baskol!$K$232)</f>
        <v/>
      </c>
      <c r="AB229">
        <f>IF([2]Baskol!$L$232="","",[2]Baskol!$L$232)</f>
        <v/>
      </c>
      <c r="AC229">
        <f>IF([2]Baskol!$N$232="","",[2]Baskol!$N$232)</f>
        <v/>
      </c>
      <c r="AD229">
        <f>IF([2]Baskol!$O$232="","",[2]Baskol!$O$232)</f>
        <v/>
      </c>
      <c r="AE229">
        <f>IF([3]Entry!$C$232="","",[3]Entry!$C$232)</f>
        <v/>
      </c>
      <c r="AF229">
        <f>IF([3]Entry!$D$232="","",[3]Entry!$D$232)</f>
        <v/>
      </c>
      <c r="AG229">
        <f>IF([3]Entry!$E$232="","",[3]Entry!$E$232)</f>
        <v/>
      </c>
      <c r="AH229">
        <f>IF([3]Entry!$G$232="","",[3]Entry!$G$232)</f>
        <v/>
      </c>
      <c r="AI229">
        <f>IF([3]Entry!$K$232="","",[3]Entry!$K$232)</f>
        <v/>
      </c>
      <c r="AJ229">
        <f>IF([3]Entry!$L$232="","",[3]Entry!$L$232)</f>
        <v/>
      </c>
      <c r="AK229">
        <f>IF([3]Entry!$M$232="","",[3]Entry!$M$232)</f>
        <v/>
      </c>
      <c r="AL229">
        <f>IF([3]Entry!$N$232="","",[3]Entry!$N$232)</f>
        <v/>
      </c>
      <c r="AM229">
        <f>IF([3]Entry!$R$232="","",[3]Entry!$R$232)</f>
        <v/>
      </c>
    </row>
    <row r="230">
      <c r="A230">
        <f>IF([1]Accounts!$D$231="","",[1]Accounts!$A$231)</f>
        <v/>
      </c>
      <c r="B230">
        <f>IF([1]Accounts!$D$231="","",[1]Accounts!$B$231)</f>
        <v/>
      </c>
      <c r="C230">
        <f>IF([1]Accounts!$D$231="","",[1]Accounts!$C$231)</f>
        <v/>
      </c>
      <c r="D230">
        <f>IF([1]Accounts!$D$231="","",[1]Accounts!$D$231)</f>
        <v/>
      </c>
      <c r="E230">
        <f>IF([1]Accounts!$D$231="","",[1]Accounts!$E$231)</f>
        <v/>
      </c>
      <c r="F230">
        <f>IF([1]Accounts!$D$231="","",[1]Accounts!$F$231)</f>
        <v/>
      </c>
      <c r="G230">
        <f>IF([1]Accounts!$D$231="","",[1]Accounts!$G$231)</f>
        <v/>
      </c>
      <c r="T230">
        <f>IF([2]Baskol!$B$233="","",[2]Baskol!$B$233)</f>
        <v/>
      </c>
      <c r="U230">
        <f>IF([2]Baskol!$C$233="","",[2]Baskol!$C$233)</f>
        <v/>
      </c>
      <c r="V230">
        <f>IF([2]Baskol!$D$233="","",[2]Baskol!$D$233)</f>
        <v/>
      </c>
      <c r="W230">
        <f>IF([2]Baskol!$E$233="","",[2]Baskol!$E$233)</f>
        <v/>
      </c>
      <c r="X230">
        <f>IF([2]Baskol!$G$233="","",[2]Baskol!$G$233)</f>
        <v/>
      </c>
      <c r="Y230">
        <f>IF([2]Baskol!$I$233="","",[2]Baskol!$I$233)</f>
        <v/>
      </c>
      <c r="Z230">
        <f>IF([2]Baskol!$J$233="","",[2]Baskol!$J$233)</f>
        <v/>
      </c>
      <c r="AA230">
        <f>IF([2]Baskol!$K$233="","",[2]Baskol!$K$233)</f>
        <v/>
      </c>
      <c r="AB230">
        <f>IF([2]Baskol!$L$233="","",[2]Baskol!$L$233)</f>
        <v/>
      </c>
      <c r="AC230">
        <f>IF([2]Baskol!$N$233="","",[2]Baskol!$N$233)</f>
        <v/>
      </c>
      <c r="AD230">
        <f>IF([2]Baskol!$O$233="","",[2]Baskol!$O$233)</f>
        <v/>
      </c>
      <c r="AE230">
        <f>IF([3]Entry!$C$233="","",[3]Entry!$C$233)</f>
        <v/>
      </c>
      <c r="AF230">
        <f>IF([3]Entry!$D$233="","",[3]Entry!$D$233)</f>
        <v/>
      </c>
      <c r="AG230">
        <f>IF([3]Entry!$E$233="","",[3]Entry!$E$233)</f>
        <v/>
      </c>
      <c r="AH230">
        <f>IF([3]Entry!$G$233="","",[3]Entry!$G$233)</f>
        <v/>
      </c>
      <c r="AI230">
        <f>IF([3]Entry!$K$233="","",[3]Entry!$K$233)</f>
        <v/>
      </c>
      <c r="AJ230">
        <f>IF([3]Entry!$L$233="","",[3]Entry!$L$233)</f>
        <v/>
      </c>
      <c r="AK230">
        <f>IF([3]Entry!$M$233="","",[3]Entry!$M$233)</f>
        <v/>
      </c>
      <c r="AL230">
        <f>IF([3]Entry!$N$233="","",[3]Entry!$N$233)</f>
        <v/>
      </c>
      <c r="AM230">
        <f>IF([3]Entry!$R$233="","",[3]Entry!$R$233)</f>
        <v/>
      </c>
    </row>
    <row r="231">
      <c r="A231">
        <f>IF([1]Accounts!$D$232="","",[1]Accounts!$A$232)</f>
        <v/>
      </c>
      <c r="B231">
        <f>IF([1]Accounts!$D$232="","",[1]Accounts!$B$232)</f>
        <v/>
      </c>
      <c r="C231">
        <f>IF([1]Accounts!$D$232="","",[1]Accounts!$C$232)</f>
        <v/>
      </c>
      <c r="D231">
        <f>IF([1]Accounts!$D$232="","",[1]Accounts!$D$232)</f>
        <v/>
      </c>
      <c r="E231">
        <f>IF([1]Accounts!$D$232="","",[1]Accounts!$E$232)</f>
        <v/>
      </c>
      <c r="F231">
        <f>IF([1]Accounts!$D$232="","",[1]Accounts!$F$232)</f>
        <v/>
      </c>
      <c r="G231">
        <f>IF([1]Accounts!$D$232="","",[1]Accounts!$G$232)</f>
        <v/>
      </c>
      <c r="T231">
        <f>IF([2]Baskol!$B$234="","",[2]Baskol!$B$234)</f>
        <v/>
      </c>
      <c r="U231">
        <f>IF([2]Baskol!$C$234="","",[2]Baskol!$C$234)</f>
        <v/>
      </c>
      <c r="V231">
        <f>IF([2]Baskol!$D$234="","",[2]Baskol!$D$234)</f>
        <v/>
      </c>
      <c r="W231">
        <f>IF([2]Baskol!$E$234="","",[2]Baskol!$E$234)</f>
        <v/>
      </c>
      <c r="X231">
        <f>IF([2]Baskol!$G$234="","",[2]Baskol!$G$234)</f>
        <v/>
      </c>
      <c r="Y231">
        <f>IF([2]Baskol!$I$234="","",[2]Baskol!$I$234)</f>
        <v/>
      </c>
      <c r="Z231">
        <f>IF([2]Baskol!$J$234="","",[2]Baskol!$J$234)</f>
        <v/>
      </c>
      <c r="AA231">
        <f>IF([2]Baskol!$K$234="","",[2]Baskol!$K$234)</f>
        <v/>
      </c>
      <c r="AB231">
        <f>IF([2]Baskol!$L$234="","",[2]Baskol!$L$234)</f>
        <v/>
      </c>
      <c r="AC231">
        <f>IF([2]Baskol!$N$234="","",[2]Baskol!$N$234)</f>
        <v/>
      </c>
      <c r="AD231">
        <f>IF([2]Baskol!$O$234="","",[2]Baskol!$O$234)</f>
        <v/>
      </c>
      <c r="AE231">
        <f>IF([3]Entry!$C$234="","",[3]Entry!$C$234)</f>
        <v/>
      </c>
      <c r="AF231">
        <f>IF([3]Entry!$D$234="","",[3]Entry!$D$234)</f>
        <v/>
      </c>
      <c r="AG231">
        <f>IF([3]Entry!$E$234="","",[3]Entry!$E$234)</f>
        <v/>
      </c>
      <c r="AH231">
        <f>IF([3]Entry!$G$234="","",[3]Entry!$G$234)</f>
        <v/>
      </c>
      <c r="AI231">
        <f>IF([3]Entry!$K$234="","",[3]Entry!$K$234)</f>
        <v/>
      </c>
      <c r="AJ231">
        <f>IF([3]Entry!$L$234="","",[3]Entry!$L$234)</f>
        <v/>
      </c>
      <c r="AK231">
        <f>IF([3]Entry!$M$234="","",[3]Entry!$M$234)</f>
        <v/>
      </c>
      <c r="AL231">
        <f>IF([3]Entry!$N$234="","",[3]Entry!$N$234)</f>
        <v/>
      </c>
      <c r="AM231">
        <f>IF([3]Entry!$R$234="","",[3]Entry!$R$234)</f>
        <v/>
      </c>
    </row>
    <row r="232">
      <c r="A232">
        <f>IF([1]Accounts!$D$233="","",[1]Accounts!$A$233)</f>
        <v/>
      </c>
      <c r="B232">
        <f>IF([1]Accounts!$D$233="","",[1]Accounts!$B$233)</f>
        <v/>
      </c>
      <c r="C232">
        <f>IF([1]Accounts!$D$233="","",[1]Accounts!$C$233)</f>
        <v/>
      </c>
      <c r="D232">
        <f>IF([1]Accounts!$D$233="","",[1]Accounts!$D$233)</f>
        <v/>
      </c>
      <c r="E232">
        <f>IF([1]Accounts!$D$233="","",[1]Accounts!$E$233)</f>
        <v/>
      </c>
      <c r="F232">
        <f>IF([1]Accounts!$D$233="","",[1]Accounts!$F$233)</f>
        <v/>
      </c>
      <c r="G232">
        <f>IF([1]Accounts!$D$233="","",[1]Accounts!$G$233)</f>
        <v/>
      </c>
      <c r="T232">
        <f>IF([2]Baskol!$B$235="","",[2]Baskol!$B$235)</f>
        <v/>
      </c>
      <c r="U232">
        <f>IF([2]Baskol!$C$235="","",[2]Baskol!$C$235)</f>
        <v/>
      </c>
      <c r="V232">
        <f>IF([2]Baskol!$D$235="","",[2]Baskol!$D$235)</f>
        <v/>
      </c>
      <c r="W232">
        <f>IF([2]Baskol!$E$235="","",[2]Baskol!$E$235)</f>
        <v/>
      </c>
      <c r="X232">
        <f>IF([2]Baskol!$G$235="","",[2]Baskol!$G$235)</f>
        <v/>
      </c>
      <c r="Y232">
        <f>IF([2]Baskol!$I$235="","",[2]Baskol!$I$235)</f>
        <v/>
      </c>
      <c r="Z232">
        <f>IF([2]Baskol!$J$235="","",[2]Baskol!$J$235)</f>
        <v/>
      </c>
      <c r="AA232">
        <f>IF([2]Baskol!$K$235="","",[2]Baskol!$K$235)</f>
        <v/>
      </c>
      <c r="AB232">
        <f>IF([2]Baskol!$L$235="","",[2]Baskol!$L$235)</f>
        <v/>
      </c>
      <c r="AC232">
        <f>IF([2]Baskol!$N$235="","",[2]Baskol!$N$235)</f>
        <v/>
      </c>
      <c r="AD232">
        <f>IF([2]Baskol!$O$235="","",[2]Baskol!$O$235)</f>
        <v/>
      </c>
      <c r="AE232">
        <f>IF([3]Entry!$C$235="","",[3]Entry!$C$235)</f>
        <v/>
      </c>
      <c r="AF232">
        <f>IF([3]Entry!$D$235="","",[3]Entry!$D$235)</f>
        <v/>
      </c>
      <c r="AG232">
        <f>IF([3]Entry!$E$235="","",[3]Entry!$E$235)</f>
        <v/>
      </c>
      <c r="AH232">
        <f>IF([3]Entry!$G$235="","",[3]Entry!$G$235)</f>
        <v/>
      </c>
      <c r="AI232">
        <f>IF([3]Entry!$K$235="","",[3]Entry!$K$235)</f>
        <v/>
      </c>
      <c r="AJ232">
        <f>IF([3]Entry!$L$235="","",[3]Entry!$L$235)</f>
        <v/>
      </c>
      <c r="AK232">
        <f>IF([3]Entry!$M$235="","",[3]Entry!$M$235)</f>
        <v/>
      </c>
      <c r="AL232">
        <f>IF([3]Entry!$N$235="","",[3]Entry!$N$235)</f>
        <v/>
      </c>
      <c r="AM232">
        <f>IF([3]Entry!$R$235="","",[3]Entry!$R$235)</f>
        <v/>
      </c>
    </row>
    <row r="233">
      <c r="A233">
        <f>IF([1]Accounts!$D$234="","",[1]Accounts!$A$234)</f>
        <v/>
      </c>
      <c r="B233">
        <f>IF([1]Accounts!$D$234="","",[1]Accounts!$B$234)</f>
        <v/>
      </c>
      <c r="C233">
        <f>IF([1]Accounts!$D$234="","",[1]Accounts!$C$234)</f>
        <v/>
      </c>
      <c r="D233">
        <f>IF([1]Accounts!$D$234="","",[1]Accounts!$D$234)</f>
        <v/>
      </c>
      <c r="E233">
        <f>IF([1]Accounts!$D$234="","",[1]Accounts!$E$234)</f>
        <v/>
      </c>
      <c r="F233">
        <f>IF([1]Accounts!$D$234="","",[1]Accounts!$F$234)</f>
        <v/>
      </c>
      <c r="G233">
        <f>IF([1]Accounts!$D$234="","",[1]Accounts!$G$234)</f>
        <v/>
      </c>
      <c r="T233">
        <f>IF([2]Baskol!$B$236="","",[2]Baskol!$B$236)</f>
        <v/>
      </c>
      <c r="U233">
        <f>IF([2]Baskol!$C$236="","",[2]Baskol!$C$236)</f>
        <v/>
      </c>
      <c r="V233">
        <f>IF([2]Baskol!$D$236="","",[2]Baskol!$D$236)</f>
        <v/>
      </c>
      <c r="W233">
        <f>IF([2]Baskol!$E$236="","",[2]Baskol!$E$236)</f>
        <v/>
      </c>
      <c r="X233">
        <f>IF([2]Baskol!$G$236="","",[2]Baskol!$G$236)</f>
        <v/>
      </c>
      <c r="Y233">
        <f>IF([2]Baskol!$I$236="","",[2]Baskol!$I$236)</f>
        <v/>
      </c>
      <c r="Z233">
        <f>IF([2]Baskol!$J$236="","",[2]Baskol!$J$236)</f>
        <v/>
      </c>
      <c r="AA233">
        <f>IF([2]Baskol!$K$236="","",[2]Baskol!$K$236)</f>
        <v/>
      </c>
      <c r="AB233">
        <f>IF([2]Baskol!$L$236="","",[2]Baskol!$L$236)</f>
        <v/>
      </c>
      <c r="AC233">
        <f>IF([2]Baskol!$N$236="","",[2]Baskol!$N$236)</f>
        <v/>
      </c>
      <c r="AD233">
        <f>IF([2]Baskol!$O$236="","",[2]Baskol!$O$236)</f>
        <v/>
      </c>
      <c r="AE233">
        <f>IF([3]Entry!$C$236="","",[3]Entry!$C$236)</f>
        <v/>
      </c>
      <c r="AF233">
        <f>IF([3]Entry!$D$236="","",[3]Entry!$D$236)</f>
        <v/>
      </c>
      <c r="AG233">
        <f>IF([3]Entry!$E$236="","",[3]Entry!$E$236)</f>
        <v/>
      </c>
      <c r="AH233">
        <f>IF([3]Entry!$G$236="","",[3]Entry!$G$236)</f>
        <v/>
      </c>
      <c r="AI233">
        <f>IF([3]Entry!$K$236="","",[3]Entry!$K$236)</f>
        <v/>
      </c>
      <c r="AJ233">
        <f>IF([3]Entry!$L$236="","",[3]Entry!$L$236)</f>
        <v/>
      </c>
      <c r="AK233">
        <f>IF([3]Entry!$M$236="","",[3]Entry!$M$236)</f>
        <v/>
      </c>
      <c r="AL233">
        <f>IF([3]Entry!$N$236="","",[3]Entry!$N$236)</f>
        <v/>
      </c>
      <c r="AM233">
        <f>IF([3]Entry!$R$236="","",[3]Entry!$R$236)</f>
        <v/>
      </c>
    </row>
    <row r="234">
      <c r="A234">
        <f>IF([1]Accounts!$D$235="","",[1]Accounts!$A$235)</f>
        <v/>
      </c>
      <c r="B234">
        <f>IF([1]Accounts!$D$235="","",[1]Accounts!$B$235)</f>
        <v/>
      </c>
      <c r="C234">
        <f>IF([1]Accounts!$D$235="","",[1]Accounts!$C$235)</f>
        <v/>
      </c>
      <c r="D234">
        <f>IF([1]Accounts!$D$235="","",[1]Accounts!$D$235)</f>
        <v/>
      </c>
      <c r="E234">
        <f>IF([1]Accounts!$D$235="","",[1]Accounts!$E$235)</f>
        <v/>
      </c>
      <c r="F234">
        <f>IF([1]Accounts!$D$235="","",[1]Accounts!$F$235)</f>
        <v/>
      </c>
      <c r="G234">
        <f>IF([1]Accounts!$D$235="","",[1]Accounts!$G$235)</f>
        <v/>
      </c>
      <c r="T234">
        <f>IF([2]Baskol!$B$237="","",[2]Baskol!$B$237)</f>
        <v/>
      </c>
      <c r="U234">
        <f>IF([2]Baskol!$C$237="","",[2]Baskol!$C$237)</f>
        <v/>
      </c>
      <c r="V234">
        <f>IF([2]Baskol!$D$237="","",[2]Baskol!$D$237)</f>
        <v/>
      </c>
      <c r="W234">
        <f>IF([2]Baskol!$E$237="","",[2]Baskol!$E$237)</f>
        <v/>
      </c>
      <c r="X234">
        <f>IF([2]Baskol!$G$237="","",[2]Baskol!$G$237)</f>
        <v/>
      </c>
      <c r="Y234">
        <f>IF([2]Baskol!$I$237="","",[2]Baskol!$I$237)</f>
        <v/>
      </c>
      <c r="Z234">
        <f>IF([2]Baskol!$J$237="","",[2]Baskol!$J$237)</f>
        <v/>
      </c>
      <c r="AA234">
        <f>IF([2]Baskol!$K$237="","",[2]Baskol!$K$237)</f>
        <v/>
      </c>
      <c r="AB234">
        <f>IF([2]Baskol!$L$237="","",[2]Baskol!$L$237)</f>
        <v/>
      </c>
      <c r="AC234">
        <f>IF([2]Baskol!$N$237="","",[2]Baskol!$N$237)</f>
        <v/>
      </c>
      <c r="AD234">
        <f>IF([2]Baskol!$O$237="","",[2]Baskol!$O$237)</f>
        <v/>
      </c>
      <c r="AE234">
        <f>IF([3]Entry!$C$237="","",[3]Entry!$C$237)</f>
        <v/>
      </c>
      <c r="AF234">
        <f>IF([3]Entry!$D$237="","",[3]Entry!$D$237)</f>
        <v/>
      </c>
      <c r="AG234">
        <f>IF([3]Entry!$E$237="","",[3]Entry!$E$237)</f>
        <v/>
      </c>
      <c r="AH234">
        <f>IF([3]Entry!$G$237="","",[3]Entry!$G$237)</f>
        <v/>
      </c>
      <c r="AI234">
        <f>IF([3]Entry!$K$237="","",[3]Entry!$K$237)</f>
        <v/>
      </c>
      <c r="AJ234">
        <f>IF([3]Entry!$L$237="","",[3]Entry!$L$237)</f>
        <v/>
      </c>
      <c r="AK234">
        <f>IF([3]Entry!$M$237="","",[3]Entry!$M$237)</f>
        <v/>
      </c>
      <c r="AL234">
        <f>IF([3]Entry!$N$237="","",[3]Entry!$N$237)</f>
        <v/>
      </c>
      <c r="AM234">
        <f>IF([3]Entry!$R$237="","",[3]Entry!$R$237)</f>
        <v/>
      </c>
    </row>
    <row r="235">
      <c r="A235">
        <f>IF([1]Accounts!$D$236="","",[1]Accounts!$A$236)</f>
        <v/>
      </c>
      <c r="B235">
        <f>IF([1]Accounts!$D$236="","",[1]Accounts!$B$236)</f>
        <v/>
      </c>
      <c r="C235">
        <f>IF([1]Accounts!$D$236="","",[1]Accounts!$C$236)</f>
        <v/>
      </c>
      <c r="D235">
        <f>IF([1]Accounts!$D$236="","",[1]Accounts!$D$236)</f>
        <v/>
      </c>
      <c r="E235">
        <f>IF([1]Accounts!$D$236="","",[1]Accounts!$E$236)</f>
        <v/>
      </c>
      <c r="F235">
        <f>IF([1]Accounts!$D$236="","",[1]Accounts!$F$236)</f>
        <v/>
      </c>
      <c r="G235">
        <f>IF([1]Accounts!$D$236="","",[1]Accounts!$G$236)</f>
        <v/>
      </c>
      <c r="T235">
        <f>IF([2]Baskol!$B$238="","",[2]Baskol!$B$238)</f>
        <v/>
      </c>
      <c r="U235">
        <f>IF([2]Baskol!$C$238="","",[2]Baskol!$C$238)</f>
        <v/>
      </c>
      <c r="V235">
        <f>IF([2]Baskol!$D$238="","",[2]Baskol!$D$238)</f>
        <v/>
      </c>
      <c r="W235">
        <f>IF([2]Baskol!$E$238="","",[2]Baskol!$E$238)</f>
        <v/>
      </c>
      <c r="X235">
        <f>IF([2]Baskol!$G$238="","",[2]Baskol!$G$238)</f>
        <v/>
      </c>
      <c r="Y235">
        <f>IF([2]Baskol!$I$238="","",[2]Baskol!$I$238)</f>
        <v/>
      </c>
      <c r="Z235">
        <f>IF([2]Baskol!$J$238="","",[2]Baskol!$J$238)</f>
        <v/>
      </c>
      <c r="AA235">
        <f>IF([2]Baskol!$K$238="","",[2]Baskol!$K$238)</f>
        <v/>
      </c>
      <c r="AB235">
        <f>IF([2]Baskol!$L$238="","",[2]Baskol!$L$238)</f>
        <v/>
      </c>
      <c r="AC235">
        <f>IF([2]Baskol!$N$238="","",[2]Baskol!$N$238)</f>
        <v/>
      </c>
      <c r="AD235">
        <f>IF([2]Baskol!$O$238="","",[2]Baskol!$O$238)</f>
        <v/>
      </c>
      <c r="AE235">
        <f>IF([3]Entry!$C$238="","",[3]Entry!$C$238)</f>
        <v/>
      </c>
      <c r="AF235">
        <f>IF([3]Entry!$D$238="","",[3]Entry!$D$238)</f>
        <v/>
      </c>
      <c r="AG235">
        <f>IF([3]Entry!$E$238="","",[3]Entry!$E$238)</f>
        <v/>
      </c>
      <c r="AH235">
        <f>IF([3]Entry!$G$238="","",[3]Entry!$G$238)</f>
        <v/>
      </c>
      <c r="AI235">
        <f>IF([3]Entry!$K$238="","",[3]Entry!$K$238)</f>
        <v/>
      </c>
      <c r="AJ235">
        <f>IF([3]Entry!$L$238="","",[3]Entry!$L$238)</f>
        <v/>
      </c>
      <c r="AK235">
        <f>IF([3]Entry!$M$238="","",[3]Entry!$M$238)</f>
        <v/>
      </c>
      <c r="AL235">
        <f>IF([3]Entry!$N$238="","",[3]Entry!$N$238)</f>
        <v/>
      </c>
      <c r="AM235">
        <f>IF([3]Entry!$R$238="","",[3]Entry!$R$238)</f>
        <v/>
      </c>
    </row>
    <row r="236">
      <c r="A236">
        <f>IF([1]Accounts!$D$237="","",[1]Accounts!$A$237)</f>
        <v/>
      </c>
      <c r="B236">
        <f>IF([1]Accounts!$D$237="","",[1]Accounts!$B$237)</f>
        <v/>
      </c>
      <c r="C236">
        <f>IF([1]Accounts!$D$237="","",[1]Accounts!$C$237)</f>
        <v/>
      </c>
      <c r="D236">
        <f>IF([1]Accounts!$D$237="","",[1]Accounts!$D$237)</f>
        <v/>
      </c>
      <c r="E236">
        <f>IF([1]Accounts!$D$237="","",[1]Accounts!$E$237)</f>
        <v/>
      </c>
      <c r="F236">
        <f>IF([1]Accounts!$D$237="","",[1]Accounts!$F$237)</f>
        <v/>
      </c>
      <c r="G236">
        <f>IF([1]Accounts!$D$237="","",[1]Accounts!$G$237)</f>
        <v/>
      </c>
      <c r="T236">
        <f>IF([2]Baskol!$B$239="","",[2]Baskol!$B$239)</f>
        <v/>
      </c>
      <c r="U236">
        <f>IF([2]Baskol!$C$239="","",[2]Baskol!$C$239)</f>
        <v/>
      </c>
      <c r="V236">
        <f>IF([2]Baskol!$D$239="","",[2]Baskol!$D$239)</f>
        <v/>
      </c>
      <c r="W236">
        <f>IF([2]Baskol!$E$239="","",[2]Baskol!$E$239)</f>
        <v/>
      </c>
      <c r="X236">
        <f>IF([2]Baskol!$G$239="","",[2]Baskol!$G$239)</f>
        <v/>
      </c>
      <c r="Y236">
        <f>IF([2]Baskol!$I$239="","",[2]Baskol!$I$239)</f>
        <v/>
      </c>
      <c r="Z236">
        <f>IF([2]Baskol!$J$239="","",[2]Baskol!$J$239)</f>
        <v/>
      </c>
      <c r="AA236">
        <f>IF([2]Baskol!$K$239="","",[2]Baskol!$K$239)</f>
        <v/>
      </c>
      <c r="AB236">
        <f>IF([2]Baskol!$L$239="","",[2]Baskol!$L$239)</f>
        <v/>
      </c>
      <c r="AC236">
        <f>IF([2]Baskol!$N$239="","",[2]Baskol!$N$239)</f>
        <v/>
      </c>
      <c r="AD236">
        <f>IF([2]Baskol!$O$239="","",[2]Baskol!$O$239)</f>
        <v/>
      </c>
      <c r="AE236">
        <f>IF([3]Entry!$C$239="","",[3]Entry!$C$239)</f>
        <v/>
      </c>
      <c r="AF236">
        <f>IF([3]Entry!$D$239="","",[3]Entry!$D$239)</f>
        <v/>
      </c>
      <c r="AG236">
        <f>IF([3]Entry!$E$239="","",[3]Entry!$E$239)</f>
        <v/>
      </c>
      <c r="AH236">
        <f>IF([3]Entry!$G$239="","",[3]Entry!$G$239)</f>
        <v/>
      </c>
      <c r="AI236">
        <f>IF([3]Entry!$K$239="","",[3]Entry!$K$239)</f>
        <v/>
      </c>
      <c r="AJ236">
        <f>IF([3]Entry!$L$239="","",[3]Entry!$L$239)</f>
        <v/>
      </c>
      <c r="AK236">
        <f>IF([3]Entry!$M$239="","",[3]Entry!$M$239)</f>
        <v/>
      </c>
      <c r="AL236">
        <f>IF([3]Entry!$N$239="","",[3]Entry!$N$239)</f>
        <v/>
      </c>
      <c r="AM236">
        <f>IF([3]Entry!$R$239="","",[3]Entry!$R$239)</f>
        <v/>
      </c>
    </row>
    <row r="237">
      <c r="A237">
        <f>IF([1]Accounts!$D$238="","",[1]Accounts!$A$238)</f>
        <v/>
      </c>
      <c r="B237">
        <f>IF([1]Accounts!$D$238="","",[1]Accounts!$B$238)</f>
        <v/>
      </c>
      <c r="C237">
        <f>IF([1]Accounts!$D$238="","",[1]Accounts!$C$238)</f>
        <v/>
      </c>
      <c r="D237">
        <f>IF([1]Accounts!$D$238="","",[1]Accounts!$D$238)</f>
        <v/>
      </c>
      <c r="E237">
        <f>IF([1]Accounts!$D$238="","",[1]Accounts!$E$238)</f>
        <v/>
      </c>
      <c r="F237">
        <f>IF([1]Accounts!$D$238="","",[1]Accounts!$F$238)</f>
        <v/>
      </c>
      <c r="G237">
        <f>IF([1]Accounts!$D$238="","",[1]Accounts!$G$238)</f>
        <v/>
      </c>
      <c r="T237">
        <f>IF([2]Baskol!$B$240="","",[2]Baskol!$B$240)</f>
        <v/>
      </c>
      <c r="U237">
        <f>IF([2]Baskol!$C$240="","",[2]Baskol!$C$240)</f>
        <v/>
      </c>
      <c r="V237">
        <f>IF([2]Baskol!$D$240="","",[2]Baskol!$D$240)</f>
        <v/>
      </c>
      <c r="W237">
        <f>IF([2]Baskol!$E$240="","",[2]Baskol!$E$240)</f>
        <v/>
      </c>
      <c r="X237">
        <f>IF([2]Baskol!$G$240="","",[2]Baskol!$G$240)</f>
        <v/>
      </c>
      <c r="Y237">
        <f>IF([2]Baskol!$I$240="","",[2]Baskol!$I$240)</f>
        <v/>
      </c>
      <c r="Z237">
        <f>IF([2]Baskol!$J$240="","",[2]Baskol!$J$240)</f>
        <v/>
      </c>
      <c r="AA237">
        <f>IF([2]Baskol!$K$240="","",[2]Baskol!$K$240)</f>
        <v/>
      </c>
      <c r="AB237">
        <f>IF([2]Baskol!$L$240="","",[2]Baskol!$L$240)</f>
        <v/>
      </c>
      <c r="AC237">
        <f>IF([2]Baskol!$N$240="","",[2]Baskol!$N$240)</f>
        <v/>
      </c>
      <c r="AD237">
        <f>IF([2]Baskol!$O$240="","",[2]Baskol!$O$240)</f>
        <v/>
      </c>
      <c r="AE237">
        <f>IF([3]Entry!$C$240="","",[3]Entry!$C$240)</f>
        <v/>
      </c>
      <c r="AF237">
        <f>IF([3]Entry!$D$240="","",[3]Entry!$D$240)</f>
        <v/>
      </c>
      <c r="AG237">
        <f>IF([3]Entry!$E$240="","",[3]Entry!$E$240)</f>
        <v/>
      </c>
      <c r="AH237">
        <f>IF([3]Entry!$G$240="","",[3]Entry!$G$240)</f>
        <v/>
      </c>
      <c r="AI237">
        <f>IF([3]Entry!$K$240="","",[3]Entry!$K$240)</f>
        <v/>
      </c>
      <c r="AJ237">
        <f>IF([3]Entry!$L$240="","",[3]Entry!$L$240)</f>
        <v/>
      </c>
      <c r="AK237">
        <f>IF([3]Entry!$M$240="","",[3]Entry!$M$240)</f>
        <v/>
      </c>
      <c r="AL237">
        <f>IF([3]Entry!$N$240="","",[3]Entry!$N$240)</f>
        <v/>
      </c>
      <c r="AM237">
        <f>IF([3]Entry!$R$240="","",[3]Entry!$R$240)</f>
        <v/>
      </c>
    </row>
    <row r="238">
      <c r="A238">
        <f>IF([1]Accounts!$D$239="","",[1]Accounts!$A$239)</f>
        <v/>
      </c>
      <c r="B238">
        <f>IF([1]Accounts!$D$239="","",[1]Accounts!$B$239)</f>
        <v/>
      </c>
      <c r="C238">
        <f>IF([1]Accounts!$D$239="","",[1]Accounts!$C$239)</f>
        <v/>
      </c>
      <c r="D238">
        <f>IF([1]Accounts!$D$239="","",[1]Accounts!$D$239)</f>
        <v/>
      </c>
      <c r="E238">
        <f>IF([1]Accounts!$D$239="","",[1]Accounts!$E$239)</f>
        <v/>
      </c>
      <c r="F238">
        <f>IF([1]Accounts!$D$239="","",[1]Accounts!$F$239)</f>
        <v/>
      </c>
      <c r="G238">
        <f>IF([1]Accounts!$D$239="","",[1]Accounts!$G$239)</f>
        <v/>
      </c>
      <c r="T238">
        <f>IF([2]Baskol!$B$241="","",[2]Baskol!$B$241)</f>
        <v/>
      </c>
      <c r="U238">
        <f>IF([2]Baskol!$C$241="","",[2]Baskol!$C$241)</f>
        <v/>
      </c>
      <c r="V238">
        <f>IF([2]Baskol!$D$241="","",[2]Baskol!$D$241)</f>
        <v/>
      </c>
      <c r="W238">
        <f>IF([2]Baskol!$E$241="","",[2]Baskol!$E$241)</f>
        <v/>
      </c>
      <c r="X238">
        <f>IF([2]Baskol!$G$241="","",[2]Baskol!$G$241)</f>
        <v/>
      </c>
      <c r="Y238">
        <f>IF([2]Baskol!$I$241="","",[2]Baskol!$I$241)</f>
        <v/>
      </c>
      <c r="Z238">
        <f>IF([2]Baskol!$J$241="","",[2]Baskol!$J$241)</f>
        <v/>
      </c>
      <c r="AA238">
        <f>IF([2]Baskol!$K$241="","",[2]Baskol!$K$241)</f>
        <v/>
      </c>
      <c r="AB238">
        <f>IF([2]Baskol!$L$241="","",[2]Baskol!$L$241)</f>
        <v/>
      </c>
      <c r="AC238">
        <f>IF([2]Baskol!$N$241="","",[2]Baskol!$N$241)</f>
        <v/>
      </c>
      <c r="AD238">
        <f>IF([2]Baskol!$O$241="","",[2]Baskol!$O$241)</f>
        <v/>
      </c>
      <c r="AE238">
        <f>IF([3]Entry!$C$241="","",[3]Entry!$C$241)</f>
        <v/>
      </c>
      <c r="AF238">
        <f>IF([3]Entry!$D$241="","",[3]Entry!$D$241)</f>
        <v/>
      </c>
      <c r="AG238">
        <f>IF([3]Entry!$E$241="","",[3]Entry!$E$241)</f>
        <v/>
      </c>
      <c r="AH238">
        <f>IF([3]Entry!$G$241="","",[3]Entry!$G$241)</f>
        <v/>
      </c>
      <c r="AI238">
        <f>IF([3]Entry!$K$241="","",[3]Entry!$K$241)</f>
        <v/>
      </c>
      <c r="AJ238">
        <f>IF([3]Entry!$L$241="","",[3]Entry!$L$241)</f>
        <v/>
      </c>
      <c r="AK238">
        <f>IF([3]Entry!$M$241="","",[3]Entry!$M$241)</f>
        <v/>
      </c>
      <c r="AL238">
        <f>IF([3]Entry!$N$241="","",[3]Entry!$N$241)</f>
        <v/>
      </c>
      <c r="AM238">
        <f>IF([3]Entry!$R$241="","",[3]Entry!$R$241)</f>
        <v/>
      </c>
    </row>
    <row r="239">
      <c r="A239">
        <f>IF([1]Accounts!$D$240="","",[1]Accounts!$A$240)</f>
        <v/>
      </c>
      <c r="B239">
        <f>IF([1]Accounts!$D$240="","",[1]Accounts!$B$240)</f>
        <v/>
      </c>
      <c r="C239">
        <f>IF([1]Accounts!$D$240="","",[1]Accounts!$C$240)</f>
        <v/>
      </c>
      <c r="D239">
        <f>IF([1]Accounts!$D$240="","",[1]Accounts!$D$240)</f>
        <v/>
      </c>
      <c r="E239">
        <f>IF([1]Accounts!$D$240="","",[1]Accounts!$E$240)</f>
        <v/>
      </c>
      <c r="F239">
        <f>IF([1]Accounts!$D$240="","",[1]Accounts!$F$240)</f>
        <v/>
      </c>
      <c r="G239">
        <f>IF([1]Accounts!$D$240="","",[1]Accounts!$G$240)</f>
        <v/>
      </c>
      <c r="T239">
        <f>IF([2]Baskol!$B$242="","",[2]Baskol!$B$242)</f>
        <v/>
      </c>
      <c r="U239">
        <f>IF([2]Baskol!$C$242="","",[2]Baskol!$C$242)</f>
        <v/>
      </c>
      <c r="V239">
        <f>IF([2]Baskol!$D$242="","",[2]Baskol!$D$242)</f>
        <v/>
      </c>
      <c r="W239">
        <f>IF([2]Baskol!$E$242="","",[2]Baskol!$E$242)</f>
        <v/>
      </c>
      <c r="X239">
        <f>IF([2]Baskol!$G$242="","",[2]Baskol!$G$242)</f>
        <v/>
      </c>
      <c r="Y239">
        <f>IF([2]Baskol!$I$242="","",[2]Baskol!$I$242)</f>
        <v/>
      </c>
      <c r="Z239">
        <f>IF([2]Baskol!$J$242="","",[2]Baskol!$J$242)</f>
        <v/>
      </c>
      <c r="AA239">
        <f>IF([2]Baskol!$K$242="","",[2]Baskol!$K$242)</f>
        <v/>
      </c>
      <c r="AB239">
        <f>IF([2]Baskol!$L$242="","",[2]Baskol!$L$242)</f>
        <v/>
      </c>
      <c r="AC239">
        <f>IF([2]Baskol!$N$242="","",[2]Baskol!$N$242)</f>
        <v/>
      </c>
      <c r="AD239">
        <f>IF([2]Baskol!$O$242="","",[2]Baskol!$O$242)</f>
        <v/>
      </c>
      <c r="AE239">
        <f>IF([3]Entry!$C$242="","",[3]Entry!$C$242)</f>
        <v/>
      </c>
      <c r="AF239">
        <f>IF([3]Entry!$D$242="","",[3]Entry!$D$242)</f>
        <v/>
      </c>
      <c r="AG239">
        <f>IF([3]Entry!$E$242="","",[3]Entry!$E$242)</f>
        <v/>
      </c>
      <c r="AH239">
        <f>IF([3]Entry!$G$242="","",[3]Entry!$G$242)</f>
        <v/>
      </c>
      <c r="AI239">
        <f>IF([3]Entry!$K$242="","",[3]Entry!$K$242)</f>
        <v/>
      </c>
      <c r="AJ239">
        <f>IF([3]Entry!$L$242="","",[3]Entry!$L$242)</f>
        <v/>
      </c>
      <c r="AK239">
        <f>IF([3]Entry!$M$242="","",[3]Entry!$M$242)</f>
        <v/>
      </c>
      <c r="AL239">
        <f>IF([3]Entry!$N$242="","",[3]Entry!$N$242)</f>
        <v/>
      </c>
      <c r="AM239">
        <f>IF([3]Entry!$R$242="","",[3]Entry!$R$242)</f>
        <v/>
      </c>
    </row>
    <row r="240">
      <c r="A240">
        <f>IF([1]Accounts!$D$241="","",[1]Accounts!$A$241)</f>
        <v/>
      </c>
      <c r="B240">
        <f>IF([1]Accounts!$D$241="","",[1]Accounts!$B$241)</f>
        <v/>
      </c>
      <c r="C240">
        <f>IF([1]Accounts!$D$241="","",[1]Accounts!$C$241)</f>
        <v/>
      </c>
      <c r="D240">
        <f>IF([1]Accounts!$D$241="","",[1]Accounts!$D$241)</f>
        <v/>
      </c>
      <c r="E240">
        <f>IF([1]Accounts!$D$241="","",[1]Accounts!$E$241)</f>
        <v/>
      </c>
      <c r="F240">
        <f>IF([1]Accounts!$D$241="","",[1]Accounts!$F$241)</f>
        <v/>
      </c>
      <c r="G240">
        <f>IF([1]Accounts!$D$241="","",[1]Accounts!$G$241)</f>
        <v/>
      </c>
      <c r="T240">
        <f>IF([2]Baskol!$B$243="","",[2]Baskol!$B$243)</f>
        <v/>
      </c>
      <c r="U240">
        <f>IF([2]Baskol!$C$243="","",[2]Baskol!$C$243)</f>
        <v/>
      </c>
      <c r="V240">
        <f>IF([2]Baskol!$D$243="","",[2]Baskol!$D$243)</f>
        <v/>
      </c>
      <c r="W240">
        <f>IF([2]Baskol!$E$243="","",[2]Baskol!$E$243)</f>
        <v/>
      </c>
      <c r="X240">
        <f>IF([2]Baskol!$G$243="","",[2]Baskol!$G$243)</f>
        <v/>
      </c>
      <c r="Y240">
        <f>IF([2]Baskol!$I$243="","",[2]Baskol!$I$243)</f>
        <v/>
      </c>
      <c r="Z240">
        <f>IF([2]Baskol!$J$243="","",[2]Baskol!$J$243)</f>
        <v/>
      </c>
      <c r="AA240">
        <f>IF([2]Baskol!$K$243="","",[2]Baskol!$K$243)</f>
        <v/>
      </c>
      <c r="AB240">
        <f>IF([2]Baskol!$L$243="","",[2]Baskol!$L$243)</f>
        <v/>
      </c>
      <c r="AC240">
        <f>IF([2]Baskol!$N$243="","",[2]Baskol!$N$243)</f>
        <v/>
      </c>
      <c r="AD240">
        <f>IF([2]Baskol!$O$243="","",[2]Baskol!$O$243)</f>
        <v/>
      </c>
      <c r="AE240">
        <f>IF([3]Entry!$C$243="","",[3]Entry!$C$243)</f>
        <v/>
      </c>
      <c r="AF240">
        <f>IF([3]Entry!$D$243="","",[3]Entry!$D$243)</f>
        <v/>
      </c>
      <c r="AG240">
        <f>IF([3]Entry!$E$243="","",[3]Entry!$E$243)</f>
        <v/>
      </c>
      <c r="AH240">
        <f>IF([3]Entry!$G$243="","",[3]Entry!$G$243)</f>
        <v/>
      </c>
      <c r="AI240">
        <f>IF([3]Entry!$K$243="","",[3]Entry!$K$243)</f>
        <v/>
      </c>
      <c r="AJ240">
        <f>IF([3]Entry!$L$243="","",[3]Entry!$L$243)</f>
        <v/>
      </c>
      <c r="AK240">
        <f>IF([3]Entry!$M$243="","",[3]Entry!$M$243)</f>
        <v/>
      </c>
      <c r="AL240">
        <f>IF([3]Entry!$N$243="","",[3]Entry!$N$243)</f>
        <v/>
      </c>
      <c r="AM240">
        <f>IF([3]Entry!$R$243="","",[3]Entry!$R$243)</f>
        <v/>
      </c>
    </row>
    <row r="241">
      <c r="A241">
        <f>IF([1]Accounts!$D$242="","",[1]Accounts!$A$242)</f>
        <v/>
      </c>
      <c r="B241">
        <f>IF([1]Accounts!$D$242="","",[1]Accounts!$B$242)</f>
        <v/>
      </c>
      <c r="C241">
        <f>IF([1]Accounts!$D$242="","",[1]Accounts!$C$242)</f>
        <v/>
      </c>
      <c r="D241">
        <f>IF([1]Accounts!$D$242="","",[1]Accounts!$D$242)</f>
        <v/>
      </c>
      <c r="E241">
        <f>IF([1]Accounts!$D$242="","",[1]Accounts!$E$242)</f>
        <v/>
      </c>
      <c r="F241">
        <f>IF([1]Accounts!$D$242="","",[1]Accounts!$F$242)</f>
        <v/>
      </c>
      <c r="G241">
        <f>IF([1]Accounts!$D$242="","",[1]Accounts!$G$242)</f>
        <v/>
      </c>
      <c r="T241">
        <f>IF([2]Baskol!$B$244="","",[2]Baskol!$B$244)</f>
        <v/>
      </c>
      <c r="U241">
        <f>IF([2]Baskol!$C$244="","",[2]Baskol!$C$244)</f>
        <v/>
      </c>
      <c r="V241">
        <f>IF([2]Baskol!$D$244="","",[2]Baskol!$D$244)</f>
        <v/>
      </c>
      <c r="W241">
        <f>IF([2]Baskol!$E$244="","",[2]Baskol!$E$244)</f>
        <v/>
      </c>
      <c r="X241">
        <f>IF([2]Baskol!$G$244="","",[2]Baskol!$G$244)</f>
        <v/>
      </c>
      <c r="Y241">
        <f>IF([2]Baskol!$I$244="","",[2]Baskol!$I$244)</f>
        <v/>
      </c>
      <c r="Z241">
        <f>IF([2]Baskol!$J$244="","",[2]Baskol!$J$244)</f>
        <v/>
      </c>
      <c r="AA241">
        <f>IF([2]Baskol!$K$244="","",[2]Baskol!$K$244)</f>
        <v/>
      </c>
      <c r="AB241">
        <f>IF([2]Baskol!$L$244="","",[2]Baskol!$L$244)</f>
        <v/>
      </c>
      <c r="AC241">
        <f>IF([2]Baskol!$N$244="","",[2]Baskol!$N$244)</f>
        <v/>
      </c>
      <c r="AD241">
        <f>IF([2]Baskol!$O$244="","",[2]Baskol!$O$244)</f>
        <v/>
      </c>
      <c r="AE241">
        <f>IF([3]Entry!$C$244="","",[3]Entry!$C$244)</f>
        <v/>
      </c>
      <c r="AF241">
        <f>IF([3]Entry!$D$244="","",[3]Entry!$D$244)</f>
        <v/>
      </c>
      <c r="AG241">
        <f>IF([3]Entry!$E$244="","",[3]Entry!$E$244)</f>
        <v/>
      </c>
      <c r="AH241">
        <f>IF([3]Entry!$G$244="","",[3]Entry!$G$244)</f>
        <v/>
      </c>
      <c r="AI241">
        <f>IF([3]Entry!$K$244="","",[3]Entry!$K$244)</f>
        <v/>
      </c>
      <c r="AJ241">
        <f>IF([3]Entry!$L$244="","",[3]Entry!$L$244)</f>
        <v/>
      </c>
      <c r="AK241">
        <f>IF([3]Entry!$M$244="","",[3]Entry!$M$244)</f>
        <v/>
      </c>
      <c r="AL241">
        <f>IF([3]Entry!$N$244="","",[3]Entry!$N$244)</f>
        <v/>
      </c>
      <c r="AM241">
        <f>IF([3]Entry!$R$244="","",[3]Entry!$R$244)</f>
        <v/>
      </c>
    </row>
    <row r="242">
      <c r="A242">
        <f>IF([1]Accounts!$D$243="","",[1]Accounts!$A$243)</f>
        <v/>
      </c>
      <c r="B242">
        <f>IF([1]Accounts!$D$243="","",[1]Accounts!$B$243)</f>
        <v/>
      </c>
      <c r="C242">
        <f>IF([1]Accounts!$D$243="","",[1]Accounts!$C$243)</f>
        <v/>
      </c>
      <c r="D242">
        <f>IF([1]Accounts!$D$243="","",[1]Accounts!$D$243)</f>
        <v/>
      </c>
      <c r="E242">
        <f>IF([1]Accounts!$D$243="","",[1]Accounts!$E$243)</f>
        <v/>
      </c>
      <c r="F242">
        <f>IF([1]Accounts!$D$243="","",[1]Accounts!$F$243)</f>
        <v/>
      </c>
      <c r="G242">
        <f>IF([1]Accounts!$D$243="","",[1]Accounts!$G$243)</f>
        <v/>
      </c>
      <c r="T242">
        <f>IF([2]Baskol!$B$245="","",[2]Baskol!$B$245)</f>
        <v/>
      </c>
      <c r="U242">
        <f>IF([2]Baskol!$C$245="","",[2]Baskol!$C$245)</f>
        <v/>
      </c>
      <c r="V242">
        <f>IF([2]Baskol!$D$245="","",[2]Baskol!$D$245)</f>
        <v/>
      </c>
      <c r="W242">
        <f>IF([2]Baskol!$E$245="","",[2]Baskol!$E$245)</f>
        <v/>
      </c>
      <c r="X242">
        <f>IF([2]Baskol!$G$245="","",[2]Baskol!$G$245)</f>
        <v/>
      </c>
      <c r="Y242">
        <f>IF([2]Baskol!$I$245="","",[2]Baskol!$I$245)</f>
        <v/>
      </c>
      <c r="Z242">
        <f>IF([2]Baskol!$J$245="","",[2]Baskol!$J$245)</f>
        <v/>
      </c>
      <c r="AA242">
        <f>IF([2]Baskol!$K$245="","",[2]Baskol!$K$245)</f>
        <v/>
      </c>
      <c r="AB242">
        <f>IF([2]Baskol!$L$245="","",[2]Baskol!$L$245)</f>
        <v/>
      </c>
      <c r="AC242">
        <f>IF([2]Baskol!$N$245="","",[2]Baskol!$N$245)</f>
        <v/>
      </c>
      <c r="AD242">
        <f>IF([2]Baskol!$O$245="","",[2]Baskol!$O$245)</f>
        <v/>
      </c>
      <c r="AE242">
        <f>IF([3]Entry!$C$245="","",[3]Entry!$C$245)</f>
        <v/>
      </c>
      <c r="AF242">
        <f>IF([3]Entry!$D$245="","",[3]Entry!$D$245)</f>
        <v/>
      </c>
      <c r="AG242">
        <f>IF([3]Entry!$E$245="","",[3]Entry!$E$245)</f>
        <v/>
      </c>
      <c r="AH242">
        <f>IF([3]Entry!$G$245="","",[3]Entry!$G$245)</f>
        <v/>
      </c>
      <c r="AI242">
        <f>IF([3]Entry!$K$245="","",[3]Entry!$K$245)</f>
        <v/>
      </c>
      <c r="AJ242">
        <f>IF([3]Entry!$L$245="","",[3]Entry!$L$245)</f>
        <v/>
      </c>
      <c r="AK242">
        <f>IF([3]Entry!$M$245="","",[3]Entry!$M$245)</f>
        <v/>
      </c>
      <c r="AL242">
        <f>IF([3]Entry!$N$245="","",[3]Entry!$N$245)</f>
        <v/>
      </c>
      <c r="AM242">
        <f>IF([3]Entry!$R$245="","",[3]Entry!$R$245)</f>
        <v/>
      </c>
    </row>
    <row r="243">
      <c r="A243">
        <f>IF([1]Accounts!$D$244="","",[1]Accounts!$A$244)</f>
        <v/>
      </c>
      <c r="B243">
        <f>IF([1]Accounts!$D$244="","",[1]Accounts!$B$244)</f>
        <v/>
      </c>
      <c r="C243">
        <f>IF([1]Accounts!$D$244="","",[1]Accounts!$C$244)</f>
        <v/>
      </c>
      <c r="D243">
        <f>IF([1]Accounts!$D$244="","",[1]Accounts!$D$244)</f>
        <v/>
      </c>
      <c r="E243">
        <f>IF([1]Accounts!$D$244="","",[1]Accounts!$E$244)</f>
        <v/>
      </c>
      <c r="F243">
        <f>IF([1]Accounts!$D$244="","",[1]Accounts!$F$244)</f>
        <v/>
      </c>
      <c r="G243">
        <f>IF([1]Accounts!$D$244="","",[1]Accounts!$G$244)</f>
        <v/>
      </c>
      <c r="T243">
        <f>IF([2]Baskol!$B$246="","",[2]Baskol!$B$246)</f>
        <v/>
      </c>
      <c r="U243">
        <f>IF([2]Baskol!$C$246="","",[2]Baskol!$C$246)</f>
        <v/>
      </c>
      <c r="V243">
        <f>IF([2]Baskol!$D$246="","",[2]Baskol!$D$246)</f>
        <v/>
      </c>
      <c r="W243">
        <f>IF([2]Baskol!$E$246="","",[2]Baskol!$E$246)</f>
        <v/>
      </c>
      <c r="X243">
        <f>IF([2]Baskol!$G$246="","",[2]Baskol!$G$246)</f>
        <v/>
      </c>
      <c r="Y243">
        <f>IF([2]Baskol!$I$246="","",[2]Baskol!$I$246)</f>
        <v/>
      </c>
      <c r="Z243">
        <f>IF([2]Baskol!$J$246="","",[2]Baskol!$J$246)</f>
        <v/>
      </c>
      <c r="AA243">
        <f>IF([2]Baskol!$K$246="","",[2]Baskol!$K$246)</f>
        <v/>
      </c>
      <c r="AB243">
        <f>IF([2]Baskol!$L$246="","",[2]Baskol!$L$246)</f>
        <v/>
      </c>
      <c r="AC243">
        <f>IF([2]Baskol!$N$246="","",[2]Baskol!$N$246)</f>
        <v/>
      </c>
      <c r="AD243">
        <f>IF([2]Baskol!$O$246="","",[2]Baskol!$O$246)</f>
        <v/>
      </c>
      <c r="AE243">
        <f>IF([3]Entry!$C$246="","",[3]Entry!$C$246)</f>
        <v/>
      </c>
      <c r="AF243">
        <f>IF([3]Entry!$D$246="","",[3]Entry!$D$246)</f>
        <v/>
      </c>
      <c r="AG243">
        <f>IF([3]Entry!$E$246="","",[3]Entry!$E$246)</f>
        <v/>
      </c>
      <c r="AH243">
        <f>IF([3]Entry!$G$246="","",[3]Entry!$G$246)</f>
        <v/>
      </c>
      <c r="AI243">
        <f>IF([3]Entry!$K$246="","",[3]Entry!$K$246)</f>
        <v/>
      </c>
      <c r="AJ243">
        <f>IF([3]Entry!$L$246="","",[3]Entry!$L$246)</f>
        <v/>
      </c>
      <c r="AK243">
        <f>IF([3]Entry!$M$246="","",[3]Entry!$M$246)</f>
        <v/>
      </c>
      <c r="AL243">
        <f>IF([3]Entry!$N$246="","",[3]Entry!$N$246)</f>
        <v/>
      </c>
      <c r="AM243">
        <f>IF([3]Entry!$R$246="","",[3]Entry!$R$246)</f>
        <v/>
      </c>
    </row>
    <row r="244">
      <c r="A244">
        <f>IF([1]Accounts!$D$245="","",[1]Accounts!$A$245)</f>
        <v/>
      </c>
      <c r="B244">
        <f>IF([1]Accounts!$D$245="","",[1]Accounts!$B$245)</f>
        <v/>
      </c>
      <c r="C244">
        <f>IF([1]Accounts!$D$245="","",[1]Accounts!$C$245)</f>
        <v/>
      </c>
      <c r="D244">
        <f>IF([1]Accounts!$D$245="","",[1]Accounts!$D$245)</f>
        <v/>
      </c>
      <c r="E244">
        <f>IF([1]Accounts!$D$245="","",[1]Accounts!$E$245)</f>
        <v/>
      </c>
      <c r="F244">
        <f>IF([1]Accounts!$D$245="","",[1]Accounts!$F$245)</f>
        <v/>
      </c>
      <c r="G244">
        <f>IF([1]Accounts!$D$245="","",[1]Accounts!$G$245)</f>
        <v/>
      </c>
      <c r="T244">
        <f>IF([2]Baskol!$B$247="","",[2]Baskol!$B$247)</f>
        <v/>
      </c>
      <c r="U244">
        <f>IF([2]Baskol!$C$247="","",[2]Baskol!$C$247)</f>
        <v/>
      </c>
      <c r="V244">
        <f>IF([2]Baskol!$D$247="","",[2]Baskol!$D$247)</f>
        <v/>
      </c>
      <c r="W244">
        <f>IF([2]Baskol!$E$247="","",[2]Baskol!$E$247)</f>
        <v/>
      </c>
      <c r="X244">
        <f>IF([2]Baskol!$G$247="","",[2]Baskol!$G$247)</f>
        <v/>
      </c>
      <c r="Y244">
        <f>IF([2]Baskol!$I$247="","",[2]Baskol!$I$247)</f>
        <v/>
      </c>
      <c r="Z244">
        <f>IF([2]Baskol!$J$247="","",[2]Baskol!$J$247)</f>
        <v/>
      </c>
      <c r="AA244">
        <f>IF([2]Baskol!$K$247="","",[2]Baskol!$K$247)</f>
        <v/>
      </c>
      <c r="AB244">
        <f>IF([2]Baskol!$L$247="","",[2]Baskol!$L$247)</f>
        <v/>
      </c>
      <c r="AC244">
        <f>IF([2]Baskol!$N$247="","",[2]Baskol!$N$247)</f>
        <v/>
      </c>
      <c r="AD244">
        <f>IF([2]Baskol!$O$247="","",[2]Baskol!$O$247)</f>
        <v/>
      </c>
      <c r="AE244">
        <f>IF([3]Entry!$C$247="","",[3]Entry!$C$247)</f>
        <v/>
      </c>
      <c r="AF244">
        <f>IF([3]Entry!$D$247="","",[3]Entry!$D$247)</f>
        <v/>
      </c>
      <c r="AG244">
        <f>IF([3]Entry!$E$247="","",[3]Entry!$E$247)</f>
        <v/>
      </c>
      <c r="AH244">
        <f>IF([3]Entry!$G$247="","",[3]Entry!$G$247)</f>
        <v/>
      </c>
      <c r="AI244">
        <f>IF([3]Entry!$K$247="","",[3]Entry!$K$247)</f>
        <v/>
      </c>
      <c r="AJ244">
        <f>IF([3]Entry!$L$247="","",[3]Entry!$L$247)</f>
        <v/>
      </c>
      <c r="AK244">
        <f>IF([3]Entry!$M$247="","",[3]Entry!$M$247)</f>
        <v/>
      </c>
      <c r="AL244">
        <f>IF([3]Entry!$N$247="","",[3]Entry!$N$247)</f>
        <v/>
      </c>
      <c r="AM244">
        <f>IF([3]Entry!$R$247="","",[3]Entry!$R$247)</f>
        <v/>
      </c>
    </row>
    <row r="245">
      <c r="A245">
        <f>IF([1]Accounts!$D$246="","",[1]Accounts!$A$246)</f>
        <v/>
      </c>
      <c r="B245">
        <f>IF([1]Accounts!$D$246="","",[1]Accounts!$B$246)</f>
        <v/>
      </c>
      <c r="C245">
        <f>IF([1]Accounts!$D$246="","",[1]Accounts!$C$246)</f>
        <v/>
      </c>
      <c r="D245">
        <f>IF([1]Accounts!$D$246="","",[1]Accounts!$D$246)</f>
        <v/>
      </c>
      <c r="E245">
        <f>IF([1]Accounts!$D$246="","",[1]Accounts!$E$246)</f>
        <v/>
      </c>
      <c r="F245">
        <f>IF([1]Accounts!$D$246="","",[1]Accounts!$F$246)</f>
        <v/>
      </c>
      <c r="G245">
        <f>IF([1]Accounts!$D$246="","",[1]Accounts!$G$246)</f>
        <v/>
      </c>
      <c r="T245">
        <f>IF([2]Baskol!$B$248="","",[2]Baskol!$B$248)</f>
        <v/>
      </c>
      <c r="U245">
        <f>IF([2]Baskol!$C$248="","",[2]Baskol!$C$248)</f>
        <v/>
      </c>
      <c r="V245">
        <f>IF([2]Baskol!$D$248="","",[2]Baskol!$D$248)</f>
        <v/>
      </c>
      <c r="W245">
        <f>IF([2]Baskol!$E$248="","",[2]Baskol!$E$248)</f>
        <v/>
      </c>
      <c r="X245">
        <f>IF([2]Baskol!$G$248="","",[2]Baskol!$G$248)</f>
        <v/>
      </c>
      <c r="Y245">
        <f>IF([2]Baskol!$I$248="","",[2]Baskol!$I$248)</f>
        <v/>
      </c>
      <c r="Z245">
        <f>IF([2]Baskol!$J$248="","",[2]Baskol!$J$248)</f>
        <v/>
      </c>
      <c r="AA245">
        <f>IF([2]Baskol!$K$248="","",[2]Baskol!$K$248)</f>
        <v/>
      </c>
      <c r="AB245">
        <f>IF([2]Baskol!$L$248="","",[2]Baskol!$L$248)</f>
        <v/>
      </c>
      <c r="AC245">
        <f>IF([2]Baskol!$N$248="","",[2]Baskol!$N$248)</f>
        <v/>
      </c>
      <c r="AD245">
        <f>IF([2]Baskol!$O$248="","",[2]Baskol!$O$248)</f>
        <v/>
      </c>
      <c r="AE245">
        <f>IF([3]Entry!$C$248="","",[3]Entry!$C$248)</f>
        <v/>
      </c>
      <c r="AF245">
        <f>IF([3]Entry!$D$248="","",[3]Entry!$D$248)</f>
        <v/>
      </c>
      <c r="AG245">
        <f>IF([3]Entry!$E$248="","",[3]Entry!$E$248)</f>
        <v/>
      </c>
      <c r="AH245">
        <f>IF([3]Entry!$G$248="","",[3]Entry!$G$248)</f>
        <v/>
      </c>
      <c r="AI245">
        <f>IF([3]Entry!$K$248="","",[3]Entry!$K$248)</f>
        <v/>
      </c>
      <c r="AJ245">
        <f>IF([3]Entry!$L$248="","",[3]Entry!$L$248)</f>
        <v/>
      </c>
      <c r="AK245">
        <f>IF([3]Entry!$M$248="","",[3]Entry!$M$248)</f>
        <v/>
      </c>
      <c r="AL245">
        <f>IF([3]Entry!$N$248="","",[3]Entry!$N$248)</f>
        <v/>
      </c>
      <c r="AM245">
        <f>IF([3]Entry!$R$248="","",[3]Entry!$R$248)</f>
        <v/>
      </c>
    </row>
    <row r="246">
      <c r="A246">
        <f>IF([1]Accounts!$D$247="","",[1]Accounts!$A$247)</f>
        <v/>
      </c>
      <c r="B246">
        <f>IF([1]Accounts!$D$247="","",[1]Accounts!$B$247)</f>
        <v/>
      </c>
      <c r="C246">
        <f>IF([1]Accounts!$D$247="","",[1]Accounts!$C$247)</f>
        <v/>
      </c>
      <c r="D246">
        <f>IF([1]Accounts!$D$247="","",[1]Accounts!$D$247)</f>
        <v/>
      </c>
      <c r="E246">
        <f>IF([1]Accounts!$D$247="","",[1]Accounts!$E$247)</f>
        <v/>
      </c>
      <c r="F246">
        <f>IF([1]Accounts!$D$247="","",[1]Accounts!$F$247)</f>
        <v/>
      </c>
      <c r="G246">
        <f>IF([1]Accounts!$D$247="","",[1]Accounts!$G$247)</f>
        <v/>
      </c>
      <c r="T246">
        <f>IF([2]Baskol!$B$249="","",[2]Baskol!$B$249)</f>
        <v/>
      </c>
      <c r="U246">
        <f>IF([2]Baskol!$C$249="","",[2]Baskol!$C$249)</f>
        <v/>
      </c>
      <c r="V246">
        <f>IF([2]Baskol!$D$249="","",[2]Baskol!$D$249)</f>
        <v/>
      </c>
      <c r="W246">
        <f>IF([2]Baskol!$E$249="","",[2]Baskol!$E$249)</f>
        <v/>
      </c>
      <c r="X246">
        <f>IF([2]Baskol!$G$249="","",[2]Baskol!$G$249)</f>
        <v/>
      </c>
      <c r="Y246">
        <f>IF([2]Baskol!$I$249="","",[2]Baskol!$I$249)</f>
        <v/>
      </c>
      <c r="Z246">
        <f>IF([2]Baskol!$J$249="","",[2]Baskol!$J$249)</f>
        <v/>
      </c>
      <c r="AA246">
        <f>IF([2]Baskol!$K$249="","",[2]Baskol!$K$249)</f>
        <v/>
      </c>
      <c r="AB246">
        <f>IF([2]Baskol!$L$249="","",[2]Baskol!$L$249)</f>
        <v/>
      </c>
      <c r="AC246">
        <f>IF([2]Baskol!$N$249="","",[2]Baskol!$N$249)</f>
        <v/>
      </c>
      <c r="AD246">
        <f>IF([2]Baskol!$O$249="","",[2]Baskol!$O$249)</f>
        <v/>
      </c>
      <c r="AE246">
        <f>IF([3]Entry!$C$249="","",[3]Entry!$C$249)</f>
        <v/>
      </c>
      <c r="AF246">
        <f>IF([3]Entry!$D$249="","",[3]Entry!$D$249)</f>
        <v/>
      </c>
      <c r="AG246">
        <f>IF([3]Entry!$E$249="","",[3]Entry!$E$249)</f>
        <v/>
      </c>
      <c r="AH246">
        <f>IF([3]Entry!$G$249="","",[3]Entry!$G$249)</f>
        <v/>
      </c>
      <c r="AI246">
        <f>IF([3]Entry!$K$249="","",[3]Entry!$K$249)</f>
        <v/>
      </c>
      <c r="AJ246">
        <f>IF([3]Entry!$L$249="","",[3]Entry!$L$249)</f>
        <v/>
      </c>
      <c r="AK246">
        <f>IF([3]Entry!$M$249="","",[3]Entry!$M$249)</f>
        <v/>
      </c>
      <c r="AL246">
        <f>IF([3]Entry!$N$249="","",[3]Entry!$N$249)</f>
        <v/>
      </c>
      <c r="AM246">
        <f>IF([3]Entry!$R$249="","",[3]Entry!$R$249)</f>
        <v/>
      </c>
    </row>
    <row r="247">
      <c r="A247">
        <f>IF([1]Accounts!$D$248="","",[1]Accounts!$A$248)</f>
        <v/>
      </c>
      <c r="B247">
        <f>IF([1]Accounts!$D$248="","",[1]Accounts!$B$248)</f>
        <v/>
      </c>
      <c r="C247">
        <f>IF([1]Accounts!$D$248="","",[1]Accounts!$C$248)</f>
        <v/>
      </c>
      <c r="D247">
        <f>IF([1]Accounts!$D$248="","",[1]Accounts!$D$248)</f>
        <v/>
      </c>
      <c r="E247">
        <f>IF([1]Accounts!$D$248="","",[1]Accounts!$E$248)</f>
        <v/>
      </c>
      <c r="F247">
        <f>IF([1]Accounts!$D$248="","",[1]Accounts!$F$248)</f>
        <v/>
      </c>
      <c r="G247">
        <f>IF([1]Accounts!$D$248="","",[1]Accounts!$G$248)</f>
        <v/>
      </c>
      <c r="T247">
        <f>IF([2]Baskol!$B$250="","",[2]Baskol!$B$250)</f>
        <v/>
      </c>
      <c r="U247">
        <f>IF([2]Baskol!$C$250="","",[2]Baskol!$C$250)</f>
        <v/>
      </c>
      <c r="V247">
        <f>IF([2]Baskol!$D$250="","",[2]Baskol!$D$250)</f>
        <v/>
      </c>
      <c r="W247">
        <f>IF([2]Baskol!$E$250="","",[2]Baskol!$E$250)</f>
        <v/>
      </c>
      <c r="X247">
        <f>IF([2]Baskol!$G$250="","",[2]Baskol!$G$250)</f>
        <v/>
      </c>
      <c r="Y247">
        <f>IF([2]Baskol!$I$250="","",[2]Baskol!$I$250)</f>
        <v/>
      </c>
      <c r="Z247">
        <f>IF([2]Baskol!$J$250="","",[2]Baskol!$J$250)</f>
        <v/>
      </c>
      <c r="AA247">
        <f>IF([2]Baskol!$K$250="","",[2]Baskol!$K$250)</f>
        <v/>
      </c>
      <c r="AB247">
        <f>IF([2]Baskol!$L$250="","",[2]Baskol!$L$250)</f>
        <v/>
      </c>
      <c r="AC247">
        <f>IF([2]Baskol!$N$250="","",[2]Baskol!$N$250)</f>
        <v/>
      </c>
      <c r="AD247">
        <f>IF([2]Baskol!$O$250="","",[2]Baskol!$O$250)</f>
        <v/>
      </c>
      <c r="AE247">
        <f>IF([3]Entry!$C$250="","",[3]Entry!$C$250)</f>
        <v/>
      </c>
      <c r="AF247">
        <f>IF([3]Entry!$D$250="","",[3]Entry!$D$250)</f>
        <v/>
      </c>
      <c r="AG247">
        <f>IF([3]Entry!$E$250="","",[3]Entry!$E$250)</f>
        <v/>
      </c>
      <c r="AH247">
        <f>IF([3]Entry!$G$250="","",[3]Entry!$G$250)</f>
        <v/>
      </c>
      <c r="AI247">
        <f>IF([3]Entry!$K$250="","",[3]Entry!$K$250)</f>
        <v/>
      </c>
      <c r="AJ247">
        <f>IF([3]Entry!$L$250="","",[3]Entry!$L$250)</f>
        <v/>
      </c>
      <c r="AK247">
        <f>IF([3]Entry!$M$250="","",[3]Entry!$M$250)</f>
        <v/>
      </c>
      <c r="AL247">
        <f>IF([3]Entry!$N$250="","",[3]Entry!$N$250)</f>
        <v/>
      </c>
      <c r="AM247">
        <f>IF([3]Entry!$R$250="","",[3]Entry!$R$250)</f>
        <v/>
      </c>
    </row>
    <row r="248">
      <c r="A248">
        <f>IF([1]Accounts!$D$249="","",[1]Accounts!$A$249)</f>
        <v/>
      </c>
      <c r="B248">
        <f>IF([1]Accounts!$D$249="","",[1]Accounts!$B$249)</f>
        <v/>
      </c>
      <c r="C248">
        <f>IF([1]Accounts!$D$249="","",[1]Accounts!$C$249)</f>
        <v/>
      </c>
      <c r="D248">
        <f>IF([1]Accounts!$D$249="","",[1]Accounts!$D$249)</f>
        <v/>
      </c>
      <c r="E248">
        <f>IF([1]Accounts!$D$249="","",[1]Accounts!$E$249)</f>
        <v/>
      </c>
      <c r="F248">
        <f>IF([1]Accounts!$D$249="","",[1]Accounts!$F$249)</f>
        <v/>
      </c>
      <c r="G248">
        <f>IF([1]Accounts!$D$249="","",[1]Accounts!$G$249)</f>
        <v/>
      </c>
      <c r="T248">
        <f>IF([2]Baskol!$B$251="","",[2]Baskol!$B$251)</f>
        <v/>
      </c>
      <c r="U248">
        <f>IF([2]Baskol!$C$251="","",[2]Baskol!$C$251)</f>
        <v/>
      </c>
      <c r="V248">
        <f>IF([2]Baskol!$D$251="","",[2]Baskol!$D$251)</f>
        <v/>
      </c>
      <c r="W248">
        <f>IF([2]Baskol!$E$251="","",[2]Baskol!$E$251)</f>
        <v/>
      </c>
      <c r="X248">
        <f>IF([2]Baskol!$G$251="","",[2]Baskol!$G$251)</f>
        <v/>
      </c>
      <c r="Y248">
        <f>IF([2]Baskol!$I$251="","",[2]Baskol!$I$251)</f>
        <v/>
      </c>
      <c r="Z248">
        <f>IF([2]Baskol!$J$251="","",[2]Baskol!$J$251)</f>
        <v/>
      </c>
      <c r="AA248">
        <f>IF([2]Baskol!$K$251="","",[2]Baskol!$K$251)</f>
        <v/>
      </c>
      <c r="AB248">
        <f>IF([2]Baskol!$L$251="","",[2]Baskol!$L$251)</f>
        <v/>
      </c>
      <c r="AC248">
        <f>IF([2]Baskol!$N$251="","",[2]Baskol!$N$251)</f>
        <v/>
      </c>
      <c r="AD248">
        <f>IF([2]Baskol!$O$251="","",[2]Baskol!$O$251)</f>
        <v/>
      </c>
      <c r="AE248">
        <f>IF([3]Entry!$C$251="","",[3]Entry!$C$251)</f>
        <v/>
      </c>
      <c r="AF248">
        <f>IF([3]Entry!$D$251="","",[3]Entry!$D$251)</f>
        <v/>
      </c>
      <c r="AG248">
        <f>IF([3]Entry!$E$251="","",[3]Entry!$E$251)</f>
        <v/>
      </c>
      <c r="AH248">
        <f>IF([3]Entry!$G$251="","",[3]Entry!$G$251)</f>
        <v/>
      </c>
      <c r="AI248">
        <f>IF([3]Entry!$K$251="","",[3]Entry!$K$251)</f>
        <v/>
      </c>
      <c r="AJ248">
        <f>IF([3]Entry!$L$251="","",[3]Entry!$L$251)</f>
        <v/>
      </c>
      <c r="AK248">
        <f>IF([3]Entry!$M$251="","",[3]Entry!$M$251)</f>
        <v/>
      </c>
      <c r="AL248">
        <f>IF([3]Entry!$N$251="","",[3]Entry!$N$251)</f>
        <v/>
      </c>
      <c r="AM248">
        <f>IF([3]Entry!$R$251="","",[3]Entry!$R$251)</f>
        <v/>
      </c>
    </row>
    <row r="249">
      <c r="A249">
        <f>IF([1]Accounts!$D$250="","",[1]Accounts!$A$250)</f>
        <v/>
      </c>
      <c r="B249">
        <f>IF([1]Accounts!$D$250="","",[1]Accounts!$B$250)</f>
        <v/>
      </c>
      <c r="C249">
        <f>IF([1]Accounts!$D$250="","",[1]Accounts!$C$250)</f>
        <v/>
      </c>
      <c r="D249">
        <f>IF([1]Accounts!$D$250="","",[1]Accounts!$D$250)</f>
        <v/>
      </c>
      <c r="E249">
        <f>IF([1]Accounts!$D$250="","",[1]Accounts!$E$250)</f>
        <v/>
      </c>
      <c r="F249">
        <f>IF([1]Accounts!$D$250="","",[1]Accounts!$F$250)</f>
        <v/>
      </c>
      <c r="G249">
        <f>IF([1]Accounts!$D$250="","",[1]Accounts!$G$250)</f>
        <v/>
      </c>
      <c r="T249">
        <f>IF([2]Baskol!$B$252="","",[2]Baskol!$B$252)</f>
        <v/>
      </c>
      <c r="U249">
        <f>IF([2]Baskol!$C$252="","",[2]Baskol!$C$252)</f>
        <v/>
      </c>
      <c r="V249">
        <f>IF([2]Baskol!$D$252="","",[2]Baskol!$D$252)</f>
        <v/>
      </c>
      <c r="W249">
        <f>IF([2]Baskol!$E$252="","",[2]Baskol!$E$252)</f>
        <v/>
      </c>
      <c r="X249">
        <f>IF([2]Baskol!$G$252="","",[2]Baskol!$G$252)</f>
        <v/>
      </c>
      <c r="Y249">
        <f>IF([2]Baskol!$I$252="","",[2]Baskol!$I$252)</f>
        <v/>
      </c>
      <c r="Z249">
        <f>IF([2]Baskol!$J$252="","",[2]Baskol!$J$252)</f>
        <v/>
      </c>
      <c r="AA249">
        <f>IF([2]Baskol!$K$252="","",[2]Baskol!$K$252)</f>
        <v/>
      </c>
      <c r="AB249">
        <f>IF([2]Baskol!$L$252="","",[2]Baskol!$L$252)</f>
        <v/>
      </c>
      <c r="AC249">
        <f>IF([2]Baskol!$N$252="","",[2]Baskol!$N$252)</f>
        <v/>
      </c>
      <c r="AD249">
        <f>IF([2]Baskol!$O$252="","",[2]Baskol!$O$252)</f>
        <v/>
      </c>
      <c r="AE249">
        <f>IF([3]Entry!$C$252="","",[3]Entry!$C$252)</f>
        <v/>
      </c>
      <c r="AF249">
        <f>IF([3]Entry!$D$252="","",[3]Entry!$D$252)</f>
        <v/>
      </c>
      <c r="AG249">
        <f>IF([3]Entry!$E$252="","",[3]Entry!$E$252)</f>
        <v/>
      </c>
      <c r="AH249">
        <f>IF([3]Entry!$G$252="","",[3]Entry!$G$252)</f>
        <v/>
      </c>
      <c r="AI249">
        <f>IF([3]Entry!$K$252="","",[3]Entry!$K$252)</f>
        <v/>
      </c>
      <c r="AJ249">
        <f>IF([3]Entry!$L$252="","",[3]Entry!$L$252)</f>
        <v/>
      </c>
      <c r="AK249">
        <f>IF([3]Entry!$M$252="","",[3]Entry!$M$252)</f>
        <v/>
      </c>
      <c r="AL249">
        <f>IF([3]Entry!$N$252="","",[3]Entry!$N$252)</f>
        <v/>
      </c>
      <c r="AM249">
        <f>IF([3]Entry!$R$252="","",[3]Entry!$R$252)</f>
        <v/>
      </c>
    </row>
    <row r="250">
      <c r="A250">
        <f>IF([1]Accounts!$D$251="","",[1]Accounts!$A$251)</f>
        <v/>
      </c>
      <c r="B250">
        <f>IF([1]Accounts!$D$251="","",[1]Accounts!$B$251)</f>
        <v/>
      </c>
      <c r="C250">
        <f>IF([1]Accounts!$D$251="","",[1]Accounts!$C$251)</f>
        <v/>
      </c>
      <c r="D250">
        <f>IF([1]Accounts!$D$251="","",[1]Accounts!$D$251)</f>
        <v/>
      </c>
      <c r="E250">
        <f>IF([1]Accounts!$D$251="","",[1]Accounts!$E$251)</f>
        <v/>
      </c>
      <c r="F250">
        <f>IF([1]Accounts!$D$251="","",[1]Accounts!$F$251)</f>
        <v/>
      </c>
      <c r="G250">
        <f>IF([1]Accounts!$D$251="","",[1]Accounts!$G$251)</f>
        <v/>
      </c>
      <c r="T250">
        <f>IF([2]Baskol!$B$253="","",[2]Baskol!$B$253)</f>
        <v/>
      </c>
      <c r="U250">
        <f>IF([2]Baskol!$C$253="","",[2]Baskol!$C$253)</f>
        <v/>
      </c>
      <c r="V250">
        <f>IF([2]Baskol!$D$253="","",[2]Baskol!$D$253)</f>
        <v/>
      </c>
      <c r="W250">
        <f>IF([2]Baskol!$E$253="","",[2]Baskol!$E$253)</f>
        <v/>
      </c>
      <c r="X250">
        <f>IF([2]Baskol!$G$253="","",[2]Baskol!$G$253)</f>
        <v/>
      </c>
      <c r="Y250">
        <f>IF([2]Baskol!$I$253="","",[2]Baskol!$I$253)</f>
        <v/>
      </c>
      <c r="Z250">
        <f>IF([2]Baskol!$J$253="","",[2]Baskol!$J$253)</f>
        <v/>
      </c>
      <c r="AA250">
        <f>IF([2]Baskol!$K$253="","",[2]Baskol!$K$253)</f>
        <v/>
      </c>
      <c r="AB250">
        <f>IF([2]Baskol!$L$253="","",[2]Baskol!$L$253)</f>
        <v/>
      </c>
      <c r="AC250">
        <f>IF([2]Baskol!$N$253="","",[2]Baskol!$N$253)</f>
        <v/>
      </c>
      <c r="AD250">
        <f>IF([2]Baskol!$O$253="","",[2]Baskol!$O$253)</f>
        <v/>
      </c>
      <c r="AE250">
        <f>IF([3]Entry!$C$253="","",[3]Entry!$C$253)</f>
        <v/>
      </c>
      <c r="AF250">
        <f>IF([3]Entry!$D$253="","",[3]Entry!$D$253)</f>
        <v/>
      </c>
      <c r="AG250">
        <f>IF([3]Entry!$E$253="","",[3]Entry!$E$253)</f>
        <v/>
      </c>
      <c r="AH250">
        <f>IF([3]Entry!$G$253="","",[3]Entry!$G$253)</f>
        <v/>
      </c>
      <c r="AI250">
        <f>IF([3]Entry!$K$253="","",[3]Entry!$K$253)</f>
        <v/>
      </c>
      <c r="AJ250">
        <f>IF([3]Entry!$L$253="","",[3]Entry!$L$253)</f>
        <v/>
      </c>
      <c r="AK250">
        <f>IF([3]Entry!$M$253="","",[3]Entry!$M$253)</f>
        <v/>
      </c>
      <c r="AL250">
        <f>IF([3]Entry!$N$253="","",[3]Entry!$N$253)</f>
        <v/>
      </c>
      <c r="AM250">
        <f>IF([3]Entry!$R$253="","",[3]Entry!$R$253)</f>
        <v/>
      </c>
    </row>
    <row r="251">
      <c r="A251">
        <f>IF([1]Accounts!$D$252="","",[1]Accounts!$A$252)</f>
        <v/>
      </c>
      <c r="B251">
        <f>IF([1]Accounts!$D$252="","",[1]Accounts!$B$252)</f>
        <v/>
      </c>
      <c r="C251">
        <f>IF([1]Accounts!$D$252="","",[1]Accounts!$C$252)</f>
        <v/>
      </c>
      <c r="D251">
        <f>IF([1]Accounts!$D$252="","",[1]Accounts!$D$252)</f>
        <v/>
      </c>
      <c r="E251">
        <f>IF([1]Accounts!$D$252="","",[1]Accounts!$E$252)</f>
        <v/>
      </c>
      <c r="F251">
        <f>IF([1]Accounts!$D$252="","",[1]Accounts!$F$252)</f>
        <v/>
      </c>
      <c r="G251">
        <f>IF([1]Accounts!$D$252="","",[1]Accounts!$G$252)</f>
        <v/>
      </c>
      <c r="T251">
        <f>IF([2]Baskol!$B$254="","",[2]Baskol!$B$254)</f>
        <v/>
      </c>
      <c r="U251">
        <f>IF([2]Baskol!$C$254="","",[2]Baskol!$C$254)</f>
        <v/>
      </c>
      <c r="V251">
        <f>IF([2]Baskol!$D$254="","",[2]Baskol!$D$254)</f>
        <v/>
      </c>
      <c r="W251">
        <f>IF([2]Baskol!$E$254="","",[2]Baskol!$E$254)</f>
        <v/>
      </c>
      <c r="X251">
        <f>IF([2]Baskol!$G$254="","",[2]Baskol!$G$254)</f>
        <v/>
      </c>
      <c r="Y251">
        <f>IF([2]Baskol!$I$254="","",[2]Baskol!$I$254)</f>
        <v/>
      </c>
      <c r="Z251">
        <f>IF([2]Baskol!$J$254="","",[2]Baskol!$J$254)</f>
        <v/>
      </c>
      <c r="AA251">
        <f>IF([2]Baskol!$K$254="","",[2]Baskol!$K$254)</f>
        <v/>
      </c>
      <c r="AB251">
        <f>IF([2]Baskol!$L$254="","",[2]Baskol!$L$254)</f>
        <v/>
      </c>
      <c r="AC251">
        <f>IF([2]Baskol!$N$254="","",[2]Baskol!$N$254)</f>
        <v/>
      </c>
      <c r="AD251">
        <f>IF([2]Baskol!$O$254="","",[2]Baskol!$O$254)</f>
        <v/>
      </c>
      <c r="AE251">
        <f>IF([3]Entry!$C$254="","",[3]Entry!$C$254)</f>
        <v/>
      </c>
      <c r="AF251">
        <f>IF([3]Entry!$D$254="","",[3]Entry!$D$254)</f>
        <v/>
      </c>
      <c r="AG251">
        <f>IF([3]Entry!$E$254="","",[3]Entry!$E$254)</f>
        <v/>
      </c>
      <c r="AH251">
        <f>IF([3]Entry!$G$254="","",[3]Entry!$G$254)</f>
        <v/>
      </c>
      <c r="AI251">
        <f>IF([3]Entry!$K$254="","",[3]Entry!$K$254)</f>
        <v/>
      </c>
      <c r="AJ251">
        <f>IF([3]Entry!$L$254="","",[3]Entry!$L$254)</f>
        <v/>
      </c>
      <c r="AK251">
        <f>IF([3]Entry!$M$254="","",[3]Entry!$M$254)</f>
        <v/>
      </c>
      <c r="AL251">
        <f>IF([3]Entry!$N$254="","",[3]Entry!$N$254)</f>
        <v/>
      </c>
      <c r="AM251">
        <f>IF([3]Entry!$R$254="","",[3]Entry!$R$254)</f>
        <v/>
      </c>
    </row>
    <row r="252">
      <c r="A252">
        <f>IF([1]Accounts!$D$253="","",[1]Accounts!$A$253)</f>
        <v/>
      </c>
      <c r="B252">
        <f>IF([1]Accounts!$D$253="","",[1]Accounts!$B$253)</f>
        <v/>
      </c>
      <c r="C252">
        <f>IF([1]Accounts!$D$253="","",[1]Accounts!$C$253)</f>
        <v/>
      </c>
      <c r="D252">
        <f>IF([1]Accounts!$D$253="","",[1]Accounts!$D$253)</f>
        <v/>
      </c>
      <c r="E252">
        <f>IF([1]Accounts!$D$253="","",[1]Accounts!$E$253)</f>
        <v/>
      </c>
      <c r="F252">
        <f>IF([1]Accounts!$D$253="","",[1]Accounts!$F$253)</f>
        <v/>
      </c>
      <c r="G252">
        <f>IF([1]Accounts!$D$253="","",[1]Accounts!$G$253)</f>
        <v/>
      </c>
      <c r="T252">
        <f>IF([2]Baskol!$B$255="","",[2]Baskol!$B$255)</f>
        <v/>
      </c>
      <c r="U252">
        <f>IF([2]Baskol!$C$255="","",[2]Baskol!$C$255)</f>
        <v/>
      </c>
      <c r="V252">
        <f>IF([2]Baskol!$D$255="","",[2]Baskol!$D$255)</f>
        <v/>
      </c>
      <c r="W252">
        <f>IF([2]Baskol!$E$255="","",[2]Baskol!$E$255)</f>
        <v/>
      </c>
      <c r="X252">
        <f>IF([2]Baskol!$G$255="","",[2]Baskol!$G$255)</f>
        <v/>
      </c>
      <c r="Y252">
        <f>IF([2]Baskol!$I$255="","",[2]Baskol!$I$255)</f>
        <v/>
      </c>
      <c r="Z252">
        <f>IF([2]Baskol!$J$255="","",[2]Baskol!$J$255)</f>
        <v/>
      </c>
      <c r="AA252">
        <f>IF([2]Baskol!$K$255="","",[2]Baskol!$K$255)</f>
        <v/>
      </c>
      <c r="AB252">
        <f>IF([2]Baskol!$L$255="","",[2]Baskol!$L$255)</f>
        <v/>
      </c>
      <c r="AC252">
        <f>IF([2]Baskol!$N$255="","",[2]Baskol!$N$255)</f>
        <v/>
      </c>
      <c r="AD252">
        <f>IF([2]Baskol!$O$255="","",[2]Baskol!$O$255)</f>
        <v/>
      </c>
      <c r="AE252">
        <f>IF([3]Entry!$C$255="","",[3]Entry!$C$255)</f>
        <v/>
      </c>
      <c r="AF252">
        <f>IF([3]Entry!$D$255="","",[3]Entry!$D$255)</f>
        <v/>
      </c>
      <c r="AG252">
        <f>IF([3]Entry!$E$255="","",[3]Entry!$E$255)</f>
        <v/>
      </c>
      <c r="AH252">
        <f>IF([3]Entry!$G$255="","",[3]Entry!$G$255)</f>
        <v/>
      </c>
      <c r="AI252">
        <f>IF([3]Entry!$K$255="","",[3]Entry!$K$255)</f>
        <v/>
      </c>
      <c r="AJ252">
        <f>IF([3]Entry!$L$255="","",[3]Entry!$L$255)</f>
        <v/>
      </c>
      <c r="AK252">
        <f>IF([3]Entry!$M$255="","",[3]Entry!$M$255)</f>
        <v/>
      </c>
      <c r="AL252">
        <f>IF([3]Entry!$N$255="","",[3]Entry!$N$255)</f>
        <v/>
      </c>
      <c r="AM252">
        <f>IF([3]Entry!$R$255="","",[3]Entry!$R$255)</f>
        <v/>
      </c>
    </row>
    <row r="253">
      <c r="A253">
        <f>IF([1]Accounts!$D$254="","",[1]Accounts!$A$254)</f>
        <v/>
      </c>
      <c r="B253">
        <f>IF([1]Accounts!$D$254="","",[1]Accounts!$B$254)</f>
        <v/>
      </c>
      <c r="C253">
        <f>IF([1]Accounts!$D$254="","",[1]Accounts!$C$254)</f>
        <v/>
      </c>
      <c r="D253">
        <f>IF([1]Accounts!$D$254="","",[1]Accounts!$D$254)</f>
        <v/>
      </c>
      <c r="E253">
        <f>IF([1]Accounts!$D$254="","",[1]Accounts!$E$254)</f>
        <v/>
      </c>
      <c r="F253">
        <f>IF([1]Accounts!$D$254="","",[1]Accounts!$F$254)</f>
        <v/>
      </c>
      <c r="G253">
        <f>IF([1]Accounts!$D$254="","",[1]Accounts!$G$254)</f>
        <v/>
      </c>
      <c r="T253">
        <f>IF([2]Baskol!$B$256="","",[2]Baskol!$B$256)</f>
        <v/>
      </c>
      <c r="U253">
        <f>IF([2]Baskol!$C$256="","",[2]Baskol!$C$256)</f>
        <v/>
      </c>
      <c r="V253">
        <f>IF([2]Baskol!$D$256="","",[2]Baskol!$D$256)</f>
        <v/>
      </c>
      <c r="W253">
        <f>IF([2]Baskol!$E$256="","",[2]Baskol!$E$256)</f>
        <v/>
      </c>
      <c r="X253">
        <f>IF([2]Baskol!$G$256="","",[2]Baskol!$G$256)</f>
        <v/>
      </c>
      <c r="Y253">
        <f>IF([2]Baskol!$I$256="","",[2]Baskol!$I$256)</f>
        <v/>
      </c>
      <c r="Z253">
        <f>IF([2]Baskol!$J$256="","",[2]Baskol!$J$256)</f>
        <v/>
      </c>
      <c r="AA253">
        <f>IF([2]Baskol!$K$256="","",[2]Baskol!$K$256)</f>
        <v/>
      </c>
      <c r="AB253">
        <f>IF([2]Baskol!$L$256="","",[2]Baskol!$L$256)</f>
        <v/>
      </c>
      <c r="AC253">
        <f>IF([2]Baskol!$N$256="","",[2]Baskol!$N$256)</f>
        <v/>
      </c>
      <c r="AD253">
        <f>IF([2]Baskol!$O$256="","",[2]Baskol!$O$256)</f>
        <v/>
      </c>
      <c r="AE253">
        <f>IF([3]Entry!$C$256="","",[3]Entry!$C$256)</f>
        <v/>
      </c>
      <c r="AF253">
        <f>IF([3]Entry!$D$256="","",[3]Entry!$D$256)</f>
        <v/>
      </c>
      <c r="AG253">
        <f>IF([3]Entry!$E$256="","",[3]Entry!$E$256)</f>
        <v/>
      </c>
      <c r="AH253">
        <f>IF([3]Entry!$G$256="","",[3]Entry!$G$256)</f>
        <v/>
      </c>
      <c r="AI253">
        <f>IF([3]Entry!$K$256="","",[3]Entry!$K$256)</f>
        <v/>
      </c>
      <c r="AJ253">
        <f>IF([3]Entry!$L$256="","",[3]Entry!$L$256)</f>
        <v/>
      </c>
      <c r="AK253">
        <f>IF([3]Entry!$M$256="","",[3]Entry!$M$256)</f>
        <v/>
      </c>
      <c r="AL253">
        <f>IF([3]Entry!$N$256="","",[3]Entry!$N$256)</f>
        <v/>
      </c>
      <c r="AM253">
        <f>IF([3]Entry!$R$256="","",[3]Entry!$R$256)</f>
        <v/>
      </c>
    </row>
    <row r="254">
      <c r="A254">
        <f>IF([1]Accounts!$D$255="","",[1]Accounts!$A$255)</f>
        <v/>
      </c>
      <c r="B254">
        <f>IF([1]Accounts!$D$255="","",[1]Accounts!$B$255)</f>
        <v/>
      </c>
      <c r="C254">
        <f>IF([1]Accounts!$D$255="","",[1]Accounts!$C$255)</f>
        <v/>
      </c>
      <c r="D254">
        <f>IF([1]Accounts!$D$255="","",[1]Accounts!$D$255)</f>
        <v/>
      </c>
      <c r="E254">
        <f>IF([1]Accounts!$D$255="","",[1]Accounts!$E$255)</f>
        <v/>
      </c>
      <c r="F254">
        <f>IF([1]Accounts!$D$255="","",[1]Accounts!$F$255)</f>
        <v/>
      </c>
      <c r="G254">
        <f>IF([1]Accounts!$D$255="","",[1]Accounts!$G$255)</f>
        <v/>
      </c>
      <c r="T254">
        <f>IF([2]Baskol!$B$257="","",[2]Baskol!$B$257)</f>
        <v/>
      </c>
      <c r="U254">
        <f>IF([2]Baskol!$C$257="","",[2]Baskol!$C$257)</f>
        <v/>
      </c>
      <c r="V254">
        <f>IF([2]Baskol!$D$257="","",[2]Baskol!$D$257)</f>
        <v/>
      </c>
      <c r="W254">
        <f>IF([2]Baskol!$E$257="","",[2]Baskol!$E$257)</f>
        <v/>
      </c>
      <c r="X254">
        <f>IF([2]Baskol!$G$257="","",[2]Baskol!$G$257)</f>
        <v/>
      </c>
      <c r="Y254">
        <f>IF([2]Baskol!$I$257="","",[2]Baskol!$I$257)</f>
        <v/>
      </c>
      <c r="Z254">
        <f>IF([2]Baskol!$J$257="","",[2]Baskol!$J$257)</f>
        <v/>
      </c>
      <c r="AA254">
        <f>IF([2]Baskol!$K$257="","",[2]Baskol!$K$257)</f>
        <v/>
      </c>
      <c r="AB254">
        <f>IF([2]Baskol!$L$257="","",[2]Baskol!$L$257)</f>
        <v/>
      </c>
      <c r="AC254">
        <f>IF([2]Baskol!$N$257="","",[2]Baskol!$N$257)</f>
        <v/>
      </c>
      <c r="AD254">
        <f>IF([2]Baskol!$O$257="","",[2]Baskol!$O$257)</f>
        <v/>
      </c>
      <c r="AE254">
        <f>IF([3]Entry!$C$257="","",[3]Entry!$C$257)</f>
        <v/>
      </c>
      <c r="AF254">
        <f>IF([3]Entry!$D$257="","",[3]Entry!$D$257)</f>
        <v/>
      </c>
      <c r="AG254">
        <f>IF([3]Entry!$E$257="","",[3]Entry!$E$257)</f>
        <v/>
      </c>
      <c r="AH254">
        <f>IF([3]Entry!$G$257="","",[3]Entry!$G$257)</f>
        <v/>
      </c>
      <c r="AI254">
        <f>IF([3]Entry!$K$257="","",[3]Entry!$K$257)</f>
        <v/>
      </c>
      <c r="AJ254">
        <f>IF([3]Entry!$L$257="","",[3]Entry!$L$257)</f>
        <v/>
      </c>
      <c r="AK254">
        <f>IF([3]Entry!$M$257="","",[3]Entry!$M$257)</f>
        <v/>
      </c>
      <c r="AL254">
        <f>IF([3]Entry!$N$257="","",[3]Entry!$N$257)</f>
        <v/>
      </c>
      <c r="AM254">
        <f>IF([3]Entry!$R$257="","",[3]Entry!$R$257)</f>
        <v/>
      </c>
    </row>
    <row r="255">
      <c r="A255">
        <f>IF([1]Accounts!$D$256="","",[1]Accounts!$A$256)</f>
        <v/>
      </c>
      <c r="B255">
        <f>IF([1]Accounts!$D$256="","",[1]Accounts!$B$256)</f>
        <v/>
      </c>
      <c r="C255">
        <f>IF([1]Accounts!$D$256="","",[1]Accounts!$C$256)</f>
        <v/>
      </c>
      <c r="D255">
        <f>IF([1]Accounts!$D$256="","",[1]Accounts!$D$256)</f>
        <v/>
      </c>
      <c r="E255">
        <f>IF([1]Accounts!$D$256="","",[1]Accounts!$E$256)</f>
        <v/>
      </c>
      <c r="F255">
        <f>IF([1]Accounts!$D$256="","",[1]Accounts!$F$256)</f>
        <v/>
      </c>
      <c r="G255">
        <f>IF([1]Accounts!$D$256="","",[1]Accounts!$G$256)</f>
        <v/>
      </c>
      <c r="T255">
        <f>IF([2]Baskol!$B$258="","",[2]Baskol!$B$258)</f>
        <v/>
      </c>
      <c r="U255">
        <f>IF([2]Baskol!$C$258="","",[2]Baskol!$C$258)</f>
        <v/>
      </c>
      <c r="V255">
        <f>IF([2]Baskol!$D$258="","",[2]Baskol!$D$258)</f>
        <v/>
      </c>
      <c r="W255">
        <f>IF([2]Baskol!$E$258="","",[2]Baskol!$E$258)</f>
        <v/>
      </c>
      <c r="X255">
        <f>IF([2]Baskol!$G$258="","",[2]Baskol!$G$258)</f>
        <v/>
      </c>
      <c r="Y255">
        <f>IF([2]Baskol!$I$258="","",[2]Baskol!$I$258)</f>
        <v/>
      </c>
      <c r="Z255">
        <f>IF([2]Baskol!$J$258="","",[2]Baskol!$J$258)</f>
        <v/>
      </c>
      <c r="AA255">
        <f>IF([2]Baskol!$K$258="","",[2]Baskol!$K$258)</f>
        <v/>
      </c>
      <c r="AB255">
        <f>IF([2]Baskol!$L$258="","",[2]Baskol!$L$258)</f>
        <v/>
      </c>
      <c r="AC255">
        <f>IF([2]Baskol!$N$258="","",[2]Baskol!$N$258)</f>
        <v/>
      </c>
      <c r="AD255">
        <f>IF([2]Baskol!$O$258="","",[2]Baskol!$O$258)</f>
        <v/>
      </c>
      <c r="AE255">
        <f>IF([3]Entry!$C$258="","",[3]Entry!$C$258)</f>
        <v/>
      </c>
      <c r="AF255">
        <f>IF([3]Entry!$D$258="","",[3]Entry!$D$258)</f>
        <v/>
      </c>
      <c r="AG255">
        <f>IF([3]Entry!$E$258="","",[3]Entry!$E$258)</f>
        <v/>
      </c>
      <c r="AH255">
        <f>IF([3]Entry!$G$258="","",[3]Entry!$G$258)</f>
        <v/>
      </c>
      <c r="AI255">
        <f>IF([3]Entry!$K$258="","",[3]Entry!$K$258)</f>
        <v/>
      </c>
      <c r="AJ255">
        <f>IF([3]Entry!$L$258="","",[3]Entry!$L$258)</f>
        <v/>
      </c>
      <c r="AK255">
        <f>IF([3]Entry!$M$258="","",[3]Entry!$M$258)</f>
        <v/>
      </c>
      <c r="AL255">
        <f>IF([3]Entry!$N$258="","",[3]Entry!$N$258)</f>
        <v/>
      </c>
      <c r="AM255">
        <f>IF([3]Entry!$R$258="","",[3]Entry!$R$258)</f>
        <v/>
      </c>
    </row>
    <row r="256">
      <c r="A256">
        <f>IF([1]Accounts!$D$257="","",[1]Accounts!$A$257)</f>
        <v/>
      </c>
      <c r="B256">
        <f>IF([1]Accounts!$D$257="","",[1]Accounts!$B$257)</f>
        <v/>
      </c>
      <c r="C256">
        <f>IF([1]Accounts!$D$257="","",[1]Accounts!$C$257)</f>
        <v/>
      </c>
      <c r="D256">
        <f>IF([1]Accounts!$D$257="","",[1]Accounts!$D$257)</f>
        <v/>
      </c>
      <c r="E256">
        <f>IF([1]Accounts!$D$257="","",[1]Accounts!$E$257)</f>
        <v/>
      </c>
      <c r="F256">
        <f>IF([1]Accounts!$D$257="","",[1]Accounts!$F$257)</f>
        <v/>
      </c>
      <c r="G256">
        <f>IF([1]Accounts!$D$257="","",[1]Accounts!$G$257)</f>
        <v/>
      </c>
      <c r="T256">
        <f>IF([2]Baskol!$B$259="","",[2]Baskol!$B$259)</f>
        <v/>
      </c>
      <c r="U256">
        <f>IF([2]Baskol!$C$259="","",[2]Baskol!$C$259)</f>
        <v/>
      </c>
      <c r="V256">
        <f>IF([2]Baskol!$D$259="","",[2]Baskol!$D$259)</f>
        <v/>
      </c>
      <c r="W256">
        <f>IF([2]Baskol!$E$259="","",[2]Baskol!$E$259)</f>
        <v/>
      </c>
      <c r="X256">
        <f>IF([2]Baskol!$G$259="","",[2]Baskol!$G$259)</f>
        <v/>
      </c>
      <c r="Y256">
        <f>IF([2]Baskol!$I$259="","",[2]Baskol!$I$259)</f>
        <v/>
      </c>
      <c r="Z256">
        <f>IF([2]Baskol!$J$259="","",[2]Baskol!$J$259)</f>
        <v/>
      </c>
      <c r="AA256">
        <f>IF([2]Baskol!$K$259="","",[2]Baskol!$K$259)</f>
        <v/>
      </c>
      <c r="AB256">
        <f>IF([2]Baskol!$L$259="","",[2]Baskol!$L$259)</f>
        <v/>
      </c>
      <c r="AC256">
        <f>IF([2]Baskol!$N$259="","",[2]Baskol!$N$259)</f>
        <v/>
      </c>
      <c r="AD256">
        <f>IF([2]Baskol!$O$259="","",[2]Baskol!$O$259)</f>
        <v/>
      </c>
      <c r="AE256">
        <f>IF([3]Entry!$C$259="","",[3]Entry!$C$259)</f>
        <v/>
      </c>
      <c r="AF256">
        <f>IF([3]Entry!$D$259="","",[3]Entry!$D$259)</f>
        <v/>
      </c>
      <c r="AG256">
        <f>IF([3]Entry!$E$259="","",[3]Entry!$E$259)</f>
        <v/>
      </c>
      <c r="AH256">
        <f>IF([3]Entry!$G$259="","",[3]Entry!$G$259)</f>
        <v/>
      </c>
      <c r="AI256">
        <f>IF([3]Entry!$K$259="","",[3]Entry!$K$259)</f>
        <v/>
      </c>
      <c r="AJ256">
        <f>IF([3]Entry!$L$259="","",[3]Entry!$L$259)</f>
        <v/>
      </c>
      <c r="AK256">
        <f>IF([3]Entry!$M$259="","",[3]Entry!$M$259)</f>
        <v/>
      </c>
      <c r="AL256">
        <f>IF([3]Entry!$N$259="","",[3]Entry!$N$259)</f>
        <v/>
      </c>
      <c r="AM256">
        <f>IF([3]Entry!$R$259="","",[3]Entry!$R$259)</f>
        <v/>
      </c>
    </row>
    <row r="257">
      <c r="A257">
        <f>IF([1]Accounts!$D$258="","",[1]Accounts!$A$258)</f>
        <v/>
      </c>
      <c r="B257">
        <f>IF([1]Accounts!$D$258="","",[1]Accounts!$B$258)</f>
        <v/>
      </c>
      <c r="C257">
        <f>IF([1]Accounts!$D$258="","",[1]Accounts!$C$258)</f>
        <v/>
      </c>
      <c r="D257">
        <f>IF([1]Accounts!$D$258="","",[1]Accounts!$D$258)</f>
        <v/>
      </c>
      <c r="E257">
        <f>IF([1]Accounts!$D$258="","",[1]Accounts!$E$258)</f>
        <v/>
      </c>
      <c r="F257">
        <f>IF([1]Accounts!$D$258="","",[1]Accounts!$F$258)</f>
        <v/>
      </c>
      <c r="G257">
        <f>IF([1]Accounts!$D$258="","",[1]Accounts!$G$258)</f>
        <v/>
      </c>
      <c r="T257">
        <f>IF([2]Baskol!$B$260="","",[2]Baskol!$B$260)</f>
        <v/>
      </c>
      <c r="U257">
        <f>IF([2]Baskol!$C$260="","",[2]Baskol!$C$260)</f>
        <v/>
      </c>
      <c r="V257">
        <f>IF([2]Baskol!$D$260="","",[2]Baskol!$D$260)</f>
        <v/>
      </c>
      <c r="W257">
        <f>IF([2]Baskol!$E$260="","",[2]Baskol!$E$260)</f>
        <v/>
      </c>
      <c r="X257">
        <f>IF([2]Baskol!$G$260="","",[2]Baskol!$G$260)</f>
        <v/>
      </c>
      <c r="Y257">
        <f>IF([2]Baskol!$I$260="","",[2]Baskol!$I$260)</f>
        <v/>
      </c>
      <c r="Z257">
        <f>IF([2]Baskol!$J$260="","",[2]Baskol!$J$260)</f>
        <v/>
      </c>
      <c r="AA257">
        <f>IF([2]Baskol!$K$260="","",[2]Baskol!$K$260)</f>
        <v/>
      </c>
      <c r="AB257">
        <f>IF([2]Baskol!$L$260="","",[2]Baskol!$L$260)</f>
        <v/>
      </c>
      <c r="AC257">
        <f>IF([2]Baskol!$N$260="","",[2]Baskol!$N$260)</f>
        <v/>
      </c>
      <c r="AD257">
        <f>IF([2]Baskol!$O$260="","",[2]Baskol!$O$260)</f>
        <v/>
      </c>
      <c r="AE257">
        <f>IF([3]Entry!$C$260="","",[3]Entry!$C$260)</f>
        <v/>
      </c>
      <c r="AF257">
        <f>IF([3]Entry!$D$260="","",[3]Entry!$D$260)</f>
        <v/>
      </c>
      <c r="AG257">
        <f>IF([3]Entry!$E$260="","",[3]Entry!$E$260)</f>
        <v/>
      </c>
      <c r="AH257">
        <f>IF([3]Entry!$G$260="","",[3]Entry!$G$260)</f>
        <v/>
      </c>
      <c r="AI257">
        <f>IF([3]Entry!$K$260="","",[3]Entry!$K$260)</f>
        <v/>
      </c>
      <c r="AJ257">
        <f>IF([3]Entry!$L$260="","",[3]Entry!$L$260)</f>
        <v/>
      </c>
      <c r="AK257">
        <f>IF([3]Entry!$M$260="","",[3]Entry!$M$260)</f>
        <v/>
      </c>
      <c r="AL257">
        <f>IF([3]Entry!$N$260="","",[3]Entry!$N$260)</f>
        <v/>
      </c>
      <c r="AM257">
        <f>IF([3]Entry!$R$260="","",[3]Entry!$R$260)</f>
        <v/>
      </c>
    </row>
    <row r="258">
      <c r="A258">
        <f>IF([1]Accounts!$D$259="","",[1]Accounts!$A$259)</f>
        <v/>
      </c>
      <c r="B258">
        <f>IF([1]Accounts!$D$259="","",[1]Accounts!$B$259)</f>
        <v/>
      </c>
      <c r="C258">
        <f>IF([1]Accounts!$D$259="","",[1]Accounts!$C$259)</f>
        <v/>
      </c>
      <c r="D258">
        <f>IF([1]Accounts!$D$259="","",[1]Accounts!$D$259)</f>
        <v/>
      </c>
      <c r="E258">
        <f>IF([1]Accounts!$D$259="","",[1]Accounts!$E$259)</f>
        <v/>
      </c>
      <c r="F258">
        <f>IF([1]Accounts!$D$259="","",[1]Accounts!$F$259)</f>
        <v/>
      </c>
      <c r="G258">
        <f>IF([1]Accounts!$D$259="","",[1]Accounts!$G$259)</f>
        <v/>
      </c>
      <c r="T258">
        <f>IF([2]Baskol!$B$261="","",[2]Baskol!$B$261)</f>
        <v/>
      </c>
      <c r="U258">
        <f>IF([2]Baskol!$C$261="","",[2]Baskol!$C$261)</f>
        <v/>
      </c>
      <c r="V258">
        <f>IF([2]Baskol!$D$261="","",[2]Baskol!$D$261)</f>
        <v/>
      </c>
      <c r="W258">
        <f>IF([2]Baskol!$E$261="","",[2]Baskol!$E$261)</f>
        <v/>
      </c>
      <c r="X258">
        <f>IF([2]Baskol!$G$261="","",[2]Baskol!$G$261)</f>
        <v/>
      </c>
      <c r="Y258">
        <f>IF([2]Baskol!$I$261="","",[2]Baskol!$I$261)</f>
        <v/>
      </c>
      <c r="Z258">
        <f>IF([2]Baskol!$J$261="","",[2]Baskol!$J$261)</f>
        <v/>
      </c>
      <c r="AA258">
        <f>IF([2]Baskol!$K$261="","",[2]Baskol!$K$261)</f>
        <v/>
      </c>
      <c r="AB258">
        <f>IF([2]Baskol!$L$261="","",[2]Baskol!$L$261)</f>
        <v/>
      </c>
      <c r="AC258">
        <f>IF([2]Baskol!$N$261="","",[2]Baskol!$N$261)</f>
        <v/>
      </c>
      <c r="AD258">
        <f>IF([2]Baskol!$O$261="","",[2]Baskol!$O$261)</f>
        <v/>
      </c>
      <c r="AE258">
        <f>IF([3]Entry!$C$261="","",[3]Entry!$C$261)</f>
        <v/>
      </c>
      <c r="AF258">
        <f>IF([3]Entry!$D$261="","",[3]Entry!$D$261)</f>
        <v/>
      </c>
      <c r="AG258">
        <f>IF([3]Entry!$E$261="","",[3]Entry!$E$261)</f>
        <v/>
      </c>
      <c r="AH258">
        <f>IF([3]Entry!$G$261="","",[3]Entry!$G$261)</f>
        <v/>
      </c>
      <c r="AI258">
        <f>IF([3]Entry!$K$261="","",[3]Entry!$K$261)</f>
        <v/>
      </c>
      <c r="AJ258">
        <f>IF([3]Entry!$L$261="","",[3]Entry!$L$261)</f>
        <v/>
      </c>
      <c r="AK258">
        <f>IF([3]Entry!$M$261="","",[3]Entry!$M$261)</f>
        <v/>
      </c>
      <c r="AL258">
        <f>IF([3]Entry!$N$261="","",[3]Entry!$N$261)</f>
        <v/>
      </c>
      <c r="AM258">
        <f>IF([3]Entry!$R$261="","",[3]Entry!$R$261)</f>
        <v/>
      </c>
    </row>
    <row r="259">
      <c r="A259">
        <f>IF([1]Accounts!$D$260="","",[1]Accounts!$A$260)</f>
        <v/>
      </c>
      <c r="B259">
        <f>IF([1]Accounts!$D$260="","",[1]Accounts!$B$260)</f>
        <v/>
      </c>
      <c r="C259">
        <f>IF([1]Accounts!$D$260="","",[1]Accounts!$C$260)</f>
        <v/>
      </c>
      <c r="D259">
        <f>IF([1]Accounts!$D$260="","",[1]Accounts!$D$260)</f>
        <v/>
      </c>
      <c r="E259">
        <f>IF([1]Accounts!$D$260="","",[1]Accounts!$E$260)</f>
        <v/>
      </c>
      <c r="F259">
        <f>IF([1]Accounts!$D$260="","",[1]Accounts!$F$260)</f>
        <v/>
      </c>
      <c r="G259">
        <f>IF([1]Accounts!$D$260="","",[1]Accounts!$G$260)</f>
        <v/>
      </c>
      <c r="T259">
        <f>IF([2]Baskol!$B$262="","",[2]Baskol!$B$262)</f>
        <v/>
      </c>
      <c r="U259">
        <f>IF([2]Baskol!$C$262="","",[2]Baskol!$C$262)</f>
        <v/>
      </c>
      <c r="V259">
        <f>IF([2]Baskol!$D$262="","",[2]Baskol!$D$262)</f>
        <v/>
      </c>
      <c r="W259">
        <f>IF([2]Baskol!$E$262="","",[2]Baskol!$E$262)</f>
        <v/>
      </c>
      <c r="X259">
        <f>IF([2]Baskol!$G$262="","",[2]Baskol!$G$262)</f>
        <v/>
      </c>
      <c r="Y259">
        <f>IF([2]Baskol!$I$262="","",[2]Baskol!$I$262)</f>
        <v/>
      </c>
      <c r="Z259">
        <f>IF([2]Baskol!$J$262="","",[2]Baskol!$J$262)</f>
        <v/>
      </c>
      <c r="AA259">
        <f>IF([2]Baskol!$K$262="","",[2]Baskol!$K$262)</f>
        <v/>
      </c>
      <c r="AB259">
        <f>IF([2]Baskol!$L$262="","",[2]Baskol!$L$262)</f>
        <v/>
      </c>
      <c r="AC259">
        <f>IF([2]Baskol!$N$262="","",[2]Baskol!$N$262)</f>
        <v/>
      </c>
      <c r="AD259">
        <f>IF([2]Baskol!$O$262="","",[2]Baskol!$O$262)</f>
        <v/>
      </c>
      <c r="AE259">
        <f>IF([3]Entry!$C$262="","",[3]Entry!$C$262)</f>
        <v/>
      </c>
      <c r="AF259">
        <f>IF([3]Entry!$D$262="","",[3]Entry!$D$262)</f>
        <v/>
      </c>
      <c r="AG259">
        <f>IF([3]Entry!$E$262="","",[3]Entry!$E$262)</f>
        <v/>
      </c>
      <c r="AH259">
        <f>IF([3]Entry!$G$262="","",[3]Entry!$G$262)</f>
        <v/>
      </c>
      <c r="AI259">
        <f>IF([3]Entry!$K$262="","",[3]Entry!$K$262)</f>
        <v/>
      </c>
      <c r="AJ259">
        <f>IF([3]Entry!$L$262="","",[3]Entry!$L$262)</f>
        <v/>
      </c>
      <c r="AK259">
        <f>IF([3]Entry!$M$262="","",[3]Entry!$M$262)</f>
        <v/>
      </c>
      <c r="AL259">
        <f>IF([3]Entry!$N$262="","",[3]Entry!$N$262)</f>
        <v/>
      </c>
      <c r="AM259">
        <f>IF([3]Entry!$R$262="","",[3]Entry!$R$262)</f>
        <v/>
      </c>
    </row>
    <row r="260">
      <c r="A260">
        <f>IF([1]Accounts!$D$261="","",[1]Accounts!$A$261)</f>
        <v/>
      </c>
      <c r="B260">
        <f>IF([1]Accounts!$D$261="","",[1]Accounts!$B$261)</f>
        <v/>
      </c>
      <c r="C260">
        <f>IF([1]Accounts!$D$261="","",[1]Accounts!$C$261)</f>
        <v/>
      </c>
      <c r="D260">
        <f>IF([1]Accounts!$D$261="","",[1]Accounts!$D$261)</f>
        <v/>
      </c>
      <c r="E260">
        <f>IF([1]Accounts!$D$261="","",[1]Accounts!$E$261)</f>
        <v/>
      </c>
      <c r="F260">
        <f>IF([1]Accounts!$D$261="","",[1]Accounts!$F$261)</f>
        <v/>
      </c>
      <c r="G260">
        <f>IF([1]Accounts!$D$261="","",[1]Accounts!$G$261)</f>
        <v/>
      </c>
      <c r="T260">
        <f>IF([2]Baskol!$B$263="","",[2]Baskol!$B$263)</f>
        <v/>
      </c>
      <c r="U260">
        <f>IF([2]Baskol!$C$263="","",[2]Baskol!$C$263)</f>
        <v/>
      </c>
      <c r="V260">
        <f>IF([2]Baskol!$D$263="","",[2]Baskol!$D$263)</f>
        <v/>
      </c>
      <c r="W260">
        <f>IF([2]Baskol!$E$263="","",[2]Baskol!$E$263)</f>
        <v/>
      </c>
      <c r="X260">
        <f>IF([2]Baskol!$G$263="","",[2]Baskol!$G$263)</f>
        <v/>
      </c>
      <c r="Y260">
        <f>IF([2]Baskol!$I$263="","",[2]Baskol!$I$263)</f>
        <v/>
      </c>
      <c r="Z260">
        <f>IF([2]Baskol!$J$263="","",[2]Baskol!$J$263)</f>
        <v/>
      </c>
      <c r="AA260">
        <f>IF([2]Baskol!$K$263="","",[2]Baskol!$K$263)</f>
        <v/>
      </c>
      <c r="AB260">
        <f>IF([2]Baskol!$L$263="","",[2]Baskol!$L$263)</f>
        <v/>
      </c>
      <c r="AC260">
        <f>IF([2]Baskol!$N$263="","",[2]Baskol!$N$263)</f>
        <v/>
      </c>
      <c r="AD260">
        <f>IF([2]Baskol!$O$263="","",[2]Baskol!$O$263)</f>
        <v/>
      </c>
      <c r="AE260">
        <f>IF([3]Entry!$C$263="","",[3]Entry!$C$263)</f>
        <v/>
      </c>
      <c r="AF260">
        <f>IF([3]Entry!$D$263="","",[3]Entry!$D$263)</f>
        <v/>
      </c>
      <c r="AG260">
        <f>IF([3]Entry!$E$263="","",[3]Entry!$E$263)</f>
        <v/>
      </c>
      <c r="AH260">
        <f>IF([3]Entry!$G$263="","",[3]Entry!$G$263)</f>
        <v/>
      </c>
      <c r="AI260">
        <f>IF([3]Entry!$K$263="","",[3]Entry!$K$263)</f>
        <v/>
      </c>
      <c r="AJ260">
        <f>IF([3]Entry!$L$263="","",[3]Entry!$L$263)</f>
        <v/>
      </c>
      <c r="AK260">
        <f>IF([3]Entry!$M$263="","",[3]Entry!$M$263)</f>
        <v/>
      </c>
      <c r="AL260">
        <f>IF([3]Entry!$N$263="","",[3]Entry!$N$263)</f>
        <v/>
      </c>
      <c r="AM260">
        <f>IF([3]Entry!$R$263="","",[3]Entry!$R$263)</f>
        <v/>
      </c>
    </row>
    <row r="261">
      <c r="A261">
        <f>IF([1]Accounts!$D$262="","",[1]Accounts!$A$262)</f>
        <v/>
      </c>
      <c r="B261">
        <f>IF([1]Accounts!$D$262="","",[1]Accounts!$B$262)</f>
        <v/>
      </c>
      <c r="C261">
        <f>IF([1]Accounts!$D$262="","",[1]Accounts!$C$262)</f>
        <v/>
      </c>
      <c r="D261">
        <f>IF([1]Accounts!$D$262="","",[1]Accounts!$D$262)</f>
        <v/>
      </c>
      <c r="E261">
        <f>IF([1]Accounts!$D$262="","",[1]Accounts!$E$262)</f>
        <v/>
      </c>
      <c r="F261">
        <f>IF([1]Accounts!$D$262="","",[1]Accounts!$F$262)</f>
        <v/>
      </c>
      <c r="G261">
        <f>IF([1]Accounts!$D$262="","",[1]Accounts!$G$262)</f>
        <v/>
      </c>
      <c r="T261">
        <f>IF([2]Baskol!$B$264="","",[2]Baskol!$B$264)</f>
        <v/>
      </c>
      <c r="U261">
        <f>IF([2]Baskol!$C$264="","",[2]Baskol!$C$264)</f>
        <v/>
      </c>
      <c r="V261">
        <f>IF([2]Baskol!$D$264="","",[2]Baskol!$D$264)</f>
        <v/>
      </c>
      <c r="W261">
        <f>IF([2]Baskol!$E$264="","",[2]Baskol!$E$264)</f>
        <v/>
      </c>
      <c r="X261">
        <f>IF([2]Baskol!$G$264="","",[2]Baskol!$G$264)</f>
        <v/>
      </c>
      <c r="Y261">
        <f>IF([2]Baskol!$I$264="","",[2]Baskol!$I$264)</f>
        <v/>
      </c>
      <c r="Z261">
        <f>IF([2]Baskol!$J$264="","",[2]Baskol!$J$264)</f>
        <v/>
      </c>
      <c r="AA261">
        <f>IF([2]Baskol!$K$264="","",[2]Baskol!$K$264)</f>
        <v/>
      </c>
      <c r="AB261">
        <f>IF([2]Baskol!$L$264="","",[2]Baskol!$L$264)</f>
        <v/>
      </c>
      <c r="AC261">
        <f>IF([2]Baskol!$N$264="","",[2]Baskol!$N$264)</f>
        <v/>
      </c>
      <c r="AD261">
        <f>IF([2]Baskol!$O$264="","",[2]Baskol!$O$264)</f>
        <v/>
      </c>
      <c r="AE261">
        <f>IF([3]Entry!$C$264="","",[3]Entry!$C$264)</f>
        <v/>
      </c>
      <c r="AF261">
        <f>IF([3]Entry!$D$264="","",[3]Entry!$D$264)</f>
        <v/>
      </c>
      <c r="AG261">
        <f>IF([3]Entry!$E$264="","",[3]Entry!$E$264)</f>
        <v/>
      </c>
      <c r="AH261">
        <f>IF([3]Entry!$G$264="","",[3]Entry!$G$264)</f>
        <v/>
      </c>
      <c r="AI261">
        <f>IF([3]Entry!$K$264="","",[3]Entry!$K$264)</f>
        <v/>
      </c>
      <c r="AJ261">
        <f>IF([3]Entry!$L$264="","",[3]Entry!$L$264)</f>
        <v/>
      </c>
      <c r="AK261">
        <f>IF([3]Entry!$M$264="","",[3]Entry!$M$264)</f>
        <v/>
      </c>
      <c r="AL261">
        <f>IF([3]Entry!$N$264="","",[3]Entry!$N$264)</f>
        <v/>
      </c>
      <c r="AM261">
        <f>IF([3]Entry!$R$264="","",[3]Entry!$R$264)</f>
        <v/>
      </c>
    </row>
    <row r="262">
      <c r="A262">
        <f>IF([1]Accounts!$D$263="","",[1]Accounts!$A$263)</f>
        <v/>
      </c>
      <c r="B262">
        <f>IF([1]Accounts!$D$263="","",[1]Accounts!$B$263)</f>
        <v/>
      </c>
      <c r="C262">
        <f>IF([1]Accounts!$D$263="","",[1]Accounts!$C$263)</f>
        <v/>
      </c>
      <c r="D262">
        <f>IF([1]Accounts!$D$263="","",[1]Accounts!$D$263)</f>
        <v/>
      </c>
      <c r="E262">
        <f>IF([1]Accounts!$D$263="","",[1]Accounts!$E$263)</f>
        <v/>
      </c>
      <c r="F262">
        <f>IF([1]Accounts!$D$263="","",[1]Accounts!$F$263)</f>
        <v/>
      </c>
      <c r="G262">
        <f>IF([1]Accounts!$D$263="","",[1]Accounts!$G$263)</f>
        <v/>
      </c>
      <c r="T262">
        <f>IF([2]Baskol!$B$265="","",[2]Baskol!$B$265)</f>
        <v/>
      </c>
      <c r="U262">
        <f>IF([2]Baskol!$C$265="","",[2]Baskol!$C$265)</f>
        <v/>
      </c>
      <c r="V262">
        <f>IF([2]Baskol!$D$265="","",[2]Baskol!$D$265)</f>
        <v/>
      </c>
      <c r="W262">
        <f>IF([2]Baskol!$E$265="","",[2]Baskol!$E$265)</f>
        <v/>
      </c>
      <c r="X262">
        <f>IF([2]Baskol!$G$265="","",[2]Baskol!$G$265)</f>
        <v/>
      </c>
      <c r="Y262">
        <f>IF([2]Baskol!$I$265="","",[2]Baskol!$I$265)</f>
        <v/>
      </c>
      <c r="Z262">
        <f>IF([2]Baskol!$J$265="","",[2]Baskol!$J$265)</f>
        <v/>
      </c>
      <c r="AA262">
        <f>IF([2]Baskol!$K$265="","",[2]Baskol!$K$265)</f>
        <v/>
      </c>
      <c r="AB262">
        <f>IF([2]Baskol!$L$265="","",[2]Baskol!$L$265)</f>
        <v/>
      </c>
      <c r="AC262">
        <f>IF([2]Baskol!$N$265="","",[2]Baskol!$N$265)</f>
        <v/>
      </c>
      <c r="AD262">
        <f>IF([2]Baskol!$O$265="","",[2]Baskol!$O$265)</f>
        <v/>
      </c>
      <c r="AE262">
        <f>IF([3]Entry!$C$265="","",[3]Entry!$C$265)</f>
        <v/>
      </c>
      <c r="AF262">
        <f>IF([3]Entry!$D$265="","",[3]Entry!$D$265)</f>
        <v/>
      </c>
      <c r="AG262">
        <f>IF([3]Entry!$E$265="","",[3]Entry!$E$265)</f>
        <v/>
      </c>
      <c r="AH262">
        <f>IF([3]Entry!$G$265="","",[3]Entry!$G$265)</f>
        <v/>
      </c>
      <c r="AI262">
        <f>IF([3]Entry!$K$265="","",[3]Entry!$K$265)</f>
        <v/>
      </c>
      <c r="AJ262">
        <f>IF([3]Entry!$L$265="","",[3]Entry!$L$265)</f>
        <v/>
      </c>
      <c r="AK262">
        <f>IF([3]Entry!$M$265="","",[3]Entry!$M$265)</f>
        <v/>
      </c>
      <c r="AL262">
        <f>IF([3]Entry!$N$265="","",[3]Entry!$N$265)</f>
        <v/>
      </c>
      <c r="AM262">
        <f>IF([3]Entry!$R$265="","",[3]Entry!$R$265)</f>
        <v/>
      </c>
    </row>
    <row r="263">
      <c r="A263">
        <f>IF([1]Accounts!$D$264="","",[1]Accounts!$A$264)</f>
        <v/>
      </c>
      <c r="B263">
        <f>IF([1]Accounts!$D$264="","",[1]Accounts!$B$264)</f>
        <v/>
      </c>
      <c r="C263">
        <f>IF([1]Accounts!$D$264="","",[1]Accounts!$C$264)</f>
        <v/>
      </c>
      <c r="D263">
        <f>IF([1]Accounts!$D$264="","",[1]Accounts!$D$264)</f>
        <v/>
      </c>
      <c r="E263">
        <f>IF([1]Accounts!$D$264="","",[1]Accounts!$E$264)</f>
        <v/>
      </c>
      <c r="F263">
        <f>IF([1]Accounts!$D$264="","",[1]Accounts!$F$264)</f>
        <v/>
      </c>
      <c r="G263">
        <f>IF([1]Accounts!$D$264="","",[1]Accounts!$G$264)</f>
        <v/>
      </c>
      <c r="T263">
        <f>IF([2]Baskol!$B$266="","",[2]Baskol!$B$266)</f>
        <v/>
      </c>
      <c r="U263">
        <f>IF([2]Baskol!$C$266="","",[2]Baskol!$C$266)</f>
        <v/>
      </c>
      <c r="V263">
        <f>IF([2]Baskol!$D$266="","",[2]Baskol!$D$266)</f>
        <v/>
      </c>
      <c r="W263">
        <f>IF([2]Baskol!$E$266="","",[2]Baskol!$E$266)</f>
        <v/>
      </c>
      <c r="X263">
        <f>IF([2]Baskol!$G$266="","",[2]Baskol!$G$266)</f>
        <v/>
      </c>
      <c r="Y263">
        <f>IF([2]Baskol!$I$266="","",[2]Baskol!$I$266)</f>
        <v/>
      </c>
      <c r="Z263">
        <f>IF([2]Baskol!$J$266="","",[2]Baskol!$J$266)</f>
        <v/>
      </c>
      <c r="AA263">
        <f>IF([2]Baskol!$K$266="","",[2]Baskol!$K$266)</f>
        <v/>
      </c>
      <c r="AB263">
        <f>IF([2]Baskol!$L$266="","",[2]Baskol!$L$266)</f>
        <v/>
      </c>
      <c r="AC263">
        <f>IF([2]Baskol!$N$266="","",[2]Baskol!$N$266)</f>
        <v/>
      </c>
      <c r="AD263">
        <f>IF([2]Baskol!$O$266="","",[2]Baskol!$O$266)</f>
        <v/>
      </c>
      <c r="AE263">
        <f>IF([3]Entry!$C$266="","",[3]Entry!$C$266)</f>
        <v/>
      </c>
      <c r="AF263">
        <f>IF([3]Entry!$D$266="","",[3]Entry!$D$266)</f>
        <v/>
      </c>
      <c r="AG263">
        <f>IF([3]Entry!$E$266="","",[3]Entry!$E$266)</f>
        <v/>
      </c>
      <c r="AH263">
        <f>IF([3]Entry!$G$266="","",[3]Entry!$G$266)</f>
        <v/>
      </c>
      <c r="AI263">
        <f>IF([3]Entry!$K$266="","",[3]Entry!$K$266)</f>
        <v/>
      </c>
      <c r="AJ263">
        <f>IF([3]Entry!$L$266="","",[3]Entry!$L$266)</f>
        <v/>
      </c>
      <c r="AK263">
        <f>IF([3]Entry!$M$266="","",[3]Entry!$M$266)</f>
        <v/>
      </c>
      <c r="AL263">
        <f>IF([3]Entry!$N$266="","",[3]Entry!$N$266)</f>
        <v/>
      </c>
      <c r="AM263">
        <f>IF([3]Entry!$R$266="","",[3]Entry!$R$266)</f>
        <v/>
      </c>
    </row>
    <row r="264">
      <c r="A264">
        <f>IF([1]Accounts!$D$265="","",[1]Accounts!$A$265)</f>
        <v/>
      </c>
      <c r="B264">
        <f>IF([1]Accounts!$D$265="","",[1]Accounts!$B$265)</f>
        <v/>
      </c>
      <c r="C264">
        <f>IF([1]Accounts!$D$265="","",[1]Accounts!$C$265)</f>
        <v/>
      </c>
      <c r="D264">
        <f>IF([1]Accounts!$D$265="","",[1]Accounts!$D$265)</f>
        <v/>
      </c>
      <c r="E264">
        <f>IF([1]Accounts!$D$265="","",[1]Accounts!$E$265)</f>
        <v/>
      </c>
      <c r="F264">
        <f>IF([1]Accounts!$D$265="","",[1]Accounts!$F$265)</f>
        <v/>
      </c>
      <c r="G264">
        <f>IF([1]Accounts!$D$265="","",[1]Accounts!$G$265)</f>
        <v/>
      </c>
      <c r="T264">
        <f>IF([2]Baskol!$B$267="","",[2]Baskol!$B$267)</f>
        <v/>
      </c>
      <c r="U264">
        <f>IF([2]Baskol!$C$267="","",[2]Baskol!$C$267)</f>
        <v/>
      </c>
      <c r="V264">
        <f>IF([2]Baskol!$D$267="","",[2]Baskol!$D$267)</f>
        <v/>
      </c>
      <c r="W264">
        <f>IF([2]Baskol!$E$267="","",[2]Baskol!$E$267)</f>
        <v/>
      </c>
      <c r="X264">
        <f>IF([2]Baskol!$G$267="","",[2]Baskol!$G$267)</f>
        <v/>
      </c>
      <c r="Y264">
        <f>IF([2]Baskol!$I$267="","",[2]Baskol!$I$267)</f>
        <v/>
      </c>
      <c r="Z264">
        <f>IF([2]Baskol!$J$267="","",[2]Baskol!$J$267)</f>
        <v/>
      </c>
      <c r="AA264">
        <f>IF([2]Baskol!$K$267="","",[2]Baskol!$K$267)</f>
        <v/>
      </c>
      <c r="AB264">
        <f>IF([2]Baskol!$L$267="","",[2]Baskol!$L$267)</f>
        <v/>
      </c>
      <c r="AC264">
        <f>IF([2]Baskol!$N$267="","",[2]Baskol!$N$267)</f>
        <v/>
      </c>
      <c r="AD264">
        <f>IF([2]Baskol!$O$267="","",[2]Baskol!$O$267)</f>
        <v/>
      </c>
      <c r="AE264">
        <f>IF([3]Entry!$C$267="","",[3]Entry!$C$267)</f>
        <v/>
      </c>
      <c r="AF264">
        <f>IF([3]Entry!$D$267="","",[3]Entry!$D$267)</f>
        <v/>
      </c>
      <c r="AG264">
        <f>IF([3]Entry!$E$267="","",[3]Entry!$E$267)</f>
        <v/>
      </c>
      <c r="AH264">
        <f>IF([3]Entry!$G$267="","",[3]Entry!$G$267)</f>
        <v/>
      </c>
      <c r="AI264">
        <f>IF([3]Entry!$K$267="","",[3]Entry!$K$267)</f>
        <v/>
      </c>
      <c r="AJ264">
        <f>IF([3]Entry!$L$267="","",[3]Entry!$L$267)</f>
        <v/>
      </c>
      <c r="AK264">
        <f>IF([3]Entry!$M$267="","",[3]Entry!$M$267)</f>
        <v/>
      </c>
      <c r="AL264">
        <f>IF([3]Entry!$N$267="","",[3]Entry!$N$267)</f>
        <v/>
      </c>
      <c r="AM264">
        <f>IF([3]Entry!$R$267="","",[3]Entry!$R$267)</f>
        <v/>
      </c>
    </row>
    <row r="265">
      <c r="A265">
        <f>IF([1]Accounts!$D$266="","",[1]Accounts!$A$266)</f>
        <v/>
      </c>
      <c r="B265">
        <f>IF([1]Accounts!$D$266="","",[1]Accounts!$B$266)</f>
        <v/>
      </c>
      <c r="C265">
        <f>IF([1]Accounts!$D$266="","",[1]Accounts!$C$266)</f>
        <v/>
      </c>
      <c r="D265">
        <f>IF([1]Accounts!$D$266="","",[1]Accounts!$D$266)</f>
        <v/>
      </c>
      <c r="E265">
        <f>IF([1]Accounts!$D$266="","",[1]Accounts!$E$266)</f>
        <v/>
      </c>
      <c r="F265">
        <f>IF([1]Accounts!$D$266="","",[1]Accounts!$F$266)</f>
        <v/>
      </c>
      <c r="G265">
        <f>IF([1]Accounts!$D$266="","",[1]Accounts!$G$266)</f>
        <v/>
      </c>
      <c r="T265">
        <f>IF([2]Baskol!$B$268="","",[2]Baskol!$B$268)</f>
        <v/>
      </c>
      <c r="U265">
        <f>IF([2]Baskol!$C$268="","",[2]Baskol!$C$268)</f>
        <v/>
      </c>
      <c r="V265">
        <f>IF([2]Baskol!$D$268="","",[2]Baskol!$D$268)</f>
        <v/>
      </c>
      <c r="W265">
        <f>IF([2]Baskol!$E$268="","",[2]Baskol!$E$268)</f>
        <v/>
      </c>
      <c r="X265">
        <f>IF([2]Baskol!$G$268="","",[2]Baskol!$G$268)</f>
        <v/>
      </c>
      <c r="Y265">
        <f>IF([2]Baskol!$I$268="","",[2]Baskol!$I$268)</f>
        <v/>
      </c>
      <c r="Z265">
        <f>IF([2]Baskol!$J$268="","",[2]Baskol!$J$268)</f>
        <v/>
      </c>
      <c r="AA265">
        <f>IF([2]Baskol!$K$268="","",[2]Baskol!$K$268)</f>
        <v/>
      </c>
      <c r="AB265">
        <f>IF([2]Baskol!$L$268="","",[2]Baskol!$L$268)</f>
        <v/>
      </c>
      <c r="AC265">
        <f>IF([2]Baskol!$N$268="","",[2]Baskol!$N$268)</f>
        <v/>
      </c>
      <c r="AD265">
        <f>IF([2]Baskol!$O$268="","",[2]Baskol!$O$268)</f>
        <v/>
      </c>
      <c r="AE265">
        <f>IF([3]Entry!$C$268="","",[3]Entry!$C$268)</f>
        <v/>
      </c>
      <c r="AF265">
        <f>IF([3]Entry!$D$268="","",[3]Entry!$D$268)</f>
        <v/>
      </c>
      <c r="AG265">
        <f>IF([3]Entry!$E$268="","",[3]Entry!$E$268)</f>
        <v/>
      </c>
      <c r="AH265">
        <f>IF([3]Entry!$G$268="","",[3]Entry!$G$268)</f>
        <v/>
      </c>
      <c r="AI265">
        <f>IF([3]Entry!$K$268="","",[3]Entry!$K$268)</f>
        <v/>
      </c>
      <c r="AJ265">
        <f>IF([3]Entry!$L$268="","",[3]Entry!$L$268)</f>
        <v/>
      </c>
      <c r="AK265">
        <f>IF([3]Entry!$M$268="","",[3]Entry!$M$268)</f>
        <v/>
      </c>
      <c r="AL265">
        <f>IF([3]Entry!$N$268="","",[3]Entry!$N$268)</f>
        <v/>
      </c>
      <c r="AM265">
        <f>IF([3]Entry!$R$268="","",[3]Entry!$R$268)</f>
        <v/>
      </c>
    </row>
    <row r="266">
      <c r="A266">
        <f>IF([1]Accounts!$D$267="","",[1]Accounts!$A$267)</f>
        <v/>
      </c>
      <c r="B266">
        <f>IF([1]Accounts!$D$267="","",[1]Accounts!$B$267)</f>
        <v/>
      </c>
      <c r="C266">
        <f>IF([1]Accounts!$D$267="","",[1]Accounts!$C$267)</f>
        <v/>
      </c>
      <c r="D266">
        <f>IF([1]Accounts!$D$267="","",[1]Accounts!$D$267)</f>
        <v/>
      </c>
      <c r="E266">
        <f>IF([1]Accounts!$D$267="","",[1]Accounts!$E$267)</f>
        <v/>
      </c>
      <c r="F266">
        <f>IF([1]Accounts!$D$267="","",[1]Accounts!$F$267)</f>
        <v/>
      </c>
      <c r="G266">
        <f>IF([1]Accounts!$D$267="","",[1]Accounts!$G$267)</f>
        <v/>
      </c>
      <c r="T266">
        <f>IF([2]Baskol!$B$269="","",[2]Baskol!$B$269)</f>
        <v/>
      </c>
      <c r="U266">
        <f>IF([2]Baskol!$C$269="","",[2]Baskol!$C$269)</f>
        <v/>
      </c>
      <c r="V266">
        <f>IF([2]Baskol!$D$269="","",[2]Baskol!$D$269)</f>
        <v/>
      </c>
      <c r="W266">
        <f>IF([2]Baskol!$E$269="","",[2]Baskol!$E$269)</f>
        <v/>
      </c>
      <c r="X266">
        <f>IF([2]Baskol!$G$269="","",[2]Baskol!$G$269)</f>
        <v/>
      </c>
      <c r="Y266">
        <f>IF([2]Baskol!$I$269="","",[2]Baskol!$I$269)</f>
        <v/>
      </c>
      <c r="Z266">
        <f>IF([2]Baskol!$J$269="","",[2]Baskol!$J$269)</f>
        <v/>
      </c>
      <c r="AA266">
        <f>IF([2]Baskol!$K$269="","",[2]Baskol!$K$269)</f>
        <v/>
      </c>
      <c r="AB266">
        <f>IF([2]Baskol!$L$269="","",[2]Baskol!$L$269)</f>
        <v/>
      </c>
      <c r="AC266">
        <f>IF([2]Baskol!$N$269="","",[2]Baskol!$N$269)</f>
        <v/>
      </c>
      <c r="AD266">
        <f>IF([2]Baskol!$O$269="","",[2]Baskol!$O$269)</f>
        <v/>
      </c>
      <c r="AE266">
        <f>IF([3]Entry!$C$269="","",[3]Entry!$C$269)</f>
        <v/>
      </c>
      <c r="AF266">
        <f>IF([3]Entry!$D$269="","",[3]Entry!$D$269)</f>
        <v/>
      </c>
      <c r="AG266">
        <f>IF([3]Entry!$E$269="","",[3]Entry!$E$269)</f>
        <v/>
      </c>
      <c r="AH266">
        <f>IF([3]Entry!$G$269="","",[3]Entry!$G$269)</f>
        <v/>
      </c>
      <c r="AI266">
        <f>IF([3]Entry!$K$269="","",[3]Entry!$K$269)</f>
        <v/>
      </c>
      <c r="AJ266">
        <f>IF([3]Entry!$L$269="","",[3]Entry!$L$269)</f>
        <v/>
      </c>
      <c r="AK266">
        <f>IF([3]Entry!$M$269="","",[3]Entry!$M$269)</f>
        <v/>
      </c>
      <c r="AL266">
        <f>IF([3]Entry!$N$269="","",[3]Entry!$N$269)</f>
        <v/>
      </c>
      <c r="AM266">
        <f>IF([3]Entry!$R$269="","",[3]Entry!$R$269)</f>
        <v/>
      </c>
    </row>
    <row r="267">
      <c r="A267">
        <f>IF([1]Accounts!$D$268="","",[1]Accounts!$A$268)</f>
        <v/>
      </c>
      <c r="B267">
        <f>IF([1]Accounts!$D$268="","",[1]Accounts!$B$268)</f>
        <v/>
      </c>
      <c r="C267">
        <f>IF([1]Accounts!$D$268="","",[1]Accounts!$C$268)</f>
        <v/>
      </c>
      <c r="D267">
        <f>IF([1]Accounts!$D$268="","",[1]Accounts!$D$268)</f>
        <v/>
      </c>
      <c r="E267">
        <f>IF([1]Accounts!$D$268="","",[1]Accounts!$E$268)</f>
        <v/>
      </c>
      <c r="F267">
        <f>IF([1]Accounts!$D$268="","",[1]Accounts!$F$268)</f>
        <v/>
      </c>
      <c r="G267">
        <f>IF([1]Accounts!$D$268="","",[1]Accounts!$G$268)</f>
        <v/>
      </c>
      <c r="T267">
        <f>IF([2]Baskol!$B$270="","",[2]Baskol!$B$270)</f>
        <v/>
      </c>
      <c r="U267">
        <f>IF([2]Baskol!$C$270="","",[2]Baskol!$C$270)</f>
        <v/>
      </c>
      <c r="V267">
        <f>IF([2]Baskol!$D$270="","",[2]Baskol!$D$270)</f>
        <v/>
      </c>
      <c r="W267">
        <f>IF([2]Baskol!$E$270="","",[2]Baskol!$E$270)</f>
        <v/>
      </c>
      <c r="X267">
        <f>IF([2]Baskol!$G$270="","",[2]Baskol!$G$270)</f>
        <v/>
      </c>
      <c r="Y267">
        <f>IF([2]Baskol!$I$270="","",[2]Baskol!$I$270)</f>
        <v/>
      </c>
      <c r="Z267">
        <f>IF([2]Baskol!$J$270="","",[2]Baskol!$J$270)</f>
        <v/>
      </c>
      <c r="AA267">
        <f>IF([2]Baskol!$K$270="","",[2]Baskol!$K$270)</f>
        <v/>
      </c>
      <c r="AB267">
        <f>IF([2]Baskol!$L$270="","",[2]Baskol!$L$270)</f>
        <v/>
      </c>
      <c r="AC267">
        <f>IF([2]Baskol!$N$270="","",[2]Baskol!$N$270)</f>
        <v/>
      </c>
      <c r="AD267">
        <f>IF([2]Baskol!$O$270="","",[2]Baskol!$O$270)</f>
        <v/>
      </c>
      <c r="AE267">
        <f>IF([3]Entry!$C$270="","",[3]Entry!$C$270)</f>
        <v/>
      </c>
      <c r="AF267">
        <f>IF([3]Entry!$D$270="","",[3]Entry!$D$270)</f>
        <v/>
      </c>
      <c r="AG267">
        <f>IF([3]Entry!$E$270="","",[3]Entry!$E$270)</f>
        <v/>
      </c>
      <c r="AH267">
        <f>IF([3]Entry!$G$270="","",[3]Entry!$G$270)</f>
        <v/>
      </c>
      <c r="AI267">
        <f>IF([3]Entry!$K$270="","",[3]Entry!$K$270)</f>
        <v/>
      </c>
      <c r="AJ267">
        <f>IF([3]Entry!$L$270="","",[3]Entry!$L$270)</f>
        <v/>
      </c>
      <c r="AK267">
        <f>IF([3]Entry!$M$270="","",[3]Entry!$M$270)</f>
        <v/>
      </c>
      <c r="AL267">
        <f>IF([3]Entry!$N$270="","",[3]Entry!$N$270)</f>
        <v/>
      </c>
      <c r="AM267">
        <f>IF([3]Entry!$R$270="","",[3]Entry!$R$270)</f>
        <v/>
      </c>
    </row>
    <row r="268">
      <c r="A268">
        <f>IF([1]Accounts!$D$269="","",[1]Accounts!$A$269)</f>
        <v/>
      </c>
      <c r="B268">
        <f>IF([1]Accounts!$D$269="","",[1]Accounts!$B$269)</f>
        <v/>
      </c>
      <c r="C268">
        <f>IF([1]Accounts!$D$269="","",[1]Accounts!$C$269)</f>
        <v/>
      </c>
      <c r="D268">
        <f>IF([1]Accounts!$D$269="","",[1]Accounts!$D$269)</f>
        <v/>
      </c>
      <c r="E268">
        <f>IF([1]Accounts!$D$269="","",[1]Accounts!$E$269)</f>
        <v/>
      </c>
      <c r="F268">
        <f>IF([1]Accounts!$D$269="","",[1]Accounts!$F$269)</f>
        <v/>
      </c>
      <c r="G268">
        <f>IF([1]Accounts!$D$269="","",[1]Accounts!$G$269)</f>
        <v/>
      </c>
      <c r="T268">
        <f>IF([2]Baskol!$B$271="","",[2]Baskol!$B$271)</f>
        <v/>
      </c>
      <c r="U268">
        <f>IF([2]Baskol!$C$271="","",[2]Baskol!$C$271)</f>
        <v/>
      </c>
      <c r="V268">
        <f>IF([2]Baskol!$D$271="","",[2]Baskol!$D$271)</f>
        <v/>
      </c>
      <c r="W268">
        <f>IF([2]Baskol!$E$271="","",[2]Baskol!$E$271)</f>
        <v/>
      </c>
      <c r="X268">
        <f>IF([2]Baskol!$G$271="","",[2]Baskol!$G$271)</f>
        <v/>
      </c>
      <c r="Y268">
        <f>IF([2]Baskol!$I$271="","",[2]Baskol!$I$271)</f>
        <v/>
      </c>
      <c r="Z268">
        <f>IF([2]Baskol!$J$271="","",[2]Baskol!$J$271)</f>
        <v/>
      </c>
      <c r="AA268">
        <f>IF([2]Baskol!$K$271="","",[2]Baskol!$K$271)</f>
        <v/>
      </c>
      <c r="AB268">
        <f>IF([2]Baskol!$L$271="","",[2]Baskol!$L$271)</f>
        <v/>
      </c>
      <c r="AC268">
        <f>IF([2]Baskol!$N$271="","",[2]Baskol!$N$271)</f>
        <v/>
      </c>
      <c r="AD268">
        <f>IF([2]Baskol!$O$271="","",[2]Baskol!$O$271)</f>
        <v/>
      </c>
      <c r="AE268">
        <f>IF([3]Entry!$C$271="","",[3]Entry!$C$271)</f>
        <v/>
      </c>
      <c r="AF268">
        <f>IF([3]Entry!$D$271="","",[3]Entry!$D$271)</f>
        <v/>
      </c>
      <c r="AG268">
        <f>IF([3]Entry!$E$271="","",[3]Entry!$E$271)</f>
        <v/>
      </c>
      <c r="AH268">
        <f>IF([3]Entry!$G$271="","",[3]Entry!$G$271)</f>
        <v/>
      </c>
      <c r="AI268">
        <f>IF([3]Entry!$K$271="","",[3]Entry!$K$271)</f>
        <v/>
      </c>
      <c r="AJ268">
        <f>IF([3]Entry!$L$271="","",[3]Entry!$L$271)</f>
        <v/>
      </c>
      <c r="AK268">
        <f>IF([3]Entry!$M$271="","",[3]Entry!$M$271)</f>
        <v/>
      </c>
      <c r="AL268">
        <f>IF([3]Entry!$N$271="","",[3]Entry!$N$271)</f>
        <v/>
      </c>
      <c r="AM268">
        <f>IF([3]Entry!$R$271="","",[3]Entry!$R$271)</f>
        <v/>
      </c>
    </row>
    <row r="269">
      <c r="A269">
        <f>IF([1]Accounts!$D$270="","",[1]Accounts!$A$270)</f>
        <v/>
      </c>
      <c r="B269">
        <f>IF([1]Accounts!$D$270="","",[1]Accounts!$B$270)</f>
        <v/>
      </c>
      <c r="C269">
        <f>IF([1]Accounts!$D$270="","",[1]Accounts!$C$270)</f>
        <v/>
      </c>
      <c r="D269">
        <f>IF([1]Accounts!$D$270="","",[1]Accounts!$D$270)</f>
        <v/>
      </c>
      <c r="E269">
        <f>IF([1]Accounts!$D$270="","",[1]Accounts!$E$270)</f>
        <v/>
      </c>
      <c r="F269">
        <f>IF([1]Accounts!$D$270="","",[1]Accounts!$F$270)</f>
        <v/>
      </c>
      <c r="G269">
        <f>IF([1]Accounts!$D$270="","",[1]Accounts!$G$270)</f>
        <v/>
      </c>
      <c r="T269">
        <f>IF([2]Baskol!$B$272="","",[2]Baskol!$B$272)</f>
        <v/>
      </c>
      <c r="U269">
        <f>IF([2]Baskol!$C$272="","",[2]Baskol!$C$272)</f>
        <v/>
      </c>
      <c r="V269">
        <f>IF([2]Baskol!$D$272="","",[2]Baskol!$D$272)</f>
        <v/>
      </c>
      <c r="W269">
        <f>IF([2]Baskol!$E$272="","",[2]Baskol!$E$272)</f>
        <v/>
      </c>
      <c r="X269">
        <f>IF([2]Baskol!$G$272="","",[2]Baskol!$G$272)</f>
        <v/>
      </c>
      <c r="Y269">
        <f>IF([2]Baskol!$I$272="","",[2]Baskol!$I$272)</f>
        <v/>
      </c>
      <c r="Z269">
        <f>IF([2]Baskol!$J$272="","",[2]Baskol!$J$272)</f>
        <v/>
      </c>
      <c r="AA269">
        <f>IF([2]Baskol!$K$272="","",[2]Baskol!$K$272)</f>
        <v/>
      </c>
      <c r="AB269">
        <f>IF([2]Baskol!$L$272="","",[2]Baskol!$L$272)</f>
        <v/>
      </c>
      <c r="AC269">
        <f>IF([2]Baskol!$N$272="","",[2]Baskol!$N$272)</f>
        <v/>
      </c>
      <c r="AD269">
        <f>IF([2]Baskol!$O$272="","",[2]Baskol!$O$272)</f>
        <v/>
      </c>
      <c r="AE269">
        <f>IF([3]Entry!$C$272="","",[3]Entry!$C$272)</f>
        <v/>
      </c>
      <c r="AF269">
        <f>IF([3]Entry!$D$272="","",[3]Entry!$D$272)</f>
        <v/>
      </c>
      <c r="AG269">
        <f>IF([3]Entry!$E$272="","",[3]Entry!$E$272)</f>
        <v/>
      </c>
      <c r="AH269">
        <f>IF([3]Entry!$G$272="","",[3]Entry!$G$272)</f>
        <v/>
      </c>
      <c r="AI269">
        <f>IF([3]Entry!$K$272="","",[3]Entry!$K$272)</f>
        <v/>
      </c>
      <c r="AJ269">
        <f>IF([3]Entry!$L$272="","",[3]Entry!$L$272)</f>
        <v/>
      </c>
      <c r="AK269">
        <f>IF([3]Entry!$M$272="","",[3]Entry!$M$272)</f>
        <v/>
      </c>
      <c r="AL269">
        <f>IF([3]Entry!$N$272="","",[3]Entry!$N$272)</f>
        <v/>
      </c>
      <c r="AM269">
        <f>IF([3]Entry!$R$272="","",[3]Entry!$R$272)</f>
        <v/>
      </c>
    </row>
    <row r="270">
      <c r="A270">
        <f>IF([1]Accounts!$D$271="","",[1]Accounts!$A$271)</f>
        <v/>
      </c>
      <c r="B270">
        <f>IF([1]Accounts!$D$271="","",[1]Accounts!$B$271)</f>
        <v/>
      </c>
      <c r="C270">
        <f>IF([1]Accounts!$D$271="","",[1]Accounts!$C$271)</f>
        <v/>
      </c>
      <c r="D270">
        <f>IF([1]Accounts!$D$271="","",[1]Accounts!$D$271)</f>
        <v/>
      </c>
      <c r="E270">
        <f>IF([1]Accounts!$D$271="","",[1]Accounts!$E$271)</f>
        <v/>
      </c>
      <c r="F270">
        <f>IF([1]Accounts!$D$271="","",[1]Accounts!$F$271)</f>
        <v/>
      </c>
      <c r="G270">
        <f>IF([1]Accounts!$D$271="","",[1]Accounts!$G$271)</f>
        <v/>
      </c>
      <c r="T270">
        <f>IF([2]Baskol!$B$273="","",[2]Baskol!$B$273)</f>
        <v/>
      </c>
      <c r="U270">
        <f>IF([2]Baskol!$C$273="","",[2]Baskol!$C$273)</f>
        <v/>
      </c>
      <c r="V270">
        <f>IF([2]Baskol!$D$273="","",[2]Baskol!$D$273)</f>
        <v/>
      </c>
      <c r="W270">
        <f>IF([2]Baskol!$E$273="","",[2]Baskol!$E$273)</f>
        <v/>
      </c>
      <c r="X270">
        <f>IF([2]Baskol!$G$273="","",[2]Baskol!$G$273)</f>
        <v/>
      </c>
      <c r="Y270">
        <f>IF([2]Baskol!$I$273="","",[2]Baskol!$I$273)</f>
        <v/>
      </c>
      <c r="Z270">
        <f>IF([2]Baskol!$J$273="","",[2]Baskol!$J$273)</f>
        <v/>
      </c>
      <c r="AA270">
        <f>IF([2]Baskol!$K$273="","",[2]Baskol!$K$273)</f>
        <v/>
      </c>
      <c r="AB270">
        <f>IF([2]Baskol!$L$273="","",[2]Baskol!$L$273)</f>
        <v/>
      </c>
      <c r="AC270">
        <f>IF([2]Baskol!$N$273="","",[2]Baskol!$N$273)</f>
        <v/>
      </c>
      <c r="AD270">
        <f>IF([2]Baskol!$O$273="","",[2]Baskol!$O$273)</f>
        <v/>
      </c>
      <c r="AE270">
        <f>IF([3]Entry!$C$273="","",[3]Entry!$C$273)</f>
        <v/>
      </c>
      <c r="AF270">
        <f>IF([3]Entry!$D$273="","",[3]Entry!$D$273)</f>
        <v/>
      </c>
      <c r="AG270">
        <f>IF([3]Entry!$E$273="","",[3]Entry!$E$273)</f>
        <v/>
      </c>
      <c r="AH270">
        <f>IF([3]Entry!$G$273="","",[3]Entry!$G$273)</f>
        <v/>
      </c>
      <c r="AI270">
        <f>IF([3]Entry!$K$273="","",[3]Entry!$K$273)</f>
        <v/>
      </c>
      <c r="AJ270">
        <f>IF([3]Entry!$L$273="","",[3]Entry!$L$273)</f>
        <v/>
      </c>
      <c r="AK270">
        <f>IF([3]Entry!$M$273="","",[3]Entry!$M$273)</f>
        <v/>
      </c>
      <c r="AL270">
        <f>IF([3]Entry!$N$273="","",[3]Entry!$N$273)</f>
        <v/>
      </c>
      <c r="AM270">
        <f>IF([3]Entry!$R$273="","",[3]Entry!$R$273)</f>
        <v/>
      </c>
    </row>
    <row r="271">
      <c r="A271">
        <f>IF([1]Accounts!$D$272="","",[1]Accounts!$A$272)</f>
        <v/>
      </c>
      <c r="B271">
        <f>IF([1]Accounts!$D$272="","",[1]Accounts!$B$272)</f>
        <v/>
      </c>
      <c r="C271">
        <f>IF([1]Accounts!$D$272="","",[1]Accounts!$C$272)</f>
        <v/>
      </c>
      <c r="D271">
        <f>IF([1]Accounts!$D$272="","",[1]Accounts!$D$272)</f>
        <v/>
      </c>
      <c r="E271">
        <f>IF([1]Accounts!$D$272="","",[1]Accounts!$E$272)</f>
        <v/>
      </c>
      <c r="F271">
        <f>IF([1]Accounts!$D$272="","",[1]Accounts!$F$272)</f>
        <v/>
      </c>
      <c r="G271">
        <f>IF([1]Accounts!$D$272="","",[1]Accounts!$G$272)</f>
        <v/>
      </c>
      <c r="T271">
        <f>IF([2]Baskol!$B$274="","",[2]Baskol!$B$274)</f>
        <v/>
      </c>
      <c r="U271">
        <f>IF([2]Baskol!$C$274="","",[2]Baskol!$C$274)</f>
        <v/>
      </c>
      <c r="V271">
        <f>IF([2]Baskol!$D$274="","",[2]Baskol!$D$274)</f>
        <v/>
      </c>
      <c r="W271">
        <f>IF([2]Baskol!$E$274="","",[2]Baskol!$E$274)</f>
        <v/>
      </c>
      <c r="X271">
        <f>IF([2]Baskol!$G$274="","",[2]Baskol!$G$274)</f>
        <v/>
      </c>
      <c r="Y271">
        <f>IF([2]Baskol!$I$274="","",[2]Baskol!$I$274)</f>
        <v/>
      </c>
      <c r="Z271">
        <f>IF([2]Baskol!$J$274="","",[2]Baskol!$J$274)</f>
        <v/>
      </c>
      <c r="AA271">
        <f>IF([2]Baskol!$K$274="","",[2]Baskol!$K$274)</f>
        <v/>
      </c>
      <c r="AB271">
        <f>IF([2]Baskol!$L$274="","",[2]Baskol!$L$274)</f>
        <v/>
      </c>
      <c r="AC271">
        <f>IF([2]Baskol!$N$274="","",[2]Baskol!$N$274)</f>
        <v/>
      </c>
      <c r="AD271">
        <f>IF([2]Baskol!$O$274="","",[2]Baskol!$O$274)</f>
        <v/>
      </c>
      <c r="AE271">
        <f>IF([3]Entry!$C$274="","",[3]Entry!$C$274)</f>
        <v/>
      </c>
      <c r="AF271">
        <f>IF([3]Entry!$D$274="","",[3]Entry!$D$274)</f>
        <v/>
      </c>
      <c r="AG271">
        <f>IF([3]Entry!$E$274="","",[3]Entry!$E$274)</f>
        <v/>
      </c>
      <c r="AH271">
        <f>IF([3]Entry!$G$274="","",[3]Entry!$G$274)</f>
        <v/>
      </c>
      <c r="AI271">
        <f>IF([3]Entry!$K$274="","",[3]Entry!$K$274)</f>
        <v/>
      </c>
      <c r="AJ271">
        <f>IF([3]Entry!$L$274="","",[3]Entry!$L$274)</f>
        <v/>
      </c>
      <c r="AK271">
        <f>IF([3]Entry!$M$274="","",[3]Entry!$M$274)</f>
        <v/>
      </c>
      <c r="AL271">
        <f>IF([3]Entry!$N$274="","",[3]Entry!$N$274)</f>
        <v/>
      </c>
      <c r="AM271">
        <f>IF([3]Entry!$R$274="","",[3]Entry!$R$274)</f>
        <v/>
      </c>
    </row>
    <row r="272">
      <c r="A272">
        <f>IF([1]Accounts!$D$273="","",[1]Accounts!$A$273)</f>
        <v/>
      </c>
      <c r="B272">
        <f>IF([1]Accounts!$D$273="","",[1]Accounts!$B$273)</f>
        <v/>
      </c>
      <c r="C272">
        <f>IF([1]Accounts!$D$273="","",[1]Accounts!$C$273)</f>
        <v/>
      </c>
      <c r="D272">
        <f>IF([1]Accounts!$D$273="","",[1]Accounts!$D$273)</f>
        <v/>
      </c>
      <c r="E272">
        <f>IF([1]Accounts!$D$273="","",[1]Accounts!$E$273)</f>
        <v/>
      </c>
      <c r="F272">
        <f>IF([1]Accounts!$D$273="","",[1]Accounts!$F$273)</f>
        <v/>
      </c>
      <c r="G272">
        <f>IF([1]Accounts!$D$273="","",[1]Accounts!$G$273)</f>
        <v/>
      </c>
      <c r="T272">
        <f>IF([2]Baskol!$B$275="","",[2]Baskol!$B$275)</f>
        <v/>
      </c>
      <c r="U272">
        <f>IF([2]Baskol!$C$275="","",[2]Baskol!$C$275)</f>
        <v/>
      </c>
      <c r="V272">
        <f>IF([2]Baskol!$D$275="","",[2]Baskol!$D$275)</f>
        <v/>
      </c>
      <c r="W272">
        <f>IF([2]Baskol!$E$275="","",[2]Baskol!$E$275)</f>
        <v/>
      </c>
      <c r="X272">
        <f>IF([2]Baskol!$G$275="","",[2]Baskol!$G$275)</f>
        <v/>
      </c>
      <c r="Y272">
        <f>IF([2]Baskol!$I$275="","",[2]Baskol!$I$275)</f>
        <v/>
      </c>
      <c r="Z272">
        <f>IF([2]Baskol!$J$275="","",[2]Baskol!$J$275)</f>
        <v/>
      </c>
      <c r="AA272">
        <f>IF([2]Baskol!$K$275="","",[2]Baskol!$K$275)</f>
        <v/>
      </c>
      <c r="AB272">
        <f>IF([2]Baskol!$L$275="","",[2]Baskol!$L$275)</f>
        <v/>
      </c>
      <c r="AC272">
        <f>IF([2]Baskol!$N$275="","",[2]Baskol!$N$275)</f>
        <v/>
      </c>
      <c r="AD272">
        <f>IF([2]Baskol!$O$275="","",[2]Baskol!$O$275)</f>
        <v/>
      </c>
      <c r="AE272">
        <f>IF([3]Entry!$C$275="","",[3]Entry!$C$275)</f>
        <v/>
      </c>
      <c r="AF272">
        <f>IF([3]Entry!$D$275="","",[3]Entry!$D$275)</f>
        <v/>
      </c>
      <c r="AG272">
        <f>IF([3]Entry!$E$275="","",[3]Entry!$E$275)</f>
        <v/>
      </c>
      <c r="AH272">
        <f>IF([3]Entry!$G$275="","",[3]Entry!$G$275)</f>
        <v/>
      </c>
      <c r="AI272">
        <f>IF([3]Entry!$K$275="","",[3]Entry!$K$275)</f>
        <v/>
      </c>
      <c r="AJ272">
        <f>IF([3]Entry!$L$275="","",[3]Entry!$L$275)</f>
        <v/>
      </c>
      <c r="AK272">
        <f>IF([3]Entry!$M$275="","",[3]Entry!$M$275)</f>
        <v/>
      </c>
      <c r="AL272">
        <f>IF([3]Entry!$N$275="","",[3]Entry!$N$275)</f>
        <v/>
      </c>
      <c r="AM272">
        <f>IF([3]Entry!$R$275="","",[3]Entry!$R$275)</f>
        <v/>
      </c>
    </row>
    <row r="273">
      <c r="A273">
        <f>IF([1]Accounts!$D$274="","",[1]Accounts!$A$274)</f>
        <v/>
      </c>
      <c r="B273">
        <f>IF([1]Accounts!$D$274="","",[1]Accounts!$B$274)</f>
        <v/>
      </c>
      <c r="C273">
        <f>IF([1]Accounts!$D$274="","",[1]Accounts!$C$274)</f>
        <v/>
      </c>
      <c r="D273">
        <f>IF([1]Accounts!$D$274="","",[1]Accounts!$D$274)</f>
        <v/>
      </c>
      <c r="E273">
        <f>IF([1]Accounts!$D$274="","",[1]Accounts!$E$274)</f>
        <v/>
      </c>
      <c r="F273">
        <f>IF([1]Accounts!$D$274="","",[1]Accounts!$F$274)</f>
        <v/>
      </c>
      <c r="G273">
        <f>IF([1]Accounts!$D$274="","",[1]Accounts!$G$274)</f>
        <v/>
      </c>
      <c r="T273">
        <f>IF([2]Baskol!$B$276="","",[2]Baskol!$B$276)</f>
        <v/>
      </c>
      <c r="U273">
        <f>IF([2]Baskol!$C$276="","",[2]Baskol!$C$276)</f>
        <v/>
      </c>
      <c r="V273">
        <f>IF([2]Baskol!$D$276="","",[2]Baskol!$D$276)</f>
        <v/>
      </c>
      <c r="W273">
        <f>IF([2]Baskol!$E$276="","",[2]Baskol!$E$276)</f>
        <v/>
      </c>
      <c r="X273">
        <f>IF([2]Baskol!$G$276="","",[2]Baskol!$G$276)</f>
        <v/>
      </c>
      <c r="Y273">
        <f>IF([2]Baskol!$I$276="","",[2]Baskol!$I$276)</f>
        <v/>
      </c>
      <c r="Z273">
        <f>IF([2]Baskol!$J$276="","",[2]Baskol!$J$276)</f>
        <v/>
      </c>
      <c r="AA273">
        <f>IF([2]Baskol!$K$276="","",[2]Baskol!$K$276)</f>
        <v/>
      </c>
      <c r="AB273">
        <f>IF([2]Baskol!$L$276="","",[2]Baskol!$L$276)</f>
        <v/>
      </c>
      <c r="AC273">
        <f>IF([2]Baskol!$N$276="","",[2]Baskol!$N$276)</f>
        <v/>
      </c>
      <c r="AD273">
        <f>IF([2]Baskol!$O$276="","",[2]Baskol!$O$276)</f>
        <v/>
      </c>
      <c r="AE273">
        <f>IF([3]Entry!$C$276="","",[3]Entry!$C$276)</f>
        <v/>
      </c>
      <c r="AF273">
        <f>IF([3]Entry!$D$276="","",[3]Entry!$D$276)</f>
        <v/>
      </c>
      <c r="AG273">
        <f>IF([3]Entry!$E$276="","",[3]Entry!$E$276)</f>
        <v/>
      </c>
      <c r="AH273">
        <f>IF([3]Entry!$G$276="","",[3]Entry!$G$276)</f>
        <v/>
      </c>
      <c r="AI273">
        <f>IF([3]Entry!$K$276="","",[3]Entry!$K$276)</f>
        <v/>
      </c>
      <c r="AJ273">
        <f>IF([3]Entry!$L$276="","",[3]Entry!$L$276)</f>
        <v/>
      </c>
      <c r="AK273">
        <f>IF([3]Entry!$M$276="","",[3]Entry!$M$276)</f>
        <v/>
      </c>
      <c r="AL273">
        <f>IF([3]Entry!$N$276="","",[3]Entry!$N$276)</f>
        <v/>
      </c>
      <c r="AM273">
        <f>IF([3]Entry!$R$276="","",[3]Entry!$R$276)</f>
        <v/>
      </c>
    </row>
    <row r="274">
      <c r="A274">
        <f>IF([1]Accounts!$D$275="","",[1]Accounts!$A$275)</f>
        <v/>
      </c>
      <c r="B274">
        <f>IF([1]Accounts!$D$275="","",[1]Accounts!$B$275)</f>
        <v/>
      </c>
      <c r="C274">
        <f>IF([1]Accounts!$D$275="","",[1]Accounts!$C$275)</f>
        <v/>
      </c>
      <c r="D274">
        <f>IF([1]Accounts!$D$275="","",[1]Accounts!$D$275)</f>
        <v/>
      </c>
      <c r="E274">
        <f>IF([1]Accounts!$D$275="","",[1]Accounts!$E$275)</f>
        <v/>
      </c>
      <c r="F274">
        <f>IF([1]Accounts!$D$275="","",[1]Accounts!$F$275)</f>
        <v/>
      </c>
      <c r="G274">
        <f>IF([1]Accounts!$D$275="","",[1]Accounts!$G$275)</f>
        <v/>
      </c>
      <c r="T274">
        <f>IF([2]Baskol!$B$277="","",[2]Baskol!$B$277)</f>
        <v/>
      </c>
      <c r="U274">
        <f>IF([2]Baskol!$C$277="","",[2]Baskol!$C$277)</f>
        <v/>
      </c>
      <c r="V274">
        <f>IF([2]Baskol!$D$277="","",[2]Baskol!$D$277)</f>
        <v/>
      </c>
      <c r="W274">
        <f>IF([2]Baskol!$E$277="","",[2]Baskol!$E$277)</f>
        <v/>
      </c>
      <c r="X274">
        <f>IF([2]Baskol!$G$277="","",[2]Baskol!$G$277)</f>
        <v/>
      </c>
      <c r="Y274">
        <f>IF([2]Baskol!$I$277="","",[2]Baskol!$I$277)</f>
        <v/>
      </c>
      <c r="Z274">
        <f>IF([2]Baskol!$J$277="","",[2]Baskol!$J$277)</f>
        <v/>
      </c>
      <c r="AA274">
        <f>IF([2]Baskol!$K$277="","",[2]Baskol!$K$277)</f>
        <v/>
      </c>
      <c r="AB274">
        <f>IF([2]Baskol!$L$277="","",[2]Baskol!$L$277)</f>
        <v/>
      </c>
      <c r="AC274">
        <f>IF([2]Baskol!$N$277="","",[2]Baskol!$N$277)</f>
        <v/>
      </c>
      <c r="AD274">
        <f>IF([2]Baskol!$O$277="","",[2]Baskol!$O$277)</f>
        <v/>
      </c>
      <c r="AE274">
        <f>IF([3]Entry!$C$277="","",[3]Entry!$C$277)</f>
        <v/>
      </c>
      <c r="AF274">
        <f>IF([3]Entry!$D$277="","",[3]Entry!$D$277)</f>
        <v/>
      </c>
      <c r="AG274">
        <f>IF([3]Entry!$E$277="","",[3]Entry!$E$277)</f>
        <v/>
      </c>
      <c r="AH274">
        <f>IF([3]Entry!$G$277="","",[3]Entry!$G$277)</f>
        <v/>
      </c>
      <c r="AI274">
        <f>IF([3]Entry!$K$277="","",[3]Entry!$K$277)</f>
        <v/>
      </c>
      <c r="AJ274">
        <f>IF([3]Entry!$L$277="","",[3]Entry!$L$277)</f>
        <v/>
      </c>
      <c r="AK274">
        <f>IF([3]Entry!$M$277="","",[3]Entry!$M$277)</f>
        <v/>
      </c>
      <c r="AL274">
        <f>IF([3]Entry!$N$277="","",[3]Entry!$N$277)</f>
        <v/>
      </c>
      <c r="AM274">
        <f>IF([3]Entry!$R$277="","",[3]Entry!$R$277)</f>
        <v/>
      </c>
    </row>
    <row r="275">
      <c r="A275">
        <f>IF([1]Accounts!$D$276="","",[1]Accounts!$A$276)</f>
        <v/>
      </c>
      <c r="B275">
        <f>IF([1]Accounts!$D$276="","",[1]Accounts!$B$276)</f>
        <v/>
      </c>
      <c r="C275">
        <f>IF([1]Accounts!$D$276="","",[1]Accounts!$C$276)</f>
        <v/>
      </c>
      <c r="D275">
        <f>IF([1]Accounts!$D$276="","",[1]Accounts!$D$276)</f>
        <v/>
      </c>
      <c r="E275">
        <f>IF([1]Accounts!$D$276="","",[1]Accounts!$E$276)</f>
        <v/>
      </c>
      <c r="F275">
        <f>IF([1]Accounts!$D$276="","",[1]Accounts!$F$276)</f>
        <v/>
      </c>
      <c r="G275">
        <f>IF([1]Accounts!$D$276="","",[1]Accounts!$G$276)</f>
        <v/>
      </c>
      <c r="T275">
        <f>IF([2]Baskol!$B$278="","",[2]Baskol!$B$278)</f>
        <v/>
      </c>
      <c r="U275">
        <f>IF([2]Baskol!$C$278="","",[2]Baskol!$C$278)</f>
        <v/>
      </c>
      <c r="V275">
        <f>IF([2]Baskol!$D$278="","",[2]Baskol!$D$278)</f>
        <v/>
      </c>
      <c r="W275">
        <f>IF([2]Baskol!$E$278="","",[2]Baskol!$E$278)</f>
        <v/>
      </c>
      <c r="X275">
        <f>IF([2]Baskol!$G$278="","",[2]Baskol!$G$278)</f>
        <v/>
      </c>
      <c r="Y275">
        <f>IF([2]Baskol!$I$278="","",[2]Baskol!$I$278)</f>
        <v/>
      </c>
      <c r="Z275">
        <f>IF([2]Baskol!$J$278="","",[2]Baskol!$J$278)</f>
        <v/>
      </c>
      <c r="AA275">
        <f>IF([2]Baskol!$K$278="","",[2]Baskol!$K$278)</f>
        <v/>
      </c>
      <c r="AB275">
        <f>IF([2]Baskol!$L$278="","",[2]Baskol!$L$278)</f>
        <v/>
      </c>
      <c r="AC275">
        <f>IF([2]Baskol!$N$278="","",[2]Baskol!$N$278)</f>
        <v/>
      </c>
      <c r="AD275">
        <f>IF([2]Baskol!$O$278="","",[2]Baskol!$O$278)</f>
        <v/>
      </c>
      <c r="AE275">
        <f>IF([3]Entry!$C$278="","",[3]Entry!$C$278)</f>
        <v/>
      </c>
      <c r="AF275">
        <f>IF([3]Entry!$D$278="","",[3]Entry!$D$278)</f>
        <v/>
      </c>
      <c r="AG275">
        <f>IF([3]Entry!$E$278="","",[3]Entry!$E$278)</f>
        <v/>
      </c>
      <c r="AH275">
        <f>IF([3]Entry!$G$278="","",[3]Entry!$G$278)</f>
        <v/>
      </c>
      <c r="AI275">
        <f>IF([3]Entry!$K$278="","",[3]Entry!$K$278)</f>
        <v/>
      </c>
      <c r="AJ275">
        <f>IF([3]Entry!$L$278="","",[3]Entry!$L$278)</f>
        <v/>
      </c>
      <c r="AK275">
        <f>IF([3]Entry!$M$278="","",[3]Entry!$M$278)</f>
        <v/>
      </c>
      <c r="AL275">
        <f>IF([3]Entry!$N$278="","",[3]Entry!$N$278)</f>
        <v/>
      </c>
      <c r="AM275">
        <f>IF([3]Entry!$R$278="","",[3]Entry!$R$278)</f>
        <v/>
      </c>
    </row>
    <row r="276">
      <c r="A276">
        <f>IF([1]Accounts!$D$277="","",[1]Accounts!$A$277)</f>
        <v/>
      </c>
      <c r="B276">
        <f>IF([1]Accounts!$D$277="","",[1]Accounts!$B$277)</f>
        <v/>
      </c>
      <c r="C276">
        <f>IF([1]Accounts!$D$277="","",[1]Accounts!$C$277)</f>
        <v/>
      </c>
      <c r="D276">
        <f>IF([1]Accounts!$D$277="","",[1]Accounts!$D$277)</f>
        <v/>
      </c>
      <c r="E276">
        <f>IF([1]Accounts!$D$277="","",[1]Accounts!$E$277)</f>
        <v/>
      </c>
      <c r="F276">
        <f>IF([1]Accounts!$D$277="","",[1]Accounts!$F$277)</f>
        <v/>
      </c>
      <c r="G276">
        <f>IF([1]Accounts!$D$277="","",[1]Accounts!$G$277)</f>
        <v/>
      </c>
      <c r="T276">
        <f>IF([2]Baskol!$B$279="","",[2]Baskol!$B$279)</f>
        <v/>
      </c>
      <c r="U276">
        <f>IF([2]Baskol!$C$279="","",[2]Baskol!$C$279)</f>
        <v/>
      </c>
      <c r="V276">
        <f>IF([2]Baskol!$D$279="","",[2]Baskol!$D$279)</f>
        <v/>
      </c>
      <c r="W276">
        <f>IF([2]Baskol!$E$279="","",[2]Baskol!$E$279)</f>
        <v/>
      </c>
      <c r="X276">
        <f>IF([2]Baskol!$G$279="","",[2]Baskol!$G$279)</f>
        <v/>
      </c>
      <c r="Y276">
        <f>IF([2]Baskol!$I$279="","",[2]Baskol!$I$279)</f>
        <v/>
      </c>
      <c r="Z276">
        <f>IF([2]Baskol!$J$279="","",[2]Baskol!$J$279)</f>
        <v/>
      </c>
      <c r="AA276">
        <f>IF([2]Baskol!$K$279="","",[2]Baskol!$K$279)</f>
        <v/>
      </c>
      <c r="AB276">
        <f>IF([2]Baskol!$L$279="","",[2]Baskol!$L$279)</f>
        <v/>
      </c>
      <c r="AC276">
        <f>IF([2]Baskol!$N$279="","",[2]Baskol!$N$279)</f>
        <v/>
      </c>
      <c r="AD276">
        <f>IF([2]Baskol!$O$279="","",[2]Baskol!$O$279)</f>
        <v/>
      </c>
      <c r="AE276">
        <f>IF([3]Entry!$C$279="","",[3]Entry!$C$279)</f>
        <v/>
      </c>
      <c r="AF276">
        <f>IF([3]Entry!$D$279="","",[3]Entry!$D$279)</f>
        <v/>
      </c>
      <c r="AG276">
        <f>IF([3]Entry!$E$279="","",[3]Entry!$E$279)</f>
        <v/>
      </c>
      <c r="AH276">
        <f>IF([3]Entry!$G$279="","",[3]Entry!$G$279)</f>
        <v/>
      </c>
      <c r="AI276">
        <f>IF([3]Entry!$K$279="","",[3]Entry!$K$279)</f>
        <v/>
      </c>
      <c r="AJ276">
        <f>IF([3]Entry!$L$279="","",[3]Entry!$L$279)</f>
        <v/>
      </c>
      <c r="AK276">
        <f>IF([3]Entry!$M$279="","",[3]Entry!$M$279)</f>
        <v/>
      </c>
      <c r="AL276">
        <f>IF([3]Entry!$N$279="","",[3]Entry!$N$279)</f>
        <v/>
      </c>
      <c r="AM276">
        <f>IF([3]Entry!$R$279="","",[3]Entry!$R$279)</f>
        <v/>
      </c>
    </row>
    <row r="277">
      <c r="A277">
        <f>IF([1]Accounts!$D$278="","",[1]Accounts!$A$278)</f>
        <v/>
      </c>
      <c r="B277">
        <f>IF([1]Accounts!$D$278="","",[1]Accounts!$B$278)</f>
        <v/>
      </c>
      <c r="C277">
        <f>IF([1]Accounts!$D$278="","",[1]Accounts!$C$278)</f>
        <v/>
      </c>
      <c r="D277">
        <f>IF([1]Accounts!$D$278="","",[1]Accounts!$D$278)</f>
        <v/>
      </c>
      <c r="E277">
        <f>IF([1]Accounts!$D$278="","",[1]Accounts!$E$278)</f>
        <v/>
      </c>
      <c r="F277">
        <f>IF([1]Accounts!$D$278="","",[1]Accounts!$F$278)</f>
        <v/>
      </c>
      <c r="G277">
        <f>IF([1]Accounts!$D$278="","",[1]Accounts!$G$278)</f>
        <v/>
      </c>
      <c r="T277">
        <f>IF([2]Baskol!$B$280="","",[2]Baskol!$B$280)</f>
        <v/>
      </c>
      <c r="U277">
        <f>IF([2]Baskol!$C$280="","",[2]Baskol!$C$280)</f>
        <v/>
      </c>
      <c r="V277">
        <f>IF([2]Baskol!$D$280="","",[2]Baskol!$D$280)</f>
        <v/>
      </c>
      <c r="W277">
        <f>IF([2]Baskol!$E$280="","",[2]Baskol!$E$280)</f>
        <v/>
      </c>
      <c r="X277">
        <f>IF([2]Baskol!$G$280="","",[2]Baskol!$G$280)</f>
        <v/>
      </c>
      <c r="Y277">
        <f>IF([2]Baskol!$I$280="","",[2]Baskol!$I$280)</f>
        <v/>
      </c>
      <c r="Z277">
        <f>IF([2]Baskol!$J$280="","",[2]Baskol!$J$280)</f>
        <v/>
      </c>
      <c r="AA277">
        <f>IF([2]Baskol!$K$280="","",[2]Baskol!$K$280)</f>
        <v/>
      </c>
      <c r="AB277">
        <f>IF([2]Baskol!$L$280="","",[2]Baskol!$L$280)</f>
        <v/>
      </c>
      <c r="AC277">
        <f>IF([2]Baskol!$N$280="","",[2]Baskol!$N$280)</f>
        <v/>
      </c>
      <c r="AD277">
        <f>IF([2]Baskol!$O$280="","",[2]Baskol!$O$280)</f>
        <v/>
      </c>
      <c r="AE277">
        <f>IF([3]Entry!$C$280="","",[3]Entry!$C$280)</f>
        <v/>
      </c>
      <c r="AF277">
        <f>IF([3]Entry!$D$280="","",[3]Entry!$D$280)</f>
        <v/>
      </c>
      <c r="AG277">
        <f>IF([3]Entry!$E$280="","",[3]Entry!$E$280)</f>
        <v/>
      </c>
      <c r="AH277">
        <f>IF([3]Entry!$G$280="","",[3]Entry!$G$280)</f>
        <v/>
      </c>
      <c r="AI277">
        <f>IF([3]Entry!$K$280="","",[3]Entry!$K$280)</f>
        <v/>
      </c>
      <c r="AJ277">
        <f>IF([3]Entry!$L$280="","",[3]Entry!$L$280)</f>
        <v/>
      </c>
      <c r="AK277">
        <f>IF([3]Entry!$M$280="","",[3]Entry!$M$280)</f>
        <v/>
      </c>
      <c r="AL277">
        <f>IF([3]Entry!$N$280="","",[3]Entry!$N$280)</f>
        <v/>
      </c>
      <c r="AM277">
        <f>IF([3]Entry!$R$280="","",[3]Entry!$R$280)</f>
        <v/>
      </c>
    </row>
    <row r="278">
      <c r="A278">
        <f>IF([1]Accounts!$D$279="","",[1]Accounts!$A$279)</f>
        <v/>
      </c>
      <c r="B278">
        <f>IF([1]Accounts!$D$279="","",[1]Accounts!$B$279)</f>
        <v/>
      </c>
      <c r="C278">
        <f>IF([1]Accounts!$D$279="","",[1]Accounts!$C$279)</f>
        <v/>
      </c>
      <c r="D278">
        <f>IF([1]Accounts!$D$279="","",[1]Accounts!$D$279)</f>
        <v/>
      </c>
      <c r="E278">
        <f>IF([1]Accounts!$D$279="","",[1]Accounts!$E$279)</f>
        <v/>
      </c>
      <c r="F278">
        <f>IF([1]Accounts!$D$279="","",[1]Accounts!$F$279)</f>
        <v/>
      </c>
      <c r="G278">
        <f>IF([1]Accounts!$D$279="","",[1]Accounts!$G$279)</f>
        <v/>
      </c>
      <c r="T278">
        <f>IF([2]Baskol!$B$281="","",[2]Baskol!$B$281)</f>
        <v/>
      </c>
      <c r="U278">
        <f>IF([2]Baskol!$C$281="","",[2]Baskol!$C$281)</f>
        <v/>
      </c>
      <c r="V278">
        <f>IF([2]Baskol!$D$281="","",[2]Baskol!$D$281)</f>
        <v/>
      </c>
      <c r="W278">
        <f>IF([2]Baskol!$E$281="","",[2]Baskol!$E$281)</f>
        <v/>
      </c>
      <c r="X278">
        <f>IF([2]Baskol!$G$281="","",[2]Baskol!$G$281)</f>
        <v/>
      </c>
      <c r="Y278">
        <f>IF([2]Baskol!$I$281="","",[2]Baskol!$I$281)</f>
        <v/>
      </c>
      <c r="Z278">
        <f>IF([2]Baskol!$J$281="","",[2]Baskol!$J$281)</f>
        <v/>
      </c>
      <c r="AA278">
        <f>IF([2]Baskol!$K$281="","",[2]Baskol!$K$281)</f>
        <v/>
      </c>
      <c r="AB278">
        <f>IF([2]Baskol!$L$281="","",[2]Baskol!$L$281)</f>
        <v/>
      </c>
      <c r="AC278">
        <f>IF([2]Baskol!$N$281="","",[2]Baskol!$N$281)</f>
        <v/>
      </c>
      <c r="AD278">
        <f>IF([2]Baskol!$O$281="","",[2]Baskol!$O$281)</f>
        <v/>
      </c>
      <c r="AE278">
        <f>IF([3]Entry!$C$281="","",[3]Entry!$C$281)</f>
        <v/>
      </c>
      <c r="AF278">
        <f>IF([3]Entry!$D$281="","",[3]Entry!$D$281)</f>
        <v/>
      </c>
      <c r="AG278">
        <f>IF([3]Entry!$E$281="","",[3]Entry!$E$281)</f>
        <v/>
      </c>
      <c r="AH278">
        <f>IF([3]Entry!$G$281="","",[3]Entry!$G$281)</f>
        <v/>
      </c>
      <c r="AI278">
        <f>IF([3]Entry!$K$281="","",[3]Entry!$K$281)</f>
        <v/>
      </c>
      <c r="AJ278">
        <f>IF([3]Entry!$L$281="","",[3]Entry!$L$281)</f>
        <v/>
      </c>
      <c r="AK278">
        <f>IF([3]Entry!$M$281="","",[3]Entry!$M$281)</f>
        <v/>
      </c>
      <c r="AL278">
        <f>IF([3]Entry!$N$281="","",[3]Entry!$N$281)</f>
        <v/>
      </c>
      <c r="AM278">
        <f>IF([3]Entry!$R$281="","",[3]Entry!$R$281)</f>
        <v/>
      </c>
    </row>
    <row r="279">
      <c r="A279">
        <f>IF([1]Accounts!$D$280="","",[1]Accounts!$A$280)</f>
        <v/>
      </c>
      <c r="B279">
        <f>IF([1]Accounts!$D$280="","",[1]Accounts!$B$280)</f>
        <v/>
      </c>
      <c r="C279">
        <f>IF([1]Accounts!$D$280="","",[1]Accounts!$C$280)</f>
        <v/>
      </c>
      <c r="D279">
        <f>IF([1]Accounts!$D$280="","",[1]Accounts!$D$280)</f>
        <v/>
      </c>
      <c r="E279">
        <f>IF([1]Accounts!$D$280="","",[1]Accounts!$E$280)</f>
        <v/>
      </c>
      <c r="F279">
        <f>IF([1]Accounts!$D$280="","",[1]Accounts!$F$280)</f>
        <v/>
      </c>
      <c r="G279">
        <f>IF([1]Accounts!$D$280="","",[1]Accounts!$G$280)</f>
        <v/>
      </c>
      <c r="T279">
        <f>IF([2]Baskol!$B$282="","",[2]Baskol!$B$282)</f>
        <v/>
      </c>
      <c r="U279">
        <f>IF([2]Baskol!$C$282="","",[2]Baskol!$C$282)</f>
        <v/>
      </c>
      <c r="V279">
        <f>IF([2]Baskol!$D$282="","",[2]Baskol!$D$282)</f>
        <v/>
      </c>
      <c r="W279">
        <f>IF([2]Baskol!$E$282="","",[2]Baskol!$E$282)</f>
        <v/>
      </c>
      <c r="X279">
        <f>IF([2]Baskol!$G$282="","",[2]Baskol!$G$282)</f>
        <v/>
      </c>
      <c r="Y279">
        <f>IF([2]Baskol!$I$282="","",[2]Baskol!$I$282)</f>
        <v/>
      </c>
      <c r="Z279">
        <f>IF([2]Baskol!$J$282="","",[2]Baskol!$J$282)</f>
        <v/>
      </c>
      <c r="AA279">
        <f>IF([2]Baskol!$K$282="","",[2]Baskol!$K$282)</f>
        <v/>
      </c>
      <c r="AB279">
        <f>IF([2]Baskol!$L$282="","",[2]Baskol!$L$282)</f>
        <v/>
      </c>
      <c r="AC279">
        <f>IF([2]Baskol!$N$282="","",[2]Baskol!$N$282)</f>
        <v/>
      </c>
      <c r="AD279">
        <f>IF([2]Baskol!$O$282="","",[2]Baskol!$O$282)</f>
        <v/>
      </c>
      <c r="AE279">
        <f>IF([3]Entry!$C$282="","",[3]Entry!$C$282)</f>
        <v/>
      </c>
      <c r="AF279">
        <f>IF([3]Entry!$D$282="","",[3]Entry!$D$282)</f>
        <v/>
      </c>
      <c r="AG279">
        <f>IF([3]Entry!$E$282="","",[3]Entry!$E$282)</f>
        <v/>
      </c>
      <c r="AH279">
        <f>IF([3]Entry!$G$282="","",[3]Entry!$G$282)</f>
        <v/>
      </c>
      <c r="AI279">
        <f>IF([3]Entry!$K$282="","",[3]Entry!$K$282)</f>
        <v/>
      </c>
      <c r="AJ279">
        <f>IF([3]Entry!$L$282="","",[3]Entry!$L$282)</f>
        <v/>
      </c>
      <c r="AK279">
        <f>IF([3]Entry!$M$282="","",[3]Entry!$M$282)</f>
        <v/>
      </c>
      <c r="AL279">
        <f>IF([3]Entry!$N$282="","",[3]Entry!$N$282)</f>
        <v/>
      </c>
      <c r="AM279">
        <f>IF([3]Entry!$R$282="","",[3]Entry!$R$282)</f>
        <v/>
      </c>
    </row>
    <row r="280">
      <c r="A280">
        <f>IF([1]Accounts!$D$281="","",[1]Accounts!$A$281)</f>
        <v/>
      </c>
      <c r="B280">
        <f>IF([1]Accounts!$D$281="","",[1]Accounts!$B$281)</f>
        <v/>
      </c>
      <c r="C280">
        <f>IF([1]Accounts!$D$281="","",[1]Accounts!$C$281)</f>
        <v/>
      </c>
      <c r="D280">
        <f>IF([1]Accounts!$D$281="","",[1]Accounts!$D$281)</f>
        <v/>
      </c>
      <c r="E280">
        <f>IF([1]Accounts!$D$281="","",[1]Accounts!$E$281)</f>
        <v/>
      </c>
      <c r="F280">
        <f>IF([1]Accounts!$D$281="","",[1]Accounts!$F$281)</f>
        <v/>
      </c>
      <c r="G280">
        <f>IF([1]Accounts!$D$281="","",[1]Accounts!$G$281)</f>
        <v/>
      </c>
      <c r="T280">
        <f>IF([2]Baskol!$B$283="","",[2]Baskol!$B$283)</f>
        <v/>
      </c>
      <c r="U280">
        <f>IF([2]Baskol!$C$283="","",[2]Baskol!$C$283)</f>
        <v/>
      </c>
      <c r="V280">
        <f>IF([2]Baskol!$D$283="","",[2]Baskol!$D$283)</f>
        <v/>
      </c>
      <c r="W280">
        <f>IF([2]Baskol!$E$283="","",[2]Baskol!$E$283)</f>
        <v/>
      </c>
      <c r="X280">
        <f>IF([2]Baskol!$G$283="","",[2]Baskol!$G$283)</f>
        <v/>
      </c>
      <c r="Y280">
        <f>IF([2]Baskol!$I$283="","",[2]Baskol!$I$283)</f>
        <v/>
      </c>
      <c r="Z280">
        <f>IF([2]Baskol!$J$283="","",[2]Baskol!$J$283)</f>
        <v/>
      </c>
      <c r="AA280">
        <f>IF([2]Baskol!$K$283="","",[2]Baskol!$K$283)</f>
        <v/>
      </c>
      <c r="AB280">
        <f>IF([2]Baskol!$L$283="","",[2]Baskol!$L$283)</f>
        <v/>
      </c>
      <c r="AC280">
        <f>IF([2]Baskol!$N$283="","",[2]Baskol!$N$283)</f>
        <v/>
      </c>
      <c r="AD280">
        <f>IF([2]Baskol!$O$283="","",[2]Baskol!$O$283)</f>
        <v/>
      </c>
      <c r="AE280">
        <f>IF([3]Entry!$C$283="","",[3]Entry!$C$283)</f>
        <v/>
      </c>
      <c r="AF280">
        <f>IF([3]Entry!$D$283="","",[3]Entry!$D$283)</f>
        <v/>
      </c>
      <c r="AG280">
        <f>IF([3]Entry!$E$283="","",[3]Entry!$E$283)</f>
        <v/>
      </c>
      <c r="AH280">
        <f>IF([3]Entry!$G$283="","",[3]Entry!$G$283)</f>
        <v/>
      </c>
      <c r="AI280">
        <f>IF([3]Entry!$K$283="","",[3]Entry!$K$283)</f>
        <v/>
      </c>
      <c r="AJ280">
        <f>IF([3]Entry!$L$283="","",[3]Entry!$L$283)</f>
        <v/>
      </c>
      <c r="AK280">
        <f>IF([3]Entry!$M$283="","",[3]Entry!$M$283)</f>
        <v/>
      </c>
      <c r="AL280">
        <f>IF([3]Entry!$N$283="","",[3]Entry!$N$283)</f>
        <v/>
      </c>
      <c r="AM280">
        <f>IF([3]Entry!$R$283="","",[3]Entry!$R$283)</f>
        <v/>
      </c>
    </row>
    <row r="281">
      <c r="A281">
        <f>IF([1]Accounts!$D$282="","",[1]Accounts!$A$282)</f>
        <v/>
      </c>
      <c r="B281">
        <f>IF([1]Accounts!$D$282="","",[1]Accounts!$B$282)</f>
        <v/>
      </c>
      <c r="C281">
        <f>IF([1]Accounts!$D$282="","",[1]Accounts!$C$282)</f>
        <v/>
      </c>
      <c r="D281">
        <f>IF([1]Accounts!$D$282="","",[1]Accounts!$D$282)</f>
        <v/>
      </c>
      <c r="E281">
        <f>IF([1]Accounts!$D$282="","",[1]Accounts!$E$282)</f>
        <v/>
      </c>
      <c r="F281">
        <f>IF([1]Accounts!$D$282="","",[1]Accounts!$F$282)</f>
        <v/>
      </c>
      <c r="G281">
        <f>IF([1]Accounts!$D$282="","",[1]Accounts!$G$282)</f>
        <v/>
      </c>
      <c r="T281">
        <f>IF([2]Baskol!$B$284="","",[2]Baskol!$B$284)</f>
        <v/>
      </c>
      <c r="U281">
        <f>IF([2]Baskol!$C$284="","",[2]Baskol!$C$284)</f>
        <v/>
      </c>
      <c r="V281">
        <f>IF([2]Baskol!$D$284="","",[2]Baskol!$D$284)</f>
        <v/>
      </c>
      <c r="W281">
        <f>IF([2]Baskol!$E$284="","",[2]Baskol!$E$284)</f>
        <v/>
      </c>
      <c r="X281">
        <f>IF([2]Baskol!$G$284="","",[2]Baskol!$G$284)</f>
        <v/>
      </c>
      <c r="Y281">
        <f>IF([2]Baskol!$I$284="","",[2]Baskol!$I$284)</f>
        <v/>
      </c>
      <c r="Z281">
        <f>IF([2]Baskol!$J$284="","",[2]Baskol!$J$284)</f>
        <v/>
      </c>
      <c r="AA281">
        <f>IF([2]Baskol!$K$284="","",[2]Baskol!$K$284)</f>
        <v/>
      </c>
      <c r="AB281">
        <f>IF([2]Baskol!$L$284="","",[2]Baskol!$L$284)</f>
        <v/>
      </c>
      <c r="AC281">
        <f>IF([2]Baskol!$N$284="","",[2]Baskol!$N$284)</f>
        <v/>
      </c>
      <c r="AD281">
        <f>IF([2]Baskol!$O$284="","",[2]Baskol!$O$284)</f>
        <v/>
      </c>
      <c r="AE281">
        <f>IF([3]Entry!$C$284="","",[3]Entry!$C$284)</f>
        <v/>
      </c>
      <c r="AF281">
        <f>IF([3]Entry!$D$284="","",[3]Entry!$D$284)</f>
        <v/>
      </c>
      <c r="AG281">
        <f>IF([3]Entry!$E$284="","",[3]Entry!$E$284)</f>
        <v/>
      </c>
      <c r="AH281">
        <f>IF([3]Entry!$G$284="","",[3]Entry!$G$284)</f>
        <v/>
      </c>
      <c r="AI281">
        <f>IF([3]Entry!$K$284="","",[3]Entry!$K$284)</f>
        <v/>
      </c>
      <c r="AJ281">
        <f>IF([3]Entry!$L$284="","",[3]Entry!$L$284)</f>
        <v/>
      </c>
      <c r="AK281">
        <f>IF([3]Entry!$M$284="","",[3]Entry!$M$284)</f>
        <v/>
      </c>
      <c r="AL281">
        <f>IF([3]Entry!$N$284="","",[3]Entry!$N$284)</f>
        <v/>
      </c>
      <c r="AM281">
        <f>IF([3]Entry!$R$284="","",[3]Entry!$R$284)</f>
        <v/>
      </c>
    </row>
    <row r="282">
      <c r="A282">
        <f>IF([1]Accounts!$D$283="","",[1]Accounts!$A$283)</f>
        <v/>
      </c>
      <c r="B282">
        <f>IF([1]Accounts!$D$283="","",[1]Accounts!$B$283)</f>
        <v/>
      </c>
      <c r="C282">
        <f>IF([1]Accounts!$D$283="","",[1]Accounts!$C$283)</f>
        <v/>
      </c>
      <c r="D282">
        <f>IF([1]Accounts!$D$283="","",[1]Accounts!$D$283)</f>
        <v/>
      </c>
      <c r="E282">
        <f>IF([1]Accounts!$D$283="","",[1]Accounts!$E$283)</f>
        <v/>
      </c>
      <c r="F282">
        <f>IF([1]Accounts!$D$283="","",[1]Accounts!$F$283)</f>
        <v/>
      </c>
      <c r="G282">
        <f>IF([1]Accounts!$D$283="","",[1]Accounts!$G$283)</f>
        <v/>
      </c>
      <c r="T282">
        <f>IF([2]Baskol!$B$285="","",[2]Baskol!$B$285)</f>
        <v/>
      </c>
      <c r="U282">
        <f>IF([2]Baskol!$C$285="","",[2]Baskol!$C$285)</f>
        <v/>
      </c>
      <c r="V282">
        <f>IF([2]Baskol!$D$285="","",[2]Baskol!$D$285)</f>
        <v/>
      </c>
      <c r="W282">
        <f>IF([2]Baskol!$E$285="","",[2]Baskol!$E$285)</f>
        <v/>
      </c>
      <c r="X282">
        <f>IF([2]Baskol!$G$285="","",[2]Baskol!$G$285)</f>
        <v/>
      </c>
      <c r="Y282">
        <f>IF([2]Baskol!$I$285="","",[2]Baskol!$I$285)</f>
        <v/>
      </c>
      <c r="Z282">
        <f>IF([2]Baskol!$J$285="","",[2]Baskol!$J$285)</f>
        <v/>
      </c>
      <c r="AA282">
        <f>IF([2]Baskol!$K$285="","",[2]Baskol!$K$285)</f>
        <v/>
      </c>
      <c r="AB282">
        <f>IF([2]Baskol!$L$285="","",[2]Baskol!$L$285)</f>
        <v/>
      </c>
      <c r="AC282">
        <f>IF([2]Baskol!$N$285="","",[2]Baskol!$N$285)</f>
        <v/>
      </c>
      <c r="AD282">
        <f>IF([2]Baskol!$O$285="","",[2]Baskol!$O$285)</f>
        <v/>
      </c>
      <c r="AE282">
        <f>IF([3]Entry!$C$285="","",[3]Entry!$C$285)</f>
        <v/>
      </c>
      <c r="AF282">
        <f>IF([3]Entry!$D$285="","",[3]Entry!$D$285)</f>
        <v/>
      </c>
      <c r="AG282">
        <f>IF([3]Entry!$E$285="","",[3]Entry!$E$285)</f>
        <v/>
      </c>
      <c r="AH282">
        <f>IF([3]Entry!$G$285="","",[3]Entry!$G$285)</f>
        <v/>
      </c>
      <c r="AI282">
        <f>IF([3]Entry!$K$285="","",[3]Entry!$K$285)</f>
        <v/>
      </c>
      <c r="AJ282">
        <f>IF([3]Entry!$L$285="","",[3]Entry!$L$285)</f>
        <v/>
      </c>
      <c r="AK282">
        <f>IF([3]Entry!$M$285="","",[3]Entry!$M$285)</f>
        <v/>
      </c>
      <c r="AL282">
        <f>IF([3]Entry!$N$285="","",[3]Entry!$N$285)</f>
        <v/>
      </c>
      <c r="AM282">
        <f>IF([3]Entry!$R$285="","",[3]Entry!$R$285)</f>
        <v/>
      </c>
    </row>
    <row r="283">
      <c r="A283">
        <f>IF([1]Accounts!$D$284="","",[1]Accounts!$A$284)</f>
        <v/>
      </c>
      <c r="B283">
        <f>IF([1]Accounts!$D$284="","",[1]Accounts!$B$284)</f>
        <v/>
      </c>
      <c r="C283">
        <f>IF([1]Accounts!$D$284="","",[1]Accounts!$C$284)</f>
        <v/>
      </c>
      <c r="D283">
        <f>IF([1]Accounts!$D$284="","",[1]Accounts!$D$284)</f>
        <v/>
      </c>
      <c r="E283">
        <f>IF([1]Accounts!$D$284="","",[1]Accounts!$E$284)</f>
        <v/>
      </c>
      <c r="F283">
        <f>IF([1]Accounts!$D$284="","",[1]Accounts!$F$284)</f>
        <v/>
      </c>
      <c r="G283">
        <f>IF([1]Accounts!$D$284="","",[1]Accounts!$G$284)</f>
        <v/>
      </c>
      <c r="T283">
        <f>IF([2]Baskol!$B$286="","",[2]Baskol!$B$286)</f>
        <v/>
      </c>
      <c r="U283">
        <f>IF([2]Baskol!$C$286="","",[2]Baskol!$C$286)</f>
        <v/>
      </c>
      <c r="V283">
        <f>IF([2]Baskol!$D$286="","",[2]Baskol!$D$286)</f>
        <v/>
      </c>
      <c r="W283">
        <f>IF([2]Baskol!$E$286="","",[2]Baskol!$E$286)</f>
        <v/>
      </c>
      <c r="X283">
        <f>IF([2]Baskol!$G$286="","",[2]Baskol!$G$286)</f>
        <v/>
      </c>
      <c r="Y283">
        <f>IF([2]Baskol!$I$286="","",[2]Baskol!$I$286)</f>
        <v/>
      </c>
      <c r="Z283">
        <f>IF([2]Baskol!$J$286="","",[2]Baskol!$J$286)</f>
        <v/>
      </c>
      <c r="AA283">
        <f>IF([2]Baskol!$K$286="","",[2]Baskol!$K$286)</f>
        <v/>
      </c>
      <c r="AB283">
        <f>IF([2]Baskol!$L$286="","",[2]Baskol!$L$286)</f>
        <v/>
      </c>
      <c r="AC283">
        <f>IF([2]Baskol!$N$286="","",[2]Baskol!$N$286)</f>
        <v/>
      </c>
      <c r="AD283">
        <f>IF([2]Baskol!$O$286="","",[2]Baskol!$O$286)</f>
        <v/>
      </c>
      <c r="AE283">
        <f>IF([3]Entry!$C$286="","",[3]Entry!$C$286)</f>
        <v/>
      </c>
      <c r="AF283">
        <f>IF([3]Entry!$D$286="","",[3]Entry!$D$286)</f>
        <v/>
      </c>
      <c r="AG283">
        <f>IF([3]Entry!$E$286="","",[3]Entry!$E$286)</f>
        <v/>
      </c>
      <c r="AH283">
        <f>IF([3]Entry!$G$286="","",[3]Entry!$G$286)</f>
        <v/>
      </c>
      <c r="AI283">
        <f>IF([3]Entry!$K$286="","",[3]Entry!$K$286)</f>
        <v/>
      </c>
      <c r="AJ283">
        <f>IF([3]Entry!$L$286="","",[3]Entry!$L$286)</f>
        <v/>
      </c>
      <c r="AK283">
        <f>IF([3]Entry!$M$286="","",[3]Entry!$M$286)</f>
        <v/>
      </c>
      <c r="AL283">
        <f>IF([3]Entry!$N$286="","",[3]Entry!$N$286)</f>
        <v/>
      </c>
      <c r="AM283">
        <f>IF([3]Entry!$R$286="","",[3]Entry!$R$286)</f>
        <v/>
      </c>
    </row>
    <row r="284">
      <c r="A284">
        <f>IF([1]Accounts!$D$285="","",[1]Accounts!$A$285)</f>
        <v/>
      </c>
      <c r="B284">
        <f>IF([1]Accounts!$D$285="","",[1]Accounts!$B$285)</f>
        <v/>
      </c>
      <c r="C284">
        <f>IF([1]Accounts!$D$285="","",[1]Accounts!$C$285)</f>
        <v/>
      </c>
      <c r="D284">
        <f>IF([1]Accounts!$D$285="","",[1]Accounts!$D$285)</f>
        <v/>
      </c>
      <c r="E284">
        <f>IF([1]Accounts!$D$285="","",[1]Accounts!$E$285)</f>
        <v/>
      </c>
      <c r="F284">
        <f>IF([1]Accounts!$D$285="","",[1]Accounts!$F$285)</f>
        <v/>
      </c>
      <c r="G284">
        <f>IF([1]Accounts!$D$285="","",[1]Accounts!$G$285)</f>
        <v/>
      </c>
      <c r="T284">
        <f>IF([2]Baskol!$B$287="","",[2]Baskol!$B$287)</f>
        <v/>
      </c>
      <c r="U284">
        <f>IF([2]Baskol!$C$287="","",[2]Baskol!$C$287)</f>
        <v/>
      </c>
      <c r="V284">
        <f>IF([2]Baskol!$D$287="","",[2]Baskol!$D$287)</f>
        <v/>
      </c>
      <c r="W284">
        <f>IF([2]Baskol!$E$287="","",[2]Baskol!$E$287)</f>
        <v/>
      </c>
      <c r="X284">
        <f>IF([2]Baskol!$G$287="","",[2]Baskol!$G$287)</f>
        <v/>
      </c>
      <c r="Y284">
        <f>IF([2]Baskol!$I$287="","",[2]Baskol!$I$287)</f>
        <v/>
      </c>
      <c r="Z284">
        <f>IF([2]Baskol!$J$287="","",[2]Baskol!$J$287)</f>
        <v/>
      </c>
      <c r="AA284">
        <f>IF([2]Baskol!$K$287="","",[2]Baskol!$K$287)</f>
        <v/>
      </c>
      <c r="AB284">
        <f>IF([2]Baskol!$L$287="","",[2]Baskol!$L$287)</f>
        <v/>
      </c>
      <c r="AC284">
        <f>IF([2]Baskol!$N$287="","",[2]Baskol!$N$287)</f>
        <v/>
      </c>
      <c r="AD284">
        <f>IF([2]Baskol!$O$287="","",[2]Baskol!$O$287)</f>
        <v/>
      </c>
      <c r="AE284">
        <f>IF([3]Entry!$C$287="","",[3]Entry!$C$287)</f>
        <v/>
      </c>
      <c r="AF284">
        <f>IF([3]Entry!$D$287="","",[3]Entry!$D$287)</f>
        <v/>
      </c>
      <c r="AG284">
        <f>IF([3]Entry!$E$287="","",[3]Entry!$E$287)</f>
        <v/>
      </c>
      <c r="AH284">
        <f>IF([3]Entry!$G$287="","",[3]Entry!$G$287)</f>
        <v/>
      </c>
      <c r="AI284">
        <f>IF([3]Entry!$K$287="","",[3]Entry!$K$287)</f>
        <v/>
      </c>
      <c r="AJ284">
        <f>IF([3]Entry!$L$287="","",[3]Entry!$L$287)</f>
        <v/>
      </c>
      <c r="AK284">
        <f>IF([3]Entry!$M$287="","",[3]Entry!$M$287)</f>
        <v/>
      </c>
      <c r="AL284">
        <f>IF([3]Entry!$N$287="","",[3]Entry!$N$287)</f>
        <v/>
      </c>
      <c r="AM284">
        <f>IF([3]Entry!$R$287="","",[3]Entry!$R$287)</f>
        <v/>
      </c>
    </row>
    <row r="285">
      <c r="A285">
        <f>IF([1]Accounts!$D$286="","",[1]Accounts!$A$286)</f>
        <v/>
      </c>
      <c r="B285">
        <f>IF([1]Accounts!$D$286="","",[1]Accounts!$B$286)</f>
        <v/>
      </c>
      <c r="C285">
        <f>IF([1]Accounts!$D$286="","",[1]Accounts!$C$286)</f>
        <v/>
      </c>
      <c r="D285">
        <f>IF([1]Accounts!$D$286="","",[1]Accounts!$D$286)</f>
        <v/>
      </c>
      <c r="E285">
        <f>IF([1]Accounts!$D$286="","",[1]Accounts!$E$286)</f>
        <v/>
      </c>
      <c r="F285">
        <f>IF([1]Accounts!$D$286="","",[1]Accounts!$F$286)</f>
        <v/>
      </c>
      <c r="G285">
        <f>IF([1]Accounts!$D$286="","",[1]Accounts!$G$286)</f>
        <v/>
      </c>
      <c r="T285">
        <f>IF([2]Baskol!$B$288="","",[2]Baskol!$B$288)</f>
        <v/>
      </c>
      <c r="U285">
        <f>IF([2]Baskol!$C$288="","",[2]Baskol!$C$288)</f>
        <v/>
      </c>
      <c r="V285">
        <f>IF([2]Baskol!$D$288="","",[2]Baskol!$D$288)</f>
        <v/>
      </c>
      <c r="W285">
        <f>IF([2]Baskol!$E$288="","",[2]Baskol!$E$288)</f>
        <v/>
      </c>
      <c r="X285">
        <f>IF([2]Baskol!$G$288="","",[2]Baskol!$G$288)</f>
        <v/>
      </c>
      <c r="Y285">
        <f>IF([2]Baskol!$I$288="","",[2]Baskol!$I$288)</f>
        <v/>
      </c>
      <c r="Z285">
        <f>IF([2]Baskol!$J$288="","",[2]Baskol!$J$288)</f>
        <v/>
      </c>
      <c r="AA285">
        <f>IF([2]Baskol!$K$288="","",[2]Baskol!$K$288)</f>
        <v/>
      </c>
      <c r="AB285">
        <f>IF([2]Baskol!$L$288="","",[2]Baskol!$L$288)</f>
        <v/>
      </c>
      <c r="AC285">
        <f>IF([2]Baskol!$N$288="","",[2]Baskol!$N$288)</f>
        <v/>
      </c>
      <c r="AD285">
        <f>IF([2]Baskol!$O$288="","",[2]Baskol!$O$288)</f>
        <v/>
      </c>
      <c r="AE285">
        <f>IF([3]Entry!$C$288="","",[3]Entry!$C$288)</f>
        <v/>
      </c>
      <c r="AF285">
        <f>IF([3]Entry!$D$288="","",[3]Entry!$D$288)</f>
        <v/>
      </c>
      <c r="AG285">
        <f>IF([3]Entry!$E$288="","",[3]Entry!$E$288)</f>
        <v/>
      </c>
      <c r="AH285">
        <f>IF([3]Entry!$G$288="","",[3]Entry!$G$288)</f>
        <v/>
      </c>
      <c r="AI285">
        <f>IF([3]Entry!$K$288="","",[3]Entry!$K$288)</f>
        <v/>
      </c>
      <c r="AJ285">
        <f>IF([3]Entry!$L$288="","",[3]Entry!$L$288)</f>
        <v/>
      </c>
      <c r="AK285">
        <f>IF([3]Entry!$M$288="","",[3]Entry!$M$288)</f>
        <v/>
      </c>
      <c r="AL285">
        <f>IF([3]Entry!$N$288="","",[3]Entry!$N$288)</f>
        <v/>
      </c>
      <c r="AM285">
        <f>IF([3]Entry!$R$288="","",[3]Entry!$R$288)</f>
        <v/>
      </c>
    </row>
    <row r="286">
      <c r="A286">
        <f>IF([1]Accounts!$D$287="","",[1]Accounts!$A$287)</f>
        <v/>
      </c>
      <c r="B286">
        <f>IF([1]Accounts!$D$287="","",[1]Accounts!$B$287)</f>
        <v/>
      </c>
      <c r="C286">
        <f>IF([1]Accounts!$D$287="","",[1]Accounts!$C$287)</f>
        <v/>
      </c>
      <c r="D286">
        <f>IF([1]Accounts!$D$287="","",[1]Accounts!$D$287)</f>
        <v/>
      </c>
      <c r="E286">
        <f>IF([1]Accounts!$D$287="","",[1]Accounts!$E$287)</f>
        <v/>
      </c>
      <c r="F286">
        <f>IF([1]Accounts!$D$287="","",[1]Accounts!$F$287)</f>
        <v/>
      </c>
      <c r="G286">
        <f>IF([1]Accounts!$D$287="","",[1]Accounts!$G$287)</f>
        <v/>
      </c>
      <c r="T286">
        <f>IF([2]Baskol!$B$289="","",[2]Baskol!$B$289)</f>
        <v/>
      </c>
      <c r="U286">
        <f>IF([2]Baskol!$C$289="","",[2]Baskol!$C$289)</f>
        <v/>
      </c>
      <c r="V286">
        <f>IF([2]Baskol!$D$289="","",[2]Baskol!$D$289)</f>
        <v/>
      </c>
      <c r="W286">
        <f>IF([2]Baskol!$E$289="","",[2]Baskol!$E$289)</f>
        <v/>
      </c>
      <c r="X286">
        <f>IF([2]Baskol!$G$289="","",[2]Baskol!$G$289)</f>
        <v/>
      </c>
      <c r="Y286">
        <f>IF([2]Baskol!$I$289="","",[2]Baskol!$I$289)</f>
        <v/>
      </c>
      <c r="Z286">
        <f>IF([2]Baskol!$J$289="","",[2]Baskol!$J$289)</f>
        <v/>
      </c>
      <c r="AA286">
        <f>IF([2]Baskol!$K$289="","",[2]Baskol!$K$289)</f>
        <v/>
      </c>
      <c r="AB286">
        <f>IF([2]Baskol!$L$289="","",[2]Baskol!$L$289)</f>
        <v/>
      </c>
      <c r="AC286">
        <f>IF([2]Baskol!$N$289="","",[2]Baskol!$N$289)</f>
        <v/>
      </c>
      <c r="AD286">
        <f>IF([2]Baskol!$O$289="","",[2]Baskol!$O$289)</f>
        <v/>
      </c>
      <c r="AE286">
        <f>IF([3]Entry!$C$289="","",[3]Entry!$C$289)</f>
        <v/>
      </c>
      <c r="AF286">
        <f>IF([3]Entry!$D$289="","",[3]Entry!$D$289)</f>
        <v/>
      </c>
      <c r="AG286">
        <f>IF([3]Entry!$E$289="","",[3]Entry!$E$289)</f>
        <v/>
      </c>
      <c r="AH286">
        <f>IF([3]Entry!$G$289="","",[3]Entry!$G$289)</f>
        <v/>
      </c>
      <c r="AI286">
        <f>IF([3]Entry!$K$289="","",[3]Entry!$K$289)</f>
        <v/>
      </c>
      <c r="AJ286">
        <f>IF([3]Entry!$L$289="","",[3]Entry!$L$289)</f>
        <v/>
      </c>
      <c r="AK286">
        <f>IF([3]Entry!$M$289="","",[3]Entry!$M$289)</f>
        <v/>
      </c>
      <c r="AL286">
        <f>IF([3]Entry!$N$289="","",[3]Entry!$N$289)</f>
        <v/>
      </c>
      <c r="AM286">
        <f>IF([3]Entry!$R$289="","",[3]Entry!$R$289)</f>
        <v/>
      </c>
    </row>
    <row r="287">
      <c r="A287">
        <f>IF([1]Accounts!$D$288="","",[1]Accounts!$A$288)</f>
        <v/>
      </c>
      <c r="B287">
        <f>IF([1]Accounts!$D$288="","",[1]Accounts!$B$288)</f>
        <v/>
      </c>
      <c r="C287">
        <f>IF([1]Accounts!$D$288="","",[1]Accounts!$C$288)</f>
        <v/>
      </c>
      <c r="D287">
        <f>IF([1]Accounts!$D$288="","",[1]Accounts!$D$288)</f>
        <v/>
      </c>
      <c r="E287">
        <f>IF([1]Accounts!$D$288="","",[1]Accounts!$E$288)</f>
        <v/>
      </c>
      <c r="F287">
        <f>IF([1]Accounts!$D$288="","",[1]Accounts!$F$288)</f>
        <v/>
      </c>
      <c r="G287">
        <f>IF([1]Accounts!$D$288="","",[1]Accounts!$G$288)</f>
        <v/>
      </c>
      <c r="T287">
        <f>IF([2]Baskol!$B$290="","",[2]Baskol!$B$290)</f>
        <v/>
      </c>
      <c r="U287">
        <f>IF([2]Baskol!$C$290="","",[2]Baskol!$C$290)</f>
        <v/>
      </c>
      <c r="V287">
        <f>IF([2]Baskol!$D$290="","",[2]Baskol!$D$290)</f>
        <v/>
      </c>
      <c r="W287">
        <f>IF([2]Baskol!$E$290="","",[2]Baskol!$E$290)</f>
        <v/>
      </c>
      <c r="X287">
        <f>IF([2]Baskol!$G$290="","",[2]Baskol!$G$290)</f>
        <v/>
      </c>
      <c r="Y287">
        <f>IF([2]Baskol!$I$290="","",[2]Baskol!$I$290)</f>
        <v/>
      </c>
      <c r="Z287">
        <f>IF([2]Baskol!$J$290="","",[2]Baskol!$J$290)</f>
        <v/>
      </c>
      <c r="AA287">
        <f>IF([2]Baskol!$K$290="","",[2]Baskol!$K$290)</f>
        <v/>
      </c>
      <c r="AB287">
        <f>IF([2]Baskol!$L$290="","",[2]Baskol!$L$290)</f>
        <v/>
      </c>
      <c r="AC287">
        <f>IF([2]Baskol!$N$290="","",[2]Baskol!$N$290)</f>
        <v/>
      </c>
      <c r="AD287">
        <f>IF([2]Baskol!$O$290="","",[2]Baskol!$O$290)</f>
        <v/>
      </c>
      <c r="AE287">
        <f>IF([3]Entry!$C$290="","",[3]Entry!$C$290)</f>
        <v/>
      </c>
      <c r="AF287">
        <f>IF([3]Entry!$D$290="","",[3]Entry!$D$290)</f>
        <v/>
      </c>
      <c r="AG287">
        <f>IF([3]Entry!$E$290="","",[3]Entry!$E$290)</f>
        <v/>
      </c>
      <c r="AH287">
        <f>IF([3]Entry!$G$290="","",[3]Entry!$G$290)</f>
        <v/>
      </c>
      <c r="AI287">
        <f>IF([3]Entry!$K$290="","",[3]Entry!$K$290)</f>
        <v/>
      </c>
      <c r="AJ287">
        <f>IF([3]Entry!$L$290="","",[3]Entry!$L$290)</f>
        <v/>
      </c>
      <c r="AK287">
        <f>IF([3]Entry!$M$290="","",[3]Entry!$M$290)</f>
        <v/>
      </c>
      <c r="AL287">
        <f>IF([3]Entry!$N$290="","",[3]Entry!$N$290)</f>
        <v/>
      </c>
      <c r="AM287">
        <f>IF([3]Entry!$R$290="","",[3]Entry!$R$290)</f>
        <v/>
      </c>
    </row>
    <row r="288">
      <c r="A288">
        <f>IF([1]Accounts!$D$289="","",[1]Accounts!$A$289)</f>
        <v/>
      </c>
      <c r="B288">
        <f>IF([1]Accounts!$D$289="","",[1]Accounts!$B$289)</f>
        <v/>
      </c>
      <c r="C288">
        <f>IF([1]Accounts!$D$289="","",[1]Accounts!$C$289)</f>
        <v/>
      </c>
      <c r="D288">
        <f>IF([1]Accounts!$D$289="","",[1]Accounts!$D$289)</f>
        <v/>
      </c>
      <c r="E288">
        <f>IF([1]Accounts!$D$289="","",[1]Accounts!$E$289)</f>
        <v/>
      </c>
      <c r="F288">
        <f>IF([1]Accounts!$D$289="","",[1]Accounts!$F$289)</f>
        <v/>
      </c>
      <c r="G288">
        <f>IF([1]Accounts!$D$289="","",[1]Accounts!$G$289)</f>
        <v/>
      </c>
      <c r="T288">
        <f>IF([2]Baskol!$B$291="","",[2]Baskol!$B$291)</f>
        <v/>
      </c>
      <c r="U288">
        <f>IF([2]Baskol!$C$291="","",[2]Baskol!$C$291)</f>
        <v/>
      </c>
      <c r="V288">
        <f>IF([2]Baskol!$D$291="","",[2]Baskol!$D$291)</f>
        <v/>
      </c>
      <c r="W288">
        <f>IF([2]Baskol!$E$291="","",[2]Baskol!$E$291)</f>
        <v/>
      </c>
      <c r="X288">
        <f>IF([2]Baskol!$G$291="","",[2]Baskol!$G$291)</f>
        <v/>
      </c>
      <c r="Y288">
        <f>IF([2]Baskol!$I$291="","",[2]Baskol!$I$291)</f>
        <v/>
      </c>
      <c r="Z288">
        <f>IF([2]Baskol!$J$291="","",[2]Baskol!$J$291)</f>
        <v/>
      </c>
      <c r="AA288">
        <f>IF([2]Baskol!$K$291="","",[2]Baskol!$K$291)</f>
        <v/>
      </c>
      <c r="AB288">
        <f>IF([2]Baskol!$L$291="","",[2]Baskol!$L$291)</f>
        <v/>
      </c>
      <c r="AC288">
        <f>IF([2]Baskol!$N$291="","",[2]Baskol!$N$291)</f>
        <v/>
      </c>
      <c r="AD288">
        <f>IF([2]Baskol!$O$291="","",[2]Baskol!$O$291)</f>
        <v/>
      </c>
      <c r="AE288">
        <f>IF([3]Entry!$C$291="","",[3]Entry!$C$291)</f>
        <v/>
      </c>
      <c r="AF288">
        <f>IF([3]Entry!$D$291="","",[3]Entry!$D$291)</f>
        <v/>
      </c>
      <c r="AG288">
        <f>IF([3]Entry!$E$291="","",[3]Entry!$E$291)</f>
        <v/>
      </c>
      <c r="AH288">
        <f>IF([3]Entry!$G$291="","",[3]Entry!$G$291)</f>
        <v/>
      </c>
      <c r="AI288">
        <f>IF([3]Entry!$K$291="","",[3]Entry!$K$291)</f>
        <v/>
      </c>
      <c r="AJ288">
        <f>IF([3]Entry!$L$291="","",[3]Entry!$L$291)</f>
        <v/>
      </c>
      <c r="AK288">
        <f>IF([3]Entry!$M$291="","",[3]Entry!$M$291)</f>
        <v/>
      </c>
      <c r="AL288">
        <f>IF([3]Entry!$N$291="","",[3]Entry!$N$291)</f>
        <v/>
      </c>
      <c r="AM288">
        <f>IF([3]Entry!$R$291="","",[3]Entry!$R$291)</f>
        <v/>
      </c>
    </row>
    <row r="289">
      <c r="A289">
        <f>IF([1]Accounts!$D$290="","",[1]Accounts!$A$290)</f>
        <v/>
      </c>
      <c r="B289">
        <f>IF([1]Accounts!$D$290="","",[1]Accounts!$B$290)</f>
        <v/>
      </c>
      <c r="C289">
        <f>IF([1]Accounts!$D$290="","",[1]Accounts!$C$290)</f>
        <v/>
      </c>
      <c r="D289">
        <f>IF([1]Accounts!$D$290="","",[1]Accounts!$D$290)</f>
        <v/>
      </c>
      <c r="E289">
        <f>IF([1]Accounts!$D$290="","",[1]Accounts!$E$290)</f>
        <v/>
      </c>
      <c r="F289">
        <f>IF([1]Accounts!$D$290="","",[1]Accounts!$F$290)</f>
        <v/>
      </c>
      <c r="G289">
        <f>IF([1]Accounts!$D$290="","",[1]Accounts!$G$290)</f>
        <v/>
      </c>
      <c r="T289">
        <f>IF([2]Baskol!$B$292="","",[2]Baskol!$B$292)</f>
        <v/>
      </c>
      <c r="U289">
        <f>IF([2]Baskol!$C$292="","",[2]Baskol!$C$292)</f>
        <v/>
      </c>
      <c r="V289">
        <f>IF([2]Baskol!$D$292="","",[2]Baskol!$D$292)</f>
        <v/>
      </c>
      <c r="W289">
        <f>IF([2]Baskol!$E$292="","",[2]Baskol!$E$292)</f>
        <v/>
      </c>
      <c r="X289">
        <f>IF([2]Baskol!$G$292="","",[2]Baskol!$G$292)</f>
        <v/>
      </c>
      <c r="Y289">
        <f>IF([2]Baskol!$I$292="","",[2]Baskol!$I$292)</f>
        <v/>
      </c>
      <c r="Z289">
        <f>IF([2]Baskol!$J$292="","",[2]Baskol!$J$292)</f>
        <v/>
      </c>
      <c r="AA289">
        <f>IF([2]Baskol!$K$292="","",[2]Baskol!$K$292)</f>
        <v/>
      </c>
      <c r="AB289">
        <f>IF([2]Baskol!$L$292="","",[2]Baskol!$L$292)</f>
        <v/>
      </c>
      <c r="AC289">
        <f>IF([2]Baskol!$N$292="","",[2]Baskol!$N$292)</f>
        <v/>
      </c>
      <c r="AD289">
        <f>IF([2]Baskol!$O$292="","",[2]Baskol!$O$292)</f>
        <v/>
      </c>
      <c r="AE289">
        <f>IF([3]Entry!$C$292="","",[3]Entry!$C$292)</f>
        <v/>
      </c>
      <c r="AF289">
        <f>IF([3]Entry!$D$292="","",[3]Entry!$D$292)</f>
        <v/>
      </c>
      <c r="AG289">
        <f>IF([3]Entry!$E$292="","",[3]Entry!$E$292)</f>
        <v/>
      </c>
      <c r="AH289">
        <f>IF([3]Entry!$G$292="","",[3]Entry!$G$292)</f>
        <v/>
      </c>
      <c r="AI289">
        <f>IF([3]Entry!$K$292="","",[3]Entry!$K$292)</f>
        <v/>
      </c>
      <c r="AJ289">
        <f>IF([3]Entry!$L$292="","",[3]Entry!$L$292)</f>
        <v/>
      </c>
      <c r="AK289">
        <f>IF([3]Entry!$M$292="","",[3]Entry!$M$292)</f>
        <v/>
      </c>
      <c r="AL289">
        <f>IF([3]Entry!$N$292="","",[3]Entry!$N$292)</f>
        <v/>
      </c>
      <c r="AM289">
        <f>IF([3]Entry!$R$292="","",[3]Entry!$R$292)</f>
        <v/>
      </c>
    </row>
    <row r="290">
      <c r="A290">
        <f>IF([1]Accounts!$D$291="","",[1]Accounts!$A$291)</f>
        <v/>
      </c>
      <c r="B290">
        <f>IF([1]Accounts!$D$291="","",[1]Accounts!$B$291)</f>
        <v/>
      </c>
      <c r="C290">
        <f>IF([1]Accounts!$D$291="","",[1]Accounts!$C$291)</f>
        <v/>
      </c>
      <c r="D290">
        <f>IF([1]Accounts!$D$291="","",[1]Accounts!$D$291)</f>
        <v/>
      </c>
      <c r="E290">
        <f>IF([1]Accounts!$D$291="","",[1]Accounts!$E$291)</f>
        <v/>
      </c>
      <c r="F290">
        <f>IF([1]Accounts!$D$291="","",[1]Accounts!$F$291)</f>
        <v/>
      </c>
      <c r="G290">
        <f>IF([1]Accounts!$D$291="","",[1]Accounts!$G$291)</f>
        <v/>
      </c>
      <c r="T290">
        <f>IF([2]Baskol!$B$293="","",[2]Baskol!$B$293)</f>
        <v/>
      </c>
      <c r="U290">
        <f>IF([2]Baskol!$C$293="","",[2]Baskol!$C$293)</f>
        <v/>
      </c>
      <c r="V290">
        <f>IF([2]Baskol!$D$293="","",[2]Baskol!$D$293)</f>
        <v/>
      </c>
      <c r="W290">
        <f>IF([2]Baskol!$E$293="","",[2]Baskol!$E$293)</f>
        <v/>
      </c>
      <c r="X290">
        <f>IF([2]Baskol!$G$293="","",[2]Baskol!$G$293)</f>
        <v/>
      </c>
      <c r="Y290">
        <f>IF([2]Baskol!$I$293="","",[2]Baskol!$I$293)</f>
        <v/>
      </c>
      <c r="Z290">
        <f>IF([2]Baskol!$J$293="","",[2]Baskol!$J$293)</f>
        <v/>
      </c>
      <c r="AA290">
        <f>IF([2]Baskol!$K$293="","",[2]Baskol!$K$293)</f>
        <v/>
      </c>
      <c r="AB290">
        <f>IF([2]Baskol!$L$293="","",[2]Baskol!$L$293)</f>
        <v/>
      </c>
      <c r="AC290">
        <f>IF([2]Baskol!$N$293="","",[2]Baskol!$N$293)</f>
        <v/>
      </c>
      <c r="AD290">
        <f>IF([2]Baskol!$O$293="","",[2]Baskol!$O$293)</f>
        <v/>
      </c>
      <c r="AE290">
        <f>IF([3]Entry!$C$293="","",[3]Entry!$C$293)</f>
        <v/>
      </c>
      <c r="AF290">
        <f>IF([3]Entry!$D$293="","",[3]Entry!$D$293)</f>
        <v/>
      </c>
      <c r="AG290">
        <f>IF([3]Entry!$E$293="","",[3]Entry!$E$293)</f>
        <v/>
      </c>
      <c r="AH290">
        <f>IF([3]Entry!$G$293="","",[3]Entry!$G$293)</f>
        <v/>
      </c>
      <c r="AI290">
        <f>IF([3]Entry!$K$293="","",[3]Entry!$K$293)</f>
        <v/>
      </c>
      <c r="AJ290">
        <f>IF([3]Entry!$L$293="","",[3]Entry!$L$293)</f>
        <v/>
      </c>
      <c r="AK290">
        <f>IF([3]Entry!$M$293="","",[3]Entry!$M$293)</f>
        <v/>
      </c>
      <c r="AL290">
        <f>IF([3]Entry!$N$293="","",[3]Entry!$N$293)</f>
        <v/>
      </c>
      <c r="AM290">
        <f>IF([3]Entry!$R$293="","",[3]Entry!$R$293)</f>
        <v/>
      </c>
    </row>
    <row r="291">
      <c r="A291">
        <f>IF([1]Accounts!$D$292="","",[1]Accounts!$A$292)</f>
        <v/>
      </c>
      <c r="B291">
        <f>IF([1]Accounts!$D$292="","",[1]Accounts!$B$292)</f>
        <v/>
      </c>
      <c r="C291">
        <f>IF([1]Accounts!$D$292="","",[1]Accounts!$C$292)</f>
        <v/>
      </c>
      <c r="D291">
        <f>IF([1]Accounts!$D$292="","",[1]Accounts!$D$292)</f>
        <v/>
      </c>
      <c r="E291">
        <f>IF([1]Accounts!$D$292="","",[1]Accounts!$E$292)</f>
        <v/>
      </c>
      <c r="F291">
        <f>IF([1]Accounts!$D$292="","",[1]Accounts!$F$292)</f>
        <v/>
      </c>
      <c r="G291">
        <f>IF([1]Accounts!$D$292="","",[1]Accounts!$G$292)</f>
        <v/>
      </c>
      <c r="T291">
        <f>IF([2]Baskol!$B$294="","",[2]Baskol!$B$294)</f>
        <v/>
      </c>
      <c r="U291">
        <f>IF([2]Baskol!$C$294="","",[2]Baskol!$C$294)</f>
        <v/>
      </c>
      <c r="V291">
        <f>IF([2]Baskol!$D$294="","",[2]Baskol!$D$294)</f>
        <v/>
      </c>
      <c r="W291">
        <f>IF([2]Baskol!$E$294="","",[2]Baskol!$E$294)</f>
        <v/>
      </c>
      <c r="X291">
        <f>IF([2]Baskol!$G$294="","",[2]Baskol!$G$294)</f>
        <v/>
      </c>
      <c r="Y291">
        <f>IF([2]Baskol!$I$294="","",[2]Baskol!$I$294)</f>
        <v/>
      </c>
      <c r="Z291">
        <f>IF([2]Baskol!$J$294="","",[2]Baskol!$J$294)</f>
        <v/>
      </c>
      <c r="AA291">
        <f>IF([2]Baskol!$K$294="","",[2]Baskol!$K$294)</f>
        <v/>
      </c>
      <c r="AB291">
        <f>IF([2]Baskol!$L$294="","",[2]Baskol!$L$294)</f>
        <v/>
      </c>
      <c r="AC291">
        <f>IF([2]Baskol!$N$294="","",[2]Baskol!$N$294)</f>
        <v/>
      </c>
      <c r="AD291">
        <f>IF([2]Baskol!$O$294="","",[2]Baskol!$O$294)</f>
        <v/>
      </c>
      <c r="AE291">
        <f>IF([3]Entry!$C$294="","",[3]Entry!$C$294)</f>
        <v/>
      </c>
      <c r="AF291">
        <f>IF([3]Entry!$D$294="","",[3]Entry!$D$294)</f>
        <v/>
      </c>
      <c r="AG291">
        <f>IF([3]Entry!$E$294="","",[3]Entry!$E$294)</f>
        <v/>
      </c>
      <c r="AH291">
        <f>IF([3]Entry!$G$294="","",[3]Entry!$G$294)</f>
        <v/>
      </c>
      <c r="AI291">
        <f>IF([3]Entry!$K$294="","",[3]Entry!$K$294)</f>
        <v/>
      </c>
      <c r="AJ291">
        <f>IF([3]Entry!$L$294="","",[3]Entry!$L$294)</f>
        <v/>
      </c>
      <c r="AK291">
        <f>IF([3]Entry!$M$294="","",[3]Entry!$M$294)</f>
        <v/>
      </c>
      <c r="AL291">
        <f>IF([3]Entry!$N$294="","",[3]Entry!$N$294)</f>
        <v/>
      </c>
      <c r="AM291">
        <f>IF([3]Entry!$R$294="","",[3]Entry!$R$294)</f>
        <v/>
      </c>
    </row>
    <row r="292">
      <c r="A292">
        <f>IF([1]Accounts!$D$293="","",[1]Accounts!$A$293)</f>
        <v/>
      </c>
      <c r="B292">
        <f>IF([1]Accounts!$D$293="","",[1]Accounts!$B$293)</f>
        <v/>
      </c>
      <c r="C292">
        <f>IF([1]Accounts!$D$293="","",[1]Accounts!$C$293)</f>
        <v/>
      </c>
      <c r="D292">
        <f>IF([1]Accounts!$D$293="","",[1]Accounts!$D$293)</f>
        <v/>
      </c>
      <c r="E292">
        <f>IF([1]Accounts!$D$293="","",[1]Accounts!$E$293)</f>
        <v/>
      </c>
      <c r="F292">
        <f>IF([1]Accounts!$D$293="","",[1]Accounts!$F$293)</f>
        <v/>
      </c>
      <c r="G292">
        <f>IF([1]Accounts!$D$293="","",[1]Accounts!$G$293)</f>
        <v/>
      </c>
      <c r="T292">
        <f>IF([2]Baskol!$B$295="","",[2]Baskol!$B$295)</f>
        <v/>
      </c>
      <c r="U292">
        <f>IF([2]Baskol!$C$295="","",[2]Baskol!$C$295)</f>
        <v/>
      </c>
      <c r="V292">
        <f>IF([2]Baskol!$D$295="","",[2]Baskol!$D$295)</f>
        <v/>
      </c>
      <c r="W292">
        <f>IF([2]Baskol!$E$295="","",[2]Baskol!$E$295)</f>
        <v/>
      </c>
      <c r="X292">
        <f>IF([2]Baskol!$G$295="","",[2]Baskol!$G$295)</f>
        <v/>
      </c>
      <c r="Y292">
        <f>IF([2]Baskol!$I$295="","",[2]Baskol!$I$295)</f>
        <v/>
      </c>
      <c r="Z292">
        <f>IF([2]Baskol!$J$295="","",[2]Baskol!$J$295)</f>
        <v/>
      </c>
      <c r="AA292">
        <f>IF([2]Baskol!$K$295="","",[2]Baskol!$K$295)</f>
        <v/>
      </c>
      <c r="AB292">
        <f>IF([2]Baskol!$L$295="","",[2]Baskol!$L$295)</f>
        <v/>
      </c>
      <c r="AC292">
        <f>IF([2]Baskol!$N$295="","",[2]Baskol!$N$295)</f>
        <v/>
      </c>
      <c r="AD292">
        <f>IF([2]Baskol!$O$295="","",[2]Baskol!$O$295)</f>
        <v/>
      </c>
      <c r="AE292">
        <f>IF([3]Entry!$C$295="","",[3]Entry!$C$295)</f>
        <v/>
      </c>
      <c r="AF292">
        <f>IF([3]Entry!$D$295="","",[3]Entry!$D$295)</f>
        <v/>
      </c>
      <c r="AG292">
        <f>IF([3]Entry!$E$295="","",[3]Entry!$E$295)</f>
        <v/>
      </c>
      <c r="AH292">
        <f>IF([3]Entry!$G$295="","",[3]Entry!$G$295)</f>
        <v/>
      </c>
      <c r="AI292">
        <f>IF([3]Entry!$K$295="","",[3]Entry!$K$295)</f>
        <v/>
      </c>
      <c r="AJ292">
        <f>IF([3]Entry!$L$295="","",[3]Entry!$L$295)</f>
        <v/>
      </c>
      <c r="AK292">
        <f>IF([3]Entry!$M$295="","",[3]Entry!$M$295)</f>
        <v/>
      </c>
      <c r="AL292">
        <f>IF([3]Entry!$N$295="","",[3]Entry!$N$295)</f>
        <v/>
      </c>
      <c r="AM292">
        <f>IF([3]Entry!$R$295="","",[3]Entry!$R$295)</f>
        <v/>
      </c>
    </row>
    <row r="293">
      <c r="A293">
        <f>IF([1]Accounts!$D$294="","",[1]Accounts!$A$294)</f>
        <v/>
      </c>
      <c r="B293">
        <f>IF([1]Accounts!$D$294="","",[1]Accounts!$B$294)</f>
        <v/>
      </c>
      <c r="C293">
        <f>IF([1]Accounts!$D$294="","",[1]Accounts!$C$294)</f>
        <v/>
      </c>
      <c r="D293">
        <f>IF([1]Accounts!$D$294="","",[1]Accounts!$D$294)</f>
        <v/>
      </c>
      <c r="E293">
        <f>IF([1]Accounts!$D$294="","",[1]Accounts!$E$294)</f>
        <v/>
      </c>
      <c r="F293">
        <f>IF([1]Accounts!$D$294="","",[1]Accounts!$F$294)</f>
        <v/>
      </c>
      <c r="G293">
        <f>IF([1]Accounts!$D$294="","",[1]Accounts!$G$294)</f>
        <v/>
      </c>
      <c r="T293">
        <f>IF([2]Baskol!$B$296="","",[2]Baskol!$B$296)</f>
        <v/>
      </c>
      <c r="U293">
        <f>IF([2]Baskol!$C$296="","",[2]Baskol!$C$296)</f>
        <v/>
      </c>
      <c r="V293">
        <f>IF([2]Baskol!$D$296="","",[2]Baskol!$D$296)</f>
        <v/>
      </c>
      <c r="W293">
        <f>IF([2]Baskol!$E$296="","",[2]Baskol!$E$296)</f>
        <v/>
      </c>
      <c r="X293">
        <f>IF([2]Baskol!$G$296="","",[2]Baskol!$G$296)</f>
        <v/>
      </c>
      <c r="Y293">
        <f>IF([2]Baskol!$I$296="","",[2]Baskol!$I$296)</f>
        <v/>
      </c>
      <c r="Z293">
        <f>IF([2]Baskol!$J$296="","",[2]Baskol!$J$296)</f>
        <v/>
      </c>
      <c r="AA293">
        <f>IF([2]Baskol!$K$296="","",[2]Baskol!$K$296)</f>
        <v/>
      </c>
      <c r="AB293">
        <f>IF([2]Baskol!$L$296="","",[2]Baskol!$L$296)</f>
        <v/>
      </c>
      <c r="AC293">
        <f>IF([2]Baskol!$N$296="","",[2]Baskol!$N$296)</f>
        <v/>
      </c>
      <c r="AD293">
        <f>IF([2]Baskol!$O$296="","",[2]Baskol!$O$296)</f>
        <v/>
      </c>
      <c r="AE293">
        <f>IF([3]Entry!$C$296="","",[3]Entry!$C$296)</f>
        <v/>
      </c>
      <c r="AF293">
        <f>IF([3]Entry!$D$296="","",[3]Entry!$D$296)</f>
        <v/>
      </c>
      <c r="AG293">
        <f>IF([3]Entry!$E$296="","",[3]Entry!$E$296)</f>
        <v/>
      </c>
      <c r="AH293">
        <f>IF([3]Entry!$G$296="","",[3]Entry!$G$296)</f>
        <v/>
      </c>
      <c r="AI293">
        <f>IF([3]Entry!$K$296="","",[3]Entry!$K$296)</f>
        <v/>
      </c>
      <c r="AJ293">
        <f>IF([3]Entry!$L$296="","",[3]Entry!$L$296)</f>
        <v/>
      </c>
      <c r="AK293">
        <f>IF([3]Entry!$M$296="","",[3]Entry!$M$296)</f>
        <v/>
      </c>
      <c r="AL293">
        <f>IF([3]Entry!$N$296="","",[3]Entry!$N$296)</f>
        <v/>
      </c>
      <c r="AM293">
        <f>IF([3]Entry!$R$296="","",[3]Entry!$R$296)</f>
        <v/>
      </c>
    </row>
    <row r="294">
      <c r="A294">
        <f>IF([1]Accounts!$D$295="","",[1]Accounts!$A$295)</f>
        <v/>
      </c>
      <c r="B294">
        <f>IF([1]Accounts!$D$295="","",[1]Accounts!$B$295)</f>
        <v/>
      </c>
      <c r="C294">
        <f>IF([1]Accounts!$D$295="","",[1]Accounts!$C$295)</f>
        <v/>
      </c>
      <c r="D294">
        <f>IF([1]Accounts!$D$295="","",[1]Accounts!$D$295)</f>
        <v/>
      </c>
      <c r="E294">
        <f>IF([1]Accounts!$D$295="","",[1]Accounts!$E$295)</f>
        <v/>
      </c>
      <c r="F294">
        <f>IF([1]Accounts!$D$295="","",[1]Accounts!$F$295)</f>
        <v/>
      </c>
      <c r="G294">
        <f>IF([1]Accounts!$D$295="","",[1]Accounts!$G$295)</f>
        <v/>
      </c>
      <c r="T294">
        <f>IF([2]Baskol!$B$297="","",[2]Baskol!$B$297)</f>
        <v/>
      </c>
      <c r="U294">
        <f>IF([2]Baskol!$C$297="","",[2]Baskol!$C$297)</f>
        <v/>
      </c>
      <c r="V294">
        <f>IF([2]Baskol!$D$297="","",[2]Baskol!$D$297)</f>
        <v/>
      </c>
      <c r="W294">
        <f>IF([2]Baskol!$E$297="","",[2]Baskol!$E$297)</f>
        <v/>
      </c>
      <c r="X294">
        <f>IF([2]Baskol!$G$297="","",[2]Baskol!$G$297)</f>
        <v/>
      </c>
      <c r="Y294">
        <f>IF([2]Baskol!$I$297="","",[2]Baskol!$I$297)</f>
        <v/>
      </c>
      <c r="Z294">
        <f>IF([2]Baskol!$J$297="","",[2]Baskol!$J$297)</f>
        <v/>
      </c>
      <c r="AA294">
        <f>IF([2]Baskol!$K$297="","",[2]Baskol!$K$297)</f>
        <v/>
      </c>
      <c r="AB294">
        <f>IF([2]Baskol!$L$297="","",[2]Baskol!$L$297)</f>
        <v/>
      </c>
      <c r="AC294">
        <f>IF([2]Baskol!$N$297="","",[2]Baskol!$N$297)</f>
        <v/>
      </c>
      <c r="AD294">
        <f>IF([2]Baskol!$O$297="","",[2]Baskol!$O$297)</f>
        <v/>
      </c>
      <c r="AE294">
        <f>IF([3]Entry!$C$297="","",[3]Entry!$C$297)</f>
        <v/>
      </c>
      <c r="AF294">
        <f>IF([3]Entry!$D$297="","",[3]Entry!$D$297)</f>
        <v/>
      </c>
      <c r="AG294">
        <f>IF([3]Entry!$E$297="","",[3]Entry!$E$297)</f>
        <v/>
      </c>
      <c r="AH294">
        <f>IF([3]Entry!$G$297="","",[3]Entry!$G$297)</f>
        <v/>
      </c>
      <c r="AI294">
        <f>IF([3]Entry!$K$297="","",[3]Entry!$K$297)</f>
        <v/>
      </c>
      <c r="AJ294">
        <f>IF([3]Entry!$L$297="","",[3]Entry!$L$297)</f>
        <v/>
      </c>
      <c r="AK294">
        <f>IF([3]Entry!$M$297="","",[3]Entry!$M$297)</f>
        <v/>
      </c>
      <c r="AL294">
        <f>IF([3]Entry!$N$297="","",[3]Entry!$N$297)</f>
        <v/>
      </c>
      <c r="AM294">
        <f>IF([3]Entry!$R$297="","",[3]Entry!$R$297)</f>
        <v/>
      </c>
    </row>
    <row r="295">
      <c r="A295">
        <f>IF([1]Accounts!$D$296="","",[1]Accounts!$A$296)</f>
        <v/>
      </c>
      <c r="B295">
        <f>IF([1]Accounts!$D$296="","",[1]Accounts!$B$296)</f>
        <v/>
      </c>
      <c r="C295">
        <f>IF([1]Accounts!$D$296="","",[1]Accounts!$C$296)</f>
        <v/>
      </c>
      <c r="D295">
        <f>IF([1]Accounts!$D$296="","",[1]Accounts!$D$296)</f>
        <v/>
      </c>
      <c r="E295">
        <f>IF([1]Accounts!$D$296="","",[1]Accounts!$E$296)</f>
        <v/>
      </c>
      <c r="F295">
        <f>IF([1]Accounts!$D$296="","",[1]Accounts!$F$296)</f>
        <v/>
      </c>
      <c r="G295">
        <f>IF([1]Accounts!$D$296="","",[1]Accounts!$G$296)</f>
        <v/>
      </c>
      <c r="T295">
        <f>IF([2]Baskol!$B$298="","",[2]Baskol!$B$298)</f>
        <v/>
      </c>
      <c r="U295">
        <f>IF([2]Baskol!$C$298="","",[2]Baskol!$C$298)</f>
        <v/>
      </c>
      <c r="V295">
        <f>IF([2]Baskol!$D$298="","",[2]Baskol!$D$298)</f>
        <v/>
      </c>
      <c r="W295">
        <f>IF([2]Baskol!$E$298="","",[2]Baskol!$E$298)</f>
        <v/>
      </c>
      <c r="X295">
        <f>IF([2]Baskol!$G$298="","",[2]Baskol!$G$298)</f>
        <v/>
      </c>
      <c r="Y295">
        <f>IF([2]Baskol!$I$298="","",[2]Baskol!$I$298)</f>
        <v/>
      </c>
      <c r="Z295">
        <f>IF([2]Baskol!$J$298="","",[2]Baskol!$J$298)</f>
        <v/>
      </c>
      <c r="AA295">
        <f>IF([2]Baskol!$K$298="","",[2]Baskol!$K$298)</f>
        <v/>
      </c>
      <c r="AB295">
        <f>IF([2]Baskol!$L$298="","",[2]Baskol!$L$298)</f>
        <v/>
      </c>
      <c r="AC295">
        <f>IF([2]Baskol!$N$298="","",[2]Baskol!$N$298)</f>
        <v/>
      </c>
      <c r="AD295">
        <f>IF([2]Baskol!$O$298="","",[2]Baskol!$O$298)</f>
        <v/>
      </c>
      <c r="AE295">
        <f>IF([3]Entry!$C$298="","",[3]Entry!$C$298)</f>
        <v/>
      </c>
      <c r="AF295">
        <f>IF([3]Entry!$D$298="","",[3]Entry!$D$298)</f>
        <v/>
      </c>
      <c r="AG295">
        <f>IF([3]Entry!$E$298="","",[3]Entry!$E$298)</f>
        <v/>
      </c>
      <c r="AH295">
        <f>IF([3]Entry!$G$298="","",[3]Entry!$G$298)</f>
        <v/>
      </c>
      <c r="AI295">
        <f>IF([3]Entry!$K$298="","",[3]Entry!$K$298)</f>
        <v/>
      </c>
      <c r="AJ295">
        <f>IF([3]Entry!$L$298="","",[3]Entry!$L$298)</f>
        <v/>
      </c>
      <c r="AK295">
        <f>IF([3]Entry!$M$298="","",[3]Entry!$M$298)</f>
        <v/>
      </c>
      <c r="AL295">
        <f>IF([3]Entry!$N$298="","",[3]Entry!$N$298)</f>
        <v/>
      </c>
      <c r="AM295">
        <f>IF([3]Entry!$R$298="","",[3]Entry!$R$298)</f>
        <v/>
      </c>
    </row>
    <row r="296">
      <c r="A296">
        <f>IF([1]Accounts!$D$297="","",[1]Accounts!$A$297)</f>
        <v/>
      </c>
      <c r="B296">
        <f>IF([1]Accounts!$D$297="","",[1]Accounts!$B$297)</f>
        <v/>
      </c>
      <c r="C296">
        <f>IF([1]Accounts!$D$297="","",[1]Accounts!$C$297)</f>
        <v/>
      </c>
      <c r="D296">
        <f>IF([1]Accounts!$D$297="","",[1]Accounts!$D$297)</f>
        <v/>
      </c>
      <c r="E296">
        <f>IF([1]Accounts!$D$297="","",[1]Accounts!$E$297)</f>
        <v/>
      </c>
      <c r="F296">
        <f>IF([1]Accounts!$D$297="","",[1]Accounts!$F$297)</f>
        <v/>
      </c>
      <c r="G296">
        <f>IF([1]Accounts!$D$297="","",[1]Accounts!$G$297)</f>
        <v/>
      </c>
      <c r="T296">
        <f>IF([2]Baskol!$B$299="","",[2]Baskol!$B$299)</f>
        <v/>
      </c>
      <c r="U296">
        <f>IF([2]Baskol!$C$299="","",[2]Baskol!$C$299)</f>
        <v/>
      </c>
      <c r="V296">
        <f>IF([2]Baskol!$D$299="","",[2]Baskol!$D$299)</f>
        <v/>
      </c>
      <c r="W296">
        <f>IF([2]Baskol!$E$299="","",[2]Baskol!$E$299)</f>
        <v/>
      </c>
      <c r="X296">
        <f>IF([2]Baskol!$G$299="","",[2]Baskol!$G$299)</f>
        <v/>
      </c>
      <c r="Y296">
        <f>IF([2]Baskol!$I$299="","",[2]Baskol!$I$299)</f>
        <v/>
      </c>
      <c r="Z296">
        <f>IF([2]Baskol!$J$299="","",[2]Baskol!$J$299)</f>
        <v/>
      </c>
      <c r="AA296">
        <f>IF([2]Baskol!$K$299="","",[2]Baskol!$K$299)</f>
        <v/>
      </c>
      <c r="AB296">
        <f>IF([2]Baskol!$L$299="","",[2]Baskol!$L$299)</f>
        <v/>
      </c>
      <c r="AC296">
        <f>IF([2]Baskol!$N$299="","",[2]Baskol!$N$299)</f>
        <v/>
      </c>
      <c r="AD296">
        <f>IF([2]Baskol!$O$299="","",[2]Baskol!$O$299)</f>
        <v/>
      </c>
      <c r="AE296">
        <f>IF([3]Entry!$C$299="","",[3]Entry!$C$299)</f>
        <v/>
      </c>
      <c r="AF296">
        <f>IF([3]Entry!$D$299="","",[3]Entry!$D$299)</f>
        <v/>
      </c>
      <c r="AG296">
        <f>IF([3]Entry!$E$299="","",[3]Entry!$E$299)</f>
        <v/>
      </c>
      <c r="AH296">
        <f>IF([3]Entry!$G$299="","",[3]Entry!$G$299)</f>
        <v/>
      </c>
      <c r="AI296">
        <f>IF([3]Entry!$K$299="","",[3]Entry!$K$299)</f>
        <v/>
      </c>
      <c r="AJ296">
        <f>IF([3]Entry!$L$299="","",[3]Entry!$L$299)</f>
        <v/>
      </c>
      <c r="AK296">
        <f>IF([3]Entry!$M$299="","",[3]Entry!$M$299)</f>
        <v/>
      </c>
      <c r="AL296">
        <f>IF([3]Entry!$N$299="","",[3]Entry!$N$299)</f>
        <v/>
      </c>
      <c r="AM296">
        <f>IF([3]Entry!$R$299="","",[3]Entry!$R$299)</f>
        <v/>
      </c>
    </row>
    <row r="297">
      <c r="A297">
        <f>IF([1]Accounts!$D$298="","",[1]Accounts!$A$298)</f>
        <v/>
      </c>
      <c r="B297">
        <f>IF([1]Accounts!$D$298="","",[1]Accounts!$B$298)</f>
        <v/>
      </c>
      <c r="C297">
        <f>IF([1]Accounts!$D$298="","",[1]Accounts!$C$298)</f>
        <v/>
      </c>
      <c r="D297">
        <f>IF([1]Accounts!$D$298="","",[1]Accounts!$D$298)</f>
        <v/>
      </c>
      <c r="E297">
        <f>IF([1]Accounts!$D$298="","",[1]Accounts!$E$298)</f>
        <v/>
      </c>
      <c r="F297">
        <f>IF([1]Accounts!$D$298="","",[1]Accounts!$F$298)</f>
        <v/>
      </c>
      <c r="G297">
        <f>IF([1]Accounts!$D$298="","",[1]Accounts!$G$298)</f>
        <v/>
      </c>
      <c r="T297">
        <f>IF([2]Baskol!$B$300="","",[2]Baskol!$B$300)</f>
        <v/>
      </c>
      <c r="U297">
        <f>IF([2]Baskol!$C$300="","",[2]Baskol!$C$300)</f>
        <v/>
      </c>
      <c r="V297">
        <f>IF([2]Baskol!$D$300="","",[2]Baskol!$D$300)</f>
        <v/>
      </c>
      <c r="W297">
        <f>IF([2]Baskol!$E$300="","",[2]Baskol!$E$300)</f>
        <v/>
      </c>
      <c r="X297">
        <f>IF([2]Baskol!$G$300="","",[2]Baskol!$G$300)</f>
        <v/>
      </c>
      <c r="Y297">
        <f>IF([2]Baskol!$I$300="","",[2]Baskol!$I$300)</f>
        <v/>
      </c>
      <c r="Z297">
        <f>IF([2]Baskol!$J$300="","",[2]Baskol!$J$300)</f>
        <v/>
      </c>
      <c r="AA297">
        <f>IF([2]Baskol!$K$300="","",[2]Baskol!$K$300)</f>
        <v/>
      </c>
      <c r="AB297">
        <f>IF([2]Baskol!$L$300="","",[2]Baskol!$L$300)</f>
        <v/>
      </c>
      <c r="AC297">
        <f>IF([2]Baskol!$N$300="","",[2]Baskol!$N$300)</f>
        <v/>
      </c>
      <c r="AD297">
        <f>IF([2]Baskol!$O$300="","",[2]Baskol!$O$300)</f>
        <v/>
      </c>
      <c r="AE297">
        <f>IF([3]Entry!$C$300="","",[3]Entry!$C$300)</f>
        <v/>
      </c>
      <c r="AF297">
        <f>IF([3]Entry!$D$300="","",[3]Entry!$D$300)</f>
        <v/>
      </c>
      <c r="AG297">
        <f>IF([3]Entry!$E$300="","",[3]Entry!$E$300)</f>
        <v/>
      </c>
      <c r="AH297">
        <f>IF([3]Entry!$G$300="","",[3]Entry!$G$300)</f>
        <v/>
      </c>
      <c r="AI297">
        <f>IF([3]Entry!$K$300="","",[3]Entry!$K$300)</f>
        <v/>
      </c>
      <c r="AJ297">
        <f>IF([3]Entry!$L$300="","",[3]Entry!$L$300)</f>
        <v/>
      </c>
      <c r="AK297">
        <f>IF([3]Entry!$M$300="","",[3]Entry!$M$300)</f>
        <v/>
      </c>
      <c r="AL297">
        <f>IF([3]Entry!$N$300="","",[3]Entry!$N$300)</f>
        <v/>
      </c>
      <c r="AM297">
        <f>IF([3]Entry!$R$300="","",[3]Entry!$R$300)</f>
        <v/>
      </c>
    </row>
    <row r="298">
      <c r="A298">
        <f>IF([1]Accounts!$D$299="","",[1]Accounts!$A$299)</f>
        <v/>
      </c>
      <c r="B298">
        <f>IF([1]Accounts!$D$299="","",[1]Accounts!$B$299)</f>
        <v/>
      </c>
      <c r="C298">
        <f>IF([1]Accounts!$D$299="","",[1]Accounts!$C$299)</f>
        <v/>
      </c>
      <c r="D298">
        <f>IF([1]Accounts!$D$299="","",[1]Accounts!$D$299)</f>
        <v/>
      </c>
      <c r="E298">
        <f>IF([1]Accounts!$D$299="","",[1]Accounts!$E$299)</f>
        <v/>
      </c>
      <c r="F298">
        <f>IF([1]Accounts!$D$299="","",[1]Accounts!$F$299)</f>
        <v/>
      </c>
      <c r="G298">
        <f>IF([1]Accounts!$D$299="","",[1]Accounts!$G$299)</f>
        <v/>
      </c>
      <c r="T298">
        <f>IF([2]Baskol!$B$301="","",[2]Baskol!$B$301)</f>
        <v/>
      </c>
      <c r="U298">
        <f>IF([2]Baskol!$C$301="","",[2]Baskol!$C$301)</f>
        <v/>
      </c>
      <c r="V298">
        <f>IF([2]Baskol!$D$301="","",[2]Baskol!$D$301)</f>
        <v/>
      </c>
      <c r="W298">
        <f>IF([2]Baskol!$E$301="","",[2]Baskol!$E$301)</f>
        <v/>
      </c>
      <c r="X298">
        <f>IF([2]Baskol!$G$301="","",[2]Baskol!$G$301)</f>
        <v/>
      </c>
      <c r="Y298">
        <f>IF([2]Baskol!$I$301="","",[2]Baskol!$I$301)</f>
        <v/>
      </c>
      <c r="Z298">
        <f>IF([2]Baskol!$J$301="","",[2]Baskol!$J$301)</f>
        <v/>
      </c>
      <c r="AA298">
        <f>IF([2]Baskol!$K$301="","",[2]Baskol!$K$301)</f>
        <v/>
      </c>
      <c r="AB298">
        <f>IF([2]Baskol!$L$301="","",[2]Baskol!$L$301)</f>
        <v/>
      </c>
      <c r="AC298">
        <f>IF([2]Baskol!$N$301="","",[2]Baskol!$N$301)</f>
        <v/>
      </c>
      <c r="AD298">
        <f>IF([2]Baskol!$O$301="","",[2]Baskol!$O$301)</f>
        <v/>
      </c>
      <c r="AE298">
        <f>IF([3]Entry!$C$301="","",[3]Entry!$C$301)</f>
        <v/>
      </c>
      <c r="AF298">
        <f>IF([3]Entry!$D$301="","",[3]Entry!$D$301)</f>
        <v/>
      </c>
      <c r="AG298">
        <f>IF([3]Entry!$E$301="","",[3]Entry!$E$301)</f>
        <v/>
      </c>
      <c r="AH298">
        <f>IF([3]Entry!$G$301="","",[3]Entry!$G$301)</f>
        <v/>
      </c>
      <c r="AI298">
        <f>IF([3]Entry!$K$301="","",[3]Entry!$K$301)</f>
        <v/>
      </c>
      <c r="AJ298">
        <f>IF([3]Entry!$L$301="","",[3]Entry!$L$301)</f>
        <v/>
      </c>
      <c r="AK298">
        <f>IF([3]Entry!$M$301="","",[3]Entry!$M$301)</f>
        <v/>
      </c>
      <c r="AL298">
        <f>IF([3]Entry!$N$301="","",[3]Entry!$N$301)</f>
        <v/>
      </c>
      <c r="AM298">
        <f>IF([3]Entry!$R$301="","",[3]Entry!$R$301)</f>
        <v/>
      </c>
    </row>
    <row r="299">
      <c r="A299">
        <f>IF([1]Accounts!$D$300="","",[1]Accounts!$A$300)</f>
        <v/>
      </c>
      <c r="B299">
        <f>IF([1]Accounts!$D$300="","",[1]Accounts!$B$300)</f>
        <v/>
      </c>
      <c r="C299">
        <f>IF([1]Accounts!$D$300="","",[1]Accounts!$C$300)</f>
        <v/>
      </c>
      <c r="D299">
        <f>IF([1]Accounts!$D$300="","",[1]Accounts!$D$300)</f>
        <v/>
      </c>
      <c r="E299">
        <f>IF([1]Accounts!$D$300="","",[1]Accounts!$E$300)</f>
        <v/>
      </c>
      <c r="F299">
        <f>IF([1]Accounts!$D$300="","",[1]Accounts!$F$300)</f>
        <v/>
      </c>
      <c r="G299">
        <f>IF([1]Accounts!$D$300="","",[1]Accounts!$G$300)</f>
        <v/>
      </c>
      <c r="T299">
        <f>IF([2]Baskol!$B$302="","",[2]Baskol!$B$302)</f>
        <v/>
      </c>
      <c r="U299">
        <f>IF([2]Baskol!$C$302="","",[2]Baskol!$C$302)</f>
        <v/>
      </c>
      <c r="V299">
        <f>IF([2]Baskol!$D$302="","",[2]Baskol!$D$302)</f>
        <v/>
      </c>
      <c r="W299">
        <f>IF([2]Baskol!$E$302="","",[2]Baskol!$E$302)</f>
        <v/>
      </c>
      <c r="X299">
        <f>IF([2]Baskol!$G$302="","",[2]Baskol!$G$302)</f>
        <v/>
      </c>
      <c r="Y299">
        <f>IF([2]Baskol!$I$302="","",[2]Baskol!$I$302)</f>
        <v/>
      </c>
      <c r="Z299">
        <f>IF([2]Baskol!$J$302="","",[2]Baskol!$J$302)</f>
        <v/>
      </c>
      <c r="AA299">
        <f>IF([2]Baskol!$K$302="","",[2]Baskol!$K$302)</f>
        <v/>
      </c>
      <c r="AB299">
        <f>IF([2]Baskol!$L$302="","",[2]Baskol!$L$302)</f>
        <v/>
      </c>
      <c r="AC299">
        <f>IF([2]Baskol!$N$302="","",[2]Baskol!$N$302)</f>
        <v/>
      </c>
      <c r="AD299">
        <f>IF([2]Baskol!$O$302="","",[2]Baskol!$O$302)</f>
        <v/>
      </c>
      <c r="AE299">
        <f>IF([3]Entry!$C$302="","",[3]Entry!$C$302)</f>
        <v/>
      </c>
      <c r="AF299">
        <f>IF([3]Entry!$D$302="","",[3]Entry!$D$302)</f>
        <v/>
      </c>
      <c r="AG299">
        <f>IF([3]Entry!$E$302="","",[3]Entry!$E$302)</f>
        <v/>
      </c>
      <c r="AH299">
        <f>IF([3]Entry!$G$302="","",[3]Entry!$G$302)</f>
        <v/>
      </c>
      <c r="AI299">
        <f>IF([3]Entry!$K$302="","",[3]Entry!$K$302)</f>
        <v/>
      </c>
      <c r="AJ299">
        <f>IF([3]Entry!$L$302="","",[3]Entry!$L$302)</f>
        <v/>
      </c>
      <c r="AK299">
        <f>IF([3]Entry!$M$302="","",[3]Entry!$M$302)</f>
        <v/>
      </c>
      <c r="AL299">
        <f>IF([3]Entry!$N$302="","",[3]Entry!$N$302)</f>
        <v/>
      </c>
      <c r="AM299">
        <f>IF([3]Entry!$R$302="","",[3]Entry!$R$302)</f>
        <v/>
      </c>
    </row>
    <row r="300">
      <c r="A300">
        <f>IF([1]Accounts!$D$301="","",[1]Accounts!$A$301)</f>
        <v/>
      </c>
      <c r="B300">
        <f>IF([1]Accounts!$D$301="","",[1]Accounts!$B$301)</f>
        <v/>
      </c>
      <c r="C300">
        <f>IF([1]Accounts!$D$301="","",[1]Accounts!$C$301)</f>
        <v/>
      </c>
      <c r="D300">
        <f>IF([1]Accounts!$D$301="","",[1]Accounts!$D$301)</f>
        <v/>
      </c>
      <c r="E300">
        <f>IF([1]Accounts!$D$301="","",[1]Accounts!$E$301)</f>
        <v/>
      </c>
      <c r="F300">
        <f>IF([1]Accounts!$D$301="","",[1]Accounts!$F$301)</f>
        <v/>
      </c>
      <c r="G300">
        <f>IF([1]Accounts!$D$301="","",[1]Accounts!$G$301)</f>
        <v/>
      </c>
      <c r="T300">
        <f>IF([2]Baskol!$B$303="","",[2]Baskol!$B$303)</f>
        <v/>
      </c>
      <c r="U300">
        <f>IF([2]Baskol!$C$303="","",[2]Baskol!$C$303)</f>
        <v/>
      </c>
      <c r="V300">
        <f>IF([2]Baskol!$D$303="","",[2]Baskol!$D$303)</f>
        <v/>
      </c>
      <c r="W300">
        <f>IF([2]Baskol!$E$303="","",[2]Baskol!$E$303)</f>
        <v/>
      </c>
      <c r="X300">
        <f>IF([2]Baskol!$G$303="","",[2]Baskol!$G$303)</f>
        <v/>
      </c>
      <c r="Y300">
        <f>IF([2]Baskol!$I$303="","",[2]Baskol!$I$303)</f>
        <v/>
      </c>
      <c r="Z300">
        <f>IF([2]Baskol!$J$303="","",[2]Baskol!$J$303)</f>
        <v/>
      </c>
      <c r="AA300">
        <f>IF([2]Baskol!$K$303="","",[2]Baskol!$K$303)</f>
        <v/>
      </c>
      <c r="AB300">
        <f>IF([2]Baskol!$L$303="","",[2]Baskol!$L$303)</f>
        <v/>
      </c>
      <c r="AC300">
        <f>IF([2]Baskol!$N$303="","",[2]Baskol!$N$303)</f>
        <v/>
      </c>
      <c r="AD300">
        <f>IF([2]Baskol!$O$303="","",[2]Baskol!$O$303)</f>
        <v/>
      </c>
      <c r="AE300">
        <f>IF([3]Entry!$C$303="","",[3]Entry!$C$303)</f>
        <v/>
      </c>
      <c r="AF300">
        <f>IF([3]Entry!$D$303="","",[3]Entry!$D$303)</f>
        <v/>
      </c>
      <c r="AG300">
        <f>IF([3]Entry!$E$303="","",[3]Entry!$E$303)</f>
        <v/>
      </c>
      <c r="AH300">
        <f>IF([3]Entry!$G$303="","",[3]Entry!$G$303)</f>
        <v/>
      </c>
      <c r="AI300">
        <f>IF([3]Entry!$K$303="","",[3]Entry!$K$303)</f>
        <v/>
      </c>
      <c r="AJ300">
        <f>IF([3]Entry!$L$303="","",[3]Entry!$L$303)</f>
        <v/>
      </c>
      <c r="AK300">
        <f>IF([3]Entry!$M$303="","",[3]Entry!$M$303)</f>
        <v/>
      </c>
      <c r="AL300">
        <f>IF([3]Entry!$N$303="","",[3]Entry!$N$303)</f>
        <v/>
      </c>
      <c r="AM300">
        <f>IF([3]Entry!$R$303="","",[3]Entry!$R$303)</f>
        <v/>
      </c>
    </row>
    <row r="301">
      <c r="A301">
        <f>IF([1]Accounts!$D$302="","",[1]Accounts!$A$302)</f>
        <v/>
      </c>
      <c r="B301">
        <f>IF([1]Accounts!$D$302="","",[1]Accounts!$B$302)</f>
        <v/>
      </c>
      <c r="C301">
        <f>IF([1]Accounts!$D$302="","",[1]Accounts!$C$302)</f>
        <v/>
      </c>
      <c r="D301">
        <f>IF([1]Accounts!$D$302="","",[1]Accounts!$D$302)</f>
        <v/>
      </c>
      <c r="E301">
        <f>IF([1]Accounts!$D$302="","",[1]Accounts!$E$302)</f>
        <v/>
      </c>
      <c r="F301">
        <f>IF([1]Accounts!$D$302="","",[1]Accounts!$F$302)</f>
        <v/>
      </c>
      <c r="G301">
        <f>IF([1]Accounts!$D$302="","",[1]Accounts!$G$302)</f>
        <v/>
      </c>
      <c r="T301">
        <f>IF([2]Baskol!$B$304="","",[2]Baskol!$B$304)</f>
        <v/>
      </c>
      <c r="U301">
        <f>IF([2]Baskol!$C$304="","",[2]Baskol!$C$304)</f>
        <v/>
      </c>
      <c r="V301">
        <f>IF([2]Baskol!$D$304="","",[2]Baskol!$D$304)</f>
        <v/>
      </c>
      <c r="W301">
        <f>IF([2]Baskol!$E$304="","",[2]Baskol!$E$304)</f>
        <v/>
      </c>
      <c r="X301">
        <f>IF([2]Baskol!$G$304="","",[2]Baskol!$G$304)</f>
        <v/>
      </c>
      <c r="Y301">
        <f>IF([2]Baskol!$I$304="","",[2]Baskol!$I$304)</f>
        <v/>
      </c>
      <c r="Z301">
        <f>IF([2]Baskol!$J$304="","",[2]Baskol!$J$304)</f>
        <v/>
      </c>
      <c r="AA301">
        <f>IF([2]Baskol!$K$304="","",[2]Baskol!$K$304)</f>
        <v/>
      </c>
      <c r="AB301">
        <f>IF([2]Baskol!$L$304="","",[2]Baskol!$L$304)</f>
        <v/>
      </c>
      <c r="AC301">
        <f>IF([2]Baskol!$N$304="","",[2]Baskol!$N$304)</f>
        <v/>
      </c>
      <c r="AD301">
        <f>IF([2]Baskol!$O$304="","",[2]Baskol!$O$304)</f>
        <v/>
      </c>
      <c r="AE301">
        <f>IF([3]Entry!$C$304="","",[3]Entry!$C$304)</f>
        <v/>
      </c>
      <c r="AF301">
        <f>IF([3]Entry!$D$304="","",[3]Entry!$D$304)</f>
        <v/>
      </c>
      <c r="AG301">
        <f>IF([3]Entry!$E$304="","",[3]Entry!$E$304)</f>
        <v/>
      </c>
      <c r="AH301">
        <f>IF([3]Entry!$G$304="","",[3]Entry!$G$304)</f>
        <v/>
      </c>
      <c r="AI301">
        <f>IF([3]Entry!$K$304="","",[3]Entry!$K$304)</f>
        <v/>
      </c>
      <c r="AJ301">
        <f>IF([3]Entry!$L$304="","",[3]Entry!$L$304)</f>
        <v/>
      </c>
      <c r="AK301">
        <f>IF([3]Entry!$M$304="","",[3]Entry!$M$304)</f>
        <v/>
      </c>
      <c r="AL301">
        <f>IF([3]Entry!$N$304="","",[3]Entry!$N$304)</f>
        <v/>
      </c>
      <c r="AM301">
        <f>IF([3]Entry!$R$304="","",[3]Entry!$R$304)</f>
        <v/>
      </c>
    </row>
    <row r="302">
      <c r="A302">
        <f>IF([1]Accounts!$D$303="","",[1]Accounts!$A$303)</f>
        <v/>
      </c>
      <c r="B302">
        <f>IF([1]Accounts!$D$303="","",[1]Accounts!$B$303)</f>
        <v/>
      </c>
      <c r="C302">
        <f>IF([1]Accounts!$D$303="","",[1]Accounts!$C$303)</f>
        <v/>
      </c>
      <c r="D302">
        <f>IF([1]Accounts!$D$303="","",[1]Accounts!$D$303)</f>
        <v/>
      </c>
      <c r="E302">
        <f>IF([1]Accounts!$D$303="","",[1]Accounts!$E$303)</f>
        <v/>
      </c>
      <c r="F302">
        <f>IF([1]Accounts!$D$303="","",[1]Accounts!$F$303)</f>
        <v/>
      </c>
      <c r="G302">
        <f>IF([1]Accounts!$D$303="","",[1]Accounts!$G$303)</f>
        <v/>
      </c>
      <c r="T302">
        <f>IF([2]Baskol!$B$305="","",[2]Baskol!$B$305)</f>
        <v/>
      </c>
      <c r="U302">
        <f>IF([2]Baskol!$C$305="","",[2]Baskol!$C$305)</f>
        <v/>
      </c>
      <c r="V302">
        <f>IF([2]Baskol!$D$305="","",[2]Baskol!$D$305)</f>
        <v/>
      </c>
      <c r="W302">
        <f>IF([2]Baskol!$E$305="","",[2]Baskol!$E$305)</f>
        <v/>
      </c>
      <c r="X302">
        <f>IF([2]Baskol!$G$305="","",[2]Baskol!$G$305)</f>
        <v/>
      </c>
      <c r="Y302">
        <f>IF([2]Baskol!$I$305="","",[2]Baskol!$I$305)</f>
        <v/>
      </c>
      <c r="Z302">
        <f>IF([2]Baskol!$J$305="","",[2]Baskol!$J$305)</f>
        <v/>
      </c>
      <c r="AA302">
        <f>IF([2]Baskol!$K$305="","",[2]Baskol!$K$305)</f>
        <v/>
      </c>
      <c r="AB302">
        <f>IF([2]Baskol!$L$305="","",[2]Baskol!$L$305)</f>
        <v/>
      </c>
      <c r="AC302">
        <f>IF([2]Baskol!$N$305="","",[2]Baskol!$N$305)</f>
        <v/>
      </c>
      <c r="AD302">
        <f>IF([2]Baskol!$O$305="","",[2]Baskol!$O$305)</f>
        <v/>
      </c>
      <c r="AE302">
        <f>IF([3]Entry!$C$305="","",[3]Entry!$C$305)</f>
        <v/>
      </c>
      <c r="AF302">
        <f>IF([3]Entry!$D$305="","",[3]Entry!$D$305)</f>
        <v/>
      </c>
      <c r="AG302">
        <f>IF([3]Entry!$E$305="","",[3]Entry!$E$305)</f>
        <v/>
      </c>
      <c r="AH302">
        <f>IF([3]Entry!$G$305="","",[3]Entry!$G$305)</f>
        <v/>
      </c>
      <c r="AI302">
        <f>IF([3]Entry!$K$305="","",[3]Entry!$K$305)</f>
        <v/>
      </c>
      <c r="AJ302">
        <f>IF([3]Entry!$L$305="","",[3]Entry!$L$305)</f>
        <v/>
      </c>
      <c r="AK302">
        <f>IF([3]Entry!$M$305="","",[3]Entry!$M$305)</f>
        <v/>
      </c>
      <c r="AL302">
        <f>IF([3]Entry!$N$305="","",[3]Entry!$N$305)</f>
        <v/>
      </c>
      <c r="AM302">
        <f>IF([3]Entry!$R$305="","",[3]Entry!$R$305)</f>
        <v/>
      </c>
    </row>
    <row r="303">
      <c r="A303">
        <f>IF([1]Accounts!$D$304="","",[1]Accounts!$A$304)</f>
        <v/>
      </c>
      <c r="B303">
        <f>IF([1]Accounts!$D$304="","",[1]Accounts!$B$304)</f>
        <v/>
      </c>
      <c r="C303">
        <f>IF([1]Accounts!$D$304="","",[1]Accounts!$C$304)</f>
        <v/>
      </c>
      <c r="D303">
        <f>IF([1]Accounts!$D$304="","",[1]Accounts!$D$304)</f>
        <v/>
      </c>
      <c r="E303">
        <f>IF([1]Accounts!$D$304="","",[1]Accounts!$E$304)</f>
        <v/>
      </c>
      <c r="F303">
        <f>IF([1]Accounts!$D$304="","",[1]Accounts!$F$304)</f>
        <v/>
      </c>
      <c r="G303">
        <f>IF([1]Accounts!$D$304="","",[1]Accounts!$G$304)</f>
        <v/>
      </c>
      <c r="T303">
        <f>IF([2]Baskol!$B$306="","",[2]Baskol!$B$306)</f>
        <v/>
      </c>
      <c r="U303">
        <f>IF([2]Baskol!$C$306="","",[2]Baskol!$C$306)</f>
        <v/>
      </c>
      <c r="V303">
        <f>IF([2]Baskol!$D$306="","",[2]Baskol!$D$306)</f>
        <v/>
      </c>
      <c r="W303">
        <f>IF([2]Baskol!$E$306="","",[2]Baskol!$E$306)</f>
        <v/>
      </c>
      <c r="X303">
        <f>IF([2]Baskol!$G$306="","",[2]Baskol!$G$306)</f>
        <v/>
      </c>
      <c r="Y303">
        <f>IF([2]Baskol!$I$306="","",[2]Baskol!$I$306)</f>
        <v/>
      </c>
      <c r="Z303">
        <f>IF([2]Baskol!$J$306="","",[2]Baskol!$J$306)</f>
        <v/>
      </c>
      <c r="AA303">
        <f>IF([2]Baskol!$K$306="","",[2]Baskol!$K$306)</f>
        <v/>
      </c>
      <c r="AB303">
        <f>IF([2]Baskol!$L$306="","",[2]Baskol!$L$306)</f>
        <v/>
      </c>
      <c r="AC303">
        <f>IF([2]Baskol!$N$306="","",[2]Baskol!$N$306)</f>
        <v/>
      </c>
      <c r="AD303">
        <f>IF([2]Baskol!$O$306="","",[2]Baskol!$O$306)</f>
        <v/>
      </c>
      <c r="AE303">
        <f>IF([3]Entry!$C$306="","",[3]Entry!$C$306)</f>
        <v/>
      </c>
      <c r="AF303">
        <f>IF([3]Entry!$D$306="","",[3]Entry!$D$306)</f>
        <v/>
      </c>
      <c r="AG303">
        <f>IF([3]Entry!$E$306="","",[3]Entry!$E$306)</f>
        <v/>
      </c>
      <c r="AH303">
        <f>IF([3]Entry!$G$306="","",[3]Entry!$G$306)</f>
        <v/>
      </c>
      <c r="AI303">
        <f>IF([3]Entry!$K$306="","",[3]Entry!$K$306)</f>
        <v/>
      </c>
      <c r="AJ303">
        <f>IF([3]Entry!$L$306="","",[3]Entry!$L$306)</f>
        <v/>
      </c>
      <c r="AK303">
        <f>IF([3]Entry!$M$306="","",[3]Entry!$M$306)</f>
        <v/>
      </c>
      <c r="AL303">
        <f>IF([3]Entry!$N$306="","",[3]Entry!$N$306)</f>
        <v/>
      </c>
      <c r="AM303">
        <f>IF([3]Entry!$R$306="","",[3]Entry!$R$306)</f>
        <v/>
      </c>
    </row>
    <row r="304">
      <c r="A304">
        <f>IF([1]Accounts!$D$305="","",[1]Accounts!$A$305)</f>
        <v/>
      </c>
      <c r="B304">
        <f>IF([1]Accounts!$D$305="","",[1]Accounts!$B$305)</f>
        <v/>
      </c>
      <c r="C304">
        <f>IF([1]Accounts!$D$305="","",[1]Accounts!$C$305)</f>
        <v/>
      </c>
      <c r="D304">
        <f>IF([1]Accounts!$D$305="","",[1]Accounts!$D$305)</f>
        <v/>
      </c>
      <c r="E304">
        <f>IF([1]Accounts!$D$305="","",[1]Accounts!$E$305)</f>
        <v/>
      </c>
      <c r="F304">
        <f>IF([1]Accounts!$D$305="","",[1]Accounts!$F$305)</f>
        <v/>
      </c>
      <c r="G304">
        <f>IF([1]Accounts!$D$305="","",[1]Accounts!$G$305)</f>
        <v/>
      </c>
      <c r="T304">
        <f>IF([2]Baskol!$B$307="","",[2]Baskol!$B$307)</f>
        <v/>
      </c>
      <c r="U304">
        <f>IF([2]Baskol!$C$307="","",[2]Baskol!$C$307)</f>
        <v/>
      </c>
      <c r="V304">
        <f>IF([2]Baskol!$D$307="","",[2]Baskol!$D$307)</f>
        <v/>
      </c>
      <c r="W304">
        <f>IF([2]Baskol!$E$307="","",[2]Baskol!$E$307)</f>
        <v/>
      </c>
      <c r="X304">
        <f>IF([2]Baskol!$G$307="","",[2]Baskol!$G$307)</f>
        <v/>
      </c>
      <c r="Y304">
        <f>IF([2]Baskol!$I$307="","",[2]Baskol!$I$307)</f>
        <v/>
      </c>
      <c r="Z304">
        <f>IF([2]Baskol!$J$307="","",[2]Baskol!$J$307)</f>
        <v/>
      </c>
      <c r="AA304">
        <f>IF([2]Baskol!$K$307="","",[2]Baskol!$K$307)</f>
        <v/>
      </c>
      <c r="AB304">
        <f>IF([2]Baskol!$L$307="","",[2]Baskol!$L$307)</f>
        <v/>
      </c>
      <c r="AC304">
        <f>IF([2]Baskol!$N$307="","",[2]Baskol!$N$307)</f>
        <v/>
      </c>
      <c r="AD304">
        <f>IF([2]Baskol!$O$307="","",[2]Baskol!$O$307)</f>
        <v/>
      </c>
      <c r="AE304">
        <f>IF([3]Entry!$C$307="","",[3]Entry!$C$307)</f>
        <v/>
      </c>
      <c r="AF304">
        <f>IF([3]Entry!$D$307="","",[3]Entry!$D$307)</f>
        <v/>
      </c>
      <c r="AG304">
        <f>IF([3]Entry!$E$307="","",[3]Entry!$E$307)</f>
        <v/>
      </c>
      <c r="AH304">
        <f>IF([3]Entry!$G$307="","",[3]Entry!$G$307)</f>
        <v/>
      </c>
      <c r="AI304">
        <f>IF([3]Entry!$K$307="","",[3]Entry!$K$307)</f>
        <v/>
      </c>
      <c r="AJ304">
        <f>IF([3]Entry!$L$307="","",[3]Entry!$L$307)</f>
        <v/>
      </c>
      <c r="AK304">
        <f>IF([3]Entry!$M$307="","",[3]Entry!$M$307)</f>
        <v/>
      </c>
      <c r="AL304">
        <f>IF([3]Entry!$N$307="","",[3]Entry!$N$307)</f>
        <v/>
      </c>
      <c r="AM304">
        <f>IF([3]Entry!$R$307="","",[3]Entry!$R$307)</f>
        <v/>
      </c>
    </row>
    <row r="305">
      <c r="A305">
        <f>IF([1]Accounts!$D$306="","",[1]Accounts!$A$306)</f>
        <v/>
      </c>
      <c r="B305">
        <f>IF([1]Accounts!$D$306="","",[1]Accounts!$B$306)</f>
        <v/>
      </c>
      <c r="C305">
        <f>IF([1]Accounts!$D$306="","",[1]Accounts!$C$306)</f>
        <v/>
      </c>
      <c r="D305">
        <f>IF([1]Accounts!$D$306="","",[1]Accounts!$D$306)</f>
        <v/>
      </c>
      <c r="E305">
        <f>IF([1]Accounts!$D$306="","",[1]Accounts!$E$306)</f>
        <v/>
      </c>
      <c r="F305">
        <f>IF([1]Accounts!$D$306="","",[1]Accounts!$F$306)</f>
        <v/>
      </c>
      <c r="G305">
        <f>IF([1]Accounts!$D$306="","",[1]Accounts!$G$306)</f>
        <v/>
      </c>
      <c r="T305">
        <f>IF([2]Baskol!$B$308="","",[2]Baskol!$B$308)</f>
        <v/>
      </c>
      <c r="U305">
        <f>IF([2]Baskol!$C$308="","",[2]Baskol!$C$308)</f>
        <v/>
      </c>
      <c r="V305">
        <f>IF([2]Baskol!$D$308="","",[2]Baskol!$D$308)</f>
        <v/>
      </c>
      <c r="W305">
        <f>IF([2]Baskol!$E$308="","",[2]Baskol!$E$308)</f>
        <v/>
      </c>
      <c r="X305">
        <f>IF([2]Baskol!$G$308="","",[2]Baskol!$G$308)</f>
        <v/>
      </c>
      <c r="Y305">
        <f>IF([2]Baskol!$I$308="","",[2]Baskol!$I$308)</f>
        <v/>
      </c>
      <c r="Z305">
        <f>IF([2]Baskol!$J$308="","",[2]Baskol!$J$308)</f>
        <v/>
      </c>
      <c r="AA305">
        <f>IF([2]Baskol!$K$308="","",[2]Baskol!$K$308)</f>
        <v/>
      </c>
      <c r="AB305">
        <f>IF([2]Baskol!$L$308="","",[2]Baskol!$L$308)</f>
        <v/>
      </c>
      <c r="AC305">
        <f>IF([2]Baskol!$N$308="","",[2]Baskol!$N$308)</f>
        <v/>
      </c>
      <c r="AD305">
        <f>IF([2]Baskol!$O$308="","",[2]Baskol!$O$308)</f>
        <v/>
      </c>
      <c r="AE305">
        <f>IF([3]Entry!$C$308="","",[3]Entry!$C$308)</f>
        <v/>
      </c>
      <c r="AF305">
        <f>IF([3]Entry!$D$308="","",[3]Entry!$D$308)</f>
        <v/>
      </c>
      <c r="AG305">
        <f>IF([3]Entry!$E$308="","",[3]Entry!$E$308)</f>
        <v/>
      </c>
      <c r="AH305">
        <f>IF([3]Entry!$G$308="","",[3]Entry!$G$308)</f>
        <v/>
      </c>
      <c r="AI305">
        <f>IF([3]Entry!$K$308="","",[3]Entry!$K$308)</f>
        <v/>
      </c>
      <c r="AJ305">
        <f>IF([3]Entry!$L$308="","",[3]Entry!$L$308)</f>
        <v/>
      </c>
      <c r="AK305">
        <f>IF([3]Entry!$M$308="","",[3]Entry!$M$308)</f>
        <v/>
      </c>
      <c r="AL305">
        <f>IF([3]Entry!$N$308="","",[3]Entry!$N$308)</f>
        <v/>
      </c>
      <c r="AM305">
        <f>IF([3]Entry!$R$308="","",[3]Entry!$R$308)</f>
        <v/>
      </c>
    </row>
    <row r="306">
      <c r="A306">
        <f>IF([1]Accounts!$D$307="","",[1]Accounts!$A$307)</f>
        <v/>
      </c>
      <c r="B306">
        <f>IF([1]Accounts!$D$307="","",[1]Accounts!$B$307)</f>
        <v/>
      </c>
      <c r="C306">
        <f>IF([1]Accounts!$D$307="","",[1]Accounts!$C$307)</f>
        <v/>
      </c>
      <c r="D306">
        <f>IF([1]Accounts!$D$307="","",[1]Accounts!$D$307)</f>
        <v/>
      </c>
      <c r="E306">
        <f>IF([1]Accounts!$D$307="","",[1]Accounts!$E$307)</f>
        <v/>
      </c>
      <c r="F306">
        <f>IF([1]Accounts!$D$307="","",[1]Accounts!$F$307)</f>
        <v/>
      </c>
      <c r="G306">
        <f>IF([1]Accounts!$D$307="","",[1]Accounts!$G$307)</f>
        <v/>
      </c>
      <c r="T306">
        <f>IF([2]Baskol!$B$309="","",[2]Baskol!$B$309)</f>
        <v/>
      </c>
      <c r="U306">
        <f>IF([2]Baskol!$C$309="","",[2]Baskol!$C$309)</f>
        <v/>
      </c>
      <c r="V306">
        <f>IF([2]Baskol!$D$309="","",[2]Baskol!$D$309)</f>
        <v/>
      </c>
      <c r="W306">
        <f>IF([2]Baskol!$E$309="","",[2]Baskol!$E$309)</f>
        <v/>
      </c>
      <c r="X306">
        <f>IF([2]Baskol!$G$309="","",[2]Baskol!$G$309)</f>
        <v/>
      </c>
      <c r="Y306">
        <f>IF([2]Baskol!$I$309="","",[2]Baskol!$I$309)</f>
        <v/>
      </c>
      <c r="Z306">
        <f>IF([2]Baskol!$J$309="","",[2]Baskol!$J$309)</f>
        <v/>
      </c>
      <c r="AA306">
        <f>IF([2]Baskol!$K$309="","",[2]Baskol!$K$309)</f>
        <v/>
      </c>
      <c r="AB306">
        <f>IF([2]Baskol!$L$309="","",[2]Baskol!$L$309)</f>
        <v/>
      </c>
      <c r="AC306">
        <f>IF([2]Baskol!$N$309="","",[2]Baskol!$N$309)</f>
        <v/>
      </c>
      <c r="AD306">
        <f>IF([2]Baskol!$O$309="","",[2]Baskol!$O$309)</f>
        <v/>
      </c>
      <c r="AE306">
        <f>IF([3]Entry!$C$309="","",[3]Entry!$C$309)</f>
        <v/>
      </c>
      <c r="AF306">
        <f>IF([3]Entry!$D$309="","",[3]Entry!$D$309)</f>
        <v/>
      </c>
      <c r="AG306">
        <f>IF([3]Entry!$E$309="","",[3]Entry!$E$309)</f>
        <v/>
      </c>
      <c r="AH306">
        <f>IF([3]Entry!$G$309="","",[3]Entry!$G$309)</f>
        <v/>
      </c>
      <c r="AI306">
        <f>IF([3]Entry!$K$309="","",[3]Entry!$K$309)</f>
        <v/>
      </c>
      <c r="AJ306">
        <f>IF([3]Entry!$L$309="","",[3]Entry!$L$309)</f>
        <v/>
      </c>
      <c r="AK306">
        <f>IF([3]Entry!$M$309="","",[3]Entry!$M$309)</f>
        <v/>
      </c>
      <c r="AL306">
        <f>IF([3]Entry!$N$309="","",[3]Entry!$N$309)</f>
        <v/>
      </c>
      <c r="AM306">
        <f>IF([3]Entry!$R$309="","",[3]Entry!$R$309)</f>
        <v/>
      </c>
    </row>
    <row r="307">
      <c r="A307">
        <f>IF([1]Accounts!$D$308="","",[1]Accounts!$A$308)</f>
        <v/>
      </c>
      <c r="B307">
        <f>IF([1]Accounts!$D$308="","",[1]Accounts!$B$308)</f>
        <v/>
      </c>
      <c r="C307">
        <f>IF([1]Accounts!$D$308="","",[1]Accounts!$C$308)</f>
        <v/>
      </c>
      <c r="D307">
        <f>IF([1]Accounts!$D$308="","",[1]Accounts!$D$308)</f>
        <v/>
      </c>
      <c r="E307">
        <f>IF([1]Accounts!$D$308="","",[1]Accounts!$E$308)</f>
        <v/>
      </c>
      <c r="F307">
        <f>IF([1]Accounts!$D$308="","",[1]Accounts!$F$308)</f>
        <v/>
      </c>
      <c r="G307">
        <f>IF([1]Accounts!$D$308="","",[1]Accounts!$G$308)</f>
        <v/>
      </c>
      <c r="T307">
        <f>IF([2]Baskol!$B$310="","",[2]Baskol!$B$310)</f>
        <v/>
      </c>
      <c r="U307">
        <f>IF([2]Baskol!$C$310="","",[2]Baskol!$C$310)</f>
        <v/>
      </c>
      <c r="V307">
        <f>IF([2]Baskol!$D$310="","",[2]Baskol!$D$310)</f>
        <v/>
      </c>
      <c r="W307">
        <f>IF([2]Baskol!$E$310="","",[2]Baskol!$E$310)</f>
        <v/>
      </c>
      <c r="X307">
        <f>IF([2]Baskol!$G$310="","",[2]Baskol!$G$310)</f>
        <v/>
      </c>
      <c r="Y307">
        <f>IF([2]Baskol!$I$310="","",[2]Baskol!$I$310)</f>
        <v/>
      </c>
      <c r="Z307">
        <f>IF([2]Baskol!$J$310="","",[2]Baskol!$J$310)</f>
        <v/>
      </c>
      <c r="AA307">
        <f>IF([2]Baskol!$K$310="","",[2]Baskol!$K$310)</f>
        <v/>
      </c>
      <c r="AB307">
        <f>IF([2]Baskol!$L$310="","",[2]Baskol!$L$310)</f>
        <v/>
      </c>
      <c r="AC307">
        <f>IF([2]Baskol!$N$310="","",[2]Baskol!$N$310)</f>
        <v/>
      </c>
      <c r="AD307">
        <f>IF([2]Baskol!$O$310="","",[2]Baskol!$O$310)</f>
        <v/>
      </c>
      <c r="AE307">
        <f>IF([3]Entry!$C$310="","",[3]Entry!$C$310)</f>
        <v/>
      </c>
      <c r="AF307">
        <f>IF([3]Entry!$D$310="","",[3]Entry!$D$310)</f>
        <v/>
      </c>
      <c r="AG307">
        <f>IF([3]Entry!$E$310="","",[3]Entry!$E$310)</f>
        <v/>
      </c>
      <c r="AH307">
        <f>IF([3]Entry!$G$310="","",[3]Entry!$G$310)</f>
        <v/>
      </c>
      <c r="AI307">
        <f>IF([3]Entry!$K$310="","",[3]Entry!$K$310)</f>
        <v/>
      </c>
      <c r="AJ307">
        <f>IF([3]Entry!$L$310="","",[3]Entry!$L$310)</f>
        <v/>
      </c>
      <c r="AK307">
        <f>IF([3]Entry!$M$310="","",[3]Entry!$M$310)</f>
        <v/>
      </c>
      <c r="AL307">
        <f>IF([3]Entry!$N$310="","",[3]Entry!$N$310)</f>
        <v/>
      </c>
      <c r="AM307">
        <f>IF([3]Entry!$R$310="","",[3]Entry!$R$310)</f>
        <v/>
      </c>
    </row>
    <row r="308">
      <c r="A308">
        <f>IF([1]Accounts!$D$309="","",[1]Accounts!$A$309)</f>
        <v/>
      </c>
      <c r="B308">
        <f>IF([1]Accounts!$D$309="","",[1]Accounts!$B$309)</f>
        <v/>
      </c>
      <c r="C308">
        <f>IF([1]Accounts!$D$309="","",[1]Accounts!$C$309)</f>
        <v/>
      </c>
      <c r="D308">
        <f>IF([1]Accounts!$D$309="","",[1]Accounts!$D$309)</f>
        <v/>
      </c>
      <c r="E308">
        <f>IF([1]Accounts!$D$309="","",[1]Accounts!$E$309)</f>
        <v/>
      </c>
      <c r="F308">
        <f>IF([1]Accounts!$D$309="","",[1]Accounts!$F$309)</f>
        <v/>
      </c>
      <c r="G308">
        <f>IF([1]Accounts!$D$309="","",[1]Accounts!$G$309)</f>
        <v/>
      </c>
      <c r="T308">
        <f>IF([2]Baskol!$B$311="","",[2]Baskol!$B$311)</f>
        <v/>
      </c>
      <c r="U308">
        <f>IF([2]Baskol!$C$311="","",[2]Baskol!$C$311)</f>
        <v/>
      </c>
      <c r="V308">
        <f>IF([2]Baskol!$D$311="","",[2]Baskol!$D$311)</f>
        <v/>
      </c>
      <c r="W308">
        <f>IF([2]Baskol!$E$311="","",[2]Baskol!$E$311)</f>
        <v/>
      </c>
      <c r="X308">
        <f>IF([2]Baskol!$G$311="","",[2]Baskol!$G$311)</f>
        <v/>
      </c>
      <c r="Y308">
        <f>IF([2]Baskol!$I$311="","",[2]Baskol!$I$311)</f>
        <v/>
      </c>
      <c r="Z308">
        <f>IF([2]Baskol!$J$311="","",[2]Baskol!$J$311)</f>
        <v/>
      </c>
      <c r="AA308">
        <f>IF([2]Baskol!$K$311="","",[2]Baskol!$K$311)</f>
        <v/>
      </c>
      <c r="AB308">
        <f>IF([2]Baskol!$L$311="","",[2]Baskol!$L$311)</f>
        <v/>
      </c>
      <c r="AC308">
        <f>IF([2]Baskol!$N$311="","",[2]Baskol!$N$311)</f>
        <v/>
      </c>
      <c r="AD308">
        <f>IF([2]Baskol!$O$311="","",[2]Baskol!$O$311)</f>
        <v/>
      </c>
      <c r="AE308">
        <f>IF([3]Entry!$C$311="","",[3]Entry!$C$311)</f>
        <v/>
      </c>
      <c r="AF308">
        <f>IF([3]Entry!$D$311="","",[3]Entry!$D$311)</f>
        <v/>
      </c>
      <c r="AG308">
        <f>IF([3]Entry!$E$311="","",[3]Entry!$E$311)</f>
        <v/>
      </c>
      <c r="AH308">
        <f>IF([3]Entry!$G$311="","",[3]Entry!$G$311)</f>
        <v/>
      </c>
      <c r="AI308">
        <f>IF([3]Entry!$K$311="","",[3]Entry!$K$311)</f>
        <v/>
      </c>
      <c r="AJ308">
        <f>IF([3]Entry!$L$311="","",[3]Entry!$L$311)</f>
        <v/>
      </c>
      <c r="AK308">
        <f>IF([3]Entry!$M$311="","",[3]Entry!$M$311)</f>
        <v/>
      </c>
      <c r="AL308">
        <f>IF([3]Entry!$N$311="","",[3]Entry!$N$311)</f>
        <v/>
      </c>
      <c r="AM308">
        <f>IF([3]Entry!$R$311="","",[3]Entry!$R$311)</f>
        <v/>
      </c>
    </row>
    <row r="309">
      <c r="A309">
        <f>IF([1]Accounts!$D$310="","",[1]Accounts!$A$310)</f>
        <v/>
      </c>
      <c r="B309">
        <f>IF([1]Accounts!$D$310="","",[1]Accounts!$B$310)</f>
        <v/>
      </c>
      <c r="C309">
        <f>IF([1]Accounts!$D$310="","",[1]Accounts!$C$310)</f>
        <v/>
      </c>
      <c r="D309">
        <f>IF([1]Accounts!$D$310="","",[1]Accounts!$D$310)</f>
        <v/>
      </c>
      <c r="E309">
        <f>IF([1]Accounts!$D$310="","",[1]Accounts!$E$310)</f>
        <v/>
      </c>
      <c r="F309">
        <f>IF([1]Accounts!$D$310="","",[1]Accounts!$F$310)</f>
        <v/>
      </c>
      <c r="G309">
        <f>IF([1]Accounts!$D$310="","",[1]Accounts!$G$310)</f>
        <v/>
      </c>
      <c r="T309">
        <f>IF([2]Baskol!$B$312="","",[2]Baskol!$B$312)</f>
        <v/>
      </c>
      <c r="U309">
        <f>IF([2]Baskol!$C$312="","",[2]Baskol!$C$312)</f>
        <v/>
      </c>
      <c r="V309">
        <f>IF([2]Baskol!$D$312="","",[2]Baskol!$D$312)</f>
        <v/>
      </c>
      <c r="W309">
        <f>IF([2]Baskol!$E$312="","",[2]Baskol!$E$312)</f>
        <v/>
      </c>
      <c r="X309">
        <f>IF([2]Baskol!$G$312="","",[2]Baskol!$G$312)</f>
        <v/>
      </c>
      <c r="Y309">
        <f>IF([2]Baskol!$I$312="","",[2]Baskol!$I$312)</f>
        <v/>
      </c>
      <c r="Z309">
        <f>IF([2]Baskol!$J$312="","",[2]Baskol!$J$312)</f>
        <v/>
      </c>
      <c r="AA309">
        <f>IF([2]Baskol!$K$312="","",[2]Baskol!$K$312)</f>
        <v/>
      </c>
      <c r="AB309">
        <f>IF([2]Baskol!$L$312="","",[2]Baskol!$L$312)</f>
        <v/>
      </c>
      <c r="AC309">
        <f>IF([2]Baskol!$N$312="","",[2]Baskol!$N$312)</f>
        <v/>
      </c>
      <c r="AD309">
        <f>IF([2]Baskol!$O$312="","",[2]Baskol!$O$312)</f>
        <v/>
      </c>
      <c r="AE309">
        <f>IF([3]Entry!$C$312="","",[3]Entry!$C$312)</f>
        <v/>
      </c>
      <c r="AF309">
        <f>IF([3]Entry!$D$312="","",[3]Entry!$D$312)</f>
        <v/>
      </c>
      <c r="AG309">
        <f>IF([3]Entry!$E$312="","",[3]Entry!$E$312)</f>
        <v/>
      </c>
      <c r="AH309">
        <f>IF([3]Entry!$G$312="","",[3]Entry!$G$312)</f>
        <v/>
      </c>
      <c r="AI309">
        <f>IF([3]Entry!$K$312="","",[3]Entry!$K$312)</f>
        <v/>
      </c>
      <c r="AJ309">
        <f>IF([3]Entry!$L$312="","",[3]Entry!$L$312)</f>
        <v/>
      </c>
      <c r="AK309">
        <f>IF([3]Entry!$M$312="","",[3]Entry!$M$312)</f>
        <v/>
      </c>
      <c r="AL309">
        <f>IF([3]Entry!$N$312="","",[3]Entry!$N$312)</f>
        <v/>
      </c>
      <c r="AM309">
        <f>IF([3]Entry!$R$312="","",[3]Entry!$R$312)</f>
        <v/>
      </c>
    </row>
    <row r="310">
      <c r="A310">
        <f>IF([1]Accounts!$D$311="","",[1]Accounts!$A$311)</f>
        <v/>
      </c>
      <c r="B310">
        <f>IF([1]Accounts!$D$311="","",[1]Accounts!$B$311)</f>
        <v/>
      </c>
      <c r="C310">
        <f>IF([1]Accounts!$D$311="","",[1]Accounts!$C$311)</f>
        <v/>
      </c>
      <c r="D310">
        <f>IF([1]Accounts!$D$311="","",[1]Accounts!$D$311)</f>
        <v/>
      </c>
      <c r="E310">
        <f>IF([1]Accounts!$D$311="","",[1]Accounts!$E$311)</f>
        <v/>
      </c>
      <c r="F310">
        <f>IF([1]Accounts!$D$311="","",[1]Accounts!$F$311)</f>
        <v/>
      </c>
      <c r="G310">
        <f>IF([1]Accounts!$D$311="","",[1]Accounts!$G$311)</f>
        <v/>
      </c>
      <c r="T310">
        <f>IF([2]Baskol!$B$313="","",[2]Baskol!$B$313)</f>
        <v/>
      </c>
      <c r="U310">
        <f>IF([2]Baskol!$C$313="","",[2]Baskol!$C$313)</f>
        <v/>
      </c>
      <c r="V310">
        <f>IF([2]Baskol!$D$313="","",[2]Baskol!$D$313)</f>
        <v/>
      </c>
      <c r="W310">
        <f>IF([2]Baskol!$E$313="","",[2]Baskol!$E$313)</f>
        <v/>
      </c>
      <c r="X310">
        <f>IF([2]Baskol!$G$313="","",[2]Baskol!$G$313)</f>
        <v/>
      </c>
      <c r="Y310">
        <f>IF([2]Baskol!$I$313="","",[2]Baskol!$I$313)</f>
        <v/>
      </c>
      <c r="Z310">
        <f>IF([2]Baskol!$J$313="","",[2]Baskol!$J$313)</f>
        <v/>
      </c>
      <c r="AA310">
        <f>IF([2]Baskol!$K$313="","",[2]Baskol!$K$313)</f>
        <v/>
      </c>
      <c r="AB310">
        <f>IF([2]Baskol!$L$313="","",[2]Baskol!$L$313)</f>
        <v/>
      </c>
      <c r="AC310">
        <f>IF([2]Baskol!$N$313="","",[2]Baskol!$N$313)</f>
        <v/>
      </c>
      <c r="AD310">
        <f>IF([2]Baskol!$O$313="","",[2]Baskol!$O$313)</f>
        <v/>
      </c>
      <c r="AE310">
        <f>IF([3]Entry!$C$313="","",[3]Entry!$C$313)</f>
        <v/>
      </c>
      <c r="AF310">
        <f>IF([3]Entry!$D$313="","",[3]Entry!$D$313)</f>
        <v/>
      </c>
      <c r="AG310">
        <f>IF([3]Entry!$E$313="","",[3]Entry!$E$313)</f>
        <v/>
      </c>
      <c r="AH310">
        <f>IF([3]Entry!$G$313="","",[3]Entry!$G$313)</f>
        <v/>
      </c>
      <c r="AI310">
        <f>IF([3]Entry!$K$313="","",[3]Entry!$K$313)</f>
        <v/>
      </c>
      <c r="AJ310">
        <f>IF([3]Entry!$L$313="","",[3]Entry!$L$313)</f>
        <v/>
      </c>
      <c r="AK310">
        <f>IF([3]Entry!$M$313="","",[3]Entry!$M$313)</f>
        <v/>
      </c>
      <c r="AL310">
        <f>IF([3]Entry!$N$313="","",[3]Entry!$N$313)</f>
        <v/>
      </c>
      <c r="AM310">
        <f>IF([3]Entry!$R$313="","",[3]Entry!$R$313)</f>
        <v/>
      </c>
    </row>
    <row r="311">
      <c r="A311">
        <f>IF([1]Accounts!$D$312="","",[1]Accounts!$A$312)</f>
        <v/>
      </c>
      <c r="B311">
        <f>IF([1]Accounts!$D$312="","",[1]Accounts!$B$312)</f>
        <v/>
      </c>
      <c r="C311">
        <f>IF([1]Accounts!$D$312="","",[1]Accounts!$C$312)</f>
        <v/>
      </c>
      <c r="D311">
        <f>IF([1]Accounts!$D$312="","",[1]Accounts!$D$312)</f>
        <v/>
      </c>
      <c r="E311">
        <f>IF([1]Accounts!$D$312="","",[1]Accounts!$E$312)</f>
        <v/>
      </c>
      <c r="F311">
        <f>IF([1]Accounts!$D$312="","",[1]Accounts!$F$312)</f>
        <v/>
      </c>
      <c r="G311">
        <f>IF([1]Accounts!$D$312="","",[1]Accounts!$G$312)</f>
        <v/>
      </c>
      <c r="T311">
        <f>IF([2]Baskol!$B$314="","",[2]Baskol!$B$314)</f>
        <v/>
      </c>
      <c r="U311">
        <f>IF([2]Baskol!$C$314="","",[2]Baskol!$C$314)</f>
        <v/>
      </c>
      <c r="V311">
        <f>IF([2]Baskol!$D$314="","",[2]Baskol!$D$314)</f>
        <v/>
      </c>
      <c r="W311">
        <f>IF([2]Baskol!$E$314="","",[2]Baskol!$E$314)</f>
        <v/>
      </c>
      <c r="X311">
        <f>IF([2]Baskol!$G$314="","",[2]Baskol!$G$314)</f>
        <v/>
      </c>
      <c r="Y311">
        <f>IF([2]Baskol!$I$314="","",[2]Baskol!$I$314)</f>
        <v/>
      </c>
      <c r="Z311">
        <f>IF([2]Baskol!$J$314="","",[2]Baskol!$J$314)</f>
        <v/>
      </c>
      <c r="AA311">
        <f>IF([2]Baskol!$K$314="","",[2]Baskol!$K$314)</f>
        <v/>
      </c>
      <c r="AB311">
        <f>IF([2]Baskol!$L$314="","",[2]Baskol!$L$314)</f>
        <v/>
      </c>
      <c r="AC311">
        <f>IF([2]Baskol!$N$314="","",[2]Baskol!$N$314)</f>
        <v/>
      </c>
      <c r="AD311">
        <f>IF([2]Baskol!$O$314="","",[2]Baskol!$O$314)</f>
        <v/>
      </c>
      <c r="AE311">
        <f>IF([3]Entry!$C$314="","",[3]Entry!$C$314)</f>
        <v/>
      </c>
      <c r="AF311">
        <f>IF([3]Entry!$D$314="","",[3]Entry!$D$314)</f>
        <v/>
      </c>
      <c r="AG311">
        <f>IF([3]Entry!$E$314="","",[3]Entry!$E$314)</f>
        <v/>
      </c>
      <c r="AH311">
        <f>IF([3]Entry!$G$314="","",[3]Entry!$G$314)</f>
        <v/>
      </c>
      <c r="AI311">
        <f>IF([3]Entry!$K$314="","",[3]Entry!$K$314)</f>
        <v/>
      </c>
      <c r="AJ311">
        <f>IF([3]Entry!$L$314="","",[3]Entry!$L$314)</f>
        <v/>
      </c>
      <c r="AK311">
        <f>IF([3]Entry!$M$314="","",[3]Entry!$M$314)</f>
        <v/>
      </c>
      <c r="AL311">
        <f>IF([3]Entry!$N$314="","",[3]Entry!$N$314)</f>
        <v/>
      </c>
      <c r="AM311">
        <f>IF([3]Entry!$R$314="","",[3]Entry!$R$314)</f>
        <v/>
      </c>
    </row>
    <row r="312">
      <c r="A312">
        <f>IF([1]Accounts!$D$313="","",[1]Accounts!$A$313)</f>
        <v/>
      </c>
      <c r="B312">
        <f>IF([1]Accounts!$D$313="","",[1]Accounts!$B$313)</f>
        <v/>
      </c>
      <c r="C312">
        <f>IF([1]Accounts!$D$313="","",[1]Accounts!$C$313)</f>
        <v/>
      </c>
      <c r="D312">
        <f>IF([1]Accounts!$D$313="","",[1]Accounts!$D$313)</f>
        <v/>
      </c>
      <c r="E312">
        <f>IF([1]Accounts!$D$313="","",[1]Accounts!$E$313)</f>
        <v/>
      </c>
      <c r="F312">
        <f>IF([1]Accounts!$D$313="","",[1]Accounts!$F$313)</f>
        <v/>
      </c>
      <c r="G312">
        <f>IF([1]Accounts!$D$313="","",[1]Accounts!$G$313)</f>
        <v/>
      </c>
      <c r="T312">
        <f>IF([2]Baskol!$B$315="","",[2]Baskol!$B$315)</f>
        <v/>
      </c>
      <c r="U312">
        <f>IF([2]Baskol!$C$315="","",[2]Baskol!$C$315)</f>
        <v/>
      </c>
      <c r="V312">
        <f>IF([2]Baskol!$D$315="","",[2]Baskol!$D$315)</f>
        <v/>
      </c>
      <c r="W312">
        <f>IF([2]Baskol!$E$315="","",[2]Baskol!$E$315)</f>
        <v/>
      </c>
      <c r="X312">
        <f>IF([2]Baskol!$G$315="","",[2]Baskol!$G$315)</f>
        <v/>
      </c>
      <c r="Y312">
        <f>IF([2]Baskol!$I$315="","",[2]Baskol!$I$315)</f>
        <v/>
      </c>
      <c r="Z312">
        <f>IF([2]Baskol!$J$315="","",[2]Baskol!$J$315)</f>
        <v/>
      </c>
      <c r="AA312">
        <f>IF([2]Baskol!$K$315="","",[2]Baskol!$K$315)</f>
        <v/>
      </c>
      <c r="AB312">
        <f>IF([2]Baskol!$L$315="","",[2]Baskol!$L$315)</f>
        <v/>
      </c>
      <c r="AC312">
        <f>IF([2]Baskol!$N$315="","",[2]Baskol!$N$315)</f>
        <v/>
      </c>
      <c r="AD312">
        <f>IF([2]Baskol!$O$315="","",[2]Baskol!$O$315)</f>
        <v/>
      </c>
      <c r="AE312">
        <f>IF([3]Entry!$C$315="","",[3]Entry!$C$315)</f>
        <v/>
      </c>
      <c r="AF312">
        <f>IF([3]Entry!$D$315="","",[3]Entry!$D$315)</f>
        <v/>
      </c>
      <c r="AG312">
        <f>IF([3]Entry!$E$315="","",[3]Entry!$E$315)</f>
        <v/>
      </c>
      <c r="AH312">
        <f>IF([3]Entry!$G$315="","",[3]Entry!$G$315)</f>
        <v/>
      </c>
      <c r="AI312">
        <f>IF([3]Entry!$K$315="","",[3]Entry!$K$315)</f>
        <v/>
      </c>
      <c r="AJ312">
        <f>IF([3]Entry!$L$315="","",[3]Entry!$L$315)</f>
        <v/>
      </c>
      <c r="AK312">
        <f>IF([3]Entry!$M$315="","",[3]Entry!$M$315)</f>
        <v/>
      </c>
      <c r="AL312">
        <f>IF([3]Entry!$N$315="","",[3]Entry!$N$315)</f>
        <v/>
      </c>
      <c r="AM312">
        <f>IF([3]Entry!$R$315="","",[3]Entry!$R$315)</f>
        <v/>
      </c>
    </row>
    <row r="313">
      <c r="A313">
        <f>IF([1]Accounts!$D$314="","",[1]Accounts!$A$314)</f>
        <v/>
      </c>
      <c r="B313">
        <f>IF([1]Accounts!$D$314="","",[1]Accounts!$B$314)</f>
        <v/>
      </c>
      <c r="C313">
        <f>IF([1]Accounts!$D$314="","",[1]Accounts!$C$314)</f>
        <v/>
      </c>
      <c r="D313">
        <f>IF([1]Accounts!$D$314="","",[1]Accounts!$D$314)</f>
        <v/>
      </c>
      <c r="E313">
        <f>IF([1]Accounts!$D$314="","",[1]Accounts!$E$314)</f>
        <v/>
      </c>
      <c r="F313">
        <f>IF([1]Accounts!$D$314="","",[1]Accounts!$F$314)</f>
        <v/>
      </c>
      <c r="G313">
        <f>IF([1]Accounts!$D$314="","",[1]Accounts!$G$314)</f>
        <v/>
      </c>
      <c r="T313">
        <f>IF([2]Baskol!$B$316="","",[2]Baskol!$B$316)</f>
        <v/>
      </c>
      <c r="U313">
        <f>IF([2]Baskol!$C$316="","",[2]Baskol!$C$316)</f>
        <v/>
      </c>
      <c r="V313">
        <f>IF([2]Baskol!$D$316="","",[2]Baskol!$D$316)</f>
        <v/>
      </c>
      <c r="W313">
        <f>IF([2]Baskol!$E$316="","",[2]Baskol!$E$316)</f>
        <v/>
      </c>
      <c r="X313">
        <f>IF([2]Baskol!$G$316="","",[2]Baskol!$G$316)</f>
        <v/>
      </c>
      <c r="Y313">
        <f>IF([2]Baskol!$I$316="","",[2]Baskol!$I$316)</f>
        <v/>
      </c>
      <c r="Z313">
        <f>IF([2]Baskol!$J$316="","",[2]Baskol!$J$316)</f>
        <v/>
      </c>
      <c r="AA313">
        <f>IF([2]Baskol!$K$316="","",[2]Baskol!$K$316)</f>
        <v/>
      </c>
      <c r="AB313">
        <f>IF([2]Baskol!$L$316="","",[2]Baskol!$L$316)</f>
        <v/>
      </c>
      <c r="AC313">
        <f>IF([2]Baskol!$N$316="","",[2]Baskol!$N$316)</f>
        <v/>
      </c>
      <c r="AD313">
        <f>IF([2]Baskol!$O$316="","",[2]Baskol!$O$316)</f>
        <v/>
      </c>
      <c r="AE313">
        <f>IF([3]Entry!$C$316="","",[3]Entry!$C$316)</f>
        <v/>
      </c>
      <c r="AF313">
        <f>IF([3]Entry!$D$316="","",[3]Entry!$D$316)</f>
        <v/>
      </c>
      <c r="AG313">
        <f>IF([3]Entry!$E$316="","",[3]Entry!$E$316)</f>
        <v/>
      </c>
      <c r="AH313">
        <f>IF([3]Entry!$G$316="","",[3]Entry!$G$316)</f>
        <v/>
      </c>
      <c r="AI313">
        <f>IF([3]Entry!$K$316="","",[3]Entry!$K$316)</f>
        <v/>
      </c>
      <c r="AJ313">
        <f>IF([3]Entry!$L$316="","",[3]Entry!$L$316)</f>
        <v/>
      </c>
      <c r="AK313">
        <f>IF([3]Entry!$M$316="","",[3]Entry!$M$316)</f>
        <v/>
      </c>
      <c r="AL313">
        <f>IF([3]Entry!$N$316="","",[3]Entry!$N$316)</f>
        <v/>
      </c>
      <c r="AM313">
        <f>IF([3]Entry!$R$316="","",[3]Entry!$R$316)</f>
        <v/>
      </c>
    </row>
    <row r="314">
      <c r="A314">
        <f>IF([1]Accounts!$D$315="","",[1]Accounts!$A$315)</f>
        <v/>
      </c>
      <c r="B314">
        <f>IF([1]Accounts!$D$315="","",[1]Accounts!$B$315)</f>
        <v/>
      </c>
      <c r="C314">
        <f>IF([1]Accounts!$D$315="","",[1]Accounts!$C$315)</f>
        <v/>
      </c>
      <c r="D314">
        <f>IF([1]Accounts!$D$315="","",[1]Accounts!$D$315)</f>
        <v/>
      </c>
      <c r="E314">
        <f>IF([1]Accounts!$D$315="","",[1]Accounts!$E$315)</f>
        <v/>
      </c>
      <c r="F314">
        <f>IF([1]Accounts!$D$315="","",[1]Accounts!$F$315)</f>
        <v/>
      </c>
      <c r="G314">
        <f>IF([1]Accounts!$D$315="","",[1]Accounts!$G$315)</f>
        <v/>
      </c>
      <c r="T314">
        <f>IF([2]Baskol!$B$317="","",[2]Baskol!$B$317)</f>
        <v/>
      </c>
      <c r="U314">
        <f>IF([2]Baskol!$C$317="","",[2]Baskol!$C$317)</f>
        <v/>
      </c>
      <c r="V314">
        <f>IF([2]Baskol!$D$317="","",[2]Baskol!$D$317)</f>
        <v/>
      </c>
      <c r="W314">
        <f>IF([2]Baskol!$E$317="","",[2]Baskol!$E$317)</f>
        <v/>
      </c>
      <c r="X314">
        <f>IF([2]Baskol!$G$317="","",[2]Baskol!$G$317)</f>
        <v/>
      </c>
      <c r="Y314">
        <f>IF([2]Baskol!$I$317="","",[2]Baskol!$I$317)</f>
        <v/>
      </c>
      <c r="Z314">
        <f>IF([2]Baskol!$J$317="","",[2]Baskol!$J$317)</f>
        <v/>
      </c>
      <c r="AA314">
        <f>IF([2]Baskol!$K$317="","",[2]Baskol!$K$317)</f>
        <v/>
      </c>
      <c r="AB314">
        <f>IF([2]Baskol!$L$317="","",[2]Baskol!$L$317)</f>
        <v/>
      </c>
      <c r="AC314">
        <f>IF([2]Baskol!$N$317="","",[2]Baskol!$N$317)</f>
        <v/>
      </c>
      <c r="AD314">
        <f>IF([2]Baskol!$O$317="","",[2]Baskol!$O$317)</f>
        <v/>
      </c>
      <c r="AE314">
        <f>IF([3]Entry!$C$317="","",[3]Entry!$C$317)</f>
        <v/>
      </c>
      <c r="AF314">
        <f>IF([3]Entry!$D$317="","",[3]Entry!$D$317)</f>
        <v/>
      </c>
      <c r="AG314">
        <f>IF([3]Entry!$E$317="","",[3]Entry!$E$317)</f>
        <v/>
      </c>
      <c r="AH314">
        <f>IF([3]Entry!$G$317="","",[3]Entry!$G$317)</f>
        <v/>
      </c>
      <c r="AI314">
        <f>IF([3]Entry!$K$317="","",[3]Entry!$K$317)</f>
        <v/>
      </c>
      <c r="AJ314">
        <f>IF([3]Entry!$L$317="","",[3]Entry!$L$317)</f>
        <v/>
      </c>
      <c r="AK314">
        <f>IF([3]Entry!$M$317="","",[3]Entry!$M$317)</f>
        <v/>
      </c>
      <c r="AL314">
        <f>IF([3]Entry!$N$317="","",[3]Entry!$N$317)</f>
        <v/>
      </c>
      <c r="AM314">
        <f>IF([3]Entry!$R$317="","",[3]Entry!$R$317)</f>
        <v/>
      </c>
    </row>
    <row r="315">
      <c r="A315">
        <f>IF([1]Accounts!$D$316="","",[1]Accounts!$A$316)</f>
        <v/>
      </c>
      <c r="B315">
        <f>IF([1]Accounts!$D$316="","",[1]Accounts!$B$316)</f>
        <v/>
      </c>
      <c r="C315">
        <f>IF([1]Accounts!$D$316="","",[1]Accounts!$C$316)</f>
        <v/>
      </c>
      <c r="D315">
        <f>IF([1]Accounts!$D$316="","",[1]Accounts!$D$316)</f>
        <v/>
      </c>
      <c r="E315">
        <f>IF([1]Accounts!$D$316="","",[1]Accounts!$E$316)</f>
        <v/>
      </c>
      <c r="F315">
        <f>IF([1]Accounts!$D$316="","",[1]Accounts!$F$316)</f>
        <v/>
      </c>
      <c r="G315">
        <f>IF([1]Accounts!$D$316="","",[1]Accounts!$G$316)</f>
        <v/>
      </c>
      <c r="T315">
        <f>IF([2]Baskol!$B$318="","",[2]Baskol!$B$318)</f>
        <v/>
      </c>
      <c r="U315">
        <f>IF([2]Baskol!$C$318="","",[2]Baskol!$C$318)</f>
        <v/>
      </c>
      <c r="V315">
        <f>IF([2]Baskol!$D$318="","",[2]Baskol!$D$318)</f>
        <v/>
      </c>
      <c r="W315">
        <f>IF([2]Baskol!$E$318="","",[2]Baskol!$E$318)</f>
        <v/>
      </c>
      <c r="X315">
        <f>IF([2]Baskol!$G$318="","",[2]Baskol!$G$318)</f>
        <v/>
      </c>
      <c r="Y315">
        <f>IF([2]Baskol!$I$318="","",[2]Baskol!$I$318)</f>
        <v/>
      </c>
      <c r="Z315">
        <f>IF([2]Baskol!$J$318="","",[2]Baskol!$J$318)</f>
        <v/>
      </c>
      <c r="AA315">
        <f>IF([2]Baskol!$K$318="","",[2]Baskol!$K$318)</f>
        <v/>
      </c>
      <c r="AB315">
        <f>IF([2]Baskol!$L$318="","",[2]Baskol!$L$318)</f>
        <v/>
      </c>
      <c r="AC315">
        <f>IF([2]Baskol!$N$318="","",[2]Baskol!$N$318)</f>
        <v/>
      </c>
      <c r="AD315">
        <f>IF([2]Baskol!$O$318="","",[2]Baskol!$O$318)</f>
        <v/>
      </c>
      <c r="AE315">
        <f>IF([3]Entry!$C$318="","",[3]Entry!$C$318)</f>
        <v/>
      </c>
      <c r="AF315">
        <f>IF([3]Entry!$D$318="","",[3]Entry!$D$318)</f>
        <v/>
      </c>
      <c r="AG315">
        <f>IF([3]Entry!$E$318="","",[3]Entry!$E$318)</f>
        <v/>
      </c>
      <c r="AH315">
        <f>IF([3]Entry!$G$318="","",[3]Entry!$G$318)</f>
        <v/>
      </c>
      <c r="AI315">
        <f>IF([3]Entry!$K$318="","",[3]Entry!$K$318)</f>
        <v/>
      </c>
      <c r="AJ315">
        <f>IF([3]Entry!$L$318="","",[3]Entry!$L$318)</f>
        <v/>
      </c>
      <c r="AK315">
        <f>IF([3]Entry!$M$318="","",[3]Entry!$M$318)</f>
        <v/>
      </c>
      <c r="AL315">
        <f>IF([3]Entry!$N$318="","",[3]Entry!$N$318)</f>
        <v/>
      </c>
      <c r="AM315">
        <f>IF([3]Entry!$R$318="","",[3]Entry!$R$318)</f>
        <v/>
      </c>
    </row>
    <row r="316">
      <c r="A316">
        <f>IF([1]Accounts!$D$317="","",[1]Accounts!$A$317)</f>
        <v/>
      </c>
      <c r="B316">
        <f>IF([1]Accounts!$D$317="","",[1]Accounts!$B$317)</f>
        <v/>
      </c>
      <c r="C316">
        <f>IF([1]Accounts!$D$317="","",[1]Accounts!$C$317)</f>
        <v/>
      </c>
      <c r="D316">
        <f>IF([1]Accounts!$D$317="","",[1]Accounts!$D$317)</f>
        <v/>
      </c>
      <c r="E316">
        <f>IF([1]Accounts!$D$317="","",[1]Accounts!$E$317)</f>
        <v/>
      </c>
      <c r="F316">
        <f>IF([1]Accounts!$D$317="","",[1]Accounts!$F$317)</f>
        <v/>
      </c>
      <c r="G316">
        <f>IF([1]Accounts!$D$317="","",[1]Accounts!$G$317)</f>
        <v/>
      </c>
      <c r="T316">
        <f>IF([2]Baskol!$B$319="","",[2]Baskol!$B$319)</f>
        <v/>
      </c>
      <c r="U316">
        <f>IF([2]Baskol!$C$319="","",[2]Baskol!$C$319)</f>
        <v/>
      </c>
      <c r="V316">
        <f>IF([2]Baskol!$D$319="","",[2]Baskol!$D$319)</f>
        <v/>
      </c>
      <c r="W316">
        <f>IF([2]Baskol!$E$319="","",[2]Baskol!$E$319)</f>
        <v/>
      </c>
      <c r="X316">
        <f>IF([2]Baskol!$G$319="","",[2]Baskol!$G$319)</f>
        <v/>
      </c>
      <c r="Y316">
        <f>IF([2]Baskol!$I$319="","",[2]Baskol!$I$319)</f>
        <v/>
      </c>
      <c r="Z316">
        <f>IF([2]Baskol!$J$319="","",[2]Baskol!$J$319)</f>
        <v/>
      </c>
      <c r="AA316">
        <f>IF([2]Baskol!$K$319="","",[2]Baskol!$K$319)</f>
        <v/>
      </c>
      <c r="AB316">
        <f>IF([2]Baskol!$L$319="","",[2]Baskol!$L$319)</f>
        <v/>
      </c>
      <c r="AC316">
        <f>IF([2]Baskol!$N$319="","",[2]Baskol!$N$319)</f>
        <v/>
      </c>
      <c r="AD316">
        <f>IF([2]Baskol!$O$319="","",[2]Baskol!$O$319)</f>
        <v/>
      </c>
      <c r="AE316">
        <f>IF([3]Entry!$C$319="","",[3]Entry!$C$319)</f>
        <v/>
      </c>
      <c r="AF316">
        <f>IF([3]Entry!$D$319="","",[3]Entry!$D$319)</f>
        <v/>
      </c>
      <c r="AG316">
        <f>IF([3]Entry!$E$319="","",[3]Entry!$E$319)</f>
        <v/>
      </c>
      <c r="AH316">
        <f>IF([3]Entry!$G$319="","",[3]Entry!$G$319)</f>
        <v/>
      </c>
      <c r="AI316">
        <f>IF([3]Entry!$K$319="","",[3]Entry!$K$319)</f>
        <v/>
      </c>
      <c r="AJ316">
        <f>IF([3]Entry!$L$319="","",[3]Entry!$L$319)</f>
        <v/>
      </c>
      <c r="AK316">
        <f>IF([3]Entry!$M$319="","",[3]Entry!$M$319)</f>
        <v/>
      </c>
      <c r="AL316">
        <f>IF([3]Entry!$N$319="","",[3]Entry!$N$319)</f>
        <v/>
      </c>
      <c r="AM316">
        <f>IF([3]Entry!$R$319="","",[3]Entry!$R$319)</f>
        <v/>
      </c>
    </row>
    <row r="317">
      <c r="A317">
        <f>IF([1]Accounts!$D$318="","",[1]Accounts!$A$318)</f>
        <v/>
      </c>
      <c r="B317">
        <f>IF([1]Accounts!$D$318="","",[1]Accounts!$B$318)</f>
        <v/>
      </c>
      <c r="C317">
        <f>IF([1]Accounts!$D$318="","",[1]Accounts!$C$318)</f>
        <v/>
      </c>
      <c r="D317">
        <f>IF([1]Accounts!$D$318="","",[1]Accounts!$D$318)</f>
        <v/>
      </c>
      <c r="E317">
        <f>IF([1]Accounts!$D$318="","",[1]Accounts!$E$318)</f>
        <v/>
      </c>
      <c r="F317">
        <f>IF([1]Accounts!$D$318="","",[1]Accounts!$F$318)</f>
        <v/>
      </c>
      <c r="G317">
        <f>IF([1]Accounts!$D$318="","",[1]Accounts!$G$318)</f>
        <v/>
      </c>
      <c r="T317">
        <f>IF([2]Baskol!$B$320="","",[2]Baskol!$B$320)</f>
        <v/>
      </c>
      <c r="U317">
        <f>IF([2]Baskol!$C$320="","",[2]Baskol!$C$320)</f>
        <v/>
      </c>
      <c r="V317">
        <f>IF([2]Baskol!$D$320="","",[2]Baskol!$D$320)</f>
        <v/>
      </c>
      <c r="W317">
        <f>IF([2]Baskol!$E$320="","",[2]Baskol!$E$320)</f>
        <v/>
      </c>
      <c r="X317">
        <f>IF([2]Baskol!$G$320="","",[2]Baskol!$G$320)</f>
        <v/>
      </c>
      <c r="Y317">
        <f>IF([2]Baskol!$I$320="","",[2]Baskol!$I$320)</f>
        <v/>
      </c>
      <c r="Z317">
        <f>IF([2]Baskol!$J$320="","",[2]Baskol!$J$320)</f>
        <v/>
      </c>
      <c r="AA317">
        <f>IF([2]Baskol!$K$320="","",[2]Baskol!$K$320)</f>
        <v/>
      </c>
      <c r="AB317">
        <f>IF([2]Baskol!$L$320="","",[2]Baskol!$L$320)</f>
        <v/>
      </c>
      <c r="AC317">
        <f>IF([2]Baskol!$N$320="","",[2]Baskol!$N$320)</f>
        <v/>
      </c>
      <c r="AD317">
        <f>IF([2]Baskol!$O$320="","",[2]Baskol!$O$320)</f>
        <v/>
      </c>
      <c r="AE317">
        <f>IF([3]Entry!$C$320="","",[3]Entry!$C$320)</f>
        <v/>
      </c>
      <c r="AF317">
        <f>IF([3]Entry!$D$320="","",[3]Entry!$D$320)</f>
        <v/>
      </c>
      <c r="AG317">
        <f>IF([3]Entry!$E$320="","",[3]Entry!$E$320)</f>
        <v/>
      </c>
      <c r="AH317">
        <f>IF([3]Entry!$G$320="","",[3]Entry!$G$320)</f>
        <v/>
      </c>
      <c r="AI317">
        <f>IF([3]Entry!$K$320="","",[3]Entry!$K$320)</f>
        <v/>
      </c>
      <c r="AJ317">
        <f>IF([3]Entry!$L$320="","",[3]Entry!$L$320)</f>
        <v/>
      </c>
      <c r="AK317">
        <f>IF([3]Entry!$M$320="","",[3]Entry!$M$320)</f>
        <v/>
      </c>
      <c r="AL317">
        <f>IF([3]Entry!$N$320="","",[3]Entry!$N$320)</f>
        <v/>
      </c>
      <c r="AM317">
        <f>IF([3]Entry!$R$320="","",[3]Entry!$R$320)</f>
        <v/>
      </c>
    </row>
    <row r="318">
      <c r="A318">
        <f>IF([1]Accounts!$D$319="","",[1]Accounts!$A$319)</f>
        <v/>
      </c>
      <c r="B318">
        <f>IF([1]Accounts!$D$319="","",[1]Accounts!$B$319)</f>
        <v/>
      </c>
      <c r="C318">
        <f>IF([1]Accounts!$D$319="","",[1]Accounts!$C$319)</f>
        <v/>
      </c>
      <c r="D318">
        <f>IF([1]Accounts!$D$319="","",[1]Accounts!$D$319)</f>
        <v/>
      </c>
      <c r="E318">
        <f>IF([1]Accounts!$D$319="","",[1]Accounts!$E$319)</f>
        <v/>
      </c>
      <c r="F318">
        <f>IF([1]Accounts!$D$319="","",[1]Accounts!$F$319)</f>
        <v/>
      </c>
      <c r="G318">
        <f>IF([1]Accounts!$D$319="","",[1]Accounts!$G$319)</f>
        <v/>
      </c>
      <c r="T318">
        <f>IF([2]Baskol!$B$321="","",[2]Baskol!$B$321)</f>
        <v/>
      </c>
      <c r="U318">
        <f>IF([2]Baskol!$C$321="","",[2]Baskol!$C$321)</f>
        <v/>
      </c>
      <c r="V318">
        <f>IF([2]Baskol!$D$321="","",[2]Baskol!$D$321)</f>
        <v/>
      </c>
      <c r="W318">
        <f>IF([2]Baskol!$E$321="","",[2]Baskol!$E$321)</f>
        <v/>
      </c>
      <c r="X318">
        <f>IF([2]Baskol!$G$321="","",[2]Baskol!$G$321)</f>
        <v/>
      </c>
      <c r="Y318">
        <f>IF([2]Baskol!$I$321="","",[2]Baskol!$I$321)</f>
        <v/>
      </c>
      <c r="Z318">
        <f>IF([2]Baskol!$J$321="","",[2]Baskol!$J$321)</f>
        <v/>
      </c>
      <c r="AA318">
        <f>IF([2]Baskol!$K$321="","",[2]Baskol!$K$321)</f>
        <v/>
      </c>
      <c r="AB318">
        <f>IF([2]Baskol!$L$321="","",[2]Baskol!$L$321)</f>
        <v/>
      </c>
      <c r="AC318">
        <f>IF([2]Baskol!$N$321="","",[2]Baskol!$N$321)</f>
        <v/>
      </c>
      <c r="AD318">
        <f>IF([2]Baskol!$O$321="","",[2]Baskol!$O$321)</f>
        <v/>
      </c>
      <c r="AE318">
        <f>IF([3]Entry!$C$321="","",[3]Entry!$C$321)</f>
        <v/>
      </c>
      <c r="AF318">
        <f>IF([3]Entry!$D$321="","",[3]Entry!$D$321)</f>
        <v/>
      </c>
      <c r="AG318">
        <f>IF([3]Entry!$E$321="","",[3]Entry!$E$321)</f>
        <v/>
      </c>
      <c r="AH318">
        <f>IF([3]Entry!$G$321="","",[3]Entry!$G$321)</f>
        <v/>
      </c>
      <c r="AI318">
        <f>IF([3]Entry!$K$321="","",[3]Entry!$K$321)</f>
        <v/>
      </c>
      <c r="AJ318">
        <f>IF([3]Entry!$L$321="","",[3]Entry!$L$321)</f>
        <v/>
      </c>
      <c r="AK318">
        <f>IF([3]Entry!$M$321="","",[3]Entry!$M$321)</f>
        <v/>
      </c>
      <c r="AL318">
        <f>IF([3]Entry!$N$321="","",[3]Entry!$N$321)</f>
        <v/>
      </c>
      <c r="AM318">
        <f>IF([3]Entry!$R$321="","",[3]Entry!$R$321)</f>
        <v/>
      </c>
    </row>
    <row r="319">
      <c r="A319">
        <f>IF([1]Accounts!$D$320="","",[1]Accounts!$A$320)</f>
        <v/>
      </c>
      <c r="B319">
        <f>IF([1]Accounts!$D$320="","",[1]Accounts!$B$320)</f>
        <v/>
      </c>
      <c r="C319">
        <f>IF([1]Accounts!$D$320="","",[1]Accounts!$C$320)</f>
        <v/>
      </c>
      <c r="D319">
        <f>IF([1]Accounts!$D$320="","",[1]Accounts!$D$320)</f>
        <v/>
      </c>
      <c r="E319">
        <f>IF([1]Accounts!$D$320="","",[1]Accounts!$E$320)</f>
        <v/>
      </c>
      <c r="F319">
        <f>IF([1]Accounts!$D$320="","",[1]Accounts!$F$320)</f>
        <v/>
      </c>
      <c r="G319">
        <f>IF([1]Accounts!$D$320="","",[1]Accounts!$G$320)</f>
        <v/>
      </c>
      <c r="T319">
        <f>IF([2]Baskol!$B$322="","",[2]Baskol!$B$322)</f>
        <v/>
      </c>
      <c r="U319">
        <f>IF([2]Baskol!$C$322="","",[2]Baskol!$C$322)</f>
        <v/>
      </c>
      <c r="V319">
        <f>IF([2]Baskol!$D$322="","",[2]Baskol!$D$322)</f>
        <v/>
      </c>
      <c r="W319">
        <f>IF([2]Baskol!$E$322="","",[2]Baskol!$E$322)</f>
        <v/>
      </c>
      <c r="X319">
        <f>IF([2]Baskol!$G$322="","",[2]Baskol!$G$322)</f>
        <v/>
      </c>
      <c r="Y319">
        <f>IF([2]Baskol!$I$322="","",[2]Baskol!$I$322)</f>
        <v/>
      </c>
      <c r="Z319">
        <f>IF([2]Baskol!$J$322="","",[2]Baskol!$J$322)</f>
        <v/>
      </c>
      <c r="AA319">
        <f>IF([2]Baskol!$K$322="","",[2]Baskol!$K$322)</f>
        <v/>
      </c>
      <c r="AB319">
        <f>IF([2]Baskol!$L$322="","",[2]Baskol!$L$322)</f>
        <v/>
      </c>
      <c r="AC319">
        <f>IF([2]Baskol!$N$322="","",[2]Baskol!$N$322)</f>
        <v/>
      </c>
      <c r="AD319">
        <f>IF([2]Baskol!$O$322="","",[2]Baskol!$O$322)</f>
        <v/>
      </c>
      <c r="AE319">
        <f>IF([3]Entry!$C$322="","",[3]Entry!$C$322)</f>
        <v/>
      </c>
      <c r="AF319">
        <f>IF([3]Entry!$D$322="","",[3]Entry!$D$322)</f>
        <v/>
      </c>
      <c r="AG319">
        <f>IF([3]Entry!$E$322="","",[3]Entry!$E$322)</f>
        <v/>
      </c>
      <c r="AH319">
        <f>IF([3]Entry!$G$322="","",[3]Entry!$G$322)</f>
        <v/>
      </c>
      <c r="AI319">
        <f>IF([3]Entry!$K$322="","",[3]Entry!$K$322)</f>
        <v/>
      </c>
      <c r="AJ319">
        <f>IF([3]Entry!$L$322="","",[3]Entry!$L$322)</f>
        <v/>
      </c>
      <c r="AK319">
        <f>IF([3]Entry!$M$322="","",[3]Entry!$M$322)</f>
        <v/>
      </c>
      <c r="AL319">
        <f>IF([3]Entry!$N$322="","",[3]Entry!$N$322)</f>
        <v/>
      </c>
      <c r="AM319">
        <f>IF([3]Entry!$R$322="","",[3]Entry!$R$322)</f>
        <v/>
      </c>
    </row>
    <row r="320">
      <c r="A320">
        <f>IF([1]Accounts!$D$321="","",[1]Accounts!$A$321)</f>
        <v/>
      </c>
      <c r="B320">
        <f>IF([1]Accounts!$D$321="","",[1]Accounts!$B$321)</f>
        <v/>
      </c>
      <c r="C320">
        <f>IF([1]Accounts!$D$321="","",[1]Accounts!$C$321)</f>
        <v/>
      </c>
      <c r="D320">
        <f>IF([1]Accounts!$D$321="","",[1]Accounts!$D$321)</f>
        <v/>
      </c>
      <c r="E320">
        <f>IF([1]Accounts!$D$321="","",[1]Accounts!$E$321)</f>
        <v/>
      </c>
      <c r="F320">
        <f>IF([1]Accounts!$D$321="","",[1]Accounts!$F$321)</f>
        <v/>
      </c>
      <c r="G320">
        <f>IF([1]Accounts!$D$321="","",[1]Accounts!$G$321)</f>
        <v/>
      </c>
      <c r="T320">
        <f>IF([2]Baskol!$B$323="","",[2]Baskol!$B$323)</f>
        <v/>
      </c>
      <c r="U320">
        <f>IF([2]Baskol!$C$323="","",[2]Baskol!$C$323)</f>
        <v/>
      </c>
      <c r="V320">
        <f>IF([2]Baskol!$D$323="","",[2]Baskol!$D$323)</f>
        <v/>
      </c>
      <c r="W320">
        <f>IF([2]Baskol!$E$323="","",[2]Baskol!$E$323)</f>
        <v/>
      </c>
      <c r="X320">
        <f>IF([2]Baskol!$G$323="","",[2]Baskol!$G$323)</f>
        <v/>
      </c>
      <c r="Y320">
        <f>IF([2]Baskol!$I$323="","",[2]Baskol!$I$323)</f>
        <v/>
      </c>
      <c r="Z320">
        <f>IF([2]Baskol!$J$323="","",[2]Baskol!$J$323)</f>
        <v/>
      </c>
      <c r="AA320">
        <f>IF([2]Baskol!$K$323="","",[2]Baskol!$K$323)</f>
        <v/>
      </c>
      <c r="AB320">
        <f>IF([2]Baskol!$L$323="","",[2]Baskol!$L$323)</f>
        <v/>
      </c>
      <c r="AC320">
        <f>IF([2]Baskol!$N$323="","",[2]Baskol!$N$323)</f>
        <v/>
      </c>
      <c r="AD320">
        <f>IF([2]Baskol!$O$323="","",[2]Baskol!$O$323)</f>
        <v/>
      </c>
      <c r="AE320">
        <f>IF([3]Entry!$C$323="","",[3]Entry!$C$323)</f>
        <v/>
      </c>
      <c r="AF320">
        <f>IF([3]Entry!$D$323="","",[3]Entry!$D$323)</f>
        <v/>
      </c>
      <c r="AG320">
        <f>IF([3]Entry!$E$323="","",[3]Entry!$E$323)</f>
        <v/>
      </c>
      <c r="AH320">
        <f>IF([3]Entry!$G$323="","",[3]Entry!$G$323)</f>
        <v/>
      </c>
      <c r="AI320">
        <f>IF([3]Entry!$K$323="","",[3]Entry!$K$323)</f>
        <v/>
      </c>
      <c r="AJ320">
        <f>IF([3]Entry!$L$323="","",[3]Entry!$L$323)</f>
        <v/>
      </c>
      <c r="AK320">
        <f>IF([3]Entry!$M$323="","",[3]Entry!$M$323)</f>
        <v/>
      </c>
      <c r="AL320">
        <f>IF([3]Entry!$N$323="","",[3]Entry!$N$323)</f>
        <v/>
      </c>
      <c r="AM320">
        <f>IF([3]Entry!$R$323="","",[3]Entry!$R$323)</f>
        <v/>
      </c>
    </row>
    <row r="321">
      <c r="A321">
        <f>IF([1]Accounts!$D$322="","",[1]Accounts!$A$322)</f>
        <v/>
      </c>
      <c r="B321">
        <f>IF([1]Accounts!$D$322="","",[1]Accounts!$B$322)</f>
        <v/>
      </c>
      <c r="C321">
        <f>IF([1]Accounts!$D$322="","",[1]Accounts!$C$322)</f>
        <v/>
      </c>
      <c r="D321">
        <f>IF([1]Accounts!$D$322="","",[1]Accounts!$D$322)</f>
        <v/>
      </c>
      <c r="E321">
        <f>IF([1]Accounts!$D$322="","",[1]Accounts!$E$322)</f>
        <v/>
      </c>
      <c r="F321">
        <f>IF([1]Accounts!$D$322="","",[1]Accounts!$F$322)</f>
        <v/>
      </c>
      <c r="G321">
        <f>IF([1]Accounts!$D$322="","",[1]Accounts!$G$322)</f>
        <v/>
      </c>
      <c r="T321">
        <f>IF([2]Baskol!$B$324="","",[2]Baskol!$B$324)</f>
        <v/>
      </c>
      <c r="U321">
        <f>IF([2]Baskol!$C$324="","",[2]Baskol!$C$324)</f>
        <v/>
      </c>
      <c r="V321">
        <f>IF([2]Baskol!$D$324="","",[2]Baskol!$D$324)</f>
        <v/>
      </c>
      <c r="W321">
        <f>IF([2]Baskol!$E$324="","",[2]Baskol!$E$324)</f>
        <v/>
      </c>
      <c r="X321">
        <f>IF([2]Baskol!$G$324="","",[2]Baskol!$G$324)</f>
        <v/>
      </c>
      <c r="Y321">
        <f>IF([2]Baskol!$I$324="","",[2]Baskol!$I$324)</f>
        <v/>
      </c>
      <c r="Z321">
        <f>IF([2]Baskol!$J$324="","",[2]Baskol!$J$324)</f>
        <v/>
      </c>
      <c r="AA321">
        <f>IF([2]Baskol!$K$324="","",[2]Baskol!$K$324)</f>
        <v/>
      </c>
      <c r="AB321">
        <f>IF([2]Baskol!$L$324="","",[2]Baskol!$L$324)</f>
        <v/>
      </c>
      <c r="AC321">
        <f>IF([2]Baskol!$N$324="","",[2]Baskol!$N$324)</f>
        <v/>
      </c>
      <c r="AD321">
        <f>IF([2]Baskol!$O$324="","",[2]Baskol!$O$324)</f>
        <v/>
      </c>
      <c r="AE321">
        <f>IF([3]Entry!$C$324="","",[3]Entry!$C$324)</f>
        <v/>
      </c>
      <c r="AF321">
        <f>IF([3]Entry!$D$324="","",[3]Entry!$D$324)</f>
        <v/>
      </c>
      <c r="AG321">
        <f>IF([3]Entry!$E$324="","",[3]Entry!$E$324)</f>
        <v/>
      </c>
      <c r="AH321">
        <f>IF([3]Entry!$G$324="","",[3]Entry!$G$324)</f>
        <v/>
      </c>
      <c r="AI321">
        <f>IF([3]Entry!$K$324="","",[3]Entry!$K$324)</f>
        <v/>
      </c>
      <c r="AJ321">
        <f>IF([3]Entry!$L$324="","",[3]Entry!$L$324)</f>
        <v/>
      </c>
      <c r="AK321">
        <f>IF([3]Entry!$M$324="","",[3]Entry!$M$324)</f>
        <v/>
      </c>
      <c r="AL321">
        <f>IF([3]Entry!$N$324="","",[3]Entry!$N$324)</f>
        <v/>
      </c>
      <c r="AM321">
        <f>IF([3]Entry!$R$324="","",[3]Entry!$R$324)</f>
        <v/>
      </c>
    </row>
    <row r="322">
      <c r="A322">
        <f>IF([1]Accounts!$D$323="","",[1]Accounts!$A$323)</f>
        <v/>
      </c>
      <c r="B322">
        <f>IF([1]Accounts!$D$323="","",[1]Accounts!$B$323)</f>
        <v/>
      </c>
      <c r="C322">
        <f>IF([1]Accounts!$D$323="","",[1]Accounts!$C$323)</f>
        <v/>
      </c>
      <c r="D322">
        <f>IF([1]Accounts!$D$323="","",[1]Accounts!$D$323)</f>
        <v/>
      </c>
      <c r="E322">
        <f>IF([1]Accounts!$D$323="","",[1]Accounts!$E$323)</f>
        <v/>
      </c>
      <c r="F322">
        <f>IF([1]Accounts!$D$323="","",[1]Accounts!$F$323)</f>
        <v/>
      </c>
      <c r="G322">
        <f>IF([1]Accounts!$D$323="","",[1]Accounts!$G$323)</f>
        <v/>
      </c>
      <c r="T322">
        <f>IF([2]Baskol!$B$325="","",[2]Baskol!$B$325)</f>
        <v/>
      </c>
      <c r="U322">
        <f>IF([2]Baskol!$C$325="","",[2]Baskol!$C$325)</f>
        <v/>
      </c>
      <c r="V322">
        <f>IF([2]Baskol!$D$325="","",[2]Baskol!$D$325)</f>
        <v/>
      </c>
      <c r="W322">
        <f>IF([2]Baskol!$E$325="","",[2]Baskol!$E$325)</f>
        <v/>
      </c>
      <c r="X322">
        <f>IF([2]Baskol!$G$325="","",[2]Baskol!$G$325)</f>
        <v/>
      </c>
      <c r="Y322">
        <f>IF([2]Baskol!$I$325="","",[2]Baskol!$I$325)</f>
        <v/>
      </c>
      <c r="Z322">
        <f>IF([2]Baskol!$J$325="","",[2]Baskol!$J$325)</f>
        <v/>
      </c>
      <c r="AA322">
        <f>IF([2]Baskol!$K$325="","",[2]Baskol!$K$325)</f>
        <v/>
      </c>
      <c r="AB322">
        <f>IF([2]Baskol!$L$325="","",[2]Baskol!$L$325)</f>
        <v/>
      </c>
      <c r="AC322">
        <f>IF([2]Baskol!$N$325="","",[2]Baskol!$N$325)</f>
        <v/>
      </c>
      <c r="AD322">
        <f>IF([2]Baskol!$O$325="","",[2]Baskol!$O$325)</f>
        <v/>
      </c>
      <c r="AE322">
        <f>IF([3]Entry!$C$325="","",[3]Entry!$C$325)</f>
        <v/>
      </c>
      <c r="AF322">
        <f>IF([3]Entry!$D$325="","",[3]Entry!$D$325)</f>
        <v/>
      </c>
      <c r="AG322">
        <f>IF([3]Entry!$E$325="","",[3]Entry!$E$325)</f>
        <v/>
      </c>
      <c r="AH322">
        <f>IF([3]Entry!$G$325="","",[3]Entry!$G$325)</f>
        <v/>
      </c>
      <c r="AI322">
        <f>IF([3]Entry!$K$325="","",[3]Entry!$K$325)</f>
        <v/>
      </c>
      <c r="AJ322">
        <f>IF([3]Entry!$L$325="","",[3]Entry!$L$325)</f>
        <v/>
      </c>
      <c r="AK322">
        <f>IF([3]Entry!$M$325="","",[3]Entry!$M$325)</f>
        <v/>
      </c>
      <c r="AL322">
        <f>IF([3]Entry!$N$325="","",[3]Entry!$N$325)</f>
        <v/>
      </c>
      <c r="AM322">
        <f>IF([3]Entry!$R$325="","",[3]Entry!$R$325)</f>
        <v/>
      </c>
    </row>
    <row r="323">
      <c r="A323">
        <f>IF([1]Accounts!$D$324="","",[1]Accounts!$A$324)</f>
        <v/>
      </c>
      <c r="B323">
        <f>IF([1]Accounts!$D$324="","",[1]Accounts!$B$324)</f>
        <v/>
      </c>
      <c r="C323">
        <f>IF([1]Accounts!$D$324="","",[1]Accounts!$C$324)</f>
        <v/>
      </c>
      <c r="D323">
        <f>IF([1]Accounts!$D$324="","",[1]Accounts!$D$324)</f>
        <v/>
      </c>
      <c r="E323">
        <f>IF([1]Accounts!$D$324="","",[1]Accounts!$E$324)</f>
        <v/>
      </c>
      <c r="F323">
        <f>IF([1]Accounts!$D$324="","",[1]Accounts!$F$324)</f>
        <v/>
      </c>
      <c r="G323">
        <f>IF([1]Accounts!$D$324="","",[1]Accounts!$G$324)</f>
        <v/>
      </c>
      <c r="T323">
        <f>IF([2]Baskol!$B$326="","",[2]Baskol!$B$326)</f>
        <v/>
      </c>
      <c r="U323">
        <f>IF([2]Baskol!$C$326="","",[2]Baskol!$C$326)</f>
        <v/>
      </c>
      <c r="V323">
        <f>IF([2]Baskol!$D$326="","",[2]Baskol!$D$326)</f>
        <v/>
      </c>
      <c r="W323">
        <f>IF([2]Baskol!$E$326="","",[2]Baskol!$E$326)</f>
        <v/>
      </c>
      <c r="X323">
        <f>IF([2]Baskol!$G$326="","",[2]Baskol!$G$326)</f>
        <v/>
      </c>
      <c r="Y323">
        <f>IF([2]Baskol!$I$326="","",[2]Baskol!$I$326)</f>
        <v/>
      </c>
      <c r="Z323">
        <f>IF([2]Baskol!$J$326="","",[2]Baskol!$J$326)</f>
        <v/>
      </c>
      <c r="AA323">
        <f>IF([2]Baskol!$K$326="","",[2]Baskol!$K$326)</f>
        <v/>
      </c>
      <c r="AB323">
        <f>IF([2]Baskol!$L$326="","",[2]Baskol!$L$326)</f>
        <v/>
      </c>
      <c r="AC323">
        <f>IF([2]Baskol!$N$326="","",[2]Baskol!$N$326)</f>
        <v/>
      </c>
      <c r="AD323">
        <f>IF([2]Baskol!$O$326="","",[2]Baskol!$O$326)</f>
        <v/>
      </c>
      <c r="AE323">
        <f>IF([3]Entry!$C$326="","",[3]Entry!$C$326)</f>
        <v/>
      </c>
      <c r="AF323">
        <f>IF([3]Entry!$D$326="","",[3]Entry!$D$326)</f>
        <v/>
      </c>
      <c r="AG323">
        <f>IF([3]Entry!$E$326="","",[3]Entry!$E$326)</f>
        <v/>
      </c>
      <c r="AH323">
        <f>IF([3]Entry!$G$326="","",[3]Entry!$G$326)</f>
        <v/>
      </c>
      <c r="AI323">
        <f>IF([3]Entry!$K$326="","",[3]Entry!$K$326)</f>
        <v/>
      </c>
      <c r="AJ323">
        <f>IF([3]Entry!$L$326="","",[3]Entry!$L$326)</f>
        <v/>
      </c>
      <c r="AK323">
        <f>IF([3]Entry!$M$326="","",[3]Entry!$M$326)</f>
        <v/>
      </c>
      <c r="AL323">
        <f>IF([3]Entry!$N$326="","",[3]Entry!$N$326)</f>
        <v/>
      </c>
      <c r="AM323">
        <f>IF([3]Entry!$R$326="","",[3]Entry!$R$326)</f>
        <v/>
      </c>
    </row>
    <row r="324">
      <c r="A324">
        <f>IF([1]Accounts!$D$325="","",[1]Accounts!$A$325)</f>
        <v/>
      </c>
      <c r="B324">
        <f>IF([1]Accounts!$D$325="","",[1]Accounts!$B$325)</f>
        <v/>
      </c>
      <c r="C324">
        <f>IF([1]Accounts!$D$325="","",[1]Accounts!$C$325)</f>
        <v/>
      </c>
      <c r="D324">
        <f>IF([1]Accounts!$D$325="","",[1]Accounts!$D$325)</f>
        <v/>
      </c>
      <c r="E324">
        <f>IF([1]Accounts!$D$325="","",[1]Accounts!$E$325)</f>
        <v/>
      </c>
      <c r="F324">
        <f>IF([1]Accounts!$D$325="","",[1]Accounts!$F$325)</f>
        <v/>
      </c>
      <c r="G324">
        <f>IF([1]Accounts!$D$325="","",[1]Accounts!$G$325)</f>
        <v/>
      </c>
      <c r="T324">
        <f>IF([2]Baskol!$B$327="","",[2]Baskol!$B$327)</f>
        <v/>
      </c>
      <c r="U324">
        <f>IF([2]Baskol!$C$327="","",[2]Baskol!$C$327)</f>
        <v/>
      </c>
      <c r="V324">
        <f>IF([2]Baskol!$D$327="","",[2]Baskol!$D$327)</f>
        <v/>
      </c>
      <c r="W324">
        <f>IF([2]Baskol!$E$327="","",[2]Baskol!$E$327)</f>
        <v/>
      </c>
      <c r="X324">
        <f>IF([2]Baskol!$G$327="","",[2]Baskol!$G$327)</f>
        <v/>
      </c>
      <c r="Y324">
        <f>IF([2]Baskol!$I$327="","",[2]Baskol!$I$327)</f>
        <v/>
      </c>
      <c r="Z324">
        <f>IF([2]Baskol!$J$327="","",[2]Baskol!$J$327)</f>
        <v/>
      </c>
      <c r="AA324">
        <f>IF([2]Baskol!$K$327="","",[2]Baskol!$K$327)</f>
        <v/>
      </c>
      <c r="AB324">
        <f>IF([2]Baskol!$L$327="","",[2]Baskol!$L$327)</f>
        <v/>
      </c>
      <c r="AC324">
        <f>IF([2]Baskol!$N$327="","",[2]Baskol!$N$327)</f>
        <v/>
      </c>
      <c r="AD324">
        <f>IF([2]Baskol!$O$327="","",[2]Baskol!$O$327)</f>
        <v/>
      </c>
      <c r="AE324">
        <f>IF([3]Entry!$C$327="","",[3]Entry!$C$327)</f>
        <v/>
      </c>
      <c r="AF324">
        <f>IF([3]Entry!$D$327="","",[3]Entry!$D$327)</f>
        <v/>
      </c>
      <c r="AG324">
        <f>IF([3]Entry!$E$327="","",[3]Entry!$E$327)</f>
        <v/>
      </c>
      <c r="AH324">
        <f>IF([3]Entry!$G$327="","",[3]Entry!$G$327)</f>
        <v/>
      </c>
      <c r="AI324">
        <f>IF([3]Entry!$K$327="","",[3]Entry!$K$327)</f>
        <v/>
      </c>
      <c r="AJ324">
        <f>IF([3]Entry!$L$327="","",[3]Entry!$L$327)</f>
        <v/>
      </c>
      <c r="AK324">
        <f>IF([3]Entry!$M$327="","",[3]Entry!$M$327)</f>
        <v/>
      </c>
      <c r="AL324">
        <f>IF([3]Entry!$N$327="","",[3]Entry!$N$327)</f>
        <v/>
      </c>
      <c r="AM324">
        <f>IF([3]Entry!$R$327="","",[3]Entry!$R$327)</f>
        <v/>
      </c>
    </row>
    <row r="325">
      <c r="A325">
        <f>IF([1]Accounts!$D$326="","",[1]Accounts!$A$326)</f>
        <v/>
      </c>
      <c r="B325">
        <f>IF([1]Accounts!$D$326="","",[1]Accounts!$B$326)</f>
        <v/>
      </c>
      <c r="C325">
        <f>IF([1]Accounts!$D$326="","",[1]Accounts!$C$326)</f>
        <v/>
      </c>
      <c r="D325">
        <f>IF([1]Accounts!$D$326="","",[1]Accounts!$D$326)</f>
        <v/>
      </c>
      <c r="E325">
        <f>IF([1]Accounts!$D$326="","",[1]Accounts!$E$326)</f>
        <v/>
      </c>
      <c r="F325">
        <f>IF([1]Accounts!$D$326="","",[1]Accounts!$F$326)</f>
        <v/>
      </c>
      <c r="G325">
        <f>IF([1]Accounts!$D$326="","",[1]Accounts!$G$326)</f>
        <v/>
      </c>
      <c r="T325">
        <f>IF([2]Baskol!$B$328="","",[2]Baskol!$B$328)</f>
        <v/>
      </c>
      <c r="U325">
        <f>IF([2]Baskol!$C$328="","",[2]Baskol!$C$328)</f>
        <v/>
      </c>
      <c r="V325">
        <f>IF([2]Baskol!$D$328="","",[2]Baskol!$D$328)</f>
        <v/>
      </c>
      <c r="W325">
        <f>IF([2]Baskol!$E$328="","",[2]Baskol!$E$328)</f>
        <v/>
      </c>
      <c r="X325">
        <f>IF([2]Baskol!$G$328="","",[2]Baskol!$G$328)</f>
        <v/>
      </c>
      <c r="Y325">
        <f>IF([2]Baskol!$I$328="","",[2]Baskol!$I$328)</f>
        <v/>
      </c>
      <c r="Z325">
        <f>IF([2]Baskol!$J$328="","",[2]Baskol!$J$328)</f>
        <v/>
      </c>
      <c r="AA325">
        <f>IF([2]Baskol!$K$328="","",[2]Baskol!$K$328)</f>
        <v/>
      </c>
      <c r="AB325">
        <f>IF([2]Baskol!$L$328="","",[2]Baskol!$L$328)</f>
        <v/>
      </c>
      <c r="AC325">
        <f>IF([2]Baskol!$N$328="","",[2]Baskol!$N$328)</f>
        <v/>
      </c>
      <c r="AD325">
        <f>IF([2]Baskol!$O$328="","",[2]Baskol!$O$328)</f>
        <v/>
      </c>
      <c r="AE325">
        <f>IF([3]Entry!$C$328="","",[3]Entry!$C$328)</f>
        <v/>
      </c>
      <c r="AF325">
        <f>IF([3]Entry!$D$328="","",[3]Entry!$D$328)</f>
        <v/>
      </c>
      <c r="AG325">
        <f>IF([3]Entry!$E$328="","",[3]Entry!$E$328)</f>
        <v/>
      </c>
      <c r="AH325">
        <f>IF([3]Entry!$G$328="","",[3]Entry!$G$328)</f>
        <v/>
      </c>
      <c r="AI325">
        <f>IF([3]Entry!$K$328="","",[3]Entry!$K$328)</f>
        <v/>
      </c>
      <c r="AJ325">
        <f>IF([3]Entry!$L$328="","",[3]Entry!$L$328)</f>
        <v/>
      </c>
      <c r="AK325">
        <f>IF([3]Entry!$M$328="","",[3]Entry!$M$328)</f>
        <v/>
      </c>
      <c r="AL325">
        <f>IF([3]Entry!$N$328="","",[3]Entry!$N$328)</f>
        <v/>
      </c>
      <c r="AM325">
        <f>IF([3]Entry!$R$328="","",[3]Entry!$R$328)</f>
        <v/>
      </c>
    </row>
    <row r="326">
      <c r="A326">
        <f>IF([1]Accounts!$D$327="","",[1]Accounts!$A$327)</f>
        <v/>
      </c>
      <c r="B326">
        <f>IF([1]Accounts!$D$327="","",[1]Accounts!$B$327)</f>
        <v/>
      </c>
      <c r="C326">
        <f>IF([1]Accounts!$D$327="","",[1]Accounts!$C$327)</f>
        <v/>
      </c>
      <c r="D326">
        <f>IF([1]Accounts!$D$327="","",[1]Accounts!$D$327)</f>
        <v/>
      </c>
      <c r="E326">
        <f>IF([1]Accounts!$D$327="","",[1]Accounts!$E$327)</f>
        <v/>
      </c>
      <c r="F326">
        <f>IF([1]Accounts!$D$327="","",[1]Accounts!$F$327)</f>
        <v/>
      </c>
      <c r="G326">
        <f>IF([1]Accounts!$D$327="","",[1]Accounts!$G$327)</f>
        <v/>
      </c>
      <c r="T326">
        <f>IF([2]Baskol!$B$329="","",[2]Baskol!$B$329)</f>
        <v/>
      </c>
      <c r="U326">
        <f>IF([2]Baskol!$C$329="","",[2]Baskol!$C$329)</f>
        <v/>
      </c>
      <c r="V326">
        <f>IF([2]Baskol!$D$329="","",[2]Baskol!$D$329)</f>
        <v/>
      </c>
      <c r="W326">
        <f>IF([2]Baskol!$E$329="","",[2]Baskol!$E$329)</f>
        <v/>
      </c>
      <c r="X326">
        <f>IF([2]Baskol!$G$329="","",[2]Baskol!$G$329)</f>
        <v/>
      </c>
      <c r="Y326">
        <f>IF([2]Baskol!$I$329="","",[2]Baskol!$I$329)</f>
        <v/>
      </c>
      <c r="Z326">
        <f>IF([2]Baskol!$J$329="","",[2]Baskol!$J$329)</f>
        <v/>
      </c>
      <c r="AA326">
        <f>IF([2]Baskol!$K$329="","",[2]Baskol!$K$329)</f>
        <v/>
      </c>
      <c r="AB326">
        <f>IF([2]Baskol!$L$329="","",[2]Baskol!$L$329)</f>
        <v/>
      </c>
      <c r="AC326">
        <f>IF([2]Baskol!$N$329="","",[2]Baskol!$N$329)</f>
        <v/>
      </c>
      <c r="AD326">
        <f>IF([2]Baskol!$O$329="","",[2]Baskol!$O$329)</f>
        <v/>
      </c>
      <c r="AE326">
        <f>IF([3]Entry!$C$329="","",[3]Entry!$C$329)</f>
        <v/>
      </c>
      <c r="AF326">
        <f>IF([3]Entry!$D$329="","",[3]Entry!$D$329)</f>
        <v/>
      </c>
      <c r="AG326">
        <f>IF([3]Entry!$E$329="","",[3]Entry!$E$329)</f>
        <v/>
      </c>
      <c r="AH326">
        <f>IF([3]Entry!$G$329="","",[3]Entry!$G$329)</f>
        <v/>
      </c>
      <c r="AI326">
        <f>IF([3]Entry!$K$329="","",[3]Entry!$K$329)</f>
        <v/>
      </c>
      <c r="AJ326">
        <f>IF([3]Entry!$L$329="","",[3]Entry!$L$329)</f>
        <v/>
      </c>
      <c r="AK326">
        <f>IF([3]Entry!$M$329="","",[3]Entry!$M$329)</f>
        <v/>
      </c>
      <c r="AL326">
        <f>IF([3]Entry!$N$329="","",[3]Entry!$N$329)</f>
        <v/>
      </c>
      <c r="AM326">
        <f>IF([3]Entry!$R$329="","",[3]Entry!$R$329)</f>
        <v/>
      </c>
    </row>
    <row r="327">
      <c r="A327">
        <f>IF([1]Accounts!$D$328="","",[1]Accounts!$A$328)</f>
        <v/>
      </c>
      <c r="B327">
        <f>IF([1]Accounts!$D$328="","",[1]Accounts!$B$328)</f>
        <v/>
      </c>
      <c r="C327">
        <f>IF([1]Accounts!$D$328="","",[1]Accounts!$C$328)</f>
        <v/>
      </c>
      <c r="D327">
        <f>IF([1]Accounts!$D$328="","",[1]Accounts!$D$328)</f>
        <v/>
      </c>
      <c r="E327">
        <f>IF([1]Accounts!$D$328="","",[1]Accounts!$E$328)</f>
        <v/>
      </c>
      <c r="F327">
        <f>IF([1]Accounts!$D$328="","",[1]Accounts!$F$328)</f>
        <v/>
      </c>
      <c r="G327">
        <f>IF([1]Accounts!$D$328="","",[1]Accounts!$G$328)</f>
        <v/>
      </c>
      <c r="T327">
        <f>IF([2]Baskol!$B$330="","",[2]Baskol!$B$330)</f>
        <v/>
      </c>
      <c r="U327">
        <f>IF([2]Baskol!$C$330="","",[2]Baskol!$C$330)</f>
        <v/>
      </c>
      <c r="V327">
        <f>IF([2]Baskol!$D$330="","",[2]Baskol!$D$330)</f>
        <v/>
      </c>
      <c r="W327">
        <f>IF([2]Baskol!$E$330="","",[2]Baskol!$E$330)</f>
        <v/>
      </c>
      <c r="X327">
        <f>IF([2]Baskol!$G$330="","",[2]Baskol!$G$330)</f>
        <v/>
      </c>
      <c r="Y327">
        <f>IF([2]Baskol!$I$330="","",[2]Baskol!$I$330)</f>
        <v/>
      </c>
      <c r="Z327">
        <f>IF([2]Baskol!$J$330="","",[2]Baskol!$J$330)</f>
        <v/>
      </c>
      <c r="AA327">
        <f>IF([2]Baskol!$K$330="","",[2]Baskol!$K$330)</f>
        <v/>
      </c>
      <c r="AB327">
        <f>IF([2]Baskol!$L$330="","",[2]Baskol!$L$330)</f>
        <v/>
      </c>
      <c r="AC327">
        <f>IF([2]Baskol!$N$330="","",[2]Baskol!$N$330)</f>
        <v/>
      </c>
      <c r="AD327">
        <f>IF([2]Baskol!$O$330="","",[2]Baskol!$O$330)</f>
        <v/>
      </c>
      <c r="AE327">
        <f>IF([3]Entry!$C$330="","",[3]Entry!$C$330)</f>
        <v/>
      </c>
      <c r="AF327">
        <f>IF([3]Entry!$D$330="","",[3]Entry!$D$330)</f>
        <v/>
      </c>
      <c r="AG327">
        <f>IF([3]Entry!$E$330="","",[3]Entry!$E$330)</f>
        <v/>
      </c>
      <c r="AH327">
        <f>IF([3]Entry!$G$330="","",[3]Entry!$G$330)</f>
        <v/>
      </c>
      <c r="AI327">
        <f>IF([3]Entry!$K$330="","",[3]Entry!$K$330)</f>
        <v/>
      </c>
      <c r="AJ327">
        <f>IF([3]Entry!$L$330="","",[3]Entry!$L$330)</f>
        <v/>
      </c>
      <c r="AK327">
        <f>IF([3]Entry!$M$330="","",[3]Entry!$M$330)</f>
        <v/>
      </c>
      <c r="AL327">
        <f>IF([3]Entry!$N$330="","",[3]Entry!$N$330)</f>
        <v/>
      </c>
      <c r="AM327">
        <f>IF([3]Entry!$R$330="","",[3]Entry!$R$330)</f>
        <v/>
      </c>
    </row>
    <row r="328">
      <c r="A328">
        <f>IF([1]Accounts!$D$329="","",[1]Accounts!$A$329)</f>
        <v/>
      </c>
      <c r="B328">
        <f>IF([1]Accounts!$D$329="","",[1]Accounts!$B$329)</f>
        <v/>
      </c>
      <c r="C328">
        <f>IF([1]Accounts!$D$329="","",[1]Accounts!$C$329)</f>
        <v/>
      </c>
      <c r="D328">
        <f>IF([1]Accounts!$D$329="","",[1]Accounts!$D$329)</f>
        <v/>
      </c>
      <c r="E328">
        <f>IF([1]Accounts!$D$329="","",[1]Accounts!$E$329)</f>
        <v/>
      </c>
      <c r="F328">
        <f>IF([1]Accounts!$D$329="","",[1]Accounts!$F$329)</f>
        <v/>
      </c>
      <c r="G328">
        <f>IF([1]Accounts!$D$329="","",[1]Accounts!$G$329)</f>
        <v/>
      </c>
      <c r="T328">
        <f>IF([2]Baskol!$B$331="","",[2]Baskol!$B$331)</f>
        <v/>
      </c>
      <c r="U328">
        <f>IF([2]Baskol!$C$331="","",[2]Baskol!$C$331)</f>
        <v/>
      </c>
      <c r="V328">
        <f>IF([2]Baskol!$D$331="","",[2]Baskol!$D$331)</f>
        <v/>
      </c>
      <c r="W328">
        <f>IF([2]Baskol!$E$331="","",[2]Baskol!$E$331)</f>
        <v/>
      </c>
      <c r="X328">
        <f>IF([2]Baskol!$G$331="","",[2]Baskol!$G$331)</f>
        <v/>
      </c>
      <c r="Y328">
        <f>IF([2]Baskol!$I$331="","",[2]Baskol!$I$331)</f>
        <v/>
      </c>
      <c r="Z328">
        <f>IF([2]Baskol!$J$331="","",[2]Baskol!$J$331)</f>
        <v/>
      </c>
      <c r="AA328">
        <f>IF([2]Baskol!$K$331="","",[2]Baskol!$K$331)</f>
        <v/>
      </c>
      <c r="AB328">
        <f>IF([2]Baskol!$L$331="","",[2]Baskol!$L$331)</f>
        <v/>
      </c>
      <c r="AC328">
        <f>IF([2]Baskol!$N$331="","",[2]Baskol!$N$331)</f>
        <v/>
      </c>
      <c r="AD328">
        <f>IF([2]Baskol!$O$331="","",[2]Baskol!$O$331)</f>
        <v/>
      </c>
      <c r="AE328">
        <f>IF([3]Entry!$C$331="","",[3]Entry!$C$331)</f>
        <v/>
      </c>
      <c r="AF328">
        <f>IF([3]Entry!$D$331="","",[3]Entry!$D$331)</f>
        <v/>
      </c>
      <c r="AG328">
        <f>IF([3]Entry!$E$331="","",[3]Entry!$E$331)</f>
        <v/>
      </c>
      <c r="AH328">
        <f>IF([3]Entry!$G$331="","",[3]Entry!$G$331)</f>
        <v/>
      </c>
      <c r="AI328">
        <f>IF([3]Entry!$K$331="","",[3]Entry!$K$331)</f>
        <v/>
      </c>
      <c r="AJ328">
        <f>IF([3]Entry!$L$331="","",[3]Entry!$L$331)</f>
        <v/>
      </c>
      <c r="AK328">
        <f>IF([3]Entry!$M$331="","",[3]Entry!$M$331)</f>
        <v/>
      </c>
      <c r="AL328">
        <f>IF([3]Entry!$N$331="","",[3]Entry!$N$331)</f>
        <v/>
      </c>
      <c r="AM328">
        <f>IF([3]Entry!$R$331="","",[3]Entry!$R$331)</f>
        <v/>
      </c>
    </row>
    <row r="329">
      <c r="A329">
        <f>IF([1]Accounts!$D$330="","",[1]Accounts!$A$330)</f>
        <v/>
      </c>
      <c r="B329">
        <f>IF([1]Accounts!$D$330="","",[1]Accounts!$B$330)</f>
        <v/>
      </c>
      <c r="C329">
        <f>IF([1]Accounts!$D$330="","",[1]Accounts!$C$330)</f>
        <v/>
      </c>
      <c r="D329">
        <f>IF([1]Accounts!$D$330="","",[1]Accounts!$D$330)</f>
        <v/>
      </c>
      <c r="E329">
        <f>IF([1]Accounts!$D$330="","",[1]Accounts!$E$330)</f>
        <v/>
      </c>
      <c r="F329">
        <f>IF([1]Accounts!$D$330="","",[1]Accounts!$F$330)</f>
        <v/>
      </c>
      <c r="G329">
        <f>IF([1]Accounts!$D$330="","",[1]Accounts!$G$330)</f>
        <v/>
      </c>
      <c r="T329">
        <f>IF([2]Baskol!$B$332="","",[2]Baskol!$B$332)</f>
        <v/>
      </c>
      <c r="U329">
        <f>IF([2]Baskol!$C$332="","",[2]Baskol!$C$332)</f>
        <v/>
      </c>
      <c r="V329">
        <f>IF([2]Baskol!$D$332="","",[2]Baskol!$D$332)</f>
        <v/>
      </c>
      <c r="W329">
        <f>IF([2]Baskol!$E$332="","",[2]Baskol!$E$332)</f>
        <v/>
      </c>
      <c r="X329">
        <f>IF([2]Baskol!$G$332="","",[2]Baskol!$G$332)</f>
        <v/>
      </c>
      <c r="Y329">
        <f>IF([2]Baskol!$I$332="","",[2]Baskol!$I$332)</f>
        <v/>
      </c>
      <c r="Z329">
        <f>IF([2]Baskol!$J$332="","",[2]Baskol!$J$332)</f>
        <v/>
      </c>
      <c r="AA329">
        <f>IF([2]Baskol!$K$332="","",[2]Baskol!$K$332)</f>
        <v/>
      </c>
      <c r="AB329">
        <f>IF([2]Baskol!$L$332="","",[2]Baskol!$L$332)</f>
        <v/>
      </c>
      <c r="AC329">
        <f>IF([2]Baskol!$N$332="","",[2]Baskol!$N$332)</f>
        <v/>
      </c>
      <c r="AD329">
        <f>IF([2]Baskol!$O$332="","",[2]Baskol!$O$332)</f>
        <v/>
      </c>
      <c r="AE329">
        <f>IF([3]Entry!$C$332="","",[3]Entry!$C$332)</f>
        <v/>
      </c>
      <c r="AF329">
        <f>IF([3]Entry!$D$332="","",[3]Entry!$D$332)</f>
        <v/>
      </c>
      <c r="AG329">
        <f>IF([3]Entry!$E$332="","",[3]Entry!$E$332)</f>
        <v/>
      </c>
      <c r="AH329">
        <f>IF([3]Entry!$G$332="","",[3]Entry!$G$332)</f>
        <v/>
      </c>
      <c r="AI329">
        <f>IF([3]Entry!$K$332="","",[3]Entry!$K$332)</f>
        <v/>
      </c>
      <c r="AJ329">
        <f>IF([3]Entry!$L$332="","",[3]Entry!$L$332)</f>
        <v/>
      </c>
      <c r="AK329">
        <f>IF([3]Entry!$M$332="","",[3]Entry!$M$332)</f>
        <v/>
      </c>
      <c r="AL329">
        <f>IF([3]Entry!$N$332="","",[3]Entry!$N$332)</f>
        <v/>
      </c>
      <c r="AM329">
        <f>IF([3]Entry!$R$332="","",[3]Entry!$R$332)</f>
        <v/>
      </c>
    </row>
    <row r="330">
      <c r="A330">
        <f>IF([1]Accounts!$D$331="","",[1]Accounts!$A$331)</f>
        <v/>
      </c>
      <c r="B330">
        <f>IF([1]Accounts!$D$331="","",[1]Accounts!$B$331)</f>
        <v/>
      </c>
      <c r="C330">
        <f>IF([1]Accounts!$D$331="","",[1]Accounts!$C$331)</f>
        <v/>
      </c>
      <c r="D330">
        <f>IF([1]Accounts!$D$331="","",[1]Accounts!$D$331)</f>
        <v/>
      </c>
      <c r="E330">
        <f>IF([1]Accounts!$D$331="","",[1]Accounts!$E$331)</f>
        <v/>
      </c>
      <c r="F330">
        <f>IF([1]Accounts!$D$331="","",[1]Accounts!$F$331)</f>
        <v/>
      </c>
      <c r="G330">
        <f>IF([1]Accounts!$D$331="","",[1]Accounts!$G$331)</f>
        <v/>
      </c>
      <c r="T330">
        <f>IF([2]Baskol!$B$333="","",[2]Baskol!$B$333)</f>
        <v/>
      </c>
      <c r="U330">
        <f>IF([2]Baskol!$C$333="","",[2]Baskol!$C$333)</f>
        <v/>
      </c>
      <c r="V330">
        <f>IF([2]Baskol!$D$333="","",[2]Baskol!$D$333)</f>
        <v/>
      </c>
      <c r="W330">
        <f>IF([2]Baskol!$E$333="","",[2]Baskol!$E$333)</f>
        <v/>
      </c>
      <c r="X330">
        <f>IF([2]Baskol!$G$333="","",[2]Baskol!$G$333)</f>
        <v/>
      </c>
      <c r="Y330">
        <f>IF([2]Baskol!$I$333="","",[2]Baskol!$I$333)</f>
        <v/>
      </c>
      <c r="Z330">
        <f>IF([2]Baskol!$J$333="","",[2]Baskol!$J$333)</f>
        <v/>
      </c>
      <c r="AA330">
        <f>IF([2]Baskol!$K$333="","",[2]Baskol!$K$333)</f>
        <v/>
      </c>
      <c r="AB330">
        <f>IF([2]Baskol!$L$333="","",[2]Baskol!$L$333)</f>
        <v/>
      </c>
      <c r="AC330">
        <f>IF([2]Baskol!$N$333="","",[2]Baskol!$N$333)</f>
        <v/>
      </c>
      <c r="AD330">
        <f>IF([2]Baskol!$O$333="","",[2]Baskol!$O$333)</f>
        <v/>
      </c>
      <c r="AE330">
        <f>IF([3]Entry!$C$333="","",[3]Entry!$C$333)</f>
        <v/>
      </c>
      <c r="AF330">
        <f>IF([3]Entry!$D$333="","",[3]Entry!$D$333)</f>
        <v/>
      </c>
      <c r="AG330">
        <f>IF([3]Entry!$E$333="","",[3]Entry!$E$333)</f>
        <v/>
      </c>
      <c r="AH330">
        <f>IF([3]Entry!$G$333="","",[3]Entry!$G$333)</f>
        <v/>
      </c>
      <c r="AI330">
        <f>IF([3]Entry!$K$333="","",[3]Entry!$K$333)</f>
        <v/>
      </c>
      <c r="AJ330">
        <f>IF([3]Entry!$L$333="","",[3]Entry!$L$333)</f>
        <v/>
      </c>
      <c r="AK330">
        <f>IF([3]Entry!$M$333="","",[3]Entry!$M$333)</f>
        <v/>
      </c>
      <c r="AL330">
        <f>IF([3]Entry!$N$333="","",[3]Entry!$N$333)</f>
        <v/>
      </c>
      <c r="AM330">
        <f>IF([3]Entry!$R$333="","",[3]Entry!$R$333)</f>
        <v/>
      </c>
    </row>
    <row r="331">
      <c r="A331">
        <f>IF([1]Accounts!$D$332="","",[1]Accounts!$A$332)</f>
        <v/>
      </c>
      <c r="B331">
        <f>IF([1]Accounts!$D$332="","",[1]Accounts!$B$332)</f>
        <v/>
      </c>
      <c r="C331">
        <f>IF([1]Accounts!$D$332="","",[1]Accounts!$C$332)</f>
        <v/>
      </c>
      <c r="D331">
        <f>IF([1]Accounts!$D$332="","",[1]Accounts!$D$332)</f>
        <v/>
      </c>
      <c r="E331">
        <f>IF([1]Accounts!$D$332="","",[1]Accounts!$E$332)</f>
        <v/>
      </c>
      <c r="F331">
        <f>IF([1]Accounts!$D$332="","",[1]Accounts!$F$332)</f>
        <v/>
      </c>
      <c r="G331">
        <f>IF([1]Accounts!$D$332="","",[1]Accounts!$G$332)</f>
        <v/>
      </c>
      <c r="T331">
        <f>IF([2]Baskol!$B$334="","",[2]Baskol!$B$334)</f>
        <v/>
      </c>
      <c r="U331">
        <f>IF([2]Baskol!$C$334="","",[2]Baskol!$C$334)</f>
        <v/>
      </c>
      <c r="V331">
        <f>IF([2]Baskol!$D$334="","",[2]Baskol!$D$334)</f>
        <v/>
      </c>
      <c r="W331">
        <f>IF([2]Baskol!$E$334="","",[2]Baskol!$E$334)</f>
        <v/>
      </c>
      <c r="X331">
        <f>IF([2]Baskol!$G$334="","",[2]Baskol!$G$334)</f>
        <v/>
      </c>
      <c r="Y331">
        <f>IF([2]Baskol!$I$334="","",[2]Baskol!$I$334)</f>
        <v/>
      </c>
      <c r="Z331">
        <f>IF([2]Baskol!$J$334="","",[2]Baskol!$J$334)</f>
        <v/>
      </c>
      <c r="AA331">
        <f>IF([2]Baskol!$K$334="","",[2]Baskol!$K$334)</f>
        <v/>
      </c>
      <c r="AB331">
        <f>IF([2]Baskol!$L$334="","",[2]Baskol!$L$334)</f>
        <v/>
      </c>
      <c r="AC331">
        <f>IF([2]Baskol!$N$334="","",[2]Baskol!$N$334)</f>
        <v/>
      </c>
      <c r="AD331">
        <f>IF([2]Baskol!$O$334="","",[2]Baskol!$O$334)</f>
        <v/>
      </c>
      <c r="AE331">
        <f>IF([3]Entry!$C$334="","",[3]Entry!$C$334)</f>
        <v/>
      </c>
      <c r="AF331">
        <f>IF([3]Entry!$D$334="","",[3]Entry!$D$334)</f>
        <v/>
      </c>
      <c r="AG331">
        <f>IF([3]Entry!$E$334="","",[3]Entry!$E$334)</f>
        <v/>
      </c>
      <c r="AH331">
        <f>IF([3]Entry!$G$334="","",[3]Entry!$G$334)</f>
        <v/>
      </c>
      <c r="AI331">
        <f>IF([3]Entry!$K$334="","",[3]Entry!$K$334)</f>
        <v/>
      </c>
      <c r="AJ331">
        <f>IF([3]Entry!$L$334="","",[3]Entry!$L$334)</f>
        <v/>
      </c>
      <c r="AK331">
        <f>IF([3]Entry!$M$334="","",[3]Entry!$M$334)</f>
        <v/>
      </c>
      <c r="AL331">
        <f>IF([3]Entry!$N$334="","",[3]Entry!$N$334)</f>
        <v/>
      </c>
      <c r="AM331">
        <f>IF([3]Entry!$R$334="","",[3]Entry!$R$334)</f>
        <v/>
      </c>
    </row>
    <row r="332">
      <c r="A332">
        <f>IF([1]Accounts!$D$333="","",[1]Accounts!$A$333)</f>
        <v/>
      </c>
      <c r="B332">
        <f>IF([1]Accounts!$D$333="","",[1]Accounts!$B$333)</f>
        <v/>
      </c>
      <c r="C332">
        <f>IF([1]Accounts!$D$333="","",[1]Accounts!$C$333)</f>
        <v/>
      </c>
      <c r="D332">
        <f>IF([1]Accounts!$D$333="","",[1]Accounts!$D$333)</f>
        <v/>
      </c>
      <c r="E332">
        <f>IF([1]Accounts!$D$333="","",[1]Accounts!$E$333)</f>
        <v/>
      </c>
      <c r="F332">
        <f>IF([1]Accounts!$D$333="","",[1]Accounts!$F$333)</f>
        <v/>
      </c>
      <c r="G332">
        <f>IF([1]Accounts!$D$333="","",[1]Accounts!$G$333)</f>
        <v/>
      </c>
      <c r="T332">
        <f>IF([2]Baskol!$B$335="","",[2]Baskol!$B$335)</f>
        <v/>
      </c>
      <c r="U332">
        <f>IF([2]Baskol!$C$335="","",[2]Baskol!$C$335)</f>
        <v/>
      </c>
      <c r="V332">
        <f>IF([2]Baskol!$D$335="","",[2]Baskol!$D$335)</f>
        <v/>
      </c>
      <c r="W332">
        <f>IF([2]Baskol!$E$335="","",[2]Baskol!$E$335)</f>
        <v/>
      </c>
      <c r="X332">
        <f>IF([2]Baskol!$G$335="","",[2]Baskol!$G$335)</f>
        <v/>
      </c>
      <c r="Y332">
        <f>IF([2]Baskol!$I$335="","",[2]Baskol!$I$335)</f>
        <v/>
      </c>
      <c r="Z332">
        <f>IF([2]Baskol!$J$335="","",[2]Baskol!$J$335)</f>
        <v/>
      </c>
      <c r="AA332">
        <f>IF([2]Baskol!$K$335="","",[2]Baskol!$K$335)</f>
        <v/>
      </c>
      <c r="AB332">
        <f>IF([2]Baskol!$L$335="","",[2]Baskol!$L$335)</f>
        <v/>
      </c>
      <c r="AC332">
        <f>IF([2]Baskol!$N$335="","",[2]Baskol!$N$335)</f>
        <v/>
      </c>
      <c r="AD332">
        <f>IF([2]Baskol!$O$335="","",[2]Baskol!$O$335)</f>
        <v/>
      </c>
      <c r="AE332">
        <f>IF([3]Entry!$C$335="","",[3]Entry!$C$335)</f>
        <v/>
      </c>
      <c r="AF332">
        <f>IF([3]Entry!$D$335="","",[3]Entry!$D$335)</f>
        <v/>
      </c>
      <c r="AG332">
        <f>IF([3]Entry!$E$335="","",[3]Entry!$E$335)</f>
        <v/>
      </c>
      <c r="AH332">
        <f>IF([3]Entry!$G$335="","",[3]Entry!$G$335)</f>
        <v/>
      </c>
      <c r="AI332">
        <f>IF([3]Entry!$K$335="","",[3]Entry!$K$335)</f>
        <v/>
      </c>
      <c r="AJ332">
        <f>IF([3]Entry!$L$335="","",[3]Entry!$L$335)</f>
        <v/>
      </c>
      <c r="AK332">
        <f>IF([3]Entry!$M$335="","",[3]Entry!$M$335)</f>
        <v/>
      </c>
      <c r="AL332">
        <f>IF([3]Entry!$N$335="","",[3]Entry!$N$335)</f>
        <v/>
      </c>
      <c r="AM332">
        <f>IF([3]Entry!$R$335="","",[3]Entry!$R$335)</f>
        <v/>
      </c>
    </row>
    <row r="333">
      <c r="A333">
        <f>IF([1]Accounts!$D$334="","",[1]Accounts!$A$334)</f>
        <v/>
      </c>
      <c r="B333">
        <f>IF([1]Accounts!$D$334="","",[1]Accounts!$B$334)</f>
        <v/>
      </c>
      <c r="C333">
        <f>IF([1]Accounts!$D$334="","",[1]Accounts!$C$334)</f>
        <v/>
      </c>
      <c r="D333">
        <f>IF([1]Accounts!$D$334="","",[1]Accounts!$D$334)</f>
        <v/>
      </c>
      <c r="E333">
        <f>IF([1]Accounts!$D$334="","",[1]Accounts!$E$334)</f>
        <v/>
      </c>
      <c r="F333">
        <f>IF([1]Accounts!$D$334="","",[1]Accounts!$F$334)</f>
        <v/>
      </c>
      <c r="G333">
        <f>IF([1]Accounts!$D$334="","",[1]Accounts!$G$334)</f>
        <v/>
      </c>
      <c r="T333">
        <f>IF([2]Baskol!$B$336="","",[2]Baskol!$B$336)</f>
        <v/>
      </c>
      <c r="U333">
        <f>IF([2]Baskol!$C$336="","",[2]Baskol!$C$336)</f>
        <v/>
      </c>
      <c r="V333">
        <f>IF([2]Baskol!$D$336="","",[2]Baskol!$D$336)</f>
        <v/>
      </c>
      <c r="W333">
        <f>IF([2]Baskol!$E$336="","",[2]Baskol!$E$336)</f>
        <v/>
      </c>
      <c r="X333">
        <f>IF([2]Baskol!$G$336="","",[2]Baskol!$G$336)</f>
        <v/>
      </c>
      <c r="Y333">
        <f>IF([2]Baskol!$I$336="","",[2]Baskol!$I$336)</f>
        <v/>
      </c>
      <c r="Z333">
        <f>IF([2]Baskol!$J$336="","",[2]Baskol!$J$336)</f>
        <v/>
      </c>
      <c r="AA333">
        <f>IF([2]Baskol!$K$336="","",[2]Baskol!$K$336)</f>
        <v/>
      </c>
      <c r="AB333">
        <f>IF([2]Baskol!$L$336="","",[2]Baskol!$L$336)</f>
        <v/>
      </c>
      <c r="AC333">
        <f>IF([2]Baskol!$N$336="","",[2]Baskol!$N$336)</f>
        <v/>
      </c>
      <c r="AD333">
        <f>IF([2]Baskol!$O$336="","",[2]Baskol!$O$336)</f>
        <v/>
      </c>
      <c r="AE333">
        <f>IF([3]Entry!$C$336="","",[3]Entry!$C$336)</f>
        <v/>
      </c>
      <c r="AF333">
        <f>IF([3]Entry!$D$336="","",[3]Entry!$D$336)</f>
        <v/>
      </c>
      <c r="AG333">
        <f>IF([3]Entry!$E$336="","",[3]Entry!$E$336)</f>
        <v/>
      </c>
      <c r="AH333">
        <f>IF([3]Entry!$G$336="","",[3]Entry!$G$336)</f>
        <v/>
      </c>
      <c r="AI333">
        <f>IF([3]Entry!$K$336="","",[3]Entry!$K$336)</f>
        <v/>
      </c>
      <c r="AJ333">
        <f>IF([3]Entry!$L$336="","",[3]Entry!$L$336)</f>
        <v/>
      </c>
      <c r="AK333">
        <f>IF([3]Entry!$M$336="","",[3]Entry!$M$336)</f>
        <v/>
      </c>
      <c r="AL333">
        <f>IF([3]Entry!$N$336="","",[3]Entry!$N$336)</f>
        <v/>
      </c>
      <c r="AM333">
        <f>IF([3]Entry!$R$336="","",[3]Entry!$R$336)</f>
        <v/>
      </c>
    </row>
    <row r="334">
      <c r="A334">
        <f>IF([1]Accounts!$D$335="","",[1]Accounts!$A$335)</f>
        <v/>
      </c>
      <c r="B334">
        <f>IF([1]Accounts!$D$335="","",[1]Accounts!$B$335)</f>
        <v/>
      </c>
      <c r="C334">
        <f>IF([1]Accounts!$D$335="","",[1]Accounts!$C$335)</f>
        <v/>
      </c>
      <c r="D334">
        <f>IF([1]Accounts!$D$335="","",[1]Accounts!$D$335)</f>
        <v/>
      </c>
      <c r="E334">
        <f>IF([1]Accounts!$D$335="","",[1]Accounts!$E$335)</f>
        <v/>
      </c>
      <c r="F334">
        <f>IF([1]Accounts!$D$335="","",[1]Accounts!$F$335)</f>
        <v/>
      </c>
      <c r="G334">
        <f>IF([1]Accounts!$D$335="","",[1]Accounts!$G$335)</f>
        <v/>
      </c>
      <c r="T334">
        <f>IF([2]Baskol!$B$337="","",[2]Baskol!$B$337)</f>
        <v/>
      </c>
      <c r="U334">
        <f>IF([2]Baskol!$C$337="","",[2]Baskol!$C$337)</f>
        <v/>
      </c>
      <c r="V334">
        <f>IF([2]Baskol!$D$337="","",[2]Baskol!$D$337)</f>
        <v/>
      </c>
      <c r="W334">
        <f>IF([2]Baskol!$E$337="","",[2]Baskol!$E$337)</f>
        <v/>
      </c>
      <c r="X334">
        <f>IF([2]Baskol!$G$337="","",[2]Baskol!$G$337)</f>
        <v/>
      </c>
      <c r="Y334">
        <f>IF([2]Baskol!$I$337="","",[2]Baskol!$I$337)</f>
        <v/>
      </c>
      <c r="Z334">
        <f>IF([2]Baskol!$J$337="","",[2]Baskol!$J$337)</f>
        <v/>
      </c>
      <c r="AA334">
        <f>IF([2]Baskol!$K$337="","",[2]Baskol!$K$337)</f>
        <v/>
      </c>
      <c r="AB334">
        <f>IF([2]Baskol!$L$337="","",[2]Baskol!$L$337)</f>
        <v/>
      </c>
      <c r="AC334">
        <f>IF([2]Baskol!$N$337="","",[2]Baskol!$N$337)</f>
        <v/>
      </c>
      <c r="AD334">
        <f>IF([2]Baskol!$O$337="","",[2]Baskol!$O$337)</f>
        <v/>
      </c>
      <c r="AE334">
        <f>IF([3]Entry!$C$337="","",[3]Entry!$C$337)</f>
        <v/>
      </c>
      <c r="AF334">
        <f>IF([3]Entry!$D$337="","",[3]Entry!$D$337)</f>
        <v/>
      </c>
      <c r="AG334">
        <f>IF([3]Entry!$E$337="","",[3]Entry!$E$337)</f>
        <v/>
      </c>
      <c r="AH334">
        <f>IF([3]Entry!$G$337="","",[3]Entry!$G$337)</f>
        <v/>
      </c>
      <c r="AI334">
        <f>IF([3]Entry!$K$337="","",[3]Entry!$K$337)</f>
        <v/>
      </c>
      <c r="AJ334">
        <f>IF([3]Entry!$L$337="","",[3]Entry!$L$337)</f>
        <v/>
      </c>
      <c r="AK334">
        <f>IF([3]Entry!$M$337="","",[3]Entry!$M$337)</f>
        <v/>
      </c>
      <c r="AL334">
        <f>IF([3]Entry!$N$337="","",[3]Entry!$N$337)</f>
        <v/>
      </c>
      <c r="AM334">
        <f>IF([3]Entry!$R$337="","",[3]Entry!$R$337)</f>
        <v/>
      </c>
    </row>
    <row r="335">
      <c r="A335">
        <f>IF([1]Accounts!$D$336="","",[1]Accounts!$A$336)</f>
        <v/>
      </c>
      <c r="B335">
        <f>IF([1]Accounts!$D$336="","",[1]Accounts!$B$336)</f>
        <v/>
      </c>
      <c r="C335">
        <f>IF([1]Accounts!$D$336="","",[1]Accounts!$C$336)</f>
        <v/>
      </c>
      <c r="D335">
        <f>IF([1]Accounts!$D$336="","",[1]Accounts!$D$336)</f>
        <v/>
      </c>
      <c r="E335">
        <f>IF([1]Accounts!$D$336="","",[1]Accounts!$E$336)</f>
        <v/>
      </c>
      <c r="F335">
        <f>IF([1]Accounts!$D$336="","",[1]Accounts!$F$336)</f>
        <v/>
      </c>
      <c r="G335">
        <f>IF([1]Accounts!$D$336="","",[1]Accounts!$G$336)</f>
        <v/>
      </c>
      <c r="T335">
        <f>IF([2]Baskol!$B$338="","",[2]Baskol!$B$338)</f>
        <v/>
      </c>
      <c r="U335">
        <f>IF([2]Baskol!$C$338="","",[2]Baskol!$C$338)</f>
        <v/>
      </c>
      <c r="V335">
        <f>IF([2]Baskol!$D$338="","",[2]Baskol!$D$338)</f>
        <v/>
      </c>
      <c r="W335">
        <f>IF([2]Baskol!$E$338="","",[2]Baskol!$E$338)</f>
        <v/>
      </c>
      <c r="X335">
        <f>IF([2]Baskol!$G$338="","",[2]Baskol!$G$338)</f>
        <v/>
      </c>
      <c r="Y335">
        <f>IF([2]Baskol!$I$338="","",[2]Baskol!$I$338)</f>
        <v/>
      </c>
      <c r="Z335">
        <f>IF([2]Baskol!$J$338="","",[2]Baskol!$J$338)</f>
        <v/>
      </c>
      <c r="AA335">
        <f>IF([2]Baskol!$K$338="","",[2]Baskol!$K$338)</f>
        <v/>
      </c>
      <c r="AB335">
        <f>IF([2]Baskol!$L$338="","",[2]Baskol!$L$338)</f>
        <v/>
      </c>
      <c r="AC335">
        <f>IF([2]Baskol!$N$338="","",[2]Baskol!$N$338)</f>
        <v/>
      </c>
      <c r="AD335">
        <f>IF([2]Baskol!$O$338="","",[2]Baskol!$O$338)</f>
        <v/>
      </c>
      <c r="AE335">
        <f>IF([3]Entry!$C$338="","",[3]Entry!$C$338)</f>
        <v/>
      </c>
      <c r="AF335">
        <f>IF([3]Entry!$D$338="","",[3]Entry!$D$338)</f>
        <v/>
      </c>
      <c r="AG335">
        <f>IF([3]Entry!$E$338="","",[3]Entry!$E$338)</f>
        <v/>
      </c>
      <c r="AH335">
        <f>IF([3]Entry!$G$338="","",[3]Entry!$G$338)</f>
        <v/>
      </c>
      <c r="AI335">
        <f>IF([3]Entry!$K$338="","",[3]Entry!$K$338)</f>
        <v/>
      </c>
      <c r="AJ335">
        <f>IF([3]Entry!$L$338="","",[3]Entry!$L$338)</f>
        <v/>
      </c>
      <c r="AK335">
        <f>IF([3]Entry!$M$338="","",[3]Entry!$M$338)</f>
        <v/>
      </c>
      <c r="AL335">
        <f>IF([3]Entry!$N$338="","",[3]Entry!$N$338)</f>
        <v/>
      </c>
      <c r="AM335">
        <f>IF([3]Entry!$R$338="","",[3]Entry!$R$338)</f>
        <v/>
      </c>
    </row>
    <row r="336">
      <c r="A336">
        <f>IF([1]Accounts!$D$337="","",[1]Accounts!$A$337)</f>
        <v/>
      </c>
      <c r="B336">
        <f>IF([1]Accounts!$D$337="","",[1]Accounts!$B$337)</f>
        <v/>
      </c>
      <c r="C336">
        <f>IF([1]Accounts!$D$337="","",[1]Accounts!$C$337)</f>
        <v/>
      </c>
      <c r="D336">
        <f>IF([1]Accounts!$D$337="","",[1]Accounts!$D$337)</f>
        <v/>
      </c>
      <c r="E336">
        <f>IF([1]Accounts!$D$337="","",[1]Accounts!$E$337)</f>
        <v/>
      </c>
      <c r="F336">
        <f>IF([1]Accounts!$D$337="","",[1]Accounts!$F$337)</f>
        <v/>
      </c>
      <c r="G336">
        <f>IF([1]Accounts!$D$337="","",[1]Accounts!$G$337)</f>
        <v/>
      </c>
      <c r="T336">
        <f>IF([2]Baskol!$B$339="","",[2]Baskol!$B$339)</f>
        <v/>
      </c>
      <c r="U336">
        <f>IF([2]Baskol!$C$339="","",[2]Baskol!$C$339)</f>
        <v/>
      </c>
      <c r="V336">
        <f>IF([2]Baskol!$D$339="","",[2]Baskol!$D$339)</f>
        <v/>
      </c>
      <c r="W336">
        <f>IF([2]Baskol!$E$339="","",[2]Baskol!$E$339)</f>
        <v/>
      </c>
      <c r="X336">
        <f>IF([2]Baskol!$G$339="","",[2]Baskol!$G$339)</f>
        <v/>
      </c>
      <c r="Y336">
        <f>IF([2]Baskol!$I$339="","",[2]Baskol!$I$339)</f>
        <v/>
      </c>
      <c r="Z336">
        <f>IF([2]Baskol!$J$339="","",[2]Baskol!$J$339)</f>
        <v/>
      </c>
      <c r="AA336">
        <f>IF([2]Baskol!$K$339="","",[2]Baskol!$K$339)</f>
        <v/>
      </c>
      <c r="AB336">
        <f>IF([2]Baskol!$L$339="","",[2]Baskol!$L$339)</f>
        <v/>
      </c>
      <c r="AC336">
        <f>IF([2]Baskol!$N$339="","",[2]Baskol!$N$339)</f>
        <v/>
      </c>
      <c r="AD336">
        <f>IF([2]Baskol!$O$339="","",[2]Baskol!$O$339)</f>
        <v/>
      </c>
      <c r="AE336">
        <f>IF([3]Entry!$C$339="","",[3]Entry!$C$339)</f>
        <v/>
      </c>
      <c r="AF336">
        <f>IF([3]Entry!$D$339="","",[3]Entry!$D$339)</f>
        <v/>
      </c>
      <c r="AG336">
        <f>IF([3]Entry!$E$339="","",[3]Entry!$E$339)</f>
        <v/>
      </c>
      <c r="AH336">
        <f>IF([3]Entry!$G$339="","",[3]Entry!$G$339)</f>
        <v/>
      </c>
      <c r="AI336">
        <f>IF([3]Entry!$K$339="","",[3]Entry!$K$339)</f>
        <v/>
      </c>
      <c r="AJ336">
        <f>IF([3]Entry!$L$339="","",[3]Entry!$L$339)</f>
        <v/>
      </c>
      <c r="AK336">
        <f>IF([3]Entry!$M$339="","",[3]Entry!$M$339)</f>
        <v/>
      </c>
      <c r="AL336">
        <f>IF([3]Entry!$N$339="","",[3]Entry!$N$339)</f>
        <v/>
      </c>
      <c r="AM336">
        <f>IF([3]Entry!$R$339="","",[3]Entry!$R$339)</f>
        <v/>
      </c>
    </row>
    <row r="337">
      <c r="A337">
        <f>IF([1]Accounts!$D$338="","",[1]Accounts!$A$338)</f>
        <v/>
      </c>
      <c r="B337">
        <f>IF([1]Accounts!$D$338="","",[1]Accounts!$B$338)</f>
        <v/>
      </c>
      <c r="C337">
        <f>IF([1]Accounts!$D$338="","",[1]Accounts!$C$338)</f>
        <v/>
      </c>
      <c r="D337">
        <f>IF([1]Accounts!$D$338="","",[1]Accounts!$D$338)</f>
        <v/>
      </c>
      <c r="E337">
        <f>IF([1]Accounts!$D$338="","",[1]Accounts!$E$338)</f>
        <v/>
      </c>
      <c r="F337">
        <f>IF([1]Accounts!$D$338="","",[1]Accounts!$F$338)</f>
        <v/>
      </c>
      <c r="G337">
        <f>IF([1]Accounts!$D$338="","",[1]Accounts!$G$338)</f>
        <v/>
      </c>
      <c r="T337">
        <f>IF([2]Baskol!$B$340="","",[2]Baskol!$B$340)</f>
        <v/>
      </c>
      <c r="U337">
        <f>IF([2]Baskol!$C$340="","",[2]Baskol!$C$340)</f>
        <v/>
      </c>
      <c r="V337">
        <f>IF([2]Baskol!$D$340="","",[2]Baskol!$D$340)</f>
        <v/>
      </c>
      <c r="W337">
        <f>IF([2]Baskol!$E$340="","",[2]Baskol!$E$340)</f>
        <v/>
      </c>
      <c r="X337">
        <f>IF([2]Baskol!$G$340="","",[2]Baskol!$G$340)</f>
        <v/>
      </c>
      <c r="Y337">
        <f>IF([2]Baskol!$I$340="","",[2]Baskol!$I$340)</f>
        <v/>
      </c>
      <c r="Z337">
        <f>IF([2]Baskol!$J$340="","",[2]Baskol!$J$340)</f>
        <v/>
      </c>
      <c r="AA337">
        <f>IF([2]Baskol!$K$340="","",[2]Baskol!$K$340)</f>
        <v/>
      </c>
      <c r="AB337">
        <f>IF([2]Baskol!$L$340="","",[2]Baskol!$L$340)</f>
        <v/>
      </c>
      <c r="AC337">
        <f>IF([2]Baskol!$N$340="","",[2]Baskol!$N$340)</f>
        <v/>
      </c>
      <c r="AD337">
        <f>IF([2]Baskol!$O$340="","",[2]Baskol!$O$340)</f>
        <v/>
      </c>
      <c r="AE337">
        <f>IF([3]Entry!$C$340="","",[3]Entry!$C$340)</f>
        <v/>
      </c>
      <c r="AF337">
        <f>IF([3]Entry!$D$340="","",[3]Entry!$D$340)</f>
        <v/>
      </c>
      <c r="AG337">
        <f>IF([3]Entry!$E$340="","",[3]Entry!$E$340)</f>
        <v/>
      </c>
      <c r="AH337">
        <f>IF([3]Entry!$G$340="","",[3]Entry!$G$340)</f>
        <v/>
      </c>
      <c r="AI337">
        <f>IF([3]Entry!$K$340="","",[3]Entry!$K$340)</f>
        <v/>
      </c>
      <c r="AJ337">
        <f>IF([3]Entry!$L$340="","",[3]Entry!$L$340)</f>
        <v/>
      </c>
      <c r="AK337">
        <f>IF([3]Entry!$M$340="","",[3]Entry!$M$340)</f>
        <v/>
      </c>
      <c r="AL337">
        <f>IF([3]Entry!$N$340="","",[3]Entry!$N$340)</f>
        <v/>
      </c>
      <c r="AM337">
        <f>IF([3]Entry!$R$340="","",[3]Entry!$R$340)</f>
        <v/>
      </c>
    </row>
    <row r="338">
      <c r="A338">
        <f>IF([1]Accounts!$D$339="","",[1]Accounts!$A$339)</f>
        <v/>
      </c>
      <c r="B338">
        <f>IF([1]Accounts!$D$339="","",[1]Accounts!$B$339)</f>
        <v/>
      </c>
      <c r="C338">
        <f>IF([1]Accounts!$D$339="","",[1]Accounts!$C$339)</f>
        <v/>
      </c>
      <c r="D338">
        <f>IF([1]Accounts!$D$339="","",[1]Accounts!$D$339)</f>
        <v/>
      </c>
      <c r="E338">
        <f>IF([1]Accounts!$D$339="","",[1]Accounts!$E$339)</f>
        <v/>
      </c>
      <c r="F338">
        <f>IF([1]Accounts!$D$339="","",[1]Accounts!$F$339)</f>
        <v/>
      </c>
      <c r="G338">
        <f>IF([1]Accounts!$D$339="","",[1]Accounts!$G$339)</f>
        <v/>
      </c>
      <c r="T338">
        <f>IF([2]Baskol!$B$341="","",[2]Baskol!$B$341)</f>
        <v/>
      </c>
      <c r="U338">
        <f>IF([2]Baskol!$C$341="","",[2]Baskol!$C$341)</f>
        <v/>
      </c>
      <c r="V338">
        <f>IF([2]Baskol!$D$341="","",[2]Baskol!$D$341)</f>
        <v/>
      </c>
      <c r="W338">
        <f>IF([2]Baskol!$E$341="","",[2]Baskol!$E$341)</f>
        <v/>
      </c>
      <c r="X338">
        <f>IF([2]Baskol!$G$341="","",[2]Baskol!$G$341)</f>
        <v/>
      </c>
      <c r="Y338">
        <f>IF([2]Baskol!$I$341="","",[2]Baskol!$I$341)</f>
        <v/>
      </c>
      <c r="Z338">
        <f>IF([2]Baskol!$J$341="","",[2]Baskol!$J$341)</f>
        <v/>
      </c>
      <c r="AA338">
        <f>IF([2]Baskol!$K$341="","",[2]Baskol!$K$341)</f>
        <v/>
      </c>
      <c r="AB338">
        <f>IF([2]Baskol!$L$341="","",[2]Baskol!$L$341)</f>
        <v/>
      </c>
      <c r="AC338">
        <f>IF([2]Baskol!$N$341="","",[2]Baskol!$N$341)</f>
        <v/>
      </c>
      <c r="AD338">
        <f>IF([2]Baskol!$O$341="","",[2]Baskol!$O$341)</f>
        <v/>
      </c>
      <c r="AE338">
        <f>IF([3]Entry!$C$341="","",[3]Entry!$C$341)</f>
        <v/>
      </c>
      <c r="AF338">
        <f>IF([3]Entry!$D$341="","",[3]Entry!$D$341)</f>
        <v/>
      </c>
      <c r="AG338">
        <f>IF([3]Entry!$E$341="","",[3]Entry!$E$341)</f>
        <v/>
      </c>
      <c r="AH338">
        <f>IF([3]Entry!$G$341="","",[3]Entry!$G$341)</f>
        <v/>
      </c>
      <c r="AI338">
        <f>IF([3]Entry!$K$341="","",[3]Entry!$K$341)</f>
        <v/>
      </c>
      <c r="AJ338">
        <f>IF([3]Entry!$L$341="","",[3]Entry!$L$341)</f>
        <v/>
      </c>
      <c r="AK338">
        <f>IF([3]Entry!$M$341="","",[3]Entry!$M$341)</f>
        <v/>
      </c>
      <c r="AL338">
        <f>IF([3]Entry!$N$341="","",[3]Entry!$N$341)</f>
        <v/>
      </c>
      <c r="AM338">
        <f>IF([3]Entry!$R$341="","",[3]Entry!$R$341)</f>
        <v/>
      </c>
    </row>
    <row r="339">
      <c r="A339">
        <f>IF([1]Accounts!$D$340="","",[1]Accounts!$A$340)</f>
        <v/>
      </c>
      <c r="B339">
        <f>IF([1]Accounts!$D$340="","",[1]Accounts!$B$340)</f>
        <v/>
      </c>
      <c r="C339">
        <f>IF([1]Accounts!$D$340="","",[1]Accounts!$C$340)</f>
        <v/>
      </c>
      <c r="D339">
        <f>IF([1]Accounts!$D$340="","",[1]Accounts!$D$340)</f>
        <v/>
      </c>
      <c r="E339">
        <f>IF([1]Accounts!$D$340="","",[1]Accounts!$E$340)</f>
        <v/>
      </c>
      <c r="F339">
        <f>IF([1]Accounts!$D$340="","",[1]Accounts!$F$340)</f>
        <v/>
      </c>
      <c r="G339">
        <f>IF([1]Accounts!$D$340="","",[1]Accounts!$G$340)</f>
        <v/>
      </c>
      <c r="T339">
        <f>IF([2]Baskol!$B$342="","",[2]Baskol!$B$342)</f>
        <v/>
      </c>
      <c r="U339">
        <f>IF([2]Baskol!$C$342="","",[2]Baskol!$C$342)</f>
        <v/>
      </c>
      <c r="V339">
        <f>IF([2]Baskol!$D$342="","",[2]Baskol!$D$342)</f>
        <v/>
      </c>
      <c r="W339">
        <f>IF([2]Baskol!$E$342="","",[2]Baskol!$E$342)</f>
        <v/>
      </c>
      <c r="X339">
        <f>IF([2]Baskol!$G$342="","",[2]Baskol!$G$342)</f>
        <v/>
      </c>
      <c r="Y339">
        <f>IF([2]Baskol!$I$342="","",[2]Baskol!$I$342)</f>
        <v/>
      </c>
      <c r="Z339">
        <f>IF([2]Baskol!$J$342="","",[2]Baskol!$J$342)</f>
        <v/>
      </c>
      <c r="AA339">
        <f>IF([2]Baskol!$K$342="","",[2]Baskol!$K$342)</f>
        <v/>
      </c>
      <c r="AB339">
        <f>IF([2]Baskol!$L$342="","",[2]Baskol!$L$342)</f>
        <v/>
      </c>
      <c r="AC339">
        <f>IF([2]Baskol!$N$342="","",[2]Baskol!$N$342)</f>
        <v/>
      </c>
      <c r="AD339">
        <f>IF([2]Baskol!$O$342="","",[2]Baskol!$O$342)</f>
        <v/>
      </c>
      <c r="AE339">
        <f>IF([3]Entry!$C$342="","",[3]Entry!$C$342)</f>
        <v/>
      </c>
      <c r="AF339">
        <f>IF([3]Entry!$D$342="","",[3]Entry!$D$342)</f>
        <v/>
      </c>
      <c r="AG339">
        <f>IF([3]Entry!$E$342="","",[3]Entry!$E$342)</f>
        <v/>
      </c>
      <c r="AH339">
        <f>IF([3]Entry!$G$342="","",[3]Entry!$G$342)</f>
        <v/>
      </c>
      <c r="AI339">
        <f>IF([3]Entry!$K$342="","",[3]Entry!$K$342)</f>
        <v/>
      </c>
      <c r="AJ339">
        <f>IF([3]Entry!$L$342="","",[3]Entry!$L$342)</f>
        <v/>
      </c>
      <c r="AK339">
        <f>IF([3]Entry!$M$342="","",[3]Entry!$M$342)</f>
        <v/>
      </c>
      <c r="AL339">
        <f>IF([3]Entry!$N$342="","",[3]Entry!$N$342)</f>
        <v/>
      </c>
      <c r="AM339">
        <f>IF([3]Entry!$R$342="","",[3]Entry!$R$342)</f>
        <v/>
      </c>
    </row>
    <row r="340">
      <c r="A340">
        <f>IF([1]Accounts!$D$341="","",[1]Accounts!$A$341)</f>
        <v/>
      </c>
      <c r="B340">
        <f>IF([1]Accounts!$D$341="","",[1]Accounts!$B$341)</f>
        <v/>
      </c>
      <c r="C340">
        <f>IF([1]Accounts!$D$341="","",[1]Accounts!$C$341)</f>
        <v/>
      </c>
      <c r="D340">
        <f>IF([1]Accounts!$D$341="","",[1]Accounts!$D$341)</f>
        <v/>
      </c>
      <c r="E340">
        <f>IF([1]Accounts!$D$341="","",[1]Accounts!$E$341)</f>
        <v/>
      </c>
      <c r="F340">
        <f>IF([1]Accounts!$D$341="","",[1]Accounts!$F$341)</f>
        <v/>
      </c>
      <c r="G340">
        <f>IF([1]Accounts!$D$341="","",[1]Accounts!$G$341)</f>
        <v/>
      </c>
      <c r="T340">
        <f>IF([2]Baskol!$B$343="","",[2]Baskol!$B$343)</f>
        <v/>
      </c>
      <c r="U340">
        <f>IF([2]Baskol!$C$343="","",[2]Baskol!$C$343)</f>
        <v/>
      </c>
      <c r="V340">
        <f>IF([2]Baskol!$D$343="","",[2]Baskol!$D$343)</f>
        <v/>
      </c>
      <c r="W340">
        <f>IF([2]Baskol!$E$343="","",[2]Baskol!$E$343)</f>
        <v/>
      </c>
      <c r="X340">
        <f>IF([2]Baskol!$G$343="","",[2]Baskol!$G$343)</f>
        <v/>
      </c>
      <c r="Y340">
        <f>IF([2]Baskol!$I$343="","",[2]Baskol!$I$343)</f>
        <v/>
      </c>
      <c r="Z340">
        <f>IF([2]Baskol!$J$343="","",[2]Baskol!$J$343)</f>
        <v/>
      </c>
      <c r="AA340">
        <f>IF([2]Baskol!$K$343="","",[2]Baskol!$K$343)</f>
        <v/>
      </c>
      <c r="AB340">
        <f>IF([2]Baskol!$L$343="","",[2]Baskol!$L$343)</f>
        <v/>
      </c>
      <c r="AC340">
        <f>IF([2]Baskol!$N$343="","",[2]Baskol!$N$343)</f>
        <v/>
      </c>
      <c r="AD340">
        <f>IF([2]Baskol!$O$343="","",[2]Baskol!$O$343)</f>
        <v/>
      </c>
      <c r="AE340">
        <f>IF([3]Entry!$C$343="","",[3]Entry!$C$343)</f>
        <v/>
      </c>
      <c r="AF340">
        <f>IF([3]Entry!$D$343="","",[3]Entry!$D$343)</f>
        <v/>
      </c>
      <c r="AG340">
        <f>IF([3]Entry!$E$343="","",[3]Entry!$E$343)</f>
        <v/>
      </c>
      <c r="AH340">
        <f>IF([3]Entry!$G$343="","",[3]Entry!$G$343)</f>
        <v/>
      </c>
      <c r="AI340">
        <f>IF([3]Entry!$K$343="","",[3]Entry!$K$343)</f>
        <v/>
      </c>
      <c r="AJ340">
        <f>IF([3]Entry!$L$343="","",[3]Entry!$L$343)</f>
        <v/>
      </c>
      <c r="AK340">
        <f>IF([3]Entry!$M$343="","",[3]Entry!$M$343)</f>
        <v/>
      </c>
      <c r="AL340">
        <f>IF([3]Entry!$N$343="","",[3]Entry!$N$343)</f>
        <v/>
      </c>
      <c r="AM340">
        <f>IF([3]Entry!$R$343="","",[3]Entry!$R$343)</f>
        <v/>
      </c>
    </row>
    <row r="341">
      <c r="A341">
        <f>IF([1]Accounts!$D$342="","",[1]Accounts!$A$342)</f>
        <v/>
      </c>
      <c r="B341">
        <f>IF([1]Accounts!$D$342="","",[1]Accounts!$B$342)</f>
        <v/>
      </c>
      <c r="C341">
        <f>IF([1]Accounts!$D$342="","",[1]Accounts!$C$342)</f>
        <v/>
      </c>
      <c r="D341">
        <f>IF([1]Accounts!$D$342="","",[1]Accounts!$D$342)</f>
        <v/>
      </c>
      <c r="E341">
        <f>IF([1]Accounts!$D$342="","",[1]Accounts!$E$342)</f>
        <v/>
      </c>
      <c r="F341">
        <f>IF([1]Accounts!$D$342="","",[1]Accounts!$F$342)</f>
        <v/>
      </c>
      <c r="G341">
        <f>IF([1]Accounts!$D$342="","",[1]Accounts!$G$342)</f>
        <v/>
      </c>
      <c r="T341">
        <f>IF([2]Baskol!$B$344="","",[2]Baskol!$B$344)</f>
        <v/>
      </c>
      <c r="U341">
        <f>IF([2]Baskol!$C$344="","",[2]Baskol!$C$344)</f>
        <v/>
      </c>
      <c r="V341">
        <f>IF([2]Baskol!$D$344="","",[2]Baskol!$D$344)</f>
        <v/>
      </c>
      <c r="W341">
        <f>IF([2]Baskol!$E$344="","",[2]Baskol!$E$344)</f>
        <v/>
      </c>
      <c r="X341">
        <f>IF([2]Baskol!$G$344="","",[2]Baskol!$G$344)</f>
        <v/>
      </c>
      <c r="Y341">
        <f>IF([2]Baskol!$I$344="","",[2]Baskol!$I$344)</f>
        <v/>
      </c>
      <c r="Z341">
        <f>IF([2]Baskol!$J$344="","",[2]Baskol!$J$344)</f>
        <v/>
      </c>
      <c r="AA341">
        <f>IF([2]Baskol!$K$344="","",[2]Baskol!$K$344)</f>
        <v/>
      </c>
      <c r="AB341">
        <f>IF([2]Baskol!$L$344="","",[2]Baskol!$L$344)</f>
        <v/>
      </c>
      <c r="AC341">
        <f>IF([2]Baskol!$N$344="","",[2]Baskol!$N$344)</f>
        <v/>
      </c>
      <c r="AD341">
        <f>IF([2]Baskol!$O$344="","",[2]Baskol!$O$344)</f>
        <v/>
      </c>
      <c r="AE341">
        <f>IF([3]Entry!$C$344="","",[3]Entry!$C$344)</f>
        <v/>
      </c>
      <c r="AF341">
        <f>IF([3]Entry!$D$344="","",[3]Entry!$D$344)</f>
        <v/>
      </c>
      <c r="AG341">
        <f>IF([3]Entry!$E$344="","",[3]Entry!$E$344)</f>
        <v/>
      </c>
      <c r="AH341">
        <f>IF([3]Entry!$G$344="","",[3]Entry!$G$344)</f>
        <v/>
      </c>
      <c r="AI341">
        <f>IF([3]Entry!$K$344="","",[3]Entry!$K$344)</f>
        <v/>
      </c>
      <c r="AJ341">
        <f>IF([3]Entry!$L$344="","",[3]Entry!$L$344)</f>
        <v/>
      </c>
      <c r="AK341">
        <f>IF([3]Entry!$M$344="","",[3]Entry!$M$344)</f>
        <v/>
      </c>
      <c r="AL341">
        <f>IF([3]Entry!$N$344="","",[3]Entry!$N$344)</f>
        <v/>
      </c>
      <c r="AM341">
        <f>IF([3]Entry!$R$344="","",[3]Entry!$R$344)</f>
        <v/>
      </c>
    </row>
    <row r="342">
      <c r="A342">
        <f>IF([1]Accounts!$D$343="","",[1]Accounts!$A$343)</f>
        <v/>
      </c>
      <c r="B342">
        <f>IF([1]Accounts!$D$343="","",[1]Accounts!$B$343)</f>
        <v/>
      </c>
      <c r="C342">
        <f>IF([1]Accounts!$D$343="","",[1]Accounts!$C$343)</f>
        <v/>
      </c>
      <c r="D342">
        <f>IF([1]Accounts!$D$343="","",[1]Accounts!$D$343)</f>
        <v/>
      </c>
      <c r="E342">
        <f>IF([1]Accounts!$D$343="","",[1]Accounts!$E$343)</f>
        <v/>
      </c>
      <c r="F342">
        <f>IF([1]Accounts!$D$343="","",[1]Accounts!$F$343)</f>
        <v/>
      </c>
      <c r="G342">
        <f>IF([1]Accounts!$D$343="","",[1]Accounts!$G$343)</f>
        <v/>
      </c>
      <c r="T342">
        <f>IF([2]Baskol!$B$345="","",[2]Baskol!$B$345)</f>
        <v/>
      </c>
      <c r="U342">
        <f>IF([2]Baskol!$C$345="","",[2]Baskol!$C$345)</f>
        <v/>
      </c>
      <c r="V342">
        <f>IF([2]Baskol!$D$345="","",[2]Baskol!$D$345)</f>
        <v/>
      </c>
      <c r="W342">
        <f>IF([2]Baskol!$E$345="","",[2]Baskol!$E$345)</f>
        <v/>
      </c>
      <c r="X342">
        <f>IF([2]Baskol!$G$345="","",[2]Baskol!$G$345)</f>
        <v/>
      </c>
      <c r="Y342">
        <f>IF([2]Baskol!$I$345="","",[2]Baskol!$I$345)</f>
        <v/>
      </c>
      <c r="Z342">
        <f>IF([2]Baskol!$J$345="","",[2]Baskol!$J$345)</f>
        <v/>
      </c>
      <c r="AA342">
        <f>IF([2]Baskol!$K$345="","",[2]Baskol!$K$345)</f>
        <v/>
      </c>
      <c r="AB342">
        <f>IF([2]Baskol!$L$345="","",[2]Baskol!$L$345)</f>
        <v/>
      </c>
      <c r="AC342">
        <f>IF([2]Baskol!$N$345="","",[2]Baskol!$N$345)</f>
        <v/>
      </c>
      <c r="AD342">
        <f>IF([2]Baskol!$O$345="","",[2]Baskol!$O$345)</f>
        <v/>
      </c>
      <c r="AE342">
        <f>IF([3]Entry!$C$345="","",[3]Entry!$C$345)</f>
        <v/>
      </c>
      <c r="AF342">
        <f>IF([3]Entry!$D$345="","",[3]Entry!$D$345)</f>
        <v/>
      </c>
      <c r="AG342">
        <f>IF([3]Entry!$E$345="","",[3]Entry!$E$345)</f>
        <v/>
      </c>
      <c r="AH342">
        <f>IF([3]Entry!$G$345="","",[3]Entry!$G$345)</f>
        <v/>
      </c>
      <c r="AI342">
        <f>IF([3]Entry!$K$345="","",[3]Entry!$K$345)</f>
        <v/>
      </c>
      <c r="AJ342">
        <f>IF([3]Entry!$L$345="","",[3]Entry!$L$345)</f>
        <v/>
      </c>
      <c r="AK342">
        <f>IF([3]Entry!$M$345="","",[3]Entry!$M$345)</f>
        <v/>
      </c>
      <c r="AL342">
        <f>IF([3]Entry!$N$345="","",[3]Entry!$N$345)</f>
        <v/>
      </c>
      <c r="AM342">
        <f>IF([3]Entry!$R$345="","",[3]Entry!$R$345)</f>
        <v/>
      </c>
    </row>
    <row r="343">
      <c r="A343">
        <f>IF([1]Accounts!$D$344="","",[1]Accounts!$A$344)</f>
        <v/>
      </c>
      <c r="B343">
        <f>IF([1]Accounts!$D$344="","",[1]Accounts!$B$344)</f>
        <v/>
      </c>
      <c r="C343">
        <f>IF([1]Accounts!$D$344="","",[1]Accounts!$C$344)</f>
        <v/>
      </c>
      <c r="D343">
        <f>IF([1]Accounts!$D$344="","",[1]Accounts!$D$344)</f>
        <v/>
      </c>
      <c r="E343">
        <f>IF([1]Accounts!$D$344="","",[1]Accounts!$E$344)</f>
        <v/>
      </c>
      <c r="F343">
        <f>IF([1]Accounts!$D$344="","",[1]Accounts!$F$344)</f>
        <v/>
      </c>
      <c r="G343">
        <f>IF([1]Accounts!$D$344="","",[1]Accounts!$G$344)</f>
        <v/>
      </c>
      <c r="T343">
        <f>IF([2]Baskol!$B$346="","",[2]Baskol!$B$346)</f>
        <v/>
      </c>
      <c r="U343">
        <f>IF([2]Baskol!$C$346="","",[2]Baskol!$C$346)</f>
        <v/>
      </c>
      <c r="V343">
        <f>IF([2]Baskol!$D$346="","",[2]Baskol!$D$346)</f>
        <v/>
      </c>
      <c r="W343">
        <f>IF([2]Baskol!$E$346="","",[2]Baskol!$E$346)</f>
        <v/>
      </c>
      <c r="X343">
        <f>IF([2]Baskol!$G$346="","",[2]Baskol!$G$346)</f>
        <v/>
      </c>
      <c r="Y343">
        <f>IF([2]Baskol!$I$346="","",[2]Baskol!$I$346)</f>
        <v/>
      </c>
      <c r="Z343">
        <f>IF([2]Baskol!$J$346="","",[2]Baskol!$J$346)</f>
        <v/>
      </c>
      <c r="AA343">
        <f>IF([2]Baskol!$K$346="","",[2]Baskol!$K$346)</f>
        <v/>
      </c>
      <c r="AB343">
        <f>IF([2]Baskol!$L$346="","",[2]Baskol!$L$346)</f>
        <v/>
      </c>
      <c r="AC343">
        <f>IF([2]Baskol!$N$346="","",[2]Baskol!$N$346)</f>
        <v/>
      </c>
      <c r="AD343">
        <f>IF([2]Baskol!$O$346="","",[2]Baskol!$O$346)</f>
        <v/>
      </c>
      <c r="AE343">
        <f>IF([3]Entry!$C$346="","",[3]Entry!$C$346)</f>
        <v/>
      </c>
      <c r="AF343">
        <f>IF([3]Entry!$D$346="","",[3]Entry!$D$346)</f>
        <v/>
      </c>
      <c r="AG343">
        <f>IF([3]Entry!$E$346="","",[3]Entry!$E$346)</f>
        <v/>
      </c>
      <c r="AH343">
        <f>IF([3]Entry!$G$346="","",[3]Entry!$G$346)</f>
        <v/>
      </c>
      <c r="AI343">
        <f>IF([3]Entry!$K$346="","",[3]Entry!$K$346)</f>
        <v/>
      </c>
      <c r="AJ343">
        <f>IF([3]Entry!$L$346="","",[3]Entry!$L$346)</f>
        <v/>
      </c>
      <c r="AK343">
        <f>IF([3]Entry!$M$346="","",[3]Entry!$M$346)</f>
        <v/>
      </c>
      <c r="AL343">
        <f>IF([3]Entry!$N$346="","",[3]Entry!$N$346)</f>
        <v/>
      </c>
      <c r="AM343">
        <f>IF([3]Entry!$R$346="","",[3]Entry!$R$346)</f>
        <v/>
      </c>
    </row>
    <row r="344">
      <c r="A344">
        <f>IF([1]Accounts!$D$345="","",[1]Accounts!$A$345)</f>
        <v/>
      </c>
      <c r="B344">
        <f>IF([1]Accounts!$D$345="","",[1]Accounts!$B$345)</f>
        <v/>
      </c>
      <c r="C344">
        <f>IF([1]Accounts!$D$345="","",[1]Accounts!$C$345)</f>
        <v/>
      </c>
      <c r="D344">
        <f>IF([1]Accounts!$D$345="","",[1]Accounts!$D$345)</f>
        <v/>
      </c>
      <c r="E344">
        <f>IF([1]Accounts!$D$345="","",[1]Accounts!$E$345)</f>
        <v/>
      </c>
      <c r="F344">
        <f>IF([1]Accounts!$D$345="","",[1]Accounts!$F$345)</f>
        <v/>
      </c>
      <c r="G344">
        <f>IF([1]Accounts!$D$345="","",[1]Accounts!$G$345)</f>
        <v/>
      </c>
      <c r="T344">
        <f>IF([2]Baskol!$B$347="","",[2]Baskol!$B$347)</f>
        <v/>
      </c>
      <c r="U344">
        <f>IF([2]Baskol!$C$347="","",[2]Baskol!$C$347)</f>
        <v/>
      </c>
      <c r="V344">
        <f>IF([2]Baskol!$D$347="","",[2]Baskol!$D$347)</f>
        <v/>
      </c>
      <c r="W344">
        <f>IF([2]Baskol!$E$347="","",[2]Baskol!$E$347)</f>
        <v/>
      </c>
      <c r="X344">
        <f>IF([2]Baskol!$G$347="","",[2]Baskol!$G$347)</f>
        <v/>
      </c>
      <c r="Y344">
        <f>IF([2]Baskol!$I$347="","",[2]Baskol!$I$347)</f>
        <v/>
      </c>
      <c r="Z344">
        <f>IF([2]Baskol!$J$347="","",[2]Baskol!$J$347)</f>
        <v/>
      </c>
      <c r="AA344">
        <f>IF([2]Baskol!$K$347="","",[2]Baskol!$K$347)</f>
        <v/>
      </c>
      <c r="AB344">
        <f>IF([2]Baskol!$L$347="","",[2]Baskol!$L$347)</f>
        <v/>
      </c>
      <c r="AC344">
        <f>IF([2]Baskol!$N$347="","",[2]Baskol!$N$347)</f>
        <v/>
      </c>
      <c r="AD344">
        <f>IF([2]Baskol!$O$347="","",[2]Baskol!$O$347)</f>
        <v/>
      </c>
      <c r="AE344">
        <f>IF([3]Entry!$C$347="","",[3]Entry!$C$347)</f>
        <v/>
      </c>
      <c r="AF344">
        <f>IF([3]Entry!$D$347="","",[3]Entry!$D$347)</f>
        <v/>
      </c>
      <c r="AG344">
        <f>IF([3]Entry!$E$347="","",[3]Entry!$E$347)</f>
        <v/>
      </c>
      <c r="AH344">
        <f>IF([3]Entry!$G$347="","",[3]Entry!$G$347)</f>
        <v/>
      </c>
      <c r="AI344">
        <f>IF([3]Entry!$K$347="","",[3]Entry!$K$347)</f>
        <v/>
      </c>
      <c r="AJ344">
        <f>IF([3]Entry!$L$347="","",[3]Entry!$L$347)</f>
        <v/>
      </c>
      <c r="AK344">
        <f>IF([3]Entry!$M$347="","",[3]Entry!$M$347)</f>
        <v/>
      </c>
      <c r="AL344">
        <f>IF([3]Entry!$N$347="","",[3]Entry!$N$347)</f>
        <v/>
      </c>
      <c r="AM344">
        <f>IF([3]Entry!$R$347="","",[3]Entry!$R$347)</f>
        <v/>
      </c>
    </row>
    <row r="345">
      <c r="A345">
        <f>IF([1]Accounts!$D$346="","",[1]Accounts!$A$346)</f>
        <v/>
      </c>
      <c r="B345">
        <f>IF([1]Accounts!$D$346="","",[1]Accounts!$B$346)</f>
        <v/>
      </c>
      <c r="C345">
        <f>IF([1]Accounts!$D$346="","",[1]Accounts!$C$346)</f>
        <v/>
      </c>
      <c r="D345">
        <f>IF([1]Accounts!$D$346="","",[1]Accounts!$D$346)</f>
        <v/>
      </c>
      <c r="E345">
        <f>IF([1]Accounts!$D$346="","",[1]Accounts!$E$346)</f>
        <v/>
      </c>
      <c r="F345">
        <f>IF([1]Accounts!$D$346="","",[1]Accounts!$F$346)</f>
        <v/>
      </c>
      <c r="G345">
        <f>IF([1]Accounts!$D$346="","",[1]Accounts!$G$346)</f>
        <v/>
      </c>
      <c r="T345">
        <f>IF([2]Baskol!$B$348="","",[2]Baskol!$B$348)</f>
        <v/>
      </c>
      <c r="U345">
        <f>IF([2]Baskol!$C$348="","",[2]Baskol!$C$348)</f>
        <v/>
      </c>
      <c r="V345">
        <f>IF([2]Baskol!$D$348="","",[2]Baskol!$D$348)</f>
        <v/>
      </c>
      <c r="W345">
        <f>IF([2]Baskol!$E$348="","",[2]Baskol!$E$348)</f>
        <v/>
      </c>
      <c r="X345">
        <f>IF([2]Baskol!$G$348="","",[2]Baskol!$G$348)</f>
        <v/>
      </c>
      <c r="Y345">
        <f>IF([2]Baskol!$I$348="","",[2]Baskol!$I$348)</f>
        <v/>
      </c>
      <c r="Z345">
        <f>IF([2]Baskol!$J$348="","",[2]Baskol!$J$348)</f>
        <v/>
      </c>
      <c r="AA345">
        <f>IF([2]Baskol!$K$348="","",[2]Baskol!$K$348)</f>
        <v/>
      </c>
      <c r="AB345">
        <f>IF([2]Baskol!$L$348="","",[2]Baskol!$L$348)</f>
        <v/>
      </c>
      <c r="AC345">
        <f>IF([2]Baskol!$N$348="","",[2]Baskol!$N$348)</f>
        <v/>
      </c>
      <c r="AD345">
        <f>IF([2]Baskol!$O$348="","",[2]Baskol!$O$348)</f>
        <v/>
      </c>
      <c r="AE345">
        <f>IF([3]Entry!$C$348="","",[3]Entry!$C$348)</f>
        <v/>
      </c>
      <c r="AF345">
        <f>IF([3]Entry!$D$348="","",[3]Entry!$D$348)</f>
        <v/>
      </c>
      <c r="AG345">
        <f>IF([3]Entry!$E$348="","",[3]Entry!$E$348)</f>
        <v/>
      </c>
      <c r="AH345">
        <f>IF([3]Entry!$G$348="","",[3]Entry!$G$348)</f>
        <v/>
      </c>
      <c r="AI345">
        <f>IF([3]Entry!$K$348="","",[3]Entry!$K$348)</f>
        <v/>
      </c>
      <c r="AJ345">
        <f>IF([3]Entry!$L$348="","",[3]Entry!$L$348)</f>
        <v/>
      </c>
      <c r="AK345">
        <f>IF([3]Entry!$M$348="","",[3]Entry!$M$348)</f>
        <v/>
      </c>
      <c r="AL345">
        <f>IF([3]Entry!$N$348="","",[3]Entry!$N$348)</f>
        <v/>
      </c>
      <c r="AM345">
        <f>IF([3]Entry!$R$348="","",[3]Entry!$R$348)</f>
        <v/>
      </c>
    </row>
    <row r="346">
      <c r="A346">
        <f>IF([1]Accounts!$D$347="","",[1]Accounts!$A$347)</f>
        <v/>
      </c>
      <c r="B346">
        <f>IF([1]Accounts!$D$347="","",[1]Accounts!$B$347)</f>
        <v/>
      </c>
      <c r="C346">
        <f>IF([1]Accounts!$D$347="","",[1]Accounts!$C$347)</f>
        <v/>
      </c>
      <c r="D346">
        <f>IF([1]Accounts!$D$347="","",[1]Accounts!$D$347)</f>
        <v/>
      </c>
      <c r="E346">
        <f>IF([1]Accounts!$D$347="","",[1]Accounts!$E$347)</f>
        <v/>
      </c>
      <c r="F346">
        <f>IF([1]Accounts!$D$347="","",[1]Accounts!$F$347)</f>
        <v/>
      </c>
      <c r="G346">
        <f>IF([1]Accounts!$D$347="","",[1]Accounts!$G$347)</f>
        <v/>
      </c>
      <c r="T346">
        <f>IF([2]Baskol!$B$349="","",[2]Baskol!$B$349)</f>
        <v/>
      </c>
      <c r="U346">
        <f>IF([2]Baskol!$C$349="","",[2]Baskol!$C$349)</f>
        <v/>
      </c>
      <c r="V346">
        <f>IF([2]Baskol!$D$349="","",[2]Baskol!$D$349)</f>
        <v/>
      </c>
      <c r="W346">
        <f>IF([2]Baskol!$E$349="","",[2]Baskol!$E$349)</f>
        <v/>
      </c>
      <c r="X346">
        <f>IF([2]Baskol!$G$349="","",[2]Baskol!$G$349)</f>
        <v/>
      </c>
      <c r="Y346">
        <f>IF([2]Baskol!$I$349="","",[2]Baskol!$I$349)</f>
        <v/>
      </c>
      <c r="Z346">
        <f>IF([2]Baskol!$J$349="","",[2]Baskol!$J$349)</f>
        <v/>
      </c>
      <c r="AA346">
        <f>IF([2]Baskol!$K$349="","",[2]Baskol!$K$349)</f>
        <v/>
      </c>
      <c r="AB346">
        <f>IF([2]Baskol!$L$349="","",[2]Baskol!$L$349)</f>
        <v/>
      </c>
      <c r="AC346">
        <f>IF([2]Baskol!$N$349="","",[2]Baskol!$N$349)</f>
        <v/>
      </c>
      <c r="AD346">
        <f>IF([2]Baskol!$O$349="","",[2]Baskol!$O$349)</f>
        <v/>
      </c>
      <c r="AE346">
        <f>IF([3]Entry!$C$349="","",[3]Entry!$C$349)</f>
        <v/>
      </c>
      <c r="AF346">
        <f>IF([3]Entry!$D$349="","",[3]Entry!$D$349)</f>
        <v/>
      </c>
      <c r="AG346">
        <f>IF([3]Entry!$E$349="","",[3]Entry!$E$349)</f>
        <v/>
      </c>
      <c r="AH346">
        <f>IF([3]Entry!$G$349="","",[3]Entry!$G$349)</f>
        <v/>
      </c>
      <c r="AI346">
        <f>IF([3]Entry!$K$349="","",[3]Entry!$K$349)</f>
        <v/>
      </c>
      <c r="AJ346">
        <f>IF([3]Entry!$L$349="","",[3]Entry!$L$349)</f>
        <v/>
      </c>
      <c r="AK346">
        <f>IF([3]Entry!$M$349="","",[3]Entry!$M$349)</f>
        <v/>
      </c>
      <c r="AL346">
        <f>IF([3]Entry!$N$349="","",[3]Entry!$N$349)</f>
        <v/>
      </c>
      <c r="AM346">
        <f>IF([3]Entry!$R$349="","",[3]Entry!$R$349)</f>
        <v/>
      </c>
    </row>
    <row r="347">
      <c r="A347">
        <f>IF([1]Accounts!$D$348="","",[1]Accounts!$A$348)</f>
        <v/>
      </c>
      <c r="B347">
        <f>IF([1]Accounts!$D$348="","",[1]Accounts!$B$348)</f>
        <v/>
      </c>
      <c r="C347">
        <f>IF([1]Accounts!$D$348="","",[1]Accounts!$C$348)</f>
        <v/>
      </c>
      <c r="D347">
        <f>IF([1]Accounts!$D$348="","",[1]Accounts!$D$348)</f>
        <v/>
      </c>
      <c r="E347">
        <f>IF([1]Accounts!$D$348="","",[1]Accounts!$E$348)</f>
        <v/>
      </c>
      <c r="F347">
        <f>IF([1]Accounts!$D$348="","",[1]Accounts!$F$348)</f>
        <v/>
      </c>
      <c r="G347">
        <f>IF([1]Accounts!$D$348="","",[1]Accounts!$G$348)</f>
        <v/>
      </c>
      <c r="T347">
        <f>IF([2]Baskol!$B$350="","",[2]Baskol!$B$350)</f>
        <v/>
      </c>
      <c r="U347">
        <f>IF([2]Baskol!$C$350="","",[2]Baskol!$C$350)</f>
        <v/>
      </c>
      <c r="V347">
        <f>IF([2]Baskol!$D$350="","",[2]Baskol!$D$350)</f>
        <v/>
      </c>
      <c r="W347">
        <f>IF([2]Baskol!$E$350="","",[2]Baskol!$E$350)</f>
        <v/>
      </c>
      <c r="X347">
        <f>IF([2]Baskol!$G$350="","",[2]Baskol!$G$350)</f>
        <v/>
      </c>
      <c r="Y347">
        <f>IF([2]Baskol!$I$350="","",[2]Baskol!$I$350)</f>
        <v/>
      </c>
      <c r="Z347">
        <f>IF([2]Baskol!$J$350="","",[2]Baskol!$J$350)</f>
        <v/>
      </c>
      <c r="AA347">
        <f>IF([2]Baskol!$K$350="","",[2]Baskol!$K$350)</f>
        <v/>
      </c>
      <c r="AB347">
        <f>IF([2]Baskol!$L$350="","",[2]Baskol!$L$350)</f>
        <v/>
      </c>
      <c r="AC347">
        <f>IF([2]Baskol!$N$350="","",[2]Baskol!$N$350)</f>
        <v/>
      </c>
      <c r="AD347">
        <f>IF([2]Baskol!$O$350="","",[2]Baskol!$O$350)</f>
        <v/>
      </c>
      <c r="AE347">
        <f>IF([3]Entry!$C$350="","",[3]Entry!$C$350)</f>
        <v/>
      </c>
      <c r="AF347">
        <f>IF([3]Entry!$D$350="","",[3]Entry!$D$350)</f>
        <v/>
      </c>
      <c r="AG347">
        <f>IF([3]Entry!$E$350="","",[3]Entry!$E$350)</f>
        <v/>
      </c>
      <c r="AH347">
        <f>IF([3]Entry!$G$350="","",[3]Entry!$G$350)</f>
        <v/>
      </c>
      <c r="AI347">
        <f>IF([3]Entry!$K$350="","",[3]Entry!$K$350)</f>
        <v/>
      </c>
      <c r="AJ347">
        <f>IF([3]Entry!$L$350="","",[3]Entry!$L$350)</f>
        <v/>
      </c>
      <c r="AK347">
        <f>IF([3]Entry!$M$350="","",[3]Entry!$M$350)</f>
        <v/>
      </c>
      <c r="AL347">
        <f>IF([3]Entry!$N$350="","",[3]Entry!$N$350)</f>
        <v/>
      </c>
      <c r="AM347">
        <f>IF([3]Entry!$R$350="","",[3]Entry!$R$350)</f>
        <v/>
      </c>
    </row>
    <row r="348">
      <c r="A348">
        <f>IF([1]Accounts!$D$349="","",[1]Accounts!$A$349)</f>
        <v/>
      </c>
      <c r="B348">
        <f>IF([1]Accounts!$D$349="","",[1]Accounts!$B$349)</f>
        <v/>
      </c>
      <c r="C348">
        <f>IF([1]Accounts!$D$349="","",[1]Accounts!$C$349)</f>
        <v/>
      </c>
      <c r="D348">
        <f>IF([1]Accounts!$D$349="","",[1]Accounts!$D$349)</f>
        <v/>
      </c>
      <c r="E348">
        <f>IF([1]Accounts!$D$349="","",[1]Accounts!$E$349)</f>
        <v/>
      </c>
      <c r="F348">
        <f>IF([1]Accounts!$D$349="","",[1]Accounts!$F$349)</f>
        <v/>
      </c>
      <c r="G348">
        <f>IF([1]Accounts!$D$349="","",[1]Accounts!$G$349)</f>
        <v/>
      </c>
      <c r="T348">
        <f>IF([2]Baskol!$B$351="","",[2]Baskol!$B$351)</f>
        <v/>
      </c>
      <c r="U348">
        <f>IF([2]Baskol!$C$351="","",[2]Baskol!$C$351)</f>
        <v/>
      </c>
      <c r="V348">
        <f>IF([2]Baskol!$D$351="","",[2]Baskol!$D$351)</f>
        <v/>
      </c>
      <c r="W348">
        <f>IF([2]Baskol!$E$351="","",[2]Baskol!$E$351)</f>
        <v/>
      </c>
      <c r="X348">
        <f>IF([2]Baskol!$G$351="","",[2]Baskol!$G$351)</f>
        <v/>
      </c>
      <c r="Y348">
        <f>IF([2]Baskol!$I$351="","",[2]Baskol!$I$351)</f>
        <v/>
      </c>
      <c r="Z348">
        <f>IF([2]Baskol!$J$351="","",[2]Baskol!$J$351)</f>
        <v/>
      </c>
      <c r="AA348">
        <f>IF([2]Baskol!$K$351="","",[2]Baskol!$K$351)</f>
        <v/>
      </c>
      <c r="AB348">
        <f>IF([2]Baskol!$L$351="","",[2]Baskol!$L$351)</f>
        <v/>
      </c>
      <c r="AC348">
        <f>IF([2]Baskol!$N$351="","",[2]Baskol!$N$351)</f>
        <v/>
      </c>
      <c r="AD348">
        <f>IF([2]Baskol!$O$351="","",[2]Baskol!$O$351)</f>
        <v/>
      </c>
      <c r="AE348">
        <f>IF([3]Entry!$C$351="","",[3]Entry!$C$351)</f>
        <v/>
      </c>
      <c r="AF348">
        <f>IF([3]Entry!$D$351="","",[3]Entry!$D$351)</f>
        <v/>
      </c>
      <c r="AG348">
        <f>IF([3]Entry!$E$351="","",[3]Entry!$E$351)</f>
        <v/>
      </c>
      <c r="AH348">
        <f>IF([3]Entry!$G$351="","",[3]Entry!$G$351)</f>
        <v/>
      </c>
      <c r="AI348">
        <f>IF([3]Entry!$K$351="","",[3]Entry!$K$351)</f>
        <v/>
      </c>
      <c r="AJ348">
        <f>IF([3]Entry!$L$351="","",[3]Entry!$L$351)</f>
        <v/>
      </c>
      <c r="AK348">
        <f>IF([3]Entry!$M$351="","",[3]Entry!$M$351)</f>
        <v/>
      </c>
      <c r="AL348">
        <f>IF([3]Entry!$N$351="","",[3]Entry!$N$351)</f>
        <v/>
      </c>
      <c r="AM348">
        <f>IF([3]Entry!$R$351="","",[3]Entry!$R$351)</f>
        <v/>
      </c>
    </row>
    <row r="349">
      <c r="A349">
        <f>IF([1]Accounts!$D$350="","",[1]Accounts!$A$350)</f>
        <v/>
      </c>
      <c r="B349">
        <f>IF([1]Accounts!$D$350="","",[1]Accounts!$B$350)</f>
        <v/>
      </c>
      <c r="C349">
        <f>IF([1]Accounts!$D$350="","",[1]Accounts!$C$350)</f>
        <v/>
      </c>
      <c r="D349">
        <f>IF([1]Accounts!$D$350="","",[1]Accounts!$D$350)</f>
        <v/>
      </c>
      <c r="E349">
        <f>IF([1]Accounts!$D$350="","",[1]Accounts!$E$350)</f>
        <v/>
      </c>
      <c r="F349">
        <f>IF([1]Accounts!$D$350="","",[1]Accounts!$F$350)</f>
        <v/>
      </c>
      <c r="G349">
        <f>IF([1]Accounts!$D$350="","",[1]Accounts!$G$350)</f>
        <v/>
      </c>
      <c r="T349">
        <f>IF([2]Baskol!$B$352="","",[2]Baskol!$B$352)</f>
        <v/>
      </c>
      <c r="U349">
        <f>IF([2]Baskol!$C$352="","",[2]Baskol!$C$352)</f>
        <v/>
      </c>
      <c r="V349">
        <f>IF([2]Baskol!$D$352="","",[2]Baskol!$D$352)</f>
        <v/>
      </c>
      <c r="W349">
        <f>IF([2]Baskol!$E$352="","",[2]Baskol!$E$352)</f>
        <v/>
      </c>
      <c r="X349">
        <f>IF([2]Baskol!$G$352="","",[2]Baskol!$G$352)</f>
        <v/>
      </c>
      <c r="Y349">
        <f>IF([2]Baskol!$I$352="","",[2]Baskol!$I$352)</f>
        <v/>
      </c>
      <c r="Z349">
        <f>IF([2]Baskol!$J$352="","",[2]Baskol!$J$352)</f>
        <v/>
      </c>
      <c r="AA349">
        <f>IF([2]Baskol!$K$352="","",[2]Baskol!$K$352)</f>
        <v/>
      </c>
      <c r="AB349">
        <f>IF([2]Baskol!$L$352="","",[2]Baskol!$L$352)</f>
        <v/>
      </c>
      <c r="AC349">
        <f>IF([2]Baskol!$N$352="","",[2]Baskol!$N$352)</f>
        <v/>
      </c>
      <c r="AD349">
        <f>IF([2]Baskol!$O$352="","",[2]Baskol!$O$352)</f>
        <v/>
      </c>
      <c r="AE349">
        <f>IF([3]Entry!$C$352="","",[3]Entry!$C$352)</f>
        <v/>
      </c>
      <c r="AF349">
        <f>IF([3]Entry!$D$352="","",[3]Entry!$D$352)</f>
        <v/>
      </c>
      <c r="AG349">
        <f>IF([3]Entry!$E$352="","",[3]Entry!$E$352)</f>
        <v/>
      </c>
      <c r="AH349">
        <f>IF([3]Entry!$G$352="","",[3]Entry!$G$352)</f>
        <v/>
      </c>
      <c r="AI349">
        <f>IF([3]Entry!$K$352="","",[3]Entry!$K$352)</f>
        <v/>
      </c>
      <c r="AJ349">
        <f>IF([3]Entry!$L$352="","",[3]Entry!$L$352)</f>
        <v/>
      </c>
      <c r="AK349">
        <f>IF([3]Entry!$M$352="","",[3]Entry!$M$352)</f>
        <v/>
      </c>
      <c r="AL349">
        <f>IF([3]Entry!$N$352="","",[3]Entry!$N$352)</f>
        <v/>
      </c>
      <c r="AM349">
        <f>IF([3]Entry!$R$352="","",[3]Entry!$R$352)</f>
        <v/>
      </c>
    </row>
    <row r="350">
      <c r="A350">
        <f>IF([1]Accounts!$D$351="","",[1]Accounts!$A$351)</f>
        <v/>
      </c>
      <c r="B350">
        <f>IF([1]Accounts!$D$351="","",[1]Accounts!$B$351)</f>
        <v/>
      </c>
      <c r="C350">
        <f>IF([1]Accounts!$D$351="","",[1]Accounts!$C$351)</f>
        <v/>
      </c>
      <c r="D350">
        <f>IF([1]Accounts!$D$351="","",[1]Accounts!$D$351)</f>
        <v/>
      </c>
      <c r="E350">
        <f>IF([1]Accounts!$D$351="","",[1]Accounts!$E$351)</f>
        <v/>
      </c>
      <c r="F350">
        <f>IF([1]Accounts!$D$351="","",[1]Accounts!$F$351)</f>
        <v/>
      </c>
      <c r="G350">
        <f>IF([1]Accounts!$D$351="","",[1]Accounts!$G$351)</f>
        <v/>
      </c>
      <c r="T350">
        <f>IF([2]Baskol!$B$353="","",[2]Baskol!$B$353)</f>
        <v/>
      </c>
      <c r="U350">
        <f>IF([2]Baskol!$C$353="","",[2]Baskol!$C$353)</f>
        <v/>
      </c>
      <c r="V350">
        <f>IF([2]Baskol!$D$353="","",[2]Baskol!$D$353)</f>
        <v/>
      </c>
      <c r="W350">
        <f>IF([2]Baskol!$E$353="","",[2]Baskol!$E$353)</f>
        <v/>
      </c>
      <c r="X350">
        <f>IF([2]Baskol!$G$353="","",[2]Baskol!$G$353)</f>
        <v/>
      </c>
      <c r="Y350">
        <f>IF([2]Baskol!$I$353="","",[2]Baskol!$I$353)</f>
        <v/>
      </c>
      <c r="Z350">
        <f>IF([2]Baskol!$J$353="","",[2]Baskol!$J$353)</f>
        <v/>
      </c>
      <c r="AA350">
        <f>IF([2]Baskol!$K$353="","",[2]Baskol!$K$353)</f>
        <v/>
      </c>
      <c r="AB350">
        <f>IF([2]Baskol!$L$353="","",[2]Baskol!$L$353)</f>
        <v/>
      </c>
      <c r="AC350">
        <f>IF([2]Baskol!$N$353="","",[2]Baskol!$N$353)</f>
        <v/>
      </c>
      <c r="AD350">
        <f>IF([2]Baskol!$O$353="","",[2]Baskol!$O$353)</f>
        <v/>
      </c>
      <c r="AE350">
        <f>IF([3]Entry!$C$353="","",[3]Entry!$C$353)</f>
        <v/>
      </c>
      <c r="AF350">
        <f>IF([3]Entry!$D$353="","",[3]Entry!$D$353)</f>
        <v/>
      </c>
      <c r="AG350">
        <f>IF([3]Entry!$E$353="","",[3]Entry!$E$353)</f>
        <v/>
      </c>
      <c r="AH350">
        <f>IF([3]Entry!$G$353="","",[3]Entry!$G$353)</f>
        <v/>
      </c>
      <c r="AI350">
        <f>IF([3]Entry!$K$353="","",[3]Entry!$K$353)</f>
        <v/>
      </c>
      <c r="AJ350">
        <f>IF([3]Entry!$L$353="","",[3]Entry!$L$353)</f>
        <v/>
      </c>
      <c r="AK350">
        <f>IF([3]Entry!$M$353="","",[3]Entry!$M$353)</f>
        <v/>
      </c>
      <c r="AL350">
        <f>IF([3]Entry!$N$353="","",[3]Entry!$N$353)</f>
        <v/>
      </c>
      <c r="AM350">
        <f>IF([3]Entry!$R$353="","",[3]Entry!$R$353)</f>
        <v/>
      </c>
    </row>
    <row r="351">
      <c r="A351">
        <f>IF([1]Accounts!$D$352="","",[1]Accounts!$A$352)</f>
        <v/>
      </c>
      <c r="B351">
        <f>IF([1]Accounts!$D$352="","",[1]Accounts!$B$352)</f>
        <v/>
      </c>
      <c r="C351">
        <f>IF([1]Accounts!$D$352="","",[1]Accounts!$C$352)</f>
        <v/>
      </c>
      <c r="D351">
        <f>IF([1]Accounts!$D$352="","",[1]Accounts!$D$352)</f>
        <v/>
      </c>
      <c r="E351">
        <f>IF([1]Accounts!$D$352="","",[1]Accounts!$E$352)</f>
        <v/>
      </c>
      <c r="F351">
        <f>IF([1]Accounts!$D$352="","",[1]Accounts!$F$352)</f>
        <v/>
      </c>
      <c r="G351">
        <f>IF([1]Accounts!$D$352="","",[1]Accounts!$G$352)</f>
        <v/>
      </c>
      <c r="T351">
        <f>IF([2]Baskol!$B$354="","",[2]Baskol!$B$354)</f>
        <v/>
      </c>
      <c r="U351">
        <f>IF([2]Baskol!$C$354="","",[2]Baskol!$C$354)</f>
        <v/>
      </c>
      <c r="V351">
        <f>IF([2]Baskol!$D$354="","",[2]Baskol!$D$354)</f>
        <v/>
      </c>
      <c r="W351">
        <f>IF([2]Baskol!$E$354="","",[2]Baskol!$E$354)</f>
        <v/>
      </c>
      <c r="X351">
        <f>IF([2]Baskol!$G$354="","",[2]Baskol!$G$354)</f>
        <v/>
      </c>
      <c r="Y351">
        <f>IF([2]Baskol!$I$354="","",[2]Baskol!$I$354)</f>
        <v/>
      </c>
      <c r="Z351">
        <f>IF([2]Baskol!$J$354="","",[2]Baskol!$J$354)</f>
        <v/>
      </c>
      <c r="AA351">
        <f>IF([2]Baskol!$K$354="","",[2]Baskol!$K$354)</f>
        <v/>
      </c>
      <c r="AB351">
        <f>IF([2]Baskol!$L$354="","",[2]Baskol!$L$354)</f>
        <v/>
      </c>
      <c r="AC351">
        <f>IF([2]Baskol!$N$354="","",[2]Baskol!$N$354)</f>
        <v/>
      </c>
      <c r="AD351">
        <f>IF([2]Baskol!$O$354="","",[2]Baskol!$O$354)</f>
        <v/>
      </c>
      <c r="AE351">
        <f>IF([3]Entry!$C$354="","",[3]Entry!$C$354)</f>
        <v/>
      </c>
      <c r="AF351">
        <f>IF([3]Entry!$D$354="","",[3]Entry!$D$354)</f>
        <v/>
      </c>
      <c r="AG351">
        <f>IF([3]Entry!$E$354="","",[3]Entry!$E$354)</f>
        <v/>
      </c>
      <c r="AH351">
        <f>IF([3]Entry!$G$354="","",[3]Entry!$G$354)</f>
        <v/>
      </c>
      <c r="AI351">
        <f>IF([3]Entry!$K$354="","",[3]Entry!$K$354)</f>
        <v/>
      </c>
      <c r="AJ351">
        <f>IF([3]Entry!$L$354="","",[3]Entry!$L$354)</f>
        <v/>
      </c>
      <c r="AK351">
        <f>IF([3]Entry!$M$354="","",[3]Entry!$M$354)</f>
        <v/>
      </c>
      <c r="AL351">
        <f>IF([3]Entry!$N$354="","",[3]Entry!$N$354)</f>
        <v/>
      </c>
      <c r="AM351">
        <f>IF([3]Entry!$R$354="","",[3]Entry!$R$354)</f>
        <v/>
      </c>
    </row>
    <row r="352">
      <c r="A352">
        <f>IF([1]Accounts!$D$353="","",[1]Accounts!$A$353)</f>
        <v/>
      </c>
      <c r="B352">
        <f>IF([1]Accounts!$D$353="","",[1]Accounts!$B$353)</f>
        <v/>
      </c>
      <c r="C352">
        <f>IF([1]Accounts!$D$353="","",[1]Accounts!$C$353)</f>
        <v/>
      </c>
      <c r="D352">
        <f>IF([1]Accounts!$D$353="","",[1]Accounts!$D$353)</f>
        <v/>
      </c>
      <c r="E352">
        <f>IF([1]Accounts!$D$353="","",[1]Accounts!$E$353)</f>
        <v/>
      </c>
      <c r="F352">
        <f>IF([1]Accounts!$D$353="","",[1]Accounts!$F$353)</f>
        <v/>
      </c>
      <c r="G352">
        <f>IF([1]Accounts!$D$353="","",[1]Accounts!$G$353)</f>
        <v/>
      </c>
      <c r="T352">
        <f>IF([2]Baskol!$B$355="","",[2]Baskol!$B$355)</f>
        <v/>
      </c>
      <c r="U352">
        <f>IF([2]Baskol!$C$355="","",[2]Baskol!$C$355)</f>
        <v/>
      </c>
      <c r="V352">
        <f>IF([2]Baskol!$D$355="","",[2]Baskol!$D$355)</f>
        <v/>
      </c>
      <c r="W352">
        <f>IF([2]Baskol!$E$355="","",[2]Baskol!$E$355)</f>
        <v/>
      </c>
      <c r="X352">
        <f>IF([2]Baskol!$G$355="","",[2]Baskol!$G$355)</f>
        <v/>
      </c>
      <c r="Y352">
        <f>IF([2]Baskol!$I$355="","",[2]Baskol!$I$355)</f>
        <v/>
      </c>
      <c r="Z352">
        <f>IF([2]Baskol!$J$355="","",[2]Baskol!$J$355)</f>
        <v/>
      </c>
      <c r="AA352">
        <f>IF([2]Baskol!$K$355="","",[2]Baskol!$K$355)</f>
        <v/>
      </c>
      <c r="AB352">
        <f>IF([2]Baskol!$L$355="","",[2]Baskol!$L$355)</f>
        <v/>
      </c>
      <c r="AC352">
        <f>IF([2]Baskol!$N$355="","",[2]Baskol!$N$355)</f>
        <v/>
      </c>
      <c r="AD352">
        <f>IF([2]Baskol!$O$355="","",[2]Baskol!$O$355)</f>
        <v/>
      </c>
      <c r="AE352">
        <f>IF([3]Entry!$C$355="","",[3]Entry!$C$355)</f>
        <v/>
      </c>
      <c r="AF352">
        <f>IF([3]Entry!$D$355="","",[3]Entry!$D$355)</f>
        <v/>
      </c>
      <c r="AG352">
        <f>IF([3]Entry!$E$355="","",[3]Entry!$E$355)</f>
        <v/>
      </c>
      <c r="AH352">
        <f>IF([3]Entry!$G$355="","",[3]Entry!$G$355)</f>
        <v/>
      </c>
      <c r="AI352">
        <f>IF([3]Entry!$K$355="","",[3]Entry!$K$355)</f>
        <v/>
      </c>
      <c r="AJ352">
        <f>IF([3]Entry!$L$355="","",[3]Entry!$L$355)</f>
        <v/>
      </c>
      <c r="AK352">
        <f>IF([3]Entry!$M$355="","",[3]Entry!$M$355)</f>
        <v/>
      </c>
      <c r="AL352">
        <f>IF([3]Entry!$N$355="","",[3]Entry!$N$355)</f>
        <v/>
      </c>
      <c r="AM352">
        <f>IF([3]Entry!$R$355="","",[3]Entry!$R$355)</f>
        <v/>
      </c>
    </row>
    <row r="353">
      <c r="A353">
        <f>IF([1]Accounts!$D$354="","",[1]Accounts!$A$354)</f>
        <v/>
      </c>
      <c r="B353">
        <f>IF([1]Accounts!$D$354="","",[1]Accounts!$B$354)</f>
        <v/>
      </c>
      <c r="C353">
        <f>IF([1]Accounts!$D$354="","",[1]Accounts!$C$354)</f>
        <v/>
      </c>
      <c r="D353">
        <f>IF([1]Accounts!$D$354="","",[1]Accounts!$D$354)</f>
        <v/>
      </c>
      <c r="E353">
        <f>IF([1]Accounts!$D$354="","",[1]Accounts!$E$354)</f>
        <v/>
      </c>
      <c r="F353">
        <f>IF([1]Accounts!$D$354="","",[1]Accounts!$F$354)</f>
        <v/>
      </c>
      <c r="G353">
        <f>IF([1]Accounts!$D$354="","",[1]Accounts!$G$354)</f>
        <v/>
      </c>
      <c r="T353">
        <f>IF([2]Baskol!$B$356="","",[2]Baskol!$B$356)</f>
        <v/>
      </c>
      <c r="U353">
        <f>IF([2]Baskol!$C$356="","",[2]Baskol!$C$356)</f>
        <v/>
      </c>
      <c r="V353">
        <f>IF([2]Baskol!$D$356="","",[2]Baskol!$D$356)</f>
        <v/>
      </c>
      <c r="W353">
        <f>IF([2]Baskol!$E$356="","",[2]Baskol!$E$356)</f>
        <v/>
      </c>
      <c r="X353">
        <f>IF([2]Baskol!$G$356="","",[2]Baskol!$G$356)</f>
        <v/>
      </c>
      <c r="Y353">
        <f>IF([2]Baskol!$I$356="","",[2]Baskol!$I$356)</f>
        <v/>
      </c>
      <c r="Z353">
        <f>IF([2]Baskol!$J$356="","",[2]Baskol!$J$356)</f>
        <v/>
      </c>
      <c r="AA353">
        <f>IF([2]Baskol!$K$356="","",[2]Baskol!$K$356)</f>
        <v/>
      </c>
      <c r="AB353">
        <f>IF([2]Baskol!$L$356="","",[2]Baskol!$L$356)</f>
        <v/>
      </c>
      <c r="AC353">
        <f>IF([2]Baskol!$N$356="","",[2]Baskol!$N$356)</f>
        <v/>
      </c>
      <c r="AD353">
        <f>IF([2]Baskol!$O$356="","",[2]Baskol!$O$356)</f>
        <v/>
      </c>
      <c r="AE353">
        <f>IF([3]Entry!$C$356="","",[3]Entry!$C$356)</f>
        <v/>
      </c>
      <c r="AF353">
        <f>IF([3]Entry!$D$356="","",[3]Entry!$D$356)</f>
        <v/>
      </c>
      <c r="AG353">
        <f>IF([3]Entry!$E$356="","",[3]Entry!$E$356)</f>
        <v/>
      </c>
      <c r="AH353">
        <f>IF([3]Entry!$G$356="","",[3]Entry!$G$356)</f>
        <v/>
      </c>
      <c r="AI353">
        <f>IF([3]Entry!$K$356="","",[3]Entry!$K$356)</f>
        <v/>
      </c>
      <c r="AJ353">
        <f>IF([3]Entry!$L$356="","",[3]Entry!$L$356)</f>
        <v/>
      </c>
      <c r="AK353">
        <f>IF([3]Entry!$M$356="","",[3]Entry!$M$356)</f>
        <v/>
      </c>
      <c r="AL353">
        <f>IF([3]Entry!$N$356="","",[3]Entry!$N$356)</f>
        <v/>
      </c>
      <c r="AM353">
        <f>IF([3]Entry!$R$356="","",[3]Entry!$R$356)</f>
        <v/>
      </c>
    </row>
    <row r="354">
      <c r="A354">
        <f>IF([1]Accounts!$D$355="","",[1]Accounts!$A$355)</f>
        <v/>
      </c>
      <c r="B354">
        <f>IF([1]Accounts!$D$355="","",[1]Accounts!$B$355)</f>
        <v/>
      </c>
      <c r="C354">
        <f>IF([1]Accounts!$D$355="","",[1]Accounts!$C$355)</f>
        <v/>
      </c>
      <c r="D354">
        <f>IF([1]Accounts!$D$355="","",[1]Accounts!$D$355)</f>
        <v/>
      </c>
      <c r="E354">
        <f>IF([1]Accounts!$D$355="","",[1]Accounts!$E$355)</f>
        <v/>
      </c>
      <c r="F354">
        <f>IF([1]Accounts!$D$355="","",[1]Accounts!$F$355)</f>
        <v/>
      </c>
      <c r="G354">
        <f>IF([1]Accounts!$D$355="","",[1]Accounts!$G$355)</f>
        <v/>
      </c>
      <c r="T354">
        <f>IF([2]Baskol!$B$357="","",[2]Baskol!$B$357)</f>
        <v/>
      </c>
      <c r="U354">
        <f>IF([2]Baskol!$C$357="","",[2]Baskol!$C$357)</f>
        <v/>
      </c>
      <c r="V354">
        <f>IF([2]Baskol!$D$357="","",[2]Baskol!$D$357)</f>
        <v/>
      </c>
      <c r="W354">
        <f>IF([2]Baskol!$E$357="","",[2]Baskol!$E$357)</f>
        <v/>
      </c>
      <c r="X354">
        <f>IF([2]Baskol!$G$357="","",[2]Baskol!$G$357)</f>
        <v/>
      </c>
      <c r="Y354">
        <f>IF([2]Baskol!$I$357="","",[2]Baskol!$I$357)</f>
        <v/>
      </c>
      <c r="Z354">
        <f>IF([2]Baskol!$J$357="","",[2]Baskol!$J$357)</f>
        <v/>
      </c>
      <c r="AA354">
        <f>IF([2]Baskol!$K$357="","",[2]Baskol!$K$357)</f>
        <v/>
      </c>
      <c r="AB354">
        <f>IF([2]Baskol!$L$357="","",[2]Baskol!$L$357)</f>
        <v/>
      </c>
      <c r="AC354">
        <f>IF([2]Baskol!$N$357="","",[2]Baskol!$N$357)</f>
        <v/>
      </c>
      <c r="AD354">
        <f>IF([2]Baskol!$O$357="","",[2]Baskol!$O$357)</f>
        <v/>
      </c>
      <c r="AE354">
        <f>IF([3]Entry!$C$357="","",[3]Entry!$C$357)</f>
        <v/>
      </c>
      <c r="AF354">
        <f>IF([3]Entry!$D$357="","",[3]Entry!$D$357)</f>
        <v/>
      </c>
      <c r="AG354">
        <f>IF([3]Entry!$E$357="","",[3]Entry!$E$357)</f>
        <v/>
      </c>
      <c r="AH354">
        <f>IF([3]Entry!$G$357="","",[3]Entry!$G$357)</f>
        <v/>
      </c>
      <c r="AI354">
        <f>IF([3]Entry!$K$357="","",[3]Entry!$K$357)</f>
        <v/>
      </c>
      <c r="AJ354">
        <f>IF([3]Entry!$L$357="","",[3]Entry!$L$357)</f>
        <v/>
      </c>
      <c r="AK354">
        <f>IF([3]Entry!$M$357="","",[3]Entry!$M$357)</f>
        <v/>
      </c>
      <c r="AL354">
        <f>IF([3]Entry!$N$357="","",[3]Entry!$N$357)</f>
        <v/>
      </c>
      <c r="AM354">
        <f>IF([3]Entry!$R$357="","",[3]Entry!$R$357)</f>
        <v/>
      </c>
    </row>
    <row r="355">
      <c r="A355">
        <f>IF([1]Accounts!$D$356="","",[1]Accounts!$A$356)</f>
        <v/>
      </c>
      <c r="B355">
        <f>IF([1]Accounts!$D$356="","",[1]Accounts!$B$356)</f>
        <v/>
      </c>
      <c r="C355">
        <f>IF([1]Accounts!$D$356="","",[1]Accounts!$C$356)</f>
        <v/>
      </c>
      <c r="D355">
        <f>IF([1]Accounts!$D$356="","",[1]Accounts!$D$356)</f>
        <v/>
      </c>
      <c r="E355">
        <f>IF([1]Accounts!$D$356="","",[1]Accounts!$E$356)</f>
        <v/>
      </c>
      <c r="F355">
        <f>IF([1]Accounts!$D$356="","",[1]Accounts!$F$356)</f>
        <v/>
      </c>
      <c r="G355">
        <f>IF([1]Accounts!$D$356="","",[1]Accounts!$G$356)</f>
        <v/>
      </c>
      <c r="T355">
        <f>IF([2]Baskol!$B$358="","",[2]Baskol!$B$358)</f>
        <v/>
      </c>
      <c r="U355">
        <f>IF([2]Baskol!$C$358="","",[2]Baskol!$C$358)</f>
        <v/>
      </c>
      <c r="V355">
        <f>IF([2]Baskol!$D$358="","",[2]Baskol!$D$358)</f>
        <v/>
      </c>
      <c r="W355">
        <f>IF([2]Baskol!$E$358="","",[2]Baskol!$E$358)</f>
        <v/>
      </c>
      <c r="X355">
        <f>IF([2]Baskol!$G$358="","",[2]Baskol!$G$358)</f>
        <v/>
      </c>
      <c r="Y355">
        <f>IF([2]Baskol!$I$358="","",[2]Baskol!$I$358)</f>
        <v/>
      </c>
      <c r="Z355">
        <f>IF([2]Baskol!$J$358="","",[2]Baskol!$J$358)</f>
        <v/>
      </c>
      <c r="AA355">
        <f>IF([2]Baskol!$K$358="","",[2]Baskol!$K$358)</f>
        <v/>
      </c>
      <c r="AB355">
        <f>IF([2]Baskol!$L$358="","",[2]Baskol!$L$358)</f>
        <v/>
      </c>
      <c r="AC355">
        <f>IF([2]Baskol!$N$358="","",[2]Baskol!$N$358)</f>
        <v/>
      </c>
      <c r="AD355">
        <f>IF([2]Baskol!$O$358="","",[2]Baskol!$O$358)</f>
        <v/>
      </c>
      <c r="AE355">
        <f>IF([3]Entry!$C$358="","",[3]Entry!$C$358)</f>
        <v/>
      </c>
      <c r="AF355">
        <f>IF([3]Entry!$D$358="","",[3]Entry!$D$358)</f>
        <v/>
      </c>
      <c r="AG355">
        <f>IF([3]Entry!$E$358="","",[3]Entry!$E$358)</f>
        <v/>
      </c>
      <c r="AH355">
        <f>IF([3]Entry!$G$358="","",[3]Entry!$G$358)</f>
        <v/>
      </c>
      <c r="AI355">
        <f>IF([3]Entry!$K$358="","",[3]Entry!$K$358)</f>
        <v/>
      </c>
      <c r="AJ355">
        <f>IF([3]Entry!$L$358="","",[3]Entry!$L$358)</f>
        <v/>
      </c>
      <c r="AK355">
        <f>IF([3]Entry!$M$358="","",[3]Entry!$M$358)</f>
        <v/>
      </c>
      <c r="AL355">
        <f>IF([3]Entry!$N$358="","",[3]Entry!$N$358)</f>
        <v/>
      </c>
      <c r="AM355">
        <f>IF([3]Entry!$R$358="","",[3]Entry!$R$358)</f>
        <v/>
      </c>
    </row>
    <row r="356">
      <c r="A356">
        <f>IF([1]Accounts!$D$357="","",[1]Accounts!$A$357)</f>
        <v/>
      </c>
      <c r="B356">
        <f>IF([1]Accounts!$D$357="","",[1]Accounts!$B$357)</f>
        <v/>
      </c>
      <c r="C356">
        <f>IF([1]Accounts!$D$357="","",[1]Accounts!$C$357)</f>
        <v/>
      </c>
      <c r="D356">
        <f>IF([1]Accounts!$D$357="","",[1]Accounts!$D$357)</f>
        <v/>
      </c>
      <c r="E356">
        <f>IF([1]Accounts!$D$357="","",[1]Accounts!$E$357)</f>
        <v/>
      </c>
      <c r="F356">
        <f>IF([1]Accounts!$D$357="","",[1]Accounts!$F$357)</f>
        <v/>
      </c>
      <c r="G356">
        <f>IF([1]Accounts!$D$357="","",[1]Accounts!$G$357)</f>
        <v/>
      </c>
      <c r="T356">
        <f>IF([2]Baskol!$B$359="","",[2]Baskol!$B$359)</f>
        <v/>
      </c>
      <c r="U356">
        <f>IF([2]Baskol!$C$359="","",[2]Baskol!$C$359)</f>
        <v/>
      </c>
      <c r="V356">
        <f>IF([2]Baskol!$D$359="","",[2]Baskol!$D$359)</f>
        <v/>
      </c>
      <c r="W356">
        <f>IF([2]Baskol!$E$359="","",[2]Baskol!$E$359)</f>
        <v/>
      </c>
      <c r="X356">
        <f>IF([2]Baskol!$G$359="","",[2]Baskol!$G$359)</f>
        <v/>
      </c>
      <c r="Y356">
        <f>IF([2]Baskol!$I$359="","",[2]Baskol!$I$359)</f>
        <v/>
      </c>
      <c r="Z356">
        <f>IF([2]Baskol!$J$359="","",[2]Baskol!$J$359)</f>
        <v/>
      </c>
      <c r="AA356">
        <f>IF([2]Baskol!$K$359="","",[2]Baskol!$K$359)</f>
        <v/>
      </c>
      <c r="AB356">
        <f>IF([2]Baskol!$L$359="","",[2]Baskol!$L$359)</f>
        <v/>
      </c>
      <c r="AC356">
        <f>IF([2]Baskol!$N$359="","",[2]Baskol!$N$359)</f>
        <v/>
      </c>
      <c r="AD356">
        <f>IF([2]Baskol!$O$359="","",[2]Baskol!$O$359)</f>
        <v/>
      </c>
      <c r="AE356">
        <f>IF([3]Entry!$C$359="","",[3]Entry!$C$359)</f>
        <v/>
      </c>
      <c r="AF356">
        <f>IF([3]Entry!$D$359="","",[3]Entry!$D$359)</f>
        <v/>
      </c>
      <c r="AG356">
        <f>IF([3]Entry!$E$359="","",[3]Entry!$E$359)</f>
        <v/>
      </c>
      <c r="AH356">
        <f>IF([3]Entry!$G$359="","",[3]Entry!$G$359)</f>
        <v/>
      </c>
      <c r="AI356">
        <f>IF([3]Entry!$K$359="","",[3]Entry!$K$359)</f>
        <v/>
      </c>
      <c r="AJ356">
        <f>IF([3]Entry!$L$359="","",[3]Entry!$L$359)</f>
        <v/>
      </c>
      <c r="AK356">
        <f>IF([3]Entry!$M$359="","",[3]Entry!$M$359)</f>
        <v/>
      </c>
      <c r="AL356">
        <f>IF([3]Entry!$N$359="","",[3]Entry!$N$359)</f>
        <v/>
      </c>
      <c r="AM356">
        <f>IF([3]Entry!$R$359="","",[3]Entry!$R$359)</f>
        <v/>
      </c>
    </row>
    <row r="357">
      <c r="A357">
        <f>IF([1]Accounts!$D$358="","",[1]Accounts!$A$358)</f>
        <v/>
      </c>
      <c r="B357">
        <f>IF([1]Accounts!$D$358="","",[1]Accounts!$B$358)</f>
        <v/>
      </c>
      <c r="C357">
        <f>IF([1]Accounts!$D$358="","",[1]Accounts!$C$358)</f>
        <v/>
      </c>
      <c r="D357">
        <f>IF([1]Accounts!$D$358="","",[1]Accounts!$D$358)</f>
        <v/>
      </c>
      <c r="E357">
        <f>IF([1]Accounts!$D$358="","",[1]Accounts!$E$358)</f>
        <v/>
      </c>
      <c r="F357">
        <f>IF([1]Accounts!$D$358="","",[1]Accounts!$F$358)</f>
        <v/>
      </c>
      <c r="G357">
        <f>IF([1]Accounts!$D$358="","",[1]Accounts!$G$358)</f>
        <v/>
      </c>
      <c r="T357">
        <f>IF([2]Baskol!$B$360="","",[2]Baskol!$B$360)</f>
        <v/>
      </c>
      <c r="U357">
        <f>IF([2]Baskol!$C$360="","",[2]Baskol!$C$360)</f>
        <v/>
      </c>
      <c r="V357">
        <f>IF([2]Baskol!$D$360="","",[2]Baskol!$D$360)</f>
        <v/>
      </c>
      <c r="W357">
        <f>IF([2]Baskol!$E$360="","",[2]Baskol!$E$360)</f>
        <v/>
      </c>
      <c r="X357">
        <f>IF([2]Baskol!$G$360="","",[2]Baskol!$G$360)</f>
        <v/>
      </c>
      <c r="Y357">
        <f>IF([2]Baskol!$I$360="","",[2]Baskol!$I$360)</f>
        <v/>
      </c>
      <c r="Z357">
        <f>IF([2]Baskol!$J$360="","",[2]Baskol!$J$360)</f>
        <v/>
      </c>
      <c r="AA357">
        <f>IF([2]Baskol!$K$360="","",[2]Baskol!$K$360)</f>
        <v/>
      </c>
      <c r="AB357">
        <f>IF([2]Baskol!$L$360="","",[2]Baskol!$L$360)</f>
        <v/>
      </c>
      <c r="AC357">
        <f>IF([2]Baskol!$N$360="","",[2]Baskol!$N$360)</f>
        <v/>
      </c>
      <c r="AD357">
        <f>IF([2]Baskol!$O$360="","",[2]Baskol!$O$360)</f>
        <v/>
      </c>
      <c r="AE357">
        <f>IF([3]Entry!$C$360="","",[3]Entry!$C$360)</f>
        <v/>
      </c>
      <c r="AF357">
        <f>IF([3]Entry!$D$360="","",[3]Entry!$D$360)</f>
        <v/>
      </c>
      <c r="AG357">
        <f>IF([3]Entry!$E$360="","",[3]Entry!$E$360)</f>
        <v/>
      </c>
      <c r="AH357">
        <f>IF([3]Entry!$G$360="","",[3]Entry!$G$360)</f>
        <v/>
      </c>
      <c r="AI357">
        <f>IF([3]Entry!$K$360="","",[3]Entry!$K$360)</f>
        <v/>
      </c>
      <c r="AJ357">
        <f>IF([3]Entry!$L$360="","",[3]Entry!$L$360)</f>
        <v/>
      </c>
      <c r="AK357">
        <f>IF([3]Entry!$M$360="","",[3]Entry!$M$360)</f>
        <v/>
      </c>
      <c r="AL357">
        <f>IF([3]Entry!$N$360="","",[3]Entry!$N$360)</f>
        <v/>
      </c>
      <c r="AM357">
        <f>IF([3]Entry!$R$360="","",[3]Entry!$R$360)</f>
        <v/>
      </c>
    </row>
    <row r="358">
      <c r="A358">
        <f>IF([1]Accounts!$D$359="","",[1]Accounts!$A$359)</f>
        <v/>
      </c>
      <c r="B358">
        <f>IF([1]Accounts!$D$359="","",[1]Accounts!$B$359)</f>
        <v/>
      </c>
      <c r="C358">
        <f>IF([1]Accounts!$D$359="","",[1]Accounts!$C$359)</f>
        <v/>
      </c>
      <c r="D358">
        <f>IF([1]Accounts!$D$359="","",[1]Accounts!$D$359)</f>
        <v/>
      </c>
      <c r="E358">
        <f>IF([1]Accounts!$D$359="","",[1]Accounts!$E$359)</f>
        <v/>
      </c>
      <c r="F358">
        <f>IF([1]Accounts!$D$359="","",[1]Accounts!$F$359)</f>
        <v/>
      </c>
      <c r="G358">
        <f>IF([1]Accounts!$D$359="","",[1]Accounts!$G$359)</f>
        <v/>
      </c>
      <c r="T358">
        <f>IF([2]Baskol!$B$361="","",[2]Baskol!$B$361)</f>
        <v/>
      </c>
      <c r="U358">
        <f>IF([2]Baskol!$C$361="","",[2]Baskol!$C$361)</f>
        <v/>
      </c>
      <c r="V358">
        <f>IF([2]Baskol!$D$361="","",[2]Baskol!$D$361)</f>
        <v/>
      </c>
      <c r="W358">
        <f>IF([2]Baskol!$E$361="","",[2]Baskol!$E$361)</f>
        <v/>
      </c>
      <c r="X358">
        <f>IF([2]Baskol!$G$361="","",[2]Baskol!$G$361)</f>
        <v/>
      </c>
      <c r="Y358">
        <f>IF([2]Baskol!$I$361="","",[2]Baskol!$I$361)</f>
        <v/>
      </c>
      <c r="Z358">
        <f>IF([2]Baskol!$J$361="","",[2]Baskol!$J$361)</f>
        <v/>
      </c>
      <c r="AA358">
        <f>IF([2]Baskol!$K$361="","",[2]Baskol!$K$361)</f>
        <v/>
      </c>
      <c r="AB358">
        <f>IF([2]Baskol!$L$361="","",[2]Baskol!$L$361)</f>
        <v/>
      </c>
      <c r="AC358">
        <f>IF([2]Baskol!$N$361="","",[2]Baskol!$N$361)</f>
        <v/>
      </c>
      <c r="AD358">
        <f>IF([2]Baskol!$O$361="","",[2]Baskol!$O$361)</f>
        <v/>
      </c>
      <c r="AE358">
        <f>IF([3]Entry!$C$361="","",[3]Entry!$C$361)</f>
        <v/>
      </c>
      <c r="AF358">
        <f>IF([3]Entry!$D$361="","",[3]Entry!$D$361)</f>
        <v/>
      </c>
      <c r="AG358">
        <f>IF([3]Entry!$E$361="","",[3]Entry!$E$361)</f>
        <v/>
      </c>
      <c r="AH358">
        <f>IF([3]Entry!$G$361="","",[3]Entry!$G$361)</f>
        <v/>
      </c>
      <c r="AI358">
        <f>IF([3]Entry!$K$361="","",[3]Entry!$K$361)</f>
        <v/>
      </c>
      <c r="AJ358">
        <f>IF([3]Entry!$L$361="","",[3]Entry!$L$361)</f>
        <v/>
      </c>
      <c r="AK358">
        <f>IF([3]Entry!$M$361="","",[3]Entry!$M$361)</f>
        <v/>
      </c>
      <c r="AL358">
        <f>IF([3]Entry!$N$361="","",[3]Entry!$N$361)</f>
        <v/>
      </c>
      <c r="AM358">
        <f>IF([3]Entry!$R$361="","",[3]Entry!$R$361)</f>
        <v/>
      </c>
    </row>
    <row r="359">
      <c r="A359">
        <f>IF([1]Accounts!$D$360="","",[1]Accounts!$A$360)</f>
        <v/>
      </c>
      <c r="B359">
        <f>IF([1]Accounts!$D$360="","",[1]Accounts!$B$360)</f>
        <v/>
      </c>
      <c r="C359">
        <f>IF([1]Accounts!$D$360="","",[1]Accounts!$C$360)</f>
        <v/>
      </c>
      <c r="D359">
        <f>IF([1]Accounts!$D$360="","",[1]Accounts!$D$360)</f>
        <v/>
      </c>
      <c r="E359">
        <f>IF([1]Accounts!$D$360="","",[1]Accounts!$E$360)</f>
        <v/>
      </c>
      <c r="F359">
        <f>IF([1]Accounts!$D$360="","",[1]Accounts!$F$360)</f>
        <v/>
      </c>
      <c r="G359">
        <f>IF([1]Accounts!$D$360="","",[1]Accounts!$G$360)</f>
        <v/>
      </c>
      <c r="T359">
        <f>IF([2]Baskol!$B$362="","",[2]Baskol!$B$362)</f>
        <v/>
      </c>
      <c r="U359">
        <f>IF([2]Baskol!$C$362="","",[2]Baskol!$C$362)</f>
        <v/>
      </c>
      <c r="V359">
        <f>IF([2]Baskol!$D$362="","",[2]Baskol!$D$362)</f>
        <v/>
      </c>
      <c r="W359">
        <f>IF([2]Baskol!$E$362="","",[2]Baskol!$E$362)</f>
        <v/>
      </c>
      <c r="X359">
        <f>IF([2]Baskol!$G$362="","",[2]Baskol!$G$362)</f>
        <v/>
      </c>
      <c r="Y359">
        <f>IF([2]Baskol!$I$362="","",[2]Baskol!$I$362)</f>
        <v/>
      </c>
      <c r="Z359">
        <f>IF([2]Baskol!$J$362="","",[2]Baskol!$J$362)</f>
        <v/>
      </c>
      <c r="AA359">
        <f>IF([2]Baskol!$K$362="","",[2]Baskol!$K$362)</f>
        <v/>
      </c>
      <c r="AB359">
        <f>IF([2]Baskol!$L$362="","",[2]Baskol!$L$362)</f>
        <v/>
      </c>
      <c r="AC359">
        <f>IF([2]Baskol!$N$362="","",[2]Baskol!$N$362)</f>
        <v/>
      </c>
      <c r="AD359">
        <f>IF([2]Baskol!$O$362="","",[2]Baskol!$O$362)</f>
        <v/>
      </c>
      <c r="AE359">
        <f>IF([3]Entry!$C$362="","",[3]Entry!$C$362)</f>
        <v/>
      </c>
      <c r="AF359">
        <f>IF([3]Entry!$D$362="","",[3]Entry!$D$362)</f>
        <v/>
      </c>
      <c r="AG359">
        <f>IF([3]Entry!$E$362="","",[3]Entry!$E$362)</f>
        <v/>
      </c>
      <c r="AH359">
        <f>IF([3]Entry!$G$362="","",[3]Entry!$G$362)</f>
        <v/>
      </c>
      <c r="AI359">
        <f>IF([3]Entry!$K$362="","",[3]Entry!$K$362)</f>
        <v/>
      </c>
      <c r="AJ359">
        <f>IF([3]Entry!$L$362="","",[3]Entry!$L$362)</f>
        <v/>
      </c>
      <c r="AK359">
        <f>IF([3]Entry!$M$362="","",[3]Entry!$M$362)</f>
        <v/>
      </c>
      <c r="AL359">
        <f>IF([3]Entry!$N$362="","",[3]Entry!$N$362)</f>
        <v/>
      </c>
      <c r="AM359">
        <f>IF([3]Entry!$R$362="","",[3]Entry!$R$362)</f>
        <v/>
      </c>
    </row>
    <row r="360">
      <c r="A360">
        <f>IF([1]Accounts!$D$361="","",[1]Accounts!$A$361)</f>
        <v/>
      </c>
      <c r="B360">
        <f>IF([1]Accounts!$D$361="","",[1]Accounts!$B$361)</f>
        <v/>
      </c>
      <c r="C360">
        <f>IF([1]Accounts!$D$361="","",[1]Accounts!$C$361)</f>
        <v/>
      </c>
      <c r="D360">
        <f>IF([1]Accounts!$D$361="","",[1]Accounts!$D$361)</f>
        <v/>
      </c>
      <c r="E360">
        <f>IF([1]Accounts!$D$361="","",[1]Accounts!$E$361)</f>
        <v/>
      </c>
      <c r="F360">
        <f>IF([1]Accounts!$D$361="","",[1]Accounts!$F$361)</f>
        <v/>
      </c>
      <c r="G360">
        <f>IF([1]Accounts!$D$361="","",[1]Accounts!$G$361)</f>
        <v/>
      </c>
      <c r="T360">
        <f>IF([2]Baskol!$B$363="","",[2]Baskol!$B$363)</f>
        <v/>
      </c>
      <c r="U360">
        <f>IF([2]Baskol!$C$363="","",[2]Baskol!$C$363)</f>
        <v/>
      </c>
      <c r="V360">
        <f>IF([2]Baskol!$D$363="","",[2]Baskol!$D$363)</f>
        <v/>
      </c>
      <c r="W360">
        <f>IF([2]Baskol!$E$363="","",[2]Baskol!$E$363)</f>
        <v/>
      </c>
      <c r="X360">
        <f>IF([2]Baskol!$G$363="","",[2]Baskol!$G$363)</f>
        <v/>
      </c>
      <c r="Y360">
        <f>IF([2]Baskol!$I$363="","",[2]Baskol!$I$363)</f>
        <v/>
      </c>
      <c r="Z360">
        <f>IF([2]Baskol!$J$363="","",[2]Baskol!$J$363)</f>
        <v/>
      </c>
      <c r="AA360">
        <f>IF([2]Baskol!$K$363="","",[2]Baskol!$K$363)</f>
        <v/>
      </c>
      <c r="AB360">
        <f>IF([2]Baskol!$L$363="","",[2]Baskol!$L$363)</f>
        <v/>
      </c>
      <c r="AC360">
        <f>IF([2]Baskol!$N$363="","",[2]Baskol!$N$363)</f>
        <v/>
      </c>
      <c r="AD360">
        <f>IF([2]Baskol!$O$363="","",[2]Baskol!$O$363)</f>
        <v/>
      </c>
      <c r="AE360">
        <f>IF([3]Entry!$C$363="","",[3]Entry!$C$363)</f>
        <v/>
      </c>
      <c r="AF360">
        <f>IF([3]Entry!$D$363="","",[3]Entry!$D$363)</f>
        <v/>
      </c>
      <c r="AG360">
        <f>IF([3]Entry!$E$363="","",[3]Entry!$E$363)</f>
        <v/>
      </c>
      <c r="AH360">
        <f>IF([3]Entry!$G$363="","",[3]Entry!$G$363)</f>
        <v/>
      </c>
      <c r="AI360">
        <f>IF([3]Entry!$K$363="","",[3]Entry!$K$363)</f>
        <v/>
      </c>
      <c r="AJ360">
        <f>IF([3]Entry!$L$363="","",[3]Entry!$L$363)</f>
        <v/>
      </c>
      <c r="AK360">
        <f>IF([3]Entry!$M$363="","",[3]Entry!$M$363)</f>
        <v/>
      </c>
      <c r="AL360">
        <f>IF([3]Entry!$N$363="","",[3]Entry!$N$363)</f>
        <v/>
      </c>
      <c r="AM360">
        <f>IF([3]Entry!$R$363="","",[3]Entry!$R$363)</f>
        <v/>
      </c>
    </row>
    <row r="361">
      <c r="A361">
        <f>IF([1]Accounts!$D$362="","",[1]Accounts!$A$362)</f>
        <v/>
      </c>
      <c r="B361">
        <f>IF([1]Accounts!$D$362="","",[1]Accounts!$B$362)</f>
        <v/>
      </c>
      <c r="C361">
        <f>IF([1]Accounts!$D$362="","",[1]Accounts!$C$362)</f>
        <v/>
      </c>
      <c r="D361">
        <f>IF([1]Accounts!$D$362="","",[1]Accounts!$D$362)</f>
        <v/>
      </c>
      <c r="E361">
        <f>IF([1]Accounts!$D$362="","",[1]Accounts!$E$362)</f>
        <v/>
      </c>
      <c r="F361">
        <f>IF([1]Accounts!$D$362="","",[1]Accounts!$F$362)</f>
        <v/>
      </c>
      <c r="G361">
        <f>IF([1]Accounts!$D$362="","",[1]Accounts!$G$362)</f>
        <v/>
      </c>
      <c r="T361">
        <f>IF([2]Baskol!$B$364="","",[2]Baskol!$B$364)</f>
        <v/>
      </c>
      <c r="U361">
        <f>IF([2]Baskol!$C$364="","",[2]Baskol!$C$364)</f>
        <v/>
      </c>
      <c r="V361">
        <f>IF([2]Baskol!$D$364="","",[2]Baskol!$D$364)</f>
        <v/>
      </c>
      <c r="W361">
        <f>IF([2]Baskol!$E$364="","",[2]Baskol!$E$364)</f>
        <v/>
      </c>
      <c r="X361">
        <f>IF([2]Baskol!$G$364="","",[2]Baskol!$G$364)</f>
        <v/>
      </c>
      <c r="Y361">
        <f>IF([2]Baskol!$I$364="","",[2]Baskol!$I$364)</f>
        <v/>
      </c>
      <c r="Z361">
        <f>IF([2]Baskol!$J$364="","",[2]Baskol!$J$364)</f>
        <v/>
      </c>
      <c r="AA361">
        <f>IF([2]Baskol!$K$364="","",[2]Baskol!$K$364)</f>
        <v/>
      </c>
      <c r="AB361">
        <f>IF([2]Baskol!$L$364="","",[2]Baskol!$L$364)</f>
        <v/>
      </c>
      <c r="AC361">
        <f>IF([2]Baskol!$N$364="","",[2]Baskol!$N$364)</f>
        <v/>
      </c>
      <c r="AD361">
        <f>IF([2]Baskol!$O$364="","",[2]Baskol!$O$364)</f>
        <v/>
      </c>
      <c r="AE361">
        <f>IF([3]Entry!$C$364="","",[3]Entry!$C$364)</f>
        <v/>
      </c>
      <c r="AF361">
        <f>IF([3]Entry!$D$364="","",[3]Entry!$D$364)</f>
        <v/>
      </c>
      <c r="AG361">
        <f>IF([3]Entry!$E$364="","",[3]Entry!$E$364)</f>
        <v/>
      </c>
      <c r="AH361">
        <f>IF([3]Entry!$G$364="","",[3]Entry!$G$364)</f>
        <v/>
      </c>
      <c r="AI361">
        <f>IF([3]Entry!$K$364="","",[3]Entry!$K$364)</f>
        <v/>
      </c>
      <c r="AJ361">
        <f>IF([3]Entry!$L$364="","",[3]Entry!$L$364)</f>
        <v/>
      </c>
      <c r="AK361">
        <f>IF([3]Entry!$M$364="","",[3]Entry!$M$364)</f>
        <v/>
      </c>
      <c r="AL361">
        <f>IF([3]Entry!$N$364="","",[3]Entry!$N$364)</f>
        <v/>
      </c>
      <c r="AM361">
        <f>IF([3]Entry!$R$364="","",[3]Entry!$R$364)</f>
        <v/>
      </c>
    </row>
    <row r="362">
      <c r="A362">
        <f>IF([1]Accounts!$D$363="","",[1]Accounts!$A$363)</f>
        <v/>
      </c>
      <c r="B362">
        <f>IF([1]Accounts!$D$363="","",[1]Accounts!$B$363)</f>
        <v/>
      </c>
      <c r="C362">
        <f>IF([1]Accounts!$D$363="","",[1]Accounts!$C$363)</f>
        <v/>
      </c>
      <c r="D362">
        <f>IF([1]Accounts!$D$363="","",[1]Accounts!$D$363)</f>
        <v/>
      </c>
      <c r="E362">
        <f>IF([1]Accounts!$D$363="","",[1]Accounts!$E$363)</f>
        <v/>
      </c>
      <c r="F362">
        <f>IF([1]Accounts!$D$363="","",[1]Accounts!$F$363)</f>
        <v/>
      </c>
      <c r="G362">
        <f>IF([1]Accounts!$D$363="","",[1]Accounts!$G$363)</f>
        <v/>
      </c>
      <c r="T362">
        <f>IF([2]Baskol!$B$365="","",[2]Baskol!$B$365)</f>
        <v/>
      </c>
      <c r="U362">
        <f>IF([2]Baskol!$C$365="","",[2]Baskol!$C$365)</f>
        <v/>
      </c>
      <c r="V362">
        <f>IF([2]Baskol!$D$365="","",[2]Baskol!$D$365)</f>
        <v/>
      </c>
      <c r="W362">
        <f>IF([2]Baskol!$E$365="","",[2]Baskol!$E$365)</f>
        <v/>
      </c>
      <c r="X362">
        <f>IF([2]Baskol!$G$365="","",[2]Baskol!$G$365)</f>
        <v/>
      </c>
      <c r="Y362">
        <f>IF([2]Baskol!$I$365="","",[2]Baskol!$I$365)</f>
        <v/>
      </c>
      <c r="Z362">
        <f>IF([2]Baskol!$J$365="","",[2]Baskol!$J$365)</f>
        <v/>
      </c>
      <c r="AA362">
        <f>IF([2]Baskol!$K$365="","",[2]Baskol!$K$365)</f>
        <v/>
      </c>
      <c r="AB362">
        <f>IF([2]Baskol!$L$365="","",[2]Baskol!$L$365)</f>
        <v/>
      </c>
      <c r="AC362">
        <f>IF([2]Baskol!$N$365="","",[2]Baskol!$N$365)</f>
        <v/>
      </c>
      <c r="AD362">
        <f>IF([2]Baskol!$O$365="","",[2]Baskol!$O$365)</f>
        <v/>
      </c>
      <c r="AE362">
        <f>IF([3]Entry!$C$365="","",[3]Entry!$C$365)</f>
        <v/>
      </c>
      <c r="AF362">
        <f>IF([3]Entry!$D$365="","",[3]Entry!$D$365)</f>
        <v/>
      </c>
      <c r="AG362">
        <f>IF([3]Entry!$E$365="","",[3]Entry!$E$365)</f>
        <v/>
      </c>
      <c r="AH362">
        <f>IF([3]Entry!$G$365="","",[3]Entry!$G$365)</f>
        <v/>
      </c>
      <c r="AI362">
        <f>IF([3]Entry!$K$365="","",[3]Entry!$K$365)</f>
        <v/>
      </c>
      <c r="AJ362">
        <f>IF([3]Entry!$L$365="","",[3]Entry!$L$365)</f>
        <v/>
      </c>
      <c r="AK362">
        <f>IF([3]Entry!$M$365="","",[3]Entry!$M$365)</f>
        <v/>
      </c>
      <c r="AL362">
        <f>IF([3]Entry!$N$365="","",[3]Entry!$N$365)</f>
        <v/>
      </c>
      <c r="AM362">
        <f>IF([3]Entry!$R$365="","",[3]Entry!$R$365)</f>
        <v/>
      </c>
    </row>
    <row r="363">
      <c r="A363">
        <f>IF([1]Accounts!$D$364="","",[1]Accounts!$A$364)</f>
        <v/>
      </c>
      <c r="B363">
        <f>IF([1]Accounts!$D$364="","",[1]Accounts!$B$364)</f>
        <v/>
      </c>
      <c r="C363">
        <f>IF([1]Accounts!$D$364="","",[1]Accounts!$C$364)</f>
        <v/>
      </c>
      <c r="D363">
        <f>IF([1]Accounts!$D$364="","",[1]Accounts!$D$364)</f>
        <v/>
      </c>
      <c r="E363">
        <f>IF([1]Accounts!$D$364="","",[1]Accounts!$E$364)</f>
        <v/>
      </c>
      <c r="F363">
        <f>IF([1]Accounts!$D$364="","",[1]Accounts!$F$364)</f>
        <v/>
      </c>
      <c r="G363">
        <f>IF([1]Accounts!$D$364="","",[1]Accounts!$G$364)</f>
        <v/>
      </c>
      <c r="T363">
        <f>IF([2]Baskol!$B$366="","",[2]Baskol!$B$366)</f>
        <v/>
      </c>
      <c r="U363">
        <f>IF([2]Baskol!$C$366="","",[2]Baskol!$C$366)</f>
        <v/>
      </c>
      <c r="V363">
        <f>IF([2]Baskol!$D$366="","",[2]Baskol!$D$366)</f>
        <v/>
      </c>
      <c r="W363">
        <f>IF([2]Baskol!$E$366="","",[2]Baskol!$E$366)</f>
        <v/>
      </c>
      <c r="X363">
        <f>IF([2]Baskol!$G$366="","",[2]Baskol!$G$366)</f>
        <v/>
      </c>
      <c r="Y363">
        <f>IF([2]Baskol!$I$366="","",[2]Baskol!$I$366)</f>
        <v/>
      </c>
      <c r="Z363">
        <f>IF([2]Baskol!$J$366="","",[2]Baskol!$J$366)</f>
        <v/>
      </c>
      <c r="AA363">
        <f>IF([2]Baskol!$K$366="","",[2]Baskol!$K$366)</f>
        <v/>
      </c>
      <c r="AB363">
        <f>IF([2]Baskol!$L$366="","",[2]Baskol!$L$366)</f>
        <v/>
      </c>
      <c r="AC363">
        <f>IF([2]Baskol!$N$366="","",[2]Baskol!$N$366)</f>
        <v/>
      </c>
      <c r="AD363">
        <f>IF([2]Baskol!$O$366="","",[2]Baskol!$O$366)</f>
        <v/>
      </c>
      <c r="AE363">
        <f>IF([3]Entry!$C$366="","",[3]Entry!$C$366)</f>
        <v/>
      </c>
      <c r="AF363">
        <f>IF([3]Entry!$D$366="","",[3]Entry!$D$366)</f>
        <v/>
      </c>
      <c r="AG363">
        <f>IF([3]Entry!$E$366="","",[3]Entry!$E$366)</f>
        <v/>
      </c>
      <c r="AH363">
        <f>IF([3]Entry!$G$366="","",[3]Entry!$G$366)</f>
        <v/>
      </c>
      <c r="AI363">
        <f>IF([3]Entry!$K$366="","",[3]Entry!$K$366)</f>
        <v/>
      </c>
      <c r="AJ363">
        <f>IF([3]Entry!$L$366="","",[3]Entry!$L$366)</f>
        <v/>
      </c>
      <c r="AK363">
        <f>IF([3]Entry!$M$366="","",[3]Entry!$M$366)</f>
        <v/>
      </c>
      <c r="AL363">
        <f>IF([3]Entry!$N$366="","",[3]Entry!$N$366)</f>
        <v/>
      </c>
      <c r="AM363">
        <f>IF([3]Entry!$R$366="","",[3]Entry!$R$366)</f>
        <v/>
      </c>
    </row>
    <row r="364">
      <c r="A364">
        <f>IF([1]Accounts!$D$365="","",[1]Accounts!$A$365)</f>
        <v/>
      </c>
      <c r="B364">
        <f>IF([1]Accounts!$D$365="","",[1]Accounts!$B$365)</f>
        <v/>
      </c>
      <c r="C364">
        <f>IF([1]Accounts!$D$365="","",[1]Accounts!$C$365)</f>
        <v/>
      </c>
      <c r="D364">
        <f>IF([1]Accounts!$D$365="","",[1]Accounts!$D$365)</f>
        <v/>
      </c>
      <c r="E364">
        <f>IF([1]Accounts!$D$365="","",[1]Accounts!$E$365)</f>
        <v/>
      </c>
      <c r="F364">
        <f>IF([1]Accounts!$D$365="","",[1]Accounts!$F$365)</f>
        <v/>
      </c>
      <c r="G364">
        <f>IF([1]Accounts!$D$365="","",[1]Accounts!$G$365)</f>
        <v/>
      </c>
      <c r="T364">
        <f>IF([2]Baskol!$B$367="","",[2]Baskol!$B$367)</f>
        <v/>
      </c>
      <c r="U364">
        <f>IF([2]Baskol!$C$367="","",[2]Baskol!$C$367)</f>
        <v/>
      </c>
      <c r="V364">
        <f>IF([2]Baskol!$D$367="","",[2]Baskol!$D$367)</f>
        <v/>
      </c>
      <c r="W364">
        <f>IF([2]Baskol!$E$367="","",[2]Baskol!$E$367)</f>
        <v/>
      </c>
      <c r="X364">
        <f>IF([2]Baskol!$G$367="","",[2]Baskol!$G$367)</f>
        <v/>
      </c>
      <c r="Y364">
        <f>IF([2]Baskol!$I$367="","",[2]Baskol!$I$367)</f>
        <v/>
      </c>
      <c r="Z364">
        <f>IF([2]Baskol!$J$367="","",[2]Baskol!$J$367)</f>
        <v/>
      </c>
      <c r="AA364">
        <f>IF([2]Baskol!$K$367="","",[2]Baskol!$K$367)</f>
        <v/>
      </c>
      <c r="AB364">
        <f>IF([2]Baskol!$L$367="","",[2]Baskol!$L$367)</f>
        <v/>
      </c>
      <c r="AC364">
        <f>IF([2]Baskol!$N$367="","",[2]Baskol!$N$367)</f>
        <v/>
      </c>
      <c r="AD364">
        <f>IF([2]Baskol!$O$367="","",[2]Baskol!$O$367)</f>
        <v/>
      </c>
      <c r="AE364">
        <f>IF([3]Entry!$C$367="","",[3]Entry!$C$367)</f>
        <v/>
      </c>
      <c r="AF364">
        <f>IF([3]Entry!$D$367="","",[3]Entry!$D$367)</f>
        <v/>
      </c>
      <c r="AG364">
        <f>IF([3]Entry!$E$367="","",[3]Entry!$E$367)</f>
        <v/>
      </c>
      <c r="AH364">
        <f>IF([3]Entry!$G$367="","",[3]Entry!$G$367)</f>
        <v/>
      </c>
      <c r="AI364">
        <f>IF([3]Entry!$K$367="","",[3]Entry!$K$367)</f>
        <v/>
      </c>
      <c r="AJ364">
        <f>IF([3]Entry!$L$367="","",[3]Entry!$L$367)</f>
        <v/>
      </c>
      <c r="AK364">
        <f>IF([3]Entry!$M$367="","",[3]Entry!$M$367)</f>
        <v/>
      </c>
      <c r="AL364">
        <f>IF([3]Entry!$N$367="","",[3]Entry!$N$367)</f>
        <v/>
      </c>
      <c r="AM364">
        <f>IF([3]Entry!$R$367="","",[3]Entry!$R$367)</f>
        <v/>
      </c>
    </row>
    <row r="365">
      <c r="A365">
        <f>IF([1]Accounts!$D$366="","",[1]Accounts!$A$366)</f>
        <v/>
      </c>
      <c r="B365">
        <f>IF([1]Accounts!$D$366="","",[1]Accounts!$B$366)</f>
        <v/>
      </c>
      <c r="C365">
        <f>IF([1]Accounts!$D$366="","",[1]Accounts!$C$366)</f>
        <v/>
      </c>
      <c r="D365">
        <f>IF([1]Accounts!$D$366="","",[1]Accounts!$D$366)</f>
        <v/>
      </c>
      <c r="E365">
        <f>IF([1]Accounts!$D$366="","",[1]Accounts!$E$366)</f>
        <v/>
      </c>
      <c r="F365">
        <f>IF([1]Accounts!$D$366="","",[1]Accounts!$F$366)</f>
        <v/>
      </c>
      <c r="G365">
        <f>IF([1]Accounts!$D$366="","",[1]Accounts!$G$366)</f>
        <v/>
      </c>
      <c r="T365">
        <f>IF([2]Baskol!$B$368="","",[2]Baskol!$B$368)</f>
        <v/>
      </c>
      <c r="U365">
        <f>IF([2]Baskol!$C$368="","",[2]Baskol!$C$368)</f>
        <v/>
      </c>
      <c r="V365">
        <f>IF([2]Baskol!$D$368="","",[2]Baskol!$D$368)</f>
        <v/>
      </c>
      <c r="W365">
        <f>IF([2]Baskol!$E$368="","",[2]Baskol!$E$368)</f>
        <v/>
      </c>
      <c r="X365">
        <f>IF([2]Baskol!$G$368="","",[2]Baskol!$G$368)</f>
        <v/>
      </c>
      <c r="Y365">
        <f>IF([2]Baskol!$I$368="","",[2]Baskol!$I$368)</f>
        <v/>
      </c>
      <c r="Z365">
        <f>IF([2]Baskol!$J$368="","",[2]Baskol!$J$368)</f>
        <v/>
      </c>
      <c r="AA365">
        <f>IF([2]Baskol!$K$368="","",[2]Baskol!$K$368)</f>
        <v/>
      </c>
      <c r="AB365">
        <f>IF([2]Baskol!$L$368="","",[2]Baskol!$L$368)</f>
        <v/>
      </c>
      <c r="AC365">
        <f>IF([2]Baskol!$N$368="","",[2]Baskol!$N$368)</f>
        <v/>
      </c>
      <c r="AD365">
        <f>IF([2]Baskol!$O$368="","",[2]Baskol!$O$368)</f>
        <v/>
      </c>
      <c r="AE365">
        <f>IF([3]Entry!$C$368="","",[3]Entry!$C$368)</f>
        <v/>
      </c>
      <c r="AF365">
        <f>IF([3]Entry!$D$368="","",[3]Entry!$D$368)</f>
        <v/>
      </c>
      <c r="AG365">
        <f>IF([3]Entry!$E$368="","",[3]Entry!$E$368)</f>
        <v/>
      </c>
      <c r="AH365">
        <f>IF([3]Entry!$G$368="","",[3]Entry!$G$368)</f>
        <v/>
      </c>
      <c r="AI365">
        <f>IF([3]Entry!$K$368="","",[3]Entry!$K$368)</f>
        <v/>
      </c>
      <c r="AJ365">
        <f>IF([3]Entry!$L$368="","",[3]Entry!$L$368)</f>
        <v/>
      </c>
      <c r="AK365">
        <f>IF([3]Entry!$M$368="","",[3]Entry!$M$368)</f>
        <v/>
      </c>
      <c r="AL365">
        <f>IF([3]Entry!$N$368="","",[3]Entry!$N$368)</f>
        <v/>
      </c>
      <c r="AM365">
        <f>IF([3]Entry!$R$368="","",[3]Entry!$R$368)</f>
        <v/>
      </c>
    </row>
    <row r="366">
      <c r="A366">
        <f>IF([1]Accounts!$D$367="","",[1]Accounts!$A$367)</f>
        <v/>
      </c>
      <c r="B366">
        <f>IF([1]Accounts!$D$367="","",[1]Accounts!$B$367)</f>
        <v/>
      </c>
      <c r="C366">
        <f>IF([1]Accounts!$D$367="","",[1]Accounts!$C$367)</f>
        <v/>
      </c>
      <c r="D366">
        <f>IF([1]Accounts!$D$367="","",[1]Accounts!$D$367)</f>
        <v/>
      </c>
      <c r="E366">
        <f>IF([1]Accounts!$D$367="","",[1]Accounts!$E$367)</f>
        <v/>
      </c>
      <c r="F366">
        <f>IF([1]Accounts!$D$367="","",[1]Accounts!$F$367)</f>
        <v/>
      </c>
      <c r="G366">
        <f>IF([1]Accounts!$D$367="","",[1]Accounts!$G$367)</f>
        <v/>
      </c>
      <c r="T366">
        <f>IF([2]Baskol!$B$369="","",[2]Baskol!$B$369)</f>
        <v/>
      </c>
      <c r="U366">
        <f>IF([2]Baskol!$C$369="","",[2]Baskol!$C$369)</f>
        <v/>
      </c>
      <c r="V366">
        <f>IF([2]Baskol!$D$369="","",[2]Baskol!$D$369)</f>
        <v/>
      </c>
      <c r="W366">
        <f>IF([2]Baskol!$E$369="","",[2]Baskol!$E$369)</f>
        <v/>
      </c>
      <c r="X366">
        <f>IF([2]Baskol!$G$369="","",[2]Baskol!$G$369)</f>
        <v/>
      </c>
      <c r="Y366">
        <f>IF([2]Baskol!$I$369="","",[2]Baskol!$I$369)</f>
        <v/>
      </c>
      <c r="Z366">
        <f>IF([2]Baskol!$J$369="","",[2]Baskol!$J$369)</f>
        <v/>
      </c>
      <c r="AA366">
        <f>IF([2]Baskol!$K$369="","",[2]Baskol!$K$369)</f>
        <v/>
      </c>
      <c r="AB366">
        <f>IF([2]Baskol!$L$369="","",[2]Baskol!$L$369)</f>
        <v/>
      </c>
      <c r="AC366">
        <f>IF([2]Baskol!$N$369="","",[2]Baskol!$N$369)</f>
        <v/>
      </c>
      <c r="AD366">
        <f>IF([2]Baskol!$O$369="","",[2]Baskol!$O$369)</f>
        <v/>
      </c>
      <c r="AE366">
        <f>IF([3]Entry!$C$369="","",[3]Entry!$C$369)</f>
        <v/>
      </c>
      <c r="AF366">
        <f>IF([3]Entry!$D$369="","",[3]Entry!$D$369)</f>
        <v/>
      </c>
      <c r="AG366">
        <f>IF([3]Entry!$E$369="","",[3]Entry!$E$369)</f>
        <v/>
      </c>
      <c r="AH366">
        <f>IF([3]Entry!$G$369="","",[3]Entry!$G$369)</f>
        <v/>
      </c>
      <c r="AI366">
        <f>IF([3]Entry!$K$369="","",[3]Entry!$K$369)</f>
        <v/>
      </c>
      <c r="AJ366">
        <f>IF([3]Entry!$L$369="","",[3]Entry!$L$369)</f>
        <v/>
      </c>
      <c r="AK366">
        <f>IF([3]Entry!$M$369="","",[3]Entry!$M$369)</f>
        <v/>
      </c>
      <c r="AL366">
        <f>IF([3]Entry!$N$369="","",[3]Entry!$N$369)</f>
        <v/>
      </c>
      <c r="AM366">
        <f>IF([3]Entry!$R$369="","",[3]Entry!$R$369)</f>
        <v/>
      </c>
    </row>
    <row r="367">
      <c r="A367">
        <f>IF([1]Accounts!$D$368="","",[1]Accounts!$A$368)</f>
        <v/>
      </c>
      <c r="B367">
        <f>IF([1]Accounts!$D$368="","",[1]Accounts!$B$368)</f>
        <v/>
      </c>
      <c r="C367">
        <f>IF([1]Accounts!$D$368="","",[1]Accounts!$C$368)</f>
        <v/>
      </c>
      <c r="D367">
        <f>IF([1]Accounts!$D$368="","",[1]Accounts!$D$368)</f>
        <v/>
      </c>
      <c r="E367">
        <f>IF([1]Accounts!$D$368="","",[1]Accounts!$E$368)</f>
        <v/>
      </c>
      <c r="F367">
        <f>IF([1]Accounts!$D$368="","",[1]Accounts!$F$368)</f>
        <v/>
      </c>
      <c r="G367">
        <f>IF([1]Accounts!$D$368="","",[1]Accounts!$G$368)</f>
        <v/>
      </c>
      <c r="T367">
        <f>IF([2]Baskol!$B$370="","",[2]Baskol!$B$370)</f>
        <v/>
      </c>
      <c r="U367">
        <f>IF([2]Baskol!$C$370="","",[2]Baskol!$C$370)</f>
        <v/>
      </c>
      <c r="V367">
        <f>IF([2]Baskol!$D$370="","",[2]Baskol!$D$370)</f>
        <v/>
      </c>
      <c r="W367">
        <f>IF([2]Baskol!$E$370="","",[2]Baskol!$E$370)</f>
        <v/>
      </c>
      <c r="X367">
        <f>IF([2]Baskol!$G$370="","",[2]Baskol!$G$370)</f>
        <v/>
      </c>
      <c r="Y367">
        <f>IF([2]Baskol!$I$370="","",[2]Baskol!$I$370)</f>
        <v/>
      </c>
      <c r="Z367">
        <f>IF([2]Baskol!$J$370="","",[2]Baskol!$J$370)</f>
        <v/>
      </c>
      <c r="AA367">
        <f>IF([2]Baskol!$K$370="","",[2]Baskol!$K$370)</f>
        <v/>
      </c>
      <c r="AB367">
        <f>IF([2]Baskol!$L$370="","",[2]Baskol!$L$370)</f>
        <v/>
      </c>
      <c r="AC367">
        <f>IF([2]Baskol!$N$370="","",[2]Baskol!$N$370)</f>
        <v/>
      </c>
      <c r="AD367">
        <f>IF([2]Baskol!$O$370="","",[2]Baskol!$O$370)</f>
        <v/>
      </c>
      <c r="AE367">
        <f>IF([3]Entry!$C$370="","",[3]Entry!$C$370)</f>
        <v/>
      </c>
      <c r="AF367">
        <f>IF([3]Entry!$D$370="","",[3]Entry!$D$370)</f>
        <v/>
      </c>
      <c r="AG367">
        <f>IF([3]Entry!$E$370="","",[3]Entry!$E$370)</f>
        <v/>
      </c>
      <c r="AH367">
        <f>IF([3]Entry!$G$370="","",[3]Entry!$G$370)</f>
        <v/>
      </c>
      <c r="AI367">
        <f>IF([3]Entry!$K$370="","",[3]Entry!$K$370)</f>
        <v/>
      </c>
      <c r="AJ367">
        <f>IF([3]Entry!$L$370="","",[3]Entry!$L$370)</f>
        <v/>
      </c>
      <c r="AK367">
        <f>IF([3]Entry!$M$370="","",[3]Entry!$M$370)</f>
        <v/>
      </c>
      <c r="AL367">
        <f>IF([3]Entry!$N$370="","",[3]Entry!$N$370)</f>
        <v/>
      </c>
      <c r="AM367">
        <f>IF([3]Entry!$R$370="","",[3]Entry!$R$370)</f>
        <v/>
      </c>
    </row>
    <row r="368">
      <c r="A368">
        <f>IF([1]Accounts!$D$369="","",[1]Accounts!$A$369)</f>
        <v/>
      </c>
      <c r="B368">
        <f>IF([1]Accounts!$D$369="","",[1]Accounts!$B$369)</f>
        <v/>
      </c>
      <c r="C368">
        <f>IF([1]Accounts!$D$369="","",[1]Accounts!$C$369)</f>
        <v/>
      </c>
      <c r="D368">
        <f>IF([1]Accounts!$D$369="","",[1]Accounts!$D$369)</f>
        <v/>
      </c>
      <c r="E368">
        <f>IF([1]Accounts!$D$369="","",[1]Accounts!$E$369)</f>
        <v/>
      </c>
      <c r="F368">
        <f>IF([1]Accounts!$D$369="","",[1]Accounts!$F$369)</f>
        <v/>
      </c>
      <c r="G368">
        <f>IF([1]Accounts!$D$369="","",[1]Accounts!$G$369)</f>
        <v/>
      </c>
      <c r="T368">
        <f>IF([2]Baskol!$B$371="","",[2]Baskol!$B$371)</f>
        <v/>
      </c>
      <c r="U368">
        <f>IF([2]Baskol!$C$371="","",[2]Baskol!$C$371)</f>
        <v/>
      </c>
      <c r="V368">
        <f>IF([2]Baskol!$D$371="","",[2]Baskol!$D$371)</f>
        <v/>
      </c>
      <c r="W368">
        <f>IF([2]Baskol!$E$371="","",[2]Baskol!$E$371)</f>
        <v/>
      </c>
      <c r="X368">
        <f>IF([2]Baskol!$G$371="","",[2]Baskol!$G$371)</f>
        <v/>
      </c>
      <c r="Y368">
        <f>IF([2]Baskol!$I$371="","",[2]Baskol!$I$371)</f>
        <v/>
      </c>
      <c r="Z368">
        <f>IF([2]Baskol!$J$371="","",[2]Baskol!$J$371)</f>
        <v/>
      </c>
      <c r="AA368">
        <f>IF([2]Baskol!$K$371="","",[2]Baskol!$K$371)</f>
        <v/>
      </c>
      <c r="AB368">
        <f>IF([2]Baskol!$L$371="","",[2]Baskol!$L$371)</f>
        <v/>
      </c>
      <c r="AC368">
        <f>IF([2]Baskol!$N$371="","",[2]Baskol!$N$371)</f>
        <v/>
      </c>
      <c r="AD368">
        <f>IF([2]Baskol!$O$371="","",[2]Baskol!$O$371)</f>
        <v/>
      </c>
      <c r="AE368">
        <f>IF([3]Entry!$C$371="","",[3]Entry!$C$371)</f>
        <v/>
      </c>
      <c r="AF368">
        <f>IF([3]Entry!$D$371="","",[3]Entry!$D$371)</f>
        <v/>
      </c>
      <c r="AG368">
        <f>IF([3]Entry!$E$371="","",[3]Entry!$E$371)</f>
        <v/>
      </c>
      <c r="AH368">
        <f>IF([3]Entry!$G$371="","",[3]Entry!$G$371)</f>
        <v/>
      </c>
      <c r="AI368">
        <f>IF([3]Entry!$K$371="","",[3]Entry!$K$371)</f>
        <v/>
      </c>
      <c r="AJ368">
        <f>IF([3]Entry!$L$371="","",[3]Entry!$L$371)</f>
        <v/>
      </c>
      <c r="AK368">
        <f>IF([3]Entry!$M$371="","",[3]Entry!$M$371)</f>
        <v/>
      </c>
      <c r="AL368">
        <f>IF([3]Entry!$N$371="","",[3]Entry!$N$371)</f>
        <v/>
      </c>
      <c r="AM368">
        <f>IF([3]Entry!$R$371="","",[3]Entry!$R$371)</f>
        <v/>
      </c>
    </row>
    <row r="369">
      <c r="A369">
        <f>IF([1]Accounts!$D$370="","",[1]Accounts!$A$370)</f>
        <v/>
      </c>
      <c r="B369">
        <f>IF([1]Accounts!$D$370="","",[1]Accounts!$B$370)</f>
        <v/>
      </c>
      <c r="C369">
        <f>IF([1]Accounts!$D$370="","",[1]Accounts!$C$370)</f>
        <v/>
      </c>
      <c r="D369">
        <f>IF([1]Accounts!$D$370="","",[1]Accounts!$D$370)</f>
        <v/>
      </c>
      <c r="E369">
        <f>IF([1]Accounts!$D$370="","",[1]Accounts!$E$370)</f>
        <v/>
      </c>
      <c r="F369">
        <f>IF([1]Accounts!$D$370="","",[1]Accounts!$F$370)</f>
        <v/>
      </c>
      <c r="G369">
        <f>IF([1]Accounts!$D$370="","",[1]Accounts!$G$370)</f>
        <v/>
      </c>
      <c r="T369">
        <f>IF([2]Baskol!$B$372="","",[2]Baskol!$B$372)</f>
        <v/>
      </c>
      <c r="U369">
        <f>IF([2]Baskol!$C$372="","",[2]Baskol!$C$372)</f>
        <v/>
      </c>
      <c r="V369">
        <f>IF([2]Baskol!$D$372="","",[2]Baskol!$D$372)</f>
        <v/>
      </c>
      <c r="W369">
        <f>IF([2]Baskol!$E$372="","",[2]Baskol!$E$372)</f>
        <v/>
      </c>
      <c r="X369">
        <f>IF([2]Baskol!$G$372="","",[2]Baskol!$G$372)</f>
        <v/>
      </c>
      <c r="Y369">
        <f>IF([2]Baskol!$I$372="","",[2]Baskol!$I$372)</f>
        <v/>
      </c>
      <c r="Z369">
        <f>IF([2]Baskol!$J$372="","",[2]Baskol!$J$372)</f>
        <v/>
      </c>
      <c r="AA369">
        <f>IF([2]Baskol!$K$372="","",[2]Baskol!$K$372)</f>
        <v/>
      </c>
      <c r="AB369">
        <f>IF([2]Baskol!$L$372="","",[2]Baskol!$L$372)</f>
        <v/>
      </c>
      <c r="AC369">
        <f>IF([2]Baskol!$N$372="","",[2]Baskol!$N$372)</f>
        <v/>
      </c>
      <c r="AD369">
        <f>IF([2]Baskol!$O$372="","",[2]Baskol!$O$372)</f>
        <v/>
      </c>
      <c r="AE369">
        <f>IF([3]Entry!$C$372="","",[3]Entry!$C$372)</f>
        <v/>
      </c>
      <c r="AF369">
        <f>IF([3]Entry!$D$372="","",[3]Entry!$D$372)</f>
        <v/>
      </c>
      <c r="AG369">
        <f>IF([3]Entry!$E$372="","",[3]Entry!$E$372)</f>
        <v/>
      </c>
      <c r="AH369">
        <f>IF([3]Entry!$G$372="","",[3]Entry!$G$372)</f>
        <v/>
      </c>
      <c r="AI369">
        <f>IF([3]Entry!$K$372="","",[3]Entry!$K$372)</f>
        <v/>
      </c>
      <c r="AJ369">
        <f>IF([3]Entry!$L$372="","",[3]Entry!$L$372)</f>
        <v/>
      </c>
      <c r="AK369">
        <f>IF([3]Entry!$M$372="","",[3]Entry!$M$372)</f>
        <v/>
      </c>
      <c r="AL369">
        <f>IF([3]Entry!$N$372="","",[3]Entry!$N$372)</f>
        <v/>
      </c>
      <c r="AM369">
        <f>IF([3]Entry!$R$372="","",[3]Entry!$R$372)</f>
        <v/>
      </c>
    </row>
    <row r="370">
      <c r="A370">
        <f>IF([1]Accounts!$D$371="","",[1]Accounts!$A$371)</f>
        <v/>
      </c>
      <c r="B370">
        <f>IF([1]Accounts!$D$371="","",[1]Accounts!$B$371)</f>
        <v/>
      </c>
      <c r="C370">
        <f>IF([1]Accounts!$D$371="","",[1]Accounts!$C$371)</f>
        <v/>
      </c>
      <c r="D370">
        <f>IF([1]Accounts!$D$371="","",[1]Accounts!$D$371)</f>
        <v/>
      </c>
      <c r="E370">
        <f>IF([1]Accounts!$D$371="","",[1]Accounts!$E$371)</f>
        <v/>
      </c>
      <c r="F370">
        <f>IF([1]Accounts!$D$371="","",[1]Accounts!$F$371)</f>
        <v/>
      </c>
      <c r="G370">
        <f>IF([1]Accounts!$D$371="","",[1]Accounts!$G$371)</f>
        <v/>
      </c>
      <c r="T370">
        <f>IF([2]Baskol!$B$373="","",[2]Baskol!$B$373)</f>
        <v/>
      </c>
      <c r="U370">
        <f>IF([2]Baskol!$C$373="","",[2]Baskol!$C$373)</f>
        <v/>
      </c>
      <c r="V370">
        <f>IF([2]Baskol!$D$373="","",[2]Baskol!$D$373)</f>
        <v/>
      </c>
      <c r="W370">
        <f>IF([2]Baskol!$E$373="","",[2]Baskol!$E$373)</f>
        <v/>
      </c>
      <c r="X370">
        <f>IF([2]Baskol!$G$373="","",[2]Baskol!$G$373)</f>
        <v/>
      </c>
      <c r="Y370">
        <f>IF([2]Baskol!$I$373="","",[2]Baskol!$I$373)</f>
        <v/>
      </c>
      <c r="Z370">
        <f>IF([2]Baskol!$J$373="","",[2]Baskol!$J$373)</f>
        <v/>
      </c>
      <c r="AA370">
        <f>IF([2]Baskol!$K$373="","",[2]Baskol!$K$373)</f>
        <v/>
      </c>
      <c r="AB370">
        <f>IF([2]Baskol!$L$373="","",[2]Baskol!$L$373)</f>
        <v/>
      </c>
      <c r="AC370">
        <f>IF([2]Baskol!$N$373="","",[2]Baskol!$N$373)</f>
        <v/>
      </c>
      <c r="AD370">
        <f>IF([2]Baskol!$O$373="","",[2]Baskol!$O$373)</f>
        <v/>
      </c>
      <c r="AE370">
        <f>IF([3]Entry!$C$373="","",[3]Entry!$C$373)</f>
        <v/>
      </c>
      <c r="AF370">
        <f>IF([3]Entry!$D$373="","",[3]Entry!$D$373)</f>
        <v/>
      </c>
      <c r="AG370">
        <f>IF([3]Entry!$E$373="","",[3]Entry!$E$373)</f>
        <v/>
      </c>
      <c r="AH370">
        <f>IF([3]Entry!$G$373="","",[3]Entry!$G$373)</f>
        <v/>
      </c>
      <c r="AI370">
        <f>IF([3]Entry!$K$373="","",[3]Entry!$K$373)</f>
        <v/>
      </c>
      <c r="AJ370">
        <f>IF([3]Entry!$L$373="","",[3]Entry!$L$373)</f>
        <v/>
      </c>
      <c r="AK370">
        <f>IF([3]Entry!$M$373="","",[3]Entry!$M$373)</f>
        <v/>
      </c>
      <c r="AL370">
        <f>IF([3]Entry!$N$373="","",[3]Entry!$N$373)</f>
        <v/>
      </c>
      <c r="AM370">
        <f>IF([3]Entry!$R$373="","",[3]Entry!$R$373)</f>
        <v/>
      </c>
    </row>
    <row r="371">
      <c r="A371">
        <f>IF([1]Accounts!$D$372="","",[1]Accounts!$A$372)</f>
        <v/>
      </c>
      <c r="B371">
        <f>IF([1]Accounts!$D$372="","",[1]Accounts!$B$372)</f>
        <v/>
      </c>
      <c r="C371">
        <f>IF([1]Accounts!$D$372="","",[1]Accounts!$C$372)</f>
        <v/>
      </c>
      <c r="D371">
        <f>IF([1]Accounts!$D$372="","",[1]Accounts!$D$372)</f>
        <v/>
      </c>
      <c r="E371">
        <f>IF([1]Accounts!$D$372="","",[1]Accounts!$E$372)</f>
        <v/>
      </c>
      <c r="F371">
        <f>IF([1]Accounts!$D$372="","",[1]Accounts!$F$372)</f>
        <v/>
      </c>
      <c r="G371">
        <f>IF([1]Accounts!$D$372="","",[1]Accounts!$G$372)</f>
        <v/>
      </c>
      <c r="T371">
        <f>IF([2]Baskol!$B$374="","",[2]Baskol!$B$374)</f>
        <v/>
      </c>
      <c r="U371">
        <f>IF([2]Baskol!$C$374="","",[2]Baskol!$C$374)</f>
        <v/>
      </c>
      <c r="V371">
        <f>IF([2]Baskol!$D$374="","",[2]Baskol!$D$374)</f>
        <v/>
      </c>
      <c r="W371">
        <f>IF([2]Baskol!$E$374="","",[2]Baskol!$E$374)</f>
        <v/>
      </c>
      <c r="X371">
        <f>IF([2]Baskol!$G$374="","",[2]Baskol!$G$374)</f>
        <v/>
      </c>
      <c r="Y371">
        <f>IF([2]Baskol!$I$374="","",[2]Baskol!$I$374)</f>
        <v/>
      </c>
      <c r="Z371">
        <f>IF([2]Baskol!$J$374="","",[2]Baskol!$J$374)</f>
        <v/>
      </c>
      <c r="AA371">
        <f>IF([2]Baskol!$K$374="","",[2]Baskol!$K$374)</f>
        <v/>
      </c>
      <c r="AB371">
        <f>IF([2]Baskol!$L$374="","",[2]Baskol!$L$374)</f>
        <v/>
      </c>
      <c r="AC371">
        <f>IF([2]Baskol!$N$374="","",[2]Baskol!$N$374)</f>
        <v/>
      </c>
      <c r="AD371">
        <f>IF([2]Baskol!$O$374="","",[2]Baskol!$O$374)</f>
        <v/>
      </c>
      <c r="AE371">
        <f>IF([3]Entry!$C$374="","",[3]Entry!$C$374)</f>
        <v/>
      </c>
      <c r="AF371">
        <f>IF([3]Entry!$D$374="","",[3]Entry!$D$374)</f>
        <v/>
      </c>
      <c r="AG371">
        <f>IF([3]Entry!$E$374="","",[3]Entry!$E$374)</f>
        <v/>
      </c>
      <c r="AH371">
        <f>IF([3]Entry!$G$374="","",[3]Entry!$G$374)</f>
        <v/>
      </c>
      <c r="AI371">
        <f>IF([3]Entry!$K$374="","",[3]Entry!$K$374)</f>
        <v/>
      </c>
      <c r="AJ371">
        <f>IF([3]Entry!$L$374="","",[3]Entry!$L$374)</f>
        <v/>
      </c>
      <c r="AK371">
        <f>IF([3]Entry!$M$374="","",[3]Entry!$M$374)</f>
        <v/>
      </c>
      <c r="AL371">
        <f>IF([3]Entry!$N$374="","",[3]Entry!$N$374)</f>
        <v/>
      </c>
      <c r="AM371">
        <f>IF([3]Entry!$R$374="","",[3]Entry!$R$374)</f>
        <v/>
      </c>
    </row>
    <row r="372">
      <c r="A372">
        <f>IF([1]Accounts!$D$373="","",[1]Accounts!$A$373)</f>
        <v/>
      </c>
      <c r="B372">
        <f>IF([1]Accounts!$D$373="","",[1]Accounts!$B$373)</f>
        <v/>
      </c>
      <c r="C372">
        <f>IF([1]Accounts!$D$373="","",[1]Accounts!$C$373)</f>
        <v/>
      </c>
      <c r="D372">
        <f>IF([1]Accounts!$D$373="","",[1]Accounts!$D$373)</f>
        <v/>
      </c>
      <c r="E372">
        <f>IF([1]Accounts!$D$373="","",[1]Accounts!$E$373)</f>
        <v/>
      </c>
      <c r="F372">
        <f>IF([1]Accounts!$D$373="","",[1]Accounts!$F$373)</f>
        <v/>
      </c>
      <c r="G372">
        <f>IF([1]Accounts!$D$373="","",[1]Accounts!$G$373)</f>
        <v/>
      </c>
      <c r="T372">
        <f>IF([2]Baskol!$B$375="","",[2]Baskol!$B$375)</f>
        <v/>
      </c>
      <c r="U372">
        <f>IF([2]Baskol!$C$375="","",[2]Baskol!$C$375)</f>
        <v/>
      </c>
      <c r="V372">
        <f>IF([2]Baskol!$D$375="","",[2]Baskol!$D$375)</f>
        <v/>
      </c>
      <c r="W372">
        <f>IF([2]Baskol!$E$375="","",[2]Baskol!$E$375)</f>
        <v/>
      </c>
      <c r="X372">
        <f>IF([2]Baskol!$G$375="","",[2]Baskol!$G$375)</f>
        <v/>
      </c>
      <c r="Y372">
        <f>IF([2]Baskol!$I$375="","",[2]Baskol!$I$375)</f>
        <v/>
      </c>
      <c r="Z372">
        <f>IF([2]Baskol!$J$375="","",[2]Baskol!$J$375)</f>
        <v/>
      </c>
      <c r="AA372">
        <f>IF([2]Baskol!$K$375="","",[2]Baskol!$K$375)</f>
        <v/>
      </c>
      <c r="AB372">
        <f>IF([2]Baskol!$L$375="","",[2]Baskol!$L$375)</f>
        <v/>
      </c>
      <c r="AC372">
        <f>IF([2]Baskol!$N$375="","",[2]Baskol!$N$375)</f>
        <v/>
      </c>
      <c r="AD372">
        <f>IF([2]Baskol!$O$375="","",[2]Baskol!$O$375)</f>
        <v/>
      </c>
      <c r="AE372">
        <f>IF([3]Entry!$C$375="","",[3]Entry!$C$375)</f>
        <v/>
      </c>
      <c r="AF372">
        <f>IF([3]Entry!$D$375="","",[3]Entry!$D$375)</f>
        <v/>
      </c>
      <c r="AG372">
        <f>IF([3]Entry!$E$375="","",[3]Entry!$E$375)</f>
        <v/>
      </c>
      <c r="AH372">
        <f>IF([3]Entry!$G$375="","",[3]Entry!$G$375)</f>
        <v/>
      </c>
      <c r="AI372">
        <f>IF([3]Entry!$K$375="","",[3]Entry!$K$375)</f>
        <v/>
      </c>
      <c r="AJ372">
        <f>IF([3]Entry!$L$375="","",[3]Entry!$L$375)</f>
        <v/>
      </c>
      <c r="AK372">
        <f>IF([3]Entry!$M$375="","",[3]Entry!$M$375)</f>
        <v/>
      </c>
      <c r="AL372">
        <f>IF([3]Entry!$N$375="","",[3]Entry!$N$375)</f>
        <v/>
      </c>
      <c r="AM372">
        <f>IF([3]Entry!$R$375="","",[3]Entry!$R$375)</f>
        <v/>
      </c>
    </row>
    <row r="373">
      <c r="A373">
        <f>IF([1]Accounts!$D$374="","",[1]Accounts!$A$374)</f>
        <v/>
      </c>
      <c r="B373">
        <f>IF([1]Accounts!$D$374="","",[1]Accounts!$B$374)</f>
        <v/>
      </c>
      <c r="C373">
        <f>IF([1]Accounts!$D$374="","",[1]Accounts!$C$374)</f>
        <v/>
      </c>
      <c r="D373">
        <f>IF([1]Accounts!$D$374="","",[1]Accounts!$D$374)</f>
        <v/>
      </c>
      <c r="E373">
        <f>IF([1]Accounts!$D$374="","",[1]Accounts!$E$374)</f>
        <v/>
      </c>
      <c r="F373">
        <f>IF([1]Accounts!$D$374="","",[1]Accounts!$F$374)</f>
        <v/>
      </c>
      <c r="G373">
        <f>IF([1]Accounts!$D$374="","",[1]Accounts!$G$374)</f>
        <v/>
      </c>
      <c r="T373">
        <f>IF([2]Baskol!$B$376="","",[2]Baskol!$B$376)</f>
        <v/>
      </c>
      <c r="U373">
        <f>IF([2]Baskol!$C$376="","",[2]Baskol!$C$376)</f>
        <v/>
      </c>
      <c r="V373">
        <f>IF([2]Baskol!$D$376="","",[2]Baskol!$D$376)</f>
        <v/>
      </c>
      <c r="W373">
        <f>IF([2]Baskol!$E$376="","",[2]Baskol!$E$376)</f>
        <v/>
      </c>
      <c r="X373">
        <f>IF([2]Baskol!$G$376="","",[2]Baskol!$G$376)</f>
        <v/>
      </c>
      <c r="Y373">
        <f>IF([2]Baskol!$I$376="","",[2]Baskol!$I$376)</f>
        <v/>
      </c>
      <c r="Z373">
        <f>IF([2]Baskol!$J$376="","",[2]Baskol!$J$376)</f>
        <v/>
      </c>
      <c r="AA373">
        <f>IF([2]Baskol!$K$376="","",[2]Baskol!$K$376)</f>
        <v/>
      </c>
      <c r="AB373">
        <f>IF([2]Baskol!$L$376="","",[2]Baskol!$L$376)</f>
        <v/>
      </c>
      <c r="AC373">
        <f>IF([2]Baskol!$N$376="","",[2]Baskol!$N$376)</f>
        <v/>
      </c>
      <c r="AD373">
        <f>IF([2]Baskol!$O$376="","",[2]Baskol!$O$376)</f>
        <v/>
      </c>
      <c r="AE373">
        <f>IF([3]Entry!$C$376="","",[3]Entry!$C$376)</f>
        <v/>
      </c>
      <c r="AF373">
        <f>IF([3]Entry!$D$376="","",[3]Entry!$D$376)</f>
        <v/>
      </c>
      <c r="AG373">
        <f>IF([3]Entry!$E$376="","",[3]Entry!$E$376)</f>
        <v/>
      </c>
      <c r="AH373">
        <f>IF([3]Entry!$G$376="","",[3]Entry!$G$376)</f>
        <v/>
      </c>
      <c r="AI373">
        <f>IF([3]Entry!$K$376="","",[3]Entry!$K$376)</f>
        <v/>
      </c>
      <c r="AJ373">
        <f>IF([3]Entry!$L$376="","",[3]Entry!$L$376)</f>
        <v/>
      </c>
      <c r="AK373">
        <f>IF([3]Entry!$M$376="","",[3]Entry!$M$376)</f>
        <v/>
      </c>
      <c r="AL373">
        <f>IF([3]Entry!$N$376="","",[3]Entry!$N$376)</f>
        <v/>
      </c>
      <c r="AM373">
        <f>IF([3]Entry!$R$376="","",[3]Entry!$R$376)</f>
        <v/>
      </c>
    </row>
    <row r="374">
      <c r="A374">
        <f>IF([1]Accounts!$D$375="","",[1]Accounts!$A$375)</f>
        <v/>
      </c>
      <c r="B374">
        <f>IF([1]Accounts!$D$375="","",[1]Accounts!$B$375)</f>
        <v/>
      </c>
      <c r="C374">
        <f>IF([1]Accounts!$D$375="","",[1]Accounts!$C$375)</f>
        <v/>
      </c>
      <c r="D374">
        <f>IF([1]Accounts!$D$375="","",[1]Accounts!$D$375)</f>
        <v/>
      </c>
      <c r="E374">
        <f>IF([1]Accounts!$D$375="","",[1]Accounts!$E$375)</f>
        <v/>
      </c>
      <c r="F374">
        <f>IF([1]Accounts!$D$375="","",[1]Accounts!$F$375)</f>
        <v/>
      </c>
      <c r="G374">
        <f>IF([1]Accounts!$D$375="","",[1]Accounts!$G$375)</f>
        <v/>
      </c>
      <c r="T374">
        <f>IF([2]Baskol!$B$377="","",[2]Baskol!$B$377)</f>
        <v/>
      </c>
      <c r="U374">
        <f>IF([2]Baskol!$C$377="","",[2]Baskol!$C$377)</f>
        <v/>
      </c>
      <c r="V374">
        <f>IF([2]Baskol!$D$377="","",[2]Baskol!$D$377)</f>
        <v/>
      </c>
      <c r="W374">
        <f>IF([2]Baskol!$E$377="","",[2]Baskol!$E$377)</f>
        <v/>
      </c>
      <c r="X374">
        <f>IF([2]Baskol!$G$377="","",[2]Baskol!$G$377)</f>
        <v/>
      </c>
      <c r="Y374">
        <f>IF([2]Baskol!$I$377="","",[2]Baskol!$I$377)</f>
        <v/>
      </c>
      <c r="Z374">
        <f>IF([2]Baskol!$J$377="","",[2]Baskol!$J$377)</f>
        <v/>
      </c>
      <c r="AA374">
        <f>IF([2]Baskol!$K$377="","",[2]Baskol!$K$377)</f>
        <v/>
      </c>
      <c r="AB374">
        <f>IF([2]Baskol!$L$377="","",[2]Baskol!$L$377)</f>
        <v/>
      </c>
      <c r="AC374">
        <f>IF([2]Baskol!$N$377="","",[2]Baskol!$N$377)</f>
        <v/>
      </c>
      <c r="AD374">
        <f>IF([2]Baskol!$O$377="","",[2]Baskol!$O$377)</f>
        <v/>
      </c>
      <c r="AE374">
        <f>IF([3]Entry!$C$377="","",[3]Entry!$C$377)</f>
        <v/>
      </c>
      <c r="AF374">
        <f>IF([3]Entry!$D$377="","",[3]Entry!$D$377)</f>
        <v/>
      </c>
      <c r="AG374">
        <f>IF([3]Entry!$E$377="","",[3]Entry!$E$377)</f>
        <v/>
      </c>
      <c r="AH374">
        <f>IF([3]Entry!$G$377="","",[3]Entry!$G$377)</f>
        <v/>
      </c>
      <c r="AI374">
        <f>IF([3]Entry!$K$377="","",[3]Entry!$K$377)</f>
        <v/>
      </c>
      <c r="AJ374">
        <f>IF([3]Entry!$L$377="","",[3]Entry!$L$377)</f>
        <v/>
      </c>
      <c r="AK374">
        <f>IF([3]Entry!$M$377="","",[3]Entry!$M$377)</f>
        <v/>
      </c>
      <c r="AL374">
        <f>IF([3]Entry!$N$377="","",[3]Entry!$N$377)</f>
        <v/>
      </c>
      <c r="AM374">
        <f>IF([3]Entry!$R$377="","",[3]Entry!$R$377)</f>
        <v/>
      </c>
    </row>
    <row r="375">
      <c r="A375">
        <f>IF([1]Accounts!$D$376="","",[1]Accounts!$A$376)</f>
        <v/>
      </c>
      <c r="B375">
        <f>IF([1]Accounts!$D$376="","",[1]Accounts!$B$376)</f>
        <v/>
      </c>
      <c r="C375">
        <f>IF([1]Accounts!$D$376="","",[1]Accounts!$C$376)</f>
        <v/>
      </c>
      <c r="D375">
        <f>IF([1]Accounts!$D$376="","",[1]Accounts!$D$376)</f>
        <v/>
      </c>
      <c r="E375">
        <f>IF([1]Accounts!$D$376="","",[1]Accounts!$E$376)</f>
        <v/>
      </c>
      <c r="F375">
        <f>IF([1]Accounts!$D$376="","",[1]Accounts!$F$376)</f>
        <v/>
      </c>
      <c r="G375">
        <f>IF([1]Accounts!$D$376="","",[1]Accounts!$G$376)</f>
        <v/>
      </c>
      <c r="T375">
        <f>IF([2]Baskol!$B$378="","",[2]Baskol!$B$378)</f>
        <v/>
      </c>
      <c r="U375">
        <f>IF([2]Baskol!$C$378="","",[2]Baskol!$C$378)</f>
        <v/>
      </c>
      <c r="V375">
        <f>IF([2]Baskol!$D$378="","",[2]Baskol!$D$378)</f>
        <v/>
      </c>
      <c r="W375">
        <f>IF([2]Baskol!$E$378="","",[2]Baskol!$E$378)</f>
        <v/>
      </c>
      <c r="X375">
        <f>IF([2]Baskol!$G$378="","",[2]Baskol!$G$378)</f>
        <v/>
      </c>
      <c r="Y375">
        <f>IF([2]Baskol!$I$378="","",[2]Baskol!$I$378)</f>
        <v/>
      </c>
      <c r="Z375">
        <f>IF([2]Baskol!$J$378="","",[2]Baskol!$J$378)</f>
        <v/>
      </c>
      <c r="AA375">
        <f>IF([2]Baskol!$K$378="","",[2]Baskol!$K$378)</f>
        <v/>
      </c>
      <c r="AB375">
        <f>IF([2]Baskol!$L$378="","",[2]Baskol!$L$378)</f>
        <v/>
      </c>
      <c r="AC375">
        <f>IF([2]Baskol!$N$378="","",[2]Baskol!$N$378)</f>
        <v/>
      </c>
      <c r="AD375">
        <f>IF([2]Baskol!$O$378="","",[2]Baskol!$O$378)</f>
        <v/>
      </c>
      <c r="AE375">
        <f>IF([3]Entry!$C$378="","",[3]Entry!$C$378)</f>
        <v/>
      </c>
      <c r="AF375">
        <f>IF([3]Entry!$D$378="","",[3]Entry!$D$378)</f>
        <v/>
      </c>
      <c r="AG375">
        <f>IF([3]Entry!$E$378="","",[3]Entry!$E$378)</f>
        <v/>
      </c>
      <c r="AH375">
        <f>IF([3]Entry!$G$378="","",[3]Entry!$G$378)</f>
        <v/>
      </c>
      <c r="AI375">
        <f>IF([3]Entry!$K$378="","",[3]Entry!$K$378)</f>
        <v/>
      </c>
      <c r="AJ375">
        <f>IF([3]Entry!$L$378="","",[3]Entry!$L$378)</f>
        <v/>
      </c>
      <c r="AK375">
        <f>IF([3]Entry!$M$378="","",[3]Entry!$M$378)</f>
        <v/>
      </c>
      <c r="AL375">
        <f>IF([3]Entry!$N$378="","",[3]Entry!$N$378)</f>
        <v/>
      </c>
      <c r="AM375">
        <f>IF([3]Entry!$R$378="","",[3]Entry!$R$378)</f>
        <v/>
      </c>
    </row>
    <row r="376">
      <c r="A376">
        <f>IF([1]Accounts!$D$377="","",[1]Accounts!$A$377)</f>
        <v/>
      </c>
      <c r="B376">
        <f>IF([1]Accounts!$D$377="","",[1]Accounts!$B$377)</f>
        <v/>
      </c>
      <c r="C376">
        <f>IF([1]Accounts!$D$377="","",[1]Accounts!$C$377)</f>
        <v/>
      </c>
      <c r="D376">
        <f>IF([1]Accounts!$D$377="","",[1]Accounts!$D$377)</f>
        <v/>
      </c>
      <c r="E376">
        <f>IF([1]Accounts!$D$377="","",[1]Accounts!$E$377)</f>
        <v/>
      </c>
      <c r="F376">
        <f>IF([1]Accounts!$D$377="","",[1]Accounts!$F$377)</f>
        <v/>
      </c>
      <c r="G376">
        <f>IF([1]Accounts!$D$377="","",[1]Accounts!$G$377)</f>
        <v/>
      </c>
      <c r="T376">
        <f>IF([2]Baskol!$B$379="","",[2]Baskol!$B$379)</f>
        <v/>
      </c>
      <c r="U376">
        <f>IF([2]Baskol!$C$379="","",[2]Baskol!$C$379)</f>
        <v/>
      </c>
      <c r="V376">
        <f>IF([2]Baskol!$D$379="","",[2]Baskol!$D$379)</f>
        <v/>
      </c>
      <c r="W376">
        <f>IF([2]Baskol!$E$379="","",[2]Baskol!$E$379)</f>
        <v/>
      </c>
      <c r="X376">
        <f>IF([2]Baskol!$G$379="","",[2]Baskol!$G$379)</f>
        <v/>
      </c>
      <c r="Y376">
        <f>IF([2]Baskol!$I$379="","",[2]Baskol!$I$379)</f>
        <v/>
      </c>
      <c r="Z376">
        <f>IF([2]Baskol!$J$379="","",[2]Baskol!$J$379)</f>
        <v/>
      </c>
      <c r="AA376">
        <f>IF([2]Baskol!$K$379="","",[2]Baskol!$K$379)</f>
        <v/>
      </c>
      <c r="AB376">
        <f>IF([2]Baskol!$L$379="","",[2]Baskol!$L$379)</f>
        <v/>
      </c>
      <c r="AC376">
        <f>IF([2]Baskol!$N$379="","",[2]Baskol!$N$379)</f>
        <v/>
      </c>
      <c r="AD376">
        <f>IF([2]Baskol!$O$379="","",[2]Baskol!$O$379)</f>
        <v/>
      </c>
      <c r="AE376">
        <f>IF([3]Entry!$C$379="","",[3]Entry!$C$379)</f>
        <v/>
      </c>
      <c r="AF376">
        <f>IF([3]Entry!$D$379="","",[3]Entry!$D$379)</f>
        <v/>
      </c>
      <c r="AG376">
        <f>IF([3]Entry!$E$379="","",[3]Entry!$E$379)</f>
        <v/>
      </c>
      <c r="AH376">
        <f>IF([3]Entry!$G$379="","",[3]Entry!$G$379)</f>
        <v/>
      </c>
      <c r="AI376">
        <f>IF([3]Entry!$K$379="","",[3]Entry!$K$379)</f>
        <v/>
      </c>
      <c r="AJ376">
        <f>IF([3]Entry!$L$379="","",[3]Entry!$L$379)</f>
        <v/>
      </c>
      <c r="AK376">
        <f>IF([3]Entry!$M$379="","",[3]Entry!$M$379)</f>
        <v/>
      </c>
      <c r="AL376">
        <f>IF([3]Entry!$N$379="","",[3]Entry!$N$379)</f>
        <v/>
      </c>
      <c r="AM376">
        <f>IF([3]Entry!$R$379="","",[3]Entry!$R$379)</f>
        <v/>
      </c>
    </row>
    <row r="377">
      <c r="A377">
        <f>IF([1]Accounts!$D$378="","",[1]Accounts!$A$378)</f>
        <v/>
      </c>
      <c r="B377">
        <f>IF([1]Accounts!$D$378="","",[1]Accounts!$B$378)</f>
        <v/>
      </c>
      <c r="C377">
        <f>IF([1]Accounts!$D$378="","",[1]Accounts!$C$378)</f>
        <v/>
      </c>
      <c r="D377">
        <f>IF([1]Accounts!$D$378="","",[1]Accounts!$D$378)</f>
        <v/>
      </c>
      <c r="E377">
        <f>IF([1]Accounts!$D$378="","",[1]Accounts!$E$378)</f>
        <v/>
      </c>
      <c r="F377">
        <f>IF([1]Accounts!$D$378="","",[1]Accounts!$F$378)</f>
        <v/>
      </c>
      <c r="G377">
        <f>IF([1]Accounts!$D$378="","",[1]Accounts!$G$378)</f>
        <v/>
      </c>
      <c r="T377">
        <f>IF([2]Baskol!$B$380="","",[2]Baskol!$B$380)</f>
        <v/>
      </c>
      <c r="U377">
        <f>IF([2]Baskol!$C$380="","",[2]Baskol!$C$380)</f>
        <v/>
      </c>
      <c r="V377">
        <f>IF([2]Baskol!$D$380="","",[2]Baskol!$D$380)</f>
        <v/>
      </c>
      <c r="W377">
        <f>IF([2]Baskol!$E$380="","",[2]Baskol!$E$380)</f>
        <v/>
      </c>
      <c r="X377">
        <f>IF([2]Baskol!$G$380="","",[2]Baskol!$G$380)</f>
        <v/>
      </c>
      <c r="Y377">
        <f>IF([2]Baskol!$I$380="","",[2]Baskol!$I$380)</f>
        <v/>
      </c>
      <c r="Z377">
        <f>IF([2]Baskol!$J$380="","",[2]Baskol!$J$380)</f>
        <v/>
      </c>
      <c r="AA377">
        <f>IF([2]Baskol!$K$380="","",[2]Baskol!$K$380)</f>
        <v/>
      </c>
      <c r="AB377">
        <f>IF([2]Baskol!$L$380="","",[2]Baskol!$L$380)</f>
        <v/>
      </c>
      <c r="AC377">
        <f>IF([2]Baskol!$N$380="","",[2]Baskol!$N$380)</f>
        <v/>
      </c>
      <c r="AD377">
        <f>IF([2]Baskol!$O$380="","",[2]Baskol!$O$380)</f>
        <v/>
      </c>
      <c r="AE377">
        <f>IF([3]Entry!$C$380="","",[3]Entry!$C$380)</f>
        <v/>
      </c>
      <c r="AF377">
        <f>IF([3]Entry!$D$380="","",[3]Entry!$D$380)</f>
        <v/>
      </c>
      <c r="AG377">
        <f>IF([3]Entry!$E$380="","",[3]Entry!$E$380)</f>
        <v/>
      </c>
      <c r="AH377">
        <f>IF([3]Entry!$G$380="","",[3]Entry!$G$380)</f>
        <v/>
      </c>
      <c r="AI377">
        <f>IF([3]Entry!$K$380="","",[3]Entry!$K$380)</f>
        <v/>
      </c>
      <c r="AJ377">
        <f>IF([3]Entry!$L$380="","",[3]Entry!$L$380)</f>
        <v/>
      </c>
      <c r="AK377">
        <f>IF([3]Entry!$M$380="","",[3]Entry!$M$380)</f>
        <v/>
      </c>
      <c r="AL377">
        <f>IF([3]Entry!$N$380="","",[3]Entry!$N$380)</f>
        <v/>
      </c>
      <c r="AM377">
        <f>IF([3]Entry!$R$380="","",[3]Entry!$R$380)</f>
        <v/>
      </c>
    </row>
    <row r="378">
      <c r="A378">
        <f>IF([1]Accounts!$D$379="","",[1]Accounts!$A$379)</f>
        <v/>
      </c>
      <c r="B378">
        <f>IF([1]Accounts!$D$379="","",[1]Accounts!$B$379)</f>
        <v/>
      </c>
      <c r="C378">
        <f>IF([1]Accounts!$D$379="","",[1]Accounts!$C$379)</f>
        <v/>
      </c>
      <c r="D378">
        <f>IF([1]Accounts!$D$379="","",[1]Accounts!$D$379)</f>
        <v/>
      </c>
      <c r="E378">
        <f>IF([1]Accounts!$D$379="","",[1]Accounts!$E$379)</f>
        <v/>
      </c>
      <c r="F378">
        <f>IF([1]Accounts!$D$379="","",[1]Accounts!$F$379)</f>
        <v/>
      </c>
      <c r="G378">
        <f>IF([1]Accounts!$D$379="","",[1]Accounts!$G$379)</f>
        <v/>
      </c>
      <c r="T378">
        <f>IF([2]Baskol!$B$381="","",[2]Baskol!$B$381)</f>
        <v/>
      </c>
      <c r="U378">
        <f>IF([2]Baskol!$C$381="","",[2]Baskol!$C$381)</f>
        <v/>
      </c>
      <c r="V378">
        <f>IF([2]Baskol!$D$381="","",[2]Baskol!$D$381)</f>
        <v/>
      </c>
      <c r="W378">
        <f>IF([2]Baskol!$E$381="","",[2]Baskol!$E$381)</f>
        <v/>
      </c>
      <c r="X378">
        <f>IF([2]Baskol!$G$381="","",[2]Baskol!$G$381)</f>
        <v/>
      </c>
      <c r="Y378">
        <f>IF([2]Baskol!$I$381="","",[2]Baskol!$I$381)</f>
        <v/>
      </c>
      <c r="Z378">
        <f>IF([2]Baskol!$J$381="","",[2]Baskol!$J$381)</f>
        <v/>
      </c>
      <c r="AA378">
        <f>IF([2]Baskol!$K$381="","",[2]Baskol!$K$381)</f>
        <v/>
      </c>
      <c r="AB378">
        <f>IF([2]Baskol!$L$381="","",[2]Baskol!$L$381)</f>
        <v/>
      </c>
      <c r="AC378">
        <f>IF([2]Baskol!$N$381="","",[2]Baskol!$N$381)</f>
        <v/>
      </c>
      <c r="AD378">
        <f>IF([2]Baskol!$O$381="","",[2]Baskol!$O$381)</f>
        <v/>
      </c>
      <c r="AE378">
        <f>IF([3]Entry!$C$381="","",[3]Entry!$C$381)</f>
        <v/>
      </c>
      <c r="AF378">
        <f>IF([3]Entry!$D$381="","",[3]Entry!$D$381)</f>
        <v/>
      </c>
      <c r="AG378">
        <f>IF([3]Entry!$E$381="","",[3]Entry!$E$381)</f>
        <v/>
      </c>
      <c r="AH378">
        <f>IF([3]Entry!$G$381="","",[3]Entry!$G$381)</f>
        <v/>
      </c>
      <c r="AI378">
        <f>IF([3]Entry!$K$381="","",[3]Entry!$K$381)</f>
        <v/>
      </c>
      <c r="AJ378">
        <f>IF([3]Entry!$L$381="","",[3]Entry!$L$381)</f>
        <v/>
      </c>
      <c r="AK378">
        <f>IF([3]Entry!$M$381="","",[3]Entry!$M$381)</f>
        <v/>
      </c>
      <c r="AL378">
        <f>IF([3]Entry!$N$381="","",[3]Entry!$N$381)</f>
        <v/>
      </c>
      <c r="AM378">
        <f>IF([3]Entry!$R$381="","",[3]Entry!$R$381)</f>
        <v/>
      </c>
    </row>
    <row r="379">
      <c r="A379">
        <f>IF([1]Accounts!$D$380="","",[1]Accounts!$A$380)</f>
        <v/>
      </c>
      <c r="B379">
        <f>IF([1]Accounts!$D$380="","",[1]Accounts!$B$380)</f>
        <v/>
      </c>
      <c r="C379">
        <f>IF([1]Accounts!$D$380="","",[1]Accounts!$C$380)</f>
        <v/>
      </c>
      <c r="D379">
        <f>IF([1]Accounts!$D$380="","",[1]Accounts!$D$380)</f>
        <v/>
      </c>
      <c r="E379">
        <f>IF([1]Accounts!$D$380="","",[1]Accounts!$E$380)</f>
        <v/>
      </c>
      <c r="F379">
        <f>IF([1]Accounts!$D$380="","",[1]Accounts!$F$380)</f>
        <v/>
      </c>
      <c r="G379">
        <f>IF([1]Accounts!$D$380="","",[1]Accounts!$G$380)</f>
        <v/>
      </c>
      <c r="T379">
        <f>IF([2]Baskol!$B$382="","",[2]Baskol!$B$382)</f>
        <v/>
      </c>
      <c r="U379">
        <f>IF([2]Baskol!$C$382="","",[2]Baskol!$C$382)</f>
        <v/>
      </c>
      <c r="V379">
        <f>IF([2]Baskol!$D$382="","",[2]Baskol!$D$382)</f>
        <v/>
      </c>
      <c r="W379">
        <f>IF([2]Baskol!$E$382="","",[2]Baskol!$E$382)</f>
        <v/>
      </c>
      <c r="X379">
        <f>IF([2]Baskol!$G$382="","",[2]Baskol!$G$382)</f>
        <v/>
      </c>
      <c r="Y379">
        <f>IF([2]Baskol!$I$382="","",[2]Baskol!$I$382)</f>
        <v/>
      </c>
      <c r="Z379">
        <f>IF([2]Baskol!$J$382="","",[2]Baskol!$J$382)</f>
        <v/>
      </c>
      <c r="AA379">
        <f>IF([2]Baskol!$K$382="","",[2]Baskol!$K$382)</f>
        <v/>
      </c>
      <c r="AB379">
        <f>IF([2]Baskol!$L$382="","",[2]Baskol!$L$382)</f>
        <v/>
      </c>
      <c r="AC379">
        <f>IF([2]Baskol!$N$382="","",[2]Baskol!$N$382)</f>
        <v/>
      </c>
      <c r="AD379">
        <f>IF([2]Baskol!$O$382="","",[2]Baskol!$O$382)</f>
        <v/>
      </c>
      <c r="AE379">
        <f>IF([3]Entry!$C$382="","",[3]Entry!$C$382)</f>
        <v/>
      </c>
      <c r="AF379">
        <f>IF([3]Entry!$D$382="","",[3]Entry!$D$382)</f>
        <v/>
      </c>
      <c r="AG379">
        <f>IF([3]Entry!$E$382="","",[3]Entry!$E$382)</f>
        <v/>
      </c>
      <c r="AH379">
        <f>IF([3]Entry!$G$382="","",[3]Entry!$G$382)</f>
        <v/>
      </c>
      <c r="AI379">
        <f>IF([3]Entry!$K$382="","",[3]Entry!$K$382)</f>
        <v/>
      </c>
      <c r="AJ379">
        <f>IF([3]Entry!$L$382="","",[3]Entry!$L$382)</f>
        <v/>
      </c>
      <c r="AK379">
        <f>IF([3]Entry!$M$382="","",[3]Entry!$M$382)</f>
        <v/>
      </c>
      <c r="AL379">
        <f>IF([3]Entry!$N$382="","",[3]Entry!$N$382)</f>
        <v/>
      </c>
      <c r="AM379">
        <f>IF([3]Entry!$R$382="","",[3]Entry!$R$382)</f>
        <v/>
      </c>
    </row>
    <row r="380">
      <c r="A380">
        <f>IF([1]Accounts!$D$381="","",[1]Accounts!$A$381)</f>
        <v/>
      </c>
      <c r="B380">
        <f>IF([1]Accounts!$D$381="","",[1]Accounts!$B$381)</f>
        <v/>
      </c>
      <c r="C380">
        <f>IF([1]Accounts!$D$381="","",[1]Accounts!$C$381)</f>
        <v/>
      </c>
      <c r="D380">
        <f>IF([1]Accounts!$D$381="","",[1]Accounts!$D$381)</f>
        <v/>
      </c>
      <c r="E380">
        <f>IF([1]Accounts!$D$381="","",[1]Accounts!$E$381)</f>
        <v/>
      </c>
      <c r="F380">
        <f>IF([1]Accounts!$D$381="","",[1]Accounts!$F$381)</f>
        <v/>
      </c>
      <c r="G380">
        <f>IF([1]Accounts!$D$381="","",[1]Accounts!$G$381)</f>
        <v/>
      </c>
      <c r="T380">
        <f>IF([2]Baskol!$B$383="","",[2]Baskol!$B$383)</f>
        <v/>
      </c>
      <c r="U380">
        <f>IF([2]Baskol!$C$383="","",[2]Baskol!$C$383)</f>
        <v/>
      </c>
      <c r="V380">
        <f>IF([2]Baskol!$D$383="","",[2]Baskol!$D$383)</f>
        <v/>
      </c>
      <c r="W380">
        <f>IF([2]Baskol!$E$383="","",[2]Baskol!$E$383)</f>
        <v/>
      </c>
      <c r="X380">
        <f>IF([2]Baskol!$G$383="","",[2]Baskol!$G$383)</f>
        <v/>
      </c>
      <c r="Y380">
        <f>IF([2]Baskol!$I$383="","",[2]Baskol!$I$383)</f>
        <v/>
      </c>
      <c r="Z380">
        <f>IF([2]Baskol!$J$383="","",[2]Baskol!$J$383)</f>
        <v/>
      </c>
      <c r="AA380">
        <f>IF([2]Baskol!$K$383="","",[2]Baskol!$K$383)</f>
        <v/>
      </c>
      <c r="AB380">
        <f>IF([2]Baskol!$L$383="","",[2]Baskol!$L$383)</f>
        <v/>
      </c>
      <c r="AC380">
        <f>IF([2]Baskol!$N$383="","",[2]Baskol!$N$383)</f>
        <v/>
      </c>
      <c r="AD380">
        <f>IF([2]Baskol!$O$383="","",[2]Baskol!$O$383)</f>
        <v/>
      </c>
      <c r="AE380">
        <f>IF([3]Entry!$C$383="","",[3]Entry!$C$383)</f>
        <v/>
      </c>
      <c r="AF380">
        <f>IF([3]Entry!$D$383="","",[3]Entry!$D$383)</f>
        <v/>
      </c>
      <c r="AG380">
        <f>IF([3]Entry!$E$383="","",[3]Entry!$E$383)</f>
        <v/>
      </c>
      <c r="AH380">
        <f>IF([3]Entry!$G$383="","",[3]Entry!$G$383)</f>
        <v/>
      </c>
      <c r="AI380">
        <f>IF([3]Entry!$K$383="","",[3]Entry!$K$383)</f>
        <v/>
      </c>
      <c r="AJ380">
        <f>IF([3]Entry!$L$383="","",[3]Entry!$L$383)</f>
        <v/>
      </c>
      <c r="AK380">
        <f>IF([3]Entry!$M$383="","",[3]Entry!$M$383)</f>
        <v/>
      </c>
      <c r="AL380">
        <f>IF([3]Entry!$N$383="","",[3]Entry!$N$383)</f>
        <v/>
      </c>
      <c r="AM380">
        <f>IF([3]Entry!$R$383="","",[3]Entry!$R$383)</f>
        <v/>
      </c>
    </row>
    <row r="381">
      <c r="A381">
        <f>IF([1]Accounts!$D$382="","",[1]Accounts!$A$382)</f>
        <v/>
      </c>
      <c r="B381">
        <f>IF([1]Accounts!$D$382="","",[1]Accounts!$B$382)</f>
        <v/>
      </c>
      <c r="C381">
        <f>IF([1]Accounts!$D$382="","",[1]Accounts!$C$382)</f>
        <v/>
      </c>
      <c r="D381">
        <f>IF([1]Accounts!$D$382="","",[1]Accounts!$D$382)</f>
        <v/>
      </c>
      <c r="E381">
        <f>IF([1]Accounts!$D$382="","",[1]Accounts!$E$382)</f>
        <v/>
      </c>
      <c r="F381">
        <f>IF([1]Accounts!$D$382="","",[1]Accounts!$F$382)</f>
        <v/>
      </c>
      <c r="G381">
        <f>IF([1]Accounts!$D$382="","",[1]Accounts!$G$382)</f>
        <v/>
      </c>
      <c r="T381">
        <f>IF([2]Baskol!$B$384="","",[2]Baskol!$B$384)</f>
        <v/>
      </c>
      <c r="U381">
        <f>IF([2]Baskol!$C$384="","",[2]Baskol!$C$384)</f>
        <v/>
      </c>
      <c r="V381">
        <f>IF([2]Baskol!$D$384="","",[2]Baskol!$D$384)</f>
        <v/>
      </c>
      <c r="W381">
        <f>IF([2]Baskol!$E$384="","",[2]Baskol!$E$384)</f>
        <v/>
      </c>
      <c r="X381">
        <f>IF([2]Baskol!$G$384="","",[2]Baskol!$G$384)</f>
        <v/>
      </c>
      <c r="Y381">
        <f>IF([2]Baskol!$I$384="","",[2]Baskol!$I$384)</f>
        <v/>
      </c>
      <c r="Z381">
        <f>IF([2]Baskol!$J$384="","",[2]Baskol!$J$384)</f>
        <v/>
      </c>
      <c r="AA381">
        <f>IF([2]Baskol!$K$384="","",[2]Baskol!$K$384)</f>
        <v/>
      </c>
      <c r="AB381">
        <f>IF([2]Baskol!$L$384="","",[2]Baskol!$L$384)</f>
        <v/>
      </c>
      <c r="AC381">
        <f>IF([2]Baskol!$N$384="","",[2]Baskol!$N$384)</f>
        <v/>
      </c>
      <c r="AD381">
        <f>IF([2]Baskol!$O$384="","",[2]Baskol!$O$384)</f>
        <v/>
      </c>
      <c r="AE381">
        <f>IF([3]Entry!$C$384="","",[3]Entry!$C$384)</f>
        <v/>
      </c>
      <c r="AF381">
        <f>IF([3]Entry!$D$384="","",[3]Entry!$D$384)</f>
        <v/>
      </c>
      <c r="AG381">
        <f>IF([3]Entry!$E$384="","",[3]Entry!$E$384)</f>
        <v/>
      </c>
      <c r="AH381">
        <f>IF([3]Entry!$G$384="","",[3]Entry!$G$384)</f>
        <v/>
      </c>
      <c r="AI381">
        <f>IF([3]Entry!$K$384="","",[3]Entry!$K$384)</f>
        <v/>
      </c>
      <c r="AJ381">
        <f>IF([3]Entry!$L$384="","",[3]Entry!$L$384)</f>
        <v/>
      </c>
      <c r="AK381">
        <f>IF([3]Entry!$M$384="","",[3]Entry!$M$384)</f>
        <v/>
      </c>
      <c r="AL381">
        <f>IF([3]Entry!$N$384="","",[3]Entry!$N$384)</f>
        <v/>
      </c>
      <c r="AM381">
        <f>IF([3]Entry!$R$384="","",[3]Entry!$R$384)</f>
        <v/>
      </c>
    </row>
    <row r="382">
      <c r="A382">
        <f>IF([1]Accounts!$D$383="","",[1]Accounts!$A$383)</f>
        <v/>
      </c>
      <c r="B382">
        <f>IF([1]Accounts!$D$383="","",[1]Accounts!$B$383)</f>
        <v/>
      </c>
      <c r="C382">
        <f>IF([1]Accounts!$D$383="","",[1]Accounts!$C$383)</f>
        <v/>
      </c>
      <c r="D382">
        <f>IF([1]Accounts!$D$383="","",[1]Accounts!$D$383)</f>
        <v/>
      </c>
      <c r="E382">
        <f>IF([1]Accounts!$D$383="","",[1]Accounts!$E$383)</f>
        <v/>
      </c>
      <c r="F382">
        <f>IF([1]Accounts!$D$383="","",[1]Accounts!$F$383)</f>
        <v/>
      </c>
      <c r="G382">
        <f>IF([1]Accounts!$D$383="","",[1]Accounts!$G$383)</f>
        <v/>
      </c>
      <c r="T382">
        <f>IF([2]Baskol!$B$385="","",[2]Baskol!$B$385)</f>
        <v/>
      </c>
      <c r="U382">
        <f>IF([2]Baskol!$C$385="","",[2]Baskol!$C$385)</f>
        <v/>
      </c>
      <c r="V382">
        <f>IF([2]Baskol!$D$385="","",[2]Baskol!$D$385)</f>
        <v/>
      </c>
      <c r="W382">
        <f>IF([2]Baskol!$E$385="","",[2]Baskol!$E$385)</f>
        <v/>
      </c>
      <c r="X382">
        <f>IF([2]Baskol!$G$385="","",[2]Baskol!$G$385)</f>
        <v/>
      </c>
      <c r="Y382">
        <f>IF([2]Baskol!$I$385="","",[2]Baskol!$I$385)</f>
        <v/>
      </c>
      <c r="Z382">
        <f>IF([2]Baskol!$J$385="","",[2]Baskol!$J$385)</f>
        <v/>
      </c>
      <c r="AA382">
        <f>IF([2]Baskol!$K$385="","",[2]Baskol!$K$385)</f>
        <v/>
      </c>
      <c r="AB382">
        <f>IF([2]Baskol!$L$385="","",[2]Baskol!$L$385)</f>
        <v/>
      </c>
      <c r="AC382">
        <f>IF([2]Baskol!$N$385="","",[2]Baskol!$N$385)</f>
        <v/>
      </c>
      <c r="AD382">
        <f>IF([2]Baskol!$O$385="","",[2]Baskol!$O$385)</f>
        <v/>
      </c>
      <c r="AE382">
        <f>IF([3]Entry!$C$385="","",[3]Entry!$C$385)</f>
        <v/>
      </c>
      <c r="AF382">
        <f>IF([3]Entry!$D$385="","",[3]Entry!$D$385)</f>
        <v/>
      </c>
      <c r="AG382">
        <f>IF([3]Entry!$E$385="","",[3]Entry!$E$385)</f>
        <v/>
      </c>
      <c r="AH382">
        <f>IF([3]Entry!$G$385="","",[3]Entry!$G$385)</f>
        <v/>
      </c>
      <c r="AI382">
        <f>IF([3]Entry!$K$385="","",[3]Entry!$K$385)</f>
        <v/>
      </c>
      <c r="AJ382">
        <f>IF([3]Entry!$L$385="","",[3]Entry!$L$385)</f>
        <v/>
      </c>
      <c r="AK382">
        <f>IF([3]Entry!$M$385="","",[3]Entry!$M$385)</f>
        <v/>
      </c>
      <c r="AL382">
        <f>IF([3]Entry!$N$385="","",[3]Entry!$N$385)</f>
        <v/>
      </c>
      <c r="AM382">
        <f>IF([3]Entry!$R$385="","",[3]Entry!$R$385)</f>
        <v/>
      </c>
    </row>
    <row r="383">
      <c r="A383">
        <f>IF([1]Accounts!$D$384="","",[1]Accounts!$A$384)</f>
        <v/>
      </c>
      <c r="B383">
        <f>IF([1]Accounts!$D$384="","",[1]Accounts!$B$384)</f>
        <v/>
      </c>
      <c r="C383">
        <f>IF([1]Accounts!$D$384="","",[1]Accounts!$C$384)</f>
        <v/>
      </c>
      <c r="D383">
        <f>IF([1]Accounts!$D$384="","",[1]Accounts!$D$384)</f>
        <v/>
      </c>
      <c r="E383">
        <f>IF([1]Accounts!$D$384="","",[1]Accounts!$E$384)</f>
        <v/>
      </c>
      <c r="F383">
        <f>IF([1]Accounts!$D$384="","",[1]Accounts!$F$384)</f>
        <v/>
      </c>
      <c r="G383">
        <f>IF([1]Accounts!$D$384="","",[1]Accounts!$G$384)</f>
        <v/>
      </c>
      <c r="T383">
        <f>IF([2]Baskol!$B$386="","",[2]Baskol!$B$386)</f>
        <v/>
      </c>
      <c r="U383">
        <f>IF([2]Baskol!$C$386="","",[2]Baskol!$C$386)</f>
        <v/>
      </c>
      <c r="V383">
        <f>IF([2]Baskol!$D$386="","",[2]Baskol!$D$386)</f>
        <v/>
      </c>
      <c r="W383">
        <f>IF([2]Baskol!$E$386="","",[2]Baskol!$E$386)</f>
        <v/>
      </c>
      <c r="X383">
        <f>IF([2]Baskol!$G$386="","",[2]Baskol!$G$386)</f>
        <v/>
      </c>
      <c r="Y383">
        <f>IF([2]Baskol!$I$386="","",[2]Baskol!$I$386)</f>
        <v/>
      </c>
      <c r="Z383">
        <f>IF([2]Baskol!$J$386="","",[2]Baskol!$J$386)</f>
        <v/>
      </c>
      <c r="AA383">
        <f>IF([2]Baskol!$K$386="","",[2]Baskol!$K$386)</f>
        <v/>
      </c>
      <c r="AB383">
        <f>IF([2]Baskol!$L$386="","",[2]Baskol!$L$386)</f>
        <v/>
      </c>
      <c r="AC383">
        <f>IF([2]Baskol!$N$386="","",[2]Baskol!$N$386)</f>
        <v/>
      </c>
      <c r="AD383">
        <f>IF([2]Baskol!$O$386="","",[2]Baskol!$O$386)</f>
        <v/>
      </c>
      <c r="AE383">
        <f>IF([3]Entry!$C$386="","",[3]Entry!$C$386)</f>
        <v/>
      </c>
      <c r="AF383">
        <f>IF([3]Entry!$D$386="","",[3]Entry!$D$386)</f>
        <v/>
      </c>
      <c r="AG383">
        <f>IF([3]Entry!$E$386="","",[3]Entry!$E$386)</f>
        <v/>
      </c>
      <c r="AH383">
        <f>IF([3]Entry!$G$386="","",[3]Entry!$G$386)</f>
        <v/>
      </c>
      <c r="AI383">
        <f>IF([3]Entry!$K$386="","",[3]Entry!$K$386)</f>
        <v/>
      </c>
      <c r="AJ383">
        <f>IF([3]Entry!$L$386="","",[3]Entry!$L$386)</f>
        <v/>
      </c>
      <c r="AK383">
        <f>IF([3]Entry!$M$386="","",[3]Entry!$M$386)</f>
        <v/>
      </c>
      <c r="AL383">
        <f>IF([3]Entry!$N$386="","",[3]Entry!$N$386)</f>
        <v/>
      </c>
      <c r="AM383">
        <f>IF([3]Entry!$R$386="","",[3]Entry!$R$386)</f>
        <v/>
      </c>
    </row>
    <row r="384">
      <c r="A384">
        <f>IF([1]Accounts!$D$385="","",[1]Accounts!$A$385)</f>
        <v/>
      </c>
      <c r="B384">
        <f>IF([1]Accounts!$D$385="","",[1]Accounts!$B$385)</f>
        <v/>
      </c>
      <c r="C384">
        <f>IF([1]Accounts!$D$385="","",[1]Accounts!$C$385)</f>
        <v/>
      </c>
      <c r="D384">
        <f>IF([1]Accounts!$D$385="","",[1]Accounts!$D$385)</f>
        <v/>
      </c>
      <c r="E384">
        <f>IF([1]Accounts!$D$385="","",[1]Accounts!$E$385)</f>
        <v/>
      </c>
      <c r="F384">
        <f>IF([1]Accounts!$D$385="","",[1]Accounts!$F$385)</f>
        <v/>
      </c>
      <c r="G384">
        <f>IF([1]Accounts!$D$385="","",[1]Accounts!$G$385)</f>
        <v/>
      </c>
      <c r="T384">
        <f>IF([2]Baskol!$B$387="","",[2]Baskol!$B$387)</f>
        <v/>
      </c>
      <c r="U384">
        <f>IF([2]Baskol!$C$387="","",[2]Baskol!$C$387)</f>
        <v/>
      </c>
      <c r="V384">
        <f>IF([2]Baskol!$D$387="","",[2]Baskol!$D$387)</f>
        <v/>
      </c>
      <c r="W384">
        <f>IF([2]Baskol!$E$387="","",[2]Baskol!$E$387)</f>
        <v/>
      </c>
      <c r="X384">
        <f>IF([2]Baskol!$G$387="","",[2]Baskol!$G$387)</f>
        <v/>
      </c>
      <c r="Y384">
        <f>IF([2]Baskol!$I$387="","",[2]Baskol!$I$387)</f>
        <v/>
      </c>
      <c r="Z384">
        <f>IF([2]Baskol!$J$387="","",[2]Baskol!$J$387)</f>
        <v/>
      </c>
      <c r="AA384">
        <f>IF([2]Baskol!$K$387="","",[2]Baskol!$K$387)</f>
        <v/>
      </c>
      <c r="AB384">
        <f>IF([2]Baskol!$L$387="","",[2]Baskol!$L$387)</f>
        <v/>
      </c>
      <c r="AC384">
        <f>IF([2]Baskol!$N$387="","",[2]Baskol!$N$387)</f>
        <v/>
      </c>
      <c r="AD384">
        <f>IF([2]Baskol!$O$387="","",[2]Baskol!$O$387)</f>
        <v/>
      </c>
      <c r="AE384">
        <f>IF([3]Entry!$C$387="","",[3]Entry!$C$387)</f>
        <v/>
      </c>
      <c r="AF384">
        <f>IF([3]Entry!$D$387="","",[3]Entry!$D$387)</f>
        <v/>
      </c>
      <c r="AG384">
        <f>IF([3]Entry!$E$387="","",[3]Entry!$E$387)</f>
        <v/>
      </c>
      <c r="AH384">
        <f>IF([3]Entry!$G$387="","",[3]Entry!$G$387)</f>
        <v/>
      </c>
      <c r="AI384">
        <f>IF([3]Entry!$K$387="","",[3]Entry!$K$387)</f>
        <v/>
      </c>
      <c r="AJ384">
        <f>IF([3]Entry!$L$387="","",[3]Entry!$L$387)</f>
        <v/>
      </c>
      <c r="AK384">
        <f>IF([3]Entry!$M$387="","",[3]Entry!$M$387)</f>
        <v/>
      </c>
      <c r="AL384">
        <f>IF([3]Entry!$N$387="","",[3]Entry!$N$387)</f>
        <v/>
      </c>
      <c r="AM384">
        <f>IF([3]Entry!$R$387="","",[3]Entry!$R$387)</f>
        <v/>
      </c>
    </row>
    <row r="385">
      <c r="A385">
        <f>IF([1]Accounts!$D$386="","",[1]Accounts!$A$386)</f>
        <v/>
      </c>
      <c r="B385">
        <f>IF([1]Accounts!$D$386="","",[1]Accounts!$B$386)</f>
        <v/>
      </c>
      <c r="C385">
        <f>IF([1]Accounts!$D$386="","",[1]Accounts!$C$386)</f>
        <v/>
      </c>
      <c r="D385">
        <f>IF([1]Accounts!$D$386="","",[1]Accounts!$D$386)</f>
        <v/>
      </c>
      <c r="E385">
        <f>IF([1]Accounts!$D$386="","",[1]Accounts!$E$386)</f>
        <v/>
      </c>
      <c r="F385">
        <f>IF([1]Accounts!$D$386="","",[1]Accounts!$F$386)</f>
        <v/>
      </c>
      <c r="G385">
        <f>IF([1]Accounts!$D$386="","",[1]Accounts!$G$386)</f>
        <v/>
      </c>
      <c r="T385">
        <f>IF([2]Baskol!$B$388="","",[2]Baskol!$B$388)</f>
        <v/>
      </c>
      <c r="U385">
        <f>IF([2]Baskol!$C$388="","",[2]Baskol!$C$388)</f>
        <v/>
      </c>
      <c r="V385">
        <f>IF([2]Baskol!$D$388="","",[2]Baskol!$D$388)</f>
        <v/>
      </c>
      <c r="W385">
        <f>IF([2]Baskol!$E$388="","",[2]Baskol!$E$388)</f>
        <v/>
      </c>
      <c r="X385">
        <f>IF([2]Baskol!$G$388="","",[2]Baskol!$G$388)</f>
        <v/>
      </c>
      <c r="Y385">
        <f>IF([2]Baskol!$I$388="","",[2]Baskol!$I$388)</f>
        <v/>
      </c>
      <c r="Z385">
        <f>IF([2]Baskol!$J$388="","",[2]Baskol!$J$388)</f>
        <v/>
      </c>
      <c r="AA385">
        <f>IF([2]Baskol!$K$388="","",[2]Baskol!$K$388)</f>
        <v/>
      </c>
      <c r="AB385">
        <f>IF([2]Baskol!$L$388="","",[2]Baskol!$L$388)</f>
        <v/>
      </c>
      <c r="AC385">
        <f>IF([2]Baskol!$N$388="","",[2]Baskol!$N$388)</f>
        <v/>
      </c>
      <c r="AD385">
        <f>IF([2]Baskol!$O$388="","",[2]Baskol!$O$388)</f>
        <v/>
      </c>
      <c r="AE385">
        <f>IF([3]Entry!$C$388="","",[3]Entry!$C$388)</f>
        <v/>
      </c>
      <c r="AF385">
        <f>IF([3]Entry!$D$388="","",[3]Entry!$D$388)</f>
        <v/>
      </c>
      <c r="AG385">
        <f>IF([3]Entry!$E$388="","",[3]Entry!$E$388)</f>
        <v/>
      </c>
      <c r="AH385">
        <f>IF([3]Entry!$G$388="","",[3]Entry!$G$388)</f>
        <v/>
      </c>
      <c r="AI385">
        <f>IF([3]Entry!$K$388="","",[3]Entry!$K$388)</f>
        <v/>
      </c>
      <c r="AJ385">
        <f>IF([3]Entry!$L$388="","",[3]Entry!$L$388)</f>
        <v/>
      </c>
      <c r="AK385">
        <f>IF([3]Entry!$M$388="","",[3]Entry!$M$388)</f>
        <v/>
      </c>
      <c r="AL385">
        <f>IF([3]Entry!$N$388="","",[3]Entry!$N$388)</f>
        <v/>
      </c>
      <c r="AM385">
        <f>IF([3]Entry!$R$388="","",[3]Entry!$R$388)</f>
        <v/>
      </c>
    </row>
    <row r="386">
      <c r="A386">
        <f>IF([1]Accounts!$D$387="","",[1]Accounts!$A$387)</f>
        <v/>
      </c>
      <c r="B386">
        <f>IF([1]Accounts!$D$387="","",[1]Accounts!$B$387)</f>
        <v/>
      </c>
      <c r="C386">
        <f>IF([1]Accounts!$D$387="","",[1]Accounts!$C$387)</f>
        <v/>
      </c>
      <c r="D386">
        <f>IF([1]Accounts!$D$387="","",[1]Accounts!$D$387)</f>
        <v/>
      </c>
      <c r="E386">
        <f>IF([1]Accounts!$D$387="","",[1]Accounts!$E$387)</f>
        <v/>
      </c>
      <c r="F386">
        <f>IF([1]Accounts!$D$387="","",[1]Accounts!$F$387)</f>
        <v/>
      </c>
      <c r="G386">
        <f>IF([1]Accounts!$D$387="","",[1]Accounts!$G$387)</f>
        <v/>
      </c>
      <c r="T386">
        <f>IF([2]Baskol!$B$389="","",[2]Baskol!$B$389)</f>
        <v/>
      </c>
      <c r="U386">
        <f>IF([2]Baskol!$C$389="","",[2]Baskol!$C$389)</f>
        <v/>
      </c>
      <c r="V386">
        <f>IF([2]Baskol!$D$389="","",[2]Baskol!$D$389)</f>
        <v/>
      </c>
      <c r="W386">
        <f>IF([2]Baskol!$E$389="","",[2]Baskol!$E$389)</f>
        <v/>
      </c>
      <c r="X386">
        <f>IF([2]Baskol!$G$389="","",[2]Baskol!$G$389)</f>
        <v/>
      </c>
      <c r="Y386">
        <f>IF([2]Baskol!$I$389="","",[2]Baskol!$I$389)</f>
        <v/>
      </c>
      <c r="Z386">
        <f>IF([2]Baskol!$J$389="","",[2]Baskol!$J$389)</f>
        <v/>
      </c>
      <c r="AA386">
        <f>IF([2]Baskol!$K$389="","",[2]Baskol!$K$389)</f>
        <v/>
      </c>
      <c r="AB386">
        <f>IF([2]Baskol!$L$389="","",[2]Baskol!$L$389)</f>
        <v/>
      </c>
      <c r="AC386">
        <f>IF([2]Baskol!$N$389="","",[2]Baskol!$N$389)</f>
        <v/>
      </c>
      <c r="AD386">
        <f>IF([2]Baskol!$O$389="","",[2]Baskol!$O$389)</f>
        <v/>
      </c>
      <c r="AE386">
        <f>IF([3]Entry!$C$389="","",[3]Entry!$C$389)</f>
        <v/>
      </c>
      <c r="AF386">
        <f>IF([3]Entry!$D$389="","",[3]Entry!$D$389)</f>
        <v/>
      </c>
      <c r="AG386">
        <f>IF([3]Entry!$E$389="","",[3]Entry!$E$389)</f>
        <v/>
      </c>
      <c r="AH386">
        <f>IF([3]Entry!$G$389="","",[3]Entry!$G$389)</f>
        <v/>
      </c>
      <c r="AI386">
        <f>IF([3]Entry!$K$389="","",[3]Entry!$K$389)</f>
        <v/>
      </c>
      <c r="AJ386">
        <f>IF([3]Entry!$L$389="","",[3]Entry!$L$389)</f>
        <v/>
      </c>
      <c r="AK386">
        <f>IF([3]Entry!$M$389="","",[3]Entry!$M$389)</f>
        <v/>
      </c>
      <c r="AL386">
        <f>IF([3]Entry!$N$389="","",[3]Entry!$N$389)</f>
        <v/>
      </c>
      <c r="AM386">
        <f>IF([3]Entry!$R$389="","",[3]Entry!$R$389)</f>
        <v/>
      </c>
    </row>
    <row r="387">
      <c r="A387">
        <f>IF([1]Accounts!$D$388="","",[1]Accounts!$A$388)</f>
        <v/>
      </c>
      <c r="B387">
        <f>IF([1]Accounts!$D$388="","",[1]Accounts!$B$388)</f>
        <v/>
      </c>
      <c r="C387">
        <f>IF([1]Accounts!$D$388="","",[1]Accounts!$C$388)</f>
        <v/>
      </c>
      <c r="D387">
        <f>IF([1]Accounts!$D$388="","",[1]Accounts!$D$388)</f>
        <v/>
      </c>
      <c r="E387">
        <f>IF([1]Accounts!$D$388="","",[1]Accounts!$E$388)</f>
        <v/>
      </c>
      <c r="F387">
        <f>IF([1]Accounts!$D$388="","",[1]Accounts!$F$388)</f>
        <v/>
      </c>
      <c r="G387">
        <f>IF([1]Accounts!$D$388="","",[1]Accounts!$G$388)</f>
        <v/>
      </c>
      <c r="T387">
        <f>IF([2]Baskol!$B$390="","",[2]Baskol!$B$390)</f>
        <v/>
      </c>
      <c r="U387">
        <f>IF([2]Baskol!$C$390="","",[2]Baskol!$C$390)</f>
        <v/>
      </c>
      <c r="V387">
        <f>IF([2]Baskol!$D$390="","",[2]Baskol!$D$390)</f>
        <v/>
      </c>
      <c r="W387">
        <f>IF([2]Baskol!$E$390="","",[2]Baskol!$E$390)</f>
        <v/>
      </c>
      <c r="X387">
        <f>IF([2]Baskol!$G$390="","",[2]Baskol!$G$390)</f>
        <v/>
      </c>
      <c r="Y387">
        <f>IF([2]Baskol!$I$390="","",[2]Baskol!$I$390)</f>
        <v/>
      </c>
      <c r="Z387">
        <f>IF([2]Baskol!$J$390="","",[2]Baskol!$J$390)</f>
        <v/>
      </c>
      <c r="AA387">
        <f>IF([2]Baskol!$K$390="","",[2]Baskol!$K$390)</f>
        <v/>
      </c>
      <c r="AB387">
        <f>IF([2]Baskol!$L$390="","",[2]Baskol!$L$390)</f>
        <v/>
      </c>
      <c r="AC387">
        <f>IF([2]Baskol!$N$390="","",[2]Baskol!$N$390)</f>
        <v/>
      </c>
      <c r="AD387">
        <f>IF([2]Baskol!$O$390="","",[2]Baskol!$O$390)</f>
        <v/>
      </c>
      <c r="AE387">
        <f>IF([3]Entry!$C$390="","",[3]Entry!$C$390)</f>
        <v/>
      </c>
      <c r="AF387">
        <f>IF([3]Entry!$D$390="","",[3]Entry!$D$390)</f>
        <v/>
      </c>
      <c r="AG387">
        <f>IF([3]Entry!$E$390="","",[3]Entry!$E$390)</f>
        <v/>
      </c>
      <c r="AH387">
        <f>IF([3]Entry!$G$390="","",[3]Entry!$G$390)</f>
        <v/>
      </c>
      <c r="AI387">
        <f>IF([3]Entry!$K$390="","",[3]Entry!$K$390)</f>
        <v/>
      </c>
      <c r="AJ387">
        <f>IF([3]Entry!$L$390="","",[3]Entry!$L$390)</f>
        <v/>
      </c>
      <c r="AK387">
        <f>IF([3]Entry!$M$390="","",[3]Entry!$M$390)</f>
        <v/>
      </c>
      <c r="AL387">
        <f>IF([3]Entry!$N$390="","",[3]Entry!$N$390)</f>
        <v/>
      </c>
      <c r="AM387">
        <f>IF([3]Entry!$R$390="","",[3]Entry!$R$390)</f>
        <v/>
      </c>
    </row>
    <row r="388">
      <c r="A388">
        <f>IF([1]Accounts!$D$389="","",[1]Accounts!$A$389)</f>
        <v/>
      </c>
      <c r="B388">
        <f>IF([1]Accounts!$D$389="","",[1]Accounts!$B$389)</f>
        <v/>
      </c>
      <c r="C388">
        <f>IF([1]Accounts!$D$389="","",[1]Accounts!$C$389)</f>
        <v/>
      </c>
      <c r="D388">
        <f>IF([1]Accounts!$D$389="","",[1]Accounts!$D$389)</f>
        <v/>
      </c>
      <c r="E388">
        <f>IF([1]Accounts!$D$389="","",[1]Accounts!$E$389)</f>
        <v/>
      </c>
      <c r="F388">
        <f>IF([1]Accounts!$D$389="","",[1]Accounts!$F$389)</f>
        <v/>
      </c>
      <c r="G388">
        <f>IF([1]Accounts!$D$389="","",[1]Accounts!$G$389)</f>
        <v/>
      </c>
      <c r="T388">
        <f>IF([2]Baskol!$B$391="","",[2]Baskol!$B$391)</f>
        <v/>
      </c>
      <c r="U388">
        <f>IF([2]Baskol!$C$391="","",[2]Baskol!$C$391)</f>
        <v/>
      </c>
      <c r="V388">
        <f>IF([2]Baskol!$D$391="","",[2]Baskol!$D$391)</f>
        <v/>
      </c>
      <c r="W388">
        <f>IF([2]Baskol!$E$391="","",[2]Baskol!$E$391)</f>
        <v/>
      </c>
      <c r="X388">
        <f>IF([2]Baskol!$G$391="","",[2]Baskol!$G$391)</f>
        <v/>
      </c>
      <c r="Y388">
        <f>IF([2]Baskol!$I$391="","",[2]Baskol!$I$391)</f>
        <v/>
      </c>
      <c r="Z388">
        <f>IF([2]Baskol!$J$391="","",[2]Baskol!$J$391)</f>
        <v/>
      </c>
      <c r="AA388">
        <f>IF([2]Baskol!$K$391="","",[2]Baskol!$K$391)</f>
        <v/>
      </c>
      <c r="AB388">
        <f>IF([2]Baskol!$L$391="","",[2]Baskol!$L$391)</f>
        <v/>
      </c>
      <c r="AC388">
        <f>IF([2]Baskol!$N$391="","",[2]Baskol!$N$391)</f>
        <v/>
      </c>
      <c r="AD388">
        <f>IF([2]Baskol!$O$391="","",[2]Baskol!$O$391)</f>
        <v/>
      </c>
      <c r="AE388">
        <f>IF([3]Entry!$C$391="","",[3]Entry!$C$391)</f>
        <v/>
      </c>
      <c r="AF388">
        <f>IF([3]Entry!$D$391="","",[3]Entry!$D$391)</f>
        <v/>
      </c>
      <c r="AG388">
        <f>IF([3]Entry!$E$391="","",[3]Entry!$E$391)</f>
        <v/>
      </c>
      <c r="AH388">
        <f>IF([3]Entry!$G$391="","",[3]Entry!$G$391)</f>
        <v/>
      </c>
      <c r="AI388">
        <f>IF([3]Entry!$K$391="","",[3]Entry!$K$391)</f>
        <v/>
      </c>
      <c r="AJ388">
        <f>IF([3]Entry!$L$391="","",[3]Entry!$L$391)</f>
        <v/>
      </c>
      <c r="AK388">
        <f>IF([3]Entry!$M$391="","",[3]Entry!$M$391)</f>
        <v/>
      </c>
      <c r="AL388">
        <f>IF([3]Entry!$N$391="","",[3]Entry!$N$391)</f>
        <v/>
      </c>
      <c r="AM388">
        <f>IF([3]Entry!$R$391="","",[3]Entry!$R$391)</f>
        <v/>
      </c>
    </row>
    <row r="389">
      <c r="A389">
        <f>IF([1]Accounts!$D$390="","",[1]Accounts!$A$390)</f>
        <v/>
      </c>
      <c r="B389">
        <f>IF([1]Accounts!$D$390="","",[1]Accounts!$B$390)</f>
        <v/>
      </c>
      <c r="C389">
        <f>IF([1]Accounts!$D$390="","",[1]Accounts!$C$390)</f>
        <v/>
      </c>
      <c r="D389">
        <f>IF([1]Accounts!$D$390="","",[1]Accounts!$D$390)</f>
        <v/>
      </c>
      <c r="E389">
        <f>IF([1]Accounts!$D$390="","",[1]Accounts!$E$390)</f>
        <v/>
      </c>
      <c r="F389">
        <f>IF([1]Accounts!$D$390="","",[1]Accounts!$F$390)</f>
        <v/>
      </c>
      <c r="G389">
        <f>IF([1]Accounts!$D$390="","",[1]Accounts!$G$390)</f>
        <v/>
      </c>
      <c r="T389">
        <f>IF([2]Baskol!$B$392="","",[2]Baskol!$B$392)</f>
        <v/>
      </c>
      <c r="U389">
        <f>IF([2]Baskol!$C$392="","",[2]Baskol!$C$392)</f>
        <v/>
      </c>
      <c r="V389">
        <f>IF([2]Baskol!$D$392="","",[2]Baskol!$D$392)</f>
        <v/>
      </c>
      <c r="W389">
        <f>IF([2]Baskol!$E$392="","",[2]Baskol!$E$392)</f>
        <v/>
      </c>
      <c r="X389">
        <f>IF([2]Baskol!$G$392="","",[2]Baskol!$G$392)</f>
        <v/>
      </c>
      <c r="Y389">
        <f>IF([2]Baskol!$I$392="","",[2]Baskol!$I$392)</f>
        <v/>
      </c>
      <c r="Z389">
        <f>IF([2]Baskol!$J$392="","",[2]Baskol!$J$392)</f>
        <v/>
      </c>
      <c r="AA389">
        <f>IF([2]Baskol!$K$392="","",[2]Baskol!$K$392)</f>
        <v/>
      </c>
      <c r="AB389">
        <f>IF([2]Baskol!$L$392="","",[2]Baskol!$L$392)</f>
        <v/>
      </c>
      <c r="AC389">
        <f>IF([2]Baskol!$N$392="","",[2]Baskol!$N$392)</f>
        <v/>
      </c>
      <c r="AD389">
        <f>IF([2]Baskol!$O$392="","",[2]Baskol!$O$392)</f>
        <v/>
      </c>
      <c r="AE389">
        <f>IF([3]Entry!$C$392="","",[3]Entry!$C$392)</f>
        <v/>
      </c>
      <c r="AF389">
        <f>IF([3]Entry!$D$392="","",[3]Entry!$D$392)</f>
        <v/>
      </c>
      <c r="AG389">
        <f>IF([3]Entry!$E$392="","",[3]Entry!$E$392)</f>
        <v/>
      </c>
      <c r="AH389">
        <f>IF([3]Entry!$G$392="","",[3]Entry!$G$392)</f>
        <v/>
      </c>
      <c r="AI389">
        <f>IF([3]Entry!$K$392="","",[3]Entry!$K$392)</f>
        <v/>
      </c>
      <c r="AJ389">
        <f>IF([3]Entry!$L$392="","",[3]Entry!$L$392)</f>
        <v/>
      </c>
      <c r="AK389">
        <f>IF([3]Entry!$M$392="","",[3]Entry!$M$392)</f>
        <v/>
      </c>
      <c r="AL389">
        <f>IF([3]Entry!$N$392="","",[3]Entry!$N$392)</f>
        <v/>
      </c>
      <c r="AM389">
        <f>IF([3]Entry!$R$392="","",[3]Entry!$R$392)</f>
        <v/>
      </c>
    </row>
    <row r="390">
      <c r="A390">
        <f>IF([1]Accounts!$D$391="","",[1]Accounts!$A$391)</f>
        <v/>
      </c>
      <c r="B390">
        <f>IF([1]Accounts!$D$391="","",[1]Accounts!$B$391)</f>
        <v/>
      </c>
      <c r="C390">
        <f>IF([1]Accounts!$D$391="","",[1]Accounts!$C$391)</f>
        <v/>
      </c>
      <c r="D390">
        <f>IF([1]Accounts!$D$391="","",[1]Accounts!$D$391)</f>
        <v/>
      </c>
      <c r="E390">
        <f>IF([1]Accounts!$D$391="","",[1]Accounts!$E$391)</f>
        <v/>
      </c>
      <c r="F390">
        <f>IF([1]Accounts!$D$391="","",[1]Accounts!$F$391)</f>
        <v/>
      </c>
      <c r="G390">
        <f>IF([1]Accounts!$D$391="","",[1]Accounts!$G$391)</f>
        <v/>
      </c>
      <c r="T390">
        <f>IF([2]Baskol!$B$393="","",[2]Baskol!$B$393)</f>
        <v/>
      </c>
      <c r="U390">
        <f>IF([2]Baskol!$C$393="","",[2]Baskol!$C$393)</f>
        <v/>
      </c>
      <c r="V390">
        <f>IF([2]Baskol!$D$393="","",[2]Baskol!$D$393)</f>
        <v/>
      </c>
      <c r="W390">
        <f>IF([2]Baskol!$E$393="","",[2]Baskol!$E$393)</f>
        <v/>
      </c>
      <c r="X390">
        <f>IF([2]Baskol!$G$393="","",[2]Baskol!$G$393)</f>
        <v/>
      </c>
      <c r="Y390">
        <f>IF([2]Baskol!$I$393="","",[2]Baskol!$I$393)</f>
        <v/>
      </c>
      <c r="Z390">
        <f>IF([2]Baskol!$J$393="","",[2]Baskol!$J$393)</f>
        <v/>
      </c>
      <c r="AA390">
        <f>IF([2]Baskol!$K$393="","",[2]Baskol!$K$393)</f>
        <v/>
      </c>
      <c r="AB390">
        <f>IF([2]Baskol!$L$393="","",[2]Baskol!$L$393)</f>
        <v/>
      </c>
      <c r="AC390">
        <f>IF([2]Baskol!$N$393="","",[2]Baskol!$N$393)</f>
        <v/>
      </c>
      <c r="AD390">
        <f>IF([2]Baskol!$O$393="","",[2]Baskol!$O$393)</f>
        <v/>
      </c>
      <c r="AE390">
        <f>IF([3]Entry!$C$393="","",[3]Entry!$C$393)</f>
        <v/>
      </c>
      <c r="AF390">
        <f>IF([3]Entry!$D$393="","",[3]Entry!$D$393)</f>
        <v/>
      </c>
      <c r="AG390">
        <f>IF([3]Entry!$E$393="","",[3]Entry!$E$393)</f>
        <v/>
      </c>
      <c r="AH390">
        <f>IF([3]Entry!$G$393="","",[3]Entry!$G$393)</f>
        <v/>
      </c>
      <c r="AI390">
        <f>IF([3]Entry!$K$393="","",[3]Entry!$K$393)</f>
        <v/>
      </c>
      <c r="AJ390">
        <f>IF([3]Entry!$L$393="","",[3]Entry!$L$393)</f>
        <v/>
      </c>
      <c r="AK390">
        <f>IF([3]Entry!$M$393="","",[3]Entry!$M$393)</f>
        <v/>
      </c>
      <c r="AL390">
        <f>IF([3]Entry!$N$393="","",[3]Entry!$N$393)</f>
        <v/>
      </c>
      <c r="AM390">
        <f>IF([3]Entry!$R$393="","",[3]Entry!$R$393)</f>
        <v/>
      </c>
    </row>
    <row r="391">
      <c r="A391">
        <f>IF([1]Accounts!$D$392="","",[1]Accounts!$A$392)</f>
        <v/>
      </c>
      <c r="B391">
        <f>IF([1]Accounts!$D$392="","",[1]Accounts!$B$392)</f>
        <v/>
      </c>
      <c r="C391">
        <f>IF([1]Accounts!$D$392="","",[1]Accounts!$C$392)</f>
        <v/>
      </c>
      <c r="D391">
        <f>IF([1]Accounts!$D$392="","",[1]Accounts!$D$392)</f>
        <v/>
      </c>
      <c r="E391">
        <f>IF([1]Accounts!$D$392="","",[1]Accounts!$E$392)</f>
        <v/>
      </c>
      <c r="F391">
        <f>IF([1]Accounts!$D$392="","",[1]Accounts!$F$392)</f>
        <v/>
      </c>
      <c r="G391">
        <f>IF([1]Accounts!$D$392="","",[1]Accounts!$G$392)</f>
        <v/>
      </c>
      <c r="T391">
        <f>IF([2]Baskol!$B$394="","",[2]Baskol!$B$394)</f>
        <v/>
      </c>
      <c r="U391">
        <f>IF([2]Baskol!$C$394="","",[2]Baskol!$C$394)</f>
        <v/>
      </c>
      <c r="V391">
        <f>IF([2]Baskol!$D$394="","",[2]Baskol!$D$394)</f>
        <v/>
      </c>
      <c r="W391">
        <f>IF([2]Baskol!$E$394="","",[2]Baskol!$E$394)</f>
        <v/>
      </c>
      <c r="X391">
        <f>IF([2]Baskol!$G$394="","",[2]Baskol!$G$394)</f>
        <v/>
      </c>
      <c r="Y391">
        <f>IF([2]Baskol!$I$394="","",[2]Baskol!$I$394)</f>
        <v/>
      </c>
      <c r="Z391">
        <f>IF([2]Baskol!$J$394="","",[2]Baskol!$J$394)</f>
        <v/>
      </c>
      <c r="AA391">
        <f>IF([2]Baskol!$K$394="","",[2]Baskol!$K$394)</f>
        <v/>
      </c>
      <c r="AB391">
        <f>IF([2]Baskol!$L$394="","",[2]Baskol!$L$394)</f>
        <v/>
      </c>
      <c r="AC391">
        <f>IF([2]Baskol!$N$394="","",[2]Baskol!$N$394)</f>
        <v/>
      </c>
      <c r="AD391">
        <f>IF([2]Baskol!$O$394="","",[2]Baskol!$O$394)</f>
        <v/>
      </c>
      <c r="AE391">
        <f>IF([3]Entry!$C$394="","",[3]Entry!$C$394)</f>
        <v/>
      </c>
      <c r="AF391">
        <f>IF([3]Entry!$D$394="","",[3]Entry!$D$394)</f>
        <v/>
      </c>
      <c r="AG391">
        <f>IF([3]Entry!$E$394="","",[3]Entry!$E$394)</f>
        <v/>
      </c>
      <c r="AH391">
        <f>IF([3]Entry!$G$394="","",[3]Entry!$G$394)</f>
        <v/>
      </c>
      <c r="AI391">
        <f>IF([3]Entry!$K$394="","",[3]Entry!$K$394)</f>
        <v/>
      </c>
      <c r="AJ391">
        <f>IF([3]Entry!$L$394="","",[3]Entry!$L$394)</f>
        <v/>
      </c>
      <c r="AK391">
        <f>IF([3]Entry!$M$394="","",[3]Entry!$M$394)</f>
        <v/>
      </c>
      <c r="AL391">
        <f>IF([3]Entry!$N$394="","",[3]Entry!$N$394)</f>
        <v/>
      </c>
      <c r="AM391">
        <f>IF([3]Entry!$R$394="","",[3]Entry!$R$394)</f>
        <v/>
      </c>
    </row>
    <row r="392">
      <c r="A392">
        <f>IF([1]Accounts!$D$393="","",[1]Accounts!$A$393)</f>
        <v/>
      </c>
      <c r="B392">
        <f>IF([1]Accounts!$D$393="","",[1]Accounts!$B$393)</f>
        <v/>
      </c>
      <c r="C392">
        <f>IF([1]Accounts!$D$393="","",[1]Accounts!$C$393)</f>
        <v/>
      </c>
      <c r="D392">
        <f>IF([1]Accounts!$D$393="","",[1]Accounts!$D$393)</f>
        <v/>
      </c>
      <c r="E392">
        <f>IF([1]Accounts!$D$393="","",[1]Accounts!$E$393)</f>
        <v/>
      </c>
      <c r="F392">
        <f>IF([1]Accounts!$D$393="","",[1]Accounts!$F$393)</f>
        <v/>
      </c>
      <c r="G392">
        <f>IF([1]Accounts!$D$393="","",[1]Accounts!$G$393)</f>
        <v/>
      </c>
      <c r="T392">
        <f>IF([2]Baskol!$B$395="","",[2]Baskol!$B$395)</f>
        <v/>
      </c>
      <c r="U392">
        <f>IF([2]Baskol!$C$395="","",[2]Baskol!$C$395)</f>
        <v/>
      </c>
      <c r="V392">
        <f>IF([2]Baskol!$D$395="","",[2]Baskol!$D$395)</f>
        <v/>
      </c>
      <c r="W392">
        <f>IF([2]Baskol!$E$395="","",[2]Baskol!$E$395)</f>
        <v/>
      </c>
      <c r="X392">
        <f>IF([2]Baskol!$G$395="","",[2]Baskol!$G$395)</f>
        <v/>
      </c>
      <c r="Y392">
        <f>IF([2]Baskol!$I$395="","",[2]Baskol!$I$395)</f>
        <v/>
      </c>
      <c r="Z392">
        <f>IF([2]Baskol!$J$395="","",[2]Baskol!$J$395)</f>
        <v/>
      </c>
      <c r="AA392">
        <f>IF([2]Baskol!$K$395="","",[2]Baskol!$K$395)</f>
        <v/>
      </c>
      <c r="AB392">
        <f>IF([2]Baskol!$L$395="","",[2]Baskol!$L$395)</f>
        <v/>
      </c>
      <c r="AC392">
        <f>IF([2]Baskol!$N$395="","",[2]Baskol!$N$395)</f>
        <v/>
      </c>
      <c r="AD392">
        <f>IF([2]Baskol!$O$395="","",[2]Baskol!$O$395)</f>
        <v/>
      </c>
      <c r="AE392">
        <f>IF([3]Entry!$C$395="","",[3]Entry!$C$395)</f>
        <v/>
      </c>
      <c r="AF392">
        <f>IF([3]Entry!$D$395="","",[3]Entry!$D$395)</f>
        <v/>
      </c>
      <c r="AG392">
        <f>IF([3]Entry!$E$395="","",[3]Entry!$E$395)</f>
        <v/>
      </c>
      <c r="AH392">
        <f>IF([3]Entry!$G$395="","",[3]Entry!$G$395)</f>
        <v/>
      </c>
      <c r="AI392">
        <f>IF([3]Entry!$K$395="","",[3]Entry!$K$395)</f>
        <v/>
      </c>
      <c r="AJ392">
        <f>IF([3]Entry!$L$395="","",[3]Entry!$L$395)</f>
        <v/>
      </c>
      <c r="AK392">
        <f>IF([3]Entry!$M$395="","",[3]Entry!$M$395)</f>
        <v/>
      </c>
      <c r="AL392">
        <f>IF([3]Entry!$N$395="","",[3]Entry!$N$395)</f>
        <v/>
      </c>
      <c r="AM392">
        <f>IF([3]Entry!$R$395="","",[3]Entry!$R$395)</f>
        <v/>
      </c>
    </row>
    <row r="393">
      <c r="A393">
        <f>IF([1]Accounts!$D$394="","",[1]Accounts!$A$394)</f>
        <v/>
      </c>
      <c r="B393">
        <f>IF([1]Accounts!$D$394="","",[1]Accounts!$B$394)</f>
        <v/>
      </c>
      <c r="C393">
        <f>IF([1]Accounts!$D$394="","",[1]Accounts!$C$394)</f>
        <v/>
      </c>
      <c r="D393">
        <f>IF([1]Accounts!$D$394="","",[1]Accounts!$D$394)</f>
        <v/>
      </c>
      <c r="E393">
        <f>IF([1]Accounts!$D$394="","",[1]Accounts!$E$394)</f>
        <v/>
      </c>
      <c r="F393">
        <f>IF([1]Accounts!$D$394="","",[1]Accounts!$F$394)</f>
        <v/>
      </c>
      <c r="G393">
        <f>IF([1]Accounts!$D$394="","",[1]Accounts!$G$394)</f>
        <v/>
      </c>
      <c r="T393">
        <f>IF([2]Baskol!$B$396="","",[2]Baskol!$B$396)</f>
        <v/>
      </c>
      <c r="U393">
        <f>IF([2]Baskol!$C$396="","",[2]Baskol!$C$396)</f>
        <v/>
      </c>
      <c r="V393">
        <f>IF([2]Baskol!$D$396="","",[2]Baskol!$D$396)</f>
        <v/>
      </c>
      <c r="W393">
        <f>IF([2]Baskol!$E$396="","",[2]Baskol!$E$396)</f>
        <v/>
      </c>
      <c r="X393">
        <f>IF([2]Baskol!$G$396="","",[2]Baskol!$G$396)</f>
        <v/>
      </c>
      <c r="Y393">
        <f>IF([2]Baskol!$I$396="","",[2]Baskol!$I$396)</f>
        <v/>
      </c>
      <c r="Z393">
        <f>IF([2]Baskol!$J$396="","",[2]Baskol!$J$396)</f>
        <v/>
      </c>
      <c r="AA393">
        <f>IF([2]Baskol!$K$396="","",[2]Baskol!$K$396)</f>
        <v/>
      </c>
      <c r="AB393">
        <f>IF([2]Baskol!$L$396="","",[2]Baskol!$L$396)</f>
        <v/>
      </c>
      <c r="AC393">
        <f>IF([2]Baskol!$N$396="","",[2]Baskol!$N$396)</f>
        <v/>
      </c>
      <c r="AD393">
        <f>IF([2]Baskol!$O$396="","",[2]Baskol!$O$396)</f>
        <v/>
      </c>
      <c r="AE393">
        <f>IF([3]Entry!$C$396="","",[3]Entry!$C$396)</f>
        <v/>
      </c>
      <c r="AF393">
        <f>IF([3]Entry!$D$396="","",[3]Entry!$D$396)</f>
        <v/>
      </c>
      <c r="AG393">
        <f>IF([3]Entry!$E$396="","",[3]Entry!$E$396)</f>
        <v/>
      </c>
      <c r="AH393">
        <f>IF([3]Entry!$G$396="","",[3]Entry!$G$396)</f>
        <v/>
      </c>
      <c r="AI393">
        <f>IF([3]Entry!$K$396="","",[3]Entry!$K$396)</f>
        <v/>
      </c>
      <c r="AJ393">
        <f>IF([3]Entry!$L$396="","",[3]Entry!$L$396)</f>
        <v/>
      </c>
      <c r="AK393">
        <f>IF([3]Entry!$M$396="","",[3]Entry!$M$396)</f>
        <v/>
      </c>
      <c r="AL393">
        <f>IF([3]Entry!$N$396="","",[3]Entry!$N$396)</f>
        <v/>
      </c>
      <c r="AM393">
        <f>IF([3]Entry!$R$396="","",[3]Entry!$R$396)</f>
        <v/>
      </c>
    </row>
    <row r="394">
      <c r="A394">
        <f>IF([1]Accounts!$D$395="","",[1]Accounts!$A$395)</f>
        <v/>
      </c>
      <c r="B394">
        <f>IF([1]Accounts!$D$395="","",[1]Accounts!$B$395)</f>
        <v/>
      </c>
      <c r="C394">
        <f>IF([1]Accounts!$D$395="","",[1]Accounts!$C$395)</f>
        <v/>
      </c>
      <c r="D394">
        <f>IF([1]Accounts!$D$395="","",[1]Accounts!$D$395)</f>
        <v/>
      </c>
      <c r="E394">
        <f>IF([1]Accounts!$D$395="","",[1]Accounts!$E$395)</f>
        <v/>
      </c>
      <c r="F394">
        <f>IF([1]Accounts!$D$395="","",[1]Accounts!$F$395)</f>
        <v/>
      </c>
      <c r="G394">
        <f>IF([1]Accounts!$D$395="","",[1]Accounts!$G$395)</f>
        <v/>
      </c>
      <c r="T394">
        <f>IF([2]Baskol!$B$397="","",[2]Baskol!$B$397)</f>
        <v/>
      </c>
      <c r="U394">
        <f>IF([2]Baskol!$C$397="","",[2]Baskol!$C$397)</f>
        <v/>
      </c>
      <c r="V394">
        <f>IF([2]Baskol!$D$397="","",[2]Baskol!$D$397)</f>
        <v/>
      </c>
      <c r="W394">
        <f>IF([2]Baskol!$E$397="","",[2]Baskol!$E$397)</f>
        <v/>
      </c>
      <c r="X394">
        <f>IF([2]Baskol!$G$397="","",[2]Baskol!$G$397)</f>
        <v/>
      </c>
      <c r="Y394">
        <f>IF([2]Baskol!$I$397="","",[2]Baskol!$I$397)</f>
        <v/>
      </c>
      <c r="Z394">
        <f>IF([2]Baskol!$J$397="","",[2]Baskol!$J$397)</f>
        <v/>
      </c>
      <c r="AA394">
        <f>IF([2]Baskol!$K$397="","",[2]Baskol!$K$397)</f>
        <v/>
      </c>
      <c r="AB394">
        <f>IF([2]Baskol!$L$397="","",[2]Baskol!$L$397)</f>
        <v/>
      </c>
      <c r="AC394">
        <f>IF([2]Baskol!$N$397="","",[2]Baskol!$N$397)</f>
        <v/>
      </c>
      <c r="AD394">
        <f>IF([2]Baskol!$O$397="","",[2]Baskol!$O$397)</f>
        <v/>
      </c>
      <c r="AE394">
        <f>IF([3]Entry!$C$397="","",[3]Entry!$C$397)</f>
        <v/>
      </c>
      <c r="AF394">
        <f>IF([3]Entry!$D$397="","",[3]Entry!$D$397)</f>
        <v/>
      </c>
      <c r="AG394">
        <f>IF([3]Entry!$E$397="","",[3]Entry!$E$397)</f>
        <v/>
      </c>
      <c r="AH394">
        <f>IF([3]Entry!$G$397="","",[3]Entry!$G$397)</f>
        <v/>
      </c>
      <c r="AI394">
        <f>IF([3]Entry!$K$397="","",[3]Entry!$K$397)</f>
        <v/>
      </c>
      <c r="AJ394">
        <f>IF([3]Entry!$L$397="","",[3]Entry!$L$397)</f>
        <v/>
      </c>
      <c r="AK394">
        <f>IF([3]Entry!$M$397="","",[3]Entry!$M$397)</f>
        <v/>
      </c>
      <c r="AL394">
        <f>IF([3]Entry!$N$397="","",[3]Entry!$N$397)</f>
        <v/>
      </c>
      <c r="AM394">
        <f>IF([3]Entry!$R$397="","",[3]Entry!$R$397)</f>
        <v/>
      </c>
    </row>
    <row r="395">
      <c r="A395">
        <f>IF([1]Accounts!$D$396="","",[1]Accounts!$A$396)</f>
        <v/>
      </c>
      <c r="B395">
        <f>IF([1]Accounts!$D$396="","",[1]Accounts!$B$396)</f>
        <v/>
      </c>
      <c r="C395">
        <f>IF([1]Accounts!$D$396="","",[1]Accounts!$C$396)</f>
        <v/>
      </c>
      <c r="D395">
        <f>IF([1]Accounts!$D$396="","",[1]Accounts!$D$396)</f>
        <v/>
      </c>
      <c r="E395">
        <f>IF([1]Accounts!$D$396="","",[1]Accounts!$E$396)</f>
        <v/>
      </c>
      <c r="F395">
        <f>IF([1]Accounts!$D$396="","",[1]Accounts!$F$396)</f>
        <v/>
      </c>
      <c r="G395">
        <f>IF([1]Accounts!$D$396="","",[1]Accounts!$G$396)</f>
        <v/>
      </c>
      <c r="T395">
        <f>IF([2]Baskol!$B$398="","",[2]Baskol!$B$398)</f>
        <v/>
      </c>
      <c r="U395">
        <f>IF([2]Baskol!$C$398="","",[2]Baskol!$C$398)</f>
        <v/>
      </c>
      <c r="V395">
        <f>IF([2]Baskol!$D$398="","",[2]Baskol!$D$398)</f>
        <v/>
      </c>
      <c r="W395">
        <f>IF([2]Baskol!$E$398="","",[2]Baskol!$E$398)</f>
        <v/>
      </c>
      <c r="X395">
        <f>IF([2]Baskol!$G$398="","",[2]Baskol!$G$398)</f>
        <v/>
      </c>
      <c r="Y395">
        <f>IF([2]Baskol!$I$398="","",[2]Baskol!$I$398)</f>
        <v/>
      </c>
      <c r="Z395">
        <f>IF([2]Baskol!$J$398="","",[2]Baskol!$J$398)</f>
        <v/>
      </c>
      <c r="AA395">
        <f>IF([2]Baskol!$K$398="","",[2]Baskol!$K$398)</f>
        <v/>
      </c>
      <c r="AB395">
        <f>IF([2]Baskol!$L$398="","",[2]Baskol!$L$398)</f>
        <v/>
      </c>
      <c r="AC395">
        <f>IF([2]Baskol!$N$398="","",[2]Baskol!$N$398)</f>
        <v/>
      </c>
      <c r="AD395">
        <f>IF([2]Baskol!$O$398="","",[2]Baskol!$O$398)</f>
        <v/>
      </c>
      <c r="AE395">
        <f>IF([3]Entry!$C$398="","",[3]Entry!$C$398)</f>
        <v/>
      </c>
      <c r="AF395">
        <f>IF([3]Entry!$D$398="","",[3]Entry!$D$398)</f>
        <v/>
      </c>
      <c r="AG395">
        <f>IF([3]Entry!$E$398="","",[3]Entry!$E$398)</f>
        <v/>
      </c>
      <c r="AH395">
        <f>IF([3]Entry!$G$398="","",[3]Entry!$G$398)</f>
        <v/>
      </c>
      <c r="AI395">
        <f>IF([3]Entry!$K$398="","",[3]Entry!$K$398)</f>
        <v/>
      </c>
      <c r="AJ395">
        <f>IF([3]Entry!$L$398="","",[3]Entry!$L$398)</f>
        <v/>
      </c>
      <c r="AK395">
        <f>IF([3]Entry!$M$398="","",[3]Entry!$M$398)</f>
        <v/>
      </c>
      <c r="AL395">
        <f>IF([3]Entry!$N$398="","",[3]Entry!$N$398)</f>
        <v/>
      </c>
      <c r="AM395">
        <f>IF([3]Entry!$R$398="","",[3]Entry!$R$398)</f>
        <v/>
      </c>
    </row>
    <row r="396">
      <c r="A396">
        <f>IF([1]Accounts!$D$397="","",[1]Accounts!$A$397)</f>
        <v/>
      </c>
      <c r="B396">
        <f>IF([1]Accounts!$D$397="","",[1]Accounts!$B$397)</f>
        <v/>
      </c>
      <c r="C396">
        <f>IF([1]Accounts!$D$397="","",[1]Accounts!$C$397)</f>
        <v/>
      </c>
      <c r="D396">
        <f>IF([1]Accounts!$D$397="","",[1]Accounts!$D$397)</f>
        <v/>
      </c>
      <c r="E396">
        <f>IF([1]Accounts!$D$397="","",[1]Accounts!$E$397)</f>
        <v/>
      </c>
      <c r="F396">
        <f>IF([1]Accounts!$D$397="","",[1]Accounts!$F$397)</f>
        <v/>
      </c>
      <c r="G396">
        <f>IF([1]Accounts!$D$397="","",[1]Accounts!$G$397)</f>
        <v/>
      </c>
      <c r="T396">
        <f>IF([2]Baskol!$B$399="","",[2]Baskol!$B$399)</f>
        <v/>
      </c>
      <c r="U396">
        <f>IF([2]Baskol!$C$399="","",[2]Baskol!$C$399)</f>
        <v/>
      </c>
      <c r="V396">
        <f>IF([2]Baskol!$D$399="","",[2]Baskol!$D$399)</f>
        <v/>
      </c>
      <c r="W396">
        <f>IF([2]Baskol!$E$399="","",[2]Baskol!$E$399)</f>
        <v/>
      </c>
      <c r="X396">
        <f>IF([2]Baskol!$G$399="","",[2]Baskol!$G$399)</f>
        <v/>
      </c>
      <c r="Y396">
        <f>IF([2]Baskol!$I$399="","",[2]Baskol!$I$399)</f>
        <v/>
      </c>
      <c r="Z396">
        <f>IF([2]Baskol!$J$399="","",[2]Baskol!$J$399)</f>
        <v/>
      </c>
      <c r="AA396">
        <f>IF([2]Baskol!$K$399="","",[2]Baskol!$K$399)</f>
        <v/>
      </c>
      <c r="AB396">
        <f>IF([2]Baskol!$L$399="","",[2]Baskol!$L$399)</f>
        <v/>
      </c>
      <c r="AC396">
        <f>IF([2]Baskol!$N$399="","",[2]Baskol!$N$399)</f>
        <v/>
      </c>
      <c r="AD396">
        <f>IF([2]Baskol!$O$399="","",[2]Baskol!$O$399)</f>
        <v/>
      </c>
      <c r="AE396">
        <f>IF([3]Entry!$C$399="","",[3]Entry!$C$399)</f>
        <v/>
      </c>
      <c r="AF396">
        <f>IF([3]Entry!$D$399="","",[3]Entry!$D$399)</f>
        <v/>
      </c>
      <c r="AG396">
        <f>IF([3]Entry!$E$399="","",[3]Entry!$E$399)</f>
        <v/>
      </c>
      <c r="AH396">
        <f>IF([3]Entry!$G$399="","",[3]Entry!$G$399)</f>
        <v/>
      </c>
      <c r="AI396">
        <f>IF([3]Entry!$K$399="","",[3]Entry!$K$399)</f>
        <v/>
      </c>
      <c r="AJ396">
        <f>IF([3]Entry!$L$399="","",[3]Entry!$L$399)</f>
        <v/>
      </c>
      <c r="AK396">
        <f>IF([3]Entry!$M$399="","",[3]Entry!$M$399)</f>
        <v/>
      </c>
      <c r="AL396">
        <f>IF([3]Entry!$N$399="","",[3]Entry!$N$399)</f>
        <v/>
      </c>
      <c r="AM396">
        <f>IF([3]Entry!$R$399="","",[3]Entry!$R$399)</f>
        <v/>
      </c>
    </row>
    <row r="397">
      <c r="A397">
        <f>IF([1]Accounts!$D$398="","",[1]Accounts!$A$398)</f>
        <v/>
      </c>
      <c r="B397">
        <f>IF([1]Accounts!$D$398="","",[1]Accounts!$B$398)</f>
        <v/>
      </c>
      <c r="C397">
        <f>IF([1]Accounts!$D$398="","",[1]Accounts!$C$398)</f>
        <v/>
      </c>
      <c r="D397">
        <f>IF([1]Accounts!$D$398="","",[1]Accounts!$D$398)</f>
        <v/>
      </c>
      <c r="E397">
        <f>IF([1]Accounts!$D$398="","",[1]Accounts!$E$398)</f>
        <v/>
      </c>
      <c r="F397">
        <f>IF([1]Accounts!$D$398="","",[1]Accounts!$F$398)</f>
        <v/>
      </c>
      <c r="G397">
        <f>IF([1]Accounts!$D$398="","",[1]Accounts!$G$398)</f>
        <v/>
      </c>
      <c r="T397">
        <f>IF([2]Baskol!$B$400="","",[2]Baskol!$B$400)</f>
        <v/>
      </c>
      <c r="U397">
        <f>IF([2]Baskol!$C$400="","",[2]Baskol!$C$400)</f>
        <v/>
      </c>
      <c r="V397">
        <f>IF([2]Baskol!$D$400="","",[2]Baskol!$D$400)</f>
        <v/>
      </c>
      <c r="W397">
        <f>IF([2]Baskol!$E$400="","",[2]Baskol!$E$400)</f>
        <v/>
      </c>
      <c r="X397">
        <f>IF([2]Baskol!$G$400="","",[2]Baskol!$G$400)</f>
        <v/>
      </c>
      <c r="Y397">
        <f>IF([2]Baskol!$I$400="","",[2]Baskol!$I$400)</f>
        <v/>
      </c>
      <c r="Z397">
        <f>IF([2]Baskol!$J$400="","",[2]Baskol!$J$400)</f>
        <v/>
      </c>
      <c r="AA397">
        <f>IF([2]Baskol!$K$400="","",[2]Baskol!$K$400)</f>
        <v/>
      </c>
      <c r="AB397">
        <f>IF([2]Baskol!$L$400="","",[2]Baskol!$L$400)</f>
        <v/>
      </c>
      <c r="AC397">
        <f>IF([2]Baskol!$N$400="","",[2]Baskol!$N$400)</f>
        <v/>
      </c>
      <c r="AD397">
        <f>IF([2]Baskol!$O$400="","",[2]Baskol!$O$400)</f>
        <v/>
      </c>
      <c r="AE397">
        <f>IF([3]Entry!$C$400="","",[3]Entry!$C$400)</f>
        <v/>
      </c>
      <c r="AF397">
        <f>IF([3]Entry!$D$400="","",[3]Entry!$D$400)</f>
        <v/>
      </c>
      <c r="AG397">
        <f>IF([3]Entry!$E$400="","",[3]Entry!$E$400)</f>
        <v/>
      </c>
      <c r="AH397">
        <f>IF([3]Entry!$G$400="","",[3]Entry!$G$400)</f>
        <v/>
      </c>
      <c r="AI397">
        <f>IF([3]Entry!$K$400="","",[3]Entry!$K$400)</f>
        <v/>
      </c>
      <c r="AJ397">
        <f>IF([3]Entry!$L$400="","",[3]Entry!$L$400)</f>
        <v/>
      </c>
      <c r="AK397">
        <f>IF([3]Entry!$M$400="","",[3]Entry!$M$400)</f>
        <v/>
      </c>
      <c r="AL397">
        <f>IF([3]Entry!$N$400="","",[3]Entry!$N$400)</f>
        <v/>
      </c>
      <c r="AM397">
        <f>IF([3]Entry!$R$400="","",[3]Entry!$R$400)</f>
        <v/>
      </c>
    </row>
    <row r="398">
      <c r="A398">
        <f>IF([1]Accounts!$D$399="","",[1]Accounts!$A$399)</f>
        <v/>
      </c>
      <c r="B398">
        <f>IF([1]Accounts!$D$399="","",[1]Accounts!$B$399)</f>
        <v/>
      </c>
      <c r="C398">
        <f>IF([1]Accounts!$D$399="","",[1]Accounts!$C$399)</f>
        <v/>
      </c>
      <c r="D398">
        <f>IF([1]Accounts!$D$399="","",[1]Accounts!$D$399)</f>
        <v/>
      </c>
      <c r="E398">
        <f>IF([1]Accounts!$D$399="","",[1]Accounts!$E$399)</f>
        <v/>
      </c>
      <c r="F398">
        <f>IF([1]Accounts!$D$399="","",[1]Accounts!$F$399)</f>
        <v/>
      </c>
      <c r="G398">
        <f>IF([1]Accounts!$D$399="","",[1]Accounts!$G$399)</f>
        <v/>
      </c>
      <c r="T398">
        <f>IF([2]Baskol!$B$401="","",[2]Baskol!$B$401)</f>
        <v/>
      </c>
      <c r="U398">
        <f>IF([2]Baskol!$C$401="","",[2]Baskol!$C$401)</f>
        <v/>
      </c>
      <c r="V398">
        <f>IF([2]Baskol!$D$401="","",[2]Baskol!$D$401)</f>
        <v/>
      </c>
      <c r="W398">
        <f>IF([2]Baskol!$E$401="","",[2]Baskol!$E$401)</f>
        <v/>
      </c>
      <c r="X398">
        <f>IF([2]Baskol!$G$401="","",[2]Baskol!$G$401)</f>
        <v/>
      </c>
      <c r="Y398">
        <f>IF([2]Baskol!$I$401="","",[2]Baskol!$I$401)</f>
        <v/>
      </c>
      <c r="Z398">
        <f>IF([2]Baskol!$J$401="","",[2]Baskol!$J$401)</f>
        <v/>
      </c>
      <c r="AA398">
        <f>IF([2]Baskol!$K$401="","",[2]Baskol!$K$401)</f>
        <v/>
      </c>
      <c r="AB398">
        <f>IF([2]Baskol!$L$401="","",[2]Baskol!$L$401)</f>
        <v/>
      </c>
      <c r="AC398">
        <f>IF([2]Baskol!$N$401="","",[2]Baskol!$N$401)</f>
        <v/>
      </c>
      <c r="AD398">
        <f>IF([2]Baskol!$O$401="","",[2]Baskol!$O$401)</f>
        <v/>
      </c>
      <c r="AE398">
        <f>IF([3]Entry!$C$401="","",[3]Entry!$C$401)</f>
        <v/>
      </c>
      <c r="AF398">
        <f>IF([3]Entry!$D$401="","",[3]Entry!$D$401)</f>
        <v/>
      </c>
      <c r="AG398">
        <f>IF([3]Entry!$E$401="","",[3]Entry!$E$401)</f>
        <v/>
      </c>
      <c r="AH398">
        <f>IF([3]Entry!$G$401="","",[3]Entry!$G$401)</f>
        <v/>
      </c>
      <c r="AI398">
        <f>IF([3]Entry!$K$401="","",[3]Entry!$K$401)</f>
        <v/>
      </c>
      <c r="AJ398">
        <f>IF([3]Entry!$L$401="","",[3]Entry!$L$401)</f>
        <v/>
      </c>
      <c r="AK398">
        <f>IF([3]Entry!$M$401="","",[3]Entry!$M$401)</f>
        <v/>
      </c>
      <c r="AL398">
        <f>IF([3]Entry!$N$401="","",[3]Entry!$N$401)</f>
        <v/>
      </c>
      <c r="AM398">
        <f>IF([3]Entry!$R$401="","",[3]Entry!$R$401)</f>
        <v/>
      </c>
    </row>
    <row r="399">
      <c r="A399">
        <f>IF([1]Accounts!$D$400="","",[1]Accounts!$A$400)</f>
        <v/>
      </c>
      <c r="B399">
        <f>IF([1]Accounts!$D$400="","",[1]Accounts!$B$400)</f>
        <v/>
      </c>
      <c r="C399">
        <f>IF([1]Accounts!$D$400="","",[1]Accounts!$C$400)</f>
        <v/>
      </c>
      <c r="D399">
        <f>IF([1]Accounts!$D$400="","",[1]Accounts!$D$400)</f>
        <v/>
      </c>
      <c r="E399">
        <f>IF([1]Accounts!$D$400="","",[1]Accounts!$E$400)</f>
        <v/>
      </c>
      <c r="F399">
        <f>IF([1]Accounts!$D$400="","",[1]Accounts!$F$400)</f>
        <v/>
      </c>
      <c r="G399">
        <f>IF([1]Accounts!$D$400="","",[1]Accounts!$G$400)</f>
        <v/>
      </c>
      <c r="T399">
        <f>IF([2]Baskol!$B$402="","",[2]Baskol!$B$402)</f>
        <v/>
      </c>
      <c r="U399">
        <f>IF([2]Baskol!$C$402="","",[2]Baskol!$C$402)</f>
        <v/>
      </c>
      <c r="V399">
        <f>IF([2]Baskol!$D$402="","",[2]Baskol!$D$402)</f>
        <v/>
      </c>
      <c r="W399">
        <f>IF([2]Baskol!$E$402="","",[2]Baskol!$E$402)</f>
        <v/>
      </c>
      <c r="X399">
        <f>IF([2]Baskol!$G$402="","",[2]Baskol!$G$402)</f>
        <v/>
      </c>
      <c r="Y399">
        <f>IF([2]Baskol!$I$402="","",[2]Baskol!$I$402)</f>
        <v/>
      </c>
      <c r="Z399">
        <f>IF([2]Baskol!$J$402="","",[2]Baskol!$J$402)</f>
        <v/>
      </c>
      <c r="AA399">
        <f>IF([2]Baskol!$K$402="","",[2]Baskol!$K$402)</f>
        <v/>
      </c>
      <c r="AB399">
        <f>IF([2]Baskol!$L$402="","",[2]Baskol!$L$402)</f>
        <v/>
      </c>
      <c r="AC399">
        <f>IF([2]Baskol!$N$402="","",[2]Baskol!$N$402)</f>
        <v/>
      </c>
      <c r="AD399">
        <f>IF([2]Baskol!$O$402="","",[2]Baskol!$O$402)</f>
        <v/>
      </c>
      <c r="AE399">
        <f>IF([3]Entry!$C$402="","",[3]Entry!$C$402)</f>
        <v/>
      </c>
      <c r="AF399">
        <f>IF([3]Entry!$D$402="","",[3]Entry!$D$402)</f>
        <v/>
      </c>
      <c r="AG399">
        <f>IF([3]Entry!$E$402="","",[3]Entry!$E$402)</f>
        <v/>
      </c>
      <c r="AH399">
        <f>IF([3]Entry!$G$402="","",[3]Entry!$G$402)</f>
        <v/>
      </c>
      <c r="AI399">
        <f>IF([3]Entry!$K$402="","",[3]Entry!$K$402)</f>
        <v/>
      </c>
      <c r="AJ399">
        <f>IF([3]Entry!$L$402="","",[3]Entry!$L$402)</f>
        <v/>
      </c>
      <c r="AK399">
        <f>IF([3]Entry!$M$402="","",[3]Entry!$M$402)</f>
        <v/>
      </c>
      <c r="AL399">
        <f>IF([3]Entry!$N$402="","",[3]Entry!$N$402)</f>
        <v/>
      </c>
      <c r="AM399">
        <f>IF([3]Entry!$R$402="","",[3]Entry!$R$402)</f>
        <v/>
      </c>
    </row>
    <row r="400">
      <c r="A400">
        <f>IF([1]Accounts!$D$401="","",[1]Accounts!$A$401)</f>
        <v/>
      </c>
      <c r="B400">
        <f>IF([1]Accounts!$D$401="","",[1]Accounts!$B$401)</f>
        <v/>
      </c>
      <c r="C400">
        <f>IF([1]Accounts!$D$401="","",[1]Accounts!$C$401)</f>
        <v/>
      </c>
      <c r="D400">
        <f>IF([1]Accounts!$D$401="","",[1]Accounts!$D$401)</f>
        <v/>
      </c>
      <c r="E400">
        <f>IF([1]Accounts!$D$401="","",[1]Accounts!$E$401)</f>
        <v/>
      </c>
      <c r="F400">
        <f>IF([1]Accounts!$D$401="","",[1]Accounts!$F$401)</f>
        <v/>
      </c>
      <c r="G400">
        <f>IF([1]Accounts!$D$401="","",[1]Accounts!$G$401)</f>
        <v/>
      </c>
      <c r="T400">
        <f>IF([2]Baskol!$B$403="","",[2]Baskol!$B$403)</f>
        <v/>
      </c>
      <c r="U400">
        <f>IF([2]Baskol!$C$403="","",[2]Baskol!$C$403)</f>
        <v/>
      </c>
      <c r="V400">
        <f>IF([2]Baskol!$D$403="","",[2]Baskol!$D$403)</f>
        <v/>
      </c>
      <c r="W400">
        <f>IF([2]Baskol!$E$403="","",[2]Baskol!$E$403)</f>
        <v/>
      </c>
      <c r="X400">
        <f>IF([2]Baskol!$G$403="","",[2]Baskol!$G$403)</f>
        <v/>
      </c>
      <c r="Y400">
        <f>IF([2]Baskol!$I$403="","",[2]Baskol!$I$403)</f>
        <v/>
      </c>
      <c r="Z400">
        <f>IF([2]Baskol!$J$403="","",[2]Baskol!$J$403)</f>
        <v/>
      </c>
      <c r="AA400">
        <f>IF([2]Baskol!$K$403="","",[2]Baskol!$K$403)</f>
        <v/>
      </c>
      <c r="AB400">
        <f>IF([2]Baskol!$L$403="","",[2]Baskol!$L$403)</f>
        <v/>
      </c>
      <c r="AC400">
        <f>IF([2]Baskol!$N$403="","",[2]Baskol!$N$403)</f>
        <v/>
      </c>
      <c r="AD400">
        <f>IF([2]Baskol!$O$403="","",[2]Baskol!$O$403)</f>
        <v/>
      </c>
      <c r="AE400">
        <f>IF([3]Entry!$C$403="","",[3]Entry!$C$403)</f>
        <v/>
      </c>
      <c r="AF400">
        <f>IF([3]Entry!$D$403="","",[3]Entry!$D$403)</f>
        <v/>
      </c>
      <c r="AG400">
        <f>IF([3]Entry!$E$403="","",[3]Entry!$E$403)</f>
        <v/>
      </c>
      <c r="AH400">
        <f>IF([3]Entry!$G$403="","",[3]Entry!$G$403)</f>
        <v/>
      </c>
      <c r="AI400">
        <f>IF([3]Entry!$K$403="","",[3]Entry!$K$403)</f>
        <v/>
      </c>
      <c r="AJ400">
        <f>IF([3]Entry!$L$403="","",[3]Entry!$L$403)</f>
        <v/>
      </c>
      <c r="AK400">
        <f>IF([3]Entry!$M$403="","",[3]Entry!$M$403)</f>
        <v/>
      </c>
      <c r="AL400">
        <f>IF([3]Entry!$N$403="","",[3]Entry!$N$403)</f>
        <v/>
      </c>
      <c r="AM400">
        <f>IF([3]Entry!$R$403="","",[3]Entry!$R$403)</f>
        <v/>
      </c>
    </row>
    <row r="401">
      <c r="A401">
        <f>IF([1]Accounts!$D$402="","",[1]Accounts!$A$402)</f>
        <v/>
      </c>
      <c r="B401">
        <f>IF([1]Accounts!$D$402="","",[1]Accounts!$B$402)</f>
        <v/>
      </c>
      <c r="C401">
        <f>IF([1]Accounts!$D$402="","",[1]Accounts!$C$402)</f>
        <v/>
      </c>
      <c r="D401">
        <f>IF([1]Accounts!$D$402="","",[1]Accounts!$D$402)</f>
        <v/>
      </c>
      <c r="E401">
        <f>IF([1]Accounts!$D$402="","",[1]Accounts!$E$402)</f>
        <v/>
      </c>
      <c r="F401">
        <f>IF([1]Accounts!$D$402="","",[1]Accounts!$F$402)</f>
        <v/>
      </c>
      <c r="G401">
        <f>IF([1]Accounts!$D$402="","",[1]Accounts!$G$402)</f>
        <v/>
      </c>
      <c r="T401">
        <f>IF([2]Baskol!$B$404="","",[2]Baskol!$B$404)</f>
        <v/>
      </c>
      <c r="U401">
        <f>IF([2]Baskol!$C$404="","",[2]Baskol!$C$404)</f>
        <v/>
      </c>
      <c r="V401">
        <f>IF([2]Baskol!$D$404="","",[2]Baskol!$D$404)</f>
        <v/>
      </c>
      <c r="W401">
        <f>IF([2]Baskol!$E$404="","",[2]Baskol!$E$404)</f>
        <v/>
      </c>
      <c r="X401">
        <f>IF([2]Baskol!$G$404="","",[2]Baskol!$G$404)</f>
        <v/>
      </c>
      <c r="Y401">
        <f>IF([2]Baskol!$I$404="","",[2]Baskol!$I$404)</f>
        <v/>
      </c>
      <c r="Z401">
        <f>IF([2]Baskol!$J$404="","",[2]Baskol!$J$404)</f>
        <v/>
      </c>
      <c r="AA401">
        <f>IF([2]Baskol!$K$404="","",[2]Baskol!$K$404)</f>
        <v/>
      </c>
      <c r="AB401">
        <f>IF([2]Baskol!$L$404="","",[2]Baskol!$L$404)</f>
        <v/>
      </c>
      <c r="AC401">
        <f>IF([2]Baskol!$N$404="","",[2]Baskol!$N$404)</f>
        <v/>
      </c>
      <c r="AD401">
        <f>IF([2]Baskol!$O$404="","",[2]Baskol!$O$404)</f>
        <v/>
      </c>
      <c r="AE401">
        <f>IF([3]Entry!$C$404="","",[3]Entry!$C$404)</f>
        <v/>
      </c>
      <c r="AF401">
        <f>IF([3]Entry!$D$404="","",[3]Entry!$D$404)</f>
        <v/>
      </c>
      <c r="AG401">
        <f>IF([3]Entry!$E$404="","",[3]Entry!$E$404)</f>
        <v/>
      </c>
      <c r="AH401">
        <f>IF([3]Entry!$G$404="","",[3]Entry!$G$404)</f>
        <v/>
      </c>
      <c r="AI401">
        <f>IF([3]Entry!$K$404="","",[3]Entry!$K$404)</f>
        <v/>
      </c>
      <c r="AJ401">
        <f>IF([3]Entry!$L$404="","",[3]Entry!$L$404)</f>
        <v/>
      </c>
      <c r="AK401">
        <f>IF([3]Entry!$M$404="","",[3]Entry!$M$404)</f>
        <v/>
      </c>
      <c r="AL401">
        <f>IF([3]Entry!$N$404="","",[3]Entry!$N$404)</f>
        <v/>
      </c>
      <c r="AM401">
        <f>IF([3]Entry!$R$404="","",[3]Entry!$R$404)</f>
        <v/>
      </c>
    </row>
    <row r="402">
      <c r="A402">
        <f>IF([1]Accounts!$D$403="","",[1]Accounts!$A$403)</f>
        <v/>
      </c>
      <c r="B402">
        <f>IF([1]Accounts!$D$403="","",[1]Accounts!$B$403)</f>
        <v/>
      </c>
      <c r="C402">
        <f>IF([1]Accounts!$D$403="","",[1]Accounts!$C$403)</f>
        <v/>
      </c>
      <c r="D402">
        <f>IF([1]Accounts!$D$403="","",[1]Accounts!$D$403)</f>
        <v/>
      </c>
      <c r="E402">
        <f>IF([1]Accounts!$D$403="","",[1]Accounts!$E$403)</f>
        <v/>
      </c>
      <c r="F402">
        <f>IF([1]Accounts!$D$403="","",[1]Accounts!$F$403)</f>
        <v/>
      </c>
      <c r="G402">
        <f>IF([1]Accounts!$D$403="","",[1]Accounts!$G$403)</f>
        <v/>
      </c>
      <c r="T402">
        <f>IF([2]Baskol!$B$405="","",[2]Baskol!$B$405)</f>
        <v/>
      </c>
      <c r="U402">
        <f>IF([2]Baskol!$C$405="","",[2]Baskol!$C$405)</f>
        <v/>
      </c>
      <c r="V402">
        <f>IF([2]Baskol!$D$405="","",[2]Baskol!$D$405)</f>
        <v/>
      </c>
      <c r="W402">
        <f>IF([2]Baskol!$E$405="","",[2]Baskol!$E$405)</f>
        <v/>
      </c>
      <c r="X402">
        <f>IF([2]Baskol!$G$405="","",[2]Baskol!$G$405)</f>
        <v/>
      </c>
      <c r="Y402">
        <f>IF([2]Baskol!$I$405="","",[2]Baskol!$I$405)</f>
        <v/>
      </c>
      <c r="Z402">
        <f>IF([2]Baskol!$J$405="","",[2]Baskol!$J$405)</f>
        <v/>
      </c>
      <c r="AA402">
        <f>IF([2]Baskol!$K$405="","",[2]Baskol!$K$405)</f>
        <v/>
      </c>
      <c r="AB402">
        <f>IF([2]Baskol!$L$405="","",[2]Baskol!$L$405)</f>
        <v/>
      </c>
      <c r="AC402">
        <f>IF([2]Baskol!$N$405="","",[2]Baskol!$N$405)</f>
        <v/>
      </c>
      <c r="AD402">
        <f>IF([2]Baskol!$O$405="","",[2]Baskol!$O$405)</f>
        <v/>
      </c>
      <c r="AE402">
        <f>IF([3]Entry!$C$405="","",[3]Entry!$C$405)</f>
        <v/>
      </c>
      <c r="AF402">
        <f>IF([3]Entry!$D$405="","",[3]Entry!$D$405)</f>
        <v/>
      </c>
      <c r="AG402">
        <f>IF([3]Entry!$E$405="","",[3]Entry!$E$405)</f>
        <v/>
      </c>
      <c r="AH402">
        <f>IF([3]Entry!$G$405="","",[3]Entry!$G$405)</f>
        <v/>
      </c>
      <c r="AI402">
        <f>IF([3]Entry!$K$405="","",[3]Entry!$K$405)</f>
        <v/>
      </c>
      <c r="AJ402">
        <f>IF([3]Entry!$L$405="","",[3]Entry!$L$405)</f>
        <v/>
      </c>
      <c r="AK402">
        <f>IF([3]Entry!$M$405="","",[3]Entry!$M$405)</f>
        <v/>
      </c>
      <c r="AL402">
        <f>IF([3]Entry!$N$405="","",[3]Entry!$N$405)</f>
        <v/>
      </c>
      <c r="AM402">
        <f>IF([3]Entry!$R$405="","",[3]Entry!$R$405)</f>
        <v/>
      </c>
    </row>
    <row r="403">
      <c r="A403">
        <f>IF([1]Accounts!$D$404="","",[1]Accounts!$A$404)</f>
        <v/>
      </c>
      <c r="B403">
        <f>IF([1]Accounts!$D$404="","",[1]Accounts!$B$404)</f>
        <v/>
      </c>
      <c r="C403">
        <f>IF([1]Accounts!$D$404="","",[1]Accounts!$C$404)</f>
        <v/>
      </c>
      <c r="D403">
        <f>IF([1]Accounts!$D$404="","",[1]Accounts!$D$404)</f>
        <v/>
      </c>
      <c r="E403">
        <f>IF([1]Accounts!$D$404="","",[1]Accounts!$E$404)</f>
        <v/>
      </c>
      <c r="F403">
        <f>IF([1]Accounts!$D$404="","",[1]Accounts!$F$404)</f>
        <v/>
      </c>
      <c r="G403">
        <f>IF([1]Accounts!$D$404="","",[1]Accounts!$G$404)</f>
        <v/>
      </c>
      <c r="T403">
        <f>IF([2]Baskol!$B$406="","",[2]Baskol!$B$406)</f>
        <v/>
      </c>
      <c r="U403">
        <f>IF([2]Baskol!$C$406="","",[2]Baskol!$C$406)</f>
        <v/>
      </c>
      <c r="V403">
        <f>IF([2]Baskol!$D$406="","",[2]Baskol!$D$406)</f>
        <v/>
      </c>
      <c r="W403">
        <f>IF([2]Baskol!$E$406="","",[2]Baskol!$E$406)</f>
        <v/>
      </c>
      <c r="X403">
        <f>IF([2]Baskol!$G$406="","",[2]Baskol!$G$406)</f>
        <v/>
      </c>
      <c r="Y403">
        <f>IF([2]Baskol!$I$406="","",[2]Baskol!$I$406)</f>
        <v/>
      </c>
      <c r="Z403">
        <f>IF([2]Baskol!$J$406="","",[2]Baskol!$J$406)</f>
        <v/>
      </c>
      <c r="AA403">
        <f>IF([2]Baskol!$K$406="","",[2]Baskol!$K$406)</f>
        <v/>
      </c>
      <c r="AB403">
        <f>IF([2]Baskol!$L$406="","",[2]Baskol!$L$406)</f>
        <v/>
      </c>
      <c r="AC403">
        <f>IF([2]Baskol!$N$406="","",[2]Baskol!$N$406)</f>
        <v/>
      </c>
      <c r="AD403">
        <f>IF([2]Baskol!$O$406="","",[2]Baskol!$O$406)</f>
        <v/>
      </c>
      <c r="AE403">
        <f>IF([3]Entry!$C$406="","",[3]Entry!$C$406)</f>
        <v/>
      </c>
      <c r="AF403">
        <f>IF([3]Entry!$D$406="","",[3]Entry!$D$406)</f>
        <v/>
      </c>
      <c r="AG403">
        <f>IF([3]Entry!$E$406="","",[3]Entry!$E$406)</f>
        <v/>
      </c>
      <c r="AH403">
        <f>IF([3]Entry!$G$406="","",[3]Entry!$G$406)</f>
        <v/>
      </c>
      <c r="AI403">
        <f>IF([3]Entry!$K$406="","",[3]Entry!$K$406)</f>
        <v/>
      </c>
      <c r="AJ403">
        <f>IF([3]Entry!$L$406="","",[3]Entry!$L$406)</f>
        <v/>
      </c>
      <c r="AK403">
        <f>IF([3]Entry!$M$406="","",[3]Entry!$M$406)</f>
        <v/>
      </c>
      <c r="AL403">
        <f>IF([3]Entry!$N$406="","",[3]Entry!$N$406)</f>
        <v/>
      </c>
      <c r="AM403">
        <f>IF([3]Entry!$R$406="","",[3]Entry!$R$406)</f>
        <v/>
      </c>
    </row>
    <row r="404">
      <c r="A404">
        <f>IF([1]Accounts!$D$405="","",[1]Accounts!$A$405)</f>
        <v/>
      </c>
      <c r="B404">
        <f>IF([1]Accounts!$D$405="","",[1]Accounts!$B$405)</f>
        <v/>
      </c>
      <c r="C404">
        <f>IF([1]Accounts!$D$405="","",[1]Accounts!$C$405)</f>
        <v/>
      </c>
      <c r="D404">
        <f>IF([1]Accounts!$D$405="","",[1]Accounts!$D$405)</f>
        <v/>
      </c>
      <c r="E404">
        <f>IF([1]Accounts!$D$405="","",[1]Accounts!$E$405)</f>
        <v/>
      </c>
      <c r="F404">
        <f>IF([1]Accounts!$D$405="","",[1]Accounts!$F$405)</f>
        <v/>
      </c>
      <c r="G404">
        <f>IF([1]Accounts!$D$405="","",[1]Accounts!$G$405)</f>
        <v/>
      </c>
      <c r="T404">
        <f>IF([2]Baskol!$B$407="","",[2]Baskol!$B$407)</f>
        <v/>
      </c>
      <c r="U404">
        <f>IF([2]Baskol!$C$407="","",[2]Baskol!$C$407)</f>
        <v/>
      </c>
      <c r="V404">
        <f>IF([2]Baskol!$D$407="","",[2]Baskol!$D$407)</f>
        <v/>
      </c>
      <c r="W404">
        <f>IF([2]Baskol!$E$407="","",[2]Baskol!$E$407)</f>
        <v/>
      </c>
      <c r="X404">
        <f>IF([2]Baskol!$G$407="","",[2]Baskol!$G$407)</f>
        <v/>
      </c>
      <c r="Y404">
        <f>IF([2]Baskol!$I$407="","",[2]Baskol!$I$407)</f>
        <v/>
      </c>
      <c r="Z404">
        <f>IF([2]Baskol!$J$407="","",[2]Baskol!$J$407)</f>
        <v/>
      </c>
      <c r="AA404">
        <f>IF([2]Baskol!$K$407="","",[2]Baskol!$K$407)</f>
        <v/>
      </c>
      <c r="AB404">
        <f>IF([2]Baskol!$L$407="","",[2]Baskol!$L$407)</f>
        <v/>
      </c>
      <c r="AC404">
        <f>IF([2]Baskol!$N$407="","",[2]Baskol!$N$407)</f>
        <v/>
      </c>
      <c r="AD404">
        <f>IF([2]Baskol!$O$407="","",[2]Baskol!$O$407)</f>
        <v/>
      </c>
      <c r="AE404">
        <f>IF([3]Entry!$C$407="","",[3]Entry!$C$407)</f>
        <v/>
      </c>
      <c r="AF404">
        <f>IF([3]Entry!$D$407="","",[3]Entry!$D$407)</f>
        <v/>
      </c>
      <c r="AG404">
        <f>IF([3]Entry!$E$407="","",[3]Entry!$E$407)</f>
        <v/>
      </c>
      <c r="AH404">
        <f>IF([3]Entry!$G$407="","",[3]Entry!$G$407)</f>
        <v/>
      </c>
      <c r="AI404">
        <f>IF([3]Entry!$K$407="","",[3]Entry!$K$407)</f>
        <v/>
      </c>
      <c r="AJ404">
        <f>IF([3]Entry!$L$407="","",[3]Entry!$L$407)</f>
        <v/>
      </c>
      <c r="AK404">
        <f>IF([3]Entry!$M$407="","",[3]Entry!$M$407)</f>
        <v/>
      </c>
      <c r="AL404">
        <f>IF([3]Entry!$N$407="","",[3]Entry!$N$407)</f>
        <v/>
      </c>
      <c r="AM404">
        <f>IF([3]Entry!$R$407="","",[3]Entry!$R$407)</f>
        <v/>
      </c>
    </row>
    <row r="405">
      <c r="A405">
        <f>IF([1]Accounts!$D$406="","",[1]Accounts!$A$406)</f>
        <v/>
      </c>
      <c r="B405">
        <f>IF([1]Accounts!$D$406="","",[1]Accounts!$B$406)</f>
        <v/>
      </c>
      <c r="C405">
        <f>IF([1]Accounts!$D$406="","",[1]Accounts!$C$406)</f>
        <v/>
      </c>
      <c r="D405">
        <f>IF([1]Accounts!$D$406="","",[1]Accounts!$D$406)</f>
        <v/>
      </c>
      <c r="E405">
        <f>IF([1]Accounts!$D$406="","",[1]Accounts!$E$406)</f>
        <v/>
      </c>
      <c r="F405">
        <f>IF([1]Accounts!$D$406="","",[1]Accounts!$F$406)</f>
        <v/>
      </c>
      <c r="G405">
        <f>IF([1]Accounts!$D$406="","",[1]Accounts!$G$406)</f>
        <v/>
      </c>
      <c r="T405">
        <f>IF([2]Baskol!$B$408="","",[2]Baskol!$B$408)</f>
        <v/>
      </c>
      <c r="U405">
        <f>IF([2]Baskol!$C$408="","",[2]Baskol!$C$408)</f>
        <v/>
      </c>
      <c r="V405">
        <f>IF([2]Baskol!$D$408="","",[2]Baskol!$D$408)</f>
        <v/>
      </c>
      <c r="W405">
        <f>IF([2]Baskol!$E$408="","",[2]Baskol!$E$408)</f>
        <v/>
      </c>
      <c r="X405">
        <f>IF([2]Baskol!$G$408="","",[2]Baskol!$G$408)</f>
        <v/>
      </c>
      <c r="Y405">
        <f>IF([2]Baskol!$I$408="","",[2]Baskol!$I$408)</f>
        <v/>
      </c>
      <c r="Z405">
        <f>IF([2]Baskol!$J$408="","",[2]Baskol!$J$408)</f>
        <v/>
      </c>
      <c r="AA405">
        <f>IF([2]Baskol!$K$408="","",[2]Baskol!$K$408)</f>
        <v/>
      </c>
      <c r="AB405">
        <f>IF([2]Baskol!$L$408="","",[2]Baskol!$L$408)</f>
        <v/>
      </c>
      <c r="AC405">
        <f>IF([2]Baskol!$N$408="","",[2]Baskol!$N$408)</f>
        <v/>
      </c>
      <c r="AD405">
        <f>IF([2]Baskol!$O$408="","",[2]Baskol!$O$408)</f>
        <v/>
      </c>
      <c r="AE405">
        <f>IF([3]Entry!$C$408="","",[3]Entry!$C$408)</f>
        <v/>
      </c>
      <c r="AF405">
        <f>IF([3]Entry!$D$408="","",[3]Entry!$D$408)</f>
        <v/>
      </c>
      <c r="AG405">
        <f>IF([3]Entry!$E$408="","",[3]Entry!$E$408)</f>
        <v/>
      </c>
      <c r="AH405">
        <f>IF([3]Entry!$G$408="","",[3]Entry!$G$408)</f>
        <v/>
      </c>
      <c r="AI405">
        <f>IF([3]Entry!$K$408="","",[3]Entry!$K$408)</f>
        <v/>
      </c>
      <c r="AJ405">
        <f>IF([3]Entry!$L$408="","",[3]Entry!$L$408)</f>
        <v/>
      </c>
      <c r="AK405">
        <f>IF([3]Entry!$M$408="","",[3]Entry!$M$408)</f>
        <v/>
      </c>
      <c r="AL405">
        <f>IF([3]Entry!$N$408="","",[3]Entry!$N$408)</f>
        <v/>
      </c>
      <c r="AM405">
        <f>IF([3]Entry!$R$408="","",[3]Entry!$R$408)</f>
        <v/>
      </c>
    </row>
    <row r="406">
      <c r="A406">
        <f>IF([1]Accounts!$D$407="","",[1]Accounts!$A$407)</f>
        <v/>
      </c>
      <c r="B406">
        <f>IF([1]Accounts!$D$407="","",[1]Accounts!$B$407)</f>
        <v/>
      </c>
      <c r="C406">
        <f>IF([1]Accounts!$D$407="","",[1]Accounts!$C$407)</f>
        <v/>
      </c>
      <c r="D406">
        <f>IF([1]Accounts!$D$407="","",[1]Accounts!$D$407)</f>
        <v/>
      </c>
      <c r="E406">
        <f>IF([1]Accounts!$D$407="","",[1]Accounts!$E$407)</f>
        <v/>
      </c>
      <c r="F406">
        <f>IF([1]Accounts!$D$407="","",[1]Accounts!$F$407)</f>
        <v/>
      </c>
      <c r="G406">
        <f>IF([1]Accounts!$D$407="","",[1]Accounts!$G$407)</f>
        <v/>
      </c>
      <c r="T406">
        <f>IF([2]Baskol!$B$409="","",[2]Baskol!$B$409)</f>
        <v/>
      </c>
      <c r="U406">
        <f>IF([2]Baskol!$C$409="","",[2]Baskol!$C$409)</f>
        <v/>
      </c>
      <c r="V406">
        <f>IF([2]Baskol!$D$409="","",[2]Baskol!$D$409)</f>
        <v/>
      </c>
      <c r="W406">
        <f>IF([2]Baskol!$E$409="","",[2]Baskol!$E$409)</f>
        <v/>
      </c>
      <c r="X406">
        <f>IF([2]Baskol!$G$409="","",[2]Baskol!$G$409)</f>
        <v/>
      </c>
      <c r="Y406">
        <f>IF([2]Baskol!$I$409="","",[2]Baskol!$I$409)</f>
        <v/>
      </c>
      <c r="Z406">
        <f>IF([2]Baskol!$J$409="","",[2]Baskol!$J$409)</f>
        <v/>
      </c>
      <c r="AA406">
        <f>IF([2]Baskol!$K$409="","",[2]Baskol!$K$409)</f>
        <v/>
      </c>
      <c r="AB406">
        <f>IF([2]Baskol!$L$409="","",[2]Baskol!$L$409)</f>
        <v/>
      </c>
      <c r="AC406">
        <f>IF([2]Baskol!$N$409="","",[2]Baskol!$N$409)</f>
        <v/>
      </c>
      <c r="AD406">
        <f>IF([2]Baskol!$O$409="","",[2]Baskol!$O$409)</f>
        <v/>
      </c>
      <c r="AE406">
        <f>IF([3]Entry!$C$409="","",[3]Entry!$C$409)</f>
        <v/>
      </c>
      <c r="AF406">
        <f>IF([3]Entry!$D$409="","",[3]Entry!$D$409)</f>
        <v/>
      </c>
      <c r="AG406">
        <f>IF([3]Entry!$E$409="","",[3]Entry!$E$409)</f>
        <v/>
      </c>
      <c r="AH406">
        <f>IF([3]Entry!$G$409="","",[3]Entry!$G$409)</f>
        <v/>
      </c>
      <c r="AI406">
        <f>IF([3]Entry!$K$409="","",[3]Entry!$K$409)</f>
        <v/>
      </c>
      <c r="AJ406">
        <f>IF([3]Entry!$L$409="","",[3]Entry!$L$409)</f>
        <v/>
      </c>
      <c r="AK406">
        <f>IF([3]Entry!$M$409="","",[3]Entry!$M$409)</f>
        <v/>
      </c>
      <c r="AL406">
        <f>IF([3]Entry!$N$409="","",[3]Entry!$N$409)</f>
        <v/>
      </c>
      <c r="AM406">
        <f>IF([3]Entry!$R$409="","",[3]Entry!$R$409)</f>
        <v/>
      </c>
    </row>
    <row r="407">
      <c r="A407">
        <f>IF([1]Accounts!$D$408="","",[1]Accounts!$A$408)</f>
        <v/>
      </c>
      <c r="B407">
        <f>IF([1]Accounts!$D$408="","",[1]Accounts!$B$408)</f>
        <v/>
      </c>
      <c r="C407">
        <f>IF([1]Accounts!$D$408="","",[1]Accounts!$C$408)</f>
        <v/>
      </c>
      <c r="D407">
        <f>IF([1]Accounts!$D$408="","",[1]Accounts!$D$408)</f>
        <v/>
      </c>
      <c r="E407">
        <f>IF([1]Accounts!$D$408="","",[1]Accounts!$E$408)</f>
        <v/>
      </c>
      <c r="F407">
        <f>IF([1]Accounts!$D$408="","",[1]Accounts!$F$408)</f>
        <v/>
      </c>
      <c r="G407">
        <f>IF([1]Accounts!$D$408="","",[1]Accounts!$G$408)</f>
        <v/>
      </c>
      <c r="T407">
        <f>IF([2]Baskol!$B$410="","",[2]Baskol!$B$410)</f>
        <v/>
      </c>
      <c r="U407">
        <f>IF([2]Baskol!$C$410="","",[2]Baskol!$C$410)</f>
        <v/>
      </c>
      <c r="V407">
        <f>IF([2]Baskol!$D$410="","",[2]Baskol!$D$410)</f>
        <v/>
      </c>
      <c r="W407">
        <f>IF([2]Baskol!$E$410="","",[2]Baskol!$E$410)</f>
        <v/>
      </c>
      <c r="X407">
        <f>IF([2]Baskol!$G$410="","",[2]Baskol!$G$410)</f>
        <v/>
      </c>
      <c r="Y407">
        <f>IF([2]Baskol!$I$410="","",[2]Baskol!$I$410)</f>
        <v/>
      </c>
      <c r="Z407">
        <f>IF([2]Baskol!$J$410="","",[2]Baskol!$J$410)</f>
        <v/>
      </c>
      <c r="AA407">
        <f>IF([2]Baskol!$K$410="","",[2]Baskol!$K$410)</f>
        <v/>
      </c>
      <c r="AB407">
        <f>IF([2]Baskol!$L$410="","",[2]Baskol!$L$410)</f>
        <v/>
      </c>
      <c r="AC407">
        <f>IF([2]Baskol!$N$410="","",[2]Baskol!$N$410)</f>
        <v/>
      </c>
      <c r="AD407">
        <f>IF([2]Baskol!$O$410="","",[2]Baskol!$O$410)</f>
        <v/>
      </c>
      <c r="AE407">
        <f>IF([3]Entry!$C$410="","",[3]Entry!$C$410)</f>
        <v/>
      </c>
      <c r="AF407">
        <f>IF([3]Entry!$D$410="","",[3]Entry!$D$410)</f>
        <v/>
      </c>
      <c r="AG407">
        <f>IF([3]Entry!$E$410="","",[3]Entry!$E$410)</f>
        <v/>
      </c>
      <c r="AH407">
        <f>IF([3]Entry!$G$410="","",[3]Entry!$G$410)</f>
        <v/>
      </c>
      <c r="AI407">
        <f>IF([3]Entry!$K$410="","",[3]Entry!$K$410)</f>
        <v/>
      </c>
      <c r="AJ407">
        <f>IF([3]Entry!$L$410="","",[3]Entry!$L$410)</f>
        <v/>
      </c>
      <c r="AK407">
        <f>IF([3]Entry!$M$410="","",[3]Entry!$M$410)</f>
        <v/>
      </c>
      <c r="AL407">
        <f>IF([3]Entry!$N$410="","",[3]Entry!$N$410)</f>
        <v/>
      </c>
      <c r="AM407">
        <f>IF([3]Entry!$R$410="","",[3]Entry!$R$410)</f>
        <v/>
      </c>
    </row>
    <row r="408">
      <c r="A408">
        <f>IF([1]Accounts!$D$409="","",[1]Accounts!$A$409)</f>
        <v/>
      </c>
      <c r="B408">
        <f>IF([1]Accounts!$D$409="","",[1]Accounts!$B$409)</f>
        <v/>
      </c>
      <c r="C408">
        <f>IF([1]Accounts!$D$409="","",[1]Accounts!$C$409)</f>
        <v/>
      </c>
      <c r="D408">
        <f>IF([1]Accounts!$D$409="","",[1]Accounts!$D$409)</f>
        <v/>
      </c>
      <c r="E408">
        <f>IF([1]Accounts!$D$409="","",[1]Accounts!$E$409)</f>
        <v/>
      </c>
      <c r="F408">
        <f>IF([1]Accounts!$D$409="","",[1]Accounts!$F$409)</f>
        <v/>
      </c>
      <c r="G408">
        <f>IF([1]Accounts!$D$409="","",[1]Accounts!$G$409)</f>
        <v/>
      </c>
      <c r="T408">
        <f>IF([2]Baskol!$B$411="","",[2]Baskol!$B$411)</f>
        <v/>
      </c>
      <c r="U408">
        <f>IF([2]Baskol!$C$411="","",[2]Baskol!$C$411)</f>
        <v/>
      </c>
      <c r="V408">
        <f>IF([2]Baskol!$D$411="","",[2]Baskol!$D$411)</f>
        <v/>
      </c>
      <c r="W408">
        <f>IF([2]Baskol!$E$411="","",[2]Baskol!$E$411)</f>
        <v/>
      </c>
      <c r="X408">
        <f>IF([2]Baskol!$G$411="","",[2]Baskol!$G$411)</f>
        <v/>
      </c>
      <c r="Y408">
        <f>IF([2]Baskol!$I$411="","",[2]Baskol!$I$411)</f>
        <v/>
      </c>
      <c r="Z408">
        <f>IF([2]Baskol!$J$411="","",[2]Baskol!$J$411)</f>
        <v/>
      </c>
      <c r="AA408">
        <f>IF([2]Baskol!$K$411="","",[2]Baskol!$K$411)</f>
        <v/>
      </c>
      <c r="AB408">
        <f>IF([2]Baskol!$L$411="","",[2]Baskol!$L$411)</f>
        <v/>
      </c>
      <c r="AC408">
        <f>IF([2]Baskol!$N$411="","",[2]Baskol!$N$411)</f>
        <v/>
      </c>
      <c r="AD408">
        <f>IF([2]Baskol!$O$411="","",[2]Baskol!$O$411)</f>
        <v/>
      </c>
      <c r="AE408">
        <f>IF([3]Entry!$C$411="","",[3]Entry!$C$411)</f>
        <v/>
      </c>
      <c r="AF408">
        <f>IF([3]Entry!$D$411="","",[3]Entry!$D$411)</f>
        <v/>
      </c>
      <c r="AG408">
        <f>IF([3]Entry!$E$411="","",[3]Entry!$E$411)</f>
        <v/>
      </c>
      <c r="AH408">
        <f>IF([3]Entry!$G$411="","",[3]Entry!$G$411)</f>
        <v/>
      </c>
      <c r="AI408">
        <f>IF([3]Entry!$K$411="","",[3]Entry!$K$411)</f>
        <v/>
      </c>
      <c r="AJ408">
        <f>IF([3]Entry!$L$411="","",[3]Entry!$L$411)</f>
        <v/>
      </c>
      <c r="AK408">
        <f>IF([3]Entry!$M$411="","",[3]Entry!$M$411)</f>
        <v/>
      </c>
      <c r="AL408">
        <f>IF([3]Entry!$N$411="","",[3]Entry!$N$411)</f>
        <v/>
      </c>
      <c r="AM408">
        <f>IF([3]Entry!$R$411="","",[3]Entry!$R$411)</f>
        <v/>
      </c>
    </row>
    <row r="409">
      <c r="A409">
        <f>IF([1]Accounts!$D$410="","",[1]Accounts!$A$410)</f>
        <v/>
      </c>
      <c r="B409">
        <f>IF([1]Accounts!$D$410="","",[1]Accounts!$B$410)</f>
        <v/>
      </c>
      <c r="C409">
        <f>IF([1]Accounts!$D$410="","",[1]Accounts!$C$410)</f>
        <v/>
      </c>
      <c r="D409">
        <f>IF([1]Accounts!$D$410="","",[1]Accounts!$D$410)</f>
        <v/>
      </c>
      <c r="E409">
        <f>IF([1]Accounts!$D$410="","",[1]Accounts!$E$410)</f>
        <v/>
      </c>
      <c r="F409">
        <f>IF([1]Accounts!$D$410="","",[1]Accounts!$F$410)</f>
        <v/>
      </c>
      <c r="G409">
        <f>IF([1]Accounts!$D$410="","",[1]Accounts!$G$410)</f>
        <v/>
      </c>
      <c r="T409">
        <f>IF([2]Baskol!$B$412="","",[2]Baskol!$B$412)</f>
        <v/>
      </c>
      <c r="U409">
        <f>IF([2]Baskol!$C$412="","",[2]Baskol!$C$412)</f>
        <v/>
      </c>
      <c r="V409">
        <f>IF([2]Baskol!$D$412="","",[2]Baskol!$D$412)</f>
        <v/>
      </c>
      <c r="W409">
        <f>IF([2]Baskol!$E$412="","",[2]Baskol!$E$412)</f>
        <v/>
      </c>
      <c r="X409">
        <f>IF([2]Baskol!$G$412="","",[2]Baskol!$G$412)</f>
        <v/>
      </c>
      <c r="Y409">
        <f>IF([2]Baskol!$I$412="","",[2]Baskol!$I$412)</f>
        <v/>
      </c>
      <c r="Z409">
        <f>IF([2]Baskol!$J$412="","",[2]Baskol!$J$412)</f>
        <v/>
      </c>
      <c r="AA409">
        <f>IF([2]Baskol!$K$412="","",[2]Baskol!$K$412)</f>
        <v/>
      </c>
      <c r="AB409">
        <f>IF([2]Baskol!$L$412="","",[2]Baskol!$L$412)</f>
        <v/>
      </c>
      <c r="AC409">
        <f>IF([2]Baskol!$N$412="","",[2]Baskol!$N$412)</f>
        <v/>
      </c>
      <c r="AD409">
        <f>IF([2]Baskol!$O$412="","",[2]Baskol!$O$412)</f>
        <v/>
      </c>
      <c r="AE409">
        <f>IF([3]Entry!$C$412="","",[3]Entry!$C$412)</f>
        <v/>
      </c>
      <c r="AF409">
        <f>IF([3]Entry!$D$412="","",[3]Entry!$D$412)</f>
        <v/>
      </c>
      <c r="AG409">
        <f>IF([3]Entry!$E$412="","",[3]Entry!$E$412)</f>
        <v/>
      </c>
      <c r="AH409">
        <f>IF([3]Entry!$G$412="","",[3]Entry!$G$412)</f>
        <v/>
      </c>
      <c r="AI409">
        <f>IF([3]Entry!$K$412="","",[3]Entry!$K$412)</f>
        <v/>
      </c>
      <c r="AJ409">
        <f>IF([3]Entry!$L$412="","",[3]Entry!$L$412)</f>
        <v/>
      </c>
      <c r="AK409">
        <f>IF([3]Entry!$M$412="","",[3]Entry!$M$412)</f>
        <v/>
      </c>
      <c r="AL409">
        <f>IF([3]Entry!$N$412="","",[3]Entry!$N$412)</f>
        <v/>
      </c>
      <c r="AM409">
        <f>IF([3]Entry!$R$412="","",[3]Entry!$R$412)</f>
        <v/>
      </c>
    </row>
    <row r="410">
      <c r="A410">
        <f>IF([1]Accounts!$D$411="","",[1]Accounts!$A$411)</f>
        <v/>
      </c>
      <c r="B410">
        <f>IF([1]Accounts!$D$411="","",[1]Accounts!$B$411)</f>
        <v/>
      </c>
      <c r="C410">
        <f>IF([1]Accounts!$D$411="","",[1]Accounts!$C$411)</f>
        <v/>
      </c>
      <c r="D410">
        <f>IF([1]Accounts!$D$411="","",[1]Accounts!$D$411)</f>
        <v/>
      </c>
      <c r="E410">
        <f>IF([1]Accounts!$D$411="","",[1]Accounts!$E$411)</f>
        <v/>
      </c>
      <c r="F410">
        <f>IF([1]Accounts!$D$411="","",[1]Accounts!$F$411)</f>
        <v/>
      </c>
      <c r="G410">
        <f>IF([1]Accounts!$D$411="","",[1]Accounts!$G$411)</f>
        <v/>
      </c>
      <c r="T410">
        <f>IF([2]Baskol!$B$413="","",[2]Baskol!$B$413)</f>
        <v/>
      </c>
      <c r="U410">
        <f>IF([2]Baskol!$C$413="","",[2]Baskol!$C$413)</f>
        <v/>
      </c>
      <c r="V410">
        <f>IF([2]Baskol!$D$413="","",[2]Baskol!$D$413)</f>
        <v/>
      </c>
      <c r="W410">
        <f>IF([2]Baskol!$E$413="","",[2]Baskol!$E$413)</f>
        <v/>
      </c>
      <c r="X410">
        <f>IF([2]Baskol!$G$413="","",[2]Baskol!$G$413)</f>
        <v/>
      </c>
      <c r="Y410">
        <f>IF([2]Baskol!$I$413="","",[2]Baskol!$I$413)</f>
        <v/>
      </c>
      <c r="Z410">
        <f>IF([2]Baskol!$J$413="","",[2]Baskol!$J$413)</f>
        <v/>
      </c>
      <c r="AA410">
        <f>IF([2]Baskol!$K$413="","",[2]Baskol!$K$413)</f>
        <v/>
      </c>
      <c r="AB410">
        <f>IF([2]Baskol!$L$413="","",[2]Baskol!$L$413)</f>
        <v/>
      </c>
      <c r="AC410">
        <f>IF([2]Baskol!$N$413="","",[2]Baskol!$N$413)</f>
        <v/>
      </c>
      <c r="AD410">
        <f>IF([2]Baskol!$O$413="","",[2]Baskol!$O$413)</f>
        <v/>
      </c>
      <c r="AE410">
        <f>IF([3]Entry!$C$413="","",[3]Entry!$C$413)</f>
        <v/>
      </c>
      <c r="AF410">
        <f>IF([3]Entry!$D$413="","",[3]Entry!$D$413)</f>
        <v/>
      </c>
      <c r="AG410">
        <f>IF([3]Entry!$E$413="","",[3]Entry!$E$413)</f>
        <v/>
      </c>
      <c r="AH410">
        <f>IF([3]Entry!$G$413="","",[3]Entry!$G$413)</f>
        <v/>
      </c>
      <c r="AI410">
        <f>IF([3]Entry!$K$413="","",[3]Entry!$K$413)</f>
        <v/>
      </c>
      <c r="AJ410">
        <f>IF([3]Entry!$L$413="","",[3]Entry!$L$413)</f>
        <v/>
      </c>
      <c r="AK410">
        <f>IF([3]Entry!$M$413="","",[3]Entry!$M$413)</f>
        <v/>
      </c>
      <c r="AL410">
        <f>IF([3]Entry!$N$413="","",[3]Entry!$N$413)</f>
        <v/>
      </c>
      <c r="AM410">
        <f>IF([3]Entry!$R$413="","",[3]Entry!$R$413)</f>
        <v/>
      </c>
    </row>
    <row r="411">
      <c r="A411">
        <f>IF([1]Accounts!$D$412="","",[1]Accounts!$A$412)</f>
        <v/>
      </c>
      <c r="B411">
        <f>IF([1]Accounts!$D$412="","",[1]Accounts!$B$412)</f>
        <v/>
      </c>
      <c r="C411">
        <f>IF([1]Accounts!$D$412="","",[1]Accounts!$C$412)</f>
        <v/>
      </c>
      <c r="D411">
        <f>IF([1]Accounts!$D$412="","",[1]Accounts!$D$412)</f>
        <v/>
      </c>
      <c r="E411">
        <f>IF([1]Accounts!$D$412="","",[1]Accounts!$E$412)</f>
        <v/>
      </c>
      <c r="F411">
        <f>IF([1]Accounts!$D$412="","",[1]Accounts!$F$412)</f>
        <v/>
      </c>
      <c r="G411">
        <f>IF([1]Accounts!$D$412="","",[1]Accounts!$G$412)</f>
        <v/>
      </c>
      <c r="T411">
        <f>IF([2]Baskol!$B$414="","",[2]Baskol!$B$414)</f>
        <v/>
      </c>
      <c r="U411">
        <f>IF([2]Baskol!$C$414="","",[2]Baskol!$C$414)</f>
        <v/>
      </c>
      <c r="V411">
        <f>IF([2]Baskol!$D$414="","",[2]Baskol!$D$414)</f>
        <v/>
      </c>
      <c r="W411">
        <f>IF([2]Baskol!$E$414="","",[2]Baskol!$E$414)</f>
        <v/>
      </c>
      <c r="X411">
        <f>IF([2]Baskol!$G$414="","",[2]Baskol!$G$414)</f>
        <v/>
      </c>
      <c r="Y411">
        <f>IF([2]Baskol!$I$414="","",[2]Baskol!$I$414)</f>
        <v/>
      </c>
      <c r="Z411">
        <f>IF([2]Baskol!$J$414="","",[2]Baskol!$J$414)</f>
        <v/>
      </c>
      <c r="AA411">
        <f>IF([2]Baskol!$K$414="","",[2]Baskol!$K$414)</f>
        <v/>
      </c>
      <c r="AB411">
        <f>IF([2]Baskol!$L$414="","",[2]Baskol!$L$414)</f>
        <v/>
      </c>
      <c r="AC411">
        <f>IF([2]Baskol!$N$414="","",[2]Baskol!$N$414)</f>
        <v/>
      </c>
      <c r="AD411">
        <f>IF([2]Baskol!$O$414="","",[2]Baskol!$O$414)</f>
        <v/>
      </c>
      <c r="AE411">
        <f>IF([3]Entry!$C$414="","",[3]Entry!$C$414)</f>
        <v/>
      </c>
      <c r="AF411">
        <f>IF([3]Entry!$D$414="","",[3]Entry!$D$414)</f>
        <v/>
      </c>
      <c r="AG411">
        <f>IF([3]Entry!$E$414="","",[3]Entry!$E$414)</f>
        <v/>
      </c>
      <c r="AH411">
        <f>IF([3]Entry!$G$414="","",[3]Entry!$G$414)</f>
        <v/>
      </c>
      <c r="AI411">
        <f>IF([3]Entry!$K$414="","",[3]Entry!$K$414)</f>
        <v/>
      </c>
      <c r="AJ411">
        <f>IF([3]Entry!$L$414="","",[3]Entry!$L$414)</f>
        <v/>
      </c>
      <c r="AK411">
        <f>IF([3]Entry!$M$414="","",[3]Entry!$M$414)</f>
        <v/>
      </c>
      <c r="AL411">
        <f>IF([3]Entry!$N$414="","",[3]Entry!$N$414)</f>
        <v/>
      </c>
      <c r="AM411">
        <f>IF([3]Entry!$R$414="","",[3]Entry!$R$414)</f>
        <v/>
      </c>
    </row>
    <row r="412">
      <c r="A412">
        <f>IF([1]Accounts!$D$413="","",[1]Accounts!$A$413)</f>
        <v/>
      </c>
      <c r="B412">
        <f>IF([1]Accounts!$D$413="","",[1]Accounts!$B$413)</f>
        <v/>
      </c>
      <c r="C412">
        <f>IF([1]Accounts!$D$413="","",[1]Accounts!$C$413)</f>
        <v/>
      </c>
      <c r="D412">
        <f>IF([1]Accounts!$D$413="","",[1]Accounts!$D$413)</f>
        <v/>
      </c>
      <c r="E412">
        <f>IF([1]Accounts!$D$413="","",[1]Accounts!$E$413)</f>
        <v/>
      </c>
      <c r="F412">
        <f>IF([1]Accounts!$D$413="","",[1]Accounts!$F$413)</f>
        <v/>
      </c>
      <c r="G412">
        <f>IF([1]Accounts!$D$413="","",[1]Accounts!$G$413)</f>
        <v/>
      </c>
      <c r="T412">
        <f>IF([2]Baskol!$B$415="","",[2]Baskol!$B$415)</f>
        <v/>
      </c>
      <c r="U412">
        <f>IF([2]Baskol!$C$415="","",[2]Baskol!$C$415)</f>
        <v/>
      </c>
      <c r="V412">
        <f>IF([2]Baskol!$D$415="","",[2]Baskol!$D$415)</f>
        <v/>
      </c>
      <c r="W412">
        <f>IF([2]Baskol!$E$415="","",[2]Baskol!$E$415)</f>
        <v/>
      </c>
      <c r="X412">
        <f>IF([2]Baskol!$G$415="","",[2]Baskol!$G$415)</f>
        <v/>
      </c>
      <c r="Y412">
        <f>IF([2]Baskol!$I$415="","",[2]Baskol!$I$415)</f>
        <v/>
      </c>
      <c r="Z412">
        <f>IF([2]Baskol!$J$415="","",[2]Baskol!$J$415)</f>
        <v/>
      </c>
      <c r="AA412">
        <f>IF([2]Baskol!$K$415="","",[2]Baskol!$K$415)</f>
        <v/>
      </c>
      <c r="AB412">
        <f>IF([2]Baskol!$L$415="","",[2]Baskol!$L$415)</f>
        <v/>
      </c>
      <c r="AC412">
        <f>IF([2]Baskol!$N$415="","",[2]Baskol!$N$415)</f>
        <v/>
      </c>
      <c r="AD412">
        <f>IF([2]Baskol!$O$415="","",[2]Baskol!$O$415)</f>
        <v/>
      </c>
      <c r="AE412">
        <f>IF([3]Entry!$C$415="","",[3]Entry!$C$415)</f>
        <v/>
      </c>
      <c r="AF412">
        <f>IF([3]Entry!$D$415="","",[3]Entry!$D$415)</f>
        <v/>
      </c>
      <c r="AG412">
        <f>IF([3]Entry!$E$415="","",[3]Entry!$E$415)</f>
        <v/>
      </c>
      <c r="AH412">
        <f>IF([3]Entry!$G$415="","",[3]Entry!$G$415)</f>
        <v/>
      </c>
      <c r="AI412">
        <f>IF([3]Entry!$K$415="","",[3]Entry!$K$415)</f>
        <v/>
      </c>
      <c r="AJ412">
        <f>IF([3]Entry!$L$415="","",[3]Entry!$L$415)</f>
        <v/>
      </c>
      <c r="AK412">
        <f>IF([3]Entry!$M$415="","",[3]Entry!$M$415)</f>
        <v/>
      </c>
      <c r="AL412">
        <f>IF([3]Entry!$N$415="","",[3]Entry!$N$415)</f>
        <v/>
      </c>
      <c r="AM412">
        <f>IF([3]Entry!$R$415="","",[3]Entry!$R$415)</f>
        <v/>
      </c>
    </row>
    <row r="413">
      <c r="A413">
        <f>IF([1]Accounts!$D$414="","",[1]Accounts!$A$414)</f>
        <v/>
      </c>
      <c r="B413">
        <f>IF([1]Accounts!$D$414="","",[1]Accounts!$B$414)</f>
        <v/>
      </c>
      <c r="C413">
        <f>IF([1]Accounts!$D$414="","",[1]Accounts!$C$414)</f>
        <v/>
      </c>
      <c r="D413">
        <f>IF([1]Accounts!$D$414="","",[1]Accounts!$D$414)</f>
        <v/>
      </c>
      <c r="E413">
        <f>IF([1]Accounts!$D$414="","",[1]Accounts!$E$414)</f>
        <v/>
      </c>
      <c r="F413">
        <f>IF([1]Accounts!$D$414="","",[1]Accounts!$F$414)</f>
        <v/>
      </c>
      <c r="G413">
        <f>IF([1]Accounts!$D$414="","",[1]Accounts!$G$414)</f>
        <v/>
      </c>
      <c r="T413">
        <f>IF([2]Baskol!$B$416="","",[2]Baskol!$B$416)</f>
        <v/>
      </c>
      <c r="U413">
        <f>IF([2]Baskol!$C$416="","",[2]Baskol!$C$416)</f>
        <v/>
      </c>
      <c r="V413">
        <f>IF([2]Baskol!$D$416="","",[2]Baskol!$D$416)</f>
        <v/>
      </c>
      <c r="W413">
        <f>IF([2]Baskol!$E$416="","",[2]Baskol!$E$416)</f>
        <v/>
      </c>
      <c r="X413">
        <f>IF([2]Baskol!$G$416="","",[2]Baskol!$G$416)</f>
        <v/>
      </c>
      <c r="Y413">
        <f>IF([2]Baskol!$I$416="","",[2]Baskol!$I$416)</f>
        <v/>
      </c>
      <c r="Z413">
        <f>IF([2]Baskol!$J$416="","",[2]Baskol!$J$416)</f>
        <v/>
      </c>
      <c r="AA413">
        <f>IF([2]Baskol!$K$416="","",[2]Baskol!$K$416)</f>
        <v/>
      </c>
      <c r="AB413">
        <f>IF([2]Baskol!$L$416="","",[2]Baskol!$L$416)</f>
        <v/>
      </c>
      <c r="AC413">
        <f>IF([2]Baskol!$N$416="","",[2]Baskol!$N$416)</f>
        <v/>
      </c>
      <c r="AD413">
        <f>IF([2]Baskol!$O$416="","",[2]Baskol!$O$416)</f>
        <v/>
      </c>
      <c r="AE413">
        <f>IF([3]Entry!$C$416="","",[3]Entry!$C$416)</f>
        <v/>
      </c>
      <c r="AF413">
        <f>IF([3]Entry!$D$416="","",[3]Entry!$D$416)</f>
        <v/>
      </c>
      <c r="AG413">
        <f>IF([3]Entry!$E$416="","",[3]Entry!$E$416)</f>
        <v/>
      </c>
      <c r="AH413">
        <f>IF([3]Entry!$G$416="","",[3]Entry!$G$416)</f>
        <v/>
      </c>
      <c r="AI413">
        <f>IF([3]Entry!$K$416="","",[3]Entry!$K$416)</f>
        <v/>
      </c>
      <c r="AJ413">
        <f>IF([3]Entry!$L$416="","",[3]Entry!$L$416)</f>
        <v/>
      </c>
      <c r="AK413">
        <f>IF([3]Entry!$M$416="","",[3]Entry!$M$416)</f>
        <v/>
      </c>
      <c r="AL413">
        <f>IF([3]Entry!$N$416="","",[3]Entry!$N$416)</f>
        <v/>
      </c>
      <c r="AM413">
        <f>IF([3]Entry!$R$416="","",[3]Entry!$R$416)</f>
        <v/>
      </c>
    </row>
    <row r="414">
      <c r="A414">
        <f>IF([1]Accounts!$D$415="","",[1]Accounts!$A$415)</f>
        <v/>
      </c>
      <c r="B414">
        <f>IF([1]Accounts!$D$415="","",[1]Accounts!$B$415)</f>
        <v/>
      </c>
      <c r="C414">
        <f>IF([1]Accounts!$D$415="","",[1]Accounts!$C$415)</f>
        <v/>
      </c>
      <c r="D414">
        <f>IF([1]Accounts!$D$415="","",[1]Accounts!$D$415)</f>
        <v/>
      </c>
      <c r="E414">
        <f>IF([1]Accounts!$D$415="","",[1]Accounts!$E$415)</f>
        <v/>
      </c>
      <c r="F414">
        <f>IF([1]Accounts!$D$415="","",[1]Accounts!$F$415)</f>
        <v/>
      </c>
      <c r="G414">
        <f>IF([1]Accounts!$D$415="","",[1]Accounts!$G$415)</f>
        <v/>
      </c>
      <c r="T414">
        <f>IF([2]Baskol!$B$417="","",[2]Baskol!$B$417)</f>
        <v/>
      </c>
      <c r="U414">
        <f>IF([2]Baskol!$C$417="","",[2]Baskol!$C$417)</f>
        <v/>
      </c>
      <c r="V414">
        <f>IF([2]Baskol!$D$417="","",[2]Baskol!$D$417)</f>
        <v/>
      </c>
      <c r="W414">
        <f>IF([2]Baskol!$E$417="","",[2]Baskol!$E$417)</f>
        <v/>
      </c>
      <c r="X414">
        <f>IF([2]Baskol!$G$417="","",[2]Baskol!$G$417)</f>
        <v/>
      </c>
      <c r="Y414">
        <f>IF([2]Baskol!$I$417="","",[2]Baskol!$I$417)</f>
        <v/>
      </c>
      <c r="Z414">
        <f>IF([2]Baskol!$J$417="","",[2]Baskol!$J$417)</f>
        <v/>
      </c>
      <c r="AA414">
        <f>IF([2]Baskol!$K$417="","",[2]Baskol!$K$417)</f>
        <v/>
      </c>
      <c r="AB414">
        <f>IF([2]Baskol!$L$417="","",[2]Baskol!$L$417)</f>
        <v/>
      </c>
      <c r="AC414">
        <f>IF([2]Baskol!$N$417="","",[2]Baskol!$N$417)</f>
        <v/>
      </c>
      <c r="AD414">
        <f>IF([2]Baskol!$O$417="","",[2]Baskol!$O$417)</f>
        <v/>
      </c>
      <c r="AE414">
        <f>IF([3]Entry!$C$417="","",[3]Entry!$C$417)</f>
        <v/>
      </c>
      <c r="AF414">
        <f>IF([3]Entry!$D$417="","",[3]Entry!$D$417)</f>
        <v/>
      </c>
      <c r="AG414">
        <f>IF([3]Entry!$E$417="","",[3]Entry!$E$417)</f>
        <v/>
      </c>
      <c r="AH414">
        <f>IF([3]Entry!$G$417="","",[3]Entry!$G$417)</f>
        <v/>
      </c>
      <c r="AI414">
        <f>IF([3]Entry!$K$417="","",[3]Entry!$K$417)</f>
        <v/>
      </c>
      <c r="AJ414">
        <f>IF([3]Entry!$L$417="","",[3]Entry!$L$417)</f>
        <v/>
      </c>
      <c r="AK414">
        <f>IF([3]Entry!$M$417="","",[3]Entry!$M$417)</f>
        <v/>
      </c>
      <c r="AL414">
        <f>IF([3]Entry!$N$417="","",[3]Entry!$N$417)</f>
        <v/>
      </c>
      <c r="AM414">
        <f>IF([3]Entry!$R$417="","",[3]Entry!$R$417)</f>
        <v/>
      </c>
    </row>
    <row r="415">
      <c r="A415">
        <f>IF([1]Accounts!$D$416="","",[1]Accounts!$A$416)</f>
        <v/>
      </c>
      <c r="B415">
        <f>IF([1]Accounts!$D$416="","",[1]Accounts!$B$416)</f>
        <v/>
      </c>
      <c r="C415">
        <f>IF([1]Accounts!$D$416="","",[1]Accounts!$C$416)</f>
        <v/>
      </c>
      <c r="D415">
        <f>IF([1]Accounts!$D$416="","",[1]Accounts!$D$416)</f>
        <v/>
      </c>
      <c r="E415">
        <f>IF([1]Accounts!$D$416="","",[1]Accounts!$E$416)</f>
        <v/>
      </c>
      <c r="F415">
        <f>IF([1]Accounts!$D$416="","",[1]Accounts!$F$416)</f>
        <v/>
      </c>
      <c r="G415">
        <f>IF([1]Accounts!$D$416="","",[1]Accounts!$G$416)</f>
        <v/>
      </c>
      <c r="T415">
        <f>IF([2]Baskol!$B$418="","",[2]Baskol!$B$418)</f>
        <v/>
      </c>
      <c r="U415">
        <f>IF([2]Baskol!$C$418="","",[2]Baskol!$C$418)</f>
        <v/>
      </c>
      <c r="V415">
        <f>IF([2]Baskol!$D$418="","",[2]Baskol!$D$418)</f>
        <v/>
      </c>
      <c r="W415">
        <f>IF([2]Baskol!$E$418="","",[2]Baskol!$E$418)</f>
        <v/>
      </c>
      <c r="X415">
        <f>IF([2]Baskol!$G$418="","",[2]Baskol!$G$418)</f>
        <v/>
      </c>
      <c r="Y415">
        <f>IF([2]Baskol!$I$418="","",[2]Baskol!$I$418)</f>
        <v/>
      </c>
      <c r="Z415">
        <f>IF([2]Baskol!$J$418="","",[2]Baskol!$J$418)</f>
        <v/>
      </c>
      <c r="AA415">
        <f>IF([2]Baskol!$K$418="","",[2]Baskol!$K$418)</f>
        <v/>
      </c>
      <c r="AB415">
        <f>IF([2]Baskol!$L$418="","",[2]Baskol!$L$418)</f>
        <v/>
      </c>
      <c r="AC415">
        <f>IF([2]Baskol!$N$418="","",[2]Baskol!$N$418)</f>
        <v/>
      </c>
      <c r="AD415">
        <f>IF([2]Baskol!$O$418="","",[2]Baskol!$O$418)</f>
        <v/>
      </c>
      <c r="AE415">
        <f>IF([3]Entry!$C$418="","",[3]Entry!$C$418)</f>
        <v/>
      </c>
      <c r="AF415">
        <f>IF([3]Entry!$D$418="","",[3]Entry!$D$418)</f>
        <v/>
      </c>
      <c r="AG415">
        <f>IF([3]Entry!$E$418="","",[3]Entry!$E$418)</f>
        <v/>
      </c>
      <c r="AH415">
        <f>IF([3]Entry!$G$418="","",[3]Entry!$G$418)</f>
        <v/>
      </c>
      <c r="AI415">
        <f>IF([3]Entry!$K$418="","",[3]Entry!$K$418)</f>
        <v/>
      </c>
      <c r="AJ415">
        <f>IF([3]Entry!$L$418="","",[3]Entry!$L$418)</f>
        <v/>
      </c>
      <c r="AK415">
        <f>IF([3]Entry!$M$418="","",[3]Entry!$M$418)</f>
        <v/>
      </c>
      <c r="AL415">
        <f>IF([3]Entry!$N$418="","",[3]Entry!$N$418)</f>
        <v/>
      </c>
      <c r="AM415">
        <f>IF([3]Entry!$R$418="","",[3]Entry!$R$418)</f>
        <v/>
      </c>
    </row>
    <row r="416">
      <c r="A416">
        <f>IF([1]Accounts!$D$417="","",[1]Accounts!$A$417)</f>
        <v/>
      </c>
      <c r="B416">
        <f>IF([1]Accounts!$D$417="","",[1]Accounts!$B$417)</f>
        <v/>
      </c>
      <c r="C416">
        <f>IF([1]Accounts!$D$417="","",[1]Accounts!$C$417)</f>
        <v/>
      </c>
      <c r="D416">
        <f>IF([1]Accounts!$D$417="","",[1]Accounts!$D$417)</f>
        <v/>
      </c>
      <c r="E416">
        <f>IF([1]Accounts!$D$417="","",[1]Accounts!$E$417)</f>
        <v/>
      </c>
      <c r="F416">
        <f>IF([1]Accounts!$D$417="","",[1]Accounts!$F$417)</f>
        <v/>
      </c>
      <c r="G416">
        <f>IF([1]Accounts!$D$417="","",[1]Accounts!$G$417)</f>
        <v/>
      </c>
      <c r="T416">
        <f>IF([2]Baskol!$B$419="","",[2]Baskol!$B$419)</f>
        <v/>
      </c>
      <c r="U416">
        <f>IF([2]Baskol!$C$419="","",[2]Baskol!$C$419)</f>
        <v/>
      </c>
      <c r="V416">
        <f>IF([2]Baskol!$D$419="","",[2]Baskol!$D$419)</f>
        <v/>
      </c>
      <c r="W416">
        <f>IF([2]Baskol!$E$419="","",[2]Baskol!$E$419)</f>
        <v/>
      </c>
      <c r="X416">
        <f>IF([2]Baskol!$G$419="","",[2]Baskol!$G$419)</f>
        <v/>
      </c>
      <c r="Y416">
        <f>IF([2]Baskol!$I$419="","",[2]Baskol!$I$419)</f>
        <v/>
      </c>
      <c r="Z416">
        <f>IF([2]Baskol!$J$419="","",[2]Baskol!$J$419)</f>
        <v/>
      </c>
      <c r="AA416">
        <f>IF([2]Baskol!$K$419="","",[2]Baskol!$K$419)</f>
        <v/>
      </c>
      <c r="AB416">
        <f>IF([2]Baskol!$L$419="","",[2]Baskol!$L$419)</f>
        <v/>
      </c>
      <c r="AC416">
        <f>IF([2]Baskol!$N$419="","",[2]Baskol!$N$419)</f>
        <v/>
      </c>
      <c r="AD416">
        <f>IF([2]Baskol!$O$419="","",[2]Baskol!$O$419)</f>
        <v/>
      </c>
      <c r="AE416">
        <f>IF([3]Entry!$C$419="","",[3]Entry!$C$419)</f>
        <v/>
      </c>
      <c r="AF416">
        <f>IF([3]Entry!$D$419="","",[3]Entry!$D$419)</f>
        <v/>
      </c>
      <c r="AG416">
        <f>IF([3]Entry!$E$419="","",[3]Entry!$E$419)</f>
        <v/>
      </c>
      <c r="AH416">
        <f>IF([3]Entry!$G$419="","",[3]Entry!$G$419)</f>
        <v/>
      </c>
      <c r="AI416">
        <f>IF([3]Entry!$K$419="","",[3]Entry!$K$419)</f>
        <v/>
      </c>
      <c r="AJ416">
        <f>IF([3]Entry!$L$419="","",[3]Entry!$L$419)</f>
        <v/>
      </c>
      <c r="AK416">
        <f>IF([3]Entry!$M$419="","",[3]Entry!$M$419)</f>
        <v/>
      </c>
      <c r="AL416">
        <f>IF([3]Entry!$N$419="","",[3]Entry!$N$419)</f>
        <v/>
      </c>
      <c r="AM416">
        <f>IF([3]Entry!$R$419="","",[3]Entry!$R$419)</f>
        <v/>
      </c>
    </row>
    <row r="417">
      <c r="A417">
        <f>IF([1]Accounts!$D$418="","",[1]Accounts!$A$418)</f>
        <v/>
      </c>
      <c r="B417">
        <f>IF([1]Accounts!$D$418="","",[1]Accounts!$B$418)</f>
        <v/>
      </c>
      <c r="C417">
        <f>IF([1]Accounts!$D$418="","",[1]Accounts!$C$418)</f>
        <v/>
      </c>
      <c r="D417">
        <f>IF([1]Accounts!$D$418="","",[1]Accounts!$D$418)</f>
        <v/>
      </c>
      <c r="E417">
        <f>IF([1]Accounts!$D$418="","",[1]Accounts!$E$418)</f>
        <v/>
      </c>
      <c r="F417">
        <f>IF([1]Accounts!$D$418="","",[1]Accounts!$F$418)</f>
        <v/>
      </c>
      <c r="G417">
        <f>IF([1]Accounts!$D$418="","",[1]Accounts!$G$418)</f>
        <v/>
      </c>
      <c r="T417">
        <f>IF([2]Baskol!$B$420="","",[2]Baskol!$B$420)</f>
        <v/>
      </c>
      <c r="U417">
        <f>IF([2]Baskol!$C$420="","",[2]Baskol!$C$420)</f>
        <v/>
      </c>
      <c r="V417">
        <f>IF([2]Baskol!$D$420="","",[2]Baskol!$D$420)</f>
        <v/>
      </c>
      <c r="W417">
        <f>IF([2]Baskol!$E$420="","",[2]Baskol!$E$420)</f>
        <v/>
      </c>
      <c r="X417">
        <f>IF([2]Baskol!$G$420="","",[2]Baskol!$G$420)</f>
        <v/>
      </c>
      <c r="Y417">
        <f>IF([2]Baskol!$I$420="","",[2]Baskol!$I$420)</f>
        <v/>
      </c>
      <c r="Z417">
        <f>IF([2]Baskol!$J$420="","",[2]Baskol!$J$420)</f>
        <v/>
      </c>
      <c r="AA417">
        <f>IF([2]Baskol!$K$420="","",[2]Baskol!$K$420)</f>
        <v/>
      </c>
      <c r="AB417">
        <f>IF([2]Baskol!$L$420="","",[2]Baskol!$L$420)</f>
        <v/>
      </c>
      <c r="AC417">
        <f>IF([2]Baskol!$N$420="","",[2]Baskol!$N$420)</f>
        <v/>
      </c>
      <c r="AD417">
        <f>IF([2]Baskol!$O$420="","",[2]Baskol!$O$420)</f>
        <v/>
      </c>
      <c r="AE417">
        <f>IF([3]Entry!$C$420="","",[3]Entry!$C$420)</f>
        <v/>
      </c>
      <c r="AF417">
        <f>IF([3]Entry!$D$420="","",[3]Entry!$D$420)</f>
        <v/>
      </c>
      <c r="AG417">
        <f>IF([3]Entry!$E$420="","",[3]Entry!$E$420)</f>
        <v/>
      </c>
      <c r="AH417">
        <f>IF([3]Entry!$G$420="","",[3]Entry!$G$420)</f>
        <v/>
      </c>
      <c r="AI417">
        <f>IF([3]Entry!$K$420="","",[3]Entry!$K$420)</f>
        <v/>
      </c>
      <c r="AJ417">
        <f>IF([3]Entry!$L$420="","",[3]Entry!$L$420)</f>
        <v/>
      </c>
      <c r="AK417">
        <f>IF([3]Entry!$M$420="","",[3]Entry!$M$420)</f>
        <v/>
      </c>
      <c r="AL417">
        <f>IF([3]Entry!$N$420="","",[3]Entry!$N$420)</f>
        <v/>
      </c>
      <c r="AM417">
        <f>IF([3]Entry!$R$420="","",[3]Entry!$R$420)</f>
        <v/>
      </c>
    </row>
    <row r="418">
      <c r="A418">
        <f>IF([1]Accounts!$D$419="","",[1]Accounts!$A$419)</f>
        <v/>
      </c>
      <c r="B418">
        <f>IF([1]Accounts!$D$419="","",[1]Accounts!$B$419)</f>
        <v/>
      </c>
      <c r="C418">
        <f>IF([1]Accounts!$D$419="","",[1]Accounts!$C$419)</f>
        <v/>
      </c>
      <c r="D418">
        <f>IF([1]Accounts!$D$419="","",[1]Accounts!$D$419)</f>
        <v/>
      </c>
      <c r="E418">
        <f>IF([1]Accounts!$D$419="","",[1]Accounts!$E$419)</f>
        <v/>
      </c>
      <c r="F418">
        <f>IF([1]Accounts!$D$419="","",[1]Accounts!$F$419)</f>
        <v/>
      </c>
      <c r="G418">
        <f>IF([1]Accounts!$D$419="","",[1]Accounts!$G$419)</f>
        <v/>
      </c>
      <c r="T418">
        <f>IF([2]Baskol!$B$421="","",[2]Baskol!$B$421)</f>
        <v/>
      </c>
      <c r="U418">
        <f>IF([2]Baskol!$C$421="","",[2]Baskol!$C$421)</f>
        <v/>
      </c>
      <c r="V418">
        <f>IF([2]Baskol!$D$421="","",[2]Baskol!$D$421)</f>
        <v/>
      </c>
      <c r="W418">
        <f>IF([2]Baskol!$E$421="","",[2]Baskol!$E$421)</f>
        <v/>
      </c>
      <c r="X418">
        <f>IF([2]Baskol!$G$421="","",[2]Baskol!$G$421)</f>
        <v/>
      </c>
      <c r="Y418">
        <f>IF([2]Baskol!$I$421="","",[2]Baskol!$I$421)</f>
        <v/>
      </c>
      <c r="Z418">
        <f>IF([2]Baskol!$J$421="","",[2]Baskol!$J$421)</f>
        <v/>
      </c>
      <c r="AA418">
        <f>IF([2]Baskol!$K$421="","",[2]Baskol!$K$421)</f>
        <v/>
      </c>
      <c r="AB418">
        <f>IF([2]Baskol!$L$421="","",[2]Baskol!$L$421)</f>
        <v/>
      </c>
      <c r="AC418">
        <f>IF([2]Baskol!$N$421="","",[2]Baskol!$N$421)</f>
        <v/>
      </c>
      <c r="AD418">
        <f>IF([2]Baskol!$O$421="","",[2]Baskol!$O$421)</f>
        <v/>
      </c>
      <c r="AE418">
        <f>IF([3]Entry!$C$421="","",[3]Entry!$C$421)</f>
        <v/>
      </c>
      <c r="AF418">
        <f>IF([3]Entry!$D$421="","",[3]Entry!$D$421)</f>
        <v/>
      </c>
      <c r="AG418">
        <f>IF([3]Entry!$E$421="","",[3]Entry!$E$421)</f>
        <v/>
      </c>
      <c r="AH418">
        <f>IF([3]Entry!$G$421="","",[3]Entry!$G$421)</f>
        <v/>
      </c>
      <c r="AI418">
        <f>IF([3]Entry!$K$421="","",[3]Entry!$K$421)</f>
        <v/>
      </c>
      <c r="AJ418">
        <f>IF([3]Entry!$L$421="","",[3]Entry!$L$421)</f>
        <v/>
      </c>
      <c r="AK418">
        <f>IF([3]Entry!$M$421="","",[3]Entry!$M$421)</f>
        <v/>
      </c>
      <c r="AL418">
        <f>IF([3]Entry!$N$421="","",[3]Entry!$N$421)</f>
        <v/>
      </c>
      <c r="AM418">
        <f>IF([3]Entry!$R$421="","",[3]Entry!$R$421)</f>
        <v/>
      </c>
    </row>
    <row r="419">
      <c r="A419">
        <f>IF([1]Accounts!$D$420="","",[1]Accounts!$A$420)</f>
        <v/>
      </c>
      <c r="B419">
        <f>IF([1]Accounts!$D$420="","",[1]Accounts!$B$420)</f>
        <v/>
      </c>
      <c r="C419">
        <f>IF([1]Accounts!$D$420="","",[1]Accounts!$C$420)</f>
        <v/>
      </c>
      <c r="D419">
        <f>IF([1]Accounts!$D$420="","",[1]Accounts!$D$420)</f>
        <v/>
      </c>
      <c r="E419">
        <f>IF([1]Accounts!$D$420="","",[1]Accounts!$E$420)</f>
        <v/>
      </c>
      <c r="F419">
        <f>IF([1]Accounts!$D$420="","",[1]Accounts!$F$420)</f>
        <v/>
      </c>
      <c r="G419">
        <f>IF([1]Accounts!$D$420="","",[1]Accounts!$G$420)</f>
        <v/>
      </c>
      <c r="T419">
        <f>IF([2]Baskol!$B$422="","",[2]Baskol!$B$422)</f>
        <v/>
      </c>
      <c r="U419">
        <f>IF([2]Baskol!$C$422="","",[2]Baskol!$C$422)</f>
        <v/>
      </c>
      <c r="V419">
        <f>IF([2]Baskol!$D$422="","",[2]Baskol!$D$422)</f>
        <v/>
      </c>
      <c r="W419">
        <f>IF([2]Baskol!$E$422="","",[2]Baskol!$E$422)</f>
        <v/>
      </c>
      <c r="X419">
        <f>IF([2]Baskol!$G$422="","",[2]Baskol!$G$422)</f>
        <v/>
      </c>
      <c r="Y419">
        <f>IF([2]Baskol!$I$422="","",[2]Baskol!$I$422)</f>
        <v/>
      </c>
      <c r="Z419">
        <f>IF([2]Baskol!$J$422="","",[2]Baskol!$J$422)</f>
        <v/>
      </c>
      <c r="AA419">
        <f>IF([2]Baskol!$K$422="","",[2]Baskol!$K$422)</f>
        <v/>
      </c>
      <c r="AB419">
        <f>IF([2]Baskol!$L$422="","",[2]Baskol!$L$422)</f>
        <v/>
      </c>
      <c r="AC419">
        <f>IF([2]Baskol!$N$422="","",[2]Baskol!$N$422)</f>
        <v/>
      </c>
      <c r="AD419">
        <f>IF([2]Baskol!$O$422="","",[2]Baskol!$O$422)</f>
        <v/>
      </c>
      <c r="AE419">
        <f>IF([3]Entry!$C$422="","",[3]Entry!$C$422)</f>
        <v/>
      </c>
      <c r="AF419">
        <f>IF([3]Entry!$D$422="","",[3]Entry!$D$422)</f>
        <v/>
      </c>
      <c r="AG419">
        <f>IF([3]Entry!$E$422="","",[3]Entry!$E$422)</f>
        <v/>
      </c>
      <c r="AH419">
        <f>IF([3]Entry!$G$422="","",[3]Entry!$G$422)</f>
        <v/>
      </c>
      <c r="AI419">
        <f>IF([3]Entry!$K$422="","",[3]Entry!$K$422)</f>
        <v/>
      </c>
      <c r="AJ419">
        <f>IF([3]Entry!$L$422="","",[3]Entry!$L$422)</f>
        <v/>
      </c>
      <c r="AK419">
        <f>IF([3]Entry!$M$422="","",[3]Entry!$M$422)</f>
        <v/>
      </c>
      <c r="AL419">
        <f>IF([3]Entry!$N$422="","",[3]Entry!$N$422)</f>
        <v/>
      </c>
      <c r="AM419">
        <f>IF([3]Entry!$R$422="","",[3]Entry!$R$422)</f>
        <v/>
      </c>
    </row>
    <row r="420">
      <c r="A420">
        <f>IF([1]Accounts!$D$421="","",[1]Accounts!$A$421)</f>
        <v/>
      </c>
      <c r="B420">
        <f>IF([1]Accounts!$D$421="","",[1]Accounts!$B$421)</f>
        <v/>
      </c>
      <c r="C420">
        <f>IF([1]Accounts!$D$421="","",[1]Accounts!$C$421)</f>
        <v/>
      </c>
      <c r="D420">
        <f>IF([1]Accounts!$D$421="","",[1]Accounts!$D$421)</f>
        <v/>
      </c>
      <c r="E420">
        <f>IF([1]Accounts!$D$421="","",[1]Accounts!$E$421)</f>
        <v/>
      </c>
      <c r="F420">
        <f>IF([1]Accounts!$D$421="","",[1]Accounts!$F$421)</f>
        <v/>
      </c>
      <c r="G420">
        <f>IF([1]Accounts!$D$421="","",[1]Accounts!$G$421)</f>
        <v/>
      </c>
      <c r="T420">
        <f>IF([2]Baskol!$B$423="","",[2]Baskol!$B$423)</f>
        <v/>
      </c>
      <c r="U420">
        <f>IF([2]Baskol!$C$423="","",[2]Baskol!$C$423)</f>
        <v/>
      </c>
      <c r="V420">
        <f>IF([2]Baskol!$D$423="","",[2]Baskol!$D$423)</f>
        <v/>
      </c>
      <c r="W420">
        <f>IF([2]Baskol!$E$423="","",[2]Baskol!$E$423)</f>
        <v/>
      </c>
      <c r="X420">
        <f>IF([2]Baskol!$G$423="","",[2]Baskol!$G$423)</f>
        <v/>
      </c>
      <c r="Y420">
        <f>IF([2]Baskol!$I$423="","",[2]Baskol!$I$423)</f>
        <v/>
      </c>
      <c r="Z420">
        <f>IF([2]Baskol!$J$423="","",[2]Baskol!$J$423)</f>
        <v/>
      </c>
      <c r="AA420">
        <f>IF([2]Baskol!$K$423="","",[2]Baskol!$K$423)</f>
        <v/>
      </c>
      <c r="AB420">
        <f>IF([2]Baskol!$L$423="","",[2]Baskol!$L$423)</f>
        <v/>
      </c>
      <c r="AC420">
        <f>IF([2]Baskol!$N$423="","",[2]Baskol!$N$423)</f>
        <v/>
      </c>
      <c r="AD420">
        <f>IF([2]Baskol!$O$423="","",[2]Baskol!$O$423)</f>
        <v/>
      </c>
      <c r="AE420">
        <f>IF([3]Entry!$C$423="","",[3]Entry!$C$423)</f>
        <v/>
      </c>
      <c r="AF420">
        <f>IF([3]Entry!$D$423="","",[3]Entry!$D$423)</f>
        <v/>
      </c>
      <c r="AG420">
        <f>IF([3]Entry!$E$423="","",[3]Entry!$E$423)</f>
        <v/>
      </c>
      <c r="AH420">
        <f>IF([3]Entry!$G$423="","",[3]Entry!$G$423)</f>
        <v/>
      </c>
      <c r="AI420">
        <f>IF([3]Entry!$K$423="","",[3]Entry!$K$423)</f>
        <v/>
      </c>
      <c r="AJ420">
        <f>IF([3]Entry!$L$423="","",[3]Entry!$L$423)</f>
        <v/>
      </c>
      <c r="AK420">
        <f>IF([3]Entry!$M$423="","",[3]Entry!$M$423)</f>
        <v/>
      </c>
      <c r="AL420">
        <f>IF([3]Entry!$N$423="","",[3]Entry!$N$423)</f>
        <v/>
      </c>
      <c r="AM420">
        <f>IF([3]Entry!$R$423="","",[3]Entry!$R$423)</f>
        <v/>
      </c>
    </row>
    <row r="421">
      <c r="A421">
        <f>IF([1]Accounts!$D$422="","",[1]Accounts!$A$422)</f>
        <v/>
      </c>
      <c r="B421">
        <f>IF([1]Accounts!$D$422="","",[1]Accounts!$B$422)</f>
        <v/>
      </c>
      <c r="C421">
        <f>IF([1]Accounts!$D$422="","",[1]Accounts!$C$422)</f>
        <v/>
      </c>
      <c r="D421">
        <f>IF([1]Accounts!$D$422="","",[1]Accounts!$D$422)</f>
        <v/>
      </c>
      <c r="E421">
        <f>IF([1]Accounts!$D$422="","",[1]Accounts!$E$422)</f>
        <v/>
      </c>
      <c r="F421">
        <f>IF([1]Accounts!$D$422="","",[1]Accounts!$F$422)</f>
        <v/>
      </c>
      <c r="G421">
        <f>IF([1]Accounts!$D$422="","",[1]Accounts!$G$422)</f>
        <v/>
      </c>
      <c r="T421">
        <f>IF([2]Baskol!$B$424="","",[2]Baskol!$B$424)</f>
        <v/>
      </c>
      <c r="U421">
        <f>IF([2]Baskol!$C$424="","",[2]Baskol!$C$424)</f>
        <v/>
      </c>
      <c r="V421">
        <f>IF([2]Baskol!$D$424="","",[2]Baskol!$D$424)</f>
        <v/>
      </c>
      <c r="W421">
        <f>IF([2]Baskol!$E$424="","",[2]Baskol!$E$424)</f>
        <v/>
      </c>
      <c r="X421">
        <f>IF([2]Baskol!$G$424="","",[2]Baskol!$G$424)</f>
        <v/>
      </c>
      <c r="Y421">
        <f>IF([2]Baskol!$I$424="","",[2]Baskol!$I$424)</f>
        <v/>
      </c>
      <c r="Z421">
        <f>IF([2]Baskol!$J$424="","",[2]Baskol!$J$424)</f>
        <v/>
      </c>
      <c r="AA421">
        <f>IF([2]Baskol!$K$424="","",[2]Baskol!$K$424)</f>
        <v/>
      </c>
      <c r="AB421">
        <f>IF([2]Baskol!$L$424="","",[2]Baskol!$L$424)</f>
        <v/>
      </c>
      <c r="AC421">
        <f>IF([2]Baskol!$N$424="","",[2]Baskol!$N$424)</f>
        <v/>
      </c>
      <c r="AD421">
        <f>IF([2]Baskol!$O$424="","",[2]Baskol!$O$424)</f>
        <v/>
      </c>
      <c r="AE421">
        <f>IF([3]Entry!$C$424="","",[3]Entry!$C$424)</f>
        <v/>
      </c>
      <c r="AF421">
        <f>IF([3]Entry!$D$424="","",[3]Entry!$D$424)</f>
        <v/>
      </c>
      <c r="AG421">
        <f>IF([3]Entry!$E$424="","",[3]Entry!$E$424)</f>
        <v/>
      </c>
      <c r="AH421">
        <f>IF([3]Entry!$G$424="","",[3]Entry!$G$424)</f>
        <v/>
      </c>
      <c r="AI421">
        <f>IF([3]Entry!$K$424="","",[3]Entry!$K$424)</f>
        <v/>
      </c>
      <c r="AJ421">
        <f>IF([3]Entry!$L$424="","",[3]Entry!$L$424)</f>
        <v/>
      </c>
      <c r="AK421">
        <f>IF([3]Entry!$M$424="","",[3]Entry!$M$424)</f>
        <v/>
      </c>
      <c r="AL421">
        <f>IF([3]Entry!$N$424="","",[3]Entry!$N$424)</f>
        <v/>
      </c>
      <c r="AM421">
        <f>IF([3]Entry!$R$424="","",[3]Entry!$R$424)</f>
        <v/>
      </c>
    </row>
    <row r="422">
      <c r="A422">
        <f>IF([1]Accounts!$D$423="","",[1]Accounts!$A$423)</f>
        <v/>
      </c>
      <c r="B422">
        <f>IF([1]Accounts!$D$423="","",[1]Accounts!$B$423)</f>
        <v/>
      </c>
      <c r="C422">
        <f>IF([1]Accounts!$D$423="","",[1]Accounts!$C$423)</f>
        <v/>
      </c>
      <c r="D422">
        <f>IF([1]Accounts!$D$423="","",[1]Accounts!$D$423)</f>
        <v/>
      </c>
      <c r="E422">
        <f>IF([1]Accounts!$D$423="","",[1]Accounts!$E$423)</f>
        <v/>
      </c>
      <c r="F422">
        <f>IF([1]Accounts!$D$423="","",[1]Accounts!$F$423)</f>
        <v/>
      </c>
      <c r="G422">
        <f>IF([1]Accounts!$D$423="","",[1]Accounts!$G$423)</f>
        <v/>
      </c>
      <c r="T422">
        <f>IF([2]Baskol!$B$425="","",[2]Baskol!$B$425)</f>
        <v/>
      </c>
      <c r="U422">
        <f>IF([2]Baskol!$C$425="","",[2]Baskol!$C$425)</f>
        <v/>
      </c>
      <c r="V422">
        <f>IF([2]Baskol!$D$425="","",[2]Baskol!$D$425)</f>
        <v/>
      </c>
      <c r="W422">
        <f>IF([2]Baskol!$E$425="","",[2]Baskol!$E$425)</f>
        <v/>
      </c>
      <c r="X422">
        <f>IF([2]Baskol!$G$425="","",[2]Baskol!$G$425)</f>
        <v/>
      </c>
      <c r="Y422">
        <f>IF([2]Baskol!$I$425="","",[2]Baskol!$I$425)</f>
        <v/>
      </c>
      <c r="Z422">
        <f>IF([2]Baskol!$J$425="","",[2]Baskol!$J$425)</f>
        <v/>
      </c>
      <c r="AA422">
        <f>IF([2]Baskol!$K$425="","",[2]Baskol!$K$425)</f>
        <v/>
      </c>
      <c r="AB422">
        <f>IF([2]Baskol!$L$425="","",[2]Baskol!$L$425)</f>
        <v/>
      </c>
      <c r="AC422">
        <f>IF([2]Baskol!$N$425="","",[2]Baskol!$N$425)</f>
        <v/>
      </c>
      <c r="AD422">
        <f>IF([2]Baskol!$O$425="","",[2]Baskol!$O$425)</f>
        <v/>
      </c>
      <c r="AE422">
        <f>IF([3]Entry!$C$425="","",[3]Entry!$C$425)</f>
        <v/>
      </c>
      <c r="AF422">
        <f>IF([3]Entry!$D$425="","",[3]Entry!$D$425)</f>
        <v/>
      </c>
      <c r="AG422">
        <f>IF([3]Entry!$E$425="","",[3]Entry!$E$425)</f>
        <v/>
      </c>
      <c r="AH422">
        <f>IF([3]Entry!$G$425="","",[3]Entry!$G$425)</f>
        <v/>
      </c>
      <c r="AI422">
        <f>IF([3]Entry!$K$425="","",[3]Entry!$K$425)</f>
        <v/>
      </c>
      <c r="AJ422">
        <f>IF([3]Entry!$L$425="","",[3]Entry!$L$425)</f>
        <v/>
      </c>
      <c r="AK422">
        <f>IF([3]Entry!$M$425="","",[3]Entry!$M$425)</f>
        <v/>
      </c>
      <c r="AL422">
        <f>IF([3]Entry!$N$425="","",[3]Entry!$N$425)</f>
        <v/>
      </c>
      <c r="AM422">
        <f>IF([3]Entry!$R$425="","",[3]Entry!$R$425)</f>
        <v/>
      </c>
    </row>
    <row r="423">
      <c r="A423">
        <f>IF([1]Accounts!$D$424="","",[1]Accounts!$A$424)</f>
        <v/>
      </c>
      <c r="B423">
        <f>IF([1]Accounts!$D$424="","",[1]Accounts!$B$424)</f>
        <v/>
      </c>
      <c r="C423">
        <f>IF([1]Accounts!$D$424="","",[1]Accounts!$C$424)</f>
        <v/>
      </c>
      <c r="D423">
        <f>IF([1]Accounts!$D$424="","",[1]Accounts!$D$424)</f>
        <v/>
      </c>
      <c r="E423">
        <f>IF([1]Accounts!$D$424="","",[1]Accounts!$E$424)</f>
        <v/>
      </c>
      <c r="F423">
        <f>IF([1]Accounts!$D$424="","",[1]Accounts!$F$424)</f>
        <v/>
      </c>
      <c r="G423">
        <f>IF([1]Accounts!$D$424="","",[1]Accounts!$G$424)</f>
        <v/>
      </c>
      <c r="T423">
        <f>IF([2]Baskol!$B$426="","",[2]Baskol!$B$426)</f>
        <v/>
      </c>
      <c r="U423">
        <f>IF([2]Baskol!$C$426="","",[2]Baskol!$C$426)</f>
        <v/>
      </c>
      <c r="V423">
        <f>IF([2]Baskol!$D$426="","",[2]Baskol!$D$426)</f>
        <v/>
      </c>
      <c r="W423">
        <f>IF([2]Baskol!$E$426="","",[2]Baskol!$E$426)</f>
        <v/>
      </c>
      <c r="X423">
        <f>IF([2]Baskol!$G$426="","",[2]Baskol!$G$426)</f>
        <v/>
      </c>
      <c r="Y423">
        <f>IF([2]Baskol!$I$426="","",[2]Baskol!$I$426)</f>
        <v/>
      </c>
      <c r="Z423">
        <f>IF([2]Baskol!$J$426="","",[2]Baskol!$J$426)</f>
        <v/>
      </c>
      <c r="AA423">
        <f>IF([2]Baskol!$K$426="","",[2]Baskol!$K$426)</f>
        <v/>
      </c>
      <c r="AB423">
        <f>IF([2]Baskol!$L$426="","",[2]Baskol!$L$426)</f>
        <v/>
      </c>
      <c r="AC423">
        <f>IF([2]Baskol!$N$426="","",[2]Baskol!$N$426)</f>
        <v/>
      </c>
      <c r="AD423">
        <f>IF([2]Baskol!$O$426="","",[2]Baskol!$O$426)</f>
        <v/>
      </c>
      <c r="AE423">
        <f>IF([3]Entry!$C$426="","",[3]Entry!$C$426)</f>
        <v/>
      </c>
      <c r="AF423">
        <f>IF([3]Entry!$D$426="","",[3]Entry!$D$426)</f>
        <v/>
      </c>
      <c r="AG423">
        <f>IF([3]Entry!$E$426="","",[3]Entry!$E$426)</f>
        <v/>
      </c>
      <c r="AH423">
        <f>IF([3]Entry!$G$426="","",[3]Entry!$G$426)</f>
        <v/>
      </c>
      <c r="AI423">
        <f>IF([3]Entry!$K$426="","",[3]Entry!$K$426)</f>
        <v/>
      </c>
      <c r="AJ423">
        <f>IF([3]Entry!$L$426="","",[3]Entry!$L$426)</f>
        <v/>
      </c>
      <c r="AK423">
        <f>IF([3]Entry!$M$426="","",[3]Entry!$M$426)</f>
        <v/>
      </c>
      <c r="AL423">
        <f>IF([3]Entry!$N$426="","",[3]Entry!$N$426)</f>
        <v/>
      </c>
      <c r="AM423">
        <f>IF([3]Entry!$R$426="","",[3]Entry!$R$426)</f>
        <v/>
      </c>
    </row>
    <row r="424">
      <c r="A424">
        <f>IF([1]Accounts!$D$425="","",[1]Accounts!$A$425)</f>
        <v/>
      </c>
      <c r="B424">
        <f>IF([1]Accounts!$D$425="","",[1]Accounts!$B$425)</f>
        <v/>
      </c>
      <c r="C424">
        <f>IF([1]Accounts!$D$425="","",[1]Accounts!$C$425)</f>
        <v/>
      </c>
      <c r="D424">
        <f>IF([1]Accounts!$D$425="","",[1]Accounts!$D$425)</f>
        <v/>
      </c>
      <c r="E424">
        <f>IF([1]Accounts!$D$425="","",[1]Accounts!$E$425)</f>
        <v/>
      </c>
      <c r="F424">
        <f>IF([1]Accounts!$D$425="","",[1]Accounts!$F$425)</f>
        <v/>
      </c>
      <c r="G424">
        <f>IF([1]Accounts!$D$425="","",[1]Accounts!$G$425)</f>
        <v/>
      </c>
      <c r="T424">
        <f>IF([2]Baskol!$B$427="","",[2]Baskol!$B$427)</f>
        <v/>
      </c>
      <c r="U424">
        <f>IF([2]Baskol!$C$427="","",[2]Baskol!$C$427)</f>
        <v/>
      </c>
      <c r="V424">
        <f>IF([2]Baskol!$D$427="","",[2]Baskol!$D$427)</f>
        <v/>
      </c>
      <c r="W424">
        <f>IF([2]Baskol!$E$427="","",[2]Baskol!$E$427)</f>
        <v/>
      </c>
      <c r="X424">
        <f>IF([2]Baskol!$G$427="","",[2]Baskol!$G$427)</f>
        <v/>
      </c>
      <c r="Y424">
        <f>IF([2]Baskol!$I$427="","",[2]Baskol!$I$427)</f>
        <v/>
      </c>
      <c r="Z424">
        <f>IF([2]Baskol!$J$427="","",[2]Baskol!$J$427)</f>
        <v/>
      </c>
      <c r="AA424">
        <f>IF([2]Baskol!$K$427="","",[2]Baskol!$K$427)</f>
        <v/>
      </c>
      <c r="AB424">
        <f>IF([2]Baskol!$L$427="","",[2]Baskol!$L$427)</f>
        <v/>
      </c>
      <c r="AC424">
        <f>IF([2]Baskol!$N$427="","",[2]Baskol!$N$427)</f>
        <v/>
      </c>
      <c r="AD424">
        <f>IF([2]Baskol!$O$427="","",[2]Baskol!$O$427)</f>
        <v/>
      </c>
      <c r="AE424">
        <f>IF([3]Entry!$C$427="","",[3]Entry!$C$427)</f>
        <v/>
      </c>
      <c r="AF424">
        <f>IF([3]Entry!$D$427="","",[3]Entry!$D$427)</f>
        <v/>
      </c>
      <c r="AG424">
        <f>IF([3]Entry!$E$427="","",[3]Entry!$E$427)</f>
        <v/>
      </c>
      <c r="AH424">
        <f>IF([3]Entry!$G$427="","",[3]Entry!$G$427)</f>
        <v/>
      </c>
      <c r="AI424">
        <f>IF([3]Entry!$K$427="","",[3]Entry!$K$427)</f>
        <v/>
      </c>
      <c r="AJ424">
        <f>IF([3]Entry!$L$427="","",[3]Entry!$L$427)</f>
        <v/>
      </c>
      <c r="AK424">
        <f>IF([3]Entry!$M$427="","",[3]Entry!$M$427)</f>
        <v/>
      </c>
      <c r="AL424">
        <f>IF([3]Entry!$N$427="","",[3]Entry!$N$427)</f>
        <v/>
      </c>
      <c r="AM424">
        <f>IF([3]Entry!$R$427="","",[3]Entry!$R$427)</f>
        <v/>
      </c>
    </row>
    <row r="425">
      <c r="A425">
        <f>IF([1]Accounts!$D$426="","",[1]Accounts!$A$426)</f>
        <v/>
      </c>
      <c r="B425">
        <f>IF([1]Accounts!$D$426="","",[1]Accounts!$B$426)</f>
        <v/>
      </c>
      <c r="C425">
        <f>IF([1]Accounts!$D$426="","",[1]Accounts!$C$426)</f>
        <v/>
      </c>
      <c r="D425">
        <f>IF([1]Accounts!$D$426="","",[1]Accounts!$D$426)</f>
        <v/>
      </c>
      <c r="E425">
        <f>IF([1]Accounts!$D$426="","",[1]Accounts!$E$426)</f>
        <v/>
      </c>
      <c r="F425">
        <f>IF([1]Accounts!$D$426="","",[1]Accounts!$F$426)</f>
        <v/>
      </c>
      <c r="G425">
        <f>IF([1]Accounts!$D$426="","",[1]Accounts!$G$426)</f>
        <v/>
      </c>
      <c r="T425">
        <f>IF([2]Baskol!$B$428="","",[2]Baskol!$B$428)</f>
        <v/>
      </c>
      <c r="U425">
        <f>IF([2]Baskol!$C$428="","",[2]Baskol!$C$428)</f>
        <v/>
      </c>
      <c r="V425">
        <f>IF([2]Baskol!$D$428="","",[2]Baskol!$D$428)</f>
        <v/>
      </c>
      <c r="W425">
        <f>IF([2]Baskol!$E$428="","",[2]Baskol!$E$428)</f>
        <v/>
      </c>
      <c r="X425">
        <f>IF([2]Baskol!$G$428="","",[2]Baskol!$G$428)</f>
        <v/>
      </c>
      <c r="Y425">
        <f>IF([2]Baskol!$I$428="","",[2]Baskol!$I$428)</f>
        <v/>
      </c>
      <c r="Z425">
        <f>IF([2]Baskol!$J$428="","",[2]Baskol!$J$428)</f>
        <v/>
      </c>
      <c r="AA425">
        <f>IF([2]Baskol!$K$428="","",[2]Baskol!$K$428)</f>
        <v/>
      </c>
      <c r="AB425">
        <f>IF([2]Baskol!$L$428="","",[2]Baskol!$L$428)</f>
        <v/>
      </c>
      <c r="AC425">
        <f>IF([2]Baskol!$N$428="","",[2]Baskol!$N$428)</f>
        <v/>
      </c>
      <c r="AD425">
        <f>IF([2]Baskol!$O$428="","",[2]Baskol!$O$428)</f>
        <v/>
      </c>
      <c r="AE425">
        <f>IF([3]Entry!$C$428="","",[3]Entry!$C$428)</f>
        <v/>
      </c>
      <c r="AF425">
        <f>IF([3]Entry!$D$428="","",[3]Entry!$D$428)</f>
        <v/>
      </c>
      <c r="AG425">
        <f>IF([3]Entry!$E$428="","",[3]Entry!$E$428)</f>
        <v/>
      </c>
      <c r="AH425">
        <f>IF([3]Entry!$G$428="","",[3]Entry!$G$428)</f>
        <v/>
      </c>
      <c r="AI425">
        <f>IF([3]Entry!$K$428="","",[3]Entry!$K$428)</f>
        <v/>
      </c>
      <c r="AJ425">
        <f>IF([3]Entry!$L$428="","",[3]Entry!$L$428)</f>
        <v/>
      </c>
      <c r="AK425">
        <f>IF([3]Entry!$M$428="","",[3]Entry!$M$428)</f>
        <v/>
      </c>
      <c r="AL425">
        <f>IF([3]Entry!$N$428="","",[3]Entry!$N$428)</f>
        <v/>
      </c>
      <c r="AM425">
        <f>IF([3]Entry!$R$428="","",[3]Entry!$R$428)</f>
        <v/>
      </c>
    </row>
    <row r="426">
      <c r="A426">
        <f>IF([1]Accounts!$D$427="","",[1]Accounts!$A$427)</f>
        <v/>
      </c>
      <c r="B426">
        <f>IF([1]Accounts!$D$427="","",[1]Accounts!$B$427)</f>
        <v/>
      </c>
      <c r="C426">
        <f>IF([1]Accounts!$D$427="","",[1]Accounts!$C$427)</f>
        <v/>
      </c>
      <c r="D426">
        <f>IF([1]Accounts!$D$427="","",[1]Accounts!$D$427)</f>
        <v/>
      </c>
      <c r="E426">
        <f>IF([1]Accounts!$D$427="","",[1]Accounts!$E$427)</f>
        <v/>
      </c>
      <c r="F426">
        <f>IF([1]Accounts!$D$427="","",[1]Accounts!$F$427)</f>
        <v/>
      </c>
      <c r="G426">
        <f>IF([1]Accounts!$D$427="","",[1]Accounts!$G$427)</f>
        <v/>
      </c>
      <c r="T426">
        <f>IF([2]Baskol!$B$429="","",[2]Baskol!$B$429)</f>
        <v/>
      </c>
      <c r="U426">
        <f>IF([2]Baskol!$C$429="","",[2]Baskol!$C$429)</f>
        <v/>
      </c>
      <c r="V426">
        <f>IF([2]Baskol!$D$429="","",[2]Baskol!$D$429)</f>
        <v/>
      </c>
      <c r="W426">
        <f>IF([2]Baskol!$E$429="","",[2]Baskol!$E$429)</f>
        <v/>
      </c>
      <c r="X426">
        <f>IF([2]Baskol!$G$429="","",[2]Baskol!$G$429)</f>
        <v/>
      </c>
      <c r="Y426">
        <f>IF([2]Baskol!$I$429="","",[2]Baskol!$I$429)</f>
        <v/>
      </c>
      <c r="Z426">
        <f>IF([2]Baskol!$J$429="","",[2]Baskol!$J$429)</f>
        <v/>
      </c>
      <c r="AA426">
        <f>IF([2]Baskol!$K$429="","",[2]Baskol!$K$429)</f>
        <v/>
      </c>
      <c r="AB426">
        <f>IF([2]Baskol!$L$429="","",[2]Baskol!$L$429)</f>
        <v/>
      </c>
      <c r="AC426">
        <f>IF([2]Baskol!$N$429="","",[2]Baskol!$N$429)</f>
        <v/>
      </c>
      <c r="AD426">
        <f>IF([2]Baskol!$O$429="","",[2]Baskol!$O$429)</f>
        <v/>
      </c>
      <c r="AE426">
        <f>IF([3]Entry!$C$429="","",[3]Entry!$C$429)</f>
        <v/>
      </c>
      <c r="AF426">
        <f>IF([3]Entry!$D$429="","",[3]Entry!$D$429)</f>
        <v/>
      </c>
      <c r="AG426">
        <f>IF([3]Entry!$E$429="","",[3]Entry!$E$429)</f>
        <v/>
      </c>
      <c r="AH426">
        <f>IF([3]Entry!$G$429="","",[3]Entry!$G$429)</f>
        <v/>
      </c>
      <c r="AI426">
        <f>IF([3]Entry!$K$429="","",[3]Entry!$K$429)</f>
        <v/>
      </c>
      <c r="AJ426">
        <f>IF([3]Entry!$L$429="","",[3]Entry!$L$429)</f>
        <v/>
      </c>
      <c r="AK426">
        <f>IF([3]Entry!$M$429="","",[3]Entry!$M$429)</f>
        <v/>
      </c>
      <c r="AL426">
        <f>IF([3]Entry!$N$429="","",[3]Entry!$N$429)</f>
        <v/>
      </c>
      <c r="AM426">
        <f>IF([3]Entry!$R$429="","",[3]Entry!$R$429)</f>
        <v/>
      </c>
    </row>
    <row r="427">
      <c r="A427">
        <f>IF([1]Accounts!$D$428="","",[1]Accounts!$A$428)</f>
        <v/>
      </c>
      <c r="B427">
        <f>IF([1]Accounts!$D$428="","",[1]Accounts!$B$428)</f>
        <v/>
      </c>
      <c r="C427">
        <f>IF([1]Accounts!$D$428="","",[1]Accounts!$C$428)</f>
        <v/>
      </c>
      <c r="D427">
        <f>IF([1]Accounts!$D$428="","",[1]Accounts!$D$428)</f>
        <v/>
      </c>
      <c r="E427">
        <f>IF([1]Accounts!$D$428="","",[1]Accounts!$E$428)</f>
        <v/>
      </c>
      <c r="F427">
        <f>IF([1]Accounts!$D$428="","",[1]Accounts!$F$428)</f>
        <v/>
      </c>
      <c r="G427">
        <f>IF([1]Accounts!$D$428="","",[1]Accounts!$G$428)</f>
        <v/>
      </c>
      <c r="T427">
        <f>IF([2]Baskol!$B$430="","",[2]Baskol!$B$430)</f>
        <v/>
      </c>
      <c r="U427">
        <f>IF([2]Baskol!$C$430="","",[2]Baskol!$C$430)</f>
        <v/>
      </c>
      <c r="V427">
        <f>IF([2]Baskol!$D$430="","",[2]Baskol!$D$430)</f>
        <v/>
      </c>
      <c r="W427">
        <f>IF([2]Baskol!$E$430="","",[2]Baskol!$E$430)</f>
        <v/>
      </c>
      <c r="X427">
        <f>IF([2]Baskol!$G$430="","",[2]Baskol!$G$430)</f>
        <v/>
      </c>
      <c r="Y427">
        <f>IF([2]Baskol!$I$430="","",[2]Baskol!$I$430)</f>
        <v/>
      </c>
      <c r="Z427">
        <f>IF([2]Baskol!$J$430="","",[2]Baskol!$J$430)</f>
        <v/>
      </c>
      <c r="AA427">
        <f>IF([2]Baskol!$K$430="","",[2]Baskol!$K$430)</f>
        <v/>
      </c>
      <c r="AB427">
        <f>IF([2]Baskol!$L$430="","",[2]Baskol!$L$430)</f>
        <v/>
      </c>
      <c r="AC427">
        <f>IF([2]Baskol!$N$430="","",[2]Baskol!$N$430)</f>
        <v/>
      </c>
      <c r="AD427">
        <f>IF([2]Baskol!$O$430="","",[2]Baskol!$O$430)</f>
        <v/>
      </c>
      <c r="AE427">
        <f>IF([3]Entry!$C$430="","",[3]Entry!$C$430)</f>
        <v/>
      </c>
      <c r="AF427">
        <f>IF([3]Entry!$D$430="","",[3]Entry!$D$430)</f>
        <v/>
      </c>
      <c r="AG427">
        <f>IF([3]Entry!$E$430="","",[3]Entry!$E$430)</f>
        <v/>
      </c>
      <c r="AH427">
        <f>IF([3]Entry!$G$430="","",[3]Entry!$G$430)</f>
        <v/>
      </c>
      <c r="AI427">
        <f>IF([3]Entry!$K$430="","",[3]Entry!$K$430)</f>
        <v/>
      </c>
      <c r="AJ427">
        <f>IF([3]Entry!$L$430="","",[3]Entry!$L$430)</f>
        <v/>
      </c>
      <c r="AK427">
        <f>IF([3]Entry!$M$430="","",[3]Entry!$M$430)</f>
        <v/>
      </c>
      <c r="AL427">
        <f>IF([3]Entry!$N$430="","",[3]Entry!$N$430)</f>
        <v/>
      </c>
      <c r="AM427">
        <f>IF([3]Entry!$R$430="","",[3]Entry!$R$430)</f>
        <v/>
      </c>
    </row>
    <row r="428">
      <c r="A428">
        <f>IF([1]Accounts!$D$429="","",[1]Accounts!$A$429)</f>
        <v/>
      </c>
      <c r="B428">
        <f>IF([1]Accounts!$D$429="","",[1]Accounts!$B$429)</f>
        <v/>
      </c>
      <c r="C428">
        <f>IF([1]Accounts!$D$429="","",[1]Accounts!$C$429)</f>
        <v/>
      </c>
      <c r="D428">
        <f>IF([1]Accounts!$D$429="","",[1]Accounts!$D$429)</f>
        <v/>
      </c>
      <c r="E428">
        <f>IF([1]Accounts!$D$429="","",[1]Accounts!$E$429)</f>
        <v/>
      </c>
      <c r="F428">
        <f>IF([1]Accounts!$D$429="","",[1]Accounts!$F$429)</f>
        <v/>
      </c>
      <c r="G428">
        <f>IF([1]Accounts!$D$429="","",[1]Accounts!$G$429)</f>
        <v/>
      </c>
      <c r="T428">
        <f>IF([2]Baskol!$B$431="","",[2]Baskol!$B$431)</f>
        <v/>
      </c>
      <c r="U428">
        <f>IF([2]Baskol!$C$431="","",[2]Baskol!$C$431)</f>
        <v/>
      </c>
      <c r="V428">
        <f>IF([2]Baskol!$D$431="","",[2]Baskol!$D$431)</f>
        <v/>
      </c>
      <c r="W428">
        <f>IF([2]Baskol!$E$431="","",[2]Baskol!$E$431)</f>
        <v/>
      </c>
      <c r="X428">
        <f>IF([2]Baskol!$G$431="","",[2]Baskol!$G$431)</f>
        <v/>
      </c>
      <c r="Y428">
        <f>IF([2]Baskol!$I$431="","",[2]Baskol!$I$431)</f>
        <v/>
      </c>
      <c r="Z428">
        <f>IF([2]Baskol!$J$431="","",[2]Baskol!$J$431)</f>
        <v/>
      </c>
      <c r="AA428">
        <f>IF([2]Baskol!$K$431="","",[2]Baskol!$K$431)</f>
        <v/>
      </c>
      <c r="AB428">
        <f>IF([2]Baskol!$L$431="","",[2]Baskol!$L$431)</f>
        <v/>
      </c>
      <c r="AC428">
        <f>IF([2]Baskol!$N$431="","",[2]Baskol!$N$431)</f>
        <v/>
      </c>
      <c r="AD428">
        <f>IF([2]Baskol!$O$431="","",[2]Baskol!$O$431)</f>
        <v/>
      </c>
      <c r="AE428">
        <f>IF([3]Entry!$C$431="","",[3]Entry!$C$431)</f>
        <v/>
      </c>
      <c r="AF428">
        <f>IF([3]Entry!$D$431="","",[3]Entry!$D$431)</f>
        <v/>
      </c>
      <c r="AG428">
        <f>IF([3]Entry!$E$431="","",[3]Entry!$E$431)</f>
        <v/>
      </c>
      <c r="AH428">
        <f>IF([3]Entry!$G$431="","",[3]Entry!$G$431)</f>
        <v/>
      </c>
      <c r="AI428">
        <f>IF([3]Entry!$K$431="","",[3]Entry!$K$431)</f>
        <v/>
      </c>
      <c r="AJ428">
        <f>IF([3]Entry!$L$431="","",[3]Entry!$L$431)</f>
        <v/>
      </c>
      <c r="AK428">
        <f>IF([3]Entry!$M$431="","",[3]Entry!$M$431)</f>
        <v/>
      </c>
      <c r="AL428">
        <f>IF([3]Entry!$N$431="","",[3]Entry!$N$431)</f>
        <v/>
      </c>
      <c r="AM428">
        <f>IF([3]Entry!$R$431="","",[3]Entry!$R$431)</f>
        <v/>
      </c>
    </row>
    <row r="429">
      <c r="A429">
        <f>IF([1]Accounts!$D$430="","",[1]Accounts!$A$430)</f>
        <v/>
      </c>
      <c r="B429">
        <f>IF([1]Accounts!$D$430="","",[1]Accounts!$B$430)</f>
        <v/>
      </c>
      <c r="C429">
        <f>IF([1]Accounts!$D$430="","",[1]Accounts!$C$430)</f>
        <v/>
      </c>
      <c r="D429">
        <f>IF([1]Accounts!$D$430="","",[1]Accounts!$D$430)</f>
        <v/>
      </c>
      <c r="E429">
        <f>IF([1]Accounts!$D$430="","",[1]Accounts!$E$430)</f>
        <v/>
      </c>
      <c r="F429">
        <f>IF([1]Accounts!$D$430="","",[1]Accounts!$F$430)</f>
        <v/>
      </c>
      <c r="G429">
        <f>IF([1]Accounts!$D$430="","",[1]Accounts!$G$430)</f>
        <v/>
      </c>
      <c r="T429">
        <f>IF([2]Baskol!$B$432="","",[2]Baskol!$B$432)</f>
        <v/>
      </c>
      <c r="U429">
        <f>IF([2]Baskol!$C$432="","",[2]Baskol!$C$432)</f>
        <v/>
      </c>
      <c r="V429">
        <f>IF([2]Baskol!$D$432="","",[2]Baskol!$D$432)</f>
        <v/>
      </c>
      <c r="W429">
        <f>IF([2]Baskol!$E$432="","",[2]Baskol!$E$432)</f>
        <v/>
      </c>
      <c r="X429">
        <f>IF([2]Baskol!$G$432="","",[2]Baskol!$G$432)</f>
        <v/>
      </c>
      <c r="Y429">
        <f>IF([2]Baskol!$I$432="","",[2]Baskol!$I$432)</f>
        <v/>
      </c>
      <c r="Z429">
        <f>IF([2]Baskol!$J$432="","",[2]Baskol!$J$432)</f>
        <v/>
      </c>
      <c r="AA429">
        <f>IF([2]Baskol!$K$432="","",[2]Baskol!$K$432)</f>
        <v/>
      </c>
      <c r="AB429">
        <f>IF([2]Baskol!$L$432="","",[2]Baskol!$L$432)</f>
        <v/>
      </c>
      <c r="AC429">
        <f>IF([2]Baskol!$N$432="","",[2]Baskol!$N$432)</f>
        <v/>
      </c>
      <c r="AD429">
        <f>IF([2]Baskol!$O$432="","",[2]Baskol!$O$432)</f>
        <v/>
      </c>
      <c r="AE429">
        <f>IF([3]Entry!$C$432="","",[3]Entry!$C$432)</f>
        <v/>
      </c>
      <c r="AF429">
        <f>IF([3]Entry!$D$432="","",[3]Entry!$D$432)</f>
        <v/>
      </c>
      <c r="AG429">
        <f>IF([3]Entry!$E$432="","",[3]Entry!$E$432)</f>
        <v/>
      </c>
      <c r="AH429">
        <f>IF([3]Entry!$G$432="","",[3]Entry!$G$432)</f>
        <v/>
      </c>
      <c r="AI429">
        <f>IF([3]Entry!$K$432="","",[3]Entry!$K$432)</f>
        <v/>
      </c>
      <c r="AJ429">
        <f>IF([3]Entry!$L$432="","",[3]Entry!$L$432)</f>
        <v/>
      </c>
      <c r="AK429">
        <f>IF([3]Entry!$M$432="","",[3]Entry!$M$432)</f>
        <v/>
      </c>
      <c r="AL429">
        <f>IF([3]Entry!$N$432="","",[3]Entry!$N$432)</f>
        <v/>
      </c>
      <c r="AM429">
        <f>IF([3]Entry!$R$432="","",[3]Entry!$R$432)</f>
        <v/>
      </c>
    </row>
    <row r="430">
      <c r="A430">
        <f>IF([1]Accounts!$D$431="","",[1]Accounts!$A$431)</f>
        <v/>
      </c>
      <c r="B430">
        <f>IF([1]Accounts!$D$431="","",[1]Accounts!$B$431)</f>
        <v/>
      </c>
      <c r="C430">
        <f>IF([1]Accounts!$D$431="","",[1]Accounts!$C$431)</f>
        <v/>
      </c>
      <c r="D430">
        <f>IF([1]Accounts!$D$431="","",[1]Accounts!$D$431)</f>
        <v/>
      </c>
      <c r="E430">
        <f>IF([1]Accounts!$D$431="","",[1]Accounts!$E$431)</f>
        <v/>
      </c>
      <c r="F430">
        <f>IF([1]Accounts!$D$431="","",[1]Accounts!$F$431)</f>
        <v/>
      </c>
      <c r="G430">
        <f>IF([1]Accounts!$D$431="","",[1]Accounts!$G$431)</f>
        <v/>
      </c>
      <c r="T430">
        <f>IF([2]Baskol!$B$433="","",[2]Baskol!$B$433)</f>
        <v/>
      </c>
      <c r="U430">
        <f>IF([2]Baskol!$C$433="","",[2]Baskol!$C$433)</f>
        <v/>
      </c>
      <c r="V430">
        <f>IF([2]Baskol!$D$433="","",[2]Baskol!$D$433)</f>
        <v/>
      </c>
      <c r="W430">
        <f>IF([2]Baskol!$E$433="","",[2]Baskol!$E$433)</f>
        <v/>
      </c>
      <c r="X430">
        <f>IF([2]Baskol!$G$433="","",[2]Baskol!$G$433)</f>
        <v/>
      </c>
      <c r="Y430">
        <f>IF([2]Baskol!$I$433="","",[2]Baskol!$I$433)</f>
        <v/>
      </c>
      <c r="Z430">
        <f>IF([2]Baskol!$J$433="","",[2]Baskol!$J$433)</f>
        <v/>
      </c>
      <c r="AA430">
        <f>IF([2]Baskol!$K$433="","",[2]Baskol!$K$433)</f>
        <v/>
      </c>
      <c r="AB430">
        <f>IF([2]Baskol!$L$433="","",[2]Baskol!$L$433)</f>
        <v/>
      </c>
      <c r="AC430">
        <f>IF([2]Baskol!$N$433="","",[2]Baskol!$N$433)</f>
        <v/>
      </c>
      <c r="AD430">
        <f>IF([2]Baskol!$O$433="","",[2]Baskol!$O$433)</f>
        <v/>
      </c>
      <c r="AE430">
        <f>IF([3]Entry!$C$433="","",[3]Entry!$C$433)</f>
        <v/>
      </c>
      <c r="AF430">
        <f>IF([3]Entry!$D$433="","",[3]Entry!$D$433)</f>
        <v/>
      </c>
      <c r="AG430">
        <f>IF([3]Entry!$E$433="","",[3]Entry!$E$433)</f>
        <v/>
      </c>
      <c r="AH430">
        <f>IF([3]Entry!$G$433="","",[3]Entry!$G$433)</f>
        <v/>
      </c>
      <c r="AI430">
        <f>IF([3]Entry!$K$433="","",[3]Entry!$K$433)</f>
        <v/>
      </c>
      <c r="AJ430">
        <f>IF([3]Entry!$L$433="","",[3]Entry!$L$433)</f>
        <v/>
      </c>
      <c r="AK430">
        <f>IF([3]Entry!$M$433="","",[3]Entry!$M$433)</f>
        <v/>
      </c>
      <c r="AL430">
        <f>IF([3]Entry!$N$433="","",[3]Entry!$N$433)</f>
        <v/>
      </c>
      <c r="AM430">
        <f>IF([3]Entry!$R$433="","",[3]Entry!$R$433)</f>
        <v/>
      </c>
    </row>
    <row r="431">
      <c r="A431">
        <f>IF([1]Accounts!$D$432="","",[1]Accounts!$A$432)</f>
        <v/>
      </c>
      <c r="B431">
        <f>IF([1]Accounts!$D$432="","",[1]Accounts!$B$432)</f>
        <v/>
      </c>
      <c r="C431">
        <f>IF([1]Accounts!$D$432="","",[1]Accounts!$C$432)</f>
        <v/>
      </c>
      <c r="D431">
        <f>IF([1]Accounts!$D$432="","",[1]Accounts!$D$432)</f>
        <v/>
      </c>
      <c r="E431">
        <f>IF([1]Accounts!$D$432="","",[1]Accounts!$E$432)</f>
        <v/>
      </c>
      <c r="F431">
        <f>IF([1]Accounts!$D$432="","",[1]Accounts!$F$432)</f>
        <v/>
      </c>
      <c r="G431">
        <f>IF([1]Accounts!$D$432="","",[1]Accounts!$G$432)</f>
        <v/>
      </c>
      <c r="T431">
        <f>IF([2]Baskol!$B$434="","",[2]Baskol!$B$434)</f>
        <v/>
      </c>
      <c r="U431">
        <f>IF([2]Baskol!$C$434="","",[2]Baskol!$C$434)</f>
        <v/>
      </c>
      <c r="V431">
        <f>IF([2]Baskol!$D$434="","",[2]Baskol!$D$434)</f>
        <v/>
      </c>
      <c r="W431">
        <f>IF([2]Baskol!$E$434="","",[2]Baskol!$E$434)</f>
        <v/>
      </c>
      <c r="X431">
        <f>IF([2]Baskol!$G$434="","",[2]Baskol!$G$434)</f>
        <v/>
      </c>
      <c r="Y431">
        <f>IF([2]Baskol!$I$434="","",[2]Baskol!$I$434)</f>
        <v/>
      </c>
      <c r="Z431">
        <f>IF([2]Baskol!$J$434="","",[2]Baskol!$J$434)</f>
        <v/>
      </c>
      <c r="AA431">
        <f>IF([2]Baskol!$K$434="","",[2]Baskol!$K$434)</f>
        <v/>
      </c>
      <c r="AB431">
        <f>IF([2]Baskol!$L$434="","",[2]Baskol!$L$434)</f>
        <v/>
      </c>
      <c r="AC431">
        <f>IF([2]Baskol!$N$434="","",[2]Baskol!$N$434)</f>
        <v/>
      </c>
      <c r="AD431">
        <f>IF([2]Baskol!$O$434="","",[2]Baskol!$O$434)</f>
        <v/>
      </c>
      <c r="AE431">
        <f>IF([3]Entry!$C$434="","",[3]Entry!$C$434)</f>
        <v/>
      </c>
      <c r="AF431">
        <f>IF([3]Entry!$D$434="","",[3]Entry!$D$434)</f>
        <v/>
      </c>
      <c r="AG431">
        <f>IF([3]Entry!$E$434="","",[3]Entry!$E$434)</f>
        <v/>
      </c>
      <c r="AH431">
        <f>IF([3]Entry!$G$434="","",[3]Entry!$G$434)</f>
        <v/>
      </c>
      <c r="AI431">
        <f>IF([3]Entry!$K$434="","",[3]Entry!$K$434)</f>
        <v/>
      </c>
      <c r="AJ431">
        <f>IF([3]Entry!$L$434="","",[3]Entry!$L$434)</f>
        <v/>
      </c>
      <c r="AK431">
        <f>IF([3]Entry!$M$434="","",[3]Entry!$M$434)</f>
        <v/>
      </c>
      <c r="AL431">
        <f>IF([3]Entry!$N$434="","",[3]Entry!$N$434)</f>
        <v/>
      </c>
      <c r="AM431">
        <f>IF([3]Entry!$R$434="","",[3]Entry!$R$434)</f>
        <v/>
      </c>
    </row>
    <row r="432">
      <c r="A432">
        <f>IF([1]Accounts!$D$433="","",[1]Accounts!$A$433)</f>
        <v/>
      </c>
      <c r="B432">
        <f>IF([1]Accounts!$D$433="","",[1]Accounts!$B$433)</f>
        <v/>
      </c>
      <c r="C432">
        <f>IF([1]Accounts!$D$433="","",[1]Accounts!$C$433)</f>
        <v/>
      </c>
      <c r="D432">
        <f>IF([1]Accounts!$D$433="","",[1]Accounts!$D$433)</f>
        <v/>
      </c>
      <c r="E432">
        <f>IF([1]Accounts!$D$433="","",[1]Accounts!$E$433)</f>
        <v/>
      </c>
      <c r="F432">
        <f>IF([1]Accounts!$D$433="","",[1]Accounts!$F$433)</f>
        <v/>
      </c>
      <c r="G432">
        <f>IF([1]Accounts!$D$433="","",[1]Accounts!$G$433)</f>
        <v/>
      </c>
      <c r="T432">
        <f>IF([2]Baskol!$B$435="","",[2]Baskol!$B$435)</f>
        <v/>
      </c>
      <c r="U432">
        <f>IF([2]Baskol!$C$435="","",[2]Baskol!$C$435)</f>
        <v/>
      </c>
      <c r="V432">
        <f>IF([2]Baskol!$D$435="","",[2]Baskol!$D$435)</f>
        <v/>
      </c>
      <c r="W432">
        <f>IF([2]Baskol!$E$435="","",[2]Baskol!$E$435)</f>
        <v/>
      </c>
      <c r="X432">
        <f>IF([2]Baskol!$G$435="","",[2]Baskol!$G$435)</f>
        <v/>
      </c>
      <c r="Y432">
        <f>IF([2]Baskol!$I$435="","",[2]Baskol!$I$435)</f>
        <v/>
      </c>
      <c r="Z432">
        <f>IF([2]Baskol!$J$435="","",[2]Baskol!$J$435)</f>
        <v/>
      </c>
      <c r="AA432">
        <f>IF([2]Baskol!$K$435="","",[2]Baskol!$K$435)</f>
        <v/>
      </c>
      <c r="AB432">
        <f>IF([2]Baskol!$L$435="","",[2]Baskol!$L$435)</f>
        <v/>
      </c>
      <c r="AC432">
        <f>IF([2]Baskol!$N$435="","",[2]Baskol!$N$435)</f>
        <v/>
      </c>
      <c r="AD432">
        <f>IF([2]Baskol!$O$435="","",[2]Baskol!$O$435)</f>
        <v/>
      </c>
      <c r="AE432">
        <f>IF([3]Entry!$C$435="","",[3]Entry!$C$435)</f>
        <v/>
      </c>
      <c r="AF432">
        <f>IF([3]Entry!$D$435="","",[3]Entry!$D$435)</f>
        <v/>
      </c>
      <c r="AG432">
        <f>IF([3]Entry!$E$435="","",[3]Entry!$E$435)</f>
        <v/>
      </c>
      <c r="AH432">
        <f>IF([3]Entry!$G$435="","",[3]Entry!$G$435)</f>
        <v/>
      </c>
      <c r="AI432">
        <f>IF([3]Entry!$K$435="","",[3]Entry!$K$435)</f>
        <v/>
      </c>
      <c r="AJ432">
        <f>IF([3]Entry!$L$435="","",[3]Entry!$L$435)</f>
        <v/>
      </c>
      <c r="AK432">
        <f>IF([3]Entry!$M$435="","",[3]Entry!$M$435)</f>
        <v/>
      </c>
      <c r="AL432">
        <f>IF([3]Entry!$N$435="","",[3]Entry!$N$435)</f>
        <v/>
      </c>
      <c r="AM432">
        <f>IF([3]Entry!$R$435="","",[3]Entry!$R$435)</f>
        <v/>
      </c>
    </row>
    <row r="433">
      <c r="A433">
        <f>IF([1]Accounts!$D$434="","",[1]Accounts!$A$434)</f>
        <v/>
      </c>
      <c r="B433">
        <f>IF([1]Accounts!$D$434="","",[1]Accounts!$B$434)</f>
        <v/>
      </c>
      <c r="C433">
        <f>IF([1]Accounts!$D$434="","",[1]Accounts!$C$434)</f>
        <v/>
      </c>
      <c r="D433">
        <f>IF([1]Accounts!$D$434="","",[1]Accounts!$D$434)</f>
        <v/>
      </c>
      <c r="E433">
        <f>IF([1]Accounts!$D$434="","",[1]Accounts!$E$434)</f>
        <v/>
      </c>
      <c r="F433">
        <f>IF([1]Accounts!$D$434="","",[1]Accounts!$F$434)</f>
        <v/>
      </c>
      <c r="G433">
        <f>IF([1]Accounts!$D$434="","",[1]Accounts!$G$434)</f>
        <v/>
      </c>
      <c r="T433">
        <f>IF([2]Baskol!$B$436="","",[2]Baskol!$B$436)</f>
        <v/>
      </c>
      <c r="U433">
        <f>IF([2]Baskol!$C$436="","",[2]Baskol!$C$436)</f>
        <v/>
      </c>
      <c r="V433">
        <f>IF([2]Baskol!$D$436="","",[2]Baskol!$D$436)</f>
        <v/>
      </c>
      <c r="W433">
        <f>IF([2]Baskol!$E$436="","",[2]Baskol!$E$436)</f>
        <v/>
      </c>
      <c r="X433">
        <f>IF([2]Baskol!$G$436="","",[2]Baskol!$G$436)</f>
        <v/>
      </c>
      <c r="Y433">
        <f>IF([2]Baskol!$I$436="","",[2]Baskol!$I$436)</f>
        <v/>
      </c>
      <c r="Z433">
        <f>IF([2]Baskol!$J$436="","",[2]Baskol!$J$436)</f>
        <v/>
      </c>
      <c r="AA433">
        <f>IF([2]Baskol!$K$436="","",[2]Baskol!$K$436)</f>
        <v/>
      </c>
      <c r="AB433">
        <f>IF([2]Baskol!$L$436="","",[2]Baskol!$L$436)</f>
        <v/>
      </c>
      <c r="AC433">
        <f>IF([2]Baskol!$N$436="","",[2]Baskol!$N$436)</f>
        <v/>
      </c>
      <c r="AD433">
        <f>IF([2]Baskol!$O$436="","",[2]Baskol!$O$436)</f>
        <v/>
      </c>
      <c r="AE433">
        <f>IF([3]Entry!$C$436="","",[3]Entry!$C$436)</f>
        <v/>
      </c>
      <c r="AF433">
        <f>IF([3]Entry!$D$436="","",[3]Entry!$D$436)</f>
        <v/>
      </c>
      <c r="AG433">
        <f>IF([3]Entry!$E$436="","",[3]Entry!$E$436)</f>
        <v/>
      </c>
      <c r="AH433">
        <f>IF([3]Entry!$G$436="","",[3]Entry!$G$436)</f>
        <v/>
      </c>
      <c r="AI433">
        <f>IF([3]Entry!$K$436="","",[3]Entry!$K$436)</f>
        <v/>
      </c>
      <c r="AJ433">
        <f>IF([3]Entry!$L$436="","",[3]Entry!$L$436)</f>
        <v/>
      </c>
      <c r="AK433">
        <f>IF([3]Entry!$M$436="","",[3]Entry!$M$436)</f>
        <v/>
      </c>
      <c r="AL433">
        <f>IF([3]Entry!$N$436="","",[3]Entry!$N$436)</f>
        <v/>
      </c>
      <c r="AM433">
        <f>IF([3]Entry!$R$436="","",[3]Entry!$R$436)</f>
        <v/>
      </c>
    </row>
    <row r="434">
      <c r="A434">
        <f>IF([1]Accounts!$D$435="","",[1]Accounts!$A$435)</f>
        <v/>
      </c>
      <c r="B434">
        <f>IF([1]Accounts!$D$435="","",[1]Accounts!$B$435)</f>
        <v/>
      </c>
      <c r="C434">
        <f>IF([1]Accounts!$D$435="","",[1]Accounts!$C$435)</f>
        <v/>
      </c>
      <c r="D434">
        <f>IF([1]Accounts!$D$435="","",[1]Accounts!$D$435)</f>
        <v/>
      </c>
      <c r="E434">
        <f>IF([1]Accounts!$D$435="","",[1]Accounts!$E$435)</f>
        <v/>
      </c>
      <c r="F434">
        <f>IF([1]Accounts!$D$435="","",[1]Accounts!$F$435)</f>
        <v/>
      </c>
      <c r="G434">
        <f>IF([1]Accounts!$D$435="","",[1]Accounts!$G$435)</f>
        <v/>
      </c>
      <c r="T434">
        <f>IF([2]Baskol!$B$437="","",[2]Baskol!$B$437)</f>
        <v/>
      </c>
      <c r="U434">
        <f>IF([2]Baskol!$C$437="","",[2]Baskol!$C$437)</f>
        <v/>
      </c>
      <c r="V434">
        <f>IF([2]Baskol!$D$437="","",[2]Baskol!$D$437)</f>
        <v/>
      </c>
      <c r="W434">
        <f>IF([2]Baskol!$E$437="","",[2]Baskol!$E$437)</f>
        <v/>
      </c>
      <c r="X434">
        <f>IF([2]Baskol!$G$437="","",[2]Baskol!$G$437)</f>
        <v/>
      </c>
      <c r="Y434">
        <f>IF([2]Baskol!$I$437="","",[2]Baskol!$I$437)</f>
        <v/>
      </c>
      <c r="Z434">
        <f>IF([2]Baskol!$J$437="","",[2]Baskol!$J$437)</f>
        <v/>
      </c>
      <c r="AA434">
        <f>IF([2]Baskol!$K$437="","",[2]Baskol!$K$437)</f>
        <v/>
      </c>
      <c r="AB434">
        <f>IF([2]Baskol!$L$437="","",[2]Baskol!$L$437)</f>
        <v/>
      </c>
      <c r="AC434">
        <f>IF([2]Baskol!$N$437="","",[2]Baskol!$N$437)</f>
        <v/>
      </c>
      <c r="AD434">
        <f>IF([2]Baskol!$O$437="","",[2]Baskol!$O$437)</f>
        <v/>
      </c>
      <c r="AE434">
        <f>IF([3]Entry!$C$437="","",[3]Entry!$C$437)</f>
        <v/>
      </c>
      <c r="AF434">
        <f>IF([3]Entry!$D$437="","",[3]Entry!$D$437)</f>
        <v/>
      </c>
      <c r="AG434">
        <f>IF([3]Entry!$E$437="","",[3]Entry!$E$437)</f>
        <v/>
      </c>
      <c r="AH434">
        <f>IF([3]Entry!$G$437="","",[3]Entry!$G$437)</f>
        <v/>
      </c>
      <c r="AI434">
        <f>IF([3]Entry!$K$437="","",[3]Entry!$K$437)</f>
        <v/>
      </c>
      <c r="AJ434">
        <f>IF([3]Entry!$L$437="","",[3]Entry!$L$437)</f>
        <v/>
      </c>
      <c r="AK434">
        <f>IF([3]Entry!$M$437="","",[3]Entry!$M$437)</f>
        <v/>
      </c>
      <c r="AL434">
        <f>IF([3]Entry!$N$437="","",[3]Entry!$N$437)</f>
        <v/>
      </c>
      <c r="AM434">
        <f>IF([3]Entry!$R$437="","",[3]Entry!$R$437)</f>
        <v/>
      </c>
    </row>
    <row r="435">
      <c r="A435">
        <f>IF([1]Accounts!$D$436="","",[1]Accounts!$A$436)</f>
        <v/>
      </c>
      <c r="B435">
        <f>IF([1]Accounts!$D$436="","",[1]Accounts!$B$436)</f>
        <v/>
      </c>
      <c r="C435">
        <f>IF([1]Accounts!$D$436="","",[1]Accounts!$C$436)</f>
        <v/>
      </c>
      <c r="D435">
        <f>IF([1]Accounts!$D$436="","",[1]Accounts!$D$436)</f>
        <v/>
      </c>
      <c r="E435">
        <f>IF([1]Accounts!$D$436="","",[1]Accounts!$E$436)</f>
        <v/>
      </c>
      <c r="F435">
        <f>IF([1]Accounts!$D$436="","",[1]Accounts!$F$436)</f>
        <v/>
      </c>
      <c r="G435">
        <f>IF([1]Accounts!$D$436="","",[1]Accounts!$G$436)</f>
        <v/>
      </c>
      <c r="T435">
        <f>IF([2]Baskol!$B$438="","",[2]Baskol!$B$438)</f>
        <v/>
      </c>
      <c r="U435">
        <f>IF([2]Baskol!$C$438="","",[2]Baskol!$C$438)</f>
        <v/>
      </c>
      <c r="V435">
        <f>IF([2]Baskol!$D$438="","",[2]Baskol!$D$438)</f>
        <v/>
      </c>
      <c r="W435">
        <f>IF([2]Baskol!$E$438="","",[2]Baskol!$E$438)</f>
        <v/>
      </c>
      <c r="X435">
        <f>IF([2]Baskol!$G$438="","",[2]Baskol!$G$438)</f>
        <v/>
      </c>
      <c r="Y435">
        <f>IF([2]Baskol!$I$438="","",[2]Baskol!$I$438)</f>
        <v/>
      </c>
      <c r="Z435">
        <f>IF([2]Baskol!$J$438="","",[2]Baskol!$J$438)</f>
        <v/>
      </c>
      <c r="AA435">
        <f>IF([2]Baskol!$K$438="","",[2]Baskol!$K$438)</f>
        <v/>
      </c>
      <c r="AB435">
        <f>IF([2]Baskol!$L$438="","",[2]Baskol!$L$438)</f>
        <v/>
      </c>
      <c r="AC435">
        <f>IF([2]Baskol!$N$438="","",[2]Baskol!$N$438)</f>
        <v/>
      </c>
      <c r="AD435">
        <f>IF([2]Baskol!$O$438="","",[2]Baskol!$O$438)</f>
        <v/>
      </c>
      <c r="AE435">
        <f>IF([3]Entry!$C$438="","",[3]Entry!$C$438)</f>
        <v/>
      </c>
      <c r="AF435">
        <f>IF([3]Entry!$D$438="","",[3]Entry!$D$438)</f>
        <v/>
      </c>
      <c r="AG435">
        <f>IF([3]Entry!$E$438="","",[3]Entry!$E$438)</f>
        <v/>
      </c>
      <c r="AH435">
        <f>IF([3]Entry!$G$438="","",[3]Entry!$G$438)</f>
        <v/>
      </c>
      <c r="AI435">
        <f>IF([3]Entry!$K$438="","",[3]Entry!$K$438)</f>
        <v/>
      </c>
      <c r="AJ435">
        <f>IF([3]Entry!$L$438="","",[3]Entry!$L$438)</f>
        <v/>
      </c>
      <c r="AK435">
        <f>IF([3]Entry!$M$438="","",[3]Entry!$M$438)</f>
        <v/>
      </c>
      <c r="AL435">
        <f>IF([3]Entry!$N$438="","",[3]Entry!$N$438)</f>
        <v/>
      </c>
      <c r="AM435">
        <f>IF([3]Entry!$R$438="","",[3]Entry!$R$438)</f>
        <v/>
      </c>
    </row>
    <row r="436">
      <c r="A436">
        <f>IF([1]Accounts!$D$437="","",[1]Accounts!$A$437)</f>
        <v/>
      </c>
      <c r="B436">
        <f>IF([1]Accounts!$D$437="","",[1]Accounts!$B$437)</f>
        <v/>
      </c>
      <c r="C436">
        <f>IF([1]Accounts!$D$437="","",[1]Accounts!$C$437)</f>
        <v/>
      </c>
      <c r="D436">
        <f>IF([1]Accounts!$D$437="","",[1]Accounts!$D$437)</f>
        <v/>
      </c>
      <c r="E436">
        <f>IF([1]Accounts!$D$437="","",[1]Accounts!$E$437)</f>
        <v/>
      </c>
      <c r="F436">
        <f>IF([1]Accounts!$D$437="","",[1]Accounts!$F$437)</f>
        <v/>
      </c>
      <c r="G436">
        <f>IF([1]Accounts!$D$437="","",[1]Accounts!$G$437)</f>
        <v/>
      </c>
      <c r="T436">
        <f>IF([2]Baskol!$B$439="","",[2]Baskol!$B$439)</f>
        <v/>
      </c>
      <c r="U436">
        <f>IF([2]Baskol!$C$439="","",[2]Baskol!$C$439)</f>
        <v/>
      </c>
      <c r="V436">
        <f>IF([2]Baskol!$D$439="","",[2]Baskol!$D$439)</f>
        <v/>
      </c>
      <c r="W436">
        <f>IF([2]Baskol!$E$439="","",[2]Baskol!$E$439)</f>
        <v/>
      </c>
      <c r="X436">
        <f>IF([2]Baskol!$G$439="","",[2]Baskol!$G$439)</f>
        <v/>
      </c>
      <c r="Y436">
        <f>IF([2]Baskol!$I$439="","",[2]Baskol!$I$439)</f>
        <v/>
      </c>
      <c r="Z436">
        <f>IF([2]Baskol!$J$439="","",[2]Baskol!$J$439)</f>
        <v/>
      </c>
      <c r="AA436">
        <f>IF([2]Baskol!$K$439="","",[2]Baskol!$K$439)</f>
        <v/>
      </c>
      <c r="AB436">
        <f>IF([2]Baskol!$L$439="","",[2]Baskol!$L$439)</f>
        <v/>
      </c>
      <c r="AC436">
        <f>IF([2]Baskol!$N$439="","",[2]Baskol!$N$439)</f>
        <v/>
      </c>
      <c r="AD436">
        <f>IF([2]Baskol!$O$439="","",[2]Baskol!$O$439)</f>
        <v/>
      </c>
      <c r="AE436">
        <f>IF([3]Entry!$C$439="","",[3]Entry!$C$439)</f>
        <v/>
      </c>
      <c r="AF436">
        <f>IF([3]Entry!$D$439="","",[3]Entry!$D$439)</f>
        <v/>
      </c>
      <c r="AG436">
        <f>IF([3]Entry!$E$439="","",[3]Entry!$E$439)</f>
        <v/>
      </c>
      <c r="AH436">
        <f>IF([3]Entry!$G$439="","",[3]Entry!$G$439)</f>
        <v/>
      </c>
      <c r="AI436">
        <f>IF([3]Entry!$K$439="","",[3]Entry!$K$439)</f>
        <v/>
      </c>
      <c r="AJ436">
        <f>IF([3]Entry!$L$439="","",[3]Entry!$L$439)</f>
        <v/>
      </c>
      <c r="AK436">
        <f>IF([3]Entry!$M$439="","",[3]Entry!$M$439)</f>
        <v/>
      </c>
      <c r="AL436">
        <f>IF([3]Entry!$N$439="","",[3]Entry!$N$439)</f>
        <v/>
      </c>
      <c r="AM436">
        <f>IF([3]Entry!$R$439="","",[3]Entry!$R$439)</f>
        <v/>
      </c>
    </row>
    <row r="437">
      <c r="A437">
        <f>IF([1]Accounts!$D$438="","",[1]Accounts!$A$438)</f>
        <v/>
      </c>
      <c r="B437">
        <f>IF([1]Accounts!$D$438="","",[1]Accounts!$B$438)</f>
        <v/>
      </c>
      <c r="C437">
        <f>IF([1]Accounts!$D$438="","",[1]Accounts!$C$438)</f>
        <v/>
      </c>
      <c r="D437">
        <f>IF([1]Accounts!$D$438="","",[1]Accounts!$D$438)</f>
        <v/>
      </c>
      <c r="E437">
        <f>IF([1]Accounts!$D$438="","",[1]Accounts!$E$438)</f>
        <v/>
      </c>
      <c r="F437">
        <f>IF([1]Accounts!$D$438="","",[1]Accounts!$F$438)</f>
        <v/>
      </c>
      <c r="G437">
        <f>IF([1]Accounts!$D$438="","",[1]Accounts!$G$438)</f>
        <v/>
      </c>
      <c r="T437">
        <f>IF([2]Baskol!$B$440="","",[2]Baskol!$B$440)</f>
        <v/>
      </c>
      <c r="U437">
        <f>IF([2]Baskol!$C$440="","",[2]Baskol!$C$440)</f>
        <v/>
      </c>
      <c r="V437">
        <f>IF([2]Baskol!$D$440="","",[2]Baskol!$D$440)</f>
        <v/>
      </c>
      <c r="W437">
        <f>IF([2]Baskol!$E$440="","",[2]Baskol!$E$440)</f>
        <v/>
      </c>
      <c r="X437">
        <f>IF([2]Baskol!$G$440="","",[2]Baskol!$G$440)</f>
        <v/>
      </c>
      <c r="Y437">
        <f>IF([2]Baskol!$I$440="","",[2]Baskol!$I$440)</f>
        <v/>
      </c>
      <c r="Z437">
        <f>IF([2]Baskol!$J$440="","",[2]Baskol!$J$440)</f>
        <v/>
      </c>
      <c r="AA437">
        <f>IF([2]Baskol!$K$440="","",[2]Baskol!$K$440)</f>
        <v/>
      </c>
      <c r="AB437">
        <f>IF([2]Baskol!$L$440="","",[2]Baskol!$L$440)</f>
        <v/>
      </c>
      <c r="AC437">
        <f>IF([2]Baskol!$N$440="","",[2]Baskol!$N$440)</f>
        <v/>
      </c>
      <c r="AD437">
        <f>IF([2]Baskol!$O$440="","",[2]Baskol!$O$440)</f>
        <v/>
      </c>
      <c r="AE437">
        <f>IF([3]Entry!$C$440="","",[3]Entry!$C$440)</f>
        <v/>
      </c>
      <c r="AF437">
        <f>IF([3]Entry!$D$440="","",[3]Entry!$D$440)</f>
        <v/>
      </c>
      <c r="AG437">
        <f>IF([3]Entry!$E$440="","",[3]Entry!$E$440)</f>
        <v/>
      </c>
      <c r="AH437">
        <f>IF([3]Entry!$G$440="","",[3]Entry!$G$440)</f>
        <v/>
      </c>
      <c r="AI437">
        <f>IF([3]Entry!$K$440="","",[3]Entry!$K$440)</f>
        <v/>
      </c>
      <c r="AJ437">
        <f>IF([3]Entry!$L$440="","",[3]Entry!$L$440)</f>
        <v/>
      </c>
      <c r="AK437">
        <f>IF([3]Entry!$M$440="","",[3]Entry!$M$440)</f>
        <v/>
      </c>
      <c r="AL437">
        <f>IF([3]Entry!$N$440="","",[3]Entry!$N$440)</f>
        <v/>
      </c>
      <c r="AM437">
        <f>IF([3]Entry!$R$440="","",[3]Entry!$R$440)</f>
        <v/>
      </c>
    </row>
    <row r="438">
      <c r="A438">
        <f>IF([1]Accounts!$D$439="","",[1]Accounts!$A$439)</f>
        <v/>
      </c>
      <c r="B438">
        <f>IF([1]Accounts!$D$439="","",[1]Accounts!$B$439)</f>
        <v/>
      </c>
      <c r="C438">
        <f>IF([1]Accounts!$D$439="","",[1]Accounts!$C$439)</f>
        <v/>
      </c>
      <c r="D438">
        <f>IF([1]Accounts!$D$439="","",[1]Accounts!$D$439)</f>
        <v/>
      </c>
      <c r="E438">
        <f>IF([1]Accounts!$D$439="","",[1]Accounts!$E$439)</f>
        <v/>
      </c>
      <c r="F438">
        <f>IF([1]Accounts!$D$439="","",[1]Accounts!$F$439)</f>
        <v/>
      </c>
      <c r="G438">
        <f>IF([1]Accounts!$D$439="","",[1]Accounts!$G$439)</f>
        <v/>
      </c>
      <c r="T438">
        <f>IF([2]Baskol!$B$441="","",[2]Baskol!$B$441)</f>
        <v/>
      </c>
      <c r="U438">
        <f>IF([2]Baskol!$C$441="","",[2]Baskol!$C$441)</f>
        <v/>
      </c>
      <c r="V438">
        <f>IF([2]Baskol!$D$441="","",[2]Baskol!$D$441)</f>
        <v/>
      </c>
      <c r="W438">
        <f>IF([2]Baskol!$E$441="","",[2]Baskol!$E$441)</f>
        <v/>
      </c>
      <c r="X438">
        <f>IF([2]Baskol!$G$441="","",[2]Baskol!$G$441)</f>
        <v/>
      </c>
      <c r="Y438">
        <f>IF([2]Baskol!$I$441="","",[2]Baskol!$I$441)</f>
        <v/>
      </c>
      <c r="Z438">
        <f>IF([2]Baskol!$J$441="","",[2]Baskol!$J$441)</f>
        <v/>
      </c>
      <c r="AA438">
        <f>IF([2]Baskol!$K$441="","",[2]Baskol!$K$441)</f>
        <v/>
      </c>
      <c r="AB438">
        <f>IF([2]Baskol!$L$441="","",[2]Baskol!$L$441)</f>
        <v/>
      </c>
      <c r="AC438">
        <f>IF([2]Baskol!$N$441="","",[2]Baskol!$N$441)</f>
        <v/>
      </c>
      <c r="AD438">
        <f>IF([2]Baskol!$O$441="","",[2]Baskol!$O$441)</f>
        <v/>
      </c>
      <c r="AE438">
        <f>IF([3]Entry!$C$441="","",[3]Entry!$C$441)</f>
        <v/>
      </c>
      <c r="AF438">
        <f>IF([3]Entry!$D$441="","",[3]Entry!$D$441)</f>
        <v/>
      </c>
      <c r="AG438">
        <f>IF([3]Entry!$E$441="","",[3]Entry!$E$441)</f>
        <v/>
      </c>
      <c r="AH438">
        <f>IF([3]Entry!$G$441="","",[3]Entry!$G$441)</f>
        <v/>
      </c>
      <c r="AI438">
        <f>IF([3]Entry!$K$441="","",[3]Entry!$K$441)</f>
        <v/>
      </c>
      <c r="AJ438">
        <f>IF([3]Entry!$L$441="","",[3]Entry!$L$441)</f>
        <v/>
      </c>
      <c r="AK438">
        <f>IF([3]Entry!$M$441="","",[3]Entry!$M$441)</f>
        <v/>
      </c>
      <c r="AL438">
        <f>IF([3]Entry!$N$441="","",[3]Entry!$N$441)</f>
        <v/>
      </c>
      <c r="AM438">
        <f>IF([3]Entry!$R$441="","",[3]Entry!$R$441)</f>
        <v/>
      </c>
    </row>
    <row r="439">
      <c r="A439">
        <f>IF([1]Accounts!$D$440="","",[1]Accounts!$A$440)</f>
        <v/>
      </c>
      <c r="B439">
        <f>IF([1]Accounts!$D$440="","",[1]Accounts!$B$440)</f>
        <v/>
      </c>
      <c r="C439">
        <f>IF([1]Accounts!$D$440="","",[1]Accounts!$C$440)</f>
        <v/>
      </c>
      <c r="D439">
        <f>IF([1]Accounts!$D$440="","",[1]Accounts!$D$440)</f>
        <v/>
      </c>
      <c r="E439">
        <f>IF([1]Accounts!$D$440="","",[1]Accounts!$E$440)</f>
        <v/>
      </c>
      <c r="F439">
        <f>IF([1]Accounts!$D$440="","",[1]Accounts!$F$440)</f>
        <v/>
      </c>
      <c r="G439">
        <f>IF([1]Accounts!$D$440="","",[1]Accounts!$G$440)</f>
        <v/>
      </c>
      <c r="T439">
        <f>IF([2]Baskol!$B$442="","",[2]Baskol!$B$442)</f>
        <v/>
      </c>
      <c r="U439">
        <f>IF([2]Baskol!$C$442="","",[2]Baskol!$C$442)</f>
        <v/>
      </c>
      <c r="V439">
        <f>IF([2]Baskol!$D$442="","",[2]Baskol!$D$442)</f>
        <v/>
      </c>
      <c r="W439">
        <f>IF([2]Baskol!$E$442="","",[2]Baskol!$E$442)</f>
        <v/>
      </c>
      <c r="X439">
        <f>IF([2]Baskol!$G$442="","",[2]Baskol!$G$442)</f>
        <v/>
      </c>
      <c r="Y439">
        <f>IF([2]Baskol!$I$442="","",[2]Baskol!$I$442)</f>
        <v/>
      </c>
      <c r="Z439">
        <f>IF([2]Baskol!$J$442="","",[2]Baskol!$J$442)</f>
        <v/>
      </c>
      <c r="AA439">
        <f>IF([2]Baskol!$K$442="","",[2]Baskol!$K$442)</f>
        <v/>
      </c>
      <c r="AB439">
        <f>IF([2]Baskol!$L$442="","",[2]Baskol!$L$442)</f>
        <v/>
      </c>
      <c r="AC439">
        <f>IF([2]Baskol!$N$442="","",[2]Baskol!$N$442)</f>
        <v/>
      </c>
      <c r="AD439">
        <f>IF([2]Baskol!$O$442="","",[2]Baskol!$O$442)</f>
        <v/>
      </c>
      <c r="AE439">
        <f>IF([3]Entry!$C$442="","",[3]Entry!$C$442)</f>
        <v/>
      </c>
      <c r="AF439">
        <f>IF([3]Entry!$D$442="","",[3]Entry!$D$442)</f>
        <v/>
      </c>
      <c r="AG439">
        <f>IF([3]Entry!$E$442="","",[3]Entry!$E$442)</f>
        <v/>
      </c>
      <c r="AH439">
        <f>IF([3]Entry!$G$442="","",[3]Entry!$G$442)</f>
        <v/>
      </c>
      <c r="AI439">
        <f>IF([3]Entry!$K$442="","",[3]Entry!$K$442)</f>
        <v/>
      </c>
      <c r="AJ439">
        <f>IF([3]Entry!$L$442="","",[3]Entry!$L$442)</f>
        <v/>
      </c>
      <c r="AK439">
        <f>IF([3]Entry!$M$442="","",[3]Entry!$M$442)</f>
        <v/>
      </c>
      <c r="AL439">
        <f>IF([3]Entry!$N$442="","",[3]Entry!$N$442)</f>
        <v/>
      </c>
      <c r="AM439">
        <f>IF([3]Entry!$R$442="","",[3]Entry!$R$442)</f>
        <v/>
      </c>
    </row>
    <row r="440">
      <c r="A440">
        <f>IF([1]Accounts!$D$441="","",[1]Accounts!$A$441)</f>
        <v/>
      </c>
      <c r="B440">
        <f>IF([1]Accounts!$D$441="","",[1]Accounts!$B$441)</f>
        <v/>
      </c>
      <c r="C440">
        <f>IF([1]Accounts!$D$441="","",[1]Accounts!$C$441)</f>
        <v/>
      </c>
      <c r="D440">
        <f>IF([1]Accounts!$D$441="","",[1]Accounts!$D$441)</f>
        <v/>
      </c>
      <c r="E440">
        <f>IF([1]Accounts!$D$441="","",[1]Accounts!$E$441)</f>
        <v/>
      </c>
      <c r="F440">
        <f>IF([1]Accounts!$D$441="","",[1]Accounts!$F$441)</f>
        <v/>
      </c>
      <c r="G440">
        <f>IF([1]Accounts!$D$441="","",[1]Accounts!$G$441)</f>
        <v/>
      </c>
      <c r="T440">
        <f>IF([2]Baskol!$B$443="","",[2]Baskol!$B$443)</f>
        <v/>
      </c>
      <c r="U440">
        <f>IF([2]Baskol!$C$443="","",[2]Baskol!$C$443)</f>
        <v/>
      </c>
      <c r="V440">
        <f>IF([2]Baskol!$D$443="","",[2]Baskol!$D$443)</f>
        <v/>
      </c>
      <c r="W440">
        <f>IF([2]Baskol!$E$443="","",[2]Baskol!$E$443)</f>
        <v/>
      </c>
      <c r="X440">
        <f>IF([2]Baskol!$G$443="","",[2]Baskol!$G$443)</f>
        <v/>
      </c>
      <c r="Y440">
        <f>IF([2]Baskol!$I$443="","",[2]Baskol!$I$443)</f>
        <v/>
      </c>
      <c r="Z440">
        <f>IF([2]Baskol!$J$443="","",[2]Baskol!$J$443)</f>
        <v/>
      </c>
      <c r="AA440">
        <f>IF([2]Baskol!$K$443="","",[2]Baskol!$K$443)</f>
        <v/>
      </c>
      <c r="AB440">
        <f>IF([2]Baskol!$L$443="","",[2]Baskol!$L$443)</f>
        <v/>
      </c>
      <c r="AC440">
        <f>IF([2]Baskol!$N$443="","",[2]Baskol!$N$443)</f>
        <v/>
      </c>
      <c r="AD440">
        <f>IF([2]Baskol!$O$443="","",[2]Baskol!$O$443)</f>
        <v/>
      </c>
      <c r="AE440">
        <f>IF([3]Entry!$C$443="","",[3]Entry!$C$443)</f>
        <v/>
      </c>
      <c r="AF440">
        <f>IF([3]Entry!$D$443="","",[3]Entry!$D$443)</f>
        <v/>
      </c>
      <c r="AG440">
        <f>IF([3]Entry!$E$443="","",[3]Entry!$E$443)</f>
        <v/>
      </c>
      <c r="AH440">
        <f>IF([3]Entry!$G$443="","",[3]Entry!$G$443)</f>
        <v/>
      </c>
      <c r="AI440">
        <f>IF([3]Entry!$K$443="","",[3]Entry!$K$443)</f>
        <v/>
      </c>
      <c r="AJ440">
        <f>IF([3]Entry!$L$443="","",[3]Entry!$L$443)</f>
        <v/>
      </c>
      <c r="AK440">
        <f>IF([3]Entry!$M$443="","",[3]Entry!$M$443)</f>
        <v/>
      </c>
      <c r="AL440">
        <f>IF([3]Entry!$N$443="","",[3]Entry!$N$443)</f>
        <v/>
      </c>
      <c r="AM440">
        <f>IF([3]Entry!$R$443="","",[3]Entry!$R$443)</f>
        <v/>
      </c>
    </row>
    <row r="441">
      <c r="A441">
        <f>IF([1]Accounts!$D$442="","",[1]Accounts!$A$442)</f>
        <v/>
      </c>
      <c r="B441">
        <f>IF([1]Accounts!$D$442="","",[1]Accounts!$B$442)</f>
        <v/>
      </c>
      <c r="C441">
        <f>IF([1]Accounts!$D$442="","",[1]Accounts!$C$442)</f>
        <v/>
      </c>
      <c r="D441">
        <f>IF([1]Accounts!$D$442="","",[1]Accounts!$D$442)</f>
        <v/>
      </c>
      <c r="E441">
        <f>IF([1]Accounts!$D$442="","",[1]Accounts!$E$442)</f>
        <v/>
      </c>
      <c r="F441">
        <f>IF([1]Accounts!$D$442="","",[1]Accounts!$F$442)</f>
        <v/>
      </c>
      <c r="G441">
        <f>IF([1]Accounts!$D$442="","",[1]Accounts!$G$442)</f>
        <v/>
      </c>
      <c r="T441">
        <f>IF([2]Baskol!$B$444="","",[2]Baskol!$B$444)</f>
        <v/>
      </c>
      <c r="U441">
        <f>IF([2]Baskol!$C$444="","",[2]Baskol!$C$444)</f>
        <v/>
      </c>
      <c r="V441">
        <f>IF([2]Baskol!$D$444="","",[2]Baskol!$D$444)</f>
        <v/>
      </c>
      <c r="W441">
        <f>IF([2]Baskol!$E$444="","",[2]Baskol!$E$444)</f>
        <v/>
      </c>
      <c r="X441">
        <f>IF([2]Baskol!$G$444="","",[2]Baskol!$G$444)</f>
        <v/>
      </c>
      <c r="Y441">
        <f>IF([2]Baskol!$I$444="","",[2]Baskol!$I$444)</f>
        <v/>
      </c>
      <c r="Z441">
        <f>IF([2]Baskol!$J$444="","",[2]Baskol!$J$444)</f>
        <v/>
      </c>
      <c r="AA441">
        <f>IF([2]Baskol!$K$444="","",[2]Baskol!$K$444)</f>
        <v/>
      </c>
      <c r="AB441">
        <f>IF([2]Baskol!$L$444="","",[2]Baskol!$L$444)</f>
        <v/>
      </c>
      <c r="AC441">
        <f>IF([2]Baskol!$N$444="","",[2]Baskol!$N$444)</f>
        <v/>
      </c>
      <c r="AD441">
        <f>IF([2]Baskol!$O$444="","",[2]Baskol!$O$444)</f>
        <v/>
      </c>
      <c r="AE441">
        <f>IF([3]Entry!$C$444="","",[3]Entry!$C$444)</f>
        <v/>
      </c>
      <c r="AF441">
        <f>IF([3]Entry!$D$444="","",[3]Entry!$D$444)</f>
        <v/>
      </c>
      <c r="AG441">
        <f>IF([3]Entry!$E$444="","",[3]Entry!$E$444)</f>
        <v/>
      </c>
      <c r="AH441">
        <f>IF([3]Entry!$G$444="","",[3]Entry!$G$444)</f>
        <v/>
      </c>
      <c r="AI441">
        <f>IF([3]Entry!$K$444="","",[3]Entry!$K$444)</f>
        <v/>
      </c>
      <c r="AJ441">
        <f>IF([3]Entry!$L$444="","",[3]Entry!$L$444)</f>
        <v/>
      </c>
      <c r="AK441">
        <f>IF([3]Entry!$M$444="","",[3]Entry!$M$444)</f>
        <v/>
      </c>
      <c r="AL441">
        <f>IF([3]Entry!$N$444="","",[3]Entry!$N$444)</f>
        <v/>
      </c>
      <c r="AM441">
        <f>IF([3]Entry!$R$444="","",[3]Entry!$R$444)</f>
        <v/>
      </c>
    </row>
    <row r="442">
      <c r="A442">
        <f>IF([1]Accounts!$D$443="","",[1]Accounts!$A$443)</f>
        <v/>
      </c>
      <c r="B442">
        <f>IF([1]Accounts!$D$443="","",[1]Accounts!$B$443)</f>
        <v/>
      </c>
      <c r="C442">
        <f>IF([1]Accounts!$D$443="","",[1]Accounts!$C$443)</f>
        <v/>
      </c>
      <c r="D442">
        <f>IF([1]Accounts!$D$443="","",[1]Accounts!$D$443)</f>
        <v/>
      </c>
      <c r="E442">
        <f>IF([1]Accounts!$D$443="","",[1]Accounts!$E$443)</f>
        <v/>
      </c>
      <c r="F442">
        <f>IF([1]Accounts!$D$443="","",[1]Accounts!$F$443)</f>
        <v/>
      </c>
      <c r="G442">
        <f>IF([1]Accounts!$D$443="","",[1]Accounts!$G$443)</f>
        <v/>
      </c>
      <c r="T442">
        <f>IF([2]Baskol!$B$445="","",[2]Baskol!$B$445)</f>
        <v/>
      </c>
      <c r="U442">
        <f>IF([2]Baskol!$C$445="","",[2]Baskol!$C$445)</f>
        <v/>
      </c>
      <c r="V442">
        <f>IF([2]Baskol!$D$445="","",[2]Baskol!$D$445)</f>
        <v/>
      </c>
      <c r="W442">
        <f>IF([2]Baskol!$E$445="","",[2]Baskol!$E$445)</f>
        <v/>
      </c>
      <c r="X442">
        <f>IF([2]Baskol!$G$445="","",[2]Baskol!$G$445)</f>
        <v/>
      </c>
      <c r="Y442">
        <f>IF([2]Baskol!$I$445="","",[2]Baskol!$I$445)</f>
        <v/>
      </c>
      <c r="Z442">
        <f>IF([2]Baskol!$J$445="","",[2]Baskol!$J$445)</f>
        <v/>
      </c>
      <c r="AA442">
        <f>IF([2]Baskol!$K$445="","",[2]Baskol!$K$445)</f>
        <v/>
      </c>
      <c r="AB442">
        <f>IF([2]Baskol!$L$445="","",[2]Baskol!$L$445)</f>
        <v/>
      </c>
      <c r="AC442">
        <f>IF([2]Baskol!$N$445="","",[2]Baskol!$N$445)</f>
        <v/>
      </c>
      <c r="AD442">
        <f>IF([2]Baskol!$O$445="","",[2]Baskol!$O$445)</f>
        <v/>
      </c>
      <c r="AE442">
        <f>IF([3]Entry!$C$445="","",[3]Entry!$C$445)</f>
        <v/>
      </c>
      <c r="AF442">
        <f>IF([3]Entry!$D$445="","",[3]Entry!$D$445)</f>
        <v/>
      </c>
      <c r="AG442">
        <f>IF([3]Entry!$E$445="","",[3]Entry!$E$445)</f>
        <v/>
      </c>
      <c r="AH442">
        <f>IF([3]Entry!$G$445="","",[3]Entry!$G$445)</f>
        <v/>
      </c>
      <c r="AI442">
        <f>IF([3]Entry!$K$445="","",[3]Entry!$K$445)</f>
        <v/>
      </c>
      <c r="AJ442">
        <f>IF([3]Entry!$L$445="","",[3]Entry!$L$445)</f>
        <v/>
      </c>
      <c r="AK442">
        <f>IF([3]Entry!$M$445="","",[3]Entry!$M$445)</f>
        <v/>
      </c>
      <c r="AL442">
        <f>IF([3]Entry!$N$445="","",[3]Entry!$N$445)</f>
        <v/>
      </c>
      <c r="AM442">
        <f>IF([3]Entry!$R$445="","",[3]Entry!$R$445)</f>
        <v/>
      </c>
    </row>
    <row r="443">
      <c r="A443">
        <f>IF([1]Accounts!$D$444="","",[1]Accounts!$A$444)</f>
        <v/>
      </c>
      <c r="B443">
        <f>IF([1]Accounts!$D$444="","",[1]Accounts!$B$444)</f>
        <v/>
      </c>
      <c r="C443">
        <f>IF([1]Accounts!$D$444="","",[1]Accounts!$C$444)</f>
        <v/>
      </c>
      <c r="D443">
        <f>IF([1]Accounts!$D$444="","",[1]Accounts!$D$444)</f>
        <v/>
      </c>
      <c r="E443">
        <f>IF([1]Accounts!$D$444="","",[1]Accounts!$E$444)</f>
        <v/>
      </c>
      <c r="F443">
        <f>IF([1]Accounts!$D$444="","",[1]Accounts!$F$444)</f>
        <v/>
      </c>
      <c r="G443">
        <f>IF([1]Accounts!$D$444="","",[1]Accounts!$G$444)</f>
        <v/>
      </c>
      <c r="T443">
        <f>IF([2]Baskol!$B$446="","",[2]Baskol!$B$446)</f>
        <v/>
      </c>
      <c r="U443">
        <f>IF([2]Baskol!$C$446="","",[2]Baskol!$C$446)</f>
        <v/>
      </c>
      <c r="V443">
        <f>IF([2]Baskol!$D$446="","",[2]Baskol!$D$446)</f>
        <v/>
      </c>
      <c r="W443">
        <f>IF([2]Baskol!$E$446="","",[2]Baskol!$E$446)</f>
        <v/>
      </c>
      <c r="X443">
        <f>IF([2]Baskol!$G$446="","",[2]Baskol!$G$446)</f>
        <v/>
      </c>
      <c r="Y443">
        <f>IF([2]Baskol!$I$446="","",[2]Baskol!$I$446)</f>
        <v/>
      </c>
      <c r="Z443">
        <f>IF([2]Baskol!$J$446="","",[2]Baskol!$J$446)</f>
        <v/>
      </c>
      <c r="AA443">
        <f>IF([2]Baskol!$K$446="","",[2]Baskol!$K$446)</f>
        <v/>
      </c>
      <c r="AB443">
        <f>IF([2]Baskol!$L$446="","",[2]Baskol!$L$446)</f>
        <v/>
      </c>
      <c r="AC443">
        <f>IF([2]Baskol!$N$446="","",[2]Baskol!$N$446)</f>
        <v/>
      </c>
      <c r="AD443">
        <f>IF([2]Baskol!$O$446="","",[2]Baskol!$O$446)</f>
        <v/>
      </c>
      <c r="AE443">
        <f>IF([3]Entry!$C$446="","",[3]Entry!$C$446)</f>
        <v/>
      </c>
      <c r="AF443">
        <f>IF([3]Entry!$D$446="","",[3]Entry!$D$446)</f>
        <v/>
      </c>
      <c r="AG443">
        <f>IF([3]Entry!$E$446="","",[3]Entry!$E$446)</f>
        <v/>
      </c>
      <c r="AH443">
        <f>IF([3]Entry!$G$446="","",[3]Entry!$G$446)</f>
        <v/>
      </c>
      <c r="AI443">
        <f>IF([3]Entry!$K$446="","",[3]Entry!$K$446)</f>
        <v/>
      </c>
      <c r="AJ443">
        <f>IF([3]Entry!$L$446="","",[3]Entry!$L$446)</f>
        <v/>
      </c>
      <c r="AK443">
        <f>IF([3]Entry!$M$446="","",[3]Entry!$M$446)</f>
        <v/>
      </c>
      <c r="AL443">
        <f>IF([3]Entry!$N$446="","",[3]Entry!$N$446)</f>
        <v/>
      </c>
      <c r="AM443">
        <f>IF([3]Entry!$R$446="","",[3]Entry!$R$446)</f>
        <v/>
      </c>
    </row>
    <row r="444">
      <c r="A444">
        <f>IF([1]Accounts!$D$445="","",[1]Accounts!$A$445)</f>
        <v/>
      </c>
      <c r="B444">
        <f>IF([1]Accounts!$D$445="","",[1]Accounts!$B$445)</f>
        <v/>
      </c>
      <c r="C444">
        <f>IF([1]Accounts!$D$445="","",[1]Accounts!$C$445)</f>
        <v/>
      </c>
      <c r="D444">
        <f>IF([1]Accounts!$D$445="","",[1]Accounts!$D$445)</f>
        <v/>
      </c>
      <c r="E444">
        <f>IF([1]Accounts!$D$445="","",[1]Accounts!$E$445)</f>
        <v/>
      </c>
      <c r="F444">
        <f>IF([1]Accounts!$D$445="","",[1]Accounts!$F$445)</f>
        <v/>
      </c>
      <c r="G444">
        <f>IF([1]Accounts!$D$445="","",[1]Accounts!$G$445)</f>
        <v/>
      </c>
      <c r="T444">
        <f>IF([2]Baskol!$B$447="","",[2]Baskol!$B$447)</f>
        <v/>
      </c>
      <c r="U444">
        <f>IF([2]Baskol!$C$447="","",[2]Baskol!$C$447)</f>
        <v/>
      </c>
      <c r="V444">
        <f>IF([2]Baskol!$D$447="","",[2]Baskol!$D$447)</f>
        <v/>
      </c>
      <c r="W444">
        <f>IF([2]Baskol!$E$447="","",[2]Baskol!$E$447)</f>
        <v/>
      </c>
      <c r="X444">
        <f>IF([2]Baskol!$G$447="","",[2]Baskol!$G$447)</f>
        <v/>
      </c>
      <c r="Y444">
        <f>IF([2]Baskol!$I$447="","",[2]Baskol!$I$447)</f>
        <v/>
      </c>
      <c r="Z444">
        <f>IF([2]Baskol!$J$447="","",[2]Baskol!$J$447)</f>
        <v/>
      </c>
      <c r="AA444">
        <f>IF([2]Baskol!$K$447="","",[2]Baskol!$K$447)</f>
        <v/>
      </c>
      <c r="AB444">
        <f>IF([2]Baskol!$L$447="","",[2]Baskol!$L$447)</f>
        <v/>
      </c>
      <c r="AC444">
        <f>IF([2]Baskol!$N$447="","",[2]Baskol!$N$447)</f>
        <v/>
      </c>
      <c r="AD444">
        <f>IF([2]Baskol!$O$447="","",[2]Baskol!$O$447)</f>
        <v/>
      </c>
      <c r="AE444">
        <f>IF([3]Entry!$C$447="","",[3]Entry!$C$447)</f>
        <v/>
      </c>
      <c r="AF444">
        <f>IF([3]Entry!$D$447="","",[3]Entry!$D$447)</f>
        <v/>
      </c>
      <c r="AG444">
        <f>IF([3]Entry!$E$447="","",[3]Entry!$E$447)</f>
        <v/>
      </c>
      <c r="AH444">
        <f>IF([3]Entry!$G$447="","",[3]Entry!$G$447)</f>
        <v/>
      </c>
      <c r="AI444">
        <f>IF([3]Entry!$K$447="","",[3]Entry!$K$447)</f>
        <v/>
      </c>
      <c r="AJ444">
        <f>IF([3]Entry!$L$447="","",[3]Entry!$L$447)</f>
        <v/>
      </c>
      <c r="AK444">
        <f>IF([3]Entry!$M$447="","",[3]Entry!$M$447)</f>
        <v/>
      </c>
      <c r="AL444">
        <f>IF([3]Entry!$N$447="","",[3]Entry!$N$447)</f>
        <v/>
      </c>
      <c r="AM444">
        <f>IF([3]Entry!$R$447="","",[3]Entry!$R$447)</f>
        <v/>
      </c>
    </row>
    <row r="445">
      <c r="A445">
        <f>IF([1]Accounts!$D$446="","",[1]Accounts!$A$446)</f>
        <v/>
      </c>
      <c r="B445">
        <f>IF([1]Accounts!$D$446="","",[1]Accounts!$B$446)</f>
        <v/>
      </c>
      <c r="C445">
        <f>IF([1]Accounts!$D$446="","",[1]Accounts!$C$446)</f>
        <v/>
      </c>
      <c r="D445">
        <f>IF([1]Accounts!$D$446="","",[1]Accounts!$D$446)</f>
        <v/>
      </c>
      <c r="E445">
        <f>IF([1]Accounts!$D$446="","",[1]Accounts!$E$446)</f>
        <v/>
      </c>
      <c r="F445">
        <f>IF([1]Accounts!$D$446="","",[1]Accounts!$F$446)</f>
        <v/>
      </c>
      <c r="G445">
        <f>IF([1]Accounts!$D$446="","",[1]Accounts!$G$446)</f>
        <v/>
      </c>
      <c r="T445">
        <f>IF([2]Baskol!$B$448="","",[2]Baskol!$B$448)</f>
        <v/>
      </c>
      <c r="U445">
        <f>IF([2]Baskol!$C$448="","",[2]Baskol!$C$448)</f>
        <v/>
      </c>
      <c r="V445">
        <f>IF([2]Baskol!$D$448="","",[2]Baskol!$D$448)</f>
        <v/>
      </c>
      <c r="W445">
        <f>IF([2]Baskol!$E$448="","",[2]Baskol!$E$448)</f>
        <v/>
      </c>
      <c r="X445">
        <f>IF([2]Baskol!$G$448="","",[2]Baskol!$G$448)</f>
        <v/>
      </c>
      <c r="Y445">
        <f>IF([2]Baskol!$I$448="","",[2]Baskol!$I$448)</f>
        <v/>
      </c>
      <c r="Z445">
        <f>IF([2]Baskol!$J$448="","",[2]Baskol!$J$448)</f>
        <v/>
      </c>
      <c r="AA445">
        <f>IF([2]Baskol!$K$448="","",[2]Baskol!$K$448)</f>
        <v/>
      </c>
      <c r="AB445">
        <f>IF([2]Baskol!$L$448="","",[2]Baskol!$L$448)</f>
        <v/>
      </c>
      <c r="AC445">
        <f>IF([2]Baskol!$N$448="","",[2]Baskol!$N$448)</f>
        <v/>
      </c>
      <c r="AD445">
        <f>IF([2]Baskol!$O$448="","",[2]Baskol!$O$448)</f>
        <v/>
      </c>
      <c r="AE445">
        <f>IF([3]Entry!$C$448="","",[3]Entry!$C$448)</f>
        <v/>
      </c>
      <c r="AF445">
        <f>IF([3]Entry!$D$448="","",[3]Entry!$D$448)</f>
        <v/>
      </c>
      <c r="AG445">
        <f>IF([3]Entry!$E$448="","",[3]Entry!$E$448)</f>
        <v/>
      </c>
      <c r="AH445">
        <f>IF([3]Entry!$G$448="","",[3]Entry!$G$448)</f>
        <v/>
      </c>
      <c r="AI445">
        <f>IF([3]Entry!$K$448="","",[3]Entry!$K$448)</f>
        <v/>
      </c>
      <c r="AJ445">
        <f>IF([3]Entry!$L$448="","",[3]Entry!$L$448)</f>
        <v/>
      </c>
      <c r="AK445">
        <f>IF([3]Entry!$M$448="","",[3]Entry!$M$448)</f>
        <v/>
      </c>
      <c r="AL445">
        <f>IF([3]Entry!$N$448="","",[3]Entry!$N$448)</f>
        <v/>
      </c>
      <c r="AM445">
        <f>IF([3]Entry!$R$448="","",[3]Entry!$R$448)</f>
        <v/>
      </c>
    </row>
    <row r="446">
      <c r="A446">
        <f>IF([1]Accounts!$D$447="","",[1]Accounts!$A$447)</f>
        <v/>
      </c>
      <c r="B446">
        <f>IF([1]Accounts!$D$447="","",[1]Accounts!$B$447)</f>
        <v/>
      </c>
      <c r="C446">
        <f>IF([1]Accounts!$D$447="","",[1]Accounts!$C$447)</f>
        <v/>
      </c>
      <c r="D446">
        <f>IF([1]Accounts!$D$447="","",[1]Accounts!$D$447)</f>
        <v/>
      </c>
      <c r="E446">
        <f>IF([1]Accounts!$D$447="","",[1]Accounts!$E$447)</f>
        <v/>
      </c>
      <c r="F446">
        <f>IF([1]Accounts!$D$447="","",[1]Accounts!$F$447)</f>
        <v/>
      </c>
      <c r="G446">
        <f>IF([1]Accounts!$D$447="","",[1]Accounts!$G$447)</f>
        <v/>
      </c>
      <c r="T446">
        <f>IF([2]Baskol!$B$449="","",[2]Baskol!$B$449)</f>
        <v/>
      </c>
      <c r="U446">
        <f>IF([2]Baskol!$C$449="","",[2]Baskol!$C$449)</f>
        <v/>
      </c>
      <c r="V446">
        <f>IF([2]Baskol!$D$449="","",[2]Baskol!$D$449)</f>
        <v/>
      </c>
      <c r="W446">
        <f>IF([2]Baskol!$E$449="","",[2]Baskol!$E$449)</f>
        <v/>
      </c>
      <c r="X446">
        <f>IF([2]Baskol!$G$449="","",[2]Baskol!$G$449)</f>
        <v/>
      </c>
      <c r="Y446">
        <f>IF([2]Baskol!$I$449="","",[2]Baskol!$I$449)</f>
        <v/>
      </c>
      <c r="Z446">
        <f>IF([2]Baskol!$J$449="","",[2]Baskol!$J$449)</f>
        <v/>
      </c>
      <c r="AA446">
        <f>IF([2]Baskol!$K$449="","",[2]Baskol!$K$449)</f>
        <v/>
      </c>
      <c r="AB446">
        <f>IF([2]Baskol!$L$449="","",[2]Baskol!$L$449)</f>
        <v/>
      </c>
      <c r="AC446">
        <f>IF([2]Baskol!$N$449="","",[2]Baskol!$N$449)</f>
        <v/>
      </c>
      <c r="AD446">
        <f>IF([2]Baskol!$O$449="","",[2]Baskol!$O$449)</f>
        <v/>
      </c>
      <c r="AE446">
        <f>IF([3]Entry!$C$449="","",[3]Entry!$C$449)</f>
        <v/>
      </c>
      <c r="AF446">
        <f>IF([3]Entry!$D$449="","",[3]Entry!$D$449)</f>
        <v/>
      </c>
      <c r="AG446">
        <f>IF([3]Entry!$E$449="","",[3]Entry!$E$449)</f>
        <v/>
      </c>
      <c r="AH446">
        <f>IF([3]Entry!$G$449="","",[3]Entry!$G$449)</f>
        <v/>
      </c>
      <c r="AI446">
        <f>IF([3]Entry!$K$449="","",[3]Entry!$K$449)</f>
        <v/>
      </c>
      <c r="AJ446">
        <f>IF([3]Entry!$L$449="","",[3]Entry!$L$449)</f>
        <v/>
      </c>
      <c r="AK446">
        <f>IF([3]Entry!$M$449="","",[3]Entry!$M$449)</f>
        <v/>
      </c>
      <c r="AL446">
        <f>IF([3]Entry!$N$449="","",[3]Entry!$N$449)</f>
        <v/>
      </c>
      <c r="AM446">
        <f>IF([3]Entry!$R$449="","",[3]Entry!$R$449)</f>
        <v/>
      </c>
    </row>
    <row r="447">
      <c r="A447">
        <f>IF([1]Accounts!$D$448="","",[1]Accounts!$A$448)</f>
        <v/>
      </c>
      <c r="B447">
        <f>IF([1]Accounts!$D$448="","",[1]Accounts!$B$448)</f>
        <v/>
      </c>
      <c r="C447">
        <f>IF([1]Accounts!$D$448="","",[1]Accounts!$C$448)</f>
        <v/>
      </c>
      <c r="D447">
        <f>IF([1]Accounts!$D$448="","",[1]Accounts!$D$448)</f>
        <v/>
      </c>
      <c r="E447">
        <f>IF([1]Accounts!$D$448="","",[1]Accounts!$E$448)</f>
        <v/>
      </c>
      <c r="F447">
        <f>IF([1]Accounts!$D$448="","",[1]Accounts!$F$448)</f>
        <v/>
      </c>
      <c r="G447">
        <f>IF([1]Accounts!$D$448="","",[1]Accounts!$G$448)</f>
        <v/>
      </c>
      <c r="T447">
        <f>IF([2]Baskol!$B$450="","",[2]Baskol!$B$450)</f>
        <v/>
      </c>
      <c r="U447">
        <f>IF([2]Baskol!$C$450="","",[2]Baskol!$C$450)</f>
        <v/>
      </c>
      <c r="V447">
        <f>IF([2]Baskol!$D$450="","",[2]Baskol!$D$450)</f>
        <v/>
      </c>
      <c r="W447">
        <f>IF([2]Baskol!$E$450="","",[2]Baskol!$E$450)</f>
        <v/>
      </c>
      <c r="X447">
        <f>IF([2]Baskol!$G$450="","",[2]Baskol!$G$450)</f>
        <v/>
      </c>
      <c r="Y447">
        <f>IF([2]Baskol!$I$450="","",[2]Baskol!$I$450)</f>
        <v/>
      </c>
      <c r="Z447">
        <f>IF([2]Baskol!$J$450="","",[2]Baskol!$J$450)</f>
        <v/>
      </c>
      <c r="AA447">
        <f>IF([2]Baskol!$K$450="","",[2]Baskol!$K$450)</f>
        <v/>
      </c>
      <c r="AB447">
        <f>IF([2]Baskol!$L$450="","",[2]Baskol!$L$450)</f>
        <v/>
      </c>
      <c r="AC447">
        <f>IF([2]Baskol!$N$450="","",[2]Baskol!$N$450)</f>
        <v/>
      </c>
      <c r="AD447">
        <f>IF([2]Baskol!$O$450="","",[2]Baskol!$O$450)</f>
        <v/>
      </c>
      <c r="AE447">
        <f>IF([3]Entry!$C$450="","",[3]Entry!$C$450)</f>
        <v/>
      </c>
      <c r="AF447">
        <f>IF([3]Entry!$D$450="","",[3]Entry!$D$450)</f>
        <v/>
      </c>
      <c r="AG447">
        <f>IF([3]Entry!$E$450="","",[3]Entry!$E$450)</f>
        <v/>
      </c>
      <c r="AH447">
        <f>IF([3]Entry!$G$450="","",[3]Entry!$G$450)</f>
        <v/>
      </c>
      <c r="AI447">
        <f>IF([3]Entry!$K$450="","",[3]Entry!$K$450)</f>
        <v/>
      </c>
      <c r="AJ447">
        <f>IF([3]Entry!$L$450="","",[3]Entry!$L$450)</f>
        <v/>
      </c>
      <c r="AK447">
        <f>IF([3]Entry!$M$450="","",[3]Entry!$M$450)</f>
        <v/>
      </c>
      <c r="AL447">
        <f>IF([3]Entry!$N$450="","",[3]Entry!$N$450)</f>
        <v/>
      </c>
      <c r="AM447">
        <f>IF([3]Entry!$R$450="","",[3]Entry!$R$450)</f>
        <v/>
      </c>
    </row>
    <row r="448">
      <c r="A448">
        <f>IF([1]Accounts!$D$449="","",[1]Accounts!$A$449)</f>
        <v/>
      </c>
      <c r="B448">
        <f>IF([1]Accounts!$D$449="","",[1]Accounts!$B$449)</f>
        <v/>
      </c>
      <c r="C448">
        <f>IF([1]Accounts!$D$449="","",[1]Accounts!$C$449)</f>
        <v/>
      </c>
      <c r="D448">
        <f>IF([1]Accounts!$D$449="","",[1]Accounts!$D$449)</f>
        <v/>
      </c>
      <c r="E448">
        <f>IF([1]Accounts!$D$449="","",[1]Accounts!$E$449)</f>
        <v/>
      </c>
      <c r="F448">
        <f>IF([1]Accounts!$D$449="","",[1]Accounts!$F$449)</f>
        <v/>
      </c>
      <c r="G448">
        <f>IF([1]Accounts!$D$449="","",[1]Accounts!$G$449)</f>
        <v/>
      </c>
      <c r="T448">
        <f>IF([2]Baskol!$B$451="","",[2]Baskol!$B$451)</f>
        <v/>
      </c>
      <c r="U448">
        <f>IF([2]Baskol!$C$451="","",[2]Baskol!$C$451)</f>
        <v/>
      </c>
      <c r="V448">
        <f>IF([2]Baskol!$D$451="","",[2]Baskol!$D$451)</f>
        <v/>
      </c>
      <c r="W448">
        <f>IF([2]Baskol!$E$451="","",[2]Baskol!$E$451)</f>
        <v/>
      </c>
      <c r="X448">
        <f>IF([2]Baskol!$G$451="","",[2]Baskol!$G$451)</f>
        <v/>
      </c>
      <c r="Y448">
        <f>IF([2]Baskol!$I$451="","",[2]Baskol!$I$451)</f>
        <v/>
      </c>
      <c r="Z448">
        <f>IF([2]Baskol!$J$451="","",[2]Baskol!$J$451)</f>
        <v/>
      </c>
      <c r="AA448">
        <f>IF([2]Baskol!$K$451="","",[2]Baskol!$K$451)</f>
        <v/>
      </c>
      <c r="AB448">
        <f>IF([2]Baskol!$L$451="","",[2]Baskol!$L$451)</f>
        <v/>
      </c>
      <c r="AC448">
        <f>IF([2]Baskol!$N$451="","",[2]Baskol!$N$451)</f>
        <v/>
      </c>
      <c r="AD448">
        <f>IF([2]Baskol!$O$451="","",[2]Baskol!$O$451)</f>
        <v/>
      </c>
      <c r="AE448">
        <f>IF([3]Entry!$C$451="","",[3]Entry!$C$451)</f>
        <v/>
      </c>
      <c r="AF448">
        <f>IF([3]Entry!$D$451="","",[3]Entry!$D$451)</f>
        <v/>
      </c>
      <c r="AG448">
        <f>IF([3]Entry!$E$451="","",[3]Entry!$E$451)</f>
        <v/>
      </c>
      <c r="AH448">
        <f>IF([3]Entry!$G$451="","",[3]Entry!$G$451)</f>
        <v/>
      </c>
      <c r="AI448">
        <f>IF([3]Entry!$K$451="","",[3]Entry!$K$451)</f>
        <v/>
      </c>
      <c r="AJ448">
        <f>IF([3]Entry!$L$451="","",[3]Entry!$L$451)</f>
        <v/>
      </c>
      <c r="AK448">
        <f>IF([3]Entry!$M$451="","",[3]Entry!$M$451)</f>
        <v/>
      </c>
      <c r="AL448">
        <f>IF([3]Entry!$N$451="","",[3]Entry!$N$451)</f>
        <v/>
      </c>
      <c r="AM448">
        <f>IF([3]Entry!$R$451="","",[3]Entry!$R$451)</f>
        <v/>
      </c>
    </row>
    <row r="449">
      <c r="A449">
        <f>IF([1]Accounts!$D$450="","",[1]Accounts!$A$450)</f>
        <v/>
      </c>
      <c r="B449">
        <f>IF([1]Accounts!$D$450="","",[1]Accounts!$B$450)</f>
        <v/>
      </c>
      <c r="C449">
        <f>IF([1]Accounts!$D$450="","",[1]Accounts!$C$450)</f>
        <v/>
      </c>
      <c r="D449">
        <f>IF([1]Accounts!$D$450="","",[1]Accounts!$D$450)</f>
        <v/>
      </c>
      <c r="E449">
        <f>IF([1]Accounts!$D$450="","",[1]Accounts!$E$450)</f>
        <v/>
      </c>
      <c r="F449">
        <f>IF([1]Accounts!$D$450="","",[1]Accounts!$F$450)</f>
        <v/>
      </c>
      <c r="G449">
        <f>IF([1]Accounts!$D$450="","",[1]Accounts!$G$450)</f>
        <v/>
      </c>
      <c r="T449">
        <f>IF([2]Baskol!$B$452="","",[2]Baskol!$B$452)</f>
        <v/>
      </c>
      <c r="U449">
        <f>IF([2]Baskol!$C$452="","",[2]Baskol!$C$452)</f>
        <v/>
      </c>
      <c r="V449">
        <f>IF([2]Baskol!$D$452="","",[2]Baskol!$D$452)</f>
        <v/>
      </c>
      <c r="W449">
        <f>IF([2]Baskol!$E$452="","",[2]Baskol!$E$452)</f>
        <v/>
      </c>
      <c r="X449">
        <f>IF([2]Baskol!$G$452="","",[2]Baskol!$G$452)</f>
        <v/>
      </c>
      <c r="Y449">
        <f>IF([2]Baskol!$I$452="","",[2]Baskol!$I$452)</f>
        <v/>
      </c>
      <c r="Z449">
        <f>IF([2]Baskol!$J$452="","",[2]Baskol!$J$452)</f>
        <v/>
      </c>
      <c r="AA449">
        <f>IF([2]Baskol!$K$452="","",[2]Baskol!$K$452)</f>
        <v/>
      </c>
      <c r="AB449">
        <f>IF([2]Baskol!$L$452="","",[2]Baskol!$L$452)</f>
        <v/>
      </c>
      <c r="AC449">
        <f>IF([2]Baskol!$N$452="","",[2]Baskol!$N$452)</f>
        <v/>
      </c>
      <c r="AD449">
        <f>IF([2]Baskol!$O$452="","",[2]Baskol!$O$452)</f>
        <v/>
      </c>
      <c r="AE449">
        <f>IF([3]Entry!$C$452="","",[3]Entry!$C$452)</f>
        <v/>
      </c>
      <c r="AF449">
        <f>IF([3]Entry!$D$452="","",[3]Entry!$D$452)</f>
        <v/>
      </c>
      <c r="AG449">
        <f>IF([3]Entry!$E$452="","",[3]Entry!$E$452)</f>
        <v/>
      </c>
      <c r="AH449">
        <f>IF([3]Entry!$G$452="","",[3]Entry!$G$452)</f>
        <v/>
      </c>
      <c r="AI449">
        <f>IF([3]Entry!$K$452="","",[3]Entry!$K$452)</f>
        <v/>
      </c>
      <c r="AJ449">
        <f>IF([3]Entry!$L$452="","",[3]Entry!$L$452)</f>
        <v/>
      </c>
      <c r="AK449">
        <f>IF([3]Entry!$M$452="","",[3]Entry!$M$452)</f>
        <v/>
      </c>
      <c r="AL449">
        <f>IF([3]Entry!$N$452="","",[3]Entry!$N$452)</f>
        <v/>
      </c>
      <c r="AM449">
        <f>IF([3]Entry!$R$452="","",[3]Entry!$R$452)</f>
        <v/>
      </c>
    </row>
    <row r="450">
      <c r="A450">
        <f>IF([1]Accounts!$D$451="","",[1]Accounts!$A$451)</f>
        <v/>
      </c>
      <c r="B450">
        <f>IF([1]Accounts!$D$451="","",[1]Accounts!$B$451)</f>
        <v/>
      </c>
      <c r="C450">
        <f>IF([1]Accounts!$D$451="","",[1]Accounts!$C$451)</f>
        <v/>
      </c>
      <c r="D450">
        <f>IF([1]Accounts!$D$451="","",[1]Accounts!$D$451)</f>
        <v/>
      </c>
      <c r="E450">
        <f>IF([1]Accounts!$D$451="","",[1]Accounts!$E$451)</f>
        <v/>
      </c>
      <c r="F450">
        <f>IF([1]Accounts!$D$451="","",[1]Accounts!$F$451)</f>
        <v/>
      </c>
      <c r="G450">
        <f>IF([1]Accounts!$D$451="","",[1]Accounts!$G$451)</f>
        <v/>
      </c>
      <c r="T450">
        <f>IF([2]Baskol!$B$453="","",[2]Baskol!$B$453)</f>
        <v/>
      </c>
      <c r="U450">
        <f>IF([2]Baskol!$C$453="","",[2]Baskol!$C$453)</f>
        <v/>
      </c>
      <c r="V450">
        <f>IF([2]Baskol!$D$453="","",[2]Baskol!$D$453)</f>
        <v/>
      </c>
      <c r="W450">
        <f>IF([2]Baskol!$E$453="","",[2]Baskol!$E$453)</f>
        <v/>
      </c>
      <c r="X450">
        <f>IF([2]Baskol!$G$453="","",[2]Baskol!$G$453)</f>
        <v/>
      </c>
      <c r="Y450">
        <f>IF([2]Baskol!$I$453="","",[2]Baskol!$I$453)</f>
        <v/>
      </c>
      <c r="Z450">
        <f>IF([2]Baskol!$J$453="","",[2]Baskol!$J$453)</f>
        <v/>
      </c>
      <c r="AA450">
        <f>IF([2]Baskol!$K$453="","",[2]Baskol!$K$453)</f>
        <v/>
      </c>
      <c r="AB450">
        <f>IF([2]Baskol!$L$453="","",[2]Baskol!$L$453)</f>
        <v/>
      </c>
      <c r="AC450">
        <f>IF([2]Baskol!$N$453="","",[2]Baskol!$N$453)</f>
        <v/>
      </c>
      <c r="AD450">
        <f>IF([2]Baskol!$O$453="","",[2]Baskol!$O$453)</f>
        <v/>
      </c>
      <c r="AE450">
        <f>IF([3]Entry!$C$453="","",[3]Entry!$C$453)</f>
        <v/>
      </c>
      <c r="AF450">
        <f>IF([3]Entry!$D$453="","",[3]Entry!$D$453)</f>
        <v/>
      </c>
      <c r="AG450">
        <f>IF([3]Entry!$E$453="","",[3]Entry!$E$453)</f>
        <v/>
      </c>
      <c r="AH450">
        <f>IF([3]Entry!$G$453="","",[3]Entry!$G$453)</f>
        <v/>
      </c>
      <c r="AI450">
        <f>IF([3]Entry!$K$453="","",[3]Entry!$K$453)</f>
        <v/>
      </c>
      <c r="AJ450">
        <f>IF([3]Entry!$L$453="","",[3]Entry!$L$453)</f>
        <v/>
      </c>
      <c r="AK450">
        <f>IF([3]Entry!$M$453="","",[3]Entry!$M$453)</f>
        <v/>
      </c>
      <c r="AL450">
        <f>IF([3]Entry!$N$453="","",[3]Entry!$N$453)</f>
        <v/>
      </c>
      <c r="AM450">
        <f>IF([3]Entry!$R$453="","",[3]Entry!$R$453)</f>
        <v/>
      </c>
    </row>
    <row r="451">
      <c r="A451">
        <f>IF([1]Accounts!$D$452="","",[1]Accounts!$A$452)</f>
        <v/>
      </c>
      <c r="B451">
        <f>IF([1]Accounts!$D$452="","",[1]Accounts!$B$452)</f>
        <v/>
      </c>
      <c r="C451">
        <f>IF([1]Accounts!$D$452="","",[1]Accounts!$C$452)</f>
        <v/>
      </c>
      <c r="D451">
        <f>IF([1]Accounts!$D$452="","",[1]Accounts!$D$452)</f>
        <v/>
      </c>
      <c r="E451">
        <f>IF([1]Accounts!$D$452="","",[1]Accounts!$E$452)</f>
        <v/>
      </c>
      <c r="F451">
        <f>IF([1]Accounts!$D$452="","",[1]Accounts!$F$452)</f>
        <v/>
      </c>
      <c r="G451">
        <f>IF([1]Accounts!$D$452="","",[1]Accounts!$G$452)</f>
        <v/>
      </c>
      <c r="T451">
        <f>IF([2]Baskol!$B$454="","",[2]Baskol!$B$454)</f>
        <v/>
      </c>
      <c r="U451">
        <f>IF([2]Baskol!$C$454="","",[2]Baskol!$C$454)</f>
        <v/>
      </c>
      <c r="V451">
        <f>IF([2]Baskol!$D$454="","",[2]Baskol!$D$454)</f>
        <v/>
      </c>
      <c r="W451">
        <f>IF([2]Baskol!$E$454="","",[2]Baskol!$E$454)</f>
        <v/>
      </c>
      <c r="X451">
        <f>IF([2]Baskol!$G$454="","",[2]Baskol!$G$454)</f>
        <v/>
      </c>
      <c r="Y451">
        <f>IF([2]Baskol!$I$454="","",[2]Baskol!$I$454)</f>
        <v/>
      </c>
      <c r="Z451">
        <f>IF([2]Baskol!$J$454="","",[2]Baskol!$J$454)</f>
        <v/>
      </c>
      <c r="AA451">
        <f>IF([2]Baskol!$K$454="","",[2]Baskol!$K$454)</f>
        <v/>
      </c>
      <c r="AB451">
        <f>IF([2]Baskol!$L$454="","",[2]Baskol!$L$454)</f>
        <v/>
      </c>
      <c r="AC451">
        <f>IF([2]Baskol!$N$454="","",[2]Baskol!$N$454)</f>
        <v/>
      </c>
      <c r="AD451">
        <f>IF([2]Baskol!$O$454="","",[2]Baskol!$O$454)</f>
        <v/>
      </c>
      <c r="AE451">
        <f>IF([3]Entry!$C$454="","",[3]Entry!$C$454)</f>
        <v/>
      </c>
      <c r="AF451">
        <f>IF([3]Entry!$D$454="","",[3]Entry!$D$454)</f>
        <v/>
      </c>
      <c r="AG451">
        <f>IF([3]Entry!$E$454="","",[3]Entry!$E$454)</f>
        <v/>
      </c>
      <c r="AH451">
        <f>IF([3]Entry!$G$454="","",[3]Entry!$G$454)</f>
        <v/>
      </c>
      <c r="AI451">
        <f>IF([3]Entry!$K$454="","",[3]Entry!$K$454)</f>
        <v/>
      </c>
      <c r="AJ451">
        <f>IF([3]Entry!$L$454="","",[3]Entry!$L$454)</f>
        <v/>
      </c>
      <c r="AK451">
        <f>IF([3]Entry!$M$454="","",[3]Entry!$M$454)</f>
        <v/>
      </c>
      <c r="AL451">
        <f>IF([3]Entry!$N$454="","",[3]Entry!$N$454)</f>
        <v/>
      </c>
      <c r="AM451">
        <f>IF([3]Entry!$R$454="","",[3]Entry!$R$454)</f>
        <v/>
      </c>
    </row>
    <row r="452">
      <c r="A452">
        <f>IF([1]Accounts!$D$453="","",[1]Accounts!$A$453)</f>
        <v/>
      </c>
      <c r="B452">
        <f>IF([1]Accounts!$D$453="","",[1]Accounts!$B$453)</f>
        <v/>
      </c>
      <c r="C452">
        <f>IF([1]Accounts!$D$453="","",[1]Accounts!$C$453)</f>
        <v/>
      </c>
      <c r="D452">
        <f>IF([1]Accounts!$D$453="","",[1]Accounts!$D$453)</f>
        <v/>
      </c>
      <c r="E452">
        <f>IF([1]Accounts!$D$453="","",[1]Accounts!$E$453)</f>
        <v/>
      </c>
      <c r="F452">
        <f>IF([1]Accounts!$D$453="","",[1]Accounts!$F$453)</f>
        <v/>
      </c>
      <c r="G452">
        <f>IF([1]Accounts!$D$453="","",[1]Accounts!$G$453)</f>
        <v/>
      </c>
      <c r="T452">
        <f>IF([2]Baskol!$B$455="","",[2]Baskol!$B$455)</f>
        <v/>
      </c>
      <c r="U452">
        <f>IF([2]Baskol!$C$455="","",[2]Baskol!$C$455)</f>
        <v/>
      </c>
      <c r="V452">
        <f>IF([2]Baskol!$D$455="","",[2]Baskol!$D$455)</f>
        <v/>
      </c>
      <c r="W452">
        <f>IF([2]Baskol!$E$455="","",[2]Baskol!$E$455)</f>
        <v/>
      </c>
      <c r="X452">
        <f>IF([2]Baskol!$G$455="","",[2]Baskol!$G$455)</f>
        <v/>
      </c>
      <c r="Y452">
        <f>IF([2]Baskol!$I$455="","",[2]Baskol!$I$455)</f>
        <v/>
      </c>
      <c r="Z452">
        <f>IF([2]Baskol!$J$455="","",[2]Baskol!$J$455)</f>
        <v/>
      </c>
      <c r="AA452">
        <f>IF([2]Baskol!$K$455="","",[2]Baskol!$K$455)</f>
        <v/>
      </c>
      <c r="AB452">
        <f>IF([2]Baskol!$L$455="","",[2]Baskol!$L$455)</f>
        <v/>
      </c>
      <c r="AC452">
        <f>IF([2]Baskol!$N$455="","",[2]Baskol!$N$455)</f>
        <v/>
      </c>
      <c r="AD452">
        <f>IF([2]Baskol!$O$455="","",[2]Baskol!$O$455)</f>
        <v/>
      </c>
      <c r="AE452">
        <f>IF([3]Entry!$C$455="","",[3]Entry!$C$455)</f>
        <v/>
      </c>
      <c r="AF452">
        <f>IF([3]Entry!$D$455="","",[3]Entry!$D$455)</f>
        <v/>
      </c>
      <c r="AG452">
        <f>IF([3]Entry!$E$455="","",[3]Entry!$E$455)</f>
        <v/>
      </c>
      <c r="AH452">
        <f>IF([3]Entry!$G$455="","",[3]Entry!$G$455)</f>
        <v/>
      </c>
      <c r="AI452">
        <f>IF([3]Entry!$K$455="","",[3]Entry!$K$455)</f>
        <v/>
      </c>
      <c r="AJ452">
        <f>IF([3]Entry!$L$455="","",[3]Entry!$L$455)</f>
        <v/>
      </c>
      <c r="AK452">
        <f>IF([3]Entry!$M$455="","",[3]Entry!$M$455)</f>
        <v/>
      </c>
      <c r="AL452">
        <f>IF([3]Entry!$N$455="","",[3]Entry!$N$455)</f>
        <v/>
      </c>
      <c r="AM452">
        <f>IF([3]Entry!$R$455="","",[3]Entry!$R$455)</f>
        <v/>
      </c>
    </row>
    <row r="453">
      <c r="A453">
        <f>IF([1]Accounts!$D$454="","",[1]Accounts!$A$454)</f>
        <v/>
      </c>
      <c r="B453">
        <f>IF([1]Accounts!$D$454="","",[1]Accounts!$B$454)</f>
        <v/>
      </c>
      <c r="C453">
        <f>IF([1]Accounts!$D$454="","",[1]Accounts!$C$454)</f>
        <v/>
      </c>
      <c r="D453">
        <f>IF([1]Accounts!$D$454="","",[1]Accounts!$D$454)</f>
        <v/>
      </c>
      <c r="E453">
        <f>IF([1]Accounts!$D$454="","",[1]Accounts!$E$454)</f>
        <v/>
      </c>
      <c r="F453">
        <f>IF([1]Accounts!$D$454="","",[1]Accounts!$F$454)</f>
        <v/>
      </c>
      <c r="G453">
        <f>IF([1]Accounts!$D$454="","",[1]Accounts!$G$454)</f>
        <v/>
      </c>
      <c r="T453">
        <f>IF([2]Baskol!$B$456="","",[2]Baskol!$B$456)</f>
        <v/>
      </c>
      <c r="U453">
        <f>IF([2]Baskol!$C$456="","",[2]Baskol!$C$456)</f>
        <v/>
      </c>
      <c r="V453">
        <f>IF([2]Baskol!$D$456="","",[2]Baskol!$D$456)</f>
        <v/>
      </c>
      <c r="W453">
        <f>IF([2]Baskol!$E$456="","",[2]Baskol!$E$456)</f>
        <v/>
      </c>
      <c r="X453">
        <f>IF([2]Baskol!$G$456="","",[2]Baskol!$G$456)</f>
        <v/>
      </c>
      <c r="Y453">
        <f>IF([2]Baskol!$I$456="","",[2]Baskol!$I$456)</f>
        <v/>
      </c>
      <c r="Z453">
        <f>IF([2]Baskol!$J$456="","",[2]Baskol!$J$456)</f>
        <v/>
      </c>
      <c r="AA453">
        <f>IF([2]Baskol!$K$456="","",[2]Baskol!$K$456)</f>
        <v/>
      </c>
      <c r="AB453">
        <f>IF([2]Baskol!$L$456="","",[2]Baskol!$L$456)</f>
        <v/>
      </c>
      <c r="AC453">
        <f>IF([2]Baskol!$N$456="","",[2]Baskol!$N$456)</f>
        <v/>
      </c>
      <c r="AD453">
        <f>IF([2]Baskol!$O$456="","",[2]Baskol!$O$456)</f>
        <v/>
      </c>
      <c r="AE453">
        <f>IF([3]Entry!$C$456="","",[3]Entry!$C$456)</f>
        <v/>
      </c>
      <c r="AF453">
        <f>IF([3]Entry!$D$456="","",[3]Entry!$D$456)</f>
        <v/>
      </c>
      <c r="AG453">
        <f>IF([3]Entry!$E$456="","",[3]Entry!$E$456)</f>
        <v/>
      </c>
      <c r="AH453">
        <f>IF([3]Entry!$G$456="","",[3]Entry!$G$456)</f>
        <v/>
      </c>
      <c r="AI453">
        <f>IF([3]Entry!$K$456="","",[3]Entry!$K$456)</f>
        <v/>
      </c>
      <c r="AJ453">
        <f>IF([3]Entry!$L$456="","",[3]Entry!$L$456)</f>
        <v/>
      </c>
      <c r="AK453">
        <f>IF([3]Entry!$M$456="","",[3]Entry!$M$456)</f>
        <v/>
      </c>
      <c r="AL453">
        <f>IF([3]Entry!$N$456="","",[3]Entry!$N$456)</f>
        <v/>
      </c>
      <c r="AM453">
        <f>IF([3]Entry!$R$456="","",[3]Entry!$R$456)</f>
        <v/>
      </c>
    </row>
    <row r="454">
      <c r="A454">
        <f>IF([1]Accounts!$D$455="","",[1]Accounts!$A$455)</f>
        <v/>
      </c>
      <c r="B454">
        <f>IF([1]Accounts!$D$455="","",[1]Accounts!$B$455)</f>
        <v/>
      </c>
      <c r="C454">
        <f>IF([1]Accounts!$D$455="","",[1]Accounts!$C$455)</f>
        <v/>
      </c>
      <c r="D454">
        <f>IF([1]Accounts!$D$455="","",[1]Accounts!$D$455)</f>
        <v/>
      </c>
      <c r="E454">
        <f>IF([1]Accounts!$D$455="","",[1]Accounts!$E$455)</f>
        <v/>
      </c>
      <c r="F454">
        <f>IF([1]Accounts!$D$455="","",[1]Accounts!$F$455)</f>
        <v/>
      </c>
      <c r="G454">
        <f>IF([1]Accounts!$D$455="","",[1]Accounts!$G$455)</f>
        <v/>
      </c>
      <c r="T454">
        <f>IF([2]Baskol!$B$457="","",[2]Baskol!$B$457)</f>
        <v/>
      </c>
      <c r="U454">
        <f>IF([2]Baskol!$C$457="","",[2]Baskol!$C$457)</f>
        <v/>
      </c>
      <c r="V454">
        <f>IF([2]Baskol!$D$457="","",[2]Baskol!$D$457)</f>
        <v/>
      </c>
      <c r="W454">
        <f>IF([2]Baskol!$E$457="","",[2]Baskol!$E$457)</f>
        <v/>
      </c>
      <c r="X454">
        <f>IF([2]Baskol!$G$457="","",[2]Baskol!$G$457)</f>
        <v/>
      </c>
      <c r="Y454">
        <f>IF([2]Baskol!$I$457="","",[2]Baskol!$I$457)</f>
        <v/>
      </c>
      <c r="Z454">
        <f>IF([2]Baskol!$J$457="","",[2]Baskol!$J$457)</f>
        <v/>
      </c>
      <c r="AA454">
        <f>IF([2]Baskol!$K$457="","",[2]Baskol!$K$457)</f>
        <v/>
      </c>
      <c r="AB454">
        <f>IF([2]Baskol!$L$457="","",[2]Baskol!$L$457)</f>
        <v/>
      </c>
      <c r="AC454">
        <f>IF([2]Baskol!$N$457="","",[2]Baskol!$N$457)</f>
        <v/>
      </c>
      <c r="AD454">
        <f>IF([2]Baskol!$O$457="","",[2]Baskol!$O$457)</f>
        <v/>
      </c>
      <c r="AE454">
        <f>IF([3]Entry!$C$457="","",[3]Entry!$C$457)</f>
        <v/>
      </c>
      <c r="AF454">
        <f>IF([3]Entry!$D$457="","",[3]Entry!$D$457)</f>
        <v/>
      </c>
      <c r="AG454">
        <f>IF([3]Entry!$E$457="","",[3]Entry!$E$457)</f>
        <v/>
      </c>
      <c r="AH454">
        <f>IF([3]Entry!$G$457="","",[3]Entry!$G$457)</f>
        <v/>
      </c>
      <c r="AI454">
        <f>IF([3]Entry!$K$457="","",[3]Entry!$K$457)</f>
        <v/>
      </c>
      <c r="AJ454">
        <f>IF([3]Entry!$L$457="","",[3]Entry!$L$457)</f>
        <v/>
      </c>
      <c r="AK454">
        <f>IF([3]Entry!$M$457="","",[3]Entry!$M$457)</f>
        <v/>
      </c>
      <c r="AL454">
        <f>IF([3]Entry!$N$457="","",[3]Entry!$N$457)</f>
        <v/>
      </c>
      <c r="AM454">
        <f>IF([3]Entry!$R$457="","",[3]Entry!$R$457)</f>
        <v/>
      </c>
    </row>
    <row r="455">
      <c r="A455">
        <f>IF([1]Accounts!$D$456="","",[1]Accounts!$A$456)</f>
        <v/>
      </c>
      <c r="B455">
        <f>IF([1]Accounts!$D$456="","",[1]Accounts!$B$456)</f>
        <v/>
      </c>
      <c r="C455">
        <f>IF([1]Accounts!$D$456="","",[1]Accounts!$C$456)</f>
        <v/>
      </c>
      <c r="D455">
        <f>IF([1]Accounts!$D$456="","",[1]Accounts!$D$456)</f>
        <v/>
      </c>
      <c r="E455">
        <f>IF([1]Accounts!$D$456="","",[1]Accounts!$E$456)</f>
        <v/>
      </c>
      <c r="F455">
        <f>IF([1]Accounts!$D$456="","",[1]Accounts!$F$456)</f>
        <v/>
      </c>
      <c r="G455">
        <f>IF([1]Accounts!$D$456="","",[1]Accounts!$G$456)</f>
        <v/>
      </c>
      <c r="T455">
        <f>IF([2]Baskol!$B$458="","",[2]Baskol!$B$458)</f>
        <v/>
      </c>
      <c r="U455">
        <f>IF([2]Baskol!$C$458="","",[2]Baskol!$C$458)</f>
        <v/>
      </c>
      <c r="V455">
        <f>IF([2]Baskol!$D$458="","",[2]Baskol!$D$458)</f>
        <v/>
      </c>
      <c r="W455">
        <f>IF([2]Baskol!$E$458="","",[2]Baskol!$E$458)</f>
        <v/>
      </c>
      <c r="X455">
        <f>IF([2]Baskol!$G$458="","",[2]Baskol!$G$458)</f>
        <v/>
      </c>
      <c r="Y455">
        <f>IF([2]Baskol!$I$458="","",[2]Baskol!$I$458)</f>
        <v/>
      </c>
      <c r="Z455">
        <f>IF([2]Baskol!$J$458="","",[2]Baskol!$J$458)</f>
        <v/>
      </c>
      <c r="AA455">
        <f>IF([2]Baskol!$K$458="","",[2]Baskol!$K$458)</f>
        <v/>
      </c>
      <c r="AB455">
        <f>IF([2]Baskol!$L$458="","",[2]Baskol!$L$458)</f>
        <v/>
      </c>
      <c r="AC455">
        <f>IF([2]Baskol!$N$458="","",[2]Baskol!$N$458)</f>
        <v/>
      </c>
      <c r="AD455">
        <f>IF([2]Baskol!$O$458="","",[2]Baskol!$O$458)</f>
        <v/>
      </c>
      <c r="AE455">
        <f>IF([3]Entry!$C$458="","",[3]Entry!$C$458)</f>
        <v/>
      </c>
      <c r="AF455">
        <f>IF([3]Entry!$D$458="","",[3]Entry!$D$458)</f>
        <v/>
      </c>
      <c r="AG455">
        <f>IF([3]Entry!$E$458="","",[3]Entry!$E$458)</f>
        <v/>
      </c>
      <c r="AH455">
        <f>IF([3]Entry!$G$458="","",[3]Entry!$G$458)</f>
        <v/>
      </c>
      <c r="AI455">
        <f>IF([3]Entry!$K$458="","",[3]Entry!$K$458)</f>
        <v/>
      </c>
      <c r="AJ455">
        <f>IF([3]Entry!$L$458="","",[3]Entry!$L$458)</f>
        <v/>
      </c>
      <c r="AK455">
        <f>IF([3]Entry!$M$458="","",[3]Entry!$M$458)</f>
        <v/>
      </c>
      <c r="AL455">
        <f>IF([3]Entry!$N$458="","",[3]Entry!$N$458)</f>
        <v/>
      </c>
      <c r="AM455">
        <f>IF([3]Entry!$R$458="","",[3]Entry!$R$458)</f>
        <v/>
      </c>
    </row>
    <row r="456">
      <c r="A456">
        <f>IF([1]Accounts!$D$457="","",[1]Accounts!$A$457)</f>
        <v/>
      </c>
      <c r="B456">
        <f>IF([1]Accounts!$D$457="","",[1]Accounts!$B$457)</f>
        <v/>
      </c>
      <c r="C456">
        <f>IF([1]Accounts!$D$457="","",[1]Accounts!$C$457)</f>
        <v/>
      </c>
      <c r="D456">
        <f>IF([1]Accounts!$D$457="","",[1]Accounts!$D$457)</f>
        <v/>
      </c>
      <c r="E456">
        <f>IF([1]Accounts!$D$457="","",[1]Accounts!$E$457)</f>
        <v/>
      </c>
      <c r="F456">
        <f>IF([1]Accounts!$D$457="","",[1]Accounts!$F$457)</f>
        <v/>
      </c>
      <c r="G456">
        <f>IF([1]Accounts!$D$457="","",[1]Accounts!$G$457)</f>
        <v/>
      </c>
      <c r="T456">
        <f>IF([2]Baskol!$B$459="","",[2]Baskol!$B$459)</f>
        <v/>
      </c>
      <c r="U456">
        <f>IF([2]Baskol!$C$459="","",[2]Baskol!$C$459)</f>
        <v/>
      </c>
      <c r="V456">
        <f>IF([2]Baskol!$D$459="","",[2]Baskol!$D$459)</f>
        <v/>
      </c>
      <c r="W456">
        <f>IF([2]Baskol!$E$459="","",[2]Baskol!$E$459)</f>
        <v/>
      </c>
      <c r="X456">
        <f>IF([2]Baskol!$G$459="","",[2]Baskol!$G$459)</f>
        <v/>
      </c>
      <c r="Y456">
        <f>IF([2]Baskol!$I$459="","",[2]Baskol!$I$459)</f>
        <v/>
      </c>
      <c r="Z456">
        <f>IF([2]Baskol!$J$459="","",[2]Baskol!$J$459)</f>
        <v/>
      </c>
      <c r="AA456">
        <f>IF([2]Baskol!$K$459="","",[2]Baskol!$K$459)</f>
        <v/>
      </c>
      <c r="AB456">
        <f>IF([2]Baskol!$L$459="","",[2]Baskol!$L$459)</f>
        <v/>
      </c>
      <c r="AC456">
        <f>IF([2]Baskol!$N$459="","",[2]Baskol!$N$459)</f>
        <v/>
      </c>
      <c r="AD456">
        <f>IF([2]Baskol!$O$459="","",[2]Baskol!$O$459)</f>
        <v/>
      </c>
      <c r="AE456">
        <f>IF([3]Entry!$C$459="","",[3]Entry!$C$459)</f>
        <v/>
      </c>
      <c r="AF456">
        <f>IF([3]Entry!$D$459="","",[3]Entry!$D$459)</f>
        <v/>
      </c>
      <c r="AG456">
        <f>IF([3]Entry!$E$459="","",[3]Entry!$E$459)</f>
        <v/>
      </c>
      <c r="AH456">
        <f>IF([3]Entry!$G$459="","",[3]Entry!$G$459)</f>
        <v/>
      </c>
      <c r="AI456">
        <f>IF([3]Entry!$K$459="","",[3]Entry!$K$459)</f>
        <v/>
      </c>
      <c r="AJ456">
        <f>IF([3]Entry!$L$459="","",[3]Entry!$L$459)</f>
        <v/>
      </c>
      <c r="AK456">
        <f>IF([3]Entry!$M$459="","",[3]Entry!$M$459)</f>
        <v/>
      </c>
      <c r="AL456">
        <f>IF([3]Entry!$N$459="","",[3]Entry!$N$459)</f>
        <v/>
      </c>
      <c r="AM456">
        <f>IF([3]Entry!$R$459="","",[3]Entry!$R$459)</f>
        <v/>
      </c>
    </row>
    <row r="457">
      <c r="A457">
        <f>IF([1]Accounts!$D$458="","",[1]Accounts!$A$458)</f>
        <v/>
      </c>
      <c r="B457">
        <f>IF([1]Accounts!$D$458="","",[1]Accounts!$B$458)</f>
        <v/>
      </c>
      <c r="C457">
        <f>IF([1]Accounts!$D$458="","",[1]Accounts!$C$458)</f>
        <v/>
      </c>
      <c r="D457">
        <f>IF([1]Accounts!$D$458="","",[1]Accounts!$D$458)</f>
        <v/>
      </c>
      <c r="E457">
        <f>IF([1]Accounts!$D$458="","",[1]Accounts!$E$458)</f>
        <v/>
      </c>
      <c r="F457">
        <f>IF([1]Accounts!$D$458="","",[1]Accounts!$F$458)</f>
        <v/>
      </c>
      <c r="G457">
        <f>IF([1]Accounts!$D$458="","",[1]Accounts!$G$458)</f>
        <v/>
      </c>
      <c r="T457">
        <f>IF([2]Baskol!$B$460="","",[2]Baskol!$B$460)</f>
        <v/>
      </c>
      <c r="U457">
        <f>IF([2]Baskol!$C$460="","",[2]Baskol!$C$460)</f>
        <v/>
      </c>
      <c r="V457">
        <f>IF([2]Baskol!$D$460="","",[2]Baskol!$D$460)</f>
        <v/>
      </c>
      <c r="W457">
        <f>IF([2]Baskol!$E$460="","",[2]Baskol!$E$460)</f>
        <v/>
      </c>
      <c r="X457">
        <f>IF([2]Baskol!$G$460="","",[2]Baskol!$G$460)</f>
        <v/>
      </c>
      <c r="Y457">
        <f>IF([2]Baskol!$I$460="","",[2]Baskol!$I$460)</f>
        <v/>
      </c>
      <c r="Z457">
        <f>IF([2]Baskol!$J$460="","",[2]Baskol!$J$460)</f>
        <v/>
      </c>
      <c r="AA457">
        <f>IF([2]Baskol!$K$460="","",[2]Baskol!$K$460)</f>
        <v/>
      </c>
      <c r="AB457">
        <f>IF([2]Baskol!$L$460="","",[2]Baskol!$L$460)</f>
        <v/>
      </c>
      <c r="AC457">
        <f>IF([2]Baskol!$N$460="","",[2]Baskol!$N$460)</f>
        <v/>
      </c>
      <c r="AD457">
        <f>IF([2]Baskol!$O$460="","",[2]Baskol!$O$460)</f>
        <v/>
      </c>
      <c r="AE457">
        <f>IF([3]Entry!$C$460="","",[3]Entry!$C$460)</f>
        <v/>
      </c>
      <c r="AF457">
        <f>IF([3]Entry!$D$460="","",[3]Entry!$D$460)</f>
        <v/>
      </c>
      <c r="AG457">
        <f>IF([3]Entry!$E$460="","",[3]Entry!$E$460)</f>
        <v/>
      </c>
      <c r="AH457">
        <f>IF([3]Entry!$G$460="","",[3]Entry!$G$460)</f>
        <v/>
      </c>
      <c r="AI457">
        <f>IF([3]Entry!$K$460="","",[3]Entry!$K$460)</f>
        <v/>
      </c>
      <c r="AJ457">
        <f>IF([3]Entry!$L$460="","",[3]Entry!$L$460)</f>
        <v/>
      </c>
      <c r="AK457">
        <f>IF([3]Entry!$M$460="","",[3]Entry!$M$460)</f>
        <v/>
      </c>
      <c r="AL457">
        <f>IF([3]Entry!$N$460="","",[3]Entry!$N$460)</f>
        <v/>
      </c>
      <c r="AM457">
        <f>IF([3]Entry!$R$460="","",[3]Entry!$R$460)</f>
        <v/>
      </c>
    </row>
    <row r="458">
      <c r="A458">
        <f>IF([1]Accounts!$D$459="","",[1]Accounts!$A$459)</f>
        <v/>
      </c>
      <c r="B458">
        <f>IF([1]Accounts!$D$459="","",[1]Accounts!$B$459)</f>
        <v/>
      </c>
      <c r="C458">
        <f>IF([1]Accounts!$D$459="","",[1]Accounts!$C$459)</f>
        <v/>
      </c>
      <c r="D458">
        <f>IF([1]Accounts!$D$459="","",[1]Accounts!$D$459)</f>
        <v/>
      </c>
      <c r="E458">
        <f>IF([1]Accounts!$D$459="","",[1]Accounts!$E$459)</f>
        <v/>
      </c>
      <c r="F458">
        <f>IF([1]Accounts!$D$459="","",[1]Accounts!$F$459)</f>
        <v/>
      </c>
      <c r="G458">
        <f>IF([1]Accounts!$D$459="","",[1]Accounts!$G$459)</f>
        <v/>
      </c>
      <c r="T458">
        <f>IF([2]Baskol!$B$461="","",[2]Baskol!$B$461)</f>
        <v/>
      </c>
      <c r="U458">
        <f>IF([2]Baskol!$C$461="","",[2]Baskol!$C$461)</f>
        <v/>
      </c>
      <c r="V458">
        <f>IF([2]Baskol!$D$461="","",[2]Baskol!$D$461)</f>
        <v/>
      </c>
      <c r="W458">
        <f>IF([2]Baskol!$E$461="","",[2]Baskol!$E$461)</f>
        <v/>
      </c>
      <c r="X458">
        <f>IF([2]Baskol!$G$461="","",[2]Baskol!$G$461)</f>
        <v/>
      </c>
      <c r="Y458">
        <f>IF([2]Baskol!$I$461="","",[2]Baskol!$I$461)</f>
        <v/>
      </c>
      <c r="Z458">
        <f>IF([2]Baskol!$J$461="","",[2]Baskol!$J$461)</f>
        <v/>
      </c>
      <c r="AA458">
        <f>IF([2]Baskol!$K$461="","",[2]Baskol!$K$461)</f>
        <v/>
      </c>
      <c r="AB458">
        <f>IF([2]Baskol!$L$461="","",[2]Baskol!$L$461)</f>
        <v/>
      </c>
      <c r="AC458">
        <f>IF([2]Baskol!$N$461="","",[2]Baskol!$N$461)</f>
        <v/>
      </c>
      <c r="AD458">
        <f>IF([2]Baskol!$O$461="","",[2]Baskol!$O$461)</f>
        <v/>
      </c>
      <c r="AE458">
        <f>IF([3]Entry!$C$461="","",[3]Entry!$C$461)</f>
        <v/>
      </c>
      <c r="AF458">
        <f>IF([3]Entry!$D$461="","",[3]Entry!$D$461)</f>
        <v/>
      </c>
      <c r="AG458">
        <f>IF([3]Entry!$E$461="","",[3]Entry!$E$461)</f>
        <v/>
      </c>
      <c r="AH458">
        <f>IF([3]Entry!$G$461="","",[3]Entry!$G$461)</f>
        <v/>
      </c>
      <c r="AI458">
        <f>IF([3]Entry!$K$461="","",[3]Entry!$K$461)</f>
        <v/>
      </c>
      <c r="AJ458">
        <f>IF([3]Entry!$L$461="","",[3]Entry!$L$461)</f>
        <v/>
      </c>
      <c r="AK458">
        <f>IF([3]Entry!$M$461="","",[3]Entry!$M$461)</f>
        <v/>
      </c>
      <c r="AL458">
        <f>IF([3]Entry!$N$461="","",[3]Entry!$N$461)</f>
        <v/>
      </c>
      <c r="AM458">
        <f>IF([3]Entry!$R$461="","",[3]Entry!$R$461)</f>
        <v/>
      </c>
    </row>
    <row r="459">
      <c r="A459">
        <f>IF([1]Accounts!$D$460="","",[1]Accounts!$A$460)</f>
        <v/>
      </c>
      <c r="B459">
        <f>IF([1]Accounts!$D$460="","",[1]Accounts!$B$460)</f>
        <v/>
      </c>
      <c r="C459">
        <f>IF([1]Accounts!$D$460="","",[1]Accounts!$C$460)</f>
        <v/>
      </c>
      <c r="D459">
        <f>IF([1]Accounts!$D$460="","",[1]Accounts!$D$460)</f>
        <v/>
      </c>
      <c r="E459">
        <f>IF([1]Accounts!$D$460="","",[1]Accounts!$E$460)</f>
        <v/>
      </c>
      <c r="F459">
        <f>IF([1]Accounts!$D$460="","",[1]Accounts!$F$460)</f>
        <v/>
      </c>
      <c r="G459">
        <f>IF([1]Accounts!$D$460="","",[1]Accounts!$G$460)</f>
        <v/>
      </c>
      <c r="T459">
        <f>IF([2]Baskol!$B$462="","",[2]Baskol!$B$462)</f>
        <v/>
      </c>
      <c r="U459">
        <f>IF([2]Baskol!$C$462="","",[2]Baskol!$C$462)</f>
        <v/>
      </c>
      <c r="V459">
        <f>IF([2]Baskol!$D$462="","",[2]Baskol!$D$462)</f>
        <v/>
      </c>
      <c r="W459">
        <f>IF([2]Baskol!$E$462="","",[2]Baskol!$E$462)</f>
        <v/>
      </c>
      <c r="X459">
        <f>IF([2]Baskol!$G$462="","",[2]Baskol!$G$462)</f>
        <v/>
      </c>
      <c r="Y459">
        <f>IF([2]Baskol!$I$462="","",[2]Baskol!$I$462)</f>
        <v/>
      </c>
      <c r="Z459">
        <f>IF([2]Baskol!$J$462="","",[2]Baskol!$J$462)</f>
        <v/>
      </c>
      <c r="AA459">
        <f>IF([2]Baskol!$K$462="","",[2]Baskol!$K$462)</f>
        <v/>
      </c>
      <c r="AB459">
        <f>IF([2]Baskol!$L$462="","",[2]Baskol!$L$462)</f>
        <v/>
      </c>
      <c r="AC459">
        <f>IF([2]Baskol!$N$462="","",[2]Baskol!$N$462)</f>
        <v/>
      </c>
      <c r="AD459">
        <f>IF([2]Baskol!$O$462="","",[2]Baskol!$O$462)</f>
        <v/>
      </c>
      <c r="AE459">
        <f>IF([3]Entry!$C$462="","",[3]Entry!$C$462)</f>
        <v/>
      </c>
      <c r="AF459">
        <f>IF([3]Entry!$D$462="","",[3]Entry!$D$462)</f>
        <v/>
      </c>
      <c r="AG459">
        <f>IF([3]Entry!$E$462="","",[3]Entry!$E$462)</f>
        <v/>
      </c>
      <c r="AH459">
        <f>IF([3]Entry!$G$462="","",[3]Entry!$G$462)</f>
        <v/>
      </c>
      <c r="AI459">
        <f>IF([3]Entry!$K$462="","",[3]Entry!$K$462)</f>
        <v/>
      </c>
      <c r="AJ459">
        <f>IF([3]Entry!$L$462="","",[3]Entry!$L$462)</f>
        <v/>
      </c>
      <c r="AK459">
        <f>IF([3]Entry!$M$462="","",[3]Entry!$M$462)</f>
        <v/>
      </c>
      <c r="AL459">
        <f>IF([3]Entry!$N$462="","",[3]Entry!$N$462)</f>
        <v/>
      </c>
      <c r="AM459">
        <f>IF([3]Entry!$R$462="","",[3]Entry!$R$462)</f>
        <v/>
      </c>
    </row>
    <row r="460">
      <c r="A460">
        <f>IF([1]Accounts!$D$461="","",[1]Accounts!$A$461)</f>
        <v/>
      </c>
      <c r="B460">
        <f>IF([1]Accounts!$D$461="","",[1]Accounts!$B$461)</f>
        <v/>
      </c>
      <c r="C460">
        <f>IF([1]Accounts!$D$461="","",[1]Accounts!$C$461)</f>
        <v/>
      </c>
      <c r="D460">
        <f>IF([1]Accounts!$D$461="","",[1]Accounts!$D$461)</f>
        <v/>
      </c>
      <c r="E460">
        <f>IF([1]Accounts!$D$461="","",[1]Accounts!$E$461)</f>
        <v/>
      </c>
      <c r="F460">
        <f>IF([1]Accounts!$D$461="","",[1]Accounts!$F$461)</f>
        <v/>
      </c>
      <c r="G460">
        <f>IF([1]Accounts!$D$461="","",[1]Accounts!$G$461)</f>
        <v/>
      </c>
      <c r="T460">
        <f>IF([2]Baskol!$B$463="","",[2]Baskol!$B$463)</f>
        <v/>
      </c>
      <c r="U460">
        <f>IF([2]Baskol!$C$463="","",[2]Baskol!$C$463)</f>
        <v/>
      </c>
      <c r="V460">
        <f>IF([2]Baskol!$D$463="","",[2]Baskol!$D$463)</f>
        <v/>
      </c>
      <c r="W460">
        <f>IF([2]Baskol!$E$463="","",[2]Baskol!$E$463)</f>
        <v/>
      </c>
      <c r="X460">
        <f>IF([2]Baskol!$G$463="","",[2]Baskol!$G$463)</f>
        <v/>
      </c>
      <c r="Y460">
        <f>IF([2]Baskol!$I$463="","",[2]Baskol!$I$463)</f>
        <v/>
      </c>
      <c r="Z460">
        <f>IF([2]Baskol!$J$463="","",[2]Baskol!$J$463)</f>
        <v/>
      </c>
      <c r="AA460">
        <f>IF([2]Baskol!$K$463="","",[2]Baskol!$K$463)</f>
        <v/>
      </c>
      <c r="AB460">
        <f>IF([2]Baskol!$L$463="","",[2]Baskol!$L$463)</f>
        <v/>
      </c>
      <c r="AC460">
        <f>IF([2]Baskol!$N$463="","",[2]Baskol!$N$463)</f>
        <v/>
      </c>
      <c r="AD460">
        <f>IF([2]Baskol!$O$463="","",[2]Baskol!$O$463)</f>
        <v/>
      </c>
      <c r="AE460">
        <f>IF([3]Entry!$C$463="","",[3]Entry!$C$463)</f>
        <v/>
      </c>
      <c r="AF460">
        <f>IF([3]Entry!$D$463="","",[3]Entry!$D$463)</f>
        <v/>
      </c>
      <c r="AG460">
        <f>IF([3]Entry!$E$463="","",[3]Entry!$E$463)</f>
        <v/>
      </c>
      <c r="AH460">
        <f>IF([3]Entry!$G$463="","",[3]Entry!$G$463)</f>
        <v/>
      </c>
      <c r="AI460">
        <f>IF([3]Entry!$K$463="","",[3]Entry!$K$463)</f>
        <v/>
      </c>
      <c r="AJ460">
        <f>IF([3]Entry!$L$463="","",[3]Entry!$L$463)</f>
        <v/>
      </c>
      <c r="AK460">
        <f>IF([3]Entry!$M$463="","",[3]Entry!$M$463)</f>
        <v/>
      </c>
      <c r="AL460">
        <f>IF([3]Entry!$N$463="","",[3]Entry!$N$463)</f>
        <v/>
      </c>
      <c r="AM460">
        <f>IF([3]Entry!$R$463="","",[3]Entry!$R$463)</f>
        <v/>
      </c>
    </row>
    <row r="461">
      <c r="A461">
        <f>IF([1]Accounts!$D$462="","",[1]Accounts!$A$462)</f>
        <v/>
      </c>
      <c r="B461">
        <f>IF([1]Accounts!$D$462="","",[1]Accounts!$B$462)</f>
        <v/>
      </c>
      <c r="C461">
        <f>IF([1]Accounts!$D$462="","",[1]Accounts!$C$462)</f>
        <v/>
      </c>
      <c r="D461">
        <f>IF([1]Accounts!$D$462="","",[1]Accounts!$D$462)</f>
        <v/>
      </c>
      <c r="E461">
        <f>IF([1]Accounts!$D$462="","",[1]Accounts!$E$462)</f>
        <v/>
      </c>
      <c r="F461">
        <f>IF([1]Accounts!$D$462="","",[1]Accounts!$F$462)</f>
        <v/>
      </c>
      <c r="G461">
        <f>IF([1]Accounts!$D$462="","",[1]Accounts!$G$462)</f>
        <v/>
      </c>
      <c r="T461">
        <f>IF([2]Baskol!$B$464="","",[2]Baskol!$B$464)</f>
        <v/>
      </c>
      <c r="U461">
        <f>IF([2]Baskol!$C$464="","",[2]Baskol!$C$464)</f>
        <v/>
      </c>
      <c r="V461">
        <f>IF([2]Baskol!$D$464="","",[2]Baskol!$D$464)</f>
        <v/>
      </c>
      <c r="W461">
        <f>IF([2]Baskol!$E$464="","",[2]Baskol!$E$464)</f>
        <v/>
      </c>
      <c r="X461">
        <f>IF([2]Baskol!$G$464="","",[2]Baskol!$G$464)</f>
        <v/>
      </c>
      <c r="Y461">
        <f>IF([2]Baskol!$I$464="","",[2]Baskol!$I$464)</f>
        <v/>
      </c>
      <c r="Z461">
        <f>IF([2]Baskol!$J$464="","",[2]Baskol!$J$464)</f>
        <v/>
      </c>
      <c r="AA461">
        <f>IF([2]Baskol!$K$464="","",[2]Baskol!$K$464)</f>
        <v/>
      </c>
      <c r="AB461">
        <f>IF([2]Baskol!$L$464="","",[2]Baskol!$L$464)</f>
        <v/>
      </c>
      <c r="AC461">
        <f>IF([2]Baskol!$N$464="","",[2]Baskol!$N$464)</f>
        <v/>
      </c>
      <c r="AD461">
        <f>IF([2]Baskol!$O$464="","",[2]Baskol!$O$464)</f>
        <v/>
      </c>
      <c r="AE461">
        <f>IF([3]Entry!$C$464="","",[3]Entry!$C$464)</f>
        <v/>
      </c>
      <c r="AF461">
        <f>IF([3]Entry!$D$464="","",[3]Entry!$D$464)</f>
        <v/>
      </c>
      <c r="AG461">
        <f>IF([3]Entry!$E$464="","",[3]Entry!$E$464)</f>
        <v/>
      </c>
      <c r="AH461">
        <f>IF([3]Entry!$G$464="","",[3]Entry!$G$464)</f>
        <v/>
      </c>
      <c r="AI461">
        <f>IF([3]Entry!$K$464="","",[3]Entry!$K$464)</f>
        <v/>
      </c>
      <c r="AJ461">
        <f>IF([3]Entry!$L$464="","",[3]Entry!$L$464)</f>
        <v/>
      </c>
      <c r="AK461">
        <f>IF([3]Entry!$M$464="","",[3]Entry!$M$464)</f>
        <v/>
      </c>
      <c r="AL461">
        <f>IF([3]Entry!$N$464="","",[3]Entry!$N$464)</f>
        <v/>
      </c>
      <c r="AM461">
        <f>IF([3]Entry!$R$464="","",[3]Entry!$R$464)</f>
        <v/>
      </c>
    </row>
    <row r="462">
      <c r="A462">
        <f>IF([1]Accounts!$D$463="","",[1]Accounts!$A$463)</f>
        <v/>
      </c>
      <c r="B462">
        <f>IF([1]Accounts!$D$463="","",[1]Accounts!$B$463)</f>
        <v/>
      </c>
      <c r="C462">
        <f>IF([1]Accounts!$D$463="","",[1]Accounts!$C$463)</f>
        <v/>
      </c>
      <c r="D462">
        <f>IF([1]Accounts!$D$463="","",[1]Accounts!$D$463)</f>
        <v/>
      </c>
      <c r="E462">
        <f>IF([1]Accounts!$D$463="","",[1]Accounts!$E$463)</f>
        <v/>
      </c>
      <c r="F462">
        <f>IF([1]Accounts!$D$463="","",[1]Accounts!$F$463)</f>
        <v/>
      </c>
      <c r="G462">
        <f>IF([1]Accounts!$D$463="","",[1]Accounts!$G$463)</f>
        <v/>
      </c>
      <c r="T462">
        <f>IF([2]Baskol!$B$465="","",[2]Baskol!$B$465)</f>
        <v/>
      </c>
      <c r="U462">
        <f>IF([2]Baskol!$C$465="","",[2]Baskol!$C$465)</f>
        <v/>
      </c>
      <c r="V462">
        <f>IF([2]Baskol!$D$465="","",[2]Baskol!$D$465)</f>
        <v/>
      </c>
      <c r="W462">
        <f>IF([2]Baskol!$E$465="","",[2]Baskol!$E$465)</f>
        <v/>
      </c>
      <c r="X462">
        <f>IF([2]Baskol!$G$465="","",[2]Baskol!$G$465)</f>
        <v/>
      </c>
      <c r="Y462">
        <f>IF([2]Baskol!$I$465="","",[2]Baskol!$I$465)</f>
        <v/>
      </c>
      <c r="Z462">
        <f>IF([2]Baskol!$J$465="","",[2]Baskol!$J$465)</f>
        <v/>
      </c>
      <c r="AA462">
        <f>IF([2]Baskol!$K$465="","",[2]Baskol!$K$465)</f>
        <v/>
      </c>
      <c r="AB462">
        <f>IF([2]Baskol!$L$465="","",[2]Baskol!$L$465)</f>
        <v/>
      </c>
      <c r="AC462">
        <f>IF([2]Baskol!$N$465="","",[2]Baskol!$N$465)</f>
        <v/>
      </c>
      <c r="AD462">
        <f>IF([2]Baskol!$O$465="","",[2]Baskol!$O$465)</f>
        <v/>
      </c>
      <c r="AE462">
        <f>IF([3]Entry!$C$465="","",[3]Entry!$C$465)</f>
        <v/>
      </c>
      <c r="AF462">
        <f>IF([3]Entry!$D$465="","",[3]Entry!$D$465)</f>
        <v/>
      </c>
      <c r="AG462">
        <f>IF([3]Entry!$E$465="","",[3]Entry!$E$465)</f>
        <v/>
      </c>
      <c r="AH462">
        <f>IF([3]Entry!$G$465="","",[3]Entry!$G$465)</f>
        <v/>
      </c>
      <c r="AI462">
        <f>IF([3]Entry!$K$465="","",[3]Entry!$K$465)</f>
        <v/>
      </c>
      <c r="AJ462">
        <f>IF([3]Entry!$L$465="","",[3]Entry!$L$465)</f>
        <v/>
      </c>
      <c r="AK462">
        <f>IF([3]Entry!$M$465="","",[3]Entry!$M$465)</f>
        <v/>
      </c>
      <c r="AL462">
        <f>IF([3]Entry!$N$465="","",[3]Entry!$N$465)</f>
        <v/>
      </c>
      <c r="AM462">
        <f>IF([3]Entry!$R$465="","",[3]Entry!$R$465)</f>
        <v/>
      </c>
    </row>
    <row r="463">
      <c r="A463">
        <f>IF([1]Accounts!$D$464="","",[1]Accounts!$A$464)</f>
        <v/>
      </c>
      <c r="B463">
        <f>IF([1]Accounts!$D$464="","",[1]Accounts!$B$464)</f>
        <v/>
      </c>
      <c r="C463">
        <f>IF([1]Accounts!$D$464="","",[1]Accounts!$C$464)</f>
        <v/>
      </c>
      <c r="D463">
        <f>IF([1]Accounts!$D$464="","",[1]Accounts!$D$464)</f>
        <v/>
      </c>
      <c r="E463">
        <f>IF([1]Accounts!$D$464="","",[1]Accounts!$E$464)</f>
        <v/>
      </c>
      <c r="F463">
        <f>IF([1]Accounts!$D$464="","",[1]Accounts!$F$464)</f>
        <v/>
      </c>
      <c r="G463">
        <f>IF([1]Accounts!$D$464="","",[1]Accounts!$G$464)</f>
        <v/>
      </c>
      <c r="T463">
        <f>IF([2]Baskol!$B$466="","",[2]Baskol!$B$466)</f>
        <v/>
      </c>
      <c r="U463">
        <f>IF([2]Baskol!$C$466="","",[2]Baskol!$C$466)</f>
        <v/>
      </c>
      <c r="V463">
        <f>IF([2]Baskol!$D$466="","",[2]Baskol!$D$466)</f>
        <v/>
      </c>
      <c r="W463">
        <f>IF([2]Baskol!$E$466="","",[2]Baskol!$E$466)</f>
        <v/>
      </c>
      <c r="X463">
        <f>IF([2]Baskol!$G$466="","",[2]Baskol!$G$466)</f>
        <v/>
      </c>
      <c r="Y463">
        <f>IF([2]Baskol!$I$466="","",[2]Baskol!$I$466)</f>
        <v/>
      </c>
      <c r="Z463">
        <f>IF([2]Baskol!$J$466="","",[2]Baskol!$J$466)</f>
        <v/>
      </c>
      <c r="AA463">
        <f>IF([2]Baskol!$K$466="","",[2]Baskol!$K$466)</f>
        <v/>
      </c>
      <c r="AB463">
        <f>IF([2]Baskol!$L$466="","",[2]Baskol!$L$466)</f>
        <v/>
      </c>
      <c r="AC463">
        <f>IF([2]Baskol!$N$466="","",[2]Baskol!$N$466)</f>
        <v/>
      </c>
      <c r="AD463">
        <f>IF([2]Baskol!$O$466="","",[2]Baskol!$O$466)</f>
        <v/>
      </c>
      <c r="AE463">
        <f>IF([3]Entry!$C$466="","",[3]Entry!$C$466)</f>
        <v/>
      </c>
      <c r="AF463">
        <f>IF([3]Entry!$D$466="","",[3]Entry!$D$466)</f>
        <v/>
      </c>
      <c r="AG463">
        <f>IF([3]Entry!$E$466="","",[3]Entry!$E$466)</f>
        <v/>
      </c>
      <c r="AH463">
        <f>IF([3]Entry!$G$466="","",[3]Entry!$G$466)</f>
        <v/>
      </c>
      <c r="AI463">
        <f>IF([3]Entry!$K$466="","",[3]Entry!$K$466)</f>
        <v/>
      </c>
      <c r="AJ463">
        <f>IF([3]Entry!$L$466="","",[3]Entry!$L$466)</f>
        <v/>
      </c>
      <c r="AK463">
        <f>IF([3]Entry!$M$466="","",[3]Entry!$M$466)</f>
        <v/>
      </c>
      <c r="AL463">
        <f>IF([3]Entry!$N$466="","",[3]Entry!$N$466)</f>
        <v/>
      </c>
      <c r="AM463">
        <f>IF([3]Entry!$R$466="","",[3]Entry!$R$466)</f>
        <v/>
      </c>
    </row>
    <row r="464">
      <c r="A464">
        <f>IF([1]Accounts!$D$465="","",[1]Accounts!$A$465)</f>
        <v/>
      </c>
      <c r="B464">
        <f>IF([1]Accounts!$D$465="","",[1]Accounts!$B$465)</f>
        <v/>
      </c>
      <c r="C464">
        <f>IF([1]Accounts!$D$465="","",[1]Accounts!$C$465)</f>
        <v/>
      </c>
      <c r="D464">
        <f>IF([1]Accounts!$D$465="","",[1]Accounts!$D$465)</f>
        <v/>
      </c>
      <c r="E464">
        <f>IF([1]Accounts!$D$465="","",[1]Accounts!$E$465)</f>
        <v/>
      </c>
      <c r="F464">
        <f>IF([1]Accounts!$D$465="","",[1]Accounts!$F$465)</f>
        <v/>
      </c>
      <c r="G464">
        <f>IF([1]Accounts!$D$465="","",[1]Accounts!$G$465)</f>
        <v/>
      </c>
      <c r="T464">
        <f>IF([2]Baskol!$B$467="","",[2]Baskol!$B$467)</f>
        <v/>
      </c>
      <c r="U464">
        <f>IF([2]Baskol!$C$467="","",[2]Baskol!$C$467)</f>
        <v/>
      </c>
      <c r="V464">
        <f>IF([2]Baskol!$D$467="","",[2]Baskol!$D$467)</f>
        <v/>
      </c>
      <c r="W464">
        <f>IF([2]Baskol!$E$467="","",[2]Baskol!$E$467)</f>
        <v/>
      </c>
      <c r="X464">
        <f>IF([2]Baskol!$G$467="","",[2]Baskol!$G$467)</f>
        <v/>
      </c>
      <c r="Y464">
        <f>IF([2]Baskol!$I$467="","",[2]Baskol!$I$467)</f>
        <v/>
      </c>
      <c r="Z464">
        <f>IF([2]Baskol!$J$467="","",[2]Baskol!$J$467)</f>
        <v/>
      </c>
      <c r="AA464">
        <f>IF([2]Baskol!$K$467="","",[2]Baskol!$K$467)</f>
        <v/>
      </c>
      <c r="AB464">
        <f>IF([2]Baskol!$L$467="","",[2]Baskol!$L$467)</f>
        <v/>
      </c>
      <c r="AC464">
        <f>IF([2]Baskol!$N$467="","",[2]Baskol!$N$467)</f>
        <v/>
      </c>
      <c r="AD464">
        <f>IF([2]Baskol!$O$467="","",[2]Baskol!$O$467)</f>
        <v/>
      </c>
      <c r="AE464">
        <f>IF([3]Entry!$C$467="","",[3]Entry!$C$467)</f>
        <v/>
      </c>
      <c r="AF464">
        <f>IF([3]Entry!$D$467="","",[3]Entry!$D$467)</f>
        <v/>
      </c>
      <c r="AG464">
        <f>IF([3]Entry!$E$467="","",[3]Entry!$E$467)</f>
        <v/>
      </c>
      <c r="AH464">
        <f>IF([3]Entry!$G$467="","",[3]Entry!$G$467)</f>
        <v/>
      </c>
      <c r="AI464">
        <f>IF([3]Entry!$K$467="","",[3]Entry!$K$467)</f>
        <v/>
      </c>
      <c r="AJ464">
        <f>IF([3]Entry!$L$467="","",[3]Entry!$L$467)</f>
        <v/>
      </c>
      <c r="AK464">
        <f>IF([3]Entry!$M$467="","",[3]Entry!$M$467)</f>
        <v/>
      </c>
      <c r="AL464">
        <f>IF([3]Entry!$N$467="","",[3]Entry!$N$467)</f>
        <v/>
      </c>
      <c r="AM464">
        <f>IF([3]Entry!$R$467="","",[3]Entry!$R$467)</f>
        <v/>
      </c>
    </row>
    <row r="465">
      <c r="A465">
        <f>IF([1]Accounts!$D$466="","",[1]Accounts!$A$466)</f>
        <v/>
      </c>
      <c r="B465">
        <f>IF([1]Accounts!$D$466="","",[1]Accounts!$B$466)</f>
        <v/>
      </c>
      <c r="C465">
        <f>IF([1]Accounts!$D$466="","",[1]Accounts!$C$466)</f>
        <v/>
      </c>
      <c r="D465">
        <f>IF([1]Accounts!$D$466="","",[1]Accounts!$D$466)</f>
        <v/>
      </c>
      <c r="E465">
        <f>IF([1]Accounts!$D$466="","",[1]Accounts!$E$466)</f>
        <v/>
      </c>
      <c r="F465">
        <f>IF([1]Accounts!$D$466="","",[1]Accounts!$F$466)</f>
        <v/>
      </c>
      <c r="G465">
        <f>IF([1]Accounts!$D$466="","",[1]Accounts!$G$466)</f>
        <v/>
      </c>
      <c r="T465">
        <f>IF([2]Baskol!$B$468="","",[2]Baskol!$B$468)</f>
        <v/>
      </c>
      <c r="U465">
        <f>IF([2]Baskol!$C$468="","",[2]Baskol!$C$468)</f>
        <v/>
      </c>
      <c r="V465">
        <f>IF([2]Baskol!$D$468="","",[2]Baskol!$D$468)</f>
        <v/>
      </c>
      <c r="W465">
        <f>IF([2]Baskol!$E$468="","",[2]Baskol!$E$468)</f>
        <v/>
      </c>
      <c r="X465">
        <f>IF([2]Baskol!$G$468="","",[2]Baskol!$G$468)</f>
        <v/>
      </c>
      <c r="Y465">
        <f>IF([2]Baskol!$I$468="","",[2]Baskol!$I$468)</f>
        <v/>
      </c>
      <c r="Z465">
        <f>IF([2]Baskol!$J$468="","",[2]Baskol!$J$468)</f>
        <v/>
      </c>
      <c r="AA465">
        <f>IF([2]Baskol!$K$468="","",[2]Baskol!$K$468)</f>
        <v/>
      </c>
      <c r="AB465">
        <f>IF([2]Baskol!$L$468="","",[2]Baskol!$L$468)</f>
        <v/>
      </c>
      <c r="AC465">
        <f>IF([2]Baskol!$N$468="","",[2]Baskol!$N$468)</f>
        <v/>
      </c>
      <c r="AD465">
        <f>IF([2]Baskol!$O$468="","",[2]Baskol!$O$468)</f>
        <v/>
      </c>
      <c r="AE465">
        <f>IF([3]Entry!$C$468="","",[3]Entry!$C$468)</f>
        <v/>
      </c>
      <c r="AF465">
        <f>IF([3]Entry!$D$468="","",[3]Entry!$D$468)</f>
        <v/>
      </c>
      <c r="AG465">
        <f>IF([3]Entry!$E$468="","",[3]Entry!$E$468)</f>
        <v/>
      </c>
      <c r="AH465">
        <f>IF([3]Entry!$G$468="","",[3]Entry!$G$468)</f>
        <v/>
      </c>
      <c r="AI465">
        <f>IF([3]Entry!$K$468="","",[3]Entry!$K$468)</f>
        <v/>
      </c>
      <c r="AJ465">
        <f>IF([3]Entry!$L$468="","",[3]Entry!$L$468)</f>
        <v/>
      </c>
      <c r="AK465">
        <f>IF([3]Entry!$M$468="","",[3]Entry!$M$468)</f>
        <v/>
      </c>
      <c r="AL465">
        <f>IF([3]Entry!$N$468="","",[3]Entry!$N$468)</f>
        <v/>
      </c>
      <c r="AM465">
        <f>IF([3]Entry!$R$468="","",[3]Entry!$R$468)</f>
        <v/>
      </c>
    </row>
    <row r="466">
      <c r="A466">
        <f>IF([1]Accounts!$D$467="","",[1]Accounts!$A$467)</f>
        <v/>
      </c>
      <c r="B466">
        <f>IF([1]Accounts!$D$467="","",[1]Accounts!$B$467)</f>
        <v/>
      </c>
      <c r="C466">
        <f>IF([1]Accounts!$D$467="","",[1]Accounts!$C$467)</f>
        <v/>
      </c>
      <c r="D466">
        <f>IF([1]Accounts!$D$467="","",[1]Accounts!$D$467)</f>
        <v/>
      </c>
      <c r="E466">
        <f>IF([1]Accounts!$D$467="","",[1]Accounts!$E$467)</f>
        <v/>
      </c>
      <c r="F466">
        <f>IF([1]Accounts!$D$467="","",[1]Accounts!$F$467)</f>
        <v/>
      </c>
      <c r="G466">
        <f>IF([1]Accounts!$D$467="","",[1]Accounts!$G$467)</f>
        <v/>
      </c>
      <c r="T466">
        <f>IF([2]Baskol!$B$469="","",[2]Baskol!$B$469)</f>
        <v/>
      </c>
      <c r="U466">
        <f>IF([2]Baskol!$C$469="","",[2]Baskol!$C$469)</f>
        <v/>
      </c>
      <c r="V466">
        <f>IF([2]Baskol!$D$469="","",[2]Baskol!$D$469)</f>
        <v/>
      </c>
      <c r="W466">
        <f>IF([2]Baskol!$E$469="","",[2]Baskol!$E$469)</f>
        <v/>
      </c>
      <c r="X466">
        <f>IF([2]Baskol!$G$469="","",[2]Baskol!$G$469)</f>
        <v/>
      </c>
      <c r="Y466">
        <f>IF([2]Baskol!$I$469="","",[2]Baskol!$I$469)</f>
        <v/>
      </c>
      <c r="Z466">
        <f>IF([2]Baskol!$J$469="","",[2]Baskol!$J$469)</f>
        <v/>
      </c>
      <c r="AA466">
        <f>IF([2]Baskol!$K$469="","",[2]Baskol!$K$469)</f>
        <v/>
      </c>
      <c r="AB466">
        <f>IF([2]Baskol!$L$469="","",[2]Baskol!$L$469)</f>
        <v/>
      </c>
      <c r="AC466">
        <f>IF([2]Baskol!$N$469="","",[2]Baskol!$N$469)</f>
        <v/>
      </c>
      <c r="AD466">
        <f>IF([2]Baskol!$O$469="","",[2]Baskol!$O$469)</f>
        <v/>
      </c>
      <c r="AE466">
        <f>IF([3]Entry!$C$469="","",[3]Entry!$C$469)</f>
        <v/>
      </c>
      <c r="AF466">
        <f>IF([3]Entry!$D$469="","",[3]Entry!$D$469)</f>
        <v/>
      </c>
      <c r="AG466">
        <f>IF([3]Entry!$E$469="","",[3]Entry!$E$469)</f>
        <v/>
      </c>
      <c r="AH466">
        <f>IF([3]Entry!$G$469="","",[3]Entry!$G$469)</f>
        <v/>
      </c>
      <c r="AI466">
        <f>IF([3]Entry!$K$469="","",[3]Entry!$K$469)</f>
        <v/>
      </c>
      <c r="AJ466">
        <f>IF([3]Entry!$L$469="","",[3]Entry!$L$469)</f>
        <v/>
      </c>
      <c r="AK466">
        <f>IF([3]Entry!$M$469="","",[3]Entry!$M$469)</f>
        <v/>
      </c>
      <c r="AL466">
        <f>IF([3]Entry!$N$469="","",[3]Entry!$N$469)</f>
        <v/>
      </c>
      <c r="AM466">
        <f>IF([3]Entry!$R$469="","",[3]Entry!$R$469)</f>
        <v/>
      </c>
    </row>
    <row r="467">
      <c r="A467">
        <f>IF([1]Accounts!$D$468="","",[1]Accounts!$A$468)</f>
        <v/>
      </c>
      <c r="B467">
        <f>IF([1]Accounts!$D$468="","",[1]Accounts!$B$468)</f>
        <v/>
      </c>
      <c r="C467">
        <f>IF([1]Accounts!$D$468="","",[1]Accounts!$C$468)</f>
        <v/>
      </c>
      <c r="D467">
        <f>IF([1]Accounts!$D$468="","",[1]Accounts!$D$468)</f>
        <v/>
      </c>
      <c r="E467">
        <f>IF([1]Accounts!$D$468="","",[1]Accounts!$E$468)</f>
        <v/>
      </c>
      <c r="F467">
        <f>IF([1]Accounts!$D$468="","",[1]Accounts!$F$468)</f>
        <v/>
      </c>
      <c r="G467">
        <f>IF([1]Accounts!$D$468="","",[1]Accounts!$G$468)</f>
        <v/>
      </c>
      <c r="T467">
        <f>IF([2]Baskol!$B$470="","",[2]Baskol!$B$470)</f>
        <v/>
      </c>
      <c r="U467">
        <f>IF([2]Baskol!$C$470="","",[2]Baskol!$C$470)</f>
        <v/>
      </c>
      <c r="V467">
        <f>IF([2]Baskol!$D$470="","",[2]Baskol!$D$470)</f>
        <v/>
      </c>
      <c r="W467">
        <f>IF([2]Baskol!$E$470="","",[2]Baskol!$E$470)</f>
        <v/>
      </c>
      <c r="X467">
        <f>IF([2]Baskol!$G$470="","",[2]Baskol!$G$470)</f>
        <v/>
      </c>
      <c r="Y467">
        <f>IF([2]Baskol!$I$470="","",[2]Baskol!$I$470)</f>
        <v/>
      </c>
      <c r="Z467">
        <f>IF([2]Baskol!$J$470="","",[2]Baskol!$J$470)</f>
        <v/>
      </c>
      <c r="AA467">
        <f>IF([2]Baskol!$K$470="","",[2]Baskol!$K$470)</f>
        <v/>
      </c>
      <c r="AB467">
        <f>IF([2]Baskol!$L$470="","",[2]Baskol!$L$470)</f>
        <v/>
      </c>
      <c r="AC467">
        <f>IF([2]Baskol!$N$470="","",[2]Baskol!$N$470)</f>
        <v/>
      </c>
      <c r="AD467">
        <f>IF([2]Baskol!$O$470="","",[2]Baskol!$O$470)</f>
        <v/>
      </c>
      <c r="AE467">
        <f>IF([3]Entry!$C$470="","",[3]Entry!$C$470)</f>
        <v/>
      </c>
      <c r="AF467">
        <f>IF([3]Entry!$D$470="","",[3]Entry!$D$470)</f>
        <v/>
      </c>
      <c r="AG467">
        <f>IF([3]Entry!$E$470="","",[3]Entry!$E$470)</f>
        <v/>
      </c>
      <c r="AH467">
        <f>IF([3]Entry!$G$470="","",[3]Entry!$G$470)</f>
        <v/>
      </c>
      <c r="AI467">
        <f>IF([3]Entry!$K$470="","",[3]Entry!$K$470)</f>
        <v/>
      </c>
      <c r="AJ467">
        <f>IF([3]Entry!$L$470="","",[3]Entry!$L$470)</f>
        <v/>
      </c>
      <c r="AK467">
        <f>IF([3]Entry!$M$470="","",[3]Entry!$M$470)</f>
        <v/>
      </c>
      <c r="AL467">
        <f>IF([3]Entry!$N$470="","",[3]Entry!$N$470)</f>
        <v/>
      </c>
      <c r="AM467">
        <f>IF([3]Entry!$R$470="","",[3]Entry!$R$470)</f>
        <v/>
      </c>
    </row>
    <row r="468">
      <c r="A468">
        <f>IF([1]Accounts!$D$469="","",[1]Accounts!$A$469)</f>
        <v/>
      </c>
      <c r="B468">
        <f>IF([1]Accounts!$D$469="","",[1]Accounts!$B$469)</f>
        <v/>
      </c>
      <c r="C468">
        <f>IF([1]Accounts!$D$469="","",[1]Accounts!$C$469)</f>
        <v/>
      </c>
      <c r="D468">
        <f>IF([1]Accounts!$D$469="","",[1]Accounts!$D$469)</f>
        <v/>
      </c>
      <c r="E468">
        <f>IF([1]Accounts!$D$469="","",[1]Accounts!$E$469)</f>
        <v/>
      </c>
      <c r="F468">
        <f>IF([1]Accounts!$D$469="","",[1]Accounts!$F$469)</f>
        <v/>
      </c>
      <c r="G468">
        <f>IF([1]Accounts!$D$469="","",[1]Accounts!$G$469)</f>
        <v/>
      </c>
      <c r="T468">
        <f>IF([2]Baskol!$B$471="","",[2]Baskol!$B$471)</f>
        <v/>
      </c>
      <c r="U468">
        <f>IF([2]Baskol!$C$471="","",[2]Baskol!$C$471)</f>
        <v/>
      </c>
      <c r="V468">
        <f>IF([2]Baskol!$D$471="","",[2]Baskol!$D$471)</f>
        <v/>
      </c>
      <c r="W468">
        <f>IF([2]Baskol!$E$471="","",[2]Baskol!$E$471)</f>
        <v/>
      </c>
      <c r="X468">
        <f>IF([2]Baskol!$G$471="","",[2]Baskol!$G$471)</f>
        <v/>
      </c>
      <c r="Y468">
        <f>IF([2]Baskol!$I$471="","",[2]Baskol!$I$471)</f>
        <v/>
      </c>
      <c r="Z468">
        <f>IF([2]Baskol!$J$471="","",[2]Baskol!$J$471)</f>
        <v/>
      </c>
      <c r="AA468">
        <f>IF([2]Baskol!$K$471="","",[2]Baskol!$K$471)</f>
        <v/>
      </c>
      <c r="AB468">
        <f>IF([2]Baskol!$L$471="","",[2]Baskol!$L$471)</f>
        <v/>
      </c>
      <c r="AC468">
        <f>IF([2]Baskol!$N$471="","",[2]Baskol!$N$471)</f>
        <v/>
      </c>
      <c r="AD468">
        <f>IF([2]Baskol!$O$471="","",[2]Baskol!$O$471)</f>
        <v/>
      </c>
      <c r="AE468">
        <f>IF([3]Entry!$C$471="","",[3]Entry!$C$471)</f>
        <v/>
      </c>
      <c r="AF468">
        <f>IF([3]Entry!$D$471="","",[3]Entry!$D$471)</f>
        <v/>
      </c>
      <c r="AG468">
        <f>IF([3]Entry!$E$471="","",[3]Entry!$E$471)</f>
        <v/>
      </c>
      <c r="AH468">
        <f>IF([3]Entry!$G$471="","",[3]Entry!$G$471)</f>
        <v/>
      </c>
      <c r="AI468">
        <f>IF([3]Entry!$K$471="","",[3]Entry!$K$471)</f>
        <v/>
      </c>
      <c r="AJ468">
        <f>IF([3]Entry!$L$471="","",[3]Entry!$L$471)</f>
        <v/>
      </c>
      <c r="AK468">
        <f>IF([3]Entry!$M$471="","",[3]Entry!$M$471)</f>
        <v/>
      </c>
      <c r="AL468">
        <f>IF([3]Entry!$N$471="","",[3]Entry!$N$471)</f>
        <v/>
      </c>
      <c r="AM468">
        <f>IF([3]Entry!$R$471="","",[3]Entry!$R$471)</f>
        <v/>
      </c>
    </row>
    <row r="469">
      <c r="A469">
        <f>IF([1]Accounts!$D$470="","",[1]Accounts!$A$470)</f>
        <v/>
      </c>
      <c r="B469">
        <f>IF([1]Accounts!$D$470="","",[1]Accounts!$B$470)</f>
        <v/>
      </c>
      <c r="C469">
        <f>IF([1]Accounts!$D$470="","",[1]Accounts!$C$470)</f>
        <v/>
      </c>
      <c r="D469">
        <f>IF([1]Accounts!$D$470="","",[1]Accounts!$D$470)</f>
        <v/>
      </c>
      <c r="E469">
        <f>IF([1]Accounts!$D$470="","",[1]Accounts!$E$470)</f>
        <v/>
      </c>
      <c r="F469">
        <f>IF([1]Accounts!$D$470="","",[1]Accounts!$F$470)</f>
        <v/>
      </c>
      <c r="G469">
        <f>IF([1]Accounts!$D$470="","",[1]Accounts!$G$470)</f>
        <v/>
      </c>
      <c r="T469">
        <f>IF([2]Baskol!$B$472="","",[2]Baskol!$B$472)</f>
        <v/>
      </c>
      <c r="U469">
        <f>IF([2]Baskol!$C$472="","",[2]Baskol!$C$472)</f>
        <v/>
      </c>
      <c r="V469">
        <f>IF([2]Baskol!$D$472="","",[2]Baskol!$D$472)</f>
        <v/>
      </c>
      <c r="W469">
        <f>IF([2]Baskol!$E$472="","",[2]Baskol!$E$472)</f>
        <v/>
      </c>
      <c r="X469">
        <f>IF([2]Baskol!$G$472="","",[2]Baskol!$G$472)</f>
        <v/>
      </c>
      <c r="Y469">
        <f>IF([2]Baskol!$I$472="","",[2]Baskol!$I$472)</f>
        <v/>
      </c>
      <c r="Z469">
        <f>IF([2]Baskol!$J$472="","",[2]Baskol!$J$472)</f>
        <v/>
      </c>
      <c r="AA469">
        <f>IF([2]Baskol!$K$472="","",[2]Baskol!$K$472)</f>
        <v/>
      </c>
      <c r="AB469">
        <f>IF([2]Baskol!$L$472="","",[2]Baskol!$L$472)</f>
        <v/>
      </c>
      <c r="AC469">
        <f>IF([2]Baskol!$N$472="","",[2]Baskol!$N$472)</f>
        <v/>
      </c>
      <c r="AD469">
        <f>IF([2]Baskol!$O$472="","",[2]Baskol!$O$472)</f>
        <v/>
      </c>
      <c r="AE469">
        <f>IF([3]Entry!$C$472="","",[3]Entry!$C$472)</f>
        <v/>
      </c>
      <c r="AF469">
        <f>IF([3]Entry!$D$472="","",[3]Entry!$D$472)</f>
        <v/>
      </c>
      <c r="AG469">
        <f>IF([3]Entry!$E$472="","",[3]Entry!$E$472)</f>
        <v/>
      </c>
      <c r="AH469">
        <f>IF([3]Entry!$G$472="","",[3]Entry!$G$472)</f>
        <v/>
      </c>
      <c r="AI469">
        <f>IF([3]Entry!$K$472="","",[3]Entry!$K$472)</f>
        <v/>
      </c>
      <c r="AJ469">
        <f>IF([3]Entry!$L$472="","",[3]Entry!$L$472)</f>
        <v/>
      </c>
      <c r="AK469">
        <f>IF([3]Entry!$M$472="","",[3]Entry!$M$472)</f>
        <v/>
      </c>
      <c r="AL469">
        <f>IF([3]Entry!$N$472="","",[3]Entry!$N$472)</f>
        <v/>
      </c>
      <c r="AM469">
        <f>IF([3]Entry!$R$472="","",[3]Entry!$R$472)</f>
        <v/>
      </c>
    </row>
    <row r="470">
      <c r="A470">
        <f>IF([1]Accounts!$D$471="","",[1]Accounts!$A$471)</f>
        <v/>
      </c>
      <c r="B470">
        <f>IF([1]Accounts!$D$471="","",[1]Accounts!$B$471)</f>
        <v/>
      </c>
      <c r="C470">
        <f>IF([1]Accounts!$D$471="","",[1]Accounts!$C$471)</f>
        <v/>
      </c>
      <c r="D470">
        <f>IF([1]Accounts!$D$471="","",[1]Accounts!$D$471)</f>
        <v/>
      </c>
      <c r="E470">
        <f>IF([1]Accounts!$D$471="","",[1]Accounts!$E$471)</f>
        <v/>
      </c>
      <c r="F470">
        <f>IF([1]Accounts!$D$471="","",[1]Accounts!$F$471)</f>
        <v/>
      </c>
      <c r="G470">
        <f>IF([1]Accounts!$D$471="","",[1]Accounts!$G$471)</f>
        <v/>
      </c>
      <c r="T470">
        <f>IF([2]Baskol!$B$473="","",[2]Baskol!$B$473)</f>
        <v/>
      </c>
      <c r="U470">
        <f>IF([2]Baskol!$C$473="","",[2]Baskol!$C$473)</f>
        <v/>
      </c>
      <c r="V470">
        <f>IF([2]Baskol!$D$473="","",[2]Baskol!$D$473)</f>
        <v/>
      </c>
      <c r="W470">
        <f>IF([2]Baskol!$E$473="","",[2]Baskol!$E$473)</f>
        <v/>
      </c>
      <c r="X470">
        <f>IF([2]Baskol!$G$473="","",[2]Baskol!$G$473)</f>
        <v/>
      </c>
      <c r="Y470">
        <f>IF([2]Baskol!$I$473="","",[2]Baskol!$I$473)</f>
        <v/>
      </c>
      <c r="Z470">
        <f>IF([2]Baskol!$J$473="","",[2]Baskol!$J$473)</f>
        <v/>
      </c>
      <c r="AA470">
        <f>IF([2]Baskol!$K$473="","",[2]Baskol!$K$473)</f>
        <v/>
      </c>
      <c r="AB470">
        <f>IF([2]Baskol!$L$473="","",[2]Baskol!$L$473)</f>
        <v/>
      </c>
      <c r="AC470">
        <f>IF([2]Baskol!$N$473="","",[2]Baskol!$N$473)</f>
        <v/>
      </c>
      <c r="AD470">
        <f>IF([2]Baskol!$O$473="","",[2]Baskol!$O$473)</f>
        <v/>
      </c>
      <c r="AE470">
        <f>IF([3]Entry!$C$473="","",[3]Entry!$C$473)</f>
        <v/>
      </c>
      <c r="AF470">
        <f>IF([3]Entry!$D$473="","",[3]Entry!$D$473)</f>
        <v/>
      </c>
      <c r="AG470">
        <f>IF([3]Entry!$E$473="","",[3]Entry!$E$473)</f>
        <v/>
      </c>
      <c r="AH470">
        <f>IF([3]Entry!$G$473="","",[3]Entry!$G$473)</f>
        <v/>
      </c>
      <c r="AI470">
        <f>IF([3]Entry!$K$473="","",[3]Entry!$K$473)</f>
        <v/>
      </c>
      <c r="AJ470">
        <f>IF([3]Entry!$L$473="","",[3]Entry!$L$473)</f>
        <v/>
      </c>
      <c r="AK470">
        <f>IF([3]Entry!$M$473="","",[3]Entry!$M$473)</f>
        <v/>
      </c>
      <c r="AL470">
        <f>IF([3]Entry!$N$473="","",[3]Entry!$N$473)</f>
        <v/>
      </c>
      <c r="AM470">
        <f>IF([3]Entry!$R$473="","",[3]Entry!$R$473)</f>
        <v/>
      </c>
    </row>
    <row r="471">
      <c r="A471">
        <f>IF([1]Accounts!$D$472="","",[1]Accounts!$A$472)</f>
        <v/>
      </c>
      <c r="B471">
        <f>IF([1]Accounts!$D$472="","",[1]Accounts!$B$472)</f>
        <v/>
      </c>
      <c r="C471">
        <f>IF([1]Accounts!$D$472="","",[1]Accounts!$C$472)</f>
        <v/>
      </c>
      <c r="D471">
        <f>IF([1]Accounts!$D$472="","",[1]Accounts!$D$472)</f>
        <v/>
      </c>
      <c r="E471">
        <f>IF([1]Accounts!$D$472="","",[1]Accounts!$E$472)</f>
        <v/>
      </c>
      <c r="F471">
        <f>IF([1]Accounts!$D$472="","",[1]Accounts!$F$472)</f>
        <v/>
      </c>
      <c r="G471">
        <f>IF([1]Accounts!$D$472="","",[1]Accounts!$G$472)</f>
        <v/>
      </c>
      <c r="T471">
        <f>IF([2]Baskol!$B$474="","",[2]Baskol!$B$474)</f>
        <v/>
      </c>
      <c r="U471">
        <f>IF([2]Baskol!$C$474="","",[2]Baskol!$C$474)</f>
        <v/>
      </c>
      <c r="V471">
        <f>IF([2]Baskol!$D$474="","",[2]Baskol!$D$474)</f>
        <v/>
      </c>
      <c r="W471">
        <f>IF([2]Baskol!$E$474="","",[2]Baskol!$E$474)</f>
        <v/>
      </c>
      <c r="X471">
        <f>IF([2]Baskol!$G$474="","",[2]Baskol!$G$474)</f>
        <v/>
      </c>
      <c r="Y471">
        <f>IF([2]Baskol!$I$474="","",[2]Baskol!$I$474)</f>
        <v/>
      </c>
      <c r="Z471">
        <f>IF([2]Baskol!$J$474="","",[2]Baskol!$J$474)</f>
        <v/>
      </c>
      <c r="AA471">
        <f>IF([2]Baskol!$K$474="","",[2]Baskol!$K$474)</f>
        <v/>
      </c>
      <c r="AB471">
        <f>IF([2]Baskol!$L$474="","",[2]Baskol!$L$474)</f>
        <v/>
      </c>
      <c r="AC471">
        <f>IF([2]Baskol!$N$474="","",[2]Baskol!$N$474)</f>
        <v/>
      </c>
      <c r="AD471">
        <f>IF([2]Baskol!$O$474="","",[2]Baskol!$O$474)</f>
        <v/>
      </c>
      <c r="AE471">
        <f>IF([3]Entry!$C$474="","",[3]Entry!$C$474)</f>
        <v/>
      </c>
      <c r="AF471">
        <f>IF([3]Entry!$D$474="","",[3]Entry!$D$474)</f>
        <v/>
      </c>
      <c r="AG471">
        <f>IF([3]Entry!$E$474="","",[3]Entry!$E$474)</f>
        <v/>
      </c>
      <c r="AH471">
        <f>IF([3]Entry!$G$474="","",[3]Entry!$G$474)</f>
        <v/>
      </c>
      <c r="AI471">
        <f>IF([3]Entry!$K$474="","",[3]Entry!$K$474)</f>
        <v/>
      </c>
      <c r="AJ471">
        <f>IF([3]Entry!$L$474="","",[3]Entry!$L$474)</f>
        <v/>
      </c>
      <c r="AK471">
        <f>IF([3]Entry!$M$474="","",[3]Entry!$M$474)</f>
        <v/>
      </c>
      <c r="AL471">
        <f>IF([3]Entry!$N$474="","",[3]Entry!$N$474)</f>
        <v/>
      </c>
      <c r="AM471">
        <f>IF([3]Entry!$R$474="","",[3]Entry!$R$474)</f>
        <v/>
      </c>
    </row>
    <row r="472">
      <c r="A472">
        <f>IF([1]Accounts!$D$473="","",[1]Accounts!$A$473)</f>
        <v/>
      </c>
      <c r="B472">
        <f>IF([1]Accounts!$D$473="","",[1]Accounts!$B$473)</f>
        <v/>
      </c>
      <c r="C472">
        <f>IF([1]Accounts!$D$473="","",[1]Accounts!$C$473)</f>
        <v/>
      </c>
      <c r="D472">
        <f>IF([1]Accounts!$D$473="","",[1]Accounts!$D$473)</f>
        <v/>
      </c>
      <c r="E472">
        <f>IF([1]Accounts!$D$473="","",[1]Accounts!$E$473)</f>
        <v/>
      </c>
      <c r="F472">
        <f>IF([1]Accounts!$D$473="","",[1]Accounts!$F$473)</f>
        <v/>
      </c>
      <c r="G472">
        <f>IF([1]Accounts!$D$473="","",[1]Accounts!$G$473)</f>
        <v/>
      </c>
      <c r="T472">
        <f>IF([2]Baskol!$B$475="","",[2]Baskol!$B$475)</f>
        <v/>
      </c>
      <c r="U472">
        <f>IF([2]Baskol!$C$475="","",[2]Baskol!$C$475)</f>
        <v/>
      </c>
      <c r="V472">
        <f>IF([2]Baskol!$D$475="","",[2]Baskol!$D$475)</f>
        <v/>
      </c>
      <c r="W472">
        <f>IF([2]Baskol!$E$475="","",[2]Baskol!$E$475)</f>
        <v/>
      </c>
      <c r="X472">
        <f>IF([2]Baskol!$G$475="","",[2]Baskol!$G$475)</f>
        <v/>
      </c>
      <c r="Y472">
        <f>IF([2]Baskol!$I$475="","",[2]Baskol!$I$475)</f>
        <v/>
      </c>
      <c r="Z472">
        <f>IF([2]Baskol!$J$475="","",[2]Baskol!$J$475)</f>
        <v/>
      </c>
      <c r="AA472">
        <f>IF([2]Baskol!$K$475="","",[2]Baskol!$K$475)</f>
        <v/>
      </c>
      <c r="AB472">
        <f>IF([2]Baskol!$L$475="","",[2]Baskol!$L$475)</f>
        <v/>
      </c>
      <c r="AC472">
        <f>IF([2]Baskol!$N$475="","",[2]Baskol!$N$475)</f>
        <v/>
      </c>
      <c r="AD472">
        <f>IF([2]Baskol!$O$475="","",[2]Baskol!$O$475)</f>
        <v/>
      </c>
      <c r="AE472">
        <f>IF([3]Entry!$C$475="","",[3]Entry!$C$475)</f>
        <v/>
      </c>
      <c r="AF472">
        <f>IF([3]Entry!$D$475="","",[3]Entry!$D$475)</f>
        <v/>
      </c>
      <c r="AG472">
        <f>IF([3]Entry!$E$475="","",[3]Entry!$E$475)</f>
        <v/>
      </c>
      <c r="AH472">
        <f>IF([3]Entry!$G$475="","",[3]Entry!$G$475)</f>
        <v/>
      </c>
      <c r="AI472">
        <f>IF([3]Entry!$K$475="","",[3]Entry!$K$475)</f>
        <v/>
      </c>
      <c r="AJ472">
        <f>IF([3]Entry!$L$475="","",[3]Entry!$L$475)</f>
        <v/>
      </c>
      <c r="AK472">
        <f>IF([3]Entry!$M$475="","",[3]Entry!$M$475)</f>
        <v/>
      </c>
      <c r="AL472">
        <f>IF([3]Entry!$N$475="","",[3]Entry!$N$475)</f>
        <v/>
      </c>
      <c r="AM472">
        <f>IF([3]Entry!$R$475="","",[3]Entry!$R$475)</f>
        <v/>
      </c>
    </row>
    <row r="473">
      <c r="A473">
        <f>IF([1]Accounts!$D$474="","",[1]Accounts!$A$474)</f>
        <v/>
      </c>
      <c r="B473">
        <f>IF([1]Accounts!$D$474="","",[1]Accounts!$B$474)</f>
        <v/>
      </c>
      <c r="C473">
        <f>IF([1]Accounts!$D$474="","",[1]Accounts!$C$474)</f>
        <v/>
      </c>
      <c r="D473">
        <f>IF([1]Accounts!$D$474="","",[1]Accounts!$D$474)</f>
        <v/>
      </c>
      <c r="E473">
        <f>IF([1]Accounts!$D$474="","",[1]Accounts!$E$474)</f>
        <v/>
      </c>
      <c r="F473">
        <f>IF([1]Accounts!$D$474="","",[1]Accounts!$F$474)</f>
        <v/>
      </c>
      <c r="G473">
        <f>IF([1]Accounts!$D$474="","",[1]Accounts!$G$474)</f>
        <v/>
      </c>
      <c r="T473">
        <f>IF([2]Baskol!$B$476="","",[2]Baskol!$B$476)</f>
        <v/>
      </c>
      <c r="U473">
        <f>IF([2]Baskol!$C$476="","",[2]Baskol!$C$476)</f>
        <v/>
      </c>
      <c r="V473">
        <f>IF([2]Baskol!$D$476="","",[2]Baskol!$D$476)</f>
        <v/>
      </c>
      <c r="W473">
        <f>IF([2]Baskol!$E$476="","",[2]Baskol!$E$476)</f>
        <v/>
      </c>
      <c r="X473">
        <f>IF([2]Baskol!$G$476="","",[2]Baskol!$G$476)</f>
        <v/>
      </c>
      <c r="Y473">
        <f>IF([2]Baskol!$I$476="","",[2]Baskol!$I$476)</f>
        <v/>
      </c>
      <c r="Z473">
        <f>IF([2]Baskol!$J$476="","",[2]Baskol!$J$476)</f>
        <v/>
      </c>
      <c r="AA473">
        <f>IF([2]Baskol!$K$476="","",[2]Baskol!$K$476)</f>
        <v/>
      </c>
      <c r="AB473">
        <f>IF([2]Baskol!$L$476="","",[2]Baskol!$L$476)</f>
        <v/>
      </c>
      <c r="AC473">
        <f>IF([2]Baskol!$N$476="","",[2]Baskol!$N$476)</f>
        <v/>
      </c>
      <c r="AD473">
        <f>IF([2]Baskol!$O$476="","",[2]Baskol!$O$476)</f>
        <v/>
      </c>
      <c r="AE473">
        <f>IF([3]Entry!$C$476="","",[3]Entry!$C$476)</f>
        <v/>
      </c>
      <c r="AF473">
        <f>IF([3]Entry!$D$476="","",[3]Entry!$D$476)</f>
        <v/>
      </c>
      <c r="AG473">
        <f>IF([3]Entry!$E$476="","",[3]Entry!$E$476)</f>
        <v/>
      </c>
      <c r="AH473">
        <f>IF([3]Entry!$G$476="","",[3]Entry!$G$476)</f>
        <v/>
      </c>
      <c r="AI473">
        <f>IF([3]Entry!$K$476="","",[3]Entry!$K$476)</f>
        <v/>
      </c>
      <c r="AJ473">
        <f>IF([3]Entry!$L$476="","",[3]Entry!$L$476)</f>
        <v/>
      </c>
      <c r="AK473">
        <f>IF([3]Entry!$M$476="","",[3]Entry!$M$476)</f>
        <v/>
      </c>
      <c r="AL473">
        <f>IF([3]Entry!$N$476="","",[3]Entry!$N$476)</f>
        <v/>
      </c>
      <c r="AM473">
        <f>IF([3]Entry!$R$476="","",[3]Entry!$R$476)</f>
        <v/>
      </c>
    </row>
    <row r="474">
      <c r="A474">
        <f>IF([1]Accounts!$D$475="","",[1]Accounts!$A$475)</f>
        <v/>
      </c>
      <c r="B474">
        <f>IF([1]Accounts!$D$475="","",[1]Accounts!$B$475)</f>
        <v/>
      </c>
      <c r="C474">
        <f>IF([1]Accounts!$D$475="","",[1]Accounts!$C$475)</f>
        <v/>
      </c>
      <c r="D474">
        <f>IF([1]Accounts!$D$475="","",[1]Accounts!$D$475)</f>
        <v/>
      </c>
      <c r="E474">
        <f>IF([1]Accounts!$D$475="","",[1]Accounts!$E$475)</f>
        <v/>
      </c>
      <c r="F474">
        <f>IF([1]Accounts!$D$475="","",[1]Accounts!$F$475)</f>
        <v/>
      </c>
      <c r="G474">
        <f>IF([1]Accounts!$D$475="","",[1]Accounts!$G$475)</f>
        <v/>
      </c>
      <c r="T474">
        <f>IF([2]Baskol!$B$477="","",[2]Baskol!$B$477)</f>
        <v/>
      </c>
      <c r="U474">
        <f>IF([2]Baskol!$C$477="","",[2]Baskol!$C$477)</f>
        <v/>
      </c>
      <c r="V474">
        <f>IF([2]Baskol!$D$477="","",[2]Baskol!$D$477)</f>
        <v/>
      </c>
      <c r="W474">
        <f>IF([2]Baskol!$E$477="","",[2]Baskol!$E$477)</f>
        <v/>
      </c>
      <c r="X474">
        <f>IF([2]Baskol!$G$477="","",[2]Baskol!$G$477)</f>
        <v/>
      </c>
      <c r="Y474">
        <f>IF([2]Baskol!$I$477="","",[2]Baskol!$I$477)</f>
        <v/>
      </c>
      <c r="Z474">
        <f>IF([2]Baskol!$J$477="","",[2]Baskol!$J$477)</f>
        <v/>
      </c>
      <c r="AA474">
        <f>IF([2]Baskol!$K$477="","",[2]Baskol!$K$477)</f>
        <v/>
      </c>
      <c r="AB474">
        <f>IF([2]Baskol!$L$477="","",[2]Baskol!$L$477)</f>
        <v/>
      </c>
      <c r="AC474">
        <f>IF([2]Baskol!$N$477="","",[2]Baskol!$N$477)</f>
        <v/>
      </c>
      <c r="AD474">
        <f>IF([2]Baskol!$O$477="","",[2]Baskol!$O$477)</f>
        <v/>
      </c>
      <c r="AE474">
        <f>IF([3]Entry!$C$477="","",[3]Entry!$C$477)</f>
        <v/>
      </c>
      <c r="AF474">
        <f>IF([3]Entry!$D$477="","",[3]Entry!$D$477)</f>
        <v/>
      </c>
      <c r="AG474">
        <f>IF([3]Entry!$E$477="","",[3]Entry!$E$477)</f>
        <v/>
      </c>
      <c r="AH474">
        <f>IF([3]Entry!$G$477="","",[3]Entry!$G$477)</f>
        <v/>
      </c>
      <c r="AI474">
        <f>IF([3]Entry!$K$477="","",[3]Entry!$K$477)</f>
        <v/>
      </c>
      <c r="AJ474">
        <f>IF([3]Entry!$L$477="","",[3]Entry!$L$477)</f>
        <v/>
      </c>
      <c r="AK474">
        <f>IF([3]Entry!$M$477="","",[3]Entry!$M$477)</f>
        <v/>
      </c>
      <c r="AL474">
        <f>IF([3]Entry!$N$477="","",[3]Entry!$N$477)</f>
        <v/>
      </c>
      <c r="AM474">
        <f>IF([3]Entry!$R$477="","",[3]Entry!$R$477)</f>
        <v/>
      </c>
    </row>
    <row r="475">
      <c r="A475">
        <f>IF([1]Accounts!$D$476="","",[1]Accounts!$A$476)</f>
        <v/>
      </c>
      <c r="B475">
        <f>IF([1]Accounts!$D$476="","",[1]Accounts!$B$476)</f>
        <v/>
      </c>
      <c r="C475">
        <f>IF([1]Accounts!$D$476="","",[1]Accounts!$C$476)</f>
        <v/>
      </c>
      <c r="D475">
        <f>IF([1]Accounts!$D$476="","",[1]Accounts!$D$476)</f>
        <v/>
      </c>
      <c r="E475">
        <f>IF([1]Accounts!$D$476="","",[1]Accounts!$E$476)</f>
        <v/>
      </c>
      <c r="F475">
        <f>IF([1]Accounts!$D$476="","",[1]Accounts!$F$476)</f>
        <v/>
      </c>
      <c r="G475">
        <f>IF([1]Accounts!$D$476="","",[1]Accounts!$G$476)</f>
        <v/>
      </c>
      <c r="T475">
        <f>IF([2]Baskol!$B$478="","",[2]Baskol!$B$478)</f>
        <v/>
      </c>
      <c r="U475">
        <f>IF([2]Baskol!$C$478="","",[2]Baskol!$C$478)</f>
        <v/>
      </c>
      <c r="V475">
        <f>IF([2]Baskol!$D$478="","",[2]Baskol!$D$478)</f>
        <v/>
      </c>
      <c r="W475">
        <f>IF([2]Baskol!$E$478="","",[2]Baskol!$E$478)</f>
        <v/>
      </c>
      <c r="X475">
        <f>IF([2]Baskol!$G$478="","",[2]Baskol!$G$478)</f>
        <v/>
      </c>
      <c r="Y475">
        <f>IF([2]Baskol!$I$478="","",[2]Baskol!$I$478)</f>
        <v/>
      </c>
      <c r="Z475">
        <f>IF([2]Baskol!$J$478="","",[2]Baskol!$J$478)</f>
        <v/>
      </c>
      <c r="AA475">
        <f>IF([2]Baskol!$K$478="","",[2]Baskol!$K$478)</f>
        <v/>
      </c>
      <c r="AB475">
        <f>IF([2]Baskol!$L$478="","",[2]Baskol!$L$478)</f>
        <v/>
      </c>
      <c r="AC475">
        <f>IF([2]Baskol!$N$478="","",[2]Baskol!$N$478)</f>
        <v/>
      </c>
      <c r="AD475">
        <f>IF([2]Baskol!$O$478="","",[2]Baskol!$O$478)</f>
        <v/>
      </c>
      <c r="AE475">
        <f>IF([3]Entry!$C$478="","",[3]Entry!$C$478)</f>
        <v/>
      </c>
      <c r="AF475">
        <f>IF([3]Entry!$D$478="","",[3]Entry!$D$478)</f>
        <v/>
      </c>
      <c r="AG475">
        <f>IF([3]Entry!$E$478="","",[3]Entry!$E$478)</f>
        <v/>
      </c>
      <c r="AH475">
        <f>IF([3]Entry!$G$478="","",[3]Entry!$G$478)</f>
        <v/>
      </c>
      <c r="AI475">
        <f>IF([3]Entry!$K$478="","",[3]Entry!$K$478)</f>
        <v/>
      </c>
      <c r="AJ475">
        <f>IF([3]Entry!$L$478="","",[3]Entry!$L$478)</f>
        <v/>
      </c>
      <c r="AK475">
        <f>IF([3]Entry!$M$478="","",[3]Entry!$M$478)</f>
        <v/>
      </c>
      <c r="AL475">
        <f>IF([3]Entry!$N$478="","",[3]Entry!$N$478)</f>
        <v/>
      </c>
      <c r="AM475">
        <f>IF([3]Entry!$R$478="","",[3]Entry!$R$478)</f>
        <v/>
      </c>
    </row>
    <row r="476">
      <c r="A476">
        <f>IF([1]Accounts!$D$477="","",[1]Accounts!$A$477)</f>
        <v/>
      </c>
      <c r="B476">
        <f>IF([1]Accounts!$D$477="","",[1]Accounts!$B$477)</f>
        <v/>
      </c>
      <c r="C476">
        <f>IF([1]Accounts!$D$477="","",[1]Accounts!$C$477)</f>
        <v/>
      </c>
      <c r="D476">
        <f>IF([1]Accounts!$D$477="","",[1]Accounts!$D$477)</f>
        <v/>
      </c>
      <c r="E476">
        <f>IF([1]Accounts!$D$477="","",[1]Accounts!$E$477)</f>
        <v/>
      </c>
      <c r="F476">
        <f>IF([1]Accounts!$D$477="","",[1]Accounts!$F$477)</f>
        <v/>
      </c>
      <c r="G476">
        <f>IF([1]Accounts!$D$477="","",[1]Accounts!$G$477)</f>
        <v/>
      </c>
      <c r="T476">
        <f>IF([2]Baskol!$B$479="","",[2]Baskol!$B$479)</f>
        <v/>
      </c>
      <c r="U476">
        <f>IF([2]Baskol!$C$479="","",[2]Baskol!$C$479)</f>
        <v/>
      </c>
      <c r="V476">
        <f>IF([2]Baskol!$D$479="","",[2]Baskol!$D$479)</f>
        <v/>
      </c>
      <c r="W476">
        <f>IF([2]Baskol!$E$479="","",[2]Baskol!$E$479)</f>
        <v/>
      </c>
      <c r="X476">
        <f>IF([2]Baskol!$G$479="","",[2]Baskol!$G$479)</f>
        <v/>
      </c>
      <c r="Y476">
        <f>IF([2]Baskol!$I$479="","",[2]Baskol!$I$479)</f>
        <v/>
      </c>
      <c r="Z476">
        <f>IF([2]Baskol!$J$479="","",[2]Baskol!$J$479)</f>
        <v/>
      </c>
      <c r="AA476">
        <f>IF([2]Baskol!$K$479="","",[2]Baskol!$K$479)</f>
        <v/>
      </c>
      <c r="AB476">
        <f>IF([2]Baskol!$L$479="","",[2]Baskol!$L$479)</f>
        <v/>
      </c>
      <c r="AC476">
        <f>IF([2]Baskol!$N$479="","",[2]Baskol!$N$479)</f>
        <v/>
      </c>
      <c r="AD476">
        <f>IF([2]Baskol!$O$479="","",[2]Baskol!$O$479)</f>
        <v/>
      </c>
      <c r="AE476">
        <f>IF([3]Entry!$C$479="","",[3]Entry!$C$479)</f>
        <v/>
      </c>
      <c r="AF476">
        <f>IF([3]Entry!$D$479="","",[3]Entry!$D$479)</f>
        <v/>
      </c>
      <c r="AG476">
        <f>IF([3]Entry!$E$479="","",[3]Entry!$E$479)</f>
        <v/>
      </c>
      <c r="AH476">
        <f>IF([3]Entry!$G$479="","",[3]Entry!$G$479)</f>
        <v/>
      </c>
      <c r="AI476">
        <f>IF([3]Entry!$K$479="","",[3]Entry!$K$479)</f>
        <v/>
      </c>
      <c r="AJ476">
        <f>IF([3]Entry!$L$479="","",[3]Entry!$L$479)</f>
        <v/>
      </c>
      <c r="AK476">
        <f>IF([3]Entry!$M$479="","",[3]Entry!$M$479)</f>
        <v/>
      </c>
      <c r="AL476">
        <f>IF([3]Entry!$N$479="","",[3]Entry!$N$479)</f>
        <v/>
      </c>
      <c r="AM476">
        <f>IF([3]Entry!$R$479="","",[3]Entry!$R$479)</f>
        <v/>
      </c>
    </row>
    <row r="477">
      <c r="A477">
        <f>IF([1]Accounts!$D$478="","",[1]Accounts!$A$478)</f>
        <v/>
      </c>
      <c r="B477">
        <f>IF([1]Accounts!$D$478="","",[1]Accounts!$B$478)</f>
        <v/>
      </c>
      <c r="C477">
        <f>IF([1]Accounts!$D$478="","",[1]Accounts!$C$478)</f>
        <v/>
      </c>
      <c r="D477">
        <f>IF([1]Accounts!$D$478="","",[1]Accounts!$D$478)</f>
        <v/>
      </c>
      <c r="E477">
        <f>IF([1]Accounts!$D$478="","",[1]Accounts!$E$478)</f>
        <v/>
      </c>
      <c r="F477">
        <f>IF([1]Accounts!$D$478="","",[1]Accounts!$F$478)</f>
        <v/>
      </c>
      <c r="G477">
        <f>IF([1]Accounts!$D$478="","",[1]Accounts!$G$478)</f>
        <v/>
      </c>
      <c r="T477">
        <f>IF([2]Baskol!$B$480="","",[2]Baskol!$B$480)</f>
        <v/>
      </c>
      <c r="U477">
        <f>IF([2]Baskol!$C$480="","",[2]Baskol!$C$480)</f>
        <v/>
      </c>
      <c r="V477">
        <f>IF([2]Baskol!$D$480="","",[2]Baskol!$D$480)</f>
        <v/>
      </c>
      <c r="W477">
        <f>IF([2]Baskol!$E$480="","",[2]Baskol!$E$480)</f>
        <v/>
      </c>
      <c r="X477">
        <f>IF([2]Baskol!$G$480="","",[2]Baskol!$G$480)</f>
        <v/>
      </c>
      <c r="Y477">
        <f>IF([2]Baskol!$I$480="","",[2]Baskol!$I$480)</f>
        <v/>
      </c>
      <c r="Z477">
        <f>IF([2]Baskol!$J$480="","",[2]Baskol!$J$480)</f>
        <v/>
      </c>
      <c r="AA477">
        <f>IF([2]Baskol!$K$480="","",[2]Baskol!$K$480)</f>
        <v/>
      </c>
      <c r="AB477">
        <f>IF([2]Baskol!$L$480="","",[2]Baskol!$L$480)</f>
        <v/>
      </c>
      <c r="AC477">
        <f>IF([2]Baskol!$N$480="","",[2]Baskol!$N$480)</f>
        <v/>
      </c>
      <c r="AD477">
        <f>IF([2]Baskol!$O$480="","",[2]Baskol!$O$480)</f>
        <v/>
      </c>
      <c r="AE477">
        <f>IF([3]Entry!$C$480="","",[3]Entry!$C$480)</f>
        <v/>
      </c>
      <c r="AF477">
        <f>IF([3]Entry!$D$480="","",[3]Entry!$D$480)</f>
        <v/>
      </c>
      <c r="AG477">
        <f>IF([3]Entry!$E$480="","",[3]Entry!$E$480)</f>
        <v/>
      </c>
      <c r="AH477">
        <f>IF([3]Entry!$G$480="","",[3]Entry!$G$480)</f>
        <v/>
      </c>
      <c r="AI477">
        <f>IF([3]Entry!$K$480="","",[3]Entry!$K$480)</f>
        <v/>
      </c>
      <c r="AJ477">
        <f>IF([3]Entry!$L$480="","",[3]Entry!$L$480)</f>
        <v/>
      </c>
      <c r="AK477">
        <f>IF([3]Entry!$M$480="","",[3]Entry!$M$480)</f>
        <v/>
      </c>
      <c r="AL477">
        <f>IF([3]Entry!$N$480="","",[3]Entry!$N$480)</f>
        <v/>
      </c>
      <c r="AM477">
        <f>IF([3]Entry!$R$480="","",[3]Entry!$R$480)</f>
        <v/>
      </c>
    </row>
    <row r="478">
      <c r="A478">
        <f>IF([1]Accounts!$D$479="","",[1]Accounts!$A$479)</f>
        <v/>
      </c>
      <c r="B478">
        <f>IF([1]Accounts!$D$479="","",[1]Accounts!$B$479)</f>
        <v/>
      </c>
      <c r="C478">
        <f>IF([1]Accounts!$D$479="","",[1]Accounts!$C$479)</f>
        <v/>
      </c>
      <c r="D478">
        <f>IF([1]Accounts!$D$479="","",[1]Accounts!$D$479)</f>
        <v/>
      </c>
      <c r="E478">
        <f>IF([1]Accounts!$D$479="","",[1]Accounts!$E$479)</f>
        <v/>
      </c>
      <c r="F478">
        <f>IF([1]Accounts!$D$479="","",[1]Accounts!$F$479)</f>
        <v/>
      </c>
      <c r="G478">
        <f>IF([1]Accounts!$D$479="","",[1]Accounts!$G$479)</f>
        <v/>
      </c>
      <c r="T478">
        <f>IF([2]Baskol!$B$481="","",[2]Baskol!$B$481)</f>
        <v/>
      </c>
      <c r="U478">
        <f>IF([2]Baskol!$C$481="","",[2]Baskol!$C$481)</f>
        <v/>
      </c>
      <c r="V478">
        <f>IF([2]Baskol!$D$481="","",[2]Baskol!$D$481)</f>
        <v/>
      </c>
      <c r="W478">
        <f>IF([2]Baskol!$E$481="","",[2]Baskol!$E$481)</f>
        <v/>
      </c>
      <c r="X478">
        <f>IF([2]Baskol!$G$481="","",[2]Baskol!$G$481)</f>
        <v/>
      </c>
      <c r="Y478">
        <f>IF([2]Baskol!$I$481="","",[2]Baskol!$I$481)</f>
        <v/>
      </c>
      <c r="Z478">
        <f>IF([2]Baskol!$J$481="","",[2]Baskol!$J$481)</f>
        <v/>
      </c>
      <c r="AA478">
        <f>IF([2]Baskol!$K$481="","",[2]Baskol!$K$481)</f>
        <v/>
      </c>
      <c r="AB478">
        <f>IF([2]Baskol!$L$481="","",[2]Baskol!$L$481)</f>
        <v/>
      </c>
      <c r="AC478">
        <f>IF([2]Baskol!$N$481="","",[2]Baskol!$N$481)</f>
        <v/>
      </c>
      <c r="AD478">
        <f>IF([2]Baskol!$O$481="","",[2]Baskol!$O$481)</f>
        <v/>
      </c>
      <c r="AE478">
        <f>IF([3]Entry!$C$481="","",[3]Entry!$C$481)</f>
        <v/>
      </c>
      <c r="AF478">
        <f>IF([3]Entry!$D$481="","",[3]Entry!$D$481)</f>
        <v/>
      </c>
      <c r="AG478">
        <f>IF([3]Entry!$E$481="","",[3]Entry!$E$481)</f>
        <v/>
      </c>
      <c r="AH478">
        <f>IF([3]Entry!$G$481="","",[3]Entry!$G$481)</f>
        <v/>
      </c>
      <c r="AI478">
        <f>IF([3]Entry!$K$481="","",[3]Entry!$K$481)</f>
        <v/>
      </c>
      <c r="AJ478">
        <f>IF([3]Entry!$L$481="","",[3]Entry!$L$481)</f>
        <v/>
      </c>
      <c r="AK478">
        <f>IF([3]Entry!$M$481="","",[3]Entry!$M$481)</f>
        <v/>
      </c>
      <c r="AL478">
        <f>IF([3]Entry!$N$481="","",[3]Entry!$N$481)</f>
        <v/>
      </c>
      <c r="AM478">
        <f>IF([3]Entry!$R$481="","",[3]Entry!$R$481)</f>
        <v/>
      </c>
    </row>
    <row r="479">
      <c r="A479">
        <f>IF([1]Accounts!$D$480="","",[1]Accounts!$A$480)</f>
        <v/>
      </c>
      <c r="B479">
        <f>IF([1]Accounts!$D$480="","",[1]Accounts!$B$480)</f>
        <v/>
      </c>
      <c r="C479">
        <f>IF([1]Accounts!$D$480="","",[1]Accounts!$C$480)</f>
        <v/>
      </c>
      <c r="D479">
        <f>IF([1]Accounts!$D$480="","",[1]Accounts!$D$480)</f>
        <v/>
      </c>
      <c r="E479">
        <f>IF([1]Accounts!$D$480="","",[1]Accounts!$E$480)</f>
        <v/>
      </c>
      <c r="F479">
        <f>IF([1]Accounts!$D$480="","",[1]Accounts!$F$480)</f>
        <v/>
      </c>
      <c r="G479">
        <f>IF([1]Accounts!$D$480="","",[1]Accounts!$G$480)</f>
        <v/>
      </c>
      <c r="T479">
        <f>IF([2]Baskol!$B$482="","",[2]Baskol!$B$482)</f>
        <v/>
      </c>
      <c r="U479">
        <f>IF([2]Baskol!$C$482="","",[2]Baskol!$C$482)</f>
        <v/>
      </c>
      <c r="V479">
        <f>IF([2]Baskol!$D$482="","",[2]Baskol!$D$482)</f>
        <v/>
      </c>
      <c r="W479">
        <f>IF([2]Baskol!$E$482="","",[2]Baskol!$E$482)</f>
        <v/>
      </c>
      <c r="X479">
        <f>IF([2]Baskol!$G$482="","",[2]Baskol!$G$482)</f>
        <v/>
      </c>
      <c r="Y479">
        <f>IF([2]Baskol!$I$482="","",[2]Baskol!$I$482)</f>
        <v/>
      </c>
      <c r="Z479">
        <f>IF([2]Baskol!$J$482="","",[2]Baskol!$J$482)</f>
        <v/>
      </c>
      <c r="AA479">
        <f>IF([2]Baskol!$K$482="","",[2]Baskol!$K$482)</f>
        <v/>
      </c>
      <c r="AB479">
        <f>IF([2]Baskol!$L$482="","",[2]Baskol!$L$482)</f>
        <v/>
      </c>
      <c r="AC479">
        <f>IF([2]Baskol!$N$482="","",[2]Baskol!$N$482)</f>
        <v/>
      </c>
      <c r="AD479">
        <f>IF([2]Baskol!$O$482="","",[2]Baskol!$O$482)</f>
        <v/>
      </c>
      <c r="AE479">
        <f>IF([3]Entry!$C$482="","",[3]Entry!$C$482)</f>
        <v/>
      </c>
      <c r="AF479">
        <f>IF([3]Entry!$D$482="","",[3]Entry!$D$482)</f>
        <v/>
      </c>
      <c r="AG479">
        <f>IF([3]Entry!$E$482="","",[3]Entry!$E$482)</f>
        <v/>
      </c>
      <c r="AH479">
        <f>IF([3]Entry!$G$482="","",[3]Entry!$G$482)</f>
        <v/>
      </c>
      <c r="AI479">
        <f>IF([3]Entry!$K$482="","",[3]Entry!$K$482)</f>
        <v/>
      </c>
      <c r="AJ479">
        <f>IF([3]Entry!$L$482="","",[3]Entry!$L$482)</f>
        <v/>
      </c>
      <c r="AK479">
        <f>IF([3]Entry!$M$482="","",[3]Entry!$M$482)</f>
        <v/>
      </c>
      <c r="AL479">
        <f>IF([3]Entry!$N$482="","",[3]Entry!$N$482)</f>
        <v/>
      </c>
      <c r="AM479">
        <f>IF([3]Entry!$R$482="","",[3]Entry!$R$482)</f>
        <v/>
      </c>
    </row>
    <row r="480">
      <c r="A480">
        <f>IF([1]Accounts!$D$481="","",[1]Accounts!$A$481)</f>
        <v/>
      </c>
      <c r="B480">
        <f>IF([1]Accounts!$D$481="","",[1]Accounts!$B$481)</f>
        <v/>
      </c>
      <c r="C480">
        <f>IF([1]Accounts!$D$481="","",[1]Accounts!$C$481)</f>
        <v/>
      </c>
      <c r="D480">
        <f>IF([1]Accounts!$D$481="","",[1]Accounts!$D$481)</f>
        <v/>
      </c>
      <c r="E480">
        <f>IF([1]Accounts!$D$481="","",[1]Accounts!$E$481)</f>
        <v/>
      </c>
      <c r="F480">
        <f>IF([1]Accounts!$D$481="","",[1]Accounts!$F$481)</f>
        <v/>
      </c>
      <c r="G480">
        <f>IF([1]Accounts!$D$481="","",[1]Accounts!$G$481)</f>
        <v/>
      </c>
      <c r="T480">
        <f>IF([2]Baskol!$B$483="","",[2]Baskol!$B$483)</f>
        <v/>
      </c>
      <c r="U480">
        <f>IF([2]Baskol!$C$483="","",[2]Baskol!$C$483)</f>
        <v/>
      </c>
      <c r="V480">
        <f>IF([2]Baskol!$D$483="","",[2]Baskol!$D$483)</f>
        <v/>
      </c>
      <c r="W480">
        <f>IF([2]Baskol!$E$483="","",[2]Baskol!$E$483)</f>
        <v/>
      </c>
      <c r="X480">
        <f>IF([2]Baskol!$G$483="","",[2]Baskol!$G$483)</f>
        <v/>
      </c>
      <c r="Y480">
        <f>IF([2]Baskol!$I$483="","",[2]Baskol!$I$483)</f>
        <v/>
      </c>
      <c r="Z480">
        <f>IF([2]Baskol!$J$483="","",[2]Baskol!$J$483)</f>
        <v/>
      </c>
      <c r="AA480">
        <f>IF([2]Baskol!$K$483="","",[2]Baskol!$K$483)</f>
        <v/>
      </c>
      <c r="AB480">
        <f>IF([2]Baskol!$L$483="","",[2]Baskol!$L$483)</f>
        <v/>
      </c>
      <c r="AC480">
        <f>IF([2]Baskol!$N$483="","",[2]Baskol!$N$483)</f>
        <v/>
      </c>
      <c r="AD480">
        <f>IF([2]Baskol!$O$483="","",[2]Baskol!$O$483)</f>
        <v/>
      </c>
      <c r="AE480">
        <f>IF([3]Entry!$C$483="","",[3]Entry!$C$483)</f>
        <v/>
      </c>
      <c r="AF480">
        <f>IF([3]Entry!$D$483="","",[3]Entry!$D$483)</f>
        <v/>
      </c>
      <c r="AG480">
        <f>IF([3]Entry!$E$483="","",[3]Entry!$E$483)</f>
        <v/>
      </c>
      <c r="AH480">
        <f>IF([3]Entry!$G$483="","",[3]Entry!$G$483)</f>
        <v/>
      </c>
      <c r="AI480">
        <f>IF([3]Entry!$K$483="","",[3]Entry!$K$483)</f>
        <v/>
      </c>
      <c r="AJ480">
        <f>IF([3]Entry!$L$483="","",[3]Entry!$L$483)</f>
        <v/>
      </c>
      <c r="AK480">
        <f>IF([3]Entry!$M$483="","",[3]Entry!$M$483)</f>
        <v/>
      </c>
      <c r="AL480">
        <f>IF([3]Entry!$N$483="","",[3]Entry!$N$483)</f>
        <v/>
      </c>
      <c r="AM480">
        <f>IF([3]Entry!$R$483="","",[3]Entry!$R$483)</f>
        <v/>
      </c>
    </row>
    <row r="481">
      <c r="A481">
        <f>IF([1]Accounts!$D$482="","",[1]Accounts!$A$482)</f>
        <v/>
      </c>
      <c r="B481">
        <f>IF([1]Accounts!$D$482="","",[1]Accounts!$B$482)</f>
        <v/>
      </c>
      <c r="C481">
        <f>IF([1]Accounts!$D$482="","",[1]Accounts!$C$482)</f>
        <v/>
      </c>
      <c r="D481">
        <f>IF([1]Accounts!$D$482="","",[1]Accounts!$D$482)</f>
        <v/>
      </c>
      <c r="E481">
        <f>IF([1]Accounts!$D$482="","",[1]Accounts!$E$482)</f>
        <v/>
      </c>
      <c r="F481">
        <f>IF([1]Accounts!$D$482="","",[1]Accounts!$F$482)</f>
        <v/>
      </c>
      <c r="G481">
        <f>IF([1]Accounts!$D$482="","",[1]Accounts!$G$482)</f>
        <v/>
      </c>
      <c r="T481">
        <f>IF([2]Baskol!$B$484="","",[2]Baskol!$B$484)</f>
        <v/>
      </c>
      <c r="U481">
        <f>IF([2]Baskol!$C$484="","",[2]Baskol!$C$484)</f>
        <v/>
      </c>
      <c r="V481">
        <f>IF([2]Baskol!$D$484="","",[2]Baskol!$D$484)</f>
        <v/>
      </c>
      <c r="W481">
        <f>IF([2]Baskol!$E$484="","",[2]Baskol!$E$484)</f>
        <v/>
      </c>
      <c r="X481">
        <f>IF([2]Baskol!$G$484="","",[2]Baskol!$G$484)</f>
        <v/>
      </c>
      <c r="Y481">
        <f>IF([2]Baskol!$I$484="","",[2]Baskol!$I$484)</f>
        <v/>
      </c>
      <c r="Z481">
        <f>IF([2]Baskol!$J$484="","",[2]Baskol!$J$484)</f>
        <v/>
      </c>
      <c r="AA481">
        <f>IF([2]Baskol!$K$484="","",[2]Baskol!$K$484)</f>
        <v/>
      </c>
      <c r="AB481">
        <f>IF([2]Baskol!$L$484="","",[2]Baskol!$L$484)</f>
        <v/>
      </c>
      <c r="AC481">
        <f>IF([2]Baskol!$N$484="","",[2]Baskol!$N$484)</f>
        <v/>
      </c>
      <c r="AD481">
        <f>IF([2]Baskol!$O$484="","",[2]Baskol!$O$484)</f>
        <v/>
      </c>
      <c r="AE481">
        <f>IF([3]Entry!$C$484="","",[3]Entry!$C$484)</f>
        <v/>
      </c>
      <c r="AF481">
        <f>IF([3]Entry!$D$484="","",[3]Entry!$D$484)</f>
        <v/>
      </c>
      <c r="AG481">
        <f>IF([3]Entry!$E$484="","",[3]Entry!$E$484)</f>
        <v/>
      </c>
      <c r="AH481">
        <f>IF([3]Entry!$G$484="","",[3]Entry!$G$484)</f>
        <v/>
      </c>
      <c r="AI481">
        <f>IF([3]Entry!$K$484="","",[3]Entry!$K$484)</f>
        <v/>
      </c>
      <c r="AJ481">
        <f>IF([3]Entry!$L$484="","",[3]Entry!$L$484)</f>
        <v/>
      </c>
      <c r="AK481">
        <f>IF([3]Entry!$M$484="","",[3]Entry!$M$484)</f>
        <v/>
      </c>
      <c r="AL481">
        <f>IF([3]Entry!$N$484="","",[3]Entry!$N$484)</f>
        <v/>
      </c>
      <c r="AM481">
        <f>IF([3]Entry!$R$484="","",[3]Entry!$R$484)</f>
        <v/>
      </c>
    </row>
    <row r="482">
      <c r="A482">
        <f>IF([1]Accounts!$D$483="","",[1]Accounts!$A$483)</f>
        <v/>
      </c>
      <c r="B482">
        <f>IF([1]Accounts!$D$483="","",[1]Accounts!$B$483)</f>
        <v/>
      </c>
      <c r="C482">
        <f>IF([1]Accounts!$D$483="","",[1]Accounts!$C$483)</f>
        <v/>
      </c>
      <c r="D482">
        <f>IF([1]Accounts!$D$483="","",[1]Accounts!$D$483)</f>
        <v/>
      </c>
      <c r="E482">
        <f>IF([1]Accounts!$D$483="","",[1]Accounts!$E$483)</f>
        <v/>
      </c>
      <c r="F482">
        <f>IF([1]Accounts!$D$483="","",[1]Accounts!$F$483)</f>
        <v/>
      </c>
      <c r="G482">
        <f>IF([1]Accounts!$D$483="","",[1]Accounts!$G$483)</f>
        <v/>
      </c>
      <c r="T482">
        <f>IF([2]Baskol!$B$485="","",[2]Baskol!$B$485)</f>
        <v/>
      </c>
      <c r="U482">
        <f>IF([2]Baskol!$C$485="","",[2]Baskol!$C$485)</f>
        <v/>
      </c>
      <c r="V482">
        <f>IF([2]Baskol!$D$485="","",[2]Baskol!$D$485)</f>
        <v/>
      </c>
      <c r="W482">
        <f>IF([2]Baskol!$E$485="","",[2]Baskol!$E$485)</f>
        <v/>
      </c>
      <c r="X482">
        <f>IF([2]Baskol!$G$485="","",[2]Baskol!$G$485)</f>
        <v/>
      </c>
      <c r="Y482">
        <f>IF([2]Baskol!$I$485="","",[2]Baskol!$I$485)</f>
        <v/>
      </c>
      <c r="Z482">
        <f>IF([2]Baskol!$J$485="","",[2]Baskol!$J$485)</f>
        <v/>
      </c>
      <c r="AA482">
        <f>IF([2]Baskol!$K$485="","",[2]Baskol!$K$485)</f>
        <v/>
      </c>
      <c r="AB482">
        <f>IF([2]Baskol!$L$485="","",[2]Baskol!$L$485)</f>
        <v/>
      </c>
      <c r="AC482">
        <f>IF([2]Baskol!$N$485="","",[2]Baskol!$N$485)</f>
        <v/>
      </c>
      <c r="AD482">
        <f>IF([2]Baskol!$O$485="","",[2]Baskol!$O$485)</f>
        <v/>
      </c>
      <c r="AE482">
        <f>IF([3]Entry!$C$485="","",[3]Entry!$C$485)</f>
        <v/>
      </c>
      <c r="AF482">
        <f>IF([3]Entry!$D$485="","",[3]Entry!$D$485)</f>
        <v/>
      </c>
      <c r="AG482">
        <f>IF([3]Entry!$E$485="","",[3]Entry!$E$485)</f>
        <v/>
      </c>
      <c r="AH482">
        <f>IF([3]Entry!$G$485="","",[3]Entry!$G$485)</f>
        <v/>
      </c>
      <c r="AI482">
        <f>IF([3]Entry!$K$485="","",[3]Entry!$K$485)</f>
        <v/>
      </c>
      <c r="AJ482">
        <f>IF([3]Entry!$L$485="","",[3]Entry!$L$485)</f>
        <v/>
      </c>
      <c r="AK482">
        <f>IF([3]Entry!$M$485="","",[3]Entry!$M$485)</f>
        <v/>
      </c>
      <c r="AL482">
        <f>IF([3]Entry!$N$485="","",[3]Entry!$N$485)</f>
        <v/>
      </c>
      <c r="AM482">
        <f>IF([3]Entry!$R$485="","",[3]Entry!$R$485)</f>
        <v/>
      </c>
    </row>
    <row r="483">
      <c r="A483">
        <f>IF([1]Accounts!$D$484="","",[1]Accounts!$A$484)</f>
        <v/>
      </c>
      <c r="B483">
        <f>IF([1]Accounts!$D$484="","",[1]Accounts!$B$484)</f>
        <v/>
      </c>
      <c r="C483">
        <f>IF([1]Accounts!$D$484="","",[1]Accounts!$C$484)</f>
        <v/>
      </c>
      <c r="D483">
        <f>IF([1]Accounts!$D$484="","",[1]Accounts!$D$484)</f>
        <v/>
      </c>
      <c r="E483">
        <f>IF([1]Accounts!$D$484="","",[1]Accounts!$E$484)</f>
        <v/>
      </c>
      <c r="F483">
        <f>IF([1]Accounts!$D$484="","",[1]Accounts!$F$484)</f>
        <v/>
      </c>
      <c r="G483">
        <f>IF([1]Accounts!$D$484="","",[1]Accounts!$G$484)</f>
        <v/>
      </c>
      <c r="T483">
        <f>IF([2]Baskol!$B$486="","",[2]Baskol!$B$486)</f>
        <v/>
      </c>
      <c r="U483">
        <f>IF([2]Baskol!$C$486="","",[2]Baskol!$C$486)</f>
        <v/>
      </c>
      <c r="V483">
        <f>IF([2]Baskol!$D$486="","",[2]Baskol!$D$486)</f>
        <v/>
      </c>
      <c r="W483">
        <f>IF([2]Baskol!$E$486="","",[2]Baskol!$E$486)</f>
        <v/>
      </c>
      <c r="X483">
        <f>IF([2]Baskol!$G$486="","",[2]Baskol!$G$486)</f>
        <v/>
      </c>
      <c r="Y483">
        <f>IF([2]Baskol!$I$486="","",[2]Baskol!$I$486)</f>
        <v/>
      </c>
      <c r="Z483">
        <f>IF([2]Baskol!$J$486="","",[2]Baskol!$J$486)</f>
        <v/>
      </c>
      <c r="AA483">
        <f>IF([2]Baskol!$K$486="","",[2]Baskol!$K$486)</f>
        <v/>
      </c>
      <c r="AB483">
        <f>IF([2]Baskol!$L$486="","",[2]Baskol!$L$486)</f>
        <v/>
      </c>
      <c r="AC483">
        <f>IF([2]Baskol!$N$486="","",[2]Baskol!$N$486)</f>
        <v/>
      </c>
      <c r="AD483">
        <f>IF([2]Baskol!$O$486="","",[2]Baskol!$O$486)</f>
        <v/>
      </c>
      <c r="AE483">
        <f>IF([3]Entry!$C$486="","",[3]Entry!$C$486)</f>
        <v/>
      </c>
      <c r="AF483">
        <f>IF([3]Entry!$D$486="","",[3]Entry!$D$486)</f>
        <v/>
      </c>
      <c r="AG483">
        <f>IF([3]Entry!$E$486="","",[3]Entry!$E$486)</f>
        <v/>
      </c>
      <c r="AH483">
        <f>IF([3]Entry!$G$486="","",[3]Entry!$G$486)</f>
        <v/>
      </c>
      <c r="AI483">
        <f>IF([3]Entry!$K$486="","",[3]Entry!$K$486)</f>
        <v/>
      </c>
      <c r="AJ483">
        <f>IF([3]Entry!$L$486="","",[3]Entry!$L$486)</f>
        <v/>
      </c>
      <c r="AK483">
        <f>IF([3]Entry!$M$486="","",[3]Entry!$M$486)</f>
        <v/>
      </c>
      <c r="AL483">
        <f>IF([3]Entry!$N$486="","",[3]Entry!$N$486)</f>
        <v/>
      </c>
      <c r="AM483">
        <f>IF([3]Entry!$R$486="","",[3]Entry!$R$486)</f>
        <v/>
      </c>
    </row>
    <row r="484">
      <c r="A484">
        <f>IF([1]Accounts!$D$485="","",[1]Accounts!$A$485)</f>
        <v/>
      </c>
      <c r="B484">
        <f>IF([1]Accounts!$D$485="","",[1]Accounts!$B$485)</f>
        <v/>
      </c>
      <c r="C484">
        <f>IF([1]Accounts!$D$485="","",[1]Accounts!$C$485)</f>
        <v/>
      </c>
      <c r="D484">
        <f>IF([1]Accounts!$D$485="","",[1]Accounts!$D$485)</f>
        <v/>
      </c>
      <c r="E484">
        <f>IF([1]Accounts!$D$485="","",[1]Accounts!$E$485)</f>
        <v/>
      </c>
      <c r="F484">
        <f>IF([1]Accounts!$D$485="","",[1]Accounts!$F$485)</f>
        <v/>
      </c>
      <c r="G484">
        <f>IF([1]Accounts!$D$485="","",[1]Accounts!$G$485)</f>
        <v/>
      </c>
      <c r="T484">
        <f>IF([2]Baskol!$B$487="","",[2]Baskol!$B$487)</f>
        <v/>
      </c>
      <c r="U484">
        <f>IF([2]Baskol!$C$487="","",[2]Baskol!$C$487)</f>
        <v/>
      </c>
      <c r="V484">
        <f>IF([2]Baskol!$D$487="","",[2]Baskol!$D$487)</f>
        <v/>
      </c>
      <c r="W484">
        <f>IF([2]Baskol!$E$487="","",[2]Baskol!$E$487)</f>
        <v/>
      </c>
      <c r="X484">
        <f>IF([2]Baskol!$G$487="","",[2]Baskol!$G$487)</f>
        <v/>
      </c>
      <c r="Y484">
        <f>IF([2]Baskol!$I$487="","",[2]Baskol!$I$487)</f>
        <v/>
      </c>
      <c r="Z484">
        <f>IF([2]Baskol!$J$487="","",[2]Baskol!$J$487)</f>
        <v/>
      </c>
      <c r="AA484">
        <f>IF([2]Baskol!$K$487="","",[2]Baskol!$K$487)</f>
        <v/>
      </c>
      <c r="AB484">
        <f>IF([2]Baskol!$L$487="","",[2]Baskol!$L$487)</f>
        <v/>
      </c>
      <c r="AC484">
        <f>IF([2]Baskol!$N$487="","",[2]Baskol!$N$487)</f>
        <v/>
      </c>
      <c r="AD484">
        <f>IF([2]Baskol!$O$487="","",[2]Baskol!$O$487)</f>
        <v/>
      </c>
      <c r="AE484">
        <f>IF([3]Entry!$C$487="","",[3]Entry!$C$487)</f>
        <v/>
      </c>
      <c r="AF484">
        <f>IF([3]Entry!$D$487="","",[3]Entry!$D$487)</f>
        <v/>
      </c>
      <c r="AG484">
        <f>IF([3]Entry!$E$487="","",[3]Entry!$E$487)</f>
        <v/>
      </c>
      <c r="AH484">
        <f>IF([3]Entry!$G$487="","",[3]Entry!$G$487)</f>
        <v/>
      </c>
      <c r="AI484">
        <f>IF([3]Entry!$K$487="","",[3]Entry!$K$487)</f>
        <v/>
      </c>
      <c r="AJ484">
        <f>IF([3]Entry!$L$487="","",[3]Entry!$L$487)</f>
        <v/>
      </c>
      <c r="AK484">
        <f>IF([3]Entry!$M$487="","",[3]Entry!$M$487)</f>
        <v/>
      </c>
      <c r="AL484">
        <f>IF([3]Entry!$N$487="","",[3]Entry!$N$487)</f>
        <v/>
      </c>
      <c r="AM484">
        <f>IF([3]Entry!$R$487="","",[3]Entry!$R$487)</f>
        <v/>
      </c>
    </row>
    <row r="485">
      <c r="A485">
        <f>IF([1]Accounts!$D$486="","",[1]Accounts!$A$486)</f>
        <v/>
      </c>
      <c r="B485">
        <f>IF([1]Accounts!$D$486="","",[1]Accounts!$B$486)</f>
        <v/>
      </c>
      <c r="C485">
        <f>IF([1]Accounts!$D$486="","",[1]Accounts!$C$486)</f>
        <v/>
      </c>
      <c r="D485">
        <f>IF([1]Accounts!$D$486="","",[1]Accounts!$D$486)</f>
        <v/>
      </c>
      <c r="E485">
        <f>IF([1]Accounts!$D$486="","",[1]Accounts!$E$486)</f>
        <v/>
      </c>
      <c r="F485">
        <f>IF([1]Accounts!$D$486="","",[1]Accounts!$F$486)</f>
        <v/>
      </c>
      <c r="G485">
        <f>IF([1]Accounts!$D$486="","",[1]Accounts!$G$486)</f>
        <v/>
      </c>
      <c r="T485">
        <f>IF([2]Baskol!$B$488="","",[2]Baskol!$B$488)</f>
        <v/>
      </c>
      <c r="U485">
        <f>IF([2]Baskol!$C$488="","",[2]Baskol!$C$488)</f>
        <v/>
      </c>
      <c r="V485">
        <f>IF([2]Baskol!$D$488="","",[2]Baskol!$D$488)</f>
        <v/>
      </c>
      <c r="W485">
        <f>IF([2]Baskol!$E$488="","",[2]Baskol!$E$488)</f>
        <v/>
      </c>
      <c r="X485">
        <f>IF([2]Baskol!$G$488="","",[2]Baskol!$G$488)</f>
        <v/>
      </c>
      <c r="Y485">
        <f>IF([2]Baskol!$I$488="","",[2]Baskol!$I$488)</f>
        <v/>
      </c>
      <c r="Z485">
        <f>IF([2]Baskol!$J$488="","",[2]Baskol!$J$488)</f>
        <v/>
      </c>
      <c r="AA485">
        <f>IF([2]Baskol!$K$488="","",[2]Baskol!$K$488)</f>
        <v/>
      </c>
      <c r="AB485">
        <f>IF([2]Baskol!$L$488="","",[2]Baskol!$L$488)</f>
        <v/>
      </c>
      <c r="AC485">
        <f>IF([2]Baskol!$N$488="","",[2]Baskol!$N$488)</f>
        <v/>
      </c>
      <c r="AD485">
        <f>IF([2]Baskol!$O$488="","",[2]Baskol!$O$488)</f>
        <v/>
      </c>
      <c r="AE485">
        <f>IF([3]Entry!$C$488="","",[3]Entry!$C$488)</f>
        <v/>
      </c>
      <c r="AF485">
        <f>IF([3]Entry!$D$488="","",[3]Entry!$D$488)</f>
        <v/>
      </c>
      <c r="AG485">
        <f>IF([3]Entry!$E$488="","",[3]Entry!$E$488)</f>
        <v/>
      </c>
      <c r="AH485">
        <f>IF([3]Entry!$G$488="","",[3]Entry!$G$488)</f>
        <v/>
      </c>
      <c r="AI485">
        <f>IF([3]Entry!$K$488="","",[3]Entry!$K$488)</f>
        <v/>
      </c>
      <c r="AJ485">
        <f>IF([3]Entry!$L$488="","",[3]Entry!$L$488)</f>
        <v/>
      </c>
      <c r="AK485">
        <f>IF([3]Entry!$M$488="","",[3]Entry!$M$488)</f>
        <v/>
      </c>
      <c r="AL485">
        <f>IF([3]Entry!$N$488="","",[3]Entry!$N$488)</f>
        <v/>
      </c>
      <c r="AM485">
        <f>IF([3]Entry!$R$488="","",[3]Entry!$R$488)</f>
        <v/>
      </c>
    </row>
    <row r="486">
      <c r="A486">
        <f>IF([1]Accounts!$D$487="","",[1]Accounts!$A$487)</f>
        <v/>
      </c>
      <c r="B486">
        <f>IF([1]Accounts!$D$487="","",[1]Accounts!$B$487)</f>
        <v/>
      </c>
      <c r="C486">
        <f>IF([1]Accounts!$D$487="","",[1]Accounts!$C$487)</f>
        <v/>
      </c>
      <c r="D486">
        <f>IF([1]Accounts!$D$487="","",[1]Accounts!$D$487)</f>
        <v/>
      </c>
      <c r="E486">
        <f>IF([1]Accounts!$D$487="","",[1]Accounts!$E$487)</f>
        <v/>
      </c>
      <c r="F486">
        <f>IF([1]Accounts!$D$487="","",[1]Accounts!$F$487)</f>
        <v/>
      </c>
      <c r="G486">
        <f>IF([1]Accounts!$D$487="","",[1]Accounts!$G$487)</f>
        <v/>
      </c>
      <c r="T486">
        <f>IF([2]Baskol!$B$489="","",[2]Baskol!$B$489)</f>
        <v/>
      </c>
      <c r="U486">
        <f>IF([2]Baskol!$C$489="","",[2]Baskol!$C$489)</f>
        <v/>
      </c>
      <c r="V486">
        <f>IF([2]Baskol!$D$489="","",[2]Baskol!$D$489)</f>
        <v/>
      </c>
      <c r="W486">
        <f>IF([2]Baskol!$E$489="","",[2]Baskol!$E$489)</f>
        <v/>
      </c>
      <c r="X486">
        <f>IF([2]Baskol!$G$489="","",[2]Baskol!$G$489)</f>
        <v/>
      </c>
      <c r="Y486">
        <f>IF([2]Baskol!$I$489="","",[2]Baskol!$I$489)</f>
        <v/>
      </c>
      <c r="Z486">
        <f>IF([2]Baskol!$J$489="","",[2]Baskol!$J$489)</f>
        <v/>
      </c>
      <c r="AA486">
        <f>IF([2]Baskol!$K$489="","",[2]Baskol!$K$489)</f>
        <v/>
      </c>
      <c r="AB486">
        <f>IF([2]Baskol!$L$489="","",[2]Baskol!$L$489)</f>
        <v/>
      </c>
      <c r="AC486">
        <f>IF([2]Baskol!$N$489="","",[2]Baskol!$N$489)</f>
        <v/>
      </c>
      <c r="AD486">
        <f>IF([2]Baskol!$O$489="","",[2]Baskol!$O$489)</f>
        <v/>
      </c>
      <c r="AE486">
        <f>IF([3]Entry!$C$489="","",[3]Entry!$C$489)</f>
        <v/>
      </c>
      <c r="AF486">
        <f>IF([3]Entry!$D$489="","",[3]Entry!$D$489)</f>
        <v/>
      </c>
      <c r="AG486">
        <f>IF([3]Entry!$E$489="","",[3]Entry!$E$489)</f>
        <v/>
      </c>
      <c r="AH486">
        <f>IF([3]Entry!$G$489="","",[3]Entry!$G$489)</f>
        <v/>
      </c>
      <c r="AI486">
        <f>IF([3]Entry!$K$489="","",[3]Entry!$K$489)</f>
        <v/>
      </c>
      <c r="AJ486">
        <f>IF([3]Entry!$L$489="","",[3]Entry!$L$489)</f>
        <v/>
      </c>
      <c r="AK486">
        <f>IF([3]Entry!$M$489="","",[3]Entry!$M$489)</f>
        <v/>
      </c>
      <c r="AL486">
        <f>IF([3]Entry!$N$489="","",[3]Entry!$N$489)</f>
        <v/>
      </c>
      <c r="AM486">
        <f>IF([3]Entry!$R$489="","",[3]Entry!$R$489)</f>
        <v/>
      </c>
    </row>
    <row r="487">
      <c r="A487">
        <f>IF([1]Accounts!$D$488="","",[1]Accounts!$A$488)</f>
        <v/>
      </c>
      <c r="B487">
        <f>IF([1]Accounts!$D$488="","",[1]Accounts!$B$488)</f>
        <v/>
      </c>
      <c r="C487">
        <f>IF([1]Accounts!$D$488="","",[1]Accounts!$C$488)</f>
        <v/>
      </c>
      <c r="D487">
        <f>IF([1]Accounts!$D$488="","",[1]Accounts!$D$488)</f>
        <v/>
      </c>
      <c r="E487">
        <f>IF([1]Accounts!$D$488="","",[1]Accounts!$E$488)</f>
        <v/>
      </c>
      <c r="F487">
        <f>IF([1]Accounts!$D$488="","",[1]Accounts!$F$488)</f>
        <v/>
      </c>
      <c r="G487">
        <f>IF([1]Accounts!$D$488="","",[1]Accounts!$G$488)</f>
        <v/>
      </c>
      <c r="T487">
        <f>IF([2]Baskol!$B$490="","",[2]Baskol!$B$490)</f>
        <v/>
      </c>
      <c r="U487">
        <f>IF([2]Baskol!$C$490="","",[2]Baskol!$C$490)</f>
        <v/>
      </c>
      <c r="V487">
        <f>IF([2]Baskol!$D$490="","",[2]Baskol!$D$490)</f>
        <v/>
      </c>
      <c r="W487">
        <f>IF([2]Baskol!$E$490="","",[2]Baskol!$E$490)</f>
        <v/>
      </c>
      <c r="X487">
        <f>IF([2]Baskol!$G$490="","",[2]Baskol!$G$490)</f>
        <v/>
      </c>
      <c r="Y487">
        <f>IF([2]Baskol!$I$490="","",[2]Baskol!$I$490)</f>
        <v/>
      </c>
      <c r="Z487">
        <f>IF([2]Baskol!$J$490="","",[2]Baskol!$J$490)</f>
        <v/>
      </c>
      <c r="AA487">
        <f>IF([2]Baskol!$K$490="","",[2]Baskol!$K$490)</f>
        <v/>
      </c>
      <c r="AB487">
        <f>IF([2]Baskol!$L$490="","",[2]Baskol!$L$490)</f>
        <v/>
      </c>
      <c r="AC487">
        <f>IF([2]Baskol!$N$490="","",[2]Baskol!$N$490)</f>
        <v/>
      </c>
      <c r="AD487">
        <f>IF([2]Baskol!$O$490="","",[2]Baskol!$O$490)</f>
        <v/>
      </c>
      <c r="AE487">
        <f>IF([3]Entry!$C$490="","",[3]Entry!$C$490)</f>
        <v/>
      </c>
      <c r="AF487">
        <f>IF([3]Entry!$D$490="","",[3]Entry!$D$490)</f>
        <v/>
      </c>
      <c r="AG487">
        <f>IF([3]Entry!$E$490="","",[3]Entry!$E$490)</f>
        <v/>
      </c>
      <c r="AH487">
        <f>IF([3]Entry!$G$490="","",[3]Entry!$G$490)</f>
        <v/>
      </c>
      <c r="AI487">
        <f>IF([3]Entry!$K$490="","",[3]Entry!$K$490)</f>
        <v/>
      </c>
      <c r="AJ487">
        <f>IF([3]Entry!$L$490="","",[3]Entry!$L$490)</f>
        <v/>
      </c>
      <c r="AK487">
        <f>IF([3]Entry!$M$490="","",[3]Entry!$M$490)</f>
        <v/>
      </c>
      <c r="AL487">
        <f>IF([3]Entry!$N$490="","",[3]Entry!$N$490)</f>
        <v/>
      </c>
      <c r="AM487">
        <f>IF([3]Entry!$R$490="","",[3]Entry!$R$490)</f>
        <v/>
      </c>
    </row>
    <row r="488">
      <c r="A488">
        <f>IF([1]Accounts!$D$489="","",[1]Accounts!$A$489)</f>
        <v/>
      </c>
      <c r="B488">
        <f>IF([1]Accounts!$D$489="","",[1]Accounts!$B$489)</f>
        <v/>
      </c>
      <c r="C488">
        <f>IF([1]Accounts!$D$489="","",[1]Accounts!$C$489)</f>
        <v/>
      </c>
      <c r="D488">
        <f>IF([1]Accounts!$D$489="","",[1]Accounts!$D$489)</f>
        <v/>
      </c>
      <c r="E488">
        <f>IF([1]Accounts!$D$489="","",[1]Accounts!$E$489)</f>
        <v/>
      </c>
      <c r="F488">
        <f>IF([1]Accounts!$D$489="","",[1]Accounts!$F$489)</f>
        <v/>
      </c>
      <c r="G488">
        <f>IF([1]Accounts!$D$489="","",[1]Accounts!$G$489)</f>
        <v/>
      </c>
      <c r="T488">
        <f>IF([2]Baskol!$B$491="","",[2]Baskol!$B$491)</f>
        <v/>
      </c>
      <c r="U488">
        <f>IF([2]Baskol!$C$491="","",[2]Baskol!$C$491)</f>
        <v/>
      </c>
      <c r="V488">
        <f>IF([2]Baskol!$D$491="","",[2]Baskol!$D$491)</f>
        <v/>
      </c>
      <c r="W488">
        <f>IF([2]Baskol!$E$491="","",[2]Baskol!$E$491)</f>
        <v/>
      </c>
      <c r="X488">
        <f>IF([2]Baskol!$G$491="","",[2]Baskol!$G$491)</f>
        <v/>
      </c>
      <c r="Y488">
        <f>IF([2]Baskol!$I$491="","",[2]Baskol!$I$491)</f>
        <v/>
      </c>
      <c r="Z488">
        <f>IF([2]Baskol!$J$491="","",[2]Baskol!$J$491)</f>
        <v/>
      </c>
      <c r="AA488">
        <f>IF([2]Baskol!$K$491="","",[2]Baskol!$K$491)</f>
        <v/>
      </c>
      <c r="AB488">
        <f>IF([2]Baskol!$L$491="","",[2]Baskol!$L$491)</f>
        <v/>
      </c>
      <c r="AC488">
        <f>IF([2]Baskol!$N$491="","",[2]Baskol!$N$491)</f>
        <v/>
      </c>
      <c r="AD488">
        <f>IF([2]Baskol!$O$491="","",[2]Baskol!$O$491)</f>
        <v/>
      </c>
      <c r="AE488">
        <f>IF([3]Entry!$C$491="","",[3]Entry!$C$491)</f>
        <v/>
      </c>
      <c r="AF488">
        <f>IF([3]Entry!$D$491="","",[3]Entry!$D$491)</f>
        <v/>
      </c>
      <c r="AG488">
        <f>IF([3]Entry!$E$491="","",[3]Entry!$E$491)</f>
        <v/>
      </c>
      <c r="AH488">
        <f>IF([3]Entry!$G$491="","",[3]Entry!$G$491)</f>
        <v/>
      </c>
      <c r="AI488">
        <f>IF([3]Entry!$K$491="","",[3]Entry!$K$491)</f>
        <v/>
      </c>
      <c r="AJ488">
        <f>IF([3]Entry!$L$491="","",[3]Entry!$L$491)</f>
        <v/>
      </c>
      <c r="AK488">
        <f>IF([3]Entry!$M$491="","",[3]Entry!$M$491)</f>
        <v/>
      </c>
      <c r="AL488">
        <f>IF([3]Entry!$N$491="","",[3]Entry!$N$491)</f>
        <v/>
      </c>
      <c r="AM488">
        <f>IF([3]Entry!$R$491="","",[3]Entry!$R$491)</f>
        <v/>
      </c>
    </row>
    <row r="489">
      <c r="A489">
        <f>IF([1]Accounts!$D$490="","",[1]Accounts!$A$490)</f>
        <v/>
      </c>
      <c r="B489">
        <f>IF([1]Accounts!$D$490="","",[1]Accounts!$B$490)</f>
        <v/>
      </c>
      <c r="C489">
        <f>IF([1]Accounts!$D$490="","",[1]Accounts!$C$490)</f>
        <v/>
      </c>
      <c r="D489">
        <f>IF([1]Accounts!$D$490="","",[1]Accounts!$D$490)</f>
        <v/>
      </c>
      <c r="E489">
        <f>IF([1]Accounts!$D$490="","",[1]Accounts!$E$490)</f>
        <v/>
      </c>
      <c r="F489">
        <f>IF([1]Accounts!$D$490="","",[1]Accounts!$F$490)</f>
        <v/>
      </c>
      <c r="G489">
        <f>IF([1]Accounts!$D$490="","",[1]Accounts!$G$490)</f>
        <v/>
      </c>
      <c r="T489">
        <f>IF([2]Baskol!$B$492="","",[2]Baskol!$B$492)</f>
        <v/>
      </c>
      <c r="U489">
        <f>IF([2]Baskol!$C$492="","",[2]Baskol!$C$492)</f>
        <v/>
      </c>
      <c r="V489">
        <f>IF([2]Baskol!$D$492="","",[2]Baskol!$D$492)</f>
        <v/>
      </c>
      <c r="W489">
        <f>IF([2]Baskol!$E$492="","",[2]Baskol!$E$492)</f>
        <v/>
      </c>
      <c r="X489">
        <f>IF([2]Baskol!$G$492="","",[2]Baskol!$G$492)</f>
        <v/>
      </c>
      <c r="Y489">
        <f>IF([2]Baskol!$I$492="","",[2]Baskol!$I$492)</f>
        <v/>
      </c>
      <c r="Z489">
        <f>IF([2]Baskol!$J$492="","",[2]Baskol!$J$492)</f>
        <v/>
      </c>
      <c r="AA489">
        <f>IF([2]Baskol!$K$492="","",[2]Baskol!$K$492)</f>
        <v/>
      </c>
      <c r="AB489">
        <f>IF([2]Baskol!$L$492="","",[2]Baskol!$L$492)</f>
        <v/>
      </c>
      <c r="AC489">
        <f>IF([2]Baskol!$N$492="","",[2]Baskol!$N$492)</f>
        <v/>
      </c>
      <c r="AD489">
        <f>IF([2]Baskol!$O$492="","",[2]Baskol!$O$492)</f>
        <v/>
      </c>
      <c r="AE489">
        <f>IF([3]Entry!$C$492="","",[3]Entry!$C$492)</f>
        <v/>
      </c>
      <c r="AF489">
        <f>IF([3]Entry!$D$492="","",[3]Entry!$D$492)</f>
        <v/>
      </c>
      <c r="AG489">
        <f>IF([3]Entry!$E$492="","",[3]Entry!$E$492)</f>
        <v/>
      </c>
      <c r="AH489">
        <f>IF([3]Entry!$G$492="","",[3]Entry!$G$492)</f>
        <v/>
      </c>
      <c r="AI489">
        <f>IF([3]Entry!$K$492="","",[3]Entry!$K$492)</f>
        <v/>
      </c>
      <c r="AJ489">
        <f>IF([3]Entry!$L$492="","",[3]Entry!$L$492)</f>
        <v/>
      </c>
      <c r="AK489">
        <f>IF([3]Entry!$M$492="","",[3]Entry!$M$492)</f>
        <v/>
      </c>
      <c r="AL489">
        <f>IF([3]Entry!$N$492="","",[3]Entry!$N$492)</f>
        <v/>
      </c>
      <c r="AM489">
        <f>IF([3]Entry!$R$492="","",[3]Entry!$R$492)</f>
        <v/>
      </c>
    </row>
    <row r="490">
      <c r="A490">
        <f>IF([1]Accounts!$D$491="","",[1]Accounts!$A$491)</f>
        <v/>
      </c>
      <c r="B490">
        <f>IF([1]Accounts!$D$491="","",[1]Accounts!$B$491)</f>
        <v/>
      </c>
      <c r="C490">
        <f>IF([1]Accounts!$D$491="","",[1]Accounts!$C$491)</f>
        <v/>
      </c>
      <c r="D490">
        <f>IF([1]Accounts!$D$491="","",[1]Accounts!$D$491)</f>
        <v/>
      </c>
      <c r="E490">
        <f>IF([1]Accounts!$D$491="","",[1]Accounts!$E$491)</f>
        <v/>
      </c>
      <c r="F490">
        <f>IF([1]Accounts!$D$491="","",[1]Accounts!$F$491)</f>
        <v/>
      </c>
      <c r="G490">
        <f>IF([1]Accounts!$D$491="","",[1]Accounts!$G$491)</f>
        <v/>
      </c>
      <c r="T490">
        <f>IF([2]Baskol!$B$493="","",[2]Baskol!$B$493)</f>
        <v/>
      </c>
      <c r="U490">
        <f>IF([2]Baskol!$C$493="","",[2]Baskol!$C$493)</f>
        <v/>
      </c>
      <c r="V490">
        <f>IF([2]Baskol!$D$493="","",[2]Baskol!$D$493)</f>
        <v/>
      </c>
      <c r="W490">
        <f>IF([2]Baskol!$E$493="","",[2]Baskol!$E$493)</f>
        <v/>
      </c>
      <c r="X490">
        <f>IF([2]Baskol!$G$493="","",[2]Baskol!$G$493)</f>
        <v/>
      </c>
      <c r="Y490">
        <f>IF([2]Baskol!$I$493="","",[2]Baskol!$I$493)</f>
        <v/>
      </c>
      <c r="Z490">
        <f>IF([2]Baskol!$J$493="","",[2]Baskol!$J$493)</f>
        <v/>
      </c>
      <c r="AA490">
        <f>IF([2]Baskol!$K$493="","",[2]Baskol!$K$493)</f>
        <v/>
      </c>
      <c r="AB490">
        <f>IF([2]Baskol!$L$493="","",[2]Baskol!$L$493)</f>
        <v/>
      </c>
      <c r="AC490">
        <f>IF([2]Baskol!$N$493="","",[2]Baskol!$N$493)</f>
        <v/>
      </c>
      <c r="AD490">
        <f>IF([2]Baskol!$O$493="","",[2]Baskol!$O$493)</f>
        <v/>
      </c>
      <c r="AE490">
        <f>IF([3]Entry!$C$493="","",[3]Entry!$C$493)</f>
        <v/>
      </c>
      <c r="AF490">
        <f>IF([3]Entry!$D$493="","",[3]Entry!$D$493)</f>
        <v/>
      </c>
      <c r="AG490">
        <f>IF([3]Entry!$E$493="","",[3]Entry!$E$493)</f>
        <v/>
      </c>
      <c r="AH490">
        <f>IF([3]Entry!$G$493="","",[3]Entry!$G$493)</f>
        <v/>
      </c>
      <c r="AI490">
        <f>IF([3]Entry!$K$493="","",[3]Entry!$K$493)</f>
        <v/>
      </c>
      <c r="AJ490">
        <f>IF([3]Entry!$L$493="","",[3]Entry!$L$493)</f>
        <v/>
      </c>
      <c r="AK490">
        <f>IF([3]Entry!$M$493="","",[3]Entry!$M$493)</f>
        <v/>
      </c>
      <c r="AL490">
        <f>IF([3]Entry!$N$493="","",[3]Entry!$N$493)</f>
        <v/>
      </c>
      <c r="AM490">
        <f>IF([3]Entry!$R$493="","",[3]Entry!$R$493)</f>
        <v/>
      </c>
    </row>
    <row r="491">
      <c r="A491">
        <f>IF([1]Accounts!$D$492="","",[1]Accounts!$A$492)</f>
        <v/>
      </c>
      <c r="B491">
        <f>IF([1]Accounts!$D$492="","",[1]Accounts!$B$492)</f>
        <v/>
      </c>
      <c r="C491">
        <f>IF([1]Accounts!$D$492="","",[1]Accounts!$C$492)</f>
        <v/>
      </c>
      <c r="D491">
        <f>IF([1]Accounts!$D$492="","",[1]Accounts!$D$492)</f>
        <v/>
      </c>
      <c r="E491">
        <f>IF([1]Accounts!$D$492="","",[1]Accounts!$E$492)</f>
        <v/>
      </c>
      <c r="F491">
        <f>IF([1]Accounts!$D$492="","",[1]Accounts!$F$492)</f>
        <v/>
      </c>
      <c r="G491">
        <f>IF([1]Accounts!$D$492="","",[1]Accounts!$G$492)</f>
        <v/>
      </c>
      <c r="T491">
        <f>IF([2]Baskol!$B$494="","",[2]Baskol!$B$494)</f>
        <v/>
      </c>
      <c r="U491">
        <f>IF([2]Baskol!$C$494="","",[2]Baskol!$C$494)</f>
        <v/>
      </c>
      <c r="V491">
        <f>IF([2]Baskol!$D$494="","",[2]Baskol!$D$494)</f>
        <v/>
      </c>
      <c r="W491">
        <f>IF([2]Baskol!$E$494="","",[2]Baskol!$E$494)</f>
        <v/>
      </c>
      <c r="X491">
        <f>IF([2]Baskol!$G$494="","",[2]Baskol!$G$494)</f>
        <v/>
      </c>
      <c r="Y491">
        <f>IF([2]Baskol!$I$494="","",[2]Baskol!$I$494)</f>
        <v/>
      </c>
      <c r="Z491">
        <f>IF([2]Baskol!$J$494="","",[2]Baskol!$J$494)</f>
        <v/>
      </c>
      <c r="AA491">
        <f>IF([2]Baskol!$K$494="","",[2]Baskol!$K$494)</f>
        <v/>
      </c>
      <c r="AB491">
        <f>IF([2]Baskol!$L$494="","",[2]Baskol!$L$494)</f>
        <v/>
      </c>
      <c r="AC491">
        <f>IF([2]Baskol!$N$494="","",[2]Baskol!$N$494)</f>
        <v/>
      </c>
      <c r="AD491">
        <f>IF([2]Baskol!$O$494="","",[2]Baskol!$O$494)</f>
        <v/>
      </c>
      <c r="AE491">
        <f>IF([3]Entry!$C$494="","",[3]Entry!$C$494)</f>
        <v/>
      </c>
      <c r="AF491">
        <f>IF([3]Entry!$D$494="","",[3]Entry!$D$494)</f>
        <v/>
      </c>
      <c r="AG491">
        <f>IF([3]Entry!$E$494="","",[3]Entry!$E$494)</f>
        <v/>
      </c>
      <c r="AH491">
        <f>IF([3]Entry!$G$494="","",[3]Entry!$G$494)</f>
        <v/>
      </c>
      <c r="AI491">
        <f>IF([3]Entry!$K$494="","",[3]Entry!$K$494)</f>
        <v/>
      </c>
      <c r="AJ491">
        <f>IF([3]Entry!$L$494="","",[3]Entry!$L$494)</f>
        <v/>
      </c>
      <c r="AK491">
        <f>IF([3]Entry!$M$494="","",[3]Entry!$M$494)</f>
        <v/>
      </c>
      <c r="AL491">
        <f>IF([3]Entry!$N$494="","",[3]Entry!$N$494)</f>
        <v/>
      </c>
      <c r="AM491">
        <f>IF([3]Entry!$R$494="","",[3]Entry!$R$494)</f>
        <v/>
      </c>
    </row>
    <row r="492">
      <c r="A492">
        <f>IF([1]Accounts!$D$493="","",[1]Accounts!$A$493)</f>
        <v/>
      </c>
      <c r="B492">
        <f>IF([1]Accounts!$D$493="","",[1]Accounts!$B$493)</f>
        <v/>
      </c>
      <c r="C492">
        <f>IF([1]Accounts!$D$493="","",[1]Accounts!$C$493)</f>
        <v/>
      </c>
      <c r="D492">
        <f>IF([1]Accounts!$D$493="","",[1]Accounts!$D$493)</f>
        <v/>
      </c>
      <c r="E492">
        <f>IF([1]Accounts!$D$493="","",[1]Accounts!$E$493)</f>
        <v/>
      </c>
      <c r="F492">
        <f>IF([1]Accounts!$D$493="","",[1]Accounts!$F$493)</f>
        <v/>
      </c>
      <c r="G492">
        <f>IF([1]Accounts!$D$493="","",[1]Accounts!$G$493)</f>
        <v/>
      </c>
      <c r="T492">
        <f>IF([2]Baskol!$B$495="","",[2]Baskol!$B$495)</f>
        <v/>
      </c>
      <c r="U492">
        <f>IF([2]Baskol!$C$495="","",[2]Baskol!$C$495)</f>
        <v/>
      </c>
      <c r="V492">
        <f>IF([2]Baskol!$D$495="","",[2]Baskol!$D$495)</f>
        <v/>
      </c>
      <c r="W492">
        <f>IF([2]Baskol!$E$495="","",[2]Baskol!$E$495)</f>
        <v/>
      </c>
      <c r="X492">
        <f>IF([2]Baskol!$G$495="","",[2]Baskol!$G$495)</f>
        <v/>
      </c>
      <c r="Y492">
        <f>IF([2]Baskol!$I$495="","",[2]Baskol!$I$495)</f>
        <v/>
      </c>
      <c r="Z492">
        <f>IF([2]Baskol!$J$495="","",[2]Baskol!$J$495)</f>
        <v/>
      </c>
      <c r="AA492">
        <f>IF([2]Baskol!$K$495="","",[2]Baskol!$K$495)</f>
        <v/>
      </c>
      <c r="AB492">
        <f>IF([2]Baskol!$L$495="","",[2]Baskol!$L$495)</f>
        <v/>
      </c>
      <c r="AC492">
        <f>IF([2]Baskol!$N$495="","",[2]Baskol!$N$495)</f>
        <v/>
      </c>
      <c r="AD492">
        <f>IF([2]Baskol!$O$495="","",[2]Baskol!$O$495)</f>
        <v/>
      </c>
      <c r="AE492">
        <f>IF([3]Entry!$C$495="","",[3]Entry!$C$495)</f>
        <v/>
      </c>
      <c r="AF492">
        <f>IF([3]Entry!$D$495="","",[3]Entry!$D$495)</f>
        <v/>
      </c>
      <c r="AG492">
        <f>IF([3]Entry!$E$495="","",[3]Entry!$E$495)</f>
        <v/>
      </c>
      <c r="AH492">
        <f>IF([3]Entry!$G$495="","",[3]Entry!$G$495)</f>
        <v/>
      </c>
      <c r="AI492">
        <f>IF([3]Entry!$K$495="","",[3]Entry!$K$495)</f>
        <v/>
      </c>
      <c r="AJ492">
        <f>IF([3]Entry!$L$495="","",[3]Entry!$L$495)</f>
        <v/>
      </c>
      <c r="AK492">
        <f>IF([3]Entry!$M$495="","",[3]Entry!$M$495)</f>
        <v/>
      </c>
      <c r="AL492">
        <f>IF([3]Entry!$N$495="","",[3]Entry!$N$495)</f>
        <v/>
      </c>
      <c r="AM492">
        <f>IF([3]Entry!$R$495="","",[3]Entry!$R$495)</f>
        <v/>
      </c>
    </row>
    <row r="493">
      <c r="A493">
        <f>IF([1]Accounts!$D$494="","",[1]Accounts!$A$494)</f>
        <v/>
      </c>
      <c r="B493">
        <f>IF([1]Accounts!$D$494="","",[1]Accounts!$B$494)</f>
        <v/>
      </c>
      <c r="C493">
        <f>IF([1]Accounts!$D$494="","",[1]Accounts!$C$494)</f>
        <v/>
      </c>
      <c r="D493">
        <f>IF([1]Accounts!$D$494="","",[1]Accounts!$D$494)</f>
        <v/>
      </c>
      <c r="E493">
        <f>IF([1]Accounts!$D$494="","",[1]Accounts!$E$494)</f>
        <v/>
      </c>
      <c r="F493">
        <f>IF([1]Accounts!$D$494="","",[1]Accounts!$F$494)</f>
        <v/>
      </c>
      <c r="G493">
        <f>IF([1]Accounts!$D$494="","",[1]Accounts!$G$494)</f>
        <v/>
      </c>
      <c r="T493">
        <f>IF([2]Baskol!$B$496="","",[2]Baskol!$B$496)</f>
        <v/>
      </c>
      <c r="U493">
        <f>IF([2]Baskol!$C$496="","",[2]Baskol!$C$496)</f>
        <v/>
      </c>
      <c r="V493">
        <f>IF([2]Baskol!$D$496="","",[2]Baskol!$D$496)</f>
        <v/>
      </c>
      <c r="W493">
        <f>IF([2]Baskol!$E$496="","",[2]Baskol!$E$496)</f>
        <v/>
      </c>
      <c r="X493">
        <f>IF([2]Baskol!$G$496="","",[2]Baskol!$G$496)</f>
        <v/>
      </c>
      <c r="Y493">
        <f>IF([2]Baskol!$I$496="","",[2]Baskol!$I$496)</f>
        <v/>
      </c>
      <c r="Z493">
        <f>IF([2]Baskol!$J$496="","",[2]Baskol!$J$496)</f>
        <v/>
      </c>
      <c r="AA493">
        <f>IF([2]Baskol!$K$496="","",[2]Baskol!$K$496)</f>
        <v/>
      </c>
      <c r="AB493">
        <f>IF([2]Baskol!$L$496="","",[2]Baskol!$L$496)</f>
        <v/>
      </c>
      <c r="AC493">
        <f>IF([2]Baskol!$N$496="","",[2]Baskol!$N$496)</f>
        <v/>
      </c>
      <c r="AD493">
        <f>IF([2]Baskol!$O$496="","",[2]Baskol!$O$496)</f>
        <v/>
      </c>
      <c r="AE493">
        <f>IF([3]Entry!$C$496="","",[3]Entry!$C$496)</f>
        <v/>
      </c>
      <c r="AF493">
        <f>IF([3]Entry!$D$496="","",[3]Entry!$D$496)</f>
        <v/>
      </c>
      <c r="AG493">
        <f>IF([3]Entry!$E$496="","",[3]Entry!$E$496)</f>
        <v/>
      </c>
      <c r="AH493">
        <f>IF([3]Entry!$G$496="","",[3]Entry!$G$496)</f>
        <v/>
      </c>
      <c r="AI493">
        <f>IF([3]Entry!$K$496="","",[3]Entry!$K$496)</f>
        <v/>
      </c>
      <c r="AJ493">
        <f>IF([3]Entry!$L$496="","",[3]Entry!$L$496)</f>
        <v/>
      </c>
      <c r="AK493">
        <f>IF([3]Entry!$M$496="","",[3]Entry!$M$496)</f>
        <v/>
      </c>
      <c r="AL493">
        <f>IF([3]Entry!$N$496="","",[3]Entry!$N$496)</f>
        <v/>
      </c>
      <c r="AM493">
        <f>IF([3]Entry!$R$496="","",[3]Entry!$R$496)</f>
        <v/>
      </c>
    </row>
    <row r="494">
      <c r="A494">
        <f>IF([1]Accounts!$D$495="","",[1]Accounts!$A$495)</f>
        <v/>
      </c>
      <c r="B494">
        <f>IF([1]Accounts!$D$495="","",[1]Accounts!$B$495)</f>
        <v/>
      </c>
      <c r="C494">
        <f>IF([1]Accounts!$D$495="","",[1]Accounts!$C$495)</f>
        <v/>
      </c>
      <c r="D494">
        <f>IF([1]Accounts!$D$495="","",[1]Accounts!$D$495)</f>
        <v/>
      </c>
      <c r="E494">
        <f>IF([1]Accounts!$D$495="","",[1]Accounts!$E$495)</f>
        <v/>
      </c>
      <c r="F494">
        <f>IF([1]Accounts!$D$495="","",[1]Accounts!$F$495)</f>
        <v/>
      </c>
      <c r="G494">
        <f>IF([1]Accounts!$D$495="","",[1]Accounts!$G$495)</f>
        <v/>
      </c>
      <c r="T494">
        <f>IF([2]Baskol!$B$497="","",[2]Baskol!$B$497)</f>
        <v/>
      </c>
      <c r="U494">
        <f>IF([2]Baskol!$C$497="","",[2]Baskol!$C$497)</f>
        <v/>
      </c>
      <c r="V494">
        <f>IF([2]Baskol!$D$497="","",[2]Baskol!$D$497)</f>
        <v/>
      </c>
      <c r="W494">
        <f>IF([2]Baskol!$E$497="","",[2]Baskol!$E$497)</f>
        <v/>
      </c>
      <c r="X494">
        <f>IF([2]Baskol!$G$497="","",[2]Baskol!$G$497)</f>
        <v/>
      </c>
      <c r="Y494">
        <f>IF([2]Baskol!$I$497="","",[2]Baskol!$I$497)</f>
        <v/>
      </c>
      <c r="Z494">
        <f>IF([2]Baskol!$J$497="","",[2]Baskol!$J$497)</f>
        <v/>
      </c>
      <c r="AA494">
        <f>IF([2]Baskol!$K$497="","",[2]Baskol!$K$497)</f>
        <v/>
      </c>
      <c r="AB494">
        <f>IF([2]Baskol!$L$497="","",[2]Baskol!$L$497)</f>
        <v/>
      </c>
      <c r="AC494">
        <f>IF([2]Baskol!$N$497="","",[2]Baskol!$N$497)</f>
        <v/>
      </c>
      <c r="AD494">
        <f>IF([2]Baskol!$O$497="","",[2]Baskol!$O$497)</f>
        <v/>
      </c>
      <c r="AE494">
        <f>IF([3]Entry!$C$497="","",[3]Entry!$C$497)</f>
        <v/>
      </c>
      <c r="AF494">
        <f>IF([3]Entry!$D$497="","",[3]Entry!$D$497)</f>
        <v/>
      </c>
      <c r="AG494">
        <f>IF([3]Entry!$E$497="","",[3]Entry!$E$497)</f>
        <v/>
      </c>
      <c r="AH494">
        <f>IF([3]Entry!$G$497="","",[3]Entry!$G$497)</f>
        <v/>
      </c>
      <c r="AI494">
        <f>IF([3]Entry!$K$497="","",[3]Entry!$K$497)</f>
        <v/>
      </c>
      <c r="AJ494">
        <f>IF([3]Entry!$L$497="","",[3]Entry!$L$497)</f>
        <v/>
      </c>
      <c r="AK494">
        <f>IF([3]Entry!$M$497="","",[3]Entry!$M$497)</f>
        <v/>
      </c>
      <c r="AL494">
        <f>IF([3]Entry!$N$497="","",[3]Entry!$N$497)</f>
        <v/>
      </c>
      <c r="AM494">
        <f>IF([3]Entry!$R$497="","",[3]Entry!$R$497)</f>
        <v/>
      </c>
    </row>
    <row r="495">
      <c r="A495">
        <f>IF([1]Accounts!$D$496="","",[1]Accounts!$A$496)</f>
        <v/>
      </c>
      <c r="B495">
        <f>IF([1]Accounts!$D$496="","",[1]Accounts!$B$496)</f>
        <v/>
      </c>
      <c r="C495">
        <f>IF([1]Accounts!$D$496="","",[1]Accounts!$C$496)</f>
        <v/>
      </c>
      <c r="D495">
        <f>IF([1]Accounts!$D$496="","",[1]Accounts!$D$496)</f>
        <v/>
      </c>
      <c r="E495">
        <f>IF([1]Accounts!$D$496="","",[1]Accounts!$E$496)</f>
        <v/>
      </c>
      <c r="F495">
        <f>IF([1]Accounts!$D$496="","",[1]Accounts!$F$496)</f>
        <v/>
      </c>
      <c r="G495">
        <f>IF([1]Accounts!$D$496="","",[1]Accounts!$G$496)</f>
        <v/>
      </c>
      <c r="T495">
        <f>IF([2]Baskol!$B$498="","",[2]Baskol!$B$498)</f>
        <v/>
      </c>
      <c r="U495">
        <f>IF([2]Baskol!$C$498="","",[2]Baskol!$C$498)</f>
        <v/>
      </c>
      <c r="V495">
        <f>IF([2]Baskol!$D$498="","",[2]Baskol!$D$498)</f>
        <v/>
      </c>
      <c r="W495">
        <f>IF([2]Baskol!$E$498="","",[2]Baskol!$E$498)</f>
        <v/>
      </c>
      <c r="X495">
        <f>IF([2]Baskol!$G$498="","",[2]Baskol!$G$498)</f>
        <v/>
      </c>
      <c r="Y495">
        <f>IF([2]Baskol!$I$498="","",[2]Baskol!$I$498)</f>
        <v/>
      </c>
      <c r="Z495">
        <f>IF([2]Baskol!$J$498="","",[2]Baskol!$J$498)</f>
        <v/>
      </c>
      <c r="AA495">
        <f>IF([2]Baskol!$K$498="","",[2]Baskol!$K$498)</f>
        <v/>
      </c>
      <c r="AB495">
        <f>IF([2]Baskol!$L$498="","",[2]Baskol!$L$498)</f>
        <v/>
      </c>
      <c r="AC495">
        <f>IF([2]Baskol!$N$498="","",[2]Baskol!$N$498)</f>
        <v/>
      </c>
      <c r="AD495">
        <f>IF([2]Baskol!$O$498="","",[2]Baskol!$O$498)</f>
        <v/>
      </c>
      <c r="AE495">
        <f>IF([3]Entry!$C$498="","",[3]Entry!$C$498)</f>
        <v/>
      </c>
      <c r="AF495">
        <f>IF([3]Entry!$D$498="","",[3]Entry!$D$498)</f>
        <v/>
      </c>
      <c r="AG495">
        <f>IF([3]Entry!$E$498="","",[3]Entry!$E$498)</f>
        <v/>
      </c>
      <c r="AH495">
        <f>IF([3]Entry!$G$498="","",[3]Entry!$G$498)</f>
        <v/>
      </c>
      <c r="AI495">
        <f>IF([3]Entry!$K$498="","",[3]Entry!$K$498)</f>
        <v/>
      </c>
      <c r="AJ495">
        <f>IF([3]Entry!$L$498="","",[3]Entry!$L$498)</f>
        <v/>
      </c>
      <c r="AK495">
        <f>IF([3]Entry!$M$498="","",[3]Entry!$M$498)</f>
        <v/>
      </c>
      <c r="AL495">
        <f>IF([3]Entry!$N$498="","",[3]Entry!$N$498)</f>
        <v/>
      </c>
      <c r="AM495">
        <f>IF([3]Entry!$R$498="","",[3]Entry!$R$498)</f>
        <v/>
      </c>
    </row>
    <row r="496">
      <c r="A496">
        <f>IF([1]Accounts!$D$497="","",[1]Accounts!$A$497)</f>
        <v/>
      </c>
      <c r="B496">
        <f>IF([1]Accounts!$D$497="","",[1]Accounts!$B$497)</f>
        <v/>
      </c>
      <c r="C496">
        <f>IF([1]Accounts!$D$497="","",[1]Accounts!$C$497)</f>
        <v/>
      </c>
      <c r="D496">
        <f>IF([1]Accounts!$D$497="","",[1]Accounts!$D$497)</f>
        <v/>
      </c>
      <c r="E496">
        <f>IF([1]Accounts!$D$497="","",[1]Accounts!$E$497)</f>
        <v/>
      </c>
      <c r="F496">
        <f>IF([1]Accounts!$D$497="","",[1]Accounts!$F$497)</f>
        <v/>
      </c>
      <c r="G496">
        <f>IF([1]Accounts!$D$497="","",[1]Accounts!$G$497)</f>
        <v/>
      </c>
      <c r="T496">
        <f>IF([2]Baskol!$B$499="","",[2]Baskol!$B$499)</f>
        <v/>
      </c>
      <c r="U496">
        <f>IF([2]Baskol!$C$499="","",[2]Baskol!$C$499)</f>
        <v/>
      </c>
      <c r="V496">
        <f>IF([2]Baskol!$D$499="","",[2]Baskol!$D$499)</f>
        <v/>
      </c>
      <c r="W496">
        <f>IF([2]Baskol!$E$499="","",[2]Baskol!$E$499)</f>
        <v/>
      </c>
      <c r="X496">
        <f>IF([2]Baskol!$G$499="","",[2]Baskol!$G$499)</f>
        <v/>
      </c>
      <c r="Y496">
        <f>IF([2]Baskol!$I$499="","",[2]Baskol!$I$499)</f>
        <v/>
      </c>
      <c r="Z496">
        <f>IF([2]Baskol!$J$499="","",[2]Baskol!$J$499)</f>
        <v/>
      </c>
      <c r="AA496">
        <f>IF([2]Baskol!$K$499="","",[2]Baskol!$K$499)</f>
        <v/>
      </c>
      <c r="AB496">
        <f>IF([2]Baskol!$L$499="","",[2]Baskol!$L$499)</f>
        <v/>
      </c>
      <c r="AC496">
        <f>IF([2]Baskol!$N$499="","",[2]Baskol!$N$499)</f>
        <v/>
      </c>
      <c r="AD496">
        <f>IF([2]Baskol!$O$499="","",[2]Baskol!$O$499)</f>
        <v/>
      </c>
      <c r="AE496">
        <f>IF([3]Entry!$C$499="","",[3]Entry!$C$499)</f>
        <v/>
      </c>
      <c r="AF496">
        <f>IF([3]Entry!$D$499="","",[3]Entry!$D$499)</f>
        <v/>
      </c>
      <c r="AG496">
        <f>IF([3]Entry!$E$499="","",[3]Entry!$E$499)</f>
        <v/>
      </c>
      <c r="AH496">
        <f>IF([3]Entry!$G$499="","",[3]Entry!$G$499)</f>
        <v/>
      </c>
      <c r="AI496">
        <f>IF([3]Entry!$K$499="","",[3]Entry!$K$499)</f>
        <v/>
      </c>
      <c r="AJ496">
        <f>IF([3]Entry!$L$499="","",[3]Entry!$L$499)</f>
        <v/>
      </c>
      <c r="AK496">
        <f>IF([3]Entry!$M$499="","",[3]Entry!$M$499)</f>
        <v/>
      </c>
      <c r="AL496">
        <f>IF([3]Entry!$N$499="","",[3]Entry!$N$499)</f>
        <v/>
      </c>
      <c r="AM496">
        <f>IF([3]Entry!$R$499="","",[3]Entry!$R$499)</f>
        <v/>
      </c>
    </row>
    <row r="497">
      <c r="A497">
        <f>IF([1]Accounts!$D$498="","",[1]Accounts!$A$498)</f>
        <v/>
      </c>
      <c r="B497">
        <f>IF([1]Accounts!$D$498="","",[1]Accounts!$B$498)</f>
        <v/>
      </c>
      <c r="C497">
        <f>IF([1]Accounts!$D$498="","",[1]Accounts!$C$498)</f>
        <v/>
      </c>
      <c r="D497">
        <f>IF([1]Accounts!$D$498="","",[1]Accounts!$D$498)</f>
        <v/>
      </c>
      <c r="E497">
        <f>IF([1]Accounts!$D$498="","",[1]Accounts!$E$498)</f>
        <v/>
      </c>
      <c r="F497">
        <f>IF([1]Accounts!$D$498="","",[1]Accounts!$F$498)</f>
        <v/>
      </c>
      <c r="G497">
        <f>IF([1]Accounts!$D$498="","",[1]Accounts!$G$498)</f>
        <v/>
      </c>
      <c r="T497">
        <f>IF([2]Baskol!$B$500="","",[2]Baskol!$B$500)</f>
        <v/>
      </c>
      <c r="U497">
        <f>IF([2]Baskol!$C$500="","",[2]Baskol!$C$500)</f>
        <v/>
      </c>
      <c r="V497">
        <f>IF([2]Baskol!$D$500="","",[2]Baskol!$D$500)</f>
        <v/>
      </c>
      <c r="W497">
        <f>IF([2]Baskol!$E$500="","",[2]Baskol!$E$500)</f>
        <v/>
      </c>
      <c r="X497">
        <f>IF([2]Baskol!$G$500="","",[2]Baskol!$G$500)</f>
        <v/>
      </c>
      <c r="Y497">
        <f>IF([2]Baskol!$I$500="","",[2]Baskol!$I$500)</f>
        <v/>
      </c>
      <c r="Z497">
        <f>IF([2]Baskol!$J$500="","",[2]Baskol!$J$500)</f>
        <v/>
      </c>
      <c r="AA497">
        <f>IF([2]Baskol!$K$500="","",[2]Baskol!$K$500)</f>
        <v/>
      </c>
      <c r="AB497">
        <f>IF([2]Baskol!$L$500="","",[2]Baskol!$L$500)</f>
        <v/>
      </c>
      <c r="AC497">
        <f>IF([2]Baskol!$N$500="","",[2]Baskol!$N$500)</f>
        <v/>
      </c>
      <c r="AD497">
        <f>IF([2]Baskol!$O$500="","",[2]Baskol!$O$500)</f>
        <v/>
      </c>
      <c r="AE497">
        <f>IF([3]Entry!$C$500="","",[3]Entry!$C$500)</f>
        <v/>
      </c>
      <c r="AF497">
        <f>IF([3]Entry!$D$500="","",[3]Entry!$D$500)</f>
        <v/>
      </c>
      <c r="AG497">
        <f>IF([3]Entry!$E$500="","",[3]Entry!$E$500)</f>
        <v/>
      </c>
      <c r="AH497">
        <f>IF([3]Entry!$G$500="","",[3]Entry!$G$500)</f>
        <v/>
      </c>
      <c r="AI497">
        <f>IF([3]Entry!$K$500="","",[3]Entry!$K$500)</f>
        <v/>
      </c>
      <c r="AJ497">
        <f>IF([3]Entry!$L$500="","",[3]Entry!$L$500)</f>
        <v/>
      </c>
      <c r="AK497">
        <f>IF([3]Entry!$M$500="","",[3]Entry!$M$500)</f>
        <v/>
      </c>
      <c r="AL497">
        <f>IF([3]Entry!$N$500="","",[3]Entry!$N$500)</f>
        <v/>
      </c>
      <c r="AM497">
        <f>IF([3]Entry!$R$500="","",[3]Entry!$R$500)</f>
        <v/>
      </c>
    </row>
    <row r="498">
      <c r="A498">
        <f>IF([1]Accounts!$D$499="","",[1]Accounts!$A$499)</f>
        <v/>
      </c>
      <c r="B498">
        <f>IF([1]Accounts!$D$499="","",[1]Accounts!$B$499)</f>
        <v/>
      </c>
      <c r="C498">
        <f>IF([1]Accounts!$D$499="","",[1]Accounts!$C$499)</f>
        <v/>
      </c>
      <c r="D498">
        <f>IF([1]Accounts!$D$499="","",[1]Accounts!$D$499)</f>
        <v/>
      </c>
      <c r="E498">
        <f>IF([1]Accounts!$D$499="","",[1]Accounts!$E$499)</f>
        <v/>
      </c>
      <c r="F498">
        <f>IF([1]Accounts!$D$499="","",[1]Accounts!$F$499)</f>
        <v/>
      </c>
      <c r="G498">
        <f>IF([1]Accounts!$D$499="","",[1]Accounts!$G$499)</f>
        <v/>
      </c>
      <c r="T498">
        <f>IF([2]Baskol!$B$501="","",[2]Baskol!$B$501)</f>
        <v/>
      </c>
      <c r="U498">
        <f>IF([2]Baskol!$C$501="","",[2]Baskol!$C$501)</f>
        <v/>
      </c>
      <c r="V498">
        <f>IF([2]Baskol!$D$501="","",[2]Baskol!$D$501)</f>
        <v/>
      </c>
      <c r="W498">
        <f>IF([2]Baskol!$E$501="","",[2]Baskol!$E$501)</f>
        <v/>
      </c>
      <c r="X498">
        <f>IF([2]Baskol!$G$501="","",[2]Baskol!$G$501)</f>
        <v/>
      </c>
      <c r="Y498">
        <f>IF([2]Baskol!$I$501="","",[2]Baskol!$I$501)</f>
        <v/>
      </c>
      <c r="Z498">
        <f>IF([2]Baskol!$J$501="","",[2]Baskol!$J$501)</f>
        <v/>
      </c>
      <c r="AA498">
        <f>IF([2]Baskol!$K$501="","",[2]Baskol!$K$501)</f>
        <v/>
      </c>
      <c r="AB498">
        <f>IF([2]Baskol!$L$501="","",[2]Baskol!$L$501)</f>
        <v/>
      </c>
      <c r="AC498">
        <f>IF([2]Baskol!$N$501="","",[2]Baskol!$N$501)</f>
        <v/>
      </c>
      <c r="AD498">
        <f>IF([2]Baskol!$O$501="","",[2]Baskol!$O$501)</f>
        <v/>
      </c>
      <c r="AE498">
        <f>IF([3]Entry!$C$501="","",[3]Entry!$C$501)</f>
        <v/>
      </c>
      <c r="AF498">
        <f>IF([3]Entry!$D$501="","",[3]Entry!$D$501)</f>
        <v/>
      </c>
      <c r="AG498">
        <f>IF([3]Entry!$E$501="","",[3]Entry!$E$501)</f>
        <v/>
      </c>
      <c r="AH498">
        <f>IF([3]Entry!$G$501="","",[3]Entry!$G$501)</f>
        <v/>
      </c>
      <c r="AI498">
        <f>IF([3]Entry!$K$501="","",[3]Entry!$K$501)</f>
        <v/>
      </c>
      <c r="AJ498">
        <f>IF([3]Entry!$L$501="","",[3]Entry!$L$501)</f>
        <v/>
      </c>
      <c r="AK498">
        <f>IF([3]Entry!$M$501="","",[3]Entry!$M$501)</f>
        <v/>
      </c>
      <c r="AL498">
        <f>IF([3]Entry!$N$501="","",[3]Entry!$N$501)</f>
        <v/>
      </c>
      <c r="AM498">
        <f>IF([3]Entry!$R$501="","",[3]Entry!$R$501)</f>
        <v/>
      </c>
    </row>
    <row r="499">
      <c r="A499">
        <f>IF([1]Accounts!$D$500="","",[1]Accounts!$A$500)</f>
        <v/>
      </c>
      <c r="B499">
        <f>IF([1]Accounts!$D$500="","",[1]Accounts!$B$500)</f>
        <v/>
      </c>
      <c r="C499">
        <f>IF([1]Accounts!$D$500="","",[1]Accounts!$C$500)</f>
        <v/>
      </c>
      <c r="D499">
        <f>IF([1]Accounts!$D$500="","",[1]Accounts!$D$500)</f>
        <v/>
      </c>
      <c r="E499">
        <f>IF([1]Accounts!$D$500="","",[1]Accounts!$E$500)</f>
        <v/>
      </c>
      <c r="F499">
        <f>IF([1]Accounts!$D$500="","",[1]Accounts!$F$500)</f>
        <v/>
      </c>
      <c r="G499">
        <f>IF([1]Accounts!$D$500="","",[1]Accounts!$G$500)</f>
        <v/>
      </c>
      <c r="T499">
        <f>IF([2]Baskol!$B$502="","",[2]Baskol!$B$502)</f>
        <v/>
      </c>
      <c r="U499">
        <f>IF([2]Baskol!$C$502="","",[2]Baskol!$C$502)</f>
        <v/>
      </c>
      <c r="V499">
        <f>IF([2]Baskol!$D$502="","",[2]Baskol!$D$502)</f>
        <v/>
      </c>
      <c r="W499">
        <f>IF([2]Baskol!$E$502="","",[2]Baskol!$E$502)</f>
        <v/>
      </c>
      <c r="X499">
        <f>IF([2]Baskol!$G$502="","",[2]Baskol!$G$502)</f>
        <v/>
      </c>
      <c r="Y499">
        <f>IF([2]Baskol!$I$502="","",[2]Baskol!$I$502)</f>
        <v/>
      </c>
      <c r="Z499">
        <f>IF([2]Baskol!$J$502="","",[2]Baskol!$J$502)</f>
        <v/>
      </c>
      <c r="AA499">
        <f>IF([2]Baskol!$K$502="","",[2]Baskol!$K$502)</f>
        <v/>
      </c>
      <c r="AB499">
        <f>IF([2]Baskol!$L$502="","",[2]Baskol!$L$502)</f>
        <v/>
      </c>
      <c r="AC499">
        <f>IF([2]Baskol!$N$502="","",[2]Baskol!$N$502)</f>
        <v/>
      </c>
      <c r="AD499">
        <f>IF([2]Baskol!$O$502="","",[2]Baskol!$O$502)</f>
        <v/>
      </c>
      <c r="AE499">
        <f>IF([3]Entry!$C$502="","",[3]Entry!$C$502)</f>
        <v/>
      </c>
      <c r="AF499">
        <f>IF([3]Entry!$D$502="","",[3]Entry!$D$502)</f>
        <v/>
      </c>
      <c r="AG499">
        <f>IF([3]Entry!$E$502="","",[3]Entry!$E$502)</f>
        <v/>
      </c>
      <c r="AH499">
        <f>IF([3]Entry!$G$502="","",[3]Entry!$G$502)</f>
        <v/>
      </c>
      <c r="AI499">
        <f>IF([3]Entry!$K$502="","",[3]Entry!$K$502)</f>
        <v/>
      </c>
      <c r="AJ499">
        <f>IF([3]Entry!$L$502="","",[3]Entry!$L$502)</f>
        <v/>
      </c>
      <c r="AK499">
        <f>IF([3]Entry!$M$502="","",[3]Entry!$M$502)</f>
        <v/>
      </c>
      <c r="AL499">
        <f>IF([3]Entry!$N$502="","",[3]Entry!$N$502)</f>
        <v/>
      </c>
      <c r="AM499">
        <f>IF([3]Entry!$R$502="","",[3]Entry!$R$502)</f>
        <v/>
      </c>
    </row>
    <row r="500">
      <c r="A500">
        <f>IF([1]Accounts!$D$501="","",[1]Accounts!$A$501)</f>
        <v/>
      </c>
      <c r="B500">
        <f>IF([1]Accounts!$D$501="","",[1]Accounts!$B$501)</f>
        <v/>
      </c>
      <c r="C500">
        <f>IF([1]Accounts!$D$501="","",[1]Accounts!$C$501)</f>
        <v/>
      </c>
      <c r="D500">
        <f>IF([1]Accounts!$D$501="","",[1]Accounts!$D$501)</f>
        <v/>
      </c>
      <c r="E500">
        <f>IF([1]Accounts!$D$501="","",[1]Accounts!$E$501)</f>
        <v/>
      </c>
      <c r="F500">
        <f>IF([1]Accounts!$D$501="","",[1]Accounts!$F$501)</f>
        <v/>
      </c>
      <c r="G500">
        <f>IF([1]Accounts!$D$501="","",[1]Accounts!$G$501)</f>
        <v/>
      </c>
      <c r="T500">
        <f>IF([2]Baskol!$B$503="","",[2]Baskol!$B$503)</f>
        <v/>
      </c>
      <c r="U500">
        <f>IF([2]Baskol!$C$503="","",[2]Baskol!$C$503)</f>
        <v/>
      </c>
      <c r="V500">
        <f>IF([2]Baskol!$D$503="","",[2]Baskol!$D$503)</f>
        <v/>
      </c>
      <c r="W500">
        <f>IF([2]Baskol!$E$503="","",[2]Baskol!$E$503)</f>
        <v/>
      </c>
      <c r="X500">
        <f>IF([2]Baskol!$G$503="","",[2]Baskol!$G$503)</f>
        <v/>
      </c>
      <c r="Y500">
        <f>IF([2]Baskol!$I$503="","",[2]Baskol!$I$503)</f>
        <v/>
      </c>
      <c r="Z500">
        <f>IF([2]Baskol!$J$503="","",[2]Baskol!$J$503)</f>
        <v/>
      </c>
      <c r="AA500">
        <f>IF([2]Baskol!$K$503="","",[2]Baskol!$K$503)</f>
        <v/>
      </c>
      <c r="AB500">
        <f>IF([2]Baskol!$L$503="","",[2]Baskol!$L$503)</f>
        <v/>
      </c>
      <c r="AC500">
        <f>IF([2]Baskol!$N$503="","",[2]Baskol!$N$503)</f>
        <v/>
      </c>
      <c r="AD500">
        <f>IF([2]Baskol!$O$503="","",[2]Baskol!$O$503)</f>
        <v/>
      </c>
      <c r="AE500">
        <f>IF([3]Entry!$C$503="","",[3]Entry!$C$503)</f>
        <v/>
      </c>
      <c r="AF500">
        <f>IF([3]Entry!$D$503="","",[3]Entry!$D$503)</f>
        <v/>
      </c>
      <c r="AG500">
        <f>IF([3]Entry!$E$503="","",[3]Entry!$E$503)</f>
        <v/>
      </c>
      <c r="AH500">
        <f>IF([3]Entry!$G$503="","",[3]Entry!$G$503)</f>
        <v/>
      </c>
      <c r="AI500">
        <f>IF([3]Entry!$K$503="","",[3]Entry!$K$503)</f>
        <v/>
      </c>
      <c r="AJ500">
        <f>IF([3]Entry!$L$503="","",[3]Entry!$L$503)</f>
        <v/>
      </c>
      <c r="AK500">
        <f>IF([3]Entry!$M$503="","",[3]Entry!$M$503)</f>
        <v/>
      </c>
      <c r="AL500">
        <f>IF([3]Entry!$N$503="","",[3]Entry!$N$503)</f>
        <v/>
      </c>
      <c r="AM500">
        <f>IF([3]Entry!$R$503="","",[3]Entry!$R$503)</f>
        <v/>
      </c>
    </row>
    <row r="501">
      <c r="A501">
        <f>IF([1]Accounts!$D$502="","",[1]Accounts!$A$502)</f>
        <v/>
      </c>
      <c r="B501">
        <f>IF([1]Accounts!$D$502="","",[1]Accounts!$B$502)</f>
        <v/>
      </c>
      <c r="C501">
        <f>IF([1]Accounts!$D$502="","",[1]Accounts!$C$502)</f>
        <v/>
      </c>
      <c r="D501">
        <f>IF([1]Accounts!$D$502="","",[1]Accounts!$D$502)</f>
        <v/>
      </c>
      <c r="E501">
        <f>IF([1]Accounts!$D$502="","",[1]Accounts!$E$502)</f>
        <v/>
      </c>
      <c r="F501">
        <f>IF([1]Accounts!$D$502="","",[1]Accounts!$F$502)</f>
        <v/>
      </c>
      <c r="G501">
        <f>IF([1]Accounts!$D$502="","",[1]Accounts!$G$502)</f>
        <v/>
      </c>
      <c r="T501">
        <f>IF([2]Baskol!$B$504="","",[2]Baskol!$B$504)</f>
        <v/>
      </c>
      <c r="U501">
        <f>IF([2]Baskol!$C$504="","",[2]Baskol!$C$504)</f>
        <v/>
      </c>
      <c r="V501">
        <f>IF([2]Baskol!$D$504="","",[2]Baskol!$D$504)</f>
        <v/>
      </c>
      <c r="W501">
        <f>IF([2]Baskol!$E$504="","",[2]Baskol!$E$504)</f>
        <v/>
      </c>
      <c r="X501">
        <f>IF([2]Baskol!$G$504="","",[2]Baskol!$G$504)</f>
        <v/>
      </c>
      <c r="Y501">
        <f>IF([2]Baskol!$I$504="","",[2]Baskol!$I$504)</f>
        <v/>
      </c>
      <c r="Z501">
        <f>IF([2]Baskol!$J$504="","",[2]Baskol!$J$504)</f>
        <v/>
      </c>
      <c r="AA501">
        <f>IF([2]Baskol!$K$504="","",[2]Baskol!$K$504)</f>
        <v/>
      </c>
      <c r="AB501">
        <f>IF([2]Baskol!$L$504="","",[2]Baskol!$L$504)</f>
        <v/>
      </c>
      <c r="AC501">
        <f>IF([2]Baskol!$N$504="","",[2]Baskol!$N$504)</f>
        <v/>
      </c>
      <c r="AD501">
        <f>IF([2]Baskol!$O$504="","",[2]Baskol!$O$504)</f>
        <v/>
      </c>
      <c r="AE501">
        <f>IF([3]Entry!$C$504="","",[3]Entry!$C$504)</f>
        <v/>
      </c>
      <c r="AF501">
        <f>IF([3]Entry!$D$504="","",[3]Entry!$D$504)</f>
        <v/>
      </c>
      <c r="AG501">
        <f>IF([3]Entry!$E$504="","",[3]Entry!$E$504)</f>
        <v/>
      </c>
      <c r="AH501">
        <f>IF([3]Entry!$G$504="","",[3]Entry!$G$504)</f>
        <v/>
      </c>
      <c r="AI501">
        <f>IF([3]Entry!$K$504="","",[3]Entry!$K$504)</f>
        <v/>
      </c>
      <c r="AJ501">
        <f>IF([3]Entry!$L$504="","",[3]Entry!$L$504)</f>
        <v/>
      </c>
      <c r="AK501">
        <f>IF([3]Entry!$M$504="","",[3]Entry!$M$504)</f>
        <v/>
      </c>
      <c r="AL501">
        <f>IF([3]Entry!$N$504="","",[3]Entry!$N$504)</f>
        <v/>
      </c>
      <c r="AM501">
        <f>IF([3]Entry!$R$504="","",[3]Entry!$R$504)</f>
        <v/>
      </c>
    </row>
    <row r="502">
      <c r="A502">
        <f>IF([1]Accounts!$D$503="","",[1]Accounts!$A$503)</f>
        <v/>
      </c>
      <c r="B502">
        <f>IF([1]Accounts!$D$503="","",[1]Accounts!$B$503)</f>
        <v/>
      </c>
      <c r="C502">
        <f>IF([1]Accounts!$D$503="","",[1]Accounts!$C$503)</f>
        <v/>
      </c>
      <c r="D502">
        <f>IF([1]Accounts!$D$503="","",[1]Accounts!$D$503)</f>
        <v/>
      </c>
      <c r="E502">
        <f>IF([1]Accounts!$D$503="","",[1]Accounts!$E$503)</f>
        <v/>
      </c>
      <c r="F502">
        <f>IF([1]Accounts!$D$503="","",[1]Accounts!$F$503)</f>
        <v/>
      </c>
      <c r="G502">
        <f>IF([1]Accounts!$D$503="","",[1]Accounts!$G$503)</f>
        <v/>
      </c>
      <c r="T502">
        <f>IF([2]Baskol!$B$505="","",[2]Baskol!$B$505)</f>
        <v/>
      </c>
      <c r="U502">
        <f>IF([2]Baskol!$C$505="","",[2]Baskol!$C$505)</f>
        <v/>
      </c>
      <c r="V502">
        <f>IF([2]Baskol!$D$505="","",[2]Baskol!$D$505)</f>
        <v/>
      </c>
      <c r="W502">
        <f>IF([2]Baskol!$E$505="","",[2]Baskol!$E$505)</f>
        <v/>
      </c>
      <c r="X502">
        <f>IF([2]Baskol!$G$505="","",[2]Baskol!$G$505)</f>
        <v/>
      </c>
      <c r="Y502">
        <f>IF([2]Baskol!$I$505="","",[2]Baskol!$I$505)</f>
        <v/>
      </c>
      <c r="Z502">
        <f>IF([2]Baskol!$J$505="","",[2]Baskol!$J$505)</f>
        <v/>
      </c>
      <c r="AA502">
        <f>IF([2]Baskol!$K$505="","",[2]Baskol!$K$505)</f>
        <v/>
      </c>
      <c r="AB502">
        <f>IF([2]Baskol!$L$505="","",[2]Baskol!$L$505)</f>
        <v/>
      </c>
      <c r="AC502">
        <f>IF([2]Baskol!$N$505="","",[2]Baskol!$N$505)</f>
        <v/>
      </c>
      <c r="AD502">
        <f>IF([2]Baskol!$O$505="","",[2]Baskol!$O$505)</f>
        <v/>
      </c>
      <c r="AE502">
        <f>IF([3]Entry!$C$505="","",[3]Entry!$C$505)</f>
        <v/>
      </c>
      <c r="AF502">
        <f>IF([3]Entry!$D$505="","",[3]Entry!$D$505)</f>
        <v/>
      </c>
      <c r="AG502">
        <f>IF([3]Entry!$E$505="","",[3]Entry!$E$505)</f>
        <v/>
      </c>
      <c r="AH502">
        <f>IF([3]Entry!$G$505="","",[3]Entry!$G$505)</f>
        <v/>
      </c>
      <c r="AI502">
        <f>IF([3]Entry!$K$505="","",[3]Entry!$K$505)</f>
        <v/>
      </c>
      <c r="AJ502">
        <f>IF([3]Entry!$L$505="","",[3]Entry!$L$505)</f>
        <v/>
      </c>
      <c r="AK502">
        <f>IF([3]Entry!$M$505="","",[3]Entry!$M$505)</f>
        <v/>
      </c>
      <c r="AL502">
        <f>IF([3]Entry!$N$505="","",[3]Entry!$N$505)</f>
        <v/>
      </c>
      <c r="AM502">
        <f>IF([3]Entry!$R$505="","",[3]Entry!$R$505)</f>
        <v/>
      </c>
    </row>
    <row r="503">
      <c r="A503">
        <f>IF([1]Accounts!$D$504="","",[1]Accounts!$A$504)</f>
        <v/>
      </c>
      <c r="B503">
        <f>IF([1]Accounts!$D$504="","",[1]Accounts!$B$504)</f>
        <v/>
      </c>
      <c r="C503">
        <f>IF([1]Accounts!$D$504="","",[1]Accounts!$C$504)</f>
        <v/>
      </c>
      <c r="D503">
        <f>IF([1]Accounts!$D$504="","",[1]Accounts!$D$504)</f>
        <v/>
      </c>
      <c r="E503">
        <f>IF([1]Accounts!$D$504="","",[1]Accounts!$E$504)</f>
        <v/>
      </c>
      <c r="F503">
        <f>IF([1]Accounts!$D$504="","",[1]Accounts!$F$504)</f>
        <v/>
      </c>
      <c r="G503">
        <f>IF([1]Accounts!$D$504="","",[1]Accounts!$G$504)</f>
        <v/>
      </c>
      <c r="T503">
        <f>IF([2]Baskol!$B$506="","",[2]Baskol!$B$506)</f>
        <v/>
      </c>
      <c r="U503">
        <f>IF([2]Baskol!$C$506="","",[2]Baskol!$C$506)</f>
        <v/>
      </c>
      <c r="V503">
        <f>IF([2]Baskol!$D$506="","",[2]Baskol!$D$506)</f>
        <v/>
      </c>
      <c r="W503">
        <f>IF([2]Baskol!$E$506="","",[2]Baskol!$E$506)</f>
        <v/>
      </c>
      <c r="X503">
        <f>IF([2]Baskol!$G$506="","",[2]Baskol!$G$506)</f>
        <v/>
      </c>
      <c r="Y503">
        <f>IF([2]Baskol!$I$506="","",[2]Baskol!$I$506)</f>
        <v/>
      </c>
      <c r="Z503">
        <f>IF([2]Baskol!$J$506="","",[2]Baskol!$J$506)</f>
        <v/>
      </c>
      <c r="AA503">
        <f>IF([2]Baskol!$K$506="","",[2]Baskol!$K$506)</f>
        <v/>
      </c>
      <c r="AB503">
        <f>IF([2]Baskol!$L$506="","",[2]Baskol!$L$506)</f>
        <v/>
      </c>
      <c r="AC503">
        <f>IF([2]Baskol!$N$506="","",[2]Baskol!$N$506)</f>
        <v/>
      </c>
      <c r="AD503">
        <f>IF([2]Baskol!$O$506="","",[2]Baskol!$O$506)</f>
        <v/>
      </c>
      <c r="AE503">
        <f>IF([3]Entry!$C$506="","",[3]Entry!$C$506)</f>
        <v/>
      </c>
      <c r="AF503">
        <f>IF([3]Entry!$D$506="","",[3]Entry!$D$506)</f>
        <v/>
      </c>
      <c r="AG503">
        <f>IF([3]Entry!$E$506="","",[3]Entry!$E$506)</f>
        <v/>
      </c>
      <c r="AH503">
        <f>IF([3]Entry!$G$506="","",[3]Entry!$G$506)</f>
        <v/>
      </c>
      <c r="AI503">
        <f>IF([3]Entry!$K$506="","",[3]Entry!$K$506)</f>
        <v/>
      </c>
      <c r="AJ503">
        <f>IF([3]Entry!$L$506="","",[3]Entry!$L$506)</f>
        <v/>
      </c>
      <c r="AK503">
        <f>IF([3]Entry!$M$506="","",[3]Entry!$M$506)</f>
        <v/>
      </c>
      <c r="AL503">
        <f>IF([3]Entry!$N$506="","",[3]Entry!$N$506)</f>
        <v/>
      </c>
      <c r="AM503">
        <f>IF([3]Entry!$R$506="","",[3]Entry!$R$506)</f>
        <v/>
      </c>
    </row>
    <row r="504">
      <c r="A504">
        <f>IF([1]Accounts!$D$505="","",[1]Accounts!$A$505)</f>
        <v/>
      </c>
      <c r="B504">
        <f>IF([1]Accounts!$D$505="","",[1]Accounts!$B$505)</f>
        <v/>
      </c>
      <c r="C504">
        <f>IF([1]Accounts!$D$505="","",[1]Accounts!$C$505)</f>
        <v/>
      </c>
      <c r="D504">
        <f>IF([1]Accounts!$D$505="","",[1]Accounts!$D$505)</f>
        <v/>
      </c>
      <c r="E504">
        <f>IF([1]Accounts!$D$505="","",[1]Accounts!$E$505)</f>
        <v/>
      </c>
      <c r="F504">
        <f>IF([1]Accounts!$D$505="","",[1]Accounts!$F$505)</f>
        <v/>
      </c>
      <c r="G504">
        <f>IF([1]Accounts!$D$505="","",[1]Accounts!$G$505)</f>
        <v/>
      </c>
      <c r="T504">
        <f>IF([2]Baskol!$B$507="","",[2]Baskol!$B$507)</f>
        <v/>
      </c>
      <c r="U504">
        <f>IF([2]Baskol!$C$507="","",[2]Baskol!$C$507)</f>
        <v/>
      </c>
      <c r="V504">
        <f>IF([2]Baskol!$D$507="","",[2]Baskol!$D$507)</f>
        <v/>
      </c>
      <c r="W504">
        <f>IF([2]Baskol!$E$507="","",[2]Baskol!$E$507)</f>
        <v/>
      </c>
      <c r="X504">
        <f>IF([2]Baskol!$G$507="","",[2]Baskol!$G$507)</f>
        <v/>
      </c>
      <c r="Y504">
        <f>IF([2]Baskol!$I$507="","",[2]Baskol!$I$507)</f>
        <v/>
      </c>
      <c r="Z504">
        <f>IF([2]Baskol!$J$507="","",[2]Baskol!$J$507)</f>
        <v/>
      </c>
      <c r="AA504">
        <f>IF([2]Baskol!$K$507="","",[2]Baskol!$K$507)</f>
        <v/>
      </c>
      <c r="AB504">
        <f>IF([2]Baskol!$L$507="","",[2]Baskol!$L$507)</f>
        <v/>
      </c>
      <c r="AC504">
        <f>IF([2]Baskol!$N$507="","",[2]Baskol!$N$507)</f>
        <v/>
      </c>
      <c r="AD504">
        <f>IF([2]Baskol!$O$507="","",[2]Baskol!$O$507)</f>
        <v/>
      </c>
      <c r="AE504">
        <f>IF([3]Entry!$C$507="","",[3]Entry!$C$507)</f>
        <v/>
      </c>
      <c r="AF504">
        <f>IF([3]Entry!$D$507="","",[3]Entry!$D$507)</f>
        <v/>
      </c>
      <c r="AG504">
        <f>IF([3]Entry!$E$507="","",[3]Entry!$E$507)</f>
        <v/>
      </c>
      <c r="AH504">
        <f>IF([3]Entry!$G$507="","",[3]Entry!$G$507)</f>
        <v/>
      </c>
      <c r="AI504">
        <f>IF([3]Entry!$K$507="","",[3]Entry!$K$507)</f>
        <v/>
      </c>
      <c r="AJ504">
        <f>IF([3]Entry!$L$507="","",[3]Entry!$L$507)</f>
        <v/>
      </c>
      <c r="AK504">
        <f>IF([3]Entry!$M$507="","",[3]Entry!$M$507)</f>
        <v/>
      </c>
      <c r="AL504">
        <f>IF([3]Entry!$N$507="","",[3]Entry!$N$507)</f>
        <v/>
      </c>
      <c r="AM504">
        <f>IF([3]Entry!$R$507="","",[3]Entry!$R$507)</f>
        <v/>
      </c>
    </row>
    <row r="505">
      <c r="A505">
        <f>IF([1]Accounts!$D$506="","",[1]Accounts!$A$506)</f>
        <v/>
      </c>
      <c r="B505">
        <f>IF([1]Accounts!$D$506="","",[1]Accounts!$B$506)</f>
        <v/>
      </c>
      <c r="C505">
        <f>IF([1]Accounts!$D$506="","",[1]Accounts!$C$506)</f>
        <v/>
      </c>
      <c r="D505">
        <f>IF([1]Accounts!$D$506="","",[1]Accounts!$D$506)</f>
        <v/>
      </c>
      <c r="E505">
        <f>IF([1]Accounts!$D$506="","",[1]Accounts!$E$506)</f>
        <v/>
      </c>
      <c r="F505">
        <f>IF([1]Accounts!$D$506="","",[1]Accounts!$F$506)</f>
        <v/>
      </c>
      <c r="G505">
        <f>IF([1]Accounts!$D$506="","",[1]Accounts!$G$506)</f>
        <v/>
      </c>
      <c r="T505">
        <f>IF([2]Baskol!$B$508="","",[2]Baskol!$B$508)</f>
        <v/>
      </c>
      <c r="U505">
        <f>IF([2]Baskol!$C$508="","",[2]Baskol!$C$508)</f>
        <v/>
      </c>
      <c r="V505">
        <f>IF([2]Baskol!$D$508="","",[2]Baskol!$D$508)</f>
        <v/>
      </c>
      <c r="W505">
        <f>IF([2]Baskol!$E$508="","",[2]Baskol!$E$508)</f>
        <v/>
      </c>
      <c r="X505">
        <f>IF([2]Baskol!$G$508="","",[2]Baskol!$G$508)</f>
        <v/>
      </c>
      <c r="Y505">
        <f>IF([2]Baskol!$I$508="","",[2]Baskol!$I$508)</f>
        <v/>
      </c>
      <c r="Z505">
        <f>IF([2]Baskol!$J$508="","",[2]Baskol!$J$508)</f>
        <v/>
      </c>
      <c r="AA505">
        <f>IF([2]Baskol!$K$508="","",[2]Baskol!$K$508)</f>
        <v/>
      </c>
      <c r="AB505">
        <f>IF([2]Baskol!$L$508="","",[2]Baskol!$L$508)</f>
        <v/>
      </c>
      <c r="AC505">
        <f>IF([2]Baskol!$N$508="","",[2]Baskol!$N$508)</f>
        <v/>
      </c>
      <c r="AD505">
        <f>IF([2]Baskol!$O$508="","",[2]Baskol!$O$508)</f>
        <v/>
      </c>
      <c r="AE505">
        <f>IF([3]Entry!$C$508="","",[3]Entry!$C$508)</f>
        <v/>
      </c>
      <c r="AF505">
        <f>IF([3]Entry!$D$508="","",[3]Entry!$D$508)</f>
        <v/>
      </c>
      <c r="AG505">
        <f>IF([3]Entry!$E$508="","",[3]Entry!$E$508)</f>
        <v/>
      </c>
      <c r="AH505">
        <f>IF([3]Entry!$G$508="","",[3]Entry!$G$508)</f>
        <v/>
      </c>
      <c r="AI505">
        <f>IF([3]Entry!$K$508="","",[3]Entry!$K$508)</f>
        <v/>
      </c>
      <c r="AJ505">
        <f>IF([3]Entry!$L$508="","",[3]Entry!$L$508)</f>
        <v/>
      </c>
      <c r="AK505">
        <f>IF([3]Entry!$M$508="","",[3]Entry!$M$508)</f>
        <v/>
      </c>
      <c r="AL505">
        <f>IF([3]Entry!$N$508="","",[3]Entry!$N$508)</f>
        <v/>
      </c>
      <c r="AM505">
        <f>IF([3]Entry!$R$508="","",[3]Entry!$R$508)</f>
        <v/>
      </c>
    </row>
    <row r="506">
      <c r="A506">
        <f>IF([1]Accounts!$D$507="","",[1]Accounts!$A$507)</f>
        <v/>
      </c>
      <c r="B506">
        <f>IF([1]Accounts!$D$507="","",[1]Accounts!$B$507)</f>
        <v/>
      </c>
      <c r="C506">
        <f>IF([1]Accounts!$D$507="","",[1]Accounts!$C$507)</f>
        <v/>
      </c>
      <c r="D506">
        <f>IF([1]Accounts!$D$507="","",[1]Accounts!$D$507)</f>
        <v/>
      </c>
      <c r="E506">
        <f>IF([1]Accounts!$D$507="","",[1]Accounts!$E$507)</f>
        <v/>
      </c>
      <c r="F506">
        <f>IF([1]Accounts!$D$507="","",[1]Accounts!$F$507)</f>
        <v/>
      </c>
      <c r="G506">
        <f>IF([1]Accounts!$D$507="","",[1]Accounts!$G$507)</f>
        <v/>
      </c>
      <c r="T506">
        <f>IF([2]Baskol!$B$509="","",[2]Baskol!$B$509)</f>
        <v/>
      </c>
      <c r="U506">
        <f>IF([2]Baskol!$C$509="","",[2]Baskol!$C$509)</f>
        <v/>
      </c>
      <c r="V506">
        <f>IF([2]Baskol!$D$509="","",[2]Baskol!$D$509)</f>
        <v/>
      </c>
      <c r="W506">
        <f>IF([2]Baskol!$E$509="","",[2]Baskol!$E$509)</f>
        <v/>
      </c>
      <c r="X506">
        <f>IF([2]Baskol!$G$509="","",[2]Baskol!$G$509)</f>
        <v/>
      </c>
      <c r="Y506">
        <f>IF([2]Baskol!$I$509="","",[2]Baskol!$I$509)</f>
        <v/>
      </c>
      <c r="Z506">
        <f>IF([2]Baskol!$J$509="","",[2]Baskol!$J$509)</f>
        <v/>
      </c>
      <c r="AA506">
        <f>IF([2]Baskol!$K$509="","",[2]Baskol!$K$509)</f>
        <v/>
      </c>
      <c r="AB506">
        <f>IF([2]Baskol!$L$509="","",[2]Baskol!$L$509)</f>
        <v/>
      </c>
      <c r="AC506">
        <f>IF([2]Baskol!$N$509="","",[2]Baskol!$N$509)</f>
        <v/>
      </c>
      <c r="AD506">
        <f>IF([2]Baskol!$O$509="","",[2]Baskol!$O$509)</f>
        <v/>
      </c>
      <c r="AE506">
        <f>IF([3]Entry!$C$509="","",[3]Entry!$C$509)</f>
        <v/>
      </c>
      <c r="AF506">
        <f>IF([3]Entry!$D$509="","",[3]Entry!$D$509)</f>
        <v/>
      </c>
      <c r="AG506">
        <f>IF([3]Entry!$E$509="","",[3]Entry!$E$509)</f>
        <v/>
      </c>
      <c r="AH506">
        <f>IF([3]Entry!$G$509="","",[3]Entry!$G$509)</f>
        <v/>
      </c>
      <c r="AI506">
        <f>IF([3]Entry!$K$509="","",[3]Entry!$K$509)</f>
        <v/>
      </c>
      <c r="AJ506">
        <f>IF([3]Entry!$L$509="","",[3]Entry!$L$509)</f>
        <v/>
      </c>
      <c r="AK506">
        <f>IF([3]Entry!$M$509="","",[3]Entry!$M$509)</f>
        <v/>
      </c>
      <c r="AL506">
        <f>IF([3]Entry!$N$509="","",[3]Entry!$N$509)</f>
        <v/>
      </c>
      <c r="AM506">
        <f>IF([3]Entry!$R$509="","",[3]Entry!$R$509)</f>
        <v/>
      </c>
    </row>
    <row r="507">
      <c r="A507">
        <f>IF([1]Accounts!$D$508="","",[1]Accounts!$A$508)</f>
        <v/>
      </c>
      <c r="B507">
        <f>IF([1]Accounts!$D$508="","",[1]Accounts!$B$508)</f>
        <v/>
      </c>
      <c r="C507">
        <f>IF([1]Accounts!$D$508="","",[1]Accounts!$C$508)</f>
        <v/>
      </c>
      <c r="D507">
        <f>IF([1]Accounts!$D$508="","",[1]Accounts!$D$508)</f>
        <v/>
      </c>
      <c r="E507">
        <f>IF([1]Accounts!$D$508="","",[1]Accounts!$E$508)</f>
        <v/>
      </c>
      <c r="F507">
        <f>IF([1]Accounts!$D$508="","",[1]Accounts!$F$508)</f>
        <v/>
      </c>
      <c r="G507">
        <f>IF([1]Accounts!$D$508="","",[1]Accounts!$G$508)</f>
        <v/>
      </c>
      <c r="T507">
        <f>IF([2]Baskol!$B$510="","",[2]Baskol!$B$510)</f>
        <v/>
      </c>
      <c r="U507">
        <f>IF([2]Baskol!$C$510="","",[2]Baskol!$C$510)</f>
        <v/>
      </c>
      <c r="V507">
        <f>IF([2]Baskol!$D$510="","",[2]Baskol!$D$510)</f>
        <v/>
      </c>
      <c r="W507">
        <f>IF([2]Baskol!$E$510="","",[2]Baskol!$E$510)</f>
        <v/>
      </c>
      <c r="X507">
        <f>IF([2]Baskol!$G$510="","",[2]Baskol!$G$510)</f>
        <v/>
      </c>
      <c r="Y507">
        <f>IF([2]Baskol!$I$510="","",[2]Baskol!$I$510)</f>
        <v/>
      </c>
      <c r="Z507">
        <f>IF([2]Baskol!$J$510="","",[2]Baskol!$J$510)</f>
        <v/>
      </c>
      <c r="AA507">
        <f>IF([2]Baskol!$K$510="","",[2]Baskol!$K$510)</f>
        <v/>
      </c>
      <c r="AB507">
        <f>IF([2]Baskol!$L$510="","",[2]Baskol!$L$510)</f>
        <v/>
      </c>
      <c r="AC507">
        <f>IF([2]Baskol!$N$510="","",[2]Baskol!$N$510)</f>
        <v/>
      </c>
      <c r="AD507">
        <f>IF([2]Baskol!$O$510="","",[2]Baskol!$O$510)</f>
        <v/>
      </c>
      <c r="AE507">
        <f>IF([3]Entry!$C$510="","",[3]Entry!$C$510)</f>
        <v/>
      </c>
      <c r="AF507">
        <f>IF([3]Entry!$D$510="","",[3]Entry!$D$510)</f>
        <v/>
      </c>
      <c r="AG507">
        <f>IF([3]Entry!$E$510="","",[3]Entry!$E$510)</f>
        <v/>
      </c>
      <c r="AH507">
        <f>IF([3]Entry!$G$510="","",[3]Entry!$G$510)</f>
        <v/>
      </c>
      <c r="AI507">
        <f>IF([3]Entry!$K$510="","",[3]Entry!$K$510)</f>
        <v/>
      </c>
      <c r="AJ507">
        <f>IF([3]Entry!$L$510="","",[3]Entry!$L$510)</f>
        <v/>
      </c>
      <c r="AK507">
        <f>IF([3]Entry!$M$510="","",[3]Entry!$M$510)</f>
        <v/>
      </c>
      <c r="AL507">
        <f>IF([3]Entry!$N$510="","",[3]Entry!$N$510)</f>
        <v/>
      </c>
      <c r="AM507">
        <f>IF([3]Entry!$R$510="","",[3]Entry!$R$510)</f>
        <v/>
      </c>
    </row>
    <row r="508">
      <c r="A508">
        <f>IF([1]Accounts!$D$509="","",[1]Accounts!$A$509)</f>
        <v/>
      </c>
      <c r="B508">
        <f>IF([1]Accounts!$D$509="","",[1]Accounts!$B$509)</f>
        <v/>
      </c>
      <c r="C508">
        <f>IF([1]Accounts!$D$509="","",[1]Accounts!$C$509)</f>
        <v/>
      </c>
      <c r="D508">
        <f>IF([1]Accounts!$D$509="","",[1]Accounts!$D$509)</f>
        <v/>
      </c>
      <c r="E508">
        <f>IF([1]Accounts!$D$509="","",[1]Accounts!$E$509)</f>
        <v/>
      </c>
      <c r="F508">
        <f>IF([1]Accounts!$D$509="","",[1]Accounts!$F$509)</f>
        <v/>
      </c>
      <c r="G508">
        <f>IF([1]Accounts!$D$509="","",[1]Accounts!$G$509)</f>
        <v/>
      </c>
      <c r="T508">
        <f>IF([2]Baskol!$B$511="","",[2]Baskol!$B$511)</f>
        <v/>
      </c>
      <c r="U508">
        <f>IF([2]Baskol!$C$511="","",[2]Baskol!$C$511)</f>
        <v/>
      </c>
      <c r="V508">
        <f>IF([2]Baskol!$D$511="","",[2]Baskol!$D$511)</f>
        <v/>
      </c>
      <c r="W508">
        <f>IF([2]Baskol!$E$511="","",[2]Baskol!$E$511)</f>
        <v/>
      </c>
      <c r="X508">
        <f>IF([2]Baskol!$G$511="","",[2]Baskol!$G$511)</f>
        <v/>
      </c>
      <c r="Y508">
        <f>IF([2]Baskol!$I$511="","",[2]Baskol!$I$511)</f>
        <v/>
      </c>
      <c r="Z508">
        <f>IF([2]Baskol!$J$511="","",[2]Baskol!$J$511)</f>
        <v/>
      </c>
      <c r="AA508">
        <f>IF([2]Baskol!$K$511="","",[2]Baskol!$K$511)</f>
        <v/>
      </c>
      <c r="AB508">
        <f>IF([2]Baskol!$L$511="","",[2]Baskol!$L$511)</f>
        <v/>
      </c>
      <c r="AC508">
        <f>IF([2]Baskol!$N$511="","",[2]Baskol!$N$511)</f>
        <v/>
      </c>
      <c r="AD508">
        <f>IF([2]Baskol!$O$511="","",[2]Baskol!$O$511)</f>
        <v/>
      </c>
      <c r="AE508">
        <f>IF([3]Entry!$C$511="","",[3]Entry!$C$511)</f>
        <v/>
      </c>
      <c r="AF508">
        <f>IF([3]Entry!$D$511="","",[3]Entry!$D$511)</f>
        <v/>
      </c>
      <c r="AG508">
        <f>IF([3]Entry!$E$511="","",[3]Entry!$E$511)</f>
        <v/>
      </c>
      <c r="AH508">
        <f>IF([3]Entry!$G$511="","",[3]Entry!$G$511)</f>
        <v/>
      </c>
      <c r="AI508">
        <f>IF([3]Entry!$K$511="","",[3]Entry!$K$511)</f>
        <v/>
      </c>
      <c r="AJ508">
        <f>IF([3]Entry!$L$511="","",[3]Entry!$L$511)</f>
        <v/>
      </c>
      <c r="AK508">
        <f>IF([3]Entry!$M$511="","",[3]Entry!$M$511)</f>
        <v/>
      </c>
      <c r="AL508">
        <f>IF([3]Entry!$N$511="","",[3]Entry!$N$511)</f>
        <v/>
      </c>
      <c r="AM508">
        <f>IF([3]Entry!$R$511="","",[3]Entry!$R$511)</f>
        <v/>
      </c>
    </row>
    <row r="509">
      <c r="A509">
        <f>IF([1]Accounts!$D$510="","",[1]Accounts!$A$510)</f>
        <v/>
      </c>
      <c r="B509">
        <f>IF([1]Accounts!$D$510="","",[1]Accounts!$B$510)</f>
        <v/>
      </c>
      <c r="C509">
        <f>IF([1]Accounts!$D$510="","",[1]Accounts!$C$510)</f>
        <v/>
      </c>
      <c r="D509">
        <f>IF([1]Accounts!$D$510="","",[1]Accounts!$D$510)</f>
        <v/>
      </c>
      <c r="E509">
        <f>IF([1]Accounts!$D$510="","",[1]Accounts!$E$510)</f>
        <v/>
      </c>
      <c r="F509">
        <f>IF([1]Accounts!$D$510="","",[1]Accounts!$F$510)</f>
        <v/>
      </c>
      <c r="G509">
        <f>IF([1]Accounts!$D$510="","",[1]Accounts!$G$510)</f>
        <v/>
      </c>
      <c r="T509">
        <f>IF([2]Baskol!$B$512="","",[2]Baskol!$B$512)</f>
        <v/>
      </c>
      <c r="U509">
        <f>IF([2]Baskol!$C$512="","",[2]Baskol!$C$512)</f>
        <v/>
      </c>
      <c r="V509">
        <f>IF([2]Baskol!$D$512="","",[2]Baskol!$D$512)</f>
        <v/>
      </c>
      <c r="W509">
        <f>IF([2]Baskol!$E$512="","",[2]Baskol!$E$512)</f>
        <v/>
      </c>
      <c r="X509">
        <f>IF([2]Baskol!$G$512="","",[2]Baskol!$G$512)</f>
        <v/>
      </c>
      <c r="Y509">
        <f>IF([2]Baskol!$I$512="","",[2]Baskol!$I$512)</f>
        <v/>
      </c>
      <c r="Z509">
        <f>IF([2]Baskol!$J$512="","",[2]Baskol!$J$512)</f>
        <v/>
      </c>
      <c r="AA509">
        <f>IF([2]Baskol!$K$512="","",[2]Baskol!$K$512)</f>
        <v/>
      </c>
      <c r="AB509">
        <f>IF([2]Baskol!$L$512="","",[2]Baskol!$L$512)</f>
        <v/>
      </c>
      <c r="AC509">
        <f>IF([2]Baskol!$N$512="","",[2]Baskol!$N$512)</f>
        <v/>
      </c>
      <c r="AD509">
        <f>IF([2]Baskol!$O$512="","",[2]Baskol!$O$512)</f>
        <v/>
      </c>
      <c r="AE509">
        <f>IF([3]Entry!$C$512="","",[3]Entry!$C$512)</f>
        <v/>
      </c>
      <c r="AF509">
        <f>IF([3]Entry!$D$512="","",[3]Entry!$D$512)</f>
        <v/>
      </c>
      <c r="AG509">
        <f>IF([3]Entry!$E$512="","",[3]Entry!$E$512)</f>
        <v/>
      </c>
      <c r="AH509">
        <f>IF([3]Entry!$G$512="","",[3]Entry!$G$512)</f>
        <v/>
      </c>
      <c r="AI509">
        <f>IF([3]Entry!$K$512="","",[3]Entry!$K$512)</f>
        <v/>
      </c>
      <c r="AJ509">
        <f>IF([3]Entry!$L$512="","",[3]Entry!$L$512)</f>
        <v/>
      </c>
      <c r="AK509">
        <f>IF([3]Entry!$M$512="","",[3]Entry!$M$512)</f>
        <v/>
      </c>
      <c r="AL509">
        <f>IF([3]Entry!$N$512="","",[3]Entry!$N$512)</f>
        <v/>
      </c>
      <c r="AM509">
        <f>IF([3]Entry!$R$512="","",[3]Entry!$R$512)</f>
        <v/>
      </c>
    </row>
    <row r="510">
      <c r="A510">
        <f>IF([1]Accounts!$D$511="","",[1]Accounts!$A$511)</f>
        <v/>
      </c>
      <c r="B510">
        <f>IF([1]Accounts!$D$511="","",[1]Accounts!$B$511)</f>
        <v/>
      </c>
      <c r="C510">
        <f>IF([1]Accounts!$D$511="","",[1]Accounts!$C$511)</f>
        <v/>
      </c>
      <c r="D510">
        <f>IF([1]Accounts!$D$511="","",[1]Accounts!$D$511)</f>
        <v/>
      </c>
      <c r="E510">
        <f>IF([1]Accounts!$D$511="","",[1]Accounts!$E$511)</f>
        <v/>
      </c>
      <c r="F510">
        <f>IF([1]Accounts!$D$511="","",[1]Accounts!$F$511)</f>
        <v/>
      </c>
      <c r="G510">
        <f>IF([1]Accounts!$D$511="","",[1]Accounts!$G$511)</f>
        <v/>
      </c>
      <c r="T510">
        <f>IF([2]Baskol!$B$513="","",[2]Baskol!$B$513)</f>
        <v/>
      </c>
      <c r="U510">
        <f>IF([2]Baskol!$C$513="","",[2]Baskol!$C$513)</f>
        <v/>
      </c>
      <c r="V510">
        <f>IF([2]Baskol!$D$513="","",[2]Baskol!$D$513)</f>
        <v/>
      </c>
      <c r="W510">
        <f>IF([2]Baskol!$E$513="","",[2]Baskol!$E$513)</f>
        <v/>
      </c>
      <c r="X510">
        <f>IF([2]Baskol!$G$513="","",[2]Baskol!$G$513)</f>
        <v/>
      </c>
      <c r="Y510">
        <f>IF([2]Baskol!$I$513="","",[2]Baskol!$I$513)</f>
        <v/>
      </c>
      <c r="Z510">
        <f>IF([2]Baskol!$J$513="","",[2]Baskol!$J$513)</f>
        <v/>
      </c>
      <c r="AA510">
        <f>IF([2]Baskol!$K$513="","",[2]Baskol!$K$513)</f>
        <v/>
      </c>
      <c r="AB510">
        <f>IF([2]Baskol!$L$513="","",[2]Baskol!$L$513)</f>
        <v/>
      </c>
      <c r="AC510">
        <f>IF([2]Baskol!$N$513="","",[2]Baskol!$N$513)</f>
        <v/>
      </c>
      <c r="AD510">
        <f>IF([2]Baskol!$O$513="","",[2]Baskol!$O$513)</f>
        <v/>
      </c>
      <c r="AE510">
        <f>IF([3]Entry!$C$513="","",[3]Entry!$C$513)</f>
        <v/>
      </c>
      <c r="AF510">
        <f>IF([3]Entry!$D$513="","",[3]Entry!$D$513)</f>
        <v/>
      </c>
      <c r="AG510">
        <f>IF([3]Entry!$E$513="","",[3]Entry!$E$513)</f>
        <v/>
      </c>
      <c r="AH510">
        <f>IF([3]Entry!$G$513="","",[3]Entry!$G$513)</f>
        <v/>
      </c>
      <c r="AI510">
        <f>IF([3]Entry!$K$513="","",[3]Entry!$K$513)</f>
        <v/>
      </c>
      <c r="AJ510">
        <f>IF([3]Entry!$L$513="","",[3]Entry!$L$513)</f>
        <v/>
      </c>
      <c r="AK510">
        <f>IF([3]Entry!$M$513="","",[3]Entry!$M$513)</f>
        <v/>
      </c>
      <c r="AL510">
        <f>IF([3]Entry!$N$513="","",[3]Entry!$N$513)</f>
        <v/>
      </c>
      <c r="AM510">
        <f>IF([3]Entry!$R$513="","",[3]Entry!$R$513)</f>
        <v/>
      </c>
    </row>
    <row r="511">
      <c r="A511">
        <f>IF([1]Accounts!$D$512="","",[1]Accounts!$A$512)</f>
        <v/>
      </c>
      <c r="B511">
        <f>IF([1]Accounts!$D$512="","",[1]Accounts!$B$512)</f>
        <v/>
      </c>
      <c r="C511">
        <f>IF([1]Accounts!$D$512="","",[1]Accounts!$C$512)</f>
        <v/>
      </c>
      <c r="D511">
        <f>IF([1]Accounts!$D$512="","",[1]Accounts!$D$512)</f>
        <v/>
      </c>
      <c r="E511">
        <f>IF([1]Accounts!$D$512="","",[1]Accounts!$E$512)</f>
        <v/>
      </c>
      <c r="F511">
        <f>IF([1]Accounts!$D$512="","",[1]Accounts!$F$512)</f>
        <v/>
      </c>
      <c r="G511">
        <f>IF([1]Accounts!$D$512="","",[1]Accounts!$G$512)</f>
        <v/>
      </c>
      <c r="T511">
        <f>IF([2]Baskol!$B$514="","",[2]Baskol!$B$514)</f>
        <v/>
      </c>
      <c r="U511">
        <f>IF([2]Baskol!$C$514="","",[2]Baskol!$C$514)</f>
        <v/>
      </c>
      <c r="V511">
        <f>IF([2]Baskol!$D$514="","",[2]Baskol!$D$514)</f>
        <v/>
      </c>
      <c r="W511">
        <f>IF([2]Baskol!$E$514="","",[2]Baskol!$E$514)</f>
        <v/>
      </c>
      <c r="X511">
        <f>IF([2]Baskol!$G$514="","",[2]Baskol!$G$514)</f>
        <v/>
      </c>
      <c r="Y511">
        <f>IF([2]Baskol!$I$514="","",[2]Baskol!$I$514)</f>
        <v/>
      </c>
      <c r="Z511">
        <f>IF([2]Baskol!$J$514="","",[2]Baskol!$J$514)</f>
        <v/>
      </c>
      <c r="AA511">
        <f>IF([2]Baskol!$K$514="","",[2]Baskol!$K$514)</f>
        <v/>
      </c>
      <c r="AB511">
        <f>IF([2]Baskol!$L$514="","",[2]Baskol!$L$514)</f>
        <v/>
      </c>
      <c r="AC511">
        <f>IF([2]Baskol!$N$514="","",[2]Baskol!$N$514)</f>
        <v/>
      </c>
      <c r="AD511">
        <f>IF([2]Baskol!$O$514="","",[2]Baskol!$O$514)</f>
        <v/>
      </c>
      <c r="AE511">
        <f>IF([3]Entry!$C$514="","",[3]Entry!$C$514)</f>
        <v/>
      </c>
      <c r="AF511">
        <f>IF([3]Entry!$D$514="","",[3]Entry!$D$514)</f>
        <v/>
      </c>
      <c r="AG511">
        <f>IF([3]Entry!$E$514="","",[3]Entry!$E$514)</f>
        <v/>
      </c>
      <c r="AH511">
        <f>IF([3]Entry!$G$514="","",[3]Entry!$G$514)</f>
        <v/>
      </c>
      <c r="AI511">
        <f>IF([3]Entry!$K$514="","",[3]Entry!$K$514)</f>
        <v/>
      </c>
      <c r="AJ511">
        <f>IF([3]Entry!$L$514="","",[3]Entry!$L$514)</f>
        <v/>
      </c>
      <c r="AK511">
        <f>IF([3]Entry!$M$514="","",[3]Entry!$M$514)</f>
        <v/>
      </c>
      <c r="AL511">
        <f>IF([3]Entry!$N$514="","",[3]Entry!$N$514)</f>
        <v/>
      </c>
      <c r="AM511">
        <f>IF([3]Entry!$R$514="","",[3]Entry!$R$514)</f>
        <v/>
      </c>
    </row>
    <row r="512">
      <c r="A512">
        <f>IF([1]Accounts!$D$513="","",[1]Accounts!$A$513)</f>
        <v/>
      </c>
      <c r="B512">
        <f>IF([1]Accounts!$D$513="","",[1]Accounts!$B$513)</f>
        <v/>
      </c>
      <c r="C512">
        <f>IF([1]Accounts!$D$513="","",[1]Accounts!$C$513)</f>
        <v/>
      </c>
      <c r="D512">
        <f>IF([1]Accounts!$D$513="","",[1]Accounts!$D$513)</f>
        <v/>
      </c>
      <c r="E512">
        <f>IF([1]Accounts!$D$513="","",[1]Accounts!$E$513)</f>
        <v/>
      </c>
      <c r="F512">
        <f>IF([1]Accounts!$D$513="","",[1]Accounts!$F$513)</f>
        <v/>
      </c>
      <c r="G512">
        <f>IF([1]Accounts!$D$513="","",[1]Accounts!$G$513)</f>
        <v/>
      </c>
      <c r="T512">
        <f>IF([2]Baskol!$B$515="","",[2]Baskol!$B$515)</f>
        <v/>
      </c>
      <c r="U512">
        <f>IF([2]Baskol!$C$515="","",[2]Baskol!$C$515)</f>
        <v/>
      </c>
      <c r="V512">
        <f>IF([2]Baskol!$D$515="","",[2]Baskol!$D$515)</f>
        <v/>
      </c>
      <c r="W512">
        <f>IF([2]Baskol!$E$515="","",[2]Baskol!$E$515)</f>
        <v/>
      </c>
      <c r="X512">
        <f>IF([2]Baskol!$G$515="","",[2]Baskol!$G$515)</f>
        <v/>
      </c>
      <c r="Y512">
        <f>IF([2]Baskol!$I$515="","",[2]Baskol!$I$515)</f>
        <v/>
      </c>
      <c r="Z512">
        <f>IF([2]Baskol!$J$515="","",[2]Baskol!$J$515)</f>
        <v/>
      </c>
      <c r="AA512">
        <f>IF([2]Baskol!$K$515="","",[2]Baskol!$K$515)</f>
        <v/>
      </c>
      <c r="AB512">
        <f>IF([2]Baskol!$L$515="","",[2]Baskol!$L$515)</f>
        <v/>
      </c>
      <c r="AC512">
        <f>IF([2]Baskol!$N$515="","",[2]Baskol!$N$515)</f>
        <v/>
      </c>
      <c r="AD512">
        <f>IF([2]Baskol!$O$515="","",[2]Baskol!$O$515)</f>
        <v/>
      </c>
      <c r="AE512">
        <f>IF([3]Entry!$C$515="","",[3]Entry!$C$515)</f>
        <v/>
      </c>
      <c r="AF512">
        <f>IF([3]Entry!$D$515="","",[3]Entry!$D$515)</f>
        <v/>
      </c>
      <c r="AG512">
        <f>IF([3]Entry!$E$515="","",[3]Entry!$E$515)</f>
        <v/>
      </c>
      <c r="AH512">
        <f>IF([3]Entry!$G$515="","",[3]Entry!$G$515)</f>
        <v/>
      </c>
      <c r="AI512">
        <f>IF([3]Entry!$K$515="","",[3]Entry!$K$515)</f>
        <v/>
      </c>
      <c r="AJ512">
        <f>IF([3]Entry!$L$515="","",[3]Entry!$L$515)</f>
        <v/>
      </c>
      <c r="AK512">
        <f>IF([3]Entry!$M$515="","",[3]Entry!$M$515)</f>
        <v/>
      </c>
      <c r="AL512">
        <f>IF([3]Entry!$N$515="","",[3]Entry!$N$515)</f>
        <v/>
      </c>
      <c r="AM512">
        <f>IF([3]Entry!$R$515="","",[3]Entry!$R$515)</f>
        <v/>
      </c>
    </row>
    <row r="513">
      <c r="A513">
        <f>IF([1]Accounts!$D$514="","",[1]Accounts!$A$514)</f>
        <v/>
      </c>
      <c r="B513">
        <f>IF([1]Accounts!$D$514="","",[1]Accounts!$B$514)</f>
        <v/>
      </c>
      <c r="C513">
        <f>IF([1]Accounts!$D$514="","",[1]Accounts!$C$514)</f>
        <v/>
      </c>
      <c r="D513">
        <f>IF([1]Accounts!$D$514="","",[1]Accounts!$D$514)</f>
        <v/>
      </c>
      <c r="E513">
        <f>IF([1]Accounts!$D$514="","",[1]Accounts!$E$514)</f>
        <v/>
      </c>
      <c r="F513">
        <f>IF([1]Accounts!$D$514="","",[1]Accounts!$F$514)</f>
        <v/>
      </c>
      <c r="G513">
        <f>IF([1]Accounts!$D$514="","",[1]Accounts!$G$514)</f>
        <v/>
      </c>
      <c r="T513">
        <f>IF([2]Baskol!$B$516="","",[2]Baskol!$B$516)</f>
        <v/>
      </c>
      <c r="U513">
        <f>IF([2]Baskol!$C$516="","",[2]Baskol!$C$516)</f>
        <v/>
      </c>
      <c r="V513">
        <f>IF([2]Baskol!$D$516="","",[2]Baskol!$D$516)</f>
        <v/>
      </c>
      <c r="W513">
        <f>IF([2]Baskol!$E$516="","",[2]Baskol!$E$516)</f>
        <v/>
      </c>
      <c r="X513">
        <f>IF([2]Baskol!$G$516="","",[2]Baskol!$G$516)</f>
        <v/>
      </c>
      <c r="Y513">
        <f>IF([2]Baskol!$I$516="","",[2]Baskol!$I$516)</f>
        <v/>
      </c>
      <c r="Z513">
        <f>IF([2]Baskol!$J$516="","",[2]Baskol!$J$516)</f>
        <v/>
      </c>
      <c r="AA513">
        <f>IF([2]Baskol!$K$516="","",[2]Baskol!$K$516)</f>
        <v/>
      </c>
      <c r="AB513">
        <f>IF([2]Baskol!$L$516="","",[2]Baskol!$L$516)</f>
        <v/>
      </c>
      <c r="AC513">
        <f>IF([2]Baskol!$N$516="","",[2]Baskol!$N$516)</f>
        <v/>
      </c>
      <c r="AD513">
        <f>IF([2]Baskol!$O$516="","",[2]Baskol!$O$516)</f>
        <v/>
      </c>
      <c r="AE513">
        <f>IF([3]Entry!$C$516="","",[3]Entry!$C$516)</f>
        <v/>
      </c>
      <c r="AF513">
        <f>IF([3]Entry!$D$516="","",[3]Entry!$D$516)</f>
        <v/>
      </c>
      <c r="AG513">
        <f>IF([3]Entry!$E$516="","",[3]Entry!$E$516)</f>
        <v/>
      </c>
      <c r="AH513">
        <f>IF([3]Entry!$G$516="","",[3]Entry!$G$516)</f>
        <v/>
      </c>
      <c r="AI513">
        <f>IF([3]Entry!$K$516="","",[3]Entry!$K$516)</f>
        <v/>
      </c>
      <c r="AJ513">
        <f>IF([3]Entry!$L$516="","",[3]Entry!$L$516)</f>
        <v/>
      </c>
      <c r="AK513">
        <f>IF([3]Entry!$M$516="","",[3]Entry!$M$516)</f>
        <v/>
      </c>
      <c r="AL513">
        <f>IF([3]Entry!$N$516="","",[3]Entry!$N$516)</f>
        <v/>
      </c>
      <c r="AM513">
        <f>IF([3]Entry!$R$516="","",[3]Entry!$R$516)</f>
        <v/>
      </c>
    </row>
    <row r="514">
      <c r="A514">
        <f>IF([1]Accounts!$D$515="","",[1]Accounts!$A$515)</f>
        <v/>
      </c>
      <c r="B514">
        <f>IF([1]Accounts!$D$515="","",[1]Accounts!$B$515)</f>
        <v/>
      </c>
      <c r="C514">
        <f>IF([1]Accounts!$D$515="","",[1]Accounts!$C$515)</f>
        <v/>
      </c>
      <c r="D514">
        <f>IF([1]Accounts!$D$515="","",[1]Accounts!$D$515)</f>
        <v/>
      </c>
      <c r="E514">
        <f>IF([1]Accounts!$D$515="","",[1]Accounts!$E$515)</f>
        <v/>
      </c>
      <c r="F514">
        <f>IF([1]Accounts!$D$515="","",[1]Accounts!$F$515)</f>
        <v/>
      </c>
      <c r="G514">
        <f>IF([1]Accounts!$D$515="","",[1]Accounts!$G$515)</f>
        <v/>
      </c>
      <c r="T514">
        <f>IF([2]Baskol!$B$517="","",[2]Baskol!$B$517)</f>
        <v/>
      </c>
      <c r="U514">
        <f>IF([2]Baskol!$C$517="","",[2]Baskol!$C$517)</f>
        <v/>
      </c>
      <c r="V514">
        <f>IF([2]Baskol!$D$517="","",[2]Baskol!$D$517)</f>
        <v/>
      </c>
      <c r="W514">
        <f>IF([2]Baskol!$E$517="","",[2]Baskol!$E$517)</f>
        <v/>
      </c>
      <c r="X514">
        <f>IF([2]Baskol!$G$517="","",[2]Baskol!$G$517)</f>
        <v/>
      </c>
      <c r="Y514">
        <f>IF([2]Baskol!$I$517="","",[2]Baskol!$I$517)</f>
        <v/>
      </c>
      <c r="Z514">
        <f>IF([2]Baskol!$J$517="","",[2]Baskol!$J$517)</f>
        <v/>
      </c>
      <c r="AA514">
        <f>IF([2]Baskol!$K$517="","",[2]Baskol!$K$517)</f>
        <v/>
      </c>
      <c r="AB514">
        <f>IF([2]Baskol!$L$517="","",[2]Baskol!$L$517)</f>
        <v/>
      </c>
      <c r="AC514">
        <f>IF([2]Baskol!$N$517="","",[2]Baskol!$N$517)</f>
        <v/>
      </c>
      <c r="AD514">
        <f>IF([2]Baskol!$O$517="","",[2]Baskol!$O$517)</f>
        <v/>
      </c>
      <c r="AE514">
        <f>IF([3]Entry!$C$517="","",[3]Entry!$C$517)</f>
        <v/>
      </c>
      <c r="AF514">
        <f>IF([3]Entry!$D$517="","",[3]Entry!$D$517)</f>
        <v/>
      </c>
      <c r="AG514">
        <f>IF([3]Entry!$E$517="","",[3]Entry!$E$517)</f>
        <v/>
      </c>
      <c r="AH514">
        <f>IF([3]Entry!$G$517="","",[3]Entry!$G$517)</f>
        <v/>
      </c>
      <c r="AI514">
        <f>IF([3]Entry!$K$517="","",[3]Entry!$K$517)</f>
        <v/>
      </c>
      <c r="AJ514">
        <f>IF([3]Entry!$L$517="","",[3]Entry!$L$517)</f>
        <v/>
      </c>
      <c r="AK514">
        <f>IF([3]Entry!$M$517="","",[3]Entry!$M$517)</f>
        <v/>
      </c>
      <c r="AL514">
        <f>IF([3]Entry!$N$517="","",[3]Entry!$N$517)</f>
        <v/>
      </c>
      <c r="AM514">
        <f>IF([3]Entry!$R$517="","",[3]Entry!$R$517)</f>
        <v/>
      </c>
    </row>
    <row r="515">
      <c r="A515">
        <f>IF([1]Accounts!$D$516="","",[1]Accounts!$A$516)</f>
        <v/>
      </c>
      <c r="B515">
        <f>IF([1]Accounts!$D$516="","",[1]Accounts!$B$516)</f>
        <v/>
      </c>
      <c r="C515">
        <f>IF([1]Accounts!$D$516="","",[1]Accounts!$C$516)</f>
        <v/>
      </c>
      <c r="D515">
        <f>IF([1]Accounts!$D$516="","",[1]Accounts!$D$516)</f>
        <v/>
      </c>
      <c r="E515">
        <f>IF([1]Accounts!$D$516="","",[1]Accounts!$E$516)</f>
        <v/>
      </c>
      <c r="F515">
        <f>IF([1]Accounts!$D$516="","",[1]Accounts!$F$516)</f>
        <v/>
      </c>
      <c r="G515">
        <f>IF([1]Accounts!$D$516="","",[1]Accounts!$G$516)</f>
        <v/>
      </c>
      <c r="T515">
        <f>IF([2]Baskol!$B$518="","",[2]Baskol!$B$518)</f>
        <v/>
      </c>
      <c r="U515">
        <f>IF([2]Baskol!$C$518="","",[2]Baskol!$C$518)</f>
        <v/>
      </c>
      <c r="V515">
        <f>IF([2]Baskol!$D$518="","",[2]Baskol!$D$518)</f>
        <v/>
      </c>
      <c r="W515">
        <f>IF([2]Baskol!$E$518="","",[2]Baskol!$E$518)</f>
        <v/>
      </c>
      <c r="X515">
        <f>IF([2]Baskol!$G$518="","",[2]Baskol!$G$518)</f>
        <v/>
      </c>
      <c r="Y515">
        <f>IF([2]Baskol!$I$518="","",[2]Baskol!$I$518)</f>
        <v/>
      </c>
      <c r="Z515">
        <f>IF([2]Baskol!$J$518="","",[2]Baskol!$J$518)</f>
        <v/>
      </c>
      <c r="AA515">
        <f>IF([2]Baskol!$K$518="","",[2]Baskol!$K$518)</f>
        <v/>
      </c>
      <c r="AB515">
        <f>IF([2]Baskol!$L$518="","",[2]Baskol!$L$518)</f>
        <v/>
      </c>
      <c r="AC515">
        <f>IF([2]Baskol!$N$518="","",[2]Baskol!$N$518)</f>
        <v/>
      </c>
      <c r="AD515">
        <f>IF([2]Baskol!$O$518="","",[2]Baskol!$O$518)</f>
        <v/>
      </c>
      <c r="AE515">
        <f>IF([3]Entry!$C$518="","",[3]Entry!$C$518)</f>
        <v/>
      </c>
      <c r="AF515">
        <f>IF([3]Entry!$D$518="","",[3]Entry!$D$518)</f>
        <v/>
      </c>
      <c r="AG515">
        <f>IF([3]Entry!$E$518="","",[3]Entry!$E$518)</f>
        <v/>
      </c>
      <c r="AH515">
        <f>IF([3]Entry!$G$518="","",[3]Entry!$G$518)</f>
        <v/>
      </c>
      <c r="AI515">
        <f>IF([3]Entry!$K$518="","",[3]Entry!$K$518)</f>
        <v/>
      </c>
      <c r="AJ515">
        <f>IF([3]Entry!$L$518="","",[3]Entry!$L$518)</f>
        <v/>
      </c>
      <c r="AK515">
        <f>IF([3]Entry!$M$518="","",[3]Entry!$M$518)</f>
        <v/>
      </c>
      <c r="AL515">
        <f>IF([3]Entry!$N$518="","",[3]Entry!$N$518)</f>
        <v/>
      </c>
      <c r="AM515">
        <f>IF([3]Entry!$R$518="","",[3]Entry!$R$518)</f>
        <v/>
      </c>
    </row>
    <row r="516">
      <c r="A516">
        <f>IF([1]Accounts!$D$517="","",[1]Accounts!$A$517)</f>
        <v/>
      </c>
      <c r="B516">
        <f>IF([1]Accounts!$D$517="","",[1]Accounts!$B$517)</f>
        <v/>
      </c>
      <c r="C516">
        <f>IF([1]Accounts!$D$517="","",[1]Accounts!$C$517)</f>
        <v/>
      </c>
      <c r="D516">
        <f>IF([1]Accounts!$D$517="","",[1]Accounts!$D$517)</f>
        <v/>
      </c>
      <c r="E516">
        <f>IF([1]Accounts!$D$517="","",[1]Accounts!$E$517)</f>
        <v/>
      </c>
      <c r="F516">
        <f>IF([1]Accounts!$D$517="","",[1]Accounts!$F$517)</f>
        <v/>
      </c>
      <c r="G516">
        <f>IF([1]Accounts!$D$517="","",[1]Accounts!$G$517)</f>
        <v/>
      </c>
      <c r="T516">
        <f>IF([2]Baskol!$B$519="","",[2]Baskol!$B$519)</f>
        <v/>
      </c>
      <c r="U516">
        <f>IF([2]Baskol!$C$519="","",[2]Baskol!$C$519)</f>
        <v/>
      </c>
      <c r="V516">
        <f>IF([2]Baskol!$D$519="","",[2]Baskol!$D$519)</f>
        <v/>
      </c>
      <c r="W516">
        <f>IF([2]Baskol!$E$519="","",[2]Baskol!$E$519)</f>
        <v/>
      </c>
      <c r="X516">
        <f>IF([2]Baskol!$G$519="","",[2]Baskol!$G$519)</f>
        <v/>
      </c>
      <c r="Y516">
        <f>IF([2]Baskol!$I$519="","",[2]Baskol!$I$519)</f>
        <v/>
      </c>
      <c r="Z516">
        <f>IF([2]Baskol!$J$519="","",[2]Baskol!$J$519)</f>
        <v/>
      </c>
      <c r="AA516">
        <f>IF([2]Baskol!$K$519="","",[2]Baskol!$K$519)</f>
        <v/>
      </c>
      <c r="AB516">
        <f>IF([2]Baskol!$L$519="","",[2]Baskol!$L$519)</f>
        <v/>
      </c>
      <c r="AC516">
        <f>IF([2]Baskol!$N$519="","",[2]Baskol!$N$519)</f>
        <v/>
      </c>
      <c r="AD516">
        <f>IF([2]Baskol!$O$519="","",[2]Baskol!$O$519)</f>
        <v/>
      </c>
      <c r="AE516">
        <f>IF([3]Entry!$C$519="","",[3]Entry!$C$519)</f>
        <v/>
      </c>
      <c r="AF516">
        <f>IF([3]Entry!$D$519="","",[3]Entry!$D$519)</f>
        <v/>
      </c>
      <c r="AG516">
        <f>IF([3]Entry!$E$519="","",[3]Entry!$E$519)</f>
        <v/>
      </c>
      <c r="AH516">
        <f>IF([3]Entry!$G$519="","",[3]Entry!$G$519)</f>
        <v/>
      </c>
      <c r="AI516">
        <f>IF([3]Entry!$K$519="","",[3]Entry!$K$519)</f>
        <v/>
      </c>
      <c r="AJ516">
        <f>IF([3]Entry!$L$519="","",[3]Entry!$L$519)</f>
        <v/>
      </c>
      <c r="AK516">
        <f>IF([3]Entry!$M$519="","",[3]Entry!$M$519)</f>
        <v/>
      </c>
      <c r="AL516">
        <f>IF([3]Entry!$N$519="","",[3]Entry!$N$519)</f>
        <v/>
      </c>
      <c r="AM516">
        <f>IF([3]Entry!$R$519="","",[3]Entry!$R$519)</f>
        <v/>
      </c>
    </row>
    <row r="517">
      <c r="A517">
        <f>IF([1]Accounts!$D$518="","",[1]Accounts!$A$518)</f>
        <v/>
      </c>
      <c r="B517">
        <f>IF([1]Accounts!$D$518="","",[1]Accounts!$B$518)</f>
        <v/>
      </c>
      <c r="C517">
        <f>IF([1]Accounts!$D$518="","",[1]Accounts!$C$518)</f>
        <v/>
      </c>
      <c r="D517">
        <f>IF([1]Accounts!$D$518="","",[1]Accounts!$D$518)</f>
        <v/>
      </c>
      <c r="E517">
        <f>IF([1]Accounts!$D$518="","",[1]Accounts!$E$518)</f>
        <v/>
      </c>
      <c r="F517">
        <f>IF([1]Accounts!$D$518="","",[1]Accounts!$F$518)</f>
        <v/>
      </c>
      <c r="G517">
        <f>IF([1]Accounts!$D$518="","",[1]Accounts!$G$518)</f>
        <v/>
      </c>
      <c r="T517">
        <f>IF([2]Baskol!$B$520="","",[2]Baskol!$B$520)</f>
        <v/>
      </c>
      <c r="U517">
        <f>IF([2]Baskol!$C$520="","",[2]Baskol!$C$520)</f>
        <v/>
      </c>
      <c r="V517">
        <f>IF([2]Baskol!$D$520="","",[2]Baskol!$D$520)</f>
        <v/>
      </c>
      <c r="W517">
        <f>IF([2]Baskol!$E$520="","",[2]Baskol!$E$520)</f>
        <v/>
      </c>
      <c r="X517">
        <f>IF([2]Baskol!$G$520="","",[2]Baskol!$G$520)</f>
        <v/>
      </c>
      <c r="Y517">
        <f>IF([2]Baskol!$I$520="","",[2]Baskol!$I$520)</f>
        <v/>
      </c>
      <c r="Z517">
        <f>IF([2]Baskol!$J$520="","",[2]Baskol!$J$520)</f>
        <v/>
      </c>
      <c r="AA517">
        <f>IF([2]Baskol!$K$520="","",[2]Baskol!$K$520)</f>
        <v/>
      </c>
      <c r="AB517">
        <f>IF([2]Baskol!$L$520="","",[2]Baskol!$L$520)</f>
        <v/>
      </c>
      <c r="AC517">
        <f>IF([2]Baskol!$N$520="","",[2]Baskol!$N$520)</f>
        <v/>
      </c>
      <c r="AD517">
        <f>IF([2]Baskol!$O$520="","",[2]Baskol!$O$520)</f>
        <v/>
      </c>
      <c r="AE517">
        <f>IF([3]Entry!$C$520="","",[3]Entry!$C$520)</f>
        <v/>
      </c>
      <c r="AF517">
        <f>IF([3]Entry!$D$520="","",[3]Entry!$D$520)</f>
        <v/>
      </c>
      <c r="AG517">
        <f>IF([3]Entry!$E$520="","",[3]Entry!$E$520)</f>
        <v/>
      </c>
      <c r="AH517">
        <f>IF([3]Entry!$G$520="","",[3]Entry!$G$520)</f>
        <v/>
      </c>
      <c r="AI517">
        <f>IF([3]Entry!$K$520="","",[3]Entry!$K$520)</f>
        <v/>
      </c>
      <c r="AJ517">
        <f>IF([3]Entry!$L$520="","",[3]Entry!$L$520)</f>
        <v/>
      </c>
      <c r="AK517">
        <f>IF([3]Entry!$M$520="","",[3]Entry!$M$520)</f>
        <v/>
      </c>
      <c r="AL517">
        <f>IF([3]Entry!$N$520="","",[3]Entry!$N$520)</f>
        <v/>
      </c>
      <c r="AM517">
        <f>IF([3]Entry!$R$520="","",[3]Entry!$R$520)</f>
        <v/>
      </c>
    </row>
    <row r="518">
      <c r="A518">
        <f>IF([1]Accounts!$D$519="","",[1]Accounts!$A$519)</f>
        <v/>
      </c>
      <c r="B518">
        <f>IF([1]Accounts!$D$519="","",[1]Accounts!$B$519)</f>
        <v/>
      </c>
      <c r="C518">
        <f>IF([1]Accounts!$D$519="","",[1]Accounts!$C$519)</f>
        <v/>
      </c>
      <c r="D518">
        <f>IF([1]Accounts!$D$519="","",[1]Accounts!$D$519)</f>
        <v/>
      </c>
      <c r="E518">
        <f>IF([1]Accounts!$D$519="","",[1]Accounts!$E$519)</f>
        <v/>
      </c>
      <c r="F518">
        <f>IF([1]Accounts!$D$519="","",[1]Accounts!$F$519)</f>
        <v/>
      </c>
      <c r="G518">
        <f>IF([1]Accounts!$D$519="","",[1]Accounts!$G$519)</f>
        <v/>
      </c>
      <c r="T518">
        <f>IF([2]Baskol!$B$521="","",[2]Baskol!$B$521)</f>
        <v/>
      </c>
      <c r="U518">
        <f>IF([2]Baskol!$C$521="","",[2]Baskol!$C$521)</f>
        <v/>
      </c>
      <c r="V518">
        <f>IF([2]Baskol!$D$521="","",[2]Baskol!$D$521)</f>
        <v/>
      </c>
      <c r="W518">
        <f>IF([2]Baskol!$E$521="","",[2]Baskol!$E$521)</f>
        <v/>
      </c>
      <c r="X518">
        <f>IF([2]Baskol!$G$521="","",[2]Baskol!$G$521)</f>
        <v/>
      </c>
      <c r="Y518">
        <f>IF([2]Baskol!$I$521="","",[2]Baskol!$I$521)</f>
        <v/>
      </c>
      <c r="Z518">
        <f>IF([2]Baskol!$J$521="","",[2]Baskol!$J$521)</f>
        <v/>
      </c>
      <c r="AA518">
        <f>IF([2]Baskol!$K$521="","",[2]Baskol!$K$521)</f>
        <v/>
      </c>
      <c r="AB518">
        <f>IF([2]Baskol!$L$521="","",[2]Baskol!$L$521)</f>
        <v/>
      </c>
      <c r="AC518">
        <f>IF([2]Baskol!$N$521="","",[2]Baskol!$N$521)</f>
        <v/>
      </c>
      <c r="AD518">
        <f>IF([2]Baskol!$O$521="","",[2]Baskol!$O$521)</f>
        <v/>
      </c>
      <c r="AE518">
        <f>IF([3]Entry!$C$521="","",[3]Entry!$C$521)</f>
        <v/>
      </c>
      <c r="AF518">
        <f>IF([3]Entry!$D$521="","",[3]Entry!$D$521)</f>
        <v/>
      </c>
      <c r="AG518">
        <f>IF([3]Entry!$E$521="","",[3]Entry!$E$521)</f>
        <v/>
      </c>
      <c r="AH518">
        <f>IF([3]Entry!$G$521="","",[3]Entry!$G$521)</f>
        <v/>
      </c>
      <c r="AI518">
        <f>IF([3]Entry!$K$521="","",[3]Entry!$K$521)</f>
        <v/>
      </c>
      <c r="AJ518">
        <f>IF([3]Entry!$L$521="","",[3]Entry!$L$521)</f>
        <v/>
      </c>
      <c r="AK518">
        <f>IF([3]Entry!$M$521="","",[3]Entry!$M$521)</f>
        <v/>
      </c>
      <c r="AL518">
        <f>IF([3]Entry!$N$521="","",[3]Entry!$N$521)</f>
        <v/>
      </c>
      <c r="AM518">
        <f>IF([3]Entry!$R$521="","",[3]Entry!$R$521)</f>
        <v/>
      </c>
    </row>
    <row r="519">
      <c r="A519">
        <f>IF([1]Accounts!$D$520="","",[1]Accounts!$A$520)</f>
        <v/>
      </c>
      <c r="B519">
        <f>IF([1]Accounts!$D$520="","",[1]Accounts!$B$520)</f>
        <v/>
      </c>
      <c r="C519">
        <f>IF([1]Accounts!$D$520="","",[1]Accounts!$C$520)</f>
        <v/>
      </c>
      <c r="D519">
        <f>IF([1]Accounts!$D$520="","",[1]Accounts!$D$520)</f>
        <v/>
      </c>
      <c r="E519">
        <f>IF([1]Accounts!$D$520="","",[1]Accounts!$E$520)</f>
        <v/>
      </c>
      <c r="F519">
        <f>IF([1]Accounts!$D$520="","",[1]Accounts!$F$520)</f>
        <v/>
      </c>
      <c r="G519">
        <f>IF([1]Accounts!$D$520="","",[1]Accounts!$G$520)</f>
        <v/>
      </c>
      <c r="T519">
        <f>IF([2]Baskol!$B$522="","",[2]Baskol!$B$522)</f>
        <v/>
      </c>
      <c r="U519">
        <f>IF([2]Baskol!$C$522="","",[2]Baskol!$C$522)</f>
        <v/>
      </c>
      <c r="V519">
        <f>IF([2]Baskol!$D$522="","",[2]Baskol!$D$522)</f>
        <v/>
      </c>
      <c r="W519">
        <f>IF([2]Baskol!$E$522="","",[2]Baskol!$E$522)</f>
        <v/>
      </c>
      <c r="X519">
        <f>IF([2]Baskol!$G$522="","",[2]Baskol!$G$522)</f>
        <v/>
      </c>
      <c r="Y519">
        <f>IF([2]Baskol!$I$522="","",[2]Baskol!$I$522)</f>
        <v/>
      </c>
      <c r="Z519">
        <f>IF([2]Baskol!$J$522="","",[2]Baskol!$J$522)</f>
        <v/>
      </c>
      <c r="AA519">
        <f>IF([2]Baskol!$K$522="","",[2]Baskol!$K$522)</f>
        <v/>
      </c>
      <c r="AB519">
        <f>IF([2]Baskol!$L$522="","",[2]Baskol!$L$522)</f>
        <v/>
      </c>
      <c r="AC519">
        <f>IF([2]Baskol!$N$522="","",[2]Baskol!$N$522)</f>
        <v/>
      </c>
      <c r="AD519">
        <f>IF([2]Baskol!$O$522="","",[2]Baskol!$O$522)</f>
        <v/>
      </c>
      <c r="AE519">
        <f>IF([3]Entry!$C$522="","",[3]Entry!$C$522)</f>
        <v/>
      </c>
      <c r="AF519">
        <f>IF([3]Entry!$D$522="","",[3]Entry!$D$522)</f>
        <v/>
      </c>
      <c r="AG519">
        <f>IF([3]Entry!$E$522="","",[3]Entry!$E$522)</f>
        <v/>
      </c>
      <c r="AH519">
        <f>IF([3]Entry!$G$522="","",[3]Entry!$G$522)</f>
        <v/>
      </c>
      <c r="AI519">
        <f>IF([3]Entry!$K$522="","",[3]Entry!$K$522)</f>
        <v/>
      </c>
      <c r="AJ519">
        <f>IF([3]Entry!$L$522="","",[3]Entry!$L$522)</f>
        <v/>
      </c>
      <c r="AK519">
        <f>IF([3]Entry!$M$522="","",[3]Entry!$M$522)</f>
        <v/>
      </c>
      <c r="AL519">
        <f>IF([3]Entry!$N$522="","",[3]Entry!$N$522)</f>
        <v/>
      </c>
      <c r="AM519">
        <f>IF([3]Entry!$R$522="","",[3]Entry!$R$522)</f>
        <v/>
      </c>
    </row>
    <row r="520">
      <c r="A520">
        <f>IF([1]Accounts!$D$521="","",[1]Accounts!$A$521)</f>
        <v/>
      </c>
      <c r="B520">
        <f>IF([1]Accounts!$D$521="","",[1]Accounts!$B$521)</f>
        <v/>
      </c>
      <c r="C520">
        <f>IF([1]Accounts!$D$521="","",[1]Accounts!$C$521)</f>
        <v/>
      </c>
      <c r="D520">
        <f>IF([1]Accounts!$D$521="","",[1]Accounts!$D$521)</f>
        <v/>
      </c>
      <c r="E520">
        <f>IF([1]Accounts!$D$521="","",[1]Accounts!$E$521)</f>
        <v/>
      </c>
      <c r="F520">
        <f>IF([1]Accounts!$D$521="","",[1]Accounts!$F$521)</f>
        <v/>
      </c>
      <c r="G520">
        <f>IF([1]Accounts!$D$521="","",[1]Accounts!$G$521)</f>
        <v/>
      </c>
      <c r="T520">
        <f>IF([2]Baskol!$B$523="","",[2]Baskol!$B$523)</f>
        <v/>
      </c>
      <c r="U520">
        <f>IF([2]Baskol!$C$523="","",[2]Baskol!$C$523)</f>
        <v/>
      </c>
      <c r="V520">
        <f>IF([2]Baskol!$D$523="","",[2]Baskol!$D$523)</f>
        <v/>
      </c>
      <c r="W520">
        <f>IF([2]Baskol!$E$523="","",[2]Baskol!$E$523)</f>
        <v/>
      </c>
      <c r="X520">
        <f>IF([2]Baskol!$G$523="","",[2]Baskol!$G$523)</f>
        <v/>
      </c>
      <c r="Y520">
        <f>IF([2]Baskol!$I$523="","",[2]Baskol!$I$523)</f>
        <v/>
      </c>
      <c r="Z520">
        <f>IF([2]Baskol!$J$523="","",[2]Baskol!$J$523)</f>
        <v/>
      </c>
      <c r="AA520">
        <f>IF([2]Baskol!$K$523="","",[2]Baskol!$K$523)</f>
        <v/>
      </c>
      <c r="AB520">
        <f>IF([2]Baskol!$L$523="","",[2]Baskol!$L$523)</f>
        <v/>
      </c>
      <c r="AC520">
        <f>IF([2]Baskol!$N$523="","",[2]Baskol!$N$523)</f>
        <v/>
      </c>
      <c r="AD520">
        <f>IF([2]Baskol!$O$523="","",[2]Baskol!$O$523)</f>
        <v/>
      </c>
      <c r="AE520">
        <f>IF([3]Entry!$C$523="","",[3]Entry!$C$523)</f>
        <v/>
      </c>
      <c r="AF520">
        <f>IF([3]Entry!$D$523="","",[3]Entry!$D$523)</f>
        <v/>
      </c>
      <c r="AG520">
        <f>IF([3]Entry!$E$523="","",[3]Entry!$E$523)</f>
        <v/>
      </c>
      <c r="AH520">
        <f>IF([3]Entry!$G$523="","",[3]Entry!$G$523)</f>
        <v/>
      </c>
      <c r="AI520">
        <f>IF([3]Entry!$K$523="","",[3]Entry!$K$523)</f>
        <v/>
      </c>
      <c r="AJ520">
        <f>IF([3]Entry!$L$523="","",[3]Entry!$L$523)</f>
        <v/>
      </c>
      <c r="AK520">
        <f>IF([3]Entry!$M$523="","",[3]Entry!$M$523)</f>
        <v/>
      </c>
      <c r="AL520">
        <f>IF([3]Entry!$N$523="","",[3]Entry!$N$523)</f>
        <v/>
      </c>
      <c r="AM520">
        <f>IF([3]Entry!$R$523="","",[3]Entry!$R$523)</f>
        <v/>
      </c>
    </row>
    <row r="521">
      <c r="A521">
        <f>IF([1]Accounts!$D$522="","",[1]Accounts!$A$522)</f>
        <v/>
      </c>
      <c r="B521">
        <f>IF([1]Accounts!$D$522="","",[1]Accounts!$B$522)</f>
        <v/>
      </c>
      <c r="C521">
        <f>IF([1]Accounts!$D$522="","",[1]Accounts!$C$522)</f>
        <v/>
      </c>
      <c r="D521">
        <f>IF([1]Accounts!$D$522="","",[1]Accounts!$D$522)</f>
        <v/>
      </c>
      <c r="E521">
        <f>IF([1]Accounts!$D$522="","",[1]Accounts!$E$522)</f>
        <v/>
      </c>
      <c r="F521">
        <f>IF([1]Accounts!$D$522="","",[1]Accounts!$F$522)</f>
        <v/>
      </c>
      <c r="G521">
        <f>IF([1]Accounts!$D$522="","",[1]Accounts!$G$522)</f>
        <v/>
      </c>
      <c r="T521">
        <f>IF([2]Baskol!$B$524="","",[2]Baskol!$B$524)</f>
        <v/>
      </c>
      <c r="U521">
        <f>IF([2]Baskol!$C$524="","",[2]Baskol!$C$524)</f>
        <v/>
      </c>
      <c r="V521">
        <f>IF([2]Baskol!$D$524="","",[2]Baskol!$D$524)</f>
        <v/>
      </c>
      <c r="W521">
        <f>IF([2]Baskol!$E$524="","",[2]Baskol!$E$524)</f>
        <v/>
      </c>
      <c r="X521">
        <f>IF([2]Baskol!$G$524="","",[2]Baskol!$G$524)</f>
        <v/>
      </c>
      <c r="Y521">
        <f>IF([2]Baskol!$I$524="","",[2]Baskol!$I$524)</f>
        <v/>
      </c>
      <c r="Z521">
        <f>IF([2]Baskol!$J$524="","",[2]Baskol!$J$524)</f>
        <v/>
      </c>
      <c r="AA521">
        <f>IF([2]Baskol!$K$524="","",[2]Baskol!$K$524)</f>
        <v/>
      </c>
      <c r="AB521">
        <f>IF([2]Baskol!$L$524="","",[2]Baskol!$L$524)</f>
        <v/>
      </c>
      <c r="AC521">
        <f>IF([2]Baskol!$N$524="","",[2]Baskol!$N$524)</f>
        <v/>
      </c>
      <c r="AD521">
        <f>IF([2]Baskol!$O$524="","",[2]Baskol!$O$524)</f>
        <v/>
      </c>
      <c r="AE521">
        <f>IF([3]Entry!$C$524="","",[3]Entry!$C$524)</f>
        <v/>
      </c>
      <c r="AF521">
        <f>IF([3]Entry!$D$524="","",[3]Entry!$D$524)</f>
        <v/>
      </c>
      <c r="AG521">
        <f>IF([3]Entry!$E$524="","",[3]Entry!$E$524)</f>
        <v/>
      </c>
      <c r="AH521">
        <f>IF([3]Entry!$G$524="","",[3]Entry!$G$524)</f>
        <v/>
      </c>
      <c r="AI521">
        <f>IF([3]Entry!$K$524="","",[3]Entry!$K$524)</f>
        <v/>
      </c>
      <c r="AJ521">
        <f>IF([3]Entry!$L$524="","",[3]Entry!$L$524)</f>
        <v/>
      </c>
      <c r="AK521">
        <f>IF([3]Entry!$M$524="","",[3]Entry!$M$524)</f>
        <v/>
      </c>
      <c r="AL521">
        <f>IF([3]Entry!$N$524="","",[3]Entry!$N$524)</f>
        <v/>
      </c>
      <c r="AM521">
        <f>IF([3]Entry!$R$524="","",[3]Entry!$R$524)</f>
        <v/>
      </c>
    </row>
    <row r="522">
      <c r="A522">
        <f>IF([1]Accounts!$D$523="","",[1]Accounts!$A$523)</f>
        <v/>
      </c>
      <c r="B522">
        <f>IF([1]Accounts!$D$523="","",[1]Accounts!$B$523)</f>
        <v/>
      </c>
      <c r="C522">
        <f>IF([1]Accounts!$D$523="","",[1]Accounts!$C$523)</f>
        <v/>
      </c>
      <c r="D522">
        <f>IF([1]Accounts!$D$523="","",[1]Accounts!$D$523)</f>
        <v/>
      </c>
      <c r="E522">
        <f>IF([1]Accounts!$D$523="","",[1]Accounts!$E$523)</f>
        <v/>
      </c>
      <c r="F522">
        <f>IF([1]Accounts!$D$523="","",[1]Accounts!$F$523)</f>
        <v/>
      </c>
      <c r="G522">
        <f>IF([1]Accounts!$D$523="","",[1]Accounts!$G$523)</f>
        <v/>
      </c>
      <c r="T522">
        <f>IF([2]Baskol!$B$525="","",[2]Baskol!$B$525)</f>
        <v/>
      </c>
      <c r="U522">
        <f>IF([2]Baskol!$C$525="","",[2]Baskol!$C$525)</f>
        <v/>
      </c>
      <c r="V522">
        <f>IF([2]Baskol!$D$525="","",[2]Baskol!$D$525)</f>
        <v/>
      </c>
      <c r="W522">
        <f>IF([2]Baskol!$E$525="","",[2]Baskol!$E$525)</f>
        <v/>
      </c>
      <c r="X522">
        <f>IF([2]Baskol!$G$525="","",[2]Baskol!$G$525)</f>
        <v/>
      </c>
      <c r="Y522">
        <f>IF([2]Baskol!$I$525="","",[2]Baskol!$I$525)</f>
        <v/>
      </c>
      <c r="Z522">
        <f>IF([2]Baskol!$J$525="","",[2]Baskol!$J$525)</f>
        <v/>
      </c>
      <c r="AA522">
        <f>IF([2]Baskol!$K$525="","",[2]Baskol!$K$525)</f>
        <v/>
      </c>
      <c r="AB522">
        <f>IF([2]Baskol!$L$525="","",[2]Baskol!$L$525)</f>
        <v/>
      </c>
      <c r="AC522">
        <f>IF([2]Baskol!$N$525="","",[2]Baskol!$N$525)</f>
        <v/>
      </c>
      <c r="AD522">
        <f>IF([2]Baskol!$O$525="","",[2]Baskol!$O$525)</f>
        <v/>
      </c>
      <c r="AE522">
        <f>IF([3]Entry!$C$525="","",[3]Entry!$C$525)</f>
        <v/>
      </c>
      <c r="AF522">
        <f>IF([3]Entry!$D$525="","",[3]Entry!$D$525)</f>
        <v/>
      </c>
      <c r="AG522">
        <f>IF([3]Entry!$E$525="","",[3]Entry!$E$525)</f>
        <v/>
      </c>
      <c r="AH522">
        <f>IF([3]Entry!$G$525="","",[3]Entry!$G$525)</f>
        <v/>
      </c>
      <c r="AI522">
        <f>IF([3]Entry!$K$525="","",[3]Entry!$K$525)</f>
        <v/>
      </c>
      <c r="AJ522">
        <f>IF([3]Entry!$L$525="","",[3]Entry!$L$525)</f>
        <v/>
      </c>
      <c r="AK522">
        <f>IF([3]Entry!$M$525="","",[3]Entry!$M$525)</f>
        <v/>
      </c>
      <c r="AL522">
        <f>IF([3]Entry!$N$525="","",[3]Entry!$N$525)</f>
        <v/>
      </c>
      <c r="AM522">
        <f>IF([3]Entry!$R$525="","",[3]Entry!$R$525)</f>
        <v/>
      </c>
    </row>
    <row r="523">
      <c r="A523">
        <f>IF([1]Accounts!$D$524="","",[1]Accounts!$A$524)</f>
        <v/>
      </c>
      <c r="B523">
        <f>IF([1]Accounts!$D$524="","",[1]Accounts!$B$524)</f>
        <v/>
      </c>
      <c r="C523">
        <f>IF([1]Accounts!$D$524="","",[1]Accounts!$C$524)</f>
        <v/>
      </c>
      <c r="D523">
        <f>IF([1]Accounts!$D$524="","",[1]Accounts!$D$524)</f>
        <v/>
      </c>
      <c r="E523">
        <f>IF([1]Accounts!$D$524="","",[1]Accounts!$E$524)</f>
        <v/>
      </c>
      <c r="F523">
        <f>IF([1]Accounts!$D$524="","",[1]Accounts!$F$524)</f>
        <v/>
      </c>
      <c r="G523">
        <f>IF([1]Accounts!$D$524="","",[1]Accounts!$G$524)</f>
        <v/>
      </c>
      <c r="T523">
        <f>IF([2]Baskol!$B$526="","",[2]Baskol!$B$526)</f>
        <v/>
      </c>
      <c r="U523">
        <f>IF([2]Baskol!$C$526="","",[2]Baskol!$C$526)</f>
        <v/>
      </c>
      <c r="V523">
        <f>IF([2]Baskol!$D$526="","",[2]Baskol!$D$526)</f>
        <v/>
      </c>
      <c r="W523">
        <f>IF([2]Baskol!$E$526="","",[2]Baskol!$E$526)</f>
        <v/>
      </c>
      <c r="X523">
        <f>IF([2]Baskol!$G$526="","",[2]Baskol!$G$526)</f>
        <v/>
      </c>
      <c r="Y523">
        <f>IF([2]Baskol!$I$526="","",[2]Baskol!$I$526)</f>
        <v/>
      </c>
      <c r="Z523">
        <f>IF([2]Baskol!$J$526="","",[2]Baskol!$J$526)</f>
        <v/>
      </c>
      <c r="AA523">
        <f>IF([2]Baskol!$K$526="","",[2]Baskol!$K$526)</f>
        <v/>
      </c>
      <c r="AB523">
        <f>IF([2]Baskol!$L$526="","",[2]Baskol!$L$526)</f>
        <v/>
      </c>
      <c r="AC523">
        <f>IF([2]Baskol!$N$526="","",[2]Baskol!$N$526)</f>
        <v/>
      </c>
      <c r="AD523">
        <f>IF([2]Baskol!$O$526="","",[2]Baskol!$O$526)</f>
        <v/>
      </c>
      <c r="AE523">
        <f>IF([3]Entry!$C$526="","",[3]Entry!$C$526)</f>
        <v/>
      </c>
      <c r="AF523">
        <f>IF([3]Entry!$D$526="","",[3]Entry!$D$526)</f>
        <v/>
      </c>
      <c r="AG523">
        <f>IF([3]Entry!$E$526="","",[3]Entry!$E$526)</f>
        <v/>
      </c>
      <c r="AH523">
        <f>IF([3]Entry!$G$526="","",[3]Entry!$G$526)</f>
        <v/>
      </c>
      <c r="AI523">
        <f>IF([3]Entry!$K$526="","",[3]Entry!$K$526)</f>
        <v/>
      </c>
      <c r="AJ523">
        <f>IF([3]Entry!$L$526="","",[3]Entry!$L$526)</f>
        <v/>
      </c>
      <c r="AK523">
        <f>IF([3]Entry!$M$526="","",[3]Entry!$M$526)</f>
        <v/>
      </c>
      <c r="AL523">
        <f>IF([3]Entry!$N$526="","",[3]Entry!$N$526)</f>
        <v/>
      </c>
      <c r="AM523">
        <f>IF([3]Entry!$R$526="","",[3]Entry!$R$526)</f>
        <v/>
      </c>
    </row>
    <row r="524">
      <c r="A524">
        <f>IF([1]Accounts!$D$525="","",[1]Accounts!$A$525)</f>
        <v/>
      </c>
      <c r="B524">
        <f>IF([1]Accounts!$D$525="","",[1]Accounts!$B$525)</f>
        <v/>
      </c>
      <c r="C524">
        <f>IF([1]Accounts!$D$525="","",[1]Accounts!$C$525)</f>
        <v/>
      </c>
      <c r="D524">
        <f>IF([1]Accounts!$D$525="","",[1]Accounts!$D$525)</f>
        <v/>
      </c>
      <c r="E524">
        <f>IF([1]Accounts!$D$525="","",[1]Accounts!$E$525)</f>
        <v/>
      </c>
      <c r="F524">
        <f>IF([1]Accounts!$D$525="","",[1]Accounts!$F$525)</f>
        <v/>
      </c>
      <c r="G524">
        <f>IF([1]Accounts!$D$525="","",[1]Accounts!$G$525)</f>
        <v/>
      </c>
      <c r="T524">
        <f>IF([2]Baskol!$B$527="","",[2]Baskol!$B$527)</f>
        <v/>
      </c>
      <c r="U524">
        <f>IF([2]Baskol!$C$527="","",[2]Baskol!$C$527)</f>
        <v/>
      </c>
      <c r="V524">
        <f>IF([2]Baskol!$D$527="","",[2]Baskol!$D$527)</f>
        <v/>
      </c>
      <c r="W524">
        <f>IF([2]Baskol!$E$527="","",[2]Baskol!$E$527)</f>
        <v/>
      </c>
      <c r="X524">
        <f>IF([2]Baskol!$G$527="","",[2]Baskol!$G$527)</f>
        <v/>
      </c>
      <c r="Y524">
        <f>IF([2]Baskol!$I$527="","",[2]Baskol!$I$527)</f>
        <v/>
      </c>
      <c r="Z524">
        <f>IF([2]Baskol!$J$527="","",[2]Baskol!$J$527)</f>
        <v/>
      </c>
      <c r="AA524">
        <f>IF([2]Baskol!$K$527="","",[2]Baskol!$K$527)</f>
        <v/>
      </c>
      <c r="AB524">
        <f>IF([2]Baskol!$L$527="","",[2]Baskol!$L$527)</f>
        <v/>
      </c>
      <c r="AC524">
        <f>IF([2]Baskol!$N$527="","",[2]Baskol!$N$527)</f>
        <v/>
      </c>
      <c r="AD524">
        <f>IF([2]Baskol!$O$527="","",[2]Baskol!$O$527)</f>
        <v/>
      </c>
      <c r="AE524">
        <f>IF([3]Entry!$C$527="","",[3]Entry!$C$527)</f>
        <v/>
      </c>
      <c r="AF524">
        <f>IF([3]Entry!$D$527="","",[3]Entry!$D$527)</f>
        <v/>
      </c>
      <c r="AG524">
        <f>IF([3]Entry!$E$527="","",[3]Entry!$E$527)</f>
        <v/>
      </c>
      <c r="AH524">
        <f>IF([3]Entry!$G$527="","",[3]Entry!$G$527)</f>
        <v/>
      </c>
      <c r="AI524">
        <f>IF([3]Entry!$K$527="","",[3]Entry!$K$527)</f>
        <v/>
      </c>
      <c r="AJ524">
        <f>IF([3]Entry!$L$527="","",[3]Entry!$L$527)</f>
        <v/>
      </c>
      <c r="AK524">
        <f>IF([3]Entry!$M$527="","",[3]Entry!$M$527)</f>
        <v/>
      </c>
      <c r="AL524">
        <f>IF([3]Entry!$N$527="","",[3]Entry!$N$527)</f>
        <v/>
      </c>
      <c r="AM524">
        <f>IF([3]Entry!$R$527="","",[3]Entry!$R$527)</f>
        <v/>
      </c>
    </row>
    <row r="525">
      <c r="A525">
        <f>IF([1]Accounts!$D$526="","",[1]Accounts!$A$526)</f>
        <v/>
      </c>
      <c r="B525">
        <f>IF([1]Accounts!$D$526="","",[1]Accounts!$B$526)</f>
        <v/>
      </c>
      <c r="C525">
        <f>IF([1]Accounts!$D$526="","",[1]Accounts!$C$526)</f>
        <v/>
      </c>
      <c r="D525">
        <f>IF([1]Accounts!$D$526="","",[1]Accounts!$D$526)</f>
        <v/>
      </c>
      <c r="E525">
        <f>IF([1]Accounts!$D$526="","",[1]Accounts!$E$526)</f>
        <v/>
      </c>
      <c r="F525">
        <f>IF([1]Accounts!$D$526="","",[1]Accounts!$F$526)</f>
        <v/>
      </c>
      <c r="G525">
        <f>IF([1]Accounts!$D$526="","",[1]Accounts!$G$526)</f>
        <v/>
      </c>
      <c r="T525">
        <f>IF([2]Baskol!$B$528="","",[2]Baskol!$B$528)</f>
        <v/>
      </c>
      <c r="U525">
        <f>IF([2]Baskol!$C$528="","",[2]Baskol!$C$528)</f>
        <v/>
      </c>
      <c r="V525">
        <f>IF([2]Baskol!$D$528="","",[2]Baskol!$D$528)</f>
        <v/>
      </c>
      <c r="W525">
        <f>IF([2]Baskol!$E$528="","",[2]Baskol!$E$528)</f>
        <v/>
      </c>
      <c r="X525">
        <f>IF([2]Baskol!$G$528="","",[2]Baskol!$G$528)</f>
        <v/>
      </c>
      <c r="Y525">
        <f>IF([2]Baskol!$I$528="","",[2]Baskol!$I$528)</f>
        <v/>
      </c>
      <c r="Z525">
        <f>IF([2]Baskol!$J$528="","",[2]Baskol!$J$528)</f>
        <v/>
      </c>
      <c r="AA525">
        <f>IF([2]Baskol!$K$528="","",[2]Baskol!$K$528)</f>
        <v/>
      </c>
      <c r="AB525">
        <f>IF([2]Baskol!$L$528="","",[2]Baskol!$L$528)</f>
        <v/>
      </c>
      <c r="AC525">
        <f>IF([2]Baskol!$N$528="","",[2]Baskol!$N$528)</f>
        <v/>
      </c>
      <c r="AD525">
        <f>IF([2]Baskol!$O$528="","",[2]Baskol!$O$528)</f>
        <v/>
      </c>
      <c r="AE525">
        <f>IF([3]Entry!$C$528="","",[3]Entry!$C$528)</f>
        <v/>
      </c>
      <c r="AF525">
        <f>IF([3]Entry!$D$528="","",[3]Entry!$D$528)</f>
        <v/>
      </c>
      <c r="AG525">
        <f>IF([3]Entry!$E$528="","",[3]Entry!$E$528)</f>
        <v/>
      </c>
      <c r="AH525">
        <f>IF([3]Entry!$G$528="","",[3]Entry!$G$528)</f>
        <v/>
      </c>
      <c r="AI525">
        <f>IF([3]Entry!$K$528="","",[3]Entry!$K$528)</f>
        <v/>
      </c>
      <c r="AJ525">
        <f>IF([3]Entry!$L$528="","",[3]Entry!$L$528)</f>
        <v/>
      </c>
      <c r="AK525">
        <f>IF([3]Entry!$M$528="","",[3]Entry!$M$528)</f>
        <v/>
      </c>
      <c r="AL525">
        <f>IF([3]Entry!$N$528="","",[3]Entry!$N$528)</f>
        <v/>
      </c>
      <c r="AM525">
        <f>IF([3]Entry!$R$528="","",[3]Entry!$R$528)</f>
        <v/>
      </c>
    </row>
    <row r="526">
      <c r="A526">
        <f>IF([1]Accounts!$D$527="","",[1]Accounts!$A$527)</f>
        <v/>
      </c>
      <c r="B526">
        <f>IF([1]Accounts!$D$527="","",[1]Accounts!$B$527)</f>
        <v/>
      </c>
      <c r="C526">
        <f>IF([1]Accounts!$D$527="","",[1]Accounts!$C$527)</f>
        <v/>
      </c>
      <c r="D526">
        <f>IF([1]Accounts!$D$527="","",[1]Accounts!$D$527)</f>
        <v/>
      </c>
      <c r="E526">
        <f>IF([1]Accounts!$D$527="","",[1]Accounts!$E$527)</f>
        <v/>
      </c>
      <c r="F526">
        <f>IF([1]Accounts!$D$527="","",[1]Accounts!$F$527)</f>
        <v/>
      </c>
      <c r="G526">
        <f>IF([1]Accounts!$D$527="","",[1]Accounts!$G$527)</f>
        <v/>
      </c>
      <c r="T526">
        <f>IF([2]Baskol!$B$529="","",[2]Baskol!$B$529)</f>
        <v/>
      </c>
      <c r="U526">
        <f>IF([2]Baskol!$C$529="","",[2]Baskol!$C$529)</f>
        <v/>
      </c>
      <c r="V526">
        <f>IF([2]Baskol!$D$529="","",[2]Baskol!$D$529)</f>
        <v/>
      </c>
      <c r="W526">
        <f>IF([2]Baskol!$E$529="","",[2]Baskol!$E$529)</f>
        <v/>
      </c>
      <c r="X526">
        <f>IF([2]Baskol!$G$529="","",[2]Baskol!$G$529)</f>
        <v/>
      </c>
      <c r="Y526">
        <f>IF([2]Baskol!$I$529="","",[2]Baskol!$I$529)</f>
        <v/>
      </c>
      <c r="Z526">
        <f>IF([2]Baskol!$J$529="","",[2]Baskol!$J$529)</f>
        <v/>
      </c>
      <c r="AA526">
        <f>IF([2]Baskol!$K$529="","",[2]Baskol!$K$529)</f>
        <v/>
      </c>
      <c r="AB526">
        <f>IF([2]Baskol!$L$529="","",[2]Baskol!$L$529)</f>
        <v/>
      </c>
      <c r="AC526">
        <f>IF([2]Baskol!$N$529="","",[2]Baskol!$N$529)</f>
        <v/>
      </c>
      <c r="AD526">
        <f>IF([2]Baskol!$O$529="","",[2]Baskol!$O$529)</f>
        <v/>
      </c>
      <c r="AE526">
        <f>IF([3]Entry!$C$529="","",[3]Entry!$C$529)</f>
        <v/>
      </c>
      <c r="AF526">
        <f>IF([3]Entry!$D$529="","",[3]Entry!$D$529)</f>
        <v/>
      </c>
      <c r="AG526">
        <f>IF([3]Entry!$E$529="","",[3]Entry!$E$529)</f>
        <v/>
      </c>
      <c r="AH526">
        <f>IF([3]Entry!$G$529="","",[3]Entry!$G$529)</f>
        <v/>
      </c>
      <c r="AI526">
        <f>IF([3]Entry!$K$529="","",[3]Entry!$K$529)</f>
        <v/>
      </c>
      <c r="AJ526">
        <f>IF([3]Entry!$L$529="","",[3]Entry!$L$529)</f>
        <v/>
      </c>
      <c r="AK526">
        <f>IF([3]Entry!$M$529="","",[3]Entry!$M$529)</f>
        <v/>
      </c>
      <c r="AL526">
        <f>IF([3]Entry!$N$529="","",[3]Entry!$N$529)</f>
        <v/>
      </c>
      <c r="AM526">
        <f>IF([3]Entry!$R$529="","",[3]Entry!$R$529)</f>
        <v/>
      </c>
    </row>
    <row r="527">
      <c r="A527">
        <f>IF([1]Accounts!$D$528="","",[1]Accounts!$A$528)</f>
        <v/>
      </c>
      <c r="B527">
        <f>IF([1]Accounts!$D$528="","",[1]Accounts!$B$528)</f>
        <v/>
      </c>
      <c r="C527">
        <f>IF([1]Accounts!$D$528="","",[1]Accounts!$C$528)</f>
        <v/>
      </c>
      <c r="D527">
        <f>IF([1]Accounts!$D$528="","",[1]Accounts!$D$528)</f>
        <v/>
      </c>
      <c r="E527">
        <f>IF([1]Accounts!$D$528="","",[1]Accounts!$E$528)</f>
        <v/>
      </c>
      <c r="F527">
        <f>IF([1]Accounts!$D$528="","",[1]Accounts!$F$528)</f>
        <v/>
      </c>
      <c r="G527">
        <f>IF([1]Accounts!$D$528="","",[1]Accounts!$G$528)</f>
        <v/>
      </c>
      <c r="T527">
        <f>IF([2]Baskol!$B$530="","",[2]Baskol!$B$530)</f>
        <v/>
      </c>
      <c r="U527">
        <f>IF([2]Baskol!$C$530="","",[2]Baskol!$C$530)</f>
        <v/>
      </c>
      <c r="V527">
        <f>IF([2]Baskol!$D$530="","",[2]Baskol!$D$530)</f>
        <v/>
      </c>
      <c r="W527">
        <f>IF([2]Baskol!$E$530="","",[2]Baskol!$E$530)</f>
        <v/>
      </c>
      <c r="X527">
        <f>IF([2]Baskol!$G$530="","",[2]Baskol!$G$530)</f>
        <v/>
      </c>
      <c r="Y527">
        <f>IF([2]Baskol!$I$530="","",[2]Baskol!$I$530)</f>
        <v/>
      </c>
      <c r="Z527">
        <f>IF([2]Baskol!$J$530="","",[2]Baskol!$J$530)</f>
        <v/>
      </c>
      <c r="AA527">
        <f>IF([2]Baskol!$K$530="","",[2]Baskol!$K$530)</f>
        <v/>
      </c>
      <c r="AB527">
        <f>IF([2]Baskol!$L$530="","",[2]Baskol!$L$530)</f>
        <v/>
      </c>
      <c r="AC527">
        <f>IF([2]Baskol!$N$530="","",[2]Baskol!$N$530)</f>
        <v/>
      </c>
      <c r="AD527">
        <f>IF([2]Baskol!$O$530="","",[2]Baskol!$O$530)</f>
        <v/>
      </c>
      <c r="AE527">
        <f>IF([3]Entry!$C$530="","",[3]Entry!$C$530)</f>
        <v/>
      </c>
      <c r="AF527">
        <f>IF([3]Entry!$D$530="","",[3]Entry!$D$530)</f>
        <v/>
      </c>
      <c r="AG527">
        <f>IF([3]Entry!$E$530="","",[3]Entry!$E$530)</f>
        <v/>
      </c>
      <c r="AH527">
        <f>IF([3]Entry!$G$530="","",[3]Entry!$G$530)</f>
        <v/>
      </c>
      <c r="AI527">
        <f>IF([3]Entry!$K$530="","",[3]Entry!$K$530)</f>
        <v/>
      </c>
      <c r="AJ527">
        <f>IF([3]Entry!$L$530="","",[3]Entry!$L$530)</f>
        <v/>
      </c>
      <c r="AK527">
        <f>IF([3]Entry!$M$530="","",[3]Entry!$M$530)</f>
        <v/>
      </c>
      <c r="AL527">
        <f>IF([3]Entry!$N$530="","",[3]Entry!$N$530)</f>
        <v/>
      </c>
      <c r="AM527">
        <f>IF([3]Entry!$R$530="","",[3]Entry!$R$530)</f>
        <v/>
      </c>
    </row>
    <row r="528">
      <c r="A528">
        <f>IF([1]Accounts!$D$529="","",[1]Accounts!$A$529)</f>
        <v/>
      </c>
      <c r="B528">
        <f>IF([1]Accounts!$D$529="","",[1]Accounts!$B$529)</f>
        <v/>
      </c>
      <c r="C528">
        <f>IF([1]Accounts!$D$529="","",[1]Accounts!$C$529)</f>
        <v/>
      </c>
      <c r="D528">
        <f>IF([1]Accounts!$D$529="","",[1]Accounts!$D$529)</f>
        <v/>
      </c>
      <c r="E528">
        <f>IF([1]Accounts!$D$529="","",[1]Accounts!$E$529)</f>
        <v/>
      </c>
      <c r="F528">
        <f>IF([1]Accounts!$D$529="","",[1]Accounts!$F$529)</f>
        <v/>
      </c>
      <c r="G528">
        <f>IF([1]Accounts!$D$529="","",[1]Accounts!$G$529)</f>
        <v/>
      </c>
      <c r="T528">
        <f>IF([2]Baskol!$B$531="","",[2]Baskol!$B$531)</f>
        <v/>
      </c>
      <c r="U528">
        <f>IF([2]Baskol!$C$531="","",[2]Baskol!$C$531)</f>
        <v/>
      </c>
      <c r="V528">
        <f>IF([2]Baskol!$D$531="","",[2]Baskol!$D$531)</f>
        <v/>
      </c>
      <c r="W528">
        <f>IF([2]Baskol!$E$531="","",[2]Baskol!$E$531)</f>
        <v/>
      </c>
      <c r="X528">
        <f>IF([2]Baskol!$G$531="","",[2]Baskol!$G$531)</f>
        <v/>
      </c>
      <c r="Y528">
        <f>IF([2]Baskol!$I$531="","",[2]Baskol!$I$531)</f>
        <v/>
      </c>
      <c r="Z528">
        <f>IF([2]Baskol!$J$531="","",[2]Baskol!$J$531)</f>
        <v/>
      </c>
      <c r="AA528">
        <f>IF([2]Baskol!$K$531="","",[2]Baskol!$K$531)</f>
        <v/>
      </c>
      <c r="AB528">
        <f>IF([2]Baskol!$L$531="","",[2]Baskol!$L$531)</f>
        <v/>
      </c>
      <c r="AC528">
        <f>IF([2]Baskol!$N$531="","",[2]Baskol!$N$531)</f>
        <v/>
      </c>
      <c r="AD528">
        <f>IF([2]Baskol!$O$531="","",[2]Baskol!$O$531)</f>
        <v/>
      </c>
      <c r="AE528">
        <f>IF([3]Entry!$C$531="","",[3]Entry!$C$531)</f>
        <v/>
      </c>
      <c r="AF528">
        <f>IF([3]Entry!$D$531="","",[3]Entry!$D$531)</f>
        <v/>
      </c>
      <c r="AG528">
        <f>IF([3]Entry!$E$531="","",[3]Entry!$E$531)</f>
        <v/>
      </c>
      <c r="AH528">
        <f>IF([3]Entry!$G$531="","",[3]Entry!$G$531)</f>
        <v/>
      </c>
      <c r="AI528">
        <f>IF([3]Entry!$K$531="","",[3]Entry!$K$531)</f>
        <v/>
      </c>
      <c r="AJ528">
        <f>IF([3]Entry!$L$531="","",[3]Entry!$L$531)</f>
        <v/>
      </c>
      <c r="AK528">
        <f>IF([3]Entry!$M$531="","",[3]Entry!$M$531)</f>
        <v/>
      </c>
      <c r="AL528">
        <f>IF([3]Entry!$N$531="","",[3]Entry!$N$531)</f>
        <v/>
      </c>
      <c r="AM528">
        <f>IF([3]Entry!$R$531="","",[3]Entry!$R$531)</f>
        <v/>
      </c>
    </row>
    <row r="529">
      <c r="A529">
        <f>IF([1]Accounts!$D$530="","",[1]Accounts!$A$530)</f>
        <v/>
      </c>
      <c r="B529">
        <f>IF([1]Accounts!$D$530="","",[1]Accounts!$B$530)</f>
        <v/>
      </c>
      <c r="C529">
        <f>IF([1]Accounts!$D$530="","",[1]Accounts!$C$530)</f>
        <v/>
      </c>
      <c r="D529">
        <f>IF([1]Accounts!$D$530="","",[1]Accounts!$D$530)</f>
        <v/>
      </c>
      <c r="E529">
        <f>IF([1]Accounts!$D$530="","",[1]Accounts!$E$530)</f>
        <v/>
      </c>
      <c r="F529">
        <f>IF([1]Accounts!$D$530="","",[1]Accounts!$F$530)</f>
        <v/>
      </c>
      <c r="G529">
        <f>IF([1]Accounts!$D$530="","",[1]Accounts!$G$530)</f>
        <v/>
      </c>
      <c r="T529">
        <f>IF([2]Baskol!$B$532="","",[2]Baskol!$B$532)</f>
        <v/>
      </c>
      <c r="U529">
        <f>IF([2]Baskol!$C$532="","",[2]Baskol!$C$532)</f>
        <v/>
      </c>
      <c r="V529">
        <f>IF([2]Baskol!$D$532="","",[2]Baskol!$D$532)</f>
        <v/>
      </c>
      <c r="W529">
        <f>IF([2]Baskol!$E$532="","",[2]Baskol!$E$532)</f>
        <v/>
      </c>
      <c r="X529">
        <f>IF([2]Baskol!$G$532="","",[2]Baskol!$G$532)</f>
        <v/>
      </c>
      <c r="Y529">
        <f>IF([2]Baskol!$I$532="","",[2]Baskol!$I$532)</f>
        <v/>
      </c>
      <c r="Z529">
        <f>IF([2]Baskol!$J$532="","",[2]Baskol!$J$532)</f>
        <v/>
      </c>
      <c r="AA529">
        <f>IF([2]Baskol!$K$532="","",[2]Baskol!$K$532)</f>
        <v/>
      </c>
      <c r="AB529">
        <f>IF([2]Baskol!$L$532="","",[2]Baskol!$L$532)</f>
        <v/>
      </c>
      <c r="AC529">
        <f>IF([2]Baskol!$N$532="","",[2]Baskol!$N$532)</f>
        <v/>
      </c>
      <c r="AD529">
        <f>IF([2]Baskol!$O$532="","",[2]Baskol!$O$532)</f>
        <v/>
      </c>
      <c r="AE529">
        <f>IF([3]Entry!$C$532="","",[3]Entry!$C$532)</f>
        <v/>
      </c>
      <c r="AF529">
        <f>IF([3]Entry!$D$532="","",[3]Entry!$D$532)</f>
        <v/>
      </c>
      <c r="AG529">
        <f>IF([3]Entry!$E$532="","",[3]Entry!$E$532)</f>
        <v/>
      </c>
      <c r="AH529">
        <f>IF([3]Entry!$G$532="","",[3]Entry!$G$532)</f>
        <v/>
      </c>
      <c r="AI529">
        <f>IF([3]Entry!$K$532="","",[3]Entry!$K$532)</f>
        <v/>
      </c>
      <c r="AJ529">
        <f>IF([3]Entry!$L$532="","",[3]Entry!$L$532)</f>
        <v/>
      </c>
      <c r="AK529">
        <f>IF([3]Entry!$M$532="","",[3]Entry!$M$532)</f>
        <v/>
      </c>
      <c r="AL529">
        <f>IF([3]Entry!$N$532="","",[3]Entry!$N$532)</f>
        <v/>
      </c>
      <c r="AM529">
        <f>IF([3]Entry!$R$532="","",[3]Entry!$R$532)</f>
        <v/>
      </c>
    </row>
    <row r="530">
      <c r="A530">
        <f>IF([1]Accounts!$D$531="","",[1]Accounts!$A$531)</f>
        <v/>
      </c>
      <c r="B530">
        <f>IF([1]Accounts!$D$531="","",[1]Accounts!$B$531)</f>
        <v/>
      </c>
      <c r="C530">
        <f>IF([1]Accounts!$D$531="","",[1]Accounts!$C$531)</f>
        <v/>
      </c>
      <c r="D530">
        <f>IF([1]Accounts!$D$531="","",[1]Accounts!$D$531)</f>
        <v/>
      </c>
      <c r="E530">
        <f>IF([1]Accounts!$D$531="","",[1]Accounts!$E$531)</f>
        <v/>
      </c>
      <c r="F530">
        <f>IF([1]Accounts!$D$531="","",[1]Accounts!$F$531)</f>
        <v/>
      </c>
      <c r="G530">
        <f>IF([1]Accounts!$D$531="","",[1]Accounts!$G$531)</f>
        <v/>
      </c>
      <c r="T530">
        <f>IF([2]Baskol!$B$533="","",[2]Baskol!$B$533)</f>
        <v/>
      </c>
      <c r="U530">
        <f>IF([2]Baskol!$C$533="","",[2]Baskol!$C$533)</f>
        <v/>
      </c>
      <c r="V530">
        <f>IF([2]Baskol!$D$533="","",[2]Baskol!$D$533)</f>
        <v/>
      </c>
      <c r="W530">
        <f>IF([2]Baskol!$E$533="","",[2]Baskol!$E$533)</f>
        <v/>
      </c>
      <c r="X530">
        <f>IF([2]Baskol!$G$533="","",[2]Baskol!$G$533)</f>
        <v/>
      </c>
      <c r="Y530">
        <f>IF([2]Baskol!$I$533="","",[2]Baskol!$I$533)</f>
        <v/>
      </c>
      <c r="Z530">
        <f>IF([2]Baskol!$J$533="","",[2]Baskol!$J$533)</f>
        <v/>
      </c>
      <c r="AA530">
        <f>IF([2]Baskol!$K$533="","",[2]Baskol!$K$533)</f>
        <v/>
      </c>
      <c r="AB530">
        <f>IF([2]Baskol!$L$533="","",[2]Baskol!$L$533)</f>
        <v/>
      </c>
      <c r="AC530">
        <f>IF([2]Baskol!$N$533="","",[2]Baskol!$N$533)</f>
        <v/>
      </c>
      <c r="AD530">
        <f>IF([2]Baskol!$O$533="","",[2]Baskol!$O$533)</f>
        <v/>
      </c>
      <c r="AE530">
        <f>IF([3]Entry!$C$533="","",[3]Entry!$C$533)</f>
        <v/>
      </c>
      <c r="AF530">
        <f>IF([3]Entry!$D$533="","",[3]Entry!$D$533)</f>
        <v/>
      </c>
      <c r="AG530">
        <f>IF([3]Entry!$E$533="","",[3]Entry!$E$533)</f>
        <v/>
      </c>
      <c r="AH530">
        <f>IF([3]Entry!$G$533="","",[3]Entry!$G$533)</f>
        <v/>
      </c>
      <c r="AI530">
        <f>IF([3]Entry!$K$533="","",[3]Entry!$K$533)</f>
        <v/>
      </c>
      <c r="AJ530">
        <f>IF([3]Entry!$L$533="","",[3]Entry!$L$533)</f>
        <v/>
      </c>
      <c r="AK530">
        <f>IF([3]Entry!$M$533="","",[3]Entry!$M$533)</f>
        <v/>
      </c>
      <c r="AL530">
        <f>IF([3]Entry!$N$533="","",[3]Entry!$N$533)</f>
        <v/>
      </c>
      <c r="AM530">
        <f>IF([3]Entry!$R$533="","",[3]Entry!$R$533)</f>
        <v/>
      </c>
    </row>
    <row r="531">
      <c r="A531">
        <f>IF([1]Accounts!$D$532="","",[1]Accounts!$A$532)</f>
        <v/>
      </c>
      <c r="B531">
        <f>IF([1]Accounts!$D$532="","",[1]Accounts!$B$532)</f>
        <v/>
      </c>
      <c r="C531">
        <f>IF([1]Accounts!$D$532="","",[1]Accounts!$C$532)</f>
        <v/>
      </c>
      <c r="D531">
        <f>IF([1]Accounts!$D$532="","",[1]Accounts!$D$532)</f>
        <v/>
      </c>
      <c r="E531">
        <f>IF([1]Accounts!$D$532="","",[1]Accounts!$E$532)</f>
        <v/>
      </c>
      <c r="F531">
        <f>IF([1]Accounts!$D$532="","",[1]Accounts!$F$532)</f>
        <v/>
      </c>
      <c r="G531">
        <f>IF([1]Accounts!$D$532="","",[1]Accounts!$G$532)</f>
        <v/>
      </c>
      <c r="T531">
        <f>IF([2]Baskol!$B$534="","",[2]Baskol!$B$534)</f>
        <v/>
      </c>
      <c r="U531">
        <f>IF([2]Baskol!$C$534="","",[2]Baskol!$C$534)</f>
        <v/>
      </c>
      <c r="V531">
        <f>IF([2]Baskol!$D$534="","",[2]Baskol!$D$534)</f>
        <v/>
      </c>
      <c r="W531">
        <f>IF([2]Baskol!$E$534="","",[2]Baskol!$E$534)</f>
        <v/>
      </c>
      <c r="X531">
        <f>IF([2]Baskol!$G$534="","",[2]Baskol!$G$534)</f>
        <v/>
      </c>
      <c r="Y531">
        <f>IF([2]Baskol!$I$534="","",[2]Baskol!$I$534)</f>
        <v/>
      </c>
      <c r="Z531">
        <f>IF([2]Baskol!$J$534="","",[2]Baskol!$J$534)</f>
        <v/>
      </c>
      <c r="AA531">
        <f>IF([2]Baskol!$K$534="","",[2]Baskol!$K$534)</f>
        <v/>
      </c>
      <c r="AB531">
        <f>IF([2]Baskol!$L$534="","",[2]Baskol!$L$534)</f>
        <v/>
      </c>
      <c r="AC531">
        <f>IF([2]Baskol!$N$534="","",[2]Baskol!$N$534)</f>
        <v/>
      </c>
      <c r="AD531">
        <f>IF([2]Baskol!$O$534="","",[2]Baskol!$O$534)</f>
        <v/>
      </c>
      <c r="AE531">
        <f>IF([3]Entry!$C$534="","",[3]Entry!$C$534)</f>
        <v/>
      </c>
      <c r="AF531">
        <f>IF([3]Entry!$D$534="","",[3]Entry!$D$534)</f>
        <v/>
      </c>
      <c r="AG531">
        <f>IF([3]Entry!$E$534="","",[3]Entry!$E$534)</f>
        <v/>
      </c>
      <c r="AH531">
        <f>IF([3]Entry!$G$534="","",[3]Entry!$G$534)</f>
        <v/>
      </c>
      <c r="AI531">
        <f>IF([3]Entry!$K$534="","",[3]Entry!$K$534)</f>
        <v/>
      </c>
      <c r="AJ531">
        <f>IF([3]Entry!$L$534="","",[3]Entry!$L$534)</f>
        <v/>
      </c>
      <c r="AK531">
        <f>IF([3]Entry!$M$534="","",[3]Entry!$M$534)</f>
        <v/>
      </c>
      <c r="AL531">
        <f>IF([3]Entry!$N$534="","",[3]Entry!$N$534)</f>
        <v/>
      </c>
      <c r="AM531">
        <f>IF([3]Entry!$R$534="","",[3]Entry!$R$534)</f>
        <v/>
      </c>
    </row>
    <row r="532">
      <c r="A532">
        <f>IF([1]Accounts!$D$533="","",[1]Accounts!$A$533)</f>
        <v/>
      </c>
      <c r="B532">
        <f>IF([1]Accounts!$D$533="","",[1]Accounts!$B$533)</f>
        <v/>
      </c>
      <c r="C532">
        <f>IF([1]Accounts!$D$533="","",[1]Accounts!$C$533)</f>
        <v/>
      </c>
      <c r="D532">
        <f>IF([1]Accounts!$D$533="","",[1]Accounts!$D$533)</f>
        <v/>
      </c>
      <c r="E532">
        <f>IF([1]Accounts!$D$533="","",[1]Accounts!$E$533)</f>
        <v/>
      </c>
      <c r="F532">
        <f>IF([1]Accounts!$D$533="","",[1]Accounts!$F$533)</f>
        <v/>
      </c>
      <c r="G532">
        <f>IF([1]Accounts!$D$533="","",[1]Accounts!$G$533)</f>
        <v/>
      </c>
      <c r="T532">
        <f>IF([2]Baskol!$B$535="","",[2]Baskol!$B$535)</f>
        <v/>
      </c>
      <c r="U532">
        <f>IF([2]Baskol!$C$535="","",[2]Baskol!$C$535)</f>
        <v/>
      </c>
      <c r="V532">
        <f>IF([2]Baskol!$D$535="","",[2]Baskol!$D$535)</f>
        <v/>
      </c>
      <c r="W532">
        <f>IF([2]Baskol!$E$535="","",[2]Baskol!$E$535)</f>
        <v/>
      </c>
      <c r="X532">
        <f>IF([2]Baskol!$G$535="","",[2]Baskol!$G$535)</f>
        <v/>
      </c>
      <c r="Y532">
        <f>IF([2]Baskol!$I$535="","",[2]Baskol!$I$535)</f>
        <v/>
      </c>
      <c r="Z532">
        <f>IF([2]Baskol!$J$535="","",[2]Baskol!$J$535)</f>
        <v/>
      </c>
      <c r="AA532">
        <f>IF([2]Baskol!$K$535="","",[2]Baskol!$K$535)</f>
        <v/>
      </c>
      <c r="AB532">
        <f>IF([2]Baskol!$L$535="","",[2]Baskol!$L$535)</f>
        <v/>
      </c>
      <c r="AC532">
        <f>IF([2]Baskol!$N$535="","",[2]Baskol!$N$535)</f>
        <v/>
      </c>
      <c r="AD532">
        <f>IF([2]Baskol!$O$535="","",[2]Baskol!$O$535)</f>
        <v/>
      </c>
      <c r="AE532">
        <f>IF([3]Entry!$C$535="","",[3]Entry!$C$535)</f>
        <v/>
      </c>
      <c r="AF532">
        <f>IF([3]Entry!$D$535="","",[3]Entry!$D$535)</f>
        <v/>
      </c>
      <c r="AG532">
        <f>IF([3]Entry!$E$535="","",[3]Entry!$E$535)</f>
        <v/>
      </c>
      <c r="AH532">
        <f>IF([3]Entry!$G$535="","",[3]Entry!$G$535)</f>
        <v/>
      </c>
      <c r="AI532">
        <f>IF([3]Entry!$K$535="","",[3]Entry!$K$535)</f>
        <v/>
      </c>
      <c r="AJ532">
        <f>IF([3]Entry!$L$535="","",[3]Entry!$L$535)</f>
        <v/>
      </c>
      <c r="AK532">
        <f>IF([3]Entry!$M$535="","",[3]Entry!$M$535)</f>
        <v/>
      </c>
      <c r="AL532">
        <f>IF([3]Entry!$N$535="","",[3]Entry!$N$535)</f>
        <v/>
      </c>
      <c r="AM532">
        <f>IF([3]Entry!$R$535="","",[3]Entry!$R$535)</f>
        <v/>
      </c>
    </row>
    <row r="533">
      <c r="A533">
        <f>IF([1]Accounts!$D$534="","",[1]Accounts!$A$534)</f>
        <v/>
      </c>
      <c r="B533">
        <f>IF([1]Accounts!$D$534="","",[1]Accounts!$B$534)</f>
        <v/>
      </c>
      <c r="C533">
        <f>IF([1]Accounts!$D$534="","",[1]Accounts!$C$534)</f>
        <v/>
      </c>
      <c r="D533">
        <f>IF([1]Accounts!$D$534="","",[1]Accounts!$D$534)</f>
        <v/>
      </c>
      <c r="E533">
        <f>IF([1]Accounts!$D$534="","",[1]Accounts!$E$534)</f>
        <v/>
      </c>
      <c r="F533">
        <f>IF([1]Accounts!$D$534="","",[1]Accounts!$F$534)</f>
        <v/>
      </c>
      <c r="G533">
        <f>IF([1]Accounts!$D$534="","",[1]Accounts!$G$534)</f>
        <v/>
      </c>
      <c r="T533">
        <f>IF([2]Baskol!$B$536="","",[2]Baskol!$B$536)</f>
        <v/>
      </c>
      <c r="U533">
        <f>IF([2]Baskol!$C$536="","",[2]Baskol!$C$536)</f>
        <v/>
      </c>
      <c r="V533">
        <f>IF([2]Baskol!$D$536="","",[2]Baskol!$D$536)</f>
        <v/>
      </c>
      <c r="W533">
        <f>IF([2]Baskol!$E$536="","",[2]Baskol!$E$536)</f>
        <v/>
      </c>
      <c r="X533">
        <f>IF([2]Baskol!$G$536="","",[2]Baskol!$G$536)</f>
        <v/>
      </c>
      <c r="Y533">
        <f>IF([2]Baskol!$I$536="","",[2]Baskol!$I$536)</f>
        <v/>
      </c>
      <c r="Z533">
        <f>IF([2]Baskol!$J$536="","",[2]Baskol!$J$536)</f>
        <v/>
      </c>
      <c r="AA533">
        <f>IF([2]Baskol!$K$536="","",[2]Baskol!$K$536)</f>
        <v/>
      </c>
      <c r="AB533">
        <f>IF([2]Baskol!$L$536="","",[2]Baskol!$L$536)</f>
        <v/>
      </c>
      <c r="AC533">
        <f>IF([2]Baskol!$N$536="","",[2]Baskol!$N$536)</f>
        <v/>
      </c>
      <c r="AD533">
        <f>IF([2]Baskol!$O$536="","",[2]Baskol!$O$536)</f>
        <v/>
      </c>
      <c r="AE533">
        <f>IF([3]Entry!$C$536="","",[3]Entry!$C$536)</f>
        <v/>
      </c>
      <c r="AF533">
        <f>IF([3]Entry!$D$536="","",[3]Entry!$D$536)</f>
        <v/>
      </c>
      <c r="AG533">
        <f>IF([3]Entry!$E$536="","",[3]Entry!$E$536)</f>
        <v/>
      </c>
      <c r="AH533">
        <f>IF([3]Entry!$G$536="","",[3]Entry!$G$536)</f>
        <v/>
      </c>
      <c r="AI533">
        <f>IF([3]Entry!$K$536="","",[3]Entry!$K$536)</f>
        <v/>
      </c>
      <c r="AJ533">
        <f>IF([3]Entry!$L$536="","",[3]Entry!$L$536)</f>
        <v/>
      </c>
      <c r="AK533">
        <f>IF([3]Entry!$M$536="","",[3]Entry!$M$536)</f>
        <v/>
      </c>
      <c r="AL533">
        <f>IF([3]Entry!$N$536="","",[3]Entry!$N$536)</f>
        <v/>
      </c>
      <c r="AM533">
        <f>IF([3]Entry!$R$536="","",[3]Entry!$R$536)</f>
        <v/>
      </c>
    </row>
    <row r="534">
      <c r="A534">
        <f>IF([1]Accounts!$D$535="","",[1]Accounts!$A$535)</f>
        <v/>
      </c>
      <c r="B534">
        <f>IF([1]Accounts!$D$535="","",[1]Accounts!$B$535)</f>
        <v/>
      </c>
      <c r="C534">
        <f>IF([1]Accounts!$D$535="","",[1]Accounts!$C$535)</f>
        <v/>
      </c>
      <c r="D534">
        <f>IF([1]Accounts!$D$535="","",[1]Accounts!$D$535)</f>
        <v/>
      </c>
      <c r="E534">
        <f>IF([1]Accounts!$D$535="","",[1]Accounts!$E$535)</f>
        <v/>
      </c>
      <c r="F534">
        <f>IF([1]Accounts!$D$535="","",[1]Accounts!$F$535)</f>
        <v/>
      </c>
      <c r="G534">
        <f>IF([1]Accounts!$D$535="","",[1]Accounts!$G$535)</f>
        <v/>
      </c>
      <c r="T534">
        <f>IF([2]Baskol!$B$537="","",[2]Baskol!$B$537)</f>
        <v/>
      </c>
      <c r="U534">
        <f>IF([2]Baskol!$C$537="","",[2]Baskol!$C$537)</f>
        <v/>
      </c>
      <c r="V534">
        <f>IF([2]Baskol!$D$537="","",[2]Baskol!$D$537)</f>
        <v/>
      </c>
      <c r="W534">
        <f>IF([2]Baskol!$E$537="","",[2]Baskol!$E$537)</f>
        <v/>
      </c>
      <c r="X534">
        <f>IF([2]Baskol!$G$537="","",[2]Baskol!$G$537)</f>
        <v/>
      </c>
      <c r="Y534">
        <f>IF([2]Baskol!$I$537="","",[2]Baskol!$I$537)</f>
        <v/>
      </c>
      <c r="Z534">
        <f>IF([2]Baskol!$J$537="","",[2]Baskol!$J$537)</f>
        <v/>
      </c>
      <c r="AA534">
        <f>IF([2]Baskol!$K$537="","",[2]Baskol!$K$537)</f>
        <v/>
      </c>
      <c r="AB534">
        <f>IF([2]Baskol!$L$537="","",[2]Baskol!$L$537)</f>
        <v/>
      </c>
      <c r="AC534">
        <f>IF([2]Baskol!$N$537="","",[2]Baskol!$N$537)</f>
        <v/>
      </c>
      <c r="AD534">
        <f>IF([2]Baskol!$O$537="","",[2]Baskol!$O$537)</f>
        <v/>
      </c>
      <c r="AE534">
        <f>IF([3]Entry!$C$537="","",[3]Entry!$C$537)</f>
        <v/>
      </c>
      <c r="AF534">
        <f>IF([3]Entry!$D$537="","",[3]Entry!$D$537)</f>
        <v/>
      </c>
      <c r="AG534">
        <f>IF([3]Entry!$E$537="","",[3]Entry!$E$537)</f>
        <v/>
      </c>
      <c r="AH534">
        <f>IF([3]Entry!$G$537="","",[3]Entry!$G$537)</f>
        <v/>
      </c>
      <c r="AI534">
        <f>IF([3]Entry!$K$537="","",[3]Entry!$K$537)</f>
        <v/>
      </c>
      <c r="AJ534">
        <f>IF([3]Entry!$L$537="","",[3]Entry!$L$537)</f>
        <v/>
      </c>
      <c r="AK534">
        <f>IF([3]Entry!$M$537="","",[3]Entry!$M$537)</f>
        <v/>
      </c>
      <c r="AL534">
        <f>IF([3]Entry!$N$537="","",[3]Entry!$N$537)</f>
        <v/>
      </c>
      <c r="AM534">
        <f>IF([3]Entry!$R$537="","",[3]Entry!$R$537)</f>
        <v/>
      </c>
    </row>
    <row r="535">
      <c r="A535">
        <f>IF([1]Accounts!$D$536="","",[1]Accounts!$A$536)</f>
        <v/>
      </c>
      <c r="B535">
        <f>IF([1]Accounts!$D$536="","",[1]Accounts!$B$536)</f>
        <v/>
      </c>
      <c r="C535">
        <f>IF([1]Accounts!$D$536="","",[1]Accounts!$C$536)</f>
        <v/>
      </c>
      <c r="D535">
        <f>IF([1]Accounts!$D$536="","",[1]Accounts!$D$536)</f>
        <v/>
      </c>
      <c r="E535">
        <f>IF([1]Accounts!$D$536="","",[1]Accounts!$E$536)</f>
        <v/>
      </c>
      <c r="F535">
        <f>IF([1]Accounts!$D$536="","",[1]Accounts!$F$536)</f>
        <v/>
      </c>
      <c r="G535">
        <f>IF([1]Accounts!$D$536="","",[1]Accounts!$G$536)</f>
        <v/>
      </c>
      <c r="T535">
        <f>IF([2]Baskol!$B$538="","",[2]Baskol!$B$538)</f>
        <v/>
      </c>
      <c r="U535">
        <f>IF([2]Baskol!$C$538="","",[2]Baskol!$C$538)</f>
        <v/>
      </c>
      <c r="V535">
        <f>IF([2]Baskol!$D$538="","",[2]Baskol!$D$538)</f>
        <v/>
      </c>
      <c r="W535">
        <f>IF([2]Baskol!$E$538="","",[2]Baskol!$E$538)</f>
        <v/>
      </c>
      <c r="X535">
        <f>IF([2]Baskol!$G$538="","",[2]Baskol!$G$538)</f>
        <v/>
      </c>
      <c r="Y535">
        <f>IF([2]Baskol!$I$538="","",[2]Baskol!$I$538)</f>
        <v/>
      </c>
      <c r="Z535">
        <f>IF([2]Baskol!$J$538="","",[2]Baskol!$J$538)</f>
        <v/>
      </c>
      <c r="AA535">
        <f>IF([2]Baskol!$K$538="","",[2]Baskol!$K$538)</f>
        <v/>
      </c>
      <c r="AB535">
        <f>IF([2]Baskol!$L$538="","",[2]Baskol!$L$538)</f>
        <v/>
      </c>
      <c r="AC535">
        <f>IF([2]Baskol!$N$538="","",[2]Baskol!$N$538)</f>
        <v/>
      </c>
      <c r="AD535">
        <f>IF([2]Baskol!$O$538="","",[2]Baskol!$O$538)</f>
        <v/>
      </c>
      <c r="AE535">
        <f>IF([3]Entry!$C$538="","",[3]Entry!$C$538)</f>
        <v/>
      </c>
      <c r="AF535">
        <f>IF([3]Entry!$D$538="","",[3]Entry!$D$538)</f>
        <v/>
      </c>
      <c r="AG535">
        <f>IF([3]Entry!$E$538="","",[3]Entry!$E$538)</f>
        <v/>
      </c>
      <c r="AH535">
        <f>IF([3]Entry!$G$538="","",[3]Entry!$G$538)</f>
        <v/>
      </c>
      <c r="AI535">
        <f>IF([3]Entry!$K$538="","",[3]Entry!$K$538)</f>
        <v/>
      </c>
      <c r="AJ535">
        <f>IF([3]Entry!$L$538="","",[3]Entry!$L$538)</f>
        <v/>
      </c>
      <c r="AK535">
        <f>IF([3]Entry!$M$538="","",[3]Entry!$M$538)</f>
        <v/>
      </c>
      <c r="AL535">
        <f>IF([3]Entry!$N$538="","",[3]Entry!$N$538)</f>
        <v/>
      </c>
      <c r="AM535">
        <f>IF([3]Entry!$R$538="","",[3]Entry!$R$538)</f>
        <v/>
      </c>
    </row>
    <row r="536">
      <c r="A536">
        <f>IF([1]Accounts!$D$537="","",[1]Accounts!$A$537)</f>
        <v/>
      </c>
      <c r="B536">
        <f>IF([1]Accounts!$D$537="","",[1]Accounts!$B$537)</f>
        <v/>
      </c>
      <c r="C536">
        <f>IF([1]Accounts!$D$537="","",[1]Accounts!$C$537)</f>
        <v/>
      </c>
      <c r="D536">
        <f>IF([1]Accounts!$D$537="","",[1]Accounts!$D$537)</f>
        <v/>
      </c>
      <c r="E536">
        <f>IF([1]Accounts!$D$537="","",[1]Accounts!$E$537)</f>
        <v/>
      </c>
      <c r="F536">
        <f>IF([1]Accounts!$D$537="","",[1]Accounts!$F$537)</f>
        <v/>
      </c>
      <c r="G536">
        <f>IF([1]Accounts!$D$537="","",[1]Accounts!$G$537)</f>
        <v/>
      </c>
      <c r="T536">
        <f>IF([2]Baskol!$B$539="","",[2]Baskol!$B$539)</f>
        <v/>
      </c>
      <c r="U536">
        <f>IF([2]Baskol!$C$539="","",[2]Baskol!$C$539)</f>
        <v/>
      </c>
      <c r="V536">
        <f>IF([2]Baskol!$D$539="","",[2]Baskol!$D$539)</f>
        <v/>
      </c>
      <c r="W536">
        <f>IF([2]Baskol!$E$539="","",[2]Baskol!$E$539)</f>
        <v/>
      </c>
      <c r="X536">
        <f>IF([2]Baskol!$G$539="","",[2]Baskol!$G$539)</f>
        <v/>
      </c>
      <c r="Y536">
        <f>IF([2]Baskol!$I$539="","",[2]Baskol!$I$539)</f>
        <v/>
      </c>
      <c r="Z536">
        <f>IF([2]Baskol!$J$539="","",[2]Baskol!$J$539)</f>
        <v/>
      </c>
      <c r="AA536">
        <f>IF([2]Baskol!$K$539="","",[2]Baskol!$K$539)</f>
        <v/>
      </c>
      <c r="AB536">
        <f>IF([2]Baskol!$L$539="","",[2]Baskol!$L$539)</f>
        <v/>
      </c>
      <c r="AC536">
        <f>IF([2]Baskol!$N$539="","",[2]Baskol!$N$539)</f>
        <v/>
      </c>
      <c r="AD536">
        <f>IF([2]Baskol!$O$539="","",[2]Baskol!$O$539)</f>
        <v/>
      </c>
      <c r="AE536">
        <f>IF([3]Entry!$C$539="","",[3]Entry!$C$539)</f>
        <v/>
      </c>
      <c r="AF536">
        <f>IF([3]Entry!$D$539="","",[3]Entry!$D$539)</f>
        <v/>
      </c>
      <c r="AG536">
        <f>IF([3]Entry!$E$539="","",[3]Entry!$E$539)</f>
        <v/>
      </c>
      <c r="AH536">
        <f>IF([3]Entry!$G$539="","",[3]Entry!$G$539)</f>
        <v/>
      </c>
      <c r="AI536">
        <f>IF([3]Entry!$K$539="","",[3]Entry!$K$539)</f>
        <v/>
      </c>
      <c r="AJ536">
        <f>IF([3]Entry!$L$539="","",[3]Entry!$L$539)</f>
        <v/>
      </c>
      <c r="AK536">
        <f>IF([3]Entry!$M$539="","",[3]Entry!$M$539)</f>
        <v/>
      </c>
      <c r="AL536">
        <f>IF([3]Entry!$N$539="","",[3]Entry!$N$539)</f>
        <v/>
      </c>
      <c r="AM536">
        <f>IF([3]Entry!$R$539="","",[3]Entry!$R$539)</f>
        <v/>
      </c>
    </row>
    <row r="537">
      <c r="A537">
        <f>IF([1]Accounts!$D$538="","",[1]Accounts!$A$538)</f>
        <v/>
      </c>
      <c r="B537">
        <f>IF([1]Accounts!$D$538="","",[1]Accounts!$B$538)</f>
        <v/>
      </c>
      <c r="C537">
        <f>IF([1]Accounts!$D$538="","",[1]Accounts!$C$538)</f>
        <v/>
      </c>
      <c r="D537">
        <f>IF([1]Accounts!$D$538="","",[1]Accounts!$D$538)</f>
        <v/>
      </c>
      <c r="E537">
        <f>IF([1]Accounts!$D$538="","",[1]Accounts!$E$538)</f>
        <v/>
      </c>
      <c r="F537">
        <f>IF([1]Accounts!$D$538="","",[1]Accounts!$F$538)</f>
        <v/>
      </c>
      <c r="G537">
        <f>IF([1]Accounts!$D$538="","",[1]Accounts!$G$538)</f>
        <v/>
      </c>
      <c r="T537">
        <f>IF([2]Baskol!$B$540="","",[2]Baskol!$B$540)</f>
        <v/>
      </c>
      <c r="U537">
        <f>IF([2]Baskol!$C$540="","",[2]Baskol!$C$540)</f>
        <v/>
      </c>
      <c r="V537">
        <f>IF([2]Baskol!$D$540="","",[2]Baskol!$D$540)</f>
        <v/>
      </c>
      <c r="W537">
        <f>IF([2]Baskol!$E$540="","",[2]Baskol!$E$540)</f>
        <v/>
      </c>
      <c r="X537">
        <f>IF([2]Baskol!$G$540="","",[2]Baskol!$G$540)</f>
        <v/>
      </c>
      <c r="Y537">
        <f>IF([2]Baskol!$I$540="","",[2]Baskol!$I$540)</f>
        <v/>
      </c>
      <c r="Z537">
        <f>IF([2]Baskol!$J$540="","",[2]Baskol!$J$540)</f>
        <v/>
      </c>
      <c r="AA537">
        <f>IF([2]Baskol!$K$540="","",[2]Baskol!$K$540)</f>
        <v/>
      </c>
      <c r="AB537">
        <f>IF([2]Baskol!$L$540="","",[2]Baskol!$L$540)</f>
        <v/>
      </c>
      <c r="AC537">
        <f>IF([2]Baskol!$N$540="","",[2]Baskol!$N$540)</f>
        <v/>
      </c>
      <c r="AD537">
        <f>IF([2]Baskol!$O$540="","",[2]Baskol!$O$540)</f>
        <v/>
      </c>
      <c r="AE537">
        <f>IF([3]Entry!$C$540="","",[3]Entry!$C$540)</f>
        <v/>
      </c>
      <c r="AF537">
        <f>IF([3]Entry!$D$540="","",[3]Entry!$D$540)</f>
        <v/>
      </c>
      <c r="AG537">
        <f>IF([3]Entry!$E$540="","",[3]Entry!$E$540)</f>
        <v/>
      </c>
      <c r="AH537">
        <f>IF([3]Entry!$G$540="","",[3]Entry!$G$540)</f>
        <v/>
      </c>
      <c r="AI537">
        <f>IF([3]Entry!$K$540="","",[3]Entry!$K$540)</f>
        <v/>
      </c>
      <c r="AJ537">
        <f>IF([3]Entry!$L$540="","",[3]Entry!$L$540)</f>
        <v/>
      </c>
      <c r="AK537">
        <f>IF([3]Entry!$M$540="","",[3]Entry!$M$540)</f>
        <v/>
      </c>
      <c r="AL537">
        <f>IF([3]Entry!$N$540="","",[3]Entry!$N$540)</f>
        <v/>
      </c>
      <c r="AM537">
        <f>IF([3]Entry!$R$540="","",[3]Entry!$R$540)</f>
        <v/>
      </c>
    </row>
    <row r="538">
      <c r="A538">
        <f>IF([1]Accounts!$D$539="","",[1]Accounts!$A$539)</f>
        <v/>
      </c>
      <c r="B538">
        <f>IF([1]Accounts!$D$539="","",[1]Accounts!$B$539)</f>
        <v/>
      </c>
      <c r="C538">
        <f>IF([1]Accounts!$D$539="","",[1]Accounts!$C$539)</f>
        <v/>
      </c>
      <c r="D538">
        <f>IF([1]Accounts!$D$539="","",[1]Accounts!$D$539)</f>
        <v/>
      </c>
      <c r="E538">
        <f>IF([1]Accounts!$D$539="","",[1]Accounts!$E$539)</f>
        <v/>
      </c>
      <c r="F538">
        <f>IF([1]Accounts!$D$539="","",[1]Accounts!$F$539)</f>
        <v/>
      </c>
      <c r="G538">
        <f>IF([1]Accounts!$D$539="","",[1]Accounts!$G$539)</f>
        <v/>
      </c>
      <c r="T538">
        <f>IF([2]Baskol!$B$541="","",[2]Baskol!$B$541)</f>
        <v/>
      </c>
      <c r="U538">
        <f>IF([2]Baskol!$C$541="","",[2]Baskol!$C$541)</f>
        <v/>
      </c>
      <c r="V538">
        <f>IF([2]Baskol!$D$541="","",[2]Baskol!$D$541)</f>
        <v/>
      </c>
      <c r="W538">
        <f>IF([2]Baskol!$E$541="","",[2]Baskol!$E$541)</f>
        <v/>
      </c>
      <c r="X538">
        <f>IF([2]Baskol!$G$541="","",[2]Baskol!$G$541)</f>
        <v/>
      </c>
      <c r="Y538">
        <f>IF([2]Baskol!$I$541="","",[2]Baskol!$I$541)</f>
        <v/>
      </c>
      <c r="Z538">
        <f>IF([2]Baskol!$J$541="","",[2]Baskol!$J$541)</f>
        <v/>
      </c>
      <c r="AA538">
        <f>IF([2]Baskol!$K$541="","",[2]Baskol!$K$541)</f>
        <v/>
      </c>
      <c r="AB538">
        <f>IF([2]Baskol!$L$541="","",[2]Baskol!$L$541)</f>
        <v/>
      </c>
      <c r="AC538">
        <f>IF([2]Baskol!$N$541="","",[2]Baskol!$N$541)</f>
        <v/>
      </c>
      <c r="AD538">
        <f>IF([2]Baskol!$O$541="","",[2]Baskol!$O$541)</f>
        <v/>
      </c>
      <c r="AE538">
        <f>IF([3]Entry!$C$541="","",[3]Entry!$C$541)</f>
        <v/>
      </c>
      <c r="AF538">
        <f>IF([3]Entry!$D$541="","",[3]Entry!$D$541)</f>
        <v/>
      </c>
      <c r="AG538">
        <f>IF([3]Entry!$E$541="","",[3]Entry!$E$541)</f>
        <v/>
      </c>
      <c r="AH538">
        <f>IF([3]Entry!$G$541="","",[3]Entry!$G$541)</f>
        <v/>
      </c>
      <c r="AI538">
        <f>IF([3]Entry!$K$541="","",[3]Entry!$K$541)</f>
        <v/>
      </c>
      <c r="AJ538">
        <f>IF([3]Entry!$L$541="","",[3]Entry!$L$541)</f>
        <v/>
      </c>
      <c r="AK538">
        <f>IF([3]Entry!$M$541="","",[3]Entry!$M$541)</f>
        <v/>
      </c>
      <c r="AL538">
        <f>IF([3]Entry!$N$541="","",[3]Entry!$N$541)</f>
        <v/>
      </c>
      <c r="AM538">
        <f>IF([3]Entry!$R$541="","",[3]Entry!$R$541)</f>
        <v/>
      </c>
    </row>
    <row r="539">
      <c r="A539">
        <f>IF([1]Accounts!$D$540="","",[1]Accounts!$A$540)</f>
        <v/>
      </c>
      <c r="B539">
        <f>IF([1]Accounts!$D$540="","",[1]Accounts!$B$540)</f>
        <v/>
      </c>
      <c r="C539">
        <f>IF([1]Accounts!$D$540="","",[1]Accounts!$C$540)</f>
        <v/>
      </c>
      <c r="D539">
        <f>IF([1]Accounts!$D$540="","",[1]Accounts!$D$540)</f>
        <v/>
      </c>
      <c r="E539">
        <f>IF([1]Accounts!$D$540="","",[1]Accounts!$E$540)</f>
        <v/>
      </c>
      <c r="F539">
        <f>IF([1]Accounts!$D$540="","",[1]Accounts!$F$540)</f>
        <v/>
      </c>
      <c r="G539">
        <f>IF([1]Accounts!$D$540="","",[1]Accounts!$G$540)</f>
        <v/>
      </c>
      <c r="T539">
        <f>IF([2]Baskol!$B$542="","",[2]Baskol!$B$542)</f>
        <v/>
      </c>
      <c r="U539">
        <f>IF([2]Baskol!$C$542="","",[2]Baskol!$C$542)</f>
        <v/>
      </c>
      <c r="V539">
        <f>IF([2]Baskol!$D$542="","",[2]Baskol!$D$542)</f>
        <v/>
      </c>
      <c r="W539">
        <f>IF([2]Baskol!$E$542="","",[2]Baskol!$E$542)</f>
        <v/>
      </c>
      <c r="X539">
        <f>IF([2]Baskol!$G$542="","",[2]Baskol!$G$542)</f>
        <v/>
      </c>
      <c r="Y539">
        <f>IF([2]Baskol!$I$542="","",[2]Baskol!$I$542)</f>
        <v/>
      </c>
      <c r="Z539">
        <f>IF([2]Baskol!$J$542="","",[2]Baskol!$J$542)</f>
        <v/>
      </c>
      <c r="AA539">
        <f>IF([2]Baskol!$K$542="","",[2]Baskol!$K$542)</f>
        <v/>
      </c>
      <c r="AB539">
        <f>IF([2]Baskol!$L$542="","",[2]Baskol!$L$542)</f>
        <v/>
      </c>
      <c r="AC539">
        <f>IF([2]Baskol!$N$542="","",[2]Baskol!$N$542)</f>
        <v/>
      </c>
      <c r="AD539">
        <f>IF([2]Baskol!$O$542="","",[2]Baskol!$O$542)</f>
        <v/>
      </c>
      <c r="AE539">
        <f>IF([3]Entry!$C$542="","",[3]Entry!$C$542)</f>
        <v/>
      </c>
      <c r="AF539">
        <f>IF([3]Entry!$D$542="","",[3]Entry!$D$542)</f>
        <v/>
      </c>
      <c r="AG539">
        <f>IF([3]Entry!$E$542="","",[3]Entry!$E$542)</f>
        <v/>
      </c>
      <c r="AH539">
        <f>IF([3]Entry!$G$542="","",[3]Entry!$G$542)</f>
        <v/>
      </c>
      <c r="AI539">
        <f>IF([3]Entry!$K$542="","",[3]Entry!$K$542)</f>
        <v/>
      </c>
      <c r="AJ539">
        <f>IF([3]Entry!$L$542="","",[3]Entry!$L$542)</f>
        <v/>
      </c>
      <c r="AK539">
        <f>IF([3]Entry!$M$542="","",[3]Entry!$M$542)</f>
        <v/>
      </c>
      <c r="AL539">
        <f>IF([3]Entry!$N$542="","",[3]Entry!$N$542)</f>
        <v/>
      </c>
      <c r="AM539">
        <f>IF([3]Entry!$R$542="","",[3]Entry!$R$542)</f>
        <v/>
      </c>
    </row>
    <row r="540">
      <c r="A540">
        <f>IF([1]Accounts!$D$541="","",[1]Accounts!$A$541)</f>
        <v/>
      </c>
      <c r="B540">
        <f>IF([1]Accounts!$D$541="","",[1]Accounts!$B$541)</f>
        <v/>
      </c>
      <c r="C540">
        <f>IF([1]Accounts!$D$541="","",[1]Accounts!$C$541)</f>
        <v/>
      </c>
      <c r="D540">
        <f>IF([1]Accounts!$D$541="","",[1]Accounts!$D$541)</f>
        <v/>
      </c>
      <c r="E540">
        <f>IF([1]Accounts!$D$541="","",[1]Accounts!$E$541)</f>
        <v/>
      </c>
      <c r="F540">
        <f>IF([1]Accounts!$D$541="","",[1]Accounts!$F$541)</f>
        <v/>
      </c>
      <c r="G540">
        <f>IF([1]Accounts!$D$541="","",[1]Accounts!$G$541)</f>
        <v/>
      </c>
      <c r="T540">
        <f>IF([2]Baskol!$B$543="","",[2]Baskol!$B$543)</f>
        <v/>
      </c>
      <c r="U540">
        <f>IF([2]Baskol!$C$543="","",[2]Baskol!$C$543)</f>
        <v/>
      </c>
      <c r="V540">
        <f>IF([2]Baskol!$D$543="","",[2]Baskol!$D$543)</f>
        <v/>
      </c>
      <c r="W540">
        <f>IF([2]Baskol!$E$543="","",[2]Baskol!$E$543)</f>
        <v/>
      </c>
      <c r="X540">
        <f>IF([2]Baskol!$G$543="","",[2]Baskol!$G$543)</f>
        <v/>
      </c>
      <c r="Y540">
        <f>IF([2]Baskol!$I$543="","",[2]Baskol!$I$543)</f>
        <v/>
      </c>
      <c r="Z540">
        <f>IF([2]Baskol!$J$543="","",[2]Baskol!$J$543)</f>
        <v/>
      </c>
      <c r="AA540">
        <f>IF([2]Baskol!$K$543="","",[2]Baskol!$K$543)</f>
        <v/>
      </c>
      <c r="AB540">
        <f>IF([2]Baskol!$L$543="","",[2]Baskol!$L$543)</f>
        <v/>
      </c>
      <c r="AC540">
        <f>IF([2]Baskol!$N$543="","",[2]Baskol!$N$543)</f>
        <v/>
      </c>
      <c r="AD540">
        <f>IF([2]Baskol!$O$543="","",[2]Baskol!$O$543)</f>
        <v/>
      </c>
      <c r="AE540">
        <f>IF([3]Entry!$C$543="","",[3]Entry!$C$543)</f>
        <v/>
      </c>
      <c r="AF540">
        <f>IF([3]Entry!$D$543="","",[3]Entry!$D$543)</f>
        <v/>
      </c>
      <c r="AG540">
        <f>IF([3]Entry!$E$543="","",[3]Entry!$E$543)</f>
        <v/>
      </c>
      <c r="AH540">
        <f>IF([3]Entry!$G$543="","",[3]Entry!$G$543)</f>
        <v/>
      </c>
      <c r="AI540">
        <f>IF([3]Entry!$K$543="","",[3]Entry!$K$543)</f>
        <v/>
      </c>
      <c r="AJ540">
        <f>IF([3]Entry!$L$543="","",[3]Entry!$L$543)</f>
        <v/>
      </c>
      <c r="AK540">
        <f>IF([3]Entry!$M$543="","",[3]Entry!$M$543)</f>
        <v/>
      </c>
      <c r="AL540">
        <f>IF([3]Entry!$N$543="","",[3]Entry!$N$543)</f>
        <v/>
      </c>
      <c r="AM540">
        <f>IF([3]Entry!$R$543="","",[3]Entry!$R$543)</f>
        <v/>
      </c>
    </row>
    <row r="541">
      <c r="A541">
        <f>IF([1]Accounts!$D$542="","",[1]Accounts!$A$542)</f>
        <v/>
      </c>
      <c r="B541">
        <f>IF([1]Accounts!$D$542="","",[1]Accounts!$B$542)</f>
        <v/>
      </c>
      <c r="C541">
        <f>IF([1]Accounts!$D$542="","",[1]Accounts!$C$542)</f>
        <v/>
      </c>
      <c r="D541">
        <f>IF([1]Accounts!$D$542="","",[1]Accounts!$D$542)</f>
        <v/>
      </c>
      <c r="E541">
        <f>IF([1]Accounts!$D$542="","",[1]Accounts!$E$542)</f>
        <v/>
      </c>
      <c r="F541">
        <f>IF([1]Accounts!$D$542="","",[1]Accounts!$F$542)</f>
        <v/>
      </c>
      <c r="G541">
        <f>IF([1]Accounts!$D$542="","",[1]Accounts!$G$542)</f>
        <v/>
      </c>
      <c r="T541">
        <f>IF([2]Baskol!$B$544="","",[2]Baskol!$B$544)</f>
        <v/>
      </c>
      <c r="U541">
        <f>IF([2]Baskol!$C$544="","",[2]Baskol!$C$544)</f>
        <v/>
      </c>
      <c r="V541">
        <f>IF([2]Baskol!$D$544="","",[2]Baskol!$D$544)</f>
        <v/>
      </c>
      <c r="W541">
        <f>IF([2]Baskol!$E$544="","",[2]Baskol!$E$544)</f>
        <v/>
      </c>
      <c r="X541">
        <f>IF([2]Baskol!$G$544="","",[2]Baskol!$G$544)</f>
        <v/>
      </c>
      <c r="Y541">
        <f>IF([2]Baskol!$I$544="","",[2]Baskol!$I$544)</f>
        <v/>
      </c>
      <c r="Z541">
        <f>IF([2]Baskol!$J$544="","",[2]Baskol!$J$544)</f>
        <v/>
      </c>
      <c r="AA541">
        <f>IF([2]Baskol!$K$544="","",[2]Baskol!$K$544)</f>
        <v/>
      </c>
      <c r="AB541">
        <f>IF([2]Baskol!$L$544="","",[2]Baskol!$L$544)</f>
        <v/>
      </c>
      <c r="AC541">
        <f>IF([2]Baskol!$N$544="","",[2]Baskol!$N$544)</f>
        <v/>
      </c>
      <c r="AD541">
        <f>IF([2]Baskol!$O$544="","",[2]Baskol!$O$544)</f>
        <v/>
      </c>
      <c r="AE541">
        <f>IF([3]Entry!$C$544="","",[3]Entry!$C$544)</f>
        <v/>
      </c>
      <c r="AF541">
        <f>IF([3]Entry!$D$544="","",[3]Entry!$D$544)</f>
        <v/>
      </c>
      <c r="AG541">
        <f>IF([3]Entry!$E$544="","",[3]Entry!$E$544)</f>
        <v/>
      </c>
      <c r="AH541">
        <f>IF([3]Entry!$G$544="","",[3]Entry!$G$544)</f>
        <v/>
      </c>
      <c r="AI541">
        <f>IF([3]Entry!$K$544="","",[3]Entry!$K$544)</f>
        <v/>
      </c>
      <c r="AJ541">
        <f>IF([3]Entry!$L$544="","",[3]Entry!$L$544)</f>
        <v/>
      </c>
      <c r="AK541">
        <f>IF([3]Entry!$M$544="","",[3]Entry!$M$544)</f>
        <v/>
      </c>
      <c r="AL541">
        <f>IF([3]Entry!$N$544="","",[3]Entry!$N$544)</f>
        <v/>
      </c>
      <c r="AM541">
        <f>IF([3]Entry!$R$544="","",[3]Entry!$R$544)</f>
        <v/>
      </c>
    </row>
    <row r="542">
      <c r="A542">
        <f>IF([1]Accounts!$D$543="","",[1]Accounts!$A$543)</f>
        <v/>
      </c>
      <c r="B542">
        <f>IF([1]Accounts!$D$543="","",[1]Accounts!$B$543)</f>
        <v/>
      </c>
      <c r="C542">
        <f>IF([1]Accounts!$D$543="","",[1]Accounts!$C$543)</f>
        <v/>
      </c>
      <c r="D542">
        <f>IF([1]Accounts!$D$543="","",[1]Accounts!$D$543)</f>
        <v/>
      </c>
      <c r="E542">
        <f>IF([1]Accounts!$D$543="","",[1]Accounts!$E$543)</f>
        <v/>
      </c>
      <c r="F542">
        <f>IF([1]Accounts!$D$543="","",[1]Accounts!$F$543)</f>
        <v/>
      </c>
      <c r="G542">
        <f>IF([1]Accounts!$D$543="","",[1]Accounts!$G$543)</f>
        <v/>
      </c>
      <c r="T542">
        <f>IF([2]Baskol!$B$545="","",[2]Baskol!$B$545)</f>
        <v/>
      </c>
      <c r="U542">
        <f>IF([2]Baskol!$C$545="","",[2]Baskol!$C$545)</f>
        <v/>
      </c>
      <c r="V542">
        <f>IF([2]Baskol!$D$545="","",[2]Baskol!$D$545)</f>
        <v/>
      </c>
      <c r="W542">
        <f>IF([2]Baskol!$E$545="","",[2]Baskol!$E$545)</f>
        <v/>
      </c>
      <c r="X542">
        <f>IF([2]Baskol!$G$545="","",[2]Baskol!$G$545)</f>
        <v/>
      </c>
      <c r="Y542">
        <f>IF([2]Baskol!$I$545="","",[2]Baskol!$I$545)</f>
        <v/>
      </c>
      <c r="Z542">
        <f>IF([2]Baskol!$J$545="","",[2]Baskol!$J$545)</f>
        <v/>
      </c>
      <c r="AA542">
        <f>IF([2]Baskol!$K$545="","",[2]Baskol!$K$545)</f>
        <v/>
      </c>
      <c r="AB542">
        <f>IF([2]Baskol!$L$545="","",[2]Baskol!$L$545)</f>
        <v/>
      </c>
      <c r="AC542">
        <f>IF([2]Baskol!$N$545="","",[2]Baskol!$N$545)</f>
        <v/>
      </c>
      <c r="AD542">
        <f>IF([2]Baskol!$O$545="","",[2]Baskol!$O$545)</f>
        <v/>
      </c>
      <c r="AE542">
        <f>IF([3]Entry!$C$545="","",[3]Entry!$C$545)</f>
        <v/>
      </c>
      <c r="AF542">
        <f>IF([3]Entry!$D$545="","",[3]Entry!$D$545)</f>
        <v/>
      </c>
      <c r="AG542">
        <f>IF([3]Entry!$E$545="","",[3]Entry!$E$545)</f>
        <v/>
      </c>
      <c r="AH542">
        <f>IF([3]Entry!$G$545="","",[3]Entry!$G$545)</f>
        <v/>
      </c>
      <c r="AI542">
        <f>IF([3]Entry!$K$545="","",[3]Entry!$K$545)</f>
        <v/>
      </c>
      <c r="AJ542">
        <f>IF([3]Entry!$L$545="","",[3]Entry!$L$545)</f>
        <v/>
      </c>
      <c r="AK542">
        <f>IF([3]Entry!$M$545="","",[3]Entry!$M$545)</f>
        <v/>
      </c>
      <c r="AL542">
        <f>IF([3]Entry!$N$545="","",[3]Entry!$N$545)</f>
        <v/>
      </c>
      <c r="AM542">
        <f>IF([3]Entry!$R$545="","",[3]Entry!$R$545)</f>
        <v/>
      </c>
    </row>
    <row r="543">
      <c r="A543">
        <f>IF([1]Accounts!$D$544="","",[1]Accounts!$A$544)</f>
        <v/>
      </c>
      <c r="B543">
        <f>IF([1]Accounts!$D$544="","",[1]Accounts!$B$544)</f>
        <v/>
      </c>
      <c r="C543">
        <f>IF([1]Accounts!$D$544="","",[1]Accounts!$C$544)</f>
        <v/>
      </c>
      <c r="D543">
        <f>IF([1]Accounts!$D$544="","",[1]Accounts!$D$544)</f>
        <v/>
      </c>
      <c r="E543">
        <f>IF([1]Accounts!$D$544="","",[1]Accounts!$E$544)</f>
        <v/>
      </c>
      <c r="F543">
        <f>IF([1]Accounts!$D$544="","",[1]Accounts!$F$544)</f>
        <v/>
      </c>
      <c r="G543">
        <f>IF([1]Accounts!$D$544="","",[1]Accounts!$G$544)</f>
        <v/>
      </c>
      <c r="T543">
        <f>IF([2]Baskol!$B$546="","",[2]Baskol!$B$546)</f>
        <v/>
      </c>
      <c r="U543">
        <f>IF([2]Baskol!$C$546="","",[2]Baskol!$C$546)</f>
        <v/>
      </c>
      <c r="V543">
        <f>IF([2]Baskol!$D$546="","",[2]Baskol!$D$546)</f>
        <v/>
      </c>
      <c r="W543">
        <f>IF([2]Baskol!$E$546="","",[2]Baskol!$E$546)</f>
        <v/>
      </c>
      <c r="X543">
        <f>IF([2]Baskol!$G$546="","",[2]Baskol!$G$546)</f>
        <v/>
      </c>
      <c r="Y543">
        <f>IF([2]Baskol!$I$546="","",[2]Baskol!$I$546)</f>
        <v/>
      </c>
      <c r="Z543">
        <f>IF([2]Baskol!$J$546="","",[2]Baskol!$J$546)</f>
        <v/>
      </c>
      <c r="AA543">
        <f>IF([2]Baskol!$K$546="","",[2]Baskol!$K$546)</f>
        <v/>
      </c>
      <c r="AB543">
        <f>IF([2]Baskol!$L$546="","",[2]Baskol!$L$546)</f>
        <v/>
      </c>
      <c r="AC543">
        <f>IF([2]Baskol!$N$546="","",[2]Baskol!$N$546)</f>
        <v/>
      </c>
      <c r="AD543">
        <f>IF([2]Baskol!$O$546="","",[2]Baskol!$O$546)</f>
        <v/>
      </c>
      <c r="AE543">
        <f>IF([3]Entry!$C$546="","",[3]Entry!$C$546)</f>
        <v/>
      </c>
      <c r="AF543">
        <f>IF([3]Entry!$D$546="","",[3]Entry!$D$546)</f>
        <v/>
      </c>
      <c r="AG543">
        <f>IF([3]Entry!$E$546="","",[3]Entry!$E$546)</f>
        <v/>
      </c>
      <c r="AH543">
        <f>IF([3]Entry!$G$546="","",[3]Entry!$G$546)</f>
        <v/>
      </c>
      <c r="AI543">
        <f>IF([3]Entry!$K$546="","",[3]Entry!$K$546)</f>
        <v/>
      </c>
      <c r="AJ543">
        <f>IF([3]Entry!$L$546="","",[3]Entry!$L$546)</f>
        <v/>
      </c>
      <c r="AK543">
        <f>IF([3]Entry!$M$546="","",[3]Entry!$M$546)</f>
        <v/>
      </c>
      <c r="AL543">
        <f>IF([3]Entry!$N$546="","",[3]Entry!$N$546)</f>
        <v/>
      </c>
      <c r="AM543">
        <f>IF([3]Entry!$R$546="","",[3]Entry!$R$546)</f>
        <v/>
      </c>
    </row>
    <row r="544">
      <c r="A544">
        <f>IF([1]Accounts!$D$545="","",[1]Accounts!$A$545)</f>
        <v/>
      </c>
      <c r="B544">
        <f>IF([1]Accounts!$D$545="","",[1]Accounts!$B$545)</f>
        <v/>
      </c>
      <c r="C544">
        <f>IF([1]Accounts!$D$545="","",[1]Accounts!$C$545)</f>
        <v/>
      </c>
      <c r="D544">
        <f>IF([1]Accounts!$D$545="","",[1]Accounts!$D$545)</f>
        <v/>
      </c>
      <c r="E544">
        <f>IF([1]Accounts!$D$545="","",[1]Accounts!$E$545)</f>
        <v/>
      </c>
      <c r="F544">
        <f>IF([1]Accounts!$D$545="","",[1]Accounts!$F$545)</f>
        <v/>
      </c>
      <c r="G544">
        <f>IF([1]Accounts!$D$545="","",[1]Accounts!$G$545)</f>
        <v/>
      </c>
      <c r="T544">
        <f>IF([2]Baskol!$B$547="","",[2]Baskol!$B$547)</f>
        <v/>
      </c>
      <c r="U544">
        <f>IF([2]Baskol!$C$547="","",[2]Baskol!$C$547)</f>
        <v/>
      </c>
      <c r="V544">
        <f>IF([2]Baskol!$D$547="","",[2]Baskol!$D$547)</f>
        <v/>
      </c>
      <c r="W544">
        <f>IF([2]Baskol!$E$547="","",[2]Baskol!$E$547)</f>
        <v/>
      </c>
      <c r="X544">
        <f>IF([2]Baskol!$G$547="","",[2]Baskol!$G$547)</f>
        <v/>
      </c>
      <c r="Y544">
        <f>IF([2]Baskol!$I$547="","",[2]Baskol!$I$547)</f>
        <v/>
      </c>
      <c r="Z544">
        <f>IF([2]Baskol!$J$547="","",[2]Baskol!$J$547)</f>
        <v/>
      </c>
      <c r="AA544">
        <f>IF([2]Baskol!$K$547="","",[2]Baskol!$K$547)</f>
        <v/>
      </c>
      <c r="AB544">
        <f>IF([2]Baskol!$L$547="","",[2]Baskol!$L$547)</f>
        <v/>
      </c>
      <c r="AC544">
        <f>IF([2]Baskol!$N$547="","",[2]Baskol!$N$547)</f>
        <v/>
      </c>
      <c r="AD544">
        <f>IF([2]Baskol!$O$547="","",[2]Baskol!$O$547)</f>
        <v/>
      </c>
      <c r="AE544">
        <f>IF([3]Entry!$C$547="","",[3]Entry!$C$547)</f>
        <v/>
      </c>
      <c r="AF544">
        <f>IF([3]Entry!$D$547="","",[3]Entry!$D$547)</f>
        <v/>
      </c>
      <c r="AG544">
        <f>IF([3]Entry!$E$547="","",[3]Entry!$E$547)</f>
        <v/>
      </c>
      <c r="AH544">
        <f>IF([3]Entry!$G$547="","",[3]Entry!$G$547)</f>
        <v/>
      </c>
      <c r="AI544">
        <f>IF([3]Entry!$K$547="","",[3]Entry!$K$547)</f>
        <v/>
      </c>
      <c r="AJ544">
        <f>IF([3]Entry!$L$547="","",[3]Entry!$L$547)</f>
        <v/>
      </c>
      <c r="AK544">
        <f>IF([3]Entry!$M$547="","",[3]Entry!$M$547)</f>
        <v/>
      </c>
      <c r="AL544">
        <f>IF([3]Entry!$N$547="","",[3]Entry!$N$547)</f>
        <v/>
      </c>
      <c r="AM544">
        <f>IF([3]Entry!$R$547="","",[3]Entry!$R$547)</f>
        <v/>
      </c>
    </row>
    <row r="545">
      <c r="A545">
        <f>IF([1]Accounts!$D$546="","",[1]Accounts!$A$546)</f>
        <v/>
      </c>
      <c r="B545">
        <f>IF([1]Accounts!$D$546="","",[1]Accounts!$B$546)</f>
        <v/>
      </c>
      <c r="C545">
        <f>IF([1]Accounts!$D$546="","",[1]Accounts!$C$546)</f>
        <v/>
      </c>
      <c r="D545">
        <f>IF([1]Accounts!$D$546="","",[1]Accounts!$D$546)</f>
        <v/>
      </c>
      <c r="E545">
        <f>IF([1]Accounts!$D$546="","",[1]Accounts!$E$546)</f>
        <v/>
      </c>
      <c r="F545">
        <f>IF([1]Accounts!$D$546="","",[1]Accounts!$F$546)</f>
        <v/>
      </c>
      <c r="G545">
        <f>IF([1]Accounts!$D$546="","",[1]Accounts!$G$546)</f>
        <v/>
      </c>
      <c r="T545">
        <f>IF([2]Baskol!$B$548="","",[2]Baskol!$B$548)</f>
        <v/>
      </c>
      <c r="U545">
        <f>IF([2]Baskol!$C$548="","",[2]Baskol!$C$548)</f>
        <v/>
      </c>
      <c r="V545">
        <f>IF([2]Baskol!$D$548="","",[2]Baskol!$D$548)</f>
        <v/>
      </c>
      <c r="W545">
        <f>IF([2]Baskol!$E$548="","",[2]Baskol!$E$548)</f>
        <v/>
      </c>
      <c r="X545">
        <f>IF([2]Baskol!$G$548="","",[2]Baskol!$G$548)</f>
        <v/>
      </c>
      <c r="Y545">
        <f>IF([2]Baskol!$I$548="","",[2]Baskol!$I$548)</f>
        <v/>
      </c>
      <c r="Z545">
        <f>IF([2]Baskol!$J$548="","",[2]Baskol!$J$548)</f>
        <v/>
      </c>
      <c r="AA545">
        <f>IF([2]Baskol!$K$548="","",[2]Baskol!$K$548)</f>
        <v/>
      </c>
      <c r="AB545">
        <f>IF([2]Baskol!$L$548="","",[2]Baskol!$L$548)</f>
        <v/>
      </c>
      <c r="AC545">
        <f>IF([2]Baskol!$N$548="","",[2]Baskol!$N$548)</f>
        <v/>
      </c>
      <c r="AD545">
        <f>IF([2]Baskol!$O$548="","",[2]Baskol!$O$548)</f>
        <v/>
      </c>
      <c r="AE545">
        <f>IF([3]Entry!$C$548="","",[3]Entry!$C$548)</f>
        <v/>
      </c>
      <c r="AF545">
        <f>IF([3]Entry!$D$548="","",[3]Entry!$D$548)</f>
        <v/>
      </c>
      <c r="AG545">
        <f>IF([3]Entry!$E$548="","",[3]Entry!$E$548)</f>
        <v/>
      </c>
      <c r="AH545">
        <f>IF([3]Entry!$G$548="","",[3]Entry!$G$548)</f>
        <v/>
      </c>
      <c r="AI545">
        <f>IF([3]Entry!$K$548="","",[3]Entry!$K$548)</f>
        <v/>
      </c>
      <c r="AJ545">
        <f>IF([3]Entry!$L$548="","",[3]Entry!$L$548)</f>
        <v/>
      </c>
      <c r="AK545">
        <f>IF([3]Entry!$M$548="","",[3]Entry!$M$548)</f>
        <v/>
      </c>
      <c r="AL545">
        <f>IF([3]Entry!$N$548="","",[3]Entry!$N$548)</f>
        <v/>
      </c>
      <c r="AM545">
        <f>IF([3]Entry!$R$548="","",[3]Entry!$R$548)</f>
        <v/>
      </c>
    </row>
    <row r="546">
      <c r="A546">
        <f>IF([1]Accounts!$D$547="","",[1]Accounts!$A$547)</f>
        <v/>
      </c>
      <c r="B546">
        <f>IF([1]Accounts!$D$547="","",[1]Accounts!$B$547)</f>
        <v/>
      </c>
      <c r="C546">
        <f>IF([1]Accounts!$D$547="","",[1]Accounts!$C$547)</f>
        <v/>
      </c>
      <c r="D546">
        <f>IF([1]Accounts!$D$547="","",[1]Accounts!$D$547)</f>
        <v/>
      </c>
      <c r="E546">
        <f>IF([1]Accounts!$D$547="","",[1]Accounts!$E$547)</f>
        <v/>
      </c>
      <c r="F546">
        <f>IF([1]Accounts!$D$547="","",[1]Accounts!$F$547)</f>
        <v/>
      </c>
      <c r="G546">
        <f>IF([1]Accounts!$D$547="","",[1]Accounts!$G$547)</f>
        <v/>
      </c>
      <c r="T546">
        <f>IF([2]Baskol!$B$549="","",[2]Baskol!$B$549)</f>
        <v/>
      </c>
      <c r="U546">
        <f>IF([2]Baskol!$C$549="","",[2]Baskol!$C$549)</f>
        <v/>
      </c>
      <c r="V546">
        <f>IF([2]Baskol!$D$549="","",[2]Baskol!$D$549)</f>
        <v/>
      </c>
      <c r="W546">
        <f>IF([2]Baskol!$E$549="","",[2]Baskol!$E$549)</f>
        <v/>
      </c>
      <c r="X546">
        <f>IF([2]Baskol!$G$549="","",[2]Baskol!$G$549)</f>
        <v/>
      </c>
      <c r="Y546">
        <f>IF([2]Baskol!$I$549="","",[2]Baskol!$I$549)</f>
        <v/>
      </c>
      <c r="Z546">
        <f>IF([2]Baskol!$J$549="","",[2]Baskol!$J$549)</f>
        <v/>
      </c>
      <c r="AA546">
        <f>IF([2]Baskol!$K$549="","",[2]Baskol!$K$549)</f>
        <v/>
      </c>
      <c r="AB546">
        <f>IF([2]Baskol!$L$549="","",[2]Baskol!$L$549)</f>
        <v/>
      </c>
      <c r="AC546">
        <f>IF([2]Baskol!$N$549="","",[2]Baskol!$N$549)</f>
        <v/>
      </c>
      <c r="AD546">
        <f>IF([2]Baskol!$O$549="","",[2]Baskol!$O$549)</f>
        <v/>
      </c>
      <c r="AE546">
        <f>IF([3]Entry!$C$549="","",[3]Entry!$C$549)</f>
        <v/>
      </c>
      <c r="AF546">
        <f>IF([3]Entry!$D$549="","",[3]Entry!$D$549)</f>
        <v/>
      </c>
      <c r="AG546">
        <f>IF([3]Entry!$E$549="","",[3]Entry!$E$549)</f>
        <v/>
      </c>
      <c r="AH546">
        <f>IF([3]Entry!$G$549="","",[3]Entry!$G$549)</f>
        <v/>
      </c>
      <c r="AI546">
        <f>IF([3]Entry!$K$549="","",[3]Entry!$K$549)</f>
        <v/>
      </c>
      <c r="AJ546">
        <f>IF([3]Entry!$L$549="","",[3]Entry!$L$549)</f>
        <v/>
      </c>
      <c r="AK546">
        <f>IF([3]Entry!$M$549="","",[3]Entry!$M$549)</f>
        <v/>
      </c>
      <c r="AL546">
        <f>IF([3]Entry!$N$549="","",[3]Entry!$N$549)</f>
        <v/>
      </c>
      <c r="AM546">
        <f>IF([3]Entry!$R$549="","",[3]Entry!$R$549)</f>
        <v/>
      </c>
    </row>
    <row r="547">
      <c r="A547">
        <f>IF([1]Accounts!$D$548="","",[1]Accounts!$A$548)</f>
        <v/>
      </c>
      <c r="B547">
        <f>IF([1]Accounts!$D$548="","",[1]Accounts!$B$548)</f>
        <v/>
      </c>
      <c r="C547">
        <f>IF([1]Accounts!$D$548="","",[1]Accounts!$C$548)</f>
        <v/>
      </c>
      <c r="D547">
        <f>IF([1]Accounts!$D$548="","",[1]Accounts!$D$548)</f>
        <v/>
      </c>
      <c r="E547">
        <f>IF([1]Accounts!$D$548="","",[1]Accounts!$E$548)</f>
        <v/>
      </c>
      <c r="F547">
        <f>IF([1]Accounts!$D$548="","",[1]Accounts!$F$548)</f>
        <v/>
      </c>
      <c r="G547">
        <f>IF([1]Accounts!$D$548="","",[1]Accounts!$G$548)</f>
        <v/>
      </c>
      <c r="T547">
        <f>IF([2]Baskol!$B$550="","",[2]Baskol!$B$550)</f>
        <v/>
      </c>
      <c r="U547">
        <f>IF([2]Baskol!$C$550="","",[2]Baskol!$C$550)</f>
        <v/>
      </c>
      <c r="V547">
        <f>IF([2]Baskol!$D$550="","",[2]Baskol!$D$550)</f>
        <v/>
      </c>
      <c r="W547">
        <f>IF([2]Baskol!$E$550="","",[2]Baskol!$E$550)</f>
        <v/>
      </c>
      <c r="X547">
        <f>IF([2]Baskol!$G$550="","",[2]Baskol!$G$550)</f>
        <v/>
      </c>
      <c r="Y547">
        <f>IF([2]Baskol!$I$550="","",[2]Baskol!$I$550)</f>
        <v/>
      </c>
      <c r="Z547">
        <f>IF([2]Baskol!$J$550="","",[2]Baskol!$J$550)</f>
        <v/>
      </c>
      <c r="AA547">
        <f>IF([2]Baskol!$K$550="","",[2]Baskol!$K$550)</f>
        <v/>
      </c>
      <c r="AB547">
        <f>IF([2]Baskol!$L$550="","",[2]Baskol!$L$550)</f>
        <v/>
      </c>
      <c r="AC547">
        <f>IF([2]Baskol!$N$550="","",[2]Baskol!$N$550)</f>
        <v/>
      </c>
      <c r="AD547">
        <f>IF([2]Baskol!$O$550="","",[2]Baskol!$O$550)</f>
        <v/>
      </c>
      <c r="AE547">
        <f>IF([3]Entry!$C$550="","",[3]Entry!$C$550)</f>
        <v/>
      </c>
      <c r="AF547">
        <f>IF([3]Entry!$D$550="","",[3]Entry!$D$550)</f>
        <v/>
      </c>
      <c r="AG547">
        <f>IF([3]Entry!$E$550="","",[3]Entry!$E$550)</f>
        <v/>
      </c>
      <c r="AH547">
        <f>IF([3]Entry!$G$550="","",[3]Entry!$G$550)</f>
        <v/>
      </c>
      <c r="AI547">
        <f>IF([3]Entry!$K$550="","",[3]Entry!$K$550)</f>
        <v/>
      </c>
      <c r="AJ547">
        <f>IF([3]Entry!$L$550="","",[3]Entry!$L$550)</f>
        <v/>
      </c>
      <c r="AK547">
        <f>IF([3]Entry!$M$550="","",[3]Entry!$M$550)</f>
        <v/>
      </c>
      <c r="AL547">
        <f>IF([3]Entry!$N$550="","",[3]Entry!$N$550)</f>
        <v/>
      </c>
      <c r="AM547">
        <f>IF([3]Entry!$R$550="","",[3]Entry!$R$550)</f>
        <v/>
      </c>
    </row>
    <row r="548">
      <c r="A548">
        <f>IF([1]Accounts!$D$549="","",[1]Accounts!$A$549)</f>
        <v/>
      </c>
      <c r="B548">
        <f>IF([1]Accounts!$D$549="","",[1]Accounts!$B$549)</f>
        <v/>
      </c>
      <c r="C548">
        <f>IF([1]Accounts!$D$549="","",[1]Accounts!$C$549)</f>
        <v/>
      </c>
      <c r="D548">
        <f>IF([1]Accounts!$D$549="","",[1]Accounts!$D$549)</f>
        <v/>
      </c>
      <c r="E548">
        <f>IF([1]Accounts!$D$549="","",[1]Accounts!$E$549)</f>
        <v/>
      </c>
      <c r="F548">
        <f>IF([1]Accounts!$D$549="","",[1]Accounts!$F$549)</f>
        <v/>
      </c>
      <c r="G548">
        <f>IF([1]Accounts!$D$549="","",[1]Accounts!$G$549)</f>
        <v/>
      </c>
      <c r="T548">
        <f>IF([2]Baskol!$B$551="","",[2]Baskol!$B$551)</f>
        <v/>
      </c>
      <c r="U548">
        <f>IF([2]Baskol!$C$551="","",[2]Baskol!$C$551)</f>
        <v/>
      </c>
      <c r="V548">
        <f>IF([2]Baskol!$D$551="","",[2]Baskol!$D$551)</f>
        <v/>
      </c>
      <c r="W548">
        <f>IF([2]Baskol!$E$551="","",[2]Baskol!$E$551)</f>
        <v/>
      </c>
      <c r="X548">
        <f>IF([2]Baskol!$G$551="","",[2]Baskol!$G$551)</f>
        <v/>
      </c>
      <c r="Y548">
        <f>IF([2]Baskol!$I$551="","",[2]Baskol!$I$551)</f>
        <v/>
      </c>
      <c r="Z548">
        <f>IF([2]Baskol!$J$551="","",[2]Baskol!$J$551)</f>
        <v/>
      </c>
      <c r="AA548">
        <f>IF([2]Baskol!$K$551="","",[2]Baskol!$K$551)</f>
        <v/>
      </c>
      <c r="AB548">
        <f>IF([2]Baskol!$L$551="","",[2]Baskol!$L$551)</f>
        <v/>
      </c>
      <c r="AC548">
        <f>IF([2]Baskol!$N$551="","",[2]Baskol!$N$551)</f>
        <v/>
      </c>
      <c r="AD548">
        <f>IF([2]Baskol!$O$551="","",[2]Baskol!$O$551)</f>
        <v/>
      </c>
      <c r="AE548">
        <f>IF([3]Entry!$C$551="","",[3]Entry!$C$551)</f>
        <v/>
      </c>
      <c r="AF548">
        <f>IF([3]Entry!$D$551="","",[3]Entry!$D$551)</f>
        <v/>
      </c>
      <c r="AG548">
        <f>IF([3]Entry!$E$551="","",[3]Entry!$E$551)</f>
        <v/>
      </c>
      <c r="AH548">
        <f>IF([3]Entry!$G$551="","",[3]Entry!$G$551)</f>
        <v/>
      </c>
      <c r="AI548">
        <f>IF([3]Entry!$K$551="","",[3]Entry!$K$551)</f>
        <v/>
      </c>
      <c r="AJ548">
        <f>IF([3]Entry!$L$551="","",[3]Entry!$L$551)</f>
        <v/>
      </c>
      <c r="AK548">
        <f>IF([3]Entry!$M$551="","",[3]Entry!$M$551)</f>
        <v/>
      </c>
      <c r="AL548">
        <f>IF([3]Entry!$N$551="","",[3]Entry!$N$551)</f>
        <v/>
      </c>
      <c r="AM548">
        <f>IF([3]Entry!$R$551="","",[3]Entry!$R$551)</f>
        <v/>
      </c>
    </row>
    <row r="549">
      <c r="A549">
        <f>IF([1]Accounts!$D$550="","",[1]Accounts!$A$550)</f>
        <v/>
      </c>
      <c r="B549">
        <f>IF([1]Accounts!$D$550="","",[1]Accounts!$B$550)</f>
        <v/>
      </c>
      <c r="C549">
        <f>IF([1]Accounts!$D$550="","",[1]Accounts!$C$550)</f>
        <v/>
      </c>
      <c r="D549">
        <f>IF([1]Accounts!$D$550="","",[1]Accounts!$D$550)</f>
        <v/>
      </c>
      <c r="E549">
        <f>IF([1]Accounts!$D$550="","",[1]Accounts!$E$550)</f>
        <v/>
      </c>
      <c r="F549">
        <f>IF([1]Accounts!$D$550="","",[1]Accounts!$F$550)</f>
        <v/>
      </c>
      <c r="G549">
        <f>IF([1]Accounts!$D$550="","",[1]Accounts!$G$550)</f>
        <v/>
      </c>
      <c r="T549">
        <f>IF([2]Baskol!$B$552="","",[2]Baskol!$B$552)</f>
        <v/>
      </c>
      <c r="U549">
        <f>IF([2]Baskol!$C$552="","",[2]Baskol!$C$552)</f>
        <v/>
      </c>
      <c r="V549">
        <f>IF([2]Baskol!$D$552="","",[2]Baskol!$D$552)</f>
        <v/>
      </c>
      <c r="W549">
        <f>IF([2]Baskol!$E$552="","",[2]Baskol!$E$552)</f>
        <v/>
      </c>
      <c r="X549">
        <f>IF([2]Baskol!$G$552="","",[2]Baskol!$G$552)</f>
        <v/>
      </c>
      <c r="Y549">
        <f>IF([2]Baskol!$I$552="","",[2]Baskol!$I$552)</f>
        <v/>
      </c>
      <c r="Z549">
        <f>IF([2]Baskol!$J$552="","",[2]Baskol!$J$552)</f>
        <v/>
      </c>
      <c r="AA549">
        <f>IF([2]Baskol!$K$552="","",[2]Baskol!$K$552)</f>
        <v/>
      </c>
      <c r="AB549">
        <f>IF([2]Baskol!$L$552="","",[2]Baskol!$L$552)</f>
        <v/>
      </c>
      <c r="AC549">
        <f>IF([2]Baskol!$N$552="","",[2]Baskol!$N$552)</f>
        <v/>
      </c>
      <c r="AD549">
        <f>IF([2]Baskol!$O$552="","",[2]Baskol!$O$552)</f>
        <v/>
      </c>
      <c r="AE549">
        <f>IF([3]Entry!$C$552="","",[3]Entry!$C$552)</f>
        <v/>
      </c>
      <c r="AF549">
        <f>IF([3]Entry!$D$552="","",[3]Entry!$D$552)</f>
        <v/>
      </c>
      <c r="AG549">
        <f>IF([3]Entry!$E$552="","",[3]Entry!$E$552)</f>
        <v/>
      </c>
      <c r="AH549">
        <f>IF([3]Entry!$G$552="","",[3]Entry!$G$552)</f>
        <v/>
      </c>
      <c r="AI549">
        <f>IF([3]Entry!$K$552="","",[3]Entry!$K$552)</f>
        <v/>
      </c>
      <c r="AJ549">
        <f>IF([3]Entry!$L$552="","",[3]Entry!$L$552)</f>
        <v/>
      </c>
      <c r="AK549">
        <f>IF([3]Entry!$M$552="","",[3]Entry!$M$552)</f>
        <v/>
      </c>
      <c r="AL549">
        <f>IF([3]Entry!$N$552="","",[3]Entry!$N$552)</f>
        <v/>
      </c>
      <c r="AM549">
        <f>IF([3]Entry!$R$552="","",[3]Entry!$R$552)</f>
        <v/>
      </c>
    </row>
    <row r="550">
      <c r="A550">
        <f>IF([1]Accounts!$D$551="","",[1]Accounts!$A$551)</f>
        <v/>
      </c>
      <c r="B550">
        <f>IF([1]Accounts!$D$551="","",[1]Accounts!$B$551)</f>
        <v/>
      </c>
      <c r="C550">
        <f>IF([1]Accounts!$D$551="","",[1]Accounts!$C$551)</f>
        <v/>
      </c>
      <c r="D550">
        <f>IF([1]Accounts!$D$551="","",[1]Accounts!$D$551)</f>
        <v/>
      </c>
      <c r="E550">
        <f>IF([1]Accounts!$D$551="","",[1]Accounts!$E$551)</f>
        <v/>
      </c>
      <c r="F550">
        <f>IF([1]Accounts!$D$551="","",[1]Accounts!$F$551)</f>
        <v/>
      </c>
      <c r="G550">
        <f>IF([1]Accounts!$D$551="","",[1]Accounts!$G$551)</f>
        <v/>
      </c>
      <c r="T550">
        <f>IF([2]Baskol!$B$553="","",[2]Baskol!$B$553)</f>
        <v/>
      </c>
      <c r="U550">
        <f>IF([2]Baskol!$C$553="","",[2]Baskol!$C$553)</f>
        <v/>
      </c>
      <c r="V550">
        <f>IF([2]Baskol!$D$553="","",[2]Baskol!$D$553)</f>
        <v/>
      </c>
      <c r="W550">
        <f>IF([2]Baskol!$E$553="","",[2]Baskol!$E$553)</f>
        <v/>
      </c>
      <c r="X550">
        <f>IF([2]Baskol!$G$553="","",[2]Baskol!$G$553)</f>
        <v/>
      </c>
      <c r="Y550">
        <f>IF([2]Baskol!$I$553="","",[2]Baskol!$I$553)</f>
        <v/>
      </c>
      <c r="Z550">
        <f>IF([2]Baskol!$J$553="","",[2]Baskol!$J$553)</f>
        <v/>
      </c>
      <c r="AA550">
        <f>IF([2]Baskol!$K$553="","",[2]Baskol!$K$553)</f>
        <v/>
      </c>
      <c r="AB550">
        <f>IF([2]Baskol!$L$553="","",[2]Baskol!$L$553)</f>
        <v/>
      </c>
      <c r="AC550">
        <f>IF([2]Baskol!$N$553="","",[2]Baskol!$N$553)</f>
        <v/>
      </c>
      <c r="AD550">
        <f>IF([2]Baskol!$O$553="","",[2]Baskol!$O$553)</f>
        <v/>
      </c>
      <c r="AE550">
        <f>IF([3]Entry!$C$553="","",[3]Entry!$C$553)</f>
        <v/>
      </c>
      <c r="AF550">
        <f>IF([3]Entry!$D$553="","",[3]Entry!$D$553)</f>
        <v/>
      </c>
      <c r="AG550">
        <f>IF([3]Entry!$E$553="","",[3]Entry!$E$553)</f>
        <v/>
      </c>
      <c r="AH550">
        <f>IF([3]Entry!$G$553="","",[3]Entry!$G$553)</f>
        <v/>
      </c>
      <c r="AI550">
        <f>IF([3]Entry!$K$553="","",[3]Entry!$K$553)</f>
        <v/>
      </c>
      <c r="AJ550">
        <f>IF([3]Entry!$L$553="","",[3]Entry!$L$553)</f>
        <v/>
      </c>
      <c r="AK550">
        <f>IF([3]Entry!$M$553="","",[3]Entry!$M$553)</f>
        <v/>
      </c>
      <c r="AL550">
        <f>IF([3]Entry!$N$553="","",[3]Entry!$N$553)</f>
        <v/>
      </c>
      <c r="AM550">
        <f>IF([3]Entry!$R$553="","",[3]Entry!$R$553)</f>
        <v/>
      </c>
    </row>
    <row r="551">
      <c r="A551">
        <f>IF([1]Accounts!$D$552="","",[1]Accounts!$A$552)</f>
        <v/>
      </c>
      <c r="B551">
        <f>IF([1]Accounts!$D$552="","",[1]Accounts!$B$552)</f>
        <v/>
      </c>
      <c r="C551">
        <f>IF([1]Accounts!$D$552="","",[1]Accounts!$C$552)</f>
        <v/>
      </c>
      <c r="D551">
        <f>IF([1]Accounts!$D$552="","",[1]Accounts!$D$552)</f>
        <v/>
      </c>
      <c r="E551">
        <f>IF([1]Accounts!$D$552="","",[1]Accounts!$E$552)</f>
        <v/>
      </c>
      <c r="F551">
        <f>IF([1]Accounts!$D$552="","",[1]Accounts!$F$552)</f>
        <v/>
      </c>
      <c r="G551">
        <f>IF([1]Accounts!$D$552="","",[1]Accounts!$G$552)</f>
        <v/>
      </c>
      <c r="T551">
        <f>IF([2]Baskol!$B$554="","",[2]Baskol!$B$554)</f>
        <v/>
      </c>
      <c r="U551">
        <f>IF([2]Baskol!$C$554="","",[2]Baskol!$C$554)</f>
        <v/>
      </c>
      <c r="V551">
        <f>IF([2]Baskol!$D$554="","",[2]Baskol!$D$554)</f>
        <v/>
      </c>
      <c r="W551">
        <f>IF([2]Baskol!$E$554="","",[2]Baskol!$E$554)</f>
        <v/>
      </c>
      <c r="X551">
        <f>IF([2]Baskol!$G$554="","",[2]Baskol!$G$554)</f>
        <v/>
      </c>
      <c r="Y551">
        <f>IF([2]Baskol!$I$554="","",[2]Baskol!$I$554)</f>
        <v/>
      </c>
      <c r="Z551">
        <f>IF([2]Baskol!$J$554="","",[2]Baskol!$J$554)</f>
        <v/>
      </c>
      <c r="AA551">
        <f>IF([2]Baskol!$K$554="","",[2]Baskol!$K$554)</f>
        <v/>
      </c>
      <c r="AB551">
        <f>IF([2]Baskol!$L$554="","",[2]Baskol!$L$554)</f>
        <v/>
      </c>
      <c r="AC551">
        <f>IF([2]Baskol!$N$554="","",[2]Baskol!$N$554)</f>
        <v/>
      </c>
      <c r="AD551">
        <f>IF([2]Baskol!$O$554="","",[2]Baskol!$O$554)</f>
        <v/>
      </c>
      <c r="AE551">
        <f>IF([3]Entry!$C$554="","",[3]Entry!$C$554)</f>
        <v/>
      </c>
      <c r="AF551">
        <f>IF([3]Entry!$D$554="","",[3]Entry!$D$554)</f>
        <v/>
      </c>
      <c r="AG551">
        <f>IF([3]Entry!$E$554="","",[3]Entry!$E$554)</f>
        <v/>
      </c>
      <c r="AH551">
        <f>IF([3]Entry!$G$554="","",[3]Entry!$G$554)</f>
        <v/>
      </c>
      <c r="AI551">
        <f>IF([3]Entry!$K$554="","",[3]Entry!$K$554)</f>
        <v/>
      </c>
      <c r="AJ551">
        <f>IF([3]Entry!$L$554="","",[3]Entry!$L$554)</f>
        <v/>
      </c>
      <c r="AK551">
        <f>IF([3]Entry!$M$554="","",[3]Entry!$M$554)</f>
        <v/>
      </c>
      <c r="AL551">
        <f>IF([3]Entry!$N$554="","",[3]Entry!$N$554)</f>
        <v/>
      </c>
      <c r="AM551">
        <f>IF([3]Entry!$R$554="","",[3]Entry!$R$554)</f>
        <v/>
      </c>
    </row>
    <row r="552">
      <c r="A552">
        <f>IF([1]Accounts!$D$553="","",[1]Accounts!$A$553)</f>
        <v/>
      </c>
      <c r="B552">
        <f>IF([1]Accounts!$D$553="","",[1]Accounts!$B$553)</f>
        <v/>
      </c>
      <c r="C552">
        <f>IF([1]Accounts!$D$553="","",[1]Accounts!$C$553)</f>
        <v/>
      </c>
      <c r="D552">
        <f>IF([1]Accounts!$D$553="","",[1]Accounts!$D$553)</f>
        <v/>
      </c>
      <c r="E552">
        <f>IF([1]Accounts!$D$553="","",[1]Accounts!$E$553)</f>
        <v/>
      </c>
      <c r="F552">
        <f>IF([1]Accounts!$D$553="","",[1]Accounts!$F$553)</f>
        <v/>
      </c>
      <c r="G552">
        <f>IF([1]Accounts!$D$553="","",[1]Accounts!$G$553)</f>
        <v/>
      </c>
      <c r="T552">
        <f>IF([2]Baskol!$B$555="","",[2]Baskol!$B$555)</f>
        <v/>
      </c>
      <c r="U552">
        <f>IF([2]Baskol!$C$555="","",[2]Baskol!$C$555)</f>
        <v/>
      </c>
      <c r="V552">
        <f>IF([2]Baskol!$D$555="","",[2]Baskol!$D$555)</f>
        <v/>
      </c>
      <c r="W552">
        <f>IF([2]Baskol!$E$555="","",[2]Baskol!$E$555)</f>
        <v/>
      </c>
      <c r="X552">
        <f>IF([2]Baskol!$G$555="","",[2]Baskol!$G$555)</f>
        <v/>
      </c>
      <c r="Y552">
        <f>IF([2]Baskol!$I$555="","",[2]Baskol!$I$555)</f>
        <v/>
      </c>
      <c r="Z552">
        <f>IF([2]Baskol!$J$555="","",[2]Baskol!$J$555)</f>
        <v/>
      </c>
      <c r="AA552">
        <f>IF([2]Baskol!$K$555="","",[2]Baskol!$K$555)</f>
        <v/>
      </c>
      <c r="AB552">
        <f>IF([2]Baskol!$L$555="","",[2]Baskol!$L$555)</f>
        <v/>
      </c>
      <c r="AC552">
        <f>IF([2]Baskol!$N$555="","",[2]Baskol!$N$555)</f>
        <v/>
      </c>
      <c r="AD552">
        <f>IF([2]Baskol!$O$555="","",[2]Baskol!$O$555)</f>
        <v/>
      </c>
      <c r="AE552">
        <f>IF([3]Entry!$C$555="","",[3]Entry!$C$555)</f>
        <v/>
      </c>
      <c r="AF552">
        <f>IF([3]Entry!$D$555="","",[3]Entry!$D$555)</f>
        <v/>
      </c>
      <c r="AG552">
        <f>IF([3]Entry!$E$555="","",[3]Entry!$E$555)</f>
        <v/>
      </c>
      <c r="AH552">
        <f>IF([3]Entry!$G$555="","",[3]Entry!$G$555)</f>
        <v/>
      </c>
      <c r="AI552">
        <f>IF([3]Entry!$K$555="","",[3]Entry!$K$555)</f>
        <v/>
      </c>
      <c r="AJ552">
        <f>IF([3]Entry!$L$555="","",[3]Entry!$L$555)</f>
        <v/>
      </c>
      <c r="AK552">
        <f>IF([3]Entry!$M$555="","",[3]Entry!$M$555)</f>
        <v/>
      </c>
      <c r="AL552">
        <f>IF([3]Entry!$N$555="","",[3]Entry!$N$555)</f>
        <v/>
      </c>
      <c r="AM552">
        <f>IF([3]Entry!$R$555="","",[3]Entry!$R$555)</f>
        <v/>
      </c>
    </row>
    <row r="553">
      <c r="A553">
        <f>IF([1]Accounts!$D$554="","",[1]Accounts!$A$554)</f>
        <v/>
      </c>
      <c r="B553">
        <f>IF([1]Accounts!$D$554="","",[1]Accounts!$B$554)</f>
        <v/>
      </c>
      <c r="C553">
        <f>IF([1]Accounts!$D$554="","",[1]Accounts!$C$554)</f>
        <v/>
      </c>
      <c r="D553">
        <f>IF([1]Accounts!$D$554="","",[1]Accounts!$D$554)</f>
        <v/>
      </c>
      <c r="E553">
        <f>IF([1]Accounts!$D$554="","",[1]Accounts!$E$554)</f>
        <v/>
      </c>
      <c r="F553">
        <f>IF([1]Accounts!$D$554="","",[1]Accounts!$F$554)</f>
        <v/>
      </c>
      <c r="G553">
        <f>IF([1]Accounts!$D$554="","",[1]Accounts!$G$554)</f>
        <v/>
      </c>
      <c r="T553">
        <f>IF([2]Baskol!$B$556="","",[2]Baskol!$B$556)</f>
        <v/>
      </c>
      <c r="U553">
        <f>IF([2]Baskol!$C$556="","",[2]Baskol!$C$556)</f>
        <v/>
      </c>
      <c r="V553">
        <f>IF([2]Baskol!$D$556="","",[2]Baskol!$D$556)</f>
        <v/>
      </c>
      <c r="W553">
        <f>IF([2]Baskol!$E$556="","",[2]Baskol!$E$556)</f>
        <v/>
      </c>
      <c r="X553">
        <f>IF([2]Baskol!$G$556="","",[2]Baskol!$G$556)</f>
        <v/>
      </c>
      <c r="Y553">
        <f>IF([2]Baskol!$I$556="","",[2]Baskol!$I$556)</f>
        <v/>
      </c>
      <c r="Z553">
        <f>IF([2]Baskol!$J$556="","",[2]Baskol!$J$556)</f>
        <v/>
      </c>
      <c r="AA553">
        <f>IF([2]Baskol!$K$556="","",[2]Baskol!$K$556)</f>
        <v/>
      </c>
      <c r="AB553">
        <f>IF([2]Baskol!$L$556="","",[2]Baskol!$L$556)</f>
        <v/>
      </c>
      <c r="AC553">
        <f>IF([2]Baskol!$N$556="","",[2]Baskol!$N$556)</f>
        <v/>
      </c>
      <c r="AD553">
        <f>IF([2]Baskol!$O$556="","",[2]Baskol!$O$556)</f>
        <v/>
      </c>
      <c r="AE553">
        <f>IF([3]Entry!$C$556="","",[3]Entry!$C$556)</f>
        <v/>
      </c>
      <c r="AF553">
        <f>IF([3]Entry!$D$556="","",[3]Entry!$D$556)</f>
        <v/>
      </c>
      <c r="AG553">
        <f>IF([3]Entry!$E$556="","",[3]Entry!$E$556)</f>
        <v/>
      </c>
      <c r="AH553">
        <f>IF([3]Entry!$G$556="","",[3]Entry!$G$556)</f>
        <v/>
      </c>
      <c r="AI553">
        <f>IF([3]Entry!$K$556="","",[3]Entry!$K$556)</f>
        <v/>
      </c>
      <c r="AJ553">
        <f>IF([3]Entry!$L$556="","",[3]Entry!$L$556)</f>
        <v/>
      </c>
      <c r="AK553">
        <f>IF([3]Entry!$M$556="","",[3]Entry!$M$556)</f>
        <v/>
      </c>
      <c r="AL553">
        <f>IF([3]Entry!$N$556="","",[3]Entry!$N$556)</f>
        <v/>
      </c>
      <c r="AM553">
        <f>IF([3]Entry!$R$556="","",[3]Entry!$R$556)</f>
        <v/>
      </c>
    </row>
    <row r="554">
      <c r="A554">
        <f>IF([1]Accounts!$D$555="","",[1]Accounts!$A$555)</f>
        <v/>
      </c>
      <c r="B554">
        <f>IF([1]Accounts!$D$555="","",[1]Accounts!$B$555)</f>
        <v/>
      </c>
      <c r="C554">
        <f>IF([1]Accounts!$D$555="","",[1]Accounts!$C$555)</f>
        <v/>
      </c>
      <c r="D554">
        <f>IF([1]Accounts!$D$555="","",[1]Accounts!$D$555)</f>
        <v/>
      </c>
      <c r="E554">
        <f>IF([1]Accounts!$D$555="","",[1]Accounts!$E$555)</f>
        <v/>
      </c>
      <c r="F554">
        <f>IF([1]Accounts!$D$555="","",[1]Accounts!$F$555)</f>
        <v/>
      </c>
      <c r="G554">
        <f>IF([1]Accounts!$D$555="","",[1]Accounts!$G$555)</f>
        <v/>
      </c>
      <c r="T554">
        <f>IF([2]Baskol!$B$557="","",[2]Baskol!$B$557)</f>
        <v/>
      </c>
      <c r="U554">
        <f>IF([2]Baskol!$C$557="","",[2]Baskol!$C$557)</f>
        <v/>
      </c>
      <c r="V554">
        <f>IF([2]Baskol!$D$557="","",[2]Baskol!$D$557)</f>
        <v/>
      </c>
      <c r="W554">
        <f>IF([2]Baskol!$E$557="","",[2]Baskol!$E$557)</f>
        <v/>
      </c>
      <c r="X554">
        <f>IF([2]Baskol!$G$557="","",[2]Baskol!$G$557)</f>
        <v/>
      </c>
      <c r="Y554">
        <f>IF([2]Baskol!$I$557="","",[2]Baskol!$I$557)</f>
        <v/>
      </c>
      <c r="Z554">
        <f>IF([2]Baskol!$J$557="","",[2]Baskol!$J$557)</f>
        <v/>
      </c>
      <c r="AA554">
        <f>IF([2]Baskol!$K$557="","",[2]Baskol!$K$557)</f>
        <v/>
      </c>
      <c r="AB554">
        <f>IF([2]Baskol!$L$557="","",[2]Baskol!$L$557)</f>
        <v/>
      </c>
      <c r="AC554">
        <f>IF([2]Baskol!$N$557="","",[2]Baskol!$N$557)</f>
        <v/>
      </c>
      <c r="AD554">
        <f>IF([2]Baskol!$O$557="","",[2]Baskol!$O$557)</f>
        <v/>
      </c>
      <c r="AE554">
        <f>IF([3]Entry!$C$557="","",[3]Entry!$C$557)</f>
        <v/>
      </c>
      <c r="AF554">
        <f>IF([3]Entry!$D$557="","",[3]Entry!$D$557)</f>
        <v/>
      </c>
      <c r="AG554">
        <f>IF([3]Entry!$E$557="","",[3]Entry!$E$557)</f>
        <v/>
      </c>
      <c r="AH554">
        <f>IF([3]Entry!$G$557="","",[3]Entry!$G$557)</f>
        <v/>
      </c>
      <c r="AI554">
        <f>IF([3]Entry!$K$557="","",[3]Entry!$K$557)</f>
        <v/>
      </c>
      <c r="AJ554">
        <f>IF([3]Entry!$L$557="","",[3]Entry!$L$557)</f>
        <v/>
      </c>
      <c r="AK554">
        <f>IF([3]Entry!$M$557="","",[3]Entry!$M$557)</f>
        <v/>
      </c>
      <c r="AL554">
        <f>IF([3]Entry!$N$557="","",[3]Entry!$N$557)</f>
        <v/>
      </c>
      <c r="AM554">
        <f>IF([3]Entry!$R$557="","",[3]Entry!$R$557)</f>
        <v/>
      </c>
    </row>
    <row r="555">
      <c r="A555">
        <f>IF([1]Accounts!$D$556="","",[1]Accounts!$A$556)</f>
        <v/>
      </c>
      <c r="B555">
        <f>IF([1]Accounts!$D$556="","",[1]Accounts!$B$556)</f>
        <v/>
      </c>
      <c r="C555">
        <f>IF([1]Accounts!$D$556="","",[1]Accounts!$C$556)</f>
        <v/>
      </c>
      <c r="D555">
        <f>IF([1]Accounts!$D$556="","",[1]Accounts!$D$556)</f>
        <v/>
      </c>
      <c r="E555">
        <f>IF([1]Accounts!$D$556="","",[1]Accounts!$E$556)</f>
        <v/>
      </c>
      <c r="F555">
        <f>IF([1]Accounts!$D$556="","",[1]Accounts!$F$556)</f>
        <v/>
      </c>
      <c r="G555">
        <f>IF([1]Accounts!$D$556="","",[1]Accounts!$G$556)</f>
        <v/>
      </c>
      <c r="T555">
        <f>IF([2]Baskol!$B$558="","",[2]Baskol!$B$558)</f>
        <v/>
      </c>
      <c r="U555">
        <f>IF([2]Baskol!$C$558="","",[2]Baskol!$C$558)</f>
        <v/>
      </c>
      <c r="V555">
        <f>IF([2]Baskol!$D$558="","",[2]Baskol!$D$558)</f>
        <v/>
      </c>
      <c r="W555">
        <f>IF([2]Baskol!$E$558="","",[2]Baskol!$E$558)</f>
        <v/>
      </c>
      <c r="X555">
        <f>IF([2]Baskol!$G$558="","",[2]Baskol!$G$558)</f>
        <v/>
      </c>
      <c r="Y555">
        <f>IF([2]Baskol!$I$558="","",[2]Baskol!$I$558)</f>
        <v/>
      </c>
      <c r="Z555">
        <f>IF([2]Baskol!$J$558="","",[2]Baskol!$J$558)</f>
        <v/>
      </c>
      <c r="AA555">
        <f>IF([2]Baskol!$K$558="","",[2]Baskol!$K$558)</f>
        <v/>
      </c>
      <c r="AB555">
        <f>IF([2]Baskol!$L$558="","",[2]Baskol!$L$558)</f>
        <v/>
      </c>
      <c r="AC555">
        <f>IF([2]Baskol!$N$558="","",[2]Baskol!$N$558)</f>
        <v/>
      </c>
      <c r="AD555">
        <f>IF([2]Baskol!$O$558="","",[2]Baskol!$O$558)</f>
        <v/>
      </c>
      <c r="AE555">
        <f>IF([3]Entry!$C$558="","",[3]Entry!$C$558)</f>
        <v/>
      </c>
      <c r="AF555">
        <f>IF([3]Entry!$D$558="","",[3]Entry!$D$558)</f>
        <v/>
      </c>
      <c r="AG555">
        <f>IF([3]Entry!$E$558="","",[3]Entry!$E$558)</f>
        <v/>
      </c>
      <c r="AH555">
        <f>IF([3]Entry!$G$558="","",[3]Entry!$G$558)</f>
        <v/>
      </c>
      <c r="AI555">
        <f>IF([3]Entry!$K$558="","",[3]Entry!$K$558)</f>
        <v/>
      </c>
      <c r="AJ555">
        <f>IF([3]Entry!$L$558="","",[3]Entry!$L$558)</f>
        <v/>
      </c>
      <c r="AK555">
        <f>IF([3]Entry!$M$558="","",[3]Entry!$M$558)</f>
        <v/>
      </c>
      <c r="AL555">
        <f>IF([3]Entry!$N$558="","",[3]Entry!$N$558)</f>
        <v/>
      </c>
      <c r="AM555">
        <f>IF([3]Entry!$R$558="","",[3]Entry!$R$558)</f>
        <v/>
      </c>
    </row>
    <row r="556">
      <c r="A556">
        <f>IF([1]Accounts!$D$557="","",[1]Accounts!$A$557)</f>
        <v/>
      </c>
      <c r="B556">
        <f>IF([1]Accounts!$D$557="","",[1]Accounts!$B$557)</f>
        <v/>
      </c>
      <c r="C556">
        <f>IF([1]Accounts!$D$557="","",[1]Accounts!$C$557)</f>
        <v/>
      </c>
      <c r="D556">
        <f>IF([1]Accounts!$D$557="","",[1]Accounts!$D$557)</f>
        <v/>
      </c>
      <c r="E556">
        <f>IF([1]Accounts!$D$557="","",[1]Accounts!$E$557)</f>
        <v/>
      </c>
      <c r="F556">
        <f>IF([1]Accounts!$D$557="","",[1]Accounts!$F$557)</f>
        <v/>
      </c>
      <c r="G556">
        <f>IF([1]Accounts!$D$557="","",[1]Accounts!$G$557)</f>
        <v/>
      </c>
      <c r="T556">
        <f>IF([2]Baskol!$B$559="","",[2]Baskol!$B$559)</f>
        <v/>
      </c>
      <c r="U556">
        <f>IF([2]Baskol!$C$559="","",[2]Baskol!$C$559)</f>
        <v/>
      </c>
      <c r="V556">
        <f>IF([2]Baskol!$D$559="","",[2]Baskol!$D$559)</f>
        <v/>
      </c>
      <c r="W556">
        <f>IF([2]Baskol!$E$559="","",[2]Baskol!$E$559)</f>
        <v/>
      </c>
      <c r="X556">
        <f>IF([2]Baskol!$G$559="","",[2]Baskol!$G$559)</f>
        <v/>
      </c>
      <c r="Y556">
        <f>IF([2]Baskol!$I$559="","",[2]Baskol!$I$559)</f>
        <v/>
      </c>
      <c r="Z556">
        <f>IF([2]Baskol!$J$559="","",[2]Baskol!$J$559)</f>
        <v/>
      </c>
      <c r="AA556">
        <f>IF([2]Baskol!$K$559="","",[2]Baskol!$K$559)</f>
        <v/>
      </c>
      <c r="AB556">
        <f>IF([2]Baskol!$L$559="","",[2]Baskol!$L$559)</f>
        <v/>
      </c>
      <c r="AC556">
        <f>IF([2]Baskol!$N$559="","",[2]Baskol!$N$559)</f>
        <v/>
      </c>
      <c r="AD556">
        <f>IF([2]Baskol!$O$559="","",[2]Baskol!$O$559)</f>
        <v/>
      </c>
      <c r="AE556">
        <f>IF([3]Entry!$C$559="","",[3]Entry!$C$559)</f>
        <v/>
      </c>
      <c r="AF556">
        <f>IF([3]Entry!$D$559="","",[3]Entry!$D$559)</f>
        <v/>
      </c>
      <c r="AG556">
        <f>IF([3]Entry!$E$559="","",[3]Entry!$E$559)</f>
        <v/>
      </c>
      <c r="AH556">
        <f>IF([3]Entry!$G$559="","",[3]Entry!$G$559)</f>
        <v/>
      </c>
      <c r="AI556">
        <f>IF([3]Entry!$K$559="","",[3]Entry!$K$559)</f>
        <v/>
      </c>
      <c r="AJ556">
        <f>IF([3]Entry!$L$559="","",[3]Entry!$L$559)</f>
        <v/>
      </c>
      <c r="AK556">
        <f>IF([3]Entry!$M$559="","",[3]Entry!$M$559)</f>
        <v/>
      </c>
      <c r="AL556">
        <f>IF([3]Entry!$N$559="","",[3]Entry!$N$559)</f>
        <v/>
      </c>
      <c r="AM556">
        <f>IF([3]Entry!$R$559="","",[3]Entry!$R$559)</f>
        <v/>
      </c>
    </row>
    <row r="557">
      <c r="A557">
        <f>IF([1]Accounts!$D$558="","",[1]Accounts!$A$558)</f>
        <v/>
      </c>
      <c r="B557">
        <f>IF([1]Accounts!$D$558="","",[1]Accounts!$B$558)</f>
        <v/>
      </c>
      <c r="C557">
        <f>IF([1]Accounts!$D$558="","",[1]Accounts!$C$558)</f>
        <v/>
      </c>
      <c r="D557">
        <f>IF([1]Accounts!$D$558="","",[1]Accounts!$D$558)</f>
        <v/>
      </c>
      <c r="E557">
        <f>IF([1]Accounts!$D$558="","",[1]Accounts!$E$558)</f>
        <v/>
      </c>
      <c r="F557">
        <f>IF([1]Accounts!$D$558="","",[1]Accounts!$F$558)</f>
        <v/>
      </c>
      <c r="G557">
        <f>IF([1]Accounts!$D$558="","",[1]Accounts!$G$558)</f>
        <v/>
      </c>
      <c r="T557">
        <f>IF([2]Baskol!$B$560="","",[2]Baskol!$B$560)</f>
        <v/>
      </c>
      <c r="U557">
        <f>IF([2]Baskol!$C$560="","",[2]Baskol!$C$560)</f>
        <v/>
      </c>
      <c r="V557">
        <f>IF([2]Baskol!$D$560="","",[2]Baskol!$D$560)</f>
        <v/>
      </c>
      <c r="W557">
        <f>IF([2]Baskol!$E$560="","",[2]Baskol!$E$560)</f>
        <v/>
      </c>
      <c r="X557">
        <f>IF([2]Baskol!$G$560="","",[2]Baskol!$G$560)</f>
        <v/>
      </c>
      <c r="Y557">
        <f>IF([2]Baskol!$I$560="","",[2]Baskol!$I$560)</f>
        <v/>
      </c>
      <c r="Z557">
        <f>IF([2]Baskol!$J$560="","",[2]Baskol!$J$560)</f>
        <v/>
      </c>
      <c r="AA557">
        <f>IF([2]Baskol!$K$560="","",[2]Baskol!$K$560)</f>
        <v/>
      </c>
      <c r="AB557">
        <f>IF([2]Baskol!$L$560="","",[2]Baskol!$L$560)</f>
        <v/>
      </c>
      <c r="AC557">
        <f>IF([2]Baskol!$N$560="","",[2]Baskol!$N$560)</f>
        <v/>
      </c>
      <c r="AD557">
        <f>IF([2]Baskol!$O$560="","",[2]Baskol!$O$560)</f>
        <v/>
      </c>
      <c r="AE557">
        <f>IF([3]Entry!$C$560="","",[3]Entry!$C$560)</f>
        <v/>
      </c>
      <c r="AF557">
        <f>IF([3]Entry!$D$560="","",[3]Entry!$D$560)</f>
        <v/>
      </c>
      <c r="AG557">
        <f>IF([3]Entry!$E$560="","",[3]Entry!$E$560)</f>
        <v/>
      </c>
      <c r="AH557">
        <f>IF([3]Entry!$G$560="","",[3]Entry!$G$560)</f>
        <v/>
      </c>
      <c r="AI557">
        <f>IF([3]Entry!$K$560="","",[3]Entry!$K$560)</f>
        <v/>
      </c>
      <c r="AJ557">
        <f>IF([3]Entry!$L$560="","",[3]Entry!$L$560)</f>
        <v/>
      </c>
      <c r="AK557">
        <f>IF([3]Entry!$M$560="","",[3]Entry!$M$560)</f>
        <v/>
      </c>
      <c r="AL557">
        <f>IF([3]Entry!$N$560="","",[3]Entry!$N$560)</f>
        <v/>
      </c>
      <c r="AM557">
        <f>IF([3]Entry!$R$560="","",[3]Entry!$R$560)</f>
        <v/>
      </c>
    </row>
    <row r="558">
      <c r="A558">
        <f>IF([1]Accounts!$D$559="","",[1]Accounts!$A$559)</f>
        <v/>
      </c>
      <c r="B558">
        <f>IF([1]Accounts!$D$559="","",[1]Accounts!$B$559)</f>
        <v/>
      </c>
      <c r="C558">
        <f>IF([1]Accounts!$D$559="","",[1]Accounts!$C$559)</f>
        <v/>
      </c>
      <c r="D558">
        <f>IF([1]Accounts!$D$559="","",[1]Accounts!$D$559)</f>
        <v/>
      </c>
      <c r="E558">
        <f>IF([1]Accounts!$D$559="","",[1]Accounts!$E$559)</f>
        <v/>
      </c>
      <c r="F558">
        <f>IF([1]Accounts!$D$559="","",[1]Accounts!$F$559)</f>
        <v/>
      </c>
      <c r="G558">
        <f>IF([1]Accounts!$D$559="","",[1]Accounts!$G$559)</f>
        <v/>
      </c>
      <c r="T558">
        <f>IF([2]Baskol!$B$561="","",[2]Baskol!$B$561)</f>
        <v/>
      </c>
      <c r="U558">
        <f>IF([2]Baskol!$C$561="","",[2]Baskol!$C$561)</f>
        <v/>
      </c>
      <c r="V558">
        <f>IF([2]Baskol!$D$561="","",[2]Baskol!$D$561)</f>
        <v/>
      </c>
      <c r="W558">
        <f>IF([2]Baskol!$E$561="","",[2]Baskol!$E$561)</f>
        <v/>
      </c>
      <c r="X558">
        <f>IF([2]Baskol!$G$561="","",[2]Baskol!$G$561)</f>
        <v/>
      </c>
      <c r="Y558">
        <f>IF([2]Baskol!$I$561="","",[2]Baskol!$I$561)</f>
        <v/>
      </c>
      <c r="Z558">
        <f>IF([2]Baskol!$J$561="","",[2]Baskol!$J$561)</f>
        <v/>
      </c>
      <c r="AA558">
        <f>IF([2]Baskol!$K$561="","",[2]Baskol!$K$561)</f>
        <v/>
      </c>
      <c r="AB558">
        <f>IF([2]Baskol!$L$561="","",[2]Baskol!$L$561)</f>
        <v/>
      </c>
      <c r="AC558">
        <f>IF([2]Baskol!$N$561="","",[2]Baskol!$N$561)</f>
        <v/>
      </c>
      <c r="AD558">
        <f>IF([2]Baskol!$O$561="","",[2]Baskol!$O$561)</f>
        <v/>
      </c>
      <c r="AE558">
        <f>IF([3]Entry!$C$561="","",[3]Entry!$C$561)</f>
        <v/>
      </c>
      <c r="AF558">
        <f>IF([3]Entry!$D$561="","",[3]Entry!$D$561)</f>
        <v/>
      </c>
      <c r="AG558">
        <f>IF([3]Entry!$E$561="","",[3]Entry!$E$561)</f>
        <v/>
      </c>
      <c r="AH558">
        <f>IF([3]Entry!$G$561="","",[3]Entry!$G$561)</f>
        <v/>
      </c>
      <c r="AI558">
        <f>IF([3]Entry!$K$561="","",[3]Entry!$K$561)</f>
        <v/>
      </c>
      <c r="AJ558">
        <f>IF([3]Entry!$L$561="","",[3]Entry!$L$561)</f>
        <v/>
      </c>
      <c r="AK558">
        <f>IF([3]Entry!$M$561="","",[3]Entry!$M$561)</f>
        <v/>
      </c>
      <c r="AL558">
        <f>IF([3]Entry!$N$561="","",[3]Entry!$N$561)</f>
        <v/>
      </c>
      <c r="AM558">
        <f>IF([3]Entry!$R$561="","",[3]Entry!$R$561)</f>
        <v/>
      </c>
    </row>
    <row r="559">
      <c r="A559">
        <f>IF([1]Accounts!$D$560="","",[1]Accounts!$A$560)</f>
        <v/>
      </c>
      <c r="B559">
        <f>IF([1]Accounts!$D$560="","",[1]Accounts!$B$560)</f>
        <v/>
      </c>
      <c r="C559">
        <f>IF([1]Accounts!$D$560="","",[1]Accounts!$C$560)</f>
        <v/>
      </c>
      <c r="D559">
        <f>IF([1]Accounts!$D$560="","",[1]Accounts!$D$560)</f>
        <v/>
      </c>
      <c r="E559">
        <f>IF([1]Accounts!$D$560="","",[1]Accounts!$E$560)</f>
        <v/>
      </c>
      <c r="F559">
        <f>IF([1]Accounts!$D$560="","",[1]Accounts!$F$560)</f>
        <v/>
      </c>
      <c r="G559">
        <f>IF([1]Accounts!$D$560="","",[1]Accounts!$G$560)</f>
        <v/>
      </c>
      <c r="T559">
        <f>IF([2]Baskol!$B$562="","",[2]Baskol!$B$562)</f>
        <v/>
      </c>
      <c r="U559">
        <f>IF([2]Baskol!$C$562="","",[2]Baskol!$C$562)</f>
        <v/>
      </c>
      <c r="V559">
        <f>IF([2]Baskol!$D$562="","",[2]Baskol!$D$562)</f>
        <v/>
      </c>
      <c r="W559">
        <f>IF([2]Baskol!$E$562="","",[2]Baskol!$E$562)</f>
        <v/>
      </c>
      <c r="X559">
        <f>IF([2]Baskol!$G$562="","",[2]Baskol!$G$562)</f>
        <v/>
      </c>
      <c r="Y559">
        <f>IF([2]Baskol!$I$562="","",[2]Baskol!$I$562)</f>
        <v/>
      </c>
      <c r="Z559">
        <f>IF([2]Baskol!$J$562="","",[2]Baskol!$J$562)</f>
        <v/>
      </c>
      <c r="AA559">
        <f>IF([2]Baskol!$K$562="","",[2]Baskol!$K$562)</f>
        <v/>
      </c>
      <c r="AB559">
        <f>IF([2]Baskol!$L$562="","",[2]Baskol!$L$562)</f>
        <v/>
      </c>
      <c r="AC559">
        <f>IF([2]Baskol!$N$562="","",[2]Baskol!$N$562)</f>
        <v/>
      </c>
      <c r="AD559">
        <f>IF([2]Baskol!$O$562="","",[2]Baskol!$O$562)</f>
        <v/>
      </c>
      <c r="AE559">
        <f>IF([3]Entry!$C$562="","",[3]Entry!$C$562)</f>
        <v/>
      </c>
      <c r="AF559">
        <f>IF([3]Entry!$D$562="","",[3]Entry!$D$562)</f>
        <v/>
      </c>
      <c r="AG559">
        <f>IF([3]Entry!$E$562="","",[3]Entry!$E$562)</f>
        <v/>
      </c>
      <c r="AH559">
        <f>IF([3]Entry!$G$562="","",[3]Entry!$G$562)</f>
        <v/>
      </c>
      <c r="AI559">
        <f>IF([3]Entry!$K$562="","",[3]Entry!$K$562)</f>
        <v/>
      </c>
      <c r="AJ559">
        <f>IF([3]Entry!$L$562="","",[3]Entry!$L$562)</f>
        <v/>
      </c>
      <c r="AK559">
        <f>IF([3]Entry!$M$562="","",[3]Entry!$M$562)</f>
        <v/>
      </c>
      <c r="AL559">
        <f>IF([3]Entry!$N$562="","",[3]Entry!$N$562)</f>
        <v/>
      </c>
      <c r="AM559">
        <f>IF([3]Entry!$R$562="","",[3]Entry!$R$562)</f>
        <v/>
      </c>
    </row>
    <row r="560">
      <c r="A560">
        <f>IF([1]Accounts!$D$561="","",[1]Accounts!$A$561)</f>
        <v/>
      </c>
      <c r="B560">
        <f>IF([1]Accounts!$D$561="","",[1]Accounts!$B$561)</f>
        <v/>
      </c>
      <c r="C560">
        <f>IF([1]Accounts!$D$561="","",[1]Accounts!$C$561)</f>
        <v/>
      </c>
      <c r="D560">
        <f>IF([1]Accounts!$D$561="","",[1]Accounts!$D$561)</f>
        <v/>
      </c>
      <c r="E560">
        <f>IF([1]Accounts!$D$561="","",[1]Accounts!$E$561)</f>
        <v/>
      </c>
      <c r="F560">
        <f>IF([1]Accounts!$D$561="","",[1]Accounts!$F$561)</f>
        <v/>
      </c>
      <c r="G560">
        <f>IF([1]Accounts!$D$561="","",[1]Accounts!$G$561)</f>
        <v/>
      </c>
      <c r="T560">
        <f>IF([2]Baskol!$B$563="","",[2]Baskol!$B$563)</f>
        <v/>
      </c>
      <c r="U560">
        <f>IF([2]Baskol!$C$563="","",[2]Baskol!$C$563)</f>
        <v/>
      </c>
      <c r="V560">
        <f>IF([2]Baskol!$D$563="","",[2]Baskol!$D$563)</f>
        <v/>
      </c>
      <c r="W560">
        <f>IF([2]Baskol!$E$563="","",[2]Baskol!$E$563)</f>
        <v/>
      </c>
      <c r="X560">
        <f>IF([2]Baskol!$G$563="","",[2]Baskol!$G$563)</f>
        <v/>
      </c>
      <c r="Y560">
        <f>IF([2]Baskol!$I$563="","",[2]Baskol!$I$563)</f>
        <v/>
      </c>
      <c r="Z560">
        <f>IF([2]Baskol!$J$563="","",[2]Baskol!$J$563)</f>
        <v/>
      </c>
      <c r="AA560">
        <f>IF([2]Baskol!$K$563="","",[2]Baskol!$K$563)</f>
        <v/>
      </c>
      <c r="AB560">
        <f>IF([2]Baskol!$L$563="","",[2]Baskol!$L$563)</f>
        <v/>
      </c>
      <c r="AC560">
        <f>IF([2]Baskol!$N$563="","",[2]Baskol!$N$563)</f>
        <v/>
      </c>
      <c r="AD560">
        <f>IF([2]Baskol!$O$563="","",[2]Baskol!$O$563)</f>
        <v/>
      </c>
      <c r="AE560">
        <f>IF([3]Entry!$C$563="","",[3]Entry!$C$563)</f>
        <v/>
      </c>
      <c r="AF560">
        <f>IF([3]Entry!$D$563="","",[3]Entry!$D$563)</f>
        <v/>
      </c>
      <c r="AG560">
        <f>IF([3]Entry!$E$563="","",[3]Entry!$E$563)</f>
        <v/>
      </c>
      <c r="AH560">
        <f>IF([3]Entry!$G$563="","",[3]Entry!$G$563)</f>
        <v/>
      </c>
      <c r="AI560">
        <f>IF([3]Entry!$K$563="","",[3]Entry!$K$563)</f>
        <v/>
      </c>
      <c r="AJ560">
        <f>IF([3]Entry!$L$563="","",[3]Entry!$L$563)</f>
        <v/>
      </c>
      <c r="AK560">
        <f>IF([3]Entry!$M$563="","",[3]Entry!$M$563)</f>
        <v/>
      </c>
      <c r="AL560">
        <f>IF([3]Entry!$N$563="","",[3]Entry!$N$563)</f>
        <v/>
      </c>
      <c r="AM560">
        <f>IF([3]Entry!$R$563="","",[3]Entry!$R$563)</f>
        <v/>
      </c>
    </row>
    <row r="561">
      <c r="A561">
        <f>IF([1]Accounts!$D$562="","",[1]Accounts!$A$562)</f>
        <v/>
      </c>
      <c r="B561">
        <f>IF([1]Accounts!$D$562="","",[1]Accounts!$B$562)</f>
        <v/>
      </c>
      <c r="C561">
        <f>IF([1]Accounts!$D$562="","",[1]Accounts!$C$562)</f>
        <v/>
      </c>
      <c r="D561">
        <f>IF([1]Accounts!$D$562="","",[1]Accounts!$D$562)</f>
        <v/>
      </c>
      <c r="E561">
        <f>IF([1]Accounts!$D$562="","",[1]Accounts!$E$562)</f>
        <v/>
      </c>
      <c r="F561">
        <f>IF([1]Accounts!$D$562="","",[1]Accounts!$F$562)</f>
        <v/>
      </c>
      <c r="G561">
        <f>IF([1]Accounts!$D$562="","",[1]Accounts!$G$562)</f>
        <v/>
      </c>
      <c r="T561">
        <f>IF([2]Baskol!$B$564="","",[2]Baskol!$B$564)</f>
        <v/>
      </c>
      <c r="U561">
        <f>IF([2]Baskol!$C$564="","",[2]Baskol!$C$564)</f>
        <v/>
      </c>
      <c r="V561">
        <f>IF([2]Baskol!$D$564="","",[2]Baskol!$D$564)</f>
        <v/>
      </c>
      <c r="W561">
        <f>IF([2]Baskol!$E$564="","",[2]Baskol!$E$564)</f>
        <v/>
      </c>
      <c r="X561">
        <f>IF([2]Baskol!$G$564="","",[2]Baskol!$G$564)</f>
        <v/>
      </c>
      <c r="Y561">
        <f>IF([2]Baskol!$I$564="","",[2]Baskol!$I$564)</f>
        <v/>
      </c>
      <c r="Z561">
        <f>IF([2]Baskol!$J$564="","",[2]Baskol!$J$564)</f>
        <v/>
      </c>
      <c r="AA561">
        <f>IF([2]Baskol!$K$564="","",[2]Baskol!$K$564)</f>
        <v/>
      </c>
      <c r="AB561">
        <f>IF([2]Baskol!$L$564="","",[2]Baskol!$L$564)</f>
        <v/>
      </c>
      <c r="AC561">
        <f>IF([2]Baskol!$N$564="","",[2]Baskol!$N$564)</f>
        <v/>
      </c>
      <c r="AD561">
        <f>IF([2]Baskol!$O$564="","",[2]Baskol!$O$564)</f>
        <v/>
      </c>
      <c r="AE561">
        <f>IF([3]Entry!$C$564="","",[3]Entry!$C$564)</f>
        <v/>
      </c>
      <c r="AF561">
        <f>IF([3]Entry!$D$564="","",[3]Entry!$D$564)</f>
        <v/>
      </c>
      <c r="AG561">
        <f>IF([3]Entry!$E$564="","",[3]Entry!$E$564)</f>
        <v/>
      </c>
      <c r="AH561">
        <f>IF([3]Entry!$G$564="","",[3]Entry!$G$564)</f>
        <v/>
      </c>
      <c r="AI561">
        <f>IF([3]Entry!$K$564="","",[3]Entry!$K$564)</f>
        <v/>
      </c>
      <c r="AJ561">
        <f>IF([3]Entry!$L$564="","",[3]Entry!$L$564)</f>
        <v/>
      </c>
      <c r="AK561">
        <f>IF([3]Entry!$M$564="","",[3]Entry!$M$564)</f>
        <v/>
      </c>
      <c r="AL561">
        <f>IF([3]Entry!$N$564="","",[3]Entry!$N$564)</f>
        <v/>
      </c>
      <c r="AM561">
        <f>IF([3]Entry!$R$564="","",[3]Entry!$R$564)</f>
        <v/>
      </c>
    </row>
    <row r="562">
      <c r="A562">
        <f>IF([1]Accounts!$D$563="","",[1]Accounts!$A$563)</f>
        <v/>
      </c>
      <c r="B562">
        <f>IF([1]Accounts!$D$563="","",[1]Accounts!$B$563)</f>
        <v/>
      </c>
      <c r="C562">
        <f>IF([1]Accounts!$D$563="","",[1]Accounts!$C$563)</f>
        <v/>
      </c>
      <c r="D562">
        <f>IF([1]Accounts!$D$563="","",[1]Accounts!$D$563)</f>
        <v/>
      </c>
      <c r="E562">
        <f>IF([1]Accounts!$D$563="","",[1]Accounts!$E$563)</f>
        <v/>
      </c>
      <c r="F562">
        <f>IF([1]Accounts!$D$563="","",[1]Accounts!$F$563)</f>
        <v/>
      </c>
      <c r="G562">
        <f>IF([1]Accounts!$D$563="","",[1]Accounts!$G$563)</f>
        <v/>
      </c>
      <c r="T562">
        <f>IF([2]Baskol!$B$565="","",[2]Baskol!$B$565)</f>
        <v/>
      </c>
      <c r="U562">
        <f>IF([2]Baskol!$C$565="","",[2]Baskol!$C$565)</f>
        <v/>
      </c>
      <c r="V562">
        <f>IF([2]Baskol!$D$565="","",[2]Baskol!$D$565)</f>
        <v/>
      </c>
      <c r="W562">
        <f>IF([2]Baskol!$E$565="","",[2]Baskol!$E$565)</f>
        <v/>
      </c>
      <c r="X562">
        <f>IF([2]Baskol!$G$565="","",[2]Baskol!$G$565)</f>
        <v/>
      </c>
      <c r="Y562">
        <f>IF([2]Baskol!$I$565="","",[2]Baskol!$I$565)</f>
        <v/>
      </c>
      <c r="Z562">
        <f>IF([2]Baskol!$J$565="","",[2]Baskol!$J$565)</f>
        <v/>
      </c>
      <c r="AA562">
        <f>IF([2]Baskol!$K$565="","",[2]Baskol!$K$565)</f>
        <v/>
      </c>
      <c r="AB562">
        <f>IF([2]Baskol!$L$565="","",[2]Baskol!$L$565)</f>
        <v/>
      </c>
      <c r="AC562">
        <f>IF([2]Baskol!$N$565="","",[2]Baskol!$N$565)</f>
        <v/>
      </c>
      <c r="AD562">
        <f>IF([2]Baskol!$O$565="","",[2]Baskol!$O$565)</f>
        <v/>
      </c>
      <c r="AE562">
        <f>IF([3]Entry!$C$565="","",[3]Entry!$C$565)</f>
        <v/>
      </c>
      <c r="AF562">
        <f>IF([3]Entry!$D$565="","",[3]Entry!$D$565)</f>
        <v/>
      </c>
      <c r="AG562">
        <f>IF([3]Entry!$E$565="","",[3]Entry!$E$565)</f>
        <v/>
      </c>
      <c r="AH562">
        <f>IF([3]Entry!$G$565="","",[3]Entry!$G$565)</f>
        <v/>
      </c>
      <c r="AI562">
        <f>IF([3]Entry!$K$565="","",[3]Entry!$K$565)</f>
        <v/>
      </c>
      <c r="AJ562">
        <f>IF([3]Entry!$L$565="","",[3]Entry!$L$565)</f>
        <v/>
      </c>
      <c r="AK562">
        <f>IF([3]Entry!$M$565="","",[3]Entry!$M$565)</f>
        <v/>
      </c>
      <c r="AL562">
        <f>IF([3]Entry!$N$565="","",[3]Entry!$N$565)</f>
        <v/>
      </c>
      <c r="AM562">
        <f>IF([3]Entry!$R$565="","",[3]Entry!$R$565)</f>
        <v/>
      </c>
    </row>
    <row r="563">
      <c r="A563">
        <f>IF([1]Accounts!$D$564="","",[1]Accounts!$A$564)</f>
        <v/>
      </c>
      <c r="B563">
        <f>IF([1]Accounts!$D$564="","",[1]Accounts!$B$564)</f>
        <v/>
      </c>
      <c r="C563">
        <f>IF([1]Accounts!$D$564="","",[1]Accounts!$C$564)</f>
        <v/>
      </c>
      <c r="D563">
        <f>IF([1]Accounts!$D$564="","",[1]Accounts!$D$564)</f>
        <v/>
      </c>
      <c r="E563">
        <f>IF([1]Accounts!$D$564="","",[1]Accounts!$E$564)</f>
        <v/>
      </c>
      <c r="F563">
        <f>IF([1]Accounts!$D$564="","",[1]Accounts!$F$564)</f>
        <v/>
      </c>
      <c r="G563">
        <f>IF([1]Accounts!$D$564="","",[1]Accounts!$G$564)</f>
        <v/>
      </c>
      <c r="T563">
        <f>IF([2]Baskol!$B$566="","",[2]Baskol!$B$566)</f>
        <v/>
      </c>
      <c r="U563">
        <f>IF([2]Baskol!$C$566="","",[2]Baskol!$C$566)</f>
        <v/>
      </c>
      <c r="V563">
        <f>IF([2]Baskol!$D$566="","",[2]Baskol!$D$566)</f>
        <v/>
      </c>
      <c r="W563">
        <f>IF([2]Baskol!$E$566="","",[2]Baskol!$E$566)</f>
        <v/>
      </c>
      <c r="X563">
        <f>IF([2]Baskol!$G$566="","",[2]Baskol!$G$566)</f>
        <v/>
      </c>
      <c r="Y563">
        <f>IF([2]Baskol!$I$566="","",[2]Baskol!$I$566)</f>
        <v/>
      </c>
      <c r="Z563">
        <f>IF([2]Baskol!$J$566="","",[2]Baskol!$J$566)</f>
        <v/>
      </c>
      <c r="AA563">
        <f>IF([2]Baskol!$K$566="","",[2]Baskol!$K$566)</f>
        <v/>
      </c>
      <c r="AB563">
        <f>IF([2]Baskol!$L$566="","",[2]Baskol!$L$566)</f>
        <v/>
      </c>
      <c r="AC563">
        <f>IF([2]Baskol!$N$566="","",[2]Baskol!$N$566)</f>
        <v/>
      </c>
      <c r="AD563">
        <f>IF([2]Baskol!$O$566="","",[2]Baskol!$O$566)</f>
        <v/>
      </c>
      <c r="AE563">
        <f>IF([3]Entry!$C$566="","",[3]Entry!$C$566)</f>
        <v/>
      </c>
      <c r="AF563">
        <f>IF([3]Entry!$D$566="","",[3]Entry!$D$566)</f>
        <v/>
      </c>
      <c r="AG563">
        <f>IF([3]Entry!$E$566="","",[3]Entry!$E$566)</f>
        <v/>
      </c>
      <c r="AH563">
        <f>IF([3]Entry!$G$566="","",[3]Entry!$G$566)</f>
        <v/>
      </c>
      <c r="AI563">
        <f>IF([3]Entry!$K$566="","",[3]Entry!$K$566)</f>
        <v/>
      </c>
      <c r="AJ563">
        <f>IF([3]Entry!$L$566="","",[3]Entry!$L$566)</f>
        <v/>
      </c>
      <c r="AK563">
        <f>IF([3]Entry!$M$566="","",[3]Entry!$M$566)</f>
        <v/>
      </c>
      <c r="AL563">
        <f>IF([3]Entry!$N$566="","",[3]Entry!$N$566)</f>
        <v/>
      </c>
      <c r="AM563">
        <f>IF([3]Entry!$R$566="","",[3]Entry!$R$566)</f>
        <v/>
      </c>
    </row>
    <row r="564">
      <c r="A564">
        <f>IF([1]Accounts!$D$565="","",[1]Accounts!$A$565)</f>
        <v/>
      </c>
      <c r="B564">
        <f>IF([1]Accounts!$D$565="","",[1]Accounts!$B$565)</f>
        <v/>
      </c>
      <c r="C564">
        <f>IF([1]Accounts!$D$565="","",[1]Accounts!$C$565)</f>
        <v/>
      </c>
      <c r="D564">
        <f>IF([1]Accounts!$D$565="","",[1]Accounts!$D$565)</f>
        <v/>
      </c>
      <c r="E564">
        <f>IF([1]Accounts!$D$565="","",[1]Accounts!$E$565)</f>
        <v/>
      </c>
      <c r="F564">
        <f>IF([1]Accounts!$D$565="","",[1]Accounts!$F$565)</f>
        <v/>
      </c>
      <c r="G564">
        <f>IF([1]Accounts!$D$565="","",[1]Accounts!$G$565)</f>
        <v/>
      </c>
      <c r="T564">
        <f>IF([2]Baskol!$B$567="","",[2]Baskol!$B$567)</f>
        <v/>
      </c>
      <c r="U564">
        <f>IF([2]Baskol!$C$567="","",[2]Baskol!$C$567)</f>
        <v/>
      </c>
      <c r="V564">
        <f>IF([2]Baskol!$D$567="","",[2]Baskol!$D$567)</f>
        <v/>
      </c>
      <c r="W564">
        <f>IF([2]Baskol!$E$567="","",[2]Baskol!$E$567)</f>
        <v/>
      </c>
      <c r="X564">
        <f>IF([2]Baskol!$G$567="","",[2]Baskol!$G$567)</f>
        <v/>
      </c>
      <c r="Y564">
        <f>IF([2]Baskol!$I$567="","",[2]Baskol!$I$567)</f>
        <v/>
      </c>
      <c r="Z564">
        <f>IF([2]Baskol!$J$567="","",[2]Baskol!$J$567)</f>
        <v/>
      </c>
      <c r="AA564">
        <f>IF([2]Baskol!$K$567="","",[2]Baskol!$K$567)</f>
        <v/>
      </c>
      <c r="AB564">
        <f>IF([2]Baskol!$L$567="","",[2]Baskol!$L$567)</f>
        <v/>
      </c>
      <c r="AC564">
        <f>IF([2]Baskol!$N$567="","",[2]Baskol!$N$567)</f>
        <v/>
      </c>
      <c r="AD564">
        <f>IF([2]Baskol!$O$567="","",[2]Baskol!$O$567)</f>
        <v/>
      </c>
      <c r="AE564">
        <f>IF([3]Entry!$C$567="","",[3]Entry!$C$567)</f>
        <v/>
      </c>
      <c r="AF564">
        <f>IF([3]Entry!$D$567="","",[3]Entry!$D$567)</f>
        <v/>
      </c>
      <c r="AG564">
        <f>IF([3]Entry!$E$567="","",[3]Entry!$E$567)</f>
        <v/>
      </c>
      <c r="AH564">
        <f>IF([3]Entry!$G$567="","",[3]Entry!$G$567)</f>
        <v/>
      </c>
      <c r="AI564">
        <f>IF([3]Entry!$K$567="","",[3]Entry!$K$567)</f>
        <v/>
      </c>
      <c r="AJ564">
        <f>IF([3]Entry!$L$567="","",[3]Entry!$L$567)</f>
        <v/>
      </c>
      <c r="AK564">
        <f>IF([3]Entry!$M$567="","",[3]Entry!$M$567)</f>
        <v/>
      </c>
      <c r="AL564">
        <f>IF([3]Entry!$N$567="","",[3]Entry!$N$567)</f>
        <v/>
      </c>
      <c r="AM564">
        <f>IF([3]Entry!$R$567="","",[3]Entry!$R$567)</f>
        <v/>
      </c>
    </row>
    <row r="565">
      <c r="A565">
        <f>IF([1]Accounts!$D$566="","",[1]Accounts!$A$566)</f>
        <v/>
      </c>
      <c r="B565">
        <f>IF([1]Accounts!$D$566="","",[1]Accounts!$B$566)</f>
        <v/>
      </c>
      <c r="C565">
        <f>IF([1]Accounts!$D$566="","",[1]Accounts!$C$566)</f>
        <v/>
      </c>
      <c r="D565">
        <f>IF([1]Accounts!$D$566="","",[1]Accounts!$D$566)</f>
        <v/>
      </c>
      <c r="E565">
        <f>IF([1]Accounts!$D$566="","",[1]Accounts!$E$566)</f>
        <v/>
      </c>
      <c r="F565">
        <f>IF([1]Accounts!$D$566="","",[1]Accounts!$F$566)</f>
        <v/>
      </c>
      <c r="G565">
        <f>IF([1]Accounts!$D$566="","",[1]Accounts!$G$566)</f>
        <v/>
      </c>
      <c r="T565">
        <f>IF([2]Baskol!$B$568="","",[2]Baskol!$B$568)</f>
        <v/>
      </c>
      <c r="U565">
        <f>IF([2]Baskol!$C$568="","",[2]Baskol!$C$568)</f>
        <v/>
      </c>
      <c r="V565">
        <f>IF([2]Baskol!$D$568="","",[2]Baskol!$D$568)</f>
        <v/>
      </c>
      <c r="W565">
        <f>IF([2]Baskol!$E$568="","",[2]Baskol!$E$568)</f>
        <v/>
      </c>
      <c r="X565">
        <f>IF([2]Baskol!$G$568="","",[2]Baskol!$G$568)</f>
        <v/>
      </c>
      <c r="Y565">
        <f>IF([2]Baskol!$I$568="","",[2]Baskol!$I$568)</f>
        <v/>
      </c>
      <c r="Z565">
        <f>IF([2]Baskol!$J$568="","",[2]Baskol!$J$568)</f>
        <v/>
      </c>
      <c r="AA565">
        <f>IF([2]Baskol!$K$568="","",[2]Baskol!$K$568)</f>
        <v/>
      </c>
      <c r="AB565">
        <f>IF([2]Baskol!$L$568="","",[2]Baskol!$L$568)</f>
        <v/>
      </c>
      <c r="AC565">
        <f>IF([2]Baskol!$N$568="","",[2]Baskol!$N$568)</f>
        <v/>
      </c>
      <c r="AD565">
        <f>IF([2]Baskol!$O$568="","",[2]Baskol!$O$568)</f>
        <v/>
      </c>
      <c r="AE565">
        <f>IF([3]Entry!$C$568="","",[3]Entry!$C$568)</f>
        <v/>
      </c>
      <c r="AF565">
        <f>IF([3]Entry!$D$568="","",[3]Entry!$D$568)</f>
        <v/>
      </c>
      <c r="AG565">
        <f>IF([3]Entry!$E$568="","",[3]Entry!$E$568)</f>
        <v/>
      </c>
      <c r="AH565">
        <f>IF([3]Entry!$G$568="","",[3]Entry!$G$568)</f>
        <v/>
      </c>
      <c r="AI565">
        <f>IF([3]Entry!$K$568="","",[3]Entry!$K$568)</f>
        <v/>
      </c>
      <c r="AJ565">
        <f>IF([3]Entry!$L$568="","",[3]Entry!$L$568)</f>
        <v/>
      </c>
      <c r="AK565">
        <f>IF([3]Entry!$M$568="","",[3]Entry!$M$568)</f>
        <v/>
      </c>
      <c r="AL565">
        <f>IF([3]Entry!$N$568="","",[3]Entry!$N$568)</f>
        <v/>
      </c>
      <c r="AM565">
        <f>IF([3]Entry!$R$568="","",[3]Entry!$R$568)</f>
        <v/>
      </c>
    </row>
    <row r="566">
      <c r="T566">
        <f>IF([2]Baskol!$B$569="","",[2]Baskol!$B$569)</f>
        <v/>
      </c>
      <c r="U566">
        <f>IF([2]Baskol!$C$569="","",[2]Baskol!$C$569)</f>
        <v/>
      </c>
      <c r="V566">
        <f>IF([2]Baskol!$D$569="","",[2]Baskol!$D$569)</f>
        <v/>
      </c>
      <c r="W566">
        <f>IF([2]Baskol!$E$569="","",[2]Baskol!$E$569)</f>
        <v/>
      </c>
      <c r="X566">
        <f>IF([2]Baskol!$G$569="","",[2]Baskol!$G$569)</f>
        <v/>
      </c>
      <c r="Y566">
        <f>IF([2]Baskol!$I$569="","",[2]Baskol!$I$569)</f>
        <v/>
      </c>
      <c r="Z566">
        <f>IF([2]Baskol!$J$569="","",[2]Baskol!$J$569)</f>
        <v/>
      </c>
      <c r="AA566">
        <f>IF([2]Baskol!$K$569="","",[2]Baskol!$K$569)</f>
        <v/>
      </c>
      <c r="AB566">
        <f>IF([2]Baskol!$L$569="","",[2]Baskol!$L$569)</f>
        <v/>
      </c>
      <c r="AC566">
        <f>IF([2]Baskol!$N$569="","",[2]Baskol!$N$569)</f>
        <v/>
      </c>
      <c r="AD566">
        <f>IF([2]Baskol!$O$569="","",[2]Baskol!$O$569)</f>
        <v/>
      </c>
      <c r="AE566">
        <f>IF([3]Entry!$C$569="","",[3]Entry!$C$569)</f>
        <v/>
      </c>
      <c r="AF566">
        <f>IF([3]Entry!$D$569="","",[3]Entry!$D$569)</f>
        <v/>
      </c>
      <c r="AG566">
        <f>IF([3]Entry!$E$569="","",[3]Entry!$E$569)</f>
        <v/>
      </c>
      <c r="AH566">
        <f>IF([3]Entry!$G$569="","",[3]Entry!$G$569)</f>
        <v/>
      </c>
      <c r="AI566">
        <f>IF([3]Entry!$K$569="","",[3]Entry!$K$569)</f>
        <v/>
      </c>
      <c r="AJ566">
        <f>IF([3]Entry!$L$569="","",[3]Entry!$L$569)</f>
        <v/>
      </c>
      <c r="AK566">
        <f>IF([3]Entry!$M$569="","",[3]Entry!$M$569)</f>
        <v/>
      </c>
      <c r="AL566">
        <f>IF([3]Entry!$N$569="","",[3]Entry!$N$569)</f>
        <v/>
      </c>
      <c r="AM566">
        <f>IF([3]Entry!$R$569="","",[3]Entry!$R$569)</f>
        <v/>
      </c>
    </row>
    <row r="567">
      <c r="T567">
        <f>IF([2]Baskol!$B$570="","",[2]Baskol!$B$570)</f>
        <v/>
      </c>
      <c r="U567">
        <f>IF([2]Baskol!$C$570="","",[2]Baskol!$C$570)</f>
        <v/>
      </c>
      <c r="V567">
        <f>IF([2]Baskol!$D$570="","",[2]Baskol!$D$570)</f>
        <v/>
      </c>
      <c r="W567">
        <f>IF([2]Baskol!$E$570="","",[2]Baskol!$E$570)</f>
        <v/>
      </c>
      <c r="X567">
        <f>IF([2]Baskol!$G$570="","",[2]Baskol!$G$570)</f>
        <v/>
      </c>
      <c r="Y567">
        <f>IF([2]Baskol!$I$570="","",[2]Baskol!$I$570)</f>
        <v/>
      </c>
      <c r="Z567">
        <f>IF([2]Baskol!$J$570="","",[2]Baskol!$J$570)</f>
        <v/>
      </c>
      <c r="AA567">
        <f>IF([2]Baskol!$K$570="","",[2]Baskol!$K$570)</f>
        <v/>
      </c>
      <c r="AB567">
        <f>IF([2]Baskol!$L$570="","",[2]Baskol!$L$570)</f>
        <v/>
      </c>
      <c r="AC567">
        <f>IF([2]Baskol!$N$570="","",[2]Baskol!$N$570)</f>
        <v/>
      </c>
      <c r="AD567">
        <f>IF([2]Baskol!$O$570="","",[2]Baskol!$O$570)</f>
        <v/>
      </c>
      <c r="AE567">
        <f>IF([3]Entry!$C$570="","",[3]Entry!$C$570)</f>
        <v/>
      </c>
      <c r="AF567">
        <f>IF([3]Entry!$D$570="","",[3]Entry!$D$570)</f>
        <v/>
      </c>
      <c r="AG567">
        <f>IF([3]Entry!$E$570="","",[3]Entry!$E$570)</f>
        <v/>
      </c>
      <c r="AH567">
        <f>IF([3]Entry!$G$570="","",[3]Entry!$G$570)</f>
        <v/>
      </c>
      <c r="AI567">
        <f>IF([3]Entry!$K$570="","",[3]Entry!$K$570)</f>
        <v/>
      </c>
      <c r="AJ567">
        <f>IF([3]Entry!$L$570="","",[3]Entry!$L$570)</f>
        <v/>
      </c>
      <c r="AK567">
        <f>IF([3]Entry!$M$570="","",[3]Entry!$M$570)</f>
        <v/>
      </c>
      <c r="AL567">
        <f>IF([3]Entry!$N$570="","",[3]Entry!$N$570)</f>
        <v/>
      </c>
      <c r="AM567">
        <f>IF([3]Entry!$R$570="","",[3]Entry!$R$570)</f>
        <v/>
      </c>
    </row>
    <row r="568">
      <c r="T568">
        <f>IF([2]Baskol!$B$571="","",[2]Baskol!$B$571)</f>
        <v/>
      </c>
      <c r="U568">
        <f>IF([2]Baskol!$C$571="","",[2]Baskol!$C$571)</f>
        <v/>
      </c>
      <c r="V568">
        <f>IF([2]Baskol!$D$571="","",[2]Baskol!$D$571)</f>
        <v/>
      </c>
      <c r="W568">
        <f>IF([2]Baskol!$E$571="","",[2]Baskol!$E$571)</f>
        <v/>
      </c>
      <c r="X568">
        <f>IF([2]Baskol!$G$571="","",[2]Baskol!$G$571)</f>
        <v/>
      </c>
      <c r="Y568">
        <f>IF([2]Baskol!$I$571="","",[2]Baskol!$I$571)</f>
        <v/>
      </c>
      <c r="Z568">
        <f>IF([2]Baskol!$J$571="","",[2]Baskol!$J$571)</f>
        <v/>
      </c>
      <c r="AA568">
        <f>IF([2]Baskol!$K$571="","",[2]Baskol!$K$571)</f>
        <v/>
      </c>
      <c r="AB568">
        <f>IF([2]Baskol!$L$571="","",[2]Baskol!$L$571)</f>
        <v/>
      </c>
      <c r="AC568">
        <f>IF([2]Baskol!$N$571="","",[2]Baskol!$N$571)</f>
        <v/>
      </c>
      <c r="AD568">
        <f>IF([2]Baskol!$O$571="","",[2]Baskol!$O$571)</f>
        <v/>
      </c>
      <c r="AE568">
        <f>IF([3]Entry!$C$571="","",[3]Entry!$C$571)</f>
        <v/>
      </c>
      <c r="AF568">
        <f>IF([3]Entry!$D$571="","",[3]Entry!$D$571)</f>
        <v/>
      </c>
      <c r="AG568">
        <f>IF([3]Entry!$E$571="","",[3]Entry!$E$571)</f>
        <v/>
      </c>
      <c r="AH568">
        <f>IF([3]Entry!$G$571="","",[3]Entry!$G$571)</f>
        <v/>
      </c>
      <c r="AI568">
        <f>IF([3]Entry!$K$571="","",[3]Entry!$K$571)</f>
        <v/>
      </c>
      <c r="AJ568">
        <f>IF([3]Entry!$L$571="","",[3]Entry!$L$571)</f>
        <v/>
      </c>
      <c r="AK568">
        <f>IF([3]Entry!$M$571="","",[3]Entry!$M$571)</f>
        <v/>
      </c>
      <c r="AL568">
        <f>IF([3]Entry!$N$571="","",[3]Entry!$N$571)</f>
        <v/>
      </c>
      <c r="AM568">
        <f>IF([3]Entry!$R$571="","",[3]Entry!$R$571)</f>
        <v/>
      </c>
    </row>
    <row r="569">
      <c r="T569">
        <f>IF([2]Baskol!$B$572="","",[2]Baskol!$B$572)</f>
        <v/>
      </c>
      <c r="U569">
        <f>IF([2]Baskol!$C$572="","",[2]Baskol!$C$572)</f>
        <v/>
      </c>
      <c r="V569">
        <f>IF([2]Baskol!$D$572="","",[2]Baskol!$D$572)</f>
        <v/>
      </c>
      <c r="W569">
        <f>IF([2]Baskol!$E$572="","",[2]Baskol!$E$572)</f>
        <v/>
      </c>
      <c r="X569">
        <f>IF([2]Baskol!$G$572="","",[2]Baskol!$G$572)</f>
        <v/>
      </c>
      <c r="Y569">
        <f>IF([2]Baskol!$I$572="","",[2]Baskol!$I$572)</f>
        <v/>
      </c>
      <c r="Z569">
        <f>IF([2]Baskol!$J$572="","",[2]Baskol!$J$572)</f>
        <v/>
      </c>
      <c r="AA569">
        <f>IF([2]Baskol!$K$572="","",[2]Baskol!$K$572)</f>
        <v/>
      </c>
      <c r="AB569">
        <f>IF([2]Baskol!$L$572="","",[2]Baskol!$L$572)</f>
        <v/>
      </c>
      <c r="AC569">
        <f>IF([2]Baskol!$N$572="","",[2]Baskol!$N$572)</f>
        <v/>
      </c>
      <c r="AD569">
        <f>IF([2]Baskol!$O$572="","",[2]Baskol!$O$572)</f>
        <v/>
      </c>
      <c r="AE569">
        <f>IF([3]Entry!$C$572="","",[3]Entry!$C$572)</f>
        <v/>
      </c>
      <c r="AF569">
        <f>IF([3]Entry!$D$572="","",[3]Entry!$D$572)</f>
        <v/>
      </c>
      <c r="AG569">
        <f>IF([3]Entry!$E$572="","",[3]Entry!$E$572)</f>
        <v/>
      </c>
      <c r="AH569">
        <f>IF([3]Entry!$G$572="","",[3]Entry!$G$572)</f>
        <v/>
      </c>
      <c r="AI569">
        <f>IF([3]Entry!$K$572="","",[3]Entry!$K$572)</f>
        <v/>
      </c>
      <c r="AJ569">
        <f>IF([3]Entry!$L$572="","",[3]Entry!$L$572)</f>
        <v/>
      </c>
      <c r="AK569">
        <f>IF([3]Entry!$M$572="","",[3]Entry!$M$572)</f>
        <v/>
      </c>
      <c r="AL569">
        <f>IF([3]Entry!$N$572="","",[3]Entry!$N$572)</f>
        <v/>
      </c>
      <c r="AM569">
        <f>IF([3]Entry!$R$572="","",[3]Entry!$R$572)</f>
        <v/>
      </c>
    </row>
    <row r="570">
      <c r="T570">
        <f>IF([2]Baskol!$B$573="","",[2]Baskol!$B$573)</f>
        <v/>
      </c>
      <c r="U570">
        <f>IF([2]Baskol!$C$573="","",[2]Baskol!$C$573)</f>
        <v/>
      </c>
      <c r="V570">
        <f>IF([2]Baskol!$D$573="","",[2]Baskol!$D$573)</f>
        <v/>
      </c>
      <c r="W570">
        <f>IF([2]Baskol!$E$573="","",[2]Baskol!$E$573)</f>
        <v/>
      </c>
      <c r="X570">
        <f>IF([2]Baskol!$G$573="","",[2]Baskol!$G$573)</f>
        <v/>
      </c>
      <c r="Y570">
        <f>IF([2]Baskol!$I$573="","",[2]Baskol!$I$573)</f>
        <v/>
      </c>
      <c r="Z570">
        <f>IF([2]Baskol!$J$573="","",[2]Baskol!$J$573)</f>
        <v/>
      </c>
      <c r="AA570">
        <f>IF([2]Baskol!$K$573="","",[2]Baskol!$K$573)</f>
        <v/>
      </c>
      <c r="AB570">
        <f>IF([2]Baskol!$L$573="","",[2]Baskol!$L$573)</f>
        <v/>
      </c>
      <c r="AC570">
        <f>IF([2]Baskol!$N$573="","",[2]Baskol!$N$573)</f>
        <v/>
      </c>
      <c r="AD570">
        <f>IF([2]Baskol!$O$573="","",[2]Baskol!$O$573)</f>
        <v/>
      </c>
      <c r="AE570">
        <f>IF([3]Entry!$C$573="","",[3]Entry!$C$573)</f>
        <v/>
      </c>
      <c r="AF570">
        <f>IF([3]Entry!$D$573="","",[3]Entry!$D$573)</f>
        <v/>
      </c>
      <c r="AG570">
        <f>IF([3]Entry!$E$573="","",[3]Entry!$E$573)</f>
        <v/>
      </c>
      <c r="AH570">
        <f>IF([3]Entry!$G$573="","",[3]Entry!$G$573)</f>
        <v/>
      </c>
      <c r="AI570">
        <f>IF([3]Entry!$K$573="","",[3]Entry!$K$573)</f>
        <v/>
      </c>
      <c r="AJ570">
        <f>IF([3]Entry!$L$573="","",[3]Entry!$L$573)</f>
        <v/>
      </c>
      <c r="AK570">
        <f>IF([3]Entry!$M$573="","",[3]Entry!$M$573)</f>
        <v/>
      </c>
      <c r="AL570">
        <f>IF([3]Entry!$N$573="","",[3]Entry!$N$573)</f>
        <v/>
      </c>
      <c r="AM570">
        <f>IF([3]Entry!$R$573="","",[3]Entry!$R$573)</f>
        <v/>
      </c>
    </row>
    <row r="571">
      <c r="T571">
        <f>IF([2]Baskol!$B$574="","",[2]Baskol!$B$574)</f>
        <v/>
      </c>
      <c r="U571">
        <f>IF([2]Baskol!$C$574="","",[2]Baskol!$C$574)</f>
        <v/>
      </c>
      <c r="V571">
        <f>IF([2]Baskol!$D$574="","",[2]Baskol!$D$574)</f>
        <v/>
      </c>
      <c r="W571">
        <f>IF([2]Baskol!$E$574="","",[2]Baskol!$E$574)</f>
        <v/>
      </c>
      <c r="X571">
        <f>IF([2]Baskol!$G$574="","",[2]Baskol!$G$574)</f>
        <v/>
      </c>
      <c r="Y571">
        <f>IF([2]Baskol!$I$574="","",[2]Baskol!$I$574)</f>
        <v/>
      </c>
      <c r="Z571">
        <f>IF([2]Baskol!$J$574="","",[2]Baskol!$J$574)</f>
        <v/>
      </c>
      <c r="AA571">
        <f>IF([2]Baskol!$K$574="","",[2]Baskol!$K$574)</f>
        <v/>
      </c>
      <c r="AB571">
        <f>IF([2]Baskol!$L$574="","",[2]Baskol!$L$574)</f>
        <v/>
      </c>
      <c r="AC571">
        <f>IF([2]Baskol!$N$574="","",[2]Baskol!$N$574)</f>
        <v/>
      </c>
      <c r="AD571">
        <f>IF([2]Baskol!$O$574="","",[2]Baskol!$O$574)</f>
        <v/>
      </c>
      <c r="AE571">
        <f>IF([3]Entry!$C$574="","",[3]Entry!$C$574)</f>
        <v/>
      </c>
      <c r="AF571">
        <f>IF([3]Entry!$D$574="","",[3]Entry!$D$574)</f>
        <v/>
      </c>
      <c r="AG571">
        <f>IF([3]Entry!$E$574="","",[3]Entry!$E$574)</f>
        <v/>
      </c>
      <c r="AH571">
        <f>IF([3]Entry!$G$574="","",[3]Entry!$G$574)</f>
        <v/>
      </c>
      <c r="AI571">
        <f>IF([3]Entry!$K$574="","",[3]Entry!$K$574)</f>
        <v/>
      </c>
      <c r="AJ571">
        <f>IF([3]Entry!$L$574="","",[3]Entry!$L$574)</f>
        <v/>
      </c>
      <c r="AK571">
        <f>IF([3]Entry!$M$574="","",[3]Entry!$M$574)</f>
        <v/>
      </c>
      <c r="AL571">
        <f>IF([3]Entry!$N$574="","",[3]Entry!$N$574)</f>
        <v/>
      </c>
      <c r="AM571">
        <f>IF([3]Entry!$R$574="","",[3]Entry!$R$574)</f>
        <v/>
      </c>
    </row>
    <row r="572">
      <c r="T572">
        <f>IF([2]Baskol!$B$575="","",[2]Baskol!$B$575)</f>
        <v/>
      </c>
      <c r="U572">
        <f>IF([2]Baskol!$C$575="","",[2]Baskol!$C$575)</f>
        <v/>
      </c>
      <c r="V572">
        <f>IF([2]Baskol!$D$575="","",[2]Baskol!$D$575)</f>
        <v/>
      </c>
      <c r="W572">
        <f>IF([2]Baskol!$E$575="","",[2]Baskol!$E$575)</f>
        <v/>
      </c>
      <c r="X572">
        <f>IF([2]Baskol!$G$575="","",[2]Baskol!$G$575)</f>
        <v/>
      </c>
      <c r="Y572">
        <f>IF([2]Baskol!$I$575="","",[2]Baskol!$I$575)</f>
        <v/>
      </c>
      <c r="Z572">
        <f>IF([2]Baskol!$J$575="","",[2]Baskol!$J$575)</f>
        <v/>
      </c>
      <c r="AA572">
        <f>IF([2]Baskol!$K$575="","",[2]Baskol!$K$575)</f>
        <v/>
      </c>
      <c r="AB572">
        <f>IF([2]Baskol!$L$575="","",[2]Baskol!$L$575)</f>
        <v/>
      </c>
      <c r="AC572">
        <f>IF([2]Baskol!$N$575="","",[2]Baskol!$N$575)</f>
        <v/>
      </c>
      <c r="AD572">
        <f>IF([2]Baskol!$O$575="","",[2]Baskol!$O$575)</f>
        <v/>
      </c>
      <c r="AE572">
        <f>IF([3]Entry!$C$575="","",[3]Entry!$C$575)</f>
        <v/>
      </c>
      <c r="AF572">
        <f>IF([3]Entry!$D$575="","",[3]Entry!$D$575)</f>
        <v/>
      </c>
      <c r="AG572">
        <f>IF([3]Entry!$E$575="","",[3]Entry!$E$575)</f>
        <v/>
      </c>
      <c r="AH572">
        <f>IF([3]Entry!$G$575="","",[3]Entry!$G$575)</f>
        <v/>
      </c>
      <c r="AI572">
        <f>IF([3]Entry!$K$575="","",[3]Entry!$K$575)</f>
        <v/>
      </c>
      <c r="AJ572">
        <f>IF([3]Entry!$L$575="","",[3]Entry!$L$575)</f>
        <v/>
      </c>
      <c r="AK572">
        <f>IF([3]Entry!$M$575="","",[3]Entry!$M$575)</f>
        <v/>
      </c>
      <c r="AL572">
        <f>IF([3]Entry!$N$575="","",[3]Entry!$N$575)</f>
        <v/>
      </c>
      <c r="AM572">
        <f>IF([3]Entry!$R$575="","",[3]Entry!$R$575)</f>
        <v/>
      </c>
    </row>
    <row r="573">
      <c r="T573">
        <f>IF([2]Baskol!$B$576="","",[2]Baskol!$B$576)</f>
        <v/>
      </c>
      <c r="U573">
        <f>IF([2]Baskol!$C$576="","",[2]Baskol!$C$576)</f>
        <v/>
      </c>
      <c r="V573">
        <f>IF([2]Baskol!$D$576="","",[2]Baskol!$D$576)</f>
        <v/>
      </c>
      <c r="W573">
        <f>IF([2]Baskol!$E$576="","",[2]Baskol!$E$576)</f>
        <v/>
      </c>
      <c r="X573">
        <f>IF([2]Baskol!$G$576="","",[2]Baskol!$G$576)</f>
        <v/>
      </c>
      <c r="Y573">
        <f>IF([2]Baskol!$I$576="","",[2]Baskol!$I$576)</f>
        <v/>
      </c>
      <c r="Z573">
        <f>IF([2]Baskol!$J$576="","",[2]Baskol!$J$576)</f>
        <v/>
      </c>
      <c r="AA573">
        <f>IF([2]Baskol!$K$576="","",[2]Baskol!$K$576)</f>
        <v/>
      </c>
      <c r="AB573">
        <f>IF([2]Baskol!$L$576="","",[2]Baskol!$L$576)</f>
        <v/>
      </c>
      <c r="AC573">
        <f>IF([2]Baskol!$N$576="","",[2]Baskol!$N$576)</f>
        <v/>
      </c>
      <c r="AD573">
        <f>IF([2]Baskol!$O$576="","",[2]Baskol!$O$576)</f>
        <v/>
      </c>
      <c r="AE573">
        <f>IF([3]Entry!$C$576="","",[3]Entry!$C$576)</f>
        <v/>
      </c>
      <c r="AF573">
        <f>IF([3]Entry!$D$576="","",[3]Entry!$D$576)</f>
        <v/>
      </c>
      <c r="AG573">
        <f>IF([3]Entry!$E$576="","",[3]Entry!$E$576)</f>
        <v/>
      </c>
      <c r="AH573">
        <f>IF([3]Entry!$G$576="","",[3]Entry!$G$576)</f>
        <v/>
      </c>
      <c r="AI573">
        <f>IF([3]Entry!$K$576="","",[3]Entry!$K$576)</f>
        <v/>
      </c>
      <c r="AJ573">
        <f>IF([3]Entry!$L$576="","",[3]Entry!$L$576)</f>
        <v/>
      </c>
      <c r="AK573">
        <f>IF([3]Entry!$M$576="","",[3]Entry!$M$576)</f>
        <v/>
      </c>
      <c r="AL573">
        <f>IF([3]Entry!$N$576="","",[3]Entry!$N$576)</f>
        <v/>
      </c>
      <c r="AM573">
        <f>IF([3]Entry!$R$576="","",[3]Entry!$R$576)</f>
        <v/>
      </c>
    </row>
    <row r="574">
      <c r="T574">
        <f>IF([2]Baskol!$B$577="","",[2]Baskol!$B$577)</f>
        <v/>
      </c>
      <c r="U574">
        <f>IF([2]Baskol!$C$577="","",[2]Baskol!$C$577)</f>
        <v/>
      </c>
      <c r="V574">
        <f>IF([2]Baskol!$D$577="","",[2]Baskol!$D$577)</f>
        <v/>
      </c>
      <c r="W574">
        <f>IF([2]Baskol!$E$577="","",[2]Baskol!$E$577)</f>
        <v/>
      </c>
      <c r="X574">
        <f>IF([2]Baskol!$G$577="","",[2]Baskol!$G$577)</f>
        <v/>
      </c>
      <c r="Y574">
        <f>IF([2]Baskol!$I$577="","",[2]Baskol!$I$577)</f>
        <v/>
      </c>
      <c r="Z574">
        <f>IF([2]Baskol!$J$577="","",[2]Baskol!$J$577)</f>
        <v/>
      </c>
      <c r="AA574">
        <f>IF([2]Baskol!$K$577="","",[2]Baskol!$K$577)</f>
        <v/>
      </c>
      <c r="AB574">
        <f>IF([2]Baskol!$L$577="","",[2]Baskol!$L$577)</f>
        <v/>
      </c>
      <c r="AC574">
        <f>IF([2]Baskol!$N$577="","",[2]Baskol!$N$577)</f>
        <v/>
      </c>
      <c r="AD574">
        <f>IF([2]Baskol!$O$577="","",[2]Baskol!$O$577)</f>
        <v/>
      </c>
      <c r="AE574">
        <f>IF([3]Entry!$C$577="","",[3]Entry!$C$577)</f>
        <v/>
      </c>
      <c r="AF574">
        <f>IF([3]Entry!$D$577="","",[3]Entry!$D$577)</f>
        <v/>
      </c>
      <c r="AG574">
        <f>IF([3]Entry!$E$577="","",[3]Entry!$E$577)</f>
        <v/>
      </c>
      <c r="AH574">
        <f>IF([3]Entry!$G$577="","",[3]Entry!$G$577)</f>
        <v/>
      </c>
      <c r="AI574">
        <f>IF([3]Entry!$K$577="","",[3]Entry!$K$577)</f>
        <v/>
      </c>
      <c r="AJ574">
        <f>IF([3]Entry!$L$577="","",[3]Entry!$L$577)</f>
        <v/>
      </c>
      <c r="AK574">
        <f>IF([3]Entry!$M$577="","",[3]Entry!$M$577)</f>
        <v/>
      </c>
      <c r="AL574">
        <f>IF([3]Entry!$N$577="","",[3]Entry!$N$577)</f>
        <v/>
      </c>
      <c r="AM574">
        <f>IF([3]Entry!$R$577="","",[3]Entry!$R$577)</f>
        <v/>
      </c>
    </row>
    <row r="575">
      <c r="T575">
        <f>IF([2]Baskol!$B$578="","",[2]Baskol!$B$578)</f>
        <v/>
      </c>
      <c r="U575">
        <f>IF([2]Baskol!$C$578="","",[2]Baskol!$C$578)</f>
        <v/>
      </c>
      <c r="V575">
        <f>IF([2]Baskol!$D$578="","",[2]Baskol!$D$578)</f>
        <v/>
      </c>
      <c r="W575">
        <f>IF([2]Baskol!$E$578="","",[2]Baskol!$E$578)</f>
        <v/>
      </c>
      <c r="X575">
        <f>IF([2]Baskol!$G$578="","",[2]Baskol!$G$578)</f>
        <v/>
      </c>
      <c r="Y575">
        <f>IF([2]Baskol!$I$578="","",[2]Baskol!$I$578)</f>
        <v/>
      </c>
      <c r="Z575">
        <f>IF([2]Baskol!$J$578="","",[2]Baskol!$J$578)</f>
        <v/>
      </c>
      <c r="AA575">
        <f>IF([2]Baskol!$K$578="","",[2]Baskol!$K$578)</f>
        <v/>
      </c>
      <c r="AB575">
        <f>IF([2]Baskol!$L$578="","",[2]Baskol!$L$578)</f>
        <v/>
      </c>
      <c r="AC575">
        <f>IF([2]Baskol!$N$578="","",[2]Baskol!$N$578)</f>
        <v/>
      </c>
      <c r="AD575">
        <f>IF([2]Baskol!$O$578="","",[2]Baskol!$O$578)</f>
        <v/>
      </c>
      <c r="AE575">
        <f>IF([3]Entry!$C$578="","",[3]Entry!$C$578)</f>
        <v/>
      </c>
      <c r="AF575">
        <f>IF([3]Entry!$D$578="","",[3]Entry!$D$578)</f>
        <v/>
      </c>
      <c r="AG575">
        <f>IF([3]Entry!$E$578="","",[3]Entry!$E$578)</f>
        <v/>
      </c>
      <c r="AH575">
        <f>IF([3]Entry!$G$578="","",[3]Entry!$G$578)</f>
        <v/>
      </c>
      <c r="AI575">
        <f>IF([3]Entry!$K$578="","",[3]Entry!$K$578)</f>
        <v/>
      </c>
      <c r="AJ575">
        <f>IF([3]Entry!$L$578="","",[3]Entry!$L$578)</f>
        <v/>
      </c>
      <c r="AK575">
        <f>IF([3]Entry!$M$578="","",[3]Entry!$M$578)</f>
        <v/>
      </c>
      <c r="AL575">
        <f>IF([3]Entry!$N$578="","",[3]Entry!$N$578)</f>
        <v/>
      </c>
      <c r="AM575">
        <f>IF([3]Entry!$R$578="","",[3]Entry!$R$578)</f>
        <v/>
      </c>
    </row>
    <row r="576">
      <c r="T576">
        <f>IF([2]Baskol!$B$579="","",[2]Baskol!$B$579)</f>
        <v/>
      </c>
      <c r="U576">
        <f>IF([2]Baskol!$C$579="","",[2]Baskol!$C$579)</f>
        <v/>
      </c>
      <c r="V576">
        <f>IF([2]Baskol!$D$579="","",[2]Baskol!$D$579)</f>
        <v/>
      </c>
      <c r="W576">
        <f>IF([2]Baskol!$E$579="","",[2]Baskol!$E$579)</f>
        <v/>
      </c>
      <c r="X576">
        <f>IF([2]Baskol!$G$579="","",[2]Baskol!$G$579)</f>
        <v/>
      </c>
      <c r="Y576">
        <f>IF([2]Baskol!$I$579="","",[2]Baskol!$I$579)</f>
        <v/>
      </c>
      <c r="Z576">
        <f>IF([2]Baskol!$J$579="","",[2]Baskol!$J$579)</f>
        <v/>
      </c>
      <c r="AA576">
        <f>IF([2]Baskol!$K$579="","",[2]Baskol!$K$579)</f>
        <v/>
      </c>
      <c r="AB576">
        <f>IF([2]Baskol!$L$579="","",[2]Baskol!$L$579)</f>
        <v/>
      </c>
      <c r="AC576">
        <f>IF([2]Baskol!$N$579="","",[2]Baskol!$N$579)</f>
        <v/>
      </c>
      <c r="AD576">
        <f>IF([2]Baskol!$O$579="","",[2]Baskol!$O$579)</f>
        <v/>
      </c>
      <c r="AE576">
        <f>IF([3]Entry!$C$579="","",[3]Entry!$C$579)</f>
        <v/>
      </c>
      <c r="AF576">
        <f>IF([3]Entry!$D$579="","",[3]Entry!$D$579)</f>
        <v/>
      </c>
      <c r="AG576">
        <f>IF([3]Entry!$E$579="","",[3]Entry!$E$579)</f>
        <v/>
      </c>
      <c r="AH576">
        <f>IF([3]Entry!$G$579="","",[3]Entry!$G$579)</f>
        <v/>
      </c>
      <c r="AI576">
        <f>IF([3]Entry!$K$579="","",[3]Entry!$K$579)</f>
        <v/>
      </c>
      <c r="AJ576">
        <f>IF([3]Entry!$L$579="","",[3]Entry!$L$579)</f>
        <v/>
      </c>
      <c r="AK576">
        <f>IF([3]Entry!$M$579="","",[3]Entry!$M$579)</f>
        <v/>
      </c>
      <c r="AL576">
        <f>IF([3]Entry!$N$579="","",[3]Entry!$N$579)</f>
        <v/>
      </c>
      <c r="AM576">
        <f>IF([3]Entry!$R$579="","",[3]Entry!$R$579)</f>
        <v/>
      </c>
    </row>
    <row r="577">
      <c r="T577">
        <f>IF([2]Baskol!$B$580="","",[2]Baskol!$B$580)</f>
        <v/>
      </c>
      <c r="U577">
        <f>IF([2]Baskol!$C$580="","",[2]Baskol!$C$580)</f>
        <v/>
      </c>
      <c r="V577">
        <f>IF([2]Baskol!$D$580="","",[2]Baskol!$D$580)</f>
        <v/>
      </c>
      <c r="W577">
        <f>IF([2]Baskol!$E$580="","",[2]Baskol!$E$580)</f>
        <v/>
      </c>
      <c r="X577">
        <f>IF([2]Baskol!$G$580="","",[2]Baskol!$G$580)</f>
        <v/>
      </c>
      <c r="Y577">
        <f>IF([2]Baskol!$I$580="","",[2]Baskol!$I$580)</f>
        <v/>
      </c>
      <c r="Z577">
        <f>IF([2]Baskol!$J$580="","",[2]Baskol!$J$580)</f>
        <v/>
      </c>
      <c r="AA577">
        <f>IF([2]Baskol!$K$580="","",[2]Baskol!$K$580)</f>
        <v/>
      </c>
      <c r="AB577">
        <f>IF([2]Baskol!$L$580="","",[2]Baskol!$L$580)</f>
        <v/>
      </c>
      <c r="AC577">
        <f>IF([2]Baskol!$N$580="","",[2]Baskol!$N$580)</f>
        <v/>
      </c>
      <c r="AD577">
        <f>IF([2]Baskol!$O$580="","",[2]Baskol!$O$580)</f>
        <v/>
      </c>
      <c r="AE577">
        <f>IF([3]Entry!$C$580="","",[3]Entry!$C$580)</f>
        <v/>
      </c>
      <c r="AF577">
        <f>IF([3]Entry!$D$580="","",[3]Entry!$D$580)</f>
        <v/>
      </c>
      <c r="AG577">
        <f>IF([3]Entry!$E$580="","",[3]Entry!$E$580)</f>
        <v/>
      </c>
      <c r="AH577">
        <f>IF([3]Entry!$G$580="","",[3]Entry!$G$580)</f>
        <v/>
      </c>
      <c r="AI577">
        <f>IF([3]Entry!$K$580="","",[3]Entry!$K$580)</f>
        <v/>
      </c>
      <c r="AJ577">
        <f>IF([3]Entry!$L$580="","",[3]Entry!$L$580)</f>
        <v/>
      </c>
      <c r="AK577">
        <f>IF([3]Entry!$M$580="","",[3]Entry!$M$580)</f>
        <v/>
      </c>
      <c r="AL577">
        <f>IF([3]Entry!$N$580="","",[3]Entry!$N$580)</f>
        <v/>
      </c>
      <c r="AM577">
        <f>IF([3]Entry!$R$580="","",[3]Entry!$R$580)</f>
        <v/>
      </c>
    </row>
    <row r="578">
      <c r="T578">
        <f>IF([2]Baskol!$B$581="","",[2]Baskol!$B$581)</f>
        <v/>
      </c>
      <c r="U578">
        <f>IF([2]Baskol!$C$581="","",[2]Baskol!$C$581)</f>
        <v/>
      </c>
      <c r="V578">
        <f>IF([2]Baskol!$D$581="","",[2]Baskol!$D$581)</f>
        <v/>
      </c>
      <c r="W578">
        <f>IF([2]Baskol!$E$581="","",[2]Baskol!$E$581)</f>
        <v/>
      </c>
      <c r="X578">
        <f>IF([2]Baskol!$G$581="","",[2]Baskol!$G$581)</f>
        <v/>
      </c>
      <c r="Y578">
        <f>IF([2]Baskol!$I$581="","",[2]Baskol!$I$581)</f>
        <v/>
      </c>
      <c r="Z578">
        <f>IF([2]Baskol!$J$581="","",[2]Baskol!$J$581)</f>
        <v/>
      </c>
      <c r="AA578">
        <f>IF([2]Baskol!$K$581="","",[2]Baskol!$K$581)</f>
        <v/>
      </c>
      <c r="AB578">
        <f>IF([2]Baskol!$L$581="","",[2]Baskol!$L$581)</f>
        <v/>
      </c>
      <c r="AC578">
        <f>IF([2]Baskol!$N$581="","",[2]Baskol!$N$581)</f>
        <v/>
      </c>
      <c r="AD578">
        <f>IF([2]Baskol!$O$581="","",[2]Baskol!$O$581)</f>
        <v/>
      </c>
      <c r="AE578">
        <f>IF([3]Entry!$C$581="","",[3]Entry!$C$581)</f>
        <v/>
      </c>
      <c r="AF578">
        <f>IF([3]Entry!$D$581="","",[3]Entry!$D$581)</f>
        <v/>
      </c>
      <c r="AG578">
        <f>IF([3]Entry!$E$581="","",[3]Entry!$E$581)</f>
        <v/>
      </c>
      <c r="AH578">
        <f>IF([3]Entry!$G$581="","",[3]Entry!$G$581)</f>
        <v/>
      </c>
      <c r="AI578">
        <f>IF([3]Entry!$K$581="","",[3]Entry!$K$581)</f>
        <v/>
      </c>
      <c r="AJ578">
        <f>IF([3]Entry!$L$581="","",[3]Entry!$L$581)</f>
        <v/>
      </c>
      <c r="AK578">
        <f>IF([3]Entry!$M$581="","",[3]Entry!$M$581)</f>
        <v/>
      </c>
      <c r="AL578">
        <f>IF([3]Entry!$N$581="","",[3]Entry!$N$581)</f>
        <v/>
      </c>
      <c r="AM578">
        <f>IF([3]Entry!$R$581="","",[3]Entry!$R$581)</f>
        <v/>
      </c>
    </row>
    <row r="579">
      <c r="T579">
        <f>IF([2]Baskol!$B$582="","",[2]Baskol!$B$582)</f>
        <v/>
      </c>
      <c r="U579">
        <f>IF([2]Baskol!$C$582="","",[2]Baskol!$C$582)</f>
        <v/>
      </c>
      <c r="V579">
        <f>IF([2]Baskol!$D$582="","",[2]Baskol!$D$582)</f>
        <v/>
      </c>
      <c r="W579">
        <f>IF([2]Baskol!$E$582="","",[2]Baskol!$E$582)</f>
        <v/>
      </c>
      <c r="X579">
        <f>IF([2]Baskol!$G$582="","",[2]Baskol!$G$582)</f>
        <v/>
      </c>
      <c r="Y579">
        <f>IF([2]Baskol!$I$582="","",[2]Baskol!$I$582)</f>
        <v/>
      </c>
      <c r="Z579">
        <f>IF([2]Baskol!$J$582="","",[2]Baskol!$J$582)</f>
        <v/>
      </c>
      <c r="AA579">
        <f>IF([2]Baskol!$K$582="","",[2]Baskol!$K$582)</f>
        <v/>
      </c>
      <c r="AB579">
        <f>IF([2]Baskol!$L$582="","",[2]Baskol!$L$582)</f>
        <v/>
      </c>
      <c r="AC579">
        <f>IF([2]Baskol!$N$582="","",[2]Baskol!$N$582)</f>
        <v/>
      </c>
      <c r="AD579">
        <f>IF([2]Baskol!$O$582="","",[2]Baskol!$O$582)</f>
        <v/>
      </c>
      <c r="AE579">
        <f>IF([3]Entry!$C$582="","",[3]Entry!$C$582)</f>
        <v/>
      </c>
      <c r="AF579">
        <f>IF([3]Entry!$D$582="","",[3]Entry!$D$582)</f>
        <v/>
      </c>
      <c r="AG579">
        <f>IF([3]Entry!$E$582="","",[3]Entry!$E$582)</f>
        <v/>
      </c>
      <c r="AH579">
        <f>IF([3]Entry!$G$582="","",[3]Entry!$G$582)</f>
        <v/>
      </c>
      <c r="AI579">
        <f>IF([3]Entry!$K$582="","",[3]Entry!$K$582)</f>
        <v/>
      </c>
      <c r="AJ579">
        <f>IF([3]Entry!$L$582="","",[3]Entry!$L$582)</f>
        <v/>
      </c>
      <c r="AK579">
        <f>IF([3]Entry!$M$582="","",[3]Entry!$M$582)</f>
        <v/>
      </c>
      <c r="AL579">
        <f>IF([3]Entry!$N$582="","",[3]Entry!$N$582)</f>
        <v/>
      </c>
      <c r="AM579">
        <f>IF([3]Entry!$R$582="","",[3]Entry!$R$582)</f>
        <v/>
      </c>
    </row>
    <row r="580">
      <c r="T580">
        <f>IF([2]Baskol!$B$583="","",[2]Baskol!$B$583)</f>
        <v/>
      </c>
      <c r="U580">
        <f>IF([2]Baskol!$C$583="","",[2]Baskol!$C$583)</f>
        <v/>
      </c>
      <c r="V580">
        <f>IF([2]Baskol!$D$583="","",[2]Baskol!$D$583)</f>
        <v/>
      </c>
      <c r="W580">
        <f>IF([2]Baskol!$E$583="","",[2]Baskol!$E$583)</f>
        <v/>
      </c>
      <c r="X580">
        <f>IF([2]Baskol!$G$583="","",[2]Baskol!$G$583)</f>
        <v/>
      </c>
      <c r="Y580">
        <f>IF([2]Baskol!$I$583="","",[2]Baskol!$I$583)</f>
        <v/>
      </c>
      <c r="Z580">
        <f>IF([2]Baskol!$J$583="","",[2]Baskol!$J$583)</f>
        <v/>
      </c>
      <c r="AA580">
        <f>IF([2]Baskol!$K$583="","",[2]Baskol!$K$583)</f>
        <v/>
      </c>
      <c r="AB580">
        <f>IF([2]Baskol!$L$583="","",[2]Baskol!$L$583)</f>
        <v/>
      </c>
      <c r="AC580">
        <f>IF([2]Baskol!$N$583="","",[2]Baskol!$N$583)</f>
        <v/>
      </c>
      <c r="AD580">
        <f>IF([2]Baskol!$O$583="","",[2]Baskol!$O$583)</f>
        <v/>
      </c>
      <c r="AE580">
        <f>IF([3]Entry!$C$583="","",[3]Entry!$C$583)</f>
        <v/>
      </c>
      <c r="AF580">
        <f>IF([3]Entry!$D$583="","",[3]Entry!$D$583)</f>
        <v/>
      </c>
      <c r="AG580">
        <f>IF([3]Entry!$E$583="","",[3]Entry!$E$583)</f>
        <v/>
      </c>
      <c r="AH580">
        <f>IF([3]Entry!$G$583="","",[3]Entry!$G$583)</f>
        <v/>
      </c>
      <c r="AI580">
        <f>IF([3]Entry!$K$583="","",[3]Entry!$K$583)</f>
        <v/>
      </c>
      <c r="AJ580">
        <f>IF([3]Entry!$L$583="","",[3]Entry!$L$583)</f>
        <v/>
      </c>
      <c r="AK580">
        <f>IF([3]Entry!$M$583="","",[3]Entry!$M$583)</f>
        <v/>
      </c>
      <c r="AL580">
        <f>IF([3]Entry!$N$583="","",[3]Entry!$N$583)</f>
        <v/>
      </c>
      <c r="AM580">
        <f>IF([3]Entry!$R$583="","",[3]Entry!$R$583)</f>
        <v/>
      </c>
    </row>
    <row r="581">
      <c r="T581">
        <f>IF([2]Baskol!$B$584="","",[2]Baskol!$B$584)</f>
        <v/>
      </c>
      <c r="U581">
        <f>IF([2]Baskol!$C$584="","",[2]Baskol!$C$584)</f>
        <v/>
      </c>
      <c r="V581">
        <f>IF([2]Baskol!$D$584="","",[2]Baskol!$D$584)</f>
        <v/>
      </c>
      <c r="W581">
        <f>IF([2]Baskol!$E$584="","",[2]Baskol!$E$584)</f>
        <v/>
      </c>
      <c r="X581">
        <f>IF([2]Baskol!$G$584="","",[2]Baskol!$G$584)</f>
        <v/>
      </c>
      <c r="Y581">
        <f>IF([2]Baskol!$I$584="","",[2]Baskol!$I$584)</f>
        <v/>
      </c>
      <c r="Z581">
        <f>IF([2]Baskol!$J$584="","",[2]Baskol!$J$584)</f>
        <v/>
      </c>
      <c r="AA581">
        <f>IF([2]Baskol!$K$584="","",[2]Baskol!$K$584)</f>
        <v/>
      </c>
      <c r="AB581">
        <f>IF([2]Baskol!$L$584="","",[2]Baskol!$L$584)</f>
        <v/>
      </c>
      <c r="AC581">
        <f>IF([2]Baskol!$N$584="","",[2]Baskol!$N$584)</f>
        <v/>
      </c>
      <c r="AD581">
        <f>IF([2]Baskol!$O$584="","",[2]Baskol!$O$584)</f>
        <v/>
      </c>
      <c r="AE581">
        <f>IF([3]Entry!$C$584="","",[3]Entry!$C$584)</f>
        <v/>
      </c>
      <c r="AF581">
        <f>IF([3]Entry!$D$584="","",[3]Entry!$D$584)</f>
        <v/>
      </c>
      <c r="AG581">
        <f>IF([3]Entry!$E$584="","",[3]Entry!$E$584)</f>
        <v/>
      </c>
      <c r="AH581">
        <f>IF([3]Entry!$G$584="","",[3]Entry!$G$584)</f>
        <v/>
      </c>
      <c r="AI581">
        <f>IF([3]Entry!$K$584="","",[3]Entry!$K$584)</f>
        <v/>
      </c>
      <c r="AJ581">
        <f>IF([3]Entry!$L$584="","",[3]Entry!$L$584)</f>
        <v/>
      </c>
      <c r="AK581">
        <f>IF([3]Entry!$M$584="","",[3]Entry!$M$584)</f>
        <v/>
      </c>
      <c r="AL581">
        <f>IF([3]Entry!$N$584="","",[3]Entry!$N$584)</f>
        <v/>
      </c>
      <c r="AM581">
        <f>IF([3]Entry!$R$584="","",[3]Entry!$R$584)</f>
        <v/>
      </c>
    </row>
    <row r="582">
      <c r="T582">
        <f>IF([2]Baskol!$B$585="","",[2]Baskol!$B$585)</f>
        <v/>
      </c>
      <c r="U582">
        <f>IF([2]Baskol!$C$585="","",[2]Baskol!$C$585)</f>
        <v/>
      </c>
      <c r="V582">
        <f>IF([2]Baskol!$D$585="","",[2]Baskol!$D$585)</f>
        <v/>
      </c>
      <c r="W582">
        <f>IF([2]Baskol!$E$585="","",[2]Baskol!$E$585)</f>
        <v/>
      </c>
      <c r="X582">
        <f>IF([2]Baskol!$G$585="","",[2]Baskol!$G$585)</f>
        <v/>
      </c>
      <c r="Y582">
        <f>IF([2]Baskol!$I$585="","",[2]Baskol!$I$585)</f>
        <v/>
      </c>
      <c r="Z582">
        <f>IF([2]Baskol!$J$585="","",[2]Baskol!$J$585)</f>
        <v/>
      </c>
      <c r="AA582">
        <f>IF([2]Baskol!$K$585="","",[2]Baskol!$K$585)</f>
        <v/>
      </c>
      <c r="AB582">
        <f>IF([2]Baskol!$L$585="","",[2]Baskol!$L$585)</f>
        <v/>
      </c>
      <c r="AC582">
        <f>IF([2]Baskol!$N$585="","",[2]Baskol!$N$585)</f>
        <v/>
      </c>
      <c r="AD582">
        <f>IF([2]Baskol!$O$585="","",[2]Baskol!$O$585)</f>
        <v/>
      </c>
      <c r="AE582">
        <f>IF([3]Entry!$C$585="","",[3]Entry!$C$585)</f>
        <v/>
      </c>
      <c r="AF582">
        <f>IF([3]Entry!$D$585="","",[3]Entry!$D$585)</f>
        <v/>
      </c>
      <c r="AG582">
        <f>IF([3]Entry!$E$585="","",[3]Entry!$E$585)</f>
        <v/>
      </c>
      <c r="AH582">
        <f>IF([3]Entry!$G$585="","",[3]Entry!$G$585)</f>
        <v/>
      </c>
      <c r="AI582">
        <f>IF([3]Entry!$K$585="","",[3]Entry!$K$585)</f>
        <v/>
      </c>
      <c r="AJ582">
        <f>IF([3]Entry!$L$585="","",[3]Entry!$L$585)</f>
        <v/>
      </c>
      <c r="AK582">
        <f>IF([3]Entry!$M$585="","",[3]Entry!$M$585)</f>
        <v/>
      </c>
      <c r="AL582">
        <f>IF([3]Entry!$N$585="","",[3]Entry!$N$585)</f>
        <v/>
      </c>
      <c r="AM582">
        <f>IF([3]Entry!$R$585="","",[3]Entry!$R$585)</f>
        <v/>
      </c>
    </row>
    <row r="583">
      <c r="T583">
        <f>IF([2]Baskol!$B$586="","",[2]Baskol!$B$586)</f>
        <v/>
      </c>
      <c r="U583">
        <f>IF([2]Baskol!$C$586="","",[2]Baskol!$C$586)</f>
        <v/>
      </c>
      <c r="V583">
        <f>IF([2]Baskol!$D$586="","",[2]Baskol!$D$586)</f>
        <v/>
      </c>
      <c r="W583">
        <f>IF([2]Baskol!$E$586="","",[2]Baskol!$E$586)</f>
        <v/>
      </c>
      <c r="X583">
        <f>IF([2]Baskol!$G$586="","",[2]Baskol!$G$586)</f>
        <v/>
      </c>
      <c r="Y583">
        <f>IF([2]Baskol!$I$586="","",[2]Baskol!$I$586)</f>
        <v/>
      </c>
      <c r="Z583">
        <f>IF([2]Baskol!$J$586="","",[2]Baskol!$J$586)</f>
        <v/>
      </c>
      <c r="AA583">
        <f>IF([2]Baskol!$K$586="","",[2]Baskol!$K$586)</f>
        <v/>
      </c>
      <c r="AB583">
        <f>IF([2]Baskol!$L$586="","",[2]Baskol!$L$586)</f>
        <v/>
      </c>
      <c r="AC583">
        <f>IF([2]Baskol!$N$586="","",[2]Baskol!$N$586)</f>
        <v/>
      </c>
      <c r="AD583">
        <f>IF([2]Baskol!$O$586="","",[2]Baskol!$O$586)</f>
        <v/>
      </c>
      <c r="AE583">
        <f>IF([3]Entry!$C$586="","",[3]Entry!$C$586)</f>
        <v/>
      </c>
      <c r="AF583">
        <f>IF([3]Entry!$D$586="","",[3]Entry!$D$586)</f>
        <v/>
      </c>
      <c r="AG583">
        <f>IF([3]Entry!$E$586="","",[3]Entry!$E$586)</f>
        <v/>
      </c>
      <c r="AH583">
        <f>IF([3]Entry!$G$586="","",[3]Entry!$G$586)</f>
        <v/>
      </c>
      <c r="AI583">
        <f>IF([3]Entry!$K$586="","",[3]Entry!$K$586)</f>
        <v/>
      </c>
      <c r="AJ583">
        <f>IF([3]Entry!$L$586="","",[3]Entry!$L$586)</f>
        <v/>
      </c>
      <c r="AK583">
        <f>IF([3]Entry!$M$586="","",[3]Entry!$M$586)</f>
        <v/>
      </c>
      <c r="AL583">
        <f>IF([3]Entry!$N$586="","",[3]Entry!$N$586)</f>
        <v/>
      </c>
      <c r="AM583">
        <f>IF([3]Entry!$R$586="","",[3]Entry!$R$586)</f>
        <v/>
      </c>
    </row>
    <row r="584">
      <c r="T584">
        <f>IF([2]Baskol!$B$587="","",[2]Baskol!$B$587)</f>
        <v/>
      </c>
      <c r="U584">
        <f>IF([2]Baskol!$C$587="","",[2]Baskol!$C$587)</f>
        <v/>
      </c>
      <c r="V584">
        <f>IF([2]Baskol!$D$587="","",[2]Baskol!$D$587)</f>
        <v/>
      </c>
      <c r="W584">
        <f>IF([2]Baskol!$E$587="","",[2]Baskol!$E$587)</f>
        <v/>
      </c>
      <c r="X584">
        <f>IF([2]Baskol!$G$587="","",[2]Baskol!$G$587)</f>
        <v/>
      </c>
      <c r="Y584">
        <f>IF([2]Baskol!$I$587="","",[2]Baskol!$I$587)</f>
        <v/>
      </c>
      <c r="Z584">
        <f>IF([2]Baskol!$J$587="","",[2]Baskol!$J$587)</f>
        <v/>
      </c>
      <c r="AA584">
        <f>IF([2]Baskol!$K$587="","",[2]Baskol!$K$587)</f>
        <v/>
      </c>
      <c r="AB584">
        <f>IF([2]Baskol!$L$587="","",[2]Baskol!$L$587)</f>
        <v/>
      </c>
      <c r="AC584">
        <f>IF([2]Baskol!$N$587="","",[2]Baskol!$N$587)</f>
        <v/>
      </c>
      <c r="AD584">
        <f>IF([2]Baskol!$O$587="","",[2]Baskol!$O$587)</f>
        <v/>
      </c>
      <c r="AE584">
        <f>IF([3]Entry!$C$587="","",[3]Entry!$C$587)</f>
        <v/>
      </c>
      <c r="AF584">
        <f>IF([3]Entry!$D$587="","",[3]Entry!$D$587)</f>
        <v/>
      </c>
      <c r="AG584">
        <f>IF([3]Entry!$E$587="","",[3]Entry!$E$587)</f>
        <v/>
      </c>
      <c r="AH584">
        <f>IF([3]Entry!$G$587="","",[3]Entry!$G$587)</f>
        <v/>
      </c>
      <c r="AI584">
        <f>IF([3]Entry!$K$587="","",[3]Entry!$K$587)</f>
        <v/>
      </c>
      <c r="AJ584">
        <f>IF([3]Entry!$L$587="","",[3]Entry!$L$587)</f>
        <v/>
      </c>
      <c r="AK584">
        <f>IF([3]Entry!$M$587="","",[3]Entry!$M$587)</f>
        <v/>
      </c>
      <c r="AL584">
        <f>IF([3]Entry!$N$587="","",[3]Entry!$N$587)</f>
        <v/>
      </c>
      <c r="AM584">
        <f>IF([3]Entry!$R$587="","",[3]Entry!$R$587)</f>
        <v/>
      </c>
    </row>
    <row r="585">
      <c r="T585">
        <f>IF([2]Baskol!$B$588="","",[2]Baskol!$B$588)</f>
        <v/>
      </c>
      <c r="U585">
        <f>IF([2]Baskol!$C$588="","",[2]Baskol!$C$588)</f>
        <v/>
      </c>
      <c r="V585">
        <f>IF([2]Baskol!$D$588="","",[2]Baskol!$D$588)</f>
        <v/>
      </c>
      <c r="W585">
        <f>IF([2]Baskol!$E$588="","",[2]Baskol!$E$588)</f>
        <v/>
      </c>
      <c r="X585">
        <f>IF([2]Baskol!$G$588="","",[2]Baskol!$G$588)</f>
        <v/>
      </c>
      <c r="Y585">
        <f>IF([2]Baskol!$I$588="","",[2]Baskol!$I$588)</f>
        <v/>
      </c>
      <c r="Z585">
        <f>IF([2]Baskol!$J$588="","",[2]Baskol!$J$588)</f>
        <v/>
      </c>
      <c r="AA585">
        <f>IF([2]Baskol!$K$588="","",[2]Baskol!$K$588)</f>
        <v/>
      </c>
      <c r="AB585">
        <f>IF([2]Baskol!$L$588="","",[2]Baskol!$L$588)</f>
        <v/>
      </c>
      <c r="AC585">
        <f>IF([2]Baskol!$N$588="","",[2]Baskol!$N$588)</f>
        <v/>
      </c>
      <c r="AD585">
        <f>IF([2]Baskol!$O$588="","",[2]Baskol!$O$588)</f>
        <v/>
      </c>
      <c r="AE585">
        <f>IF([3]Entry!$C$588="","",[3]Entry!$C$588)</f>
        <v/>
      </c>
      <c r="AF585">
        <f>IF([3]Entry!$D$588="","",[3]Entry!$D$588)</f>
        <v/>
      </c>
      <c r="AG585">
        <f>IF([3]Entry!$E$588="","",[3]Entry!$E$588)</f>
        <v/>
      </c>
      <c r="AH585">
        <f>IF([3]Entry!$G$588="","",[3]Entry!$G$588)</f>
        <v/>
      </c>
      <c r="AI585">
        <f>IF([3]Entry!$K$588="","",[3]Entry!$K$588)</f>
        <v/>
      </c>
      <c r="AJ585">
        <f>IF([3]Entry!$L$588="","",[3]Entry!$L$588)</f>
        <v/>
      </c>
      <c r="AK585">
        <f>IF([3]Entry!$M$588="","",[3]Entry!$M$588)</f>
        <v/>
      </c>
      <c r="AL585">
        <f>IF([3]Entry!$N$588="","",[3]Entry!$N$588)</f>
        <v/>
      </c>
      <c r="AM585">
        <f>IF([3]Entry!$R$588="","",[3]Entry!$R$588)</f>
        <v/>
      </c>
    </row>
    <row r="586">
      <c r="T586">
        <f>IF([2]Baskol!$B$589="","",[2]Baskol!$B$589)</f>
        <v/>
      </c>
      <c r="U586">
        <f>IF([2]Baskol!$C$589="","",[2]Baskol!$C$589)</f>
        <v/>
      </c>
      <c r="V586">
        <f>IF([2]Baskol!$D$589="","",[2]Baskol!$D$589)</f>
        <v/>
      </c>
      <c r="W586">
        <f>IF([2]Baskol!$E$589="","",[2]Baskol!$E$589)</f>
        <v/>
      </c>
      <c r="X586">
        <f>IF([2]Baskol!$G$589="","",[2]Baskol!$G$589)</f>
        <v/>
      </c>
      <c r="Y586">
        <f>IF([2]Baskol!$I$589="","",[2]Baskol!$I$589)</f>
        <v/>
      </c>
      <c r="Z586">
        <f>IF([2]Baskol!$J$589="","",[2]Baskol!$J$589)</f>
        <v/>
      </c>
      <c r="AA586">
        <f>IF([2]Baskol!$K$589="","",[2]Baskol!$K$589)</f>
        <v/>
      </c>
      <c r="AB586">
        <f>IF([2]Baskol!$L$589="","",[2]Baskol!$L$589)</f>
        <v/>
      </c>
      <c r="AC586">
        <f>IF([2]Baskol!$N$589="","",[2]Baskol!$N$589)</f>
        <v/>
      </c>
      <c r="AD586">
        <f>IF([2]Baskol!$O$589="","",[2]Baskol!$O$589)</f>
        <v/>
      </c>
      <c r="AE586">
        <f>IF([3]Entry!$C$589="","",[3]Entry!$C$589)</f>
        <v/>
      </c>
      <c r="AF586">
        <f>IF([3]Entry!$D$589="","",[3]Entry!$D$589)</f>
        <v/>
      </c>
      <c r="AG586">
        <f>IF([3]Entry!$E$589="","",[3]Entry!$E$589)</f>
        <v/>
      </c>
      <c r="AH586">
        <f>IF([3]Entry!$G$589="","",[3]Entry!$G$589)</f>
        <v/>
      </c>
      <c r="AI586">
        <f>IF([3]Entry!$K$589="","",[3]Entry!$K$589)</f>
        <v/>
      </c>
      <c r="AJ586">
        <f>IF([3]Entry!$L$589="","",[3]Entry!$L$589)</f>
        <v/>
      </c>
      <c r="AK586">
        <f>IF([3]Entry!$M$589="","",[3]Entry!$M$589)</f>
        <v/>
      </c>
      <c r="AL586">
        <f>IF([3]Entry!$N$589="","",[3]Entry!$N$589)</f>
        <v/>
      </c>
      <c r="AM586">
        <f>IF([3]Entry!$R$589="","",[3]Entry!$R$589)</f>
        <v/>
      </c>
    </row>
    <row r="587">
      <c r="T587">
        <f>IF([2]Baskol!$B$590="","",[2]Baskol!$B$590)</f>
        <v/>
      </c>
      <c r="U587">
        <f>IF([2]Baskol!$C$590="","",[2]Baskol!$C$590)</f>
        <v/>
      </c>
      <c r="V587">
        <f>IF([2]Baskol!$D$590="","",[2]Baskol!$D$590)</f>
        <v/>
      </c>
      <c r="W587">
        <f>IF([2]Baskol!$E$590="","",[2]Baskol!$E$590)</f>
        <v/>
      </c>
      <c r="X587">
        <f>IF([2]Baskol!$G$590="","",[2]Baskol!$G$590)</f>
        <v/>
      </c>
      <c r="Y587">
        <f>IF([2]Baskol!$I$590="","",[2]Baskol!$I$590)</f>
        <v/>
      </c>
      <c r="Z587">
        <f>IF([2]Baskol!$J$590="","",[2]Baskol!$J$590)</f>
        <v/>
      </c>
      <c r="AA587">
        <f>IF([2]Baskol!$K$590="","",[2]Baskol!$K$590)</f>
        <v/>
      </c>
      <c r="AB587">
        <f>IF([2]Baskol!$L$590="","",[2]Baskol!$L$590)</f>
        <v/>
      </c>
      <c r="AC587">
        <f>IF([2]Baskol!$N$590="","",[2]Baskol!$N$590)</f>
        <v/>
      </c>
      <c r="AD587">
        <f>IF([2]Baskol!$O$590="","",[2]Baskol!$O$590)</f>
        <v/>
      </c>
      <c r="AE587">
        <f>IF([3]Entry!$C$590="","",[3]Entry!$C$590)</f>
        <v/>
      </c>
      <c r="AF587">
        <f>IF([3]Entry!$D$590="","",[3]Entry!$D$590)</f>
        <v/>
      </c>
      <c r="AG587">
        <f>IF([3]Entry!$E$590="","",[3]Entry!$E$590)</f>
        <v/>
      </c>
      <c r="AH587">
        <f>IF([3]Entry!$G$590="","",[3]Entry!$G$590)</f>
        <v/>
      </c>
      <c r="AI587">
        <f>IF([3]Entry!$K$590="","",[3]Entry!$K$590)</f>
        <v/>
      </c>
      <c r="AJ587">
        <f>IF([3]Entry!$L$590="","",[3]Entry!$L$590)</f>
        <v/>
      </c>
      <c r="AK587">
        <f>IF([3]Entry!$M$590="","",[3]Entry!$M$590)</f>
        <v/>
      </c>
      <c r="AL587">
        <f>IF([3]Entry!$N$590="","",[3]Entry!$N$590)</f>
        <v/>
      </c>
      <c r="AM587">
        <f>IF([3]Entry!$R$590="","",[3]Entry!$R$590)</f>
        <v/>
      </c>
    </row>
    <row r="588">
      <c r="T588">
        <f>IF([2]Baskol!$B$591="","",[2]Baskol!$B$591)</f>
        <v/>
      </c>
      <c r="U588">
        <f>IF([2]Baskol!$C$591="","",[2]Baskol!$C$591)</f>
        <v/>
      </c>
      <c r="V588">
        <f>IF([2]Baskol!$D$591="","",[2]Baskol!$D$591)</f>
        <v/>
      </c>
      <c r="W588">
        <f>IF([2]Baskol!$E$591="","",[2]Baskol!$E$591)</f>
        <v/>
      </c>
      <c r="X588">
        <f>IF([2]Baskol!$G$591="","",[2]Baskol!$G$591)</f>
        <v/>
      </c>
      <c r="Y588">
        <f>IF([2]Baskol!$I$591="","",[2]Baskol!$I$591)</f>
        <v/>
      </c>
      <c r="Z588">
        <f>IF([2]Baskol!$J$591="","",[2]Baskol!$J$591)</f>
        <v/>
      </c>
      <c r="AA588">
        <f>IF([2]Baskol!$K$591="","",[2]Baskol!$K$591)</f>
        <v/>
      </c>
      <c r="AB588">
        <f>IF([2]Baskol!$L$591="","",[2]Baskol!$L$591)</f>
        <v/>
      </c>
      <c r="AC588">
        <f>IF([2]Baskol!$N$591="","",[2]Baskol!$N$591)</f>
        <v/>
      </c>
      <c r="AD588">
        <f>IF([2]Baskol!$O$591="","",[2]Baskol!$O$591)</f>
        <v/>
      </c>
      <c r="AE588">
        <f>IF([3]Entry!$C$591="","",[3]Entry!$C$591)</f>
        <v/>
      </c>
      <c r="AF588">
        <f>IF([3]Entry!$D$591="","",[3]Entry!$D$591)</f>
        <v/>
      </c>
      <c r="AG588">
        <f>IF([3]Entry!$E$591="","",[3]Entry!$E$591)</f>
        <v/>
      </c>
      <c r="AH588">
        <f>IF([3]Entry!$G$591="","",[3]Entry!$G$591)</f>
        <v/>
      </c>
      <c r="AI588">
        <f>IF([3]Entry!$K$591="","",[3]Entry!$K$591)</f>
        <v/>
      </c>
      <c r="AJ588">
        <f>IF([3]Entry!$L$591="","",[3]Entry!$L$591)</f>
        <v/>
      </c>
      <c r="AK588">
        <f>IF([3]Entry!$M$591="","",[3]Entry!$M$591)</f>
        <v/>
      </c>
      <c r="AL588">
        <f>IF([3]Entry!$N$591="","",[3]Entry!$N$591)</f>
        <v/>
      </c>
      <c r="AM588">
        <f>IF([3]Entry!$R$591="","",[3]Entry!$R$591)</f>
        <v/>
      </c>
    </row>
    <row r="589">
      <c r="T589">
        <f>IF([2]Baskol!$B$592="","",[2]Baskol!$B$592)</f>
        <v/>
      </c>
      <c r="U589">
        <f>IF([2]Baskol!$C$592="","",[2]Baskol!$C$592)</f>
        <v/>
      </c>
      <c r="V589">
        <f>IF([2]Baskol!$D$592="","",[2]Baskol!$D$592)</f>
        <v/>
      </c>
      <c r="W589">
        <f>IF([2]Baskol!$E$592="","",[2]Baskol!$E$592)</f>
        <v/>
      </c>
      <c r="X589">
        <f>IF([2]Baskol!$G$592="","",[2]Baskol!$G$592)</f>
        <v/>
      </c>
      <c r="Y589">
        <f>IF([2]Baskol!$I$592="","",[2]Baskol!$I$592)</f>
        <v/>
      </c>
      <c r="Z589">
        <f>IF([2]Baskol!$J$592="","",[2]Baskol!$J$592)</f>
        <v/>
      </c>
      <c r="AA589">
        <f>IF([2]Baskol!$K$592="","",[2]Baskol!$K$592)</f>
        <v/>
      </c>
      <c r="AB589">
        <f>IF([2]Baskol!$L$592="","",[2]Baskol!$L$592)</f>
        <v/>
      </c>
      <c r="AC589">
        <f>IF([2]Baskol!$N$592="","",[2]Baskol!$N$592)</f>
        <v/>
      </c>
      <c r="AD589">
        <f>IF([2]Baskol!$O$592="","",[2]Baskol!$O$592)</f>
        <v/>
      </c>
      <c r="AE589">
        <f>IF([3]Entry!$C$592="","",[3]Entry!$C$592)</f>
        <v/>
      </c>
      <c r="AF589">
        <f>IF([3]Entry!$D$592="","",[3]Entry!$D$592)</f>
        <v/>
      </c>
      <c r="AG589">
        <f>IF([3]Entry!$E$592="","",[3]Entry!$E$592)</f>
        <v/>
      </c>
      <c r="AH589">
        <f>IF([3]Entry!$G$592="","",[3]Entry!$G$592)</f>
        <v/>
      </c>
      <c r="AI589">
        <f>IF([3]Entry!$K$592="","",[3]Entry!$K$592)</f>
        <v/>
      </c>
      <c r="AJ589">
        <f>IF([3]Entry!$L$592="","",[3]Entry!$L$592)</f>
        <v/>
      </c>
      <c r="AK589">
        <f>IF([3]Entry!$M$592="","",[3]Entry!$M$592)</f>
        <v/>
      </c>
      <c r="AL589">
        <f>IF([3]Entry!$N$592="","",[3]Entry!$N$592)</f>
        <v/>
      </c>
      <c r="AM589">
        <f>IF([3]Entry!$R$592="","",[3]Entry!$R$592)</f>
        <v/>
      </c>
    </row>
    <row r="590">
      <c r="T590">
        <f>IF([2]Baskol!$B$593="","",[2]Baskol!$B$593)</f>
        <v/>
      </c>
      <c r="U590">
        <f>IF([2]Baskol!$C$593="","",[2]Baskol!$C$593)</f>
        <v/>
      </c>
      <c r="V590">
        <f>IF([2]Baskol!$D$593="","",[2]Baskol!$D$593)</f>
        <v/>
      </c>
      <c r="W590">
        <f>IF([2]Baskol!$E$593="","",[2]Baskol!$E$593)</f>
        <v/>
      </c>
      <c r="X590">
        <f>IF([2]Baskol!$G$593="","",[2]Baskol!$G$593)</f>
        <v/>
      </c>
      <c r="Y590">
        <f>IF([2]Baskol!$I$593="","",[2]Baskol!$I$593)</f>
        <v/>
      </c>
      <c r="Z590">
        <f>IF([2]Baskol!$J$593="","",[2]Baskol!$J$593)</f>
        <v/>
      </c>
      <c r="AA590">
        <f>IF([2]Baskol!$K$593="","",[2]Baskol!$K$593)</f>
        <v/>
      </c>
      <c r="AB590">
        <f>IF([2]Baskol!$L$593="","",[2]Baskol!$L$593)</f>
        <v/>
      </c>
      <c r="AC590">
        <f>IF([2]Baskol!$N$593="","",[2]Baskol!$N$593)</f>
        <v/>
      </c>
      <c r="AD590">
        <f>IF([2]Baskol!$O$593="","",[2]Baskol!$O$593)</f>
        <v/>
      </c>
      <c r="AE590">
        <f>IF([3]Entry!$C$593="","",[3]Entry!$C$593)</f>
        <v/>
      </c>
      <c r="AF590">
        <f>IF([3]Entry!$D$593="","",[3]Entry!$D$593)</f>
        <v/>
      </c>
      <c r="AG590">
        <f>IF([3]Entry!$E$593="","",[3]Entry!$E$593)</f>
        <v/>
      </c>
      <c r="AH590">
        <f>IF([3]Entry!$G$593="","",[3]Entry!$G$593)</f>
        <v/>
      </c>
      <c r="AI590">
        <f>IF([3]Entry!$K$593="","",[3]Entry!$K$593)</f>
        <v/>
      </c>
      <c r="AJ590">
        <f>IF([3]Entry!$L$593="","",[3]Entry!$L$593)</f>
        <v/>
      </c>
      <c r="AK590">
        <f>IF([3]Entry!$M$593="","",[3]Entry!$M$593)</f>
        <v/>
      </c>
      <c r="AL590">
        <f>IF([3]Entry!$N$593="","",[3]Entry!$N$593)</f>
        <v/>
      </c>
      <c r="AM590">
        <f>IF([3]Entry!$R$593="","",[3]Entry!$R$593)</f>
        <v/>
      </c>
    </row>
    <row r="591">
      <c r="T591">
        <f>IF([2]Baskol!$B$594="","",[2]Baskol!$B$594)</f>
        <v/>
      </c>
      <c r="U591">
        <f>IF([2]Baskol!$C$594="","",[2]Baskol!$C$594)</f>
        <v/>
      </c>
      <c r="V591">
        <f>IF([2]Baskol!$D$594="","",[2]Baskol!$D$594)</f>
        <v/>
      </c>
      <c r="W591">
        <f>IF([2]Baskol!$E$594="","",[2]Baskol!$E$594)</f>
        <v/>
      </c>
      <c r="X591">
        <f>IF([2]Baskol!$G$594="","",[2]Baskol!$G$594)</f>
        <v/>
      </c>
      <c r="Y591">
        <f>IF([2]Baskol!$I$594="","",[2]Baskol!$I$594)</f>
        <v/>
      </c>
      <c r="Z591">
        <f>IF([2]Baskol!$J$594="","",[2]Baskol!$J$594)</f>
        <v/>
      </c>
      <c r="AA591">
        <f>IF([2]Baskol!$K$594="","",[2]Baskol!$K$594)</f>
        <v/>
      </c>
      <c r="AB591">
        <f>IF([2]Baskol!$L$594="","",[2]Baskol!$L$594)</f>
        <v/>
      </c>
      <c r="AC591">
        <f>IF([2]Baskol!$N$594="","",[2]Baskol!$N$594)</f>
        <v/>
      </c>
      <c r="AD591">
        <f>IF([2]Baskol!$O$594="","",[2]Baskol!$O$594)</f>
        <v/>
      </c>
      <c r="AE591">
        <f>IF([3]Entry!$C$594="","",[3]Entry!$C$594)</f>
        <v/>
      </c>
      <c r="AF591">
        <f>IF([3]Entry!$D$594="","",[3]Entry!$D$594)</f>
        <v/>
      </c>
      <c r="AG591">
        <f>IF([3]Entry!$E$594="","",[3]Entry!$E$594)</f>
        <v/>
      </c>
      <c r="AH591">
        <f>IF([3]Entry!$G$594="","",[3]Entry!$G$594)</f>
        <v/>
      </c>
      <c r="AI591">
        <f>IF([3]Entry!$K$594="","",[3]Entry!$K$594)</f>
        <v/>
      </c>
      <c r="AJ591">
        <f>IF([3]Entry!$L$594="","",[3]Entry!$L$594)</f>
        <v/>
      </c>
      <c r="AK591">
        <f>IF([3]Entry!$M$594="","",[3]Entry!$M$594)</f>
        <v/>
      </c>
      <c r="AL591">
        <f>IF([3]Entry!$N$594="","",[3]Entry!$N$594)</f>
        <v/>
      </c>
      <c r="AM591">
        <f>IF([3]Entry!$R$594="","",[3]Entry!$R$594)</f>
        <v/>
      </c>
    </row>
    <row r="592">
      <c r="T592">
        <f>IF([2]Baskol!$B$595="","",[2]Baskol!$B$595)</f>
        <v/>
      </c>
      <c r="U592">
        <f>IF([2]Baskol!$C$595="","",[2]Baskol!$C$595)</f>
        <v/>
      </c>
      <c r="V592">
        <f>IF([2]Baskol!$D$595="","",[2]Baskol!$D$595)</f>
        <v/>
      </c>
      <c r="W592">
        <f>IF([2]Baskol!$E$595="","",[2]Baskol!$E$595)</f>
        <v/>
      </c>
      <c r="X592">
        <f>IF([2]Baskol!$G$595="","",[2]Baskol!$G$595)</f>
        <v/>
      </c>
      <c r="Y592">
        <f>IF([2]Baskol!$I$595="","",[2]Baskol!$I$595)</f>
        <v/>
      </c>
      <c r="Z592">
        <f>IF([2]Baskol!$J$595="","",[2]Baskol!$J$595)</f>
        <v/>
      </c>
      <c r="AA592">
        <f>IF([2]Baskol!$K$595="","",[2]Baskol!$K$595)</f>
        <v/>
      </c>
      <c r="AB592">
        <f>IF([2]Baskol!$L$595="","",[2]Baskol!$L$595)</f>
        <v/>
      </c>
      <c r="AC592">
        <f>IF([2]Baskol!$N$595="","",[2]Baskol!$N$595)</f>
        <v/>
      </c>
      <c r="AD592">
        <f>IF([2]Baskol!$O$595="","",[2]Baskol!$O$595)</f>
        <v/>
      </c>
      <c r="AE592">
        <f>IF([3]Entry!$C$595="","",[3]Entry!$C$595)</f>
        <v/>
      </c>
      <c r="AF592">
        <f>IF([3]Entry!$D$595="","",[3]Entry!$D$595)</f>
        <v/>
      </c>
      <c r="AG592">
        <f>IF([3]Entry!$E$595="","",[3]Entry!$E$595)</f>
        <v/>
      </c>
      <c r="AH592">
        <f>IF([3]Entry!$G$595="","",[3]Entry!$G$595)</f>
        <v/>
      </c>
      <c r="AI592">
        <f>IF([3]Entry!$K$595="","",[3]Entry!$K$595)</f>
        <v/>
      </c>
      <c r="AJ592">
        <f>IF([3]Entry!$L$595="","",[3]Entry!$L$595)</f>
        <v/>
      </c>
      <c r="AK592">
        <f>IF([3]Entry!$M$595="","",[3]Entry!$M$595)</f>
        <v/>
      </c>
      <c r="AL592">
        <f>IF([3]Entry!$N$595="","",[3]Entry!$N$595)</f>
        <v/>
      </c>
      <c r="AM592">
        <f>IF([3]Entry!$R$595="","",[3]Entry!$R$595)</f>
        <v/>
      </c>
    </row>
    <row r="593">
      <c r="T593">
        <f>IF([2]Baskol!$B$596="","",[2]Baskol!$B$596)</f>
        <v/>
      </c>
      <c r="U593">
        <f>IF([2]Baskol!$C$596="","",[2]Baskol!$C$596)</f>
        <v/>
      </c>
      <c r="V593">
        <f>IF([2]Baskol!$D$596="","",[2]Baskol!$D$596)</f>
        <v/>
      </c>
      <c r="W593">
        <f>IF([2]Baskol!$E$596="","",[2]Baskol!$E$596)</f>
        <v/>
      </c>
      <c r="X593">
        <f>IF([2]Baskol!$G$596="","",[2]Baskol!$G$596)</f>
        <v/>
      </c>
      <c r="Y593">
        <f>IF([2]Baskol!$I$596="","",[2]Baskol!$I$596)</f>
        <v/>
      </c>
      <c r="Z593">
        <f>IF([2]Baskol!$J$596="","",[2]Baskol!$J$596)</f>
        <v/>
      </c>
      <c r="AA593">
        <f>IF([2]Baskol!$K$596="","",[2]Baskol!$K$596)</f>
        <v/>
      </c>
      <c r="AB593">
        <f>IF([2]Baskol!$L$596="","",[2]Baskol!$L$596)</f>
        <v/>
      </c>
      <c r="AC593">
        <f>IF([2]Baskol!$N$596="","",[2]Baskol!$N$596)</f>
        <v/>
      </c>
      <c r="AD593">
        <f>IF([2]Baskol!$O$596="","",[2]Baskol!$O$596)</f>
        <v/>
      </c>
      <c r="AE593">
        <f>IF([3]Entry!$C$596="","",[3]Entry!$C$596)</f>
        <v/>
      </c>
      <c r="AF593">
        <f>IF([3]Entry!$D$596="","",[3]Entry!$D$596)</f>
        <v/>
      </c>
      <c r="AG593">
        <f>IF([3]Entry!$E$596="","",[3]Entry!$E$596)</f>
        <v/>
      </c>
      <c r="AH593">
        <f>IF([3]Entry!$G$596="","",[3]Entry!$G$596)</f>
        <v/>
      </c>
      <c r="AI593">
        <f>IF([3]Entry!$K$596="","",[3]Entry!$K$596)</f>
        <v/>
      </c>
      <c r="AJ593">
        <f>IF([3]Entry!$L$596="","",[3]Entry!$L$596)</f>
        <v/>
      </c>
      <c r="AK593">
        <f>IF([3]Entry!$M$596="","",[3]Entry!$M$596)</f>
        <v/>
      </c>
      <c r="AL593">
        <f>IF([3]Entry!$N$596="","",[3]Entry!$N$596)</f>
        <v/>
      </c>
      <c r="AM593">
        <f>IF([3]Entry!$R$596="","",[3]Entry!$R$596)</f>
        <v/>
      </c>
    </row>
    <row r="594">
      <c r="T594">
        <f>IF([2]Baskol!$B$597="","",[2]Baskol!$B$597)</f>
        <v/>
      </c>
      <c r="U594">
        <f>IF([2]Baskol!$C$597="","",[2]Baskol!$C$597)</f>
        <v/>
      </c>
      <c r="V594">
        <f>IF([2]Baskol!$D$597="","",[2]Baskol!$D$597)</f>
        <v/>
      </c>
      <c r="W594">
        <f>IF([2]Baskol!$E$597="","",[2]Baskol!$E$597)</f>
        <v/>
      </c>
      <c r="X594">
        <f>IF([2]Baskol!$G$597="","",[2]Baskol!$G$597)</f>
        <v/>
      </c>
      <c r="Y594">
        <f>IF([2]Baskol!$I$597="","",[2]Baskol!$I$597)</f>
        <v/>
      </c>
      <c r="Z594">
        <f>IF([2]Baskol!$J$597="","",[2]Baskol!$J$597)</f>
        <v/>
      </c>
      <c r="AA594">
        <f>IF([2]Baskol!$K$597="","",[2]Baskol!$K$597)</f>
        <v/>
      </c>
      <c r="AB594">
        <f>IF([2]Baskol!$L$597="","",[2]Baskol!$L$597)</f>
        <v/>
      </c>
      <c r="AC594">
        <f>IF([2]Baskol!$N$597="","",[2]Baskol!$N$597)</f>
        <v/>
      </c>
      <c r="AD594">
        <f>IF([2]Baskol!$O$597="","",[2]Baskol!$O$597)</f>
        <v/>
      </c>
      <c r="AE594">
        <f>IF([3]Entry!$C$597="","",[3]Entry!$C$597)</f>
        <v/>
      </c>
      <c r="AF594">
        <f>IF([3]Entry!$D$597="","",[3]Entry!$D$597)</f>
        <v/>
      </c>
      <c r="AG594">
        <f>IF([3]Entry!$E$597="","",[3]Entry!$E$597)</f>
        <v/>
      </c>
      <c r="AH594">
        <f>IF([3]Entry!$G$597="","",[3]Entry!$G$597)</f>
        <v/>
      </c>
      <c r="AI594">
        <f>IF([3]Entry!$K$597="","",[3]Entry!$K$597)</f>
        <v/>
      </c>
      <c r="AJ594">
        <f>IF([3]Entry!$L$597="","",[3]Entry!$L$597)</f>
        <v/>
      </c>
      <c r="AK594">
        <f>IF([3]Entry!$M$597="","",[3]Entry!$M$597)</f>
        <v/>
      </c>
      <c r="AL594">
        <f>IF([3]Entry!$N$597="","",[3]Entry!$N$597)</f>
        <v/>
      </c>
      <c r="AM594">
        <f>IF([3]Entry!$R$597="","",[3]Entry!$R$597)</f>
        <v/>
      </c>
    </row>
    <row r="595">
      <c r="T595">
        <f>IF([2]Baskol!$B$598="","",[2]Baskol!$B$598)</f>
        <v/>
      </c>
      <c r="U595">
        <f>IF([2]Baskol!$C$598="","",[2]Baskol!$C$598)</f>
        <v/>
      </c>
      <c r="V595">
        <f>IF([2]Baskol!$D$598="","",[2]Baskol!$D$598)</f>
        <v/>
      </c>
      <c r="W595">
        <f>IF([2]Baskol!$E$598="","",[2]Baskol!$E$598)</f>
        <v/>
      </c>
      <c r="X595">
        <f>IF([2]Baskol!$G$598="","",[2]Baskol!$G$598)</f>
        <v/>
      </c>
      <c r="Y595">
        <f>IF([2]Baskol!$I$598="","",[2]Baskol!$I$598)</f>
        <v/>
      </c>
      <c r="Z595">
        <f>IF([2]Baskol!$J$598="","",[2]Baskol!$J$598)</f>
        <v/>
      </c>
      <c r="AA595">
        <f>IF([2]Baskol!$K$598="","",[2]Baskol!$K$598)</f>
        <v/>
      </c>
      <c r="AB595">
        <f>IF([2]Baskol!$L$598="","",[2]Baskol!$L$598)</f>
        <v/>
      </c>
      <c r="AC595">
        <f>IF([2]Baskol!$N$598="","",[2]Baskol!$N$598)</f>
        <v/>
      </c>
      <c r="AD595">
        <f>IF([2]Baskol!$O$598="","",[2]Baskol!$O$598)</f>
        <v/>
      </c>
      <c r="AE595">
        <f>IF([3]Entry!$C$598="","",[3]Entry!$C$598)</f>
        <v/>
      </c>
      <c r="AF595">
        <f>IF([3]Entry!$D$598="","",[3]Entry!$D$598)</f>
        <v/>
      </c>
      <c r="AG595">
        <f>IF([3]Entry!$E$598="","",[3]Entry!$E$598)</f>
        <v/>
      </c>
      <c r="AH595">
        <f>IF([3]Entry!$G$598="","",[3]Entry!$G$598)</f>
        <v/>
      </c>
      <c r="AI595">
        <f>IF([3]Entry!$K$598="","",[3]Entry!$K$598)</f>
        <v/>
      </c>
      <c r="AJ595">
        <f>IF([3]Entry!$L$598="","",[3]Entry!$L$598)</f>
        <v/>
      </c>
      <c r="AK595">
        <f>IF([3]Entry!$M$598="","",[3]Entry!$M$598)</f>
        <v/>
      </c>
      <c r="AL595">
        <f>IF([3]Entry!$N$598="","",[3]Entry!$N$598)</f>
        <v/>
      </c>
      <c r="AM595">
        <f>IF([3]Entry!$R$598="","",[3]Entry!$R$598)</f>
        <v/>
      </c>
    </row>
    <row r="596">
      <c r="T596">
        <f>IF([2]Baskol!$B$599="","",[2]Baskol!$B$599)</f>
        <v/>
      </c>
      <c r="U596">
        <f>IF([2]Baskol!$C$599="","",[2]Baskol!$C$599)</f>
        <v/>
      </c>
      <c r="V596">
        <f>IF([2]Baskol!$D$599="","",[2]Baskol!$D$599)</f>
        <v/>
      </c>
      <c r="W596">
        <f>IF([2]Baskol!$E$599="","",[2]Baskol!$E$599)</f>
        <v/>
      </c>
      <c r="X596">
        <f>IF([2]Baskol!$G$599="","",[2]Baskol!$G$599)</f>
        <v/>
      </c>
      <c r="Y596">
        <f>IF([2]Baskol!$I$599="","",[2]Baskol!$I$599)</f>
        <v/>
      </c>
      <c r="Z596">
        <f>IF([2]Baskol!$J$599="","",[2]Baskol!$J$599)</f>
        <v/>
      </c>
      <c r="AA596">
        <f>IF([2]Baskol!$K$599="","",[2]Baskol!$K$599)</f>
        <v/>
      </c>
      <c r="AB596">
        <f>IF([2]Baskol!$L$599="","",[2]Baskol!$L$599)</f>
        <v/>
      </c>
      <c r="AC596">
        <f>IF([2]Baskol!$N$599="","",[2]Baskol!$N$599)</f>
        <v/>
      </c>
      <c r="AD596">
        <f>IF([2]Baskol!$O$599="","",[2]Baskol!$O$599)</f>
        <v/>
      </c>
      <c r="AE596">
        <f>IF([3]Entry!$C$599="","",[3]Entry!$C$599)</f>
        <v/>
      </c>
      <c r="AF596">
        <f>IF([3]Entry!$D$599="","",[3]Entry!$D$599)</f>
        <v/>
      </c>
      <c r="AG596">
        <f>IF([3]Entry!$E$599="","",[3]Entry!$E$599)</f>
        <v/>
      </c>
      <c r="AH596">
        <f>IF([3]Entry!$G$599="","",[3]Entry!$G$599)</f>
        <v/>
      </c>
      <c r="AI596">
        <f>IF([3]Entry!$K$599="","",[3]Entry!$K$599)</f>
        <v/>
      </c>
      <c r="AJ596">
        <f>IF([3]Entry!$L$599="","",[3]Entry!$L$599)</f>
        <v/>
      </c>
      <c r="AK596">
        <f>IF([3]Entry!$M$599="","",[3]Entry!$M$599)</f>
        <v/>
      </c>
      <c r="AL596">
        <f>IF([3]Entry!$N$599="","",[3]Entry!$N$599)</f>
        <v/>
      </c>
      <c r="AM596">
        <f>IF([3]Entry!$R$599="","",[3]Entry!$R$599)</f>
        <v/>
      </c>
    </row>
    <row r="597">
      <c r="T597">
        <f>IF([2]Baskol!$B$600="","",[2]Baskol!$B$600)</f>
        <v/>
      </c>
      <c r="U597">
        <f>IF([2]Baskol!$C$600="","",[2]Baskol!$C$600)</f>
        <v/>
      </c>
      <c r="V597">
        <f>IF([2]Baskol!$D$600="","",[2]Baskol!$D$600)</f>
        <v/>
      </c>
      <c r="W597">
        <f>IF([2]Baskol!$E$600="","",[2]Baskol!$E$600)</f>
        <v/>
      </c>
      <c r="X597">
        <f>IF([2]Baskol!$G$600="","",[2]Baskol!$G$600)</f>
        <v/>
      </c>
      <c r="Y597">
        <f>IF([2]Baskol!$I$600="","",[2]Baskol!$I$600)</f>
        <v/>
      </c>
      <c r="Z597">
        <f>IF([2]Baskol!$J$600="","",[2]Baskol!$J$600)</f>
        <v/>
      </c>
      <c r="AA597">
        <f>IF([2]Baskol!$K$600="","",[2]Baskol!$K$600)</f>
        <v/>
      </c>
      <c r="AB597">
        <f>IF([2]Baskol!$L$600="","",[2]Baskol!$L$600)</f>
        <v/>
      </c>
      <c r="AC597">
        <f>IF([2]Baskol!$N$600="","",[2]Baskol!$N$600)</f>
        <v/>
      </c>
      <c r="AD597">
        <f>IF([2]Baskol!$O$600="","",[2]Baskol!$O$600)</f>
        <v/>
      </c>
      <c r="AE597">
        <f>IF([3]Entry!$C$600="","",[3]Entry!$C$600)</f>
        <v/>
      </c>
      <c r="AF597">
        <f>IF([3]Entry!$D$600="","",[3]Entry!$D$600)</f>
        <v/>
      </c>
      <c r="AG597">
        <f>IF([3]Entry!$E$600="","",[3]Entry!$E$600)</f>
        <v/>
      </c>
      <c r="AH597">
        <f>IF([3]Entry!$G$600="","",[3]Entry!$G$600)</f>
        <v/>
      </c>
      <c r="AI597">
        <f>IF([3]Entry!$K$600="","",[3]Entry!$K$600)</f>
        <v/>
      </c>
      <c r="AJ597">
        <f>IF([3]Entry!$L$600="","",[3]Entry!$L$600)</f>
        <v/>
      </c>
      <c r="AK597">
        <f>IF([3]Entry!$M$600="","",[3]Entry!$M$600)</f>
        <v/>
      </c>
      <c r="AL597">
        <f>IF([3]Entry!$N$600="","",[3]Entry!$N$600)</f>
        <v/>
      </c>
      <c r="AM597">
        <f>IF([3]Entry!$R$600="","",[3]Entry!$R$600)</f>
        <v/>
      </c>
    </row>
    <row r="598">
      <c r="T598">
        <f>IF([2]Baskol!$B$601="","",[2]Baskol!$B$601)</f>
        <v/>
      </c>
      <c r="U598">
        <f>IF([2]Baskol!$C$601="","",[2]Baskol!$C$601)</f>
        <v/>
      </c>
      <c r="V598">
        <f>IF([2]Baskol!$D$601="","",[2]Baskol!$D$601)</f>
        <v/>
      </c>
      <c r="W598">
        <f>IF([2]Baskol!$E$601="","",[2]Baskol!$E$601)</f>
        <v/>
      </c>
      <c r="X598">
        <f>IF([2]Baskol!$G$601="","",[2]Baskol!$G$601)</f>
        <v/>
      </c>
      <c r="Y598">
        <f>IF([2]Baskol!$I$601="","",[2]Baskol!$I$601)</f>
        <v/>
      </c>
      <c r="Z598">
        <f>IF([2]Baskol!$J$601="","",[2]Baskol!$J$601)</f>
        <v/>
      </c>
      <c r="AA598">
        <f>IF([2]Baskol!$K$601="","",[2]Baskol!$K$601)</f>
        <v/>
      </c>
      <c r="AB598">
        <f>IF([2]Baskol!$L$601="","",[2]Baskol!$L$601)</f>
        <v/>
      </c>
      <c r="AC598">
        <f>IF([2]Baskol!$N$601="","",[2]Baskol!$N$601)</f>
        <v/>
      </c>
      <c r="AD598">
        <f>IF([2]Baskol!$O$601="","",[2]Baskol!$O$601)</f>
        <v/>
      </c>
      <c r="AE598">
        <f>IF([3]Entry!$C$601="","",[3]Entry!$C$601)</f>
        <v/>
      </c>
      <c r="AF598">
        <f>IF([3]Entry!$D$601="","",[3]Entry!$D$601)</f>
        <v/>
      </c>
      <c r="AG598">
        <f>IF([3]Entry!$E$601="","",[3]Entry!$E$601)</f>
        <v/>
      </c>
      <c r="AH598">
        <f>IF([3]Entry!$G$601="","",[3]Entry!$G$601)</f>
        <v/>
      </c>
      <c r="AI598">
        <f>IF([3]Entry!$K$601="","",[3]Entry!$K$601)</f>
        <v/>
      </c>
      <c r="AJ598">
        <f>IF([3]Entry!$L$601="","",[3]Entry!$L$601)</f>
        <v/>
      </c>
      <c r="AK598">
        <f>IF([3]Entry!$M$601="","",[3]Entry!$M$601)</f>
        <v/>
      </c>
      <c r="AL598">
        <f>IF([3]Entry!$N$601="","",[3]Entry!$N$601)</f>
        <v/>
      </c>
      <c r="AM598">
        <f>IF([3]Entry!$R$601="","",[3]Entry!$R$601)</f>
        <v/>
      </c>
    </row>
    <row r="599">
      <c r="T599">
        <f>IF([2]Baskol!$B$602="","",[2]Baskol!$B$602)</f>
        <v/>
      </c>
      <c r="U599">
        <f>IF([2]Baskol!$C$602="","",[2]Baskol!$C$602)</f>
        <v/>
      </c>
      <c r="V599">
        <f>IF([2]Baskol!$D$602="","",[2]Baskol!$D$602)</f>
        <v/>
      </c>
      <c r="W599">
        <f>IF([2]Baskol!$E$602="","",[2]Baskol!$E$602)</f>
        <v/>
      </c>
      <c r="X599">
        <f>IF([2]Baskol!$G$602="","",[2]Baskol!$G$602)</f>
        <v/>
      </c>
      <c r="Y599">
        <f>IF([2]Baskol!$I$602="","",[2]Baskol!$I$602)</f>
        <v/>
      </c>
      <c r="Z599">
        <f>IF([2]Baskol!$J$602="","",[2]Baskol!$J$602)</f>
        <v/>
      </c>
      <c r="AA599">
        <f>IF([2]Baskol!$K$602="","",[2]Baskol!$K$602)</f>
        <v/>
      </c>
      <c r="AB599">
        <f>IF([2]Baskol!$L$602="","",[2]Baskol!$L$602)</f>
        <v/>
      </c>
      <c r="AC599">
        <f>IF([2]Baskol!$N$602="","",[2]Baskol!$N$602)</f>
        <v/>
      </c>
      <c r="AD599">
        <f>IF([2]Baskol!$O$602="","",[2]Baskol!$O$602)</f>
        <v/>
      </c>
      <c r="AE599">
        <f>IF([3]Entry!$C$602="","",[3]Entry!$C$602)</f>
        <v/>
      </c>
      <c r="AF599">
        <f>IF([3]Entry!$D$602="","",[3]Entry!$D$602)</f>
        <v/>
      </c>
      <c r="AG599">
        <f>IF([3]Entry!$E$602="","",[3]Entry!$E$602)</f>
        <v/>
      </c>
      <c r="AH599">
        <f>IF([3]Entry!$G$602="","",[3]Entry!$G$602)</f>
        <v/>
      </c>
      <c r="AI599">
        <f>IF([3]Entry!$K$602="","",[3]Entry!$K$602)</f>
        <v/>
      </c>
      <c r="AJ599">
        <f>IF([3]Entry!$L$602="","",[3]Entry!$L$602)</f>
        <v/>
      </c>
      <c r="AK599">
        <f>IF([3]Entry!$M$602="","",[3]Entry!$M$602)</f>
        <v/>
      </c>
      <c r="AL599">
        <f>IF([3]Entry!$N$602="","",[3]Entry!$N$602)</f>
        <v/>
      </c>
      <c r="AM599">
        <f>IF([3]Entry!$R$602="","",[3]Entry!$R$602)</f>
        <v/>
      </c>
    </row>
    <row r="600">
      <c r="T600">
        <f>IF([2]Baskol!$B$603="","",[2]Baskol!$B$603)</f>
        <v/>
      </c>
      <c r="U600">
        <f>IF([2]Baskol!$C$603="","",[2]Baskol!$C$603)</f>
        <v/>
      </c>
      <c r="V600">
        <f>IF([2]Baskol!$D$603="","",[2]Baskol!$D$603)</f>
        <v/>
      </c>
      <c r="W600">
        <f>IF([2]Baskol!$E$603="","",[2]Baskol!$E$603)</f>
        <v/>
      </c>
      <c r="X600">
        <f>IF([2]Baskol!$G$603="","",[2]Baskol!$G$603)</f>
        <v/>
      </c>
      <c r="Y600">
        <f>IF([2]Baskol!$I$603="","",[2]Baskol!$I$603)</f>
        <v/>
      </c>
      <c r="Z600">
        <f>IF([2]Baskol!$J$603="","",[2]Baskol!$J$603)</f>
        <v/>
      </c>
      <c r="AA600">
        <f>IF([2]Baskol!$K$603="","",[2]Baskol!$K$603)</f>
        <v/>
      </c>
      <c r="AB600">
        <f>IF([2]Baskol!$L$603="","",[2]Baskol!$L$603)</f>
        <v/>
      </c>
      <c r="AC600">
        <f>IF([2]Baskol!$N$603="","",[2]Baskol!$N$603)</f>
        <v/>
      </c>
      <c r="AD600">
        <f>IF([2]Baskol!$O$603="","",[2]Baskol!$O$603)</f>
        <v/>
      </c>
      <c r="AE600">
        <f>IF([3]Entry!$C$603="","",[3]Entry!$C$603)</f>
        <v/>
      </c>
      <c r="AF600">
        <f>IF([3]Entry!$D$603="","",[3]Entry!$D$603)</f>
        <v/>
      </c>
      <c r="AG600">
        <f>IF([3]Entry!$E$603="","",[3]Entry!$E$603)</f>
        <v/>
      </c>
      <c r="AH600">
        <f>IF([3]Entry!$G$603="","",[3]Entry!$G$603)</f>
        <v/>
      </c>
      <c r="AI600">
        <f>IF([3]Entry!$K$603="","",[3]Entry!$K$603)</f>
        <v/>
      </c>
      <c r="AJ600">
        <f>IF([3]Entry!$L$603="","",[3]Entry!$L$603)</f>
        <v/>
      </c>
      <c r="AK600">
        <f>IF([3]Entry!$M$603="","",[3]Entry!$M$603)</f>
        <v/>
      </c>
      <c r="AL600">
        <f>IF([3]Entry!$N$603="","",[3]Entry!$N$603)</f>
        <v/>
      </c>
      <c r="AM600">
        <f>IF([3]Entry!$R$603="","",[3]Entry!$R$603)</f>
        <v/>
      </c>
    </row>
    <row r="601">
      <c r="T601">
        <f>IF([2]Baskol!$B$604="","",[2]Baskol!$B$604)</f>
        <v/>
      </c>
      <c r="U601">
        <f>IF([2]Baskol!$C$604="","",[2]Baskol!$C$604)</f>
        <v/>
      </c>
      <c r="V601">
        <f>IF([2]Baskol!$D$604="","",[2]Baskol!$D$604)</f>
        <v/>
      </c>
      <c r="W601">
        <f>IF([2]Baskol!$E$604="","",[2]Baskol!$E$604)</f>
        <v/>
      </c>
      <c r="X601">
        <f>IF([2]Baskol!$G$604="","",[2]Baskol!$G$604)</f>
        <v/>
      </c>
      <c r="Y601">
        <f>IF([2]Baskol!$I$604="","",[2]Baskol!$I$604)</f>
        <v/>
      </c>
      <c r="Z601">
        <f>IF([2]Baskol!$J$604="","",[2]Baskol!$J$604)</f>
        <v/>
      </c>
      <c r="AA601">
        <f>IF([2]Baskol!$K$604="","",[2]Baskol!$K$604)</f>
        <v/>
      </c>
      <c r="AB601">
        <f>IF([2]Baskol!$L$604="","",[2]Baskol!$L$604)</f>
        <v/>
      </c>
      <c r="AC601">
        <f>IF([2]Baskol!$N$604="","",[2]Baskol!$N$604)</f>
        <v/>
      </c>
      <c r="AD601">
        <f>IF([2]Baskol!$O$604="","",[2]Baskol!$O$604)</f>
        <v/>
      </c>
      <c r="AE601">
        <f>IF([3]Entry!$C$604="","",[3]Entry!$C$604)</f>
        <v/>
      </c>
      <c r="AF601">
        <f>IF([3]Entry!$D$604="","",[3]Entry!$D$604)</f>
        <v/>
      </c>
      <c r="AG601">
        <f>IF([3]Entry!$E$604="","",[3]Entry!$E$604)</f>
        <v/>
      </c>
      <c r="AH601">
        <f>IF([3]Entry!$G$604="","",[3]Entry!$G$604)</f>
        <v/>
      </c>
      <c r="AI601">
        <f>IF([3]Entry!$K$604="","",[3]Entry!$K$604)</f>
        <v/>
      </c>
      <c r="AJ601">
        <f>IF([3]Entry!$L$604="","",[3]Entry!$L$604)</f>
        <v/>
      </c>
      <c r="AK601">
        <f>IF([3]Entry!$M$604="","",[3]Entry!$M$604)</f>
        <v/>
      </c>
      <c r="AL601">
        <f>IF([3]Entry!$N$604="","",[3]Entry!$N$604)</f>
        <v/>
      </c>
      <c r="AM601">
        <f>IF([3]Entry!$R$604="","",[3]Entry!$R$604)</f>
        <v/>
      </c>
    </row>
    <row r="602">
      <c r="T602">
        <f>IF([2]Baskol!$B$605="","",[2]Baskol!$B$605)</f>
        <v/>
      </c>
      <c r="U602">
        <f>IF([2]Baskol!$C$605="","",[2]Baskol!$C$605)</f>
        <v/>
      </c>
      <c r="V602">
        <f>IF([2]Baskol!$D$605="","",[2]Baskol!$D$605)</f>
        <v/>
      </c>
      <c r="W602">
        <f>IF([2]Baskol!$E$605="","",[2]Baskol!$E$605)</f>
        <v/>
      </c>
      <c r="X602">
        <f>IF([2]Baskol!$G$605="","",[2]Baskol!$G$605)</f>
        <v/>
      </c>
      <c r="Y602">
        <f>IF([2]Baskol!$I$605="","",[2]Baskol!$I$605)</f>
        <v/>
      </c>
      <c r="Z602">
        <f>IF([2]Baskol!$J$605="","",[2]Baskol!$J$605)</f>
        <v/>
      </c>
      <c r="AA602">
        <f>IF([2]Baskol!$K$605="","",[2]Baskol!$K$605)</f>
        <v/>
      </c>
      <c r="AB602">
        <f>IF([2]Baskol!$L$605="","",[2]Baskol!$L$605)</f>
        <v/>
      </c>
      <c r="AC602">
        <f>IF([2]Baskol!$N$605="","",[2]Baskol!$N$605)</f>
        <v/>
      </c>
      <c r="AD602">
        <f>IF([2]Baskol!$O$605="","",[2]Baskol!$O$605)</f>
        <v/>
      </c>
      <c r="AE602">
        <f>IF([3]Entry!$C$605="","",[3]Entry!$C$605)</f>
        <v/>
      </c>
      <c r="AF602">
        <f>IF([3]Entry!$D$605="","",[3]Entry!$D$605)</f>
        <v/>
      </c>
      <c r="AG602">
        <f>IF([3]Entry!$E$605="","",[3]Entry!$E$605)</f>
        <v/>
      </c>
      <c r="AH602">
        <f>IF([3]Entry!$G$605="","",[3]Entry!$G$605)</f>
        <v/>
      </c>
      <c r="AI602">
        <f>IF([3]Entry!$K$605="","",[3]Entry!$K$605)</f>
        <v/>
      </c>
      <c r="AJ602">
        <f>IF([3]Entry!$L$605="","",[3]Entry!$L$605)</f>
        <v/>
      </c>
      <c r="AK602">
        <f>IF([3]Entry!$M$605="","",[3]Entry!$M$605)</f>
        <v/>
      </c>
      <c r="AL602">
        <f>IF([3]Entry!$N$605="","",[3]Entry!$N$605)</f>
        <v/>
      </c>
      <c r="AM602">
        <f>IF([3]Entry!$R$605="","",[3]Entry!$R$605)</f>
        <v/>
      </c>
    </row>
    <row r="603">
      <c r="T603">
        <f>IF([2]Baskol!$B$606="","",[2]Baskol!$B$606)</f>
        <v/>
      </c>
      <c r="U603">
        <f>IF([2]Baskol!$C$606="","",[2]Baskol!$C$606)</f>
        <v/>
      </c>
      <c r="V603">
        <f>IF([2]Baskol!$D$606="","",[2]Baskol!$D$606)</f>
        <v/>
      </c>
      <c r="W603">
        <f>IF([2]Baskol!$E$606="","",[2]Baskol!$E$606)</f>
        <v/>
      </c>
      <c r="X603">
        <f>IF([2]Baskol!$G$606="","",[2]Baskol!$G$606)</f>
        <v/>
      </c>
      <c r="Y603">
        <f>IF([2]Baskol!$I$606="","",[2]Baskol!$I$606)</f>
        <v/>
      </c>
      <c r="Z603">
        <f>IF([2]Baskol!$J$606="","",[2]Baskol!$J$606)</f>
        <v/>
      </c>
      <c r="AA603">
        <f>IF([2]Baskol!$K$606="","",[2]Baskol!$K$606)</f>
        <v/>
      </c>
      <c r="AB603">
        <f>IF([2]Baskol!$L$606="","",[2]Baskol!$L$606)</f>
        <v/>
      </c>
      <c r="AC603">
        <f>IF([2]Baskol!$N$606="","",[2]Baskol!$N$606)</f>
        <v/>
      </c>
      <c r="AD603">
        <f>IF([2]Baskol!$O$606="","",[2]Baskol!$O$606)</f>
        <v/>
      </c>
      <c r="AE603">
        <f>IF([3]Entry!$C$606="","",[3]Entry!$C$606)</f>
        <v/>
      </c>
      <c r="AF603">
        <f>IF([3]Entry!$D$606="","",[3]Entry!$D$606)</f>
        <v/>
      </c>
      <c r="AG603">
        <f>IF([3]Entry!$E$606="","",[3]Entry!$E$606)</f>
        <v/>
      </c>
      <c r="AH603">
        <f>IF([3]Entry!$G$606="","",[3]Entry!$G$606)</f>
        <v/>
      </c>
      <c r="AI603">
        <f>IF([3]Entry!$K$606="","",[3]Entry!$K$606)</f>
        <v/>
      </c>
      <c r="AJ603">
        <f>IF([3]Entry!$L$606="","",[3]Entry!$L$606)</f>
        <v/>
      </c>
      <c r="AK603">
        <f>IF([3]Entry!$M$606="","",[3]Entry!$M$606)</f>
        <v/>
      </c>
      <c r="AL603">
        <f>IF([3]Entry!$N$606="","",[3]Entry!$N$606)</f>
        <v/>
      </c>
      <c r="AM603">
        <f>IF([3]Entry!$R$606="","",[3]Entry!$R$606)</f>
        <v/>
      </c>
    </row>
    <row r="604">
      <c r="T604">
        <f>IF([2]Baskol!$B$607="","",[2]Baskol!$B$607)</f>
        <v/>
      </c>
      <c r="U604">
        <f>IF([2]Baskol!$C$607="","",[2]Baskol!$C$607)</f>
        <v/>
      </c>
      <c r="V604">
        <f>IF([2]Baskol!$D$607="","",[2]Baskol!$D$607)</f>
        <v/>
      </c>
      <c r="W604">
        <f>IF([2]Baskol!$E$607="","",[2]Baskol!$E$607)</f>
        <v/>
      </c>
      <c r="X604">
        <f>IF([2]Baskol!$G$607="","",[2]Baskol!$G$607)</f>
        <v/>
      </c>
      <c r="Y604">
        <f>IF([2]Baskol!$I$607="","",[2]Baskol!$I$607)</f>
        <v/>
      </c>
      <c r="Z604">
        <f>IF([2]Baskol!$J$607="","",[2]Baskol!$J$607)</f>
        <v/>
      </c>
      <c r="AA604">
        <f>IF([2]Baskol!$K$607="","",[2]Baskol!$K$607)</f>
        <v/>
      </c>
      <c r="AB604">
        <f>IF([2]Baskol!$L$607="","",[2]Baskol!$L$607)</f>
        <v/>
      </c>
      <c r="AC604">
        <f>IF([2]Baskol!$N$607="","",[2]Baskol!$N$607)</f>
        <v/>
      </c>
      <c r="AD604">
        <f>IF([2]Baskol!$O$607="","",[2]Baskol!$O$607)</f>
        <v/>
      </c>
      <c r="AE604">
        <f>IF([3]Entry!$C$607="","",[3]Entry!$C$607)</f>
        <v/>
      </c>
      <c r="AF604">
        <f>IF([3]Entry!$D$607="","",[3]Entry!$D$607)</f>
        <v/>
      </c>
      <c r="AG604">
        <f>IF([3]Entry!$E$607="","",[3]Entry!$E$607)</f>
        <v/>
      </c>
      <c r="AH604">
        <f>IF([3]Entry!$G$607="","",[3]Entry!$G$607)</f>
        <v/>
      </c>
      <c r="AI604">
        <f>IF([3]Entry!$K$607="","",[3]Entry!$K$607)</f>
        <v/>
      </c>
      <c r="AJ604">
        <f>IF([3]Entry!$L$607="","",[3]Entry!$L$607)</f>
        <v/>
      </c>
      <c r="AK604">
        <f>IF([3]Entry!$M$607="","",[3]Entry!$M$607)</f>
        <v/>
      </c>
      <c r="AL604">
        <f>IF([3]Entry!$N$607="","",[3]Entry!$N$607)</f>
        <v/>
      </c>
      <c r="AM604">
        <f>IF([3]Entry!$R$607="","",[3]Entry!$R$607)</f>
        <v/>
      </c>
    </row>
    <row r="605">
      <c r="T605">
        <f>IF([2]Baskol!$B$608="","",[2]Baskol!$B$608)</f>
        <v/>
      </c>
      <c r="U605">
        <f>IF([2]Baskol!$C$608="","",[2]Baskol!$C$608)</f>
        <v/>
      </c>
      <c r="V605">
        <f>IF([2]Baskol!$D$608="","",[2]Baskol!$D$608)</f>
        <v/>
      </c>
      <c r="W605">
        <f>IF([2]Baskol!$E$608="","",[2]Baskol!$E$608)</f>
        <v/>
      </c>
      <c r="X605">
        <f>IF([2]Baskol!$G$608="","",[2]Baskol!$G$608)</f>
        <v/>
      </c>
      <c r="Y605">
        <f>IF([2]Baskol!$I$608="","",[2]Baskol!$I$608)</f>
        <v/>
      </c>
      <c r="Z605">
        <f>IF([2]Baskol!$J$608="","",[2]Baskol!$J$608)</f>
        <v/>
      </c>
      <c r="AA605">
        <f>IF([2]Baskol!$K$608="","",[2]Baskol!$K$608)</f>
        <v/>
      </c>
      <c r="AB605">
        <f>IF([2]Baskol!$L$608="","",[2]Baskol!$L$608)</f>
        <v/>
      </c>
      <c r="AC605">
        <f>IF([2]Baskol!$N$608="","",[2]Baskol!$N$608)</f>
        <v/>
      </c>
      <c r="AD605">
        <f>IF([2]Baskol!$O$608="","",[2]Baskol!$O$608)</f>
        <v/>
      </c>
      <c r="AE605">
        <f>IF([3]Entry!$C$608="","",[3]Entry!$C$608)</f>
        <v/>
      </c>
      <c r="AF605">
        <f>IF([3]Entry!$D$608="","",[3]Entry!$D$608)</f>
        <v/>
      </c>
      <c r="AG605">
        <f>IF([3]Entry!$E$608="","",[3]Entry!$E$608)</f>
        <v/>
      </c>
      <c r="AH605">
        <f>IF([3]Entry!$G$608="","",[3]Entry!$G$608)</f>
        <v/>
      </c>
      <c r="AI605">
        <f>IF([3]Entry!$K$608="","",[3]Entry!$K$608)</f>
        <v/>
      </c>
      <c r="AJ605">
        <f>IF([3]Entry!$L$608="","",[3]Entry!$L$608)</f>
        <v/>
      </c>
      <c r="AK605">
        <f>IF([3]Entry!$M$608="","",[3]Entry!$M$608)</f>
        <v/>
      </c>
      <c r="AL605">
        <f>IF([3]Entry!$N$608="","",[3]Entry!$N$608)</f>
        <v/>
      </c>
      <c r="AM605">
        <f>IF([3]Entry!$R$608="","",[3]Entry!$R$608)</f>
        <v/>
      </c>
    </row>
    <row r="606">
      <c r="T606">
        <f>IF([2]Baskol!$B$609="","",[2]Baskol!$B$609)</f>
        <v/>
      </c>
      <c r="U606">
        <f>IF([2]Baskol!$C$609="","",[2]Baskol!$C$609)</f>
        <v/>
      </c>
      <c r="V606">
        <f>IF([2]Baskol!$D$609="","",[2]Baskol!$D$609)</f>
        <v/>
      </c>
      <c r="W606">
        <f>IF([2]Baskol!$E$609="","",[2]Baskol!$E$609)</f>
        <v/>
      </c>
      <c r="X606">
        <f>IF([2]Baskol!$G$609="","",[2]Baskol!$G$609)</f>
        <v/>
      </c>
      <c r="Y606">
        <f>IF([2]Baskol!$I$609="","",[2]Baskol!$I$609)</f>
        <v/>
      </c>
      <c r="Z606">
        <f>IF([2]Baskol!$J$609="","",[2]Baskol!$J$609)</f>
        <v/>
      </c>
      <c r="AA606">
        <f>IF([2]Baskol!$K$609="","",[2]Baskol!$K$609)</f>
        <v/>
      </c>
      <c r="AB606">
        <f>IF([2]Baskol!$L$609="","",[2]Baskol!$L$609)</f>
        <v/>
      </c>
      <c r="AC606">
        <f>IF([2]Baskol!$N$609="","",[2]Baskol!$N$609)</f>
        <v/>
      </c>
      <c r="AD606">
        <f>IF([2]Baskol!$O$609="","",[2]Baskol!$O$609)</f>
        <v/>
      </c>
      <c r="AE606">
        <f>IF([3]Entry!$C$609="","",[3]Entry!$C$609)</f>
        <v/>
      </c>
      <c r="AF606">
        <f>IF([3]Entry!$D$609="","",[3]Entry!$D$609)</f>
        <v/>
      </c>
      <c r="AG606">
        <f>IF([3]Entry!$E$609="","",[3]Entry!$E$609)</f>
        <v/>
      </c>
      <c r="AH606">
        <f>IF([3]Entry!$G$609="","",[3]Entry!$G$609)</f>
        <v/>
      </c>
      <c r="AI606">
        <f>IF([3]Entry!$K$609="","",[3]Entry!$K$609)</f>
        <v/>
      </c>
      <c r="AJ606">
        <f>IF([3]Entry!$L$609="","",[3]Entry!$L$609)</f>
        <v/>
      </c>
      <c r="AK606">
        <f>IF([3]Entry!$M$609="","",[3]Entry!$M$609)</f>
        <v/>
      </c>
      <c r="AL606">
        <f>IF([3]Entry!$N$609="","",[3]Entry!$N$609)</f>
        <v/>
      </c>
      <c r="AM606">
        <f>IF([3]Entry!$R$609="","",[3]Entry!$R$609)</f>
        <v/>
      </c>
    </row>
    <row r="607">
      <c r="T607">
        <f>IF([2]Baskol!$B$610="","",[2]Baskol!$B$610)</f>
        <v/>
      </c>
      <c r="U607">
        <f>IF([2]Baskol!$C$610="","",[2]Baskol!$C$610)</f>
        <v/>
      </c>
      <c r="V607">
        <f>IF([2]Baskol!$D$610="","",[2]Baskol!$D$610)</f>
        <v/>
      </c>
      <c r="W607">
        <f>IF([2]Baskol!$E$610="","",[2]Baskol!$E$610)</f>
        <v/>
      </c>
      <c r="X607">
        <f>IF([2]Baskol!$G$610="","",[2]Baskol!$G$610)</f>
        <v/>
      </c>
      <c r="Y607">
        <f>IF([2]Baskol!$I$610="","",[2]Baskol!$I$610)</f>
        <v/>
      </c>
      <c r="Z607">
        <f>IF([2]Baskol!$J$610="","",[2]Baskol!$J$610)</f>
        <v/>
      </c>
      <c r="AA607">
        <f>IF([2]Baskol!$K$610="","",[2]Baskol!$K$610)</f>
        <v/>
      </c>
      <c r="AB607">
        <f>IF([2]Baskol!$L$610="","",[2]Baskol!$L$610)</f>
        <v/>
      </c>
      <c r="AC607">
        <f>IF([2]Baskol!$N$610="","",[2]Baskol!$N$610)</f>
        <v/>
      </c>
      <c r="AD607">
        <f>IF([2]Baskol!$O$610="","",[2]Baskol!$O$610)</f>
        <v/>
      </c>
      <c r="AE607">
        <f>IF([3]Entry!$C$610="","",[3]Entry!$C$610)</f>
        <v/>
      </c>
      <c r="AF607">
        <f>IF([3]Entry!$D$610="","",[3]Entry!$D$610)</f>
        <v/>
      </c>
      <c r="AG607">
        <f>IF([3]Entry!$E$610="","",[3]Entry!$E$610)</f>
        <v/>
      </c>
      <c r="AH607">
        <f>IF([3]Entry!$G$610="","",[3]Entry!$G$610)</f>
        <v/>
      </c>
      <c r="AI607">
        <f>IF([3]Entry!$K$610="","",[3]Entry!$K$610)</f>
        <v/>
      </c>
      <c r="AJ607">
        <f>IF([3]Entry!$L$610="","",[3]Entry!$L$610)</f>
        <v/>
      </c>
      <c r="AK607">
        <f>IF([3]Entry!$M$610="","",[3]Entry!$M$610)</f>
        <v/>
      </c>
      <c r="AL607">
        <f>IF([3]Entry!$N$610="","",[3]Entry!$N$610)</f>
        <v/>
      </c>
      <c r="AM607">
        <f>IF([3]Entry!$R$610="","",[3]Entry!$R$610)</f>
        <v/>
      </c>
    </row>
    <row r="608">
      <c r="T608">
        <f>IF([2]Baskol!$B$611="","",[2]Baskol!$B$611)</f>
        <v/>
      </c>
      <c r="U608">
        <f>IF([2]Baskol!$C$611="","",[2]Baskol!$C$611)</f>
        <v/>
      </c>
      <c r="V608">
        <f>IF([2]Baskol!$D$611="","",[2]Baskol!$D$611)</f>
        <v/>
      </c>
      <c r="W608">
        <f>IF([2]Baskol!$E$611="","",[2]Baskol!$E$611)</f>
        <v/>
      </c>
      <c r="X608">
        <f>IF([2]Baskol!$G$611="","",[2]Baskol!$G$611)</f>
        <v/>
      </c>
      <c r="Y608">
        <f>IF([2]Baskol!$I$611="","",[2]Baskol!$I$611)</f>
        <v/>
      </c>
      <c r="Z608">
        <f>IF([2]Baskol!$J$611="","",[2]Baskol!$J$611)</f>
        <v/>
      </c>
      <c r="AA608">
        <f>IF([2]Baskol!$K$611="","",[2]Baskol!$K$611)</f>
        <v/>
      </c>
      <c r="AB608">
        <f>IF([2]Baskol!$L$611="","",[2]Baskol!$L$611)</f>
        <v/>
      </c>
      <c r="AC608">
        <f>IF([2]Baskol!$N$611="","",[2]Baskol!$N$611)</f>
        <v/>
      </c>
      <c r="AD608">
        <f>IF([2]Baskol!$O$611="","",[2]Baskol!$O$611)</f>
        <v/>
      </c>
      <c r="AE608">
        <f>IF([3]Entry!$C$611="","",[3]Entry!$C$611)</f>
        <v/>
      </c>
      <c r="AF608">
        <f>IF([3]Entry!$D$611="","",[3]Entry!$D$611)</f>
        <v/>
      </c>
      <c r="AG608">
        <f>IF([3]Entry!$E$611="","",[3]Entry!$E$611)</f>
        <v/>
      </c>
      <c r="AH608">
        <f>IF([3]Entry!$G$611="","",[3]Entry!$G$611)</f>
        <v/>
      </c>
      <c r="AI608">
        <f>IF([3]Entry!$K$611="","",[3]Entry!$K$611)</f>
        <v/>
      </c>
      <c r="AJ608">
        <f>IF([3]Entry!$L$611="","",[3]Entry!$L$611)</f>
        <v/>
      </c>
      <c r="AK608">
        <f>IF([3]Entry!$M$611="","",[3]Entry!$M$611)</f>
        <v/>
      </c>
      <c r="AL608">
        <f>IF([3]Entry!$N$611="","",[3]Entry!$N$611)</f>
        <v/>
      </c>
      <c r="AM608">
        <f>IF([3]Entry!$R$611="","",[3]Entry!$R$611)</f>
        <v/>
      </c>
    </row>
    <row r="609">
      <c r="T609">
        <f>IF([2]Baskol!$B$612="","",[2]Baskol!$B$612)</f>
        <v/>
      </c>
      <c r="U609">
        <f>IF([2]Baskol!$C$612="","",[2]Baskol!$C$612)</f>
        <v/>
      </c>
      <c r="V609">
        <f>IF([2]Baskol!$D$612="","",[2]Baskol!$D$612)</f>
        <v/>
      </c>
      <c r="W609">
        <f>IF([2]Baskol!$E$612="","",[2]Baskol!$E$612)</f>
        <v/>
      </c>
      <c r="X609">
        <f>IF([2]Baskol!$G$612="","",[2]Baskol!$G$612)</f>
        <v/>
      </c>
      <c r="Y609">
        <f>IF([2]Baskol!$I$612="","",[2]Baskol!$I$612)</f>
        <v/>
      </c>
      <c r="Z609">
        <f>IF([2]Baskol!$J$612="","",[2]Baskol!$J$612)</f>
        <v/>
      </c>
      <c r="AA609">
        <f>IF([2]Baskol!$K$612="","",[2]Baskol!$K$612)</f>
        <v/>
      </c>
      <c r="AB609">
        <f>IF([2]Baskol!$L$612="","",[2]Baskol!$L$612)</f>
        <v/>
      </c>
      <c r="AC609">
        <f>IF([2]Baskol!$N$612="","",[2]Baskol!$N$612)</f>
        <v/>
      </c>
      <c r="AD609">
        <f>IF([2]Baskol!$O$612="","",[2]Baskol!$O$612)</f>
        <v/>
      </c>
      <c r="AE609">
        <f>IF([3]Entry!$C$612="","",[3]Entry!$C$612)</f>
        <v/>
      </c>
      <c r="AF609">
        <f>IF([3]Entry!$D$612="","",[3]Entry!$D$612)</f>
        <v/>
      </c>
      <c r="AG609">
        <f>IF([3]Entry!$E$612="","",[3]Entry!$E$612)</f>
        <v/>
      </c>
      <c r="AH609">
        <f>IF([3]Entry!$G$612="","",[3]Entry!$G$612)</f>
        <v/>
      </c>
      <c r="AI609">
        <f>IF([3]Entry!$K$612="","",[3]Entry!$K$612)</f>
        <v/>
      </c>
      <c r="AJ609">
        <f>IF([3]Entry!$L$612="","",[3]Entry!$L$612)</f>
        <v/>
      </c>
      <c r="AK609">
        <f>IF([3]Entry!$M$612="","",[3]Entry!$M$612)</f>
        <v/>
      </c>
      <c r="AL609">
        <f>IF([3]Entry!$N$612="","",[3]Entry!$N$612)</f>
        <v/>
      </c>
      <c r="AM609">
        <f>IF([3]Entry!$R$612="","",[3]Entry!$R$612)</f>
        <v/>
      </c>
    </row>
    <row r="610">
      <c r="T610">
        <f>IF([2]Baskol!$B$613="","",[2]Baskol!$B$613)</f>
        <v/>
      </c>
      <c r="U610">
        <f>IF([2]Baskol!$C$613="","",[2]Baskol!$C$613)</f>
        <v/>
      </c>
      <c r="V610">
        <f>IF([2]Baskol!$D$613="","",[2]Baskol!$D$613)</f>
        <v/>
      </c>
      <c r="W610">
        <f>IF([2]Baskol!$E$613="","",[2]Baskol!$E$613)</f>
        <v/>
      </c>
      <c r="X610">
        <f>IF([2]Baskol!$G$613="","",[2]Baskol!$G$613)</f>
        <v/>
      </c>
      <c r="Y610">
        <f>IF([2]Baskol!$I$613="","",[2]Baskol!$I$613)</f>
        <v/>
      </c>
      <c r="Z610">
        <f>IF([2]Baskol!$J$613="","",[2]Baskol!$J$613)</f>
        <v/>
      </c>
      <c r="AA610">
        <f>IF([2]Baskol!$K$613="","",[2]Baskol!$K$613)</f>
        <v/>
      </c>
      <c r="AB610">
        <f>IF([2]Baskol!$L$613="","",[2]Baskol!$L$613)</f>
        <v/>
      </c>
      <c r="AC610">
        <f>IF([2]Baskol!$N$613="","",[2]Baskol!$N$613)</f>
        <v/>
      </c>
      <c r="AD610">
        <f>IF([2]Baskol!$O$613="","",[2]Baskol!$O$613)</f>
        <v/>
      </c>
      <c r="AE610">
        <f>IF([3]Entry!$C$613="","",[3]Entry!$C$613)</f>
        <v/>
      </c>
      <c r="AF610">
        <f>IF([3]Entry!$D$613="","",[3]Entry!$D$613)</f>
        <v/>
      </c>
      <c r="AG610">
        <f>IF([3]Entry!$E$613="","",[3]Entry!$E$613)</f>
        <v/>
      </c>
      <c r="AH610">
        <f>IF([3]Entry!$G$613="","",[3]Entry!$G$613)</f>
        <v/>
      </c>
      <c r="AI610">
        <f>IF([3]Entry!$K$613="","",[3]Entry!$K$613)</f>
        <v/>
      </c>
      <c r="AJ610">
        <f>IF([3]Entry!$L$613="","",[3]Entry!$L$613)</f>
        <v/>
      </c>
      <c r="AK610">
        <f>IF([3]Entry!$M$613="","",[3]Entry!$M$613)</f>
        <v/>
      </c>
      <c r="AL610">
        <f>IF([3]Entry!$N$613="","",[3]Entry!$N$613)</f>
        <v/>
      </c>
      <c r="AM610">
        <f>IF([3]Entry!$R$613="","",[3]Entry!$R$613)</f>
        <v/>
      </c>
    </row>
    <row r="611">
      <c r="T611">
        <f>IF([2]Baskol!$B$614="","",[2]Baskol!$B$614)</f>
        <v/>
      </c>
      <c r="U611">
        <f>IF([2]Baskol!$C$614="","",[2]Baskol!$C$614)</f>
        <v/>
      </c>
      <c r="V611">
        <f>IF([2]Baskol!$D$614="","",[2]Baskol!$D$614)</f>
        <v/>
      </c>
      <c r="W611">
        <f>IF([2]Baskol!$E$614="","",[2]Baskol!$E$614)</f>
        <v/>
      </c>
      <c r="X611">
        <f>IF([2]Baskol!$G$614="","",[2]Baskol!$G$614)</f>
        <v/>
      </c>
      <c r="Y611">
        <f>IF([2]Baskol!$I$614="","",[2]Baskol!$I$614)</f>
        <v/>
      </c>
      <c r="Z611">
        <f>IF([2]Baskol!$J$614="","",[2]Baskol!$J$614)</f>
        <v/>
      </c>
      <c r="AA611">
        <f>IF([2]Baskol!$K$614="","",[2]Baskol!$K$614)</f>
        <v/>
      </c>
      <c r="AB611">
        <f>IF([2]Baskol!$L$614="","",[2]Baskol!$L$614)</f>
        <v/>
      </c>
      <c r="AC611">
        <f>IF([2]Baskol!$N$614="","",[2]Baskol!$N$614)</f>
        <v/>
      </c>
      <c r="AD611">
        <f>IF([2]Baskol!$O$614="","",[2]Baskol!$O$614)</f>
        <v/>
      </c>
      <c r="AE611">
        <f>IF([3]Entry!$C$614="","",[3]Entry!$C$614)</f>
        <v/>
      </c>
      <c r="AF611">
        <f>IF([3]Entry!$D$614="","",[3]Entry!$D$614)</f>
        <v/>
      </c>
      <c r="AG611">
        <f>IF([3]Entry!$E$614="","",[3]Entry!$E$614)</f>
        <v/>
      </c>
      <c r="AH611">
        <f>IF([3]Entry!$G$614="","",[3]Entry!$G$614)</f>
        <v/>
      </c>
      <c r="AI611">
        <f>IF([3]Entry!$K$614="","",[3]Entry!$K$614)</f>
        <v/>
      </c>
      <c r="AJ611">
        <f>IF([3]Entry!$L$614="","",[3]Entry!$L$614)</f>
        <v/>
      </c>
      <c r="AK611">
        <f>IF([3]Entry!$M$614="","",[3]Entry!$M$614)</f>
        <v/>
      </c>
      <c r="AL611">
        <f>IF([3]Entry!$N$614="","",[3]Entry!$N$614)</f>
        <v/>
      </c>
      <c r="AM611">
        <f>IF([3]Entry!$R$614="","",[3]Entry!$R$614)</f>
        <v/>
      </c>
    </row>
    <row r="612">
      <c r="T612">
        <f>IF([2]Baskol!$B$615="","",[2]Baskol!$B$615)</f>
        <v/>
      </c>
      <c r="U612">
        <f>IF([2]Baskol!$C$615="","",[2]Baskol!$C$615)</f>
        <v/>
      </c>
      <c r="V612">
        <f>IF([2]Baskol!$D$615="","",[2]Baskol!$D$615)</f>
        <v/>
      </c>
      <c r="W612">
        <f>IF([2]Baskol!$E$615="","",[2]Baskol!$E$615)</f>
        <v/>
      </c>
      <c r="X612">
        <f>IF([2]Baskol!$G$615="","",[2]Baskol!$G$615)</f>
        <v/>
      </c>
      <c r="Y612">
        <f>IF([2]Baskol!$I$615="","",[2]Baskol!$I$615)</f>
        <v/>
      </c>
      <c r="Z612">
        <f>IF([2]Baskol!$J$615="","",[2]Baskol!$J$615)</f>
        <v/>
      </c>
      <c r="AA612">
        <f>IF([2]Baskol!$K$615="","",[2]Baskol!$K$615)</f>
        <v/>
      </c>
      <c r="AB612">
        <f>IF([2]Baskol!$L$615="","",[2]Baskol!$L$615)</f>
        <v/>
      </c>
      <c r="AC612">
        <f>IF([2]Baskol!$N$615="","",[2]Baskol!$N$615)</f>
        <v/>
      </c>
      <c r="AD612">
        <f>IF([2]Baskol!$O$615="","",[2]Baskol!$O$615)</f>
        <v/>
      </c>
      <c r="AE612">
        <f>IF([3]Entry!$C$615="","",[3]Entry!$C$615)</f>
        <v/>
      </c>
      <c r="AF612">
        <f>IF([3]Entry!$D$615="","",[3]Entry!$D$615)</f>
        <v/>
      </c>
      <c r="AG612">
        <f>IF([3]Entry!$E$615="","",[3]Entry!$E$615)</f>
        <v/>
      </c>
      <c r="AH612">
        <f>IF([3]Entry!$G$615="","",[3]Entry!$G$615)</f>
        <v/>
      </c>
      <c r="AI612">
        <f>IF([3]Entry!$K$615="","",[3]Entry!$K$615)</f>
        <v/>
      </c>
      <c r="AJ612">
        <f>IF([3]Entry!$L$615="","",[3]Entry!$L$615)</f>
        <v/>
      </c>
      <c r="AK612">
        <f>IF([3]Entry!$M$615="","",[3]Entry!$M$615)</f>
        <v/>
      </c>
      <c r="AL612">
        <f>IF([3]Entry!$N$615="","",[3]Entry!$N$615)</f>
        <v/>
      </c>
      <c r="AM612">
        <f>IF([3]Entry!$R$615="","",[3]Entry!$R$615)</f>
        <v/>
      </c>
    </row>
    <row r="613">
      <c r="T613">
        <f>IF([2]Baskol!$B$616="","",[2]Baskol!$B$616)</f>
        <v/>
      </c>
      <c r="U613">
        <f>IF([2]Baskol!$C$616="","",[2]Baskol!$C$616)</f>
        <v/>
      </c>
      <c r="V613">
        <f>IF([2]Baskol!$D$616="","",[2]Baskol!$D$616)</f>
        <v/>
      </c>
      <c r="W613">
        <f>IF([2]Baskol!$E$616="","",[2]Baskol!$E$616)</f>
        <v/>
      </c>
      <c r="X613">
        <f>IF([2]Baskol!$G$616="","",[2]Baskol!$G$616)</f>
        <v/>
      </c>
      <c r="Y613">
        <f>IF([2]Baskol!$I$616="","",[2]Baskol!$I$616)</f>
        <v/>
      </c>
      <c r="Z613">
        <f>IF([2]Baskol!$J$616="","",[2]Baskol!$J$616)</f>
        <v/>
      </c>
      <c r="AA613">
        <f>IF([2]Baskol!$K$616="","",[2]Baskol!$K$616)</f>
        <v/>
      </c>
      <c r="AB613">
        <f>IF([2]Baskol!$L$616="","",[2]Baskol!$L$616)</f>
        <v/>
      </c>
      <c r="AC613">
        <f>IF([2]Baskol!$N$616="","",[2]Baskol!$N$616)</f>
        <v/>
      </c>
      <c r="AD613">
        <f>IF([2]Baskol!$O$616="","",[2]Baskol!$O$616)</f>
        <v/>
      </c>
      <c r="AE613">
        <f>IF([3]Entry!$C$616="","",[3]Entry!$C$616)</f>
        <v/>
      </c>
      <c r="AF613">
        <f>IF([3]Entry!$D$616="","",[3]Entry!$D$616)</f>
        <v/>
      </c>
      <c r="AG613">
        <f>IF([3]Entry!$E$616="","",[3]Entry!$E$616)</f>
        <v/>
      </c>
      <c r="AH613">
        <f>IF([3]Entry!$G$616="","",[3]Entry!$G$616)</f>
        <v/>
      </c>
      <c r="AI613">
        <f>IF([3]Entry!$K$616="","",[3]Entry!$K$616)</f>
        <v/>
      </c>
      <c r="AJ613">
        <f>IF([3]Entry!$L$616="","",[3]Entry!$L$616)</f>
        <v/>
      </c>
      <c r="AK613">
        <f>IF([3]Entry!$M$616="","",[3]Entry!$M$616)</f>
        <v/>
      </c>
      <c r="AL613">
        <f>IF([3]Entry!$N$616="","",[3]Entry!$N$616)</f>
        <v/>
      </c>
      <c r="AM613">
        <f>IF([3]Entry!$R$616="","",[3]Entry!$R$616)</f>
        <v/>
      </c>
    </row>
    <row r="614">
      <c r="T614">
        <f>IF([2]Baskol!$B$617="","",[2]Baskol!$B$617)</f>
        <v/>
      </c>
      <c r="U614">
        <f>IF([2]Baskol!$C$617="","",[2]Baskol!$C$617)</f>
        <v/>
      </c>
      <c r="V614">
        <f>IF([2]Baskol!$D$617="","",[2]Baskol!$D$617)</f>
        <v/>
      </c>
      <c r="W614">
        <f>IF([2]Baskol!$E$617="","",[2]Baskol!$E$617)</f>
        <v/>
      </c>
      <c r="X614">
        <f>IF([2]Baskol!$G$617="","",[2]Baskol!$G$617)</f>
        <v/>
      </c>
      <c r="Y614">
        <f>IF([2]Baskol!$I$617="","",[2]Baskol!$I$617)</f>
        <v/>
      </c>
      <c r="Z614">
        <f>IF([2]Baskol!$J$617="","",[2]Baskol!$J$617)</f>
        <v/>
      </c>
      <c r="AA614">
        <f>IF([2]Baskol!$K$617="","",[2]Baskol!$K$617)</f>
        <v/>
      </c>
      <c r="AB614">
        <f>IF([2]Baskol!$L$617="","",[2]Baskol!$L$617)</f>
        <v/>
      </c>
      <c r="AC614">
        <f>IF([2]Baskol!$N$617="","",[2]Baskol!$N$617)</f>
        <v/>
      </c>
      <c r="AD614">
        <f>IF([2]Baskol!$O$617="","",[2]Baskol!$O$617)</f>
        <v/>
      </c>
      <c r="AE614">
        <f>IF([3]Entry!$C$617="","",[3]Entry!$C$617)</f>
        <v/>
      </c>
      <c r="AF614">
        <f>IF([3]Entry!$D$617="","",[3]Entry!$D$617)</f>
        <v/>
      </c>
      <c r="AG614">
        <f>IF([3]Entry!$E$617="","",[3]Entry!$E$617)</f>
        <v/>
      </c>
      <c r="AH614">
        <f>IF([3]Entry!$G$617="","",[3]Entry!$G$617)</f>
        <v/>
      </c>
      <c r="AI614">
        <f>IF([3]Entry!$K$617="","",[3]Entry!$K$617)</f>
        <v/>
      </c>
      <c r="AJ614">
        <f>IF([3]Entry!$L$617="","",[3]Entry!$L$617)</f>
        <v/>
      </c>
      <c r="AK614">
        <f>IF([3]Entry!$M$617="","",[3]Entry!$M$617)</f>
        <v/>
      </c>
      <c r="AL614">
        <f>IF([3]Entry!$N$617="","",[3]Entry!$N$617)</f>
        <v/>
      </c>
      <c r="AM614">
        <f>IF([3]Entry!$R$617="","",[3]Entry!$R$617)</f>
        <v/>
      </c>
    </row>
    <row r="615">
      <c r="T615">
        <f>IF([2]Baskol!$B$618="","",[2]Baskol!$B$618)</f>
        <v/>
      </c>
      <c r="U615">
        <f>IF([2]Baskol!$C$618="","",[2]Baskol!$C$618)</f>
        <v/>
      </c>
      <c r="V615">
        <f>IF([2]Baskol!$D$618="","",[2]Baskol!$D$618)</f>
        <v/>
      </c>
      <c r="W615">
        <f>IF([2]Baskol!$E$618="","",[2]Baskol!$E$618)</f>
        <v/>
      </c>
      <c r="X615">
        <f>IF([2]Baskol!$G$618="","",[2]Baskol!$G$618)</f>
        <v/>
      </c>
      <c r="Y615">
        <f>IF([2]Baskol!$I$618="","",[2]Baskol!$I$618)</f>
        <v/>
      </c>
      <c r="Z615">
        <f>IF([2]Baskol!$J$618="","",[2]Baskol!$J$618)</f>
        <v/>
      </c>
      <c r="AA615">
        <f>IF([2]Baskol!$K$618="","",[2]Baskol!$K$618)</f>
        <v/>
      </c>
      <c r="AB615">
        <f>IF([2]Baskol!$L$618="","",[2]Baskol!$L$618)</f>
        <v/>
      </c>
      <c r="AC615">
        <f>IF([2]Baskol!$N$618="","",[2]Baskol!$N$618)</f>
        <v/>
      </c>
      <c r="AD615">
        <f>IF([2]Baskol!$O$618="","",[2]Baskol!$O$618)</f>
        <v/>
      </c>
      <c r="AE615">
        <f>IF([3]Entry!$C$618="","",[3]Entry!$C$618)</f>
        <v/>
      </c>
      <c r="AF615">
        <f>IF([3]Entry!$D$618="","",[3]Entry!$D$618)</f>
        <v/>
      </c>
      <c r="AG615">
        <f>IF([3]Entry!$E$618="","",[3]Entry!$E$618)</f>
        <v/>
      </c>
      <c r="AH615">
        <f>IF([3]Entry!$G$618="","",[3]Entry!$G$618)</f>
        <v/>
      </c>
      <c r="AI615">
        <f>IF([3]Entry!$K$618="","",[3]Entry!$K$618)</f>
        <v/>
      </c>
      <c r="AJ615">
        <f>IF([3]Entry!$L$618="","",[3]Entry!$L$618)</f>
        <v/>
      </c>
      <c r="AK615">
        <f>IF([3]Entry!$M$618="","",[3]Entry!$M$618)</f>
        <v/>
      </c>
      <c r="AL615">
        <f>IF([3]Entry!$N$618="","",[3]Entry!$N$618)</f>
        <v/>
      </c>
      <c r="AM615">
        <f>IF([3]Entry!$R$618="","",[3]Entry!$R$618)</f>
        <v/>
      </c>
    </row>
    <row r="616">
      <c r="T616">
        <f>IF([2]Baskol!$B$619="","",[2]Baskol!$B$619)</f>
        <v/>
      </c>
      <c r="U616">
        <f>IF([2]Baskol!$C$619="","",[2]Baskol!$C$619)</f>
        <v/>
      </c>
      <c r="V616">
        <f>IF([2]Baskol!$D$619="","",[2]Baskol!$D$619)</f>
        <v/>
      </c>
      <c r="W616">
        <f>IF([2]Baskol!$E$619="","",[2]Baskol!$E$619)</f>
        <v/>
      </c>
      <c r="X616">
        <f>IF([2]Baskol!$G$619="","",[2]Baskol!$G$619)</f>
        <v/>
      </c>
      <c r="Y616">
        <f>IF([2]Baskol!$I$619="","",[2]Baskol!$I$619)</f>
        <v/>
      </c>
      <c r="Z616">
        <f>IF([2]Baskol!$J$619="","",[2]Baskol!$J$619)</f>
        <v/>
      </c>
      <c r="AA616">
        <f>IF([2]Baskol!$K$619="","",[2]Baskol!$K$619)</f>
        <v/>
      </c>
      <c r="AB616">
        <f>IF([2]Baskol!$L$619="","",[2]Baskol!$L$619)</f>
        <v/>
      </c>
      <c r="AC616">
        <f>IF([2]Baskol!$N$619="","",[2]Baskol!$N$619)</f>
        <v/>
      </c>
      <c r="AD616">
        <f>IF([2]Baskol!$O$619="","",[2]Baskol!$O$619)</f>
        <v/>
      </c>
      <c r="AE616">
        <f>IF([3]Entry!$C$619="","",[3]Entry!$C$619)</f>
        <v/>
      </c>
      <c r="AF616">
        <f>IF([3]Entry!$D$619="","",[3]Entry!$D$619)</f>
        <v/>
      </c>
      <c r="AG616">
        <f>IF([3]Entry!$E$619="","",[3]Entry!$E$619)</f>
        <v/>
      </c>
      <c r="AH616">
        <f>IF([3]Entry!$G$619="","",[3]Entry!$G$619)</f>
        <v/>
      </c>
      <c r="AI616">
        <f>IF([3]Entry!$K$619="","",[3]Entry!$K$619)</f>
        <v/>
      </c>
      <c r="AJ616">
        <f>IF([3]Entry!$L$619="","",[3]Entry!$L$619)</f>
        <v/>
      </c>
      <c r="AK616">
        <f>IF([3]Entry!$M$619="","",[3]Entry!$M$619)</f>
        <v/>
      </c>
      <c r="AL616">
        <f>IF([3]Entry!$N$619="","",[3]Entry!$N$619)</f>
        <v/>
      </c>
      <c r="AM616">
        <f>IF([3]Entry!$R$619="","",[3]Entry!$R$619)</f>
        <v/>
      </c>
    </row>
    <row r="617">
      <c r="T617">
        <f>IF([2]Baskol!$B$620="","",[2]Baskol!$B$620)</f>
        <v/>
      </c>
      <c r="U617">
        <f>IF([2]Baskol!$C$620="","",[2]Baskol!$C$620)</f>
        <v/>
      </c>
      <c r="V617">
        <f>IF([2]Baskol!$D$620="","",[2]Baskol!$D$620)</f>
        <v/>
      </c>
      <c r="W617">
        <f>IF([2]Baskol!$E$620="","",[2]Baskol!$E$620)</f>
        <v/>
      </c>
      <c r="X617">
        <f>IF([2]Baskol!$G$620="","",[2]Baskol!$G$620)</f>
        <v/>
      </c>
      <c r="Y617">
        <f>IF([2]Baskol!$I$620="","",[2]Baskol!$I$620)</f>
        <v/>
      </c>
      <c r="Z617">
        <f>IF([2]Baskol!$J$620="","",[2]Baskol!$J$620)</f>
        <v/>
      </c>
      <c r="AA617">
        <f>IF([2]Baskol!$K$620="","",[2]Baskol!$K$620)</f>
        <v/>
      </c>
      <c r="AB617">
        <f>IF([2]Baskol!$L$620="","",[2]Baskol!$L$620)</f>
        <v/>
      </c>
      <c r="AC617">
        <f>IF([2]Baskol!$N$620="","",[2]Baskol!$N$620)</f>
        <v/>
      </c>
      <c r="AD617">
        <f>IF([2]Baskol!$O$620="","",[2]Baskol!$O$620)</f>
        <v/>
      </c>
      <c r="AE617">
        <f>IF([3]Entry!$C$620="","",[3]Entry!$C$620)</f>
        <v/>
      </c>
      <c r="AF617">
        <f>IF([3]Entry!$D$620="","",[3]Entry!$D$620)</f>
        <v/>
      </c>
      <c r="AG617">
        <f>IF([3]Entry!$E$620="","",[3]Entry!$E$620)</f>
        <v/>
      </c>
      <c r="AH617">
        <f>IF([3]Entry!$G$620="","",[3]Entry!$G$620)</f>
        <v/>
      </c>
      <c r="AI617">
        <f>IF([3]Entry!$K$620="","",[3]Entry!$K$620)</f>
        <v/>
      </c>
      <c r="AJ617">
        <f>IF([3]Entry!$L$620="","",[3]Entry!$L$620)</f>
        <v/>
      </c>
      <c r="AK617">
        <f>IF([3]Entry!$M$620="","",[3]Entry!$M$620)</f>
        <v/>
      </c>
      <c r="AL617">
        <f>IF([3]Entry!$N$620="","",[3]Entry!$N$620)</f>
        <v/>
      </c>
      <c r="AM617">
        <f>IF([3]Entry!$R$620="","",[3]Entry!$R$620)</f>
        <v/>
      </c>
    </row>
    <row r="618">
      <c r="T618">
        <f>IF([2]Baskol!$B$621="","",[2]Baskol!$B$621)</f>
        <v/>
      </c>
      <c r="U618">
        <f>IF([2]Baskol!$C$621="","",[2]Baskol!$C$621)</f>
        <v/>
      </c>
      <c r="V618">
        <f>IF([2]Baskol!$D$621="","",[2]Baskol!$D$621)</f>
        <v/>
      </c>
      <c r="W618">
        <f>IF([2]Baskol!$E$621="","",[2]Baskol!$E$621)</f>
        <v/>
      </c>
      <c r="X618">
        <f>IF([2]Baskol!$G$621="","",[2]Baskol!$G$621)</f>
        <v/>
      </c>
      <c r="Y618">
        <f>IF([2]Baskol!$I$621="","",[2]Baskol!$I$621)</f>
        <v/>
      </c>
      <c r="Z618">
        <f>IF([2]Baskol!$J$621="","",[2]Baskol!$J$621)</f>
        <v/>
      </c>
      <c r="AA618">
        <f>IF([2]Baskol!$K$621="","",[2]Baskol!$K$621)</f>
        <v/>
      </c>
      <c r="AB618">
        <f>IF([2]Baskol!$L$621="","",[2]Baskol!$L$621)</f>
        <v/>
      </c>
      <c r="AC618">
        <f>IF([2]Baskol!$N$621="","",[2]Baskol!$N$621)</f>
        <v/>
      </c>
      <c r="AD618">
        <f>IF([2]Baskol!$O$621="","",[2]Baskol!$O$621)</f>
        <v/>
      </c>
      <c r="AE618">
        <f>IF([3]Entry!$C$621="","",[3]Entry!$C$621)</f>
        <v/>
      </c>
      <c r="AF618">
        <f>IF([3]Entry!$D$621="","",[3]Entry!$D$621)</f>
        <v/>
      </c>
      <c r="AG618">
        <f>IF([3]Entry!$E$621="","",[3]Entry!$E$621)</f>
        <v/>
      </c>
      <c r="AH618">
        <f>IF([3]Entry!$G$621="","",[3]Entry!$G$621)</f>
        <v/>
      </c>
      <c r="AI618">
        <f>IF([3]Entry!$K$621="","",[3]Entry!$K$621)</f>
        <v/>
      </c>
      <c r="AJ618">
        <f>IF([3]Entry!$L$621="","",[3]Entry!$L$621)</f>
        <v/>
      </c>
      <c r="AK618">
        <f>IF([3]Entry!$M$621="","",[3]Entry!$M$621)</f>
        <v/>
      </c>
      <c r="AL618">
        <f>IF([3]Entry!$N$621="","",[3]Entry!$N$621)</f>
        <v/>
      </c>
      <c r="AM618">
        <f>IF([3]Entry!$R$621="","",[3]Entry!$R$621)</f>
        <v/>
      </c>
    </row>
    <row r="619">
      <c r="T619">
        <f>IF([2]Baskol!$B$622="","",[2]Baskol!$B$622)</f>
        <v/>
      </c>
      <c r="U619">
        <f>IF([2]Baskol!$C$622="","",[2]Baskol!$C$622)</f>
        <v/>
      </c>
      <c r="V619">
        <f>IF([2]Baskol!$D$622="","",[2]Baskol!$D$622)</f>
        <v/>
      </c>
      <c r="W619">
        <f>IF([2]Baskol!$E$622="","",[2]Baskol!$E$622)</f>
        <v/>
      </c>
      <c r="X619">
        <f>IF([2]Baskol!$G$622="","",[2]Baskol!$G$622)</f>
        <v/>
      </c>
      <c r="Y619">
        <f>IF([2]Baskol!$I$622="","",[2]Baskol!$I$622)</f>
        <v/>
      </c>
      <c r="Z619">
        <f>IF([2]Baskol!$J$622="","",[2]Baskol!$J$622)</f>
        <v/>
      </c>
      <c r="AA619">
        <f>IF([2]Baskol!$K$622="","",[2]Baskol!$K$622)</f>
        <v/>
      </c>
      <c r="AB619">
        <f>IF([2]Baskol!$L$622="","",[2]Baskol!$L$622)</f>
        <v/>
      </c>
      <c r="AC619">
        <f>IF([2]Baskol!$N$622="","",[2]Baskol!$N$622)</f>
        <v/>
      </c>
      <c r="AD619">
        <f>IF([2]Baskol!$O$622="","",[2]Baskol!$O$622)</f>
        <v/>
      </c>
      <c r="AE619">
        <f>IF([3]Entry!$C$622="","",[3]Entry!$C$622)</f>
        <v/>
      </c>
      <c r="AF619">
        <f>IF([3]Entry!$D$622="","",[3]Entry!$D$622)</f>
        <v/>
      </c>
      <c r="AG619">
        <f>IF([3]Entry!$E$622="","",[3]Entry!$E$622)</f>
        <v/>
      </c>
      <c r="AH619">
        <f>IF([3]Entry!$G$622="","",[3]Entry!$G$622)</f>
        <v/>
      </c>
      <c r="AI619">
        <f>IF([3]Entry!$K$622="","",[3]Entry!$K$622)</f>
        <v/>
      </c>
      <c r="AJ619">
        <f>IF([3]Entry!$L$622="","",[3]Entry!$L$622)</f>
        <v/>
      </c>
      <c r="AK619">
        <f>IF([3]Entry!$M$622="","",[3]Entry!$M$622)</f>
        <v/>
      </c>
      <c r="AL619">
        <f>IF([3]Entry!$N$622="","",[3]Entry!$N$622)</f>
        <v/>
      </c>
      <c r="AM619">
        <f>IF([3]Entry!$R$622="","",[3]Entry!$R$622)</f>
        <v/>
      </c>
    </row>
    <row r="620">
      <c r="T620">
        <f>IF([2]Baskol!$B$623="","",[2]Baskol!$B$623)</f>
        <v/>
      </c>
      <c r="U620">
        <f>IF([2]Baskol!$C$623="","",[2]Baskol!$C$623)</f>
        <v/>
      </c>
      <c r="V620">
        <f>IF([2]Baskol!$D$623="","",[2]Baskol!$D$623)</f>
        <v/>
      </c>
      <c r="W620">
        <f>IF([2]Baskol!$E$623="","",[2]Baskol!$E$623)</f>
        <v/>
      </c>
      <c r="X620">
        <f>IF([2]Baskol!$G$623="","",[2]Baskol!$G$623)</f>
        <v/>
      </c>
      <c r="Y620">
        <f>IF([2]Baskol!$I$623="","",[2]Baskol!$I$623)</f>
        <v/>
      </c>
      <c r="Z620">
        <f>IF([2]Baskol!$J$623="","",[2]Baskol!$J$623)</f>
        <v/>
      </c>
      <c r="AA620">
        <f>IF([2]Baskol!$K$623="","",[2]Baskol!$K$623)</f>
        <v/>
      </c>
      <c r="AB620">
        <f>IF([2]Baskol!$L$623="","",[2]Baskol!$L$623)</f>
        <v/>
      </c>
      <c r="AC620">
        <f>IF([2]Baskol!$N$623="","",[2]Baskol!$N$623)</f>
        <v/>
      </c>
      <c r="AD620">
        <f>IF([2]Baskol!$O$623="","",[2]Baskol!$O$623)</f>
        <v/>
      </c>
      <c r="AE620">
        <f>IF([3]Entry!$C$623="","",[3]Entry!$C$623)</f>
        <v/>
      </c>
      <c r="AF620">
        <f>IF([3]Entry!$D$623="","",[3]Entry!$D$623)</f>
        <v/>
      </c>
      <c r="AG620">
        <f>IF([3]Entry!$E$623="","",[3]Entry!$E$623)</f>
        <v/>
      </c>
      <c r="AH620">
        <f>IF([3]Entry!$G$623="","",[3]Entry!$G$623)</f>
        <v/>
      </c>
      <c r="AI620">
        <f>IF([3]Entry!$K$623="","",[3]Entry!$K$623)</f>
        <v/>
      </c>
      <c r="AJ620">
        <f>IF([3]Entry!$L$623="","",[3]Entry!$L$623)</f>
        <v/>
      </c>
      <c r="AK620">
        <f>IF([3]Entry!$M$623="","",[3]Entry!$M$623)</f>
        <v/>
      </c>
      <c r="AL620">
        <f>IF([3]Entry!$N$623="","",[3]Entry!$N$623)</f>
        <v/>
      </c>
      <c r="AM620">
        <f>IF([3]Entry!$R$623="","",[3]Entry!$R$623)</f>
        <v/>
      </c>
    </row>
    <row r="621">
      <c r="T621">
        <f>IF([2]Baskol!$B$624="","",[2]Baskol!$B$624)</f>
        <v/>
      </c>
      <c r="U621">
        <f>IF([2]Baskol!$C$624="","",[2]Baskol!$C$624)</f>
        <v/>
      </c>
      <c r="V621">
        <f>IF([2]Baskol!$D$624="","",[2]Baskol!$D$624)</f>
        <v/>
      </c>
      <c r="W621">
        <f>IF([2]Baskol!$E$624="","",[2]Baskol!$E$624)</f>
        <v/>
      </c>
      <c r="X621">
        <f>IF([2]Baskol!$G$624="","",[2]Baskol!$G$624)</f>
        <v/>
      </c>
      <c r="Y621">
        <f>IF([2]Baskol!$I$624="","",[2]Baskol!$I$624)</f>
        <v/>
      </c>
      <c r="Z621">
        <f>IF([2]Baskol!$J$624="","",[2]Baskol!$J$624)</f>
        <v/>
      </c>
      <c r="AA621">
        <f>IF([2]Baskol!$K$624="","",[2]Baskol!$K$624)</f>
        <v/>
      </c>
      <c r="AB621">
        <f>IF([2]Baskol!$L$624="","",[2]Baskol!$L$624)</f>
        <v/>
      </c>
      <c r="AC621">
        <f>IF([2]Baskol!$N$624="","",[2]Baskol!$N$624)</f>
        <v/>
      </c>
      <c r="AD621">
        <f>IF([2]Baskol!$O$624="","",[2]Baskol!$O$624)</f>
        <v/>
      </c>
      <c r="AE621">
        <f>IF([3]Entry!$C$624="","",[3]Entry!$C$624)</f>
        <v/>
      </c>
      <c r="AF621">
        <f>IF([3]Entry!$D$624="","",[3]Entry!$D$624)</f>
        <v/>
      </c>
      <c r="AG621">
        <f>IF([3]Entry!$E$624="","",[3]Entry!$E$624)</f>
        <v/>
      </c>
      <c r="AH621">
        <f>IF([3]Entry!$G$624="","",[3]Entry!$G$624)</f>
        <v/>
      </c>
      <c r="AI621">
        <f>IF([3]Entry!$K$624="","",[3]Entry!$K$624)</f>
        <v/>
      </c>
      <c r="AJ621">
        <f>IF([3]Entry!$L$624="","",[3]Entry!$L$624)</f>
        <v/>
      </c>
      <c r="AK621">
        <f>IF([3]Entry!$M$624="","",[3]Entry!$M$624)</f>
        <v/>
      </c>
      <c r="AL621">
        <f>IF([3]Entry!$N$624="","",[3]Entry!$N$624)</f>
        <v/>
      </c>
      <c r="AM621">
        <f>IF([3]Entry!$R$624="","",[3]Entry!$R$624)</f>
        <v/>
      </c>
    </row>
    <row r="622">
      <c r="T622">
        <f>IF([2]Baskol!$B$625="","",[2]Baskol!$B$625)</f>
        <v/>
      </c>
      <c r="U622">
        <f>IF([2]Baskol!$C$625="","",[2]Baskol!$C$625)</f>
        <v/>
      </c>
      <c r="V622">
        <f>IF([2]Baskol!$D$625="","",[2]Baskol!$D$625)</f>
        <v/>
      </c>
      <c r="W622">
        <f>IF([2]Baskol!$E$625="","",[2]Baskol!$E$625)</f>
        <v/>
      </c>
      <c r="X622">
        <f>IF([2]Baskol!$G$625="","",[2]Baskol!$G$625)</f>
        <v/>
      </c>
      <c r="Y622">
        <f>IF([2]Baskol!$I$625="","",[2]Baskol!$I$625)</f>
        <v/>
      </c>
      <c r="Z622">
        <f>IF([2]Baskol!$J$625="","",[2]Baskol!$J$625)</f>
        <v/>
      </c>
      <c r="AA622">
        <f>IF([2]Baskol!$K$625="","",[2]Baskol!$K$625)</f>
        <v/>
      </c>
      <c r="AB622">
        <f>IF([2]Baskol!$L$625="","",[2]Baskol!$L$625)</f>
        <v/>
      </c>
      <c r="AC622">
        <f>IF([2]Baskol!$N$625="","",[2]Baskol!$N$625)</f>
        <v/>
      </c>
      <c r="AD622">
        <f>IF([2]Baskol!$O$625="","",[2]Baskol!$O$625)</f>
        <v/>
      </c>
      <c r="AE622">
        <f>IF([3]Entry!$C$625="","",[3]Entry!$C$625)</f>
        <v/>
      </c>
      <c r="AF622">
        <f>IF([3]Entry!$D$625="","",[3]Entry!$D$625)</f>
        <v/>
      </c>
      <c r="AG622">
        <f>IF([3]Entry!$E$625="","",[3]Entry!$E$625)</f>
        <v/>
      </c>
      <c r="AH622">
        <f>IF([3]Entry!$G$625="","",[3]Entry!$G$625)</f>
        <v/>
      </c>
      <c r="AI622">
        <f>IF([3]Entry!$K$625="","",[3]Entry!$K$625)</f>
        <v/>
      </c>
      <c r="AJ622">
        <f>IF([3]Entry!$L$625="","",[3]Entry!$L$625)</f>
        <v/>
      </c>
      <c r="AK622">
        <f>IF([3]Entry!$M$625="","",[3]Entry!$M$625)</f>
        <v/>
      </c>
      <c r="AL622">
        <f>IF([3]Entry!$N$625="","",[3]Entry!$N$625)</f>
        <v/>
      </c>
      <c r="AM622">
        <f>IF([3]Entry!$R$625="","",[3]Entry!$R$625)</f>
        <v/>
      </c>
    </row>
    <row r="623">
      <c r="T623">
        <f>IF([2]Baskol!$B$626="","",[2]Baskol!$B$626)</f>
        <v/>
      </c>
      <c r="U623">
        <f>IF([2]Baskol!$C$626="","",[2]Baskol!$C$626)</f>
        <v/>
      </c>
      <c r="V623">
        <f>IF([2]Baskol!$D$626="","",[2]Baskol!$D$626)</f>
        <v/>
      </c>
      <c r="W623">
        <f>IF([2]Baskol!$E$626="","",[2]Baskol!$E$626)</f>
        <v/>
      </c>
      <c r="X623">
        <f>IF([2]Baskol!$G$626="","",[2]Baskol!$G$626)</f>
        <v/>
      </c>
      <c r="Y623">
        <f>IF([2]Baskol!$I$626="","",[2]Baskol!$I$626)</f>
        <v/>
      </c>
      <c r="Z623">
        <f>IF([2]Baskol!$J$626="","",[2]Baskol!$J$626)</f>
        <v/>
      </c>
      <c r="AA623">
        <f>IF([2]Baskol!$K$626="","",[2]Baskol!$K$626)</f>
        <v/>
      </c>
      <c r="AB623">
        <f>IF([2]Baskol!$L$626="","",[2]Baskol!$L$626)</f>
        <v/>
      </c>
      <c r="AC623">
        <f>IF([2]Baskol!$N$626="","",[2]Baskol!$N$626)</f>
        <v/>
      </c>
      <c r="AD623">
        <f>IF([2]Baskol!$O$626="","",[2]Baskol!$O$626)</f>
        <v/>
      </c>
      <c r="AE623">
        <f>IF([3]Entry!$C$626="","",[3]Entry!$C$626)</f>
        <v/>
      </c>
      <c r="AF623">
        <f>IF([3]Entry!$D$626="","",[3]Entry!$D$626)</f>
        <v/>
      </c>
      <c r="AG623">
        <f>IF([3]Entry!$E$626="","",[3]Entry!$E$626)</f>
        <v/>
      </c>
      <c r="AH623">
        <f>IF([3]Entry!$G$626="","",[3]Entry!$G$626)</f>
        <v/>
      </c>
      <c r="AI623">
        <f>IF([3]Entry!$K$626="","",[3]Entry!$K$626)</f>
        <v/>
      </c>
      <c r="AJ623">
        <f>IF([3]Entry!$L$626="","",[3]Entry!$L$626)</f>
        <v/>
      </c>
      <c r="AK623">
        <f>IF([3]Entry!$M$626="","",[3]Entry!$M$626)</f>
        <v/>
      </c>
      <c r="AL623">
        <f>IF([3]Entry!$N$626="","",[3]Entry!$N$626)</f>
        <v/>
      </c>
      <c r="AM623">
        <f>IF([3]Entry!$R$626="","",[3]Entry!$R$626)</f>
        <v/>
      </c>
    </row>
    <row r="624">
      <c r="T624">
        <f>IF([2]Baskol!$B$627="","",[2]Baskol!$B$627)</f>
        <v/>
      </c>
      <c r="U624">
        <f>IF([2]Baskol!$C$627="","",[2]Baskol!$C$627)</f>
        <v/>
      </c>
      <c r="V624">
        <f>IF([2]Baskol!$D$627="","",[2]Baskol!$D$627)</f>
        <v/>
      </c>
      <c r="W624">
        <f>IF([2]Baskol!$E$627="","",[2]Baskol!$E$627)</f>
        <v/>
      </c>
      <c r="X624">
        <f>IF([2]Baskol!$G$627="","",[2]Baskol!$G$627)</f>
        <v/>
      </c>
      <c r="Y624">
        <f>IF([2]Baskol!$I$627="","",[2]Baskol!$I$627)</f>
        <v/>
      </c>
      <c r="Z624">
        <f>IF([2]Baskol!$J$627="","",[2]Baskol!$J$627)</f>
        <v/>
      </c>
      <c r="AA624">
        <f>IF([2]Baskol!$K$627="","",[2]Baskol!$K$627)</f>
        <v/>
      </c>
      <c r="AB624">
        <f>IF([2]Baskol!$L$627="","",[2]Baskol!$L$627)</f>
        <v/>
      </c>
      <c r="AC624">
        <f>IF([2]Baskol!$N$627="","",[2]Baskol!$N$627)</f>
        <v/>
      </c>
      <c r="AD624">
        <f>IF([2]Baskol!$O$627="","",[2]Baskol!$O$627)</f>
        <v/>
      </c>
      <c r="AE624">
        <f>IF([3]Entry!$C$627="","",[3]Entry!$C$627)</f>
        <v/>
      </c>
      <c r="AF624">
        <f>IF([3]Entry!$D$627="","",[3]Entry!$D$627)</f>
        <v/>
      </c>
      <c r="AG624">
        <f>IF([3]Entry!$E$627="","",[3]Entry!$E$627)</f>
        <v/>
      </c>
      <c r="AH624">
        <f>IF([3]Entry!$G$627="","",[3]Entry!$G$627)</f>
        <v/>
      </c>
      <c r="AI624">
        <f>IF([3]Entry!$K$627="","",[3]Entry!$K$627)</f>
        <v/>
      </c>
      <c r="AJ624">
        <f>IF([3]Entry!$L$627="","",[3]Entry!$L$627)</f>
        <v/>
      </c>
      <c r="AK624">
        <f>IF([3]Entry!$M$627="","",[3]Entry!$M$627)</f>
        <v/>
      </c>
      <c r="AL624">
        <f>IF([3]Entry!$N$627="","",[3]Entry!$N$627)</f>
        <v/>
      </c>
      <c r="AM624">
        <f>IF([3]Entry!$R$627="","",[3]Entry!$R$627)</f>
        <v/>
      </c>
    </row>
    <row r="625">
      <c r="T625">
        <f>IF([2]Baskol!$B$628="","",[2]Baskol!$B$628)</f>
        <v/>
      </c>
      <c r="U625">
        <f>IF([2]Baskol!$C$628="","",[2]Baskol!$C$628)</f>
        <v/>
      </c>
      <c r="V625">
        <f>IF([2]Baskol!$D$628="","",[2]Baskol!$D$628)</f>
        <v/>
      </c>
      <c r="W625">
        <f>IF([2]Baskol!$E$628="","",[2]Baskol!$E$628)</f>
        <v/>
      </c>
      <c r="X625">
        <f>IF([2]Baskol!$G$628="","",[2]Baskol!$G$628)</f>
        <v/>
      </c>
      <c r="Y625">
        <f>IF([2]Baskol!$I$628="","",[2]Baskol!$I$628)</f>
        <v/>
      </c>
      <c r="Z625">
        <f>IF([2]Baskol!$J$628="","",[2]Baskol!$J$628)</f>
        <v/>
      </c>
      <c r="AA625">
        <f>IF([2]Baskol!$K$628="","",[2]Baskol!$K$628)</f>
        <v/>
      </c>
      <c r="AB625">
        <f>IF([2]Baskol!$L$628="","",[2]Baskol!$L$628)</f>
        <v/>
      </c>
      <c r="AC625">
        <f>IF([2]Baskol!$N$628="","",[2]Baskol!$N$628)</f>
        <v/>
      </c>
      <c r="AD625">
        <f>IF([2]Baskol!$O$628="","",[2]Baskol!$O$628)</f>
        <v/>
      </c>
      <c r="AE625">
        <f>IF([3]Entry!$C$628="","",[3]Entry!$C$628)</f>
        <v/>
      </c>
      <c r="AF625">
        <f>IF([3]Entry!$D$628="","",[3]Entry!$D$628)</f>
        <v/>
      </c>
      <c r="AG625">
        <f>IF([3]Entry!$E$628="","",[3]Entry!$E$628)</f>
        <v/>
      </c>
      <c r="AH625">
        <f>IF([3]Entry!$G$628="","",[3]Entry!$G$628)</f>
        <v/>
      </c>
      <c r="AI625">
        <f>IF([3]Entry!$K$628="","",[3]Entry!$K$628)</f>
        <v/>
      </c>
      <c r="AJ625">
        <f>IF([3]Entry!$L$628="","",[3]Entry!$L$628)</f>
        <v/>
      </c>
      <c r="AK625">
        <f>IF([3]Entry!$M$628="","",[3]Entry!$M$628)</f>
        <v/>
      </c>
      <c r="AL625">
        <f>IF([3]Entry!$N$628="","",[3]Entry!$N$628)</f>
        <v/>
      </c>
      <c r="AM625">
        <f>IF([3]Entry!$R$628="","",[3]Entry!$R$628)</f>
        <v/>
      </c>
    </row>
    <row r="626">
      <c r="T626">
        <f>IF([2]Baskol!$B$629="","",[2]Baskol!$B$629)</f>
        <v/>
      </c>
      <c r="U626">
        <f>IF([2]Baskol!$C$629="","",[2]Baskol!$C$629)</f>
        <v/>
      </c>
      <c r="V626">
        <f>IF([2]Baskol!$D$629="","",[2]Baskol!$D$629)</f>
        <v/>
      </c>
      <c r="W626">
        <f>IF([2]Baskol!$E$629="","",[2]Baskol!$E$629)</f>
        <v/>
      </c>
      <c r="X626">
        <f>IF([2]Baskol!$G$629="","",[2]Baskol!$G$629)</f>
        <v/>
      </c>
      <c r="Y626">
        <f>IF([2]Baskol!$I$629="","",[2]Baskol!$I$629)</f>
        <v/>
      </c>
      <c r="Z626">
        <f>IF([2]Baskol!$J$629="","",[2]Baskol!$J$629)</f>
        <v/>
      </c>
      <c r="AA626">
        <f>IF([2]Baskol!$K$629="","",[2]Baskol!$K$629)</f>
        <v/>
      </c>
      <c r="AB626">
        <f>IF([2]Baskol!$L$629="","",[2]Baskol!$L$629)</f>
        <v/>
      </c>
      <c r="AC626">
        <f>IF([2]Baskol!$N$629="","",[2]Baskol!$N$629)</f>
        <v/>
      </c>
      <c r="AD626">
        <f>IF([2]Baskol!$O$629="","",[2]Baskol!$O$629)</f>
        <v/>
      </c>
      <c r="AE626">
        <f>IF([3]Entry!$C$629="","",[3]Entry!$C$629)</f>
        <v/>
      </c>
      <c r="AF626">
        <f>IF([3]Entry!$D$629="","",[3]Entry!$D$629)</f>
        <v/>
      </c>
      <c r="AG626">
        <f>IF([3]Entry!$E$629="","",[3]Entry!$E$629)</f>
        <v/>
      </c>
      <c r="AH626">
        <f>IF([3]Entry!$G$629="","",[3]Entry!$G$629)</f>
        <v/>
      </c>
      <c r="AI626">
        <f>IF([3]Entry!$K$629="","",[3]Entry!$K$629)</f>
        <v/>
      </c>
      <c r="AJ626">
        <f>IF([3]Entry!$L$629="","",[3]Entry!$L$629)</f>
        <v/>
      </c>
      <c r="AK626">
        <f>IF([3]Entry!$M$629="","",[3]Entry!$M$629)</f>
        <v/>
      </c>
      <c r="AL626">
        <f>IF([3]Entry!$N$629="","",[3]Entry!$N$629)</f>
        <v/>
      </c>
      <c r="AM626">
        <f>IF([3]Entry!$R$629="","",[3]Entry!$R$629)</f>
        <v/>
      </c>
    </row>
    <row r="627">
      <c r="T627">
        <f>IF([2]Baskol!$B$630="","",[2]Baskol!$B$630)</f>
        <v/>
      </c>
      <c r="U627">
        <f>IF([2]Baskol!$C$630="","",[2]Baskol!$C$630)</f>
        <v/>
      </c>
      <c r="V627">
        <f>IF([2]Baskol!$D$630="","",[2]Baskol!$D$630)</f>
        <v/>
      </c>
      <c r="W627">
        <f>IF([2]Baskol!$E$630="","",[2]Baskol!$E$630)</f>
        <v/>
      </c>
      <c r="X627">
        <f>IF([2]Baskol!$G$630="","",[2]Baskol!$G$630)</f>
        <v/>
      </c>
      <c r="Y627">
        <f>IF([2]Baskol!$I$630="","",[2]Baskol!$I$630)</f>
        <v/>
      </c>
      <c r="Z627">
        <f>IF([2]Baskol!$J$630="","",[2]Baskol!$J$630)</f>
        <v/>
      </c>
      <c r="AA627">
        <f>IF([2]Baskol!$K$630="","",[2]Baskol!$K$630)</f>
        <v/>
      </c>
      <c r="AB627">
        <f>IF([2]Baskol!$L$630="","",[2]Baskol!$L$630)</f>
        <v/>
      </c>
      <c r="AC627">
        <f>IF([2]Baskol!$N$630="","",[2]Baskol!$N$630)</f>
        <v/>
      </c>
      <c r="AD627">
        <f>IF([2]Baskol!$O$630="","",[2]Baskol!$O$630)</f>
        <v/>
      </c>
      <c r="AE627">
        <f>IF([3]Entry!$C$630="","",[3]Entry!$C$630)</f>
        <v/>
      </c>
      <c r="AF627">
        <f>IF([3]Entry!$D$630="","",[3]Entry!$D$630)</f>
        <v/>
      </c>
      <c r="AG627">
        <f>IF([3]Entry!$E$630="","",[3]Entry!$E$630)</f>
        <v/>
      </c>
      <c r="AH627">
        <f>IF([3]Entry!$G$630="","",[3]Entry!$G$630)</f>
        <v/>
      </c>
      <c r="AI627">
        <f>IF([3]Entry!$K$630="","",[3]Entry!$K$630)</f>
        <v/>
      </c>
      <c r="AJ627">
        <f>IF([3]Entry!$L$630="","",[3]Entry!$L$630)</f>
        <v/>
      </c>
      <c r="AK627">
        <f>IF([3]Entry!$M$630="","",[3]Entry!$M$630)</f>
        <v/>
      </c>
      <c r="AL627">
        <f>IF([3]Entry!$N$630="","",[3]Entry!$N$630)</f>
        <v/>
      </c>
      <c r="AM627">
        <f>IF([3]Entry!$R$630="","",[3]Entry!$R$630)</f>
        <v/>
      </c>
    </row>
    <row r="628">
      <c r="T628">
        <f>IF([2]Baskol!$B$631="","",[2]Baskol!$B$631)</f>
        <v/>
      </c>
      <c r="U628">
        <f>IF([2]Baskol!$C$631="","",[2]Baskol!$C$631)</f>
        <v/>
      </c>
      <c r="V628">
        <f>IF([2]Baskol!$D$631="","",[2]Baskol!$D$631)</f>
        <v/>
      </c>
      <c r="W628">
        <f>IF([2]Baskol!$E$631="","",[2]Baskol!$E$631)</f>
        <v/>
      </c>
      <c r="X628">
        <f>IF([2]Baskol!$G$631="","",[2]Baskol!$G$631)</f>
        <v/>
      </c>
      <c r="Y628">
        <f>IF([2]Baskol!$I$631="","",[2]Baskol!$I$631)</f>
        <v/>
      </c>
      <c r="Z628">
        <f>IF([2]Baskol!$J$631="","",[2]Baskol!$J$631)</f>
        <v/>
      </c>
      <c r="AA628">
        <f>IF([2]Baskol!$K$631="","",[2]Baskol!$K$631)</f>
        <v/>
      </c>
      <c r="AB628">
        <f>IF([2]Baskol!$L$631="","",[2]Baskol!$L$631)</f>
        <v/>
      </c>
      <c r="AC628">
        <f>IF([2]Baskol!$N$631="","",[2]Baskol!$N$631)</f>
        <v/>
      </c>
      <c r="AD628">
        <f>IF([2]Baskol!$O$631="","",[2]Baskol!$O$631)</f>
        <v/>
      </c>
      <c r="AE628">
        <f>IF([3]Entry!$C$631="","",[3]Entry!$C$631)</f>
        <v/>
      </c>
      <c r="AF628">
        <f>IF([3]Entry!$D$631="","",[3]Entry!$D$631)</f>
        <v/>
      </c>
      <c r="AG628">
        <f>IF([3]Entry!$E$631="","",[3]Entry!$E$631)</f>
        <v/>
      </c>
      <c r="AH628">
        <f>IF([3]Entry!$G$631="","",[3]Entry!$G$631)</f>
        <v/>
      </c>
      <c r="AI628">
        <f>IF([3]Entry!$K$631="","",[3]Entry!$K$631)</f>
        <v/>
      </c>
      <c r="AJ628">
        <f>IF([3]Entry!$L$631="","",[3]Entry!$L$631)</f>
        <v/>
      </c>
      <c r="AK628">
        <f>IF([3]Entry!$M$631="","",[3]Entry!$M$631)</f>
        <v/>
      </c>
      <c r="AL628">
        <f>IF([3]Entry!$N$631="","",[3]Entry!$N$631)</f>
        <v/>
      </c>
      <c r="AM628">
        <f>IF([3]Entry!$R$631="","",[3]Entry!$R$631)</f>
        <v/>
      </c>
    </row>
    <row r="629">
      <c r="T629">
        <f>IF([2]Baskol!$B$632="","",[2]Baskol!$B$632)</f>
        <v/>
      </c>
      <c r="U629">
        <f>IF([2]Baskol!$C$632="","",[2]Baskol!$C$632)</f>
        <v/>
      </c>
      <c r="V629">
        <f>IF([2]Baskol!$D$632="","",[2]Baskol!$D$632)</f>
        <v/>
      </c>
      <c r="W629">
        <f>IF([2]Baskol!$E$632="","",[2]Baskol!$E$632)</f>
        <v/>
      </c>
      <c r="X629">
        <f>IF([2]Baskol!$G$632="","",[2]Baskol!$G$632)</f>
        <v/>
      </c>
      <c r="Y629">
        <f>IF([2]Baskol!$I$632="","",[2]Baskol!$I$632)</f>
        <v/>
      </c>
      <c r="Z629">
        <f>IF([2]Baskol!$J$632="","",[2]Baskol!$J$632)</f>
        <v/>
      </c>
      <c r="AA629">
        <f>IF([2]Baskol!$K$632="","",[2]Baskol!$K$632)</f>
        <v/>
      </c>
      <c r="AB629">
        <f>IF([2]Baskol!$L$632="","",[2]Baskol!$L$632)</f>
        <v/>
      </c>
      <c r="AC629">
        <f>IF([2]Baskol!$N$632="","",[2]Baskol!$N$632)</f>
        <v/>
      </c>
      <c r="AD629">
        <f>IF([2]Baskol!$O$632="","",[2]Baskol!$O$632)</f>
        <v/>
      </c>
      <c r="AE629">
        <f>IF([3]Entry!$C$632="","",[3]Entry!$C$632)</f>
        <v/>
      </c>
      <c r="AF629">
        <f>IF([3]Entry!$D$632="","",[3]Entry!$D$632)</f>
        <v/>
      </c>
      <c r="AG629">
        <f>IF([3]Entry!$E$632="","",[3]Entry!$E$632)</f>
        <v/>
      </c>
      <c r="AH629">
        <f>IF([3]Entry!$G$632="","",[3]Entry!$G$632)</f>
        <v/>
      </c>
      <c r="AI629">
        <f>IF([3]Entry!$K$632="","",[3]Entry!$K$632)</f>
        <v/>
      </c>
      <c r="AJ629">
        <f>IF([3]Entry!$L$632="","",[3]Entry!$L$632)</f>
        <v/>
      </c>
      <c r="AK629">
        <f>IF([3]Entry!$M$632="","",[3]Entry!$M$632)</f>
        <v/>
      </c>
      <c r="AL629">
        <f>IF([3]Entry!$N$632="","",[3]Entry!$N$632)</f>
        <v/>
      </c>
      <c r="AM629">
        <f>IF([3]Entry!$R$632="","",[3]Entry!$R$632)</f>
        <v/>
      </c>
    </row>
    <row r="630">
      <c r="T630">
        <f>IF([2]Baskol!$B$633="","",[2]Baskol!$B$633)</f>
        <v/>
      </c>
      <c r="U630">
        <f>IF([2]Baskol!$C$633="","",[2]Baskol!$C$633)</f>
        <v/>
      </c>
      <c r="V630">
        <f>IF([2]Baskol!$D$633="","",[2]Baskol!$D$633)</f>
        <v/>
      </c>
      <c r="W630">
        <f>IF([2]Baskol!$E$633="","",[2]Baskol!$E$633)</f>
        <v/>
      </c>
      <c r="X630">
        <f>IF([2]Baskol!$G$633="","",[2]Baskol!$G$633)</f>
        <v/>
      </c>
      <c r="Y630">
        <f>IF([2]Baskol!$I$633="","",[2]Baskol!$I$633)</f>
        <v/>
      </c>
      <c r="Z630">
        <f>IF([2]Baskol!$J$633="","",[2]Baskol!$J$633)</f>
        <v/>
      </c>
      <c r="AA630">
        <f>IF([2]Baskol!$K$633="","",[2]Baskol!$K$633)</f>
        <v/>
      </c>
      <c r="AB630">
        <f>IF([2]Baskol!$L$633="","",[2]Baskol!$L$633)</f>
        <v/>
      </c>
      <c r="AC630">
        <f>IF([2]Baskol!$N$633="","",[2]Baskol!$N$633)</f>
        <v/>
      </c>
      <c r="AD630">
        <f>IF([2]Baskol!$O$633="","",[2]Baskol!$O$633)</f>
        <v/>
      </c>
      <c r="AE630">
        <f>IF([3]Entry!$C$633="","",[3]Entry!$C$633)</f>
        <v/>
      </c>
      <c r="AF630">
        <f>IF([3]Entry!$D$633="","",[3]Entry!$D$633)</f>
        <v/>
      </c>
      <c r="AG630">
        <f>IF([3]Entry!$E$633="","",[3]Entry!$E$633)</f>
        <v/>
      </c>
      <c r="AH630">
        <f>IF([3]Entry!$G$633="","",[3]Entry!$G$633)</f>
        <v/>
      </c>
      <c r="AI630">
        <f>IF([3]Entry!$K$633="","",[3]Entry!$K$633)</f>
        <v/>
      </c>
      <c r="AJ630">
        <f>IF([3]Entry!$L$633="","",[3]Entry!$L$633)</f>
        <v/>
      </c>
      <c r="AK630">
        <f>IF([3]Entry!$M$633="","",[3]Entry!$M$633)</f>
        <v/>
      </c>
      <c r="AL630">
        <f>IF([3]Entry!$N$633="","",[3]Entry!$N$633)</f>
        <v/>
      </c>
      <c r="AM630">
        <f>IF([3]Entry!$R$633="","",[3]Entry!$R$633)</f>
        <v/>
      </c>
    </row>
    <row r="631">
      <c r="T631">
        <f>IF([2]Baskol!$B$634="","",[2]Baskol!$B$634)</f>
        <v/>
      </c>
      <c r="U631">
        <f>IF([2]Baskol!$C$634="","",[2]Baskol!$C$634)</f>
        <v/>
      </c>
      <c r="V631">
        <f>IF([2]Baskol!$D$634="","",[2]Baskol!$D$634)</f>
        <v/>
      </c>
      <c r="W631">
        <f>IF([2]Baskol!$E$634="","",[2]Baskol!$E$634)</f>
        <v/>
      </c>
      <c r="X631">
        <f>IF([2]Baskol!$G$634="","",[2]Baskol!$G$634)</f>
        <v/>
      </c>
      <c r="Y631">
        <f>IF([2]Baskol!$I$634="","",[2]Baskol!$I$634)</f>
        <v/>
      </c>
      <c r="Z631">
        <f>IF([2]Baskol!$J$634="","",[2]Baskol!$J$634)</f>
        <v/>
      </c>
      <c r="AA631">
        <f>IF([2]Baskol!$K$634="","",[2]Baskol!$K$634)</f>
        <v/>
      </c>
      <c r="AB631">
        <f>IF([2]Baskol!$L$634="","",[2]Baskol!$L$634)</f>
        <v/>
      </c>
      <c r="AC631">
        <f>IF([2]Baskol!$N$634="","",[2]Baskol!$N$634)</f>
        <v/>
      </c>
      <c r="AD631">
        <f>IF([2]Baskol!$O$634="","",[2]Baskol!$O$634)</f>
        <v/>
      </c>
      <c r="AE631">
        <f>IF([3]Entry!$C$634="","",[3]Entry!$C$634)</f>
        <v/>
      </c>
      <c r="AF631">
        <f>IF([3]Entry!$D$634="","",[3]Entry!$D$634)</f>
        <v/>
      </c>
      <c r="AG631">
        <f>IF([3]Entry!$E$634="","",[3]Entry!$E$634)</f>
        <v/>
      </c>
      <c r="AH631">
        <f>IF([3]Entry!$G$634="","",[3]Entry!$G$634)</f>
        <v/>
      </c>
      <c r="AI631">
        <f>IF([3]Entry!$K$634="","",[3]Entry!$K$634)</f>
        <v/>
      </c>
      <c r="AJ631">
        <f>IF([3]Entry!$L$634="","",[3]Entry!$L$634)</f>
        <v/>
      </c>
      <c r="AK631">
        <f>IF([3]Entry!$M$634="","",[3]Entry!$M$634)</f>
        <v/>
      </c>
      <c r="AL631">
        <f>IF([3]Entry!$N$634="","",[3]Entry!$N$634)</f>
        <v/>
      </c>
      <c r="AM631">
        <f>IF([3]Entry!$R$634="","",[3]Entry!$R$634)</f>
        <v/>
      </c>
    </row>
    <row r="632">
      <c r="T632">
        <f>IF([2]Baskol!$B$635="","",[2]Baskol!$B$635)</f>
        <v/>
      </c>
      <c r="U632">
        <f>IF([2]Baskol!$C$635="","",[2]Baskol!$C$635)</f>
        <v/>
      </c>
      <c r="V632">
        <f>IF([2]Baskol!$D$635="","",[2]Baskol!$D$635)</f>
        <v/>
      </c>
      <c r="W632">
        <f>IF([2]Baskol!$E$635="","",[2]Baskol!$E$635)</f>
        <v/>
      </c>
      <c r="X632">
        <f>IF([2]Baskol!$G$635="","",[2]Baskol!$G$635)</f>
        <v/>
      </c>
      <c r="Y632">
        <f>IF([2]Baskol!$I$635="","",[2]Baskol!$I$635)</f>
        <v/>
      </c>
      <c r="Z632">
        <f>IF([2]Baskol!$J$635="","",[2]Baskol!$J$635)</f>
        <v/>
      </c>
      <c r="AA632">
        <f>IF([2]Baskol!$K$635="","",[2]Baskol!$K$635)</f>
        <v/>
      </c>
      <c r="AB632">
        <f>IF([2]Baskol!$L$635="","",[2]Baskol!$L$635)</f>
        <v/>
      </c>
      <c r="AC632">
        <f>IF([2]Baskol!$N$635="","",[2]Baskol!$N$635)</f>
        <v/>
      </c>
      <c r="AD632">
        <f>IF([2]Baskol!$O$635="","",[2]Baskol!$O$635)</f>
        <v/>
      </c>
      <c r="AE632">
        <f>IF([3]Entry!$C$635="","",[3]Entry!$C$635)</f>
        <v/>
      </c>
      <c r="AF632">
        <f>IF([3]Entry!$D$635="","",[3]Entry!$D$635)</f>
        <v/>
      </c>
      <c r="AG632">
        <f>IF([3]Entry!$E$635="","",[3]Entry!$E$635)</f>
        <v/>
      </c>
      <c r="AH632">
        <f>IF([3]Entry!$G$635="","",[3]Entry!$G$635)</f>
        <v/>
      </c>
      <c r="AI632">
        <f>IF([3]Entry!$K$635="","",[3]Entry!$K$635)</f>
        <v/>
      </c>
      <c r="AJ632">
        <f>IF([3]Entry!$L$635="","",[3]Entry!$L$635)</f>
        <v/>
      </c>
      <c r="AK632">
        <f>IF([3]Entry!$M$635="","",[3]Entry!$M$635)</f>
        <v/>
      </c>
      <c r="AL632">
        <f>IF([3]Entry!$N$635="","",[3]Entry!$N$635)</f>
        <v/>
      </c>
      <c r="AM632">
        <f>IF([3]Entry!$R$635="","",[3]Entry!$R$635)</f>
        <v/>
      </c>
    </row>
    <row r="633">
      <c r="T633">
        <f>IF([2]Baskol!$B$636="","",[2]Baskol!$B$636)</f>
        <v/>
      </c>
      <c r="U633">
        <f>IF([2]Baskol!$C$636="","",[2]Baskol!$C$636)</f>
        <v/>
      </c>
      <c r="V633">
        <f>IF([2]Baskol!$D$636="","",[2]Baskol!$D$636)</f>
        <v/>
      </c>
      <c r="W633">
        <f>IF([2]Baskol!$E$636="","",[2]Baskol!$E$636)</f>
        <v/>
      </c>
      <c r="X633">
        <f>IF([2]Baskol!$G$636="","",[2]Baskol!$G$636)</f>
        <v/>
      </c>
      <c r="Y633">
        <f>IF([2]Baskol!$I$636="","",[2]Baskol!$I$636)</f>
        <v/>
      </c>
      <c r="Z633">
        <f>IF([2]Baskol!$J$636="","",[2]Baskol!$J$636)</f>
        <v/>
      </c>
      <c r="AA633">
        <f>IF([2]Baskol!$K$636="","",[2]Baskol!$K$636)</f>
        <v/>
      </c>
      <c r="AB633">
        <f>IF([2]Baskol!$L$636="","",[2]Baskol!$L$636)</f>
        <v/>
      </c>
      <c r="AC633">
        <f>IF([2]Baskol!$N$636="","",[2]Baskol!$N$636)</f>
        <v/>
      </c>
      <c r="AD633">
        <f>IF([2]Baskol!$O$636="","",[2]Baskol!$O$636)</f>
        <v/>
      </c>
      <c r="AE633">
        <f>IF([3]Entry!$C$636="","",[3]Entry!$C$636)</f>
        <v/>
      </c>
      <c r="AF633">
        <f>IF([3]Entry!$D$636="","",[3]Entry!$D$636)</f>
        <v/>
      </c>
      <c r="AG633">
        <f>IF([3]Entry!$E$636="","",[3]Entry!$E$636)</f>
        <v/>
      </c>
      <c r="AH633">
        <f>IF([3]Entry!$G$636="","",[3]Entry!$G$636)</f>
        <v/>
      </c>
      <c r="AI633">
        <f>IF([3]Entry!$K$636="","",[3]Entry!$K$636)</f>
        <v/>
      </c>
      <c r="AJ633">
        <f>IF([3]Entry!$L$636="","",[3]Entry!$L$636)</f>
        <v/>
      </c>
      <c r="AK633">
        <f>IF([3]Entry!$M$636="","",[3]Entry!$M$636)</f>
        <v/>
      </c>
      <c r="AL633">
        <f>IF([3]Entry!$N$636="","",[3]Entry!$N$636)</f>
        <v/>
      </c>
      <c r="AM633">
        <f>IF([3]Entry!$R$636="","",[3]Entry!$R$636)</f>
        <v/>
      </c>
    </row>
    <row r="634">
      <c r="T634">
        <f>IF([2]Baskol!$B$637="","",[2]Baskol!$B$637)</f>
        <v/>
      </c>
      <c r="U634">
        <f>IF([2]Baskol!$C$637="","",[2]Baskol!$C$637)</f>
        <v/>
      </c>
      <c r="V634">
        <f>IF([2]Baskol!$D$637="","",[2]Baskol!$D$637)</f>
        <v/>
      </c>
      <c r="W634">
        <f>IF([2]Baskol!$E$637="","",[2]Baskol!$E$637)</f>
        <v/>
      </c>
      <c r="X634">
        <f>IF([2]Baskol!$G$637="","",[2]Baskol!$G$637)</f>
        <v/>
      </c>
      <c r="Y634">
        <f>IF([2]Baskol!$I$637="","",[2]Baskol!$I$637)</f>
        <v/>
      </c>
      <c r="Z634">
        <f>IF([2]Baskol!$J$637="","",[2]Baskol!$J$637)</f>
        <v/>
      </c>
      <c r="AA634">
        <f>IF([2]Baskol!$K$637="","",[2]Baskol!$K$637)</f>
        <v/>
      </c>
      <c r="AB634">
        <f>IF([2]Baskol!$L$637="","",[2]Baskol!$L$637)</f>
        <v/>
      </c>
      <c r="AC634">
        <f>IF([2]Baskol!$N$637="","",[2]Baskol!$N$637)</f>
        <v/>
      </c>
      <c r="AD634">
        <f>IF([2]Baskol!$O$637="","",[2]Baskol!$O$637)</f>
        <v/>
      </c>
      <c r="AE634">
        <f>IF([3]Entry!$C$637="","",[3]Entry!$C$637)</f>
        <v/>
      </c>
      <c r="AF634">
        <f>IF([3]Entry!$D$637="","",[3]Entry!$D$637)</f>
        <v/>
      </c>
      <c r="AG634">
        <f>IF([3]Entry!$E$637="","",[3]Entry!$E$637)</f>
        <v/>
      </c>
      <c r="AH634">
        <f>IF([3]Entry!$G$637="","",[3]Entry!$G$637)</f>
        <v/>
      </c>
      <c r="AI634">
        <f>IF([3]Entry!$K$637="","",[3]Entry!$K$637)</f>
        <v/>
      </c>
      <c r="AJ634">
        <f>IF([3]Entry!$L$637="","",[3]Entry!$L$637)</f>
        <v/>
      </c>
      <c r="AK634">
        <f>IF([3]Entry!$M$637="","",[3]Entry!$M$637)</f>
        <v/>
      </c>
      <c r="AL634">
        <f>IF([3]Entry!$N$637="","",[3]Entry!$N$637)</f>
        <v/>
      </c>
      <c r="AM634">
        <f>IF([3]Entry!$R$637="","",[3]Entry!$R$637)</f>
        <v/>
      </c>
    </row>
    <row r="635">
      <c r="T635">
        <f>IF([2]Baskol!$B$638="","",[2]Baskol!$B$638)</f>
        <v/>
      </c>
      <c r="U635">
        <f>IF([2]Baskol!$C$638="","",[2]Baskol!$C$638)</f>
        <v/>
      </c>
      <c r="V635">
        <f>IF([2]Baskol!$D$638="","",[2]Baskol!$D$638)</f>
        <v/>
      </c>
      <c r="W635">
        <f>IF([2]Baskol!$E$638="","",[2]Baskol!$E$638)</f>
        <v/>
      </c>
      <c r="X635">
        <f>IF([2]Baskol!$G$638="","",[2]Baskol!$G$638)</f>
        <v/>
      </c>
      <c r="Y635">
        <f>IF([2]Baskol!$I$638="","",[2]Baskol!$I$638)</f>
        <v/>
      </c>
      <c r="Z635">
        <f>IF([2]Baskol!$J$638="","",[2]Baskol!$J$638)</f>
        <v/>
      </c>
      <c r="AA635">
        <f>IF([2]Baskol!$K$638="","",[2]Baskol!$K$638)</f>
        <v/>
      </c>
      <c r="AB635">
        <f>IF([2]Baskol!$L$638="","",[2]Baskol!$L$638)</f>
        <v/>
      </c>
      <c r="AC635">
        <f>IF([2]Baskol!$N$638="","",[2]Baskol!$N$638)</f>
        <v/>
      </c>
      <c r="AD635">
        <f>IF([2]Baskol!$O$638="","",[2]Baskol!$O$638)</f>
        <v/>
      </c>
      <c r="AE635">
        <f>IF([3]Entry!$C$638="","",[3]Entry!$C$638)</f>
        <v/>
      </c>
      <c r="AF635">
        <f>IF([3]Entry!$D$638="","",[3]Entry!$D$638)</f>
        <v/>
      </c>
      <c r="AG635">
        <f>IF([3]Entry!$E$638="","",[3]Entry!$E$638)</f>
        <v/>
      </c>
      <c r="AH635">
        <f>IF([3]Entry!$G$638="","",[3]Entry!$G$638)</f>
        <v/>
      </c>
      <c r="AI635">
        <f>IF([3]Entry!$K$638="","",[3]Entry!$K$638)</f>
        <v/>
      </c>
      <c r="AJ635">
        <f>IF([3]Entry!$L$638="","",[3]Entry!$L$638)</f>
        <v/>
      </c>
      <c r="AK635">
        <f>IF([3]Entry!$M$638="","",[3]Entry!$M$638)</f>
        <v/>
      </c>
      <c r="AL635">
        <f>IF([3]Entry!$N$638="","",[3]Entry!$N$638)</f>
        <v/>
      </c>
      <c r="AM635">
        <f>IF([3]Entry!$R$638="","",[3]Entry!$R$638)</f>
        <v/>
      </c>
    </row>
    <row r="636">
      <c r="T636">
        <f>IF([2]Baskol!$B$639="","",[2]Baskol!$B$639)</f>
        <v/>
      </c>
      <c r="U636">
        <f>IF([2]Baskol!$C$639="","",[2]Baskol!$C$639)</f>
        <v/>
      </c>
      <c r="V636">
        <f>IF([2]Baskol!$D$639="","",[2]Baskol!$D$639)</f>
        <v/>
      </c>
      <c r="W636">
        <f>IF([2]Baskol!$E$639="","",[2]Baskol!$E$639)</f>
        <v/>
      </c>
      <c r="X636">
        <f>IF([2]Baskol!$G$639="","",[2]Baskol!$G$639)</f>
        <v/>
      </c>
      <c r="Y636">
        <f>IF([2]Baskol!$I$639="","",[2]Baskol!$I$639)</f>
        <v/>
      </c>
      <c r="Z636">
        <f>IF([2]Baskol!$J$639="","",[2]Baskol!$J$639)</f>
        <v/>
      </c>
      <c r="AA636">
        <f>IF([2]Baskol!$K$639="","",[2]Baskol!$K$639)</f>
        <v/>
      </c>
      <c r="AB636">
        <f>IF([2]Baskol!$L$639="","",[2]Baskol!$L$639)</f>
        <v/>
      </c>
      <c r="AC636">
        <f>IF([2]Baskol!$N$639="","",[2]Baskol!$N$639)</f>
        <v/>
      </c>
      <c r="AD636">
        <f>IF([2]Baskol!$O$639="","",[2]Baskol!$O$639)</f>
        <v/>
      </c>
      <c r="AE636">
        <f>IF([3]Entry!$C$639="","",[3]Entry!$C$639)</f>
        <v/>
      </c>
      <c r="AF636">
        <f>IF([3]Entry!$D$639="","",[3]Entry!$D$639)</f>
        <v/>
      </c>
      <c r="AG636">
        <f>IF([3]Entry!$E$639="","",[3]Entry!$E$639)</f>
        <v/>
      </c>
      <c r="AH636">
        <f>IF([3]Entry!$G$639="","",[3]Entry!$G$639)</f>
        <v/>
      </c>
      <c r="AI636">
        <f>IF([3]Entry!$K$639="","",[3]Entry!$K$639)</f>
        <v/>
      </c>
      <c r="AJ636">
        <f>IF([3]Entry!$L$639="","",[3]Entry!$L$639)</f>
        <v/>
      </c>
      <c r="AK636">
        <f>IF([3]Entry!$M$639="","",[3]Entry!$M$639)</f>
        <v/>
      </c>
      <c r="AL636">
        <f>IF([3]Entry!$N$639="","",[3]Entry!$N$639)</f>
        <v/>
      </c>
      <c r="AM636">
        <f>IF([3]Entry!$R$639="","",[3]Entry!$R$639)</f>
        <v/>
      </c>
    </row>
    <row r="637">
      <c r="T637">
        <f>IF([2]Baskol!$B$640="","",[2]Baskol!$B$640)</f>
        <v/>
      </c>
      <c r="U637">
        <f>IF([2]Baskol!$C$640="","",[2]Baskol!$C$640)</f>
        <v/>
      </c>
      <c r="V637">
        <f>IF([2]Baskol!$D$640="","",[2]Baskol!$D$640)</f>
        <v/>
      </c>
      <c r="W637">
        <f>IF([2]Baskol!$E$640="","",[2]Baskol!$E$640)</f>
        <v/>
      </c>
      <c r="X637">
        <f>IF([2]Baskol!$G$640="","",[2]Baskol!$G$640)</f>
        <v/>
      </c>
      <c r="Y637">
        <f>IF([2]Baskol!$I$640="","",[2]Baskol!$I$640)</f>
        <v/>
      </c>
      <c r="Z637">
        <f>IF([2]Baskol!$J$640="","",[2]Baskol!$J$640)</f>
        <v/>
      </c>
      <c r="AA637">
        <f>IF([2]Baskol!$K$640="","",[2]Baskol!$K$640)</f>
        <v/>
      </c>
      <c r="AB637">
        <f>IF([2]Baskol!$L$640="","",[2]Baskol!$L$640)</f>
        <v/>
      </c>
      <c r="AC637">
        <f>IF([2]Baskol!$N$640="","",[2]Baskol!$N$640)</f>
        <v/>
      </c>
      <c r="AD637">
        <f>IF([2]Baskol!$O$640="","",[2]Baskol!$O$640)</f>
        <v/>
      </c>
      <c r="AE637">
        <f>IF([3]Entry!$C$640="","",[3]Entry!$C$640)</f>
        <v/>
      </c>
      <c r="AF637">
        <f>IF([3]Entry!$D$640="","",[3]Entry!$D$640)</f>
        <v/>
      </c>
      <c r="AG637">
        <f>IF([3]Entry!$E$640="","",[3]Entry!$E$640)</f>
        <v/>
      </c>
      <c r="AH637">
        <f>IF([3]Entry!$G$640="","",[3]Entry!$G$640)</f>
        <v/>
      </c>
      <c r="AI637">
        <f>IF([3]Entry!$K$640="","",[3]Entry!$K$640)</f>
        <v/>
      </c>
      <c r="AJ637">
        <f>IF([3]Entry!$L$640="","",[3]Entry!$L$640)</f>
        <v/>
      </c>
      <c r="AK637">
        <f>IF([3]Entry!$M$640="","",[3]Entry!$M$640)</f>
        <v/>
      </c>
      <c r="AL637">
        <f>IF([3]Entry!$N$640="","",[3]Entry!$N$640)</f>
        <v/>
      </c>
      <c r="AM637">
        <f>IF([3]Entry!$R$640="","",[3]Entry!$R$640)</f>
        <v/>
      </c>
    </row>
    <row r="638">
      <c r="T638">
        <f>IF([2]Baskol!$B$641="","",[2]Baskol!$B$641)</f>
        <v/>
      </c>
      <c r="U638">
        <f>IF([2]Baskol!$C$641="","",[2]Baskol!$C$641)</f>
        <v/>
      </c>
      <c r="V638">
        <f>IF([2]Baskol!$D$641="","",[2]Baskol!$D$641)</f>
        <v/>
      </c>
      <c r="W638">
        <f>IF([2]Baskol!$E$641="","",[2]Baskol!$E$641)</f>
        <v/>
      </c>
      <c r="X638">
        <f>IF([2]Baskol!$G$641="","",[2]Baskol!$G$641)</f>
        <v/>
      </c>
      <c r="Y638">
        <f>IF([2]Baskol!$I$641="","",[2]Baskol!$I$641)</f>
        <v/>
      </c>
      <c r="Z638">
        <f>IF([2]Baskol!$J$641="","",[2]Baskol!$J$641)</f>
        <v/>
      </c>
      <c r="AA638">
        <f>IF([2]Baskol!$K$641="","",[2]Baskol!$K$641)</f>
        <v/>
      </c>
      <c r="AB638">
        <f>IF([2]Baskol!$L$641="","",[2]Baskol!$L$641)</f>
        <v/>
      </c>
      <c r="AC638">
        <f>IF([2]Baskol!$N$641="","",[2]Baskol!$N$641)</f>
        <v/>
      </c>
      <c r="AD638">
        <f>IF([2]Baskol!$O$641="","",[2]Baskol!$O$641)</f>
        <v/>
      </c>
      <c r="AE638">
        <f>IF([3]Entry!$C$641="","",[3]Entry!$C$641)</f>
        <v/>
      </c>
      <c r="AF638">
        <f>IF([3]Entry!$D$641="","",[3]Entry!$D$641)</f>
        <v/>
      </c>
      <c r="AG638">
        <f>IF([3]Entry!$E$641="","",[3]Entry!$E$641)</f>
        <v/>
      </c>
      <c r="AH638">
        <f>IF([3]Entry!$G$641="","",[3]Entry!$G$641)</f>
        <v/>
      </c>
      <c r="AI638">
        <f>IF([3]Entry!$K$641="","",[3]Entry!$K$641)</f>
        <v/>
      </c>
      <c r="AJ638">
        <f>IF([3]Entry!$L$641="","",[3]Entry!$L$641)</f>
        <v/>
      </c>
      <c r="AK638">
        <f>IF([3]Entry!$M$641="","",[3]Entry!$M$641)</f>
        <v/>
      </c>
      <c r="AL638">
        <f>IF([3]Entry!$N$641="","",[3]Entry!$N$641)</f>
        <v/>
      </c>
      <c r="AM638">
        <f>IF([3]Entry!$R$641="","",[3]Entry!$R$641)</f>
        <v/>
      </c>
    </row>
    <row r="639">
      <c r="T639">
        <f>IF([2]Baskol!$B$642="","",[2]Baskol!$B$642)</f>
        <v/>
      </c>
      <c r="U639">
        <f>IF([2]Baskol!$C$642="","",[2]Baskol!$C$642)</f>
        <v/>
      </c>
      <c r="V639">
        <f>IF([2]Baskol!$D$642="","",[2]Baskol!$D$642)</f>
        <v/>
      </c>
      <c r="W639">
        <f>IF([2]Baskol!$E$642="","",[2]Baskol!$E$642)</f>
        <v/>
      </c>
      <c r="X639">
        <f>IF([2]Baskol!$G$642="","",[2]Baskol!$G$642)</f>
        <v/>
      </c>
      <c r="Y639">
        <f>IF([2]Baskol!$I$642="","",[2]Baskol!$I$642)</f>
        <v/>
      </c>
      <c r="Z639">
        <f>IF([2]Baskol!$J$642="","",[2]Baskol!$J$642)</f>
        <v/>
      </c>
      <c r="AA639">
        <f>IF([2]Baskol!$K$642="","",[2]Baskol!$K$642)</f>
        <v/>
      </c>
      <c r="AB639">
        <f>IF([2]Baskol!$L$642="","",[2]Baskol!$L$642)</f>
        <v/>
      </c>
      <c r="AC639">
        <f>IF([2]Baskol!$N$642="","",[2]Baskol!$N$642)</f>
        <v/>
      </c>
      <c r="AD639">
        <f>IF([2]Baskol!$O$642="","",[2]Baskol!$O$642)</f>
        <v/>
      </c>
      <c r="AE639">
        <f>IF([3]Entry!$C$642="","",[3]Entry!$C$642)</f>
        <v/>
      </c>
      <c r="AF639">
        <f>IF([3]Entry!$D$642="","",[3]Entry!$D$642)</f>
        <v/>
      </c>
      <c r="AG639">
        <f>IF([3]Entry!$E$642="","",[3]Entry!$E$642)</f>
        <v/>
      </c>
      <c r="AH639">
        <f>IF([3]Entry!$G$642="","",[3]Entry!$G$642)</f>
        <v/>
      </c>
      <c r="AI639">
        <f>IF([3]Entry!$K$642="","",[3]Entry!$K$642)</f>
        <v/>
      </c>
      <c r="AJ639">
        <f>IF([3]Entry!$L$642="","",[3]Entry!$L$642)</f>
        <v/>
      </c>
      <c r="AK639">
        <f>IF([3]Entry!$M$642="","",[3]Entry!$M$642)</f>
        <v/>
      </c>
      <c r="AL639">
        <f>IF([3]Entry!$N$642="","",[3]Entry!$N$642)</f>
        <v/>
      </c>
      <c r="AM639">
        <f>IF([3]Entry!$R$642="","",[3]Entry!$R$642)</f>
        <v/>
      </c>
    </row>
    <row r="640">
      <c r="T640">
        <f>IF([2]Baskol!$B$643="","",[2]Baskol!$B$643)</f>
        <v/>
      </c>
      <c r="U640">
        <f>IF([2]Baskol!$C$643="","",[2]Baskol!$C$643)</f>
        <v/>
      </c>
      <c r="V640">
        <f>IF([2]Baskol!$D$643="","",[2]Baskol!$D$643)</f>
        <v/>
      </c>
      <c r="W640">
        <f>IF([2]Baskol!$E$643="","",[2]Baskol!$E$643)</f>
        <v/>
      </c>
      <c r="X640">
        <f>IF([2]Baskol!$G$643="","",[2]Baskol!$G$643)</f>
        <v/>
      </c>
      <c r="Y640">
        <f>IF([2]Baskol!$I$643="","",[2]Baskol!$I$643)</f>
        <v/>
      </c>
      <c r="Z640">
        <f>IF([2]Baskol!$J$643="","",[2]Baskol!$J$643)</f>
        <v/>
      </c>
      <c r="AA640">
        <f>IF([2]Baskol!$K$643="","",[2]Baskol!$K$643)</f>
        <v/>
      </c>
      <c r="AB640">
        <f>IF([2]Baskol!$L$643="","",[2]Baskol!$L$643)</f>
        <v/>
      </c>
      <c r="AC640">
        <f>IF([2]Baskol!$N$643="","",[2]Baskol!$N$643)</f>
        <v/>
      </c>
      <c r="AD640">
        <f>IF([2]Baskol!$O$643="","",[2]Baskol!$O$643)</f>
        <v/>
      </c>
      <c r="AE640">
        <f>IF([3]Entry!$C$643="","",[3]Entry!$C$643)</f>
        <v/>
      </c>
      <c r="AF640">
        <f>IF([3]Entry!$D$643="","",[3]Entry!$D$643)</f>
        <v/>
      </c>
      <c r="AG640">
        <f>IF([3]Entry!$E$643="","",[3]Entry!$E$643)</f>
        <v/>
      </c>
      <c r="AH640">
        <f>IF([3]Entry!$G$643="","",[3]Entry!$G$643)</f>
        <v/>
      </c>
      <c r="AI640">
        <f>IF([3]Entry!$K$643="","",[3]Entry!$K$643)</f>
        <v/>
      </c>
      <c r="AJ640">
        <f>IF([3]Entry!$L$643="","",[3]Entry!$L$643)</f>
        <v/>
      </c>
      <c r="AK640">
        <f>IF([3]Entry!$M$643="","",[3]Entry!$M$643)</f>
        <v/>
      </c>
      <c r="AL640">
        <f>IF([3]Entry!$N$643="","",[3]Entry!$N$643)</f>
        <v/>
      </c>
      <c r="AM640">
        <f>IF([3]Entry!$R$643="","",[3]Entry!$R$643)</f>
        <v/>
      </c>
    </row>
    <row r="641">
      <c r="T641">
        <f>IF([2]Baskol!$B$644="","",[2]Baskol!$B$644)</f>
        <v/>
      </c>
      <c r="U641">
        <f>IF([2]Baskol!$C$644="","",[2]Baskol!$C$644)</f>
        <v/>
      </c>
      <c r="V641">
        <f>IF([2]Baskol!$D$644="","",[2]Baskol!$D$644)</f>
        <v/>
      </c>
      <c r="W641">
        <f>IF([2]Baskol!$E$644="","",[2]Baskol!$E$644)</f>
        <v/>
      </c>
      <c r="X641">
        <f>IF([2]Baskol!$G$644="","",[2]Baskol!$G$644)</f>
        <v/>
      </c>
      <c r="Y641">
        <f>IF([2]Baskol!$I$644="","",[2]Baskol!$I$644)</f>
        <v/>
      </c>
      <c r="Z641">
        <f>IF([2]Baskol!$J$644="","",[2]Baskol!$J$644)</f>
        <v/>
      </c>
      <c r="AA641">
        <f>IF([2]Baskol!$K$644="","",[2]Baskol!$K$644)</f>
        <v/>
      </c>
      <c r="AB641">
        <f>IF([2]Baskol!$L$644="","",[2]Baskol!$L$644)</f>
        <v/>
      </c>
      <c r="AC641">
        <f>IF([2]Baskol!$N$644="","",[2]Baskol!$N$644)</f>
        <v/>
      </c>
      <c r="AD641">
        <f>IF([2]Baskol!$O$644="","",[2]Baskol!$O$644)</f>
        <v/>
      </c>
      <c r="AE641">
        <f>IF([3]Entry!$C$644="","",[3]Entry!$C$644)</f>
        <v/>
      </c>
      <c r="AF641">
        <f>IF([3]Entry!$D$644="","",[3]Entry!$D$644)</f>
        <v/>
      </c>
      <c r="AG641">
        <f>IF([3]Entry!$E$644="","",[3]Entry!$E$644)</f>
        <v/>
      </c>
      <c r="AH641">
        <f>IF([3]Entry!$G$644="","",[3]Entry!$G$644)</f>
        <v/>
      </c>
      <c r="AI641">
        <f>IF([3]Entry!$K$644="","",[3]Entry!$K$644)</f>
        <v/>
      </c>
      <c r="AJ641">
        <f>IF([3]Entry!$L$644="","",[3]Entry!$L$644)</f>
        <v/>
      </c>
      <c r="AK641">
        <f>IF([3]Entry!$M$644="","",[3]Entry!$M$644)</f>
        <v/>
      </c>
      <c r="AL641">
        <f>IF([3]Entry!$N$644="","",[3]Entry!$N$644)</f>
        <v/>
      </c>
      <c r="AM641">
        <f>IF([3]Entry!$R$644="","",[3]Entry!$R$644)</f>
        <v/>
      </c>
    </row>
    <row r="642">
      <c r="T642">
        <f>IF([2]Baskol!$B$645="","",[2]Baskol!$B$645)</f>
        <v/>
      </c>
      <c r="U642">
        <f>IF([2]Baskol!$C$645="","",[2]Baskol!$C$645)</f>
        <v/>
      </c>
      <c r="V642">
        <f>IF([2]Baskol!$D$645="","",[2]Baskol!$D$645)</f>
        <v/>
      </c>
      <c r="W642">
        <f>IF([2]Baskol!$E$645="","",[2]Baskol!$E$645)</f>
        <v/>
      </c>
      <c r="X642">
        <f>IF([2]Baskol!$G$645="","",[2]Baskol!$G$645)</f>
        <v/>
      </c>
      <c r="Y642">
        <f>IF([2]Baskol!$I$645="","",[2]Baskol!$I$645)</f>
        <v/>
      </c>
      <c r="Z642">
        <f>IF([2]Baskol!$J$645="","",[2]Baskol!$J$645)</f>
        <v/>
      </c>
      <c r="AA642">
        <f>IF([2]Baskol!$K$645="","",[2]Baskol!$K$645)</f>
        <v/>
      </c>
      <c r="AB642">
        <f>IF([2]Baskol!$L$645="","",[2]Baskol!$L$645)</f>
        <v/>
      </c>
      <c r="AC642">
        <f>IF([2]Baskol!$N$645="","",[2]Baskol!$N$645)</f>
        <v/>
      </c>
      <c r="AD642">
        <f>IF([2]Baskol!$O$645="","",[2]Baskol!$O$645)</f>
        <v/>
      </c>
      <c r="AE642">
        <f>IF([3]Entry!$C$645="","",[3]Entry!$C$645)</f>
        <v/>
      </c>
      <c r="AF642">
        <f>IF([3]Entry!$D$645="","",[3]Entry!$D$645)</f>
        <v/>
      </c>
      <c r="AG642">
        <f>IF([3]Entry!$E$645="","",[3]Entry!$E$645)</f>
        <v/>
      </c>
      <c r="AH642">
        <f>IF([3]Entry!$G$645="","",[3]Entry!$G$645)</f>
        <v/>
      </c>
      <c r="AI642">
        <f>IF([3]Entry!$K$645="","",[3]Entry!$K$645)</f>
        <v/>
      </c>
      <c r="AJ642">
        <f>IF([3]Entry!$L$645="","",[3]Entry!$L$645)</f>
        <v/>
      </c>
      <c r="AK642">
        <f>IF([3]Entry!$M$645="","",[3]Entry!$M$645)</f>
        <v/>
      </c>
      <c r="AL642">
        <f>IF([3]Entry!$N$645="","",[3]Entry!$N$645)</f>
        <v/>
      </c>
      <c r="AM642">
        <f>IF([3]Entry!$R$645="","",[3]Entry!$R$645)</f>
        <v/>
      </c>
    </row>
    <row r="643">
      <c r="T643">
        <f>IF([2]Baskol!$B$646="","",[2]Baskol!$B$646)</f>
        <v/>
      </c>
      <c r="U643">
        <f>IF([2]Baskol!$C$646="","",[2]Baskol!$C$646)</f>
        <v/>
      </c>
      <c r="V643">
        <f>IF([2]Baskol!$D$646="","",[2]Baskol!$D$646)</f>
        <v/>
      </c>
      <c r="W643">
        <f>IF([2]Baskol!$E$646="","",[2]Baskol!$E$646)</f>
        <v/>
      </c>
      <c r="X643">
        <f>IF([2]Baskol!$G$646="","",[2]Baskol!$G$646)</f>
        <v/>
      </c>
      <c r="Y643">
        <f>IF([2]Baskol!$I$646="","",[2]Baskol!$I$646)</f>
        <v/>
      </c>
      <c r="Z643">
        <f>IF([2]Baskol!$J$646="","",[2]Baskol!$J$646)</f>
        <v/>
      </c>
      <c r="AA643">
        <f>IF([2]Baskol!$K$646="","",[2]Baskol!$K$646)</f>
        <v/>
      </c>
      <c r="AB643">
        <f>IF([2]Baskol!$L$646="","",[2]Baskol!$L$646)</f>
        <v/>
      </c>
      <c r="AC643">
        <f>IF([2]Baskol!$N$646="","",[2]Baskol!$N$646)</f>
        <v/>
      </c>
      <c r="AD643">
        <f>IF([2]Baskol!$O$646="","",[2]Baskol!$O$646)</f>
        <v/>
      </c>
      <c r="AE643">
        <f>IF([3]Entry!$C$646="","",[3]Entry!$C$646)</f>
        <v/>
      </c>
      <c r="AF643">
        <f>IF([3]Entry!$D$646="","",[3]Entry!$D$646)</f>
        <v/>
      </c>
      <c r="AG643">
        <f>IF([3]Entry!$E$646="","",[3]Entry!$E$646)</f>
        <v/>
      </c>
      <c r="AH643">
        <f>IF([3]Entry!$G$646="","",[3]Entry!$G$646)</f>
        <v/>
      </c>
      <c r="AI643">
        <f>IF([3]Entry!$K$646="","",[3]Entry!$K$646)</f>
        <v/>
      </c>
      <c r="AJ643">
        <f>IF([3]Entry!$L$646="","",[3]Entry!$L$646)</f>
        <v/>
      </c>
      <c r="AK643">
        <f>IF([3]Entry!$M$646="","",[3]Entry!$M$646)</f>
        <v/>
      </c>
      <c r="AL643">
        <f>IF([3]Entry!$N$646="","",[3]Entry!$N$646)</f>
        <v/>
      </c>
      <c r="AM643">
        <f>IF([3]Entry!$R$646="","",[3]Entry!$R$646)</f>
        <v/>
      </c>
    </row>
    <row r="644">
      <c r="T644">
        <f>IF([2]Baskol!$B$647="","",[2]Baskol!$B$647)</f>
        <v/>
      </c>
      <c r="U644">
        <f>IF([2]Baskol!$C$647="","",[2]Baskol!$C$647)</f>
        <v/>
      </c>
      <c r="V644">
        <f>IF([2]Baskol!$D$647="","",[2]Baskol!$D$647)</f>
        <v/>
      </c>
      <c r="W644">
        <f>IF([2]Baskol!$E$647="","",[2]Baskol!$E$647)</f>
        <v/>
      </c>
      <c r="X644">
        <f>IF([2]Baskol!$G$647="","",[2]Baskol!$G$647)</f>
        <v/>
      </c>
      <c r="Y644">
        <f>IF([2]Baskol!$I$647="","",[2]Baskol!$I$647)</f>
        <v/>
      </c>
      <c r="Z644">
        <f>IF([2]Baskol!$J$647="","",[2]Baskol!$J$647)</f>
        <v/>
      </c>
      <c r="AA644">
        <f>IF([2]Baskol!$K$647="","",[2]Baskol!$K$647)</f>
        <v/>
      </c>
      <c r="AB644">
        <f>IF([2]Baskol!$L$647="","",[2]Baskol!$L$647)</f>
        <v/>
      </c>
      <c r="AC644">
        <f>IF([2]Baskol!$N$647="","",[2]Baskol!$N$647)</f>
        <v/>
      </c>
      <c r="AD644">
        <f>IF([2]Baskol!$O$647="","",[2]Baskol!$O$647)</f>
        <v/>
      </c>
      <c r="AE644">
        <f>IF([3]Entry!$C$647="","",[3]Entry!$C$647)</f>
        <v/>
      </c>
      <c r="AF644">
        <f>IF([3]Entry!$D$647="","",[3]Entry!$D$647)</f>
        <v/>
      </c>
      <c r="AG644">
        <f>IF([3]Entry!$E$647="","",[3]Entry!$E$647)</f>
        <v/>
      </c>
      <c r="AH644">
        <f>IF([3]Entry!$G$647="","",[3]Entry!$G$647)</f>
        <v/>
      </c>
      <c r="AI644">
        <f>IF([3]Entry!$K$647="","",[3]Entry!$K$647)</f>
        <v/>
      </c>
      <c r="AJ644">
        <f>IF([3]Entry!$L$647="","",[3]Entry!$L$647)</f>
        <v/>
      </c>
      <c r="AK644">
        <f>IF([3]Entry!$M$647="","",[3]Entry!$M$647)</f>
        <v/>
      </c>
      <c r="AL644">
        <f>IF([3]Entry!$N$647="","",[3]Entry!$N$647)</f>
        <v/>
      </c>
      <c r="AM644">
        <f>IF([3]Entry!$R$647="","",[3]Entry!$R$647)</f>
        <v/>
      </c>
    </row>
    <row r="645">
      <c r="T645">
        <f>IF([2]Baskol!$B$648="","",[2]Baskol!$B$648)</f>
        <v/>
      </c>
      <c r="U645">
        <f>IF([2]Baskol!$C$648="","",[2]Baskol!$C$648)</f>
        <v/>
      </c>
      <c r="V645">
        <f>IF([2]Baskol!$D$648="","",[2]Baskol!$D$648)</f>
        <v/>
      </c>
      <c r="W645">
        <f>IF([2]Baskol!$E$648="","",[2]Baskol!$E$648)</f>
        <v/>
      </c>
      <c r="X645">
        <f>IF([2]Baskol!$G$648="","",[2]Baskol!$G$648)</f>
        <v/>
      </c>
      <c r="Y645">
        <f>IF([2]Baskol!$I$648="","",[2]Baskol!$I$648)</f>
        <v/>
      </c>
      <c r="Z645">
        <f>IF([2]Baskol!$J$648="","",[2]Baskol!$J$648)</f>
        <v/>
      </c>
      <c r="AA645">
        <f>IF([2]Baskol!$K$648="","",[2]Baskol!$K$648)</f>
        <v/>
      </c>
      <c r="AB645">
        <f>IF([2]Baskol!$L$648="","",[2]Baskol!$L$648)</f>
        <v/>
      </c>
      <c r="AC645">
        <f>IF([2]Baskol!$N$648="","",[2]Baskol!$N$648)</f>
        <v/>
      </c>
      <c r="AD645">
        <f>IF([2]Baskol!$O$648="","",[2]Baskol!$O$648)</f>
        <v/>
      </c>
      <c r="AE645">
        <f>IF([3]Entry!$C$648="","",[3]Entry!$C$648)</f>
        <v/>
      </c>
      <c r="AF645">
        <f>IF([3]Entry!$D$648="","",[3]Entry!$D$648)</f>
        <v/>
      </c>
      <c r="AG645">
        <f>IF([3]Entry!$E$648="","",[3]Entry!$E$648)</f>
        <v/>
      </c>
      <c r="AH645">
        <f>IF([3]Entry!$G$648="","",[3]Entry!$G$648)</f>
        <v/>
      </c>
      <c r="AI645">
        <f>IF([3]Entry!$K$648="","",[3]Entry!$K$648)</f>
        <v/>
      </c>
      <c r="AJ645">
        <f>IF([3]Entry!$L$648="","",[3]Entry!$L$648)</f>
        <v/>
      </c>
      <c r="AK645">
        <f>IF([3]Entry!$M$648="","",[3]Entry!$M$648)</f>
        <v/>
      </c>
      <c r="AL645">
        <f>IF([3]Entry!$N$648="","",[3]Entry!$N$648)</f>
        <v/>
      </c>
      <c r="AM645">
        <f>IF([3]Entry!$R$648="","",[3]Entry!$R$648)</f>
        <v/>
      </c>
    </row>
    <row r="646">
      <c r="T646">
        <f>IF([2]Baskol!$B$649="","",[2]Baskol!$B$649)</f>
        <v/>
      </c>
      <c r="U646">
        <f>IF([2]Baskol!$C$649="","",[2]Baskol!$C$649)</f>
        <v/>
      </c>
      <c r="V646">
        <f>IF([2]Baskol!$D$649="","",[2]Baskol!$D$649)</f>
        <v/>
      </c>
      <c r="W646">
        <f>IF([2]Baskol!$E$649="","",[2]Baskol!$E$649)</f>
        <v/>
      </c>
      <c r="X646">
        <f>IF([2]Baskol!$G$649="","",[2]Baskol!$G$649)</f>
        <v/>
      </c>
      <c r="Y646">
        <f>IF([2]Baskol!$I$649="","",[2]Baskol!$I$649)</f>
        <v/>
      </c>
      <c r="Z646">
        <f>IF([2]Baskol!$J$649="","",[2]Baskol!$J$649)</f>
        <v/>
      </c>
      <c r="AA646">
        <f>IF([2]Baskol!$K$649="","",[2]Baskol!$K$649)</f>
        <v/>
      </c>
      <c r="AB646">
        <f>IF([2]Baskol!$L$649="","",[2]Baskol!$L$649)</f>
        <v/>
      </c>
      <c r="AC646">
        <f>IF([2]Baskol!$N$649="","",[2]Baskol!$N$649)</f>
        <v/>
      </c>
      <c r="AD646">
        <f>IF([2]Baskol!$O$649="","",[2]Baskol!$O$649)</f>
        <v/>
      </c>
      <c r="AE646">
        <f>IF([3]Entry!$C$649="","",[3]Entry!$C$649)</f>
        <v/>
      </c>
      <c r="AF646">
        <f>IF([3]Entry!$D$649="","",[3]Entry!$D$649)</f>
        <v/>
      </c>
      <c r="AG646">
        <f>IF([3]Entry!$E$649="","",[3]Entry!$E$649)</f>
        <v/>
      </c>
      <c r="AH646">
        <f>IF([3]Entry!$G$649="","",[3]Entry!$G$649)</f>
        <v/>
      </c>
      <c r="AI646">
        <f>IF([3]Entry!$K$649="","",[3]Entry!$K$649)</f>
        <v/>
      </c>
      <c r="AJ646">
        <f>IF([3]Entry!$L$649="","",[3]Entry!$L$649)</f>
        <v/>
      </c>
      <c r="AK646">
        <f>IF([3]Entry!$M$649="","",[3]Entry!$M$649)</f>
        <v/>
      </c>
      <c r="AL646">
        <f>IF([3]Entry!$N$649="","",[3]Entry!$N$649)</f>
        <v/>
      </c>
      <c r="AM646">
        <f>IF([3]Entry!$R$649="","",[3]Entry!$R$649)</f>
        <v/>
      </c>
    </row>
    <row r="647">
      <c r="T647">
        <f>IF([2]Baskol!$B$650="","",[2]Baskol!$B$650)</f>
        <v/>
      </c>
      <c r="U647">
        <f>IF([2]Baskol!$C$650="","",[2]Baskol!$C$650)</f>
        <v/>
      </c>
      <c r="V647">
        <f>IF([2]Baskol!$D$650="","",[2]Baskol!$D$650)</f>
        <v/>
      </c>
      <c r="W647">
        <f>IF([2]Baskol!$E$650="","",[2]Baskol!$E$650)</f>
        <v/>
      </c>
      <c r="X647">
        <f>IF([2]Baskol!$G$650="","",[2]Baskol!$G$650)</f>
        <v/>
      </c>
      <c r="Y647">
        <f>IF([2]Baskol!$I$650="","",[2]Baskol!$I$650)</f>
        <v/>
      </c>
      <c r="Z647">
        <f>IF([2]Baskol!$J$650="","",[2]Baskol!$J$650)</f>
        <v/>
      </c>
      <c r="AA647">
        <f>IF([2]Baskol!$K$650="","",[2]Baskol!$K$650)</f>
        <v/>
      </c>
      <c r="AB647">
        <f>IF([2]Baskol!$L$650="","",[2]Baskol!$L$650)</f>
        <v/>
      </c>
      <c r="AC647">
        <f>IF([2]Baskol!$N$650="","",[2]Baskol!$N$650)</f>
        <v/>
      </c>
      <c r="AD647">
        <f>IF([2]Baskol!$O$650="","",[2]Baskol!$O$650)</f>
        <v/>
      </c>
      <c r="AE647">
        <f>IF([3]Entry!$C$650="","",[3]Entry!$C$650)</f>
        <v/>
      </c>
      <c r="AF647">
        <f>IF([3]Entry!$D$650="","",[3]Entry!$D$650)</f>
        <v/>
      </c>
      <c r="AG647">
        <f>IF([3]Entry!$E$650="","",[3]Entry!$E$650)</f>
        <v/>
      </c>
      <c r="AH647">
        <f>IF([3]Entry!$G$650="","",[3]Entry!$G$650)</f>
        <v/>
      </c>
      <c r="AI647">
        <f>IF([3]Entry!$K$650="","",[3]Entry!$K$650)</f>
        <v/>
      </c>
      <c r="AJ647">
        <f>IF([3]Entry!$L$650="","",[3]Entry!$L$650)</f>
        <v/>
      </c>
      <c r="AK647">
        <f>IF([3]Entry!$M$650="","",[3]Entry!$M$650)</f>
        <v/>
      </c>
      <c r="AL647">
        <f>IF([3]Entry!$N$650="","",[3]Entry!$N$650)</f>
        <v/>
      </c>
      <c r="AM647">
        <f>IF([3]Entry!$R$650="","",[3]Entry!$R$650)</f>
        <v/>
      </c>
    </row>
    <row r="648">
      <c r="T648">
        <f>IF([2]Baskol!$B$651="","",[2]Baskol!$B$651)</f>
        <v/>
      </c>
      <c r="U648">
        <f>IF([2]Baskol!$C$651="","",[2]Baskol!$C$651)</f>
        <v/>
      </c>
      <c r="V648">
        <f>IF([2]Baskol!$D$651="","",[2]Baskol!$D$651)</f>
        <v/>
      </c>
      <c r="W648">
        <f>IF([2]Baskol!$E$651="","",[2]Baskol!$E$651)</f>
        <v/>
      </c>
      <c r="X648">
        <f>IF([2]Baskol!$G$651="","",[2]Baskol!$G$651)</f>
        <v/>
      </c>
      <c r="Y648">
        <f>IF([2]Baskol!$I$651="","",[2]Baskol!$I$651)</f>
        <v/>
      </c>
      <c r="Z648">
        <f>IF([2]Baskol!$J$651="","",[2]Baskol!$J$651)</f>
        <v/>
      </c>
      <c r="AA648">
        <f>IF([2]Baskol!$K$651="","",[2]Baskol!$K$651)</f>
        <v/>
      </c>
      <c r="AB648">
        <f>IF([2]Baskol!$L$651="","",[2]Baskol!$L$651)</f>
        <v/>
      </c>
      <c r="AC648">
        <f>IF([2]Baskol!$N$651="","",[2]Baskol!$N$651)</f>
        <v/>
      </c>
      <c r="AD648">
        <f>IF([2]Baskol!$O$651="","",[2]Baskol!$O$651)</f>
        <v/>
      </c>
      <c r="AE648">
        <f>IF([3]Entry!$C$651="","",[3]Entry!$C$651)</f>
        <v/>
      </c>
      <c r="AF648">
        <f>IF([3]Entry!$D$651="","",[3]Entry!$D$651)</f>
        <v/>
      </c>
      <c r="AG648">
        <f>IF([3]Entry!$E$651="","",[3]Entry!$E$651)</f>
        <v/>
      </c>
      <c r="AH648">
        <f>IF([3]Entry!$G$651="","",[3]Entry!$G$651)</f>
        <v/>
      </c>
      <c r="AI648">
        <f>IF([3]Entry!$K$651="","",[3]Entry!$K$651)</f>
        <v/>
      </c>
      <c r="AJ648">
        <f>IF([3]Entry!$L$651="","",[3]Entry!$L$651)</f>
        <v/>
      </c>
      <c r="AK648">
        <f>IF([3]Entry!$M$651="","",[3]Entry!$M$651)</f>
        <v/>
      </c>
      <c r="AL648">
        <f>IF([3]Entry!$N$651="","",[3]Entry!$N$651)</f>
        <v/>
      </c>
      <c r="AM648">
        <f>IF([3]Entry!$R$651="","",[3]Entry!$R$651)</f>
        <v/>
      </c>
    </row>
    <row r="649">
      <c r="T649">
        <f>IF([2]Baskol!$B$652="","",[2]Baskol!$B$652)</f>
        <v/>
      </c>
      <c r="U649">
        <f>IF([2]Baskol!$C$652="","",[2]Baskol!$C$652)</f>
        <v/>
      </c>
      <c r="V649">
        <f>IF([2]Baskol!$D$652="","",[2]Baskol!$D$652)</f>
        <v/>
      </c>
      <c r="W649">
        <f>IF([2]Baskol!$E$652="","",[2]Baskol!$E$652)</f>
        <v/>
      </c>
      <c r="X649">
        <f>IF([2]Baskol!$G$652="","",[2]Baskol!$G$652)</f>
        <v/>
      </c>
      <c r="Y649">
        <f>IF([2]Baskol!$I$652="","",[2]Baskol!$I$652)</f>
        <v/>
      </c>
      <c r="Z649">
        <f>IF([2]Baskol!$J$652="","",[2]Baskol!$J$652)</f>
        <v/>
      </c>
      <c r="AA649">
        <f>IF([2]Baskol!$K$652="","",[2]Baskol!$K$652)</f>
        <v/>
      </c>
      <c r="AB649">
        <f>IF([2]Baskol!$L$652="","",[2]Baskol!$L$652)</f>
        <v/>
      </c>
      <c r="AC649">
        <f>IF([2]Baskol!$N$652="","",[2]Baskol!$N$652)</f>
        <v/>
      </c>
      <c r="AD649">
        <f>IF([2]Baskol!$O$652="","",[2]Baskol!$O$652)</f>
        <v/>
      </c>
      <c r="AE649">
        <f>IF([3]Entry!$C$652="","",[3]Entry!$C$652)</f>
        <v/>
      </c>
      <c r="AF649">
        <f>IF([3]Entry!$D$652="","",[3]Entry!$D$652)</f>
        <v/>
      </c>
      <c r="AG649">
        <f>IF([3]Entry!$E$652="","",[3]Entry!$E$652)</f>
        <v/>
      </c>
      <c r="AH649">
        <f>IF([3]Entry!$G$652="","",[3]Entry!$G$652)</f>
        <v/>
      </c>
      <c r="AI649">
        <f>IF([3]Entry!$K$652="","",[3]Entry!$K$652)</f>
        <v/>
      </c>
      <c r="AJ649">
        <f>IF([3]Entry!$L$652="","",[3]Entry!$L$652)</f>
        <v/>
      </c>
      <c r="AK649">
        <f>IF([3]Entry!$M$652="","",[3]Entry!$M$652)</f>
        <v/>
      </c>
      <c r="AL649">
        <f>IF([3]Entry!$N$652="","",[3]Entry!$N$652)</f>
        <v/>
      </c>
      <c r="AM649">
        <f>IF([3]Entry!$R$652="","",[3]Entry!$R$652)</f>
        <v/>
      </c>
    </row>
    <row r="650">
      <c r="T650">
        <f>IF([2]Baskol!$B$653="","",[2]Baskol!$B$653)</f>
        <v/>
      </c>
      <c r="U650">
        <f>IF([2]Baskol!$C$653="","",[2]Baskol!$C$653)</f>
        <v/>
      </c>
      <c r="V650">
        <f>IF([2]Baskol!$D$653="","",[2]Baskol!$D$653)</f>
        <v/>
      </c>
      <c r="W650">
        <f>IF([2]Baskol!$E$653="","",[2]Baskol!$E$653)</f>
        <v/>
      </c>
      <c r="X650">
        <f>IF([2]Baskol!$G$653="","",[2]Baskol!$G$653)</f>
        <v/>
      </c>
      <c r="Y650">
        <f>IF([2]Baskol!$I$653="","",[2]Baskol!$I$653)</f>
        <v/>
      </c>
      <c r="Z650">
        <f>IF([2]Baskol!$J$653="","",[2]Baskol!$J$653)</f>
        <v/>
      </c>
      <c r="AA650">
        <f>IF([2]Baskol!$K$653="","",[2]Baskol!$K$653)</f>
        <v/>
      </c>
      <c r="AB650">
        <f>IF([2]Baskol!$L$653="","",[2]Baskol!$L$653)</f>
        <v/>
      </c>
      <c r="AC650">
        <f>IF([2]Baskol!$N$653="","",[2]Baskol!$N$653)</f>
        <v/>
      </c>
      <c r="AD650">
        <f>IF([2]Baskol!$O$653="","",[2]Baskol!$O$653)</f>
        <v/>
      </c>
      <c r="AE650">
        <f>IF([3]Entry!$C$653="","",[3]Entry!$C$653)</f>
        <v/>
      </c>
      <c r="AF650">
        <f>IF([3]Entry!$D$653="","",[3]Entry!$D$653)</f>
        <v/>
      </c>
      <c r="AG650">
        <f>IF([3]Entry!$E$653="","",[3]Entry!$E$653)</f>
        <v/>
      </c>
      <c r="AH650">
        <f>IF([3]Entry!$G$653="","",[3]Entry!$G$653)</f>
        <v/>
      </c>
      <c r="AI650">
        <f>IF([3]Entry!$K$653="","",[3]Entry!$K$653)</f>
        <v/>
      </c>
      <c r="AJ650">
        <f>IF([3]Entry!$L$653="","",[3]Entry!$L$653)</f>
        <v/>
      </c>
      <c r="AK650">
        <f>IF([3]Entry!$M$653="","",[3]Entry!$M$653)</f>
        <v/>
      </c>
      <c r="AL650">
        <f>IF([3]Entry!$N$653="","",[3]Entry!$N$653)</f>
        <v/>
      </c>
      <c r="AM650">
        <f>IF([3]Entry!$R$653="","",[3]Entry!$R$653)</f>
        <v/>
      </c>
    </row>
    <row r="651">
      <c r="T651">
        <f>IF([2]Baskol!$B$654="","",[2]Baskol!$B$654)</f>
        <v/>
      </c>
      <c r="U651">
        <f>IF([2]Baskol!$C$654="","",[2]Baskol!$C$654)</f>
        <v/>
      </c>
      <c r="V651">
        <f>IF([2]Baskol!$D$654="","",[2]Baskol!$D$654)</f>
        <v/>
      </c>
      <c r="W651">
        <f>IF([2]Baskol!$E$654="","",[2]Baskol!$E$654)</f>
        <v/>
      </c>
      <c r="X651">
        <f>IF([2]Baskol!$G$654="","",[2]Baskol!$G$654)</f>
        <v/>
      </c>
      <c r="Y651">
        <f>IF([2]Baskol!$I$654="","",[2]Baskol!$I$654)</f>
        <v/>
      </c>
      <c r="Z651">
        <f>IF([2]Baskol!$J$654="","",[2]Baskol!$J$654)</f>
        <v/>
      </c>
      <c r="AA651">
        <f>IF([2]Baskol!$K$654="","",[2]Baskol!$K$654)</f>
        <v/>
      </c>
      <c r="AB651">
        <f>IF([2]Baskol!$L$654="","",[2]Baskol!$L$654)</f>
        <v/>
      </c>
      <c r="AC651">
        <f>IF([2]Baskol!$N$654="","",[2]Baskol!$N$654)</f>
        <v/>
      </c>
      <c r="AD651">
        <f>IF([2]Baskol!$O$654="","",[2]Baskol!$O$654)</f>
        <v/>
      </c>
      <c r="AE651">
        <f>IF([3]Entry!$C$654="","",[3]Entry!$C$654)</f>
        <v/>
      </c>
      <c r="AF651">
        <f>IF([3]Entry!$D$654="","",[3]Entry!$D$654)</f>
        <v/>
      </c>
      <c r="AG651">
        <f>IF([3]Entry!$E$654="","",[3]Entry!$E$654)</f>
        <v/>
      </c>
      <c r="AH651">
        <f>IF([3]Entry!$G$654="","",[3]Entry!$G$654)</f>
        <v/>
      </c>
      <c r="AI651">
        <f>IF([3]Entry!$K$654="","",[3]Entry!$K$654)</f>
        <v/>
      </c>
      <c r="AJ651">
        <f>IF([3]Entry!$L$654="","",[3]Entry!$L$654)</f>
        <v/>
      </c>
      <c r="AK651">
        <f>IF([3]Entry!$M$654="","",[3]Entry!$M$654)</f>
        <v/>
      </c>
      <c r="AL651">
        <f>IF([3]Entry!$N$654="","",[3]Entry!$N$654)</f>
        <v/>
      </c>
      <c r="AM651">
        <f>IF([3]Entry!$R$654="","",[3]Entry!$R$654)</f>
        <v/>
      </c>
    </row>
    <row r="652">
      <c r="T652">
        <f>IF([2]Baskol!$B$655="","",[2]Baskol!$B$655)</f>
        <v/>
      </c>
      <c r="U652">
        <f>IF([2]Baskol!$C$655="","",[2]Baskol!$C$655)</f>
        <v/>
      </c>
      <c r="V652">
        <f>IF([2]Baskol!$D$655="","",[2]Baskol!$D$655)</f>
        <v/>
      </c>
      <c r="W652">
        <f>IF([2]Baskol!$E$655="","",[2]Baskol!$E$655)</f>
        <v/>
      </c>
      <c r="X652">
        <f>IF([2]Baskol!$G$655="","",[2]Baskol!$G$655)</f>
        <v/>
      </c>
      <c r="Y652">
        <f>IF([2]Baskol!$I$655="","",[2]Baskol!$I$655)</f>
        <v/>
      </c>
      <c r="Z652">
        <f>IF([2]Baskol!$J$655="","",[2]Baskol!$J$655)</f>
        <v/>
      </c>
      <c r="AA652">
        <f>IF([2]Baskol!$K$655="","",[2]Baskol!$K$655)</f>
        <v/>
      </c>
      <c r="AB652">
        <f>IF([2]Baskol!$L$655="","",[2]Baskol!$L$655)</f>
        <v/>
      </c>
      <c r="AC652">
        <f>IF([2]Baskol!$N$655="","",[2]Baskol!$N$655)</f>
        <v/>
      </c>
      <c r="AD652">
        <f>IF([2]Baskol!$O$655="","",[2]Baskol!$O$655)</f>
        <v/>
      </c>
      <c r="AE652">
        <f>IF([3]Entry!$C$655="","",[3]Entry!$C$655)</f>
        <v/>
      </c>
      <c r="AF652">
        <f>IF([3]Entry!$D$655="","",[3]Entry!$D$655)</f>
        <v/>
      </c>
      <c r="AG652">
        <f>IF([3]Entry!$E$655="","",[3]Entry!$E$655)</f>
        <v/>
      </c>
      <c r="AH652">
        <f>IF([3]Entry!$G$655="","",[3]Entry!$G$655)</f>
        <v/>
      </c>
      <c r="AI652">
        <f>IF([3]Entry!$K$655="","",[3]Entry!$K$655)</f>
        <v/>
      </c>
      <c r="AJ652">
        <f>IF([3]Entry!$L$655="","",[3]Entry!$L$655)</f>
        <v/>
      </c>
      <c r="AK652">
        <f>IF([3]Entry!$M$655="","",[3]Entry!$M$655)</f>
        <v/>
      </c>
      <c r="AL652">
        <f>IF([3]Entry!$N$655="","",[3]Entry!$N$655)</f>
        <v/>
      </c>
      <c r="AM652">
        <f>IF([3]Entry!$R$655="","",[3]Entry!$R$655)</f>
        <v/>
      </c>
    </row>
    <row r="653">
      <c r="T653">
        <f>IF([2]Baskol!$B$656="","",[2]Baskol!$B$656)</f>
        <v/>
      </c>
      <c r="U653">
        <f>IF([2]Baskol!$C$656="","",[2]Baskol!$C$656)</f>
        <v/>
      </c>
      <c r="V653">
        <f>IF([2]Baskol!$D$656="","",[2]Baskol!$D$656)</f>
        <v/>
      </c>
      <c r="W653">
        <f>IF([2]Baskol!$E$656="","",[2]Baskol!$E$656)</f>
        <v/>
      </c>
      <c r="X653">
        <f>IF([2]Baskol!$G$656="","",[2]Baskol!$G$656)</f>
        <v/>
      </c>
      <c r="Y653">
        <f>IF([2]Baskol!$I$656="","",[2]Baskol!$I$656)</f>
        <v/>
      </c>
      <c r="Z653">
        <f>IF([2]Baskol!$J$656="","",[2]Baskol!$J$656)</f>
        <v/>
      </c>
      <c r="AA653">
        <f>IF([2]Baskol!$K$656="","",[2]Baskol!$K$656)</f>
        <v/>
      </c>
      <c r="AB653">
        <f>IF([2]Baskol!$L$656="","",[2]Baskol!$L$656)</f>
        <v/>
      </c>
      <c r="AC653">
        <f>IF([2]Baskol!$N$656="","",[2]Baskol!$N$656)</f>
        <v/>
      </c>
      <c r="AD653">
        <f>IF([2]Baskol!$O$656="","",[2]Baskol!$O$656)</f>
        <v/>
      </c>
      <c r="AE653">
        <f>IF([3]Entry!$C$656="","",[3]Entry!$C$656)</f>
        <v/>
      </c>
      <c r="AF653">
        <f>IF([3]Entry!$D$656="","",[3]Entry!$D$656)</f>
        <v/>
      </c>
      <c r="AG653">
        <f>IF([3]Entry!$E$656="","",[3]Entry!$E$656)</f>
        <v/>
      </c>
      <c r="AH653">
        <f>IF([3]Entry!$G$656="","",[3]Entry!$G$656)</f>
        <v/>
      </c>
      <c r="AI653">
        <f>IF([3]Entry!$K$656="","",[3]Entry!$K$656)</f>
        <v/>
      </c>
      <c r="AJ653">
        <f>IF([3]Entry!$L$656="","",[3]Entry!$L$656)</f>
        <v/>
      </c>
      <c r="AK653">
        <f>IF([3]Entry!$M$656="","",[3]Entry!$M$656)</f>
        <v/>
      </c>
      <c r="AL653">
        <f>IF([3]Entry!$N$656="","",[3]Entry!$N$656)</f>
        <v/>
      </c>
      <c r="AM653">
        <f>IF([3]Entry!$R$656="","",[3]Entry!$R$656)</f>
        <v/>
      </c>
    </row>
    <row r="654">
      <c r="T654">
        <f>IF([2]Baskol!$B$657="","",[2]Baskol!$B$657)</f>
        <v/>
      </c>
      <c r="U654">
        <f>IF([2]Baskol!$C$657="","",[2]Baskol!$C$657)</f>
        <v/>
      </c>
      <c r="V654">
        <f>IF([2]Baskol!$D$657="","",[2]Baskol!$D$657)</f>
        <v/>
      </c>
      <c r="W654">
        <f>IF([2]Baskol!$E$657="","",[2]Baskol!$E$657)</f>
        <v/>
      </c>
      <c r="X654">
        <f>IF([2]Baskol!$G$657="","",[2]Baskol!$G$657)</f>
        <v/>
      </c>
      <c r="Y654">
        <f>IF([2]Baskol!$I$657="","",[2]Baskol!$I$657)</f>
        <v/>
      </c>
      <c r="Z654">
        <f>IF([2]Baskol!$J$657="","",[2]Baskol!$J$657)</f>
        <v/>
      </c>
      <c r="AA654">
        <f>IF([2]Baskol!$K$657="","",[2]Baskol!$K$657)</f>
        <v/>
      </c>
      <c r="AB654">
        <f>IF([2]Baskol!$L$657="","",[2]Baskol!$L$657)</f>
        <v/>
      </c>
      <c r="AC654">
        <f>IF([2]Baskol!$N$657="","",[2]Baskol!$N$657)</f>
        <v/>
      </c>
      <c r="AD654">
        <f>IF([2]Baskol!$O$657="","",[2]Baskol!$O$657)</f>
        <v/>
      </c>
      <c r="AE654">
        <f>IF([3]Entry!$C$657="","",[3]Entry!$C$657)</f>
        <v/>
      </c>
      <c r="AF654">
        <f>IF([3]Entry!$D$657="","",[3]Entry!$D$657)</f>
        <v/>
      </c>
      <c r="AG654">
        <f>IF([3]Entry!$E$657="","",[3]Entry!$E$657)</f>
        <v/>
      </c>
      <c r="AH654">
        <f>IF([3]Entry!$G$657="","",[3]Entry!$G$657)</f>
        <v/>
      </c>
      <c r="AI654">
        <f>IF([3]Entry!$K$657="","",[3]Entry!$K$657)</f>
        <v/>
      </c>
      <c r="AJ654">
        <f>IF([3]Entry!$L$657="","",[3]Entry!$L$657)</f>
        <v/>
      </c>
      <c r="AK654">
        <f>IF([3]Entry!$M$657="","",[3]Entry!$M$657)</f>
        <v/>
      </c>
      <c r="AL654">
        <f>IF([3]Entry!$N$657="","",[3]Entry!$N$657)</f>
        <v/>
      </c>
      <c r="AM654">
        <f>IF([3]Entry!$R$657="","",[3]Entry!$R$657)</f>
        <v/>
      </c>
    </row>
    <row r="655">
      <c r="T655">
        <f>IF([2]Baskol!$B$658="","",[2]Baskol!$B$658)</f>
        <v/>
      </c>
      <c r="U655">
        <f>IF([2]Baskol!$C$658="","",[2]Baskol!$C$658)</f>
        <v/>
      </c>
      <c r="V655">
        <f>IF([2]Baskol!$D$658="","",[2]Baskol!$D$658)</f>
        <v/>
      </c>
      <c r="W655">
        <f>IF([2]Baskol!$E$658="","",[2]Baskol!$E$658)</f>
        <v/>
      </c>
      <c r="X655">
        <f>IF([2]Baskol!$G$658="","",[2]Baskol!$G$658)</f>
        <v/>
      </c>
      <c r="Y655">
        <f>IF([2]Baskol!$I$658="","",[2]Baskol!$I$658)</f>
        <v/>
      </c>
      <c r="Z655">
        <f>IF([2]Baskol!$J$658="","",[2]Baskol!$J$658)</f>
        <v/>
      </c>
      <c r="AA655">
        <f>IF([2]Baskol!$K$658="","",[2]Baskol!$K$658)</f>
        <v/>
      </c>
      <c r="AB655">
        <f>IF([2]Baskol!$L$658="","",[2]Baskol!$L$658)</f>
        <v/>
      </c>
      <c r="AC655">
        <f>IF([2]Baskol!$N$658="","",[2]Baskol!$N$658)</f>
        <v/>
      </c>
      <c r="AD655">
        <f>IF([2]Baskol!$O$658="","",[2]Baskol!$O$658)</f>
        <v/>
      </c>
      <c r="AE655">
        <f>IF([3]Entry!$C$658="","",[3]Entry!$C$658)</f>
        <v/>
      </c>
      <c r="AF655">
        <f>IF([3]Entry!$D$658="","",[3]Entry!$D$658)</f>
        <v/>
      </c>
      <c r="AG655">
        <f>IF([3]Entry!$E$658="","",[3]Entry!$E$658)</f>
        <v/>
      </c>
      <c r="AH655">
        <f>IF([3]Entry!$G$658="","",[3]Entry!$G$658)</f>
        <v/>
      </c>
      <c r="AI655">
        <f>IF([3]Entry!$K$658="","",[3]Entry!$K$658)</f>
        <v/>
      </c>
      <c r="AJ655">
        <f>IF([3]Entry!$L$658="","",[3]Entry!$L$658)</f>
        <v/>
      </c>
      <c r="AK655">
        <f>IF([3]Entry!$M$658="","",[3]Entry!$M$658)</f>
        <v/>
      </c>
      <c r="AL655">
        <f>IF([3]Entry!$N$658="","",[3]Entry!$N$658)</f>
        <v/>
      </c>
      <c r="AM655">
        <f>IF([3]Entry!$R$658="","",[3]Entry!$R$658)</f>
        <v/>
      </c>
    </row>
    <row r="656">
      <c r="T656">
        <f>IF([2]Baskol!$B$659="","",[2]Baskol!$B$659)</f>
        <v/>
      </c>
      <c r="U656">
        <f>IF([2]Baskol!$C$659="","",[2]Baskol!$C$659)</f>
        <v/>
      </c>
      <c r="V656">
        <f>IF([2]Baskol!$D$659="","",[2]Baskol!$D$659)</f>
        <v/>
      </c>
      <c r="W656">
        <f>IF([2]Baskol!$E$659="","",[2]Baskol!$E$659)</f>
        <v/>
      </c>
      <c r="X656">
        <f>IF([2]Baskol!$G$659="","",[2]Baskol!$G$659)</f>
        <v/>
      </c>
      <c r="Y656">
        <f>IF([2]Baskol!$I$659="","",[2]Baskol!$I$659)</f>
        <v/>
      </c>
      <c r="Z656">
        <f>IF([2]Baskol!$J$659="","",[2]Baskol!$J$659)</f>
        <v/>
      </c>
      <c r="AA656">
        <f>IF([2]Baskol!$K$659="","",[2]Baskol!$K$659)</f>
        <v/>
      </c>
      <c r="AB656">
        <f>IF([2]Baskol!$L$659="","",[2]Baskol!$L$659)</f>
        <v/>
      </c>
      <c r="AC656">
        <f>IF([2]Baskol!$N$659="","",[2]Baskol!$N$659)</f>
        <v/>
      </c>
      <c r="AD656">
        <f>IF([2]Baskol!$O$659="","",[2]Baskol!$O$659)</f>
        <v/>
      </c>
      <c r="AE656">
        <f>IF([3]Entry!$C$659="","",[3]Entry!$C$659)</f>
        <v/>
      </c>
      <c r="AF656">
        <f>IF([3]Entry!$D$659="","",[3]Entry!$D$659)</f>
        <v/>
      </c>
      <c r="AG656">
        <f>IF([3]Entry!$E$659="","",[3]Entry!$E$659)</f>
        <v/>
      </c>
      <c r="AH656">
        <f>IF([3]Entry!$G$659="","",[3]Entry!$G$659)</f>
        <v/>
      </c>
      <c r="AI656">
        <f>IF([3]Entry!$K$659="","",[3]Entry!$K$659)</f>
        <v/>
      </c>
      <c r="AJ656">
        <f>IF([3]Entry!$L$659="","",[3]Entry!$L$659)</f>
        <v/>
      </c>
      <c r="AK656">
        <f>IF([3]Entry!$M$659="","",[3]Entry!$M$659)</f>
        <v/>
      </c>
      <c r="AL656">
        <f>IF([3]Entry!$N$659="","",[3]Entry!$N$659)</f>
        <v/>
      </c>
      <c r="AM656">
        <f>IF([3]Entry!$R$659="","",[3]Entry!$R$659)</f>
        <v/>
      </c>
    </row>
    <row r="657">
      <c r="T657">
        <f>IF([2]Baskol!$B$660="","",[2]Baskol!$B$660)</f>
        <v/>
      </c>
      <c r="U657">
        <f>IF([2]Baskol!$C$660="","",[2]Baskol!$C$660)</f>
        <v/>
      </c>
      <c r="V657">
        <f>IF([2]Baskol!$D$660="","",[2]Baskol!$D$660)</f>
        <v/>
      </c>
      <c r="W657">
        <f>IF([2]Baskol!$E$660="","",[2]Baskol!$E$660)</f>
        <v/>
      </c>
      <c r="X657">
        <f>IF([2]Baskol!$G$660="","",[2]Baskol!$G$660)</f>
        <v/>
      </c>
      <c r="Y657">
        <f>IF([2]Baskol!$I$660="","",[2]Baskol!$I$660)</f>
        <v/>
      </c>
      <c r="Z657">
        <f>IF([2]Baskol!$J$660="","",[2]Baskol!$J$660)</f>
        <v/>
      </c>
      <c r="AA657">
        <f>IF([2]Baskol!$K$660="","",[2]Baskol!$K$660)</f>
        <v/>
      </c>
      <c r="AB657">
        <f>IF([2]Baskol!$L$660="","",[2]Baskol!$L$660)</f>
        <v/>
      </c>
      <c r="AC657">
        <f>IF([2]Baskol!$N$660="","",[2]Baskol!$N$660)</f>
        <v/>
      </c>
      <c r="AD657">
        <f>IF([2]Baskol!$O$660="","",[2]Baskol!$O$660)</f>
        <v/>
      </c>
      <c r="AE657">
        <f>IF([3]Entry!$C$660="","",[3]Entry!$C$660)</f>
        <v/>
      </c>
      <c r="AF657">
        <f>IF([3]Entry!$D$660="","",[3]Entry!$D$660)</f>
        <v/>
      </c>
      <c r="AG657">
        <f>IF([3]Entry!$E$660="","",[3]Entry!$E$660)</f>
        <v/>
      </c>
      <c r="AH657">
        <f>IF([3]Entry!$G$660="","",[3]Entry!$G$660)</f>
        <v/>
      </c>
      <c r="AI657">
        <f>IF([3]Entry!$K$660="","",[3]Entry!$K$660)</f>
        <v/>
      </c>
      <c r="AJ657">
        <f>IF([3]Entry!$L$660="","",[3]Entry!$L$660)</f>
        <v/>
      </c>
      <c r="AK657">
        <f>IF([3]Entry!$M$660="","",[3]Entry!$M$660)</f>
        <v/>
      </c>
      <c r="AL657">
        <f>IF([3]Entry!$N$660="","",[3]Entry!$N$660)</f>
        <v/>
      </c>
      <c r="AM657">
        <f>IF([3]Entry!$R$660="","",[3]Entry!$R$660)</f>
        <v/>
      </c>
    </row>
    <row r="658">
      <c r="T658">
        <f>IF([2]Baskol!$B$661="","",[2]Baskol!$B$661)</f>
        <v/>
      </c>
      <c r="U658">
        <f>IF([2]Baskol!$C$661="","",[2]Baskol!$C$661)</f>
        <v/>
      </c>
      <c r="V658">
        <f>IF([2]Baskol!$D$661="","",[2]Baskol!$D$661)</f>
        <v/>
      </c>
      <c r="W658">
        <f>IF([2]Baskol!$E$661="","",[2]Baskol!$E$661)</f>
        <v/>
      </c>
      <c r="X658">
        <f>IF([2]Baskol!$G$661="","",[2]Baskol!$G$661)</f>
        <v/>
      </c>
      <c r="Y658">
        <f>IF([2]Baskol!$I$661="","",[2]Baskol!$I$661)</f>
        <v/>
      </c>
      <c r="Z658">
        <f>IF([2]Baskol!$J$661="","",[2]Baskol!$J$661)</f>
        <v/>
      </c>
      <c r="AA658">
        <f>IF([2]Baskol!$K$661="","",[2]Baskol!$K$661)</f>
        <v/>
      </c>
      <c r="AB658">
        <f>IF([2]Baskol!$L$661="","",[2]Baskol!$L$661)</f>
        <v/>
      </c>
      <c r="AC658">
        <f>IF([2]Baskol!$N$661="","",[2]Baskol!$N$661)</f>
        <v/>
      </c>
      <c r="AD658">
        <f>IF([2]Baskol!$O$661="","",[2]Baskol!$O$661)</f>
        <v/>
      </c>
      <c r="AE658">
        <f>IF([3]Entry!$C$661="","",[3]Entry!$C$661)</f>
        <v/>
      </c>
      <c r="AF658">
        <f>IF([3]Entry!$D$661="","",[3]Entry!$D$661)</f>
        <v/>
      </c>
      <c r="AG658">
        <f>IF([3]Entry!$E$661="","",[3]Entry!$E$661)</f>
        <v/>
      </c>
      <c r="AH658">
        <f>IF([3]Entry!$G$661="","",[3]Entry!$G$661)</f>
        <v/>
      </c>
      <c r="AI658">
        <f>IF([3]Entry!$K$661="","",[3]Entry!$K$661)</f>
        <v/>
      </c>
      <c r="AJ658">
        <f>IF([3]Entry!$L$661="","",[3]Entry!$L$661)</f>
        <v/>
      </c>
      <c r="AK658">
        <f>IF([3]Entry!$M$661="","",[3]Entry!$M$661)</f>
        <v/>
      </c>
      <c r="AL658">
        <f>IF([3]Entry!$N$661="","",[3]Entry!$N$661)</f>
        <v/>
      </c>
      <c r="AM658">
        <f>IF([3]Entry!$R$661="","",[3]Entry!$R$661)</f>
        <v/>
      </c>
    </row>
    <row r="659">
      <c r="T659">
        <f>IF([2]Baskol!$B$662="","",[2]Baskol!$B$662)</f>
        <v/>
      </c>
      <c r="U659">
        <f>IF([2]Baskol!$C$662="","",[2]Baskol!$C$662)</f>
        <v/>
      </c>
      <c r="V659">
        <f>IF([2]Baskol!$D$662="","",[2]Baskol!$D$662)</f>
        <v/>
      </c>
      <c r="W659">
        <f>IF([2]Baskol!$E$662="","",[2]Baskol!$E$662)</f>
        <v/>
      </c>
      <c r="X659">
        <f>IF([2]Baskol!$G$662="","",[2]Baskol!$G$662)</f>
        <v/>
      </c>
      <c r="Y659">
        <f>IF([2]Baskol!$I$662="","",[2]Baskol!$I$662)</f>
        <v/>
      </c>
      <c r="Z659">
        <f>IF([2]Baskol!$J$662="","",[2]Baskol!$J$662)</f>
        <v/>
      </c>
      <c r="AA659">
        <f>IF([2]Baskol!$K$662="","",[2]Baskol!$K$662)</f>
        <v/>
      </c>
      <c r="AB659">
        <f>IF([2]Baskol!$L$662="","",[2]Baskol!$L$662)</f>
        <v/>
      </c>
      <c r="AC659">
        <f>IF([2]Baskol!$N$662="","",[2]Baskol!$N$662)</f>
        <v/>
      </c>
      <c r="AD659">
        <f>IF([2]Baskol!$O$662="","",[2]Baskol!$O$662)</f>
        <v/>
      </c>
      <c r="AE659">
        <f>IF([3]Entry!$C$662="","",[3]Entry!$C$662)</f>
        <v/>
      </c>
      <c r="AF659">
        <f>IF([3]Entry!$D$662="","",[3]Entry!$D$662)</f>
        <v/>
      </c>
      <c r="AG659">
        <f>IF([3]Entry!$E$662="","",[3]Entry!$E$662)</f>
        <v/>
      </c>
      <c r="AH659">
        <f>IF([3]Entry!$G$662="","",[3]Entry!$G$662)</f>
        <v/>
      </c>
      <c r="AI659">
        <f>IF([3]Entry!$K$662="","",[3]Entry!$K$662)</f>
        <v/>
      </c>
      <c r="AJ659">
        <f>IF([3]Entry!$L$662="","",[3]Entry!$L$662)</f>
        <v/>
      </c>
      <c r="AK659">
        <f>IF([3]Entry!$M$662="","",[3]Entry!$M$662)</f>
        <v/>
      </c>
      <c r="AL659">
        <f>IF([3]Entry!$N$662="","",[3]Entry!$N$662)</f>
        <v/>
      </c>
      <c r="AM659">
        <f>IF([3]Entry!$R$662="","",[3]Entry!$R$662)</f>
        <v/>
      </c>
    </row>
    <row r="660">
      <c r="T660">
        <f>IF([2]Baskol!$B$663="","",[2]Baskol!$B$663)</f>
        <v/>
      </c>
      <c r="U660">
        <f>IF([2]Baskol!$C$663="","",[2]Baskol!$C$663)</f>
        <v/>
      </c>
      <c r="V660">
        <f>IF([2]Baskol!$D$663="","",[2]Baskol!$D$663)</f>
        <v/>
      </c>
      <c r="W660">
        <f>IF([2]Baskol!$E$663="","",[2]Baskol!$E$663)</f>
        <v/>
      </c>
      <c r="X660">
        <f>IF([2]Baskol!$G$663="","",[2]Baskol!$G$663)</f>
        <v/>
      </c>
      <c r="Y660">
        <f>IF([2]Baskol!$I$663="","",[2]Baskol!$I$663)</f>
        <v/>
      </c>
      <c r="Z660">
        <f>IF([2]Baskol!$J$663="","",[2]Baskol!$J$663)</f>
        <v/>
      </c>
      <c r="AA660">
        <f>IF([2]Baskol!$K$663="","",[2]Baskol!$K$663)</f>
        <v/>
      </c>
      <c r="AB660">
        <f>IF([2]Baskol!$L$663="","",[2]Baskol!$L$663)</f>
        <v/>
      </c>
      <c r="AC660">
        <f>IF([2]Baskol!$N$663="","",[2]Baskol!$N$663)</f>
        <v/>
      </c>
      <c r="AD660">
        <f>IF([2]Baskol!$O$663="","",[2]Baskol!$O$663)</f>
        <v/>
      </c>
      <c r="AE660">
        <f>IF([3]Entry!$C$663="","",[3]Entry!$C$663)</f>
        <v/>
      </c>
      <c r="AF660">
        <f>IF([3]Entry!$D$663="","",[3]Entry!$D$663)</f>
        <v/>
      </c>
      <c r="AG660">
        <f>IF([3]Entry!$E$663="","",[3]Entry!$E$663)</f>
        <v/>
      </c>
      <c r="AH660">
        <f>IF([3]Entry!$G$663="","",[3]Entry!$G$663)</f>
        <v/>
      </c>
      <c r="AI660">
        <f>IF([3]Entry!$K$663="","",[3]Entry!$K$663)</f>
        <v/>
      </c>
      <c r="AJ660">
        <f>IF([3]Entry!$L$663="","",[3]Entry!$L$663)</f>
        <v/>
      </c>
      <c r="AK660">
        <f>IF([3]Entry!$M$663="","",[3]Entry!$M$663)</f>
        <v/>
      </c>
      <c r="AL660">
        <f>IF([3]Entry!$N$663="","",[3]Entry!$N$663)</f>
        <v/>
      </c>
      <c r="AM660">
        <f>IF([3]Entry!$R$663="","",[3]Entry!$R$663)</f>
        <v/>
      </c>
    </row>
    <row r="661">
      <c r="T661">
        <f>IF([2]Baskol!$B$664="","",[2]Baskol!$B$664)</f>
        <v/>
      </c>
      <c r="U661">
        <f>IF([2]Baskol!$C$664="","",[2]Baskol!$C$664)</f>
        <v/>
      </c>
      <c r="V661">
        <f>IF([2]Baskol!$D$664="","",[2]Baskol!$D$664)</f>
        <v/>
      </c>
      <c r="W661">
        <f>IF([2]Baskol!$E$664="","",[2]Baskol!$E$664)</f>
        <v/>
      </c>
      <c r="X661">
        <f>IF([2]Baskol!$G$664="","",[2]Baskol!$G$664)</f>
        <v/>
      </c>
      <c r="Y661">
        <f>IF([2]Baskol!$I$664="","",[2]Baskol!$I$664)</f>
        <v/>
      </c>
      <c r="Z661">
        <f>IF([2]Baskol!$J$664="","",[2]Baskol!$J$664)</f>
        <v/>
      </c>
      <c r="AA661">
        <f>IF([2]Baskol!$K$664="","",[2]Baskol!$K$664)</f>
        <v/>
      </c>
      <c r="AB661">
        <f>IF([2]Baskol!$L$664="","",[2]Baskol!$L$664)</f>
        <v/>
      </c>
      <c r="AC661">
        <f>IF([2]Baskol!$N$664="","",[2]Baskol!$N$664)</f>
        <v/>
      </c>
      <c r="AD661">
        <f>IF([2]Baskol!$O$664="","",[2]Baskol!$O$664)</f>
        <v/>
      </c>
      <c r="AE661">
        <f>IF([3]Entry!$C$664="","",[3]Entry!$C$664)</f>
        <v/>
      </c>
      <c r="AF661">
        <f>IF([3]Entry!$D$664="","",[3]Entry!$D$664)</f>
        <v/>
      </c>
      <c r="AG661">
        <f>IF([3]Entry!$E$664="","",[3]Entry!$E$664)</f>
        <v/>
      </c>
      <c r="AH661">
        <f>IF([3]Entry!$G$664="","",[3]Entry!$G$664)</f>
        <v/>
      </c>
      <c r="AI661">
        <f>IF([3]Entry!$K$664="","",[3]Entry!$K$664)</f>
        <v/>
      </c>
      <c r="AJ661">
        <f>IF([3]Entry!$L$664="","",[3]Entry!$L$664)</f>
        <v/>
      </c>
      <c r="AK661">
        <f>IF([3]Entry!$M$664="","",[3]Entry!$M$664)</f>
        <v/>
      </c>
      <c r="AL661">
        <f>IF([3]Entry!$N$664="","",[3]Entry!$N$664)</f>
        <v/>
      </c>
      <c r="AM661">
        <f>IF([3]Entry!$R$664="","",[3]Entry!$R$664)</f>
        <v/>
      </c>
    </row>
    <row r="662">
      <c r="T662">
        <f>IF([2]Baskol!$B$665="","",[2]Baskol!$B$665)</f>
        <v/>
      </c>
      <c r="U662">
        <f>IF([2]Baskol!$C$665="","",[2]Baskol!$C$665)</f>
        <v/>
      </c>
      <c r="V662">
        <f>IF([2]Baskol!$D$665="","",[2]Baskol!$D$665)</f>
        <v/>
      </c>
      <c r="W662">
        <f>IF([2]Baskol!$E$665="","",[2]Baskol!$E$665)</f>
        <v/>
      </c>
      <c r="X662">
        <f>IF([2]Baskol!$G$665="","",[2]Baskol!$G$665)</f>
        <v/>
      </c>
      <c r="Y662">
        <f>IF([2]Baskol!$I$665="","",[2]Baskol!$I$665)</f>
        <v/>
      </c>
      <c r="Z662">
        <f>IF([2]Baskol!$J$665="","",[2]Baskol!$J$665)</f>
        <v/>
      </c>
      <c r="AA662">
        <f>IF([2]Baskol!$K$665="","",[2]Baskol!$K$665)</f>
        <v/>
      </c>
      <c r="AB662">
        <f>IF([2]Baskol!$L$665="","",[2]Baskol!$L$665)</f>
        <v/>
      </c>
      <c r="AC662">
        <f>IF([2]Baskol!$N$665="","",[2]Baskol!$N$665)</f>
        <v/>
      </c>
      <c r="AD662">
        <f>IF([2]Baskol!$O$665="","",[2]Baskol!$O$665)</f>
        <v/>
      </c>
      <c r="AE662">
        <f>IF([3]Entry!$C$665="","",[3]Entry!$C$665)</f>
        <v/>
      </c>
      <c r="AF662">
        <f>IF([3]Entry!$D$665="","",[3]Entry!$D$665)</f>
        <v/>
      </c>
      <c r="AG662">
        <f>IF([3]Entry!$E$665="","",[3]Entry!$E$665)</f>
        <v/>
      </c>
      <c r="AH662">
        <f>IF([3]Entry!$G$665="","",[3]Entry!$G$665)</f>
        <v/>
      </c>
      <c r="AI662">
        <f>IF([3]Entry!$K$665="","",[3]Entry!$K$665)</f>
        <v/>
      </c>
      <c r="AJ662">
        <f>IF([3]Entry!$L$665="","",[3]Entry!$L$665)</f>
        <v/>
      </c>
      <c r="AK662">
        <f>IF([3]Entry!$M$665="","",[3]Entry!$M$665)</f>
        <v/>
      </c>
      <c r="AL662">
        <f>IF([3]Entry!$N$665="","",[3]Entry!$N$665)</f>
        <v/>
      </c>
      <c r="AM662">
        <f>IF([3]Entry!$R$665="","",[3]Entry!$R$665)</f>
        <v/>
      </c>
    </row>
    <row r="663">
      <c r="T663">
        <f>IF([2]Baskol!$B$666="","",[2]Baskol!$B$666)</f>
        <v/>
      </c>
      <c r="U663">
        <f>IF([2]Baskol!$C$666="","",[2]Baskol!$C$666)</f>
        <v/>
      </c>
      <c r="V663">
        <f>IF([2]Baskol!$D$666="","",[2]Baskol!$D$666)</f>
        <v/>
      </c>
      <c r="W663">
        <f>IF([2]Baskol!$E$666="","",[2]Baskol!$E$666)</f>
        <v/>
      </c>
      <c r="X663">
        <f>IF([2]Baskol!$G$666="","",[2]Baskol!$G$666)</f>
        <v/>
      </c>
      <c r="Y663">
        <f>IF([2]Baskol!$I$666="","",[2]Baskol!$I$666)</f>
        <v/>
      </c>
      <c r="Z663">
        <f>IF([2]Baskol!$J$666="","",[2]Baskol!$J$666)</f>
        <v/>
      </c>
      <c r="AA663">
        <f>IF([2]Baskol!$K$666="","",[2]Baskol!$K$666)</f>
        <v/>
      </c>
      <c r="AB663">
        <f>IF([2]Baskol!$L$666="","",[2]Baskol!$L$666)</f>
        <v/>
      </c>
      <c r="AC663">
        <f>IF([2]Baskol!$N$666="","",[2]Baskol!$N$666)</f>
        <v/>
      </c>
      <c r="AD663">
        <f>IF([2]Baskol!$O$666="","",[2]Baskol!$O$666)</f>
        <v/>
      </c>
      <c r="AE663">
        <f>IF([3]Entry!$C$666="","",[3]Entry!$C$666)</f>
        <v/>
      </c>
      <c r="AF663">
        <f>IF([3]Entry!$D$666="","",[3]Entry!$D$666)</f>
        <v/>
      </c>
      <c r="AG663">
        <f>IF([3]Entry!$E$666="","",[3]Entry!$E$666)</f>
        <v/>
      </c>
      <c r="AH663">
        <f>IF([3]Entry!$G$666="","",[3]Entry!$G$666)</f>
        <v/>
      </c>
      <c r="AI663">
        <f>IF([3]Entry!$K$666="","",[3]Entry!$K$666)</f>
        <v/>
      </c>
      <c r="AJ663">
        <f>IF([3]Entry!$L$666="","",[3]Entry!$L$666)</f>
        <v/>
      </c>
      <c r="AK663">
        <f>IF([3]Entry!$M$666="","",[3]Entry!$M$666)</f>
        <v/>
      </c>
      <c r="AL663">
        <f>IF([3]Entry!$N$666="","",[3]Entry!$N$666)</f>
        <v/>
      </c>
      <c r="AM663">
        <f>IF([3]Entry!$R$666="","",[3]Entry!$R$666)</f>
        <v/>
      </c>
    </row>
    <row r="664">
      <c r="T664">
        <f>IF([2]Baskol!$B$667="","",[2]Baskol!$B$667)</f>
        <v/>
      </c>
      <c r="U664">
        <f>IF([2]Baskol!$C$667="","",[2]Baskol!$C$667)</f>
        <v/>
      </c>
      <c r="V664">
        <f>IF([2]Baskol!$D$667="","",[2]Baskol!$D$667)</f>
        <v/>
      </c>
      <c r="W664">
        <f>IF([2]Baskol!$E$667="","",[2]Baskol!$E$667)</f>
        <v/>
      </c>
      <c r="X664">
        <f>IF([2]Baskol!$G$667="","",[2]Baskol!$G$667)</f>
        <v/>
      </c>
      <c r="Y664">
        <f>IF([2]Baskol!$I$667="","",[2]Baskol!$I$667)</f>
        <v/>
      </c>
      <c r="Z664">
        <f>IF([2]Baskol!$J$667="","",[2]Baskol!$J$667)</f>
        <v/>
      </c>
      <c r="AA664">
        <f>IF([2]Baskol!$K$667="","",[2]Baskol!$K$667)</f>
        <v/>
      </c>
      <c r="AB664">
        <f>IF([2]Baskol!$L$667="","",[2]Baskol!$L$667)</f>
        <v/>
      </c>
      <c r="AC664">
        <f>IF([2]Baskol!$N$667="","",[2]Baskol!$N$667)</f>
        <v/>
      </c>
      <c r="AD664">
        <f>IF([2]Baskol!$O$667="","",[2]Baskol!$O$667)</f>
        <v/>
      </c>
      <c r="AE664">
        <f>IF([3]Entry!$C$667="","",[3]Entry!$C$667)</f>
        <v/>
      </c>
      <c r="AF664">
        <f>IF([3]Entry!$D$667="","",[3]Entry!$D$667)</f>
        <v/>
      </c>
      <c r="AG664">
        <f>IF([3]Entry!$E$667="","",[3]Entry!$E$667)</f>
        <v/>
      </c>
      <c r="AH664">
        <f>IF([3]Entry!$G$667="","",[3]Entry!$G$667)</f>
        <v/>
      </c>
      <c r="AI664">
        <f>IF([3]Entry!$K$667="","",[3]Entry!$K$667)</f>
        <v/>
      </c>
      <c r="AJ664">
        <f>IF([3]Entry!$L$667="","",[3]Entry!$L$667)</f>
        <v/>
      </c>
      <c r="AK664">
        <f>IF([3]Entry!$M$667="","",[3]Entry!$M$667)</f>
        <v/>
      </c>
      <c r="AL664">
        <f>IF([3]Entry!$N$667="","",[3]Entry!$N$667)</f>
        <v/>
      </c>
      <c r="AM664">
        <f>IF([3]Entry!$R$667="","",[3]Entry!$R$667)</f>
        <v/>
      </c>
    </row>
    <row r="665">
      <c r="T665">
        <f>IF([2]Baskol!$B$668="","",[2]Baskol!$B$668)</f>
        <v/>
      </c>
      <c r="U665">
        <f>IF([2]Baskol!$C$668="","",[2]Baskol!$C$668)</f>
        <v/>
      </c>
      <c r="V665">
        <f>IF([2]Baskol!$D$668="","",[2]Baskol!$D$668)</f>
        <v/>
      </c>
      <c r="W665">
        <f>IF([2]Baskol!$E$668="","",[2]Baskol!$E$668)</f>
        <v/>
      </c>
      <c r="X665">
        <f>IF([2]Baskol!$G$668="","",[2]Baskol!$G$668)</f>
        <v/>
      </c>
      <c r="Y665">
        <f>IF([2]Baskol!$I$668="","",[2]Baskol!$I$668)</f>
        <v/>
      </c>
      <c r="Z665">
        <f>IF([2]Baskol!$J$668="","",[2]Baskol!$J$668)</f>
        <v/>
      </c>
      <c r="AA665">
        <f>IF([2]Baskol!$K$668="","",[2]Baskol!$K$668)</f>
        <v/>
      </c>
      <c r="AB665">
        <f>IF([2]Baskol!$L$668="","",[2]Baskol!$L$668)</f>
        <v/>
      </c>
      <c r="AC665">
        <f>IF([2]Baskol!$N$668="","",[2]Baskol!$N$668)</f>
        <v/>
      </c>
      <c r="AD665">
        <f>IF([2]Baskol!$O$668="","",[2]Baskol!$O$668)</f>
        <v/>
      </c>
      <c r="AE665">
        <f>IF([3]Entry!$C$668="","",[3]Entry!$C$668)</f>
        <v/>
      </c>
      <c r="AF665">
        <f>IF([3]Entry!$D$668="","",[3]Entry!$D$668)</f>
        <v/>
      </c>
      <c r="AG665">
        <f>IF([3]Entry!$E$668="","",[3]Entry!$E$668)</f>
        <v/>
      </c>
      <c r="AH665">
        <f>IF([3]Entry!$G$668="","",[3]Entry!$G$668)</f>
        <v/>
      </c>
      <c r="AI665">
        <f>IF([3]Entry!$K$668="","",[3]Entry!$K$668)</f>
        <v/>
      </c>
      <c r="AJ665">
        <f>IF([3]Entry!$L$668="","",[3]Entry!$L$668)</f>
        <v/>
      </c>
      <c r="AK665">
        <f>IF([3]Entry!$M$668="","",[3]Entry!$M$668)</f>
        <v/>
      </c>
      <c r="AL665">
        <f>IF([3]Entry!$N$668="","",[3]Entry!$N$668)</f>
        <v/>
      </c>
      <c r="AM665">
        <f>IF([3]Entry!$R$668="","",[3]Entry!$R$668)</f>
        <v/>
      </c>
    </row>
    <row r="666">
      <c r="T666">
        <f>IF([2]Baskol!$B$669="","",[2]Baskol!$B$669)</f>
        <v/>
      </c>
      <c r="U666">
        <f>IF([2]Baskol!$C$669="","",[2]Baskol!$C$669)</f>
        <v/>
      </c>
      <c r="V666">
        <f>IF([2]Baskol!$D$669="","",[2]Baskol!$D$669)</f>
        <v/>
      </c>
      <c r="W666">
        <f>IF([2]Baskol!$E$669="","",[2]Baskol!$E$669)</f>
        <v/>
      </c>
      <c r="X666">
        <f>IF([2]Baskol!$G$669="","",[2]Baskol!$G$669)</f>
        <v/>
      </c>
      <c r="Y666">
        <f>IF([2]Baskol!$I$669="","",[2]Baskol!$I$669)</f>
        <v/>
      </c>
      <c r="Z666">
        <f>IF([2]Baskol!$J$669="","",[2]Baskol!$J$669)</f>
        <v/>
      </c>
      <c r="AA666">
        <f>IF([2]Baskol!$K$669="","",[2]Baskol!$K$669)</f>
        <v/>
      </c>
      <c r="AB666">
        <f>IF([2]Baskol!$L$669="","",[2]Baskol!$L$669)</f>
        <v/>
      </c>
      <c r="AC666">
        <f>IF([2]Baskol!$N$669="","",[2]Baskol!$N$669)</f>
        <v/>
      </c>
      <c r="AD666">
        <f>IF([2]Baskol!$O$669="","",[2]Baskol!$O$669)</f>
        <v/>
      </c>
      <c r="AE666">
        <f>IF([3]Entry!$C$669="","",[3]Entry!$C$669)</f>
        <v/>
      </c>
      <c r="AF666">
        <f>IF([3]Entry!$D$669="","",[3]Entry!$D$669)</f>
        <v/>
      </c>
      <c r="AG666">
        <f>IF([3]Entry!$E$669="","",[3]Entry!$E$669)</f>
        <v/>
      </c>
      <c r="AH666">
        <f>IF([3]Entry!$G$669="","",[3]Entry!$G$669)</f>
        <v/>
      </c>
      <c r="AI666">
        <f>IF([3]Entry!$K$669="","",[3]Entry!$K$669)</f>
        <v/>
      </c>
      <c r="AJ666">
        <f>IF([3]Entry!$L$669="","",[3]Entry!$L$669)</f>
        <v/>
      </c>
      <c r="AK666">
        <f>IF([3]Entry!$M$669="","",[3]Entry!$M$669)</f>
        <v/>
      </c>
      <c r="AL666">
        <f>IF([3]Entry!$N$669="","",[3]Entry!$N$669)</f>
        <v/>
      </c>
      <c r="AM666">
        <f>IF([3]Entry!$R$669="","",[3]Entry!$R$669)</f>
        <v/>
      </c>
    </row>
    <row r="667">
      <c r="T667">
        <f>IF([2]Baskol!$B$670="","",[2]Baskol!$B$670)</f>
        <v/>
      </c>
      <c r="U667">
        <f>IF([2]Baskol!$C$670="","",[2]Baskol!$C$670)</f>
        <v/>
      </c>
      <c r="V667">
        <f>IF([2]Baskol!$D$670="","",[2]Baskol!$D$670)</f>
        <v/>
      </c>
      <c r="W667">
        <f>IF([2]Baskol!$E$670="","",[2]Baskol!$E$670)</f>
        <v/>
      </c>
      <c r="X667">
        <f>IF([2]Baskol!$G$670="","",[2]Baskol!$G$670)</f>
        <v/>
      </c>
      <c r="Y667">
        <f>IF([2]Baskol!$I$670="","",[2]Baskol!$I$670)</f>
        <v/>
      </c>
      <c r="Z667">
        <f>IF([2]Baskol!$J$670="","",[2]Baskol!$J$670)</f>
        <v/>
      </c>
      <c r="AA667">
        <f>IF([2]Baskol!$K$670="","",[2]Baskol!$K$670)</f>
        <v/>
      </c>
      <c r="AB667">
        <f>IF([2]Baskol!$L$670="","",[2]Baskol!$L$670)</f>
        <v/>
      </c>
      <c r="AC667">
        <f>IF([2]Baskol!$N$670="","",[2]Baskol!$N$670)</f>
        <v/>
      </c>
      <c r="AD667">
        <f>IF([2]Baskol!$O$670="","",[2]Baskol!$O$670)</f>
        <v/>
      </c>
      <c r="AE667">
        <f>IF([3]Entry!$C$670="","",[3]Entry!$C$670)</f>
        <v/>
      </c>
      <c r="AF667">
        <f>IF([3]Entry!$D$670="","",[3]Entry!$D$670)</f>
        <v/>
      </c>
      <c r="AG667">
        <f>IF([3]Entry!$E$670="","",[3]Entry!$E$670)</f>
        <v/>
      </c>
      <c r="AH667">
        <f>IF([3]Entry!$G$670="","",[3]Entry!$G$670)</f>
        <v/>
      </c>
      <c r="AI667">
        <f>IF([3]Entry!$K$670="","",[3]Entry!$K$670)</f>
        <v/>
      </c>
      <c r="AJ667">
        <f>IF([3]Entry!$L$670="","",[3]Entry!$L$670)</f>
        <v/>
      </c>
      <c r="AK667">
        <f>IF([3]Entry!$M$670="","",[3]Entry!$M$670)</f>
        <v/>
      </c>
      <c r="AL667">
        <f>IF([3]Entry!$N$670="","",[3]Entry!$N$670)</f>
        <v/>
      </c>
      <c r="AM667">
        <f>IF([3]Entry!$R$670="","",[3]Entry!$R$670)</f>
        <v/>
      </c>
    </row>
    <row r="668">
      <c r="T668">
        <f>IF([2]Baskol!$B$671="","",[2]Baskol!$B$671)</f>
        <v/>
      </c>
      <c r="U668">
        <f>IF([2]Baskol!$C$671="","",[2]Baskol!$C$671)</f>
        <v/>
      </c>
      <c r="V668">
        <f>IF([2]Baskol!$D$671="","",[2]Baskol!$D$671)</f>
        <v/>
      </c>
      <c r="W668">
        <f>IF([2]Baskol!$E$671="","",[2]Baskol!$E$671)</f>
        <v/>
      </c>
      <c r="X668">
        <f>IF([2]Baskol!$G$671="","",[2]Baskol!$G$671)</f>
        <v/>
      </c>
      <c r="Y668">
        <f>IF([2]Baskol!$I$671="","",[2]Baskol!$I$671)</f>
        <v/>
      </c>
      <c r="Z668">
        <f>IF([2]Baskol!$J$671="","",[2]Baskol!$J$671)</f>
        <v/>
      </c>
      <c r="AA668">
        <f>IF([2]Baskol!$K$671="","",[2]Baskol!$K$671)</f>
        <v/>
      </c>
      <c r="AB668">
        <f>IF([2]Baskol!$L$671="","",[2]Baskol!$L$671)</f>
        <v/>
      </c>
      <c r="AC668">
        <f>IF([2]Baskol!$N$671="","",[2]Baskol!$N$671)</f>
        <v/>
      </c>
      <c r="AD668">
        <f>IF([2]Baskol!$O$671="","",[2]Baskol!$O$671)</f>
        <v/>
      </c>
      <c r="AE668">
        <f>IF([3]Entry!$C$671="","",[3]Entry!$C$671)</f>
        <v/>
      </c>
      <c r="AF668">
        <f>IF([3]Entry!$D$671="","",[3]Entry!$D$671)</f>
        <v/>
      </c>
      <c r="AG668">
        <f>IF([3]Entry!$E$671="","",[3]Entry!$E$671)</f>
        <v/>
      </c>
      <c r="AH668">
        <f>IF([3]Entry!$G$671="","",[3]Entry!$G$671)</f>
        <v/>
      </c>
      <c r="AI668">
        <f>IF([3]Entry!$K$671="","",[3]Entry!$K$671)</f>
        <v/>
      </c>
      <c r="AJ668">
        <f>IF([3]Entry!$L$671="","",[3]Entry!$L$671)</f>
        <v/>
      </c>
      <c r="AK668">
        <f>IF([3]Entry!$M$671="","",[3]Entry!$M$671)</f>
        <v/>
      </c>
      <c r="AL668">
        <f>IF([3]Entry!$N$671="","",[3]Entry!$N$671)</f>
        <v/>
      </c>
      <c r="AM668">
        <f>IF([3]Entry!$R$671="","",[3]Entry!$R$671)</f>
        <v/>
      </c>
    </row>
    <row r="669">
      <c r="T669">
        <f>IF([2]Baskol!$B$672="","",[2]Baskol!$B$672)</f>
        <v/>
      </c>
      <c r="U669">
        <f>IF([2]Baskol!$C$672="","",[2]Baskol!$C$672)</f>
        <v/>
      </c>
      <c r="V669">
        <f>IF([2]Baskol!$D$672="","",[2]Baskol!$D$672)</f>
        <v/>
      </c>
      <c r="W669">
        <f>IF([2]Baskol!$E$672="","",[2]Baskol!$E$672)</f>
        <v/>
      </c>
      <c r="X669">
        <f>IF([2]Baskol!$G$672="","",[2]Baskol!$G$672)</f>
        <v/>
      </c>
      <c r="Y669">
        <f>IF([2]Baskol!$I$672="","",[2]Baskol!$I$672)</f>
        <v/>
      </c>
      <c r="Z669">
        <f>IF([2]Baskol!$J$672="","",[2]Baskol!$J$672)</f>
        <v/>
      </c>
      <c r="AA669">
        <f>IF([2]Baskol!$K$672="","",[2]Baskol!$K$672)</f>
        <v/>
      </c>
      <c r="AB669">
        <f>IF([2]Baskol!$L$672="","",[2]Baskol!$L$672)</f>
        <v/>
      </c>
      <c r="AC669">
        <f>IF([2]Baskol!$N$672="","",[2]Baskol!$N$672)</f>
        <v/>
      </c>
      <c r="AD669">
        <f>IF([2]Baskol!$O$672="","",[2]Baskol!$O$672)</f>
        <v/>
      </c>
      <c r="AE669">
        <f>IF([3]Entry!$C$672="","",[3]Entry!$C$672)</f>
        <v/>
      </c>
      <c r="AF669">
        <f>IF([3]Entry!$D$672="","",[3]Entry!$D$672)</f>
        <v/>
      </c>
      <c r="AG669">
        <f>IF([3]Entry!$E$672="","",[3]Entry!$E$672)</f>
        <v/>
      </c>
      <c r="AH669">
        <f>IF([3]Entry!$G$672="","",[3]Entry!$G$672)</f>
        <v/>
      </c>
      <c r="AI669">
        <f>IF([3]Entry!$K$672="","",[3]Entry!$K$672)</f>
        <v/>
      </c>
      <c r="AJ669">
        <f>IF([3]Entry!$L$672="","",[3]Entry!$L$672)</f>
        <v/>
      </c>
      <c r="AK669">
        <f>IF([3]Entry!$M$672="","",[3]Entry!$M$672)</f>
        <v/>
      </c>
      <c r="AL669">
        <f>IF([3]Entry!$N$672="","",[3]Entry!$N$672)</f>
        <v/>
      </c>
      <c r="AM669">
        <f>IF([3]Entry!$R$672="","",[3]Entry!$R$672)</f>
        <v/>
      </c>
    </row>
    <row r="670">
      <c r="T670">
        <f>IF([2]Baskol!$B$673="","",[2]Baskol!$B$673)</f>
        <v/>
      </c>
      <c r="U670">
        <f>IF([2]Baskol!$C$673="","",[2]Baskol!$C$673)</f>
        <v/>
      </c>
      <c r="V670">
        <f>IF([2]Baskol!$D$673="","",[2]Baskol!$D$673)</f>
        <v/>
      </c>
      <c r="W670">
        <f>IF([2]Baskol!$E$673="","",[2]Baskol!$E$673)</f>
        <v/>
      </c>
      <c r="X670">
        <f>IF([2]Baskol!$G$673="","",[2]Baskol!$G$673)</f>
        <v/>
      </c>
      <c r="Y670">
        <f>IF([2]Baskol!$I$673="","",[2]Baskol!$I$673)</f>
        <v/>
      </c>
      <c r="Z670">
        <f>IF([2]Baskol!$J$673="","",[2]Baskol!$J$673)</f>
        <v/>
      </c>
      <c r="AA670">
        <f>IF([2]Baskol!$K$673="","",[2]Baskol!$K$673)</f>
        <v/>
      </c>
      <c r="AB670">
        <f>IF([2]Baskol!$L$673="","",[2]Baskol!$L$673)</f>
        <v/>
      </c>
      <c r="AC670">
        <f>IF([2]Baskol!$N$673="","",[2]Baskol!$N$673)</f>
        <v/>
      </c>
      <c r="AD670">
        <f>IF([2]Baskol!$O$673="","",[2]Baskol!$O$673)</f>
        <v/>
      </c>
      <c r="AE670">
        <f>IF([3]Entry!$C$673="","",[3]Entry!$C$673)</f>
        <v/>
      </c>
      <c r="AF670">
        <f>IF([3]Entry!$D$673="","",[3]Entry!$D$673)</f>
        <v/>
      </c>
      <c r="AG670">
        <f>IF([3]Entry!$E$673="","",[3]Entry!$E$673)</f>
        <v/>
      </c>
      <c r="AH670">
        <f>IF([3]Entry!$G$673="","",[3]Entry!$G$673)</f>
        <v/>
      </c>
      <c r="AI670">
        <f>IF([3]Entry!$K$673="","",[3]Entry!$K$673)</f>
        <v/>
      </c>
      <c r="AJ670">
        <f>IF([3]Entry!$L$673="","",[3]Entry!$L$673)</f>
        <v/>
      </c>
      <c r="AK670">
        <f>IF([3]Entry!$M$673="","",[3]Entry!$M$673)</f>
        <v/>
      </c>
      <c r="AL670">
        <f>IF([3]Entry!$N$673="","",[3]Entry!$N$673)</f>
        <v/>
      </c>
      <c r="AM670">
        <f>IF([3]Entry!$R$673="","",[3]Entry!$R$673)</f>
        <v/>
      </c>
    </row>
    <row r="671">
      <c r="T671">
        <f>IF([2]Baskol!$B$674="","",[2]Baskol!$B$674)</f>
        <v/>
      </c>
      <c r="U671">
        <f>IF([2]Baskol!$C$674="","",[2]Baskol!$C$674)</f>
        <v/>
      </c>
      <c r="V671">
        <f>IF([2]Baskol!$D$674="","",[2]Baskol!$D$674)</f>
        <v/>
      </c>
      <c r="W671">
        <f>IF([2]Baskol!$E$674="","",[2]Baskol!$E$674)</f>
        <v/>
      </c>
      <c r="X671">
        <f>IF([2]Baskol!$G$674="","",[2]Baskol!$G$674)</f>
        <v/>
      </c>
      <c r="Y671">
        <f>IF([2]Baskol!$I$674="","",[2]Baskol!$I$674)</f>
        <v/>
      </c>
      <c r="Z671">
        <f>IF([2]Baskol!$J$674="","",[2]Baskol!$J$674)</f>
        <v/>
      </c>
      <c r="AA671">
        <f>IF([2]Baskol!$K$674="","",[2]Baskol!$K$674)</f>
        <v/>
      </c>
      <c r="AB671">
        <f>IF([2]Baskol!$L$674="","",[2]Baskol!$L$674)</f>
        <v/>
      </c>
      <c r="AC671">
        <f>IF([2]Baskol!$N$674="","",[2]Baskol!$N$674)</f>
        <v/>
      </c>
      <c r="AD671">
        <f>IF([2]Baskol!$O$674="","",[2]Baskol!$O$674)</f>
        <v/>
      </c>
      <c r="AE671">
        <f>IF([3]Entry!$C$674="","",[3]Entry!$C$674)</f>
        <v/>
      </c>
      <c r="AF671">
        <f>IF([3]Entry!$D$674="","",[3]Entry!$D$674)</f>
        <v/>
      </c>
      <c r="AG671">
        <f>IF([3]Entry!$E$674="","",[3]Entry!$E$674)</f>
        <v/>
      </c>
      <c r="AH671">
        <f>IF([3]Entry!$G$674="","",[3]Entry!$G$674)</f>
        <v/>
      </c>
      <c r="AI671">
        <f>IF([3]Entry!$K$674="","",[3]Entry!$K$674)</f>
        <v/>
      </c>
      <c r="AJ671">
        <f>IF([3]Entry!$L$674="","",[3]Entry!$L$674)</f>
        <v/>
      </c>
      <c r="AK671">
        <f>IF([3]Entry!$M$674="","",[3]Entry!$M$674)</f>
        <v/>
      </c>
      <c r="AL671">
        <f>IF([3]Entry!$N$674="","",[3]Entry!$N$674)</f>
        <v/>
      </c>
      <c r="AM671">
        <f>IF([3]Entry!$R$674="","",[3]Entry!$R$674)</f>
        <v/>
      </c>
    </row>
    <row r="672">
      <c r="T672">
        <f>IF([2]Baskol!$B$675="","",[2]Baskol!$B$675)</f>
        <v/>
      </c>
      <c r="U672">
        <f>IF([2]Baskol!$C$675="","",[2]Baskol!$C$675)</f>
        <v/>
      </c>
      <c r="V672">
        <f>IF([2]Baskol!$D$675="","",[2]Baskol!$D$675)</f>
        <v/>
      </c>
      <c r="W672">
        <f>IF([2]Baskol!$E$675="","",[2]Baskol!$E$675)</f>
        <v/>
      </c>
      <c r="X672">
        <f>IF([2]Baskol!$G$675="","",[2]Baskol!$G$675)</f>
        <v/>
      </c>
      <c r="Y672">
        <f>IF([2]Baskol!$I$675="","",[2]Baskol!$I$675)</f>
        <v/>
      </c>
      <c r="Z672">
        <f>IF([2]Baskol!$J$675="","",[2]Baskol!$J$675)</f>
        <v/>
      </c>
      <c r="AA672">
        <f>IF([2]Baskol!$K$675="","",[2]Baskol!$K$675)</f>
        <v/>
      </c>
      <c r="AB672">
        <f>IF([2]Baskol!$L$675="","",[2]Baskol!$L$675)</f>
        <v/>
      </c>
      <c r="AC672">
        <f>IF([2]Baskol!$N$675="","",[2]Baskol!$N$675)</f>
        <v/>
      </c>
      <c r="AD672">
        <f>IF([2]Baskol!$O$675="","",[2]Baskol!$O$675)</f>
        <v/>
      </c>
      <c r="AE672">
        <f>IF([3]Entry!$C$675="","",[3]Entry!$C$675)</f>
        <v/>
      </c>
      <c r="AF672">
        <f>IF([3]Entry!$D$675="","",[3]Entry!$D$675)</f>
        <v/>
      </c>
      <c r="AG672">
        <f>IF([3]Entry!$E$675="","",[3]Entry!$E$675)</f>
        <v/>
      </c>
      <c r="AH672">
        <f>IF([3]Entry!$G$675="","",[3]Entry!$G$675)</f>
        <v/>
      </c>
      <c r="AI672">
        <f>IF([3]Entry!$K$675="","",[3]Entry!$K$675)</f>
        <v/>
      </c>
      <c r="AJ672">
        <f>IF([3]Entry!$L$675="","",[3]Entry!$L$675)</f>
        <v/>
      </c>
      <c r="AK672">
        <f>IF([3]Entry!$M$675="","",[3]Entry!$M$675)</f>
        <v/>
      </c>
      <c r="AL672">
        <f>IF([3]Entry!$N$675="","",[3]Entry!$N$675)</f>
        <v/>
      </c>
      <c r="AM672">
        <f>IF([3]Entry!$R$675="","",[3]Entry!$R$675)</f>
        <v/>
      </c>
    </row>
    <row r="673">
      <c r="T673">
        <f>IF([2]Baskol!$B$676="","",[2]Baskol!$B$676)</f>
        <v/>
      </c>
      <c r="U673">
        <f>IF([2]Baskol!$C$676="","",[2]Baskol!$C$676)</f>
        <v/>
      </c>
      <c r="V673">
        <f>IF([2]Baskol!$D$676="","",[2]Baskol!$D$676)</f>
        <v/>
      </c>
      <c r="W673">
        <f>IF([2]Baskol!$E$676="","",[2]Baskol!$E$676)</f>
        <v/>
      </c>
      <c r="X673">
        <f>IF([2]Baskol!$G$676="","",[2]Baskol!$G$676)</f>
        <v/>
      </c>
      <c r="Y673">
        <f>IF([2]Baskol!$I$676="","",[2]Baskol!$I$676)</f>
        <v/>
      </c>
      <c r="Z673">
        <f>IF([2]Baskol!$J$676="","",[2]Baskol!$J$676)</f>
        <v/>
      </c>
      <c r="AA673">
        <f>IF([2]Baskol!$K$676="","",[2]Baskol!$K$676)</f>
        <v/>
      </c>
      <c r="AB673">
        <f>IF([2]Baskol!$L$676="","",[2]Baskol!$L$676)</f>
        <v/>
      </c>
      <c r="AC673">
        <f>IF([2]Baskol!$N$676="","",[2]Baskol!$N$676)</f>
        <v/>
      </c>
      <c r="AD673">
        <f>IF([2]Baskol!$O$676="","",[2]Baskol!$O$676)</f>
        <v/>
      </c>
      <c r="AE673">
        <f>IF([3]Entry!$C$676="","",[3]Entry!$C$676)</f>
        <v/>
      </c>
      <c r="AF673">
        <f>IF([3]Entry!$D$676="","",[3]Entry!$D$676)</f>
        <v/>
      </c>
      <c r="AG673">
        <f>IF([3]Entry!$E$676="","",[3]Entry!$E$676)</f>
        <v/>
      </c>
      <c r="AH673">
        <f>IF([3]Entry!$G$676="","",[3]Entry!$G$676)</f>
        <v/>
      </c>
      <c r="AI673">
        <f>IF([3]Entry!$K$676="","",[3]Entry!$K$676)</f>
        <v/>
      </c>
      <c r="AJ673">
        <f>IF([3]Entry!$L$676="","",[3]Entry!$L$676)</f>
        <v/>
      </c>
      <c r="AK673">
        <f>IF([3]Entry!$M$676="","",[3]Entry!$M$676)</f>
        <v/>
      </c>
      <c r="AL673">
        <f>IF([3]Entry!$N$676="","",[3]Entry!$N$676)</f>
        <v/>
      </c>
      <c r="AM673">
        <f>IF([3]Entry!$R$676="","",[3]Entry!$R$676)</f>
        <v/>
      </c>
    </row>
    <row r="674">
      <c r="T674">
        <f>IF([2]Baskol!$B$677="","",[2]Baskol!$B$677)</f>
        <v/>
      </c>
      <c r="U674">
        <f>IF([2]Baskol!$C$677="","",[2]Baskol!$C$677)</f>
        <v/>
      </c>
      <c r="V674">
        <f>IF([2]Baskol!$D$677="","",[2]Baskol!$D$677)</f>
        <v/>
      </c>
      <c r="W674">
        <f>IF([2]Baskol!$E$677="","",[2]Baskol!$E$677)</f>
        <v/>
      </c>
      <c r="X674">
        <f>IF([2]Baskol!$G$677="","",[2]Baskol!$G$677)</f>
        <v/>
      </c>
      <c r="Y674">
        <f>IF([2]Baskol!$I$677="","",[2]Baskol!$I$677)</f>
        <v/>
      </c>
      <c r="Z674">
        <f>IF([2]Baskol!$J$677="","",[2]Baskol!$J$677)</f>
        <v/>
      </c>
      <c r="AA674">
        <f>IF([2]Baskol!$K$677="","",[2]Baskol!$K$677)</f>
        <v/>
      </c>
      <c r="AB674">
        <f>IF([2]Baskol!$L$677="","",[2]Baskol!$L$677)</f>
        <v/>
      </c>
      <c r="AC674">
        <f>IF([2]Baskol!$N$677="","",[2]Baskol!$N$677)</f>
        <v/>
      </c>
      <c r="AD674">
        <f>IF([2]Baskol!$O$677="","",[2]Baskol!$O$677)</f>
        <v/>
      </c>
      <c r="AE674">
        <f>IF([3]Entry!$C$677="","",[3]Entry!$C$677)</f>
        <v/>
      </c>
      <c r="AF674">
        <f>IF([3]Entry!$D$677="","",[3]Entry!$D$677)</f>
        <v/>
      </c>
      <c r="AG674">
        <f>IF([3]Entry!$E$677="","",[3]Entry!$E$677)</f>
        <v/>
      </c>
      <c r="AH674">
        <f>IF([3]Entry!$G$677="","",[3]Entry!$G$677)</f>
        <v/>
      </c>
      <c r="AI674">
        <f>IF([3]Entry!$K$677="","",[3]Entry!$K$677)</f>
        <v/>
      </c>
      <c r="AJ674">
        <f>IF([3]Entry!$L$677="","",[3]Entry!$L$677)</f>
        <v/>
      </c>
      <c r="AK674">
        <f>IF([3]Entry!$M$677="","",[3]Entry!$M$677)</f>
        <v/>
      </c>
      <c r="AL674">
        <f>IF([3]Entry!$N$677="","",[3]Entry!$N$677)</f>
        <v/>
      </c>
      <c r="AM674">
        <f>IF([3]Entry!$R$677="","",[3]Entry!$R$677)</f>
        <v/>
      </c>
    </row>
    <row r="675">
      <c r="T675">
        <f>IF([2]Baskol!$B$678="","",[2]Baskol!$B$678)</f>
        <v/>
      </c>
      <c r="U675">
        <f>IF([2]Baskol!$C$678="","",[2]Baskol!$C$678)</f>
        <v/>
      </c>
      <c r="V675">
        <f>IF([2]Baskol!$D$678="","",[2]Baskol!$D$678)</f>
        <v/>
      </c>
      <c r="W675">
        <f>IF([2]Baskol!$E$678="","",[2]Baskol!$E$678)</f>
        <v/>
      </c>
      <c r="X675">
        <f>IF([2]Baskol!$G$678="","",[2]Baskol!$G$678)</f>
        <v/>
      </c>
      <c r="Y675">
        <f>IF([2]Baskol!$I$678="","",[2]Baskol!$I$678)</f>
        <v/>
      </c>
      <c r="Z675">
        <f>IF([2]Baskol!$J$678="","",[2]Baskol!$J$678)</f>
        <v/>
      </c>
      <c r="AA675">
        <f>IF([2]Baskol!$K$678="","",[2]Baskol!$K$678)</f>
        <v/>
      </c>
      <c r="AB675">
        <f>IF([2]Baskol!$L$678="","",[2]Baskol!$L$678)</f>
        <v/>
      </c>
      <c r="AC675">
        <f>IF([2]Baskol!$N$678="","",[2]Baskol!$N$678)</f>
        <v/>
      </c>
      <c r="AD675">
        <f>IF([2]Baskol!$O$678="","",[2]Baskol!$O$678)</f>
        <v/>
      </c>
      <c r="AE675">
        <f>IF([3]Entry!$C$678="","",[3]Entry!$C$678)</f>
        <v/>
      </c>
      <c r="AF675">
        <f>IF([3]Entry!$D$678="","",[3]Entry!$D$678)</f>
        <v/>
      </c>
      <c r="AG675">
        <f>IF([3]Entry!$E$678="","",[3]Entry!$E$678)</f>
        <v/>
      </c>
      <c r="AH675">
        <f>IF([3]Entry!$G$678="","",[3]Entry!$G$678)</f>
        <v/>
      </c>
      <c r="AI675">
        <f>IF([3]Entry!$K$678="","",[3]Entry!$K$678)</f>
        <v/>
      </c>
      <c r="AJ675">
        <f>IF([3]Entry!$L$678="","",[3]Entry!$L$678)</f>
        <v/>
      </c>
      <c r="AK675">
        <f>IF([3]Entry!$M$678="","",[3]Entry!$M$678)</f>
        <v/>
      </c>
      <c r="AL675">
        <f>IF([3]Entry!$N$678="","",[3]Entry!$N$678)</f>
        <v/>
      </c>
      <c r="AM675">
        <f>IF([3]Entry!$R$678="","",[3]Entry!$R$678)</f>
        <v/>
      </c>
    </row>
    <row r="676">
      <c r="T676">
        <f>IF([2]Baskol!$B$679="","",[2]Baskol!$B$679)</f>
        <v/>
      </c>
      <c r="U676">
        <f>IF([2]Baskol!$C$679="","",[2]Baskol!$C$679)</f>
        <v/>
      </c>
      <c r="V676">
        <f>IF([2]Baskol!$D$679="","",[2]Baskol!$D$679)</f>
        <v/>
      </c>
      <c r="W676">
        <f>IF([2]Baskol!$E$679="","",[2]Baskol!$E$679)</f>
        <v/>
      </c>
      <c r="X676">
        <f>IF([2]Baskol!$G$679="","",[2]Baskol!$G$679)</f>
        <v/>
      </c>
      <c r="Y676">
        <f>IF([2]Baskol!$I$679="","",[2]Baskol!$I$679)</f>
        <v/>
      </c>
      <c r="Z676">
        <f>IF([2]Baskol!$J$679="","",[2]Baskol!$J$679)</f>
        <v/>
      </c>
      <c r="AA676">
        <f>IF([2]Baskol!$K$679="","",[2]Baskol!$K$679)</f>
        <v/>
      </c>
      <c r="AB676">
        <f>IF([2]Baskol!$L$679="","",[2]Baskol!$L$679)</f>
        <v/>
      </c>
      <c r="AC676">
        <f>IF([2]Baskol!$N$679="","",[2]Baskol!$N$679)</f>
        <v/>
      </c>
      <c r="AD676">
        <f>IF([2]Baskol!$O$679="","",[2]Baskol!$O$679)</f>
        <v/>
      </c>
      <c r="AE676">
        <f>IF([3]Entry!$C$679="","",[3]Entry!$C$679)</f>
        <v/>
      </c>
      <c r="AF676">
        <f>IF([3]Entry!$D$679="","",[3]Entry!$D$679)</f>
        <v/>
      </c>
      <c r="AG676">
        <f>IF([3]Entry!$E$679="","",[3]Entry!$E$679)</f>
        <v/>
      </c>
      <c r="AH676">
        <f>IF([3]Entry!$G$679="","",[3]Entry!$G$679)</f>
        <v/>
      </c>
      <c r="AI676">
        <f>IF([3]Entry!$K$679="","",[3]Entry!$K$679)</f>
        <v/>
      </c>
      <c r="AJ676">
        <f>IF([3]Entry!$L$679="","",[3]Entry!$L$679)</f>
        <v/>
      </c>
      <c r="AK676">
        <f>IF([3]Entry!$M$679="","",[3]Entry!$M$679)</f>
        <v/>
      </c>
      <c r="AL676">
        <f>IF([3]Entry!$N$679="","",[3]Entry!$N$679)</f>
        <v/>
      </c>
      <c r="AM676">
        <f>IF([3]Entry!$R$679="","",[3]Entry!$R$679)</f>
        <v/>
      </c>
    </row>
    <row r="677">
      <c r="T677">
        <f>IF([2]Baskol!$B$680="","",[2]Baskol!$B$680)</f>
        <v/>
      </c>
      <c r="U677">
        <f>IF([2]Baskol!$C$680="","",[2]Baskol!$C$680)</f>
        <v/>
      </c>
      <c r="V677">
        <f>IF([2]Baskol!$D$680="","",[2]Baskol!$D$680)</f>
        <v/>
      </c>
      <c r="W677">
        <f>IF([2]Baskol!$E$680="","",[2]Baskol!$E$680)</f>
        <v/>
      </c>
      <c r="X677">
        <f>IF([2]Baskol!$G$680="","",[2]Baskol!$G$680)</f>
        <v/>
      </c>
      <c r="Y677">
        <f>IF([2]Baskol!$I$680="","",[2]Baskol!$I$680)</f>
        <v/>
      </c>
      <c r="Z677">
        <f>IF([2]Baskol!$J$680="","",[2]Baskol!$J$680)</f>
        <v/>
      </c>
      <c r="AA677">
        <f>IF([2]Baskol!$K$680="","",[2]Baskol!$K$680)</f>
        <v/>
      </c>
      <c r="AB677">
        <f>IF([2]Baskol!$L$680="","",[2]Baskol!$L$680)</f>
        <v/>
      </c>
      <c r="AC677">
        <f>IF([2]Baskol!$N$680="","",[2]Baskol!$N$680)</f>
        <v/>
      </c>
      <c r="AD677">
        <f>IF([2]Baskol!$O$680="","",[2]Baskol!$O$680)</f>
        <v/>
      </c>
      <c r="AE677">
        <f>IF([3]Entry!$C$680="","",[3]Entry!$C$680)</f>
        <v/>
      </c>
      <c r="AF677">
        <f>IF([3]Entry!$D$680="","",[3]Entry!$D$680)</f>
        <v/>
      </c>
      <c r="AG677">
        <f>IF([3]Entry!$E$680="","",[3]Entry!$E$680)</f>
        <v/>
      </c>
      <c r="AH677">
        <f>IF([3]Entry!$G$680="","",[3]Entry!$G$680)</f>
        <v/>
      </c>
      <c r="AI677">
        <f>IF([3]Entry!$K$680="","",[3]Entry!$K$680)</f>
        <v/>
      </c>
      <c r="AJ677">
        <f>IF([3]Entry!$L$680="","",[3]Entry!$L$680)</f>
        <v/>
      </c>
      <c r="AK677">
        <f>IF([3]Entry!$M$680="","",[3]Entry!$M$680)</f>
        <v/>
      </c>
      <c r="AL677">
        <f>IF([3]Entry!$N$680="","",[3]Entry!$N$680)</f>
        <v/>
      </c>
      <c r="AM677">
        <f>IF([3]Entry!$R$680="","",[3]Entry!$R$680)</f>
        <v/>
      </c>
    </row>
    <row r="678">
      <c r="T678">
        <f>IF([2]Baskol!$B$681="","",[2]Baskol!$B$681)</f>
        <v/>
      </c>
      <c r="U678">
        <f>IF([2]Baskol!$C$681="","",[2]Baskol!$C$681)</f>
        <v/>
      </c>
      <c r="V678">
        <f>IF([2]Baskol!$D$681="","",[2]Baskol!$D$681)</f>
        <v/>
      </c>
      <c r="W678">
        <f>IF([2]Baskol!$E$681="","",[2]Baskol!$E$681)</f>
        <v/>
      </c>
      <c r="X678">
        <f>IF([2]Baskol!$G$681="","",[2]Baskol!$G$681)</f>
        <v/>
      </c>
      <c r="Y678">
        <f>IF([2]Baskol!$I$681="","",[2]Baskol!$I$681)</f>
        <v/>
      </c>
      <c r="Z678">
        <f>IF([2]Baskol!$J$681="","",[2]Baskol!$J$681)</f>
        <v/>
      </c>
      <c r="AA678">
        <f>IF([2]Baskol!$K$681="","",[2]Baskol!$K$681)</f>
        <v/>
      </c>
      <c r="AB678">
        <f>IF([2]Baskol!$L$681="","",[2]Baskol!$L$681)</f>
        <v/>
      </c>
      <c r="AC678">
        <f>IF([2]Baskol!$N$681="","",[2]Baskol!$N$681)</f>
        <v/>
      </c>
      <c r="AD678">
        <f>IF([2]Baskol!$O$681="","",[2]Baskol!$O$681)</f>
        <v/>
      </c>
      <c r="AE678">
        <f>IF([3]Entry!$C$681="","",[3]Entry!$C$681)</f>
        <v/>
      </c>
      <c r="AF678">
        <f>IF([3]Entry!$D$681="","",[3]Entry!$D$681)</f>
        <v/>
      </c>
      <c r="AG678">
        <f>IF([3]Entry!$E$681="","",[3]Entry!$E$681)</f>
        <v/>
      </c>
      <c r="AH678">
        <f>IF([3]Entry!$G$681="","",[3]Entry!$G$681)</f>
        <v/>
      </c>
      <c r="AI678">
        <f>IF([3]Entry!$K$681="","",[3]Entry!$K$681)</f>
        <v/>
      </c>
      <c r="AJ678">
        <f>IF([3]Entry!$L$681="","",[3]Entry!$L$681)</f>
        <v/>
      </c>
      <c r="AK678">
        <f>IF([3]Entry!$M$681="","",[3]Entry!$M$681)</f>
        <v/>
      </c>
      <c r="AL678">
        <f>IF([3]Entry!$N$681="","",[3]Entry!$N$681)</f>
        <v/>
      </c>
      <c r="AM678">
        <f>IF([3]Entry!$R$681="","",[3]Entry!$R$681)</f>
        <v/>
      </c>
    </row>
    <row r="679">
      <c r="T679">
        <f>IF([2]Baskol!$B$682="","",[2]Baskol!$B$682)</f>
        <v/>
      </c>
      <c r="U679">
        <f>IF([2]Baskol!$C$682="","",[2]Baskol!$C$682)</f>
        <v/>
      </c>
      <c r="V679">
        <f>IF([2]Baskol!$D$682="","",[2]Baskol!$D$682)</f>
        <v/>
      </c>
      <c r="W679">
        <f>IF([2]Baskol!$E$682="","",[2]Baskol!$E$682)</f>
        <v/>
      </c>
      <c r="X679">
        <f>IF([2]Baskol!$G$682="","",[2]Baskol!$G$682)</f>
        <v/>
      </c>
      <c r="Y679">
        <f>IF([2]Baskol!$I$682="","",[2]Baskol!$I$682)</f>
        <v/>
      </c>
      <c r="Z679">
        <f>IF([2]Baskol!$J$682="","",[2]Baskol!$J$682)</f>
        <v/>
      </c>
      <c r="AA679">
        <f>IF([2]Baskol!$K$682="","",[2]Baskol!$K$682)</f>
        <v/>
      </c>
      <c r="AB679">
        <f>IF([2]Baskol!$L$682="","",[2]Baskol!$L$682)</f>
        <v/>
      </c>
      <c r="AC679">
        <f>IF([2]Baskol!$N$682="","",[2]Baskol!$N$682)</f>
        <v/>
      </c>
      <c r="AD679">
        <f>IF([2]Baskol!$O$682="","",[2]Baskol!$O$682)</f>
        <v/>
      </c>
      <c r="AE679">
        <f>IF([3]Entry!$C$682="","",[3]Entry!$C$682)</f>
        <v/>
      </c>
      <c r="AF679">
        <f>IF([3]Entry!$D$682="","",[3]Entry!$D$682)</f>
        <v/>
      </c>
      <c r="AG679">
        <f>IF([3]Entry!$E$682="","",[3]Entry!$E$682)</f>
        <v/>
      </c>
      <c r="AH679">
        <f>IF([3]Entry!$G$682="","",[3]Entry!$G$682)</f>
        <v/>
      </c>
      <c r="AI679">
        <f>IF([3]Entry!$K$682="","",[3]Entry!$K$682)</f>
        <v/>
      </c>
      <c r="AJ679">
        <f>IF([3]Entry!$L$682="","",[3]Entry!$L$682)</f>
        <v/>
      </c>
      <c r="AK679">
        <f>IF([3]Entry!$M$682="","",[3]Entry!$M$682)</f>
        <v/>
      </c>
      <c r="AL679">
        <f>IF([3]Entry!$N$682="","",[3]Entry!$N$682)</f>
        <v/>
      </c>
      <c r="AM679">
        <f>IF([3]Entry!$R$682="","",[3]Entry!$R$682)</f>
        <v/>
      </c>
    </row>
    <row r="680">
      <c r="T680">
        <f>IF([2]Baskol!$B$683="","",[2]Baskol!$B$683)</f>
        <v/>
      </c>
      <c r="U680">
        <f>IF([2]Baskol!$C$683="","",[2]Baskol!$C$683)</f>
        <v/>
      </c>
      <c r="V680">
        <f>IF([2]Baskol!$D$683="","",[2]Baskol!$D$683)</f>
        <v/>
      </c>
      <c r="W680">
        <f>IF([2]Baskol!$E$683="","",[2]Baskol!$E$683)</f>
        <v/>
      </c>
      <c r="X680">
        <f>IF([2]Baskol!$G$683="","",[2]Baskol!$G$683)</f>
        <v/>
      </c>
      <c r="Y680">
        <f>IF([2]Baskol!$I$683="","",[2]Baskol!$I$683)</f>
        <v/>
      </c>
      <c r="Z680">
        <f>IF([2]Baskol!$J$683="","",[2]Baskol!$J$683)</f>
        <v/>
      </c>
      <c r="AA680">
        <f>IF([2]Baskol!$K$683="","",[2]Baskol!$K$683)</f>
        <v/>
      </c>
      <c r="AB680">
        <f>IF([2]Baskol!$L$683="","",[2]Baskol!$L$683)</f>
        <v/>
      </c>
      <c r="AC680">
        <f>IF([2]Baskol!$N$683="","",[2]Baskol!$N$683)</f>
        <v/>
      </c>
      <c r="AD680">
        <f>IF([2]Baskol!$O$683="","",[2]Baskol!$O$683)</f>
        <v/>
      </c>
      <c r="AE680">
        <f>IF([3]Entry!$C$683="","",[3]Entry!$C$683)</f>
        <v/>
      </c>
      <c r="AF680">
        <f>IF([3]Entry!$D$683="","",[3]Entry!$D$683)</f>
        <v/>
      </c>
      <c r="AG680">
        <f>IF([3]Entry!$E$683="","",[3]Entry!$E$683)</f>
        <v/>
      </c>
      <c r="AH680">
        <f>IF([3]Entry!$G$683="","",[3]Entry!$G$683)</f>
        <v/>
      </c>
      <c r="AI680">
        <f>IF([3]Entry!$K$683="","",[3]Entry!$K$683)</f>
        <v/>
      </c>
      <c r="AJ680">
        <f>IF([3]Entry!$L$683="","",[3]Entry!$L$683)</f>
        <v/>
      </c>
      <c r="AK680">
        <f>IF([3]Entry!$M$683="","",[3]Entry!$M$683)</f>
        <v/>
      </c>
      <c r="AL680">
        <f>IF([3]Entry!$N$683="","",[3]Entry!$N$683)</f>
        <v/>
      </c>
      <c r="AM680">
        <f>IF([3]Entry!$R$683="","",[3]Entry!$R$683)</f>
        <v/>
      </c>
    </row>
    <row r="681">
      <c r="T681">
        <f>IF([2]Baskol!$B$684="","",[2]Baskol!$B$684)</f>
        <v/>
      </c>
      <c r="U681">
        <f>IF([2]Baskol!$C$684="","",[2]Baskol!$C$684)</f>
        <v/>
      </c>
      <c r="V681">
        <f>IF([2]Baskol!$D$684="","",[2]Baskol!$D$684)</f>
        <v/>
      </c>
      <c r="W681">
        <f>IF([2]Baskol!$E$684="","",[2]Baskol!$E$684)</f>
        <v/>
      </c>
      <c r="X681">
        <f>IF([2]Baskol!$G$684="","",[2]Baskol!$G$684)</f>
        <v/>
      </c>
      <c r="Y681">
        <f>IF([2]Baskol!$I$684="","",[2]Baskol!$I$684)</f>
        <v/>
      </c>
      <c r="Z681">
        <f>IF([2]Baskol!$J$684="","",[2]Baskol!$J$684)</f>
        <v/>
      </c>
      <c r="AA681">
        <f>IF([2]Baskol!$K$684="","",[2]Baskol!$K$684)</f>
        <v/>
      </c>
      <c r="AB681">
        <f>IF([2]Baskol!$L$684="","",[2]Baskol!$L$684)</f>
        <v/>
      </c>
      <c r="AC681">
        <f>IF([2]Baskol!$N$684="","",[2]Baskol!$N$684)</f>
        <v/>
      </c>
      <c r="AD681">
        <f>IF([2]Baskol!$O$684="","",[2]Baskol!$O$684)</f>
        <v/>
      </c>
      <c r="AE681">
        <f>IF([3]Entry!$C$684="","",[3]Entry!$C$684)</f>
        <v/>
      </c>
      <c r="AF681">
        <f>IF([3]Entry!$D$684="","",[3]Entry!$D$684)</f>
        <v/>
      </c>
      <c r="AG681">
        <f>IF([3]Entry!$E$684="","",[3]Entry!$E$684)</f>
        <v/>
      </c>
      <c r="AH681">
        <f>IF([3]Entry!$G$684="","",[3]Entry!$G$684)</f>
        <v/>
      </c>
      <c r="AI681">
        <f>IF([3]Entry!$K$684="","",[3]Entry!$K$684)</f>
        <v/>
      </c>
      <c r="AJ681">
        <f>IF([3]Entry!$L$684="","",[3]Entry!$L$684)</f>
        <v/>
      </c>
      <c r="AK681">
        <f>IF([3]Entry!$M$684="","",[3]Entry!$M$684)</f>
        <v/>
      </c>
      <c r="AL681">
        <f>IF([3]Entry!$N$684="","",[3]Entry!$N$684)</f>
        <v/>
      </c>
      <c r="AM681">
        <f>IF([3]Entry!$R$684="","",[3]Entry!$R$684)</f>
        <v/>
      </c>
    </row>
    <row r="682">
      <c r="T682">
        <f>IF([2]Baskol!$B$685="","",[2]Baskol!$B$685)</f>
        <v/>
      </c>
      <c r="U682">
        <f>IF([2]Baskol!$C$685="","",[2]Baskol!$C$685)</f>
        <v/>
      </c>
      <c r="V682">
        <f>IF([2]Baskol!$D$685="","",[2]Baskol!$D$685)</f>
        <v/>
      </c>
      <c r="W682">
        <f>IF([2]Baskol!$E$685="","",[2]Baskol!$E$685)</f>
        <v/>
      </c>
      <c r="X682">
        <f>IF([2]Baskol!$G$685="","",[2]Baskol!$G$685)</f>
        <v/>
      </c>
      <c r="Y682">
        <f>IF([2]Baskol!$I$685="","",[2]Baskol!$I$685)</f>
        <v/>
      </c>
      <c r="Z682">
        <f>IF([2]Baskol!$J$685="","",[2]Baskol!$J$685)</f>
        <v/>
      </c>
      <c r="AA682">
        <f>IF([2]Baskol!$K$685="","",[2]Baskol!$K$685)</f>
        <v/>
      </c>
      <c r="AB682">
        <f>IF([2]Baskol!$L$685="","",[2]Baskol!$L$685)</f>
        <v/>
      </c>
      <c r="AC682">
        <f>IF([2]Baskol!$N$685="","",[2]Baskol!$N$685)</f>
        <v/>
      </c>
      <c r="AD682">
        <f>IF([2]Baskol!$O$685="","",[2]Baskol!$O$685)</f>
        <v/>
      </c>
      <c r="AE682">
        <f>IF([3]Entry!$C$685="","",[3]Entry!$C$685)</f>
        <v/>
      </c>
      <c r="AF682">
        <f>IF([3]Entry!$D$685="","",[3]Entry!$D$685)</f>
        <v/>
      </c>
      <c r="AG682">
        <f>IF([3]Entry!$E$685="","",[3]Entry!$E$685)</f>
        <v/>
      </c>
      <c r="AH682">
        <f>IF([3]Entry!$G$685="","",[3]Entry!$G$685)</f>
        <v/>
      </c>
      <c r="AI682">
        <f>IF([3]Entry!$K$685="","",[3]Entry!$K$685)</f>
        <v/>
      </c>
      <c r="AJ682">
        <f>IF([3]Entry!$L$685="","",[3]Entry!$L$685)</f>
        <v/>
      </c>
      <c r="AK682">
        <f>IF([3]Entry!$M$685="","",[3]Entry!$M$685)</f>
        <v/>
      </c>
      <c r="AL682">
        <f>IF([3]Entry!$N$685="","",[3]Entry!$N$685)</f>
        <v/>
      </c>
      <c r="AM682">
        <f>IF([3]Entry!$R$685="","",[3]Entry!$R$685)</f>
        <v/>
      </c>
    </row>
    <row r="683">
      <c r="T683">
        <f>IF([2]Baskol!$B$686="","",[2]Baskol!$B$686)</f>
        <v/>
      </c>
      <c r="U683">
        <f>IF([2]Baskol!$C$686="","",[2]Baskol!$C$686)</f>
        <v/>
      </c>
      <c r="V683">
        <f>IF([2]Baskol!$D$686="","",[2]Baskol!$D$686)</f>
        <v/>
      </c>
      <c r="W683">
        <f>IF([2]Baskol!$E$686="","",[2]Baskol!$E$686)</f>
        <v/>
      </c>
      <c r="X683">
        <f>IF([2]Baskol!$G$686="","",[2]Baskol!$G$686)</f>
        <v/>
      </c>
      <c r="Y683">
        <f>IF([2]Baskol!$I$686="","",[2]Baskol!$I$686)</f>
        <v/>
      </c>
      <c r="Z683">
        <f>IF([2]Baskol!$J$686="","",[2]Baskol!$J$686)</f>
        <v/>
      </c>
      <c r="AA683">
        <f>IF([2]Baskol!$K$686="","",[2]Baskol!$K$686)</f>
        <v/>
      </c>
      <c r="AB683">
        <f>IF([2]Baskol!$L$686="","",[2]Baskol!$L$686)</f>
        <v/>
      </c>
      <c r="AC683">
        <f>IF([2]Baskol!$N$686="","",[2]Baskol!$N$686)</f>
        <v/>
      </c>
      <c r="AD683">
        <f>IF([2]Baskol!$O$686="","",[2]Baskol!$O$686)</f>
        <v/>
      </c>
      <c r="AE683">
        <f>IF([3]Entry!$C$686="","",[3]Entry!$C$686)</f>
        <v/>
      </c>
      <c r="AF683">
        <f>IF([3]Entry!$D$686="","",[3]Entry!$D$686)</f>
        <v/>
      </c>
      <c r="AG683">
        <f>IF([3]Entry!$E$686="","",[3]Entry!$E$686)</f>
        <v/>
      </c>
      <c r="AH683">
        <f>IF([3]Entry!$G$686="","",[3]Entry!$G$686)</f>
        <v/>
      </c>
      <c r="AI683">
        <f>IF([3]Entry!$K$686="","",[3]Entry!$K$686)</f>
        <v/>
      </c>
      <c r="AJ683">
        <f>IF([3]Entry!$L$686="","",[3]Entry!$L$686)</f>
        <v/>
      </c>
      <c r="AK683">
        <f>IF([3]Entry!$M$686="","",[3]Entry!$M$686)</f>
        <v/>
      </c>
      <c r="AL683">
        <f>IF([3]Entry!$N$686="","",[3]Entry!$N$686)</f>
        <v/>
      </c>
      <c r="AM683">
        <f>IF([3]Entry!$R$686="","",[3]Entry!$R$686)</f>
        <v/>
      </c>
    </row>
    <row r="684">
      <c r="T684">
        <f>IF([2]Baskol!$B$687="","",[2]Baskol!$B$687)</f>
        <v/>
      </c>
      <c r="U684">
        <f>IF([2]Baskol!$C$687="","",[2]Baskol!$C$687)</f>
        <v/>
      </c>
      <c r="V684">
        <f>IF([2]Baskol!$D$687="","",[2]Baskol!$D$687)</f>
        <v/>
      </c>
      <c r="W684">
        <f>IF([2]Baskol!$E$687="","",[2]Baskol!$E$687)</f>
        <v/>
      </c>
      <c r="X684">
        <f>IF([2]Baskol!$G$687="","",[2]Baskol!$G$687)</f>
        <v/>
      </c>
      <c r="Y684">
        <f>IF([2]Baskol!$I$687="","",[2]Baskol!$I$687)</f>
        <v/>
      </c>
      <c r="Z684">
        <f>IF([2]Baskol!$J$687="","",[2]Baskol!$J$687)</f>
        <v/>
      </c>
      <c r="AA684">
        <f>IF([2]Baskol!$K$687="","",[2]Baskol!$K$687)</f>
        <v/>
      </c>
      <c r="AB684">
        <f>IF([2]Baskol!$L$687="","",[2]Baskol!$L$687)</f>
        <v/>
      </c>
      <c r="AC684">
        <f>IF([2]Baskol!$N$687="","",[2]Baskol!$N$687)</f>
        <v/>
      </c>
      <c r="AD684">
        <f>IF([2]Baskol!$O$687="","",[2]Baskol!$O$687)</f>
        <v/>
      </c>
      <c r="AE684">
        <f>IF([3]Entry!$C$687="","",[3]Entry!$C$687)</f>
        <v/>
      </c>
      <c r="AF684">
        <f>IF([3]Entry!$D$687="","",[3]Entry!$D$687)</f>
        <v/>
      </c>
      <c r="AG684">
        <f>IF([3]Entry!$E$687="","",[3]Entry!$E$687)</f>
        <v/>
      </c>
      <c r="AH684">
        <f>IF([3]Entry!$G$687="","",[3]Entry!$G$687)</f>
        <v/>
      </c>
      <c r="AI684">
        <f>IF([3]Entry!$K$687="","",[3]Entry!$K$687)</f>
        <v/>
      </c>
      <c r="AJ684">
        <f>IF([3]Entry!$L$687="","",[3]Entry!$L$687)</f>
        <v/>
      </c>
      <c r="AK684">
        <f>IF([3]Entry!$M$687="","",[3]Entry!$M$687)</f>
        <v/>
      </c>
      <c r="AL684">
        <f>IF([3]Entry!$N$687="","",[3]Entry!$N$687)</f>
        <v/>
      </c>
      <c r="AM684">
        <f>IF([3]Entry!$R$687="","",[3]Entry!$R$687)</f>
        <v/>
      </c>
    </row>
    <row r="685">
      <c r="T685">
        <f>IF([2]Baskol!$B$688="","",[2]Baskol!$B$688)</f>
        <v/>
      </c>
      <c r="U685">
        <f>IF([2]Baskol!$C$688="","",[2]Baskol!$C$688)</f>
        <v/>
      </c>
      <c r="V685">
        <f>IF([2]Baskol!$D$688="","",[2]Baskol!$D$688)</f>
        <v/>
      </c>
      <c r="W685">
        <f>IF([2]Baskol!$E$688="","",[2]Baskol!$E$688)</f>
        <v/>
      </c>
      <c r="X685">
        <f>IF([2]Baskol!$G$688="","",[2]Baskol!$G$688)</f>
        <v/>
      </c>
      <c r="Y685">
        <f>IF([2]Baskol!$I$688="","",[2]Baskol!$I$688)</f>
        <v/>
      </c>
      <c r="Z685">
        <f>IF([2]Baskol!$J$688="","",[2]Baskol!$J$688)</f>
        <v/>
      </c>
      <c r="AA685">
        <f>IF([2]Baskol!$K$688="","",[2]Baskol!$K$688)</f>
        <v/>
      </c>
      <c r="AB685">
        <f>IF([2]Baskol!$L$688="","",[2]Baskol!$L$688)</f>
        <v/>
      </c>
      <c r="AC685">
        <f>IF([2]Baskol!$N$688="","",[2]Baskol!$N$688)</f>
        <v/>
      </c>
      <c r="AD685">
        <f>IF([2]Baskol!$O$688="","",[2]Baskol!$O$688)</f>
        <v/>
      </c>
      <c r="AE685">
        <f>IF([3]Entry!$C$688="","",[3]Entry!$C$688)</f>
        <v/>
      </c>
      <c r="AF685">
        <f>IF([3]Entry!$D$688="","",[3]Entry!$D$688)</f>
        <v/>
      </c>
      <c r="AG685">
        <f>IF([3]Entry!$E$688="","",[3]Entry!$E$688)</f>
        <v/>
      </c>
      <c r="AH685">
        <f>IF([3]Entry!$G$688="","",[3]Entry!$G$688)</f>
        <v/>
      </c>
      <c r="AI685">
        <f>IF([3]Entry!$K$688="","",[3]Entry!$K$688)</f>
        <v/>
      </c>
      <c r="AJ685">
        <f>IF([3]Entry!$L$688="","",[3]Entry!$L$688)</f>
        <v/>
      </c>
      <c r="AK685">
        <f>IF([3]Entry!$M$688="","",[3]Entry!$M$688)</f>
        <v/>
      </c>
      <c r="AL685">
        <f>IF([3]Entry!$N$688="","",[3]Entry!$N$688)</f>
        <v/>
      </c>
      <c r="AM685">
        <f>IF([3]Entry!$R$688="","",[3]Entry!$R$688)</f>
        <v/>
      </c>
    </row>
    <row r="686">
      <c r="T686">
        <f>IF([2]Baskol!$B$689="","",[2]Baskol!$B$689)</f>
        <v/>
      </c>
      <c r="U686">
        <f>IF([2]Baskol!$C$689="","",[2]Baskol!$C$689)</f>
        <v/>
      </c>
      <c r="V686">
        <f>IF([2]Baskol!$D$689="","",[2]Baskol!$D$689)</f>
        <v/>
      </c>
      <c r="W686">
        <f>IF([2]Baskol!$E$689="","",[2]Baskol!$E$689)</f>
        <v/>
      </c>
      <c r="X686">
        <f>IF([2]Baskol!$G$689="","",[2]Baskol!$G$689)</f>
        <v/>
      </c>
      <c r="Y686">
        <f>IF([2]Baskol!$I$689="","",[2]Baskol!$I$689)</f>
        <v/>
      </c>
      <c r="Z686">
        <f>IF([2]Baskol!$J$689="","",[2]Baskol!$J$689)</f>
        <v/>
      </c>
      <c r="AA686">
        <f>IF([2]Baskol!$K$689="","",[2]Baskol!$K$689)</f>
        <v/>
      </c>
      <c r="AB686">
        <f>IF([2]Baskol!$L$689="","",[2]Baskol!$L$689)</f>
        <v/>
      </c>
      <c r="AC686">
        <f>IF([2]Baskol!$N$689="","",[2]Baskol!$N$689)</f>
        <v/>
      </c>
      <c r="AD686">
        <f>IF([2]Baskol!$O$689="","",[2]Baskol!$O$689)</f>
        <v/>
      </c>
      <c r="AE686">
        <f>IF([3]Entry!$C$689="","",[3]Entry!$C$689)</f>
        <v/>
      </c>
      <c r="AF686">
        <f>IF([3]Entry!$D$689="","",[3]Entry!$D$689)</f>
        <v/>
      </c>
      <c r="AG686">
        <f>IF([3]Entry!$E$689="","",[3]Entry!$E$689)</f>
        <v/>
      </c>
      <c r="AH686">
        <f>IF([3]Entry!$G$689="","",[3]Entry!$G$689)</f>
        <v/>
      </c>
      <c r="AI686">
        <f>IF([3]Entry!$K$689="","",[3]Entry!$K$689)</f>
        <v/>
      </c>
      <c r="AJ686">
        <f>IF([3]Entry!$L$689="","",[3]Entry!$L$689)</f>
        <v/>
      </c>
      <c r="AK686">
        <f>IF([3]Entry!$M$689="","",[3]Entry!$M$689)</f>
        <v/>
      </c>
      <c r="AL686">
        <f>IF([3]Entry!$N$689="","",[3]Entry!$N$689)</f>
        <v/>
      </c>
      <c r="AM686">
        <f>IF([3]Entry!$R$689="","",[3]Entry!$R$689)</f>
        <v/>
      </c>
    </row>
    <row r="687">
      <c r="T687">
        <f>IF([2]Baskol!$B$690="","",[2]Baskol!$B$690)</f>
        <v/>
      </c>
      <c r="U687">
        <f>IF([2]Baskol!$C$690="","",[2]Baskol!$C$690)</f>
        <v/>
      </c>
      <c r="V687">
        <f>IF([2]Baskol!$D$690="","",[2]Baskol!$D$690)</f>
        <v/>
      </c>
      <c r="W687">
        <f>IF([2]Baskol!$E$690="","",[2]Baskol!$E$690)</f>
        <v/>
      </c>
      <c r="X687">
        <f>IF([2]Baskol!$G$690="","",[2]Baskol!$G$690)</f>
        <v/>
      </c>
      <c r="Y687">
        <f>IF([2]Baskol!$I$690="","",[2]Baskol!$I$690)</f>
        <v/>
      </c>
      <c r="Z687">
        <f>IF([2]Baskol!$J$690="","",[2]Baskol!$J$690)</f>
        <v/>
      </c>
      <c r="AA687">
        <f>IF([2]Baskol!$K$690="","",[2]Baskol!$K$690)</f>
        <v/>
      </c>
      <c r="AB687">
        <f>IF([2]Baskol!$L$690="","",[2]Baskol!$L$690)</f>
        <v/>
      </c>
      <c r="AC687">
        <f>IF([2]Baskol!$N$690="","",[2]Baskol!$N$690)</f>
        <v/>
      </c>
      <c r="AD687">
        <f>IF([2]Baskol!$O$690="","",[2]Baskol!$O$690)</f>
        <v/>
      </c>
      <c r="AE687">
        <f>IF([3]Entry!$C$690="","",[3]Entry!$C$690)</f>
        <v/>
      </c>
      <c r="AF687">
        <f>IF([3]Entry!$D$690="","",[3]Entry!$D$690)</f>
        <v/>
      </c>
      <c r="AG687">
        <f>IF([3]Entry!$E$690="","",[3]Entry!$E$690)</f>
        <v/>
      </c>
      <c r="AH687">
        <f>IF([3]Entry!$G$690="","",[3]Entry!$G$690)</f>
        <v/>
      </c>
      <c r="AI687">
        <f>IF([3]Entry!$K$690="","",[3]Entry!$K$690)</f>
        <v/>
      </c>
      <c r="AJ687">
        <f>IF([3]Entry!$L$690="","",[3]Entry!$L$690)</f>
        <v/>
      </c>
      <c r="AK687">
        <f>IF([3]Entry!$M$690="","",[3]Entry!$M$690)</f>
        <v/>
      </c>
      <c r="AL687">
        <f>IF([3]Entry!$N$690="","",[3]Entry!$N$690)</f>
        <v/>
      </c>
      <c r="AM687">
        <f>IF([3]Entry!$R$690="","",[3]Entry!$R$690)</f>
        <v/>
      </c>
    </row>
    <row r="688">
      <c r="T688">
        <f>IF([2]Baskol!$B$691="","",[2]Baskol!$B$691)</f>
        <v/>
      </c>
      <c r="U688">
        <f>IF([2]Baskol!$C$691="","",[2]Baskol!$C$691)</f>
        <v/>
      </c>
      <c r="V688">
        <f>IF([2]Baskol!$D$691="","",[2]Baskol!$D$691)</f>
        <v/>
      </c>
      <c r="W688">
        <f>IF([2]Baskol!$E$691="","",[2]Baskol!$E$691)</f>
        <v/>
      </c>
      <c r="X688">
        <f>IF([2]Baskol!$G$691="","",[2]Baskol!$G$691)</f>
        <v/>
      </c>
      <c r="Y688">
        <f>IF([2]Baskol!$I$691="","",[2]Baskol!$I$691)</f>
        <v/>
      </c>
      <c r="Z688">
        <f>IF([2]Baskol!$J$691="","",[2]Baskol!$J$691)</f>
        <v/>
      </c>
      <c r="AA688">
        <f>IF([2]Baskol!$K$691="","",[2]Baskol!$K$691)</f>
        <v/>
      </c>
      <c r="AB688">
        <f>IF([2]Baskol!$L$691="","",[2]Baskol!$L$691)</f>
        <v/>
      </c>
      <c r="AC688">
        <f>IF([2]Baskol!$N$691="","",[2]Baskol!$N$691)</f>
        <v/>
      </c>
      <c r="AD688">
        <f>IF([2]Baskol!$O$691="","",[2]Baskol!$O$691)</f>
        <v/>
      </c>
      <c r="AE688">
        <f>IF([3]Entry!$C$691="","",[3]Entry!$C$691)</f>
        <v/>
      </c>
      <c r="AF688">
        <f>IF([3]Entry!$D$691="","",[3]Entry!$D$691)</f>
        <v/>
      </c>
      <c r="AG688">
        <f>IF([3]Entry!$E$691="","",[3]Entry!$E$691)</f>
        <v/>
      </c>
      <c r="AH688">
        <f>IF([3]Entry!$G$691="","",[3]Entry!$G$691)</f>
        <v/>
      </c>
      <c r="AI688">
        <f>IF([3]Entry!$K$691="","",[3]Entry!$K$691)</f>
        <v/>
      </c>
      <c r="AJ688">
        <f>IF([3]Entry!$L$691="","",[3]Entry!$L$691)</f>
        <v/>
      </c>
      <c r="AK688">
        <f>IF([3]Entry!$M$691="","",[3]Entry!$M$691)</f>
        <v/>
      </c>
      <c r="AL688">
        <f>IF([3]Entry!$N$691="","",[3]Entry!$N$691)</f>
        <v/>
      </c>
      <c r="AM688">
        <f>IF([3]Entry!$R$691="","",[3]Entry!$R$691)</f>
        <v/>
      </c>
    </row>
    <row r="689">
      <c r="T689">
        <f>IF([2]Baskol!$B$692="","",[2]Baskol!$B$692)</f>
        <v/>
      </c>
      <c r="U689">
        <f>IF([2]Baskol!$C$692="","",[2]Baskol!$C$692)</f>
        <v/>
      </c>
      <c r="V689">
        <f>IF([2]Baskol!$D$692="","",[2]Baskol!$D$692)</f>
        <v/>
      </c>
      <c r="W689">
        <f>IF([2]Baskol!$E$692="","",[2]Baskol!$E$692)</f>
        <v/>
      </c>
      <c r="X689">
        <f>IF([2]Baskol!$G$692="","",[2]Baskol!$G$692)</f>
        <v/>
      </c>
      <c r="Y689">
        <f>IF([2]Baskol!$I$692="","",[2]Baskol!$I$692)</f>
        <v/>
      </c>
      <c r="Z689">
        <f>IF([2]Baskol!$J$692="","",[2]Baskol!$J$692)</f>
        <v/>
      </c>
      <c r="AA689">
        <f>IF([2]Baskol!$K$692="","",[2]Baskol!$K$692)</f>
        <v/>
      </c>
      <c r="AB689">
        <f>IF([2]Baskol!$L$692="","",[2]Baskol!$L$692)</f>
        <v/>
      </c>
      <c r="AC689">
        <f>IF([2]Baskol!$N$692="","",[2]Baskol!$N$692)</f>
        <v/>
      </c>
      <c r="AD689">
        <f>IF([2]Baskol!$O$692="","",[2]Baskol!$O$692)</f>
        <v/>
      </c>
      <c r="AE689">
        <f>IF([3]Entry!$C$692="","",[3]Entry!$C$692)</f>
        <v/>
      </c>
      <c r="AF689">
        <f>IF([3]Entry!$D$692="","",[3]Entry!$D$692)</f>
        <v/>
      </c>
      <c r="AG689">
        <f>IF([3]Entry!$E$692="","",[3]Entry!$E$692)</f>
        <v/>
      </c>
      <c r="AH689">
        <f>IF([3]Entry!$G$692="","",[3]Entry!$G$692)</f>
        <v/>
      </c>
      <c r="AI689">
        <f>IF([3]Entry!$K$692="","",[3]Entry!$K$692)</f>
        <v/>
      </c>
      <c r="AJ689">
        <f>IF([3]Entry!$L$692="","",[3]Entry!$L$692)</f>
        <v/>
      </c>
      <c r="AK689">
        <f>IF([3]Entry!$M$692="","",[3]Entry!$M$692)</f>
        <v/>
      </c>
      <c r="AL689">
        <f>IF([3]Entry!$N$692="","",[3]Entry!$N$692)</f>
        <v/>
      </c>
      <c r="AM689">
        <f>IF([3]Entry!$R$692="","",[3]Entry!$R$692)</f>
        <v/>
      </c>
    </row>
    <row r="690">
      <c r="T690">
        <f>IF([2]Baskol!$B$693="","",[2]Baskol!$B$693)</f>
        <v/>
      </c>
      <c r="U690">
        <f>IF([2]Baskol!$C$693="","",[2]Baskol!$C$693)</f>
        <v/>
      </c>
      <c r="V690">
        <f>IF([2]Baskol!$D$693="","",[2]Baskol!$D$693)</f>
        <v/>
      </c>
      <c r="W690">
        <f>IF([2]Baskol!$E$693="","",[2]Baskol!$E$693)</f>
        <v/>
      </c>
      <c r="X690">
        <f>IF([2]Baskol!$G$693="","",[2]Baskol!$G$693)</f>
        <v/>
      </c>
      <c r="Y690">
        <f>IF([2]Baskol!$I$693="","",[2]Baskol!$I$693)</f>
        <v/>
      </c>
      <c r="Z690">
        <f>IF([2]Baskol!$J$693="","",[2]Baskol!$J$693)</f>
        <v/>
      </c>
      <c r="AA690">
        <f>IF([2]Baskol!$K$693="","",[2]Baskol!$K$693)</f>
        <v/>
      </c>
      <c r="AB690">
        <f>IF([2]Baskol!$L$693="","",[2]Baskol!$L$693)</f>
        <v/>
      </c>
      <c r="AC690">
        <f>IF([2]Baskol!$N$693="","",[2]Baskol!$N$693)</f>
        <v/>
      </c>
      <c r="AD690">
        <f>IF([2]Baskol!$O$693="","",[2]Baskol!$O$693)</f>
        <v/>
      </c>
      <c r="AE690">
        <f>IF([3]Entry!$C$693="","",[3]Entry!$C$693)</f>
        <v/>
      </c>
      <c r="AF690">
        <f>IF([3]Entry!$D$693="","",[3]Entry!$D$693)</f>
        <v/>
      </c>
      <c r="AG690">
        <f>IF([3]Entry!$E$693="","",[3]Entry!$E$693)</f>
        <v/>
      </c>
      <c r="AH690">
        <f>IF([3]Entry!$G$693="","",[3]Entry!$G$693)</f>
        <v/>
      </c>
      <c r="AI690">
        <f>IF([3]Entry!$K$693="","",[3]Entry!$K$693)</f>
        <v/>
      </c>
      <c r="AJ690">
        <f>IF([3]Entry!$L$693="","",[3]Entry!$L$693)</f>
        <v/>
      </c>
      <c r="AK690">
        <f>IF([3]Entry!$M$693="","",[3]Entry!$M$693)</f>
        <v/>
      </c>
      <c r="AL690">
        <f>IF([3]Entry!$N$693="","",[3]Entry!$N$693)</f>
        <v/>
      </c>
      <c r="AM690">
        <f>IF([3]Entry!$R$693="","",[3]Entry!$R$693)</f>
        <v/>
      </c>
    </row>
    <row r="691">
      <c r="T691">
        <f>IF([2]Baskol!$B$694="","",[2]Baskol!$B$694)</f>
        <v/>
      </c>
      <c r="U691">
        <f>IF([2]Baskol!$C$694="","",[2]Baskol!$C$694)</f>
        <v/>
      </c>
      <c r="V691">
        <f>IF([2]Baskol!$D$694="","",[2]Baskol!$D$694)</f>
        <v/>
      </c>
      <c r="W691">
        <f>IF([2]Baskol!$E$694="","",[2]Baskol!$E$694)</f>
        <v/>
      </c>
      <c r="X691">
        <f>IF([2]Baskol!$G$694="","",[2]Baskol!$G$694)</f>
        <v/>
      </c>
      <c r="Y691">
        <f>IF([2]Baskol!$I$694="","",[2]Baskol!$I$694)</f>
        <v/>
      </c>
      <c r="Z691">
        <f>IF([2]Baskol!$J$694="","",[2]Baskol!$J$694)</f>
        <v/>
      </c>
      <c r="AA691">
        <f>IF([2]Baskol!$K$694="","",[2]Baskol!$K$694)</f>
        <v/>
      </c>
      <c r="AB691">
        <f>IF([2]Baskol!$L$694="","",[2]Baskol!$L$694)</f>
        <v/>
      </c>
      <c r="AC691">
        <f>IF([2]Baskol!$N$694="","",[2]Baskol!$N$694)</f>
        <v/>
      </c>
      <c r="AD691">
        <f>IF([2]Baskol!$O$694="","",[2]Baskol!$O$694)</f>
        <v/>
      </c>
      <c r="AE691">
        <f>IF([3]Entry!$C$694="","",[3]Entry!$C$694)</f>
        <v/>
      </c>
      <c r="AF691">
        <f>IF([3]Entry!$D$694="","",[3]Entry!$D$694)</f>
        <v/>
      </c>
      <c r="AG691">
        <f>IF([3]Entry!$E$694="","",[3]Entry!$E$694)</f>
        <v/>
      </c>
      <c r="AH691">
        <f>IF([3]Entry!$G$694="","",[3]Entry!$G$694)</f>
        <v/>
      </c>
      <c r="AI691">
        <f>IF([3]Entry!$K$694="","",[3]Entry!$K$694)</f>
        <v/>
      </c>
      <c r="AJ691">
        <f>IF([3]Entry!$L$694="","",[3]Entry!$L$694)</f>
        <v/>
      </c>
      <c r="AK691">
        <f>IF([3]Entry!$M$694="","",[3]Entry!$M$694)</f>
        <v/>
      </c>
      <c r="AL691">
        <f>IF([3]Entry!$N$694="","",[3]Entry!$N$694)</f>
        <v/>
      </c>
      <c r="AM691">
        <f>IF([3]Entry!$R$694="","",[3]Entry!$R$694)</f>
        <v/>
      </c>
    </row>
    <row r="692">
      <c r="T692">
        <f>IF([2]Baskol!$B$695="","",[2]Baskol!$B$695)</f>
        <v/>
      </c>
      <c r="U692">
        <f>IF([2]Baskol!$C$695="","",[2]Baskol!$C$695)</f>
        <v/>
      </c>
      <c r="V692">
        <f>IF([2]Baskol!$D$695="","",[2]Baskol!$D$695)</f>
        <v/>
      </c>
      <c r="W692">
        <f>IF([2]Baskol!$E$695="","",[2]Baskol!$E$695)</f>
        <v/>
      </c>
      <c r="X692">
        <f>IF([2]Baskol!$G$695="","",[2]Baskol!$G$695)</f>
        <v/>
      </c>
      <c r="Y692">
        <f>IF([2]Baskol!$I$695="","",[2]Baskol!$I$695)</f>
        <v/>
      </c>
      <c r="Z692">
        <f>IF([2]Baskol!$J$695="","",[2]Baskol!$J$695)</f>
        <v/>
      </c>
      <c r="AA692">
        <f>IF([2]Baskol!$K$695="","",[2]Baskol!$K$695)</f>
        <v/>
      </c>
      <c r="AB692">
        <f>IF([2]Baskol!$L$695="","",[2]Baskol!$L$695)</f>
        <v/>
      </c>
      <c r="AC692">
        <f>IF([2]Baskol!$N$695="","",[2]Baskol!$N$695)</f>
        <v/>
      </c>
      <c r="AD692">
        <f>IF([2]Baskol!$O$695="","",[2]Baskol!$O$695)</f>
        <v/>
      </c>
      <c r="AE692">
        <f>IF([3]Entry!$C$695="","",[3]Entry!$C$695)</f>
        <v/>
      </c>
      <c r="AF692">
        <f>IF([3]Entry!$D$695="","",[3]Entry!$D$695)</f>
        <v/>
      </c>
      <c r="AG692">
        <f>IF([3]Entry!$E$695="","",[3]Entry!$E$695)</f>
        <v/>
      </c>
      <c r="AH692">
        <f>IF([3]Entry!$G$695="","",[3]Entry!$G$695)</f>
        <v/>
      </c>
      <c r="AI692">
        <f>IF([3]Entry!$K$695="","",[3]Entry!$K$695)</f>
        <v/>
      </c>
      <c r="AJ692">
        <f>IF([3]Entry!$L$695="","",[3]Entry!$L$695)</f>
        <v/>
      </c>
      <c r="AK692">
        <f>IF([3]Entry!$M$695="","",[3]Entry!$M$695)</f>
        <v/>
      </c>
      <c r="AL692">
        <f>IF([3]Entry!$N$695="","",[3]Entry!$N$695)</f>
        <v/>
      </c>
      <c r="AM692">
        <f>IF([3]Entry!$R$695="","",[3]Entry!$R$695)</f>
        <v/>
      </c>
    </row>
    <row r="693">
      <c r="T693">
        <f>IF([2]Baskol!$B$696="","",[2]Baskol!$B$696)</f>
        <v/>
      </c>
      <c r="U693">
        <f>IF([2]Baskol!$C$696="","",[2]Baskol!$C$696)</f>
        <v/>
      </c>
      <c r="V693">
        <f>IF([2]Baskol!$D$696="","",[2]Baskol!$D$696)</f>
        <v/>
      </c>
      <c r="W693">
        <f>IF([2]Baskol!$E$696="","",[2]Baskol!$E$696)</f>
        <v/>
      </c>
      <c r="X693">
        <f>IF([2]Baskol!$G$696="","",[2]Baskol!$G$696)</f>
        <v/>
      </c>
      <c r="Y693">
        <f>IF([2]Baskol!$I$696="","",[2]Baskol!$I$696)</f>
        <v/>
      </c>
      <c r="Z693">
        <f>IF([2]Baskol!$J$696="","",[2]Baskol!$J$696)</f>
        <v/>
      </c>
      <c r="AA693">
        <f>IF([2]Baskol!$K$696="","",[2]Baskol!$K$696)</f>
        <v/>
      </c>
      <c r="AB693">
        <f>IF([2]Baskol!$L$696="","",[2]Baskol!$L$696)</f>
        <v/>
      </c>
      <c r="AC693">
        <f>IF([2]Baskol!$N$696="","",[2]Baskol!$N$696)</f>
        <v/>
      </c>
      <c r="AD693">
        <f>IF([2]Baskol!$O$696="","",[2]Baskol!$O$696)</f>
        <v/>
      </c>
      <c r="AE693">
        <f>IF([3]Entry!$C$696="","",[3]Entry!$C$696)</f>
        <v/>
      </c>
      <c r="AF693">
        <f>IF([3]Entry!$D$696="","",[3]Entry!$D$696)</f>
        <v/>
      </c>
      <c r="AG693">
        <f>IF([3]Entry!$E$696="","",[3]Entry!$E$696)</f>
        <v/>
      </c>
      <c r="AH693">
        <f>IF([3]Entry!$G$696="","",[3]Entry!$G$696)</f>
        <v/>
      </c>
      <c r="AI693">
        <f>IF([3]Entry!$K$696="","",[3]Entry!$K$696)</f>
        <v/>
      </c>
      <c r="AJ693">
        <f>IF([3]Entry!$L$696="","",[3]Entry!$L$696)</f>
        <v/>
      </c>
      <c r="AK693">
        <f>IF([3]Entry!$M$696="","",[3]Entry!$M$696)</f>
        <v/>
      </c>
      <c r="AL693">
        <f>IF([3]Entry!$N$696="","",[3]Entry!$N$696)</f>
        <v/>
      </c>
      <c r="AM693">
        <f>IF([3]Entry!$R$696="","",[3]Entry!$R$696)</f>
        <v/>
      </c>
    </row>
    <row r="694">
      <c r="T694">
        <f>IF([2]Baskol!$B$697="","",[2]Baskol!$B$697)</f>
        <v/>
      </c>
      <c r="U694">
        <f>IF([2]Baskol!$C$697="","",[2]Baskol!$C$697)</f>
        <v/>
      </c>
      <c r="V694">
        <f>IF([2]Baskol!$D$697="","",[2]Baskol!$D$697)</f>
        <v/>
      </c>
      <c r="W694">
        <f>IF([2]Baskol!$E$697="","",[2]Baskol!$E$697)</f>
        <v/>
      </c>
      <c r="X694">
        <f>IF([2]Baskol!$G$697="","",[2]Baskol!$G$697)</f>
        <v/>
      </c>
      <c r="Y694">
        <f>IF([2]Baskol!$I$697="","",[2]Baskol!$I$697)</f>
        <v/>
      </c>
      <c r="Z694">
        <f>IF([2]Baskol!$J$697="","",[2]Baskol!$J$697)</f>
        <v/>
      </c>
      <c r="AA694">
        <f>IF([2]Baskol!$K$697="","",[2]Baskol!$K$697)</f>
        <v/>
      </c>
      <c r="AB694">
        <f>IF([2]Baskol!$L$697="","",[2]Baskol!$L$697)</f>
        <v/>
      </c>
      <c r="AC694">
        <f>IF([2]Baskol!$N$697="","",[2]Baskol!$N$697)</f>
        <v/>
      </c>
      <c r="AD694">
        <f>IF([2]Baskol!$O$697="","",[2]Baskol!$O$697)</f>
        <v/>
      </c>
      <c r="AE694">
        <f>IF([3]Entry!$C$697="","",[3]Entry!$C$697)</f>
        <v/>
      </c>
      <c r="AF694">
        <f>IF([3]Entry!$D$697="","",[3]Entry!$D$697)</f>
        <v/>
      </c>
      <c r="AG694">
        <f>IF([3]Entry!$E$697="","",[3]Entry!$E$697)</f>
        <v/>
      </c>
      <c r="AH694">
        <f>IF([3]Entry!$G$697="","",[3]Entry!$G$697)</f>
        <v/>
      </c>
      <c r="AI694">
        <f>IF([3]Entry!$K$697="","",[3]Entry!$K$697)</f>
        <v/>
      </c>
      <c r="AJ694">
        <f>IF([3]Entry!$L$697="","",[3]Entry!$L$697)</f>
        <v/>
      </c>
      <c r="AK694">
        <f>IF([3]Entry!$M$697="","",[3]Entry!$M$697)</f>
        <v/>
      </c>
      <c r="AL694">
        <f>IF([3]Entry!$N$697="","",[3]Entry!$N$697)</f>
        <v/>
      </c>
      <c r="AM694">
        <f>IF([3]Entry!$R$697="","",[3]Entry!$R$697)</f>
        <v/>
      </c>
    </row>
    <row r="695">
      <c r="T695">
        <f>IF([2]Baskol!$B$698="","",[2]Baskol!$B$698)</f>
        <v/>
      </c>
      <c r="U695">
        <f>IF([2]Baskol!$C$698="","",[2]Baskol!$C$698)</f>
        <v/>
      </c>
      <c r="V695">
        <f>IF([2]Baskol!$D$698="","",[2]Baskol!$D$698)</f>
        <v/>
      </c>
      <c r="W695">
        <f>IF([2]Baskol!$E$698="","",[2]Baskol!$E$698)</f>
        <v/>
      </c>
      <c r="X695">
        <f>IF([2]Baskol!$G$698="","",[2]Baskol!$G$698)</f>
        <v/>
      </c>
      <c r="Y695">
        <f>IF([2]Baskol!$I$698="","",[2]Baskol!$I$698)</f>
        <v/>
      </c>
      <c r="Z695">
        <f>IF([2]Baskol!$J$698="","",[2]Baskol!$J$698)</f>
        <v/>
      </c>
      <c r="AA695">
        <f>IF([2]Baskol!$K$698="","",[2]Baskol!$K$698)</f>
        <v/>
      </c>
      <c r="AB695">
        <f>IF([2]Baskol!$L$698="","",[2]Baskol!$L$698)</f>
        <v/>
      </c>
      <c r="AC695">
        <f>IF([2]Baskol!$N$698="","",[2]Baskol!$N$698)</f>
        <v/>
      </c>
      <c r="AD695">
        <f>IF([2]Baskol!$O$698="","",[2]Baskol!$O$698)</f>
        <v/>
      </c>
      <c r="AE695">
        <f>IF([3]Entry!$C$698="","",[3]Entry!$C$698)</f>
        <v/>
      </c>
      <c r="AF695">
        <f>IF([3]Entry!$D$698="","",[3]Entry!$D$698)</f>
        <v/>
      </c>
      <c r="AG695">
        <f>IF([3]Entry!$E$698="","",[3]Entry!$E$698)</f>
        <v/>
      </c>
      <c r="AH695">
        <f>IF([3]Entry!$G$698="","",[3]Entry!$G$698)</f>
        <v/>
      </c>
      <c r="AI695">
        <f>IF([3]Entry!$K$698="","",[3]Entry!$K$698)</f>
        <v/>
      </c>
      <c r="AJ695">
        <f>IF([3]Entry!$L$698="","",[3]Entry!$L$698)</f>
        <v/>
      </c>
      <c r="AK695">
        <f>IF([3]Entry!$M$698="","",[3]Entry!$M$698)</f>
        <v/>
      </c>
      <c r="AL695">
        <f>IF([3]Entry!$N$698="","",[3]Entry!$N$698)</f>
        <v/>
      </c>
      <c r="AM695">
        <f>IF([3]Entry!$R$698="","",[3]Entry!$R$698)</f>
        <v/>
      </c>
    </row>
    <row r="696">
      <c r="T696">
        <f>IF([2]Baskol!$B$699="","",[2]Baskol!$B$699)</f>
        <v/>
      </c>
      <c r="U696">
        <f>IF([2]Baskol!$C$699="","",[2]Baskol!$C$699)</f>
        <v/>
      </c>
      <c r="V696">
        <f>IF([2]Baskol!$D$699="","",[2]Baskol!$D$699)</f>
        <v/>
      </c>
      <c r="W696">
        <f>IF([2]Baskol!$E$699="","",[2]Baskol!$E$699)</f>
        <v/>
      </c>
      <c r="X696">
        <f>IF([2]Baskol!$G$699="","",[2]Baskol!$G$699)</f>
        <v/>
      </c>
      <c r="Y696">
        <f>IF([2]Baskol!$I$699="","",[2]Baskol!$I$699)</f>
        <v/>
      </c>
      <c r="Z696">
        <f>IF([2]Baskol!$J$699="","",[2]Baskol!$J$699)</f>
        <v/>
      </c>
      <c r="AA696">
        <f>IF([2]Baskol!$K$699="","",[2]Baskol!$K$699)</f>
        <v/>
      </c>
      <c r="AB696">
        <f>IF([2]Baskol!$L$699="","",[2]Baskol!$L$699)</f>
        <v/>
      </c>
      <c r="AC696">
        <f>IF([2]Baskol!$N$699="","",[2]Baskol!$N$699)</f>
        <v/>
      </c>
      <c r="AD696">
        <f>IF([2]Baskol!$O$699="","",[2]Baskol!$O$699)</f>
        <v/>
      </c>
      <c r="AE696">
        <f>IF([3]Entry!$C$699="","",[3]Entry!$C$699)</f>
        <v/>
      </c>
      <c r="AF696">
        <f>IF([3]Entry!$D$699="","",[3]Entry!$D$699)</f>
        <v/>
      </c>
      <c r="AG696">
        <f>IF([3]Entry!$E$699="","",[3]Entry!$E$699)</f>
        <v/>
      </c>
      <c r="AH696">
        <f>IF([3]Entry!$G$699="","",[3]Entry!$G$699)</f>
        <v/>
      </c>
      <c r="AI696">
        <f>IF([3]Entry!$K$699="","",[3]Entry!$K$699)</f>
        <v/>
      </c>
      <c r="AJ696">
        <f>IF([3]Entry!$L$699="","",[3]Entry!$L$699)</f>
        <v/>
      </c>
      <c r="AK696">
        <f>IF([3]Entry!$M$699="","",[3]Entry!$M$699)</f>
        <v/>
      </c>
      <c r="AL696">
        <f>IF([3]Entry!$N$699="","",[3]Entry!$N$699)</f>
        <v/>
      </c>
      <c r="AM696">
        <f>IF([3]Entry!$R$699="","",[3]Entry!$R$699)</f>
        <v/>
      </c>
    </row>
    <row r="697">
      <c r="T697">
        <f>IF([2]Baskol!$B$700="","",[2]Baskol!$B$700)</f>
        <v/>
      </c>
      <c r="U697">
        <f>IF([2]Baskol!$C$700="","",[2]Baskol!$C$700)</f>
        <v/>
      </c>
      <c r="V697">
        <f>IF([2]Baskol!$D$700="","",[2]Baskol!$D$700)</f>
        <v/>
      </c>
      <c r="W697">
        <f>IF([2]Baskol!$E$700="","",[2]Baskol!$E$700)</f>
        <v/>
      </c>
      <c r="X697">
        <f>IF([2]Baskol!$G$700="","",[2]Baskol!$G$700)</f>
        <v/>
      </c>
      <c r="Y697">
        <f>IF([2]Baskol!$I$700="","",[2]Baskol!$I$700)</f>
        <v/>
      </c>
      <c r="Z697">
        <f>IF([2]Baskol!$J$700="","",[2]Baskol!$J$700)</f>
        <v/>
      </c>
      <c r="AA697">
        <f>IF([2]Baskol!$K$700="","",[2]Baskol!$K$700)</f>
        <v/>
      </c>
      <c r="AB697">
        <f>IF([2]Baskol!$L$700="","",[2]Baskol!$L$700)</f>
        <v/>
      </c>
      <c r="AC697">
        <f>IF([2]Baskol!$N$700="","",[2]Baskol!$N$700)</f>
        <v/>
      </c>
      <c r="AD697">
        <f>IF([2]Baskol!$O$700="","",[2]Baskol!$O$700)</f>
        <v/>
      </c>
      <c r="AE697">
        <f>IF([3]Entry!$C$700="","",[3]Entry!$C$700)</f>
        <v/>
      </c>
      <c r="AF697">
        <f>IF([3]Entry!$D$700="","",[3]Entry!$D$700)</f>
        <v/>
      </c>
      <c r="AG697">
        <f>IF([3]Entry!$E$700="","",[3]Entry!$E$700)</f>
        <v/>
      </c>
      <c r="AH697">
        <f>IF([3]Entry!$G$700="","",[3]Entry!$G$700)</f>
        <v/>
      </c>
      <c r="AI697">
        <f>IF([3]Entry!$K$700="","",[3]Entry!$K$700)</f>
        <v/>
      </c>
      <c r="AJ697">
        <f>IF([3]Entry!$L$700="","",[3]Entry!$L$700)</f>
        <v/>
      </c>
      <c r="AK697">
        <f>IF([3]Entry!$M$700="","",[3]Entry!$M$700)</f>
        <v/>
      </c>
      <c r="AL697">
        <f>IF([3]Entry!$N$700="","",[3]Entry!$N$700)</f>
        <v/>
      </c>
      <c r="AM697">
        <f>IF([3]Entry!$R$700="","",[3]Entry!$R$700)</f>
        <v/>
      </c>
    </row>
    <row r="698">
      <c r="T698">
        <f>IF([2]Baskol!$B$701="","",[2]Baskol!$B$701)</f>
        <v/>
      </c>
      <c r="U698">
        <f>IF([2]Baskol!$C$701="","",[2]Baskol!$C$701)</f>
        <v/>
      </c>
      <c r="V698">
        <f>IF([2]Baskol!$D$701="","",[2]Baskol!$D$701)</f>
        <v/>
      </c>
      <c r="W698">
        <f>IF([2]Baskol!$E$701="","",[2]Baskol!$E$701)</f>
        <v/>
      </c>
      <c r="X698">
        <f>IF([2]Baskol!$G$701="","",[2]Baskol!$G$701)</f>
        <v/>
      </c>
      <c r="Y698">
        <f>IF([2]Baskol!$I$701="","",[2]Baskol!$I$701)</f>
        <v/>
      </c>
      <c r="Z698">
        <f>IF([2]Baskol!$J$701="","",[2]Baskol!$J$701)</f>
        <v/>
      </c>
      <c r="AA698">
        <f>IF([2]Baskol!$K$701="","",[2]Baskol!$K$701)</f>
        <v/>
      </c>
      <c r="AB698">
        <f>IF([2]Baskol!$L$701="","",[2]Baskol!$L$701)</f>
        <v/>
      </c>
      <c r="AC698">
        <f>IF([2]Baskol!$N$701="","",[2]Baskol!$N$701)</f>
        <v/>
      </c>
      <c r="AD698">
        <f>IF([2]Baskol!$O$701="","",[2]Baskol!$O$701)</f>
        <v/>
      </c>
      <c r="AE698">
        <f>IF([3]Entry!$C$701="","",[3]Entry!$C$701)</f>
        <v/>
      </c>
      <c r="AF698">
        <f>IF([3]Entry!$D$701="","",[3]Entry!$D$701)</f>
        <v/>
      </c>
      <c r="AG698">
        <f>IF([3]Entry!$E$701="","",[3]Entry!$E$701)</f>
        <v/>
      </c>
      <c r="AH698">
        <f>IF([3]Entry!$G$701="","",[3]Entry!$G$701)</f>
        <v/>
      </c>
      <c r="AI698">
        <f>IF([3]Entry!$K$701="","",[3]Entry!$K$701)</f>
        <v/>
      </c>
      <c r="AJ698">
        <f>IF([3]Entry!$L$701="","",[3]Entry!$L$701)</f>
        <v/>
      </c>
      <c r="AK698">
        <f>IF([3]Entry!$M$701="","",[3]Entry!$M$701)</f>
        <v/>
      </c>
      <c r="AL698">
        <f>IF([3]Entry!$N$701="","",[3]Entry!$N$701)</f>
        <v/>
      </c>
      <c r="AM698">
        <f>IF([3]Entry!$R$701="","",[3]Entry!$R$701)</f>
        <v/>
      </c>
    </row>
    <row r="699">
      <c r="T699">
        <f>IF([2]Baskol!$B$702="","",[2]Baskol!$B$702)</f>
        <v/>
      </c>
      <c r="U699">
        <f>IF([2]Baskol!$C$702="","",[2]Baskol!$C$702)</f>
        <v/>
      </c>
      <c r="V699">
        <f>IF([2]Baskol!$D$702="","",[2]Baskol!$D$702)</f>
        <v/>
      </c>
      <c r="W699">
        <f>IF([2]Baskol!$E$702="","",[2]Baskol!$E$702)</f>
        <v/>
      </c>
      <c r="X699">
        <f>IF([2]Baskol!$G$702="","",[2]Baskol!$G$702)</f>
        <v/>
      </c>
      <c r="Y699">
        <f>IF([2]Baskol!$I$702="","",[2]Baskol!$I$702)</f>
        <v/>
      </c>
      <c r="Z699">
        <f>IF([2]Baskol!$J$702="","",[2]Baskol!$J$702)</f>
        <v/>
      </c>
      <c r="AA699">
        <f>IF([2]Baskol!$K$702="","",[2]Baskol!$K$702)</f>
        <v/>
      </c>
      <c r="AB699">
        <f>IF([2]Baskol!$L$702="","",[2]Baskol!$L$702)</f>
        <v/>
      </c>
      <c r="AC699">
        <f>IF([2]Baskol!$N$702="","",[2]Baskol!$N$702)</f>
        <v/>
      </c>
      <c r="AD699">
        <f>IF([2]Baskol!$O$702="","",[2]Baskol!$O$702)</f>
        <v/>
      </c>
      <c r="AE699">
        <f>IF([3]Entry!$C$702="","",[3]Entry!$C$702)</f>
        <v/>
      </c>
      <c r="AF699">
        <f>IF([3]Entry!$D$702="","",[3]Entry!$D$702)</f>
        <v/>
      </c>
      <c r="AG699">
        <f>IF([3]Entry!$E$702="","",[3]Entry!$E$702)</f>
        <v/>
      </c>
      <c r="AH699">
        <f>IF([3]Entry!$G$702="","",[3]Entry!$G$702)</f>
        <v/>
      </c>
      <c r="AI699">
        <f>IF([3]Entry!$K$702="","",[3]Entry!$K$702)</f>
        <v/>
      </c>
      <c r="AJ699">
        <f>IF([3]Entry!$L$702="","",[3]Entry!$L$702)</f>
        <v/>
      </c>
      <c r="AK699">
        <f>IF([3]Entry!$M$702="","",[3]Entry!$M$702)</f>
        <v/>
      </c>
      <c r="AL699">
        <f>IF([3]Entry!$N$702="","",[3]Entry!$N$702)</f>
        <v/>
      </c>
      <c r="AM699">
        <f>IF([3]Entry!$R$702="","",[3]Entry!$R$702)</f>
        <v/>
      </c>
    </row>
    <row r="700">
      <c r="T700">
        <f>IF([2]Baskol!$B$703="","",[2]Baskol!$B$703)</f>
        <v/>
      </c>
      <c r="U700">
        <f>IF([2]Baskol!$C$703="","",[2]Baskol!$C$703)</f>
        <v/>
      </c>
      <c r="V700">
        <f>IF([2]Baskol!$D$703="","",[2]Baskol!$D$703)</f>
        <v/>
      </c>
      <c r="W700">
        <f>IF([2]Baskol!$E$703="","",[2]Baskol!$E$703)</f>
        <v/>
      </c>
      <c r="X700">
        <f>IF([2]Baskol!$G$703="","",[2]Baskol!$G$703)</f>
        <v/>
      </c>
      <c r="Y700">
        <f>IF([2]Baskol!$I$703="","",[2]Baskol!$I$703)</f>
        <v/>
      </c>
      <c r="Z700">
        <f>IF([2]Baskol!$J$703="","",[2]Baskol!$J$703)</f>
        <v/>
      </c>
      <c r="AA700">
        <f>IF([2]Baskol!$K$703="","",[2]Baskol!$K$703)</f>
        <v/>
      </c>
      <c r="AB700">
        <f>IF([2]Baskol!$L$703="","",[2]Baskol!$L$703)</f>
        <v/>
      </c>
      <c r="AC700">
        <f>IF([2]Baskol!$N$703="","",[2]Baskol!$N$703)</f>
        <v/>
      </c>
      <c r="AD700">
        <f>IF([2]Baskol!$O$703="","",[2]Baskol!$O$703)</f>
        <v/>
      </c>
      <c r="AE700">
        <f>IF([3]Entry!$C$703="","",[3]Entry!$C$703)</f>
        <v/>
      </c>
      <c r="AF700">
        <f>IF([3]Entry!$D$703="","",[3]Entry!$D$703)</f>
        <v/>
      </c>
      <c r="AG700">
        <f>IF([3]Entry!$E$703="","",[3]Entry!$E$703)</f>
        <v/>
      </c>
      <c r="AH700">
        <f>IF([3]Entry!$G$703="","",[3]Entry!$G$703)</f>
        <v/>
      </c>
      <c r="AI700">
        <f>IF([3]Entry!$K$703="","",[3]Entry!$K$703)</f>
        <v/>
      </c>
      <c r="AJ700">
        <f>IF([3]Entry!$L$703="","",[3]Entry!$L$703)</f>
        <v/>
      </c>
      <c r="AK700">
        <f>IF([3]Entry!$M$703="","",[3]Entry!$M$703)</f>
        <v/>
      </c>
      <c r="AL700">
        <f>IF([3]Entry!$N$703="","",[3]Entry!$N$703)</f>
        <v/>
      </c>
      <c r="AM700">
        <f>IF([3]Entry!$R$703="","",[3]Entry!$R$703)</f>
        <v/>
      </c>
    </row>
    <row r="701">
      <c r="T701">
        <f>IF([2]Baskol!$B$704="","",[2]Baskol!$B$704)</f>
        <v/>
      </c>
      <c r="U701">
        <f>IF([2]Baskol!$C$704="","",[2]Baskol!$C$704)</f>
        <v/>
      </c>
      <c r="V701">
        <f>IF([2]Baskol!$D$704="","",[2]Baskol!$D$704)</f>
        <v/>
      </c>
      <c r="W701">
        <f>IF([2]Baskol!$E$704="","",[2]Baskol!$E$704)</f>
        <v/>
      </c>
      <c r="X701">
        <f>IF([2]Baskol!$G$704="","",[2]Baskol!$G$704)</f>
        <v/>
      </c>
      <c r="Y701">
        <f>IF([2]Baskol!$I$704="","",[2]Baskol!$I$704)</f>
        <v/>
      </c>
      <c r="Z701">
        <f>IF([2]Baskol!$J$704="","",[2]Baskol!$J$704)</f>
        <v/>
      </c>
      <c r="AA701">
        <f>IF([2]Baskol!$K$704="","",[2]Baskol!$K$704)</f>
        <v/>
      </c>
      <c r="AB701">
        <f>IF([2]Baskol!$L$704="","",[2]Baskol!$L$704)</f>
        <v/>
      </c>
      <c r="AC701">
        <f>IF([2]Baskol!$N$704="","",[2]Baskol!$N$704)</f>
        <v/>
      </c>
      <c r="AD701">
        <f>IF([2]Baskol!$O$704="","",[2]Baskol!$O$704)</f>
        <v/>
      </c>
      <c r="AE701">
        <f>IF([3]Entry!$C$704="","",[3]Entry!$C$704)</f>
        <v/>
      </c>
      <c r="AF701">
        <f>IF([3]Entry!$D$704="","",[3]Entry!$D$704)</f>
        <v/>
      </c>
      <c r="AG701">
        <f>IF([3]Entry!$E$704="","",[3]Entry!$E$704)</f>
        <v/>
      </c>
      <c r="AH701">
        <f>IF([3]Entry!$G$704="","",[3]Entry!$G$704)</f>
        <v/>
      </c>
      <c r="AI701">
        <f>IF([3]Entry!$K$704="","",[3]Entry!$K$704)</f>
        <v/>
      </c>
      <c r="AJ701">
        <f>IF([3]Entry!$L$704="","",[3]Entry!$L$704)</f>
        <v/>
      </c>
      <c r="AK701">
        <f>IF([3]Entry!$M$704="","",[3]Entry!$M$704)</f>
        <v/>
      </c>
      <c r="AL701">
        <f>IF([3]Entry!$N$704="","",[3]Entry!$N$704)</f>
        <v/>
      </c>
      <c r="AM701">
        <f>IF([3]Entry!$R$704="","",[3]Entry!$R$704)</f>
        <v/>
      </c>
    </row>
    <row r="702">
      <c r="T702">
        <f>IF([2]Baskol!$B$705="","",[2]Baskol!$B$705)</f>
        <v/>
      </c>
      <c r="U702">
        <f>IF([2]Baskol!$C$705="","",[2]Baskol!$C$705)</f>
        <v/>
      </c>
      <c r="V702">
        <f>IF([2]Baskol!$D$705="","",[2]Baskol!$D$705)</f>
        <v/>
      </c>
      <c r="W702">
        <f>IF([2]Baskol!$E$705="","",[2]Baskol!$E$705)</f>
        <v/>
      </c>
      <c r="X702">
        <f>IF([2]Baskol!$G$705="","",[2]Baskol!$G$705)</f>
        <v/>
      </c>
      <c r="Y702">
        <f>IF([2]Baskol!$I$705="","",[2]Baskol!$I$705)</f>
        <v/>
      </c>
      <c r="Z702">
        <f>IF([2]Baskol!$J$705="","",[2]Baskol!$J$705)</f>
        <v/>
      </c>
      <c r="AA702">
        <f>IF([2]Baskol!$K$705="","",[2]Baskol!$K$705)</f>
        <v/>
      </c>
      <c r="AB702">
        <f>IF([2]Baskol!$L$705="","",[2]Baskol!$L$705)</f>
        <v/>
      </c>
      <c r="AC702">
        <f>IF([2]Baskol!$N$705="","",[2]Baskol!$N$705)</f>
        <v/>
      </c>
      <c r="AD702">
        <f>IF([2]Baskol!$O$705="","",[2]Baskol!$O$705)</f>
        <v/>
      </c>
      <c r="AE702">
        <f>IF([3]Entry!$C$705="","",[3]Entry!$C$705)</f>
        <v/>
      </c>
      <c r="AF702">
        <f>IF([3]Entry!$D$705="","",[3]Entry!$D$705)</f>
        <v/>
      </c>
      <c r="AG702">
        <f>IF([3]Entry!$E$705="","",[3]Entry!$E$705)</f>
        <v/>
      </c>
      <c r="AH702">
        <f>IF([3]Entry!$G$705="","",[3]Entry!$G$705)</f>
        <v/>
      </c>
      <c r="AI702">
        <f>IF([3]Entry!$K$705="","",[3]Entry!$K$705)</f>
        <v/>
      </c>
      <c r="AJ702">
        <f>IF([3]Entry!$L$705="","",[3]Entry!$L$705)</f>
        <v/>
      </c>
      <c r="AK702">
        <f>IF([3]Entry!$M$705="","",[3]Entry!$M$705)</f>
        <v/>
      </c>
      <c r="AL702">
        <f>IF([3]Entry!$N$705="","",[3]Entry!$N$705)</f>
        <v/>
      </c>
      <c r="AM702">
        <f>IF([3]Entry!$R$705="","",[3]Entry!$R$705)</f>
        <v/>
      </c>
    </row>
    <row r="703">
      <c r="T703">
        <f>IF([2]Baskol!$B$706="","",[2]Baskol!$B$706)</f>
        <v/>
      </c>
      <c r="U703">
        <f>IF([2]Baskol!$C$706="","",[2]Baskol!$C$706)</f>
        <v/>
      </c>
      <c r="V703">
        <f>IF([2]Baskol!$D$706="","",[2]Baskol!$D$706)</f>
        <v/>
      </c>
      <c r="W703">
        <f>IF([2]Baskol!$E$706="","",[2]Baskol!$E$706)</f>
        <v/>
      </c>
      <c r="X703">
        <f>IF([2]Baskol!$G$706="","",[2]Baskol!$G$706)</f>
        <v/>
      </c>
      <c r="Y703">
        <f>IF([2]Baskol!$I$706="","",[2]Baskol!$I$706)</f>
        <v/>
      </c>
      <c r="Z703">
        <f>IF([2]Baskol!$J$706="","",[2]Baskol!$J$706)</f>
        <v/>
      </c>
      <c r="AA703">
        <f>IF([2]Baskol!$K$706="","",[2]Baskol!$K$706)</f>
        <v/>
      </c>
      <c r="AB703">
        <f>IF([2]Baskol!$L$706="","",[2]Baskol!$L$706)</f>
        <v/>
      </c>
      <c r="AC703">
        <f>IF([2]Baskol!$N$706="","",[2]Baskol!$N$706)</f>
        <v/>
      </c>
      <c r="AD703">
        <f>IF([2]Baskol!$O$706="","",[2]Baskol!$O$706)</f>
        <v/>
      </c>
      <c r="AE703">
        <f>IF([3]Entry!$C$706="","",[3]Entry!$C$706)</f>
        <v/>
      </c>
      <c r="AF703">
        <f>IF([3]Entry!$D$706="","",[3]Entry!$D$706)</f>
        <v/>
      </c>
      <c r="AG703">
        <f>IF([3]Entry!$E$706="","",[3]Entry!$E$706)</f>
        <v/>
      </c>
      <c r="AH703">
        <f>IF([3]Entry!$G$706="","",[3]Entry!$G$706)</f>
        <v/>
      </c>
      <c r="AI703">
        <f>IF([3]Entry!$K$706="","",[3]Entry!$K$706)</f>
        <v/>
      </c>
      <c r="AJ703">
        <f>IF([3]Entry!$L$706="","",[3]Entry!$L$706)</f>
        <v/>
      </c>
      <c r="AK703">
        <f>IF([3]Entry!$M$706="","",[3]Entry!$M$706)</f>
        <v/>
      </c>
      <c r="AL703">
        <f>IF([3]Entry!$N$706="","",[3]Entry!$N$706)</f>
        <v/>
      </c>
      <c r="AM703">
        <f>IF([3]Entry!$R$706="","",[3]Entry!$R$706)</f>
        <v/>
      </c>
    </row>
    <row r="704">
      <c r="T704">
        <f>IF([2]Baskol!$B$707="","",[2]Baskol!$B$707)</f>
        <v/>
      </c>
      <c r="U704">
        <f>IF([2]Baskol!$C$707="","",[2]Baskol!$C$707)</f>
        <v/>
      </c>
      <c r="V704">
        <f>IF([2]Baskol!$D$707="","",[2]Baskol!$D$707)</f>
        <v/>
      </c>
      <c r="W704">
        <f>IF([2]Baskol!$E$707="","",[2]Baskol!$E$707)</f>
        <v/>
      </c>
      <c r="X704">
        <f>IF([2]Baskol!$G$707="","",[2]Baskol!$G$707)</f>
        <v/>
      </c>
      <c r="Y704">
        <f>IF([2]Baskol!$I$707="","",[2]Baskol!$I$707)</f>
        <v/>
      </c>
      <c r="Z704">
        <f>IF([2]Baskol!$J$707="","",[2]Baskol!$J$707)</f>
        <v/>
      </c>
      <c r="AA704">
        <f>IF([2]Baskol!$K$707="","",[2]Baskol!$K$707)</f>
        <v/>
      </c>
      <c r="AB704">
        <f>IF([2]Baskol!$L$707="","",[2]Baskol!$L$707)</f>
        <v/>
      </c>
      <c r="AC704">
        <f>IF([2]Baskol!$N$707="","",[2]Baskol!$N$707)</f>
        <v/>
      </c>
      <c r="AD704">
        <f>IF([2]Baskol!$O$707="","",[2]Baskol!$O$707)</f>
        <v/>
      </c>
      <c r="AE704">
        <f>IF([3]Entry!$C$707="","",[3]Entry!$C$707)</f>
        <v/>
      </c>
      <c r="AF704">
        <f>IF([3]Entry!$D$707="","",[3]Entry!$D$707)</f>
        <v/>
      </c>
      <c r="AG704">
        <f>IF([3]Entry!$E$707="","",[3]Entry!$E$707)</f>
        <v/>
      </c>
      <c r="AH704">
        <f>IF([3]Entry!$G$707="","",[3]Entry!$G$707)</f>
        <v/>
      </c>
      <c r="AI704">
        <f>IF([3]Entry!$K$707="","",[3]Entry!$K$707)</f>
        <v/>
      </c>
      <c r="AJ704">
        <f>IF([3]Entry!$L$707="","",[3]Entry!$L$707)</f>
        <v/>
      </c>
      <c r="AK704">
        <f>IF([3]Entry!$M$707="","",[3]Entry!$M$707)</f>
        <v/>
      </c>
      <c r="AL704">
        <f>IF([3]Entry!$N$707="","",[3]Entry!$N$707)</f>
        <v/>
      </c>
      <c r="AM704">
        <f>IF([3]Entry!$R$707="","",[3]Entry!$R$707)</f>
        <v/>
      </c>
    </row>
    <row r="705">
      <c r="T705">
        <f>IF([2]Baskol!$B$708="","",[2]Baskol!$B$708)</f>
        <v/>
      </c>
      <c r="U705">
        <f>IF([2]Baskol!$C$708="","",[2]Baskol!$C$708)</f>
        <v/>
      </c>
      <c r="V705">
        <f>IF([2]Baskol!$D$708="","",[2]Baskol!$D$708)</f>
        <v/>
      </c>
      <c r="W705">
        <f>IF([2]Baskol!$E$708="","",[2]Baskol!$E$708)</f>
        <v/>
      </c>
      <c r="X705">
        <f>IF([2]Baskol!$G$708="","",[2]Baskol!$G$708)</f>
        <v/>
      </c>
      <c r="Y705">
        <f>IF([2]Baskol!$I$708="","",[2]Baskol!$I$708)</f>
        <v/>
      </c>
      <c r="Z705">
        <f>IF([2]Baskol!$J$708="","",[2]Baskol!$J$708)</f>
        <v/>
      </c>
      <c r="AA705">
        <f>IF([2]Baskol!$K$708="","",[2]Baskol!$K$708)</f>
        <v/>
      </c>
      <c r="AB705">
        <f>IF([2]Baskol!$L$708="","",[2]Baskol!$L$708)</f>
        <v/>
      </c>
      <c r="AC705">
        <f>IF([2]Baskol!$N$708="","",[2]Baskol!$N$708)</f>
        <v/>
      </c>
      <c r="AD705">
        <f>IF([2]Baskol!$O$708="","",[2]Baskol!$O$708)</f>
        <v/>
      </c>
      <c r="AE705">
        <f>IF([3]Entry!$C$708="","",[3]Entry!$C$708)</f>
        <v/>
      </c>
      <c r="AF705">
        <f>IF([3]Entry!$D$708="","",[3]Entry!$D$708)</f>
        <v/>
      </c>
      <c r="AG705">
        <f>IF([3]Entry!$E$708="","",[3]Entry!$E$708)</f>
        <v/>
      </c>
      <c r="AH705">
        <f>IF([3]Entry!$G$708="","",[3]Entry!$G$708)</f>
        <v/>
      </c>
      <c r="AI705">
        <f>IF([3]Entry!$K$708="","",[3]Entry!$K$708)</f>
        <v/>
      </c>
      <c r="AJ705">
        <f>IF([3]Entry!$L$708="","",[3]Entry!$L$708)</f>
        <v/>
      </c>
      <c r="AK705">
        <f>IF([3]Entry!$M$708="","",[3]Entry!$M$708)</f>
        <v/>
      </c>
      <c r="AL705">
        <f>IF([3]Entry!$N$708="","",[3]Entry!$N$708)</f>
        <v/>
      </c>
      <c r="AM705">
        <f>IF([3]Entry!$R$708="","",[3]Entry!$R$708)</f>
        <v/>
      </c>
    </row>
    <row r="706">
      <c r="T706">
        <f>IF([2]Baskol!$B$709="","",[2]Baskol!$B$709)</f>
        <v/>
      </c>
      <c r="U706">
        <f>IF([2]Baskol!$C$709="","",[2]Baskol!$C$709)</f>
        <v/>
      </c>
      <c r="V706">
        <f>IF([2]Baskol!$D$709="","",[2]Baskol!$D$709)</f>
        <v/>
      </c>
      <c r="W706">
        <f>IF([2]Baskol!$E$709="","",[2]Baskol!$E$709)</f>
        <v/>
      </c>
      <c r="X706">
        <f>IF([2]Baskol!$G$709="","",[2]Baskol!$G$709)</f>
        <v/>
      </c>
      <c r="Y706">
        <f>IF([2]Baskol!$I$709="","",[2]Baskol!$I$709)</f>
        <v/>
      </c>
      <c r="Z706">
        <f>IF([2]Baskol!$J$709="","",[2]Baskol!$J$709)</f>
        <v/>
      </c>
      <c r="AA706">
        <f>IF([2]Baskol!$K$709="","",[2]Baskol!$K$709)</f>
        <v/>
      </c>
      <c r="AB706">
        <f>IF([2]Baskol!$L$709="","",[2]Baskol!$L$709)</f>
        <v/>
      </c>
      <c r="AC706">
        <f>IF([2]Baskol!$N$709="","",[2]Baskol!$N$709)</f>
        <v/>
      </c>
      <c r="AD706">
        <f>IF([2]Baskol!$O$709="","",[2]Baskol!$O$709)</f>
        <v/>
      </c>
      <c r="AE706">
        <f>IF([3]Entry!$C$709="","",[3]Entry!$C$709)</f>
        <v/>
      </c>
      <c r="AF706">
        <f>IF([3]Entry!$D$709="","",[3]Entry!$D$709)</f>
        <v/>
      </c>
      <c r="AG706">
        <f>IF([3]Entry!$E$709="","",[3]Entry!$E$709)</f>
        <v/>
      </c>
      <c r="AH706">
        <f>IF([3]Entry!$G$709="","",[3]Entry!$G$709)</f>
        <v/>
      </c>
      <c r="AI706">
        <f>IF([3]Entry!$K$709="","",[3]Entry!$K$709)</f>
        <v/>
      </c>
      <c r="AJ706">
        <f>IF([3]Entry!$L$709="","",[3]Entry!$L$709)</f>
        <v/>
      </c>
      <c r="AK706">
        <f>IF([3]Entry!$M$709="","",[3]Entry!$M$709)</f>
        <v/>
      </c>
      <c r="AL706">
        <f>IF([3]Entry!$N$709="","",[3]Entry!$N$709)</f>
        <v/>
      </c>
      <c r="AM706">
        <f>IF([3]Entry!$R$709="","",[3]Entry!$R$709)</f>
        <v/>
      </c>
    </row>
    <row r="707">
      <c r="T707">
        <f>IF([2]Baskol!$B$710="","",[2]Baskol!$B$710)</f>
        <v/>
      </c>
      <c r="U707">
        <f>IF([2]Baskol!$C$710="","",[2]Baskol!$C$710)</f>
        <v/>
      </c>
      <c r="V707">
        <f>IF([2]Baskol!$D$710="","",[2]Baskol!$D$710)</f>
        <v/>
      </c>
      <c r="W707">
        <f>IF([2]Baskol!$E$710="","",[2]Baskol!$E$710)</f>
        <v/>
      </c>
      <c r="X707">
        <f>IF([2]Baskol!$G$710="","",[2]Baskol!$G$710)</f>
        <v/>
      </c>
      <c r="Y707">
        <f>IF([2]Baskol!$I$710="","",[2]Baskol!$I$710)</f>
        <v/>
      </c>
      <c r="Z707">
        <f>IF([2]Baskol!$J$710="","",[2]Baskol!$J$710)</f>
        <v/>
      </c>
      <c r="AA707">
        <f>IF([2]Baskol!$K$710="","",[2]Baskol!$K$710)</f>
        <v/>
      </c>
      <c r="AB707">
        <f>IF([2]Baskol!$L$710="","",[2]Baskol!$L$710)</f>
        <v/>
      </c>
      <c r="AC707">
        <f>IF([2]Baskol!$N$710="","",[2]Baskol!$N$710)</f>
        <v/>
      </c>
      <c r="AD707">
        <f>IF([2]Baskol!$O$710="","",[2]Baskol!$O$710)</f>
        <v/>
      </c>
      <c r="AE707">
        <f>IF([3]Entry!$C$710="","",[3]Entry!$C$710)</f>
        <v/>
      </c>
      <c r="AF707">
        <f>IF([3]Entry!$D$710="","",[3]Entry!$D$710)</f>
        <v/>
      </c>
      <c r="AG707">
        <f>IF([3]Entry!$E$710="","",[3]Entry!$E$710)</f>
        <v/>
      </c>
      <c r="AH707">
        <f>IF([3]Entry!$G$710="","",[3]Entry!$G$710)</f>
        <v/>
      </c>
      <c r="AI707">
        <f>IF([3]Entry!$K$710="","",[3]Entry!$K$710)</f>
        <v/>
      </c>
      <c r="AJ707">
        <f>IF([3]Entry!$L$710="","",[3]Entry!$L$710)</f>
        <v/>
      </c>
      <c r="AK707">
        <f>IF([3]Entry!$M$710="","",[3]Entry!$M$710)</f>
        <v/>
      </c>
      <c r="AL707">
        <f>IF([3]Entry!$N$710="","",[3]Entry!$N$710)</f>
        <v/>
      </c>
      <c r="AM707">
        <f>IF([3]Entry!$R$710="","",[3]Entry!$R$710)</f>
        <v/>
      </c>
    </row>
    <row r="708">
      <c r="T708">
        <f>IF([2]Baskol!$B$711="","",[2]Baskol!$B$711)</f>
        <v/>
      </c>
      <c r="U708">
        <f>IF([2]Baskol!$C$711="","",[2]Baskol!$C$711)</f>
        <v/>
      </c>
      <c r="V708">
        <f>IF([2]Baskol!$D$711="","",[2]Baskol!$D$711)</f>
        <v/>
      </c>
      <c r="W708">
        <f>IF([2]Baskol!$E$711="","",[2]Baskol!$E$711)</f>
        <v/>
      </c>
      <c r="X708">
        <f>IF([2]Baskol!$G$711="","",[2]Baskol!$G$711)</f>
        <v/>
      </c>
      <c r="Y708">
        <f>IF([2]Baskol!$I$711="","",[2]Baskol!$I$711)</f>
        <v/>
      </c>
      <c r="Z708">
        <f>IF([2]Baskol!$J$711="","",[2]Baskol!$J$711)</f>
        <v/>
      </c>
      <c r="AA708">
        <f>IF([2]Baskol!$K$711="","",[2]Baskol!$K$711)</f>
        <v/>
      </c>
      <c r="AB708">
        <f>IF([2]Baskol!$L$711="","",[2]Baskol!$L$711)</f>
        <v/>
      </c>
      <c r="AC708">
        <f>IF([2]Baskol!$N$711="","",[2]Baskol!$N$711)</f>
        <v/>
      </c>
      <c r="AD708">
        <f>IF([2]Baskol!$O$711="","",[2]Baskol!$O$711)</f>
        <v/>
      </c>
      <c r="AE708">
        <f>IF([3]Entry!$C$711="","",[3]Entry!$C$711)</f>
        <v/>
      </c>
      <c r="AF708">
        <f>IF([3]Entry!$D$711="","",[3]Entry!$D$711)</f>
        <v/>
      </c>
      <c r="AG708">
        <f>IF([3]Entry!$E$711="","",[3]Entry!$E$711)</f>
        <v/>
      </c>
      <c r="AH708">
        <f>IF([3]Entry!$G$711="","",[3]Entry!$G$711)</f>
        <v/>
      </c>
      <c r="AI708">
        <f>IF([3]Entry!$K$711="","",[3]Entry!$K$711)</f>
        <v/>
      </c>
      <c r="AJ708">
        <f>IF([3]Entry!$L$711="","",[3]Entry!$L$711)</f>
        <v/>
      </c>
      <c r="AK708">
        <f>IF([3]Entry!$M$711="","",[3]Entry!$M$711)</f>
        <v/>
      </c>
      <c r="AL708">
        <f>IF([3]Entry!$N$711="","",[3]Entry!$N$711)</f>
        <v/>
      </c>
      <c r="AM708">
        <f>IF([3]Entry!$R$711="","",[3]Entry!$R$711)</f>
        <v/>
      </c>
    </row>
    <row r="709">
      <c r="T709">
        <f>IF([2]Baskol!$B$712="","",[2]Baskol!$B$712)</f>
        <v/>
      </c>
      <c r="U709">
        <f>IF([2]Baskol!$C$712="","",[2]Baskol!$C$712)</f>
        <v/>
      </c>
      <c r="V709">
        <f>IF([2]Baskol!$D$712="","",[2]Baskol!$D$712)</f>
        <v/>
      </c>
      <c r="W709">
        <f>IF([2]Baskol!$E$712="","",[2]Baskol!$E$712)</f>
        <v/>
      </c>
      <c r="X709">
        <f>IF([2]Baskol!$G$712="","",[2]Baskol!$G$712)</f>
        <v/>
      </c>
      <c r="Y709">
        <f>IF([2]Baskol!$I$712="","",[2]Baskol!$I$712)</f>
        <v/>
      </c>
      <c r="Z709">
        <f>IF([2]Baskol!$J$712="","",[2]Baskol!$J$712)</f>
        <v/>
      </c>
      <c r="AA709">
        <f>IF([2]Baskol!$K$712="","",[2]Baskol!$K$712)</f>
        <v/>
      </c>
      <c r="AB709">
        <f>IF([2]Baskol!$L$712="","",[2]Baskol!$L$712)</f>
        <v/>
      </c>
      <c r="AC709">
        <f>IF([2]Baskol!$N$712="","",[2]Baskol!$N$712)</f>
        <v/>
      </c>
      <c r="AD709">
        <f>IF([2]Baskol!$O$712="","",[2]Baskol!$O$712)</f>
        <v/>
      </c>
      <c r="AE709">
        <f>IF([3]Entry!$C$712="","",[3]Entry!$C$712)</f>
        <v/>
      </c>
      <c r="AF709">
        <f>IF([3]Entry!$D$712="","",[3]Entry!$D$712)</f>
        <v/>
      </c>
      <c r="AG709">
        <f>IF([3]Entry!$E$712="","",[3]Entry!$E$712)</f>
        <v/>
      </c>
      <c r="AH709">
        <f>IF([3]Entry!$G$712="","",[3]Entry!$G$712)</f>
        <v/>
      </c>
      <c r="AI709">
        <f>IF([3]Entry!$K$712="","",[3]Entry!$K$712)</f>
        <v/>
      </c>
      <c r="AJ709">
        <f>IF([3]Entry!$L$712="","",[3]Entry!$L$712)</f>
        <v/>
      </c>
      <c r="AK709">
        <f>IF([3]Entry!$M$712="","",[3]Entry!$M$712)</f>
        <v/>
      </c>
      <c r="AL709">
        <f>IF([3]Entry!$N$712="","",[3]Entry!$N$712)</f>
        <v/>
      </c>
      <c r="AM709">
        <f>IF([3]Entry!$R$712="","",[3]Entry!$R$712)</f>
        <v/>
      </c>
    </row>
    <row r="710">
      <c r="T710">
        <f>IF([2]Baskol!$B$713="","",[2]Baskol!$B$713)</f>
        <v/>
      </c>
      <c r="U710">
        <f>IF([2]Baskol!$C$713="","",[2]Baskol!$C$713)</f>
        <v/>
      </c>
      <c r="V710">
        <f>IF([2]Baskol!$D$713="","",[2]Baskol!$D$713)</f>
        <v/>
      </c>
      <c r="W710">
        <f>IF([2]Baskol!$E$713="","",[2]Baskol!$E$713)</f>
        <v/>
      </c>
      <c r="X710">
        <f>IF([2]Baskol!$G$713="","",[2]Baskol!$G$713)</f>
        <v/>
      </c>
      <c r="Y710">
        <f>IF([2]Baskol!$I$713="","",[2]Baskol!$I$713)</f>
        <v/>
      </c>
      <c r="Z710">
        <f>IF([2]Baskol!$J$713="","",[2]Baskol!$J$713)</f>
        <v/>
      </c>
      <c r="AA710">
        <f>IF([2]Baskol!$K$713="","",[2]Baskol!$K$713)</f>
        <v/>
      </c>
      <c r="AB710">
        <f>IF([2]Baskol!$L$713="","",[2]Baskol!$L$713)</f>
        <v/>
      </c>
      <c r="AC710">
        <f>IF([2]Baskol!$N$713="","",[2]Baskol!$N$713)</f>
        <v/>
      </c>
      <c r="AD710">
        <f>IF([2]Baskol!$O$713="","",[2]Baskol!$O$713)</f>
        <v/>
      </c>
      <c r="AE710">
        <f>IF([3]Entry!$C$713="","",[3]Entry!$C$713)</f>
        <v/>
      </c>
      <c r="AF710">
        <f>IF([3]Entry!$D$713="","",[3]Entry!$D$713)</f>
        <v/>
      </c>
      <c r="AG710">
        <f>IF([3]Entry!$E$713="","",[3]Entry!$E$713)</f>
        <v/>
      </c>
      <c r="AH710">
        <f>IF([3]Entry!$G$713="","",[3]Entry!$G$713)</f>
        <v/>
      </c>
      <c r="AI710">
        <f>IF([3]Entry!$K$713="","",[3]Entry!$K$713)</f>
        <v/>
      </c>
      <c r="AJ710">
        <f>IF([3]Entry!$L$713="","",[3]Entry!$L$713)</f>
        <v/>
      </c>
      <c r="AK710">
        <f>IF([3]Entry!$M$713="","",[3]Entry!$M$713)</f>
        <v/>
      </c>
      <c r="AL710">
        <f>IF([3]Entry!$N$713="","",[3]Entry!$N$713)</f>
        <v/>
      </c>
      <c r="AM710">
        <f>IF([3]Entry!$R$713="","",[3]Entry!$R$713)</f>
        <v/>
      </c>
    </row>
    <row r="711">
      <c r="T711">
        <f>IF([2]Baskol!$B$714="","",[2]Baskol!$B$714)</f>
        <v/>
      </c>
      <c r="U711">
        <f>IF([2]Baskol!$C$714="","",[2]Baskol!$C$714)</f>
        <v/>
      </c>
      <c r="V711">
        <f>IF([2]Baskol!$D$714="","",[2]Baskol!$D$714)</f>
        <v/>
      </c>
      <c r="W711">
        <f>IF([2]Baskol!$E$714="","",[2]Baskol!$E$714)</f>
        <v/>
      </c>
      <c r="X711">
        <f>IF([2]Baskol!$G$714="","",[2]Baskol!$G$714)</f>
        <v/>
      </c>
      <c r="Y711">
        <f>IF([2]Baskol!$I$714="","",[2]Baskol!$I$714)</f>
        <v/>
      </c>
      <c r="Z711">
        <f>IF([2]Baskol!$J$714="","",[2]Baskol!$J$714)</f>
        <v/>
      </c>
      <c r="AA711">
        <f>IF([2]Baskol!$K$714="","",[2]Baskol!$K$714)</f>
        <v/>
      </c>
      <c r="AB711">
        <f>IF([2]Baskol!$L$714="","",[2]Baskol!$L$714)</f>
        <v/>
      </c>
      <c r="AC711">
        <f>IF([2]Baskol!$N$714="","",[2]Baskol!$N$714)</f>
        <v/>
      </c>
      <c r="AD711">
        <f>IF([2]Baskol!$O$714="","",[2]Baskol!$O$714)</f>
        <v/>
      </c>
      <c r="AE711">
        <f>IF([3]Entry!$C$714="","",[3]Entry!$C$714)</f>
        <v/>
      </c>
      <c r="AF711">
        <f>IF([3]Entry!$D$714="","",[3]Entry!$D$714)</f>
        <v/>
      </c>
      <c r="AG711">
        <f>IF([3]Entry!$E$714="","",[3]Entry!$E$714)</f>
        <v/>
      </c>
      <c r="AH711">
        <f>IF([3]Entry!$G$714="","",[3]Entry!$G$714)</f>
        <v/>
      </c>
      <c r="AI711">
        <f>IF([3]Entry!$K$714="","",[3]Entry!$K$714)</f>
        <v/>
      </c>
      <c r="AJ711">
        <f>IF([3]Entry!$L$714="","",[3]Entry!$L$714)</f>
        <v/>
      </c>
      <c r="AK711">
        <f>IF([3]Entry!$M$714="","",[3]Entry!$M$714)</f>
        <v/>
      </c>
      <c r="AL711">
        <f>IF([3]Entry!$N$714="","",[3]Entry!$N$714)</f>
        <v/>
      </c>
      <c r="AM711">
        <f>IF([3]Entry!$R$714="","",[3]Entry!$R$714)</f>
        <v/>
      </c>
    </row>
    <row r="712">
      <c r="T712">
        <f>IF([2]Baskol!$B$715="","",[2]Baskol!$B$715)</f>
        <v/>
      </c>
      <c r="U712">
        <f>IF([2]Baskol!$C$715="","",[2]Baskol!$C$715)</f>
        <v/>
      </c>
      <c r="V712">
        <f>IF([2]Baskol!$D$715="","",[2]Baskol!$D$715)</f>
        <v/>
      </c>
      <c r="W712">
        <f>IF([2]Baskol!$E$715="","",[2]Baskol!$E$715)</f>
        <v/>
      </c>
      <c r="X712">
        <f>IF([2]Baskol!$G$715="","",[2]Baskol!$G$715)</f>
        <v/>
      </c>
      <c r="Y712">
        <f>IF([2]Baskol!$I$715="","",[2]Baskol!$I$715)</f>
        <v/>
      </c>
      <c r="Z712">
        <f>IF([2]Baskol!$J$715="","",[2]Baskol!$J$715)</f>
        <v/>
      </c>
      <c r="AA712">
        <f>IF([2]Baskol!$K$715="","",[2]Baskol!$K$715)</f>
        <v/>
      </c>
      <c r="AB712">
        <f>IF([2]Baskol!$L$715="","",[2]Baskol!$L$715)</f>
        <v/>
      </c>
      <c r="AC712">
        <f>IF([2]Baskol!$N$715="","",[2]Baskol!$N$715)</f>
        <v/>
      </c>
      <c r="AD712">
        <f>IF([2]Baskol!$O$715="","",[2]Baskol!$O$715)</f>
        <v/>
      </c>
      <c r="AE712">
        <f>IF([3]Entry!$C$715="","",[3]Entry!$C$715)</f>
        <v/>
      </c>
      <c r="AF712">
        <f>IF([3]Entry!$D$715="","",[3]Entry!$D$715)</f>
        <v/>
      </c>
      <c r="AG712">
        <f>IF([3]Entry!$E$715="","",[3]Entry!$E$715)</f>
        <v/>
      </c>
      <c r="AH712">
        <f>IF([3]Entry!$G$715="","",[3]Entry!$G$715)</f>
        <v/>
      </c>
      <c r="AI712">
        <f>IF([3]Entry!$K$715="","",[3]Entry!$K$715)</f>
        <v/>
      </c>
      <c r="AJ712">
        <f>IF([3]Entry!$L$715="","",[3]Entry!$L$715)</f>
        <v/>
      </c>
      <c r="AK712">
        <f>IF([3]Entry!$M$715="","",[3]Entry!$M$715)</f>
        <v/>
      </c>
      <c r="AL712">
        <f>IF([3]Entry!$N$715="","",[3]Entry!$N$715)</f>
        <v/>
      </c>
      <c r="AM712">
        <f>IF([3]Entry!$R$715="","",[3]Entry!$R$715)</f>
        <v/>
      </c>
    </row>
    <row r="713">
      <c r="T713">
        <f>IF([2]Baskol!$B$716="","",[2]Baskol!$B$716)</f>
        <v/>
      </c>
      <c r="U713">
        <f>IF([2]Baskol!$C$716="","",[2]Baskol!$C$716)</f>
        <v/>
      </c>
      <c r="V713">
        <f>IF([2]Baskol!$D$716="","",[2]Baskol!$D$716)</f>
        <v/>
      </c>
      <c r="W713">
        <f>IF([2]Baskol!$E$716="","",[2]Baskol!$E$716)</f>
        <v/>
      </c>
      <c r="X713">
        <f>IF([2]Baskol!$G$716="","",[2]Baskol!$G$716)</f>
        <v/>
      </c>
      <c r="Y713">
        <f>IF([2]Baskol!$I$716="","",[2]Baskol!$I$716)</f>
        <v/>
      </c>
      <c r="Z713">
        <f>IF([2]Baskol!$J$716="","",[2]Baskol!$J$716)</f>
        <v/>
      </c>
      <c r="AA713">
        <f>IF([2]Baskol!$K$716="","",[2]Baskol!$K$716)</f>
        <v/>
      </c>
      <c r="AB713">
        <f>IF([2]Baskol!$L$716="","",[2]Baskol!$L$716)</f>
        <v/>
      </c>
      <c r="AC713">
        <f>IF([2]Baskol!$N$716="","",[2]Baskol!$N$716)</f>
        <v/>
      </c>
      <c r="AD713">
        <f>IF([2]Baskol!$O$716="","",[2]Baskol!$O$716)</f>
        <v/>
      </c>
      <c r="AE713">
        <f>IF([3]Entry!$C$716="","",[3]Entry!$C$716)</f>
        <v/>
      </c>
      <c r="AF713">
        <f>IF([3]Entry!$D$716="","",[3]Entry!$D$716)</f>
        <v/>
      </c>
      <c r="AG713">
        <f>IF([3]Entry!$E$716="","",[3]Entry!$E$716)</f>
        <v/>
      </c>
      <c r="AH713">
        <f>IF([3]Entry!$G$716="","",[3]Entry!$G$716)</f>
        <v/>
      </c>
      <c r="AI713">
        <f>IF([3]Entry!$K$716="","",[3]Entry!$K$716)</f>
        <v/>
      </c>
      <c r="AJ713">
        <f>IF([3]Entry!$L$716="","",[3]Entry!$L$716)</f>
        <v/>
      </c>
      <c r="AK713">
        <f>IF([3]Entry!$M$716="","",[3]Entry!$M$716)</f>
        <v/>
      </c>
      <c r="AL713">
        <f>IF([3]Entry!$N$716="","",[3]Entry!$N$716)</f>
        <v/>
      </c>
      <c r="AM713">
        <f>IF([3]Entry!$R$716="","",[3]Entry!$R$716)</f>
        <v/>
      </c>
    </row>
    <row r="714">
      <c r="T714">
        <f>IF([2]Baskol!$B$717="","",[2]Baskol!$B$717)</f>
        <v/>
      </c>
      <c r="U714">
        <f>IF([2]Baskol!$C$717="","",[2]Baskol!$C$717)</f>
        <v/>
      </c>
      <c r="V714">
        <f>IF([2]Baskol!$D$717="","",[2]Baskol!$D$717)</f>
        <v/>
      </c>
      <c r="W714">
        <f>IF([2]Baskol!$E$717="","",[2]Baskol!$E$717)</f>
        <v/>
      </c>
      <c r="X714">
        <f>IF([2]Baskol!$G$717="","",[2]Baskol!$G$717)</f>
        <v/>
      </c>
      <c r="Y714">
        <f>IF([2]Baskol!$I$717="","",[2]Baskol!$I$717)</f>
        <v/>
      </c>
      <c r="Z714">
        <f>IF([2]Baskol!$J$717="","",[2]Baskol!$J$717)</f>
        <v/>
      </c>
      <c r="AA714">
        <f>IF([2]Baskol!$K$717="","",[2]Baskol!$K$717)</f>
        <v/>
      </c>
      <c r="AB714">
        <f>IF([2]Baskol!$L$717="","",[2]Baskol!$L$717)</f>
        <v/>
      </c>
      <c r="AC714">
        <f>IF([2]Baskol!$N$717="","",[2]Baskol!$N$717)</f>
        <v/>
      </c>
      <c r="AD714">
        <f>IF([2]Baskol!$O$717="","",[2]Baskol!$O$717)</f>
        <v/>
      </c>
      <c r="AE714">
        <f>IF([3]Entry!$C$717="","",[3]Entry!$C$717)</f>
        <v/>
      </c>
      <c r="AF714">
        <f>IF([3]Entry!$D$717="","",[3]Entry!$D$717)</f>
        <v/>
      </c>
      <c r="AG714">
        <f>IF([3]Entry!$E$717="","",[3]Entry!$E$717)</f>
        <v/>
      </c>
      <c r="AH714">
        <f>IF([3]Entry!$G$717="","",[3]Entry!$G$717)</f>
        <v/>
      </c>
      <c r="AI714">
        <f>IF([3]Entry!$K$717="","",[3]Entry!$K$717)</f>
        <v/>
      </c>
      <c r="AJ714">
        <f>IF([3]Entry!$L$717="","",[3]Entry!$L$717)</f>
        <v/>
      </c>
      <c r="AK714">
        <f>IF([3]Entry!$M$717="","",[3]Entry!$M$717)</f>
        <v/>
      </c>
      <c r="AL714">
        <f>IF([3]Entry!$N$717="","",[3]Entry!$N$717)</f>
        <v/>
      </c>
      <c r="AM714">
        <f>IF([3]Entry!$R$717="","",[3]Entry!$R$717)</f>
        <v/>
      </c>
    </row>
    <row r="715">
      <c r="T715">
        <f>IF([2]Baskol!$B$718="","",[2]Baskol!$B$718)</f>
        <v/>
      </c>
      <c r="U715">
        <f>IF([2]Baskol!$C$718="","",[2]Baskol!$C$718)</f>
        <v/>
      </c>
      <c r="V715">
        <f>IF([2]Baskol!$D$718="","",[2]Baskol!$D$718)</f>
        <v/>
      </c>
      <c r="W715">
        <f>IF([2]Baskol!$E$718="","",[2]Baskol!$E$718)</f>
        <v/>
      </c>
      <c r="X715">
        <f>IF([2]Baskol!$G$718="","",[2]Baskol!$G$718)</f>
        <v/>
      </c>
      <c r="Y715">
        <f>IF([2]Baskol!$I$718="","",[2]Baskol!$I$718)</f>
        <v/>
      </c>
      <c r="Z715">
        <f>IF([2]Baskol!$J$718="","",[2]Baskol!$J$718)</f>
        <v/>
      </c>
      <c r="AA715">
        <f>IF([2]Baskol!$K$718="","",[2]Baskol!$K$718)</f>
        <v/>
      </c>
      <c r="AB715">
        <f>IF([2]Baskol!$L$718="","",[2]Baskol!$L$718)</f>
        <v/>
      </c>
      <c r="AC715">
        <f>IF([2]Baskol!$N$718="","",[2]Baskol!$N$718)</f>
        <v/>
      </c>
      <c r="AD715">
        <f>IF([2]Baskol!$O$718="","",[2]Baskol!$O$718)</f>
        <v/>
      </c>
      <c r="AE715">
        <f>IF([3]Entry!$C$718="","",[3]Entry!$C$718)</f>
        <v/>
      </c>
      <c r="AF715">
        <f>IF([3]Entry!$D$718="","",[3]Entry!$D$718)</f>
        <v/>
      </c>
      <c r="AG715">
        <f>IF([3]Entry!$E$718="","",[3]Entry!$E$718)</f>
        <v/>
      </c>
      <c r="AH715">
        <f>IF([3]Entry!$G$718="","",[3]Entry!$G$718)</f>
        <v/>
      </c>
      <c r="AI715">
        <f>IF([3]Entry!$K$718="","",[3]Entry!$K$718)</f>
        <v/>
      </c>
      <c r="AJ715">
        <f>IF([3]Entry!$L$718="","",[3]Entry!$L$718)</f>
        <v/>
      </c>
      <c r="AK715">
        <f>IF([3]Entry!$M$718="","",[3]Entry!$M$718)</f>
        <v/>
      </c>
      <c r="AL715">
        <f>IF([3]Entry!$N$718="","",[3]Entry!$N$718)</f>
        <v/>
      </c>
      <c r="AM715">
        <f>IF([3]Entry!$R$718="","",[3]Entry!$R$718)</f>
        <v/>
      </c>
    </row>
    <row r="716">
      <c r="T716">
        <f>IF([2]Baskol!$B$719="","",[2]Baskol!$B$719)</f>
        <v/>
      </c>
      <c r="U716">
        <f>IF([2]Baskol!$C$719="","",[2]Baskol!$C$719)</f>
        <v/>
      </c>
      <c r="V716">
        <f>IF([2]Baskol!$D$719="","",[2]Baskol!$D$719)</f>
        <v/>
      </c>
      <c r="W716">
        <f>IF([2]Baskol!$E$719="","",[2]Baskol!$E$719)</f>
        <v/>
      </c>
      <c r="X716">
        <f>IF([2]Baskol!$G$719="","",[2]Baskol!$G$719)</f>
        <v/>
      </c>
      <c r="Y716">
        <f>IF([2]Baskol!$I$719="","",[2]Baskol!$I$719)</f>
        <v/>
      </c>
      <c r="Z716">
        <f>IF([2]Baskol!$J$719="","",[2]Baskol!$J$719)</f>
        <v/>
      </c>
      <c r="AA716">
        <f>IF([2]Baskol!$K$719="","",[2]Baskol!$K$719)</f>
        <v/>
      </c>
      <c r="AB716">
        <f>IF([2]Baskol!$L$719="","",[2]Baskol!$L$719)</f>
        <v/>
      </c>
      <c r="AC716">
        <f>IF([2]Baskol!$N$719="","",[2]Baskol!$N$719)</f>
        <v/>
      </c>
      <c r="AD716">
        <f>IF([2]Baskol!$O$719="","",[2]Baskol!$O$719)</f>
        <v/>
      </c>
      <c r="AE716">
        <f>IF([3]Entry!$C$719="","",[3]Entry!$C$719)</f>
        <v/>
      </c>
      <c r="AF716">
        <f>IF([3]Entry!$D$719="","",[3]Entry!$D$719)</f>
        <v/>
      </c>
      <c r="AG716">
        <f>IF([3]Entry!$E$719="","",[3]Entry!$E$719)</f>
        <v/>
      </c>
      <c r="AH716">
        <f>IF([3]Entry!$G$719="","",[3]Entry!$G$719)</f>
        <v/>
      </c>
      <c r="AI716">
        <f>IF([3]Entry!$K$719="","",[3]Entry!$K$719)</f>
        <v/>
      </c>
      <c r="AJ716">
        <f>IF([3]Entry!$L$719="","",[3]Entry!$L$719)</f>
        <v/>
      </c>
      <c r="AK716">
        <f>IF([3]Entry!$M$719="","",[3]Entry!$M$719)</f>
        <v/>
      </c>
      <c r="AL716">
        <f>IF([3]Entry!$N$719="","",[3]Entry!$N$719)</f>
        <v/>
      </c>
      <c r="AM716">
        <f>IF([3]Entry!$R$719="","",[3]Entry!$R$719)</f>
        <v/>
      </c>
    </row>
    <row r="717">
      <c r="T717">
        <f>IF([2]Baskol!$B$720="","",[2]Baskol!$B$720)</f>
        <v/>
      </c>
      <c r="U717">
        <f>IF([2]Baskol!$C$720="","",[2]Baskol!$C$720)</f>
        <v/>
      </c>
      <c r="V717">
        <f>IF([2]Baskol!$D$720="","",[2]Baskol!$D$720)</f>
        <v/>
      </c>
      <c r="W717">
        <f>IF([2]Baskol!$E$720="","",[2]Baskol!$E$720)</f>
        <v/>
      </c>
      <c r="X717">
        <f>IF([2]Baskol!$G$720="","",[2]Baskol!$G$720)</f>
        <v/>
      </c>
      <c r="Y717">
        <f>IF([2]Baskol!$I$720="","",[2]Baskol!$I$720)</f>
        <v/>
      </c>
      <c r="Z717">
        <f>IF([2]Baskol!$J$720="","",[2]Baskol!$J$720)</f>
        <v/>
      </c>
      <c r="AA717">
        <f>IF([2]Baskol!$K$720="","",[2]Baskol!$K$720)</f>
        <v/>
      </c>
      <c r="AB717">
        <f>IF([2]Baskol!$L$720="","",[2]Baskol!$L$720)</f>
        <v/>
      </c>
      <c r="AC717">
        <f>IF([2]Baskol!$N$720="","",[2]Baskol!$N$720)</f>
        <v/>
      </c>
      <c r="AD717">
        <f>IF([2]Baskol!$O$720="","",[2]Baskol!$O$720)</f>
        <v/>
      </c>
      <c r="AE717">
        <f>IF([3]Entry!$C$720="","",[3]Entry!$C$720)</f>
        <v/>
      </c>
      <c r="AF717">
        <f>IF([3]Entry!$D$720="","",[3]Entry!$D$720)</f>
        <v/>
      </c>
      <c r="AG717">
        <f>IF([3]Entry!$E$720="","",[3]Entry!$E$720)</f>
        <v/>
      </c>
      <c r="AH717">
        <f>IF([3]Entry!$G$720="","",[3]Entry!$G$720)</f>
        <v/>
      </c>
      <c r="AI717">
        <f>IF([3]Entry!$K$720="","",[3]Entry!$K$720)</f>
        <v/>
      </c>
      <c r="AJ717">
        <f>IF([3]Entry!$L$720="","",[3]Entry!$L$720)</f>
        <v/>
      </c>
      <c r="AK717">
        <f>IF([3]Entry!$M$720="","",[3]Entry!$M$720)</f>
        <v/>
      </c>
      <c r="AL717">
        <f>IF([3]Entry!$N$720="","",[3]Entry!$N$720)</f>
        <v/>
      </c>
      <c r="AM717">
        <f>IF([3]Entry!$R$720="","",[3]Entry!$R$720)</f>
        <v/>
      </c>
    </row>
    <row r="718">
      <c r="T718">
        <f>IF([2]Baskol!$B$721="","",[2]Baskol!$B$721)</f>
        <v/>
      </c>
      <c r="U718">
        <f>IF([2]Baskol!$C$721="","",[2]Baskol!$C$721)</f>
        <v/>
      </c>
      <c r="V718">
        <f>IF([2]Baskol!$D$721="","",[2]Baskol!$D$721)</f>
        <v/>
      </c>
      <c r="W718">
        <f>IF([2]Baskol!$E$721="","",[2]Baskol!$E$721)</f>
        <v/>
      </c>
      <c r="X718">
        <f>IF([2]Baskol!$G$721="","",[2]Baskol!$G$721)</f>
        <v/>
      </c>
      <c r="Y718">
        <f>IF([2]Baskol!$I$721="","",[2]Baskol!$I$721)</f>
        <v/>
      </c>
      <c r="Z718">
        <f>IF([2]Baskol!$J$721="","",[2]Baskol!$J$721)</f>
        <v/>
      </c>
      <c r="AA718">
        <f>IF([2]Baskol!$K$721="","",[2]Baskol!$K$721)</f>
        <v/>
      </c>
      <c r="AB718">
        <f>IF([2]Baskol!$L$721="","",[2]Baskol!$L$721)</f>
        <v/>
      </c>
      <c r="AC718">
        <f>IF([2]Baskol!$N$721="","",[2]Baskol!$N$721)</f>
        <v/>
      </c>
      <c r="AD718">
        <f>IF([2]Baskol!$O$721="","",[2]Baskol!$O$721)</f>
        <v/>
      </c>
      <c r="AE718">
        <f>IF([3]Entry!$C$721="","",[3]Entry!$C$721)</f>
        <v/>
      </c>
      <c r="AF718">
        <f>IF([3]Entry!$D$721="","",[3]Entry!$D$721)</f>
        <v/>
      </c>
      <c r="AG718">
        <f>IF([3]Entry!$E$721="","",[3]Entry!$E$721)</f>
        <v/>
      </c>
      <c r="AH718">
        <f>IF([3]Entry!$G$721="","",[3]Entry!$G$721)</f>
        <v/>
      </c>
      <c r="AI718">
        <f>IF([3]Entry!$K$721="","",[3]Entry!$K$721)</f>
        <v/>
      </c>
      <c r="AJ718">
        <f>IF([3]Entry!$L$721="","",[3]Entry!$L$721)</f>
        <v/>
      </c>
      <c r="AK718">
        <f>IF([3]Entry!$M$721="","",[3]Entry!$M$721)</f>
        <v/>
      </c>
      <c r="AL718">
        <f>IF([3]Entry!$N$721="","",[3]Entry!$N$721)</f>
        <v/>
      </c>
      <c r="AM718">
        <f>IF([3]Entry!$R$721="","",[3]Entry!$R$721)</f>
        <v/>
      </c>
    </row>
    <row r="719">
      <c r="T719">
        <f>IF([2]Baskol!$B$722="","",[2]Baskol!$B$722)</f>
        <v/>
      </c>
      <c r="U719">
        <f>IF([2]Baskol!$C$722="","",[2]Baskol!$C$722)</f>
        <v/>
      </c>
      <c r="V719">
        <f>IF([2]Baskol!$D$722="","",[2]Baskol!$D$722)</f>
        <v/>
      </c>
      <c r="W719">
        <f>IF([2]Baskol!$E$722="","",[2]Baskol!$E$722)</f>
        <v/>
      </c>
      <c r="X719">
        <f>IF([2]Baskol!$G$722="","",[2]Baskol!$G$722)</f>
        <v/>
      </c>
      <c r="Y719">
        <f>IF([2]Baskol!$I$722="","",[2]Baskol!$I$722)</f>
        <v/>
      </c>
      <c r="Z719">
        <f>IF([2]Baskol!$J$722="","",[2]Baskol!$J$722)</f>
        <v/>
      </c>
      <c r="AA719">
        <f>IF([2]Baskol!$K$722="","",[2]Baskol!$K$722)</f>
        <v/>
      </c>
      <c r="AB719">
        <f>IF([2]Baskol!$L$722="","",[2]Baskol!$L$722)</f>
        <v/>
      </c>
      <c r="AC719">
        <f>IF([2]Baskol!$N$722="","",[2]Baskol!$N$722)</f>
        <v/>
      </c>
      <c r="AD719">
        <f>IF([2]Baskol!$O$722="","",[2]Baskol!$O$722)</f>
        <v/>
      </c>
      <c r="AE719">
        <f>IF([3]Entry!$C$722="","",[3]Entry!$C$722)</f>
        <v/>
      </c>
      <c r="AF719">
        <f>IF([3]Entry!$D$722="","",[3]Entry!$D$722)</f>
        <v/>
      </c>
      <c r="AG719">
        <f>IF([3]Entry!$E$722="","",[3]Entry!$E$722)</f>
        <v/>
      </c>
      <c r="AH719">
        <f>IF([3]Entry!$G$722="","",[3]Entry!$G$722)</f>
        <v/>
      </c>
      <c r="AI719">
        <f>IF([3]Entry!$K$722="","",[3]Entry!$K$722)</f>
        <v/>
      </c>
      <c r="AJ719">
        <f>IF([3]Entry!$L$722="","",[3]Entry!$L$722)</f>
        <v/>
      </c>
      <c r="AK719">
        <f>IF([3]Entry!$M$722="","",[3]Entry!$M$722)</f>
        <v/>
      </c>
      <c r="AL719">
        <f>IF([3]Entry!$N$722="","",[3]Entry!$N$722)</f>
        <v/>
      </c>
      <c r="AM719">
        <f>IF([3]Entry!$R$722="","",[3]Entry!$R$722)</f>
        <v/>
      </c>
    </row>
    <row r="720">
      <c r="T720">
        <f>IF([2]Baskol!$B$723="","",[2]Baskol!$B$723)</f>
        <v/>
      </c>
      <c r="U720">
        <f>IF([2]Baskol!$C$723="","",[2]Baskol!$C$723)</f>
        <v/>
      </c>
      <c r="V720">
        <f>IF([2]Baskol!$D$723="","",[2]Baskol!$D$723)</f>
        <v/>
      </c>
      <c r="W720">
        <f>IF([2]Baskol!$E$723="","",[2]Baskol!$E$723)</f>
        <v/>
      </c>
      <c r="X720">
        <f>IF([2]Baskol!$G$723="","",[2]Baskol!$G$723)</f>
        <v/>
      </c>
      <c r="Y720">
        <f>IF([2]Baskol!$I$723="","",[2]Baskol!$I$723)</f>
        <v/>
      </c>
      <c r="Z720">
        <f>IF([2]Baskol!$J$723="","",[2]Baskol!$J$723)</f>
        <v/>
      </c>
      <c r="AA720">
        <f>IF([2]Baskol!$K$723="","",[2]Baskol!$K$723)</f>
        <v/>
      </c>
      <c r="AB720">
        <f>IF([2]Baskol!$L$723="","",[2]Baskol!$L$723)</f>
        <v/>
      </c>
      <c r="AC720">
        <f>IF([2]Baskol!$N$723="","",[2]Baskol!$N$723)</f>
        <v/>
      </c>
      <c r="AD720">
        <f>IF([2]Baskol!$O$723="","",[2]Baskol!$O$723)</f>
        <v/>
      </c>
      <c r="AE720">
        <f>IF([3]Entry!$C$723="","",[3]Entry!$C$723)</f>
        <v/>
      </c>
      <c r="AF720">
        <f>IF([3]Entry!$D$723="","",[3]Entry!$D$723)</f>
        <v/>
      </c>
      <c r="AG720">
        <f>IF([3]Entry!$E$723="","",[3]Entry!$E$723)</f>
        <v/>
      </c>
      <c r="AH720">
        <f>IF([3]Entry!$G$723="","",[3]Entry!$G$723)</f>
        <v/>
      </c>
      <c r="AI720">
        <f>IF([3]Entry!$K$723="","",[3]Entry!$K$723)</f>
        <v/>
      </c>
      <c r="AJ720">
        <f>IF([3]Entry!$L$723="","",[3]Entry!$L$723)</f>
        <v/>
      </c>
      <c r="AK720">
        <f>IF([3]Entry!$M$723="","",[3]Entry!$M$723)</f>
        <v/>
      </c>
      <c r="AL720">
        <f>IF([3]Entry!$N$723="","",[3]Entry!$N$723)</f>
        <v/>
      </c>
      <c r="AM720">
        <f>IF([3]Entry!$R$723="","",[3]Entry!$R$723)</f>
        <v/>
      </c>
    </row>
    <row r="721">
      <c r="T721">
        <f>IF([2]Baskol!$B$724="","",[2]Baskol!$B$724)</f>
        <v/>
      </c>
      <c r="U721">
        <f>IF([2]Baskol!$C$724="","",[2]Baskol!$C$724)</f>
        <v/>
      </c>
      <c r="V721">
        <f>IF([2]Baskol!$D$724="","",[2]Baskol!$D$724)</f>
        <v/>
      </c>
      <c r="W721">
        <f>IF([2]Baskol!$E$724="","",[2]Baskol!$E$724)</f>
        <v/>
      </c>
      <c r="X721">
        <f>IF([2]Baskol!$G$724="","",[2]Baskol!$G$724)</f>
        <v/>
      </c>
      <c r="Y721">
        <f>IF([2]Baskol!$I$724="","",[2]Baskol!$I$724)</f>
        <v/>
      </c>
      <c r="Z721">
        <f>IF([2]Baskol!$J$724="","",[2]Baskol!$J$724)</f>
        <v/>
      </c>
      <c r="AA721">
        <f>IF([2]Baskol!$K$724="","",[2]Baskol!$K$724)</f>
        <v/>
      </c>
      <c r="AB721">
        <f>IF([2]Baskol!$L$724="","",[2]Baskol!$L$724)</f>
        <v/>
      </c>
      <c r="AC721">
        <f>IF([2]Baskol!$N$724="","",[2]Baskol!$N$724)</f>
        <v/>
      </c>
      <c r="AD721">
        <f>IF([2]Baskol!$O$724="","",[2]Baskol!$O$724)</f>
        <v/>
      </c>
      <c r="AE721">
        <f>IF([3]Entry!$C$724="","",[3]Entry!$C$724)</f>
        <v/>
      </c>
      <c r="AF721">
        <f>IF([3]Entry!$D$724="","",[3]Entry!$D$724)</f>
        <v/>
      </c>
      <c r="AG721">
        <f>IF([3]Entry!$E$724="","",[3]Entry!$E$724)</f>
        <v/>
      </c>
      <c r="AH721">
        <f>IF([3]Entry!$G$724="","",[3]Entry!$G$724)</f>
        <v/>
      </c>
      <c r="AI721">
        <f>IF([3]Entry!$K$724="","",[3]Entry!$K$724)</f>
        <v/>
      </c>
      <c r="AJ721">
        <f>IF([3]Entry!$L$724="","",[3]Entry!$L$724)</f>
        <v/>
      </c>
      <c r="AK721">
        <f>IF([3]Entry!$M$724="","",[3]Entry!$M$724)</f>
        <v/>
      </c>
      <c r="AL721">
        <f>IF([3]Entry!$N$724="","",[3]Entry!$N$724)</f>
        <v/>
      </c>
      <c r="AM721">
        <f>IF([3]Entry!$R$724="","",[3]Entry!$R$724)</f>
        <v/>
      </c>
    </row>
    <row r="722">
      <c r="T722">
        <f>IF([2]Baskol!$B$725="","",[2]Baskol!$B$725)</f>
        <v/>
      </c>
      <c r="U722">
        <f>IF([2]Baskol!$C$725="","",[2]Baskol!$C$725)</f>
        <v/>
      </c>
      <c r="V722">
        <f>IF([2]Baskol!$D$725="","",[2]Baskol!$D$725)</f>
        <v/>
      </c>
      <c r="W722">
        <f>IF([2]Baskol!$E$725="","",[2]Baskol!$E$725)</f>
        <v/>
      </c>
      <c r="X722">
        <f>IF([2]Baskol!$G$725="","",[2]Baskol!$G$725)</f>
        <v/>
      </c>
      <c r="Y722">
        <f>IF([2]Baskol!$I$725="","",[2]Baskol!$I$725)</f>
        <v/>
      </c>
      <c r="Z722">
        <f>IF([2]Baskol!$J$725="","",[2]Baskol!$J$725)</f>
        <v/>
      </c>
      <c r="AA722">
        <f>IF([2]Baskol!$K$725="","",[2]Baskol!$K$725)</f>
        <v/>
      </c>
      <c r="AB722">
        <f>IF([2]Baskol!$L$725="","",[2]Baskol!$L$725)</f>
        <v/>
      </c>
      <c r="AC722">
        <f>IF([2]Baskol!$N$725="","",[2]Baskol!$N$725)</f>
        <v/>
      </c>
      <c r="AD722">
        <f>IF([2]Baskol!$O$725="","",[2]Baskol!$O$725)</f>
        <v/>
      </c>
      <c r="AE722">
        <f>IF([3]Entry!$C$725="","",[3]Entry!$C$725)</f>
        <v/>
      </c>
      <c r="AF722">
        <f>IF([3]Entry!$D$725="","",[3]Entry!$D$725)</f>
        <v/>
      </c>
      <c r="AG722">
        <f>IF([3]Entry!$E$725="","",[3]Entry!$E$725)</f>
        <v/>
      </c>
      <c r="AH722">
        <f>IF([3]Entry!$G$725="","",[3]Entry!$G$725)</f>
        <v/>
      </c>
      <c r="AI722">
        <f>IF([3]Entry!$K$725="","",[3]Entry!$K$725)</f>
        <v/>
      </c>
      <c r="AJ722">
        <f>IF([3]Entry!$L$725="","",[3]Entry!$L$725)</f>
        <v/>
      </c>
      <c r="AK722">
        <f>IF([3]Entry!$M$725="","",[3]Entry!$M$725)</f>
        <v/>
      </c>
      <c r="AL722">
        <f>IF([3]Entry!$N$725="","",[3]Entry!$N$725)</f>
        <v/>
      </c>
      <c r="AM722">
        <f>IF([3]Entry!$R$725="","",[3]Entry!$R$725)</f>
        <v/>
      </c>
    </row>
    <row r="723">
      <c r="T723">
        <f>IF([2]Baskol!$B$726="","",[2]Baskol!$B$726)</f>
        <v/>
      </c>
      <c r="U723">
        <f>IF([2]Baskol!$C$726="","",[2]Baskol!$C$726)</f>
        <v/>
      </c>
      <c r="V723">
        <f>IF([2]Baskol!$D$726="","",[2]Baskol!$D$726)</f>
        <v/>
      </c>
      <c r="W723">
        <f>IF([2]Baskol!$E$726="","",[2]Baskol!$E$726)</f>
        <v/>
      </c>
      <c r="X723">
        <f>IF([2]Baskol!$G$726="","",[2]Baskol!$G$726)</f>
        <v/>
      </c>
      <c r="Y723">
        <f>IF([2]Baskol!$I$726="","",[2]Baskol!$I$726)</f>
        <v/>
      </c>
      <c r="Z723">
        <f>IF([2]Baskol!$J$726="","",[2]Baskol!$J$726)</f>
        <v/>
      </c>
      <c r="AA723">
        <f>IF([2]Baskol!$K$726="","",[2]Baskol!$K$726)</f>
        <v/>
      </c>
      <c r="AB723">
        <f>IF([2]Baskol!$L$726="","",[2]Baskol!$L$726)</f>
        <v/>
      </c>
      <c r="AC723">
        <f>IF([2]Baskol!$N$726="","",[2]Baskol!$N$726)</f>
        <v/>
      </c>
      <c r="AD723">
        <f>IF([2]Baskol!$O$726="","",[2]Baskol!$O$726)</f>
        <v/>
      </c>
      <c r="AE723">
        <f>IF([3]Entry!$C$726="","",[3]Entry!$C$726)</f>
        <v/>
      </c>
      <c r="AF723">
        <f>IF([3]Entry!$D$726="","",[3]Entry!$D$726)</f>
        <v/>
      </c>
      <c r="AG723">
        <f>IF([3]Entry!$E$726="","",[3]Entry!$E$726)</f>
        <v/>
      </c>
      <c r="AH723">
        <f>IF([3]Entry!$G$726="","",[3]Entry!$G$726)</f>
        <v/>
      </c>
      <c r="AI723">
        <f>IF([3]Entry!$K$726="","",[3]Entry!$K$726)</f>
        <v/>
      </c>
      <c r="AJ723">
        <f>IF([3]Entry!$L$726="","",[3]Entry!$L$726)</f>
        <v/>
      </c>
      <c r="AK723">
        <f>IF([3]Entry!$M$726="","",[3]Entry!$M$726)</f>
        <v/>
      </c>
      <c r="AL723">
        <f>IF([3]Entry!$N$726="","",[3]Entry!$N$726)</f>
        <v/>
      </c>
      <c r="AM723">
        <f>IF([3]Entry!$R$726="","",[3]Entry!$R$726)</f>
        <v/>
      </c>
    </row>
    <row r="724">
      <c r="T724">
        <f>IF([2]Baskol!$B$727="","",[2]Baskol!$B$727)</f>
        <v/>
      </c>
      <c r="U724">
        <f>IF([2]Baskol!$C$727="","",[2]Baskol!$C$727)</f>
        <v/>
      </c>
      <c r="V724">
        <f>IF([2]Baskol!$D$727="","",[2]Baskol!$D$727)</f>
        <v/>
      </c>
      <c r="W724">
        <f>IF([2]Baskol!$E$727="","",[2]Baskol!$E$727)</f>
        <v/>
      </c>
      <c r="X724">
        <f>IF([2]Baskol!$G$727="","",[2]Baskol!$G$727)</f>
        <v/>
      </c>
      <c r="Y724">
        <f>IF([2]Baskol!$I$727="","",[2]Baskol!$I$727)</f>
        <v/>
      </c>
      <c r="Z724">
        <f>IF([2]Baskol!$J$727="","",[2]Baskol!$J$727)</f>
        <v/>
      </c>
      <c r="AA724">
        <f>IF([2]Baskol!$K$727="","",[2]Baskol!$K$727)</f>
        <v/>
      </c>
      <c r="AB724">
        <f>IF([2]Baskol!$L$727="","",[2]Baskol!$L$727)</f>
        <v/>
      </c>
      <c r="AC724">
        <f>IF([2]Baskol!$N$727="","",[2]Baskol!$N$727)</f>
        <v/>
      </c>
      <c r="AD724">
        <f>IF([2]Baskol!$O$727="","",[2]Baskol!$O$727)</f>
        <v/>
      </c>
      <c r="AE724">
        <f>IF([3]Entry!$C$727="","",[3]Entry!$C$727)</f>
        <v/>
      </c>
      <c r="AF724">
        <f>IF([3]Entry!$D$727="","",[3]Entry!$D$727)</f>
        <v/>
      </c>
      <c r="AG724">
        <f>IF([3]Entry!$E$727="","",[3]Entry!$E$727)</f>
        <v/>
      </c>
      <c r="AH724">
        <f>IF([3]Entry!$G$727="","",[3]Entry!$G$727)</f>
        <v/>
      </c>
      <c r="AI724">
        <f>IF([3]Entry!$K$727="","",[3]Entry!$K$727)</f>
        <v/>
      </c>
      <c r="AJ724">
        <f>IF([3]Entry!$L$727="","",[3]Entry!$L$727)</f>
        <v/>
      </c>
      <c r="AK724">
        <f>IF([3]Entry!$M$727="","",[3]Entry!$M$727)</f>
        <v/>
      </c>
      <c r="AL724">
        <f>IF([3]Entry!$N$727="","",[3]Entry!$N$727)</f>
        <v/>
      </c>
      <c r="AM724">
        <f>IF([3]Entry!$R$727="","",[3]Entry!$R$727)</f>
        <v/>
      </c>
    </row>
    <row r="725">
      <c r="T725">
        <f>IF([2]Baskol!$B$728="","",[2]Baskol!$B$728)</f>
        <v/>
      </c>
      <c r="U725">
        <f>IF([2]Baskol!$C$728="","",[2]Baskol!$C$728)</f>
        <v/>
      </c>
      <c r="V725">
        <f>IF([2]Baskol!$D$728="","",[2]Baskol!$D$728)</f>
        <v/>
      </c>
      <c r="W725">
        <f>IF([2]Baskol!$E$728="","",[2]Baskol!$E$728)</f>
        <v/>
      </c>
      <c r="X725">
        <f>IF([2]Baskol!$G$728="","",[2]Baskol!$G$728)</f>
        <v/>
      </c>
      <c r="Y725">
        <f>IF([2]Baskol!$I$728="","",[2]Baskol!$I$728)</f>
        <v/>
      </c>
      <c r="Z725">
        <f>IF([2]Baskol!$J$728="","",[2]Baskol!$J$728)</f>
        <v/>
      </c>
      <c r="AA725">
        <f>IF([2]Baskol!$K$728="","",[2]Baskol!$K$728)</f>
        <v/>
      </c>
      <c r="AB725">
        <f>IF([2]Baskol!$L$728="","",[2]Baskol!$L$728)</f>
        <v/>
      </c>
      <c r="AC725">
        <f>IF([2]Baskol!$N$728="","",[2]Baskol!$N$728)</f>
        <v/>
      </c>
      <c r="AD725">
        <f>IF([2]Baskol!$O$728="","",[2]Baskol!$O$728)</f>
        <v/>
      </c>
      <c r="AE725">
        <f>IF([3]Entry!$C$728="","",[3]Entry!$C$728)</f>
        <v/>
      </c>
      <c r="AF725">
        <f>IF([3]Entry!$D$728="","",[3]Entry!$D$728)</f>
        <v/>
      </c>
      <c r="AG725">
        <f>IF([3]Entry!$E$728="","",[3]Entry!$E$728)</f>
        <v/>
      </c>
      <c r="AH725">
        <f>IF([3]Entry!$G$728="","",[3]Entry!$G$728)</f>
        <v/>
      </c>
      <c r="AI725">
        <f>IF([3]Entry!$K$728="","",[3]Entry!$K$728)</f>
        <v/>
      </c>
      <c r="AJ725">
        <f>IF([3]Entry!$L$728="","",[3]Entry!$L$728)</f>
        <v/>
      </c>
      <c r="AK725">
        <f>IF([3]Entry!$M$728="","",[3]Entry!$M$728)</f>
        <v/>
      </c>
      <c r="AL725">
        <f>IF([3]Entry!$N$728="","",[3]Entry!$N$728)</f>
        <v/>
      </c>
      <c r="AM725">
        <f>IF([3]Entry!$R$728="","",[3]Entry!$R$728)</f>
        <v/>
      </c>
    </row>
    <row r="726">
      <c r="T726">
        <f>IF([2]Baskol!$B$729="","",[2]Baskol!$B$729)</f>
        <v/>
      </c>
      <c r="U726">
        <f>IF([2]Baskol!$C$729="","",[2]Baskol!$C$729)</f>
        <v/>
      </c>
      <c r="V726">
        <f>IF([2]Baskol!$D$729="","",[2]Baskol!$D$729)</f>
        <v/>
      </c>
      <c r="W726">
        <f>IF([2]Baskol!$E$729="","",[2]Baskol!$E$729)</f>
        <v/>
      </c>
      <c r="X726">
        <f>IF([2]Baskol!$G$729="","",[2]Baskol!$G$729)</f>
        <v/>
      </c>
      <c r="Y726">
        <f>IF([2]Baskol!$I$729="","",[2]Baskol!$I$729)</f>
        <v/>
      </c>
      <c r="Z726">
        <f>IF([2]Baskol!$J$729="","",[2]Baskol!$J$729)</f>
        <v/>
      </c>
      <c r="AA726">
        <f>IF([2]Baskol!$K$729="","",[2]Baskol!$K$729)</f>
        <v/>
      </c>
      <c r="AB726">
        <f>IF([2]Baskol!$L$729="","",[2]Baskol!$L$729)</f>
        <v/>
      </c>
      <c r="AC726">
        <f>IF([2]Baskol!$N$729="","",[2]Baskol!$N$729)</f>
        <v/>
      </c>
      <c r="AD726">
        <f>IF([2]Baskol!$O$729="","",[2]Baskol!$O$729)</f>
        <v/>
      </c>
      <c r="AE726">
        <f>IF([3]Entry!$C$729="","",[3]Entry!$C$729)</f>
        <v/>
      </c>
      <c r="AF726">
        <f>IF([3]Entry!$D$729="","",[3]Entry!$D$729)</f>
        <v/>
      </c>
      <c r="AG726">
        <f>IF([3]Entry!$E$729="","",[3]Entry!$E$729)</f>
        <v/>
      </c>
      <c r="AH726">
        <f>IF([3]Entry!$G$729="","",[3]Entry!$G$729)</f>
        <v/>
      </c>
      <c r="AI726">
        <f>IF([3]Entry!$K$729="","",[3]Entry!$K$729)</f>
        <v/>
      </c>
      <c r="AJ726">
        <f>IF([3]Entry!$L$729="","",[3]Entry!$L$729)</f>
        <v/>
      </c>
      <c r="AK726">
        <f>IF([3]Entry!$M$729="","",[3]Entry!$M$729)</f>
        <v/>
      </c>
      <c r="AL726">
        <f>IF([3]Entry!$N$729="","",[3]Entry!$N$729)</f>
        <v/>
      </c>
      <c r="AM726">
        <f>IF([3]Entry!$R$729="","",[3]Entry!$R$729)</f>
        <v/>
      </c>
    </row>
    <row r="727">
      <c r="T727">
        <f>IF([2]Baskol!$B$730="","",[2]Baskol!$B$730)</f>
        <v/>
      </c>
      <c r="U727">
        <f>IF([2]Baskol!$C$730="","",[2]Baskol!$C$730)</f>
        <v/>
      </c>
      <c r="V727">
        <f>IF([2]Baskol!$D$730="","",[2]Baskol!$D$730)</f>
        <v/>
      </c>
      <c r="W727">
        <f>IF([2]Baskol!$E$730="","",[2]Baskol!$E$730)</f>
        <v/>
      </c>
      <c r="X727">
        <f>IF([2]Baskol!$G$730="","",[2]Baskol!$G$730)</f>
        <v/>
      </c>
      <c r="Y727">
        <f>IF([2]Baskol!$I$730="","",[2]Baskol!$I$730)</f>
        <v/>
      </c>
      <c r="Z727">
        <f>IF([2]Baskol!$J$730="","",[2]Baskol!$J$730)</f>
        <v/>
      </c>
      <c r="AA727">
        <f>IF([2]Baskol!$K$730="","",[2]Baskol!$K$730)</f>
        <v/>
      </c>
      <c r="AB727">
        <f>IF([2]Baskol!$L$730="","",[2]Baskol!$L$730)</f>
        <v/>
      </c>
      <c r="AC727">
        <f>IF([2]Baskol!$N$730="","",[2]Baskol!$N$730)</f>
        <v/>
      </c>
      <c r="AD727">
        <f>IF([2]Baskol!$O$730="","",[2]Baskol!$O$730)</f>
        <v/>
      </c>
      <c r="AE727">
        <f>IF([3]Entry!$C$730="","",[3]Entry!$C$730)</f>
        <v/>
      </c>
      <c r="AF727">
        <f>IF([3]Entry!$D$730="","",[3]Entry!$D$730)</f>
        <v/>
      </c>
      <c r="AG727">
        <f>IF([3]Entry!$E$730="","",[3]Entry!$E$730)</f>
        <v/>
      </c>
      <c r="AH727">
        <f>IF([3]Entry!$G$730="","",[3]Entry!$G$730)</f>
        <v/>
      </c>
      <c r="AI727">
        <f>IF([3]Entry!$K$730="","",[3]Entry!$K$730)</f>
        <v/>
      </c>
      <c r="AJ727">
        <f>IF([3]Entry!$L$730="","",[3]Entry!$L$730)</f>
        <v/>
      </c>
      <c r="AK727">
        <f>IF([3]Entry!$M$730="","",[3]Entry!$M$730)</f>
        <v/>
      </c>
      <c r="AL727">
        <f>IF([3]Entry!$N$730="","",[3]Entry!$N$730)</f>
        <v/>
      </c>
      <c r="AM727">
        <f>IF([3]Entry!$R$730="","",[3]Entry!$R$730)</f>
        <v/>
      </c>
    </row>
    <row r="728">
      <c r="T728">
        <f>IF([2]Baskol!$B$731="","",[2]Baskol!$B$731)</f>
        <v/>
      </c>
      <c r="U728">
        <f>IF([2]Baskol!$C$731="","",[2]Baskol!$C$731)</f>
        <v/>
      </c>
      <c r="V728">
        <f>IF([2]Baskol!$D$731="","",[2]Baskol!$D$731)</f>
        <v/>
      </c>
      <c r="W728">
        <f>IF([2]Baskol!$E$731="","",[2]Baskol!$E$731)</f>
        <v/>
      </c>
      <c r="X728">
        <f>IF([2]Baskol!$G$731="","",[2]Baskol!$G$731)</f>
        <v/>
      </c>
      <c r="Y728">
        <f>IF([2]Baskol!$I$731="","",[2]Baskol!$I$731)</f>
        <v/>
      </c>
      <c r="Z728">
        <f>IF([2]Baskol!$J$731="","",[2]Baskol!$J$731)</f>
        <v/>
      </c>
      <c r="AA728">
        <f>IF([2]Baskol!$K$731="","",[2]Baskol!$K$731)</f>
        <v/>
      </c>
      <c r="AB728">
        <f>IF([2]Baskol!$L$731="","",[2]Baskol!$L$731)</f>
        <v/>
      </c>
      <c r="AC728">
        <f>IF([2]Baskol!$N$731="","",[2]Baskol!$N$731)</f>
        <v/>
      </c>
      <c r="AD728">
        <f>IF([2]Baskol!$O$731="","",[2]Baskol!$O$731)</f>
        <v/>
      </c>
      <c r="AE728">
        <f>IF([3]Entry!$C$731="","",[3]Entry!$C$731)</f>
        <v/>
      </c>
      <c r="AF728">
        <f>IF([3]Entry!$D$731="","",[3]Entry!$D$731)</f>
        <v/>
      </c>
      <c r="AG728">
        <f>IF([3]Entry!$E$731="","",[3]Entry!$E$731)</f>
        <v/>
      </c>
      <c r="AH728">
        <f>IF([3]Entry!$G$731="","",[3]Entry!$G$731)</f>
        <v/>
      </c>
      <c r="AI728">
        <f>IF([3]Entry!$K$731="","",[3]Entry!$K$731)</f>
        <v/>
      </c>
      <c r="AJ728">
        <f>IF([3]Entry!$L$731="","",[3]Entry!$L$731)</f>
        <v/>
      </c>
      <c r="AK728">
        <f>IF([3]Entry!$M$731="","",[3]Entry!$M$731)</f>
        <v/>
      </c>
      <c r="AL728">
        <f>IF([3]Entry!$N$731="","",[3]Entry!$N$731)</f>
        <v/>
      </c>
      <c r="AM728">
        <f>IF([3]Entry!$R$731="","",[3]Entry!$R$731)</f>
        <v/>
      </c>
    </row>
    <row r="729">
      <c r="T729">
        <f>IF([2]Baskol!$B$732="","",[2]Baskol!$B$732)</f>
        <v/>
      </c>
      <c r="U729">
        <f>IF([2]Baskol!$C$732="","",[2]Baskol!$C$732)</f>
        <v/>
      </c>
      <c r="V729">
        <f>IF([2]Baskol!$D$732="","",[2]Baskol!$D$732)</f>
        <v/>
      </c>
      <c r="W729">
        <f>IF([2]Baskol!$E$732="","",[2]Baskol!$E$732)</f>
        <v/>
      </c>
      <c r="X729">
        <f>IF([2]Baskol!$G$732="","",[2]Baskol!$G$732)</f>
        <v/>
      </c>
      <c r="Y729">
        <f>IF([2]Baskol!$I$732="","",[2]Baskol!$I$732)</f>
        <v/>
      </c>
      <c r="Z729">
        <f>IF([2]Baskol!$J$732="","",[2]Baskol!$J$732)</f>
        <v/>
      </c>
      <c r="AA729">
        <f>IF([2]Baskol!$K$732="","",[2]Baskol!$K$732)</f>
        <v/>
      </c>
      <c r="AB729">
        <f>IF([2]Baskol!$L$732="","",[2]Baskol!$L$732)</f>
        <v/>
      </c>
      <c r="AC729">
        <f>IF([2]Baskol!$N$732="","",[2]Baskol!$N$732)</f>
        <v/>
      </c>
      <c r="AD729">
        <f>IF([2]Baskol!$O$732="","",[2]Baskol!$O$732)</f>
        <v/>
      </c>
      <c r="AE729">
        <f>IF([3]Entry!$C$732="","",[3]Entry!$C$732)</f>
        <v/>
      </c>
      <c r="AF729">
        <f>IF([3]Entry!$D$732="","",[3]Entry!$D$732)</f>
        <v/>
      </c>
      <c r="AG729">
        <f>IF([3]Entry!$E$732="","",[3]Entry!$E$732)</f>
        <v/>
      </c>
      <c r="AH729">
        <f>IF([3]Entry!$G$732="","",[3]Entry!$G$732)</f>
        <v/>
      </c>
      <c r="AI729">
        <f>IF([3]Entry!$K$732="","",[3]Entry!$K$732)</f>
        <v/>
      </c>
      <c r="AJ729">
        <f>IF([3]Entry!$L$732="","",[3]Entry!$L$732)</f>
        <v/>
      </c>
      <c r="AK729">
        <f>IF([3]Entry!$M$732="","",[3]Entry!$M$732)</f>
        <v/>
      </c>
      <c r="AL729">
        <f>IF([3]Entry!$N$732="","",[3]Entry!$N$732)</f>
        <v/>
      </c>
      <c r="AM729">
        <f>IF([3]Entry!$R$732="","",[3]Entry!$R$732)</f>
        <v/>
      </c>
    </row>
    <row r="730">
      <c r="T730">
        <f>IF([2]Baskol!$B$733="","",[2]Baskol!$B$733)</f>
        <v/>
      </c>
      <c r="U730">
        <f>IF([2]Baskol!$C$733="","",[2]Baskol!$C$733)</f>
        <v/>
      </c>
      <c r="V730">
        <f>IF([2]Baskol!$D$733="","",[2]Baskol!$D$733)</f>
        <v/>
      </c>
      <c r="W730">
        <f>IF([2]Baskol!$E$733="","",[2]Baskol!$E$733)</f>
        <v/>
      </c>
      <c r="X730">
        <f>IF([2]Baskol!$G$733="","",[2]Baskol!$G$733)</f>
        <v/>
      </c>
      <c r="Y730">
        <f>IF([2]Baskol!$I$733="","",[2]Baskol!$I$733)</f>
        <v/>
      </c>
      <c r="Z730">
        <f>IF([2]Baskol!$J$733="","",[2]Baskol!$J$733)</f>
        <v/>
      </c>
      <c r="AA730">
        <f>IF([2]Baskol!$K$733="","",[2]Baskol!$K$733)</f>
        <v/>
      </c>
      <c r="AB730">
        <f>IF([2]Baskol!$L$733="","",[2]Baskol!$L$733)</f>
        <v/>
      </c>
      <c r="AC730">
        <f>IF([2]Baskol!$N$733="","",[2]Baskol!$N$733)</f>
        <v/>
      </c>
      <c r="AD730">
        <f>IF([2]Baskol!$O$733="","",[2]Baskol!$O$733)</f>
        <v/>
      </c>
      <c r="AE730">
        <f>IF([3]Entry!$C$733="","",[3]Entry!$C$733)</f>
        <v/>
      </c>
      <c r="AF730">
        <f>IF([3]Entry!$D$733="","",[3]Entry!$D$733)</f>
        <v/>
      </c>
      <c r="AG730">
        <f>IF([3]Entry!$E$733="","",[3]Entry!$E$733)</f>
        <v/>
      </c>
      <c r="AH730">
        <f>IF([3]Entry!$G$733="","",[3]Entry!$G$733)</f>
        <v/>
      </c>
      <c r="AI730">
        <f>IF([3]Entry!$K$733="","",[3]Entry!$K$733)</f>
        <v/>
      </c>
      <c r="AJ730">
        <f>IF([3]Entry!$L$733="","",[3]Entry!$L$733)</f>
        <v/>
      </c>
      <c r="AK730">
        <f>IF([3]Entry!$M$733="","",[3]Entry!$M$733)</f>
        <v/>
      </c>
      <c r="AL730">
        <f>IF([3]Entry!$N$733="","",[3]Entry!$N$733)</f>
        <v/>
      </c>
      <c r="AM730">
        <f>IF([3]Entry!$R$733="","",[3]Entry!$R$733)</f>
        <v/>
      </c>
    </row>
    <row r="731">
      <c r="T731">
        <f>IF([2]Baskol!$B$734="","",[2]Baskol!$B$734)</f>
        <v/>
      </c>
      <c r="U731">
        <f>IF([2]Baskol!$C$734="","",[2]Baskol!$C$734)</f>
        <v/>
      </c>
      <c r="V731">
        <f>IF([2]Baskol!$D$734="","",[2]Baskol!$D$734)</f>
        <v/>
      </c>
      <c r="W731">
        <f>IF([2]Baskol!$E$734="","",[2]Baskol!$E$734)</f>
        <v/>
      </c>
      <c r="X731">
        <f>IF([2]Baskol!$G$734="","",[2]Baskol!$G$734)</f>
        <v/>
      </c>
      <c r="Y731">
        <f>IF([2]Baskol!$I$734="","",[2]Baskol!$I$734)</f>
        <v/>
      </c>
      <c r="Z731">
        <f>IF([2]Baskol!$J$734="","",[2]Baskol!$J$734)</f>
        <v/>
      </c>
      <c r="AA731">
        <f>IF([2]Baskol!$K$734="","",[2]Baskol!$K$734)</f>
        <v/>
      </c>
      <c r="AB731">
        <f>IF([2]Baskol!$L$734="","",[2]Baskol!$L$734)</f>
        <v/>
      </c>
      <c r="AC731">
        <f>IF([2]Baskol!$N$734="","",[2]Baskol!$N$734)</f>
        <v/>
      </c>
      <c r="AD731">
        <f>IF([2]Baskol!$O$734="","",[2]Baskol!$O$734)</f>
        <v/>
      </c>
      <c r="AE731">
        <f>IF([3]Entry!$C$734="","",[3]Entry!$C$734)</f>
        <v/>
      </c>
      <c r="AF731">
        <f>IF([3]Entry!$D$734="","",[3]Entry!$D$734)</f>
        <v/>
      </c>
      <c r="AG731">
        <f>IF([3]Entry!$E$734="","",[3]Entry!$E$734)</f>
        <v/>
      </c>
      <c r="AH731">
        <f>IF([3]Entry!$G$734="","",[3]Entry!$G$734)</f>
        <v/>
      </c>
      <c r="AI731">
        <f>IF([3]Entry!$K$734="","",[3]Entry!$K$734)</f>
        <v/>
      </c>
      <c r="AJ731">
        <f>IF([3]Entry!$L$734="","",[3]Entry!$L$734)</f>
        <v/>
      </c>
      <c r="AK731">
        <f>IF([3]Entry!$M$734="","",[3]Entry!$M$734)</f>
        <v/>
      </c>
      <c r="AL731">
        <f>IF([3]Entry!$N$734="","",[3]Entry!$N$734)</f>
        <v/>
      </c>
      <c r="AM731">
        <f>IF([3]Entry!$R$734="","",[3]Entry!$R$734)</f>
        <v/>
      </c>
    </row>
    <row r="732">
      <c r="T732">
        <f>IF([2]Baskol!$B$735="","",[2]Baskol!$B$735)</f>
        <v/>
      </c>
      <c r="U732">
        <f>IF([2]Baskol!$C$735="","",[2]Baskol!$C$735)</f>
        <v/>
      </c>
      <c r="V732">
        <f>IF([2]Baskol!$D$735="","",[2]Baskol!$D$735)</f>
        <v/>
      </c>
      <c r="W732">
        <f>IF([2]Baskol!$E$735="","",[2]Baskol!$E$735)</f>
        <v/>
      </c>
      <c r="X732">
        <f>IF([2]Baskol!$G$735="","",[2]Baskol!$G$735)</f>
        <v/>
      </c>
      <c r="Y732">
        <f>IF([2]Baskol!$I$735="","",[2]Baskol!$I$735)</f>
        <v/>
      </c>
      <c r="Z732">
        <f>IF([2]Baskol!$J$735="","",[2]Baskol!$J$735)</f>
        <v/>
      </c>
      <c r="AA732">
        <f>IF([2]Baskol!$K$735="","",[2]Baskol!$K$735)</f>
        <v/>
      </c>
      <c r="AB732">
        <f>IF([2]Baskol!$L$735="","",[2]Baskol!$L$735)</f>
        <v/>
      </c>
      <c r="AC732">
        <f>IF([2]Baskol!$N$735="","",[2]Baskol!$N$735)</f>
        <v/>
      </c>
      <c r="AD732">
        <f>IF([2]Baskol!$O$735="","",[2]Baskol!$O$735)</f>
        <v/>
      </c>
      <c r="AE732">
        <f>IF([3]Entry!$C$735="","",[3]Entry!$C$735)</f>
        <v/>
      </c>
      <c r="AF732">
        <f>IF([3]Entry!$D$735="","",[3]Entry!$D$735)</f>
        <v/>
      </c>
      <c r="AG732">
        <f>IF([3]Entry!$E$735="","",[3]Entry!$E$735)</f>
        <v/>
      </c>
      <c r="AH732">
        <f>IF([3]Entry!$G$735="","",[3]Entry!$G$735)</f>
        <v/>
      </c>
      <c r="AI732">
        <f>IF([3]Entry!$K$735="","",[3]Entry!$K$735)</f>
        <v/>
      </c>
      <c r="AJ732">
        <f>IF([3]Entry!$L$735="","",[3]Entry!$L$735)</f>
        <v/>
      </c>
      <c r="AK732">
        <f>IF([3]Entry!$M$735="","",[3]Entry!$M$735)</f>
        <v/>
      </c>
      <c r="AL732">
        <f>IF([3]Entry!$N$735="","",[3]Entry!$N$735)</f>
        <v/>
      </c>
      <c r="AM732">
        <f>IF([3]Entry!$R$735="","",[3]Entry!$R$735)</f>
        <v/>
      </c>
    </row>
    <row r="733">
      <c r="T733">
        <f>IF([2]Baskol!$B$736="","",[2]Baskol!$B$736)</f>
        <v/>
      </c>
      <c r="U733">
        <f>IF([2]Baskol!$C$736="","",[2]Baskol!$C$736)</f>
        <v/>
      </c>
      <c r="V733">
        <f>IF([2]Baskol!$D$736="","",[2]Baskol!$D$736)</f>
        <v/>
      </c>
      <c r="W733">
        <f>IF([2]Baskol!$E$736="","",[2]Baskol!$E$736)</f>
        <v/>
      </c>
      <c r="X733">
        <f>IF([2]Baskol!$G$736="","",[2]Baskol!$G$736)</f>
        <v/>
      </c>
      <c r="Y733">
        <f>IF([2]Baskol!$I$736="","",[2]Baskol!$I$736)</f>
        <v/>
      </c>
      <c r="Z733">
        <f>IF([2]Baskol!$J$736="","",[2]Baskol!$J$736)</f>
        <v/>
      </c>
      <c r="AA733">
        <f>IF([2]Baskol!$K$736="","",[2]Baskol!$K$736)</f>
        <v/>
      </c>
      <c r="AB733">
        <f>IF([2]Baskol!$L$736="","",[2]Baskol!$L$736)</f>
        <v/>
      </c>
      <c r="AC733">
        <f>IF([2]Baskol!$N$736="","",[2]Baskol!$N$736)</f>
        <v/>
      </c>
      <c r="AD733">
        <f>IF([2]Baskol!$O$736="","",[2]Baskol!$O$736)</f>
        <v/>
      </c>
      <c r="AE733">
        <f>IF([3]Entry!$C$736="","",[3]Entry!$C$736)</f>
        <v/>
      </c>
      <c r="AF733">
        <f>IF([3]Entry!$D$736="","",[3]Entry!$D$736)</f>
        <v/>
      </c>
      <c r="AG733">
        <f>IF([3]Entry!$E$736="","",[3]Entry!$E$736)</f>
        <v/>
      </c>
      <c r="AH733">
        <f>IF([3]Entry!$G$736="","",[3]Entry!$G$736)</f>
        <v/>
      </c>
      <c r="AI733">
        <f>IF([3]Entry!$K$736="","",[3]Entry!$K$736)</f>
        <v/>
      </c>
      <c r="AJ733">
        <f>IF([3]Entry!$L$736="","",[3]Entry!$L$736)</f>
        <v/>
      </c>
      <c r="AK733">
        <f>IF([3]Entry!$M$736="","",[3]Entry!$M$736)</f>
        <v/>
      </c>
      <c r="AL733">
        <f>IF([3]Entry!$N$736="","",[3]Entry!$N$736)</f>
        <v/>
      </c>
      <c r="AM733">
        <f>IF([3]Entry!$R$736="","",[3]Entry!$R$736)</f>
        <v/>
      </c>
    </row>
    <row r="734">
      <c r="T734">
        <f>IF([2]Baskol!$B$737="","",[2]Baskol!$B$737)</f>
        <v/>
      </c>
      <c r="U734">
        <f>IF([2]Baskol!$C$737="","",[2]Baskol!$C$737)</f>
        <v/>
      </c>
      <c r="V734">
        <f>IF([2]Baskol!$D$737="","",[2]Baskol!$D$737)</f>
        <v/>
      </c>
      <c r="W734">
        <f>IF([2]Baskol!$E$737="","",[2]Baskol!$E$737)</f>
        <v/>
      </c>
      <c r="X734">
        <f>IF([2]Baskol!$G$737="","",[2]Baskol!$G$737)</f>
        <v/>
      </c>
      <c r="Y734">
        <f>IF([2]Baskol!$I$737="","",[2]Baskol!$I$737)</f>
        <v/>
      </c>
      <c r="Z734">
        <f>IF([2]Baskol!$J$737="","",[2]Baskol!$J$737)</f>
        <v/>
      </c>
      <c r="AA734">
        <f>IF([2]Baskol!$K$737="","",[2]Baskol!$K$737)</f>
        <v/>
      </c>
      <c r="AB734">
        <f>IF([2]Baskol!$L$737="","",[2]Baskol!$L$737)</f>
        <v/>
      </c>
      <c r="AC734">
        <f>IF([2]Baskol!$N$737="","",[2]Baskol!$N$737)</f>
        <v/>
      </c>
      <c r="AD734">
        <f>IF([2]Baskol!$O$737="","",[2]Baskol!$O$737)</f>
        <v/>
      </c>
      <c r="AE734">
        <f>IF([3]Entry!$C$737="","",[3]Entry!$C$737)</f>
        <v/>
      </c>
      <c r="AF734">
        <f>IF([3]Entry!$D$737="","",[3]Entry!$D$737)</f>
        <v/>
      </c>
      <c r="AG734">
        <f>IF([3]Entry!$E$737="","",[3]Entry!$E$737)</f>
        <v/>
      </c>
      <c r="AH734">
        <f>IF([3]Entry!$G$737="","",[3]Entry!$G$737)</f>
        <v/>
      </c>
      <c r="AI734">
        <f>IF([3]Entry!$K$737="","",[3]Entry!$K$737)</f>
        <v/>
      </c>
      <c r="AJ734">
        <f>IF([3]Entry!$L$737="","",[3]Entry!$L$737)</f>
        <v/>
      </c>
      <c r="AK734">
        <f>IF([3]Entry!$M$737="","",[3]Entry!$M$737)</f>
        <v/>
      </c>
      <c r="AL734">
        <f>IF([3]Entry!$N$737="","",[3]Entry!$N$737)</f>
        <v/>
      </c>
      <c r="AM734">
        <f>IF([3]Entry!$R$737="","",[3]Entry!$R$737)</f>
        <v/>
      </c>
    </row>
    <row r="735">
      <c r="T735">
        <f>IF([2]Baskol!$B$738="","",[2]Baskol!$B$738)</f>
        <v/>
      </c>
      <c r="U735">
        <f>IF([2]Baskol!$C$738="","",[2]Baskol!$C$738)</f>
        <v/>
      </c>
      <c r="V735">
        <f>IF([2]Baskol!$D$738="","",[2]Baskol!$D$738)</f>
        <v/>
      </c>
      <c r="W735">
        <f>IF([2]Baskol!$E$738="","",[2]Baskol!$E$738)</f>
        <v/>
      </c>
      <c r="X735">
        <f>IF([2]Baskol!$G$738="","",[2]Baskol!$G$738)</f>
        <v/>
      </c>
      <c r="Y735">
        <f>IF([2]Baskol!$I$738="","",[2]Baskol!$I$738)</f>
        <v/>
      </c>
      <c r="Z735">
        <f>IF([2]Baskol!$J$738="","",[2]Baskol!$J$738)</f>
        <v/>
      </c>
      <c r="AA735">
        <f>IF([2]Baskol!$K$738="","",[2]Baskol!$K$738)</f>
        <v/>
      </c>
      <c r="AB735">
        <f>IF([2]Baskol!$L$738="","",[2]Baskol!$L$738)</f>
        <v/>
      </c>
      <c r="AC735">
        <f>IF([2]Baskol!$N$738="","",[2]Baskol!$N$738)</f>
        <v/>
      </c>
      <c r="AD735">
        <f>IF([2]Baskol!$O$738="","",[2]Baskol!$O$738)</f>
        <v/>
      </c>
      <c r="AE735">
        <f>IF([3]Entry!$C$738="","",[3]Entry!$C$738)</f>
        <v/>
      </c>
      <c r="AF735">
        <f>IF([3]Entry!$D$738="","",[3]Entry!$D$738)</f>
        <v/>
      </c>
      <c r="AG735">
        <f>IF([3]Entry!$E$738="","",[3]Entry!$E$738)</f>
        <v/>
      </c>
      <c r="AH735">
        <f>IF([3]Entry!$G$738="","",[3]Entry!$G$738)</f>
        <v/>
      </c>
      <c r="AI735">
        <f>IF([3]Entry!$K$738="","",[3]Entry!$K$738)</f>
        <v/>
      </c>
      <c r="AJ735">
        <f>IF([3]Entry!$L$738="","",[3]Entry!$L$738)</f>
        <v/>
      </c>
      <c r="AK735">
        <f>IF([3]Entry!$M$738="","",[3]Entry!$M$738)</f>
        <v/>
      </c>
      <c r="AL735">
        <f>IF([3]Entry!$N$738="","",[3]Entry!$N$738)</f>
        <v/>
      </c>
      <c r="AM735">
        <f>IF([3]Entry!$R$738="","",[3]Entry!$R$738)</f>
        <v/>
      </c>
    </row>
    <row r="736">
      <c r="T736">
        <f>IF([2]Baskol!$B$739="","",[2]Baskol!$B$739)</f>
        <v/>
      </c>
      <c r="U736">
        <f>IF([2]Baskol!$C$739="","",[2]Baskol!$C$739)</f>
        <v/>
      </c>
      <c r="V736">
        <f>IF([2]Baskol!$D$739="","",[2]Baskol!$D$739)</f>
        <v/>
      </c>
      <c r="W736">
        <f>IF([2]Baskol!$E$739="","",[2]Baskol!$E$739)</f>
        <v/>
      </c>
      <c r="X736">
        <f>IF([2]Baskol!$G$739="","",[2]Baskol!$G$739)</f>
        <v/>
      </c>
      <c r="Y736">
        <f>IF([2]Baskol!$I$739="","",[2]Baskol!$I$739)</f>
        <v/>
      </c>
      <c r="Z736">
        <f>IF([2]Baskol!$J$739="","",[2]Baskol!$J$739)</f>
        <v/>
      </c>
      <c r="AA736">
        <f>IF([2]Baskol!$K$739="","",[2]Baskol!$K$739)</f>
        <v/>
      </c>
      <c r="AB736">
        <f>IF([2]Baskol!$L$739="","",[2]Baskol!$L$739)</f>
        <v/>
      </c>
      <c r="AC736">
        <f>IF([2]Baskol!$N$739="","",[2]Baskol!$N$739)</f>
        <v/>
      </c>
      <c r="AD736">
        <f>IF([2]Baskol!$O$739="","",[2]Baskol!$O$739)</f>
        <v/>
      </c>
      <c r="AE736">
        <f>IF([3]Entry!$C$739="","",[3]Entry!$C$739)</f>
        <v/>
      </c>
      <c r="AF736">
        <f>IF([3]Entry!$D$739="","",[3]Entry!$D$739)</f>
        <v/>
      </c>
      <c r="AG736">
        <f>IF([3]Entry!$E$739="","",[3]Entry!$E$739)</f>
        <v/>
      </c>
      <c r="AH736">
        <f>IF([3]Entry!$G$739="","",[3]Entry!$G$739)</f>
        <v/>
      </c>
      <c r="AI736">
        <f>IF([3]Entry!$K$739="","",[3]Entry!$K$739)</f>
        <v/>
      </c>
      <c r="AJ736">
        <f>IF([3]Entry!$L$739="","",[3]Entry!$L$739)</f>
        <v/>
      </c>
      <c r="AK736">
        <f>IF([3]Entry!$M$739="","",[3]Entry!$M$739)</f>
        <v/>
      </c>
      <c r="AL736">
        <f>IF([3]Entry!$N$739="","",[3]Entry!$N$739)</f>
        <v/>
      </c>
      <c r="AM736">
        <f>IF([3]Entry!$R$739="","",[3]Entry!$R$739)</f>
        <v/>
      </c>
    </row>
    <row r="737">
      <c r="T737">
        <f>IF([2]Baskol!$B$740="","",[2]Baskol!$B$740)</f>
        <v/>
      </c>
      <c r="U737">
        <f>IF([2]Baskol!$C$740="","",[2]Baskol!$C$740)</f>
        <v/>
      </c>
      <c r="V737">
        <f>IF([2]Baskol!$D$740="","",[2]Baskol!$D$740)</f>
        <v/>
      </c>
      <c r="W737">
        <f>IF([2]Baskol!$E$740="","",[2]Baskol!$E$740)</f>
        <v/>
      </c>
      <c r="X737">
        <f>IF([2]Baskol!$G$740="","",[2]Baskol!$G$740)</f>
        <v/>
      </c>
      <c r="Y737">
        <f>IF([2]Baskol!$I$740="","",[2]Baskol!$I$740)</f>
        <v/>
      </c>
      <c r="Z737">
        <f>IF([2]Baskol!$J$740="","",[2]Baskol!$J$740)</f>
        <v/>
      </c>
      <c r="AA737">
        <f>IF([2]Baskol!$K$740="","",[2]Baskol!$K$740)</f>
        <v/>
      </c>
      <c r="AB737">
        <f>IF([2]Baskol!$L$740="","",[2]Baskol!$L$740)</f>
        <v/>
      </c>
      <c r="AC737">
        <f>IF([2]Baskol!$N$740="","",[2]Baskol!$N$740)</f>
        <v/>
      </c>
      <c r="AD737">
        <f>IF([2]Baskol!$O$740="","",[2]Baskol!$O$740)</f>
        <v/>
      </c>
      <c r="AE737">
        <f>IF([3]Entry!$C$740="","",[3]Entry!$C$740)</f>
        <v/>
      </c>
      <c r="AF737">
        <f>IF([3]Entry!$D$740="","",[3]Entry!$D$740)</f>
        <v/>
      </c>
      <c r="AG737">
        <f>IF([3]Entry!$E$740="","",[3]Entry!$E$740)</f>
        <v/>
      </c>
      <c r="AH737">
        <f>IF([3]Entry!$G$740="","",[3]Entry!$G$740)</f>
        <v/>
      </c>
      <c r="AI737">
        <f>IF([3]Entry!$K$740="","",[3]Entry!$K$740)</f>
        <v/>
      </c>
      <c r="AJ737">
        <f>IF([3]Entry!$L$740="","",[3]Entry!$L$740)</f>
        <v/>
      </c>
      <c r="AK737">
        <f>IF([3]Entry!$M$740="","",[3]Entry!$M$740)</f>
        <v/>
      </c>
      <c r="AL737">
        <f>IF([3]Entry!$N$740="","",[3]Entry!$N$740)</f>
        <v/>
      </c>
      <c r="AM737">
        <f>IF([3]Entry!$R$740="","",[3]Entry!$R$740)</f>
        <v/>
      </c>
    </row>
    <row r="738">
      <c r="T738">
        <f>IF([2]Baskol!$B$741="","",[2]Baskol!$B$741)</f>
        <v/>
      </c>
      <c r="U738">
        <f>IF([2]Baskol!$C$741="","",[2]Baskol!$C$741)</f>
        <v/>
      </c>
      <c r="V738">
        <f>IF([2]Baskol!$D$741="","",[2]Baskol!$D$741)</f>
        <v/>
      </c>
      <c r="W738">
        <f>IF([2]Baskol!$E$741="","",[2]Baskol!$E$741)</f>
        <v/>
      </c>
      <c r="X738">
        <f>IF([2]Baskol!$G$741="","",[2]Baskol!$G$741)</f>
        <v/>
      </c>
      <c r="Y738">
        <f>IF([2]Baskol!$I$741="","",[2]Baskol!$I$741)</f>
        <v/>
      </c>
      <c r="Z738">
        <f>IF([2]Baskol!$J$741="","",[2]Baskol!$J$741)</f>
        <v/>
      </c>
      <c r="AA738">
        <f>IF([2]Baskol!$K$741="","",[2]Baskol!$K$741)</f>
        <v/>
      </c>
      <c r="AB738">
        <f>IF([2]Baskol!$L$741="","",[2]Baskol!$L$741)</f>
        <v/>
      </c>
      <c r="AC738">
        <f>IF([2]Baskol!$N$741="","",[2]Baskol!$N$741)</f>
        <v/>
      </c>
      <c r="AD738">
        <f>IF([2]Baskol!$O$741="","",[2]Baskol!$O$741)</f>
        <v/>
      </c>
      <c r="AE738">
        <f>IF([3]Entry!$C$741="","",[3]Entry!$C$741)</f>
        <v/>
      </c>
      <c r="AF738">
        <f>IF([3]Entry!$D$741="","",[3]Entry!$D$741)</f>
        <v/>
      </c>
      <c r="AG738">
        <f>IF([3]Entry!$E$741="","",[3]Entry!$E$741)</f>
        <v/>
      </c>
      <c r="AH738">
        <f>IF([3]Entry!$G$741="","",[3]Entry!$G$741)</f>
        <v/>
      </c>
      <c r="AI738">
        <f>IF([3]Entry!$K$741="","",[3]Entry!$K$741)</f>
        <v/>
      </c>
      <c r="AJ738">
        <f>IF([3]Entry!$L$741="","",[3]Entry!$L$741)</f>
        <v/>
      </c>
      <c r="AK738">
        <f>IF([3]Entry!$M$741="","",[3]Entry!$M$741)</f>
        <v/>
      </c>
      <c r="AL738">
        <f>IF([3]Entry!$N$741="","",[3]Entry!$N$741)</f>
        <v/>
      </c>
      <c r="AM738">
        <f>IF([3]Entry!$R$741="","",[3]Entry!$R$741)</f>
        <v/>
      </c>
    </row>
    <row r="739">
      <c r="T739">
        <f>IF([2]Baskol!$B$742="","",[2]Baskol!$B$742)</f>
        <v/>
      </c>
      <c r="U739">
        <f>IF([2]Baskol!$C$742="","",[2]Baskol!$C$742)</f>
        <v/>
      </c>
      <c r="V739">
        <f>IF([2]Baskol!$D$742="","",[2]Baskol!$D$742)</f>
        <v/>
      </c>
      <c r="W739">
        <f>IF([2]Baskol!$E$742="","",[2]Baskol!$E$742)</f>
        <v/>
      </c>
      <c r="X739">
        <f>IF([2]Baskol!$G$742="","",[2]Baskol!$G$742)</f>
        <v/>
      </c>
      <c r="Y739">
        <f>IF([2]Baskol!$I$742="","",[2]Baskol!$I$742)</f>
        <v/>
      </c>
      <c r="Z739">
        <f>IF([2]Baskol!$J$742="","",[2]Baskol!$J$742)</f>
        <v/>
      </c>
      <c r="AA739">
        <f>IF([2]Baskol!$K$742="","",[2]Baskol!$K$742)</f>
        <v/>
      </c>
      <c r="AB739">
        <f>IF([2]Baskol!$L$742="","",[2]Baskol!$L$742)</f>
        <v/>
      </c>
      <c r="AC739">
        <f>IF([2]Baskol!$N$742="","",[2]Baskol!$N$742)</f>
        <v/>
      </c>
      <c r="AD739">
        <f>IF([2]Baskol!$O$742="","",[2]Baskol!$O$742)</f>
        <v/>
      </c>
      <c r="AE739">
        <f>IF([3]Entry!$C$742="","",[3]Entry!$C$742)</f>
        <v/>
      </c>
      <c r="AF739">
        <f>IF([3]Entry!$D$742="","",[3]Entry!$D$742)</f>
        <v/>
      </c>
      <c r="AG739">
        <f>IF([3]Entry!$E$742="","",[3]Entry!$E$742)</f>
        <v/>
      </c>
      <c r="AH739">
        <f>IF([3]Entry!$G$742="","",[3]Entry!$G$742)</f>
        <v/>
      </c>
      <c r="AI739">
        <f>IF([3]Entry!$K$742="","",[3]Entry!$K$742)</f>
        <v/>
      </c>
      <c r="AJ739">
        <f>IF([3]Entry!$L$742="","",[3]Entry!$L$742)</f>
        <v/>
      </c>
      <c r="AK739">
        <f>IF([3]Entry!$M$742="","",[3]Entry!$M$742)</f>
        <v/>
      </c>
      <c r="AL739">
        <f>IF([3]Entry!$N$742="","",[3]Entry!$N$742)</f>
        <v/>
      </c>
      <c r="AM739">
        <f>IF([3]Entry!$R$742="","",[3]Entry!$R$742)</f>
        <v/>
      </c>
    </row>
    <row r="740">
      <c r="T740">
        <f>IF([2]Baskol!$B$743="","",[2]Baskol!$B$743)</f>
        <v/>
      </c>
      <c r="U740">
        <f>IF([2]Baskol!$C$743="","",[2]Baskol!$C$743)</f>
        <v/>
      </c>
      <c r="V740">
        <f>IF([2]Baskol!$D$743="","",[2]Baskol!$D$743)</f>
        <v/>
      </c>
      <c r="W740">
        <f>IF([2]Baskol!$E$743="","",[2]Baskol!$E$743)</f>
        <v/>
      </c>
      <c r="X740">
        <f>IF([2]Baskol!$G$743="","",[2]Baskol!$G$743)</f>
        <v/>
      </c>
      <c r="Y740">
        <f>IF([2]Baskol!$I$743="","",[2]Baskol!$I$743)</f>
        <v/>
      </c>
      <c r="Z740">
        <f>IF([2]Baskol!$J$743="","",[2]Baskol!$J$743)</f>
        <v/>
      </c>
      <c r="AA740">
        <f>IF([2]Baskol!$K$743="","",[2]Baskol!$K$743)</f>
        <v/>
      </c>
      <c r="AB740">
        <f>IF([2]Baskol!$L$743="","",[2]Baskol!$L$743)</f>
        <v/>
      </c>
      <c r="AC740">
        <f>IF([2]Baskol!$N$743="","",[2]Baskol!$N$743)</f>
        <v/>
      </c>
      <c r="AD740">
        <f>IF([2]Baskol!$O$743="","",[2]Baskol!$O$743)</f>
        <v/>
      </c>
      <c r="AE740">
        <f>IF([3]Entry!$C$743="","",[3]Entry!$C$743)</f>
        <v/>
      </c>
      <c r="AF740">
        <f>IF([3]Entry!$D$743="","",[3]Entry!$D$743)</f>
        <v/>
      </c>
      <c r="AG740">
        <f>IF([3]Entry!$E$743="","",[3]Entry!$E$743)</f>
        <v/>
      </c>
      <c r="AH740">
        <f>IF([3]Entry!$G$743="","",[3]Entry!$G$743)</f>
        <v/>
      </c>
      <c r="AI740">
        <f>IF([3]Entry!$K$743="","",[3]Entry!$K$743)</f>
        <v/>
      </c>
      <c r="AJ740">
        <f>IF([3]Entry!$L$743="","",[3]Entry!$L$743)</f>
        <v/>
      </c>
      <c r="AK740">
        <f>IF([3]Entry!$M$743="","",[3]Entry!$M$743)</f>
        <v/>
      </c>
      <c r="AL740">
        <f>IF([3]Entry!$N$743="","",[3]Entry!$N$743)</f>
        <v/>
      </c>
      <c r="AM740">
        <f>IF([3]Entry!$R$743="","",[3]Entry!$R$743)</f>
        <v/>
      </c>
    </row>
    <row r="741">
      <c r="T741">
        <f>IF([2]Baskol!$B$744="","",[2]Baskol!$B$744)</f>
        <v/>
      </c>
      <c r="U741">
        <f>IF([2]Baskol!$C$744="","",[2]Baskol!$C$744)</f>
        <v/>
      </c>
      <c r="V741">
        <f>IF([2]Baskol!$D$744="","",[2]Baskol!$D$744)</f>
        <v/>
      </c>
      <c r="W741">
        <f>IF([2]Baskol!$E$744="","",[2]Baskol!$E$744)</f>
        <v/>
      </c>
      <c r="X741">
        <f>IF([2]Baskol!$G$744="","",[2]Baskol!$G$744)</f>
        <v/>
      </c>
      <c r="Y741">
        <f>IF([2]Baskol!$I$744="","",[2]Baskol!$I$744)</f>
        <v/>
      </c>
      <c r="Z741">
        <f>IF([2]Baskol!$J$744="","",[2]Baskol!$J$744)</f>
        <v/>
      </c>
      <c r="AA741">
        <f>IF([2]Baskol!$K$744="","",[2]Baskol!$K$744)</f>
        <v/>
      </c>
      <c r="AB741">
        <f>IF([2]Baskol!$L$744="","",[2]Baskol!$L$744)</f>
        <v/>
      </c>
      <c r="AC741">
        <f>IF([2]Baskol!$N$744="","",[2]Baskol!$N$744)</f>
        <v/>
      </c>
      <c r="AD741">
        <f>IF([2]Baskol!$O$744="","",[2]Baskol!$O$744)</f>
        <v/>
      </c>
      <c r="AE741">
        <f>IF([3]Entry!$C$744="","",[3]Entry!$C$744)</f>
        <v/>
      </c>
      <c r="AF741">
        <f>IF([3]Entry!$D$744="","",[3]Entry!$D$744)</f>
        <v/>
      </c>
      <c r="AG741">
        <f>IF([3]Entry!$E$744="","",[3]Entry!$E$744)</f>
        <v/>
      </c>
      <c r="AH741">
        <f>IF([3]Entry!$G$744="","",[3]Entry!$G$744)</f>
        <v/>
      </c>
      <c r="AI741">
        <f>IF([3]Entry!$K$744="","",[3]Entry!$K$744)</f>
        <v/>
      </c>
      <c r="AJ741">
        <f>IF([3]Entry!$L$744="","",[3]Entry!$L$744)</f>
        <v/>
      </c>
      <c r="AK741">
        <f>IF([3]Entry!$M$744="","",[3]Entry!$M$744)</f>
        <v/>
      </c>
      <c r="AL741">
        <f>IF([3]Entry!$N$744="","",[3]Entry!$N$744)</f>
        <v/>
      </c>
      <c r="AM741">
        <f>IF([3]Entry!$R$744="","",[3]Entry!$R$744)</f>
        <v/>
      </c>
    </row>
    <row r="742">
      <c r="T742">
        <f>IF([2]Baskol!$B$745="","",[2]Baskol!$B$745)</f>
        <v/>
      </c>
      <c r="U742">
        <f>IF([2]Baskol!$C$745="","",[2]Baskol!$C$745)</f>
        <v/>
      </c>
      <c r="V742">
        <f>IF([2]Baskol!$D$745="","",[2]Baskol!$D$745)</f>
        <v/>
      </c>
      <c r="W742">
        <f>IF([2]Baskol!$E$745="","",[2]Baskol!$E$745)</f>
        <v/>
      </c>
      <c r="X742">
        <f>IF([2]Baskol!$G$745="","",[2]Baskol!$G$745)</f>
        <v/>
      </c>
      <c r="Y742">
        <f>IF([2]Baskol!$I$745="","",[2]Baskol!$I$745)</f>
        <v/>
      </c>
      <c r="Z742">
        <f>IF([2]Baskol!$J$745="","",[2]Baskol!$J$745)</f>
        <v/>
      </c>
      <c r="AA742">
        <f>IF([2]Baskol!$K$745="","",[2]Baskol!$K$745)</f>
        <v/>
      </c>
      <c r="AB742">
        <f>IF([2]Baskol!$L$745="","",[2]Baskol!$L$745)</f>
        <v/>
      </c>
      <c r="AC742">
        <f>IF([2]Baskol!$N$745="","",[2]Baskol!$N$745)</f>
        <v/>
      </c>
      <c r="AD742">
        <f>IF([2]Baskol!$O$745="","",[2]Baskol!$O$745)</f>
        <v/>
      </c>
      <c r="AE742">
        <f>IF([3]Entry!$C$745="","",[3]Entry!$C$745)</f>
        <v/>
      </c>
      <c r="AF742">
        <f>IF([3]Entry!$D$745="","",[3]Entry!$D$745)</f>
        <v/>
      </c>
      <c r="AG742">
        <f>IF([3]Entry!$E$745="","",[3]Entry!$E$745)</f>
        <v/>
      </c>
      <c r="AH742">
        <f>IF([3]Entry!$G$745="","",[3]Entry!$G$745)</f>
        <v/>
      </c>
      <c r="AI742">
        <f>IF([3]Entry!$K$745="","",[3]Entry!$K$745)</f>
        <v/>
      </c>
      <c r="AJ742">
        <f>IF([3]Entry!$L$745="","",[3]Entry!$L$745)</f>
        <v/>
      </c>
      <c r="AK742">
        <f>IF([3]Entry!$M$745="","",[3]Entry!$M$745)</f>
        <v/>
      </c>
      <c r="AL742">
        <f>IF([3]Entry!$N$745="","",[3]Entry!$N$745)</f>
        <v/>
      </c>
      <c r="AM742">
        <f>IF([3]Entry!$R$745="","",[3]Entry!$R$745)</f>
        <v/>
      </c>
    </row>
    <row r="743">
      <c r="T743">
        <f>IF([2]Baskol!$B$746="","",[2]Baskol!$B$746)</f>
        <v/>
      </c>
      <c r="U743">
        <f>IF([2]Baskol!$C$746="","",[2]Baskol!$C$746)</f>
        <v/>
      </c>
      <c r="V743">
        <f>IF([2]Baskol!$D$746="","",[2]Baskol!$D$746)</f>
        <v/>
      </c>
      <c r="W743">
        <f>IF([2]Baskol!$E$746="","",[2]Baskol!$E$746)</f>
        <v/>
      </c>
      <c r="X743">
        <f>IF([2]Baskol!$G$746="","",[2]Baskol!$G$746)</f>
        <v/>
      </c>
      <c r="Y743">
        <f>IF([2]Baskol!$I$746="","",[2]Baskol!$I$746)</f>
        <v/>
      </c>
      <c r="Z743">
        <f>IF([2]Baskol!$J$746="","",[2]Baskol!$J$746)</f>
        <v/>
      </c>
      <c r="AA743">
        <f>IF([2]Baskol!$K$746="","",[2]Baskol!$K$746)</f>
        <v/>
      </c>
      <c r="AB743">
        <f>IF([2]Baskol!$L$746="","",[2]Baskol!$L$746)</f>
        <v/>
      </c>
      <c r="AC743">
        <f>IF([2]Baskol!$N$746="","",[2]Baskol!$N$746)</f>
        <v/>
      </c>
      <c r="AD743">
        <f>IF([2]Baskol!$O$746="","",[2]Baskol!$O$746)</f>
        <v/>
      </c>
      <c r="AE743">
        <f>IF([3]Entry!$C$746="","",[3]Entry!$C$746)</f>
        <v/>
      </c>
      <c r="AF743">
        <f>IF([3]Entry!$D$746="","",[3]Entry!$D$746)</f>
        <v/>
      </c>
      <c r="AG743">
        <f>IF([3]Entry!$E$746="","",[3]Entry!$E$746)</f>
        <v/>
      </c>
      <c r="AH743">
        <f>IF([3]Entry!$G$746="","",[3]Entry!$G$746)</f>
        <v/>
      </c>
      <c r="AI743">
        <f>IF([3]Entry!$K$746="","",[3]Entry!$K$746)</f>
        <v/>
      </c>
      <c r="AJ743">
        <f>IF([3]Entry!$L$746="","",[3]Entry!$L$746)</f>
        <v/>
      </c>
      <c r="AK743">
        <f>IF([3]Entry!$M$746="","",[3]Entry!$M$746)</f>
        <v/>
      </c>
      <c r="AL743">
        <f>IF([3]Entry!$N$746="","",[3]Entry!$N$746)</f>
        <v/>
      </c>
      <c r="AM743">
        <f>IF([3]Entry!$R$746="","",[3]Entry!$R$746)</f>
        <v/>
      </c>
    </row>
    <row r="744">
      <c r="T744">
        <f>IF([2]Baskol!$B$747="","",[2]Baskol!$B$747)</f>
        <v/>
      </c>
      <c r="U744">
        <f>IF([2]Baskol!$C$747="","",[2]Baskol!$C$747)</f>
        <v/>
      </c>
      <c r="V744">
        <f>IF([2]Baskol!$D$747="","",[2]Baskol!$D$747)</f>
        <v/>
      </c>
      <c r="W744">
        <f>IF([2]Baskol!$E$747="","",[2]Baskol!$E$747)</f>
        <v/>
      </c>
      <c r="X744">
        <f>IF([2]Baskol!$G$747="","",[2]Baskol!$G$747)</f>
        <v/>
      </c>
      <c r="Y744">
        <f>IF([2]Baskol!$I$747="","",[2]Baskol!$I$747)</f>
        <v/>
      </c>
      <c r="Z744">
        <f>IF([2]Baskol!$J$747="","",[2]Baskol!$J$747)</f>
        <v/>
      </c>
      <c r="AA744">
        <f>IF([2]Baskol!$K$747="","",[2]Baskol!$K$747)</f>
        <v/>
      </c>
      <c r="AB744">
        <f>IF([2]Baskol!$L$747="","",[2]Baskol!$L$747)</f>
        <v/>
      </c>
      <c r="AC744">
        <f>IF([2]Baskol!$N$747="","",[2]Baskol!$N$747)</f>
        <v/>
      </c>
      <c r="AD744">
        <f>IF([2]Baskol!$O$747="","",[2]Baskol!$O$747)</f>
        <v/>
      </c>
      <c r="AE744">
        <f>IF([3]Entry!$C$747="","",[3]Entry!$C$747)</f>
        <v/>
      </c>
      <c r="AF744">
        <f>IF([3]Entry!$D$747="","",[3]Entry!$D$747)</f>
        <v/>
      </c>
      <c r="AG744">
        <f>IF([3]Entry!$E$747="","",[3]Entry!$E$747)</f>
        <v/>
      </c>
      <c r="AH744">
        <f>IF([3]Entry!$G$747="","",[3]Entry!$G$747)</f>
        <v/>
      </c>
      <c r="AI744">
        <f>IF([3]Entry!$K$747="","",[3]Entry!$K$747)</f>
        <v/>
      </c>
      <c r="AJ744">
        <f>IF([3]Entry!$L$747="","",[3]Entry!$L$747)</f>
        <v/>
      </c>
      <c r="AK744">
        <f>IF([3]Entry!$M$747="","",[3]Entry!$M$747)</f>
        <v/>
      </c>
      <c r="AL744">
        <f>IF([3]Entry!$N$747="","",[3]Entry!$N$747)</f>
        <v/>
      </c>
      <c r="AM744">
        <f>IF([3]Entry!$R$747="","",[3]Entry!$R$747)</f>
        <v/>
      </c>
    </row>
    <row r="745">
      <c r="T745">
        <f>IF([2]Baskol!$B$748="","",[2]Baskol!$B$748)</f>
        <v/>
      </c>
      <c r="U745">
        <f>IF([2]Baskol!$C$748="","",[2]Baskol!$C$748)</f>
        <v/>
      </c>
      <c r="V745">
        <f>IF([2]Baskol!$D$748="","",[2]Baskol!$D$748)</f>
        <v/>
      </c>
      <c r="W745">
        <f>IF([2]Baskol!$E$748="","",[2]Baskol!$E$748)</f>
        <v/>
      </c>
      <c r="X745">
        <f>IF([2]Baskol!$G$748="","",[2]Baskol!$G$748)</f>
        <v/>
      </c>
      <c r="Y745">
        <f>IF([2]Baskol!$I$748="","",[2]Baskol!$I$748)</f>
        <v/>
      </c>
      <c r="Z745">
        <f>IF([2]Baskol!$J$748="","",[2]Baskol!$J$748)</f>
        <v/>
      </c>
      <c r="AA745">
        <f>IF([2]Baskol!$K$748="","",[2]Baskol!$K$748)</f>
        <v/>
      </c>
      <c r="AB745">
        <f>IF([2]Baskol!$L$748="","",[2]Baskol!$L$748)</f>
        <v/>
      </c>
      <c r="AC745">
        <f>IF([2]Baskol!$N$748="","",[2]Baskol!$N$748)</f>
        <v/>
      </c>
      <c r="AD745">
        <f>IF([2]Baskol!$O$748="","",[2]Baskol!$O$748)</f>
        <v/>
      </c>
      <c r="AE745">
        <f>IF([3]Entry!$C$748="","",[3]Entry!$C$748)</f>
        <v/>
      </c>
      <c r="AF745">
        <f>IF([3]Entry!$D$748="","",[3]Entry!$D$748)</f>
        <v/>
      </c>
      <c r="AG745">
        <f>IF([3]Entry!$E$748="","",[3]Entry!$E$748)</f>
        <v/>
      </c>
      <c r="AH745">
        <f>IF([3]Entry!$G$748="","",[3]Entry!$G$748)</f>
        <v/>
      </c>
      <c r="AI745">
        <f>IF([3]Entry!$K$748="","",[3]Entry!$K$748)</f>
        <v/>
      </c>
      <c r="AJ745">
        <f>IF([3]Entry!$L$748="","",[3]Entry!$L$748)</f>
        <v/>
      </c>
      <c r="AK745">
        <f>IF([3]Entry!$M$748="","",[3]Entry!$M$748)</f>
        <v/>
      </c>
      <c r="AL745">
        <f>IF([3]Entry!$N$748="","",[3]Entry!$N$748)</f>
        <v/>
      </c>
      <c r="AM745">
        <f>IF([3]Entry!$R$748="","",[3]Entry!$R$748)</f>
        <v/>
      </c>
    </row>
    <row r="746">
      <c r="T746">
        <f>IF([2]Baskol!$B$749="","",[2]Baskol!$B$749)</f>
        <v/>
      </c>
      <c r="U746">
        <f>IF([2]Baskol!$C$749="","",[2]Baskol!$C$749)</f>
        <v/>
      </c>
      <c r="V746">
        <f>IF([2]Baskol!$D$749="","",[2]Baskol!$D$749)</f>
        <v/>
      </c>
      <c r="W746">
        <f>IF([2]Baskol!$E$749="","",[2]Baskol!$E$749)</f>
        <v/>
      </c>
      <c r="X746">
        <f>IF([2]Baskol!$G$749="","",[2]Baskol!$G$749)</f>
        <v/>
      </c>
      <c r="Y746">
        <f>IF([2]Baskol!$I$749="","",[2]Baskol!$I$749)</f>
        <v/>
      </c>
      <c r="Z746">
        <f>IF([2]Baskol!$J$749="","",[2]Baskol!$J$749)</f>
        <v/>
      </c>
      <c r="AA746">
        <f>IF([2]Baskol!$K$749="","",[2]Baskol!$K$749)</f>
        <v/>
      </c>
      <c r="AB746">
        <f>IF([2]Baskol!$L$749="","",[2]Baskol!$L$749)</f>
        <v/>
      </c>
      <c r="AC746">
        <f>IF([2]Baskol!$N$749="","",[2]Baskol!$N$749)</f>
        <v/>
      </c>
      <c r="AD746">
        <f>IF([2]Baskol!$O$749="","",[2]Baskol!$O$749)</f>
        <v/>
      </c>
      <c r="AE746">
        <f>IF([3]Entry!$C$749="","",[3]Entry!$C$749)</f>
        <v/>
      </c>
      <c r="AF746">
        <f>IF([3]Entry!$D$749="","",[3]Entry!$D$749)</f>
        <v/>
      </c>
      <c r="AG746">
        <f>IF([3]Entry!$E$749="","",[3]Entry!$E$749)</f>
        <v/>
      </c>
      <c r="AH746">
        <f>IF([3]Entry!$G$749="","",[3]Entry!$G$749)</f>
        <v/>
      </c>
      <c r="AI746">
        <f>IF([3]Entry!$K$749="","",[3]Entry!$K$749)</f>
        <v/>
      </c>
      <c r="AJ746">
        <f>IF([3]Entry!$L$749="","",[3]Entry!$L$749)</f>
        <v/>
      </c>
      <c r="AK746">
        <f>IF([3]Entry!$M$749="","",[3]Entry!$M$749)</f>
        <v/>
      </c>
      <c r="AL746">
        <f>IF([3]Entry!$N$749="","",[3]Entry!$N$749)</f>
        <v/>
      </c>
      <c r="AM746">
        <f>IF([3]Entry!$R$749="","",[3]Entry!$R$749)</f>
        <v/>
      </c>
    </row>
    <row r="747">
      <c r="T747">
        <f>IF([2]Baskol!$B$750="","",[2]Baskol!$B$750)</f>
        <v/>
      </c>
      <c r="U747">
        <f>IF([2]Baskol!$C$750="","",[2]Baskol!$C$750)</f>
        <v/>
      </c>
      <c r="V747">
        <f>IF([2]Baskol!$D$750="","",[2]Baskol!$D$750)</f>
        <v/>
      </c>
      <c r="W747">
        <f>IF([2]Baskol!$E$750="","",[2]Baskol!$E$750)</f>
        <v/>
      </c>
      <c r="X747">
        <f>IF([2]Baskol!$G$750="","",[2]Baskol!$G$750)</f>
        <v/>
      </c>
      <c r="Y747">
        <f>IF([2]Baskol!$I$750="","",[2]Baskol!$I$750)</f>
        <v/>
      </c>
      <c r="Z747">
        <f>IF([2]Baskol!$J$750="","",[2]Baskol!$J$750)</f>
        <v/>
      </c>
      <c r="AA747">
        <f>IF([2]Baskol!$K$750="","",[2]Baskol!$K$750)</f>
        <v/>
      </c>
      <c r="AB747">
        <f>IF([2]Baskol!$L$750="","",[2]Baskol!$L$750)</f>
        <v/>
      </c>
      <c r="AC747">
        <f>IF([2]Baskol!$N$750="","",[2]Baskol!$N$750)</f>
        <v/>
      </c>
      <c r="AD747">
        <f>IF([2]Baskol!$O$750="","",[2]Baskol!$O$750)</f>
        <v/>
      </c>
      <c r="AE747">
        <f>IF([3]Entry!$C$750="","",[3]Entry!$C$750)</f>
        <v/>
      </c>
      <c r="AF747">
        <f>IF([3]Entry!$D$750="","",[3]Entry!$D$750)</f>
        <v/>
      </c>
      <c r="AG747">
        <f>IF([3]Entry!$E$750="","",[3]Entry!$E$750)</f>
        <v/>
      </c>
      <c r="AH747">
        <f>IF([3]Entry!$G$750="","",[3]Entry!$G$750)</f>
        <v/>
      </c>
      <c r="AI747">
        <f>IF([3]Entry!$K$750="","",[3]Entry!$K$750)</f>
        <v/>
      </c>
      <c r="AJ747">
        <f>IF([3]Entry!$L$750="","",[3]Entry!$L$750)</f>
        <v/>
      </c>
      <c r="AK747">
        <f>IF([3]Entry!$M$750="","",[3]Entry!$M$750)</f>
        <v/>
      </c>
      <c r="AL747">
        <f>IF([3]Entry!$N$750="","",[3]Entry!$N$750)</f>
        <v/>
      </c>
      <c r="AM747">
        <f>IF([3]Entry!$R$750="","",[3]Entry!$R$750)</f>
        <v/>
      </c>
    </row>
    <row r="748">
      <c r="T748">
        <f>IF([2]Baskol!$B$751="","",[2]Baskol!$B$751)</f>
        <v/>
      </c>
      <c r="U748">
        <f>IF([2]Baskol!$C$751="","",[2]Baskol!$C$751)</f>
        <v/>
      </c>
      <c r="V748">
        <f>IF([2]Baskol!$D$751="","",[2]Baskol!$D$751)</f>
        <v/>
      </c>
      <c r="W748">
        <f>IF([2]Baskol!$E$751="","",[2]Baskol!$E$751)</f>
        <v/>
      </c>
      <c r="X748">
        <f>IF([2]Baskol!$G$751="","",[2]Baskol!$G$751)</f>
        <v/>
      </c>
      <c r="Y748">
        <f>IF([2]Baskol!$I$751="","",[2]Baskol!$I$751)</f>
        <v/>
      </c>
      <c r="Z748">
        <f>IF([2]Baskol!$J$751="","",[2]Baskol!$J$751)</f>
        <v/>
      </c>
      <c r="AA748">
        <f>IF([2]Baskol!$K$751="","",[2]Baskol!$K$751)</f>
        <v/>
      </c>
      <c r="AB748">
        <f>IF([2]Baskol!$L$751="","",[2]Baskol!$L$751)</f>
        <v/>
      </c>
      <c r="AC748">
        <f>IF([2]Baskol!$N$751="","",[2]Baskol!$N$751)</f>
        <v/>
      </c>
      <c r="AD748">
        <f>IF([2]Baskol!$O$751="","",[2]Baskol!$O$751)</f>
        <v/>
      </c>
      <c r="AE748">
        <f>IF([3]Entry!$C$751="","",[3]Entry!$C$751)</f>
        <v/>
      </c>
      <c r="AF748">
        <f>IF([3]Entry!$D$751="","",[3]Entry!$D$751)</f>
        <v/>
      </c>
      <c r="AG748">
        <f>IF([3]Entry!$E$751="","",[3]Entry!$E$751)</f>
        <v/>
      </c>
      <c r="AH748">
        <f>IF([3]Entry!$G$751="","",[3]Entry!$G$751)</f>
        <v/>
      </c>
      <c r="AI748">
        <f>IF([3]Entry!$K$751="","",[3]Entry!$K$751)</f>
        <v/>
      </c>
      <c r="AJ748">
        <f>IF([3]Entry!$L$751="","",[3]Entry!$L$751)</f>
        <v/>
      </c>
      <c r="AK748">
        <f>IF([3]Entry!$M$751="","",[3]Entry!$M$751)</f>
        <v/>
      </c>
      <c r="AL748">
        <f>IF([3]Entry!$N$751="","",[3]Entry!$N$751)</f>
        <v/>
      </c>
      <c r="AM748">
        <f>IF([3]Entry!$R$751="","",[3]Entry!$R$751)</f>
        <v/>
      </c>
    </row>
    <row r="749">
      <c r="T749">
        <f>IF([2]Baskol!$B$752="","",[2]Baskol!$B$752)</f>
        <v/>
      </c>
      <c r="U749">
        <f>IF([2]Baskol!$C$752="","",[2]Baskol!$C$752)</f>
        <v/>
      </c>
      <c r="V749">
        <f>IF([2]Baskol!$D$752="","",[2]Baskol!$D$752)</f>
        <v/>
      </c>
      <c r="W749">
        <f>IF([2]Baskol!$E$752="","",[2]Baskol!$E$752)</f>
        <v/>
      </c>
      <c r="X749">
        <f>IF([2]Baskol!$G$752="","",[2]Baskol!$G$752)</f>
        <v/>
      </c>
      <c r="Y749">
        <f>IF([2]Baskol!$I$752="","",[2]Baskol!$I$752)</f>
        <v/>
      </c>
      <c r="Z749">
        <f>IF([2]Baskol!$J$752="","",[2]Baskol!$J$752)</f>
        <v/>
      </c>
      <c r="AA749">
        <f>IF([2]Baskol!$K$752="","",[2]Baskol!$K$752)</f>
        <v/>
      </c>
      <c r="AB749">
        <f>IF([2]Baskol!$L$752="","",[2]Baskol!$L$752)</f>
        <v/>
      </c>
      <c r="AC749">
        <f>IF([2]Baskol!$N$752="","",[2]Baskol!$N$752)</f>
        <v/>
      </c>
      <c r="AD749">
        <f>IF([2]Baskol!$O$752="","",[2]Baskol!$O$752)</f>
        <v/>
      </c>
      <c r="AE749">
        <f>IF([3]Entry!$C$752="","",[3]Entry!$C$752)</f>
        <v/>
      </c>
      <c r="AF749">
        <f>IF([3]Entry!$D$752="","",[3]Entry!$D$752)</f>
        <v/>
      </c>
      <c r="AG749">
        <f>IF([3]Entry!$E$752="","",[3]Entry!$E$752)</f>
        <v/>
      </c>
      <c r="AH749">
        <f>IF([3]Entry!$G$752="","",[3]Entry!$G$752)</f>
        <v/>
      </c>
      <c r="AI749">
        <f>IF([3]Entry!$K$752="","",[3]Entry!$K$752)</f>
        <v/>
      </c>
      <c r="AJ749">
        <f>IF([3]Entry!$L$752="","",[3]Entry!$L$752)</f>
        <v/>
      </c>
      <c r="AK749">
        <f>IF([3]Entry!$M$752="","",[3]Entry!$M$752)</f>
        <v/>
      </c>
      <c r="AL749">
        <f>IF([3]Entry!$N$752="","",[3]Entry!$N$752)</f>
        <v/>
      </c>
      <c r="AM749">
        <f>IF([3]Entry!$R$752="","",[3]Entry!$R$752)</f>
        <v/>
      </c>
    </row>
    <row r="750">
      <c r="T750">
        <f>IF([2]Baskol!$B$753="","",[2]Baskol!$B$753)</f>
        <v/>
      </c>
      <c r="U750">
        <f>IF([2]Baskol!$C$753="","",[2]Baskol!$C$753)</f>
        <v/>
      </c>
      <c r="V750">
        <f>IF([2]Baskol!$D$753="","",[2]Baskol!$D$753)</f>
        <v/>
      </c>
      <c r="W750">
        <f>IF([2]Baskol!$E$753="","",[2]Baskol!$E$753)</f>
        <v/>
      </c>
      <c r="X750">
        <f>IF([2]Baskol!$G$753="","",[2]Baskol!$G$753)</f>
        <v/>
      </c>
      <c r="Y750">
        <f>IF([2]Baskol!$I$753="","",[2]Baskol!$I$753)</f>
        <v/>
      </c>
      <c r="Z750">
        <f>IF([2]Baskol!$J$753="","",[2]Baskol!$J$753)</f>
        <v/>
      </c>
      <c r="AA750">
        <f>IF([2]Baskol!$K$753="","",[2]Baskol!$K$753)</f>
        <v/>
      </c>
      <c r="AB750">
        <f>IF([2]Baskol!$L$753="","",[2]Baskol!$L$753)</f>
        <v/>
      </c>
      <c r="AC750">
        <f>IF([2]Baskol!$N$753="","",[2]Baskol!$N$753)</f>
        <v/>
      </c>
      <c r="AD750">
        <f>IF([2]Baskol!$O$753="","",[2]Baskol!$O$753)</f>
        <v/>
      </c>
      <c r="AE750">
        <f>IF([3]Entry!$C$753="","",[3]Entry!$C$753)</f>
        <v/>
      </c>
      <c r="AF750">
        <f>IF([3]Entry!$D$753="","",[3]Entry!$D$753)</f>
        <v/>
      </c>
      <c r="AG750">
        <f>IF([3]Entry!$E$753="","",[3]Entry!$E$753)</f>
        <v/>
      </c>
      <c r="AH750">
        <f>IF([3]Entry!$G$753="","",[3]Entry!$G$753)</f>
        <v/>
      </c>
      <c r="AI750">
        <f>IF([3]Entry!$K$753="","",[3]Entry!$K$753)</f>
        <v/>
      </c>
      <c r="AJ750">
        <f>IF([3]Entry!$L$753="","",[3]Entry!$L$753)</f>
        <v/>
      </c>
      <c r="AK750">
        <f>IF([3]Entry!$M$753="","",[3]Entry!$M$753)</f>
        <v/>
      </c>
      <c r="AL750">
        <f>IF([3]Entry!$N$753="","",[3]Entry!$N$753)</f>
        <v/>
      </c>
      <c r="AM750">
        <f>IF([3]Entry!$R$753="","",[3]Entry!$R$753)</f>
        <v/>
      </c>
    </row>
    <row r="751">
      <c r="T751">
        <f>IF([2]Baskol!$B$754="","",[2]Baskol!$B$754)</f>
        <v/>
      </c>
      <c r="U751">
        <f>IF([2]Baskol!$C$754="","",[2]Baskol!$C$754)</f>
        <v/>
      </c>
      <c r="V751">
        <f>IF([2]Baskol!$D$754="","",[2]Baskol!$D$754)</f>
        <v/>
      </c>
      <c r="W751">
        <f>IF([2]Baskol!$E$754="","",[2]Baskol!$E$754)</f>
        <v/>
      </c>
      <c r="X751">
        <f>IF([2]Baskol!$G$754="","",[2]Baskol!$G$754)</f>
        <v/>
      </c>
      <c r="Y751">
        <f>IF([2]Baskol!$I$754="","",[2]Baskol!$I$754)</f>
        <v/>
      </c>
      <c r="Z751">
        <f>IF([2]Baskol!$J$754="","",[2]Baskol!$J$754)</f>
        <v/>
      </c>
      <c r="AA751">
        <f>IF([2]Baskol!$K$754="","",[2]Baskol!$K$754)</f>
        <v/>
      </c>
      <c r="AB751">
        <f>IF([2]Baskol!$L$754="","",[2]Baskol!$L$754)</f>
        <v/>
      </c>
      <c r="AC751">
        <f>IF([2]Baskol!$N$754="","",[2]Baskol!$N$754)</f>
        <v/>
      </c>
      <c r="AD751">
        <f>IF([2]Baskol!$O$754="","",[2]Baskol!$O$754)</f>
        <v/>
      </c>
      <c r="AE751">
        <f>IF([3]Entry!$C$754="","",[3]Entry!$C$754)</f>
        <v/>
      </c>
      <c r="AF751">
        <f>IF([3]Entry!$D$754="","",[3]Entry!$D$754)</f>
        <v/>
      </c>
      <c r="AG751">
        <f>IF([3]Entry!$E$754="","",[3]Entry!$E$754)</f>
        <v/>
      </c>
      <c r="AH751">
        <f>IF([3]Entry!$G$754="","",[3]Entry!$G$754)</f>
        <v/>
      </c>
      <c r="AI751">
        <f>IF([3]Entry!$K$754="","",[3]Entry!$K$754)</f>
        <v/>
      </c>
      <c r="AJ751">
        <f>IF([3]Entry!$L$754="","",[3]Entry!$L$754)</f>
        <v/>
      </c>
      <c r="AK751">
        <f>IF([3]Entry!$M$754="","",[3]Entry!$M$754)</f>
        <v/>
      </c>
      <c r="AL751">
        <f>IF([3]Entry!$N$754="","",[3]Entry!$N$754)</f>
        <v/>
      </c>
      <c r="AM751">
        <f>IF([3]Entry!$R$754="","",[3]Entry!$R$754)</f>
        <v/>
      </c>
    </row>
    <row r="752">
      <c r="T752">
        <f>IF([2]Baskol!$B$755="","",[2]Baskol!$B$755)</f>
        <v/>
      </c>
      <c r="U752">
        <f>IF([2]Baskol!$C$755="","",[2]Baskol!$C$755)</f>
        <v/>
      </c>
      <c r="V752">
        <f>IF([2]Baskol!$D$755="","",[2]Baskol!$D$755)</f>
        <v/>
      </c>
      <c r="W752">
        <f>IF([2]Baskol!$E$755="","",[2]Baskol!$E$755)</f>
        <v/>
      </c>
      <c r="X752">
        <f>IF([2]Baskol!$G$755="","",[2]Baskol!$G$755)</f>
        <v/>
      </c>
      <c r="Y752">
        <f>IF([2]Baskol!$I$755="","",[2]Baskol!$I$755)</f>
        <v/>
      </c>
      <c r="Z752">
        <f>IF([2]Baskol!$J$755="","",[2]Baskol!$J$755)</f>
        <v/>
      </c>
      <c r="AA752">
        <f>IF([2]Baskol!$K$755="","",[2]Baskol!$K$755)</f>
        <v/>
      </c>
      <c r="AB752">
        <f>IF([2]Baskol!$L$755="","",[2]Baskol!$L$755)</f>
        <v/>
      </c>
      <c r="AC752">
        <f>IF([2]Baskol!$N$755="","",[2]Baskol!$N$755)</f>
        <v/>
      </c>
      <c r="AD752">
        <f>IF([2]Baskol!$O$755="","",[2]Baskol!$O$755)</f>
        <v/>
      </c>
      <c r="AE752">
        <f>IF([3]Entry!$C$755="","",[3]Entry!$C$755)</f>
        <v/>
      </c>
      <c r="AF752">
        <f>IF([3]Entry!$D$755="","",[3]Entry!$D$755)</f>
        <v/>
      </c>
      <c r="AG752">
        <f>IF([3]Entry!$E$755="","",[3]Entry!$E$755)</f>
        <v/>
      </c>
      <c r="AH752">
        <f>IF([3]Entry!$G$755="","",[3]Entry!$G$755)</f>
        <v/>
      </c>
      <c r="AI752">
        <f>IF([3]Entry!$K$755="","",[3]Entry!$K$755)</f>
        <v/>
      </c>
      <c r="AJ752">
        <f>IF([3]Entry!$L$755="","",[3]Entry!$L$755)</f>
        <v/>
      </c>
      <c r="AK752">
        <f>IF([3]Entry!$M$755="","",[3]Entry!$M$755)</f>
        <v/>
      </c>
      <c r="AL752">
        <f>IF([3]Entry!$N$755="","",[3]Entry!$N$755)</f>
        <v/>
      </c>
      <c r="AM752">
        <f>IF([3]Entry!$R$755="","",[3]Entry!$R$755)</f>
        <v/>
      </c>
    </row>
    <row r="753">
      <c r="T753">
        <f>IF([2]Baskol!$B$756="","",[2]Baskol!$B$756)</f>
        <v/>
      </c>
      <c r="U753">
        <f>IF([2]Baskol!$C$756="","",[2]Baskol!$C$756)</f>
        <v/>
      </c>
      <c r="V753">
        <f>IF([2]Baskol!$D$756="","",[2]Baskol!$D$756)</f>
        <v/>
      </c>
      <c r="W753">
        <f>IF([2]Baskol!$E$756="","",[2]Baskol!$E$756)</f>
        <v/>
      </c>
      <c r="X753">
        <f>IF([2]Baskol!$G$756="","",[2]Baskol!$G$756)</f>
        <v/>
      </c>
      <c r="Y753">
        <f>IF([2]Baskol!$I$756="","",[2]Baskol!$I$756)</f>
        <v/>
      </c>
      <c r="Z753">
        <f>IF([2]Baskol!$J$756="","",[2]Baskol!$J$756)</f>
        <v/>
      </c>
      <c r="AA753">
        <f>IF([2]Baskol!$K$756="","",[2]Baskol!$K$756)</f>
        <v/>
      </c>
      <c r="AB753">
        <f>IF([2]Baskol!$L$756="","",[2]Baskol!$L$756)</f>
        <v/>
      </c>
      <c r="AC753">
        <f>IF([2]Baskol!$N$756="","",[2]Baskol!$N$756)</f>
        <v/>
      </c>
      <c r="AD753">
        <f>IF([2]Baskol!$O$756="","",[2]Baskol!$O$756)</f>
        <v/>
      </c>
      <c r="AE753">
        <f>IF([3]Entry!$C$756="","",[3]Entry!$C$756)</f>
        <v/>
      </c>
      <c r="AF753">
        <f>IF([3]Entry!$D$756="","",[3]Entry!$D$756)</f>
        <v/>
      </c>
      <c r="AG753">
        <f>IF([3]Entry!$E$756="","",[3]Entry!$E$756)</f>
        <v/>
      </c>
      <c r="AH753">
        <f>IF([3]Entry!$G$756="","",[3]Entry!$G$756)</f>
        <v/>
      </c>
      <c r="AI753">
        <f>IF([3]Entry!$K$756="","",[3]Entry!$K$756)</f>
        <v/>
      </c>
      <c r="AJ753">
        <f>IF([3]Entry!$L$756="","",[3]Entry!$L$756)</f>
        <v/>
      </c>
      <c r="AK753">
        <f>IF([3]Entry!$M$756="","",[3]Entry!$M$756)</f>
        <v/>
      </c>
      <c r="AL753">
        <f>IF([3]Entry!$N$756="","",[3]Entry!$N$756)</f>
        <v/>
      </c>
      <c r="AM753">
        <f>IF([3]Entry!$R$756="","",[3]Entry!$R$756)</f>
        <v/>
      </c>
    </row>
    <row r="754">
      <c r="T754">
        <f>IF([2]Baskol!$B$757="","",[2]Baskol!$B$757)</f>
        <v/>
      </c>
      <c r="U754">
        <f>IF([2]Baskol!$C$757="","",[2]Baskol!$C$757)</f>
        <v/>
      </c>
      <c r="V754">
        <f>IF([2]Baskol!$D$757="","",[2]Baskol!$D$757)</f>
        <v/>
      </c>
      <c r="W754">
        <f>IF([2]Baskol!$E$757="","",[2]Baskol!$E$757)</f>
        <v/>
      </c>
      <c r="X754">
        <f>IF([2]Baskol!$G$757="","",[2]Baskol!$G$757)</f>
        <v/>
      </c>
      <c r="Y754">
        <f>IF([2]Baskol!$I$757="","",[2]Baskol!$I$757)</f>
        <v/>
      </c>
      <c r="Z754">
        <f>IF([2]Baskol!$J$757="","",[2]Baskol!$J$757)</f>
        <v/>
      </c>
      <c r="AA754">
        <f>IF([2]Baskol!$K$757="","",[2]Baskol!$K$757)</f>
        <v/>
      </c>
      <c r="AB754">
        <f>IF([2]Baskol!$L$757="","",[2]Baskol!$L$757)</f>
        <v/>
      </c>
      <c r="AC754">
        <f>IF([2]Baskol!$N$757="","",[2]Baskol!$N$757)</f>
        <v/>
      </c>
      <c r="AD754">
        <f>IF([2]Baskol!$O$757="","",[2]Baskol!$O$757)</f>
        <v/>
      </c>
      <c r="AE754">
        <f>IF([3]Entry!$C$757="","",[3]Entry!$C$757)</f>
        <v/>
      </c>
      <c r="AF754">
        <f>IF([3]Entry!$D$757="","",[3]Entry!$D$757)</f>
        <v/>
      </c>
      <c r="AG754">
        <f>IF([3]Entry!$E$757="","",[3]Entry!$E$757)</f>
        <v/>
      </c>
      <c r="AH754">
        <f>IF([3]Entry!$G$757="","",[3]Entry!$G$757)</f>
        <v/>
      </c>
      <c r="AI754">
        <f>IF([3]Entry!$K$757="","",[3]Entry!$K$757)</f>
        <v/>
      </c>
      <c r="AJ754">
        <f>IF([3]Entry!$L$757="","",[3]Entry!$L$757)</f>
        <v/>
      </c>
      <c r="AK754">
        <f>IF([3]Entry!$M$757="","",[3]Entry!$M$757)</f>
        <v/>
      </c>
      <c r="AL754">
        <f>IF([3]Entry!$N$757="","",[3]Entry!$N$757)</f>
        <v/>
      </c>
      <c r="AM754">
        <f>IF([3]Entry!$R$757="","",[3]Entry!$R$757)</f>
        <v/>
      </c>
    </row>
    <row r="755">
      <c r="T755">
        <f>IF([2]Baskol!$B$758="","",[2]Baskol!$B$758)</f>
        <v/>
      </c>
      <c r="U755">
        <f>IF([2]Baskol!$C$758="","",[2]Baskol!$C$758)</f>
        <v/>
      </c>
      <c r="V755">
        <f>IF([2]Baskol!$D$758="","",[2]Baskol!$D$758)</f>
        <v/>
      </c>
      <c r="W755">
        <f>IF([2]Baskol!$E$758="","",[2]Baskol!$E$758)</f>
        <v/>
      </c>
      <c r="X755">
        <f>IF([2]Baskol!$G$758="","",[2]Baskol!$G$758)</f>
        <v/>
      </c>
      <c r="Y755">
        <f>IF([2]Baskol!$I$758="","",[2]Baskol!$I$758)</f>
        <v/>
      </c>
      <c r="Z755">
        <f>IF([2]Baskol!$J$758="","",[2]Baskol!$J$758)</f>
        <v/>
      </c>
      <c r="AA755">
        <f>IF([2]Baskol!$K$758="","",[2]Baskol!$K$758)</f>
        <v/>
      </c>
      <c r="AB755">
        <f>IF([2]Baskol!$L$758="","",[2]Baskol!$L$758)</f>
        <v/>
      </c>
      <c r="AC755">
        <f>IF([2]Baskol!$N$758="","",[2]Baskol!$N$758)</f>
        <v/>
      </c>
      <c r="AD755">
        <f>IF([2]Baskol!$O$758="","",[2]Baskol!$O$758)</f>
        <v/>
      </c>
      <c r="AE755">
        <f>IF([3]Entry!$C$758="","",[3]Entry!$C$758)</f>
        <v/>
      </c>
      <c r="AF755">
        <f>IF([3]Entry!$D$758="","",[3]Entry!$D$758)</f>
        <v/>
      </c>
      <c r="AG755">
        <f>IF([3]Entry!$E$758="","",[3]Entry!$E$758)</f>
        <v/>
      </c>
      <c r="AH755">
        <f>IF([3]Entry!$G$758="","",[3]Entry!$G$758)</f>
        <v/>
      </c>
      <c r="AI755">
        <f>IF([3]Entry!$K$758="","",[3]Entry!$K$758)</f>
        <v/>
      </c>
      <c r="AJ755">
        <f>IF([3]Entry!$L$758="","",[3]Entry!$L$758)</f>
        <v/>
      </c>
      <c r="AK755">
        <f>IF([3]Entry!$M$758="","",[3]Entry!$M$758)</f>
        <v/>
      </c>
      <c r="AL755">
        <f>IF([3]Entry!$N$758="","",[3]Entry!$N$758)</f>
        <v/>
      </c>
      <c r="AM755">
        <f>IF([3]Entry!$R$758="","",[3]Entry!$R$758)</f>
        <v/>
      </c>
    </row>
    <row r="756">
      <c r="T756">
        <f>IF([2]Baskol!$B$759="","",[2]Baskol!$B$759)</f>
        <v/>
      </c>
      <c r="U756">
        <f>IF([2]Baskol!$C$759="","",[2]Baskol!$C$759)</f>
        <v/>
      </c>
      <c r="V756">
        <f>IF([2]Baskol!$D$759="","",[2]Baskol!$D$759)</f>
        <v/>
      </c>
      <c r="W756">
        <f>IF([2]Baskol!$E$759="","",[2]Baskol!$E$759)</f>
        <v/>
      </c>
      <c r="X756">
        <f>IF([2]Baskol!$G$759="","",[2]Baskol!$G$759)</f>
        <v/>
      </c>
      <c r="Y756">
        <f>IF([2]Baskol!$I$759="","",[2]Baskol!$I$759)</f>
        <v/>
      </c>
      <c r="Z756">
        <f>IF([2]Baskol!$J$759="","",[2]Baskol!$J$759)</f>
        <v/>
      </c>
      <c r="AA756">
        <f>IF([2]Baskol!$K$759="","",[2]Baskol!$K$759)</f>
        <v/>
      </c>
      <c r="AB756">
        <f>IF([2]Baskol!$L$759="","",[2]Baskol!$L$759)</f>
        <v/>
      </c>
      <c r="AC756">
        <f>IF([2]Baskol!$N$759="","",[2]Baskol!$N$759)</f>
        <v/>
      </c>
      <c r="AD756">
        <f>IF([2]Baskol!$O$759="","",[2]Baskol!$O$759)</f>
        <v/>
      </c>
      <c r="AE756">
        <f>IF([3]Entry!$C$759="","",[3]Entry!$C$759)</f>
        <v/>
      </c>
      <c r="AF756">
        <f>IF([3]Entry!$D$759="","",[3]Entry!$D$759)</f>
        <v/>
      </c>
      <c r="AG756">
        <f>IF([3]Entry!$E$759="","",[3]Entry!$E$759)</f>
        <v/>
      </c>
      <c r="AH756">
        <f>IF([3]Entry!$G$759="","",[3]Entry!$G$759)</f>
        <v/>
      </c>
      <c r="AI756">
        <f>IF([3]Entry!$K$759="","",[3]Entry!$K$759)</f>
        <v/>
      </c>
      <c r="AJ756">
        <f>IF([3]Entry!$L$759="","",[3]Entry!$L$759)</f>
        <v/>
      </c>
      <c r="AK756">
        <f>IF([3]Entry!$M$759="","",[3]Entry!$M$759)</f>
        <v/>
      </c>
      <c r="AL756">
        <f>IF([3]Entry!$N$759="","",[3]Entry!$N$759)</f>
        <v/>
      </c>
      <c r="AM756">
        <f>IF([3]Entry!$R$759="","",[3]Entry!$R$759)</f>
        <v/>
      </c>
    </row>
    <row r="757">
      <c r="T757">
        <f>IF([2]Baskol!$B$760="","",[2]Baskol!$B$760)</f>
        <v/>
      </c>
      <c r="U757">
        <f>IF([2]Baskol!$C$760="","",[2]Baskol!$C$760)</f>
        <v/>
      </c>
      <c r="V757">
        <f>IF([2]Baskol!$D$760="","",[2]Baskol!$D$760)</f>
        <v/>
      </c>
      <c r="W757">
        <f>IF([2]Baskol!$E$760="","",[2]Baskol!$E$760)</f>
        <v/>
      </c>
      <c r="X757">
        <f>IF([2]Baskol!$G$760="","",[2]Baskol!$G$760)</f>
        <v/>
      </c>
      <c r="Y757">
        <f>IF([2]Baskol!$I$760="","",[2]Baskol!$I$760)</f>
        <v/>
      </c>
      <c r="Z757">
        <f>IF([2]Baskol!$J$760="","",[2]Baskol!$J$760)</f>
        <v/>
      </c>
      <c r="AA757">
        <f>IF([2]Baskol!$K$760="","",[2]Baskol!$K$760)</f>
        <v/>
      </c>
      <c r="AB757">
        <f>IF([2]Baskol!$L$760="","",[2]Baskol!$L$760)</f>
        <v/>
      </c>
      <c r="AC757">
        <f>IF([2]Baskol!$N$760="","",[2]Baskol!$N$760)</f>
        <v/>
      </c>
      <c r="AD757">
        <f>IF([2]Baskol!$O$760="","",[2]Baskol!$O$760)</f>
        <v/>
      </c>
      <c r="AE757">
        <f>IF([3]Entry!$C$760="","",[3]Entry!$C$760)</f>
        <v/>
      </c>
      <c r="AF757">
        <f>IF([3]Entry!$D$760="","",[3]Entry!$D$760)</f>
        <v/>
      </c>
      <c r="AG757">
        <f>IF([3]Entry!$E$760="","",[3]Entry!$E$760)</f>
        <v/>
      </c>
      <c r="AH757">
        <f>IF([3]Entry!$G$760="","",[3]Entry!$G$760)</f>
        <v/>
      </c>
      <c r="AI757">
        <f>IF([3]Entry!$K$760="","",[3]Entry!$K$760)</f>
        <v/>
      </c>
      <c r="AJ757">
        <f>IF([3]Entry!$L$760="","",[3]Entry!$L$760)</f>
        <v/>
      </c>
      <c r="AK757">
        <f>IF([3]Entry!$M$760="","",[3]Entry!$M$760)</f>
        <v/>
      </c>
      <c r="AL757">
        <f>IF([3]Entry!$N$760="","",[3]Entry!$N$760)</f>
        <v/>
      </c>
      <c r="AM757">
        <f>IF([3]Entry!$R$760="","",[3]Entry!$R$760)</f>
        <v/>
      </c>
    </row>
    <row r="758">
      <c r="T758">
        <f>IF([2]Baskol!$B$761="","",[2]Baskol!$B$761)</f>
        <v/>
      </c>
      <c r="U758">
        <f>IF([2]Baskol!$C$761="","",[2]Baskol!$C$761)</f>
        <v/>
      </c>
      <c r="V758">
        <f>IF([2]Baskol!$D$761="","",[2]Baskol!$D$761)</f>
        <v/>
      </c>
      <c r="W758">
        <f>IF([2]Baskol!$E$761="","",[2]Baskol!$E$761)</f>
        <v/>
      </c>
      <c r="X758">
        <f>IF([2]Baskol!$G$761="","",[2]Baskol!$G$761)</f>
        <v/>
      </c>
      <c r="Y758">
        <f>IF([2]Baskol!$I$761="","",[2]Baskol!$I$761)</f>
        <v/>
      </c>
      <c r="Z758">
        <f>IF([2]Baskol!$J$761="","",[2]Baskol!$J$761)</f>
        <v/>
      </c>
      <c r="AA758">
        <f>IF([2]Baskol!$K$761="","",[2]Baskol!$K$761)</f>
        <v/>
      </c>
      <c r="AB758">
        <f>IF([2]Baskol!$L$761="","",[2]Baskol!$L$761)</f>
        <v/>
      </c>
      <c r="AC758">
        <f>IF([2]Baskol!$N$761="","",[2]Baskol!$N$761)</f>
        <v/>
      </c>
      <c r="AD758">
        <f>IF([2]Baskol!$O$761="","",[2]Baskol!$O$761)</f>
        <v/>
      </c>
      <c r="AE758">
        <f>IF([3]Entry!$C$761="","",[3]Entry!$C$761)</f>
        <v/>
      </c>
      <c r="AF758">
        <f>IF([3]Entry!$D$761="","",[3]Entry!$D$761)</f>
        <v/>
      </c>
      <c r="AG758">
        <f>IF([3]Entry!$E$761="","",[3]Entry!$E$761)</f>
        <v/>
      </c>
      <c r="AH758">
        <f>IF([3]Entry!$G$761="","",[3]Entry!$G$761)</f>
        <v/>
      </c>
      <c r="AI758">
        <f>IF([3]Entry!$K$761="","",[3]Entry!$K$761)</f>
        <v/>
      </c>
      <c r="AJ758">
        <f>IF([3]Entry!$L$761="","",[3]Entry!$L$761)</f>
        <v/>
      </c>
      <c r="AK758">
        <f>IF([3]Entry!$M$761="","",[3]Entry!$M$761)</f>
        <v/>
      </c>
      <c r="AL758">
        <f>IF([3]Entry!$N$761="","",[3]Entry!$N$761)</f>
        <v/>
      </c>
      <c r="AM758">
        <f>IF([3]Entry!$R$761="","",[3]Entry!$R$761)</f>
        <v/>
      </c>
    </row>
    <row r="759">
      <c r="T759">
        <f>IF([2]Baskol!$B$762="","",[2]Baskol!$B$762)</f>
        <v/>
      </c>
      <c r="U759">
        <f>IF([2]Baskol!$C$762="","",[2]Baskol!$C$762)</f>
        <v/>
      </c>
      <c r="V759">
        <f>IF([2]Baskol!$D$762="","",[2]Baskol!$D$762)</f>
        <v/>
      </c>
      <c r="W759">
        <f>IF([2]Baskol!$E$762="","",[2]Baskol!$E$762)</f>
        <v/>
      </c>
      <c r="X759">
        <f>IF([2]Baskol!$G$762="","",[2]Baskol!$G$762)</f>
        <v/>
      </c>
      <c r="Y759">
        <f>IF([2]Baskol!$I$762="","",[2]Baskol!$I$762)</f>
        <v/>
      </c>
      <c r="Z759">
        <f>IF([2]Baskol!$J$762="","",[2]Baskol!$J$762)</f>
        <v/>
      </c>
      <c r="AA759">
        <f>IF([2]Baskol!$K$762="","",[2]Baskol!$K$762)</f>
        <v/>
      </c>
      <c r="AB759">
        <f>IF([2]Baskol!$L$762="","",[2]Baskol!$L$762)</f>
        <v/>
      </c>
      <c r="AC759">
        <f>IF([2]Baskol!$N$762="","",[2]Baskol!$N$762)</f>
        <v/>
      </c>
      <c r="AD759">
        <f>IF([2]Baskol!$O$762="","",[2]Baskol!$O$762)</f>
        <v/>
      </c>
      <c r="AE759">
        <f>IF([3]Entry!$C$762="","",[3]Entry!$C$762)</f>
        <v/>
      </c>
      <c r="AF759">
        <f>IF([3]Entry!$D$762="","",[3]Entry!$D$762)</f>
        <v/>
      </c>
      <c r="AG759">
        <f>IF([3]Entry!$E$762="","",[3]Entry!$E$762)</f>
        <v/>
      </c>
      <c r="AH759">
        <f>IF([3]Entry!$G$762="","",[3]Entry!$G$762)</f>
        <v/>
      </c>
      <c r="AI759">
        <f>IF([3]Entry!$K$762="","",[3]Entry!$K$762)</f>
        <v/>
      </c>
      <c r="AJ759">
        <f>IF([3]Entry!$L$762="","",[3]Entry!$L$762)</f>
        <v/>
      </c>
      <c r="AK759">
        <f>IF([3]Entry!$M$762="","",[3]Entry!$M$762)</f>
        <v/>
      </c>
      <c r="AL759">
        <f>IF([3]Entry!$N$762="","",[3]Entry!$N$762)</f>
        <v/>
      </c>
      <c r="AM759">
        <f>IF([3]Entry!$R$762="","",[3]Entry!$R$762)</f>
        <v/>
      </c>
    </row>
    <row r="760">
      <c r="T760">
        <f>IF([2]Baskol!$B$763="","",[2]Baskol!$B$763)</f>
        <v/>
      </c>
      <c r="U760">
        <f>IF([2]Baskol!$C$763="","",[2]Baskol!$C$763)</f>
        <v/>
      </c>
      <c r="V760">
        <f>IF([2]Baskol!$D$763="","",[2]Baskol!$D$763)</f>
        <v/>
      </c>
      <c r="W760">
        <f>IF([2]Baskol!$E$763="","",[2]Baskol!$E$763)</f>
        <v/>
      </c>
      <c r="X760">
        <f>IF([2]Baskol!$G$763="","",[2]Baskol!$G$763)</f>
        <v/>
      </c>
      <c r="Y760">
        <f>IF([2]Baskol!$I$763="","",[2]Baskol!$I$763)</f>
        <v/>
      </c>
      <c r="Z760">
        <f>IF([2]Baskol!$J$763="","",[2]Baskol!$J$763)</f>
        <v/>
      </c>
      <c r="AA760">
        <f>IF([2]Baskol!$K$763="","",[2]Baskol!$K$763)</f>
        <v/>
      </c>
      <c r="AB760">
        <f>IF([2]Baskol!$L$763="","",[2]Baskol!$L$763)</f>
        <v/>
      </c>
      <c r="AC760">
        <f>IF([2]Baskol!$N$763="","",[2]Baskol!$N$763)</f>
        <v/>
      </c>
      <c r="AD760">
        <f>IF([2]Baskol!$O$763="","",[2]Baskol!$O$763)</f>
        <v/>
      </c>
      <c r="AE760">
        <f>IF([3]Entry!$C$763="","",[3]Entry!$C$763)</f>
        <v/>
      </c>
      <c r="AF760">
        <f>IF([3]Entry!$D$763="","",[3]Entry!$D$763)</f>
        <v/>
      </c>
      <c r="AG760">
        <f>IF([3]Entry!$E$763="","",[3]Entry!$E$763)</f>
        <v/>
      </c>
      <c r="AH760">
        <f>IF([3]Entry!$G$763="","",[3]Entry!$G$763)</f>
        <v/>
      </c>
      <c r="AI760">
        <f>IF([3]Entry!$K$763="","",[3]Entry!$K$763)</f>
        <v/>
      </c>
      <c r="AJ760">
        <f>IF([3]Entry!$L$763="","",[3]Entry!$L$763)</f>
        <v/>
      </c>
      <c r="AK760">
        <f>IF([3]Entry!$M$763="","",[3]Entry!$M$763)</f>
        <v/>
      </c>
      <c r="AL760">
        <f>IF([3]Entry!$N$763="","",[3]Entry!$N$763)</f>
        <v/>
      </c>
      <c r="AM760">
        <f>IF([3]Entry!$R$763="","",[3]Entry!$R$763)</f>
        <v/>
      </c>
    </row>
    <row r="761">
      <c r="T761">
        <f>IF([2]Baskol!$B$764="","",[2]Baskol!$B$764)</f>
        <v/>
      </c>
      <c r="U761">
        <f>IF([2]Baskol!$C$764="","",[2]Baskol!$C$764)</f>
        <v/>
      </c>
      <c r="V761">
        <f>IF([2]Baskol!$D$764="","",[2]Baskol!$D$764)</f>
        <v/>
      </c>
      <c r="W761">
        <f>IF([2]Baskol!$E$764="","",[2]Baskol!$E$764)</f>
        <v/>
      </c>
      <c r="X761">
        <f>IF([2]Baskol!$G$764="","",[2]Baskol!$G$764)</f>
        <v/>
      </c>
      <c r="Y761">
        <f>IF([2]Baskol!$I$764="","",[2]Baskol!$I$764)</f>
        <v/>
      </c>
      <c r="Z761">
        <f>IF([2]Baskol!$J$764="","",[2]Baskol!$J$764)</f>
        <v/>
      </c>
      <c r="AA761">
        <f>IF([2]Baskol!$K$764="","",[2]Baskol!$K$764)</f>
        <v/>
      </c>
      <c r="AB761">
        <f>IF([2]Baskol!$L$764="","",[2]Baskol!$L$764)</f>
        <v/>
      </c>
      <c r="AC761">
        <f>IF([2]Baskol!$N$764="","",[2]Baskol!$N$764)</f>
        <v/>
      </c>
      <c r="AD761">
        <f>IF([2]Baskol!$O$764="","",[2]Baskol!$O$764)</f>
        <v/>
      </c>
      <c r="AE761">
        <f>IF([3]Entry!$C$764="","",[3]Entry!$C$764)</f>
        <v/>
      </c>
      <c r="AF761">
        <f>IF([3]Entry!$D$764="","",[3]Entry!$D$764)</f>
        <v/>
      </c>
      <c r="AG761">
        <f>IF([3]Entry!$E$764="","",[3]Entry!$E$764)</f>
        <v/>
      </c>
      <c r="AH761">
        <f>IF([3]Entry!$G$764="","",[3]Entry!$G$764)</f>
        <v/>
      </c>
      <c r="AI761">
        <f>IF([3]Entry!$K$764="","",[3]Entry!$K$764)</f>
        <v/>
      </c>
      <c r="AJ761">
        <f>IF([3]Entry!$L$764="","",[3]Entry!$L$764)</f>
        <v/>
      </c>
      <c r="AK761">
        <f>IF([3]Entry!$M$764="","",[3]Entry!$M$764)</f>
        <v/>
      </c>
      <c r="AL761">
        <f>IF([3]Entry!$N$764="","",[3]Entry!$N$764)</f>
        <v/>
      </c>
      <c r="AM761">
        <f>IF([3]Entry!$R$764="","",[3]Entry!$R$764)</f>
        <v/>
      </c>
    </row>
    <row r="762">
      <c r="T762">
        <f>IF([2]Baskol!$B$765="","",[2]Baskol!$B$765)</f>
        <v/>
      </c>
      <c r="U762">
        <f>IF([2]Baskol!$C$765="","",[2]Baskol!$C$765)</f>
        <v/>
      </c>
      <c r="V762">
        <f>IF([2]Baskol!$D$765="","",[2]Baskol!$D$765)</f>
        <v/>
      </c>
      <c r="W762">
        <f>IF([2]Baskol!$E$765="","",[2]Baskol!$E$765)</f>
        <v/>
      </c>
      <c r="X762">
        <f>IF([2]Baskol!$G$765="","",[2]Baskol!$G$765)</f>
        <v/>
      </c>
      <c r="Y762">
        <f>IF([2]Baskol!$I$765="","",[2]Baskol!$I$765)</f>
        <v/>
      </c>
      <c r="Z762">
        <f>IF([2]Baskol!$J$765="","",[2]Baskol!$J$765)</f>
        <v/>
      </c>
      <c r="AA762">
        <f>IF([2]Baskol!$K$765="","",[2]Baskol!$K$765)</f>
        <v/>
      </c>
      <c r="AB762">
        <f>IF([2]Baskol!$L$765="","",[2]Baskol!$L$765)</f>
        <v/>
      </c>
      <c r="AC762">
        <f>IF([2]Baskol!$N$765="","",[2]Baskol!$N$765)</f>
        <v/>
      </c>
      <c r="AD762">
        <f>IF([2]Baskol!$O$765="","",[2]Baskol!$O$765)</f>
        <v/>
      </c>
      <c r="AE762">
        <f>IF([3]Entry!$C$765="","",[3]Entry!$C$765)</f>
        <v/>
      </c>
      <c r="AF762">
        <f>IF([3]Entry!$D$765="","",[3]Entry!$D$765)</f>
        <v/>
      </c>
      <c r="AG762">
        <f>IF([3]Entry!$E$765="","",[3]Entry!$E$765)</f>
        <v/>
      </c>
      <c r="AH762">
        <f>IF([3]Entry!$G$765="","",[3]Entry!$G$765)</f>
        <v/>
      </c>
      <c r="AI762">
        <f>IF([3]Entry!$K$765="","",[3]Entry!$K$765)</f>
        <v/>
      </c>
      <c r="AJ762">
        <f>IF([3]Entry!$L$765="","",[3]Entry!$L$765)</f>
        <v/>
      </c>
      <c r="AK762">
        <f>IF([3]Entry!$M$765="","",[3]Entry!$M$765)</f>
        <v/>
      </c>
      <c r="AL762">
        <f>IF([3]Entry!$N$765="","",[3]Entry!$N$765)</f>
        <v/>
      </c>
      <c r="AM762">
        <f>IF([3]Entry!$R$765="","",[3]Entry!$R$765)</f>
        <v/>
      </c>
    </row>
    <row r="763">
      <c r="T763">
        <f>IF([2]Baskol!$B$766="","",[2]Baskol!$B$766)</f>
        <v/>
      </c>
      <c r="U763">
        <f>IF([2]Baskol!$C$766="","",[2]Baskol!$C$766)</f>
        <v/>
      </c>
      <c r="V763">
        <f>IF([2]Baskol!$D$766="","",[2]Baskol!$D$766)</f>
        <v/>
      </c>
      <c r="W763">
        <f>IF([2]Baskol!$E$766="","",[2]Baskol!$E$766)</f>
        <v/>
      </c>
      <c r="X763">
        <f>IF([2]Baskol!$G$766="","",[2]Baskol!$G$766)</f>
        <v/>
      </c>
      <c r="Y763">
        <f>IF([2]Baskol!$I$766="","",[2]Baskol!$I$766)</f>
        <v/>
      </c>
      <c r="Z763">
        <f>IF([2]Baskol!$J$766="","",[2]Baskol!$J$766)</f>
        <v/>
      </c>
      <c r="AA763">
        <f>IF([2]Baskol!$K$766="","",[2]Baskol!$K$766)</f>
        <v/>
      </c>
      <c r="AB763">
        <f>IF([2]Baskol!$L$766="","",[2]Baskol!$L$766)</f>
        <v/>
      </c>
      <c r="AC763">
        <f>IF([2]Baskol!$N$766="","",[2]Baskol!$N$766)</f>
        <v/>
      </c>
      <c r="AD763">
        <f>IF([2]Baskol!$O$766="","",[2]Baskol!$O$766)</f>
        <v/>
      </c>
      <c r="AE763">
        <f>IF([3]Entry!$C$766="","",[3]Entry!$C$766)</f>
        <v/>
      </c>
      <c r="AF763">
        <f>IF([3]Entry!$D$766="","",[3]Entry!$D$766)</f>
        <v/>
      </c>
      <c r="AG763">
        <f>IF([3]Entry!$E$766="","",[3]Entry!$E$766)</f>
        <v/>
      </c>
      <c r="AH763">
        <f>IF([3]Entry!$G$766="","",[3]Entry!$G$766)</f>
        <v/>
      </c>
      <c r="AI763">
        <f>IF([3]Entry!$K$766="","",[3]Entry!$K$766)</f>
        <v/>
      </c>
      <c r="AJ763">
        <f>IF([3]Entry!$L$766="","",[3]Entry!$L$766)</f>
        <v/>
      </c>
      <c r="AK763">
        <f>IF([3]Entry!$M$766="","",[3]Entry!$M$766)</f>
        <v/>
      </c>
      <c r="AL763">
        <f>IF([3]Entry!$N$766="","",[3]Entry!$N$766)</f>
        <v/>
      </c>
      <c r="AM763">
        <f>IF([3]Entry!$R$766="","",[3]Entry!$R$766)</f>
        <v/>
      </c>
    </row>
    <row r="764">
      <c r="T764">
        <f>IF([2]Baskol!$B$767="","",[2]Baskol!$B$767)</f>
        <v/>
      </c>
      <c r="U764">
        <f>IF([2]Baskol!$C$767="","",[2]Baskol!$C$767)</f>
        <v/>
      </c>
      <c r="V764">
        <f>IF([2]Baskol!$D$767="","",[2]Baskol!$D$767)</f>
        <v/>
      </c>
      <c r="W764">
        <f>IF([2]Baskol!$E$767="","",[2]Baskol!$E$767)</f>
        <v/>
      </c>
      <c r="X764">
        <f>IF([2]Baskol!$G$767="","",[2]Baskol!$G$767)</f>
        <v/>
      </c>
      <c r="Y764">
        <f>IF([2]Baskol!$I$767="","",[2]Baskol!$I$767)</f>
        <v/>
      </c>
      <c r="Z764">
        <f>IF([2]Baskol!$J$767="","",[2]Baskol!$J$767)</f>
        <v/>
      </c>
      <c r="AA764">
        <f>IF([2]Baskol!$K$767="","",[2]Baskol!$K$767)</f>
        <v/>
      </c>
      <c r="AB764">
        <f>IF([2]Baskol!$L$767="","",[2]Baskol!$L$767)</f>
        <v/>
      </c>
      <c r="AC764">
        <f>IF([2]Baskol!$N$767="","",[2]Baskol!$N$767)</f>
        <v/>
      </c>
      <c r="AD764">
        <f>IF([2]Baskol!$O$767="","",[2]Baskol!$O$767)</f>
        <v/>
      </c>
      <c r="AE764">
        <f>IF([3]Entry!$C$767="","",[3]Entry!$C$767)</f>
        <v/>
      </c>
      <c r="AF764">
        <f>IF([3]Entry!$D$767="","",[3]Entry!$D$767)</f>
        <v/>
      </c>
      <c r="AG764">
        <f>IF([3]Entry!$E$767="","",[3]Entry!$E$767)</f>
        <v/>
      </c>
      <c r="AH764">
        <f>IF([3]Entry!$G$767="","",[3]Entry!$G$767)</f>
        <v/>
      </c>
      <c r="AI764">
        <f>IF([3]Entry!$K$767="","",[3]Entry!$K$767)</f>
        <v/>
      </c>
      <c r="AJ764">
        <f>IF([3]Entry!$L$767="","",[3]Entry!$L$767)</f>
        <v/>
      </c>
      <c r="AK764">
        <f>IF([3]Entry!$M$767="","",[3]Entry!$M$767)</f>
        <v/>
      </c>
      <c r="AL764">
        <f>IF([3]Entry!$N$767="","",[3]Entry!$N$767)</f>
        <v/>
      </c>
      <c r="AM764">
        <f>IF([3]Entry!$R$767="","",[3]Entry!$R$767)</f>
        <v/>
      </c>
    </row>
    <row r="765">
      <c r="T765">
        <f>IF([2]Baskol!$B$768="","",[2]Baskol!$B$768)</f>
        <v/>
      </c>
      <c r="U765">
        <f>IF([2]Baskol!$C$768="","",[2]Baskol!$C$768)</f>
        <v/>
      </c>
      <c r="V765">
        <f>IF([2]Baskol!$D$768="","",[2]Baskol!$D$768)</f>
        <v/>
      </c>
      <c r="W765">
        <f>IF([2]Baskol!$E$768="","",[2]Baskol!$E$768)</f>
        <v/>
      </c>
      <c r="X765">
        <f>IF([2]Baskol!$G$768="","",[2]Baskol!$G$768)</f>
        <v/>
      </c>
      <c r="Y765">
        <f>IF([2]Baskol!$I$768="","",[2]Baskol!$I$768)</f>
        <v/>
      </c>
      <c r="Z765">
        <f>IF([2]Baskol!$J$768="","",[2]Baskol!$J$768)</f>
        <v/>
      </c>
      <c r="AA765">
        <f>IF([2]Baskol!$K$768="","",[2]Baskol!$K$768)</f>
        <v/>
      </c>
      <c r="AB765">
        <f>IF([2]Baskol!$L$768="","",[2]Baskol!$L$768)</f>
        <v/>
      </c>
      <c r="AC765">
        <f>IF([2]Baskol!$N$768="","",[2]Baskol!$N$768)</f>
        <v/>
      </c>
      <c r="AD765">
        <f>IF([2]Baskol!$O$768="","",[2]Baskol!$O$768)</f>
        <v/>
      </c>
      <c r="AE765">
        <f>IF([3]Entry!$C$768="","",[3]Entry!$C$768)</f>
        <v/>
      </c>
      <c r="AF765">
        <f>IF([3]Entry!$D$768="","",[3]Entry!$D$768)</f>
        <v/>
      </c>
      <c r="AG765">
        <f>IF([3]Entry!$E$768="","",[3]Entry!$E$768)</f>
        <v/>
      </c>
      <c r="AH765">
        <f>IF([3]Entry!$G$768="","",[3]Entry!$G$768)</f>
        <v/>
      </c>
      <c r="AI765">
        <f>IF([3]Entry!$K$768="","",[3]Entry!$K$768)</f>
        <v/>
      </c>
      <c r="AJ765">
        <f>IF([3]Entry!$L$768="","",[3]Entry!$L$768)</f>
        <v/>
      </c>
      <c r="AK765">
        <f>IF([3]Entry!$M$768="","",[3]Entry!$M$768)</f>
        <v/>
      </c>
      <c r="AL765">
        <f>IF([3]Entry!$N$768="","",[3]Entry!$N$768)</f>
        <v/>
      </c>
      <c r="AM765">
        <f>IF([3]Entry!$R$768="","",[3]Entry!$R$768)</f>
        <v/>
      </c>
    </row>
    <row r="766">
      <c r="T766">
        <f>IF([2]Baskol!$B$769="","",[2]Baskol!$B$769)</f>
        <v/>
      </c>
      <c r="U766">
        <f>IF([2]Baskol!$C$769="","",[2]Baskol!$C$769)</f>
        <v/>
      </c>
      <c r="V766">
        <f>IF([2]Baskol!$D$769="","",[2]Baskol!$D$769)</f>
        <v/>
      </c>
      <c r="W766">
        <f>IF([2]Baskol!$E$769="","",[2]Baskol!$E$769)</f>
        <v/>
      </c>
      <c r="X766">
        <f>IF([2]Baskol!$G$769="","",[2]Baskol!$G$769)</f>
        <v/>
      </c>
      <c r="Y766">
        <f>IF([2]Baskol!$I$769="","",[2]Baskol!$I$769)</f>
        <v/>
      </c>
      <c r="Z766">
        <f>IF([2]Baskol!$J$769="","",[2]Baskol!$J$769)</f>
        <v/>
      </c>
      <c r="AA766">
        <f>IF([2]Baskol!$K$769="","",[2]Baskol!$K$769)</f>
        <v/>
      </c>
      <c r="AB766">
        <f>IF([2]Baskol!$L$769="","",[2]Baskol!$L$769)</f>
        <v/>
      </c>
      <c r="AC766">
        <f>IF([2]Baskol!$N$769="","",[2]Baskol!$N$769)</f>
        <v/>
      </c>
      <c r="AD766">
        <f>IF([2]Baskol!$O$769="","",[2]Baskol!$O$769)</f>
        <v/>
      </c>
      <c r="AE766">
        <f>IF([3]Entry!$C$769="","",[3]Entry!$C$769)</f>
        <v/>
      </c>
      <c r="AF766">
        <f>IF([3]Entry!$D$769="","",[3]Entry!$D$769)</f>
        <v/>
      </c>
      <c r="AG766">
        <f>IF([3]Entry!$E$769="","",[3]Entry!$E$769)</f>
        <v/>
      </c>
      <c r="AH766">
        <f>IF([3]Entry!$G$769="","",[3]Entry!$G$769)</f>
        <v/>
      </c>
      <c r="AI766">
        <f>IF([3]Entry!$K$769="","",[3]Entry!$K$769)</f>
        <v/>
      </c>
      <c r="AJ766">
        <f>IF([3]Entry!$L$769="","",[3]Entry!$L$769)</f>
        <v/>
      </c>
      <c r="AK766">
        <f>IF([3]Entry!$M$769="","",[3]Entry!$M$769)</f>
        <v/>
      </c>
      <c r="AL766">
        <f>IF([3]Entry!$N$769="","",[3]Entry!$N$769)</f>
        <v/>
      </c>
      <c r="AM766">
        <f>IF([3]Entry!$R$769="","",[3]Entry!$R$769)</f>
        <v/>
      </c>
    </row>
    <row r="767">
      <c r="T767">
        <f>IF([2]Baskol!$B$770="","",[2]Baskol!$B$770)</f>
        <v/>
      </c>
      <c r="U767">
        <f>IF([2]Baskol!$C$770="","",[2]Baskol!$C$770)</f>
        <v/>
      </c>
      <c r="V767">
        <f>IF([2]Baskol!$D$770="","",[2]Baskol!$D$770)</f>
        <v/>
      </c>
      <c r="W767">
        <f>IF([2]Baskol!$E$770="","",[2]Baskol!$E$770)</f>
        <v/>
      </c>
      <c r="X767">
        <f>IF([2]Baskol!$G$770="","",[2]Baskol!$G$770)</f>
        <v/>
      </c>
      <c r="Y767">
        <f>IF([2]Baskol!$I$770="","",[2]Baskol!$I$770)</f>
        <v/>
      </c>
      <c r="Z767">
        <f>IF([2]Baskol!$J$770="","",[2]Baskol!$J$770)</f>
        <v/>
      </c>
      <c r="AA767">
        <f>IF([2]Baskol!$K$770="","",[2]Baskol!$K$770)</f>
        <v/>
      </c>
      <c r="AB767">
        <f>IF([2]Baskol!$L$770="","",[2]Baskol!$L$770)</f>
        <v/>
      </c>
      <c r="AC767">
        <f>IF([2]Baskol!$N$770="","",[2]Baskol!$N$770)</f>
        <v/>
      </c>
      <c r="AD767">
        <f>IF([2]Baskol!$O$770="","",[2]Baskol!$O$770)</f>
        <v/>
      </c>
      <c r="AE767">
        <f>IF([3]Entry!$C$770="","",[3]Entry!$C$770)</f>
        <v/>
      </c>
      <c r="AF767">
        <f>IF([3]Entry!$D$770="","",[3]Entry!$D$770)</f>
        <v/>
      </c>
      <c r="AG767">
        <f>IF([3]Entry!$E$770="","",[3]Entry!$E$770)</f>
        <v/>
      </c>
      <c r="AH767">
        <f>IF([3]Entry!$G$770="","",[3]Entry!$G$770)</f>
        <v/>
      </c>
      <c r="AI767">
        <f>IF([3]Entry!$K$770="","",[3]Entry!$K$770)</f>
        <v/>
      </c>
      <c r="AJ767">
        <f>IF([3]Entry!$L$770="","",[3]Entry!$L$770)</f>
        <v/>
      </c>
      <c r="AK767">
        <f>IF([3]Entry!$M$770="","",[3]Entry!$M$770)</f>
        <v/>
      </c>
      <c r="AL767">
        <f>IF([3]Entry!$N$770="","",[3]Entry!$N$770)</f>
        <v/>
      </c>
      <c r="AM767">
        <f>IF([3]Entry!$R$770="","",[3]Entry!$R$770)</f>
        <v/>
      </c>
    </row>
    <row r="768">
      <c r="T768">
        <f>IF([2]Baskol!$B$771="","",[2]Baskol!$B$771)</f>
        <v/>
      </c>
      <c r="U768">
        <f>IF([2]Baskol!$C$771="","",[2]Baskol!$C$771)</f>
        <v/>
      </c>
      <c r="V768">
        <f>IF([2]Baskol!$D$771="","",[2]Baskol!$D$771)</f>
        <v/>
      </c>
      <c r="W768">
        <f>IF([2]Baskol!$E$771="","",[2]Baskol!$E$771)</f>
        <v/>
      </c>
      <c r="X768">
        <f>IF([2]Baskol!$G$771="","",[2]Baskol!$G$771)</f>
        <v/>
      </c>
      <c r="Y768">
        <f>IF([2]Baskol!$I$771="","",[2]Baskol!$I$771)</f>
        <v/>
      </c>
      <c r="Z768">
        <f>IF([2]Baskol!$J$771="","",[2]Baskol!$J$771)</f>
        <v/>
      </c>
      <c r="AA768">
        <f>IF([2]Baskol!$K$771="","",[2]Baskol!$K$771)</f>
        <v/>
      </c>
      <c r="AB768">
        <f>IF([2]Baskol!$L$771="","",[2]Baskol!$L$771)</f>
        <v/>
      </c>
      <c r="AC768">
        <f>IF([2]Baskol!$N$771="","",[2]Baskol!$N$771)</f>
        <v/>
      </c>
      <c r="AD768">
        <f>IF([2]Baskol!$O$771="","",[2]Baskol!$O$771)</f>
        <v/>
      </c>
      <c r="AE768">
        <f>IF([3]Entry!$C$771="","",[3]Entry!$C$771)</f>
        <v/>
      </c>
      <c r="AF768">
        <f>IF([3]Entry!$D$771="","",[3]Entry!$D$771)</f>
        <v/>
      </c>
      <c r="AG768">
        <f>IF([3]Entry!$E$771="","",[3]Entry!$E$771)</f>
        <v/>
      </c>
      <c r="AH768">
        <f>IF([3]Entry!$G$771="","",[3]Entry!$G$771)</f>
        <v/>
      </c>
      <c r="AI768">
        <f>IF([3]Entry!$K$771="","",[3]Entry!$K$771)</f>
        <v/>
      </c>
      <c r="AJ768">
        <f>IF([3]Entry!$L$771="","",[3]Entry!$L$771)</f>
        <v/>
      </c>
      <c r="AK768">
        <f>IF([3]Entry!$M$771="","",[3]Entry!$M$771)</f>
        <v/>
      </c>
      <c r="AL768">
        <f>IF([3]Entry!$N$771="","",[3]Entry!$N$771)</f>
        <v/>
      </c>
      <c r="AM768">
        <f>IF([3]Entry!$R$771="","",[3]Entry!$R$771)</f>
        <v/>
      </c>
    </row>
    <row r="769">
      <c r="T769">
        <f>IF([2]Baskol!$B$772="","",[2]Baskol!$B$772)</f>
        <v/>
      </c>
      <c r="U769">
        <f>IF([2]Baskol!$C$772="","",[2]Baskol!$C$772)</f>
        <v/>
      </c>
      <c r="V769">
        <f>IF([2]Baskol!$D$772="","",[2]Baskol!$D$772)</f>
        <v/>
      </c>
      <c r="W769">
        <f>IF([2]Baskol!$E$772="","",[2]Baskol!$E$772)</f>
        <v/>
      </c>
      <c r="X769">
        <f>IF([2]Baskol!$G$772="","",[2]Baskol!$G$772)</f>
        <v/>
      </c>
      <c r="Y769">
        <f>IF([2]Baskol!$I$772="","",[2]Baskol!$I$772)</f>
        <v/>
      </c>
      <c r="Z769">
        <f>IF([2]Baskol!$J$772="","",[2]Baskol!$J$772)</f>
        <v/>
      </c>
      <c r="AA769">
        <f>IF([2]Baskol!$K$772="","",[2]Baskol!$K$772)</f>
        <v/>
      </c>
      <c r="AB769">
        <f>IF([2]Baskol!$L$772="","",[2]Baskol!$L$772)</f>
        <v/>
      </c>
      <c r="AC769">
        <f>IF([2]Baskol!$N$772="","",[2]Baskol!$N$772)</f>
        <v/>
      </c>
      <c r="AD769">
        <f>IF([2]Baskol!$O$772="","",[2]Baskol!$O$772)</f>
        <v/>
      </c>
      <c r="AE769">
        <f>IF([3]Entry!$C$772="","",[3]Entry!$C$772)</f>
        <v/>
      </c>
      <c r="AF769">
        <f>IF([3]Entry!$D$772="","",[3]Entry!$D$772)</f>
        <v/>
      </c>
      <c r="AG769">
        <f>IF([3]Entry!$E$772="","",[3]Entry!$E$772)</f>
        <v/>
      </c>
      <c r="AH769">
        <f>IF([3]Entry!$G$772="","",[3]Entry!$G$772)</f>
        <v/>
      </c>
      <c r="AI769">
        <f>IF([3]Entry!$K$772="","",[3]Entry!$K$772)</f>
        <v/>
      </c>
      <c r="AJ769">
        <f>IF([3]Entry!$L$772="","",[3]Entry!$L$772)</f>
        <v/>
      </c>
      <c r="AK769">
        <f>IF([3]Entry!$M$772="","",[3]Entry!$M$772)</f>
        <v/>
      </c>
      <c r="AL769">
        <f>IF([3]Entry!$N$772="","",[3]Entry!$N$772)</f>
        <v/>
      </c>
      <c r="AM769">
        <f>IF([3]Entry!$R$772="","",[3]Entry!$R$772)</f>
        <v/>
      </c>
    </row>
    <row r="770">
      <c r="T770">
        <f>IF([2]Baskol!$B$773="","",[2]Baskol!$B$773)</f>
        <v/>
      </c>
      <c r="U770">
        <f>IF([2]Baskol!$C$773="","",[2]Baskol!$C$773)</f>
        <v/>
      </c>
      <c r="V770">
        <f>IF([2]Baskol!$D$773="","",[2]Baskol!$D$773)</f>
        <v/>
      </c>
      <c r="W770">
        <f>IF([2]Baskol!$E$773="","",[2]Baskol!$E$773)</f>
        <v/>
      </c>
      <c r="X770">
        <f>IF([2]Baskol!$G$773="","",[2]Baskol!$G$773)</f>
        <v/>
      </c>
      <c r="Y770">
        <f>IF([2]Baskol!$I$773="","",[2]Baskol!$I$773)</f>
        <v/>
      </c>
      <c r="Z770">
        <f>IF([2]Baskol!$J$773="","",[2]Baskol!$J$773)</f>
        <v/>
      </c>
      <c r="AA770">
        <f>IF([2]Baskol!$K$773="","",[2]Baskol!$K$773)</f>
        <v/>
      </c>
      <c r="AB770">
        <f>IF([2]Baskol!$L$773="","",[2]Baskol!$L$773)</f>
        <v/>
      </c>
      <c r="AC770">
        <f>IF([2]Baskol!$N$773="","",[2]Baskol!$N$773)</f>
        <v/>
      </c>
      <c r="AD770">
        <f>IF([2]Baskol!$O$773="","",[2]Baskol!$O$773)</f>
        <v/>
      </c>
      <c r="AE770">
        <f>IF([3]Entry!$C$773="","",[3]Entry!$C$773)</f>
        <v/>
      </c>
      <c r="AF770">
        <f>IF([3]Entry!$D$773="","",[3]Entry!$D$773)</f>
        <v/>
      </c>
      <c r="AG770">
        <f>IF([3]Entry!$E$773="","",[3]Entry!$E$773)</f>
        <v/>
      </c>
      <c r="AH770">
        <f>IF([3]Entry!$G$773="","",[3]Entry!$G$773)</f>
        <v/>
      </c>
      <c r="AI770">
        <f>IF([3]Entry!$K$773="","",[3]Entry!$K$773)</f>
        <v/>
      </c>
      <c r="AJ770">
        <f>IF([3]Entry!$L$773="","",[3]Entry!$L$773)</f>
        <v/>
      </c>
      <c r="AK770">
        <f>IF([3]Entry!$M$773="","",[3]Entry!$M$773)</f>
        <v/>
      </c>
      <c r="AL770">
        <f>IF([3]Entry!$N$773="","",[3]Entry!$N$773)</f>
        <v/>
      </c>
      <c r="AM770">
        <f>IF([3]Entry!$R$773="","",[3]Entry!$R$773)</f>
        <v/>
      </c>
    </row>
    <row r="771">
      <c r="T771">
        <f>IF([2]Baskol!$B$774="","",[2]Baskol!$B$774)</f>
        <v/>
      </c>
      <c r="U771">
        <f>IF([2]Baskol!$C$774="","",[2]Baskol!$C$774)</f>
        <v/>
      </c>
      <c r="V771">
        <f>IF([2]Baskol!$D$774="","",[2]Baskol!$D$774)</f>
        <v/>
      </c>
      <c r="W771">
        <f>IF([2]Baskol!$E$774="","",[2]Baskol!$E$774)</f>
        <v/>
      </c>
      <c r="X771">
        <f>IF([2]Baskol!$G$774="","",[2]Baskol!$G$774)</f>
        <v/>
      </c>
      <c r="Y771">
        <f>IF([2]Baskol!$I$774="","",[2]Baskol!$I$774)</f>
        <v/>
      </c>
      <c r="Z771">
        <f>IF([2]Baskol!$J$774="","",[2]Baskol!$J$774)</f>
        <v/>
      </c>
      <c r="AA771">
        <f>IF([2]Baskol!$K$774="","",[2]Baskol!$K$774)</f>
        <v/>
      </c>
      <c r="AB771">
        <f>IF([2]Baskol!$L$774="","",[2]Baskol!$L$774)</f>
        <v/>
      </c>
      <c r="AC771">
        <f>IF([2]Baskol!$N$774="","",[2]Baskol!$N$774)</f>
        <v/>
      </c>
      <c r="AD771">
        <f>IF([2]Baskol!$O$774="","",[2]Baskol!$O$774)</f>
        <v/>
      </c>
      <c r="AE771">
        <f>IF([3]Entry!$C$774="","",[3]Entry!$C$774)</f>
        <v/>
      </c>
      <c r="AF771">
        <f>IF([3]Entry!$D$774="","",[3]Entry!$D$774)</f>
        <v/>
      </c>
      <c r="AG771">
        <f>IF([3]Entry!$E$774="","",[3]Entry!$E$774)</f>
        <v/>
      </c>
      <c r="AH771">
        <f>IF([3]Entry!$G$774="","",[3]Entry!$G$774)</f>
        <v/>
      </c>
      <c r="AI771">
        <f>IF([3]Entry!$K$774="","",[3]Entry!$K$774)</f>
        <v/>
      </c>
      <c r="AJ771">
        <f>IF([3]Entry!$L$774="","",[3]Entry!$L$774)</f>
        <v/>
      </c>
      <c r="AK771">
        <f>IF([3]Entry!$M$774="","",[3]Entry!$M$774)</f>
        <v/>
      </c>
      <c r="AL771">
        <f>IF([3]Entry!$N$774="","",[3]Entry!$N$774)</f>
        <v/>
      </c>
      <c r="AM771">
        <f>IF([3]Entry!$R$774="","",[3]Entry!$R$774)</f>
        <v/>
      </c>
    </row>
    <row r="772">
      <c r="T772">
        <f>IF([2]Baskol!$B$775="","",[2]Baskol!$B$775)</f>
        <v/>
      </c>
      <c r="U772">
        <f>IF([2]Baskol!$C$775="","",[2]Baskol!$C$775)</f>
        <v/>
      </c>
      <c r="V772">
        <f>IF([2]Baskol!$D$775="","",[2]Baskol!$D$775)</f>
        <v/>
      </c>
      <c r="W772">
        <f>IF([2]Baskol!$E$775="","",[2]Baskol!$E$775)</f>
        <v/>
      </c>
      <c r="X772">
        <f>IF([2]Baskol!$G$775="","",[2]Baskol!$G$775)</f>
        <v/>
      </c>
      <c r="Y772">
        <f>IF([2]Baskol!$I$775="","",[2]Baskol!$I$775)</f>
        <v/>
      </c>
      <c r="Z772">
        <f>IF([2]Baskol!$J$775="","",[2]Baskol!$J$775)</f>
        <v/>
      </c>
      <c r="AA772">
        <f>IF([2]Baskol!$K$775="","",[2]Baskol!$K$775)</f>
        <v/>
      </c>
      <c r="AB772">
        <f>IF([2]Baskol!$L$775="","",[2]Baskol!$L$775)</f>
        <v/>
      </c>
      <c r="AC772">
        <f>IF([2]Baskol!$N$775="","",[2]Baskol!$N$775)</f>
        <v/>
      </c>
      <c r="AD772">
        <f>IF([2]Baskol!$O$775="","",[2]Baskol!$O$775)</f>
        <v/>
      </c>
      <c r="AE772">
        <f>IF([3]Entry!$C$775="","",[3]Entry!$C$775)</f>
        <v/>
      </c>
      <c r="AF772">
        <f>IF([3]Entry!$D$775="","",[3]Entry!$D$775)</f>
        <v/>
      </c>
      <c r="AG772">
        <f>IF([3]Entry!$E$775="","",[3]Entry!$E$775)</f>
        <v/>
      </c>
      <c r="AH772">
        <f>IF([3]Entry!$G$775="","",[3]Entry!$G$775)</f>
        <v/>
      </c>
      <c r="AI772">
        <f>IF([3]Entry!$K$775="","",[3]Entry!$K$775)</f>
        <v/>
      </c>
      <c r="AJ772">
        <f>IF([3]Entry!$L$775="","",[3]Entry!$L$775)</f>
        <v/>
      </c>
      <c r="AK772">
        <f>IF([3]Entry!$M$775="","",[3]Entry!$M$775)</f>
        <v/>
      </c>
      <c r="AL772">
        <f>IF([3]Entry!$N$775="","",[3]Entry!$N$775)</f>
        <v/>
      </c>
      <c r="AM772">
        <f>IF([3]Entry!$R$775="","",[3]Entry!$R$775)</f>
        <v/>
      </c>
    </row>
    <row r="773">
      <c r="T773">
        <f>IF([2]Baskol!$B$776="","",[2]Baskol!$B$776)</f>
        <v/>
      </c>
      <c r="U773">
        <f>IF([2]Baskol!$C$776="","",[2]Baskol!$C$776)</f>
        <v/>
      </c>
      <c r="V773">
        <f>IF([2]Baskol!$D$776="","",[2]Baskol!$D$776)</f>
        <v/>
      </c>
      <c r="W773">
        <f>IF([2]Baskol!$E$776="","",[2]Baskol!$E$776)</f>
        <v/>
      </c>
      <c r="X773">
        <f>IF([2]Baskol!$G$776="","",[2]Baskol!$G$776)</f>
        <v/>
      </c>
      <c r="Y773">
        <f>IF([2]Baskol!$I$776="","",[2]Baskol!$I$776)</f>
        <v/>
      </c>
      <c r="Z773">
        <f>IF([2]Baskol!$J$776="","",[2]Baskol!$J$776)</f>
        <v/>
      </c>
      <c r="AA773">
        <f>IF([2]Baskol!$K$776="","",[2]Baskol!$K$776)</f>
        <v/>
      </c>
      <c r="AB773">
        <f>IF([2]Baskol!$L$776="","",[2]Baskol!$L$776)</f>
        <v/>
      </c>
      <c r="AC773">
        <f>IF([2]Baskol!$N$776="","",[2]Baskol!$N$776)</f>
        <v/>
      </c>
      <c r="AD773">
        <f>IF([2]Baskol!$O$776="","",[2]Baskol!$O$776)</f>
        <v/>
      </c>
      <c r="AE773">
        <f>IF([3]Entry!$C$776="","",[3]Entry!$C$776)</f>
        <v/>
      </c>
      <c r="AF773">
        <f>IF([3]Entry!$D$776="","",[3]Entry!$D$776)</f>
        <v/>
      </c>
      <c r="AG773">
        <f>IF([3]Entry!$E$776="","",[3]Entry!$E$776)</f>
        <v/>
      </c>
      <c r="AH773">
        <f>IF([3]Entry!$G$776="","",[3]Entry!$G$776)</f>
        <v/>
      </c>
      <c r="AI773">
        <f>IF([3]Entry!$K$776="","",[3]Entry!$K$776)</f>
        <v/>
      </c>
      <c r="AJ773">
        <f>IF([3]Entry!$L$776="","",[3]Entry!$L$776)</f>
        <v/>
      </c>
      <c r="AK773">
        <f>IF([3]Entry!$M$776="","",[3]Entry!$M$776)</f>
        <v/>
      </c>
      <c r="AL773">
        <f>IF([3]Entry!$N$776="","",[3]Entry!$N$776)</f>
        <v/>
      </c>
      <c r="AM773">
        <f>IF([3]Entry!$R$776="","",[3]Entry!$R$776)</f>
        <v/>
      </c>
    </row>
    <row r="774">
      <c r="T774">
        <f>IF([2]Baskol!$B$777="","",[2]Baskol!$B$777)</f>
        <v/>
      </c>
      <c r="U774">
        <f>IF([2]Baskol!$C$777="","",[2]Baskol!$C$777)</f>
        <v/>
      </c>
      <c r="V774">
        <f>IF([2]Baskol!$D$777="","",[2]Baskol!$D$777)</f>
        <v/>
      </c>
      <c r="W774">
        <f>IF([2]Baskol!$E$777="","",[2]Baskol!$E$777)</f>
        <v/>
      </c>
      <c r="X774">
        <f>IF([2]Baskol!$G$777="","",[2]Baskol!$G$777)</f>
        <v/>
      </c>
      <c r="Y774">
        <f>IF([2]Baskol!$I$777="","",[2]Baskol!$I$777)</f>
        <v/>
      </c>
      <c r="Z774">
        <f>IF([2]Baskol!$J$777="","",[2]Baskol!$J$777)</f>
        <v/>
      </c>
      <c r="AA774">
        <f>IF([2]Baskol!$K$777="","",[2]Baskol!$K$777)</f>
        <v/>
      </c>
      <c r="AB774">
        <f>IF([2]Baskol!$L$777="","",[2]Baskol!$L$777)</f>
        <v/>
      </c>
      <c r="AC774">
        <f>IF([2]Baskol!$N$777="","",[2]Baskol!$N$777)</f>
        <v/>
      </c>
      <c r="AD774">
        <f>IF([2]Baskol!$O$777="","",[2]Baskol!$O$777)</f>
        <v/>
      </c>
      <c r="AE774">
        <f>IF([3]Entry!$C$777="","",[3]Entry!$C$777)</f>
        <v/>
      </c>
      <c r="AF774">
        <f>IF([3]Entry!$D$777="","",[3]Entry!$D$777)</f>
        <v/>
      </c>
      <c r="AG774">
        <f>IF([3]Entry!$E$777="","",[3]Entry!$E$777)</f>
        <v/>
      </c>
      <c r="AH774">
        <f>IF([3]Entry!$G$777="","",[3]Entry!$G$777)</f>
        <v/>
      </c>
      <c r="AI774">
        <f>IF([3]Entry!$K$777="","",[3]Entry!$K$777)</f>
        <v/>
      </c>
      <c r="AJ774">
        <f>IF([3]Entry!$L$777="","",[3]Entry!$L$777)</f>
        <v/>
      </c>
      <c r="AK774">
        <f>IF([3]Entry!$M$777="","",[3]Entry!$M$777)</f>
        <v/>
      </c>
      <c r="AL774">
        <f>IF([3]Entry!$N$777="","",[3]Entry!$N$777)</f>
        <v/>
      </c>
      <c r="AM774">
        <f>IF([3]Entry!$R$777="","",[3]Entry!$R$777)</f>
        <v/>
      </c>
    </row>
    <row r="775">
      <c r="T775">
        <f>IF([2]Baskol!$B$778="","",[2]Baskol!$B$778)</f>
        <v/>
      </c>
      <c r="U775">
        <f>IF([2]Baskol!$C$778="","",[2]Baskol!$C$778)</f>
        <v/>
      </c>
      <c r="V775">
        <f>IF([2]Baskol!$D$778="","",[2]Baskol!$D$778)</f>
        <v/>
      </c>
      <c r="W775">
        <f>IF([2]Baskol!$E$778="","",[2]Baskol!$E$778)</f>
        <v/>
      </c>
      <c r="X775">
        <f>IF([2]Baskol!$G$778="","",[2]Baskol!$G$778)</f>
        <v/>
      </c>
      <c r="Y775">
        <f>IF([2]Baskol!$I$778="","",[2]Baskol!$I$778)</f>
        <v/>
      </c>
      <c r="Z775">
        <f>IF([2]Baskol!$J$778="","",[2]Baskol!$J$778)</f>
        <v/>
      </c>
      <c r="AA775">
        <f>IF([2]Baskol!$K$778="","",[2]Baskol!$K$778)</f>
        <v/>
      </c>
      <c r="AB775">
        <f>IF([2]Baskol!$L$778="","",[2]Baskol!$L$778)</f>
        <v/>
      </c>
      <c r="AC775">
        <f>IF([2]Baskol!$N$778="","",[2]Baskol!$N$778)</f>
        <v/>
      </c>
      <c r="AD775">
        <f>IF([2]Baskol!$O$778="","",[2]Baskol!$O$778)</f>
        <v/>
      </c>
      <c r="AE775">
        <f>IF([3]Entry!$C$778="","",[3]Entry!$C$778)</f>
        <v/>
      </c>
      <c r="AF775">
        <f>IF([3]Entry!$D$778="","",[3]Entry!$D$778)</f>
        <v/>
      </c>
      <c r="AG775">
        <f>IF([3]Entry!$E$778="","",[3]Entry!$E$778)</f>
        <v/>
      </c>
      <c r="AH775">
        <f>IF([3]Entry!$G$778="","",[3]Entry!$G$778)</f>
        <v/>
      </c>
      <c r="AI775">
        <f>IF([3]Entry!$K$778="","",[3]Entry!$K$778)</f>
        <v/>
      </c>
      <c r="AJ775">
        <f>IF([3]Entry!$L$778="","",[3]Entry!$L$778)</f>
        <v/>
      </c>
      <c r="AK775">
        <f>IF([3]Entry!$M$778="","",[3]Entry!$M$778)</f>
        <v/>
      </c>
      <c r="AL775">
        <f>IF([3]Entry!$N$778="","",[3]Entry!$N$778)</f>
        <v/>
      </c>
      <c r="AM775">
        <f>IF([3]Entry!$R$778="","",[3]Entry!$R$778)</f>
        <v/>
      </c>
    </row>
    <row r="776">
      <c r="T776">
        <f>IF([2]Baskol!$B$779="","",[2]Baskol!$B$779)</f>
        <v/>
      </c>
      <c r="U776">
        <f>IF([2]Baskol!$C$779="","",[2]Baskol!$C$779)</f>
        <v/>
      </c>
      <c r="V776">
        <f>IF([2]Baskol!$D$779="","",[2]Baskol!$D$779)</f>
        <v/>
      </c>
      <c r="W776">
        <f>IF([2]Baskol!$E$779="","",[2]Baskol!$E$779)</f>
        <v/>
      </c>
      <c r="X776">
        <f>IF([2]Baskol!$G$779="","",[2]Baskol!$G$779)</f>
        <v/>
      </c>
      <c r="Y776">
        <f>IF([2]Baskol!$I$779="","",[2]Baskol!$I$779)</f>
        <v/>
      </c>
      <c r="Z776">
        <f>IF([2]Baskol!$J$779="","",[2]Baskol!$J$779)</f>
        <v/>
      </c>
      <c r="AA776">
        <f>IF([2]Baskol!$K$779="","",[2]Baskol!$K$779)</f>
        <v/>
      </c>
      <c r="AB776">
        <f>IF([2]Baskol!$L$779="","",[2]Baskol!$L$779)</f>
        <v/>
      </c>
      <c r="AC776">
        <f>IF([2]Baskol!$N$779="","",[2]Baskol!$N$779)</f>
        <v/>
      </c>
      <c r="AD776">
        <f>IF([2]Baskol!$O$779="","",[2]Baskol!$O$779)</f>
        <v/>
      </c>
      <c r="AE776">
        <f>IF([3]Entry!$C$779="","",[3]Entry!$C$779)</f>
        <v/>
      </c>
      <c r="AF776">
        <f>IF([3]Entry!$D$779="","",[3]Entry!$D$779)</f>
        <v/>
      </c>
      <c r="AG776">
        <f>IF([3]Entry!$E$779="","",[3]Entry!$E$779)</f>
        <v/>
      </c>
      <c r="AH776">
        <f>IF([3]Entry!$G$779="","",[3]Entry!$G$779)</f>
        <v/>
      </c>
      <c r="AI776">
        <f>IF([3]Entry!$K$779="","",[3]Entry!$K$779)</f>
        <v/>
      </c>
      <c r="AJ776">
        <f>IF([3]Entry!$L$779="","",[3]Entry!$L$779)</f>
        <v/>
      </c>
      <c r="AK776">
        <f>IF([3]Entry!$M$779="","",[3]Entry!$M$779)</f>
        <v/>
      </c>
      <c r="AL776">
        <f>IF([3]Entry!$N$779="","",[3]Entry!$N$779)</f>
        <v/>
      </c>
      <c r="AM776">
        <f>IF([3]Entry!$R$779="","",[3]Entry!$R$779)</f>
        <v/>
      </c>
    </row>
    <row r="777">
      <c r="T777">
        <f>IF([2]Baskol!$B$780="","",[2]Baskol!$B$780)</f>
        <v/>
      </c>
      <c r="U777">
        <f>IF([2]Baskol!$C$780="","",[2]Baskol!$C$780)</f>
        <v/>
      </c>
      <c r="V777">
        <f>IF([2]Baskol!$D$780="","",[2]Baskol!$D$780)</f>
        <v/>
      </c>
      <c r="W777">
        <f>IF([2]Baskol!$E$780="","",[2]Baskol!$E$780)</f>
        <v/>
      </c>
      <c r="X777">
        <f>IF([2]Baskol!$G$780="","",[2]Baskol!$G$780)</f>
        <v/>
      </c>
      <c r="Y777">
        <f>IF([2]Baskol!$I$780="","",[2]Baskol!$I$780)</f>
        <v/>
      </c>
      <c r="Z777">
        <f>IF([2]Baskol!$J$780="","",[2]Baskol!$J$780)</f>
        <v/>
      </c>
      <c r="AA777">
        <f>IF([2]Baskol!$K$780="","",[2]Baskol!$K$780)</f>
        <v/>
      </c>
      <c r="AB777">
        <f>IF([2]Baskol!$L$780="","",[2]Baskol!$L$780)</f>
        <v/>
      </c>
      <c r="AC777">
        <f>IF([2]Baskol!$N$780="","",[2]Baskol!$N$780)</f>
        <v/>
      </c>
      <c r="AD777">
        <f>IF([2]Baskol!$O$780="","",[2]Baskol!$O$780)</f>
        <v/>
      </c>
      <c r="AE777">
        <f>IF([3]Entry!$C$780="","",[3]Entry!$C$780)</f>
        <v/>
      </c>
      <c r="AF777">
        <f>IF([3]Entry!$D$780="","",[3]Entry!$D$780)</f>
        <v/>
      </c>
      <c r="AG777">
        <f>IF([3]Entry!$E$780="","",[3]Entry!$E$780)</f>
        <v/>
      </c>
      <c r="AH777">
        <f>IF([3]Entry!$G$780="","",[3]Entry!$G$780)</f>
        <v/>
      </c>
      <c r="AI777">
        <f>IF([3]Entry!$K$780="","",[3]Entry!$K$780)</f>
        <v/>
      </c>
      <c r="AJ777">
        <f>IF([3]Entry!$L$780="","",[3]Entry!$L$780)</f>
        <v/>
      </c>
      <c r="AK777">
        <f>IF([3]Entry!$M$780="","",[3]Entry!$M$780)</f>
        <v/>
      </c>
      <c r="AL777">
        <f>IF([3]Entry!$N$780="","",[3]Entry!$N$780)</f>
        <v/>
      </c>
      <c r="AM777">
        <f>IF([3]Entry!$R$780="","",[3]Entry!$R$780)</f>
        <v/>
      </c>
    </row>
    <row r="778">
      <c r="T778">
        <f>IF([2]Baskol!$B$781="","",[2]Baskol!$B$781)</f>
        <v/>
      </c>
      <c r="U778">
        <f>IF([2]Baskol!$C$781="","",[2]Baskol!$C$781)</f>
        <v/>
      </c>
      <c r="V778">
        <f>IF([2]Baskol!$D$781="","",[2]Baskol!$D$781)</f>
        <v/>
      </c>
      <c r="W778">
        <f>IF([2]Baskol!$E$781="","",[2]Baskol!$E$781)</f>
        <v/>
      </c>
      <c r="X778">
        <f>IF([2]Baskol!$G$781="","",[2]Baskol!$G$781)</f>
        <v/>
      </c>
      <c r="Y778">
        <f>IF([2]Baskol!$I$781="","",[2]Baskol!$I$781)</f>
        <v/>
      </c>
      <c r="Z778">
        <f>IF([2]Baskol!$J$781="","",[2]Baskol!$J$781)</f>
        <v/>
      </c>
      <c r="AA778">
        <f>IF([2]Baskol!$K$781="","",[2]Baskol!$K$781)</f>
        <v/>
      </c>
      <c r="AB778">
        <f>IF([2]Baskol!$L$781="","",[2]Baskol!$L$781)</f>
        <v/>
      </c>
      <c r="AC778">
        <f>IF([2]Baskol!$N$781="","",[2]Baskol!$N$781)</f>
        <v/>
      </c>
      <c r="AD778">
        <f>IF([2]Baskol!$O$781="","",[2]Baskol!$O$781)</f>
        <v/>
      </c>
      <c r="AE778">
        <f>IF([3]Entry!$C$781="","",[3]Entry!$C$781)</f>
        <v/>
      </c>
      <c r="AF778">
        <f>IF([3]Entry!$D$781="","",[3]Entry!$D$781)</f>
        <v/>
      </c>
      <c r="AG778">
        <f>IF([3]Entry!$E$781="","",[3]Entry!$E$781)</f>
        <v/>
      </c>
      <c r="AH778">
        <f>IF([3]Entry!$G$781="","",[3]Entry!$G$781)</f>
        <v/>
      </c>
      <c r="AI778">
        <f>IF([3]Entry!$K$781="","",[3]Entry!$K$781)</f>
        <v/>
      </c>
      <c r="AJ778">
        <f>IF([3]Entry!$L$781="","",[3]Entry!$L$781)</f>
        <v/>
      </c>
      <c r="AK778">
        <f>IF([3]Entry!$M$781="","",[3]Entry!$M$781)</f>
        <v/>
      </c>
      <c r="AL778">
        <f>IF([3]Entry!$N$781="","",[3]Entry!$N$781)</f>
        <v/>
      </c>
      <c r="AM778">
        <f>IF([3]Entry!$R$781="","",[3]Entry!$R$781)</f>
        <v/>
      </c>
    </row>
    <row r="779">
      <c r="T779">
        <f>IF([2]Baskol!$B$782="","",[2]Baskol!$B$782)</f>
        <v/>
      </c>
      <c r="U779">
        <f>IF([2]Baskol!$C$782="","",[2]Baskol!$C$782)</f>
        <v/>
      </c>
      <c r="V779">
        <f>IF([2]Baskol!$D$782="","",[2]Baskol!$D$782)</f>
        <v/>
      </c>
      <c r="W779">
        <f>IF([2]Baskol!$E$782="","",[2]Baskol!$E$782)</f>
        <v/>
      </c>
      <c r="X779">
        <f>IF([2]Baskol!$G$782="","",[2]Baskol!$G$782)</f>
        <v/>
      </c>
      <c r="Y779">
        <f>IF([2]Baskol!$I$782="","",[2]Baskol!$I$782)</f>
        <v/>
      </c>
      <c r="Z779">
        <f>IF([2]Baskol!$J$782="","",[2]Baskol!$J$782)</f>
        <v/>
      </c>
      <c r="AA779">
        <f>IF([2]Baskol!$K$782="","",[2]Baskol!$K$782)</f>
        <v/>
      </c>
      <c r="AB779">
        <f>IF([2]Baskol!$L$782="","",[2]Baskol!$L$782)</f>
        <v/>
      </c>
      <c r="AC779">
        <f>IF([2]Baskol!$N$782="","",[2]Baskol!$N$782)</f>
        <v/>
      </c>
      <c r="AD779">
        <f>IF([2]Baskol!$O$782="","",[2]Baskol!$O$782)</f>
        <v/>
      </c>
      <c r="AE779">
        <f>IF([3]Entry!$C$782="","",[3]Entry!$C$782)</f>
        <v/>
      </c>
      <c r="AF779">
        <f>IF([3]Entry!$D$782="","",[3]Entry!$D$782)</f>
        <v/>
      </c>
      <c r="AG779">
        <f>IF([3]Entry!$E$782="","",[3]Entry!$E$782)</f>
        <v/>
      </c>
      <c r="AH779">
        <f>IF([3]Entry!$G$782="","",[3]Entry!$G$782)</f>
        <v/>
      </c>
      <c r="AI779">
        <f>IF([3]Entry!$K$782="","",[3]Entry!$K$782)</f>
        <v/>
      </c>
      <c r="AJ779">
        <f>IF([3]Entry!$L$782="","",[3]Entry!$L$782)</f>
        <v/>
      </c>
      <c r="AK779">
        <f>IF([3]Entry!$M$782="","",[3]Entry!$M$782)</f>
        <v/>
      </c>
      <c r="AL779">
        <f>IF([3]Entry!$N$782="","",[3]Entry!$N$782)</f>
        <v/>
      </c>
      <c r="AM779">
        <f>IF([3]Entry!$R$782="","",[3]Entry!$R$782)</f>
        <v/>
      </c>
    </row>
    <row r="780">
      <c r="T780">
        <f>IF([2]Baskol!$B$783="","",[2]Baskol!$B$783)</f>
        <v/>
      </c>
      <c r="U780">
        <f>IF([2]Baskol!$C$783="","",[2]Baskol!$C$783)</f>
        <v/>
      </c>
      <c r="V780">
        <f>IF([2]Baskol!$D$783="","",[2]Baskol!$D$783)</f>
        <v/>
      </c>
      <c r="W780">
        <f>IF([2]Baskol!$E$783="","",[2]Baskol!$E$783)</f>
        <v/>
      </c>
      <c r="X780">
        <f>IF([2]Baskol!$G$783="","",[2]Baskol!$G$783)</f>
        <v/>
      </c>
      <c r="Y780">
        <f>IF([2]Baskol!$I$783="","",[2]Baskol!$I$783)</f>
        <v/>
      </c>
      <c r="Z780">
        <f>IF([2]Baskol!$J$783="","",[2]Baskol!$J$783)</f>
        <v/>
      </c>
      <c r="AA780">
        <f>IF([2]Baskol!$K$783="","",[2]Baskol!$K$783)</f>
        <v/>
      </c>
      <c r="AB780">
        <f>IF([2]Baskol!$L$783="","",[2]Baskol!$L$783)</f>
        <v/>
      </c>
      <c r="AC780">
        <f>IF([2]Baskol!$N$783="","",[2]Baskol!$N$783)</f>
        <v/>
      </c>
      <c r="AD780">
        <f>IF([2]Baskol!$O$783="","",[2]Baskol!$O$783)</f>
        <v/>
      </c>
      <c r="AE780">
        <f>IF([3]Entry!$C$783="","",[3]Entry!$C$783)</f>
        <v/>
      </c>
      <c r="AF780">
        <f>IF([3]Entry!$D$783="","",[3]Entry!$D$783)</f>
        <v/>
      </c>
      <c r="AG780">
        <f>IF([3]Entry!$E$783="","",[3]Entry!$E$783)</f>
        <v/>
      </c>
      <c r="AH780">
        <f>IF([3]Entry!$G$783="","",[3]Entry!$G$783)</f>
        <v/>
      </c>
      <c r="AI780">
        <f>IF([3]Entry!$K$783="","",[3]Entry!$K$783)</f>
        <v/>
      </c>
      <c r="AJ780">
        <f>IF([3]Entry!$L$783="","",[3]Entry!$L$783)</f>
        <v/>
      </c>
      <c r="AK780">
        <f>IF([3]Entry!$M$783="","",[3]Entry!$M$783)</f>
        <v/>
      </c>
      <c r="AL780">
        <f>IF([3]Entry!$N$783="","",[3]Entry!$N$783)</f>
        <v/>
      </c>
      <c r="AM780">
        <f>IF([3]Entry!$R$783="","",[3]Entry!$R$783)</f>
        <v/>
      </c>
    </row>
    <row r="781">
      <c r="T781">
        <f>IF([2]Baskol!$B$784="","",[2]Baskol!$B$784)</f>
        <v/>
      </c>
      <c r="U781">
        <f>IF([2]Baskol!$C$784="","",[2]Baskol!$C$784)</f>
        <v/>
      </c>
      <c r="V781">
        <f>IF([2]Baskol!$D$784="","",[2]Baskol!$D$784)</f>
        <v/>
      </c>
      <c r="W781">
        <f>IF([2]Baskol!$E$784="","",[2]Baskol!$E$784)</f>
        <v/>
      </c>
      <c r="X781">
        <f>IF([2]Baskol!$G$784="","",[2]Baskol!$G$784)</f>
        <v/>
      </c>
      <c r="Y781">
        <f>IF([2]Baskol!$I$784="","",[2]Baskol!$I$784)</f>
        <v/>
      </c>
      <c r="Z781">
        <f>IF([2]Baskol!$J$784="","",[2]Baskol!$J$784)</f>
        <v/>
      </c>
      <c r="AA781">
        <f>IF([2]Baskol!$K$784="","",[2]Baskol!$K$784)</f>
        <v/>
      </c>
      <c r="AB781">
        <f>IF([2]Baskol!$L$784="","",[2]Baskol!$L$784)</f>
        <v/>
      </c>
      <c r="AC781">
        <f>IF([2]Baskol!$N$784="","",[2]Baskol!$N$784)</f>
        <v/>
      </c>
      <c r="AD781">
        <f>IF([2]Baskol!$O$784="","",[2]Baskol!$O$784)</f>
        <v/>
      </c>
      <c r="AE781">
        <f>IF([3]Entry!$C$784="","",[3]Entry!$C$784)</f>
        <v/>
      </c>
      <c r="AF781">
        <f>IF([3]Entry!$D$784="","",[3]Entry!$D$784)</f>
        <v/>
      </c>
      <c r="AG781">
        <f>IF([3]Entry!$E$784="","",[3]Entry!$E$784)</f>
        <v/>
      </c>
      <c r="AH781">
        <f>IF([3]Entry!$G$784="","",[3]Entry!$G$784)</f>
        <v/>
      </c>
      <c r="AI781">
        <f>IF([3]Entry!$K$784="","",[3]Entry!$K$784)</f>
        <v/>
      </c>
      <c r="AJ781">
        <f>IF([3]Entry!$L$784="","",[3]Entry!$L$784)</f>
        <v/>
      </c>
      <c r="AK781">
        <f>IF([3]Entry!$M$784="","",[3]Entry!$M$784)</f>
        <v/>
      </c>
      <c r="AL781">
        <f>IF([3]Entry!$N$784="","",[3]Entry!$N$784)</f>
        <v/>
      </c>
      <c r="AM781">
        <f>IF([3]Entry!$R$784="","",[3]Entry!$R$784)</f>
        <v/>
      </c>
    </row>
    <row r="782">
      <c r="T782">
        <f>IF([2]Baskol!$B$785="","",[2]Baskol!$B$785)</f>
        <v/>
      </c>
      <c r="U782">
        <f>IF([2]Baskol!$C$785="","",[2]Baskol!$C$785)</f>
        <v/>
      </c>
      <c r="V782">
        <f>IF([2]Baskol!$D$785="","",[2]Baskol!$D$785)</f>
        <v/>
      </c>
      <c r="W782">
        <f>IF([2]Baskol!$E$785="","",[2]Baskol!$E$785)</f>
        <v/>
      </c>
      <c r="X782">
        <f>IF([2]Baskol!$G$785="","",[2]Baskol!$G$785)</f>
        <v/>
      </c>
      <c r="Y782">
        <f>IF([2]Baskol!$I$785="","",[2]Baskol!$I$785)</f>
        <v/>
      </c>
      <c r="Z782">
        <f>IF([2]Baskol!$J$785="","",[2]Baskol!$J$785)</f>
        <v/>
      </c>
      <c r="AA782">
        <f>IF([2]Baskol!$K$785="","",[2]Baskol!$K$785)</f>
        <v/>
      </c>
      <c r="AB782">
        <f>IF([2]Baskol!$L$785="","",[2]Baskol!$L$785)</f>
        <v/>
      </c>
      <c r="AC782">
        <f>IF([2]Baskol!$N$785="","",[2]Baskol!$N$785)</f>
        <v/>
      </c>
      <c r="AD782">
        <f>IF([2]Baskol!$O$785="","",[2]Baskol!$O$785)</f>
        <v/>
      </c>
      <c r="AE782">
        <f>IF([3]Entry!$C$785="","",[3]Entry!$C$785)</f>
        <v/>
      </c>
      <c r="AF782">
        <f>IF([3]Entry!$D$785="","",[3]Entry!$D$785)</f>
        <v/>
      </c>
      <c r="AG782">
        <f>IF([3]Entry!$E$785="","",[3]Entry!$E$785)</f>
        <v/>
      </c>
      <c r="AH782">
        <f>IF([3]Entry!$G$785="","",[3]Entry!$G$785)</f>
        <v/>
      </c>
      <c r="AI782">
        <f>IF([3]Entry!$K$785="","",[3]Entry!$K$785)</f>
        <v/>
      </c>
      <c r="AJ782">
        <f>IF([3]Entry!$L$785="","",[3]Entry!$L$785)</f>
        <v/>
      </c>
      <c r="AK782">
        <f>IF([3]Entry!$M$785="","",[3]Entry!$M$785)</f>
        <v/>
      </c>
      <c r="AL782">
        <f>IF([3]Entry!$N$785="","",[3]Entry!$N$785)</f>
        <v/>
      </c>
      <c r="AM782">
        <f>IF([3]Entry!$R$785="","",[3]Entry!$R$785)</f>
        <v/>
      </c>
    </row>
    <row r="783">
      <c r="T783">
        <f>IF([2]Baskol!$B$786="","",[2]Baskol!$B$786)</f>
        <v/>
      </c>
      <c r="U783">
        <f>IF([2]Baskol!$C$786="","",[2]Baskol!$C$786)</f>
        <v/>
      </c>
      <c r="V783">
        <f>IF([2]Baskol!$D$786="","",[2]Baskol!$D$786)</f>
        <v/>
      </c>
      <c r="W783">
        <f>IF([2]Baskol!$E$786="","",[2]Baskol!$E$786)</f>
        <v/>
      </c>
      <c r="X783">
        <f>IF([2]Baskol!$G$786="","",[2]Baskol!$G$786)</f>
        <v/>
      </c>
      <c r="Y783">
        <f>IF([2]Baskol!$I$786="","",[2]Baskol!$I$786)</f>
        <v/>
      </c>
      <c r="Z783">
        <f>IF([2]Baskol!$J$786="","",[2]Baskol!$J$786)</f>
        <v/>
      </c>
      <c r="AA783">
        <f>IF([2]Baskol!$K$786="","",[2]Baskol!$K$786)</f>
        <v/>
      </c>
      <c r="AB783">
        <f>IF([2]Baskol!$L$786="","",[2]Baskol!$L$786)</f>
        <v/>
      </c>
      <c r="AC783">
        <f>IF([2]Baskol!$N$786="","",[2]Baskol!$N$786)</f>
        <v/>
      </c>
      <c r="AD783">
        <f>IF([2]Baskol!$O$786="","",[2]Baskol!$O$786)</f>
        <v/>
      </c>
      <c r="AE783">
        <f>IF([3]Entry!$C$786="","",[3]Entry!$C$786)</f>
        <v/>
      </c>
      <c r="AF783">
        <f>IF([3]Entry!$D$786="","",[3]Entry!$D$786)</f>
        <v/>
      </c>
      <c r="AG783">
        <f>IF([3]Entry!$E$786="","",[3]Entry!$E$786)</f>
        <v/>
      </c>
      <c r="AH783">
        <f>IF([3]Entry!$G$786="","",[3]Entry!$G$786)</f>
        <v/>
      </c>
      <c r="AI783">
        <f>IF([3]Entry!$K$786="","",[3]Entry!$K$786)</f>
        <v/>
      </c>
      <c r="AJ783">
        <f>IF([3]Entry!$L$786="","",[3]Entry!$L$786)</f>
        <v/>
      </c>
      <c r="AK783">
        <f>IF([3]Entry!$M$786="","",[3]Entry!$M$786)</f>
        <v/>
      </c>
      <c r="AL783">
        <f>IF([3]Entry!$N$786="","",[3]Entry!$N$786)</f>
        <v/>
      </c>
      <c r="AM783">
        <f>IF([3]Entry!$R$786="","",[3]Entry!$R$786)</f>
        <v/>
      </c>
    </row>
    <row r="784">
      <c r="T784">
        <f>IF([2]Baskol!$B$787="","",[2]Baskol!$B$787)</f>
        <v/>
      </c>
      <c r="U784">
        <f>IF([2]Baskol!$C$787="","",[2]Baskol!$C$787)</f>
        <v/>
      </c>
      <c r="V784">
        <f>IF([2]Baskol!$D$787="","",[2]Baskol!$D$787)</f>
        <v/>
      </c>
      <c r="W784">
        <f>IF([2]Baskol!$E$787="","",[2]Baskol!$E$787)</f>
        <v/>
      </c>
      <c r="X784">
        <f>IF([2]Baskol!$G$787="","",[2]Baskol!$G$787)</f>
        <v/>
      </c>
      <c r="Y784">
        <f>IF([2]Baskol!$I$787="","",[2]Baskol!$I$787)</f>
        <v/>
      </c>
      <c r="Z784">
        <f>IF([2]Baskol!$J$787="","",[2]Baskol!$J$787)</f>
        <v/>
      </c>
      <c r="AA784">
        <f>IF([2]Baskol!$K$787="","",[2]Baskol!$K$787)</f>
        <v/>
      </c>
      <c r="AB784">
        <f>IF([2]Baskol!$L$787="","",[2]Baskol!$L$787)</f>
        <v/>
      </c>
      <c r="AC784">
        <f>IF([2]Baskol!$N$787="","",[2]Baskol!$N$787)</f>
        <v/>
      </c>
      <c r="AD784">
        <f>IF([2]Baskol!$O$787="","",[2]Baskol!$O$787)</f>
        <v/>
      </c>
      <c r="AE784">
        <f>IF([3]Entry!$C$787="","",[3]Entry!$C$787)</f>
        <v/>
      </c>
      <c r="AF784">
        <f>IF([3]Entry!$D$787="","",[3]Entry!$D$787)</f>
        <v/>
      </c>
      <c r="AG784">
        <f>IF([3]Entry!$E$787="","",[3]Entry!$E$787)</f>
        <v/>
      </c>
      <c r="AH784">
        <f>IF([3]Entry!$G$787="","",[3]Entry!$G$787)</f>
        <v/>
      </c>
      <c r="AI784">
        <f>IF([3]Entry!$K$787="","",[3]Entry!$K$787)</f>
        <v/>
      </c>
      <c r="AJ784">
        <f>IF([3]Entry!$L$787="","",[3]Entry!$L$787)</f>
        <v/>
      </c>
      <c r="AK784">
        <f>IF([3]Entry!$M$787="","",[3]Entry!$M$787)</f>
        <v/>
      </c>
      <c r="AL784">
        <f>IF([3]Entry!$N$787="","",[3]Entry!$N$787)</f>
        <v/>
      </c>
      <c r="AM784">
        <f>IF([3]Entry!$R$787="","",[3]Entry!$R$787)</f>
        <v/>
      </c>
    </row>
    <row r="785">
      <c r="T785">
        <f>IF([2]Baskol!$B$788="","",[2]Baskol!$B$788)</f>
        <v/>
      </c>
      <c r="U785">
        <f>IF([2]Baskol!$C$788="","",[2]Baskol!$C$788)</f>
        <v/>
      </c>
      <c r="V785">
        <f>IF([2]Baskol!$D$788="","",[2]Baskol!$D$788)</f>
        <v/>
      </c>
      <c r="W785">
        <f>IF([2]Baskol!$E$788="","",[2]Baskol!$E$788)</f>
        <v/>
      </c>
      <c r="X785">
        <f>IF([2]Baskol!$G$788="","",[2]Baskol!$G$788)</f>
        <v/>
      </c>
      <c r="Y785">
        <f>IF([2]Baskol!$I$788="","",[2]Baskol!$I$788)</f>
        <v/>
      </c>
      <c r="Z785">
        <f>IF([2]Baskol!$J$788="","",[2]Baskol!$J$788)</f>
        <v/>
      </c>
      <c r="AA785">
        <f>IF([2]Baskol!$K$788="","",[2]Baskol!$K$788)</f>
        <v/>
      </c>
      <c r="AB785">
        <f>IF([2]Baskol!$L$788="","",[2]Baskol!$L$788)</f>
        <v/>
      </c>
      <c r="AC785">
        <f>IF([2]Baskol!$N$788="","",[2]Baskol!$N$788)</f>
        <v/>
      </c>
      <c r="AD785">
        <f>IF([2]Baskol!$O$788="","",[2]Baskol!$O$788)</f>
        <v/>
      </c>
      <c r="AE785">
        <f>IF([3]Entry!$C$788="","",[3]Entry!$C$788)</f>
        <v/>
      </c>
      <c r="AF785">
        <f>IF([3]Entry!$D$788="","",[3]Entry!$D$788)</f>
        <v/>
      </c>
      <c r="AG785">
        <f>IF([3]Entry!$E$788="","",[3]Entry!$E$788)</f>
        <v/>
      </c>
      <c r="AH785">
        <f>IF([3]Entry!$G$788="","",[3]Entry!$G$788)</f>
        <v/>
      </c>
      <c r="AI785">
        <f>IF([3]Entry!$K$788="","",[3]Entry!$K$788)</f>
        <v/>
      </c>
      <c r="AJ785">
        <f>IF([3]Entry!$L$788="","",[3]Entry!$L$788)</f>
        <v/>
      </c>
      <c r="AK785">
        <f>IF([3]Entry!$M$788="","",[3]Entry!$M$788)</f>
        <v/>
      </c>
      <c r="AL785">
        <f>IF([3]Entry!$N$788="","",[3]Entry!$N$788)</f>
        <v/>
      </c>
      <c r="AM785">
        <f>IF([3]Entry!$R$788="","",[3]Entry!$R$788)</f>
        <v/>
      </c>
    </row>
    <row r="786">
      <c r="T786">
        <f>IF([2]Baskol!$B$789="","",[2]Baskol!$B$789)</f>
        <v/>
      </c>
      <c r="U786">
        <f>IF([2]Baskol!$C$789="","",[2]Baskol!$C$789)</f>
        <v/>
      </c>
      <c r="V786">
        <f>IF([2]Baskol!$D$789="","",[2]Baskol!$D$789)</f>
        <v/>
      </c>
      <c r="W786">
        <f>IF([2]Baskol!$E$789="","",[2]Baskol!$E$789)</f>
        <v/>
      </c>
      <c r="X786">
        <f>IF([2]Baskol!$G$789="","",[2]Baskol!$G$789)</f>
        <v/>
      </c>
      <c r="Y786">
        <f>IF([2]Baskol!$I$789="","",[2]Baskol!$I$789)</f>
        <v/>
      </c>
      <c r="Z786">
        <f>IF([2]Baskol!$J$789="","",[2]Baskol!$J$789)</f>
        <v/>
      </c>
      <c r="AA786">
        <f>IF([2]Baskol!$K$789="","",[2]Baskol!$K$789)</f>
        <v/>
      </c>
      <c r="AB786">
        <f>IF([2]Baskol!$L$789="","",[2]Baskol!$L$789)</f>
        <v/>
      </c>
      <c r="AC786">
        <f>IF([2]Baskol!$N$789="","",[2]Baskol!$N$789)</f>
        <v/>
      </c>
      <c r="AD786">
        <f>IF([2]Baskol!$O$789="","",[2]Baskol!$O$789)</f>
        <v/>
      </c>
      <c r="AE786">
        <f>IF([3]Entry!$C$789="","",[3]Entry!$C$789)</f>
        <v/>
      </c>
      <c r="AF786">
        <f>IF([3]Entry!$D$789="","",[3]Entry!$D$789)</f>
        <v/>
      </c>
      <c r="AG786">
        <f>IF([3]Entry!$E$789="","",[3]Entry!$E$789)</f>
        <v/>
      </c>
      <c r="AH786">
        <f>IF([3]Entry!$G$789="","",[3]Entry!$G$789)</f>
        <v/>
      </c>
      <c r="AI786">
        <f>IF([3]Entry!$K$789="","",[3]Entry!$K$789)</f>
        <v/>
      </c>
      <c r="AJ786">
        <f>IF([3]Entry!$L$789="","",[3]Entry!$L$789)</f>
        <v/>
      </c>
      <c r="AK786">
        <f>IF([3]Entry!$M$789="","",[3]Entry!$M$789)</f>
        <v/>
      </c>
      <c r="AL786">
        <f>IF([3]Entry!$N$789="","",[3]Entry!$N$789)</f>
        <v/>
      </c>
      <c r="AM786">
        <f>IF([3]Entry!$R$789="","",[3]Entry!$R$789)</f>
        <v/>
      </c>
    </row>
    <row r="787">
      <c r="T787">
        <f>IF([2]Baskol!$B$790="","",[2]Baskol!$B$790)</f>
        <v/>
      </c>
      <c r="U787">
        <f>IF([2]Baskol!$C$790="","",[2]Baskol!$C$790)</f>
        <v/>
      </c>
      <c r="V787">
        <f>IF([2]Baskol!$D$790="","",[2]Baskol!$D$790)</f>
        <v/>
      </c>
      <c r="W787">
        <f>IF([2]Baskol!$E$790="","",[2]Baskol!$E$790)</f>
        <v/>
      </c>
      <c r="X787">
        <f>IF([2]Baskol!$G$790="","",[2]Baskol!$G$790)</f>
        <v/>
      </c>
      <c r="Y787">
        <f>IF([2]Baskol!$I$790="","",[2]Baskol!$I$790)</f>
        <v/>
      </c>
      <c r="Z787">
        <f>IF([2]Baskol!$J$790="","",[2]Baskol!$J$790)</f>
        <v/>
      </c>
      <c r="AA787">
        <f>IF([2]Baskol!$K$790="","",[2]Baskol!$K$790)</f>
        <v/>
      </c>
      <c r="AB787">
        <f>IF([2]Baskol!$L$790="","",[2]Baskol!$L$790)</f>
        <v/>
      </c>
      <c r="AC787">
        <f>IF([2]Baskol!$N$790="","",[2]Baskol!$N$790)</f>
        <v/>
      </c>
      <c r="AD787">
        <f>IF([2]Baskol!$O$790="","",[2]Baskol!$O$790)</f>
        <v/>
      </c>
      <c r="AE787">
        <f>IF([3]Entry!$C$790="","",[3]Entry!$C$790)</f>
        <v/>
      </c>
      <c r="AF787">
        <f>IF([3]Entry!$D$790="","",[3]Entry!$D$790)</f>
        <v/>
      </c>
      <c r="AG787">
        <f>IF([3]Entry!$E$790="","",[3]Entry!$E$790)</f>
        <v/>
      </c>
      <c r="AH787">
        <f>IF([3]Entry!$G$790="","",[3]Entry!$G$790)</f>
        <v/>
      </c>
      <c r="AI787">
        <f>IF([3]Entry!$K$790="","",[3]Entry!$K$790)</f>
        <v/>
      </c>
      <c r="AJ787">
        <f>IF([3]Entry!$L$790="","",[3]Entry!$L$790)</f>
        <v/>
      </c>
      <c r="AK787">
        <f>IF([3]Entry!$M$790="","",[3]Entry!$M$790)</f>
        <v/>
      </c>
      <c r="AL787">
        <f>IF([3]Entry!$N$790="","",[3]Entry!$N$790)</f>
        <v/>
      </c>
      <c r="AM787">
        <f>IF([3]Entry!$R$790="","",[3]Entry!$R$790)</f>
        <v/>
      </c>
    </row>
    <row r="788">
      <c r="T788">
        <f>IF([2]Baskol!$B$791="","",[2]Baskol!$B$791)</f>
        <v/>
      </c>
      <c r="U788">
        <f>IF([2]Baskol!$C$791="","",[2]Baskol!$C$791)</f>
        <v/>
      </c>
      <c r="V788">
        <f>IF([2]Baskol!$D$791="","",[2]Baskol!$D$791)</f>
        <v/>
      </c>
      <c r="W788">
        <f>IF([2]Baskol!$E$791="","",[2]Baskol!$E$791)</f>
        <v/>
      </c>
      <c r="X788">
        <f>IF([2]Baskol!$G$791="","",[2]Baskol!$G$791)</f>
        <v/>
      </c>
      <c r="Y788">
        <f>IF([2]Baskol!$I$791="","",[2]Baskol!$I$791)</f>
        <v/>
      </c>
      <c r="Z788">
        <f>IF([2]Baskol!$J$791="","",[2]Baskol!$J$791)</f>
        <v/>
      </c>
      <c r="AA788">
        <f>IF([2]Baskol!$K$791="","",[2]Baskol!$K$791)</f>
        <v/>
      </c>
      <c r="AB788">
        <f>IF([2]Baskol!$L$791="","",[2]Baskol!$L$791)</f>
        <v/>
      </c>
      <c r="AC788">
        <f>IF([2]Baskol!$N$791="","",[2]Baskol!$N$791)</f>
        <v/>
      </c>
      <c r="AD788">
        <f>IF([2]Baskol!$O$791="","",[2]Baskol!$O$791)</f>
        <v/>
      </c>
      <c r="AE788">
        <f>IF([3]Entry!$C$791="","",[3]Entry!$C$791)</f>
        <v/>
      </c>
      <c r="AF788">
        <f>IF([3]Entry!$D$791="","",[3]Entry!$D$791)</f>
        <v/>
      </c>
      <c r="AG788">
        <f>IF([3]Entry!$E$791="","",[3]Entry!$E$791)</f>
        <v/>
      </c>
      <c r="AH788">
        <f>IF([3]Entry!$G$791="","",[3]Entry!$G$791)</f>
        <v/>
      </c>
      <c r="AI788">
        <f>IF([3]Entry!$K$791="","",[3]Entry!$K$791)</f>
        <v/>
      </c>
      <c r="AJ788">
        <f>IF([3]Entry!$L$791="","",[3]Entry!$L$791)</f>
        <v/>
      </c>
      <c r="AK788">
        <f>IF([3]Entry!$M$791="","",[3]Entry!$M$791)</f>
        <v/>
      </c>
      <c r="AL788">
        <f>IF([3]Entry!$N$791="","",[3]Entry!$N$791)</f>
        <v/>
      </c>
      <c r="AM788">
        <f>IF([3]Entry!$R$791="","",[3]Entry!$R$791)</f>
        <v/>
      </c>
    </row>
    <row r="789">
      <c r="T789">
        <f>IF([2]Baskol!$B$792="","",[2]Baskol!$B$792)</f>
        <v/>
      </c>
      <c r="U789">
        <f>IF([2]Baskol!$C$792="","",[2]Baskol!$C$792)</f>
        <v/>
      </c>
      <c r="V789">
        <f>IF([2]Baskol!$D$792="","",[2]Baskol!$D$792)</f>
        <v/>
      </c>
      <c r="W789">
        <f>IF([2]Baskol!$E$792="","",[2]Baskol!$E$792)</f>
        <v/>
      </c>
      <c r="X789">
        <f>IF([2]Baskol!$G$792="","",[2]Baskol!$G$792)</f>
        <v/>
      </c>
      <c r="Y789">
        <f>IF([2]Baskol!$I$792="","",[2]Baskol!$I$792)</f>
        <v/>
      </c>
      <c r="Z789">
        <f>IF([2]Baskol!$J$792="","",[2]Baskol!$J$792)</f>
        <v/>
      </c>
      <c r="AA789">
        <f>IF([2]Baskol!$K$792="","",[2]Baskol!$K$792)</f>
        <v/>
      </c>
      <c r="AB789">
        <f>IF([2]Baskol!$L$792="","",[2]Baskol!$L$792)</f>
        <v/>
      </c>
      <c r="AC789">
        <f>IF([2]Baskol!$N$792="","",[2]Baskol!$N$792)</f>
        <v/>
      </c>
      <c r="AD789">
        <f>IF([2]Baskol!$O$792="","",[2]Baskol!$O$792)</f>
        <v/>
      </c>
      <c r="AE789">
        <f>IF([3]Entry!$C$792="","",[3]Entry!$C$792)</f>
        <v/>
      </c>
      <c r="AF789">
        <f>IF([3]Entry!$D$792="","",[3]Entry!$D$792)</f>
        <v/>
      </c>
      <c r="AG789">
        <f>IF([3]Entry!$E$792="","",[3]Entry!$E$792)</f>
        <v/>
      </c>
      <c r="AH789">
        <f>IF([3]Entry!$G$792="","",[3]Entry!$G$792)</f>
        <v/>
      </c>
      <c r="AI789">
        <f>IF([3]Entry!$K$792="","",[3]Entry!$K$792)</f>
        <v/>
      </c>
      <c r="AJ789">
        <f>IF([3]Entry!$L$792="","",[3]Entry!$L$792)</f>
        <v/>
      </c>
      <c r="AK789">
        <f>IF([3]Entry!$M$792="","",[3]Entry!$M$792)</f>
        <v/>
      </c>
      <c r="AL789">
        <f>IF([3]Entry!$N$792="","",[3]Entry!$N$792)</f>
        <v/>
      </c>
      <c r="AM789">
        <f>IF([3]Entry!$R$792="","",[3]Entry!$R$792)</f>
        <v/>
      </c>
    </row>
    <row r="790">
      <c r="T790">
        <f>IF([2]Baskol!$B$793="","",[2]Baskol!$B$793)</f>
        <v/>
      </c>
      <c r="U790">
        <f>IF([2]Baskol!$C$793="","",[2]Baskol!$C$793)</f>
        <v/>
      </c>
      <c r="V790">
        <f>IF([2]Baskol!$D$793="","",[2]Baskol!$D$793)</f>
        <v/>
      </c>
      <c r="W790">
        <f>IF([2]Baskol!$E$793="","",[2]Baskol!$E$793)</f>
        <v/>
      </c>
      <c r="X790">
        <f>IF([2]Baskol!$G$793="","",[2]Baskol!$G$793)</f>
        <v/>
      </c>
      <c r="Y790">
        <f>IF([2]Baskol!$I$793="","",[2]Baskol!$I$793)</f>
        <v/>
      </c>
      <c r="Z790">
        <f>IF([2]Baskol!$J$793="","",[2]Baskol!$J$793)</f>
        <v/>
      </c>
      <c r="AA790">
        <f>IF([2]Baskol!$K$793="","",[2]Baskol!$K$793)</f>
        <v/>
      </c>
      <c r="AB790">
        <f>IF([2]Baskol!$L$793="","",[2]Baskol!$L$793)</f>
        <v/>
      </c>
      <c r="AC790">
        <f>IF([2]Baskol!$N$793="","",[2]Baskol!$N$793)</f>
        <v/>
      </c>
      <c r="AD790">
        <f>IF([2]Baskol!$O$793="","",[2]Baskol!$O$793)</f>
        <v/>
      </c>
      <c r="AE790">
        <f>IF([3]Entry!$C$793="","",[3]Entry!$C$793)</f>
        <v/>
      </c>
      <c r="AF790">
        <f>IF([3]Entry!$D$793="","",[3]Entry!$D$793)</f>
        <v/>
      </c>
      <c r="AG790">
        <f>IF([3]Entry!$E$793="","",[3]Entry!$E$793)</f>
        <v/>
      </c>
      <c r="AH790">
        <f>IF([3]Entry!$G$793="","",[3]Entry!$G$793)</f>
        <v/>
      </c>
      <c r="AI790">
        <f>IF([3]Entry!$K$793="","",[3]Entry!$K$793)</f>
        <v/>
      </c>
      <c r="AJ790">
        <f>IF([3]Entry!$L$793="","",[3]Entry!$L$793)</f>
        <v/>
      </c>
      <c r="AK790">
        <f>IF([3]Entry!$M$793="","",[3]Entry!$M$793)</f>
        <v/>
      </c>
      <c r="AL790">
        <f>IF([3]Entry!$N$793="","",[3]Entry!$N$793)</f>
        <v/>
      </c>
      <c r="AM790">
        <f>IF([3]Entry!$R$793="","",[3]Entry!$R$793)</f>
        <v/>
      </c>
    </row>
    <row r="791">
      <c r="T791">
        <f>IF([2]Baskol!$B$794="","",[2]Baskol!$B$794)</f>
        <v/>
      </c>
      <c r="U791">
        <f>IF([2]Baskol!$C$794="","",[2]Baskol!$C$794)</f>
        <v/>
      </c>
      <c r="V791">
        <f>IF([2]Baskol!$D$794="","",[2]Baskol!$D$794)</f>
        <v/>
      </c>
      <c r="W791">
        <f>IF([2]Baskol!$E$794="","",[2]Baskol!$E$794)</f>
        <v/>
      </c>
      <c r="X791">
        <f>IF([2]Baskol!$G$794="","",[2]Baskol!$G$794)</f>
        <v/>
      </c>
      <c r="Y791">
        <f>IF([2]Baskol!$I$794="","",[2]Baskol!$I$794)</f>
        <v/>
      </c>
      <c r="Z791">
        <f>IF([2]Baskol!$J$794="","",[2]Baskol!$J$794)</f>
        <v/>
      </c>
      <c r="AA791">
        <f>IF([2]Baskol!$K$794="","",[2]Baskol!$K$794)</f>
        <v/>
      </c>
      <c r="AB791">
        <f>IF([2]Baskol!$L$794="","",[2]Baskol!$L$794)</f>
        <v/>
      </c>
      <c r="AC791">
        <f>IF([2]Baskol!$N$794="","",[2]Baskol!$N$794)</f>
        <v/>
      </c>
      <c r="AD791">
        <f>IF([2]Baskol!$O$794="","",[2]Baskol!$O$794)</f>
        <v/>
      </c>
      <c r="AE791">
        <f>IF([3]Entry!$C$794="","",[3]Entry!$C$794)</f>
        <v/>
      </c>
      <c r="AF791">
        <f>IF([3]Entry!$D$794="","",[3]Entry!$D$794)</f>
        <v/>
      </c>
      <c r="AG791">
        <f>IF([3]Entry!$E$794="","",[3]Entry!$E$794)</f>
        <v/>
      </c>
      <c r="AH791">
        <f>IF([3]Entry!$G$794="","",[3]Entry!$G$794)</f>
        <v/>
      </c>
      <c r="AI791">
        <f>IF([3]Entry!$K$794="","",[3]Entry!$K$794)</f>
        <v/>
      </c>
      <c r="AJ791">
        <f>IF([3]Entry!$L$794="","",[3]Entry!$L$794)</f>
        <v/>
      </c>
      <c r="AK791">
        <f>IF([3]Entry!$M$794="","",[3]Entry!$M$794)</f>
        <v/>
      </c>
      <c r="AL791">
        <f>IF([3]Entry!$N$794="","",[3]Entry!$N$794)</f>
        <v/>
      </c>
      <c r="AM791">
        <f>IF([3]Entry!$R$794="","",[3]Entry!$R$794)</f>
        <v/>
      </c>
    </row>
    <row r="792">
      <c r="T792">
        <f>IF([2]Baskol!$B$795="","",[2]Baskol!$B$795)</f>
        <v/>
      </c>
      <c r="U792">
        <f>IF([2]Baskol!$C$795="","",[2]Baskol!$C$795)</f>
        <v/>
      </c>
      <c r="V792">
        <f>IF([2]Baskol!$D$795="","",[2]Baskol!$D$795)</f>
        <v/>
      </c>
      <c r="W792">
        <f>IF([2]Baskol!$E$795="","",[2]Baskol!$E$795)</f>
        <v/>
      </c>
      <c r="X792">
        <f>IF([2]Baskol!$G$795="","",[2]Baskol!$G$795)</f>
        <v/>
      </c>
      <c r="Y792">
        <f>IF([2]Baskol!$I$795="","",[2]Baskol!$I$795)</f>
        <v/>
      </c>
      <c r="Z792">
        <f>IF([2]Baskol!$J$795="","",[2]Baskol!$J$795)</f>
        <v/>
      </c>
      <c r="AA792">
        <f>IF([2]Baskol!$K$795="","",[2]Baskol!$K$795)</f>
        <v/>
      </c>
      <c r="AB792">
        <f>IF([2]Baskol!$L$795="","",[2]Baskol!$L$795)</f>
        <v/>
      </c>
      <c r="AC792">
        <f>IF([2]Baskol!$N$795="","",[2]Baskol!$N$795)</f>
        <v/>
      </c>
      <c r="AD792">
        <f>IF([2]Baskol!$O$795="","",[2]Baskol!$O$795)</f>
        <v/>
      </c>
      <c r="AE792">
        <f>IF([3]Entry!$C$795="","",[3]Entry!$C$795)</f>
        <v/>
      </c>
      <c r="AF792">
        <f>IF([3]Entry!$D$795="","",[3]Entry!$D$795)</f>
        <v/>
      </c>
      <c r="AG792">
        <f>IF([3]Entry!$E$795="","",[3]Entry!$E$795)</f>
        <v/>
      </c>
      <c r="AH792">
        <f>IF([3]Entry!$G$795="","",[3]Entry!$G$795)</f>
        <v/>
      </c>
      <c r="AI792">
        <f>IF([3]Entry!$K$795="","",[3]Entry!$K$795)</f>
        <v/>
      </c>
      <c r="AJ792">
        <f>IF([3]Entry!$L$795="","",[3]Entry!$L$795)</f>
        <v/>
      </c>
      <c r="AK792">
        <f>IF([3]Entry!$M$795="","",[3]Entry!$M$795)</f>
        <v/>
      </c>
      <c r="AL792">
        <f>IF([3]Entry!$N$795="","",[3]Entry!$N$795)</f>
        <v/>
      </c>
      <c r="AM792">
        <f>IF([3]Entry!$R$795="","",[3]Entry!$R$795)</f>
        <v/>
      </c>
    </row>
    <row r="793">
      <c r="T793">
        <f>IF([2]Baskol!$B$796="","",[2]Baskol!$B$796)</f>
        <v/>
      </c>
      <c r="U793">
        <f>IF([2]Baskol!$C$796="","",[2]Baskol!$C$796)</f>
        <v/>
      </c>
      <c r="V793">
        <f>IF([2]Baskol!$D$796="","",[2]Baskol!$D$796)</f>
        <v/>
      </c>
      <c r="W793">
        <f>IF([2]Baskol!$E$796="","",[2]Baskol!$E$796)</f>
        <v/>
      </c>
      <c r="X793">
        <f>IF([2]Baskol!$G$796="","",[2]Baskol!$G$796)</f>
        <v/>
      </c>
      <c r="Y793">
        <f>IF([2]Baskol!$I$796="","",[2]Baskol!$I$796)</f>
        <v/>
      </c>
      <c r="Z793">
        <f>IF([2]Baskol!$J$796="","",[2]Baskol!$J$796)</f>
        <v/>
      </c>
      <c r="AA793">
        <f>IF([2]Baskol!$K$796="","",[2]Baskol!$K$796)</f>
        <v/>
      </c>
      <c r="AB793">
        <f>IF([2]Baskol!$L$796="","",[2]Baskol!$L$796)</f>
        <v/>
      </c>
      <c r="AC793">
        <f>IF([2]Baskol!$N$796="","",[2]Baskol!$N$796)</f>
        <v/>
      </c>
      <c r="AD793">
        <f>IF([2]Baskol!$O$796="","",[2]Baskol!$O$796)</f>
        <v/>
      </c>
      <c r="AE793">
        <f>IF([3]Entry!$C$796="","",[3]Entry!$C$796)</f>
        <v/>
      </c>
      <c r="AF793">
        <f>IF([3]Entry!$D$796="","",[3]Entry!$D$796)</f>
        <v/>
      </c>
      <c r="AG793">
        <f>IF([3]Entry!$E$796="","",[3]Entry!$E$796)</f>
        <v/>
      </c>
      <c r="AH793">
        <f>IF([3]Entry!$G$796="","",[3]Entry!$G$796)</f>
        <v/>
      </c>
      <c r="AI793">
        <f>IF([3]Entry!$K$796="","",[3]Entry!$K$796)</f>
        <v/>
      </c>
      <c r="AJ793">
        <f>IF([3]Entry!$L$796="","",[3]Entry!$L$796)</f>
        <v/>
      </c>
      <c r="AK793">
        <f>IF([3]Entry!$M$796="","",[3]Entry!$M$796)</f>
        <v/>
      </c>
      <c r="AL793">
        <f>IF([3]Entry!$N$796="","",[3]Entry!$N$796)</f>
        <v/>
      </c>
      <c r="AM793">
        <f>IF([3]Entry!$R$796="","",[3]Entry!$R$796)</f>
        <v/>
      </c>
    </row>
    <row r="794">
      <c r="T794">
        <f>IF([2]Baskol!$B$797="","",[2]Baskol!$B$797)</f>
        <v/>
      </c>
      <c r="U794">
        <f>IF([2]Baskol!$C$797="","",[2]Baskol!$C$797)</f>
        <v/>
      </c>
      <c r="V794">
        <f>IF([2]Baskol!$D$797="","",[2]Baskol!$D$797)</f>
        <v/>
      </c>
      <c r="W794">
        <f>IF([2]Baskol!$E$797="","",[2]Baskol!$E$797)</f>
        <v/>
      </c>
      <c r="X794">
        <f>IF([2]Baskol!$G$797="","",[2]Baskol!$G$797)</f>
        <v/>
      </c>
      <c r="Y794">
        <f>IF([2]Baskol!$I$797="","",[2]Baskol!$I$797)</f>
        <v/>
      </c>
      <c r="Z794">
        <f>IF([2]Baskol!$J$797="","",[2]Baskol!$J$797)</f>
        <v/>
      </c>
      <c r="AA794">
        <f>IF([2]Baskol!$K$797="","",[2]Baskol!$K$797)</f>
        <v/>
      </c>
      <c r="AB794">
        <f>IF([2]Baskol!$L$797="","",[2]Baskol!$L$797)</f>
        <v/>
      </c>
      <c r="AC794">
        <f>IF([2]Baskol!$N$797="","",[2]Baskol!$N$797)</f>
        <v/>
      </c>
      <c r="AD794">
        <f>IF([2]Baskol!$O$797="","",[2]Baskol!$O$797)</f>
        <v/>
      </c>
      <c r="AE794">
        <f>IF([3]Entry!$C$797="","",[3]Entry!$C$797)</f>
        <v/>
      </c>
      <c r="AF794">
        <f>IF([3]Entry!$D$797="","",[3]Entry!$D$797)</f>
        <v/>
      </c>
      <c r="AG794">
        <f>IF([3]Entry!$E$797="","",[3]Entry!$E$797)</f>
        <v/>
      </c>
      <c r="AH794">
        <f>IF([3]Entry!$G$797="","",[3]Entry!$G$797)</f>
        <v/>
      </c>
      <c r="AI794">
        <f>IF([3]Entry!$K$797="","",[3]Entry!$K$797)</f>
        <v/>
      </c>
      <c r="AJ794">
        <f>IF([3]Entry!$L$797="","",[3]Entry!$L$797)</f>
        <v/>
      </c>
      <c r="AK794">
        <f>IF([3]Entry!$M$797="","",[3]Entry!$M$797)</f>
        <v/>
      </c>
      <c r="AL794">
        <f>IF([3]Entry!$N$797="","",[3]Entry!$N$797)</f>
        <v/>
      </c>
      <c r="AM794">
        <f>IF([3]Entry!$R$797="","",[3]Entry!$R$797)</f>
        <v/>
      </c>
    </row>
    <row r="795">
      <c r="T795">
        <f>IF([2]Baskol!$B$798="","",[2]Baskol!$B$798)</f>
        <v/>
      </c>
      <c r="U795">
        <f>IF([2]Baskol!$C$798="","",[2]Baskol!$C$798)</f>
        <v/>
      </c>
      <c r="V795">
        <f>IF([2]Baskol!$D$798="","",[2]Baskol!$D$798)</f>
        <v/>
      </c>
      <c r="W795">
        <f>IF([2]Baskol!$E$798="","",[2]Baskol!$E$798)</f>
        <v/>
      </c>
      <c r="X795">
        <f>IF([2]Baskol!$G$798="","",[2]Baskol!$G$798)</f>
        <v/>
      </c>
      <c r="Y795">
        <f>IF([2]Baskol!$I$798="","",[2]Baskol!$I$798)</f>
        <v/>
      </c>
      <c r="Z795">
        <f>IF([2]Baskol!$J$798="","",[2]Baskol!$J$798)</f>
        <v/>
      </c>
      <c r="AA795">
        <f>IF([2]Baskol!$K$798="","",[2]Baskol!$K$798)</f>
        <v/>
      </c>
      <c r="AB795">
        <f>IF([2]Baskol!$L$798="","",[2]Baskol!$L$798)</f>
        <v/>
      </c>
      <c r="AC795">
        <f>IF([2]Baskol!$N$798="","",[2]Baskol!$N$798)</f>
        <v/>
      </c>
      <c r="AD795">
        <f>IF([2]Baskol!$O$798="","",[2]Baskol!$O$798)</f>
        <v/>
      </c>
      <c r="AE795">
        <f>IF([3]Entry!$C$798="","",[3]Entry!$C$798)</f>
        <v/>
      </c>
      <c r="AF795">
        <f>IF([3]Entry!$D$798="","",[3]Entry!$D$798)</f>
        <v/>
      </c>
      <c r="AG795">
        <f>IF([3]Entry!$E$798="","",[3]Entry!$E$798)</f>
        <v/>
      </c>
      <c r="AH795">
        <f>IF([3]Entry!$G$798="","",[3]Entry!$G$798)</f>
        <v/>
      </c>
      <c r="AI795">
        <f>IF([3]Entry!$K$798="","",[3]Entry!$K$798)</f>
        <v/>
      </c>
      <c r="AJ795">
        <f>IF([3]Entry!$L$798="","",[3]Entry!$L$798)</f>
        <v/>
      </c>
      <c r="AK795">
        <f>IF([3]Entry!$M$798="","",[3]Entry!$M$798)</f>
        <v/>
      </c>
      <c r="AL795">
        <f>IF([3]Entry!$N$798="","",[3]Entry!$N$798)</f>
        <v/>
      </c>
      <c r="AM795">
        <f>IF([3]Entry!$R$798="","",[3]Entry!$R$798)</f>
        <v/>
      </c>
    </row>
    <row r="796">
      <c r="T796">
        <f>IF([2]Baskol!$B$799="","",[2]Baskol!$B$799)</f>
        <v/>
      </c>
      <c r="U796">
        <f>IF([2]Baskol!$C$799="","",[2]Baskol!$C$799)</f>
        <v/>
      </c>
      <c r="V796">
        <f>IF([2]Baskol!$D$799="","",[2]Baskol!$D$799)</f>
        <v/>
      </c>
      <c r="W796">
        <f>IF([2]Baskol!$E$799="","",[2]Baskol!$E$799)</f>
        <v/>
      </c>
      <c r="X796">
        <f>IF([2]Baskol!$G$799="","",[2]Baskol!$G$799)</f>
        <v/>
      </c>
      <c r="Y796">
        <f>IF([2]Baskol!$I$799="","",[2]Baskol!$I$799)</f>
        <v/>
      </c>
      <c r="Z796">
        <f>IF([2]Baskol!$J$799="","",[2]Baskol!$J$799)</f>
        <v/>
      </c>
      <c r="AA796">
        <f>IF([2]Baskol!$K$799="","",[2]Baskol!$K$799)</f>
        <v/>
      </c>
      <c r="AB796">
        <f>IF([2]Baskol!$L$799="","",[2]Baskol!$L$799)</f>
        <v/>
      </c>
      <c r="AC796">
        <f>IF([2]Baskol!$N$799="","",[2]Baskol!$N$799)</f>
        <v/>
      </c>
      <c r="AD796">
        <f>IF([2]Baskol!$O$799="","",[2]Baskol!$O$799)</f>
        <v/>
      </c>
      <c r="AE796">
        <f>IF([3]Entry!$C$799="","",[3]Entry!$C$799)</f>
        <v/>
      </c>
      <c r="AF796">
        <f>IF([3]Entry!$D$799="","",[3]Entry!$D$799)</f>
        <v/>
      </c>
      <c r="AG796">
        <f>IF([3]Entry!$E$799="","",[3]Entry!$E$799)</f>
        <v/>
      </c>
      <c r="AH796">
        <f>IF([3]Entry!$G$799="","",[3]Entry!$G$799)</f>
        <v/>
      </c>
      <c r="AI796">
        <f>IF([3]Entry!$K$799="","",[3]Entry!$K$799)</f>
        <v/>
      </c>
      <c r="AJ796">
        <f>IF([3]Entry!$L$799="","",[3]Entry!$L$799)</f>
        <v/>
      </c>
      <c r="AK796">
        <f>IF([3]Entry!$M$799="","",[3]Entry!$M$799)</f>
        <v/>
      </c>
      <c r="AL796">
        <f>IF([3]Entry!$N$799="","",[3]Entry!$N$799)</f>
        <v/>
      </c>
      <c r="AM796">
        <f>IF([3]Entry!$R$799="","",[3]Entry!$R$799)</f>
        <v/>
      </c>
    </row>
    <row r="797">
      <c r="T797">
        <f>IF([2]Baskol!$B$800="","",[2]Baskol!$B$800)</f>
        <v/>
      </c>
      <c r="U797">
        <f>IF([2]Baskol!$C$800="","",[2]Baskol!$C$800)</f>
        <v/>
      </c>
      <c r="V797">
        <f>IF([2]Baskol!$D$800="","",[2]Baskol!$D$800)</f>
        <v/>
      </c>
      <c r="W797">
        <f>IF([2]Baskol!$E$800="","",[2]Baskol!$E$800)</f>
        <v/>
      </c>
      <c r="X797">
        <f>IF([2]Baskol!$G$800="","",[2]Baskol!$G$800)</f>
        <v/>
      </c>
      <c r="Y797">
        <f>IF([2]Baskol!$I$800="","",[2]Baskol!$I$800)</f>
        <v/>
      </c>
      <c r="Z797">
        <f>IF([2]Baskol!$J$800="","",[2]Baskol!$J$800)</f>
        <v/>
      </c>
      <c r="AA797">
        <f>IF([2]Baskol!$K$800="","",[2]Baskol!$K$800)</f>
        <v/>
      </c>
      <c r="AB797">
        <f>IF([2]Baskol!$L$800="","",[2]Baskol!$L$800)</f>
        <v/>
      </c>
      <c r="AC797">
        <f>IF([2]Baskol!$N$800="","",[2]Baskol!$N$800)</f>
        <v/>
      </c>
      <c r="AD797">
        <f>IF([2]Baskol!$O$800="","",[2]Baskol!$O$800)</f>
        <v/>
      </c>
      <c r="AE797">
        <f>IF([3]Entry!$C$800="","",[3]Entry!$C$800)</f>
        <v/>
      </c>
      <c r="AF797">
        <f>IF([3]Entry!$D$800="","",[3]Entry!$D$800)</f>
        <v/>
      </c>
      <c r="AG797">
        <f>IF([3]Entry!$E$800="","",[3]Entry!$E$800)</f>
        <v/>
      </c>
      <c r="AH797">
        <f>IF([3]Entry!$G$800="","",[3]Entry!$G$800)</f>
        <v/>
      </c>
      <c r="AI797">
        <f>IF([3]Entry!$K$800="","",[3]Entry!$K$800)</f>
        <v/>
      </c>
      <c r="AJ797">
        <f>IF([3]Entry!$L$800="","",[3]Entry!$L$800)</f>
        <v/>
      </c>
      <c r="AK797">
        <f>IF([3]Entry!$M$800="","",[3]Entry!$M$800)</f>
        <v/>
      </c>
      <c r="AL797">
        <f>IF([3]Entry!$N$800="","",[3]Entry!$N$800)</f>
        <v/>
      </c>
      <c r="AM797">
        <f>IF([3]Entry!$R$800="","",[3]Entry!$R$800)</f>
        <v/>
      </c>
    </row>
    <row r="798">
      <c r="T798">
        <f>IF([2]Baskol!$B$801="","",[2]Baskol!$B$801)</f>
        <v/>
      </c>
      <c r="U798">
        <f>IF([2]Baskol!$C$801="","",[2]Baskol!$C$801)</f>
        <v/>
      </c>
      <c r="V798">
        <f>IF([2]Baskol!$D$801="","",[2]Baskol!$D$801)</f>
        <v/>
      </c>
      <c r="W798">
        <f>IF([2]Baskol!$E$801="","",[2]Baskol!$E$801)</f>
        <v/>
      </c>
      <c r="X798">
        <f>IF([2]Baskol!$G$801="","",[2]Baskol!$G$801)</f>
        <v/>
      </c>
      <c r="Y798">
        <f>IF([2]Baskol!$I$801="","",[2]Baskol!$I$801)</f>
        <v/>
      </c>
      <c r="Z798">
        <f>IF([2]Baskol!$J$801="","",[2]Baskol!$J$801)</f>
        <v/>
      </c>
      <c r="AA798">
        <f>IF([2]Baskol!$K$801="","",[2]Baskol!$K$801)</f>
        <v/>
      </c>
      <c r="AB798">
        <f>IF([2]Baskol!$L$801="","",[2]Baskol!$L$801)</f>
        <v/>
      </c>
      <c r="AC798">
        <f>IF([2]Baskol!$N$801="","",[2]Baskol!$N$801)</f>
        <v/>
      </c>
      <c r="AD798">
        <f>IF([2]Baskol!$O$801="","",[2]Baskol!$O$801)</f>
        <v/>
      </c>
      <c r="AE798">
        <f>IF([3]Entry!$C$801="","",[3]Entry!$C$801)</f>
        <v/>
      </c>
      <c r="AF798">
        <f>IF([3]Entry!$D$801="","",[3]Entry!$D$801)</f>
        <v/>
      </c>
      <c r="AG798">
        <f>IF([3]Entry!$E$801="","",[3]Entry!$E$801)</f>
        <v/>
      </c>
      <c r="AH798">
        <f>IF([3]Entry!$G$801="","",[3]Entry!$G$801)</f>
        <v/>
      </c>
      <c r="AI798">
        <f>IF([3]Entry!$K$801="","",[3]Entry!$K$801)</f>
        <v/>
      </c>
      <c r="AJ798">
        <f>IF([3]Entry!$L$801="","",[3]Entry!$L$801)</f>
        <v/>
      </c>
      <c r="AK798">
        <f>IF([3]Entry!$M$801="","",[3]Entry!$M$801)</f>
        <v/>
      </c>
      <c r="AL798">
        <f>IF([3]Entry!$N$801="","",[3]Entry!$N$801)</f>
        <v/>
      </c>
      <c r="AM798">
        <f>IF([3]Entry!$R$801="","",[3]Entry!$R$801)</f>
        <v/>
      </c>
    </row>
    <row r="799">
      <c r="T799">
        <f>IF([2]Baskol!$B$802="","",[2]Baskol!$B$802)</f>
        <v/>
      </c>
      <c r="U799">
        <f>IF([2]Baskol!$C$802="","",[2]Baskol!$C$802)</f>
        <v/>
      </c>
      <c r="V799">
        <f>IF([2]Baskol!$D$802="","",[2]Baskol!$D$802)</f>
        <v/>
      </c>
      <c r="W799">
        <f>IF([2]Baskol!$E$802="","",[2]Baskol!$E$802)</f>
        <v/>
      </c>
      <c r="X799">
        <f>IF([2]Baskol!$G$802="","",[2]Baskol!$G$802)</f>
        <v/>
      </c>
      <c r="Y799">
        <f>IF([2]Baskol!$I$802="","",[2]Baskol!$I$802)</f>
        <v/>
      </c>
      <c r="Z799">
        <f>IF([2]Baskol!$J$802="","",[2]Baskol!$J$802)</f>
        <v/>
      </c>
      <c r="AA799">
        <f>IF([2]Baskol!$K$802="","",[2]Baskol!$K$802)</f>
        <v/>
      </c>
      <c r="AB799">
        <f>IF([2]Baskol!$L$802="","",[2]Baskol!$L$802)</f>
        <v/>
      </c>
      <c r="AC799">
        <f>IF([2]Baskol!$N$802="","",[2]Baskol!$N$802)</f>
        <v/>
      </c>
      <c r="AD799">
        <f>IF([2]Baskol!$O$802="","",[2]Baskol!$O$802)</f>
        <v/>
      </c>
      <c r="AE799">
        <f>IF([3]Entry!$C$802="","",[3]Entry!$C$802)</f>
        <v/>
      </c>
      <c r="AF799">
        <f>IF([3]Entry!$D$802="","",[3]Entry!$D$802)</f>
        <v/>
      </c>
      <c r="AG799">
        <f>IF([3]Entry!$E$802="","",[3]Entry!$E$802)</f>
        <v/>
      </c>
      <c r="AH799">
        <f>IF([3]Entry!$G$802="","",[3]Entry!$G$802)</f>
        <v/>
      </c>
      <c r="AI799">
        <f>IF([3]Entry!$K$802="","",[3]Entry!$K$802)</f>
        <v/>
      </c>
      <c r="AJ799">
        <f>IF([3]Entry!$L$802="","",[3]Entry!$L$802)</f>
        <v/>
      </c>
      <c r="AK799">
        <f>IF([3]Entry!$M$802="","",[3]Entry!$M$802)</f>
        <v/>
      </c>
      <c r="AL799">
        <f>IF([3]Entry!$N$802="","",[3]Entry!$N$802)</f>
        <v/>
      </c>
      <c r="AM799">
        <f>IF([3]Entry!$R$802="","",[3]Entry!$R$802)</f>
        <v/>
      </c>
    </row>
    <row r="800">
      <c r="T800">
        <f>IF([2]Baskol!$B$803="","",[2]Baskol!$B$803)</f>
        <v/>
      </c>
      <c r="U800">
        <f>IF([2]Baskol!$C$803="","",[2]Baskol!$C$803)</f>
        <v/>
      </c>
      <c r="V800">
        <f>IF([2]Baskol!$D$803="","",[2]Baskol!$D$803)</f>
        <v/>
      </c>
      <c r="W800">
        <f>IF([2]Baskol!$E$803="","",[2]Baskol!$E$803)</f>
        <v/>
      </c>
      <c r="X800">
        <f>IF([2]Baskol!$G$803="","",[2]Baskol!$G$803)</f>
        <v/>
      </c>
      <c r="Y800">
        <f>IF([2]Baskol!$I$803="","",[2]Baskol!$I$803)</f>
        <v/>
      </c>
      <c r="Z800">
        <f>IF([2]Baskol!$J$803="","",[2]Baskol!$J$803)</f>
        <v/>
      </c>
      <c r="AA800">
        <f>IF([2]Baskol!$K$803="","",[2]Baskol!$K$803)</f>
        <v/>
      </c>
      <c r="AB800">
        <f>IF([2]Baskol!$L$803="","",[2]Baskol!$L$803)</f>
        <v/>
      </c>
      <c r="AC800">
        <f>IF([2]Baskol!$N$803="","",[2]Baskol!$N$803)</f>
        <v/>
      </c>
      <c r="AD800">
        <f>IF([2]Baskol!$O$803="","",[2]Baskol!$O$803)</f>
        <v/>
      </c>
      <c r="AE800">
        <f>IF([3]Entry!$C$803="","",[3]Entry!$C$803)</f>
        <v/>
      </c>
      <c r="AF800">
        <f>IF([3]Entry!$D$803="","",[3]Entry!$D$803)</f>
        <v/>
      </c>
      <c r="AG800">
        <f>IF([3]Entry!$E$803="","",[3]Entry!$E$803)</f>
        <v/>
      </c>
      <c r="AH800">
        <f>IF([3]Entry!$G$803="","",[3]Entry!$G$803)</f>
        <v/>
      </c>
      <c r="AI800">
        <f>IF([3]Entry!$K$803="","",[3]Entry!$K$803)</f>
        <v/>
      </c>
      <c r="AJ800">
        <f>IF([3]Entry!$L$803="","",[3]Entry!$L$803)</f>
        <v/>
      </c>
      <c r="AK800">
        <f>IF([3]Entry!$M$803="","",[3]Entry!$M$803)</f>
        <v/>
      </c>
      <c r="AL800">
        <f>IF([3]Entry!$N$803="","",[3]Entry!$N$803)</f>
        <v/>
      </c>
      <c r="AM800">
        <f>IF([3]Entry!$R$803="","",[3]Entry!$R$803)</f>
        <v/>
      </c>
    </row>
    <row r="801">
      <c r="T801">
        <f>IF([2]Baskol!$B$804="","",[2]Baskol!$B$804)</f>
        <v/>
      </c>
      <c r="U801">
        <f>IF([2]Baskol!$C$804="","",[2]Baskol!$C$804)</f>
        <v/>
      </c>
      <c r="V801">
        <f>IF([2]Baskol!$D$804="","",[2]Baskol!$D$804)</f>
        <v/>
      </c>
      <c r="W801">
        <f>IF([2]Baskol!$E$804="","",[2]Baskol!$E$804)</f>
        <v/>
      </c>
      <c r="X801">
        <f>IF([2]Baskol!$G$804="","",[2]Baskol!$G$804)</f>
        <v/>
      </c>
      <c r="Y801">
        <f>IF([2]Baskol!$I$804="","",[2]Baskol!$I$804)</f>
        <v/>
      </c>
      <c r="Z801">
        <f>IF([2]Baskol!$J$804="","",[2]Baskol!$J$804)</f>
        <v/>
      </c>
      <c r="AA801">
        <f>IF([2]Baskol!$K$804="","",[2]Baskol!$K$804)</f>
        <v/>
      </c>
      <c r="AB801">
        <f>IF([2]Baskol!$L$804="","",[2]Baskol!$L$804)</f>
        <v/>
      </c>
      <c r="AC801">
        <f>IF([2]Baskol!$N$804="","",[2]Baskol!$N$804)</f>
        <v/>
      </c>
      <c r="AD801">
        <f>IF([2]Baskol!$O$804="","",[2]Baskol!$O$804)</f>
        <v/>
      </c>
      <c r="AE801">
        <f>IF([3]Entry!$C$804="","",[3]Entry!$C$804)</f>
        <v/>
      </c>
      <c r="AF801">
        <f>IF([3]Entry!$D$804="","",[3]Entry!$D$804)</f>
        <v/>
      </c>
      <c r="AG801">
        <f>IF([3]Entry!$E$804="","",[3]Entry!$E$804)</f>
        <v/>
      </c>
      <c r="AH801">
        <f>IF([3]Entry!$G$804="","",[3]Entry!$G$804)</f>
        <v/>
      </c>
      <c r="AI801">
        <f>IF([3]Entry!$K$804="","",[3]Entry!$K$804)</f>
        <v/>
      </c>
      <c r="AJ801">
        <f>IF([3]Entry!$L$804="","",[3]Entry!$L$804)</f>
        <v/>
      </c>
      <c r="AK801">
        <f>IF([3]Entry!$M$804="","",[3]Entry!$M$804)</f>
        <v/>
      </c>
      <c r="AL801">
        <f>IF([3]Entry!$N$804="","",[3]Entry!$N$804)</f>
        <v/>
      </c>
      <c r="AM801">
        <f>IF([3]Entry!$R$804="","",[3]Entry!$R$804)</f>
        <v/>
      </c>
    </row>
    <row r="802">
      <c r="T802">
        <f>IF([2]Baskol!$B$805="","",[2]Baskol!$B$805)</f>
        <v/>
      </c>
      <c r="U802">
        <f>IF([2]Baskol!$C$805="","",[2]Baskol!$C$805)</f>
        <v/>
      </c>
      <c r="V802">
        <f>IF([2]Baskol!$D$805="","",[2]Baskol!$D$805)</f>
        <v/>
      </c>
      <c r="W802">
        <f>IF([2]Baskol!$E$805="","",[2]Baskol!$E$805)</f>
        <v/>
      </c>
      <c r="X802">
        <f>IF([2]Baskol!$G$805="","",[2]Baskol!$G$805)</f>
        <v/>
      </c>
      <c r="Y802">
        <f>IF([2]Baskol!$I$805="","",[2]Baskol!$I$805)</f>
        <v/>
      </c>
      <c r="Z802">
        <f>IF([2]Baskol!$J$805="","",[2]Baskol!$J$805)</f>
        <v/>
      </c>
      <c r="AA802">
        <f>IF([2]Baskol!$K$805="","",[2]Baskol!$K$805)</f>
        <v/>
      </c>
      <c r="AB802">
        <f>IF([2]Baskol!$L$805="","",[2]Baskol!$L$805)</f>
        <v/>
      </c>
      <c r="AC802">
        <f>IF([2]Baskol!$N$805="","",[2]Baskol!$N$805)</f>
        <v/>
      </c>
      <c r="AD802">
        <f>IF([2]Baskol!$O$805="","",[2]Baskol!$O$805)</f>
        <v/>
      </c>
      <c r="AE802">
        <f>IF([3]Entry!$C$805="","",[3]Entry!$C$805)</f>
        <v/>
      </c>
      <c r="AF802">
        <f>IF([3]Entry!$D$805="","",[3]Entry!$D$805)</f>
        <v/>
      </c>
      <c r="AG802">
        <f>IF([3]Entry!$E$805="","",[3]Entry!$E$805)</f>
        <v/>
      </c>
      <c r="AH802">
        <f>IF([3]Entry!$G$805="","",[3]Entry!$G$805)</f>
        <v/>
      </c>
      <c r="AI802">
        <f>IF([3]Entry!$K$805="","",[3]Entry!$K$805)</f>
        <v/>
      </c>
      <c r="AJ802">
        <f>IF([3]Entry!$L$805="","",[3]Entry!$L$805)</f>
        <v/>
      </c>
      <c r="AK802">
        <f>IF([3]Entry!$M$805="","",[3]Entry!$M$805)</f>
        <v/>
      </c>
      <c r="AL802">
        <f>IF([3]Entry!$N$805="","",[3]Entry!$N$805)</f>
        <v/>
      </c>
      <c r="AM802">
        <f>IF([3]Entry!$R$805="","",[3]Entry!$R$805)</f>
        <v/>
      </c>
    </row>
    <row r="803">
      <c r="T803">
        <f>IF([2]Baskol!$B$806="","",[2]Baskol!$B$806)</f>
        <v/>
      </c>
      <c r="U803">
        <f>IF([2]Baskol!$C$806="","",[2]Baskol!$C$806)</f>
        <v/>
      </c>
      <c r="V803">
        <f>IF([2]Baskol!$D$806="","",[2]Baskol!$D$806)</f>
        <v/>
      </c>
      <c r="W803">
        <f>IF([2]Baskol!$E$806="","",[2]Baskol!$E$806)</f>
        <v/>
      </c>
      <c r="X803">
        <f>IF([2]Baskol!$G$806="","",[2]Baskol!$G$806)</f>
        <v/>
      </c>
      <c r="Y803">
        <f>IF([2]Baskol!$I$806="","",[2]Baskol!$I$806)</f>
        <v/>
      </c>
      <c r="Z803">
        <f>IF([2]Baskol!$J$806="","",[2]Baskol!$J$806)</f>
        <v/>
      </c>
      <c r="AA803">
        <f>IF([2]Baskol!$K$806="","",[2]Baskol!$K$806)</f>
        <v/>
      </c>
      <c r="AB803">
        <f>IF([2]Baskol!$L$806="","",[2]Baskol!$L$806)</f>
        <v/>
      </c>
      <c r="AC803">
        <f>IF([2]Baskol!$N$806="","",[2]Baskol!$N$806)</f>
        <v/>
      </c>
      <c r="AD803">
        <f>IF([2]Baskol!$O$806="","",[2]Baskol!$O$806)</f>
        <v/>
      </c>
      <c r="AE803">
        <f>IF([3]Entry!$C$806="","",[3]Entry!$C$806)</f>
        <v/>
      </c>
      <c r="AF803">
        <f>IF([3]Entry!$D$806="","",[3]Entry!$D$806)</f>
        <v/>
      </c>
      <c r="AG803">
        <f>IF([3]Entry!$E$806="","",[3]Entry!$E$806)</f>
        <v/>
      </c>
      <c r="AH803">
        <f>IF([3]Entry!$G$806="","",[3]Entry!$G$806)</f>
        <v/>
      </c>
      <c r="AI803">
        <f>IF([3]Entry!$K$806="","",[3]Entry!$K$806)</f>
        <v/>
      </c>
      <c r="AJ803">
        <f>IF([3]Entry!$L$806="","",[3]Entry!$L$806)</f>
        <v/>
      </c>
      <c r="AK803">
        <f>IF([3]Entry!$M$806="","",[3]Entry!$M$806)</f>
        <v/>
      </c>
      <c r="AL803">
        <f>IF([3]Entry!$N$806="","",[3]Entry!$N$806)</f>
        <v/>
      </c>
      <c r="AM803">
        <f>IF([3]Entry!$R$806="","",[3]Entry!$R$806)</f>
        <v/>
      </c>
    </row>
    <row r="804">
      <c r="T804">
        <f>IF([2]Baskol!$B$807="","",[2]Baskol!$B$807)</f>
        <v/>
      </c>
      <c r="U804">
        <f>IF([2]Baskol!$C$807="","",[2]Baskol!$C$807)</f>
        <v/>
      </c>
      <c r="V804">
        <f>IF([2]Baskol!$D$807="","",[2]Baskol!$D$807)</f>
        <v/>
      </c>
      <c r="W804">
        <f>IF([2]Baskol!$E$807="","",[2]Baskol!$E$807)</f>
        <v/>
      </c>
      <c r="X804">
        <f>IF([2]Baskol!$G$807="","",[2]Baskol!$G$807)</f>
        <v/>
      </c>
      <c r="Y804">
        <f>IF([2]Baskol!$I$807="","",[2]Baskol!$I$807)</f>
        <v/>
      </c>
      <c r="Z804">
        <f>IF([2]Baskol!$J$807="","",[2]Baskol!$J$807)</f>
        <v/>
      </c>
      <c r="AA804">
        <f>IF([2]Baskol!$K$807="","",[2]Baskol!$K$807)</f>
        <v/>
      </c>
      <c r="AB804">
        <f>IF([2]Baskol!$L$807="","",[2]Baskol!$L$807)</f>
        <v/>
      </c>
      <c r="AC804">
        <f>IF([2]Baskol!$N$807="","",[2]Baskol!$N$807)</f>
        <v/>
      </c>
      <c r="AD804">
        <f>IF([2]Baskol!$O$807="","",[2]Baskol!$O$807)</f>
        <v/>
      </c>
      <c r="AE804">
        <f>IF([3]Entry!$C$807="","",[3]Entry!$C$807)</f>
        <v/>
      </c>
      <c r="AF804">
        <f>IF([3]Entry!$D$807="","",[3]Entry!$D$807)</f>
        <v/>
      </c>
      <c r="AG804">
        <f>IF([3]Entry!$E$807="","",[3]Entry!$E$807)</f>
        <v/>
      </c>
      <c r="AH804">
        <f>IF([3]Entry!$G$807="","",[3]Entry!$G$807)</f>
        <v/>
      </c>
      <c r="AI804">
        <f>IF([3]Entry!$K$807="","",[3]Entry!$K$807)</f>
        <v/>
      </c>
      <c r="AJ804">
        <f>IF([3]Entry!$L$807="","",[3]Entry!$L$807)</f>
        <v/>
      </c>
      <c r="AK804">
        <f>IF([3]Entry!$M$807="","",[3]Entry!$M$807)</f>
        <v/>
      </c>
      <c r="AL804">
        <f>IF([3]Entry!$N$807="","",[3]Entry!$N$807)</f>
        <v/>
      </c>
      <c r="AM804">
        <f>IF([3]Entry!$R$807="","",[3]Entry!$R$807)</f>
        <v/>
      </c>
    </row>
    <row r="805">
      <c r="T805">
        <f>IF([2]Baskol!$B$808="","",[2]Baskol!$B$808)</f>
        <v/>
      </c>
      <c r="U805">
        <f>IF([2]Baskol!$C$808="","",[2]Baskol!$C$808)</f>
        <v/>
      </c>
      <c r="V805">
        <f>IF([2]Baskol!$D$808="","",[2]Baskol!$D$808)</f>
        <v/>
      </c>
      <c r="W805">
        <f>IF([2]Baskol!$E$808="","",[2]Baskol!$E$808)</f>
        <v/>
      </c>
      <c r="X805">
        <f>IF([2]Baskol!$G$808="","",[2]Baskol!$G$808)</f>
        <v/>
      </c>
      <c r="Y805">
        <f>IF([2]Baskol!$I$808="","",[2]Baskol!$I$808)</f>
        <v/>
      </c>
      <c r="Z805">
        <f>IF([2]Baskol!$J$808="","",[2]Baskol!$J$808)</f>
        <v/>
      </c>
      <c r="AA805">
        <f>IF([2]Baskol!$K$808="","",[2]Baskol!$K$808)</f>
        <v/>
      </c>
      <c r="AB805">
        <f>IF([2]Baskol!$L$808="","",[2]Baskol!$L$808)</f>
        <v/>
      </c>
      <c r="AC805">
        <f>IF([2]Baskol!$N$808="","",[2]Baskol!$N$808)</f>
        <v/>
      </c>
      <c r="AD805">
        <f>IF([2]Baskol!$O$808="","",[2]Baskol!$O$808)</f>
        <v/>
      </c>
      <c r="AE805">
        <f>IF([3]Entry!$C$808="","",[3]Entry!$C$808)</f>
        <v/>
      </c>
      <c r="AF805">
        <f>IF([3]Entry!$D$808="","",[3]Entry!$D$808)</f>
        <v/>
      </c>
      <c r="AG805">
        <f>IF([3]Entry!$E$808="","",[3]Entry!$E$808)</f>
        <v/>
      </c>
      <c r="AH805">
        <f>IF([3]Entry!$G$808="","",[3]Entry!$G$808)</f>
        <v/>
      </c>
      <c r="AI805">
        <f>IF([3]Entry!$K$808="","",[3]Entry!$K$808)</f>
        <v/>
      </c>
      <c r="AJ805">
        <f>IF([3]Entry!$L$808="","",[3]Entry!$L$808)</f>
        <v/>
      </c>
      <c r="AK805">
        <f>IF([3]Entry!$M$808="","",[3]Entry!$M$808)</f>
        <v/>
      </c>
      <c r="AL805">
        <f>IF([3]Entry!$N$808="","",[3]Entry!$N$808)</f>
        <v/>
      </c>
      <c r="AM805">
        <f>IF([3]Entry!$R$808="","",[3]Entry!$R$808)</f>
        <v/>
      </c>
    </row>
    <row r="806">
      <c r="T806">
        <f>IF([2]Baskol!$B$809="","",[2]Baskol!$B$809)</f>
        <v/>
      </c>
      <c r="U806">
        <f>IF([2]Baskol!$C$809="","",[2]Baskol!$C$809)</f>
        <v/>
      </c>
      <c r="V806">
        <f>IF([2]Baskol!$D$809="","",[2]Baskol!$D$809)</f>
        <v/>
      </c>
      <c r="W806">
        <f>IF([2]Baskol!$E$809="","",[2]Baskol!$E$809)</f>
        <v/>
      </c>
      <c r="X806">
        <f>IF([2]Baskol!$G$809="","",[2]Baskol!$G$809)</f>
        <v/>
      </c>
      <c r="Y806">
        <f>IF([2]Baskol!$I$809="","",[2]Baskol!$I$809)</f>
        <v/>
      </c>
      <c r="Z806">
        <f>IF([2]Baskol!$J$809="","",[2]Baskol!$J$809)</f>
        <v/>
      </c>
      <c r="AA806">
        <f>IF([2]Baskol!$K$809="","",[2]Baskol!$K$809)</f>
        <v/>
      </c>
      <c r="AB806">
        <f>IF([2]Baskol!$L$809="","",[2]Baskol!$L$809)</f>
        <v/>
      </c>
      <c r="AC806">
        <f>IF([2]Baskol!$N$809="","",[2]Baskol!$N$809)</f>
        <v/>
      </c>
      <c r="AD806">
        <f>IF([2]Baskol!$O$809="","",[2]Baskol!$O$809)</f>
        <v/>
      </c>
      <c r="AE806">
        <f>IF([3]Entry!$C$809="","",[3]Entry!$C$809)</f>
        <v/>
      </c>
      <c r="AF806">
        <f>IF([3]Entry!$D$809="","",[3]Entry!$D$809)</f>
        <v/>
      </c>
      <c r="AG806">
        <f>IF([3]Entry!$E$809="","",[3]Entry!$E$809)</f>
        <v/>
      </c>
      <c r="AH806">
        <f>IF([3]Entry!$G$809="","",[3]Entry!$G$809)</f>
        <v/>
      </c>
      <c r="AI806">
        <f>IF([3]Entry!$K$809="","",[3]Entry!$K$809)</f>
        <v/>
      </c>
      <c r="AJ806">
        <f>IF([3]Entry!$L$809="","",[3]Entry!$L$809)</f>
        <v/>
      </c>
      <c r="AK806">
        <f>IF([3]Entry!$M$809="","",[3]Entry!$M$809)</f>
        <v/>
      </c>
      <c r="AL806">
        <f>IF([3]Entry!$N$809="","",[3]Entry!$N$809)</f>
        <v/>
      </c>
      <c r="AM806">
        <f>IF([3]Entry!$R$809="","",[3]Entry!$R$809)</f>
        <v/>
      </c>
    </row>
    <row r="807">
      <c r="T807">
        <f>IF([2]Baskol!$B$810="","",[2]Baskol!$B$810)</f>
        <v/>
      </c>
      <c r="U807">
        <f>IF([2]Baskol!$C$810="","",[2]Baskol!$C$810)</f>
        <v/>
      </c>
      <c r="V807">
        <f>IF([2]Baskol!$D$810="","",[2]Baskol!$D$810)</f>
        <v/>
      </c>
      <c r="W807">
        <f>IF([2]Baskol!$E$810="","",[2]Baskol!$E$810)</f>
        <v/>
      </c>
      <c r="X807">
        <f>IF([2]Baskol!$G$810="","",[2]Baskol!$G$810)</f>
        <v/>
      </c>
      <c r="Y807">
        <f>IF([2]Baskol!$I$810="","",[2]Baskol!$I$810)</f>
        <v/>
      </c>
      <c r="Z807">
        <f>IF([2]Baskol!$J$810="","",[2]Baskol!$J$810)</f>
        <v/>
      </c>
      <c r="AA807">
        <f>IF([2]Baskol!$K$810="","",[2]Baskol!$K$810)</f>
        <v/>
      </c>
      <c r="AB807">
        <f>IF([2]Baskol!$L$810="","",[2]Baskol!$L$810)</f>
        <v/>
      </c>
      <c r="AC807">
        <f>IF([2]Baskol!$N$810="","",[2]Baskol!$N$810)</f>
        <v/>
      </c>
      <c r="AD807">
        <f>IF([2]Baskol!$O$810="","",[2]Baskol!$O$810)</f>
        <v/>
      </c>
      <c r="AE807">
        <f>IF([3]Entry!$C$810="","",[3]Entry!$C$810)</f>
        <v/>
      </c>
      <c r="AF807">
        <f>IF([3]Entry!$D$810="","",[3]Entry!$D$810)</f>
        <v/>
      </c>
      <c r="AG807">
        <f>IF([3]Entry!$E$810="","",[3]Entry!$E$810)</f>
        <v/>
      </c>
      <c r="AH807">
        <f>IF([3]Entry!$G$810="","",[3]Entry!$G$810)</f>
        <v/>
      </c>
      <c r="AI807">
        <f>IF([3]Entry!$K$810="","",[3]Entry!$K$810)</f>
        <v/>
      </c>
      <c r="AJ807">
        <f>IF([3]Entry!$L$810="","",[3]Entry!$L$810)</f>
        <v/>
      </c>
      <c r="AK807">
        <f>IF([3]Entry!$M$810="","",[3]Entry!$M$810)</f>
        <v/>
      </c>
      <c r="AL807">
        <f>IF([3]Entry!$N$810="","",[3]Entry!$N$810)</f>
        <v/>
      </c>
      <c r="AM807">
        <f>IF([3]Entry!$R$810="","",[3]Entry!$R$810)</f>
        <v/>
      </c>
    </row>
    <row r="808">
      <c r="T808">
        <f>IF([2]Baskol!$B$811="","",[2]Baskol!$B$811)</f>
        <v/>
      </c>
      <c r="U808">
        <f>IF([2]Baskol!$C$811="","",[2]Baskol!$C$811)</f>
        <v/>
      </c>
      <c r="V808">
        <f>IF([2]Baskol!$D$811="","",[2]Baskol!$D$811)</f>
        <v/>
      </c>
      <c r="W808">
        <f>IF([2]Baskol!$E$811="","",[2]Baskol!$E$811)</f>
        <v/>
      </c>
      <c r="X808">
        <f>IF([2]Baskol!$G$811="","",[2]Baskol!$G$811)</f>
        <v/>
      </c>
      <c r="Y808">
        <f>IF([2]Baskol!$I$811="","",[2]Baskol!$I$811)</f>
        <v/>
      </c>
      <c r="Z808">
        <f>IF([2]Baskol!$J$811="","",[2]Baskol!$J$811)</f>
        <v/>
      </c>
      <c r="AA808">
        <f>IF([2]Baskol!$K$811="","",[2]Baskol!$K$811)</f>
        <v/>
      </c>
      <c r="AB808">
        <f>IF([2]Baskol!$L$811="","",[2]Baskol!$L$811)</f>
        <v/>
      </c>
      <c r="AC808">
        <f>IF([2]Baskol!$N$811="","",[2]Baskol!$N$811)</f>
        <v/>
      </c>
      <c r="AD808">
        <f>IF([2]Baskol!$O$811="","",[2]Baskol!$O$811)</f>
        <v/>
      </c>
      <c r="AE808">
        <f>IF([3]Entry!$C$811="","",[3]Entry!$C$811)</f>
        <v/>
      </c>
      <c r="AF808">
        <f>IF([3]Entry!$D$811="","",[3]Entry!$D$811)</f>
        <v/>
      </c>
      <c r="AG808">
        <f>IF([3]Entry!$E$811="","",[3]Entry!$E$811)</f>
        <v/>
      </c>
      <c r="AH808">
        <f>IF([3]Entry!$G$811="","",[3]Entry!$G$811)</f>
        <v/>
      </c>
      <c r="AI808">
        <f>IF([3]Entry!$K$811="","",[3]Entry!$K$811)</f>
        <v/>
      </c>
      <c r="AJ808">
        <f>IF([3]Entry!$L$811="","",[3]Entry!$L$811)</f>
        <v/>
      </c>
      <c r="AK808">
        <f>IF([3]Entry!$M$811="","",[3]Entry!$M$811)</f>
        <v/>
      </c>
      <c r="AL808">
        <f>IF([3]Entry!$N$811="","",[3]Entry!$N$811)</f>
        <v/>
      </c>
      <c r="AM808">
        <f>IF([3]Entry!$R$811="","",[3]Entry!$R$811)</f>
        <v/>
      </c>
    </row>
    <row r="809">
      <c r="T809">
        <f>IF([2]Baskol!$B$812="","",[2]Baskol!$B$812)</f>
        <v/>
      </c>
      <c r="U809">
        <f>IF([2]Baskol!$C$812="","",[2]Baskol!$C$812)</f>
        <v/>
      </c>
      <c r="V809">
        <f>IF([2]Baskol!$D$812="","",[2]Baskol!$D$812)</f>
        <v/>
      </c>
      <c r="W809">
        <f>IF([2]Baskol!$E$812="","",[2]Baskol!$E$812)</f>
        <v/>
      </c>
      <c r="X809">
        <f>IF([2]Baskol!$G$812="","",[2]Baskol!$G$812)</f>
        <v/>
      </c>
      <c r="Y809">
        <f>IF([2]Baskol!$I$812="","",[2]Baskol!$I$812)</f>
        <v/>
      </c>
      <c r="Z809">
        <f>IF([2]Baskol!$J$812="","",[2]Baskol!$J$812)</f>
        <v/>
      </c>
      <c r="AA809">
        <f>IF([2]Baskol!$K$812="","",[2]Baskol!$K$812)</f>
        <v/>
      </c>
      <c r="AB809">
        <f>IF([2]Baskol!$L$812="","",[2]Baskol!$L$812)</f>
        <v/>
      </c>
      <c r="AC809">
        <f>IF([2]Baskol!$N$812="","",[2]Baskol!$N$812)</f>
        <v/>
      </c>
      <c r="AD809">
        <f>IF([2]Baskol!$O$812="","",[2]Baskol!$O$812)</f>
        <v/>
      </c>
      <c r="AE809">
        <f>IF([3]Entry!$C$812="","",[3]Entry!$C$812)</f>
        <v/>
      </c>
      <c r="AF809">
        <f>IF([3]Entry!$D$812="","",[3]Entry!$D$812)</f>
        <v/>
      </c>
      <c r="AG809">
        <f>IF([3]Entry!$E$812="","",[3]Entry!$E$812)</f>
        <v/>
      </c>
      <c r="AH809">
        <f>IF([3]Entry!$G$812="","",[3]Entry!$G$812)</f>
        <v/>
      </c>
      <c r="AI809">
        <f>IF([3]Entry!$K$812="","",[3]Entry!$K$812)</f>
        <v/>
      </c>
      <c r="AJ809">
        <f>IF([3]Entry!$L$812="","",[3]Entry!$L$812)</f>
        <v/>
      </c>
      <c r="AK809">
        <f>IF([3]Entry!$M$812="","",[3]Entry!$M$812)</f>
        <v/>
      </c>
      <c r="AL809">
        <f>IF([3]Entry!$N$812="","",[3]Entry!$N$812)</f>
        <v/>
      </c>
      <c r="AM809">
        <f>IF([3]Entry!$R$812="","",[3]Entry!$R$812)</f>
        <v/>
      </c>
    </row>
    <row r="810">
      <c r="T810">
        <f>IF([2]Baskol!$B$813="","",[2]Baskol!$B$813)</f>
        <v/>
      </c>
      <c r="U810">
        <f>IF([2]Baskol!$C$813="","",[2]Baskol!$C$813)</f>
        <v/>
      </c>
      <c r="V810">
        <f>IF([2]Baskol!$D$813="","",[2]Baskol!$D$813)</f>
        <v/>
      </c>
      <c r="W810">
        <f>IF([2]Baskol!$E$813="","",[2]Baskol!$E$813)</f>
        <v/>
      </c>
      <c r="X810">
        <f>IF([2]Baskol!$G$813="","",[2]Baskol!$G$813)</f>
        <v/>
      </c>
      <c r="Y810">
        <f>IF([2]Baskol!$I$813="","",[2]Baskol!$I$813)</f>
        <v/>
      </c>
      <c r="Z810">
        <f>IF([2]Baskol!$J$813="","",[2]Baskol!$J$813)</f>
        <v/>
      </c>
      <c r="AA810">
        <f>IF([2]Baskol!$K$813="","",[2]Baskol!$K$813)</f>
        <v/>
      </c>
      <c r="AB810">
        <f>IF([2]Baskol!$L$813="","",[2]Baskol!$L$813)</f>
        <v/>
      </c>
      <c r="AC810">
        <f>IF([2]Baskol!$N$813="","",[2]Baskol!$N$813)</f>
        <v/>
      </c>
      <c r="AD810">
        <f>IF([2]Baskol!$O$813="","",[2]Baskol!$O$813)</f>
        <v/>
      </c>
      <c r="AE810">
        <f>IF([3]Entry!$C$813="","",[3]Entry!$C$813)</f>
        <v/>
      </c>
      <c r="AF810">
        <f>IF([3]Entry!$D$813="","",[3]Entry!$D$813)</f>
        <v/>
      </c>
      <c r="AG810">
        <f>IF([3]Entry!$E$813="","",[3]Entry!$E$813)</f>
        <v/>
      </c>
      <c r="AH810">
        <f>IF([3]Entry!$G$813="","",[3]Entry!$G$813)</f>
        <v/>
      </c>
      <c r="AI810">
        <f>IF([3]Entry!$K$813="","",[3]Entry!$K$813)</f>
        <v/>
      </c>
      <c r="AJ810">
        <f>IF([3]Entry!$L$813="","",[3]Entry!$L$813)</f>
        <v/>
      </c>
      <c r="AK810">
        <f>IF([3]Entry!$M$813="","",[3]Entry!$M$813)</f>
        <v/>
      </c>
      <c r="AL810">
        <f>IF([3]Entry!$N$813="","",[3]Entry!$N$813)</f>
        <v/>
      </c>
      <c r="AM810">
        <f>IF([3]Entry!$R$813="","",[3]Entry!$R$813)</f>
        <v/>
      </c>
    </row>
    <row r="811">
      <c r="T811">
        <f>IF([2]Baskol!$B$814="","",[2]Baskol!$B$814)</f>
        <v/>
      </c>
      <c r="U811">
        <f>IF([2]Baskol!$C$814="","",[2]Baskol!$C$814)</f>
        <v/>
      </c>
      <c r="V811">
        <f>IF([2]Baskol!$D$814="","",[2]Baskol!$D$814)</f>
        <v/>
      </c>
      <c r="W811">
        <f>IF([2]Baskol!$E$814="","",[2]Baskol!$E$814)</f>
        <v/>
      </c>
      <c r="X811">
        <f>IF([2]Baskol!$G$814="","",[2]Baskol!$G$814)</f>
        <v/>
      </c>
      <c r="Y811">
        <f>IF([2]Baskol!$I$814="","",[2]Baskol!$I$814)</f>
        <v/>
      </c>
      <c r="Z811">
        <f>IF([2]Baskol!$J$814="","",[2]Baskol!$J$814)</f>
        <v/>
      </c>
      <c r="AA811">
        <f>IF([2]Baskol!$K$814="","",[2]Baskol!$K$814)</f>
        <v/>
      </c>
      <c r="AB811">
        <f>IF([2]Baskol!$L$814="","",[2]Baskol!$L$814)</f>
        <v/>
      </c>
      <c r="AC811">
        <f>IF([2]Baskol!$N$814="","",[2]Baskol!$N$814)</f>
        <v/>
      </c>
      <c r="AD811">
        <f>IF([2]Baskol!$O$814="","",[2]Baskol!$O$814)</f>
        <v/>
      </c>
      <c r="AE811">
        <f>IF([3]Entry!$C$814="","",[3]Entry!$C$814)</f>
        <v/>
      </c>
      <c r="AF811">
        <f>IF([3]Entry!$D$814="","",[3]Entry!$D$814)</f>
        <v/>
      </c>
      <c r="AG811">
        <f>IF([3]Entry!$E$814="","",[3]Entry!$E$814)</f>
        <v/>
      </c>
      <c r="AH811">
        <f>IF([3]Entry!$G$814="","",[3]Entry!$G$814)</f>
        <v/>
      </c>
      <c r="AI811">
        <f>IF([3]Entry!$K$814="","",[3]Entry!$K$814)</f>
        <v/>
      </c>
      <c r="AJ811">
        <f>IF([3]Entry!$L$814="","",[3]Entry!$L$814)</f>
        <v/>
      </c>
      <c r="AK811">
        <f>IF([3]Entry!$M$814="","",[3]Entry!$M$814)</f>
        <v/>
      </c>
      <c r="AL811">
        <f>IF([3]Entry!$N$814="","",[3]Entry!$N$814)</f>
        <v/>
      </c>
      <c r="AM811">
        <f>IF([3]Entry!$R$814="","",[3]Entry!$R$814)</f>
        <v/>
      </c>
    </row>
    <row r="812">
      <c r="T812">
        <f>IF([2]Baskol!$B$815="","",[2]Baskol!$B$815)</f>
        <v/>
      </c>
      <c r="U812">
        <f>IF([2]Baskol!$C$815="","",[2]Baskol!$C$815)</f>
        <v/>
      </c>
      <c r="V812">
        <f>IF([2]Baskol!$D$815="","",[2]Baskol!$D$815)</f>
        <v/>
      </c>
      <c r="W812">
        <f>IF([2]Baskol!$E$815="","",[2]Baskol!$E$815)</f>
        <v/>
      </c>
      <c r="X812">
        <f>IF([2]Baskol!$G$815="","",[2]Baskol!$G$815)</f>
        <v/>
      </c>
      <c r="Y812">
        <f>IF([2]Baskol!$I$815="","",[2]Baskol!$I$815)</f>
        <v/>
      </c>
      <c r="Z812">
        <f>IF([2]Baskol!$J$815="","",[2]Baskol!$J$815)</f>
        <v/>
      </c>
      <c r="AA812">
        <f>IF([2]Baskol!$K$815="","",[2]Baskol!$K$815)</f>
        <v/>
      </c>
      <c r="AB812">
        <f>IF([2]Baskol!$L$815="","",[2]Baskol!$L$815)</f>
        <v/>
      </c>
      <c r="AC812">
        <f>IF([2]Baskol!$N$815="","",[2]Baskol!$N$815)</f>
        <v/>
      </c>
      <c r="AD812">
        <f>IF([2]Baskol!$O$815="","",[2]Baskol!$O$815)</f>
        <v/>
      </c>
      <c r="AE812">
        <f>IF([3]Entry!$C$815="","",[3]Entry!$C$815)</f>
        <v/>
      </c>
      <c r="AF812">
        <f>IF([3]Entry!$D$815="","",[3]Entry!$D$815)</f>
        <v/>
      </c>
      <c r="AG812">
        <f>IF([3]Entry!$E$815="","",[3]Entry!$E$815)</f>
        <v/>
      </c>
      <c r="AH812">
        <f>IF([3]Entry!$G$815="","",[3]Entry!$G$815)</f>
        <v/>
      </c>
      <c r="AI812">
        <f>IF([3]Entry!$K$815="","",[3]Entry!$K$815)</f>
        <v/>
      </c>
      <c r="AJ812">
        <f>IF([3]Entry!$L$815="","",[3]Entry!$L$815)</f>
        <v/>
      </c>
      <c r="AK812">
        <f>IF([3]Entry!$M$815="","",[3]Entry!$M$815)</f>
        <v/>
      </c>
      <c r="AL812">
        <f>IF([3]Entry!$N$815="","",[3]Entry!$N$815)</f>
        <v/>
      </c>
      <c r="AM812">
        <f>IF([3]Entry!$R$815="","",[3]Entry!$R$815)</f>
        <v/>
      </c>
    </row>
    <row r="813">
      <c r="T813">
        <f>IF([2]Baskol!$B$816="","",[2]Baskol!$B$816)</f>
        <v/>
      </c>
      <c r="U813">
        <f>IF([2]Baskol!$C$816="","",[2]Baskol!$C$816)</f>
        <v/>
      </c>
      <c r="V813">
        <f>IF([2]Baskol!$D$816="","",[2]Baskol!$D$816)</f>
        <v/>
      </c>
      <c r="W813">
        <f>IF([2]Baskol!$E$816="","",[2]Baskol!$E$816)</f>
        <v/>
      </c>
      <c r="X813">
        <f>IF([2]Baskol!$G$816="","",[2]Baskol!$G$816)</f>
        <v/>
      </c>
      <c r="Y813">
        <f>IF([2]Baskol!$I$816="","",[2]Baskol!$I$816)</f>
        <v/>
      </c>
      <c r="Z813">
        <f>IF([2]Baskol!$J$816="","",[2]Baskol!$J$816)</f>
        <v/>
      </c>
      <c r="AA813">
        <f>IF([2]Baskol!$K$816="","",[2]Baskol!$K$816)</f>
        <v/>
      </c>
      <c r="AB813">
        <f>IF([2]Baskol!$L$816="","",[2]Baskol!$L$816)</f>
        <v/>
      </c>
      <c r="AC813">
        <f>IF([2]Baskol!$N$816="","",[2]Baskol!$N$816)</f>
        <v/>
      </c>
      <c r="AD813">
        <f>IF([2]Baskol!$O$816="","",[2]Baskol!$O$816)</f>
        <v/>
      </c>
      <c r="AE813">
        <f>IF([3]Entry!$C$816="","",[3]Entry!$C$816)</f>
        <v/>
      </c>
      <c r="AF813">
        <f>IF([3]Entry!$D$816="","",[3]Entry!$D$816)</f>
        <v/>
      </c>
      <c r="AG813">
        <f>IF([3]Entry!$E$816="","",[3]Entry!$E$816)</f>
        <v/>
      </c>
      <c r="AH813">
        <f>IF([3]Entry!$G$816="","",[3]Entry!$G$816)</f>
        <v/>
      </c>
      <c r="AI813">
        <f>IF([3]Entry!$K$816="","",[3]Entry!$K$816)</f>
        <v/>
      </c>
      <c r="AJ813">
        <f>IF([3]Entry!$L$816="","",[3]Entry!$L$816)</f>
        <v/>
      </c>
      <c r="AK813">
        <f>IF([3]Entry!$M$816="","",[3]Entry!$M$816)</f>
        <v/>
      </c>
      <c r="AL813">
        <f>IF([3]Entry!$N$816="","",[3]Entry!$N$816)</f>
        <v/>
      </c>
      <c r="AM813">
        <f>IF([3]Entry!$R$816="","",[3]Entry!$R$816)</f>
        <v/>
      </c>
    </row>
    <row r="814">
      <c r="T814">
        <f>IF([2]Baskol!$B$817="","",[2]Baskol!$B$817)</f>
        <v/>
      </c>
      <c r="U814">
        <f>IF([2]Baskol!$C$817="","",[2]Baskol!$C$817)</f>
        <v/>
      </c>
      <c r="V814">
        <f>IF([2]Baskol!$D$817="","",[2]Baskol!$D$817)</f>
        <v/>
      </c>
      <c r="W814">
        <f>IF([2]Baskol!$E$817="","",[2]Baskol!$E$817)</f>
        <v/>
      </c>
      <c r="X814">
        <f>IF([2]Baskol!$G$817="","",[2]Baskol!$G$817)</f>
        <v/>
      </c>
      <c r="Y814">
        <f>IF([2]Baskol!$I$817="","",[2]Baskol!$I$817)</f>
        <v/>
      </c>
      <c r="Z814">
        <f>IF([2]Baskol!$J$817="","",[2]Baskol!$J$817)</f>
        <v/>
      </c>
      <c r="AA814">
        <f>IF([2]Baskol!$K$817="","",[2]Baskol!$K$817)</f>
        <v/>
      </c>
      <c r="AB814">
        <f>IF([2]Baskol!$L$817="","",[2]Baskol!$L$817)</f>
        <v/>
      </c>
      <c r="AC814">
        <f>IF([2]Baskol!$N$817="","",[2]Baskol!$N$817)</f>
        <v/>
      </c>
      <c r="AD814">
        <f>IF([2]Baskol!$O$817="","",[2]Baskol!$O$817)</f>
        <v/>
      </c>
      <c r="AE814">
        <f>IF([3]Entry!$C$817="","",[3]Entry!$C$817)</f>
        <v/>
      </c>
      <c r="AF814">
        <f>IF([3]Entry!$D$817="","",[3]Entry!$D$817)</f>
        <v/>
      </c>
      <c r="AG814">
        <f>IF([3]Entry!$E$817="","",[3]Entry!$E$817)</f>
        <v/>
      </c>
      <c r="AH814">
        <f>IF([3]Entry!$G$817="","",[3]Entry!$G$817)</f>
        <v/>
      </c>
      <c r="AI814">
        <f>IF([3]Entry!$K$817="","",[3]Entry!$K$817)</f>
        <v/>
      </c>
      <c r="AJ814">
        <f>IF([3]Entry!$L$817="","",[3]Entry!$L$817)</f>
        <v/>
      </c>
      <c r="AK814">
        <f>IF([3]Entry!$M$817="","",[3]Entry!$M$817)</f>
        <v/>
      </c>
      <c r="AL814">
        <f>IF([3]Entry!$N$817="","",[3]Entry!$N$817)</f>
        <v/>
      </c>
      <c r="AM814">
        <f>IF([3]Entry!$R$817="","",[3]Entry!$R$817)</f>
        <v/>
      </c>
    </row>
    <row r="815">
      <c r="T815">
        <f>IF([2]Baskol!$B$818="","",[2]Baskol!$B$818)</f>
        <v/>
      </c>
      <c r="U815">
        <f>IF([2]Baskol!$C$818="","",[2]Baskol!$C$818)</f>
        <v/>
      </c>
      <c r="V815">
        <f>IF([2]Baskol!$D$818="","",[2]Baskol!$D$818)</f>
        <v/>
      </c>
      <c r="W815">
        <f>IF([2]Baskol!$E$818="","",[2]Baskol!$E$818)</f>
        <v/>
      </c>
      <c r="X815">
        <f>IF([2]Baskol!$G$818="","",[2]Baskol!$G$818)</f>
        <v/>
      </c>
      <c r="Y815">
        <f>IF([2]Baskol!$I$818="","",[2]Baskol!$I$818)</f>
        <v/>
      </c>
      <c r="Z815">
        <f>IF([2]Baskol!$J$818="","",[2]Baskol!$J$818)</f>
        <v/>
      </c>
      <c r="AA815">
        <f>IF([2]Baskol!$K$818="","",[2]Baskol!$K$818)</f>
        <v/>
      </c>
      <c r="AB815">
        <f>IF([2]Baskol!$L$818="","",[2]Baskol!$L$818)</f>
        <v/>
      </c>
      <c r="AC815">
        <f>IF([2]Baskol!$N$818="","",[2]Baskol!$N$818)</f>
        <v/>
      </c>
      <c r="AD815">
        <f>IF([2]Baskol!$O$818="","",[2]Baskol!$O$818)</f>
        <v/>
      </c>
      <c r="AE815">
        <f>IF([3]Entry!$C$818="","",[3]Entry!$C$818)</f>
        <v/>
      </c>
      <c r="AF815">
        <f>IF([3]Entry!$D$818="","",[3]Entry!$D$818)</f>
        <v/>
      </c>
      <c r="AG815">
        <f>IF([3]Entry!$E$818="","",[3]Entry!$E$818)</f>
        <v/>
      </c>
      <c r="AH815">
        <f>IF([3]Entry!$G$818="","",[3]Entry!$G$818)</f>
        <v/>
      </c>
      <c r="AI815">
        <f>IF([3]Entry!$K$818="","",[3]Entry!$K$818)</f>
        <v/>
      </c>
      <c r="AJ815">
        <f>IF([3]Entry!$L$818="","",[3]Entry!$L$818)</f>
        <v/>
      </c>
      <c r="AK815">
        <f>IF([3]Entry!$M$818="","",[3]Entry!$M$818)</f>
        <v/>
      </c>
      <c r="AL815">
        <f>IF([3]Entry!$N$818="","",[3]Entry!$N$818)</f>
        <v/>
      </c>
      <c r="AM815">
        <f>IF([3]Entry!$R$818="","",[3]Entry!$R$818)</f>
        <v/>
      </c>
    </row>
    <row r="816">
      <c r="T816">
        <f>IF([2]Baskol!$B$819="","",[2]Baskol!$B$819)</f>
        <v/>
      </c>
      <c r="U816">
        <f>IF([2]Baskol!$C$819="","",[2]Baskol!$C$819)</f>
        <v/>
      </c>
      <c r="V816">
        <f>IF([2]Baskol!$D$819="","",[2]Baskol!$D$819)</f>
        <v/>
      </c>
      <c r="W816">
        <f>IF([2]Baskol!$E$819="","",[2]Baskol!$E$819)</f>
        <v/>
      </c>
      <c r="X816">
        <f>IF([2]Baskol!$G$819="","",[2]Baskol!$G$819)</f>
        <v/>
      </c>
      <c r="Y816">
        <f>IF([2]Baskol!$I$819="","",[2]Baskol!$I$819)</f>
        <v/>
      </c>
      <c r="Z816">
        <f>IF([2]Baskol!$J$819="","",[2]Baskol!$J$819)</f>
        <v/>
      </c>
      <c r="AA816">
        <f>IF([2]Baskol!$K$819="","",[2]Baskol!$K$819)</f>
        <v/>
      </c>
      <c r="AB816">
        <f>IF([2]Baskol!$L$819="","",[2]Baskol!$L$819)</f>
        <v/>
      </c>
      <c r="AC816">
        <f>IF([2]Baskol!$N$819="","",[2]Baskol!$N$819)</f>
        <v/>
      </c>
      <c r="AD816">
        <f>IF([2]Baskol!$O$819="","",[2]Baskol!$O$819)</f>
        <v/>
      </c>
      <c r="AE816">
        <f>IF([3]Entry!$C$819="","",[3]Entry!$C$819)</f>
        <v/>
      </c>
      <c r="AF816">
        <f>IF([3]Entry!$D$819="","",[3]Entry!$D$819)</f>
        <v/>
      </c>
      <c r="AG816">
        <f>IF([3]Entry!$E$819="","",[3]Entry!$E$819)</f>
        <v/>
      </c>
      <c r="AH816">
        <f>IF([3]Entry!$G$819="","",[3]Entry!$G$819)</f>
        <v/>
      </c>
      <c r="AI816">
        <f>IF([3]Entry!$K$819="","",[3]Entry!$K$819)</f>
        <v/>
      </c>
      <c r="AJ816">
        <f>IF([3]Entry!$L$819="","",[3]Entry!$L$819)</f>
        <v/>
      </c>
      <c r="AK816">
        <f>IF([3]Entry!$M$819="","",[3]Entry!$M$819)</f>
        <v/>
      </c>
      <c r="AL816">
        <f>IF([3]Entry!$N$819="","",[3]Entry!$N$819)</f>
        <v/>
      </c>
      <c r="AM816">
        <f>IF([3]Entry!$R$819="","",[3]Entry!$R$819)</f>
        <v/>
      </c>
    </row>
    <row r="817">
      <c r="T817">
        <f>IF([2]Baskol!$B$820="","",[2]Baskol!$B$820)</f>
        <v/>
      </c>
      <c r="U817">
        <f>IF([2]Baskol!$C$820="","",[2]Baskol!$C$820)</f>
        <v/>
      </c>
      <c r="V817">
        <f>IF([2]Baskol!$D$820="","",[2]Baskol!$D$820)</f>
        <v/>
      </c>
      <c r="W817">
        <f>IF([2]Baskol!$E$820="","",[2]Baskol!$E$820)</f>
        <v/>
      </c>
      <c r="X817">
        <f>IF([2]Baskol!$G$820="","",[2]Baskol!$G$820)</f>
        <v/>
      </c>
      <c r="Y817">
        <f>IF([2]Baskol!$I$820="","",[2]Baskol!$I$820)</f>
        <v/>
      </c>
      <c r="Z817">
        <f>IF([2]Baskol!$J$820="","",[2]Baskol!$J$820)</f>
        <v/>
      </c>
      <c r="AA817">
        <f>IF([2]Baskol!$K$820="","",[2]Baskol!$K$820)</f>
        <v/>
      </c>
      <c r="AB817">
        <f>IF([2]Baskol!$L$820="","",[2]Baskol!$L$820)</f>
        <v/>
      </c>
      <c r="AC817">
        <f>IF([2]Baskol!$N$820="","",[2]Baskol!$N$820)</f>
        <v/>
      </c>
      <c r="AD817">
        <f>IF([2]Baskol!$O$820="","",[2]Baskol!$O$820)</f>
        <v/>
      </c>
      <c r="AE817">
        <f>IF([3]Entry!$C$820="","",[3]Entry!$C$820)</f>
        <v/>
      </c>
      <c r="AF817">
        <f>IF([3]Entry!$D$820="","",[3]Entry!$D$820)</f>
        <v/>
      </c>
      <c r="AG817">
        <f>IF([3]Entry!$E$820="","",[3]Entry!$E$820)</f>
        <v/>
      </c>
      <c r="AH817">
        <f>IF([3]Entry!$G$820="","",[3]Entry!$G$820)</f>
        <v/>
      </c>
      <c r="AI817">
        <f>IF([3]Entry!$K$820="","",[3]Entry!$K$820)</f>
        <v/>
      </c>
      <c r="AJ817">
        <f>IF([3]Entry!$L$820="","",[3]Entry!$L$820)</f>
        <v/>
      </c>
      <c r="AK817">
        <f>IF([3]Entry!$M$820="","",[3]Entry!$M$820)</f>
        <v/>
      </c>
      <c r="AL817">
        <f>IF([3]Entry!$N$820="","",[3]Entry!$N$820)</f>
        <v/>
      </c>
      <c r="AM817">
        <f>IF([3]Entry!$R$820="","",[3]Entry!$R$820)</f>
        <v/>
      </c>
    </row>
    <row r="818">
      <c r="T818">
        <f>IF([2]Baskol!$B$821="","",[2]Baskol!$B$821)</f>
        <v/>
      </c>
      <c r="U818">
        <f>IF([2]Baskol!$C$821="","",[2]Baskol!$C$821)</f>
        <v/>
      </c>
      <c r="V818">
        <f>IF([2]Baskol!$D$821="","",[2]Baskol!$D$821)</f>
        <v/>
      </c>
      <c r="W818">
        <f>IF([2]Baskol!$E$821="","",[2]Baskol!$E$821)</f>
        <v/>
      </c>
      <c r="X818">
        <f>IF([2]Baskol!$G$821="","",[2]Baskol!$G$821)</f>
        <v/>
      </c>
      <c r="Y818">
        <f>IF([2]Baskol!$I$821="","",[2]Baskol!$I$821)</f>
        <v/>
      </c>
      <c r="Z818">
        <f>IF([2]Baskol!$J$821="","",[2]Baskol!$J$821)</f>
        <v/>
      </c>
      <c r="AA818">
        <f>IF([2]Baskol!$K$821="","",[2]Baskol!$K$821)</f>
        <v/>
      </c>
      <c r="AB818">
        <f>IF([2]Baskol!$L$821="","",[2]Baskol!$L$821)</f>
        <v/>
      </c>
      <c r="AC818">
        <f>IF([2]Baskol!$N$821="","",[2]Baskol!$N$821)</f>
        <v/>
      </c>
      <c r="AD818">
        <f>IF([2]Baskol!$O$821="","",[2]Baskol!$O$821)</f>
        <v/>
      </c>
      <c r="AE818">
        <f>IF([3]Entry!$C$821="","",[3]Entry!$C$821)</f>
        <v/>
      </c>
      <c r="AF818">
        <f>IF([3]Entry!$D$821="","",[3]Entry!$D$821)</f>
        <v/>
      </c>
      <c r="AG818">
        <f>IF([3]Entry!$E$821="","",[3]Entry!$E$821)</f>
        <v/>
      </c>
      <c r="AH818">
        <f>IF([3]Entry!$G$821="","",[3]Entry!$G$821)</f>
        <v/>
      </c>
      <c r="AI818">
        <f>IF([3]Entry!$K$821="","",[3]Entry!$K$821)</f>
        <v/>
      </c>
      <c r="AJ818">
        <f>IF([3]Entry!$L$821="","",[3]Entry!$L$821)</f>
        <v/>
      </c>
      <c r="AK818">
        <f>IF([3]Entry!$M$821="","",[3]Entry!$M$821)</f>
        <v/>
      </c>
      <c r="AL818">
        <f>IF([3]Entry!$N$821="","",[3]Entry!$N$821)</f>
        <v/>
      </c>
      <c r="AM818">
        <f>IF([3]Entry!$R$821="","",[3]Entry!$R$821)</f>
        <v/>
      </c>
    </row>
    <row r="819">
      <c r="T819">
        <f>IF([2]Baskol!$B$822="","",[2]Baskol!$B$822)</f>
        <v/>
      </c>
      <c r="U819">
        <f>IF([2]Baskol!$C$822="","",[2]Baskol!$C$822)</f>
        <v/>
      </c>
      <c r="V819">
        <f>IF([2]Baskol!$D$822="","",[2]Baskol!$D$822)</f>
        <v/>
      </c>
      <c r="W819">
        <f>IF([2]Baskol!$E$822="","",[2]Baskol!$E$822)</f>
        <v/>
      </c>
      <c r="X819">
        <f>IF([2]Baskol!$G$822="","",[2]Baskol!$G$822)</f>
        <v/>
      </c>
      <c r="Y819">
        <f>IF([2]Baskol!$I$822="","",[2]Baskol!$I$822)</f>
        <v/>
      </c>
      <c r="Z819">
        <f>IF([2]Baskol!$J$822="","",[2]Baskol!$J$822)</f>
        <v/>
      </c>
      <c r="AA819">
        <f>IF([2]Baskol!$K$822="","",[2]Baskol!$K$822)</f>
        <v/>
      </c>
      <c r="AB819">
        <f>IF([2]Baskol!$L$822="","",[2]Baskol!$L$822)</f>
        <v/>
      </c>
      <c r="AC819">
        <f>IF([2]Baskol!$N$822="","",[2]Baskol!$N$822)</f>
        <v/>
      </c>
      <c r="AD819">
        <f>IF([2]Baskol!$O$822="","",[2]Baskol!$O$822)</f>
        <v/>
      </c>
      <c r="AE819">
        <f>IF([3]Entry!$C$822="","",[3]Entry!$C$822)</f>
        <v/>
      </c>
      <c r="AF819">
        <f>IF([3]Entry!$D$822="","",[3]Entry!$D$822)</f>
        <v/>
      </c>
      <c r="AG819">
        <f>IF([3]Entry!$E$822="","",[3]Entry!$E$822)</f>
        <v/>
      </c>
      <c r="AH819">
        <f>IF([3]Entry!$G$822="","",[3]Entry!$G$822)</f>
        <v/>
      </c>
      <c r="AI819">
        <f>IF([3]Entry!$K$822="","",[3]Entry!$K$822)</f>
        <v/>
      </c>
      <c r="AJ819">
        <f>IF([3]Entry!$L$822="","",[3]Entry!$L$822)</f>
        <v/>
      </c>
      <c r="AK819">
        <f>IF([3]Entry!$M$822="","",[3]Entry!$M$822)</f>
        <v/>
      </c>
      <c r="AL819">
        <f>IF([3]Entry!$N$822="","",[3]Entry!$N$822)</f>
        <v/>
      </c>
      <c r="AM819">
        <f>IF([3]Entry!$R$822="","",[3]Entry!$R$822)</f>
        <v/>
      </c>
    </row>
    <row r="820">
      <c r="T820">
        <f>IF([2]Baskol!$B$823="","",[2]Baskol!$B$823)</f>
        <v/>
      </c>
      <c r="U820">
        <f>IF([2]Baskol!$C$823="","",[2]Baskol!$C$823)</f>
        <v/>
      </c>
      <c r="V820">
        <f>IF([2]Baskol!$D$823="","",[2]Baskol!$D$823)</f>
        <v/>
      </c>
      <c r="W820">
        <f>IF([2]Baskol!$E$823="","",[2]Baskol!$E$823)</f>
        <v/>
      </c>
      <c r="X820">
        <f>IF([2]Baskol!$G$823="","",[2]Baskol!$G$823)</f>
        <v/>
      </c>
      <c r="Y820">
        <f>IF([2]Baskol!$I$823="","",[2]Baskol!$I$823)</f>
        <v/>
      </c>
      <c r="Z820">
        <f>IF([2]Baskol!$J$823="","",[2]Baskol!$J$823)</f>
        <v/>
      </c>
      <c r="AA820">
        <f>IF([2]Baskol!$K$823="","",[2]Baskol!$K$823)</f>
        <v/>
      </c>
      <c r="AB820">
        <f>IF([2]Baskol!$L$823="","",[2]Baskol!$L$823)</f>
        <v/>
      </c>
      <c r="AC820">
        <f>IF([2]Baskol!$N$823="","",[2]Baskol!$N$823)</f>
        <v/>
      </c>
      <c r="AD820">
        <f>IF([2]Baskol!$O$823="","",[2]Baskol!$O$823)</f>
        <v/>
      </c>
      <c r="AE820">
        <f>IF([3]Entry!$C$823="","",[3]Entry!$C$823)</f>
        <v/>
      </c>
      <c r="AF820">
        <f>IF([3]Entry!$D$823="","",[3]Entry!$D$823)</f>
        <v/>
      </c>
      <c r="AG820">
        <f>IF([3]Entry!$E$823="","",[3]Entry!$E$823)</f>
        <v/>
      </c>
      <c r="AH820">
        <f>IF([3]Entry!$G$823="","",[3]Entry!$G$823)</f>
        <v/>
      </c>
      <c r="AI820">
        <f>IF([3]Entry!$K$823="","",[3]Entry!$K$823)</f>
        <v/>
      </c>
      <c r="AJ820">
        <f>IF([3]Entry!$L$823="","",[3]Entry!$L$823)</f>
        <v/>
      </c>
      <c r="AK820">
        <f>IF([3]Entry!$M$823="","",[3]Entry!$M$823)</f>
        <v/>
      </c>
      <c r="AL820">
        <f>IF([3]Entry!$N$823="","",[3]Entry!$N$823)</f>
        <v/>
      </c>
      <c r="AM820">
        <f>IF([3]Entry!$R$823="","",[3]Entry!$R$823)</f>
        <v/>
      </c>
    </row>
    <row r="821">
      <c r="T821">
        <f>IF([2]Baskol!$B$824="","",[2]Baskol!$B$824)</f>
        <v/>
      </c>
      <c r="U821">
        <f>IF([2]Baskol!$C$824="","",[2]Baskol!$C$824)</f>
        <v/>
      </c>
      <c r="V821">
        <f>IF([2]Baskol!$D$824="","",[2]Baskol!$D$824)</f>
        <v/>
      </c>
      <c r="W821">
        <f>IF([2]Baskol!$E$824="","",[2]Baskol!$E$824)</f>
        <v/>
      </c>
      <c r="X821">
        <f>IF([2]Baskol!$G$824="","",[2]Baskol!$G$824)</f>
        <v/>
      </c>
      <c r="Y821">
        <f>IF([2]Baskol!$I$824="","",[2]Baskol!$I$824)</f>
        <v/>
      </c>
      <c r="Z821">
        <f>IF([2]Baskol!$J$824="","",[2]Baskol!$J$824)</f>
        <v/>
      </c>
      <c r="AA821">
        <f>IF([2]Baskol!$K$824="","",[2]Baskol!$K$824)</f>
        <v/>
      </c>
      <c r="AB821">
        <f>IF([2]Baskol!$L$824="","",[2]Baskol!$L$824)</f>
        <v/>
      </c>
      <c r="AC821">
        <f>IF([2]Baskol!$N$824="","",[2]Baskol!$N$824)</f>
        <v/>
      </c>
      <c r="AD821">
        <f>IF([2]Baskol!$O$824="","",[2]Baskol!$O$824)</f>
        <v/>
      </c>
      <c r="AE821">
        <f>IF([3]Entry!$C$824="","",[3]Entry!$C$824)</f>
        <v/>
      </c>
      <c r="AF821">
        <f>IF([3]Entry!$D$824="","",[3]Entry!$D$824)</f>
        <v/>
      </c>
      <c r="AG821">
        <f>IF([3]Entry!$E$824="","",[3]Entry!$E$824)</f>
        <v/>
      </c>
      <c r="AH821">
        <f>IF([3]Entry!$G$824="","",[3]Entry!$G$824)</f>
        <v/>
      </c>
      <c r="AI821">
        <f>IF([3]Entry!$K$824="","",[3]Entry!$K$824)</f>
        <v/>
      </c>
      <c r="AJ821">
        <f>IF([3]Entry!$L$824="","",[3]Entry!$L$824)</f>
        <v/>
      </c>
      <c r="AK821">
        <f>IF([3]Entry!$M$824="","",[3]Entry!$M$824)</f>
        <v/>
      </c>
      <c r="AL821">
        <f>IF([3]Entry!$N$824="","",[3]Entry!$N$824)</f>
        <v/>
      </c>
      <c r="AM821">
        <f>IF([3]Entry!$R$824="","",[3]Entry!$R$824)</f>
        <v/>
      </c>
    </row>
    <row r="822">
      <c r="T822">
        <f>IF([2]Baskol!$B$825="","",[2]Baskol!$B$825)</f>
        <v/>
      </c>
      <c r="U822">
        <f>IF([2]Baskol!$C$825="","",[2]Baskol!$C$825)</f>
        <v/>
      </c>
      <c r="V822">
        <f>IF([2]Baskol!$D$825="","",[2]Baskol!$D$825)</f>
        <v/>
      </c>
      <c r="W822">
        <f>IF([2]Baskol!$E$825="","",[2]Baskol!$E$825)</f>
        <v/>
      </c>
      <c r="X822">
        <f>IF([2]Baskol!$G$825="","",[2]Baskol!$G$825)</f>
        <v/>
      </c>
      <c r="Y822">
        <f>IF([2]Baskol!$I$825="","",[2]Baskol!$I$825)</f>
        <v/>
      </c>
      <c r="Z822">
        <f>IF([2]Baskol!$J$825="","",[2]Baskol!$J$825)</f>
        <v/>
      </c>
      <c r="AA822">
        <f>IF([2]Baskol!$K$825="","",[2]Baskol!$K$825)</f>
        <v/>
      </c>
      <c r="AB822">
        <f>IF([2]Baskol!$L$825="","",[2]Baskol!$L$825)</f>
        <v/>
      </c>
      <c r="AC822">
        <f>IF([2]Baskol!$N$825="","",[2]Baskol!$N$825)</f>
        <v/>
      </c>
      <c r="AD822">
        <f>IF([2]Baskol!$O$825="","",[2]Baskol!$O$825)</f>
        <v/>
      </c>
      <c r="AE822">
        <f>IF([3]Entry!$C$825="","",[3]Entry!$C$825)</f>
        <v/>
      </c>
      <c r="AF822">
        <f>IF([3]Entry!$D$825="","",[3]Entry!$D$825)</f>
        <v/>
      </c>
      <c r="AG822">
        <f>IF([3]Entry!$E$825="","",[3]Entry!$E$825)</f>
        <v/>
      </c>
      <c r="AH822">
        <f>IF([3]Entry!$G$825="","",[3]Entry!$G$825)</f>
        <v/>
      </c>
      <c r="AI822">
        <f>IF([3]Entry!$K$825="","",[3]Entry!$K$825)</f>
        <v/>
      </c>
      <c r="AJ822">
        <f>IF([3]Entry!$L$825="","",[3]Entry!$L$825)</f>
        <v/>
      </c>
      <c r="AK822">
        <f>IF([3]Entry!$M$825="","",[3]Entry!$M$825)</f>
        <v/>
      </c>
      <c r="AL822">
        <f>IF([3]Entry!$N$825="","",[3]Entry!$N$825)</f>
        <v/>
      </c>
      <c r="AM822">
        <f>IF([3]Entry!$R$825="","",[3]Entry!$R$825)</f>
        <v/>
      </c>
    </row>
    <row r="823">
      <c r="T823">
        <f>IF([2]Baskol!$B$826="","",[2]Baskol!$B$826)</f>
        <v/>
      </c>
      <c r="U823">
        <f>IF([2]Baskol!$C$826="","",[2]Baskol!$C$826)</f>
        <v/>
      </c>
      <c r="V823">
        <f>IF([2]Baskol!$D$826="","",[2]Baskol!$D$826)</f>
        <v/>
      </c>
      <c r="W823">
        <f>IF([2]Baskol!$E$826="","",[2]Baskol!$E$826)</f>
        <v/>
      </c>
      <c r="X823">
        <f>IF([2]Baskol!$G$826="","",[2]Baskol!$G$826)</f>
        <v/>
      </c>
      <c r="Y823">
        <f>IF([2]Baskol!$I$826="","",[2]Baskol!$I$826)</f>
        <v/>
      </c>
      <c r="Z823">
        <f>IF([2]Baskol!$J$826="","",[2]Baskol!$J$826)</f>
        <v/>
      </c>
      <c r="AA823">
        <f>IF([2]Baskol!$K$826="","",[2]Baskol!$K$826)</f>
        <v/>
      </c>
      <c r="AB823">
        <f>IF([2]Baskol!$L$826="","",[2]Baskol!$L$826)</f>
        <v/>
      </c>
      <c r="AC823">
        <f>IF([2]Baskol!$N$826="","",[2]Baskol!$N$826)</f>
        <v/>
      </c>
      <c r="AD823">
        <f>IF([2]Baskol!$O$826="","",[2]Baskol!$O$826)</f>
        <v/>
      </c>
      <c r="AE823">
        <f>IF([3]Entry!$C$826="","",[3]Entry!$C$826)</f>
        <v/>
      </c>
      <c r="AF823">
        <f>IF([3]Entry!$D$826="","",[3]Entry!$D$826)</f>
        <v/>
      </c>
      <c r="AG823">
        <f>IF([3]Entry!$E$826="","",[3]Entry!$E$826)</f>
        <v/>
      </c>
      <c r="AH823">
        <f>IF([3]Entry!$G$826="","",[3]Entry!$G$826)</f>
        <v/>
      </c>
      <c r="AI823">
        <f>IF([3]Entry!$K$826="","",[3]Entry!$K$826)</f>
        <v/>
      </c>
      <c r="AJ823">
        <f>IF([3]Entry!$L$826="","",[3]Entry!$L$826)</f>
        <v/>
      </c>
      <c r="AK823">
        <f>IF([3]Entry!$M$826="","",[3]Entry!$M$826)</f>
        <v/>
      </c>
      <c r="AL823">
        <f>IF([3]Entry!$N$826="","",[3]Entry!$N$826)</f>
        <v/>
      </c>
      <c r="AM823">
        <f>IF([3]Entry!$R$826="","",[3]Entry!$R$826)</f>
        <v/>
      </c>
    </row>
    <row r="824">
      <c r="T824">
        <f>IF([2]Baskol!$B$827="","",[2]Baskol!$B$827)</f>
        <v/>
      </c>
      <c r="U824">
        <f>IF([2]Baskol!$C$827="","",[2]Baskol!$C$827)</f>
        <v/>
      </c>
      <c r="V824">
        <f>IF([2]Baskol!$D$827="","",[2]Baskol!$D$827)</f>
        <v/>
      </c>
      <c r="W824">
        <f>IF([2]Baskol!$E$827="","",[2]Baskol!$E$827)</f>
        <v/>
      </c>
      <c r="X824">
        <f>IF([2]Baskol!$G$827="","",[2]Baskol!$G$827)</f>
        <v/>
      </c>
      <c r="Y824">
        <f>IF([2]Baskol!$I$827="","",[2]Baskol!$I$827)</f>
        <v/>
      </c>
      <c r="Z824">
        <f>IF([2]Baskol!$J$827="","",[2]Baskol!$J$827)</f>
        <v/>
      </c>
      <c r="AA824">
        <f>IF([2]Baskol!$K$827="","",[2]Baskol!$K$827)</f>
        <v/>
      </c>
      <c r="AB824">
        <f>IF([2]Baskol!$L$827="","",[2]Baskol!$L$827)</f>
        <v/>
      </c>
      <c r="AC824">
        <f>IF([2]Baskol!$N$827="","",[2]Baskol!$N$827)</f>
        <v/>
      </c>
      <c r="AD824">
        <f>IF([2]Baskol!$O$827="","",[2]Baskol!$O$827)</f>
        <v/>
      </c>
      <c r="AE824">
        <f>IF([3]Entry!$C$827="","",[3]Entry!$C$827)</f>
        <v/>
      </c>
      <c r="AF824">
        <f>IF([3]Entry!$D$827="","",[3]Entry!$D$827)</f>
        <v/>
      </c>
      <c r="AG824">
        <f>IF([3]Entry!$E$827="","",[3]Entry!$E$827)</f>
        <v/>
      </c>
      <c r="AH824">
        <f>IF([3]Entry!$G$827="","",[3]Entry!$G$827)</f>
        <v/>
      </c>
      <c r="AI824">
        <f>IF([3]Entry!$K$827="","",[3]Entry!$K$827)</f>
        <v/>
      </c>
      <c r="AJ824">
        <f>IF([3]Entry!$L$827="","",[3]Entry!$L$827)</f>
        <v/>
      </c>
      <c r="AK824">
        <f>IF([3]Entry!$M$827="","",[3]Entry!$M$827)</f>
        <v/>
      </c>
      <c r="AL824">
        <f>IF([3]Entry!$N$827="","",[3]Entry!$N$827)</f>
        <v/>
      </c>
      <c r="AM824">
        <f>IF([3]Entry!$R$827="","",[3]Entry!$R$827)</f>
        <v/>
      </c>
    </row>
    <row r="825">
      <c r="T825">
        <f>IF([2]Baskol!$B$828="","",[2]Baskol!$B$828)</f>
        <v/>
      </c>
      <c r="U825">
        <f>IF([2]Baskol!$C$828="","",[2]Baskol!$C$828)</f>
        <v/>
      </c>
      <c r="V825">
        <f>IF([2]Baskol!$D$828="","",[2]Baskol!$D$828)</f>
        <v/>
      </c>
      <c r="W825">
        <f>IF([2]Baskol!$E$828="","",[2]Baskol!$E$828)</f>
        <v/>
      </c>
      <c r="X825">
        <f>IF([2]Baskol!$G$828="","",[2]Baskol!$G$828)</f>
        <v/>
      </c>
      <c r="Y825">
        <f>IF([2]Baskol!$I$828="","",[2]Baskol!$I$828)</f>
        <v/>
      </c>
      <c r="Z825">
        <f>IF([2]Baskol!$J$828="","",[2]Baskol!$J$828)</f>
        <v/>
      </c>
      <c r="AA825">
        <f>IF([2]Baskol!$K$828="","",[2]Baskol!$K$828)</f>
        <v/>
      </c>
      <c r="AB825">
        <f>IF([2]Baskol!$L$828="","",[2]Baskol!$L$828)</f>
        <v/>
      </c>
      <c r="AC825">
        <f>IF([2]Baskol!$N$828="","",[2]Baskol!$N$828)</f>
        <v/>
      </c>
      <c r="AD825">
        <f>IF([2]Baskol!$O$828="","",[2]Baskol!$O$828)</f>
        <v/>
      </c>
      <c r="AE825">
        <f>IF([3]Entry!$C$828="","",[3]Entry!$C$828)</f>
        <v/>
      </c>
      <c r="AF825">
        <f>IF([3]Entry!$D$828="","",[3]Entry!$D$828)</f>
        <v/>
      </c>
      <c r="AG825">
        <f>IF([3]Entry!$E$828="","",[3]Entry!$E$828)</f>
        <v/>
      </c>
      <c r="AH825">
        <f>IF([3]Entry!$G$828="","",[3]Entry!$G$828)</f>
        <v/>
      </c>
      <c r="AI825">
        <f>IF([3]Entry!$K$828="","",[3]Entry!$K$828)</f>
        <v/>
      </c>
      <c r="AJ825">
        <f>IF([3]Entry!$L$828="","",[3]Entry!$L$828)</f>
        <v/>
      </c>
      <c r="AK825">
        <f>IF([3]Entry!$M$828="","",[3]Entry!$M$828)</f>
        <v/>
      </c>
      <c r="AL825">
        <f>IF([3]Entry!$N$828="","",[3]Entry!$N$828)</f>
        <v/>
      </c>
      <c r="AM825">
        <f>IF([3]Entry!$R$828="","",[3]Entry!$R$828)</f>
        <v/>
      </c>
    </row>
    <row r="826">
      <c r="T826">
        <f>IF([2]Baskol!$B$829="","",[2]Baskol!$B$829)</f>
        <v/>
      </c>
      <c r="U826">
        <f>IF([2]Baskol!$C$829="","",[2]Baskol!$C$829)</f>
        <v/>
      </c>
      <c r="V826">
        <f>IF([2]Baskol!$D$829="","",[2]Baskol!$D$829)</f>
        <v/>
      </c>
      <c r="W826">
        <f>IF([2]Baskol!$E$829="","",[2]Baskol!$E$829)</f>
        <v/>
      </c>
      <c r="X826">
        <f>IF([2]Baskol!$G$829="","",[2]Baskol!$G$829)</f>
        <v/>
      </c>
      <c r="Y826">
        <f>IF([2]Baskol!$I$829="","",[2]Baskol!$I$829)</f>
        <v/>
      </c>
      <c r="Z826">
        <f>IF([2]Baskol!$J$829="","",[2]Baskol!$J$829)</f>
        <v/>
      </c>
      <c r="AA826">
        <f>IF([2]Baskol!$K$829="","",[2]Baskol!$K$829)</f>
        <v/>
      </c>
      <c r="AB826">
        <f>IF([2]Baskol!$L$829="","",[2]Baskol!$L$829)</f>
        <v/>
      </c>
      <c r="AC826">
        <f>IF([2]Baskol!$N$829="","",[2]Baskol!$N$829)</f>
        <v/>
      </c>
      <c r="AD826">
        <f>IF([2]Baskol!$O$829="","",[2]Baskol!$O$829)</f>
        <v/>
      </c>
      <c r="AE826">
        <f>IF([3]Entry!$C$829="","",[3]Entry!$C$829)</f>
        <v/>
      </c>
      <c r="AF826">
        <f>IF([3]Entry!$D$829="","",[3]Entry!$D$829)</f>
        <v/>
      </c>
      <c r="AG826">
        <f>IF([3]Entry!$E$829="","",[3]Entry!$E$829)</f>
        <v/>
      </c>
      <c r="AH826">
        <f>IF([3]Entry!$G$829="","",[3]Entry!$G$829)</f>
        <v/>
      </c>
      <c r="AI826">
        <f>IF([3]Entry!$K$829="","",[3]Entry!$K$829)</f>
        <v/>
      </c>
      <c r="AJ826">
        <f>IF([3]Entry!$L$829="","",[3]Entry!$L$829)</f>
        <v/>
      </c>
      <c r="AK826">
        <f>IF([3]Entry!$M$829="","",[3]Entry!$M$829)</f>
        <v/>
      </c>
      <c r="AL826">
        <f>IF([3]Entry!$N$829="","",[3]Entry!$N$829)</f>
        <v/>
      </c>
      <c r="AM826">
        <f>IF([3]Entry!$R$829="","",[3]Entry!$R$829)</f>
        <v/>
      </c>
    </row>
    <row r="827">
      <c r="T827">
        <f>IF([2]Baskol!$B$830="","",[2]Baskol!$B$830)</f>
        <v/>
      </c>
      <c r="U827">
        <f>IF([2]Baskol!$C$830="","",[2]Baskol!$C$830)</f>
        <v/>
      </c>
      <c r="V827">
        <f>IF([2]Baskol!$D$830="","",[2]Baskol!$D$830)</f>
        <v/>
      </c>
      <c r="W827">
        <f>IF([2]Baskol!$E$830="","",[2]Baskol!$E$830)</f>
        <v/>
      </c>
      <c r="X827">
        <f>IF([2]Baskol!$G$830="","",[2]Baskol!$G$830)</f>
        <v/>
      </c>
      <c r="Y827">
        <f>IF([2]Baskol!$I$830="","",[2]Baskol!$I$830)</f>
        <v/>
      </c>
      <c r="Z827">
        <f>IF([2]Baskol!$J$830="","",[2]Baskol!$J$830)</f>
        <v/>
      </c>
      <c r="AA827">
        <f>IF([2]Baskol!$K$830="","",[2]Baskol!$K$830)</f>
        <v/>
      </c>
      <c r="AB827">
        <f>IF([2]Baskol!$L$830="","",[2]Baskol!$L$830)</f>
        <v/>
      </c>
      <c r="AC827">
        <f>IF([2]Baskol!$N$830="","",[2]Baskol!$N$830)</f>
        <v/>
      </c>
      <c r="AD827">
        <f>IF([2]Baskol!$O$830="","",[2]Baskol!$O$830)</f>
        <v/>
      </c>
      <c r="AE827">
        <f>IF([3]Entry!$C$830="","",[3]Entry!$C$830)</f>
        <v/>
      </c>
      <c r="AF827">
        <f>IF([3]Entry!$D$830="","",[3]Entry!$D$830)</f>
        <v/>
      </c>
      <c r="AG827">
        <f>IF([3]Entry!$E$830="","",[3]Entry!$E$830)</f>
        <v/>
      </c>
      <c r="AH827">
        <f>IF([3]Entry!$G$830="","",[3]Entry!$G$830)</f>
        <v/>
      </c>
      <c r="AI827">
        <f>IF([3]Entry!$K$830="","",[3]Entry!$K$830)</f>
        <v/>
      </c>
      <c r="AJ827">
        <f>IF([3]Entry!$L$830="","",[3]Entry!$L$830)</f>
        <v/>
      </c>
      <c r="AK827">
        <f>IF([3]Entry!$M$830="","",[3]Entry!$M$830)</f>
        <v/>
      </c>
      <c r="AL827">
        <f>IF([3]Entry!$N$830="","",[3]Entry!$N$830)</f>
        <v/>
      </c>
      <c r="AM827">
        <f>IF([3]Entry!$R$830="","",[3]Entry!$R$830)</f>
        <v/>
      </c>
    </row>
    <row r="828">
      <c r="T828">
        <f>IF([2]Baskol!$B$831="","",[2]Baskol!$B$831)</f>
        <v/>
      </c>
      <c r="U828">
        <f>IF([2]Baskol!$C$831="","",[2]Baskol!$C$831)</f>
        <v/>
      </c>
      <c r="V828">
        <f>IF([2]Baskol!$D$831="","",[2]Baskol!$D$831)</f>
        <v/>
      </c>
      <c r="W828">
        <f>IF([2]Baskol!$E$831="","",[2]Baskol!$E$831)</f>
        <v/>
      </c>
      <c r="X828">
        <f>IF([2]Baskol!$G$831="","",[2]Baskol!$G$831)</f>
        <v/>
      </c>
      <c r="Y828">
        <f>IF([2]Baskol!$I$831="","",[2]Baskol!$I$831)</f>
        <v/>
      </c>
      <c r="Z828">
        <f>IF([2]Baskol!$J$831="","",[2]Baskol!$J$831)</f>
        <v/>
      </c>
      <c r="AA828">
        <f>IF([2]Baskol!$K$831="","",[2]Baskol!$K$831)</f>
        <v/>
      </c>
      <c r="AB828">
        <f>IF([2]Baskol!$L$831="","",[2]Baskol!$L$831)</f>
        <v/>
      </c>
      <c r="AC828">
        <f>IF([2]Baskol!$N$831="","",[2]Baskol!$N$831)</f>
        <v/>
      </c>
      <c r="AD828">
        <f>IF([2]Baskol!$O$831="","",[2]Baskol!$O$831)</f>
        <v/>
      </c>
      <c r="AE828">
        <f>IF([3]Entry!$C$831="","",[3]Entry!$C$831)</f>
        <v/>
      </c>
      <c r="AF828">
        <f>IF([3]Entry!$D$831="","",[3]Entry!$D$831)</f>
        <v/>
      </c>
      <c r="AG828">
        <f>IF([3]Entry!$E$831="","",[3]Entry!$E$831)</f>
        <v/>
      </c>
      <c r="AH828">
        <f>IF([3]Entry!$G$831="","",[3]Entry!$G$831)</f>
        <v/>
      </c>
      <c r="AI828">
        <f>IF([3]Entry!$K$831="","",[3]Entry!$K$831)</f>
        <v/>
      </c>
      <c r="AJ828">
        <f>IF([3]Entry!$L$831="","",[3]Entry!$L$831)</f>
        <v/>
      </c>
      <c r="AK828">
        <f>IF([3]Entry!$M$831="","",[3]Entry!$M$831)</f>
        <v/>
      </c>
      <c r="AL828">
        <f>IF([3]Entry!$N$831="","",[3]Entry!$N$831)</f>
        <v/>
      </c>
      <c r="AM828">
        <f>IF([3]Entry!$R$831="","",[3]Entry!$R$831)</f>
        <v/>
      </c>
    </row>
    <row r="829">
      <c r="T829">
        <f>IF([2]Baskol!$B$832="","",[2]Baskol!$B$832)</f>
        <v/>
      </c>
      <c r="U829">
        <f>IF([2]Baskol!$C$832="","",[2]Baskol!$C$832)</f>
        <v/>
      </c>
      <c r="V829">
        <f>IF([2]Baskol!$D$832="","",[2]Baskol!$D$832)</f>
        <v/>
      </c>
      <c r="W829">
        <f>IF([2]Baskol!$E$832="","",[2]Baskol!$E$832)</f>
        <v/>
      </c>
      <c r="X829">
        <f>IF([2]Baskol!$G$832="","",[2]Baskol!$G$832)</f>
        <v/>
      </c>
      <c r="Y829">
        <f>IF([2]Baskol!$I$832="","",[2]Baskol!$I$832)</f>
        <v/>
      </c>
      <c r="Z829">
        <f>IF([2]Baskol!$J$832="","",[2]Baskol!$J$832)</f>
        <v/>
      </c>
      <c r="AA829">
        <f>IF([2]Baskol!$K$832="","",[2]Baskol!$K$832)</f>
        <v/>
      </c>
      <c r="AB829">
        <f>IF([2]Baskol!$L$832="","",[2]Baskol!$L$832)</f>
        <v/>
      </c>
      <c r="AC829">
        <f>IF([2]Baskol!$N$832="","",[2]Baskol!$N$832)</f>
        <v/>
      </c>
      <c r="AD829">
        <f>IF([2]Baskol!$O$832="","",[2]Baskol!$O$832)</f>
        <v/>
      </c>
      <c r="AE829">
        <f>IF([3]Entry!$C$832="","",[3]Entry!$C$832)</f>
        <v/>
      </c>
      <c r="AF829">
        <f>IF([3]Entry!$D$832="","",[3]Entry!$D$832)</f>
        <v/>
      </c>
      <c r="AG829">
        <f>IF([3]Entry!$E$832="","",[3]Entry!$E$832)</f>
        <v/>
      </c>
      <c r="AH829">
        <f>IF([3]Entry!$G$832="","",[3]Entry!$G$832)</f>
        <v/>
      </c>
      <c r="AI829">
        <f>IF([3]Entry!$K$832="","",[3]Entry!$K$832)</f>
        <v/>
      </c>
      <c r="AJ829">
        <f>IF([3]Entry!$L$832="","",[3]Entry!$L$832)</f>
        <v/>
      </c>
      <c r="AK829">
        <f>IF([3]Entry!$M$832="","",[3]Entry!$M$832)</f>
        <v/>
      </c>
      <c r="AL829">
        <f>IF([3]Entry!$N$832="","",[3]Entry!$N$832)</f>
        <v/>
      </c>
      <c r="AM829">
        <f>IF([3]Entry!$R$832="","",[3]Entry!$R$832)</f>
        <v/>
      </c>
    </row>
    <row r="830">
      <c r="T830">
        <f>IF([2]Baskol!$B$833="","",[2]Baskol!$B$833)</f>
        <v/>
      </c>
      <c r="U830">
        <f>IF([2]Baskol!$C$833="","",[2]Baskol!$C$833)</f>
        <v/>
      </c>
      <c r="V830">
        <f>IF([2]Baskol!$D$833="","",[2]Baskol!$D$833)</f>
        <v/>
      </c>
      <c r="W830">
        <f>IF([2]Baskol!$E$833="","",[2]Baskol!$E$833)</f>
        <v/>
      </c>
      <c r="X830">
        <f>IF([2]Baskol!$G$833="","",[2]Baskol!$G$833)</f>
        <v/>
      </c>
      <c r="Y830">
        <f>IF([2]Baskol!$I$833="","",[2]Baskol!$I$833)</f>
        <v/>
      </c>
      <c r="Z830">
        <f>IF([2]Baskol!$J$833="","",[2]Baskol!$J$833)</f>
        <v/>
      </c>
      <c r="AA830">
        <f>IF([2]Baskol!$K$833="","",[2]Baskol!$K$833)</f>
        <v/>
      </c>
      <c r="AB830">
        <f>IF([2]Baskol!$L$833="","",[2]Baskol!$L$833)</f>
        <v/>
      </c>
      <c r="AC830">
        <f>IF([2]Baskol!$N$833="","",[2]Baskol!$N$833)</f>
        <v/>
      </c>
      <c r="AD830">
        <f>IF([2]Baskol!$O$833="","",[2]Baskol!$O$833)</f>
        <v/>
      </c>
      <c r="AE830">
        <f>IF([3]Entry!$C$833="","",[3]Entry!$C$833)</f>
        <v/>
      </c>
      <c r="AF830">
        <f>IF([3]Entry!$D$833="","",[3]Entry!$D$833)</f>
        <v/>
      </c>
      <c r="AG830">
        <f>IF([3]Entry!$E$833="","",[3]Entry!$E$833)</f>
        <v/>
      </c>
      <c r="AH830">
        <f>IF([3]Entry!$G$833="","",[3]Entry!$G$833)</f>
        <v/>
      </c>
      <c r="AI830">
        <f>IF([3]Entry!$K$833="","",[3]Entry!$K$833)</f>
        <v/>
      </c>
      <c r="AJ830">
        <f>IF([3]Entry!$L$833="","",[3]Entry!$L$833)</f>
        <v/>
      </c>
      <c r="AK830">
        <f>IF([3]Entry!$M$833="","",[3]Entry!$M$833)</f>
        <v/>
      </c>
      <c r="AL830">
        <f>IF([3]Entry!$N$833="","",[3]Entry!$N$833)</f>
        <v/>
      </c>
      <c r="AM830">
        <f>IF([3]Entry!$R$833="","",[3]Entry!$R$833)</f>
        <v/>
      </c>
    </row>
    <row r="831">
      <c r="T831">
        <f>IF([2]Baskol!$B$834="","",[2]Baskol!$B$834)</f>
        <v/>
      </c>
      <c r="U831">
        <f>IF([2]Baskol!$C$834="","",[2]Baskol!$C$834)</f>
        <v/>
      </c>
      <c r="V831">
        <f>IF([2]Baskol!$D$834="","",[2]Baskol!$D$834)</f>
        <v/>
      </c>
      <c r="W831">
        <f>IF([2]Baskol!$E$834="","",[2]Baskol!$E$834)</f>
        <v/>
      </c>
      <c r="X831">
        <f>IF([2]Baskol!$G$834="","",[2]Baskol!$G$834)</f>
        <v/>
      </c>
      <c r="Y831">
        <f>IF([2]Baskol!$I$834="","",[2]Baskol!$I$834)</f>
        <v/>
      </c>
      <c r="Z831">
        <f>IF([2]Baskol!$J$834="","",[2]Baskol!$J$834)</f>
        <v/>
      </c>
      <c r="AA831">
        <f>IF([2]Baskol!$K$834="","",[2]Baskol!$K$834)</f>
        <v/>
      </c>
      <c r="AB831">
        <f>IF([2]Baskol!$L$834="","",[2]Baskol!$L$834)</f>
        <v/>
      </c>
      <c r="AC831">
        <f>IF([2]Baskol!$N$834="","",[2]Baskol!$N$834)</f>
        <v/>
      </c>
      <c r="AD831">
        <f>IF([2]Baskol!$O$834="","",[2]Baskol!$O$834)</f>
        <v/>
      </c>
      <c r="AE831">
        <f>IF([3]Entry!$C$834="","",[3]Entry!$C$834)</f>
        <v/>
      </c>
      <c r="AF831">
        <f>IF([3]Entry!$D$834="","",[3]Entry!$D$834)</f>
        <v/>
      </c>
      <c r="AG831">
        <f>IF([3]Entry!$E$834="","",[3]Entry!$E$834)</f>
        <v/>
      </c>
      <c r="AH831">
        <f>IF([3]Entry!$G$834="","",[3]Entry!$G$834)</f>
        <v/>
      </c>
      <c r="AI831">
        <f>IF([3]Entry!$K$834="","",[3]Entry!$K$834)</f>
        <v/>
      </c>
      <c r="AJ831">
        <f>IF([3]Entry!$L$834="","",[3]Entry!$L$834)</f>
        <v/>
      </c>
      <c r="AK831">
        <f>IF([3]Entry!$M$834="","",[3]Entry!$M$834)</f>
        <v/>
      </c>
      <c r="AL831">
        <f>IF([3]Entry!$N$834="","",[3]Entry!$N$834)</f>
        <v/>
      </c>
      <c r="AM831">
        <f>IF([3]Entry!$R$834="","",[3]Entry!$R$834)</f>
        <v/>
      </c>
    </row>
    <row r="832">
      <c r="T832">
        <f>IF([2]Baskol!$B$835="","",[2]Baskol!$B$835)</f>
        <v/>
      </c>
      <c r="U832">
        <f>IF([2]Baskol!$C$835="","",[2]Baskol!$C$835)</f>
        <v/>
      </c>
      <c r="V832">
        <f>IF([2]Baskol!$D$835="","",[2]Baskol!$D$835)</f>
        <v/>
      </c>
      <c r="W832">
        <f>IF([2]Baskol!$E$835="","",[2]Baskol!$E$835)</f>
        <v/>
      </c>
      <c r="X832">
        <f>IF([2]Baskol!$G$835="","",[2]Baskol!$G$835)</f>
        <v/>
      </c>
      <c r="Y832">
        <f>IF([2]Baskol!$I$835="","",[2]Baskol!$I$835)</f>
        <v/>
      </c>
      <c r="Z832">
        <f>IF([2]Baskol!$J$835="","",[2]Baskol!$J$835)</f>
        <v/>
      </c>
      <c r="AA832">
        <f>IF([2]Baskol!$K$835="","",[2]Baskol!$K$835)</f>
        <v/>
      </c>
      <c r="AB832">
        <f>IF([2]Baskol!$L$835="","",[2]Baskol!$L$835)</f>
        <v/>
      </c>
      <c r="AC832">
        <f>IF([2]Baskol!$N$835="","",[2]Baskol!$N$835)</f>
        <v/>
      </c>
      <c r="AD832">
        <f>IF([2]Baskol!$O$835="","",[2]Baskol!$O$835)</f>
        <v/>
      </c>
      <c r="AE832">
        <f>IF([3]Entry!$C$835="","",[3]Entry!$C$835)</f>
        <v/>
      </c>
      <c r="AF832">
        <f>IF([3]Entry!$D$835="","",[3]Entry!$D$835)</f>
        <v/>
      </c>
      <c r="AG832">
        <f>IF([3]Entry!$E$835="","",[3]Entry!$E$835)</f>
        <v/>
      </c>
      <c r="AH832">
        <f>IF([3]Entry!$G$835="","",[3]Entry!$G$835)</f>
        <v/>
      </c>
      <c r="AI832">
        <f>IF([3]Entry!$K$835="","",[3]Entry!$K$835)</f>
        <v/>
      </c>
      <c r="AJ832">
        <f>IF([3]Entry!$L$835="","",[3]Entry!$L$835)</f>
        <v/>
      </c>
      <c r="AK832">
        <f>IF([3]Entry!$M$835="","",[3]Entry!$M$835)</f>
        <v/>
      </c>
      <c r="AL832">
        <f>IF([3]Entry!$N$835="","",[3]Entry!$N$835)</f>
        <v/>
      </c>
      <c r="AM832">
        <f>IF([3]Entry!$R$835="","",[3]Entry!$R$835)</f>
        <v/>
      </c>
    </row>
    <row r="833">
      <c r="T833">
        <f>IF([2]Baskol!$B$836="","",[2]Baskol!$B$836)</f>
        <v/>
      </c>
      <c r="U833">
        <f>IF([2]Baskol!$C$836="","",[2]Baskol!$C$836)</f>
        <v/>
      </c>
      <c r="V833">
        <f>IF([2]Baskol!$D$836="","",[2]Baskol!$D$836)</f>
        <v/>
      </c>
      <c r="W833">
        <f>IF([2]Baskol!$E$836="","",[2]Baskol!$E$836)</f>
        <v/>
      </c>
      <c r="X833">
        <f>IF([2]Baskol!$G$836="","",[2]Baskol!$G$836)</f>
        <v/>
      </c>
      <c r="Y833">
        <f>IF([2]Baskol!$I$836="","",[2]Baskol!$I$836)</f>
        <v/>
      </c>
      <c r="Z833">
        <f>IF([2]Baskol!$J$836="","",[2]Baskol!$J$836)</f>
        <v/>
      </c>
      <c r="AA833">
        <f>IF([2]Baskol!$K$836="","",[2]Baskol!$K$836)</f>
        <v/>
      </c>
      <c r="AB833">
        <f>IF([2]Baskol!$L$836="","",[2]Baskol!$L$836)</f>
        <v/>
      </c>
      <c r="AC833">
        <f>IF([2]Baskol!$N$836="","",[2]Baskol!$N$836)</f>
        <v/>
      </c>
      <c r="AD833">
        <f>IF([2]Baskol!$O$836="","",[2]Baskol!$O$836)</f>
        <v/>
      </c>
      <c r="AE833">
        <f>IF([3]Entry!$C$836="","",[3]Entry!$C$836)</f>
        <v/>
      </c>
      <c r="AF833">
        <f>IF([3]Entry!$D$836="","",[3]Entry!$D$836)</f>
        <v/>
      </c>
      <c r="AG833">
        <f>IF([3]Entry!$E$836="","",[3]Entry!$E$836)</f>
        <v/>
      </c>
      <c r="AH833">
        <f>IF([3]Entry!$G$836="","",[3]Entry!$G$836)</f>
        <v/>
      </c>
      <c r="AI833">
        <f>IF([3]Entry!$K$836="","",[3]Entry!$K$836)</f>
        <v/>
      </c>
      <c r="AJ833">
        <f>IF([3]Entry!$L$836="","",[3]Entry!$L$836)</f>
        <v/>
      </c>
      <c r="AK833">
        <f>IF([3]Entry!$M$836="","",[3]Entry!$M$836)</f>
        <v/>
      </c>
      <c r="AL833">
        <f>IF([3]Entry!$N$836="","",[3]Entry!$N$836)</f>
        <v/>
      </c>
      <c r="AM833">
        <f>IF([3]Entry!$R$836="","",[3]Entry!$R$836)</f>
        <v/>
      </c>
    </row>
    <row r="834">
      <c r="T834">
        <f>IF([2]Baskol!$B$837="","",[2]Baskol!$B$837)</f>
        <v/>
      </c>
      <c r="U834">
        <f>IF([2]Baskol!$C$837="","",[2]Baskol!$C$837)</f>
        <v/>
      </c>
      <c r="V834">
        <f>IF([2]Baskol!$D$837="","",[2]Baskol!$D$837)</f>
        <v/>
      </c>
      <c r="W834">
        <f>IF([2]Baskol!$E$837="","",[2]Baskol!$E$837)</f>
        <v/>
      </c>
      <c r="X834">
        <f>IF([2]Baskol!$G$837="","",[2]Baskol!$G$837)</f>
        <v/>
      </c>
      <c r="Y834">
        <f>IF([2]Baskol!$I$837="","",[2]Baskol!$I$837)</f>
        <v/>
      </c>
      <c r="Z834">
        <f>IF([2]Baskol!$J$837="","",[2]Baskol!$J$837)</f>
        <v/>
      </c>
      <c r="AA834">
        <f>IF([2]Baskol!$K$837="","",[2]Baskol!$K$837)</f>
        <v/>
      </c>
      <c r="AB834">
        <f>IF([2]Baskol!$L$837="","",[2]Baskol!$L$837)</f>
        <v/>
      </c>
      <c r="AC834">
        <f>IF([2]Baskol!$N$837="","",[2]Baskol!$N$837)</f>
        <v/>
      </c>
      <c r="AD834">
        <f>IF([2]Baskol!$O$837="","",[2]Baskol!$O$837)</f>
        <v/>
      </c>
      <c r="AE834">
        <f>IF([3]Entry!$C$837="","",[3]Entry!$C$837)</f>
        <v/>
      </c>
      <c r="AF834">
        <f>IF([3]Entry!$D$837="","",[3]Entry!$D$837)</f>
        <v/>
      </c>
      <c r="AG834">
        <f>IF([3]Entry!$E$837="","",[3]Entry!$E$837)</f>
        <v/>
      </c>
      <c r="AH834">
        <f>IF([3]Entry!$G$837="","",[3]Entry!$G$837)</f>
        <v/>
      </c>
      <c r="AI834">
        <f>IF([3]Entry!$K$837="","",[3]Entry!$K$837)</f>
        <v/>
      </c>
      <c r="AJ834">
        <f>IF([3]Entry!$L$837="","",[3]Entry!$L$837)</f>
        <v/>
      </c>
      <c r="AK834">
        <f>IF([3]Entry!$M$837="","",[3]Entry!$M$837)</f>
        <v/>
      </c>
      <c r="AL834">
        <f>IF([3]Entry!$N$837="","",[3]Entry!$N$837)</f>
        <v/>
      </c>
      <c r="AM834">
        <f>IF([3]Entry!$R$837="","",[3]Entry!$R$837)</f>
        <v/>
      </c>
    </row>
    <row r="835">
      <c r="T835">
        <f>IF([2]Baskol!$B$838="","",[2]Baskol!$B$838)</f>
        <v/>
      </c>
      <c r="U835">
        <f>IF([2]Baskol!$C$838="","",[2]Baskol!$C$838)</f>
        <v/>
      </c>
      <c r="V835">
        <f>IF([2]Baskol!$D$838="","",[2]Baskol!$D$838)</f>
        <v/>
      </c>
      <c r="W835">
        <f>IF([2]Baskol!$E$838="","",[2]Baskol!$E$838)</f>
        <v/>
      </c>
      <c r="X835">
        <f>IF([2]Baskol!$G$838="","",[2]Baskol!$G$838)</f>
        <v/>
      </c>
      <c r="Y835">
        <f>IF([2]Baskol!$I$838="","",[2]Baskol!$I$838)</f>
        <v/>
      </c>
      <c r="Z835">
        <f>IF([2]Baskol!$J$838="","",[2]Baskol!$J$838)</f>
        <v/>
      </c>
      <c r="AA835">
        <f>IF([2]Baskol!$K$838="","",[2]Baskol!$K$838)</f>
        <v/>
      </c>
      <c r="AB835">
        <f>IF([2]Baskol!$L$838="","",[2]Baskol!$L$838)</f>
        <v/>
      </c>
      <c r="AC835">
        <f>IF([2]Baskol!$N$838="","",[2]Baskol!$N$838)</f>
        <v/>
      </c>
      <c r="AD835">
        <f>IF([2]Baskol!$O$838="","",[2]Baskol!$O$838)</f>
        <v/>
      </c>
      <c r="AE835">
        <f>IF([3]Entry!$C$838="","",[3]Entry!$C$838)</f>
        <v/>
      </c>
      <c r="AF835">
        <f>IF([3]Entry!$D$838="","",[3]Entry!$D$838)</f>
        <v/>
      </c>
      <c r="AG835">
        <f>IF([3]Entry!$E$838="","",[3]Entry!$E$838)</f>
        <v/>
      </c>
      <c r="AH835">
        <f>IF([3]Entry!$G$838="","",[3]Entry!$G$838)</f>
        <v/>
      </c>
      <c r="AI835">
        <f>IF([3]Entry!$K$838="","",[3]Entry!$K$838)</f>
        <v/>
      </c>
      <c r="AJ835">
        <f>IF([3]Entry!$L$838="","",[3]Entry!$L$838)</f>
        <v/>
      </c>
      <c r="AK835">
        <f>IF([3]Entry!$M$838="","",[3]Entry!$M$838)</f>
        <v/>
      </c>
      <c r="AL835">
        <f>IF([3]Entry!$N$838="","",[3]Entry!$N$838)</f>
        <v/>
      </c>
      <c r="AM835">
        <f>IF([3]Entry!$R$838="","",[3]Entry!$R$838)</f>
        <v/>
      </c>
    </row>
    <row r="836">
      <c r="T836">
        <f>IF([2]Baskol!$B$839="","",[2]Baskol!$B$839)</f>
        <v/>
      </c>
      <c r="U836">
        <f>IF([2]Baskol!$C$839="","",[2]Baskol!$C$839)</f>
        <v/>
      </c>
      <c r="V836">
        <f>IF([2]Baskol!$D$839="","",[2]Baskol!$D$839)</f>
        <v/>
      </c>
      <c r="W836">
        <f>IF([2]Baskol!$E$839="","",[2]Baskol!$E$839)</f>
        <v/>
      </c>
      <c r="X836">
        <f>IF([2]Baskol!$G$839="","",[2]Baskol!$G$839)</f>
        <v/>
      </c>
      <c r="Y836">
        <f>IF([2]Baskol!$I$839="","",[2]Baskol!$I$839)</f>
        <v/>
      </c>
      <c r="Z836">
        <f>IF([2]Baskol!$J$839="","",[2]Baskol!$J$839)</f>
        <v/>
      </c>
      <c r="AA836">
        <f>IF([2]Baskol!$K$839="","",[2]Baskol!$K$839)</f>
        <v/>
      </c>
      <c r="AB836">
        <f>IF([2]Baskol!$L$839="","",[2]Baskol!$L$839)</f>
        <v/>
      </c>
      <c r="AC836">
        <f>IF([2]Baskol!$N$839="","",[2]Baskol!$N$839)</f>
        <v/>
      </c>
      <c r="AD836">
        <f>IF([2]Baskol!$O$839="","",[2]Baskol!$O$839)</f>
        <v/>
      </c>
      <c r="AE836">
        <f>IF([3]Entry!$C$839="","",[3]Entry!$C$839)</f>
        <v/>
      </c>
      <c r="AF836">
        <f>IF([3]Entry!$D$839="","",[3]Entry!$D$839)</f>
        <v/>
      </c>
      <c r="AG836">
        <f>IF([3]Entry!$E$839="","",[3]Entry!$E$839)</f>
        <v/>
      </c>
      <c r="AH836">
        <f>IF([3]Entry!$G$839="","",[3]Entry!$G$839)</f>
        <v/>
      </c>
      <c r="AI836">
        <f>IF([3]Entry!$K$839="","",[3]Entry!$K$839)</f>
        <v/>
      </c>
      <c r="AJ836">
        <f>IF([3]Entry!$L$839="","",[3]Entry!$L$839)</f>
        <v/>
      </c>
      <c r="AK836">
        <f>IF([3]Entry!$M$839="","",[3]Entry!$M$839)</f>
        <v/>
      </c>
      <c r="AL836">
        <f>IF([3]Entry!$N$839="","",[3]Entry!$N$839)</f>
        <v/>
      </c>
      <c r="AM836">
        <f>IF([3]Entry!$R$839="","",[3]Entry!$R$839)</f>
        <v/>
      </c>
    </row>
    <row r="837">
      <c r="T837">
        <f>IF([2]Baskol!$B$840="","",[2]Baskol!$B$840)</f>
        <v/>
      </c>
      <c r="U837">
        <f>IF([2]Baskol!$C$840="","",[2]Baskol!$C$840)</f>
        <v/>
      </c>
      <c r="V837">
        <f>IF([2]Baskol!$D$840="","",[2]Baskol!$D$840)</f>
        <v/>
      </c>
      <c r="W837">
        <f>IF([2]Baskol!$E$840="","",[2]Baskol!$E$840)</f>
        <v/>
      </c>
      <c r="X837">
        <f>IF([2]Baskol!$G$840="","",[2]Baskol!$G$840)</f>
        <v/>
      </c>
      <c r="Y837">
        <f>IF([2]Baskol!$I$840="","",[2]Baskol!$I$840)</f>
        <v/>
      </c>
      <c r="Z837">
        <f>IF([2]Baskol!$J$840="","",[2]Baskol!$J$840)</f>
        <v/>
      </c>
      <c r="AA837">
        <f>IF([2]Baskol!$K$840="","",[2]Baskol!$K$840)</f>
        <v/>
      </c>
      <c r="AB837">
        <f>IF([2]Baskol!$L$840="","",[2]Baskol!$L$840)</f>
        <v/>
      </c>
      <c r="AC837">
        <f>IF([2]Baskol!$N$840="","",[2]Baskol!$N$840)</f>
        <v/>
      </c>
      <c r="AD837">
        <f>IF([2]Baskol!$O$840="","",[2]Baskol!$O$840)</f>
        <v/>
      </c>
      <c r="AE837">
        <f>IF([3]Entry!$C$840="","",[3]Entry!$C$840)</f>
        <v/>
      </c>
      <c r="AF837">
        <f>IF([3]Entry!$D$840="","",[3]Entry!$D$840)</f>
        <v/>
      </c>
      <c r="AG837">
        <f>IF([3]Entry!$E$840="","",[3]Entry!$E$840)</f>
        <v/>
      </c>
      <c r="AH837">
        <f>IF([3]Entry!$G$840="","",[3]Entry!$G$840)</f>
        <v/>
      </c>
      <c r="AI837">
        <f>IF([3]Entry!$K$840="","",[3]Entry!$K$840)</f>
        <v/>
      </c>
      <c r="AJ837">
        <f>IF([3]Entry!$L$840="","",[3]Entry!$L$840)</f>
        <v/>
      </c>
      <c r="AK837">
        <f>IF([3]Entry!$M$840="","",[3]Entry!$M$840)</f>
        <v/>
      </c>
      <c r="AL837">
        <f>IF([3]Entry!$N$840="","",[3]Entry!$N$840)</f>
        <v/>
      </c>
      <c r="AM837">
        <f>IF([3]Entry!$R$840="","",[3]Entry!$R$840)</f>
        <v/>
      </c>
    </row>
    <row r="838">
      <c r="T838">
        <f>IF([2]Baskol!$B$841="","",[2]Baskol!$B$841)</f>
        <v/>
      </c>
      <c r="U838">
        <f>IF([2]Baskol!$C$841="","",[2]Baskol!$C$841)</f>
        <v/>
      </c>
      <c r="V838">
        <f>IF([2]Baskol!$D$841="","",[2]Baskol!$D$841)</f>
        <v/>
      </c>
      <c r="W838">
        <f>IF([2]Baskol!$E$841="","",[2]Baskol!$E$841)</f>
        <v/>
      </c>
      <c r="X838">
        <f>IF([2]Baskol!$G$841="","",[2]Baskol!$G$841)</f>
        <v/>
      </c>
      <c r="Y838">
        <f>IF([2]Baskol!$I$841="","",[2]Baskol!$I$841)</f>
        <v/>
      </c>
      <c r="Z838">
        <f>IF([2]Baskol!$J$841="","",[2]Baskol!$J$841)</f>
        <v/>
      </c>
      <c r="AA838">
        <f>IF([2]Baskol!$K$841="","",[2]Baskol!$K$841)</f>
        <v/>
      </c>
      <c r="AB838">
        <f>IF([2]Baskol!$L$841="","",[2]Baskol!$L$841)</f>
        <v/>
      </c>
      <c r="AC838">
        <f>IF([2]Baskol!$N$841="","",[2]Baskol!$N$841)</f>
        <v/>
      </c>
      <c r="AD838">
        <f>IF([2]Baskol!$O$841="","",[2]Baskol!$O$841)</f>
        <v/>
      </c>
      <c r="AE838">
        <f>IF([3]Entry!$C$841="","",[3]Entry!$C$841)</f>
        <v/>
      </c>
      <c r="AF838">
        <f>IF([3]Entry!$D$841="","",[3]Entry!$D$841)</f>
        <v/>
      </c>
      <c r="AG838">
        <f>IF([3]Entry!$E$841="","",[3]Entry!$E$841)</f>
        <v/>
      </c>
      <c r="AH838">
        <f>IF([3]Entry!$G$841="","",[3]Entry!$G$841)</f>
        <v/>
      </c>
      <c r="AI838">
        <f>IF([3]Entry!$K$841="","",[3]Entry!$K$841)</f>
        <v/>
      </c>
      <c r="AJ838">
        <f>IF([3]Entry!$L$841="","",[3]Entry!$L$841)</f>
        <v/>
      </c>
      <c r="AK838">
        <f>IF([3]Entry!$M$841="","",[3]Entry!$M$841)</f>
        <v/>
      </c>
      <c r="AL838">
        <f>IF([3]Entry!$N$841="","",[3]Entry!$N$841)</f>
        <v/>
      </c>
      <c r="AM838">
        <f>IF([3]Entry!$R$841="","",[3]Entry!$R$841)</f>
        <v/>
      </c>
    </row>
    <row r="839">
      <c r="T839">
        <f>IF([2]Baskol!$B$842="","",[2]Baskol!$B$842)</f>
        <v/>
      </c>
      <c r="U839">
        <f>IF([2]Baskol!$C$842="","",[2]Baskol!$C$842)</f>
        <v/>
      </c>
      <c r="V839">
        <f>IF([2]Baskol!$D$842="","",[2]Baskol!$D$842)</f>
        <v/>
      </c>
      <c r="W839">
        <f>IF([2]Baskol!$E$842="","",[2]Baskol!$E$842)</f>
        <v/>
      </c>
      <c r="X839">
        <f>IF([2]Baskol!$G$842="","",[2]Baskol!$G$842)</f>
        <v/>
      </c>
      <c r="Y839">
        <f>IF([2]Baskol!$I$842="","",[2]Baskol!$I$842)</f>
        <v/>
      </c>
      <c r="Z839">
        <f>IF([2]Baskol!$J$842="","",[2]Baskol!$J$842)</f>
        <v/>
      </c>
      <c r="AA839">
        <f>IF([2]Baskol!$K$842="","",[2]Baskol!$K$842)</f>
        <v/>
      </c>
      <c r="AB839">
        <f>IF([2]Baskol!$L$842="","",[2]Baskol!$L$842)</f>
        <v/>
      </c>
      <c r="AC839">
        <f>IF([2]Baskol!$N$842="","",[2]Baskol!$N$842)</f>
        <v/>
      </c>
      <c r="AD839">
        <f>IF([2]Baskol!$O$842="","",[2]Baskol!$O$842)</f>
        <v/>
      </c>
      <c r="AE839">
        <f>IF([3]Entry!$C$842="","",[3]Entry!$C$842)</f>
        <v/>
      </c>
      <c r="AF839">
        <f>IF([3]Entry!$D$842="","",[3]Entry!$D$842)</f>
        <v/>
      </c>
      <c r="AG839">
        <f>IF([3]Entry!$E$842="","",[3]Entry!$E$842)</f>
        <v/>
      </c>
      <c r="AH839">
        <f>IF([3]Entry!$G$842="","",[3]Entry!$G$842)</f>
        <v/>
      </c>
      <c r="AI839">
        <f>IF([3]Entry!$K$842="","",[3]Entry!$K$842)</f>
        <v/>
      </c>
      <c r="AJ839">
        <f>IF([3]Entry!$L$842="","",[3]Entry!$L$842)</f>
        <v/>
      </c>
      <c r="AK839">
        <f>IF([3]Entry!$M$842="","",[3]Entry!$M$842)</f>
        <v/>
      </c>
      <c r="AL839">
        <f>IF([3]Entry!$N$842="","",[3]Entry!$N$842)</f>
        <v/>
      </c>
      <c r="AM839">
        <f>IF([3]Entry!$R$842="","",[3]Entry!$R$842)</f>
        <v/>
      </c>
    </row>
    <row r="840">
      <c r="T840">
        <f>IF([2]Baskol!$B$843="","",[2]Baskol!$B$843)</f>
        <v/>
      </c>
      <c r="U840">
        <f>IF([2]Baskol!$C$843="","",[2]Baskol!$C$843)</f>
        <v/>
      </c>
      <c r="V840">
        <f>IF([2]Baskol!$D$843="","",[2]Baskol!$D$843)</f>
        <v/>
      </c>
      <c r="W840">
        <f>IF([2]Baskol!$E$843="","",[2]Baskol!$E$843)</f>
        <v/>
      </c>
      <c r="X840">
        <f>IF([2]Baskol!$G$843="","",[2]Baskol!$G$843)</f>
        <v/>
      </c>
      <c r="Y840">
        <f>IF([2]Baskol!$I$843="","",[2]Baskol!$I$843)</f>
        <v/>
      </c>
      <c r="Z840">
        <f>IF([2]Baskol!$J$843="","",[2]Baskol!$J$843)</f>
        <v/>
      </c>
      <c r="AA840">
        <f>IF([2]Baskol!$K$843="","",[2]Baskol!$K$843)</f>
        <v/>
      </c>
      <c r="AB840">
        <f>IF([2]Baskol!$L$843="","",[2]Baskol!$L$843)</f>
        <v/>
      </c>
      <c r="AC840">
        <f>IF([2]Baskol!$N$843="","",[2]Baskol!$N$843)</f>
        <v/>
      </c>
      <c r="AD840">
        <f>IF([2]Baskol!$O$843="","",[2]Baskol!$O$843)</f>
        <v/>
      </c>
      <c r="AE840">
        <f>IF([3]Entry!$C$843="","",[3]Entry!$C$843)</f>
        <v/>
      </c>
      <c r="AF840">
        <f>IF([3]Entry!$D$843="","",[3]Entry!$D$843)</f>
        <v/>
      </c>
      <c r="AG840">
        <f>IF([3]Entry!$E$843="","",[3]Entry!$E$843)</f>
        <v/>
      </c>
      <c r="AH840">
        <f>IF([3]Entry!$G$843="","",[3]Entry!$G$843)</f>
        <v/>
      </c>
      <c r="AI840">
        <f>IF([3]Entry!$K$843="","",[3]Entry!$K$843)</f>
        <v/>
      </c>
      <c r="AJ840">
        <f>IF([3]Entry!$L$843="","",[3]Entry!$L$843)</f>
        <v/>
      </c>
      <c r="AK840">
        <f>IF([3]Entry!$M$843="","",[3]Entry!$M$843)</f>
        <v/>
      </c>
      <c r="AL840">
        <f>IF([3]Entry!$N$843="","",[3]Entry!$N$843)</f>
        <v/>
      </c>
      <c r="AM840">
        <f>IF([3]Entry!$R$843="","",[3]Entry!$R$843)</f>
        <v/>
      </c>
    </row>
    <row r="841">
      <c r="T841">
        <f>IF([2]Baskol!$B$844="","",[2]Baskol!$B$844)</f>
        <v/>
      </c>
      <c r="U841">
        <f>IF([2]Baskol!$C$844="","",[2]Baskol!$C$844)</f>
        <v/>
      </c>
      <c r="V841">
        <f>IF([2]Baskol!$D$844="","",[2]Baskol!$D$844)</f>
        <v/>
      </c>
      <c r="W841">
        <f>IF([2]Baskol!$E$844="","",[2]Baskol!$E$844)</f>
        <v/>
      </c>
      <c r="X841">
        <f>IF([2]Baskol!$G$844="","",[2]Baskol!$G$844)</f>
        <v/>
      </c>
      <c r="Y841">
        <f>IF([2]Baskol!$I$844="","",[2]Baskol!$I$844)</f>
        <v/>
      </c>
      <c r="Z841">
        <f>IF([2]Baskol!$J$844="","",[2]Baskol!$J$844)</f>
        <v/>
      </c>
      <c r="AA841">
        <f>IF([2]Baskol!$K$844="","",[2]Baskol!$K$844)</f>
        <v/>
      </c>
      <c r="AB841">
        <f>IF([2]Baskol!$L$844="","",[2]Baskol!$L$844)</f>
        <v/>
      </c>
      <c r="AC841">
        <f>IF([2]Baskol!$N$844="","",[2]Baskol!$N$844)</f>
        <v/>
      </c>
      <c r="AD841">
        <f>IF([2]Baskol!$O$844="","",[2]Baskol!$O$844)</f>
        <v/>
      </c>
      <c r="AE841">
        <f>IF([3]Entry!$C$844="","",[3]Entry!$C$844)</f>
        <v/>
      </c>
      <c r="AF841">
        <f>IF([3]Entry!$D$844="","",[3]Entry!$D$844)</f>
        <v/>
      </c>
      <c r="AG841">
        <f>IF([3]Entry!$E$844="","",[3]Entry!$E$844)</f>
        <v/>
      </c>
      <c r="AH841">
        <f>IF([3]Entry!$G$844="","",[3]Entry!$G$844)</f>
        <v/>
      </c>
      <c r="AI841">
        <f>IF([3]Entry!$K$844="","",[3]Entry!$K$844)</f>
        <v/>
      </c>
      <c r="AJ841">
        <f>IF([3]Entry!$L$844="","",[3]Entry!$L$844)</f>
        <v/>
      </c>
      <c r="AK841">
        <f>IF([3]Entry!$M$844="","",[3]Entry!$M$844)</f>
        <v/>
      </c>
      <c r="AL841">
        <f>IF([3]Entry!$N$844="","",[3]Entry!$N$844)</f>
        <v/>
      </c>
      <c r="AM841">
        <f>IF([3]Entry!$R$844="","",[3]Entry!$R$844)</f>
        <v/>
      </c>
    </row>
    <row r="842">
      <c r="T842">
        <f>IF([2]Baskol!$B$845="","",[2]Baskol!$B$845)</f>
        <v/>
      </c>
      <c r="U842">
        <f>IF([2]Baskol!$C$845="","",[2]Baskol!$C$845)</f>
        <v/>
      </c>
      <c r="V842">
        <f>IF([2]Baskol!$D$845="","",[2]Baskol!$D$845)</f>
        <v/>
      </c>
      <c r="W842">
        <f>IF([2]Baskol!$E$845="","",[2]Baskol!$E$845)</f>
        <v/>
      </c>
      <c r="X842">
        <f>IF([2]Baskol!$G$845="","",[2]Baskol!$G$845)</f>
        <v/>
      </c>
      <c r="Y842">
        <f>IF([2]Baskol!$I$845="","",[2]Baskol!$I$845)</f>
        <v/>
      </c>
      <c r="Z842">
        <f>IF([2]Baskol!$J$845="","",[2]Baskol!$J$845)</f>
        <v/>
      </c>
      <c r="AA842">
        <f>IF([2]Baskol!$K$845="","",[2]Baskol!$K$845)</f>
        <v/>
      </c>
      <c r="AB842">
        <f>IF([2]Baskol!$L$845="","",[2]Baskol!$L$845)</f>
        <v/>
      </c>
      <c r="AC842">
        <f>IF([2]Baskol!$N$845="","",[2]Baskol!$N$845)</f>
        <v/>
      </c>
      <c r="AD842">
        <f>IF([2]Baskol!$O$845="","",[2]Baskol!$O$845)</f>
        <v/>
      </c>
      <c r="AE842">
        <f>IF([3]Entry!$C$845="","",[3]Entry!$C$845)</f>
        <v/>
      </c>
      <c r="AF842">
        <f>IF([3]Entry!$D$845="","",[3]Entry!$D$845)</f>
        <v/>
      </c>
      <c r="AG842">
        <f>IF([3]Entry!$E$845="","",[3]Entry!$E$845)</f>
        <v/>
      </c>
      <c r="AH842">
        <f>IF([3]Entry!$G$845="","",[3]Entry!$G$845)</f>
        <v/>
      </c>
      <c r="AI842">
        <f>IF([3]Entry!$K$845="","",[3]Entry!$K$845)</f>
        <v/>
      </c>
      <c r="AJ842">
        <f>IF([3]Entry!$L$845="","",[3]Entry!$L$845)</f>
        <v/>
      </c>
      <c r="AK842">
        <f>IF([3]Entry!$M$845="","",[3]Entry!$M$845)</f>
        <v/>
      </c>
      <c r="AL842">
        <f>IF([3]Entry!$N$845="","",[3]Entry!$N$845)</f>
        <v/>
      </c>
      <c r="AM842">
        <f>IF([3]Entry!$R$845="","",[3]Entry!$R$845)</f>
        <v/>
      </c>
    </row>
    <row r="843">
      <c r="T843">
        <f>IF([2]Baskol!$B$846="","",[2]Baskol!$B$846)</f>
        <v/>
      </c>
      <c r="U843">
        <f>IF([2]Baskol!$C$846="","",[2]Baskol!$C$846)</f>
        <v/>
      </c>
      <c r="V843">
        <f>IF([2]Baskol!$D$846="","",[2]Baskol!$D$846)</f>
        <v/>
      </c>
      <c r="W843">
        <f>IF([2]Baskol!$E$846="","",[2]Baskol!$E$846)</f>
        <v/>
      </c>
      <c r="X843">
        <f>IF([2]Baskol!$G$846="","",[2]Baskol!$G$846)</f>
        <v/>
      </c>
      <c r="Y843">
        <f>IF([2]Baskol!$I$846="","",[2]Baskol!$I$846)</f>
        <v/>
      </c>
      <c r="Z843">
        <f>IF([2]Baskol!$J$846="","",[2]Baskol!$J$846)</f>
        <v/>
      </c>
      <c r="AA843">
        <f>IF([2]Baskol!$K$846="","",[2]Baskol!$K$846)</f>
        <v/>
      </c>
      <c r="AB843">
        <f>IF([2]Baskol!$L$846="","",[2]Baskol!$L$846)</f>
        <v/>
      </c>
      <c r="AC843">
        <f>IF([2]Baskol!$N$846="","",[2]Baskol!$N$846)</f>
        <v/>
      </c>
      <c r="AD843">
        <f>IF([2]Baskol!$O$846="","",[2]Baskol!$O$846)</f>
        <v/>
      </c>
      <c r="AE843">
        <f>IF([3]Entry!$C$846="","",[3]Entry!$C$846)</f>
        <v/>
      </c>
      <c r="AF843">
        <f>IF([3]Entry!$D$846="","",[3]Entry!$D$846)</f>
        <v/>
      </c>
      <c r="AG843">
        <f>IF([3]Entry!$E$846="","",[3]Entry!$E$846)</f>
        <v/>
      </c>
      <c r="AH843">
        <f>IF([3]Entry!$G$846="","",[3]Entry!$G$846)</f>
        <v/>
      </c>
      <c r="AI843">
        <f>IF([3]Entry!$K$846="","",[3]Entry!$K$846)</f>
        <v/>
      </c>
      <c r="AJ843">
        <f>IF([3]Entry!$L$846="","",[3]Entry!$L$846)</f>
        <v/>
      </c>
      <c r="AK843">
        <f>IF([3]Entry!$M$846="","",[3]Entry!$M$846)</f>
        <v/>
      </c>
      <c r="AL843">
        <f>IF([3]Entry!$N$846="","",[3]Entry!$N$846)</f>
        <v/>
      </c>
      <c r="AM843">
        <f>IF([3]Entry!$R$846="","",[3]Entry!$R$846)</f>
        <v/>
      </c>
    </row>
    <row r="844">
      <c r="T844">
        <f>IF([2]Baskol!$B$847="","",[2]Baskol!$B$847)</f>
        <v/>
      </c>
      <c r="U844">
        <f>IF([2]Baskol!$C$847="","",[2]Baskol!$C$847)</f>
        <v/>
      </c>
      <c r="V844">
        <f>IF([2]Baskol!$D$847="","",[2]Baskol!$D$847)</f>
        <v/>
      </c>
      <c r="W844">
        <f>IF([2]Baskol!$E$847="","",[2]Baskol!$E$847)</f>
        <v/>
      </c>
      <c r="X844">
        <f>IF([2]Baskol!$G$847="","",[2]Baskol!$G$847)</f>
        <v/>
      </c>
      <c r="Y844">
        <f>IF([2]Baskol!$I$847="","",[2]Baskol!$I$847)</f>
        <v/>
      </c>
      <c r="Z844">
        <f>IF([2]Baskol!$J$847="","",[2]Baskol!$J$847)</f>
        <v/>
      </c>
      <c r="AA844">
        <f>IF([2]Baskol!$K$847="","",[2]Baskol!$K$847)</f>
        <v/>
      </c>
      <c r="AB844">
        <f>IF([2]Baskol!$L$847="","",[2]Baskol!$L$847)</f>
        <v/>
      </c>
      <c r="AC844">
        <f>IF([2]Baskol!$N$847="","",[2]Baskol!$N$847)</f>
        <v/>
      </c>
      <c r="AD844">
        <f>IF([2]Baskol!$O$847="","",[2]Baskol!$O$847)</f>
        <v/>
      </c>
      <c r="AE844">
        <f>IF([3]Entry!$C$847="","",[3]Entry!$C$847)</f>
        <v/>
      </c>
      <c r="AF844">
        <f>IF([3]Entry!$D$847="","",[3]Entry!$D$847)</f>
        <v/>
      </c>
      <c r="AG844">
        <f>IF([3]Entry!$E$847="","",[3]Entry!$E$847)</f>
        <v/>
      </c>
      <c r="AH844">
        <f>IF([3]Entry!$G$847="","",[3]Entry!$G$847)</f>
        <v/>
      </c>
      <c r="AI844">
        <f>IF([3]Entry!$K$847="","",[3]Entry!$K$847)</f>
        <v/>
      </c>
      <c r="AJ844">
        <f>IF([3]Entry!$L$847="","",[3]Entry!$L$847)</f>
        <v/>
      </c>
      <c r="AK844">
        <f>IF([3]Entry!$M$847="","",[3]Entry!$M$847)</f>
        <v/>
      </c>
      <c r="AL844">
        <f>IF([3]Entry!$N$847="","",[3]Entry!$N$847)</f>
        <v/>
      </c>
      <c r="AM844">
        <f>IF([3]Entry!$R$847="","",[3]Entry!$R$847)</f>
        <v/>
      </c>
    </row>
    <row r="845">
      <c r="T845">
        <f>IF([2]Baskol!$B$848="","",[2]Baskol!$B$848)</f>
        <v/>
      </c>
      <c r="U845">
        <f>IF([2]Baskol!$C$848="","",[2]Baskol!$C$848)</f>
        <v/>
      </c>
      <c r="V845">
        <f>IF([2]Baskol!$D$848="","",[2]Baskol!$D$848)</f>
        <v/>
      </c>
      <c r="W845">
        <f>IF([2]Baskol!$E$848="","",[2]Baskol!$E$848)</f>
        <v/>
      </c>
      <c r="X845">
        <f>IF([2]Baskol!$G$848="","",[2]Baskol!$G$848)</f>
        <v/>
      </c>
      <c r="Y845">
        <f>IF([2]Baskol!$I$848="","",[2]Baskol!$I$848)</f>
        <v/>
      </c>
      <c r="Z845">
        <f>IF([2]Baskol!$J$848="","",[2]Baskol!$J$848)</f>
        <v/>
      </c>
      <c r="AA845">
        <f>IF([2]Baskol!$K$848="","",[2]Baskol!$K$848)</f>
        <v/>
      </c>
      <c r="AB845">
        <f>IF([2]Baskol!$L$848="","",[2]Baskol!$L$848)</f>
        <v/>
      </c>
      <c r="AC845">
        <f>IF([2]Baskol!$N$848="","",[2]Baskol!$N$848)</f>
        <v/>
      </c>
      <c r="AD845">
        <f>IF([2]Baskol!$O$848="","",[2]Baskol!$O$848)</f>
        <v/>
      </c>
      <c r="AE845">
        <f>IF([3]Entry!$C$848="","",[3]Entry!$C$848)</f>
        <v/>
      </c>
      <c r="AF845">
        <f>IF([3]Entry!$D$848="","",[3]Entry!$D$848)</f>
        <v/>
      </c>
      <c r="AG845">
        <f>IF([3]Entry!$E$848="","",[3]Entry!$E$848)</f>
        <v/>
      </c>
      <c r="AH845">
        <f>IF([3]Entry!$G$848="","",[3]Entry!$G$848)</f>
        <v/>
      </c>
      <c r="AI845">
        <f>IF([3]Entry!$K$848="","",[3]Entry!$K$848)</f>
        <v/>
      </c>
      <c r="AJ845">
        <f>IF([3]Entry!$L$848="","",[3]Entry!$L$848)</f>
        <v/>
      </c>
      <c r="AK845">
        <f>IF([3]Entry!$M$848="","",[3]Entry!$M$848)</f>
        <v/>
      </c>
      <c r="AL845">
        <f>IF([3]Entry!$N$848="","",[3]Entry!$N$848)</f>
        <v/>
      </c>
      <c r="AM845">
        <f>IF([3]Entry!$R$848="","",[3]Entry!$R$848)</f>
        <v/>
      </c>
    </row>
    <row r="846">
      <c r="T846">
        <f>IF([2]Baskol!$B$849="","",[2]Baskol!$B$849)</f>
        <v/>
      </c>
      <c r="U846">
        <f>IF([2]Baskol!$C$849="","",[2]Baskol!$C$849)</f>
        <v/>
      </c>
      <c r="V846">
        <f>IF([2]Baskol!$D$849="","",[2]Baskol!$D$849)</f>
        <v/>
      </c>
      <c r="W846">
        <f>IF([2]Baskol!$E$849="","",[2]Baskol!$E$849)</f>
        <v/>
      </c>
      <c r="X846">
        <f>IF([2]Baskol!$G$849="","",[2]Baskol!$G$849)</f>
        <v/>
      </c>
      <c r="Y846">
        <f>IF([2]Baskol!$I$849="","",[2]Baskol!$I$849)</f>
        <v/>
      </c>
      <c r="Z846">
        <f>IF([2]Baskol!$J$849="","",[2]Baskol!$J$849)</f>
        <v/>
      </c>
      <c r="AA846">
        <f>IF([2]Baskol!$K$849="","",[2]Baskol!$K$849)</f>
        <v/>
      </c>
      <c r="AB846">
        <f>IF([2]Baskol!$L$849="","",[2]Baskol!$L$849)</f>
        <v/>
      </c>
      <c r="AC846">
        <f>IF([2]Baskol!$N$849="","",[2]Baskol!$N$849)</f>
        <v/>
      </c>
      <c r="AD846">
        <f>IF([2]Baskol!$O$849="","",[2]Baskol!$O$849)</f>
        <v/>
      </c>
      <c r="AE846">
        <f>IF([3]Entry!$C$849="","",[3]Entry!$C$849)</f>
        <v/>
      </c>
      <c r="AF846">
        <f>IF([3]Entry!$D$849="","",[3]Entry!$D$849)</f>
        <v/>
      </c>
      <c r="AG846">
        <f>IF([3]Entry!$E$849="","",[3]Entry!$E$849)</f>
        <v/>
      </c>
      <c r="AH846">
        <f>IF([3]Entry!$G$849="","",[3]Entry!$G$849)</f>
        <v/>
      </c>
      <c r="AI846">
        <f>IF([3]Entry!$K$849="","",[3]Entry!$K$849)</f>
        <v/>
      </c>
      <c r="AJ846">
        <f>IF([3]Entry!$L$849="","",[3]Entry!$L$849)</f>
        <v/>
      </c>
      <c r="AK846">
        <f>IF([3]Entry!$M$849="","",[3]Entry!$M$849)</f>
        <v/>
      </c>
      <c r="AL846">
        <f>IF([3]Entry!$N$849="","",[3]Entry!$N$849)</f>
        <v/>
      </c>
      <c r="AM846">
        <f>IF([3]Entry!$R$849="","",[3]Entry!$R$849)</f>
        <v/>
      </c>
    </row>
    <row r="847">
      <c r="T847">
        <f>IF([2]Baskol!$B$850="","",[2]Baskol!$B$850)</f>
        <v/>
      </c>
      <c r="U847">
        <f>IF([2]Baskol!$C$850="","",[2]Baskol!$C$850)</f>
        <v/>
      </c>
      <c r="V847">
        <f>IF([2]Baskol!$D$850="","",[2]Baskol!$D$850)</f>
        <v/>
      </c>
      <c r="W847">
        <f>IF([2]Baskol!$E$850="","",[2]Baskol!$E$850)</f>
        <v/>
      </c>
      <c r="X847">
        <f>IF([2]Baskol!$G$850="","",[2]Baskol!$G$850)</f>
        <v/>
      </c>
      <c r="Y847">
        <f>IF([2]Baskol!$I$850="","",[2]Baskol!$I$850)</f>
        <v/>
      </c>
      <c r="Z847">
        <f>IF([2]Baskol!$J$850="","",[2]Baskol!$J$850)</f>
        <v/>
      </c>
      <c r="AA847">
        <f>IF([2]Baskol!$K$850="","",[2]Baskol!$K$850)</f>
        <v/>
      </c>
      <c r="AB847">
        <f>IF([2]Baskol!$L$850="","",[2]Baskol!$L$850)</f>
        <v/>
      </c>
      <c r="AC847">
        <f>IF([2]Baskol!$N$850="","",[2]Baskol!$N$850)</f>
        <v/>
      </c>
      <c r="AD847">
        <f>IF([2]Baskol!$O$850="","",[2]Baskol!$O$850)</f>
        <v/>
      </c>
      <c r="AE847">
        <f>IF([3]Entry!$C$850="","",[3]Entry!$C$850)</f>
        <v/>
      </c>
      <c r="AF847">
        <f>IF([3]Entry!$D$850="","",[3]Entry!$D$850)</f>
        <v/>
      </c>
      <c r="AG847">
        <f>IF([3]Entry!$E$850="","",[3]Entry!$E$850)</f>
        <v/>
      </c>
      <c r="AH847">
        <f>IF([3]Entry!$G$850="","",[3]Entry!$G$850)</f>
        <v/>
      </c>
      <c r="AI847">
        <f>IF([3]Entry!$K$850="","",[3]Entry!$K$850)</f>
        <v/>
      </c>
      <c r="AJ847">
        <f>IF([3]Entry!$L$850="","",[3]Entry!$L$850)</f>
        <v/>
      </c>
      <c r="AK847">
        <f>IF([3]Entry!$M$850="","",[3]Entry!$M$850)</f>
        <v/>
      </c>
      <c r="AL847">
        <f>IF([3]Entry!$N$850="","",[3]Entry!$N$850)</f>
        <v/>
      </c>
      <c r="AM847">
        <f>IF([3]Entry!$R$850="","",[3]Entry!$R$850)</f>
        <v/>
      </c>
    </row>
    <row r="848">
      <c r="T848">
        <f>IF([2]Baskol!$B$851="","",[2]Baskol!$B$851)</f>
        <v/>
      </c>
      <c r="U848">
        <f>IF([2]Baskol!$C$851="","",[2]Baskol!$C$851)</f>
        <v/>
      </c>
      <c r="V848">
        <f>IF([2]Baskol!$D$851="","",[2]Baskol!$D$851)</f>
        <v/>
      </c>
      <c r="W848">
        <f>IF([2]Baskol!$E$851="","",[2]Baskol!$E$851)</f>
        <v/>
      </c>
      <c r="X848">
        <f>IF([2]Baskol!$G$851="","",[2]Baskol!$G$851)</f>
        <v/>
      </c>
      <c r="Y848">
        <f>IF([2]Baskol!$I$851="","",[2]Baskol!$I$851)</f>
        <v/>
      </c>
      <c r="Z848">
        <f>IF([2]Baskol!$J$851="","",[2]Baskol!$J$851)</f>
        <v/>
      </c>
      <c r="AA848">
        <f>IF([2]Baskol!$K$851="","",[2]Baskol!$K$851)</f>
        <v/>
      </c>
      <c r="AB848">
        <f>IF([2]Baskol!$L$851="","",[2]Baskol!$L$851)</f>
        <v/>
      </c>
      <c r="AC848">
        <f>IF([2]Baskol!$N$851="","",[2]Baskol!$N$851)</f>
        <v/>
      </c>
      <c r="AD848">
        <f>IF([2]Baskol!$O$851="","",[2]Baskol!$O$851)</f>
        <v/>
      </c>
      <c r="AE848">
        <f>IF([3]Entry!$C$851="","",[3]Entry!$C$851)</f>
        <v/>
      </c>
      <c r="AF848">
        <f>IF([3]Entry!$D$851="","",[3]Entry!$D$851)</f>
        <v/>
      </c>
      <c r="AG848">
        <f>IF([3]Entry!$E$851="","",[3]Entry!$E$851)</f>
        <v/>
      </c>
      <c r="AH848">
        <f>IF([3]Entry!$G$851="","",[3]Entry!$G$851)</f>
        <v/>
      </c>
      <c r="AI848">
        <f>IF([3]Entry!$K$851="","",[3]Entry!$K$851)</f>
        <v/>
      </c>
      <c r="AJ848">
        <f>IF([3]Entry!$L$851="","",[3]Entry!$L$851)</f>
        <v/>
      </c>
      <c r="AK848">
        <f>IF([3]Entry!$M$851="","",[3]Entry!$M$851)</f>
        <v/>
      </c>
      <c r="AL848">
        <f>IF([3]Entry!$N$851="","",[3]Entry!$N$851)</f>
        <v/>
      </c>
      <c r="AM848">
        <f>IF([3]Entry!$R$851="","",[3]Entry!$R$851)</f>
        <v/>
      </c>
    </row>
    <row r="849">
      <c r="T849">
        <f>IF([2]Baskol!$B$852="","",[2]Baskol!$B$852)</f>
        <v/>
      </c>
      <c r="U849">
        <f>IF([2]Baskol!$C$852="","",[2]Baskol!$C$852)</f>
        <v/>
      </c>
      <c r="V849">
        <f>IF([2]Baskol!$D$852="","",[2]Baskol!$D$852)</f>
        <v/>
      </c>
      <c r="W849">
        <f>IF([2]Baskol!$E$852="","",[2]Baskol!$E$852)</f>
        <v/>
      </c>
      <c r="X849">
        <f>IF([2]Baskol!$G$852="","",[2]Baskol!$G$852)</f>
        <v/>
      </c>
      <c r="Y849">
        <f>IF([2]Baskol!$I$852="","",[2]Baskol!$I$852)</f>
        <v/>
      </c>
      <c r="Z849">
        <f>IF([2]Baskol!$J$852="","",[2]Baskol!$J$852)</f>
        <v/>
      </c>
      <c r="AA849">
        <f>IF([2]Baskol!$K$852="","",[2]Baskol!$K$852)</f>
        <v/>
      </c>
      <c r="AB849">
        <f>IF([2]Baskol!$L$852="","",[2]Baskol!$L$852)</f>
        <v/>
      </c>
      <c r="AC849">
        <f>IF([2]Baskol!$N$852="","",[2]Baskol!$N$852)</f>
        <v/>
      </c>
      <c r="AD849">
        <f>IF([2]Baskol!$O$852="","",[2]Baskol!$O$852)</f>
        <v/>
      </c>
      <c r="AE849">
        <f>IF([3]Entry!$C$852="","",[3]Entry!$C$852)</f>
        <v/>
      </c>
      <c r="AF849">
        <f>IF([3]Entry!$D$852="","",[3]Entry!$D$852)</f>
        <v/>
      </c>
      <c r="AG849">
        <f>IF([3]Entry!$E$852="","",[3]Entry!$E$852)</f>
        <v/>
      </c>
      <c r="AH849">
        <f>IF([3]Entry!$G$852="","",[3]Entry!$G$852)</f>
        <v/>
      </c>
      <c r="AI849">
        <f>IF([3]Entry!$K$852="","",[3]Entry!$K$852)</f>
        <v/>
      </c>
      <c r="AJ849">
        <f>IF([3]Entry!$L$852="","",[3]Entry!$L$852)</f>
        <v/>
      </c>
      <c r="AK849">
        <f>IF([3]Entry!$M$852="","",[3]Entry!$M$852)</f>
        <v/>
      </c>
      <c r="AL849">
        <f>IF([3]Entry!$N$852="","",[3]Entry!$N$852)</f>
        <v/>
      </c>
      <c r="AM849">
        <f>IF([3]Entry!$R$852="","",[3]Entry!$R$852)</f>
        <v/>
      </c>
    </row>
    <row r="850">
      <c r="T850">
        <f>IF([2]Baskol!$B$853="","",[2]Baskol!$B$853)</f>
        <v/>
      </c>
      <c r="U850">
        <f>IF([2]Baskol!$C$853="","",[2]Baskol!$C$853)</f>
        <v/>
      </c>
      <c r="V850">
        <f>IF([2]Baskol!$D$853="","",[2]Baskol!$D$853)</f>
        <v/>
      </c>
      <c r="W850">
        <f>IF([2]Baskol!$E$853="","",[2]Baskol!$E$853)</f>
        <v/>
      </c>
      <c r="X850">
        <f>IF([2]Baskol!$G$853="","",[2]Baskol!$G$853)</f>
        <v/>
      </c>
      <c r="Y850">
        <f>IF([2]Baskol!$I$853="","",[2]Baskol!$I$853)</f>
        <v/>
      </c>
      <c r="Z850">
        <f>IF([2]Baskol!$J$853="","",[2]Baskol!$J$853)</f>
        <v/>
      </c>
      <c r="AA850">
        <f>IF([2]Baskol!$K$853="","",[2]Baskol!$K$853)</f>
        <v/>
      </c>
      <c r="AB850">
        <f>IF([2]Baskol!$L$853="","",[2]Baskol!$L$853)</f>
        <v/>
      </c>
      <c r="AC850">
        <f>IF([2]Baskol!$N$853="","",[2]Baskol!$N$853)</f>
        <v/>
      </c>
      <c r="AD850">
        <f>IF([2]Baskol!$O$853="","",[2]Baskol!$O$853)</f>
        <v/>
      </c>
      <c r="AE850">
        <f>IF([3]Entry!$C$853="","",[3]Entry!$C$853)</f>
        <v/>
      </c>
      <c r="AF850">
        <f>IF([3]Entry!$D$853="","",[3]Entry!$D$853)</f>
        <v/>
      </c>
      <c r="AG850">
        <f>IF([3]Entry!$E$853="","",[3]Entry!$E$853)</f>
        <v/>
      </c>
      <c r="AH850">
        <f>IF([3]Entry!$G$853="","",[3]Entry!$G$853)</f>
        <v/>
      </c>
      <c r="AI850">
        <f>IF([3]Entry!$K$853="","",[3]Entry!$K$853)</f>
        <v/>
      </c>
      <c r="AJ850">
        <f>IF([3]Entry!$L$853="","",[3]Entry!$L$853)</f>
        <v/>
      </c>
      <c r="AK850">
        <f>IF([3]Entry!$M$853="","",[3]Entry!$M$853)</f>
        <v/>
      </c>
      <c r="AL850">
        <f>IF([3]Entry!$N$853="","",[3]Entry!$N$853)</f>
        <v/>
      </c>
      <c r="AM850">
        <f>IF([3]Entry!$R$853="","",[3]Entry!$R$853)</f>
        <v/>
      </c>
    </row>
    <row r="851">
      <c r="T851">
        <f>IF([2]Baskol!$B$854="","",[2]Baskol!$B$854)</f>
        <v/>
      </c>
      <c r="U851">
        <f>IF([2]Baskol!$C$854="","",[2]Baskol!$C$854)</f>
        <v/>
      </c>
      <c r="V851">
        <f>IF([2]Baskol!$D$854="","",[2]Baskol!$D$854)</f>
        <v/>
      </c>
      <c r="W851">
        <f>IF([2]Baskol!$E$854="","",[2]Baskol!$E$854)</f>
        <v/>
      </c>
      <c r="X851">
        <f>IF([2]Baskol!$G$854="","",[2]Baskol!$G$854)</f>
        <v/>
      </c>
      <c r="Y851">
        <f>IF([2]Baskol!$I$854="","",[2]Baskol!$I$854)</f>
        <v/>
      </c>
      <c r="Z851">
        <f>IF([2]Baskol!$J$854="","",[2]Baskol!$J$854)</f>
        <v/>
      </c>
      <c r="AA851">
        <f>IF([2]Baskol!$K$854="","",[2]Baskol!$K$854)</f>
        <v/>
      </c>
      <c r="AB851">
        <f>IF([2]Baskol!$L$854="","",[2]Baskol!$L$854)</f>
        <v/>
      </c>
      <c r="AC851">
        <f>IF([2]Baskol!$N$854="","",[2]Baskol!$N$854)</f>
        <v/>
      </c>
      <c r="AD851">
        <f>IF([2]Baskol!$O$854="","",[2]Baskol!$O$854)</f>
        <v/>
      </c>
      <c r="AE851">
        <f>IF([3]Entry!$C$854="","",[3]Entry!$C$854)</f>
        <v/>
      </c>
      <c r="AF851">
        <f>IF([3]Entry!$D$854="","",[3]Entry!$D$854)</f>
        <v/>
      </c>
      <c r="AG851">
        <f>IF([3]Entry!$E$854="","",[3]Entry!$E$854)</f>
        <v/>
      </c>
      <c r="AH851">
        <f>IF([3]Entry!$G$854="","",[3]Entry!$G$854)</f>
        <v/>
      </c>
      <c r="AI851">
        <f>IF([3]Entry!$K$854="","",[3]Entry!$K$854)</f>
        <v/>
      </c>
      <c r="AJ851">
        <f>IF([3]Entry!$L$854="","",[3]Entry!$L$854)</f>
        <v/>
      </c>
      <c r="AK851">
        <f>IF([3]Entry!$M$854="","",[3]Entry!$M$854)</f>
        <v/>
      </c>
      <c r="AL851">
        <f>IF([3]Entry!$N$854="","",[3]Entry!$N$854)</f>
        <v/>
      </c>
      <c r="AM851">
        <f>IF([3]Entry!$R$854="","",[3]Entry!$R$854)</f>
        <v/>
      </c>
    </row>
    <row r="852">
      <c r="T852">
        <f>IF([2]Baskol!$B$855="","",[2]Baskol!$B$855)</f>
        <v/>
      </c>
      <c r="U852">
        <f>IF([2]Baskol!$C$855="","",[2]Baskol!$C$855)</f>
        <v/>
      </c>
      <c r="V852">
        <f>IF([2]Baskol!$D$855="","",[2]Baskol!$D$855)</f>
        <v/>
      </c>
      <c r="W852">
        <f>IF([2]Baskol!$E$855="","",[2]Baskol!$E$855)</f>
        <v/>
      </c>
      <c r="X852">
        <f>IF([2]Baskol!$G$855="","",[2]Baskol!$G$855)</f>
        <v/>
      </c>
      <c r="Y852">
        <f>IF([2]Baskol!$I$855="","",[2]Baskol!$I$855)</f>
        <v/>
      </c>
      <c r="Z852">
        <f>IF([2]Baskol!$J$855="","",[2]Baskol!$J$855)</f>
        <v/>
      </c>
      <c r="AA852">
        <f>IF([2]Baskol!$K$855="","",[2]Baskol!$K$855)</f>
        <v/>
      </c>
      <c r="AB852">
        <f>IF([2]Baskol!$L$855="","",[2]Baskol!$L$855)</f>
        <v/>
      </c>
      <c r="AC852">
        <f>IF([2]Baskol!$N$855="","",[2]Baskol!$N$855)</f>
        <v/>
      </c>
      <c r="AD852">
        <f>IF([2]Baskol!$O$855="","",[2]Baskol!$O$855)</f>
        <v/>
      </c>
      <c r="AE852">
        <f>IF([3]Entry!$C$855="","",[3]Entry!$C$855)</f>
        <v/>
      </c>
      <c r="AF852">
        <f>IF([3]Entry!$D$855="","",[3]Entry!$D$855)</f>
        <v/>
      </c>
      <c r="AG852">
        <f>IF([3]Entry!$E$855="","",[3]Entry!$E$855)</f>
        <v/>
      </c>
      <c r="AH852">
        <f>IF([3]Entry!$G$855="","",[3]Entry!$G$855)</f>
        <v/>
      </c>
      <c r="AI852">
        <f>IF([3]Entry!$K$855="","",[3]Entry!$K$855)</f>
        <v/>
      </c>
      <c r="AJ852">
        <f>IF([3]Entry!$L$855="","",[3]Entry!$L$855)</f>
        <v/>
      </c>
      <c r="AK852">
        <f>IF([3]Entry!$M$855="","",[3]Entry!$M$855)</f>
        <v/>
      </c>
      <c r="AL852">
        <f>IF([3]Entry!$N$855="","",[3]Entry!$N$855)</f>
        <v/>
      </c>
      <c r="AM852">
        <f>IF([3]Entry!$R$855="","",[3]Entry!$R$855)</f>
        <v/>
      </c>
    </row>
    <row r="853">
      <c r="T853">
        <f>IF([2]Baskol!$B$856="","",[2]Baskol!$B$856)</f>
        <v/>
      </c>
      <c r="U853">
        <f>IF([2]Baskol!$C$856="","",[2]Baskol!$C$856)</f>
        <v/>
      </c>
      <c r="V853">
        <f>IF([2]Baskol!$D$856="","",[2]Baskol!$D$856)</f>
        <v/>
      </c>
      <c r="W853">
        <f>IF([2]Baskol!$E$856="","",[2]Baskol!$E$856)</f>
        <v/>
      </c>
      <c r="X853">
        <f>IF([2]Baskol!$G$856="","",[2]Baskol!$G$856)</f>
        <v/>
      </c>
      <c r="Y853">
        <f>IF([2]Baskol!$I$856="","",[2]Baskol!$I$856)</f>
        <v/>
      </c>
      <c r="Z853">
        <f>IF([2]Baskol!$J$856="","",[2]Baskol!$J$856)</f>
        <v/>
      </c>
      <c r="AA853">
        <f>IF([2]Baskol!$K$856="","",[2]Baskol!$K$856)</f>
        <v/>
      </c>
      <c r="AB853">
        <f>IF([2]Baskol!$L$856="","",[2]Baskol!$L$856)</f>
        <v/>
      </c>
      <c r="AC853">
        <f>IF([2]Baskol!$N$856="","",[2]Baskol!$N$856)</f>
        <v/>
      </c>
      <c r="AD853">
        <f>IF([2]Baskol!$O$856="","",[2]Baskol!$O$856)</f>
        <v/>
      </c>
      <c r="AE853">
        <f>IF([3]Entry!$C$856="","",[3]Entry!$C$856)</f>
        <v/>
      </c>
      <c r="AF853">
        <f>IF([3]Entry!$D$856="","",[3]Entry!$D$856)</f>
        <v/>
      </c>
      <c r="AG853">
        <f>IF([3]Entry!$E$856="","",[3]Entry!$E$856)</f>
        <v/>
      </c>
      <c r="AH853">
        <f>IF([3]Entry!$G$856="","",[3]Entry!$G$856)</f>
        <v/>
      </c>
      <c r="AI853">
        <f>IF([3]Entry!$K$856="","",[3]Entry!$K$856)</f>
        <v/>
      </c>
      <c r="AJ853">
        <f>IF([3]Entry!$L$856="","",[3]Entry!$L$856)</f>
        <v/>
      </c>
      <c r="AK853">
        <f>IF([3]Entry!$M$856="","",[3]Entry!$M$856)</f>
        <v/>
      </c>
      <c r="AL853">
        <f>IF([3]Entry!$N$856="","",[3]Entry!$N$856)</f>
        <v/>
      </c>
      <c r="AM853">
        <f>IF([3]Entry!$R$856="","",[3]Entry!$R$856)</f>
        <v/>
      </c>
    </row>
    <row r="854">
      <c r="T854">
        <f>IF([2]Baskol!$B$857="","",[2]Baskol!$B$857)</f>
        <v/>
      </c>
      <c r="U854">
        <f>IF([2]Baskol!$C$857="","",[2]Baskol!$C$857)</f>
        <v/>
      </c>
      <c r="V854">
        <f>IF([2]Baskol!$D$857="","",[2]Baskol!$D$857)</f>
        <v/>
      </c>
      <c r="W854">
        <f>IF([2]Baskol!$E$857="","",[2]Baskol!$E$857)</f>
        <v/>
      </c>
      <c r="X854">
        <f>IF([2]Baskol!$G$857="","",[2]Baskol!$G$857)</f>
        <v/>
      </c>
      <c r="Y854">
        <f>IF([2]Baskol!$I$857="","",[2]Baskol!$I$857)</f>
        <v/>
      </c>
      <c r="Z854">
        <f>IF([2]Baskol!$J$857="","",[2]Baskol!$J$857)</f>
        <v/>
      </c>
      <c r="AA854">
        <f>IF([2]Baskol!$K$857="","",[2]Baskol!$K$857)</f>
        <v/>
      </c>
      <c r="AB854">
        <f>IF([2]Baskol!$L$857="","",[2]Baskol!$L$857)</f>
        <v/>
      </c>
      <c r="AC854">
        <f>IF([2]Baskol!$N$857="","",[2]Baskol!$N$857)</f>
        <v/>
      </c>
      <c r="AD854">
        <f>IF([2]Baskol!$O$857="","",[2]Baskol!$O$857)</f>
        <v/>
      </c>
      <c r="AE854">
        <f>IF([3]Entry!$C$857="","",[3]Entry!$C$857)</f>
        <v/>
      </c>
      <c r="AF854">
        <f>IF([3]Entry!$D$857="","",[3]Entry!$D$857)</f>
        <v/>
      </c>
      <c r="AG854">
        <f>IF([3]Entry!$E$857="","",[3]Entry!$E$857)</f>
        <v/>
      </c>
      <c r="AH854">
        <f>IF([3]Entry!$G$857="","",[3]Entry!$G$857)</f>
        <v/>
      </c>
      <c r="AI854">
        <f>IF([3]Entry!$K$857="","",[3]Entry!$K$857)</f>
        <v/>
      </c>
      <c r="AJ854">
        <f>IF([3]Entry!$L$857="","",[3]Entry!$L$857)</f>
        <v/>
      </c>
      <c r="AK854">
        <f>IF([3]Entry!$M$857="","",[3]Entry!$M$857)</f>
        <v/>
      </c>
      <c r="AL854">
        <f>IF([3]Entry!$N$857="","",[3]Entry!$N$857)</f>
        <v/>
      </c>
      <c r="AM854">
        <f>IF([3]Entry!$R$857="","",[3]Entry!$R$857)</f>
        <v/>
      </c>
    </row>
    <row r="855">
      <c r="T855">
        <f>IF([2]Baskol!$B$858="","",[2]Baskol!$B$858)</f>
        <v/>
      </c>
      <c r="U855">
        <f>IF([2]Baskol!$C$858="","",[2]Baskol!$C$858)</f>
        <v/>
      </c>
      <c r="V855">
        <f>IF([2]Baskol!$D$858="","",[2]Baskol!$D$858)</f>
        <v/>
      </c>
      <c r="W855">
        <f>IF([2]Baskol!$E$858="","",[2]Baskol!$E$858)</f>
        <v/>
      </c>
      <c r="X855">
        <f>IF([2]Baskol!$G$858="","",[2]Baskol!$G$858)</f>
        <v/>
      </c>
      <c r="Y855">
        <f>IF([2]Baskol!$I$858="","",[2]Baskol!$I$858)</f>
        <v/>
      </c>
      <c r="Z855">
        <f>IF([2]Baskol!$J$858="","",[2]Baskol!$J$858)</f>
        <v/>
      </c>
      <c r="AA855">
        <f>IF([2]Baskol!$K$858="","",[2]Baskol!$K$858)</f>
        <v/>
      </c>
      <c r="AB855">
        <f>IF([2]Baskol!$L$858="","",[2]Baskol!$L$858)</f>
        <v/>
      </c>
      <c r="AC855">
        <f>IF([2]Baskol!$N$858="","",[2]Baskol!$N$858)</f>
        <v/>
      </c>
      <c r="AD855">
        <f>IF([2]Baskol!$O$858="","",[2]Baskol!$O$858)</f>
        <v/>
      </c>
      <c r="AE855">
        <f>IF([3]Entry!$C$858="","",[3]Entry!$C$858)</f>
        <v/>
      </c>
      <c r="AF855">
        <f>IF([3]Entry!$D$858="","",[3]Entry!$D$858)</f>
        <v/>
      </c>
      <c r="AG855">
        <f>IF([3]Entry!$E$858="","",[3]Entry!$E$858)</f>
        <v/>
      </c>
      <c r="AH855">
        <f>IF([3]Entry!$G$858="","",[3]Entry!$G$858)</f>
        <v/>
      </c>
      <c r="AI855">
        <f>IF([3]Entry!$K$858="","",[3]Entry!$K$858)</f>
        <v/>
      </c>
      <c r="AJ855">
        <f>IF([3]Entry!$L$858="","",[3]Entry!$L$858)</f>
        <v/>
      </c>
      <c r="AK855">
        <f>IF([3]Entry!$M$858="","",[3]Entry!$M$858)</f>
        <v/>
      </c>
      <c r="AL855">
        <f>IF([3]Entry!$N$858="","",[3]Entry!$N$858)</f>
        <v/>
      </c>
      <c r="AM855">
        <f>IF([3]Entry!$R$858="","",[3]Entry!$R$858)</f>
        <v/>
      </c>
    </row>
    <row r="856">
      <c r="T856">
        <f>IF([2]Baskol!$B$859="","",[2]Baskol!$B$859)</f>
        <v/>
      </c>
      <c r="U856">
        <f>IF([2]Baskol!$C$859="","",[2]Baskol!$C$859)</f>
        <v/>
      </c>
      <c r="V856">
        <f>IF([2]Baskol!$D$859="","",[2]Baskol!$D$859)</f>
        <v/>
      </c>
      <c r="W856">
        <f>IF([2]Baskol!$E$859="","",[2]Baskol!$E$859)</f>
        <v/>
      </c>
      <c r="X856">
        <f>IF([2]Baskol!$G$859="","",[2]Baskol!$G$859)</f>
        <v/>
      </c>
      <c r="Y856">
        <f>IF([2]Baskol!$I$859="","",[2]Baskol!$I$859)</f>
        <v/>
      </c>
      <c r="Z856">
        <f>IF([2]Baskol!$J$859="","",[2]Baskol!$J$859)</f>
        <v/>
      </c>
      <c r="AA856">
        <f>IF([2]Baskol!$K$859="","",[2]Baskol!$K$859)</f>
        <v/>
      </c>
      <c r="AB856">
        <f>IF([2]Baskol!$L$859="","",[2]Baskol!$L$859)</f>
        <v/>
      </c>
      <c r="AC856">
        <f>IF([2]Baskol!$N$859="","",[2]Baskol!$N$859)</f>
        <v/>
      </c>
      <c r="AD856">
        <f>IF([2]Baskol!$O$859="","",[2]Baskol!$O$859)</f>
        <v/>
      </c>
      <c r="AE856">
        <f>IF([3]Entry!$C$859="","",[3]Entry!$C$859)</f>
        <v/>
      </c>
      <c r="AF856">
        <f>IF([3]Entry!$D$859="","",[3]Entry!$D$859)</f>
        <v/>
      </c>
      <c r="AG856">
        <f>IF([3]Entry!$E$859="","",[3]Entry!$E$859)</f>
        <v/>
      </c>
      <c r="AH856">
        <f>IF([3]Entry!$G$859="","",[3]Entry!$G$859)</f>
        <v/>
      </c>
      <c r="AI856">
        <f>IF([3]Entry!$K$859="","",[3]Entry!$K$859)</f>
        <v/>
      </c>
      <c r="AJ856">
        <f>IF([3]Entry!$L$859="","",[3]Entry!$L$859)</f>
        <v/>
      </c>
      <c r="AK856">
        <f>IF([3]Entry!$M$859="","",[3]Entry!$M$859)</f>
        <v/>
      </c>
      <c r="AL856">
        <f>IF([3]Entry!$N$859="","",[3]Entry!$N$859)</f>
        <v/>
      </c>
      <c r="AM856">
        <f>IF([3]Entry!$R$859="","",[3]Entry!$R$859)</f>
        <v/>
      </c>
    </row>
    <row r="857">
      <c r="T857">
        <f>IF([2]Baskol!$B$860="","",[2]Baskol!$B$860)</f>
        <v/>
      </c>
      <c r="U857">
        <f>IF([2]Baskol!$C$860="","",[2]Baskol!$C$860)</f>
        <v/>
      </c>
      <c r="V857">
        <f>IF([2]Baskol!$D$860="","",[2]Baskol!$D$860)</f>
        <v/>
      </c>
      <c r="W857">
        <f>IF([2]Baskol!$E$860="","",[2]Baskol!$E$860)</f>
        <v/>
      </c>
      <c r="X857">
        <f>IF([2]Baskol!$G$860="","",[2]Baskol!$G$860)</f>
        <v/>
      </c>
      <c r="Y857">
        <f>IF([2]Baskol!$I$860="","",[2]Baskol!$I$860)</f>
        <v/>
      </c>
      <c r="Z857">
        <f>IF([2]Baskol!$J$860="","",[2]Baskol!$J$860)</f>
        <v/>
      </c>
      <c r="AA857">
        <f>IF([2]Baskol!$K$860="","",[2]Baskol!$K$860)</f>
        <v/>
      </c>
      <c r="AB857">
        <f>IF([2]Baskol!$L$860="","",[2]Baskol!$L$860)</f>
        <v/>
      </c>
      <c r="AC857">
        <f>IF([2]Baskol!$N$860="","",[2]Baskol!$N$860)</f>
        <v/>
      </c>
      <c r="AD857">
        <f>IF([2]Baskol!$O$860="","",[2]Baskol!$O$860)</f>
        <v/>
      </c>
      <c r="AE857">
        <f>IF([3]Entry!$C$860="","",[3]Entry!$C$860)</f>
        <v/>
      </c>
      <c r="AF857">
        <f>IF([3]Entry!$D$860="","",[3]Entry!$D$860)</f>
        <v/>
      </c>
      <c r="AG857">
        <f>IF([3]Entry!$E$860="","",[3]Entry!$E$860)</f>
        <v/>
      </c>
      <c r="AH857">
        <f>IF([3]Entry!$G$860="","",[3]Entry!$G$860)</f>
        <v/>
      </c>
      <c r="AI857">
        <f>IF([3]Entry!$K$860="","",[3]Entry!$K$860)</f>
        <v/>
      </c>
      <c r="AJ857">
        <f>IF([3]Entry!$L$860="","",[3]Entry!$L$860)</f>
        <v/>
      </c>
      <c r="AK857">
        <f>IF([3]Entry!$M$860="","",[3]Entry!$M$860)</f>
        <v/>
      </c>
      <c r="AL857">
        <f>IF([3]Entry!$N$860="","",[3]Entry!$N$860)</f>
        <v/>
      </c>
      <c r="AM857">
        <f>IF([3]Entry!$R$860="","",[3]Entry!$R$860)</f>
        <v/>
      </c>
    </row>
    <row r="858">
      <c r="T858">
        <f>IF([2]Baskol!$B$861="","",[2]Baskol!$B$861)</f>
        <v/>
      </c>
      <c r="U858">
        <f>IF([2]Baskol!$C$861="","",[2]Baskol!$C$861)</f>
        <v/>
      </c>
      <c r="V858">
        <f>IF([2]Baskol!$D$861="","",[2]Baskol!$D$861)</f>
        <v/>
      </c>
      <c r="W858">
        <f>IF([2]Baskol!$E$861="","",[2]Baskol!$E$861)</f>
        <v/>
      </c>
      <c r="X858">
        <f>IF([2]Baskol!$G$861="","",[2]Baskol!$G$861)</f>
        <v/>
      </c>
      <c r="Y858">
        <f>IF([2]Baskol!$I$861="","",[2]Baskol!$I$861)</f>
        <v/>
      </c>
      <c r="Z858">
        <f>IF([2]Baskol!$J$861="","",[2]Baskol!$J$861)</f>
        <v/>
      </c>
      <c r="AA858">
        <f>IF([2]Baskol!$K$861="","",[2]Baskol!$K$861)</f>
        <v/>
      </c>
      <c r="AB858">
        <f>IF([2]Baskol!$L$861="","",[2]Baskol!$L$861)</f>
        <v/>
      </c>
      <c r="AC858">
        <f>IF([2]Baskol!$N$861="","",[2]Baskol!$N$861)</f>
        <v/>
      </c>
      <c r="AD858">
        <f>IF([2]Baskol!$O$861="","",[2]Baskol!$O$861)</f>
        <v/>
      </c>
      <c r="AE858">
        <f>IF([3]Entry!$C$861="","",[3]Entry!$C$861)</f>
        <v/>
      </c>
      <c r="AF858">
        <f>IF([3]Entry!$D$861="","",[3]Entry!$D$861)</f>
        <v/>
      </c>
      <c r="AG858">
        <f>IF([3]Entry!$E$861="","",[3]Entry!$E$861)</f>
        <v/>
      </c>
      <c r="AH858">
        <f>IF([3]Entry!$G$861="","",[3]Entry!$G$861)</f>
        <v/>
      </c>
      <c r="AI858">
        <f>IF([3]Entry!$K$861="","",[3]Entry!$K$861)</f>
        <v/>
      </c>
      <c r="AJ858">
        <f>IF([3]Entry!$L$861="","",[3]Entry!$L$861)</f>
        <v/>
      </c>
      <c r="AK858">
        <f>IF([3]Entry!$M$861="","",[3]Entry!$M$861)</f>
        <v/>
      </c>
      <c r="AL858">
        <f>IF([3]Entry!$N$861="","",[3]Entry!$N$861)</f>
        <v/>
      </c>
      <c r="AM858">
        <f>IF([3]Entry!$R$861="","",[3]Entry!$R$861)</f>
        <v/>
      </c>
    </row>
    <row r="859">
      <c r="T859">
        <f>IF([2]Baskol!$B$862="","",[2]Baskol!$B$862)</f>
        <v/>
      </c>
      <c r="U859">
        <f>IF([2]Baskol!$C$862="","",[2]Baskol!$C$862)</f>
        <v/>
      </c>
      <c r="V859">
        <f>IF([2]Baskol!$D$862="","",[2]Baskol!$D$862)</f>
        <v/>
      </c>
      <c r="W859">
        <f>IF([2]Baskol!$E$862="","",[2]Baskol!$E$862)</f>
        <v/>
      </c>
      <c r="X859">
        <f>IF([2]Baskol!$G$862="","",[2]Baskol!$G$862)</f>
        <v/>
      </c>
      <c r="Y859">
        <f>IF([2]Baskol!$I$862="","",[2]Baskol!$I$862)</f>
        <v/>
      </c>
      <c r="Z859">
        <f>IF([2]Baskol!$J$862="","",[2]Baskol!$J$862)</f>
        <v/>
      </c>
      <c r="AA859">
        <f>IF([2]Baskol!$K$862="","",[2]Baskol!$K$862)</f>
        <v/>
      </c>
      <c r="AB859">
        <f>IF([2]Baskol!$L$862="","",[2]Baskol!$L$862)</f>
        <v/>
      </c>
      <c r="AC859">
        <f>IF([2]Baskol!$N$862="","",[2]Baskol!$N$862)</f>
        <v/>
      </c>
      <c r="AD859">
        <f>IF([2]Baskol!$O$862="","",[2]Baskol!$O$862)</f>
        <v/>
      </c>
      <c r="AE859">
        <f>IF([3]Entry!$C$862="","",[3]Entry!$C$862)</f>
        <v/>
      </c>
      <c r="AF859">
        <f>IF([3]Entry!$D$862="","",[3]Entry!$D$862)</f>
        <v/>
      </c>
      <c r="AG859">
        <f>IF([3]Entry!$E$862="","",[3]Entry!$E$862)</f>
        <v/>
      </c>
      <c r="AH859">
        <f>IF([3]Entry!$G$862="","",[3]Entry!$G$862)</f>
        <v/>
      </c>
      <c r="AI859">
        <f>IF([3]Entry!$K$862="","",[3]Entry!$K$862)</f>
        <v/>
      </c>
      <c r="AJ859">
        <f>IF([3]Entry!$L$862="","",[3]Entry!$L$862)</f>
        <v/>
      </c>
      <c r="AK859">
        <f>IF([3]Entry!$M$862="","",[3]Entry!$M$862)</f>
        <v/>
      </c>
      <c r="AL859">
        <f>IF([3]Entry!$N$862="","",[3]Entry!$N$862)</f>
        <v/>
      </c>
      <c r="AM859">
        <f>IF([3]Entry!$R$862="","",[3]Entry!$R$862)</f>
        <v/>
      </c>
    </row>
    <row r="860">
      <c r="T860">
        <f>IF([2]Baskol!$B$863="","",[2]Baskol!$B$863)</f>
        <v/>
      </c>
      <c r="U860">
        <f>IF([2]Baskol!$C$863="","",[2]Baskol!$C$863)</f>
        <v/>
      </c>
      <c r="V860">
        <f>IF([2]Baskol!$D$863="","",[2]Baskol!$D$863)</f>
        <v/>
      </c>
      <c r="W860">
        <f>IF([2]Baskol!$E$863="","",[2]Baskol!$E$863)</f>
        <v/>
      </c>
      <c r="X860">
        <f>IF([2]Baskol!$G$863="","",[2]Baskol!$G$863)</f>
        <v/>
      </c>
      <c r="Y860">
        <f>IF([2]Baskol!$I$863="","",[2]Baskol!$I$863)</f>
        <v/>
      </c>
      <c r="Z860">
        <f>IF([2]Baskol!$J$863="","",[2]Baskol!$J$863)</f>
        <v/>
      </c>
      <c r="AA860">
        <f>IF([2]Baskol!$K$863="","",[2]Baskol!$K$863)</f>
        <v/>
      </c>
      <c r="AB860">
        <f>IF([2]Baskol!$L$863="","",[2]Baskol!$L$863)</f>
        <v/>
      </c>
      <c r="AC860">
        <f>IF([2]Baskol!$N$863="","",[2]Baskol!$N$863)</f>
        <v/>
      </c>
      <c r="AD860">
        <f>IF([2]Baskol!$O$863="","",[2]Baskol!$O$863)</f>
        <v/>
      </c>
      <c r="AE860">
        <f>IF([3]Entry!$C$863="","",[3]Entry!$C$863)</f>
        <v/>
      </c>
      <c r="AF860">
        <f>IF([3]Entry!$D$863="","",[3]Entry!$D$863)</f>
        <v/>
      </c>
      <c r="AG860">
        <f>IF([3]Entry!$E$863="","",[3]Entry!$E$863)</f>
        <v/>
      </c>
      <c r="AH860">
        <f>IF([3]Entry!$G$863="","",[3]Entry!$G$863)</f>
        <v/>
      </c>
      <c r="AI860">
        <f>IF([3]Entry!$K$863="","",[3]Entry!$K$863)</f>
        <v/>
      </c>
      <c r="AJ860">
        <f>IF([3]Entry!$L$863="","",[3]Entry!$L$863)</f>
        <v/>
      </c>
      <c r="AK860">
        <f>IF([3]Entry!$M$863="","",[3]Entry!$M$863)</f>
        <v/>
      </c>
      <c r="AL860">
        <f>IF([3]Entry!$N$863="","",[3]Entry!$N$863)</f>
        <v/>
      </c>
      <c r="AM860">
        <f>IF([3]Entry!$R$863="","",[3]Entry!$R$863)</f>
        <v/>
      </c>
    </row>
    <row r="861">
      <c r="T861">
        <f>IF([2]Baskol!$B$864="","",[2]Baskol!$B$864)</f>
        <v/>
      </c>
      <c r="U861">
        <f>IF([2]Baskol!$C$864="","",[2]Baskol!$C$864)</f>
        <v/>
      </c>
      <c r="V861">
        <f>IF([2]Baskol!$D$864="","",[2]Baskol!$D$864)</f>
        <v/>
      </c>
      <c r="W861">
        <f>IF([2]Baskol!$E$864="","",[2]Baskol!$E$864)</f>
        <v/>
      </c>
      <c r="X861">
        <f>IF([2]Baskol!$G$864="","",[2]Baskol!$G$864)</f>
        <v/>
      </c>
      <c r="Y861">
        <f>IF([2]Baskol!$I$864="","",[2]Baskol!$I$864)</f>
        <v/>
      </c>
      <c r="Z861">
        <f>IF([2]Baskol!$J$864="","",[2]Baskol!$J$864)</f>
        <v/>
      </c>
      <c r="AA861">
        <f>IF([2]Baskol!$K$864="","",[2]Baskol!$K$864)</f>
        <v/>
      </c>
      <c r="AB861">
        <f>IF([2]Baskol!$L$864="","",[2]Baskol!$L$864)</f>
        <v/>
      </c>
      <c r="AC861">
        <f>IF([2]Baskol!$N$864="","",[2]Baskol!$N$864)</f>
        <v/>
      </c>
      <c r="AD861">
        <f>IF([2]Baskol!$O$864="","",[2]Baskol!$O$864)</f>
        <v/>
      </c>
      <c r="AE861">
        <f>IF([3]Entry!$C$864="","",[3]Entry!$C$864)</f>
        <v/>
      </c>
      <c r="AF861">
        <f>IF([3]Entry!$D$864="","",[3]Entry!$D$864)</f>
        <v/>
      </c>
      <c r="AG861">
        <f>IF([3]Entry!$E$864="","",[3]Entry!$E$864)</f>
        <v/>
      </c>
      <c r="AH861">
        <f>IF([3]Entry!$G$864="","",[3]Entry!$G$864)</f>
        <v/>
      </c>
      <c r="AI861">
        <f>IF([3]Entry!$K$864="","",[3]Entry!$K$864)</f>
        <v/>
      </c>
      <c r="AJ861">
        <f>IF([3]Entry!$L$864="","",[3]Entry!$L$864)</f>
        <v/>
      </c>
      <c r="AK861">
        <f>IF([3]Entry!$M$864="","",[3]Entry!$M$864)</f>
        <v/>
      </c>
      <c r="AL861">
        <f>IF([3]Entry!$N$864="","",[3]Entry!$N$864)</f>
        <v/>
      </c>
      <c r="AM861">
        <f>IF([3]Entry!$R$864="","",[3]Entry!$R$864)</f>
        <v/>
      </c>
    </row>
    <row r="862">
      <c r="T862">
        <f>IF([2]Baskol!$B$865="","",[2]Baskol!$B$865)</f>
        <v/>
      </c>
      <c r="U862">
        <f>IF([2]Baskol!$C$865="","",[2]Baskol!$C$865)</f>
        <v/>
      </c>
      <c r="V862">
        <f>IF([2]Baskol!$D$865="","",[2]Baskol!$D$865)</f>
        <v/>
      </c>
      <c r="W862">
        <f>IF([2]Baskol!$E$865="","",[2]Baskol!$E$865)</f>
        <v/>
      </c>
      <c r="X862">
        <f>IF([2]Baskol!$G$865="","",[2]Baskol!$G$865)</f>
        <v/>
      </c>
      <c r="Y862">
        <f>IF([2]Baskol!$I$865="","",[2]Baskol!$I$865)</f>
        <v/>
      </c>
      <c r="Z862">
        <f>IF([2]Baskol!$J$865="","",[2]Baskol!$J$865)</f>
        <v/>
      </c>
      <c r="AA862">
        <f>IF([2]Baskol!$K$865="","",[2]Baskol!$K$865)</f>
        <v/>
      </c>
      <c r="AB862">
        <f>IF([2]Baskol!$L$865="","",[2]Baskol!$L$865)</f>
        <v/>
      </c>
      <c r="AC862">
        <f>IF([2]Baskol!$N$865="","",[2]Baskol!$N$865)</f>
        <v/>
      </c>
      <c r="AD862">
        <f>IF([2]Baskol!$O$865="","",[2]Baskol!$O$865)</f>
        <v/>
      </c>
      <c r="AE862">
        <f>IF([3]Entry!$C$865="","",[3]Entry!$C$865)</f>
        <v/>
      </c>
      <c r="AF862">
        <f>IF([3]Entry!$D$865="","",[3]Entry!$D$865)</f>
        <v/>
      </c>
      <c r="AG862">
        <f>IF([3]Entry!$E$865="","",[3]Entry!$E$865)</f>
        <v/>
      </c>
      <c r="AH862">
        <f>IF([3]Entry!$G$865="","",[3]Entry!$G$865)</f>
        <v/>
      </c>
      <c r="AI862">
        <f>IF([3]Entry!$K$865="","",[3]Entry!$K$865)</f>
        <v/>
      </c>
      <c r="AJ862">
        <f>IF([3]Entry!$L$865="","",[3]Entry!$L$865)</f>
        <v/>
      </c>
      <c r="AK862">
        <f>IF([3]Entry!$M$865="","",[3]Entry!$M$865)</f>
        <v/>
      </c>
      <c r="AL862">
        <f>IF([3]Entry!$N$865="","",[3]Entry!$N$865)</f>
        <v/>
      </c>
      <c r="AM862">
        <f>IF([3]Entry!$R$865="","",[3]Entry!$R$865)</f>
        <v/>
      </c>
    </row>
    <row r="863">
      <c r="T863">
        <f>IF([2]Baskol!$B$866="","",[2]Baskol!$B$866)</f>
        <v/>
      </c>
      <c r="U863">
        <f>IF([2]Baskol!$C$866="","",[2]Baskol!$C$866)</f>
        <v/>
      </c>
      <c r="V863">
        <f>IF([2]Baskol!$D$866="","",[2]Baskol!$D$866)</f>
        <v/>
      </c>
      <c r="W863">
        <f>IF([2]Baskol!$E$866="","",[2]Baskol!$E$866)</f>
        <v/>
      </c>
      <c r="X863">
        <f>IF([2]Baskol!$G$866="","",[2]Baskol!$G$866)</f>
        <v/>
      </c>
      <c r="Y863">
        <f>IF([2]Baskol!$I$866="","",[2]Baskol!$I$866)</f>
        <v/>
      </c>
      <c r="Z863">
        <f>IF([2]Baskol!$J$866="","",[2]Baskol!$J$866)</f>
        <v/>
      </c>
      <c r="AA863">
        <f>IF([2]Baskol!$K$866="","",[2]Baskol!$K$866)</f>
        <v/>
      </c>
      <c r="AB863">
        <f>IF([2]Baskol!$L$866="","",[2]Baskol!$L$866)</f>
        <v/>
      </c>
      <c r="AC863">
        <f>IF([2]Baskol!$N$866="","",[2]Baskol!$N$866)</f>
        <v/>
      </c>
      <c r="AD863">
        <f>IF([2]Baskol!$O$866="","",[2]Baskol!$O$866)</f>
        <v/>
      </c>
      <c r="AE863">
        <f>IF([3]Entry!$C$866="","",[3]Entry!$C$866)</f>
        <v/>
      </c>
      <c r="AF863">
        <f>IF([3]Entry!$D$866="","",[3]Entry!$D$866)</f>
        <v/>
      </c>
      <c r="AG863">
        <f>IF([3]Entry!$E$866="","",[3]Entry!$E$866)</f>
        <v/>
      </c>
      <c r="AH863">
        <f>IF([3]Entry!$G$866="","",[3]Entry!$G$866)</f>
        <v/>
      </c>
      <c r="AI863">
        <f>IF([3]Entry!$K$866="","",[3]Entry!$K$866)</f>
        <v/>
      </c>
      <c r="AJ863">
        <f>IF([3]Entry!$L$866="","",[3]Entry!$L$866)</f>
        <v/>
      </c>
      <c r="AK863">
        <f>IF([3]Entry!$M$866="","",[3]Entry!$M$866)</f>
        <v/>
      </c>
      <c r="AL863">
        <f>IF([3]Entry!$N$866="","",[3]Entry!$N$866)</f>
        <v/>
      </c>
      <c r="AM863">
        <f>IF([3]Entry!$R$866="","",[3]Entry!$R$866)</f>
        <v/>
      </c>
    </row>
    <row r="864">
      <c r="T864">
        <f>IF([2]Baskol!$B$867="","",[2]Baskol!$B$867)</f>
        <v/>
      </c>
      <c r="U864">
        <f>IF([2]Baskol!$C$867="","",[2]Baskol!$C$867)</f>
        <v/>
      </c>
      <c r="V864">
        <f>IF([2]Baskol!$D$867="","",[2]Baskol!$D$867)</f>
        <v/>
      </c>
      <c r="W864">
        <f>IF([2]Baskol!$E$867="","",[2]Baskol!$E$867)</f>
        <v/>
      </c>
      <c r="X864">
        <f>IF([2]Baskol!$G$867="","",[2]Baskol!$G$867)</f>
        <v/>
      </c>
      <c r="Y864">
        <f>IF([2]Baskol!$I$867="","",[2]Baskol!$I$867)</f>
        <v/>
      </c>
      <c r="Z864">
        <f>IF([2]Baskol!$J$867="","",[2]Baskol!$J$867)</f>
        <v/>
      </c>
      <c r="AA864">
        <f>IF([2]Baskol!$K$867="","",[2]Baskol!$K$867)</f>
        <v/>
      </c>
      <c r="AB864">
        <f>IF([2]Baskol!$L$867="","",[2]Baskol!$L$867)</f>
        <v/>
      </c>
      <c r="AC864">
        <f>IF([2]Baskol!$N$867="","",[2]Baskol!$N$867)</f>
        <v/>
      </c>
      <c r="AD864">
        <f>IF([2]Baskol!$O$867="","",[2]Baskol!$O$867)</f>
        <v/>
      </c>
      <c r="AE864">
        <f>IF([3]Entry!$C$867="","",[3]Entry!$C$867)</f>
        <v/>
      </c>
      <c r="AF864">
        <f>IF([3]Entry!$D$867="","",[3]Entry!$D$867)</f>
        <v/>
      </c>
      <c r="AG864">
        <f>IF([3]Entry!$E$867="","",[3]Entry!$E$867)</f>
        <v/>
      </c>
      <c r="AH864">
        <f>IF([3]Entry!$G$867="","",[3]Entry!$G$867)</f>
        <v/>
      </c>
      <c r="AI864">
        <f>IF([3]Entry!$K$867="","",[3]Entry!$K$867)</f>
        <v/>
      </c>
      <c r="AJ864">
        <f>IF([3]Entry!$L$867="","",[3]Entry!$L$867)</f>
        <v/>
      </c>
      <c r="AK864">
        <f>IF([3]Entry!$M$867="","",[3]Entry!$M$867)</f>
        <v/>
      </c>
      <c r="AL864">
        <f>IF([3]Entry!$N$867="","",[3]Entry!$N$867)</f>
        <v/>
      </c>
      <c r="AM864">
        <f>IF([3]Entry!$R$867="","",[3]Entry!$R$867)</f>
        <v/>
      </c>
    </row>
    <row r="865">
      <c r="T865">
        <f>IF([2]Baskol!$B$868="","",[2]Baskol!$B$868)</f>
        <v/>
      </c>
      <c r="U865">
        <f>IF([2]Baskol!$C$868="","",[2]Baskol!$C$868)</f>
        <v/>
      </c>
      <c r="V865">
        <f>IF([2]Baskol!$D$868="","",[2]Baskol!$D$868)</f>
        <v/>
      </c>
      <c r="W865">
        <f>IF([2]Baskol!$E$868="","",[2]Baskol!$E$868)</f>
        <v/>
      </c>
      <c r="X865">
        <f>IF([2]Baskol!$G$868="","",[2]Baskol!$G$868)</f>
        <v/>
      </c>
      <c r="Y865">
        <f>IF([2]Baskol!$I$868="","",[2]Baskol!$I$868)</f>
        <v/>
      </c>
      <c r="Z865">
        <f>IF([2]Baskol!$J$868="","",[2]Baskol!$J$868)</f>
        <v/>
      </c>
      <c r="AA865">
        <f>IF([2]Baskol!$K$868="","",[2]Baskol!$K$868)</f>
        <v/>
      </c>
      <c r="AB865">
        <f>IF([2]Baskol!$L$868="","",[2]Baskol!$L$868)</f>
        <v/>
      </c>
      <c r="AC865">
        <f>IF([2]Baskol!$N$868="","",[2]Baskol!$N$868)</f>
        <v/>
      </c>
      <c r="AD865">
        <f>IF([2]Baskol!$O$868="","",[2]Baskol!$O$868)</f>
        <v/>
      </c>
      <c r="AE865">
        <f>IF([3]Entry!$C$868="","",[3]Entry!$C$868)</f>
        <v/>
      </c>
      <c r="AF865">
        <f>IF([3]Entry!$D$868="","",[3]Entry!$D$868)</f>
        <v/>
      </c>
      <c r="AG865">
        <f>IF([3]Entry!$E$868="","",[3]Entry!$E$868)</f>
        <v/>
      </c>
      <c r="AH865">
        <f>IF([3]Entry!$G$868="","",[3]Entry!$G$868)</f>
        <v/>
      </c>
      <c r="AI865">
        <f>IF([3]Entry!$K$868="","",[3]Entry!$K$868)</f>
        <v/>
      </c>
      <c r="AJ865">
        <f>IF([3]Entry!$L$868="","",[3]Entry!$L$868)</f>
        <v/>
      </c>
      <c r="AK865">
        <f>IF([3]Entry!$M$868="","",[3]Entry!$M$868)</f>
        <v/>
      </c>
      <c r="AL865">
        <f>IF([3]Entry!$N$868="","",[3]Entry!$N$868)</f>
        <v/>
      </c>
      <c r="AM865">
        <f>IF([3]Entry!$R$868="","",[3]Entry!$R$868)</f>
        <v/>
      </c>
    </row>
    <row r="866">
      <c r="T866">
        <f>IF([2]Baskol!$B$869="","",[2]Baskol!$B$869)</f>
        <v/>
      </c>
      <c r="U866">
        <f>IF([2]Baskol!$C$869="","",[2]Baskol!$C$869)</f>
        <v/>
      </c>
      <c r="V866">
        <f>IF([2]Baskol!$D$869="","",[2]Baskol!$D$869)</f>
        <v/>
      </c>
      <c r="W866">
        <f>IF([2]Baskol!$E$869="","",[2]Baskol!$E$869)</f>
        <v/>
      </c>
      <c r="X866">
        <f>IF([2]Baskol!$G$869="","",[2]Baskol!$G$869)</f>
        <v/>
      </c>
      <c r="Y866">
        <f>IF([2]Baskol!$I$869="","",[2]Baskol!$I$869)</f>
        <v/>
      </c>
      <c r="Z866">
        <f>IF([2]Baskol!$J$869="","",[2]Baskol!$J$869)</f>
        <v/>
      </c>
      <c r="AA866">
        <f>IF([2]Baskol!$K$869="","",[2]Baskol!$K$869)</f>
        <v/>
      </c>
      <c r="AB866">
        <f>IF([2]Baskol!$L$869="","",[2]Baskol!$L$869)</f>
        <v/>
      </c>
      <c r="AC866">
        <f>IF([2]Baskol!$N$869="","",[2]Baskol!$N$869)</f>
        <v/>
      </c>
      <c r="AD866">
        <f>IF([2]Baskol!$O$869="","",[2]Baskol!$O$869)</f>
        <v/>
      </c>
      <c r="AE866">
        <f>IF([3]Entry!$C$869="","",[3]Entry!$C$869)</f>
        <v/>
      </c>
      <c r="AF866">
        <f>IF([3]Entry!$D$869="","",[3]Entry!$D$869)</f>
        <v/>
      </c>
      <c r="AG866">
        <f>IF([3]Entry!$E$869="","",[3]Entry!$E$869)</f>
        <v/>
      </c>
      <c r="AH866">
        <f>IF([3]Entry!$G$869="","",[3]Entry!$G$869)</f>
        <v/>
      </c>
      <c r="AI866">
        <f>IF([3]Entry!$K$869="","",[3]Entry!$K$869)</f>
        <v/>
      </c>
      <c r="AJ866">
        <f>IF([3]Entry!$L$869="","",[3]Entry!$L$869)</f>
        <v/>
      </c>
      <c r="AK866">
        <f>IF([3]Entry!$M$869="","",[3]Entry!$M$869)</f>
        <v/>
      </c>
      <c r="AL866">
        <f>IF([3]Entry!$N$869="","",[3]Entry!$N$869)</f>
        <v/>
      </c>
      <c r="AM866">
        <f>IF([3]Entry!$R$869="","",[3]Entry!$R$869)</f>
        <v/>
      </c>
    </row>
    <row r="867">
      <c r="T867">
        <f>IF([2]Baskol!$B$870="","",[2]Baskol!$B$870)</f>
        <v/>
      </c>
      <c r="U867">
        <f>IF([2]Baskol!$C$870="","",[2]Baskol!$C$870)</f>
        <v/>
      </c>
      <c r="V867">
        <f>IF([2]Baskol!$D$870="","",[2]Baskol!$D$870)</f>
        <v/>
      </c>
      <c r="W867">
        <f>IF([2]Baskol!$E$870="","",[2]Baskol!$E$870)</f>
        <v/>
      </c>
      <c r="X867">
        <f>IF([2]Baskol!$G$870="","",[2]Baskol!$G$870)</f>
        <v/>
      </c>
      <c r="Y867">
        <f>IF([2]Baskol!$I$870="","",[2]Baskol!$I$870)</f>
        <v/>
      </c>
      <c r="Z867">
        <f>IF([2]Baskol!$J$870="","",[2]Baskol!$J$870)</f>
        <v/>
      </c>
      <c r="AA867">
        <f>IF([2]Baskol!$K$870="","",[2]Baskol!$K$870)</f>
        <v/>
      </c>
      <c r="AB867">
        <f>IF([2]Baskol!$L$870="","",[2]Baskol!$L$870)</f>
        <v/>
      </c>
      <c r="AC867">
        <f>IF([2]Baskol!$N$870="","",[2]Baskol!$N$870)</f>
        <v/>
      </c>
      <c r="AD867">
        <f>IF([2]Baskol!$O$870="","",[2]Baskol!$O$870)</f>
        <v/>
      </c>
      <c r="AE867">
        <f>IF([3]Entry!$C$870="","",[3]Entry!$C$870)</f>
        <v/>
      </c>
      <c r="AF867">
        <f>IF([3]Entry!$D$870="","",[3]Entry!$D$870)</f>
        <v/>
      </c>
      <c r="AG867">
        <f>IF([3]Entry!$E$870="","",[3]Entry!$E$870)</f>
        <v/>
      </c>
      <c r="AH867">
        <f>IF([3]Entry!$G$870="","",[3]Entry!$G$870)</f>
        <v/>
      </c>
      <c r="AI867">
        <f>IF([3]Entry!$K$870="","",[3]Entry!$K$870)</f>
        <v/>
      </c>
      <c r="AJ867">
        <f>IF([3]Entry!$L$870="","",[3]Entry!$L$870)</f>
        <v/>
      </c>
      <c r="AK867">
        <f>IF([3]Entry!$M$870="","",[3]Entry!$M$870)</f>
        <v/>
      </c>
      <c r="AL867">
        <f>IF([3]Entry!$N$870="","",[3]Entry!$N$870)</f>
        <v/>
      </c>
      <c r="AM867">
        <f>IF([3]Entry!$R$870="","",[3]Entry!$R$870)</f>
        <v/>
      </c>
    </row>
    <row r="868">
      <c r="T868">
        <f>IF([2]Baskol!$B$871="","",[2]Baskol!$B$871)</f>
        <v/>
      </c>
      <c r="U868">
        <f>IF([2]Baskol!$C$871="","",[2]Baskol!$C$871)</f>
        <v/>
      </c>
      <c r="V868">
        <f>IF([2]Baskol!$D$871="","",[2]Baskol!$D$871)</f>
        <v/>
      </c>
      <c r="W868">
        <f>IF([2]Baskol!$E$871="","",[2]Baskol!$E$871)</f>
        <v/>
      </c>
      <c r="X868">
        <f>IF([2]Baskol!$G$871="","",[2]Baskol!$G$871)</f>
        <v/>
      </c>
      <c r="Y868">
        <f>IF([2]Baskol!$I$871="","",[2]Baskol!$I$871)</f>
        <v/>
      </c>
      <c r="Z868">
        <f>IF([2]Baskol!$J$871="","",[2]Baskol!$J$871)</f>
        <v/>
      </c>
      <c r="AA868">
        <f>IF([2]Baskol!$K$871="","",[2]Baskol!$K$871)</f>
        <v/>
      </c>
      <c r="AB868">
        <f>IF([2]Baskol!$L$871="","",[2]Baskol!$L$871)</f>
        <v/>
      </c>
      <c r="AC868">
        <f>IF([2]Baskol!$N$871="","",[2]Baskol!$N$871)</f>
        <v/>
      </c>
      <c r="AD868">
        <f>IF([2]Baskol!$O$871="","",[2]Baskol!$O$871)</f>
        <v/>
      </c>
      <c r="AE868">
        <f>IF([3]Entry!$C$871="","",[3]Entry!$C$871)</f>
        <v/>
      </c>
      <c r="AF868">
        <f>IF([3]Entry!$D$871="","",[3]Entry!$D$871)</f>
        <v/>
      </c>
      <c r="AG868">
        <f>IF([3]Entry!$E$871="","",[3]Entry!$E$871)</f>
        <v/>
      </c>
      <c r="AH868">
        <f>IF([3]Entry!$G$871="","",[3]Entry!$G$871)</f>
        <v/>
      </c>
      <c r="AI868">
        <f>IF([3]Entry!$K$871="","",[3]Entry!$K$871)</f>
        <v/>
      </c>
      <c r="AJ868">
        <f>IF([3]Entry!$L$871="","",[3]Entry!$L$871)</f>
        <v/>
      </c>
      <c r="AK868">
        <f>IF([3]Entry!$M$871="","",[3]Entry!$M$871)</f>
        <v/>
      </c>
      <c r="AL868">
        <f>IF([3]Entry!$N$871="","",[3]Entry!$N$871)</f>
        <v/>
      </c>
      <c r="AM868">
        <f>IF([3]Entry!$R$871="","",[3]Entry!$R$871)</f>
        <v/>
      </c>
    </row>
    <row r="869">
      <c r="T869">
        <f>IF([2]Baskol!$B$872="","",[2]Baskol!$B$872)</f>
        <v/>
      </c>
      <c r="U869">
        <f>IF([2]Baskol!$C$872="","",[2]Baskol!$C$872)</f>
        <v/>
      </c>
      <c r="V869">
        <f>IF([2]Baskol!$D$872="","",[2]Baskol!$D$872)</f>
        <v/>
      </c>
      <c r="W869">
        <f>IF([2]Baskol!$E$872="","",[2]Baskol!$E$872)</f>
        <v/>
      </c>
      <c r="X869">
        <f>IF([2]Baskol!$G$872="","",[2]Baskol!$G$872)</f>
        <v/>
      </c>
      <c r="Y869">
        <f>IF([2]Baskol!$I$872="","",[2]Baskol!$I$872)</f>
        <v/>
      </c>
      <c r="Z869">
        <f>IF([2]Baskol!$J$872="","",[2]Baskol!$J$872)</f>
        <v/>
      </c>
      <c r="AA869">
        <f>IF([2]Baskol!$K$872="","",[2]Baskol!$K$872)</f>
        <v/>
      </c>
      <c r="AB869">
        <f>IF([2]Baskol!$L$872="","",[2]Baskol!$L$872)</f>
        <v/>
      </c>
      <c r="AC869">
        <f>IF([2]Baskol!$N$872="","",[2]Baskol!$N$872)</f>
        <v/>
      </c>
      <c r="AD869">
        <f>IF([2]Baskol!$O$872="","",[2]Baskol!$O$872)</f>
        <v/>
      </c>
      <c r="AE869">
        <f>IF([3]Entry!$C$872="","",[3]Entry!$C$872)</f>
        <v/>
      </c>
      <c r="AF869">
        <f>IF([3]Entry!$D$872="","",[3]Entry!$D$872)</f>
        <v/>
      </c>
      <c r="AG869">
        <f>IF([3]Entry!$E$872="","",[3]Entry!$E$872)</f>
        <v/>
      </c>
      <c r="AH869">
        <f>IF([3]Entry!$G$872="","",[3]Entry!$G$872)</f>
        <v/>
      </c>
      <c r="AI869">
        <f>IF([3]Entry!$K$872="","",[3]Entry!$K$872)</f>
        <v/>
      </c>
      <c r="AJ869">
        <f>IF([3]Entry!$L$872="","",[3]Entry!$L$872)</f>
        <v/>
      </c>
      <c r="AK869">
        <f>IF([3]Entry!$M$872="","",[3]Entry!$M$872)</f>
        <v/>
      </c>
      <c r="AL869">
        <f>IF([3]Entry!$N$872="","",[3]Entry!$N$872)</f>
        <v/>
      </c>
      <c r="AM869">
        <f>IF([3]Entry!$R$872="","",[3]Entry!$R$872)</f>
        <v/>
      </c>
    </row>
    <row r="870">
      <c r="T870">
        <f>IF([2]Baskol!$B$873="","",[2]Baskol!$B$873)</f>
        <v/>
      </c>
      <c r="U870">
        <f>IF([2]Baskol!$C$873="","",[2]Baskol!$C$873)</f>
        <v/>
      </c>
      <c r="V870">
        <f>IF([2]Baskol!$D$873="","",[2]Baskol!$D$873)</f>
        <v/>
      </c>
      <c r="W870">
        <f>IF([2]Baskol!$E$873="","",[2]Baskol!$E$873)</f>
        <v/>
      </c>
      <c r="X870">
        <f>IF([2]Baskol!$G$873="","",[2]Baskol!$G$873)</f>
        <v/>
      </c>
      <c r="Y870">
        <f>IF([2]Baskol!$I$873="","",[2]Baskol!$I$873)</f>
        <v/>
      </c>
      <c r="Z870">
        <f>IF([2]Baskol!$J$873="","",[2]Baskol!$J$873)</f>
        <v/>
      </c>
      <c r="AA870">
        <f>IF([2]Baskol!$K$873="","",[2]Baskol!$K$873)</f>
        <v/>
      </c>
      <c r="AB870">
        <f>IF([2]Baskol!$L$873="","",[2]Baskol!$L$873)</f>
        <v/>
      </c>
      <c r="AC870">
        <f>IF([2]Baskol!$N$873="","",[2]Baskol!$N$873)</f>
        <v/>
      </c>
      <c r="AD870">
        <f>IF([2]Baskol!$O$873="","",[2]Baskol!$O$873)</f>
        <v/>
      </c>
      <c r="AE870">
        <f>IF([3]Entry!$C$873="","",[3]Entry!$C$873)</f>
        <v/>
      </c>
      <c r="AF870">
        <f>IF([3]Entry!$D$873="","",[3]Entry!$D$873)</f>
        <v/>
      </c>
      <c r="AG870">
        <f>IF([3]Entry!$E$873="","",[3]Entry!$E$873)</f>
        <v/>
      </c>
      <c r="AH870">
        <f>IF([3]Entry!$G$873="","",[3]Entry!$G$873)</f>
        <v/>
      </c>
      <c r="AI870">
        <f>IF([3]Entry!$K$873="","",[3]Entry!$K$873)</f>
        <v/>
      </c>
      <c r="AJ870">
        <f>IF([3]Entry!$L$873="","",[3]Entry!$L$873)</f>
        <v/>
      </c>
      <c r="AK870">
        <f>IF([3]Entry!$M$873="","",[3]Entry!$M$873)</f>
        <v/>
      </c>
      <c r="AL870">
        <f>IF([3]Entry!$N$873="","",[3]Entry!$N$873)</f>
        <v/>
      </c>
      <c r="AM870">
        <f>IF([3]Entry!$R$873="","",[3]Entry!$R$873)</f>
        <v/>
      </c>
    </row>
    <row r="871">
      <c r="T871">
        <f>IF([2]Baskol!$B$874="","",[2]Baskol!$B$874)</f>
        <v/>
      </c>
      <c r="U871">
        <f>IF([2]Baskol!$C$874="","",[2]Baskol!$C$874)</f>
        <v/>
      </c>
      <c r="V871">
        <f>IF([2]Baskol!$D$874="","",[2]Baskol!$D$874)</f>
        <v/>
      </c>
      <c r="W871">
        <f>IF([2]Baskol!$E$874="","",[2]Baskol!$E$874)</f>
        <v/>
      </c>
      <c r="X871">
        <f>IF([2]Baskol!$G$874="","",[2]Baskol!$G$874)</f>
        <v/>
      </c>
      <c r="Y871">
        <f>IF([2]Baskol!$I$874="","",[2]Baskol!$I$874)</f>
        <v/>
      </c>
      <c r="Z871">
        <f>IF([2]Baskol!$J$874="","",[2]Baskol!$J$874)</f>
        <v/>
      </c>
      <c r="AA871">
        <f>IF([2]Baskol!$K$874="","",[2]Baskol!$K$874)</f>
        <v/>
      </c>
      <c r="AB871">
        <f>IF([2]Baskol!$L$874="","",[2]Baskol!$L$874)</f>
        <v/>
      </c>
      <c r="AC871">
        <f>IF([2]Baskol!$N$874="","",[2]Baskol!$N$874)</f>
        <v/>
      </c>
      <c r="AD871">
        <f>IF([2]Baskol!$O$874="","",[2]Baskol!$O$874)</f>
        <v/>
      </c>
      <c r="AE871">
        <f>IF([3]Entry!$C$874="","",[3]Entry!$C$874)</f>
        <v/>
      </c>
      <c r="AF871">
        <f>IF([3]Entry!$D$874="","",[3]Entry!$D$874)</f>
        <v/>
      </c>
      <c r="AG871">
        <f>IF([3]Entry!$E$874="","",[3]Entry!$E$874)</f>
        <v/>
      </c>
      <c r="AH871">
        <f>IF([3]Entry!$G$874="","",[3]Entry!$G$874)</f>
        <v/>
      </c>
      <c r="AI871">
        <f>IF([3]Entry!$K$874="","",[3]Entry!$K$874)</f>
        <v/>
      </c>
      <c r="AJ871">
        <f>IF([3]Entry!$L$874="","",[3]Entry!$L$874)</f>
        <v/>
      </c>
      <c r="AK871">
        <f>IF([3]Entry!$M$874="","",[3]Entry!$M$874)</f>
        <v/>
      </c>
      <c r="AL871">
        <f>IF([3]Entry!$N$874="","",[3]Entry!$N$874)</f>
        <v/>
      </c>
      <c r="AM871">
        <f>IF([3]Entry!$R$874="","",[3]Entry!$R$874)</f>
        <v/>
      </c>
    </row>
    <row r="872">
      <c r="T872">
        <f>IF([2]Baskol!$B$875="","",[2]Baskol!$B$875)</f>
        <v/>
      </c>
      <c r="U872">
        <f>IF([2]Baskol!$C$875="","",[2]Baskol!$C$875)</f>
        <v/>
      </c>
      <c r="V872">
        <f>IF([2]Baskol!$D$875="","",[2]Baskol!$D$875)</f>
        <v/>
      </c>
      <c r="W872">
        <f>IF([2]Baskol!$E$875="","",[2]Baskol!$E$875)</f>
        <v/>
      </c>
      <c r="X872">
        <f>IF([2]Baskol!$G$875="","",[2]Baskol!$G$875)</f>
        <v/>
      </c>
      <c r="Y872">
        <f>IF([2]Baskol!$I$875="","",[2]Baskol!$I$875)</f>
        <v/>
      </c>
      <c r="Z872">
        <f>IF([2]Baskol!$J$875="","",[2]Baskol!$J$875)</f>
        <v/>
      </c>
      <c r="AA872">
        <f>IF([2]Baskol!$K$875="","",[2]Baskol!$K$875)</f>
        <v/>
      </c>
      <c r="AB872">
        <f>IF([2]Baskol!$L$875="","",[2]Baskol!$L$875)</f>
        <v/>
      </c>
      <c r="AC872">
        <f>IF([2]Baskol!$N$875="","",[2]Baskol!$N$875)</f>
        <v/>
      </c>
      <c r="AD872">
        <f>IF([2]Baskol!$O$875="","",[2]Baskol!$O$875)</f>
        <v/>
      </c>
      <c r="AE872">
        <f>IF([3]Entry!$C$875="","",[3]Entry!$C$875)</f>
        <v/>
      </c>
      <c r="AF872">
        <f>IF([3]Entry!$D$875="","",[3]Entry!$D$875)</f>
        <v/>
      </c>
      <c r="AG872">
        <f>IF([3]Entry!$E$875="","",[3]Entry!$E$875)</f>
        <v/>
      </c>
      <c r="AH872">
        <f>IF([3]Entry!$G$875="","",[3]Entry!$G$875)</f>
        <v/>
      </c>
      <c r="AI872">
        <f>IF([3]Entry!$K$875="","",[3]Entry!$K$875)</f>
        <v/>
      </c>
      <c r="AJ872">
        <f>IF([3]Entry!$L$875="","",[3]Entry!$L$875)</f>
        <v/>
      </c>
      <c r="AK872">
        <f>IF([3]Entry!$M$875="","",[3]Entry!$M$875)</f>
        <v/>
      </c>
      <c r="AL872">
        <f>IF([3]Entry!$N$875="","",[3]Entry!$N$875)</f>
        <v/>
      </c>
      <c r="AM872">
        <f>IF([3]Entry!$R$875="","",[3]Entry!$R$875)</f>
        <v/>
      </c>
    </row>
    <row r="873">
      <c r="T873">
        <f>IF([2]Baskol!$B$876="","",[2]Baskol!$B$876)</f>
        <v/>
      </c>
      <c r="U873">
        <f>IF([2]Baskol!$C$876="","",[2]Baskol!$C$876)</f>
        <v/>
      </c>
      <c r="V873">
        <f>IF([2]Baskol!$D$876="","",[2]Baskol!$D$876)</f>
        <v/>
      </c>
      <c r="W873">
        <f>IF([2]Baskol!$E$876="","",[2]Baskol!$E$876)</f>
        <v/>
      </c>
      <c r="X873">
        <f>IF([2]Baskol!$G$876="","",[2]Baskol!$G$876)</f>
        <v/>
      </c>
      <c r="Y873">
        <f>IF([2]Baskol!$I$876="","",[2]Baskol!$I$876)</f>
        <v/>
      </c>
      <c r="Z873">
        <f>IF([2]Baskol!$J$876="","",[2]Baskol!$J$876)</f>
        <v/>
      </c>
      <c r="AA873">
        <f>IF([2]Baskol!$K$876="","",[2]Baskol!$K$876)</f>
        <v/>
      </c>
      <c r="AB873">
        <f>IF([2]Baskol!$L$876="","",[2]Baskol!$L$876)</f>
        <v/>
      </c>
      <c r="AC873">
        <f>IF([2]Baskol!$N$876="","",[2]Baskol!$N$876)</f>
        <v/>
      </c>
      <c r="AD873">
        <f>IF([2]Baskol!$O$876="","",[2]Baskol!$O$876)</f>
        <v/>
      </c>
      <c r="AE873">
        <f>IF([3]Entry!$C$876="","",[3]Entry!$C$876)</f>
        <v/>
      </c>
      <c r="AF873">
        <f>IF([3]Entry!$D$876="","",[3]Entry!$D$876)</f>
        <v/>
      </c>
      <c r="AG873">
        <f>IF([3]Entry!$E$876="","",[3]Entry!$E$876)</f>
        <v/>
      </c>
      <c r="AH873">
        <f>IF([3]Entry!$G$876="","",[3]Entry!$G$876)</f>
        <v/>
      </c>
      <c r="AI873">
        <f>IF([3]Entry!$K$876="","",[3]Entry!$K$876)</f>
        <v/>
      </c>
      <c r="AJ873">
        <f>IF([3]Entry!$L$876="","",[3]Entry!$L$876)</f>
        <v/>
      </c>
      <c r="AK873">
        <f>IF([3]Entry!$M$876="","",[3]Entry!$M$876)</f>
        <v/>
      </c>
      <c r="AL873">
        <f>IF([3]Entry!$N$876="","",[3]Entry!$N$876)</f>
        <v/>
      </c>
      <c r="AM873">
        <f>IF([3]Entry!$R$876="","",[3]Entry!$R$876)</f>
        <v/>
      </c>
    </row>
    <row r="874">
      <c r="T874">
        <f>IF([2]Baskol!$B$877="","",[2]Baskol!$B$877)</f>
        <v/>
      </c>
      <c r="U874">
        <f>IF([2]Baskol!$C$877="","",[2]Baskol!$C$877)</f>
        <v/>
      </c>
      <c r="V874">
        <f>IF([2]Baskol!$D$877="","",[2]Baskol!$D$877)</f>
        <v/>
      </c>
      <c r="W874">
        <f>IF([2]Baskol!$E$877="","",[2]Baskol!$E$877)</f>
        <v/>
      </c>
      <c r="X874">
        <f>IF([2]Baskol!$G$877="","",[2]Baskol!$G$877)</f>
        <v/>
      </c>
      <c r="Y874">
        <f>IF([2]Baskol!$I$877="","",[2]Baskol!$I$877)</f>
        <v/>
      </c>
      <c r="Z874">
        <f>IF([2]Baskol!$J$877="","",[2]Baskol!$J$877)</f>
        <v/>
      </c>
      <c r="AA874">
        <f>IF([2]Baskol!$K$877="","",[2]Baskol!$K$877)</f>
        <v/>
      </c>
      <c r="AB874">
        <f>IF([2]Baskol!$L$877="","",[2]Baskol!$L$877)</f>
        <v/>
      </c>
      <c r="AC874">
        <f>IF([2]Baskol!$N$877="","",[2]Baskol!$N$877)</f>
        <v/>
      </c>
      <c r="AD874">
        <f>IF([2]Baskol!$O$877="","",[2]Baskol!$O$877)</f>
        <v/>
      </c>
      <c r="AE874">
        <f>IF([3]Entry!$C$877="","",[3]Entry!$C$877)</f>
        <v/>
      </c>
      <c r="AF874">
        <f>IF([3]Entry!$D$877="","",[3]Entry!$D$877)</f>
        <v/>
      </c>
      <c r="AG874">
        <f>IF([3]Entry!$E$877="","",[3]Entry!$E$877)</f>
        <v/>
      </c>
      <c r="AH874">
        <f>IF([3]Entry!$G$877="","",[3]Entry!$G$877)</f>
        <v/>
      </c>
      <c r="AI874">
        <f>IF([3]Entry!$K$877="","",[3]Entry!$K$877)</f>
        <v/>
      </c>
      <c r="AJ874">
        <f>IF([3]Entry!$L$877="","",[3]Entry!$L$877)</f>
        <v/>
      </c>
      <c r="AK874">
        <f>IF([3]Entry!$M$877="","",[3]Entry!$M$877)</f>
        <v/>
      </c>
      <c r="AL874">
        <f>IF([3]Entry!$N$877="","",[3]Entry!$N$877)</f>
        <v/>
      </c>
      <c r="AM874">
        <f>IF([3]Entry!$R$877="","",[3]Entry!$R$877)</f>
        <v/>
      </c>
    </row>
    <row r="875">
      <c r="T875">
        <f>IF([2]Baskol!$B$878="","",[2]Baskol!$B$878)</f>
        <v/>
      </c>
      <c r="U875">
        <f>IF([2]Baskol!$C$878="","",[2]Baskol!$C$878)</f>
        <v/>
      </c>
      <c r="V875">
        <f>IF([2]Baskol!$D$878="","",[2]Baskol!$D$878)</f>
        <v/>
      </c>
      <c r="W875">
        <f>IF([2]Baskol!$E$878="","",[2]Baskol!$E$878)</f>
        <v/>
      </c>
      <c r="X875">
        <f>IF([2]Baskol!$G$878="","",[2]Baskol!$G$878)</f>
        <v/>
      </c>
      <c r="Y875">
        <f>IF([2]Baskol!$I$878="","",[2]Baskol!$I$878)</f>
        <v/>
      </c>
      <c r="Z875">
        <f>IF([2]Baskol!$J$878="","",[2]Baskol!$J$878)</f>
        <v/>
      </c>
      <c r="AA875">
        <f>IF([2]Baskol!$K$878="","",[2]Baskol!$K$878)</f>
        <v/>
      </c>
      <c r="AB875">
        <f>IF([2]Baskol!$L$878="","",[2]Baskol!$L$878)</f>
        <v/>
      </c>
      <c r="AC875">
        <f>IF([2]Baskol!$N$878="","",[2]Baskol!$N$878)</f>
        <v/>
      </c>
      <c r="AD875">
        <f>IF([2]Baskol!$O$878="","",[2]Baskol!$O$878)</f>
        <v/>
      </c>
      <c r="AE875">
        <f>IF([3]Entry!$C$878="","",[3]Entry!$C$878)</f>
        <v/>
      </c>
      <c r="AF875">
        <f>IF([3]Entry!$D$878="","",[3]Entry!$D$878)</f>
        <v/>
      </c>
      <c r="AG875">
        <f>IF([3]Entry!$E$878="","",[3]Entry!$E$878)</f>
        <v/>
      </c>
      <c r="AH875">
        <f>IF([3]Entry!$G$878="","",[3]Entry!$G$878)</f>
        <v/>
      </c>
      <c r="AI875">
        <f>IF([3]Entry!$K$878="","",[3]Entry!$K$878)</f>
        <v/>
      </c>
      <c r="AJ875">
        <f>IF([3]Entry!$L$878="","",[3]Entry!$L$878)</f>
        <v/>
      </c>
      <c r="AK875">
        <f>IF([3]Entry!$M$878="","",[3]Entry!$M$878)</f>
        <v/>
      </c>
      <c r="AL875">
        <f>IF([3]Entry!$N$878="","",[3]Entry!$N$878)</f>
        <v/>
      </c>
      <c r="AM875">
        <f>IF([3]Entry!$R$878="","",[3]Entry!$R$878)</f>
        <v/>
      </c>
    </row>
    <row r="876">
      <c r="T876">
        <f>IF([2]Baskol!$B$879="","",[2]Baskol!$B$879)</f>
        <v/>
      </c>
      <c r="U876">
        <f>IF([2]Baskol!$C$879="","",[2]Baskol!$C$879)</f>
        <v/>
      </c>
      <c r="V876">
        <f>IF([2]Baskol!$D$879="","",[2]Baskol!$D$879)</f>
        <v/>
      </c>
      <c r="W876">
        <f>IF([2]Baskol!$E$879="","",[2]Baskol!$E$879)</f>
        <v/>
      </c>
      <c r="X876">
        <f>IF([2]Baskol!$G$879="","",[2]Baskol!$G$879)</f>
        <v/>
      </c>
      <c r="Y876">
        <f>IF([2]Baskol!$I$879="","",[2]Baskol!$I$879)</f>
        <v/>
      </c>
      <c r="Z876">
        <f>IF([2]Baskol!$J$879="","",[2]Baskol!$J$879)</f>
        <v/>
      </c>
      <c r="AA876">
        <f>IF([2]Baskol!$K$879="","",[2]Baskol!$K$879)</f>
        <v/>
      </c>
      <c r="AB876">
        <f>IF([2]Baskol!$L$879="","",[2]Baskol!$L$879)</f>
        <v/>
      </c>
      <c r="AC876">
        <f>IF([2]Baskol!$N$879="","",[2]Baskol!$N$879)</f>
        <v/>
      </c>
      <c r="AD876">
        <f>IF([2]Baskol!$O$879="","",[2]Baskol!$O$879)</f>
        <v/>
      </c>
      <c r="AE876">
        <f>IF([3]Entry!$C$879="","",[3]Entry!$C$879)</f>
        <v/>
      </c>
      <c r="AF876">
        <f>IF([3]Entry!$D$879="","",[3]Entry!$D$879)</f>
        <v/>
      </c>
      <c r="AG876">
        <f>IF([3]Entry!$E$879="","",[3]Entry!$E$879)</f>
        <v/>
      </c>
      <c r="AH876">
        <f>IF([3]Entry!$G$879="","",[3]Entry!$G$879)</f>
        <v/>
      </c>
      <c r="AI876">
        <f>IF([3]Entry!$K$879="","",[3]Entry!$K$879)</f>
        <v/>
      </c>
      <c r="AJ876">
        <f>IF([3]Entry!$L$879="","",[3]Entry!$L$879)</f>
        <v/>
      </c>
      <c r="AK876">
        <f>IF([3]Entry!$M$879="","",[3]Entry!$M$879)</f>
        <v/>
      </c>
      <c r="AL876">
        <f>IF([3]Entry!$N$879="","",[3]Entry!$N$879)</f>
        <v/>
      </c>
      <c r="AM876">
        <f>IF([3]Entry!$R$879="","",[3]Entry!$R$879)</f>
        <v/>
      </c>
    </row>
    <row r="877">
      <c r="T877">
        <f>IF([2]Baskol!$B$880="","",[2]Baskol!$B$880)</f>
        <v/>
      </c>
      <c r="U877">
        <f>IF([2]Baskol!$C$880="","",[2]Baskol!$C$880)</f>
        <v/>
      </c>
      <c r="V877">
        <f>IF([2]Baskol!$D$880="","",[2]Baskol!$D$880)</f>
        <v/>
      </c>
      <c r="W877">
        <f>IF([2]Baskol!$E$880="","",[2]Baskol!$E$880)</f>
        <v/>
      </c>
      <c r="X877">
        <f>IF([2]Baskol!$G$880="","",[2]Baskol!$G$880)</f>
        <v/>
      </c>
      <c r="Y877">
        <f>IF([2]Baskol!$I$880="","",[2]Baskol!$I$880)</f>
        <v/>
      </c>
      <c r="Z877">
        <f>IF([2]Baskol!$J$880="","",[2]Baskol!$J$880)</f>
        <v/>
      </c>
      <c r="AA877">
        <f>IF([2]Baskol!$K$880="","",[2]Baskol!$K$880)</f>
        <v/>
      </c>
      <c r="AB877">
        <f>IF([2]Baskol!$L$880="","",[2]Baskol!$L$880)</f>
        <v/>
      </c>
      <c r="AC877">
        <f>IF([2]Baskol!$N$880="","",[2]Baskol!$N$880)</f>
        <v/>
      </c>
      <c r="AD877">
        <f>IF([2]Baskol!$O$880="","",[2]Baskol!$O$880)</f>
        <v/>
      </c>
      <c r="AE877">
        <f>IF([3]Entry!$C$880="","",[3]Entry!$C$880)</f>
        <v/>
      </c>
      <c r="AF877">
        <f>IF([3]Entry!$D$880="","",[3]Entry!$D$880)</f>
        <v/>
      </c>
      <c r="AG877">
        <f>IF([3]Entry!$E$880="","",[3]Entry!$E$880)</f>
        <v/>
      </c>
      <c r="AH877">
        <f>IF([3]Entry!$G$880="","",[3]Entry!$G$880)</f>
        <v/>
      </c>
      <c r="AI877">
        <f>IF([3]Entry!$K$880="","",[3]Entry!$K$880)</f>
        <v/>
      </c>
      <c r="AJ877">
        <f>IF([3]Entry!$L$880="","",[3]Entry!$L$880)</f>
        <v/>
      </c>
      <c r="AK877">
        <f>IF([3]Entry!$M$880="","",[3]Entry!$M$880)</f>
        <v/>
      </c>
      <c r="AL877">
        <f>IF([3]Entry!$N$880="","",[3]Entry!$N$880)</f>
        <v/>
      </c>
      <c r="AM877">
        <f>IF([3]Entry!$R$880="","",[3]Entry!$R$880)</f>
        <v/>
      </c>
    </row>
    <row r="878">
      <c r="T878">
        <f>IF([2]Baskol!$B$881="","",[2]Baskol!$B$881)</f>
        <v/>
      </c>
      <c r="U878">
        <f>IF([2]Baskol!$C$881="","",[2]Baskol!$C$881)</f>
        <v/>
      </c>
      <c r="V878">
        <f>IF([2]Baskol!$D$881="","",[2]Baskol!$D$881)</f>
        <v/>
      </c>
      <c r="W878">
        <f>IF([2]Baskol!$E$881="","",[2]Baskol!$E$881)</f>
        <v/>
      </c>
      <c r="X878">
        <f>IF([2]Baskol!$G$881="","",[2]Baskol!$G$881)</f>
        <v/>
      </c>
      <c r="Y878">
        <f>IF([2]Baskol!$I$881="","",[2]Baskol!$I$881)</f>
        <v/>
      </c>
      <c r="Z878">
        <f>IF([2]Baskol!$J$881="","",[2]Baskol!$J$881)</f>
        <v/>
      </c>
      <c r="AA878">
        <f>IF([2]Baskol!$K$881="","",[2]Baskol!$K$881)</f>
        <v/>
      </c>
      <c r="AB878">
        <f>IF([2]Baskol!$L$881="","",[2]Baskol!$L$881)</f>
        <v/>
      </c>
      <c r="AC878">
        <f>IF([2]Baskol!$N$881="","",[2]Baskol!$N$881)</f>
        <v/>
      </c>
      <c r="AD878">
        <f>IF([2]Baskol!$O$881="","",[2]Baskol!$O$881)</f>
        <v/>
      </c>
      <c r="AE878">
        <f>IF([3]Entry!$C$881="","",[3]Entry!$C$881)</f>
        <v/>
      </c>
      <c r="AF878">
        <f>IF([3]Entry!$D$881="","",[3]Entry!$D$881)</f>
        <v/>
      </c>
      <c r="AG878">
        <f>IF([3]Entry!$E$881="","",[3]Entry!$E$881)</f>
        <v/>
      </c>
      <c r="AH878">
        <f>IF([3]Entry!$G$881="","",[3]Entry!$G$881)</f>
        <v/>
      </c>
      <c r="AI878">
        <f>IF([3]Entry!$K$881="","",[3]Entry!$K$881)</f>
        <v/>
      </c>
      <c r="AJ878">
        <f>IF([3]Entry!$L$881="","",[3]Entry!$L$881)</f>
        <v/>
      </c>
      <c r="AK878">
        <f>IF([3]Entry!$M$881="","",[3]Entry!$M$881)</f>
        <v/>
      </c>
      <c r="AL878">
        <f>IF([3]Entry!$N$881="","",[3]Entry!$N$881)</f>
        <v/>
      </c>
      <c r="AM878">
        <f>IF([3]Entry!$R$881="","",[3]Entry!$R$881)</f>
        <v/>
      </c>
    </row>
    <row r="879">
      <c r="T879">
        <f>IF([2]Baskol!$B$882="","",[2]Baskol!$B$882)</f>
        <v/>
      </c>
      <c r="U879">
        <f>IF([2]Baskol!$C$882="","",[2]Baskol!$C$882)</f>
        <v/>
      </c>
      <c r="V879">
        <f>IF([2]Baskol!$D$882="","",[2]Baskol!$D$882)</f>
        <v/>
      </c>
      <c r="W879">
        <f>IF([2]Baskol!$E$882="","",[2]Baskol!$E$882)</f>
        <v/>
      </c>
      <c r="X879">
        <f>IF([2]Baskol!$G$882="","",[2]Baskol!$G$882)</f>
        <v/>
      </c>
      <c r="Y879">
        <f>IF([2]Baskol!$I$882="","",[2]Baskol!$I$882)</f>
        <v/>
      </c>
      <c r="Z879">
        <f>IF([2]Baskol!$J$882="","",[2]Baskol!$J$882)</f>
        <v/>
      </c>
      <c r="AA879">
        <f>IF([2]Baskol!$K$882="","",[2]Baskol!$K$882)</f>
        <v/>
      </c>
      <c r="AB879">
        <f>IF([2]Baskol!$L$882="","",[2]Baskol!$L$882)</f>
        <v/>
      </c>
      <c r="AC879">
        <f>IF([2]Baskol!$N$882="","",[2]Baskol!$N$882)</f>
        <v/>
      </c>
      <c r="AD879">
        <f>IF([2]Baskol!$O$882="","",[2]Baskol!$O$882)</f>
        <v/>
      </c>
      <c r="AE879">
        <f>IF([3]Entry!$C$882="","",[3]Entry!$C$882)</f>
        <v/>
      </c>
      <c r="AF879">
        <f>IF([3]Entry!$D$882="","",[3]Entry!$D$882)</f>
        <v/>
      </c>
      <c r="AG879">
        <f>IF([3]Entry!$E$882="","",[3]Entry!$E$882)</f>
        <v/>
      </c>
      <c r="AH879">
        <f>IF([3]Entry!$G$882="","",[3]Entry!$G$882)</f>
        <v/>
      </c>
      <c r="AI879">
        <f>IF([3]Entry!$K$882="","",[3]Entry!$K$882)</f>
        <v/>
      </c>
      <c r="AJ879">
        <f>IF([3]Entry!$L$882="","",[3]Entry!$L$882)</f>
        <v/>
      </c>
      <c r="AK879">
        <f>IF([3]Entry!$M$882="","",[3]Entry!$M$882)</f>
        <v/>
      </c>
      <c r="AL879">
        <f>IF([3]Entry!$N$882="","",[3]Entry!$N$882)</f>
        <v/>
      </c>
      <c r="AM879">
        <f>IF([3]Entry!$R$882="","",[3]Entry!$R$882)</f>
        <v/>
      </c>
    </row>
    <row r="880">
      <c r="T880">
        <f>IF([2]Baskol!$B$883="","",[2]Baskol!$B$883)</f>
        <v/>
      </c>
      <c r="U880">
        <f>IF([2]Baskol!$C$883="","",[2]Baskol!$C$883)</f>
        <v/>
      </c>
      <c r="V880">
        <f>IF([2]Baskol!$D$883="","",[2]Baskol!$D$883)</f>
        <v/>
      </c>
      <c r="W880">
        <f>IF([2]Baskol!$E$883="","",[2]Baskol!$E$883)</f>
        <v/>
      </c>
      <c r="X880">
        <f>IF([2]Baskol!$G$883="","",[2]Baskol!$G$883)</f>
        <v/>
      </c>
      <c r="Y880">
        <f>IF([2]Baskol!$I$883="","",[2]Baskol!$I$883)</f>
        <v/>
      </c>
      <c r="Z880">
        <f>IF([2]Baskol!$J$883="","",[2]Baskol!$J$883)</f>
        <v/>
      </c>
      <c r="AA880">
        <f>IF([2]Baskol!$K$883="","",[2]Baskol!$K$883)</f>
        <v/>
      </c>
      <c r="AB880">
        <f>IF([2]Baskol!$L$883="","",[2]Baskol!$L$883)</f>
        <v/>
      </c>
      <c r="AC880">
        <f>IF([2]Baskol!$N$883="","",[2]Baskol!$N$883)</f>
        <v/>
      </c>
      <c r="AD880">
        <f>IF([2]Baskol!$O$883="","",[2]Baskol!$O$883)</f>
        <v/>
      </c>
      <c r="AE880">
        <f>IF([3]Entry!$C$883="","",[3]Entry!$C$883)</f>
        <v/>
      </c>
      <c r="AF880">
        <f>IF([3]Entry!$D$883="","",[3]Entry!$D$883)</f>
        <v/>
      </c>
      <c r="AG880">
        <f>IF([3]Entry!$E$883="","",[3]Entry!$E$883)</f>
        <v/>
      </c>
      <c r="AH880">
        <f>IF([3]Entry!$G$883="","",[3]Entry!$G$883)</f>
        <v/>
      </c>
      <c r="AI880">
        <f>IF([3]Entry!$K$883="","",[3]Entry!$K$883)</f>
        <v/>
      </c>
      <c r="AJ880">
        <f>IF([3]Entry!$L$883="","",[3]Entry!$L$883)</f>
        <v/>
      </c>
      <c r="AK880">
        <f>IF([3]Entry!$M$883="","",[3]Entry!$M$883)</f>
        <v/>
      </c>
      <c r="AL880">
        <f>IF([3]Entry!$N$883="","",[3]Entry!$N$883)</f>
        <v/>
      </c>
      <c r="AM880">
        <f>IF([3]Entry!$R$883="","",[3]Entry!$R$883)</f>
        <v/>
      </c>
    </row>
    <row r="881">
      <c r="T881">
        <f>IF([2]Baskol!$B$884="","",[2]Baskol!$B$884)</f>
        <v/>
      </c>
      <c r="U881">
        <f>IF([2]Baskol!$C$884="","",[2]Baskol!$C$884)</f>
        <v/>
      </c>
      <c r="V881">
        <f>IF([2]Baskol!$D$884="","",[2]Baskol!$D$884)</f>
        <v/>
      </c>
      <c r="W881">
        <f>IF([2]Baskol!$E$884="","",[2]Baskol!$E$884)</f>
        <v/>
      </c>
      <c r="X881">
        <f>IF([2]Baskol!$G$884="","",[2]Baskol!$G$884)</f>
        <v/>
      </c>
      <c r="Y881">
        <f>IF([2]Baskol!$I$884="","",[2]Baskol!$I$884)</f>
        <v/>
      </c>
      <c r="Z881">
        <f>IF([2]Baskol!$J$884="","",[2]Baskol!$J$884)</f>
        <v/>
      </c>
      <c r="AA881">
        <f>IF([2]Baskol!$K$884="","",[2]Baskol!$K$884)</f>
        <v/>
      </c>
      <c r="AB881">
        <f>IF([2]Baskol!$L$884="","",[2]Baskol!$L$884)</f>
        <v/>
      </c>
      <c r="AC881">
        <f>IF([2]Baskol!$N$884="","",[2]Baskol!$N$884)</f>
        <v/>
      </c>
      <c r="AD881">
        <f>IF([2]Baskol!$O$884="","",[2]Baskol!$O$884)</f>
        <v/>
      </c>
      <c r="AE881">
        <f>IF([3]Entry!$C$884="","",[3]Entry!$C$884)</f>
        <v/>
      </c>
      <c r="AF881">
        <f>IF([3]Entry!$D$884="","",[3]Entry!$D$884)</f>
        <v/>
      </c>
      <c r="AG881">
        <f>IF([3]Entry!$E$884="","",[3]Entry!$E$884)</f>
        <v/>
      </c>
      <c r="AH881">
        <f>IF([3]Entry!$G$884="","",[3]Entry!$G$884)</f>
        <v/>
      </c>
      <c r="AI881">
        <f>IF([3]Entry!$K$884="","",[3]Entry!$K$884)</f>
        <v/>
      </c>
      <c r="AJ881">
        <f>IF([3]Entry!$L$884="","",[3]Entry!$L$884)</f>
        <v/>
      </c>
      <c r="AK881">
        <f>IF([3]Entry!$M$884="","",[3]Entry!$M$884)</f>
        <v/>
      </c>
      <c r="AL881">
        <f>IF([3]Entry!$N$884="","",[3]Entry!$N$884)</f>
        <v/>
      </c>
      <c r="AM881">
        <f>IF([3]Entry!$R$884="","",[3]Entry!$R$884)</f>
        <v/>
      </c>
    </row>
    <row r="882">
      <c r="T882">
        <f>IF([2]Baskol!$B$885="","",[2]Baskol!$B$885)</f>
        <v/>
      </c>
      <c r="U882">
        <f>IF([2]Baskol!$C$885="","",[2]Baskol!$C$885)</f>
        <v/>
      </c>
      <c r="V882">
        <f>IF([2]Baskol!$D$885="","",[2]Baskol!$D$885)</f>
        <v/>
      </c>
      <c r="W882">
        <f>IF([2]Baskol!$E$885="","",[2]Baskol!$E$885)</f>
        <v/>
      </c>
      <c r="X882">
        <f>IF([2]Baskol!$G$885="","",[2]Baskol!$G$885)</f>
        <v/>
      </c>
      <c r="Y882">
        <f>IF([2]Baskol!$I$885="","",[2]Baskol!$I$885)</f>
        <v/>
      </c>
      <c r="Z882">
        <f>IF([2]Baskol!$J$885="","",[2]Baskol!$J$885)</f>
        <v/>
      </c>
      <c r="AA882">
        <f>IF([2]Baskol!$K$885="","",[2]Baskol!$K$885)</f>
        <v/>
      </c>
      <c r="AB882">
        <f>IF([2]Baskol!$L$885="","",[2]Baskol!$L$885)</f>
        <v/>
      </c>
      <c r="AC882">
        <f>IF([2]Baskol!$N$885="","",[2]Baskol!$N$885)</f>
        <v/>
      </c>
      <c r="AD882">
        <f>IF([2]Baskol!$O$885="","",[2]Baskol!$O$885)</f>
        <v/>
      </c>
      <c r="AE882">
        <f>IF([3]Entry!$C$885="","",[3]Entry!$C$885)</f>
        <v/>
      </c>
      <c r="AF882">
        <f>IF([3]Entry!$D$885="","",[3]Entry!$D$885)</f>
        <v/>
      </c>
      <c r="AG882">
        <f>IF([3]Entry!$E$885="","",[3]Entry!$E$885)</f>
        <v/>
      </c>
      <c r="AH882">
        <f>IF([3]Entry!$G$885="","",[3]Entry!$G$885)</f>
        <v/>
      </c>
      <c r="AI882">
        <f>IF([3]Entry!$K$885="","",[3]Entry!$K$885)</f>
        <v/>
      </c>
      <c r="AJ882">
        <f>IF([3]Entry!$L$885="","",[3]Entry!$L$885)</f>
        <v/>
      </c>
      <c r="AK882">
        <f>IF([3]Entry!$M$885="","",[3]Entry!$M$885)</f>
        <v/>
      </c>
      <c r="AL882">
        <f>IF([3]Entry!$N$885="","",[3]Entry!$N$885)</f>
        <v/>
      </c>
      <c r="AM882">
        <f>IF([3]Entry!$R$885="","",[3]Entry!$R$885)</f>
        <v/>
      </c>
    </row>
    <row r="883">
      <c r="T883">
        <f>IF([2]Baskol!$B$886="","",[2]Baskol!$B$886)</f>
        <v/>
      </c>
      <c r="U883">
        <f>IF([2]Baskol!$C$886="","",[2]Baskol!$C$886)</f>
        <v/>
      </c>
      <c r="V883">
        <f>IF([2]Baskol!$D$886="","",[2]Baskol!$D$886)</f>
        <v/>
      </c>
      <c r="W883">
        <f>IF([2]Baskol!$E$886="","",[2]Baskol!$E$886)</f>
        <v/>
      </c>
      <c r="X883">
        <f>IF([2]Baskol!$G$886="","",[2]Baskol!$G$886)</f>
        <v/>
      </c>
      <c r="Y883">
        <f>IF([2]Baskol!$I$886="","",[2]Baskol!$I$886)</f>
        <v/>
      </c>
      <c r="Z883">
        <f>IF([2]Baskol!$J$886="","",[2]Baskol!$J$886)</f>
        <v/>
      </c>
      <c r="AA883">
        <f>IF([2]Baskol!$K$886="","",[2]Baskol!$K$886)</f>
        <v/>
      </c>
      <c r="AB883">
        <f>IF([2]Baskol!$L$886="","",[2]Baskol!$L$886)</f>
        <v/>
      </c>
      <c r="AC883">
        <f>IF([2]Baskol!$N$886="","",[2]Baskol!$N$886)</f>
        <v/>
      </c>
      <c r="AD883">
        <f>IF([2]Baskol!$O$886="","",[2]Baskol!$O$886)</f>
        <v/>
      </c>
      <c r="AE883">
        <f>IF([3]Entry!$C$886="","",[3]Entry!$C$886)</f>
        <v/>
      </c>
      <c r="AF883">
        <f>IF([3]Entry!$D$886="","",[3]Entry!$D$886)</f>
        <v/>
      </c>
      <c r="AG883">
        <f>IF([3]Entry!$E$886="","",[3]Entry!$E$886)</f>
        <v/>
      </c>
      <c r="AH883">
        <f>IF([3]Entry!$G$886="","",[3]Entry!$G$886)</f>
        <v/>
      </c>
      <c r="AI883">
        <f>IF([3]Entry!$K$886="","",[3]Entry!$K$886)</f>
        <v/>
      </c>
      <c r="AJ883">
        <f>IF([3]Entry!$L$886="","",[3]Entry!$L$886)</f>
        <v/>
      </c>
      <c r="AK883">
        <f>IF([3]Entry!$M$886="","",[3]Entry!$M$886)</f>
        <v/>
      </c>
      <c r="AL883">
        <f>IF([3]Entry!$N$886="","",[3]Entry!$N$886)</f>
        <v/>
      </c>
      <c r="AM883">
        <f>IF([3]Entry!$R$886="","",[3]Entry!$R$886)</f>
        <v/>
      </c>
    </row>
    <row r="884">
      <c r="T884">
        <f>IF([2]Baskol!$B$887="","",[2]Baskol!$B$887)</f>
        <v/>
      </c>
      <c r="U884">
        <f>IF([2]Baskol!$C$887="","",[2]Baskol!$C$887)</f>
        <v/>
      </c>
      <c r="V884">
        <f>IF([2]Baskol!$D$887="","",[2]Baskol!$D$887)</f>
        <v/>
      </c>
      <c r="W884">
        <f>IF([2]Baskol!$E$887="","",[2]Baskol!$E$887)</f>
        <v/>
      </c>
      <c r="X884">
        <f>IF([2]Baskol!$G$887="","",[2]Baskol!$G$887)</f>
        <v/>
      </c>
      <c r="Y884">
        <f>IF([2]Baskol!$I$887="","",[2]Baskol!$I$887)</f>
        <v/>
      </c>
      <c r="Z884">
        <f>IF([2]Baskol!$J$887="","",[2]Baskol!$J$887)</f>
        <v/>
      </c>
      <c r="AA884">
        <f>IF([2]Baskol!$K$887="","",[2]Baskol!$K$887)</f>
        <v/>
      </c>
      <c r="AB884">
        <f>IF([2]Baskol!$L$887="","",[2]Baskol!$L$887)</f>
        <v/>
      </c>
      <c r="AC884">
        <f>IF([2]Baskol!$N$887="","",[2]Baskol!$N$887)</f>
        <v/>
      </c>
      <c r="AD884">
        <f>IF([2]Baskol!$O$887="","",[2]Baskol!$O$887)</f>
        <v/>
      </c>
      <c r="AE884">
        <f>IF([3]Entry!$C$887="","",[3]Entry!$C$887)</f>
        <v/>
      </c>
      <c r="AF884">
        <f>IF([3]Entry!$D$887="","",[3]Entry!$D$887)</f>
        <v/>
      </c>
      <c r="AG884">
        <f>IF([3]Entry!$E$887="","",[3]Entry!$E$887)</f>
        <v/>
      </c>
      <c r="AH884">
        <f>IF([3]Entry!$G$887="","",[3]Entry!$G$887)</f>
        <v/>
      </c>
      <c r="AI884">
        <f>IF([3]Entry!$K$887="","",[3]Entry!$K$887)</f>
        <v/>
      </c>
      <c r="AJ884">
        <f>IF([3]Entry!$L$887="","",[3]Entry!$L$887)</f>
        <v/>
      </c>
      <c r="AK884">
        <f>IF([3]Entry!$M$887="","",[3]Entry!$M$887)</f>
        <v/>
      </c>
      <c r="AL884">
        <f>IF([3]Entry!$N$887="","",[3]Entry!$N$887)</f>
        <v/>
      </c>
      <c r="AM884">
        <f>IF([3]Entry!$R$887="","",[3]Entry!$R$887)</f>
        <v/>
      </c>
    </row>
    <row r="885">
      <c r="T885">
        <f>IF([2]Baskol!$B$888="","",[2]Baskol!$B$888)</f>
        <v/>
      </c>
      <c r="U885">
        <f>IF([2]Baskol!$C$888="","",[2]Baskol!$C$888)</f>
        <v/>
      </c>
      <c r="V885">
        <f>IF([2]Baskol!$D$888="","",[2]Baskol!$D$888)</f>
        <v/>
      </c>
      <c r="W885">
        <f>IF([2]Baskol!$E$888="","",[2]Baskol!$E$888)</f>
        <v/>
      </c>
      <c r="X885">
        <f>IF([2]Baskol!$G$888="","",[2]Baskol!$G$888)</f>
        <v/>
      </c>
      <c r="Y885">
        <f>IF([2]Baskol!$I$888="","",[2]Baskol!$I$888)</f>
        <v/>
      </c>
      <c r="Z885">
        <f>IF([2]Baskol!$J$888="","",[2]Baskol!$J$888)</f>
        <v/>
      </c>
      <c r="AA885">
        <f>IF([2]Baskol!$K$888="","",[2]Baskol!$K$888)</f>
        <v/>
      </c>
      <c r="AB885">
        <f>IF([2]Baskol!$L$888="","",[2]Baskol!$L$888)</f>
        <v/>
      </c>
      <c r="AC885">
        <f>IF([2]Baskol!$N$888="","",[2]Baskol!$N$888)</f>
        <v/>
      </c>
      <c r="AD885">
        <f>IF([2]Baskol!$O$888="","",[2]Baskol!$O$888)</f>
        <v/>
      </c>
      <c r="AE885">
        <f>IF([3]Entry!$C$888="","",[3]Entry!$C$888)</f>
        <v/>
      </c>
      <c r="AF885">
        <f>IF([3]Entry!$D$888="","",[3]Entry!$D$888)</f>
        <v/>
      </c>
      <c r="AG885">
        <f>IF([3]Entry!$E$888="","",[3]Entry!$E$888)</f>
        <v/>
      </c>
      <c r="AH885">
        <f>IF([3]Entry!$G$888="","",[3]Entry!$G$888)</f>
        <v/>
      </c>
      <c r="AI885">
        <f>IF([3]Entry!$K$888="","",[3]Entry!$K$888)</f>
        <v/>
      </c>
      <c r="AJ885">
        <f>IF([3]Entry!$L$888="","",[3]Entry!$L$888)</f>
        <v/>
      </c>
      <c r="AK885">
        <f>IF([3]Entry!$M$888="","",[3]Entry!$M$888)</f>
        <v/>
      </c>
      <c r="AL885">
        <f>IF([3]Entry!$N$888="","",[3]Entry!$N$888)</f>
        <v/>
      </c>
      <c r="AM885">
        <f>IF([3]Entry!$R$888="","",[3]Entry!$R$888)</f>
        <v/>
      </c>
    </row>
    <row r="886">
      <c r="T886">
        <f>IF([2]Baskol!$B$889="","",[2]Baskol!$B$889)</f>
        <v/>
      </c>
      <c r="U886">
        <f>IF([2]Baskol!$C$889="","",[2]Baskol!$C$889)</f>
        <v/>
      </c>
      <c r="V886">
        <f>IF([2]Baskol!$D$889="","",[2]Baskol!$D$889)</f>
        <v/>
      </c>
      <c r="W886">
        <f>IF([2]Baskol!$E$889="","",[2]Baskol!$E$889)</f>
        <v/>
      </c>
      <c r="X886">
        <f>IF([2]Baskol!$G$889="","",[2]Baskol!$G$889)</f>
        <v/>
      </c>
      <c r="Y886">
        <f>IF([2]Baskol!$I$889="","",[2]Baskol!$I$889)</f>
        <v/>
      </c>
      <c r="Z886">
        <f>IF([2]Baskol!$J$889="","",[2]Baskol!$J$889)</f>
        <v/>
      </c>
      <c r="AA886">
        <f>IF([2]Baskol!$K$889="","",[2]Baskol!$K$889)</f>
        <v/>
      </c>
      <c r="AB886">
        <f>IF([2]Baskol!$L$889="","",[2]Baskol!$L$889)</f>
        <v/>
      </c>
      <c r="AC886">
        <f>IF([2]Baskol!$N$889="","",[2]Baskol!$N$889)</f>
        <v/>
      </c>
      <c r="AD886">
        <f>IF([2]Baskol!$O$889="","",[2]Baskol!$O$889)</f>
        <v/>
      </c>
      <c r="AE886">
        <f>IF([3]Entry!$C$889="","",[3]Entry!$C$889)</f>
        <v/>
      </c>
      <c r="AF886">
        <f>IF([3]Entry!$D$889="","",[3]Entry!$D$889)</f>
        <v/>
      </c>
      <c r="AG886">
        <f>IF([3]Entry!$E$889="","",[3]Entry!$E$889)</f>
        <v/>
      </c>
      <c r="AH886">
        <f>IF([3]Entry!$G$889="","",[3]Entry!$G$889)</f>
        <v/>
      </c>
      <c r="AI886">
        <f>IF([3]Entry!$K$889="","",[3]Entry!$K$889)</f>
        <v/>
      </c>
      <c r="AJ886">
        <f>IF([3]Entry!$L$889="","",[3]Entry!$L$889)</f>
        <v/>
      </c>
      <c r="AK886">
        <f>IF([3]Entry!$M$889="","",[3]Entry!$M$889)</f>
        <v/>
      </c>
      <c r="AL886">
        <f>IF([3]Entry!$N$889="","",[3]Entry!$N$889)</f>
        <v/>
      </c>
      <c r="AM886">
        <f>IF([3]Entry!$R$889="","",[3]Entry!$R$889)</f>
        <v/>
      </c>
    </row>
    <row r="887">
      <c r="T887">
        <f>IF([2]Baskol!$B$890="","",[2]Baskol!$B$890)</f>
        <v/>
      </c>
      <c r="U887">
        <f>IF([2]Baskol!$C$890="","",[2]Baskol!$C$890)</f>
        <v/>
      </c>
      <c r="V887">
        <f>IF([2]Baskol!$D$890="","",[2]Baskol!$D$890)</f>
        <v/>
      </c>
      <c r="W887">
        <f>IF([2]Baskol!$E$890="","",[2]Baskol!$E$890)</f>
        <v/>
      </c>
      <c r="X887">
        <f>IF([2]Baskol!$G$890="","",[2]Baskol!$G$890)</f>
        <v/>
      </c>
      <c r="Y887">
        <f>IF([2]Baskol!$I$890="","",[2]Baskol!$I$890)</f>
        <v/>
      </c>
      <c r="Z887">
        <f>IF([2]Baskol!$J$890="","",[2]Baskol!$J$890)</f>
        <v/>
      </c>
      <c r="AA887">
        <f>IF([2]Baskol!$K$890="","",[2]Baskol!$K$890)</f>
        <v/>
      </c>
      <c r="AB887">
        <f>IF([2]Baskol!$L$890="","",[2]Baskol!$L$890)</f>
        <v/>
      </c>
      <c r="AC887">
        <f>IF([2]Baskol!$N$890="","",[2]Baskol!$N$890)</f>
        <v/>
      </c>
      <c r="AD887">
        <f>IF([2]Baskol!$O$890="","",[2]Baskol!$O$890)</f>
        <v/>
      </c>
      <c r="AE887">
        <f>IF([3]Entry!$C$890="","",[3]Entry!$C$890)</f>
        <v/>
      </c>
      <c r="AF887">
        <f>IF([3]Entry!$D$890="","",[3]Entry!$D$890)</f>
        <v/>
      </c>
      <c r="AG887">
        <f>IF([3]Entry!$E$890="","",[3]Entry!$E$890)</f>
        <v/>
      </c>
      <c r="AH887">
        <f>IF([3]Entry!$G$890="","",[3]Entry!$G$890)</f>
        <v/>
      </c>
      <c r="AI887">
        <f>IF([3]Entry!$K$890="","",[3]Entry!$K$890)</f>
        <v/>
      </c>
      <c r="AJ887">
        <f>IF([3]Entry!$L$890="","",[3]Entry!$L$890)</f>
        <v/>
      </c>
      <c r="AK887">
        <f>IF([3]Entry!$M$890="","",[3]Entry!$M$890)</f>
        <v/>
      </c>
      <c r="AL887">
        <f>IF([3]Entry!$N$890="","",[3]Entry!$N$890)</f>
        <v/>
      </c>
      <c r="AM887">
        <f>IF([3]Entry!$R$890="","",[3]Entry!$R$890)</f>
        <v/>
      </c>
    </row>
    <row r="888">
      <c r="T888">
        <f>IF([2]Baskol!$B$891="","",[2]Baskol!$B$891)</f>
        <v/>
      </c>
      <c r="U888">
        <f>IF([2]Baskol!$C$891="","",[2]Baskol!$C$891)</f>
        <v/>
      </c>
      <c r="V888">
        <f>IF([2]Baskol!$D$891="","",[2]Baskol!$D$891)</f>
        <v/>
      </c>
      <c r="W888">
        <f>IF([2]Baskol!$E$891="","",[2]Baskol!$E$891)</f>
        <v/>
      </c>
      <c r="X888">
        <f>IF([2]Baskol!$G$891="","",[2]Baskol!$G$891)</f>
        <v/>
      </c>
      <c r="Y888">
        <f>IF([2]Baskol!$I$891="","",[2]Baskol!$I$891)</f>
        <v/>
      </c>
      <c r="Z888">
        <f>IF([2]Baskol!$J$891="","",[2]Baskol!$J$891)</f>
        <v/>
      </c>
      <c r="AA888">
        <f>IF([2]Baskol!$K$891="","",[2]Baskol!$K$891)</f>
        <v/>
      </c>
      <c r="AB888">
        <f>IF([2]Baskol!$L$891="","",[2]Baskol!$L$891)</f>
        <v/>
      </c>
      <c r="AC888">
        <f>IF([2]Baskol!$N$891="","",[2]Baskol!$N$891)</f>
        <v/>
      </c>
      <c r="AD888">
        <f>IF([2]Baskol!$O$891="","",[2]Baskol!$O$891)</f>
        <v/>
      </c>
      <c r="AE888">
        <f>IF([3]Entry!$C$891="","",[3]Entry!$C$891)</f>
        <v/>
      </c>
      <c r="AF888">
        <f>IF([3]Entry!$D$891="","",[3]Entry!$D$891)</f>
        <v/>
      </c>
      <c r="AG888">
        <f>IF([3]Entry!$E$891="","",[3]Entry!$E$891)</f>
        <v/>
      </c>
      <c r="AH888">
        <f>IF([3]Entry!$G$891="","",[3]Entry!$G$891)</f>
        <v/>
      </c>
      <c r="AI888">
        <f>IF([3]Entry!$K$891="","",[3]Entry!$K$891)</f>
        <v/>
      </c>
      <c r="AJ888">
        <f>IF([3]Entry!$L$891="","",[3]Entry!$L$891)</f>
        <v/>
      </c>
      <c r="AK888">
        <f>IF([3]Entry!$M$891="","",[3]Entry!$M$891)</f>
        <v/>
      </c>
      <c r="AL888">
        <f>IF([3]Entry!$N$891="","",[3]Entry!$N$891)</f>
        <v/>
      </c>
      <c r="AM888">
        <f>IF([3]Entry!$R$891="","",[3]Entry!$R$891)</f>
        <v/>
      </c>
    </row>
    <row r="889">
      <c r="T889">
        <f>IF([2]Baskol!$B$892="","",[2]Baskol!$B$892)</f>
        <v/>
      </c>
      <c r="U889">
        <f>IF([2]Baskol!$C$892="","",[2]Baskol!$C$892)</f>
        <v/>
      </c>
      <c r="V889">
        <f>IF([2]Baskol!$D$892="","",[2]Baskol!$D$892)</f>
        <v/>
      </c>
      <c r="W889">
        <f>IF([2]Baskol!$E$892="","",[2]Baskol!$E$892)</f>
        <v/>
      </c>
      <c r="X889">
        <f>IF([2]Baskol!$G$892="","",[2]Baskol!$G$892)</f>
        <v/>
      </c>
      <c r="Y889">
        <f>IF([2]Baskol!$I$892="","",[2]Baskol!$I$892)</f>
        <v/>
      </c>
      <c r="Z889">
        <f>IF([2]Baskol!$J$892="","",[2]Baskol!$J$892)</f>
        <v/>
      </c>
      <c r="AA889">
        <f>IF([2]Baskol!$K$892="","",[2]Baskol!$K$892)</f>
        <v/>
      </c>
      <c r="AB889">
        <f>IF([2]Baskol!$L$892="","",[2]Baskol!$L$892)</f>
        <v/>
      </c>
      <c r="AC889">
        <f>IF([2]Baskol!$N$892="","",[2]Baskol!$N$892)</f>
        <v/>
      </c>
      <c r="AD889">
        <f>IF([2]Baskol!$O$892="","",[2]Baskol!$O$892)</f>
        <v/>
      </c>
      <c r="AE889">
        <f>IF([3]Entry!$C$892="","",[3]Entry!$C$892)</f>
        <v/>
      </c>
      <c r="AF889">
        <f>IF([3]Entry!$D$892="","",[3]Entry!$D$892)</f>
        <v/>
      </c>
      <c r="AG889">
        <f>IF([3]Entry!$E$892="","",[3]Entry!$E$892)</f>
        <v/>
      </c>
      <c r="AH889">
        <f>IF([3]Entry!$G$892="","",[3]Entry!$G$892)</f>
        <v/>
      </c>
      <c r="AI889">
        <f>IF([3]Entry!$K$892="","",[3]Entry!$K$892)</f>
        <v/>
      </c>
      <c r="AJ889">
        <f>IF([3]Entry!$L$892="","",[3]Entry!$L$892)</f>
        <v/>
      </c>
      <c r="AK889">
        <f>IF([3]Entry!$M$892="","",[3]Entry!$M$892)</f>
        <v/>
      </c>
      <c r="AL889">
        <f>IF([3]Entry!$N$892="","",[3]Entry!$N$892)</f>
        <v/>
      </c>
      <c r="AM889">
        <f>IF([3]Entry!$R$892="","",[3]Entry!$R$892)</f>
        <v/>
      </c>
    </row>
    <row r="890">
      <c r="T890">
        <f>IF([2]Baskol!$B$893="","",[2]Baskol!$B$893)</f>
        <v/>
      </c>
      <c r="U890">
        <f>IF([2]Baskol!$C$893="","",[2]Baskol!$C$893)</f>
        <v/>
      </c>
      <c r="V890">
        <f>IF([2]Baskol!$D$893="","",[2]Baskol!$D$893)</f>
        <v/>
      </c>
      <c r="W890">
        <f>IF([2]Baskol!$E$893="","",[2]Baskol!$E$893)</f>
        <v/>
      </c>
      <c r="X890">
        <f>IF([2]Baskol!$G$893="","",[2]Baskol!$G$893)</f>
        <v/>
      </c>
      <c r="Y890">
        <f>IF([2]Baskol!$I$893="","",[2]Baskol!$I$893)</f>
        <v/>
      </c>
      <c r="Z890">
        <f>IF([2]Baskol!$J$893="","",[2]Baskol!$J$893)</f>
        <v/>
      </c>
      <c r="AA890">
        <f>IF([2]Baskol!$K$893="","",[2]Baskol!$K$893)</f>
        <v/>
      </c>
      <c r="AB890">
        <f>IF([2]Baskol!$L$893="","",[2]Baskol!$L$893)</f>
        <v/>
      </c>
      <c r="AC890">
        <f>IF([2]Baskol!$N$893="","",[2]Baskol!$N$893)</f>
        <v/>
      </c>
      <c r="AD890">
        <f>IF([2]Baskol!$O$893="","",[2]Baskol!$O$893)</f>
        <v/>
      </c>
      <c r="AE890">
        <f>IF([3]Entry!$C$893="","",[3]Entry!$C$893)</f>
        <v/>
      </c>
      <c r="AF890">
        <f>IF([3]Entry!$D$893="","",[3]Entry!$D$893)</f>
        <v/>
      </c>
      <c r="AG890">
        <f>IF([3]Entry!$E$893="","",[3]Entry!$E$893)</f>
        <v/>
      </c>
      <c r="AH890">
        <f>IF([3]Entry!$G$893="","",[3]Entry!$G$893)</f>
        <v/>
      </c>
      <c r="AI890">
        <f>IF([3]Entry!$K$893="","",[3]Entry!$K$893)</f>
        <v/>
      </c>
      <c r="AJ890">
        <f>IF([3]Entry!$L$893="","",[3]Entry!$L$893)</f>
        <v/>
      </c>
      <c r="AK890">
        <f>IF([3]Entry!$M$893="","",[3]Entry!$M$893)</f>
        <v/>
      </c>
      <c r="AL890">
        <f>IF([3]Entry!$N$893="","",[3]Entry!$N$893)</f>
        <v/>
      </c>
      <c r="AM890">
        <f>IF([3]Entry!$R$893="","",[3]Entry!$R$893)</f>
        <v/>
      </c>
    </row>
    <row r="891">
      <c r="T891">
        <f>IF([2]Baskol!$B$894="","",[2]Baskol!$B$894)</f>
        <v/>
      </c>
      <c r="U891">
        <f>IF([2]Baskol!$C$894="","",[2]Baskol!$C$894)</f>
        <v/>
      </c>
      <c r="V891">
        <f>IF([2]Baskol!$D$894="","",[2]Baskol!$D$894)</f>
        <v/>
      </c>
      <c r="W891">
        <f>IF([2]Baskol!$E$894="","",[2]Baskol!$E$894)</f>
        <v/>
      </c>
      <c r="X891">
        <f>IF([2]Baskol!$G$894="","",[2]Baskol!$G$894)</f>
        <v/>
      </c>
      <c r="Y891">
        <f>IF([2]Baskol!$I$894="","",[2]Baskol!$I$894)</f>
        <v/>
      </c>
      <c r="Z891">
        <f>IF([2]Baskol!$J$894="","",[2]Baskol!$J$894)</f>
        <v/>
      </c>
      <c r="AA891">
        <f>IF([2]Baskol!$K$894="","",[2]Baskol!$K$894)</f>
        <v/>
      </c>
      <c r="AB891">
        <f>IF([2]Baskol!$L$894="","",[2]Baskol!$L$894)</f>
        <v/>
      </c>
      <c r="AC891">
        <f>IF([2]Baskol!$N$894="","",[2]Baskol!$N$894)</f>
        <v/>
      </c>
      <c r="AD891">
        <f>IF([2]Baskol!$O$894="","",[2]Baskol!$O$894)</f>
        <v/>
      </c>
      <c r="AE891">
        <f>IF([3]Entry!$C$894="","",[3]Entry!$C$894)</f>
        <v/>
      </c>
      <c r="AF891">
        <f>IF([3]Entry!$D$894="","",[3]Entry!$D$894)</f>
        <v/>
      </c>
      <c r="AG891">
        <f>IF([3]Entry!$E$894="","",[3]Entry!$E$894)</f>
        <v/>
      </c>
      <c r="AH891">
        <f>IF([3]Entry!$G$894="","",[3]Entry!$G$894)</f>
        <v/>
      </c>
      <c r="AI891">
        <f>IF([3]Entry!$K$894="","",[3]Entry!$K$894)</f>
        <v/>
      </c>
      <c r="AJ891">
        <f>IF([3]Entry!$L$894="","",[3]Entry!$L$894)</f>
        <v/>
      </c>
      <c r="AK891">
        <f>IF([3]Entry!$M$894="","",[3]Entry!$M$894)</f>
        <v/>
      </c>
      <c r="AL891">
        <f>IF([3]Entry!$N$894="","",[3]Entry!$N$894)</f>
        <v/>
      </c>
      <c r="AM891">
        <f>IF([3]Entry!$R$894="","",[3]Entry!$R$894)</f>
        <v/>
      </c>
    </row>
    <row r="892">
      <c r="T892">
        <f>IF([2]Baskol!$B$895="","",[2]Baskol!$B$895)</f>
        <v/>
      </c>
      <c r="U892">
        <f>IF([2]Baskol!$C$895="","",[2]Baskol!$C$895)</f>
        <v/>
      </c>
      <c r="V892">
        <f>IF([2]Baskol!$D$895="","",[2]Baskol!$D$895)</f>
        <v/>
      </c>
      <c r="W892">
        <f>IF([2]Baskol!$E$895="","",[2]Baskol!$E$895)</f>
        <v/>
      </c>
      <c r="X892">
        <f>IF([2]Baskol!$G$895="","",[2]Baskol!$G$895)</f>
        <v/>
      </c>
      <c r="Y892">
        <f>IF([2]Baskol!$I$895="","",[2]Baskol!$I$895)</f>
        <v/>
      </c>
      <c r="Z892">
        <f>IF([2]Baskol!$J$895="","",[2]Baskol!$J$895)</f>
        <v/>
      </c>
      <c r="AA892">
        <f>IF([2]Baskol!$K$895="","",[2]Baskol!$K$895)</f>
        <v/>
      </c>
      <c r="AB892">
        <f>IF([2]Baskol!$L$895="","",[2]Baskol!$L$895)</f>
        <v/>
      </c>
      <c r="AC892">
        <f>IF([2]Baskol!$N$895="","",[2]Baskol!$N$895)</f>
        <v/>
      </c>
      <c r="AD892">
        <f>IF([2]Baskol!$O$895="","",[2]Baskol!$O$895)</f>
        <v/>
      </c>
      <c r="AE892">
        <f>IF([3]Entry!$C$895="","",[3]Entry!$C$895)</f>
        <v/>
      </c>
      <c r="AF892">
        <f>IF([3]Entry!$D$895="","",[3]Entry!$D$895)</f>
        <v/>
      </c>
      <c r="AG892">
        <f>IF([3]Entry!$E$895="","",[3]Entry!$E$895)</f>
        <v/>
      </c>
      <c r="AH892">
        <f>IF([3]Entry!$G$895="","",[3]Entry!$G$895)</f>
        <v/>
      </c>
      <c r="AI892">
        <f>IF([3]Entry!$K$895="","",[3]Entry!$K$895)</f>
        <v/>
      </c>
      <c r="AJ892">
        <f>IF([3]Entry!$L$895="","",[3]Entry!$L$895)</f>
        <v/>
      </c>
      <c r="AK892">
        <f>IF([3]Entry!$M$895="","",[3]Entry!$M$895)</f>
        <v/>
      </c>
      <c r="AL892">
        <f>IF([3]Entry!$N$895="","",[3]Entry!$N$895)</f>
        <v/>
      </c>
      <c r="AM892">
        <f>IF([3]Entry!$R$895="","",[3]Entry!$R$895)</f>
        <v/>
      </c>
    </row>
    <row r="893">
      <c r="T893">
        <f>IF([2]Baskol!$B$896="","",[2]Baskol!$B$896)</f>
        <v/>
      </c>
      <c r="U893">
        <f>IF([2]Baskol!$C$896="","",[2]Baskol!$C$896)</f>
        <v/>
      </c>
      <c r="V893">
        <f>IF([2]Baskol!$D$896="","",[2]Baskol!$D$896)</f>
        <v/>
      </c>
      <c r="W893">
        <f>IF([2]Baskol!$E$896="","",[2]Baskol!$E$896)</f>
        <v/>
      </c>
      <c r="X893">
        <f>IF([2]Baskol!$G$896="","",[2]Baskol!$G$896)</f>
        <v/>
      </c>
      <c r="Y893">
        <f>IF([2]Baskol!$I$896="","",[2]Baskol!$I$896)</f>
        <v/>
      </c>
      <c r="Z893">
        <f>IF([2]Baskol!$J$896="","",[2]Baskol!$J$896)</f>
        <v/>
      </c>
      <c r="AA893">
        <f>IF([2]Baskol!$K$896="","",[2]Baskol!$K$896)</f>
        <v/>
      </c>
      <c r="AB893">
        <f>IF([2]Baskol!$L$896="","",[2]Baskol!$L$896)</f>
        <v/>
      </c>
      <c r="AC893">
        <f>IF([2]Baskol!$N$896="","",[2]Baskol!$N$896)</f>
        <v/>
      </c>
      <c r="AD893">
        <f>IF([2]Baskol!$O$896="","",[2]Baskol!$O$896)</f>
        <v/>
      </c>
      <c r="AE893">
        <f>IF([3]Entry!$C$896="","",[3]Entry!$C$896)</f>
        <v/>
      </c>
      <c r="AF893">
        <f>IF([3]Entry!$D$896="","",[3]Entry!$D$896)</f>
        <v/>
      </c>
      <c r="AG893">
        <f>IF([3]Entry!$E$896="","",[3]Entry!$E$896)</f>
        <v/>
      </c>
      <c r="AH893">
        <f>IF([3]Entry!$G$896="","",[3]Entry!$G$896)</f>
        <v/>
      </c>
      <c r="AI893">
        <f>IF([3]Entry!$K$896="","",[3]Entry!$K$896)</f>
        <v/>
      </c>
      <c r="AJ893">
        <f>IF([3]Entry!$L$896="","",[3]Entry!$L$896)</f>
        <v/>
      </c>
      <c r="AK893">
        <f>IF([3]Entry!$M$896="","",[3]Entry!$M$896)</f>
        <v/>
      </c>
      <c r="AL893">
        <f>IF([3]Entry!$N$896="","",[3]Entry!$N$896)</f>
        <v/>
      </c>
      <c r="AM893">
        <f>IF([3]Entry!$R$896="","",[3]Entry!$R$896)</f>
        <v/>
      </c>
    </row>
    <row r="894">
      <c r="T894">
        <f>IF([2]Baskol!$B$897="","",[2]Baskol!$B$897)</f>
        <v/>
      </c>
      <c r="U894">
        <f>IF([2]Baskol!$C$897="","",[2]Baskol!$C$897)</f>
        <v/>
      </c>
      <c r="V894">
        <f>IF([2]Baskol!$D$897="","",[2]Baskol!$D$897)</f>
        <v/>
      </c>
      <c r="W894">
        <f>IF([2]Baskol!$E$897="","",[2]Baskol!$E$897)</f>
        <v/>
      </c>
      <c r="X894">
        <f>IF([2]Baskol!$G$897="","",[2]Baskol!$G$897)</f>
        <v/>
      </c>
      <c r="Y894">
        <f>IF([2]Baskol!$I$897="","",[2]Baskol!$I$897)</f>
        <v/>
      </c>
      <c r="Z894">
        <f>IF([2]Baskol!$J$897="","",[2]Baskol!$J$897)</f>
        <v/>
      </c>
      <c r="AA894">
        <f>IF([2]Baskol!$K$897="","",[2]Baskol!$K$897)</f>
        <v/>
      </c>
      <c r="AB894">
        <f>IF([2]Baskol!$L$897="","",[2]Baskol!$L$897)</f>
        <v/>
      </c>
      <c r="AC894">
        <f>IF([2]Baskol!$N$897="","",[2]Baskol!$N$897)</f>
        <v/>
      </c>
      <c r="AD894">
        <f>IF([2]Baskol!$O$897="","",[2]Baskol!$O$897)</f>
        <v/>
      </c>
      <c r="AE894">
        <f>IF([3]Entry!$C$897="","",[3]Entry!$C$897)</f>
        <v/>
      </c>
      <c r="AF894">
        <f>IF([3]Entry!$D$897="","",[3]Entry!$D$897)</f>
        <v/>
      </c>
      <c r="AG894">
        <f>IF([3]Entry!$E$897="","",[3]Entry!$E$897)</f>
        <v/>
      </c>
      <c r="AH894">
        <f>IF([3]Entry!$G$897="","",[3]Entry!$G$897)</f>
        <v/>
      </c>
      <c r="AI894">
        <f>IF([3]Entry!$K$897="","",[3]Entry!$K$897)</f>
        <v/>
      </c>
      <c r="AJ894">
        <f>IF([3]Entry!$L$897="","",[3]Entry!$L$897)</f>
        <v/>
      </c>
      <c r="AK894">
        <f>IF([3]Entry!$M$897="","",[3]Entry!$M$897)</f>
        <v/>
      </c>
      <c r="AL894">
        <f>IF([3]Entry!$N$897="","",[3]Entry!$N$897)</f>
        <v/>
      </c>
      <c r="AM894">
        <f>IF([3]Entry!$R$897="","",[3]Entry!$R$897)</f>
        <v/>
      </c>
    </row>
    <row r="895">
      <c r="T895">
        <f>IF([2]Baskol!$B$898="","",[2]Baskol!$B$898)</f>
        <v/>
      </c>
      <c r="U895">
        <f>IF([2]Baskol!$C$898="","",[2]Baskol!$C$898)</f>
        <v/>
      </c>
      <c r="V895">
        <f>IF([2]Baskol!$D$898="","",[2]Baskol!$D$898)</f>
        <v/>
      </c>
      <c r="W895">
        <f>IF([2]Baskol!$E$898="","",[2]Baskol!$E$898)</f>
        <v/>
      </c>
      <c r="X895">
        <f>IF([2]Baskol!$G$898="","",[2]Baskol!$G$898)</f>
        <v/>
      </c>
      <c r="Y895">
        <f>IF([2]Baskol!$I$898="","",[2]Baskol!$I$898)</f>
        <v/>
      </c>
      <c r="Z895">
        <f>IF([2]Baskol!$J$898="","",[2]Baskol!$J$898)</f>
        <v/>
      </c>
      <c r="AA895">
        <f>IF([2]Baskol!$K$898="","",[2]Baskol!$K$898)</f>
        <v/>
      </c>
      <c r="AB895">
        <f>IF([2]Baskol!$L$898="","",[2]Baskol!$L$898)</f>
        <v/>
      </c>
      <c r="AC895">
        <f>IF([2]Baskol!$N$898="","",[2]Baskol!$N$898)</f>
        <v/>
      </c>
      <c r="AD895">
        <f>IF([2]Baskol!$O$898="","",[2]Baskol!$O$898)</f>
        <v/>
      </c>
      <c r="AE895">
        <f>IF([3]Entry!$C$898="","",[3]Entry!$C$898)</f>
        <v/>
      </c>
      <c r="AF895">
        <f>IF([3]Entry!$D$898="","",[3]Entry!$D$898)</f>
        <v/>
      </c>
      <c r="AG895">
        <f>IF([3]Entry!$E$898="","",[3]Entry!$E$898)</f>
        <v/>
      </c>
      <c r="AH895">
        <f>IF([3]Entry!$G$898="","",[3]Entry!$G$898)</f>
        <v/>
      </c>
      <c r="AI895">
        <f>IF([3]Entry!$K$898="","",[3]Entry!$K$898)</f>
        <v/>
      </c>
      <c r="AJ895">
        <f>IF([3]Entry!$L$898="","",[3]Entry!$L$898)</f>
        <v/>
      </c>
      <c r="AK895">
        <f>IF([3]Entry!$M$898="","",[3]Entry!$M$898)</f>
        <v/>
      </c>
      <c r="AL895">
        <f>IF([3]Entry!$N$898="","",[3]Entry!$N$898)</f>
        <v/>
      </c>
      <c r="AM895">
        <f>IF([3]Entry!$R$898="","",[3]Entry!$R$898)</f>
        <v/>
      </c>
    </row>
    <row r="896">
      <c r="T896">
        <f>IF([2]Baskol!$B$899="","",[2]Baskol!$B$899)</f>
        <v/>
      </c>
      <c r="U896">
        <f>IF([2]Baskol!$C$899="","",[2]Baskol!$C$899)</f>
        <v/>
      </c>
      <c r="V896">
        <f>IF([2]Baskol!$D$899="","",[2]Baskol!$D$899)</f>
        <v/>
      </c>
      <c r="W896">
        <f>IF([2]Baskol!$E$899="","",[2]Baskol!$E$899)</f>
        <v/>
      </c>
      <c r="X896">
        <f>IF([2]Baskol!$G$899="","",[2]Baskol!$G$899)</f>
        <v/>
      </c>
      <c r="Y896">
        <f>IF([2]Baskol!$I$899="","",[2]Baskol!$I$899)</f>
        <v/>
      </c>
      <c r="Z896">
        <f>IF([2]Baskol!$J$899="","",[2]Baskol!$J$899)</f>
        <v/>
      </c>
      <c r="AA896">
        <f>IF([2]Baskol!$K$899="","",[2]Baskol!$K$899)</f>
        <v/>
      </c>
      <c r="AB896">
        <f>IF([2]Baskol!$L$899="","",[2]Baskol!$L$899)</f>
        <v/>
      </c>
      <c r="AC896">
        <f>IF([2]Baskol!$N$899="","",[2]Baskol!$N$899)</f>
        <v/>
      </c>
      <c r="AD896">
        <f>IF([2]Baskol!$O$899="","",[2]Baskol!$O$899)</f>
        <v/>
      </c>
      <c r="AE896">
        <f>IF([3]Entry!$C$899="","",[3]Entry!$C$899)</f>
        <v/>
      </c>
      <c r="AF896">
        <f>IF([3]Entry!$D$899="","",[3]Entry!$D$899)</f>
        <v/>
      </c>
      <c r="AG896">
        <f>IF([3]Entry!$E$899="","",[3]Entry!$E$899)</f>
        <v/>
      </c>
      <c r="AH896">
        <f>IF([3]Entry!$G$899="","",[3]Entry!$G$899)</f>
        <v/>
      </c>
      <c r="AI896">
        <f>IF([3]Entry!$K$899="","",[3]Entry!$K$899)</f>
        <v/>
      </c>
      <c r="AJ896">
        <f>IF([3]Entry!$L$899="","",[3]Entry!$L$899)</f>
        <v/>
      </c>
      <c r="AK896">
        <f>IF([3]Entry!$M$899="","",[3]Entry!$M$899)</f>
        <v/>
      </c>
      <c r="AL896">
        <f>IF([3]Entry!$N$899="","",[3]Entry!$N$899)</f>
        <v/>
      </c>
      <c r="AM896">
        <f>IF([3]Entry!$R$899="","",[3]Entry!$R$899)</f>
        <v/>
      </c>
    </row>
    <row r="897">
      <c r="T897">
        <f>IF([2]Baskol!$B$900="","",[2]Baskol!$B$900)</f>
        <v/>
      </c>
      <c r="U897">
        <f>IF([2]Baskol!$C$900="","",[2]Baskol!$C$900)</f>
        <v/>
      </c>
      <c r="V897">
        <f>IF([2]Baskol!$D$900="","",[2]Baskol!$D$900)</f>
        <v/>
      </c>
      <c r="W897">
        <f>IF([2]Baskol!$E$900="","",[2]Baskol!$E$900)</f>
        <v/>
      </c>
      <c r="X897">
        <f>IF([2]Baskol!$G$900="","",[2]Baskol!$G$900)</f>
        <v/>
      </c>
      <c r="Y897">
        <f>IF([2]Baskol!$I$900="","",[2]Baskol!$I$900)</f>
        <v/>
      </c>
      <c r="Z897">
        <f>IF([2]Baskol!$J$900="","",[2]Baskol!$J$900)</f>
        <v/>
      </c>
      <c r="AA897">
        <f>IF([2]Baskol!$K$900="","",[2]Baskol!$K$900)</f>
        <v/>
      </c>
      <c r="AB897">
        <f>IF([2]Baskol!$L$900="","",[2]Baskol!$L$900)</f>
        <v/>
      </c>
      <c r="AC897">
        <f>IF([2]Baskol!$N$900="","",[2]Baskol!$N$900)</f>
        <v/>
      </c>
      <c r="AD897">
        <f>IF([2]Baskol!$O$900="","",[2]Baskol!$O$900)</f>
        <v/>
      </c>
      <c r="AE897">
        <f>IF([3]Entry!$C$900="","",[3]Entry!$C$900)</f>
        <v/>
      </c>
      <c r="AF897">
        <f>IF([3]Entry!$D$900="","",[3]Entry!$D$900)</f>
        <v/>
      </c>
      <c r="AG897">
        <f>IF([3]Entry!$E$900="","",[3]Entry!$E$900)</f>
        <v/>
      </c>
      <c r="AH897">
        <f>IF([3]Entry!$G$900="","",[3]Entry!$G$900)</f>
        <v/>
      </c>
      <c r="AI897">
        <f>IF([3]Entry!$K$900="","",[3]Entry!$K$900)</f>
        <v/>
      </c>
      <c r="AJ897">
        <f>IF([3]Entry!$L$900="","",[3]Entry!$L$900)</f>
        <v/>
      </c>
      <c r="AK897">
        <f>IF([3]Entry!$M$900="","",[3]Entry!$M$900)</f>
        <v/>
      </c>
      <c r="AL897">
        <f>IF([3]Entry!$N$900="","",[3]Entry!$N$900)</f>
        <v/>
      </c>
      <c r="AM897">
        <f>IF([3]Entry!$R$900="","",[3]Entry!$R$900)</f>
        <v/>
      </c>
    </row>
    <row r="898">
      <c r="T898">
        <f>IF([2]Baskol!$B$901="","",[2]Baskol!$B$901)</f>
        <v/>
      </c>
      <c r="U898">
        <f>IF([2]Baskol!$C$901="","",[2]Baskol!$C$901)</f>
        <v/>
      </c>
      <c r="V898">
        <f>IF([2]Baskol!$D$901="","",[2]Baskol!$D$901)</f>
        <v/>
      </c>
      <c r="W898">
        <f>IF([2]Baskol!$E$901="","",[2]Baskol!$E$901)</f>
        <v/>
      </c>
      <c r="X898">
        <f>IF([2]Baskol!$G$901="","",[2]Baskol!$G$901)</f>
        <v/>
      </c>
      <c r="Y898">
        <f>IF([2]Baskol!$I$901="","",[2]Baskol!$I$901)</f>
        <v/>
      </c>
      <c r="Z898">
        <f>IF([2]Baskol!$J$901="","",[2]Baskol!$J$901)</f>
        <v/>
      </c>
      <c r="AA898">
        <f>IF([2]Baskol!$K$901="","",[2]Baskol!$K$901)</f>
        <v/>
      </c>
      <c r="AB898">
        <f>IF([2]Baskol!$L$901="","",[2]Baskol!$L$901)</f>
        <v/>
      </c>
      <c r="AC898">
        <f>IF([2]Baskol!$N$901="","",[2]Baskol!$N$901)</f>
        <v/>
      </c>
      <c r="AD898">
        <f>IF([2]Baskol!$O$901="","",[2]Baskol!$O$901)</f>
        <v/>
      </c>
      <c r="AE898">
        <f>IF([3]Entry!$C$901="","",[3]Entry!$C$901)</f>
        <v/>
      </c>
      <c r="AF898">
        <f>IF([3]Entry!$D$901="","",[3]Entry!$D$901)</f>
        <v/>
      </c>
      <c r="AG898">
        <f>IF([3]Entry!$E$901="","",[3]Entry!$E$901)</f>
        <v/>
      </c>
      <c r="AH898">
        <f>IF([3]Entry!$G$901="","",[3]Entry!$G$901)</f>
        <v/>
      </c>
      <c r="AI898">
        <f>IF([3]Entry!$K$901="","",[3]Entry!$K$901)</f>
        <v/>
      </c>
      <c r="AJ898">
        <f>IF([3]Entry!$L$901="","",[3]Entry!$L$901)</f>
        <v/>
      </c>
      <c r="AK898">
        <f>IF([3]Entry!$M$901="","",[3]Entry!$M$901)</f>
        <v/>
      </c>
      <c r="AL898">
        <f>IF([3]Entry!$N$901="","",[3]Entry!$N$901)</f>
        <v/>
      </c>
      <c r="AM898">
        <f>IF([3]Entry!$R$901="","",[3]Entry!$R$901)</f>
        <v/>
      </c>
    </row>
    <row r="899">
      <c r="T899">
        <f>IF([2]Baskol!$B$902="","",[2]Baskol!$B$902)</f>
        <v/>
      </c>
      <c r="U899">
        <f>IF([2]Baskol!$C$902="","",[2]Baskol!$C$902)</f>
        <v/>
      </c>
      <c r="V899">
        <f>IF([2]Baskol!$D$902="","",[2]Baskol!$D$902)</f>
        <v/>
      </c>
      <c r="W899">
        <f>IF([2]Baskol!$E$902="","",[2]Baskol!$E$902)</f>
        <v/>
      </c>
      <c r="X899">
        <f>IF([2]Baskol!$G$902="","",[2]Baskol!$G$902)</f>
        <v/>
      </c>
      <c r="Y899">
        <f>IF([2]Baskol!$I$902="","",[2]Baskol!$I$902)</f>
        <v/>
      </c>
      <c r="Z899">
        <f>IF([2]Baskol!$J$902="","",[2]Baskol!$J$902)</f>
        <v/>
      </c>
      <c r="AA899">
        <f>IF([2]Baskol!$K$902="","",[2]Baskol!$K$902)</f>
        <v/>
      </c>
      <c r="AB899">
        <f>IF([2]Baskol!$L$902="","",[2]Baskol!$L$902)</f>
        <v/>
      </c>
      <c r="AC899">
        <f>IF([2]Baskol!$N$902="","",[2]Baskol!$N$902)</f>
        <v/>
      </c>
      <c r="AD899">
        <f>IF([2]Baskol!$O$902="","",[2]Baskol!$O$902)</f>
        <v/>
      </c>
      <c r="AE899">
        <f>IF([3]Entry!$C$902="","",[3]Entry!$C$902)</f>
        <v/>
      </c>
      <c r="AF899">
        <f>IF([3]Entry!$D$902="","",[3]Entry!$D$902)</f>
        <v/>
      </c>
      <c r="AG899">
        <f>IF([3]Entry!$E$902="","",[3]Entry!$E$902)</f>
        <v/>
      </c>
      <c r="AH899">
        <f>IF([3]Entry!$G$902="","",[3]Entry!$G$902)</f>
        <v/>
      </c>
      <c r="AI899">
        <f>IF([3]Entry!$K$902="","",[3]Entry!$K$902)</f>
        <v/>
      </c>
      <c r="AJ899">
        <f>IF([3]Entry!$L$902="","",[3]Entry!$L$902)</f>
        <v/>
      </c>
      <c r="AK899">
        <f>IF([3]Entry!$M$902="","",[3]Entry!$M$902)</f>
        <v/>
      </c>
      <c r="AL899">
        <f>IF([3]Entry!$N$902="","",[3]Entry!$N$902)</f>
        <v/>
      </c>
      <c r="AM899">
        <f>IF([3]Entry!$R$902="","",[3]Entry!$R$902)</f>
        <v/>
      </c>
    </row>
    <row r="900">
      <c r="T900">
        <f>IF([2]Baskol!$B$903="","",[2]Baskol!$B$903)</f>
        <v/>
      </c>
      <c r="U900">
        <f>IF([2]Baskol!$C$903="","",[2]Baskol!$C$903)</f>
        <v/>
      </c>
      <c r="V900">
        <f>IF([2]Baskol!$D$903="","",[2]Baskol!$D$903)</f>
        <v/>
      </c>
      <c r="W900">
        <f>IF([2]Baskol!$E$903="","",[2]Baskol!$E$903)</f>
        <v/>
      </c>
      <c r="X900">
        <f>IF([2]Baskol!$G$903="","",[2]Baskol!$G$903)</f>
        <v/>
      </c>
      <c r="Y900">
        <f>IF([2]Baskol!$I$903="","",[2]Baskol!$I$903)</f>
        <v/>
      </c>
      <c r="Z900">
        <f>IF([2]Baskol!$J$903="","",[2]Baskol!$J$903)</f>
        <v/>
      </c>
      <c r="AA900">
        <f>IF([2]Baskol!$K$903="","",[2]Baskol!$K$903)</f>
        <v/>
      </c>
      <c r="AB900">
        <f>IF([2]Baskol!$L$903="","",[2]Baskol!$L$903)</f>
        <v/>
      </c>
      <c r="AC900">
        <f>IF([2]Baskol!$N$903="","",[2]Baskol!$N$903)</f>
        <v/>
      </c>
      <c r="AD900">
        <f>IF([2]Baskol!$O$903="","",[2]Baskol!$O$903)</f>
        <v/>
      </c>
      <c r="AE900">
        <f>IF([3]Entry!$C$903="","",[3]Entry!$C$903)</f>
        <v/>
      </c>
      <c r="AF900">
        <f>IF([3]Entry!$D$903="","",[3]Entry!$D$903)</f>
        <v/>
      </c>
      <c r="AG900">
        <f>IF([3]Entry!$E$903="","",[3]Entry!$E$903)</f>
        <v/>
      </c>
      <c r="AH900">
        <f>IF([3]Entry!$G$903="","",[3]Entry!$G$903)</f>
        <v/>
      </c>
      <c r="AI900">
        <f>IF([3]Entry!$K$903="","",[3]Entry!$K$903)</f>
        <v/>
      </c>
      <c r="AJ900">
        <f>IF([3]Entry!$L$903="","",[3]Entry!$L$903)</f>
        <v/>
      </c>
      <c r="AK900">
        <f>IF([3]Entry!$M$903="","",[3]Entry!$M$903)</f>
        <v/>
      </c>
      <c r="AL900">
        <f>IF([3]Entry!$N$903="","",[3]Entry!$N$903)</f>
        <v/>
      </c>
      <c r="AM900">
        <f>IF([3]Entry!$R$903="","",[3]Entry!$R$903)</f>
        <v/>
      </c>
    </row>
    <row r="901">
      <c r="T901">
        <f>IF([2]Baskol!$B$904="","",[2]Baskol!$B$904)</f>
        <v/>
      </c>
      <c r="U901">
        <f>IF([2]Baskol!$C$904="","",[2]Baskol!$C$904)</f>
        <v/>
      </c>
      <c r="V901">
        <f>IF([2]Baskol!$D$904="","",[2]Baskol!$D$904)</f>
        <v/>
      </c>
      <c r="W901">
        <f>IF([2]Baskol!$E$904="","",[2]Baskol!$E$904)</f>
        <v/>
      </c>
      <c r="X901">
        <f>IF([2]Baskol!$G$904="","",[2]Baskol!$G$904)</f>
        <v/>
      </c>
      <c r="Y901">
        <f>IF([2]Baskol!$I$904="","",[2]Baskol!$I$904)</f>
        <v/>
      </c>
      <c r="Z901">
        <f>IF([2]Baskol!$J$904="","",[2]Baskol!$J$904)</f>
        <v/>
      </c>
      <c r="AA901">
        <f>IF([2]Baskol!$K$904="","",[2]Baskol!$K$904)</f>
        <v/>
      </c>
      <c r="AB901">
        <f>IF([2]Baskol!$L$904="","",[2]Baskol!$L$904)</f>
        <v/>
      </c>
      <c r="AC901">
        <f>IF([2]Baskol!$N$904="","",[2]Baskol!$N$904)</f>
        <v/>
      </c>
      <c r="AD901">
        <f>IF([2]Baskol!$O$904="","",[2]Baskol!$O$904)</f>
        <v/>
      </c>
      <c r="AE901">
        <f>IF([3]Entry!$C$904="","",[3]Entry!$C$904)</f>
        <v/>
      </c>
      <c r="AF901">
        <f>IF([3]Entry!$D$904="","",[3]Entry!$D$904)</f>
        <v/>
      </c>
      <c r="AG901">
        <f>IF([3]Entry!$E$904="","",[3]Entry!$E$904)</f>
        <v/>
      </c>
      <c r="AH901">
        <f>IF([3]Entry!$G$904="","",[3]Entry!$G$904)</f>
        <v/>
      </c>
      <c r="AI901">
        <f>IF([3]Entry!$K$904="","",[3]Entry!$K$904)</f>
        <v/>
      </c>
      <c r="AJ901">
        <f>IF([3]Entry!$L$904="","",[3]Entry!$L$904)</f>
        <v/>
      </c>
      <c r="AK901">
        <f>IF([3]Entry!$M$904="","",[3]Entry!$M$904)</f>
        <v/>
      </c>
      <c r="AL901">
        <f>IF([3]Entry!$N$904="","",[3]Entry!$N$904)</f>
        <v/>
      </c>
      <c r="AM901">
        <f>IF([3]Entry!$R$904="","",[3]Entry!$R$904)</f>
        <v/>
      </c>
    </row>
    <row r="902">
      <c r="T902">
        <f>IF([2]Baskol!$B$905="","",[2]Baskol!$B$905)</f>
        <v/>
      </c>
      <c r="U902">
        <f>IF([2]Baskol!$C$905="","",[2]Baskol!$C$905)</f>
        <v/>
      </c>
      <c r="V902">
        <f>IF([2]Baskol!$D$905="","",[2]Baskol!$D$905)</f>
        <v/>
      </c>
      <c r="W902">
        <f>IF([2]Baskol!$E$905="","",[2]Baskol!$E$905)</f>
        <v/>
      </c>
      <c r="X902">
        <f>IF([2]Baskol!$G$905="","",[2]Baskol!$G$905)</f>
        <v/>
      </c>
      <c r="Y902">
        <f>IF([2]Baskol!$I$905="","",[2]Baskol!$I$905)</f>
        <v/>
      </c>
      <c r="Z902">
        <f>IF([2]Baskol!$J$905="","",[2]Baskol!$J$905)</f>
        <v/>
      </c>
      <c r="AA902">
        <f>IF([2]Baskol!$K$905="","",[2]Baskol!$K$905)</f>
        <v/>
      </c>
      <c r="AB902">
        <f>IF([2]Baskol!$L$905="","",[2]Baskol!$L$905)</f>
        <v/>
      </c>
      <c r="AC902">
        <f>IF([2]Baskol!$N$905="","",[2]Baskol!$N$905)</f>
        <v/>
      </c>
      <c r="AD902">
        <f>IF([2]Baskol!$O$905="","",[2]Baskol!$O$905)</f>
        <v/>
      </c>
      <c r="AE902">
        <f>IF([3]Entry!$C$905="","",[3]Entry!$C$905)</f>
        <v/>
      </c>
      <c r="AF902">
        <f>IF([3]Entry!$D$905="","",[3]Entry!$D$905)</f>
        <v/>
      </c>
      <c r="AG902">
        <f>IF([3]Entry!$E$905="","",[3]Entry!$E$905)</f>
        <v/>
      </c>
      <c r="AH902">
        <f>IF([3]Entry!$G$905="","",[3]Entry!$G$905)</f>
        <v/>
      </c>
      <c r="AI902">
        <f>IF([3]Entry!$K$905="","",[3]Entry!$K$905)</f>
        <v/>
      </c>
      <c r="AJ902">
        <f>IF([3]Entry!$L$905="","",[3]Entry!$L$905)</f>
        <v/>
      </c>
      <c r="AK902">
        <f>IF([3]Entry!$M$905="","",[3]Entry!$M$905)</f>
        <v/>
      </c>
      <c r="AL902">
        <f>IF([3]Entry!$N$905="","",[3]Entry!$N$905)</f>
        <v/>
      </c>
      <c r="AM902">
        <f>IF([3]Entry!$R$905="","",[3]Entry!$R$905)</f>
        <v/>
      </c>
    </row>
    <row r="903">
      <c r="T903">
        <f>IF([2]Baskol!$B$906="","",[2]Baskol!$B$906)</f>
        <v/>
      </c>
      <c r="U903">
        <f>IF([2]Baskol!$C$906="","",[2]Baskol!$C$906)</f>
        <v/>
      </c>
      <c r="V903">
        <f>IF([2]Baskol!$D$906="","",[2]Baskol!$D$906)</f>
        <v/>
      </c>
      <c r="W903">
        <f>IF([2]Baskol!$E$906="","",[2]Baskol!$E$906)</f>
        <v/>
      </c>
      <c r="X903">
        <f>IF([2]Baskol!$G$906="","",[2]Baskol!$G$906)</f>
        <v/>
      </c>
      <c r="Y903">
        <f>IF([2]Baskol!$I$906="","",[2]Baskol!$I$906)</f>
        <v/>
      </c>
      <c r="Z903">
        <f>IF([2]Baskol!$J$906="","",[2]Baskol!$J$906)</f>
        <v/>
      </c>
      <c r="AA903">
        <f>IF([2]Baskol!$K$906="","",[2]Baskol!$K$906)</f>
        <v/>
      </c>
      <c r="AB903">
        <f>IF([2]Baskol!$L$906="","",[2]Baskol!$L$906)</f>
        <v/>
      </c>
      <c r="AC903">
        <f>IF([2]Baskol!$N$906="","",[2]Baskol!$N$906)</f>
        <v/>
      </c>
      <c r="AD903">
        <f>IF([2]Baskol!$O$906="","",[2]Baskol!$O$906)</f>
        <v/>
      </c>
      <c r="AE903">
        <f>IF([3]Entry!$C$906="","",[3]Entry!$C$906)</f>
        <v/>
      </c>
      <c r="AF903">
        <f>IF([3]Entry!$D$906="","",[3]Entry!$D$906)</f>
        <v/>
      </c>
      <c r="AG903">
        <f>IF([3]Entry!$E$906="","",[3]Entry!$E$906)</f>
        <v/>
      </c>
      <c r="AH903">
        <f>IF([3]Entry!$G$906="","",[3]Entry!$G$906)</f>
        <v/>
      </c>
      <c r="AI903">
        <f>IF([3]Entry!$K$906="","",[3]Entry!$K$906)</f>
        <v/>
      </c>
      <c r="AJ903">
        <f>IF([3]Entry!$L$906="","",[3]Entry!$L$906)</f>
        <v/>
      </c>
      <c r="AK903">
        <f>IF([3]Entry!$M$906="","",[3]Entry!$M$906)</f>
        <v/>
      </c>
      <c r="AL903">
        <f>IF([3]Entry!$N$906="","",[3]Entry!$N$906)</f>
        <v/>
      </c>
      <c r="AM903">
        <f>IF([3]Entry!$R$906="","",[3]Entry!$R$906)</f>
        <v/>
      </c>
    </row>
    <row r="904">
      <c r="T904">
        <f>IF([2]Baskol!$B$907="","",[2]Baskol!$B$907)</f>
        <v/>
      </c>
      <c r="U904">
        <f>IF([2]Baskol!$C$907="","",[2]Baskol!$C$907)</f>
        <v/>
      </c>
      <c r="V904">
        <f>IF([2]Baskol!$D$907="","",[2]Baskol!$D$907)</f>
        <v/>
      </c>
      <c r="W904">
        <f>IF([2]Baskol!$E$907="","",[2]Baskol!$E$907)</f>
        <v/>
      </c>
      <c r="X904">
        <f>IF([2]Baskol!$G$907="","",[2]Baskol!$G$907)</f>
        <v/>
      </c>
      <c r="Y904">
        <f>IF([2]Baskol!$I$907="","",[2]Baskol!$I$907)</f>
        <v/>
      </c>
      <c r="Z904">
        <f>IF([2]Baskol!$J$907="","",[2]Baskol!$J$907)</f>
        <v/>
      </c>
      <c r="AA904">
        <f>IF([2]Baskol!$K$907="","",[2]Baskol!$K$907)</f>
        <v/>
      </c>
      <c r="AB904">
        <f>IF([2]Baskol!$L$907="","",[2]Baskol!$L$907)</f>
        <v/>
      </c>
      <c r="AC904">
        <f>IF([2]Baskol!$N$907="","",[2]Baskol!$N$907)</f>
        <v/>
      </c>
      <c r="AD904">
        <f>IF([2]Baskol!$O$907="","",[2]Baskol!$O$907)</f>
        <v/>
      </c>
      <c r="AE904">
        <f>IF([3]Entry!$C$907="","",[3]Entry!$C$907)</f>
        <v/>
      </c>
      <c r="AF904">
        <f>IF([3]Entry!$D$907="","",[3]Entry!$D$907)</f>
        <v/>
      </c>
      <c r="AG904">
        <f>IF([3]Entry!$E$907="","",[3]Entry!$E$907)</f>
        <v/>
      </c>
      <c r="AH904">
        <f>IF([3]Entry!$G$907="","",[3]Entry!$G$907)</f>
        <v/>
      </c>
      <c r="AI904">
        <f>IF([3]Entry!$K$907="","",[3]Entry!$K$907)</f>
        <v/>
      </c>
      <c r="AJ904">
        <f>IF([3]Entry!$L$907="","",[3]Entry!$L$907)</f>
        <v/>
      </c>
      <c r="AK904">
        <f>IF([3]Entry!$M$907="","",[3]Entry!$M$907)</f>
        <v/>
      </c>
      <c r="AL904">
        <f>IF([3]Entry!$N$907="","",[3]Entry!$N$907)</f>
        <v/>
      </c>
      <c r="AM904">
        <f>IF([3]Entry!$R$907="","",[3]Entry!$R$907)</f>
        <v/>
      </c>
    </row>
    <row r="905">
      <c r="T905">
        <f>IF([2]Baskol!$B$908="","",[2]Baskol!$B$908)</f>
        <v/>
      </c>
      <c r="U905">
        <f>IF([2]Baskol!$C$908="","",[2]Baskol!$C$908)</f>
        <v/>
      </c>
      <c r="V905">
        <f>IF([2]Baskol!$D$908="","",[2]Baskol!$D$908)</f>
        <v/>
      </c>
      <c r="W905">
        <f>IF([2]Baskol!$E$908="","",[2]Baskol!$E$908)</f>
        <v/>
      </c>
      <c r="X905">
        <f>IF([2]Baskol!$G$908="","",[2]Baskol!$G$908)</f>
        <v/>
      </c>
      <c r="Y905">
        <f>IF([2]Baskol!$I$908="","",[2]Baskol!$I$908)</f>
        <v/>
      </c>
      <c r="Z905">
        <f>IF([2]Baskol!$J$908="","",[2]Baskol!$J$908)</f>
        <v/>
      </c>
      <c r="AA905">
        <f>IF([2]Baskol!$K$908="","",[2]Baskol!$K$908)</f>
        <v/>
      </c>
      <c r="AB905">
        <f>IF([2]Baskol!$L$908="","",[2]Baskol!$L$908)</f>
        <v/>
      </c>
      <c r="AC905">
        <f>IF([2]Baskol!$N$908="","",[2]Baskol!$N$908)</f>
        <v/>
      </c>
      <c r="AD905">
        <f>IF([2]Baskol!$O$908="","",[2]Baskol!$O$908)</f>
        <v/>
      </c>
      <c r="AE905">
        <f>IF([3]Entry!$C$908="","",[3]Entry!$C$908)</f>
        <v/>
      </c>
      <c r="AF905">
        <f>IF([3]Entry!$D$908="","",[3]Entry!$D$908)</f>
        <v/>
      </c>
      <c r="AG905">
        <f>IF([3]Entry!$E$908="","",[3]Entry!$E$908)</f>
        <v/>
      </c>
      <c r="AH905">
        <f>IF([3]Entry!$G$908="","",[3]Entry!$G$908)</f>
        <v/>
      </c>
      <c r="AI905">
        <f>IF([3]Entry!$K$908="","",[3]Entry!$K$908)</f>
        <v/>
      </c>
      <c r="AJ905">
        <f>IF([3]Entry!$L$908="","",[3]Entry!$L$908)</f>
        <v/>
      </c>
      <c r="AK905">
        <f>IF([3]Entry!$M$908="","",[3]Entry!$M$908)</f>
        <v/>
      </c>
      <c r="AL905">
        <f>IF([3]Entry!$N$908="","",[3]Entry!$N$908)</f>
        <v/>
      </c>
      <c r="AM905">
        <f>IF([3]Entry!$R$908="","",[3]Entry!$R$908)</f>
        <v/>
      </c>
    </row>
    <row r="906">
      <c r="T906">
        <f>IF([2]Baskol!$B$909="","",[2]Baskol!$B$909)</f>
        <v/>
      </c>
      <c r="U906">
        <f>IF([2]Baskol!$C$909="","",[2]Baskol!$C$909)</f>
        <v/>
      </c>
      <c r="V906">
        <f>IF([2]Baskol!$D$909="","",[2]Baskol!$D$909)</f>
        <v/>
      </c>
      <c r="W906">
        <f>IF([2]Baskol!$E$909="","",[2]Baskol!$E$909)</f>
        <v/>
      </c>
      <c r="X906">
        <f>IF([2]Baskol!$G$909="","",[2]Baskol!$G$909)</f>
        <v/>
      </c>
      <c r="Y906">
        <f>IF([2]Baskol!$I$909="","",[2]Baskol!$I$909)</f>
        <v/>
      </c>
      <c r="Z906">
        <f>IF([2]Baskol!$J$909="","",[2]Baskol!$J$909)</f>
        <v/>
      </c>
      <c r="AA906">
        <f>IF([2]Baskol!$K$909="","",[2]Baskol!$K$909)</f>
        <v/>
      </c>
      <c r="AB906">
        <f>IF([2]Baskol!$L$909="","",[2]Baskol!$L$909)</f>
        <v/>
      </c>
      <c r="AC906">
        <f>IF([2]Baskol!$N$909="","",[2]Baskol!$N$909)</f>
        <v/>
      </c>
      <c r="AD906">
        <f>IF([2]Baskol!$O$909="","",[2]Baskol!$O$909)</f>
        <v/>
      </c>
      <c r="AE906">
        <f>IF([3]Entry!$C$909="","",[3]Entry!$C$909)</f>
        <v/>
      </c>
      <c r="AF906">
        <f>IF([3]Entry!$D$909="","",[3]Entry!$D$909)</f>
        <v/>
      </c>
      <c r="AG906">
        <f>IF([3]Entry!$E$909="","",[3]Entry!$E$909)</f>
        <v/>
      </c>
      <c r="AH906">
        <f>IF([3]Entry!$G$909="","",[3]Entry!$G$909)</f>
        <v/>
      </c>
      <c r="AI906">
        <f>IF([3]Entry!$K$909="","",[3]Entry!$K$909)</f>
        <v/>
      </c>
      <c r="AJ906">
        <f>IF([3]Entry!$L$909="","",[3]Entry!$L$909)</f>
        <v/>
      </c>
      <c r="AK906">
        <f>IF([3]Entry!$M$909="","",[3]Entry!$M$909)</f>
        <v/>
      </c>
      <c r="AL906">
        <f>IF([3]Entry!$N$909="","",[3]Entry!$N$909)</f>
        <v/>
      </c>
      <c r="AM906">
        <f>IF([3]Entry!$R$909="","",[3]Entry!$R$909)</f>
        <v/>
      </c>
    </row>
    <row r="907">
      <c r="T907">
        <f>IF([2]Baskol!$B$910="","",[2]Baskol!$B$910)</f>
        <v/>
      </c>
      <c r="U907">
        <f>IF([2]Baskol!$C$910="","",[2]Baskol!$C$910)</f>
        <v/>
      </c>
      <c r="V907">
        <f>IF([2]Baskol!$D$910="","",[2]Baskol!$D$910)</f>
        <v/>
      </c>
      <c r="W907">
        <f>IF([2]Baskol!$E$910="","",[2]Baskol!$E$910)</f>
        <v/>
      </c>
      <c r="X907">
        <f>IF([2]Baskol!$G$910="","",[2]Baskol!$G$910)</f>
        <v/>
      </c>
      <c r="Y907">
        <f>IF([2]Baskol!$I$910="","",[2]Baskol!$I$910)</f>
        <v/>
      </c>
      <c r="Z907">
        <f>IF([2]Baskol!$J$910="","",[2]Baskol!$J$910)</f>
        <v/>
      </c>
      <c r="AA907">
        <f>IF([2]Baskol!$K$910="","",[2]Baskol!$K$910)</f>
        <v/>
      </c>
      <c r="AB907">
        <f>IF([2]Baskol!$L$910="","",[2]Baskol!$L$910)</f>
        <v/>
      </c>
      <c r="AC907">
        <f>IF([2]Baskol!$N$910="","",[2]Baskol!$N$910)</f>
        <v/>
      </c>
      <c r="AD907">
        <f>IF([2]Baskol!$O$910="","",[2]Baskol!$O$910)</f>
        <v/>
      </c>
      <c r="AE907">
        <f>IF([3]Entry!$C$910="","",[3]Entry!$C$910)</f>
        <v/>
      </c>
      <c r="AF907">
        <f>IF([3]Entry!$D$910="","",[3]Entry!$D$910)</f>
        <v/>
      </c>
      <c r="AG907">
        <f>IF([3]Entry!$E$910="","",[3]Entry!$E$910)</f>
        <v/>
      </c>
      <c r="AH907">
        <f>IF([3]Entry!$G$910="","",[3]Entry!$G$910)</f>
        <v/>
      </c>
      <c r="AI907">
        <f>IF([3]Entry!$K$910="","",[3]Entry!$K$910)</f>
        <v/>
      </c>
      <c r="AJ907">
        <f>IF([3]Entry!$L$910="","",[3]Entry!$L$910)</f>
        <v/>
      </c>
      <c r="AK907">
        <f>IF([3]Entry!$M$910="","",[3]Entry!$M$910)</f>
        <v/>
      </c>
      <c r="AL907">
        <f>IF([3]Entry!$N$910="","",[3]Entry!$N$910)</f>
        <v/>
      </c>
      <c r="AM907">
        <f>IF([3]Entry!$R$910="","",[3]Entry!$R$910)</f>
        <v/>
      </c>
    </row>
    <row r="908">
      <c r="T908">
        <f>IF([2]Baskol!$B$911="","",[2]Baskol!$B$911)</f>
        <v/>
      </c>
      <c r="U908">
        <f>IF([2]Baskol!$C$911="","",[2]Baskol!$C$911)</f>
        <v/>
      </c>
      <c r="V908">
        <f>IF([2]Baskol!$D$911="","",[2]Baskol!$D$911)</f>
        <v/>
      </c>
      <c r="W908">
        <f>IF([2]Baskol!$E$911="","",[2]Baskol!$E$911)</f>
        <v/>
      </c>
      <c r="X908">
        <f>IF([2]Baskol!$G$911="","",[2]Baskol!$G$911)</f>
        <v/>
      </c>
      <c r="Y908">
        <f>IF([2]Baskol!$I$911="","",[2]Baskol!$I$911)</f>
        <v/>
      </c>
      <c r="Z908">
        <f>IF([2]Baskol!$J$911="","",[2]Baskol!$J$911)</f>
        <v/>
      </c>
      <c r="AA908">
        <f>IF([2]Baskol!$K$911="","",[2]Baskol!$K$911)</f>
        <v/>
      </c>
      <c r="AB908">
        <f>IF([2]Baskol!$L$911="","",[2]Baskol!$L$911)</f>
        <v/>
      </c>
      <c r="AC908">
        <f>IF([2]Baskol!$N$911="","",[2]Baskol!$N$911)</f>
        <v/>
      </c>
      <c r="AD908">
        <f>IF([2]Baskol!$O$911="","",[2]Baskol!$O$911)</f>
        <v/>
      </c>
      <c r="AE908">
        <f>IF([3]Entry!$C$911="","",[3]Entry!$C$911)</f>
        <v/>
      </c>
      <c r="AF908">
        <f>IF([3]Entry!$D$911="","",[3]Entry!$D$911)</f>
        <v/>
      </c>
      <c r="AG908">
        <f>IF([3]Entry!$E$911="","",[3]Entry!$E$911)</f>
        <v/>
      </c>
      <c r="AH908">
        <f>IF([3]Entry!$G$911="","",[3]Entry!$G$911)</f>
        <v/>
      </c>
      <c r="AI908">
        <f>IF([3]Entry!$K$911="","",[3]Entry!$K$911)</f>
        <v/>
      </c>
      <c r="AJ908">
        <f>IF([3]Entry!$L$911="","",[3]Entry!$L$911)</f>
        <v/>
      </c>
      <c r="AK908">
        <f>IF([3]Entry!$M$911="","",[3]Entry!$M$911)</f>
        <v/>
      </c>
      <c r="AL908">
        <f>IF([3]Entry!$N$911="","",[3]Entry!$N$911)</f>
        <v/>
      </c>
      <c r="AM908">
        <f>IF([3]Entry!$R$911="","",[3]Entry!$R$911)</f>
        <v/>
      </c>
    </row>
    <row r="909">
      <c r="T909">
        <f>IF([2]Baskol!$B$912="","",[2]Baskol!$B$912)</f>
        <v/>
      </c>
      <c r="U909">
        <f>IF([2]Baskol!$C$912="","",[2]Baskol!$C$912)</f>
        <v/>
      </c>
      <c r="V909">
        <f>IF([2]Baskol!$D$912="","",[2]Baskol!$D$912)</f>
        <v/>
      </c>
      <c r="W909">
        <f>IF([2]Baskol!$E$912="","",[2]Baskol!$E$912)</f>
        <v/>
      </c>
      <c r="X909">
        <f>IF([2]Baskol!$G$912="","",[2]Baskol!$G$912)</f>
        <v/>
      </c>
      <c r="Y909">
        <f>IF([2]Baskol!$I$912="","",[2]Baskol!$I$912)</f>
        <v/>
      </c>
      <c r="Z909">
        <f>IF([2]Baskol!$J$912="","",[2]Baskol!$J$912)</f>
        <v/>
      </c>
      <c r="AA909">
        <f>IF([2]Baskol!$K$912="","",[2]Baskol!$K$912)</f>
        <v/>
      </c>
      <c r="AB909">
        <f>IF([2]Baskol!$L$912="","",[2]Baskol!$L$912)</f>
        <v/>
      </c>
      <c r="AC909">
        <f>IF([2]Baskol!$N$912="","",[2]Baskol!$N$912)</f>
        <v/>
      </c>
      <c r="AD909">
        <f>IF([2]Baskol!$O$912="","",[2]Baskol!$O$912)</f>
        <v/>
      </c>
      <c r="AE909">
        <f>IF([3]Entry!$C$912="","",[3]Entry!$C$912)</f>
        <v/>
      </c>
      <c r="AF909">
        <f>IF([3]Entry!$D$912="","",[3]Entry!$D$912)</f>
        <v/>
      </c>
      <c r="AG909">
        <f>IF([3]Entry!$E$912="","",[3]Entry!$E$912)</f>
        <v/>
      </c>
      <c r="AH909">
        <f>IF([3]Entry!$G$912="","",[3]Entry!$G$912)</f>
        <v/>
      </c>
      <c r="AI909">
        <f>IF([3]Entry!$K$912="","",[3]Entry!$K$912)</f>
        <v/>
      </c>
      <c r="AJ909">
        <f>IF([3]Entry!$L$912="","",[3]Entry!$L$912)</f>
        <v/>
      </c>
      <c r="AK909">
        <f>IF([3]Entry!$M$912="","",[3]Entry!$M$912)</f>
        <v/>
      </c>
      <c r="AL909">
        <f>IF([3]Entry!$N$912="","",[3]Entry!$N$912)</f>
        <v/>
      </c>
      <c r="AM909">
        <f>IF([3]Entry!$R$912="","",[3]Entry!$R$912)</f>
        <v/>
      </c>
    </row>
    <row r="910">
      <c r="T910">
        <f>IF([2]Baskol!$B$913="","",[2]Baskol!$B$913)</f>
        <v/>
      </c>
      <c r="U910">
        <f>IF([2]Baskol!$C$913="","",[2]Baskol!$C$913)</f>
        <v/>
      </c>
      <c r="V910">
        <f>IF([2]Baskol!$D$913="","",[2]Baskol!$D$913)</f>
        <v/>
      </c>
      <c r="W910">
        <f>IF([2]Baskol!$E$913="","",[2]Baskol!$E$913)</f>
        <v/>
      </c>
      <c r="X910">
        <f>IF([2]Baskol!$G$913="","",[2]Baskol!$G$913)</f>
        <v/>
      </c>
      <c r="Y910">
        <f>IF([2]Baskol!$I$913="","",[2]Baskol!$I$913)</f>
        <v/>
      </c>
      <c r="Z910">
        <f>IF([2]Baskol!$J$913="","",[2]Baskol!$J$913)</f>
        <v/>
      </c>
      <c r="AA910">
        <f>IF([2]Baskol!$K$913="","",[2]Baskol!$K$913)</f>
        <v/>
      </c>
      <c r="AB910">
        <f>IF([2]Baskol!$L$913="","",[2]Baskol!$L$913)</f>
        <v/>
      </c>
      <c r="AC910">
        <f>IF([2]Baskol!$N$913="","",[2]Baskol!$N$913)</f>
        <v/>
      </c>
      <c r="AD910">
        <f>IF([2]Baskol!$O$913="","",[2]Baskol!$O$913)</f>
        <v/>
      </c>
      <c r="AE910">
        <f>IF([3]Entry!$C$913="","",[3]Entry!$C$913)</f>
        <v/>
      </c>
      <c r="AF910">
        <f>IF([3]Entry!$D$913="","",[3]Entry!$D$913)</f>
        <v/>
      </c>
      <c r="AG910">
        <f>IF([3]Entry!$E$913="","",[3]Entry!$E$913)</f>
        <v/>
      </c>
      <c r="AH910">
        <f>IF([3]Entry!$G$913="","",[3]Entry!$G$913)</f>
        <v/>
      </c>
      <c r="AI910">
        <f>IF([3]Entry!$K$913="","",[3]Entry!$K$913)</f>
        <v/>
      </c>
      <c r="AJ910">
        <f>IF([3]Entry!$L$913="","",[3]Entry!$L$913)</f>
        <v/>
      </c>
      <c r="AK910">
        <f>IF([3]Entry!$M$913="","",[3]Entry!$M$913)</f>
        <v/>
      </c>
      <c r="AL910">
        <f>IF([3]Entry!$N$913="","",[3]Entry!$N$913)</f>
        <v/>
      </c>
      <c r="AM910">
        <f>IF([3]Entry!$R$913="","",[3]Entry!$R$913)</f>
        <v/>
      </c>
    </row>
    <row r="911">
      <c r="T911">
        <f>IF([2]Baskol!$B$914="","",[2]Baskol!$B$914)</f>
        <v/>
      </c>
      <c r="U911">
        <f>IF([2]Baskol!$C$914="","",[2]Baskol!$C$914)</f>
        <v/>
      </c>
      <c r="V911">
        <f>IF([2]Baskol!$D$914="","",[2]Baskol!$D$914)</f>
        <v/>
      </c>
      <c r="W911">
        <f>IF([2]Baskol!$E$914="","",[2]Baskol!$E$914)</f>
        <v/>
      </c>
      <c r="X911">
        <f>IF([2]Baskol!$G$914="","",[2]Baskol!$G$914)</f>
        <v/>
      </c>
      <c r="Y911">
        <f>IF([2]Baskol!$I$914="","",[2]Baskol!$I$914)</f>
        <v/>
      </c>
      <c r="Z911">
        <f>IF([2]Baskol!$J$914="","",[2]Baskol!$J$914)</f>
        <v/>
      </c>
      <c r="AA911">
        <f>IF([2]Baskol!$K$914="","",[2]Baskol!$K$914)</f>
        <v/>
      </c>
      <c r="AB911">
        <f>IF([2]Baskol!$L$914="","",[2]Baskol!$L$914)</f>
        <v/>
      </c>
      <c r="AC911">
        <f>IF([2]Baskol!$N$914="","",[2]Baskol!$N$914)</f>
        <v/>
      </c>
      <c r="AD911">
        <f>IF([2]Baskol!$O$914="","",[2]Baskol!$O$914)</f>
        <v/>
      </c>
      <c r="AE911">
        <f>IF([3]Entry!$C$914="","",[3]Entry!$C$914)</f>
        <v/>
      </c>
      <c r="AF911">
        <f>IF([3]Entry!$D$914="","",[3]Entry!$D$914)</f>
        <v/>
      </c>
      <c r="AG911">
        <f>IF([3]Entry!$E$914="","",[3]Entry!$E$914)</f>
        <v/>
      </c>
      <c r="AH911">
        <f>IF([3]Entry!$G$914="","",[3]Entry!$G$914)</f>
        <v/>
      </c>
      <c r="AI911">
        <f>IF([3]Entry!$K$914="","",[3]Entry!$K$914)</f>
        <v/>
      </c>
      <c r="AJ911">
        <f>IF([3]Entry!$L$914="","",[3]Entry!$L$914)</f>
        <v/>
      </c>
      <c r="AK911">
        <f>IF([3]Entry!$M$914="","",[3]Entry!$M$914)</f>
        <v/>
      </c>
      <c r="AL911">
        <f>IF([3]Entry!$N$914="","",[3]Entry!$N$914)</f>
        <v/>
      </c>
      <c r="AM911">
        <f>IF([3]Entry!$R$914="","",[3]Entry!$R$914)</f>
        <v/>
      </c>
    </row>
    <row r="912">
      <c r="T912">
        <f>IF([2]Baskol!$B$915="","",[2]Baskol!$B$915)</f>
        <v/>
      </c>
      <c r="U912">
        <f>IF([2]Baskol!$C$915="","",[2]Baskol!$C$915)</f>
        <v/>
      </c>
      <c r="V912">
        <f>IF([2]Baskol!$D$915="","",[2]Baskol!$D$915)</f>
        <v/>
      </c>
      <c r="W912">
        <f>IF([2]Baskol!$E$915="","",[2]Baskol!$E$915)</f>
        <v/>
      </c>
      <c r="X912">
        <f>IF([2]Baskol!$G$915="","",[2]Baskol!$G$915)</f>
        <v/>
      </c>
      <c r="Y912">
        <f>IF([2]Baskol!$I$915="","",[2]Baskol!$I$915)</f>
        <v/>
      </c>
      <c r="Z912">
        <f>IF([2]Baskol!$J$915="","",[2]Baskol!$J$915)</f>
        <v/>
      </c>
      <c r="AA912">
        <f>IF([2]Baskol!$K$915="","",[2]Baskol!$K$915)</f>
        <v/>
      </c>
      <c r="AB912">
        <f>IF([2]Baskol!$L$915="","",[2]Baskol!$L$915)</f>
        <v/>
      </c>
      <c r="AC912">
        <f>IF([2]Baskol!$N$915="","",[2]Baskol!$N$915)</f>
        <v/>
      </c>
      <c r="AD912">
        <f>IF([2]Baskol!$O$915="","",[2]Baskol!$O$915)</f>
        <v/>
      </c>
      <c r="AE912">
        <f>IF([3]Entry!$C$915="","",[3]Entry!$C$915)</f>
        <v/>
      </c>
      <c r="AF912">
        <f>IF([3]Entry!$D$915="","",[3]Entry!$D$915)</f>
        <v/>
      </c>
      <c r="AG912">
        <f>IF([3]Entry!$E$915="","",[3]Entry!$E$915)</f>
        <v/>
      </c>
      <c r="AH912">
        <f>IF([3]Entry!$G$915="","",[3]Entry!$G$915)</f>
        <v/>
      </c>
      <c r="AI912">
        <f>IF([3]Entry!$K$915="","",[3]Entry!$K$915)</f>
        <v/>
      </c>
      <c r="AJ912">
        <f>IF([3]Entry!$L$915="","",[3]Entry!$L$915)</f>
        <v/>
      </c>
      <c r="AK912">
        <f>IF([3]Entry!$M$915="","",[3]Entry!$M$915)</f>
        <v/>
      </c>
      <c r="AL912">
        <f>IF([3]Entry!$N$915="","",[3]Entry!$N$915)</f>
        <v/>
      </c>
      <c r="AM912">
        <f>IF([3]Entry!$R$915="","",[3]Entry!$R$915)</f>
        <v/>
      </c>
    </row>
    <row r="913">
      <c r="T913">
        <f>IF([2]Baskol!$B$916="","",[2]Baskol!$B$916)</f>
        <v/>
      </c>
      <c r="U913">
        <f>IF([2]Baskol!$C$916="","",[2]Baskol!$C$916)</f>
        <v/>
      </c>
      <c r="V913">
        <f>IF([2]Baskol!$D$916="","",[2]Baskol!$D$916)</f>
        <v/>
      </c>
      <c r="W913">
        <f>IF([2]Baskol!$E$916="","",[2]Baskol!$E$916)</f>
        <v/>
      </c>
      <c r="X913">
        <f>IF([2]Baskol!$G$916="","",[2]Baskol!$G$916)</f>
        <v/>
      </c>
      <c r="Y913">
        <f>IF([2]Baskol!$I$916="","",[2]Baskol!$I$916)</f>
        <v/>
      </c>
      <c r="Z913">
        <f>IF([2]Baskol!$J$916="","",[2]Baskol!$J$916)</f>
        <v/>
      </c>
      <c r="AA913">
        <f>IF([2]Baskol!$K$916="","",[2]Baskol!$K$916)</f>
        <v/>
      </c>
      <c r="AB913">
        <f>IF([2]Baskol!$L$916="","",[2]Baskol!$L$916)</f>
        <v/>
      </c>
      <c r="AC913">
        <f>IF([2]Baskol!$N$916="","",[2]Baskol!$N$916)</f>
        <v/>
      </c>
      <c r="AD913">
        <f>IF([2]Baskol!$O$916="","",[2]Baskol!$O$916)</f>
        <v/>
      </c>
      <c r="AE913">
        <f>IF([3]Entry!$C$916="","",[3]Entry!$C$916)</f>
        <v/>
      </c>
      <c r="AF913">
        <f>IF([3]Entry!$D$916="","",[3]Entry!$D$916)</f>
        <v/>
      </c>
      <c r="AG913">
        <f>IF([3]Entry!$E$916="","",[3]Entry!$E$916)</f>
        <v/>
      </c>
      <c r="AH913">
        <f>IF([3]Entry!$G$916="","",[3]Entry!$G$916)</f>
        <v/>
      </c>
      <c r="AI913">
        <f>IF([3]Entry!$K$916="","",[3]Entry!$K$916)</f>
        <v/>
      </c>
      <c r="AJ913">
        <f>IF([3]Entry!$L$916="","",[3]Entry!$L$916)</f>
        <v/>
      </c>
      <c r="AK913">
        <f>IF([3]Entry!$M$916="","",[3]Entry!$M$916)</f>
        <v/>
      </c>
      <c r="AL913">
        <f>IF([3]Entry!$N$916="","",[3]Entry!$N$916)</f>
        <v/>
      </c>
      <c r="AM913">
        <f>IF([3]Entry!$R$916="","",[3]Entry!$R$916)</f>
        <v/>
      </c>
    </row>
    <row r="914">
      <c r="T914">
        <f>IF([2]Baskol!$B$917="","",[2]Baskol!$B$917)</f>
        <v/>
      </c>
      <c r="U914">
        <f>IF([2]Baskol!$C$917="","",[2]Baskol!$C$917)</f>
        <v/>
      </c>
      <c r="V914">
        <f>IF([2]Baskol!$D$917="","",[2]Baskol!$D$917)</f>
        <v/>
      </c>
      <c r="W914">
        <f>IF([2]Baskol!$E$917="","",[2]Baskol!$E$917)</f>
        <v/>
      </c>
      <c r="X914">
        <f>IF([2]Baskol!$G$917="","",[2]Baskol!$G$917)</f>
        <v/>
      </c>
      <c r="Y914">
        <f>IF([2]Baskol!$I$917="","",[2]Baskol!$I$917)</f>
        <v/>
      </c>
      <c r="Z914">
        <f>IF([2]Baskol!$J$917="","",[2]Baskol!$J$917)</f>
        <v/>
      </c>
      <c r="AA914">
        <f>IF([2]Baskol!$K$917="","",[2]Baskol!$K$917)</f>
        <v/>
      </c>
      <c r="AB914">
        <f>IF([2]Baskol!$L$917="","",[2]Baskol!$L$917)</f>
        <v/>
      </c>
      <c r="AC914">
        <f>IF([2]Baskol!$N$917="","",[2]Baskol!$N$917)</f>
        <v/>
      </c>
      <c r="AD914">
        <f>IF([2]Baskol!$O$917="","",[2]Baskol!$O$917)</f>
        <v/>
      </c>
      <c r="AE914">
        <f>IF([3]Entry!$C$917="","",[3]Entry!$C$917)</f>
        <v/>
      </c>
      <c r="AF914">
        <f>IF([3]Entry!$D$917="","",[3]Entry!$D$917)</f>
        <v/>
      </c>
      <c r="AG914">
        <f>IF([3]Entry!$E$917="","",[3]Entry!$E$917)</f>
        <v/>
      </c>
      <c r="AH914">
        <f>IF([3]Entry!$G$917="","",[3]Entry!$G$917)</f>
        <v/>
      </c>
      <c r="AI914">
        <f>IF([3]Entry!$K$917="","",[3]Entry!$K$917)</f>
        <v/>
      </c>
      <c r="AJ914">
        <f>IF([3]Entry!$L$917="","",[3]Entry!$L$917)</f>
        <v/>
      </c>
      <c r="AK914">
        <f>IF([3]Entry!$M$917="","",[3]Entry!$M$917)</f>
        <v/>
      </c>
      <c r="AL914">
        <f>IF([3]Entry!$N$917="","",[3]Entry!$N$917)</f>
        <v/>
      </c>
      <c r="AM914">
        <f>IF([3]Entry!$R$917="","",[3]Entry!$R$917)</f>
        <v/>
      </c>
    </row>
    <row r="915">
      <c r="T915">
        <f>IF([2]Baskol!$B$918="","",[2]Baskol!$B$918)</f>
        <v/>
      </c>
      <c r="U915">
        <f>IF([2]Baskol!$C$918="","",[2]Baskol!$C$918)</f>
        <v/>
      </c>
      <c r="V915">
        <f>IF([2]Baskol!$D$918="","",[2]Baskol!$D$918)</f>
        <v/>
      </c>
      <c r="W915">
        <f>IF([2]Baskol!$E$918="","",[2]Baskol!$E$918)</f>
        <v/>
      </c>
      <c r="X915">
        <f>IF([2]Baskol!$G$918="","",[2]Baskol!$G$918)</f>
        <v/>
      </c>
      <c r="Y915">
        <f>IF([2]Baskol!$I$918="","",[2]Baskol!$I$918)</f>
        <v/>
      </c>
      <c r="Z915">
        <f>IF([2]Baskol!$J$918="","",[2]Baskol!$J$918)</f>
        <v/>
      </c>
      <c r="AA915">
        <f>IF([2]Baskol!$K$918="","",[2]Baskol!$K$918)</f>
        <v/>
      </c>
      <c r="AB915">
        <f>IF([2]Baskol!$L$918="","",[2]Baskol!$L$918)</f>
        <v/>
      </c>
      <c r="AC915">
        <f>IF([2]Baskol!$N$918="","",[2]Baskol!$N$918)</f>
        <v/>
      </c>
      <c r="AD915">
        <f>IF([2]Baskol!$O$918="","",[2]Baskol!$O$918)</f>
        <v/>
      </c>
      <c r="AE915">
        <f>IF([3]Entry!$C$918="","",[3]Entry!$C$918)</f>
        <v/>
      </c>
      <c r="AF915">
        <f>IF([3]Entry!$D$918="","",[3]Entry!$D$918)</f>
        <v/>
      </c>
      <c r="AG915">
        <f>IF([3]Entry!$E$918="","",[3]Entry!$E$918)</f>
        <v/>
      </c>
      <c r="AH915">
        <f>IF([3]Entry!$G$918="","",[3]Entry!$G$918)</f>
        <v/>
      </c>
      <c r="AI915">
        <f>IF([3]Entry!$K$918="","",[3]Entry!$K$918)</f>
        <v/>
      </c>
      <c r="AJ915">
        <f>IF([3]Entry!$L$918="","",[3]Entry!$L$918)</f>
        <v/>
      </c>
      <c r="AK915">
        <f>IF([3]Entry!$M$918="","",[3]Entry!$M$918)</f>
        <v/>
      </c>
      <c r="AL915">
        <f>IF([3]Entry!$N$918="","",[3]Entry!$N$918)</f>
        <v/>
      </c>
      <c r="AM915">
        <f>IF([3]Entry!$R$918="","",[3]Entry!$R$918)</f>
        <v/>
      </c>
    </row>
    <row r="916">
      <c r="T916">
        <f>IF([2]Baskol!$B$919="","",[2]Baskol!$B$919)</f>
        <v/>
      </c>
      <c r="U916">
        <f>IF([2]Baskol!$C$919="","",[2]Baskol!$C$919)</f>
        <v/>
      </c>
      <c r="V916">
        <f>IF([2]Baskol!$D$919="","",[2]Baskol!$D$919)</f>
        <v/>
      </c>
      <c r="W916">
        <f>IF([2]Baskol!$E$919="","",[2]Baskol!$E$919)</f>
        <v/>
      </c>
      <c r="X916">
        <f>IF([2]Baskol!$G$919="","",[2]Baskol!$G$919)</f>
        <v/>
      </c>
      <c r="Y916">
        <f>IF([2]Baskol!$I$919="","",[2]Baskol!$I$919)</f>
        <v/>
      </c>
      <c r="Z916">
        <f>IF([2]Baskol!$J$919="","",[2]Baskol!$J$919)</f>
        <v/>
      </c>
      <c r="AA916">
        <f>IF([2]Baskol!$K$919="","",[2]Baskol!$K$919)</f>
        <v/>
      </c>
      <c r="AB916">
        <f>IF([2]Baskol!$L$919="","",[2]Baskol!$L$919)</f>
        <v/>
      </c>
      <c r="AC916">
        <f>IF([2]Baskol!$N$919="","",[2]Baskol!$N$919)</f>
        <v/>
      </c>
      <c r="AD916">
        <f>IF([2]Baskol!$O$919="","",[2]Baskol!$O$919)</f>
        <v/>
      </c>
      <c r="AE916">
        <f>IF([3]Entry!$C$919="","",[3]Entry!$C$919)</f>
        <v/>
      </c>
      <c r="AF916">
        <f>IF([3]Entry!$D$919="","",[3]Entry!$D$919)</f>
        <v/>
      </c>
      <c r="AG916">
        <f>IF([3]Entry!$E$919="","",[3]Entry!$E$919)</f>
        <v/>
      </c>
      <c r="AH916">
        <f>IF([3]Entry!$G$919="","",[3]Entry!$G$919)</f>
        <v/>
      </c>
      <c r="AI916">
        <f>IF([3]Entry!$K$919="","",[3]Entry!$K$919)</f>
        <v/>
      </c>
      <c r="AJ916">
        <f>IF([3]Entry!$L$919="","",[3]Entry!$L$919)</f>
        <v/>
      </c>
      <c r="AK916">
        <f>IF([3]Entry!$M$919="","",[3]Entry!$M$919)</f>
        <v/>
      </c>
      <c r="AL916">
        <f>IF([3]Entry!$N$919="","",[3]Entry!$N$919)</f>
        <v/>
      </c>
      <c r="AM916">
        <f>IF([3]Entry!$R$919="","",[3]Entry!$R$919)</f>
        <v/>
      </c>
    </row>
    <row r="917">
      <c r="T917">
        <f>IF([2]Baskol!$B$920="","",[2]Baskol!$B$920)</f>
        <v/>
      </c>
      <c r="U917">
        <f>IF([2]Baskol!$C$920="","",[2]Baskol!$C$920)</f>
        <v/>
      </c>
      <c r="V917">
        <f>IF([2]Baskol!$D$920="","",[2]Baskol!$D$920)</f>
        <v/>
      </c>
      <c r="W917">
        <f>IF([2]Baskol!$E$920="","",[2]Baskol!$E$920)</f>
        <v/>
      </c>
      <c r="X917">
        <f>IF([2]Baskol!$G$920="","",[2]Baskol!$G$920)</f>
        <v/>
      </c>
      <c r="Y917">
        <f>IF([2]Baskol!$I$920="","",[2]Baskol!$I$920)</f>
        <v/>
      </c>
      <c r="Z917">
        <f>IF([2]Baskol!$J$920="","",[2]Baskol!$J$920)</f>
        <v/>
      </c>
      <c r="AA917">
        <f>IF([2]Baskol!$K$920="","",[2]Baskol!$K$920)</f>
        <v/>
      </c>
      <c r="AB917">
        <f>IF([2]Baskol!$L$920="","",[2]Baskol!$L$920)</f>
        <v/>
      </c>
      <c r="AC917">
        <f>IF([2]Baskol!$N$920="","",[2]Baskol!$N$920)</f>
        <v/>
      </c>
      <c r="AD917">
        <f>IF([2]Baskol!$O$920="","",[2]Baskol!$O$920)</f>
        <v/>
      </c>
      <c r="AE917">
        <f>IF([3]Entry!$C$920="","",[3]Entry!$C$920)</f>
        <v/>
      </c>
      <c r="AF917">
        <f>IF([3]Entry!$D$920="","",[3]Entry!$D$920)</f>
        <v/>
      </c>
      <c r="AG917">
        <f>IF([3]Entry!$E$920="","",[3]Entry!$E$920)</f>
        <v/>
      </c>
      <c r="AH917">
        <f>IF([3]Entry!$G$920="","",[3]Entry!$G$920)</f>
        <v/>
      </c>
      <c r="AI917">
        <f>IF([3]Entry!$K$920="","",[3]Entry!$K$920)</f>
        <v/>
      </c>
      <c r="AJ917">
        <f>IF([3]Entry!$L$920="","",[3]Entry!$L$920)</f>
        <v/>
      </c>
      <c r="AK917">
        <f>IF([3]Entry!$M$920="","",[3]Entry!$M$920)</f>
        <v/>
      </c>
      <c r="AL917">
        <f>IF([3]Entry!$N$920="","",[3]Entry!$N$920)</f>
        <v/>
      </c>
      <c r="AM917">
        <f>IF([3]Entry!$R$920="","",[3]Entry!$R$920)</f>
        <v/>
      </c>
    </row>
    <row r="918">
      <c r="T918">
        <f>IF([2]Baskol!$B$921="","",[2]Baskol!$B$921)</f>
        <v/>
      </c>
      <c r="U918">
        <f>IF([2]Baskol!$C$921="","",[2]Baskol!$C$921)</f>
        <v/>
      </c>
      <c r="V918">
        <f>IF([2]Baskol!$D$921="","",[2]Baskol!$D$921)</f>
        <v/>
      </c>
      <c r="W918">
        <f>IF([2]Baskol!$E$921="","",[2]Baskol!$E$921)</f>
        <v/>
      </c>
      <c r="X918">
        <f>IF([2]Baskol!$G$921="","",[2]Baskol!$G$921)</f>
        <v/>
      </c>
      <c r="Y918">
        <f>IF([2]Baskol!$I$921="","",[2]Baskol!$I$921)</f>
        <v/>
      </c>
      <c r="Z918">
        <f>IF([2]Baskol!$J$921="","",[2]Baskol!$J$921)</f>
        <v/>
      </c>
      <c r="AA918">
        <f>IF([2]Baskol!$K$921="","",[2]Baskol!$K$921)</f>
        <v/>
      </c>
      <c r="AB918">
        <f>IF([2]Baskol!$L$921="","",[2]Baskol!$L$921)</f>
        <v/>
      </c>
      <c r="AC918">
        <f>IF([2]Baskol!$N$921="","",[2]Baskol!$N$921)</f>
        <v/>
      </c>
      <c r="AD918">
        <f>IF([2]Baskol!$O$921="","",[2]Baskol!$O$921)</f>
        <v/>
      </c>
      <c r="AE918">
        <f>IF([3]Entry!$C$921="","",[3]Entry!$C$921)</f>
        <v/>
      </c>
      <c r="AF918">
        <f>IF([3]Entry!$D$921="","",[3]Entry!$D$921)</f>
        <v/>
      </c>
      <c r="AG918">
        <f>IF([3]Entry!$E$921="","",[3]Entry!$E$921)</f>
        <v/>
      </c>
      <c r="AH918">
        <f>IF([3]Entry!$G$921="","",[3]Entry!$G$921)</f>
        <v/>
      </c>
      <c r="AI918">
        <f>IF([3]Entry!$K$921="","",[3]Entry!$K$921)</f>
        <v/>
      </c>
      <c r="AJ918">
        <f>IF([3]Entry!$L$921="","",[3]Entry!$L$921)</f>
        <v/>
      </c>
      <c r="AK918">
        <f>IF([3]Entry!$M$921="","",[3]Entry!$M$921)</f>
        <v/>
      </c>
      <c r="AL918">
        <f>IF([3]Entry!$N$921="","",[3]Entry!$N$921)</f>
        <v/>
      </c>
      <c r="AM918">
        <f>IF([3]Entry!$R$921="","",[3]Entry!$R$921)</f>
        <v/>
      </c>
    </row>
    <row r="919">
      <c r="T919">
        <f>IF([2]Baskol!$B$922="","",[2]Baskol!$B$922)</f>
        <v/>
      </c>
      <c r="U919">
        <f>IF([2]Baskol!$C$922="","",[2]Baskol!$C$922)</f>
        <v/>
      </c>
      <c r="V919">
        <f>IF([2]Baskol!$D$922="","",[2]Baskol!$D$922)</f>
        <v/>
      </c>
      <c r="W919">
        <f>IF([2]Baskol!$E$922="","",[2]Baskol!$E$922)</f>
        <v/>
      </c>
      <c r="X919">
        <f>IF([2]Baskol!$G$922="","",[2]Baskol!$G$922)</f>
        <v/>
      </c>
      <c r="Y919">
        <f>IF([2]Baskol!$I$922="","",[2]Baskol!$I$922)</f>
        <v/>
      </c>
      <c r="Z919">
        <f>IF([2]Baskol!$J$922="","",[2]Baskol!$J$922)</f>
        <v/>
      </c>
      <c r="AA919">
        <f>IF([2]Baskol!$K$922="","",[2]Baskol!$K$922)</f>
        <v/>
      </c>
      <c r="AB919">
        <f>IF([2]Baskol!$L$922="","",[2]Baskol!$L$922)</f>
        <v/>
      </c>
      <c r="AC919">
        <f>IF([2]Baskol!$N$922="","",[2]Baskol!$N$922)</f>
        <v/>
      </c>
      <c r="AD919">
        <f>IF([2]Baskol!$O$922="","",[2]Baskol!$O$922)</f>
        <v/>
      </c>
      <c r="AE919">
        <f>IF([3]Entry!$C$922="","",[3]Entry!$C$922)</f>
        <v/>
      </c>
      <c r="AF919">
        <f>IF([3]Entry!$D$922="","",[3]Entry!$D$922)</f>
        <v/>
      </c>
      <c r="AG919">
        <f>IF([3]Entry!$E$922="","",[3]Entry!$E$922)</f>
        <v/>
      </c>
      <c r="AH919">
        <f>IF([3]Entry!$G$922="","",[3]Entry!$G$922)</f>
        <v/>
      </c>
      <c r="AI919">
        <f>IF([3]Entry!$K$922="","",[3]Entry!$K$922)</f>
        <v/>
      </c>
      <c r="AJ919">
        <f>IF([3]Entry!$L$922="","",[3]Entry!$L$922)</f>
        <v/>
      </c>
      <c r="AK919">
        <f>IF([3]Entry!$M$922="","",[3]Entry!$M$922)</f>
        <v/>
      </c>
      <c r="AL919">
        <f>IF([3]Entry!$N$922="","",[3]Entry!$N$922)</f>
        <v/>
      </c>
      <c r="AM919">
        <f>IF([3]Entry!$R$922="","",[3]Entry!$R$922)</f>
        <v/>
      </c>
    </row>
    <row r="920">
      <c r="T920">
        <f>IF([2]Baskol!$B$923="","",[2]Baskol!$B$923)</f>
        <v/>
      </c>
      <c r="U920">
        <f>IF([2]Baskol!$C$923="","",[2]Baskol!$C$923)</f>
        <v/>
      </c>
      <c r="V920">
        <f>IF([2]Baskol!$D$923="","",[2]Baskol!$D$923)</f>
        <v/>
      </c>
      <c r="W920">
        <f>IF([2]Baskol!$E$923="","",[2]Baskol!$E$923)</f>
        <v/>
      </c>
      <c r="X920">
        <f>IF([2]Baskol!$G$923="","",[2]Baskol!$G$923)</f>
        <v/>
      </c>
      <c r="Y920">
        <f>IF([2]Baskol!$I$923="","",[2]Baskol!$I$923)</f>
        <v/>
      </c>
      <c r="Z920">
        <f>IF([2]Baskol!$J$923="","",[2]Baskol!$J$923)</f>
        <v/>
      </c>
      <c r="AA920">
        <f>IF([2]Baskol!$K$923="","",[2]Baskol!$K$923)</f>
        <v/>
      </c>
      <c r="AB920">
        <f>IF([2]Baskol!$L$923="","",[2]Baskol!$L$923)</f>
        <v/>
      </c>
      <c r="AC920">
        <f>IF([2]Baskol!$N$923="","",[2]Baskol!$N$923)</f>
        <v/>
      </c>
      <c r="AD920">
        <f>IF([2]Baskol!$O$923="","",[2]Baskol!$O$923)</f>
        <v/>
      </c>
      <c r="AE920">
        <f>IF([3]Entry!$C$923="","",[3]Entry!$C$923)</f>
        <v/>
      </c>
      <c r="AF920">
        <f>IF([3]Entry!$D$923="","",[3]Entry!$D$923)</f>
        <v/>
      </c>
      <c r="AG920">
        <f>IF([3]Entry!$E$923="","",[3]Entry!$E$923)</f>
        <v/>
      </c>
      <c r="AH920">
        <f>IF([3]Entry!$G$923="","",[3]Entry!$G$923)</f>
        <v/>
      </c>
      <c r="AI920">
        <f>IF([3]Entry!$K$923="","",[3]Entry!$K$923)</f>
        <v/>
      </c>
      <c r="AJ920">
        <f>IF([3]Entry!$L$923="","",[3]Entry!$L$923)</f>
        <v/>
      </c>
      <c r="AK920">
        <f>IF([3]Entry!$M$923="","",[3]Entry!$M$923)</f>
        <v/>
      </c>
      <c r="AL920">
        <f>IF([3]Entry!$N$923="","",[3]Entry!$N$923)</f>
        <v/>
      </c>
      <c r="AM920">
        <f>IF([3]Entry!$R$923="","",[3]Entry!$R$923)</f>
        <v/>
      </c>
    </row>
    <row r="921">
      <c r="T921">
        <f>IF([2]Baskol!$B$924="","",[2]Baskol!$B$924)</f>
        <v/>
      </c>
      <c r="U921">
        <f>IF([2]Baskol!$C$924="","",[2]Baskol!$C$924)</f>
        <v/>
      </c>
      <c r="V921">
        <f>IF([2]Baskol!$D$924="","",[2]Baskol!$D$924)</f>
        <v/>
      </c>
      <c r="W921">
        <f>IF([2]Baskol!$E$924="","",[2]Baskol!$E$924)</f>
        <v/>
      </c>
      <c r="X921">
        <f>IF([2]Baskol!$G$924="","",[2]Baskol!$G$924)</f>
        <v/>
      </c>
      <c r="Y921">
        <f>IF([2]Baskol!$I$924="","",[2]Baskol!$I$924)</f>
        <v/>
      </c>
      <c r="Z921">
        <f>IF([2]Baskol!$J$924="","",[2]Baskol!$J$924)</f>
        <v/>
      </c>
      <c r="AA921">
        <f>IF([2]Baskol!$K$924="","",[2]Baskol!$K$924)</f>
        <v/>
      </c>
      <c r="AB921">
        <f>IF([2]Baskol!$L$924="","",[2]Baskol!$L$924)</f>
        <v/>
      </c>
      <c r="AC921">
        <f>IF([2]Baskol!$N$924="","",[2]Baskol!$N$924)</f>
        <v/>
      </c>
      <c r="AD921">
        <f>IF([2]Baskol!$O$924="","",[2]Baskol!$O$924)</f>
        <v/>
      </c>
      <c r="AE921">
        <f>IF([3]Entry!$C$924="","",[3]Entry!$C$924)</f>
        <v/>
      </c>
      <c r="AF921">
        <f>IF([3]Entry!$D$924="","",[3]Entry!$D$924)</f>
        <v/>
      </c>
      <c r="AG921">
        <f>IF([3]Entry!$E$924="","",[3]Entry!$E$924)</f>
        <v/>
      </c>
      <c r="AH921">
        <f>IF([3]Entry!$G$924="","",[3]Entry!$G$924)</f>
        <v/>
      </c>
      <c r="AI921">
        <f>IF([3]Entry!$K$924="","",[3]Entry!$K$924)</f>
        <v/>
      </c>
      <c r="AJ921">
        <f>IF([3]Entry!$L$924="","",[3]Entry!$L$924)</f>
        <v/>
      </c>
      <c r="AK921">
        <f>IF([3]Entry!$M$924="","",[3]Entry!$M$924)</f>
        <v/>
      </c>
      <c r="AL921">
        <f>IF([3]Entry!$N$924="","",[3]Entry!$N$924)</f>
        <v/>
      </c>
      <c r="AM921">
        <f>IF([3]Entry!$R$924="","",[3]Entry!$R$924)</f>
        <v/>
      </c>
    </row>
    <row r="922">
      <c r="T922">
        <f>IF([2]Baskol!$B$925="","",[2]Baskol!$B$925)</f>
        <v/>
      </c>
      <c r="U922">
        <f>IF([2]Baskol!$C$925="","",[2]Baskol!$C$925)</f>
        <v/>
      </c>
      <c r="V922">
        <f>IF([2]Baskol!$D$925="","",[2]Baskol!$D$925)</f>
        <v/>
      </c>
      <c r="W922">
        <f>IF([2]Baskol!$E$925="","",[2]Baskol!$E$925)</f>
        <v/>
      </c>
      <c r="X922">
        <f>IF([2]Baskol!$G$925="","",[2]Baskol!$G$925)</f>
        <v/>
      </c>
      <c r="Y922">
        <f>IF([2]Baskol!$I$925="","",[2]Baskol!$I$925)</f>
        <v/>
      </c>
      <c r="Z922">
        <f>IF([2]Baskol!$J$925="","",[2]Baskol!$J$925)</f>
        <v/>
      </c>
      <c r="AA922">
        <f>IF([2]Baskol!$K$925="","",[2]Baskol!$K$925)</f>
        <v/>
      </c>
      <c r="AB922">
        <f>IF([2]Baskol!$L$925="","",[2]Baskol!$L$925)</f>
        <v/>
      </c>
      <c r="AC922">
        <f>IF([2]Baskol!$N$925="","",[2]Baskol!$N$925)</f>
        <v/>
      </c>
      <c r="AD922">
        <f>IF([2]Baskol!$O$925="","",[2]Baskol!$O$925)</f>
        <v/>
      </c>
      <c r="AE922">
        <f>IF([3]Entry!$C$925="","",[3]Entry!$C$925)</f>
        <v/>
      </c>
      <c r="AF922">
        <f>IF([3]Entry!$D$925="","",[3]Entry!$D$925)</f>
        <v/>
      </c>
      <c r="AG922">
        <f>IF([3]Entry!$E$925="","",[3]Entry!$E$925)</f>
        <v/>
      </c>
      <c r="AH922">
        <f>IF([3]Entry!$G$925="","",[3]Entry!$G$925)</f>
        <v/>
      </c>
      <c r="AI922">
        <f>IF([3]Entry!$K$925="","",[3]Entry!$K$925)</f>
        <v/>
      </c>
      <c r="AJ922">
        <f>IF([3]Entry!$L$925="","",[3]Entry!$L$925)</f>
        <v/>
      </c>
      <c r="AK922">
        <f>IF([3]Entry!$M$925="","",[3]Entry!$M$925)</f>
        <v/>
      </c>
      <c r="AL922">
        <f>IF([3]Entry!$N$925="","",[3]Entry!$N$925)</f>
        <v/>
      </c>
      <c r="AM922">
        <f>IF([3]Entry!$R$925="","",[3]Entry!$R$925)</f>
        <v/>
      </c>
    </row>
    <row r="923">
      <c r="T923">
        <f>IF([2]Baskol!$B$926="","",[2]Baskol!$B$926)</f>
        <v/>
      </c>
      <c r="U923">
        <f>IF([2]Baskol!$C$926="","",[2]Baskol!$C$926)</f>
        <v/>
      </c>
      <c r="V923">
        <f>IF([2]Baskol!$D$926="","",[2]Baskol!$D$926)</f>
        <v/>
      </c>
      <c r="W923">
        <f>IF([2]Baskol!$E$926="","",[2]Baskol!$E$926)</f>
        <v/>
      </c>
      <c r="X923">
        <f>IF([2]Baskol!$G$926="","",[2]Baskol!$G$926)</f>
        <v/>
      </c>
      <c r="Y923">
        <f>IF([2]Baskol!$I$926="","",[2]Baskol!$I$926)</f>
        <v/>
      </c>
      <c r="Z923">
        <f>IF([2]Baskol!$J$926="","",[2]Baskol!$J$926)</f>
        <v/>
      </c>
      <c r="AA923">
        <f>IF([2]Baskol!$K$926="","",[2]Baskol!$K$926)</f>
        <v/>
      </c>
      <c r="AB923">
        <f>IF([2]Baskol!$L$926="","",[2]Baskol!$L$926)</f>
        <v/>
      </c>
      <c r="AC923">
        <f>IF([2]Baskol!$N$926="","",[2]Baskol!$N$926)</f>
        <v/>
      </c>
      <c r="AD923">
        <f>IF([2]Baskol!$O$926="","",[2]Baskol!$O$926)</f>
        <v/>
      </c>
      <c r="AE923">
        <f>IF([3]Entry!$C$926="","",[3]Entry!$C$926)</f>
        <v/>
      </c>
      <c r="AF923">
        <f>IF([3]Entry!$D$926="","",[3]Entry!$D$926)</f>
        <v/>
      </c>
      <c r="AG923">
        <f>IF([3]Entry!$E$926="","",[3]Entry!$E$926)</f>
        <v/>
      </c>
      <c r="AH923">
        <f>IF([3]Entry!$G$926="","",[3]Entry!$G$926)</f>
        <v/>
      </c>
      <c r="AI923">
        <f>IF([3]Entry!$K$926="","",[3]Entry!$K$926)</f>
        <v/>
      </c>
      <c r="AJ923">
        <f>IF([3]Entry!$L$926="","",[3]Entry!$L$926)</f>
        <v/>
      </c>
      <c r="AK923">
        <f>IF([3]Entry!$M$926="","",[3]Entry!$M$926)</f>
        <v/>
      </c>
      <c r="AL923">
        <f>IF([3]Entry!$N$926="","",[3]Entry!$N$926)</f>
        <v/>
      </c>
      <c r="AM923">
        <f>IF([3]Entry!$R$926="","",[3]Entry!$R$926)</f>
        <v/>
      </c>
    </row>
    <row r="924">
      <c r="T924">
        <f>IF([2]Baskol!$B$927="","",[2]Baskol!$B$927)</f>
        <v/>
      </c>
      <c r="U924">
        <f>IF([2]Baskol!$C$927="","",[2]Baskol!$C$927)</f>
        <v/>
      </c>
      <c r="V924">
        <f>IF([2]Baskol!$D$927="","",[2]Baskol!$D$927)</f>
        <v/>
      </c>
      <c r="W924">
        <f>IF([2]Baskol!$E$927="","",[2]Baskol!$E$927)</f>
        <v/>
      </c>
      <c r="X924">
        <f>IF([2]Baskol!$G$927="","",[2]Baskol!$G$927)</f>
        <v/>
      </c>
      <c r="Y924">
        <f>IF([2]Baskol!$I$927="","",[2]Baskol!$I$927)</f>
        <v/>
      </c>
      <c r="Z924">
        <f>IF([2]Baskol!$J$927="","",[2]Baskol!$J$927)</f>
        <v/>
      </c>
      <c r="AA924">
        <f>IF([2]Baskol!$K$927="","",[2]Baskol!$K$927)</f>
        <v/>
      </c>
      <c r="AB924">
        <f>IF([2]Baskol!$L$927="","",[2]Baskol!$L$927)</f>
        <v/>
      </c>
      <c r="AC924">
        <f>IF([2]Baskol!$N$927="","",[2]Baskol!$N$927)</f>
        <v/>
      </c>
      <c r="AD924">
        <f>IF([2]Baskol!$O$927="","",[2]Baskol!$O$927)</f>
        <v/>
      </c>
      <c r="AE924">
        <f>IF([3]Entry!$C$927="","",[3]Entry!$C$927)</f>
        <v/>
      </c>
      <c r="AF924">
        <f>IF([3]Entry!$D$927="","",[3]Entry!$D$927)</f>
        <v/>
      </c>
      <c r="AG924">
        <f>IF([3]Entry!$E$927="","",[3]Entry!$E$927)</f>
        <v/>
      </c>
      <c r="AH924">
        <f>IF([3]Entry!$G$927="","",[3]Entry!$G$927)</f>
        <v/>
      </c>
      <c r="AI924">
        <f>IF([3]Entry!$K$927="","",[3]Entry!$K$927)</f>
        <v/>
      </c>
      <c r="AJ924">
        <f>IF([3]Entry!$L$927="","",[3]Entry!$L$927)</f>
        <v/>
      </c>
      <c r="AK924">
        <f>IF([3]Entry!$M$927="","",[3]Entry!$M$927)</f>
        <v/>
      </c>
      <c r="AL924">
        <f>IF([3]Entry!$N$927="","",[3]Entry!$N$927)</f>
        <v/>
      </c>
      <c r="AM924">
        <f>IF([3]Entry!$R$927="","",[3]Entry!$R$927)</f>
        <v/>
      </c>
    </row>
    <row r="925">
      <c r="T925">
        <f>IF([2]Baskol!$B$928="","",[2]Baskol!$B$928)</f>
        <v/>
      </c>
      <c r="U925">
        <f>IF([2]Baskol!$C$928="","",[2]Baskol!$C$928)</f>
        <v/>
      </c>
      <c r="V925">
        <f>IF([2]Baskol!$D$928="","",[2]Baskol!$D$928)</f>
        <v/>
      </c>
      <c r="W925">
        <f>IF([2]Baskol!$E$928="","",[2]Baskol!$E$928)</f>
        <v/>
      </c>
      <c r="X925">
        <f>IF([2]Baskol!$G$928="","",[2]Baskol!$G$928)</f>
        <v/>
      </c>
      <c r="Y925">
        <f>IF([2]Baskol!$I$928="","",[2]Baskol!$I$928)</f>
        <v/>
      </c>
      <c r="Z925">
        <f>IF([2]Baskol!$J$928="","",[2]Baskol!$J$928)</f>
        <v/>
      </c>
      <c r="AA925">
        <f>IF([2]Baskol!$K$928="","",[2]Baskol!$K$928)</f>
        <v/>
      </c>
      <c r="AB925">
        <f>IF([2]Baskol!$L$928="","",[2]Baskol!$L$928)</f>
        <v/>
      </c>
      <c r="AC925">
        <f>IF([2]Baskol!$N$928="","",[2]Baskol!$N$928)</f>
        <v/>
      </c>
      <c r="AD925">
        <f>IF([2]Baskol!$O$928="","",[2]Baskol!$O$928)</f>
        <v/>
      </c>
      <c r="AE925">
        <f>IF([3]Entry!$C$928="","",[3]Entry!$C$928)</f>
        <v/>
      </c>
      <c r="AF925">
        <f>IF([3]Entry!$D$928="","",[3]Entry!$D$928)</f>
        <v/>
      </c>
      <c r="AG925">
        <f>IF([3]Entry!$E$928="","",[3]Entry!$E$928)</f>
        <v/>
      </c>
      <c r="AH925">
        <f>IF([3]Entry!$G$928="","",[3]Entry!$G$928)</f>
        <v/>
      </c>
      <c r="AI925">
        <f>IF([3]Entry!$K$928="","",[3]Entry!$K$928)</f>
        <v/>
      </c>
      <c r="AJ925">
        <f>IF([3]Entry!$L$928="","",[3]Entry!$L$928)</f>
        <v/>
      </c>
      <c r="AK925">
        <f>IF([3]Entry!$M$928="","",[3]Entry!$M$928)</f>
        <v/>
      </c>
      <c r="AL925">
        <f>IF([3]Entry!$N$928="","",[3]Entry!$N$928)</f>
        <v/>
      </c>
      <c r="AM925">
        <f>IF([3]Entry!$R$928="","",[3]Entry!$R$928)</f>
        <v/>
      </c>
    </row>
    <row r="926">
      <c r="T926">
        <f>IF([2]Baskol!$B$929="","",[2]Baskol!$B$929)</f>
        <v/>
      </c>
      <c r="U926">
        <f>IF([2]Baskol!$C$929="","",[2]Baskol!$C$929)</f>
        <v/>
      </c>
      <c r="V926">
        <f>IF([2]Baskol!$D$929="","",[2]Baskol!$D$929)</f>
        <v/>
      </c>
      <c r="W926">
        <f>IF([2]Baskol!$E$929="","",[2]Baskol!$E$929)</f>
        <v/>
      </c>
      <c r="X926">
        <f>IF([2]Baskol!$G$929="","",[2]Baskol!$G$929)</f>
        <v/>
      </c>
      <c r="Y926">
        <f>IF([2]Baskol!$I$929="","",[2]Baskol!$I$929)</f>
        <v/>
      </c>
      <c r="Z926">
        <f>IF([2]Baskol!$J$929="","",[2]Baskol!$J$929)</f>
        <v/>
      </c>
      <c r="AA926">
        <f>IF([2]Baskol!$K$929="","",[2]Baskol!$K$929)</f>
        <v/>
      </c>
      <c r="AB926">
        <f>IF([2]Baskol!$L$929="","",[2]Baskol!$L$929)</f>
        <v/>
      </c>
      <c r="AC926">
        <f>IF([2]Baskol!$N$929="","",[2]Baskol!$N$929)</f>
        <v/>
      </c>
      <c r="AD926">
        <f>IF([2]Baskol!$O$929="","",[2]Baskol!$O$929)</f>
        <v/>
      </c>
      <c r="AE926">
        <f>IF([3]Entry!$C$929="","",[3]Entry!$C$929)</f>
        <v/>
      </c>
      <c r="AF926">
        <f>IF([3]Entry!$D$929="","",[3]Entry!$D$929)</f>
        <v/>
      </c>
      <c r="AG926">
        <f>IF([3]Entry!$E$929="","",[3]Entry!$E$929)</f>
        <v/>
      </c>
      <c r="AH926">
        <f>IF([3]Entry!$G$929="","",[3]Entry!$G$929)</f>
        <v/>
      </c>
      <c r="AI926">
        <f>IF([3]Entry!$K$929="","",[3]Entry!$K$929)</f>
        <v/>
      </c>
      <c r="AJ926">
        <f>IF([3]Entry!$L$929="","",[3]Entry!$L$929)</f>
        <v/>
      </c>
      <c r="AK926">
        <f>IF([3]Entry!$M$929="","",[3]Entry!$M$929)</f>
        <v/>
      </c>
      <c r="AL926">
        <f>IF([3]Entry!$N$929="","",[3]Entry!$N$929)</f>
        <v/>
      </c>
      <c r="AM926">
        <f>IF([3]Entry!$R$929="","",[3]Entry!$R$929)</f>
        <v/>
      </c>
    </row>
    <row r="927">
      <c r="T927">
        <f>IF([2]Baskol!$B$930="","",[2]Baskol!$B$930)</f>
        <v/>
      </c>
      <c r="U927">
        <f>IF([2]Baskol!$C$930="","",[2]Baskol!$C$930)</f>
        <v/>
      </c>
      <c r="V927">
        <f>IF([2]Baskol!$D$930="","",[2]Baskol!$D$930)</f>
        <v/>
      </c>
      <c r="W927">
        <f>IF([2]Baskol!$E$930="","",[2]Baskol!$E$930)</f>
        <v/>
      </c>
      <c r="X927">
        <f>IF([2]Baskol!$G$930="","",[2]Baskol!$G$930)</f>
        <v/>
      </c>
      <c r="Y927">
        <f>IF([2]Baskol!$I$930="","",[2]Baskol!$I$930)</f>
        <v/>
      </c>
      <c r="Z927">
        <f>IF([2]Baskol!$J$930="","",[2]Baskol!$J$930)</f>
        <v/>
      </c>
      <c r="AA927">
        <f>IF([2]Baskol!$K$930="","",[2]Baskol!$K$930)</f>
        <v/>
      </c>
      <c r="AB927">
        <f>IF([2]Baskol!$L$930="","",[2]Baskol!$L$930)</f>
        <v/>
      </c>
      <c r="AC927">
        <f>IF([2]Baskol!$N$930="","",[2]Baskol!$N$930)</f>
        <v/>
      </c>
      <c r="AD927">
        <f>IF([2]Baskol!$O$930="","",[2]Baskol!$O$930)</f>
        <v/>
      </c>
      <c r="AE927">
        <f>IF([3]Entry!$C$930="","",[3]Entry!$C$930)</f>
        <v/>
      </c>
      <c r="AF927">
        <f>IF([3]Entry!$D$930="","",[3]Entry!$D$930)</f>
        <v/>
      </c>
      <c r="AG927">
        <f>IF([3]Entry!$E$930="","",[3]Entry!$E$930)</f>
        <v/>
      </c>
      <c r="AH927">
        <f>IF([3]Entry!$G$930="","",[3]Entry!$G$930)</f>
        <v/>
      </c>
      <c r="AI927">
        <f>IF([3]Entry!$K$930="","",[3]Entry!$K$930)</f>
        <v/>
      </c>
      <c r="AJ927">
        <f>IF([3]Entry!$L$930="","",[3]Entry!$L$930)</f>
        <v/>
      </c>
      <c r="AK927">
        <f>IF([3]Entry!$M$930="","",[3]Entry!$M$930)</f>
        <v/>
      </c>
      <c r="AL927">
        <f>IF([3]Entry!$N$930="","",[3]Entry!$N$930)</f>
        <v/>
      </c>
      <c r="AM927">
        <f>IF([3]Entry!$R$930="","",[3]Entry!$R$930)</f>
        <v/>
      </c>
    </row>
    <row r="928">
      <c r="T928">
        <f>IF([2]Baskol!$B$931="","",[2]Baskol!$B$931)</f>
        <v/>
      </c>
      <c r="U928">
        <f>IF([2]Baskol!$C$931="","",[2]Baskol!$C$931)</f>
        <v/>
      </c>
      <c r="V928">
        <f>IF([2]Baskol!$D$931="","",[2]Baskol!$D$931)</f>
        <v/>
      </c>
      <c r="W928">
        <f>IF([2]Baskol!$E$931="","",[2]Baskol!$E$931)</f>
        <v/>
      </c>
      <c r="X928">
        <f>IF([2]Baskol!$G$931="","",[2]Baskol!$G$931)</f>
        <v/>
      </c>
      <c r="Y928">
        <f>IF([2]Baskol!$I$931="","",[2]Baskol!$I$931)</f>
        <v/>
      </c>
      <c r="Z928">
        <f>IF([2]Baskol!$J$931="","",[2]Baskol!$J$931)</f>
        <v/>
      </c>
      <c r="AA928">
        <f>IF([2]Baskol!$K$931="","",[2]Baskol!$K$931)</f>
        <v/>
      </c>
      <c r="AB928">
        <f>IF([2]Baskol!$L$931="","",[2]Baskol!$L$931)</f>
        <v/>
      </c>
      <c r="AC928">
        <f>IF([2]Baskol!$N$931="","",[2]Baskol!$N$931)</f>
        <v/>
      </c>
      <c r="AD928">
        <f>IF([2]Baskol!$O$931="","",[2]Baskol!$O$931)</f>
        <v/>
      </c>
      <c r="AE928">
        <f>IF([3]Entry!$C$931="","",[3]Entry!$C$931)</f>
        <v/>
      </c>
      <c r="AF928">
        <f>IF([3]Entry!$D$931="","",[3]Entry!$D$931)</f>
        <v/>
      </c>
      <c r="AG928">
        <f>IF([3]Entry!$E$931="","",[3]Entry!$E$931)</f>
        <v/>
      </c>
      <c r="AH928">
        <f>IF([3]Entry!$G$931="","",[3]Entry!$G$931)</f>
        <v/>
      </c>
      <c r="AI928">
        <f>IF([3]Entry!$K$931="","",[3]Entry!$K$931)</f>
        <v/>
      </c>
      <c r="AJ928">
        <f>IF([3]Entry!$L$931="","",[3]Entry!$L$931)</f>
        <v/>
      </c>
      <c r="AK928">
        <f>IF([3]Entry!$M$931="","",[3]Entry!$M$931)</f>
        <v/>
      </c>
      <c r="AL928">
        <f>IF([3]Entry!$N$931="","",[3]Entry!$N$931)</f>
        <v/>
      </c>
      <c r="AM928">
        <f>IF([3]Entry!$R$931="","",[3]Entry!$R$931)</f>
        <v/>
      </c>
    </row>
    <row r="929">
      <c r="T929">
        <f>IF([2]Baskol!$B$932="","",[2]Baskol!$B$932)</f>
        <v/>
      </c>
      <c r="U929">
        <f>IF([2]Baskol!$C$932="","",[2]Baskol!$C$932)</f>
        <v/>
      </c>
      <c r="V929">
        <f>IF([2]Baskol!$D$932="","",[2]Baskol!$D$932)</f>
        <v/>
      </c>
      <c r="W929">
        <f>IF([2]Baskol!$E$932="","",[2]Baskol!$E$932)</f>
        <v/>
      </c>
      <c r="X929">
        <f>IF([2]Baskol!$G$932="","",[2]Baskol!$G$932)</f>
        <v/>
      </c>
      <c r="Y929">
        <f>IF([2]Baskol!$I$932="","",[2]Baskol!$I$932)</f>
        <v/>
      </c>
      <c r="Z929">
        <f>IF([2]Baskol!$J$932="","",[2]Baskol!$J$932)</f>
        <v/>
      </c>
      <c r="AA929">
        <f>IF([2]Baskol!$K$932="","",[2]Baskol!$K$932)</f>
        <v/>
      </c>
      <c r="AB929">
        <f>IF([2]Baskol!$L$932="","",[2]Baskol!$L$932)</f>
        <v/>
      </c>
      <c r="AC929">
        <f>IF([2]Baskol!$N$932="","",[2]Baskol!$N$932)</f>
        <v/>
      </c>
      <c r="AD929">
        <f>IF([2]Baskol!$O$932="","",[2]Baskol!$O$932)</f>
        <v/>
      </c>
      <c r="AE929">
        <f>IF([3]Entry!$C$932="","",[3]Entry!$C$932)</f>
        <v/>
      </c>
      <c r="AF929">
        <f>IF([3]Entry!$D$932="","",[3]Entry!$D$932)</f>
        <v/>
      </c>
      <c r="AG929">
        <f>IF([3]Entry!$E$932="","",[3]Entry!$E$932)</f>
        <v/>
      </c>
      <c r="AH929">
        <f>IF([3]Entry!$G$932="","",[3]Entry!$G$932)</f>
        <v/>
      </c>
      <c r="AI929">
        <f>IF([3]Entry!$K$932="","",[3]Entry!$K$932)</f>
        <v/>
      </c>
      <c r="AJ929">
        <f>IF([3]Entry!$L$932="","",[3]Entry!$L$932)</f>
        <v/>
      </c>
      <c r="AK929">
        <f>IF([3]Entry!$M$932="","",[3]Entry!$M$932)</f>
        <v/>
      </c>
      <c r="AL929">
        <f>IF([3]Entry!$N$932="","",[3]Entry!$N$932)</f>
        <v/>
      </c>
      <c r="AM929">
        <f>IF([3]Entry!$R$932="","",[3]Entry!$R$932)</f>
        <v/>
      </c>
    </row>
    <row r="930">
      <c r="T930">
        <f>IF([2]Baskol!$B$933="","",[2]Baskol!$B$933)</f>
        <v/>
      </c>
      <c r="U930">
        <f>IF([2]Baskol!$C$933="","",[2]Baskol!$C$933)</f>
        <v/>
      </c>
      <c r="V930">
        <f>IF([2]Baskol!$D$933="","",[2]Baskol!$D$933)</f>
        <v/>
      </c>
      <c r="W930">
        <f>IF([2]Baskol!$E$933="","",[2]Baskol!$E$933)</f>
        <v/>
      </c>
      <c r="X930">
        <f>IF([2]Baskol!$G$933="","",[2]Baskol!$G$933)</f>
        <v/>
      </c>
      <c r="Y930">
        <f>IF([2]Baskol!$I$933="","",[2]Baskol!$I$933)</f>
        <v/>
      </c>
      <c r="Z930">
        <f>IF([2]Baskol!$J$933="","",[2]Baskol!$J$933)</f>
        <v/>
      </c>
      <c r="AA930">
        <f>IF([2]Baskol!$K$933="","",[2]Baskol!$K$933)</f>
        <v/>
      </c>
      <c r="AB930">
        <f>IF([2]Baskol!$L$933="","",[2]Baskol!$L$933)</f>
        <v/>
      </c>
      <c r="AC930">
        <f>IF([2]Baskol!$N$933="","",[2]Baskol!$N$933)</f>
        <v/>
      </c>
      <c r="AD930">
        <f>IF([2]Baskol!$O$933="","",[2]Baskol!$O$933)</f>
        <v/>
      </c>
      <c r="AE930">
        <f>IF([3]Entry!$C$933="","",[3]Entry!$C$933)</f>
        <v/>
      </c>
      <c r="AF930">
        <f>IF([3]Entry!$D$933="","",[3]Entry!$D$933)</f>
        <v/>
      </c>
      <c r="AG930">
        <f>IF([3]Entry!$E$933="","",[3]Entry!$E$933)</f>
        <v/>
      </c>
      <c r="AH930">
        <f>IF([3]Entry!$G$933="","",[3]Entry!$G$933)</f>
        <v/>
      </c>
      <c r="AI930">
        <f>IF([3]Entry!$K$933="","",[3]Entry!$K$933)</f>
        <v/>
      </c>
      <c r="AJ930">
        <f>IF([3]Entry!$L$933="","",[3]Entry!$L$933)</f>
        <v/>
      </c>
      <c r="AK930">
        <f>IF([3]Entry!$M$933="","",[3]Entry!$M$933)</f>
        <v/>
      </c>
      <c r="AL930">
        <f>IF([3]Entry!$N$933="","",[3]Entry!$N$933)</f>
        <v/>
      </c>
      <c r="AM930">
        <f>IF([3]Entry!$R$933="","",[3]Entry!$R$933)</f>
        <v/>
      </c>
    </row>
    <row r="931">
      <c r="T931">
        <f>IF([2]Baskol!$B$934="","",[2]Baskol!$B$934)</f>
        <v/>
      </c>
      <c r="U931">
        <f>IF([2]Baskol!$C$934="","",[2]Baskol!$C$934)</f>
        <v/>
      </c>
      <c r="V931">
        <f>IF([2]Baskol!$D$934="","",[2]Baskol!$D$934)</f>
        <v/>
      </c>
      <c r="W931">
        <f>IF([2]Baskol!$E$934="","",[2]Baskol!$E$934)</f>
        <v/>
      </c>
      <c r="X931">
        <f>IF([2]Baskol!$G$934="","",[2]Baskol!$G$934)</f>
        <v/>
      </c>
      <c r="Y931">
        <f>IF([2]Baskol!$I$934="","",[2]Baskol!$I$934)</f>
        <v/>
      </c>
      <c r="Z931">
        <f>IF([2]Baskol!$J$934="","",[2]Baskol!$J$934)</f>
        <v/>
      </c>
      <c r="AA931">
        <f>IF([2]Baskol!$K$934="","",[2]Baskol!$K$934)</f>
        <v/>
      </c>
      <c r="AB931">
        <f>IF([2]Baskol!$L$934="","",[2]Baskol!$L$934)</f>
        <v/>
      </c>
      <c r="AC931">
        <f>IF([2]Baskol!$N$934="","",[2]Baskol!$N$934)</f>
        <v/>
      </c>
      <c r="AD931">
        <f>IF([2]Baskol!$O$934="","",[2]Baskol!$O$934)</f>
        <v/>
      </c>
      <c r="AE931">
        <f>IF([3]Entry!$C$934="","",[3]Entry!$C$934)</f>
        <v/>
      </c>
      <c r="AF931">
        <f>IF([3]Entry!$D$934="","",[3]Entry!$D$934)</f>
        <v/>
      </c>
      <c r="AG931">
        <f>IF([3]Entry!$E$934="","",[3]Entry!$E$934)</f>
        <v/>
      </c>
      <c r="AH931">
        <f>IF([3]Entry!$G$934="","",[3]Entry!$G$934)</f>
        <v/>
      </c>
      <c r="AI931">
        <f>IF([3]Entry!$K$934="","",[3]Entry!$K$934)</f>
        <v/>
      </c>
      <c r="AJ931">
        <f>IF([3]Entry!$L$934="","",[3]Entry!$L$934)</f>
        <v/>
      </c>
      <c r="AK931">
        <f>IF([3]Entry!$M$934="","",[3]Entry!$M$934)</f>
        <v/>
      </c>
      <c r="AL931">
        <f>IF([3]Entry!$N$934="","",[3]Entry!$N$934)</f>
        <v/>
      </c>
      <c r="AM931">
        <f>IF([3]Entry!$R$934="","",[3]Entry!$R$934)</f>
        <v/>
      </c>
    </row>
    <row r="932">
      <c r="T932">
        <f>IF([2]Baskol!$B$935="","",[2]Baskol!$B$935)</f>
        <v/>
      </c>
      <c r="U932">
        <f>IF([2]Baskol!$C$935="","",[2]Baskol!$C$935)</f>
        <v/>
      </c>
      <c r="V932">
        <f>IF([2]Baskol!$D$935="","",[2]Baskol!$D$935)</f>
        <v/>
      </c>
      <c r="W932">
        <f>IF([2]Baskol!$E$935="","",[2]Baskol!$E$935)</f>
        <v/>
      </c>
      <c r="X932">
        <f>IF([2]Baskol!$G$935="","",[2]Baskol!$G$935)</f>
        <v/>
      </c>
      <c r="Y932">
        <f>IF([2]Baskol!$I$935="","",[2]Baskol!$I$935)</f>
        <v/>
      </c>
      <c r="Z932">
        <f>IF([2]Baskol!$J$935="","",[2]Baskol!$J$935)</f>
        <v/>
      </c>
      <c r="AA932">
        <f>IF([2]Baskol!$K$935="","",[2]Baskol!$K$935)</f>
        <v/>
      </c>
      <c r="AB932">
        <f>IF([2]Baskol!$L$935="","",[2]Baskol!$L$935)</f>
        <v/>
      </c>
      <c r="AC932">
        <f>IF([2]Baskol!$N$935="","",[2]Baskol!$N$935)</f>
        <v/>
      </c>
      <c r="AD932">
        <f>IF([2]Baskol!$O$935="","",[2]Baskol!$O$935)</f>
        <v/>
      </c>
      <c r="AE932">
        <f>IF([3]Entry!$C$935="","",[3]Entry!$C$935)</f>
        <v/>
      </c>
      <c r="AF932">
        <f>IF([3]Entry!$D$935="","",[3]Entry!$D$935)</f>
        <v/>
      </c>
      <c r="AG932">
        <f>IF([3]Entry!$E$935="","",[3]Entry!$E$935)</f>
        <v/>
      </c>
      <c r="AH932">
        <f>IF([3]Entry!$G$935="","",[3]Entry!$G$935)</f>
        <v/>
      </c>
      <c r="AI932">
        <f>IF([3]Entry!$K$935="","",[3]Entry!$K$935)</f>
        <v/>
      </c>
      <c r="AJ932">
        <f>IF([3]Entry!$L$935="","",[3]Entry!$L$935)</f>
        <v/>
      </c>
      <c r="AK932">
        <f>IF([3]Entry!$M$935="","",[3]Entry!$M$935)</f>
        <v/>
      </c>
      <c r="AL932">
        <f>IF([3]Entry!$N$935="","",[3]Entry!$N$935)</f>
        <v/>
      </c>
      <c r="AM932">
        <f>IF([3]Entry!$R$935="","",[3]Entry!$R$935)</f>
        <v/>
      </c>
    </row>
    <row r="933">
      <c r="T933">
        <f>IF([2]Baskol!$B$936="","",[2]Baskol!$B$936)</f>
        <v/>
      </c>
      <c r="U933">
        <f>IF([2]Baskol!$C$936="","",[2]Baskol!$C$936)</f>
        <v/>
      </c>
      <c r="V933">
        <f>IF([2]Baskol!$D$936="","",[2]Baskol!$D$936)</f>
        <v/>
      </c>
      <c r="W933">
        <f>IF([2]Baskol!$E$936="","",[2]Baskol!$E$936)</f>
        <v/>
      </c>
      <c r="X933">
        <f>IF([2]Baskol!$G$936="","",[2]Baskol!$G$936)</f>
        <v/>
      </c>
      <c r="Y933">
        <f>IF([2]Baskol!$I$936="","",[2]Baskol!$I$936)</f>
        <v/>
      </c>
      <c r="Z933">
        <f>IF([2]Baskol!$J$936="","",[2]Baskol!$J$936)</f>
        <v/>
      </c>
      <c r="AA933">
        <f>IF([2]Baskol!$K$936="","",[2]Baskol!$K$936)</f>
        <v/>
      </c>
      <c r="AB933">
        <f>IF([2]Baskol!$L$936="","",[2]Baskol!$L$936)</f>
        <v/>
      </c>
      <c r="AC933">
        <f>IF([2]Baskol!$N$936="","",[2]Baskol!$N$936)</f>
        <v/>
      </c>
      <c r="AD933">
        <f>IF([2]Baskol!$O$936="","",[2]Baskol!$O$936)</f>
        <v/>
      </c>
      <c r="AE933">
        <f>IF([3]Entry!$C$936="","",[3]Entry!$C$936)</f>
        <v/>
      </c>
      <c r="AF933">
        <f>IF([3]Entry!$D$936="","",[3]Entry!$D$936)</f>
        <v/>
      </c>
      <c r="AG933">
        <f>IF([3]Entry!$E$936="","",[3]Entry!$E$936)</f>
        <v/>
      </c>
      <c r="AH933">
        <f>IF([3]Entry!$G$936="","",[3]Entry!$G$936)</f>
        <v/>
      </c>
      <c r="AI933">
        <f>IF([3]Entry!$K$936="","",[3]Entry!$K$936)</f>
        <v/>
      </c>
      <c r="AJ933">
        <f>IF([3]Entry!$L$936="","",[3]Entry!$L$936)</f>
        <v/>
      </c>
      <c r="AK933">
        <f>IF([3]Entry!$M$936="","",[3]Entry!$M$936)</f>
        <v/>
      </c>
      <c r="AL933">
        <f>IF([3]Entry!$N$936="","",[3]Entry!$N$936)</f>
        <v/>
      </c>
      <c r="AM933">
        <f>IF([3]Entry!$R$936="","",[3]Entry!$R$936)</f>
        <v/>
      </c>
    </row>
    <row r="934">
      <c r="T934">
        <f>IF([2]Baskol!$B$937="","",[2]Baskol!$B$937)</f>
        <v/>
      </c>
      <c r="U934">
        <f>IF([2]Baskol!$C$937="","",[2]Baskol!$C$937)</f>
        <v/>
      </c>
      <c r="V934">
        <f>IF([2]Baskol!$D$937="","",[2]Baskol!$D$937)</f>
        <v/>
      </c>
      <c r="W934">
        <f>IF([2]Baskol!$E$937="","",[2]Baskol!$E$937)</f>
        <v/>
      </c>
      <c r="X934">
        <f>IF([2]Baskol!$G$937="","",[2]Baskol!$G$937)</f>
        <v/>
      </c>
      <c r="Y934">
        <f>IF([2]Baskol!$I$937="","",[2]Baskol!$I$937)</f>
        <v/>
      </c>
      <c r="Z934">
        <f>IF([2]Baskol!$J$937="","",[2]Baskol!$J$937)</f>
        <v/>
      </c>
      <c r="AA934">
        <f>IF([2]Baskol!$K$937="","",[2]Baskol!$K$937)</f>
        <v/>
      </c>
      <c r="AB934">
        <f>IF([2]Baskol!$L$937="","",[2]Baskol!$L$937)</f>
        <v/>
      </c>
      <c r="AC934">
        <f>IF([2]Baskol!$N$937="","",[2]Baskol!$N$937)</f>
        <v/>
      </c>
      <c r="AD934">
        <f>IF([2]Baskol!$O$937="","",[2]Baskol!$O$937)</f>
        <v/>
      </c>
      <c r="AE934">
        <f>IF([3]Entry!$C$937="","",[3]Entry!$C$937)</f>
        <v/>
      </c>
      <c r="AF934">
        <f>IF([3]Entry!$D$937="","",[3]Entry!$D$937)</f>
        <v/>
      </c>
      <c r="AG934">
        <f>IF([3]Entry!$E$937="","",[3]Entry!$E$937)</f>
        <v/>
      </c>
      <c r="AH934">
        <f>IF([3]Entry!$G$937="","",[3]Entry!$G$937)</f>
        <v/>
      </c>
      <c r="AI934">
        <f>IF([3]Entry!$K$937="","",[3]Entry!$K$937)</f>
        <v/>
      </c>
      <c r="AJ934">
        <f>IF([3]Entry!$L$937="","",[3]Entry!$L$937)</f>
        <v/>
      </c>
      <c r="AK934">
        <f>IF([3]Entry!$M$937="","",[3]Entry!$M$937)</f>
        <v/>
      </c>
      <c r="AL934">
        <f>IF([3]Entry!$N$937="","",[3]Entry!$N$937)</f>
        <v/>
      </c>
      <c r="AM934">
        <f>IF([3]Entry!$R$937="","",[3]Entry!$R$937)</f>
        <v/>
      </c>
    </row>
    <row r="935">
      <c r="T935">
        <f>IF([2]Baskol!$B$938="","",[2]Baskol!$B$938)</f>
        <v/>
      </c>
      <c r="U935">
        <f>IF([2]Baskol!$C$938="","",[2]Baskol!$C$938)</f>
        <v/>
      </c>
      <c r="V935">
        <f>IF([2]Baskol!$D$938="","",[2]Baskol!$D$938)</f>
        <v/>
      </c>
      <c r="W935">
        <f>IF([2]Baskol!$E$938="","",[2]Baskol!$E$938)</f>
        <v/>
      </c>
      <c r="X935">
        <f>IF([2]Baskol!$G$938="","",[2]Baskol!$G$938)</f>
        <v/>
      </c>
      <c r="Y935">
        <f>IF([2]Baskol!$I$938="","",[2]Baskol!$I$938)</f>
        <v/>
      </c>
      <c r="Z935">
        <f>IF([2]Baskol!$J$938="","",[2]Baskol!$J$938)</f>
        <v/>
      </c>
      <c r="AA935">
        <f>IF([2]Baskol!$K$938="","",[2]Baskol!$K$938)</f>
        <v/>
      </c>
      <c r="AB935">
        <f>IF([2]Baskol!$L$938="","",[2]Baskol!$L$938)</f>
        <v/>
      </c>
      <c r="AC935">
        <f>IF([2]Baskol!$N$938="","",[2]Baskol!$N$938)</f>
        <v/>
      </c>
      <c r="AD935">
        <f>IF([2]Baskol!$O$938="","",[2]Baskol!$O$938)</f>
        <v/>
      </c>
      <c r="AE935">
        <f>IF([3]Entry!$C$938="","",[3]Entry!$C$938)</f>
        <v/>
      </c>
      <c r="AF935">
        <f>IF([3]Entry!$D$938="","",[3]Entry!$D$938)</f>
        <v/>
      </c>
      <c r="AG935">
        <f>IF([3]Entry!$E$938="","",[3]Entry!$E$938)</f>
        <v/>
      </c>
      <c r="AH935">
        <f>IF([3]Entry!$G$938="","",[3]Entry!$G$938)</f>
        <v/>
      </c>
      <c r="AI935">
        <f>IF([3]Entry!$K$938="","",[3]Entry!$K$938)</f>
        <v/>
      </c>
      <c r="AJ935">
        <f>IF([3]Entry!$L$938="","",[3]Entry!$L$938)</f>
        <v/>
      </c>
      <c r="AK935">
        <f>IF([3]Entry!$M$938="","",[3]Entry!$M$938)</f>
        <v/>
      </c>
      <c r="AL935">
        <f>IF([3]Entry!$N$938="","",[3]Entry!$N$938)</f>
        <v/>
      </c>
      <c r="AM935">
        <f>IF([3]Entry!$R$938="","",[3]Entry!$R$938)</f>
        <v/>
      </c>
    </row>
    <row r="936">
      <c r="T936">
        <f>IF([2]Baskol!$B$939="","",[2]Baskol!$B$939)</f>
        <v/>
      </c>
      <c r="U936">
        <f>IF([2]Baskol!$C$939="","",[2]Baskol!$C$939)</f>
        <v/>
      </c>
      <c r="V936">
        <f>IF([2]Baskol!$D$939="","",[2]Baskol!$D$939)</f>
        <v/>
      </c>
      <c r="W936">
        <f>IF([2]Baskol!$E$939="","",[2]Baskol!$E$939)</f>
        <v/>
      </c>
      <c r="X936">
        <f>IF([2]Baskol!$G$939="","",[2]Baskol!$G$939)</f>
        <v/>
      </c>
      <c r="Y936">
        <f>IF([2]Baskol!$I$939="","",[2]Baskol!$I$939)</f>
        <v/>
      </c>
      <c r="Z936">
        <f>IF([2]Baskol!$J$939="","",[2]Baskol!$J$939)</f>
        <v/>
      </c>
      <c r="AA936">
        <f>IF([2]Baskol!$K$939="","",[2]Baskol!$K$939)</f>
        <v/>
      </c>
      <c r="AB936">
        <f>IF([2]Baskol!$L$939="","",[2]Baskol!$L$939)</f>
        <v/>
      </c>
      <c r="AC936">
        <f>IF([2]Baskol!$N$939="","",[2]Baskol!$N$939)</f>
        <v/>
      </c>
      <c r="AD936">
        <f>IF([2]Baskol!$O$939="","",[2]Baskol!$O$939)</f>
        <v/>
      </c>
      <c r="AE936">
        <f>IF([3]Entry!$C$939="","",[3]Entry!$C$939)</f>
        <v/>
      </c>
      <c r="AF936">
        <f>IF([3]Entry!$D$939="","",[3]Entry!$D$939)</f>
        <v/>
      </c>
      <c r="AG936">
        <f>IF([3]Entry!$E$939="","",[3]Entry!$E$939)</f>
        <v/>
      </c>
      <c r="AH936">
        <f>IF([3]Entry!$G$939="","",[3]Entry!$G$939)</f>
        <v/>
      </c>
      <c r="AI936">
        <f>IF([3]Entry!$K$939="","",[3]Entry!$K$939)</f>
        <v/>
      </c>
      <c r="AJ936">
        <f>IF([3]Entry!$L$939="","",[3]Entry!$L$939)</f>
        <v/>
      </c>
      <c r="AK936">
        <f>IF([3]Entry!$M$939="","",[3]Entry!$M$939)</f>
        <v/>
      </c>
      <c r="AL936">
        <f>IF([3]Entry!$N$939="","",[3]Entry!$N$939)</f>
        <v/>
      </c>
      <c r="AM936">
        <f>IF([3]Entry!$R$939="","",[3]Entry!$R$939)</f>
        <v/>
      </c>
    </row>
    <row r="937">
      <c r="T937">
        <f>IF([2]Baskol!$B$940="","",[2]Baskol!$B$940)</f>
        <v/>
      </c>
      <c r="U937">
        <f>IF([2]Baskol!$C$940="","",[2]Baskol!$C$940)</f>
        <v/>
      </c>
      <c r="V937">
        <f>IF([2]Baskol!$D$940="","",[2]Baskol!$D$940)</f>
        <v/>
      </c>
      <c r="W937">
        <f>IF([2]Baskol!$E$940="","",[2]Baskol!$E$940)</f>
        <v/>
      </c>
      <c r="X937">
        <f>IF([2]Baskol!$G$940="","",[2]Baskol!$G$940)</f>
        <v/>
      </c>
      <c r="Y937">
        <f>IF([2]Baskol!$I$940="","",[2]Baskol!$I$940)</f>
        <v/>
      </c>
      <c r="Z937">
        <f>IF([2]Baskol!$J$940="","",[2]Baskol!$J$940)</f>
        <v/>
      </c>
      <c r="AA937">
        <f>IF([2]Baskol!$K$940="","",[2]Baskol!$K$940)</f>
        <v/>
      </c>
      <c r="AB937">
        <f>IF([2]Baskol!$L$940="","",[2]Baskol!$L$940)</f>
        <v/>
      </c>
      <c r="AC937">
        <f>IF([2]Baskol!$N$940="","",[2]Baskol!$N$940)</f>
        <v/>
      </c>
      <c r="AD937">
        <f>IF([2]Baskol!$O$940="","",[2]Baskol!$O$940)</f>
        <v/>
      </c>
      <c r="AE937">
        <f>IF([3]Entry!$C$940="","",[3]Entry!$C$940)</f>
        <v/>
      </c>
      <c r="AF937">
        <f>IF([3]Entry!$D$940="","",[3]Entry!$D$940)</f>
        <v/>
      </c>
      <c r="AG937">
        <f>IF([3]Entry!$E$940="","",[3]Entry!$E$940)</f>
        <v/>
      </c>
      <c r="AH937">
        <f>IF([3]Entry!$G$940="","",[3]Entry!$G$940)</f>
        <v/>
      </c>
      <c r="AI937">
        <f>IF([3]Entry!$K$940="","",[3]Entry!$K$940)</f>
        <v/>
      </c>
      <c r="AJ937">
        <f>IF([3]Entry!$L$940="","",[3]Entry!$L$940)</f>
        <v/>
      </c>
      <c r="AK937">
        <f>IF([3]Entry!$M$940="","",[3]Entry!$M$940)</f>
        <v/>
      </c>
      <c r="AL937">
        <f>IF([3]Entry!$N$940="","",[3]Entry!$N$940)</f>
        <v/>
      </c>
      <c r="AM937">
        <f>IF([3]Entry!$R$940="","",[3]Entry!$R$940)</f>
        <v/>
      </c>
    </row>
    <row r="938">
      <c r="T938">
        <f>IF([2]Baskol!$B$941="","",[2]Baskol!$B$941)</f>
        <v/>
      </c>
      <c r="U938">
        <f>IF([2]Baskol!$C$941="","",[2]Baskol!$C$941)</f>
        <v/>
      </c>
      <c r="V938">
        <f>IF([2]Baskol!$D$941="","",[2]Baskol!$D$941)</f>
        <v/>
      </c>
      <c r="W938">
        <f>IF([2]Baskol!$E$941="","",[2]Baskol!$E$941)</f>
        <v/>
      </c>
      <c r="X938">
        <f>IF([2]Baskol!$G$941="","",[2]Baskol!$G$941)</f>
        <v/>
      </c>
      <c r="Y938">
        <f>IF([2]Baskol!$I$941="","",[2]Baskol!$I$941)</f>
        <v/>
      </c>
      <c r="Z938">
        <f>IF([2]Baskol!$J$941="","",[2]Baskol!$J$941)</f>
        <v/>
      </c>
      <c r="AA938">
        <f>IF([2]Baskol!$K$941="","",[2]Baskol!$K$941)</f>
        <v/>
      </c>
      <c r="AB938">
        <f>IF([2]Baskol!$L$941="","",[2]Baskol!$L$941)</f>
        <v/>
      </c>
      <c r="AC938">
        <f>IF([2]Baskol!$N$941="","",[2]Baskol!$N$941)</f>
        <v/>
      </c>
      <c r="AD938">
        <f>IF([2]Baskol!$O$941="","",[2]Baskol!$O$941)</f>
        <v/>
      </c>
      <c r="AE938">
        <f>IF([3]Entry!$C$941="","",[3]Entry!$C$941)</f>
        <v/>
      </c>
      <c r="AF938">
        <f>IF([3]Entry!$D$941="","",[3]Entry!$D$941)</f>
        <v/>
      </c>
      <c r="AG938">
        <f>IF([3]Entry!$E$941="","",[3]Entry!$E$941)</f>
        <v/>
      </c>
      <c r="AH938">
        <f>IF([3]Entry!$G$941="","",[3]Entry!$G$941)</f>
        <v/>
      </c>
      <c r="AI938">
        <f>IF([3]Entry!$K$941="","",[3]Entry!$K$941)</f>
        <v/>
      </c>
      <c r="AJ938">
        <f>IF([3]Entry!$L$941="","",[3]Entry!$L$941)</f>
        <v/>
      </c>
      <c r="AK938">
        <f>IF([3]Entry!$M$941="","",[3]Entry!$M$941)</f>
        <v/>
      </c>
      <c r="AL938">
        <f>IF([3]Entry!$N$941="","",[3]Entry!$N$941)</f>
        <v/>
      </c>
      <c r="AM938">
        <f>IF([3]Entry!$R$941="","",[3]Entry!$R$941)</f>
        <v/>
      </c>
    </row>
    <row r="939">
      <c r="T939">
        <f>IF([2]Baskol!$B$942="","",[2]Baskol!$B$942)</f>
        <v/>
      </c>
      <c r="U939">
        <f>IF([2]Baskol!$C$942="","",[2]Baskol!$C$942)</f>
        <v/>
      </c>
      <c r="V939">
        <f>IF([2]Baskol!$D$942="","",[2]Baskol!$D$942)</f>
        <v/>
      </c>
      <c r="W939">
        <f>IF([2]Baskol!$E$942="","",[2]Baskol!$E$942)</f>
        <v/>
      </c>
      <c r="X939">
        <f>IF([2]Baskol!$G$942="","",[2]Baskol!$G$942)</f>
        <v/>
      </c>
      <c r="Y939">
        <f>IF([2]Baskol!$I$942="","",[2]Baskol!$I$942)</f>
        <v/>
      </c>
      <c r="Z939">
        <f>IF([2]Baskol!$J$942="","",[2]Baskol!$J$942)</f>
        <v/>
      </c>
      <c r="AA939">
        <f>IF([2]Baskol!$K$942="","",[2]Baskol!$K$942)</f>
        <v/>
      </c>
      <c r="AB939">
        <f>IF([2]Baskol!$L$942="","",[2]Baskol!$L$942)</f>
        <v/>
      </c>
      <c r="AC939">
        <f>IF([2]Baskol!$N$942="","",[2]Baskol!$N$942)</f>
        <v/>
      </c>
      <c r="AD939">
        <f>IF([2]Baskol!$O$942="","",[2]Baskol!$O$942)</f>
        <v/>
      </c>
      <c r="AE939">
        <f>IF([3]Entry!$C$942="","",[3]Entry!$C$942)</f>
        <v/>
      </c>
      <c r="AF939">
        <f>IF([3]Entry!$D$942="","",[3]Entry!$D$942)</f>
        <v/>
      </c>
      <c r="AG939">
        <f>IF([3]Entry!$E$942="","",[3]Entry!$E$942)</f>
        <v/>
      </c>
      <c r="AH939">
        <f>IF([3]Entry!$G$942="","",[3]Entry!$G$942)</f>
        <v/>
      </c>
      <c r="AI939">
        <f>IF([3]Entry!$K$942="","",[3]Entry!$K$942)</f>
        <v/>
      </c>
      <c r="AJ939">
        <f>IF([3]Entry!$L$942="","",[3]Entry!$L$942)</f>
        <v/>
      </c>
      <c r="AK939">
        <f>IF([3]Entry!$M$942="","",[3]Entry!$M$942)</f>
        <v/>
      </c>
      <c r="AL939">
        <f>IF([3]Entry!$N$942="","",[3]Entry!$N$942)</f>
        <v/>
      </c>
      <c r="AM939">
        <f>IF([3]Entry!$R$942="","",[3]Entry!$R$942)</f>
        <v/>
      </c>
    </row>
    <row r="940">
      <c r="T940">
        <f>IF([2]Baskol!$B$943="","",[2]Baskol!$B$943)</f>
        <v/>
      </c>
      <c r="U940">
        <f>IF([2]Baskol!$C$943="","",[2]Baskol!$C$943)</f>
        <v/>
      </c>
      <c r="V940">
        <f>IF([2]Baskol!$D$943="","",[2]Baskol!$D$943)</f>
        <v/>
      </c>
      <c r="W940">
        <f>IF([2]Baskol!$E$943="","",[2]Baskol!$E$943)</f>
        <v/>
      </c>
      <c r="X940">
        <f>IF([2]Baskol!$G$943="","",[2]Baskol!$G$943)</f>
        <v/>
      </c>
      <c r="Y940">
        <f>IF([2]Baskol!$I$943="","",[2]Baskol!$I$943)</f>
        <v/>
      </c>
      <c r="Z940">
        <f>IF([2]Baskol!$J$943="","",[2]Baskol!$J$943)</f>
        <v/>
      </c>
      <c r="AA940">
        <f>IF([2]Baskol!$K$943="","",[2]Baskol!$K$943)</f>
        <v/>
      </c>
      <c r="AB940">
        <f>IF([2]Baskol!$L$943="","",[2]Baskol!$L$943)</f>
        <v/>
      </c>
      <c r="AC940">
        <f>IF([2]Baskol!$N$943="","",[2]Baskol!$N$943)</f>
        <v/>
      </c>
      <c r="AD940">
        <f>IF([2]Baskol!$O$943="","",[2]Baskol!$O$943)</f>
        <v/>
      </c>
      <c r="AE940">
        <f>IF([3]Entry!$C$943="","",[3]Entry!$C$943)</f>
        <v/>
      </c>
      <c r="AF940">
        <f>IF([3]Entry!$D$943="","",[3]Entry!$D$943)</f>
        <v/>
      </c>
      <c r="AG940">
        <f>IF([3]Entry!$E$943="","",[3]Entry!$E$943)</f>
        <v/>
      </c>
      <c r="AH940">
        <f>IF([3]Entry!$G$943="","",[3]Entry!$G$943)</f>
        <v/>
      </c>
      <c r="AI940">
        <f>IF([3]Entry!$K$943="","",[3]Entry!$K$943)</f>
        <v/>
      </c>
      <c r="AJ940">
        <f>IF([3]Entry!$L$943="","",[3]Entry!$L$943)</f>
        <v/>
      </c>
      <c r="AK940">
        <f>IF([3]Entry!$M$943="","",[3]Entry!$M$943)</f>
        <v/>
      </c>
      <c r="AL940">
        <f>IF([3]Entry!$N$943="","",[3]Entry!$N$943)</f>
        <v/>
      </c>
      <c r="AM940">
        <f>IF([3]Entry!$R$943="","",[3]Entry!$R$943)</f>
        <v/>
      </c>
    </row>
    <row r="941">
      <c r="T941">
        <f>IF([2]Baskol!$B$944="","",[2]Baskol!$B$944)</f>
        <v/>
      </c>
      <c r="U941">
        <f>IF([2]Baskol!$C$944="","",[2]Baskol!$C$944)</f>
        <v/>
      </c>
      <c r="V941">
        <f>IF([2]Baskol!$D$944="","",[2]Baskol!$D$944)</f>
        <v/>
      </c>
      <c r="W941">
        <f>IF([2]Baskol!$E$944="","",[2]Baskol!$E$944)</f>
        <v/>
      </c>
      <c r="X941">
        <f>IF([2]Baskol!$G$944="","",[2]Baskol!$G$944)</f>
        <v/>
      </c>
      <c r="Y941">
        <f>IF([2]Baskol!$I$944="","",[2]Baskol!$I$944)</f>
        <v/>
      </c>
      <c r="Z941">
        <f>IF([2]Baskol!$J$944="","",[2]Baskol!$J$944)</f>
        <v/>
      </c>
      <c r="AA941">
        <f>IF([2]Baskol!$K$944="","",[2]Baskol!$K$944)</f>
        <v/>
      </c>
      <c r="AB941">
        <f>IF([2]Baskol!$L$944="","",[2]Baskol!$L$944)</f>
        <v/>
      </c>
      <c r="AC941">
        <f>IF([2]Baskol!$N$944="","",[2]Baskol!$N$944)</f>
        <v/>
      </c>
      <c r="AD941">
        <f>IF([2]Baskol!$O$944="","",[2]Baskol!$O$944)</f>
        <v/>
      </c>
      <c r="AE941">
        <f>IF([3]Entry!$C$944="","",[3]Entry!$C$944)</f>
        <v/>
      </c>
      <c r="AF941">
        <f>IF([3]Entry!$D$944="","",[3]Entry!$D$944)</f>
        <v/>
      </c>
      <c r="AG941">
        <f>IF([3]Entry!$E$944="","",[3]Entry!$E$944)</f>
        <v/>
      </c>
      <c r="AH941">
        <f>IF([3]Entry!$G$944="","",[3]Entry!$G$944)</f>
        <v/>
      </c>
      <c r="AI941">
        <f>IF([3]Entry!$K$944="","",[3]Entry!$K$944)</f>
        <v/>
      </c>
      <c r="AJ941">
        <f>IF([3]Entry!$L$944="","",[3]Entry!$L$944)</f>
        <v/>
      </c>
      <c r="AK941">
        <f>IF([3]Entry!$M$944="","",[3]Entry!$M$944)</f>
        <v/>
      </c>
      <c r="AL941">
        <f>IF([3]Entry!$N$944="","",[3]Entry!$N$944)</f>
        <v/>
      </c>
      <c r="AM941">
        <f>IF([3]Entry!$R$944="","",[3]Entry!$R$944)</f>
        <v/>
      </c>
    </row>
    <row r="942">
      <c r="T942">
        <f>IF([2]Baskol!$B$945="","",[2]Baskol!$B$945)</f>
        <v/>
      </c>
      <c r="U942">
        <f>IF([2]Baskol!$C$945="","",[2]Baskol!$C$945)</f>
        <v/>
      </c>
      <c r="V942">
        <f>IF([2]Baskol!$D$945="","",[2]Baskol!$D$945)</f>
        <v/>
      </c>
      <c r="W942">
        <f>IF([2]Baskol!$E$945="","",[2]Baskol!$E$945)</f>
        <v/>
      </c>
      <c r="X942">
        <f>IF([2]Baskol!$G$945="","",[2]Baskol!$G$945)</f>
        <v/>
      </c>
      <c r="Y942">
        <f>IF([2]Baskol!$I$945="","",[2]Baskol!$I$945)</f>
        <v/>
      </c>
      <c r="Z942">
        <f>IF([2]Baskol!$J$945="","",[2]Baskol!$J$945)</f>
        <v/>
      </c>
      <c r="AA942">
        <f>IF([2]Baskol!$K$945="","",[2]Baskol!$K$945)</f>
        <v/>
      </c>
      <c r="AB942">
        <f>IF([2]Baskol!$L$945="","",[2]Baskol!$L$945)</f>
        <v/>
      </c>
      <c r="AC942">
        <f>IF([2]Baskol!$N$945="","",[2]Baskol!$N$945)</f>
        <v/>
      </c>
      <c r="AD942">
        <f>IF([2]Baskol!$O$945="","",[2]Baskol!$O$945)</f>
        <v/>
      </c>
      <c r="AE942">
        <f>IF([3]Entry!$C$945="","",[3]Entry!$C$945)</f>
        <v/>
      </c>
      <c r="AF942">
        <f>IF([3]Entry!$D$945="","",[3]Entry!$D$945)</f>
        <v/>
      </c>
      <c r="AG942">
        <f>IF([3]Entry!$E$945="","",[3]Entry!$E$945)</f>
        <v/>
      </c>
      <c r="AH942">
        <f>IF([3]Entry!$G$945="","",[3]Entry!$G$945)</f>
        <v/>
      </c>
      <c r="AI942">
        <f>IF([3]Entry!$K$945="","",[3]Entry!$K$945)</f>
        <v/>
      </c>
      <c r="AJ942">
        <f>IF([3]Entry!$L$945="","",[3]Entry!$L$945)</f>
        <v/>
      </c>
      <c r="AK942">
        <f>IF([3]Entry!$M$945="","",[3]Entry!$M$945)</f>
        <v/>
      </c>
      <c r="AL942">
        <f>IF([3]Entry!$N$945="","",[3]Entry!$N$945)</f>
        <v/>
      </c>
      <c r="AM942">
        <f>IF([3]Entry!$R$945="","",[3]Entry!$R$945)</f>
        <v/>
      </c>
    </row>
    <row r="943">
      <c r="T943">
        <f>IF([2]Baskol!$B$946="","",[2]Baskol!$B$946)</f>
        <v/>
      </c>
      <c r="U943">
        <f>IF([2]Baskol!$C$946="","",[2]Baskol!$C$946)</f>
        <v/>
      </c>
      <c r="V943">
        <f>IF([2]Baskol!$D$946="","",[2]Baskol!$D$946)</f>
        <v/>
      </c>
      <c r="W943">
        <f>IF([2]Baskol!$E$946="","",[2]Baskol!$E$946)</f>
        <v/>
      </c>
      <c r="X943">
        <f>IF([2]Baskol!$G$946="","",[2]Baskol!$G$946)</f>
        <v/>
      </c>
      <c r="Y943">
        <f>IF([2]Baskol!$I$946="","",[2]Baskol!$I$946)</f>
        <v/>
      </c>
      <c r="Z943">
        <f>IF([2]Baskol!$J$946="","",[2]Baskol!$J$946)</f>
        <v/>
      </c>
      <c r="AA943">
        <f>IF([2]Baskol!$K$946="","",[2]Baskol!$K$946)</f>
        <v/>
      </c>
      <c r="AB943">
        <f>IF([2]Baskol!$L$946="","",[2]Baskol!$L$946)</f>
        <v/>
      </c>
      <c r="AC943">
        <f>IF([2]Baskol!$N$946="","",[2]Baskol!$N$946)</f>
        <v/>
      </c>
      <c r="AD943">
        <f>IF([2]Baskol!$O$946="","",[2]Baskol!$O$946)</f>
        <v/>
      </c>
      <c r="AE943">
        <f>IF([3]Entry!$C$946="","",[3]Entry!$C$946)</f>
        <v/>
      </c>
      <c r="AF943">
        <f>IF([3]Entry!$D$946="","",[3]Entry!$D$946)</f>
        <v/>
      </c>
      <c r="AG943">
        <f>IF([3]Entry!$E$946="","",[3]Entry!$E$946)</f>
        <v/>
      </c>
      <c r="AH943">
        <f>IF([3]Entry!$G$946="","",[3]Entry!$G$946)</f>
        <v/>
      </c>
      <c r="AI943">
        <f>IF([3]Entry!$K$946="","",[3]Entry!$K$946)</f>
        <v/>
      </c>
      <c r="AJ943">
        <f>IF([3]Entry!$L$946="","",[3]Entry!$L$946)</f>
        <v/>
      </c>
      <c r="AK943">
        <f>IF([3]Entry!$M$946="","",[3]Entry!$M$946)</f>
        <v/>
      </c>
      <c r="AL943">
        <f>IF([3]Entry!$N$946="","",[3]Entry!$N$946)</f>
        <v/>
      </c>
      <c r="AM943">
        <f>IF([3]Entry!$R$946="","",[3]Entry!$R$946)</f>
        <v/>
      </c>
    </row>
    <row r="944">
      <c r="T944">
        <f>IF([2]Baskol!$B$947="","",[2]Baskol!$B$947)</f>
        <v/>
      </c>
      <c r="U944">
        <f>IF([2]Baskol!$C$947="","",[2]Baskol!$C$947)</f>
        <v/>
      </c>
      <c r="V944">
        <f>IF([2]Baskol!$D$947="","",[2]Baskol!$D$947)</f>
        <v/>
      </c>
      <c r="W944">
        <f>IF([2]Baskol!$E$947="","",[2]Baskol!$E$947)</f>
        <v/>
      </c>
      <c r="X944">
        <f>IF([2]Baskol!$G$947="","",[2]Baskol!$G$947)</f>
        <v/>
      </c>
      <c r="Y944">
        <f>IF([2]Baskol!$I$947="","",[2]Baskol!$I$947)</f>
        <v/>
      </c>
      <c r="Z944">
        <f>IF([2]Baskol!$J$947="","",[2]Baskol!$J$947)</f>
        <v/>
      </c>
      <c r="AA944">
        <f>IF([2]Baskol!$K$947="","",[2]Baskol!$K$947)</f>
        <v/>
      </c>
      <c r="AB944">
        <f>IF([2]Baskol!$L$947="","",[2]Baskol!$L$947)</f>
        <v/>
      </c>
      <c r="AC944">
        <f>IF([2]Baskol!$N$947="","",[2]Baskol!$N$947)</f>
        <v/>
      </c>
      <c r="AD944">
        <f>IF([2]Baskol!$O$947="","",[2]Baskol!$O$947)</f>
        <v/>
      </c>
      <c r="AE944">
        <f>IF([3]Entry!$C$947="","",[3]Entry!$C$947)</f>
        <v/>
      </c>
      <c r="AF944">
        <f>IF([3]Entry!$D$947="","",[3]Entry!$D$947)</f>
        <v/>
      </c>
      <c r="AG944">
        <f>IF([3]Entry!$E$947="","",[3]Entry!$E$947)</f>
        <v/>
      </c>
      <c r="AH944">
        <f>IF([3]Entry!$G$947="","",[3]Entry!$G$947)</f>
        <v/>
      </c>
      <c r="AI944">
        <f>IF([3]Entry!$K$947="","",[3]Entry!$K$947)</f>
        <v/>
      </c>
      <c r="AJ944">
        <f>IF([3]Entry!$L$947="","",[3]Entry!$L$947)</f>
        <v/>
      </c>
      <c r="AK944">
        <f>IF([3]Entry!$M$947="","",[3]Entry!$M$947)</f>
        <v/>
      </c>
      <c r="AL944">
        <f>IF([3]Entry!$N$947="","",[3]Entry!$N$947)</f>
        <v/>
      </c>
      <c r="AM944">
        <f>IF([3]Entry!$R$947="","",[3]Entry!$R$947)</f>
        <v/>
      </c>
    </row>
    <row r="945">
      <c r="T945">
        <f>IF([2]Baskol!$B$948="","",[2]Baskol!$B$948)</f>
        <v/>
      </c>
      <c r="U945">
        <f>IF([2]Baskol!$C$948="","",[2]Baskol!$C$948)</f>
        <v/>
      </c>
      <c r="V945">
        <f>IF([2]Baskol!$D$948="","",[2]Baskol!$D$948)</f>
        <v/>
      </c>
      <c r="W945">
        <f>IF([2]Baskol!$E$948="","",[2]Baskol!$E$948)</f>
        <v/>
      </c>
      <c r="X945">
        <f>IF([2]Baskol!$G$948="","",[2]Baskol!$G$948)</f>
        <v/>
      </c>
      <c r="Y945">
        <f>IF([2]Baskol!$I$948="","",[2]Baskol!$I$948)</f>
        <v/>
      </c>
      <c r="Z945">
        <f>IF([2]Baskol!$J$948="","",[2]Baskol!$J$948)</f>
        <v/>
      </c>
      <c r="AA945">
        <f>IF([2]Baskol!$K$948="","",[2]Baskol!$K$948)</f>
        <v/>
      </c>
      <c r="AB945">
        <f>IF([2]Baskol!$L$948="","",[2]Baskol!$L$948)</f>
        <v/>
      </c>
      <c r="AC945">
        <f>IF([2]Baskol!$N$948="","",[2]Baskol!$N$948)</f>
        <v/>
      </c>
      <c r="AD945">
        <f>IF([2]Baskol!$O$948="","",[2]Baskol!$O$948)</f>
        <v/>
      </c>
      <c r="AE945">
        <f>IF([3]Entry!$C$948="","",[3]Entry!$C$948)</f>
        <v/>
      </c>
      <c r="AF945">
        <f>IF([3]Entry!$D$948="","",[3]Entry!$D$948)</f>
        <v/>
      </c>
      <c r="AG945">
        <f>IF([3]Entry!$E$948="","",[3]Entry!$E$948)</f>
        <v/>
      </c>
      <c r="AH945">
        <f>IF([3]Entry!$G$948="","",[3]Entry!$G$948)</f>
        <v/>
      </c>
      <c r="AI945">
        <f>IF([3]Entry!$K$948="","",[3]Entry!$K$948)</f>
        <v/>
      </c>
      <c r="AJ945">
        <f>IF([3]Entry!$L$948="","",[3]Entry!$L$948)</f>
        <v/>
      </c>
      <c r="AK945">
        <f>IF([3]Entry!$M$948="","",[3]Entry!$M$948)</f>
        <v/>
      </c>
      <c r="AL945">
        <f>IF([3]Entry!$N$948="","",[3]Entry!$N$948)</f>
        <v/>
      </c>
      <c r="AM945">
        <f>IF([3]Entry!$R$948="","",[3]Entry!$R$948)</f>
        <v/>
      </c>
    </row>
    <row r="946">
      <c r="T946">
        <f>IF([2]Baskol!$B$949="","",[2]Baskol!$B$949)</f>
        <v/>
      </c>
      <c r="U946">
        <f>IF([2]Baskol!$C$949="","",[2]Baskol!$C$949)</f>
        <v/>
      </c>
      <c r="V946">
        <f>IF([2]Baskol!$D$949="","",[2]Baskol!$D$949)</f>
        <v/>
      </c>
      <c r="W946">
        <f>IF([2]Baskol!$E$949="","",[2]Baskol!$E$949)</f>
        <v/>
      </c>
      <c r="X946">
        <f>IF([2]Baskol!$G$949="","",[2]Baskol!$G$949)</f>
        <v/>
      </c>
      <c r="Y946">
        <f>IF([2]Baskol!$I$949="","",[2]Baskol!$I$949)</f>
        <v/>
      </c>
      <c r="Z946">
        <f>IF([2]Baskol!$J$949="","",[2]Baskol!$J$949)</f>
        <v/>
      </c>
      <c r="AA946">
        <f>IF([2]Baskol!$K$949="","",[2]Baskol!$K$949)</f>
        <v/>
      </c>
      <c r="AB946">
        <f>IF([2]Baskol!$L$949="","",[2]Baskol!$L$949)</f>
        <v/>
      </c>
      <c r="AC946">
        <f>IF([2]Baskol!$N$949="","",[2]Baskol!$N$949)</f>
        <v/>
      </c>
      <c r="AD946">
        <f>IF([2]Baskol!$O$949="","",[2]Baskol!$O$949)</f>
        <v/>
      </c>
      <c r="AE946">
        <f>IF([3]Entry!$C$949="","",[3]Entry!$C$949)</f>
        <v/>
      </c>
      <c r="AF946">
        <f>IF([3]Entry!$D$949="","",[3]Entry!$D$949)</f>
        <v/>
      </c>
      <c r="AG946">
        <f>IF([3]Entry!$E$949="","",[3]Entry!$E$949)</f>
        <v/>
      </c>
      <c r="AH946">
        <f>IF([3]Entry!$G$949="","",[3]Entry!$G$949)</f>
        <v/>
      </c>
      <c r="AI946">
        <f>IF([3]Entry!$K$949="","",[3]Entry!$K$949)</f>
        <v/>
      </c>
      <c r="AJ946">
        <f>IF([3]Entry!$L$949="","",[3]Entry!$L$949)</f>
        <v/>
      </c>
      <c r="AK946">
        <f>IF([3]Entry!$M$949="","",[3]Entry!$M$949)</f>
        <v/>
      </c>
      <c r="AL946">
        <f>IF([3]Entry!$N$949="","",[3]Entry!$N$949)</f>
        <v/>
      </c>
      <c r="AM946">
        <f>IF([3]Entry!$R$949="","",[3]Entry!$R$949)</f>
        <v/>
      </c>
    </row>
    <row r="947">
      <c r="T947">
        <f>IF([2]Baskol!$B$950="","",[2]Baskol!$B$950)</f>
        <v/>
      </c>
      <c r="U947">
        <f>IF([2]Baskol!$C$950="","",[2]Baskol!$C$950)</f>
        <v/>
      </c>
      <c r="V947">
        <f>IF([2]Baskol!$D$950="","",[2]Baskol!$D$950)</f>
        <v/>
      </c>
      <c r="W947">
        <f>IF([2]Baskol!$E$950="","",[2]Baskol!$E$950)</f>
        <v/>
      </c>
      <c r="X947">
        <f>IF([2]Baskol!$G$950="","",[2]Baskol!$G$950)</f>
        <v/>
      </c>
      <c r="Y947">
        <f>IF([2]Baskol!$I$950="","",[2]Baskol!$I$950)</f>
        <v/>
      </c>
      <c r="Z947">
        <f>IF([2]Baskol!$J$950="","",[2]Baskol!$J$950)</f>
        <v/>
      </c>
      <c r="AA947">
        <f>IF([2]Baskol!$K$950="","",[2]Baskol!$K$950)</f>
        <v/>
      </c>
      <c r="AB947">
        <f>IF([2]Baskol!$L$950="","",[2]Baskol!$L$950)</f>
        <v/>
      </c>
      <c r="AC947">
        <f>IF([2]Baskol!$N$950="","",[2]Baskol!$N$950)</f>
        <v/>
      </c>
      <c r="AD947">
        <f>IF([2]Baskol!$O$950="","",[2]Baskol!$O$950)</f>
        <v/>
      </c>
      <c r="AE947">
        <f>IF([3]Entry!$C$950="","",[3]Entry!$C$950)</f>
        <v/>
      </c>
      <c r="AF947">
        <f>IF([3]Entry!$D$950="","",[3]Entry!$D$950)</f>
        <v/>
      </c>
      <c r="AG947">
        <f>IF([3]Entry!$E$950="","",[3]Entry!$E$950)</f>
        <v/>
      </c>
      <c r="AH947">
        <f>IF([3]Entry!$G$950="","",[3]Entry!$G$950)</f>
        <v/>
      </c>
      <c r="AI947">
        <f>IF([3]Entry!$K$950="","",[3]Entry!$K$950)</f>
        <v/>
      </c>
      <c r="AJ947">
        <f>IF([3]Entry!$L$950="","",[3]Entry!$L$950)</f>
        <v/>
      </c>
      <c r="AK947">
        <f>IF([3]Entry!$M$950="","",[3]Entry!$M$950)</f>
        <v/>
      </c>
      <c r="AL947">
        <f>IF([3]Entry!$N$950="","",[3]Entry!$N$950)</f>
        <v/>
      </c>
      <c r="AM947">
        <f>IF([3]Entry!$R$950="","",[3]Entry!$R$950)</f>
        <v/>
      </c>
    </row>
    <row r="948">
      <c r="T948">
        <f>IF([2]Baskol!$B$951="","",[2]Baskol!$B$951)</f>
        <v/>
      </c>
      <c r="U948">
        <f>IF([2]Baskol!$C$951="","",[2]Baskol!$C$951)</f>
        <v/>
      </c>
      <c r="V948">
        <f>IF([2]Baskol!$D$951="","",[2]Baskol!$D$951)</f>
        <v/>
      </c>
      <c r="W948">
        <f>IF([2]Baskol!$E$951="","",[2]Baskol!$E$951)</f>
        <v/>
      </c>
      <c r="X948">
        <f>IF([2]Baskol!$G$951="","",[2]Baskol!$G$951)</f>
        <v/>
      </c>
      <c r="Y948">
        <f>IF([2]Baskol!$I$951="","",[2]Baskol!$I$951)</f>
        <v/>
      </c>
      <c r="Z948">
        <f>IF([2]Baskol!$J$951="","",[2]Baskol!$J$951)</f>
        <v/>
      </c>
      <c r="AA948">
        <f>IF([2]Baskol!$K$951="","",[2]Baskol!$K$951)</f>
        <v/>
      </c>
      <c r="AB948">
        <f>IF([2]Baskol!$L$951="","",[2]Baskol!$L$951)</f>
        <v/>
      </c>
      <c r="AC948">
        <f>IF([2]Baskol!$N$951="","",[2]Baskol!$N$951)</f>
        <v/>
      </c>
      <c r="AD948">
        <f>IF([2]Baskol!$O$951="","",[2]Baskol!$O$951)</f>
        <v/>
      </c>
      <c r="AE948">
        <f>IF([3]Entry!$C$951="","",[3]Entry!$C$951)</f>
        <v/>
      </c>
      <c r="AF948">
        <f>IF([3]Entry!$D$951="","",[3]Entry!$D$951)</f>
        <v/>
      </c>
      <c r="AG948">
        <f>IF([3]Entry!$E$951="","",[3]Entry!$E$951)</f>
        <v/>
      </c>
      <c r="AH948">
        <f>IF([3]Entry!$G$951="","",[3]Entry!$G$951)</f>
        <v/>
      </c>
      <c r="AI948">
        <f>IF([3]Entry!$K$951="","",[3]Entry!$K$951)</f>
        <v/>
      </c>
      <c r="AJ948">
        <f>IF([3]Entry!$L$951="","",[3]Entry!$L$951)</f>
        <v/>
      </c>
      <c r="AK948">
        <f>IF([3]Entry!$M$951="","",[3]Entry!$M$951)</f>
        <v/>
      </c>
      <c r="AL948">
        <f>IF([3]Entry!$N$951="","",[3]Entry!$N$951)</f>
        <v/>
      </c>
      <c r="AM948">
        <f>IF([3]Entry!$R$951="","",[3]Entry!$R$951)</f>
        <v/>
      </c>
    </row>
    <row r="949">
      <c r="T949">
        <f>IF([2]Baskol!$B$952="","",[2]Baskol!$B$952)</f>
        <v/>
      </c>
      <c r="U949">
        <f>IF([2]Baskol!$C$952="","",[2]Baskol!$C$952)</f>
        <v/>
      </c>
      <c r="V949">
        <f>IF([2]Baskol!$D$952="","",[2]Baskol!$D$952)</f>
        <v/>
      </c>
      <c r="W949">
        <f>IF([2]Baskol!$E$952="","",[2]Baskol!$E$952)</f>
        <v/>
      </c>
      <c r="X949">
        <f>IF([2]Baskol!$G$952="","",[2]Baskol!$G$952)</f>
        <v/>
      </c>
      <c r="Y949">
        <f>IF([2]Baskol!$I$952="","",[2]Baskol!$I$952)</f>
        <v/>
      </c>
      <c r="Z949">
        <f>IF([2]Baskol!$J$952="","",[2]Baskol!$J$952)</f>
        <v/>
      </c>
      <c r="AA949">
        <f>IF([2]Baskol!$K$952="","",[2]Baskol!$K$952)</f>
        <v/>
      </c>
      <c r="AB949">
        <f>IF([2]Baskol!$L$952="","",[2]Baskol!$L$952)</f>
        <v/>
      </c>
      <c r="AC949">
        <f>IF([2]Baskol!$N$952="","",[2]Baskol!$N$952)</f>
        <v/>
      </c>
      <c r="AD949">
        <f>IF([2]Baskol!$O$952="","",[2]Baskol!$O$952)</f>
        <v/>
      </c>
      <c r="AE949">
        <f>IF([3]Entry!$C$952="","",[3]Entry!$C$952)</f>
        <v/>
      </c>
      <c r="AF949">
        <f>IF([3]Entry!$D$952="","",[3]Entry!$D$952)</f>
        <v/>
      </c>
      <c r="AG949">
        <f>IF([3]Entry!$E$952="","",[3]Entry!$E$952)</f>
        <v/>
      </c>
      <c r="AH949">
        <f>IF([3]Entry!$G$952="","",[3]Entry!$G$952)</f>
        <v/>
      </c>
      <c r="AI949">
        <f>IF([3]Entry!$K$952="","",[3]Entry!$K$952)</f>
        <v/>
      </c>
      <c r="AJ949">
        <f>IF([3]Entry!$L$952="","",[3]Entry!$L$952)</f>
        <v/>
      </c>
      <c r="AK949">
        <f>IF([3]Entry!$M$952="","",[3]Entry!$M$952)</f>
        <v/>
      </c>
      <c r="AL949">
        <f>IF([3]Entry!$N$952="","",[3]Entry!$N$952)</f>
        <v/>
      </c>
      <c r="AM949">
        <f>IF([3]Entry!$R$952="","",[3]Entry!$R$952)</f>
        <v/>
      </c>
    </row>
    <row r="950">
      <c r="T950">
        <f>IF([2]Baskol!$B$953="","",[2]Baskol!$B$953)</f>
        <v/>
      </c>
      <c r="U950">
        <f>IF([2]Baskol!$C$953="","",[2]Baskol!$C$953)</f>
        <v/>
      </c>
      <c r="V950">
        <f>IF([2]Baskol!$D$953="","",[2]Baskol!$D$953)</f>
        <v/>
      </c>
      <c r="W950">
        <f>IF([2]Baskol!$E$953="","",[2]Baskol!$E$953)</f>
        <v/>
      </c>
      <c r="X950">
        <f>IF([2]Baskol!$G$953="","",[2]Baskol!$G$953)</f>
        <v/>
      </c>
      <c r="Y950">
        <f>IF([2]Baskol!$I$953="","",[2]Baskol!$I$953)</f>
        <v/>
      </c>
      <c r="Z950">
        <f>IF([2]Baskol!$J$953="","",[2]Baskol!$J$953)</f>
        <v/>
      </c>
      <c r="AA950">
        <f>IF([2]Baskol!$K$953="","",[2]Baskol!$K$953)</f>
        <v/>
      </c>
      <c r="AB950">
        <f>IF([2]Baskol!$L$953="","",[2]Baskol!$L$953)</f>
        <v/>
      </c>
      <c r="AC950">
        <f>IF([2]Baskol!$N$953="","",[2]Baskol!$N$953)</f>
        <v/>
      </c>
      <c r="AD950">
        <f>IF([2]Baskol!$O$953="","",[2]Baskol!$O$953)</f>
        <v/>
      </c>
      <c r="AE950">
        <f>IF([3]Entry!$C$953="","",[3]Entry!$C$953)</f>
        <v/>
      </c>
      <c r="AF950">
        <f>IF([3]Entry!$D$953="","",[3]Entry!$D$953)</f>
        <v/>
      </c>
      <c r="AG950">
        <f>IF([3]Entry!$E$953="","",[3]Entry!$E$953)</f>
        <v/>
      </c>
      <c r="AH950">
        <f>IF([3]Entry!$G$953="","",[3]Entry!$G$953)</f>
        <v/>
      </c>
      <c r="AI950">
        <f>IF([3]Entry!$K$953="","",[3]Entry!$K$953)</f>
        <v/>
      </c>
      <c r="AJ950">
        <f>IF([3]Entry!$L$953="","",[3]Entry!$L$953)</f>
        <v/>
      </c>
      <c r="AK950">
        <f>IF([3]Entry!$M$953="","",[3]Entry!$M$953)</f>
        <v/>
      </c>
      <c r="AL950">
        <f>IF([3]Entry!$N$953="","",[3]Entry!$N$953)</f>
        <v/>
      </c>
      <c r="AM950">
        <f>IF([3]Entry!$R$953="","",[3]Entry!$R$953)</f>
        <v/>
      </c>
    </row>
    <row r="951">
      <c r="T951">
        <f>IF([2]Baskol!$B$954="","",[2]Baskol!$B$954)</f>
        <v/>
      </c>
      <c r="U951">
        <f>IF([2]Baskol!$C$954="","",[2]Baskol!$C$954)</f>
        <v/>
      </c>
      <c r="V951">
        <f>IF([2]Baskol!$D$954="","",[2]Baskol!$D$954)</f>
        <v/>
      </c>
      <c r="W951">
        <f>IF([2]Baskol!$E$954="","",[2]Baskol!$E$954)</f>
        <v/>
      </c>
      <c r="X951">
        <f>IF([2]Baskol!$G$954="","",[2]Baskol!$G$954)</f>
        <v/>
      </c>
      <c r="Y951">
        <f>IF([2]Baskol!$I$954="","",[2]Baskol!$I$954)</f>
        <v/>
      </c>
      <c r="Z951">
        <f>IF([2]Baskol!$J$954="","",[2]Baskol!$J$954)</f>
        <v/>
      </c>
      <c r="AA951">
        <f>IF([2]Baskol!$K$954="","",[2]Baskol!$K$954)</f>
        <v/>
      </c>
      <c r="AB951">
        <f>IF([2]Baskol!$L$954="","",[2]Baskol!$L$954)</f>
        <v/>
      </c>
      <c r="AC951">
        <f>IF([2]Baskol!$N$954="","",[2]Baskol!$N$954)</f>
        <v/>
      </c>
      <c r="AD951">
        <f>IF([2]Baskol!$O$954="","",[2]Baskol!$O$954)</f>
        <v/>
      </c>
      <c r="AE951">
        <f>IF([3]Entry!$C$954="","",[3]Entry!$C$954)</f>
        <v/>
      </c>
      <c r="AF951">
        <f>IF([3]Entry!$D$954="","",[3]Entry!$D$954)</f>
        <v/>
      </c>
      <c r="AG951">
        <f>IF([3]Entry!$E$954="","",[3]Entry!$E$954)</f>
        <v/>
      </c>
      <c r="AH951">
        <f>IF([3]Entry!$G$954="","",[3]Entry!$G$954)</f>
        <v/>
      </c>
      <c r="AI951">
        <f>IF([3]Entry!$K$954="","",[3]Entry!$K$954)</f>
        <v/>
      </c>
      <c r="AJ951">
        <f>IF([3]Entry!$L$954="","",[3]Entry!$L$954)</f>
        <v/>
      </c>
      <c r="AK951">
        <f>IF([3]Entry!$M$954="","",[3]Entry!$M$954)</f>
        <v/>
      </c>
      <c r="AL951">
        <f>IF([3]Entry!$N$954="","",[3]Entry!$N$954)</f>
        <v/>
      </c>
      <c r="AM951">
        <f>IF([3]Entry!$R$954="","",[3]Entry!$R$954)</f>
        <v/>
      </c>
    </row>
    <row r="952">
      <c r="T952">
        <f>IF([2]Baskol!$B$955="","",[2]Baskol!$B$955)</f>
        <v/>
      </c>
      <c r="U952">
        <f>IF([2]Baskol!$C$955="","",[2]Baskol!$C$955)</f>
        <v/>
      </c>
      <c r="V952">
        <f>IF([2]Baskol!$D$955="","",[2]Baskol!$D$955)</f>
        <v/>
      </c>
      <c r="W952">
        <f>IF([2]Baskol!$E$955="","",[2]Baskol!$E$955)</f>
        <v/>
      </c>
      <c r="X952">
        <f>IF([2]Baskol!$G$955="","",[2]Baskol!$G$955)</f>
        <v/>
      </c>
      <c r="Y952">
        <f>IF([2]Baskol!$I$955="","",[2]Baskol!$I$955)</f>
        <v/>
      </c>
      <c r="Z952">
        <f>IF([2]Baskol!$J$955="","",[2]Baskol!$J$955)</f>
        <v/>
      </c>
      <c r="AA952">
        <f>IF([2]Baskol!$K$955="","",[2]Baskol!$K$955)</f>
        <v/>
      </c>
      <c r="AB952">
        <f>IF([2]Baskol!$L$955="","",[2]Baskol!$L$955)</f>
        <v/>
      </c>
      <c r="AC952">
        <f>IF([2]Baskol!$N$955="","",[2]Baskol!$N$955)</f>
        <v/>
      </c>
      <c r="AD952">
        <f>IF([2]Baskol!$O$955="","",[2]Baskol!$O$955)</f>
        <v/>
      </c>
      <c r="AE952">
        <f>IF([3]Entry!$C$955="","",[3]Entry!$C$955)</f>
        <v/>
      </c>
      <c r="AF952">
        <f>IF([3]Entry!$D$955="","",[3]Entry!$D$955)</f>
        <v/>
      </c>
      <c r="AG952">
        <f>IF([3]Entry!$E$955="","",[3]Entry!$E$955)</f>
        <v/>
      </c>
      <c r="AH952">
        <f>IF([3]Entry!$G$955="","",[3]Entry!$G$955)</f>
        <v/>
      </c>
      <c r="AI952">
        <f>IF([3]Entry!$K$955="","",[3]Entry!$K$955)</f>
        <v/>
      </c>
      <c r="AJ952">
        <f>IF([3]Entry!$L$955="","",[3]Entry!$L$955)</f>
        <v/>
      </c>
      <c r="AK952">
        <f>IF([3]Entry!$M$955="","",[3]Entry!$M$955)</f>
        <v/>
      </c>
      <c r="AL952">
        <f>IF([3]Entry!$N$955="","",[3]Entry!$N$955)</f>
        <v/>
      </c>
      <c r="AM952">
        <f>IF([3]Entry!$R$955="","",[3]Entry!$R$955)</f>
        <v/>
      </c>
    </row>
    <row r="953">
      <c r="T953">
        <f>IF([2]Baskol!$B$956="","",[2]Baskol!$B$956)</f>
        <v/>
      </c>
      <c r="U953">
        <f>IF([2]Baskol!$C$956="","",[2]Baskol!$C$956)</f>
        <v/>
      </c>
      <c r="V953">
        <f>IF([2]Baskol!$D$956="","",[2]Baskol!$D$956)</f>
        <v/>
      </c>
      <c r="W953">
        <f>IF([2]Baskol!$E$956="","",[2]Baskol!$E$956)</f>
        <v/>
      </c>
      <c r="X953">
        <f>IF([2]Baskol!$G$956="","",[2]Baskol!$G$956)</f>
        <v/>
      </c>
      <c r="Y953">
        <f>IF([2]Baskol!$I$956="","",[2]Baskol!$I$956)</f>
        <v/>
      </c>
      <c r="Z953">
        <f>IF([2]Baskol!$J$956="","",[2]Baskol!$J$956)</f>
        <v/>
      </c>
      <c r="AA953">
        <f>IF([2]Baskol!$K$956="","",[2]Baskol!$K$956)</f>
        <v/>
      </c>
      <c r="AB953">
        <f>IF([2]Baskol!$L$956="","",[2]Baskol!$L$956)</f>
        <v/>
      </c>
      <c r="AC953">
        <f>IF([2]Baskol!$N$956="","",[2]Baskol!$N$956)</f>
        <v/>
      </c>
      <c r="AD953">
        <f>IF([2]Baskol!$O$956="","",[2]Baskol!$O$956)</f>
        <v/>
      </c>
      <c r="AE953">
        <f>IF([3]Entry!$C$956="","",[3]Entry!$C$956)</f>
        <v/>
      </c>
      <c r="AF953">
        <f>IF([3]Entry!$D$956="","",[3]Entry!$D$956)</f>
        <v/>
      </c>
      <c r="AG953">
        <f>IF([3]Entry!$E$956="","",[3]Entry!$E$956)</f>
        <v/>
      </c>
      <c r="AH953">
        <f>IF([3]Entry!$G$956="","",[3]Entry!$G$956)</f>
        <v/>
      </c>
      <c r="AI953">
        <f>IF([3]Entry!$K$956="","",[3]Entry!$K$956)</f>
        <v/>
      </c>
      <c r="AJ953">
        <f>IF([3]Entry!$L$956="","",[3]Entry!$L$956)</f>
        <v/>
      </c>
      <c r="AK953">
        <f>IF([3]Entry!$M$956="","",[3]Entry!$M$956)</f>
        <v/>
      </c>
      <c r="AL953">
        <f>IF([3]Entry!$N$956="","",[3]Entry!$N$956)</f>
        <v/>
      </c>
      <c r="AM953">
        <f>IF([3]Entry!$R$956="","",[3]Entry!$R$956)</f>
        <v/>
      </c>
    </row>
    <row r="954">
      <c r="T954">
        <f>IF([2]Baskol!$B$957="","",[2]Baskol!$B$957)</f>
        <v/>
      </c>
      <c r="U954">
        <f>IF([2]Baskol!$C$957="","",[2]Baskol!$C$957)</f>
        <v/>
      </c>
      <c r="V954">
        <f>IF([2]Baskol!$D$957="","",[2]Baskol!$D$957)</f>
        <v/>
      </c>
      <c r="W954">
        <f>IF([2]Baskol!$E$957="","",[2]Baskol!$E$957)</f>
        <v/>
      </c>
      <c r="X954">
        <f>IF([2]Baskol!$G$957="","",[2]Baskol!$G$957)</f>
        <v/>
      </c>
      <c r="Y954">
        <f>IF([2]Baskol!$I$957="","",[2]Baskol!$I$957)</f>
        <v/>
      </c>
      <c r="Z954">
        <f>IF([2]Baskol!$J$957="","",[2]Baskol!$J$957)</f>
        <v/>
      </c>
      <c r="AA954">
        <f>IF([2]Baskol!$K$957="","",[2]Baskol!$K$957)</f>
        <v/>
      </c>
      <c r="AB954">
        <f>IF([2]Baskol!$L$957="","",[2]Baskol!$L$957)</f>
        <v/>
      </c>
      <c r="AC954">
        <f>IF([2]Baskol!$N$957="","",[2]Baskol!$N$957)</f>
        <v/>
      </c>
      <c r="AD954">
        <f>IF([2]Baskol!$O$957="","",[2]Baskol!$O$957)</f>
        <v/>
      </c>
      <c r="AE954">
        <f>IF([3]Entry!$C$957="","",[3]Entry!$C$957)</f>
        <v/>
      </c>
      <c r="AF954">
        <f>IF([3]Entry!$D$957="","",[3]Entry!$D$957)</f>
        <v/>
      </c>
      <c r="AG954">
        <f>IF([3]Entry!$E$957="","",[3]Entry!$E$957)</f>
        <v/>
      </c>
      <c r="AH954">
        <f>IF([3]Entry!$G$957="","",[3]Entry!$G$957)</f>
        <v/>
      </c>
      <c r="AI954">
        <f>IF([3]Entry!$K$957="","",[3]Entry!$K$957)</f>
        <v/>
      </c>
      <c r="AJ954">
        <f>IF([3]Entry!$L$957="","",[3]Entry!$L$957)</f>
        <v/>
      </c>
      <c r="AK954">
        <f>IF([3]Entry!$M$957="","",[3]Entry!$M$957)</f>
        <v/>
      </c>
      <c r="AL954">
        <f>IF([3]Entry!$N$957="","",[3]Entry!$N$957)</f>
        <v/>
      </c>
      <c r="AM954">
        <f>IF([3]Entry!$R$957="","",[3]Entry!$R$957)</f>
        <v/>
      </c>
    </row>
    <row r="955">
      <c r="T955">
        <f>IF([2]Baskol!$B$958="","",[2]Baskol!$B$958)</f>
        <v/>
      </c>
      <c r="U955">
        <f>IF([2]Baskol!$C$958="","",[2]Baskol!$C$958)</f>
        <v/>
      </c>
      <c r="V955">
        <f>IF([2]Baskol!$D$958="","",[2]Baskol!$D$958)</f>
        <v/>
      </c>
      <c r="W955">
        <f>IF([2]Baskol!$E$958="","",[2]Baskol!$E$958)</f>
        <v/>
      </c>
      <c r="X955">
        <f>IF([2]Baskol!$G$958="","",[2]Baskol!$G$958)</f>
        <v/>
      </c>
      <c r="Y955">
        <f>IF([2]Baskol!$I$958="","",[2]Baskol!$I$958)</f>
        <v/>
      </c>
      <c r="Z955">
        <f>IF([2]Baskol!$J$958="","",[2]Baskol!$J$958)</f>
        <v/>
      </c>
      <c r="AA955">
        <f>IF([2]Baskol!$K$958="","",[2]Baskol!$K$958)</f>
        <v/>
      </c>
      <c r="AB955">
        <f>IF([2]Baskol!$L$958="","",[2]Baskol!$L$958)</f>
        <v/>
      </c>
      <c r="AC955">
        <f>IF([2]Baskol!$N$958="","",[2]Baskol!$N$958)</f>
        <v/>
      </c>
      <c r="AD955">
        <f>IF([2]Baskol!$O$958="","",[2]Baskol!$O$958)</f>
        <v/>
      </c>
      <c r="AE955">
        <f>IF([3]Entry!$C$958="","",[3]Entry!$C$958)</f>
        <v/>
      </c>
      <c r="AF955">
        <f>IF([3]Entry!$D$958="","",[3]Entry!$D$958)</f>
        <v/>
      </c>
      <c r="AG955">
        <f>IF([3]Entry!$E$958="","",[3]Entry!$E$958)</f>
        <v/>
      </c>
      <c r="AH955">
        <f>IF([3]Entry!$G$958="","",[3]Entry!$G$958)</f>
        <v/>
      </c>
      <c r="AI955">
        <f>IF([3]Entry!$K$958="","",[3]Entry!$K$958)</f>
        <v/>
      </c>
      <c r="AJ955">
        <f>IF([3]Entry!$L$958="","",[3]Entry!$L$958)</f>
        <v/>
      </c>
      <c r="AK955">
        <f>IF([3]Entry!$M$958="","",[3]Entry!$M$958)</f>
        <v/>
      </c>
      <c r="AL955">
        <f>IF([3]Entry!$N$958="","",[3]Entry!$N$958)</f>
        <v/>
      </c>
      <c r="AM955">
        <f>IF([3]Entry!$R$958="","",[3]Entry!$R$958)</f>
        <v/>
      </c>
    </row>
    <row r="956">
      <c r="T956">
        <f>IF([2]Baskol!$B$959="","",[2]Baskol!$B$959)</f>
        <v/>
      </c>
      <c r="U956">
        <f>IF([2]Baskol!$C$959="","",[2]Baskol!$C$959)</f>
        <v/>
      </c>
      <c r="V956">
        <f>IF([2]Baskol!$D$959="","",[2]Baskol!$D$959)</f>
        <v/>
      </c>
      <c r="W956">
        <f>IF([2]Baskol!$E$959="","",[2]Baskol!$E$959)</f>
        <v/>
      </c>
      <c r="X956">
        <f>IF([2]Baskol!$G$959="","",[2]Baskol!$G$959)</f>
        <v/>
      </c>
      <c r="Y956">
        <f>IF([2]Baskol!$I$959="","",[2]Baskol!$I$959)</f>
        <v/>
      </c>
      <c r="Z956">
        <f>IF([2]Baskol!$J$959="","",[2]Baskol!$J$959)</f>
        <v/>
      </c>
      <c r="AA956">
        <f>IF([2]Baskol!$K$959="","",[2]Baskol!$K$959)</f>
        <v/>
      </c>
      <c r="AB956">
        <f>IF([2]Baskol!$L$959="","",[2]Baskol!$L$959)</f>
        <v/>
      </c>
      <c r="AC956">
        <f>IF([2]Baskol!$N$959="","",[2]Baskol!$N$959)</f>
        <v/>
      </c>
      <c r="AD956">
        <f>IF([2]Baskol!$O$959="","",[2]Baskol!$O$959)</f>
        <v/>
      </c>
      <c r="AE956">
        <f>IF([3]Entry!$C$959="","",[3]Entry!$C$959)</f>
        <v/>
      </c>
      <c r="AF956">
        <f>IF([3]Entry!$D$959="","",[3]Entry!$D$959)</f>
        <v/>
      </c>
      <c r="AG956">
        <f>IF([3]Entry!$E$959="","",[3]Entry!$E$959)</f>
        <v/>
      </c>
      <c r="AH956">
        <f>IF([3]Entry!$G$959="","",[3]Entry!$G$959)</f>
        <v/>
      </c>
      <c r="AI956">
        <f>IF([3]Entry!$K$959="","",[3]Entry!$K$959)</f>
        <v/>
      </c>
      <c r="AJ956">
        <f>IF([3]Entry!$L$959="","",[3]Entry!$L$959)</f>
        <v/>
      </c>
      <c r="AK956">
        <f>IF([3]Entry!$M$959="","",[3]Entry!$M$959)</f>
        <v/>
      </c>
      <c r="AL956">
        <f>IF([3]Entry!$N$959="","",[3]Entry!$N$959)</f>
        <v/>
      </c>
      <c r="AM956">
        <f>IF([3]Entry!$R$959="","",[3]Entry!$R$959)</f>
        <v/>
      </c>
    </row>
    <row r="957">
      <c r="T957">
        <f>IF([2]Baskol!$B$960="","",[2]Baskol!$B$960)</f>
        <v/>
      </c>
      <c r="U957">
        <f>IF([2]Baskol!$C$960="","",[2]Baskol!$C$960)</f>
        <v/>
      </c>
      <c r="V957">
        <f>IF([2]Baskol!$D$960="","",[2]Baskol!$D$960)</f>
        <v/>
      </c>
      <c r="W957">
        <f>IF([2]Baskol!$E$960="","",[2]Baskol!$E$960)</f>
        <v/>
      </c>
      <c r="X957">
        <f>IF([2]Baskol!$G$960="","",[2]Baskol!$G$960)</f>
        <v/>
      </c>
      <c r="Y957">
        <f>IF([2]Baskol!$I$960="","",[2]Baskol!$I$960)</f>
        <v/>
      </c>
      <c r="Z957">
        <f>IF([2]Baskol!$J$960="","",[2]Baskol!$J$960)</f>
        <v/>
      </c>
      <c r="AA957">
        <f>IF([2]Baskol!$K$960="","",[2]Baskol!$K$960)</f>
        <v/>
      </c>
      <c r="AB957">
        <f>IF([2]Baskol!$L$960="","",[2]Baskol!$L$960)</f>
        <v/>
      </c>
      <c r="AC957">
        <f>IF([2]Baskol!$N$960="","",[2]Baskol!$N$960)</f>
        <v/>
      </c>
      <c r="AD957">
        <f>IF([2]Baskol!$O$960="","",[2]Baskol!$O$960)</f>
        <v/>
      </c>
      <c r="AE957">
        <f>IF([3]Entry!$C$960="","",[3]Entry!$C$960)</f>
        <v/>
      </c>
      <c r="AF957">
        <f>IF([3]Entry!$D$960="","",[3]Entry!$D$960)</f>
        <v/>
      </c>
      <c r="AG957">
        <f>IF([3]Entry!$E$960="","",[3]Entry!$E$960)</f>
        <v/>
      </c>
      <c r="AH957">
        <f>IF([3]Entry!$G$960="","",[3]Entry!$G$960)</f>
        <v/>
      </c>
      <c r="AI957">
        <f>IF([3]Entry!$K$960="","",[3]Entry!$K$960)</f>
        <v/>
      </c>
      <c r="AJ957">
        <f>IF([3]Entry!$L$960="","",[3]Entry!$L$960)</f>
        <v/>
      </c>
      <c r="AK957">
        <f>IF([3]Entry!$M$960="","",[3]Entry!$M$960)</f>
        <v/>
      </c>
      <c r="AL957">
        <f>IF([3]Entry!$N$960="","",[3]Entry!$N$960)</f>
        <v/>
      </c>
      <c r="AM957">
        <f>IF([3]Entry!$R$960="","",[3]Entry!$R$960)</f>
        <v/>
      </c>
    </row>
    <row r="958">
      <c r="T958">
        <f>IF([2]Baskol!$B$961="","",[2]Baskol!$B$961)</f>
        <v/>
      </c>
      <c r="U958">
        <f>IF([2]Baskol!$C$961="","",[2]Baskol!$C$961)</f>
        <v/>
      </c>
      <c r="V958">
        <f>IF([2]Baskol!$D$961="","",[2]Baskol!$D$961)</f>
        <v/>
      </c>
      <c r="W958">
        <f>IF([2]Baskol!$E$961="","",[2]Baskol!$E$961)</f>
        <v/>
      </c>
      <c r="X958">
        <f>IF([2]Baskol!$G$961="","",[2]Baskol!$G$961)</f>
        <v/>
      </c>
      <c r="Y958">
        <f>IF([2]Baskol!$I$961="","",[2]Baskol!$I$961)</f>
        <v/>
      </c>
      <c r="Z958">
        <f>IF([2]Baskol!$J$961="","",[2]Baskol!$J$961)</f>
        <v/>
      </c>
      <c r="AA958">
        <f>IF([2]Baskol!$K$961="","",[2]Baskol!$K$961)</f>
        <v/>
      </c>
      <c r="AB958">
        <f>IF([2]Baskol!$L$961="","",[2]Baskol!$L$961)</f>
        <v/>
      </c>
      <c r="AC958">
        <f>IF([2]Baskol!$N$961="","",[2]Baskol!$N$961)</f>
        <v/>
      </c>
      <c r="AD958">
        <f>IF([2]Baskol!$O$961="","",[2]Baskol!$O$961)</f>
        <v/>
      </c>
      <c r="AE958">
        <f>IF([3]Entry!$C$961="","",[3]Entry!$C$961)</f>
        <v/>
      </c>
      <c r="AF958">
        <f>IF([3]Entry!$D$961="","",[3]Entry!$D$961)</f>
        <v/>
      </c>
      <c r="AG958">
        <f>IF([3]Entry!$E$961="","",[3]Entry!$E$961)</f>
        <v/>
      </c>
      <c r="AH958">
        <f>IF([3]Entry!$G$961="","",[3]Entry!$G$961)</f>
        <v/>
      </c>
      <c r="AI958">
        <f>IF([3]Entry!$K$961="","",[3]Entry!$K$961)</f>
        <v/>
      </c>
      <c r="AJ958">
        <f>IF([3]Entry!$L$961="","",[3]Entry!$L$961)</f>
        <v/>
      </c>
      <c r="AK958">
        <f>IF([3]Entry!$M$961="","",[3]Entry!$M$961)</f>
        <v/>
      </c>
      <c r="AL958">
        <f>IF([3]Entry!$N$961="","",[3]Entry!$N$961)</f>
        <v/>
      </c>
      <c r="AM958">
        <f>IF([3]Entry!$R$961="","",[3]Entry!$R$961)</f>
        <v/>
      </c>
    </row>
    <row r="959">
      <c r="T959">
        <f>IF([2]Baskol!$B$962="","",[2]Baskol!$B$962)</f>
        <v/>
      </c>
      <c r="U959">
        <f>IF([2]Baskol!$C$962="","",[2]Baskol!$C$962)</f>
        <v/>
      </c>
      <c r="V959">
        <f>IF([2]Baskol!$D$962="","",[2]Baskol!$D$962)</f>
        <v/>
      </c>
      <c r="W959">
        <f>IF([2]Baskol!$E$962="","",[2]Baskol!$E$962)</f>
        <v/>
      </c>
      <c r="X959">
        <f>IF([2]Baskol!$G$962="","",[2]Baskol!$G$962)</f>
        <v/>
      </c>
      <c r="Y959">
        <f>IF([2]Baskol!$I$962="","",[2]Baskol!$I$962)</f>
        <v/>
      </c>
      <c r="Z959">
        <f>IF([2]Baskol!$J$962="","",[2]Baskol!$J$962)</f>
        <v/>
      </c>
      <c r="AA959">
        <f>IF([2]Baskol!$K$962="","",[2]Baskol!$K$962)</f>
        <v/>
      </c>
      <c r="AB959">
        <f>IF([2]Baskol!$L$962="","",[2]Baskol!$L$962)</f>
        <v/>
      </c>
      <c r="AC959">
        <f>IF([2]Baskol!$N$962="","",[2]Baskol!$N$962)</f>
        <v/>
      </c>
      <c r="AD959">
        <f>IF([2]Baskol!$O$962="","",[2]Baskol!$O$962)</f>
        <v/>
      </c>
      <c r="AE959">
        <f>IF([3]Entry!$C$962="","",[3]Entry!$C$962)</f>
        <v/>
      </c>
      <c r="AF959">
        <f>IF([3]Entry!$D$962="","",[3]Entry!$D$962)</f>
        <v/>
      </c>
      <c r="AG959">
        <f>IF([3]Entry!$E$962="","",[3]Entry!$E$962)</f>
        <v/>
      </c>
      <c r="AH959">
        <f>IF([3]Entry!$G$962="","",[3]Entry!$G$962)</f>
        <v/>
      </c>
      <c r="AI959">
        <f>IF([3]Entry!$K$962="","",[3]Entry!$K$962)</f>
        <v/>
      </c>
      <c r="AJ959">
        <f>IF([3]Entry!$L$962="","",[3]Entry!$L$962)</f>
        <v/>
      </c>
      <c r="AK959">
        <f>IF([3]Entry!$M$962="","",[3]Entry!$M$962)</f>
        <v/>
      </c>
      <c r="AL959">
        <f>IF([3]Entry!$N$962="","",[3]Entry!$N$962)</f>
        <v/>
      </c>
      <c r="AM959">
        <f>IF([3]Entry!$R$962="","",[3]Entry!$R$962)</f>
        <v/>
      </c>
    </row>
    <row r="960">
      <c r="T960">
        <f>IF([2]Baskol!$B$963="","",[2]Baskol!$B$963)</f>
        <v/>
      </c>
      <c r="U960">
        <f>IF([2]Baskol!$C$963="","",[2]Baskol!$C$963)</f>
        <v/>
      </c>
      <c r="V960">
        <f>IF([2]Baskol!$D$963="","",[2]Baskol!$D$963)</f>
        <v/>
      </c>
      <c r="W960">
        <f>IF([2]Baskol!$E$963="","",[2]Baskol!$E$963)</f>
        <v/>
      </c>
      <c r="X960">
        <f>IF([2]Baskol!$G$963="","",[2]Baskol!$G$963)</f>
        <v/>
      </c>
      <c r="Y960">
        <f>IF([2]Baskol!$I$963="","",[2]Baskol!$I$963)</f>
        <v/>
      </c>
      <c r="Z960">
        <f>IF([2]Baskol!$J$963="","",[2]Baskol!$J$963)</f>
        <v/>
      </c>
      <c r="AA960">
        <f>IF([2]Baskol!$K$963="","",[2]Baskol!$K$963)</f>
        <v/>
      </c>
      <c r="AB960">
        <f>IF([2]Baskol!$L$963="","",[2]Baskol!$L$963)</f>
        <v/>
      </c>
      <c r="AC960">
        <f>IF([2]Baskol!$N$963="","",[2]Baskol!$N$963)</f>
        <v/>
      </c>
      <c r="AD960">
        <f>IF([2]Baskol!$O$963="","",[2]Baskol!$O$963)</f>
        <v/>
      </c>
      <c r="AE960">
        <f>IF([3]Entry!$C$963="","",[3]Entry!$C$963)</f>
        <v/>
      </c>
      <c r="AF960">
        <f>IF([3]Entry!$D$963="","",[3]Entry!$D$963)</f>
        <v/>
      </c>
      <c r="AG960">
        <f>IF([3]Entry!$E$963="","",[3]Entry!$E$963)</f>
        <v/>
      </c>
      <c r="AH960">
        <f>IF([3]Entry!$G$963="","",[3]Entry!$G$963)</f>
        <v/>
      </c>
      <c r="AI960">
        <f>IF([3]Entry!$K$963="","",[3]Entry!$K$963)</f>
        <v/>
      </c>
      <c r="AJ960">
        <f>IF([3]Entry!$L$963="","",[3]Entry!$L$963)</f>
        <v/>
      </c>
      <c r="AK960">
        <f>IF([3]Entry!$M$963="","",[3]Entry!$M$963)</f>
        <v/>
      </c>
      <c r="AL960">
        <f>IF([3]Entry!$N$963="","",[3]Entry!$N$963)</f>
        <v/>
      </c>
      <c r="AM960">
        <f>IF([3]Entry!$R$963="","",[3]Entry!$R$963)</f>
        <v/>
      </c>
    </row>
    <row r="961">
      <c r="T961">
        <f>IF([2]Baskol!$B$964="","",[2]Baskol!$B$964)</f>
        <v/>
      </c>
      <c r="U961">
        <f>IF([2]Baskol!$C$964="","",[2]Baskol!$C$964)</f>
        <v/>
      </c>
      <c r="V961">
        <f>IF([2]Baskol!$D$964="","",[2]Baskol!$D$964)</f>
        <v/>
      </c>
      <c r="W961">
        <f>IF([2]Baskol!$E$964="","",[2]Baskol!$E$964)</f>
        <v/>
      </c>
      <c r="X961">
        <f>IF([2]Baskol!$G$964="","",[2]Baskol!$G$964)</f>
        <v/>
      </c>
      <c r="Y961">
        <f>IF([2]Baskol!$I$964="","",[2]Baskol!$I$964)</f>
        <v/>
      </c>
      <c r="Z961">
        <f>IF([2]Baskol!$J$964="","",[2]Baskol!$J$964)</f>
        <v/>
      </c>
      <c r="AA961">
        <f>IF([2]Baskol!$K$964="","",[2]Baskol!$K$964)</f>
        <v/>
      </c>
      <c r="AB961">
        <f>IF([2]Baskol!$L$964="","",[2]Baskol!$L$964)</f>
        <v/>
      </c>
      <c r="AC961">
        <f>IF([2]Baskol!$N$964="","",[2]Baskol!$N$964)</f>
        <v/>
      </c>
      <c r="AD961">
        <f>IF([2]Baskol!$O$964="","",[2]Baskol!$O$964)</f>
        <v/>
      </c>
      <c r="AE961">
        <f>IF([3]Entry!$C$964="","",[3]Entry!$C$964)</f>
        <v/>
      </c>
      <c r="AF961">
        <f>IF([3]Entry!$D$964="","",[3]Entry!$D$964)</f>
        <v/>
      </c>
      <c r="AG961">
        <f>IF([3]Entry!$E$964="","",[3]Entry!$E$964)</f>
        <v/>
      </c>
      <c r="AH961">
        <f>IF([3]Entry!$G$964="","",[3]Entry!$G$964)</f>
        <v/>
      </c>
      <c r="AI961">
        <f>IF([3]Entry!$K$964="","",[3]Entry!$K$964)</f>
        <v/>
      </c>
      <c r="AJ961">
        <f>IF([3]Entry!$L$964="","",[3]Entry!$L$964)</f>
        <v/>
      </c>
      <c r="AK961">
        <f>IF([3]Entry!$M$964="","",[3]Entry!$M$964)</f>
        <v/>
      </c>
      <c r="AL961">
        <f>IF([3]Entry!$N$964="","",[3]Entry!$N$964)</f>
        <v/>
      </c>
      <c r="AM961">
        <f>IF([3]Entry!$R$964="","",[3]Entry!$R$964)</f>
        <v/>
      </c>
    </row>
    <row r="962">
      <c r="T962">
        <f>IF([2]Baskol!$B$965="","",[2]Baskol!$B$965)</f>
        <v/>
      </c>
      <c r="U962">
        <f>IF([2]Baskol!$C$965="","",[2]Baskol!$C$965)</f>
        <v/>
      </c>
      <c r="V962">
        <f>IF([2]Baskol!$D$965="","",[2]Baskol!$D$965)</f>
        <v/>
      </c>
      <c r="W962">
        <f>IF([2]Baskol!$E$965="","",[2]Baskol!$E$965)</f>
        <v/>
      </c>
      <c r="X962">
        <f>IF([2]Baskol!$G$965="","",[2]Baskol!$G$965)</f>
        <v/>
      </c>
      <c r="Y962">
        <f>IF([2]Baskol!$I$965="","",[2]Baskol!$I$965)</f>
        <v/>
      </c>
      <c r="Z962">
        <f>IF([2]Baskol!$J$965="","",[2]Baskol!$J$965)</f>
        <v/>
      </c>
      <c r="AA962">
        <f>IF([2]Baskol!$K$965="","",[2]Baskol!$K$965)</f>
        <v/>
      </c>
      <c r="AB962">
        <f>IF([2]Baskol!$L$965="","",[2]Baskol!$L$965)</f>
        <v/>
      </c>
      <c r="AC962">
        <f>IF([2]Baskol!$N$965="","",[2]Baskol!$N$965)</f>
        <v/>
      </c>
      <c r="AD962">
        <f>IF([2]Baskol!$O$965="","",[2]Baskol!$O$965)</f>
        <v/>
      </c>
      <c r="AE962">
        <f>IF([3]Entry!$C$965="","",[3]Entry!$C$965)</f>
        <v/>
      </c>
      <c r="AF962">
        <f>IF([3]Entry!$D$965="","",[3]Entry!$D$965)</f>
        <v/>
      </c>
      <c r="AG962">
        <f>IF([3]Entry!$E$965="","",[3]Entry!$E$965)</f>
        <v/>
      </c>
      <c r="AH962">
        <f>IF([3]Entry!$G$965="","",[3]Entry!$G$965)</f>
        <v/>
      </c>
      <c r="AI962">
        <f>IF([3]Entry!$K$965="","",[3]Entry!$K$965)</f>
        <v/>
      </c>
      <c r="AJ962">
        <f>IF([3]Entry!$L$965="","",[3]Entry!$L$965)</f>
        <v/>
      </c>
      <c r="AK962">
        <f>IF([3]Entry!$M$965="","",[3]Entry!$M$965)</f>
        <v/>
      </c>
      <c r="AL962">
        <f>IF([3]Entry!$N$965="","",[3]Entry!$N$965)</f>
        <v/>
      </c>
      <c r="AM962">
        <f>IF([3]Entry!$R$965="","",[3]Entry!$R$965)</f>
        <v/>
      </c>
    </row>
    <row r="963">
      <c r="T963">
        <f>IF([2]Baskol!$B$966="","",[2]Baskol!$B$966)</f>
        <v/>
      </c>
      <c r="U963">
        <f>IF([2]Baskol!$C$966="","",[2]Baskol!$C$966)</f>
        <v/>
      </c>
      <c r="V963">
        <f>IF([2]Baskol!$D$966="","",[2]Baskol!$D$966)</f>
        <v/>
      </c>
      <c r="W963">
        <f>IF([2]Baskol!$E$966="","",[2]Baskol!$E$966)</f>
        <v/>
      </c>
      <c r="X963">
        <f>IF([2]Baskol!$G$966="","",[2]Baskol!$G$966)</f>
        <v/>
      </c>
      <c r="Y963">
        <f>IF([2]Baskol!$I$966="","",[2]Baskol!$I$966)</f>
        <v/>
      </c>
      <c r="Z963">
        <f>IF([2]Baskol!$J$966="","",[2]Baskol!$J$966)</f>
        <v/>
      </c>
      <c r="AA963">
        <f>IF([2]Baskol!$K$966="","",[2]Baskol!$K$966)</f>
        <v/>
      </c>
      <c r="AB963">
        <f>IF([2]Baskol!$L$966="","",[2]Baskol!$L$966)</f>
        <v/>
      </c>
      <c r="AC963">
        <f>IF([2]Baskol!$N$966="","",[2]Baskol!$N$966)</f>
        <v/>
      </c>
      <c r="AD963">
        <f>IF([2]Baskol!$O$966="","",[2]Baskol!$O$966)</f>
        <v/>
      </c>
      <c r="AE963">
        <f>IF([3]Entry!$C$966="","",[3]Entry!$C$966)</f>
        <v/>
      </c>
      <c r="AF963">
        <f>IF([3]Entry!$D$966="","",[3]Entry!$D$966)</f>
        <v/>
      </c>
      <c r="AG963">
        <f>IF([3]Entry!$E$966="","",[3]Entry!$E$966)</f>
        <v/>
      </c>
      <c r="AH963">
        <f>IF([3]Entry!$G$966="","",[3]Entry!$G$966)</f>
        <v/>
      </c>
      <c r="AI963">
        <f>IF([3]Entry!$K$966="","",[3]Entry!$K$966)</f>
        <v/>
      </c>
      <c r="AJ963">
        <f>IF([3]Entry!$L$966="","",[3]Entry!$L$966)</f>
        <v/>
      </c>
      <c r="AK963">
        <f>IF([3]Entry!$M$966="","",[3]Entry!$M$966)</f>
        <v/>
      </c>
      <c r="AL963">
        <f>IF([3]Entry!$N$966="","",[3]Entry!$N$966)</f>
        <v/>
      </c>
      <c r="AM963">
        <f>IF([3]Entry!$R$966="","",[3]Entry!$R$966)</f>
        <v/>
      </c>
    </row>
    <row r="964">
      <c r="T964">
        <f>IF([2]Baskol!$B$967="","",[2]Baskol!$B$967)</f>
        <v/>
      </c>
      <c r="U964">
        <f>IF([2]Baskol!$C$967="","",[2]Baskol!$C$967)</f>
        <v/>
      </c>
      <c r="V964">
        <f>IF([2]Baskol!$D$967="","",[2]Baskol!$D$967)</f>
        <v/>
      </c>
      <c r="W964">
        <f>IF([2]Baskol!$E$967="","",[2]Baskol!$E$967)</f>
        <v/>
      </c>
      <c r="X964">
        <f>IF([2]Baskol!$G$967="","",[2]Baskol!$G$967)</f>
        <v/>
      </c>
      <c r="Y964">
        <f>IF([2]Baskol!$I$967="","",[2]Baskol!$I$967)</f>
        <v/>
      </c>
      <c r="Z964">
        <f>IF([2]Baskol!$J$967="","",[2]Baskol!$J$967)</f>
        <v/>
      </c>
      <c r="AA964">
        <f>IF([2]Baskol!$K$967="","",[2]Baskol!$K$967)</f>
        <v/>
      </c>
      <c r="AB964">
        <f>IF([2]Baskol!$L$967="","",[2]Baskol!$L$967)</f>
        <v/>
      </c>
      <c r="AC964">
        <f>IF([2]Baskol!$N$967="","",[2]Baskol!$N$967)</f>
        <v/>
      </c>
      <c r="AD964">
        <f>IF([2]Baskol!$O$967="","",[2]Baskol!$O$967)</f>
        <v/>
      </c>
      <c r="AE964">
        <f>IF([3]Entry!$C$967="","",[3]Entry!$C$967)</f>
        <v/>
      </c>
      <c r="AF964">
        <f>IF([3]Entry!$D$967="","",[3]Entry!$D$967)</f>
        <v/>
      </c>
      <c r="AG964">
        <f>IF([3]Entry!$E$967="","",[3]Entry!$E$967)</f>
        <v/>
      </c>
      <c r="AH964">
        <f>IF([3]Entry!$G$967="","",[3]Entry!$G$967)</f>
        <v/>
      </c>
      <c r="AI964">
        <f>IF([3]Entry!$K$967="","",[3]Entry!$K$967)</f>
        <v/>
      </c>
      <c r="AJ964">
        <f>IF([3]Entry!$L$967="","",[3]Entry!$L$967)</f>
        <v/>
      </c>
      <c r="AK964">
        <f>IF([3]Entry!$M$967="","",[3]Entry!$M$967)</f>
        <v/>
      </c>
      <c r="AL964">
        <f>IF([3]Entry!$N$967="","",[3]Entry!$N$967)</f>
        <v/>
      </c>
      <c r="AM964">
        <f>IF([3]Entry!$R$967="","",[3]Entry!$R$967)</f>
        <v/>
      </c>
    </row>
    <row r="965">
      <c r="T965">
        <f>IF([2]Baskol!$B$968="","",[2]Baskol!$B$968)</f>
        <v/>
      </c>
      <c r="U965">
        <f>IF([2]Baskol!$C$968="","",[2]Baskol!$C$968)</f>
        <v/>
      </c>
      <c r="V965">
        <f>IF([2]Baskol!$D$968="","",[2]Baskol!$D$968)</f>
        <v/>
      </c>
      <c r="W965">
        <f>IF([2]Baskol!$E$968="","",[2]Baskol!$E$968)</f>
        <v/>
      </c>
      <c r="X965">
        <f>IF([2]Baskol!$G$968="","",[2]Baskol!$G$968)</f>
        <v/>
      </c>
      <c r="Y965">
        <f>IF([2]Baskol!$I$968="","",[2]Baskol!$I$968)</f>
        <v/>
      </c>
      <c r="Z965">
        <f>IF([2]Baskol!$J$968="","",[2]Baskol!$J$968)</f>
        <v/>
      </c>
      <c r="AA965">
        <f>IF([2]Baskol!$K$968="","",[2]Baskol!$K$968)</f>
        <v/>
      </c>
      <c r="AB965">
        <f>IF([2]Baskol!$L$968="","",[2]Baskol!$L$968)</f>
        <v/>
      </c>
      <c r="AC965">
        <f>IF([2]Baskol!$N$968="","",[2]Baskol!$N$968)</f>
        <v/>
      </c>
      <c r="AD965">
        <f>IF([2]Baskol!$O$968="","",[2]Baskol!$O$968)</f>
        <v/>
      </c>
      <c r="AE965">
        <f>IF([3]Entry!$C$968="","",[3]Entry!$C$968)</f>
        <v/>
      </c>
      <c r="AF965">
        <f>IF([3]Entry!$D$968="","",[3]Entry!$D$968)</f>
        <v/>
      </c>
      <c r="AG965">
        <f>IF([3]Entry!$E$968="","",[3]Entry!$E$968)</f>
        <v/>
      </c>
      <c r="AH965">
        <f>IF([3]Entry!$G$968="","",[3]Entry!$G$968)</f>
        <v/>
      </c>
      <c r="AI965">
        <f>IF([3]Entry!$K$968="","",[3]Entry!$K$968)</f>
        <v/>
      </c>
      <c r="AJ965">
        <f>IF([3]Entry!$L$968="","",[3]Entry!$L$968)</f>
        <v/>
      </c>
      <c r="AK965">
        <f>IF([3]Entry!$M$968="","",[3]Entry!$M$968)</f>
        <v/>
      </c>
      <c r="AL965">
        <f>IF([3]Entry!$N$968="","",[3]Entry!$N$968)</f>
        <v/>
      </c>
      <c r="AM965">
        <f>IF([3]Entry!$R$968="","",[3]Entry!$R$968)</f>
        <v/>
      </c>
    </row>
    <row r="966">
      <c r="T966">
        <f>IF([2]Baskol!$B$969="","",[2]Baskol!$B$969)</f>
        <v/>
      </c>
      <c r="U966">
        <f>IF([2]Baskol!$C$969="","",[2]Baskol!$C$969)</f>
        <v/>
      </c>
      <c r="V966">
        <f>IF([2]Baskol!$D$969="","",[2]Baskol!$D$969)</f>
        <v/>
      </c>
      <c r="W966">
        <f>IF([2]Baskol!$E$969="","",[2]Baskol!$E$969)</f>
        <v/>
      </c>
      <c r="X966">
        <f>IF([2]Baskol!$G$969="","",[2]Baskol!$G$969)</f>
        <v/>
      </c>
      <c r="Y966">
        <f>IF([2]Baskol!$I$969="","",[2]Baskol!$I$969)</f>
        <v/>
      </c>
      <c r="Z966">
        <f>IF([2]Baskol!$J$969="","",[2]Baskol!$J$969)</f>
        <v/>
      </c>
      <c r="AA966">
        <f>IF([2]Baskol!$K$969="","",[2]Baskol!$K$969)</f>
        <v/>
      </c>
      <c r="AB966">
        <f>IF([2]Baskol!$L$969="","",[2]Baskol!$L$969)</f>
        <v/>
      </c>
      <c r="AC966">
        <f>IF([2]Baskol!$N$969="","",[2]Baskol!$N$969)</f>
        <v/>
      </c>
      <c r="AD966">
        <f>IF([2]Baskol!$O$969="","",[2]Baskol!$O$969)</f>
        <v/>
      </c>
      <c r="AE966">
        <f>IF([3]Entry!$C$969="","",[3]Entry!$C$969)</f>
        <v/>
      </c>
      <c r="AF966">
        <f>IF([3]Entry!$D$969="","",[3]Entry!$D$969)</f>
        <v/>
      </c>
      <c r="AG966">
        <f>IF([3]Entry!$E$969="","",[3]Entry!$E$969)</f>
        <v/>
      </c>
      <c r="AH966">
        <f>IF([3]Entry!$G$969="","",[3]Entry!$G$969)</f>
        <v/>
      </c>
      <c r="AI966">
        <f>IF([3]Entry!$K$969="","",[3]Entry!$K$969)</f>
        <v/>
      </c>
      <c r="AJ966">
        <f>IF([3]Entry!$L$969="","",[3]Entry!$L$969)</f>
        <v/>
      </c>
      <c r="AK966">
        <f>IF([3]Entry!$M$969="","",[3]Entry!$M$969)</f>
        <v/>
      </c>
      <c r="AL966">
        <f>IF([3]Entry!$N$969="","",[3]Entry!$N$969)</f>
        <v/>
      </c>
      <c r="AM966">
        <f>IF([3]Entry!$R$969="","",[3]Entry!$R$969)</f>
        <v/>
      </c>
    </row>
    <row r="967">
      <c r="T967">
        <f>IF([2]Baskol!$B$970="","",[2]Baskol!$B$970)</f>
        <v/>
      </c>
      <c r="U967">
        <f>IF([2]Baskol!$C$970="","",[2]Baskol!$C$970)</f>
        <v/>
      </c>
      <c r="V967">
        <f>IF([2]Baskol!$D$970="","",[2]Baskol!$D$970)</f>
        <v/>
      </c>
      <c r="W967">
        <f>IF([2]Baskol!$E$970="","",[2]Baskol!$E$970)</f>
        <v/>
      </c>
      <c r="X967">
        <f>IF([2]Baskol!$G$970="","",[2]Baskol!$G$970)</f>
        <v/>
      </c>
      <c r="Y967">
        <f>IF([2]Baskol!$I$970="","",[2]Baskol!$I$970)</f>
        <v/>
      </c>
      <c r="Z967">
        <f>IF([2]Baskol!$J$970="","",[2]Baskol!$J$970)</f>
        <v/>
      </c>
      <c r="AA967">
        <f>IF([2]Baskol!$K$970="","",[2]Baskol!$K$970)</f>
        <v/>
      </c>
      <c r="AB967">
        <f>IF([2]Baskol!$L$970="","",[2]Baskol!$L$970)</f>
        <v/>
      </c>
      <c r="AC967">
        <f>IF([2]Baskol!$N$970="","",[2]Baskol!$N$970)</f>
        <v/>
      </c>
      <c r="AD967">
        <f>IF([2]Baskol!$O$970="","",[2]Baskol!$O$970)</f>
        <v/>
      </c>
      <c r="AE967">
        <f>IF([3]Entry!$C$970="","",[3]Entry!$C$970)</f>
        <v/>
      </c>
      <c r="AF967">
        <f>IF([3]Entry!$D$970="","",[3]Entry!$D$970)</f>
        <v/>
      </c>
      <c r="AG967">
        <f>IF([3]Entry!$E$970="","",[3]Entry!$E$970)</f>
        <v/>
      </c>
      <c r="AH967">
        <f>IF([3]Entry!$G$970="","",[3]Entry!$G$970)</f>
        <v/>
      </c>
      <c r="AI967">
        <f>IF([3]Entry!$K$970="","",[3]Entry!$K$970)</f>
        <v/>
      </c>
      <c r="AJ967">
        <f>IF([3]Entry!$L$970="","",[3]Entry!$L$970)</f>
        <v/>
      </c>
      <c r="AK967">
        <f>IF([3]Entry!$M$970="","",[3]Entry!$M$970)</f>
        <v/>
      </c>
      <c r="AL967">
        <f>IF([3]Entry!$N$970="","",[3]Entry!$N$970)</f>
        <v/>
      </c>
      <c r="AM967">
        <f>IF([3]Entry!$R$970="","",[3]Entry!$R$970)</f>
        <v/>
      </c>
    </row>
    <row r="968">
      <c r="T968">
        <f>IF([2]Baskol!$B$971="","",[2]Baskol!$B$971)</f>
        <v/>
      </c>
      <c r="U968">
        <f>IF([2]Baskol!$C$971="","",[2]Baskol!$C$971)</f>
        <v/>
      </c>
      <c r="V968">
        <f>IF([2]Baskol!$D$971="","",[2]Baskol!$D$971)</f>
        <v/>
      </c>
      <c r="W968">
        <f>IF([2]Baskol!$E$971="","",[2]Baskol!$E$971)</f>
        <v/>
      </c>
      <c r="X968">
        <f>IF([2]Baskol!$G$971="","",[2]Baskol!$G$971)</f>
        <v/>
      </c>
      <c r="Y968">
        <f>IF([2]Baskol!$I$971="","",[2]Baskol!$I$971)</f>
        <v/>
      </c>
      <c r="Z968">
        <f>IF([2]Baskol!$J$971="","",[2]Baskol!$J$971)</f>
        <v/>
      </c>
      <c r="AA968">
        <f>IF([2]Baskol!$K$971="","",[2]Baskol!$K$971)</f>
        <v/>
      </c>
      <c r="AB968">
        <f>IF([2]Baskol!$L$971="","",[2]Baskol!$L$971)</f>
        <v/>
      </c>
      <c r="AC968">
        <f>IF([2]Baskol!$N$971="","",[2]Baskol!$N$971)</f>
        <v/>
      </c>
      <c r="AD968">
        <f>IF([2]Baskol!$O$971="","",[2]Baskol!$O$971)</f>
        <v/>
      </c>
      <c r="AE968">
        <f>IF([3]Entry!$C$971="","",[3]Entry!$C$971)</f>
        <v/>
      </c>
      <c r="AF968">
        <f>IF([3]Entry!$D$971="","",[3]Entry!$D$971)</f>
        <v/>
      </c>
      <c r="AG968">
        <f>IF([3]Entry!$E$971="","",[3]Entry!$E$971)</f>
        <v/>
      </c>
      <c r="AH968">
        <f>IF([3]Entry!$G$971="","",[3]Entry!$G$971)</f>
        <v/>
      </c>
      <c r="AI968">
        <f>IF([3]Entry!$K$971="","",[3]Entry!$K$971)</f>
        <v/>
      </c>
      <c r="AJ968">
        <f>IF([3]Entry!$L$971="","",[3]Entry!$L$971)</f>
        <v/>
      </c>
      <c r="AK968">
        <f>IF([3]Entry!$M$971="","",[3]Entry!$M$971)</f>
        <v/>
      </c>
      <c r="AL968">
        <f>IF([3]Entry!$N$971="","",[3]Entry!$N$971)</f>
        <v/>
      </c>
      <c r="AM968">
        <f>IF([3]Entry!$R$971="","",[3]Entry!$R$971)</f>
        <v/>
      </c>
    </row>
    <row r="969">
      <c r="T969">
        <f>IF([2]Baskol!$B$972="","",[2]Baskol!$B$972)</f>
        <v/>
      </c>
      <c r="U969">
        <f>IF([2]Baskol!$C$972="","",[2]Baskol!$C$972)</f>
        <v/>
      </c>
      <c r="V969">
        <f>IF([2]Baskol!$D$972="","",[2]Baskol!$D$972)</f>
        <v/>
      </c>
      <c r="W969">
        <f>IF([2]Baskol!$E$972="","",[2]Baskol!$E$972)</f>
        <v/>
      </c>
      <c r="X969">
        <f>IF([2]Baskol!$G$972="","",[2]Baskol!$G$972)</f>
        <v/>
      </c>
      <c r="Y969">
        <f>IF([2]Baskol!$I$972="","",[2]Baskol!$I$972)</f>
        <v/>
      </c>
      <c r="Z969">
        <f>IF([2]Baskol!$J$972="","",[2]Baskol!$J$972)</f>
        <v/>
      </c>
      <c r="AA969">
        <f>IF([2]Baskol!$K$972="","",[2]Baskol!$K$972)</f>
        <v/>
      </c>
      <c r="AB969">
        <f>IF([2]Baskol!$L$972="","",[2]Baskol!$L$972)</f>
        <v/>
      </c>
      <c r="AC969">
        <f>IF([2]Baskol!$N$972="","",[2]Baskol!$N$972)</f>
        <v/>
      </c>
      <c r="AD969">
        <f>IF([2]Baskol!$O$972="","",[2]Baskol!$O$972)</f>
        <v/>
      </c>
      <c r="AE969">
        <f>IF([3]Entry!$C$972="","",[3]Entry!$C$972)</f>
        <v/>
      </c>
      <c r="AF969">
        <f>IF([3]Entry!$D$972="","",[3]Entry!$D$972)</f>
        <v/>
      </c>
      <c r="AG969">
        <f>IF([3]Entry!$E$972="","",[3]Entry!$E$972)</f>
        <v/>
      </c>
      <c r="AH969">
        <f>IF([3]Entry!$G$972="","",[3]Entry!$G$972)</f>
        <v/>
      </c>
      <c r="AI969">
        <f>IF([3]Entry!$K$972="","",[3]Entry!$K$972)</f>
        <v/>
      </c>
      <c r="AJ969">
        <f>IF([3]Entry!$L$972="","",[3]Entry!$L$972)</f>
        <v/>
      </c>
      <c r="AK969">
        <f>IF([3]Entry!$M$972="","",[3]Entry!$M$972)</f>
        <v/>
      </c>
      <c r="AL969">
        <f>IF([3]Entry!$N$972="","",[3]Entry!$N$972)</f>
        <v/>
      </c>
      <c r="AM969">
        <f>IF([3]Entry!$R$972="","",[3]Entry!$R$972)</f>
        <v/>
      </c>
    </row>
    <row r="970">
      <c r="T970">
        <f>IF([2]Baskol!$B$973="","",[2]Baskol!$B$973)</f>
        <v/>
      </c>
      <c r="U970">
        <f>IF([2]Baskol!$C$973="","",[2]Baskol!$C$973)</f>
        <v/>
      </c>
      <c r="V970">
        <f>IF([2]Baskol!$D$973="","",[2]Baskol!$D$973)</f>
        <v/>
      </c>
      <c r="W970">
        <f>IF([2]Baskol!$E$973="","",[2]Baskol!$E$973)</f>
        <v/>
      </c>
      <c r="X970">
        <f>IF([2]Baskol!$G$973="","",[2]Baskol!$G$973)</f>
        <v/>
      </c>
      <c r="Y970">
        <f>IF([2]Baskol!$I$973="","",[2]Baskol!$I$973)</f>
        <v/>
      </c>
      <c r="Z970">
        <f>IF([2]Baskol!$J$973="","",[2]Baskol!$J$973)</f>
        <v/>
      </c>
      <c r="AA970">
        <f>IF([2]Baskol!$K$973="","",[2]Baskol!$K$973)</f>
        <v/>
      </c>
      <c r="AB970">
        <f>IF([2]Baskol!$L$973="","",[2]Baskol!$L$973)</f>
        <v/>
      </c>
      <c r="AC970">
        <f>IF([2]Baskol!$N$973="","",[2]Baskol!$N$973)</f>
        <v/>
      </c>
      <c r="AD970">
        <f>IF([2]Baskol!$O$973="","",[2]Baskol!$O$973)</f>
        <v/>
      </c>
      <c r="AE970">
        <f>IF([3]Entry!$C$973="","",[3]Entry!$C$973)</f>
        <v/>
      </c>
      <c r="AF970">
        <f>IF([3]Entry!$D$973="","",[3]Entry!$D$973)</f>
        <v/>
      </c>
      <c r="AG970">
        <f>IF([3]Entry!$E$973="","",[3]Entry!$E$973)</f>
        <v/>
      </c>
      <c r="AH970">
        <f>IF([3]Entry!$G$973="","",[3]Entry!$G$973)</f>
        <v/>
      </c>
      <c r="AI970">
        <f>IF([3]Entry!$K$973="","",[3]Entry!$K$973)</f>
        <v/>
      </c>
      <c r="AJ970">
        <f>IF([3]Entry!$L$973="","",[3]Entry!$L$973)</f>
        <v/>
      </c>
      <c r="AK970">
        <f>IF([3]Entry!$M$973="","",[3]Entry!$M$973)</f>
        <v/>
      </c>
      <c r="AL970">
        <f>IF([3]Entry!$N$973="","",[3]Entry!$N$973)</f>
        <v/>
      </c>
      <c r="AM970">
        <f>IF([3]Entry!$R$973="","",[3]Entry!$R$973)</f>
        <v/>
      </c>
    </row>
    <row r="971">
      <c r="T971">
        <f>IF([2]Baskol!$B$974="","",[2]Baskol!$B$974)</f>
        <v/>
      </c>
      <c r="U971">
        <f>IF([2]Baskol!$C$974="","",[2]Baskol!$C$974)</f>
        <v/>
      </c>
      <c r="V971">
        <f>IF([2]Baskol!$D$974="","",[2]Baskol!$D$974)</f>
        <v/>
      </c>
      <c r="W971">
        <f>IF([2]Baskol!$E$974="","",[2]Baskol!$E$974)</f>
        <v/>
      </c>
      <c r="X971">
        <f>IF([2]Baskol!$G$974="","",[2]Baskol!$G$974)</f>
        <v/>
      </c>
      <c r="Y971">
        <f>IF([2]Baskol!$I$974="","",[2]Baskol!$I$974)</f>
        <v/>
      </c>
      <c r="Z971">
        <f>IF([2]Baskol!$J$974="","",[2]Baskol!$J$974)</f>
        <v/>
      </c>
      <c r="AA971">
        <f>IF([2]Baskol!$K$974="","",[2]Baskol!$K$974)</f>
        <v/>
      </c>
      <c r="AB971">
        <f>IF([2]Baskol!$L$974="","",[2]Baskol!$L$974)</f>
        <v/>
      </c>
      <c r="AC971">
        <f>IF([2]Baskol!$N$974="","",[2]Baskol!$N$974)</f>
        <v/>
      </c>
      <c r="AD971">
        <f>IF([2]Baskol!$O$974="","",[2]Baskol!$O$974)</f>
        <v/>
      </c>
      <c r="AE971">
        <f>IF([3]Entry!$C$974="","",[3]Entry!$C$974)</f>
        <v/>
      </c>
      <c r="AF971">
        <f>IF([3]Entry!$D$974="","",[3]Entry!$D$974)</f>
        <v/>
      </c>
      <c r="AG971">
        <f>IF([3]Entry!$E$974="","",[3]Entry!$E$974)</f>
        <v/>
      </c>
      <c r="AH971">
        <f>IF([3]Entry!$G$974="","",[3]Entry!$G$974)</f>
        <v/>
      </c>
      <c r="AI971">
        <f>IF([3]Entry!$K$974="","",[3]Entry!$K$974)</f>
        <v/>
      </c>
      <c r="AJ971">
        <f>IF([3]Entry!$L$974="","",[3]Entry!$L$974)</f>
        <v/>
      </c>
      <c r="AK971">
        <f>IF([3]Entry!$M$974="","",[3]Entry!$M$974)</f>
        <v/>
      </c>
      <c r="AL971">
        <f>IF([3]Entry!$N$974="","",[3]Entry!$N$974)</f>
        <v/>
      </c>
      <c r="AM971">
        <f>IF([3]Entry!$R$974="","",[3]Entry!$R$974)</f>
        <v/>
      </c>
    </row>
    <row r="972">
      <c r="T972">
        <f>IF([2]Baskol!$B$975="","",[2]Baskol!$B$975)</f>
        <v/>
      </c>
      <c r="U972">
        <f>IF([2]Baskol!$C$975="","",[2]Baskol!$C$975)</f>
        <v/>
      </c>
      <c r="V972">
        <f>IF([2]Baskol!$D$975="","",[2]Baskol!$D$975)</f>
        <v/>
      </c>
      <c r="W972">
        <f>IF([2]Baskol!$E$975="","",[2]Baskol!$E$975)</f>
        <v/>
      </c>
      <c r="X972">
        <f>IF([2]Baskol!$G$975="","",[2]Baskol!$G$975)</f>
        <v/>
      </c>
      <c r="Y972">
        <f>IF([2]Baskol!$I$975="","",[2]Baskol!$I$975)</f>
        <v/>
      </c>
      <c r="Z972">
        <f>IF([2]Baskol!$J$975="","",[2]Baskol!$J$975)</f>
        <v/>
      </c>
      <c r="AA972">
        <f>IF([2]Baskol!$K$975="","",[2]Baskol!$K$975)</f>
        <v/>
      </c>
      <c r="AB972">
        <f>IF([2]Baskol!$L$975="","",[2]Baskol!$L$975)</f>
        <v/>
      </c>
      <c r="AC972">
        <f>IF([2]Baskol!$N$975="","",[2]Baskol!$N$975)</f>
        <v/>
      </c>
      <c r="AD972">
        <f>IF([2]Baskol!$O$975="","",[2]Baskol!$O$975)</f>
        <v/>
      </c>
      <c r="AE972">
        <f>IF([3]Entry!$C$975="","",[3]Entry!$C$975)</f>
        <v/>
      </c>
      <c r="AF972">
        <f>IF([3]Entry!$D$975="","",[3]Entry!$D$975)</f>
        <v/>
      </c>
      <c r="AG972">
        <f>IF([3]Entry!$E$975="","",[3]Entry!$E$975)</f>
        <v/>
      </c>
      <c r="AH972">
        <f>IF([3]Entry!$G$975="","",[3]Entry!$G$975)</f>
        <v/>
      </c>
      <c r="AI972">
        <f>IF([3]Entry!$K$975="","",[3]Entry!$K$975)</f>
        <v/>
      </c>
      <c r="AJ972">
        <f>IF([3]Entry!$L$975="","",[3]Entry!$L$975)</f>
        <v/>
      </c>
      <c r="AK972">
        <f>IF([3]Entry!$M$975="","",[3]Entry!$M$975)</f>
        <v/>
      </c>
      <c r="AL972">
        <f>IF([3]Entry!$N$975="","",[3]Entry!$N$975)</f>
        <v/>
      </c>
      <c r="AM972">
        <f>IF([3]Entry!$R$975="","",[3]Entry!$R$975)</f>
        <v/>
      </c>
    </row>
    <row r="973">
      <c r="T973">
        <f>IF([2]Baskol!$B$976="","",[2]Baskol!$B$976)</f>
        <v/>
      </c>
      <c r="U973">
        <f>IF([2]Baskol!$C$976="","",[2]Baskol!$C$976)</f>
        <v/>
      </c>
      <c r="V973">
        <f>IF([2]Baskol!$D$976="","",[2]Baskol!$D$976)</f>
        <v/>
      </c>
      <c r="W973">
        <f>IF([2]Baskol!$E$976="","",[2]Baskol!$E$976)</f>
        <v/>
      </c>
      <c r="X973">
        <f>IF([2]Baskol!$G$976="","",[2]Baskol!$G$976)</f>
        <v/>
      </c>
      <c r="Y973">
        <f>IF([2]Baskol!$I$976="","",[2]Baskol!$I$976)</f>
        <v/>
      </c>
      <c r="Z973">
        <f>IF([2]Baskol!$J$976="","",[2]Baskol!$J$976)</f>
        <v/>
      </c>
      <c r="AA973">
        <f>IF([2]Baskol!$K$976="","",[2]Baskol!$K$976)</f>
        <v/>
      </c>
      <c r="AB973">
        <f>IF([2]Baskol!$L$976="","",[2]Baskol!$L$976)</f>
        <v/>
      </c>
      <c r="AC973">
        <f>IF([2]Baskol!$N$976="","",[2]Baskol!$N$976)</f>
        <v/>
      </c>
      <c r="AD973">
        <f>IF([2]Baskol!$O$976="","",[2]Baskol!$O$976)</f>
        <v/>
      </c>
      <c r="AE973">
        <f>IF([3]Entry!$C$976="","",[3]Entry!$C$976)</f>
        <v/>
      </c>
      <c r="AF973">
        <f>IF([3]Entry!$D$976="","",[3]Entry!$D$976)</f>
        <v/>
      </c>
      <c r="AG973">
        <f>IF([3]Entry!$E$976="","",[3]Entry!$E$976)</f>
        <v/>
      </c>
      <c r="AH973">
        <f>IF([3]Entry!$G$976="","",[3]Entry!$G$976)</f>
        <v/>
      </c>
      <c r="AI973">
        <f>IF([3]Entry!$K$976="","",[3]Entry!$K$976)</f>
        <v/>
      </c>
      <c r="AJ973">
        <f>IF([3]Entry!$L$976="","",[3]Entry!$L$976)</f>
        <v/>
      </c>
      <c r="AK973">
        <f>IF([3]Entry!$M$976="","",[3]Entry!$M$976)</f>
        <v/>
      </c>
      <c r="AL973">
        <f>IF([3]Entry!$N$976="","",[3]Entry!$N$976)</f>
        <v/>
      </c>
      <c r="AM973">
        <f>IF([3]Entry!$R$976="","",[3]Entry!$R$976)</f>
        <v/>
      </c>
    </row>
    <row r="974">
      <c r="T974">
        <f>IF([2]Baskol!$B$977="","",[2]Baskol!$B$977)</f>
        <v/>
      </c>
      <c r="U974">
        <f>IF([2]Baskol!$C$977="","",[2]Baskol!$C$977)</f>
        <v/>
      </c>
      <c r="V974">
        <f>IF([2]Baskol!$D$977="","",[2]Baskol!$D$977)</f>
        <v/>
      </c>
      <c r="W974">
        <f>IF([2]Baskol!$E$977="","",[2]Baskol!$E$977)</f>
        <v/>
      </c>
      <c r="X974">
        <f>IF([2]Baskol!$G$977="","",[2]Baskol!$G$977)</f>
        <v/>
      </c>
      <c r="Y974">
        <f>IF([2]Baskol!$I$977="","",[2]Baskol!$I$977)</f>
        <v/>
      </c>
      <c r="Z974">
        <f>IF([2]Baskol!$J$977="","",[2]Baskol!$J$977)</f>
        <v/>
      </c>
      <c r="AA974">
        <f>IF([2]Baskol!$K$977="","",[2]Baskol!$K$977)</f>
        <v/>
      </c>
      <c r="AB974">
        <f>IF([2]Baskol!$L$977="","",[2]Baskol!$L$977)</f>
        <v/>
      </c>
      <c r="AC974">
        <f>IF([2]Baskol!$N$977="","",[2]Baskol!$N$977)</f>
        <v/>
      </c>
      <c r="AD974">
        <f>IF([2]Baskol!$O$977="","",[2]Baskol!$O$977)</f>
        <v/>
      </c>
      <c r="AE974">
        <f>IF([3]Entry!$C$977="","",[3]Entry!$C$977)</f>
        <v/>
      </c>
      <c r="AF974">
        <f>IF([3]Entry!$D$977="","",[3]Entry!$D$977)</f>
        <v/>
      </c>
      <c r="AG974">
        <f>IF([3]Entry!$E$977="","",[3]Entry!$E$977)</f>
        <v/>
      </c>
      <c r="AH974">
        <f>IF([3]Entry!$G$977="","",[3]Entry!$G$977)</f>
        <v/>
      </c>
      <c r="AI974">
        <f>IF([3]Entry!$K$977="","",[3]Entry!$K$977)</f>
        <v/>
      </c>
      <c r="AJ974">
        <f>IF([3]Entry!$L$977="","",[3]Entry!$L$977)</f>
        <v/>
      </c>
      <c r="AK974">
        <f>IF([3]Entry!$M$977="","",[3]Entry!$M$977)</f>
        <v/>
      </c>
      <c r="AL974">
        <f>IF([3]Entry!$N$977="","",[3]Entry!$N$977)</f>
        <v/>
      </c>
      <c r="AM974">
        <f>IF([3]Entry!$R$977="","",[3]Entry!$R$977)</f>
        <v/>
      </c>
    </row>
    <row r="975">
      <c r="T975">
        <f>IF([2]Baskol!$B$978="","",[2]Baskol!$B$978)</f>
        <v/>
      </c>
      <c r="U975">
        <f>IF([2]Baskol!$C$978="","",[2]Baskol!$C$978)</f>
        <v/>
      </c>
      <c r="V975">
        <f>IF([2]Baskol!$D$978="","",[2]Baskol!$D$978)</f>
        <v/>
      </c>
      <c r="W975">
        <f>IF([2]Baskol!$E$978="","",[2]Baskol!$E$978)</f>
        <v/>
      </c>
      <c r="X975">
        <f>IF([2]Baskol!$G$978="","",[2]Baskol!$G$978)</f>
        <v/>
      </c>
      <c r="Y975">
        <f>IF([2]Baskol!$I$978="","",[2]Baskol!$I$978)</f>
        <v/>
      </c>
      <c r="Z975">
        <f>IF([2]Baskol!$J$978="","",[2]Baskol!$J$978)</f>
        <v/>
      </c>
      <c r="AA975">
        <f>IF([2]Baskol!$K$978="","",[2]Baskol!$K$978)</f>
        <v/>
      </c>
      <c r="AB975">
        <f>IF([2]Baskol!$L$978="","",[2]Baskol!$L$978)</f>
        <v/>
      </c>
      <c r="AC975">
        <f>IF([2]Baskol!$N$978="","",[2]Baskol!$N$978)</f>
        <v/>
      </c>
      <c r="AD975">
        <f>IF([2]Baskol!$O$978="","",[2]Baskol!$O$978)</f>
        <v/>
      </c>
      <c r="AE975">
        <f>IF([3]Entry!$C$978="","",[3]Entry!$C$978)</f>
        <v/>
      </c>
      <c r="AF975">
        <f>IF([3]Entry!$D$978="","",[3]Entry!$D$978)</f>
        <v/>
      </c>
      <c r="AG975">
        <f>IF([3]Entry!$E$978="","",[3]Entry!$E$978)</f>
        <v/>
      </c>
      <c r="AH975">
        <f>IF([3]Entry!$G$978="","",[3]Entry!$G$978)</f>
        <v/>
      </c>
      <c r="AI975">
        <f>IF([3]Entry!$K$978="","",[3]Entry!$K$978)</f>
        <v/>
      </c>
      <c r="AJ975">
        <f>IF([3]Entry!$L$978="","",[3]Entry!$L$978)</f>
        <v/>
      </c>
      <c r="AK975">
        <f>IF([3]Entry!$M$978="","",[3]Entry!$M$978)</f>
        <v/>
      </c>
      <c r="AL975">
        <f>IF([3]Entry!$N$978="","",[3]Entry!$N$978)</f>
        <v/>
      </c>
      <c r="AM975">
        <f>IF([3]Entry!$R$978="","",[3]Entry!$R$978)</f>
        <v/>
      </c>
    </row>
    <row r="976">
      <c r="T976">
        <f>IF([2]Baskol!$B$979="","",[2]Baskol!$B$979)</f>
        <v/>
      </c>
      <c r="U976">
        <f>IF([2]Baskol!$C$979="","",[2]Baskol!$C$979)</f>
        <v/>
      </c>
      <c r="V976">
        <f>IF([2]Baskol!$D$979="","",[2]Baskol!$D$979)</f>
        <v/>
      </c>
      <c r="W976">
        <f>IF([2]Baskol!$E$979="","",[2]Baskol!$E$979)</f>
        <v/>
      </c>
      <c r="X976">
        <f>IF([2]Baskol!$G$979="","",[2]Baskol!$G$979)</f>
        <v/>
      </c>
      <c r="Y976">
        <f>IF([2]Baskol!$I$979="","",[2]Baskol!$I$979)</f>
        <v/>
      </c>
      <c r="Z976">
        <f>IF([2]Baskol!$J$979="","",[2]Baskol!$J$979)</f>
        <v/>
      </c>
      <c r="AA976">
        <f>IF([2]Baskol!$K$979="","",[2]Baskol!$K$979)</f>
        <v/>
      </c>
      <c r="AB976">
        <f>IF([2]Baskol!$L$979="","",[2]Baskol!$L$979)</f>
        <v/>
      </c>
      <c r="AC976">
        <f>IF([2]Baskol!$N$979="","",[2]Baskol!$N$979)</f>
        <v/>
      </c>
      <c r="AD976">
        <f>IF([2]Baskol!$O$979="","",[2]Baskol!$O$979)</f>
        <v/>
      </c>
      <c r="AE976">
        <f>IF([3]Entry!$C$979="","",[3]Entry!$C$979)</f>
        <v/>
      </c>
      <c r="AF976">
        <f>IF([3]Entry!$D$979="","",[3]Entry!$D$979)</f>
        <v/>
      </c>
      <c r="AG976">
        <f>IF([3]Entry!$E$979="","",[3]Entry!$E$979)</f>
        <v/>
      </c>
      <c r="AH976">
        <f>IF([3]Entry!$G$979="","",[3]Entry!$G$979)</f>
        <v/>
      </c>
      <c r="AI976">
        <f>IF([3]Entry!$K$979="","",[3]Entry!$K$979)</f>
        <v/>
      </c>
      <c r="AJ976">
        <f>IF([3]Entry!$L$979="","",[3]Entry!$L$979)</f>
        <v/>
      </c>
      <c r="AK976">
        <f>IF([3]Entry!$M$979="","",[3]Entry!$M$979)</f>
        <v/>
      </c>
      <c r="AL976">
        <f>IF([3]Entry!$N$979="","",[3]Entry!$N$979)</f>
        <v/>
      </c>
      <c r="AM976">
        <f>IF([3]Entry!$R$979="","",[3]Entry!$R$979)</f>
        <v/>
      </c>
    </row>
    <row r="977">
      <c r="T977">
        <f>IF([2]Baskol!$B$980="","",[2]Baskol!$B$980)</f>
        <v/>
      </c>
      <c r="U977">
        <f>IF([2]Baskol!$C$980="","",[2]Baskol!$C$980)</f>
        <v/>
      </c>
      <c r="V977">
        <f>IF([2]Baskol!$D$980="","",[2]Baskol!$D$980)</f>
        <v/>
      </c>
      <c r="W977">
        <f>IF([2]Baskol!$E$980="","",[2]Baskol!$E$980)</f>
        <v/>
      </c>
      <c r="X977">
        <f>IF([2]Baskol!$G$980="","",[2]Baskol!$G$980)</f>
        <v/>
      </c>
      <c r="Y977">
        <f>IF([2]Baskol!$I$980="","",[2]Baskol!$I$980)</f>
        <v/>
      </c>
      <c r="Z977">
        <f>IF([2]Baskol!$J$980="","",[2]Baskol!$J$980)</f>
        <v/>
      </c>
      <c r="AA977">
        <f>IF([2]Baskol!$K$980="","",[2]Baskol!$K$980)</f>
        <v/>
      </c>
      <c r="AB977">
        <f>IF([2]Baskol!$L$980="","",[2]Baskol!$L$980)</f>
        <v/>
      </c>
      <c r="AC977">
        <f>IF([2]Baskol!$N$980="","",[2]Baskol!$N$980)</f>
        <v/>
      </c>
      <c r="AD977">
        <f>IF([2]Baskol!$O$980="","",[2]Baskol!$O$980)</f>
        <v/>
      </c>
      <c r="AE977">
        <f>IF([3]Entry!$C$980="","",[3]Entry!$C$980)</f>
        <v/>
      </c>
      <c r="AF977">
        <f>IF([3]Entry!$D$980="","",[3]Entry!$D$980)</f>
        <v/>
      </c>
      <c r="AG977">
        <f>IF([3]Entry!$E$980="","",[3]Entry!$E$980)</f>
        <v/>
      </c>
      <c r="AH977">
        <f>IF([3]Entry!$G$980="","",[3]Entry!$G$980)</f>
        <v/>
      </c>
      <c r="AI977">
        <f>IF([3]Entry!$K$980="","",[3]Entry!$K$980)</f>
        <v/>
      </c>
      <c r="AJ977">
        <f>IF([3]Entry!$L$980="","",[3]Entry!$L$980)</f>
        <v/>
      </c>
      <c r="AK977">
        <f>IF([3]Entry!$M$980="","",[3]Entry!$M$980)</f>
        <v/>
      </c>
      <c r="AL977">
        <f>IF([3]Entry!$N$980="","",[3]Entry!$N$980)</f>
        <v/>
      </c>
      <c r="AM977">
        <f>IF([3]Entry!$R$980="","",[3]Entry!$R$980)</f>
        <v/>
      </c>
    </row>
    <row r="978">
      <c r="T978">
        <f>IF([2]Baskol!$B$981="","",[2]Baskol!$B$981)</f>
        <v/>
      </c>
      <c r="U978">
        <f>IF([2]Baskol!$C$981="","",[2]Baskol!$C$981)</f>
        <v/>
      </c>
      <c r="V978">
        <f>IF([2]Baskol!$D$981="","",[2]Baskol!$D$981)</f>
        <v/>
      </c>
      <c r="W978">
        <f>IF([2]Baskol!$E$981="","",[2]Baskol!$E$981)</f>
        <v/>
      </c>
      <c r="X978">
        <f>IF([2]Baskol!$G$981="","",[2]Baskol!$G$981)</f>
        <v/>
      </c>
      <c r="Y978">
        <f>IF([2]Baskol!$I$981="","",[2]Baskol!$I$981)</f>
        <v/>
      </c>
      <c r="Z978">
        <f>IF([2]Baskol!$J$981="","",[2]Baskol!$J$981)</f>
        <v/>
      </c>
      <c r="AA978">
        <f>IF([2]Baskol!$K$981="","",[2]Baskol!$K$981)</f>
        <v/>
      </c>
      <c r="AB978">
        <f>IF([2]Baskol!$L$981="","",[2]Baskol!$L$981)</f>
        <v/>
      </c>
      <c r="AC978">
        <f>IF([2]Baskol!$N$981="","",[2]Baskol!$N$981)</f>
        <v/>
      </c>
      <c r="AD978">
        <f>IF([2]Baskol!$O$981="","",[2]Baskol!$O$981)</f>
        <v/>
      </c>
      <c r="AE978">
        <f>IF([3]Entry!$C$981="","",[3]Entry!$C$981)</f>
        <v/>
      </c>
      <c r="AF978">
        <f>IF([3]Entry!$D$981="","",[3]Entry!$D$981)</f>
        <v/>
      </c>
      <c r="AG978">
        <f>IF([3]Entry!$E$981="","",[3]Entry!$E$981)</f>
        <v/>
      </c>
      <c r="AH978">
        <f>IF([3]Entry!$G$981="","",[3]Entry!$G$981)</f>
        <v/>
      </c>
      <c r="AI978">
        <f>IF([3]Entry!$K$981="","",[3]Entry!$K$981)</f>
        <v/>
      </c>
      <c r="AJ978">
        <f>IF([3]Entry!$L$981="","",[3]Entry!$L$981)</f>
        <v/>
      </c>
      <c r="AK978">
        <f>IF([3]Entry!$M$981="","",[3]Entry!$M$981)</f>
        <v/>
      </c>
      <c r="AL978">
        <f>IF([3]Entry!$N$981="","",[3]Entry!$N$981)</f>
        <v/>
      </c>
      <c r="AM978">
        <f>IF([3]Entry!$R$981="","",[3]Entry!$R$981)</f>
        <v/>
      </c>
    </row>
    <row r="979">
      <c r="T979">
        <f>IF([2]Baskol!$B$982="","",[2]Baskol!$B$982)</f>
        <v/>
      </c>
      <c r="U979">
        <f>IF([2]Baskol!$C$982="","",[2]Baskol!$C$982)</f>
        <v/>
      </c>
      <c r="V979">
        <f>IF([2]Baskol!$D$982="","",[2]Baskol!$D$982)</f>
        <v/>
      </c>
      <c r="W979">
        <f>IF([2]Baskol!$E$982="","",[2]Baskol!$E$982)</f>
        <v/>
      </c>
      <c r="X979">
        <f>IF([2]Baskol!$G$982="","",[2]Baskol!$G$982)</f>
        <v/>
      </c>
      <c r="Y979">
        <f>IF([2]Baskol!$I$982="","",[2]Baskol!$I$982)</f>
        <v/>
      </c>
      <c r="Z979">
        <f>IF([2]Baskol!$J$982="","",[2]Baskol!$J$982)</f>
        <v/>
      </c>
      <c r="AA979">
        <f>IF([2]Baskol!$K$982="","",[2]Baskol!$K$982)</f>
        <v/>
      </c>
      <c r="AB979">
        <f>IF([2]Baskol!$L$982="","",[2]Baskol!$L$982)</f>
        <v/>
      </c>
      <c r="AC979">
        <f>IF([2]Baskol!$N$982="","",[2]Baskol!$N$982)</f>
        <v/>
      </c>
      <c r="AD979">
        <f>IF([2]Baskol!$O$982="","",[2]Baskol!$O$982)</f>
        <v/>
      </c>
      <c r="AE979">
        <f>IF([3]Entry!$C$982="","",[3]Entry!$C$982)</f>
        <v/>
      </c>
      <c r="AF979">
        <f>IF([3]Entry!$D$982="","",[3]Entry!$D$982)</f>
        <v/>
      </c>
      <c r="AG979">
        <f>IF([3]Entry!$E$982="","",[3]Entry!$E$982)</f>
        <v/>
      </c>
      <c r="AH979">
        <f>IF([3]Entry!$G$982="","",[3]Entry!$G$982)</f>
        <v/>
      </c>
      <c r="AI979">
        <f>IF([3]Entry!$K$982="","",[3]Entry!$K$982)</f>
        <v/>
      </c>
      <c r="AJ979">
        <f>IF([3]Entry!$L$982="","",[3]Entry!$L$982)</f>
        <v/>
      </c>
      <c r="AK979">
        <f>IF([3]Entry!$M$982="","",[3]Entry!$M$982)</f>
        <v/>
      </c>
      <c r="AL979">
        <f>IF([3]Entry!$N$982="","",[3]Entry!$N$982)</f>
        <v/>
      </c>
      <c r="AM979">
        <f>IF([3]Entry!$R$982="","",[3]Entry!$R$982)</f>
        <v/>
      </c>
    </row>
    <row r="980">
      <c r="T980">
        <f>IF([2]Baskol!$B$983="","",[2]Baskol!$B$983)</f>
        <v/>
      </c>
      <c r="U980">
        <f>IF([2]Baskol!$C$983="","",[2]Baskol!$C$983)</f>
        <v/>
      </c>
      <c r="V980">
        <f>IF([2]Baskol!$D$983="","",[2]Baskol!$D$983)</f>
        <v/>
      </c>
      <c r="W980">
        <f>IF([2]Baskol!$E$983="","",[2]Baskol!$E$983)</f>
        <v/>
      </c>
      <c r="X980">
        <f>IF([2]Baskol!$G$983="","",[2]Baskol!$G$983)</f>
        <v/>
      </c>
      <c r="Y980">
        <f>IF([2]Baskol!$I$983="","",[2]Baskol!$I$983)</f>
        <v/>
      </c>
      <c r="Z980">
        <f>IF([2]Baskol!$J$983="","",[2]Baskol!$J$983)</f>
        <v/>
      </c>
      <c r="AA980">
        <f>IF([2]Baskol!$K$983="","",[2]Baskol!$K$983)</f>
        <v/>
      </c>
      <c r="AB980">
        <f>IF([2]Baskol!$L$983="","",[2]Baskol!$L$983)</f>
        <v/>
      </c>
      <c r="AC980">
        <f>IF([2]Baskol!$N$983="","",[2]Baskol!$N$983)</f>
        <v/>
      </c>
      <c r="AD980">
        <f>IF([2]Baskol!$O$983="","",[2]Baskol!$O$983)</f>
        <v/>
      </c>
      <c r="AE980">
        <f>IF([3]Entry!$C$983="","",[3]Entry!$C$983)</f>
        <v/>
      </c>
      <c r="AF980">
        <f>IF([3]Entry!$D$983="","",[3]Entry!$D$983)</f>
        <v/>
      </c>
      <c r="AG980">
        <f>IF([3]Entry!$E$983="","",[3]Entry!$E$983)</f>
        <v/>
      </c>
      <c r="AH980">
        <f>IF([3]Entry!$G$983="","",[3]Entry!$G$983)</f>
        <v/>
      </c>
      <c r="AI980">
        <f>IF([3]Entry!$K$983="","",[3]Entry!$K$983)</f>
        <v/>
      </c>
      <c r="AJ980">
        <f>IF([3]Entry!$L$983="","",[3]Entry!$L$983)</f>
        <v/>
      </c>
      <c r="AK980">
        <f>IF([3]Entry!$M$983="","",[3]Entry!$M$983)</f>
        <v/>
      </c>
      <c r="AL980">
        <f>IF([3]Entry!$N$983="","",[3]Entry!$N$983)</f>
        <v/>
      </c>
      <c r="AM980">
        <f>IF([3]Entry!$R$983="","",[3]Entry!$R$983)</f>
        <v/>
      </c>
    </row>
    <row r="981">
      <c r="T981">
        <f>IF([2]Baskol!$B$984="","",[2]Baskol!$B$984)</f>
        <v/>
      </c>
      <c r="U981">
        <f>IF([2]Baskol!$C$984="","",[2]Baskol!$C$984)</f>
        <v/>
      </c>
      <c r="V981">
        <f>IF([2]Baskol!$D$984="","",[2]Baskol!$D$984)</f>
        <v/>
      </c>
      <c r="W981">
        <f>IF([2]Baskol!$E$984="","",[2]Baskol!$E$984)</f>
        <v/>
      </c>
      <c r="X981">
        <f>IF([2]Baskol!$G$984="","",[2]Baskol!$G$984)</f>
        <v/>
      </c>
      <c r="Y981">
        <f>IF([2]Baskol!$I$984="","",[2]Baskol!$I$984)</f>
        <v/>
      </c>
      <c r="Z981">
        <f>IF([2]Baskol!$J$984="","",[2]Baskol!$J$984)</f>
        <v/>
      </c>
      <c r="AA981">
        <f>IF([2]Baskol!$K$984="","",[2]Baskol!$K$984)</f>
        <v/>
      </c>
      <c r="AB981">
        <f>IF([2]Baskol!$L$984="","",[2]Baskol!$L$984)</f>
        <v/>
      </c>
      <c r="AC981">
        <f>IF([2]Baskol!$N$984="","",[2]Baskol!$N$984)</f>
        <v/>
      </c>
      <c r="AD981">
        <f>IF([2]Baskol!$O$984="","",[2]Baskol!$O$984)</f>
        <v/>
      </c>
      <c r="AE981">
        <f>IF([3]Entry!$C$984="","",[3]Entry!$C$984)</f>
        <v/>
      </c>
      <c r="AF981">
        <f>IF([3]Entry!$D$984="","",[3]Entry!$D$984)</f>
        <v/>
      </c>
      <c r="AG981">
        <f>IF([3]Entry!$E$984="","",[3]Entry!$E$984)</f>
        <v/>
      </c>
      <c r="AH981">
        <f>IF([3]Entry!$G$984="","",[3]Entry!$G$984)</f>
        <v/>
      </c>
      <c r="AI981">
        <f>IF([3]Entry!$K$984="","",[3]Entry!$K$984)</f>
        <v/>
      </c>
      <c r="AJ981">
        <f>IF([3]Entry!$L$984="","",[3]Entry!$L$984)</f>
        <v/>
      </c>
      <c r="AK981">
        <f>IF([3]Entry!$M$984="","",[3]Entry!$M$984)</f>
        <v/>
      </c>
      <c r="AL981">
        <f>IF([3]Entry!$N$984="","",[3]Entry!$N$984)</f>
        <v/>
      </c>
      <c r="AM981">
        <f>IF([3]Entry!$R$984="","",[3]Entry!$R$984)</f>
        <v/>
      </c>
    </row>
    <row r="982">
      <c r="T982">
        <f>IF([2]Baskol!$B$985="","",[2]Baskol!$B$985)</f>
        <v/>
      </c>
      <c r="U982">
        <f>IF([2]Baskol!$C$985="","",[2]Baskol!$C$985)</f>
        <v/>
      </c>
      <c r="V982">
        <f>IF([2]Baskol!$D$985="","",[2]Baskol!$D$985)</f>
        <v/>
      </c>
      <c r="W982">
        <f>IF([2]Baskol!$E$985="","",[2]Baskol!$E$985)</f>
        <v/>
      </c>
      <c r="X982">
        <f>IF([2]Baskol!$G$985="","",[2]Baskol!$G$985)</f>
        <v/>
      </c>
      <c r="Y982">
        <f>IF([2]Baskol!$I$985="","",[2]Baskol!$I$985)</f>
        <v/>
      </c>
      <c r="Z982">
        <f>IF([2]Baskol!$J$985="","",[2]Baskol!$J$985)</f>
        <v/>
      </c>
      <c r="AA982">
        <f>IF([2]Baskol!$K$985="","",[2]Baskol!$K$985)</f>
        <v/>
      </c>
      <c r="AB982">
        <f>IF([2]Baskol!$L$985="","",[2]Baskol!$L$985)</f>
        <v/>
      </c>
      <c r="AC982">
        <f>IF([2]Baskol!$N$985="","",[2]Baskol!$N$985)</f>
        <v/>
      </c>
      <c r="AD982">
        <f>IF([2]Baskol!$O$985="","",[2]Baskol!$O$985)</f>
        <v/>
      </c>
      <c r="AE982">
        <f>IF([3]Entry!$C$985="","",[3]Entry!$C$985)</f>
        <v/>
      </c>
      <c r="AF982">
        <f>IF([3]Entry!$D$985="","",[3]Entry!$D$985)</f>
        <v/>
      </c>
      <c r="AG982">
        <f>IF([3]Entry!$E$985="","",[3]Entry!$E$985)</f>
        <v/>
      </c>
      <c r="AH982">
        <f>IF([3]Entry!$G$985="","",[3]Entry!$G$985)</f>
        <v/>
      </c>
      <c r="AI982">
        <f>IF([3]Entry!$K$985="","",[3]Entry!$K$985)</f>
        <v/>
      </c>
      <c r="AJ982">
        <f>IF([3]Entry!$L$985="","",[3]Entry!$L$985)</f>
        <v/>
      </c>
      <c r="AK982">
        <f>IF([3]Entry!$M$985="","",[3]Entry!$M$985)</f>
        <v/>
      </c>
      <c r="AL982">
        <f>IF([3]Entry!$N$985="","",[3]Entry!$N$985)</f>
        <v/>
      </c>
      <c r="AM982">
        <f>IF([3]Entry!$R$985="","",[3]Entry!$R$985)</f>
        <v/>
      </c>
    </row>
    <row r="983">
      <c r="T983">
        <f>IF([2]Baskol!$B$986="","",[2]Baskol!$B$986)</f>
        <v/>
      </c>
      <c r="U983">
        <f>IF([2]Baskol!$C$986="","",[2]Baskol!$C$986)</f>
        <v/>
      </c>
      <c r="V983">
        <f>IF([2]Baskol!$D$986="","",[2]Baskol!$D$986)</f>
        <v/>
      </c>
      <c r="W983">
        <f>IF([2]Baskol!$E$986="","",[2]Baskol!$E$986)</f>
        <v/>
      </c>
      <c r="X983">
        <f>IF([2]Baskol!$G$986="","",[2]Baskol!$G$986)</f>
        <v/>
      </c>
      <c r="Y983">
        <f>IF([2]Baskol!$I$986="","",[2]Baskol!$I$986)</f>
        <v/>
      </c>
      <c r="Z983">
        <f>IF([2]Baskol!$J$986="","",[2]Baskol!$J$986)</f>
        <v/>
      </c>
      <c r="AA983">
        <f>IF([2]Baskol!$K$986="","",[2]Baskol!$K$986)</f>
        <v/>
      </c>
      <c r="AB983">
        <f>IF([2]Baskol!$L$986="","",[2]Baskol!$L$986)</f>
        <v/>
      </c>
      <c r="AC983">
        <f>IF([2]Baskol!$N$986="","",[2]Baskol!$N$986)</f>
        <v/>
      </c>
      <c r="AD983">
        <f>IF([2]Baskol!$O$986="","",[2]Baskol!$O$986)</f>
        <v/>
      </c>
      <c r="AE983">
        <f>IF([3]Entry!$C$986="","",[3]Entry!$C$986)</f>
        <v/>
      </c>
      <c r="AF983">
        <f>IF([3]Entry!$D$986="","",[3]Entry!$D$986)</f>
        <v/>
      </c>
      <c r="AG983">
        <f>IF([3]Entry!$E$986="","",[3]Entry!$E$986)</f>
        <v/>
      </c>
      <c r="AH983">
        <f>IF([3]Entry!$G$986="","",[3]Entry!$G$986)</f>
        <v/>
      </c>
      <c r="AI983">
        <f>IF([3]Entry!$K$986="","",[3]Entry!$K$986)</f>
        <v/>
      </c>
      <c r="AJ983">
        <f>IF([3]Entry!$L$986="","",[3]Entry!$L$986)</f>
        <v/>
      </c>
      <c r="AK983">
        <f>IF([3]Entry!$M$986="","",[3]Entry!$M$986)</f>
        <v/>
      </c>
      <c r="AL983">
        <f>IF([3]Entry!$N$986="","",[3]Entry!$N$986)</f>
        <v/>
      </c>
      <c r="AM983">
        <f>IF([3]Entry!$R$986="","",[3]Entry!$R$986)</f>
        <v/>
      </c>
    </row>
    <row r="984">
      <c r="T984">
        <f>IF([2]Baskol!$B$987="","",[2]Baskol!$B$987)</f>
        <v/>
      </c>
      <c r="U984">
        <f>IF([2]Baskol!$C$987="","",[2]Baskol!$C$987)</f>
        <v/>
      </c>
      <c r="V984">
        <f>IF([2]Baskol!$D$987="","",[2]Baskol!$D$987)</f>
        <v/>
      </c>
      <c r="W984">
        <f>IF([2]Baskol!$E$987="","",[2]Baskol!$E$987)</f>
        <v/>
      </c>
      <c r="X984">
        <f>IF([2]Baskol!$G$987="","",[2]Baskol!$G$987)</f>
        <v/>
      </c>
      <c r="Y984">
        <f>IF([2]Baskol!$I$987="","",[2]Baskol!$I$987)</f>
        <v/>
      </c>
      <c r="Z984">
        <f>IF([2]Baskol!$J$987="","",[2]Baskol!$J$987)</f>
        <v/>
      </c>
      <c r="AA984">
        <f>IF([2]Baskol!$K$987="","",[2]Baskol!$K$987)</f>
        <v/>
      </c>
      <c r="AB984">
        <f>IF([2]Baskol!$L$987="","",[2]Baskol!$L$987)</f>
        <v/>
      </c>
      <c r="AC984">
        <f>IF([2]Baskol!$N$987="","",[2]Baskol!$N$987)</f>
        <v/>
      </c>
      <c r="AD984">
        <f>IF([2]Baskol!$O$987="","",[2]Baskol!$O$987)</f>
        <v/>
      </c>
      <c r="AE984">
        <f>IF([3]Entry!$C$987="","",[3]Entry!$C$987)</f>
        <v/>
      </c>
      <c r="AF984">
        <f>IF([3]Entry!$D$987="","",[3]Entry!$D$987)</f>
        <v/>
      </c>
      <c r="AG984">
        <f>IF([3]Entry!$E$987="","",[3]Entry!$E$987)</f>
        <v/>
      </c>
      <c r="AH984">
        <f>IF([3]Entry!$G$987="","",[3]Entry!$G$987)</f>
        <v/>
      </c>
      <c r="AI984">
        <f>IF([3]Entry!$K$987="","",[3]Entry!$K$987)</f>
        <v/>
      </c>
      <c r="AJ984">
        <f>IF([3]Entry!$L$987="","",[3]Entry!$L$987)</f>
        <v/>
      </c>
      <c r="AK984">
        <f>IF([3]Entry!$M$987="","",[3]Entry!$M$987)</f>
        <v/>
      </c>
      <c r="AL984">
        <f>IF([3]Entry!$N$987="","",[3]Entry!$N$987)</f>
        <v/>
      </c>
      <c r="AM984">
        <f>IF([3]Entry!$R$987="","",[3]Entry!$R$987)</f>
        <v/>
      </c>
    </row>
    <row r="985">
      <c r="T985">
        <f>IF([2]Baskol!$B$988="","",[2]Baskol!$B$988)</f>
        <v/>
      </c>
      <c r="U985">
        <f>IF([2]Baskol!$C$988="","",[2]Baskol!$C$988)</f>
        <v/>
      </c>
      <c r="V985">
        <f>IF([2]Baskol!$D$988="","",[2]Baskol!$D$988)</f>
        <v/>
      </c>
      <c r="W985">
        <f>IF([2]Baskol!$E$988="","",[2]Baskol!$E$988)</f>
        <v/>
      </c>
      <c r="X985">
        <f>IF([2]Baskol!$G$988="","",[2]Baskol!$G$988)</f>
        <v/>
      </c>
      <c r="Y985">
        <f>IF([2]Baskol!$I$988="","",[2]Baskol!$I$988)</f>
        <v/>
      </c>
      <c r="Z985">
        <f>IF([2]Baskol!$J$988="","",[2]Baskol!$J$988)</f>
        <v/>
      </c>
      <c r="AA985">
        <f>IF([2]Baskol!$K$988="","",[2]Baskol!$K$988)</f>
        <v/>
      </c>
      <c r="AB985">
        <f>IF([2]Baskol!$L$988="","",[2]Baskol!$L$988)</f>
        <v/>
      </c>
      <c r="AC985">
        <f>IF([2]Baskol!$N$988="","",[2]Baskol!$N$988)</f>
        <v/>
      </c>
      <c r="AD985">
        <f>IF([2]Baskol!$O$988="","",[2]Baskol!$O$988)</f>
        <v/>
      </c>
      <c r="AE985">
        <f>IF([3]Entry!$C$988="","",[3]Entry!$C$988)</f>
        <v/>
      </c>
      <c r="AF985">
        <f>IF([3]Entry!$D$988="","",[3]Entry!$D$988)</f>
        <v/>
      </c>
      <c r="AG985">
        <f>IF([3]Entry!$E$988="","",[3]Entry!$E$988)</f>
        <v/>
      </c>
      <c r="AH985">
        <f>IF([3]Entry!$G$988="","",[3]Entry!$G$988)</f>
        <v/>
      </c>
      <c r="AI985">
        <f>IF([3]Entry!$K$988="","",[3]Entry!$K$988)</f>
        <v/>
      </c>
      <c r="AJ985">
        <f>IF([3]Entry!$L$988="","",[3]Entry!$L$988)</f>
        <v/>
      </c>
      <c r="AK985">
        <f>IF([3]Entry!$M$988="","",[3]Entry!$M$988)</f>
        <v/>
      </c>
      <c r="AL985">
        <f>IF([3]Entry!$N$988="","",[3]Entry!$N$988)</f>
        <v/>
      </c>
      <c r="AM985">
        <f>IF([3]Entry!$R$988="","",[3]Entry!$R$988)</f>
        <v/>
      </c>
    </row>
    <row r="986">
      <c r="T986">
        <f>IF([2]Baskol!$B$989="","",[2]Baskol!$B$989)</f>
        <v/>
      </c>
      <c r="U986">
        <f>IF([2]Baskol!$C$989="","",[2]Baskol!$C$989)</f>
        <v/>
      </c>
      <c r="V986">
        <f>IF([2]Baskol!$D$989="","",[2]Baskol!$D$989)</f>
        <v/>
      </c>
      <c r="W986">
        <f>IF([2]Baskol!$E$989="","",[2]Baskol!$E$989)</f>
        <v/>
      </c>
      <c r="X986">
        <f>IF([2]Baskol!$G$989="","",[2]Baskol!$G$989)</f>
        <v/>
      </c>
      <c r="Y986">
        <f>IF([2]Baskol!$I$989="","",[2]Baskol!$I$989)</f>
        <v/>
      </c>
      <c r="Z986">
        <f>IF([2]Baskol!$J$989="","",[2]Baskol!$J$989)</f>
        <v/>
      </c>
      <c r="AA986">
        <f>IF([2]Baskol!$K$989="","",[2]Baskol!$K$989)</f>
        <v/>
      </c>
      <c r="AB986">
        <f>IF([2]Baskol!$L$989="","",[2]Baskol!$L$989)</f>
        <v/>
      </c>
      <c r="AC986">
        <f>IF([2]Baskol!$N$989="","",[2]Baskol!$N$989)</f>
        <v/>
      </c>
      <c r="AD986">
        <f>IF([2]Baskol!$O$989="","",[2]Baskol!$O$989)</f>
        <v/>
      </c>
      <c r="AE986">
        <f>IF([3]Entry!$C$989="","",[3]Entry!$C$989)</f>
        <v/>
      </c>
      <c r="AF986">
        <f>IF([3]Entry!$D$989="","",[3]Entry!$D$989)</f>
        <v/>
      </c>
      <c r="AG986">
        <f>IF([3]Entry!$E$989="","",[3]Entry!$E$989)</f>
        <v/>
      </c>
      <c r="AH986">
        <f>IF([3]Entry!$G$989="","",[3]Entry!$G$989)</f>
        <v/>
      </c>
      <c r="AI986">
        <f>IF([3]Entry!$K$989="","",[3]Entry!$K$989)</f>
        <v/>
      </c>
      <c r="AJ986">
        <f>IF([3]Entry!$L$989="","",[3]Entry!$L$989)</f>
        <v/>
      </c>
      <c r="AK986">
        <f>IF([3]Entry!$M$989="","",[3]Entry!$M$989)</f>
        <v/>
      </c>
      <c r="AL986">
        <f>IF([3]Entry!$N$989="","",[3]Entry!$N$989)</f>
        <v/>
      </c>
      <c r="AM986">
        <f>IF([3]Entry!$R$989="","",[3]Entry!$R$989)</f>
        <v/>
      </c>
    </row>
    <row r="987">
      <c r="T987">
        <f>IF([2]Baskol!$B$990="","",[2]Baskol!$B$990)</f>
        <v/>
      </c>
      <c r="U987">
        <f>IF([2]Baskol!$C$990="","",[2]Baskol!$C$990)</f>
        <v/>
      </c>
      <c r="V987">
        <f>IF([2]Baskol!$D$990="","",[2]Baskol!$D$990)</f>
        <v/>
      </c>
      <c r="W987">
        <f>IF([2]Baskol!$E$990="","",[2]Baskol!$E$990)</f>
        <v/>
      </c>
      <c r="X987">
        <f>IF([2]Baskol!$G$990="","",[2]Baskol!$G$990)</f>
        <v/>
      </c>
      <c r="Y987">
        <f>IF([2]Baskol!$I$990="","",[2]Baskol!$I$990)</f>
        <v/>
      </c>
      <c r="Z987">
        <f>IF([2]Baskol!$J$990="","",[2]Baskol!$J$990)</f>
        <v/>
      </c>
      <c r="AA987">
        <f>IF([2]Baskol!$K$990="","",[2]Baskol!$K$990)</f>
        <v/>
      </c>
      <c r="AB987">
        <f>IF([2]Baskol!$L$990="","",[2]Baskol!$L$990)</f>
        <v/>
      </c>
      <c r="AC987">
        <f>IF([2]Baskol!$N$990="","",[2]Baskol!$N$990)</f>
        <v/>
      </c>
      <c r="AD987">
        <f>IF([2]Baskol!$O$990="","",[2]Baskol!$O$990)</f>
        <v/>
      </c>
      <c r="AE987">
        <f>IF([3]Entry!$C$990="","",[3]Entry!$C$990)</f>
        <v/>
      </c>
      <c r="AF987">
        <f>IF([3]Entry!$D$990="","",[3]Entry!$D$990)</f>
        <v/>
      </c>
      <c r="AG987">
        <f>IF([3]Entry!$E$990="","",[3]Entry!$E$990)</f>
        <v/>
      </c>
      <c r="AH987">
        <f>IF([3]Entry!$G$990="","",[3]Entry!$G$990)</f>
        <v/>
      </c>
      <c r="AI987">
        <f>IF([3]Entry!$K$990="","",[3]Entry!$K$990)</f>
        <v/>
      </c>
      <c r="AJ987">
        <f>IF([3]Entry!$L$990="","",[3]Entry!$L$990)</f>
        <v/>
      </c>
      <c r="AK987">
        <f>IF([3]Entry!$M$990="","",[3]Entry!$M$990)</f>
        <v/>
      </c>
      <c r="AL987">
        <f>IF([3]Entry!$N$990="","",[3]Entry!$N$990)</f>
        <v/>
      </c>
      <c r="AM987">
        <f>IF([3]Entry!$R$990="","",[3]Entry!$R$990)</f>
        <v/>
      </c>
    </row>
    <row r="988">
      <c r="T988">
        <f>IF([2]Baskol!$B$991="","",[2]Baskol!$B$991)</f>
        <v/>
      </c>
      <c r="U988">
        <f>IF([2]Baskol!$C$991="","",[2]Baskol!$C$991)</f>
        <v/>
      </c>
      <c r="V988">
        <f>IF([2]Baskol!$D$991="","",[2]Baskol!$D$991)</f>
        <v/>
      </c>
      <c r="W988">
        <f>IF([2]Baskol!$E$991="","",[2]Baskol!$E$991)</f>
        <v/>
      </c>
      <c r="X988">
        <f>IF([2]Baskol!$G$991="","",[2]Baskol!$G$991)</f>
        <v/>
      </c>
      <c r="Y988">
        <f>IF([2]Baskol!$I$991="","",[2]Baskol!$I$991)</f>
        <v/>
      </c>
      <c r="Z988">
        <f>IF([2]Baskol!$J$991="","",[2]Baskol!$J$991)</f>
        <v/>
      </c>
      <c r="AA988">
        <f>IF([2]Baskol!$K$991="","",[2]Baskol!$K$991)</f>
        <v/>
      </c>
      <c r="AB988">
        <f>IF([2]Baskol!$L$991="","",[2]Baskol!$L$991)</f>
        <v/>
      </c>
      <c r="AC988">
        <f>IF([2]Baskol!$N$991="","",[2]Baskol!$N$991)</f>
        <v/>
      </c>
      <c r="AD988">
        <f>IF([2]Baskol!$O$991="","",[2]Baskol!$O$991)</f>
        <v/>
      </c>
      <c r="AE988">
        <f>IF([3]Entry!$C$991="","",[3]Entry!$C$991)</f>
        <v/>
      </c>
      <c r="AF988">
        <f>IF([3]Entry!$D$991="","",[3]Entry!$D$991)</f>
        <v/>
      </c>
      <c r="AG988">
        <f>IF([3]Entry!$E$991="","",[3]Entry!$E$991)</f>
        <v/>
      </c>
      <c r="AH988">
        <f>IF([3]Entry!$G$991="","",[3]Entry!$G$991)</f>
        <v/>
      </c>
      <c r="AI988">
        <f>IF([3]Entry!$K$991="","",[3]Entry!$K$991)</f>
        <v/>
      </c>
      <c r="AJ988">
        <f>IF([3]Entry!$L$991="","",[3]Entry!$L$991)</f>
        <v/>
      </c>
      <c r="AK988">
        <f>IF([3]Entry!$M$991="","",[3]Entry!$M$991)</f>
        <v/>
      </c>
      <c r="AL988">
        <f>IF([3]Entry!$N$991="","",[3]Entry!$N$991)</f>
        <v/>
      </c>
      <c r="AM988">
        <f>IF([3]Entry!$R$991="","",[3]Entry!$R$991)</f>
        <v/>
      </c>
    </row>
    <row r="989">
      <c r="T989">
        <f>IF([2]Baskol!$B$992="","",[2]Baskol!$B$992)</f>
        <v/>
      </c>
      <c r="U989">
        <f>IF([2]Baskol!$C$992="","",[2]Baskol!$C$992)</f>
        <v/>
      </c>
      <c r="V989">
        <f>IF([2]Baskol!$D$992="","",[2]Baskol!$D$992)</f>
        <v/>
      </c>
      <c r="W989">
        <f>IF([2]Baskol!$E$992="","",[2]Baskol!$E$992)</f>
        <v/>
      </c>
      <c r="X989">
        <f>IF([2]Baskol!$G$992="","",[2]Baskol!$G$992)</f>
        <v/>
      </c>
      <c r="Y989">
        <f>IF([2]Baskol!$I$992="","",[2]Baskol!$I$992)</f>
        <v/>
      </c>
      <c r="Z989">
        <f>IF([2]Baskol!$J$992="","",[2]Baskol!$J$992)</f>
        <v/>
      </c>
      <c r="AA989">
        <f>IF([2]Baskol!$K$992="","",[2]Baskol!$K$992)</f>
        <v/>
      </c>
      <c r="AB989">
        <f>IF([2]Baskol!$L$992="","",[2]Baskol!$L$992)</f>
        <v/>
      </c>
      <c r="AC989">
        <f>IF([2]Baskol!$N$992="","",[2]Baskol!$N$992)</f>
        <v/>
      </c>
      <c r="AD989">
        <f>IF([2]Baskol!$O$992="","",[2]Baskol!$O$992)</f>
        <v/>
      </c>
      <c r="AE989">
        <f>IF([3]Entry!$C$992="","",[3]Entry!$C$992)</f>
        <v/>
      </c>
      <c r="AF989">
        <f>IF([3]Entry!$D$992="","",[3]Entry!$D$992)</f>
        <v/>
      </c>
      <c r="AG989">
        <f>IF([3]Entry!$E$992="","",[3]Entry!$E$992)</f>
        <v/>
      </c>
      <c r="AH989">
        <f>IF([3]Entry!$G$992="","",[3]Entry!$G$992)</f>
        <v/>
      </c>
      <c r="AI989">
        <f>IF([3]Entry!$K$992="","",[3]Entry!$K$992)</f>
        <v/>
      </c>
      <c r="AJ989">
        <f>IF([3]Entry!$L$992="","",[3]Entry!$L$992)</f>
        <v/>
      </c>
      <c r="AK989">
        <f>IF([3]Entry!$M$992="","",[3]Entry!$M$992)</f>
        <v/>
      </c>
      <c r="AL989">
        <f>IF([3]Entry!$N$992="","",[3]Entry!$N$992)</f>
        <v/>
      </c>
      <c r="AM989">
        <f>IF([3]Entry!$R$992="","",[3]Entry!$R$992)</f>
        <v/>
      </c>
    </row>
    <row r="990">
      <c r="T990">
        <f>IF([2]Baskol!$B$993="","",[2]Baskol!$B$993)</f>
        <v/>
      </c>
      <c r="U990">
        <f>IF([2]Baskol!$C$993="","",[2]Baskol!$C$993)</f>
        <v/>
      </c>
      <c r="V990">
        <f>IF([2]Baskol!$D$993="","",[2]Baskol!$D$993)</f>
        <v/>
      </c>
      <c r="W990">
        <f>IF([2]Baskol!$E$993="","",[2]Baskol!$E$993)</f>
        <v/>
      </c>
      <c r="X990">
        <f>IF([2]Baskol!$G$993="","",[2]Baskol!$G$993)</f>
        <v/>
      </c>
      <c r="Y990">
        <f>IF([2]Baskol!$I$993="","",[2]Baskol!$I$993)</f>
        <v/>
      </c>
      <c r="Z990">
        <f>IF([2]Baskol!$J$993="","",[2]Baskol!$J$993)</f>
        <v/>
      </c>
      <c r="AA990">
        <f>IF([2]Baskol!$K$993="","",[2]Baskol!$K$993)</f>
        <v/>
      </c>
      <c r="AB990">
        <f>IF([2]Baskol!$L$993="","",[2]Baskol!$L$993)</f>
        <v/>
      </c>
      <c r="AC990">
        <f>IF([2]Baskol!$N$993="","",[2]Baskol!$N$993)</f>
        <v/>
      </c>
      <c r="AD990">
        <f>IF([2]Baskol!$O$993="","",[2]Baskol!$O$993)</f>
        <v/>
      </c>
      <c r="AE990">
        <f>IF([3]Entry!$C$993="","",[3]Entry!$C$993)</f>
        <v/>
      </c>
      <c r="AF990">
        <f>IF([3]Entry!$D$993="","",[3]Entry!$D$993)</f>
        <v/>
      </c>
      <c r="AG990">
        <f>IF([3]Entry!$E$993="","",[3]Entry!$E$993)</f>
        <v/>
      </c>
      <c r="AH990">
        <f>IF([3]Entry!$G$993="","",[3]Entry!$G$993)</f>
        <v/>
      </c>
      <c r="AI990">
        <f>IF([3]Entry!$K$993="","",[3]Entry!$K$993)</f>
        <v/>
      </c>
      <c r="AJ990">
        <f>IF([3]Entry!$L$993="","",[3]Entry!$L$993)</f>
        <v/>
      </c>
      <c r="AK990">
        <f>IF([3]Entry!$M$993="","",[3]Entry!$M$993)</f>
        <v/>
      </c>
      <c r="AL990">
        <f>IF([3]Entry!$N$993="","",[3]Entry!$N$993)</f>
        <v/>
      </c>
      <c r="AM990">
        <f>IF([3]Entry!$R$993="","",[3]Entry!$R$993)</f>
        <v/>
      </c>
    </row>
    <row r="991">
      <c r="T991">
        <f>IF([2]Baskol!$B$994="","",[2]Baskol!$B$994)</f>
        <v/>
      </c>
      <c r="U991">
        <f>IF([2]Baskol!$C$994="","",[2]Baskol!$C$994)</f>
        <v/>
      </c>
      <c r="V991">
        <f>IF([2]Baskol!$D$994="","",[2]Baskol!$D$994)</f>
        <v/>
      </c>
      <c r="W991">
        <f>IF([2]Baskol!$E$994="","",[2]Baskol!$E$994)</f>
        <v/>
      </c>
      <c r="X991">
        <f>IF([2]Baskol!$G$994="","",[2]Baskol!$G$994)</f>
        <v/>
      </c>
      <c r="Y991">
        <f>IF([2]Baskol!$I$994="","",[2]Baskol!$I$994)</f>
        <v/>
      </c>
      <c r="Z991">
        <f>IF([2]Baskol!$J$994="","",[2]Baskol!$J$994)</f>
        <v/>
      </c>
      <c r="AA991">
        <f>IF([2]Baskol!$K$994="","",[2]Baskol!$K$994)</f>
        <v/>
      </c>
      <c r="AB991">
        <f>IF([2]Baskol!$L$994="","",[2]Baskol!$L$994)</f>
        <v/>
      </c>
      <c r="AC991">
        <f>IF([2]Baskol!$N$994="","",[2]Baskol!$N$994)</f>
        <v/>
      </c>
      <c r="AD991">
        <f>IF([2]Baskol!$O$994="","",[2]Baskol!$O$994)</f>
        <v/>
      </c>
      <c r="AE991">
        <f>IF([3]Entry!$C$994="","",[3]Entry!$C$994)</f>
        <v/>
      </c>
      <c r="AF991">
        <f>IF([3]Entry!$D$994="","",[3]Entry!$D$994)</f>
        <v/>
      </c>
      <c r="AG991">
        <f>IF([3]Entry!$E$994="","",[3]Entry!$E$994)</f>
        <v/>
      </c>
      <c r="AH991">
        <f>IF([3]Entry!$G$994="","",[3]Entry!$G$994)</f>
        <v/>
      </c>
      <c r="AI991">
        <f>IF([3]Entry!$K$994="","",[3]Entry!$K$994)</f>
        <v/>
      </c>
      <c r="AJ991">
        <f>IF([3]Entry!$L$994="","",[3]Entry!$L$994)</f>
        <v/>
      </c>
      <c r="AK991">
        <f>IF([3]Entry!$M$994="","",[3]Entry!$M$994)</f>
        <v/>
      </c>
      <c r="AL991">
        <f>IF([3]Entry!$N$994="","",[3]Entry!$N$994)</f>
        <v/>
      </c>
      <c r="AM991">
        <f>IF([3]Entry!$R$994="","",[3]Entry!$R$994)</f>
        <v/>
      </c>
    </row>
    <row r="992">
      <c r="T992">
        <f>IF([2]Baskol!$B$995="","",[2]Baskol!$B$995)</f>
        <v/>
      </c>
      <c r="U992">
        <f>IF([2]Baskol!$C$995="","",[2]Baskol!$C$995)</f>
        <v/>
      </c>
      <c r="V992">
        <f>IF([2]Baskol!$D$995="","",[2]Baskol!$D$995)</f>
        <v/>
      </c>
      <c r="W992">
        <f>IF([2]Baskol!$E$995="","",[2]Baskol!$E$995)</f>
        <v/>
      </c>
      <c r="X992">
        <f>IF([2]Baskol!$G$995="","",[2]Baskol!$G$995)</f>
        <v/>
      </c>
      <c r="Y992">
        <f>IF([2]Baskol!$I$995="","",[2]Baskol!$I$995)</f>
        <v/>
      </c>
      <c r="Z992">
        <f>IF([2]Baskol!$J$995="","",[2]Baskol!$J$995)</f>
        <v/>
      </c>
      <c r="AA992">
        <f>IF([2]Baskol!$K$995="","",[2]Baskol!$K$995)</f>
        <v/>
      </c>
      <c r="AB992">
        <f>IF([2]Baskol!$L$995="","",[2]Baskol!$L$995)</f>
        <v/>
      </c>
      <c r="AC992">
        <f>IF([2]Baskol!$N$995="","",[2]Baskol!$N$995)</f>
        <v/>
      </c>
      <c r="AD992">
        <f>IF([2]Baskol!$O$995="","",[2]Baskol!$O$995)</f>
        <v/>
      </c>
      <c r="AE992">
        <f>IF([3]Entry!$C$995="","",[3]Entry!$C$995)</f>
        <v/>
      </c>
      <c r="AF992">
        <f>IF([3]Entry!$D$995="","",[3]Entry!$D$995)</f>
        <v/>
      </c>
      <c r="AG992">
        <f>IF([3]Entry!$E$995="","",[3]Entry!$E$995)</f>
        <v/>
      </c>
      <c r="AH992">
        <f>IF([3]Entry!$G$995="","",[3]Entry!$G$995)</f>
        <v/>
      </c>
      <c r="AI992">
        <f>IF([3]Entry!$K$995="","",[3]Entry!$K$995)</f>
        <v/>
      </c>
      <c r="AJ992">
        <f>IF([3]Entry!$L$995="","",[3]Entry!$L$995)</f>
        <v/>
      </c>
      <c r="AK992">
        <f>IF([3]Entry!$M$995="","",[3]Entry!$M$995)</f>
        <v/>
      </c>
      <c r="AL992">
        <f>IF([3]Entry!$N$995="","",[3]Entry!$N$995)</f>
        <v/>
      </c>
      <c r="AM992">
        <f>IF([3]Entry!$R$995="","",[3]Entry!$R$995)</f>
        <v/>
      </c>
    </row>
    <row r="993">
      <c r="T993">
        <f>IF([2]Baskol!$B$996="","",[2]Baskol!$B$996)</f>
        <v/>
      </c>
      <c r="U993">
        <f>IF([2]Baskol!$C$996="","",[2]Baskol!$C$996)</f>
        <v/>
      </c>
      <c r="V993">
        <f>IF([2]Baskol!$D$996="","",[2]Baskol!$D$996)</f>
        <v/>
      </c>
      <c r="W993">
        <f>IF([2]Baskol!$E$996="","",[2]Baskol!$E$996)</f>
        <v/>
      </c>
      <c r="X993">
        <f>IF([2]Baskol!$G$996="","",[2]Baskol!$G$996)</f>
        <v/>
      </c>
      <c r="Y993">
        <f>IF([2]Baskol!$I$996="","",[2]Baskol!$I$996)</f>
        <v/>
      </c>
      <c r="Z993">
        <f>IF([2]Baskol!$J$996="","",[2]Baskol!$J$996)</f>
        <v/>
      </c>
      <c r="AA993">
        <f>IF([2]Baskol!$K$996="","",[2]Baskol!$K$996)</f>
        <v/>
      </c>
      <c r="AB993">
        <f>IF([2]Baskol!$L$996="","",[2]Baskol!$L$996)</f>
        <v/>
      </c>
      <c r="AC993">
        <f>IF([2]Baskol!$N$996="","",[2]Baskol!$N$996)</f>
        <v/>
      </c>
      <c r="AD993">
        <f>IF([2]Baskol!$O$996="","",[2]Baskol!$O$996)</f>
        <v/>
      </c>
      <c r="AE993">
        <f>IF([3]Entry!$C$996="","",[3]Entry!$C$996)</f>
        <v/>
      </c>
      <c r="AF993">
        <f>IF([3]Entry!$D$996="","",[3]Entry!$D$996)</f>
        <v/>
      </c>
      <c r="AG993">
        <f>IF([3]Entry!$E$996="","",[3]Entry!$E$996)</f>
        <v/>
      </c>
      <c r="AH993">
        <f>IF([3]Entry!$G$996="","",[3]Entry!$G$996)</f>
        <v/>
      </c>
      <c r="AI993">
        <f>IF([3]Entry!$K$996="","",[3]Entry!$K$996)</f>
        <v/>
      </c>
      <c r="AJ993">
        <f>IF([3]Entry!$L$996="","",[3]Entry!$L$996)</f>
        <v/>
      </c>
      <c r="AK993">
        <f>IF([3]Entry!$M$996="","",[3]Entry!$M$996)</f>
        <v/>
      </c>
      <c r="AL993">
        <f>IF([3]Entry!$N$996="","",[3]Entry!$N$996)</f>
        <v/>
      </c>
      <c r="AM993">
        <f>IF([3]Entry!$R$996="","",[3]Entry!$R$996)</f>
        <v/>
      </c>
    </row>
    <row r="994">
      <c r="T994">
        <f>IF([2]Baskol!$B$997="","",[2]Baskol!$B$997)</f>
        <v/>
      </c>
      <c r="U994">
        <f>IF([2]Baskol!$C$997="","",[2]Baskol!$C$997)</f>
        <v/>
      </c>
      <c r="V994">
        <f>IF([2]Baskol!$D$997="","",[2]Baskol!$D$997)</f>
        <v/>
      </c>
      <c r="W994">
        <f>IF([2]Baskol!$E$997="","",[2]Baskol!$E$997)</f>
        <v/>
      </c>
      <c r="X994">
        <f>IF([2]Baskol!$G$997="","",[2]Baskol!$G$997)</f>
        <v/>
      </c>
      <c r="Y994">
        <f>IF([2]Baskol!$I$997="","",[2]Baskol!$I$997)</f>
        <v/>
      </c>
      <c r="Z994">
        <f>IF([2]Baskol!$J$997="","",[2]Baskol!$J$997)</f>
        <v/>
      </c>
      <c r="AA994">
        <f>IF([2]Baskol!$K$997="","",[2]Baskol!$K$997)</f>
        <v/>
      </c>
      <c r="AB994">
        <f>IF([2]Baskol!$L$997="","",[2]Baskol!$L$997)</f>
        <v/>
      </c>
      <c r="AC994">
        <f>IF([2]Baskol!$N$997="","",[2]Baskol!$N$997)</f>
        <v/>
      </c>
      <c r="AD994">
        <f>IF([2]Baskol!$O$997="","",[2]Baskol!$O$997)</f>
        <v/>
      </c>
      <c r="AE994">
        <f>IF([3]Entry!$C$997="","",[3]Entry!$C$997)</f>
        <v/>
      </c>
      <c r="AF994">
        <f>IF([3]Entry!$D$997="","",[3]Entry!$D$997)</f>
        <v/>
      </c>
      <c r="AG994">
        <f>IF([3]Entry!$E$997="","",[3]Entry!$E$997)</f>
        <v/>
      </c>
      <c r="AH994">
        <f>IF([3]Entry!$G$997="","",[3]Entry!$G$997)</f>
        <v/>
      </c>
      <c r="AI994">
        <f>IF([3]Entry!$K$997="","",[3]Entry!$K$997)</f>
        <v/>
      </c>
      <c r="AJ994">
        <f>IF([3]Entry!$L$997="","",[3]Entry!$L$997)</f>
        <v/>
      </c>
      <c r="AK994">
        <f>IF([3]Entry!$M$997="","",[3]Entry!$M$997)</f>
        <v/>
      </c>
      <c r="AL994">
        <f>IF([3]Entry!$N$997="","",[3]Entry!$N$997)</f>
        <v/>
      </c>
      <c r="AM994">
        <f>IF([3]Entry!$R$997="","",[3]Entry!$R$997)</f>
        <v/>
      </c>
    </row>
    <row r="995">
      <c r="T995">
        <f>IF([2]Baskol!$B$998="","",[2]Baskol!$B$998)</f>
        <v/>
      </c>
      <c r="U995">
        <f>IF([2]Baskol!$C$998="","",[2]Baskol!$C$998)</f>
        <v/>
      </c>
      <c r="V995">
        <f>IF([2]Baskol!$D$998="","",[2]Baskol!$D$998)</f>
        <v/>
      </c>
      <c r="W995">
        <f>IF([2]Baskol!$E$998="","",[2]Baskol!$E$998)</f>
        <v/>
      </c>
      <c r="X995">
        <f>IF([2]Baskol!$G$998="","",[2]Baskol!$G$998)</f>
        <v/>
      </c>
      <c r="Y995">
        <f>IF([2]Baskol!$I$998="","",[2]Baskol!$I$998)</f>
        <v/>
      </c>
      <c r="Z995">
        <f>IF([2]Baskol!$J$998="","",[2]Baskol!$J$998)</f>
        <v/>
      </c>
      <c r="AA995">
        <f>IF([2]Baskol!$K$998="","",[2]Baskol!$K$998)</f>
        <v/>
      </c>
      <c r="AB995">
        <f>IF([2]Baskol!$L$998="","",[2]Baskol!$L$998)</f>
        <v/>
      </c>
      <c r="AC995">
        <f>IF([2]Baskol!$N$998="","",[2]Baskol!$N$998)</f>
        <v/>
      </c>
      <c r="AD995">
        <f>IF([2]Baskol!$O$998="","",[2]Baskol!$O$998)</f>
        <v/>
      </c>
      <c r="AE995">
        <f>IF([3]Entry!$C$998="","",[3]Entry!$C$998)</f>
        <v/>
      </c>
      <c r="AF995">
        <f>IF([3]Entry!$D$998="","",[3]Entry!$D$998)</f>
        <v/>
      </c>
      <c r="AG995">
        <f>IF([3]Entry!$E$998="","",[3]Entry!$E$998)</f>
        <v/>
      </c>
      <c r="AH995">
        <f>IF([3]Entry!$G$998="","",[3]Entry!$G$998)</f>
        <v/>
      </c>
      <c r="AI995">
        <f>IF([3]Entry!$K$998="","",[3]Entry!$K$998)</f>
        <v/>
      </c>
      <c r="AJ995">
        <f>IF([3]Entry!$L$998="","",[3]Entry!$L$998)</f>
        <v/>
      </c>
      <c r="AK995">
        <f>IF([3]Entry!$M$998="","",[3]Entry!$M$998)</f>
        <v/>
      </c>
      <c r="AL995">
        <f>IF([3]Entry!$N$998="","",[3]Entry!$N$998)</f>
        <v/>
      </c>
      <c r="AM995">
        <f>IF([3]Entry!$R$998="","",[3]Entry!$R$998)</f>
        <v/>
      </c>
    </row>
    <row r="996">
      <c r="T996">
        <f>IF([2]Baskol!$B$999="","",[2]Baskol!$B$999)</f>
        <v/>
      </c>
      <c r="U996">
        <f>IF([2]Baskol!$C$999="","",[2]Baskol!$C$999)</f>
        <v/>
      </c>
      <c r="V996">
        <f>IF([2]Baskol!$D$999="","",[2]Baskol!$D$999)</f>
        <v/>
      </c>
      <c r="W996">
        <f>IF([2]Baskol!$E$999="","",[2]Baskol!$E$999)</f>
        <v/>
      </c>
      <c r="X996">
        <f>IF([2]Baskol!$G$999="","",[2]Baskol!$G$999)</f>
        <v/>
      </c>
      <c r="Y996">
        <f>IF([2]Baskol!$I$999="","",[2]Baskol!$I$999)</f>
        <v/>
      </c>
      <c r="Z996">
        <f>IF([2]Baskol!$J$999="","",[2]Baskol!$J$999)</f>
        <v/>
      </c>
      <c r="AA996">
        <f>IF([2]Baskol!$K$999="","",[2]Baskol!$K$999)</f>
        <v/>
      </c>
      <c r="AB996">
        <f>IF([2]Baskol!$L$999="","",[2]Baskol!$L$999)</f>
        <v/>
      </c>
      <c r="AC996">
        <f>IF([2]Baskol!$N$999="","",[2]Baskol!$N$999)</f>
        <v/>
      </c>
      <c r="AD996">
        <f>IF([2]Baskol!$O$999="","",[2]Baskol!$O$999)</f>
        <v/>
      </c>
      <c r="AE996">
        <f>IF([3]Entry!$C$999="","",[3]Entry!$C$999)</f>
        <v/>
      </c>
      <c r="AF996">
        <f>IF([3]Entry!$D$999="","",[3]Entry!$D$999)</f>
        <v/>
      </c>
      <c r="AG996">
        <f>IF([3]Entry!$E$999="","",[3]Entry!$E$999)</f>
        <v/>
      </c>
      <c r="AH996">
        <f>IF([3]Entry!$G$999="","",[3]Entry!$G$999)</f>
        <v/>
      </c>
      <c r="AI996">
        <f>IF([3]Entry!$K$999="","",[3]Entry!$K$999)</f>
        <v/>
      </c>
      <c r="AJ996">
        <f>IF([3]Entry!$L$999="","",[3]Entry!$L$999)</f>
        <v/>
      </c>
      <c r="AK996">
        <f>IF([3]Entry!$M$999="","",[3]Entry!$M$999)</f>
        <v/>
      </c>
      <c r="AL996">
        <f>IF([3]Entry!$N$999="","",[3]Entry!$N$999)</f>
        <v/>
      </c>
      <c r="AM996">
        <f>IF([3]Entry!$R$999="","",[3]Entry!$R$999)</f>
        <v/>
      </c>
    </row>
    <row r="997">
      <c r="T997">
        <f>IF([2]Baskol!$B$1000="","",[2]Baskol!$B$1000)</f>
        <v/>
      </c>
      <c r="U997">
        <f>IF([2]Baskol!$C$1000="","",[2]Baskol!$C$1000)</f>
        <v/>
      </c>
      <c r="V997">
        <f>IF([2]Baskol!$D$1000="","",[2]Baskol!$D$1000)</f>
        <v/>
      </c>
      <c r="W997">
        <f>IF([2]Baskol!$E$1000="","",[2]Baskol!$E$1000)</f>
        <v/>
      </c>
      <c r="X997">
        <f>IF([2]Baskol!$G$1000="","",[2]Baskol!$G$1000)</f>
        <v/>
      </c>
      <c r="Y997">
        <f>IF([2]Baskol!$I$1000="","",[2]Baskol!$I$1000)</f>
        <v/>
      </c>
      <c r="Z997">
        <f>IF([2]Baskol!$J$1000="","",[2]Baskol!$J$1000)</f>
        <v/>
      </c>
      <c r="AA997">
        <f>IF([2]Baskol!$K$1000="","",[2]Baskol!$K$1000)</f>
        <v/>
      </c>
      <c r="AB997">
        <f>IF([2]Baskol!$L$1000="","",[2]Baskol!$L$1000)</f>
        <v/>
      </c>
      <c r="AC997">
        <f>IF([2]Baskol!$N$1000="","",[2]Baskol!$N$1000)</f>
        <v/>
      </c>
      <c r="AD997">
        <f>IF([2]Baskol!$O$1000="","",[2]Baskol!$O$1000)</f>
        <v/>
      </c>
      <c r="AE997">
        <f>IF([3]Entry!$C$1000="","",[3]Entry!$C$1000)</f>
        <v/>
      </c>
      <c r="AF997">
        <f>IF([3]Entry!$D$1000="","",[3]Entry!$D$1000)</f>
        <v/>
      </c>
      <c r="AG997">
        <f>IF([3]Entry!$E$1000="","",[3]Entry!$E$1000)</f>
        <v/>
      </c>
      <c r="AH997">
        <f>IF([3]Entry!$G$1000="","",[3]Entry!$G$1000)</f>
        <v/>
      </c>
      <c r="AI997">
        <f>IF([3]Entry!$K$1000="","",[3]Entry!$K$1000)</f>
        <v/>
      </c>
      <c r="AJ997">
        <f>IF([3]Entry!$L$1000="","",[3]Entry!$L$1000)</f>
        <v/>
      </c>
      <c r="AK997">
        <f>IF([3]Entry!$M$1000="","",[3]Entry!$M$1000)</f>
        <v/>
      </c>
      <c r="AL997">
        <f>IF([3]Entry!$N$1000="","",[3]Entry!$N$1000)</f>
        <v/>
      </c>
      <c r="AM997">
        <f>IF([3]Entry!$R$1000="","",[3]Entry!$R$1000)</f>
        <v/>
      </c>
    </row>
    <row r="998">
      <c r="T998">
        <f>IF([2]Baskol!$B$1001="","",[2]Baskol!$B$1001)</f>
        <v/>
      </c>
      <c r="U998">
        <f>IF([2]Baskol!$C$1001="","",[2]Baskol!$C$1001)</f>
        <v/>
      </c>
      <c r="V998">
        <f>IF([2]Baskol!$D$1001="","",[2]Baskol!$D$1001)</f>
        <v/>
      </c>
      <c r="W998">
        <f>IF([2]Baskol!$E$1001="","",[2]Baskol!$E$1001)</f>
        <v/>
      </c>
      <c r="X998">
        <f>IF([2]Baskol!$G$1001="","",[2]Baskol!$G$1001)</f>
        <v/>
      </c>
      <c r="Y998">
        <f>IF([2]Baskol!$I$1001="","",[2]Baskol!$I$1001)</f>
        <v/>
      </c>
      <c r="Z998">
        <f>IF([2]Baskol!$J$1001="","",[2]Baskol!$J$1001)</f>
        <v/>
      </c>
      <c r="AA998">
        <f>IF([2]Baskol!$K$1001="","",[2]Baskol!$K$1001)</f>
        <v/>
      </c>
      <c r="AB998">
        <f>IF([2]Baskol!$L$1001="","",[2]Baskol!$L$1001)</f>
        <v/>
      </c>
      <c r="AC998">
        <f>IF([2]Baskol!$N$1001="","",[2]Baskol!$N$1001)</f>
        <v/>
      </c>
      <c r="AD998">
        <f>IF([2]Baskol!$O$1001="","",[2]Baskol!$O$1001)</f>
        <v/>
      </c>
      <c r="AE998">
        <f>IF([3]Entry!$C$1001="","",[3]Entry!$C$1001)</f>
        <v/>
      </c>
      <c r="AF998">
        <f>IF([3]Entry!$D$1001="","",[3]Entry!$D$1001)</f>
        <v/>
      </c>
      <c r="AG998">
        <f>IF([3]Entry!$E$1001="","",[3]Entry!$E$1001)</f>
        <v/>
      </c>
      <c r="AH998">
        <f>IF([3]Entry!$G$1001="","",[3]Entry!$G$1001)</f>
        <v/>
      </c>
      <c r="AI998">
        <f>IF([3]Entry!$K$1001="","",[3]Entry!$K$1001)</f>
        <v/>
      </c>
      <c r="AJ998">
        <f>IF([3]Entry!$L$1001="","",[3]Entry!$L$1001)</f>
        <v/>
      </c>
      <c r="AK998">
        <f>IF([3]Entry!$M$1001="","",[3]Entry!$M$1001)</f>
        <v/>
      </c>
      <c r="AL998">
        <f>IF([3]Entry!$N$1001="","",[3]Entry!$N$1001)</f>
        <v/>
      </c>
      <c r="AM998">
        <f>IF([3]Entry!$R$1001="","",[3]Entry!$R$1001)</f>
        <v/>
      </c>
    </row>
    <row r="999">
      <c r="T999">
        <f>IF([2]Baskol!$B$1002="","",[2]Baskol!$B$1002)</f>
        <v/>
      </c>
      <c r="U999">
        <f>IF([2]Baskol!$C$1002="","",[2]Baskol!$C$1002)</f>
        <v/>
      </c>
      <c r="V999">
        <f>IF([2]Baskol!$D$1002="","",[2]Baskol!$D$1002)</f>
        <v/>
      </c>
      <c r="W999">
        <f>IF([2]Baskol!$E$1002="","",[2]Baskol!$E$1002)</f>
        <v/>
      </c>
      <c r="X999">
        <f>IF([2]Baskol!$G$1002="","",[2]Baskol!$G$1002)</f>
        <v/>
      </c>
      <c r="Y999">
        <f>IF([2]Baskol!$I$1002="","",[2]Baskol!$I$1002)</f>
        <v/>
      </c>
      <c r="Z999">
        <f>IF([2]Baskol!$J$1002="","",[2]Baskol!$J$1002)</f>
        <v/>
      </c>
      <c r="AA999">
        <f>IF([2]Baskol!$K$1002="","",[2]Baskol!$K$1002)</f>
        <v/>
      </c>
      <c r="AB999">
        <f>IF([2]Baskol!$L$1002="","",[2]Baskol!$L$1002)</f>
        <v/>
      </c>
      <c r="AC999">
        <f>IF([2]Baskol!$N$1002="","",[2]Baskol!$N$1002)</f>
        <v/>
      </c>
      <c r="AD999">
        <f>IF([2]Baskol!$O$1002="","",[2]Baskol!$O$1002)</f>
        <v/>
      </c>
      <c r="AE999">
        <f>IF([3]Entry!$C$1002="","",[3]Entry!$C$1002)</f>
        <v/>
      </c>
      <c r="AF999">
        <f>IF([3]Entry!$D$1002="","",[3]Entry!$D$1002)</f>
        <v/>
      </c>
      <c r="AG999">
        <f>IF([3]Entry!$E$1002="","",[3]Entry!$E$1002)</f>
        <v/>
      </c>
      <c r="AH999">
        <f>IF([3]Entry!$G$1002="","",[3]Entry!$G$1002)</f>
        <v/>
      </c>
      <c r="AI999">
        <f>IF([3]Entry!$K$1002="","",[3]Entry!$K$1002)</f>
        <v/>
      </c>
      <c r="AJ999">
        <f>IF([3]Entry!$L$1002="","",[3]Entry!$L$1002)</f>
        <v/>
      </c>
      <c r="AK999">
        <f>IF([3]Entry!$M$1002="","",[3]Entry!$M$1002)</f>
        <v/>
      </c>
      <c r="AL999">
        <f>IF([3]Entry!$N$1002="","",[3]Entry!$N$1002)</f>
        <v/>
      </c>
      <c r="AM999">
        <f>IF([3]Entry!$R$1002="","",[3]Entry!$R$1002)</f>
        <v/>
      </c>
    </row>
    <row r="1000">
      <c r="T1000">
        <f>IF([2]Baskol!$B$1003="","",[2]Baskol!$B$1003)</f>
        <v/>
      </c>
      <c r="U1000">
        <f>IF([2]Baskol!$C$1003="","",[2]Baskol!$C$1003)</f>
        <v/>
      </c>
      <c r="V1000">
        <f>IF([2]Baskol!$D$1003="","",[2]Baskol!$D$1003)</f>
        <v/>
      </c>
      <c r="W1000">
        <f>IF([2]Baskol!$E$1003="","",[2]Baskol!$E$1003)</f>
        <v/>
      </c>
      <c r="X1000">
        <f>IF([2]Baskol!$G$1003="","",[2]Baskol!$G$1003)</f>
        <v/>
      </c>
      <c r="Y1000">
        <f>IF([2]Baskol!$I$1003="","",[2]Baskol!$I$1003)</f>
        <v/>
      </c>
      <c r="Z1000">
        <f>IF([2]Baskol!$J$1003="","",[2]Baskol!$J$1003)</f>
        <v/>
      </c>
      <c r="AA1000">
        <f>IF([2]Baskol!$K$1003="","",[2]Baskol!$K$1003)</f>
        <v/>
      </c>
      <c r="AB1000">
        <f>IF([2]Baskol!$L$1003="","",[2]Baskol!$L$1003)</f>
        <v/>
      </c>
      <c r="AC1000">
        <f>IF([2]Baskol!$N$1003="","",[2]Baskol!$N$1003)</f>
        <v/>
      </c>
      <c r="AD1000">
        <f>IF([2]Baskol!$O$1003="","",[2]Baskol!$O$1003)</f>
        <v/>
      </c>
      <c r="AE1000">
        <f>IF([3]Entry!$C$1003="","",[3]Entry!$C$1003)</f>
        <v/>
      </c>
      <c r="AF1000">
        <f>IF([3]Entry!$D$1003="","",[3]Entry!$D$1003)</f>
        <v/>
      </c>
      <c r="AG1000">
        <f>IF([3]Entry!$E$1003="","",[3]Entry!$E$1003)</f>
        <v/>
      </c>
      <c r="AH1000">
        <f>IF([3]Entry!$G$1003="","",[3]Entry!$G$1003)</f>
        <v/>
      </c>
      <c r="AI1000">
        <f>IF([3]Entry!$K$1003="","",[3]Entry!$K$1003)</f>
        <v/>
      </c>
      <c r="AJ1000">
        <f>IF([3]Entry!$L$1003="","",[3]Entry!$L$1003)</f>
        <v/>
      </c>
      <c r="AK1000">
        <f>IF([3]Entry!$M$1003="","",[3]Entry!$M$1003)</f>
        <v/>
      </c>
      <c r="AL1000">
        <f>IF([3]Entry!$N$1003="","",[3]Entry!$N$1003)</f>
        <v/>
      </c>
      <c r="AM1000">
        <f>IF([3]Entry!$R$1003="","",[3]Entry!$R$1003)</f>
        <v/>
      </c>
    </row>
    <row r="1001">
      <c r="T1001">
        <f>IF([2]Baskol!$B$1004="","",[2]Baskol!$B$1004)</f>
        <v/>
      </c>
      <c r="U1001">
        <f>IF([2]Baskol!$C$1004="","",[2]Baskol!$C$1004)</f>
        <v/>
      </c>
      <c r="V1001">
        <f>IF([2]Baskol!$D$1004="","",[2]Baskol!$D$1004)</f>
        <v/>
      </c>
      <c r="W1001">
        <f>IF([2]Baskol!$E$1004="","",[2]Baskol!$E$1004)</f>
        <v/>
      </c>
      <c r="X1001">
        <f>IF([2]Baskol!$G$1004="","",[2]Baskol!$G$1004)</f>
        <v/>
      </c>
      <c r="Y1001">
        <f>IF([2]Baskol!$I$1004="","",[2]Baskol!$I$1004)</f>
        <v/>
      </c>
      <c r="Z1001">
        <f>IF([2]Baskol!$J$1004="","",[2]Baskol!$J$1004)</f>
        <v/>
      </c>
      <c r="AA1001">
        <f>IF([2]Baskol!$K$1004="","",[2]Baskol!$K$1004)</f>
        <v/>
      </c>
      <c r="AB1001">
        <f>IF([2]Baskol!$L$1004="","",[2]Baskol!$L$1004)</f>
        <v/>
      </c>
      <c r="AC1001">
        <f>IF([2]Baskol!$N$1004="","",[2]Baskol!$N$1004)</f>
        <v/>
      </c>
      <c r="AD1001">
        <f>IF([2]Baskol!$O$1004="","",[2]Baskol!$O$1004)</f>
        <v/>
      </c>
      <c r="AE1001">
        <f>IF([3]Entry!$C$1004="","",[3]Entry!$C$1004)</f>
        <v/>
      </c>
      <c r="AF1001">
        <f>IF([3]Entry!$D$1004="","",[3]Entry!$D$1004)</f>
        <v/>
      </c>
      <c r="AG1001">
        <f>IF([3]Entry!$E$1004="","",[3]Entry!$E$1004)</f>
        <v/>
      </c>
      <c r="AH1001">
        <f>IF([3]Entry!$G$1004="","",[3]Entry!$G$1004)</f>
        <v/>
      </c>
      <c r="AI1001">
        <f>IF([3]Entry!$K$1004="","",[3]Entry!$K$1004)</f>
        <v/>
      </c>
      <c r="AJ1001">
        <f>IF([3]Entry!$L$1004="","",[3]Entry!$L$1004)</f>
        <v/>
      </c>
      <c r="AK1001">
        <f>IF([3]Entry!$M$1004="","",[3]Entry!$M$1004)</f>
        <v/>
      </c>
      <c r="AL1001">
        <f>IF([3]Entry!$N$1004="","",[3]Entry!$N$1004)</f>
        <v/>
      </c>
      <c r="AM1001">
        <f>IF([3]Entry!$R$1004="","",[3]Entry!$R$1004)</f>
        <v/>
      </c>
    </row>
    <row r="1002">
      <c r="T1002">
        <f>IF([2]Baskol!$B$1005="","",[2]Baskol!$B$1005)</f>
        <v/>
      </c>
      <c r="U1002">
        <f>IF([2]Baskol!$C$1005="","",[2]Baskol!$C$1005)</f>
        <v/>
      </c>
      <c r="V1002">
        <f>IF([2]Baskol!$D$1005="","",[2]Baskol!$D$1005)</f>
        <v/>
      </c>
      <c r="W1002">
        <f>IF([2]Baskol!$E$1005="","",[2]Baskol!$E$1005)</f>
        <v/>
      </c>
      <c r="X1002">
        <f>IF([2]Baskol!$G$1005="","",[2]Baskol!$G$1005)</f>
        <v/>
      </c>
      <c r="Y1002">
        <f>IF([2]Baskol!$I$1005="","",[2]Baskol!$I$1005)</f>
        <v/>
      </c>
      <c r="Z1002">
        <f>IF([2]Baskol!$J$1005="","",[2]Baskol!$J$1005)</f>
        <v/>
      </c>
      <c r="AA1002">
        <f>IF([2]Baskol!$K$1005="","",[2]Baskol!$K$1005)</f>
        <v/>
      </c>
      <c r="AB1002">
        <f>IF([2]Baskol!$L$1005="","",[2]Baskol!$L$1005)</f>
        <v/>
      </c>
      <c r="AC1002">
        <f>IF([2]Baskol!$N$1005="","",[2]Baskol!$N$1005)</f>
        <v/>
      </c>
      <c r="AD1002">
        <f>IF([2]Baskol!$O$1005="","",[2]Baskol!$O$1005)</f>
        <v/>
      </c>
      <c r="AE1002">
        <f>IF([3]Entry!$C$1005="","",[3]Entry!$C$1005)</f>
        <v/>
      </c>
      <c r="AF1002">
        <f>IF([3]Entry!$D$1005="","",[3]Entry!$D$1005)</f>
        <v/>
      </c>
      <c r="AG1002">
        <f>IF([3]Entry!$E$1005="","",[3]Entry!$E$1005)</f>
        <v/>
      </c>
      <c r="AH1002">
        <f>IF([3]Entry!$G$1005="","",[3]Entry!$G$1005)</f>
        <v/>
      </c>
      <c r="AI1002">
        <f>IF([3]Entry!$K$1005="","",[3]Entry!$K$1005)</f>
        <v/>
      </c>
      <c r="AJ1002">
        <f>IF([3]Entry!$L$1005="","",[3]Entry!$L$1005)</f>
        <v/>
      </c>
      <c r="AK1002">
        <f>IF([3]Entry!$M$1005="","",[3]Entry!$M$1005)</f>
        <v/>
      </c>
      <c r="AL1002">
        <f>IF([3]Entry!$N$1005="","",[3]Entry!$N$1005)</f>
        <v/>
      </c>
      <c r="AM1002">
        <f>IF([3]Entry!$R$1005="","",[3]Entry!$R$1005)</f>
        <v/>
      </c>
    </row>
    <row r="1003">
      <c r="T1003">
        <f>IF([2]Baskol!$B$1006="","",[2]Baskol!$B$1006)</f>
        <v/>
      </c>
      <c r="U1003">
        <f>IF([2]Baskol!$C$1006="","",[2]Baskol!$C$1006)</f>
        <v/>
      </c>
      <c r="V1003">
        <f>IF([2]Baskol!$D$1006="","",[2]Baskol!$D$1006)</f>
        <v/>
      </c>
      <c r="W1003">
        <f>IF([2]Baskol!$E$1006="","",[2]Baskol!$E$1006)</f>
        <v/>
      </c>
      <c r="X1003">
        <f>IF([2]Baskol!$G$1006="","",[2]Baskol!$G$1006)</f>
        <v/>
      </c>
      <c r="Y1003">
        <f>IF([2]Baskol!$I$1006="","",[2]Baskol!$I$1006)</f>
        <v/>
      </c>
      <c r="Z1003">
        <f>IF([2]Baskol!$J$1006="","",[2]Baskol!$J$1006)</f>
        <v/>
      </c>
      <c r="AA1003">
        <f>IF([2]Baskol!$K$1006="","",[2]Baskol!$K$1006)</f>
        <v/>
      </c>
      <c r="AB1003">
        <f>IF([2]Baskol!$L$1006="","",[2]Baskol!$L$1006)</f>
        <v/>
      </c>
      <c r="AC1003">
        <f>IF([2]Baskol!$N$1006="","",[2]Baskol!$N$1006)</f>
        <v/>
      </c>
      <c r="AD1003">
        <f>IF([2]Baskol!$O$1006="","",[2]Baskol!$O$1006)</f>
        <v/>
      </c>
      <c r="AE1003">
        <f>IF([3]Entry!$C$1006="","",[3]Entry!$C$1006)</f>
        <v/>
      </c>
      <c r="AF1003">
        <f>IF([3]Entry!$D$1006="","",[3]Entry!$D$1006)</f>
        <v/>
      </c>
      <c r="AG1003">
        <f>IF([3]Entry!$E$1006="","",[3]Entry!$E$1006)</f>
        <v/>
      </c>
      <c r="AH1003">
        <f>IF([3]Entry!$G$1006="","",[3]Entry!$G$1006)</f>
        <v/>
      </c>
      <c r="AI1003">
        <f>IF([3]Entry!$K$1006="","",[3]Entry!$K$1006)</f>
        <v/>
      </c>
      <c r="AJ1003">
        <f>IF([3]Entry!$L$1006="","",[3]Entry!$L$1006)</f>
        <v/>
      </c>
      <c r="AK1003">
        <f>IF([3]Entry!$M$1006="","",[3]Entry!$M$1006)</f>
        <v/>
      </c>
      <c r="AL1003">
        <f>IF([3]Entry!$N$1006="","",[3]Entry!$N$1006)</f>
        <v/>
      </c>
      <c r="AM1003">
        <f>IF([3]Entry!$R$1006="","",[3]Entry!$R$1006)</f>
        <v/>
      </c>
    </row>
    <row r="1004">
      <c r="T1004">
        <f>IF([2]Baskol!$B$1007="","",[2]Baskol!$B$1007)</f>
        <v/>
      </c>
      <c r="U1004">
        <f>IF([2]Baskol!$C$1007="","",[2]Baskol!$C$1007)</f>
        <v/>
      </c>
      <c r="V1004">
        <f>IF([2]Baskol!$D$1007="","",[2]Baskol!$D$1007)</f>
        <v/>
      </c>
      <c r="W1004">
        <f>IF([2]Baskol!$E$1007="","",[2]Baskol!$E$1007)</f>
        <v/>
      </c>
      <c r="X1004">
        <f>IF([2]Baskol!$G$1007="","",[2]Baskol!$G$1007)</f>
        <v/>
      </c>
      <c r="Y1004">
        <f>IF([2]Baskol!$I$1007="","",[2]Baskol!$I$1007)</f>
        <v/>
      </c>
      <c r="Z1004">
        <f>IF([2]Baskol!$J$1007="","",[2]Baskol!$J$1007)</f>
        <v/>
      </c>
      <c r="AA1004">
        <f>IF([2]Baskol!$K$1007="","",[2]Baskol!$K$1007)</f>
        <v/>
      </c>
      <c r="AB1004">
        <f>IF([2]Baskol!$L$1007="","",[2]Baskol!$L$1007)</f>
        <v/>
      </c>
      <c r="AC1004">
        <f>IF([2]Baskol!$N$1007="","",[2]Baskol!$N$1007)</f>
        <v/>
      </c>
      <c r="AD1004">
        <f>IF([2]Baskol!$O$1007="","",[2]Baskol!$O$1007)</f>
        <v/>
      </c>
      <c r="AE1004">
        <f>IF([3]Entry!$C$1007="","",[3]Entry!$C$1007)</f>
        <v/>
      </c>
      <c r="AF1004">
        <f>IF([3]Entry!$D$1007="","",[3]Entry!$D$1007)</f>
        <v/>
      </c>
      <c r="AG1004">
        <f>IF([3]Entry!$E$1007="","",[3]Entry!$E$1007)</f>
        <v/>
      </c>
      <c r="AH1004">
        <f>IF([3]Entry!$G$1007="","",[3]Entry!$G$1007)</f>
        <v/>
      </c>
      <c r="AI1004">
        <f>IF([3]Entry!$K$1007="","",[3]Entry!$K$1007)</f>
        <v/>
      </c>
      <c r="AJ1004">
        <f>IF([3]Entry!$L$1007="","",[3]Entry!$L$1007)</f>
        <v/>
      </c>
      <c r="AK1004">
        <f>IF([3]Entry!$M$1007="","",[3]Entry!$M$1007)</f>
        <v/>
      </c>
      <c r="AL1004">
        <f>IF([3]Entry!$N$1007="","",[3]Entry!$N$1007)</f>
        <v/>
      </c>
      <c r="AM1004">
        <f>IF([3]Entry!$R$1007="","",[3]Entry!$R$1007)</f>
        <v/>
      </c>
    </row>
    <row r="1005">
      <c r="T1005">
        <f>IF([2]Baskol!$B$1008="","",[2]Baskol!$B$1008)</f>
        <v/>
      </c>
      <c r="U1005">
        <f>IF([2]Baskol!$C$1008="","",[2]Baskol!$C$1008)</f>
        <v/>
      </c>
      <c r="V1005">
        <f>IF([2]Baskol!$D$1008="","",[2]Baskol!$D$1008)</f>
        <v/>
      </c>
      <c r="W1005">
        <f>IF([2]Baskol!$E$1008="","",[2]Baskol!$E$1008)</f>
        <v/>
      </c>
      <c r="X1005">
        <f>IF([2]Baskol!$G$1008="","",[2]Baskol!$G$1008)</f>
        <v/>
      </c>
      <c r="Y1005">
        <f>IF([2]Baskol!$I$1008="","",[2]Baskol!$I$1008)</f>
        <v/>
      </c>
      <c r="Z1005">
        <f>IF([2]Baskol!$J$1008="","",[2]Baskol!$J$1008)</f>
        <v/>
      </c>
      <c r="AA1005">
        <f>IF([2]Baskol!$K$1008="","",[2]Baskol!$K$1008)</f>
        <v/>
      </c>
      <c r="AB1005">
        <f>IF([2]Baskol!$L$1008="","",[2]Baskol!$L$1008)</f>
        <v/>
      </c>
      <c r="AC1005">
        <f>IF([2]Baskol!$N$1008="","",[2]Baskol!$N$1008)</f>
        <v/>
      </c>
      <c r="AD1005">
        <f>IF([2]Baskol!$O$1008="","",[2]Baskol!$O$1008)</f>
        <v/>
      </c>
      <c r="AE1005">
        <f>IF([3]Entry!$C$1008="","",[3]Entry!$C$1008)</f>
        <v/>
      </c>
      <c r="AF1005">
        <f>IF([3]Entry!$D$1008="","",[3]Entry!$D$1008)</f>
        <v/>
      </c>
      <c r="AG1005">
        <f>IF([3]Entry!$E$1008="","",[3]Entry!$E$1008)</f>
        <v/>
      </c>
      <c r="AH1005">
        <f>IF([3]Entry!$G$1008="","",[3]Entry!$G$1008)</f>
        <v/>
      </c>
      <c r="AI1005">
        <f>IF([3]Entry!$K$1008="","",[3]Entry!$K$1008)</f>
        <v/>
      </c>
      <c r="AJ1005">
        <f>IF([3]Entry!$L$1008="","",[3]Entry!$L$1008)</f>
        <v/>
      </c>
      <c r="AK1005">
        <f>IF([3]Entry!$M$1008="","",[3]Entry!$M$1008)</f>
        <v/>
      </c>
      <c r="AL1005">
        <f>IF([3]Entry!$N$1008="","",[3]Entry!$N$1008)</f>
        <v/>
      </c>
      <c r="AM1005">
        <f>IF([3]Entry!$R$1008="","",[3]Entry!$R$1008)</f>
        <v/>
      </c>
    </row>
    <row r="1006">
      <c r="T1006">
        <f>IF([2]Baskol!$B$1009="","",[2]Baskol!$B$1009)</f>
        <v/>
      </c>
      <c r="U1006">
        <f>IF([2]Baskol!$C$1009="","",[2]Baskol!$C$1009)</f>
        <v/>
      </c>
      <c r="V1006">
        <f>IF([2]Baskol!$D$1009="","",[2]Baskol!$D$1009)</f>
        <v/>
      </c>
      <c r="W1006">
        <f>IF([2]Baskol!$E$1009="","",[2]Baskol!$E$1009)</f>
        <v/>
      </c>
      <c r="X1006">
        <f>IF([2]Baskol!$G$1009="","",[2]Baskol!$G$1009)</f>
        <v/>
      </c>
      <c r="Y1006">
        <f>IF([2]Baskol!$I$1009="","",[2]Baskol!$I$1009)</f>
        <v/>
      </c>
      <c r="Z1006">
        <f>IF([2]Baskol!$J$1009="","",[2]Baskol!$J$1009)</f>
        <v/>
      </c>
      <c r="AA1006">
        <f>IF([2]Baskol!$K$1009="","",[2]Baskol!$K$1009)</f>
        <v/>
      </c>
      <c r="AB1006">
        <f>IF([2]Baskol!$L$1009="","",[2]Baskol!$L$1009)</f>
        <v/>
      </c>
      <c r="AC1006">
        <f>IF([2]Baskol!$N$1009="","",[2]Baskol!$N$1009)</f>
        <v/>
      </c>
      <c r="AD1006">
        <f>IF([2]Baskol!$O$1009="","",[2]Baskol!$O$1009)</f>
        <v/>
      </c>
      <c r="AE1006">
        <f>IF([3]Entry!$C$1009="","",[3]Entry!$C$1009)</f>
        <v/>
      </c>
      <c r="AF1006">
        <f>IF([3]Entry!$D$1009="","",[3]Entry!$D$1009)</f>
        <v/>
      </c>
      <c r="AG1006">
        <f>IF([3]Entry!$E$1009="","",[3]Entry!$E$1009)</f>
        <v/>
      </c>
      <c r="AH1006">
        <f>IF([3]Entry!$G$1009="","",[3]Entry!$G$1009)</f>
        <v/>
      </c>
      <c r="AI1006">
        <f>IF([3]Entry!$K$1009="","",[3]Entry!$K$1009)</f>
        <v/>
      </c>
      <c r="AJ1006">
        <f>IF([3]Entry!$L$1009="","",[3]Entry!$L$1009)</f>
        <v/>
      </c>
      <c r="AK1006">
        <f>IF([3]Entry!$M$1009="","",[3]Entry!$M$1009)</f>
        <v/>
      </c>
      <c r="AL1006">
        <f>IF([3]Entry!$N$1009="","",[3]Entry!$N$1009)</f>
        <v/>
      </c>
      <c r="AM1006">
        <f>IF([3]Entry!$R$1009="","",[3]Entry!$R$1009)</f>
        <v/>
      </c>
    </row>
    <row r="1007">
      <c r="T1007">
        <f>IF([2]Baskol!$B$1010="","",[2]Baskol!$B$1010)</f>
        <v/>
      </c>
      <c r="U1007">
        <f>IF([2]Baskol!$C$1010="","",[2]Baskol!$C$1010)</f>
        <v/>
      </c>
      <c r="V1007">
        <f>IF([2]Baskol!$D$1010="","",[2]Baskol!$D$1010)</f>
        <v/>
      </c>
      <c r="W1007">
        <f>IF([2]Baskol!$E$1010="","",[2]Baskol!$E$1010)</f>
        <v/>
      </c>
      <c r="X1007">
        <f>IF([2]Baskol!$G$1010="","",[2]Baskol!$G$1010)</f>
        <v/>
      </c>
      <c r="Y1007">
        <f>IF([2]Baskol!$I$1010="","",[2]Baskol!$I$1010)</f>
        <v/>
      </c>
      <c r="Z1007">
        <f>IF([2]Baskol!$J$1010="","",[2]Baskol!$J$1010)</f>
        <v/>
      </c>
      <c r="AA1007">
        <f>IF([2]Baskol!$K$1010="","",[2]Baskol!$K$1010)</f>
        <v/>
      </c>
      <c r="AB1007">
        <f>IF([2]Baskol!$L$1010="","",[2]Baskol!$L$1010)</f>
        <v/>
      </c>
      <c r="AC1007">
        <f>IF([2]Baskol!$N$1010="","",[2]Baskol!$N$1010)</f>
        <v/>
      </c>
      <c r="AD1007">
        <f>IF([2]Baskol!$O$1010="","",[2]Baskol!$O$1010)</f>
        <v/>
      </c>
      <c r="AE1007">
        <f>IF([3]Entry!$C$1010="","",[3]Entry!$C$1010)</f>
        <v/>
      </c>
      <c r="AF1007">
        <f>IF([3]Entry!$D$1010="","",[3]Entry!$D$1010)</f>
        <v/>
      </c>
      <c r="AG1007">
        <f>IF([3]Entry!$E$1010="","",[3]Entry!$E$1010)</f>
        <v/>
      </c>
      <c r="AH1007">
        <f>IF([3]Entry!$G$1010="","",[3]Entry!$G$1010)</f>
        <v/>
      </c>
      <c r="AI1007">
        <f>IF([3]Entry!$K$1010="","",[3]Entry!$K$1010)</f>
        <v/>
      </c>
      <c r="AJ1007">
        <f>IF([3]Entry!$L$1010="","",[3]Entry!$L$1010)</f>
        <v/>
      </c>
      <c r="AK1007">
        <f>IF([3]Entry!$M$1010="","",[3]Entry!$M$1010)</f>
        <v/>
      </c>
      <c r="AL1007">
        <f>IF([3]Entry!$N$1010="","",[3]Entry!$N$1010)</f>
        <v/>
      </c>
      <c r="AM1007">
        <f>IF([3]Entry!$R$1010="","",[3]Entry!$R$1010)</f>
        <v/>
      </c>
    </row>
    <row r="1008">
      <c r="T1008">
        <f>IF([2]Baskol!$B$1011="","",[2]Baskol!$B$1011)</f>
        <v/>
      </c>
      <c r="U1008">
        <f>IF([2]Baskol!$C$1011="","",[2]Baskol!$C$1011)</f>
        <v/>
      </c>
      <c r="V1008">
        <f>IF([2]Baskol!$D$1011="","",[2]Baskol!$D$1011)</f>
        <v/>
      </c>
      <c r="W1008">
        <f>IF([2]Baskol!$E$1011="","",[2]Baskol!$E$1011)</f>
        <v/>
      </c>
      <c r="X1008">
        <f>IF([2]Baskol!$G$1011="","",[2]Baskol!$G$1011)</f>
        <v/>
      </c>
      <c r="Y1008">
        <f>IF([2]Baskol!$I$1011="","",[2]Baskol!$I$1011)</f>
        <v/>
      </c>
      <c r="Z1008">
        <f>IF([2]Baskol!$J$1011="","",[2]Baskol!$J$1011)</f>
        <v/>
      </c>
      <c r="AA1008">
        <f>IF([2]Baskol!$K$1011="","",[2]Baskol!$K$1011)</f>
        <v/>
      </c>
      <c r="AB1008">
        <f>IF([2]Baskol!$L$1011="","",[2]Baskol!$L$1011)</f>
        <v/>
      </c>
      <c r="AC1008">
        <f>IF([2]Baskol!$N$1011="","",[2]Baskol!$N$1011)</f>
        <v/>
      </c>
      <c r="AD1008">
        <f>IF([2]Baskol!$O$1011="","",[2]Baskol!$O$1011)</f>
        <v/>
      </c>
      <c r="AE1008">
        <f>IF([3]Entry!$C$1011="","",[3]Entry!$C$1011)</f>
        <v/>
      </c>
      <c r="AF1008">
        <f>IF([3]Entry!$D$1011="","",[3]Entry!$D$1011)</f>
        <v/>
      </c>
      <c r="AG1008">
        <f>IF([3]Entry!$E$1011="","",[3]Entry!$E$1011)</f>
        <v/>
      </c>
      <c r="AH1008">
        <f>IF([3]Entry!$G$1011="","",[3]Entry!$G$1011)</f>
        <v/>
      </c>
      <c r="AI1008">
        <f>IF([3]Entry!$K$1011="","",[3]Entry!$K$1011)</f>
        <v/>
      </c>
      <c r="AJ1008">
        <f>IF([3]Entry!$L$1011="","",[3]Entry!$L$1011)</f>
        <v/>
      </c>
      <c r="AK1008">
        <f>IF([3]Entry!$M$1011="","",[3]Entry!$M$1011)</f>
        <v/>
      </c>
      <c r="AL1008">
        <f>IF([3]Entry!$N$1011="","",[3]Entry!$N$1011)</f>
        <v/>
      </c>
      <c r="AM1008">
        <f>IF([3]Entry!$R$1011="","",[3]Entry!$R$1011)</f>
        <v/>
      </c>
    </row>
    <row r="1009">
      <c r="T1009">
        <f>IF([2]Baskol!$B$1012="","",[2]Baskol!$B$1012)</f>
        <v/>
      </c>
      <c r="U1009">
        <f>IF([2]Baskol!$C$1012="","",[2]Baskol!$C$1012)</f>
        <v/>
      </c>
      <c r="V1009">
        <f>IF([2]Baskol!$D$1012="","",[2]Baskol!$D$1012)</f>
        <v/>
      </c>
      <c r="W1009">
        <f>IF([2]Baskol!$E$1012="","",[2]Baskol!$E$1012)</f>
        <v/>
      </c>
      <c r="X1009">
        <f>IF([2]Baskol!$G$1012="","",[2]Baskol!$G$1012)</f>
        <v/>
      </c>
      <c r="Y1009">
        <f>IF([2]Baskol!$I$1012="","",[2]Baskol!$I$1012)</f>
        <v/>
      </c>
      <c r="Z1009">
        <f>IF([2]Baskol!$J$1012="","",[2]Baskol!$J$1012)</f>
        <v/>
      </c>
      <c r="AA1009">
        <f>IF([2]Baskol!$K$1012="","",[2]Baskol!$K$1012)</f>
        <v/>
      </c>
      <c r="AB1009">
        <f>IF([2]Baskol!$L$1012="","",[2]Baskol!$L$1012)</f>
        <v/>
      </c>
      <c r="AC1009">
        <f>IF([2]Baskol!$N$1012="","",[2]Baskol!$N$1012)</f>
        <v/>
      </c>
      <c r="AD1009">
        <f>IF([2]Baskol!$O$1012="","",[2]Baskol!$O$1012)</f>
        <v/>
      </c>
      <c r="AE1009">
        <f>IF([3]Entry!$C$1012="","",[3]Entry!$C$1012)</f>
        <v/>
      </c>
      <c r="AF1009">
        <f>IF([3]Entry!$D$1012="","",[3]Entry!$D$1012)</f>
        <v/>
      </c>
      <c r="AG1009">
        <f>IF([3]Entry!$E$1012="","",[3]Entry!$E$1012)</f>
        <v/>
      </c>
      <c r="AH1009">
        <f>IF([3]Entry!$G$1012="","",[3]Entry!$G$1012)</f>
        <v/>
      </c>
      <c r="AI1009">
        <f>IF([3]Entry!$K$1012="","",[3]Entry!$K$1012)</f>
        <v/>
      </c>
      <c r="AJ1009">
        <f>IF([3]Entry!$L$1012="","",[3]Entry!$L$1012)</f>
        <v/>
      </c>
      <c r="AK1009">
        <f>IF([3]Entry!$M$1012="","",[3]Entry!$M$1012)</f>
        <v/>
      </c>
      <c r="AL1009">
        <f>IF([3]Entry!$N$1012="","",[3]Entry!$N$1012)</f>
        <v/>
      </c>
      <c r="AM1009">
        <f>IF([3]Entry!$R$1012="","",[3]Entry!$R$1012)</f>
        <v/>
      </c>
    </row>
    <row r="1010">
      <c r="T1010">
        <f>IF([2]Baskol!$B$1013="","",[2]Baskol!$B$1013)</f>
        <v/>
      </c>
      <c r="U1010">
        <f>IF([2]Baskol!$C$1013="","",[2]Baskol!$C$1013)</f>
        <v/>
      </c>
      <c r="V1010">
        <f>IF([2]Baskol!$D$1013="","",[2]Baskol!$D$1013)</f>
        <v/>
      </c>
      <c r="W1010">
        <f>IF([2]Baskol!$E$1013="","",[2]Baskol!$E$1013)</f>
        <v/>
      </c>
      <c r="X1010">
        <f>IF([2]Baskol!$G$1013="","",[2]Baskol!$G$1013)</f>
        <v/>
      </c>
      <c r="Y1010">
        <f>IF([2]Baskol!$I$1013="","",[2]Baskol!$I$1013)</f>
        <v/>
      </c>
      <c r="Z1010">
        <f>IF([2]Baskol!$J$1013="","",[2]Baskol!$J$1013)</f>
        <v/>
      </c>
      <c r="AA1010">
        <f>IF([2]Baskol!$K$1013="","",[2]Baskol!$K$1013)</f>
        <v/>
      </c>
      <c r="AB1010">
        <f>IF([2]Baskol!$L$1013="","",[2]Baskol!$L$1013)</f>
        <v/>
      </c>
      <c r="AC1010">
        <f>IF([2]Baskol!$N$1013="","",[2]Baskol!$N$1013)</f>
        <v/>
      </c>
      <c r="AD1010">
        <f>IF([2]Baskol!$O$1013="","",[2]Baskol!$O$1013)</f>
        <v/>
      </c>
      <c r="AE1010">
        <f>IF([3]Entry!$C$1013="","",[3]Entry!$C$1013)</f>
        <v/>
      </c>
      <c r="AF1010">
        <f>IF([3]Entry!$D$1013="","",[3]Entry!$D$1013)</f>
        <v/>
      </c>
      <c r="AG1010">
        <f>IF([3]Entry!$E$1013="","",[3]Entry!$E$1013)</f>
        <v/>
      </c>
      <c r="AH1010">
        <f>IF([3]Entry!$G$1013="","",[3]Entry!$G$1013)</f>
        <v/>
      </c>
      <c r="AI1010">
        <f>IF([3]Entry!$K$1013="","",[3]Entry!$K$1013)</f>
        <v/>
      </c>
      <c r="AJ1010">
        <f>IF([3]Entry!$L$1013="","",[3]Entry!$L$1013)</f>
        <v/>
      </c>
      <c r="AK1010">
        <f>IF([3]Entry!$M$1013="","",[3]Entry!$M$1013)</f>
        <v/>
      </c>
      <c r="AL1010">
        <f>IF([3]Entry!$N$1013="","",[3]Entry!$N$1013)</f>
        <v/>
      </c>
      <c r="AM1010">
        <f>IF([3]Entry!$R$1013="","",[3]Entry!$R$1013)</f>
        <v/>
      </c>
    </row>
    <row r="1011">
      <c r="T1011">
        <f>IF([2]Baskol!$B$1014="","",[2]Baskol!$B$1014)</f>
        <v/>
      </c>
      <c r="U1011">
        <f>IF([2]Baskol!$C$1014="","",[2]Baskol!$C$1014)</f>
        <v/>
      </c>
      <c r="V1011">
        <f>IF([2]Baskol!$D$1014="","",[2]Baskol!$D$1014)</f>
        <v/>
      </c>
      <c r="W1011">
        <f>IF([2]Baskol!$E$1014="","",[2]Baskol!$E$1014)</f>
        <v/>
      </c>
      <c r="X1011">
        <f>IF([2]Baskol!$G$1014="","",[2]Baskol!$G$1014)</f>
        <v/>
      </c>
      <c r="Y1011">
        <f>IF([2]Baskol!$I$1014="","",[2]Baskol!$I$1014)</f>
        <v/>
      </c>
      <c r="Z1011">
        <f>IF([2]Baskol!$J$1014="","",[2]Baskol!$J$1014)</f>
        <v/>
      </c>
      <c r="AA1011">
        <f>IF([2]Baskol!$K$1014="","",[2]Baskol!$K$1014)</f>
        <v/>
      </c>
      <c r="AB1011">
        <f>IF([2]Baskol!$L$1014="","",[2]Baskol!$L$1014)</f>
        <v/>
      </c>
      <c r="AC1011">
        <f>IF([2]Baskol!$N$1014="","",[2]Baskol!$N$1014)</f>
        <v/>
      </c>
      <c r="AD1011">
        <f>IF([2]Baskol!$O$1014="","",[2]Baskol!$O$1014)</f>
        <v/>
      </c>
      <c r="AE1011">
        <f>IF([3]Entry!$C$1014="","",[3]Entry!$C$1014)</f>
        <v/>
      </c>
      <c r="AF1011">
        <f>IF([3]Entry!$D$1014="","",[3]Entry!$D$1014)</f>
        <v/>
      </c>
      <c r="AG1011">
        <f>IF([3]Entry!$E$1014="","",[3]Entry!$E$1014)</f>
        <v/>
      </c>
      <c r="AH1011">
        <f>IF([3]Entry!$G$1014="","",[3]Entry!$G$1014)</f>
        <v/>
      </c>
      <c r="AI1011">
        <f>IF([3]Entry!$K$1014="","",[3]Entry!$K$1014)</f>
        <v/>
      </c>
      <c r="AJ1011">
        <f>IF([3]Entry!$L$1014="","",[3]Entry!$L$1014)</f>
        <v/>
      </c>
      <c r="AK1011">
        <f>IF([3]Entry!$M$1014="","",[3]Entry!$M$1014)</f>
        <v/>
      </c>
      <c r="AL1011">
        <f>IF([3]Entry!$N$1014="","",[3]Entry!$N$1014)</f>
        <v/>
      </c>
      <c r="AM1011">
        <f>IF([3]Entry!$R$1014="","",[3]Entry!$R$1014)</f>
        <v/>
      </c>
    </row>
    <row r="1012">
      <c r="T1012">
        <f>IF([2]Baskol!$B$1015="","",[2]Baskol!$B$1015)</f>
        <v/>
      </c>
      <c r="U1012">
        <f>IF([2]Baskol!$C$1015="","",[2]Baskol!$C$1015)</f>
        <v/>
      </c>
      <c r="V1012">
        <f>IF([2]Baskol!$D$1015="","",[2]Baskol!$D$1015)</f>
        <v/>
      </c>
      <c r="W1012">
        <f>IF([2]Baskol!$E$1015="","",[2]Baskol!$E$1015)</f>
        <v/>
      </c>
      <c r="X1012">
        <f>IF([2]Baskol!$G$1015="","",[2]Baskol!$G$1015)</f>
        <v/>
      </c>
      <c r="Y1012">
        <f>IF([2]Baskol!$I$1015="","",[2]Baskol!$I$1015)</f>
        <v/>
      </c>
      <c r="Z1012">
        <f>IF([2]Baskol!$J$1015="","",[2]Baskol!$J$1015)</f>
        <v/>
      </c>
      <c r="AA1012">
        <f>IF([2]Baskol!$K$1015="","",[2]Baskol!$K$1015)</f>
        <v/>
      </c>
      <c r="AB1012">
        <f>IF([2]Baskol!$L$1015="","",[2]Baskol!$L$1015)</f>
        <v/>
      </c>
      <c r="AC1012">
        <f>IF([2]Baskol!$N$1015="","",[2]Baskol!$N$1015)</f>
        <v/>
      </c>
      <c r="AD1012">
        <f>IF([2]Baskol!$O$1015="","",[2]Baskol!$O$1015)</f>
        <v/>
      </c>
      <c r="AE1012">
        <f>IF([3]Entry!$C$1015="","",[3]Entry!$C$1015)</f>
        <v/>
      </c>
      <c r="AF1012">
        <f>IF([3]Entry!$D$1015="","",[3]Entry!$D$1015)</f>
        <v/>
      </c>
      <c r="AG1012">
        <f>IF([3]Entry!$E$1015="","",[3]Entry!$E$1015)</f>
        <v/>
      </c>
      <c r="AH1012">
        <f>IF([3]Entry!$G$1015="","",[3]Entry!$G$1015)</f>
        <v/>
      </c>
      <c r="AI1012">
        <f>IF([3]Entry!$K$1015="","",[3]Entry!$K$1015)</f>
        <v/>
      </c>
      <c r="AJ1012">
        <f>IF([3]Entry!$L$1015="","",[3]Entry!$L$1015)</f>
        <v/>
      </c>
      <c r="AK1012">
        <f>IF([3]Entry!$M$1015="","",[3]Entry!$M$1015)</f>
        <v/>
      </c>
      <c r="AL1012">
        <f>IF([3]Entry!$N$1015="","",[3]Entry!$N$1015)</f>
        <v/>
      </c>
      <c r="AM1012">
        <f>IF([3]Entry!$R$1015="","",[3]Entry!$R$1015)</f>
        <v/>
      </c>
    </row>
    <row r="1013">
      <c r="T1013">
        <f>IF([2]Baskol!$B$1016="","",[2]Baskol!$B$1016)</f>
        <v/>
      </c>
      <c r="U1013">
        <f>IF([2]Baskol!$C$1016="","",[2]Baskol!$C$1016)</f>
        <v/>
      </c>
      <c r="V1013">
        <f>IF([2]Baskol!$D$1016="","",[2]Baskol!$D$1016)</f>
        <v/>
      </c>
      <c r="W1013">
        <f>IF([2]Baskol!$E$1016="","",[2]Baskol!$E$1016)</f>
        <v/>
      </c>
      <c r="X1013">
        <f>IF([2]Baskol!$G$1016="","",[2]Baskol!$G$1016)</f>
        <v/>
      </c>
      <c r="Y1013">
        <f>IF([2]Baskol!$I$1016="","",[2]Baskol!$I$1016)</f>
        <v/>
      </c>
      <c r="Z1013">
        <f>IF([2]Baskol!$J$1016="","",[2]Baskol!$J$1016)</f>
        <v/>
      </c>
      <c r="AA1013">
        <f>IF([2]Baskol!$K$1016="","",[2]Baskol!$K$1016)</f>
        <v/>
      </c>
      <c r="AB1013">
        <f>IF([2]Baskol!$L$1016="","",[2]Baskol!$L$1016)</f>
        <v/>
      </c>
      <c r="AC1013">
        <f>IF([2]Baskol!$N$1016="","",[2]Baskol!$N$1016)</f>
        <v/>
      </c>
      <c r="AD1013">
        <f>IF([2]Baskol!$O$1016="","",[2]Baskol!$O$1016)</f>
        <v/>
      </c>
      <c r="AE1013">
        <f>IF([3]Entry!$C$1016="","",[3]Entry!$C$1016)</f>
        <v/>
      </c>
      <c r="AF1013">
        <f>IF([3]Entry!$D$1016="","",[3]Entry!$D$1016)</f>
        <v/>
      </c>
      <c r="AG1013">
        <f>IF([3]Entry!$E$1016="","",[3]Entry!$E$1016)</f>
        <v/>
      </c>
      <c r="AH1013">
        <f>IF([3]Entry!$G$1016="","",[3]Entry!$G$1016)</f>
        <v/>
      </c>
      <c r="AI1013">
        <f>IF([3]Entry!$K$1016="","",[3]Entry!$K$1016)</f>
        <v/>
      </c>
      <c r="AJ1013">
        <f>IF([3]Entry!$L$1016="","",[3]Entry!$L$1016)</f>
        <v/>
      </c>
      <c r="AK1013">
        <f>IF([3]Entry!$M$1016="","",[3]Entry!$M$1016)</f>
        <v/>
      </c>
      <c r="AL1013">
        <f>IF([3]Entry!$N$1016="","",[3]Entry!$N$1016)</f>
        <v/>
      </c>
      <c r="AM1013">
        <f>IF([3]Entry!$R$1016="","",[3]Entry!$R$1016)</f>
        <v/>
      </c>
    </row>
    <row r="1014">
      <c r="T1014">
        <f>IF([2]Baskol!$B$1017="","",[2]Baskol!$B$1017)</f>
        <v/>
      </c>
      <c r="U1014">
        <f>IF([2]Baskol!$C$1017="","",[2]Baskol!$C$1017)</f>
        <v/>
      </c>
      <c r="V1014">
        <f>IF([2]Baskol!$D$1017="","",[2]Baskol!$D$1017)</f>
        <v/>
      </c>
      <c r="W1014">
        <f>IF([2]Baskol!$E$1017="","",[2]Baskol!$E$1017)</f>
        <v/>
      </c>
      <c r="X1014">
        <f>IF([2]Baskol!$G$1017="","",[2]Baskol!$G$1017)</f>
        <v/>
      </c>
      <c r="Y1014">
        <f>IF([2]Baskol!$I$1017="","",[2]Baskol!$I$1017)</f>
        <v/>
      </c>
      <c r="Z1014">
        <f>IF([2]Baskol!$J$1017="","",[2]Baskol!$J$1017)</f>
        <v/>
      </c>
      <c r="AA1014">
        <f>IF([2]Baskol!$K$1017="","",[2]Baskol!$K$1017)</f>
        <v/>
      </c>
      <c r="AB1014">
        <f>IF([2]Baskol!$L$1017="","",[2]Baskol!$L$1017)</f>
        <v/>
      </c>
      <c r="AC1014">
        <f>IF([2]Baskol!$N$1017="","",[2]Baskol!$N$1017)</f>
        <v/>
      </c>
      <c r="AD1014">
        <f>IF([2]Baskol!$O$1017="","",[2]Baskol!$O$1017)</f>
        <v/>
      </c>
      <c r="AE1014">
        <f>IF([3]Entry!$C$1017="","",[3]Entry!$C$1017)</f>
        <v/>
      </c>
      <c r="AF1014">
        <f>IF([3]Entry!$D$1017="","",[3]Entry!$D$1017)</f>
        <v/>
      </c>
      <c r="AG1014">
        <f>IF([3]Entry!$E$1017="","",[3]Entry!$E$1017)</f>
        <v/>
      </c>
      <c r="AH1014">
        <f>IF([3]Entry!$G$1017="","",[3]Entry!$G$1017)</f>
        <v/>
      </c>
      <c r="AI1014">
        <f>IF([3]Entry!$K$1017="","",[3]Entry!$K$1017)</f>
        <v/>
      </c>
      <c r="AJ1014">
        <f>IF([3]Entry!$L$1017="","",[3]Entry!$L$1017)</f>
        <v/>
      </c>
      <c r="AK1014">
        <f>IF([3]Entry!$M$1017="","",[3]Entry!$M$1017)</f>
        <v/>
      </c>
      <c r="AL1014">
        <f>IF([3]Entry!$N$1017="","",[3]Entry!$N$1017)</f>
        <v/>
      </c>
      <c r="AM1014">
        <f>IF([3]Entry!$R$1017="","",[3]Entry!$R$1017)</f>
        <v/>
      </c>
    </row>
    <row r="1015">
      <c r="T1015">
        <f>IF([2]Baskol!$B$1018="","",[2]Baskol!$B$1018)</f>
        <v/>
      </c>
      <c r="U1015">
        <f>IF([2]Baskol!$C$1018="","",[2]Baskol!$C$1018)</f>
        <v/>
      </c>
      <c r="V1015">
        <f>IF([2]Baskol!$D$1018="","",[2]Baskol!$D$1018)</f>
        <v/>
      </c>
      <c r="W1015">
        <f>IF([2]Baskol!$E$1018="","",[2]Baskol!$E$1018)</f>
        <v/>
      </c>
      <c r="X1015">
        <f>IF([2]Baskol!$G$1018="","",[2]Baskol!$G$1018)</f>
        <v/>
      </c>
      <c r="Y1015">
        <f>IF([2]Baskol!$I$1018="","",[2]Baskol!$I$1018)</f>
        <v/>
      </c>
      <c r="Z1015">
        <f>IF([2]Baskol!$J$1018="","",[2]Baskol!$J$1018)</f>
        <v/>
      </c>
      <c r="AA1015">
        <f>IF([2]Baskol!$K$1018="","",[2]Baskol!$K$1018)</f>
        <v/>
      </c>
      <c r="AB1015">
        <f>IF([2]Baskol!$L$1018="","",[2]Baskol!$L$1018)</f>
        <v/>
      </c>
      <c r="AC1015">
        <f>IF([2]Baskol!$N$1018="","",[2]Baskol!$N$1018)</f>
        <v/>
      </c>
      <c r="AD1015">
        <f>IF([2]Baskol!$O$1018="","",[2]Baskol!$O$1018)</f>
        <v/>
      </c>
      <c r="AE1015">
        <f>IF([3]Entry!$C$1018="","",[3]Entry!$C$1018)</f>
        <v/>
      </c>
      <c r="AF1015">
        <f>IF([3]Entry!$D$1018="","",[3]Entry!$D$1018)</f>
        <v/>
      </c>
      <c r="AG1015">
        <f>IF([3]Entry!$E$1018="","",[3]Entry!$E$1018)</f>
        <v/>
      </c>
      <c r="AH1015">
        <f>IF([3]Entry!$G$1018="","",[3]Entry!$G$1018)</f>
        <v/>
      </c>
      <c r="AI1015">
        <f>IF([3]Entry!$K$1018="","",[3]Entry!$K$1018)</f>
        <v/>
      </c>
      <c r="AJ1015">
        <f>IF([3]Entry!$L$1018="","",[3]Entry!$L$1018)</f>
        <v/>
      </c>
      <c r="AK1015">
        <f>IF([3]Entry!$M$1018="","",[3]Entry!$M$1018)</f>
        <v/>
      </c>
      <c r="AL1015">
        <f>IF([3]Entry!$N$1018="","",[3]Entry!$N$1018)</f>
        <v/>
      </c>
      <c r="AM1015">
        <f>IF([3]Entry!$R$1018="","",[3]Entry!$R$1018)</f>
        <v/>
      </c>
    </row>
    <row r="1016">
      <c r="T1016">
        <f>IF([2]Baskol!$B$1019="","",[2]Baskol!$B$1019)</f>
        <v/>
      </c>
      <c r="U1016">
        <f>IF([2]Baskol!$C$1019="","",[2]Baskol!$C$1019)</f>
        <v/>
      </c>
      <c r="V1016">
        <f>IF([2]Baskol!$D$1019="","",[2]Baskol!$D$1019)</f>
        <v/>
      </c>
      <c r="W1016">
        <f>IF([2]Baskol!$E$1019="","",[2]Baskol!$E$1019)</f>
        <v/>
      </c>
      <c r="X1016">
        <f>IF([2]Baskol!$G$1019="","",[2]Baskol!$G$1019)</f>
        <v/>
      </c>
      <c r="Y1016">
        <f>IF([2]Baskol!$I$1019="","",[2]Baskol!$I$1019)</f>
        <v/>
      </c>
      <c r="Z1016">
        <f>IF([2]Baskol!$J$1019="","",[2]Baskol!$J$1019)</f>
        <v/>
      </c>
      <c r="AA1016">
        <f>IF([2]Baskol!$K$1019="","",[2]Baskol!$K$1019)</f>
        <v/>
      </c>
      <c r="AB1016">
        <f>IF([2]Baskol!$L$1019="","",[2]Baskol!$L$1019)</f>
        <v/>
      </c>
      <c r="AC1016">
        <f>IF([2]Baskol!$N$1019="","",[2]Baskol!$N$1019)</f>
        <v/>
      </c>
      <c r="AD1016">
        <f>IF([2]Baskol!$O$1019="","",[2]Baskol!$O$1019)</f>
        <v/>
      </c>
      <c r="AE1016">
        <f>IF([3]Entry!$C$1019="","",[3]Entry!$C$1019)</f>
        <v/>
      </c>
      <c r="AF1016">
        <f>IF([3]Entry!$D$1019="","",[3]Entry!$D$1019)</f>
        <v/>
      </c>
      <c r="AG1016">
        <f>IF([3]Entry!$E$1019="","",[3]Entry!$E$1019)</f>
        <v/>
      </c>
      <c r="AH1016">
        <f>IF([3]Entry!$G$1019="","",[3]Entry!$G$1019)</f>
        <v/>
      </c>
      <c r="AI1016">
        <f>IF([3]Entry!$K$1019="","",[3]Entry!$K$1019)</f>
        <v/>
      </c>
      <c r="AJ1016">
        <f>IF([3]Entry!$L$1019="","",[3]Entry!$L$1019)</f>
        <v/>
      </c>
      <c r="AK1016">
        <f>IF([3]Entry!$M$1019="","",[3]Entry!$M$1019)</f>
        <v/>
      </c>
      <c r="AL1016">
        <f>IF([3]Entry!$N$1019="","",[3]Entry!$N$1019)</f>
        <v/>
      </c>
      <c r="AM1016">
        <f>IF([3]Entry!$R$1019="","",[3]Entry!$R$1019)</f>
        <v/>
      </c>
    </row>
    <row r="1017">
      <c r="T1017">
        <f>IF([2]Baskol!$B$1020="","",[2]Baskol!$B$1020)</f>
        <v/>
      </c>
      <c r="U1017">
        <f>IF([2]Baskol!$C$1020="","",[2]Baskol!$C$1020)</f>
        <v/>
      </c>
      <c r="V1017">
        <f>IF([2]Baskol!$D$1020="","",[2]Baskol!$D$1020)</f>
        <v/>
      </c>
      <c r="W1017">
        <f>IF([2]Baskol!$E$1020="","",[2]Baskol!$E$1020)</f>
        <v/>
      </c>
      <c r="X1017">
        <f>IF([2]Baskol!$G$1020="","",[2]Baskol!$G$1020)</f>
        <v/>
      </c>
      <c r="Y1017">
        <f>IF([2]Baskol!$I$1020="","",[2]Baskol!$I$1020)</f>
        <v/>
      </c>
      <c r="Z1017">
        <f>IF([2]Baskol!$J$1020="","",[2]Baskol!$J$1020)</f>
        <v/>
      </c>
      <c r="AA1017">
        <f>IF([2]Baskol!$K$1020="","",[2]Baskol!$K$1020)</f>
        <v/>
      </c>
      <c r="AB1017">
        <f>IF([2]Baskol!$L$1020="","",[2]Baskol!$L$1020)</f>
        <v/>
      </c>
      <c r="AC1017">
        <f>IF([2]Baskol!$N$1020="","",[2]Baskol!$N$1020)</f>
        <v/>
      </c>
      <c r="AD1017">
        <f>IF([2]Baskol!$O$1020="","",[2]Baskol!$O$1020)</f>
        <v/>
      </c>
      <c r="AE1017">
        <f>IF([3]Entry!$C$1020="","",[3]Entry!$C$1020)</f>
        <v/>
      </c>
      <c r="AF1017">
        <f>IF([3]Entry!$D$1020="","",[3]Entry!$D$1020)</f>
        <v/>
      </c>
      <c r="AG1017">
        <f>IF([3]Entry!$E$1020="","",[3]Entry!$E$1020)</f>
        <v/>
      </c>
      <c r="AH1017">
        <f>IF([3]Entry!$G$1020="","",[3]Entry!$G$1020)</f>
        <v/>
      </c>
      <c r="AI1017">
        <f>IF([3]Entry!$K$1020="","",[3]Entry!$K$1020)</f>
        <v/>
      </c>
      <c r="AJ1017">
        <f>IF([3]Entry!$L$1020="","",[3]Entry!$L$1020)</f>
        <v/>
      </c>
      <c r="AK1017">
        <f>IF([3]Entry!$M$1020="","",[3]Entry!$M$1020)</f>
        <v/>
      </c>
      <c r="AL1017">
        <f>IF([3]Entry!$N$1020="","",[3]Entry!$N$1020)</f>
        <v/>
      </c>
      <c r="AM1017">
        <f>IF([3]Entry!$R$1020="","",[3]Entry!$R$1020)</f>
        <v/>
      </c>
    </row>
    <row r="1018">
      <c r="T1018">
        <f>IF([2]Baskol!$B$1021="","",[2]Baskol!$B$1021)</f>
        <v/>
      </c>
      <c r="U1018">
        <f>IF([2]Baskol!$C$1021="","",[2]Baskol!$C$1021)</f>
        <v/>
      </c>
      <c r="V1018">
        <f>IF([2]Baskol!$D$1021="","",[2]Baskol!$D$1021)</f>
        <v/>
      </c>
      <c r="W1018">
        <f>IF([2]Baskol!$E$1021="","",[2]Baskol!$E$1021)</f>
        <v/>
      </c>
      <c r="X1018">
        <f>IF([2]Baskol!$G$1021="","",[2]Baskol!$G$1021)</f>
        <v/>
      </c>
      <c r="Y1018">
        <f>IF([2]Baskol!$I$1021="","",[2]Baskol!$I$1021)</f>
        <v/>
      </c>
      <c r="Z1018">
        <f>IF([2]Baskol!$J$1021="","",[2]Baskol!$J$1021)</f>
        <v/>
      </c>
      <c r="AA1018">
        <f>IF([2]Baskol!$K$1021="","",[2]Baskol!$K$1021)</f>
        <v/>
      </c>
      <c r="AB1018">
        <f>IF([2]Baskol!$L$1021="","",[2]Baskol!$L$1021)</f>
        <v/>
      </c>
      <c r="AC1018">
        <f>IF([2]Baskol!$N$1021="","",[2]Baskol!$N$1021)</f>
        <v/>
      </c>
      <c r="AD1018">
        <f>IF([2]Baskol!$O$1021="","",[2]Baskol!$O$1021)</f>
        <v/>
      </c>
      <c r="AE1018">
        <f>IF([3]Entry!$C$1021="","",[3]Entry!$C$1021)</f>
        <v/>
      </c>
      <c r="AF1018">
        <f>IF([3]Entry!$D$1021="","",[3]Entry!$D$1021)</f>
        <v/>
      </c>
      <c r="AG1018">
        <f>IF([3]Entry!$E$1021="","",[3]Entry!$E$1021)</f>
        <v/>
      </c>
      <c r="AH1018">
        <f>IF([3]Entry!$G$1021="","",[3]Entry!$G$1021)</f>
        <v/>
      </c>
      <c r="AI1018">
        <f>IF([3]Entry!$K$1021="","",[3]Entry!$K$1021)</f>
        <v/>
      </c>
      <c r="AJ1018">
        <f>IF([3]Entry!$L$1021="","",[3]Entry!$L$1021)</f>
        <v/>
      </c>
      <c r="AK1018">
        <f>IF([3]Entry!$M$1021="","",[3]Entry!$M$1021)</f>
        <v/>
      </c>
      <c r="AL1018">
        <f>IF([3]Entry!$N$1021="","",[3]Entry!$N$1021)</f>
        <v/>
      </c>
      <c r="AM1018">
        <f>IF([3]Entry!$R$1021="","",[3]Entry!$R$1021)</f>
        <v/>
      </c>
    </row>
    <row r="1019">
      <c r="T1019">
        <f>IF([2]Baskol!$B$1022="","",[2]Baskol!$B$1022)</f>
        <v/>
      </c>
      <c r="U1019">
        <f>IF([2]Baskol!$C$1022="","",[2]Baskol!$C$1022)</f>
        <v/>
      </c>
      <c r="V1019">
        <f>IF([2]Baskol!$D$1022="","",[2]Baskol!$D$1022)</f>
        <v/>
      </c>
      <c r="W1019">
        <f>IF([2]Baskol!$E$1022="","",[2]Baskol!$E$1022)</f>
        <v/>
      </c>
      <c r="X1019">
        <f>IF([2]Baskol!$G$1022="","",[2]Baskol!$G$1022)</f>
        <v/>
      </c>
      <c r="Y1019">
        <f>IF([2]Baskol!$I$1022="","",[2]Baskol!$I$1022)</f>
        <v/>
      </c>
      <c r="Z1019">
        <f>IF([2]Baskol!$J$1022="","",[2]Baskol!$J$1022)</f>
        <v/>
      </c>
      <c r="AA1019">
        <f>IF([2]Baskol!$K$1022="","",[2]Baskol!$K$1022)</f>
        <v/>
      </c>
      <c r="AB1019">
        <f>IF([2]Baskol!$L$1022="","",[2]Baskol!$L$1022)</f>
        <v/>
      </c>
      <c r="AC1019">
        <f>IF([2]Baskol!$N$1022="","",[2]Baskol!$N$1022)</f>
        <v/>
      </c>
      <c r="AD1019">
        <f>IF([2]Baskol!$O$1022="","",[2]Baskol!$O$1022)</f>
        <v/>
      </c>
      <c r="AE1019">
        <f>IF([3]Entry!$C$1022="","",[3]Entry!$C$1022)</f>
        <v/>
      </c>
      <c r="AF1019">
        <f>IF([3]Entry!$D$1022="","",[3]Entry!$D$1022)</f>
        <v/>
      </c>
      <c r="AG1019">
        <f>IF([3]Entry!$E$1022="","",[3]Entry!$E$1022)</f>
        <v/>
      </c>
      <c r="AH1019">
        <f>IF([3]Entry!$G$1022="","",[3]Entry!$G$1022)</f>
        <v/>
      </c>
      <c r="AI1019">
        <f>IF([3]Entry!$K$1022="","",[3]Entry!$K$1022)</f>
        <v/>
      </c>
      <c r="AJ1019">
        <f>IF([3]Entry!$L$1022="","",[3]Entry!$L$1022)</f>
        <v/>
      </c>
      <c r="AK1019">
        <f>IF([3]Entry!$M$1022="","",[3]Entry!$M$1022)</f>
        <v/>
      </c>
      <c r="AL1019">
        <f>IF([3]Entry!$N$1022="","",[3]Entry!$N$1022)</f>
        <v/>
      </c>
      <c r="AM1019">
        <f>IF([3]Entry!$R$1022="","",[3]Entry!$R$1022)</f>
        <v/>
      </c>
    </row>
    <row r="1020">
      <c r="T1020">
        <f>IF([2]Baskol!$B$1023="","",[2]Baskol!$B$1023)</f>
        <v/>
      </c>
      <c r="U1020">
        <f>IF([2]Baskol!$C$1023="","",[2]Baskol!$C$1023)</f>
        <v/>
      </c>
      <c r="V1020">
        <f>IF([2]Baskol!$D$1023="","",[2]Baskol!$D$1023)</f>
        <v/>
      </c>
      <c r="W1020">
        <f>IF([2]Baskol!$E$1023="","",[2]Baskol!$E$1023)</f>
        <v/>
      </c>
      <c r="X1020">
        <f>IF([2]Baskol!$G$1023="","",[2]Baskol!$G$1023)</f>
        <v/>
      </c>
      <c r="Y1020">
        <f>IF([2]Baskol!$I$1023="","",[2]Baskol!$I$1023)</f>
        <v/>
      </c>
      <c r="Z1020">
        <f>IF([2]Baskol!$J$1023="","",[2]Baskol!$J$1023)</f>
        <v/>
      </c>
      <c r="AA1020">
        <f>IF([2]Baskol!$K$1023="","",[2]Baskol!$K$1023)</f>
        <v/>
      </c>
      <c r="AB1020">
        <f>IF([2]Baskol!$L$1023="","",[2]Baskol!$L$1023)</f>
        <v/>
      </c>
      <c r="AC1020">
        <f>IF([2]Baskol!$N$1023="","",[2]Baskol!$N$1023)</f>
        <v/>
      </c>
      <c r="AD1020">
        <f>IF([2]Baskol!$O$1023="","",[2]Baskol!$O$1023)</f>
        <v/>
      </c>
      <c r="AE1020">
        <f>IF([3]Entry!$C$1023="","",[3]Entry!$C$1023)</f>
        <v/>
      </c>
      <c r="AF1020">
        <f>IF([3]Entry!$D$1023="","",[3]Entry!$D$1023)</f>
        <v/>
      </c>
      <c r="AG1020">
        <f>IF([3]Entry!$E$1023="","",[3]Entry!$E$1023)</f>
        <v/>
      </c>
      <c r="AH1020">
        <f>IF([3]Entry!$G$1023="","",[3]Entry!$G$1023)</f>
        <v/>
      </c>
      <c r="AI1020">
        <f>IF([3]Entry!$K$1023="","",[3]Entry!$K$1023)</f>
        <v/>
      </c>
      <c r="AJ1020">
        <f>IF([3]Entry!$L$1023="","",[3]Entry!$L$1023)</f>
        <v/>
      </c>
      <c r="AK1020">
        <f>IF([3]Entry!$M$1023="","",[3]Entry!$M$1023)</f>
        <v/>
      </c>
      <c r="AL1020">
        <f>IF([3]Entry!$N$1023="","",[3]Entry!$N$1023)</f>
        <v/>
      </c>
      <c r="AM1020">
        <f>IF([3]Entry!$R$1023="","",[3]Entry!$R$1023)</f>
        <v/>
      </c>
    </row>
    <row r="1021">
      <c r="T1021">
        <f>IF([2]Baskol!$B$1024="","",[2]Baskol!$B$1024)</f>
        <v/>
      </c>
      <c r="U1021">
        <f>IF([2]Baskol!$C$1024="","",[2]Baskol!$C$1024)</f>
        <v/>
      </c>
      <c r="V1021">
        <f>IF([2]Baskol!$D$1024="","",[2]Baskol!$D$1024)</f>
        <v/>
      </c>
      <c r="W1021">
        <f>IF([2]Baskol!$E$1024="","",[2]Baskol!$E$1024)</f>
        <v/>
      </c>
      <c r="X1021">
        <f>IF([2]Baskol!$G$1024="","",[2]Baskol!$G$1024)</f>
        <v/>
      </c>
      <c r="Y1021">
        <f>IF([2]Baskol!$I$1024="","",[2]Baskol!$I$1024)</f>
        <v/>
      </c>
      <c r="Z1021">
        <f>IF([2]Baskol!$J$1024="","",[2]Baskol!$J$1024)</f>
        <v/>
      </c>
      <c r="AA1021">
        <f>IF([2]Baskol!$K$1024="","",[2]Baskol!$K$1024)</f>
        <v/>
      </c>
      <c r="AB1021">
        <f>IF([2]Baskol!$L$1024="","",[2]Baskol!$L$1024)</f>
        <v/>
      </c>
      <c r="AC1021">
        <f>IF([2]Baskol!$N$1024="","",[2]Baskol!$N$1024)</f>
        <v/>
      </c>
      <c r="AD1021">
        <f>IF([2]Baskol!$O$1024="","",[2]Baskol!$O$1024)</f>
        <v/>
      </c>
      <c r="AE1021">
        <f>IF([3]Entry!$C$1024="","",[3]Entry!$C$1024)</f>
        <v/>
      </c>
      <c r="AF1021">
        <f>IF([3]Entry!$D$1024="","",[3]Entry!$D$1024)</f>
        <v/>
      </c>
      <c r="AG1021">
        <f>IF([3]Entry!$E$1024="","",[3]Entry!$E$1024)</f>
        <v/>
      </c>
      <c r="AH1021">
        <f>IF([3]Entry!$G$1024="","",[3]Entry!$G$1024)</f>
        <v/>
      </c>
      <c r="AI1021">
        <f>IF([3]Entry!$K$1024="","",[3]Entry!$K$1024)</f>
        <v/>
      </c>
      <c r="AJ1021">
        <f>IF([3]Entry!$L$1024="","",[3]Entry!$L$1024)</f>
        <v/>
      </c>
      <c r="AK1021">
        <f>IF([3]Entry!$M$1024="","",[3]Entry!$M$1024)</f>
        <v/>
      </c>
      <c r="AL1021">
        <f>IF([3]Entry!$N$1024="","",[3]Entry!$N$1024)</f>
        <v/>
      </c>
      <c r="AM1021">
        <f>IF([3]Entry!$R$1024="","",[3]Entry!$R$1024)</f>
        <v/>
      </c>
    </row>
    <row r="1022">
      <c r="T1022">
        <f>IF([2]Baskol!$B$1025="","",[2]Baskol!$B$1025)</f>
        <v/>
      </c>
      <c r="U1022">
        <f>IF([2]Baskol!$C$1025="","",[2]Baskol!$C$1025)</f>
        <v/>
      </c>
      <c r="V1022">
        <f>IF([2]Baskol!$D$1025="","",[2]Baskol!$D$1025)</f>
        <v/>
      </c>
      <c r="W1022">
        <f>IF([2]Baskol!$E$1025="","",[2]Baskol!$E$1025)</f>
        <v/>
      </c>
      <c r="X1022">
        <f>IF([2]Baskol!$G$1025="","",[2]Baskol!$G$1025)</f>
        <v/>
      </c>
      <c r="Y1022">
        <f>IF([2]Baskol!$I$1025="","",[2]Baskol!$I$1025)</f>
        <v/>
      </c>
      <c r="Z1022">
        <f>IF([2]Baskol!$J$1025="","",[2]Baskol!$J$1025)</f>
        <v/>
      </c>
      <c r="AA1022">
        <f>IF([2]Baskol!$K$1025="","",[2]Baskol!$K$1025)</f>
        <v/>
      </c>
      <c r="AB1022">
        <f>IF([2]Baskol!$L$1025="","",[2]Baskol!$L$1025)</f>
        <v/>
      </c>
      <c r="AC1022">
        <f>IF([2]Baskol!$N$1025="","",[2]Baskol!$N$1025)</f>
        <v/>
      </c>
      <c r="AD1022">
        <f>IF([2]Baskol!$O$1025="","",[2]Baskol!$O$1025)</f>
        <v/>
      </c>
      <c r="AE1022">
        <f>IF([3]Entry!$C$1025="","",[3]Entry!$C$1025)</f>
        <v/>
      </c>
      <c r="AF1022">
        <f>IF([3]Entry!$D$1025="","",[3]Entry!$D$1025)</f>
        <v/>
      </c>
      <c r="AG1022">
        <f>IF([3]Entry!$E$1025="","",[3]Entry!$E$1025)</f>
        <v/>
      </c>
      <c r="AH1022">
        <f>IF([3]Entry!$G$1025="","",[3]Entry!$G$1025)</f>
        <v/>
      </c>
      <c r="AI1022">
        <f>IF([3]Entry!$K$1025="","",[3]Entry!$K$1025)</f>
        <v/>
      </c>
      <c r="AJ1022">
        <f>IF([3]Entry!$L$1025="","",[3]Entry!$L$1025)</f>
        <v/>
      </c>
      <c r="AK1022">
        <f>IF([3]Entry!$M$1025="","",[3]Entry!$M$1025)</f>
        <v/>
      </c>
      <c r="AL1022">
        <f>IF([3]Entry!$N$1025="","",[3]Entry!$N$1025)</f>
        <v/>
      </c>
      <c r="AM1022">
        <f>IF([3]Entry!$R$1025="","",[3]Entry!$R$1025)</f>
        <v/>
      </c>
    </row>
    <row r="1023">
      <c r="T1023">
        <f>IF([2]Baskol!$B$1026="","",[2]Baskol!$B$1026)</f>
        <v/>
      </c>
      <c r="U1023">
        <f>IF([2]Baskol!$C$1026="","",[2]Baskol!$C$1026)</f>
        <v/>
      </c>
      <c r="V1023">
        <f>IF([2]Baskol!$D$1026="","",[2]Baskol!$D$1026)</f>
        <v/>
      </c>
      <c r="W1023">
        <f>IF([2]Baskol!$E$1026="","",[2]Baskol!$E$1026)</f>
        <v/>
      </c>
      <c r="X1023">
        <f>IF([2]Baskol!$G$1026="","",[2]Baskol!$G$1026)</f>
        <v/>
      </c>
      <c r="Y1023">
        <f>IF([2]Baskol!$I$1026="","",[2]Baskol!$I$1026)</f>
        <v/>
      </c>
      <c r="Z1023">
        <f>IF([2]Baskol!$J$1026="","",[2]Baskol!$J$1026)</f>
        <v/>
      </c>
      <c r="AA1023">
        <f>IF([2]Baskol!$K$1026="","",[2]Baskol!$K$1026)</f>
        <v/>
      </c>
      <c r="AB1023">
        <f>IF([2]Baskol!$L$1026="","",[2]Baskol!$L$1026)</f>
        <v/>
      </c>
      <c r="AC1023">
        <f>IF([2]Baskol!$N$1026="","",[2]Baskol!$N$1026)</f>
        <v/>
      </c>
      <c r="AD1023">
        <f>IF([2]Baskol!$O$1026="","",[2]Baskol!$O$1026)</f>
        <v/>
      </c>
      <c r="AE1023">
        <f>IF([3]Entry!$C$1026="","",[3]Entry!$C$1026)</f>
        <v/>
      </c>
      <c r="AF1023">
        <f>IF([3]Entry!$D$1026="","",[3]Entry!$D$1026)</f>
        <v/>
      </c>
      <c r="AG1023">
        <f>IF([3]Entry!$E$1026="","",[3]Entry!$E$1026)</f>
        <v/>
      </c>
      <c r="AH1023">
        <f>IF([3]Entry!$G$1026="","",[3]Entry!$G$1026)</f>
        <v/>
      </c>
      <c r="AI1023">
        <f>IF([3]Entry!$K$1026="","",[3]Entry!$K$1026)</f>
        <v/>
      </c>
      <c r="AJ1023">
        <f>IF([3]Entry!$L$1026="","",[3]Entry!$L$1026)</f>
        <v/>
      </c>
      <c r="AK1023">
        <f>IF([3]Entry!$M$1026="","",[3]Entry!$M$1026)</f>
        <v/>
      </c>
      <c r="AL1023">
        <f>IF([3]Entry!$N$1026="","",[3]Entry!$N$1026)</f>
        <v/>
      </c>
      <c r="AM1023">
        <f>IF([3]Entry!$R$1026="","",[3]Entry!$R$1026)</f>
        <v/>
      </c>
    </row>
    <row r="1024">
      <c r="T1024">
        <f>IF([2]Baskol!$B$1027="","",[2]Baskol!$B$1027)</f>
        <v/>
      </c>
      <c r="U1024">
        <f>IF([2]Baskol!$C$1027="","",[2]Baskol!$C$1027)</f>
        <v/>
      </c>
      <c r="V1024">
        <f>IF([2]Baskol!$D$1027="","",[2]Baskol!$D$1027)</f>
        <v/>
      </c>
      <c r="W1024">
        <f>IF([2]Baskol!$E$1027="","",[2]Baskol!$E$1027)</f>
        <v/>
      </c>
      <c r="X1024">
        <f>IF([2]Baskol!$G$1027="","",[2]Baskol!$G$1027)</f>
        <v/>
      </c>
      <c r="Y1024">
        <f>IF([2]Baskol!$I$1027="","",[2]Baskol!$I$1027)</f>
        <v/>
      </c>
      <c r="Z1024">
        <f>IF([2]Baskol!$J$1027="","",[2]Baskol!$J$1027)</f>
        <v/>
      </c>
      <c r="AA1024">
        <f>IF([2]Baskol!$K$1027="","",[2]Baskol!$K$1027)</f>
        <v/>
      </c>
      <c r="AB1024">
        <f>IF([2]Baskol!$L$1027="","",[2]Baskol!$L$1027)</f>
        <v/>
      </c>
      <c r="AC1024">
        <f>IF([2]Baskol!$N$1027="","",[2]Baskol!$N$1027)</f>
        <v/>
      </c>
      <c r="AD1024">
        <f>IF([2]Baskol!$O$1027="","",[2]Baskol!$O$1027)</f>
        <v/>
      </c>
      <c r="AE1024">
        <f>IF([3]Entry!$C$1027="","",[3]Entry!$C$1027)</f>
        <v/>
      </c>
      <c r="AF1024">
        <f>IF([3]Entry!$D$1027="","",[3]Entry!$D$1027)</f>
        <v/>
      </c>
      <c r="AG1024">
        <f>IF([3]Entry!$E$1027="","",[3]Entry!$E$1027)</f>
        <v/>
      </c>
      <c r="AH1024">
        <f>IF([3]Entry!$G$1027="","",[3]Entry!$G$1027)</f>
        <v/>
      </c>
      <c r="AI1024">
        <f>IF([3]Entry!$K$1027="","",[3]Entry!$K$1027)</f>
        <v/>
      </c>
      <c r="AJ1024">
        <f>IF([3]Entry!$L$1027="","",[3]Entry!$L$1027)</f>
        <v/>
      </c>
      <c r="AK1024">
        <f>IF([3]Entry!$M$1027="","",[3]Entry!$M$1027)</f>
        <v/>
      </c>
      <c r="AL1024">
        <f>IF([3]Entry!$N$1027="","",[3]Entry!$N$1027)</f>
        <v/>
      </c>
      <c r="AM1024">
        <f>IF([3]Entry!$R$1027="","",[3]Entry!$R$1027)</f>
        <v/>
      </c>
    </row>
    <row r="1025">
      <c r="T1025">
        <f>IF([2]Baskol!$B$1028="","",[2]Baskol!$B$1028)</f>
        <v/>
      </c>
      <c r="U1025">
        <f>IF([2]Baskol!$C$1028="","",[2]Baskol!$C$1028)</f>
        <v/>
      </c>
      <c r="V1025">
        <f>IF([2]Baskol!$D$1028="","",[2]Baskol!$D$1028)</f>
        <v/>
      </c>
      <c r="W1025">
        <f>IF([2]Baskol!$E$1028="","",[2]Baskol!$E$1028)</f>
        <v/>
      </c>
      <c r="X1025">
        <f>IF([2]Baskol!$G$1028="","",[2]Baskol!$G$1028)</f>
        <v/>
      </c>
      <c r="Y1025">
        <f>IF([2]Baskol!$I$1028="","",[2]Baskol!$I$1028)</f>
        <v/>
      </c>
      <c r="Z1025">
        <f>IF([2]Baskol!$J$1028="","",[2]Baskol!$J$1028)</f>
        <v/>
      </c>
      <c r="AA1025">
        <f>IF([2]Baskol!$K$1028="","",[2]Baskol!$K$1028)</f>
        <v/>
      </c>
      <c r="AB1025">
        <f>IF([2]Baskol!$L$1028="","",[2]Baskol!$L$1028)</f>
        <v/>
      </c>
      <c r="AC1025">
        <f>IF([2]Baskol!$N$1028="","",[2]Baskol!$N$1028)</f>
        <v/>
      </c>
      <c r="AD1025">
        <f>IF([2]Baskol!$O$1028="","",[2]Baskol!$O$1028)</f>
        <v/>
      </c>
      <c r="AE1025">
        <f>IF([3]Entry!$C$1028="","",[3]Entry!$C$1028)</f>
        <v/>
      </c>
      <c r="AF1025">
        <f>IF([3]Entry!$D$1028="","",[3]Entry!$D$1028)</f>
        <v/>
      </c>
      <c r="AG1025">
        <f>IF([3]Entry!$E$1028="","",[3]Entry!$E$1028)</f>
        <v/>
      </c>
      <c r="AH1025">
        <f>IF([3]Entry!$G$1028="","",[3]Entry!$G$1028)</f>
        <v/>
      </c>
      <c r="AI1025">
        <f>IF([3]Entry!$K$1028="","",[3]Entry!$K$1028)</f>
        <v/>
      </c>
      <c r="AJ1025">
        <f>IF([3]Entry!$L$1028="","",[3]Entry!$L$1028)</f>
        <v/>
      </c>
      <c r="AK1025">
        <f>IF([3]Entry!$M$1028="","",[3]Entry!$M$1028)</f>
        <v/>
      </c>
      <c r="AL1025">
        <f>IF([3]Entry!$N$1028="","",[3]Entry!$N$1028)</f>
        <v/>
      </c>
      <c r="AM1025">
        <f>IF([3]Entry!$R$1028="","",[3]Entry!$R$1028)</f>
        <v/>
      </c>
    </row>
    <row r="1026">
      <c r="T1026">
        <f>IF([2]Baskol!$B$1029="","",[2]Baskol!$B$1029)</f>
        <v/>
      </c>
      <c r="U1026">
        <f>IF([2]Baskol!$C$1029="","",[2]Baskol!$C$1029)</f>
        <v/>
      </c>
      <c r="V1026">
        <f>IF([2]Baskol!$D$1029="","",[2]Baskol!$D$1029)</f>
        <v/>
      </c>
      <c r="W1026">
        <f>IF([2]Baskol!$E$1029="","",[2]Baskol!$E$1029)</f>
        <v/>
      </c>
      <c r="X1026">
        <f>IF([2]Baskol!$G$1029="","",[2]Baskol!$G$1029)</f>
        <v/>
      </c>
      <c r="Y1026">
        <f>IF([2]Baskol!$I$1029="","",[2]Baskol!$I$1029)</f>
        <v/>
      </c>
      <c r="Z1026">
        <f>IF([2]Baskol!$J$1029="","",[2]Baskol!$J$1029)</f>
        <v/>
      </c>
      <c r="AA1026">
        <f>IF([2]Baskol!$K$1029="","",[2]Baskol!$K$1029)</f>
        <v/>
      </c>
      <c r="AB1026">
        <f>IF([2]Baskol!$L$1029="","",[2]Baskol!$L$1029)</f>
        <v/>
      </c>
      <c r="AC1026">
        <f>IF([2]Baskol!$N$1029="","",[2]Baskol!$N$1029)</f>
        <v/>
      </c>
      <c r="AD1026">
        <f>IF([2]Baskol!$O$1029="","",[2]Baskol!$O$1029)</f>
        <v/>
      </c>
      <c r="AE1026">
        <f>IF([3]Entry!$C$1029="","",[3]Entry!$C$1029)</f>
        <v/>
      </c>
      <c r="AF1026">
        <f>IF([3]Entry!$D$1029="","",[3]Entry!$D$1029)</f>
        <v/>
      </c>
      <c r="AG1026">
        <f>IF([3]Entry!$E$1029="","",[3]Entry!$E$1029)</f>
        <v/>
      </c>
      <c r="AH1026">
        <f>IF([3]Entry!$G$1029="","",[3]Entry!$G$1029)</f>
        <v/>
      </c>
      <c r="AI1026">
        <f>IF([3]Entry!$K$1029="","",[3]Entry!$K$1029)</f>
        <v/>
      </c>
      <c r="AJ1026">
        <f>IF([3]Entry!$L$1029="","",[3]Entry!$L$1029)</f>
        <v/>
      </c>
      <c r="AK1026">
        <f>IF([3]Entry!$M$1029="","",[3]Entry!$M$1029)</f>
        <v/>
      </c>
      <c r="AL1026">
        <f>IF([3]Entry!$N$1029="","",[3]Entry!$N$1029)</f>
        <v/>
      </c>
      <c r="AM1026">
        <f>IF([3]Entry!$R$1029="","",[3]Entry!$R$1029)</f>
        <v/>
      </c>
    </row>
    <row r="1027">
      <c r="T1027">
        <f>IF([2]Baskol!$B$1030="","",[2]Baskol!$B$1030)</f>
        <v/>
      </c>
      <c r="U1027">
        <f>IF([2]Baskol!$C$1030="","",[2]Baskol!$C$1030)</f>
        <v/>
      </c>
      <c r="V1027">
        <f>IF([2]Baskol!$D$1030="","",[2]Baskol!$D$1030)</f>
        <v/>
      </c>
      <c r="W1027">
        <f>IF([2]Baskol!$E$1030="","",[2]Baskol!$E$1030)</f>
        <v/>
      </c>
      <c r="X1027">
        <f>IF([2]Baskol!$G$1030="","",[2]Baskol!$G$1030)</f>
        <v/>
      </c>
      <c r="Y1027">
        <f>IF([2]Baskol!$I$1030="","",[2]Baskol!$I$1030)</f>
        <v/>
      </c>
      <c r="Z1027">
        <f>IF([2]Baskol!$J$1030="","",[2]Baskol!$J$1030)</f>
        <v/>
      </c>
      <c r="AA1027">
        <f>IF([2]Baskol!$K$1030="","",[2]Baskol!$K$1030)</f>
        <v/>
      </c>
      <c r="AB1027">
        <f>IF([2]Baskol!$L$1030="","",[2]Baskol!$L$1030)</f>
        <v/>
      </c>
      <c r="AC1027">
        <f>IF([2]Baskol!$N$1030="","",[2]Baskol!$N$1030)</f>
        <v/>
      </c>
      <c r="AD1027">
        <f>IF([2]Baskol!$O$1030="","",[2]Baskol!$O$1030)</f>
        <v/>
      </c>
      <c r="AE1027">
        <f>IF([3]Entry!$C$1030="","",[3]Entry!$C$1030)</f>
        <v/>
      </c>
      <c r="AF1027">
        <f>IF([3]Entry!$D$1030="","",[3]Entry!$D$1030)</f>
        <v/>
      </c>
      <c r="AG1027">
        <f>IF([3]Entry!$E$1030="","",[3]Entry!$E$1030)</f>
        <v/>
      </c>
      <c r="AH1027">
        <f>IF([3]Entry!$G$1030="","",[3]Entry!$G$1030)</f>
        <v/>
      </c>
      <c r="AI1027">
        <f>IF([3]Entry!$K$1030="","",[3]Entry!$K$1030)</f>
        <v/>
      </c>
      <c r="AJ1027">
        <f>IF([3]Entry!$L$1030="","",[3]Entry!$L$1030)</f>
        <v/>
      </c>
      <c r="AK1027">
        <f>IF([3]Entry!$M$1030="","",[3]Entry!$M$1030)</f>
        <v/>
      </c>
      <c r="AL1027">
        <f>IF([3]Entry!$N$1030="","",[3]Entry!$N$1030)</f>
        <v/>
      </c>
      <c r="AM1027">
        <f>IF([3]Entry!$R$1030="","",[3]Entry!$R$1030)</f>
        <v/>
      </c>
    </row>
    <row r="1028">
      <c r="T1028">
        <f>IF([2]Baskol!$B$1031="","",[2]Baskol!$B$1031)</f>
        <v/>
      </c>
      <c r="U1028">
        <f>IF([2]Baskol!$C$1031="","",[2]Baskol!$C$1031)</f>
        <v/>
      </c>
      <c r="V1028">
        <f>IF([2]Baskol!$D$1031="","",[2]Baskol!$D$1031)</f>
        <v/>
      </c>
      <c r="W1028">
        <f>IF([2]Baskol!$E$1031="","",[2]Baskol!$E$1031)</f>
        <v/>
      </c>
      <c r="X1028">
        <f>IF([2]Baskol!$G$1031="","",[2]Baskol!$G$1031)</f>
        <v/>
      </c>
      <c r="Y1028">
        <f>IF([2]Baskol!$I$1031="","",[2]Baskol!$I$1031)</f>
        <v/>
      </c>
      <c r="Z1028">
        <f>IF([2]Baskol!$J$1031="","",[2]Baskol!$J$1031)</f>
        <v/>
      </c>
      <c r="AA1028">
        <f>IF([2]Baskol!$K$1031="","",[2]Baskol!$K$1031)</f>
        <v/>
      </c>
      <c r="AB1028">
        <f>IF([2]Baskol!$L$1031="","",[2]Baskol!$L$1031)</f>
        <v/>
      </c>
      <c r="AC1028">
        <f>IF([2]Baskol!$N$1031="","",[2]Baskol!$N$1031)</f>
        <v/>
      </c>
      <c r="AD1028">
        <f>IF([2]Baskol!$O$1031="","",[2]Baskol!$O$1031)</f>
        <v/>
      </c>
      <c r="AE1028">
        <f>IF([3]Entry!$C$1031="","",[3]Entry!$C$1031)</f>
        <v/>
      </c>
      <c r="AF1028">
        <f>IF([3]Entry!$D$1031="","",[3]Entry!$D$1031)</f>
        <v/>
      </c>
      <c r="AG1028">
        <f>IF([3]Entry!$E$1031="","",[3]Entry!$E$1031)</f>
        <v/>
      </c>
      <c r="AH1028">
        <f>IF([3]Entry!$G$1031="","",[3]Entry!$G$1031)</f>
        <v/>
      </c>
      <c r="AI1028">
        <f>IF([3]Entry!$K$1031="","",[3]Entry!$K$1031)</f>
        <v/>
      </c>
      <c r="AJ1028">
        <f>IF([3]Entry!$L$1031="","",[3]Entry!$L$1031)</f>
        <v/>
      </c>
      <c r="AK1028">
        <f>IF([3]Entry!$M$1031="","",[3]Entry!$M$1031)</f>
        <v/>
      </c>
      <c r="AL1028">
        <f>IF([3]Entry!$N$1031="","",[3]Entry!$N$1031)</f>
        <v/>
      </c>
      <c r="AM1028">
        <f>IF([3]Entry!$R$1031="","",[3]Entry!$R$1031)</f>
        <v/>
      </c>
    </row>
    <row r="1029">
      <c r="T1029">
        <f>IF([2]Baskol!$B$1032="","",[2]Baskol!$B$1032)</f>
        <v/>
      </c>
      <c r="U1029">
        <f>IF([2]Baskol!$C$1032="","",[2]Baskol!$C$1032)</f>
        <v/>
      </c>
      <c r="V1029">
        <f>IF([2]Baskol!$D$1032="","",[2]Baskol!$D$1032)</f>
        <v/>
      </c>
      <c r="W1029">
        <f>IF([2]Baskol!$E$1032="","",[2]Baskol!$E$1032)</f>
        <v/>
      </c>
      <c r="X1029">
        <f>IF([2]Baskol!$G$1032="","",[2]Baskol!$G$1032)</f>
        <v/>
      </c>
      <c r="Y1029">
        <f>IF([2]Baskol!$I$1032="","",[2]Baskol!$I$1032)</f>
        <v/>
      </c>
      <c r="Z1029">
        <f>IF([2]Baskol!$J$1032="","",[2]Baskol!$J$1032)</f>
        <v/>
      </c>
      <c r="AA1029">
        <f>IF([2]Baskol!$K$1032="","",[2]Baskol!$K$1032)</f>
        <v/>
      </c>
      <c r="AB1029">
        <f>IF([2]Baskol!$L$1032="","",[2]Baskol!$L$1032)</f>
        <v/>
      </c>
      <c r="AC1029">
        <f>IF([2]Baskol!$N$1032="","",[2]Baskol!$N$1032)</f>
        <v/>
      </c>
      <c r="AD1029">
        <f>IF([2]Baskol!$O$1032="","",[2]Baskol!$O$1032)</f>
        <v/>
      </c>
      <c r="AE1029">
        <f>IF([3]Entry!$C$1032="","",[3]Entry!$C$1032)</f>
        <v/>
      </c>
      <c r="AF1029">
        <f>IF([3]Entry!$D$1032="","",[3]Entry!$D$1032)</f>
        <v/>
      </c>
      <c r="AG1029">
        <f>IF([3]Entry!$E$1032="","",[3]Entry!$E$1032)</f>
        <v/>
      </c>
      <c r="AH1029">
        <f>IF([3]Entry!$G$1032="","",[3]Entry!$G$1032)</f>
        <v/>
      </c>
      <c r="AI1029">
        <f>IF([3]Entry!$K$1032="","",[3]Entry!$K$1032)</f>
        <v/>
      </c>
      <c r="AJ1029">
        <f>IF([3]Entry!$L$1032="","",[3]Entry!$L$1032)</f>
        <v/>
      </c>
      <c r="AK1029">
        <f>IF([3]Entry!$M$1032="","",[3]Entry!$M$1032)</f>
        <v/>
      </c>
      <c r="AL1029">
        <f>IF([3]Entry!$N$1032="","",[3]Entry!$N$1032)</f>
        <v/>
      </c>
      <c r="AM1029">
        <f>IF([3]Entry!$R$1032="","",[3]Entry!$R$1032)</f>
        <v/>
      </c>
    </row>
    <row r="1030">
      <c r="T1030">
        <f>IF([2]Baskol!$B$1033="","",[2]Baskol!$B$1033)</f>
        <v/>
      </c>
      <c r="U1030">
        <f>IF([2]Baskol!$C$1033="","",[2]Baskol!$C$1033)</f>
        <v/>
      </c>
      <c r="V1030">
        <f>IF([2]Baskol!$D$1033="","",[2]Baskol!$D$1033)</f>
        <v/>
      </c>
      <c r="W1030">
        <f>IF([2]Baskol!$E$1033="","",[2]Baskol!$E$1033)</f>
        <v/>
      </c>
      <c r="X1030">
        <f>IF([2]Baskol!$G$1033="","",[2]Baskol!$G$1033)</f>
        <v/>
      </c>
      <c r="Y1030">
        <f>IF([2]Baskol!$I$1033="","",[2]Baskol!$I$1033)</f>
        <v/>
      </c>
      <c r="Z1030">
        <f>IF([2]Baskol!$J$1033="","",[2]Baskol!$J$1033)</f>
        <v/>
      </c>
      <c r="AA1030">
        <f>IF([2]Baskol!$K$1033="","",[2]Baskol!$K$1033)</f>
        <v/>
      </c>
      <c r="AB1030">
        <f>IF([2]Baskol!$L$1033="","",[2]Baskol!$L$1033)</f>
        <v/>
      </c>
      <c r="AC1030">
        <f>IF([2]Baskol!$N$1033="","",[2]Baskol!$N$1033)</f>
        <v/>
      </c>
      <c r="AD1030">
        <f>IF([2]Baskol!$O$1033="","",[2]Baskol!$O$1033)</f>
        <v/>
      </c>
      <c r="AE1030">
        <f>IF([3]Entry!$C$1033="","",[3]Entry!$C$1033)</f>
        <v/>
      </c>
      <c r="AF1030">
        <f>IF([3]Entry!$D$1033="","",[3]Entry!$D$1033)</f>
        <v/>
      </c>
      <c r="AG1030">
        <f>IF([3]Entry!$E$1033="","",[3]Entry!$E$1033)</f>
        <v/>
      </c>
      <c r="AH1030">
        <f>IF([3]Entry!$G$1033="","",[3]Entry!$G$1033)</f>
        <v/>
      </c>
      <c r="AI1030">
        <f>IF([3]Entry!$K$1033="","",[3]Entry!$K$1033)</f>
        <v/>
      </c>
      <c r="AJ1030">
        <f>IF([3]Entry!$L$1033="","",[3]Entry!$L$1033)</f>
        <v/>
      </c>
      <c r="AK1030">
        <f>IF([3]Entry!$M$1033="","",[3]Entry!$M$1033)</f>
        <v/>
      </c>
      <c r="AL1030">
        <f>IF([3]Entry!$N$1033="","",[3]Entry!$N$1033)</f>
        <v/>
      </c>
      <c r="AM1030">
        <f>IF([3]Entry!$R$1033="","",[3]Entry!$R$1033)</f>
        <v/>
      </c>
    </row>
    <row r="1031">
      <c r="T1031">
        <f>IF([2]Baskol!$B$1034="","",[2]Baskol!$B$1034)</f>
        <v/>
      </c>
      <c r="U1031">
        <f>IF([2]Baskol!$C$1034="","",[2]Baskol!$C$1034)</f>
        <v/>
      </c>
      <c r="V1031">
        <f>IF([2]Baskol!$D$1034="","",[2]Baskol!$D$1034)</f>
        <v/>
      </c>
      <c r="W1031">
        <f>IF([2]Baskol!$E$1034="","",[2]Baskol!$E$1034)</f>
        <v/>
      </c>
      <c r="X1031">
        <f>IF([2]Baskol!$G$1034="","",[2]Baskol!$G$1034)</f>
        <v/>
      </c>
      <c r="Y1031">
        <f>IF([2]Baskol!$I$1034="","",[2]Baskol!$I$1034)</f>
        <v/>
      </c>
      <c r="Z1031">
        <f>IF([2]Baskol!$J$1034="","",[2]Baskol!$J$1034)</f>
        <v/>
      </c>
      <c r="AA1031">
        <f>IF([2]Baskol!$K$1034="","",[2]Baskol!$K$1034)</f>
        <v/>
      </c>
      <c r="AB1031">
        <f>IF([2]Baskol!$L$1034="","",[2]Baskol!$L$1034)</f>
        <v/>
      </c>
      <c r="AC1031">
        <f>IF([2]Baskol!$N$1034="","",[2]Baskol!$N$1034)</f>
        <v/>
      </c>
      <c r="AD1031">
        <f>IF([2]Baskol!$O$1034="","",[2]Baskol!$O$1034)</f>
        <v/>
      </c>
      <c r="AE1031">
        <f>IF([3]Entry!$C$1034="","",[3]Entry!$C$1034)</f>
        <v/>
      </c>
      <c r="AF1031">
        <f>IF([3]Entry!$D$1034="","",[3]Entry!$D$1034)</f>
        <v/>
      </c>
      <c r="AG1031">
        <f>IF([3]Entry!$E$1034="","",[3]Entry!$E$1034)</f>
        <v/>
      </c>
      <c r="AH1031">
        <f>IF([3]Entry!$G$1034="","",[3]Entry!$G$1034)</f>
        <v/>
      </c>
      <c r="AI1031">
        <f>IF([3]Entry!$K$1034="","",[3]Entry!$K$1034)</f>
        <v/>
      </c>
      <c r="AJ1031">
        <f>IF([3]Entry!$L$1034="","",[3]Entry!$L$1034)</f>
        <v/>
      </c>
      <c r="AK1031">
        <f>IF([3]Entry!$M$1034="","",[3]Entry!$M$1034)</f>
        <v/>
      </c>
      <c r="AL1031">
        <f>IF([3]Entry!$N$1034="","",[3]Entry!$N$1034)</f>
        <v/>
      </c>
      <c r="AM1031">
        <f>IF([3]Entry!$R$1034="","",[3]Entry!$R$1034)</f>
        <v/>
      </c>
    </row>
    <row r="1032">
      <c r="T1032">
        <f>IF([2]Baskol!$B$1035="","",[2]Baskol!$B$1035)</f>
        <v/>
      </c>
      <c r="U1032">
        <f>IF([2]Baskol!$C$1035="","",[2]Baskol!$C$1035)</f>
        <v/>
      </c>
      <c r="V1032">
        <f>IF([2]Baskol!$D$1035="","",[2]Baskol!$D$1035)</f>
        <v/>
      </c>
      <c r="W1032">
        <f>IF([2]Baskol!$E$1035="","",[2]Baskol!$E$1035)</f>
        <v/>
      </c>
      <c r="X1032">
        <f>IF([2]Baskol!$G$1035="","",[2]Baskol!$G$1035)</f>
        <v/>
      </c>
      <c r="Y1032">
        <f>IF([2]Baskol!$I$1035="","",[2]Baskol!$I$1035)</f>
        <v/>
      </c>
      <c r="Z1032">
        <f>IF([2]Baskol!$J$1035="","",[2]Baskol!$J$1035)</f>
        <v/>
      </c>
      <c r="AA1032">
        <f>IF([2]Baskol!$K$1035="","",[2]Baskol!$K$1035)</f>
        <v/>
      </c>
      <c r="AB1032">
        <f>IF([2]Baskol!$L$1035="","",[2]Baskol!$L$1035)</f>
        <v/>
      </c>
      <c r="AC1032">
        <f>IF([2]Baskol!$N$1035="","",[2]Baskol!$N$1035)</f>
        <v/>
      </c>
      <c r="AD1032">
        <f>IF([2]Baskol!$O$1035="","",[2]Baskol!$O$1035)</f>
        <v/>
      </c>
      <c r="AE1032">
        <f>IF([3]Entry!$C$1035="","",[3]Entry!$C$1035)</f>
        <v/>
      </c>
      <c r="AF1032">
        <f>IF([3]Entry!$D$1035="","",[3]Entry!$D$1035)</f>
        <v/>
      </c>
      <c r="AG1032">
        <f>IF([3]Entry!$E$1035="","",[3]Entry!$E$1035)</f>
        <v/>
      </c>
      <c r="AH1032">
        <f>IF([3]Entry!$G$1035="","",[3]Entry!$G$1035)</f>
        <v/>
      </c>
      <c r="AI1032">
        <f>IF([3]Entry!$K$1035="","",[3]Entry!$K$1035)</f>
        <v/>
      </c>
      <c r="AJ1032">
        <f>IF([3]Entry!$L$1035="","",[3]Entry!$L$1035)</f>
        <v/>
      </c>
      <c r="AK1032">
        <f>IF([3]Entry!$M$1035="","",[3]Entry!$M$1035)</f>
        <v/>
      </c>
      <c r="AL1032">
        <f>IF([3]Entry!$N$1035="","",[3]Entry!$N$1035)</f>
        <v/>
      </c>
      <c r="AM1032">
        <f>IF([3]Entry!$R$1035="","",[3]Entry!$R$1035)</f>
        <v/>
      </c>
    </row>
    <row r="1033">
      <c r="T1033">
        <f>IF([2]Baskol!$B$1036="","",[2]Baskol!$B$1036)</f>
        <v/>
      </c>
      <c r="U1033">
        <f>IF([2]Baskol!$C$1036="","",[2]Baskol!$C$1036)</f>
        <v/>
      </c>
      <c r="V1033">
        <f>IF([2]Baskol!$D$1036="","",[2]Baskol!$D$1036)</f>
        <v/>
      </c>
      <c r="W1033">
        <f>IF([2]Baskol!$E$1036="","",[2]Baskol!$E$1036)</f>
        <v/>
      </c>
      <c r="X1033">
        <f>IF([2]Baskol!$G$1036="","",[2]Baskol!$G$1036)</f>
        <v/>
      </c>
      <c r="Y1033">
        <f>IF([2]Baskol!$I$1036="","",[2]Baskol!$I$1036)</f>
        <v/>
      </c>
      <c r="Z1033">
        <f>IF([2]Baskol!$J$1036="","",[2]Baskol!$J$1036)</f>
        <v/>
      </c>
      <c r="AA1033">
        <f>IF([2]Baskol!$K$1036="","",[2]Baskol!$K$1036)</f>
        <v/>
      </c>
      <c r="AB1033">
        <f>IF([2]Baskol!$L$1036="","",[2]Baskol!$L$1036)</f>
        <v/>
      </c>
      <c r="AC1033">
        <f>IF([2]Baskol!$N$1036="","",[2]Baskol!$N$1036)</f>
        <v/>
      </c>
      <c r="AD1033">
        <f>IF([2]Baskol!$O$1036="","",[2]Baskol!$O$1036)</f>
        <v/>
      </c>
      <c r="AE1033">
        <f>IF([3]Entry!$C$1036="","",[3]Entry!$C$1036)</f>
        <v/>
      </c>
      <c r="AF1033">
        <f>IF([3]Entry!$D$1036="","",[3]Entry!$D$1036)</f>
        <v/>
      </c>
      <c r="AG1033">
        <f>IF([3]Entry!$E$1036="","",[3]Entry!$E$1036)</f>
        <v/>
      </c>
      <c r="AH1033">
        <f>IF([3]Entry!$G$1036="","",[3]Entry!$G$1036)</f>
        <v/>
      </c>
      <c r="AI1033">
        <f>IF([3]Entry!$K$1036="","",[3]Entry!$K$1036)</f>
        <v/>
      </c>
      <c r="AJ1033">
        <f>IF([3]Entry!$L$1036="","",[3]Entry!$L$1036)</f>
        <v/>
      </c>
      <c r="AK1033">
        <f>IF([3]Entry!$M$1036="","",[3]Entry!$M$1036)</f>
        <v/>
      </c>
      <c r="AL1033">
        <f>IF([3]Entry!$N$1036="","",[3]Entry!$N$1036)</f>
        <v/>
      </c>
      <c r="AM1033">
        <f>IF([3]Entry!$R$1036="","",[3]Entry!$R$1036)</f>
        <v/>
      </c>
    </row>
    <row r="1034">
      <c r="T1034">
        <f>IF([2]Baskol!$B$1037="","",[2]Baskol!$B$1037)</f>
        <v/>
      </c>
      <c r="U1034">
        <f>IF([2]Baskol!$C$1037="","",[2]Baskol!$C$1037)</f>
        <v/>
      </c>
      <c r="V1034">
        <f>IF([2]Baskol!$D$1037="","",[2]Baskol!$D$1037)</f>
        <v/>
      </c>
      <c r="W1034">
        <f>IF([2]Baskol!$E$1037="","",[2]Baskol!$E$1037)</f>
        <v/>
      </c>
      <c r="X1034">
        <f>IF([2]Baskol!$G$1037="","",[2]Baskol!$G$1037)</f>
        <v/>
      </c>
      <c r="Y1034">
        <f>IF([2]Baskol!$I$1037="","",[2]Baskol!$I$1037)</f>
        <v/>
      </c>
      <c r="Z1034">
        <f>IF([2]Baskol!$J$1037="","",[2]Baskol!$J$1037)</f>
        <v/>
      </c>
      <c r="AA1034">
        <f>IF([2]Baskol!$K$1037="","",[2]Baskol!$K$1037)</f>
        <v/>
      </c>
      <c r="AB1034">
        <f>IF([2]Baskol!$L$1037="","",[2]Baskol!$L$1037)</f>
        <v/>
      </c>
      <c r="AC1034">
        <f>IF([2]Baskol!$N$1037="","",[2]Baskol!$N$1037)</f>
        <v/>
      </c>
      <c r="AD1034">
        <f>IF([2]Baskol!$O$1037="","",[2]Baskol!$O$1037)</f>
        <v/>
      </c>
      <c r="AE1034">
        <f>IF([3]Entry!$C$1037="","",[3]Entry!$C$1037)</f>
        <v/>
      </c>
      <c r="AF1034">
        <f>IF([3]Entry!$D$1037="","",[3]Entry!$D$1037)</f>
        <v/>
      </c>
      <c r="AG1034">
        <f>IF([3]Entry!$E$1037="","",[3]Entry!$E$1037)</f>
        <v/>
      </c>
      <c r="AH1034">
        <f>IF([3]Entry!$G$1037="","",[3]Entry!$G$1037)</f>
        <v/>
      </c>
      <c r="AI1034">
        <f>IF([3]Entry!$K$1037="","",[3]Entry!$K$1037)</f>
        <v/>
      </c>
      <c r="AJ1034">
        <f>IF([3]Entry!$L$1037="","",[3]Entry!$L$1037)</f>
        <v/>
      </c>
      <c r="AK1034">
        <f>IF([3]Entry!$M$1037="","",[3]Entry!$M$1037)</f>
        <v/>
      </c>
      <c r="AL1034">
        <f>IF([3]Entry!$N$1037="","",[3]Entry!$N$1037)</f>
        <v/>
      </c>
      <c r="AM1034">
        <f>IF([3]Entry!$R$1037="","",[3]Entry!$R$1037)</f>
        <v/>
      </c>
    </row>
    <row r="1035">
      <c r="T1035">
        <f>IF([2]Baskol!$B$1038="","",[2]Baskol!$B$1038)</f>
        <v/>
      </c>
      <c r="U1035">
        <f>IF([2]Baskol!$C$1038="","",[2]Baskol!$C$1038)</f>
        <v/>
      </c>
      <c r="V1035">
        <f>IF([2]Baskol!$D$1038="","",[2]Baskol!$D$1038)</f>
        <v/>
      </c>
      <c r="W1035">
        <f>IF([2]Baskol!$E$1038="","",[2]Baskol!$E$1038)</f>
        <v/>
      </c>
      <c r="X1035">
        <f>IF([2]Baskol!$G$1038="","",[2]Baskol!$G$1038)</f>
        <v/>
      </c>
      <c r="Y1035">
        <f>IF([2]Baskol!$I$1038="","",[2]Baskol!$I$1038)</f>
        <v/>
      </c>
      <c r="Z1035">
        <f>IF([2]Baskol!$J$1038="","",[2]Baskol!$J$1038)</f>
        <v/>
      </c>
      <c r="AA1035">
        <f>IF([2]Baskol!$K$1038="","",[2]Baskol!$K$1038)</f>
        <v/>
      </c>
      <c r="AB1035">
        <f>IF([2]Baskol!$L$1038="","",[2]Baskol!$L$1038)</f>
        <v/>
      </c>
      <c r="AC1035">
        <f>IF([2]Baskol!$N$1038="","",[2]Baskol!$N$1038)</f>
        <v/>
      </c>
      <c r="AD1035">
        <f>IF([2]Baskol!$O$1038="","",[2]Baskol!$O$1038)</f>
        <v/>
      </c>
      <c r="AE1035">
        <f>IF([3]Entry!$C$1038="","",[3]Entry!$C$1038)</f>
        <v/>
      </c>
      <c r="AF1035">
        <f>IF([3]Entry!$D$1038="","",[3]Entry!$D$1038)</f>
        <v/>
      </c>
      <c r="AG1035">
        <f>IF([3]Entry!$E$1038="","",[3]Entry!$E$1038)</f>
        <v/>
      </c>
      <c r="AH1035">
        <f>IF([3]Entry!$G$1038="","",[3]Entry!$G$1038)</f>
        <v/>
      </c>
      <c r="AI1035">
        <f>IF([3]Entry!$K$1038="","",[3]Entry!$K$1038)</f>
        <v/>
      </c>
      <c r="AJ1035">
        <f>IF([3]Entry!$L$1038="","",[3]Entry!$L$1038)</f>
        <v/>
      </c>
      <c r="AK1035">
        <f>IF([3]Entry!$M$1038="","",[3]Entry!$M$1038)</f>
        <v/>
      </c>
      <c r="AL1035">
        <f>IF([3]Entry!$N$1038="","",[3]Entry!$N$1038)</f>
        <v/>
      </c>
      <c r="AM1035">
        <f>IF([3]Entry!$R$1038="","",[3]Entry!$R$1038)</f>
        <v/>
      </c>
    </row>
    <row r="1036">
      <c r="T1036">
        <f>IF([2]Baskol!$B$1039="","",[2]Baskol!$B$1039)</f>
        <v/>
      </c>
      <c r="U1036">
        <f>IF([2]Baskol!$C$1039="","",[2]Baskol!$C$1039)</f>
        <v/>
      </c>
      <c r="V1036">
        <f>IF([2]Baskol!$D$1039="","",[2]Baskol!$D$1039)</f>
        <v/>
      </c>
      <c r="W1036">
        <f>IF([2]Baskol!$E$1039="","",[2]Baskol!$E$1039)</f>
        <v/>
      </c>
      <c r="X1036">
        <f>IF([2]Baskol!$G$1039="","",[2]Baskol!$G$1039)</f>
        <v/>
      </c>
      <c r="Y1036">
        <f>IF([2]Baskol!$I$1039="","",[2]Baskol!$I$1039)</f>
        <v/>
      </c>
      <c r="Z1036">
        <f>IF([2]Baskol!$J$1039="","",[2]Baskol!$J$1039)</f>
        <v/>
      </c>
      <c r="AA1036">
        <f>IF([2]Baskol!$K$1039="","",[2]Baskol!$K$1039)</f>
        <v/>
      </c>
      <c r="AB1036">
        <f>IF([2]Baskol!$L$1039="","",[2]Baskol!$L$1039)</f>
        <v/>
      </c>
      <c r="AC1036">
        <f>IF([2]Baskol!$N$1039="","",[2]Baskol!$N$1039)</f>
        <v/>
      </c>
      <c r="AD1036">
        <f>IF([2]Baskol!$O$1039="","",[2]Baskol!$O$1039)</f>
        <v/>
      </c>
      <c r="AE1036">
        <f>IF([3]Entry!$C$1039="","",[3]Entry!$C$1039)</f>
        <v/>
      </c>
      <c r="AF1036">
        <f>IF([3]Entry!$D$1039="","",[3]Entry!$D$1039)</f>
        <v/>
      </c>
      <c r="AG1036">
        <f>IF([3]Entry!$E$1039="","",[3]Entry!$E$1039)</f>
        <v/>
      </c>
      <c r="AH1036">
        <f>IF([3]Entry!$G$1039="","",[3]Entry!$G$1039)</f>
        <v/>
      </c>
      <c r="AI1036">
        <f>IF([3]Entry!$K$1039="","",[3]Entry!$K$1039)</f>
        <v/>
      </c>
      <c r="AJ1036">
        <f>IF([3]Entry!$L$1039="","",[3]Entry!$L$1039)</f>
        <v/>
      </c>
      <c r="AK1036">
        <f>IF([3]Entry!$M$1039="","",[3]Entry!$M$1039)</f>
        <v/>
      </c>
      <c r="AL1036">
        <f>IF([3]Entry!$N$1039="","",[3]Entry!$N$1039)</f>
        <v/>
      </c>
      <c r="AM1036">
        <f>IF([3]Entry!$R$1039="","",[3]Entry!$R$1039)</f>
        <v/>
      </c>
    </row>
    <row r="1037">
      <c r="T1037">
        <f>IF([2]Baskol!$B$1040="","",[2]Baskol!$B$1040)</f>
        <v/>
      </c>
      <c r="U1037">
        <f>IF([2]Baskol!$C$1040="","",[2]Baskol!$C$1040)</f>
        <v/>
      </c>
      <c r="V1037">
        <f>IF([2]Baskol!$D$1040="","",[2]Baskol!$D$1040)</f>
        <v/>
      </c>
      <c r="W1037">
        <f>IF([2]Baskol!$E$1040="","",[2]Baskol!$E$1040)</f>
        <v/>
      </c>
      <c r="X1037">
        <f>IF([2]Baskol!$G$1040="","",[2]Baskol!$G$1040)</f>
        <v/>
      </c>
      <c r="Y1037">
        <f>IF([2]Baskol!$I$1040="","",[2]Baskol!$I$1040)</f>
        <v/>
      </c>
      <c r="Z1037">
        <f>IF([2]Baskol!$J$1040="","",[2]Baskol!$J$1040)</f>
        <v/>
      </c>
      <c r="AA1037">
        <f>IF([2]Baskol!$K$1040="","",[2]Baskol!$K$1040)</f>
        <v/>
      </c>
      <c r="AB1037">
        <f>IF([2]Baskol!$L$1040="","",[2]Baskol!$L$1040)</f>
        <v/>
      </c>
      <c r="AC1037">
        <f>IF([2]Baskol!$N$1040="","",[2]Baskol!$N$1040)</f>
        <v/>
      </c>
      <c r="AD1037">
        <f>IF([2]Baskol!$O$1040="","",[2]Baskol!$O$1040)</f>
        <v/>
      </c>
      <c r="AE1037">
        <f>IF([3]Entry!$C$1040="","",[3]Entry!$C$1040)</f>
        <v/>
      </c>
      <c r="AF1037">
        <f>IF([3]Entry!$D$1040="","",[3]Entry!$D$1040)</f>
        <v/>
      </c>
      <c r="AG1037">
        <f>IF([3]Entry!$E$1040="","",[3]Entry!$E$1040)</f>
        <v/>
      </c>
      <c r="AH1037">
        <f>IF([3]Entry!$G$1040="","",[3]Entry!$G$1040)</f>
        <v/>
      </c>
      <c r="AI1037">
        <f>IF([3]Entry!$K$1040="","",[3]Entry!$K$1040)</f>
        <v/>
      </c>
      <c r="AJ1037">
        <f>IF([3]Entry!$L$1040="","",[3]Entry!$L$1040)</f>
        <v/>
      </c>
      <c r="AK1037">
        <f>IF([3]Entry!$M$1040="","",[3]Entry!$M$1040)</f>
        <v/>
      </c>
      <c r="AL1037">
        <f>IF([3]Entry!$N$1040="","",[3]Entry!$N$1040)</f>
        <v/>
      </c>
      <c r="AM1037">
        <f>IF([3]Entry!$R$1040="","",[3]Entry!$R$1040)</f>
        <v/>
      </c>
    </row>
    <row r="1038">
      <c r="T1038">
        <f>IF([2]Baskol!$B$1041="","",[2]Baskol!$B$1041)</f>
        <v/>
      </c>
      <c r="U1038">
        <f>IF([2]Baskol!$C$1041="","",[2]Baskol!$C$1041)</f>
        <v/>
      </c>
      <c r="V1038">
        <f>IF([2]Baskol!$D$1041="","",[2]Baskol!$D$1041)</f>
        <v/>
      </c>
      <c r="W1038">
        <f>IF([2]Baskol!$E$1041="","",[2]Baskol!$E$1041)</f>
        <v/>
      </c>
      <c r="X1038">
        <f>IF([2]Baskol!$G$1041="","",[2]Baskol!$G$1041)</f>
        <v/>
      </c>
      <c r="Y1038">
        <f>IF([2]Baskol!$I$1041="","",[2]Baskol!$I$1041)</f>
        <v/>
      </c>
      <c r="Z1038">
        <f>IF([2]Baskol!$J$1041="","",[2]Baskol!$J$1041)</f>
        <v/>
      </c>
      <c r="AA1038">
        <f>IF([2]Baskol!$K$1041="","",[2]Baskol!$K$1041)</f>
        <v/>
      </c>
      <c r="AB1038">
        <f>IF([2]Baskol!$L$1041="","",[2]Baskol!$L$1041)</f>
        <v/>
      </c>
      <c r="AC1038">
        <f>IF([2]Baskol!$N$1041="","",[2]Baskol!$N$1041)</f>
        <v/>
      </c>
      <c r="AD1038">
        <f>IF([2]Baskol!$O$1041="","",[2]Baskol!$O$1041)</f>
        <v/>
      </c>
      <c r="AE1038">
        <f>IF([3]Entry!$C$1041="","",[3]Entry!$C$1041)</f>
        <v/>
      </c>
      <c r="AF1038">
        <f>IF([3]Entry!$D$1041="","",[3]Entry!$D$1041)</f>
        <v/>
      </c>
      <c r="AG1038">
        <f>IF([3]Entry!$E$1041="","",[3]Entry!$E$1041)</f>
        <v/>
      </c>
      <c r="AH1038">
        <f>IF([3]Entry!$G$1041="","",[3]Entry!$G$1041)</f>
        <v/>
      </c>
      <c r="AI1038">
        <f>IF([3]Entry!$K$1041="","",[3]Entry!$K$1041)</f>
        <v/>
      </c>
      <c r="AJ1038">
        <f>IF([3]Entry!$L$1041="","",[3]Entry!$L$1041)</f>
        <v/>
      </c>
      <c r="AK1038">
        <f>IF([3]Entry!$M$1041="","",[3]Entry!$M$1041)</f>
        <v/>
      </c>
      <c r="AL1038">
        <f>IF([3]Entry!$N$1041="","",[3]Entry!$N$1041)</f>
        <v/>
      </c>
      <c r="AM1038">
        <f>IF([3]Entry!$R$1041="","",[3]Entry!$R$1041)</f>
        <v/>
      </c>
    </row>
    <row r="1039">
      <c r="T1039">
        <f>IF([2]Baskol!$B$1042="","",[2]Baskol!$B$1042)</f>
        <v/>
      </c>
      <c r="U1039">
        <f>IF([2]Baskol!$C$1042="","",[2]Baskol!$C$1042)</f>
        <v/>
      </c>
      <c r="V1039">
        <f>IF([2]Baskol!$D$1042="","",[2]Baskol!$D$1042)</f>
        <v/>
      </c>
      <c r="W1039">
        <f>IF([2]Baskol!$E$1042="","",[2]Baskol!$E$1042)</f>
        <v/>
      </c>
      <c r="X1039">
        <f>IF([2]Baskol!$G$1042="","",[2]Baskol!$G$1042)</f>
        <v/>
      </c>
      <c r="Y1039">
        <f>IF([2]Baskol!$I$1042="","",[2]Baskol!$I$1042)</f>
        <v/>
      </c>
      <c r="Z1039">
        <f>IF([2]Baskol!$J$1042="","",[2]Baskol!$J$1042)</f>
        <v/>
      </c>
      <c r="AA1039">
        <f>IF([2]Baskol!$K$1042="","",[2]Baskol!$K$1042)</f>
        <v/>
      </c>
      <c r="AB1039">
        <f>IF([2]Baskol!$L$1042="","",[2]Baskol!$L$1042)</f>
        <v/>
      </c>
      <c r="AC1039">
        <f>IF([2]Baskol!$N$1042="","",[2]Baskol!$N$1042)</f>
        <v/>
      </c>
      <c r="AD1039">
        <f>IF([2]Baskol!$O$1042="","",[2]Baskol!$O$1042)</f>
        <v/>
      </c>
      <c r="AE1039">
        <f>IF([3]Entry!$C$1042="","",[3]Entry!$C$1042)</f>
        <v/>
      </c>
      <c r="AF1039">
        <f>IF([3]Entry!$D$1042="","",[3]Entry!$D$1042)</f>
        <v/>
      </c>
      <c r="AG1039">
        <f>IF([3]Entry!$E$1042="","",[3]Entry!$E$1042)</f>
        <v/>
      </c>
      <c r="AH1039">
        <f>IF([3]Entry!$G$1042="","",[3]Entry!$G$1042)</f>
        <v/>
      </c>
      <c r="AI1039">
        <f>IF([3]Entry!$K$1042="","",[3]Entry!$K$1042)</f>
        <v/>
      </c>
      <c r="AJ1039">
        <f>IF([3]Entry!$L$1042="","",[3]Entry!$L$1042)</f>
        <v/>
      </c>
      <c r="AK1039">
        <f>IF([3]Entry!$M$1042="","",[3]Entry!$M$1042)</f>
        <v/>
      </c>
      <c r="AL1039">
        <f>IF([3]Entry!$N$1042="","",[3]Entry!$N$1042)</f>
        <v/>
      </c>
      <c r="AM1039">
        <f>IF([3]Entry!$R$1042="","",[3]Entry!$R$1042)</f>
        <v/>
      </c>
    </row>
    <row r="1040">
      <c r="T1040">
        <f>IF([2]Baskol!$B$1043="","",[2]Baskol!$B$1043)</f>
        <v/>
      </c>
      <c r="U1040">
        <f>IF([2]Baskol!$C$1043="","",[2]Baskol!$C$1043)</f>
        <v/>
      </c>
      <c r="V1040">
        <f>IF([2]Baskol!$D$1043="","",[2]Baskol!$D$1043)</f>
        <v/>
      </c>
      <c r="W1040">
        <f>IF([2]Baskol!$E$1043="","",[2]Baskol!$E$1043)</f>
        <v/>
      </c>
      <c r="X1040">
        <f>IF([2]Baskol!$G$1043="","",[2]Baskol!$G$1043)</f>
        <v/>
      </c>
      <c r="Y1040">
        <f>IF([2]Baskol!$I$1043="","",[2]Baskol!$I$1043)</f>
        <v/>
      </c>
      <c r="Z1040">
        <f>IF([2]Baskol!$J$1043="","",[2]Baskol!$J$1043)</f>
        <v/>
      </c>
      <c r="AA1040">
        <f>IF([2]Baskol!$K$1043="","",[2]Baskol!$K$1043)</f>
        <v/>
      </c>
      <c r="AB1040">
        <f>IF([2]Baskol!$L$1043="","",[2]Baskol!$L$1043)</f>
        <v/>
      </c>
      <c r="AC1040">
        <f>IF([2]Baskol!$N$1043="","",[2]Baskol!$N$1043)</f>
        <v/>
      </c>
      <c r="AD1040">
        <f>IF([2]Baskol!$O$1043="","",[2]Baskol!$O$1043)</f>
        <v/>
      </c>
      <c r="AE1040">
        <f>IF([3]Entry!$C$1043="","",[3]Entry!$C$1043)</f>
        <v/>
      </c>
      <c r="AF1040">
        <f>IF([3]Entry!$D$1043="","",[3]Entry!$D$1043)</f>
        <v/>
      </c>
      <c r="AG1040">
        <f>IF([3]Entry!$E$1043="","",[3]Entry!$E$1043)</f>
        <v/>
      </c>
      <c r="AH1040">
        <f>IF([3]Entry!$G$1043="","",[3]Entry!$G$1043)</f>
        <v/>
      </c>
      <c r="AI1040">
        <f>IF([3]Entry!$K$1043="","",[3]Entry!$K$1043)</f>
        <v/>
      </c>
      <c r="AJ1040">
        <f>IF([3]Entry!$L$1043="","",[3]Entry!$L$1043)</f>
        <v/>
      </c>
      <c r="AK1040">
        <f>IF([3]Entry!$M$1043="","",[3]Entry!$M$1043)</f>
        <v/>
      </c>
      <c r="AL1040">
        <f>IF([3]Entry!$N$1043="","",[3]Entry!$N$1043)</f>
        <v/>
      </c>
      <c r="AM1040">
        <f>IF([3]Entry!$R$1043="","",[3]Entry!$R$1043)</f>
        <v/>
      </c>
    </row>
    <row r="1041">
      <c r="T1041">
        <f>IF([2]Baskol!$B$1044="","",[2]Baskol!$B$1044)</f>
        <v/>
      </c>
      <c r="U1041">
        <f>IF([2]Baskol!$C$1044="","",[2]Baskol!$C$1044)</f>
        <v/>
      </c>
      <c r="V1041">
        <f>IF([2]Baskol!$D$1044="","",[2]Baskol!$D$1044)</f>
        <v/>
      </c>
      <c r="W1041">
        <f>IF([2]Baskol!$E$1044="","",[2]Baskol!$E$1044)</f>
        <v/>
      </c>
      <c r="X1041">
        <f>IF([2]Baskol!$G$1044="","",[2]Baskol!$G$1044)</f>
        <v/>
      </c>
      <c r="Y1041">
        <f>IF([2]Baskol!$I$1044="","",[2]Baskol!$I$1044)</f>
        <v/>
      </c>
      <c r="Z1041">
        <f>IF([2]Baskol!$J$1044="","",[2]Baskol!$J$1044)</f>
        <v/>
      </c>
      <c r="AA1041">
        <f>IF([2]Baskol!$K$1044="","",[2]Baskol!$K$1044)</f>
        <v/>
      </c>
      <c r="AB1041">
        <f>IF([2]Baskol!$L$1044="","",[2]Baskol!$L$1044)</f>
        <v/>
      </c>
      <c r="AC1041">
        <f>IF([2]Baskol!$N$1044="","",[2]Baskol!$N$1044)</f>
        <v/>
      </c>
      <c r="AD1041">
        <f>IF([2]Baskol!$O$1044="","",[2]Baskol!$O$1044)</f>
        <v/>
      </c>
      <c r="AE1041">
        <f>IF([3]Entry!$C$1044="","",[3]Entry!$C$1044)</f>
        <v/>
      </c>
      <c r="AF1041">
        <f>IF([3]Entry!$D$1044="","",[3]Entry!$D$1044)</f>
        <v/>
      </c>
      <c r="AG1041">
        <f>IF([3]Entry!$E$1044="","",[3]Entry!$E$1044)</f>
        <v/>
      </c>
      <c r="AH1041">
        <f>IF([3]Entry!$G$1044="","",[3]Entry!$G$1044)</f>
        <v/>
      </c>
      <c r="AI1041">
        <f>IF([3]Entry!$K$1044="","",[3]Entry!$K$1044)</f>
        <v/>
      </c>
      <c r="AJ1041">
        <f>IF([3]Entry!$L$1044="","",[3]Entry!$L$1044)</f>
        <v/>
      </c>
      <c r="AK1041">
        <f>IF([3]Entry!$M$1044="","",[3]Entry!$M$1044)</f>
        <v/>
      </c>
      <c r="AL1041">
        <f>IF([3]Entry!$N$1044="","",[3]Entry!$N$1044)</f>
        <v/>
      </c>
      <c r="AM1041">
        <f>IF([3]Entry!$R$1044="","",[3]Entry!$R$1044)</f>
        <v/>
      </c>
    </row>
    <row r="1042">
      <c r="T1042">
        <f>IF([2]Baskol!$B$1045="","",[2]Baskol!$B$1045)</f>
        <v/>
      </c>
      <c r="U1042">
        <f>IF([2]Baskol!$C$1045="","",[2]Baskol!$C$1045)</f>
        <v/>
      </c>
      <c r="V1042">
        <f>IF([2]Baskol!$D$1045="","",[2]Baskol!$D$1045)</f>
        <v/>
      </c>
      <c r="W1042">
        <f>IF([2]Baskol!$E$1045="","",[2]Baskol!$E$1045)</f>
        <v/>
      </c>
      <c r="X1042">
        <f>IF([2]Baskol!$G$1045="","",[2]Baskol!$G$1045)</f>
        <v/>
      </c>
      <c r="Y1042">
        <f>IF([2]Baskol!$I$1045="","",[2]Baskol!$I$1045)</f>
        <v/>
      </c>
      <c r="Z1042">
        <f>IF([2]Baskol!$J$1045="","",[2]Baskol!$J$1045)</f>
        <v/>
      </c>
      <c r="AA1042">
        <f>IF([2]Baskol!$K$1045="","",[2]Baskol!$K$1045)</f>
        <v/>
      </c>
      <c r="AB1042">
        <f>IF([2]Baskol!$L$1045="","",[2]Baskol!$L$1045)</f>
        <v/>
      </c>
      <c r="AC1042">
        <f>IF([2]Baskol!$N$1045="","",[2]Baskol!$N$1045)</f>
        <v/>
      </c>
      <c r="AD1042">
        <f>IF([2]Baskol!$O$1045="","",[2]Baskol!$O$1045)</f>
        <v/>
      </c>
      <c r="AE1042">
        <f>IF([3]Entry!$C$1045="","",[3]Entry!$C$1045)</f>
        <v/>
      </c>
      <c r="AF1042">
        <f>IF([3]Entry!$D$1045="","",[3]Entry!$D$1045)</f>
        <v/>
      </c>
      <c r="AG1042">
        <f>IF([3]Entry!$E$1045="","",[3]Entry!$E$1045)</f>
        <v/>
      </c>
      <c r="AH1042">
        <f>IF([3]Entry!$G$1045="","",[3]Entry!$G$1045)</f>
        <v/>
      </c>
      <c r="AI1042">
        <f>IF([3]Entry!$K$1045="","",[3]Entry!$K$1045)</f>
        <v/>
      </c>
      <c r="AJ1042">
        <f>IF([3]Entry!$L$1045="","",[3]Entry!$L$1045)</f>
        <v/>
      </c>
      <c r="AK1042">
        <f>IF([3]Entry!$M$1045="","",[3]Entry!$M$1045)</f>
        <v/>
      </c>
      <c r="AL1042">
        <f>IF([3]Entry!$N$1045="","",[3]Entry!$N$1045)</f>
        <v/>
      </c>
      <c r="AM1042">
        <f>IF([3]Entry!$R$1045="","",[3]Entry!$R$1045)</f>
        <v/>
      </c>
    </row>
    <row r="1043">
      <c r="T1043">
        <f>IF([2]Baskol!$B$1046="","",[2]Baskol!$B$1046)</f>
        <v/>
      </c>
      <c r="U1043">
        <f>IF([2]Baskol!$C$1046="","",[2]Baskol!$C$1046)</f>
        <v/>
      </c>
      <c r="V1043">
        <f>IF([2]Baskol!$D$1046="","",[2]Baskol!$D$1046)</f>
        <v/>
      </c>
      <c r="W1043">
        <f>IF([2]Baskol!$E$1046="","",[2]Baskol!$E$1046)</f>
        <v/>
      </c>
      <c r="X1043">
        <f>IF([2]Baskol!$G$1046="","",[2]Baskol!$G$1046)</f>
        <v/>
      </c>
      <c r="Y1043">
        <f>IF([2]Baskol!$I$1046="","",[2]Baskol!$I$1046)</f>
        <v/>
      </c>
      <c r="Z1043">
        <f>IF([2]Baskol!$J$1046="","",[2]Baskol!$J$1046)</f>
        <v/>
      </c>
      <c r="AA1043">
        <f>IF([2]Baskol!$K$1046="","",[2]Baskol!$K$1046)</f>
        <v/>
      </c>
      <c r="AB1043">
        <f>IF([2]Baskol!$L$1046="","",[2]Baskol!$L$1046)</f>
        <v/>
      </c>
      <c r="AC1043">
        <f>IF([2]Baskol!$N$1046="","",[2]Baskol!$N$1046)</f>
        <v/>
      </c>
      <c r="AD1043">
        <f>IF([2]Baskol!$O$1046="","",[2]Baskol!$O$1046)</f>
        <v/>
      </c>
      <c r="AE1043">
        <f>IF([3]Entry!$C$1046="","",[3]Entry!$C$1046)</f>
        <v/>
      </c>
      <c r="AF1043">
        <f>IF([3]Entry!$D$1046="","",[3]Entry!$D$1046)</f>
        <v/>
      </c>
      <c r="AG1043">
        <f>IF([3]Entry!$E$1046="","",[3]Entry!$E$1046)</f>
        <v/>
      </c>
      <c r="AH1043">
        <f>IF([3]Entry!$G$1046="","",[3]Entry!$G$1046)</f>
        <v/>
      </c>
      <c r="AI1043">
        <f>IF([3]Entry!$K$1046="","",[3]Entry!$K$1046)</f>
        <v/>
      </c>
      <c r="AJ1043">
        <f>IF([3]Entry!$L$1046="","",[3]Entry!$L$1046)</f>
        <v/>
      </c>
      <c r="AK1043">
        <f>IF([3]Entry!$M$1046="","",[3]Entry!$M$1046)</f>
        <v/>
      </c>
      <c r="AL1043">
        <f>IF([3]Entry!$N$1046="","",[3]Entry!$N$1046)</f>
        <v/>
      </c>
      <c r="AM1043">
        <f>IF([3]Entry!$R$1046="","",[3]Entry!$R$1046)</f>
        <v/>
      </c>
    </row>
    <row r="1044">
      <c r="T1044">
        <f>IF([2]Baskol!$B$1047="","",[2]Baskol!$B$1047)</f>
        <v/>
      </c>
      <c r="U1044">
        <f>IF([2]Baskol!$C$1047="","",[2]Baskol!$C$1047)</f>
        <v/>
      </c>
      <c r="V1044">
        <f>IF([2]Baskol!$D$1047="","",[2]Baskol!$D$1047)</f>
        <v/>
      </c>
      <c r="W1044">
        <f>IF([2]Baskol!$E$1047="","",[2]Baskol!$E$1047)</f>
        <v/>
      </c>
      <c r="X1044">
        <f>IF([2]Baskol!$G$1047="","",[2]Baskol!$G$1047)</f>
        <v/>
      </c>
      <c r="Y1044">
        <f>IF([2]Baskol!$I$1047="","",[2]Baskol!$I$1047)</f>
        <v/>
      </c>
      <c r="Z1044">
        <f>IF([2]Baskol!$J$1047="","",[2]Baskol!$J$1047)</f>
        <v/>
      </c>
      <c r="AA1044">
        <f>IF([2]Baskol!$K$1047="","",[2]Baskol!$K$1047)</f>
        <v/>
      </c>
      <c r="AB1044">
        <f>IF([2]Baskol!$L$1047="","",[2]Baskol!$L$1047)</f>
        <v/>
      </c>
      <c r="AC1044">
        <f>IF([2]Baskol!$N$1047="","",[2]Baskol!$N$1047)</f>
        <v/>
      </c>
      <c r="AD1044">
        <f>IF([2]Baskol!$O$1047="","",[2]Baskol!$O$1047)</f>
        <v/>
      </c>
      <c r="AE1044">
        <f>IF([3]Entry!$C$1047="","",[3]Entry!$C$1047)</f>
        <v/>
      </c>
      <c r="AF1044">
        <f>IF([3]Entry!$D$1047="","",[3]Entry!$D$1047)</f>
        <v/>
      </c>
      <c r="AG1044">
        <f>IF([3]Entry!$E$1047="","",[3]Entry!$E$1047)</f>
        <v/>
      </c>
      <c r="AH1044">
        <f>IF([3]Entry!$G$1047="","",[3]Entry!$G$1047)</f>
        <v/>
      </c>
      <c r="AI1044">
        <f>IF([3]Entry!$K$1047="","",[3]Entry!$K$1047)</f>
        <v/>
      </c>
      <c r="AJ1044">
        <f>IF([3]Entry!$L$1047="","",[3]Entry!$L$1047)</f>
        <v/>
      </c>
      <c r="AK1044">
        <f>IF([3]Entry!$M$1047="","",[3]Entry!$M$1047)</f>
        <v/>
      </c>
      <c r="AL1044">
        <f>IF([3]Entry!$N$1047="","",[3]Entry!$N$1047)</f>
        <v/>
      </c>
      <c r="AM1044">
        <f>IF([3]Entry!$R$1047="","",[3]Entry!$R$1047)</f>
        <v/>
      </c>
    </row>
    <row r="1045">
      <c r="T1045">
        <f>IF([2]Baskol!$B$1048="","",[2]Baskol!$B$1048)</f>
        <v/>
      </c>
      <c r="U1045">
        <f>IF([2]Baskol!$C$1048="","",[2]Baskol!$C$1048)</f>
        <v/>
      </c>
      <c r="V1045">
        <f>IF([2]Baskol!$D$1048="","",[2]Baskol!$D$1048)</f>
        <v/>
      </c>
      <c r="W1045">
        <f>IF([2]Baskol!$E$1048="","",[2]Baskol!$E$1048)</f>
        <v/>
      </c>
      <c r="X1045">
        <f>IF([2]Baskol!$G$1048="","",[2]Baskol!$G$1048)</f>
        <v/>
      </c>
      <c r="Y1045">
        <f>IF([2]Baskol!$I$1048="","",[2]Baskol!$I$1048)</f>
        <v/>
      </c>
      <c r="Z1045">
        <f>IF([2]Baskol!$J$1048="","",[2]Baskol!$J$1048)</f>
        <v/>
      </c>
      <c r="AA1045">
        <f>IF([2]Baskol!$K$1048="","",[2]Baskol!$K$1048)</f>
        <v/>
      </c>
      <c r="AB1045">
        <f>IF([2]Baskol!$L$1048="","",[2]Baskol!$L$1048)</f>
        <v/>
      </c>
      <c r="AC1045">
        <f>IF([2]Baskol!$N$1048="","",[2]Baskol!$N$1048)</f>
        <v/>
      </c>
      <c r="AD1045">
        <f>IF([2]Baskol!$O$1048="","",[2]Baskol!$O$1048)</f>
        <v/>
      </c>
      <c r="AE1045">
        <f>IF([3]Entry!$C$1048="","",[3]Entry!$C$1048)</f>
        <v/>
      </c>
      <c r="AF1045">
        <f>IF([3]Entry!$D$1048="","",[3]Entry!$D$1048)</f>
        <v/>
      </c>
      <c r="AG1045">
        <f>IF([3]Entry!$E$1048="","",[3]Entry!$E$1048)</f>
        <v/>
      </c>
      <c r="AH1045">
        <f>IF([3]Entry!$G$1048="","",[3]Entry!$G$1048)</f>
        <v/>
      </c>
      <c r="AI1045">
        <f>IF([3]Entry!$K$1048="","",[3]Entry!$K$1048)</f>
        <v/>
      </c>
      <c r="AJ1045">
        <f>IF([3]Entry!$L$1048="","",[3]Entry!$L$1048)</f>
        <v/>
      </c>
      <c r="AK1045">
        <f>IF([3]Entry!$M$1048="","",[3]Entry!$M$1048)</f>
        <v/>
      </c>
      <c r="AL1045">
        <f>IF([3]Entry!$N$1048="","",[3]Entry!$N$1048)</f>
        <v/>
      </c>
      <c r="AM1045">
        <f>IF([3]Entry!$R$1048="","",[3]Entry!$R$1048)</f>
        <v/>
      </c>
    </row>
    <row r="1046">
      <c r="T1046">
        <f>IF([2]Baskol!$B$1049="","",[2]Baskol!$B$1049)</f>
        <v/>
      </c>
      <c r="U1046">
        <f>IF([2]Baskol!$C$1049="","",[2]Baskol!$C$1049)</f>
        <v/>
      </c>
      <c r="V1046">
        <f>IF([2]Baskol!$D$1049="","",[2]Baskol!$D$1049)</f>
        <v/>
      </c>
      <c r="W1046">
        <f>IF([2]Baskol!$E$1049="","",[2]Baskol!$E$1049)</f>
        <v/>
      </c>
      <c r="X1046">
        <f>IF([2]Baskol!$G$1049="","",[2]Baskol!$G$1049)</f>
        <v/>
      </c>
      <c r="Y1046">
        <f>IF([2]Baskol!$I$1049="","",[2]Baskol!$I$1049)</f>
        <v/>
      </c>
      <c r="Z1046">
        <f>IF([2]Baskol!$J$1049="","",[2]Baskol!$J$1049)</f>
        <v/>
      </c>
      <c r="AA1046">
        <f>IF([2]Baskol!$K$1049="","",[2]Baskol!$K$1049)</f>
        <v/>
      </c>
      <c r="AB1046">
        <f>IF([2]Baskol!$L$1049="","",[2]Baskol!$L$1049)</f>
        <v/>
      </c>
      <c r="AC1046">
        <f>IF([2]Baskol!$N$1049="","",[2]Baskol!$N$1049)</f>
        <v/>
      </c>
      <c r="AD1046">
        <f>IF([2]Baskol!$O$1049="","",[2]Baskol!$O$1049)</f>
        <v/>
      </c>
      <c r="AE1046">
        <f>IF([3]Entry!$C$1049="","",[3]Entry!$C$1049)</f>
        <v/>
      </c>
      <c r="AF1046">
        <f>IF([3]Entry!$D$1049="","",[3]Entry!$D$1049)</f>
        <v/>
      </c>
      <c r="AG1046">
        <f>IF([3]Entry!$E$1049="","",[3]Entry!$E$1049)</f>
        <v/>
      </c>
      <c r="AH1046">
        <f>IF([3]Entry!$G$1049="","",[3]Entry!$G$1049)</f>
        <v/>
      </c>
      <c r="AI1046">
        <f>IF([3]Entry!$K$1049="","",[3]Entry!$K$1049)</f>
        <v/>
      </c>
      <c r="AJ1046">
        <f>IF([3]Entry!$L$1049="","",[3]Entry!$L$1049)</f>
        <v/>
      </c>
      <c r="AK1046">
        <f>IF([3]Entry!$M$1049="","",[3]Entry!$M$1049)</f>
        <v/>
      </c>
      <c r="AL1046">
        <f>IF([3]Entry!$N$1049="","",[3]Entry!$N$1049)</f>
        <v/>
      </c>
      <c r="AM1046">
        <f>IF([3]Entry!$R$1049="","",[3]Entry!$R$1049)</f>
        <v/>
      </c>
    </row>
    <row r="1047">
      <c r="T1047">
        <f>IF([2]Baskol!$B$1050="","",[2]Baskol!$B$1050)</f>
        <v/>
      </c>
      <c r="U1047">
        <f>IF([2]Baskol!$C$1050="","",[2]Baskol!$C$1050)</f>
        <v/>
      </c>
      <c r="V1047">
        <f>IF([2]Baskol!$D$1050="","",[2]Baskol!$D$1050)</f>
        <v/>
      </c>
      <c r="W1047">
        <f>IF([2]Baskol!$E$1050="","",[2]Baskol!$E$1050)</f>
        <v/>
      </c>
      <c r="X1047">
        <f>IF([2]Baskol!$G$1050="","",[2]Baskol!$G$1050)</f>
        <v/>
      </c>
      <c r="Y1047">
        <f>IF([2]Baskol!$I$1050="","",[2]Baskol!$I$1050)</f>
        <v/>
      </c>
      <c r="Z1047">
        <f>IF([2]Baskol!$J$1050="","",[2]Baskol!$J$1050)</f>
        <v/>
      </c>
      <c r="AA1047">
        <f>IF([2]Baskol!$K$1050="","",[2]Baskol!$K$1050)</f>
        <v/>
      </c>
      <c r="AB1047">
        <f>IF([2]Baskol!$L$1050="","",[2]Baskol!$L$1050)</f>
        <v/>
      </c>
      <c r="AC1047">
        <f>IF([2]Baskol!$N$1050="","",[2]Baskol!$N$1050)</f>
        <v/>
      </c>
      <c r="AD1047">
        <f>IF([2]Baskol!$O$1050="","",[2]Baskol!$O$1050)</f>
        <v/>
      </c>
      <c r="AE1047">
        <f>IF([3]Entry!$C$1050="","",[3]Entry!$C$1050)</f>
        <v/>
      </c>
      <c r="AF1047">
        <f>IF([3]Entry!$D$1050="","",[3]Entry!$D$1050)</f>
        <v/>
      </c>
      <c r="AG1047">
        <f>IF([3]Entry!$E$1050="","",[3]Entry!$E$1050)</f>
        <v/>
      </c>
      <c r="AH1047">
        <f>IF([3]Entry!$G$1050="","",[3]Entry!$G$1050)</f>
        <v/>
      </c>
      <c r="AI1047">
        <f>IF([3]Entry!$K$1050="","",[3]Entry!$K$1050)</f>
        <v/>
      </c>
      <c r="AJ1047">
        <f>IF([3]Entry!$L$1050="","",[3]Entry!$L$1050)</f>
        <v/>
      </c>
      <c r="AK1047">
        <f>IF([3]Entry!$M$1050="","",[3]Entry!$M$1050)</f>
        <v/>
      </c>
      <c r="AL1047">
        <f>IF([3]Entry!$N$1050="","",[3]Entry!$N$1050)</f>
        <v/>
      </c>
      <c r="AM1047">
        <f>IF([3]Entry!$R$1050="","",[3]Entry!$R$1050)</f>
        <v/>
      </c>
    </row>
    <row r="1048">
      <c r="T1048">
        <f>IF([2]Baskol!$B$1051="","",[2]Baskol!$B$1051)</f>
        <v/>
      </c>
      <c r="U1048">
        <f>IF([2]Baskol!$C$1051="","",[2]Baskol!$C$1051)</f>
        <v/>
      </c>
      <c r="V1048">
        <f>IF([2]Baskol!$D$1051="","",[2]Baskol!$D$1051)</f>
        <v/>
      </c>
      <c r="W1048">
        <f>IF([2]Baskol!$E$1051="","",[2]Baskol!$E$1051)</f>
        <v/>
      </c>
      <c r="X1048">
        <f>IF([2]Baskol!$G$1051="","",[2]Baskol!$G$1051)</f>
        <v/>
      </c>
      <c r="Y1048">
        <f>IF([2]Baskol!$I$1051="","",[2]Baskol!$I$1051)</f>
        <v/>
      </c>
      <c r="Z1048">
        <f>IF([2]Baskol!$J$1051="","",[2]Baskol!$J$1051)</f>
        <v/>
      </c>
      <c r="AA1048">
        <f>IF([2]Baskol!$K$1051="","",[2]Baskol!$K$1051)</f>
        <v/>
      </c>
      <c r="AB1048">
        <f>IF([2]Baskol!$L$1051="","",[2]Baskol!$L$1051)</f>
        <v/>
      </c>
      <c r="AC1048">
        <f>IF([2]Baskol!$N$1051="","",[2]Baskol!$N$1051)</f>
        <v/>
      </c>
      <c r="AD1048">
        <f>IF([2]Baskol!$O$1051="","",[2]Baskol!$O$1051)</f>
        <v/>
      </c>
      <c r="AE1048">
        <f>IF([3]Entry!$C$1051="","",[3]Entry!$C$1051)</f>
        <v/>
      </c>
      <c r="AF1048">
        <f>IF([3]Entry!$D$1051="","",[3]Entry!$D$1051)</f>
        <v/>
      </c>
      <c r="AG1048">
        <f>IF([3]Entry!$E$1051="","",[3]Entry!$E$1051)</f>
        <v/>
      </c>
      <c r="AH1048">
        <f>IF([3]Entry!$G$1051="","",[3]Entry!$G$1051)</f>
        <v/>
      </c>
      <c r="AI1048">
        <f>IF([3]Entry!$K$1051="","",[3]Entry!$K$1051)</f>
        <v/>
      </c>
      <c r="AJ1048">
        <f>IF([3]Entry!$L$1051="","",[3]Entry!$L$1051)</f>
        <v/>
      </c>
      <c r="AK1048">
        <f>IF([3]Entry!$M$1051="","",[3]Entry!$M$1051)</f>
        <v/>
      </c>
      <c r="AL1048">
        <f>IF([3]Entry!$N$1051="","",[3]Entry!$N$1051)</f>
        <v/>
      </c>
      <c r="AM1048">
        <f>IF([3]Entry!$R$1051="","",[3]Entry!$R$1051)</f>
        <v/>
      </c>
    </row>
    <row r="1049">
      <c r="T1049">
        <f>IF([2]Baskol!$B$1052="","",[2]Baskol!$B$1052)</f>
        <v/>
      </c>
      <c r="U1049">
        <f>IF([2]Baskol!$C$1052="","",[2]Baskol!$C$1052)</f>
        <v/>
      </c>
      <c r="V1049">
        <f>IF([2]Baskol!$D$1052="","",[2]Baskol!$D$1052)</f>
        <v/>
      </c>
      <c r="W1049">
        <f>IF([2]Baskol!$E$1052="","",[2]Baskol!$E$1052)</f>
        <v/>
      </c>
      <c r="X1049">
        <f>IF([2]Baskol!$G$1052="","",[2]Baskol!$G$1052)</f>
        <v/>
      </c>
      <c r="Y1049">
        <f>IF([2]Baskol!$I$1052="","",[2]Baskol!$I$1052)</f>
        <v/>
      </c>
      <c r="Z1049">
        <f>IF([2]Baskol!$J$1052="","",[2]Baskol!$J$1052)</f>
        <v/>
      </c>
      <c r="AA1049">
        <f>IF([2]Baskol!$K$1052="","",[2]Baskol!$K$1052)</f>
        <v/>
      </c>
      <c r="AB1049">
        <f>IF([2]Baskol!$L$1052="","",[2]Baskol!$L$1052)</f>
        <v/>
      </c>
      <c r="AC1049">
        <f>IF([2]Baskol!$N$1052="","",[2]Baskol!$N$1052)</f>
        <v/>
      </c>
      <c r="AD1049">
        <f>IF([2]Baskol!$O$1052="","",[2]Baskol!$O$1052)</f>
        <v/>
      </c>
      <c r="AE1049">
        <f>IF([3]Entry!$C$1052="","",[3]Entry!$C$1052)</f>
        <v/>
      </c>
      <c r="AF1049">
        <f>IF([3]Entry!$D$1052="","",[3]Entry!$D$1052)</f>
        <v/>
      </c>
      <c r="AG1049">
        <f>IF([3]Entry!$E$1052="","",[3]Entry!$E$1052)</f>
        <v/>
      </c>
      <c r="AH1049">
        <f>IF([3]Entry!$G$1052="","",[3]Entry!$G$1052)</f>
        <v/>
      </c>
      <c r="AI1049">
        <f>IF([3]Entry!$K$1052="","",[3]Entry!$K$1052)</f>
        <v/>
      </c>
      <c r="AJ1049">
        <f>IF([3]Entry!$L$1052="","",[3]Entry!$L$1052)</f>
        <v/>
      </c>
      <c r="AK1049">
        <f>IF([3]Entry!$M$1052="","",[3]Entry!$M$1052)</f>
        <v/>
      </c>
      <c r="AL1049">
        <f>IF([3]Entry!$N$1052="","",[3]Entry!$N$1052)</f>
        <v/>
      </c>
      <c r="AM1049">
        <f>IF([3]Entry!$R$1052="","",[3]Entry!$R$1052)</f>
        <v/>
      </c>
    </row>
    <row r="1050">
      <c r="T1050">
        <f>IF([2]Baskol!$B$1053="","",[2]Baskol!$B$1053)</f>
        <v/>
      </c>
      <c r="U1050">
        <f>IF([2]Baskol!$C$1053="","",[2]Baskol!$C$1053)</f>
        <v/>
      </c>
      <c r="V1050">
        <f>IF([2]Baskol!$D$1053="","",[2]Baskol!$D$1053)</f>
        <v/>
      </c>
      <c r="W1050">
        <f>IF([2]Baskol!$E$1053="","",[2]Baskol!$E$1053)</f>
        <v/>
      </c>
      <c r="X1050">
        <f>IF([2]Baskol!$G$1053="","",[2]Baskol!$G$1053)</f>
        <v/>
      </c>
      <c r="Y1050">
        <f>IF([2]Baskol!$I$1053="","",[2]Baskol!$I$1053)</f>
        <v/>
      </c>
      <c r="Z1050">
        <f>IF([2]Baskol!$J$1053="","",[2]Baskol!$J$1053)</f>
        <v/>
      </c>
      <c r="AA1050">
        <f>IF([2]Baskol!$K$1053="","",[2]Baskol!$K$1053)</f>
        <v/>
      </c>
      <c r="AB1050">
        <f>IF([2]Baskol!$L$1053="","",[2]Baskol!$L$1053)</f>
        <v/>
      </c>
      <c r="AC1050">
        <f>IF([2]Baskol!$N$1053="","",[2]Baskol!$N$1053)</f>
        <v/>
      </c>
      <c r="AD1050">
        <f>IF([2]Baskol!$O$1053="","",[2]Baskol!$O$1053)</f>
        <v/>
      </c>
      <c r="AE1050">
        <f>IF([3]Entry!$C$1053="","",[3]Entry!$C$1053)</f>
        <v/>
      </c>
      <c r="AF1050">
        <f>IF([3]Entry!$D$1053="","",[3]Entry!$D$1053)</f>
        <v/>
      </c>
      <c r="AG1050">
        <f>IF([3]Entry!$E$1053="","",[3]Entry!$E$1053)</f>
        <v/>
      </c>
      <c r="AH1050">
        <f>IF([3]Entry!$G$1053="","",[3]Entry!$G$1053)</f>
        <v/>
      </c>
      <c r="AI1050">
        <f>IF([3]Entry!$K$1053="","",[3]Entry!$K$1053)</f>
        <v/>
      </c>
      <c r="AJ1050">
        <f>IF([3]Entry!$L$1053="","",[3]Entry!$L$1053)</f>
        <v/>
      </c>
      <c r="AK1050">
        <f>IF([3]Entry!$M$1053="","",[3]Entry!$M$1053)</f>
        <v/>
      </c>
      <c r="AL1050">
        <f>IF([3]Entry!$N$1053="","",[3]Entry!$N$1053)</f>
        <v/>
      </c>
      <c r="AM1050">
        <f>IF([3]Entry!$R$1053="","",[3]Entry!$R$1053)</f>
        <v/>
      </c>
    </row>
    <row r="1051">
      <c r="T1051">
        <f>IF([2]Baskol!$B$1054="","",[2]Baskol!$B$1054)</f>
        <v/>
      </c>
      <c r="U1051">
        <f>IF([2]Baskol!$C$1054="","",[2]Baskol!$C$1054)</f>
        <v/>
      </c>
      <c r="V1051">
        <f>IF([2]Baskol!$D$1054="","",[2]Baskol!$D$1054)</f>
        <v/>
      </c>
      <c r="W1051">
        <f>IF([2]Baskol!$E$1054="","",[2]Baskol!$E$1054)</f>
        <v/>
      </c>
      <c r="X1051">
        <f>IF([2]Baskol!$G$1054="","",[2]Baskol!$G$1054)</f>
        <v/>
      </c>
      <c r="Y1051">
        <f>IF([2]Baskol!$I$1054="","",[2]Baskol!$I$1054)</f>
        <v/>
      </c>
      <c r="Z1051">
        <f>IF([2]Baskol!$J$1054="","",[2]Baskol!$J$1054)</f>
        <v/>
      </c>
      <c r="AA1051">
        <f>IF([2]Baskol!$K$1054="","",[2]Baskol!$K$1054)</f>
        <v/>
      </c>
      <c r="AB1051">
        <f>IF([2]Baskol!$L$1054="","",[2]Baskol!$L$1054)</f>
        <v/>
      </c>
      <c r="AC1051">
        <f>IF([2]Baskol!$N$1054="","",[2]Baskol!$N$1054)</f>
        <v/>
      </c>
      <c r="AD1051">
        <f>IF([2]Baskol!$O$1054="","",[2]Baskol!$O$1054)</f>
        <v/>
      </c>
      <c r="AE1051">
        <f>IF([3]Entry!$C$1054="","",[3]Entry!$C$1054)</f>
        <v/>
      </c>
      <c r="AF1051">
        <f>IF([3]Entry!$D$1054="","",[3]Entry!$D$1054)</f>
        <v/>
      </c>
      <c r="AG1051">
        <f>IF([3]Entry!$E$1054="","",[3]Entry!$E$1054)</f>
        <v/>
      </c>
      <c r="AH1051">
        <f>IF([3]Entry!$G$1054="","",[3]Entry!$G$1054)</f>
        <v/>
      </c>
      <c r="AI1051">
        <f>IF([3]Entry!$K$1054="","",[3]Entry!$K$1054)</f>
        <v/>
      </c>
      <c r="AJ1051">
        <f>IF([3]Entry!$L$1054="","",[3]Entry!$L$1054)</f>
        <v/>
      </c>
      <c r="AK1051">
        <f>IF([3]Entry!$M$1054="","",[3]Entry!$M$1054)</f>
        <v/>
      </c>
      <c r="AL1051">
        <f>IF([3]Entry!$N$1054="","",[3]Entry!$N$1054)</f>
        <v/>
      </c>
      <c r="AM1051">
        <f>IF([3]Entry!$R$1054="","",[3]Entry!$R$1054)</f>
        <v/>
      </c>
    </row>
    <row r="1052">
      <c r="T1052">
        <f>IF([2]Baskol!$B$1055="","",[2]Baskol!$B$1055)</f>
        <v/>
      </c>
      <c r="U1052">
        <f>IF([2]Baskol!$C$1055="","",[2]Baskol!$C$1055)</f>
        <v/>
      </c>
      <c r="V1052">
        <f>IF([2]Baskol!$D$1055="","",[2]Baskol!$D$1055)</f>
        <v/>
      </c>
      <c r="W1052">
        <f>IF([2]Baskol!$E$1055="","",[2]Baskol!$E$1055)</f>
        <v/>
      </c>
      <c r="X1052">
        <f>IF([2]Baskol!$G$1055="","",[2]Baskol!$G$1055)</f>
        <v/>
      </c>
      <c r="Y1052">
        <f>IF([2]Baskol!$I$1055="","",[2]Baskol!$I$1055)</f>
        <v/>
      </c>
      <c r="Z1052">
        <f>IF([2]Baskol!$J$1055="","",[2]Baskol!$J$1055)</f>
        <v/>
      </c>
      <c r="AA1052">
        <f>IF([2]Baskol!$K$1055="","",[2]Baskol!$K$1055)</f>
        <v/>
      </c>
      <c r="AB1052">
        <f>IF([2]Baskol!$L$1055="","",[2]Baskol!$L$1055)</f>
        <v/>
      </c>
      <c r="AC1052">
        <f>IF([2]Baskol!$N$1055="","",[2]Baskol!$N$1055)</f>
        <v/>
      </c>
      <c r="AD1052">
        <f>IF([2]Baskol!$O$1055="","",[2]Baskol!$O$1055)</f>
        <v/>
      </c>
      <c r="AE1052">
        <f>IF([3]Entry!$C$1055="","",[3]Entry!$C$1055)</f>
        <v/>
      </c>
      <c r="AF1052">
        <f>IF([3]Entry!$D$1055="","",[3]Entry!$D$1055)</f>
        <v/>
      </c>
      <c r="AG1052">
        <f>IF([3]Entry!$E$1055="","",[3]Entry!$E$1055)</f>
        <v/>
      </c>
      <c r="AH1052">
        <f>IF([3]Entry!$G$1055="","",[3]Entry!$G$1055)</f>
        <v/>
      </c>
      <c r="AI1052">
        <f>IF([3]Entry!$K$1055="","",[3]Entry!$K$1055)</f>
        <v/>
      </c>
      <c r="AJ1052">
        <f>IF([3]Entry!$L$1055="","",[3]Entry!$L$1055)</f>
        <v/>
      </c>
      <c r="AK1052">
        <f>IF([3]Entry!$M$1055="","",[3]Entry!$M$1055)</f>
        <v/>
      </c>
      <c r="AL1052">
        <f>IF([3]Entry!$N$1055="","",[3]Entry!$N$1055)</f>
        <v/>
      </c>
      <c r="AM1052">
        <f>IF([3]Entry!$R$1055="","",[3]Entry!$R$1055)</f>
        <v/>
      </c>
    </row>
    <row r="1053">
      <c r="T1053">
        <f>IF([2]Baskol!$B$1056="","",[2]Baskol!$B$1056)</f>
        <v/>
      </c>
      <c r="U1053">
        <f>IF([2]Baskol!$C$1056="","",[2]Baskol!$C$1056)</f>
        <v/>
      </c>
      <c r="V1053">
        <f>IF([2]Baskol!$D$1056="","",[2]Baskol!$D$1056)</f>
        <v/>
      </c>
      <c r="W1053">
        <f>IF([2]Baskol!$E$1056="","",[2]Baskol!$E$1056)</f>
        <v/>
      </c>
      <c r="X1053">
        <f>IF([2]Baskol!$G$1056="","",[2]Baskol!$G$1056)</f>
        <v/>
      </c>
      <c r="Y1053">
        <f>IF([2]Baskol!$I$1056="","",[2]Baskol!$I$1056)</f>
        <v/>
      </c>
      <c r="Z1053">
        <f>IF([2]Baskol!$J$1056="","",[2]Baskol!$J$1056)</f>
        <v/>
      </c>
      <c r="AA1053">
        <f>IF([2]Baskol!$K$1056="","",[2]Baskol!$K$1056)</f>
        <v/>
      </c>
      <c r="AB1053">
        <f>IF([2]Baskol!$L$1056="","",[2]Baskol!$L$1056)</f>
        <v/>
      </c>
      <c r="AC1053">
        <f>IF([2]Baskol!$N$1056="","",[2]Baskol!$N$1056)</f>
        <v/>
      </c>
      <c r="AD1053">
        <f>IF([2]Baskol!$O$1056="","",[2]Baskol!$O$1056)</f>
        <v/>
      </c>
      <c r="AE1053">
        <f>IF([3]Entry!$C$1056="","",[3]Entry!$C$1056)</f>
        <v/>
      </c>
      <c r="AF1053">
        <f>IF([3]Entry!$D$1056="","",[3]Entry!$D$1056)</f>
        <v/>
      </c>
      <c r="AG1053">
        <f>IF([3]Entry!$E$1056="","",[3]Entry!$E$1056)</f>
        <v/>
      </c>
      <c r="AH1053">
        <f>IF([3]Entry!$G$1056="","",[3]Entry!$G$1056)</f>
        <v/>
      </c>
      <c r="AI1053">
        <f>IF([3]Entry!$K$1056="","",[3]Entry!$K$1056)</f>
        <v/>
      </c>
      <c r="AJ1053">
        <f>IF([3]Entry!$L$1056="","",[3]Entry!$L$1056)</f>
        <v/>
      </c>
      <c r="AK1053">
        <f>IF([3]Entry!$M$1056="","",[3]Entry!$M$1056)</f>
        <v/>
      </c>
      <c r="AL1053">
        <f>IF([3]Entry!$N$1056="","",[3]Entry!$N$1056)</f>
        <v/>
      </c>
      <c r="AM1053">
        <f>IF([3]Entry!$R$1056="","",[3]Entry!$R$1056)</f>
        <v/>
      </c>
    </row>
    <row r="1054">
      <c r="T1054">
        <f>IF([2]Baskol!$B$1057="","",[2]Baskol!$B$1057)</f>
        <v/>
      </c>
      <c r="U1054">
        <f>IF([2]Baskol!$C$1057="","",[2]Baskol!$C$1057)</f>
        <v/>
      </c>
      <c r="V1054">
        <f>IF([2]Baskol!$D$1057="","",[2]Baskol!$D$1057)</f>
        <v/>
      </c>
      <c r="W1054">
        <f>IF([2]Baskol!$E$1057="","",[2]Baskol!$E$1057)</f>
        <v/>
      </c>
      <c r="X1054">
        <f>IF([2]Baskol!$G$1057="","",[2]Baskol!$G$1057)</f>
        <v/>
      </c>
      <c r="Y1054">
        <f>IF([2]Baskol!$I$1057="","",[2]Baskol!$I$1057)</f>
        <v/>
      </c>
      <c r="Z1054">
        <f>IF([2]Baskol!$J$1057="","",[2]Baskol!$J$1057)</f>
        <v/>
      </c>
      <c r="AA1054">
        <f>IF([2]Baskol!$K$1057="","",[2]Baskol!$K$1057)</f>
        <v/>
      </c>
      <c r="AB1054">
        <f>IF([2]Baskol!$L$1057="","",[2]Baskol!$L$1057)</f>
        <v/>
      </c>
      <c r="AC1054">
        <f>IF([2]Baskol!$N$1057="","",[2]Baskol!$N$1057)</f>
        <v/>
      </c>
      <c r="AD1054">
        <f>IF([2]Baskol!$O$1057="","",[2]Baskol!$O$1057)</f>
        <v/>
      </c>
      <c r="AE1054">
        <f>IF([3]Entry!$C$1057="","",[3]Entry!$C$1057)</f>
        <v/>
      </c>
      <c r="AF1054">
        <f>IF([3]Entry!$D$1057="","",[3]Entry!$D$1057)</f>
        <v/>
      </c>
      <c r="AG1054">
        <f>IF([3]Entry!$E$1057="","",[3]Entry!$E$1057)</f>
        <v/>
      </c>
      <c r="AH1054">
        <f>IF([3]Entry!$G$1057="","",[3]Entry!$G$1057)</f>
        <v/>
      </c>
      <c r="AI1054">
        <f>IF([3]Entry!$K$1057="","",[3]Entry!$K$1057)</f>
        <v/>
      </c>
      <c r="AJ1054">
        <f>IF([3]Entry!$L$1057="","",[3]Entry!$L$1057)</f>
        <v/>
      </c>
      <c r="AK1054">
        <f>IF([3]Entry!$M$1057="","",[3]Entry!$M$1057)</f>
        <v/>
      </c>
      <c r="AL1054">
        <f>IF([3]Entry!$N$1057="","",[3]Entry!$N$1057)</f>
        <v/>
      </c>
      <c r="AM1054">
        <f>IF([3]Entry!$R$1057="","",[3]Entry!$R$1057)</f>
        <v/>
      </c>
    </row>
    <row r="1055">
      <c r="T1055">
        <f>IF([2]Baskol!$B$1058="","",[2]Baskol!$B$1058)</f>
        <v/>
      </c>
      <c r="U1055">
        <f>IF([2]Baskol!$C$1058="","",[2]Baskol!$C$1058)</f>
        <v/>
      </c>
      <c r="V1055">
        <f>IF([2]Baskol!$D$1058="","",[2]Baskol!$D$1058)</f>
        <v/>
      </c>
      <c r="W1055">
        <f>IF([2]Baskol!$E$1058="","",[2]Baskol!$E$1058)</f>
        <v/>
      </c>
      <c r="X1055">
        <f>IF([2]Baskol!$G$1058="","",[2]Baskol!$G$1058)</f>
        <v/>
      </c>
      <c r="Y1055">
        <f>IF([2]Baskol!$I$1058="","",[2]Baskol!$I$1058)</f>
        <v/>
      </c>
      <c r="Z1055">
        <f>IF([2]Baskol!$J$1058="","",[2]Baskol!$J$1058)</f>
        <v/>
      </c>
      <c r="AA1055">
        <f>IF([2]Baskol!$K$1058="","",[2]Baskol!$K$1058)</f>
        <v/>
      </c>
      <c r="AB1055">
        <f>IF([2]Baskol!$L$1058="","",[2]Baskol!$L$1058)</f>
        <v/>
      </c>
      <c r="AC1055">
        <f>IF([2]Baskol!$N$1058="","",[2]Baskol!$N$1058)</f>
        <v/>
      </c>
      <c r="AD1055">
        <f>IF([2]Baskol!$O$1058="","",[2]Baskol!$O$1058)</f>
        <v/>
      </c>
      <c r="AE1055">
        <f>IF([3]Entry!$C$1058="","",[3]Entry!$C$1058)</f>
        <v/>
      </c>
      <c r="AF1055">
        <f>IF([3]Entry!$D$1058="","",[3]Entry!$D$1058)</f>
        <v/>
      </c>
      <c r="AG1055">
        <f>IF([3]Entry!$E$1058="","",[3]Entry!$E$1058)</f>
        <v/>
      </c>
      <c r="AH1055">
        <f>IF([3]Entry!$G$1058="","",[3]Entry!$G$1058)</f>
        <v/>
      </c>
      <c r="AI1055">
        <f>IF([3]Entry!$K$1058="","",[3]Entry!$K$1058)</f>
        <v/>
      </c>
      <c r="AJ1055">
        <f>IF([3]Entry!$L$1058="","",[3]Entry!$L$1058)</f>
        <v/>
      </c>
      <c r="AK1055">
        <f>IF([3]Entry!$M$1058="","",[3]Entry!$M$1058)</f>
        <v/>
      </c>
      <c r="AL1055">
        <f>IF([3]Entry!$N$1058="","",[3]Entry!$N$1058)</f>
        <v/>
      </c>
      <c r="AM1055">
        <f>IF([3]Entry!$R$1058="","",[3]Entry!$R$1058)</f>
        <v/>
      </c>
    </row>
    <row r="1056">
      <c r="T1056">
        <f>IF([2]Baskol!$B$1059="","",[2]Baskol!$B$1059)</f>
        <v/>
      </c>
      <c r="U1056">
        <f>IF([2]Baskol!$C$1059="","",[2]Baskol!$C$1059)</f>
        <v/>
      </c>
      <c r="V1056">
        <f>IF([2]Baskol!$D$1059="","",[2]Baskol!$D$1059)</f>
        <v/>
      </c>
      <c r="W1056">
        <f>IF([2]Baskol!$E$1059="","",[2]Baskol!$E$1059)</f>
        <v/>
      </c>
      <c r="X1056">
        <f>IF([2]Baskol!$G$1059="","",[2]Baskol!$G$1059)</f>
        <v/>
      </c>
      <c r="Y1056">
        <f>IF([2]Baskol!$I$1059="","",[2]Baskol!$I$1059)</f>
        <v/>
      </c>
      <c r="Z1056">
        <f>IF([2]Baskol!$J$1059="","",[2]Baskol!$J$1059)</f>
        <v/>
      </c>
      <c r="AA1056">
        <f>IF([2]Baskol!$K$1059="","",[2]Baskol!$K$1059)</f>
        <v/>
      </c>
      <c r="AB1056">
        <f>IF([2]Baskol!$L$1059="","",[2]Baskol!$L$1059)</f>
        <v/>
      </c>
      <c r="AC1056">
        <f>IF([2]Baskol!$N$1059="","",[2]Baskol!$N$1059)</f>
        <v/>
      </c>
      <c r="AD1056">
        <f>IF([2]Baskol!$O$1059="","",[2]Baskol!$O$1059)</f>
        <v/>
      </c>
      <c r="AE1056">
        <f>IF([3]Entry!$C$1059="","",[3]Entry!$C$1059)</f>
        <v/>
      </c>
      <c r="AF1056">
        <f>IF([3]Entry!$D$1059="","",[3]Entry!$D$1059)</f>
        <v/>
      </c>
      <c r="AG1056">
        <f>IF([3]Entry!$E$1059="","",[3]Entry!$E$1059)</f>
        <v/>
      </c>
      <c r="AH1056">
        <f>IF([3]Entry!$G$1059="","",[3]Entry!$G$1059)</f>
        <v/>
      </c>
      <c r="AI1056">
        <f>IF([3]Entry!$K$1059="","",[3]Entry!$K$1059)</f>
        <v/>
      </c>
      <c r="AJ1056">
        <f>IF([3]Entry!$L$1059="","",[3]Entry!$L$1059)</f>
        <v/>
      </c>
      <c r="AK1056">
        <f>IF([3]Entry!$M$1059="","",[3]Entry!$M$1059)</f>
        <v/>
      </c>
      <c r="AL1056">
        <f>IF([3]Entry!$N$1059="","",[3]Entry!$N$1059)</f>
        <v/>
      </c>
      <c r="AM1056">
        <f>IF([3]Entry!$R$1059="","",[3]Entry!$R$1059)</f>
        <v/>
      </c>
    </row>
    <row r="1057">
      <c r="T1057">
        <f>IF([2]Baskol!$B$1060="","",[2]Baskol!$B$1060)</f>
        <v/>
      </c>
      <c r="U1057">
        <f>IF([2]Baskol!$C$1060="","",[2]Baskol!$C$1060)</f>
        <v/>
      </c>
      <c r="V1057">
        <f>IF([2]Baskol!$D$1060="","",[2]Baskol!$D$1060)</f>
        <v/>
      </c>
      <c r="W1057">
        <f>IF([2]Baskol!$E$1060="","",[2]Baskol!$E$1060)</f>
        <v/>
      </c>
      <c r="X1057">
        <f>IF([2]Baskol!$G$1060="","",[2]Baskol!$G$1060)</f>
        <v/>
      </c>
      <c r="Y1057">
        <f>IF([2]Baskol!$I$1060="","",[2]Baskol!$I$1060)</f>
        <v/>
      </c>
      <c r="Z1057">
        <f>IF([2]Baskol!$J$1060="","",[2]Baskol!$J$1060)</f>
        <v/>
      </c>
      <c r="AA1057">
        <f>IF([2]Baskol!$K$1060="","",[2]Baskol!$K$1060)</f>
        <v/>
      </c>
      <c r="AB1057">
        <f>IF([2]Baskol!$L$1060="","",[2]Baskol!$L$1060)</f>
        <v/>
      </c>
      <c r="AC1057">
        <f>IF([2]Baskol!$N$1060="","",[2]Baskol!$N$1060)</f>
        <v/>
      </c>
      <c r="AD1057">
        <f>IF([2]Baskol!$O$1060="","",[2]Baskol!$O$1060)</f>
        <v/>
      </c>
      <c r="AE1057">
        <f>IF([3]Entry!$C$1060="","",[3]Entry!$C$1060)</f>
        <v/>
      </c>
      <c r="AF1057">
        <f>IF([3]Entry!$D$1060="","",[3]Entry!$D$1060)</f>
        <v/>
      </c>
      <c r="AG1057">
        <f>IF([3]Entry!$E$1060="","",[3]Entry!$E$1060)</f>
        <v/>
      </c>
      <c r="AH1057">
        <f>IF([3]Entry!$G$1060="","",[3]Entry!$G$1060)</f>
        <v/>
      </c>
      <c r="AI1057">
        <f>IF([3]Entry!$K$1060="","",[3]Entry!$K$1060)</f>
        <v/>
      </c>
      <c r="AJ1057">
        <f>IF([3]Entry!$L$1060="","",[3]Entry!$L$1060)</f>
        <v/>
      </c>
      <c r="AK1057">
        <f>IF([3]Entry!$M$1060="","",[3]Entry!$M$1060)</f>
        <v/>
      </c>
      <c r="AL1057">
        <f>IF([3]Entry!$N$1060="","",[3]Entry!$N$1060)</f>
        <v/>
      </c>
      <c r="AM1057">
        <f>IF([3]Entry!$R$1060="","",[3]Entry!$R$1060)</f>
        <v/>
      </c>
    </row>
    <row r="1058">
      <c r="T1058">
        <f>IF([2]Baskol!$B$1061="","",[2]Baskol!$B$1061)</f>
        <v/>
      </c>
      <c r="U1058">
        <f>IF([2]Baskol!$C$1061="","",[2]Baskol!$C$1061)</f>
        <v/>
      </c>
      <c r="V1058">
        <f>IF([2]Baskol!$D$1061="","",[2]Baskol!$D$1061)</f>
        <v/>
      </c>
      <c r="W1058">
        <f>IF([2]Baskol!$E$1061="","",[2]Baskol!$E$1061)</f>
        <v/>
      </c>
      <c r="X1058">
        <f>IF([2]Baskol!$G$1061="","",[2]Baskol!$G$1061)</f>
        <v/>
      </c>
      <c r="Y1058">
        <f>IF([2]Baskol!$I$1061="","",[2]Baskol!$I$1061)</f>
        <v/>
      </c>
      <c r="Z1058">
        <f>IF([2]Baskol!$J$1061="","",[2]Baskol!$J$1061)</f>
        <v/>
      </c>
      <c r="AA1058">
        <f>IF([2]Baskol!$K$1061="","",[2]Baskol!$K$1061)</f>
        <v/>
      </c>
      <c r="AB1058">
        <f>IF([2]Baskol!$L$1061="","",[2]Baskol!$L$1061)</f>
        <v/>
      </c>
      <c r="AC1058">
        <f>IF([2]Baskol!$N$1061="","",[2]Baskol!$N$1061)</f>
        <v/>
      </c>
      <c r="AD1058">
        <f>IF([2]Baskol!$O$1061="","",[2]Baskol!$O$1061)</f>
        <v/>
      </c>
      <c r="AE1058">
        <f>IF([3]Entry!$C$1061="","",[3]Entry!$C$1061)</f>
        <v/>
      </c>
      <c r="AF1058">
        <f>IF([3]Entry!$D$1061="","",[3]Entry!$D$1061)</f>
        <v/>
      </c>
      <c r="AG1058">
        <f>IF([3]Entry!$E$1061="","",[3]Entry!$E$1061)</f>
        <v/>
      </c>
      <c r="AH1058">
        <f>IF([3]Entry!$G$1061="","",[3]Entry!$G$1061)</f>
        <v/>
      </c>
      <c r="AI1058">
        <f>IF([3]Entry!$K$1061="","",[3]Entry!$K$1061)</f>
        <v/>
      </c>
      <c r="AJ1058">
        <f>IF([3]Entry!$L$1061="","",[3]Entry!$L$1061)</f>
        <v/>
      </c>
      <c r="AK1058">
        <f>IF([3]Entry!$M$1061="","",[3]Entry!$M$1061)</f>
        <v/>
      </c>
      <c r="AL1058">
        <f>IF([3]Entry!$N$1061="","",[3]Entry!$N$1061)</f>
        <v/>
      </c>
      <c r="AM1058">
        <f>IF([3]Entry!$R$1061="","",[3]Entry!$R$1061)</f>
        <v/>
      </c>
    </row>
    <row r="1059">
      <c r="T1059">
        <f>IF([2]Baskol!$B$1062="","",[2]Baskol!$B$1062)</f>
        <v/>
      </c>
      <c r="U1059">
        <f>IF([2]Baskol!$C$1062="","",[2]Baskol!$C$1062)</f>
        <v/>
      </c>
      <c r="V1059">
        <f>IF([2]Baskol!$D$1062="","",[2]Baskol!$D$1062)</f>
        <v/>
      </c>
      <c r="W1059">
        <f>IF([2]Baskol!$E$1062="","",[2]Baskol!$E$1062)</f>
        <v/>
      </c>
      <c r="X1059">
        <f>IF([2]Baskol!$G$1062="","",[2]Baskol!$G$1062)</f>
        <v/>
      </c>
      <c r="Y1059">
        <f>IF([2]Baskol!$I$1062="","",[2]Baskol!$I$1062)</f>
        <v/>
      </c>
      <c r="Z1059">
        <f>IF([2]Baskol!$J$1062="","",[2]Baskol!$J$1062)</f>
        <v/>
      </c>
      <c r="AA1059">
        <f>IF([2]Baskol!$K$1062="","",[2]Baskol!$K$1062)</f>
        <v/>
      </c>
      <c r="AB1059">
        <f>IF([2]Baskol!$L$1062="","",[2]Baskol!$L$1062)</f>
        <v/>
      </c>
      <c r="AC1059">
        <f>IF([2]Baskol!$N$1062="","",[2]Baskol!$N$1062)</f>
        <v/>
      </c>
      <c r="AD1059">
        <f>IF([2]Baskol!$O$1062="","",[2]Baskol!$O$1062)</f>
        <v/>
      </c>
      <c r="AE1059">
        <f>IF([3]Entry!$C$1062="","",[3]Entry!$C$1062)</f>
        <v/>
      </c>
      <c r="AF1059">
        <f>IF([3]Entry!$D$1062="","",[3]Entry!$D$1062)</f>
        <v/>
      </c>
      <c r="AG1059">
        <f>IF([3]Entry!$E$1062="","",[3]Entry!$E$1062)</f>
        <v/>
      </c>
      <c r="AH1059">
        <f>IF([3]Entry!$G$1062="","",[3]Entry!$G$1062)</f>
        <v/>
      </c>
      <c r="AI1059">
        <f>IF([3]Entry!$K$1062="","",[3]Entry!$K$1062)</f>
        <v/>
      </c>
      <c r="AJ1059">
        <f>IF([3]Entry!$L$1062="","",[3]Entry!$L$1062)</f>
        <v/>
      </c>
      <c r="AK1059">
        <f>IF([3]Entry!$M$1062="","",[3]Entry!$M$1062)</f>
        <v/>
      </c>
      <c r="AL1059">
        <f>IF([3]Entry!$N$1062="","",[3]Entry!$N$1062)</f>
        <v/>
      </c>
      <c r="AM1059">
        <f>IF([3]Entry!$R$1062="","",[3]Entry!$R$1062)</f>
        <v/>
      </c>
    </row>
    <row r="1060">
      <c r="T1060">
        <f>IF([2]Baskol!$B$1063="","",[2]Baskol!$B$1063)</f>
        <v/>
      </c>
      <c r="U1060">
        <f>IF([2]Baskol!$C$1063="","",[2]Baskol!$C$1063)</f>
        <v/>
      </c>
      <c r="V1060">
        <f>IF([2]Baskol!$D$1063="","",[2]Baskol!$D$1063)</f>
        <v/>
      </c>
      <c r="W1060">
        <f>IF([2]Baskol!$E$1063="","",[2]Baskol!$E$1063)</f>
        <v/>
      </c>
      <c r="X1060">
        <f>IF([2]Baskol!$G$1063="","",[2]Baskol!$G$1063)</f>
        <v/>
      </c>
      <c r="Y1060">
        <f>IF([2]Baskol!$I$1063="","",[2]Baskol!$I$1063)</f>
        <v/>
      </c>
      <c r="Z1060">
        <f>IF([2]Baskol!$J$1063="","",[2]Baskol!$J$1063)</f>
        <v/>
      </c>
      <c r="AA1060">
        <f>IF([2]Baskol!$K$1063="","",[2]Baskol!$K$1063)</f>
        <v/>
      </c>
      <c r="AB1060">
        <f>IF([2]Baskol!$L$1063="","",[2]Baskol!$L$1063)</f>
        <v/>
      </c>
      <c r="AC1060">
        <f>IF([2]Baskol!$N$1063="","",[2]Baskol!$N$1063)</f>
        <v/>
      </c>
      <c r="AD1060">
        <f>IF([2]Baskol!$O$1063="","",[2]Baskol!$O$1063)</f>
        <v/>
      </c>
      <c r="AE1060">
        <f>IF([3]Entry!$C$1063="","",[3]Entry!$C$1063)</f>
        <v/>
      </c>
      <c r="AF1060">
        <f>IF([3]Entry!$D$1063="","",[3]Entry!$D$1063)</f>
        <v/>
      </c>
      <c r="AG1060">
        <f>IF([3]Entry!$E$1063="","",[3]Entry!$E$1063)</f>
        <v/>
      </c>
      <c r="AH1060">
        <f>IF([3]Entry!$G$1063="","",[3]Entry!$G$1063)</f>
        <v/>
      </c>
      <c r="AI1060">
        <f>IF([3]Entry!$K$1063="","",[3]Entry!$K$1063)</f>
        <v/>
      </c>
      <c r="AJ1060">
        <f>IF([3]Entry!$L$1063="","",[3]Entry!$L$1063)</f>
        <v/>
      </c>
      <c r="AK1060">
        <f>IF([3]Entry!$M$1063="","",[3]Entry!$M$1063)</f>
        <v/>
      </c>
      <c r="AL1060">
        <f>IF([3]Entry!$N$1063="","",[3]Entry!$N$1063)</f>
        <v/>
      </c>
      <c r="AM1060">
        <f>IF([3]Entry!$R$1063="","",[3]Entry!$R$1063)</f>
        <v/>
      </c>
    </row>
    <row r="1061">
      <c r="T1061">
        <f>IF([2]Baskol!$B$1064="","",[2]Baskol!$B$1064)</f>
        <v/>
      </c>
      <c r="U1061">
        <f>IF([2]Baskol!$C$1064="","",[2]Baskol!$C$1064)</f>
        <v/>
      </c>
      <c r="V1061">
        <f>IF([2]Baskol!$D$1064="","",[2]Baskol!$D$1064)</f>
        <v/>
      </c>
      <c r="W1061">
        <f>IF([2]Baskol!$E$1064="","",[2]Baskol!$E$1064)</f>
        <v/>
      </c>
      <c r="X1061">
        <f>IF([2]Baskol!$G$1064="","",[2]Baskol!$G$1064)</f>
        <v/>
      </c>
      <c r="Y1061">
        <f>IF([2]Baskol!$I$1064="","",[2]Baskol!$I$1064)</f>
        <v/>
      </c>
      <c r="Z1061">
        <f>IF([2]Baskol!$J$1064="","",[2]Baskol!$J$1064)</f>
        <v/>
      </c>
      <c r="AA1061">
        <f>IF([2]Baskol!$K$1064="","",[2]Baskol!$K$1064)</f>
        <v/>
      </c>
      <c r="AB1061">
        <f>IF([2]Baskol!$L$1064="","",[2]Baskol!$L$1064)</f>
        <v/>
      </c>
      <c r="AC1061">
        <f>IF([2]Baskol!$N$1064="","",[2]Baskol!$N$1064)</f>
        <v/>
      </c>
      <c r="AD1061">
        <f>IF([2]Baskol!$O$1064="","",[2]Baskol!$O$1064)</f>
        <v/>
      </c>
      <c r="AE1061">
        <f>IF([3]Entry!$C$1064="","",[3]Entry!$C$1064)</f>
        <v/>
      </c>
      <c r="AF1061">
        <f>IF([3]Entry!$D$1064="","",[3]Entry!$D$1064)</f>
        <v/>
      </c>
      <c r="AG1061">
        <f>IF([3]Entry!$E$1064="","",[3]Entry!$E$1064)</f>
        <v/>
      </c>
      <c r="AH1061">
        <f>IF([3]Entry!$G$1064="","",[3]Entry!$G$1064)</f>
        <v/>
      </c>
      <c r="AI1061">
        <f>IF([3]Entry!$K$1064="","",[3]Entry!$K$1064)</f>
        <v/>
      </c>
      <c r="AJ1061">
        <f>IF([3]Entry!$L$1064="","",[3]Entry!$L$1064)</f>
        <v/>
      </c>
      <c r="AK1061">
        <f>IF([3]Entry!$M$1064="","",[3]Entry!$M$1064)</f>
        <v/>
      </c>
      <c r="AL1061">
        <f>IF([3]Entry!$N$1064="","",[3]Entry!$N$1064)</f>
        <v/>
      </c>
      <c r="AM1061">
        <f>IF([3]Entry!$R$1064="","",[3]Entry!$R$1064)</f>
        <v/>
      </c>
    </row>
    <row r="1062">
      <c r="T1062">
        <f>IF([2]Baskol!$B$1065="","",[2]Baskol!$B$1065)</f>
        <v/>
      </c>
      <c r="U1062">
        <f>IF([2]Baskol!$C$1065="","",[2]Baskol!$C$1065)</f>
        <v/>
      </c>
      <c r="V1062">
        <f>IF([2]Baskol!$D$1065="","",[2]Baskol!$D$1065)</f>
        <v/>
      </c>
      <c r="W1062">
        <f>IF([2]Baskol!$E$1065="","",[2]Baskol!$E$1065)</f>
        <v/>
      </c>
      <c r="X1062">
        <f>IF([2]Baskol!$G$1065="","",[2]Baskol!$G$1065)</f>
        <v/>
      </c>
      <c r="Y1062">
        <f>IF([2]Baskol!$I$1065="","",[2]Baskol!$I$1065)</f>
        <v/>
      </c>
      <c r="Z1062">
        <f>IF([2]Baskol!$J$1065="","",[2]Baskol!$J$1065)</f>
        <v/>
      </c>
      <c r="AA1062">
        <f>IF([2]Baskol!$K$1065="","",[2]Baskol!$K$1065)</f>
        <v/>
      </c>
      <c r="AB1062">
        <f>IF([2]Baskol!$L$1065="","",[2]Baskol!$L$1065)</f>
        <v/>
      </c>
      <c r="AC1062">
        <f>IF([2]Baskol!$N$1065="","",[2]Baskol!$N$1065)</f>
        <v/>
      </c>
      <c r="AD1062">
        <f>IF([2]Baskol!$O$1065="","",[2]Baskol!$O$1065)</f>
        <v/>
      </c>
      <c r="AE1062">
        <f>IF([3]Entry!$C$1065="","",[3]Entry!$C$1065)</f>
        <v/>
      </c>
      <c r="AF1062">
        <f>IF([3]Entry!$D$1065="","",[3]Entry!$D$1065)</f>
        <v/>
      </c>
      <c r="AG1062">
        <f>IF([3]Entry!$E$1065="","",[3]Entry!$E$1065)</f>
        <v/>
      </c>
      <c r="AH1062">
        <f>IF([3]Entry!$G$1065="","",[3]Entry!$G$1065)</f>
        <v/>
      </c>
      <c r="AI1062">
        <f>IF([3]Entry!$K$1065="","",[3]Entry!$K$1065)</f>
        <v/>
      </c>
      <c r="AJ1062">
        <f>IF([3]Entry!$L$1065="","",[3]Entry!$L$1065)</f>
        <v/>
      </c>
      <c r="AK1062">
        <f>IF([3]Entry!$M$1065="","",[3]Entry!$M$1065)</f>
        <v/>
      </c>
      <c r="AL1062">
        <f>IF([3]Entry!$N$1065="","",[3]Entry!$N$1065)</f>
        <v/>
      </c>
      <c r="AM1062">
        <f>IF([3]Entry!$R$1065="","",[3]Entry!$R$1065)</f>
        <v/>
      </c>
    </row>
    <row r="1063">
      <c r="T1063">
        <f>IF([2]Baskol!$B$1066="","",[2]Baskol!$B$1066)</f>
        <v/>
      </c>
      <c r="U1063">
        <f>IF([2]Baskol!$C$1066="","",[2]Baskol!$C$1066)</f>
        <v/>
      </c>
      <c r="V1063">
        <f>IF([2]Baskol!$D$1066="","",[2]Baskol!$D$1066)</f>
        <v/>
      </c>
      <c r="W1063">
        <f>IF([2]Baskol!$E$1066="","",[2]Baskol!$E$1066)</f>
        <v/>
      </c>
      <c r="X1063">
        <f>IF([2]Baskol!$G$1066="","",[2]Baskol!$G$1066)</f>
        <v/>
      </c>
      <c r="Y1063">
        <f>IF([2]Baskol!$I$1066="","",[2]Baskol!$I$1066)</f>
        <v/>
      </c>
      <c r="Z1063">
        <f>IF([2]Baskol!$J$1066="","",[2]Baskol!$J$1066)</f>
        <v/>
      </c>
      <c r="AA1063">
        <f>IF([2]Baskol!$K$1066="","",[2]Baskol!$K$1066)</f>
        <v/>
      </c>
      <c r="AB1063">
        <f>IF([2]Baskol!$L$1066="","",[2]Baskol!$L$1066)</f>
        <v/>
      </c>
      <c r="AC1063">
        <f>IF([2]Baskol!$N$1066="","",[2]Baskol!$N$1066)</f>
        <v/>
      </c>
      <c r="AD1063">
        <f>IF([2]Baskol!$O$1066="","",[2]Baskol!$O$1066)</f>
        <v/>
      </c>
      <c r="AE1063">
        <f>IF([3]Entry!$C$1066="","",[3]Entry!$C$1066)</f>
        <v/>
      </c>
      <c r="AF1063">
        <f>IF([3]Entry!$D$1066="","",[3]Entry!$D$1066)</f>
        <v/>
      </c>
      <c r="AG1063">
        <f>IF([3]Entry!$E$1066="","",[3]Entry!$E$1066)</f>
        <v/>
      </c>
      <c r="AH1063">
        <f>IF([3]Entry!$G$1066="","",[3]Entry!$G$1066)</f>
        <v/>
      </c>
      <c r="AI1063">
        <f>IF([3]Entry!$K$1066="","",[3]Entry!$K$1066)</f>
        <v/>
      </c>
      <c r="AJ1063">
        <f>IF([3]Entry!$L$1066="","",[3]Entry!$L$1066)</f>
        <v/>
      </c>
      <c r="AK1063">
        <f>IF([3]Entry!$M$1066="","",[3]Entry!$M$1066)</f>
        <v/>
      </c>
      <c r="AL1063">
        <f>IF([3]Entry!$N$1066="","",[3]Entry!$N$1066)</f>
        <v/>
      </c>
      <c r="AM1063">
        <f>IF([3]Entry!$R$1066="","",[3]Entry!$R$1066)</f>
        <v/>
      </c>
    </row>
    <row r="1064">
      <c r="T1064">
        <f>IF([2]Baskol!$B$1067="","",[2]Baskol!$B$1067)</f>
        <v/>
      </c>
      <c r="U1064">
        <f>IF([2]Baskol!$C$1067="","",[2]Baskol!$C$1067)</f>
        <v/>
      </c>
      <c r="V1064">
        <f>IF([2]Baskol!$D$1067="","",[2]Baskol!$D$1067)</f>
        <v/>
      </c>
      <c r="W1064">
        <f>IF([2]Baskol!$E$1067="","",[2]Baskol!$E$1067)</f>
        <v/>
      </c>
      <c r="X1064">
        <f>IF([2]Baskol!$G$1067="","",[2]Baskol!$G$1067)</f>
        <v/>
      </c>
      <c r="Y1064">
        <f>IF([2]Baskol!$I$1067="","",[2]Baskol!$I$1067)</f>
        <v/>
      </c>
      <c r="Z1064">
        <f>IF([2]Baskol!$J$1067="","",[2]Baskol!$J$1067)</f>
        <v/>
      </c>
      <c r="AA1064">
        <f>IF([2]Baskol!$K$1067="","",[2]Baskol!$K$1067)</f>
        <v/>
      </c>
      <c r="AB1064">
        <f>IF([2]Baskol!$L$1067="","",[2]Baskol!$L$1067)</f>
        <v/>
      </c>
      <c r="AC1064">
        <f>IF([2]Baskol!$N$1067="","",[2]Baskol!$N$1067)</f>
        <v/>
      </c>
      <c r="AD1064">
        <f>IF([2]Baskol!$O$1067="","",[2]Baskol!$O$1067)</f>
        <v/>
      </c>
      <c r="AE1064">
        <f>IF([3]Entry!$C$1067="","",[3]Entry!$C$1067)</f>
        <v/>
      </c>
      <c r="AF1064">
        <f>IF([3]Entry!$D$1067="","",[3]Entry!$D$1067)</f>
        <v/>
      </c>
      <c r="AG1064">
        <f>IF([3]Entry!$E$1067="","",[3]Entry!$E$1067)</f>
        <v/>
      </c>
      <c r="AH1064">
        <f>IF([3]Entry!$G$1067="","",[3]Entry!$G$1067)</f>
        <v/>
      </c>
      <c r="AI1064">
        <f>IF([3]Entry!$K$1067="","",[3]Entry!$K$1067)</f>
        <v/>
      </c>
      <c r="AJ1064">
        <f>IF([3]Entry!$L$1067="","",[3]Entry!$L$1067)</f>
        <v/>
      </c>
      <c r="AK1064">
        <f>IF([3]Entry!$M$1067="","",[3]Entry!$M$1067)</f>
        <v/>
      </c>
      <c r="AL1064">
        <f>IF([3]Entry!$N$1067="","",[3]Entry!$N$1067)</f>
        <v/>
      </c>
      <c r="AM1064">
        <f>IF([3]Entry!$R$1067="","",[3]Entry!$R$1067)</f>
        <v/>
      </c>
    </row>
    <row r="1065">
      <c r="T1065">
        <f>IF([2]Baskol!$B$1068="","",[2]Baskol!$B$1068)</f>
        <v/>
      </c>
      <c r="U1065">
        <f>IF([2]Baskol!$C$1068="","",[2]Baskol!$C$1068)</f>
        <v/>
      </c>
      <c r="V1065">
        <f>IF([2]Baskol!$D$1068="","",[2]Baskol!$D$1068)</f>
        <v/>
      </c>
      <c r="W1065">
        <f>IF([2]Baskol!$E$1068="","",[2]Baskol!$E$1068)</f>
        <v/>
      </c>
      <c r="X1065">
        <f>IF([2]Baskol!$G$1068="","",[2]Baskol!$G$1068)</f>
        <v/>
      </c>
      <c r="Y1065">
        <f>IF([2]Baskol!$I$1068="","",[2]Baskol!$I$1068)</f>
        <v/>
      </c>
      <c r="Z1065">
        <f>IF([2]Baskol!$J$1068="","",[2]Baskol!$J$1068)</f>
        <v/>
      </c>
      <c r="AA1065">
        <f>IF([2]Baskol!$K$1068="","",[2]Baskol!$K$1068)</f>
        <v/>
      </c>
      <c r="AB1065">
        <f>IF([2]Baskol!$L$1068="","",[2]Baskol!$L$1068)</f>
        <v/>
      </c>
      <c r="AC1065">
        <f>IF([2]Baskol!$N$1068="","",[2]Baskol!$N$1068)</f>
        <v/>
      </c>
      <c r="AD1065">
        <f>IF([2]Baskol!$O$1068="","",[2]Baskol!$O$1068)</f>
        <v/>
      </c>
      <c r="AE1065">
        <f>IF([3]Entry!$C$1068="","",[3]Entry!$C$1068)</f>
        <v/>
      </c>
      <c r="AF1065">
        <f>IF([3]Entry!$D$1068="","",[3]Entry!$D$1068)</f>
        <v/>
      </c>
      <c r="AG1065">
        <f>IF([3]Entry!$E$1068="","",[3]Entry!$E$1068)</f>
        <v/>
      </c>
      <c r="AH1065">
        <f>IF([3]Entry!$G$1068="","",[3]Entry!$G$1068)</f>
        <v/>
      </c>
      <c r="AI1065">
        <f>IF([3]Entry!$K$1068="","",[3]Entry!$K$1068)</f>
        <v/>
      </c>
      <c r="AJ1065">
        <f>IF([3]Entry!$L$1068="","",[3]Entry!$L$1068)</f>
        <v/>
      </c>
      <c r="AK1065">
        <f>IF([3]Entry!$M$1068="","",[3]Entry!$M$1068)</f>
        <v/>
      </c>
      <c r="AL1065">
        <f>IF([3]Entry!$N$1068="","",[3]Entry!$N$1068)</f>
        <v/>
      </c>
      <c r="AM1065">
        <f>IF([3]Entry!$R$1068="","",[3]Entry!$R$1068)</f>
        <v/>
      </c>
    </row>
    <row r="1066">
      <c r="T1066">
        <f>IF([2]Baskol!$B$1069="","",[2]Baskol!$B$1069)</f>
        <v/>
      </c>
      <c r="U1066">
        <f>IF([2]Baskol!$C$1069="","",[2]Baskol!$C$1069)</f>
        <v/>
      </c>
      <c r="V1066">
        <f>IF([2]Baskol!$D$1069="","",[2]Baskol!$D$1069)</f>
        <v/>
      </c>
      <c r="W1066">
        <f>IF([2]Baskol!$E$1069="","",[2]Baskol!$E$1069)</f>
        <v/>
      </c>
      <c r="X1066">
        <f>IF([2]Baskol!$G$1069="","",[2]Baskol!$G$1069)</f>
        <v/>
      </c>
      <c r="Y1066">
        <f>IF([2]Baskol!$I$1069="","",[2]Baskol!$I$1069)</f>
        <v/>
      </c>
      <c r="Z1066">
        <f>IF([2]Baskol!$J$1069="","",[2]Baskol!$J$1069)</f>
        <v/>
      </c>
      <c r="AA1066">
        <f>IF([2]Baskol!$K$1069="","",[2]Baskol!$K$1069)</f>
        <v/>
      </c>
      <c r="AB1066">
        <f>IF([2]Baskol!$L$1069="","",[2]Baskol!$L$1069)</f>
        <v/>
      </c>
      <c r="AC1066">
        <f>IF([2]Baskol!$N$1069="","",[2]Baskol!$N$1069)</f>
        <v/>
      </c>
      <c r="AD1066">
        <f>IF([2]Baskol!$O$1069="","",[2]Baskol!$O$1069)</f>
        <v/>
      </c>
      <c r="AE1066">
        <f>IF([3]Entry!$C$1069="","",[3]Entry!$C$1069)</f>
        <v/>
      </c>
      <c r="AF1066">
        <f>IF([3]Entry!$D$1069="","",[3]Entry!$D$1069)</f>
        <v/>
      </c>
      <c r="AG1066">
        <f>IF([3]Entry!$E$1069="","",[3]Entry!$E$1069)</f>
        <v/>
      </c>
      <c r="AH1066">
        <f>IF([3]Entry!$G$1069="","",[3]Entry!$G$1069)</f>
        <v/>
      </c>
      <c r="AI1066">
        <f>IF([3]Entry!$K$1069="","",[3]Entry!$K$1069)</f>
        <v/>
      </c>
      <c r="AJ1066">
        <f>IF([3]Entry!$L$1069="","",[3]Entry!$L$1069)</f>
        <v/>
      </c>
      <c r="AK1066">
        <f>IF([3]Entry!$M$1069="","",[3]Entry!$M$1069)</f>
        <v/>
      </c>
      <c r="AL1066">
        <f>IF([3]Entry!$N$1069="","",[3]Entry!$N$1069)</f>
        <v/>
      </c>
      <c r="AM1066">
        <f>IF([3]Entry!$R$1069="","",[3]Entry!$R$1069)</f>
        <v/>
      </c>
    </row>
    <row r="1067">
      <c r="T1067">
        <f>IF([2]Baskol!$B$1070="","",[2]Baskol!$B$1070)</f>
        <v/>
      </c>
      <c r="U1067">
        <f>IF([2]Baskol!$C$1070="","",[2]Baskol!$C$1070)</f>
        <v/>
      </c>
      <c r="V1067">
        <f>IF([2]Baskol!$D$1070="","",[2]Baskol!$D$1070)</f>
        <v/>
      </c>
      <c r="W1067">
        <f>IF([2]Baskol!$E$1070="","",[2]Baskol!$E$1070)</f>
        <v/>
      </c>
      <c r="X1067">
        <f>IF([2]Baskol!$G$1070="","",[2]Baskol!$G$1070)</f>
        <v/>
      </c>
      <c r="Y1067">
        <f>IF([2]Baskol!$I$1070="","",[2]Baskol!$I$1070)</f>
        <v/>
      </c>
      <c r="Z1067">
        <f>IF([2]Baskol!$J$1070="","",[2]Baskol!$J$1070)</f>
        <v/>
      </c>
      <c r="AA1067">
        <f>IF([2]Baskol!$K$1070="","",[2]Baskol!$K$1070)</f>
        <v/>
      </c>
      <c r="AB1067">
        <f>IF([2]Baskol!$L$1070="","",[2]Baskol!$L$1070)</f>
        <v/>
      </c>
      <c r="AC1067">
        <f>IF([2]Baskol!$N$1070="","",[2]Baskol!$N$1070)</f>
        <v/>
      </c>
      <c r="AD1067">
        <f>IF([2]Baskol!$O$1070="","",[2]Baskol!$O$1070)</f>
        <v/>
      </c>
      <c r="AE1067">
        <f>IF([3]Entry!$C$1070="","",[3]Entry!$C$1070)</f>
        <v/>
      </c>
      <c r="AF1067">
        <f>IF([3]Entry!$D$1070="","",[3]Entry!$D$1070)</f>
        <v/>
      </c>
      <c r="AG1067">
        <f>IF([3]Entry!$E$1070="","",[3]Entry!$E$1070)</f>
        <v/>
      </c>
      <c r="AH1067">
        <f>IF([3]Entry!$G$1070="","",[3]Entry!$G$1070)</f>
        <v/>
      </c>
      <c r="AI1067">
        <f>IF([3]Entry!$K$1070="","",[3]Entry!$K$1070)</f>
        <v/>
      </c>
      <c r="AJ1067">
        <f>IF([3]Entry!$L$1070="","",[3]Entry!$L$1070)</f>
        <v/>
      </c>
      <c r="AK1067">
        <f>IF([3]Entry!$M$1070="","",[3]Entry!$M$1070)</f>
        <v/>
      </c>
      <c r="AL1067">
        <f>IF([3]Entry!$N$1070="","",[3]Entry!$N$1070)</f>
        <v/>
      </c>
      <c r="AM1067">
        <f>IF([3]Entry!$R$1070="","",[3]Entry!$R$1070)</f>
        <v/>
      </c>
    </row>
    <row r="1068">
      <c r="T1068">
        <f>IF([2]Baskol!$B$1071="","",[2]Baskol!$B$1071)</f>
        <v/>
      </c>
      <c r="U1068">
        <f>IF([2]Baskol!$C$1071="","",[2]Baskol!$C$1071)</f>
        <v/>
      </c>
      <c r="V1068">
        <f>IF([2]Baskol!$D$1071="","",[2]Baskol!$D$1071)</f>
        <v/>
      </c>
      <c r="W1068">
        <f>IF([2]Baskol!$E$1071="","",[2]Baskol!$E$1071)</f>
        <v/>
      </c>
      <c r="X1068">
        <f>IF([2]Baskol!$G$1071="","",[2]Baskol!$G$1071)</f>
        <v/>
      </c>
      <c r="Y1068">
        <f>IF([2]Baskol!$I$1071="","",[2]Baskol!$I$1071)</f>
        <v/>
      </c>
      <c r="Z1068">
        <f>IF([2]Baskol!$J$1071="","",[2]Baskol!$J$1071)</f>
        <v/>
      </c>
      <c r="AA1068">
        <f>IF([2]Baskol!$K$1071="","",[2]Baskol!$K$1071)</f>
        <v/>
      </c>
      <c r="AB1068">
        <f>IF([2]Baskol!$L$1071="","",[2]Baskol!$L$1071)</f>
        <v/>
      </c>
      <c r="AC1068">
        <f>IF([2]Baskol!$N$1071="","",[2]Baskol!$N$1071)</f>
        <v/>
      </c>
      <c r="AD1068">
        <f>IF([2]Baskol!$O$1071="","",[2]Baskol!$O$1071)</f>
        <v/>
      </c>
      <c r="AE1068">
        <f>IF([3]Entry!$C$1071="","",[3]Entry!$C$1071)</f>
        <v/>
      </c>
      <c r="AF1068">
        <f>IF([3]Entry!$D$1071="","",[3]Entry!$D$1071)</f>
        <v/>
      </c>
      <c r="AG1068">
        <f>IF([3]Entry!$E$1071="","",[3]Entry!$E$1071)</f>
        <v/>
      </c>
      <c r="AH1068">
        <f>IF([3]Entry!$G$1071="","",[3]Entry!$G$1071)</f>
        <v/>
      </c>
      <c r="AI1068">
        <f>IF([3]Entry!$K$1071="","",[3]Entry!$K$1071)</f>
        <v/>
      </c>
      <c r="AJ1068">
        <f>IF([3]Entry!$L$1071="","",[3]Entry!$L$1071)</f>
        <v/>
      </c>
      <c r="AK1068">
        <f>IF([3]Entry!$M$1071="","",[3]Entry!$M$1071)</f>
        <v/>
      </c>
      <c r="AL1068">
        <f>IF([3]Entry!$N$1071="","",[3]Entry!$N$1071)</f>
        <v/>
      </c>
      <c r="AM1068">
        <f>IF([3]Entry!$R$1071="","",[3]Entry!$R$1071)</f>
        <v/>
      </c>
    </row>
    <row r="1069">
      <c r="T1069">
        <f>IF([2]Baskol!$B$1072="","",[2]Baskol!$B$1072)</f>
        <v/>
      </c>
      <c r="U1069">
        <f>IF([2]Baskol!$C$1072="","",[2]Baskol!$C$1072)</f>
        <v/>
      </c>
      <c r="V1069">
        <f>IF([2]Baskol!$D$1072="","",[2]Baskol!$D$1072)</f>
        <v/>
      </c>
      <c r="W1069">
        <f>IF([2]Baskol!$E$1072="","",[2]Baskol!$E$1072)</f>
        <v/>
      </c>
      <c r="X1069">
        <f>IF([2]Baskol!$G$1072="","",[2]Baskol!$G$1072)</f>
        <v/>
      </c>
      <c r="Y1069">
        <f>IF([2]Baskol!$I$1072="","",[2]Baskol!$I$1072)</f>
        <v/>
      </c>
      <c r="Z1069">
        <f>IF([2]Baskol!$J$1072="","",[2]Baskol!$J$1072)</f>
        <v/>
      </c>
      <c r="AA1069">
        <f>IF([2]Baskol!$K$1072="","",[2]Baskol!$K$1072)</f>
        <v/>
      </c>
      <c r="AB1069">
        <f>IF([2]Baskol!$L$1072="","",[2]Baskol!$L$1072)</f>
        <v/>
      </c>
      <c r="AC1069">
        <f>IF([2]Baskol!$N$1072="","",[2]Baskol!$N$1072)</f>
        <v/>
      </c>
      <c r="AD1069">
        <f>IF([2]Baskol!$O$1072="","",[2]Baskol!$O$1072)</f>
        <v/>
      </c>
      <c r="AE1069">
        <f>IF([3]Entry!$C$1072="","",[3]Entry!$C$1072)</f>
        <v/>
      </c>
      <c r="AF1069">
        <f>IF([3]Entry!$D$1072="","",[3]Entry!$D$1072)</f>
        <v/>
      </c>
      <c r="AG1069">
        <f>IF([3]Entry!$E$1072="","",[3]Entry!$E$1072)</f>
        <v/>
      </c>
      <c r="AH1069">
        <f>IF([3]Entry!$G$1072="","",[3]Entry!$G$1072)</f>
        <v/>
      </c>
      <c r="AI1069">
        <f>IF([3]Entry!$K$1072="","",[3]Entry!$K$1072)</f>
        <v/>
      </c>
      <c r="AJ1069">
        <f>IF([3]Entry!$L$1072="","",[3]Entry!$L$1072)</f>
        <v/>
      </c>
      <c r="AK1069">
        <f>IF([3]Entry!$M$1072="","",[3]Entry!$M$1072)</f>
        <v/>
      </c>
      <c r="AL1069">
        <f>IF([3]Entry!$N$1072="","",[3]Entry!$N$1072)</f>
        <v/>
      </c>
      <c r="AM1069">
        <f>IF([3]Entry!$R$1072="","",[3]Entry!$R$1072)</f>
        <v/>
      </c>
    </row>
    <row r="1070">
      <c r="T1070">
        <f>IF([2]Baskol!$B$1073="","",[2]Baskol!$B$1073)</f>
        <v/>
      </c>
      <c r="U1070">
        <f>IF([2]Baskol!$C$1073="","",[2]Baskol!$C$1073)</f>
        <v/>
      </c>
      <c r="V1070">
        <f>IF([2]Baskol!$D$1073="","",[2]Baskol!$D$1073)</f>
        <v/>
      </c>
      <c r="W1070">
        <f>IF([2]Baskol!$E$1073="","",[2]Baskol!$E$1073)</f>
        <v/>
      </c>
      <c r="X1070">
        <f>IF([2]Baskol!$G$1073="","",[2]Baskol!$G$1073)</f>
        <v/>
      </c>
      <c r="Y1070">
        <f>IF([2]Baskol!$I$1073="","",[2]Baskol!$I$1073)</f>
        <v/>
      </c>
      <c r="Z1070">
        <f>IF([2]Baskol!$J$1073="","",[2]Baskol!$J$1073)</f>
        <v/>
      </c>
      <c r="AA1070">
        <f>IF([2]Baskol!$K$1073="","",[2]Baskol!$K$1073)</f>
        <v/>
      </c>
      <c r="AB1070">
        <f>IF([2]Baskol!$L$1073="","",[2]Baskol!$L$1073)</f>
        <v/>
      </c>
      <c r="AC1070">
        <f>IF([2]Baskol!$N$1073="","",[2]Baskol!$N$1073)</f>
        <v/>
      </c>
      <c r="AD1070">
        <f>IF([2]Baskol!$O$1073="","",[2]Baskol!$O$1073)</f>
        <v/>
      </c>
      <c r="AE1070">
        <f>IF([3]Entry!$C$1073="","",[3]Entry!$C$1073)</f>
        <v/>
      </c>
      <c r="AF1070">
        <f>IF([3]Entry!$D$1073="","",[3]Entry!$D$1073)</f>
        <v/>
      </c>
      <c r="AG1070">
        <f>IF([3]Entry!$E$1073="","",[3]Entry!$E$1073)</f>
        <v/>
      </c>
      <c r="AH1070">
        <f>IF([3]Entry!$G$1073="","",[3]Entry!$G$1073)</f>
        <v/>
      </c>
      <c r="AI1070">
        <f>IF([3]Entry!$K$1073="","",[3]Entry!$K$1073)</f>
        <v/>
      </c>
      <c r="AJ1070">
        <f>IF([3]Entry!$L$1073="","",[3]Entry!$L$1073)</f>
        <v/>
      </c>
      <c r="AK1070">
        <f>IF([3]Entry!$M$1073="","",[3]Entry!$M$1073)</f>
        <v/>
      </c>
      <c r="AL1070">
        <f>IF([3]Entry!$N$1073="","",[3]Entry!$N$1073)</f>
        <v/>
      </c>
      <c r="AM1070">
        <f>IF([3]Entry!$R$1073="","",[3]Entry!$R$1073)</f>
        <v/>
      </c>
    </row>
    <row r="1071">
      <c r="T1071">
        <f>IF([2]Baskol!$B$1074="","",[2]Baskol!$B$1074)</f>
        <v/>
      </c>
      <c r="U1071">
        <f>IF([2]Baskol!$C$1074="","",[2]Baskol!$C$1074)</f>
        <v/>
      </c>
      <c r="V1071">
        <f>IF([2]Baskol!$D$1074="","",[2]Baskol!$D$1074)</f>
        <v/>
      </c>
      <c r="W1071">
        <f>IF([2]Baskol!$E$1074="","",[2]Baskol!$E$1074)</f>
        <v/>
      </c>
      <c r="X1071">
        <f>IF([2]Baskol!$G$1074="","",[2]Baskol!$G$1074)</f>
        <v/>
      </c>
      <c r="Y1071">
        <f>IF([2]Baskol!$I$1074="","",[2]Baskol!$I$1074)</f>
        <v/>
      </c>
      <c r="Z1071">
        <f>IF([2]Baskol!$J$1074="","",[2]Baskol!$J$1074)</f>
        <v/>
      </c>
      <c r="AA1071">
        <f>IF([2]Baskol!$K$1074="","",[2]Baskol!$K$1074)</f>
        <v/>
      </c>
      <c r="AB1071">
        <f>IF([2]Baskol!$L$1074="","",[2]Baskol!$L$1074)</f>
        <v/>
      </c>
      <c r="AC1071">
        <f>IF([2]Baskol!$N$1074="","",[2]Baskol!$N$1074)</f>
        <v/>
      </c>
      <c r="AD1071">
        <f>IF([2]Baskol!$O$1074="","",[2]Baskol!$O$1074)</f>
        <v/>
      </c>
      <c r="AE1071">
        <f>IF([3]Entry!$C$1074="","",[3]Entry!$C$1074)</f>
        <v/>
      </c>
      <c r="AF1071">
        <f>IF([3]Entry!$D$1074="","",[3]Entry!$D$1074)</f>
        <v/>
      </c>
      <c r="AG1071">
        <f>IF([3]Entry!$E$1074="","",[3]Entry!$E$1074)</f>
        <v/>
      </c>
      <c r="AH1071">
        <f>IF([3]Entry!$G$1074="","",[3]Entry!$G$1074)</f>
        <v/>
      </c>
      <c r="AI1071">
        <f>IF([3]Entry!$K$1074="","",[3]Entry!$K$1074)</f>
        <v/>
      </c>
      <c r="AJ1071">
        <f>IF([3]Entry!$L$1074="","",[3]Entry!$L$1074)</f>
        <v/>
      </c>
      <c r="AK1071">
        <f>IF([3]Entry!$M$1074="","",[3]Entry!$M$1074)</f>
        <v/>
      </c>
      <c r="AL1071">
        <f>IF([3]Entry!$N$1074="","",[3]Entry!$N$1074)</f>
        <v/>
      </c>
      <c r="AM1071">
        <f>IF([3]Entry!$R$1074="","",[3]Entry!$R$1074)</f>
        <v/>
      </c>
    </row>
    <row r="1072">
      <c r="T1072">
        <f>IF([2]Baskol!$B$1075="","",[2]Baskol!$B$1075)</f>
        <v/>
      </c>
      <c r="U1072">
        <f>IF([2]Baskol!$C$1075="","",[2]Baskol!$C$1075)</f>
        <v/>
      </c>
      <c r="V1072">
        <f>IF([2]Baskol!$D$1075="","",[2]Baskol!$D$1075)</f>
        <v/>
      </c>
      <c r="W1072">
        <f>IF([2]Baskol!$E$1075="","",[2]Baskol!$E$1075)</f>
        <v/>
      </c>
      <c r="X1072">
        <f>IF([2]Baskol!$G$1075="","",[2]Baskol!$G$1075)</f>
        <v/>
      </c>
      <c r="Y1072">
        <f>IF([2]Baskol!$I$1075="","",[2]Baskol!$I$1075)</f>
        <v/>
      </c>
      <c r="Z1072">
        <f>IF([2]Baskol!$J$1075="","",[2]Baskol!$J$1075)</f>
        <v/>
      </c>
      <c r="AA1072">
        <f>IF([2]Baskol!$K$1075="","",[2]Baskol!$K$1075)</f>
        <v/>
      </c>
      <c r="AB1072">
        <f>IF([2]Baskol!$L$1075="","",[2]Baskol!$L$1075)</f>
        <v/>
      </c>
      <c r="AC1072">
        <f>IF([2]Baskol!$N$1075="","",[2]Baskol!$N$1075)</f>
        <v/>
      </c>
      <c r="AD1072">
        <f>IF([2]Baskol!$O$1075="","",[2]Baskol!$O$1075)</f>
        <v/>
      </c>
      <c r="AE1072">
        <f>IF([3]Entry!$C$1075="","",[3]Entry!$C$1075)</f>
        <v/>
      </c>
      <c r="AF1072">
        <f>IF([3]Entry!$D$1075="","",[3]Entry!$D$1075)</f>
        <v/>
      </c>
      <c r="AG1072">
        <f>IF([3]Entry!$E$1075="","",[3]Entry!$E$1075)</f>
        <v/>
      </c>
      <c r="AH1072">
        <f>IF([3]Entry!$G$1075="","",[3]Entry!$G$1075)</f>
        <v/>
      </c>
      <c r="AI1072">
        <f>IF([3]Entry!$K$1075="","",[3]Entry!$K$1075)</f>
        <v/>
      </c>
      <c r="AJ1072">
        <f>IF([3]Entry!$L$1075="","",[3]Entry!$L$1075)</f>
        <v/>
      </c>
      <c r="AK1072">
        <f>IF([3]Entry!$M$1075="","",[3]Entry!$M$1075)</f>
        <v/>
      </c>
      <c r="AL1072">
        <f>IF([3]Entry!$N$1075="","",[3]Entry!$N$1075)</f>
        <v/>
      </c>
      <c r="AM1072">
        <f>IF([3]Entry!$R$1075="","",[3]Entry!$R$1075)</f>
        <v/>
      </c>
    </row>
    <row r="1073">
      <c r="T1073">
        <f>IF([2]Baskol!$B$1076="","",[2]Baskol!$B$1076)</f>
        <v/>
      </c>
      <c r="U1073">
        <f>IF([2]Baskol!$C$1076="","",[2]Baskol!$C$1076)</f>
        <v/>
      </c>
      <c r="V1073">
        <f>IF([2]Baskol!$D$1076="","",[2]Baskol!$D$1076)</f>
        <v/>
      </c>
      <c r="W1073">
        <f>IF([2]Baskol!$E$1076="","",[2]Baskol!$E$1076)</f>
        <v/>
      </c>
      <c r="X1073">
        <f>IF([2]Baskol!$G$1076="","",[2]Baskol!$G$1076)</f>
        <v/>
      </c>
      <c r="Y1073">
        <f>IF([2]Baskol!$I$1076="","",[2]Baskol!$I$1076)</f>
        <v/>
      </c>
      <c r="Z1073">
        <f>IF([2]Baskol!$J$1076="","",[2]Baskol!$J$1076)</f>
        <v/>
      </c>
      <c r="AA1073">
        <f>IF([2]Baskol!$K$1076="","",[2]Baskol!$K$1076)</f>
        <v/>
      </c>
      <c r="AB1073">
        <f>IF([2]Baskol!$L$1076="","",[2]Baskol!$L$1076)</f>
        <v/>
      </c>
      <c r="AC1073">
        <f>IF([2]Baskol!$N$1076="","",[2]Baskol!$N$1076)</f>
        <v/>
      </c>
      <c r="AD1073">
        <f>IF([2]Baskol!$O$1076="","",[2]Baskol!$O$1076)</f>
        <v/>
      </c>
      <c r="AE1073">
        <f>IF([3]Entry!$C$1076="","",[3]Entry!$C$1076)</f>
        <v/>
      </c>
      <c r="AF1073">
        <f>IF([3]Entry!$D$1076="","",[3]Entry!$D$1076)</f>
        <v/>
      </c>
      <c r="AG1073">
        <f>IF([3]Entry!$E$1076="","",[3]Entry!$E$1076)</f>
        <v/>
      </c>
      <c r="AH1073">
        <f>IF([3]Entry!$G$1076="","",[3]Entry!$G$1076)</f>
        <v/>
      </c>
      <c r="AI1073">
        <f>IF([3]Entry!$K$1076="","",[3]Entry!$K$1076)</f>
        <v/>
      </c>
      <c r="AJ1073">
        <f>IF([3]Entry!$L$1076="","",[3]Entry!$L$1076)</f>
        <v/>
      </c>
      <c r="AK1073">
        <f>IF([3]Entry!$M$1076="","",[3]Entry!$M$1076)</f>
        <v/>
      </c>
      <c r="AL1073">
        <f>IF([3]Entry!$N$1076="","",[3]Entry!$N$1076)</f>
        <v/>
      </c>
      <c r="AM1073">
        <f>IF([3]Entry!$R$1076="","",[3]Entry!$R$1076)</f>
        <v/>
      </c>
    </row>
    <row r="1074">
      <c r="T1074">
        <f>IF([2]Baskol!$B$1077="","",[2]Baskol!$B$1077)</f>
        <v/>
      </c>
      <c r="U1074">
        <f>IF([2]Baskol!$C$1077="","",[2]Baskol!$C$1077)</f>
        <v/>
      </c>
      <c r="V1074">
        <f>IF([2]Baskol!$D$1077="","",[2]Baskol!$D$1077)</f>
        <v/>
      </c>
      <c r="W1074">
        <f>IF([2]Baskol!$E$1077="","",[2]Baskol!$E$1077)</f>
        <v/>
      </c>
      <c r="X1074">
        <f>IF([2]Baskol!$G$1077="","",[2]Baskol!$G$1077)</f>
        <v/>
      </c>
      <c r="Y1074">
        <f>IF([2]Baskol!$I$1077="","",[2]Baskol!$I$1077)</f>
        <v/>
      </c>
      <c r="Z1074">
        <f>IF([2]Baskol!$J$1077="","",[2]Baskol!$J$1077)</f>
        <v/>
      </c>
      <c r="AA1074">
        <f>IF([2]Baskol!$K$1077="","",[2]Baskol!$K$1077)</f>
        <v/>
      </c>
      <c r="AB1074">
        <f>IF([2]Baskol!$L$1077="","",[2]Baskol!$L$1077)</f>
        <v/>
      </c>
      <c r="AC1074">
        <f>IF([2]Baskol!$N$1077="","",[2]Baskol!$N$1077)</f>
        <v/>
      </c>
      <c r="AD1074">
        <f>IF([2]Baskol!$O$1077="","",[2]Baskol!$O$1077)</f>
        <v/>
      </c>
      <c r="AE1074">
        <f>IF([3]Entry!$C$1077="","",[3]Entry!$C$1077)</f>
        <v/>
      </c>
      <c r="AF1074">
        <f>IF([3]Entry!$D$1077="","",[3]Entry!$D$1077)</f>
        <v/>
      </c>
      <c r="AG1074">
        <f>IF([3]Entry!$E$1077="","",[3]Entry!$E$1077)</f>
        <v/>
      </c>
      <c r="AH1074">
        <f>IF([3]Entry!$G$1077="","",[3]Entry!$G$1077)</f>
        <v/>
      </c>
      <c r="AI1074">
        <f>IF([3]Entry!$K$1077="","",[3]Entry!$K$1077)</f>
        <v/>
      </c>
      <c r="AJ1074">
        <f>IF([3]Entry!$L$1077="","",[3]Entry!$L$1077)</f>
        <v/>
      </c>
      <c r="AK1074">
        <f>IF([3]Entry!$M$1077="","",[3]Entry!$M$1077)</f>
        <v/>
      </c>
      <c r="AL1074">
        <f>IF([3]Entry!$N$1077="","",[3]Entry!$N$1077)</f>
        <v/>
      </c>
      <c r="AM1074">
        <f>IF([3]Entry!$R$1077="","",[3]Entry!$R$1077)</f>
        <v/>
      </c>
    </row>
    <row r="1075">
      <c r="T1075">
        <f>IF([2]Baskol!$B$1078="","",[2]Baskol!$B$1078)</f>
        <v/>
      </c>
      <c r="U1075">
        <f>IF([2]Baskol!$C$1078="","",[2]Baskol!$C$1078)</f>
        <v/>
      </c>
      <c r="V1075">
        <f>IF([2]Baskol!$D$1078="","",[2]Baskol!$D$1078)</f>
        <v/>
      </c>
      <c r="W1075">
        <f>IF([2]Baskol!$E$1078="","",[2]Baskol!$E$1078)</f>
        <v/>
      </c>
      <c r="X1075">
        <f>IF([2]Baskol!$G$1078="","",[2]Baskol!$G$1078)</f>
        <v/>
      </c>
      <c r="Y1075">
        <f>IF([2]Baskol!$I$1078="","",[2]Baskol!$I$1078)</f>
        <v/>
      </c>
      <c r="Z1075">
        <f>IF([2]Baskol!$J$1078="","",[2]Baskol!$J$1078)</f>
        <v/>
      </c>
      <c r="AA1075">
        <f>IF([2]Baskol!$K$1078="","",[2]Baskol!$K$1078)</f>
        <v/>
      </c>
      <c r="AB1075">
        <f>IF([2]Baskol!$L$1078="","",[2]Baskol!$L$1078)</f>
        <v/>
      </c>
      <c r="AC1075">
        <f>IF([2]Baskol!$N$1078="","",[2]Baskol!$N$1078)</f>
        <v/>
      </c>
      <c r="AD1075">
        <f>IF([2]Baskol!$O$1078="","",[2]Baskol!$O$1078)</f>
        <v/>
      </c>
      <c r="AE1075">
        <f>IF([3]Entry!$C$1078="","",[3]Entry!$C$1078)</f>
        <v/>
      </c>
      <c r="AF1075">
        <f>IF([3]Entry!$D$1078="","",[3]Entry!$D$1078)</f>
        <v/>
      </c>
      <c r="AG1075">
        <f>IF([3]Entry!$E$1078="","",[3]Entry!$E$1078)</f>
        <v/>
      </c>
      <c r="AH1075">
        <f>IF([3]Entry!$G$1078="","",[3]Entry!$G$1078)</f>
        <v/>
      </c>
      <c r="AI1075">
        <f>IF([3]Entry!$K$1078="","",[3]Entry!$K$1078)</f>
        <v/>
      </c>
      <c r="AJ1075">
        <f>IF([3]Entry!$L$1078="","",[3]Entry!$L$1078)</f>
        <v/>
      </c>
      <c r="AK1075">
        <f>IF([3]Entry!$M$1078="","",[3]Entry!$M$1078)</f>
        <v/>
      </c>
      <c r="AL1075">
        <f>IF([3]Entry!$N$1078="","",[3]Entry!$N$1078)</f>
        <v/>
      </c>
      <c r="AM1075">
        <f>IF([3]Entry!$R$1078="","",[3]Entry!$R$1078)</f>
        <v/>
      </c>
    </row>
    <row r="1076">
      <c r="T1076">
        <f>IF([2]Baskol!$B$1079="","",[2]Baskol!$B$1079)</f>
        <v/>
      </c>
      <c r="U1076">
        <f>IF([2]Baskol!$C$1079="","",[2]Baskol!$C$1079)</f>
        <v/>
      </c>
      <c r="V1076">
        <f>IF([2]Baskol!$D$1079="","",[2]Baskol!$D$1079)</f>
        <v/>
      </c>
      <c r="W1076">
        <f>IF([2]Baskol!$E$1079="","",[2]Baskol!$E$1079)</f>
        <v/>
      </c>
      <c r="X1076">
        <f>IF([2]Baskol!$G$1079="","",[2]Baskol!$G$1079)</f>
        <v/>
      </c>
      <c r="Y1076">
        <f>IF([2]Baskol!$I$1079="","",[2]Baskol!$I$1079)</f>
        <v/>
      </c>
      <c r="Z1076">
        <f>IF([2]Baskol!$J$1079="","",[2]Baskol!$J$1079)</f>
        <v/>
      </c>
      <c r="AA1076">
        <f>IF([2]Baskol!$K$1079="","",[2]Baskol!$K$1079)</f>
        <v/>
      </c>
      <c r="AB1076">
        <f>IF([2]Baskol!$L$1079="","",[2]Baskol!$L$1079)</f>
        <v/>
      </c>
      <c r="AC1076">
        <f>IF([2]Baskol!$N$1079="","",[2]Baskol!$N$1079)</f>
        <v/>
      </c>
      <c r="AD1076">
        <f>IF([2]Baskol!$O$1079="","",[2]Baskol!$O$1079)</f>
        <v/>
      </c>
      <c r="AE1076">
        <f>IF([3]Entry!$C$1079="","",[3]Entry!$C$1079)</f>
        <v/>
      </c>
      <c r="AF1076">
        <f>IF([3]Entry!$D$1079="","",[3]Entry!$D$1079)</f>
        <v/>
      </c>
      <c r="AG1076">
        <f>IF([3]Entry!$E$1079="","",[3]Entry!$E$1079)</f>
        <v/>
      </c>
      <c r="AH1076">
        <f>IF([3]Entry!$G$1079="","",[3]Entry!$G$1079)</f>
        <v/>
      </c>
      <c r="AI1076">
        <f>IF([3]Entry!$K$1079="","",[3]Entry!$K$1079)</f>
        <v/>
      </c>
      <c r="AJ1076">
        <f>IF([3]Entry!$L$1079="","",[3]Entry!$L$1079)</f>
        <v/>
      </c>
      <c r="AK1076">
        <f>IF([3]Entry!$M$1079="","",[3]Entry!$M$1079)</f>
        <v/>
      </c>
      <c r="AL1076">
        <f>IF([3]Entry!$N$1079="","",[3]Entry!$N$1079)</f>
        <v/>
      </c>
      <c r="AM1076">
        <f>IF([3]Entry!$R$1079="","",[3]Entry!$R$1079)</f>
        <v/>
      </c>
    </row>
    <row r="1077">
      <c r="T1077">
        <f>IF([2]Baskol!$B$1080="","",[2]Baskol!$B$1080)</f>
        <v/>
      </c>
      <c r="U1077">
        <f>IF([2]Baskol!$C$1080="","",[2]Baskol!$C$1080)</f>
        <v/>
      </c>
      <c r="V1077">
        <f>IF([2]Baskol!$D$1080="","",[2]Baskol!$D$1080)</f>
        <v/>
      </c>
      <c r="W1077">
        <f>IF([2]Baskol!$E$1080="","",[2]Baskol!$E$1080)</f>
        <v/>
      </c>
      <c r="X1077">
        <f>IF([2]Baskol!$G$1080="","",[2]Baskol!$G$1080)</f>
        <v/>
      </c>
      <c r="Y1077">
        <f>IF([2]Baskol!$I$1080="","",[2]Baskol!$I$1080)</f>
        <v/>
      </c>
      <c r="Z1077">
        <f>IF([2]Baskol!$J$1080="","",[2]Baskol!$J$1080)</f>
        <v/>
      </c>
      <c r="AA1077">
        <f>IF([2]Baskol!$K$1080="","",[2]Baskol!$K$1080)</f>
        <v/>
      </c>
      <c r="AB1077">
        <f>IF([2]Baskol!$L$1080="","",[2]Baskol!$L$1080)</f>
        <v/>
      </c>
      <c r="AC1077">
        <f>IF([2]Baskol!$N$1080="","",[2]Baskol!$N$1080)</f>
        <v/>
      </c>
      <c r="AD1077">
        <f>IF([2]Baskol!$O$1080="","",[2]Baskol!$O$1080)</f>
        <v/>
      </c>
      <c r="AE1077">
        <f>IF([3]Entry!$C$1080="","",[3]Entry!$C$1080)</f>
        <v/>
      </c>
      <c r="AF1077">
        <f>IF([3]Entry!$D$1080="","",[3]Entry!$D$1080)</f>
        <v/>
      </c>
      <c r="AG1077">
        <f>IF([3]Entry!$E$1080="","",[3]Entry!$E$1080)</f>
        <v/>
      </c>
      <c r="AH1077">
        <f>IF([3]Entry!$G$1080="","",[3]Entry!$G$1080)</f>
        <v/>
      </c>
      <c r="AI1077">
        <f>IF([3]Entry!$K$1080="","",[3]Entry!$K$1080)</f>
        <v/>
      </c>
      <c r="AJ1077">
        <f>IF([3]Entry!$L$1080="","",[3]Entry!$L$1080)</f>
        <v/>
      </c>
      <c r="AK1077">
        <f>IF([3]Entry!$M$1080="","",[3]Entry!$M$1080)</f>
        <v/>
      </c>
      <c r="AL1077">
        <f>IF([3]Entry!$N$1080="","",[3]Entry!$N$1080)</f>
        <v/>
      </c>
      <c r="AM1077">
        <f>IF([3]Entry!$R$1080="","",[3]Entry!$R$1080)</f>
        <v/>
      </c>
    </row>
    <row r="1078">
      <c r="T1078">
        <f>IF([2]Baskol!$B$1081="","",[2]Baskol!$B$1081)</f>
        <v/>
      </c>
      <c r="U1078">
        <f>IF([2]Baskol!$C$1081="","",[2]Baskol!$C$1081)</f>
        <v/>
      </c>
      <c r="V1078">
        <f>IF([2]Baskol!$D$1081="","",[2]Baskol!$D$1081)</f>
        <v/>
      </c>
      <c r="W1078">
        <f>IF([2]Baskol!$E$1081="","",[2]Baskol!$E$1081)</f>
        <v/>
      </c>
      <c r="X1078">
        <f>IF([2]Baskol!$G$1081="","",[2]Baskol!$G$1081)</f>
        <v/>
      </c>
      <c r="Y1078">
        <f>IF([2]Baskol!$I$1081="","",[2]Baskol!$I$1081)</f>
        <v/>
      </c>
      <c r="Z1078">
        <f>IF([2]Baskol!$J$1081="","",[2]Baskol!$J$1081)</f>
        <v/>
      </c>
      <c r="AA1078">
        <f>IF([2]Baskol!$K$1081="","",[2]Baskol!$K$1081)</f>
        <v/>
      </c>
      <c r="AB1078">
        <f>IF([2]Baskol!$L$1081="","",[2]Baskol!$L$1081)</f>
        <v/>
      </c>
      <c r="AC1078">
        <f>IF([2]Baskol!$N$1081="","",[2]Baskol!$N$1081)</f>
        <v/>
      </c>
      <c r="AD1078">
        <f>IF([2]Baskol!$O$1081="","",[2]Baskol!$O$1081)</f>
        <v/>
      </c>
      <c r="AE1078">
        <f>IF([3]Entry!$C$1081="","",[3]Entry!$C$1081)</f>
        <v/>
      </c>
      <c r="AF1078">
        <f>IF([3]Entry!$D$1081="","",[3]Entry!$D$1081)</f>
        <v/>
      </c>
      <c r="AG1078">
        <f>IF([3]Entry!$E$1081="","",[3]Entry!$E$1081)</f>
        <v/>
      </c>
      <c r="AH1078">
        <f>IF([3]Entry!$G$1081="","",[3]Entry!$G$1081)</f>
        <v/>
      </c>
      <c r="AI1078">
        <f>IF([3]Entry!$K$1081="","",[3]Entry!$K$1081)</f>
        <v/>
      </c>
      <c r="AJ1078">
        <f>IF([3]Entry!$L$1081="","",[3]Entry!$L$1081)</f>
        <v/>
      </c>
      <c r="AK1078">
        <f>IF([3]Entry!$M$1081="","",[3]Entry!$M$1081)</f>
        <v/>
      </c>
      <c r="AL1078">
        <f>IF([3]Entry!$N$1081="","",[3]Entry!$N$1081)</f>
        <v/>
      </c>
      <c r="AM1078">
        <f>IF([3]Entry!$R$1081="","",[3]Entry!$R$1081)</f>
        <v/>
      </c>
    </row>
    <row r="1079">
      <c r="T1079">
        <f>IF([2]Baskol!$B$1082="","",[2]Baskol!$B$1082)</f>
        <v/>
      </c>
      <c r="U1079">
        <f>IF([2]Baskol!$C$1082="","",[2]Baskol!$C$1082)</f>
        <v/>
      </c>
      <c r="V1079">
        <f>IF([2]Baskol!$D$1082="","",[2]Baskol!$D$1082)</f>
        <v/>
      </c>
      <c r="W1079">
        <f>IF([2]Baskol!$E$1082="","",[2]Baskol!$E$1082)</f>
        <v/>
      </c>
      <c r="X1079">
        <f>IF([2]Baskol!$G$1082="","",[2]Baskol!$G$1082)</f>
        <v/>
      </c>
      <c r="Y1079">
        <f>IF([2]Baskol!$I$1082="","",[2]Baskol!$I$1082)</f>
        <v/>
      </c>
      <c r="Z1079">
        <f>IF([2]Baskol!$J$1082="","",[2]Baskol!$J$1082)</f>
        <v/>
      </c>
      <c r="AA1079">
        <f>IF([2]Baskol!$K$1082="","",[2]Baskol!$K$1082)</f>
        <v/>
      </c>
      <c r="AB1079">
        <f>IF([2]Baskol!$L$1082="","",[2]Baskol!$L$1082)</f>
        <v/>
      </c>
      <c r="AC1079">
        <f>IF([2]Baskol!$N$1082="","",[2]Baskol!$N$1082)</f>
        <v/>
      </c>
      <c r="AD1079">
        <f>IF([2]Baskol!$O$1082="","",[2]Baskol!$O$1082)</f>
        <v/>
      </c>
      <c r="AE1079">
        <f>IF([3]Entry!$C$1082="","",[3]Entry!$C$1082)</f>
        <v/>
      </c>
      <c r="AF1079">
        <f>IF([3]Entry!$D$1082="","",[3]Entry!$D$1082)</f>
        <v/>
      </c>
      <c r="AG1079">
        <f>IF([3]Entry!$E$1082="","",[3]Entry!$E$1082)</f>
        <v/>
      </c>
      <c r="AH1079">
        <f>IF([3]Entry!$G$1082="","",[3]Entry!$G$1082)</f>
        <v/>
      </c>
      <c r="AI1079">
        <f>IF([3]Entry!$K$1082="","",[3]Entry!$K$1082)</f>
        <v/>
      </c>
      <c r="AJ1079">
        <f>IF([3]Entry!$L$1082="","",[3]Entry!$L$1082)</f>
        <v/>
      </c>
      <c r="AK1079">
        <f>IF([3]Entry!$M$1082="","",[3]Entry!$M$1082)</f>
        <v/>
      </c>
      <c r="AL1079">
        <f>IF([3]Entry!$N$1082="","",[3]Entry!$N$1082)</f>
        <v/>
      </c>
      <c r="AM1079">
        <f>IF([3]Entry!$R$1082="","",[3]Entry!$R$1082)</f>
        <v/>
      </c>
    </row>
    <row r="1080">
      <c r="T1080">
        <f>IF([2]Baskol!$B$1083="","",[2]Baskol!$B$1083)</f>
        <v/>
      </c>
      <c r="U1080">
        <f>IF([2]Baskol!$C$1083="","",[2]Baskol!$C$1083)</f>
        <v/>
      </c>
      <c r="V1080">
        <f>IF([2]Baskol!$D$1083="","",[2]Baskol!$D$1083)</f>
        <v/>
      </c>
      <c r="W1080">
        <f>IF([2]Baskol!$E$1083="","",[2]Baskol!$E$1083)</f>
        <v/>
      </c>
      <c r="X1080">
        <f>IF([2]Baskol!$G$1083="","",[2]Baskol!$G$1083)</f>
        <v/>
      </c>
      <c r="Y1080">
        <f>IF([2]Baskol!$I$1083="","",[2]Baskol!$I$1083)</f>
        <v/>
      </c>
      <c r="Z1080">
        <f>IF([2]Baskol!$J$1083="","",[2]Baskol!$J$1083)</f>
        <v/>
      </c>
      <c r="AA1080">
        <f>IF([2]Baskol!$K$1083="","",[2]Baskol!$K$1083)</f>
        <v/>
      </c>
      <c r="AB1080">
        <f>IF([2]Baskol!$L$1083="","",[2]Baskol!$L$1083)</f>
        <v/>
      </c>
      <c r="AC1080">
        <f>IF([2]Baskol!$N$1083="","",[2]Baskol!$N$1083)</f>
        <v/>
      </c>
      <c r="AD1080">
        <f>IF([2]Baskol!$O$1083="","",[2]Baskol!$O$1083)</f>
        <v/>
      </c>
      <c r="AE1080">
        <f>IF([3]Entry!$C$1083="","",[3]Entry!$C$1083)</f>
        <v/>
      </c>
      <c r="AF1080">
        <f>IF([3]Entry!$D$1083="","",[3]Entry!$D$1083)</f>
        <v/>
      </c>
      <c r="AG1080">
        <f>IF([3]Entry!$E$1083="","",[3]Entry!$E$1083)</f>
        <v/>
      </c>
      <c r="AH1080">
        <f>IF([3]Entry!$G$1083="","",[3]Entry!$G$1083)</f>
        <v/>
      </c>
      <c r="AI1080">
        <f>IF([3]Entry!$K$1083="","",[3]Entry!$K$1083)</f>
        <v/>
      </c>
      <c r="AJ1080">
        <f>IF([3]Entry!$L$1083="","",[3]Entry!$L$1083)</f>
        <v/>
      </c>
      <c r="AK1080">
        <f>IF([3]Entry!$M$1083="","",[3]Entry!$M$1083)</f>
        <v/>
      </c>
      <c r="AL1080">
        <f>IF([3]Entry!$N$1083="","",[3]Entry!$N$1083)</f>
        <v/>
      </c>
      <c r="AM1080">
        <f>IF([3]Entry!$R$1083="","",[3]Entry!$R$1083)</f>
        <v/>
      </c>
    </row>
    <row r="1081">
      <c r="T1081">
        <f>IF([2]Baskol!$B$1084="","",[2]Baskol!$B$1084)</f>
        <v/>
      </c>
      <c r="U1081">
        <f>IF([2]Baskol!$C$1084="","",[2]Baskol!$C$1084)</f>
        <v/>
      </c>
      <c r="V1081">
        <f>IF([2]Baskol!$D$1084="","",[2]Baskol!$D$1084)</f>
        <v/>
      </c>
      <c r="W1081">
        <f>IF([2]Baskol!$E$1084="","",[2]Baskol!$E$1084)</f>
        <v/>
      </c>
      <c r="X1081">
        <f>IF([2]Baskol!$G$1084="","",[2]Baskol!$G$1084)</f>
        <v/>
      </c>
      <c r="Y1081">
        <f>IF([2]Baskol!$I$1084="","",[2]Baskol!$I$1084)</f>
        <v/>
      </c>
      <c r="Z1081">
        <f>IF([2]Baskol!$J$1084="","",[2]Baskol!$J$1084)</f>
        <v/>
      </c>
      <c r="AA1081">
        <f>IF([2]Baskol!$K$1084="","",[2]Baskol!$K$1084)</f>
        <v/>
      </c>
      <c r="AB1081">
        <f>IF([2]Baskol!$L$1084="","",[2]Baskol!$L$1084)</f>
        <v/>
      </c>
      <c r="AC1081">
        <f>IF([2]Baskol!$N$1084="","",[2]Baskol!$N$1084)</f>
        <v/>
      </c>
      <c r="AD1081">
        <f>IF([2]Baskol!$O$1084="","",[2]Baskol!$O$1084)</f>
        <v/>
      </c>
      <c r="AE1081">
        <f>IF([3]Entry!$C$1084="","",[3]Entry!$C$1084)</f>
        <v/>
      </c>
      <c r="AF1081">
        <f>IF([3]Entry!$D$1084="","",[3]Entry!$D$1084)</f>
        <v/>
      </c>
      <c r="AG1081">
        <f>IF([3]Entry!$E$1084="","",[3]Entry!$E$1084)</f>
        <v/>
      </c>
      <c r="AH1081">
        <f>IF([3]Entry!$G$1084="","",[3]Entry!$G$1084)</f>
        <v/>
      </c>
      <c r="AI1081">
        <f>IF([3]Entry!$K$1084="","",[3]Entry!$K$1084)</f>
        <v/>
      </c>
      <c r="AJ1081">
        <f>IF([3]Entry!$L$1084="","",[3]Entry!$L$1084)</f>
        <v/>
      </c>
      <c r="AK1081">
        <f>IF([3]Entry!$M$1084="","",[3]Entry!$M$1084)</f>
        <v/>
      </c>
      <c r="AL1081">
        <f>IF([3]Entry!$N$1084="","",[3]Entry!$N$1084)</f>
        <v/>
      </c>
      <c r="AM1081">
        <f>IF([3]Entry!$R$1084="","",[3]Entry!$R$1084)</f>
        <v/>
      </c>
    </row>
    <row r="1082">
      <c r="T1082">
        <f>IF([2]Baskol!$B$1085="","",[2]Baskol!$B$1085)</f>
        <v/>
      </c>
      <c r="U1082">
        <f>IF([2]Baskol!$C$1085="","",[2]Baskol!$C$1085)</f>
        <v/>
      </c>
      <c r="V1082">
        <f>IF([2]Baskol!$D$1085="","",[2]Baskol!$D$1085)</f>
        <v/>
      </c>
      <c r="W1082">
        <f>IF([2]Baskol!$E$1085="","",[2]Baskol!$E$1085)</f>
        <v/>
      </c>
      <c r="X1082">
        <f>IF([2]Baskol!$G$1085="","",[2]Baskol!$G$1085)</f>
        <v/>
      </c>
      <c r="Y1082">
        <f>IF([2]Baskol!$I$1085="","",[2]Baskol!$I$1085)</f>
        <v/>
      </c>
      <c r="Z1082">
        <f>IF([2]Baskol!$J$1085="","",[2]Baskol!$J$1085)</f>
        <v/>
      </c>
      <c r="AA1082">
        <f>IF([2]Baskol!$K$1085="","",[2]Baskol!$K$1085)</f>
        <v/>
      </c>
      <c r="AB1082">
        <f>IF([2]Baskol!$L$1085="","",[2]Baskol!$L$1085)</f>
        <v/>
      </c>
      <c r="AC1082">
        <f>IF([2]Baskol!$N$1085="","",[2]Baskol!$N$1085)</f>
        <v/>
      </c>
      <c r="AD1082">
        <f>IF([2]Baskol!$O$1085="","",[2]Baskol!$O$1085)</f>
        <v/>
      </c>
      <c r="AE1082">
        <f>IF([3]Entry!$C$1085="","",[3]Entry!$C$1085)</f>
        <v/>
      </c>
      <c r="AF1082">
        <f>IF([3]Entry!$D$1085="","",[3]Entry!$D$1085)</f>
        <v/>
      </c>
      <c r="AG1082">
        <f>IF([3]Entry!$E$1085="","",[3]Entry!$E$1085)</f>
        <v/>
      </c>
      <c r="AH1082">
        <f>IF([3]Entry!$G$1085="","",[3]Entry!$G$1085)</f>
        <v/>
      </c>
      <c r="AI1082">
        <f>IF([3]Entry!$K$1085="","",[3]Entry!$K$1085)</f>
        <v/>
      </c>
      <c r="AJ1082">
        <f>IF([3]Entry!$L$1085="","",[3]Entry!$L$1085)</f>
        <v/>
      </c>
      <c r="AK1082">
        <f>IF([3]Entry!$M$1085="","",[3]Entry!$M$1085)</f>
        <v/>
      </c>
      <c r="AL1082">
        <f>IF([3]Entry!$N$1085="","",[3]Entry!$N$1085)</f>
        <v/>
      </c>
      <c r="AM1082">
        <f>IF([3]Entry!$R$1085="","",[3]Entry!$R$1085)</f>
        <v/>
      </c>
    </row>
    <row r="1083">
      <c r="T1083">
        <f>IF([2]Baskol!$B$1086="","",[2]Baskol!$B$1086)</f>
        <v/>
      </c>
      <c r="U1083">
        <f>IF([2]Baskol!$C$1086="","",[2]Baskol!$C$1086)</f>
        <v/>
      </c>
      <c r="V1083">
        <f>IF([2]Baskol!$D$1086="","",[2]Baskol!$D$1086)</f>
        <v/>
      </c>
      <c r="W1083">
        <f>IF([2]Baskol!$E$1086="","",[2]Baskol!$E$1086)</f>
        <v/>
      </c>
      <c r="X1083">
        <f>IF([2]Baskol!$G$1086="","",[2]Baskol!$G$1086)</f>
        <v/>
      </c>
      <c r="Y1083">
        <f>IF([2]Baskol!$I$1086="","",[2]Baskol!$I$1086)</f>
        <v/>
      </c>
      <c r="Z1083">
        <f>IF([2]Baskol!$J$1086="","",[2]Baskol!$J$1086)</f>
        <v/>
      </c>
      <c r="AA1083">
        <f>IF([2]Baskol!$K$1086="","",[2]Baskol!$K$1086)</f>
        <v/>
      </c>
      <c r="AB1083">
        <f>IF([2]Baskol!$L$1086="","",[2]Baskol!$L$1086)</f>
        <v/>
      </c>
      <c r="AC1083">
        <f>IF([2]Baskol!$N$1086="","",[2]Baskol!$N$1086)</f>
        <v/>
      </c>
      <c r="AD1083">
        <f>IF([2]Baskol!$O$1086="","",[2]Baskol!$O$1086)</f>
        <v/>
      </c>
      <c r="AE1083">
        <f>IF([3]Entry!$C$1086="","",[3]Entry!$C$1086)</f>
        <v/>
      </c>
      <c r="AF1083">
        <f>IF([3]Entry!$D$1086="","",[3]Entry!$D$1086)</f>
        <v/>
      </c>
      <c r="AG1083">
        <f>IF([3]Entry!$E$1086="","",[3]Entry!$E$1086)</f>
        <v/>
      </c>
      <c r="AH1083">
        <f>IF([3]Entry!$G$1086="","",[3]Entry!$G$1086)</f>
        <v/>
      </c>
      <c r="AI1083">
        <f>IF([3]Entry!$K$1086="","",[3]Entry!$K$1086)</f>
        <v/>
      </c>
      <c r="AJ1083">
        <f>IF([3]Entry!$L$1086="","",[3]Entry!$L$1086)</f>
        <v/>
      </c>
      <c r="AK1083">
        <f>IF([3]Entry!$M$1086="","",[3]Entry!$M$1086)</f>
        <v/>
      </c>
      <c r="AL1083">
        <f>IF([3]Entry!$N$1086="","",[3]Entry!$N$1086)</f>
        <v/>
      </c>
      <c r="AM1083">
        <f>IF([3]Entry!$R$1086="","",[3]Entry!$R$1086)</f>
        <v/>
      </c>
    </row>
    <row r="1084">
      <c r="T1084">
        <f>IF([2]Baskol!$B$1087="","",[2]Baskol!$B$1087)</f>
        <v/>
      </c>
      <c r="U1084">
        <f>IF([2]Baskol!$C$1087="","",[2]Baskol!$C$1087)</f>
        <v/>
      </c>
      <c r="V1084">
        <f>IF([2]Baskol!$D$1087="","",[2]Baskol!$D$1087)</f>
        <v/>
      </c>
      <c r="W1084">
        <f>IF([2]Baskol!$E$1087="","",[2]Baskol!$E$1087)</f>
        <v/>
      </c>
      <c r="X1084">
        <f>IF([2]Baskol!$G$1087="","",[2]Baskol!$G$1087)</f>
        <v/>
      </c>
      <c r="Y1084">
        <f>IF([2]Baskol!$I$1087="","",[2]Baskol!$I$1087)</f>
        <v/>
      </c>
      <c r="Z1084">
        <f>IF([2]Baskol!$J$1087="","",[2]Baskol!$J$1087)</f>
        <v/>
      </c>
      <c r="AA1084">
        <f>IF([2]Baskol!$K$1087="","",[2]Baskol!$K$1087)</f>
        <v/>
      </c>
      <c r="AB1084">
        <f>IF([2]Baskol!$L$1087="","",[2]Baskol!$L$1087)</f>
        <v/>
      </c>
      <c r="AC1084">
        <f>IF([2]Baskol!$N$1087="","",[2]Baskol!$N$1087)</f>
        <v/>
      </c>
      <c r="AD1084">
        <f>IF([2]Baskol!$O$1087="","",[2]Baskol!$O$1087)</f>
        <v/>
      </c>
      <c r="AE1084">
        <f>IF([3]Entry!$C$1087="","",[3]Entry!$C$1087)</f>
        <v/>
      </c>
      <c r="AF1084">
        <f>IF([3]Entry!$D$1087="","",[3]Entry!$D$1087)</f>
        <v/>
      </c>
      <c r="AG1084">
        <f>IF([3]Entry!$E$1087="","",[3]Entry!$E$1087)</f>
        <v/>
      </c>
      <c r="AH1084">
        <f>IF([3]Entry!$G$1087="","",[3]Entry!$G$1087)</f>
        <v/>
      </c>
      <c r="AI1084">
        <f>IF([3]Entry!$K$1087="","",[3]Entry!$K$1087)</f>
        <v/>
      </c>
      <c r="AJ1084">
        <f>IF([3]Entry!$L$1087="","",[3]Entry!$L$1087)</f>
        <v/>
      </c>
      <c r="AK1084">
        <f>IF([3]Entry!$M$1087="","",[3]Entry!$M$1087)</f>
        <v/>
      </c>
      <c r="AL1084">
        <f>IF([3]Entry!$N$1087="","",[3]Entry!$N$1087)</f>
        <v/>
      </c>
      <c r="AM1084">
        <f>IF([3]Entry!$R$1087="","",[3]Entry!$R$1087)</f>
        <v/>
      </c>
    </row>
    <row r="1085">
      <c r="T1085">
        <f>IF([2]Baskol!$B$1088="","",[2]Baskol!$B$1088)</f>
        <v/>
      </c>
      <c r="U1085">
        <f>IF([2]Baskol!$C$1088="","",[2]Baskol!$C$1088)</f>
        <v/>
      </c>
      <c r="V1085">
        <f>IF([2]Baskol!$D$1088="","",[2]Baskol!$D$1088)</f>
        <v/>
      </c>
      <c r="W1085">
        <f>IF([2]Baskol!$E$1088="","",[2]Baskol!$E$1088)</f>
        <v/>
      </c>
      <c r="X1085">
        <f>IF([2]Baskol!$G$1088="","",[2]Baskol!$G$1088)</f>
        <v/>
      </c>
      <c r="Y1085">
        <f>IF([2]Baskol!$I$1088="","",[2]Baskol!$I$1088)</f>
        <v/>
      </c>
      <c r="Z1085">
        <f>IF([2]Baskol!$J$1088="","",[2]Baskol!$J$1088)</f>
        <v/>
      </c>
      <c r="AA1085">
        <f>IF([2]Baskol!$K$1088="","",[2]Baskol!$K$1088)</f>
        <v/>
      </c>
      <c r="AB1085">
        <f>IF([2]Baskol!$L$1088="","",[2]Baskol!$L$1088)</f>
        <v/>
      </c>
      <c r="AC1085">
        <f>IF([2]Baskol!$N$1088="","",[2]Baskol!$N$1088)</f>
        <v/>
      </c>
      <c r="AD1085">
        <f>IF([2]Baskol!$O$1088="","",[2]Baskol!$O$1088)</f>
        <v/>
      </c>
      <c r="AE1085">
        <f>IF([3]Entry!$C$1088="","",[3]Entry!$C$1088)</f>
        <v/>
      </c>
      <c r="AF1085">
        <f>IF([3]Entry!$D$1088="","",[3]Entry!$D$1088)</f>
        <v/>
      </c>
      <c r="AG1085">
        <f>IF([3]Entry!$E$1088="","",[3]Entry!$E$1088)</f>
        <v/>
      </c>
      <c r="AH1085">
        <f>IF([3]Entry!$G$1088="","",[3]Entry!$G$1088)</f>
        <v/>
      </c>
      <c r="AI1085">
        <f>IF([3]Entry!$K$1088="","",[3]Entry!$K$1088)</f>
        <v/>
      </c>
      <c r="AJ1085">
        <f>IF([3]Entry!$L$1088="","",[3]Entry!$L$1088)</f>
        <v/>
      </c>
      <c r="AK1085">
        <f>IF([3]Entry!$M$1088="","",[3]Entry!$M$1088)</f>
        <v/>
      </c>
      <c r="AL1085">
        <f>IF([3]Entry!$N$1088="","",[3]Entry!$N$1088)</f>
        <v/>
      </c>
      <c r="AM1085">
        <f>IF([3]Entry!$R$1088="","",[3]Entry!$R$1088)</f>
        <v/>
      </c>
    </row>
    <row r="1086">
      <c r="T1086">
        <f>IF([2]Baskol!$B$1089="","",[2]Baskol!$B$1089)</f>
        <v/>
      </c>
      <c r="U1086">
        <f>IF([2]Baskol!$C$1089="","",[2]Baskol!$C$1089)</f>
        <v/>
      </c>
      <c r="V1086">
        <f>IF([2]Baskol!$D$1089="","",[2]Baskol!$D$1089)</f>
        <v/>
      </c>
      <c r="W1086">
        <f>IF([2]Baskol!$E$1089="","",[2]Baskol!$E$1089)</f>
        <v/>
      </c>
      <c r="X1086">
        <f>IF([2]Baskol!$G$1089="","",[2]Baskol!$G$1089)</f>
        <v/>
      </c>
      <c r="Y1086">
        <f>IF([2]Baskol!$I$1089="","",[2]Baskol!$I$1089)</f>
        <v/>
      </c>
      <c r="Z1086">
        <f>IF([2]Baskol!$J$1089="","",[2]Baskol!$J$1089)</f>
        <v/>
      </c>
      <c r="AA1086">
        <f>IF([2]Baskol!$K$1089="","",[2]Baskol!$K$1089)</f>
        <v/>
      </c>
      <c r="AB1086">
        <f>IF([2]Baskol!$L$1089="","",[2]Baskol!$L$1089)</f>
        <v/>
      </c>
      <c r="AC1086">
        <f>IF([2]Baskol!$N$1089="","",[2]Baskol!$N$1089)</f>
        <v/>
      </c>
      <c r="AD1086">
        <f>IF([2]Baskol!$O$1089="","",[2]Baskol!$O$1089)</f>
        <v/>
      </c>
      <c r="AE1086">
        <f>IF([3]Entry!$C$1089="","",[3]Entry!$C$1089)</f>
        <v/>
      </c>
      <c r="AF1086">
        <f>IF([3]Entry!$D$1089="","",[3]Entry!$D$1089)</f>
        <v/>
      </c>
      <c r="AG1086">
        <f>IF([3]Entry!$E$1089="","",[3]Entry!$E$1089)</f>
        <v/>
      </c>
      <c r="AH1086">
        <f>IF([3]Entry!$G$1089="","",[3]Entry!$G$1089)</f>
        <v/>
      </c>
      <c r="AI1086">
        <f>IF([3]Entry!$K$1089="","",[3]Entry!$K$1089)</f>
        <v/>
      </c>
      <c r="AJ1086">
        <f>IF([3]Entry!$L$1089="","",[3]Entry!$L$1089)</f>
        <v/>
      </c>
      <c r="AK1086">
        <f>IF([3]Entry!$M$1089="","",[3]Entry!$M$1089)</f>
        <v/>
      </c>
      <c r="AL1086">
        <f>IF([3]Entry!$N$1089="","",[3]Entry!$N$1089)</f>
        <v/>
      </c>
      <c r="AM1086">
        <f>IF([3]Entry!$R$1089="","",[3]Entry!$R$1089)</f>
        <v/>
      </c>
    </row>
    <row r="1087">
      <c r="T1087">
        <f>IF([2]Baskol!$B$1090="","",[2]Baskol!$B$1090)</f>
        <v/>
      </c>
      <c r="U1087">
        <f>IF([2]Baskol!$C$1090="","",[2]Baskol!$C$1090)</f>
        <v/>
      </c>
      <c r="V1087">
        <f>IF([2]Baskol!$D$1090="","",[2]Baskol!$D$1090)</f>
        <v/>
      </c>
      <c r="W1087">
        <f>IF([2]Baskol!$E$1090="","",[2]Baskol!$E$1090)</f>
        <v/>
      </c>
      <c r="X1087">
        <f>IF([2]Baskol!$G$1090="","",[2]Baskol!$G$1090)</f>
        <v/>
      </c>
      <c r="Y1087">
        <f>IF([2]Baskol!$I$1090="","",[2]Baskol!$I$1090)</f>
        <v/>
      </c>
      <c r="Z1087">
        <f>IF([2]Baskol!$J$1090="","",[2]Baskol!$J$1090)</f>
        <v/>
      </c>
      <c r="AA1087">
        <f>IF([2]Baskol!$K$1090="","",[2]Baskol!$K$1090)</f>
        <v/>
      </c>
      <c r="AB1087">
        <f>IF([2]Baskol!$L$1090="","",[2]Baskol!$L$1090)</f>
        <v/>
      </c>
      <c r="AC1087">
        <f>IF([2]Baskol!$N$1090="","",[2]Baskol!$N$1090)</f>
        <v/>
      </c>
      <c r="AD1087">
        <f>IF([2]Baskol!$O$1090="","",[2]Baskol!$O$1090)</f>
        <v/>
      </c>
      <c r="AE1087">
        <f>IF([3]Entry!$C$1090="","",[3]Entry!$C$1090)</f>
        <v/>
      </c>
      <c r="AF1087">
        <f>IF([3]Entry!$D$1090="","",[3]Entry!$D$1090)</f>
        <v/>
      </c>
      <c r="AG1087">
        <f>IF([3]Entry!$E$1090="","",[3]Entry!$E$1090)</f>
        <v/>
      </c>
      <c r="AH1087">
        <f>IF([3]Entry!$G$1090="","",[3]Entry!$G$1090)</f>
        <v/>
      </c>
      <c r="AI1087">
        <f>IF([3]Entry!$K$1090="","",[3]Entry!$K$1090)</f>
        <v/>
      </c>
      <c r="AJ1087">
        <f>IF([3]Entry!$L$1090="","",[3]Entry!$L$1090)</f>
        <v/>
      </c>
      <c r="AK1087">
        <f>IF([3]Entry!$M$1090="","",[3]Entry!$M$1090)</f>
        <v/>
      </c>
      <c r="AL1087">
        <f>IF([3]Entry!$N$1090="","",[3]Entry!$N$1090)</f>
        <v/>
      </c>
      <c r="AM1087">
        <f>IF([3]Entry!$R$1090="","",[3]Entry!$R$1090)</f>
        <v/>
      </c>
    </row>
    <row r="1088">
      <c r="T1088">
        <f>IF([2]Baskol!$B$1091="","",[2]Baskol!$B$1091)</f>
        <v/>
      </c>
      <c r="U1088">
        <f>IF([2]Baskol!$C$1091="","",[2]Baskol!$C$1091)</f>
        <v/>
      </c>
      <c r="V1088">
        <f>IF([2]Baskol!$D$1091="","",[2]Baskol!$D$1091)</f>
        <v/>
      </c>
      <c r="W1088">
        <f>IF([2]Baskol!$E$1091="","",[2]Baskol!$E$1091)</f>
        <v/>
      </c>
      <c r="X1088">
        <f>IF([2]Baskol!$G$1091="","",[2]Baskol!$G$1091)</f>
        <v/>
      </c>
      <c r="Y1088">
        <f>IF([2]Baskol!$I$1091="","",[2]Baskol!$I$1091)</f>
        <v/>
      </c>
      <c r="Z1088">
        <f>IF([2]Baskol!$J$1091="","",[2]Baskol!$J$1091)</f>
        <v/>
      </c>
      <c r="AA1088">
        <f>IF([2]Baskol!$K$1091="","",[2]Baskol!$K$1091)</f>
        <v/>
      </c>
      <c r="AB1088">
        <f>IF([2]Baskol!$L$1091="","",[2]Baskol!$L$1091)</f>
        <v/>
      </c>
      <c r="AC1088">
        <f>IF([2]Baskol!$N$1091="","",[2]Baskol!$N$1091)</f>
        <v/>
      </c>
      <c r="AD1088">
        <f>IF([2]Baskol!$O$1091="","",[2]Baskol!$O$1091)</f>
        <v/>
      </c>
      <c r="AE1088">
        <f>IF([3]Entry!$C$1091="","",[3]Entry!$C$1091)</f>
        <v/>
      </c>
      <c r="AF1088">
        <f>IF([3]Entry!$D$1091="","",[3]Entry!$D$1091)</f>
        <v/>
      </c>
      <c r="AG1088">
        <f>IF([3]Entry!$E$1091="","",[3]Entry!$E$1091)</f>
        <v/>
      </c>
      <c r="AH1088">
        <f>IF([3]Entry!$G$1091="","",[3]Entry!$G$1091)</f>
        <v/>
      </c>
      <c r="AI1088">
        <f>IF([3]Entry!$K$1091="","",[3]Entry!$K$1091)</f>
        <v/>
      </c>
      <c r="AJ1088">
        <f>IF([3]Entry!$L$1091="","",[3]Entry!$L$1091)</f>
        <v/>
      </c>
      <c r="AK1088">
        <f>IF([3]Entry!$M$1091="","",[3]Entry!$M$1091)</f>
        <v/>
      </c>
      <c r="AL1088">
        <f>IF([3]Entry!$N$1091="","",[3]Entry!$N$1091)</f>
        <v/>
      </c>
      <c r="AM1088">
        <f>IF([3]Entry!$R$1091="","",[3]Entry!$R$1091)</f>
        <v/>
      </c>
    </row>
    <row r="1089">
      <c r="T1089">
        <f>IF([2]Baskol!$B$1092="","",[2]Baskol!$B$1092)</f>
        <v/>
      </c>
      <c r="U1089">
        <f>IF([2]Baskol!$C$1092="","",[2]Baskol!$C$1092)</f>
        <v/>
      </c>
      <c r="V1089">
        <f>IF([2]Baskol!$D$1092="","",[2]Baskol!$D$1092)</f>
        <v/>
      </c>
      <c r="W1089">
        <f>IF([2]Baskol!$E$1092="","",[2]Baskol!$E$1092)</f>
        <v/>
      </c>
      <c r="X1089">
        <f>IF([2]Baskol!$G$1092="","",[2]Baskol!$G$1092)</f>
        <v/>
      </c>
      <c r="Y1089">
        <f>IF([2]Baskol!$I$1092="","",[2]Baskol!$I$1092)</f>
        <v/>
      </c>
      <c r="Z1089">
        <f>IF([2]Baskol!$J$1092="","",[2]Baskol!$J$1092)</f>
        <v/>
      </c>
      <c r="AA1089">
        <f>IF([2]Baskol!$K$1092="","",[2]Baskol!$K$1092)</f>
        <v/>
      </c>
      <c r="AB1089">
        <f>IF([2]Baskol!$L$1092="","",[2]Baskol!$L$1092)</f>
        <v/>
      </c>
      <c r="AC1089">
        <f>IF([2]Baskol!$N$1092="","",[2]Baskol!$N$1092)</f>
        <v/>
      </c>
      <c r="AD1089">
        <f>IF([2]Baskol!$O$1092="","",[2]Baskol!$O$1092)</f>
        <v/>
      </c>
      <c r="AE1089">
        <f>IF([3]Entry!$C$1092="","",[3]Entry!$C$1092)</f>
        <v/>
      </c>
      <c r="AF1089">
        <f>IF([3]Entry!$D$1092="","",[3]Entry!$D$1092)</f>
        <v/>
      </c>
      <c r="AG1089">
        <f>IF([3]Entry!$E$1092="","",[3]Entry!$E$1092)</f>
        <v/>
      </c>
      <c r="AH1089">
        <f>IF([3]Entry!$G$1092="","",[3]Entry!$G$1092)</f>
        <v/>
      </c>
      <c r="AI1089">
        <f>IF([3]Entry!$K$1092="","",[3]Entry!$K$1092)</f>
        <v/>
      </c>
      <c r="AJ1089">
        <f>IF([3]Entry!$L$1092="","",[3]Entry!$L$1092)</f>
        <v/>
      </c>
      <c r="AK1089">
        <f>IF([3]Entry!$M$1092="","",[3]Entry!$M$1092)</f>
        <v/>
      </c>
      <c r="AL1089">
        <f>IF([3]Entry!$N$1092="","",[3]Entry!$N$1092)</f>
        <v/>
      </c>
      <c r="AM1089">
        <f>IF([3]Entry!$R$1092="","",[3]Entry!$R$1092)</f>
        <v/>
      </c>
    </row>
    <row r="1090">
      <c r="T1090">
        <f>IF([2]Baskol!$B$1093="","",[2]Baskol!$B$1093)</f>
        <v/>
      </c>
      <c r="U1090">
        <f>IF([2]Baskol!$C$1093="","",[2]Baskol!$C$1093)</f>
        <v/>
      </c>
      <c r="V1090">
        <f>IF([2]Baskol!$D$1093="","",[2]Baskol!$D$1093)</f>
        <v/>
      </c>
      <c r="W1090">
        <f>IF([2]Baskol!$E$1093="","",[2]Baskol!$E$1093)</f>
        <v/>
      </c>
      <c r="X1090">
        <f>IF([2]Baskol!$G$1093="","",[2]Baskol!$G$1093)</f>
        <v/>
      </c>
      <c r="Y1090">
        <f>IF([2]Baskol!$I$1093="","",[2]Baskol!$I$1093)</f>
        <v/>
      </c>
      <c r="Z1090">
        <f>IF([2]Baskol!$J$1093="","",[2]Baskol!$J$1093)</f>
        <v/>
      </c>
      <c r="AA1090">
        <f>IF([2]Baskol!$K$1093="","",[2]Baskol!$K$1093)</f>
        <v/>
      </c>
      <c r="AB1090">
        <f>IF([2]Baskol!$L$1093="","",[2]Baskol!$L$1093)</f>
        <v/>
      </c>
      <c r="AC1090">
        <f>IF([2]Baskol!$N$1093="","",[2]Baskol!$N$1093)</f>
        <v/>
      </c>
      <c r="AD1090">
        <f>IF([2]Baskol!$O$1093="","",[2]Baskol!$O$1093)</f>
        <v/>
      </c>
      <c r="AE1090">
        <f>IF([3]Entry!$C$1093="","",[3]Entry!$C$1093)</f>
        <v/>
      </c>
      <c r="AF1090">
        <f>IF([3]Entry!$D$1093="","",[3]Entry!$D$1093)</f>
        <v/>
      </c>
      <c r="AG1090">
        <f>IF([3]Entry!$E$1093="","",[3]Entry!$E$1093)</f>
        <v/>
      </c>
      <c r="AH1090">
        <f>IF([3]Entry!$G$1093="","",[3]Entry!$G$1093)</f>
        <v/>
      </c>
      <c r="AI1090">
        <f>IF([3]Entry!$K$1093="","",[3]Entry!$K$1093)</f>
        <v/>
      </c>
      <c r="AJ1090">
        <f>IF([3]Entry!$L$1093="","",[3]Entry!$L$1093)</f>
        <v/>
      </c>
      <c r="AK1090">
        <f>IF([3]Entry!$M$1093="","",[3]Entry!$M$1093)</f>
        <v/>
      </c>
      <c r="AL1090">
        <f>IF([3]Entry!$N$1093="","",[3]Entry!$N$1093)</f>
        <v/>
      </c>
      <c r="AM1090">
        <f>IF([3]Entry!$R$1093="","",[3]Entry!$R$1093)</f>
        <v/>
      </c>
    </row>
    <row r="1091">
      <c r="T1091">
        <f>IF([2]Baskol!$B$1094="","",[2]Baskol!$B$1094)</f>
        <v/>
      </c>
      <c r="U1091">
        <f>IF([2]Baskol!$C$1094="","",[2]Baskol!$C$1094)</f>
        <v/>
      </c>
      <c r="V1091">
        <f>IF([2]Baskol!$D$1094="","",[2]Baskol!$D$1094)</f>
        <v/>
      </c>
      <c r="W1091">
        <f>IF([2]Baskol!$E$1094="","",[2]Baskol!$E$1094)</f>
        <v/>
      </c>
      <c r="X1091">
        <f>IF([2]Baskol!$G$1094="","",[2]Baskol!$G$1094)</f>
        <v/>
      </c>
      <c r="Y1091">
        <f>IF([2]Baskol!$I$1094="","",[2]Baskol!$I$1094)</f>
        <v/>
      </c>
      <c r="Z1091">
        <f>IF([2]Baskol!$J$1094="","",[2]Baskol!$J$1094)</f>
        <v/>
      </c>
      <c r="AA1091">
        <f>IF([2]Baskol!$K$1094="","",[2]Baskol!$K$1094)</f>
        <v/>
      </c>
      <c r="AB1091">
        <f>IF([2]Baskol!$L$1094="","",[2]Baskol!$L$1094)</f>
        <v/>
      </c>
      <c r="AC1091">
        <f>IF([2]Baskol!$N$1094="","",[2]Baskol!$N$1094)</f>
        <v/>
      </c>
      <c r="AD1091">
        <f>IF([2]Baskol!$O$1094="","",[2]Baskol!$O$1094)</f>
        <v/>
      </c>
      <c r="AE1091">
        <f>IF([3]Entry!$C$1094="","",[3]Entry!$C$1094)</f>
        <v/>
      </c>
      <c r="AF1091">
        <f>IF([3]Entry!$D$1094="","",[3]Entry!$D$1094)</f>
        <v/>
      </c>
      <c r="AG1091">
        <f>IF([3]Entry!$E$1094="","",[3]Entry!$E$1094)</f>
        <v/>
      </c>
      <c r="AH1091">
        <f>IF([3]Entry!$G$1094="","",[3]Entry!$G$1094)</f>
        <v/>
      </c>
      <c r="AI1091">
        <f>IF([3]Entry!$K$1094="","",[3]Entry!$K$1094)</f>
        <v/>
      </c>
      <c r="AJ1091">
        <f>IF([3]Entry!$L$1094="","",[3]Entry!$L$1094)</f>
        <v/>
      </c>
      <c r="AK1091">
        <f>IF([3]Entry!$M$1094="","",[3]Entry!$M$1094)</f>
        <v/>
      </c>
      <c r="AL1091">
        <f>IF([3]Entry!$N$1094="","",[3]Entry!$N$1094)</f>
        <v/>
      </c>
      <c r="AM1091">
        <f>IF([3]Entry!$R$1094="","",[3]Entry!$R$1094)</f>
        <v/>
      </c>
    </row>
    <row r="1092">
      <c r="T1092">
        <f>IF([2]Baskol!$B$1095="","",[2]Baskol!$B$1095)</f>
        <v/>
      </c>
      <c r="U1092">
        <f>IF([2]Baskol!$C$1095="","",[2]Baskol!$C$1095)</f>
        <v/>
      </c>
      <c r="V1092">
        <f>IF([2]Baskol!$D$1095="","",[2]Baskol!$D$1095)</f>
        <v/>
      </c>
      <c r="W1092">
        <f>IF([2]Baskol!$E$1095="","",[2]Baskol!$E$1095)</f>
        <v/>
      </c>
      <c r="X1092">
        <f>IF([2]Baskol!$G$1095="","",[2]Baskol!$G$1095)</f>
        <v/>
      </c>
      <c r="Y1092">
        <f>IF([2]Baskol!$I$1095="","",[2]Baskol!$I$1095)</f>
        <v/>
      </c>
      <c r="Z1092">
        <f>IF([2]Baskol!$J$1095="","",[2]Baskol!$J$1095)</f>
        <v/>
      </c>
      <c r="AA1092">
        <f>IF([2]Baskol!$K$1095="","",[2]Baskol!$K$1095)</f>
        <v/>
      </c>
      <c r="AB1092">
        <f>IF([2]Baskol!$L$1095="","",[2]Baskol!$L$1095)</f>
        <v/>
      </c>
      <c r="AC1092">
        <f>IF([2]Baskol!$N$1095="","",[2]Baskol!$N$1095)</f>
        <v/>
      </c>
      <c r="AD1092">
        <f>IF([2]Baskol!$O$1095="","",[2]Baskol!$O$1095)</f>
        <v/>
      </c>
      <c r="AE1092">
        <f>IF([3]Entry!$C$1095="","",[3]Entry!$C$1095)</f>
        <v/>
      </c>
      <c r="AF1092">
        <f>IF([3]Entry!$D$1095="","",[3]Entry!$D$1095)</f>
        <v/>
      </c>
      <c r="AG1092">
        <f>IF([3]Entry!$E$1095="","",[3]Entry!$E$1095)</f>
        <v/>
      </c>
      <c r="AH1092">
        <f>IF([3]Entry!$G$1095="","",[3]Entry!$G$1095)</f>
        <v/>
      </c>
      <c r="AI1092">
        <f>IF([3]Entry!$K$1095="","",[3]Entry!$K$1095)</f>
        <v/>
      </c>
      <c r="AJ1092">
        <f>IF([3]Entry!$L$1095="","",[3]Entry!$L$1095)</f>
        <v/>
      </c>
      <c r="AK1092">
        <f>IF([3]Entry!$M$1095="","",[3]Entry!$M$1095)</f>
        <v/>
      </c>
      <c r="AL1092">
        <f>IF([3]Entry!$N$1095="","",[3]Entry!$N$1095)</f>
        <v/>
      </c>
      <c r="AM1092">
        <f>IF([3]Entry!$R$1095="","",[3]Entry!$R$1095)</f>
        <v/>
      </c>
    </row>
    <row r="1093">
      <c r="T1093">
        <f>IF([2]Baskol!$B$1096="","",[2]Baskol!$B$1096)</f>
        <v/>
      </c>
      <c r="U1093">
        <f>IF([2]Baskol!$C$1096="","",[2]Baskol!$C$1096)</f>
        <v/>
      </c>
      <c r="V1093">
        <f>IF([2]Baskol!$D$1096="","",[2]Baskol!$D$1096)</f>
        <v/>
      </c>
      <c r="W1093">
        <f>IF([2]Baskol!$E$1096="","",[2]Baskol!$E$1096)</f>
        <v/>
      </c>
      <c r="X1093">
        <f>IF([2]Baskol!$G$1096="","",[2]Baskol!$G$1096)</f>
        <v/>
      </c>
      <c r="Y1093">
        <f>IF([2]Baskol!$I$1096="","",[2]Baskol!$I$1096)</f>
        <v/>
      </c>
      <c r="Z1093">
        <f>IF([2]Baskol!$J$1096="","",[2]Baskol!$J$1096)</f>
        <v/>
      </c>
      <c r="AA1093">
        <f>IF([2]Baskol!$K$1096="","",[2]Baskol!$K$1096)</f>
        <v/>
      </c>
      <c r="AB1093">
        <f>IF([2]Baskol!$L$1096="","",[2]Baskol!$L$1096)</f>
        <v/>
      </c>
      <c r="AC1093">
        <f>IF([2]Baskol!$N$1096="","",[2]Baskol!$N$1096)</f>
        <v/>
      </c>
      <c r="AD1093">
        <f>IF([2]Baskol!$O$1096="","",[2]Baskol!$O$1096)</f>
        <v/>
      </c>
      <c r="AE1093">
        <f>IF([3]Entry!$C$1096="","",[3]Entry!$C$1096)</f>
        <v/>
      </c>
      <c r="AF1093">
        <f>IF([3]Entry!$D$1096="","",[3]Entry!$D$1096)</f>
        <v/>
      </c>
      <c r="AG1093">
        <f>IF([3]Entry!$E$1096="","",[3]Entry!$E$1096)</f>
        <v/>
      </c>
      <c r="AH1093">
        <f>IF([3]Entry!$G$1096="","",[3]Entry!$G$1096)</f>
        <v/>
      </c>
      <c r="AI1093">
        <f>IF([3]Entry!$K$1096="","",[3]Entry!$K$1096)</f>
        <v/>
      </c>
      <c r="AJ1093">
        <f>IF([3]Entry!$L$1096="","",[3]Entry!$L$1096)</f>
        <v/>
      </c>
      <c r="AK1093">
        <f>IF([3]Entry!$M$1096="","",[3]Entry!$M$1096)</f>
        <v/>
      </c>
      <c r="AL1093">
        <f>IF([3]Entry!$N$1096="","",[3]Entry!$N$1096)</f>
        <v/>
      </c>
      <c r="AM1093">
        <f>IF([3]Entry!$R$1096="","",[3]Entry!$R$1096)</f>
        <v/>
      </c>
    </row>
    <row r="1094">
      <c r="T1094">
        <f>IF([2]Baskol!$B$1097="","",[2]Baskol!$B$1097)</f>
        <v/>
      </c>
      <c r="U1094">
        <f>IF([2]Baskol!$C$1097="","",[2]Baskol!$C$1097)</f>
        <v/>
      </c>
      <c r="V1094">
        <f>IF([2]Baskol!$D$1097="","",[2]Baskol!$D$1097)</f>
        <v/>
      </c>
      <c r="W1094">
        <f>IF([2]Baskol!$E$1097="","",[2]Baskol!$E$1097)</f>
        <v/>
      </c>
      <c r="X1094">
        <f>IF([2]Baskol!$G$1097="","",[2]Baskol!$G$1097)</f>
        <v/>
      </c>
      <c r="Y1094">
        <f>IF([2]Baskol!$I$1097="","",[2]Baskol!$I$1097)</f>
        <v/>
      </c>
      <c r="Z1094">
        <f>IF([2]Baskol!$J$1097="","",[2]Baskol!$J$1097)</f>
        <v/>
      </c>
      <c r="AA1094">
        <f>IF([2]Baskol!$K$1097="","",[2]Baskol!$K$1097)</f>
        <v/>
      </c>
      <c r="AB1094">
        <f>IF([2]Baskol!$L$1097="","",[2]Baskol!$L$1097)</f>
        <v/>
      </c>
      <c r="AC1094">
        <f>IF([2]Baskol!$N$1097="","",[2]Baskol!$N$1097)</f>
        <v/>
      </c>
      <c r="AD1094">
        <f>IF([2]Baskol!$O$1097="","",[2]Baskol!$O$1097)</f>
        <v/>
      </c>
      <c r="AE1094">
        <f>IF([3]Entry!$C$1097="","",[3]Entry!$C$1097)</f>
        <v/>
      </c>
      <c r="AF1094">
        <f>IF([3]Entry!$D$1097="","",[3]Entry!$D$1097)</f>
        <v/>
      </c>
      <c r="AG1094">
        <f>IF([3]Entry!$E$1097="","",[3]Entry!$E$1097)</f>
        <v/>
      </c>
      <c r="AH1094">
        <f>IF([3]Entry!$G$1097="","",[3]Entry!$G$1097)</f>
        <v/>
      </c>
      <c r="AI1094">
        <f>IF([3]Entry!$K$1097="","",[3]Entry!$K$1097)</f>
        <v/>
      </c>
      <c r="AJ1094">
        <f>IF([3]Entry!$L$1097="","",[3]Entry!$L$1097)</f>
        <v/>
      </c>
      <c r="AK1094">
        <f>IF([3]Entry!$M$1097="","",[3]Entry!$M$1097)</f>
        <v/>
      </c>
      <c r="AL1094">
        <f>IF([3]Entry!$N$1097="","",[3]Entry!$N$1097)</f>
        <v/>
      </c>
      <c r="AM1094">
        <f>IF([3]Entry!$R$1097="","",[3]Entry!$R$1097)</f>
        <v/>
      </c>
    </row>
    <row r="1095">
      <c r="T1095">
        <f>IF([2]Baskol!$B$1098="","",[2]Baskol!$B$1098)</f>
        <v/>
      </c>
      <c r="U1095">
        <f>IF([2]Baskol!$C$1098="","",[2]Baskol!$C$1098)</f>
        <v/>
      </c>
      <c r="V1095">
        <f>IF([2]Baskol!$D$1098="","",[2]Baskol!$D$1098)</f>
        <v/>
      </c>
      <c r="W1095">
        <f>IF([2]Baskol!$E$1098="","",[2]Baskol!$E$1098)</f>
        <v/>
      </c>
      <c r="X1095">
        <f>IF([2]Baskol!$G$1098="","",[2]Baskol!$G$1098)</f>
        <v/>
      </c>
      <c r="Y1095">
        <f>IF([2]Baskol!$I$1098="","",[2]Baskol!$I$1098)</f>
        <v/>
      </c>
      <c r="Z1095">
        <f>IF([2]Baskol!$J$1098="","",[2]Baskol!$J$1098)</f>
        <v/>
      </c>
      <c r="AA1095">
        <f>IF([2]Baskol!$K$1098="","",[2]Baskol!$K$1098)</f>
        <v/>
      </c>
      <c r="AB1095">
        <f>IF([2]Baskol!$L$1098="","",[2]Baskol!$L$1098)</f>
        <v/>
      </c>
      <c r="AC1095">
        <f>IF([2]Baskol!$N$1098="","",[2]Baskol!$N$1098)</f>
        <v/>
      </c>
      <c r="AD1095">
        <f>IF([2]Baskol!$O$1098="","",[2]Baskol!$O$1098)</f>
        <v/>
      </c>
      <c r="AE1095">
        <f>IF([3]Entry!$C$1098="","",[3]Entry!$C$1098)</f>
        <v/>
      </c>
      <c r="AF1095">
        <f>IF([3]Entry!$D$1098="","",[3]Entry!$D$1098)</f>
        <v/>
      </c>
      <c r="AG1095">
        <f>IF([3]Entry!$E$1098="","",[3]Entry!$E$1098)</f>
        <v/>
      </c>
      <c r="AH1095">
        <f>IF([3]Entry!$G$1098="","",[3]Entry!$G$1098)</f>
        <v/>
      </c>
      <c r="AI1095">
        <f>IF([3]Entry!$K$1098="","",[3]Entry!$K$1098)</f>
        <v/>
      </c>
      <c r="AJ1095">
        <f>IF([3]Entry!$L$1098="","",[3]Entry!$L$1098)</f>
        <v/>
      </c>
      <c r="AK1095">
        <f>IF([3]Entry!$M$1098="","",[3]Entry!$M$1098)</f>
        <v/>
      </c>
      <c r="AL1095">
        <f>IF([3]Entry!$N$1098="","",[3]Entry!$N$1098)</f>
        <v/>
      </c>
      <c r="AM1095">
        <f>IF([3]Entry!$R$1098="","",[3]Entry!$R$1098)</f>
        <v/>
      </c>
    </row>
    <row r="1096">
      <c r="T1096">
        <f>IF([2]Baskol!$B$1099="","",[2]Baskol!$B$1099)</f>
        <v/>
      </c>
      <c r="U1096">
        <f>IF([2]Baskol!$C$1099="","",[2]Baskol!$C$1099)</f>
        <v/>
      </c>
      <c r="V1096">
        <f>IF([2]Baskol!$D$1099="","",[2]Baskol!$D$1099)</f>
        <v/>
      </c>
      <c r="W1096">
        <f>IF([2]Baskol!$E$1099="","",[2]Baskol!$E$1099)</f>
        <v/>
      </c>
      <c r="X1096">
        <f>IF([2]Baskol!$G$1099="","",[2]Baskol!$G$1099)</f>
        <v/>
      </c>
      <c r="Y1096">
        <f>IF([2]Baskol!$I$1099="","",[2]Baskol!$I$1099)</f>
        <v/>
      </c>
      <c r="Z1096">
        <f>IF([2]Baskol!$J$1099="","",[2]Baskol!$J$1099)</f>
        <v/>
      </c>
      <c r="AA1096">
        <f>IF([2]Baskol!$K$1099="","",[2]Baskol!$K$1099)</f>
        <v/>
      </c>
      <c r="AB1096">
        <f>IF([2]Baskol!$L$1099="","",[2]Baskol!$L$1099)</f>
        <v/>
      </c>
      <c r="AC1096">
        <f>IF([2]Baskol!$N$1099="","",[2]Baskol!$N$1099)</f>
        <v/>
      </c>
      <c r="AD1096">
        <f>IF([2]Baskol!$O$1099="","",[2]Baskol!$O$1099)</f>
        <v/>
      </c>
      <c r="AE1096">
        <f>IF([3]Entry!$C$1099="","",[3]Entry!$C$1099)</f>
        <v/>
      </c>
      <c r="AF1096">
        <f>IF([3]Entry!$D$1099="","",[3]Entry!$D$1099)</f>
        <v/>
      </c>
      <c r="AG1096">
        <f>IF([3]Entry!$E$1099="","",[3]Entry!$E$1099)</f>
        <v/>
      </c>
      <c r="AH1096">
        <f>IF([3]Entry!$G$1099="","",[3]Entry!$G$1099)</f>
        <v/>
      </c>
      <c r="AI1096">
        <f>IF([3]Entry!$K$1099="","",[3]Entry!$K$1099)</f>
        <v/>
      </c>
      <c r="AJ1096">
        <f>IF([3]Entry!$L$1099="","",[3]Entry!$L$1099)</f>
        <v/>
      </c>
      <c r="AK1096">
        <f>IF([3]Entry!$M$1099="","",[3]Entry!$M$1099)</f>
        <v/>
      </c>
      <c r="AL1096">
        <f>IF([3]Entry!$N$1099="","",[3]Entry!$N$1099)</f>
        <v/>
      </c>
      <c r="AM1096">
        <f>IF([3]Entry!$R$1099="","",[3]Entry!$R$1099)</f>
        <v/>
      </c>
    </row>
    <row r="1097">
      <c r="T1097">
        <f>IF([2]Baskol!$B$1100="","",[2]Baskol!$B$1100)</f>
        <v/>
      </c>
      <c r="U1097">
        <f>IF([2]Baskol!$C$1100="","",[2]Baskol!$C$1100)</f>
        <v/>
      </c>
      <c r="V1097">
        <f>IF([2]Baskol!$D$1100="","",[2]Baskol!$D$1100)</f>
        <v/>
      </c>
      <c r="W1097">
        <f>IF([2]Baskol!$E$1100="","",[2]Baskol!$E$1100)</f>
        <v/>
      </c>
      <c r="X1097">
        <f>IF([2]Baskol!$G$1100="","",[2]Baskol!$G$1100)</f>
        <v/>
      </c>
      <c r="Y1097">
        <f>IF([2]Baskol!$I$1100="","",[2]Baskol!$I$1100)</f>
        <v/>
      </c>
      <c r="Z1097">
        <f>IF([2]Baskol!$J$1100="","",[2]Baskol!$J$1100)</f>
        <v/>
      </c>
      <c r="AA1097">
        <f>IF([2]Baskol!$K$1100="","",[2]Baskol!$K$1100)</f>
        <v/>
      </c>
      <c r="AB1097">
        <f>IF([2]Baskol!$L$1100="","",[2]Baskol!$L$1100)</f>
        <v/>
      </c>
      <c r="AC1097">
        <f>IF([2]Baskol!$N$1100="","",[2]Baskol!$N$1100)</f>
        <v/>
      </c>
      <c r="AD1097">
        <f>IF([2]Baskol!$O$1100="","",[2]Baskol!$O$1100)</f>
        <v/>
      </c>
      <c r="AE1097">
        <f>IF([3]Entry!$C$1100="","",[3]Entry!$C$1100)</f>
        <v/>
      </c>
      <c r="AF1097">
        <f>IF([3]Entry!$D$1100="","",[3]Entry!$D$1100)</f>
        <v/>
      </c>
      <c r="AG1097">
        <f>IF([3]Entry!$E$1100="","",[3]Entry!$E$1100)</f>
        <v/>
      </c>
      <c r="AH1097">
        <f>IF([3]Entry!$G$1100="","",[3]Entry!$G$1100)</f>
        <v/>
      </c>
      <c r="AI1097">
        <f>IF([3]Entry!$K$1100="","",[3]Entry!$K$1100)</f>
        <v/>
      </c>
      <c r="AJ1097">
        <f>IF([3]Entry!$L$1100="","",[3]Entry!$L$1100)</f>
        <v/>
      </c>
      <c r="AK1097">
        <f>IF([3]Entry!$M$1100="","",[3]Entry!$M$1100)</f>
        <v/>
      </c>
      <c r="AL1097">
        <f>IF([3]Entry!$N$1100="","",[3]Entry!$N$1100)</f>
        <v/>
      </c>
      <c r="AM1097">
        <f>IF([3]Entry!$R$1100="","",[3]Entry!$R$1100)</f>
        <v/>
      </c>
    </row>
    <row r="1098">
      <c r="T1098">
        <f>IF([2]Baskol!$B$1101="","",[2]Baskol!$B$1101)</f>
        <v/>
      </c>
      <c r="U1098">
        <f>IF([2]Baskol!$C$1101="","",[2]Baskol!$C$1101)</f>
        <v/>
      </c>
      <c r="V1098">
        <f>IF([2]Baskol!$D$1101="","",[2]Baskol!$D$1101)</f>
        <v/>
      </c>
      <c r="W1098">
        <f>IF([2]Baskol!$E$1101="","",[2]Baskol!$E$1101)</f>
        <v/>
      </c>
      <c r="X1098">
        <f>IF([2]Baskol!$G$1101="","",[2]Baskol!$G$1101)</f>
        <v/>
      </c>
      <c r="Y1098">
        <f>IF([2]Baskol!$I$1101="","",[2]Baskol!$I$1101)</f>
        <v/>
      </c>
      <c r="Z1098">
        <f>IF([2]Baskol!$J$1101="","",[2]Baskol!$J$1101)</f>
        <v/>
      </c>
      <c r="AA1098">
        <f>IF([2]Baskol!$K$1101="","",[2]Baskol!$K$1101)</f>
        <v/>
      </c>
      <c r="AB1098">
        <f>IF([2]Baskol!$L$1101="","",[2]Baskol!$L$1101)</f>
        <v/>
      </c>
      <c r="AC1098">
        <f>IF([2]Baskol!$N$1101="","",[2]Baskol!$N$1101)</f>
        <v/>
      </c>
      <c r="AD1098">
        <f>IF([2]Baskol!$O$1101="","",[2]Baskol!$O$1101)</f>
        <v/>
      </c>
      <c r="AE1098">
        <f>IF([3]Entry!$C$1101="","",[3]Entry!$C$1101)</f>
        <v/>
      </c>
      <c r="AF1098">
        <f>IF([3]Entry!$D$1101="","",[3]Entry!$D$1101)</f>
        <v/>
      </c>
      <c r="AG1098">
        <f>IF([3]Entry!$E$1101="","",[3]Entry!$E$1101)</f>
        <v/>
      </c>
      <c r="AH1098">
        <f>IF([3]Entry!$G$1101="","",[3]Entry!$G$1101)</f>
        <v/>
      </c>
      <c r="AI1098">
        <f>IF([3]Entry!$K$1101="","",[3]Entry!$K$1101)</f>
        <v/>
      </c>
      <c r="AJ1098">
        <f>IF([3]Entry!$L$1101="","",[3]Entry!$L$1101)</f>
        <v/>
      </c>
      <c r="AK1098">
        <f>IF([3]Entry!$M$1101="","",[3]Entry!$M$1101)</f>
        <v/>
      </c>
      <c r="AL1098">
        <f>IF([3]Entry!$N$1101="","",[3]Entry!$N$1101)</f>
        <v/>
      </c>
      <c r="AM1098">
        <f>IF([3]Entry!$R$1101="","",[3]Entry!$R$1101)</f>
        <v/>
      </c>
    </row>
    <row r="1099">
      <c r="T1099">
        <f>IF([2]Baskol!$B$1102="","",[2]Baskol!$B$1102)</f>
        <v/>
      </c>
      <c r="U1099">
        <f>IF([2]Baskol!$C$1102="","",[2]Baskol!$C$1102)</f>
        <v/>
      </c>
      <c r="V1099">
        <f>IF([2]Baskol!$D$1102="","",[2]Baskol!$D$1102)</f>
        <v/>
      </c>
      <c r="W1099">
        <f>IF([2]Baskol!$E$1102="","",[2]Baskol!$E$1102)</f>
        <v/>
      </c>
      <c r="X1099">
        <f>IF([2]Baskol!$G$1102="","",[2]Baskol!$G$1102)</f>
        <v/>
      </c>
      <c r="Y1099">
        <f>IF([2]Baskol!$I$1102="","",[2]Baskol!$I$1102)</f>
        <v/>
      </c>
      <c r="Z1099">
        <f>IF([2]Baskol!$J$1102="","",[2]Baskol!$J$1102)</f>
        <v/>
      </c>
      <c r="AA1099">
        <f>IF([2]Baskol!$K$1102="","",[2]Baskol!$K$1102)</f>
        <v/>
      </c>
      <c r="AB1099">
        <f>IF([2]Baskol!$L$1102="","",[2]Baskol!$L$1102)</f>
        <v/>
      </c>
      <c r="AC1099">
        <f>IF([2]Baskol!$N$1102="","",[2]Baskol!$N$1102)</f>
        <v/>
      </c>
      <c r="AD1099">
        <f>IF([2]Baskol!$O$1102="","",[2]Baskol!$O$1102)</f>
        <v/>
      </c>
      <c r="AE1099">
        <f>IF([3]Entry!$C$1102="","",[3]Entry!$C$1102)</f>
        <v/>
      </c>
      <c r="AF1099">
        <f>IF([3]Entry!$D$1102="","",[3]Entry!$D$1102)</f>
        <v/>
      </c>
      <c r="AG1099">
        <f>IF([3]Entry!$E$1102="","",[3]Entry!$E$1102)</f>
        <v/>
      </c>
      <c r="AH1099">
        <f>IF([3]Entry!$G$1102="","",[3]Entry!$G$1102)</f>
        <v/>
      </c>
      <c r="AI1099">
        <f>IF([3]Entry!$K$1102="","",[3]Entry!$K$1102)</f>
        <v/>
      </c>
      <c r="AJ1099">
        <f>IF([3]Entry!$L$1102="","",[3]Entry!$L$1102)</f>
        <v/>
      </c>
      <c r="AK1099">
        <f>IF([3]Entry!$M$1102="","",[3]Entry!$M$1102)</f>
        <v/>
      </c>
      <c r="AL1099">
        <f>IF([3]Entry!$N$1102="","",[3]Entry!$N$1102)</f>
        <v/>
      </c>
      <c r="AM1099">
        <f>IF([3]Entry!$R$1102="","",[3]Entry!$R$1102)</f>
        <v/>
      </c>
    </row>
    <row r="1100">
      <c r="T1100">
        <f>IF([2]Baskol!$B$1103="","",[2]Baskol!$B$1103)</f>
        <v/>
      </c>
      <c r="U1100">
        <f>IF([2]Baskol!$C$1103="","",[2]Baskol!$C$1103)</f>
        <v/>
      </c>
      <c r="V1100">
        <f>IF([2]Baskol!$D$1103="","",[2]Baskol!$D$1103)</f>
        <v/>
      </c>
      <c r="W1100">
        <f>IF([2]Baskol!$E$1103="","",[2]Baskol!$E$1103)</f>
        <v/>
      </c>
      <c r="X1100">
        <f>IF([2]Baskol!$G$1103="","",[2]Baskol!$G$1103)</f>
        <v/>
      </c>
      <c r="Y1100">
        <f>IF([2]Baskol!$I$1103="","",[2]Baskol!$I$1103)</f>
        <v/>
      </c>
      <c r="Z1100">
        <f>IF([2]Baskol!$J$1103="","",[2]Baskol!$J$1103)</f>
        <v/>
      </c>
      <c r="AA1100">
        <f>IF([2]Baskol!$K$1103="","",[2]Baskol!$K$1103)</f>
        <v/>
      </c>
      <c r="AB1100">
        <f>IF([2]Baskol!$L$1103="","",[2]Baskol!$L$1103)</f>
        <v/>
      </c>
      <c r="AC1100">
        <f>IF([2]Baskol!$N$1103="","",[2]Baskol!$N$1103)</f>
        <v/>
      </c>
      <c r="AD1100">
        <f>IF([2]Baskol!$O$1103="","",[2]Baskol!$O$1103)</f>
        <v/>
      </c>
      <c r="AE1100">
        <f>IF([3]Entry!$C$1103="","",[3]Entry!$C$1103)</f>
        <v/>
      </c>
      <c r="AF1100">
        <f>IF([3]Entry!$D$1103="","",[3]Entry!$D$1103)</f>
        <v/>
      </c>
      <c r="AG1100">
        <f>IF([3]Entry!$E$1103="","",[3]Entry!$E$1103)</f>
        <v/>
      </c>
      <c r="AH1100">
        <f>IF([3]Entry!$G$1103="","",[3]Entry!$G$1103)</f>
        <v/>
      </c>
      <c r="AI1100">
        <f>IF([3]Entry!$K$1103="","",[3]Entry!$K$1103)</f>
        <v/>
      </c>
      <c r="AJ1100">
        <f>IF([3]Entry!$L$1103="","",[3]Entry!$L$1103)</f>
        <v/>
      </c>
      <c r="AK1100">
        <f>IF([3]Entry!$M$1103="","",[3]Entry!$M$1103)</f>
        <v/>
      </c>
      <c r="AL1100">
        <f>IF([3]Entry!$N$1103="","",[3]Entry!$N$1103)</f>
        <v/>
      </c>
      <c r="AM1100">
        <f>IF([3]Entry!$R$1103="","",[3]Entry!$R$1103)</f>
        <v/>
      </c>
    </row>
    <row r="1101">
      <c r="T1101">
        <f>IF([2]Baskol!$B$1104="","",[2]Baskol!$B$1104)</f>
        <v/>
      </c>
      <c r="U1101">
        <f>IF([2]Baskol!$C$1104="","",[2]Baskol!$C$1104)</f>
        <v/>
      </c>
      <c r="V1101">
        <f>IF([2]Baskol!$D$1104="","",[2]Baskol!$D$1104)</f>
        <v/>
      </c>
      <c r="W1101">
        <f>IF([2]Baskol!$E$1104="","",[2]Baskol!$E$1104)</f>
        <v/>
      </c>
      <c r="X1101">
        <f>IF([2]Baskol!$G$1104="","",[2]Baskol!$G$1104)</f>
        <v/>
      </c>
      <c r="Y1101">
        <f>IF([2]Baskol!$I$1104="","",[2]Baskol!$I$1104)</f>
        <v/>
      </c>
      <c r="Z1101">
        <f>IF([2]Baskol!$J$1104="","",[2]Baskol!$J$1104)</f>
        <v/>
      </c>
      <c r="AA1101">
        <f>IF([2]Baskol!$K$1104="","",[2]Baskol!$K$1104)</f>
        <v/>
      </c>
      <c r="AB1101">
        <f>IF([2]Baskol!$L$1104="","",[2]Baskol!$L$1104)</f>
        <v/>
      </c>
      <c r="AC1101">
        <f>IF([2]Baskol!$N$1104="","",[2]Baskol!$N$1104)</f>
        <v/>
      </c>
      <c r="AD1101">
        <f>IF([2]Baskol!$O$1104="","",[2]Baskol!$O$1104)</f>
        <v/>
      </c>
      <c r="AE1101">
        <f>IF([3]Entry!$C$1104="","",[3]Entry!$C$1104)</f>
        <v/>
      </c>
      <c r="AF1101">
        <f>IF([3]Entry!$D$1104="","",[3]Entry!$D$1104)</f>
        <v/>
      </c>
      <c r="AG1101">
        <f>IF([3]Entry!$E$1104="","",[3]Entry!$E$1104)</f>
        <v/>
      </c>
      <c r="AH1101">
        <f>IF([3]Entry!$G$1104="","",[3]Entry!$G$1104)</f>
        <v/>
      </c>
      <c r="AI1101">
        <f>IF([3]Entry!$K$1104="","",[3]Entry!$K$1104)</f>
        <v/>
      </c>
      <c r="AJ1101">
        <f>IF([3]Entry!$L$1104="","",[3]Entry!$L$1104)</f>
        <v/>
      </c>
      <c r="AK1101">
        <f>IF([3]Entry!$M$1104="","",[3]Entry!$M$1104)</f>
        <v/>
      </c>
      <c r="AL1101">
        <f>IF([3]Entry!$N$1104="","",[3]Entry!$N$1104)</f>
        <v/>
      </c>
      <c r="AM1101">
        <f>IF([3]Entry!$R$1104="","",[3]Entry!$R$1104)</f>
        <v/>
      </c>
    </row>
    <row r="1102">
      <c r="T1102">
        <f>IF([2]Baskol!$B$1105="","",[2]Baskol!$B$1105)</f>
        <v/>
      </c>
      <c r="U1102">
        <f>IF([2]Baskol!$C$1105="","",[2]Baskol!$C$1105)</f>
        <v/>
      </c>
      <c r="V1102">
        <f>IF([2]Baskol!$D$1105="","",[2]Baskol!$D$1105)</f>
        <v/>
      </c>
      <c r="W1102">
        <f>IF([2]Baskol!$E$1105="","",[2]Baskol!$E$1105)</f>
        <v/>
      </c>
      <c r="X1102">
        <f>IF([2]Baskol!$G$1105="","",[2]Baskol!$G$1105)</f>
        <v/>
      </c>
      <c r="Y1102">
        <f>IF([2]Baskol!$I$1105="","",[2]Baskol!$I$1105)</f>
        <v/>
      </c>
      <c r="Z1102">
        <f>IF([2]Baskol!$J$1105="","",[2]Baskol!$J$1105)</f>
        <v/>
      </c>
      <c r="AA1102">
        <f>IF([2]Baskol!$K$1105="","",[2]Baskol!$K$1105)</f>
        <v/>
      </c>
      <c r="AB1102">
        <f>IF([2]Baskol!$L$1105="","",[2]Baskol!$L$1105)</f>
        <v/>
      </c>
      <c r="AC1102">
        <f>IF([2]Baskol!$N$1105="","",[2]Baskol!$N$1105)</f>
        <v/>
      </c>
      <c r="AD1102">
        <f>IF([2]Baskol!$O$1105="","",[2]Baskol!$O$1105)</f>
        <v/>
      </c>
      <c r="AE1102">
        <f>IF([3]Entry!$C$1105="","",[3]Entry!$C$1105)</f>
        <v/>
      </c>
      <c r="AF1102">
        <f>IF([3]Entry!$D$1105="","",[3]Entry!$D$1105)</f>
        <v/>
      </c>
      <c r="AG1102">
        <f>IF([3]Entry!$E$1105="","",[3]Entry!$E$1105)</f>
        <v/>
      </c>
      <c r="AH1102">
        <f>IF([3]Entry!$G$1105="","",[3]Entry!$G$1105)</f>
        <v/>
      </c>
      <c r="AI1102">
        <f>IF([3]Entry!$K$1105="","",[3]Entry!$K$1105)</f>
        <v/>
      </c>
      <c r="AJ1102">
        <f>IF([3]Entry!$L$1105="","",[3]Entry!$L$1105)</f>
        <v/>
      </c>
      <c r="AK1102">
        <f>IF([3]Entry!$M$1105="","",[3]Entry!$M$1105)</f>
        <v/>
      </c>
      <c r="AL1102">
        <f>IF([3]Entry!$N$1105="","",[3]Entry!$N$1105)</f>
        <v/>
      </c>
      <c r="AM1102">
        <f>IF([3]Entry!$R$1105="","",[3]Entry!$R$1105)</f>
        <v/>
      </c>
    </row>
    <row r="1103">
      <c r="T1103">
        <f>IF([2]Baskol!$B$1106="","",[2]Baskol!$B$1106)</f>
        <v/>
      </c>
      <c r="U1103">
        <f>IF([2]Baskol!$C$1106="","",[2]Baskol!$C$1106)</f>
        <v/>
      </c>
      <c r="V1103">
        <f>IF([2]Baskol!$D$1106="","",[2]Baskol!$D$1106)</f>
        <v/>
      </c>
      <c r="W1103">
        <f>IF([2]Baskol!$E$1106="","",[2]Baskol!$E$1106)</f>
        <v/>
      </c>
      <c r="X1103">
        <f>IF([2]Baskol!$G$1106="","",[2]Baskol!$G$1106)</f>
        <v/>
      </c>
      <c r="Y1103">
        <f>IF([2]Baskol!$I$1106="","",[2]Baskol!$I$1106)</f>
        <v/>
      </c>
      <c r="Z1103">
        <f>IF([2]Baskol!$J$1106="","",[2]Baskol!$J$1106)</f>
        <v/>
      </c>
      <c r="AA1103">
        <f>IF([2]Baskol!$K$1106="","",[2]Baskol!$K$1106)</f>
        <v/>
      </c>
      <c r="AB1103">
        <f>IF([2]Baskol!$L$1106="","",[2]Baskol!$L$1106)</f>
        <v/>
      </c>
      <c r="AC1103">
        <f>IF([2]Baskol!$N$1106="","",[2]Baskol!$N$1106)</f>
        <v/>
      </c>
      <c r="AD1103">
        <f>IF([2]Baskol!$O$1106="","",[2]Baskol!$O$1106)</f>
        <v/>
      </c>
      <c r="AE1103">
        <f>IF([3]Entry!$C$1106="","",[3]Entry!$C$1106)</f>
        <v/>
      </c>
      <c r="AF1103">
        <f>IF([3]Entry!$D$1106="","",[3]Entry!$D$1106)</f>
        <v/>
      </c>
      <c r="AG1103">
        <f>IF([3]Entry!$E$1106="","",[3]Entry!$E$1106)</f>
        <v/>
      </c>
      <c r="AH1103">
        <f>IF([3]Entry!$G$1106="","",[3]Entry!$G$1106)</f>
        <v/>
      </c>
      <c r="AI1103">
        <f>IF([3]Entry!$K$1106="","",[3]Entry!$K$1106)</f>
        <v/>
      </c>
      <c r="AJ1103">
        <f>IF([3]Entry!$L$1106="","",[3]Entry!$L$1106)</f>
        <v/>
      </c>
      <c r="AK1103">
        <f>IF([3]Entry!$M$1106="","",[3]Entry!$M$1106)</f>
        <v/>
      </c>
      <c r="AL1103">
        <f>IF([3]Entry!$N$1106="","",[3]Entry!$N$1106)</f>
        <v/>
      </c>
      <c r="AM1103">
        <f>IF([3]Entry!$R$1106="","",[3]Entry!$R$1106)</f>
        <v/>
      </c>
    </row>
    <row r="1104">
      <c r="T1104">
        <f>IF([2]Baskol!$B$1107="","",[2]Baskol!$B$1107)</f>
        <v/>
      </c>
      <c r="U1104">
        <f>IF([2]Baskol!$C$1107="","",[2]Baskol!$C$1107)</f>
        <v/>
      </c>
      <c r="V1104">
        <f>IF([2]Baskol!$D$1107="","",[2]Baskol!$D$1107)</f>
        <v/>
      </c>
      <c r="W1104">
        <f>IF([2]Baskol!$E$1107="","",[2]Baskol!$E$1107)</f>
        <v/>
      </c>
      <c r="X1104">
        <f>IF([2]Baskol!$G$1107="","",[2]Baskol!$G$1107)</f>
        <v/>
      </c>
      <c r="Y1104">
        <f>IF([2]Baskol!$I$1107="","",[2]Baskol!$I$1107)</f>
        <v/>
      </c>
      <c r="Z1104">
        <f>IF([2]Baskol!$J$1107="","",[2]Baskol!$J$1107)</f>
        <v/>
      </c>
      <c r="AA1104">
        <f>IF([2]Baskol!$K$1107="","",[2]Baskol!$K$1107)</f>
        <v/>
      </c>
      <c r="AB1104">
        <f>IF([2]Baskol!$L$1107="","",[2]Baskol!$L$1107)</f>
        <v/>
      </c>
      <c r="AC1104">
        <f>IF([2]Baskol!$N$1107="","",[2]Baskol!$N$1107)</f>
        <v/>
      </c>
      <c r="AD1104">
        <f>IF([2]Baskol!$O$1107="","",[2]Baskol!$O$1107)</f>
        <v/>
      </c>
      <c r="AE1104">
        <f>IF([3]Entry!$C$1107="","",[3]Entry!$C$1107)</f>
        <v/>
      </c>
      <c r="AF1104">
        <f>IF([3]Entry!$D$1107="","",[3]Entry!$D$1107)</f>
        <v/>
      </c>
      <c r="AG1104">
        <f>IF([3]Entry!$E$1107="","",[3]Entry!$E$1107)</f>
        <v/>
      </c>
      <c r="AH1104">
        <f>IF([3]Entry!$G$1107="","",[3]Entry!$G$1107)</f>
        <v/>
      </c>
      <c r="AI1104">
        <f>IF([3]Entry!$K$1107="","",[3]Entry!$K$1107)</f>
        <v/>
      </c>
      <c r="AJ1104">
        <f>IF([3]Entry!$L$1107="","",[3]Entry!$L$1107)</f>
        <v/>
      </c>
      <c r="AK1104">
        <f>IF([3]Entry!$M$1107="","",[3]Entry!$M$1107)</f>
        <v/>
      </c>
      <c r="AL1104">
        <f>IF([3]Entry!$N$1107="","",[3]Entry!$N$1107)</f>
        <v/>
      </c>
      <c r="AM1104">
        <f>IF([3]Entry!$R$1107="","",[3]Entry!$R$1107)</f>
        <v/>
      </c>
    </row>
    <row r="1105">
      <c r="T1105">
        <f>IF([2]Baskol!$B$1108="","",[2]Baskol!$B$1108)</f>
        <v/>
      </c>
      <c r="U1105">
        <f>IF([2]Baskol!$C$1108="","",[2]Baskol!$C$1108)</f>
        <v/>
      </c>
      <c r="V1105">
        <f>IF([2]Baskol!$D$1108="","",[2]Baskol!$D$1108)</f>
        <v/>
      </c>
      <c r="W1105">
        <f>IF([2]Baskol!$E$1108="","",[2]Baskol!$E$1108)</f>
        <v/>
      </c>
      <c r="X1105">
        <f>IF([2]Baskol!$G$1108="","",[2]Baskol!$G$1108)</f>
        <v/>
      </c>
      <c r="Y1105">
        <f>IF([2]Baskol!$I$1108="","",[2]Baskol!$I$1108)</f>
        <v/>
      </c>
      <c r="Z1105">
        <f>IF([2]Baskol!$J$1108="","",[2]Baskol!$J$1108)</f>
        <v/>
      </c>
      <c r="AA1105">
        <f>IF([2]Baskol!$K$1108="","",[2]Baskol!$K$1108)</f>
        <v/>
      </c>
      <c r="AB1105">
        <f>IF([2]Baskol!$L$1108="","",[2]Baskol!$L$1108)</f>
        <v/>
      </c>
      <c r="AC1105">
        <f>IF([2]Baskol!$N$1108="","",[2]Baskol!$N$1108)</f>
        <v/>
      </c>
      <c r="AD1105">
        <f>IF([2]Baskol!$O$1108="","",[2]Baskol!$O$1108)</f>
        <v/>
      </c>
      <c r="AE1105">
        <f>IF([3]Entry!$C$1108="","",[3]Entry!$C$1108)</f>
        <v/>
      </c>
      <c r="AF1105">
        <f>IF([3]Entry!$D$1108="","",[3]Entry!$D$1108)</f>
        <v/>
      </c>
      <c r="AG1105">
        <f>IF([3]Entry!$E$1108="","",[3]Entry!$E$1108)</f>
        <v/>
      </c>
      <c r="AH1105">
        <f>IF([3]Entry!$G$1108="","",[3]Entry!$G$1108)</f>
        <v/>
      </c>
      <c r="AI1105">
        <f>IF([3]Entry!$K$1108="","",[3]Entry!$K$1108)</f>
        <v/>
      </c>
      <c r="AJ1105">
        <f>IF([3]Entry!$L$1108="","",[3]Entry!$L$1108)</f>
        <v/>
      </c>
      <c r="AK1105">
        <f>IF([3]Entry!$M$1108="","",[3]Entry!$M$1108)</f>
        <v/>
      </c>
      <c r="AL1105">
        <f>IF([3]Entry!$N$1108="","",[3]Entry!$N$1108)</f>
        <v/>
      </c>
      <c r="AM1105">
        <f>IF([3]Entry!$R$1108="","",[3]Entry!$R$1108)</f>
        <v/>
      </c>
    </row>
    <row r="1106">
      <c r="T1106">
        <f>IF([2]Baskol!$B$1109="","",[2]Baskol!$B$1109)</f>
        <v/>
      </c>
      <c r="U1106">
        <f>IF([2]Baskol!$C$1109="","",[2]Baskol!$C$1109)</f>
        <v/>
      </c>
      <c r="V1106">
        <f>IF([2]Baskol!$D$1109="","",[2]Baskol!$D$1109)</f>
        <v/>
      </c>
      <c r="W1106">
        <f>IF([2]Baskol!$E$1109="","",[2]Baskol!$E$1109)</f>
        <v/>
      </c>
      <c r="X1106">
        <f>IF([2]Baskol!$G$1109="","",[2]Baskol!$G$1109)</f>
        <v/>
      </c>
      <c r="Y1106">
        <f>IF([2]Baskol!$I$1109="","",[2]Baskol!$I$1109)</f>
        <v/>
      </c>
      <c r="Z1106">
        <f>IF([2]Baskol!$J$1109="","",[2]Baskol!$J$1109)</f>
        <v/>
      </c>
      <c r="AA1106">
        <f>IF([2]Baskol!$K$1109="","",[2]Baskol!$K$1109)</f>
        <v/>
      </c>
      <c r="AB1106">
        <f>IF([2]Baskol!$L$1109="","",[2]Baskol!$L$1109)</f>
        <v/>
      </c>
      <c r="AC1106">
        <f>IF([2]Baskol!$N$1109="","",[2]Baskol!$N$1109)</f>
        <v/>
      </c>
      <c r="AD1106">
        <f>IF([2]Baskol!$O$1109="","",[2]Baskol!$O$1109)</f>
        <v/>
      </c>
      <c r="AE1106">
        <f>IF([3]Entry!$C$1109="","",[3]Entry!$C$1109)</f>
        <v/>
      </c>
      <c r="AF1106">
        <f>IF([3]Entry!$D$1109="","",[3]Entry!$D$1109)</f>
        <v/>
      </c>
      <c r="AG1106">
        <f>IF([3]Entry!$E$1109="","",[3]Entry!$E$1109)</f>
        <v/>
      </c>
      <c r="AH1106">
        <f>IF([3]Entry!$G$1109="","",[3]Entry!$G$1109)</f>
        <v/>
      </c>
      <c r="AI1106">
        <f>IF([3]Entry!$K$1109="","",[3]Entry!$K$1109)</f>
        <v/>
      </c>
      <c r="AJ1106">
        <f>IF([3]Entry!$L$1109="","",[3]Entry!$L$1109)</f>
        <v/>
      </c>
      <c r="AK1106">
        <f>IF([3]Entry!$M$1109="","",[3]Entry!$M$1109)</f>
        <v/>
      </c>
      <c r="AL1106">
        <f>IF([3]Entry!$N$1109="","",[3]Entry!$N$1109)</f>
        <v/>
      </c>
      <c r="AM1106">
        <f>IF([3]Entry!$R$1109="","",[3]Entry!$R$1109)</f>
        <v/>
      </c>
    </row>
    <row r="1107">
      <c r="T1107">
        <f>IF([2]Baskol!$B$1110="","",[2]Baskol!$B$1110)</f>
        <v/>
      </c>
      <c r="U1107">
        <f>IF([2]Baskol!$C$1110="","",[2]Baskol!$C$1110)</f>
        <v/>
      </c>
      <c r="V1107">
        <f>IF([2]Baskol!$D$1110="","",[2]Baskol!$D$1110)</f>
        <v/>
      </c>
      <c r="W1107">
        <f>IF([2]Baskol!$E$1110="","",[2]Baskol!$E$1110)</f>
        <v/>
      </c>
      <c r="X1107">
        <f>IF([2]Baskol!$G$1110="","",[2]Baskol!$G$1110)</f>
        <v/>
      </c>
      <c r="Y1107">
        <f>IF([2]Baskol!$I$1110="","",[2]Baskol!$I$1110)</f>
        <v/>
      </c>
      <c r="Z1107">
        <f>IF([2]Baskol!$J$1110="","",[2]Baskol!$J$1110)</f>
        <v/>
      </c>
      <c r="AA1107">
        <f>IF([2]Baskol!$K$1110="","",[2]Baskol!$K$1110)</f>
        <v/>
      </c>
      <c r="AB1107">
        <f>IF([2]Baskol!$L$1110="","",[2]Baskol!$L$1110)</f>
        <v/>
      </c>
      <c r="AC1107">
        <f>IF([2]Baskol!$N$1110="","",[2]Baskol!$N$1110)</f>
        <v/>
      </c>
      <c r="AD1107">
        <f>IF([2]Baskol!$O$1110="","",[2]Baskol!$O$1110)</f>
        <v/>
      </c>
      <c r="AE1107">
        <f>IF([3]Entry!$C$1110="","",[3]Entry!$C$1110)</f>
        <v/>
      </c>
      <c r="AF1107">
        <f>IF([3]Entry!$D$1110="","",[3]Entry!$D$1110)</f>
        <v/>
      </c>
      <c r="AG1107">
        <f>IF([3]Entry!$E$1110="","",[3]Entry!$E$1110)</f>
        <v/>
      </c>
      <c r="AH1107">
        <f>IF([3]Entry!$G$1110="","",[3]Entry!$G$1110)</f>
        <v/>
      </c>
      <c r="AI1107">
        <f>IF([3]Entry!$K$1110="","",[3]Entry!$K$1110)</f>
        <v/>
      </c>
      <c r="AJ1107">
        <f>IF([3]Entry!$L$1110="","",[3]Entry!$L$1110)</f>
        <v/>
      </c>
      <c r="AK1107">
        <f>IF([3]Entry!$M$1110="","",[3]Entry!$M$1110)</f>
        <v/>
      </c>
      <c r="AL1107">
        <f>IF([3]Entry!$N$1110="","",[3]Entry!$N$1110)</f>
        <v/>
      </c>
      <c r="AM1107">
        <f>IF([3]Entry!$R$1110="","",[3]Entry!$R$1110)</f>
        <v/>
      </c>
    </row>
    <row r="1108">
      <c r="T1108">
        <f>IF([2]Baskol!$B$1111="","",[2]Baskol!$B$1111)</f>
        <v/>
      </c>
      <c r="U1108">
        <f>IF([2]Baskol!$C$1111="","",[2]Baskol!$C$1111)</f>
        <v/>
      </c>
      <c r="V1108">
        <f>IF([2]Baskol!$D$1111="","",[2]Baskol!$D$1111)</f>
        <v/>
      </c>
      <c r="W1108">
        <f>IF([2]Baskol!$E$1111="","",[2]Baskol!$E$1111)</f>
        <v/>
      </c>
      <c r="X1108">
        <f>IF([2]Baskol!$G$1111="","",[2]Baskol!$G$1111)</f>
        <v/>
      </c>
      <c r="Y1108">
        <f>IF([2]Baskol!$I$1111="","",[2]Baskol!$I$1111)</f>
        <v/>
      </c>
      <c r="Z1108">
        <f>IF([2]Baskol!$J$1111="","",[2]Baskol!$J$1111)</f>
        <v/>
      </c>
      <c r="AA1108">
        <f>IF([2]Baskol!$K$1111="","",[2]Baskol!$K$1111)</f>
        <v/>
      </c>
      <c r="AB1108">
        <f>IF([2]Baskol!$L$1111="","",[2]Baskol!$L$1111)</f>
        <v/>
      </c>
      <c r="AC1108">
        <f>IF([2]Baskol!$N$1111="","",[2]Baskol!$N$1111)</f>
        <v/>
      </c>
      <c r="AD1108">
        <f>IF([2]Baskol!$O$1111="","",[2]Baskol!$O$1111)</f>
        <v/>
      </c>
      <c r="AE1108">
        <f>IF([3]Entry!$C$1111="","",[3]Entry!$C$1111)</f>
        <v/>
      </c>
      <c r="AF1108">
        <f>IF([3]Entry!$D$1111="","",[3]Entry!$D$1111)</f>
        <v/>
      </c>
      <c r="AG1108">
        <f>IF([3]Entry!$E$1111="","",[3]Entry!$E$1111)</f>
        <v/>
      </c>
      <c r="AH1108">
        <f>IF([3]Entry!$G$1111="","",[3]Entry!$G$1111)</f>
        <v/>
      </c>
      <c r="AI1108">
        <f>IF([3]Entry!$K$1111="","",[3]Entry!$K$1111)</f>
        <v/>
      </c>
      <c r="AJ1108">
        <f>IF([3]Entry!$L$1111="","",[3]Entry!$L$1111)</f>
        <v/>
      </c>
      <c r="AK1108">
        <f>IF([3]Entry!$M$1111="","",[3]Entry!$M$1111)</f>
        <v/>
      </c>
      <c r="AL1108">
        <f>IF([3]Entry!$N$1111="","",[3]Entry!$N$1111)</f>
        <v/>
      </c>
      <c r="AM1108">
        <f>IF([3]Entry!$R$1111="","",[3]Entry!$R$1111)</f>
        <v/>
      </c>
    </row>
    <row r="1109">
      <c r="T1109">
        <f>IF([2]Baskol!$B$1112="","",[2]Baskol!$B$1112)</f>
        <v/>
      </c>
      <c r="U1109">
        <f>IF([2]Baskol!$C$1112="","",[2]Baskol!$C$1112)</f>
        <v/>
      </c>
      <c r="V1109">
        <f>IF([2]Baskol!$D$1112="","",[2]Baskol!$D$1112)</f>
        <v/>
      </c>
      <c r="W1109">
        <f>IF([2]Baskol!$E$1112="","",[2]Baskol!$E$1112)</f>
        <v/>
      </c>
      <c r="X1109">
        <f>IF([2]Baskol!$G$1112="","",[2]Baskol!$G$1112)</f>
        <v/>
      </c>
      <c r="Y1109">
        <f>IF([2]Baskol!$I$1112="","",[2]Baskol!$I$1112)</f>
        <v/>
      </c>
      <c r="Z1109">
        <f>IF([2]Baskol!$J$1112="","",[2]Baskol!$J$1112)</f>
        <v/>
      </c>
      <c r="AA1109">
        <f>IF([2]Baskol!$K$1112="","",[2]Baskol!$K$1112)</f>
        <v/>
      </c>
      <c r="AB1109">
        <f>IF([2]Baskol!$L$1112="","",[2]Baskol!$L$1112)</f>
        <v/>
      </c>
      <c r="AC1109">
        <f>IF([2]Baskol!$N$1112="","",[2]Baskol!$N$1112)</f>
        <v/>
      </c>
      <c r="AD1109">
        <f>IF([2]Baskol!$O$1112="","",[2]Baskol!$O$1112)</f>
        <v/>
      </c>
      <c r="AE1109">
        <f>IF([3]Entry!$C$1112="","",[3]Entry!$C$1112)</f>
        <v/>
      </c>
      <c r="AF1109">
        <f>IF([3]Entry!$D$1112="","",[3]Entry!$D$1112)</f>
        <v/>
      </c>
      <c r="AG1109">
        <f>IF([3]Entry!$E$1112="","",[3]Entry!$E$1112)</f>
        <v/>
      </c>
      <c r="AH1109">
        <f>IF([3]Entry!$G$1112="","",[3]Entry!$G$1112)</f>
        <v/>
      </c>
      <c r="AI1109">
        <f>IF([3]Entry!$K$1112="","",[3]Entry!$K$1112)</f>
        <v/>
      </c>
      <c r="AJ1109">
        <f>IF([3]Entry!$L$1112="","",[3]Entry!$L$1112)</f>
        <v/>
      </c>
      <c r="AK1109">
        <f>IF([3]Entry!$M$1112="","",[3]Entry!$M$1112)</f>
        <v/>
      </c>
      <c r="AL1109">
        <f>IF([3]Entry!$N$1112="","",[3]Entry!$N$1112)</f>
        <v/>
      </c>
      <c r="AM1109">
        <f>IF([3]Entry!$R$1112="","",[3]Entry!$R$1112)</f>
        <v/>
      </c>
    </row>
    <row r="1110">
      <c r="T1110">
        <f>IF([2]Baskol!$B$1113="","",[2]Baskol!$B$1113)</f>
        <v/>
      </c>
      <c r="U1110">
        <f>IF([2]Baskol!$C$1113="","",[2]Baskol!$C$1113)</f>
        <v/>
      </c>
      <c r="V1110">
        <f>IF([2]Baskol!$D$1113="","",[2]Baskol!$D$1113)</f>
        <v/>
      </c>
      <c r="W1110">
        <f>IF([2]Baskol!$E$1113="","",[2]Baskol!$E$1113)</f>
        <v/>
      </c>
      <c r="X1110">
        <f>IF([2]Baskol!$G$1113="","",[2]Baskol!$G$1113)</f>
        <v/>
      </c>
      <c r="Y1110">
        <f>IF([2]Baskol!$I$1113="","",[2]Baskol!$I$1113)</f>
        <v/>
      </c>
      <c r="Z1110">
        <f>IF([2]Baskol!$J$1113="","",[2]Baskol!$J$1113)</f>
        <v/>
      </c>
      <c r="AA1110">
        <f>IF([2]Baskol!$K$1113="","",[2]Baskol!$K$1113)</f>
        <v/>
      </c>
      <c r="AB1110">
        <f>IF([2]Baskol!$L$1113="","",[2]Baskol!$L$1113)</f>
        <v/>
      </c>
      <c r="AC1110">
        <f>IF([2]Baskol!$N$1113="","",[2]Baskol!$N$1113)</f>
        <v/>
      </c>
      <c r="AD1110">
        <f>IF([2]Baskol!$O$1113="","",[2]Baskol!$O$1113)</f>
        <v/>
      </c>
      <c r="AE1110">
        <f>IF([3]Entry!$C$1113="","",[3]Entry!$C$1113)</f>
        <v/>
      </c>
      <c r="AF1110">
        <f>IF([3]Entry!$D$1113="","",[3]Entry!$D$1113)</f>
        <v/>
      </c>
      <c r="AG1110">
        <f>IF([3]Entry!$E$1113="","",[3]Entry!$E$1113)</f>
        <v/>
      </c>
      <c r="AH1110">
        <f>IF([3]Entry!$G$1113="","",[3]Entry!$G$1113)</f>
        <v/>
      </c>
      <c r="AI1110">
        <f>IF([3]Entry!$K$1113="","",[3]Entry!$K$1113)</f>
        <v/>
      </c>
      <c r="AJ1110">
        <f>IF([3]Entry!$L$1113="","",[3]Entry!$L$1113)</f>
        <v/>
      </c>
      <c r="AK1110">
        <f>IF([3]Entry!$M$1113="","",[3]Entry!$M$1113)</f>
        <v/>
      </c>
      <c r="AL1110">
        <f>IF([3]Entry!$N$1113="","",[3]Entry!$N$1113)</f>
        <v/>
      </c>
      <c r="AM1110">
        <f>IF([3]Entry!$R$1113="","",[3]Entry!$R$1113)</f>
        <v/>
      </c>
    </row>
    <row r="1111">
      <c r="T1111">
        <f>IF([2]Baskol!$B$1114="","",[2]Baskol!$B$1114)</f>
        <v/>
      </c>
      <c r="U1111">
        <f>IF([2]Baskol!$C$1114="","",[2]Baskol!$C$1114)</f>
        <v/>
      </c>
      <c r="V1111">
        <f>IF([2]Baskol!$D$1114="","",[2]Baskol!$D$1114)</f>
        <v/>
      </c>
      <c r="W1111">
        <f>IF([2]Baskol!$E$1114="","",[2]Baskol!$E$1114)</f>
        <v/>
      </c>
      <c r="X1111">
        <f>IF([2]Baskol!$G$1114="","",[2]Baskol!$G$1114)</f>
        <v/>
      </c>
      <c r="Y1111">
        <f>IF([2]Baskol!$I$1114="","",[2]Baskol!$I$1114)</f>
        <v/>
      </c>
      <c r="Z1111">
        <f>IF([2]Baskol!$J$1114="","",[2]Baskol!$J$1114)</f>
        <v/>
      </c>
      <c r="AA1111">
        <f>IF([2]Baskol!$K$1114="","",[2]Baskol!$K$1114)</f>
        <v/>
      </c>
      <c r="AB1111">
        <f>IF([2]Baskol!$L$1114="","",[2]Baskol!$L$1114)</f>
        <v/>
      </c>
      <c r="AC1111">
        <f>IF([2]Baskol!$N$1114="","",[2]Baskol!$N$1114)</f>
        <v/>
      </c>
      <c r="AD1111">
        <f>IF([2]Baskol!$O$1114="","",[2]Baskol!$O$1114)</f>
        <v/>
      </c>
      <c r="AE1111">
        <f>IF([3]Entry!$C$1114="","",[3]Entry!$C$1114)</f>
        <v/>
      </c>
      <c r="AF1111">
        <f>IF([3]Entry!$D$1114="","",[3]Entry!$D$1114)</f>
        <v/>
      </c>
      <c r="AG1111">
        <f>IF([3]Entry!$E$1114="","",[3]Entry!$E$1114)</f>
        <v/>
      </c>
      <c r="AH1111">
        <f>IF([3]Entry!$G$1114="","",[3]Entry!$G$1114)</f>
        <v/>
      </c>
      <c r="AI1111">
        <f>IF([3]Entry!$K$1114="","",[3]Entry!$K$1114)</f>
        <v/>
      </c>
      <c r="AJ1111">
        <f>IF([3]Entry!$L$1114="","",[3]Entry!$L$1114)</f>
        <v/>
      </c>
      <c r="AK1111">
        <f>IF([3]Entry!$M$1114="","",[3]Entry!$M$1114)</f>
        <v/>
      </c>
      <c r="AL1111">
        <f>IF([3]Entry!$N$1114="","",[3]Entry!$N$1114)</f>
        <v/>
      </c>
      <c r="AM1111">
        <f>IF([3]Entry!$R$1114="","",[3]Entry!$R$1114)</f>
        <v/>
      </c>
    </row>
    <row r="1112">
      <c r="T1112">
        <f>IF([2]Baskol!$B$1115="","",[2]Baskol!$B$1115)</f>
        <v/>
      </c>
      <c r="U1112">
        <f>IF([2]Baskol!$C$1115="","",[2]Baskol!$C$1115)</f>
        <v/>
      </c>
      <c r="V1112">
        <f>IF([2]Baskol!$D$1115="","",[2]Baskol!$D$1115)</f>
        <v/>
      </c>
      <c r="W1112">
        <f>IF([2]Baskol!$E$1115="","",[2]Baskol!$E$1115)</f>
        <v/>
      </c>
      <c r="X1112">
        <f>IF([2]Baskol!$G$1115="","",[2]Baskol!$G$1115)</f>
        <v/>
      </c>
      <c r="Y1112">
        <f>IF([2]Baskol!$I$1115="","",[2]Baskol!$I$1115)</f>
        <v/>
      </c>
      <c r="Z1112">
        <f>IF([2]Baskol!$J$1115="","",[2]Baskol!$J$1115)</f>
        <v/>
      </c>
      <c r="AA1112">
        <f>IF([2]Baskol!$K$1115="","",[2]Baskol!$K$1115)</f>
        <v/>
      </c>
      <c r="AB1112">
        <f>IF([2]Baskol!$L$1115="","",[2]Baskol!$L$1115)</f>
        <v/>
      </c>
      <c r="AC1112">
        <f>IF([2]Baskol!$N$1115="","",[2]Baskol!$N$1115)</f>
        <v/>
      </c>
      <c r="AD1112">
        <f>IF([2]Baskol!$O$1115="","",[2]Baskol!$O$1115)</f>
        <v/>
      </c>
      <c r="AE1112">
        <f>IF([3]Entry!$C$1115="","",[3]Entry!$C$1115)</f>
        <v/>
      </c>
      <c r="AF1112">
        <f>IF([3]Entry!$D$1115="","",[3]Entry!$D$1115)</f>
        <v/>
      </c>
      <c r="AG1112">
        <f>IF([3]Entry!$E$1115="","",[3]Entry!$E$1115)</f>
        <v/>
      </c>
      <c r="AH1112">
        <f>IF([3]Entry!$G$1115="","",[3]Entry!$G$1115)</f>
        <v/>
      </c>
      <c r="AI1112">
        <f>IF([3]Entry!$K$1115="","",[3]Entry!$K$1115)</f>
        <v/>
      </c>
      <c r="AJ1112">
        <f>IF([3]Entry!$L$1115="","",[3]Entry!$L$1115)</f>
        <v/>
      </c>
      <c r="AK1112">
        <f>IF([3]Entry!$M$1115="","",[3]Entry!$M$1115)</f>
        <v/>
      </c>
      <c r="AL1112">
        <f>IF([3]Entry!$N$1115="","",[3]Entry!$N$1115)</f>
        <v/>
      </c>
      <c r="AM1112">
        <f>IF([3]Entry!$R$1115="","",[3]Entry!$R$1115)</f>
        <v/>
      </c>
    </row>
    <row r="1113">
      <c r="T1113">
        <f>IF([2]Baskol!$B$1116="","",[2]Baskol!$B$1116)</f>
        <v/>
      </c>
      <c r="U1113">
        <f>IF([2]Baskol!$C$1116="","",[2]Baskol!$C$1116)</f>
        <v/>
      </c>
      <c r="V1113">
        <f>IF([2]Baskol!$D$1116="","",[2]Baskol!$D$1116)</f>
        <v/>
      </c>
      <c r="W1113">
        <f>IF([2]Baskol!$E$1116="","",[2]Baskol!$E$1116)</f>
        <v/>
      </c>
      <c r="X1113">
        <f>IF([2]Baskol!$G$1116="","",[2]Baskol!$G$1116)</f>
        <v/>
      </c>
      <c r="Y1113">
        <f>IF([2]Baskol!$I$1116="","",[2]Baskol!$I$1116)</f>
        <v/>
      </c>
      <c r="Z1113">
        <f>IF([2]Baskol!$J$1116="","",[2]Baskol!$J$1116)</f>
        <v/>
      </c>
      <c r="AA1113">
        <f>IF([2]Baskol!$K$1116="","",[2]Baskol!$K$1116)</f>
        <v/>
      </c>
      <c r="AB1113">
        <f>IF([2]Baskol!$L$1116="","",[2]Baskol!$L$1116)</f>
        <v/>
      </c>
      <c r="AC1113">
        <f>IF([2]Baskol!$N$1116="","",[2]Baskol!$N$1116)</f>
        <v/>
      </c>
      <c r="AD1113">
        <f>IF([2]Baskol!$O$1116="","",[2]Baskol!$O$1116)</f>
        <v/>
      </c>
      <c r="AE1113">
        <f>IF([3]Entry!$C$1116="","",[3]Entry!$C$1116)</f>
        <v/>
      </c>
      <c r="AF1113">
        <f>IF([3]Entry!$D$1116="","",[3]Entry!$D$1116)</f>
        <v/>
      </c>
      <c r="AG1113">
        <f>IF([3]Entry!$E$1116="","",[3]Entry!$E$1116)</f>
        <v/>
      </c>
      <c r="AH1113">
        <f>IF([3]Entry!$G$1116="","",[3]Entry!$G$1116)</f>
        <v/>
      </c>
      <c r="AI1113">
        <f>IF([3]Entry!$K$1116="","",[3]Entry!$K$1116)</f>
        <v/>
      </c>
      <c r="AJ1113">
        <f>IF([3]Entry!$L$1116="","",[3]Entry!$L$1116)</f>
        <v/>
      </c>
      <c r="AK1113">
        <f>IF([3]Entry!$M$1116="","",[3]Entry!$M$1116)</f>
        <v/>
      </c>
      <c r="AL1113">
        <f>IF([3]Entry!$N$1116="","",[3]Entry!$N$1116)</f>
        <v/>
      </c>
      <c r="AM1113">
        <f>IF([3]Entry!$R$1116="","",[3]Entry!$R$1116)</f>
        <v/>
      </c>
    </row>
    <row r="1114">
      <c r="T1114">
        <f>IF([2]Baskol!$B$1117="","",[2]Baskol!$B$1117)</f>
        <v/>
      </c>
      <c r="U1114">
        <f>IF([2]Baskol!$C$1117="","",[2]Baskol!$C$1117)</f>
        <v/>
      </c>
      <c r="V1114">
        <f>IF([2]Baskol!$D$1117="","",[2]Baskol!$D$1117)</f>
        <v/>
      </c>
      <c r="W1114">
        <f>IF([2]Baskol!$E$1117="","",[2]Baskol!$E$1117)</f>
        <v/>
      </c>
      <c r="X1114">
        <f>IF([2]Baskol!$G$1117="","",[2]Baskol!$G$1117)</f>
        <v/>
      </c>
      <c r="Y1114">
        <f>IF([2]Baskol!$I$1117="","",[2]Baskol!$I$1117)</f>
        <v/>
      </c>
      <c r="Z1114">
        <f>IF([2]Baskol!$J$1117="","",[2]Baskol!$J$1117)</f>
        <v/>
      </c>
      <c r="AA1114">
        <f>IF([2]Baskol!$K$1117="","",[2]Baskol!$K$1117)</f>
        <v/>
      </c>
      <c r="AB1114">
        <f>IF([2]Baskol!$L$1117="","",[2]Baskol!$L$1117)</f>
        <v/>
      </c>
      <c r="AC1114">
        <f>IF([2]Baskol!$N$1117="","",[2]Baskol!$N$1117)</f>
        <v/>
      </c>
      <c r="AD1114">
        <f>IF([2]Baskol!$O$1117="","",[2]Baskol!$O$1117)</f>
        <v/>
      </c>
      <c r="AE1114">
        <f>IF([3]Entry!$C$1117="","",[3]Entry!$C$1117)</f>
        <v/>
      </c>
      <c r="AF1114">
        <f>IF([3]Entry!$D$1117="","",[3]Entry!$D$1117)</f>
        <v/>
      </c>
      <c r="AG1114">
        <f>IF([3]Entry!$E$1117="","",[3]Entry!$E$1117)</f>
        <v/>
      </c>
      <c r="AH1114">
        <f>IF([3]Entry!$G$1117="","",[3]Entry!$G$1117)</f>
        <v/>
      </c>
      <c r="AI1114">
        <f>IF([3]Entry!$K$1117="","",[3]Entry!$K$1117)</f>
        <v/>
      </c>
      <c r="AJ1114">
        <f>IF([3]Entry!$L$1117="","",[3]Entry!$L$1117)</f>
        <v/>
      </c>
      <c r="AK1114">
        <f>IF([3]Entry!$M$1117="","",[3]Entry!$M$1117)</f>
        <v/>
      </c>
      <c r="AL1114">
        <f>IF([3]Entry!$N$1117="","",[3]Entry!$N$1117)</f>
        <v/>
      </c>
      <c r="AM1114">
        <f>IF([3]Entry!$R$1117="","",[3]Entry!$R$1117)</f>
        <v/>
      </c>
    </row>
    <row r="1115">
      <c r="T1115">
        <f>IF([2]Baskol!$B$1118="","",[2]Baskol!$B$1118)</f>
        <v/>
      </c>
      <c r="U1115">
        <f>IF([2]Baskol!$C$1118="","",[2]Baskol!$C$1118)</f>
        <v/>
      </c>
      <c r="V1115">
        <f>IF([2]Baskol!$D$1118="","",[2]Baskol!$D$1118)</f>
        <v/>
      </c>
      <c r="W1115">
        <f>IF([2]Baskol!$E$1118="","",[2]Baskol!$E$1118)</f>
        <v/>
      </c>
      <c r="X1115">
        <f>IF([2]Baskol!$G$1118="","",[2]Baskol!$G$1118)</f>
        <v/>
      </c>
      <c r="Y1115">
        <f>IF([2]Baskol!$I$1118="","",[2]Baskol!$I$1118)</f>
        <v/>
      </c>
      <c r="Z1115">
        <f>IF([2]Baskol!$J$1118="","",[2]Baskol!$J$1118)</f>
        <v/>
      </c>
      <c r="AA1115">
        <f>IF([2]Baskol!$K$1118="","",[2]Baskol!$K$1118)</f>
        <v/>
      </c>
      <c r="AB1115">
        <f>IF([2]Baskol!$L$1118="","",[2]Baskol!$L$1118)</f>
        <v/>
      </c>
      <c r="AC1115">
        <f>IF([2]Baskol!$N$1118="","",[2]Baskol!$N$1118)</f>
        <v/>
      </c>
      <c r="AD1115">
        <f>IF([2]Baskol!$O$1118="","",[2]Baskol!$O$1118)</f>
        <v/>
      </c>
      <c r="AE1115">
        <f>IF([3]Entry!$C$1118="","",[3]Entry!$C$1118)</f>
        <v/>
      </c>
      <c r="AF1115">
        <f>IF([3]Entry!$D$1118="","",[3]Entry!$D$1118)</f>
        <v/>
      </c>
      <c r="AG1115">
        <f>IF([3]Entry!$E$1118="","",[3]Entry!$E$1118)</f>
        <v/>
      </c>
      <c r="AH1115">
        <f>IF([3]Entry!$G$1118="","",[3]Entry!$G$1118)</f>
        <v/>
      </c>
      <c r="AI1115">
        <f>IF([3]Entry!$K$1118="","",[3]Entry!$K$1118)</f>
        <v/>
      </c>
      <c r="AJ1115">
        <f>IF([3]Entry!$L$1118="","",[3]Entry!$L$1118)</f>
        <v/>
      </c>
      <c r="AK1115">
        <f>IF([3]Entry!$M$1118="","",[3]Entry!$M$1118)</f>
        <v/>
      </c>
      <c r="AL1115">
        <f>IF([3]Entry!$N$1118="","",[3]Entry!$N$1118)</f>
        <v/>
      </c>
      <c r="AM1115">
        <f>IF([3]Entry!$R$1118="","",[3]Entry!$R$1118)</f>
        <v/>
      </c>
    </row>
    <row r="1116">
      <c r="T1116">
        <f>IF([2]Baskol!$B$1119="","",[2]Baskol!$B$1119)</f>
        <v/>
      </c>
      <c r="U1116">
        <f>IF([2]Baskol!$C$1119="","",[2]Baskol!$C$1119)</f>
        <v/>
      </c>
      <c r="V1116">
        <f>IF([2]Baskol!$D$1119="","",[2]Baskol!$D$1119)</f>
        <v/>
      </c>
      <c r="W1116">
        <f>IF([2]Baskol!$E$1119="","",[2]Baskol!$E$1119)</f>
        <v/>
      </c>
      <c r="X1116">
        <f>IF([2]Baskol!$G$1119="","",[2]Baskol!$G$1119)</f>
        <v/>
      </c>
      <c r="Y1116">
        <f>IF([2]Baskol!$I$1119="","",[2]Baskol!$I$1119)</f>
        <v/>
      </c>
      <c r="Z1116">
        <f>IF([2]Baskol!$J$1119="","",[2]Baskol!$J$1119)</f>
        <v/>
      </c>
      <c r="AA1116">
        <f>IF([2]Baskol!$K$1119="","",[2]Baskol!$K$1119)</f>
        <v/>
      </c>
      <c r="AB1116">
        <f>IF([2]Baskol!$L$1119="","",[2]Baskol!$L$1119)</f>
        <v/>
      </c>
      <c r="AC1116">
        <f>IF([2]Baskol!$N$1119="","",[2]Baskol!$N$1119)</f>
        <v/>
      </c>
      <c r="AD1116">
        <f>IF([2]Baskol!$O$1119="","",[2]Baskol!$O$1119)</f>
        <v/>
      </c>
      <c r="AE1116">
        <f>IF([3]Entry!$C$1119="","",[3]Entry!$C$1119)</f>
        <v/>
      </c>
      <c r="AF1116">
        <f>IF([3]Entry!$D$1119="","",[3]Entry!$D$1119)</f>
        <v/>
      </c>
      <c r="AG1116">
        <f>IF([3]Entry!$E$1119="","",[3]Entry!$E$1119)</f>
        <v/>
      </c>
      <c r="AH1116">
        <f>IF([3]Entry!$G$1119="","",[3]Entry!$G$1119)</f>
        <v/>
      </c>
      <c r="AI1116">
        <f>IF([3]Entry!$K$1119="","",[3]Entry!$K$1119)</f>
        <v/>
      </c>
      <c r="AJ1116">
        <f>IF([3]Entry!$L$1119="","",[3]Entry!$L$1119)</f>
        <v/>
      </c>
      <c r="AK1116">
        <f>IF([3]Entry!$M$1119="","",[3]Entry!$M$1119)</f>
        <v/>
      </c>
      <c r="AL1116">
        <f>IF([3]Entry!$N$1119="","",[3]Entry!$N$1119)</f>
        <v/>
      </c>
      <c r="AM1116">
        <f>IF([3]Entry!$R$1119="","",[3]Entry!$R$1119)</f>
        <v/>
      </c>
    </row>
    <row r="1117">
      <c r="T1117">
        <f>IF([2]Baskol!$B$1120="","",[2]Baskol!$B$1120)</f>
        <v/>
      </c>
      <c r="U1117">
        <f>IF([2]Baskol!$C$1120="","",[2]Baskol!$C$1120)</f>
        <v/>
      </c>
      <c r="V1117">
        <f>IF([2]Baskol!$D$1120="","",[2]Baskol!$D$1120)</f>
        <v/>
      </c>
      <c r="W1117">
        <f>IF([2]Baskol!$E$1120="","",[2]Baskol!$E$1120)</f>
        <v/>
      </c>
      <c r="X1117">
        <f>IF([2]Baskol!$G$1120="","",[2]Baskol!$G$1120)</f>
        <v/>
      </c>
      <c r="Y1117">
        <f>IF([2]Baskol!$I$1120="","",[2]Baskol!$I$1120)</f>
        <v/>
      </c>
      <c r="Z1117">
        <f>IF([2]Baskol!$J$1120="","",[2]Baskol!$J$1120)</f>
        <v/>
      </c>
      <c r="AA1117">
        <f>IF([2]Baskol!$K$1120="","",[2]Baskol!$K$1120)</f>
        <v/>
      </c>
      <c r="AB1117">
        <f>IF([2]Baskol!$L$1120="","",[2]Baskol!$L$1120)</f>
        <v/>
      </c>
      <c r="AC1117">
        <f>IF([2]Baskol!$N$1120="","",[2]Baskol!$N$1120)</f>
        <v/>
      </c>
      <c r="AD1117">
        <f>IF([2]Baskol!$O$1120="","",[2]Baskol!$O$1120)</f>
        <v/>
      </c>
      <c r="AE1117">
        <f>IF([3]Entry!$C$1120="","",[3]Entry!$C$1120)</f>
        <v/>
      </c>
      <c r="AF1117">
        <f>IF([3]Entry!$D$1120="","",[3]Entry!$D$1120)</f>
        <v/>
      </c>
      <c r="AG1117">
        <f>IF([3]Entry!$E$1120="","",[3]Entry!$E$1120)</f>
        <v/>
      </c>
      <c r="AH1117">
        <f>IF([3]Entry!$G$1120="","",[3]Entry!$G$1120)</f>
        <v/>
      </c>
      <c r="AI1117">
        <f>IF([3]Entry!$K$1120="","",[3]Entry!$K$1120)</f>
        <v/>
      </c>
      <c r="AJ1117">
        <f>IF([3]Entry!$L$1120="","",[3]Entry!$L$1120)</f>
        <v/>
      </c>
      <c r="AK1117">
        <f>IF([3]Entry!$M$1120="","",[3]Entry!$M$1120)</f>
        <v/>
      </c>
      <c r="AL1117">
        <f>IF([3]Entry!$N$1120="","",[3]Entry!$N$1120)</f>
        <v/>
      </c>
      <c r="AM1117">
        <f>IF([3]Entry!$R$1120="","",[3]Entry!$R$1120)</f>
        <v/>
      </c>
    </row>
    <row r="1118">
      <c r="T1118">
        <f>IF([2]Baskol!$B$1121="","",[2]Baskol!$B$1121)</f>
        <v/>
      </c>
      <c r="U1118">
        <f>IF([2]Baskol!$C$1121="","",[2]Baskol!$C$1121)</f>
        <v/>
      </c>
      <c r="V1118">
        <f>IF([2]Baskol!$D$1121="","",[2]Baskol!$D$1121)</f>
        <v/>
      </c>
      <c r="W1118">
        <f>IF([2]Baskol!$E$1121="","",[2]Baskol!$E$1121)</f>
        <v/>
      </c>
      <c r="X1118">
        <f>IF([2]Baskol!$G$1121="","",[2]Baskol!$G$1121)</f>
        <v/>
      </c>
      <c r="Y1118">
        <f>IF([2]Baskol!$I$1121="","",[2]Baskol!$I$1121)</f>
        <v/>
      </c>
      <c r="Z1118">
        <f>IF([2]Baskol!$J$1121="","",[2]Baskol!$J$1121)</f>
        <v/>
      </c>
      <c r="AA1118">
        <f>IF([2]Baskol!$K$1121="","",[2]Baskol!$K$1121)</f>
        <v/>
      </c>
      <c r="AB1118">
        <f>IF([2]Baskol!$L$1121="","",[2]Baskol!$L$1121)</f>
        <v/>
      </c>
      <c r="AC1118">
        <f>IF([2]Baskol!$N$1121="","",[2]Baskol!$N$1121)</f>
        <v/>
      </c>
      <c r="AD1118">
        <f>IF([2]Baskol!$O$1121="","",[2]Baskol!$O$1121)</f>
        <v/>
      </c>
      <c r="AE1118">
        <f>IF([3]Entry!$C$1121="","",[3]Entry!$C$1121)</f>
        <v/>
      </c>
      <c r="AF1118">
        <f>IF([3]Entry!$D$1121="","",[3]Entry!$D$1121)</f>
        <v/>
      </c>
      <c r="AG1118">
        <f>IF([3]Entry!$E$1121="","",[3]Entry!$E$1121)</f>
        <v/>
      </c>
      <c r="AH1118">
        <f>IF([3]Entry!$G$1121="","",[3]Entry!$G$1121)</f>
        <v/>
      </c>
      <c r="AI1118">
        <f>IF([3]Entry!$K$1121="","",[3]Entry!$K$1121)</f>
        <v/>
      </c>
      <c r="AJ1118">
        <f>IF([3]Entry!$L$1121="","",[3]Entry!$L$1121)</f>
        <v/>
      </c>
      <c r="AK1118">
        <f>IF([3]Entry!$M$1121="","",[3]Entry!$M$1121)</f>
        <v/>
      </c>
      <c r="AL1118">
        <f>IF([3]Entry!$N$1121="","",[3]Entry!$N$1121)</f>
        <v/>
      </c>
      <c r="AM1118">
        <f>IF([3]Entry!$R$1121="","",[3]Entry!$R$1121)</f>
        <v/>
      </c>
    </row>
    <row r="1119">
      <c r="T1119">
        <f>IF([2]Baskol!$B$1122="","",[2]Baskol!$B$1122)</f>
        <v/>
      </c>
      <c r="U1119">
        <f>IF([2]Baskol!$C$1122="","",[2]Baskol!$C$1122)</f>
        <v/>
      </c>
      <c r="V1119">
        <f>IF([2]Baskol!$D$1122="","",[2]Baskol!$D$1122)</f>
        <v/>
      </c>
      <c r="W1119">
        <f>IF([2]Baskol!$E$1122="","",[2]Baskol!$E$1122)</f>
        <v/>
      </c>
      <c r="X1119">
        <f>IF([2]Baskol!$G$1122="","",[2]Baskol!$G$1122)</f>
        <v/>
      </c>
      <c r="Y1119">
        <f>IF([2]Baskol!$I$1122="","",[2]Baskol!$I$1122)</f>
        <v/>
      </c>
      <c r="Z1119">
        <f>IF([2]Baskol!$J$1122="","",[2]Baskol!$J$1122)</f>
        <v/>
      </c>
      <c r="AA1119">
        <f>IF([2]Baskol!$K$1122="","",[2]Baskol!$K$1122)</f>
        <v/>
      </c>
      <c r="AB1119">
        <f>IF([2]Baskol!$L$1122="","",[2]Baskol!$L$1122)</f>
        <v/>
      </c>
      <c r="AC1119">
        <f>IF([2]Baskol!$N$1122="","",[2]Baskol!$N$1122)</f>
        <v/>
      </c>
      <c r="AD1119">
        <f>IF([2]Baskol!$O$1122="","",[2]Baskol!$O$1122)</f>
        <v/>
      </c>
      <c r="AE1119">
        <f>IF([3]Entry!$C$1122="","",[3]Entry!$C$1122)</f>
        <v/>
      </c>
      <c r="AF1119">
        <f>IF([3]Entry!$D$1122="","",[3]Entry!$D$1122)</f>
        <v/>
      </c>
      <c r="AG1119">
        <f>IF([3]Entry!$E$1122="","",[3]Entry!$E$1122)</f>
        <v/>
      </c>
      <c r="AH1119">
        <f>IF([3]Entry!$G$1122="","",[3]Entry!$G$1122)</f>
        <v/>
      </c>
      <c r="AI1119">
        <f>IF([3]Entry!$K$1122="","",[3]Entry!$K$1122)</f>
        <v/>
      </c>
      <c r="AJ1119">
        <f>IF([3]Entry!$L$1122="","",[3]Entry!$L$1122)</f>
        <v/>
      </c>
      <c r="AK1119">
        <f>IF([3]Entry!$M$1122="","",[3]Entry!$M$1122)</f>
        <v/>
      </c>
      <c r="AL1119">
        <f>IF([3]Entry!$N$1122="","",[3]Entry!$N$1122)</f>
        <v/>
      </c>
      <c r="AM1119">
        <f>IF([3]Entry!$R$1122="","",[3]Entry!$R$1122)</f>
        <v/>
      </c>
    </row>
    <row r="1120">
      <c r="T1120">
        <f>IF([2]Baskol!$B$1123="","",[2]Baskol!$B$1123)</f>
        <v/>
      </c>
      <c r="U1120">
        <f>IF([2]Baskol!$C$1123="","",[2]Baskol!$C$1123)</f>
        <v/>
      </c>
      <c r="V1120">
        <f>IF([2]Baskol!$D$1123="","",[2]Baskol!$D$1123)</f>
        <v/>
      </c>
      <c r="W1120">
        <f>IF([2]Baskol!$E$1123="","",[2]Baskol!$E$1123)</f>
        <v/>
      </c>
      <c r="X1120">
        <f>IF([2]Baskol!$G$1123="","",[2]Baskol!$G$1123)</f>
        <v/>
      </c>
      <c r="Y1120">
        <f>IF([2]Baskol!$I$1123="","",[2]Baskol!$I$1123)</f>
        <v/>
      </c>
      <c r="Z1120">
        <f>IF([2]Baskol!$J$1123="","",[2]Baskol!$J$1123)</f>
        <v/>
      </c>
      <c r="AA1120">
        <f>IF([2]Baskol!$K$1123="","",[2]Baskol!$K$1123)</f>
        <v/>
      </c>
      <c r="AB1120">
        <f>IF([2]Baskol!$L$1123="","",[2]Baskol!$L$1123)</f>
        <v/>
      </c>
      <c r="AC1120">
        <f>IF([2]Baskol!$N$1123="","",[2]Baskol!$N$1123)</f>
        <v/>
      </c>
      <c r="AD1120">
        <f>IF([2]Baskol!$O$1123="","",[2]Baskol!$O$1123)</f>
        <v/>
      </c>
      <c r="AE1120">
        <f>IF([3]Entry!$C$1123="","",[3]Entry!$C$1123)</f>
        <v/>
      </c>
      <c r="AF1120">
        <f>IF([3]Entry!$D$1123="","",[3]Entry!$D$1123)</f>
        <v/>
      </c>
      <c r="AG1120">
        <f>IF([3]Entry!$E$1123="","",[3]Entry!$E$1123)</f>
        <v/>
      </c>
      <c r="AH1120">
        <f>IF([3]Entry!$G$1123="","",[3]Entry!$G$1123)</f>
        <v/>
      </c>
      <c r="AI1120">
        <f>IF([3]Entry!$K$1123="","",[3]Entry!$K$1123)</f>
        <v/>
      </c>
      <c r="AJ1120">
        <f>IF([3]Entry!$L$1123="","",[3]Entry!$L$1123)</f>
        <v/>
      </c>
      <c r="AK1120">
        <f>IF([3]Entry!$M$1123="","",[3]Entry!$M$1123)</f>
        <v/>
      </c>
      <c r="AL1120">
        <f>IF([3]Entry!$N$1123="","",[3]Entry!$N$1123)</f>
        <v/>
      </c>
      <c r="AM1120">
        <f>IF([3]Entry!$R$1123="","",[3]Entry!$R$1123)</f>
        <v/>
      </c>
    </row>
    <row r="1121">
      <c r="T1121">
        <f>IF([2]Baskol!$B$1124="","",[2]Baskol!$B$1124)</f>
        <v/>
      </c>
      <c r="U1121">
        <f>IF([2]Baskol!$C$1124="","",[2]Baskol!$C$1124)</f>
        <v/>
      </c>
      <c r="V1121">
        <f>IF([2]Baskol!$D$1124="","",[2]Baskol!$D$1124)</f>
        <v/>
      </c>
      <c r="W1121">
        <f>IF([2]Baskol!$E$1124="","",[2]Baskol!$E$1124)</f>
        <v/>
      </c>
      <c r="X1121">
        <f>IF([2]Baskol!$G$1124="","",[2]Baskol!$G$1124)</f>
        <v/>
      </c>
      <c r="Y1121">
        <f>IF([2]Baskol!$I$1124="","",[2]Baskol!$I$1124)</f>
        <v/>
      </c>
      <c r="Z1121">
        <f>IF([2]Baskol!$J$1124="","",[2]Baskol!$J$1124)</f>
        <v/>
      </c>
      <c r="AA1121">
        <f>IF([2]Baskol!$K$1124="","",[2]Baskol!$K$1124)</f>
        <v/>
      </c>
      <c r="AB1121">
        <f>IF([2]Baskol!$L$1124="","",[2]Baskol!$L$1124)</f>
        <v/>
      </c>
      <c r="AC1121">
        <f>IF([2]Baskol!$N$1124="","",[2]Baskol!$N$1124)</f>
        <v/>
      </c>
      <c r="AD1121">
        <f>IF([2]Baskol!$O$1124="","",[2]Baskol!$O$1124)</f>
        <v/>
      </c>
      <c r="AE1121">
        <f>IF([3]Entry!$C$1124="","",[3]Entry!$C$1124)</f>
        <v/>
      </c>
      <c r="AF1121">
        <f>IF([3]Entry!$D$1124="","",[3]Entry!$D$1124)</f>
        <v/>
      </c>
      <c r="AG1121">
        <f>IF([3]Entry!$E$1124="","",[3]Entry!$E$1124)</f>
        <v/>
      </c>
      <c r="AH1121">
        <f>IF([3]Entry!$G$1124="","",[3]Entry!$G$1124)</f>
        <v/>
      </c>
      <c r="AI1121">
        <f>IF([3]Entry!$K$1124="","",[3]Entry!$K$1124)</f>
        <v/>
      </c>
      <c r="AJ1121">
        <f>IF([3]Entry!$L$1124="","",[3]Entry!$L$1124)</f>
        <v/>
      </c>
      <c r="AK1121">
        <f>IF([3]Entry!$M$1124="","",[3]Entry!$M$1124)</f>
        <v/>
      </c>
      <c r="AL1121">
        <f>IF([3]Entry!$N$1124="","",[3]Entry!$N$1124)</f>
        <v/>
      </c>
      <c r="AM1121">
        <f>IF([3]Entry!$R$1124="","",[3]Entry!$R$1124)</f>
        <v/>
      </c>
    </row>
    <row r="1122">
      <c r="T1122">
        <f>IF([2]Baskol!$B$1125="","",[2]Baskol!$B$1125)</f>
        <v/>
      </c>
      <c r="U1122">
        <f>IF([2]Baskol!$C$1125="","",[2]Baskol!$C$1125)</f>
        <v/>
      </c>
      <c r="V1122">
        <f>IF([2]Baskol!$D$1125="","",[2]Baskol!$D$1125)</f>
        <v/>
      </c>
      <c r="W1122">
        <f>IF([2]Baskol!$E$1125="","",[2]Baskol!$E$1125)</f>
        <v/>
      </c>
      <c r="X1122">
        <f>IF([2]Baskol!$G$1125="","",[2]Baskol!$G$1125)</f>
        <v/>
      </c>
      <c r="Y1122">
        <f>IF([2]Baskol!$I$1125="","",[2]Baskol!$I$1125)</f>
        <v/>
      </c>
      <c r="Z1122">
        <f>IF([2]Baskol!$J$1125="","",[2]Baskol!$J$1125)</f>
        <v/>
      </c>
      <c r="AA1122">
        <f>IF([2]Baskol!$K$1125="","",[2]Baskol!$K$1125)</f>
        <v/>
      </c>
      <c r="AB1122">
        <f>IF([2]Baskol!$L$1125="","",[2]Baskol!$L$1125)</f>
        <v/>
      </c>
      <c r="AC1122">
        <f>IF([2]Baskol!$N$1125="","",[2]Baskol!$N$1125)</f>
        <v/>
      </c>
      <c r="AD1122">
        <f>IF([2]Baskol!$O$1125="","",[2]Baskol!$O$1125)</f>
        <v/>
      </c>
      <c r="AE1122">
        <f>IF([3]Entry!$C$1125="","",[3]Entry!$C$1125)</f>
        <v/>
      </c>
      <c r="AF1122">
        <f>IF([3]Entry!$D$1125="","",[3]Entry!$D$1125)</f>
        <v/>
      </c>
      <c r="AG1122">
        <f>IF([3]Entry!$E$1125="","",[3]Entry!$E$1125)</f>
        <v/>
      </c>
      <c r="AH1122">
        <f>IF([3]Entry!$G$1125="","",[3]Entry!$G$1125)</f>
        <v/>
      </c>
      <c r="AI1122">
        <f>IF([3]Entry!$K$1125="","",[3]Entry!$K$1125)</f>
        <v/>
      </c>
      <c r="AJ1122">
        <f>IF([3]Entry!$L$1125="","",[3]Entry!$L$1125)</f>
        <v/>
      </c>
      <c r="AK1122">
        <f>IF([3]Entry!$M$1125="","",[3]Entry!$M$1125)</f>
        <v/>
      </c>
      <c r="AL1122">
        <f>IF([3]Entry!$N$1125="","",[3]Entry!$N$1125)</f>
        <v/>
      </c>
      <c r="AM1122">
        <f>IF([3]Entry!$R$1125="","",[3]Entry!$R$1125)</f>
        <v/>
      </c>
    </row>
    <row r="1123">
      <c r="T1123">
        <f>IF([2]Baskol!$B$1126="","",[2]Baskol!$B$1126)</f>
        <v/>
      </c>
      <c r="U1123">
        <f>IF([2]Baskol!$C$1126="","",[2]Baskol!$C$1126)</f>
        <v/>
      </c>
      <c r="V1123">
        <f>IF([2]Baskol!$D$1126="","",[2]Baskol!$D$1126)</f>
        <v/>
      </c>
      <c r="W1123">
        <f>IF([2]Baskol!$E$1126="","",[2]Baskol!$E$1126)</f>
        <v/>
      </c>
      <c r="X1123">
        <f>IF([2]Baskol!$G$1126="","",[2]Baskol!$G$1126)</f>
        <v/>
      </c>
      <c r="Y1123">
        <f>IF([2]Baskol!$I$1126="","",[2]Baskol!$I$1126)</f>
        <v/>
      </c>
      <c r="Z1123">
        <f>IF([2]Baskol!$J$1126="","",[2]Baskol!$J$1126)</f>
        <v/>
      </c>
      <c r="AA1123">
        <f>IF([2]Baskol!$K$1126="","",[2]Baskol!$K$1126)</f>
        <v/>
      </c>
      <c r="AB1123">
        <f>IF([2]Baskol!$L$1126="","",[2]Baskol!$L$1126)</f>
        <v/>
      </c>
      <c r="AC1123">
        <f>IF([2]Baskol!$N$1126="","",[2]Baskol!$N$1126)</f>
        <v/>
      </c>
      <c r="AD1123">
        <f>IF([2]Baskol!$O$1126="","",[2]Baskol!$O$1126)</f>
        <v/>
      </c>
      <c r="AE1123">
        <f>IF([3]Entry!$C$1126="","",[3]Entry!$C$1126)</f>
        <v/>
      </c>
      <c r="AF1123">
        <f>IF([3]Entry!$D$1126="","",[3]Entry!$D$1126)</f>
        <v/>
      </c>
      <c r="AG1123">
        <f>IF([3]Entry!$E$1126="","",[3]Entry!$E$1126)</f>
        <v/>
      </c>
      <c r="AH1123">
        <f>IF([3]Entry!$G$1126="","",[3]Entry!$G$1126)</f>
        <v/>
      </c>
      <c r="AI1123">
        <f>IF([3]Entry!$K$1126="","",[3]Entry!$K$1126)</f>
        <v/>
      </c>
      <c r="AJ1123">
        <f>IF([3]Entry!$L$1126="","",[3]Entry!$L$1126)</f>
        <v/>
      </c>
      <c r="AK1123">
        <f>IF([3]Entry!$M$1126="","",[3]Entry!$M$1126)</f>
        <v/>
      </c>
      <c r="AL1123">
        <f>IF([3]Entry!$N$1126="","",[3]Entry!$N$1126)</f>
        <v/>
      </c>
      <c r="AM1123">
        <f>IF([3]Entry!$R$1126="","",[3]Entry!$R$1126)</f>
        <v/>
      </c>
    </row>
    <row r="1124">
      <c r="T1124">
        <f>IF([2]Baskol!$B$1127="","",[2]Baskol!$B$1127)</f>
        <v/>
      </c>
      <c r="U1124">
        <f>IF([2]Baskol!$C$1127="","",[2]Baskol!$C$1127)</f>
        <v/>
      </c>
      <c r="V1124">
        <f>IF([2]Baskol!$D$1127="","",[2]Baskol!$D$1127)</f>
        <v/>
      </c>
      <c r="W1124">
        <f>IF([2]Baskol!$E$1127="","",[2]Baskol!$E$1127)</f>
        <v/>
      </c>
      <c r="X1124">
        <f>IF([2]Baskol!$G$1127="","",[2]Baskol!$G$1127)</f>
        <v/>
      </c>
      <c r="Y1124">
        <f>IF([2]Baskol!$I$1127="","",[2]Baskol!$I$1127)</f>
        <v/>
      </c>
      <c r="Z1124">
        <f>IF([2]Baskol!$J$1127="","",[2]Baskol!$J$1127)</f>
        <v/>
      </c>
      <c r="AA1124">
        <f>IF([2]Baskol!$K$1127="","",[2]Baskol!$K$1127)</f>
        <v/>
      </c>
      <c r="AB1124">
        <f>IF([2]Baskol!$L$1127="","",[2]Baskol!$L$1127)</f>
        <v/>
      </c>
      <c r="AC1124">
        <f>IF([2]Baskol!$N$1127="","",[2]Baskol!$N$1127)</f>
        <v/>
      </c>
      <c r="AD1124">
        <f>IF([2]Baskol!$O$1127="","",[2]Baskol!$O$1127)</f>
        <v/>
      </c>
      <c r="AE1124">
        <f>IF([3]Entry!$C$1127="","",[3]Entry!$C$1127)</f>
        <v/>
      </c>
      <c r="AF1124">
        <f>IF([3]Entry!$D$1127="","",[3]Entry!$D$1127)</f>
        <v/>
      </c>
      <c r="AG1124">
        <f>IF([3]Entry!$E$1127="","",[3]Entry!$E$1127)</f>
        <v/>
      </c>
      <c r="AH1124">
        <f>IF([3]Entry!$G$1127="","",[3]Entry!$G$1127)</f>
        <v/>
      </c>
      <c r="AI1124">
        <f>IF([3]Entry!$K$1127="","",[3]Entry!$K$1127)</f>
        <v/>
      </c>
      <c r="AJ1124">
        <f>IF([3]Entry!$L$1127="","",[3]Entry!$L$1127)</f>
        <v/>
      </c>
      <c r="AK1124">
        <f>IF([3]Entry!$M$1127="","",[3]Entry!$M$1127)</f>
        <v/>
      </c>
      <c r="AL1124">
        <f>IF([3]Entry!$N$1127="","",[3]Entry!$N$1127)</f>
        <v/>
      </c>
      <c r="AM1124">
        <f>IF([3]Entry!$R$1127="","",[3]Entry!$R$1127)</f>
        <v/>
      </c>
    </row>
    <row r="1125">
      <c r="T1125">
        <f>IF([2]Baskol!$B$1128="","",[2]Baskol!$B$1128)</f>
        <v/>
      </c>
      <c r="U1125">
        <f>IF([2]Baskol!$C$1128="","",[2]Baskol!$C$1128)</f>
        <v/>
      </c>
      <c r="V1125">
        <f>IF([2]Baskol!$D$1128="","",[2]Baskol!$D$1128)</f>
        <v/>
      </c>
      <c r="W1125">
        <f>IF([2]Baskol!$E$1128="","",[2]Baskol!$E$1128)</f>
        <v/>
      </c>
      <c r="X1125">
        <f>IF([2]Baskol!$G$1128="","",[2]Baskol!$G$1128)</f>
        <v/>
      </c>
      <c r="Y1125">
        <f>IF([2]Baskol!$I$1128="","",[2]Baskol!$I$1128)</f>
        <v/>
      </c>
      <c r="Z1125">
        <f>IF([2]Baskol!$J$1128="","",[2]Baskol!$J$1128)</f>
        <v/>
      </c>
      <c r="AA1125">
        <f>IF([2]Baskol!$K$1128="","",[2]Baskol!$K$1128)</f>
        <v/>
      </c>
      <c r="AB1125">
        <f>IF([2]Baskol!$L$1128="","",[2]Baskol!$L$1128)</f>
        <v/>
      </c>
      <c r="AC1125">
        <f>IF([2]Baskol!$N$1128="","",[2]Baskol!$N$1128)</f>
        <v/>
      </c>
      <c r="AD1125">
        <f>IF([2]Baskol!$O$1128="","",[2]Baskol!$O$1128)</f>
        <v/>
      </c>
      <c r="AE1125">
        <f>IF([3]Entry!$C$1128="","",[3]Entry!$C$1128)</f>
        <v/>
      </c>
      <c r="AF1125">
        <f>IF([3]Entry!$D$1128="","",[3]Entry!$D$1128)</f>
        <v/>
      </c>
      <c r="AG1125">
        <f>IF([3]Entry!$E$1128="","",[3]Entry!$E$1128)</f>
        <v/>
      </c>
      <c r="AH1125">
        <f>IF([3]Entry!$G$1128="","",[3]Entry!$G$1128)</f>
        <v/>
      </c>
      <c r="AI1125">
        <f>IF([3]Entry!$K$1128="","",[3]Entry!$K$1128)</f>
        <v/>
      </c>
      <c r="AJ1125">
        <f>IF([3]Entry!$L$1128="","",[3]Entry!$L$1128)</f>
        <v/>
      </c>
      <c r="AK1125">
        <f>IF([3]Entry!$M$1128="","",[3]Entry!$M$1128)</f>
        <v/>
      </c>
      <c r="AL1125">
        <f>IF([3]Entry!$N$1128="","",[3]Entry!$N$1128)</f>
        <v/>
      </c>
      <c r="AM1125">
        <f>IF([3]Entry!$R$1128="","",[3]Entry!$R$1128)</f>
        <v/>
      </c>
    </row>
    <row r="1126">
      <c r="T1126">
        <f>IF([2]Baskol!$B$1129="","",[2]Baskol!$B$1129)</f>
        <v/>
      </c>
      <c r="U1126">
        <f>IF([2]Baskol!$C$1129="","",[2]Baskol!$C$1129)</f>
        <v/>
      </c>
      <c r="V1126">
        <f>IF([2]Baskol!$D$1129="","",[2]Baskol!$D$1129)</f>
        <v/>
      </c>
      <c r="W1126">
        <f>IF([2]Baskol!$E$1129="","",[2]Baskol!$E$1129)</f>
        <v/>
      </c>
      <c r="X1126">
        <f>IF([2]Baskol!$G$1129="","",[2]Baskol!$G$1129)</f>
        <v/>
      </c>
      <c r="Y1126">
        <f>IF([2]Baskol!$I$1129="","",[2]Baskol!$I$1129)</f>
        <v/>
      </c>
      <c r="Z1126">
        <f>IF([2]Baskol!$J$1129="","",[2]Baskol!$J$1129)</f>
        <v/>
      </c>
      <c r="AA1126">
        <f>IF([2]Baskol!$K$1129="","",[2]Baskol!$K$1129)</f>
        <v/>
      </c>
      <c r="AB1126">
        <f>IF([2]Baskol!$L$1129="","",[2]Baskol!$L$1129)</f>
        <v/>
      </c>
      <c r="AC1126">
        <f>IF([2]Baskol!$N$1129="","",[2]Baskol!$N$1129)</f>
        <v/>
      </c>
      <c r="AD1126">
        <f>IF([2]Baskol!$O$1129="","",[2]Baskol!$O$1129)</f>
        <v/>
      </c>
      <c r="AE1126">
        <f>IF([3]Entry!$C$1129="","",[3]Entry!$C$1129)</f>
        <v/>
      </c>
      <c r="AF1126">
        <f>IF([3]Entry!$D$1129="","",[3]Entry!$D$1129)</f>
        <v/>
      </c>
      <c r="AG1126">
        <f>IF([3]Entry!$E$1129="","",[3]Entry!$E$1129)</f>
        <v/>
      </c>
      <c r="AH1126">
        <f>IF([3]Entry!$G$1129="","",[3]Entry!$G$1129)</f>
        <v/>
      </c>
      <c r="AI1126">
        <f>IF([3]Entry!$K$1129="","",[3]Entry!$K$1129)</f>
        <v/>
      </c>
      <c r="AJ1126">
        <f>IF([3]Entry!$L$1129="","",[3]Entry!$L$1129)</f>
        <v/>
      </c>
      <c r="AK1126">
        <f>IF([3]Entry!$M$1129="","",[3]Entry!$M$1129)</f>
        <v/>
      </c>
      <c r="AL1126">
        <f>IF([3]Entry!$N$1129="","",[3]Entry!$N$1129)</f>
        <v/>
      </c>
      <c r="AM1126">
        <f>IF([3]Entry!$R$1129="","",[3]Entry!$R$1129)</f>
        <v/>
      </c>
    </row>
    <row r="1127">
      <c r="T1127">
        <f>IF([2]Baskol!$B$1130="","",[2]Baskol!$B$1130)</f>
        <v/>
      </c>
      <c r="U1127">
        <f>IF([2]Baskol!$C$1130="","",[2]Baskol!$C$1130)</f>
        <v/>
      </c>
      <c r="V1127">
        <f>IF([2]Baskol!$D$1130="","",[2]Baskol!$D$1130)</f>
        <v/>
      </c>
      <c r="W1127">
        <f>IF([2]Baskol!$E$1130="","",[2]Baskol!$E$1130)</f>
        <v/>
      </c>
      <c r="X1127">
        <f>IF([2]Baskol!$G$1130="","",[2]Baskol!$G$1130)</f>
        <v/>
      </c>
      <c r="Y1127">
        <f>IF([2]Baskol!$I$1130="","",[2]Baskol!$I$1130)</f>
        <v/>
      </c>
      <c r="Z1127">
        <f>IF([2]Baskol!$J$1130="","",[2]Baskol!$J$1130)</f>
        <v/>
      </c>
      <c r="AA1127">
        <f>IF([2]Baskol!$K$1130="","",[2]Baskol!$K$1130)</f>
        <v/>
      </c>
      <c r="AB1127">
        <f>IF([2]Baskol!$L$1130="","",[2]Baskol!$L$1130)</f>
        <v/>
      </c>
      <c r="AC1127">
        <f>IF([2]Baskol!$N$1130="","",[2]Baskol!$N$1130)</f>
        <v/>
      </c>
      <c r="AD1127">
        <f>IF([2]Baskol!$O$1130="","",[2]Baskol!$O$1130)</f>
        <v/>
      </c>
      <c r="AE1127">
        <f>IF([3]Entry!$C$1130="","",[3]Entry!$C$1130)</f>
        <v/>
      </c>
      <c r="AF1127">
        <f>IF([3]Entry!$D$1130="","",[3]Entry!$D$1130)</f>
        <v/>
      </c>
      <c r="AG1127">
        <f>IF([3]Entry!$E$1130="","",[3]Entry!$E$1130)</f>
        <v/>
      </c>
      <c r="AH1127">
        <f>IF([3]Entry!$G$1130="","",[3]Entry!$G$1130)</f>
        <v/>
      </c>
      <c r="AI1127">
        <f>IF([3]Entry!$K$1130="","",[3]Entry!$K$1130)</f>
        <v/>
      </c>
      <c r="AJ1127">
        <f>IF([3]Entry!$L$1130="","",[3]Entry!$L$1130)</f>
        <v/>
      </c>
      <c r="AK1127">
        <f>IF([3]Entry!$M$1130="","",[3]Entry!$M$1130)</f>
        <v/>
      </c>
      <c r="AL1127">
        <f>IF([3]Entry!$N$1130="","",[3]Entry!$N$1130)</f>
        <v/>
      </c>
      <c r="AM1127">
        <f>IF([3]Entry!$R$1130="","",[3]Entry!$R$1130)</f>
        <v/>
      </c>
    </row>
    <row r="1128">
      <c r="T1128">
        <f>IF([2]Baskol!$B$1131="","",[2]Baskol!$B$1131)</f>
        <v/>
      </c>
      <c r="U1128">
        <f>IF([2]Baskol!$C$1131="","",[2]Baskol!$C$1131)</f>
        <v/>
      </c>
      <c r="V1128">
        <f>IF([2]Baskol!$D$1131="","",[2]Baskol!$D$1131)</f>
        <v/>
      </c>
      <c r="W1128">
        <f>IF([2]Baskol!$E$1131="","",[2]Baskol!$E$1131)</f>
        <v/>
      </c>
      <c r="X1128">
        <f>IF([2]Baskol!$G$1131="","",[2]Baskol!$G$1131)</f>
        <v/>
      </c>
      <c r="Y1128">
        <f>IF([2]Baskol!$I$1131="","",[2]Baskol!$I$1131)</f>
        <v/>
      </c>
      <c r="Z1128">
        <f>IF([2]Baskol!$J$1131="","",[2]Baskol!$J$1131)</f>
        <v/>
      </c>
      <c r="AA1128">
        <f>IF([2]Baskol!$K$1131="","",[2]Baskol!$K$1131)</f>
        <v/>
      </c>
      <c r="AB1128">
        <f>IF([2]Baskol!$L$1131="","",[2]Baskol!$L$1131)</f>
        <v/>
      </c>
      <c r="AC1128">
        <f>IF([2]Baskol!$N$1131="","",[2]Baskol!$N$1131)</f>
        <v/>
      </c>
      <c r="AD1128">
        <f>IF([2]Baskol!$O$1131="","",[2]Baskol!$O$1131)</f>
        <v/>
      </c>
      <c r="AE1128">
        <f>IF([3]Entry!$C$1131="","",[3]Entry!$C$1131)</f>
        <v/>
      </c>
      <c r="AF1128">
        <f>IF([3]Entry!$D$1131="","",[3]Entry!$D$1131)</f>
        <v/>
      </c>
      <c r="AG1128">
        <f>IF([3]Entry!$E$1131="","",[3]Entry!$E$1131)</f>
        <v/>
      </c>
      <c r="AH1128">
        <f>IF([3]Entry!$G$1131="","",[3]Entry!$G$1131)</f>
        <v/>
      </c>
      <c r="AI1128">
        <f>IF([3]Entry!$K$1131="","",[3]Entry!$K$1131)</f>
        <v/>
      </c>
      <c r="AJ1128">
        <f>IF([3]Entry!$L$1131="","",[3]Entry!$L$1131)</f>
        <v/>
      </c>
      <c r="AK1128">
        <f>IF([3]Entry!$M$1131="","",[3]Entry!$M$1131)</f>
        <v/>
      </c>
      <c r="AL1128">
        <f>IF([3]Entry!$N$1131="","",[3]Entry!$N$1131)</f>
        <v/>
      </c>
      <c r="AM1128">
        <f>IF([3]Entry!$R$1131="","",[3]Entry!$R$1131)</f>
        <v/>
      </c>
    </row>
    <row r="1129">
      <c r="T1129">
        <f>IF([2]Baskol!$B$1132="","",[2]Baskol!$B$1132)</f>
        <v/>
      </c>
      <c r="U1129">
        <f>IF([2]Baskol!$C$1132="","",[2]Baskol!$C$1132)</f>
        <v/>
      </c>
      <c r="V1129">
        <f>IF([2]Baskol!$D$1132="","",[2]Baskol!$D$1132)</f>
        <v/>
      </c>
      <c r="W1129">
        <f>IF([2]Baskol!$E$1132="","",[2]Baskol!$E$1132)</f>
        <v/>
      </c>
      <c r="X1129">
        <f>IF([2]Baskol!$G$1132="","",[2]Baskol!$G$1132)</f>
        <v/>
      </c>
      <c r="Y1129">
        <f>IF([2]Baskol!$I$1132="","",[2]Baskol!$I$1132)</f>
        <v/>
      </c>
      <c r="Z1129">
        <f>IF([2]Baskol!$J$1132="","",[2]Baskol!$J$1132)</f>
        <v/>
      </c>
      <c r="AA1129">
        <f>IF([2]Baskol!$K$1132="","",[2]Baskol!$K$1132)</f>
        <v/>
      </c>
      <c r="AB1129">
        <f>IF([2]Baskol!$L$1132="","",[2]Baskol!$L$1132)</f>
        <v/>
      </c>
      <c r="AC1129">
        <f>IF([2]Baskol!$N$1132="","",[2]Baskol!$N$1132)</f>
        <v/>
      </c>
      <c r="AD1129">
        <f>IF([2]Baskol!$O$1132="","",[2]Baskol!$O$1132)</f>
        <v/>
      </c>
      <c r="AE1129">
        <f>IF([3]Entry!$C$1132="","",[3]Entry!$C$1132)</f>
        <v/>
      </c>
      <c r="AF1129">
        <f>IF([3]Entry!$D$1132="","",[3]Entry!$D$1132)</f>
        <v/>
      </c>
      <c r="AG1129">
        <f>IF([3]Entry!$E$1132="","",[3]Entry!$E$1132)</f>
        <v/>
      </c>
      <c r="AH1129">
        <f>IF([3]Entry!$G$1132="","",[3]Entry!$G$1132)</f>
        <v/>
      </c>
      <c r="AI1129">
        <f>IF([3]Entry!$K$1132="","",[3]Entry!$K$1132)</f>
        <v/>
      </c>
      <c r="AJ1129">
        <f>IF([3]Entry!$L$1132="","",[3]Entry!$L$1132)</f>
        <v/>
      </c>
      <c r="AK1129">
        <f>IF([3]Entry!$M$1132="","",[3]Entry!$M$1132)</f>
        <v/>
      </c>
      <c r="AL1129">
        <f>IF([3]Entry!$N$1132="","",[3]Entry!$N$1132)</f>
        <v/>
      </c>
      <c r="AM1129">
        <f>IF([3]Entry!$R$1132="","",[3]Entry!$R$1132)</f>
        <v/>
      </c>
    </row>
    <row r="1130">
      <c r="T1130">
        <f>IF([2]Baskol!$B$1133="","",[2]Baskol!$B$1133)</f>
        <v/>
      </c>
      <c r="U1130">
        <f>IF([2]Baskol!$C$1133="","",[2]Baskol!$C$1133)</f>
        <v/>
      </c>
      <c r="V1130">
        <f>IF([2]Baskol!$D$1133="","",[2]Baskol!$D$1133)</f>
        <v/>
      </c>
      <c r="W1130">
        <f>IF([2]Baskol!$E$1133="","",[2]Baskol!$E$1133)</f>
        <v/>
      </c>
      <c r="X1130">
        <f>IF([2]Baskol!$G$1133="","",[2]Baskol!$G$1133)</f>
        <v/>
      </c>
      <c r="Y1130">
        <f>IF([2]Baskol!$I$1133="","",[2]Baskol!$I$1133)</f>
        <v/>
      </c>
      <c r="Z1130">
        <f>IF([2]Baskol!$J$1133="","",[2]Baskol!$J$1133)</f>
        <v/>
      </c>
      <c r="AA1130">
        <f>IF([2]Baskol!$K$1133="","",[2]Baskol!$K$1133)</f>
        <v/>
      </c>
      <c r="AB1130">
        <f>IF([2]Baskol!$L$1133="","",[2]Baskol!$L$1133)</f>
        <v/>
      </c>
      <c r="AC1130">
        <f>IF([2]Baskol!$N$1133="","",[2]Baskol!$N$1133)</f>
        <v/>
      </c>
      <c r="AD1130">
        <f>IF([2]Baskol!$O$1133="","",[2]Baskol!$O$1133)</f>
        <v/>
      </c>
      <c r="AE1130">
        <f>IF([3]Entry!$C$1133="","",[3]Entry!$C$1133)</f>
        <v/>
      </c>
      <c r="AF1130">
        <f>IF([3]Entry!$D$1133="","",[3]Entry!$D$1133)</f>
        <v/>
      </c>
      <c r="AG1130">
        <f>IF([3]Entry!$E$1133="","",[3]Entry!$E$1133)</f>
        <v/>
      </c>
      <c r="AH1130">
        <f>IF([3]Entry!$G$1133="","",[3]Entry!$G$1133)</f>
        <v/>
      </c>
      <c r="AI1130">
        <f>IF([3]Entry!$K$1133="","",[3]Entry!$K$1133)</f>
        <v/>
      </c>
      <c r="AJ1130">
        <f>IF([3]Entry!$L$1133="","",[3]Entry!$L$1133)</f>
        <v/>
      </c>
      <c r="AK1130">
        <f>IF([3]Entry!$M$1133="","",[3]Entry!$M$1133)</f>
        <v/>
      </c>
      <c r="AL1130">
        <f>IF([3]Entry!$N$1133="","",[3]Entry!$N$1133)</f>
        <v/>
      </c>
      <c r="AM1130">
        <f>IF([3]Entry!$R$1133="","",[3]Entry!$R$1133)</f>
        <v/>
      </c>
    </row>
    <row r="1131">
      <c r="T1131">
        <f>IF([2]Baskol!$B$1134="","",[2]Baskol!$B$1134)</f>
        <v/>
      </c>
      <c r="U1131">
        <f>IF([2]Baskol!$C$1134="","",[2]Baskol!$C$1134)</f>
        <v/>
      </c>
      <c r="V1131">
        <f>IF([2]Baskol!$D$1134="","",[2]Baskol!$D$1134)</f>
        <v/>
      </c>
      <c r="W1131">
        <f>IF([2]Baskol!$E$1134="","",[2]Baskol!$E$1134)</f>
        <v/>
      </c>
      <c r="X1131">
        <f>IF([2]Baskol!$G$1134="","",[2]Baskol!$G$1134)</f>
        <v/>
      </c>
      <c r="Y1131">
        <f>IF([2]Baskol!$I$1134="","",[2]Baskol!$I$1134)</f>
        <v/>
      </c>
      <c r="Z1131">
        <f>IF([2]Baskol!$J$1134="","",[2]Baskol!$J$1134)</f>
        <v/>
      </c>
      <c r="AA1131">
        <f>IF([2]Baskol!$K$1134="","",[2]Baskol!$K$1134)</f>
        <v/>
      </c>
      <c r="AB1131">
        <f>IF([2]Baskol!$L$1134="","",[2]Baskol!$L$1134)</f>
        <v/>
      </c>
      <c r="AC1131">
        <f>IF([2]Baskol!$N$1134="","",[2]Baskol!$N$1134)</f>
        <v/>
      </c>
      <c r="AD1131">
        <f>IF([2]Baskol!$O$1134="","",[2]Baskol!$O$1134)</f>
        <v/>
      </c>
      <c r="AE1131">
        <f>IF([3]Entry!$C$1134="","",[3]Entry!$C$1134)</f>
        <v/>
      </c>
      <c r="AF1131">
        <f>IF([3]Entry!$D$1134="","",[3]Entry!$D$1134)</f>
        <v/>
      </c>
      <c r="AG1131">
        <f>IF([3]Entry!$E$1134="","",[3]Entry!$E$1134)</f>
        <v/>
      </c>
      <c r="AH1131">
        <f>IF([3]Entry!$G$1134="","",[3]Entry!$G$1134)</f>
        <v/>
      </c>
      <c r="AI1131">
        <f>IF([3]Entry!$K$1134="","",[3]Entry!$K$1134)</f>
        <v/>
      </c>
      <c r="AJ1131">
        <f>IF([3]Entry!$L$1134="","",[3]Entry!$L$1134)</f>
        <v/>
      </c>
      <c r="AK1131">
        <f>IF([3]Entry!$M$1134="","",[3]Entry!$M$1134)</f>
        <v/>
      </c>
      <c r="AL1131">
        <f>IF([3]Entry!$N$1134="","",[3]Entry!$N$1134)</f>
        <v/>
      </c>
      <c r="AM1131">
        <f>IF([3]Entry!$R$1134="","",[3]Entry!$R$1134)</f>
        <v/>
      </c>
    </row>
    <row r="1132">
      <c r="T1132">
        <f>IF([2]Baskol!$B$1135="","",[2]Baskol!$B$1135)</f>
        <v/>
      </c>
      <c r="U1132">
        <f>IF([2]Baskol!$C$1135="","",[2]Baskol!$C$1135)</f>
        <v/>
      </c>
      <c r="V1132">
        <f>IF([2]Baskol!$D$1135="","",[2]Baskol!$D$1135)</f>
        <v/>
      </c>
      <c r="W1132">
        <f>IF([2]Baskol!$E$1135="","",[2]Baskol!$E$1135)</f>
        <v/>
      </c>
      <c r="X1132">
        <f>IF([2]Baskol!$G$1135="","",[2]Baskol!$G$1135)</f>
        <v/>
      </c>
      <c r="Y1132">
        <f>IF([2]Baskol!$I$1135="","",[2]Baskol!$I$1135)</f>
        <v/>
      </c>
      <c r="Z1132">
        <f>IF([2]Baskol!$J$1135="","",[2]Baskol!$J$1135)</f>
        <v/>
      </c>
      <c r="AA1132">
        <f>IF([2]Baskol!$K$1135="","",[2]Baskol!$K$1135)</f>
        <v/>
      </c>
      <c r="AB1132">
        <f>IF([2]Baskol!$L$1135="","",[2]Baskol!$L$1135)</f>
        <v/>
      </c>
      <c r="AC1132">
        <f>IF([2]Baskol!$N$1135="","",[2]Baskol!$N$1135)</f>
        <v/>
      </c>
      <c r="AD1132">
        <f>IF([2]Baskol!$O$1135="","",[2]Baskol!$O$1135)</f>
        <v/>
      </c>
      <c r="AE1132">
        <f>IF([3]Entry!$C$1135="","",[3]Entry!$C$1135)</f>
        <v/>
      </c>
      <c r="AF1132">
        <f>IF([3]Entry!$D$1135="","",[3]Entry!$D$1135)</f>
        <v/>
      </c>
      <c r="AG1132">
        <f>IF([3]Entry!$E$1135="","",[3]Entry!$E$1135)</f>
        <v/>
      </c>
      <c r="AH1132">
        <f>IF([3]Entry!$G$1135="","",[3]Entry!$G$1135)</f>
        <v/>
      </c>
      <c r="AI1132">
        <f>IF([3]Entry!$K$1135="","",[3]Entry!$K$1135)</f>
        <v/>
      </c>
      <c r="AJ1132">
        <f>IF([3]Entry!$L$1135="","",[3]Entry!$L$1135)</f>
        <v/>
      </c>
      <c r="AK1132">
        <f>IF([3]Entry!$M$1135="","",[3]Entry!$M$1135)</f>
        <v/>
      </c>
      <c r="AL1132">
        <f>IF([3]Entry!$N$1135="","",[3]Entry!$N$1135)</f>
        <v/>
      </c>
      <c r="AM1132">
        <f>IF([3]Entry!$R$1135="","",[3]Entry!$R$1135)</f>
        <v/>
      </c>
    </row>
    <row r="1133">
      <c r="T1133">
        <f>IF([2]Baskol!$B$1136="","",[2]Baskol!$B$1136)</f>
        <v/>
      </c>
      <c r="U1133">
        <f>IF([2]Baskol!$C$1136="","",[2]Baskol!$C$1136)</f>
        <v/>
      </c>
      <c r="V1133">
        <f>IF([2]Baskol!$D$1136="","",[2]Baskol!$D$1136)</f>
        <v/>
      </c>
      <c r="W1133">
        <f>IF([2]Baskol!$E$1136="","",[2]Baskol!$E$1136)</f>
        <v/>
      </c>
      <c r="X1133">
        <f>IF([2]Baskol!$G$1136="","",[2]Baskol!$G$1136)</f>
        <v/>
      </c>
      <c r="Y1133">
        <f>IF([2]Baskol!$I$1136="","",[2]Baskol!$I$1136)</f>
        <v/>
      </c>
      <c r="Z1133">
        <f>IF([2]Baskol!$J$1136="","",[2]Baskol!$J$1136)</f>
        <v/>
      </c>
      <c r="AA1133">
        <f>IF([2]Baskol!$K$1136="","",[2]Baskol!$K$1136)</f>
        <v/>
      </c>
      <c r="AB1133">
        <f>IF([2]Baskol!$L$1136="","",[2]Baskol!$L$1136)</f>
        <v/>
      </c>
      <c r="AC1133">
        <f>IF([2]Baskol!$N$1136="","",[2]Baskol!$N$1136)</f>
        <v/>
      </c>
      <c r="AD1133">
        <f>IF([2]Baskol!$O$1136="","",[2]Baskol!$O$1136)</f>
        <v/>
      </c>
      <c r="AE1133">
        <f>IF([3]Entry!$C$1136="","",[3]Entry!$C$1136)</f>
        <v/>
      </c>
      <c r="AF1133">
        <f>IF([3]Entry!$D$1136="","",[3]Entry!$D$1136)</f>
        <v/>
      </c>
      <c r="AG1133">
        <f>IF([3]Entry!$E$1136="","",[3]Entry!$E$1136)</f>
        <v/>
      </c>
      <c r="AH1133">
        <f>IF([3]Entry!$G$1136="","",[3]Entry!$G$1136)</f>
        <v/>
      </c>
      <c r="AI1133">
        <f>IF([3]Entry!$K$1136="","",[3]Entry!$K$1136)</f>
        <v/>
      </c>
      <c r="AJ1133">
        <f>IF([3]Entry!$L$1136="","",[3]Entry!$L$1136)</f>
        <v/>
      </c>
      <c r="AK1133">
        <f>IF([3]Entry!$M$1136="","",[3]Entry!$M$1136)</f>
        <v/>
      </c>
      <c r="AL1133">
        <f>IF([3]Entry!$N$1136="","",[3]Entry!$N$1136)</f>
        <v/>
      </c>
      <c r="AM1133">
        <f>IF([3]Entry!$R$1136="","",[3]Entry!$R$1136)</f>
        <v/>
      </c>
    </row>
    <row r="1134">
      <c r="T1134">
        <f>IF([2]Baskol!$B$1137="","",[2]Baskol!$B$1137)</f>
        <v/>
      </c>
      <c r="U1134">
        <f>IF([2]Baskol!$C$1137="","",[2]Baskol!$C$1137)</f>
        <v/>
      </c>
      <c r="V1134">
        <f>IF([2]Baskol!$D$1137="","",[2]Baskol!$D$1137)</f>
        <v/>
      </c>
      <c r="W1134">
        <f>IF([2]Baskol!$E$1137="","",[2]Baskol!$E$1137)</f>
        <v/>
      </c>
      <c r="X1134">
        <f>IF([2]Baskol!$G$1137="","",[2]Baskol!$G$1137)</f>
        <v/>
      </c>
      <c r="Y1134">
        <f>IF([2]Baskol!$I$1137="","",[2]Baskol!$I$1137)</f>
        <v/>
      </c>
      <c r="Z1134">
        <f>IF([2]Baskol!$J$1137="","",[2]Baskol!$J$1137)</f>
        <v/>
      </c>
      <c r="AA1134">
        <f>IF([2]Baskol!$K$1137="","",[2]Baskol!$K$1137)</f>
        <v/>
      </c>
      <c r="AB1134">
        <f>IF([2]Baskol!$L$1137="","",[2]Baskol!$L$1137)</f>
        <v/>
      </c>
      <c r="AC1134">
        <f>IF([2]Baskol!$N$1137="","",[2]Baskol!$N$1137)</f>
        <v/>
      </c>
      <c r="AD1134">
        <f>IF([2]Baskol!$O$1137="","",[2]Baskol!$O$1137)</f>
        <v/>
      </c>
      <c r="AE1134">
        <f>IF([3]Entry!$C$1137="","",[3]Entry!$C$1137)</f>
        <v/>
      </c>
      <c r="AF1134">
        <f>IF([3]Entry!$D$1137="","",[3]Entry!$D$1137)</f>
        <v/>
      </c>
      <c r="AG1134">
        <f>IF([3]Entry!$E$1137="","",[3]Entry!$E$1137)</f>
        <v/>
      </c>
      <c r="AH1134">
        <f>IF([3]Entry!$G$1137="","",[3]Entry!$G$1137)</f>
        <v/>
      </c>
      <c r="AI1134">
        <f>IF([3]Entry!$K$1137="","",[3]Entry!$K$1137)</f>
        <v/>
      </c>
      <c r="AJ1134">
        <f>IF([3]Entry!$L$1137="","",[3]Entry!$L$1137)</f>
        <v/>
      </c>
      <c r="AK1134">
        <f>IF([3]Entry!$M$1137="","",[3]Entry!$M$1137)</f>
        <v/>
      </c>
      <c r="AL1134">
        <f>IF([3]Entry!$N$1137="","",[3]Entry!$N$1137)</f>
        <v/>
      </c>
      <c r="AM1134">
        <f>IF([3]Entry!$R$1137="","",[3]Entry!$R$1137)</f>
        <v/>
      </c>
    </row>
    <row r="1135">
      <c r="T1135">
        <f>IF([2]Baskol!$B$1138="","",[2]Baskol!$B$1138)</f>
        <v/>
      </c>
      <c r="U1135">
        <f>IF([2]Baskol!$C$1138="","",[2]Baskol!$C$1138)</f>
        <v/>
      </c>
      <c r="V1135">
        <f>IF([2]Baskol!$D$1138="","",[2]Baskol!$D$1138)</f>
        <v/>
      </c>
      <c r="W1135">
        <f>IF([2]Baskol!$E$1138="","",[2]Baskol!$E$1138)</f>
        <v/>
      </c>
      <c r="X1135">
        <f>IF([2]Baskol!$G$1138="","",[2]Baskol!$G$1138)</f>
        <v/>
      </c>
      <c r="Y1135">
        <f>IF([2]Baskol!$I$1138="","",[2]Baskol!$I$1138)</f>
        <v/>
      </c>
      <c r="Z1135">
        <f>IF([2]Baskol!$J$1138="","",[2]Baskol!$J$1138)</f>
        <v/>
      </c>
      <c r="AA1135">
        <f>IF([2]Baskol!$K$1138="","",[2]Baskol!$K$1138)</f>
        <v/>
      </c>
      <c r="AB1135">
        <f>IF([2]Baskol!$L$1138="","",[2]Baskol!$L$1138)</f>
        <v/>
      </c>
      <c r="AC1135">
        <f>IF([2]Baskol!$N$1138="","",[2]Baskol!$N$1138)</f>
        <v/>
      </c>
      <c r="AD1135">
        <f>IF([2]Baskol!$O$1138="","",[2]Baskol!$O$1138)</f>
        <v/>
      </c>
      <c r="AE1135">
        <f>IF([3]Entry!$C$1138="","",[3]Entry!$C$1138)</f>
        <v/>
      </c>
      <c r="AF1135">
        <f>IF([3]Entry!$D$1138="","",[3]Entry!$D$1138)</f>
        <v/>
      </c>
      <c r="AG1135">
        <f>IF([3]Entry!$E$1138="","",[3]Entry!$E$1138)</f>
        <v/>
      </c>
      <c r="AH1135">
        <f>IF([3]Entry!$G$1138="","",[3]Entry!$G$1138)</f>
        <v/>
      </c>
      <c r="AI1135">
        <f>IF([3]Entry!$K$1138="","",[3]Entry!$K$1138)</f>
        <v/>
      </c>
      <c r="AJ1135">
        <f>IF([3]Entry!$L$1138="","",[3]Entry!$L$1138)</f>
        <v/>
      </c>
      <c r="AK1135">
        <f>IF([3]Entry!$M$1138="","",[3]Entry!$M$1138)</f>
        <v/>
      </c>
      <c r="AL1135">
        <f>IF([3]Entry!$N$1138="","",[3]Entry!$N$1138)</f>
        <v/>
      </c>
      <c r="AM1135">
        <f>IF([3]Entry!$R$1138="","",[3]Entry!$R$1138)</f>
        <v/>
      </c>
    </row>
    <row r="1136">
      <c r="T1136">
        <f>IF([2]Baskol!$B$1139="","",[2]Baskol!$B$1139)</f>
        <v/>
      </c>
      <c r="U1136">
        <f>IF([2]Baskol!$C$1139="","",[2]Baskol!$C$1139)</f>
        <v/>
      </c>
      <c r="V1136">
        <f>IF([2]Baskol!$D$1139="","",[2]Baskol!$D$1139)</f>
        <v/>
      </c>
      <c r="W1136">
        <f>IF([2]Baskol!$E$1139="","",[2]Baskol!$E$1139)</f>
        <v/>
      </c>
      <c r="X1136">
        <f>IF([2]Baskol!$G$1139="","",[2]Baskol!$G$1139)</f>
        <v/>
      </c>
      <c r="Y1136">
        <f>IF([2]Baskol!$I$1139="","",[2]Baskol!$I$1139)</f>
        <v/>
      </c>
      <c r="Z1136">
        <f>IF([2]Baskol!$J$1139="","",[2]Baskol!$J$1139)</f>
        <v/>
      </c>
      <c r="AA1136">
        <f>IF([2]Baskol!$K$1139="","",[2]Baskol!$K$1139)</f>
        <v/>
      </c>
      <c r="AB1136">
        <f>IF([2]Baskol!$L$1139="","",[2]Baskol!$L$1139)</f>
        <v/>
      </c>
      <c r="AC1136">
        <f>IF([2]Baskol!$N$1139="","",[2]Baskol!$N$1139)</f>
        <v/>
      </c>
      <c r="AD1136">
        <f>IF([2]Baskol!$O$1139="","",[2]Baskol!$O$1139)</f>
        <v/>
      </c>
      <c r="AE1136">
        <f>IF([3]Entry!$C$1139="","",[3]Entry!$C$1139)</f>
        <v/>
      </c>
      <c r="AF1136">
        <f>IF([3]Entry!$D$1139="","",[3]Entry!$D$1139)</f>
        <v/>
      </c>
      <c r="AG1136">
        <f>IF([3]Entry!$E$1139="","",[3]Entry!$E$1139)</f>
        <v/>
      </c>
      <c r="AH1136">
        <f>IF([3]Entry!$G$1139="","",[3]Entry!$G$1139)</f>
        <v/>
      </c>
      <c r="AI1136">
        <f>IF([3]Entry!$K$1139="","",[3]Entry!$K$1139)</f>
        <v/>
      </c>
      <c r="AJ1136">
        <f>IF([3]Entry!$L$1139="","",[3]Entry!$L$1139)</f>
        <v/>
      </c>
      <c r="AK1136">
        <f>IF([3]Entry!$M$1139="","",[3]Entry!$M$1139)</f>
        <v/>
      </c>
      <c r="AL1136">
        <f>IF([3]Entry!$N$1139="","",[3]Entry!$N$1139)</f>
        <v/>
      </c>
      <c r="AM1136">
        <f>IF([3]Entry!$R$1139="","",[3]Entry!$R$1139)</f>
        <v/>
      </c>
    </row>
    <row r="1137">
      <c r="T1137">
        <f>IF([2]Baskol!$B$1140="","",[2]Baskol!$B$1140)</f>
        <v/>
      </c>
      <c r="U1137">
        <f>IF([2]Baskol!$C$1140="","",[2]Baskol!$C$1140)</f>
        <v/>
      </c>
      <c r="V1137">
        <f>IF([2]Baskol!$D$1140="","",[2]Baskol!$D$1140)</f>
        <v/>
      </c>
      <c r="W1137">
        <f>IF([2]Baskol!$E$1140="","",[2]Baskol!$E$1140)</f>
        <v/>
      </c>
      <c r="X1137">
        <f>IF([2]Baskol!$G$1140="","",[2]Baskol!$G$1140)</f>
        <v/>
      </c>
      <c r="Y1137">
        <f>IF([2]Baskol!$I$1140="","",[2]Baskol!$I$1140)</f>
        <v/>
      </c>
      <c r="Z1137">
        <f>IF([2]Baskol!$J$1140="","",[2]Baskol!$J$1140)</f>
        <v/>
      </c>
      <c r="AA1137">
        <f>IF([2]Baskol!$K$1140="","",[2]Baskol!$K$1140)</f>
        <v/>
      </c>
      <c r="AB1137">
        <f>IF([2]Baskol!$L$1140="","",[2]Baskol!$L$1140)</f>
        <v/>
      </c>
      <c r="AC1137">
        <f>IF([2]Baskol!$N$1140="","",[2]Baskol!$N$1140)</f>
        <v/>
      </c>
      <c r="AD1137">
        <f>IF([2]Baskol!$O$1140="","",[2]Baskol!$O$1140)</f>
        <v/>
      </c>
      <c r="AE1137">
        <f>IF([3]Entry!$C$1140="","",[3]Entry!$C$1140)</f>
        <v/>
      </c>
      <c r="AF1137">
        <f>IF([3]Entry!$D$1140="","",[3]Entry!$D$1140)</f>
        <v/>
      </c>
      <c r="AG1137">
        <f>IF([3]Entry!$E$1140="","",[3]Entry!$E$1140)</f>
        <v/>
      </c>
      <c r="AH1137">
        <f>IF([3]Entry!$G$1140="","",[3]Entry!$G$1140)</f>
        <v/>
      </c>
      <c r="AI1137">
        <f>IF([3]Entry!$K$1140="","",[3]Entry!$K$1140)</f>
        <v/>
      </c>
      <c r="AJ1137">
        <f>IF([3]Entry!$L$1140="","",[3]Entry!$L$1140)</f>
        <v/>
      </c>
      <c r="AK1137">
        <f>IF([3]Entry!$M$1140="","",[3]Entry!$M$1140)</f>
        <v/>
      </c>
      <c r="AL1137">
        <f>IF([3]Entry!$N$1140="","",[3]Entry!$N$1140)</f>
        <v/>
      </c>
      <c r="AM1137">
        <f>IF([3]Entry!$R$1140="","",[3]Entry!$R$1140)</f>
        <v/>
      </c>
    </row>
    <row r="1138">
      <c r="T1138">
        <f>IF([2]Baskol!$B$1141="","",[2]Baskol!$B$1141)</f>
        <v/>
      </c>
      <c r="U1138">
        <f>IF([2]Baskol!$C$1141="","",[2]Baskol!$C$1141)</f>
        <v/>
      </c>
      <c r="V1138">
        <f>IF([2]Baskol!$D$1141="","",[2]Baskol!$D$1141)</f>
        <v/>
      </c>
      <c r="W1138">
        <f>IF([2]Baskol!$E$1141="","",[2]Baskol!$E$1141)</f>
        <v/>
      </c>
      <c r="X1138">
        <f>IF([2]Baskol!$G$1141="","",[2]Baskol!$G$1141)</f>
        <v/>
      </c>
      <c r="Y1138">
        <f>IF([2]Baskol!$I$1141="","",[2]Baskol!$I$1141)</f>
        <v/>
      </c>
      <c r="Z1138">
        <f>IF([2]Baskol!$J$1141="","",[2]Baskol!$J$1141)</f>
        <v/>
      </c>
      <c r="AA1138">
        <f>IF([2]Baskol!$K$1141="","",[2]Baskol!$K$1141)</f>
        <v/>
      </c>
      <c r="AB1138">
        <f>IF([2]Baskol!$L$1141="","",[2]Baskol!$L$1141)</f>
        <v/>
      </c>
      <c r="AC1138">
        <f>IF([2]Baskol!$N$1141="","",[2]Baskol!$N$1141)</f>
        <v/>
      </c>
      <c r="AD1138">
        <f>IF([2]Baskol!$O$1141="","",[2]Baskol!$O$1141)</f>
        <v/>
      </c>
      <c r="AE1138">
        <f>IF([3]Entry!$C$1141="","",[3]Entry!$C$1141)</f>
        <v/>
      </c>
      <c r="AF1138">
        <f>IF([3]Entry!$D$1141="","",[3]Entry!$D$1141)</f>
        <v/>
      </c>
      <c r="AG1138">
        <f>IF([3]Entry!$E$1141="","",[3]Entry!$E$1141)</f>
        <v/>
      </c>
      <c r="AH1138">
        <f>IF([3]Entry!$G$1141="","",[3]Entry!$G$1141)</f>
        <v/>
      </c>
      <c r="AI1138">
        <f>IF([3]Entry!$K$1141="","",[3]Entry!$K$1141)</f>
        <v/>
      </c>
      <c r="AJ1138">
        <f>IF([3]Entry!$L$1141="","",[3]Entry!$L$1141)</f>
        <v/>
      </c>
      <c r="AK1138">
        <f>IF([3]Entry!$M$1141="","",[3]Entry!$M$1141)</f>
        <v/>
      </c>
      <c r="AL1138">
        <f>IF([3]Entry!$N$1141="","",[3]Entry!$N$1141)</f>
        <v/>
      </c>
      <c r="AM1138">
        <f>IF([3]Entry!$R$1141="","",[3]Entry!$R$1141)</f>
        <v/>
      </c>
    </row>
    <row r="1139">
      <c r="T1139">
        <f>IF([2]Baskol!$B$1142="","",[2]Baskol!$B$1142)</f>
        <v/>
      </c>
      <c r="U1139">
        <f>IF([2]Baskol!$C$1142="","",[2]Baskol!$C$1142)</f>
        <v/>
      </c>
      <c r="V1139">
        <f>IF([2]Baskol!$D$1142="","",[2]Baskol!$D$1142)</f>
        <v/>
      </c>
      <c r="W1139">
        <f>IF([2]Baskol!$E$1142="","",[2]Baskol!$E$1142)</f>
        <v/>
      </c>
      <c r="X1139">
        <f>IF([2]Baskol!$G$1142="","",[2]Baskol!$G$1142)</f>
        <v/>
      </c>
      <c r="Y1139">
        <f>IF([2]Baskol!$I$1142="","",[2]Baskol!$I$1142)</f>
        <v/>
      </c>
      <c r="Z1139">
        <f>IF([2]Baskol!$J$1142="","",[2]Baskol!$J$1142)</f>
        <v/>
      </c>
      <c r="AA1139">
        <f>IF([2]Baskol!$K$1142="","",[2]Baskol!$K$1142)</f>
        <v/>
      </c>
      <c r="AB1139">
        <f>IF([2]Baskol!$L$1142="","",[2]Baskol!$L$1142)</f>
        <v/>
      </c>
      <c r="AC1139">
        <f>IF([2]Baskol!$N$1142="","",[2]Baskol!$N$1142)</f>
        <v/>
      </c>
      <c r="AD1139">
        <f>IF([2]Baskol!$O$1142="","",[2]Baskol!$O$1142)</f>
        <v/>
      </c>
      <c r="AE1139">
        <f>IF([3]Entry!$C$1142="","",[3]Entry!$C$1142)</f>
        <v/>
      </c>
      <c r="AF1139">
        <f>IF([3]Entry!$D$1142="","",[3]Entry!$D$1142)</f>
        <v/>
      </c>
      <c r="AG1139">
        <f>IF([3]Entry!$E$1142="","",[3]Entry!$E$1142)</f>
        <v/>
      </c>
      <c r="AH1139">
        <f>IF([3]Entry!$G$1142="","",[3]Entry!$G$1142)</f>
        <v/>
      </c>
      <c r="AI1139">
        <f>IF([3]Entry!$K$1142="","",[3]Entry!$K$1142)</f>
        <v/>
      </c>
      <c r="AJ1139">
        <f>IF([3]Entry!$L$1142="","",[3]Entry!$L$1142)</f>
        <v/>
      </c>
      <c r="AK1139">
        <f>IF([3]Entry!$M$1142="","",[3]Entry!$M$1142)</f>
        <v/>
      </c>
      <c r="AL1139">
        <f>IF([3]Entry!$N$1142="","",[3]Entry!$N$1142)</f>
        <v/>
      </c>
      <c r="AM1139">
        <f>IF([3]Entry!$R$1142="","",[3]Entry!$R$1142)</f>
        <v/>
      </c>
    </row>
    <row r="1140">
      <c r="T1140">
        <f>IF([2]Baskol!$B$1143="","",[2]Baskol!$B$1143)</f>
        <v/>
      </c>
      <c r="U1140">
        <f>IF([2]Baskol!$C$1143="","",[2]Baskol!$C$1143)</f>
        <v/>
      </c>
      <c r="V1140">
        <f>IF([2]Baskol!$D$1143="","",[2]Baskol!$D$1143)</f>
        <v/>
      </c>
      <c r="W1140">
        <f>IF([2]Baskol!$E$1143="","",[2]Baskol!$E$1143)</f>
        <v/>
      </c>
      <c r="X1140">
        <f>IF([2]Baskol!$G$1143="","",[2]Baskol!$G$1143)</f>
        <v/>
      </c>
      <c r="Y1140">
        <f>IF([2]Baskol!$I$1143="","",[2]Baskol!$I$1143)</f>
        <v/>
      </c>
      <c r="Z1140">
        <f>IF([2]Baskol!$J$1143="","",[2]Baskol!$J$1143)</f>
        <v/>
      </c>
      <c r="AA1140">
        <f>IF([2]Baskol!$K$1143="","",[2]Baskol!$K$1143)</f>
        <v/>
      </c>
      <c r="AB1140">
        <f>IF([2]Baskol!$L$1143="","",[2]Baskol!$L$1143)</f>
        <v/>
      </c>
      <c r="AC1140">
        <f>IF([2]Baskol!$N$1143="","",[2]Baskol!$N$1143)</f>
        <v/>
      </c>
      <c r="AD1140">
        <f>IF([2]Baskol!$O$1143="","",[2]Baskol!$O$1143)</f>
        <v/>
      </c>
      <c r="AE1140">
        <f>IF([3]Entry!$C$1143="","",[3]Entry!$C$1143)</f>
        <v/>
      </c>
      <c r="AF1140">
        <f>IF([3]Entry!$D$1143="","",[3]Entry!$D$1143)</f>
        <v/>
      </c>
      <c r="AG1140">
        <f>IF([3]Entry!$E$1143="","",[3]Entry!$E$1143)</f>
        <v/>
      </c>
      <c r="AH1140">
        <f>IF([3]Entry!$G$1143="","",[3]Entry!$G$1143)</f>
        <v/>
      </c>
      <c r="AI1140">
        <f>IF([3]Entry!$K$1143="","",[3]Entry!$K$1143)</f>
        <v/>
      </c>
      <c r="AJ1140">
        <f>IF([3]Entry!$L$1143="","",[3]Entry!$L$1143)</f>
        <v/>
      </c>
      <c r="AK1140">
        <f>IF([3]Entry!$M$1143="","",[3]Entry!$M$1143)</f>
        <v/>
      </c>
      <c r="AL1140">
        <f>IF([3]Entry!$N$1143="","",[3]Entry!$N$1143)</f>
        <v/>
      </c>
      <c r="AM1140">
        <f>IF([3]Entry!$R$1143="","",[3]Entry!$R$1143)</f>
        <v/>
      </c>
    </row>
    <row r="1141">
      <c r="T1141">
        <f>IF([2]Baskol!$B$1144="","",[2]Baskol!$B$1144)</f>
        <v/>
      </c>
      <c r="U1141">
        <f>IF([2]Baskol!$C$1144="","",[2]Baskol!$C$1144)</f>
        <v/>
      </c>
      <c r="V1141">
        <f>IF([2]Baskol!$D$1144="","",[2]Baskol!$D$1144)</f>
        <v/>
      </c>
      <c r="W1141">
        <f>IF([2]Baskol!$E$1144="","",[2]Baskol!$E$1144)</f>
        <v/>
      </c>
      <c r="X1141">
        <f>IF([2]Baskol!$G$1144="","",[2]Baskol!$G$1144)</f>
        <v/>
      </c>
      <c r="Y1141">
        <f>IF([2]Baskol!$I$1144="","",[2]Baskol!$I$1144)</f>
        <v/>
      </c>
      <c r="Z1141">
        <f>IF([2]Baskol!$J$1144="","",[2]Baskol!$J$1144)</f>
        <v/>
      </c>
      <c r="AA1141">
        <f>IF([2]Baskol!$K$1144="","",[2]Baskol!$K$1144)</f>
        <v/>
      </c>
      <c r="AB1141">
        <f>IF([2]Baskol!$L$1144="","",[2]Baskol!$L$1144)</f>
        <v/>
      </c>
      <c r="AC1141">
        <f>IF([2]Baskol!$N$1144="","",[2]Baskol!$N$1144)</f>
        <v/>
      </c>
      <c r="AD1141">
        <f>IF([2]Baskol!$O$1144="","",[2]Baskol!$O$1144)</f>
        <v/>
      </c>
      <c r="AE1141">
        <f>IF([3]Entry!$C$1144="","",[3]Entry!$C$1144)</f>
        <v/>
      </c>
      <c r="AF1141">
        <f>IF([3]Entry!$D$1144="","",[3]Entry!$D$1144)</f>
        <v/>
      </c>
      <c r="AG1141">
        <f>IF([3]Entry!$E$1144="","",[3]Entry!$E$1144)</f>
        <v/>
      </c>
      <c r="AH1141">
        <f>IF([3]Entry!$G$1144="","",[3]Entry!$G$1144)</f>
        <v/>
      </c>
      <c r="AI1141">
        <f>IF([3]Entry!$K$1144="","",[3]Entry!$K$1144)</f>
        <v/>
      </c>
      <c r="AJ1141">
        <f>IF([3]Entry!$L$1144="","",[3]Entry!$L$1144)</f>
        <v/>
      </c>
      <c r="AK1141">
        <f>IF([3]Entry!$M$1144="","",[3]Entry!$M$1144)</f>
        <v/>
      </c>
      <c r="AL1141">
        <f>IF([3]Entry!$N$1144="","",[3]Entry!$N$1144)</f>
        <v/>
      </c>
      <c r="AM1141">
        <f>IF([3]Entry!$R$1144="","",[3]Entry!$R$1144)</f>
        <v/>
      </c>
    </row>
    <row r="1142">
      <c r="T1142">
        <f>IF([2]Baskol!$B$1145="","",[2]Baskol!$B$1145)</f>
        <v/>
      </c>
      <c r="U1142">
        <f>IF([2]Baskol!$C$1145="","",[2]Baskol!$C$1145)</f>
        <v/>
      </c>
      <c r="V1142">
        <f>IF([2]Baskol!$D$1145="","",[2]Baskol!$D$1145)</f>
        <v/>
      </c>
      <c r="W1142">
        <f>IF([2]Baskol!$E$1145="","",[2]Baskol!$E$1145)</f>
        <v/>
      </c>
      <c r="X1142">
        <f>IF([2]Baskol!$G$1145="","",[2]Baskol!$G$1145)</f>
        <v/>
      </c>
      <c r="Y1142">
        <f>IF([2]Baskol!$I$1145="","",[2]Baskol!$I$1145)</f>
        <v/>
      </c>
      <c r="Z1142">
        <f>IF([2]Baskol!$J$1145="","",[2]Baskol!$J$1145)</f>
        <v/>
      </c>
      <c r="AA1142">
        <f>IF([2]Baskol!$K$1145="","",[2]Baskol!$K$1145)</f>
        <v/>
      </c>
      <c r="AB1142">
        <f>IF([2]Baskol!$L$1145="","",[2]Baskol!$L$1145)</f>
        <v/>
      </c>
      <c r="AC1142">
        <f>IF([2]Baskol!$N$1145="","",[2]Baskol!$N$1145)</f>
        <v/>
      </c>
      <c r="AD1142">
        <f>IF([2]Baskol!$O$1145="","",[2]Baskol!$O$1145)</f>
        <v/>
      </c>
      <c r="AE1142">
        <f>IF([3]Entry!$C$1145="","",[3]Entry!$C$1145)</f>
        <v/>
      </c>
      <c r="AF1142">
        <f>IF([3]Entry!$D$1145="","",[3]Entry!$D$1145)</f>
        <v/>
      </c>
      <c r="AG1142">
        <f>IF([3]Entry!$E$1145="","",[3]Entry!$E$1145)</f>
        <v/>
      </c>
      <c r="AH1142">
        <f>IF([3]Entry!$G$1145="","",[3]Entry!$G$1145)</f>
        <v/>
      </c>
      <c r="AI1142">
        <f>IF([3]Entry!$K$1145="","",[3]Entry!$K$1145)</f>
        <v/>
      </c>
      <c r="AJ1142">
        <f>IF([3]Entry!$L$1145="","",[3]Entry!$L$1145)</f>
        <v/>
      </c>
      <c r="AK1142">
        <f>IF([3]Entry!$M$1145="","",[3]Entry!$M$1145)</f>
        <v/>
      </c>
      <c r="AL1142">
        <f>IF([3]Entry!$N$1145="","",[3]Entry!$N$1145)</f>
        <v/>
      </c>
      <c r="AM1142">
        <f>IF([3]Entry!$R$1145="","",[3]Entry!$R$1145)</f>
        <v/>
      </c>
    </row>
    <row r="1143">
      <c r="T1143">
        <f>IF([2]Baskol!$B$1146="","",[2]Baskol!$B$1146)</f>
        <v/>
      </c>
      <c r="U1143">
        <f>IF([2]Baskol!$C$1146="","",[2]Baskol!$C$1146)</f>
        <v/>
      </c>
      <c r="V1143">
        <f>IF([2]Baskol!$D$1146="","",[2]Baskol!$D$1146)</f>
        <v/>
      </c>
      <c r="W1143">
        <f>IF([2]Baskol!$E$1146="","",[2]Baskol!$E$1146)</f>
        <v/>
      </c>
      <c r="X1143">
        <f>IF([2]Baskol!$G$1146="","",[2]Baskol!$G$1146)</f>
        <v/>
      </c>
      <c r="Y1143">
        <f>IF([2]Baskol!$I$1146="","",[2]Baskol!$I$1146)</f>
        <v/>
      </c>
      <c r="Z1143">
        <f>IF([2]Baskol!$J$1146="","",[2]Baskol!$J$1146)</f>
        <v/>
      </c>
      <c r="AA1143">
        <f>IF([2]Baskol!$K$1146="","",[2]Baskol!$K$1146)</f>
        <v/>
      </c>
      <c r="AB1143">
        <f>IF([2]Baskol!$L$1146="","",[2]Baskol!$L$1146)</f>
        <v/>
      </c>
      <c r="AC1143">
        <f>IF([2]Baskol!$N$1146="","",[2]Baskol!$N$1146)</f>
        <v/>
      </c>
      <c r="AD1143">
        <f>IF([2]Baskol!$O$1146="","",[2]Baskol!$O$1146)</f>
        <v/>
      </c>
      <c r="AE1143">
        <f>IF([3]Entry!$C$1146="","",[3]Entry!$C$1146)</f>
        <v/>
      </c>
      <c r="AF1143">
        <f>IF([3]Entry!$D$1146="","",[3]Entry!$D$1146)</f>
        <v/>
      </c>
      <c r="AG1143">
        <f>IF([3]Entry!$E$1146="","",[3]Entry!$E$1146)</f>
        <v/>
      </c>
      <c r="AH1143">
        <f>IF([3]Entry!$G$1146="","",[3]Entry!$G$1146)</f>
        <v/>
      </c>
      <c r="AI1143">
        <f>IF([3]Entry!$K$1146="","",[3]Entry!$K$1146)</f>
        <v/>
      </c>
      <c r="AJ1143">
        <f>IF([3]Entry!$L$1146="","",[3]Entry!$L$1146)</f>
        <v/>
      </c>
      <c r="AK1143">
        <f>IF([3]Entry!$M$1146="","",[3]Entry!$M$1146)</f>
        <v/>
      </c>
      <c r="AL1143">
        <f>IF([3]Entry!$N$1146="","",[3]Entry!$N$1146)</f>
        <v/>
      </c>
      <c r="AM1143">
        <f>IF([3]Entry!$R$1146="","",[3]Entry!$R$1146)</f>
        <v/>
      </c>
    </row>
    <row r="1144">
      <c r="T1144">
        <f>IF([2]Baskol!$B$1147="","",[2]Baskol!$B$1147)</f>
        <v/>
      </c>
      <c r="U1144">
        <f>IF([2]Baskol!$C$1147="","",[2]Baskol!$C$1147)</f>
        <v/>
      </c>
      <c r="V1144">
        <f>IF([2]Baskol!$D$1147="","",[2]Baskol!$D$1147)</f>
        <v/>
      </c>
      <c r="W1144">
        <f>IF([2]Baskol!$E$1147="","",[2]Baskol!$E$1147)</f>
        <v/>
      </c>
      <c r="X1144">
        <f>IF([2]Baskol!$G$1147="","",[2]Baskol!$G$1147)</f>
        <v/>
      </c>
      <c r="Y1144">
        <f>IF([2]Baskol!$I$1147="","",[2]Baskol!$I$1147)</f>
        <v/>
      </c>
      <c r="Z1144">
        <f>IF([2]Baskol!$J$1147="","",[2]Baskol!$J$1147)</f>
        <v/>
      </c>
      <c r="AA1144">
        <f>IF([2]Baskol!$K$1147="","",[2]Baskol!$K$1147)</f>
        <v/>
      </c>
      <c r="AB1144">
        <f>IF([2]Baskol!$L$1147="","",[2]Baskol!$L$1147)</f>
        <v/>
      </c>
      <c r="AC1144">
        <f>IF([2]Baskol!$N$1147="","",[2]Baskol!$N$1147)</f>
        <v/>
      </c>
      <c r="AD1144">
        <f>IF([2]Baskol!$O$1147="","",[2]Baskol!$O$1147)</f>
        <v/>
      </c>
      <c r="AE1144">
        <f>IF([3]Entry!$C$1147="","",[3]Entry!$C$1147)</f>
        <v/>
      </c>
      <c r="AF1144">
        <f>IF([3]Entry!$D$1147="","",[3]Entry!$D$1147)</f>
        <v/>
      </c>
      <c r="AG1144">
        <f>IF([3]Entry!$E$1147="","",[3]Entry!$E$1147)</f>
        <v/>
      </c>
      <c r="AH1144">
        <f>IF([3]Entry!$G$1147="","",[3]Entry!$G$1147)</f>
        <v/>
      </c>
      <c r="AI1144">
        <f>IF([3]Entry!$K$1147="","",[3]Entry!$K$1147)</f>
        <v/>
      </c>
      <c r="AJ1144">
        <f>IF([3]Entry!$L$1147="","",[3]Entry!$L$1147)</f>
        <v/>
      </c>
      <c r="AK1144">
        <f>IF([3]Entry!$M$1147="","",[3]Entry!$M$1147)</f>
        <v/>
      </c>
      <c r="AL1144">
        <f>IF([3]Entry!$N$1147="","",[3]Entry!$N$1147)</f>
        <v/>
      </c>
      <c r="AM1144">
        <f>IF([3]Entry!$R$1147="","",[3]Entry!$R$1147)</f>
        <v/>
      </c>
    </row>
    <row r="1145">
      <c r="T1145">
        <f>IF([2]Baskol!$B$1148="","",[2]Baskol!$B$1148)</f>
        <v/>
      </c>
      <c r="U1145">
        <f>IF([2]Baskol!$C$1148="","",[2]Baskol!$C$1148)</f>
        <v/>
      </c>
      <c r="V1145">
        <f>IF([2]Baskol!$D$1148="","",[2]Baskol!$D$1148)</f>
        <v/>
      </c>
      <c r="W1145">
        <f>IF([2]Baskol!$E$1148="","",[2]Baskol!$E$1148)</f>
        <v/>
      </c>
      <c r="X1145">
        <f>IF([2]Baskol!$G$1148="","",[2]Baskol!$G$1148)</f>
        <v/>
      </c>
      <c r="Y1145">
        <f>IF([2]Baskol!$I$1148="","",[2]Baskol!$I$1148)</f>
        <v/>
      </c>
      <c r="Z1145">
        <f>IF([2]Baskol!$J$1148="","",[2]Baskol!$J$1148)</f>
        <v/>
      </c>
      <c r="AA1145">
        <f>IF([2]Baskol!$K$1148="","",[2]Baskol!$K$1148)</f>
        <v/>
      </c>
      <c r="AB1145">
        <f>IF([2]Baskol!$L$1148="","",[2]Baskol!$L$1148)</f>
        <v/>
      </c>
      <c r="AC1145">
        <f>IF([2]Baskol!$N$1148="","",[2]Baskol!$N$1148)</f>
        <v/>
      </c>
      <c r="AD1145">
        <f>IF([2]Baskol!$O$1148="","",[2]Baskol!$O$1148)</f>
        <v/>
      </c>
      <c r="AE1145">
        <f>IF([3]Entry!$C$1148="","",[3]Entry!$C$1148)</f>
        <v/>
      </c>
      <c r="AF1145">
        <f>IF([3]Entry!$D$1148="","",[3]Entry!$D$1148)</f>
        <v/>
      </c>
      <c r="AG1145">
        <f>IF([3]Entry!$E$1148="","",[3]Entry!$E$1148)</f>
        <v/>
      </c>
      <c r="AH1145">
        <f>IF([3]Entry!$G$1148="","",[3]Entry!$G$1148)</f>
        <v/>
      </c>
      <c r="AI1145">
        <f>IF([3]Entry!$K$1148="","",[3]Entry!$K$1148)</f>
        <v/>
      </c>
      <c r="AJ1145">
        <f>IF([3]Entry!$L$1148="","",[3]Entry!$L$1148)</f>
        <v/>
      </c>
      <c r="AK1145">
        <f>IF([3]Entry!$M$1148="","",[3]Entry!$M$1148)</f>
        <v/>
      </c>
      <c r="AL1145">
        <f>IF([3]Entry!$N$1148="","",[3]Entry!$N$1148)</f>
        <v/>
      </c>
      <c r="AM1145">
        <f>IF([3]Entry!$R$1148="","",[3]Entry!$R$1148)</f>
        <v/>
      </c>
    </row>
    <row r="1146">
      <c r="T1146">
        <f>IF([2]Baskol!$B$1149="","",[2]Baskol!$B$1149)</f>
        <v/>
      </c>
      <c r="U1146">
        <f>IF([2]Baskol!$C$1149="","",[2]Baskol!$C$1149)</f>
        <v/>
      </c>
      <c r="V1146">
        <f>IF([2]Baskol!$D$1149="","",[2]Baskol!$D$1149)</f>
        <v/>
      </c>
      <c r="W1146">
        <f>IF([2]Baskol!$E$1149="","",[2]Baskol!$E$1149)</f>
        <v/>
      </c>
      <c r="X1146">
        <f>IF([2]Baskol!$G$1149="","",[2]Baskol!$G$1149)</f>
        <v/>
      </c>
      <c r="Y1146">
        <f>IF([2]Baskol!$I$1149="","",[2]Baskol!$I$1149)</f>
        <v/>
      </c>
      <c r="Z1146">
        <f>IF([2]Baskol!$J$1149="","",[2]Baskol!$J$1149)</f>
        <v/>
      </c>
      <c r="AA1146">
        <f>IF([2]Baskol!$K$1149="","",[2]Baskol!$K$1149)</f>
        <v/>
      </c>
      <c r="AB1146">
        <f>IF([2]Baskol!$L$1149="","",[2]Baskol!$L$1149)</f>
        <v/>
      </c>
      <c r="AC1146">
        <f>IF([2]Baskol!$N$1149="","",[2]Baskol!$N$1149)</f>
        <v/>
      </c>
      <c r="AD1146">
        <f>IF([2]Baskol!$O$1149="","",[2]Baskol!$O$1149)</f>
        <v/>
      </c>
      <c r="AE1146">
        <f>IF([3]Entry!$C$1149="","",[3]Entry!$C$1149)</f>
        <v/>
      </c>
      <c r="AF1146">
        <f>IF([3]Entry!$D$1149="","",[3]Entry!$D$1149)</f>
        <v/>
      </c>
      <c r="AG1146">
        <f>IF([3]Entry!$E$1149="","",[3]Entry!$E$1149)</f>
        <v/>
      </c>
      <c r="AH1146">
        <f>IF([3]Entry!$G$1149="","",[3]Entry!$G$1149)</f>
        <v/>
      </c>
      <c r="AI1146">
        <f>IF([3]Entry!$K$1149="","",[3]Entry!$K$1149)</f>
        <v/>
      </c>
      <c r="AJ1146">
        <f>IF([3]Entry!$L$1149="","",[3]Entry!$L$1149)</f>
        <v/>
      </c>
      <c r="AK1146">
        <f>IF([3]Entry!$M$1149="","",[3]Entry!$M$1149)</f>
        <v/>
      </c>
      <c r="AL1146">
        <f>IF([3]Entry!$N$1149="","",[3]Entry!$N$1149)</f>
        <v/>
      </c>
      <c r="AM1146">
        <f>IF([3]Entry!$R$1149="","",[3]Entry!$R$1149)</f>
        <v/>
      </c>
    </row>
    <row r="1147">
      <c r="T1147">
        <f>IF([2]Baskol!$B$1150="","",[2]Baskol!$B$1150)</f>
        <v/>
      </c>
      <c r="U1147">
        <f>IF([2]Baskol!$C$1150="","",[2]Baskol!$C$1150)</f>
        <v/>
      </c>
      <c r="V1147">
        <f>IF([2]Baskol!$D$1150="","",[2]Baskol!$D$1150)</f>
        <v/>
      </c>
      <c r="W1147">
        <f>IF([2]Baskol!$E$1150="","",[2]Baskol!$E$1150)</f>
        <v/>
      </c>
      <c r="X1147">
        <f>IF([2]Baskol!$G$1150="","",[2]Baskol!$G$1150)</f>
        <v/>
      </c>
      <c r="Y1147">
        <f>IF([2]Baskol!$I$1150="","",[2]Baskol!$I$1150)</f>
        <v/>
      </c>
      <c r="Z1147">
        <f>IF([2]Baskol!$J$1150="","",[2]Baskol!$J$1150)</f>
        <v/>
      </c>
      <c r="AA1147">
        <f>IF([2]Baskol!$K$1150="","",[2]Baskol!$K$1150)</f>
        <v/>
      </c>
      <c r="AB1147">
        <f>IF([2]Baskol!$L$1150="","",[2]Baskol!$L$1150)</f>
        <v/>
      </c>
      <c r="AC1147">
        <f>IF([2]Baskol!$N$1150="","",[2]Baskol!$N$1150)</f>
        <v/>
      </c>
      <c r="AD1147">
        <f>IF([2]Baskol!$O$1150="","",[2]Baskol!$O$1150)</f>
        <v/>
      </c>
      <c r="AE1147">
        <f>IF([3]Entry!$C$1150="","",[3]Entry!$C$1150)</f>
        <v/>
      </c>
      <c r="AF1147">
        <f>IF([3]Entry!$D$1150="","",[3]Entry!$D$1150)</f>
        <v/>
      </c>
      <c r="AG1147">
        <f>IF([3]Entry!$E$1150="","",[3]Entry!$E$1150)</f>
        <v/>
      </c>
      <c r="AH1147">
        <f>IF([3]Entry!$G$1150="","",[3]Entry!$G$1150)</f>
        <v/>
      </c>
      <c r="AI1147">
        <f>IF([3]Entry!$K$1150="","",[3]Entry!$K$1150)</f>
        <v/>
      </c>
      <c r="AJ1147">
        <f>IF([3]Entry!$L$1150="","",[3]Entry!$L$1150)</f>
        <v/>
      </c>
      <c r="AK1147">
        <f>IF([3]Entry!$M$1150="","",[3]Entry!$M$1150)</f>
        <v/>
      </c>
      <c r="AL1147">
        <f>IF([3]Entry!$N$1150="","",[3]Entry!$N$1150)</f>
        <v/>
      </c>
      <c r="AM1147">
        <f>IF([3]Entry!$R$1150="","",[3]Entry!$R$1150)</f>
        <v/>
      </c>
    </row>
    <row r="1148">
      <c r="T1148">
        <f>IF([2]Baskol!$B$1151="","",[2]Baskol!$B$1151)</f>
        <v/>
      </c>
      <c r="U1148">
        <f>IF([2]Baskol!$C$1151="","",[2]Baskol!$C$1151)</f>
        <v/>
      </c>
      <c r="V1148">
        <f>IF([2]Baskol!$D$1151="","",[2]Baskol!$D$1151)</f>
        <v/>
      </c>
      <c r="W1148">
        <f>IF([2]Baskol!$E$1151="","",[2]Baskol!$E$1151)</f>
        <v/>
      </c>
      <c r="X1148">
        <f>IF([2]Baskol!$G$1151="","",[2]Baskol!$G$1151)</f>
        <v/>
      </c>
      <c r="Y1148">
        <f>IF([2]Baskol!$I$1151="","",[2]Baskol!$I$1151)</f>
        <v/>
      </c>
      <c r="Z1148">
        <f>IF([2]Baskol!$J$1151="","",[2]Baskol!$J$1151)</f>
        <v/>
      </c>
      <c r="AA1148">
        <f>IF([2]Baskol!$K$1151="","",[2]Baskol!$K$1151)</f>
        <v/>
      </c>
      <c r="AB1148">
        <f>IF([2]Baskol!$L$1151="","",[2]Baskol!$L$1151)</f>
        <v/>
      </c>
      <c r="AC1148">
        <f>IF([2]Baskol!$N$1151="","",[2]Baskol!$N$1151)</f>
        <v/>
      </c>
      <c r="AD1148">
        <f>IF([2]Baskol!$O$1151="","",[2]Baskol!$O$1151)</f>
        <v/>
      </c>
      <c r="AE1148">
        <f>IF([3]Entry!$C$1151="","",[3]Entry!$C$1151)</f>
        <v/>
      </c>
      <c r="AF1148">
        <f>IF([3]Entry!$D$1151="","",[3]Entry!$D$1151)</f>
        <v/>
      </c>
      <c r="AG1148">
        <f>IF([3]Entry!$E$1151="","",[3]Entry!$E$1151)</f>
        <v/>
      </c>
      <c r="AH1148">
        <f>IF([3]Entry!$G$1151="","",[3]Entry!$G$1151)</f>
        <v/>
      </c>
      <c r="AI1148">
        <f>IF([3]Entry!$K$1151="","",[3]Entry!$K$1151)</f>
        <v/>
      </c>
      <c r="AJ1148">
        <f>IF([3]Entry!$L$1151="","",[3]Entry!$L$1151)</f>
        <v/>
      </c>
      <c r="AK1148">
        <f>IF([3]Entry!$M$1151="","",[3]Entry!$M$1151)</f>
        <v/>
      </c>
      <c r="AL1148">
        <f>IF([3]Entry!$N$1151="","",[3]Entry!$N$1151)</f>
        <v/>
      </c>
      <c r="AM1148">
        <f>IF([3]Entry!$R$1151="","",[3]Entry!$R$1151)</f>
        <v/>
      </c>
    </row>
    <row r="1149">
      <c r="T1149">
        <f>IF([2]Baskol!$B$1152="","",[2]Baskol!$B$1152)</f>
        <v/>
      </c>
      <c r="U1149">
        <f>IF([2]Baskol!$C$1152="","",[2]Baskol!$C$1152)</f>
        <v/>
      </c>
      <c r="V1149">
        <f>IF([2]Baskol!$D$1152="","",[2]Baskol!$D$1152)</f>
        <v/>
      </c>
      <c r="W1149">
        <f>IF([2]Baskol!$E$1152="","",[2]Baskol!$E$1152)</f>
        <v/>
      </c>
      <c r="X1149">
        <f>IF([2]Baskol!$G$1152="","",[2]Baskol!$G$1152)</f>
        <v/>
      </c>
      <c r="Y1149">
        <f>IF([2]Baskol!$I$1152="","",[2]Baskol!$I$1152)</f>
        <v/>
      </c>
      <c r="Z1149">
        <f>IF([2]Baskol!$J$1152="","",[2]Baskol!$J$1152)</f>
        <v/>
      </c>
      <c r="AA1149">
        <f>IF([2]Baskol!$K$1152="","",[2]Baskol!$K$1152)</f>
        <v/>
      </c>
      <c r="AB1149">
        <f>IF([2]Baskol!$L$1152="","",[2]Baskol!$L$1152)</f>
        <v/>
      </c>
      <c r="AC1149">
        <f>IF([2]Baskol!$N$1152="","",[2]Baskol!$N$1152)</f>
        <v/>
      </c>
      <c r="AD1149">
        <f>IF([2]Baskol!$O$1152="","",[2]Baskol!$O$1152)</f>
        <v/>
      </c>
      <c r="AE1149">
        <f>IF([3]Entry!$C$1152="","",[3]Entry!$C$1152)</f>
        <v/>
      </c>
      <c r="AF1149">
        <f>IF([3]Entry!$D$1152="","",[3]Entry!$D$1152)</f>
        <v/>
      </c>
      <c r="AG1149">
        <f>IF([3]Entry!$E$1152="","",[3]Entry!$E$1152)</f>
        <v/>
      </c>
      <c r="AH1149">
        <f>IF([3]Entry!$G$1152="","",[3]Entry!$G$1152)</f>
        <v/>
      </c>
      <c r="AI1149">
        <f>IF([3]Entry!$K$1152="","",[3]Entry!$K$1152)</f>
        <v/>
      </c>
      <c r="AJ1149">
        <f>IF([3]Entry!$L$1152="","",[3]Entry!$L$1152)</f>
        <v/>
      </c>
      <c r="AK1149">
        <f>IF([3]Entry!$M$1152="","",[3]Entry!$M$1152)</f>
        <v/>
      </c>
      <c r="AL1149">
        <f>IF([3]Entry!$N$1152="","",[3]Entry!$N$1152)</f>
        <v/>
      </c>
      <c r="AM1149">
        <f>IF([3]Entry!$R$1152="","",[3]Entry!$R$1152)</f>
        <v/>
      </c>
    </row>
    <row r="1150">
      <c r="T1150">
        <f>IF([2]Baskol!$B$1153="","",[2]Baskol!$B$1153)</f>
        <v/>
      </c>
      <c r="U1150">
        <f>IF([2]Baskol!$C$1153="","",[2]Baskol!$C$1153)</f>
        <v/>
      </c>
      <c r="V1150">
        <f>IF([2]Baskol!$D$1153="","",[2]Baskol!$D$1153)</f>
        <v/>
      </c>
      <c r="W1150">
        <f>IF([2]Baskol!$E$1153="","",[2]Baskol!$E$1153)</f>
        <v/>
      </c>
      <c r="X1150">
        <f>IF([2]Baskol!$G$1153="","",[2]Baskol!$G$1153)</f>
        <v/>
      </c>
      <c r="Y1150">
        <f>IF([2]Baskol!$I$1153="","",[2]Baskol!$I$1153)</f>
        <v/>
      </c>
      <c r="Z1150">
        <f>IF([2]Baskol!$J$1153="","",[2]Baskol!$J$1153)</f>
        <v/>
      </c>
      <c r="AA1150">
        <f>IF([2]Baskol!$K$1153="","",[2]Baskol!$K$1153)</f>
        <v/>
      </c>
      <c r="AB1150">
        <f>IF([2]Baskol!$L$1153="","",[2]Baskol!$L$1153)</f>
        <v/>
      </c>
      <c r="AC1150">
        <f>IF([2]Baskol!$N$1153="","",[2]Baskol!$N$1153)</f>
        <v/>
      </c>
      <c r="AD1150">
        <f>IF([2]Baskol!$O$1153="","",[2]Baskol!$O$1153)</f>
        <v/>
      </c>
      <c r="AE1150">
        <f>IF([3]Entry!$C$1153="","",[3]Entry!$C$1153)</f>
        <v/>
      </c>
      <c r="AF1150">
        <f>IF([3]Entry!$D$1153="","",[3]Entry!$D$1153)</f>
        <v/>
      </c>
      <c r="AG1150">
        <f>IF([3]Entry!$E$1153="","",[3]Entry!$E$1153)</f>
        <v/>
      </c>
      <c r="AH1150">
        <f>IF([3]Entry!$G$1153="","",[3]Entry!$G$1153)</f>
        <v/>
      </c>
      <c r="AI1150">
        <f>IF([3]Entry!$K$1153="","",[3]Entry!$K$1153)</f>
        <v/>
      </c>
      <c r="AJ1150">
        <f>IF([3]Entry!$L$1153="","",[3]Entry!$L$1153)</f>
        <v/>
      </c>
      <c r="AK1150">
        <f>IF([3]Entry!$M$1153="","",[3]Entry!$M$1153)</f>
        <v/>
      </c>
      <c r="AL1150">
        <f>IF([3]Entry!$N$1153="","",[3]Entry!$N$1153)</f>
        <v/>
      </c>
      <c r="AM1150">
        <f>IF([3]Entry!$R$1153="","",[3]Entry!$R$1153)</f>
        <v/>
      </c>
    </row>
    <row r="1151">
      <c r="T1151">
        <f>IF([2]Baskol!$B$1154="","",[2]Baskol!$B$1154)</f>
        <v/>
      </c>
      <c r="U1151">
        <f>IF([2]Baskol!$C$1154="","",[2]Baskol!$C$1154)</f>
        <v/>
      </c>
      <c r="V1151">
        <f>IF([2]Baskol!$D$1154="","",[2]Baskol!$D$1154)</f>
        <v/>
      </c>
      <c r="W1151">
        <f>IF([2]Baskol!$E$1154="","",[2]Baskol!$E$1154)</f>
        <v/>
      </c>
      <c r="X1151">
        <f>IF([2]Baskol!$G$1154="","",[2]Baskol!$G$1154)</f>
        <v/>
      </c>
      <c r="Y1151">
        <f>IF([2]Baskol!$I$1154="","",[2]Baskol!$I$1154)</f>
        <v/>
      </c>
      <c r="Z1151">
        <f>IF([2]Baskol!$J$1154="","",[2]Baskol!$J$1154)</f>
        <v/>
      </c>
      <c r="AA1151">
        <f>IF([2]Baskol!$K$1154="","",[2]Baskol!$K$1154)</f>
        <v/>
      </c>
      <c r="AB1151">
        <f>IF([2]Baskol!$L$1154="","",[2]Baskol!$L$1154)</f>
        <v/>
      </c>
      <c r="AC1151">
        <f>IF([2]Baskol!$N$1154="","",[2]Baskol!$N$1154)</f>
        <v/>
      </c>
      <c r="AD1151">
        <f>IF([2]Baskol!$O$1154="","",[2]Baskol!$O$1154)</f>
        <v/>
      </c>
      <c r="AE1151">
        <f>IF([3]Entry!$C$1154="","",[3]Entry!$C$1154)</f>
        <v/>
      </c>
      <c r="AF1151">
        <f>IF([3]Entry!$D$1154="","",[3]Entry!$D$1154)</f>
        <v/>
      </c>
      <c r="AG1151">
        <f>IF([3]Entry!$E$1154="","",[3]Entry!$E$1154)</f>
        <v/>
      </c>
      <c r="AH1151">
        <f>IF([3]Entry!$G$1154="","",[3]Entry!$G$1154)</f>
        <v/>
      </c>
      <c r="AI1151">
        <f>IF([3]Entry!$K$1154="","",[3]Entry!$K$1154)</f>
        <v/>
      </c>
      <c r="AJ1151">
        <f>IF([3]Entry!$L$1154="","",[3]Entry!$L$1154)</f>
        <v/>
      </c>
      <c r="AK1151">
        <f>IF([3]Entry!$M$1154="","",[3]Entry!$M$1154)</f>
        <v/>
      </c>
      <c r="AL1151">
        <f>IF([3]Entry!$N$1154="","",[3]Entry!$N$1154)</f>
        <v/>
      </c>
      <c r="AM1151">
        <f>IF([3]Entry!$R$1154="","",[3]Entry!$R$1154)</f>
        <v/>
      </c>
    </row>
    <row r="1152">
      <c r="T1152">
        <f>IF([2]Baskol!$B$1155="","",[2]Baskol!$B$1155)</f>
        <v/>
      </c>
      <c r="U1152">
        <f>IF([2]Baskol!$C$1155="","",[2]Baskol!$C$1155)</f>
        <v/>
      </c>
      <c r="V1152">
        <f>IF([2]Baskol!$D$1155="","",[2]Baskol!$D$1155)</f>
        <v/>
      </c>
      <c r="W1152">
        <f>IF([2]Baskol!$E$1155="","",[2]Baskol!$E$1155)</f>
        <v/>
      </c>
      <c r="X1152">
        <f>IF([2]Baskol!$G$1155="","",[2]Baskol!$G$1155)</f>
        <v/>
      </c>
      <c r="Y1152">
        <f>IF([2]Baskol!$I$1155="","",[2]Baskol!$I$1155)</f>
        <v/>
      </c>
      <c r="Z1152">
        <f>IF([2]Baskol!$J$1155="","",[2]Baskol!$J$1155)</f>
        <v/>
      </c>
      <c r="AA1152">
        <f>IF([2]Baskol!$K$1155="","",[2]Baskol!$K$1155)</f>
        <v/>
      </c>
      <c r="AB1152">
        <f>IF([2]Baskol!$L$1155="","",[2]Baskol!$L$1155)</f>
        <v/>
      </c>
      <c r="AC1152">
        <f>IF([2]Baskol!$N$1155="","",[2]Baskol!$N$1155)</f>
        <v/>
      </c>
      <c r="AD1152">
        <f>IF([2]Baskol!$O$1155="","",[2]Baskol!$O$1155)</f>
        <v/>
      </c>
      <c r="AE1152">
        <f>IF([3]Entry!$C$1155="","",[3]Entry!$C$1155)</f>
        <v/>
      </c>
      <c r="AF1152">
        <f>IF([3]Entry!$D$1155="","",[3]Entry!$D$1155)</f>
        <v/>
      </c>
      <c r="AG1152">
        <f>IF([3]Entry!$E$1155="","",[3]Entry!$E$1155)</f>
        <v/>
      </c>
      <c r="AH1152">
        <f>IF([3]Entry!$G$1155="","",[3]Entry!$G$1155)</f>
        <v/>
      </c>
      <c r="AI1152">
        <f>IF([3]Entry!$K$1155="","",[3]Entry!$K$1155)</f>
        <v/>
      </c>
      <c r="AJ1152">
        <f>IF([3]Entry!$L$1155="","",[3]Entry!$L$1155)</f>
        <v/>
      </c>
      <c r="AK1152">
        <f>IF([3]Entry!$M$1155="","",[3]Entry!$M$1155)</f>
        <v/>
      </c>
      <c r="AL1152">
        <f>IF([3]Entry!$N$1155="","",[3]Entry!$N$1155)</f>
        <v/>
      </c>
      <c r="AM1152">
        <f>IF([3]Entry!$R$1155="","",[3]Entry!$R$1155)</f>
        <v/>
      </c>
    </row>
    <row r="1153">
      <c r="T1153">
        <f>IF([2]Baskol!$B$1156="","",[2]Baskol!$B$1156)</f>
        <v/>
      </c>
      <c r="U1153">
        <f>IF([2]Baskol!$C$1156="","",[2]Baskol!$C$1156)</f>
        <v/>
      </c>
      <c r="V1153">
        <f>IF([2]Baskol!$D$1156="","",[2]Baskol!$D$1156)</f>
        <v/>
      </c>
      <c r="W1153">
        <f>IF([2]Baskol!$E$1156="","",[2]Baskol!$E$1156)</f>
        <v/>
      </c>
      <c r="X1153">
        <f>IF([2]Baskol!$G$1156="","",[2]Baskol!$G$1156)</f>
        <v/>
      </c>
      <c r="Y1153">
        <f>IF([2]Baskol!$I$1156="","",[2]Baskol!$I$1156)</f>
        <v/>
      </c>
      <c r="Z1153">
        <f>IF([2]Baskol!$J$1156="","",[2]Baskol!$J$1156)</f>
        <v/>
      </c>
      <c r="AA1153">
        <f>IF([2]Baskol!$K$1156="","",[2]Baskol!$K$1156)</f>
        <v/>
      </c>
      <c r="AB1153">
        <f>IF([2]Baskol!$L$1156="","",[2]Baskol!$L$1156)</f>
        <v/>
      </c>
      <c r="AC1153">
        <f>IF([2]Baskol!$N$1156="","",[2]Baskol!$N$1156)</f>
        <v/>
      </c>
      <c r="AD1153">
        <f>IF([2]Baskol!$O$1156="","",[2]Baskol!$O$1156)</f>
        <v/>
      </c>
      <c r="AE1153">
        <f>IF([3]Entry!$C$1156="","",[3]Entry!$C$1156)</f>
        <v/>
      </c>
      <c r="AF1153">
        <f>IF([3]Entry!$D$1156="","",[3]Entry!$D$1156)</f>
        <v/>
      </c>
      <c r="AG1153">
        <f>IF([3]Entry!$E$1156="","",[3]Entry!$E$1156)</f>
        <v/>
      </c>
      <c r="AH1153">
        <f>IF([3]Entry!$G$1156="","",[3]Entry!$G$1156)</f>
        <v/>
      </c>
      <c r="AI1153">
        <f>IF([3]Entry!$K$1156="","",[3]Entry!$K$1156)</f>
        <v/>
      </c>
      <c r="AJ1153">
        <f>IF([3]Entry!$L$1156="","",[3]Entry!$L$1156)</f>
        <v/>
      </c>
      <c r="AK1153">
        <f>IF([3]Entry!$M$1156="","",[3]Entry!$M$1156)</f>
        <v/>
      </c>
      <c r="AL1153">
        <f>IF([3]Entry!$N$1156="","",[3]Entry!$N$1156)</f>
        <v/>
      </c>
      <c r="AM1153">
        <f>IF([3]Entry!$R$1156="","",[3]Entry!$R$1156)</f>
        <v/>
      </c>
    </row>
    <row r="1154">
      <c r="T1154">
        <f>IF([2]Baskol!$B$1157="","",[2]Baskol!$B$1157)</f>
        <v/>
      </c>
      <c r="U1154">
        <f>IF([2]Baskol!$C$1157="","",[2]Baskol!$C$1157)</f>
        <v/>
      </c>
      <c r="V1154">
        <f>IF([2]Baskol!$D$1157="","",[2]Baskol!$D$1157)</f>
        <v/>
      </c>
      <c r="W1154">
        <f>IF([2]Baskol!$E$1157="","",[2]Baskol!$E$1157)</f>
        <v/>
      </c>
      <c r="X1154">
        <f>IF([2]Baskol!$G$1157="","",[2]Baskol!$G$1157)</f>
        <v/>
      </c>
      <c r="Y1154">
        <f>IF([2]Baskol!$I$1157="","",[2]Baskol!$I$1157)</f>
        <v/>
      </c>
      <c r="Z1154">
        <f>IF([2]Baskol!$J$1157="","",[2]Baskol!$J$1157)</f>
        <v/>
      </c>
      <c r="AA1154">
        <f>IF([2]Baskol!$K$1157="","",[2]Baskol!$K$1157)</f>
        <v/>
      </c>
      <c r="AB1154">
        <f>IF([2]Baskol!$L$1157="","",[2]Baskol!$L$1157)</f>
        <v/>
      </c>
      <c r="AC1154">
        <f>IF([2]Baskol!$N$1157="","",[2]Baskol!$N$1157)</f>
        <v/>
      </c>
      <c r="AD1154">
        <f>IF([2]Baskol!$O$1157="","",[2]Baskol!$O$1157)</f>
        <v/>
      </c>
      <c r="AE1154">
        <f>IF([3]Entry!$C$1157="","",[3]Entry!$C$1157)</f>
        <v/>
      </c>
      <c r="AF1154">
        <f>IF([3]Entry!$D$1157="","",[3]Entry!$D$1157)</f>
        <v/>
      </c>
      <c r="AG1154">
        <f>IF([3]Entry!$E$1157="","",[3]Entry!$E$1157)</f>
        <v/>
      </c>
      <c r="AH1154">
        <f>IF([3]Entry!$G$1157="","",[3]Entry!$G$1157)</f>
        <v/>
      </c>
      <c r="AI1154">
        <f>IF([3]Entry!$K$1157="","",[3]Entry!$K$1157)</f>
        <v/>
      </c>
      <c r="AJ1154">
        <f>IF([3]Entry!$L$1157="","",[3]Entry!$L$1157)</f>
        <v/>
      </c>
      <c r="AK1154">
        <f>IF([3]Entry!$M$1157="","",[3]Entry!$M$1157)</f>
        <v/>
      </c>
      <c r="AL1154">
        <f>IF([3]Entry!$N$1157="","",[3]Entry!$N$1157)</f>
        <v/>
      </c>
      <c r="AM1154">
        <f>IF([3]Entry!$R$1157="","",[3]Entry!$R$1157)</f>
        <v/>
      </c>
    </row>
    <row r="1155">
      <c r="T1155">
        <f>IF([2]Baskol!$B$1158="","",[2]Baskol!$B$1158)</f>
        <v/>
      </c>
      <c r="U1155">
        <f>IF([2]Baskol!$C$1158="","",[2]Baskol!$C$1158)</f>
        <v/>
      </c>
      <c r="V1155">
        <f>IF([2]Baskol!$D$1158="","",[2]Baskol!$D$1158)</f>
        <v/>
      </c>
      <c r="W1155">
        <f>IF([2]Baskol!$E$1158="","",[2]Baskol!$E$1158)</f>
        <v/>
      </c>
      <c r="X1155">
        <f>IF([2]Baskol!$G$1158="","",[2]Baskol!$G$1158)</f>
        <v/>
      </c>
      <c r="Y1155">
        <f>IF([2]Baskol!$I$1158="","",[2]Baskol!$I$1158)</f>
        <v/>
      </c>
      <c r="Z1155">
        <f>IF([2]Baskol!$J$1158="","",[2]Baskol!$J$1158)</f>
        <v/>
      </c>
      <c r="AA1155">
        <f>IF([2]Baskol!$K$1158="","",[2]Baskol!$K$1158)</f>
        <v/>
      </c>
      <c r="AB1155">
        <f>IF([2]Baskol!$L$1158="","",[2]Baskol!$L$1158)</f>
        <v/>
      </c>
      <c r="AC1155">
        <f>IF([2]Baskol!$N$1158="","",[2]Baskol!$N$1158)</f>
        <v/>
      </c>
      <c r="AD1155">
        <f>IF([2]Baskol!$O$1158="","",[2]Baskol!$O$1158)</f>
        <v/>
      </c>
      <c r="AE1155">
        <f>IF([3]Entry!$C$1158="","",[3]Entry!$C$1158)</f>
        <v/>
      </c>
      <c r="AF1155">
        <f>IF([3]Entry!$D$1158="","",[3]Entry!$D$1158)</f>
        <v/>
      </c>
      <c r="AG1155">
        <f>IF([3]Entry!$E$1158="","",[3]Entry!$E$1158)</f>
        <v/>
      </c>
      <c r="AH1155">
        <f>IF([3]Entry!$G$1158="","",[3]Entry!$G$1158)</f>
        <v/>
      </c>
      <c r="AI1155">
        <f>IF([3]Entry!$K$1158="","",[3]Entry!$K$1158)</f>
        <v/>
      </c>
      <c r="AJ1155">
        <f>IF([3]Entry!$L$1158="","",[3]Entry!$L$1158)</f>
        <v/>
      </c>
      <c r="AK1155">
        <f>IF([3]Entry!$M$1158="","",[3]Entry!$M$1158)</f>
        <v/>
      </c>
      <c r="AL1155">
        <f>IF([3]Entry!$N$1158="","",[3]Entry!$N$1158)</f>
        <v/>
      </c>
      <c r="AM1155">
        <f>IF([3]Entry!$R$1158="","",[3]Entry!$R$1158)</f>
        <v/>
      </c>
    </row>
    <row r="1156">
      <c r="T1156">
        <f>IF([2]Baskol!$B$1159="","",[2]Baskol!$B$1159)</f>
        <v/>
      </c>
      <c r="U1156">
        <f>IF([2]Baskol!$C$1159="","",[2]Baskol!$C$1159)</f>
        <v/>
      </c>
      <c r="V1156">
        <f>IF([2]Baskol!$D$1159="","",[2]Baskol!$D$1159)</f>
        <v/>
      </c>
      <c r="W1156">
        <f>IF([2]Baskol!$E$1159="","",[2]Baskol!$E$1159)</f>
        <v/>
      </c>
      <c r="X1156">
        <f>IF([2]Baskol!$G$1159="","",[2]Baskol!$G$1159)</f>
        <v/>
      </c>
      <c r="Y1156">
        <f>IF([2]Baskol!$I$1159="","",[2]Baskol!$I$1159)</f>
        <v/>
      </c>
      <c r="Z1156">
        <f>IF([2]Baskol!$J$1159="","",[2]Baskol!$J$1159)</f>
        <v/>
      </c>
      <c r="AA1156">
        <f>IF([2]Baskol!$K$1159="","",[2]Baskol!$K$1159)</f>
        <v/>
      </c>
      <c r="AB1156">
        <f>IF([2]Baskol!$L$1159="","",[2]Baskol!$L$1159)</f>
        <v/>
      </c>
      <c r="AC1156">
        <f>IF([2]Baskol!$N$1159="","",[2]Baskol!$N$1159)</f>
        <v/>
      </c>
      <c r="AD1156">
        <f>IF([2]Baskol!$O$1159="","",[2]Baskol!$O$1159)</f>
        <v/>
      </c>
      <c r="AE1156">
        <f>IF([3]Entry!$C$1159="","",[3]Entry!$C$1159)</f>
        <v/>
      </c>
      <c r="AF1156">
        <f>IF([3]Entry!$D$1159="","",[3]Entry!$D$1159)</f>
        <v/>
      </c>
      <c r="AG1156">
        <f>IF([3]Entry!$E$1159="","",[3]Entry!$E$1159)</f>
        <v/>
      </c>
      <c r="AH1156">
        <f>IF([3]Entry!$G$1159="","",[3]Entry!$G$1159)</f>
        <v/>
      </c>
      <c r="AI1156">
        <f>IF([3]Entry!$K$1159="","",[3]Entry!$K$1159)</f>
        <v/>
      </c>
      <c r="AJ1156">
        <f>IF([3]Entry!$L$1159="","",[3]Entry!$L$1159)</f>
        <v/>
      </c>
      <c r="AK1156">
        <f>IF([3]Entry!$M$1159="","",[3]Entry!$M$1159)</f>
        <v/>
      </c>
      <c r="AL1156">
        <f>IF([3]Entry!$N$1159="","",[3]Entry!$N$1159)</f>
        <v/>
      </c>
      <c r="AM1156">
        <f>IF([3]Entry!$R$1159="","",[3]Entry!$R$1159)</f>
        <v/>
      </c>
    </row>
    <row r="1157">
      <c r="T1157">
        <f>IF([2]Baskol!$B$1160="","",[2]Baskol!$B$1160)</f>
        <v/>
      </c>
      <c r="U1157">
        <f>IF([2]Baskol!$C$1160="","",[2]Baskol!$C$1160)</f>
        <v/>
      </c>
      <c r="V1157">
        <f>IF([2]Baskol!$D$1160="","",[2]Baskol!$D$1160)</f>
        <v/>
      </c>
      <c r="W1157">
        <f>IF([2]Baskol!$E$1160="","",[2]Baskol!$E$1160)</f>
        <v/>
      </c>
      <c r="X1157">
        <f>IF([2]Baskol!$G$1160="","",[2]Baskol!$G$1160)</f>
        <v/>
      </c>
      <c r="Y1157">
        <f>IF([2]Baskol!$I$1160="","",[2]Baskol!$I$1160)</f>
        <v/>
      </c>
      <c r="Z1157">
        <f>IF([2]Baskol!$J$1160="","",[2]Baskol!$J$1160)</f>
        <v/>
      </c>
      <c r="AA1157">
        <f>IF([2]Baskol!$K$1160="","",[2]Baskol!$K$1160)</f>
        <v/>
      </c>
      <c r="AB1157">
        <f>IF([2]Baskol!$L$1160="","",[2]Baskol!$L$1160)</f>
        <v/>
      </c>
      <c r="AC1157">
        <f>IF([2]Baskol!$N$1160="","",[2]Baskol!$N$1160)</f>
        <v/>
      </c>
      <c r="AD1157">
        <f>IF([2]Baskol!$O$1160="","",[2]Baskol!$O$1160)</f>
        <v/>
      </c>
      <c r="AE1157">
        <f>IF([3]Entry!$C$1160="","",[3]Entry!$C$1160)</f>
        <v/>
      </c>
      <c r="AF1157">
        <f>IF([3]Entry!$D$1160="","",[3]Entry!$D$1160)</f>
        <v/>
      </c>
      <c r="AG1157">
        <f>IF([3]Entry!$E$1160="","",[3]Entry!$E$1160)</f>
        <v/>
      </c>
      <c r="AH1157">
        <f>IF([3]Entry!$G$1160="","",[3]Entry!$G$1160)</f>
        <v/>
      </c>
      <c r="AI1157">
        <f>IF([3]Entry!$K$1160="","",[3]Entry!$K$1160)</f>
        <v/>
      </c>
      <c r="AJ1157">
        <f>IF([3]Entry!$L$1160="","",[3]Entry!$L$1160)</f>
        <v/>
      </c>
      <c r="AK1157">
        <f>IF([3]Entry!$M$1160="","",[3]Entry!$M$1160)</f>
        <v/>
      </c>
      <c r="AL1157">
        <f>IF([3]Entry!$N$1160="","",[3]Entry!$N$1160)</f>
        <v/>
      </c>
      <c r="AM1157">
        <f>IF([3]Entry!$R$1160="","",[3]Entry!$R$1160)</f>
        <v/>
      </c>
    </row>
    <row r="1158">
      <c r="T1158">
        <f>IF([2]Baskol!$B$1161="","",[2]Baskol!$B$1161)</f>
        <v/>
      </c>
      <c r="U1158">
        <f>IF([2]Baskol!$C$1161="","",[2]Baskol!$C$1161)</f>
        <v/>
      </c>
      <c r="V1158">
        <f>IF([2]Baskol!$D$1161="","",[2]Baskol!$D$1161)</f>
        <v/>
      </c>
      <c r="W1158">
        <f>IF([2]Baskol!$E$1161="","",[2]Baskol!$E$1161)</f>
        <v/>
      </c>
      <c r="X1158">
        <f>IF([2]Baskol!$G$1161="","",[2]Baskol!$G$1161)</f>
        <v/>
      </c>
      <c r="Y1158">
        <f>IF([2]Baskol!$I$1161="","",[2]Baskol!$I$1161)</f>
        <v/>
      </c>
      <c r="Z1158">
        <f>IF([2]Baskol!$J$1161="","",[2]Baskol!$J$1161)</f>
        <v/>
      </c>
      <c r="AA1158">
        <f>IF([2]Baskol!$K$1161="","",[2]Baskol!$K$1161)</f>
        <v/>
      </c>
      <c r="AB1158">
        <f>IF([2]Baskol!$L$1161="","",[2]Baskol!$L$1161)</f>
        <v/>
      </c>
      <c r="AC1158">
        <f>IF([2]Baskol!$N$1161="","",[2]Baskol!$N$1161)</f>
        <v/>
      </c>
      <c r="AD1158">
        <f>IF([2]Baskol!$O$1161="","",[2]Baskol!$O$1161)</f>
        <v/>
      </c>
      <c r="AE1158">
        <f>IF([3]Entry!$C$1161="","",[3]Entry!$C$1161)</f>
        <v/>
      </c>
      <c r="AF1158">
        <f>IF([3]Entry!$D$1161="","",[3]Entry!$D$1161)</f>
        <v/>
      </c>
      <c r="AG1158">
        <f>IF([3]Entry!$E$1161="","",[3]Entry!$E$1161)</f>
        <v/>
      </c>
      <c r="AH1158">
        <f>IF([3]Entry!$G$1161="","",[3]Entry!$G$1161)</f>
        <v/>
      </c>
      <c r="AI1158">
        <f>IF([3]Entry!$K$1161="","",[3]Entry!$K$1161)</f>
        <v/>
      </c>
      <c r="AJ1158">
        <f>IF([3]Entry!$L$1161="","",[3]Entry!$L$1161)</f>
        <v/>
      </c>
      <c r="AK1158">
        <f>IF([3]Entry!$M$1161="","",[3]Entry!$M$1161)</f>
        <v/>
      </c>
      <c r="AL1158">
        <f>IF([3]Entry!$N$1161="","",[3]Entry!$N$1161)</f>
        <v/>
      </c>
      <c r="AM1158">
        <f>IF([3]Entry!$R$1161="","",[3]Entry!$R$1161)</f>
        <v/>
      </c>
    </row>
    <row r="1159">
      <c r="T1159">
        <f>IF([2]Baskol!$B$1162="","",[2]Baskol!$B$1162)</f>
        <v/>
      </c>
      <c r="U1159">
        <f>IF([2]Baskol!$C$1162="","",[2]Baskol!$C$1162)</f>
        <v/>
      </c>
      <c r="V1159">
        <f>IF([2]Baskol!$D$1162="","",[2]Baskol!$D$1162)</f>
        <v/>
      </c>
      <c r="W1159">
        <f>IF([2]Baskol!$E$1162="","",[2]Baskol!$E$1162)</f>
        <v/>
      </c>
      <c r="X1159">
        <f>IF([2]Baskol!$G$1162="","",[2]Baskol!$G$1162)</f>
        <v/>
      </c>
      <c r="Y1159">
        <f>IF([2]Baskol!$I$1162="","",[2]Baskol!$I$1162)</f>
        <v/>
      </c>
      <c r="Z1159">
        <f>IF([2]Baskol!$J$1162="","",[2]Baskol!$J$1162)</f>
        <v/>
      </c>
      <c r="AA1159">
        <f>IF([2]Baskol!$K$1162="","",[2]Baskol!$K$1162)</f>
        <v/>
      </c>
      <c r="AB1159">
        <f>IF([2]Baskol!$L$1162="","",[2]Baskol!$L$1162)</f>
        <v/>
      </c>
      <c r="AC1159">
        <f>IF([2]Baskol!$N$1162="","",[2]Baskol!$N$1162)</f>
        <v/>
      </c>
      <c r="AD1159">
        <f>IF([2]Baskol!$O$1162="","",[2]Baskol!$O$1162)</f>
        <v/>
      </c>
      <c r="AE1159">
        <f>IF([3]Entry!$C$1162="","",[3]Entry!$C$1162)</f>
        <v/>
      </c>
      <c r="AF1159">
        <f>IF([3]Entry!$D$1162="","",[3]Entry!$D$1162)</f>
        <v/>
      </c>
      <c r="AG1159">
        <f>IF([3]Entry!$E$1162="","",[3]Entry!$E$1162)</f>
        <v/>
      </c>
      <c r="AH1159">
        <f>IF([3]Entry!$G$1162="","",[3]Entry!$G$1162)</f>
        <v/>
      </c>
      <c r="AI1159">
        <f>IF([3]Entry!$K$1162="","",[3]Entry!$K$1162)</f>
        <v/>
      </c>
      <c r="AJ1159">
        <f>IF([3]Entry!$L$1162="","",[3]Entry!$L$1162)</f>
        <v/>
      </c>
      <c r="AK1159">
        <f>IF([3]Entry!$M$1162="","",[3]Entry!$M$1162)</f>
        <v/>
      </c>
      <c r="AL1159">
        <f>IF([3]Entry!$N$1162="","",[3]Entry!$N$1162)</f>
        <v/>
      </c>
      <c r="AM1159">
        <f>IF([3]Entry!$R$1162="","",[3]Entry!$R$1162)</f>
        <v/>
      </c>
    </row>
    <row r="1160">
      <c r="T1160">
        <f>IF([2]Baskol!$B$1163="","",[2]Baskol!$B$1163)</f>
        <v/>
      </c>
      <c r="U1160">
        <f>IF([2]Baskol!$C$1163="","",[2]Baskol!$C$1163)</f>
        <v/>
      </c>
      <c r="V1160">
        <f>IF([2]Baskol!$D$1163="","",[2]Baskol!$D$1163)</f>
        <v/>
      </c>
      <c r="W1160">
        <f>IF([2]Baskol!$E$1163="","",[2]Baskol!$E$1163)</f>
        <v/>
      </c>
      <c r="X1160">
        <f>IF([2]Baskol!$G$1163="","",[2]Baskol!$G$1163)</f>
        <v/>
      </c>
      <c r="Y1160">
        <f>IF([2]Baskol!$I$1163="","",[2]Baskol!$I$1163)</f>
        <v/>
      </c>
      <c r="Z1160">
        <f>IF([2]Baskol!$J$1163="","",[2]Baskol!$J$1163)</f>
        <v/>
      </c>
      <c r="AA1160">
        <f>IF([2]Baskol!$K$1163="","",[2]Baskol!$K$1163)</f>
        <v/>
      </c>
      <c r="AB1160">
        <f>IF([2]Baskol!$L$1163="","",[2]Baskol!$L$1163)</f>
        <v/>
      </c>
      <c r="AC1160">
        <f>IF([2]Baskol!$N$1163="","",[2]Baskol!$N$1163)</f>
        <v/>
      </c>
      <c r="AD1160">
        <f>IF([2]Baskol!$O$1163="","",[2]Baskol!$O$1163)</f>
        <v/>
      </c>
      <c r="AE1160">
        <f>IF([3]Entry!$C$1163="","",[3]Entry!$C$1163)</f>
        <v/>
      </c>
      <c r="AF1160">
        <f>IF([3]Entry!$D$1163="","",[3]Entry!$D$1163)</f>
        <v/>
      </c>
      <c r="AG1160">
        <f>IF([3]Entry!$E$1163="","",[3]Entry!$E$1163)</f>
        <v/>
      </c>
      <c r="AH1160">
        <f>IF([3]Entry!$G$1163="","",[3]Entry!$G$1163)</f>
        <v/>
      </c>
      <c r="AI1160">
        <f>IF([3]Entry!$K$1163="","",[3]Entry!$K$1163)</f>
        <v/>
      </c>
      <c r="AJ1160">
        <f>IF([3]Entry!$L$1163="","",[3]Entry!$L$1163)</f>
        <v/>
      </c>
      <c r="AK1160">
        <f>IF([3]Entry!$M$1163="","",[3]Entry!$M$1163)</f>
        <v/>
      </c>
      <c r="AL1160">
        <f>IF([3]Entry!$N$1163="","",[3]Entry!$N$1163)</f>
        <v/>
      </c>
      <c r="AM1160">
        <f>IF([3]Entry!$R$1163="","",[3]Entry!$R$1163)</f>
        <v/>
      </c>
    </row>
    <row r="1161">
      <c r="T1161">
        <f>IF([2]Baskol!$B$1164="","",[2]Baskol!$B$1164)</f>
        <v/>
      </c>
      <c r="U1161">
        <f>IF([2]Baskol!$C$1164="","",[2]Baskol!$C$1164)</f>
        <v/>
      </c>
      <c r="V1161">
        <f>IF([2]Baskol!$D$1164="","",[2]Baskol!$D$1164)</f>
        <v/>
      </c>
      <c r="W1161">
        <f>IF([2]Baskol!$E$1164="","",[2]Baskol!$E$1164)</f>
        <v/>
      </c>
      <c r="X1161">
        <f>IF([2]Baskol!$G$1164="","",[2]Baskol!$G$1164)</f>
        <v/>
      </c>
      <c r="Y1161">
        <f>IF([2]Baskol!$I$1164="","",[2]Baskol!$I$1164)</f>
        <v/>
      </c>
      <c r="Z1161">
        <f>IF([2]Baskol!$J$1164="","",[2]Baskol!$J$1164)</f>
        <v/>
      </c>
      <c r="AA1161">
        <f>IF([2]Baskol!$K$1164="","",[2]Baskol!$K$1164)</f>
        <v/>
      </c>
      <c r="AB1161">
        <f>IF([2]Baskol!$L$1164="","",[2]Baskol!$L$1164)</f>
        <v/>
      </c>
      <c r="AC1161">
        <f>IF([2]Baskol!$N$1164="","",[2]Baskol!$N$1164)</f>
        <v/>
      </c>
      <c r="AD1161">
        <f>IF([2]Baskol!$O$1164="","",[2]Baskol!$O$1164)</f>
        <v/>
      </c>
      <c r="AE1161">
        <f>IF([3]Entry!$C$1164="","",[3]Entry!$C$1164)</f>
        <v/>
      </c>
      <c r="AF1161">
        <f>IF([3]Entry!$D$1164="","",[3]Entry!$D$1164)</f>
        <v/>
      </c>
      <c r="AG1161">
        <f>IF([3]Entry!$E$1164="","",[3]Entry!$E$1164)</f>
        <v/>
      </c>
      <c r="AH1161">
        <f>IF([3]Entry!$G$1164="","",[3]Entry!$G$1164)</f>
        <v/>
      </c>
      <c r="AI1161">
        <f>IF([3]Entry!$K$1164="","",[3]Entry!$K$1164)</f>
        <v/>
      </c>
      <c r="AJ1161">
        <f>IF([3]Entry!$L$1164="","",[3]Entry!$L$1164)</f>
        <v/>
      </c>
      <c r="AK1161">
        <f>IF([3]Entry!$M$1164="","",[3]Entry!$M$1164)</f>
        <v/>
      </c>
      <c r="AL1161">
        <f>IF([3]Entry!$N$1164="","",[3]Entry!$N$1164)</f>
        <v/>
      </c>
      <c r="AM1161">
        <f>IF([3]Entry!$R$1164="","",[3]Entry!$R$1164)</f>
        <v/>
      </c>
    </row>
    <row r="1162">
      <c r="T1162">
        <f>IF([2]Baskol!$B$1165="","",[2]Baskol!$B$1165)</f>
        <v/>
      </c>
      <c r="U1162">
        <f>IF([2]Baskol!$C$1165="","",[2]Baskol!$C$1165)</f>
        <v/>
      </c>
      <c r="V1162">
        <f>IF([2]Baskol!$D$1165="","",[2]Baskol!$D$1165)</f>
        <v/>
      </c>
      <c r="W1162">
        <f>IF([2]Baskol!$E$1165="","",[2]Baskol!$E$1165)</f>
        <v/>
      </c>
      <c r="X1162">
        <f>IF([2]Baskol!$G$1165="","",[2]Baskol!$G$1165)</f>
        <v/>
      </c>
      <c r="Y1162">
        <f>IF([2]Baskol!$I$1165="","",[2]Baskol!$I$1165)</f>
        <v/>
      </c>
      <c r="Z1162">
        <f>IF([2]Baskol!$J$1165="","",[2]Baskol!$J$1165)</f>
        <v/>
      </c>
      <c r="AA1162">
        <f>IF([2]Baskol!$K$1165="","",[2]Baskol!$K$1165)</f>
        <v/>
      </c>
      <c r="AB1162">
        <f>IF([2]Baskol!$L$1165="","",[2]Baskol!$L$1165)</f>
        <v/>
      </c>
      <c r="AC1162">
        <f>IF([2]Baskol!$N$1165="","",[2]Baskol!$N$1165)</f>
        <v/>
      </c>
      <c r="AD1162">
        <f>IF([2]Baskol!$O$1165="","",[2]Baskol!$O$1165)</f>
        <v/>
      </c>
      <c r="AE1162">
        <f>IF([3]Entry!$C$1165="","",[3]Entry!$C$1165)</f>
        <v/>
      </c>
      <c r="AF1162">
        <f>IF([3]Entry!$D$1165="","",[3]Entry!$D$1165)</f>
        <v/>
      </c>
      <c r="AG1162">
        <f>IF([3]Entry!$E$1165="","",[3]Entry!$E$1165)</f>
        <v/>
      </c>
      <c r="AH1162">
        <f>IF([3]Entry!$G$1165="","",[3]Entry!$G$1165)</f>
        <v/>
      </c>
      <c r="AI1162">
        <f>IF([3]Entry!$K$1165="","",[3]Entry!$K$1165)</f>
        <v/>
      </c>
      <c r="AJ1162">
        <f>IF([3]Entry!$L$1165="","",[3]Entry!$L$1165)</f>
        <v/>
      </c>
      <c r="AK1162">
        <f>IF([3]Entry!$M$1165="","",[3]Entry!$M$1165)</f>
        <v/>
      </c>
      <c r="AL1162">
        <f>IF([3]Entry!$N$1165="","",[3]Entry!$N$1165)</f>
        <v/>
      </c>
      <c r="AM1162">
        <f>IF([3]Entry!$R$1165="","",[3]Entry!$R$1165)</f>
        <v/>
      </c>
    </row>
    <row r="1163">
      <c r="T1163">
        <f>IF([2]Baskol!$B$1166="","",[2]Baskol!$B$1166)</f>
        <v/>
      </c>
      <c r="U1163">
        <f>IF([2]Baskol!$C$1166="","",[2]Baskol!$C$1166)</f>
        <v/>
      </c>
      <c r="V1163">
        <f>IF([2]Baskol!$D$1166="","",[2]Baskol!$D$1166)</f>
        <v/>
      </c>
      <c r="W1163">
        <f>IF([2]Baskol!$E$1166="","",[2]Baskol!$E$1166)</f>
        <v/>
      </c>
      <c r="X1163">
        <f>IF([2]Baskol!$G$1166="","",[2]Baskol!$G$1166)</f>
        <v/>
      </c>
      <c r="Y1163">
        <f>IF([2]Baskol!$I$1166="","",[2]Baskol!$I$1166)</f>
        <v/>
      </c>
      <c r="Z1163">
        <f>IF([2]Baskol!$J$1166="","",[2]Baskol!$J$1166)</f>
        <v/>
      </c>
      <c r="AA1163">
        <f>IF([2]Baskol!$K$1166="","",[2]Baskol!$K$1166)</f>
        <v/>
      </c>
      <c r="AB1163">
        <f>IF([2]Baskol!$L$1166="","",[2]Baskol!$L$1166)</f>
        <v/>
      </c>
      <c r="AC1163">
        <f>IF([2]Baskol!$N$1166="","",[2]Baskol!$N$1166)</f>
        <v/>
      </c>
      <c r="AD1163">
        <f>IF([2]Baskol!$O$1166="","",[2]Baskol!$O$1166)</f>
        <v/>
      </c>
      <c r="AE1163">
        <f>IF([3]Entry!$C$1166="","",[3]Entry!$C$1166)</f>
        <v/>
      </c>
      <c r="AF1163">
        <f>IF([3]Entry!$D$1166="","",[3]Entry!$D$1166)</f>
        <v/>
      </c>
      <c r="AG1163">
        <f>IF([3]Entry!$E$1166="","",[3]Entry!$E$1166)</f>
        <v/>
      </c>
      <c r="AH1163">
        <f>IF([3]Entry!$G$1166="","",[3]Entry!$G$1166)</f>
        <v/>
      </c>
      <c r="AI1163">
        <f>IF([3]Entry!$K$1166="","",[3]Entry!$K$1166)</f>
        <v/>
      </c>
      <c r="AJ1163">
        <f>IF([3]Entry!$L$1166="","",[3]Entry!$L$1166)</f>
        <v/>
      </c>
      <c r="AK1163">
        <f>IF([3]Entry!$M$1166="","",[3]Entry!$M$1166)</f>
        <v/>
      </c>
      <c r="AL1163">
        <f>IF([3]Entry!$N$1166="","",[3]Entry!$N$1166)</f>
        <v/>
      </c>
      <c r="AM1163">
        <f>IF([3]Entry!$R$1166="","",[3]Entry!$R$1166)</f>
        <v/>
      </c>
    </row>
    <row r="1164">
      <c r="T1164">
        <f>IF([2]Baskol!$B$1167="","",[2]Baskol!$B$1167)</f>
        <v/>
      </c>
      <c r="U1164">
        <f>IF([2]Baskol!$C$1167="","",[2]Baskol!$C$1167)</f>
        <v/>
      </c>
      <c r="V1164">
        <f>IF([2]Baskol!$D$1167="","",[2]Baskol!$D$1167)</f>
        <v/>
      </c>
      <c r="W1164">
        <f>IF([2]Baskol!$E$1167="","",[2]Baskol!$E$1167)</f>
        <v/>
      </c>
      <c r="X1164">
        <f>IF([2]Baskol!$G$1167="","",[2]Baskol!$G$1167)</f>
        <v/>
      </c>
      <c r="Y1164">
        <f>IF([2]Baskol!$I$1167="","",[2]Baskol!$I$1167)</f>
        <v/>
      </c>
      <c r="Z1164">
        <f>IF([2]Baskol!$J$1167="","",[2]Baskol!$J$1167)</f>
        <v/>
      </c>
      <c r="AA1164">
        <f>IF([2]Baskol!$K$1167="","",[2]Baskol!$K$1167)</f>
        <v/>
      </c>
      <c r="AB1164">
        <f>IF([2]Baskol!$L$1167="","",[2]Baskol!$L$1167)</f>
        <v/>
      </c>
      <c r="AC1164">
        <f>IF([2]Baskol!$N$1167="","",[2]Baskol!$N$1167)</f>
        <v/>
      </c>
      <c r="AD1164">
        <f>IF([2]Baskol!$O$1167="","",[2]Baskol!$O$1167)</f>
        <v/>
      </c>
      <c r="AE1164">
        <f>IF([3]Entry!$C$1167="","",[3]Entry!$C$1167)</f>
        <v/>
      </c>
      <c r="AF1164">
        <f>IF([3]Entry!$D$1167="","",[3]Entry!$D$1167)</f>
        <v/>
      </c>
      <c r="AG1164">
        <f>IF([3]Entry!$E$1167="","",[3]Entry!$E$1167)</f>
        <v/>
      </c>
      <c r="AH1164">
        <f>IF([3]Entry!$G$1167="","",[3]Entry!$G$1167)</f>
        <v/>
      </c>
      <c r="AI1164">
        <f>IF([3]Entry!$K$1167="","",[3]Entry!$K$1167)</f>
        <v/>
      </c>
      <c r="AJ1164">
        <f>IF([3]Entry!$L$1167="","",[3]Entry!$L$1167)</f>
        <v/>
      </c>
      <c r="AK1164">
        <f>IF([3]Entry!$M$1167="","",[3]Entry!$M$1167)</f>
        <v/>
      </c>
      <c r="AL1164">
        <f>IF([3]Entry!$N$1167="","",[3]Entry!$N$1167)</f>
        <v/>
      </c>
      <c r="AM1164">
        <f>IF([3]Entry!$R$1167="","",[3]Entry!$R$1167)</f>
        <v/>
      </c>
    </row>
    <row r="1165">
      <c r="T1165">
        <f>IF([2]Baskol!$B$1168="","",[2]Baskol!$B$1168)</f>
        <v/>
      </c>
      <c r="U1165">
        <f>IF([2]Baskol!$C$1168="","",[2]Baskol!$C$1168)</f>
        <v/>
      </c>
      <c r="V1165">
        <f>IF([2]Baskol!$D$1168="","",[2]Baskol!$D$1168)</f>
        <v/>
      </c>
      <c r="W1165">
        <f>IF([2]Baskol!$E$1168="","",[2]Baskol!$E$1168)</f>
        <v/>
      </c>
      <c r="X1165">
        <f>IF([2]Baskol!$G$1168="","",[2]Baskol!$G$1168)</f>
        <v/>
      </c>
      <c r="Y1165">
        <f>IF([2]Baskol!$I$1168="","",[2]Baskol!$I$1168)</f>
        <v/>
      </c>
      <c r="Z1165">
        <f>IF([2]Baskol!$J$1168="","",[2]Baskol!$J$1168)</f>
        <v/>
      </c>
      <c r="AA1165">
        <f>IF([2]Baskol!$K$1168="","",[2]Baskol!$K$1168)</f>
        <v/>
      </c>
      <c r="AB1165">
        <f>IF([2]Baskol!$L$1168="","",[2]Baskol!$L$1168)</f>
        <v/>
      </c>
      <c r="AC1165">
        <f>IF([2]Baskol!$N$1168="","",[2]Baskol!$N$1168)</f>
        <v/>
      </c>
      <c r="AD1165">
        <f>IF([2]Baskol!$O$1168="","",[2]Baskol!$O$1168)</f>
        <v/>
      </c>
      <c r="AE1165">
        <f>IF([3]Entry!$C$1168="","",[3]Entry!$C$1168)</f>
        <v/>
      </c>
      <c r="AF1165">
        <f>IF([3]Entry!$D$1168="","",[3]Entry!$D$1168)</f>
        <v/>
      </c>
      <c r="AG1165">
        <f>IF([3]Entry!$E$1168="","",[3]Entry!$E$1168)</f>
        <v/>
      </c>
      <c r="AH1165">
        <f>IF([3]Entry!$G$1168="","",[3]Entry!$G$1168)</f>
        <v/>
      </c>
      <c r="AI1165">
        <f>IF([3]Entry!$K$1168="","",[3]Entry!$K$1168)</f>
        <v/>
      </c>
      <c r="AJ1165">
        <f>IF([3]Entry!$L$1168="","",[3]Entry!$L$1168)</f>
        <v/>
      </c>
      <c r="AK1165">
        <f>IF([3]Entry!$M$1168="","",[3]Entry!$M$1168)</f>
        <v/>
      </c>
      <c r="AL1165">
        <f>IF([3]Entry!$N$1168="","",[3]Entry!$N$1168)</f>
        <v/>
      </c>
      <c r="AM1165">
        <f>IF([3]Entry!$R$1168="","",[3]Entry!$R$1168)</f>
        <v/>
      </c>
    </row>
    <row r="1166">
      <c r="T1166">
        <f>IF([2]Baskol!$B$1169="","",[2]Baskol!$B$1169)</f>
        <v/>
      </c>
      <c r="U1166">
        <f>IF([2]Baskol!$C$1169="","",[2]Baskol!$C$1169)</f>
        <v/>
      </c>
      <c r="V1166">
        <f>IF([2]Baskol!$D$1169="","",[2]Baskol!$D$1169)</f>
        <v/>
      </c>
      <c r="W1166">
        <f>IF([2]Baskol!$E$1169="","",[2]Baskol!$E$1169)</f>
        <v/>
      </c>
      <c r="X1166">
        <f>IF([2]Baskol!$G$1169="","",[2]Baskol!$G$1169)</f>
        <v/>
      </c>
      <c r="Y1166">
        <f>IF([2]Baskol!$I$1169="","",[2]Baskol!$I$1169)</f>
        <v/>
      </c>
      <c r="Z1166">
        <f>IF([2]Baskol!$J$1169="","",[2]Baskol!$J$1169)</f>
        <v/>
      </c>
      <c r="AA1166">
        <f>IF([2]Baskol!$K$1169="","",[2]Baskol!$K$1169)</f>
        <v/>
      </c>
      <c r="AB1166">
        <f>IF([2]Baskol!$L$1169="","",[2]Baskol!$L$1169)</f>
        <v/>
      </c>
      <c r="AC1166">
        <f>IF([2]Baskol!$N$1169="","",[2]Baskol!$N$1169)</f>
        <v/>
      </c>
      <c r="AD1166">
        <f>IF([2]Baskol!$O$1169="","",[2]Baskol!$O$1169)</f>
        <v/>
      </c>
      <c r="AE1166">
        <f>IF([3]Entry!$C$1169="","",[3]Entry!$C$1169)</f>
        <v/>
      </c>
      <c r="AF1166">
        <f>IF([3]Entry!$D$1169="","",[3]Entry!$D$1169)</f>
        <v/>
      </c>
      <c r="AG1166">
        <f>IF([3]Entry!$E$1169="","",[3]Entry!$E$1169)</f>
        <v/>
      </c>
      <c r="AH1166">
        <f>IF([3]Entry!$G$1169="","",[3]Entry!$G$1169)</f>
        <v/>
      </c>
      <c r="AI1166">
        <f>IF([3]Entry!$K$1169="","",[3]Entry!$K$1169)</f>
        <v/>
      </c>
      <c r="AJ1166">
        <f>IF([3]Entry!$L$1169="","",[3]Entry!$L$1169)</f>
        <v/>
      </c>
      <c r="AK1166">
        <f>IF([3]Entry!$M$1169="","",[3]Entry!$M$1169)</f>
        <v/>
      </c>
      <c r="AL1166">
        <f>IF([3]Entry!$N$1169="","",[3]Entry!$N$1169)</f>
        <v/>
      </c>
      <c r="AM1166">
        <f>IF([3]Entry!$R$1169="","",[3]Entry!$R$1169)</f>
        <v/>
      </c>
    </row>
    <row r="1167">
      <c r="T1167">
        <f>IF([2]Baskol!$B$1170="","",[2]Baskol!$B$1170)</f>
        <v/>
      </c>
      <c r="U1167">
        <f>IF([2]Baskol!$C$1170="","",[2]Baskol!$C$1170)</f>
        <v/>
      </c>
      <c r="V1167">
        <f>IF([2]Baskol!$D$1170="","",[2]Baskol!$D$1170)</f>
        <v/>
      </c>
      <c r="W1167">
        <f>IF([2]Baskol!$E$1170="","",[2]Baskol!$E$1170)</f>
        <v/>
      </c>
      <c r="X1167">
        <f>IF([2]Baskol!$G$1170="","",[2]Baskol!$G$1170)</f>
        <v/>
      </c>
      <c r="Y1167">
        <f>IF([2]Baskol!$I$1170="","",[2]Baskol!$I$1170)</f>
        <v/>
      </c>
      <c r="Z1167">
        <f>IF([2]Baskol!$J$1170="","",[2]Baskol!$J$1170)</f>
        <v/>
      </c>
      <c r="AA1167">
        <f>IF([2]Baskol!$K$1170="","",[2]Baskol!$K$1170)</f>
        <v/>
      </c>
      <c r="AB1167">
        <f>IF([2]Baskol!$L$1170="","",[2]Baskol!$L$1170)</f>
        <v/>
      </c>
      <c r="AC1167">
        <f>IF([2]Baskol!$N$1170="","",[2]Baskol!$N$1170)</f>
        <v/>
      </c>
      <c r="AD1167">
        <f>IF([2]Baskol!$O$1170="","",[2]Baskol!$O$1170)</f>
        <v/>
      </c>
      <c r="AE1167">
        <f>IF([3]Entry!$C$1170="","",[3]Entry!$C$1170)</f>
        <v/>
      </c>
      <c r="AF1167">
        <f>IF([3]Entry!$D$1170="","",[3]Entry!$D$1170)</f>
        <v/>
      </c>
      <c r="AG1167">
        <f>IF([3]Entry!$E$1170="","",[3]Entry!$E$1170)</f>
        <v/>
      </c>
      <c r="AH1167">
        <f>IF([3]Entry!$G$1170="","",[3]Entry!$G$1170)</f>
        <v/>
      </c>
      <c r="AI1167">
        <f>IF([3]Entry!$K$1170="","",[3]Entry!$K$1170)</f>
        <v/>
      </c>
      <c r="AJ1167">
        <f>IF([3]Entry!$L$1170="","",[3]Entry!$L$1170)</f>
        <v/>
      </c>
      <c r="AK1167">
        <f>IF([3]Entry!$M$1170="","",[3]Entry!$M$1170)</f>
        <v/>
      </c>
      <c r="AL1167">
        <f>IF([3]Entry!$N$1170="","",[3]Entry!$N$1170)</f>
        <v/>
      </c>
      <c r="AM1167">
        <f>IF([3]Entry!$R$1170="","",[3]Entry!$R$1170)</f>
        <v/>
      </c>
    </row>
    <row r="1168">
      <c r="T1168">
        <f>IF([2]Baskol!$B$1171="","",[2]Baskol!$B$1171)</f>
        <v/>
      </c>
      <c r="U1168">
        <f>IF([2]Baskol!$C$1171="","",[2]Baskol!$C$1171)</f>
        <v/>
      </c>
      <c r="V1168">
        <f>IF([2]Baskol!$D$1171="","",[2]Baskol!$D$1171)</f>
        <v/>
      </c>
      <c r="W1168">
        <f>IF([2]Baskol!$E$1171="","",[2]Baskol!$E$1171)</f>
        <v/>
      </c>
      <c r="X1168">
        <f>IF([2]Baskol!$G$1171="","",[2]Baskol!$G$1171)</f>
        <v/>
      </c>
      <c r="Y1168">
        <f>IF([2]Baskol!$I$1171="","",[2]Baskol!$I$1171)</f>
        <v/>
      </c>
      <c r="Z1168">
        <f>IF([2]Baskol!$J$1171="","",[2]Baskol!$J$1171)</f>
        <v/>
      </c>
      <c r="AA1168">
        <f>IF([2]Baskol!$K$1171="","",[2]Baskol!$K$1171)</f>
        <v/>
      </c>
      <c r="AB1168">
        <f>IF([2]Baskol!$L$1171="","",[2]Baskol!$L$1171)</f>
        <v/>
      </c>
      <c r="AC1168">
        <f>IF([2]Baskol!$N$1171="","",[2]Baskol!$N$1171)</f>
        <v/>
      </c>
      <c r="AD1168">
        <f>IF([2]Baskol!$O$1171="","",[2]Baskol!$O$1171)</f>
        <v/>
      </c>
      <c r="AE1168">
        <f>IF([3]Entry!$C$1171="","",[3]Entry!$C$1171)</f>
        <v/>
      </c>
      <c r="AF1168">
        <f>IF([3]Entry!$D$1171="","",[3]Entry!$D$1171)</f>
        <v/>
      </c>
      <c r="AG1168">
        <f>IF([3]Entry!$E$1171="","",[3]Entry!$E$1171)</f>
        <v/>
      </c>
      <c r="AH1168">
        <f>IF([3]Entry!$G$1171="","",[3]Entry!$G$1171)</f>
        <v/>
      </c>
      <c r="AI1168">
        <f>IF([3]Entry!$K$1171="","",[3]Entry!$K$1171)</f>
        <v/>
      </c>
      <c r="AJ1168">
        <f>IF([3]Entry!$L$1171="","",[3]Entry!$L$1171)</f>
        <v/>
      </c>
      <c r="AK1168">
        <f>IF([3]Entry!$M$1171="","",[3]Entry!$M$1171)</f>
        <v/>
      </c>
      <c r="AL1168">
        <f>IF([3]Entry!$N$1171="","",[3]Entry!$N$1171)</f>
        <v/>
      </c>
      <c r="AM1168">
        <f>IF([3]Entry!$R$1171="","",[3]Entry!$R$1171)</f>
        <v/>
      </c>
    </row>
    <row r="1169">
      <c r="T1169">
        <f>IF([2]Baskol!$B$1172="","",[2]Baskol!$B$1172)</f>
        <v/>
      </c>
      <c r="U1169">
        <f>IF([2]Baskol!$C$1172="","",[2]Baskol!$C$1172)</f>
        <v/>
      </c>
      <c r="V1169">
        <f>IF([2]Baskol!$D$1172="","",[2]Baskol!$D$1172)</f>
        <v/>
      </c>
      <c r="W1169">
        <f>IF([2]Baskol!$E$1172="","",[2]Baskol!$E$1172)</f>
        <v/>
      </c>
      <c r="X1169">
        <f>IF([2]Baskol!$G$1172="","",[2]Baskol!$G$1172)</f>
        <v/>
      </c>
      <c r="Y1169">
        <f>IF([2]Baskol!$I$1172="","",[2]Baskol!$I$1172)</f>
        <v/>
      </c>
      <c r="Z1169">
        <f>IF([2]Baskol!$J$1172="","",[2]Baskol!$J$1172)</f>
        <v/>
      </c>
      <c r="AA1169">
        <f>IF([2]Baskol!$K$1172="","",[2]Baskol!$K$1172)</f>
        <v/>
      </c>
      <c r="AB1169">
        <f>IF([2]Baskol!$L$1172="","",[2]Baskol!$L$1172)</f>
        <v/>
      </c>
      <c r="AC1169">
        <f>IF([2]Baskol!$N$1172="","",[2]Baskol!$N$1172)</f>
        <v/>
      </c>
      <c r="AD1169">
        <f>IF([2]Baskol!$O$1172="","",[2]Baskol!$O$1172)</f>
        <v/>
      </c>
      <c r="AE1169">
        <f>IF([3]Entry!$C$1172="","",[3]Entry!$C$1172)</f>
        <v/>
      </c>
      <c r="AF1169">
        <f>IF([3]Entry!$D$1172="","",[3]Entry!$D$1172)</f>
        <v/>
      </c>
      <c r="AG1169">
        <f>IF([3]Entry!$E$1172="","",[3]Entry!$E$1172)</f>
        <v/>
      </c>
      <c r="AH1169">
        <f>IF([3]Entry!$G$1172="","",[3]Entry!$G$1172)</f>
        <v/>
      </c>
      <c r="AI1169">
        <f>IF([3]Entry!$K$1172="","",[3]Entry!$K$1172)</f>
        <v/>
      </c>
      <c r="AJ1169">
        <f>IF([3]Entry!$L$1172="","",[3]Entry!$L$1172)</f>
        <v/>
      </c>
      <c r="AK1169">
        <f>IF([3]Entry!$M$1172="","",[3]Entry!$M$1172)</f>
        <v/>
      </c>
      <c r="AL1169">
        <f>IF([3]Entry!$N$1172="","",[3]Entry!$N$1172)</f>
        <v/>
      </c>
      <c r="AM1169">
        <f>IF([3]Entry!$R$1172="","",[3]Entry!$R$1172)</f>
        <v/>
      </c>
    </row>
    <row r="1170">
      <c r="T1170">
        <f>IF([2]Baskol!$B$1173="","",[2]Baskol!$B$1173)</f>
        <v/>
      </c>
      <c r="U1170">
        <f>IF([2]Baskol!$C$1173="","",[2]Baskol!$C$1173)</f>
        <v/>
      </c>
      <c r="V1170">
        <f>IF([2]Baskol!$D$1173="","",[2]Baskol!$D$1173)</f>
        <v/>
      </c>
      <c r="W1170">
        <f>IF([2]Baskol!$E$1173="","",[2]Baskol!$E$1173)</f>
        <v/>
      </c>
      <c r="X1170">
        <f>IF([2]Baskol!$G$1173="","",[2]Baskol!$G$1173)</f>
        <v/>
      </c>
      <c r="Y1170">
        <f>IF([2]Baskol!$I$1173="","",[2]Baskol!$I$1173)</f>
        <v/>
      </c>
      <c r="Z1170">
        <f>IF([2]Baskol!$J$1173="","",[2]Baskol!$J$1173)</f>
        <v/>
      </c>
      <c r="AA1170">
        <f>IF([2]Baskol!$K$1173="","",[2]Baskol!$K$1173)</f>
        <v/>
      </c>
      <c r="AB1170">
        <f>IF([2]Baskol!$L$1173="","",[2]Baskol!$L$1173)</f>
        <v/>
      </c>
      <c r="AC1170">
        <f>IF([2]Baskol!$N$1173="","",[2]Baskol!$N$1173)</f>
        <v/>
      </c>
      <c r="AD1170">
        <f>IF([2]Baskol!$O$1173="","",[2]Baskol!$O$1173)</f>
        <v/>
      </c>
      <c r="AE1170">
        <f>IF([3]Entry!$C$1173="","",[3]Entry!$C$1173)</f>
        <v/>
      </c>
      <c r="AF1170">
        <f>IF([3]Entry!$D$1173="","",[3]Entry!$D$1173)</f>
        <v/>
      </c>
      <c r="AG1170">
        <f>IF([3]Entry!$E$1173="","",[3]Entry!$E$1173)</f>
        <v/>
      </c>
      <c r="AH1170">
        <f>IF([3]Entry!$G$1173="","",[3]Entry!$G$1173)</f>
        <v/>
      </c>
      <c r="AI1170">
        <f>IF([3]Entry!$K$1173="","",[3]Entry!$K$1173)</f>
        <v/>
      </c>
      <c r="AJ1170">
        <f>IF([3]Entry!$L$1173="","",[3]Entry!$L$1173)</f>
        <v/>
      </c>
      <c r="AK1170">
        <f>IF([3]Entry!$M$1173="","",[3]Entry!$M$1173)</f>
        <v/>
      </c>
      <c r="AL1170">
        <f>IF([3]Entry!$N$1173="","",[3]Entry!$N$1173)</f>
        <v/>
      </c>
      <c r="AM1170">
        <f>IF([3]Entry!$R$1173="","",[3]Entry!$R$1173)</f>
        <v/>
      </c>
    </row>
    <row r="1171">
      <c r="T1171">
        <f>IF([2]Baskol!$B$1174="","",[2]Baskol!$B$1174)</f>
        <v/>
      </c>
      <c r="U1171">
        <f>IF([2]Baskol!$C$1174="","",[2]Baskol!$C$1174)</f>
        <v/>
      </c>
      <c r="V1171">
        <f>IF([2]Baskol!$D$1174="","",[2]Baskol!$D$1174)</f>
        <v/>
      </c>
      <c r="W1171">
        <f>IF([2]Baskol!$E$1174="","",[2]Baskol!$E$1174)</f>
        <v/>
      </c>
      <c r="X1171">
        <f>IF([2]Baskol!$G$1174="","",[2]Baskol!$G$1174)</f>
        <v/>
      </c>
      <c r="Y1171">
        <f>IF([2]Baskol!$I$1174="","",[2]Baskol!$I$1174)</f>
        <v/>
      </c>
      <c r="Z1171">
        <f>IF([2]Baskol!$J$1174="","",[2]Baskol!$J$1174)</f>
        <v/>
      </c>
      <c r="AA1171">
        <f>IF([2]Baskol!$K$1174="","",[2]Baskol!$K$1174)</f>
        <v/>
      </c>
      <c r="AB1171">
        <f>IF([2]Baskol!$L$1174="","",[2]Baskol!$L$1174)</f>
        <v/>
      </c>
      <c r="AC1171">
        <f>IF([2]Baskol!$N$1174="","",[2]Baskol!$N$1174)</f>
        <v/>
      </c>
      <c r="AD1171">
        <f>IF([2]Baskol!$O$1174="","",[2]Baskol!$O$1174)</f>
        <v/>
      </c>
      <c r="AE1171">
        <f>IF([3]Entry!$C$1174="","",[3]Entry!$C$1174)</f>
        <v/>
      </c>
      <c r="AF1171">
        <f>IF([3]Entry!$D$1174="","",[3]Entry!$D$1174)</f>
        <v/>
      </c>
      <c r="AG1171">
        <f>IF([3]Entry!$E$1174="","",[3]Entry!$E$1174)</f>
        <v/>
      </c>
      <c r="AH1171">
        <f>IF([3]Entry!$G$1174="","",[3]Entry!$G$1174)</f>
        <v/>
      </c>
      <c r="AI1171">
        <f>IF([3]Entry!$K$1174="","",[3]Entry!$K$1174)</f>
        <v/>
      </c>
      <c r="AJ1171">
        <f>IF([3]Entry!$L$1174="","",[3]Entry!$L$1174)</f>
        <v/>
      </c>
      <c r="AK1171">
        <f>IF([3]Entry!$M$1174="","",[3]Entry!$M$1174)</f>
        <v/>
      </c>
      <c r="AL1171">
        <f>IF([3]Entry!$N$1174="","",[3]Entry!$N$1174)</f>
        <v/>
      </c>
      <c r="AM1171">
        <f>IF([3]Entry!$R$1174="","",[3]Entry!$R$1174)</f>
        <v/>
      </c>
    </row>
    <row r="1172">
      <c r="T1172">
        <f>IF([2]Baskol!$B$1175="","",[2]Baskol!$B$1175)</f>
        <v/>
      </c>
      <c r="U1172">
        <f>IF([2]Baskol!$C$1175="","",[2]Baskol!$C$1175)</f>
        <v/>
      </c>
      <c r="V1172">
        <f>IF([2]Baskol!$D$1175="","",[2]Baskol!$D$1175)</f>
        <v/>
      </c>
      <c r="W1172">
        <f>IF([2]Baskol!$E$1175="","",[2]Baskol!$E$1175)</f>
        <v/>
      </c>
      <c r="X1172">
        <f>IF([2]Baskol!$G$1175="","",[2]Baskol!$G$1175)</f>
        <v/>
      </c>
      <c r="Y1172">
        <f>IF([2]Baskol!$I$1175="","",[2]Baskol!$I$1175)</f>
        <v/>
      </c>
      <c r="Z1172">
        <f>IF([2]Baskol!$J$1175="","",[2]Baskol!$J$1175)</f>
        <v/>
      </c>
      <c r="AA1172">
        <f>IF([2]Baskol!$K$1175="","",[2]Baskol!$K$1175)</f>
        <v/>
      </c>
      <c r="AB1172">
        <f>IF([2]Baskol!$L$1175="","",[2]Baskol!$L$1175)</f>
        <v/>
      </c>
      <c r="AC1172">
        <f>IF([2]Baskol!$N$1175="","",[2]Baskol!$N$1175)</f>
        <v/>
      </c>
      <c r="AD1172">
        <f>IF([2]Baskol!$O$1175="","",[2]Baskol!$O$1175)</f>
        <v/>
      </c>
      <c r="AE1172">
        <f>IF([3]Entry!$C$1175="","",[3]Entry!$C$1175)</f>
        <v/>
      </c>
      <c r="AF1172">
        <f>IF([3]Entry!$D$1175="","",[3]Entry!$D$1175)</f>
        <v/>
      </c>
      <c r="AG1172">
        <f>IF([3]Entry!$E$1175="","",[3]Entry!$E$1175)</f>
        <v/>
      </c>
      <c r="AH1172">
        <f>IF([3]Entry!$G$1175="","",[3]Entry!$G$1175)</f>
        <v/>
      </c>
      <c r="AI1172">
        <f>IF([3]Entry!$K$1175="","",[3]Entry!$K$1175)</f>
        <v/>
      </c>
      <c r="AJ1172">
        <f>IF([3]Entry!$L$1175="","",[3]Entry!$L$1175)</f>
        <v/>
      </c>
      <c r="AK1172">
        <f>IF([3]Entry!$M$1175="","",[3]Entry!$M$1175)</f>
        <v/>
      </c>
      <c r="AL1172">
        <f>IF([3]Entry!$N$1175="","",[3]Entry!$N$1175)</f>
        <v/>
      </c>
      <c r="AM1172">
        <f>IF([3]Entry!$R$1175="","",[3]Entry!$R$1175)</f>
        <v/>
      </c>
    </row>
    <row r="1173">
      <c r="T1173">
        <f>IF([2]Baskol!$B$1176="","",[2]Baskol!$B$1176)</f>
        <v/>
      </c>
      <c r="U1173">
        <f>IF([2]Baskol!$C$1176="","",[2]Baskol!$C$1176)</f>
        <v/>
      </c>
      <c r="V1173">
        <f>IF([2]Baskol!$D$1176="","",[2]Baskol!$D$1176)</f>
        <v/>
      </c>
      <c r="W1173">
        <f>IF([2]Baskol!$E$1176="","",[2]Baskol!$E$1176)</f>
        <v/>
      </c>
      <c r="X1173">
        <f>IF([2]Baskol!$G$1176="","",[2]Baskol!$G$1176)</f>
        <v/>
      </c>
      <c r="Y1173">
        <f>IF([2]Baskol!$I$1176="","",[2]Baskol!$I$1176)</f>
        <v/>
      </c>
      <c r="Z1173">
        <f>IF([2]Baskol!$J$1176="","",[2]Baskol!$J$1176)</f>
        <v/>
      </c>
      <c r="AA1173">
        <f>IF([2]Baskol!$K$1176="","",[2]Baskol!$K$1176)</f>
        <v/>
      </c>
      <c r="AB1173">
        <f>IF([2]Baskol!$L$1176="","",[2]Baskol!$L$1176)</f>
        <v/>
      </c>
      <c r="AC1173">
        <f>IF([2]Baskol!$N$1176="","",[2]Baskol!$N$1176)</f>
        <v/>
      </c>
      <c r="AD1173">
        <f>IF([2]Baskol!$O$1176="","",[2]Baskol!$O$1176)</f>
        <v/>
      </c>
      <c r="AE1173">
        <f>IF([3]Entry!$C$1176="","",[3]Entry!$C$1176)</f>
        <v/>
      </c>
      <c r="AF1173">
        <f>IF([3]Entry!$D$1176="","",[3]Entry!$D$1176)</f>
        <v/>
      </c>
      <c r="AG1173">
        <f>IF([3]Entry!$E$1176="","",[3]Entry!$E$1176)</f>
        <v/>
      </c>
      <c r="AH1173">
        <f>IF([3]Entry!$G$1176="","",[3]Entry!$G$1176)</f>
        <v/>
      </c>
      <c r="AI1173">
        <f>IF([3]Entry!$K$1176="","",[3]Entry!$K$1176)</f>
        <v/>
      </c>
      <c r="AJ1173">
        <f>IF([3]Entry!$L$1176="","",[3]Entry!$L$1176)</f>
        <v/>
      </c>
      <c r="AK1173">
        <f>IF([3]Entry!$M$1176="","",[3]Entry!$M$1176)</f>
        <v/>
      </c>
      <c r="AL1173">
        <f>IF([3]Entry!$N$1176="","",[3]Entry!$N$1176)</f>
        <v/>
      </c>
      <c r="AM1173">
        <f>IF([3]Entry!$R$1176="","",[3]Entry!$R$1176)</f>
        <v/>
      </c>
    </row>
    <row r="1174">
      <c r="T1174">
        <f>IF([2]Baskol!$B$1177="","",[2]Baskol!$B$1177)</f>
        <v/>
      </c>
      <c r="U1174">
        <f>IF([2]Baskol!$C$1177="","",[2]Baskol!$C$1177)</f>
        <v/>
      </c>
      <c r="V1174">
        <f>IF([2]Baskol!$D$1177="","",[2]Baskol!$D$1177)</f>
        <v/>
      </c>
      <c r="W1174">
        <f>IF([2]Baskol!$E$1177="","",[2]Baskol!$E$1177)</f>
        <v/>
      </c>
      <c r="X1174">
        <f>IF([2]Baskol!$G$1177="","",[2]Baskol!$G$1177)</f>
        <v/>
      </c>
      <c r="Y1174">
        <f>IF([2]Baskol!$I$1177="","",[2]Baskol!$I$1177)</f>
        <v/>
      </c>
      <c r="Z1174">
        <f>IF([2]Baskol!$J$1177="","",[2]Baskol!$J$1177)</f>
        <v/>
      </c>
      <c r="AA1174">
        <f>IF([2]Baskol!$K$1177="","",[2]Baskol!$K$1177)</f>
        <v/>
      </c>
      <c r="AB1174">
        <f>IF([2]Baskol!$L$1177="","",[2]Baskol!$L$1177)</f>
        <v/>
      </c>
      <c r="AC1174">
        <f>IF([2]Baskol!$N$1177="","",[2]Baskol!$N$1177)</f>
        <v/>
      </c>
      <c r="AD1174">
        <f>IF([2]Baskol!$O$1177="","",[2]Baskol!$O$1177)</f>
        <v/>
      </c>
      <c r="AE1174">
        <f>IF([3]Entry!$C$1177="","",[3]Entry!$C$1177)</f>
        <v/>
      </c>
      <c r="AF1174">
        <f>IF([3]Entry!$D$1177="","",[3]Entry!$D$1177)</f>
        <v/>
      </c>
      <c r="AG1174">
        <f>IF([3]Entry!$E$1177="","",[3]Entry!$E$1177)</f>
        <v/>
      </c>
      <c r="AH1174">
        <f>IF([3]Entry!$G$1177="","",[3]Entry!$G$1177)</f>
        <v/>
      </c>
      <c r="AI1174">
        <f>IF([3]Entry!$K$1177="","",[3]Entry!$K$1177)</f>
        <v/>
      </c>
      <c r="AJ1174">
        <f>IF([3]Entry!$L$1177="","",[3]Entry!$L$1177)</f>
        <v/>
      </c>
      <c r="AK1174">
        <f>IF([3]Entry!$M$1177="","",[3]Entry!$M$1177)</f>
        <v/>
      </c>
      <c r="AL1174">
        <f>IF([3]Entry!$N$1177="","",[3]Entry!$N$1177)</f>
        <v/>
      </c>
      <c r="AM1174">
        <f>IF([3]Entry!$R$1177="","",[3]Entry!$R$1177)</f>
        <v/>
      </c>
    </row>
    <row r="1175">
      <c r="T1175">
        <f>IF([2]Baskol!$B$1178="","",[2]Baskol!$B$1178)</f>
        <v/>
      </c>
      <c r="U1175">
        <f>IF([2]Baskol!$C$1178="","",[2]Baskol!$C$1178)</f>
        <v/>
      </c>
      <c r="V1175">
        <f>IF([2]Baskol!$D$1178="","",[2]Baskol!$D$1178)</f>
        <v/>
      </c>
      <c r="W1175">
        <f>IF([2]Baskol!$E$1178="","",[2]Baskol!$E$1178)</f>
        <v/>
      </c>
      <c r="X1175">
        <f>IF([2]Baskol!$G$1178="","",[2]Baskol!$G$1178)</f>
        <v/>
      </c>
      <c r="Y1175">
        <f>IF([2]Baskol!$I$1178="","",[2]Baskol!$I$1178)</f>
        <v/>
      </c>
      <c r="Z1175">
        <f>IF([2]Baskol!$J$1178="","",[2]Baskol!$J$1178)</f>
        <v/>
      </c>
      <c r="AA1175">
        <f>IF([2]Baskol!$K$1178="","",[2]Baskol!$K$1178)</f>
        <v/>
      </c>
      <c r="AB1175">
        <f>IF([2]Baskol!$L$1178="","",[2]Baskol!$L$1178)</f>
        <v/>
      </c>
      <c r="AC1175">
        <f>IF([2]Baskol!$N$1178="","",[2]Baskol!$N$1178)</f>
        <v/>
      </c>
      <c r="AD1175">
        <f>IF([2]Baskol!$O$1178="","",[2]Baskol!$O$1178)</f>
        <v/>
      </c>
      <c r="AE1175">
        <f>IF([3]Entry!$C$1178="","",[3]Entry!$C$1178)</f>
        <v/>
      </c>
      <c r="AF1175">
        <f>IF([3]Entry!$D$1178="","",[3]Entry!$D$1178)</f>
        <v/>
      </c>
      <c r="AG1175">
        <f>IF([3]Entry!$E$1178="","",[3]Entry!$E$1178)</f>
        <v/>
      </c>
      <c r="AH1175">
        <f>IF([3]Entry!$G$1178="","",[3]Entry!$G$1178)</f>
        <v/>
      </c>
      <c r="AI1175">
        <f>IF([3]Entry!$K$1178="","",[3]Entry!$K$1178)</f>
        <v/>
      </c>
      <c r="AJ1175">
        <f>IF([3]Entry!$L$1178="","",[3]Entry!$L$1178)</f>
        <v/>
      </c>
      <c r="AK1175">
        <f>IF([3]Entry!$M$1178="","",[3]Entry!$M$1178)</f>
        <v/>
      </c>
      <c r="AL1175">
        <f>IF([3]Entry!$N$1178="","",[3]Entry!$N$1178)</f>
        <v/>
      </c>
      <c r="AM1175">
        <f>IF([3]Entry!$R$1178="","",[3]Entry!$R$1178)</f>
        <v/>
      </c>
    </row>
    <row r="1176">
      <c r="T1176">
        <f>IF([2]Baskol!$B$1179="","",[2]Baskol!$B$1179)</f>
        <v/>
      </c>
      <c r="U1176">
        <f>IF([2]Baskol!$C$1179="","",[2]Baskol!$C$1179)</f>
        <v/>
      </c>
      <c r="V1176">
        <f>IF([2]Baskol!$D$1179="","",[2]Baskol!$D$1179)</f>
        <v/>
      </c>
      <c r="W1176">
        <f>IF([2]Baskol!$E$1179="","",[2]Baskol!$E$1179)</f>
        <v/>
      </c>
      <c r="X1176">
        <f>IF([2]Baskol!$G$1179="","",[2]Baskol!$G$1179)</f>
        <v/>
      </c>
      <c r="Y1176">
        <f>IF([2]Baskol!$I$1179="","",[2]Baskol!$I$1179)</f>
        <v/>
      </c>
      <c r="Z1176">
        <f>IF([2]Baskol!$J$1179="","",[2]Baskol!$J$1179)</f>
        <v/>
      </c>
      <c r="AA1176">
        <f>IF([2]Baskol!$K$1179="","",[2]Baskol!$K$1179)</f>
        <v/>
      </c>
      <c r="AB1176">
        <f>IF([2]Baskol!$L$1179="","",[2]Baskol!$L$1179)</f>
        <v/>
      </c>
      <c r="AC1176">
        <f>IF([2]Baskol!$N$1179="","",[2]Baskol!$N$1179)</f>
        <v/>
      </c>
      <c r="AD1176">
        <f>IF([2]Baskol!$O$1179="","",[2]Baskol!$O$1179)</f>
        <v/>
      </c>
      <c r="AE1176">
        <f>IF([3]Entry!$C$1179="","",[3]Entry!$C$1179)</f>
        <v/>
      </c>
      <c r="AF1176">
        <f>IF([3]Entry!$D$1179="","",[3]Entry!$D$1179)</f>
        <v/>
      </c>
      <c r="AG1176">
        <f>IF([3]Entry!$E$1179="","",[3]Entry!$E$1179)</f>
        <v/>
      </c>
      <c r="AH1176">
        <f>IF([3]Entry!$G$1179="","",[3]Entry!$G$1179)</f>
        <v/>
      </c>
      <c r="AI1176">
        <f>IF([3]Entry!$K$1179="","",[3]Entry!$K$1179)</f>
        <v/>
      </c>
      <c r="AJ1176">
        <f>IF([3]Entry!$L$1179="","",[3]Entry!$L$1179)</f>
        <v/>
      </c>
      <c r="AK1176">
        <f>IF([3]Entry!$M$1179="","",[3]Entry!$M$1179)</f>
        <v/>
      </c>
      <c r="AL1176">
        <f>IF([3]Entry!$N$1179="","",[3]Entry!$N$1179)</f>
        <v/>
      </c>
      <c r="AM1176">
        <f>IF([3]Entry!$R$1179="","",[3]Entry!$R$1179)</f>
        <v/>
      </c>
    </row>
    <row r="1177">
      <c r="T1177">
        <f>IF([2]Baskol!$B$1180="","",[2]Baskol!$B$1180)</f>
        <v/>
      </c>
      <c r="U1177">
        <f>IF([2]Baskol!$C$1180="","",[2]Baskol!$C$1180)</f>
        <v/>
      </c>
      <c r="V1177">
        <f>IF([2]Baskol!$D$1180="","",[2]Baskol!$D$1180)</f>
        <v/>
      </c>
      <c r="W1177">
        <f>IF([2]Baskol!$E$1180="","",[2]Baskol!$E$1180)</f>
        <v/>
      </c>
      <c r="X1177">
        <f>IF([2]Baskol!$G$1180="","",[2]Baskol!$G$1180)</f>
        <v/>
      </c>
      <c r="Y1177">
        <f>IF([2]Baskol!$I$1180="","",[2]Baskol!$I$1180)</f>
        <v/>
      </c>
      <c r="Z1177">
        <f>IF([2]Baskol!$J$1180="","",[2]Baskol!$J$1180)</f>
        <v/>
      </c>
      <c r="AA1177">
        <f>IF([2]Baskol!$K$1180="","",[2]Baskol!$K$1180)</f>
        <v/>
      </c>
      <c r="AB1177">
        <f>IF([2]Baskol!$L$1180="","",[2]Baskol!$L$1180)</f>
        <v/>
      </c>
      <c r="AC1177">
        <f>IF([2]Baskol!$N$1180="","",[2]Baskol!$N$1180)</f>
        <v/>
      </c>
      <c r="AD1177">
        <f>IF([2]Baskol!$O$1180="","",[2]Baskol!$O$1180)</f>
        <v/>
      </c>
      <c r="AE1177">
        <f>IF([3]Entry!$C$1180="","",[3]Entry!$C$1180)</f>
        <v/>
      </c>
      <c r="AF1177">
        <f>IF([3]Entry!$D$1180="","",[3]Entry!$D$1180)</f>
        <v/>
      </c>
      <c r="AG1177">
        <f>IF([3]Entry!$E$1180="","",[3]Entry!$E$1180)</f>
        <v/>
      </c>
      <c r="AH1177">
        <f>IF([3]Entry!$G$1180="","",[3]Entry!$G$1180)</f>
        <v/>
      </c>
      <c r="AI1177">
        <f>IF([3]Entry!$K$1180="","",[3]Entry!$K$1180)</f>
        <v/>
      </c>
      <c r="AJ1177">
        <f>IF([3]Entry!$L$1180="","",[3]Entry!$L$1180)</f>
        <v/>
      </c>
      <c r="AK1177">
        <f>IF([3]Entry!$M$1180="","",[3]Entry!$M$1180)</f>
        <v/>
      </c>
      <c r="AL1177">
        <f>IF([3]Entry!$N$1180="","",[3]Entry!$N$1180)</f>
        <v/>
      </c>
      <c r="AM1177">
        <f>IF([3]Entry!$R$1180="","",[3]Entry!$R$1180)</f>
        <v/>
      </c>
    </row>
    <row r="1178">
      <c r="T1178">
        <f>IF([2]Baskol!$B$1181="","",[2]Baskol!$B$1181)</f>
        <v/>
      </c>
      <c r="U1178">
        <f>IF([2]Baskol!$C$1181="","",[2]Baskol!$C$1181)</f>
        <v/>
      </c>
      <c r="V1178">
        <f>IF([2]Baskol!$D$1181="","",[2]Baskol!$D$1181)</f>
        <v/>
      </c>
      <c r="W1178">
        <f>IF([2]Baskol!$E$1181="","",[2]Baskol!$E$1181)</f>
        <v/>
      </c>
      <c r="X1178">
        <f>IF([2]Baskol!$G$1181="","",[2]Baskol!$G$1181)</f>
        <v/>
      </c>
      <c r="Y1178">
        <f>IF([2]Baskol!$I$1181="","",[2]Baskol!$I$1181)</f>
        <v/>
      </c>
      <c r="Z1178">
        <f>IF([2]Baskol!$J$1181="","",[2]Baskol!$J$1181)</f>
        <v/>
      </c>
      <c r="AA1178">
        <f>IF([2]Baskol!$K$1181="","",[2]Baskol!$K$1181)</f>
        <v/>
      </c>
      <c r="AB1178">
        <f>IF([2]Baskol!$L$1181="","",[2]Baskol!$L$1181)</f>
        <v/>
      </c>
      <c r="AC1178">
        <f>IF([2]Baskol!$N$1181="","",[2]Baskol!$N$1181)</f>
        <v/>
      </c>
      <c r="AD1178">
        <f>IF([2]Baskol!$O$1181="","",[2]Baskol!$O$1181)</f>
        <v/>
      </c>
      <c r="AE1178">
        <f>IF([3]Entry!$C$1181="","",[3]Entry!$C$1181)</f>
        <v/>
      </c>
      <c r="AF1178">
        <f>IF([3]Entry!$D$1181="","",[3]Entry!$D$1181)</f>
        <v/>
      </c>
      <c r="AG1178">
        <f>IF([3]Entry!$E$1181="","",[3]Entry!$E$1181)</f>
        <v/>
      </c>
      <c r="AH1178">
        <f>IF([3]Entry!$G$1181="","",[3]Entry!$G$1181)</f>
        <v/>
      </c>
      <c r="AI1178">
        <f>IF([3]Entry!$K$1181="","",[3]Entry!$K$1181)</f>
        <v/>
      </c>
      <c r="AJ1178">
        <f>IF([3]Entry!$L$1181="","",[3]Entry!$L$1181)</f>
        <v/>
      </c>
      <c r="AK1178">
        <f>IF([3]Entry!$M$1181="","",[3]Entry!$M$1181)</f>
        <v/>
      </c>
      <c r="AL1178">
        <f>IF([3]Entry!$N$1181="","",[3]Entry!$N$1181)</f>
        <v/>
      </c>
      <c r="AM1178">
        <f>IF([3]Entry!$R$1181="","",[3]Entry!$R$1181)</f>
        <v/>
      </c>
    </row>
    <row r="1179">
      <c r="T1179">
        <f>IF([2]Baskol!$B$1182="","",[2]Baskol!$B$1182)</f>
        <v/>
      </c>
      <c r="U1179">
        <f>IF([2]Baskol!$C$1182="","",[2]Baskol!$C$1182)</f>
        <v/>
      </c>
      <c r="V1179">
        <f>IF([2]Baskol!$D$1182="","",[2]Baskol!$D$1182)</f>
        <v/>
      </c>
      <c r="W1179">
        <f>IF([2]Baskol!$E$1182="","",[2]Baskol!$E$1182)</f>
        <v/>
      </c>
      <c r="X1179">
        <f>IF([2]Baskol!$G$1182="","",[2]Baskol!$G$1182)</f>
        <v/>
      </c>
      <c r="Y1179">
        <f>IF([2]Baskol!$I$1182="","",[2]Baskol!$I$1182)</f>
        <v/>
      </c>
      <c r="Z1179">
        <f>IF([2]Baskol!$J$1182="","",[2]Baskol!$J$1182)</f>
        <v/>
      </c>
      <c r="AA1179">
        <f>IF([2]Baskol!$K$1182="","",[2]Baskol!$K$1182)</f>
        <v/>
      </c>
      <c r="AB1179">
        <f>IF([2]Baskol!$L$1182="","",[2]Baskol!$L$1182)</f>
        <v/>
      </c>
      <c r="AC1179">
        <f>IF([2]Baskol!$N$1182="","",[2]Baskol!$N$1182)</f>
        <v/>
      </c>
      <c r="AD1179">
        <f>IF([2]Baskol!$O$1182="","",[2]Baskol!$O$1182)</f>
        <v/>
      </c>
      <c r="AE1179">
        <f>IF([3]Entry!$C$1182="","",[3]Entry!$C$1182)</f>
        <v/>
      </c>
      <c r="AF1179">
        <f>IF([3]Entry!$D$1182="","",[3]Entry!$D$1182)</f>
        <v/>
      </c>
      <c r="AG1179">
        <f>IF([3]Entry!$E$1182="","",[3]Entry!$E$1182)</f>
        <v/>
      </c>
      <c r="AH1179">
        <f>IF([3]Entry!$G$1182="","",[3]Entry!$G$1182)</f>
        <v/>
      </c>
      <c r="AI1179">
        <f>IF([3]Entry!$K$1182="","",[3]Entry!$K$1182)</f>
        <v/>
      </c>
      <c r="AJ1179">
        <f>IF([3]Entry!$L$1182="","",[3]Entry!$L$1182)</f>
        <v/>
      </c>
      <c r="AK1179">
        <f>IF([3]Entry!$M$1182="","",[3]Entry!$M$1182)</f>
        <v/>
      </c>
      <c r="AL1179">
        <f>IF([3]Entry!$N$1182="","",[3]Entry!$N$1182)</f>
        <v/>
      </c>
      <c r="AM1179">
        <f>IF([3]Entry!$R$1182="","",[3]Entry!$R$1182)</f>
        <v/>
      </c>
    </row>
    <row r="1180">
      <c r="T1180">
        <f>IF([2]Baskol!$B$1183="","",[2]Baskol!$B$1183)</f>
        <v/>
      </c>
      <c r="U1180">
        <f>IF([2]Baskol!$C$1183="","",[2]Baskol!$C$1183)</f>
        <v/>
      </c>
      <c r="V1180">
        <f>IF([2]Baskol!$D$1183="","",[2]Baskol!$D$1183)</f>
        <v/>
      </c>
      <c r="W1180">
        <f>IF([2]Baskol!$E$1183="","",[2]Baskol!$E$1183)</f>
        <v/>
      </c>
      <c r="X1180">
        <f>IF([2]Baskol!$G$1183="","",[2]Baskol!$G$1183)</f>
        <v/>
      </c>
      <c r="Y1180">
        <f>IF([2]Baskol!$I$1183="","",[2]Baskol!$I$1183)</f>
        <v/>
      </c>
      <c r="Z1180">
        <f>IF([2]Baskol!$J$1183="","",[2]Baskol!$J$1183)</f>
        <v/>
      </c>
      <c r="AA1180">
        <f>IF([2]Baskol!$K$1183="","",[2]Baskol!$K$1183)</f>
        <v/>
      </c>
      <c r="AB1180">
        <f>IF([2]Baskol!$L$1183="","",[2]Baskol!$L$1183)</f>
        <v/>
      </c>
      <c r="AC1180">
        <f>IF([2]Baskol!$N$1183="","",[2]Baskol!$N$1183)</f>
        <v/>
      </c>
      <c r="AD1180">
        <f>IF([2]Baskol!$O$1183="","",[2]Baskol!$O$1183)</f>
        <v/>
      </c>
      <c r="AE1180">
        <f>IF([3]Entry!$C$1183="","",[3]Entry!$C$1183)</f>
        <v/>
      </c>
      <c r="AF1180">
        <f>IF([3]Entry!$D$1183="","",[3]Entry!$D$1183)</f>
        <v/>
      </c>
      <c r="AG1180">
        <f>IF([3]Entry!$E$1183="","",[3]Entry!$E$1183)</f>
        <v/>
      </c>
      <c r="AH1180">
        <f>IF([3]Entry!$G$1183="","",[3]Entry!$G$1183)</f>
        <v/>
      </c>
      <c r="AI1180">
        <f>IF([3]Entry!$K$1183="","",[3]Entry!$K$1183)</f>
        <v/>
      </c>
      <c r="AJ1180">
        <f>IF([3]Entry!$L$1183="","",[3]Entry!$L$1183)</f>
        <v/>
      </c>
      <c r="AK1180">
        <f>IF([3]Entry!$M$1183="","",[3]Entry!$M$1183)</f>
        <v/>
      </c>
      <c r="AL1180">
        <f>IF([3]Entry!$N$1183="","",[3]Entry!$N$1183)</f>
        <v/>
      </c>
      <c r="AM1180">
        <f>IF([3]Entry!$R$1183="","",[3]Entry!$R$1183)</f>
        <v/>
      </c>
    </row>
    <row r="1181">
      <c r="T1181">
        <f>IF([2]Baskol!$B$1184="","",[2]Baskol!$B$1184)</f>
        <v/>
      </c>
      <c r="U1181">
        <f>IF([2]Baskol!$C$1184="","",[2]Baskol!$C$1184)</f>
        <v/>
      </c>
      <c r="V1181">
        <f>IF([2]Baskol!$D$1184="","",[2]Baskol!$D$1184)</f>
        <v/>
      </c>
      <c r="W1181">
        <f>IF([2]Baskol!$E$1184="","",[2]Baskol!$E$1184)</f>
        <v/>
      </c>
      <c r="X1181">
        <f>IF([2]Baskol!$G$1184="","",[2]Baskol!$G$1184)</f>
        <v/>
      </c>
      <c r="Y1181">
        <f>IF([2]Baskol!$I$1184="","",[2]Baskol!$I$1184)</f>
        <v/>
      </c>
      <c r="Z1181">
        <f>IF([2]Baskol!$J$1184="","",[2]Baskol!$J$1184)</f>
        <v/>
      </c>
      <c r="AA1181">
        <f>IF([2]Baskol!$K$1184="","",[2]Baskol!$K$1184)</f>
        <v/>
      </c>
      <c r="AB1181">
        <f>IF([2]Baskol!$L$1184="","",[2]Baskol!$L$1184)</f>
        <v/>
      </c>
      <c r="AC1181">
        <f>IF([2]Baskol!$N$1184="","",[2]Baskol!$N$1184)</f>
        <v/>
      </c>
      <c r="AD1181">
        <f>IF([2]Baskol!$O$1184="","",[2]Baskol!$O$1184)</f>
        <v/>
      </c>
      <c r="AE1181">
        <f>IF([3]Entry!$C$1184="","",[3]Entry!$C$1184)</f>
        <v/>
      </c>
      <c r="AF1181">
        <f>IF([3]Entry!$D$1184="","",[3]Entry!$D$1184)</f>
        <v/>
      </c>
      <c r="AG1181">
        <f>IF([3]Entry!$E$1184="","",[3]Entry!$E$1184)</f>
        <v/>
      </c>
      <c r="AH1181">
        <f>IF([3]Entry!$G$1184="","",[3]Entry!$G$1184)</f>
        <v/>
      </c>
      <c r="AI1181">
        <f>IF([3]Entry!$K$1184="","",[3]Entry!$K$1184)</f>
        <v/>
      </c>
      <c r="AJ1181">
        <f>IF([3]Entry!$L$1184="","",[3]Entry!$L$1184)</f>
        <v/>
      </c>
      <c r="AK1181">
        <f>IF([3]Entry!$M$1184="","",[3]Entry!$M$1184)</f>
        <v/>
      </c>
      <c r="AL1181">
        <f>IF([3]Entry!$N$1184="","",[3]Entry!$N$1184)</f>
        <v/>
      </c>
      <c r="AM1181">
        <f>IF([3]Entry!$R$1184="","",[3]Entry!$R$1184)</f>
        <v/>
      </c>
    </row>
    <row r="1182">
      <c r="T1182">
        <f>IF([2]Baskol!$B$1185="","",[2]Baskol!$B$1185)</f>
        <v/>
      </c>
      <c r="U1182">
        <f>IF([2]Baskol!$C$1185="","",[2]Baskol!$C$1185)</f>
        <v/>
      </c>
      <c r="V1182">
        <f>IF([2]Baskol!$D$1185="","",[2]Baskol!$D$1185)</f>
        <v/>
      </c>
      <c r="W1182">
        <f>IF([2]Baskol!$E$1185="","",[2]Baskol!$E$1185)</f>
        <v/>
      </c>
      <c r="X1182">
        <f>IF([2]Baskol!$G$1185="","",[2]Baskol!$G$1185)</f>
        <v/>
      </c>
      <c r="Y1182">
        <f>IF([2]Baskol!$I$1185="","",[2]Baskol!$I$1185)</f>
        <v/>
      </c>
      <c r="Z1182">
        <f>IF([2]Baskol!$J$1185="","",[2]Baskol!$J$1185)</f>
        <v/>
      </c>
      <c r="AA1182">
        <f>IF([2]Baskol!$K$1185="","",[2]Baskol!$K$1185)</f>
        <v/>
      </c>
      <c r="AB1182">
        <f>IF([2]Baskol!$L$1185="","",[2]Baskol!$L$1185)</f>
        <v/>
      </c>
      <c r="AC1182">
        <f>IF([2]Baskol!$N$1185="","",[2]Baskol!$N$1185)</f>
        <v/>
      </c>
      <c r="AD1182">
        <f>IF([2]Baskol!$O$1185="","",[2]Baskol!$O$1185)</f>
        <v/>
      </c>
      <c r="AE1182">
        <f>IF([3]Entry!$C$1185="","",[3]Entry!$C$1185)</f>
        <v/>
      </c>
      <c r="AF1182">
        <f>IF([3]Entry!$D$1185="","",[3]Entry!$D$1185)</f>
        <v/>
      </c>
      <c r="AG1182">
        <f>IF([3]Entry!$E$1185="","",[3]Entry!$E$1185)</f>
        <v/>
      </c>
      <c r="AH1182">
        <f>IF([3]Entry!$G$1185="","",[3]Entry!$G$1185)</f>
        <v/>
      </c>
      <c r="AI1182">
        <f>IF([3]Entry!$K$1185="","",[3]Entry!$K$1185)</f>
        <v/>
      </c>
      <c r="AJ1182">
        <f>IF([3]Entry!$L$1185="","",[3]Entry!$L$1185)</f>
        <v/>
      </c>
      <c r="AK1182">
        <f>IF([3]Entry!$M$1185="","",[3]Entry!$M$1185)</f>
        <v/>
      </c>
      <c r="AL1182">
        <f>IF([3]Entry!$N$1185="","",[3]Entry!$N$1185)</f>
        <v/>
      </c>
      <c r="AM1182">
        <f>IF([3]Entry!$R$1185="","",[3]Entry!$R$1185)</f>
        <v/>
      </c>
    </row>
    <row r="1183">
      <c r="T1183">
        <f>IF([2]Baskol!$B$1186="","",[2]Baskol!$B$1186)</f>
        <v/>
      </c>
      <c r="U1183">
        <f>IF([2]Baskol!$C$1186="","",[2]Baskol!$C$1186)</f>
        <v/>
      </c>
      <c r="V1183">
        <f>IF([2]Baskol!$D$1186="","",[2]Baskol!$D$1186)</f>
        <v/>
      </c>
      <c r="W1183">
        <f>IF([2]Baskol!$E$1186="","",[2]Baskol!$E$1186)</f>
        <v/>
      </c>
      <c r="X1183">
        <f>IF([2]Baskol!$G$1186="","",[2]Baskol!$G$1186)</f>
        <v/>
      </c>
      <c r="Y1183">
        <f>IF([2]Baskol!$I$1186="","",[2]Baskol!$I$1186)</f>
        <v/>
      </c>
      <c r="Z1183">
        <f>IF([2]Baskol!$J$1186="","",[2]Baskol!$J$1186)</f>
        <v/>
      </c>
      <c r="AA1183">
        <f>IF([2]Baskol!$K$1186="","",[2]Baskol!$K$1186)</f>
        <v/>
      </c>
      <c r="AB1183">
        <f>IF([2]Baskol!$L$1186="","",[2]Baskol!$L$1186)</f>
        <v/>
      </c>
      <c r="AC1183">
        <f>IF([2]Baskol!$N$1186="","",[2]Baskol!$N$1186)</f>
        <v/>
      </c>
      <c r="AD1183">
        <f>IF([2]Baskol!$O$1186="","",[2]Baskol!$O$1186)</f>
        <v/>
      </c>
      <c r="AE1183">
        <f>IF([3]Entry!$C$1186="","",[3]Entry!$C$1186)</f>
        <v/>
      </c>
      <c r="AF1183">
        <f>IF([3]Entry!$D$1186="","",[3]Entry!$D$1186)</f>
        <v/>
      </c>
      <c r="AG1183">
        <f>IF([3]Entry!$E$1186="","",[3]Entry!$E$1186)</f>
        <v/>
      </c>
      <c r="AH1183">
        <f>IF([3]Entry!$G$1186="","",[3]Entry!$G$1186)</f>
        <v/>
      </c>
      <c r="AI1183">
        <f>IF([3]Entry!$K$1186="","",[3]Entry!$K$1186)</f>
        <v/>
      </c>
      <c r="AJ1183">
        <f>IF([3]Entry!$L$1186="","",[3]Entry!$L$1186)</f>
        <v/>
      </c>
      <c r="AK1183">
        <f>IF([3]Entry!$M$1186="","",[3]Entry!$M$1186)</f>
        <v/>
      </c>
      <c r="AL1183">
        <f>IF([3]Entry!$N$1186="","",[3]Entry!$N$1186)</f>
        <v/>
      </c>
      <c r="AM1183">
        <f>IF([3]Entry!$R$1186="","",[3]Entry!$R$1186)</f>
        <v/>
      </c>
    </row>
    <row r="1184">
      <c r="T1184">
        <f>IF([2]Baskol!$B$1187="","",[2]Baskol!$B$1187)</f>
        <v/>
      </c>
      <c r="U1184">
        <f>IF([2]Baskol!$C$1187="","",[2]Baskol!$C$1187)</f>
        <v/>
      </c>
      <c r="V1184">
        <f>IF([2]Baskol!$D$1187="","",[2]Baskol!$D$1187)</f>
        <v/>
      </c>
      <c r="W1184">
        <f>IF([2]Baskol!$E$1187="","",[2]Baskol!$E$1187)</f>
        <v/>
      </c>
      <c r="X1184">
        <f>IF([2]Baskol!$G$1187="","",[2]Baskol!$G$1187)</f>
        <v/>
      </c>
      <c r="Y1184">
        <f>IF([2]Baskol!$I$1187="","",[2]Baskol!$I$1187)</f>
        <v/>
      </c>
      <c r="Z1184">
        <f>IF([2]Baskol!$J$1187="","",[2]Baskol!$J$1187)</f>
        <v/>
      </c>
      <c r="AA1184">
        <f>IF([2]Baskol!$K$1187="","",[2]Baskol!$K$1187)</f>
        <v/>
      </c>
      <c r="AB1184">
        <f>IF([2]Baskol!$L$1187="","",[2]Baskol!$L$1187)</f>
        <v/>
      </c>
      <c r="AC1184">
        <f>IF([2]Baskol!$N$1187="","",[2]Baskol!$N$1187)</f>
        <v/>
      </c>
      <c r="AD1184">
        <f>IF([2]Baskol!$O$1187="","",[2]Baskol!$O$1187)</f>
        <v/>
      </c>
      <c r="AE1184">
        <f>IF([3]Entry!$C$1187="","",[3]Entry!$C$1187)</f>
        <v/>
      </c>
      <c r="AF1184">
        <f>IF([3]Entry!$D$1187="","",[3]Entry!$D$1187)</f>
        <v/>
      </c>
      <c r="AG1184">
        <f>IF([3]Entry!$E$1187="","",[3]Entry!$E$1187)</f>
        <v/>
      </c>
      <c r="AH1184">
        <f>IF([3]Entry!$G$1187="","",[3]Entry!$G$1187)</f>
        <v/>
      </c>
      <c r="AI1184">
        <f>IF([3]Entry!$K$1187="","",[3]Entry!$K$1187)</f>
        <v/>
      </c>
      <c r="AJ1184">
        <f>IF([3]Entry!$L$1187="","",[3]Entry!$L$1187)</f>
        <v/>
      </c>
      <c r="AK1184">
        <f>IF([3]Entry!$M$1187="","",[3]Entry!$M$1187)</f>
        <v/>
      </c>
      <c r="AL1184">
        <f>IF([3]Entry!$N$1187="","",[3]Entry!$N$1187)</f>
        <v/>
      </c>
      <c r="AM1184">
        <f>IF([3]Entry!$R$1187="","",[3]Entry!$R$1187)</f>
        <v/>
      </c>
    </row>
    <row r="1185">
      <c r="T1185">
        <f>IF([2]Baskol!$B$1188="","",[2]Baskol!$B$1188)</f>
        <v/>
      </c>
      <c r="U1185">
        <f>IF([2]Baskol!$C$1188="","",[2]Baskol!$C$1188)</f>
        <v/>
      </c>
      <c r="V1185">
        <f>IF([2]Baskol!$D$1188="","",[2]Baskol!$D$1188)</f>
        <v/>
      </c>
      <c r="W1185">
        <f>IF([2]Baskol!$E$1188="","",[2]Baskol!$E$1188)</f>
        <v/>
      </c>
      <c r="X1185">
        <f>IF([2]Baskol!$G$1188="","",[2]Baskol!$G$1188)</f>
        <v/>
      </c>
      <c r="Y1185">
        <f>IF([2]Baskol!$I$1188="","",[2]Baskol!$I$1188)</f>
        <v/>
      </c>
      <c r="Z1185">
        <f>IF([2]Baskol!$J$1188="","",[2]Baskol!$J$1188)</f>
        <v/>
      </c>
      <c r="AA1185">
        <f>IF([2]Baskol!$K$1188="","",[2]Baskol!$K$1188)</f>
        <v/>
      </c>
      <c r="AB1185">
        <f>IF([2]Baskol!$L$1188="","",[2]Baskol!$L$1188)</f>
        <v/>
      </c>
      <c r="AC1185">
        <f>IF([2]Baskol!$N$1188="","",[2]Baskol!$N$1188)</f>
        <v/>
      </c>
      <c r="AD1185">
        <f>IF([2]Baskol!$O$1188="","",[2]Baskol!$O$1188)</f>
        <v/>
      </c>
      <c r="AE1185">
        <f>IF([3]Entry!$C$1188="","",[3]Entry!$C$1188)</f>
        <v/>
      </c>
      <c r="AF1185">
        <f>IF([3]Entry!$D$1188="","",[3]Entry!$D$1188)</f>
        <v/>
      </c>
      <c r="AG1185">
        <f>IF([3]Entry!$E$1188="","",[3]Entry!$E$1188)</f>
        <v/>
      </c>
      <c r="AH1185">
        <f>IF([3]Entry!$G$1188="","",[3]Entry!$G$1188)</f>
        <v/>
      </c>
      <c r="AI1185">
        <f>IF([3]Entry!$K$1188="","",[3]Entry!$K$1188)</f>
        <v/>
      </c>
      <c r="AJ1185">
        <f>IF([3]Entry!$L$1188="","",[3]Entry!$L$1188)</f>
        <v/>
      </c>
      <c r="AK1185">
        <f>IF([3]Entry!$M$1188="","",[3]Entry!$M$1188)</f>
        <v/>
      </c>
      <c r="AL1185">
        <f>IF([3]Entry!$N$1188="","",[3]Entry!$N$1188)</f>
        <v/>
      </c>
      <c r="AM1185">
        <f>IF([3]Entry!$R$1188="","",[3]Entry!$R$1188)</f>
        <v/>
      </c>
    </row>
    <row r="1186">
      <c r="T1186">
        <f>IF([2]Baskol!$B$1189="","",[2]Baskol!$B$1189)</f>
        <v/>
      </c>
      <c r="U1186">
        <f>IF([2]Baskol!$C$1189="","",[2]Baskol!$C$1189)</f>
        <v/>
      </c>
      <c r="V1186">
        <f>IF([2]Baskol!$D$1189="","",[2]Baskol!$D$1189)</f>
        <v/>
      </c>
      <c r="W1186">
        <f>IF([2]Baskol!$E$1189="","",[2]Baskol!$E$1189)</f>
        <v/>
      </c>
      <c r="X1186">
        <f>IF([2]Baskol!$G$1189="","",[2]Baskol!$G$1189)</f>
        <v/>
      </c>
      <c r="Y1186">
        <f>IF([2]Baskol!$I$1189="","",[2]Baskol!$I$1189)</f>
        <v/>
      </c>
      <c r="Z1186">
        <f>IF([2]Baskol!$J$1189="","",[2]Baskol!$J$1189)</f>
        <v/>
      </c>
      <c r="AA1186">
        <f>IF([2]Baskol!$K$1189="","",[2]Baskol!$K$1189)</f>
        <v/>
      </c>
      <c r="AB1186">
        <f>IF([2]Baskol!$L$1189="","",[2]Baskol!$L$1189)</f>
        <v/>
      </c>
      <c r="AC1186">
        <f>IF([2]Baskol!$N$1189="","",[2]Baskol!$N$1189)</f>
        <v/>
      </c>
      <c r="AD1186">
        <f>IF([2]Baskol!$O$1189="","",[2]Baskol!$O$1189)</f>
        <v/>
      </c>
      <c r="AE1186">
        <f>IF([3]Entry!$C$1189="","",[3]Entry!$C$1189)</f>
        <v/>
      </c>
      <c r="AF1186">
        <f>IF([3]Entry!$D$1189="","",[3]Entry!$D$1189)</f>
        <v/>
      </c>
      <c r="AG1186">
        <f>IF([3]Entry!$E$1189="","",[3]Entry!$E$1189)</f>
        <v/>
      </c>
      <c r="AH1186">
        <f>IF([3]Entry!$G$1189="","",[3]Entry!$G$1189)</f>
        <v/>
      </c>
      <c r="AI1186">
        <f>IF([3]Entry!$K$1189="","",[3]Entry!$K$1189)</f>
        <v/>
      </c>
      <c r="AJ1186">
        <f>IF([3]Entry!$L$1189="","",[3]Entry!$L$1189)</f>
        <v/>
      </c>
      <c r="AK1186">
        <f>IF([3]Entry!$M$1189="","",[3]Entry!$M$1189)</f>
        <v/>
      </c>
      <c r="AL1186">
        <f>IF([3]Entry!$N$1189="","",[3]Entry!$N$1189)</f>
        <v/>
      </c>
      <c r="AM1186">
        <f>IF([3]Entry!$R$1189="","",[3]Entry!$R$1189)</f>
        <v/>
      </c>
    </row>
    <row r="1187">
      <c r="T1187">
        <f>IF([2]Baskol!$B$1190="","",[2]Baskol!$B$1190)</f>
        <v/>
      </c>
      <c r="U1187">
        <f>IF([2]Baskol!$C$1190="","",[2]Baskol!$C$1190)</f>
        <v/>
      </c>
      <c r="V1187">
        <f>IF([2]Baskol!$D$1190="","",[2]Baskol!$D$1190)</f>
        <v/>
      </c>
      <c r="W1187">
        <f>IF([2]Baskol!$E$1190="","",[2]Baskol!$E$1190)</f>
        <v/>
      </c>
      <c r="X1187">
        <f>IF([2]Baskol!$G$1190="","",[2]Baskol!$G$1190)</f>
        <v/>
      </c>
      <c r="Y1187">
        <f>IF([2]Baskol!$I$1190="","",[2]Baskol!$I$1190)</f>
        <v/>
      </c>
      <c r="Z1187">
        <f>IF([2]Baskol!$J$1190="","",[2]Baskol!$J$1190)</f>
        <v/>
      </c>
      <c r="AA1187">
        <f>IF([2]Baskol!$K$1190="","",[2]Baskol!$K$1190)</f>
        <v/>
      </c>
      <c r="AB1187">
        <f>IF([2]Baskol!$L$1190="","",[2]Baskol!$L$1190)</f>
        <v/>
      </c>
      <c r="AC1187">
        <f>IF([2]Baskol!$N$1190="","",[2]Baskol!$N$1190)</f>
        <v/>
      </c>
      <c r="AD1187">
        <f>IF([2]Baskol!$O$1190="","",[2]Baskol!$O$1190)</f>
        <v/>
      </c>
      <c r="AE1187">
        <f>IF([3]Entry!$C$1190="","",[3]Entry!$C$1190)</f>
        <v/>
      </c>
      <c r="AF1187">
        <f>IF([3]Entry!$D$1190="","",[3]Entry!$D$1190)</f>
        <v/>
      </c>
      <c r="AG1187">
        <f>IF([3]Entry!$E$1190="","",[3]Entry!$E$1190)</f>
        <v/>
      </c>
      <c r="AH1187">
        <f>IF([3]Entry!$G$1190="","",[3]Entry!$G$1190)</f>
        <v/>
      </c>
      <c r="AI1187">
        <f>IF([3]Entry!$K$1190="","",[3]Entry!$K$1190)</f>
        <v/>
      </c>
      <c r="AJ1187">
        <f>IF([3]Entry!$L$1190="","",[3]Entry!$L$1190)</f>
        <v/>
      </c>
      <c r="AK1187">
        <f>IF([3]Entry!$M$1190="","",[3]Entry!$M$1190)</f>
        <v/>
      </c>
      <c r="AL1187">
        <f>IF([3]Entry!$N$1190="","",[3]Entry!$N$1190)</f>
        <v/>
      </c>
      <c r="AM1187">
        <f>IF([3]Entry!$R$1190="","",[3]Entry!$R$1190)</f>
        <v/>
      </c>
    </row>
    <row r="1188">
      <c r="T1188">
        <f>IF([2]Baskol!$B$1191="","",[2]Baskol!$B$1191)</f>
        <v/>
      </c>
      <c r="U1188">
        <f>IF([2]Baskol!$C$1191="","",[2]Baskol!$C$1191)</f>
        <v/>
      </c>
      <c r="V1188">
        <f>IF([2]Baskol!$D$1191="","",[2]Baskol!$D$1191)</f>
        <v/>
      </c>
      <c r="W1188">
        <f>IF([2]Baskol!$E$1191="","",[2]Baskol!$E$1191)</f>
        <v/>
      </c>
      <c r="X1188">
        <f>IF([2]Baskol!$G$1191="","",[2]Baskol!$G$1191)</f>
        <v/>
      </c>
      <c r="Y1188">
        <f>IF([2]Baskol!$I$1191="","",[2]Baskol!$I$1191)</f>
        <v/>
      </c>
      <c r="Z1188">
        <f>IF([2]Baskol!$J$1191="","",[2]Baskol!$J$1191)</f>
        <v/>
      </c>
      <c r="AA1188">
        <f>IF([2]Baskol!$K$1191="","",[2]Baskol!$K$1191)</f>
        <v/>
      </c>
      <c r="AB1188">
        <f>IF([2]Baskol!$L$1191="","",[2]Baskol!$L$1191)</f>
        <v/>
      </c>
      <c r="AC1188">
        <f>IF([2]Baskol!$N$1191="","",[2]Baskol!$N$1191)</f>
        <v/>
      </c>
      <c r="AD1188">
        <f>IF([2]Baskol!$O$1191="","",[2]Baskol!$O$1191)</f>
        <v/>
      </c>
      <c r="AE1188">
        <f>IF([3]Entry!$C$1191="","",[3]Entry!$C$1191)</f>
        <v/>
      </c>
      <c r="AF1188">
        <f>IF([3]Entry!$D$1191="","",[3]Entry!$D$1191)</f>
        <v/>
      </c>
      <c r="AG1188">
        <f>IF([3]Entry!$E$1191="","",[3]Entry!$E$1191)</f>
        <v/>
      </c>
      <c r="AH1188">
        <f>IF([3]Entry!$G$1191="","",[3]Entry!$G$1191)</f>
        <v/>
      </c>
      <c r="AI1188">
        <f>IF([3]Entry!$K$1191="","",[3]Entry!$K$1191)</f>
        <v/>
      </c>
      <c r="AJ1188">
        <f>IF([3]Entry!$L$1191="","",[3]Entry!$L$1191)</f>
        <v/>
      </c>
      <c r="AK1188">
        <f>IF([3]Entry!$M$1191="","",[3]Entry!$M$1191)</f>
        <v/>
      </c>
      <c r="AL1188">
        <f>IF([3]Entry!$N$1191="","",[3]Entry!$N$1191)</f>
        <v/>
      </c>
      <c r="AM1188">
        <f>IF([3]Entry!$R$1191="","",[3]Entry!$R$1191)</f>
        <v/>
      </c>
    </row>
    <row r="1189">
      <c r="T1189">
        <f>IF([2]Baskol!$B$1192="","",[2]Baskol!$B$1192)</f>
        <v/>
      </c>
      <c r="U1189">
        <f>IF([2]Baskol!$C$1192="","",[2]Baskol!$C$1192)</f>
        <v/>
      </c>
      <c r="V1189">
        <f>IF([2]Baskol!$D$1192="","",[2]Baskol!$D$1192)</f>
        <v/>
      </c>
      <c r="W1189">
        <f>IF([2]Baskol!$E$1192="","",[2]Baskol!$E$1192)</f>
        <v/>
      </c>
      <c r="X1189">
        <f>IF([2]Baskol!$G$1192="","",[2]Baskol!$G$1192)</f>
        <v/>
      </c>
      <c r="Y1189">
        <f>IF([2]Baskol!$I$1192="","",[2]Baskol!$I$1192)</f>
        <v/>
      </c>
      <c r="Z1189">
        <f>IF([2]Baskol!$J$1192="","",[2]Baskol!$J$1192)</f>
        <v/>
      </c>
      <c r="AA1189">
        <f>IF([2]Baskol!$K$1192="","",[2]Baskol!$K$1192)</f>
        <v/>
      </c>
      <c r="AB1189">
        <f>IF([2]Baskol!$L$1192="","",[2]Baskol!$L$1192)</f>
        <v/>
      </c>
      <c r="AC1189">
        <f>IF([2]Baskol!$N$1192="","",[2]Baskol!$N$1192)</f>
        <v/>
      </c>
      <c r="AD1189">
        <f>IF([2]Baskol!$O$1192="","",[2]Baskol!$O$1192)</f>
        <v/>
      </c>
      <c r="AE1189">
        <f>IF([3]Entry!$C$1192="","",[3]Entry!$C$1192)</f>
        <v/>
      </c>
      <c r="AF1189">
        <f>IF([3]Entry!$D$1192="","",[3]Entry!$D$1192)</f>
        <v/>
      </c>
      <c r="AG1189">
        <f>IF([3]Entry!$E$1192="","",[3]Entry!$E$1192)</f>
        <v/>
      </c>
      <c r="AH1189">
        <f>IF([3]Entry!$G$1192="","",[3]Entry!$G$1192)</f>
        <v/>
      </c>
      <c r="AI1189">
        <f>IF([3]Entry!$K$1192="","",[3]Entry!$K$1192)</f>
        <v/>
      </c>
      <c r="AJ1189">
        <f>IF([3]Entry!$L$1192="","",[3]Entry!$L$1192)</f>
        <v/>
      </c>
      <c r="AK1189">
        <f>IF([3]Entry!$M$1192="","",[3]Entry!$M$1192)</f>
        <v/>
      </c>
      <c r="AL1189">
        <f>IF([3]Entry!$N$1192="","",[3]Entry!$N$1192)</f>
        <v/>
      </c>
      <c r="AM1189">
        <f>IF([3]Entry!$R$1192="","",[3]Entry!$R$1192)</f>
        <v/>
      </c>
    </row>
    <row r="1190">
      <c r="T1190">
        <f>IF([2]Baskol!$B$1193="","",[2]Baskol!$B$1193)</f>
        <v/>
      </c>
      <c r="U1190">
        <f>IF([2]Baskol!$C$1193="","",[2]Baskol!$C$1193)</f>
        <v/>
      </c>
      <c r="V1190">
        <f>IF([2]Baskol!$D$1193="","",[2]Baskol!$D$1193)</f>
        <v/>
      </c>
      <c r="W1190">
        <f>IF([2]Baskol!$E$1193="","",[2]Baskol!$E$1193)</f>
        <v/>
      </c>
      <c r="X1190">
        <f>IF([2]Baskol!$G$1193="","",[2]Baskol!$G$1193)</f>
        <v/>
      </c>
      <c r="Y1190">
        <f>IF([2]Baskol!$I$1193="","",[2]Baskol!$I$1193)</f>
        <v/>
      </c>
      <c r="Z1190">
        <f>IF([2]Baskol!$J$1193="","",[2]Baskol!$J$1193)</f>
        <v/>
      </c>
      <c r="AA1190">
        <f>IF([2]Baskol!$K$1193="","",[2]Baskol!$K$1193)</f>
        <v/>
      </c>
      <c r="AB1190">
        <f>IF([2]Baskol!$L$1193="","",[2]Baskol!$L$1193)</f>
        <v/>
      </c>
      <c r="AC1190">
        <f>IF([2]Baskol!$N$1193="","",[2]Baskol!$N$1193)</f>
        <v/>
      </c>
      <c r="AD1190">
        <f>IF([2]Baskol!$O$1193="","",[2]Baskol!$O$1193)</f>
        <v/>
      </c>
      <c r="AE1190">
        <f>IF([3]Entry!$C$1193="","",[3]Entry!$C$1193)</f>
        <v/>
      </c>
      <c r="AF1190">
        <f>IF([3]Entry!$D$1193="","",[3]Entry!$D$1193)</f>
        <v/>
      </c>
      <c r="AG1190">
        <f>IF([3]Entry!$E$1193="","",[3]Entry!$E$1193)</f>
        <v/>
      </c>
      <c r="AH1190">
        <f>IF([3]Entry!$G$1193="","",[3]Entry!$G$1193)</f>
        <v/>
      </c>
      <c r="AI1190">
        <f>IF([3]Entry!$K$1193="","",[3]Entry!$K$1193)</f>
        <v/>
      </c>
      <c r="AJ1190">
        <f>IF([3]Entry!$L$1193="","",[3]Entry!$L$1193)</f>
        <v/>
      </c>
      <c r="AK1190">
        <f>IF([3]Entry!$M$1193="","",[3]Entry!$M$1193)</f>
        <v/>
      </c>
      <c r="AL1190">
        <f>IF([3]Entry!$N$1193="","",[3]Entry!$N$1193)</f>
        <v/>
      </c>
      <c r="AM1190">
        <f>IF([3]Entry!$R$1193="","",[3]Entry!$R$1193)</f>
        <v/>
      </c>
    </row>
    <row r="1191">
      <c r="T1191">
        <f>IF([2]Baskol!$B$1194="","",[2]Baskol!$B$1194)</f>
        <v/>
      </c>
      <c r="U1191">
        <f>IF([2]Baskol!$C$1194="","",[2]Baskol!$C$1194)</f>
        <v/>
      </c>
      <c r="V1191">
        <f>IF([2]Baskol!$D$1194="","",[2]Baskol!$D$1194)</f>
        <v/>
      </c>
      <c r="W1191">
        <f>IF([2]Baskol!$E$1194="","",[2]Baskol!$E$1194)</f>
        <v/>
      </c>
      <c r="X1191">
        <f>IF([2]Baskol!$G$1194="","",[2]Baskol!$G$1194)</f>
        <v/>
      </c>
      <c r="Y1191">
        <f>IF([2]Baskol!$I$1194="","",[2]Baskol!$I$1194)</f>
        <v/>
      </c>
      <c r="Z1191">
        <f>IF([2]Baskol!$J$1194="","",[2]Baskol!$J$1194)</f>
        <v/>
      </c>
      <c r="AA1191">
        <f>IF([2]Baskol!$K$1194="","",[2]Baskol!$K$1194)</f>
        <v/>
      </c>
      <c r="AB1191">
        <f>IF([2]Baskol!$L$1194="","",[2]Baskol!$L$1194)</f>
        <v/>
      </c>
      <c r="AC1191">
        <f>IF([2]Baskol!$N$1194="","",[2]Baskol!$N$1194)</f>
        <v/>
      </c>
      <c r="AD1191">
        <f>IF([2]Baskol!$O$1194="","",[2]Baskol!$O$1194)</f>
        <v/>
      </c>
      <c r="AE1191">
        <f>IF([3]Entry!$C$1194="","",[3]Entry!$C$1194)</f>
        <v/>
      </c>
      <c r="AF1191">
        <f>IF([3]Entry!$D$1194="","",[3]Entry!$D$1194)</f>
        <v/>
      </c>
      <c r="AG1191">
        <f>IF([3]Entry!$E$1194="","",[3]Entry!$E$1194)</f>
        <v/>
      </c>
      <c r="AH1191">
        <f>IF([3]Entry!$G$1194="","",[3]Entry!$G$1194)</f>
        <v/>
      </c>
      <c r="AI1191">
        <f>IF([3]Entry!$K$1194="","",[3]Entry!$K$1194)</f>
        <v/>
      </c>
      <c r="AJ1191">
        <f>IF([3]Entry!$L$1194="","",[3]Entry!$L$1194)</f>
        <v/>
      </c>
      <c r="AK1191">
        <f>IF([3]Entry!$M$1194="","",[3]Entry!$M$1194)</f>
        <v/>
      </c>
      <c r="AL1191">
        <f>IF([3]Entry!$N$1194="","",[3]Entry!$N$1194)</f>
        <v/>
      </c>
      <c r="AM1191">
        <f>IF([3]Entry!$R$1194="","",[3]Entry!$R$1194)</f>
        <v/>
      </c>
    </row>
    <row r="1192">
      <c r="T1192">
        <f>IF([2]Baskol!$B$1195="","",[2]Baskol!$B$1195)</f>
        <v/>
      </c>
      <c r="U1192">
        <f>IF([2]Baskol!$C$1195="","",[2]Baskol!$C$1195)</f>
        <v/>
      </c>
      <c r="V1192">
        <f>IF([2]Baskol!$D$1195="","",[2]Baskol!$D$1195)</f>
        <v/>
      </c>
      <c r="W1192">
        <f>IF([2]Baskol!$E$1195="","",[2]Baskol!$E$1195)</f>
        <v/>
      </c>
      <c r="X1192">
        <f>IF([2]Baskol!$G$1195="","",[2]Baskol!$G$1195)</f>
        <v/>
      </c>
      <c r="Y1192">
        <f>IF([2]Baskol!$I$1195="","",[2]Baskol!$I$1195)</f>
        <v/>
      </c>
      <c r="Z1192">
        <f>IF([2]Baskol!$J$1195="","",[2]Baskol!$J$1195)</f>
        <v/>
      </c>
      <c r="AA1192">
        <f>IF([2]Baskol!$K$1195="","",[2]Baskol!$K$1195)</f>
        <v/>
      </c>
      <c r="AB1192">
        <f>IF([2]Baskol!$L$1195="","",[2]Baskol!$L$1195)</f>
        <v/>
      </c>
      <c r="AC1192">
        <f>IF([2]Baskol!$N$1195="","",[2]Baskol!$N$1195)</f>
        <v/>
      </c>
      <c r="AD1192">
        <f>IF([2]Baskol!$O$1195="","",[2]Baskol!$O$1195)</f>
        <v/>
      </c>
      <c r="AE1192">
        <f>IF([3]Entry!$C$1195="","",[3]Entry!$C$1195)</f>
        <v/>
      </c>
      <c r="AF1192">
        <f>IF([3]Entry!$D$1195="","",[3]Entry!$D$1195)</f>
        <v/>
      </c>
      <c r="AG1192">
        <f>IF([3]Entry!$E$1195="","",[3]Entry!$E$1195)</f>
        <v/>
      </c>
      <c r="AH1192">
        <f>IF([3]Entry!$G$1195="","",[3]Entry!$G$1195)</f>
        <v/>
      </c>
      <c r="AI1192">
        <f>IF([3]Entry!$K$1195="","",[3]Entry!$K$1195)</f>
        <v/>
      </c>
      <c r="AJ1192">
        <f>IF([3]Entry!$L$1195="","",[3]Entry!$L$1195)</f>
        <v/>
      </c>
      <c r="AK1192">
        <f>IF([3]Entry!$M$1195="","",[3]Entry!$M$1195)</f>
        <v/>
      </c>
      <c r="AL1192">
        <f>IF([3]Entry!$N$1195="","",[3]Entry!$N$1195)</f>
        <v/>
      </c>
      <c r="AM1192">
        <f>IF([3]Entry!$R$1195="","",[3]Entry!$R$1195)</f>
        <v/>
      </c>
    </row>
    <row r="1193">
      <c r="T1193">
        <f>IF([2]Baskol!$B$1196="","",[2]Baskol!$B$1196)</f>
        <v/>
      </c>
      <c r="U1193">
        <f>IF([2]Baskol!$C$1196="","",[2]Baskol!$C$1196)</f>
        <v/>
      </c>
      <c r="V1193">
        <f>IF([2]Baskol!$D$1196="","",[2]Baskol!$D$1196)</f>
        <v/>
      </c>
      <c r="W1193">
        <f>IF([2]Baskol!$E$1196="","",[2]Baskol!$E$1196)</f>
        <v/>
      </c>
      <c r="X1193">
        <f>IF([2]Baskol!$G$1196="","",[2]Baskol!$G$1196)</f>
        <v/>
      </c>
      <c r="Y1193">
        <f>IF([2]Baskol!$I$1196="","",[2]Baskol!$I$1196)</f>
        <v/>
      </c>
      <c r="Z1193">
        <f>IF([2]Baskol!$J$1196="","",[2]Baskol!$J$1196)</f>
        <v/>
      </c>
      <c r="AA1193">
        <f>IF([2]Baskol!$K$1196="","",[2]Baskol!$K$1196)</f>
        <v/>
      </c>
      <c r="AB1193">
        <f>IF([2]Baskol!$L$1196="","",[2]Baskol!$L$1196)</f>
        <v/>
      </c>
      <c r="AC1193">
        <f>IF([2]Baskol!$N$1196="","",[2]Baskol!$N$1196)</f>
        <v/>
      </c>
      <c r="AD1193">
        <f>IF([2]Baskol!$O$1196="","",[2]Baskol!$O$1196)</f>
        <v/>
      </c>
      <c r="AE1193">
        <f>IF([3]Entry!$C$1196="","",[3]Entry!$C$1196)</f>
        <v/>
      </c>
      <c r="AF1193">
        <f>IF([3]Entry!$D$1196="","",[3]Entry!$D$1196)</f>
        <v/>
      </c>
      <c r="AG1193">
        <f>IF([3]Entry!$E$1196="","",[3]Entry!$E$1196)</f>
        <v/>
      </c>
      <c r="AH1193">
        <f>IF([3]Entry!$G$1196="","",[3]Entry!$G$1196)</f>
        <v/>
      </c>
      <c r="AI1193">
        <f>IF([3]Entry!$K$1196="","",[3]Entry!$K$1196)</f>
        <v/>
      </c>
      <c r="AJ1193">
        <f>IF([3]Entry!$L$1196="","",[3]Entry!$L$1196)</f>
        <v/>
      </c>
      <c r="AK1193">
        <f>IF([3]Entry!$M$1196="","",[3]Entry!$M$1196)</f>
        <v/>
      </c>
      <c r="AL1193">
        <f>IF([3]Entry!$N$1196="","",[3]Entry!$N$1196)</f>
        <v/>
      </c>
      <c r="AM1193">
        <f>IF([3]Entry!$R$1196="","",[3]Entry!$R$1196)</f>
        <v/>
      </c>
    </row>
    <row r="1194">
      <c r="T1194">
        <f>IF([2]Baskol!$B$1197="","",[2]Baskol!$B$1197)</f>
        <v/>
      </c>
      <c r="U1194">
        <f>IF([2]Baskol!$C$1197="","",[2]Baskol!$C$1197)</f>
        <v/>
      </c>
      <c r="V1194">
        <f>IF([2]Baskol!$D$1197="","",[2]Baskol!$D$1197)</f>
        <v/>
      </c>
      <c r="W1194">
        <f>IF([2]Baskol!$E$1197="","",[2]Baskol!$E$1197)</f>
        <v/>
      </c>
      <c r="X1194">
        <f>IF([2]Baskol!$G$1197="","",[2]Baskol!$G$1197)</f>
        <v/>
      </c>
      <c r="Y1194">
        <f>IF([2]Baskol!$I$1197="","",[2]Baskol!$I$1197)</f>
        <v/>
      </c>
      <c r="Z1194">
        <f>IF([2]Baskol!$J$1197="","",[2]Baskol!$J$1197)</f>
        <v/>
      </c>
      <c r="AA1194">
        <f>IF([2]Baskol!$K$1197="","",[2]Baskol!$K$1197)</f>
        <v/>
      </c>
      <c r="AB1194">
        <f>IF([2]Baskol!$L$1197="","",[2]Baskol!$L$1197)</f>
        <v/>
      </c>
      <c r="AC1194">
        <f>IF([2]Baskol!$N$1197="","",[2]Baskol!$N$1197)</f>
        <v/>
      </c>
      <c r="AD1194">
        <f>IF([2]Baskol!$O$1197="","",[2]Baskol!$O$1197)</f>
        <v/>
      </c>
      <c r="AE1194">
        <f>IF([3]Entry!$C$1197="","",[3]Entry!$C$1197)</f>
        <v/>
      </c>
      <c r="AF1194">
        <f>IF([3]Entry!$D$1197="","",[3]Entry!$D$1197)</f>
        <v/>
      </c>
      <c r="AG1194">
        <f>IF([3]Entry!$E$1197="","",[3]Entry!$E$1197)</f>
        <v/>
      </c>
      <c r="AH1194">
        <f>IF([3]Entry!$G$1197="","",[3]Entry!$G$1197)</f>
        <v/>
      </c>
      <c r="AI1194">
        <f>IF([3]Entry!$K$1197="","",[3]Entry!$K$1197)</f>
        <v/>
      </c>
      <c r="AJ1194">
        <f>IF([3]Entry!$L$1197="","",[3]Entry!$L$1197)</f>
        <v/>
      </c>
      <c r="AK1194">
        <f>IF([3]Entry!$M$1197="","",[3]Entry!$M$1197)</f>
        <v/>
      </c>
      <c r="AL1194">
        <f>IF([3]Entry!$N$1197="","",[3]Entry!$N$1197)</f>
        <v/>
      </c>
      <c r="AM1194">
        <f>IF([3]Entry!$R$1197="","",[3]Entry!$R$1197)</f>
        <v/>
      </c>
    </row>
    <row r="1195">
      <c r="T1195">
        <f>IF([2]Baskol!$B$1198="","",[2]Baskol!$B$1198)</f>
        <v/>
      </c>
      <c r="U1195">
        <f>IF([2]Baskol!$C$1198="","",[2]Baskol!$C$1198)</f>
        <v/>
      </c>
      <c r="V1195">
        <f>IF([2]Baskol!$D$1198="","",[2]Baskol!$D$1198)</f>
        <v/>
      </c>
      <c r="W1195">
        <f>IF([2]Baskol!$E$1198="","",[2]Baskol!$E$1198)</f>
        <v/>
      </c>
      <c r="X1195">
        <f>IF([2]Baskol!$G$1198="","",[2]Baskol!$G$1198)</f>
        <v/>
      </c>
      <c r="Y1195">
        <f>IF([2]Baskol!$I$1198="","",[2]Baskol!$I$1198)</f>
        <v/>
      </c>
      <c r="Z1195">
        <f>IF([2]Baskol!$J$1198="","",[2]Baskol!$J$1198)</f>
        <v/>
      </c>
      <c r="AA1195">
        <f>IF([2]Baskol!$K$1198="","",[2]Baskol!$K$1198)</f>
        <v/>
      </c>
      <c r="AB1195">
        <f>IF([2]Baskol!$L$1198="","",[2]Baskol!$L$1198)</f>
        <v/>
      </c>
      <c r="AC1195">
        <f>IF([2]Baskol!$N$1198="","",[2]Baskol!$N$1198)</f>
        <v/>
      </c>
      <c r="AD1195">
        <f>IF([2]Baskol!$O$1198="","",[2]Baskol!$O$1198)</f>
        <v/>
      </c>
      <c r="AE1195">
        <f>IF([3]Entry!$C$1198="","",[3]Entry!$C$1198)</f>
        <v/>
      </c>
      <c r="AF1195">
        <f>IF([3]Entry!$D$1198="","",[3]Entry!$D$1198)</f>
        <v/>
      </c>
      <c r="AG1195">
        <f>IF([3]Entry!$E$1198="","",[3]Entry!$E$1198)</f>
        <v/>
      </c>
      <c r="AH1195">
        <f>IF([3]Entry!$G$1198="","",[3]Entry!$G$1198)</f>
        <v/>
      </c>
      <c r="AI1195">
        <f>IF([3]Entry!$K$1198="","",[3]Entry!$K$1198)</f>
        <v/>
      </c>
      <c r="AJ1195">
        <f>IF([3]Entry!$L$1198="","",[3]Entry!$L$1198)</f>
        <v/>
      </c>
      <c r="AK1195">
        <f>IF([3]Entry!$M$1198="","",[3]Entry!$M$1198)</f>
        <v/>
      </c>
      <c r="AL1195">
        <f>IF([3]Entry!$N$1198="","",[3]Entry!$N$1198)</f>
        <v/>
      </c>
      <c r="AM1195">
        <f>IF([3]Entry!$R$1198="","",[3]Entry!$R$1198)</f>
        <v/>
      </c>
    </row>
    <row r="1196">
      <c r="T1196">
        <f>IF([2]Baskol!$B$1199="","",[2]Baskol!$B$1199)</f>
        <v/>
      </c>
      <c r="U1196">
        <f>IF([2]Baskol!$C$1199="","",[2]Baskol!$C$1199)</f>
        <v/>
      </c>
      <c r="V1196">
        <f>IF([2]Baskol!$D$1199="","",[2]Baskol!$D$1199)</f>
        <v/>
      </c>
      <c r="W1196">
        <f>IF([2]Baskol!$E$1199="","",[2]Baskol!$E$1199)</f>
        <v/>
      </c>
      <c r="X1196">
        <f>IF([2]Baskol!$G$1199="","",[2]Baskol!$G$1199)</f>
        <v/>
      </c>
      <c r="Y1196">
        <f>IF([2]Baskol!$I$1199="","",[2]Baskol!$I$1199)</f>
        <v/>
      </c>
      <c r="Z1196">
        <f>IF([2]Baskol!$J$1199="","",[2]Baskol!$J$1199)</f>
        <v/>
      </c>
      <c r="AA1196">
        <f>IF([2]Baskol!$K$1199="","",[2]Baskol!$K$1199)</f>
        <v/>
      </c>
      <c r="AB1196">
        <f>IF([2]Baskol!$L$1199="","",[2]Baskol!$L$1199)</f>
        <v/>
      </c>
      <c r="AC1196">
        <f>IF([2]Baskol!$N$1199="","",[2]Baskol!$N$1199)</f>
        <v/>
      </c>
      <c r="AD1196">
        <f>IF([2]Baskol!$O$1199="","",[2]Baskol!$O$1199)</f>
        <v/>
      </c>
      <c r="AE1196">
        <f>IF([3]Entry!$C$1199="","",[3]Entry!$C$1199)</f>
        <v/>
      </c>
      <c r="AF1196">
        <f>IF([3]Entry!$D$1199="","",[3]Entry!$D$1199)</f>
        <v/>
      </c>
      <c r="AG1196">
        <f>IF([3]Entry!$E$1199="","",[3]Entry!$E$1199)</f>
        <v/>
      </c>
      <c r="AH1196">
        <f>IF([3]Entry!$G$1199="","",[3]Entry!$G$1199)</f>
        <v/>
      </c>
      <c r="AI1196">
        <f>IF([3]Entry!$K$1199="","",[3]Entry!$K$1199)</f>
        <v/>
      </c>
      <c r="AJ1196">
        <f>IF([3]Entry!$L$1199="","",[3]Entry!$L$1199)</f>
        <v/>
      </c>
      <c r="AK1196">
        <f>IF([3]Entry!$M$1199="","",[3]Entry!$M$1199)</f>
        <v/>
      </c>
      <c r="AL1196">
        <f>IF([3]Entry!$N$1199="","",[3]Entry!$N$1199)</f>
        <v/>
      </c>
      <c r="AM1196">
        <f>IF([3]Entry!$R$1199="","",[3]Entry!$R$1199)</f>
        <v/>
      </c>
    </row>
    <row r="1197">
      <c r="T1197">
        <f>IF([2]Baskol!$B$1200="","",[2]Baskol!$B$1200)</f>
        <v/>
      </c>
      <c r="U1197">
        <f>IF([2]Baskol!$C$1200="","",[2]Baskol!$C$1200)</f>
        <v/>
      </c>
      <c r="V1197">
        <f>IF([2]Baskol!$D$1200="","",[2]Baskol!$D$1200)</f>
        <v/>
      </c>
      <c r="W1197">
        <f>IF([2]Baskol!$E$1200="","",[2]Baskol!$E$1200)</f>
        <v/>
      </c>
      <c r="X1197">
        <f>IF([2]Baskol!$G$1200="","",[2]Baskol!$G$1200)</f>
        <v/>
      </c>
      <c r="Y1197">
        <f>IF([2]Baskol!$I$1200="","",[2]Baskol!$I$1200)</f>
        <v/>
      </c>
      <c r="Z1197">
        <f>IF([2]Baskol!$J$1200="","",[2]Baskol!$J$1200)</f>
        <v/>
      </c>
      <c r="AA1197">
        <f>IF([2]Baskol!$K$1200="","",[2]Baskol!$K$1200)</f>
        <v/>
      </c>
      <c r="AB1197">
        <f>IF([2]Baskol!$L$1200="","",[2]Baskol!$L$1200)</f>
        <v/>
      </c>
      <c r="AC1197">
        <f>IF([2]Baskol!$N$1200="","",[2]Baskol!$N$1200)</f>
        <v/>
      </c>
      <c r="AD1197">
        <f>IF([2]Baskol!$O$1200="","",[2]Baskol!$O$1200)</f>
        <v/>
      </c>
      <c r="AE1197">
        <f>IF([3]Entry!$C$1200="","",[3]Entry!$C$1200)</f>
        <v/>
      </c>
      <c r="AF1197">
        <f>IF([3]Entry!$D$1200="","",[3]Entry!$D$1200)</f>
        <v/>
      </c>
      <c r="AG1197">
        <f>IF([3]Entry!$E$1200="","",[3]Entry!$E$1200)</f>
        <v/>
      </c>
      <c r="AH1197">
        <f>IF([3]Entry!$G$1200="","",[3]Entry!$G$1200)</f>
        <v/>
      </c>
      <c r="AI1197">
        <f>IF([3]Entry!$K$1200="","",[3]Entry!$K$1200)</f>
        <v/>
      </c>
      <c r="AJ1197">
        <f>IF([3]Entry!$L$1200="","",[3]Entry!$L$1200)</f>
        <v/>
      </c>
      <c r="AK1197">
        <f>IF([3]Entry!$M$1200="","",[3]Entry!$M$1200)</f>
        <v/>
      </c>
      <c r="AL1197">
        <f>IF([3]Entry!$N$1200="","",[3]Entry!$N$1200)</f>
        <v/>
      </c>
      <c r="AM1197">
        <f>IF([3]Entry!$R$1200="","",[3]Entry!$R$1200)</f>
        <v/>
      </c>
    </row>
    <row r="1198">
      <c r="T1198">
        <f>IF([2]Baskol!$B$1201="","",[2]Baskol!$B$1201)</f>
        <v/>
      </c>
      <c r="U1198">
        <f>IF([2]Baskol!$C$1201="","",[2]Baskol!$C$1201)</f>
        <v/>
      </c>
      <c r="V1198">
        <f>IF([2]Baskol!$D$1201="","",[2]Baskol!$D$1201)</f>
        <v/>
      </c>
      <c r="W1198">
        <f>IF([2]Baskol!$E$1201="","",[2]Baskol!$E$1201)</f>
        <v/>
      </c>
      <c r="X1198">
        <f>IF([2]Baskol!$G$1201="","",[2]Baskol!$G$1201)</f>
        <v/>
      </c>
      <c r="Y1198">
        <f>IF([2]Baskol!$I$1201="","",[2]Baskol!$I$1201)</f>
        <v/>
      </c>
      <c r="Z1198">
        <f>IF([2]Baskol!$J$1201="","",[2]Baskol!$J$1201)</f>
        <v/>
      </c>
      <c r="AA1198">
        <f>IF([2]Baskol!$K$1201="","",[2]Baskol!$K$1201)</f>
        <v/>
      </c>
      <c r="AB1198">
        <f>IF([2]Baskol!$L$1201="","",[2]Baskol!$L$1201)</f>
        <v/>
      </c>
      <c r="AC1198">
        <f>IF([2]Baskol!$N$1201="","",[2]Baskol!$N$1201)</f>
        <v/>
      </c>
      <c r="AD1198">
        <f>IF([2]Baskol!$O$1201="","",[2]Baskol!$O$1201)</f>
        <v/>
      </c>
      <c r="AE1198">
        <f>IF([3]Entry!$C$1201="","",[3]Entry!$C$1201)</f>
        <v/>
      </c>
      <c r="AF1198">
        <f>IF([3]Entry!$D$1201="","",[3]Entry!$D$1201)</f>
        <v/>
      </c>
      <c r="AG1198">
        <f>IF([3]Entry!$E$1201="","",[3]Entry!$E$1201)</f>
        <v/>
      </c>
      <c r="AH1198">
        <f>IF([3]Entry!$G$1201="","",[3]Entry!$G$1201)</f>
        <v/>
      </c>
      <c r="AI1198">
        <f>IF([3]Entry!$K$1201="","",[3]Entry!$K$1201)</f>
        <v/>
      </c>
      <c r="AJ1198">
        <f>IF([3]Entry!$L$1201="","",[3]Entry!$L$1201)</f>
        <v/>
      </c>
      <c r="AK1198">
        <f>IF([3]Entry!$M$1201="","",[3]Entry!$M$1201)</f>
        <v/>
      </c>
      <c r="AL1198">
        <f>IF([3]Entry!$N$1201="","",[3]Entry!$N$1201)</f>
        <v/>
      </c>
      <c r="AM1198">
        <f>IF([3]Entry!$R$1201="","",[3]Entry!$R$1201)</f>
        <v/>
      </c>
    </row>
    <row r="1199">
      <c r="T1199">
        <f>IF([2]Baskol!$B$1202="","",[2]Baskol!$B$1202)</f>
        <v/>
      </c>
      <c r="U1199">
        <f>IF([2]Baskol!$C$1202="","",[2]Baskol!$C$1202)</f>
        <v/>
      </c>
      <c r="V1199">
        <f>IF([2]Baskol!$D$1202="","",[2]Baskol!$D$1202)</f>
        <v/>
      </c>
      <c r="W1199">
        <f>IF([2]Baskol!$E$1202="","",[2]Baskol!$E$1202)</f>
        <v/>
      </c>
      <c r="X1199">
        <f>IF([2]Baskol!$G$1202="","",[2]Baskol!$G$1202)</f>
        <v/>
      </c>
      <c r="Y1199">
        <f>IF([2]Baskol!$I$1202="","",[2]Baskol!$I$1202)</f>
        <v/>
      </c>
      <c r="Z1199">
        <f>IF([2]Baskol!$J$1202="","",[2]Baskol!$J$1202)</f>
        <v/>
      </c>
      <c r="AA1199">
        <f>IF([2]Baskol!$K$1202="","",[2]Baskol!$K$1202)</f>
        <v/>
      </c>
      <c r="AB1199">
        <f>IF([2]Baskol!$L$1202="","",[2]Baskol!$L$1202)</f>
        <v/>
      </c>
      <c r="AC1199">
        <f>IF([2]Baskol!$N$1202="","",[2]Baskol!$N$1202)</f>
        <v/>
      </c>
      <c r="AD1199">
        <f>IF([2]Baskol!$O$1202="","",[2]Baskol!$O$1202)</f>
        <v/>
      </c>
      <c r="AE1199">
        <f>IF([3]Entry!$C$1202="","",[3]Entry!$C$1202)</f>
        <v/>
      </c>
      <c r="AF1199">
        <f>IF([3]Entry!$D$1202="","",[3]Entry!$D$1202)</f>
        <v/>
      </c>
      <c r="AG1199">
        <f>IF([3]Entry!$E$1202="","",[3]Entry!$E$1202)</f>
        <v/>
      </c>
      <c r="AH1199">
        <f>IF([3]Entry!$G$1202="","",[3]Entry!$G$1202)</f>
        <v/>
      </c>
      <c r="AI1199">
        <f>IF([3]Entry!$K$1202="","",[3]Entry!$K$1202)</f>
        <v/>
      </c>
      <c r="AJ1199">
        <f>IF([3]Entry!$L$1202="","",[3]Entry!$L$1202)</f>
        <v/>
      </c>
      <c r="AK1199">
        <f>IF([3]Entry!$M$1202="","",[3]Entry!$M$1202)</f>
        <v/>
      </c>
      <c r="AL1199">
        <f>IF([3]Entry!$N$1202="","",[3]Entry!$N$1202)</f>
        <v/>
      </c>
      <c r="AM1199">
        <f>IF([3]Entry!$R$1202="","",[3]Entry!$R$1202)</f>
        <v/>
      </c>
    </row>
    <row r="1200">
      <c r="T1200">
        <f>IF([2]Baskol!$B$1203="","",[2]Baskol!$B$1203)</f>
        <v/>
      </c>
      <c r="U1200">
        <f>IF([2]Baskol!$C$1203="","",[2]Baskol!$C$1203)</f>
        <v/>
      </c>
      <c r="V1200">
        <f>IF([2]Baskol!$D$1203="","",[2]Baskol!$D$1203)</f>
        <v/>
      </c>
      <c r="W1200">
        <f>IF([2]Baskol!$E$1203="","",[2]Baskol!$E$1203)</f>
        <v/>
      </c>
      <c r="X1200">
        <f>IF([2]Baskol!$G$1203="","",[2]Baskol!$G$1203)</f>
        <v/>
      </c>
      <c r="Y1200">
        <f>IF([2]Baskol!$I$1203="","",[2]Baskol!$I$1203)</f>
        <v/>
      </c>
      <c r="Z1200">
        <f>IF([2]Baskol!$J$1203="","",[2]Baskol!$J$1203)</f>
        <v/>
      </c>
      <c r="AA1200">
        <f>IF([2]Baskol!$K$1203="","",[2]Baskol!$K$1203)</f>
        <v/>
      </c>
      <c r="AB1200">
        <f>IF([2]Baskol!$L$1203="","",[2]Baskol!$L$1203)</f>
        <v/>
      </c>
      <c r="AC1200">
        <f>IF([2]Baskol!$N$1203="","",[2]Baskol!$N$1203)</f>
        <v/>
      </c>
      <c r="AD1200">
        <f>IF([2]Baskol!$O$1203="","",[2]Baskol!$O$1203)</f>
        <v/>
      </c>
      <c r="AE1200">
        <f>IF([3]Entry!$C$1203="","",[3]Entry!$C$1203)</f>
        <v/>
      </c>
      <c r="AF1200">
        <f>IF([3]Entry!$D$1203="","",[3]Entry!$D$1203)</f>
        <v/>
      </c>
      <c r="AG1200">
        <f>IF([3]Entry!$E$1203="","",[3]Entry!$E$1203)</f>
        <v/>
      </c>
      <c r="AH1200">
        <f>IF([3]Entry!$G$1203="","",[3]Entry!$G$1203)</f>
        <v/>
      </c>
      <c r="AI1200">
        <f>IF([3]Entry!$K$1203="","",[3]Entry!$K$1203)</f>
        <v/>
      </c>
      <c r="AJ1200">
        <f>IF([3]Entry!$L$1203="","",[3]Entry!$L$1203)</f>
        <v/>
      </c>
      <c r="AK1200">
        <f>IF([3]Entry!$M$1203="","",[3]Entry!$M$1203)</f>
        <v/>
      </c>
      <c r="AL1200">
        <f>IF([3]Entry!$N$1203="","",[3]Entry!$N$1203)</f>
        <v/>
      </c>
      <c r="AM1200">
        <f>IF([3]Entry!$R$1203="","",[3]Entry!$R$1203)</f>
        <v/>
      </c>
    </row>
    <row r="1201">
      <c r="T1201">
        <f>IF([2]Baskol!$B$1204="","",[2]Baskol!$B$1204)</f>
        <v/>
      </c>
      <c r="U1201">
        <f>IF([2]Baskol!$C$1204="","",[2]Baskol!$C$1204)</f>
        <v/>
      </c>
      <c r="V1201">
        <f>IF([2]Baskol!$D$1204="","",[2]Baskol!$D$1204)</f>
        <v/>
      </c>
      <c r="W1201">
        <f>IF([2]Baskol!$E$1204="","",[2]Baskol!$E$1204)</f>
        <v/>
      </c>
      <c r="X1201">
        <f>IF([2]Baskol!$G$1204="","",[2]Baskol!$G$1204)</f>
        <v/>
      </c>
      <c r="Y1201">
        <f>IF([2]Baskol!$I$1204="","",[2]Baskol!$I$1204)</f>
        <v/>
      </c>
      <c r="Z1201">
        <f>IF([2]Baskol!$J$1204="","",[2]Baskol!$J$1204)</f>
        <v/>
      </c>
      <c r="AA1201">
        <f>IF([2]Baskol!$K$1204="","",[2]Baskol!$K$1204)</f>
        <v/>
      </c>
      <c r="AB1201">
        <f>IF([2]Baskol!$L$1204="","",[2]Baskol!$L$1204)</f>
        <v/>
      </c>
      <c r="AC1201">
        <f>IF([2]Baskol!$N$1204="","",[2]Baskol!$N$1204)</f>
        <v/>
      </c>
      <c r="AD1201">
        <f>IF([2]Baskol!$O$1204="","",[2]Baskol!$O$1204)</f>
        <v/>
      </c>
      <c r="AE1201">
        <f>IF([3]Entry!$C$1204="","",[3]Entry!$C$1204)</f>
        <v/>
      </c>
      <c r="AF1201">
        <f>IF([3]Entry!$D$1204="","",[3]Entry!$D$1204)</f>
        <v/>
      </c>
      <c r="AG1201">
        <f>IF([3]Entry!$E$1204="","",[3]Entry!$E$1204)</f>
        <v/>
      </c>
      <c r="AH1201">
        <f>IF([3]Entry!$G$1204="","",[3]Entry!$G$1204)</f>
        <v/>
      </c>
      <c r="AI1201">
        <f>IF([3]Entry!$K$1204="","",[3]Entry!$K$1204)</f>
        <v/>
      </c>
      <c r="AJ1201">
        <f>IF([3]Entry!$L$1204="","",[3]Entry!$L$1204)</f>
        <v/>
      </c>
      <c r="AK1201">
        <f>IF([3]Entry!$M$1204="","",[3]Entry!$M$1204)</f>
        <v/>
      </c>
      <c r="AL1201">
        <f>IF([3]Entry!$N$1204="","",[3]Entry!$N$1204)</f>
        <v/>
      </c>
      <c r="AM1201">
        <f>IF([3]Entry!$R$1204="","",[3]Entry!$R$1204)</f>
        <v/>
      </c>
    </row>
    <row r="1202">
      <c r="T1202">
        <f>IF([2]Baskol!$B$1205="","",[2]Baskol!$B$1205)</f>
        <v/>
      </c>
      <c r="U1202">
        <f>IF([2]Baskol!$C$1205="","",[2]Baskol!$C$1205)</f>
        <v/>
      </c>
      <c r="V1202">
        <f>IF([2]Baskol!$D$1205="","",[2]Baskol!$D$1205)</f>
        <v/>
      </c>
      <c r="W1202">
        <f>IF([2]Baskol!$E$1205="","",[2]Baskol!$E$1205)</f>
        <v/>
      </c>
      <c r="X1202">
        <f>IF([2]Baskol!$G$1205="","",[2]Baskol!$G$1205)</f>
        <v/>
      </c>
      <c r="Y1202">
        <f>IF([2]Baskol!$I$1205="","",[2]Baskol!$I$1205)</f>
        <v/>
      </c>
      <c r="Z1202">
        <f>IF([2]Baskol!$J$1205="","",[2]Baskol!$J$1205)</f>
        <v/>
      </c>
      <c r="AA1202">
        <f>IF([2]Baskol!$K$1205="","",[2]Baskol!$K$1205)</f>
        <v/>
      </c>
      <c r="AB1202">
        <f>IF([2]Baskol!$L$1205="","",[2]Baskol!$L$1205)</f>
        <v/>
      </c>
      <c r="AC1202">
        <f>IF([2]Baskol!$N$1205="","",[2]Baskol!$N$1205)</f>
        <v/>
      </c>
      <c r="AD1202">
        <f>IF([2]Baskol!$O$1205="","",[2]Baskol!$O$1205)</f>
        <v/>
      </c>
      <c r="AE1202">
        <f>IF([3]Entry!$C$1205="","",[3]Entry!$C$1205)</f>
        <v/>
      </c>
      <c r="AF1202">
        <f>IF([3]Entry!$D$1205="","",[3]Entry!$D$1205)</f>
        <v/>
      </c>
      <c r="AG1202">
        <f>IF([3]Entry!$E$1205="","",[3]Entry!$E$1205)</f>
        <v/>
      </c>
      <c r="AH1202">
        <f>IF([3]Entry!$G$1205="","",[3]Entry!$G$1205)</f>
        <v/>
      </c>
      <c r="AI1202">
        <f>IF([3]Entry!$K$1205="","",[3]Entry!$K$1205)</f>
        <v/>
      </c>
      <c r="AJ1202">
        <f>IF([3]Entry!$L$1205="","",[3]Entry!$L$1205)</f>
        <v/>
      </c>
      <c r="AK1202">
        <f>IF([3]Entry!$M$1205="","",[3]Entry!$M$1205)</f>
        <v/>
      </c>
      <c r="AL1202">
        <f>IF([3]Entry!$N$1205="","",[3]Entry!$N$1205)</f>
        <v/>
      </c>
      <c r="AM1202">
        <f>IF([3]Entry!$R$1205="","",[3]Entry!$R$1205)</f>
        <v/>
      </c>
    </row>
    <row r="1203">
      <c r="T1203">
        <f>IF([2]Baskol!$B$1206="","",[2]Baskol!$B$1206)</f>
        <v/>
      </c>
      <c r="U1203">
        <f>IF([2]Baskol!$C$1206="","",[2]Baskol!$C$1206)</f>
        <v/>
      </c>
      <c r="V1203">
        <f>IF([2]Baskol!$D$1206="","",[2]Baskol!$D$1206)</f>
        <v/>
      </c>
      <c r="W1203">
        <f>IF([2]Baskol!$E$1206="","",[2]Baskol!$E$1206)</f>
        <v/>
      </c>
      <c r="X1203">
        <f>IF([2]Baskol!$G$1206="","",[2]Baskol!$G$1206)</f>
        <v/>
      </c>
      <c r="Y1203">
        <f>IF([2]Baskol!$I$1206="","",[2]Baskol!$I$1206)</f>
        <v/>
      </c>
      <c r="Z1203">
        <f>IF([2]Baskol!$J$1206="","",[2]Baskol!$J$1206)</f>
        <v/>
      </c>
      <c r="AA1203">
        <f>IF([2]Baskol!$K$1206="","",[2]Baskol!$K$1206)</f>
        <v/>
      </c>
      <c r="AB1203">
        <f>IF([2]Baskol!$L$1206="","",[2]Baskol!$L$1206)</f>
        <v/>
      </c>
      <c r="AC1203">
        <f>IF([2]Baskol!$N$1206="","",[2]Baskol!$N$1206)</f>
        <v/>
      </c>
      <c r="AD1203">
        <f>IF([2]Baskol!$O$1206="","",[2]Baskol!$O$1206)</f>
        <v/>
      </c>
      <c r="AE1203">
        <f>IF([3]Entry!$C$1206="","",[3]Entry!$C$1206)</f>
        <v/>
      </c>
      <c r="AF1203">
        <f>IF([3]Entry!$D$1206="","",[3]Entry!$D$1206)</f>
        <v/>
      </c>
      <c r="AG1203">
        <f>IF([3]Entry!$E$1206="","",[3]Entry!$E$1206)</f>
        <v/>
      </c>
      <c r="AH1203">
        <f>IF([3]Entry!$G$1206="","",[3]Entry!$G$1206)</f>
        <v/>
      </c>
      <c r="AI1203">
        <f>IF([3]Entry!$K$1206="","",[3]Entry!$K$1206)</f>
        <v/>
      </c>
      <c r="AJ1203">
        <f>IF([3]Entry!$L$1206="","",[3]Entry!$L$1206)</f>
        <v/>
      </c>
      <c r="AK1203">
        <f>IF([3]Entry!$M$1206="","",[3]Entry!$M$1206)</f>
        <v/>
      </c>
      <c r="AL1203">
        <f>IF([3]Entry!$N$1206="","",[3]Entry!$N$1206)</f>
        <v/>
      </c>
      <c r="AM1203">
        <f>IF([3]Entry!$R$1206="","",[3]Entry!$R$1206)</f>
        <v/>
      </c>
    </row>
    <row r="1204">
      <c r="T1204">
        <f>IF([2]Baskol!$B$1207="","",[2]Baskol!$B$1207)</f>
        <v/>
      </c>
      <c r="U1204">
        <f>IF([2]Baskol!$C$1207="","",[2]Baskol!$C$1207)</f>
        <v/>
      </c>
      <c r="V1204">
        <f>IF([2]Baskol!$D$1207="","",[2]Baskol!$D$1207)</f>
        <v/>
      </c>
      <c r="W1204">
        <f>IF([2]Baskol!$E$1207="","",[2]Baskol!$E$1207)</f>
        <v/>
      </c>
      <c r="X1204">
        <f>IF([2]Baskol!$G$1207="","",[2]Baskol!$G$1207)</f>
        <v/>
      </c>
      <c r="Y1204">
        <f>IF([2]Baskol!$I$1207="","",[2]Baskol!$I$1207)</f>
        <v/>
      </c>
      <c r="Z1204">
        <f>IF([2]Baskol!$J$1207="","",[2]Baskol!$J$1207)</f>
        <v/>
      </c>
      <c r="AA1204">
        <f>IF([2]Baskol!$K$1207="","",[2]Baskol!$K$1207)</f>
        <v/>
      </c>
      <c r="AB1204">
        <f>IF([2]Baskol!$L$1207="","",[2]Baskol!$L$1207)</f>
        <v/>
      </c>
      <c r="AC1204">
        <f>IF([2]Baskol!$N$1207="","",[2]Baskol!$N$1207)</f>
        <v/>
      </c>
      <c r="AD1204">
        <f>IF([2]Baskol!$O$1207="","",[2]Baskol!$O$1207)</f>
        <v/>
      </c>
      <c r="AE1204">
        <f>IF([3]Entry!$C$1207="","",[3]Entry!$C$1207)</f>
        <v/>
      </c>
      <c r="AF1204">
        <f>IF([3]Entry!$D$1207="","",[3]Entry!$D$1207)</f>
        <v/>
      </c>
      <c r="AG1204">
        <f>IF([3]Entry!$E$1207="","",[3]Entry!$E$1207)</f>
        <v/>
      </c>
      <c r="AH1204">
        <f>IF([3]Entry!$G$1207="","",[3]Entry!$G$1207)</f>
        <v/>
      </c>
      <c r="AI1204">
        <f>IF([3]Entry!$K$1207="","",[3]Entry!$K$1207)</f>
        <v/>
      </c>
      <c r="AJ1204">
        <f>IF([3]Entry!$L$1207="","",[3]Entry!$L$1207)</f>
        <v/>
      </c>
      <c r="AK1204">
        <f>IF([3]Entry!$M$1207="","",[3]Entry!$M$1207)</f>
        <v/>
      </c>
      <c r="AL1204">
        <f>IF([3]Entry!$N$1207="","",[3]Entry!$N$1207)</f>
        <v/>
      </c>
      <c r="AM1204">
        <f>IF([3]Entry!$R$1207="","",[3]Entry!$R$1207)</f>
        <v/>
      </c>
    </row>
    <row r="1205">
      <c r="T1205">
        <f>IF([2]Baskol!$B$1208="","",[2]Baskol!$B$1208)</f>
        <v/>
      </c>
      <c r="U1205">
        <f>IF([2]Baskol!$C$1208="","",[2]Baskol!$C$1208)</f>
        <v/>
      </c>
      <c r="V1205">
        <f>IF([2]Baskol!$D$1208="","",[2]Baskol!$D$1208)</f>
        <v/>
      </c>
      <c r="W1205">
        <f>IF([2]Baskol!$E$1208="","",[2]Baskol!$E$1208)</f>
        <v/>
      </c>
      <c r="X1205">
        <f>IF([2]Baskol!$G$1208="","",[2]Baskol!$G$1208)</f>
        <v/>
      </c>
      <c r="Y1205">
        <f>IF([2]Baskol!$I$1208="","",[2]Baskol!$I$1208)</f>
        <v/>
      </c>
      <c r="Z1205">
        <f>IF([2]Baskol!$J$1208="","",[2]Baskol!$J$1208)</f>
        <v/>
      </c>
      <c r="AA1205">
        <f>IF([2]Baskol!$K$1208="","",[2]Baskol!$K$1208)</f>
        <v/>
      </c>
      <c r="AB1205">
        <f>IF([2]Baskol!$L$1208="","",[2]Baskol!$L$1208)</f>
        <v/>
      </c>
      <c r="AC1205">
        <f>IF([2]Baskol!$N$1208="","",[2]Baskol!$N$1208)</f>
        <v/>
      </c>
      <c r="AD1205">
        <f>IF([2]Baskol!$O$1208="","",[2]Baskol!$O$1208)</f>
        <v/>
      </c>
      <c r="AE1205">
        <f>IF([3]Entry!$C$1208="","",[3]Entry!$C$1208)</f>
        <v/>
      </c>
      <c r="AF1205">
        <f>IF([3]Entry!$D$1208="","",[3]Entry!$D$1208)</f>
        <v/>
      </c>
      <c r="AG1205">
        <f>IF([3]Entry!$E$1208="","",[3]Entry!$E$1208)</f>
        <v/>
      </c>
      <c r="AH1205">
        <f>IF([3]Entry!$G$1208="","",[3]Entry!$G$1208)</f>
        <v/>
      </c>
      <c r="AI1205">
        <f>IF([3]Entry!$K$1208="","",[3]Entry!$K$1208)</f>
        <v/>
      </c>
      <c r="AJ1205">
        <f>IF([3]Entry!$L$1208="","",[3]Entry!$L$1208)</f>
        <v/>
      </c>
      <c r="AK1205">
        <f>IF([3]Entry!$M$1208="","",[3]Entry!$M$1208)</f>
        <v/>
      </c>
      <c r="AL1205">
        <f>IF([3]Entry!$N$1208="","",[3]Entry!$N$1208)</f>
        <v/>
      </c>
      <c r="AM1205">
        <f>IF([3]Entry!$R$1208="","",[3]Entry!$R$1208)</f>
        <v/>
      </c>
    </row>
    <row r="1206">
      <c r="T1206">
        <f>IF([2]Baskol!$B$1209="","",[2]Baskol!$B$1209)</f>
        <v/>
      </c>
      <c r="U1206">
        <f>IF([2]Baskol!$C$1209="","",[2]Baskol!$C$1209)</f>
        <v/>
      </c>
      <c r="V1206">
        <f>IF([2]Baskol!$D$1209="","",[2]Baskol!$D$1209)</f>
        <v/>
      </c>
      <c r="W1206">
        <f>IF([2]Baskol!$E$1209="","",[2]Baskol!$E$1209)</f>
        <v/>
      </c>
      <c r="X1206">
        <f>IF([2]Baskol!$G$1209="","",[2]Baskol!$G$1209)</f>
        <v/>
      </c>
      <c r="Y1206">
        <f>IF([2]Baskol!$I$1209="","",[2]Baskol!$I$1209)</f>
        <v/>
      </c>
      <c r="Z1206">
        <f>IF([2]Baskol!$J$1209="","",[2]Baskol!$J$1209)</f>
        <v/>
      </c>
      <c r="AA1206">
        <f>IF([2]Baskol!$K$1209="","",[2]Baskol!$K$1209)</f>
        <v/>
      </c>
      <c r="AB1206">
        <f>IF([2]Baskol!$L$1209="","",[2]Baskol!$L$1209)</f>
        <v/>
      </c>
      <c r="AC1206">
        <f>IF([2]Baskol!$N$1209="","",[2]Baskol!$N$1209)</f>
        <v/>
      </c>
      <c r="AD1206">
        <f>IF([2]Baskol!$O$1209="","",[2]Baskol!$O$1209)</f>
        <v/>
      </c>
      <c r="AE1206">
        <f>IF([3]Entry!$C$1209="","",[3]Entry!$C$1209)</f>
        <v/>
      </c>
      <c r="AF1206">
        <f>IF([3]Entry!$D$1209="","",[3]Entry!$D$1209)</f>
        <v/>
      </c>
      <c r="AG1206">
        <f>IF([3]Entry!$E$1209="","",[3]Entry!$E$1209)</f>
        <v/>
      </c>
      <c r="AH1206">
        <f>IF([3]Entry!$G$1209="","",[3]Entry!$G$1209)</f>
        <v/>
      </c>
      <c r="AI1206">
        <f>IF([3]Entry!$K$1209="","",[3]Entry!$K$1209)</f>
        <v/>
      </c>
      <c r="AJ1206">
        <f>IF([3]Entry!$L$1209="","",[3]Entry!$L$1209)</f>
        <v/>
      </c>
      <c r="AK1206">
        <f>IF([3]Entry!$M$1209="","",[3]Entry!$M$1209)</f>
        <v/>
      </c>
      <c r="AL1206">
        <f>IF([3]Entry!$N$1209="","",[3]Entry!$N$1209)</f>
        <v/>
      </c>
      <c r="AM1206">
        <f>IF([3]Entry!$R$1209="","",[3]Entry!$R$1209)</f>
        <v/>
      </c>
    </row>
    <row r="1207">
      <c r="T1207">
        <f>IF([2]Baskol!$B$1210="","",[2]Baskol!$B$1210)</f>
        <v/>
      </c>
      <c r="U1207">
        <f>IF([2]Baskol!$C$1210="","",[2]Baskol!$C$1210)</f>
        <v/>
      </c>
      <c r="V1207">
        <f>IF([2]Baskol!$D$1210="","",[2]Baskol!$D$1210)</f>
        <v/>
      </c>
      <c r="W1207">
        <f>IF([2]Baskol!$E$1210="","",[2]Baskol!$E$1210)</f>
        <v/>
      </c>
      <c r="X1207">
        <f>IF([2]Baskol!$G$1210="","",[2]Baskol!$G$1210)</f>
        <v/>
      </c>
      <c r="Y1207">
        <f>IF([2]Baskol!$I$1210="","",[2]Baskol!$I$1210)</f>
        <v/>
      </c>
      <c r="Z1207">
        <f>IF([2]Baskol!$J$1210="","",[2]Baskol!$J$1210)</f>
        <v/>
      </c>
      <c r="AA1207">
        <f>IF([2]Baskol!$K$1210="","",[2]Baskol!$K$1210)</f>
        <v/>
      </c>
      <c r="AB1207">
        <f>IF([2]Baskol!$L$1210="","",[2]Baskol!$L$1210)</f>
        <v/>
      </c>
      <c r="AC1207">
        <f>IF([2]Baskol!$N$1210="","",[2]Baskol!$N$1210)</f>
        <v/>
      </c>
      <c r="AD1207">
        <f>IF([2]Baskol!$O$1210="","",[2]Baskol!$O$1210)</f>
        <v/>
      </c>
      <c r="AE1207">
        <f>IF([3]Entry!$C$1210="","",[3]Entry!$C$1210)</f>
        <v/>
      </c>
      <c r="AF1207">
        <f>IF([3]Entry!$D$1210="","",[3]Entry!$D$1210)</f>
        <v/>
      </c>
      <c r="AG1207">
        <f>IF([3]Entry!$E$1210="","",[3]Entry!$E$1210)</f>
        <v/>
      </c>
      <c r="AH1207">
        <f>IF([3]Entry!$G$1210="","",[3]Entry!$G$1210)</f>
        <v/>
      </c>
      <c r="AI1207">
        <f>IF([3]Entry!$K$1210="","",[3]Entry!$K$1210)</f>
        <v/>
      </c>
      <c r="AJ1207">
        <f>IF([3]Entry!$L$1210="","",[3]Entry!$L$1210)</f>
        <v/>
      </c>
      <c r="AK1207">
        <f>IF([3]Entry!$M$1210="","",[3]Entry!$M$1210)</f>
        <v/>
      </c>
      <c r="AL1207">
        <f>IF([3]Entry!$N$1210="","",[3]Entry!$N$1210)</f>
        <v/>
      </c>
      <c r="AM1207">
        <f>IF([3]Entry!$R$1210="","",[3]Entry!$R$1210)</f>
        <v/>
      </c>
    </row>
    <row r="1208">
      <c r="T1208">
        <f>IF([2]Baskol!$B$1211="","",[2]Baskol!$B$1211)</f>
        <v/>
      </c>
      <c r="U1208">
        <f>IF([2]Baskol!$C$1211="","",[2]Baskol!$C$1211)</f>
        <v/>
      </c>
      <c r="V1208">
        <f>IF([2]Baskol!$D$1211="","",[2]Baskol!$D$1211)</f>
        <v/>
      </c>
      <c r="W1208">
        <f>IF([2]Baskol!$E$1211="","",[2]Baskol!$E$1211)</f>
        <v/>
      </c>
      <c r="X1208">
        <f>IF([2]Baskol!$G$1211="","",[2]Baskol!$G$1211)</f>
        <v/>
      </c>
      <c r="Y1208">
        <f>IF([2]Baskol!$I$1211="","",[2]Baskol!$I$1211)</f>
        <v/>
      </c>
      <c r="Z1208">
        <f>IF([2]Baskol!$J$1211="","",[2]Baskol!$J$1211)</f>
        <v/>
      </c>
      <c r="AA1208">
        <f>IF([2]Baskol!$K$1211="","",[2]Baskol!$K$1211)</f>
        <v/>
      </c>
      <c r="AB1208">
        <f>IF([2]Baskol!$L$1211="","",[2]Baskol!$L$1211)</f>
        <v/>
      </c>
      <c r="AC1208">
        <f>IF([2]Baskol!$N$1211="","",[2]Baskol!$N$1211)</f>
        <v/>
      </c>
      <c r="AD1208">
        <f>IF([2]Baskol!$O$1211="","",[2]Baskol!$O$1211)</f>
        <v/>
      </c>
      <c r="AE1208">
        <f>IF([3]Entry!$C$1211="","",[3]Entry!$C$1211)</f>
        <v/>
      </c>
      <c r="AF1208">
        <f>IF([3]Entry!$D$1211="","",[3]Entry!$D$1211)</f>
        <v/>
      </c>
      <c r="AG1208">
        <f>IF([3]Entry!$E$1211="","",[3]Entry!$E$1211)</f>
        <v/>
      </c>
      <c r="AH1208">
        <f>IF([3]Entry!$G$1211="","",[3]Entry!$G$1211)</f>
        <v/>
      </c>
      <c r="AI1208">
        <f>IF([3]Entry!$K$1211="","",[3]Entry!$K$1211)</f>
        <v/>
      </c>
      <c r="AJ1208">
        <f>IF([3]Entry!$L$1211="","",[3]Entry!$L$1211)</f>
        <v/>
      </c>
      <c r="AK1208">
        <f>IF([3]Entry!$M$1211="","",[3]Entry!$M$1211)</f>
        <v/>
      </c>
      <c r="AL1208">
        <f>IF([3]Entry!$N$1211="","",[3]Entry!$N$1211)</f>
        <v/>
      </c>
      <c r="AM1208">
        <f>IF([3]Entry!$R$1211="","",[3]Entry!$R$1211)</f>
        <v/>
      </c>
    </row>
    <row r="1209">
      <c r="T1209">
        <f>IF([2]Baskol!$B$1212="","",[2]Baskol!$B$1212)</f>
        <v/>
      </c>
      <c r="U1209">
        <f>IF([2]Baskol!$C$1212="","",[2]Baskol!$C$1212)</f>
        <v/>
      </c>
      <c r="V1209">
        <f>IF([2]Baskol!$D$1212="","",[2]Baskol!$D$1212)</f>
        <v/>
      </c>
      <c r="W1209">
        <f>IF([2]Baskol!$E$1212="","",[2]Baskol!$E$1212)</f>
        <v/>
      </c>
      <c r="X1209">
        <f>IF([2]Baskol!$G$1212="","",[2]Baskol!$G$1212)</f>
        <v/>
      </c>
      <c r="Y1209">
        <f>IF([2]Baskol!$I$1212="","",[2]Baskol!$I$1212)</f>
        <v/>
      </c>
      <c r="Z1209">
        <f>IF([2]Baskol!$J$1212="","",[2]Baskol!$J$1212)</f>
        <v/>
      </c>
      <c r="AA1209">
        <f>IF([2]Baskol!$K$1212="","",[2]Baskol!$K$1212)</f>
        <v/>
      </c>
      <c r="AB1209">
        <f>IF([2]Baskol!$L$1212="","",[2]Baskol!$L$1212)</f>
        <v/>
      </c>
      <c r="AC1209">
        <f>IF([2]Baskol!$N$1212="","",[2]Baskol!$N$1212)</f>
        <v/>
      </c>
      <c r="AD1209">
        <f>IF([2]Baskol!$O$1212="","",[2]Baskol!$O$1212)</f>
        <v/>
      </c>
      <c r="AE1209">
        <f>IF([3]Entry!$C$1212="","",[3]Entry!$C$1212)</f>
        <v/>
      </c>
      <c r="AF1209">
        <f>IF([3]Entry!$D$1212="","",[3]Entry!$D$1212)</f>
        <v/>
      </c>
      <c r="AG1209">
        <f>IF([3]Entry!$E$1212="","",[3]Entry!$E$1212)</f>
        <v/>
      </c>
      <c r="AH1209">
        <f>IF([3]Entry!$G$1212="","",[3]Entry!$G$1212)</f>
        <v/>
      </c>
      <c r="AI1209">
        <f>IF([3]Entry!$K$1212="","",[3]Entry!$K$1212)</f>
        <v/>
      </c>
      <c r="AJ1209">
        <f>IF([3]Entry!$L$1212="","",[3]Entry!$L$1212)</f>
        <v/>
      </c>
      <c r="AK1209">
        <f>IF([3]Entry!$M$1212="","",[3]Entry!$M$1212)</f>
        <v/>
      </c>
      <c r="AL1209">
        <f>IF([3]Entry!$N$1212="","",[3]Entry!$N$1212)</f>
        <v/>
      </c>
      <c r="AM1209">
        <f>IF([3]Entry!$R$1212="","",[3]Entry!$R$1212)</f>
        <v/>
      </c>
    </row>
    <row r="1210">
      <c r="T1210">
        <f>IF([2]Baskol!$B$1213="","",[2]Baskol!$B$1213)</f>
        <v/>
      </c>
      <c r="U1210">
        <f>IF([2]Baskol!$C$1213="","",[2]Baskol!$C$1213)</f>
        <v/>
      </c>
      <c r="V1210">
        <f>IF([2]Baskol!$D$1213="","",[2]Baskol!$D$1213)</f>
        <v/>
      </c>
      <c r="W1210">
        <f>IF([2]Baskol!$E$1213="","",[2]Baskol!$E$1213)</f>
        <v/>
      </c>
      <c r="X1210">
        <f>IF([2]Baskol!$G$1213="","",[2]Baskol!$G$1213)</f>
        <v/>
      </c>
      <c r="Y1210">
        <f>IF([2]Baskol!$I$1213="","",[2]Baskol!$I$1213)</f>
        <v/>
      </c>
      <c r="Z1210">
        <f>IF([2]Baskol!$J$1213="","",[2]Baskol!$J$1213)</f>
        <v/>
      </c>
      <c r="AA1210">
        <f>IF([2]Baskol!$K$1213="","",[2]Baskol!$K$1213)</f>
        <v/>
      </c>
      <c r="AB1210">
        <f>IF([2]Baskol!$L$1213="","",[2]Baskol!$L$1213)</f>
        <v/>
      </c>
      <c r="AC1210">
        <f>IF([2]Baskol!$N$1213="","",[2]Baskol!$N$1213)</f>
        <v/>
      </c>
      <c r="AD1210">
        <f>IF([2]Baskol!$O$1213="","",[2]Baskol!$O$1213)</f>
        <v/>
      </c>
      <c r="AE1210">
        <f>IF([3]Entry!$C$1213="","",[3]Entry!$C$1213)</f>
        <v/>
      </c>
      <c r="AF1210">
        <f>IF([3]Entry!$D$1213="","",[3]Entry!$D$1213)</f>
        <v/>
      </c>
      <c r="AG1210">
        <f>IF([3]Entry!$E$1213="","",[3]Entry!$E$1213)</f>
        <v/>
      </c>
      <c r="AH1210">
        <f>IF([3]Entry!$G$1213="","",[3]Entry!$G$1213)</f>
        <v/>
      </c>
      <c r="AI1210">
        <f>IF([3]Entry!$K$1213="","",[3]Entry!$K$1213)</f>
        <v/>
      </c>
      <c r="AJ1210">
        <f>IF([3]Entry!$L$1213="","",[3]Entry!$L$1213)</f>
        <v/>
      </c>
      <c r="AK1210">
        <f>IF([3]Entry!$M$1213="","",[3]Entry!$M$1213)</f>
        <v/>
      </c>
      <c r="AL1210">
        <f>IF([3]Entry!$N$1213="","",[3]Entry!$N$1213)</f>
        <v/>
      </c>
      <c r="AM1210">
        <f>IF([3]Entry!$R$1213="","",[3]Entry!$R$1213)</f>
        <v/>
      </c>
    </row>
    <row r="1211">
      <c r="T1211">
        <f>IF([2]Baskol!$B$1214="","",[2]Baskol!$B$1214)</f>
        <v/>
      </c>
      <c r="U1211">
        <f>IF([2]Baskol!$C$1214="","",[2]Baskol!$C$1214)</f>
        <v/>
      </c>
      <c r="V1211">
        <f>IF([2]Baskol!$D$1214="","",[2]Baskol!$D$1214)</f>
        <v/>
      </c>
      <c r="W1211">
        <f>IF([2]Baskol!$E$1214="","",[2]Baskol!$E$1214)</f>
        <v/>
      </c>
      <c r="X1211">
        <f>IF([2]Baskol!$G$1214="","",[2]Baskol!$G$1214)</f>
        <v/>
      </c>
      <c r="Y1211">
        <f>IF([2]Baskol!$I$1214="","",[2]Baskol!$I$1214)</f>
        <v/>
      </c>
      <c r="Z1211">
        <f>IF([2]Baskol!$J$1214="","",[2]Baskol!$J$1214)</f>
        <v/>
      </c>
      <c r="AA1211">
        <f>IF([2]Baskol!$K$1214="","",[2]Baskol!$K$1214)</f>
        <v/>
      </c>
      <c r="AB1211">
        <f>IF([2]Baskol!$L$1214="","",[2]Baskol!$L$1214)</f>
        <v/>
      </c>
      <c r="AC1211">
        <f>IF([2]Baskol!$N$1214="","",[2]Baskol!$N$1214)</f>
        <v/>
      </c>
      <c r="AD1211">
        <f>IF([2]Baskol!$O$1214="","",[2]Baskol!$O$1214)</f>
        <v/>
      </c>
      <c r="AE1211">
        <f>IF([3]Entry!$C$1214="","",[3]Entry!$C$1214)</f>
        <v/>
      </c>
      <c r="AF1211">
        <f>IF([3]Entry!$D$1214="","",[3]Entry!$D$1214)</f>
        <v/>
      </c>
      <c r="AG1211">
        <f>IF([3]Entry!$E$1214="","",[3]Entry!$E$1214)</f>
        <v/>
      </c>
      <c r="AH1211">
        <f>IF([3]Entry!$G$1214="","",[3]Entry!$G$1214)</f>
        <v/>
      </c>
      <c r="AI1211">
        <f>IF([3]Entry!$K$1214="","",[3]Entry!$K$1214)</f>
        <v/>
      </c>
      <c r="AJ1211">
        <f>IF([3]Entry!$L$1214="","",[3]Entry!$L$1214)</f>
        <v/>
      </c>
      <c r="AK1211">
        <f>IF([3]Entry!$M$1214="","",[3]Entry!$M$1214)</f>
        <v/>
      </c>
      <c r="AL1211">
        <f>IF([3]Entry!$N$1214="","",[3]Entry!$N$1214)</f>
        <v/>
      </c>
      <c r="AM1211">
        <f>IF([3]Entry!$R$1214="","",[3]Entry!$R$1214)</f>
        <v/>
      </c>
    </row>
    <row r="1212">
      <c r="T1212">
        <f>IF([2]Baskol!$B$1215="","",[2]Baskol!$B$1215)</f>
        <v/>
      </c>
      <c r="U1212">
        <f>IF([2]Baskol!$C$1215="","",[2]Baskol!$C$1215)</f>
        <v/>
      </c>
      <c r="V1212">
        <f>IF([2]Baskol!$D$1215="","",[2]Baskol!$D$1215)</f>
        <v/>
      </c>
      <c r="W1212">
        <f>IF([2]Baskol!$E$1215="","",[2]Baskol!$E$1215)</f>
        <v/>
      </c>
      <c r="X1212">
        <f>IF([2]Baskol!$G$1215="","",[2]Baskol!$G$1215)</f>
        <v/>
      </c>
      <c r="Y1212">
        <f>IF([2]Baskol!$I$1215="","",[2]Baskol!$I$1215)</f>
        <v/>
      </c>
      <c r="Z1212">
        <f>IF([2]Baskol!$J$1215="","",[2]Baskol!$J$1215)</f>
        <v/>
      </c>
      <c r="AA1212">
        <f>IF([2]Baskol!$K$1215="","",[2]Baskol!$K$1215)</f>
        <v/>
      </c>
      <c r="AB1212">
        <f>IF([2]Baskol!$L$1215="","",[2]Baskol!$L$1215)</f>
        <v/>
      </c>
      <c r="AC1212">
        <f>IF([2]Baskol!$N$1215="","",[2]Baskol!$N$1215)</f>
        <v/>
      </c>
      <c r="AD1212">
        <f>IF([2]Baskol!$O$1215="","",[2]Baskol!$O$1215)</f>
        <v/>
      </c>
      <c r="AE1212">
        <f>IF([3]Entry!$C$1215="","",[3]Entry!$C$1215)</f>
        <v/>
      </c>
      <c r="AF1212">
        <f>IF([3]Entry!$D$1215="","",[3]Entry!$D$1215)</f>
        <v/>
      </c>
      <c r="AG1212">
        <f>IF([3]Entry!$E$1215="","",[3]Entry!$E$1215)</f>
        <v/>
      </c>
      <c r="AH1212">
        <f>IF([3]Entry!$G$1215="","",[3]Entry!$G$1215)</f>
        <v/>
      </c>
      <c r="AI1212">
        <f>IF([3]Entry!$K$1215="","",[3]Entry!$K$1215)</f>
        <v/>
      </c>
      <c r="AJ1212">
        <f>IF([3]Entry!$L$1215="","",[3]Entry!$L$1215)</f>
        <v/>
      </c>
      <c r="AK1212">
        <f>IF([3]Entry!$M$1215="","",[3]Entry!$M$1215)</f>
        <v/>
      </c>
      <c r="AL1212">
        <f>IF([3]Entry!$N$1215="","",[3]Entry!$N$1215)</f>
        <v/>
      </c>
      <c r="AM1212">
        <f>IF([3]Entry!$R$1215="","",[3]Entry!$R$1215)</f>
        <v/>
      </c>
    </row>
    <row r="1213">
      <c r="T1213">
        <f>IF([2]Baskol!$B$1216="","",[2]Baskol!$B$1216)</f>
        <v/>
      </c>
      <c r="U1213">
        <f>IF([2]Baskol!$C$1216="","",[2]Baskol!$C$1216)</f>
        <v/>
      </c>
      <c r="V1213">
        <f>IF([2]Baskol!$D$1216="","",[2]Baskol!$D$1216)</f>
        <v/>
      </c>
      <c r="W1213">
        <f>IF([2]Baskol!$E$1216="","",[2]Baskol!$E$1216)</f>
        <v/>
      </c>
      <c r="X1213">
        <f>IF([2]Baskol!$G$1216="","",[2]Baskol!$G$1216)</f>
        <v/>
      </c>
      <c r="Y1213">
        <f>IF([2]Baskol!$I$1216="","",[2]Baskol!$I$1216)</f>
        <v/>
      </c>
      <c r="Z1213">
        <f>IF([2]Baskol!$J$1216="","",[2]Baskol!$J$1216)</f>
        <v/>
      </c>
      <c r="AA1213">
        <f>IF([2]Baskol!$K$1216="","",[2]Baskol!$K$1216)</f>
        <v/>
      </c>
      <c r="AB1213">
        <f>IF([2]Baskol!$L$1216="","",[2]Baskol!$L$1216)</f>
        <v/>
      </c>
      <c r="AC1213">
        <f>IF([2]Baskol!$N$1216="","",[2]Baskol!$N$1216)</f>
        <v/>
      </c>
      <c r="AD1213">
        <f>IF([2]Baskol!$O$1216="","",[2]Baskol!$O$1216)</f>
        <v/>
      </c>
      <c r="AE1213">
        <f>IF([3]Entry!$C$1216="","",[3]Entry!$C$1216)</f>
        <v/>
      </c>
      <c r="AF1213">
        <f>IF([3]Entry!$D$1216="","",[3]Entry!$D$1216)</f>
        <v/>
      </c>
      <c r="AG1213">
        <f>IF([3]Entry!$E$1216="","",[3]Entry!$E$1216)</f>
        <v/>
      </c>
      <c r="AH1213">
        <f>IF([3]Entry!$G$1216="","",[3]Entry!$G$1216)</f>
        <v/>
      </c>
      <c r="AI1213">
        <f>IF([3]Entry!$K$1216="","",[3]Entry!$K$1216)</f>
        <v/>
      </c>
      <c r="AJ1213">
        <f>IF([3]Entry!$L$1216="","",[3]Entry!$L$1216)</f>
        <v/>
      </c>
      <c r="AK1213">
        <f>IF([3]Entry!$M$1216="","",[3]Entry!$M$1216)</f>
        <v/>
      </c>
      <c r="AL1213">
        <f>IF([3]Entry!$N$1216="","",[3]Entry!$N$1216)</f>
        <v/>
      </c>
      <c r="AM1213">
        <f>IF([3]Entry!$R$1216="","",[3]Entry!$R$1216)</f>
        <v/>
      </c>
    </row>
    <row r="1214">
      <c r="T1214">
        <f>IF([2]Baskol!$B$1217="","",[2]Baskol!$B$1217)</f>
        <v/>
      </c>
      <c r="U1214">
        <f>IF([2]Baskol!$C$1217="","",[2]Baskol!$C$1217)</f>
        <v/>
      </c>
      <c r="V1214">
        <f>IF([2]Baskol!$D$1217="","",[2]Baskol!$D$1217)</f>
        <v/>
      </c>
      <c r="W1214">
        <f>IF([2]Baskol!$E$1217="","",[2]Baskol!$E$1217)</f>
        <v/>
      </c>
      <c r="X1214">
        <f>IF([2]Baskol!$G$1217="","",[2]Baskol!$G$1217)</f>
        <v/>
      </c>
      <c r="Y1214">
        <f>IF([2]Baskol!$I$1217="","",[2]Baskol!$I$1217)</f>
        <v/>
      </c>
      <c r="Z1214">
        <f>IF([2]Baskol!$J$1217="","",[2]Baskol!$J$1217)</f>
        <v/>
      </c>
      <c r="AA1214">
        <f>IF([2]Baskol!$K$1217="","",[2]Baskol!$K$1217)</f>
        <v/>
      </c>
      <c r="AB1214">
        <f>IF([2]Baskol!$L$1217="","",[2]Baskol!$L$1217)</f>
        <v/>
      </c>
      <c r="AC1214">
        <f>IF([2]Baskol!$N$1217="","",[2]Baskol!$N$1217)</f>
        <v/>
      </c>
      <c r="AD1214">
        <f>IF([2]Baskol!$O$1217="","",[2]Baskol!$O$1217)</f>
        <v/>
      </c>
      <c r="AE1214">
        <f>IF([3]Entry!$C$1217="","",[3]Entry!$C$1217)</f>
        <v/>
      </c>
      <c r="AF1214">
        <f>IF([3]Entry!$D$1217="","",[3]Entry!$D$1217)</f>
        <v/>
      </c>
      <c r="AG1214">
        <f>IF([3]Entry!$E$1217="","",[3]Entry!$E$1217)</f>
        <v/>
      </c>
      <c r="AH1214">
        <f>IF([3]Entry!$G$1217="","",[3]Entry!$G$1217)</f>
        <v/>
      </c>
      <c r="AI1214">
        <f>IF([3]Entry!$K$1217="","",[3]Entry!$K$1217)</f>
        <v/>
      </c>
      <c r="AJ1214">
        <f>IF([3]Entry!$L$1217="","",[3]Entry!$L$1217)</f>
        <v/>
      </c>
      <c r="AK1214">
        <f>IF([3]Entry!$M$1217="","",[3]Entry!$M$1217)</f>
        <v/>
      </c>
      <c r="AL1214">
        <f>IF([3]Entry!$N$1217="","",[3]Entry!$N$1217)</f>
        <v/>
      </c>
      <c r="AM1214">
        <f>IF([3]Entry!$R$1217="","",[3]Entry!$R$1217)</f>
        <v/>
      </c>
    </row>
    <row r="1215">
      <c r="T1215">
        <f>IF([2]Baskol!$B$1218="","",[2]Baskol!$B$1218)</f>
        <v/>
      </c>
      <c r="U1215">
        <f>IF([2]Baskol!$C$1218="","",[2]Baskol!$C$1218)</f>
        <v/>
      </c>
      <c r="V1215">
        <f>IF([2]Baskol!$D$1218="","",[2]Baskol!$D$1218)</f>
        <v/>
      </c>
      <c r="W1215">
        <f>IF([2]Baskol!$E$1218="","",[2]Baskol!$E$1218)</f>
        <v/>
      </c>
      <c r="X1215">
        <f>IF([2]Baskol!$G$1218="","",[2]Baskol!$G$1218)</f>
        <v/>
      </c>
      <c r="Y1215">
        <f>IF([2]Baskol!$I$1218="","",[2]Baskol!$I$1218)</f>
        <v/>
      </c>
      <c r="Z1215">
        <f>IF([2]Baskol!$J$1218="","",[2]Baskol!$J$1218)</f>
        <v/>
      </c>
      <c r="AA1215">
        <f>IF([2]Baskol!$K$1218="","",[2]Baskol!$K$1218)</f>
        <v/>
      </c>
      <c r="AB1215">
        <f>IF([2]Baskol!$L$1218="","",[2]Baskol!$L$1218)</f>
        <v/>
      </c>
      <c r="AC1215">
        <f>IF([2]Baskol!$N$1218="","",[2]Baskol!$N$1218)</f>
        <v/>
      </c>
      <c r="AD1215">
        <f>IF([2]Baskol!$O$1218="","",[2]Baskol!$O$1218)</f>
        <v/>
      </c>
      <c r="AE1215">
        <f>IF([3]Entry!$C$1218="","",[3]Entry!$C$1218)</f>
        <v/>
      </c>
      <c r="AF1215">
        <f>IF([3]Entry!$D$1218="","",[3]Entry!$D$1218)</f>
        <v/>
      </c>
      <c r="AG1215">
        <f>IF([3]Entry!$E$1218="","",[3]Entry!$E$1218)</f>
        <v/>
      </c>
      <c r="AH1215">
        <f>IF([3]Entry!$G$1218="","",[3]Entry!$G$1218)</f>
        <v/>
      </c>
      <c r="AI1215">
        <f>IF([3]Entry!$K$1218="","",[3]Entry!$K$1218)</f>
        <v/>
      </c>
      <c r="AJ1215">
        <f>IF([3]Entry!$L$1218="","",[3]Entry!$L$1218)</f>
        <v/>
      </c>
      <c r="AK1215">
        <f>IF([3]Entry!$M$1218="","",[3]Entry!$M$1218)</f>
        <v/>
      </c>
      <c r="AL1215">
        <f>IF([3]Entry!$N$1218="","",[3]Entry!$N$1218)</f>
        <v/>
      </c>
      <c r="AM1215">
        <f>IF([3]Entry!$R$1218="","",[3]Entry!$R$1218)</f>
        <v/>
      </c>
    </row>
    <row r="1216">
      <c r="T1216">
        <f>IF([2]Baskol!$B$1219="","",[2]Baskol!$B$1219)</f>
        <v/>
      </c>
      <c r="U1216">
        <f>IF([2]Baskol!$C$1219="","",[2]Baskol!$C$1219)</f>
        <v/>
      </c>
      <c r="V1216">
        <f>IF([2]Baskol!$D$1219="","",[2]Baskol!$D$1219)</f>
        <v/>
      </c>
      <c r="W1216">
        <f>IF([2]Baskol!$E$1219="","",[2]Baskol!$E$1219)</f>
        <v/>
      </c>
      <c r="X1216">
        <f>IF([2]Baskol!$G$1219="","",[2]Baskol!$G$1219)</f>
        <v/>
      </c>
      <c r="Y1216">
        <f>IF([2]Baskol!$I$1219="","",[2]Baskol!$I$1219)</f>
        <v/>
      </c>
      <c r="Z1216">
        <f>IF([2]Baskol!$J$1219="","",[2]Baskol!$J$1219)</f>
        <v/>
      </c>
      <c r="AA1216">
        <f>IF([2]Baskol!$K$1219="","",[2]Baskol!$K$1219)</f>
        <v/>
      </c>
      <c r="AB1216">
        <f>IF([2]Baskol!$L$1219="","",[2]Baskol!$L$1219)</f>
        <v/>
      </c>
      <c r="AC1216">
        <f>IF([2]Baskol!$N$1219="","",[2]Baskol!$N$1219)</f>
        <v/>
      </c>
      <c r="AD1216">
        <f>IF([2]Baskol!$O$1219="","",[2]Baskol!$O$1219)</f>
        <v/>
      </c>
      <c r="AE1216">
        <f>IF([3]Entry!$C$1219="","",[3]Entry!$C$1219)</f>
        <v/>
      </c>
      <c r="AF1216">
        <f>IF([3]Entry!$D$1219="","",[3]Entry!$D$1219)</f>
        <v/>
      </c>
      <c r="AG1216">
        <f>IF([3]Entry!$E$1219="","",[3]Entry!$E$1219)</f>
        <v/>
      </c>
      <c r="AH1216">
        <f>IF([3]Entry!$G$1219="","",[3]Entry!$G$1219)</f>
        <v/>
      </c>
      <c r="AI1216">
        <f>IF([3]Entry!$K$1219="","",[3]Entry!$K$1219)</f>
        <v/>
      </c>
      <c r="AJ1216">
        <f>IF([3]Entry!$L$1219="","",[3]Entry!$L$1219)</f>
        <v/>
      </c>
      <c r="AK1216">
        <f>IF([3]Entry!$M$1219="","",[3]Entry!$M$1219)</f>
        <v/>
      </c>
      <c r="AL1216">
        <f>IF([3]Entry!$N$1219="","",[3]Entry!$N$1219)</f>
        <v/>
      </c>
      <c r="AM1216">
        <f>IF([3]Entry!$R$1219="","",[3]Entry!$R$1219)</f>
        <v/>
      </c>
    </row>
    <row r="1217">
      <c r="T1217">
        <f>IF([2]Baskol!$B$1220="","",[2]Baskol!$B$1220)</f>
        <v/>
      </c>
      <c r="U1217">
        <f>IF([2]Baskol!$C$1220="","",[2]Baskol!$C$1220)</f>
        <v/>
      </c>
      <c r="V1217">
        <f>IF([2]Baskol!$D$1220="","",[2]Baskol!$D$1220)</f>
        <v/>
      </c>
      <c r="W1217">
        <f>IF([2]Baskol!$E$1220="","",[2]Baskol!$E$1220)</f>
        <v/>
      </c>
      <c r="X1217">
        <f>IF([2]Baskol!$G$1220="","",[2]Baskol!$G$1220)</f>
        <v/>
      </c>
      <c r="Y1217">
        <f>IF([2]Baskol!$I$1220="","",[2]Baskol!$I$1220)</f>
        <v/>
      </c>
      <c r="Z1217">
        <f>IF([2]Baskol!$J$1220="","",[2]Baskol!$J$1220)</f>
        <v/>
      </c>
      <c r="AA1217">
        <f>IF([2]Baskol!$K$1220="","",[2]Baskol!$K$1220)</f>
        <v/>
      </c>
      <c r="AB1217">
        <f>IF([2]Baskol!$L$1220="","",[2]Baskol!$L$1220)</f>
        <v/>
      </c>
      <c r="AC1217">
        <f>IF([2]Baskol!$N$1220="","",[2]Baskol!$N$1220)</f>
        <v/>
      </c>
      <c r="AD1217">
        <f>IF([2]Baskol!$O$1220="","",[2]Baskol!$O$1220)</f>
        <v/>
      </c>
      <c r="AE1217">
        <f>IF([3]Entry!$C$1220="","",[3]Entry!$C$1220)</f>
        <v/>
      </c>
      <c r="AF1217">
        <f>IF([3]Entry!$D$1220="","",[3]Entry!$D$1220)</f>
        <v/>
      </c>
      <c r="AG1217">
        <f>IF([3]Entry!$E$1220="","",[3]Entry!$E$1220)</f>
        <v/>
      </c>
      <c r="AH1217">
        <f>IF([3]Entry!$G$1220="","",[3]Entry!$G$1220)</f>
        <v/>
      </c>
      <c r="AI1217">
        <f>IF([3]Entry!$K$1220="","",[3]Entry!$K$1220)</f>
        <v/>
      </c>
      <c r="AJ1217">
        <f>IF([3]Entry!$L$1220="","",[3]Entry!$L$1220)</f>
        <v/>
      </c>
      <c r="AK1217">
        <f>IF([3]Entry!$M$1220="","",[3]Entry!$M$1220)</f>
        <v/>
      </c>
      <c r="AL1217">
        <f>IF([3]Entry!$N$1220="","",[3]Entry!$N$1220)</f>
        <v/>
      </c>
      <c r="AM1217">
        <f>IF([3]Entry!$R$1220="","",[3]Entry!$R$1220)</f>
        <v/>
      </c>
    </row>
    <row r="1218">
      <c r="T1218">
        <f>IF([2]Baskol!$B$1221="","",[2]Baskol!$B$1221)</f>
        <v/>
      </c>
      <c r="U1218">
        <f>IF([2]Baskol!$C$1221="","",[2]Baskol!$C$1221)</f>
        <v/>
      </c>
      <c r="V1218">
        <f>IF([2]Baskol!$D$1221="","",[2]Baskol!$D$1221)</f>
        <v/>
      </c>
      <c r="W1218">
        <f>IF([2]Baskol!$E$1221="","",[2]Baskol!$E$1221)</f>
        <v/>
      </c>
      <c r="X1218">
        <f>IF([2]Baskol!$G$1221="","",[2]Baskol!$G$1221)</f>
        <v/>
      </c>
      <c r="Y1218">
        <f>IF([2]Baskol!$I$1221="","",[2]Baskol!$I$1221)</f>
        <v/>
      </c>
      <c r="Z1218">
        <f>IF([2]Baskol!$J$1221="","",[2]Baskol!$J$1221)</f>
        <v/>
      </c>
      <c r="AA1218">
        <f>IF([2]Baskol!$K$1221="","",[2]Baskol!$K$1221)</f>
        <v/>
      </c>
      <c r="AB1218">
        <f>IF([2]Baskol!$L$1221="","",[2]Baskol!$L$1221)</f>
        <v/>
      </c>
      <c r="AC1218">
        <f>IF([2]Baskol!$N$1221="","",[2]Baskol!$N$1221)</f>
        <v/>
      </c>
      <c r="AD1218">
        <f>IF([2]Baskol!$O$1221="","",[2]Baskol!$O$1221)</f>
        <v/>
      </c>
      <c r="AE1218">
        <f>IF([3]Entry!$C$1221="","",[3]Entry!$C$1221)</f>
        <v/>
      </c>
      <c r="AF1218">
        <f>IF([3]Entry!$D$1221="","",[3]Entry!$D$1221)</f>
        <v/>
      </c>
      <c r="AG1218">
        <f>IF([3]Entry!$E$1221="","",[3]Entry!$E$1221)</f>
        <v/>
      </c>
      <c r="AH1218">
        <f>IF([3]Entry!$G$1221="","",[3]Entry!$G$1221)</f>
        <v/>
      </c>
      <c r="AI1218">
        <f>IF([3]Entry!$K$1221="","",[3]Entry!$K$1221)</f>
        <v/>
      </c>
      <c r="AJ1218">
        <f>IF([3]Entry!$L$1221="","",[3]Entry!$L$1221)</f>
        <v/>
      </c>
      <c r="AK1218">
        <f>IF([3]Entry!$M$1221="","",[3]Entry!$M$1221)</f>
        <v/>
      </c>
      <c r="AL1218">
        <f>IF([3]Entry!$N$1221="","",[3]Entry!$N$1221)</f>
        <v/>
      </c>
      <c r="AM1218">
        <f>IF([3]Entry!$R$1221="","",[3]Entry!$R$1221)</f>
        <v/>
      </c>
    </row>
    <row r="1219">
      <c r="T1219">
        <f>IF([2]Baskol!$B$1222="","",[2]Baskol!$B$1222)</f>
        <v/>
      </c>
      <c r="U1219">
        <f>IF([2]Baskol!$C$1222="","",[2]Baskol!$C$1222)</f>
        <v/>
      </c>
      <c r="V1219">
        <f>IF([2]Baskol!$D$1222="","",[2]Baskol!$D$1222)</f>
        <v/>
      </c>
      <c r="W1219">
        <f>IF([2]Baskol!$E$1222="","",[2]Baskol!$E$1222)</f>
        <v/>
      </c>
      <c r="X1219">
        <f>IF([2]Baskol!$G$1222="","",[2]Baskol!$G$1222)</f>
        <v/>
      </c>
      <c r="Y1219">
        <f>IF([2]Baskol!$I$1222="","",[2]Baskol!$I$1222)</f>
        <v/>
      </c>
      <c r="Z1219">
        <f>IF([2]Baskol!$J$1222="","",[2]Baskol!$J$1222)</f>
        <v/>
      </c>
      <c r="AA1219">
        <f>IF([2]Baskol!$K$1222="","",[2]Baskol!$K$1222)</f>
        <v/>
      </c>
      <c r="AB1219">
        <f>IF([2]Baskol!$L$1222="","",[2]Baskol!$L$1222)</f>
        <v/>
      </c>
      <c r="AC1219">
        <f>IF([2]Baskol!$N$1222="","",[2]Baskol!$N$1222)</f>
        <v/>
      </c>
      <c r="AD1219">
        <f>IF([2]Baskol!$O$1222="","",[2]Baskol!$O$1222)</f>
        <v/>
      </c>
      <c r="AE1219">
        <f>IF([3]Entry!$C$1222="","",[3]Entry!$C$1222)</f>
        <v/>
      </c>
      <c r="AF1219">
        <f>IF([3]Entry!$D$1222="","",[3]Entry!$D$1222)</f>
        <v/>
      </c>
      <c r="AG1219">
        <f>IF([3]Entry!$E$1222="","",[3]Entry!$E$1222)</f>
        <v/>
      </c>
      <c r="AH1219">
        <f>IF([3]Entry!$G$1222="","",[3]Entry!$G$1222)</f>
        <v/>
      </c>
      <c r="AI1219">
        <f>IF([3]Entry!$K$1222="","",[3]Entry!$K$1222)</f>
        <v/>
      </c>
      <c r="AJ1219">
        <f>IF([3]Entry!$L$1222="","",[3]Entry!$L$1222)</f>
        <v/>
      </c>
      <c r="AK1219">
        <f>IF([3]Entry!$M$1222="","",[3]Entry!$M$1222)</f>
        <v/>
      </c>
      <c r="AL1219">
        <f>IF([3]Entry!$N$1222="","",[3]Entry!$N$1222)</f>
        <v/>
      </c>
      <c r="AM1219">
        <f>IF([3]Entry!$R$1222="","",[3]Entry!$R$1222)</f>
        <v/>
      </c>
    </row>
    <row r="1220">
      <c r="T1220">
        <f>IF([2]Baskol!$B$1223="","",[2]Baskol!$B$1223)</f>
        <v/>
      </c>
      <c r="U1220">
        <f>IF([2]Baskol!$C$1223="","",[2]Baskol!$C$1223)</f>
        <v/>
      </c>
      <c r="V1220">
        <f>IF([2]Baskol!$D$1223="","",[2]Baskol!$D$1223)</f>
        <v/>
      </c>
      <c r="W1220">
        <f>IF([2]Baskol!$E$1223="","",[2]Baskol!$E$1223)</f>
        <v/>
      </c>
      <c r="X1220">
        <f>IF([2]Baskol!$G$1223="","",[2]Baskol!$G$1223)</f>
        <v/>
      </c>
      <c r="Y1220">
        <f>IF([2]Baskol!$I$1223="","",[2]Baskol!$I$1223)</f>
        <v/>
      </c>
      <c r="Z1220">
        <f>IF([2]Baskol!$J$1223="","",[2]Baskol!$J$1223)</f>
        <v/>
      </c>
      <c r="AA1220">
        <f>IF([2]Baskol!$K$1223="","",[2]Baskol!$K$1223)</f>
        <v/>
      </c>
      <c r="AB1220">
        <f>IF([2]Baskol!$L$1223="","",[2]Baskol!$L$1223)</f>
        <v/>
      </c>
      <c r="AC1220">
        <f>IF([2]Baskol!$N$1223="","",[2]Baskol!$N$1223)</f>
        <v/>
      </c>
      <c r="AD1220">
        <f>IF([2]Baskol!$O$1223="","",[2]Baskol!$O$1223)</f>
        <v/>
      </c>
      <c r="AE1220">
        <f>IF([3]Entry!$C$1223="","",[3]Entry!$C$1223)</f>
        <v/>
      </c>
      <c r="AF1220">
        <f>IF([3]Entry!$D$1223="","",[3]Entry!$D$1223)</f>
        <v/>
      </c>
      <c r="AG1220">
        <f>IF([3]Entry!$E$1223="","",[3]Entry!$E$1223)</f>
        <v/>
      </c>
      <c r="AH1220">
        <f>IF([3]Entry!$G$1223="","",[3]Entry!$G$1223)</f>
        <v/>
      </c>
      <c r="AI1220">
        <f>IF([3]Entry!$K$1223="","",[3]Entry!$K$1223)</f>
        <v/>
      </c>
      <c r="AJ1220">
        <f>IF([3]Entry!$L$1223="","",[3]Entry!$L$1223)</f>
        <v/>
      </c>
      <c r="AK1220">
        <f>IF([3]Entry!$M$1223="","",[3]Entry!$M$1223)</f>
        <v/>
      </c>
      <c r="AL1220">
        <f>IF([3]Entry!$N$1223="","",[3]Entry!$N$1223)</f>
        <v/>
      </c>
      <c r="AM1220">
        <f>IF([3]Entry!$R$1223="","",[3]Entry!$R$1223)</f>
        <v/>
      </c>
    </row>
    <row r="1221">
      <c r="T1221">
        <f>IF([2]Baskol!$B$1224="","",[2]Baskol!$B$1224)</f>
        <v/>
      </c>
      <c r="U1221">
        <f>IF([2]Baskol!$C$1224="","",[2]Baskol!$C$1224)</f>
        <v/>
      </c>
      <c r="V1221">
        <f>IF([2]Baskol!$D$1224="","",[2]Baskol!$D$1224)</f>
        <v/>
      </c>
      <c r="W1221">
        <f>IF([2]Baskol!$E$1224="","",[2]Baskol!$E$1224)</f>
        <v/>
      </c>
      <c r="X1221">
        <f>IF([2]Baskol!$G$1224="","",[2]Baskol!$G$1224)</f>
        <v/>
      </c>
      <c r="Y1221">
        <f>IF([2]Baskol!$I$1224="","",[2]Baskol!$I$1224)</f>
        <v/>
      </c>
      <c r="Z1221">
        <f>IF([2]Baskol!$J$1224="","",[2]Baskol!$J$1224)</f>
        <v/>
      </c>
      <c r="AA1221">
        <f>IF([2]Baskol!$K$1224="","",[2]Baskol!$K$1224)</f>
        <v/>
      </c>
      <c r="AB1221">
        <f>IF([2]Baskol!$L$1224="","",[2]Baskol!$L$1224)</f>
        <v/>
      </c>
      <c r="AC1221">
        <f>IF([2]Baskol!$N$1224="","",[2]Baskol!$N$1224)</f>
        <v/>
      </c>
      <c r="AD1221">
        <f>IF([2]Baskol!$O$1224="","",[2]Baskol!$O$1224)</f>
        <v/>
      </c>
      <c r="AE1221">
        <f>IF([3]Entry!$C$1224="","",[3]Entry!$C$1224)</f>
        <v/>
      </c>
      <c r="AF1221">
        <f>IF([3]Entry!$D$1224="","",[3]Entry!$D$1224)</f>
        <v/>
      </c>
      <c r="AG1221">
        <f>IF([3]Entry!$E$1224="","",[3]Entry!$E$1224)</f>
        <v/>
      </c>
      <c r="AH1221">
        <f>IF([3]Entry!$G$1224="","",[3]Entry!$G$1224)</f>
        <v/>
      </c>
      <c r="AI1221">
        <f>IF([3]Entry!$K$1224="","",[3]Entry!$K$1224)</f>
        <v/>
      </c>
      <c r="AJ1221">
        <f>IF([3]Entry!$L$1224="","",[3]Entry!$L$1224)</f>
        <v/>
      </c>
      <c r="AK1221">
        <f>IF([3]Entry!$M$1224="","",[3]Entry!$M$1224)</f>
        <v/>
      </c>
      <c r="AL1221">
        <f>IF([3]Entry!$N$1224="","",[3]Entry!$N$1224)</f>
        <v/>
      </c>
      <c r="AM1221">
        <f>IF([3]Entry!$R$1224="","",[3]Entry!$R$1224)</f>
        <v/>
      </c>
    </row>
    <row r="1222">
      <c r="T1222">
        <f>IF([2]Baskol!$B$1225="","",[2]Baskol!$B$1225)</f>
        <v/>
      </c>
      <c r="U1222">
        <f>IF([2]Baskol!$C$1225="","",[2]Baskol!$C$1225)</f>
        <v/>
      </c>
      <c r="V1222">
        <f>IF([2]Baskol!$D$1225="","",[2]Baskol!$D$1225)</f>
        <v/>
      </c>
      <c r="W1222">
        <f>IF([2]Baskol!$E$1225="","",[2]Baskol!$E$1225)</f>
        <v/>
      </c>
      <c r="X1222">
        <f>IF([2]Baskol!$G$1225="","",[2]Baskol!$G$1225)</f>
        <v/>
      </c>
      <c r="Y1222">
        <f>IF([2]Baskol!$I$1225="","",[2]Baskol!$I$1225)</f>
        <v/>
      </c>
      <c r="Z1222">
        <f>IF([2]Baskol!$J$1225="","",[2]Baskol!$J$1225)</f>
        <v/>
      </c>
      <c r="AA1222">
        <f>IF([2]Baskol!$K$1225="","",[2]Baskol!$K$1225)</f>
        <v/>
      </c>
      <c r="AB1222">
        <f>IF([2]Baskol!$L$1225="","",[2]Baskol!$L$1225)</f>
        <v/>
      </c>
      <c r="AC1222">
        <f>IF([2]Baskol!$N$1225="","",[2]Baskol!$N$1225)</f>
        <v/>
      </c>
      <c r="AD1222">
        <f>IF([2]Baskol!$O$1225="","",[2]Baskol!$O$1225)</f>
        <v/>
      </c>
      <c r="AE1222">
        <f>IF([3]Entry!$C$1225="","",[3]Entry!$C$1225)</f>
        <v/>
      </c>
      <c r="AF1222">
        <f>IF([3]Entry!$D$1225="","",[3]Entry!$D$1225)</f>
        <v/>
      </c>
      <c r="AG1222">
        <f>IF([3]Entry!$E$1225="","",[3]Entry!$E$1225)</f>
        <v/>
      </c>
      <c r="AH1222">
        <f>IF([3]Entry!$G$1225="","",[3]Entry!$G$1225)</f>
        <v/>
      </c>
      <c r="AI1222">
        <f>IF([3]Entry!$K$1225="","",[3]Entry!$K$1225)</f>
        <v/>
      </c>
      <c r="AJ1222">
        <f>IF([3]Entry!$L$1225="","",[3]Entry!$L$1225)</f>
        <v/>
      </c>
      <c r="AK1222">
        <f>IF([3]Entry!$M$1225="","",[3]Entry!$M$1225)</f>
        <v/>
      </c>
      <c r="AL1222">
        <f>IF([3]Entry!$N$1225="","",[3]Entry!$N$1225)</f>
        <v/>
      </c>
      <c r="AM1222">
        <f>IF([3]Entry!$R$1225="","",[3]Entry!$R$1225)</f>
        <v/>
      </c>
    </row>
    <row r="1223">
      <c r="T1223">
        <f>IF([2]Baskol!$B$1226="","",[2]Baskol!$B$1226)</f>
        <v/>
      </c>
      <c r="U1223">
        <f>IF([2]Baskol!$C$1226="","",[2]Baskol!$C$1226)</f>
        <v/>
      </c>
      <c r="V1223">
        <f>IF([2]Baskol!$D$1226="","",[2]Baskol!$D$1226)</f>
        <v/>
      </c>
      <c r="W1223">
        <f>IF([2]Baskol!$E$1226="","",[2]Baskol!$E$1226)</f>
        <v/>
      </c>
      <c r="X1223">
        <f>IF([2]Baskol!$G$1226="","",[2]Baskol!$G$1226)</f>
        <v/>
      </c>
      <c r="Y1223">
        <f>IF([2]Baskol!$I$1226="","",[2]Baskol!$I$1226)</f>
        <v/>
      </c>
      <c r="Z1223">
        <f>IF([2]Baskol!$J$1226="","",[2]Baskol!$J$1226)</f>
        <v/>
      </c>
      <c r="AA1223">
        <f>IF([2]Baskol!$K$1226="","",[2]Baskol!$K$1226)</f>
        <v/>
      </c>
      <c r="AB1223">
        <f>IF([2]Baskol!$L$1226="","",[2]Baskol!$L$1226)</f>
        <v/>
      </c>
      <c r="AC1223">
        <f>IF([2]Baskol!$N$1226="","",[2]Baskol!$N$1226)</f>
        <v/>
      </c>
      <c r="AD1223">
        <f>IF([2]Baskol!$O$1226="","",[2]Baskol!$O$1226)</f>
        <v/>
      </c>
      <c r="AE1223">
        <f>IF([3]Entry!$C$1226="","",[3]Entry!$C$1226)</f>
        <v/>
      </c>
      <c r="AF1223">
        <f>IF([3]Entry!$D$1226="","",[3]Entry!$D$1226)</f>
        <v/>
      </c>
      <c r="AG1223">
        <f>IF([3]Entry!$E$1226="","",[3]Entry!$E$1226)</f>
        <v/>
      </c>
      <c r="AH1223">
        <f>IF([3]Entry!$G$1226="","",[3]Entry!$G$1226)</f>
        <v/>
      </c>
      <c r="AI1223">
        <f>IF([3]Entry!$K$1226="","",[3]Entry!$K$1226)</f>
        <v/>
      </c>
      <c r="AJ1223">
        <f>IF([3]Entry!$L$1226="","",[3]Entry!$L$1226)</f>
        <v/>
      </c>
      <c r="AK1223">
        <f>IF([3]Entry!$M$1226="","",[3]Entry!$M$1226)</f>
        <v/>
      </c>
      <c r="AL1223">
        <f>IF([3]Entry!$N$1226="","",[3]Entry!$N$1226)</f>
        <v/>
      </c>
      <c r="AM1223">
        <f>IF([3]Entry!$R$1226="","",[3]Entry!$R$1226)</f>
        <v/>
      </c>
    </row>
    <row r="1224">
      <c r="T1224">
        <f>IF([2]Baskol!$B$1227="","",[2]Baskol!$B$1227)</f>
        <v/>
      </c>
      <c r="U1224">
        <f>IF([2]Baskol!$C$1227="","",[2]Baskol!$C$1227)</f>
        <v/>
      </c>
      <c r="V1224">
        <f>IF([2]Baskol!$D$1227="","",[2]Baskol!$D$1227)</f>
        <v/>
      </c>
      <c r="W1224">
        <f>IF([2]Baskol!$E$1227="","",[2]Baskol!$E$1227)</f>
        <v/>
      </c>
      <c r="X1224">
        <f>IF([2]Baskol!$G$1227="","",[2]Baskol!$G$1227)</f>
        <v/>
      </c>
      <c r="Y1224">
        <f>IF([2]Baskol!$I$1227="","",[2]Baskol!$I$1227)</f>
        <v/>
      </c>
      <c r="Z1224">
        <f>IF([2]Baskol!$J$1227="","",[2]Baskol!$J$1227)</f>
        <v/>
      </c>
      <c r="AA1224">
        <f>IF([2]Baskol!$K$1227="","",[2]Baskol!$K$1227)</f>
        <v/>
      </c>
      <c r="AB1224">
        <f>IF([2]Baskol!$L$1227="","",[2]Baskol!$L$1227)</f>
        <v/>
      </c>
      <c r="AC1224">
        <f>IF([2]Baskol!$N$1227="","",[2]Baskol!$N$1227)</f>
        <v/>
      </c>
      <c r="AD1224">
        <f>IF([2]Baskol!$O$1227="","",[2]Baskol!$O$1227)</f>
        <v/>
      </c>
      <c r="AE1224">
        <f>IF([3]Entry!$C$1227="","",[3]Entry!$C$1227)</f>
        <v/>
      </c>
      <c r="AF1224">
        <f>IF([3]Entry!$D$1227="","",[3]Entry!$D$1227)</f>
        <v/>
      </c>
      <c r="AG1224">
        <f>IF([3]Entry!$E$1227="","",[3]Entry!$E$1227)</f>
        <v/>
      </c>
      <c r="AH1224">
        <f>IF([3]Entry!$G$1227="","",[3]Entry!$G$1227)</f>
        <v/>
      </c>
      <c r="AI1224">
        <f>IF([3]Entry!$K$1227="","",[3]Entry!$K$1227)</f>
        <v/>
      </c>
      <c r="AJ1224">
        <f>IF([3]Entry!$L$1227="","",[3]Entry!$L$1227)</f>
        <v/>
      </c>
      <c r="AK1224">
        <f>IF([3]Entry!$M$1227="","",[3]Entry!$M$1227)</f>
        <v/>
      </c>
      <c r="AL1224">
        <f>IF([3]Entry!$N$1227="","",[3]Entry!$N$1227)</f>
        <v/>
      </c>
      <c r="AM1224">
        <f>IF([3]Entry!$R$1227="","",[3]Entry!$R$1227)</f>
        <v/>
      </c>
    </row>
    <row r="1225">
      <c r="T1225">
        <f>IF([2]Baskol!$B$1228="","",[2]Baskol!$B$1228)</f>
        <v/>
      </c>
      <c r="U1225">
        <f>IF([2]Baskol!$C$1228="","",[2]Baskol!$C$1228)</f>
        <v/>
      </c>
      <c r="V1225">
        <f>IF([2]Baskol!$D$1228="","",[2]Baskol!$D$1228)</f>
        <v/>
      </c>
      <c r="W1225">
        <f>IF([2]Baskol!$E$1228="","",[2]Baskol!$E$1228)</f>
        <v/>
      </c>
      <c r="X1225">
        <f>IF([2]Baskol!$G$1228="","",[2]Baskol!$G$1228)</f>
        <v/>
      </c>
      <c r="Y1225">
        <f>IF([2]Baskol!$I$1228="","",[2]Baskol!$I$1228)</f>
        <v/>
      </c>
      <c r="Z1225">
        <f>IF([2]Baskol!$J$1228="","",[2]Baskol!$J$1228)</f>
        <v/>
      </c>
      <c r="AA1225">
        <f>IF([2]Baskol!$K$1228="","",[2]Baskol!$K$1228)</f>
        <v/>
      </c>
      <c r="AB1225">
        <f>IF([2]Baskol!$L$1228="","",[2]Baskol!$L$1228)</f>
        <v/>
      </c>
      <c r="AC1225">
        <f>IF([2]Baskol!$N$1228="","",[2]Baskol!$N$1228)</f>
        <v/>
      </c>
      <c r="AD1225">
        <f>IF([2]Baskol!$O$1228="","",[2]Baskol!$O$1228)</f>
        <v/>
      </c>
      <c r="AE1225">
        <f>IF([3]Entry!$C$1228="","",[3]Entry!$C$1228)</f>
        <v/>
      </c>
      <c r="AF1225">
        <f>IF([3]Entry!$D$1228="","",[3]Entry!$D$1228)</f>
        <v/>
      </c>
      <c r="AG1225">
        <f>IF([3]Entry!$E$1228="","",[3]Entry!$E$1228)</f>
        <v/>
      </c>
      <c r="AH1225">
        <f>IF([3]Entry!$G$1228="","",[3]Entry!$G$1228)</f>
        <v/>
      </c>
      <c r="AI1225">
        <f>IF([3]Entry!$K$1228="","",[3]Entry!$K$1228)</f>
        <v/>
      </c>
      <c r="AJ1225">
        <f>IF([3]Entry!$L$1228="","",[3]Entry!$L$1228)</f>
        <v/>
      </c>
      <c r="AK1225">
        <f>IF([3]Entry!$M$1228="","",[3]Entry!$M$1228)</f>
        <v/>
      </c>
      <c r="AL1225">
        <f>IF([3]Entry!$N$1228="","",[3]Entry!$N$1228)</f>
        <v/>
      </c>
      <c r="AM1225">
        <f>IF([3]Entry!$R$1228="","",[3]Entry!$R$1228)</f>
        <v/>
      </c>
    </row>
    <row r="1226">
      <c r="T1226">
        <f>IF([2]Baskol!$B$1229="","",[2]Baskol!$B$1229)</f>
        <v/>
      </c>
      <c r="U1226">
        <f>IF([2]Baskol!$C$1229="","",[2]Baskol!$C$1229)</f>
        <v/>
      </c>
      <c r="V1226">
        <f>IF([2]Baskol!$D$1229="","",[2]Baskol!$D$1229)</f>
        <v/>
      </c>
      <c r="W1226">
        <f>IF([2]Baskol!$E$1229="","",[2]Baskol!$E$1229)</f>
        <v/>
      </c>
      <c r="X1226">
        <f>IF([2]Baskol!$G$1229="","",[2]Baskol!$G$1229)</f>
        <v/>
      </c>
      <c r="Y1226">
        <f>IF([2]Baskol!$I$1229="","",[2]Baskol!$I$1229)</f>
        <v/>
      </c>
      <c r="Z1226">
        <f>IF([2]Baskol!$J$1229="","",[2]Baskol!$J$1229)</f>
        <v/>
      </c>
      <c r="AA1226">
        <f>IF([2]Baskol!$K$1229="","",[2]Baskol!$K$1229)</f>
        <v/>
      </c>
      <c r="AB1226">
        <f>IF([2]Baskol!$L$1229="","",[2]Baskol!$L$1229)</f>
        <v/>
      </c>
      <c r="AC1226">
        <f>IF([2]Baskol!$N$1229="","",[2]Baskol!$N$1229)</f>
        <v/>
      </c>
      <c r="AD1226">
        <f>IF([2]Baskol!$O$1229="","",[2]Baskol!$O$1229)</f>
        <v/>
      </c>
      <c r="AE1226">
        <f>IF([3]Entry!$C$1229="","",[3]Entry!$C$1229)</f>
        <v/>
      </c>
      <c r="AF1226">
        <f>IF([3]Entry!$D$1229="","",[3]Entry!$D$1229)</f>
        <v/>
      </c>
      <c r="AG1226">
        <f>IF([3]Entry!$E$1229="","",[3]Entry!$E$1229)</f>
        <v/>
      </c>
      <c r="AH1226">
        <f>IF([3]Entry!$G$1229="","",[3]Entry!$G$1229)</f>
        <v/>
      </c>
      <c r="AI1226">
        <f>IF([3]Entry!$K$1229="","",[3]Entry!$K$1229)</f>
        <v/>
      </c>
      <c r="AJ1226">
        <f>IF([3]Entry!$L$1229="","",[3]Entry!$L$1229)</f>
        <v/>
      </c>
      <c r="AK1226">
        <f>IF([3]Entry!$M$1229="","",[3]Entry!$M$1229)</f>
        <v/>
      </c>
      <c r="AL1226">
        <f>IF([3]Entry!$N$1229="","",[3]Entry!$N$1229)</f>
        <v/>
      </c>
      <c r="AM1226">
        <f>IF([3]Entry!$R$1229="","",[3]Entry!$R$1229)</f>
        <v/>
      </c>
    </row>
    <row r="1227">
      <c r="T1227">
        <f>IF([2]Baskol!$B$1230="","",[2]Baskol!$B$1230)</f>
        <v/>
      </c>
      <c r="U1227">
        <f>IF([2]Baskol!$C$1230="","",[2]Baskol!$C$1230)</f>
        <v/>
      </c>
      <c r="V1227">
        <f>IF([2]Baskol!$D$1230="","",[2]Baskol!$D$1230)</f>
        <v/>
      </c>
      <c r="W1227">
        <f>IF([2]Baskol!$E$1230="","",[2]Baskol!$E$1230)</f>
        <v/>
      </c>
      <c r="X1227">
        <f>IF([2]Baskol!$G$1230="","",[2]Baskol!$G$1230)</f>
        <v/>
      </c>
      <c r="Y1227">
        <f>IF([2]Baskol!$I$1230="","",[2]Baskol!$I$1230)</f>
        <v/>
      </c>
      <c r="Z1227">
        <f>IF([2]Baskol!$J$1230="","",[2]Baskol!$J$1230)</f>
        <v/>
      </c>
      <c r="AA1227">
        <f>IF([2]Baskol!$K$1230="","",[2]Baskol!$K$1230)</f>
        <v/>
      </c>
      <c r="AB1227">
        <f>IF([2]Baskol!$L$1230="","",[2]Baskol!$L$1230)</f>
        <v/>
      </c>
      <c r="AC1227">
        <f>IF([2]Baskol!$N$1230="","",[2]Baskol!$N$1230)</f>
        <v/>
      </c>
      <c r="AD1227">
        <f>IF([2]Baskol!$O$1230="","",[2]Baskol!$O$1230)</f>
        <v/>
      </c>
      <c r="AE1227">
        <f>IF([3]Entry!$C$1230="","",[3]Entry!$C$1230)</f>
        <v/>
      </c>
      <c r="AF1227">
        <f>IF([3]Entry!$D$1230="","",[3]Entry!$D$1230)</f>
        <v/>
      </c>
      <c r="AG1227">
        <f>IF([3]Entry!$E$1230="","",[3]Entry!$E$1230)</f>
        <v/>
      </c>
      <c r="AH1227">
        <f>IF([3]Entry!$G$1230="","",[3]Entry!$G$1230)</f>
        <v/>
      </c>
      <c r="AI1227">
        <f>IF([3]Entry!$K$1230="","",[3]Entry!$K$1230)</f>
        <v/>
      </c>
      <c r="AJ1227">
        <f>IF([3]Entry!$L$1230="","",[3]Entry!$L$1230)</f>
        <v/>
      </c>
      <c r="AK1227">
        <f>IF([3]Entry!$M$1230="","",[3]Entry!$M$1230)</f>
        <v/>
      </c>
      <c r="AL1227">
        <f>IF([3]Entry!$N$1230="","",[3]Entry!$N$1230)</f>
        <v/>
      </c>
      <c r="AM1227">
        <f>IF([3]Entry!$R$1230="","",[3]Entry!$R$1230)</f>
        <v/>
      </c>
    </row>
    <row r="1228">
      <c r="T1228">
        <f>IF([2]Baskol!$B$1231="","",[2]Baskol!$B$1231)</f>
        <v/>
      </c>
      <c r="U1228">
        <f>IF([2]Baskol!$C$1231="","",[2]Baskol!$C$1231)</f>
        <v/>
      </c>
      <c r="V1228">
        <f>IF([2]Baskol!$D$1231="","",[2]Baskol!$D$1231)</f>
        <v/>
      </c>
      <c r="W1228">
        <f>IF([2]Baskol!$E$1231="","",[2]Baskol!$E$1231)</f>
        <v/>
      </c>
      <c r="X1228">
        <f>IF([2]Baskol!$G$1231="","",[2]Baskol!$G$1231)</f>
        <v/>
      </c>
      <c r="Y1228">
        <f>IF([2]Baskol!$I$1231="","",[2]Baskol!$I$1231)</f>
        <v/>
      </c>
      <c r="Z1228">
        <f>IF([2]Baskol!$J$1231="","",[2]Baskol!$J$1231)</f>
        <v/>
      </c>
      <c r="AA1228">
        <f>IF([2]Baskol!$K$1231="","",[2]Baskol!$K$1231)</f>
        <v/>
      </c>
      <c r="AB1228">
        <f>IF([2]Baskol!$L$1231="","",[2]Baskol!$L$1231)</f>
        <v/>
      </c>
      <c r="AC1228">
        <f>IF([2]Baskol!$N$1231="","",[2]Baskol!$N$1231)</f>
        <v/>
      </c>
      <c r="AD1228">
        <f>IF([2]Baskol!$O$1231="","",[2]Baskol!$O$1231)</f>
        <v/>
      </c>
      <c r="AE1228">
        <f>IF([3]Entry!$C$1231="","",[3]Entry!$C$1231)</f>
        <v/>
      </c>
      <c r="AF1228">
        <f>IF([3]Entry!$D$1231="","",[3]Entry!$D$1231)</f>
        <v/>
      </c>
      <c r="AG1228">
        <f>IF([3]Entry!$E$1231="","",[3]Entry!$E$1231)</f>
        <v/>
      </c>
      <c r="AH1228">
        <f>IF([3]Entry!$G$1231="","",[3]Entry!$G$1231)</f>
        <v/>
      </c>
      <c r="AI1228">
        <f>IF([3]Entry!$K$1231="","",[3]Entry!$K$1231)</f>
        <v/>
      </c>
      <c r="AJ1228">
        <f>IF([3]Entry!$L$1231="","",[3]Entry!$L$1231)</f>
        <v/>
      </c>
      <c r="AK1228">
        <f>IF([3]Entry!$M$1231="","",[3]Entry!$M$1231)</f>
        <v/>
      </c>
      <c r="AL1228">
        <f>IF([3]Entry!$N$1231="","",[3]Entry!$N$1231)</f>
        <v/>
      </c>
      <c r="AM1228">
        <f>IF([3]Entry!$R$1231="","",[3]Entry!$R$1231)</f>
        <v/>
      </c>
    </row>
    <row r="1229">
      <c r="T1229">
        <f>IF([2]Baskol!$B$1232="","",[2]Baskol!$B$1232)</f>
        <v/>
      </c>
      <c r="U1229">
        <f>IF([2]Baskol!$C$1232="","",[2]Baskol!$C$1232)</f>
        <v/>
      </c>
      <c r="V1229">
        <f>IF([2]Baskol!$D$1232="","",[2]Baskol!$D$1232)</f>
        <v/>
      </c>
      <c r="W1229">
        <f>IF([2]Baskol!$E$1232="","",[2]Baskol!$E$1232)</f>
        <v/>
      </c>
      <c r="X1229">
        <f>IF([2]Baskol!$G$1232="","",[2]Baskol!$G$1232)</f>
        <v/>
      </c>
      <c r="Y1229">
        <f>IF([2]Baskol!$I$1232="","",[2]Baskol!$I$1232)</f>
        <v/>
      </c>
      <c r="Z1229">
        <f>IF([2]Baskol!$J$1232="","",[2]Baskol!$J$1232)</f>
        <v/>
      </c>
      <c r="AA1229">
        <f>IF([2]Baskol!$K$1232="","",[2]Baskol!$K$1232)</f>
        <v/>
      </c>
      <c r="AB1229">
        <f>IF([2]Baskol!$L$1232="","",[2]Baskol!$L$1232)</f>
        <v/>
      </c>
      <c r="AC1229">
        <f>IF([2]Baskol!$N$1232="","",[2]Baskol!$N$1232)</f>
        <v/>
      </c>
      <c r="AD1229">
        <f>IF([2]Baskol!$O$1232="","",[2]Baskol!$O$1232)</f>
        <v/>
      </c>
      <c r="AE1229">
        <f>IF([3]Entry!$C$1232="","",[3]Entry!$C$1232)</f>
        <v/>
      </c>
      <c r="AF1229">
        <f>IF([3]Entry!$D$1232="","",[3]Entry!$D$1232)</f>
        <v/>
      </c>
      <c r="AG1229">
        <f>IF([3]Entry!$E$1232="","",[3]Entry!$E$1232)</f>
        <v/>
      </c>
      <c r="AH1229">
        <f>IF([3]Entry!$G$1232="","",[3]Entry!$G$1232)</f>
        <v/>
      </c>
      <c r="AI1229">
        <f>IF([3]Entry!$K$1232="","",[3]Entry!$K$1232)</f>
        <v/>
      </c>
      <c r="AJ1229">
        <f>IF([3]Entry!$L$1232="","",[3]Entry!$L$1232)</f>
        <v/>
      </c>
      <c r="AK1229">
        <f>IF([3]Entry!$M$1232="","",[3]Entry!$M$1232)</f>
        <v/>
      </c>
      <c r="AL1229">
        <f>IF([3]Entry!$N$1232="","",[3]Entry!$N$1232)</f>
        <v/>
      </c>
      <c r="AM1229">
        <f>IF([3]Entry!$R$1232="","",[3]Entry!$R$1232)</f>
        <v/>
      </c>
    </row>
    <row r="1230">
      <c r="T1230">
        <f>IF([2]Baskol!$B$1233="","",[2]Baskol!$B$1233)</f>
        <v/>
      </c>
      <c r="U1230">
        <f>IF([2]Baskol!$C$1233="","",[2]Baskol!$C$1233)</f>
        <v/>
      </c>
      <c r="V1230">
        <f>IF([2]Baskol!$D$1233="","",[2]Baskol!$D$1233)</f>
        <v/>
      </c>
      <c r="W1230">
        <f>IF([2]Baskol!$E$1233="","",[2]Baskol!$E$1233)</f>
        <v/>
      </c>
      <c r="X1230">
        <f>IF([2]Baskol!$G$1233="","",[2]Baskol!$G$1233)</f>
        <v/>
      </c>
      <c r="Y1230">
        <f>IF([2]Baskol!$I$1233="","",[2]Baskol!$I$1233)</f>
        <v/>
      </c>
      <c r="Z1230">
        <f>IF([2]Baskol!$J$1233="","",[2]Baskol!$J$1233)</f>
        <v/>
      </c>
      <c r="AA1230">
        <f>IF([2]Baskol!$K$1233="","",[2]Baskol!$K$1233)</f>
        <v/>
      </c>
      <c r="AB1230">
        <f>IF([2]Baskol!$L$1233="","",[2]Baskol!$L$1233)</f>
        <v/>
      </c>
      <c r="AC1230">
        <f>IF([2]Baskol!$N$1233="","",[2]Baskol!$N$1233)</f>
        <v/>
      </c>
      <c r="AD1230">
        <f>IF([2]Baskol!$O$1233="","",[2]Baskol!$O$1233)</f>
        <v/>
      </c>
      <c r="AE1230">
        <f>IF([3]Entry!$C$1233="","",[3]Entry!$C$1233)</f>
        <v/>
      </c>
      <c r="AF1230">
        <f>IF([3]Entry!$D$1233="","",[3]Entry!$D$1233)</f>
        <v/>
      </c>
      <c r="AG1230">
        <f>IF([3]Entry!$E$1233="","",[3]Entry!$E$1233)</f>
        <v/>
      </c>
      <c r="AH1230">
        <f>IF([3]Entry!$G$1233="","",[3]Entry!$G$1233)</f>
        <v/>
      </c>
      <c r="AI1230">
        <f>IF([3]Entry!$K$1233="","",[3]Entry!$K$1233)</f>
        <v/>
      </c>
      <c r="AJ1230">
        <f>IF([3]Entry!$L$1233="","",[3]Entry!$L$1233)</f>
        <v/>
      </c>
      <c r="AK1230">
        <f>IF([3]Entry!$M$1233="","",[3]Entry!$M$1233)</f>
        <v/>
      </c>
      <c r="AL1230">
        <f>IF([3]Entry!$N$1233="","",[3]Entry!$N$1233)</f>
        <v/>
      </c>
      <c r="AM1230">
        <f>IF([3]Entry!$R$1233="","",[3]Entry!$R$1233)</f>
        <v/>
      </c>
    </row>
    <row r="1231">
      <c r="T1231">
        <f>IF([2]Baskol!$B$1234="","",[2]Baskol!$B$1234)</f>
        <v/>
      </c>
      <c r="U1231">
        <f>IF([2]Baskol!$C$1234="","",[2]Baskol!$C$1234)</f>
        <v/>
      </c>
      <c r="V1231">
        <f>IF([2]Baskol!$D$1234="","",[2]Baskol!$D$1234)</f>
        <v/>
      </c>
      <c r="W1231">
        <f>IF([2]Baskol!$E$1234="","",[2]Baskol!$E$1234)</f>
        <v/>
      </c>
      <c r="X1231">
        <f>IF([2]Baskol!$G$1234="","",[2]Baskol!$G$1234)</f>
        <v/>
      </c>
      <c r="Y1231">
        <f>IF([2]Baskol!$I$1234="","",[2]Baskol!$I$1234)</f>
        <v/>
      </c>
      <c r="Z1231">
        <f>IF([2]Baskol!$J$1234="","",[2]Baskol!$J$1234)</f>
        <v/>
      </c>
      <c r="AA1231">
        <f>IF([2]Baskol!$K$1234="","",[2]Baskol!$K$1234)</f>
        <v/>
      </c>
      <c r="AB1231">
        <f>IF([2]Baskol!$L$1234="","",[2]Baskol!$L$1234)</f>
        <v/>
      </c>
      <c r="AC1231">
        <f>IF([2]Baskol!$N$1234="","",[2]Baskol!$N$1234)</f>
        <v/>
      </c>
      <c r="AD1231">
        <f>IF([2]Baskol!$O$1234="","",[2]Baskol!$O$1234)</f>
        <v/>
      </c>
      <c r="AE1231">
        <f>IF([3]Entry!$C$1234="","",[3]Entry!$C$1234)</f>
        <v/>
      </c>
      <c r="AF1231">
        <f>IF([3]Entry!$D$1234="","",[3]Entry!$D$1234)</f>
        <v/>
      </c>
      <c r="AG1231">
        <f>IF([3]Entry!$E$1234="","",[3]Entry!$E$1234)</f>
        <v/>
      </c>
      <c r="AH1231">
        <f>IF([3]Entry!$G$1234="","",[3]Entry!$G$1234)</f>
        <v/>
      </c>
      <c r="AI1231">
        <f>IF([3]Entry!$K$1234="","",[3]Entry!$K$1234)</f>
        <v/>
      </c>
      <c r="AJ1231">
        <f>IF([3]Entry!$L$1234="","",[3]Entry!$L$1234)</f>
        <v/>
      </c>
      <c r="AK1231">
        <f>IF([3]Entry!$M$1234="","",[3]Entry!$M$1234)</f>
        <v/>
      </c>
      <c r="AL1231">
        <f>IF([3]Entry!$N$1234="","",[3]Entry!$N$1234)</f>
        <v/>
      </c>
      <c r="AM1231">
        <f>IF([3]Entry!$R$1234="","",[3]Entry!$R$1234)</f>
        <v/>
      </c>
    </row>
    <row r="1232">
      <c r="T1232">
        <f>IF([2]Baskol!$B$1235="","",[2]Baskol!$B$1235)</f>
        <v/>
      </c>
      <c r="U1232">
        <f>IF([2]Baskol!$C$1235="","",[2]Baskol!$C$1235)</f>
        <v/>
      </c>
      <c r="V1232">
        <f>IF([2]Baskol!$D$1235="","",[2]Baskol!$D$1235)</f>
        <v/>
      </c>
      <c r="W1232">
        <f>IF([2]Baskol!$E$1235="","",[2]Baskol!$E$1235)</f>
        <v/>
      </c>
      <c r="X1232">
        <f>IF([2]Baskol!$G$1235="","",[2]Baskol!$G$1235)</f>
        <v/>
      </c>
      <c r="Y1232">
        <f>IF([2]Baskol!$I$1235="","",[2]Baskol!$I$1235)</f>
        <v/>
      </c>
      <c r="Z1232">
        <f>IF([2]Baskol!$J$1235="","",[2]Baskol!$J$1235)</f>
        <v/>
      </c>
      <c r="AA1232">
        <f>IF([2]Baskol!$K$1235="","",[2]Baskol!$K$1235)</f>
        <v/>
      </c>
      <c r="AB1232">
        <f>IF([2]Baskol!$L$1235="","",[2]Baskol!$L$1235)</f>
        <v/>
      </c>
      <c r="AC1232">
        <f>IF([2]Baskol!$N$1235="","",[2]Baskol!$N$1235)</f>
        <v/>
      </c>
      <c r="AD1232">
        <f>IF([2]Baskol!$O$1235="","",[2]Baskol!$O$1235)</f>
        <v/>
      </c>
      <c r="AE1232">
        <f>IF([3]Entry!$C$1235="","",[3]Entry!$C$1235)</f>
        <v/>
      </c>
      <c r="AF1232">
        <f>IF([3]Entry!$D$1235="","",[3]Entry!$D$1235)</f>
        <v/>
      </c>
      <c r="AG1232">
        <f>IF([3]Entry!$E$1235="","",[3]Entry!$E$1235)</f>
        <v/>
      </c>
      <c r="AH1232">
        <f>IF([3]Entry!$G$1235="","",[3]Entry!$G$1235)</f>
        <v/>
      </c>
      <c r="AI1232">
        <f>IF([3]Entry!$K$1235="","",[3]Entry!$K$1235)</f>
        <v/>
      </c>
      <c r="AJ1232">
        <f>IF([3]Entry!$L$1235="","",[3]Entry!$L$1235)</f>
        <v/>
      </c>
      <c r="AK1232">
        <f>IF([3]Entry!$M$1235="","",[3]Entry!$M$1235)</f>
        <v/>
      </c>
      <c r="AL1232">
        <f>IF([3]Entry!$N$1235="","",[3]Entry!$N$1235)</f>
        <v/>
      </c>
      <c r="AM1232">
        <f>IF([3]Entry!$R$1235="","",[3]Entry!$R$1235)</f>
        <v/>
      </c>
    </row>
    <row r="1233">
      <c r="T1233">
        <f>IF([2]Baskol!$B$1236="","",[2]Baskol!$B$1236)</f>
        <v/>
      </c>
      <c r="U1233">
        <f>IF([2]Baskol!$C$1236="","",[2]Baskol!$C$1236)</f>
        <v/>
      </c>
      <c r="V1233">
        <f>IF([2]Baskol!$D$1236="","",[2]Baskol!$D$1236)</f>
        <v/>
      </c>
      <c r="W1233">
        <f>IF([2]Baskol!$E$1236="","",[2]Baskol!$E$1236)</f>
        <v/>
      </c>
      <c r="X1233">
        <f>IF([2]Baskol!$G$1236="","",[2]Baskol!$G$1236)</f>
        <v/>
      </c>
      <c r="Y1233">
        <f>IF([2]Baskol!$I$1236="","",[2]Baskol!$I$1236)</f>
        <v/>
      </c>
      <c r="Z1233">
        <f>IF([2]Baskol!$J$1236="","",[2]Baskol!$J$1236)</f>
        <v/>
      </c>
      <c r="AA1233">
        <f>IF([2]Baskol!$K$1236="","",[2]Baskol!$K$1236)</f>
        <v/>
      </c>
      <c r="AB1233">
        <f>IF([2]Baskol!$L$1236="","",[2]Baskol!$L$1236)</f>
        <v/>
      </c>
      <c r="AC1233">
        <f>IF([2]Baskol!$N$1236="","",[2]Baskol!$N$1236)</f>
        <v/>
      </c>
      <c r="AD1233">
        <f>IF([2]Baskol!$O$1236="","",[2]Baskol!$O$1236)</f>
        <v/>
      </c>
      <c r="AE1233">
        <f>IF([3]Entry!$C$1236="","",[3]Entry!$C$1236)</f>
        <v/>
      </c>
      <c r="AF1233">
        <f>IF([3]Entry!$D$1236="","",[3]Entry!$D$1236)</f>
        <v/>
      </c>
      <c r="AG1233">
        <f>IF([3]Entry!$E$1236="","",[3]Entry!$E$1236)</f>
        <v/>
      </c>
      <c r="AH1233">
        <f>IF([3]Entry!$G$1236="","",[3]Entry!$G$1236)</f>
        <v/>
      </c>
      <c r="AI1233">
        <f>IF([3]Entry!$K$1236="","",[3]Entry!$K$1236)</f>
        <v/>
      </c>
      <c r="AJ1233">
        <f>IF([3]Entry!$L$1236="","",[3]Entry!$L$1236)</f>
        <v/>
      </c>
      <c r="AK1233">
        <f>IF([3]Entry!$M$1236="","",[3]Entry!$M$1236)</f>
        <v/>
      </c>
      <c r="AL1233">
        <f>IF([3]Entry!$N$1236="","",[3]Entry!$N$1236)</f>
        <v/>
      </c>
      <c r="AM1233">
        <f>IF([3]Entry!$R$1236="","",[3]Entry!$R$1236)</f>
        <v/>
      </c>
    </row>
    <row r="1234">
      <c r="T1234">
        <f>IF([2]Baskol!$B$1237="","",[2]Baskol!$B$1237)</f>
        <v/>
      </c>
      <c r="U1234">
        <f>IF([2]Baskol!$C$1237="","",[2]Baskol!$C$1237)</f>
        <v/>
      </c>
      <c r="V1234">
        <f>IF([2]Baskol!$D$1237="","",[2]Baskol!$D$1237)</f>
        <v/>
      </c>
      <c r="W1234">
        <f>IF([2]Baskol!$E$1237="","",[2]Baskol!$E$1237)</f>
        <v/>
      </c>
      <c r="X1234">
        <f>IF([2]Baskol!$G$1237="","",[2]Baskol!$G$1237)</f>
        <v/>
      </c>
      <c r="Y1234">
        <f>IF([2]Baskol!$I$1237="","",[2]Baskol!$I$1237)</f>
        <v/>
      </c>
      <c r="Z1234">
        <f>IF([2]Baskol!$J$1237="","",[2]Baskol!$J$1237)</f>
        <v/>
      </c>
      <c r="AA1234">
        <f>IF([2]Baskol!$K$1237="","",[2]Baskol!$K$1237)</f>
        <v/>
      </c>
      <c r="AB1234">
        <f>IF([2]Baskol!$L$1237="","",[2]Baskol!$L$1237)</f>
        <v/>
      </c>
      <c r="AC1234">
        <f>IF([2]Baskol!$N$1237="","",[2]Baskol!$N$1237)</f>
        <v/>
      </c>
      <c r="AD1234">
        <f>IF([2]Baskol!$O$1237="","",[2]Baskol!$O$1237)</f>
        <v/>
      </c>
      <c r="AE1234">
        <f>IF([3]Entry!$C$1237="","",[3]Entry!$C$1237)</f>
        <v/>
      </c>
      <c r="AF1234">
        <f>IF([3]Entry!$D$1237="","",[3]Entry!$D$1237)</f>
        <v/>
      </c>
      <c r="AG1234">
        <f>IF([3]Entry!$E$1237="","",[3]Entry!$E$1237)</f>
        <v/>
      </c>
      <c r="AH1234">
        <f>IF([3]Entry!$G$1237="","",[3]Entry!$G$1237)</f>
        <v/>
      </c>
      <c r="AI1234">
        <f>IF([3]Entry!$K$1237="","",[3]Entry!$K$1237)</f>
        <v/>
      </c>
      <c r="AJ1234">
        <f>IF([3]Entry!$L$1237="","",[3]Entry!$L$1237)</f>
        <v/>
      </c>
      <c r="AK1234">
        <f>IF([3]Entry!$M$1237="","",[3]Entry!$M$1237)</f>
        <v/>
      </c>
      <c r="AL1234">
        <f>IF([3]Entry!$N$1237="","",[3]Entry!$N$1237)</f>
        <v/>
      </c>
      <c r="AM1234">
        <f>IF([3]Entry!$R$1237="","",[3]Entry!$R$1237)</f>
        <v/>
      </c>
    </row>
    <row r="1235">
      <c r="T1235">
        <f>IF([2]Baskol!$B$1238="","",[2]Baskol!$B$1238)</f>
        <v/>
      </c>
      <c r="U1235">
        <f>IF([2]Baskol!$C$1238="","",[2]Baskol!$C$1238)</f>
        <v/>
      </c>
      <c r="V1235">
        <f>IF([2]Baskol!$D$1238="","",[2]Baskol!$D$1238)</f>
        <v/>
      </c>
      <c r="W1235">
        <f>IF([2]Baskol!$E$1238="","",[2]Baskol!$E$1238)</f>
        <v/>
      </c>
      <c r="X1235">
        <f>IF([2]Baskol!$G$1238="","",[2]Baskol!$G$1238)</f>
        <v/>
      </c>
      <c r="Y1235">
        <f>IF([2]Baskol!$I$1238="","",[2]Baskol!$I$1238)</f>
        <v/>
      </c>
      <c r="Z1235">
        <f>IF([2]Baskol!$J$1238="","",[2]Baskol!$J$1238)</f>
        <v/>
      </c>
      <c r="AA1235">
        <f>IF([2]Baskol!$K$1238="","",[2]Baskol!$K$1238)</f>
        <v/>
      </c>
      <c r="AB1235">
        <f>IF([2]Baskol!$L$1238="","",[2]Baskol!$L$1238)</f>
        <v/>
      </c>
      <c r="AC1235">
        <f>IF([2]Baskol!$N$1238="","",[2]Baskol!$N$1238)</f>
        <v/>
      </c>
      <c r="AD1235">
        <f>IF([2]Baskol!$O$1238="","",[2]Baskol!$O$1238)</f>
        <v/>
      </c>
      <c r="AE1235">
        <f>IF([3]Entry!$C$1238="","",[3]Entry!$C$1238)</f>
        <v/>
      </c>
      <c r="AF1235">
        <f>IF([3]Entry!$D$1238="","",[3]Entry!$D$1238)</f>
        <v/>
      </c>
      <c r="AG1235">
        <f>IF([3]Entry!$E$1238="","",[3]Entry!$E$1238)</f>
        <v/>
      </c>
      <c r="AH1235">
        <f>IF([3]Entry!$G$1238="","",[3]Entry!$G$1238)</f>
        <v/>
      </c>
      <c r="AI1235">
        <f>IF([3]Entry!$K$1238="","",[3]Entry!$K$1238)</f>
        <v/>
      </c>
      <c r="AJ1235">
        <f>IF([3]Entry!$L$1238="","",[3]Entry!$L$1238)</f>
        <v/>
      </c>
      <c r="AK1235">
        <f>IF([3]Entry!$M$1238="","",[3]Entry!$M$1238)</f>
        <v/>
      </c>
      <c r="AL1235">
        <f>IF([3]Entry!$N$1238="","",[3]Entry!$N$1238)</f>
        <v/>
      </c>
      <c r="AM1235">
        <f>IF([3]Entry!$R$1238="","",[3]Entry!$R$1238)</f>
        <v/>
      </c>
    </row>
    <row r="1236">
      <c r="T1236">
        <f>IF([2]Baskol!$B$1239="","",[2]Baskol!$B$1239)</f>
        <v/>
      </c>
      <c r="U1236">
        <f>IF([2]Baskol!$C$1239="","",[2]Baskol!$C$1239)</f>
        <v/>
      </c>
      <c r="V1236">
        <f>IF([2]Baskol!$D$1239="","",[2]Baskol!$D$1239)</f>
        <v/>
      </c>
      <c r="W1236">
        <f>IF([2]Baskol!$E$1239="","",[2]Baskol!$E$1239)</f>
        <v/>
      </c>
      <c r="X1236">
        <f>IF([2]Baskol!$G$1239="","",[2]Baskol!$G$1239)</f>
        <v/>
      </c>
      <c r="Y1236">
        <f>IF([2]Baskol!$I$1239="","",[2]Baskol!$I$1239)</f>
        <v/>
      </c>
      <c r="Z1236">
        <f>IF([2]Baskol!$J$1239="","",[2]Baskol!$J$1239)</f>
        <v/>
      </c>
      <c r="AA1236">
        <f>IF([2]Baskol!$K$1239="","",[2]Baskol!$K$1239)</f>
        <v/>
      </c>
      <c r="AB1236">
        <f>IF([2]Baskol!$L$1239="","",[2]Baskol!$L$1239)</f>
        <v/>
      </c>
      <c r="AC1236">
        <f>IF([2]Baskol!$N$1239="","",[2]Baskol!$N$1239)</f>
        <v/>
      </c>
      <c r="AD1236">
        <f>IF([2]Baskol!$O$1239="","",[2]Baskol!$O$1239)</f>
        <v/>
      </c>
      <c r="AE1236">
        <f>IF([3]Entry!$C$1239="","",[3]Entry!$C$1239)</f>
        <v/>
      </c>
      <c r="AF1236">
        <f>IF([3]Entry!$D$1239="","",[3]Entry!$D$1239)</f>
        <v/>
      </c>
      <c r="AG1236">
        <f>IF([3]Entry!$E$1239="","",[3]Entry!$E$1239)</f>
        <v/>
      </c>
      <c r="AH1236">
        <f>IF([3]Entry!$G$1239="","",[3]Entry!$G$1239)</f>
        <v/>
      </c>
      <c r="AI1236">
        <f>IF([3]Entry!$K$1239="","",[3]Entry!$K$1239)</f>
        <v/>
      </c>
      <c r="AJ1236">
        <f>IF([3]Entry!$L$1239="","",[3]Entry!$L$1239)</f>
        <v/>
      </c>
      <c r="AK1236">
        <f>IF([3]Entry!$M$1239="","",[3]Entry!$M$1239)</f>
        <v/>
      </c>
      <c r="AL1236">
        <f>IF([3]Entry!$N$1239="","",[3]Entry!$N$1239)</f>
        <v/>
      </c>
      <c r="AM1236">
        <f>IF([3]Entry!$R$1239="","",[3]Entry!$R$1239)</f>
        <v/>
      </c>
    </row>
    <row r="1237">
      <c r="T1237">
        <f>IF([2]Baskol!$B$1240="","",[2]Baskol!$B$1240)</f>
        <v/>
      </c>
      <c r="U1237">
        <f>IF([2]Baskol!$C$1240="","",[2]Baskol!$C$1240)</f>
        <v/>
      </c>
      <c r="V1237">
        <f>IF([2]Baskol!$D$1240="","",[2]Baskol!$D$1240)</f>
        <v/>
      </c>
      <c r="W1237">
        <f>IF([2]Baskol!$E$1240="","",[2]Baskol!$E$1240)</f>
        <v/>
      </c>
      <c r="X1237">
        <f>IF([2]Baskol!$G$1240="","",[2]Baskol!$G$1240)</f>
        <v/>
      </c>
      <c r="Y1237">
        <f>IF([2]Baskol!$I$1240="","",[2]Baskol!$I$1240)</f>
        <v/>
      </c>
      <c r="Z1237">
        <f>IF([2]Baskol!$J$1240="","",[2]Baskol!$J$1240)</f>
        <v/>
      </c>
      <c r="AA1237">
        <f>IF([2]Baskol!$K$1240="","",[2]Baskol!$K$1240)</f>
        <v/>
      </c>
      <c r="AB1237">
        <f>IF([2]Baskol!$L$1240="","",[2]Baskol!$L$1240)</f>
        <v/>
      </c>
      <c r="AC1237">
        <f>IF([2]Baskol!$N$1240="","",[2]Baskol!$N$1240)</f>
        <v/>
      </c>
      <c r="AD1237">
        <f>IF([2]Baskol!$O$1240="","",[2]Baskol!$O$1240)</f>
        <v/>
      </c>
      <c r="AE1237">
        <f>IF([3]Entry!$C$1240="","",[3]Entry!$C$1240)</f>
        <v/>
      </c>
      <c r="AF1237">
        <f>IF([3]Entry!$D$1240="","",[3]Entry!$D$1240)</f>
        <v/>
      </c>
      <c r="AG1237">
        <f>IF([3]Entry!$E$1240="","",[3]Entry!$E$1240)</f>
        <v/>
      </c>
      <c r="AH1237">
        <f>IF([3]Entry!$G$1240="","",[3]Entry!$G$1240)</f>
        <v/>
      </c>
      <c r="AI1237">
        <f>IF([3]Entry!$K$1240="","",[3]Entry!$K$1240)</f>
        <v/>
      </c>
      <c r="AJ1237">
        <f>IF([3]Entry!$L$1240="","",[3]Entry!$L$1240)</f>
        <v/>
      </c>
      <c r="AK1237">
        <f>IF([3]Entry!$M$1240="","",[3]Entry!$M$1240)</f>
        <v/>
      </c>
      <c r="AL1237">
        <f>IF([3]Entry!$N$1240="","",[3]Entry!$N$1240)</f>
        <v/>
      </c>
      <c r="AM1237">
        <f>IF([3]Entry!$R$1240="","",[3]Entry!$R$1240)</f>
        <v/>
      </c>
    </row>
    <row r="1238">
      <c r="T1238">
        <f>IF([2]Baskol!$B$1241="","",[2]Baskol!$B$1241)</f>
        <v/>
      </c>
      <c r="U1238">
        <f>IF([2]Baskol!$C$1241="","",[2]Baskol!$C$1241)</f>
        <v/>
      </c>
      <c r="V1238">
        <f>IF([2]Baskol!$D$1241="","",[2]Baskol!$D$1241)</f>
        <v/>
      </c>
      <c r="W1238">
        <f>IF([2]Baskol!$E$1241="","",[2]Baskol!$E$1241)</f>
        <v/>
      </c>
      <c r="X1238">
        <f>IF([2]Baskol!$G$1241="","",[2]Baskol!$G$1241)</f>
        <v/>
      </c>
      <c r="Y1238">
        <f>IF([2]Baskol!$I$1241="","",[2]Baskol!$I$1241)</f>
        <v/>
      </c>
      <c r="Z1238">
        <f>IF([2]Baskol!$J$1241="","",[2]Baskol!$J$1241)</f>
        <v/>
      </c>
      <c r="AA1238">
        <f>IF([2]Baskol!$K$1241="","",[2]Baskol!$K$1241)</f>
        <v/>
      </c>
      <c r="AB1238">
        <f>IF([2]Baskol!$L$1241="","",[2]Baskol!$L$1241)</f>
        <v/>
      </c>
      <c r="AC1238">
        <f>IF([2]Baskol!$N$1241="","",[2]Baskol!$N$1241)</f>
        <v/>
      </c>
      <c r="AD1238">
        <f>IF([2]Baskol!$O$1241="","",[2]Baskol!$O$1241)</f>
        <v/>
      </c>
      <c r="AE1238">
        <f>IF([3]Entry!$C$1241="","",[3]Entry!$C$1241)</f>
        <v/>
      </c>
      <c r="AF1238">
        <f>IF([3]Entry!$D$1241="","",[3]Entry!$D$1241)</f>
        <v/>
      </c>
      <c r="AG1238">
        <f>IF([3]Entry!$E$1241="","",[3]Entry!$E$1241)</f>
        <v/>
      </c>
      <c r="AH1238">
        <f>IF([3]Entry!$G$1241="","",[3]Entry!$G$1241)</f>
        <v/>
      </c>
      <c r="AI1238">
        <f>IF([3]Entry!$K$1241="","",[3]Entry!$K$1241)</f>
        <v/>
      </c>
      <c r="AJ1238">
        <f>IF([3]Entry!$L$1241="","",[3]Entry!$L$1241)</f>
        <v/>
      </c>
      <c r="AK1238">
        <f>IF([3]Entry!$M$1241="","",[3]Entry!$M$1241)</f>
        <v/>
      </c>
      <c r="AL1238">
        <f>IF([3]Entry!$N$1241="","",[3]Entry!$N$1241)</f>
        <v/>
      </c>
      <c r="AM1238">
        <f>IF([3]Entry!$R$1241="","",[3]Entry!$R$1241)</f>
        <v/>
      </c>
    </row>
    <row r="1239">
      <c r="T1239">
        <f>IF([2]Baskol!$B$1242="","",[2]Baskol!$B$1242)</f>
        <v/>
      </c>
      <c r="U1239">
        <f>IF([2]Baskol!$C$1242="","",[2]Baskol!$C$1242)</f>
        <v/>
      </c>
      <c r="V1239">
        <f>IF([2]Baskol!$D$1242="","",[2]Baskol!$D$1242)</f>
        <v/>
      </c>
      <c r="W1239">
        <f>IF([2]Baskol!$E$1242="","",[2]Baskol!$E$1242)</f>
        <v/>
      </c>
      <c r="X1239">
        <f>IF([2]Baskol!$G$1242="","",[2]Baskol!$G$1242)</f>
        <v/>
      </c>
      <c r="Y1239">
        <f>IF([2]Baskol!$I$1242="","",[2]Baskol!$I$1242)</f>
        <v/>
      </c>
      <c r="Z1239">
        <f>IF([2]Baskol!$J$1242="","",[2]Baskol!$J$1242)</f>
        <v/>
      </c>
      <c r="AA1239">
        <f>IF([2]Baskol!$K$1242="","",[2]Baskol!$K$1242)</f>
        <v/>
      </c>
      <c r="AB1239">
        <f>IF([2]Baskol!$L$1242="","",[2]Baskol!$L$1242)</f>
        <v/>
      </c>
      <c r="AC1239">
        <f>IF([2]Baskol!$N$1242="","",[2]Baskol!$N$1242)</f>
        <v/>
      </c>
      <c r="AD1239">
        <f>IF([2]Baskol!$O$1242="","",[2]Baskol!$O$1242)</f>
        <v/>
      </c>
      <c r="AE1239">
        <f>IF([3]Entry!$C$1242="","",[3]Entry!$C$1242)</f>
        <v/>
      </c>
      <c r="AF1239">
        <f>IF([3]Entry!$D$1242="","",[3]Entry!$D$1242)</f>
        <v/>
      </c>
      <c r="AG1239">
        <f>IF([3]Entry!$E$1242="","",[3]Entry!$E$1242)</f>
        <v/>
      </c>
      <c r="AH1239">
        <f>IF([3]Entry!$G$1242="","",[3]Entry!$G$1242)</f>
        <v/>
      </c>
      <c r="AI1239">
        <f>IF([3]Entry!$K$1242="","",[3]Entry!$K$1242)</f>
        <v/>
      </c>
      <c r="AJ1239">
        <f>IF([3]Entry!$L$1242="","",[3]Entry!$L$1242)</f>
        <v/>
      </c>
      <c r="AK1239">
        <f>IF([3]Entry!$M$1242="","",[3]Entry!$M$1242)</f>
        <v/>
      </c>
      <c r="AL1239">
        <f>IF([3]Entry!$N$1242="","",[3]Entry!$N$1242)</f>
        <v/>
      </c>
      <c r="AM1239">
        <f>IF([3]Entry!$R$1242="","",[3]Entry!$R$1242)</f>
        <v/>
      </c>
    </row>
    <row r="1240">
      <c r="T1240">
        <f>IF([2]Baskol!$B$1243="","",[2]Baskol!$B$1243)</f>
        <v/>
      </c>
      <c r="U1240">
        <f>IF([2]Baskol!$C$1243="","",[2]Baskol!$C$1243)</f>
        <v/>
      </c>
      <c r="V1240">
        <f>IF([2]Baskol!$D$1243="","",[2]Baskol!$D$1243)</f>
        <v/>
      </c>
      <c r="W1240">
        <f>IF([2]Baskol!$E$1243="","",[2]Baskol!$E$1243)</f>
        <v/>
      </c>
      <c r="X1240">
        <f>IF([2]Baskol!$G$1243="","",[2]Baskol!$G$1243)</f>
        <v/>
      </c>
      <c r="Y1240">
        <f>IF([2]Baskol!$I$1243="","",[2]Baskol!$I$1243)</f>
        <v/>
      </c>
      <c r="Z1240">
        <f>IF([2]Baskol!$J$1243="","",[2]Baskol!$J$1243)</f>
        <v/>
      </c>
      <c r="AA1240">
        <f>IF([2]Baskol!$K$1243="","",[2]Baskol!$K$1243)</f>
        <v/>
      </c>
      <c r="AB1240">
        <f>IF([2]Baskol!$L$1243="","",[2]Baskol!$L$1243)</f>
        <v/>
      </c>
      <c r="AC1240">
        <f>IF([2]Baskol!$N$1243="","",[2]Baskol!$N$1243)</f>
        <v/>
      </c>
      <c r="AD1240">
        <f>IF([2]Baskol!$O$1243="","",[2]Baskol!$O$1243)</f>
        <v/>
      </c>
      <c r="AE1240">
        <f>IF([3]Entry!$C$1243="","",[3]Entry!$C$1243)</f>
        <v/>
      </c>
      <c r="AF1240">
        <f>IF([3]Entry!$D$1243="","",[3]Entry!$D$1243)</f>
        <v/>
      </c>
      <c r="AG1240">
        <f>IF([3]Entry!$E$1243="","",[3]Entry!$E$1243)</f>
        <v/>
      </c>
      <c r="AH1240">
        <f>IF([3]Entry!$G$1243="","",[3]Entry!$G$1243)</f>
        <v/>
      </c>
      <c r="AI1240">
        <f>IF([3]Entry!$K$1243="","",[3]Entry!$K$1243)</f>
        <v/>
      </c>
      <c r="AJ1240">
        <f>IF([3]Entry!$L$1243="","",[3]Entry!$L$1243)</f>
        <v/>
      </c>
      <c r="AK1240">
        <f>IF([3]Entry!$M$1243="","",[3]Entry!$M$1243)</f>
        <v/>
      </c>
      <c r="AL1240">
        <f>IF([3]Entry!$N$1243="","",[3]Entry!$N$1243)</f>
        <v/>
      </c>
      <c r="AM1240">
        <f>IF([3]Entry!$R$1243="","",[3]Entry!$R$1243)</f>
        <v/>
      </c>
    </row>
    <row r="1241">
      <c r="T1241">
        <f>IF([2]Baskol!$B$1244="","",[2]Baskol!$B$1244)</f>
        <v/>
      </c>
      <c r="U1241">
        <f>IF([2]Baskol!$C$1244="","",[2]Baskol!$C$1244)</f>
        <v/>
      </c>
      <c r="V1241">
        <f>IF([2]Baskol!$D$1244="","",[2]Baskol!$D$1244)</f>
        <v/>
      </c>
      <c r="W1241">
        <f>IF([2]Baskol!$E$1244="","",[2]Baskol!$E$1244)</f>
        <v/>
      </c>
      <c r="X1241">
        <f>IF([2]Baskol!$G$1244="","",[2]Baskol!$G$1244)</f>
        <v/>
      </c>
      <c r="Y1241">
        <f>IF([2]Baskol!$I$1244="","",[2]Baskol!$I$1244)</f>
        <v/>
      </c>
      <c r="Z1241">
        <f>IF([2]Baskol!$J$1244="","",[2]Baskol!$J$1244)</f>
        <v/>
      </c>
      <c r="AA1241">
        <f>IF([2]Baskol!$K$1244="","",[2]Baskol!$K$1244)</f>
        <v/>
      </c>
      <c r="AB1241">
        <f>IF([2]Baskol!$L$1244="","",[2]Baskol!$L$1244)</f>
        <v/>
      </c>
      <c r="AC1241">
        <f>IF([2]Baskol!$N$1244="","",[2]Baskol!$N$1244)</f>
        <v/>
      </c>
      <c r="AD1241">
        <f>IF([2]Baskol!$O$1244="","",[2]Baskol!$O$1244)</f>
        <v/>
      </c>
      <c r="AE1241">
        <f>IF([3]Entry!$C$1244="","",[3]Entry!$C$1244)</f>
        <v/>
      </c>
      <c r="AF1241">
        <f>IF([3]Entry!$D$1244="","",[3]Entry!$D$1244)</f>
        <v/>
      </c>
      <c r="AG1241">
        <f>IF([3]Entry!$E$1244="","",[3]Entry!$E$1244)</f>
        <v/>
      </c>
      <c r="AH1241">
        <f>IF([3]Entry!$G$1244="","",[3]Entry!$G$1244)</f>
        <v/>
      </c>
      <c r="AI1241">
        <f>IF([3]Entry!$K$1244="","",[3]Entry!$K$1244)</f>
        <v/>
      </c>
      <c r="AJ1241">
        <f>IF([3]Entry!$L$1244="","",[3]Entry!$L$1244)</f>
        <v/>
      </c>
      <c r="AK1241">
        <f>IF([3]Entry!$M$1244="","",[3]Entry!$M$1244)</f>
        <v/>
      </c>
      <c r="AL1241">
        <f>IF([3]Entry!$N$1244="","",[3]Entry!$N$1244)</f>
        <v/>
      </c>
      <c r="AM1241">
        <f>IF([3]Entry!$R$1244="","",[3]Entry!$R$1244)</f>
        <v/>
      </c>
    </row>
    <row r="1242">
      <c r="T1242">
        <f>IF([2]Baskol!$B$1245="","",[2]Baskol!$B$1245)</f>
        <v/>
      </c>
      <c r="U1242">
        <f>IF([2]Baskol!$C$1245="","",[2]Baskol!$C$1245)</f>
        <v/>
      </c>
      <c r="V1242">
        <f>IF([2]Baskol!$D$1245="","",[2]Baskol!$D$1245)</f>
        <v/>
      </c>
      <c r="W1242">
        <f>IF([2]Baskol!$E$1245="","",[2]Baskol!$E$1245)</f>
        <v/>
      </c>
      <c r="X1242">
        <f>IF([2]Baskol!$G$1245="","",[2]Baskol!$G$1245)</f>
        <v/>
      </c>
      <c r="Y1242">
        <f>IF([2]Baskol!$I$1245="","",[2]Baskol!$I$1245)</f>
        <v/>
      </c>
      <c r="Z1242">
        <f>IF([2]Baskol!$J$1245="","",[2]Baskol!$J$1245)</f>
        <v/>
      </c>
      <c r="AA1242">
        <f>IF([2]Baskol!$K$1245="","",[2]Baskol!$K$1245)</f>
        <v/>
      </c>
      <c r="AB1242">
        <f>IF([2]Baskol!$L$1245="","",[2]Baskol!$L$1245)</f>
        <v/>
      </c>
      <c r="AC1242">
        <f>IF([2]Baskol!$N$1245="","",[2]Baskol!$N$1245)</f>
        <v/>
      </c>
      <c r="AD1242">
        <f>IF([2]Baskol!$O$1245="","",[2]Baskol!$O$1245)</f>
        <v/>
      </c>
      <c r="AE1242">
        <f>IF([3]Entry!$C$1245="","",[3]Entry!$C$1245)</f>
        <v/>
      </c>
      <c r="AF1242">
        <f>IF([3]Entry!$D$1245="","",[3]Entry!$D$1245)</f>
        <v/>
      </c>
      <c r="AG1242">
        <f>IF([3]Entry!$E$1245="","",[3]Entry!$E$1245)</f>
        <v/>
      </c>
      <c r="AH1242">
        <f>IF([3]Entry!$G$1245="","",[3]Entry!$G$1245)</f>
        <v/>
      </c>
      <c r="AI1242">
        <f>IF([3]Entry!$K$1245="","",[3]Entry!$K$1245)</f>
        <v/>
      </c>
      <c r="AJ1242">
        <f>IF([3]Entry!$L$1245="","",[3]Entry!$L$1245)</f>
        <v/>
      </c>
      <c r="AK1242">
        <f>IF([3]Entry!$M$1245="","",[3]Entry!$M$1245)</f>
        <v/>
      </c>
      <c r="AL1242">
        <f>IF([3]Entry!$N$1245="","",[3]Entry!$N$1245)</f>
        <v/>
      </c>
      <c r="AM1242">
        <f>IF([3]Entry!$R$1245="","",[3]Entry!$R$1245)</f>
        <v/>
      </c>
    </row>
    <row r="1243">
      <c r="T1243">
        <f>IF([2]Baskol!$B$1246="","",[2]Baskol!$B$1246)</f>
        <v/>
      </c>
      <c r="U1243">
        <f>IF([2]Baskol!$C$1246="","",[2]Baskol!$C$1246)</f>
        <v/>
      </c>
      <c r="V1243">
        <f>IF([2]Baskol!$D$1246="","",[2]Baskol!$D$1246)</f>
        <v/>
      </c>
      <c r="W1243">
        <f>IF([2]Baskol!$E$1246="","",[2]Baskol!$E$1246)</f>
        <v/>
      </c>
      <c r="X1243">
        <f>IF([2]Baskol!$G$1246="","",[2]Baskol!$G$1246)</f>
        <v/>
      </c>
      <c r="Y1243">
        <f>IF([2]Baskol!$I$1246="","",[2]Baskol!$I$1246)</f>
        <v/>
      </c>
      <c r="Z1243">
        <f>IF([2]Baskol!$J$1246="","",[2]Baskol!$J$1246)</f>
        <v/>
      </c>
      <c r="AA1243">
        <f>IF([2]Baskol!$K$1246="","",[2]Baskol!$K$1246)</f>
        <v/>
      </c>
      <c r="AB1243">
        <f>IF([2]Baskol!$L$1246="","",[2]Baskol!$L$1246)</f>
        <v/>
      </c>
      <c r="AC1243">
        <f>IF([2]Baskol!$N$1246="","",[2]Baskol!$N$1246)</f>
        <v/>
      </c>
      <c r="AD1243">
        <f>IF([2]Baskol!$O$1246="","",[2]Baskol!$O$1246)</f>
        <v/>
      </c>
      <c r="AE1243">
        <f>IF([3]Entry!$C$1246="","",[3]Entry!$C$1246)</f>
        <v/>
      </c>
      <c r="AF1243">
        <f>IF([3]Entry!$D$1246="","",[3]Entry!$D$1246)</f>
        <v/>
      </c>
      <c r="AG1243">
        <f>IF([3]Entry!$E$1246="","",[3]Entry!$E$1246)</f>
        <v/>
      </c>
      <c r="AH1243">
        <f>IF([3]Entry!$G$1246="","",[3]Entry!$G$1246)</f>
        <v/>
      </c>
      <c r="AI1243">
        <f>IF([3]Entry!$K$1246="","",[3]Entry!$K$1246)</f>
        <v/>
      </c>
      <c r="AJ1243">
        <f>IF([3]Entry!$L$1246="","",[3]Entry!$L$1246)</f>
        <v/>
      </c>
      <c r="AK1243">
        <f>IF([3]Entry!$M$1246="","",[3]Entry!$M$1246)</f>
        <v/>
      </c>
      <c r="AL1243">
        <f>IF([3]Entry!$N$1246="","",[3]Entry!$N$1246)</f>
        <v/>
      </c>
      <c r="AM1243">
        <f>IF([3]Entry!$R$1246="","",[3]Entry!$R$1246)</f>
        <v/>
      </c>
    </row>
    <row r="1244">
      <c r="T1244">
        <f>IF([2]Baskol!$B$1247="","",[2]Baskol!$B$1247)</f>
        <v/>
      </c>
      <c r="U1244">
        <f>IF([2]Baskol!$C$1247="","",[2]Baskol!$C$1247)</f>
        <v/>
      </c>
      <c r="V1244">
        <f>IF([2]Baskol!$D$1247="","",[2]Baskol!$D$1247)</f>
        <v/>
      </c>
      <c r="W1244">
        <f>IF([2]Baskol!$E$1247="","",[2]Baskol!$E$1247)</f>
        <v/>
      </c>
      <c r="X1244">
        <f>IF([2]Baskol!$G$1247="","",[2]Baskol!$G$1247)</f>
        <v/>
      </c>
      <c r="Y1244">
        <f>IF([2]Baskol!$I$1247="","",[2]Baskol!$I$1247)</f>
        <v/>
      </c>
      <c r="Z1244">
        <f>IF([2]Baskol!$J$1247="","",[2]Baskol!$J$1247)</f>
        <v/>
      </c>
      <c r="AA1244">
        <f>IF([2]Baskol!$K$1247="","",[2]Baskol!$K$1247)</f>
        <v/>
      </c>
      <c r="AB1244">
        <f>IF([2]Baskol!$L$1247="","",[2]Baskol!$L$1247)</f>
        <v/>
      </c>
      <c r="AC1244">
        <f>IF([2]Baskol!$N$1247="","",[2]Baskol!$N$1247)</f>
        <v/>
      </c>
      <c r="AD1244">
        <f>IF([2]Baskol!$O$1247="","",[2]Baskol!$O$1247)</f>
        <v/>
      </c>
      <c r="AE1244">
        <f>IF([3]Entry!$C$1247="","",[3]Entry!$C$1247)</f>
        <v/>
      </c>
      <c r="AF1244">
        <f>IF([3]Entry!$D$1247="","",[3]Entry!$D$1247)</f>
        <v/>
      </c>
      <c r="AG1244">
        <f>IF([3]Entry!$E$1247="","",[3]Entry!$E$1247)</f>
        <v/>
      </c>
      <c r="AH1244">
        <f>IF([3]Entry!$G$1247="","",[3]Entry!$G$1247)</f>
        <v/>
      </c>
      <c r="AI1244">
        <f>IF([3]Entry!$K$1247="","",[3]Entry!$K$1247)</f>
        <v/>
      </c>
      <c r="AJ1244">
        <f>IF([3]Entry!$L$1247="","",[3]Entry!$L$1247)</f>
        <v/>
      </c>
      <c r="AK1244">
        <f>IF([3]Entry!$M$1247="","",[3]Entry!$M$1247)</f>
        <v/>
      </c>
      <c r="AL1244">
        <f>IF([3]Entry!$N$1247="","",[3]Entry!$N$1247)</f>
        <v/>
      </c>
      <c r="AM1244">
        <f>IF([3]Entry!$R$1247="","",[3]Entry!$R$1247)</f>
        <v/>
      </c>
    </row>
    <row r="1245">
      <c r="T1245">
        <f>IF([2]Baskol!$B$1248="","",[2]Baskol!$B$1248)</f>
        <v/>
      </c>
      <c r="U1245">
        <f>IF([2]Baskol!$C$1248="","",[2]Baskol!$C$1248)</f>
        <v/>
      </c>
      <c r="V1245">
        <f>IF([2]Baskol!$D$1248="","",[2]Baskol!$D$1248)</f>
        <v/>
      </c>
      <c r="W1245">
        <f>IF([2]Baskol!$E$1248="","",[2]Baskol!$E$1248)</f>
        <v/>
      </c>
      <c r="X1245">
        <f>IF([2]Baskol!$G$1248="","",[2]Baskol!$G$1248)</f>
        <v/>
      </c>
      <c r="Y1245">
        <f>IF([2]Baskol!$I$1248="","",[2]Baskol!$I$1248)</f>
        <v/>
      </c>
      <c r="Z1245">
        <f>IF([2]Baskol!$J$1248="","",[2]Baskol!$J$1248)</f>
        <v/>
      </c>
      <c r="AA1245">
        <f>IF([2]Baskol!$K$1248="","",[2]Baskol!$K$1248)</f>
        <v/>
      </c>
      <c r="AB1245">
        <f>IF([2]Baskol!$L$1248="","",[2]Baskol!$L$1248)</f>
        <v/>
      </c>
      <c r="AC1245">
        <f>IF([2]Baskol!$N$1248="","",[2]Baskol!$N$1248)</f>
        <v/>
      </c>
      <c r="AD1245">
        <f>IF([2]Baskol!$O$1248="","",[2]Baskol!$O$1248)</f>
        <v/>
      </c>
      <c r="AE1245">
        <f>IF([3]Entry!$C$1248="","",[3]Entry!$C$1248)</f>
        <v/>
      </c>
      <c r="AF1245">
        <f>IF([3]Entry!$D$1248="","",[3]Entry!$D$1248)</f>
        <v/>
      </c>
      <c r="AG1245">
        <f>IF([3]Entry!$E$1248="","",[3]Entry!$E$1248)</f>
        <v/>
      </c>
      <c r="AH1245">
        <f>IF([3]Entry!$G$1248="","",[3]Entry!$G$1248)</f>
        <v/>
      </c>
      <c r="AI1245">
        <f>IF([3]Entry!$K$1248="","",[3]Entry!$K$1248)</f>
        <v/>
      </c>
      <c r="AJ1245">
        <f>IF([3]Entry!$L$1248="","",[3]Entry!$L$1248)</f>
        <v/>
      </c>
      <c r="AK1245">
        <f>IF([3]Entry!$M$1248="","",[3]Entry!$M$1248)</f>
        <v/>
      </c>
      <c r="AL1245">
        <f>IF([3]Entry!$N$1248="","",[3]Entry!$N$1248)</f>
        <v/>
      </c>
      <c r="AM1245">
        <f>IF([3]Entry!$R$1248="","",[3]Entry!$R$1248)</f>
        <v/>
      </c>
    </row>
    <row r="1246">
      <c r="T1246">
        <f>IF([2]Baskol!$B$1249="","",[2]Baskol!$B$1249)</f>
        <v/>
      </c>
      <c r="U1246">
        <f>IF([2]Baskol!$C$1249="","",[2]Baskol!$C$1249)</f>
        <v/>
      </c>
      <c r="V1246">
        <f>IF([2]Baskol!$D$1249="","",[2]Baskol!$D$1249)</f>
        <v/>
      </c>
      <c r="W1246">
        <f>IF([2]Baskol!$E$1249="","",[2]Baskol!$E$1249)</f>
        <v/>
      </c>
      <c r="X1246">
        <f>IF([2]Baskol!$G$1249="","",[2]Baskol!$G$1249)</f>
        <v/>
      </c>
      <c r="Y1246">
        <f>IF([2]Baskol!$I$1249="","",[2]Baskol!$I$1249)</f>
        <v/>
      </c>
      <c r="Z1246">
        <f>IF([2]Baskol!$J$1249="","",[2]Baskol!$J$1249)</f>
        <v/>
      </c>
      <c r="AA1246">
        <f>IF([2]Baskol!$K$1249="","",[2]Baskol!$K$1249)</f>
        <v/>
      </c>
      <c r="AB1246">
        <f>IF([2]Baskol!$L$1249="","",[2]Baskol!$L$1249)</f>
        <v/>
      </c>
      <c r="AC1246">
        <f>IF([2]Baskol!$N$1249="","",[2]Baskol!$N$1249)</f>
        <v/>
      </c>
      <c r="AD1246">
        <f>IF([2]Baskol!$O$1249="","",[2]Baskol!$O$1249)</f>
        <v/>
      </c>
      <c r="AE1246">
        <f>IF([3]Entry!$C$1249="","",[3]Entry!$C$1249)</f>
        <v/>
      </c>
      <c r="AF1246">
        <f>IF([3]Entry!$D$1249="","",[3]Entry!$D$1249)</f>
        <v/>
      </c>
      <c r="AG1246">
        <f>IF([3]Entry!$E$1249="","",[3]Entry!$E$1249)</f>
        <v/>
      </c>
      <c r="AH1246">
        <f>IF([3]Entry!$G$1249="","",[3]Entry!$G$1249)</f>
        <v/>
      </c>
      <c r="AI1246">
        <f>IF([3]Entry!$K$1249="","",[3]Entry!$K$1249)</f>
        <v/>
      </c>
      <c r="AJ1246">
        <f>IF([3]Entry!$L$1249="","",[3]Entry!$L$1249)</f>
        <v/>
      </c>
      <c r="AK1246">
        <f>IF([3]Entry!$M$1249="","",[3]Entry!$M$1249)</f>
        <v/>
      </c>
      <c r="AL1246">
        <f>IF([3]Entry!$N$1249="","",[3]Entry!$N$1249)</f>
        <v/>
      </c>
      <c r="AM1246">
        <f>IF([3]Entry!$R$1249="","",[3]Entry!$R$1249)</f>
        <v/>
      </c>
    </row>
    <row r="1247">
      <c r="T1247">
        <f>IF([2]Baskol!$B$1250="","",[2]Baskol!$B$1250)</f>
        <v/>
      </c>
      <c r="U1247">
        <f>IF([2]Baskol!$C$1250="","",[2]Baskol!$C$1250)</f>
        <v/>
      </c>
      <c r="V1247">
        <f>IF([2]Baskol!$D$1250="","",[2]Baskol!$D$1250)</f>
        <v/>
      </c>
      <c r="W1247">
        <f>IF([2]Baskol!$E$1250="","",[2]Baskol!$E$1250)</f>
        <v/>
      </c>
      <c r="X1247">
        <f>IF([2]Baskol!$G$1250="","",[2]Baskol!$G$1250)</f>
        <v/>
      </c>
      <c r="Y1247">
        <f>IF([2]Baskol!$I$1250="","",[2]Baskol!$I$1250)</f>
        <v/>
      </c>
      <c r="Z1247">
        <f>IF([2]Baskol!$J$1250="","",[2]Baskol!$J$1250)</f>
        <v/>
      </c>
      <c r="AA1247">
        <f>IF([2]Baskol!$K$1250="","",[2]Baskol!$K$1250)</f>
        <v/>
      </c>
      <c r="AB1247">
        <f>IF([2]Baskol!$L$1250="","",[2]Baskol!$L$1250)</f>
        <v/>
      </c>
      <c r="AC1247">
        <f>IF([2]Baskol!$N$1250="","",[2]Baskol!$N$1250)</f>
        <v/>
      </c>
      <c r="AD1247">
        <f>IF([2]Baskol!$O$1250="","",[2]Baskol!$O$1250)</f>
        <v/>
      </c>
      <c r="AE1247">
        <f>IF([3]Entry!$C$1250="","",[3]Entry!$C$1250)</f>
        <v/>
      </c>
      <c r="AF1247">
        <f>IF([3]Entry!$D$1250="","",[3]Entry!$D$1250)</f>
        <v/>
      </c>
      <c r="AG1247">
        <f>IF([3]Entry!$E$1250="","",[3]Entry!$E$1250)</f>
        <v/>
      </c>
      <c r="AH1247">
        <f>IF([3]Entry!$G$1250="","",[3]Entry!$G$1250)</f>
        <v/>
      </c>
      <c r="AI1247">
        <f>IF([3]Entry!$K$1250="","",[3]Entry!$K$1250)</f>
        <v/>
      </c>
      <c r="AJ1247">
        <f>IF([3]Entry!$L$1250="","",[3]Entry!$L$1250)</f>
        <v/>
      </c>
      <c r="AK1247">
        <f>IF([3]Entry!$M$1250="","",[3]Entry!$M$1250)</f>
        <v/>
      </c>
      <c r="AL1247">
        <f>IF([3]Entry!$N$1250="","",[3]Entry!$N$1250)</f>
        <v/>
      </c>
      <c r="AM1247">
        <f>IF([3]Entry!$R$1250="","",[3]Entry!$R$1250)</f>
        <v/>
      </c>
    </row>
    <row r="1248">
      <c r="T1248">
        <f>IF([2]Baskol!$B$1251="","",[2]Baskol!$B$1251)</f>
        <v/>
      </c>
      <c r="U1248">
        <f>IF([2]Baskol!$C$1251="","",[2]Baskol!$C$1251)</f>
        <v/>
      </c>
      <c r="V1248">
        <f>IF([2]Baskol!$D$1251="","",[2]Baskol!$D$1251)</f>
        <v/>
      </c>
      <c r="W1248">
        <f>IF([2]Baskol!$E$1251="","",[2]Baskol!$E$1251)</f>
        <v/>
      </c>
      <c r="X1248">
        <f>IF([2]Baskol!$G$1251="","",[2]Baskol!$G$1251)</f>
        <v/>
      </c>
      <c r="Y1248">
        <f>IF([2]Baskol!$I$1251="","",[2]Baskol!$I$1251)</f>
        <v/>
      </c>
      <c r="Z1248">
        <f>IF([2]Baskol!$J$1251="","",[2]Baskol!$J$1251)</f>
        <v/>
      </c>
      <c r="AA1248">
        <f>IF([2]Baskol!$K$1251="","",[2]Baskol!$K$1251)</f>
        <v/>
      </c>
      <c r="AB1248">
        <f>IF([2]Baskol!$L$1251="","",[2]Baskol!$L$1251)</f>
        <v/>
      </c>
      <c r="AC1248">
        <f>IF([2]Baskol!$N$1251="","",[2]Baskol!$N$1251)</f>
        <v/>
      </c>
      <c r="AD1248">
        <f>IF([2]Baskol!$O$1251="","",[2]Baskol!$O$1251)</f>
        <v/>
      </c>
      <c r="AE1248">
        <f>IF([3]Entry!$C$1251="","",[3]Entry!$C$1251)</f>
        <v/>
      </c>
      <c r="AF1248">
        <f>IF([3]Entry!$D$1251="","",[3]Entry!$D$1251)</f>
        <v/>
      </c>
      <c r="AG1248">
        <f>IF([3]Entry!$E$1251="","",[3]Entry!$E$1251)</f>
        <v/>
      </c>
      <c r="AH1248">
        <f>IF([3]Entry!$G$1251="","",[3]Entry!$G$1251)</f>
        <v/>
      </c>
      <c r="AI1248">
        <f>IF([3]Entry!$K$1251="","",[3]Entry!$K$1251)</f>
        <v/>
      </c>
      <c r="AJ1248">
        <f>IF([3]Entry!$L$1251="","",[3]Entry!$L$1251)</f>
        <v/>
      </c>
      <c r="AK1248">
        <f>IF([3]Entry!$M$1251="","",[3]Entry!$M$1251)</f>
        <v/>
      </c>
      <c r="AL1248">
        <f>IF([3]Entry!$N$1251="","",[3]Entry!$N$1251)</f>
        <v/>
      </c>
      <c r="AM1248">
        <f>IF([3]Entry!$R$1251="","",[3]Entry!$R$1251)</f>
        <v/>
      </c>
    </row>
    <row r="1249">
      <c r="T1249">
        <f>IF([2]Baskol!$B$1252="","",[2]Baskol!$B$1252)</f>
        <v/>
      </c>
      <c r="U1249">
        <f>IF([2]Baskol!$C$1252="","",[2]Baskol!$C$1252)</f>
        <v/>
      </c>
      <c r="V1249">
        <f>IF([2]Baskol!$D$1252="","",[2]Baskol!$D$1252)</f>
        <v/>
      </c>
      <c r="W1249">
        <f>IF([2]Baskol!$E$1252="","",[2]Baskol!$E$1252)</f>
        <v/>
      </c>
      <c r="X1249">
        <f>IF([2]Baskol!$G$1252="","",[2]Baskol!$G$1252)</f>
        <v/>
      </c>
      <c r="Y1249">
        <f>IF([2]Baskol!$I$1252="","",[2]Baskol!$I$1252)</f>
        <v/>
      </c>
      <c r="Z1249">
        <f>IF([2]Baskol!$J$1252="","",[2]Baskol!$J$1252)</f>
        <v/>
      </c>
      <c r="AA1249">
        <f>IF([2]Baskol!$K$1252="","",[2]Baskol!$K$1252)</f>
        <v/>
      </c>
      <c r="AB1249">
        <f>IF([2]Baskol!$L$1252="","",[2]Baskol!$L$1252)</f>
        <v/>
      </c>
      <c r="AC1249">
        <f>IF([2]Baskol!$N$1252="","",[2]Baskol!$N$1252)</f>
        <v/>
      </c>
      <c r="AD1249">
        <f>IF([2]Baskol!$O$1252="","",[2]Baskol!$O$1252)</f>
        <v/>
      </c>
      <c r="AE1249">
        <f>IF([3]Entry!$C$1252="","",[3]Entry!$C$1252)</f>
        <v/>
      </c>
      <c r="AF1249">
        <f>IF([3]Entry!$D$1252="","",[3]Entry!$D$1252)</f>
        <v/>
      </c>
      <c r="AG1249">
        <f>IF([3]Entry!$E$1252="","",[3]Entry!$E$1252)</f>
        <v/>
      </c>
      <c r="AH1249">
        <f>IF([3]Entry!$G$1252="","",[3]Entry!$G$1252)</f>
        <v/>
      </c>
      <c r="AI1249">
        <f>IF([3]Entry!$K$1252="","",[3]Entry!$K$1252)</f>
        <v/>
      </c>
      <c r="AJ1249">
        <f>IF([3]Entry!$L$1252="","",[3]Entry!$L$1252)</f>
        <v/>
      </c>
      <c r="AK1249">
        <f>IF([3]Entry!$M$1252="","",[3]Entry!$M$1252)</f>
        <v/>
      </c>
      <c r="AL1249">
        <f>IF([3]Entry!$N$1252="","",[3]Entry!$N$1252)</f>
        <v/>
      </c>
      <c r="AM1249">
        <f>IF([3]Entry!$R$1252="","",[3]Entry!$R$1252)</f>
        <v/>
      </c>
    </row>
    <row r="1250">
      <c r="T1250">
        <f>IF([2]Baskol!$B$1253="","",[2]Baskol!$B$1253)</f>
        <v/>
      </c>
      <c r="U1250">
        <f>IF([2]Baskol!$C$1253="","",[2]Baskol!$C$1253)</f>
        <v/>
      </c>
      <c r="V1250">
        <f>IF([2]Baskol!$D$1253="","",[2]Baskol!$D$1253)</f>
        <v/>
      </c>
      <c r="W1250">
        <f>IF([2]Baskol!$E$1253="","",[2]Baskol!$E$1253)</f>
        <v/>
      </c>
      <c r="X1250">
        <f>IF([2]Baskol!$G$1253="","",[2]Baskol!$G$1253)</f>
        <v/>
      </c>
      <c r="Y1250">
        <f>IF([2]Baskol!$I$1253="","",[2]Baskol!$I$1253)</f>
        <v/>
      </c>
      <c r="Z1250">
        <f>IF([2]Baskol!$J$1253="","",[2]Baskol!$J$1253)</f>
        <v/>
      </c>
      <c r="AA1250">
        <f>IF([2]Baskol!$K$1253="","",[2]Baskol!$K$1253)</f>
        <v/>
      </c>
      <c r="AB1250">
        <f>IF([2]Baskol!$L$1253="","",[2]Baskol!$L$1253)</f>
        <v/>
      </c>
      <c r="AC1250">
        <f>IF([2]Baskol!$N$1253="","",[2]Baskol!$N$1253)</f>
        <v/>
      </c>
      <c r="AD1250">
        <f>IF([2]Baskol!$O$1253="","",[2]Baskol!$O$1253)</f>
        <v/>
      </c>
      <c r="AE1250">
        <f>IF([3]Entry!$C$1253="","",[3]Entry!$C$1253)</f>
        <v/>
      </c>
      <c r="AF1250">
        <f>IF([3]Entry!$D$1253="","",[3]Entry!$D$1253)</f>
        <v/>
      </c>
      <c r="AG1250">
        <f>IF([3]Entry!$E$1253="","",[3]Entry!$E$1253)</f>
        <v/>
      </c>
      <c r="AH1250">
        <f>IF([3]Entry!$G$1253="","",[3]Entry!$G$1253)</f>
        <v/>
      </c>
      <c r="AI1250">
        <f>IF([3]Entry!$K$1253="","",[3]Entry!$K$1253)</f>
        <v/>
      </c>
      <c r="AJ1250">
        <f>IF([3]Entry!$L$1253="","",[3]Entry!$L$1253)</f>
        <v/>
      </c>
      <c r="AK1250">
        <f>IF([3]Entry!$M$1253="","",[3]Entry!$M$1253)</f>
        <v/>
      </c>
      <c r="AL1250">
        <f>IF([3]Entry!$N$1253="","",[3]Entry!$N$1253)</f>
        <v/>
      </c>
      <c r="AM1250">
        <f>IF([3]Entry!$R$1253="","",[3]Entry!$R$1253)</f>
        <v/>
      </c>
    </row>
    <row r="1251">
      <c r="T1251">
        <f>IF([2]Baskol!$B$1254="","",[2]Baskol!$B$1254)</f>
        <v/>
      </c>
      <c r="U1251">
        <f>IF([2]Baskol!$C$1254="","",[2]Baskol!$C$1254)</f>
        <v/>
      </c>
      <c r="V1251">
        <f>IF([2]Baskol!$D$1254="","",[2]Baskol!$D$1254)</f>
        <v/>
      </c>
      <c r="W1251">
        <f>IF([2]Baskol!$E$1254="","",[2]Baskol!$E$1254)</f>
        <v/>
      </c>
      <c r="X1251">
        <f>IF([2]Baskol!$G$1254="","",[2]Baskol!$G$1254)</f>
        <v/>
      </c>
      <c r="Y1251">
        <f>IF([2]Baskol!$I$1254="","",[2]Baskol!$I$1254)</f>
        <v/>
      </c>
      <c r="Z1251">
        <f>IF([2]Baskol!$J$1254="","",[2]Baskol!$J$1254)</f>
        <v/>
      </c>
      <c r="AA1251">
        <f>IF([2]Baskol!$K$1254="","",[2]Baskol!$K$1254)</f>
        <v/>
      </c>
      <c r="AB1251">
        <f>IF([2]Baskol!$L$1254="","",[2]Baskol!$L$1254)</f>
        <v/>
      </c>
      <c r="AC1251">
        <f>IF([2]Baskol!$N$1254="","",[2]Baskol!$N$1254)</f>
        <v/>
      </c>
      <c r="AD1251">
        <f>IF([2]Baskol!$O$1254="","",[2]Baskol!$O$1254)</f>
        <v/>
      </c>
      <c r="AE1251">
        <f>IF([3]Entry!$C$1254="","",[3]Entry!$C$1254)</f>
        <v/>
      </c>
      <c r="AF1251">
        <f>IF([3]Entry!$D$1254="","",[3]Entry!$D$1254)</f>
        <v/>
      </c>
      <c r="AG1251">
        <f>IF([3]Entry!$E$1254="","",[3]Entry!$E$1254)</f>
        <v/>
      </c>
      <c r="AH1251">
        <f>IF([3]Entry!$G$1254="","",[3]Entry!$G$1254)</f>
        <v/>
      </c>
      <c r="AI1251">
        <f>IF([3]Entry!$K$1254="","",[3]Entry!$K$1254)</f>
        <v/>
      </c>
      <c r="AJ1251">
        <f>IF([3]Entry!$L$1254="","",[3]Entry!$L$1254)</f>
        <v/>
      </c>
      <c r="AK1251">
        <f>IF([3]Entry!$M$1254="","",[3]Entry!$M$1254)</f>
        <v/>
      </c>
      <c r="AL1251">
        <f>IF([3]Entry!$N$1254="","",[3]Entry!$N$1254)</f>
        <v/>
      </c>
      <c r="AM1251">
        <f>IF([3]Entry!$R$1254="","",[3]Entry!$R$1254)</f>
        <v/>
      </c>
    </row>
    <row r="1252">
      <c r="T1252">
        <f>IF([2]Baskol!$B$1255="","",[2]Baskol!$B$1255)</f>
        <v/>
      </c>
      <c r="U1252">
        <f>IF([2]Baskol!$C$1255="","",[2]Baskol!$C$1255)</f>
        <v/>
      </c>
      <c r="V1252">
        <f>IF([2]Baskol!$D$1255="","",[2]Baskol!$D$1255)</f>
        <v/>
      </c>
      <c r="W1252">
        <f>IF([2]Baskol!$E$1255="","",[2]Baskol!$E$1255)</f>
        <v/>
      </c>
      <c r="X1252">
        <f>IF([2]Baskol!$G$1255="","",[2]Baskol!$G$1255)</f>
        <v/>
      </c>
      <c r="Y1252">
        <f>IF([2]Baskol!$I$1255="","",[2]Baskol!$I$1255)</f>
        <v/>
      </c>
      <c r="Z1252">
        <f>IF([2]Baskol!$J$1255="","",[2]Baskol!$J$1255)</f>
        <v/>
      </c>
      <c r="AA1252">
        <f>IF([2]Baskol!$K$1255="","",[2]Baskol!$K$1255)</f>
        <v/>
      </c>
      <c r="AB1252">
        <f>IF([2]Baskol!$L$1255="","",[2]Baskol!$L$1255)</f>
        <v/>
      </c>
      <c r="AC1252">
        <f>IF([2]Baskol!$N$1255="","",[2]Baskol!$N$1255)</f>
        <v/>
      </c>
      <c r="AD1252">
        <f>IF([2]Baskol!$O$1255="","",[2]Baskol!$O$1255)</f>
        <v/>
      </c>
      <c r="AE1252">
        <f>IF([3]Entry!$C$1255="","",[3]Entry!$C$1255)</f>
        <v/>
      </c>
      <c r="AF1252">
        <f>IF([3]Entry!$D$1255="","",[3]Entry!$D$1255)</f>
        <v/>
      </c>
      <c r="AG1252">
        <f>IF([3]Entry!$E$1255="","",[3]Entry!$E$1255)</f>
        <v/>
      </c>
      <c r="AH1252">
        <f>IF([3]Entry!$G$1255="","",[3]Entry!$G$1255)</f>
        <v/>
      </c>
      <c r="AI1252">
        <f>IF([3]Entry!$K$1255="","",[3]Entry!$K$1255)</f>
        <v/>
      </c>
      <c r="AJ1252">
        <f>IF([3]Entry!$L$1255="","",[3]Entry!$L$1255)</f>
        <v/>
      </c>
      <c r="AK1252">
        <f>IF([3]Entry!$M$1255="","",[3]Entry!$M$1255)</f>
        <v/>
      </c>
      <c r="AL1252">
        <f>IF([3]Entry!$N$1255="","",[3]Entry!$N$1255)</f>
        <v/>
      </c>
      <c r="AM1252">
        <f>IF([3]Entry!$R$1255="","",[3]Entry!$R$1255)</f>
        <v/>
      </c>
    </row>
    <row r="1253">
      <c r="T1253">
        <f>IF([2]Baskol!$B$1256="","",[2]Baskol!$B$1256)</f>
        <v/>
      </c>
      <c r="U1253">
        <f>IF([2]Baskol!$C$1256="","",[2]Baskol!$C$1256)</f>
        <v/>
      </c>
      <c r="V1253">
        <f>IF([2]Baskol!$D$1256="","",[2]Baskol!$D$1256)</f>
        <v/>
      </c>
      <c r="W1253">
        <f>IF([2]Baskol!$E$1256="","",[2]Baskol!$E$1256)</f>
        <v/>
      </c>
      <c r="X1253">
        <f>IF([2]Baskol!$G$1256="","",[2]Baskol!$G$1256)</f>
        <v/>
      </c>
      <c r="Y1253">
        <f>IF([2]Baskol!$I$1256="","",[2]Baskol!$I$1256)</f>
        <v/>
      </c>
      <c r="Z1253">
        <f>IF([2]Baskol!$J$1256="","",[2]Baskol!$J$1256)</f>
        <v/>
      </c>
      <c r="AA1253">
        <f>IF([2]Baskol!$K$1256="","",[2]Baskol!$K$1256)</f>
        <v/>
      </c>
      <c r="AB1253">
        <f>IF([2]Baskol!$L$1256="","",[2]Baskol!$L$1256)</f>
        <v/>
      </c>
      <c r="AC1253">
        <f>IF([2]Baskol!$N$1256="","",[2]Baskol!$N$1256)</f>
        <v/>
      </c>
      <c r="AD1253">
        <f>IF([2]Baskol!$O$1256="","",[2]Baskol!$O$1256)</f>
        <v/>
      </c>
      <c r="AE1253">
        <f>IF([3]Entry!$C$1256="","",[3]Entry!$C$1256)</f>
        <v/>
      </c>
      <c r="AF1253">
        <f>IF([3]Entry!$D$1256="","",[3]Entry!$D$1256)</f>
        <v/>
      </c>
      <c r="AG1253">
        <f>IF([3]Entry!$E$1256="","",[3]Entry!$E$1256)</f>
        <v/>
      </c>
      <c r="AH1253">
        <f>IF([3]Entry!$G$1256="","",[3]Entry!$G$1256)</f>
        <v/>
      </c>
      <c r="AI1253">
        <f>IF([3]Entry!$K$1256="","",[3]Entry!$K$1256)</f>
        <v/>
      </c>
      <c r="AJ1253">
        <f>IF([3]Entry!$L$1256="","",[3]Entry!$L$1256)</f>
        <v/>
      </c>
      <c r="AK1253">
        <f>IF([3]Entry!$M$1256="","",[3]Entry!$M$1256)</f>
        <v/>
      </c>
      <c r="AL1253">
        <f>IF([3]Entry!$N$1256="","",[3]Entry!$N$1256)</f>
        <v/>
      </c>
      <c r="AM1253">
        <f>IF([3]Entry!$R$1256="","",[3]Entry!$R$1256)</f>
        <v/>
      </c>
    </row>
    <row r="1254">
      <c r="T1254">
        <f>IF([2]Baskol!$B$1257="","",[2]Baskol!$B$1257)</f>
        <v/>
      </c>
      <c r="U1254">
        <f>IF([2]Baskol!$C$1257="","",[2]Baskol!$C$1257)</f>
        <v/>
      </c>
      <c r="V1254">
        <f>IF([2]Baskol!$D$1257="","",[2]Baskol!$D$1257)</f>
        <v/>
      </c>
      <c r="W1254">
        <f>IF([2]Baskol!$E$1257="","",[2]Baskol!$E$1257)</f>
        <v/>
      </c>
      <c r="X1254">
        <f>IF([2]Baskol!$G$1257="","",[2]Baskol!$G$1257)</f>
        <v/>
      </c>
      <c r="Y1254">
        <f>IF([2]Baskol!$I$1257="","",[2]Baskol!$I$1257)</f>
        <v/>
      </c>
      <c r="Z1254">
        <f>IF([2]Baskol!$J$1257="","",[2]Baskol!$J$1257)</f>
        <v/>
      </c>
      <c r="AA1254">
        <f>IF([2]Baskol!$K$1257="","",[2]Baskol!$K$1257)</f>
        <v/>
      </c>
      <c r="AB1254">
        <f>IF([2]Baskol!$L$1257="","",[2]Baskol!$L$1257)</f>
        <v/>
      </c>
      <c r="AC1254">
        <f>IF([2]Baskol!$N$1257="","",[2]Baskol!$N$1257)</f>
        <v/>
      </c>
      <c r="AD1254">
        <f>IF([2]Baskol!$O$1257="","",[2]Baskol!$O$1257)</f>
        <v/>
      </c>
      <c r="AE1254">
        <f>IF([3]Entry!$C$1257="","",[3]Entry!$C$1257)</f>
        <v/>
      </c>
      <c r="AF1254">
        <f>IF([3]Entry!$D$1257="","",[3]Entry!$D$1257)</f>
        <v/>
      </c>
      <c r="AG1254">
        <f>IF([3]Entry!$E$1257="","",[3]Entry!$E$1257)</f>
        <v/>
      </c>
      <c r="AH1254">
        <f>IF([3]Entry!$G$1257="","",[3]Entry!$G$1257)</f>
        <v/>
      </c>
      <c r="AI1254">
        <f>IF([3]Entry!$K$1257="","",[3]Entry!$K$1257)</f>
        <v/>
      </c>
      <c r="AJ1254">
        <f>IF([3]Entry!$L$1257="","",[3]Entry!$L$1257)</f>
        <v/>
      </c>
      <c r="AK1254">
        <f>IF([3]Entry!$M$1257="","",[3]Entry!$M$1257)</f>
        <v/>
      </c>
      <c r="AL1254">
        <f>IF([3]Entry!$N$1257="","",[3]Entry!$N$1257)</f>
        <v/>
      </c>
      <c r="AM1254">
        <f>IF([3]Entry!$R$1257="","",[3]Entry!$R$1257)</f>
        <v/>
      </c>
    </row>
    <row r="1255">
      <c r="T1255">
        <f>IF([2]Baskol!$B$1258="","",[2]Baskol!$B$1258)</f>
        <v/>
      </c>
      <c r="U1255">
        <f>IF([2]Baskol!$C$1258="","",[2]Baskol!$C$1258)</f>
        <v/>
      </c>
      <c r="V1255">
        <f>IF([2]Baskol!$D$1258="","",[2]Baskol!$D$1258)</f>
        <v/>
      </c>
      <c r="W1255">
        <f>IF([2]Baskol!$E$1258="","",[2]Baskol!$E$1258)</f>
        <v/>
      </c>
      <c r="X1255">
        <f>IF([2]Baskol!$G$1258="","",[2]Baskol!$G$1258)</f>
        <v/>
      </c>
      <c r="Y1255">
        <f>IF([2]Baskol!$I$1258="","",[2]Baskol!$I$1258)</f>
        <v/>
      </c>
      <c r="Z1255">
        <f>IF([2]Baskol!$J$1258="","",[2]Baskol!$J$1258)</f>
        <v/>
      </c>
      <c r="AA1255">
        <f>IF([2]Baskol!$K$1258="","",[2]Baskol!$K$1258)</f>
        <v/>
      </c>
      <c r="AB1255">
        <f>IF([2]Baskol!$L$1258="","",[2]Baskol!$L$1258)</f>
        <v/>
      </c>
      <c r="AC1255">
        <f>IF([2]Baskol!$N$1258="","",[2]Baskol!$N$1258)</f>
        <v/>
      </c>
      <c r="AD1255">
        <f>IF([2]Baskol!$O$1258="","",[2]Baskol!$O$1258)</f>
        <v/>
      </c>
      <c r="AE1255">
        <f>IF([3]Entry!$C$1258="","",[3]Entry!$C$1258)</f>
        <v/>
      </c>
      <c r="AF1255">
        <f>IF([3]Entry!$D$1258="","",[3]Entry!$D$1258)</f>
        <v/>
      </c>
      <c r="AG1255">
        <f>IF([3]Entry!$E$1258="","",[3]Entry!$E$1258)</f>
        <v/>
      </c>
      <c r="AH1255">
        <f>IF([3]Entry!$G$1258="","",[3]Entry!$G$1258)</f>
        <v/>
      </c>
      <c r="AI1255">
        <f>IF([3]Entry!$K$1258="","",[3]Entry!$K$1258)</f>
        <v/>
      </c>
      <c r="AJ1255">
        <f>IF([3]Entry!$L$1258="","",[3]Entry!$L$1258)</f>
        <v/>
      </c>
      <c r="AK1255">
        <f>IF([3]Entry!$M$1258="","",[3]Entry!$M$1258)</f>
        <v/>
      </c>
      <c r="AL1255">
        <f>IF([3]Entry!$N$1258="","",[3]Entry!$N$1258)</f>
        <v/>
      </c>
      <c r="AM1255">
        <f>IF([3]Entry!$R$1258="","",[3]Entry!$R$1258)</f>
        <v/>
      </c>
    </row>
    <row r="1256">
      <c r="T1256">
        <f>IF([2]Baskol!$B$1259="","",[2]Baskol!$B$1259)</f>
        <v/>
      </c>
      <c r="U1256">
        <f>IF([2]Baskol!$C$1259="","",[2]Baskol!$C$1259)</f>
        <v/>
      </c>
      <c r="V1256">
        <f>IF([2]Baskol!$D$1259="","",[2]Baskol!$D$1259)</f>
        <v/>
      </c>
      <c r="W1256">
        <f>IF([2]Baskol!$E$1259="","",[2]Baskol!$E$1259)</f>
        <v/>
      </c>
      <c r="X1256">
        <f>IF([2]Baskol!$G$1259="","",[2]Baskol!$G$1259)</f>
        <v/>
      </c>
      <c r="Y1256">
        <f>IF([2]Baskol!$I$1259="","",[2]Baskol!$I$1259)</f>
        <v/>
      </c>
      <c r="Z1256">
        <f>IF([2]Baskol!$J$1259="","",[2]Baskol!$J$1259)</f>
        <v/>
      </c>
      <c r="AA1256">
        <f>IF([2]Baskol!$K$1259="","",[2]Baskol!$K$1259)</f>
        <v/>
      </c>
      <c r="AB1256">
        <f>IF([2]Baskol!$L$1259="","",[2]Baskol!$L$1259)</f>
        <v/>
      </c>
      <c r="AC1256">
        <f>IF([2]Baskol!$N$1259="","",[2]Baskol!$N$1259)</f>
        <v/>
      </c>
      <c r="AD1256">
        <f>IF([2]Baskol!$O$1259="","",[2]Baskol!$O$1259)</f>
        <v/>
      </c>
      <c r="AE1256">
        <f>IF([3]Entry!$C$1259="","",[3]Entry!$C$1259)</f>
        <v/>
      </c>
      <c r="AF1256">
        <f>IF([3]Entry!$D$1259="","",[3]Entry!$D$1259)</f>
        <v/>
      </c>
      <c r="AG1256">
        <f>IF([3]Entry!$E$1259="","",[3]Entry!$E$1259)</f>
        <v/>
      </c>
      <c r="AH1256">
        <f>IF([3]Entry!$G$1259="","",[3]Entry!$G$1259)</f>
        <v/>
      </c>
      <c r="AI1256">
        <f>IF([3]Entry!$K$1259="","",[3]Entry!$K$1259)</f>
        <v/>
      </c>
      <c r="AJ1256">
        <f>IF([3]Entry!$L$1259="","",[3]Entry!$L$1259)</f>
        <v/>
      </c>
      <c r="AK1256">
        <f>IF([3]Entry!$M$1259="","",[3]Entry!$M$1259)</f>
        <v/>
      </c>
      <c r="AL1256">
        <f>IF([3]Entry!$N$1259="","",[3]Entry!$N$1259)</f>
        <v/>
      </c>
      <c r="AM1256">
        <f>IF([3]Entry!$R$1259="","",[3]Entry!$R$1259)</f>
        <v/>
      </c>
    </row>
    <row r="1257">
      <c r="T1257">
        <f>IF([2]Baskol!$B$1260="","",[2]Baskol!$B$1260)</f>
        <v/>
      </c>
      <c r="U1257">
        <f>IF([2]Baskol!$C$1260="","",[2]Baskol!$C$1260)</f>
        <v/>
      </c>
      <c r="V1257">
        <f>IF([2]Baskol!$D$1260="","",[2]Baskol!$D$1260)</f>
        <v/>
      </c>
      <c r="W1257">
        <f>IF([2]Baskol!$E$1260="","",[2]Baskol!$E$1260)</f>
        <v/>
      </c>
      <c r="X1257">
        <f>IF([2]Baskol!$G$1260="","",[2]Baskol!$G$1260)</f>
        <v/>
      </c>
      <c r="Y1257">
        <f>IF([2]Baskol!$I$1260="","",[2]Baskol!$I$1260)</f>
        <v/>
      </c>
      <c r="Z1257">
        <f>IF([2]Baskol!$J$1260="","",[2]Baskol!$J$1260)</f>
        <v/>
      </c>
      <c r="AA1257">
        <f>IF([2]Baskol!$K$1260="","",[2]Baskol!$K$1260)</f>
        <v/>
      </c>
      <c r="AB1257">
        <f>IF([2]Baskol!$L$1260="","",[2]Baskol!$L$1260)</f>
        <v/>
      </c>
      <c r="AC1257">
        <f>IF([2]Baskol!$N$1260="","",[2]Baskol!$N$1260)</f>
        <v/>
      </c>
      <c r="AD1257">
        <f>IF([2]Baskol!$O$1260="","",[2]Baskol!$O$1260)</f>
        <v/>
      </c>
      <c r="AE1257">
        <f>IF([3]Entry!$C$1260="","",[3]Entry!$C$1260)</f>
        <v/>
      </c>
      <c r="AF1257">
        <f>IF([3]Entry!$D$1260="","",[3]Entry!$D$1260)</f>
        <v/>
      </c>
      <c r="AG1257">
        <f>IF([3]Entry!$E$1260="","",[3]Entry!$E$1260)</f>
        <v/>
      </c>
      <c r="AH1257">
        <f>IF([3]Entry!$G$1260="","",[3]Entry!$G$1260)</f>
        <v/>
      </c>
      <c r="AI1257">
        <f>IF([3]Entry!$K$1260="","",[3]Entry!$K$1260)</f>
        <v/>
      </c>
      <c r="AJ1257">
        <f>IF([3]Entry!$L$1260="","",[3]Entry!$L$1260)</f>
        <v/>
      </c>
      <c r="AK1257">
        <f>IF([3]Entry!$M$1260="","",[3]Entry!$M$1260)</f>
        <v/>
      </c>
      <c r="AL1257">
        <f>IF([3]Entry!$N$1260="","",[3]Entry!$N$1260)</f>
        <v/>
      </c>
      <c r="AM1257">
        <f>IF([3]Entry!$R$1260="","",[3]Entry!$R$1260)</f>
        <v/>
      </c>
    </row>
    <row r="1258">
      <c r="T1258">
        <f>IF([2]Baskol!$B$1261="","",[2]Baskol!$B$1261)</f>
        <v/>
      </c>
      <c r="U1258">
        <f>IF([2]Baskol!$C$1261="","",[2]Baskol!$C$1261)</f>
        <v/>
      </c>
      <c r="V1258">
        <f>IF([2]Baskol!$D$1261="","",[2]Baskol!$D$1261)</f>
        <v/>
      </c>
      <c r="W1258">
        <f>IF([2]Baskol!$E$1261="","",[2]Baskol!$E$1261)</f>
        <v/>
      </c>
      <c r="X1258">
        <f>IF([2]Baskol!$G$1261="","",[2]Baskol!$G$1261)</f>
        <v/>
      </c>
      <c r="Y1258">
        <f>IF([2]Baskol!$I$1261="","",[2]Baskol!$I$1261)</f>
        <v/>
      </c>
      <c r="Z1258">
        <f>IF([2]Baskol!$J$1261="","",[2]Baskol!$J$1261)</f>
        <v/>
      </c>
      <c r="AA1258">
        <f>IF([2]Baskol!$K$1261="","",[2]Baskol!$K$1261)</f>
        <v/>
      </c>
      <c r="AB1258">
        <f>IF([2]Baskol!$L$1261="","",[2]Baskol!$L$1261)</f>
        <v/>
      </c>
      <c r="AC1258">
        <f>IF([2]Baskol!$N$1261="","",[2]Baskol!$N$1261)</f>
        <v/>
      </c>
      <c r="AD1258">
        <f>IF([2]Baskol!$O$1261="","",[2]Baskol!$O$1261)</f>
        <v/>
      </c>
      <c r="AE1258">
        <f>IF([3]Entry!$C$1261="","",[3]Entry!$C$1261)</f>
        <v/>
      </c>
      <c r="AF1258">
        <f>IF([3]Entry!$D$1261="","",[3]Entry!$D$1261)</f>
        <v/>
      </c>
      <c r="AG1258">
        <f>IF([3]Entry!$E$1261="","",[3]Entry!$E$1261)</f>
        <v/>
      </c>
      <c r="AH1258">
        <f>IF([3]Entry!$G$1261="","",[3]Entry!$G$1261)</f>
        <v/>
      </c>
      <c r="AI1258">
        <f>IF([3]Entry!$K$1261="","",[3]Entry!$K$1261)</f>
        <v/>
      </c>
      <c r="AJ1258">
        <f>IF([3]Entry!$L$1261="","",[3]Entry!$L$1261)</f>
        <v/>
      </c>
      <c r="AK1258">
        <f>IF([3]Entry!$M$1261="","",[3]Entry!$M$1261)</f>
        <v/>
      </c>
      <c r="AL1258">
        <f>IF([3]Entry!$N$1261="","",[3]Entry!$N$1261)</f>
        <v/>
      </c>
      <c r="AM1258">
        <f>IF([3]Entry!$R$1261="","",[3]Entry!$R$1261)</f>
        <v/>
      </c>
    </row>
    <row r="1259">
      <c r="T1259">
        <f>IF([2]Baskol!$B$1262="","",[2]Baskol!$B$1262)</f>
        <v/>
      </c>
      <c r="U1259">
        <f>IF([2]Baskol!$C$1262="","",[2]Baskol!$C$1262)</f>
        <v/>
      </c>
      <c r="V1259">
        <f>IF([2]Baskol!$D$1262="","",[2]Baskol!$D$1262)</f>
        <v/>
      </c>
      <c r="W1259">
        <f>IF([2]Baskol!$E$1262="","",[2]Baskol!$E$1262)</f>
        <v/>
      </c>
      <c r="X1259">
        <f>IF([2]Baskol!$G$1262="","",[2]Baskol!$G$1262)</f>
        <v/>
      </c>
      <c r="Y1259">
        <f>IF([2]Baskol!$I$1262="","",[2]Baskol!$I$1262)</f>
        <v/>
      </c>
      <c r="Z1259">
        <f>IF([2]Baskol!$J$1262="","",[2]Baskol!$J$1262)</f>
        <v/>
      </c>
      <c r="AA1259">
        <f>IF([2]Baskol!$K$1262="","",[2]Baskol!$K$1262)</f>
        <v/>
      </c>
      <c r="AB1259">
        <f>IF([2]Baskol!$L$1262="","",[2]Baskol!$L$1262)</f>
        <v/>
      </c>
      <c r="AC1259">
        <f>IF([2]Baskol!$N$1262="","",[2]Baskol!$N$1262)</f>
        <v/>
      </c>
      <c r="AD1259">
        <f>IF([2]Baskol!$O$1262="","",[2]Baskol!$O$1262)</f>
        <v/>
      </c>
      <c r="AE1259">
        <f>IF([3]Entry!$C$1262="","",[3]Entry!$C$1262)</f>
        <v/>
      </c>
      <c r="AF1259">
        <f>IF([3]Entry!$D$1262="","",[3]Entry!$D$1262)</f>
        <v/>
      </c>
      <c r="AG1259">
        <f>IF([3]Entry!$E$1262="","",[3]Entry!$E$1262)</f>
        <v/>
      </c>
      <c r="AH1259">
        <f>IF([3]Entry!$G$1262="","",[3]Entry!$G$1262)</f>
        <v/>
      </c>
      <c r="AI1259">
        <f>IF([3]Entry!$K$1262="","",[3]Entry!$K$1262)</f>
        <v/>
      </c>
      <c r="AJ1259">
        <f>IF([3]Entry!$L$1262="","",[3]Entry!$L$1262)</f>
        <v/>
      </c>
      <c r="AK1259">
        <f>IF([3]Entry!$M$1262="","",[3]Entry!$M$1262)</f>
        <v/>
      </c>
      <c r="AL1259">
        <f>IF([3]Entry!$N$1262="","",[3]Entry!$N$1262)</f>
        <v/>
      </c>
      <c r="AM1259">
        <f>IF([3]Entry!$R$1262="","",[3]Entry!$R$1262)</f>
        <v/>
      </c>
    </row>
    <row r="1260">
      <c r="T1260">
        <f>IF([2]Baskol!$B$1263="","",[2]Baskol!$B$1263)</f>
        <v/>
      </c>
      <c r="U1260">
        <f>IF([2]Baskol!$C$1263="","",[2]Baskol!$C$1263)</f>
        <v/>
      </c>
      <c r="V1260">
        <f>IF([2]Baskol!$D$1263="","",[2]Baskol!$D$1263)</f>
        <v/>
      </c>
      <c r="W1260">
        <f>IF([2]Baskol!$E$1263="","",[2]Baskol!$E$1263)</f>
        <v/>
      </c>
      <c r="X1260">
        <f>IF([2]Baskol!$G$1263="","",[2]Baskol!$G$1263)</f>
        <v/>
      </c>
      <c r="Y1260">
        <f>IF([2]Baskol!$I$1263="","",[2]Baskol!$I$1263)</f>
        <v/>
      </c>
      <c r="Z1260">
        <f>IF([2]Baskol!$J$1263="","",[2]Baskol!$J$1263)</f>
        <v/>
      </c>
      <c r="AA1260">
        <f>IF([2]Baskol!$K$1263="","",[2]Baskol!$K$1263)</f>
        <v/>
      </c>
      <c r="AB1260">
        <f>IF([2]Baskol!$L$1263="","",[2]Baskol!$L$1263)</f>
        <v/>
      </c>
      <c r="AC1260">
        <f>IF([2]Baskol!$N$1263="","",[2]Baskol!$N$1263)</f>
        <v/>
      </c>
      <c r="AD1260">
        <f>IF([2]Baskol!$O$1263="","",[2]Baskol!$O$1263)</f>
        <v/>
      </c>
      <c r="AE1260">
        <f>IF([3]Entry!$C$1263="","",[3]Entry!$C$1263)</f>
        <v/>
      </c>
      <c r="AF1260">
        <f>IF([3]Entry!$D$1263="","",[3]Entry!$D$1263)</f>
        <v/>
      </c>
      <c r="AG1260">
        <f>IF([3]Entry!$E$1263="","",[3]Entry!$E$1263)</f>
        <v/>
      </c>
      <c r="AH1260">
        <f>IF([3]Entry!$G$1263="","",[3]Entry!$G$1263)</f>
        <v/>
      </c>
      <c r="AI1260">
        <f>IF([3]Entry!$K$1263="","",[3]Entry!$K$1263)</f>
        <v/>
      </c>
      <c r="AJ1260">
        <f>IF([3]Entry!$L$1263="","",[3]Entry!$L$1263)</f>
        <v/>
      </c>
      <c r="AK1260">
        <f>IF([3]Entry!$M$1263="","",[3]Entry!$M$1263)</f>
        <v/>
      </c>
      <c r="AL1260">
        <f>IF([3]Entry!$N$1263="","",[3]Entry!$N$1263)</f>
        <v/>
      </c>
      <c r="AM1260">
        <f>IF([3]Entry!$R$1263="","",[3]Entry!$R$1263)</f>
        <v/>
      </c>
    </row>
    <row r="1261">
      <c r="T1261">
        <f>IF([2]Baskol!$B$1264="","",[2]Baskol!$B$1264)</f>
        <v/>
      </c>
      <c r="U1261">
        <f>IF([2]Baskol!$C$1264="","",[2]Baskol!$C$1264)</f>
        <v/>
      </c>
      <c r="V1261">
        <f>IF([2]Baskol!$D$1264="","",[2]Baskol!$D$1264)</f>
        <v/>
      </c>
      <c r="W1261">
        <f>IF([2]Baskol!$E$1264="","",[2]Baskol!$E$1264)</f>
        <v/>
      </c>
      <c r="X1261">
        <f>IF([2]Baskol!$G$1264="","",[2]Baskol!$G$1264)</f>
        <v/>
      </c>
      <c r="Y1261">
        <f>IF([2]Baskol!$I$1264="","",[2]Baskol!$I$1264)</f>
        <v/>
      </c>
      <c r="Z1261">
        <f>IF([2]Baskol!$J$1264="","",[2]Baskol!$J$1264)</f>
        <v/>
      </c>
      <c r="AA1261">
        <f>IF([2]Baskol!$K$1264="","",[2]Baskol!$K$1264)</f>
        <v/>
      </c>
      <c r="AB1261">
        <f>IF([2]Baskol!$L$1264="","",[2]Baskol!$L$1264)</f>
        <v/>
      </c>
      <c r="AC1261">
        <f>IF([2]Baskol!$N$1264="","",[2]Baskol!$N$1264)</f>
        <v/>
      </c>
      <c r="AD1261">
        <f>IF([2]Baskol!$O$1264="","",[2]Baskol!$O$1264)</f>
        <v/>
      </c>
      <c r="AE1261">
        <f>IF([3]Entry!$C$1264="","",[3]Entry!$C$1264)</f>
        <v/>
      </c>
      <c r="AF1261">
        <f>IF([3]Entry!$D$1264="","",[3]Entry!$D$1264)</f>
        <v/>
      </c>
      <c r="AG1261">
        <f>IF([3]Entry!$E$1264="","",[3]Entry!$E$1264)</f>
        <v/>
      </c>
      <c r="AH1261">
        <f>IF([3]Entry!$G$1264="","",[3]Entry!$G$1264)</f>
        <v/>
      </c>
      <c r="AI1261">
        <f>IF([3]Entry!$K$1264="","",[3]Entry!$K$1264)</f>
        <v/>
      </c>
      <c r="AJ1261">
        <f>IF([3]Entry!$L$1264="","",[3]Entry!$L$1264)</f>
        <v/>
      </c>
      <c r="AK1261">
        <f>IF([3]Entry!$M$1264="","",[3]Entry!$M$1264)</f>
        <v/>
      </c>
      <c r="AL1261">
        <f>IF([3]Entry!$N$1264="","",[3]Entry!$N$1264)</f>
        <v/>
      </c>
      <c r="AM1261">
        <f>IF([3]Entry!$R$1264="","",[3]Entry!$R$1264)</f>
        <v/>
      </c>
    </row>
    <row r="1262">
      <c r="T1262">
        <f>IF([2]Baskol!$B$1265="","",[2]Baskol!$B$1265)</f>
        <v/>
      </c>
      <c r="U1262">
        <f>IF([2]Baskol!$C$1265="","",[2]Baskol!$C$1265)</f>
        <v/>
      </c>
      <c r="V1262">
        <f>IF([2]Baskol!$D$1265="","",[2]Baskol!$D$1265)</f>
        <v/>
      </c>
      <c r="W1262">
        <f>IF([2]Baskol!$E$1265="","",[2]Baskol!$E$1265)</f>
        <v/>
      </c>
      <c r="X1262">
        <f>IF([2]Baskol!$G$1265="","",[2]Baskol!$G$1265)</f>
        <v/>
      </c>
      <c r="Y1262">
        <f>IF([2]Baskol!$I$1265="","",[2]Baskol!$I$1265)</f>
        <v/>
      </c>
      <c r="Z1262">
        <f>IF([2]Baskol!$J$1265="","",[2]Baskol!$J$1265)</f>
        <v/>
      </c>
      <c r="AA1262">
        <f>IF([2]Baskol!$K$1265="","",[2]Baskol!$K$1265)</f>
        <v/>
      </c>
      <c r="AB1262">
        <f>IF([2]Baskol!$L$1265="","",[2]Baskol!$L$1265)</f>
        <v/>
      </c>
      <c r="AC1262">
        <f>IF([2]Baskol!$N$1265="","",[2]Baskol!$N$1265)</f>
        <v/>
      </c>
      <c r="AD1262">
        <f>IF([2]Baskol!$O$1265="","",[2]Baskol!$O$1265)</f>
        <v/>
      </c>
      <c r="AE1262">
        <f>IF([3]Entry!$C$1265="","",[3]Entry!$C$1265)</f>
        <v/>
      </c>
      <c r="AF1262">
        <f>IF([3]Entry!$D$1265="","",[3]Entry!$D$1265)</f>
        <v/>
      </c>
      <c r="AG1262">
        <f>IF([3]Entry!$E$1265="","",[3]Entry!$E$1265)</f>
        <v/>
      </c>
      <c r="AH1262">
        <f>IF([3]Entry!$G$1265="","",[3]Entry!$G$1265)</f>
        <v/>
      </c>
      <c r="AI1262">
        <f>IF([3]Entry!$K$1265="","",[3]Entry!$K$1265)</f>
        <v/>
      </c>
      <c r="AJ1262">
        <f>IF([3]Entry!$L$1265="","",[3]Entry!$L$1265)</f>
        <v/>
      </c>
      <c r="AK1262">
        <f>IF([3]Entry!$M$1265="","",[3]Entry!$M$1265)</f>
        <v/>
      </c>
      <c r="AL1262">
        <f>IF([3]Entry!$N$1265="","",[3]Entry!$N$1265)</f>
        <v/>
      </c>
      <c r="AM1262">
        <f>IF([3]Entry!$R$1265="","",[3]Entry!$R$1265)</f>
        <v/>
      </c>
    </row>
    <row r="1263">
      <c r="T1263">
        <f>IF([2]Baskol!$B$1266="","",[2]Baskol!$B$1266)</f>
        <v/>
      </c>
      <c r="U1263">
        <f>IF([2]Baskol!$C$1266="","",[2]Baskol!$C$1266)</f>
        <v/>
      </c>
      <c r="V1263">
        <f>IF([2]Baskol!$D$1266="","",[2]Baskol!$D$1266)</f>
        <v/>
      </c>
      <c r="W1263">
        <f>IF([2]Baskol!$E$1266="","",[2]Baskol!$E$1266)</f>
        <v/>
      </c>
      <c r="X1263">
        <f>IF([2]Baskol!$G$1266="","",[2]Baskol!$G$1266)</f>
        <v/>
      </c>
      <c r="Y1263">
        <f>IF([2]Baskol!$I$1266="","",[2]Baskol!$I$1266)</f>
        <v/>
      </c>
      <c r="Z1263">
        <f>IF([2]Baskol!$J$1266="","",[2]Baskol!$J$1266)</f>
        <v/>
      </c>
      <c r="AA1263">
        <f>IF([2]Baskol!$K$1266="","",[2]Baskol!$K$1266)</f>
        <v/>
      </c>
      <c r="AB1263">
        <f>IF([2]Baskol!$L$1266="","",[2]Baskol!$L$1266)</f>
        <v/>
      </c>
      <c r="AC1263">
        <f>IF([2]Baskol!$N$1266="","",[2]Baskol!$N$1266)</f>
        <v/>
      </c>
      <c r="AD1263">
        <f>IF([2]Baskol!$O$1266="","",[2]Baskol!$O$1266)</f>
        <v/>
      </c>
      <c r="AE1263">
        <f>IF([3]Entry!$C$1266="","",[3]Entry!$C$1266)</f>
        <v/>
      </c>
      <c r="AF1263">
        <f>IF([3]Entry!$D$1266="","",[3]Entry!$D$1266)</f>
        <v/>
      </c>
      <c r="AG1263">
        <f>IF([3]Entry!$E$1266="","",[3]Entry!$E$1266)</f>
        <v/>
      </c>
      <c r="AH1263">
        <f>IF([3]Entry!$G$1266="","",[3]Entry!$G$1266)</f>
        <v/>
      </c>
      <c r="AI1263">
        <f>IF([3]Entry!$K$1266="","",[3]Entry!$K$1266)</f>
        <v/>
      </c>
      <c r="AJ1263">
        <f>IF([3]Entry!$L$1266="","",[3]Entry!$L$1266)</f>
        <v/>
      </c>
      <c r="AK1263">
        <f>IF([3]Entry!$M$1266="","",[3]Entry!$M$1266)</f>
        <v/>
      </c>
      <c r="AL1263">
        <f>IF([3]Entry!$N$1266="","",[3]Entry!$N$1266)</f>
        <v/>
      </c>
      <c r="AM1263">
        <f>IF([3]Entry!$R$1266="","",[3]Entry!$R$1266)</f>
        <v/>
      </c>
    </row>
    <row r="1264">
      <c r="T1264">
        <f>IF([2]Baskol!$B$1267="","",[2]Baskol!$B$1267)</f>
        <v/>
      </c>
      <c r="U1264">
        <f>IF([2]Baskol!$C$1267="","",[2]Baskol!$C$1267)</f>
        <v/>
      </c>
      <c r="V1264">
        <f>IF([2]Baskol!$D$1267="","",[2]Baskol!$D$1267)</f>
        <v/>
      </c>
      <c r="W1264">
        <f>IF([2]Baskol!$E$1267="","",[2]Baskol!$E$1267)</f>
        <v/>
      </c>
      <c r="X1264">
        <f>IF([2]Baskol!$G$1267="","",[2]Baskol!$G$1267)</f>
        <v/>
      </c>
      <c r="Y1264">
        <f>IF([2]Baskol!$I$1267="","",[2]Baskol!$I$1267)</f>
        <v/>
      </c>
      <c r="Z1264">
        <f>IF([2]Baskol!$J$1267="","",[2]Baskol!$J$1267)</f>
        <v/>
      </c>
      <c r="AA1264">
        <f>IF([2]Baskol!$K$1267="","",[2]Baskol!$K$1267)</f>
        <v/>
      </c>
      <c r="AB1264">
        <f>IF([2]Baskol!$L$1267="","",[2]Baskol!$L$1267)</f>
        <v/>
      </c>
      <c r="AC1264">
        <f>IF([2]Baskol!$N$1267="","",[2]Baskol!$N$1267)</f>
        <v/>
      </c>
      <c r="AD1264">
        <f>IF([2]Baskol!$O$1267="","",[2]Baskol!$O$1267)</f>
        <v/>
      </c>
      <c r="AE1264">
        <f>IF([3]Entry!$C$1267="","",[3]Entry!$C$1267)</f>
        <v/>
      </c>
      <c r="AF1264">
        <f>IF([3]Entry!$D$1267="","",[3]Entry!$D$1267)</f>
        <v/>
      </c>
      <c r="AG1264">
        <f>IF([3]Entry!$E$1267="","",[3]Entry!$E$1267)</f>
        <v/>
      </c>
      <c r="AH1264">
        <f>IF([3]Entry!$G$1267="","",[3]Entry!$G$1267)</f>
        <v/>
      </c>
      <c r="AI1264">
        <f>IF([3]Entry!$K$1267="","",[3]Entry!$K$1267)</f>
        <v/>
      </c>
      <c r="AJ1264">
        <f>IF([3]Entry!$L$1267="","",[3]Entry!$L$1267)</f>
        <v/>
      </c>
      <c r="AK1264">
        <f>IF([3]Entry!$M$1267="","",[3]Entry!$M$1267)</f>
        <v/>
      </c>
      <c r="AL1264">
        <f>IF([3]Entry!$N$1267="","",[3]Entry!$N$1267)</f>
        <v/>
      </c>
      <c r="AM1264">
        <f>IF([3]Entry!$R$1267="","",[3]Entry!$R$1267)</f>
        <v/>
      </c>
    </row>
    <row r="1265">
      <c r="T1265">
        <f>IF([2]Baskol!$B$1268="","",[2]Baskol!$B$1268)</f>
        <v/>
      </c>
      <c r="U1265">
        <f>IF([2]Baskol!$C$1268="","",[2]Baskol!$C$1268)</f>
        <v/>
      </c>
      <c r="V1265">
        <f>IF([2]Baskol!$D$1268="","",[2]Baskol!$D$1268)</f>
        <v/>
      </c>
      <c r="W1265">
        <f>IF([2]Baskol!$E$1268="","",[2]Baskol!$E$1268)</f>
        <v/>
      </c>
      <c r="X1265">
        <f>IF([2]Baskol!$G$1268="","",[2]Baskol!$G$1268)</f>
        <v/>
      </c>
      <c r="Y1265">
        <f>IF([2]Baskol!$I$1268="","",[2]Baskol!$I$1268)</f>
        <v/>
      </c>
      <c r="Z1265">
        <f>IF([2]Baskol!$J$1268="","",[2]Baskol!$J$1268)</f>
        <v/>
      </c>
      <c r="AA1265">
        <f>IF([2]Baskol!$K$1268="","",[2]Baskol!$K$1268)</f>
        <v/>
      </c>
      <c r="AB1265">
        <f>IF([2]Baskol!$L$1268="","",[2]Baskol!$L$1268)</f>
        <v/>
      </c>
      <c r="AC1265">
        <f>IF([2]Baskol!$N$1268="","",[2]Baskol!$N$1268)</f>
        <v/>
      </c>
      <c r="AD1265">
        <f>IF([2]Baskol!$O$1268="","",[2]Baskol!$O$1268)</f>
        <v/>
      </c>
      <c r="AE1265">
        <f>IF([3]Entry!$C$1268="","",[3]Entry!$C$1268)</f>
        <v/>
      </c>
      <c r="AF1265">
        <f>IF([3]Entry!$D$1268="","",[3]Entry!$D$1268)</f>
        <v/>
      </c>
      <c r="AG1265">
        <f>IF([3]Entry!$E$1268="","",[3]Entry!$E$1268)</f>
        <v/>
      </c>
      <c r="AH1265">
        <f>IF([3]Entry!$G$1268="","",[3]Entry!$G$1268)</f>
        <v/>
      </c>
      <c r="AI1265">
        <f>IF([3]Entry!$K$1268="","",[3]Entry!$K$1268)</f>
        <v/>
      </c>
      <c r="AJ1265">
        <f>IF([3]Entry!$L$1268="","",[3]Entry!$L$1268)</f>
        <v/>
      </c>
      <c r="AK1265">
        <f>IF([3]Entry!$M$1268="","",[3]Entry!$M$1268)</f>
        <v/>
      </c>
      <c r="AL1265">
        <f>IF([3]Entry!$N$1268="","",[3]Entry!$N$1268)</f>
        <v/>
      </c>
      <c r="AM1265">
        <f>IF([3]Entry!$R$1268="","",[3]Entry!$R$1268)</f>
        <v/>
      </c>
    </row>
    <row r="1266">
      <c r="T1266">
        <f>IF([2]Baskol!$B$1269="","",[2]Baskol!$B$1269)</f>
        <v/>
      </c>
      <c r="U1266">
        <f>IF([2]Baskol!$C$1269="","",[2]Baskol!$C$1269)</f>
        <v/>
      </c>
      <c r="V1266">
        <f>IF([2]Baskol!$D$1269="","",[2]Baskol!$D$1269)</f>
        <v/>
      </c>
      <c r="W1266">
        <f>IF([2]Baskol!$E$1269="","",[2]Baskol!$E$1269)</f>
        <v/>
      </c>
      <c r="X1266">
        <f>IF([2]Baskol!$G$1269="","",[2]Baskol!$G$1269)</f>
        <v/>
      </c>
      <c r="Y1266">
        <f>IF([2]Baskol!$I$1269="","",[2]Baskol!$I$1269)</f>
        <v/>
      </c>
      <c r="Z1266">
        <f>IF([2]Baskol!$J$1269="","",[2]Baskol!$J$1269)</f>
        <v/>
      </c>
      <c r="AA1266">
        <f>IF([2]Baskol!$K$1269="","",[2]Baskol!$K$1269)</f>
        <v/>
      </c>
      <c r="AB1266">
        <f>IF([2]Baskol!$L$1269="","",[2]Baskol!$L$1269)</f>
        <v/>
      </c>
      <c r="AC1266">
        <f>IF([2]Baskol!$N$1269="","",[2]Baskol!$N$1269)</f>
        <v/>
      </c>
      <c r="AD1266">
        <f>IF([2]Baskol!$O$1269="","",[2]Baskol!$O$1269)</f>
        <v/>
      </c>
      <c r="AE1266">
        <f>IF([3]Entry!$C$1269="","",[3]Entry!$C$1269)</f>
        <v/>
      </c>
      <c r="AF1266">
        <f>IF([3]Entry!$D$1269="","",[3]Entry!$D$1269)</f>
        <v/>
      </c>
      <c r="AG1266">
        <f>IF([3]Entry!$E$1269="","",[3]Entry!$E$1269)</f>
        <v/>
      </c>
      <c r="AH1266">
        <f>IF([3]Entry!$G$1269="","",[3]Entry!$G$1269)</f>
        <v/>
      </c>
      <c r="AI1266">
        <f>IF([3]Entry!$K$1269="","",[3]Entry!$K$1269)</f>
        <v/>
      </c>
      <c r="AJ1266">
        <f>IF([3]Entry!$L$1269="","",[3]Entry!$L$1269)</f>
        <v/>
      </c>
      <c r="AK1266">
        <f>IF([3]Entry!$M$1269="","",[3]Entry!$M$1269)</f>
        <v/>
      </c>
      <c r="AL1266">
        <f>IF([3]Entry!$N$1269="","",[3]Entry!$N$1269)</f>
        <v/>
      </c>
      <c r="AM1266">
        <f>IF([3]Entry!$R$1269="","",[3]Entry!$R$1269)</f>
        <v/>
      </c>
    </row>
    <row r="1267">
      <c r="T1267">
        <f>IF([2]Baskol!$B$1270="","",[2]Baskol!$B$1270)</f>
        <v/>
      </c>
      <c r="U1267">
        <f>IF([2]Baskol!$C$1270="","",[2]Baskol!$C$1270)</f>
        <v/>
      </c>
      <c r="V1267">
        <f>IF([2]Baskol!$D$1270="","",[2]Baskol!$D$1270)</f>
        <v/>
      </c>
      <c r="W1267">
        <f>IF([2]Baskol!$E$1270="","",[2]Baskol!$E$1270)</f>
        <v/>
      </c>
      <c r="X1267">
        <f>IF([2]Baskol!$G$1270="","",[2]Baskol!$G$1270)</f>
        <v/>
      </c>
      <c r="Y1267">
        <f>IF([2]Baskol!$I$1270="","",[2]Baskol!$I$1270)</f>
        <v/>
      </c>
      <c r="Z1267">
        <f>IF([2]Baskol!$J$1270="","",[2]Baskol!$J$1270)</f>
        <v/>
      </c>
      <c r="AA1267">
        <f>IF([2]Baskol!$K$1270="","",[2]Baskol!$K$1270)</f>
        <v/>
      </c>
      <c r="AB1267">
        <f>IF([2]Baskol!$L$1270="","",[2]Baskol!$L$1270)</f>
        <v/>
      </c>
      <c r="AC1267">
        <f>IF([2]Baskol!$N$1270="","",[2]Baskol!$N$1270)</f>
        <v/>
      </c>
      <c r="AD1267">
        <f>IF([2]Baskol!$O$1270="","",[2]Baskol!$O$1270)</f>
        <v/>
      </c>
      <c r="AE1267">
        <f>IF([3]Entry!$C$1270="","",[3]Entry!$C$1270)</f>
        <v/>
      </c>
      <c r="AF1267">
        <f>IF([3]Entry!$D$1270="","",[3]Entry!$D$1270)</f>
        <v/>
      </c>
      <c r="AG1267">
        <f>IF([3]Entry!$E$1270="","",[3]Entry!$E$1270)</f>
        <v/>
      </c>
      <c r="AH1267">
        <f>IF([3]Entry!$G$1270="","",[3]Entry!$G$1270)</f>
        <v/>
      </c>
      <c r="AI1267">
        <f>IF([3]Entry!$K$1270="","",[3]Entry!$K$1270)</f>
        <v/>
      </c>
      <c r="AJ1267">
        <f>IF([3]Entry!$L$1270="","",[3]Entry!$L$1270)</f>
        <v/>
      </c>
      <c r="AK1267">
        <f>IF([3]Entry!$M$1270="","",[3]Entry!$M$1270)</f>
        <v/>
      </c>
      <c r="AL1267">
        <f>IF([3]Entry!$N$1270="","",[3]Entry!$N$1270)</f>
        <v/>
      </c>
      <c r="AM1267">
        <f>IF([3]Entry!$R$1270="","",[3]Entry!$R$1270)</f>
        <v/>
      </c>
    </row>
    <row r="1268">
      <c r="T1268">
        <f>IF([2]Baskol!$B$1271="","",[2]Baskol!$B$1271)</f>
        <v/>
      </c>
      <c r="U1268">
        <f>IF([2]Baskol!$C$1271="","",[2]Baskol!$C$1271)</f>
        <v/>
      </c>
      <c r="V1268">
        <f>IF([2]Baskol!$D$1271="","",[2]Baskol!$D$1271)</f>
        <v/>
      </c>
      <c r="W1268">
        <f>IF([2]Baskol!$E$1271="","",[2]Baskol!$E$1271)</f>
        <v/>
      </c>
      <c r="X1268">
        <f>IF([2]Baskol!$G$1271="","",[2]Baskol!$G$1271)</f>
        <v/>
      </c>
      <c r="Y1268">
        <f>IF([2]Baskol!$I$1271="","",[2]Baskol!$I$1271)</f>
        <v/>
      </c>
      <c r="Z1268">
        <f>IF([2]Baskol!$J$1271="","",[2]Baskol!$J$1271)</f>
        <v/>
      </c>
      <c r="AA1268">
        <f>IF([2]Baskol!$K$1271="","",[2]Baskol!$K$1271)</f>
        <v/>
      </c>
      <c r="AB1268">
        <f>IF([2]Baskol!$L$1271="","",[2]Baskol!$L$1271)</f>
        <v/>
      </c>
      <c r="AC1268">
        <f>IF([2]Baskol!$N$1271="","",[2]Baskol!$N$1271)</f>
        <v/>
      </c>
      <c r="AD1268">
        <f>IF([2]Baskol!$O$1271="","",[2]Baskol!$O$1271)</f>
        <v/>
      </c>
      <c r="AE1268">
        <f>IF([3]Entry!$C$1271="","",[3]Entry!$C$1271)</f>
        <v/>
      </c>
      <c r="AF1268">
        <f>IF([3]Entry!$D$1271="","",[3]Entry!$D$1271)</f>
        <v/>
      </c>
      <c r="AG1268">
        <f>IF([3]Entry!$E$1271="","",[3]Entry!$E$1271)</f>
        <v/>
      </c>
      <c r="AH1268">
        <f>IF([3]Entry!$G$1271="","",[3]Entry!$G$1271)</f>
        <v/>
      </c>
      <c r="AI1268">
        <f>IF([3]Entry!$K$1271="","",[3]Entry!$K$1271)</f>
        <v/>
      </c>
      <c r="AJ1268">
        <f>IF([3]Entry!$L$1271="","",[3]Entry!$L$1271)</f>
        <v/>
      </c>
      <c r="AK1268">
        <f>IF([3]Entry!$M$1271="","",[3]Entry!$M$1271)</f>
        <v/>
      </c>
      <c r="AL1268">
        <f>IF([3]Entry!$N$1271="","",[3]Entry!$N$1271)</f>
        <v/>
      </c>
      <c r="AM1268">
        <f>IF([3]Entry!$R$1271="","",[3]Entry!$R$1271)</f>
        <v/>
      </c>
    </row>
    <row r="1269">
      <c r="T1269">
        <f>IF([2]Baskol!$B$1272="","",[2]Baskol!$B$1272)</f>
        <v/>
      </c>
      <c r="U1269">
        <f>IF([2]Baskol!$C$1272="","",[2]Baskol!$C$1272)</f>
        <v/>
      </c>
      <c r="V1269">
        <f>IF([2]Baskol!$D$1272="","",[2]Baskol!$D$1272)</f>
        <v/>
      </c>
      <c r="W1269">
        <f>IF([2]Baskol!$E$1272="","",[2]Baskol!$E$1272)</f>
        <v/>
      </c>
      <c r="X1269">
        <f>IF([2]Baskol!$G$1272="","",[2]Baskol!$G$1272)</f>
        <v/>
      </c>
      <c r="Y1269">
        <f>IF([2]Baskol!$I$1272="","",[2]Baskol!$I$1272)</f>
        <v/>
      </c>
      <c r="Z1269">
        <f>IF([2]Baskol!$J$1272="","",[2]Baskol!$J$1272)</f>
        <v/>
      </c>
      <c r="AA1269">
        <f>IF([2]Baskol!$K$1272="","",[2]Baskol!$K$1272)</f>
        <v/>
      </c>
      <c r="AB1269">
        <f>IF([2]Baskol!$L$1272="","",[2]Baskol!$L$1272)</f>
        <v/>
      </c>
      <c r="AC1269">
        <f>IF([2]Baskol!$N$1272="","",[2]Baskol!$N$1272)</f>
        <v/>
      </c>
      <c r="AD1269">
        <f>IF([2]Baskol!$O$1272="","",[2]Baskol!$O$1272)</f>
        <v/>
      </c>
      <c r="AE1269">
        <f>IF([3]Entry!$C$1272="","",[3]Entry!$C$1272)</f>
        <v/>
      </c>
      <c r="AF1269">
        <f>IF([3]Entry!$D$1272="","",[3]Entry!$D$1272)</f>
        <v/>
      </c>
      <c r="AG1269">
        <f>IF([3]Entry!$E$1272="","",[3]Entry!$E$1272)</f>
        <v/>
      </c>
      <c r="AH1269">
        <f>IF([3]Entry!$G$1272="","",[3]Entry!$G$1272)</f>
        <v/>
      </c>
      <c r="AI1269">
        <f>IF([3]Entry!$K$1272="","",[3]Entry!$K$1272)</f>
        <v/>
      </c>
      <c r="AJ1269">
        <f>IF([3]Entry!$L$1272="","",[3]Entry!$L$1272)</f>
        <v/>
      </c>
      <c r="AK1269">
        <f>IF([3]Entry!$M$1272="","",[3]Entry!$M$1272)</f>
        <v/>
      </c>
      <c r="AL1269">
        <f>IF([3]Entry!$N$1272="","",[3]Entry!$N$1272)</f>
        <v/>
      </c>
      <c r="AM1269">
        <f>IF([3]Entry!$R$1272="","",[3]Entry!$R$1272)</f>
        <v/>
      </c>
    </row>
    <row r="1270">
      <c r="T1270">
        <f>IF([2]Baskol!$B$1273="","",[2]Baskol!$B$1273)</f>
        <v/>
      </c>
      <c r="U1270">
        <f>IF([2]Baskol!$C$1273="","",[2]Baskol!$C$1273)</f>
        <v/>
      </c>
      <c r="V1270">
        <f>IF([2]Baskol!$D$1273="","",[2]Baskol!$D$1273)</f>
        <v/>
      </c>
      <c r="W1270">
        <f>IF([2]Baskol!$E$1273="","",[2]Baskol!$E$1273)</f>
        <v/>
      </c>
      <c r="X1270">
        <f>IF([2]Baskol!$G$1273="","",[2]Baskol!$G$1273)</f>
        <v/>
      </c>
      <c r="Y1270">
        <f>IF([2]Baskol!$I$1273="","",[2]Baskol!$I$1273)</f>
        <v/>
      </c>
      <c r="Z1270">
        <f>IF([2]Baskol!$J$1273="","",[2]Baskol!$J$1273)</f>
        <v/>
      </c>
      <c r="AA1270">
        <f>IF([2]Baskol!$K$1273="","",[2]Baskol!$K$1273)</f>
        <v/>
      </c>
      <c r="AB1270">
        <f>IF([2]Baskol!$L$1273="","",[2]Baskol!$L$1273)</f>
        <v/>
      </c>
      <c r="AC1270">
        <f>IF([2]Baskol!$N$1273="","",[2]Baskol!$N$1273)</f>
        <v/>
      </c>
      <c r="AD1270">
        <f>IF([2]Baskol!$O$1273="","",[2]Baskol!$O$1273)</f>
        <v/>
      </c>
      <c r="AE1270">
        <f>IF([3]Entry!$C$1273="","",[3]Entry!$C$1273)</f>
        <v/>
      </c>
      <c r="AF1270">
        <f>IF([3]Entry!$D$1273="","",[3]Entry!$D$1273)</f>
        <v/>
      </c>
      <c r="AG1270">
        <f>IF([3]Entry!$E$1273="","",[3]Entry!$E$1273)</f>
        <v/>
      </c>
      <c r="AH1270">
        <f>IF([3]Entry!$G$1273="","",[3]Entry!$G$1273)</f>
        <v/>
      </c>
      <c r="AI1270">
        <f>IF([3]Entry!$K$1273="","",[3]Entry!$K$1273)</f>
        <v/>
      </c>
      <c r="AJ1270">
        <f>IF([3]Entry!$L$1273="","",[3]Entry!$L$1273)</f>
        <v/>
      </c>
      <c r="AK1270">
        <f>IF([3]Entry!$M$1273="","",[3]Entry!$M$1273)</f>
        <v/>
      </c>
      <c r="AL1270">
        <f>IF([3]Entry!$N$1273="","",[3]Entry!$N$1273)</f>
        <v/>
      </c>
      <c r="AM1270">
        <f>IF([3]Entry!$R$1273="","",[3]Entry!$R$1273)</f>
        <v/>
      </c>
    </row>
    <row r="1271">
      <c r="T1271">
        <f>IF([2]Baskol!$B$1274="","",[2]Baskol!$B$1274)</f>
        <v/>
      </c>
      <c r="U1271">
        <f>IF([2]Baskol!$C$1274="","",[2]Baskol!$C$1274)</f>
        <v/>
      </c>
      <c r="V1271">
        <f>IF([2]Baskol!$D$1274="","",[2]Baskol!$D$1274)</f>
        <v/>
      </c>
      <c r="W1271">
        <f>IF([2]Baskol!$E$1274="","",[2]Baskol!$E$1274)</f>
        <v/>
      </c>
      <c r="X1271">
        <f>IF([2]Baskol!$G$1274="","",[2]Baskol!$G$1274)</f>
        <v/>
      </c>
      <c r="Y1271">
        <f>IF([2]Baskol!$I$1274="","",[2]Baskol!$I$1274)</f>
        <v/>
      </c>
      <c r="Z1271">
        <f>IF([2]Baskol!$J$1274="","",[2]Baskol!$J$1274)</f>
        <v/>
      </c>
      <c r="AA1271">
        <f>IF([2]Baskol!$K$1274="","",[2]Baskol!$K$1274)</f>
        <v/>
      </c>
      <c r="AB1271">
        <f>IF([2]Baskol!$L$1274="","",[2]Baskol!$L$1274)</f>
        <v/>
      </c>
      <c r="AC1271">
        <f>IF([2]Baskol!$N$1274="","",[2]Baskol!$N$1274)</f>
        <v/>
      </c>
      <c r="AD1271">
        <f>IF([2]Baskol!$O$1274="","",[2]Baskol!$O$1274)</f>
        <v/>
      </c>
      <c r="AE1271">
        <f>IF([3]Entry!$C$1274="","",[3]Entry!$C$1274)</f>
        <v/>
      </c>
      <c r="AF1271">
        <f>IF([3]Entry!$D$1274="","",[3]Entry!$D$1274)</f>
        <v/>
      </c>
      <c r="AG1271">
        <f>IF([3]Entry!$E$1274="","",[3]Entry!$E$1274)</f>
        <v/>
      </c>
      <c r="AH1271">
        <f>IF([3]Entry!$G$1274="","",[3]Entry!$G$1274)</f>
        <v/>
      </c>
      <c r="AI1271">
        <f>IF([3]Entry!$K$1274="","",[3]Entry!$K$1274)</f>
        <v/>
      </c>
      <c r="AJ1271">
        <f>IF([3]Entry!$L$1274="","",[3]Entry!$L$1274)</f>
        <v/>
      </c>
      <c r="AK1271">
        <f>IF([3]Entry!$M$1274="","",[3]Entry!$M$1274)</f>
        <v/>
      </c>
      <c r="AL1271">
        <f>IF([3]Entry!$N$1274="","",[3]Entry!$N$1274)</f>
        <v/>
      </c>
      <c r="AM1271">
        <f>IF([3]Entry!$R$1274="","",[3]Entry!$R$1274)</f>
        <v/>
      </c>
    </row>
    <row r="1272">
      <c r="T1272">
        <f>IF([2]Baskol!$B$1275="","",[2]Baskol!$B$1275)</f>
        <v/>
      </c>
      <c r="U1272">
        <f>IF([2]Baskol!$C$1275="","",[2]Baskol!$C$1275)</f>
        <v/>
      </c>
      <c r="V1272">
        <f>IF([2]Baskol!$D$1275="","",[2]Baskol!$D$1275)</f>
        <v/>
      </c>
      <c r="W1272">
        <f>IF([2]Baskol!$E$1275="","",[2]Baskol!$E$1275)</f>
        <v/>
      </c>
      <c r="X1272">
        <f>IF([2]Baskol!$G$1275="","",[2]Baskol!$G$1275)</f>
        <v/>
      </c>
      <c r="Y1272">
        <f>IF([2]Baskol!$I$1275="","",[2]Baskol!$I$1275)</f>
        <v/>
      </c>
      <c r="Z1272">
        <f>IF([2]Baskol!$J$1275="","",[2]Baskol!$J$1275)</f>
        <v/>
      </c>
      <c r="AA1272">
        <f>IF([2]Baskol!$K$1275="","",[2]Baskol!$K$1275)</f>
        <v/>
      </c>
      <c r="AB1272">
        <f>IF([2]Baskol!$L$1275="","",[2]Baskol!$L$1275)</f>
        <v/>
      </c>
      <c r="AC1272">
        <f>IF([2]Baskol!$N$1275="","",[2]Baskol!$N$1275)</f>
        <v/>
      </c>
      <c r="AD1272">
        <f>IF([2]Baskol!$O$1275="","",[2]Baskol!$O$1275)</f>
        <v/>
      </c>
      <c r="AE1272">
        <f>IF([3]Entry!$C$1275="","",[3]Entry!$C$1275)</f>
        <v/>
      </c>
      <c r="AF1272">
        <f>IF([3]Entry!$D$1275="","",[3]Entry!$D$1275)</f>
        <v/>
      </c>
      <c r="AG1272">
        <f>IF([3]Entry!$E$1275="","",[3]Entry!$E$1275)</f>
        <v/>
      </c>
      <c r="AH1272">
        <f>IF([3]Entry!$G$1275="","",[3]Entry!$G$1275)</f>
        <v/>
      </c>
      <c r="AI1272">
        <f>IF([3]Entry!$K$1275="","",[3]Entry!$K$1275)</f>
        <v/>
      </c>
      <c r="AJ1272">
        <f>IF([3]Entry!$L$1275="","",[3]Entry!$L$1275)</f>
        <v/>
      </c>
      <c r="AK1272">
        <f>IF([3]Entry!$M$1275="","",[3]Entry!$M$1275)</f>
        <v/>
      </c>
      <c r="AL1272">
        <f>IF([3]Entry!$N$1275="","",[3]Entry!$N$1275)</f>
        <v/>
      </c>
      <c r="AM1272">
        <f>IF([3]Entry!$R$1275="","",[3]Entry!$R$1275)</f>
        <v/>
      </c>
    </row>
    <row r="1273">
      <c r="T1273">
        <f>IF([2]Baskol!$B$1276="","",[2]Baskol!$B$1276)</f>
        <v/>
      </c>
      <c r="U1273">
        <f>IF([2]Baskol!$C$1276="","",[2]Baskol!$C$1276)</f>
        <v/>
      </c>
      <c r="V1273">
        <f>IF([2]Baskol!$D$1276="","",[2]Baskol!$D$1276)</f>
        <v/>
      </c>
      <c r="W1273">
        <f>IF([2]Baskol!$E$1276="","",[2]Baskol!$E$1276)</f>
        <v/>
      </c>
      <c r="X1273">
        <f>IF([2]Baskol!$G$1276="","",[2]Baskol!$G$1276)</f>
        <v/>
      </c>
      <c r="Y1273">
        <f>IF([2]Baskol!$I$1276="","",[2]Baskol!$I$1276)</f>
        <v/>
      </c>
      <c r="Z1273">
        <f>IF([2]Baskol!$J$1276="","",[2]Baskol!$J$1276)</f>
        <v/>
      </c>
      <c r="AA1273">
        <f>IF([2]Baskol!$K$1276="","",[2]Baskol!$K$1276)</f>
        <v/>
      </c>
      <c r="AB1273">
        <f>IF([2]Baskol!$L$1276="","",[2]Baskol!$L$1276)</f>
        <v/>
      </c>
      <c r="AC1273">
        <f>IF([2]Baskol!$N$1276="","",[2]Baskol!$N$1276)</f>
        <v/>
      </c>
      <c r="AD1273">
        <f>IF([2]Baskol!$O$1276="","",[2]Baskol!$O$1276)</f>
        <v/>
      </c>
      <c r="AE1273">
        <f>IF([3]Entry!$C$1276="","",[3]Entry!$C$1276)</f>
        <v/>
      </c>
      <c r="AF1273">
        <f>IF([3]Entry!$D$1276="","",[3]Entry!$D$1276)</f>
        <v/>
      </c>
      <c r="AG1273">
        <f>IF([3]Entry!$E$1276="","",[3]Entry!$E$1276)</f>
        <v/>
      </c>
      <c r="AH1273">
        <f>IF([3]Entry!$G$1276="","",[3]Entry!$G$1276)</f>
        <v/>
      </c>
      <c r="AI1273">
        <f>IF([3]Entry!$K$1276="","",[3]Entry!$K$1276)</f>
        <v/>
      </c>
      <c r="AJ1273">
        <f>IF([3]Entry!$L$1276="","",[3]Entry!$L$1276)</f>
        <v/>
      </c>
      <c r="AK1273">
        <f>IF([3]Entry!$M$1276="","",[3]Entry!$M$1276)</f>
        <v/>
      </c>
      <c r="AL1273">
        <f>IF([3]Entry!$N$1276="","",[3]Entry!$N$1276)</f>
        <v/>
      </c>
      <c r="AM1273">
        <f>IF([3]Entry!$R$1276="","",[3]Entry!$R$1276)</f>
        <v/>
      </c>
    </row>
    <row r="1274">
      <c r="T1274">
        <f>IF([2]Baskol!$B$1277="","",[2]Baskol!$B$1277)</f>
        <v/>
      </c>
      <c r="U1274">
        <f>IF([2]Baskol!$C$1277="","",[2]Baskol!$C$1277)</f>
        <v/>
      </c>
      <c r="V1274">
        <f>IF([2]Baskol!$D$1277="","",[2]Baskol!$D$1277)</f>
        <v/>
      </c>
      <c r="W1274">
        <f>IF([2]Baskol!$E$1277="","",[2]Baskol!$E$1277)</f>
        <v/>
      </c>
      <c r="X1274">
        <f>IF([2]Baskol!$G$1277="","",[2]Baskol!$G$1277)</f>
        <v/>
      </c>
      <c r="Y1274">
        <f>IF([2]Baskol!$I$1277="","",[2]Baskol!$I$1277)</f>
        <v/>
      </c>
      <c r="Z1274">
        <f>IF([2]Baskol!$J$1277="","",[2]Baskol!$J$1277)</f>
        <v/>
      </c>
      <c r="AA1274">
        <f>IF([2]Baskol!$K$1277="","",[2]Baskol!$K$1277)</f>
        <v/>
      </c>
      <c r="AB1274">
        <f>IF([2]Baskol!$L$1277="","",[2]Baskol!$L$1277)</f>
        <v/>
      </c>
      <c r="AC1274">
        <f>IF([2]Baskol!$N$1277="","",[2]Baskol!$N$1277)</f>
        <v/>
      </c>
      <c r="AD1274">
        <f>IF([2]Baskol!$O$1277="","",[2]Baskol!$O$1277)</f>
        <v/>
      </c>
      <c r="AE1274">
        <f>IF([3]Entry!$C$1277="","",[3]Entry!$C$1277)</f>
        <v/>
      </c>
      <c r="AF1274">
        <f>IF([3]Entry!$D$1277="","",[3]Entry!$D$1277)</f>
        <v/>
      </c>
      <c r="AG1274">
        <f>IF([3]Entry!$E$1277="","",[3]Entry!$E$1277)</f>
        <v/>
      </c>
      <c r="AH1274">
        <f>IF([3]Entry!$G$1277="","",[3]Entry!$G$1277)</f>
        <v/>
      </c>
      <c r="AI1274">
        <f>IF([3]Entry!$K$1277="","",[3]Entry!$K$1277)</f>
        <v/>
      </c>
      <c r="AJ1274">
        <f>IF([3]Entry!$L$1277="","",[3]Entry!$L$1277)</f>
        <v/>
      </c>
      <c r="AK1274">
        <f>IF([3]Entry!$M$1277="","",[3]Entry!$M$1277)</f>
        <v/>
      </c>
      <c r="AL1274">
        <f>IF([3]Entry!$N$1277="","",[3]Entry!$N$1277)</f>
        <v/>
      </c>
      <c r="AM1274">
        <f>IF([3]Entry!$R$1277="","",[3]Entry!$R$1277)</f>
        <v/>
      </c>
    </row>
    <row r="1275">
      <c r="T1275">
        <f>IF([2]Baskol!$B$1278="","",[2]Baskol!$B$1278)</f>
        <v/>
      </c>
      <c r="U1275">
        <f>IF([2]Baskol!$C$1278="","",[2]Baskol!$C$1278)</f>
        <v/>
      </c>
      <c r="V1275">
        <f>IF([2]Baskol!$D$1278="","",[2]Baskol!$D$1278)</f>
        <v/>
      </c>
      <c r="W1275">
        <f>IF([2]Baskol!$E$1278="","",[2]Baskol!$E$1278)</f>
        <v/>
      </c>
      <c r="X1275">
        <f>IF([2]Baskol!$G$1278="","",[2]Baskol!$G$1278)</f>
        <v/>
      </c>
      <c r="Y1275">
        <f>IF([2]Baskol!$I$1278="","",[2]Baskol!$I$1278)</f>
        <v/>
      </c>
      <c r="Z1275">
        <f>IF([2]Baskol!$J$1278="","",[2]Baskol!$J$1278)</f>
        <v/>
      </c>
      <c r="AA1275">
        <f>IF([2]Baskol!$K$1278="","",[2]Baskol!$K$1278)</f>
        <v/>
      </c>
      <c r="AB1275">
        <f>IF([2]Baskol!$L$1278="","",[2]Baskol!$L$1278)</f>
        <v/>
      </c>
      <c r="AC1275">
        <f>IF([2]Baskol!$N$1278="","",[2]Baskol!$N$1278)</f>
        <v/>
      </c>
      <c r="AD1275">
        <f>IF([2]Baskol!$O$1278="","",[2]Baskol!$O$1278)</f>
        <v/>
      </c>
      <c r="AE1275">
        <f>IF([3]Entry!$C$1278="","",[3]Entry!$C$1278)</f>
        <v/>
      </c>
      <c r="AF1275">
        <f>IF([3]Entry!$D$1278="","",[3]Entry!$D$1278)</f>
        <v/>
      </c>
      <c r="AG1275">
        <f>IF([3]Entry!$E$1278="","",[3]Entry!$E$1278)</f>
        <v/>
      </c>
      <c r="AH1275">
        <f>IF([3]Entry!$G$1278="","",[3]Entry!$G$1278)</f>
        <v/>
      </c>
      <c r="AI1275">
        <f>IF([3]Entry!$K$1278="","",[3]Entry!$K$1278)</f>
        <v/>
      </c>
      <c r="AJ1275">
        <f>IF([3]Entry!$L$1278="","",[3]Entry!$L$1278)</f>
        <v/>
      </c>
      <c r="AK1275">
        <f>IF([3]Entry!$M$1278="","",[3]Entry!$M$1278)</f>
        <v/>
      </c>
      <c r="AL1275">
        <f>IF([3]Entry!$N$1278="","",[3]Entry!$N$1278)</f>
        <v/>
      </c>
      <c r="AM1275">
        <f>IF([3]Entry!$R$1278="","",[3]Entry!$R$1278)</f>
        <v/>
      </c>
    </row>
    <row r="1276">
      <c r="T1276">
        <f>IF([2]Baskol!$B$1279="","",[2]Baskol!$B$1279)</f>
        <v/>
      </c>
      <c r="U1276">
        <f>IF([2]Baskol!$C$1279="","",[2]Baskol!$C$1279)</f>
        <v/>
      </c>
      <c r="V1276">
        <f>IF([2]Baskol!$D$1279="","",[2]Baskol!$D$1279)</f>
        <v/>
      </c>
      <c r="W1276">
        <f>IF([2]Baskol!$E$1279="","",[2]Baskol!$E$1279)</f>
        <v/>
      </c>
      <c r="X1276">
        <f>IF([2]Baskol!$G$1279="","",[2]Baskol!$G$1279)</f>
        <v/>
      </c>
      <c r="Y1276">
        <f>IF([2]Baskol!$I$1279="","",[2]Baskol!$I$1279)</f>
        <v/>
      </c>
      <c r="Z1276">
        <f>IF([2]Baskol!$J$1279="","",[2]Baskol!$J$1279)</f>
        <v/>
      </c>
      <c r="AA1276">
        <f>IF([2]Baskol!$K$1279="","",[2]Baskol!$K$1279)</f>
        <v/>
      </c>
      <c r="AB1276">
        <f>IF([2]Baskol!$L$1279="","",[2]Baskol!$L$1279)</f>
        <v/>
      </c>
      <c r="AC1276">
        <f>IF([2]Baskol!$N$1279="","",[2]Baskol!$N$1279)</f>
        <v/>
      </c>
      <c r="AD1276">
        <f>IF([2]Baskol!$O$1279="","",[2]Baskol!$O$1279)</f>
        <v/>
      </c>
      <c r="AE1276">
        <f>IF([3]Entry!$C$1279="","",[3]Entry!$C$1279)</f>
        <v/>
      </c>
      <c r="AF1276">
        <f>IF([3]Entry!$D$1279="","",[3]Entry!$D$1279)</f>
        <v/>
      </c>
      <c r="AG1276">
        <f>IF([3]Entry!$E$1279="","",[3]Entry!$E$1279)</f>
        <v/>
      </c>
      <c r="AH1276">
        <f>IF([3]Entry!$G$1279="","",[3]Entry!$G$1279)</f>
        <v/>
      </c>
      <c r="AI1276">
        <f>IF([3]Entry!$K$1279="","",[3]Entry!$K$1279)</f>
        <v/>
      </c>
      <c r="AJ1276">
        <f>IF([3]Entry!$L$1279="","",[3]Entry!$L$1279)</f>
        <v/>
      </c>
      <c r="AK1276">
        <f>IF([3]Entry!$M$1279="","",[3]Entry!$M$1279)</f>
        <v/>
      </c>
      <c r="AL1276">
        <f>IF([3]Entry!$N$1279="","",[3]Entry!$N$1279)</f>
        <v/>
      </c>
      <c r="AM1276">
        <f>IF([3]Entry!$R$1279="","",[3]Entry!$R$1279)</f>
        <v/>
      </c>
    </row>
    <row r="1277">
      <c r="T1277">
        <f>IF([2]Baskol!$B$1280="","",[2]Baskol!$B$1280)</f>
        <v/>
      </c>
      <c r="U1277">
        <f>IF([2]Baskol!$C$1280="","",[2]Baskol!$C$1280)</f>
        <v/>
      </c>
      <c r="V1277">
        <f>IF([2]Baskol!$D$1280="","",[2]Baskol!$D$1280)</f>
        <v/>
      </c>
      <c r="W1277">
        <f>IF([2]Baskol!$E$1280="","",[2]Baskol!$E$1280)</f>
        <v/>
      </c>
      <c r="X1277">
        <f>IF([2]Baskol!$G$1280="","",[2]Baskol!$G$1280)</f>
        <v/>
      </c>
      <c r="Y1277">
        <f>IF([2]Baskol!$I$1280="","",[2]Baskol!$I$1280)</f>
        <v/>
      </c>
      <c r="Z1277">
        <f>IF([2]Baskol!$J$1280="","",[2]Baskol!$J$1280)</f>
        <v/>
      </c>
      <c r="AA1277">
        <f>IF([2]Baskol!$K$1280="","",[2]Baskol!$K$1280)</f>
        <v/>
      </c>
      <c r="AB1277">
        <f>IF([2]Baskol!$L$1280="","",[2]Baskol!$L$1280)</f>
        <v/>
      </c>
      <c r="AC1277">
        <f>IF([2]Baskol!$N$1280="","",[2]Baskol!$N$1280)</f>
        <v/>
      </c>
      <c r="AD1277">
        <f>IF([2]Baskol!$O$1280="","",[2]Baskol!$O$1280)</f>
        <v/>
      </c>
      <c r="AE1277">
        <f>IF([3]Entry!$C$1280="","",[3]Entry!$C$1280)</f>
        <v/>
      </c>
      <c r="AF1277">
        <f>IF([3]Entry!$D$1280="","",[3]Entry!$D$1280)</f>
        <v/>
      </c>
      <c r="AG1277">
        <f>IF([3]Entry!$E$1280="","",[3]Entry!$E$1280)</f>
        <v/>
      </c>
      <c r="AH1277">
        <f>IF([3]Entry!$G$1280="","",[3]Entry!$G$1280)</f>
        <v/>
      </c>
      <c r="AI1277">
        <f>IF([3]Entry!$K$1280="","",[3]Entry!$K$1280)</f>
        <v/>
      </c>
      <c r="AJ1277">
        <f>IF([3]Entry!$L$1280="","",[3]Entry!$L$1280)</f>
        <v/>
      </c>
      <c r="AK1277">
        <f>IF([3]Entry!$M$1280="","",[3]Entry!$M$1280)</f>
        <v/>
      </c>
      <c r="AL1277">
        <f>IF([3]Entry!$N$1280="","",[3]Entry!$N$1280)</f>
        <v/>
      </c>
      <c r="AM1277">
        <f>IF([3]Entry!$R$1280="","",[3]Entry!$R$1280)</f>
        <v/>
      </c>
    </row>
    <row r="1278">
      <c r="T1278">
        <f>IF([2]Baskol!$B$1281="","",[2]Baskol!$B$1281)</f>
        <v/>
      </c>
      <c r="U1278">
        <f>IF([2]Baskol!$C$1281="","",[2]Baskol!$C$1281)</f>
        <v/>
      </c>
      <c r="V1278">
        <f>IF([2]Baskol!$D$1281="","",[2]Baskol!$D$1281)</f>
        <v/>
      </c>
      <c r="W1278">
        <f>IF([2]Baskol!$E$1281="","",[2]Baskol!$E$1281)</f>
        <v/>
      </c>
      <c r="X1278">
        <f>IF([2]Baskol!$G$1281="","",[2]Baskol!$G$1281)</f>
        <v/>
      </c>
      <c r="Y1278">
        <f>IF([2]Baskol!$I$1281="","",[2]Baskol!$I$1281)</f>
        <v/>
      </c>
      <c r="Z1278">
        <f>IF([2]Baskol!$J$1281="","",[2]Baskol!$J$1281)</f>
        <v/>
      </c>
      <c r="AA1278">
        <f>IF([2]Baskol!$K$1281="","",[2]Baskol!$K$1281)</f>
        <v/>
      </c>
      <c r="AB1278">
        <f>IF([2]Baskol!$L$1281="","",[2]Baskol!$L$1281)</f>
        <v/>
      </c>
      <c r="AC1278">
        <f>IF([2]Baskol!$N$1281="","",[2]Baskol!$N$1281)</f>
        <v/>
      </c>
      <c r="AD1278">
        <f>IF([2]Baskol!$O$1281="","",[2]Baskol!$O$1281)</f>
        <v/>
      </c>
      <c r="AE1278">
        <f>IF([3]Entry!$C$1281="","",[3]Entry!$C$1281)</f>
        <v/>
      </c>
      <c r="AF1278">
        <f>IF([3]Entry!$D$1281="","",[3]Entry!$D$1281)</f>
        <v/>
      </c>
      <c r="AG1278">
        <f>IF([3]Entry!$E$1281="","",[3]Entry!$E$1281)</f>
        <v/>
      </c>
      <c r="AH1278">
        <f>IF([3]Entry!$G$1281="","",[3]Entry!$G$1281)</f>
        <v/>
      </c>
      <c r="AI1278">
        <f>IF([3]Entry!$K$1281="","",[3]Entry!$K$1281)</f>
        <v/>
      </c>
      <c r="AJ1278">
        <f>IF([3]Entry!$L$1281="","",[3]Entry!$L$1281)</f>
        <v/>
      </c>
      <c r="AK1278">
        <f>IF([3]Entry!$M$1281="","",[3]Entry!$M$1281)</f>
        <v/>
      </c>
      <c r="AL1278">
        <f>IF([3]Entry!$N$1281="","",[3]Entry!$N$1281)</f>
        <v/>
      </c>
      <c r="AM1278">
        <f>IF([3]Entry!$R$1281="","",[3]Entry!$R$1281)</f>
        <v/>
      </c>
    </row>
    <row r="1279">
      <c r="T1279">
        <f>IF([2]Baskol!$B$1282="","",[2]Baskol!$B$1282)</f>
        <v/>
      </c>
      <c r="U1279">
        <f>IF([2]Baskol!$C$1282="","",[2]Baskol!$C$1282)</f>
        <v/>
      </c>
      <c r="V1279">
        <f>IF([2]Baskol!$D$1282="","",[2]Baskol!$D$1282)</f>
        <v/>
      </c>
      <c r="W1279">
        <f>IF([2]Baskol!$E$1282="","",[2]Baskol!$E$1282)</f>
        <v/>
      </c>
      <c r="X1279">
        <f>IF([2]Baskol!$G$1282="","",[2]Baskol!$G$1282)</f>
        <v/>
      </c>
      <c r="Y1279">
        <f>IF([2]Baskol!$I$1282="","",[2]Baskol!$I$1282)</f>
        <v/>
      </c>
      <c r="Z1279">
        <f>IF([2]Baskol!$J$1282="","",[2]Baskol!$J$1282)</f>
        <v/>
      </c>
      <c r="AA1279">
        <f>IF([2]Baskol!$K$1282="","",[2]Baskol!$K$1282)</f>
        <v/>
      </c>
      <c r="AB1279">
        <f>IF([2]Baskol!$L$1282="","",[2]Baskol!$L$1282)</f>
        <v/>
      </c>
      <c r="AC1279">
        <f>IF([2]Baskol!$N$1282="","",[2]Baskol!$N$1282)</f>
        <v/>
      </c>
      <c r="AD1279">
        <f>IF([2]Baskol!$O$1282="","",[2]Baskol!$O$1282)</f>
        <v/>
      </c>
      <c r="AE1279">
        <f>IF([3]Entry!$C$1282="","",[3]Entry!$C$1282)</f>
        <v/>
      </c>
      <c r="AF1279">
        <f>IF([3]Entry!$D$1282="","",[3]Entry!$D$1282)</f>
        <v/>
      </c>
      <c r="AG1279">
        <f>IF([3]Entry!$E$1282="","",[3]Entry!$E$1282)</f>
        <v/>
      </c>
      <c r="AH1279">
        <f>IF([3]Entry!$G$1282="","",[3]Entry!$G$1282)</f>
        <v/>
      </c>
      <c r="AI1279">
        <f>IF([3]Entry!$K$1282="","",[3]Entry!$K$1282)</f>
        <v/>
      </c>
      <c r="AJ1279">
        <f>IF([3]Entry!$L$1282="","",[3]Entry!$L$1282)</f>
        <v/>
      </c>
      <c r="AK1279">
        <f>IF([3]Entry!$M$1282="","",[3]Entry!$M$1282)</f>
        <v/>
      </c>
      <c r="AL1279">
        <f>IF([3]Entry!$N$1282="","",[3]Entry!$N$1282)</f>
        <v/>
      </c>
      <c r="AM1279">
        <f>IF([3]Entry!$R$1282="","",[3]Entry!$R$1282)</f>
        <v/>
      </c>
    </row>
    <row r="1280">
      <c r="T1280">
        <f>IF([2]Baskol!$B$1283="","",[2]Baskol!$B$1283)</f>
        <v/>
      </c>
      <c r="U1280">
        <f>IF([2]Baskol!$C$1283="","",[2]Baskol!$C$1283)</f>
        <v/>
      </c>
      <c r="V1280">
        <f>IF([2]Baskol!$D$1283="","",[2]Baskol!$D$1283)</f>
        <v/>
      </c>
      <c r="W1280">
        <f>IF([2]Baskol!$E$1283="","",[2]Baskol!$E$1283)</f>
        <v/>
      </c>
      <c r="X1280">
        <f>IF([2]Baskol!$G$1283="","",[2]Baskol!$G$1283)</f>
        <v/>
      </c>
      <c r="Y1280">
        <f>IF([2]Baskol!$I$1283="","",[2]Baskol!$I$1283)</f>
        <v/>
      </c>
      <c r="Z1280">
        <f>IF([2]Baskol!$J$1283="","",[2]Baskol!$J$1283)</f>
        <v/>
      </c>
      <c r="AA1280">
        <f>IF([2]Baskol!$K$1283="","",[2]Baskol!$K$1283)</f>
        <v/>
      </c>
      <c r="AB1280">
        <f>IF([2]Baskol!$L$1283="","",[2]Baskol!$L$1283)</f>
        <v/>
      </c>
      <c r="AC1280">
        <f>IF([2]Baskol!$N$1283="","",[2]Baskol!$N$1283)</f>
        <v/>
      </c>
      <c r="AD1280">
        <f>IF([2]Baskol!$O$1283="","",[2]Baskol!$O$1283)</f>
        <v/>
      </c>
      <c r="AE1280">
        <f>IF([3]Entry!$C$1283="","",[3]Entry!$C$1283)</f>
        <v/>
      </c>
      <c r="AF1280">
        <f>IF([3]Entry!$D$1283="","",[3]Entry!$D$1283)</f>
        <v/>
      </c>
      <c r="AG1280">
        <f>IF([3]Entry!$E$1283="","",[3]Entry!$E$1283)</f>
        <v/>
      </c>
      <c r="AH1280">
        <f>IF([3]Entry!$G$1283="","",[3]Entry!$G$1283)</f>
        <v/>
      </c>
      <c r="AI1280">
        <f>IF([3]Entry!$K$1283="","",[3]Entry!$K$1283)</f>
        <v/>
      </c>
      <c r="AJ1280">
        <f>IF([3]Entry!$L$1283="","",[3]Entry!$L$1283)</f>
        <v/>
      </c>
      <c r="AK1280">
        <f>IF([3]Entry!$M$1283="","",[3]Entry!$M$1283)</f>
        <v/>
      </c>
      <c r="AL1280">
        <f>IF([3]Entry!$N$1283="","",[3]Entry!$N$1283)</f>
        <v/>
      </c>
      <c r="AM1280">
        <f>IF([3]Entry!$R$1283="","",[3]Entry!$R$1283)</f>
        <v/>
      </c>
    </row>
    <row r="1281">
      <c r="T1281">
        <f>IF([2]Baskol!$B$1284="","",[2]Baskol!$B$1284)</f>
        <v/>
      </c>
      <c r="U1281">
        <f>IF([2]Baskol!$C$1284="","",[2]Baskol!$C$1284)</f>
        <v/>
      </c>
      <c r="V1281">
        <f>IF([2]Baskol!$D$1284="","",[2]Baskol!$D$1284)</f>
        <v/>
      </c>
      <c r="W1281">
        <f>IF([2]Baskol!$E$1284="","",[2]Baskol!$E$1284)</f>
        <v/>
      </c>
      <c r="X1281">
        <f>IF([2]Baskol!$G$1284="","",[2]Baskol!$G$1284)</f>
        <v/>
      </c>
      <c r="Y1281">
        <f>IF([2]Baskol!$I$1284="","",[2]Baskol!$I$1284)</f>
        <v/>
      </c>
      <c r="Z1281">
        <f>IF([2]Baskol!$J$1284="","",[2]Baskol!$J$1284)</f>
        <v/>
      </c>
      <c r="AA1281">
        <f>IF([2]Baskol!$K$1284="","",[2]Baskol!$K$1284)</f>
        <v/>
      </c>
      <c r="AB1281">
        <f>IF([2]Baskol!$L$1284="","",[2]Baskol!$L$1284)</f>
        <v/>
      </c>
      <c r="AC1281">
        <f>IF([2]Baskol!$N$1284="","",[2]Baskol!$N$1284)</f>
        <v/>
      </c>
      <c r="AD1281">
        <f>IF([2]Baskol!$O$1284="","",[2]Baskol!$O$1284)</f>
        <v/>
      </c>
      <c r="AE1281">
        <f>IF([3]Entry!$C$1284="","",[3]Entry!$C$1284)</f>
        <v/>
      </c>
      <c r="AF1281">
        <f>IF([3]Entry!$D$1284="","",[3]Entry!$D$1284)</f>
        <v/>
      </c>
      <c r="AG1281">
        <f>IF([3]Entry!$E$1284="","",[3]Entry!$E$1284)</f>
        <v/>
      </c>
      <c r="AH1281">
        <f>IF([3]Entry!$G$1284="","",[3]Entry!$G$1284)</f>
        <v/>
      </c>
      <c r="AI1281">
        <f>IF([3]Entry!$K$1284="","",[3]Entry!$K$1284)</f>
        <v/>
      </c>
      <c r="AJ1281">
        <f>IF([3]Entry!$L$1284="","",[3]Entry!$L$1284)</f>
        <v/>
      </c>
      <c r="AK1281">
        <f>IF([3]Entry!$M$1284="","",[3]Entry!$M$1284)</f>
        <v/>
      </c>
      <c r="AL1281">
        <f>IF([3]Entry!$N$1284="","",[3]Entry!$N$1284)</f>
        <v/>
      </c>
      <c r="AM1281">
        <f>IF([3]Entry!$R$1284="","",[3]Entry!$R$1284)</f>
        <v/>
      </c>
    </row>
    <row r="1282">
      <c r="T1282">
        <f>IF([2]Baskol!$B$1285="","",[2]Baskol!$B$1285)</f>
        <v/>
      </c>
      <c r="U1282">
        <f>IF([2]Baskol!$C$1285="","",[2]Baskol!$C$1285)</f>
        <v/>
      </c>
      <c r="V1282">
        <f>IF([2]Baskol!$D$1285="","",[2]Baskol!$D$1285)</f>
        <v/>
      </c>
      <c r="W1282">
        <f>IF([2]Baskol!$E$1285="","",[2]Baskol!$E$1285)</f>
        <v/>
      </c>
      <c r="X1282">
        <f>IF([2]Baskol!$G$1285="","",[2]Baskol!$G$1285)</f>
        <v/>
      </c>
      <c r="Y1282">
        <f>IF([2]Baskol!$I$1285="","",[2]Baskol!$I$1285)</f>
        <v/>
      </c>
      <c r="Z1282">
        <f>IF([2]Baskol!$J$1285="","",[2]Baskol!$J$1285)</f>
        <v/>
      </c>
      <c r="AA1282">
        <f>IF([2]Baskol!$K$1285="","",[2]Baskol!$K$1285)</f>
        <v/>
      </c>
      <c r="AB1282">
        <f>IF([2]Baskol!$L$1285="","",[2]Baskol!$L$1285)</f>
        <v/>
      </c>
      <c r="AC1282">
        <f>IF([2]Baskol!$N$1285="","",[2]Baskol!$N$1285)</f>
        <v/>
      </c>
      <c r="AD1282">
        <f>IF([2]Baskol!$O$1285="","",[2]Baskol!$O$1285)</f>
        <v/>
      </c>
      <c r="AE1282">
        <f>IF([3]Entry!$C$1285="","",[3]Entry!$C$1285)</f>
        <v/>
      </c>
      <c r="AF1282">
        <f>IF([3]Entry!$D$1285="","",[3]Entry!$D$1285)</f>
        <v/>
      </c>
      <c r="AG1282">
        <f>IF([3]Entry!$E$1285="","",[3]Entry!$E$1285)</f>
        <v/>
      </c>
      <c r="AH1282">
        <f>IF([3]Entry!$G$1285="","",[3]Entry!$G$1285)</f>
        <v/>
      </c>
      <c r="AI1282">
        <f>IF([3]Entry!$K$1285="","",[3]Entry!$K$1285)</f>
        <v/>
      </c>
      <c r="AJ1282">
        <f>IF([3]Entry!$L$1285="","",[3]Entry!$L$1285)</f>
        <v/>
      </c>
      <c r="AK1282">
        <f>IF([3]Entry!$M$1285="","",[3]Entry!$M$1285)</f>
        <v/>
      </c>
      <c r="AL1282">
        <f>IF([3]Entry!$N$1285="","",[3]Entry!$N$1285)</f>
        <v/>
      </c>
      <c r="AM1282">
        <f>IF([3]Entry!$R$1285="","",[3]Entry!$R$1285)</f>
        <v/>
      </c>
    </row>
    <row r="1283">
      <c r="T1283">
        <f>IF([2]Baskol!$B$1286="","",[2]Baskol!$B$1286)</f>
        <v/>
      </c>
      <c r="U1283">
        <f>IF([2]Baskol!$C$1286="","",[2]Baskol!$C$1286)</f>
        <v/>
      </c>
      <c r="V1283">
        <f>IF([2]Baskol!$D$1286="","",[2]Baskol!$D$1286)</f>
        <v/>
      </c>
      <c r="W1283">
        <f>IF([2]Baskol!$E$1286="","",[2]Baskol!$E$1286)</f>
        <v/>
      </c>
      <c r="X1283">
        <f>IF([2]Baskol!$G$1286="","",[2]Baskol!$G$1286)</f>
        <v/>
      </c>
      <c r="Y1283">
        <f>IF([2]Baskol!$I$1286="","",[2]Baskol!$I$1286)</f>
        <v/>
      </c>
      <c r="Z1283">
        <f>IF([2]Baskol!$J$1286="","",[2]Baskol!$J$1286)</f>
        <v/>
      </c>
      <c r="AA1283">
        <f>IF([2]Baskol!$K$1286="","",[2]Baskol!$K$1286)</f>
        <v/>
      </c>
      <c r="AB1283">
        <f>IF([2]Baskol!$L$1286="","",[2]Baskol!$L$1286)</f>
        <v/>
      </c>
      <c r="AC1283">
        <f>IF([2]Baskol!$N$1286="","",[2]Baskol!$N$1286)</f>
        <v/>
      </c>
      <c r="AD1283">
        <f>IF([2]Baskol!$O$1286="","",[2]Baskol!$O$1286)</f>
        <v/>
      </c>
      <c r="AE1283">
        <f>IF([3]Entry!$C$1286="","",[3]Entry!$C$1286)</f>
        <v/>
      </c>
      <c r="AF1283">
        <f>IF([3]Entry!$D$1286="","",[3]Entry!$D$1286)</f>
        <v/>
      </c>
      <c r="AG1283">
        <f>IF([3]Entry!$E$1286="","",[3]Entry!$E$1286)</f>
        <v/>
      </c>
      <c r="AH1283">
        <f>IF([3]Entry!$G$1286="","",[3]Entry!$G$1286)</f>
        <v/>
      </c>
      <c r="AI1283">
        <f>IF([3]Entry!$K$1286="","",[3]Entry!$K$1286)</f>
        <v/>
      </c>
      <c r="AJ1283">
        <f>IF([3]Entry!$L$1286="","",[3]Entry!$L$1286)</f>
        <v/>
      </c>
      <c r="AK1283">
        <f>IF([3]Entry!$M$1286="","",[3]Entry!$M$1286)</f>
        <v/>
      </c>
      <c r="AL1283">
        <f>IF([3]Entry!$N$1286="","",[3]Entry!$N$1286)</f>
        <v/>
      </c>
      <c r="AM1283">
        <f>IF([3]Entry!$R$1286="","",[3]Entry!$R$1286)</f>
        <v/>
      </c>
    </row>
    <row r="1284">
      <c r="T1284">
        <f>IF([2]Baskol!$B$1287="","",[2]Baskol!$B$1287)</f>
        <v/>
      </c>
      <c r="U1284">
        <f>IF([2]Baskol!$C$1287="","",[2]Baskol!$C$1287)</f>
        <v/>
      </c>
      <c r="V1284">
        <f>IF([2]Baskol!$D$1287="","",[2]Baskol!$D$1287)</f>
        <v/>
      </c>
      <c r="W1284">
        <f>IF([2]Baskol!$E$1287="","",[2]Baskol!$E$1287)</f>
        <v/>
      </c>
      <c r="X1284">
        <f>IF([2]Baskol!$G$1287="","",[2]Baskol!$G$1287)</f>
        <v/>
      </c>
      <c r="Y1284">
        <f>IF([2]Baskol!$I$1287="","",[2]Baskol!$I$1287)</f>
        <v/>
      </c>
      <c r="Z1284">
        <f>IF([2]Baskol!$J$1287="","",[2]Baskol!$J$1287)</f>
        <v/>
      </c>
      <c r="AA1284">
        <f>IF([2]Baskol!$K$1287="","",[2]Baskol!$K$1287)</f>
        <v/>
      </c>
      <c r="AB1284">
        <f>IF([2]Baskol!$L$1287="","",[2]Baskol!$L$1287)</f>
        <v/>
      </c>
      <c r="AC1284">
        <f>IF([2]Baskol!$N$1287="","",[2]Baskol!$N$1287)</f>
        <v/>
      </c>
      <c r="AD1284">
        <f>IF([2]Baskol!$O$1287="","",[2]Baskol!$O$1287)</f>
        <v/>
      </c>
      <c r="AE1284">
        <f>IF([3]Entry!$C$1287="","",[3]Entry!$C$1287)</f>
        <v/>
      </c>
      <c r="AF1284">
        <f>IF([3]Entry!$D$1287="","",[3]Entry!$D$1287)</f>
        <v/>
      </c>
      <c r="AG1284">
        <f>IF([3]Entry!$E$1287="","",[3]Entry!$E$1287)</f>
        <v/>
      </c>
      <c r="AH1284">
        <f>IF([3]Entry!$G$1287="","",[3]Entry!$G$1287)</f>
        <v/>
      </c>
      <c r="AI1284">
        <f>IF([3]Entry!$K$1287="","",[3]Entry!$K$1287)</f>
        <v/>
      </c>
      <c r="AJ1284">
        <f>IF([3]Entry!$L$1287="","",[3]Entry!$L$1287)</f>
        <v/>
      </c>
      <c r="AK1284">
        <f>IF([3]Entry!$M$1287="","",[3]Entry!$M$1287)</f>
        <v/>
      </c>
      <c r="AL1284">
        <f>IF([3]Entry!$N$1287="","",[3]Entry!$N$1287)</f>
        <v/>
      </c>
      <c r="AM1284">
        <f>IF([3]Entry!$R$1287="","",[3]Entry!$R$1287)</f>
        <v/>
      </c>
    </row>
    <row r="1285">
      <c r="T1285">
        <f>IF([2]Baskol!$B$1288="","",[2]Baskol!$B$1288)</f>
        <v/>
      </c>
      <c r="U1285">
        <f>IF([2]Baskol!$C$1288="","",[2]Baskol!$C$1288)</f>
        <v/>
      </c>
      <c r="V1285">
        <f>IF([2]Baskol!$D$1288="","",[2]Baskol!$D$1288)</f>
        <v/>
      </c>
      <c r="W1285">
        <f>IF([2]Baskol!$E$1288="","",[2]Baskol!$E$1288)</f>
        <v/>
      </c>
      <c r="X1285">
        <f>IF([2]Baskol!$G$1288="","",[2]Baskol!$G$1288)</f>
        <v/>
      </c>
      <c r="Y1285">
        <f>IF([2]Baskol!$I$1288="","",[2]Baskol!$I$1288)</f>
        <v/>
      </c>
      <c r="Z1285">
        <f>IF([2]Baskol!$J$1288="","",[2]Baskol!$J$1288)</f>
        <v/>
      </c>
      <c r="AA1285">
        <f>IF([2]Baskol!$K$1288="","",[2]Baskol!$K$1288)</f>
        <v/>
      </c>
      <c r="AB1285">
        <f>IF([2]Baskol!$L$1288="","",[2]Baskol!$L$1288)</f>
        <v/>
      </c>
      <c r="AC1285">
        <f>IF([2]Baskol!$N$1288="","",[2]Baskol!$N$1288)</f>
        <v/>
      </c>
      <c r="AD1285">
        <f>IF([2]Baskol!$O$1288="","",[2]Baskol!$O$1288)</f>
        <v/>
      </c>
      <c r="AE1285">
        <f>IF([3]Entry!$C$1288="","",[3]Entry!$C$1288)</f>
        <v/>
      </c>
      <c r="AF1285">
        <f>IF([3]Entry!$D$1288="","",[3]Entry!$D$1288)</f>
        <v/>
      </c>
      <c r="AG1285">
        <f>IF([3]Entry!$E$1288="","",[3]Entry!$E$1288)</f>
        <v/>
      </c>
      <c r="AH1285">
        <f>IF([3]Entry!$G$1288="","",[3]Entry!$G$1288)</f>
        <v/>
      </c>
      <c r="AI1285">
        <f>IF([3]Entry!$K$1288="","",[3]Entry!$K$1288)</f>
        <v/>
      </c>
      <c r="AJ1285">
        <f>IF([3]Entry!$L$1288="","",[3]Entry!$L$1288)</f>
        <v/>
      </c>
      <c r="AK1285">
        <f>IF([3]Entry!$M$1288="","",[3]Entry!$M$1288)</f>
        <v/>
      </c>
      <c r="AL1285">
        <f>IF([3]Entry!$N$1288="","",[3]Entry!$N$1288)</f>
        <v/>
      </c>
      <c r="AM1285">
        <f>IF([3]Entry!$R$1288="","",[3]Entry!$R$1288)</f>
        <v/>
      </c>
    </row>
    <row r="1286">
      <c r="T1286">
        <f>IF([2]Baskol!$B$1289="","",[2]Baskol!$B$1289)</f>
        <v/>
      </c>
      <c r="U1286">
        <f>IF([2]Baskol!$C$1289="","",[2]Baskol!$C$1289)</f>
        <v/>
      </c>
      <c r="V1286">
        <f>IF([2]Baskol!$D$1289="","",[2]Baskol!$D$1289)</f>
        <v/>
      </c>
      <c r="W1286">
        <f>IF([2]Baskol!$E$1289="","",[2]Baskol!$E$1289)</f>
        <v/>
      </c>
      <c r="X1286">
        <f>IF([2]Baskol!$G$1289="","",[2]Baskol!$G$1289)</f>
        <v/>
      </c>
      <c r="Y1286">
        <f>IF([2]Baskol!$I$1289="","",[2]Baskol!$I$1289)</f>
        <v/>
      </c>
      <c r="Z1286">
        <f>IF([2]Baskol!$J$1289="","",[2]Baskol!$J$1289)</f>
        <v/>
      </c>
      <c r="AA1286">
        <f>IF([2]Baskol!$K$1289="","",[2]Baskol!$K$1289)</f>
        <v/>
      </c>
      <c r="AB1286">
        <f>IF([2]Baskol!$L$1289="","",[2]Baskol!$L$1289)</f>
        <v/>
      </c>
      <c r="AC1286">
        <f>IF([2]Baskol!$N$1289="","",[2]Baskol!$N$1289)</f>
        <v/>
      </c>
      <c r="AD1286">
        <f>IF([2]Baskol!$O$1289="","",[2]Baskol!$O$1289)</f>
        <v/>
      </c>
      <c r="AE1286">
        <f>IF([3]Entry!$C$1289="","",[3]Entry!$C$1289)</f>
        <v/>
      </c>
      <c r="AF1286">
        <f>IF([3]Entry!$D$1289="","",[3]Entry!$D$1289)</f>
        <v/>
      </c>
      <c r="AG1286">
        <f>IF([3]Entry!$E$1289="","",[3]Entry!$E$1289)</f>
        <v/>
      </c>
      <c r="AH1286">
        <f>IF([3]Entry!$G$1289="","",[3]Entry!$G$1289)</f>
        <v/>
      </c>
      <c r="AI1286">
        <f>IF([3]Entry!$K$1289="","",[3]Entry!$K$1289)</f>
        <v/>
      </c>
      <c r="AJ1286">
        <f>IF([3]Entry!$L$1289="","",[3]Entry!$L$1289)</f>
        <v/>
      </c>
      <c r="AK1286">
        <f>IF([3]Entry!$M$1289="","",[3]Entry!$M$1289)</f>
        <v/>
      </c>
      <c r="AL1286">
        <f>IF([3]Entry!$N$1289="","",[3]Entry!$N$1289)</f>
        <v/>
      </c>
      <c r="AM1286">
        <f>IF([3]Entry!$R$1289="","",[3]Entry!$R$1289)</f>
        <v/>
      </c>
    </row>
    <row r="1287">
      <c r="T1287">
        <f>IF([2]Baskol!$B$1290="","",[2]Baskol!$B$1290)</f>
        <v/>
      </c>
      <c r="U1287">
        <f>IF([2]Baskol!$C$1290="","",[2]Baskol!$C$1290)</f>
        <v/>
      </c>
      <c r="V1287">
        <f>IF([2]Baskol!$D$1290="","",[2]Baskol!$D$1290)</f>
        <v/>
      </c>
      <c r="W1287">
        <f>IF([2]Baskol!$E$1290="","",[2]Baskol!$E$1290)</f>
        <v/>
      </c>
      <c r="X1287">
        <f>IF([2]Baskol!$G$1290="","",[2]Baskol!$G$1290)</f>
        <v/>
      </c>
      <c r="Y1287">
        <f>IF([2]Baskol!$I$1290="","",[2]Baskol!$I$1290)</f>
        <v/>
      </c>
      <c r="Z1287">
        <f>IF([2]Baskol!$J$1290="","",[2]Baskol!$J$1290)</f>
        <v/>
      </c>
      <c r="AA1287">
        <f>IF([2]Baskol!$K$1290="","",[2]Baskol!$K$1290)</f>
        <v/>
      </c>
      <c r="AB1287">
        <f>IF([2]Baskol!$L$1290="","",[2]Baskol!$L$1290)</f>
        <v/>
      </c>
      <c r="AC1287">
        <f>IF([2]Baskol!$N$1290="","",[2]Baskol!$N$1290)</f>
        <v/>
      </c>
      <c r="AD1287">
        <f>IF([2]Baskol!$O$1290="","",[2]Baskol!$O$1290)</f>
        <v/>
      </c>
      <c r="AE1287">
        <f>IF([3]Entry!$C$1290="","",[3]Entry!$C$1290)</f>
        <v/>
      </c>
      <c r="AF1287">
        <f>IF([3]Entry!$D$1290="","",[3]Entry!$D$1290)</f>
        <v/>
      </c>
      <c r="AG1287">
        <f>IF([3]Entry!$E$1290="","",[3]Entry!$E$1290)</f>
        <v/>
      </c>
      <c r="AH1287">
        <f>IF([3]Entry!$G$1290="","",[3]Entry!$G$1290)</f>
        <v/>
      </c>
      <c r="AI1287">
        <f>IF([3]Entry!$K$1290="","",[3]Entry!$K$1290)</f>
        <v/>
      </c>
      <c r="AJ1287">
        <f>IF([3]Entry!$L$1290="","",[3]Entry!$L$1290)</f>
        <v/>
      </c>
      <c r="AK1287">
        <f>IF([3]Entry!$M$1290="","",[3]Entry!$M$1290)</f>
        <v/>
      </c>
      <c r="AL1287">
        <f>IF([3]Entry!$N$1290="","",[3]Entry!$N$1290)</f>
        <v/>
      </c>
      <c r="AM1287">
        <f>IF([3]Entry!$R$1290="","",[3]Entry!$R$1290)</f>
        <v/>
      </c>
    </row>
    <row r="1288">
      <c r="T1288">
        <f>IF([2]Baskol!$B$1291="","",[2]Baskol!$B$1291)</f>
        <v/>
      </c>
      <c r="U1288">
        <f>IF([2]Baskol!$C$1291="","",[2]Baskol!$C$1291)</f>
        <v/>
      </c>
      <c r="V1288">
        <f>IF([2]Baskol!$D$1291="","",[2]Baskol!$D$1291)</f>
        <v/>
      </c>
      <c r="W1288">
        <f>IF([2]Baskol!$E$1291="","",[2]Baskol!$E$1291)</f>
        <v/>
      </c>
      <c r="X1288">
        <f>IF([2]Baskol!$G$1291="","",[2]Baskol!$G$1291)</f>
        <v/>
      </c>
      <c r="Y1288">
        <f>IF([2]Baskol!$I$1291="","",[2]Baskol!$I$1291)</f>
        <v/>
      </c>
      <c r="Z1288">
        <f>IF([2]Baskol!$J$1291="","",[2]Baskol!$J$1291)</f>
        <v/>
      </c>
      <c r="AA1288">
        <f>IF([2]Baskol!$K$1291="","",[2]Baskol!$K$1291)</f>
        <v/>
      </c>
      <c r="AB1288">
        <f>IF([2]Baskol!$L$1291="","",[2]Baskol!$L$1291)</f>
        <v/>
      </c>
      <c r="AC1288">
        <f>IF([2]Baskol!$N$1291="","",[2]Baskol!$N$1291)</f>
        <v/>
      </c>
      <c r="AD1288">
        <f>IF([2]Baskol!$O$1291="","",[2]Baskol!$O$1291)</f>
        <v/>
      </c>
      <c r="AE1288">
        <f>IF([3]Entry!$C$1291="","",[3]Entry!$C$1291)</f>
        <v/>
      </c>
      <c r="AF1288">
        <f>IF([3]Entry!$D$1291="","",[3]Entry!$D$1291)</f>
        <v/>
      </c>
      <c r="AG1288">
        <f>IF([3]Entry!$E$1291="","",[3]Entry!$E$1291)</f>
        <v/>
      </c>
      <c r="AH1288">
        <f>IF([3]Entry!$G$1291="","",[3]Entry!$G$1291)</f>
        <v/>
      </c>
      <c r="AI1288">
        <f>IF([3]Entry!$K$1291="","",[3]Entry!$K$1291)</f>
        <v/>
      </c>
      <c r="AJ1288">
        <f>IF([3]Entry!$L$1291="","",[3]Entry!$L$1291)</f>
        <v/>
      </c>
      <c r="AK1288">
        <f>IF([3]Entry!$M$1291="","",[3]Entry!$M$1291)</f>
        <v/>
      </c>
      <c r="AL1288">
        <f>IF([3]Entry!$N$1291="","",[3]Entry!$N$1291)</f>
        <v/>
      </c>
      <c r="AM1288">
        <f>IF([3]Entry!$R$1291="","",[3]Entry!$R$1291)</f>
        <v/>
      </c>
    </row>
    <row r="1289">
      <c r="T1289">
        <f>IF([2]Baskol!$B$1292="","",[2]Baskol!$B$1292)</f>
        <v/>
      </c>
      <c r="U1289">
        <f>IF([2]Baskol!$C$1292="","",[2]Baskol!$C$1292)</f>
        <v/>
      </c>
      <c r="V1289">
        <f>IF([2]Baskol!$D$1292="","",[2]Baskol!$D$1292)</f>
        <v/>
      </c>
      <c r="W1289">
        <f>IF([2]Baskol!$E$1292="","",[2]Baskol!$E$1292)</f>
        <v/>
      </c>
      <c r="X1289">
        <f>IF([2]Baskol!$G$1292="","",[2]Baskol!$G$1292)</f>
        <v/>
      </c>
      <c r="Y1289">
        <f>IF([2]Baskol!$I$1292="","",[2]Baskol!$I$1292)</f>
        <v/>
      </c>
      <c r="Z1289">
        <f>IF([2]Baskol!$J$1292="","",[2]Baskol!$J$1292)</f>
        <v/>
      </c>
      <c r="AA1289">
        <f>IF([2]Baskol!$K$1292="","",[2]Baskol!$K$1292)</f>
        <v/>
      </c>
      <c r="AB1289">
        <f>IF([2]Baskol!$L$1292="","",[2]Baskol!$L$1292)</f>
        <v/>
      </c>
      <c r="AC1289">
        <f>IF([2]Baskol!$N$1292="","",[2]Baskol!$N$1292)</f>
        <v/>
      </c>
      <c r="AD1289">
        <f>IF([2]Baskol!$O$1292="","",[2]Baskol!$O$1292)</f>
        <v/>
      </c>
      <c r="AE1289">
        <f>IF([3]Entry!$C$1292="","",[3]Entry!$C$1292)</f>
        <v/>
      </c>
      <c r="AF1289">
        <f>IF([3]Entry!$D$1292="","",[3]Entry!$D$1292)</f>
        <v/>
      </c>
      <c r="AG1289">
        <f>IF([3]Entry!$E$1292="","",[3]Entry!$E$1292)</f>
        <v/>
      </c>
      <c r="AH1289">
        <f>IF([3]Entry!$G$1292="","",[3]Entry!$G$1292)</f>
        <v/>
      </c>
      <c r="AI1289">
        <f>IF([3]Entry!$K$1292="","",[3]Entry!$K$1292)</f>
        <v/>
      </c>
      <c r="AJ1289">
        <f>IF([3]Entry!$L$1292="","",[3]Entry!$L$1292)</f>
        <v/>
      </c>
      <c r="AK1289">
        <f>IF([3]Entry!$M$1292="","",[3]Entry!$M$1292)</f>
        <v/>
      </c>
      <c r="AL1289">
        <f>IF([3]Entry!$N$1292="","",[3]Entry!$N$1292)</f>
        <v/>
      </c>
      <c r="AM1289">
        <f>IF([3]Entry!$R$1292="","",[3]Entry!$R$1292)</f>
        <v/>
      </c>
    </row>
    <row r="1290">
      <c r="T1290">
        <f>IF([2]Baskol!$B$1293="","",[2]Baskol!$B$1293)</f>
        <v/>
      </c>
      <c r="U1290">
        <f>IF([2]Baskol!$C$1293="","",[2]Baskol!$C$1293)</f>
        <v/>
      </c>
      <c r="V1290">
        <f>IF([2]Baskol!$D$1293="","",[2]Baskol!$D$1293)</f>
        <v/>
      </c>
      <c r="W1290">
        <f>IF([2]Baskol!$E$1293="","",[2]Baskol!$E$1293)</f>
        <v/>
      </c>
      <c r="X1290">
        <f>IF([2]Baskol!$G$1293="","",[2]Baskol!$G$1293)</f>
        <v/>
      </c>
      <c r="Y1290">
        <f>IF([2]Baskol!$I$1293="","",[2]Baskol!$I$1293)</f>
        <v/>
      </c>
      <c r="Z1290">
        <f>IF([2]Baskol!$J$1293="","",[2]Baskol!$J$1293)</f>
        <v/>
      </c>
      <c r="AA1290">
        <f>IF([2]Baskol!$K$1293="","",[2]Baskol!$K$1293)</f>
        <v/>
      </c>
      <c r="AB1290">
        <f>IF([2]Baskol!$L$1293="","",[2]Baskol!$L$1293)</f>
        <v/>
      </c>
      <c r="AC1290">
        <f>IF([2]Baskol!$N$1293="","",[2]Baskol!$N$1293)</f>
        <v/>
      </c>
      <c r="AD1290">
        <f>IF([2]Baskol!$O$1293="","",[2]Baskol!$O$1293)</f>
        <v/>
      </c>
      <c r="AE1290">
        <f>IF([3]Entry!$C$1293="","",[3]Entry!$C$1293)</f>
        <v/>
      </c>
      <c r="AF1290">
        <f>IF([3]Entry!$D$1293="","",[3]Entry!$D$1293)</f>
        <v/>
      </c>
      <c r="AG1290">
        <f>IF([3]Entry!$E$1293="","",[3]Entry!$E$1293)</f>
        <v/>
      </c>
      <c r="AH1290">
        <f>IF([3]Entry!$G$1293="","",[3]Entry!$G$1293)</f>
        <v/>
      </c>
      <c r="AI1290">
        <f>IF([3]Entry!$K$1293="","",[3]Entry!$K$1293)</f>
        <v/>
      </c>
      <c r="AJ1290">
        <f>IF([3]Entry!$L$1293="","",[3]Entry!$L$1293)</f>
        <v/>
      </c>
      <c r="AK1290">
        <f>IF([3]Entry!$M$1293="","",[3]Entry!$M$1293)</f>
        <v/>
      </c>
      <c r="AL1290">
        <f>IF([3]Entry!$N$1293="","",[3]Entry!$N$1293)</f>
        <v/>
      </c>
      <c r="AM1290">
        <f>IF([3]Entry!$R$1293="","",[3]Entry!$R$1293)</f>
        <v/>
      </c>
    </row>
    <row r="1291">
      <c r="T1291">
        <f>IF([2]Baskol!$B$1294="","",[2]Baskol!$B$1294)</f>
        <v/>
      </c>
      <c r="U1291">
        <f>IF([2]Baskol!$C$1294="","",[2]Baskol!$C$1294)</f>
        <v/>
      </c>
      <c r="V1291">
        <f>IF([2]Baskol!$D$1294="","",[2]Baskol!$D$1294)</f>
        <v/>
      </c>
      <c r="W1291">
        <f>IF([2]Baskol!$E$1294="","",[2]Baskol!$E$1294)</f>
        <v/>
      </c>
      <c r="X1291">
        <f>IF([2]Baskol!$G$1294="","",[2]Baskol!$G$1294)</f>
        <v/>
      </c>
      <c r="Y1291">
        <f>IF([2]Baskol!$I$1294="","",[2]Baskol!$I$1294)</f>
        <v/>
      </c>
      <c r="Z1291">
        <f>IF([2]Baskol!$J$1294="","",[2]Baskol!$J$1294)</f>
        <v/>
      </c>
      <c r="AA1291">
        <f>IF([2]Baskol!$K$1294="","",[2]Baskol!$K$1294)</f>
        <v/>
      </c>
      <c r="AB1291">
        <f>IF([2]Baskol!$L$1294="","",[2]Baskol!$L$1294)</f>
        <v/>
      </c>
      <c r="AC1291">
        <f>IF([2]Baskol!$N$1294="","",[2]Baskol!$N$1294)</f>
        <v/>
      </c>
      <c r="AD1291">
        <f>IF([2]Baskol!$O$1294="","",[2]Baskol!$O$1294)</f>
        <v/>
      </c>
      <c r="AE1291">
        <f>IF([3]Entry!$C$1294="","",[3]Entry!$C$1294)</f>
        <v/>
      </c>
      <c r="AF1291">
        <f>IF([3]Entry!$D$1294="","",[3]Entry!$D$1294)</f>
        <v/>
      </c>
      <c r="AG1291">
        <f>IF([3]Entry!$E$1294="","",[3]Entry!$E$1294)</f>
        <v/>
      </c>
      <c r="AH1291">
        <f>IF([3]Entry!$G$1294="","",[3]Entry!$G$1294)</f>
        <v/>
      </c>
      <c r="AI1291">
        <f>IF([3]Entry!$K$1294="","",[3]Entry!$K$1294)</f>
        <v/>
      </c>
      <c r="AJ1291">
        <f>IF([3]Entry!$L$1294="","",[3]Entry!$L$1294)</f>
        <v/>
      </c>
      <c r="AK1291">
        <f>IF([3]Entry!$M$1294="","",[3]Entry!$M$1294)</f>
        <v/>
      </c>
      <c r="AL1291">
        <f>IF([3]Entry!$N$1294="","",[3]Entry!$N$1294)</f>
        <v/>
      </c>
      <c r="AM1291">
        <f>IF([3]Entry!$R$1294="","",[3]Entry!$R$1294)</f>
        <v/>
      </c>
    </row>
    <row r="1292">
      <c r="T1292">
        <f>IF([2]Baskol!$B$1295="","",[2]Baskol!$B$1295)</f>
        <v/>
      </c>
      <c r="U1292">
        <f>IF([2]Baskol!$C$1295="","",[2]Baskol!$C$1295)</f>
        <v/>
      </c>
      <c r="V1292">
        <f>IF([2]Baskol!$D$1295="","",[2]Baskol!$D$1295)</f>
        <v/>
      </c>
      <c r="W1292">
        <f>IF([2]Baskol!$E$1295="","",[2]Baskol!$E$1295)</f>
        <v/>
      </c>
      <c r="X1292">
        <f>IF([2]Baskol!$G$1295="","",[2]Baskol!$G$1295)</f>
        <v/>
      </c>
      <c r="Y1292">
        <f>IF([2]Baskol!$I$1295="","",[2]Baskol!$I$1295)</f>
        <v/>
      </c>
      <c r="Z1292">
        <f>IF([2]Baskol!$J$1295="","",[2]Baskol!$J$1295)</f>
        <v/>
      </c>
      <c r="AA1292">
        <f>IF([2]Baskol!$K$1295="","",[2]Baskol!$K$1295)</f>
        <v/>
      </c>
      <c r="AB1292">
        <f>IF([2]Baskol!$L$1295="","",[2]Baskol!$L$1295)</f>
        <v/>
      </c>
      <c r="AC1292">
        <f>IF([2]Baskol!$N$1295="","",[2]Baskol!$N$1295)</f>
        <v/>
      </c>
      <c r="AD1292">
        <f>IF([2]Baskol!$O$1295="","",[2]Baskol!$O$1295)</f>
        <v/>
      </c>
      <c r="AE1292">
        <f>IF([3]Entry!$C$1295="","",[3]Entry!$C$1295)</f>
        <v/>
      </c>
      <c r="AF1292">
        <f>IF([3]Entry!$D$1295="","",[3]Entry!$D$1295)</f>
        <v/>
      </c>
      <c r="AG1292">
        <f>IF([3]Entry!$E$1295="","",[3]Entry!$E$1295)</f>
        <v/>
      </c>
      <c r="AH1292">
        <f>IF([3]Entry!$G$1295="","",[3]Entry!$G$1295)</f>
        <v/>
      </c>
      <c r="AI1292">
        <f>IF([3]Entry!$K$1295="","",[3]Entry!$K$1295)</f>
        <v/>
      </c>
      <c r="AJ1292">
        <f>IF([3]Entry!$L$1295="","",[3]Entry!$L$1295)</f>
        <v/>
      </c>
      <c r="AK1292">
        <f>IF([3]Entry!$M$1295="","",[3]Entry!$M$1295)</f>
        <v/>
      </c>
      <c r="AL1292">
        <f>IF([3]Entry!$N$1295="","",[3]Entry!$N$1295)</f>
        <v/>
      </c>
      <c r="AM1292">
        <f>IF([3]Entry!$R$1295="","",[3]Entry!$R$1295)</f>
        <v/>
      </c>
    </row>
    <row r="1293">
      <c r="T1293">
        <f>IF([2]Baskol!$B$1296="","",[2]Baskol!$B$1296)</f>
        <v/>
      </c>
      <c r="U1293">
        <f>IF([2]Baskol!$C$1296="","",[2]Baskol!$C$1296)</f>
        <v/>
      </c>
      <c r="V1293">
        <f>IF([2]Baskol!$D$1296="","",[2]Baskol!$D$1296)</f>
        <v/>
      </c>
      <c r="W1293">
        <f>IF([2]Baskol!$E$1296="","",[2]Baskol!$E$1296)</f>
        <v/>
      </c>
      <c r="X1293">
        <f>IF([2]Baskol!$G$1296="","",[2]Baskol!$G$1296)</f>
        <v/>
      </c>
      <c r="Y1293">
        <f>IF([2]Baskol!$I$1296="","",[2]Baskol!$I$1296)</f>
        <v/>
      </c>
      <c r="Z1293">
        <f>IF([2]Baskol!$J$1296="","",[2]Baskol!$J$1296)</f>
        <v/>
      </c>
      <c r="AA1293">
        <f>IF([2]Baskol!$K$1296="","",[2]Baskol!$K$1296)</f>
        <v/>
      </c>
      <c r="AB1293">
        <f>IF([2]Baskol!$L$1296="","",[2]Baskol!$L$1296)</f>
        <v/>
      </c>
      <c r="AC1293">
        <f>IF([2]Baskol!$N$1296="","",[2]Baskol!$N$1296)</f>
        <v/>
      </c>
      <c r="AD1293">
        <f>IF([2]Baskol!$O$1296="","",[2]Baskol!$O$1296)</f>
        <v/>
      </c>
      <c r="AE1293">
        <f>IF([3]Entry!$C$1296="","",[3]Entry!$C$1296)</f>
        <v/>
      </c>
      <c r="AF1293">
        <f>IF([3]Entry!$D$1296="","",[3]Entry!$D$1296)</f>
        <v/>
      </c>
      <c r="AG1293">
        <f>IF([3]Entry!$E$1296="","",[3]Entry!$E$1296)</f>
        <v/>
      </c>
      <c r="AH1293">
        <f>IF([3]Entry!$G$1296="","",[3]Entry!$G$1296)</f>
        <v/>
      </c>
      <c r="AI1293">
        <f>IF([3]Entry!$K$1296="","",[3]Entry!$K$1296)</f>
        <v/>
      </c>
      <c r="AJ1293">
        <f>IF([3]Entry!$L$1296="","",[3]Entry!$L$1296)</f>
        <v/>
      </c>
      <c r="AK1293">
        <f>IF([3]Entry!$M$1296="","",[3]Entry!$M$1296)</f>
        <v/>
      </c>
      <c r="AL1293">
        <f>IF([3]Entry!$N$1296="","",[3]Entry!$N$1296)</f>
        <v/>
      </c>
      <c r="AM1293">
        <f>IF([3]Entry!$R$1296="","",[3]Entry!$R$1296)</f>
        <v/>
      </c>
    </row>
    <row r="1294">
      <c r="T1294">
        <f>IF([2]Baskol!$B$1297="","",[2]Baskol!$B$1297)</f>
        <v/>
      </c>
      <c r="U1294">
        <f>IF([2]Baskol!$C$1297="","",[2]Baskol!$C$1297)</f>
        <v/>
      </c>
      <c r="V1294">
        <f>IF([2]Baskol!$D$1297="","",[2]Baskol!$D$1297)</f>
        <v/>
      </c>
      <c r="W1294">
        <f>IF([2]Baskol!$E$1297="","",[2]Baskol!$E$1297)</f>
        <v/>
      </c>
      <c r="X1294">
        <f>IF([2]Baskol!$G$1297="","",[2]Baskol!$G$1297)</f>
        <v/>
      </c>
      <c r="Y1294">
        <f>IF([2]Baskol!$I$1297="","",[2]Baskol!$I$1297)</f>
        <v/>
      </c>
      <c r="Z1294">
        <f>IF([2]Baskol!$J$1297="","",[2]Baskol!$J$1297)</f>
        <v/>
      </c>
      <c r="AA1294">
        <f>IF([2]Baskol!$K$1297="","",[2]Baskol!$K$1297)</f>
        <v/>
      </c>
      <c r="AB1294">
        <f>IF([2]Baskol!$L$1297="","",[2]Baskol!$L$1297)</f>
        <v/>
      </c>
      <c r="AC1294">
        <f>IF([2]Baskol!$N$1297="","",[2]Baskol!$N$1297)</f>
        <v/>
      </c>
      <c r="AD1294">
        <f>IF([2]Baskol!$O$1297="","",[2]Baskol!$O$1297)</f>
        <v/>
      </c>
      <c r="AE1294">
        <f>IF([3]Entry!$C$1297="","",[3]Entry!$C$1297)</f>
        <v/>
      </c>
      <c r="AF1294">
        <f>IF([3]Entry!$D$1297="","",[3]Entry!$D$1297)</f>
        <v/>
      </c>
      <c r="AG1294">
        <f>IF([3]Entry!$E$1297="","",[3]Entry!$E$1297)</f>
        <v/>
      </c>
      <c r="AH1294">
        <f>IF([3]Entry!$G$1297="","",[3]Entry!$G$1297)</f>
        <v/>
      </c>
      <c r="AI1294">
        <f>IF([3]Entry!$K$1297="","",[3]Entry!$K$1297)</f>
        <v/>
      </c>
      <c r="AJ1294">
        <f>IF([3]Entry!$L$1297="","",[3]Entry!$L$1297)</f>
        <v/>
      </c>
      <c r="AK1294">
        <f>IF([3]Entry!$M$1297="","",[3]Entry!$M$1297)</f>
        <v/>
      </c>
      <c r="AL1294">
        <f>IF([3]Entry!$N$1297="","",[3]Entry!$N$1297)</f>
        <v/>
      </c>
      <c r="AM1294">
        <f>IF([3]Entry!$R$1297="","",[3]Entry!$R$1297)</f>
        <v/>
      </c>
    </row>
    <row r="1295">
      <c r="T1295">
        <f>IF([2]Baskol!$B$1298="","",[2]Baskol!$B$1298)</f>
        <v/>
      </c>
      <c r="U1295">
        <f>IF([2]Baskol!$C$1298="","",[2]Baskol!$C$1298)</f>
        <v/>
      </c>
      <c r="V1295">
        <f>IF([2]Baskol!$D$1298="","",[2]Baskol!$D$1298)</f>
        <v/>
      </c>
      <c r="W1295">
        <f>IF([2]Baskol!$E$1298="","",[2]Baskol!$E$1298)</f>
        <v/>
      </c>
      <c r="X1295">
        <f>IF([2]Baskol!$G$1298="","",[2]Baskol!$G$1298)</f>
        <v/>
      </c>
      <c r="Y1295">
        <f>IF([2]Baskol!$I$1298="","",[2]Baskol!$I$1298)</f>
        <v/>
      </c>
      <c r="Z1295">
        <f>IF([2]Baskol!$J$1298="","",[2]Baskol!$J$1298)</f>
        <v/>
      </c>
      <c r="AA1295">
        <f>IF([2]Baskol!$K$1298="","",[2]Baskol!$K$1298)</f>
        <v/>
      </c>
      <c r="AB1295">
        <f>IF([2]Baskol!$L$1298="","",[2]Baskol!$L$1298)</f>
        <v/>
      </c>
      <c r="AC1295">
        <f>IF([2]Baskol!$N$1298="","",[2]Baskol!$N$1298)</f>
        <v/>
      </c>
      <c r="AD1295">
        <f>IF([2]Baskol!$O$1298="","",[2]Baskol!$O$1298)</f>
        <v/>
      </c>
      <c r="AE1295">
        <f>IF([3]Entry!$C$1298="","",[3]Entry!$C$1298)</f>
        <v/>
      </c>
      <c r="AF1295">
        <f>IF([3]Entry!$D$1298="","",[3]Entry!$D$1298)</f>
        <v/>
      </c>
      <c r="AG1295">
        <f>IF([3]Entry!$E$1298="","",[3]Entry!$E$1298)</f>
        <v/>
      </c>
      <c r="AH1295">
        <f>IF([3]Entry!$G$1298="","",[3]Entry!$G$1298)</f>
        <v/>
      </c>
      <c r="AI1295">
        <f>IF([3]Entry!$K$1298="","",[3]Entry!$K$1298)</f>
        <v/>
      </c>
      <c r="AJ1295">
        <f>IF([3]Entry!$L$1298="","",[3]Entry!$L$1298)</f>
        <v/>
      </c>
      <c r="AK1295">
        <f>IF([3]Entry!$M$1298="","",[3]Entry!$M$1298)</f>
        <v/>
      </c>
      <c r="AL1295">
        <f>IF([3]Entry!$N$1298="","",[3]Entry!$N$1298)</f>
        <v/>
      </c>
      <c r="AM1295">
        <f>IF([3]Entry!$R$1298="","",[3]Entry!$R$1298)</f>
        <v/>
      </c>
    </row>
    <row r="1296">
      <c r="T1296">
        <f>IF([2]Baskol!$B$1299="","",[2]Baskol!$B$1299)</f>
        <v/>
      </c>
      <c r="U1296">
        <f>IF([2]Baskol!$C$1299="","",[2]Baskol!$C$1299)</f>
        <v/>
      </c>
      <c r="V1296">
        <f>IF([2]Baskol!$D$1299="","",[2]Baskol!$D$1299)</f>
        <v/>
      </c>
      <c r="W1296">
        <f>IF([2]Baskol!$E$1299="","",[2]Baskol!$E$1299)</f>
        <v/>
      </c>
      <c r="X1296">
        <f>IF([2]Baskol!$G$1299="","",[2]Baskol!$G$1299)</f>
        <v/>
      </c>
      <c r="Y1296">
        <f>IF([2]Baskol!$I$1299="","",[2]Baskol!$I$1299)</f>
        <v/>
      </c>
      <c r="Z1296">
        <f>IF([2]Baskol!$J$1299="","",[2]Baskol!$J$1299)</f>
        <v/>
      </c>
      <c r="AA1296">
        <f>IF([2]Baskol!$K$1299="","",[2]Baskol!$K$1299)</f>
        <v/>
      </c>
      <c r="AB1296">
        <f>IF([2]Baskol!$L$1299="","",[2]Baskol!$L$1299)</f>
        <v/>
      </c>
      <c r="AC1296">
        <f>IF([2]Baskol!$N$1299="","",[2]Baskol!$N$1299)</f>
        <v/>
      </c>
      <c r="AD1296">
        <f>IF([2]Baskol!$O$1299="","",[2]Baskol!$O$1299)</f>
        <v/>
      </c>
      <c r="AE1296">
        <f>IF([3]Entry!$C$1299="","",[3]Entry!$C$1299)</f>
        <v/>
      </c>
      <c r="AF1296">
        <f>IF([3]Entry!$D$1299="","",[3]Entry!$D$1299)</f>
        <v/>
      </c>
      <c r="AG1296">
        <f>IF([3]Entry!$E$1299="","",[3]Entry!$E$1299)</f>
        <v/>
      </c>
      <c r="AH1296">
        <f>IF([3]Entry!$G$1299="","",[3]Entry!$G$1299)</f>
        <v/>
      </c>
      <c r="AI1296">
        <f>IF([3]Entry!$K$1299="","",[3]Entry!$K$1299)</f>
        <v/>
      </c>
      <c r="AJ1296">
        <f>IF([3]Entry!$L$1299="","",[3]Entry!$L$1299)</f>
        <v/>
      </c>
      <c r="AK1296">
        <f>IF([3]Entry!$M$1299="","",[3]Entry!$M$1299)</f>
        <v/>
      </c>
      <c r="AL1296">
        <f>IF([3]Entry!$N$1299="","",[3]Entry!$N$1299)</f>
        <v/>
      </c>
      <c r="AM1296">
        <f>IF([3]Entry!$R$1299="","",[3]Entry!$R$1299)</f>
        <v/>
      </c>
    </row>
    <row r="1297">
      <c r="T1297">
        <f>IF([2]Baskol!$B$1300="","",[2]Baskol!$B$1300)</f>
        <v/>
      </c>
      <c r="U1297">
        <f>IF([2]Baskol!$C$1300="","",[2]Baskol!$C$1300)</f>
        <v/>
      </c>
      <c r="V1297">
        <f>IF([2]Baskol!$D$1300="","",[2]Baskol!$D$1300)</f>
        <v/>
      </c>
      <c r="W1297">
        <f>IF([2]Baskol!$E$1300="","",[2]Baskol!$E$1300)</f>
        <v/>
      </c>
      <c r="X1297">
        <f>IF([2]Baskol!$G$1300="","",[2]Baskol!$G$1300)</f>
        <v/>
      </c>
      <c r="Y1297">
        <f>IF([2]Baskol!$I$1300="","",[2]Baskol!$I$1300)</f>
        <v/>
      </c>
      <c r="Z1297">
        <f>IF([2]Baskol!$J$1300="","",[2]Baskol!$J$1300)</f>
        <v/>
      </c>
      <c r="AA1297">
        <f>IF([2]Baskol!$K$1300="","",[2]Baskol!$K$1300)</f>
        <v/>
      </c>
      <c r="AB1297">
        <f>IF([2]Baskol!$L$1300="","",[2]Baskol!$L$1300)</f>
        <v/>
      </c>
      <c r="AC1297">
        <f>IF([2]Baskol!$N$1300="","",[2]Baskol!$N$1300)</f>
        <v/>
      </c>
      <c r="AD1297">
        <f>IF([2]Baskol!$O$1300="","",[2]Baskol!$O$1300)</f>
        <v/>
      </c>
      <c r="AE1297">
        <f>IF([3]Entry!$C$1300="","",[3]Entry!$C$1300)</f>
        <v/>
      </c>
      <c r="AF1297">
        <f>IF([3]Entry!$D$1300="","",[3]Entry!$D$1300)</f>
        <v/>
      </c>
      <c r="AG1297">
        <f>IF([3]Entry!$E$1300="","",[3]Entry!$E$1300)</f>
        <v/>
      </c>
      <c r="AH1297">
        <f>IF([3]Entry!$G$1300="","",[3]Entry!$G$1300)</f>
        <v/>
      </c>
      <c r="AI1297">
        <f>IF([3]Entry!$K$1300="","",[3]Entry!$K$1300)</f>
        <v/>
      </c>
      <c r="AJ1297">
        <f>IF([3]Entry!$L$1300="","",[3]Entry!$L$1300)</f>
        <v/>
      </c>
      <c r="AK1297">
        <f>IF([3]Entry!$M$1300="","",[3]Entry!$M$1300)</f>
        <v/>
      </c>
      <c r="AL1297">
        <f>IF([3]Entry!$N$1300="","",[3]Entry!$N$1300)</f>
        <v/>
      </c>
      <c r="AM1297">
        <f>IF([3]Entry!$R$1300="","",[3]Entry!$R$1300)</f>
        <v/>
      </c>
    </row>
    <row r="1298">
      <c r="T1298">
        <f>IF([2]Baskol!$B$1301="","",[2]Baskol!$B$1301)</f>
        <v/>
      </c>
      <c r="U1298">
        <f>IF([2]Baskol!$C$1301="","",[2]Baskol!$C$1301)</f>
        <v/>
      </c>
      <c r="V1298">
        <f>IF([2]Baskol!$D$1301="","",[2]Baskol!$D$1301)</f>
        <v/>
      </c>
      <c r="W1298">
        <f>IF([2]Baskol!$E$1301="","",[2]Baskol!$E$1301)</f>
        <v/>
      </c>
      <c r="X1298">
        <f>IF([2]Baskol!$G$1301="","",[2]Baskol!$G$1301)</f>
        <v/>
      </c>
      <c r="Y1298">
        <f>IF([2]Baskol!$I$1301="","",[2]Baskol!$I$1301)</f>
        <v/>
      </c>
      <c r="Z1298">
        <f>IF([2]Baskol!$J$1301="","",[2]Baskol!$J$1301)</f>
        <v/>
      </c>
      <c r="AA1298">
        <f>IF([2]Baskol!$K$1301="","",[2]Baskol!$K$1301)</f>
        <v/>
      </c>
      <c r="AB1298">
        <f>IF([2]Baskol!$L$1301="","",[2]Baskol!$L$1301)</f>
        <v/>
      </c>
      <c r="AC1298">
        <f>IF([2]Baskol!$N$1301="","",[2]Baskol!$N$1301)</f>
        <v/>
      </c>
      <c r="AD1298">
        <f>IF([2]Baskol!$O$1301="","",[2]Baskol!$O$1301)</f>
        <v/>
      </c>
      <c r="AE1298">
        <f>IF([3]Entry!$C$1301="","",[3]Entry!$C$1301)</f>
        <v/>
      </c>
      <c r="AF1298">
        <f>IF([3]Entry!$D$1301="","",[3]Entry!$D$1301)</f>
        <v/>
      </c>
      <c r="AG1298">
        <f>IF([3]Entry!$E$1301="","",[3]Entry!$E$1301)</f>
        <v/>
      </c>
      <c r="AH1298">
        <f>IF([3]Entry!$G$1301="","",[3]Entry!$G$1301)</f>
        <v/>
      </c>
      <c r="AI1298">
        <f>IF([3]Entry!$K$1301="","",[3]Entry!$K$1301)</f>
        <v/>
      </c>
      <c r="AJ1298">
        <f>IF([3]Entry!$L$1301="","",[3]Entry!$L$1301)</f>
        <v/>
      </c>
      <c r="AK1298">
        <f>IF([3]Entry!$M$1301="","",[3]Entry!$M$1301)</f>
        <v/>
      </c>
      <c r="AL1298">
        <f>IF([3]Entry!$N$1301="","",[3]Entry!$N$1301)</f>
        <v/>
      </c>
      <c r="AM1298">
        <f>IF([3]Entry!$R$1301="","",[3]Entry!$R$1301)</f>
        <v/>
      </c>
    </row>
    <row r="1299">
      <c r="T1299">
        <f>IF([2]Baskol!$B$1302="","",[2]Baskol!$B$1302)</f>
        <v/>
      </c>
      <c r="U1299">
        <f>IF([2]Baskol!$C$1302="","",[2]Baskol!$C$1302)</f>
        <v/>
      </c>
      <c r="V1299">
        <f>IF([2]Baskol!$D$1302="","",[2]Baskol!$D$1302)</f>
        <v/>
      </c>
      <c r="W1299">
        <f>IF([2]Baskol!$E$1302="","",[2]Baskol!$E$1302)</f>
        <v/>
      </c>
      <c r="X1299">
        <f>IF([2]Baskol!$G$1302="","",[2]Baskol!$G$1302)</f>
        <v/>
      </c>
      <c r="Y1299">
        <f>IF([2]Baskol!$I$1302="","",[2]Baskol!$I$1302)</f>
        <v/>
      </c>
      <c r="Z1299">
        <f>IF([2]Baskol!$J$1302="","",[2]Baskol!$J$1302)</f>
        <v/>
      </c>
      <c r="AA1299">
        <f>IF([2]Baskol!$K$1302="","",[2]Baskol!$K$1302)</f>
        <v/>
      </c>
      <c r="AB1299">
        <f>IF([2]Baskol!$L$1302="","",[2]Baskol!$L$1302)</f>
        <v/>
      </c>
      <c r="AC1299">
        <f>IF([2]Baskol!$N$1302="","",[2]Baskol!$N$1302)</f>
        <v/>
      </c>
      <c r="AD1299">
        <f>IF([2]Baskol!$O$1302="","",[2]Baskol!$O$1302)</f>
        <v/>
      </c>
      <c r="AE1299">
        <f>IF([3]Entry!$C$1302="","",[3]Entry!$C$1302)</f>
        <v/>
      </c>
      <c r="AF1299">
        <f>IF([3]Entry!$D$1302="","",[3]Entry!$D$1302)</f>
        <v/>
      </c>
      <c r="AG1299">
        <f>IF([3]Entry!$E$1302="","",[3]Entry!$E$1302)</f>
        <v/>
      </c>
      <c r="AH1299">
        <f>IF([3]Entry!$G$1302="","",[3]Entry!$G$1302)</f>
        <v/>
      </c>
      <c r="AI1299">
        <f>IF([3]Entry!$K$1302="","",[3]Entry!$K$1302)</f>
        <v/>
      </c>
      <c r="AJ1299">
        <f>IF([3]Entry!$L$1302="","",[3]Entry!$L$1302)</f>
        <v/>
      </c>
      <c r="AK1299">
        <f>IF([3]Entry!$M$1302="","",[3]Entry!$M$1302)</f>
        <v/>
      </c>
      <c r="AL1299">
        <f>IF([3]Entry!$N$1302="","",[3]Entry!$N$1302)</f>
        <v/>
      </c>
      <c r="AM1299">
        <f>IF([3]Entry!$R$1302="","",[3]Entry!$R$1302)</f>
        <v/>
      </c>
    </row>
    <row r="1300">
      <c r="T1300">
        <f>IF([2]Baskol!$B$1303="","",[2]Baskol!$B$1303)</f>
        <v/>
      </c>
      <c r="U1300">
        <f>IF([2]Baskol!$C$1303="","",[2]Baskol!$C$1303)</f>
        <v/>
      </c>
      <c r="V1300">
        <f>IF([2]Baskol!$D$1303="","",[2]Baskol!$D$1303)</f>
        <v/>
      </c>
      <c r="W1300">
        <f>IF([2]Baskol!$E$1303="","",[2]Baskol!$E$1303)</f>
        <v/>
      </c>
      <c r="X1300">
        <f>IF([2]Baskol!$G$1303="","",[2]Baskol!$G$1303)</f>
        <v/>
      </c>
      <c r="Y1300">
        <f>IF([2]Baskol!$I$1303="","",[2]Baskol!$I$1303)</f>
        <v/>
      </c>
      <c r="Z1300">
        <f>IF([2]Baskol!$J$1303="","",[2]Baskol!$J$1303)</f>
        <v/>
      </c>
      <c r="AA1300">
        <f>IF([2]Baskol!$K$1303="","",[2]Baskol!$K$1303)</f>
        <v/>
      </c>
      <c r="AB1300">
        <f>IF([2]Baskol!$L$1303="","",[2]Baskol!$L$1303)</f>
        <v/>
      </c>
      <c r="AC1300">
        <f>IF([2]Baskol!$N$1303="","",[2]Baskol!$N$1303)</f>
        <v/>
      </c>
      <c r="AD1300">
        <f>IF([2]Baskol!$O$1303="","",[2]Baskol!$O$1303)</f>
        <v/>
      </c>
      <c r="AE1300">
        <f>IF([3]Entry!$C$1303="","",[3]Entry!$C$1303)</f>
        <v/>
      </c>
      <c r="AF1300">
        <f>IF([3]Entry!$D$1303="","",[3]Entry!$D$1303)</f>
        <v/>
      </c>
      <c r="AG1300">
        <f>IF([3]Entry!$E$1303="","",[3]Entry!$E$1303)</f>
        <v/>
      </c>
      <c r="AH1300">
        <f>IF([3]Entry!$G$1303="","",[3]Entry!$G$1303)</f>
        <v/>
      </c>
      <c r="AI1300">
        <f>IF([3]Entry!$K$1303="","",[3]Entry!$K$1303)</f>
        <v/>
      </c>
      <c r="AJ1300">
        <f>IF([3]Entry!$L$1303="","",[3]Entry!$L$1303)</f>
        <v/>
      </c>
      <c r="AK1300">
        <f>IF([3]Entry!$M$1303="","",[3]Entry!$M$1303)</f>
        <v/>
      </c>
      <c r="AL1300">
        <f>IF([3]Entry!$N$1303="","",[3]Entry!$N$1303)</f>
        <v/>
      </c>
      <c r="AM1300">
        <f>IF([3]Entry!$R$1303="","",[3]Entry!$R$1303)</f>
        <v/>
      </c>
    </row>
    <row r="1301">
      <c r="T1301">
        <f>IF([2]Baskol!$B$1304="","",[2]Baskol!$B$1304)</f>
        <v/>
      </c>
      <c r="U1301">
        <f>IF([2]Baskol!$C$1304="","",[2]Baskol!$C$1304)</f>
        <v/>
      </c>
      <c r="V1301">
        <f>IF([2]Baskol!$D$1304="","",[2]Baskol!$D$1304)</f>
        <v/>
      </c>
      <c r="W1301">
        <f>IF([2]Baskol!$E$1304="","",[2]Baskol!$E$1304)</f>
        <v/>
      </c>
      <c r="X1301">
        <f>IF([2]Baskol!$G$1304="","",[2]Baskol!$G$1304)</f>
        <v/>
      </c>
      <c r="Y1301">
        <f>IF([2]Baskol!$I$1304="","",[2]Baskol!$I$1304)</f>
        <v/>
      </c>
      <c r="Z1301">
        <f>IF([2]Baskol!$J$1304="","",[2]Baskol!$J$1304)</f>
        <v/>
      </c>
      <c r="AA1301">
        <f>IF([2]Baskol!$K$1304="","",[2]Baskol!$K$1304)</f>
        <v/>
      </c>
      <c r="AB1301">
        <f>IF([2]Baskol!$L$1304="","",[2]Baskol!$L$1304)</f>
        <v/>
      </c>
      <c r="AC1301">
        <f>IF([2]Baskol!$N$1304="","",[2]Baskol!$N$1304)</f>
        <v/>
      </c>
      <c r="AD1301">
        <f>IF([2]Baskol!$O$1304="","",[2]Baskol!$O$1304)</f>
        <v/>
      </c>
      <c r="AE1301">
        <f>IF([3]Entry!$C$1304="","",[3]Entry!$C$1304)</f>
        <v/>
      </c>
      <c r="AF1301">
        <f>IF([3]Entry!$D$1304="","",[3]Entry!$D$1304)</f>
        <v/>
      </c>
      <c r="AG1301">
        <f>IF([3]Entry!$E$1304="","",[3]Entry!$E$1304)</f>
        <v/>
      </c>
      <c r="AH1301">
        <f>IF([3]Entry!$G$1304="","",[3]Entry!$G$1304)</f>
        <v/>
      </c>
      <c r="AI1301">
        <f>IF([3]Entry!$K$1304="","",[3]Entry!$K$1304)</f>
        <v/>
      </c>
      <c r="AJ1301">
        <f>IF([3]Entry!$L$1304="","",[3]Entry!$L$1304)</f>
        <v/>
      </c>
      <c r="AK1301">
        <f>IF([3]Entry!$M$1304="","",[3]Entry!$M$1304)</f>
        <v/>
      </c>
      <c r="AL1301">
        <f>IF([3]Entry!$N$1304="","",[3]Entry!$N$1304)</f>
        <v/>
      </c>
      <c r="AM1301">
        <f>IF([3]Entry!$R$1304="","",[3]Entry!$R$1304)</f>
        <v/>
      </c>
    </row>
    <row r="1302">
      <c r="T1302">
        <f>IF([2]Baskol!$B$1305="","",[2]Baskol!$B$1305)</f>
        <v/>
      </c>
      <c r="U1302">
        <f>IF([2]Baskol!$C$1305="","",[2]Baskol!$C$1305)</f>
        <v/>
      </c>
      <c r="V1302">
        <f>IF([2]Baskol!$D$1305="","",[2]Baskol!$D$1305)</f>
        <v/>
      </c>
      <c r="W1302">
        <f>IF([2]Baskol!$E$1305="","",[2]Baskol!$E$1305)</f>
        <v/>
      </c>
      <c r="X1302">
        <f>IF([2]Baskol!$G$1305="","",[2]Baskol!$G$1305)</f>
        <v/>
      </c>
      <c r="Y1302">
        <f>IF([2]Baskol!$I$1305="","",[2]Baskol!$I$1305)</f>
        <v/>
      </c>
      <c r="Z1302">
        <f>IF([2]Baskol!$J$1305="","",[2]Baskol!$J$1305)</f>
        <v/>
      </c>
      <c r="AA1302">
        <f>IF([2]Baskol!$K$1305="","",[2]Baskol!$K$1305)</f>
        <v/>
      </c>
      <c r="AB1302">
        <f>IF([2]Baskol!$L$1305="","",[2]Baskol!$L$1305)</f>
        <v/>
      </c>
      <c r="AC1302">
        <f>IF([2]Baskol!$N$1305="","",[2]Baskol!$N$1305)</f>
        <v/>
      </c>
      <c r="AD1302">
        <f>IF([2]Baskol!$O$1305="","",[2]Baskol!$O$1305)</f>
        <v/>
      </c>
      <c r="AE1302">
        <f>IF([3]Entry!$C$1305="","",[3]Entry!$C$1305)</f>
        <v/>
      </c>
      <c r="AF1302">
        <f>IF([3]Entry!$D$1305="","",[3]Entry!$D$1305)</f>
        <v/>
      </c>
      <c r="AG1302">
        <f>IF([3]Entry!$E$1305="","",[3]Entry!$E$1305)</f>
        <v/>
      </c>
      <c r="AH1302">
        <f>IF([3]Entry!$G$1305="","",[3]Entry!$G$1305)</f>
        <v/>
      </c>
      <c r="AI1302">
        <f>IF([3]Entry!$K$1305="","",[3]Entry!$K$1305)</f>
        <v/>
      </c>
      <c r="AJ1302">
        <f>IF([3]Entry!$L$1305="","",[3]Entry!$L$1305)</f>
        <v/>
      </c>
      <c r="AK1302">
        <f>IF([3]Entry!$M$1305="","",[3]Entry!$M$1305)</f>
        <v/>
      </c>
      <c r="AL1302">
        <f>IF([3]Entry!$N$1305="","",[3]Entry!$N$1305)</f>
        <v/>
      </c>
      <c r="AM1302">
        <f>IF([3]Entry!$R$1305="","",[3]Entry!$R$1305)</f>
        <v/>
      </c>
    </row>
    <row r="1303">
      <c r="T1303">
        <f>IF([2]Baskol!$B$1306="","",[2]Baskol!$B$1306)</f>
        <v/>
      </c>
      <c r="U1303">
        <f>IF([2]Baskol!$C$1306="","",[2]Baskol!$C$1306)</f>
        <v/>
      </c>
      <c r="V1303">
        <f>IF([2]Baskol!$D$1306="","",[2]Baskol!$D$1306)</f>
        <v/>
      </c>
      <c r="W1303">
        <f>IF([2]Baskol!$E$1306="","",[2]Baskol!$E$1306)</f>
        <v/>
      </c>
      <c r="X1303">
        <f>IF([2]Baskol!$G$1306="","",[2]Baskol!$G$1306)</f>
        <v/>
      </c>
      <c r="Y1303">
        <f>IF([2]Baskol!$I$1306="","",[2]Baskol!$I$1306)</f>
        <v/>
      </c>
      <c r="Z1303">
        <f>IF([2]Baskol!$J$1306="","",[2]Baskol!$J$1306)</f>
        <v/>
      </c>
      <c r="AA1303">
        <f>IF([2]Baskol!$K$1306="","",[2]Baskol!$K$1306)</f>
        <v/>
      </c>
      <c r="AB1303">
        <f>IF([2]Baskol!$L$1306="","",[2]Baskol!$L$1306)</f>
        <v/>
      </c>
      <c r="AC1303">
        <f>IF([2]Baskol!$N$1306="","",[2]Baskol!$N$1306)</f>
        <v/>
      </c>
      <c r="AD1303">
        <f>IF([2]Baskol!$O$1306="","",[2]Baskol!$O$1306)</f>
        <v/>
      </c>
      <c r="AE1303">
        <f>IF([3]Entry!$C$1306="","",[3]Entry!$C$1306)</f>
        <v/>
      </c>
      <c r="AF1303">
        <f>IF([3]Entry!$D$1306="","",[3]Entry!$D$1306)</f>
        <v/>
      </c>
      <c r="AG1303">
        <f>IF([3]Entry!$E$1306="","",[3]Entry!$E$1306)</f>
        <v/>
      </c>
      <c r="AH1303">
        <f>IF([3]Entry!$G$1306="","",[3]Entry!$G$1306)</f>
        <v/>
      </c>
      <c r="AI1303">
        <f>IF([3]Entry!$K$1306="","",[3]Entry!$K$1306)</f>
        <v/>
      </c>
      <c r="AJ1303">
        <f>IF([3]Entry!$L$1306="","",[3]Entry!$L$1306)</f>
        <v/>
      </c>
      <c r="AK1303">
        <f>IF([3]Entry!$M$1306="","",[3]Entry!$M$1306)</f>
        <v/>
      </c>
      <c r="AL1303">
        <f>IF([3]Entry!$N$1306="","",[3]Entry!$N$1306)</f>
        <v/>
      </c>
      <c r="AM1303">
        <f>IF([3]Entry!$R$1306="","",[3]Entry!$R$1306)</f>
        <v/>
      </c>
    </row>
    <row r="1304">
      <c r="T1304">
        <f>IF([2]Baskol!$B$1307="","",[2]Baskol!$B$1307)</f>
        <v/>
      </c>
      <c r="U1304">
        <f>IF([2]Baskol!$C$1307="","",[2]Baskol!$C$1307)</f>
        <v/>
      </c>
      <c r="V1304">
        <f>IF([2]Baskol!$D$1307="","",[2]Baskol!$D$1307)</f>
        <v/>
      </c>
      <c r="W1304">
        <f>IF([2]Baskol!$E$1307="","",[2]Baskol!$E$1307)</f>
        <v/>
      </c>
      <c r="X1304">
        <f>IF([2]Baskol!$G$1307="","",[2]Baskol!$G$1307)</f>
        <v/>
      </c>
      <c r="Y1304">
        <f>IF([2]Baskol!$I$1307="","",[2]Baskol!$I$1307)</f>
        <v/>
      </c>
      <c r="Z1304">
        <f>IF([2]Baskol!$J$1307="","",[2]Baskol!$J$1307)</f>
        <v/>
      </c>
      <c r="AA1304">
        <f>IF([2]Baskol!$K$1307="","",[2]Baskol!$K$1307)</f>
        <v/>
      </c>
      <c r="AB1304">
        <f>IF([2]Baskol!$L$1307="","",[2]Baskol!$L$1307)</f>
        <v/>
      </c>
      <c r="AC1304">
        <f>IF([2]Baskol!$N$1307="","",[2]Baskol!$N$1307)</f>
        <v/>
      </c>
      <c r="AD1304">
        <f>IF([2]Baskol!$O$1307="","",[2]Baskol!$O$1307)</f>
        <v/>
      </c>
      <c r="AE1304">
        <f>IF([3]Entry!$C$1307="","",[3]Entry!$C$1307)</f>
        <v/>
      </c>
      <c r="AF1304">
        <f>IF([3]Entry!$D$1307="","",[3]Entry!$D$1307)</f>
        <v/>
      </c>
      <c r="AG1304">
        <f>IF([3]Entry!$E$1307="","",[3]Entry!$E$1307)</f>
        <v/>
      </c>
      <c r="AH1304">
        <f>IF([3]Entry!$G$1307="","",[3]Entry!$G$1307)</f>
        <v/>
      </c>
      <c r="AI1304">
        <f>IF([3]Entry!$K$1307="","",[3]Entry!$K$1307)</f>
        <v/>
      </c>
      <c r="AJ1304">
        <f>IF([3]Entry!$L$1307="","",[3]Entry!$L$1307)</f>
        <v/>
      </c>
      <c r="AK1304">
        <f>IF([3]Entry!$M$1307="","",[3]Entry!$M$1307)</f>
        <v/>
      </c>
      <c r="AL1304">
        <f>IF([3]Entry!$N$1307="","",[3]Entry!$N$1307)</f>
        <v/>
      </c>
      <c r="AM1304">
        <f>IF([3]Entry!$R$1307="","",[3]Entry!$R$1307)</f>
        <v/>
      </c>
    </row>
    <row r="1305">
      <c r="T1305">
        <f>IF([2]Baskol!$B$1308="","",[2]Baskol!$B$1308)</f>
        <v/>
      </c>
      <c r="U1305">
        <f>IF([2]Baskol!$C$1308="","",[2]Baskol!$C$1308)</f>
        <v/>
      </c>
      <c r="V1305">
        <f>IF([2]Baskol!$D$1308="","",[2]Baskol!$D$1308)</f>
        <v/>
      </c>
      <c r="W1305">
        <f>IF([2]Baskol!$E$1308="","",[2]Baskol!$E$1308)</f>
        <v/>
      </c>
      <c r="X1305">
        <f>IF([2]Baskol!$G$1308="","",[2]Baskol!$G$1308)</f>
        <v/>
      </c>
      <c r="Y1305">
        <f>IF([2]Baskol!$I$1308="","",[2]Baskol!$I$1308)</f>
        <v/>
      </c>
      <c r="Z1305">
        <f>IF([2]Baskol!$J$1308="","",[2]Baskol!$J$1308)</f>
        <v/>
      </c>
      <c r="AA1305">
        <f>IF([2]Baskol!$K$1308="","",[2]Baskol!$K$1308)</f>
        <v/>
      </c>
      <c r="AB1305">
        <f>IF([2]Baskol!$L$1308="","",[2]Baskol!$L$1308)</f>
        <v/>
      </c>
      <c r="AC1305">
        <f>IF([2]Baskol!$N$1308="","",[2]Baskol!$N$1308)</f>
        <v/>
      </c>
      <c r="AD1305">
        <f>IF([2]Baskol!$O$1308="","",[2]Baskol!$O$1308)</f>
        <v/>
      </c>
      <c r="AE1305">
        <f>IF([3]Entry!$C$1308="","",[3]Entry!$C$1308)</f>
        <v/>
      </c>
      <c r="AF1305">
        <f>IF([3]Entry!$D$1308="","",[3]Entry!$D$1308)</f>
        <v/>
      </c>
      <c r="AG1305">
        <f>IF([3]Entry!$E$1308="","",[3]Entry!$E$1308)</f>
        <v/>
      </c>
      <c r="AH1305">
        <f>IF([3]Entry!$G$1308="","",[3]Entry!$G$1308)</f>
        <v/>
      </c>
      <c r="AI1305">
        <f>IF([3]Entry!$K$1308="","",[3]Entry!$K$1308)</f>
        <v/>
      </c>
      <c r="AJ1305">
        <f>IF([3]Entry!$L$1308="","",[3]Entry!$L$1308)</f>
        <v/>
      </c>
      <c r="AK1305">
        <f>IF([3]Entry!$M$1308="","",[3]Entry!$M$1308)</f>
        <v/>
      </c>
      <c r="AL1305">
        <f>IF([3]Entry!$N$1308="","",[3]Entry!$N$1308)</f>
        <v/>
      </c>
      <c r="AM1305">
        <f>IF([3]Entry!$R$1308="","",[3]Entry!$R$1308)</f>
        <v/>
      </c>
    </row>
    <row r="1306">
      <c r="T1306">
        <f>IF([2]Baskol!$B$1309="","",[2]Baskol!$B$1309)</f>
        <v/>
      </c>
      <c r="U1306">
        <f>IF([2]Baskol!$C$1309="","",[2]Baskol!$C$1309)</f>
        <v/>
      </c>
      <c r="V1306">
        <f>IF([2]Baskol!$D$1309="","",[2]Baskol!$D$1309)</f>
        <v/>
      </c>
      <c r="W1306">
        <f>IF([2]Baskol!$E$1309="","",[2]Baskol!$E$1309)</f>
        <v/>
      </c>
      <c r="X1306">
        <f>IF([2]Baskol!$G$1309="","",[2]Baskol!$G$1309)</f>
        <v/>
      </c>
      <c r="Y1306">
        <f>IF([2]Baskol!$I$1309="","",[2]Baskol!$I$1309)</f>
        <v/>
      </c>
      <c r="Z1306">
        <f>IF([2]Baskol!$J$1309="","",[2]Baskol!$J$1309)</f>
        <v/>
      </c>
      <c r="AA1306">
        <f>IF([2]Baskol!$K$1309="","",[2]Baskol!$K$1309)</f>
        <v/>
      </c>
      <c r="AB1306">
        <f>IF([2]Baskol!$L$1309="","",[2]Baskol!$L$1309)</f>
        <v/>
      </c>
      <c r="AC1306">
        <f>IF([2]Baskol!$N$1309="","",[2]Baskol!$N$1309)</f>
        <v/>
      </c>
      <c r="AD1306">
        <f>IF([2]Baskol!$O$1309="","",[2]Baskol!$O$1309)</f>
        <v/>
      </c>
      <c r="AE1306">
        <f>IF([3]Entry!$C$1309="","",[3]Entry!$C$1309)</f>
        <v/>
      </c>
      <c r="AF1306">
        <f>IF([3]Entry!$D$1309="","",[3]Entry!$D$1309)</f>
        <v/>
      </c>
      <c r="AG1306">
        <f>IF([3]Entry!$E$1309="","",[3]Entry!$E$1309)</f>
        <v/>
      </c>
      <c r="AH1306">
        <f>IF([3]Entry!$G$1309="","",[3]Entry!$G$1309)</f>
        <v/>
      </c>
      <c r="AI1306">
        <f>IF([3]Entry!$K$1309="","",[3]Entry!$K$1309)</f>
        <v/>
      </c>
      <c r="AJ1306">
        <f>IF([3]Entry!$L$1309="","",[3]Entry!$L$1309)</f>
        <v/>
      </c>
      <c r="AK1306">
        <f>IF([3]Entry!$M$1309="","",[3]Entry!$M$1309)</f>
        <v/>
      </c>
      <c r="AL1306">
        <f>IF([3]Entry!$N$1309="","",[3]Entry!$N$1309)</f>
        <v/>
      </c>
      <c r="AM1306">
        <f>IF([3]Entry!$R$1309="","",[3]Entry!$R$1309)</f>
        <v/>
      </c>
    </row>
    <row r="1307">
      <c r="T1307">
        <f>IF([2]Baskol!$B$1310="","",[2]Baskol!$B$1310)</f>
        <v/>
      </c>
      <c r="U1307">
        <f>IF([2]Baskol!$C$1310="","",[2]Baskol!$C$1310)</f>
        <v/>
      </c>
      <c r="V1307">
        <f>IF([2]Baskol!$D$1310="","",[2]Baskol!$D$1310)</f>
        <v/>
      </c>
      <c r="W1307">
        <f>IF([2]Baskol!$E$1310="","",[2]Baskol!$E$1310)</f>
        <v/>
      </c>
      <c r="X1307">
        <f>IF([2]Baskol!$G$1310="","",[2]Baskol!$G$1310)</f>
        <v/>
      </c>
      <c r="Y1307">
        <f>IF([2]Baskol!$I$1310="","",[2]Baskol!$I$1310)</f>
        <v/>
      </c>
      <c r="Z1307">
        <f>IF([2]Baskol!$J$1310="","",[2]Baskol!$J$1310)</f>
        <v/>
      </c>
      <c r="AA1307">
        <f>IF([2]Baskol!$K$1310="","",[2]Baskol!$K$1310)</f>
        <v/>
      </c>
      <c r="AB1307">
        <f>IF([2]Baskol!$L$1310="","",[2]Baskol!$L$1310)</f>
        <v/>
      </c>
      <c r="AC1307">
        <f>IF([2]Baskol!$N$1310="","",[2]Baskol!$N$1310)</f>
        <v/>
      </c>
      <c r="AD1307">
        <f>IF([2]Baskol!$O$1310="","",[2]Baskol!$O$1310)</f>
        <v/>
      </c>
      <c r="AE1307">
        <f>IF([3]Entry!$C$1310="","",[3]Entry!$C$1310)</f>
        <v/>
      </c>
      <c r="AF1307">
        <f>IF([3]Entry!$D$1310="","",[3]Entry!$D$1310)</f>
        <v/>
      </c>
      <c r="AG1307">
        <f>IF([3]Entry!$E$1310="","",[3]Entry!$E$1310)</f>
        <v/>
      </c>
      <c r="AH1307">
        <f>IF([3]Entry!$G$1310="","",[3]Entry!$G$1310)</f>
        <v/>
      </c>
      <c r="AI1307">
        <f>IF([3]Entry!$K$1310="","",[3]Entry!$K$1310)</f>
        <v/>
      </c>
      <c r="AJ1307">
        <f>IF([3]Entry!$L$1310="","",[3]Entry!$L$1310)</f>
        <v/>
      </c>
      <c r="AK1307">
        <f>IF([3]Entry!$M$1310="","",[3]Entry!$M$1310)</f>
        <v/>
      </c>
      <c r="AL1307">
        <f>IF([3]Entry!$N$1310="","",[3]Entry!$N$1310)</f>
        <v/>
      </c>
      <c r="AM1307">
        <f>IF([3]Entry!$R$1310="","",[3]Entry!$R$1310)</f>
        <v/>
      </c>
    </row>
    <row r="1308">
      <c r="T1308">
        <f>IF([2]Baskol!$B$1311="","",[2]Baskol!$B$1311)</f>
        <v/>
      </c>
      <c r="U1308">
        <f>IF([2]Baskol!$C$1311="","",[2]Baskol!$C$1311)</f>
        <v/>
      </c>
      <c r="V1308">
        <f>IF([2]Baskol!$D$1311="","",[2]Baskol!$D$1311)</f>
        <v/>
      </c>
      <c r="W1308">
        <f>IF([2]Baskol!$E$1311="","",[2]Baskol!$E$1311)</f>
        <v/>
      </c>
      <c r="X1308">
        <f>IF([2]Baskol!$G$1311="","",[2]Baskol!$G$1311)</f>
        <v/>
      </c>
      <c r="Y1308">
        <f>IF([2]Baskol!$I$1311="","",[2]Baskol!$I$1311)</f>
        <v/>
      </c>
      <c r="Z1308">
        <f>IF([2]Baskol!$J$1311="","",[2]Baskol!$J$1311)</f>
        <v/>
      </c>
      <c r="AA1308">
        <f>IF([2]Baskol!$K$1311="","",[2]Baskol!$K$1311)</f>
        <v/>
      </c>
      <c r="AB1308">
        <f>IF([2]Baskol!$L$1311="","",[2]Baskol!$L$1311)</f>
        <v/>
      </c>
      <c r="AC1308">
        <f>IF([2]Baskol!$N$1311="","",[2]Baskol!$N$1311)</f>
        <v/>
      </c>
      <c r="AD1308">
        <f>IF([2]Baskol!$O$1311="","",[2]Baskol!$O$1311)</f>
        <v/>
      </c>
      <c r="AE1308">
        <f>IF([3]Entry!$C$1311="","",[3]Entry!$C$1311)</f>
        <v/>
      </c>
      <c r="AF1308">
        <f>IF([3]Entry!$D$1311="","",[3]Entry!$D$1311)</f>
        <v/>
      </c>
      <c r="AG1308">
        <f>IF([3]Entry!$E$1311="","",[3]Entry!$E$1311)</f>
        <v/>
      </c>
      <c r="AH1308">
        <f>IF([3]Entry!$G$1311="","",[3]Entry!$G$1311)</f>
        <v/>
      </c>
      <c r="AI1308">
        <f>IF([3]Entry!$K$1311="","",[3]Entry!$K$1311)</f>
        <v/>
      </c>
      <c r="AJ1308">
        <f>IF([3]Entry!$L$1311="","",[3]Entry!$L$1311)</f>
        <v/>
      </c>
      <c r="AK1308">
        <f>IF([3]Entry!$M$1311="","",[3]Entry!$M$1311)</f>
        <v/>
      </c>
      <c r="AL1308">
        <f>IF([3]Entry!$N$1311="","",[3]Entry!$N$1311)</f>
        <v/>
      </c>
      <c r="AM1308">
        <f>IF([3]Entry!$R$1311="","",[3]Entry!$R$1311)</f>
        <v/>
      </c>
    </row>
    <row r="1309">
      <c r="T1309">
        <f>IF([2]Baskol!$B$1312="","",[2]Baskol!$B$1312)</f>
        <v/>
      </c>
      <c r="U1309">
        <f>IF([2]Baskol!$C$1312="","",[2]Baskol!$C$1312)</f>
        <v/>
      </c>
      <c r="V1309">
        <f>IF([2]Baskol!$D$1312="","",[2]Baskol!$D$1312)</f>
        <v/>
      </c>
      <c r="W1309">
        <f>IF([2]Baskol!$E$1312="","",[2]Baskol!$E$1312)</f>
        <v/>
      </c>
      <c r="X1309">
        <f>IF([2]Baskol!$G$1312="","",[2]Baskol!$G$1312)</f>
        <v/>
      </c>
      <c r="Y1309">
        <f>IF([2]Baskol!$I$1312="","",[2]Baskol!$I$1312)</f>
        <v/>
      </c>
      <c r="Z1309">
        <f>IF([2]Baskol!$J$1312="","",[2]Baskol!$J$1312)</f>
        <v/>
      </c>
      <c r="AA1309">
        <f>IF([2]Baskol!$K$1312="","",[2]Baskol!$K$1312)</f>
        <v/>
      </c>
      <c r="AB1309">
        <f>IF([2]Baskol!$L$1312="","",[2]Baskol!$L$1312)</f>
        <v/>
      </c>
      <c r="AC1309">
        <f>IF([2]Baskol!$N$1312="","",[2]Baskol!$N$1312)</f>
        <v/>
      </c>
      <c r="AD1309">
        <f>IF([2]Baskol!$O$1312="","",[2]Baskol!$O$1312)</f>
        <v/>
      </c>
      <c r="AE1309">
        <f>IF([3]Entry!$C$1312="","",[3]Entry!$C$1312)</f>
        <v/>
      </c>
      <c r="AF1309">
        <f>IF([3]Entry!$D$1312="","",[3]Entry!$D$1312)</f>
        <v/>
      </c>
      <c r="AG1309">
        <f>IF([3]Entry!$E$1312="","",[3]Entry!$E$1312)</f>
        <v/>
      </c>
      <c r="AH1309">
        <f>IF([3]Entry!$G$1312="","",[3]Entry!$G$1312)</f>
        <v/>
      </c>
      <c r="AI1309">
        <f>IF([3]Entry!$K$1312="","",[3]Entry!$K$1312)</f>
        <v/>
      </c>
      <c r="AJ1309">
        <f>IF([3]Entry!$L$1312="","",[3]Entry!$L$1312)</f>
        <v/>
      </c>
      <c r="AK1309">
        <f>IF([3]Entry!$M$1312="","",[3]Entry!$M$1312)</f>
        <v/>
      </c>
      <c r="AL1309">
        <f>IF([3]Entry!$N$1312="","",[3]Entry!$N$1312)</f>
        <v/>
      </c>
      <c r="AM1309">
        <f>IF([3]Entry!$R$1312="","",[3]Entry!$R$1312)</f>
        <v/>
      </c>
    </row>
    <row r="1310">
      <c r="T1310">
        <f>IF([2]Baskol!$B$1313="","",[2]Baskol!$B$1313)</f>
        <v/>
      </c>
      <c r="U1310">
        <f>IF([2]Baskol!$C$1313="","",[2]Baskol!$C$1313)</f>
        <v/>
      </c>
      <c r="V1310">
        <f>IF([2]Baskol!$D$1313="","",[2]Baskol!$D$1313)</f>
        <v/>
      </c>
      <c r="W1310">
        <f>IF([2]Baskol!$E$1313="","",[2]Baskol!$E$1313)</f>
        <v/>
      </c>
      <c r="X1310">
        <f>IF([2]Baskol!$G$1313="","",[2]Baskol!$G$1313)</f>
        <v/>
      </c>
      <c r="Y1310">
        <f>IF([2]Baskol!$I$1313="","",[2]Baskol!$I$1313)</f>
        <v/>
      </c>
      <c r="Z1310">
        <f>IF([2]Baskol!$J$1313="","",[2]Baskol!$J$1313)</f>
        <v/>
      </c>
      <c r="AA1310">
        <f>IF([2]Baskol!$K$1313="","",[2]Baskol!$K$1313)</f>
        <v/>
      </c>
      <c r="AB1310">
        <f>IF([2]Baskol!$L$1313="","",[2]Baskol!$L$1313)</f>
        <v/>
      </c>
      <c r="AC1310">
        <f>IF([2]Baskol!$N$1313="","",[2]Baskol!$N$1313)</f>
        <v/>
      </c>
      <c r="AD1310">
        <f>IF([2]Baskol!$O$1313="","",[2]Baskol!$O$1313)</f>
        <v/>
      </c>
      <c r="AE1310">
        <f>IF([3]Entry!$C$1313="","",[3]Entry!$C$1313)</f>
        <v/>
      </c>
      <c r="AF1310">
        <f>IF([3]Entry!$D$1313="","",[3]Entry!$D$1313)</f>
        <v/>
      </c>
      <c r="AG1310">
        <f>IF([3]Entry!$E$1313="","",[3]Entry!$E$1313)</f>
        <v/>
      </c>
      <c r="AH1310">
        <f>IF([3]Entry!$G$1313="","",[3]Entry!$G$1313)</f>
        <v/>
      </c>
      <c r="AI1310">
        <f>IF([3]Entry!$K$1313="","",[3]Entry!$K$1313)</f>
        <v/>
      </c>
      <c r="AJ1310">
        <f>IF([3]Entry!$L$1313="","",[3]Entry!$L$1313)</f>
        <v/>
      </c>
      <c r="AK1310">
        <f>IF([3]Entry!$M$1313="","",[3]Entry!$M$1313)</f>
        <v/>
      </c>
      <c r="AL1310">
        <f>IF([3]Entry!$N$1313="","",[3]Entry!$N$1313)</f>
        <v/>
      </c>
      <c r="AM1310">
        <f>IF([3]Entry!$R$1313="","",[3]Entry!$R$1313)</f>
        <v/>
      </c>
    </row>
    <row r="1311">
      <c r="T1311">
        <f>IF([2]Baskol!$B$1314="","",[2]Baskol!$B$1314)</f>
        <v/>
      </c>
      <c r="U1311">
        <f>IF([2]Baskol!$C$1314="","",[2]Baskol!$C$1314)</f>
        <v/>
      </c>
      <c r="V1311">
        <f>IF([2]Baskol!$D$1314="","",[2]Baskol!$D$1314)</f>
        <v/>
      </c>
      <c r="W1311">
        <f>IF([2]Baskol!$E$1314="","",[2]Baskol!$E$1314)</f>
        <v/>
      </c>
      <c r="X1311">
        <f>IF([2]Baskol!$G$1314="","",[2]Baskol!$G$1314)</f>
        <v/>
      </c>
      <c r="Y1311">
        <f>IF([2]Baskol!$I$1314="","",[2]Baskol!$I$1314)</f>
        <v/>
      </c>
      <c r="Z1311">
        <f>IF([2]Baskol!$J$1314="","",[2]Baskol!$J$1314)</f>
        <v/>
      </c>
      <c r="AA1311">
        <f>IF([2]Baskol!$K$1314="","",[2]Baskol!$K$1314)</f>
        <v/>
      </c>
      <c r="AB1311">
        <f>IF([2]Baskol!$L$1314="","",[2]Baskol!$L$1314)</f>
        <v/>
      </c>
      <c r="AC1311">
        <f>IF([2]Baskol!$N$1314="","",[2]Baskol!$N$1314)</f>
        <v/>
      </c>
      <c r="AD1311">
        <f>IF([2]Baskol!$O$1314="","",[2]Baskol!$O$1314)</f>
        <v/>
      </c>
      <c r="AE1311">
        <f>IF([3]Entry!$C$1314="","",[3]Entry!$C$1314)</f>
        <v/>
      </c>
      <c r="AF1311">
        <f>IF([3]Entry!$D$1314="","",[3]Entry!$D$1314)</f>
        <v/>
      </c>
      <c r="AG1311">
        <f>IF([3]Entry!$E$1314="","",[3]Entry!$E$1314)</f>
        <v/>
      </c>
      <c r="AH1311">
        <f>IF([3]Entry!$G$1314="","",[3]Entry!$G$1314)</f>
        <v/>
      </c>
      <c r="AI1311">
        <f>IF([3]Entry!$K$1314="","",[3]Entry!$K$1314)</f>
        <v/>
      </c>
      <c r="AJ1311">
        <f>IF([3]Entry!$L$1314="","",[3]Entry!$L$1314)</f>
        <v/>
      </c>
      <c r="AK1311">
        <f>IF([3]Entry!$M$1314="","",[3]Entry!$M$1314)</f>
        <v/>
      </c>
      <c r="AL1311">
        <f>IF([3]Entry!$N$1314="","",[3]Entry!$N$1314)</f>
        <v/>
      </c>
      <c r="AM1311">
        <f>IF([3]Entry!$R$1314="","",[3]Entry!$R$1314)</f>
        <v/>
      </c>
    </row>
    <row r="1312">
      <c r="T1312">
        <f>IF([2]Baskol!$B$1315="","",[2]Baskol!$B$1315)</f>
        <v/>
      </c>
      <c r="U1312">
        <f>IF([2]Baskol!$C$1315="","",[2]Baskol!$C$1315)</f>
        <v/>
      </c>
      <c r="V1312">
        <f>IF([2]Baskol!$D$1315="","",[2]Baskol!$D$1315)</f>
        <v/>
      </c>
      <c r="W1312">
        <f>IF([2]Baskol!$E$1315="","",[2]Baskol!$E$1315)</f>
        <v/>
      </c>
      <c r="X1312">
        <f>IF([2]Baskol!$G$1315="","",[2]Baskol!$G$1315)</f>
        <v/>
      </c>
      <c r="Y1312">
        <f>IF([2]Baskol!$I$1315="","",[2]Baskol!$I$1315)</f>
        <v/>
      </c>
      <c r="Z1312">
        <f>IF([2]Baskol!$J$1315="","",[2]Baskol!$J$1315)</f>
        <v/>
      </c>
      <c r="AA1312">
        <f>IF([2]Baskol!$K$1315="","",[2]Baskol!$K$1315)</f>
        <v/>
      </c>
      <c r="AB1312">
        <f>IF([2]Baskol!$L$1315="","",[2]Baskol!$L$1315)</f>
        <v/>
      </c>
      <c r="AC1312">
        <f>IF([2]Baskol!$N$1315="","",[2]Baskol!$N$1315)</f>
        <v/>
      </c>
      <c r="AD1312">
        <f>IF([2]Baskol!$O$1315="","",[2]Baskol!$O$1315)</f>
        <v/>
      </c>
      <c r="AE1312">
        <f>IF([3]Entry!$C$1315="","",[3]Entry!$C$1315)</f>
        <v/>
      </c>
      <c r="AF1312">
        <f>IF([3]Entry!$D$1315="","",[3]Entry!$D$1315)</f>
        <v/>
      </c>
      <c r="AG1312">
        <f>IF([3]Entry!$E$1315="","",[3]Entry!$E$1315)</f>
        <v/>
      </c>
      <c r="AH1312">
        <f>IF([3]Entry!$G$1315="","",[3]Entry!$G$1315)</f>
        <v/>
      </c>
      <c r="AI1312">
        <f>IF([3]Entry!$K$1315="","",[3]Entry!$K$1315)</f>
        <v/>
      </c>
      <c r="AJ1312">
        <f>IF([3]Entry!$L$1315="","",[3]Entry!$L$1315)</f>
        <v/>
      </c>
      <c r="AK1312">
        <f>IF([3]Entry!$M$1315="","",[3]Entry!$M$1315)</f>
        <v/>
      </c>
      <c r="AL1312">
        <f>IF([3]Entry!$N$1315="","",[3]Entry!$N$1315)</f>
        <v/>
      </c>
      <c r="AM1312">
        <f>IF([3]Entry!$R$1315="","",[3]Entry!$R$1315)</f>
        <v/>
      </c>
    </row>
    <row r="1313">
      <c r="T1313">
        <f>IF([2]Baskol!$B$1316="","",[2]Baskol!$B$1316)</f>
        <v/>
      </c>
      <c r="U1313">
        <f>IF([2]Baskol!$C$1316="","",[2]Baskol!$C$1316)</f>
        <v/>
      </c>
      <c r="V1313">
        <f>IF([2]Baskol!$D$1316="","",[2]Baskol!$D$1316)</f>
        <v/>
      </c>
      <c r="W1313">
        <f>IF([2]Baskol!$E$1316="","",[2]Baskol!$E$1316)</f>
        <v/>
      </c>
      <c r="X1313">
        <f>IF([2]Baskol!$G$1316="","",[2]Baskol!$G$1316)</f>
        <v/>
      </c>
      <c r="Y1313">
        <f>IF([2]Baskol!$I$1316="","",[2]Baskol!$I$1316)</f>
        <v/>
      </c>
      <c r="Z1313">
        <f>IF([2]Baskol!$J$1316="","",[2]Baskol!$J$1316)</f>
        <v/>
      </c>
      <c r="AA1313">
        <f>IF([2]Baskol!$K$1316="","",[2]Baskol!$K$1316)</f>
        <v/>
      </c>
      <c r="AB1313">
        <f>IF([2]Baskol!$L$1316="","",[2]Baskol!$L$1316)</f>
        <v/>
      </c>
      <c r="AC1313">
        <f>IF([2]Baskol!$N$1316="","",[2]Baskol!$N$1316)</f>
        <v/>
      </c>
      <c r="AD1313">
        <f>IF([2]Baskol!$O$1316="","",[2]Baskol!$O$1316)</f>
        <v/>
      </c>
      <c r="AE1313">
        <f>IF([3]Entry!$C$1316="","",[3]Entry!$C$1316)</f>
        <v/>
      </c>
      <c r="AF1313">
        <f>IF([3]Entry!$D$1316="","",[3]Entry!$D$1316)</f>
        <v/>
      </c>
      <c r="AG1313">
        <f>IF([3]Entry!$E$1316="","",[3]Entry!$E$1316)</f>
        <v/>
      </c>
      <c r="AH1313">
        <f>IF([3]Entry!$G$1316="","",[3]Entry!$G$1316)</f>
        <v/>
      </c>
      <c r="AI1313">
        <f>IF([3]Entry!$K$1316="","",[3]Entry!$K$1316)</f>
        <v/>
      </c>
      <c r="AJ1313">
        <f>IF([3]Entry!$L$1316="","",[3]Entry!$L$1316)</f>
        <v/>
      </c>
      <c r="AK1313">
        <f>IF([3]Entry!$M$1316="","",[3]Entry!$M$1316)</f>
        <v/>
      </c>
      <c r="AL1313">
        <f>IF([3]Entry!$N$1316="","",[3]Entry!$N$1316)</f>
        <v/>
      </c>
      <c r="AM1313">
        <f>IF([3]Entry!$R$1316="","",[3]Entry!$R$1316)</f>
        <v/>
      </c>
    </row>
    <row r="1314">
      <c r="T1314">
        <f>IF([2]Baskol!$B$1317="","",[2]Baskol!$B$1317)</f>
        <v/>
      </c>
      <c r="U1314">
        <f>IF([2]Baskol!$C$1317="","",[2]Baskol!$C$1317)</f>
        <v/>
      </c>
      <c r="V1314">
        <f>IF([2]Baskol!$D$1317="","",[2]Baskol!$D$1317)</f>
        <v/>
      </c>
      <c r="W1314">
        <f>IF([2]Baskol!$E$1317="","",[2]Baskol!$E$1317)</f>
        <v/>
      </c>
      <c r="X1314">
        <f>IF([2]Baskol!$G$1317="","",[2]Baskol!$G$1317)</f>
        <v/>
      </c>
      <c r="Y1314">
        <f>IF([2]Baskol!$I$1317="","",[2]Baskol!$I$1317)</f>
        <v/>
      </c>
      <c r="Z1314">
        <f>IF([2]Baskol!$J$1317="","",[2]Baskol!$J$1317)</f>
        <v/>
      </c>
      <c r="AA1314">
        <f>IF([2]Baskol!$K$1317="","",[2]Baskol!$K$1317)</f>
        <v/>
      </c>
      <c r="AB1314">
        <f>IF([2]Baskol!$L$1317="","",[2]Baskol!$L$1317)</f>
        <v/>
      </c>
      <c r="AC1314">
        <f>IF([2]Baskol!$N$1317="","",[2]Baskol!$N$1317)</f>
        <v/>
      </c>
      <c r="AD1314">
        <f>IF([2]Baskol!$O$1317="","",[2]Baskol!$O$1317)</f>
        <v/>
      </c>
      <c r="AE1314">
        <f>IF([3]Entry!$C$1317="","",[3]Entry!$C$1317)</f>
        <v/>
      </c>
      <c r="AF1314">
        <f>IF([3]Entry!$D$1317="","",[3]Entry!$D$1317)</f>
        <v/>
      </c>
      <c r="AG1314">
        <f>IF([3]Entry!$E$1317="","",[3]Entry!$E$1317)</f>
        <v/>
      </c>
      <c r="AH1314">
        <f>IF([3]Entry!$G$1317="","",[3]Entry!$G$1317)</f>
        <v/>
      </c>
      <c r="AI1314">
        <f>IF([3]Entry!$K$1317="","",[3]Entry!$K$1317)</f>
        <v/>
      </c>
      <c r="AJ1314">
        <f>IF([3]Entry!$L$1317="","",[3]Entry!$L$1317)</f>
        <v/>
      </c>
      <c r="AK1314">
        <f>IF([3]Entry!$M$1317="","",[3]Entry!$M$1317)</f>
        <v/>
      </c>
      <c r="AL1314">
        <f>IF([3]Entry!$N$1317="","",[3]Entry!$N$1317)</f>
        <v/>
      </c>
      <c r="AM1314">
        <f>IF([3]Entry!$R$1317="","",[3]Entry!$R$1317)</f>
        <v/>
      </c>
    </row>
    <row r="1315">
      <c r="T1315">
        <f>IF([2]Baskol!$B$1318="","",[2]Baskol!$B$1318)</f>
        <v/>
      </c>
      <c r="U1315">
        <f>IF([2]Baskol!$C$1318="","",[2]Baskol!$C$1318)</f>
        <v/>
      </c>
      <c r="V1315">
        <f>IF([2]Baskol!$D$1318="","",[2]Baskol!$D$1318)</f>
        <v/>
      </c>
      <c r="W1315">
        <f>IF([2]Baskol!$E$1318="","",[2]Baskol!$E$1318)</f>
        <v/>
      </c>
      <c r="X1315">
        <f>IF([2]Baskol!$G$1318="","",[2]Baskol!$G$1318)</f>
        <v/>
      </c>
      <c r="Y1315">
        <f>IF([2]Baskol!$I$1318="","",[2]Baskol!$I$1318)</f>
        <v/>
      </c>
      <c r="Z1315">
        <f>IF([2]Baskol!$J$1318="","",[2]Baskol!$J$1318)</f>
        <v/>
      </c>
      <c r="AA1315">
        <f>IF([2]Baskol!$K$1318="","",[2]Baskol!$K$1318)</f>
        <v/>
      </c>
      <c r="AB1315">
        <f>IF([2]Baskol!$L$1318="","",[2]Baskol!$L$1318)</f>
        <v/>
      </c>
      <c r="AC1315">
        <f>IF([2]Baskol!$N$1318="","",[2]Baskol!$N$1318)</f>
        <v/>
      </c>
      <c r="AD1315">
        <f>IF([2]Baskol!$O$1318="","",[2]Baskol!$O$1318)</f>
        <v/>
      </c>
      <c r="AE1315">
        <f>IF([3]Entry!$C$1318="","",[3]Entry!$C$1318)</f>
        <v/>
      </c>
      <c r="AF1315">
        <f>IF([3]Entry!$D$1318="","",[3]Entry!$D$1318)</f>
        <v/>
      </c>
      <c r="AG1315">
        <f>IF([3]Entry!$E$1318="","",[3]Entry!$E$1318)</f>
        <v/>
      </c>
      <c r="AH1315">
        <f>IF([3]Entry!$G$1318="","",[3]Entry!$G$1318)</f>
        <v/>
      </c>
      <c r="AI1315">
        <f>IF([3]Entry!$K$1318="","",[3]Entry!$K$1318)</f>
        <v/>
      </c>
      <c r="AJ1315">
        <f>IF([3]Entry!$L$1318="","",[3]Entry!$L$1318)</f>
        <v/>
      </c>
      <c r="AK1315">
        <f>IF([3]Entry!$M$1318="","",[3]Entry!$M$1318)</f>
        <v/>
      </c>
      <c r="AL1315">
        <f>IF([3]Entry!$N$1318="","",[3]Entry!$N$1318)</f>
        <v/>
      </c>
      <c r="AM1315">
        <f>IF([3]Entry!$R$1318="","",[3]Entry!$R$1318)</f>
        <v/>
      </c>
    </row>
    <row r="1316">
      <c r="T1316">
        <f>IF([2]Baskol!$B$1319="","",[2]Baskol!$B$1319)</f>
        <v/>
      </c>
      <c r="U1316">
        <f>IF([2]Baskol!$C$1319="","",[2]Baskol!$C$1319)</f>
        <v/>
      </c>
      <c r="V1316">
        <f>IF([2]Baskol!$D$1319="","",[2]Baskol!$D$1319)</f>
        <v/>
      </c>
      <c r="W1316">
        <f>IF([2]Baskol!$E$1319="","",[2]Baskol!$E$1319)</f>
        <v/>
      </c>
      <c r="X1316">
        <f>IF([2]Baskol!$G$1319="","",[2]Baskol!$G$1319)</f>
        <v/>
      </c>
      <c r="Y1316">
        <f>IF([2]Baskol!$I$1319="","",[2]Baskol!$I$1319)</f>
        <v/>
      </c>
      <c r="Z1316">
        <f>IF([2]Baskol!$J$1319="","",[2]Baskol!$J$1319)</f>
        <v/>
      </c>
      <c r="AA1316">
        <f>IF([2]Baskol!$K$1319="","",[2]Baskol!$K$1319)</f>
        <v/>
      </c>
      <c r="AB1316">
        <f>IF([2]Baskol!$L$1319="","",[2]Baskol!$L$1319)</f>
        <v/>
      </c>
      <c r="AC1316">
        <f>IF([2]Baskol!$N$1319="","",[2]Baskol!$N$1319)</f>
        <v/>
      </c>
      <c r="AD1316">
        <f>IF([2]Baskol!$O$1319="","",[2]Baskol!$O$1319)</f>
        <v/>
      </c>
      <c r="AE1316">
        <f>IF([3]Entry!$C$1319="","",[3]Entry!$C$1319)</f>
        <v/>
      </c>
      <c r="AF1316">
        <f>IF([3]Entry!$D$1319="","",[3]Entry!$D$1319)</f>
        <v/>
      </c>
      <c r="AG1316">
        <f>IF([3]Entry!$E$1319="","",[3]Entry!$E$1319)</f>
        <v/>
      </c>
      <c r="AH1316">
        <f>IF([3]Entry!$G$1319="","",[3]Entry!$G$1319)</f>
        <v/>
      </c>
      <c r="AI1316">
        <f>IF([3]Entry!$K$1319="","",[3]Entry!$K$1319)</f>
        <v/>
      </c>
      <c r="AJ1316">
        <f>IF([3]Entry!$L$1319="","",[3]Entry!$L$1319)</f>
        <v/>
      </c>
      <c r="AK1316">
        <f>IF([3]Entry!$M$1319="","",[3]Entry!$M$1319)</f>
        <v/>
      </c>
      <c r="AL1316">
        <f>IF([3]Entry!$N$1319="","",[3]Entry!$N$1319)</f>
        <v/>
      </c>
      <c r="AM1316">
        <f>IF([3]Entry!$R$1319="","",[3]Entry!$R$1319)</f>
        <v/>
      </c>
    </row>
    <row r="1317">
      <c r="T1317">
        <f>IF([2]Baskol!$B$1320="","",[2]Baskol!$B$1320)</f>
        <v/>
      </c>
      <c r="U1317">
        <f>IF([2]Baskol!$C$1320="","",[2]Baskol!$C$1320)</f>
        <v/>
      </c>
      <c r="V1317">
        <f>IF([2]Baskol!$D$1320="","",[2]Baskol!$D$1320)</f>
        <v/>
      </c>
      <c r="W1317">
        <f>IF([2]Baskol!$E$1320="","",[2]Baskol!$E$1320)</f>
        <v/>
      </c>
      <c r="X1317">
        <f>IF([2]Baskol!$G$1320="","",[2]Baskol!$G$1320)</f>
        <v/>
      </c>
      <c r="Y1317">
        <f>IF([2]Baskol!$I$1320="","",[2]Baskol!$I$1320)</f>
        <v/>
      </c>
      <c r="Z1317">
        <f>IF([2]Baskol!$J$1320="","",[2]Baskol!$J$1320)</f>
        <v/>
      </c>
      <c r="AA1317">
        <f>IF([2]Baskol!$K$1320="","",[2]Baskol!$K$1320)</f>
        <v/>
      </c>
      <c r="AB1317">
        <f>IF([2]Baskol!$L$1320="","",[2]Baskol!$L$1320)</f>
        <v/>
      </c>
      <c r="AC1317">
        <f>IF([2]Baskol!$N$1320="","",[2]Baskol!$N$1320)</f>
        <v/>
      </c>
      <c r="AD1317">
        <f>IF([2]Baskol!$O$1320="","",[2]Baskol!$O$1320)</f>
        <v/>
      </c>
      <c r="AE1317">
        <f>IF([3]Entry!$C$1320="","",[3]Entry!$C$1320)</f>
        <v/>
      </c>
      <c r="AF1317">
        <f>IF([3]Entry!$D$1320="","",[3]Entry!$D$1320)</f>
        <v/>
      </c>
      <c r="AG1317">
        <f>IF([3]Entry!$E$1320="","",[3]Entry!$E$1320)</f>
        <v/>
      </c>
      <c r="AH1317">
        <f>IF([3]Entry!$G$1320="","",[3]Entry!$G$1320)</f>
        <v/>
      </c>
      <c r="AI1317">
        <f>IF([3]Entry!$K$1320="","",[3]Entry!$K$1320)</f>
        <v/>
      </c>
      <c r="AJ1317">
        <f>IF([3]Entry!$L$1320="","",[3]Entry!$L$1320)</f>
        <v/>
      </c>
      <c r="AK1317">
        <f>IF([3]Entry!$M$1320="","",[3]Entry!$M$1320)</f>
        <v/>
      </c>
      <c r="AL1317">
        <f>IF([3]Entry!$N$1320="","",[3]Entry!$N$1320)</f>
        <v/>
      </c>
      <c r="AM1317">
        <f>IF([3]Entry!$R$1320="","",[3]Entry!$R$1320)</f>
        <v/>
      </c>
    </row>
    <row r="1318">
      <c r="T1318">
        <f>IF([2]Baskol!$B$1321="","",[2]Baskol!$B$1321)</f>
        <v/>
      </c>
      <c r="U1318">
        <f>IF([2]Baskol!$C$1321="","",[2]Baskol!$C$1321)</f>
        <v/>
      </c>
      <c r="V1318">
        <f>IF([2]Baskol!$D$1321="","",[2]Baskol!$D$1321)</f>
        <v/>
      </c>
      <c r="W1318">
        <f>IF([2]Baskol!$E$1321="","",[2]Baskol!$E$1321)</f>
        <v/>
      </c>
      <c r="X1318">
        <f>IF([2]Baskol!$G$1321="","",[2]Baskol!$G$1321)</f>
        <v/>
      </c>
      <c r="Y1318">
        <f>IF([2]Baskol!$I$1321="","",[2]Baskol!$I$1321)</f>
        <v/>
      </c>
      <c r="Z1318">
        <f>IF([2]Baskol!$J$1321="","",[2]Baskol!$J$1321)</f>
        <v/>
      </c>
      <c r="AA1318">
        <f>IF([2]Baskol!$K$1321="","",[2]Baskol!$K$1321)</f>
        <v/>
      </c>
      <c r="AB1318">
        <f>IF([2]Baskol!$L$1321="","",[2]Baskol!$L$1321)</f>
        <v/>
      </c>
      <c r="AC1318">
        <f>IF([2]Baskol!$N$1321="","",[2]Baskol!$N$1321)</f>
        <v/>
      </c>
      <c r="AD1318">
        <f>IF([2]Baskol!$O$1321="","",[2]Baskol!$O$1321)</f>
        <v/>
      </c>
      <c r="AE1318">
        <f>IF([3]Entry!$C$1321="","",[3]Entry!$C$1321)</f>
        <v/>
      </c>
      <c r="AF1318">
        <f>IF([3]Entry!$D$1321="","",[3]Entry!$D$1321)</f>
        <v/>
      </c>
      <c r="AG1318">
        <f>IF([3]Entry!$E$1321="","",[3]Entry!$E$1321)</f>
        <v/>
      </c>
      <c r="AH1318">
        <f>IF([3]Entry!$G$1321="","",[3]Entry!$G$1321)</f>
        <v/>
      </c>
      <c r="AI1318">
        <f>IF([3]Entry!$K$1321="","",[3]Entry!$K$1321)</f>
        <v/>
      </c>
      <c r="AJ1318">
        <f>IF([3]Entry!$L$1321="","",[3]Entry!$L$1321)</f>
        <v/>
      </c>
      <c r="AK1318">
        <f>IF([3]Entry!$M$1321="","",[3]Entry!$M$1321)</f>
        <v/>
      </c>
      <c r="AL1318">
        <f>IF([3]Entry!$N$1321="","",[3]Entry!$N$1321)</f>
        <v/>
      </c>
      <c r="AM1318">
        <f>IF([3]Entry!$R$1321="","",[3]Entry!$R$1321)</f>
        <v/>
      </c>
    </row>
    <row r="1319">
      <c r="T1319">
        <f>IF([2]Baskol!$B$1322="","",[2]Baskol!$B$1322)</f>
        <v/>
      </c>
      <c r="U1319">
        <f>IF([2]Baskol!$C$1322="","",[2]Baskol!$C$1322)</f>
        <v/>
      </c>
      <c r="V1319">
        <f>IF([2]Baskol!$D$1322="","",[2]Baskol!$D$1322)</f>
        <v/>
      </c>
      <c r="W1319">
        <f>IF([2]Baskol!$E$1322="","",[2]Baskol!$E$1322)</f>
        <v/>
      </c>
      <c r="X1319">
        <f>IF([2]Baskol!$G$1322="","",[2]Baskol!$G$1322)</f>
        <v/>
      </c>
      <c r="Y1319">
        <f>IF([2]Baskol!$I$1322="","",[2]Baskol!$I$1322)</f>
        <v/>
      </c>
      <c r="Z1319">
        <f>IF([2]Baskol!$J$1322="","",[2]Baskol!$J$1322)</f>
        <v/>
      </c>
      <c r="AA1319">
        <f>IF([2]Baskol!$K$1322="","",[2]Baskol!$K$1322)</f>
        <v/>
      </c>
      <c r="AB1319">
        <f>IF([2]Baskol!$L$1322="","",[2]Baskol!$L$1322)</f>
        <v/>
      </c>
      <c r="AC1319">
        <f>IF([2]Baskol!$N$1322="","",[2]Baskol!$N$1322)</f>
        <v/>
      </c>
      <c r="AD1319">
        <f>IF([2]Baskol!$O$1322="","",[2]Baskol!$O$1322)</f>
        <v/>
      </c>
      <c r="AE1319">
        <f>IF([3]Entry!$C$1322="","",[3]Entry!$C$1322)</f>
        <v/>
      </c>
      <c r="AF1319">
        <f>IF([3]Entry!$D$1322="","",[3]Entry!$D$1322)</f>
        <v/>
      </c>
      <c r="AG1319">
        <f>IF([3]Entry!$E$1322="","",[3]Entry!$E$1322)</f>
        <v/>
      </c>
      <c r="AH1319">
        <f>IF([3]Entry!$G$1322="","",[3]Entry!$G$1322)</f>
        <v/>
      </c>
      <c r="AI1319">
        <f>IF([3]Entry!$K$1322="","",[3]Entry!$K$1322)</f>
        <v/>
      </c>
      <c r="AJ1319">
        <f>IF([3]Entry!$L$1322="","",[3]Entry!$L$1322)</f>
        <v/>
      </c>
      <c r="AK1319">
        <f>IF([3]Entry!$M$1322="","",[3]Entry!$M$1322)</f>
        <v/>
      </c>
      <c r="AL1319">
        <f>IF([3]Entry!$N$1322="","",[3]Entry!$N$1322)</f>
        <v/>
      </c>
      <c r="AM1319">
        <f>IF([3]Entry!$R$1322="","",[3]Entry!$R$1322)</f>
        <v/>
      </c>
    </row>
    <row r="1320">
      <c r="T1320">
        <f>IF([2]Baskol!$B$1323="","",[2]Baskol!$B$1323)</f>
        <v/>
      </c>
      <c r="U1320">
        <f>IF([2]Baskol!$C$1323="","",[2]Baskol!$C$1323)</f>
        <v/>
      </c>
      <c r="V1320">
        <f>IF([2]Baskol!$D$1323="","",[2]Baskol!$D$1323)</f>
        <v/>
      </c>
      <c r="W1320">
        <f>IF([2]Baskol!$E$1323="","",[2]Baskol!$E$1323)</f>
        <v/>
      </c>
      <c r="X1320">
        <f>IF([2]Baskol!$G$1323="","",[2]Baskol!$G$1323)</f>
        <v/>
      </c>
      <c r="Y1320">
        <f>IF([2]Baskol!$I$1323="","",[2]Baskol!$I$1323)</f>
        <v/>
      </c>
      <c r="Z1320">
        <f>IF([2]Baskol!$J$1323="","",[2]Baskol!$J$1323)</f>
        <v/>
      </c>
      <c r="AA1320">
        <f>IF([2]Baskol!$K$1323="","",[2]Baskol!$K$1323)</f>
        <v/>
      </c>
      <c r="AB1320">
        <f>IF([2]Baskol!$L$1323="","",[2]Baskol!$L$1323)</f>
        <v/>
      </c>
      <c r="AC1320">
        <f>IF([2]Baskol!$N$1323="","",[2]Baskol!$N$1323)</f>
        <v/>
      </c>
      <c r="AD1320">
        <f>IF([2]Baskol!$O$1323="","",[2]Baskol!$O$1323)</f>
        <v/>
      </c>
      <c r="AE1320">
        <f>IF([3]Entry!$C$1323="","",[3]Entry!$C$1323)</f>
        <v/>
      </c>
      <c r="AF1320">
        <f>IF([3]Entry!$D$1323="","",[3]Entry!$D$1323)</f>
        <v/>
      </c>
      <c r="AG1320">
        <f>IF([3]Entry!$E$1323="","",[3]Entry!$E$1323)</f>
        <v/>
      </c>
      <c r="AH1320">
        <f>IF([3]Entry!$G$1323="","",[3]Entry!$G$1323)</f>
        <v/>
      </c>
      <c r="AI1320">
        <f>IF([3]Entry!$K$1323="","",[3]Entry!$K$1323)</f>
        <v/>
      </c>
      <c r="AJ1320">
        <f>IF([3]Entry!$L$1323="","",[3]Entry!$L$1323)</f>
        <v/>
      </c>
      <c r="AK1320">
        <f>IF([3]Entry!$M$1323="","",[3]Entry!$M$1323)</f>
        <v/>
      </c>
      <c r="AL1320">
        <f>IF([3]Entry!$N$1323="","",[3]Entry!$N$1323)</f>
        <v/>
      </c>
      <c r="AM1320">
        <f>IF([3]Entry!$R$1323="","",[3]Entry!$R$1323)</f>
        <v/>
      </c>
    </row>
    <row r="1321">
      <c r="T1321">
        <f>IF([2]Baskol!$B$1324="","",[2]Baskol!$B$1324)</f>
        <v/>
      </c>
      <c r="U1321">
        <f>IF([2]Baskol!$C$1324="","",[2]Baskol!$C$1324)</f>
        <v/>
      </c>
      <c r="V1321">
        <f>IF([2]Baskol!$D$1324="","",[2]Baskol!$D$1324)</f>
        <v/>
      </c>
      <c r="W1321">
        <f>IF([2]Baskol!$E$1324="","",[2]Baskol!$E$1324)</f>
        <v/>
      </c>
      <c r="X1321">
        <f>IF([2]Baskol!$G$1324="","",[2]Baskol!$G$1324)</f>
        <v/>
      </c>
      <c r="Y1321">
        <f>IF([2]Baskol!$I$1324="","",[2]Baskol!$I$1324)</f>
        <v/>
      </c>
      <c r="Z1321">
        <f>IF([2]Baskol!$J$1324="","",[2]Baskol!$J$1324)</f>
        <v/>
      </c>
      <c r="AA1321">
        <f>IF([2]Baskol!$K$1324="","",[2]Baskol!$K$1324)</f>
        <v/>
      </c>
      <c r="AB1321">
        <f>IF([2]Baskol!$L$1324="","",[2]Baskol!$L$1324)</f>
        <v/>
      </c>
      <c r="AC1321">
        <f>IF([2]Baskol!$N$1324="","",[2]Baskol!$N$1324)</f>
        <v/>
      </c>
      <c r="AD1321">
        <f>IF([2]Baskol!$O$1324="","",[2]Baskol!$O$1324)</f>
        <v/>
      </c>
      <c r="AE1321">
        <f>IF([3]Entry!$C$1324="","",[3]Entry!$C$1324)</f>
        <v/>
      </c>
      <c r="AF1321">
        <f>IF([3]Entry!$D$1324="","",[3]Entry!$D$1324)</f>
        <v/>
      </c>
      <c r="AG1321">
        <f>IF([3]Entry!$E$1324="","",[3]Entry!$E$1324)</f>
        <v/>
      </c>
      <c r="AH1321">
        <f>IF([3]Entry!$G$1324="","",[3]Entry!$G$1324)</f>
        <v/>
      </c>
      <c r="AI1321">
        <f>IF([3]Entry!$K$1324="","",[3]Entry!$K$1324)</f>
        <v/>
      </c>
      <c r="AJ1321">
        <f>IF([3]Entry!$L$1324="","",[3]Entry!$L$1324)</f>
        <v/>
      </c>
      <c r="AK1321">
        <f>IF([3]Entry!$M$1324="","",[3]Entry!$M$1324)</f>
        <v/>
      </c>
      <c r="AL1321">
        <f>IF([3]Entry!$N$1324="","",[3]Entry!$N$1324)</f>
        <v/>
      </c>
      <c r="AM1321">
        <f>IF([3]Entry!$R$1324="","",[3]Entry!$R$1324)</f>
        <v/>
      </c>
    </row>
    <row r="1322">
      <c r="T1322">
        <f>IF([2]Baskol!$B$1325="","",[2]Baskol!$B$1325)</f>
        <v/>
      </c>
      <c r="U1322">
        <f>IF([2]Baskol!$C$1325="","",[2]Baskol!$C$1325)</f>
        <v/>
      </c>
      <c r="V1322">
        <f>IF([2]Baskol!$D$1325="","",[2]Baskol!$D$1325)</f>
        <v/>
      </c>
      <c r="W1322">
        <f>IF([2]Baskol!$E$1325="","",[2]Baskol!$E$1325)</f>
        <v/>
      </c>
      <c r="X1322">
        <f>IF([2]Baskol!$G$1325="","",[2]Baskol!$G$1325)</f>
        <v/>
      </c>
      <c r="Y1322">
        <f>IF([2]Baskol!$I$1325="","",[2]Baskol!$I$1325)</f>
        <v/>
      </c>
      <c r="Z1322">
        <f>IF([2]Baskol!$J$1325="","",[2]Baskol!$J$1325)</f>
        <v/>
      </c>
      <c r="AA1322">
        <f>IF([2]Baskol!$K$1325="","",[2]Baskol!$K$1325)</f>
        <v/>
      </c>
      <c r="AB1322">
        <f>IF([2]Baskol!$L$1325="","",[2]Baskol!$L$1325)</f>
        <v/>
      </c>
      <c r="AC1322">
        <f>IF([2]Baskol!$N$1325="","",[2]Baskol!$N$1325)</f>
        <v/>
      </c>
      <c r="AD1322">
        <f>IF([2]Baskol!$O$1325="","",[2]Baskol!$O$1325)</f>
        <v/>
      </c>
      <c r="AE1322">
        <f>IF([3]Entry!$C$1325="","",[3]Entry!$C$1325)</f>
        <v/>
      </c>
      <c r="AF1322">
        <f>IF([3]Entry!$D$1325="","",[3]Entry!$D$1325)</f>
        <v/>
      </c>
      <c r="AG1322">
        <f>IF([3]Entry!$E$1325="","",[3]Entry!$E$1325)</f>
        <v/>
      </c>
      <c r="AH1322">
        <f>IF([3]Entry!$G$1325="","",[3]Entry!$G$1325)</f>
        <v/>
      </c>
      <c r="AI1322">
        <f>IF([3]Entry!$K$1325="","",[3]Entry!$K$1325)</f>
        <v/>
      </c>
      <c r="AJ1322">
        <f>IF([3]Entry!$L$1325="","",[3]Entry!$L$1325)</f>
        <v/>
      </c>
      <c r="AK1322">
        <f>IF([3]Entry!$M$1325="","",[3]Entry!$M$1325)</f>
        <v/>
      </c>
      <c r="AL1322">
        <f>IF([3]Entry!$N$1325="","",[3]Entry!$N$1325)</f>
        <v/>
      </c>
      <c r="AM1322">
        <f>IF([3]Entry!$R$1325="","",[3]Entry!$R$1325)</f>
        <v/>
      </c>
    </row>
    <row r="1323">
      <c r="T1323">
        <f>IF([2]Baskol!$B$1326="","",[2]Baskol!$B$1326)</f>
        <v/>
      </c>
      <c r="U1323">
        <f>IF([2]Baskol!$C$1326="","",[2]Baskol!$C$1326)</f>
        <v/>
      </c>
      <c r="V1323">
        <f>IF([2]Baskol!$D$1326="","",[2]Baskol!$D$1326)</f>
        <v/>
      </c>
      <c r="W1323">
        <f>IF([2]Baskol!$E$1326="","",[2]Baskol!$E$1326)</f>
        <v/>
      </c>
      <c r="X1323">
        <f>IF([2]Baskol!$G$1326="","",[2]Baskol!$G$1326)</f>
        <v/>
      </c>
      <c r="Y1323">
        <f>IF([2]Baskol!$I$1326="","",[2]Baskol!$I$1326)</f>
        <v/>
      </c>
      <c r="Z1323">
        <f>IF([2]Baskol!$J$1326="","",[2]Baskol!$J$1326)</f>
        <v/>
      </c>
      <c r="AA1323">
        <f>IF([2]Baskol!$K$1326="","",[2]Baskol!$K$1326)</f>
        <v/>
      </c>
      <c r="AB1323">
        <f>IF([2]Baskol!$L$1326="","",[2]Baskol!$L$1326)</f>
        <v/>
      </c>
      <c r="AC1323">
        <f>IF([2]Baskol!$N$1326="","",[2]Baskol!$N$1326)</f>
        <v/>
      </c>
      <c r="AD1323">
        <f>IF([2]Baskol!$O$1326="","",[2]Baskol!$O$1326)</f>
        <v/>
      </c>
      <c r="AE1323">
        <f>IF([3]Entry!$C$1326="","",[3]Entry!$C$1326)</f>
        <v/>
      </c>
      <c r="AF1323">
        <f>IF([3]Entry!$D$1326="","",[3]Entry!$D$1326)</f>
        <v/>
      </c>
      <c r="AG1323">
        <f>IF([3]Entry!$E$1326="","",[3]Entry!$E$1326)</f>
        <v/>
      </c>
      <c r="AH1323">
        <f>IF([3]Entry!$G$1326="","",[3]Entry!$G$1326)</f>
        <v/>
      </c>
      <c r="AI1323">
        <f>IF([3]Entry!$K$1326="","",[3]Entry!$K$1326)</f>
        <v/>
      </c>
      <c r="AJ1323">
        <f>IF([3]Entry!$L$1326="","",[3]Entry!$L$1326)</f>
        <v/>
      </c>
      <c r="AK1323">
        <f>IF([3]Entry!$M$1326="","",[3]Entry!$M$1326)</f>
        <v/>
      </c>
      <c r="AL1323">
        <f>IF([3]Entry!$N$1326="","",[3]Entry!$N$1326)</f>
        <v/>
      </c>
      <c r="AM1323">
        <f>IF([3]Entry!$R$1326="","",[3]Entry!$R$1326)</f>
        <v/>
      </c>
    </row>
    <row r="1324">
      <c r="T1324">
        <f>IF([2]Baskol!$B$1327="","",[2]Baskol!$B$1327)</f>
        <v/>
      </c>
      <c r="U1324">
        <f>IF([2]Baskol!$C$1327="","",[2]Baskol!$C$1327)</f>
        <v/>
      </c>
      <c r="V1324">
        <f>IF([2]Baskol!$D$1327="","",[2]Baskol!$D$1327)</f>
        <v/>
      </c>
      <c r="W1324">
        <f>IF([2]Baskol!$E$1327="","",[2]Baskol!$E$1327)</f>
        <v/>
      </c>
      <c r="X1324">
        <f>IF([2]Baskol!$G$1327="","",[2]Baskol!$G$1327)</f>
        <v/>
      </c>
      <c r="Y1324">
        <f>IF([2]Baskol!$I$1327="","",[2]Baskol!$I$1327)</f>
        <v/>
      </c>
      <c r="Z1324">
        <f>IF([2]Baskol!$J$1327="","",[2]Baskol!$J$1327)</f>
        <v/>
      </c>
      <c r="AA1324">
        <f>IF([2]Baskol!$K$1327="","",[2]Baskol!$K$1327)</f>
        <v/>
      </c>
      <c r="AB1324">
        <f>IF([2]Baskol!$L$1327="","",[2]Baskol!$L$1327)</f>
        <v/>
      </c>
      <c r="AC1324">
        <f>IF([2]Baskol!$N$1327="","",[2]Baskol!$N$1327)</f>
        <v/>
      </c>
      <c r="AD1324">
        <f>IF([2]Baskol!$O$1327="","",[2]Baskol!$O$1327)</f>
        <v/>
      </c>
      <c r="AE1324">
        <f>IF([3]Entry!$C$1327="","",[3]Entry!$C$1327)</f>
        <v/>
      </c>
      <c r="AF1324">
        <f>IF([3]Entry!$D$1327="","",[3]Entry!$D$1327)</f>
        <v/>
      </c>
      <c r="AG1324">
        <f>IF([3]Entry!$E$1327="","",[3]Entry!$E$1327)</f>
        <v/>
      </c>
      <c r="AH1324">
        <f>IF([3]Entry!$G$1327="","",[3]Entry!$G$1327)</f>
        <v/>
      </c>
      <c r="AI1324">
        <f>IF([3]Entry!$K$1327="","",[3]Entry!$K$1327)</f>
        <v/>
      </c>
      <c r="AJ1324">
        <f>IF([3]Entry!$L$1327="","",[3]Entry!$L$1327)</f>
        <v/>
      </c>
      <c r="AK1324">
        <f>IF([3]Entry!$M$1327="","",[3]Entry!$M$1327)</f>
        <v/>
      </c>
      <c r="AL1324">
        <f>IF([3]Entry!$N$1327="","",[3]Entry!$N$1327)</f>
        <v/>
      </c>
      <c r="AM1324">
        <f>IF([3]Entry!$R$1327="","",[3]Entry!$R$1327)</f>
        <v/>
      </c>
    </row>
    <row r="1325">
      <c r="T1325">
        <f>IF([2]Baskol!$B$1328="","",[2]Baskol!$B$1328)</f>
        <v/>
      </c>
      <c r="U1325">
        <f>IF([2]Baskol!$C$1328="","",[2]Baskol!$C$1328)</f>
        <v/>
      </c>
      <c r="V1325">
        <f>IF([2]Baskol!$D$1328="","",[2]Baskol!$D$1328)</f>
        <v/>
      </c>
      <c r="W1325">
        <f>IF([2]Baskol!$E$1328="","",[2]Baskol!$E$1328)</f>
        <v/>
      </c>
      <c r="X1325">
        <f>IF([2]Baskol!$G$1328="","",[2]Baskol!$G$1328)</f>
        <v/>
      </c>
      <c r="Y1325">
        <f>IF([2]Baskol!$I$1328="","",[2]Baskol!$I$1328)</f>
        <v/>
      </c>
      <c r="Z1325">
        <f>IF([2]Baskol!$J$1328="","",[2]Baskol!$J$1328)</f>
        <v/>
      </c>
      <c r="AA1325">
        <f>IF([2]Baskol!$K$1328="","",[2]Baskol!$K$1328)</f>
        <v/>
      </c>
      <c r="AB1325">
        <f>IF([2]Baskol!$L$1328="","",[2]Baskol!$L$1328)</f>
        <v/>
      </c>
      <c r="AC1325">
        <f>IF([2]Baskol!$N$1328="","",[2]Baskol!$N$1328)</f>
        <v/>
      </c>
      <c r="AD1325">
        <f>IF([2]Baskol!$O$1328="","",[2]Baskol!$O$1328)</f>
        <v/>
      </c>
      <c r="AE1325">
        <f>IF([3]Entry!$C$1328="","",[3]Entry!$C$1328)</f>
        <v/>
      </c>
      <c r="AF1325">
        <f>IF([3]Entry!$D$1328="","",[3]Entry!$D$1328)</f>
        <v/>
      </c>
      <c r="AG1325">
        <f>IF([3]Entry!$E$1328="","",[3]Entry!$E$1328)</f>
        <v/>
      </c>
      <c r="AH1325">
        <f>IF([3]Entry!$G$1328="","",[3]Entry!$G$1328)</f>
        <v/>
      </c>
      <c r="AI1325">
        <f>IF([3]Entry!$K$1328="","",[3]Entry!$K$1328)</f>
        <v/>
      </c>
      <c r="AJ1325">
        <f>IF([3]Entry!$L$1328="","",[3]Entry!$L$1328)</f>
        <v/>
      </c>
      <c r="AK1325">
        <f>IF([3]Entry!$M$1328="","",[3]Entry!$M$1328)</f>
        <v/>
      </c>
      <c r="AL1325">
        <f>IF([3]Entry!$N$1328="","",[3]Entry!$N$1328)</f>
        <v/>
      </c>
      <c r="AM1325">
        <f>IF([3]Entry!$R$1328="","",[3]Entry!$R$1328)</f>
        <v/>
      </c>
    </row>
    <row r="1326">
      <c r="T1326">
        <f>IF([2]Baskol!$B$1329="","",[2]Baskol!$B$1329)</f>
        <v/>
      </c>
      <c r="U1326">
        <f>IF([2]Baskol!$C$1329="","",[2]Baskol!$C$1329)</f>
        <v/>
      </c>
      <c r="V1326">
        <f>IF([2]Baskol!$D$1329="","",[2]Baskol!$D$1329)</f>
        <v/>
      </c>
      <c r="W1326">
        <f>IF([2]Baskol!$E$1329="","",[2]Baskol!$E$1329)</f>
        <v/>
      </c>
      <c r="X1326">
        <f>IF([2]Baskol!$G$1329="","",[2]Baskol!$G$1329)</f>
        <v/>
      </c>
      <c r="Y1326">
        <f>IF([2]Baskol!$I$1329="","",[2]Baskol!$I$1329)</f>
        <v/>
      </c>
      <c r="Z1326">
        <f>IF([2]Baskol!$J$1329="","",[2]Baskol!$J$1329)</f>
        <v/>
      </c>
      <c r="AA1326">
        <f>IF([2]Baskol!$K$1329="","",[2]Baskol!$K$1329)</f>
        <v/>
      </c>
      <c r="AB1326">
        <f>IF([2]Baskol!$L$1329="","",[2]Baskol!$L$1329)</f>
        <v/>
      </c>
      <c r="AC1326">
        <f>IF([2]Baskol!$N$1329="","",[2]Baskol!$N$1329)</f>
        <v/>
      </c>
      <c r="AD1326">
        <f>IF([2]Baskol!$O$1329="","",[2]Baskol!$O$1329)</f>
        <v/>
      </c>
      <c r="AE1326">
        <f>IF([3]Entry!$C$1329="","",[3]Entry!$C$1329)</f>
        <v/>
      </c>
      <c r="AF1326">
        <f>IF([3]Entry!$D$1329="","",[3]Entry!$D$1329)</f>
        <v/>
      </c>
      <c r="AG1326">
        <f>IF([3]Entry!$E$1329="","",[3]Entry!$E$1329)</f>
        <v/>
      </c>
      <c r="AH1326">
        <f>IF([3]Entry!$G$1329="","",[3]Entry!$G$1329)</f>
        <v/>
      </c>
      <c r="AI1326">
        <f>IF([3]Entry!$K$1329="","",[3]Entry!$K$1329)</f>
        <v/>
      </c>
      <c r="AJ1326">
        <f>IF([3]Entry!$L$1329="","",[3]Entry!$L$1329)</f>
        <v/>
      </c>
      <c r="AK1326">
        <f>IF([3]Entry!$M$1329="","",[3]Entry!$M$1329)</f>
        <v/>
      </c>
      <c r="AL1326">
        <f>IF([3]Entry!$N$1329="","",[3]Entry!$N$1329)</f>
        <v/>
      </c>
      <c r="AM1326">
        <f>IF([3]Entry!$R$1329="","",[3]Entry!$R$1329)</f>
        <v/>
      </c>
    </row>
    <row r="1327">
      <c r="T1327">
        <f>IF([2]Baskol!$B$1330="","",[2]Baskol!$B$1330)</f>
        <v/>
      </c>
      <c r="U1327">
        <f>IF([2]Baskol!$C$1330="","",[2]Baskol!$C$1330)</f>
        <v/>
      </c>
      <c r="V1327">
        <f>IF([2]Baskol!$D$1330="","",[2]Baskol!$D$1330)</f>
        <v/>
      </c>
      <c r="W1327">
        <f>IF([2]Baskol!$E$1330="","",[2]Baskol!$E$1330)</f>
        <v/>
      </c>
      <c r="X1327">
        <f>IF([2]Baskol!$G$1330="","",[2]Baskol!$G$1330)</f>
        <v/>
      </c>
      <c r="Y1327">
        <f>IF([2]Baskol!$I$1330="","",[2]Baskol!$I$1330)</f>
        <v/>
      </c>
      <c r="Z1327">
        <f>IF([2]Baskol!$J$1330="","",[2]Baskol!$J$1330)</f>
        <v/>
      </c>
      <c r="AA1327">
        <f>IF([2]Baskol!$K$1330="","",[2]Baskol!$K$1330)</f>
        <v/>
      </c>
      <c r="AB1327">
        <f>IF([2]Baskol!$L$1330="","",[2]Baskol!$L$1330)</f>
        <v/>
      </c>
      <c r="AC1327">
        <f>IF([2]Baskol!$N$1330="","",[2]Baskol!$N$1330)</f>
        <v/>
      </c>
      <c r="AD1327">
        <f>IF([2]Baskol!$O$1330="","",[2]Baskol!$O$1330)</f>
        <v/>
      </c>
      <c r="AE1327">
        <f>IF([3]Entry!$C$1330="","",[3]Entry!$C$1330)</f>
        <v/>
      </c>
      <c r="AF1327">
        <f>IF([3]Entry!$D$1330="","",[3]Entry!$D$1330)</f>
        <v/>
      </c>
      <c r="AG1327">
        <f>IF([3]Entry!$E$1330="","",[3]Entry!$E$1330)</f>
        <v/>
      </c>
      <c r="AH1327">
        <f>IF([3]Entry!$G$1330="","",[3]Entry!$G$1330)</f>
        <v/>
      </c>
      <c r="AI1327">
        <f>IF([3]Entry!$K$1330="","",[3]Entry!$K$1330)</f>
        <v/>
      </c>
      <c r="AJ1327">
        <f>IF([3]Entry!$L$1330="","",[3]Entry!$L$1330)</f>
        <v/>
      </c>
      <c r="AK1327">
        <f>IF([3]Entry!$M$1330="","",[3]Entry!$M$1330)</f>
        <v/>
      </c>
      <c r="AL1327">
        <f>IF([3]Entry!$N$1330="","",[3]Entry!$N$1330)</f>
        <v/>
      </c>
      <c r="AM1327">
        <f>IF([3]Entry!$R$1330="","",[3]Entry!$R$1330)</f>
        <v/>
      </c>
    </row>
    <row r="1328">
      <c r="T1328">
        <f>IF([2]Baskol!$B$1331="","",[2]Baskol!$B$1331)</f>
        <v/>
      </c>
      <c r="U1328">
        <f>IF([2]Baskol!$C$1331="","",[2]Baskol!$C$1331)</f>
        <v/>
      </c>
      <c r="V1328">
        <f>IF([2]Baskol!$D$1331="","",[2]Baskol!$D$1331)</f>
        <v/>
      </c>
      <c r="W1328">
        <f>IF([2]Baskol!$E$1331="","",[2]Baskol!$E$1331)</f>
        <v/>
      </c>
      <c r="X1328">
        <f>IF([2]Baskol!$G$1331="","",[2]Baskol!$G$1331)</f>
        <v/>
      </c>
      <c r="Y1328">
        <f>IF([2]Baskol!$I$1331="","",[2]Baskol!$I$1331)</f>
        <v/>
      </c>
      <c r="Z1328">
        <f>IF([2]Baskol!$J$1331="","",[2]Baskol!$J$1331)</f>
        <v/>
      </c>
      <c r="AA1328">
        <f>IF([2]Baskol!$K$1331="","",[2]Baskol!$K$1331)</f>
        <v/>
      </c>
      <c r="AB1328">
        <f>IF([2]Baskol!$L$1331="","",[2]Baskol!$L$1331)</f>
        <v/>
      </c>
      <c r="AC1328">
        <f>IF([2]Baskol!$N$1331="","",[2]Baskol!$N$1331)</f>
        <v/>
      </c>
      <c r="AD1328">
        <f>IF([2]Baskol!$O$1331="","",[2]Baskol!$O$1331)</f>
        <v/>
      </c>
      <c r="AE1328">
        <f>IF([3]Entry!$C$1331="","",[3]Entry!$C$1331)</f>
        <v/>
      </c>
      <c r="AF1328">
        <f>IF([3]Entry!$D$1331="","",[3]Entry!$D$1331)</f>
        <v/>
      </c>
      <c r="AG1328">
        <f>IF([3]Entry!$E$1331="","",[3]Entry!$E$1331)</f>
        <v/>
      </c>
      <c r="AH1328">
        <f>IF([3]Entry!$G$1331="","",[3]Entry!$G$1331)</f>
        <v/>
      </c>
      <c r="AI1328">
        <f>IF([3]Entry!$K$1331="","",[3]Entry!$K$1331)</f>
        <v/>
      </c>
      <c r="AJ1328">
        <f>IF([3]Entry!$L$1331="","",[3]Entry!$L$1331)</f>
        <v/>
      </c>
      <c r="AK1328">
        <f>IF([3]Entry!$M$1331="","",[3]Entry!$M$1331)</f>
        <v/>
      </c>
      <c r="AL1328">
        <f>IF([3]Entry!$N$1331="","",[3]Entry!$N$1331)</f>
        <v/>
      </c>
      <c r="AM1328">
        <f>IF([3]Entry!$R$1331="","",[3]Entry!$R$1331)</f>
        <v/>
      </c>
    </row>
    <row r="1329">
      <c r="T1329">
        <f>IF([2]Baskol!$B$1332="","",[2]Baskol!$B$1332)</f>
        <v/>
      </c>
      <c r="U1329">
        <f>IF([2]Baskol!$C$1332="","",[2]Baskol!$C$1332)</f>
        <v/>
      </c>
      <c r="V1329">
        <f>IF([2]Baskol!$D$1332="","",[2]Baskol!$D$1332)</f>
        <v/>
      </c>
      <c r="W1329">
        <f>IF([2]Baskol!$E$1332="","",[2]Baskol!$E$1332)</f>
        <v/>
      </c>
      <c r="X1329">
        <f>IF([2]Baskol!$G$1332="","",[2]Baskol!$G$1332)</f>
        <v/>
      </c>
      <c r="Y1329">
        <f>IF([2]Baskol!$I$1332="","",[2]Baskol!$I$1332)</f>
        <v/>
      </c>
      <c r="Z1329">
        <f>IF([2]Baskol!$J$1332="","",[2]Baskol!$J$1332)</f>
        <v/>
      </c>
      <c r="AA1329">
        <f>IF([2]Baskol!$K$1332="","",[2]Baskol!$K$1332)</f>
        <v/>
      </c>
      <c r="AB1329">
        <f>IF([2]Baskol!$L$1332="","",[2]Baskol!$L$1332)</f>
        <v/>
      </c>
      <c r="AC1329">
        <f>IF([2]Baskol!$N$1332="","",[2]Baskol!$N$1332)</f>
        <v/>
      </c>
      <c r="AD1329">
        <f>IF([2]Baskol!$O$1332="","",[2]Baskol!$O$1332)</f>
        <v/>
      </c>
      <c r="AE1329">
        <f>IF([3]Entry!$C$1332="","",[3]Entry!$C$1332)</f>
        <v/>
      </c>
      <c r="AF1329">
        <f>IF([3]Entry!$D$1332="","",[3]Entry!$D$1332)</f>
        <v/>
      </c>
      <c r="AG1329">
        <f>IF([3]Entry!$E$1332="","",[3]Entry!$E$1332)</f>
        <v/>
      </c>
      <c r="AH1329">
        <f>IF([3]Entry!$G$1332="","",[3]Entry!$G$1332)</f>
        <v/>
      </c>
      <c r="AI1329">
        <f>IF([3]Entry!$K$1332="","",[3]Entry!$K$1332)</f>
        <v/>
      </c>
      <c r="AJ1329">
        <f>IF([3]Entry!$L$1332="","",[3]Entry!$L$1332)</f>
        <v/>
      </c>
      <c r="AK1329">
        <f>IF([3]Entry!$M$1332="","",[3]Entry!$M$1332)</f>
        <v/>
      </c>
      <c r="AL1329">
        <f>IF([3]Entry!$N$1332="","",[3]Entry!$N$1332)</f>
        <v/>
      </c>
      <c r="AM1329">
        <f>IF([3]Entry!$R$1332="","",[3]Entry!$R$1332)</f>
        <v/>
      </c>
    </row>
    <row r="1330">
      <c r="T1330">
        <f>IF([2]Baskol!$B$1333="","",[2]Baskol!$B$1333)</f>
        <v/>
      </c>
      <c r="U1330">
        <f>IF([2]Baskol!$C$1333="","",[2]Baskol!$C$1333)</f>
        <v/>
      </c>
      <c r="V1330">
        <f>IF([2]Baskol!$D$1333="","",[2]Baskol!$D$1333)</f>
        <v/>
      </c>
      <c r="W1330">
        <f>IF([2]Baskol!$E$1333="","",[2]Baskol!$E$1333)</f>
        <v/>
      </c>
      <c r="X1330">
        <f>IF([2]Baskol!$G$1333="","",[2]Baskol!$G$1333)</f>
        <v/>
      </c>
      <c r="Y1330">
        <f>IF([2]Baskol!$I$1333="","",[2]Baskol!$I$1333)</f>
        <v/>
      </c>
      <c r="Z1330">
        <f>IF([2]Baskol!$J$1333="","",[2]Baskol!$J$1333)</f>
        <v/>
      </c>
      <c r="AA1330">
        <f>IF([2]Baskol!$K$1333="","",[2]Baskol!$K$1333)</f>
        <v/>
      </c>
      <c r="AB1330">
        <f>IF([2]Baskol!$L$1333="","",[2]Baskol!$L$1333)</f>
        <v/>
      </c>
      <c r="AC1330">
        <f>IF([2]Baskol!$N$1333="","",[2]Baskol!$N$1333)</f>
        <v/>
      </c>
      <c r="AD1330">
        <f>IF([2]Baskol!$O$1333="","",[2]Baskol!$O$1333)</f>
        <v/>
      </c>
      <c r="AE1330">
        <f>IF([3]Entry!$C$1333="","",[3]Entry!$C$1333)</f>
        <v/>
      </c>
      <c r="AF1330">
        <f>IF([3]Entry!$D$1333="","",[3]Entry!$D$1333)</f>
        <v/>
      </c>
      <c r="AG1330">
        <f>IF([3]Entry!$E$1333="","",[3]Entry!$E$1333)</f>
        <v/>
      </c>
      <c r="AH1330">
        <f>IF([3]Entry!$G$1333="","",[3]Entry!$G$1333)</f>
        <v/>
      </c>
      <c r="AI1330">
        <f>IF([3]Entry!$K$1333="","",[3]Entry!$K$1333)</f>
        <v/>
      </c>
      <c r="AJ1330">
        <f>IF([3]Entry!$L$1333="","",[3]Entry!$L$1333)</f>
        <v/>
      </c>
      <c r="AK1330">
        <f>IF([3]Entry!$M$1333="","",[3]Entry!$M$1333)</f>
        <v/>
      </c>
      <c r="AL1330">
        <f>IF([3]Entry!$N$1333="","",[3]Entry!$N$1333)</f>
        <v/>
      </c>
      <c r="AM1330">
        <f>IF([3]Entry!$R$1333="","",[3]Entry!$R$1333)</f>
        <v/>
      </c>
    </row>
    <row r="1331">
      <c r="T1331">
        <f>IF([2]Baskol!$B$1334="","",[2]Baskol!$B$1334)</f>
        <v/>
      </c>
      <c r="U1331">
        <f>IF([2]Baskol!$C$1334="","",[2]Baskol!$C$1334)</f>
        <v/>
      </c>
      <c r="V1331">
        <f>IF([2]Baskol!$D$1334="","",[2]Baskol!$D$1334)</f>
        <v/>
      </c>
      <c r="W1331">
        <f>IF([2]Baskol!$E$1334="","",[2]Baskol!$E$1334)</f>
        <v/>
      </c>
      <c r="X1331">
        <f>IF([2]Baskol!$G$1334="","",[2]Baskol!$G$1334)</f>
        <v/>
      </c>
      <c r="Y1331">
        <f>IF([2]Baskol!$I$1334="","",[2]Baskol!$I$1334)</f>
        <v/>
      </c>
      <c r="Z1331">
        <f>IF([2]Baskol!$J$1334="","",[2]Baskol!$J$1334)</f>
        <v/>
      </c>
      <c r="AA1331">
        <f>IF([2]Baskol!$K$1334="","",[2]Baskol!$K$1334)</f>
        <v/>
      </c>
      <c r="AB1331">
        <f>IF([2]Baskol!$L$1334="","",[2]Baskol!$L$1334)</f>
        <v/>
      </c>
      <c r="AC1331">
        <f>IF([2]Baskol!$N$1334="","",[2]Baskol!$N$1334)</f>
        <v/>
      </c>
      <c r="AD1331">
        <f>IF([2]Baskol!$O$1334="","",[2]Baskol!$O$1334)</f>
        <v/>
      </c>
      <c r="AE1331">
        <f>IF([3]Entry!$C$1334="","",[3]Entry!$C$1334)</f>
        <v/>
      </c>
      <c r="AF1331">
        <f>IF([3]Entry!$D$1334="","",[3]Entry!$D$1334)</f>
        <v/>
      </c>
      <c r="AG1331">
        <f>IF([3]Entry!$E$1334="","",[3]Entry!$E$1334)</f>
        <v/>
      </c>
      <c r="AH1331">
        <f>IF([3]Entry!$G$1334="","",[3]Entry!$G$1334)</f>
        <v/>
      </c>
      <c r="AI1331">
        <f>IF([3]Entry!$K$1334="","",[3]Entry!$K$1334)</f>
        <v/>
      </c>
      <c r="AJ1331">
        <f>IF([3]Entry!$L$1334="","",[3]Entry!$L$1334)</f>
        <v/>
      </c>
      <c r="AK1331">
        <f>IF([3]Entry!$M$1334="","",[3]Entry!$M$1334)</f>
        <v/>
      </c>
      <c r="AL1331">
        <f>IF([3]Entry!$N$1334="","",[3]Entry!$N$1334)</f>
        <v/>
      </c>
      <c r="AM1331">
        <f>IF([3]Entry!$R$1334="","",[3]Entry!$R$1334)</f>
        <v/>
      </c>
    </row>
    <row r="1332">
      <c r="T1332">
        <f>IF([2]Baskol!$B$1335="","",[2]Baskol!$B$1335)</f>
        <v/>
      </c>
      <c r="U1332">
        <f>IF([2]Baskol!$C$1335="","",[2]Baskol!$C$1335)</f>
        <v/>
      </c>
      <c r="V1332">
        <f>IF([2]Baskol!$D$1335="","",[2]Baskol!$D$1335)</f>
        <v/>
      </c>
      <c r="W1332">
        <f>IF([2]Baskol!$E$1335="","",[2]Baskol!$E$1335)</f>
        <v/>
      </c>
      <c r="X1332">
        <f>IF([2]Baskol!$G$1335="","",[2]Baskol!$G$1335)</f>
        <v/>
      </c>
      <c r="Y1332">
        <f>IF([2]Baskol!$I$1335="","",[2]Baskol!$I$1335)</f>
        <v/>
      </c>
      <c r="Z1332">
        <f>IF([2]Baskol!$J$1335="","",[2]Baskol!$J$1335)</f>
        <v/>
      </c>
      <c r="AA1332">
        <f>IF([2]Baskol!$K$1335="","",[2]Baskol!$K$1335)</f>
        <v/>
      </c>
      <c r="AB1332">
        <f>IF([2]Baskol!$L$1335="","",[2]Baskol!$L$1335)</f>
        <v/>
      </c>
      <c r="AC1332">
        <f>IF([2]Baskol!$N$1335="","",[2]Baskol!$N$1335)</f>
        <v/>
      </c>
      <c r="AD1332">
        <f>IF([2]Baskol!$O$1335="","",[2]Baskol!$O$1335)</f>
        <v/>
      </c>
      <c r="AE1332">
        <f>IF([3]Entry!$C$1335="","",[3]Entry!$C$1335)</f>
        <v/>
      </c>
      <c r="AF1332">
        <f>IF([3]Entry!$D$1335="","",[3]Entry!$D$1335)</f>
        <v/>
      </c>
      <c r="AG1332">
        <f>IF([3]Entry!$E$1335="","",[3]Entry!$E$1335)</f>
        <v/>
      </c>
      <c r="AH1332">
        <f>IF([3]Entry!$G$1335="","",[3]Entry!$G$1335)</f>
        <v/>
      </c>
      <c r="AI1332">
        <f>IF([3]Entry!$K$1335="","",[3]Entry!$K$1335)</f>
        <v/>
      </c>
      <c r="AJ1332">
        <f>IF([3]Entry!$L$1335="","",[3]Entry!$L$1335)</f>
        <v/>
      </c>
      <c r="AK1332">
        <f>IF([3]Entry!$M$1335="","",[3]Entry!$M$1335)</f>
        <v/>
      </c>
      <c r="AL1332">
        <f>IF([3]Entry!$N$1335="","",[3]Entry!$N$1335)</f>
        <v/>
      </c>
      <c r="AM1332">
        <f>IF([3]Entry!$R$1335="","",[3]Entry!$R$1335)</f>
        <v/>
      </c>
    </row>
    <row r="1333">
      <c r="T1333">
        <f>IF([2]Baskol!$B$1336="","",[2]Baskol!$B$1336)</f>
        <v/>
      </c>
      <c r="U1333">
        <f>IF([2]Baskol!$C$1336="","",[2]Baskol!$C$1336)</f>
        <v/>
      </c>
      <c r="V1333">
        <f>IF([2]Baskol!$D$1336="","",[2]Baskol!$D$1336)</f>
        <v/>
      </c>
      <c r="W1333">
        <f>IF([2]Baskol!$E$1336="","",[2]Baskol!$E$1336)</f>
        <v/>
      </c>
      <c r="X1333">
        <f>IF([2]Baskol!$G$1336="","",[2]Baskol!$G$1336)</f>
        <v/>
      </c>
      <c r="Y1333">
        <f>IF([2]Baskol!$I$1336="","",[2]Baskol!$I$1336)</f>
        <v/>
      </c>
      <c r="Z1333">
        <f>IF([2]Baskol!$J$1336="","",[2]Baskol!$J$1336)</f>
        <v/>
      </c>
      <c r="AA1333">
        <f>IF([2]Baskol!$K$1336="","",[2]Baskol!$K$1336)</f>
        <v/>
      </c>
      <c r="AB1333">
        <f>IF([2]Baskol!$L$1336="","",[2]Baskol!$L$1336)</f>
        <v/>
      </c>
      <c r="AC1333">
        <f>IF([2]Baskol!$N$1336="","",[2]Baskol!$N$1336)</f>
        <v/>
      </c>
      <c r="AD1333">
        <f>IF([2]Baskol!$O$1336="","",[2]Baskol!$O$1336)</f>
        <v/>
      </c>
      <c r="AE1333">
        <f>IF([3]Entry!$C$1336="","",[3]Entry!$C$1336)</f>
        <v/>
      </c>
      <c r="AF1333">
        <f>IF([3]Entry!$D$1336="","",[3]Entry!$D$1336)</f>
        <v/>
      </c>
      <c r="AG1333">
        <f>IF([3]Entry!$E$1336="","",[3]Entry!$E$1336)</f>
        <v/>
      </c>
      <c r="AH1333">
        <f>IF([3]Entry!$G$1336="","",[3]Entry!$G$1336)</f>
        <v/>
      </c>
      <c r="AI1333">
        <f>IF([3]Entry!$K$1336="","",[3]Entry!$K$1336)</f>
        <v/>
      </c>
      <c r="AJ1333">
        <f>IF([3]Entry!$L$1336="","",[3]Entry!$L$1336)</f>
        <v/>
      </c>
      <c r="AK1333">
        <f>IF([3]Entry!$M$1336="","",[3]Entry!$M$1336)</f>
        <v/>
      </c>
      <c r="AL1333">
        <f>IF([3]Entry!$N$1336="","",[3]Entry!$N$1336)</f>
        <v/>
      </c>
      <c r="AM1333">
        <f>IF([3]Entry!$R$1336="","",[3]Entry!$R$1336)</f>
        <v/>
      </c>
    </row>
    <row r="1334">
      <c r="T1334">
        <f>IF([2]Baskol!$B$1337="","",[2]Baskol!$B$1337)</f>
        <v/>
      </c>
      <c r="U1334">
        <f>IF([2]Baskol!$C$1337="","",[2]Baskol!$C$1337)</f>
        <v/>
      </c>
      <c r="V1334">
        <f>IF([2]Baskol!$D$1337="","",[2]Baskol!$D$1337)</f>
        <v/>
      </c>
      <c r="W1334">
        <f>IF([2]Baskol!$E$1337="","",[2]Baskol!$E$1337)</f>
        <v/>
      </c>
      <c r="X1334">
        <f>IF([2]Baskol!$G$1337="","",[2]Baskol!$G$1337)</f>
        <v/>
      </c>
      <c r="Y1334">
        <f>IF([2]Baskol!$I$1337="","",[2]Baskol!$I$1337)</f>
        <v/>
      </c>
      <c r="Z1334">
        <f>IF([2]Baskol!$J$1337="","",[2]Baskol!$J$1337)</f>
        <v/>
      </c>
      <c r="AA1334">
        <f>IF([2]Baskol!$K$1337="","",[2]Baskol!$K$1337)</f>
        <v/>
      </c>
      <c r="AB1334">
        <f>IF([2]Baskol!$L$1337="","",[2]Baskol!$L$1337)</f>
        <v/>
      </c>
      <c r="AC1334">
        <f>IF([2]Baskol!$N$1337="","",[2]Baskol!$N$1337)</f>
        <v/>
      </c>
      <c r="AD1334">
        <f>IF([2]Baskol!$O$1337="","",[2]Baskol!$O$1337)</f>
        <v/>
      </c>
      <c r="AE1334">
        <f>IF([3]Entry!$C$1337="","",[3]Entry!$C$1337)</f>
        <v/>
      </c>
      <c r="AF1334">
        <f>IF([3]Entry!$D$1337="","",[3]Entry!$D$1337)</f>
        <v/>
      </c>
      <c r="AG1334">
        <f>IF([3]Entry!$E$1337="","",[3]Entry!$E$1337)</f>
        <v/>
      </c>
      <c r="AH1334">
        <f>IF([3]Entry!$G$1337="","",[3]Entry!$G$1337)</f>
        <v/>
      </c>
      <c r="AI1334">
        <f>IF([3]Entry!$K$1337="","",[3]Entry!$K$1337)</f>
        <v/>
      </c>
      <c r="AJ1334">
        <f>IF([3]Entry!$L$1337="","",[3]Entry!$L$1337)</f>
        <v/>
      </c>
      <c r="AK1334">
        <f>IF([3]Entry!$M$1337="","",[3]Entry!$M$1337)</f>
        <v/>
      </c>
      <c r="AL1334">
        <f>IF([3]Entry!$N$1337="","",[3]Entry!$N$1337)</f>
        <v/>
      </c>
      <c r="AM1334">
        <f>IF([3]Entry!$R$1337="","",[3]Entry!$R$1337)</f>
        <v/>
      </c>
    </row>
    <row r="1335">
      <c r="T1335">
        <f>IF([2]Baskol!$B$1338="","",[2]Baskol!$B$1338)</f>
        <v/>
      </c>
      <c r="U1335">
        <f>IF([2]Baskol!$C$1338="","",[2]Baskol!$C$1338)</f>
        <v/>
      </c>
      <c r="V1335">
        <f>IF([2]Baskol!$D$1338="","",[2]Baskol!$D$1338)</f>
        <v/>
      </c>
      <c r="W1335">
        <f>IF([2]Baskol!$E$1338="","",[2]Baskol!$E$1338)</f>
        <v/>
      </c>
      <c r="X1335">
        <f>IF([2]Baskol!$G$1338="","",[2]Baskol!$G$1338)</f>
        <v/>
      </c>
      <c r="Y1335">
        <f>IF([2]Baskol!$I$1338="","",[2]Baskol!$I$1338)</f>
        <v/>
      </c>
      <c r="Z1335">
        <f>IF([2]Baskol!$J$1338="","",[2]Baskol!$J$1338)</f>
        <v/>
      </c>
      <c r="AA1335">
        <f>IF([2]Baskol!$K$1338="","",[2]Baskol!$K$1338)</f>
        <v/>
      </c>
      <c r="AB1335">
        <f>IF([2]Baskol!$L$1338="","",[2]Baskol!$L$1338)</f>
        <v/>
      </c>
      <c r="AC1335">
        <f>IF([2]Baskol!$N$1338="","",[2]Baskol!$N$1338)</f>
        <v/>
      </c>
      <c r="AD1335">
        <f>IF([2]Baskol!$O$1338="","",[2]Baskol!$O$1338)</f>
        <v/>
      </c>
      <c r="AE1335">
        <f>IF([3]Entry!$C$1338="","",[3]Entry!$C$1338)</f>
        <v/>
      </c>
      <c r="AF1335">
        <f>IF([3]Entry!$D$1338="","",[3]Entry!$D$1338)</f>
        <v/>
      </c>
      <c r="AG1335">
        <f>IF([3]Entry!$E$1338="","",[3]Entry!$E$1338)</f>
        <v/>
      </c>
      <c r="AH1335">
        <f>IF([3]Entry!$G$1338="","",[3]Entry!$G$1338)</f>
        <v/>
      </c>
      <c r="AI1335">
        <f>IF([3]Entry!$K$1338="","",[3]Entry!$K$1338)</f>
        <v/>
      </c>
      <c r="AJ1335">
        <f>IF([3]Entry!$L$1338="","",[3]Entry!$L$1338)</f>
        <v/>
      </c>
      <c r="AK1335">
        <f>IF([3]Entry!$M$1338="","",[3]Entry!$M$1338)</f>
        <v/>
      </c>
      <c r="AL1335">
        <f>IF([3]Entry!$N$1338="","",[3]Entry!$N$1338)</f>
        <v/>
      </c>
      <c r="AM1335">
        <f>IF([3]Entry!$R$1338="","",[3]Entry!$R$1338)</f>
        <v/>
      </c>
    </row>
    <row r="1336">
      <c r="T1336">
        <f>IF([2]Baskol!$B$1339="","",[2]Baskol!$B$1339)</f>
        <v/>
      </c>
      <c r="U1336">
        <f>IF([2]Baskol!$C$1339="","",[2]Baskol!$C$1339)</f>
        <v/>
      </c>
      <c r="V1336">
        <f>IF([2]Baskol!$D$1339="","",[2]Baskol!$D$1339)</f>
        <v/>
      </c>
      <c r="W1336">
        <f>IF([2]Baskol!$E$1339="","",[2]Baskol!$E$1339)</f>
        <v/>
      </c>
      <c r="X1336">
        <f>IF([2]Baskol!$G$1339="","",[2]Baskol!$G$1339)</f>
        <v/>
      </c>
      <c r="Y1336">
        <f>IF([2]Baskol!$I$1339="","",[2]Baskol!$I$1339)</f>
        <v/>
      </c>
      <c r="Z1336">
        <f>IF([2]Baskol!$J$1339="","",[2]Baskol!$J$1339)</f>
        <v/>
      </c>
      <c r="AA1336">
        <f>IF([2]Baskol!$K$1339="","",[2]Baskol!$K$1339)</f>
        <v/>
      </c>
      <c r="AB1336">
        <f>IF([2]Baskol!$L$1339="","",[2]Baskol!$L$1339)</f>
        <v/>
      </c>
      <c r="AC1336">
        <f>IF([2]Baskol!$N$1339="","",[2]Baskol!$N$1339)</f>
        <v/>
      </c>
      <c r="AD1336">
        <f>IF([2]Baskol!$O$1339="","",[2]Baskol!$O$1339)</f>
        <v/>
      </c>
      <c r="AE1336">
        <f>IF([3]Entry!$C$1339="","",[3]Entry!$C$1339)</f>
        <v/>
      </c>
      <c r="AF1336">
        <f>IF([3]Entry!$D$1339="","",[3]Entry!$D$1339)</f>
        <v/>
      </c>
      <c r="AG1336">
        <f>IF([3]Entry!$E$1339="","",[3]Entry!$E$1339)</f>
        <v/>
      </c>
      <c r="AH1336">
        <f>IF([3]Entry!$G$1339="","",[3]Entry!$G$1339)</f>
        <v/>
      </c>
      <c r="AI1336">
        <f>IF([3]Entry!$K$1339="","",[3]Entry!$K$1339)</f>
        <v/>
      </c>
      <c r="AJ1336">
        <f>IF([3]Entry!$L$1339="","",[3]Entry!$L$1339)</f>
        <v/>
      </c>
      <c r="AK1336">
        <f>IF([3]Entry!$M$1339="","",[3]Entry!$M$1339)</f>
        <v/>
      </c>
      <c r="AL1336">
        <f>IF([3]Entry!$N$1339="","",[3]Entry!$N$1339)</f>
        <v/>
      </c>
      <c r="AM1336">
        <f>IF([3]Entry!$R$1339="","",[3]Entry!$R$1339)</f>
        <v/>
      </c>
    </row>
    <row r="1337">
      <c r="T1337">
        <f>IF([2]Baskol!$B$1340="","",[2]Baskol!$B$1340)</f>
        <v/>
      </c>
      <c r="U1337">
        <f>IF([2]Baskol!$C$1340="","",[2]Baskol!$C$1340)</f>
        <v/>
      </c>
      <c r="V1337">
        <f>IF([2]Baskol!$D$1340="","",[2]Baskol!$D$1340)</f>
        <v/>
      </c>
      <c r="W1337">
        <f>IF([2]Baskol!$E$1340="","",[2]Baskol!$E$1340)</f>
        <v/>
      </c>
      <c r="X1337">
        <f>IF([2]Baskol!$G$1340="","",[2]Baskol!$G$1340)</f>
        <v/>
      </c>
      <c r="Y1337">
        <f>IF([2]Baskol!$I$1340="","",[2]Baskol!$I$1340)</f>
        <v/>
      </c>
      <c r="Z1337">
        <f>IF([2]Baskol!$J$1340="","",[2]Baskol!$J$1340)</f>
        <v/>
      </c>
      <c r="AA1337">
        <f>IF([2]Baskol!$K$1340="","",[2]Baskol!$K$1340)</f>
        <v/>
      </c>
      <c r="AB1337">
        <f>IF([2]Baskol!$L$1340="","",[2]Baskol!$L$1340)</f>
        <v/>
      </c>
      <c r="AC1337">
        <f>IF([2]Baskol!$N$1340="","",[2]Baskol!$N$1340)</f>
        <v/>
      </c>
      <c r="AD1337">
        <f>IF([2]Baskol!$O$1340="","",[2]Baskol!$O$1340)</f>
        <v/>
      </c>
      <c r="AE1337">
        <f>IF([3]Entry!$C$1340="","",[3]Entry!$C$1340)</f>
        <v/>
      </c>
      <c r="AF1337">
        <f>IF([3]Entry!$D$1340="","",[3]Entry!$D$1340)</f>
        <v/>
      </c>
      <c r="AG1337">
        <f>IF([3]Entry!$E$1340="","",[3]Entry!$E$1340)</f>
        <v/>
      </c>
      <c r="AH1337">
        <f>IF([3]Entry!$G$1340="","",[3]Entry!$G$1340)</f>
        <v/>
      </c>
      <c r="AI1337">
        <f>IF([3]Entry!$K$1340="","",[3]Entry!$K$1340)</f>
        <v/>
      </c>
      <c r="AJ1337">
        <f>IF([3]Entry!$L$1340="","",[3]Entry!$L$1340)</f>
        <v/>
      </c>
      <c r="AK1337">
        <f>IF([3]Entry!$M$1340="","",[3]Entry!$M$1340)</f>
        <v/>
      </c>
      <c r="AL1337">
        <f>IF([3]Entry!$N$1340="","",[3]Entry!$N$1340)</f>
        <v/>
      </c>
      <c r="AM1337">
        <f>IF([3]Entry!$R$1340="","",[3]Entry!$R$1340)</f>
        <v/>
      </c>
    </row>
    <row r="1338">
      <c r="T1338">
        <f>IF([2]Baskol!$B$1341="","",[2]Baskol!$B$1341)</f>
        <v/>
      </c>
      <c r="U1338">
        <f>IF([2]Baskol!$C$1341="","",[2]Baskol!$C$1341)</f>
        <v/>
      </c>
      <c r="V1338">
        <f>IF([2]Baskol!$D$1341="","",[2]Baskol!$D$1341)</f>
        <v/>
      </c>
      <c r="W1338">
        <f>IF([2]Baskol!$E$1341="","",[2]Baskol!$E$1341)</f>
        <v/>
      </c>
      <c r="X1338">
        <f>IF([2]Baskol!$G$1341="","",[2]Baskol!$G$1341)</f>
        <v/>
      </c>
      <c r="Y1338">
        <f>IF([2]Baskol!$I$1341="","",[2]Baskol!$I$1341)</f>
        <v/>
      </c>
      <c r="Z1338">
        <f>IF([2]Baskol!$J$1341="","",[2]Baskol!$J$1341)</f>
        <v/>
      </c>
      <c r="AA1338">
        <f>IF([2]Baskol!$K$1341="","",[2]Baskol!$K$1341)</f>
        <v/>
      </c>
      <c r="AB1338">
        <f>IF([2]Baskol!$L$1341="","",[2]Baskol!$L$1341)</f>
        <v/>
      </c>
      <c r="AC1338">
        <f>IF([2]Baskol!$N$1341="","",[2]Baskol!$N$1341)</f>
        <v/>
      </c>
      <c r="AD1338">
        <f>IF([2]Baskol!$O$1341="","",[2]Baskol!$O$1341)</f>
        <v/>
      </c>
      <c r="AE1338">
        <f>IF([3]Entry!$C$1341="","",[3]Entry!$C$1341)</f>
        <v/>
      </c>
      <c r="AF1338">
        <f>IF([3]Entry!$D$1341="","",[3]Entry!$D$1341)</f>
        <v/>
      </c>
      <c r="AG1338">
        <f>IF([3]Entry!$E$1341="","",[3]Entry!$E$1341)</f>
        <v/>
      </c>
      <c r="AH1338">
        <f>IF([3]Entry!$G$1341="","",[3]Entry!$G$1341)</f>
        <v/>
      </c>
      <c r="AI1338">
        <f>IF([3]Entry!$K$1341="","",[3]Entry!$K$1341)</f>
        <v/>
      </c>
      <c r="AJ1338">
        <f>IF([3]Entry!$L$1341="","",[3]Entry!$L$1341)</f>
        <v/>
      </c>
      <c r="AK1338">
        <f>IF([3]Entry!$M$1341="","",[3]Entry!$M$1341)</f>
        <v/>
      </c>
      <c r="AL1338">
        <f>IF([3]Entry!$N$1341="","",[3]Entry!$N$1341)</f>
        <v/>
      </c>
      <c r="AM1338">
        <f>IF([3]Entry!$R$1341="","",[3]Entry!$R$1341)</f>
        <v/>
      </c>
    </row>
    <row r="1339">
      <c r="T1339">
        <f>IF([2]Baskol!$B$1342="","",[2]Baskol!$B$1342)</f>
        <v/>
      </c>
      <c r="U1339">
        <f>IF([2]Baskol!$C$1342="","",[2]Baskol!$C$1342)</f>
        <v/>
      </c>
      <c r="V1339">
        <f>IF([2]Baskol!$D$1342="","",[2]Baskol!$D$1342)</f>
        <v/>
      </c>
      <c r="W1339">
        <f>IF([2]Baskol!$E$1342="","",[2]Baskol!$E$1342)</f>
        <v/>
      </c>
      <c r="X1339">
        <f>IF([2]Baskol!$G$1342="","",[2]Baskol!$G$1342)</f>
        <v/>
      </c>
      <c r="Y1339">
        <f>IF([2]Baskol!$I$1342="","",[2]Baskol!$I$1342)</f>
        <v/>
      </c>
      <c r="Z1339">
        <f>IF([2]Baskol!$J$1342="","",[2]Baskol!$J$1342)</f>
        <v/>
      </c>
      <c r="AA1339">
        <f>IF([2]Baskol!$K$1342="","",[2]Baskol!$K$1342)</f>
        <v/>
      </c>
      <c r="AB1339">
        <f>IF([2]Baskol!$L$1342="","",[2]Baskol!$L$1342)</f>
        <v/>
      </c>
      <c r="AC1339">
        <f>IF([2]Baskol!$N$1342="","",[2]Baskol!$N$1342)</f>
        <v/>
      </c>
      <c r="AD1339">
        <f>IF([2]Baskol!$O$1342="","",[2]Baskol!$O$1342)</f>
        <v/>
      </c>
      <c r="AE1339">
        <f>IF([3]Entry!$C$1342="","",[3]Entry!$C$1342)</f>
        <v/>
      </c>
      <c r="AF1339">
        <f>IF([3]Entry!$D$1342="","",[3]Entry!$D$1342)</f>
        <v/>
      </c>
      <c r="AG1339">
        <f>IF([3]Entry!$E$1342="","",[3]Entry!$E$1342)</f>
        <v/>
      </c>
      <c r="AH1339">
        <f>IF([3]Entry!$G$1342="","",[3]Entry!$G$1342)</f>
        <v/>
      </c>
      <c r="AI1339">
        <f>IF([3]Entry!$K$1342="","",[3]Entry!$K$1342)</f>
        <v/>
      </c>
      <c r="AJ1339">
        <f>IF([3]Entry!$L$1342="","",[3]Entry!$L$1342)</f>
        <v/>
      </c>
      <c r="AK1339">
        <f>IF([3]Entry!$M$1342="","",[3]Entry!$M$1342)</f>
        <v/>
      </c>
      <c r="AL1339">
        <f>IF([3]Entry!$N$1342="","",[3]Entry!$N$1342)</f>
        <v/>
      </c>
      <c r="AM1339">
        <f>IF([3]Entry!$R$1342="","",[3]Entry!$R$1342)</f>
        <v/>
      </c>
    </row>
    <row r="1340">
      <c r="T1340">
        <f>IF([2]Baskol!$B$1343="","",[2]Baskol!$B$1343)</f>
        <v/>
      </c>
      <c r="U1340">
        <f>IF([2]Baskol!$C$1343="","",[2]Baskol!$C$1343)</f>
        <v/>
      </c>
      <c r="V1340">
        <f>IF([2]Baskol!$D$1343="","",[2]Baskol!$D$1343)</f>
        <v/>
      </c>
      <c r="W1340">
        <f>IF([2]Baskol!$E$1343="","",[2]Baskol!$E$1343)</f>
        <v/>
      </c>
      <c r="X1340">
        <f>IF([2]Baskol!$G$1343="","",[2]Baskol!$G$1343)</f>
        <v/>
      </c>
      <c r="Y1340">
        <f>IF([2]Baskol!$I$1343="","",[2]Baskol!$I$1343)</f>
        <v/>
      </c>
      <c r="Z1340">
        <f>IF([2]Baskol!$J$1343="","",[2]Baskol!$J$1343)</f>
        <v/>
      </c>
      <c r="AA1340">
        <f>IF([2]Baskol!$K$1343="","",[2]Baskol!$K$1343)</f>
        <v/>
      </c>
      <c r="AB1340">
        <f>IF([2]Baskol!$L$1343="","",[2]Baskol!$L$1343)</f>
        <v/>
      </c>
      <c r="AC1340">
        <f>IF([2]Baskol!$N$1343="","",[2]Baskol!$N$1343)</f>
        <v/>
      </c>
      <c r="AD1340">
        <f>IF([2]Baskol!$O$1343="","",[2]Baskol!$O$1343)</f>
        <v/>
      </c>
      <c r="AE1340">
        <f>IF([3]Entry!$C$1343="","",[3]Entry!$C$1343)</f>
        <v/>
      </c>
      <c r="AF1340">
        <f>IF([3]Entry!$D$1343="","",[3]Entry!$D$1343)</f>
        <v/>
      </c>
      <c r="AG1340">
        <f>IF([3]Entry!$E$1343="","",[3]Entry!$E$1343)</f>
        <v/>
      </c>
      <c r="AH1340">
        <f>IF([3]Entry!$G$1343="","",[3]Entry!$G$1343)</f>
        <v/>
      </c>
      <c r="AI1340">
        <f>IF([3]Entry!$K$1343="","",[3]Entry!$K$1343)</f>
        <v/>
      </c>
      <c r="AJ1340">
        <f>IF([3]Entry!$L$1343="","",[3]Entry!$L$1343)</f>
        <v/>
      </c>
      <c r="AK1340">
        <f>IF([3]Entry!$M$1343="","",[3]Entry!$M$1343)</f>
        <v/>
      </c>
      <c r="AL1340">
        <f>IF([3]Entry!$N$1343="","",[3]Entry!$N$1343)</f>
        <v/>
      </c>
      <c r="AM1340">
        <f>IF([3]Entry!$R$1343="","",[3]Entry!$R$1343)</f>
        <v/>
      </c>
    </row>
    <row r="1341">
      <c r="T1341">
        <f>IF([2]Baskol!$B$1344="","",[2]Baskol!$B$1344)</f>
        <v/>
      </c>
      <c r="U1341">
        <f>IF([2]Baskol!$C$1344="","",[2]Baskol!$C$1344)</f>
        <v/>
      </c>
      <c r="V1341">
        <f>IF([2]Baskol!$D$1344="","",[2]Baskol!$D$1344)</f>
        <v/>
      </c>
      <c r="W1341">
        <f>IF([2]Baskol!$E$1344="","",[2]Baskol!$E$1344)</f>
        <v/>
      </c>
      <c r="X1341">
        <f>IF([2]Baskol!$G$1344="","",[2]Baskol!$G$1344)</f>
        <v/>
      </c>
      <c r="Y1341">
        <f>IF([2]Baskol!$I$1344="","",[2]Baskol!$I$1344)</f>
        <v/>
      </c>
      <c r="Z1341">
        <f>IF([2]Baskol!$J$1344="","",[2]Baskol!$J$1344)</f>
        <v/>
      </c>
      <c r="AA1341">
        <f>IF([2]Baskol!$K$1344="","",[2]Baskol!$K$1344)</f>
        <v/>
      </c>
      <c r="AB1341">
        <f>IF([2]Baskol!$L$1344="","",[2]Baskol!$L$1344)</f>
        <v/>
      </c>
      <c r="AC1341">
        <f>IF([2]Baskol!$N$1344="","",[2]Baskol!$N$1344)</f>
        <v/>
      </c>
      <c r="AD1341">
        <f>IF([2]Baskol!$O$1344="","",[2]Baskol!$O$1344)</f>
        <v/>
      </c>
      <c r="AE1341">
        <f>IF([3]Entry!$C$1344="","",[3]Entry!$C$1344)</f>
        <v/>
      </c>
      <c r="AF1341">
        <f>IF([3]Entry!$D$1344="","",[3]Entry!$D$1344)</f>
        <v/>
      </c>
      <c r="AG1341">
        <f>IF([3]Entry!$E$1344="","",[3]Entry!$E$1344)</f>
        <v/>
      </c>
      <c r="AH1341">
        <f>IF([3]Entry!$G$1344="","",[3]Entry!$G$1344)</f>
        <v/>
      </c>
      <c r="AI1341">
        <f>IF([3]Entry!$K$1344="","",[3]Entry!$K$1344)</f>
        <v/>
      </c>
      <c r="AJ1341">
        <f>IF([3]Entry!$L$1344="","",[3]Entry!$L$1344)</f>
        <v/>
      </c>
      <c r="AK1341">
        <f>IF([3]Entry!$M$1344="","",[3]Entry!$M$1344)</f>
        <v/>
      </c>
      <c r="AL1341">
        <f>IF([3]Entry!$N$1344="","",[3]Entry!$N$1344)</f>
        <v/>
      </c>
      <c r="AM1341">
        <f>IF([3]Entry!$R$1344="","",[3]Entry!$R$1344)</f>
        <v/>
      </c>
    </row>
    <row r="1342">
      <c r="T1342">
        <f>IF([2]Baskol!$B$1345="","",[2]Baskol!$B$1345)</f>
        <v/>
      </c>
      <c r="U1342">
        <f>IF([2]Baskol!$C$1345="","",[2]Baskol!$C$1345)</f>
        <v/>
      </c>
      <c r="V1342">
        <f>IF([2]Baskol!$D$1345="","",[2]Baskol!$D$1345)</f>
        <v/>
      </c>
      <c r="W1342">
        <f>IF([2]Baskol!$E$1345="","",[2]Baskol!$E$1345)</f>
        <v/>
      </c>
      <c r="X1342">
        <f>IF([2]Baskol!$G$1345="","",[2]Baskol!$G$1345)</f>
        <v/>
      </c>
      <c r="Y1342">
        <f>IF([2]Baskol!$I$1345="","",[2]Baskol!$I$1345)</f>
        <v/>
      </c>
      <c r="Z1342">
        <f>IF([2]Baskol!$J$1345="","",[2]Baskol!$J$1345)</f>
        <v/>
      </c>
      <c r="AA1342">
        <f>IF([2]Baskol!$K$1345="","",[2]Baskol!$K$1345)</f>
        <v/>
      </c>
      <c r="AB1342">
        <f>IF([2]Baskol!$L$1345="","",[2]Baskol!$L$1345)</f>
        <v/>
      </c>
      <c r="AC1342">
        <f>IF([2]Baskol!$N$1345="","",[2]Baskol!$N$1345)</f>
        <v/>
      </c>
      <c r="AD1342">
        <f>IF([2]Baskol!$O$1345="","",[2]Baskol!$O$1345)</f>
        <v/>
      </c>
      <c r="AE1342">
        <f>IF([3]Entry!$C$1345="","",[3]Entry!$C$1345)</f>
        <v/>
      </c>
      <c r="AF1342">
        <f>IF([3]Entry!$D$1345="","",[3]Entry!$D$1345)</f>
        <v/>
      </c>
      <c r="AG1342">
        <f>IF([3]Entry!$E$1345="","",[3]Entry!$E$1345)</f>
        <v/>
      </c>
      <c r="AH1342">
        <f>IF([3]Entry!$G$1345="","",[3]Entry!$G$1345)</f>
        <v/>
      </c>
      <c r="AI1342">
        <f>IF([3]Entry!$K$1345="","",[3]Entry!$K$1345)</f>
        <v/>
      </c>
      <c r="AJ1342">
        <f>IF([3]Entry!$L$1345="","",[3]Entry!$L$1345)</f>
        <v/>
      </c>
      <c r="AK1342">
        <f>IF([3]Entry!$M$1345="","",[3]Entry!$M$1345)</f>
        <v/>
      </c>
      <c r="AL1342">
        <f>IF([3]Entry!$N$1345="","",[3]Entry!$N$1345)</f>
        <v/>
      </c>
      <c r="AM1342">
        <f>IF([3]Entry!$R$1345="","",[3]Entry!$R$1345)</f>
        <v/>
      </c>
    </row>
    <row r="1343">
      <c r="T1343">
        <f>IF([2]Baskol!$B$1346="","",[2]Baskol!$B$1346)</f>
        <v/>
      </c>
      <c r="U1343">
        <f>IF([2]Baskol!$C$1346="","",[2]Baskol!$C$1346)</f>
        <v/>
      </c>
      <c r="V1343">
        <f>IF([2]Baskol!$D$1346="","",[2]Baskol!$D$1346)</f>
        <v/>
      </c>
      <c r="W1343">
        <f>IF([2]Baskol!$E$1346="","",[2]Baskol!$E$1346)</f>
        <v/>
      </c>
      <c r="X1343">
        <f>IF([2]Baskol!$G$1346="","",[2]Baskol!$G$1346)</f>
        <v/>
      </c>
      <c r="Y1343">
        <f>IF([2]Baskol!$I$1346="","",[2]Baskol!$I$1346)</f>
        <v/>
      </c>
      <c r="Z1343">
        <f>IF([2]Baskol!$J$1346="","",[2]Baskol!$J$1346)</f>
        <v/>
      </c>
      <c r="AA1343">
        <f>IF([2]Baskol!$K$1346="","",[2]Baskol!$K$1346)</f>
        <v/>
      </c>
      <c r="AB1343">
        <f>IF([2]Baskol!$L$1346="","",[2]Baskol!$L$1346)</f>
        <v/>
      </c>
      <c r="AC1343">
        <f>IF([2]Baskol!$N$1346="","",[2]Baskol!$N$1346)</f>
        <v/>
      </c>
      <c r="AD1343">
        <f>IF([2]Baskol!$O$1346="","",[2]Baskol!$O$1346)</f>
        <v/>
      </c>
      <c r="AE1343">
        <f>IF([3]Entry!$C$1346="","",[3]Entry!$C$1346)</f>
        <v/>
      </c>
      <c r="AF1343">
        <f>IF([3]Entry!$D$1346="","",[3]Entry!$D$1346)</f>
        <v/>
      </c>
      <c r="AG1343">
        <f>IF([3]Entry!$E$1346="","",[3]Entry!$E$1346)</f>
        <v/>
      </c>
      <c r="AH1343">
        <f>IF([3]Entry!$G$1346="","",[3]Entry!$G$1346)</f>
        <v/>
      </c>
      <c r="AI1343">
        <f>IF([3]Entry!$K$1346="","",[3]Entry!$K$1346)</f>
        <v/>
      </c>
      <c r="AJ1343">
        <f>IF([3]Entry!$L$1346="","",[3]Entry!$L$1346)</f>
        <v/>
      </c>
      <c r="AK1343">
        <f>IF([3]Entry!$M$1346="","",[3]Entry!$M$1346)</f>
        <v/>
      </c>
      <c r="AL1343">
        <f>IF([3]Entry!$N$1346="","",[3]Entry!$N$1346)</f>
        <v/>
      </c>
      <c r="AM1343">
        <f>IF([3]Entry!$R$1346="","",[3]Entry!$R$1346)</f>
        <v/>
      </c>
    </row>
    <row r="1344">
      <c r="T1344">
        <f>IF([2]Baskol!$B$1347="","",[2]Baskol!$B$1347)</f>
        <v/>
      </c>
      <c r="U1344">
        <f>IF([2]Baskol!$C$1347="","",[2]Baskol!$C$1347)</f>
        <v/>
      </c>
      <c r="V1344">
        <f>IF([2]Baskol!$D$1347="","",[2]Baskol!$D$1347)</f>
        <v/>
      </c>
      <c r="W1344">
        <f>IF([2]Baskol!$E$1347="","",[2]Baskol!$E$1347)</f>
        <v/>
      </c>
      <c r="X1344">
        <f>IF([2]Baskol!$G$1347="","",[2]Baskol!$G$1347)</f>
        <v/>
      </c>
      <c r="Y1344">
        <f>IF([2]Baskol!$I$1347="","",[2]Baskol!$I$1347)</f>
        <v/>
      </c>
      <c r="Z1344">
        <f>IF([2]Baskol!$J$1347="","",[2]Baskol!$J$1347)</f>
        <v/>
      </c>
      <c r="AA1344">
        <f>IF([2]Baskol!$K$1347="","",[2]Baskol!$K$1347)</f>
        <v/>
      </c>
      <c r="AB1344">
        <f>IF([2]Baskol!$L$1347="","",[2]Baskol!$L$1347)</f>
        <v/>
      </c>
      <c r="AC1344">
        <f>IF([2]Baskol!$N$1347="","",[2]Baskol!$N$1347)</f>
        <v/>
      </c>
      <c r="AD1344">
        <f>IF([2]Baskol!$O$1347="","",[2]Baskol!$O$1347)</f>
        <v/>
      </c>
      <c r="AE1344">
        <f>IF([3]Entry!$C$1347="","",[3]Entry!$C$1347)</f>
        <v/>
      </c>
      <c r="AF1344">
        <f>IF([3]Entry!$D$1347="","",[3]Entry!$D$1347)</f>
        <v/>
      </c>
      <c r="AG1344">
        <f>IF([3]Entry!$E$1347="","",[3]Entry!$E$1347)</f>
        <v/>
      </c>
      <c r="AH1344">
        <f>IF([3]Entry!$G$1347="","",[3]Entry!$G$1347)</f>
        <v/>
      </c>
      <c r="AI1344">
        <f>IF([3]Entry!$K$1347="","",[3]Entry!$K$1347)</f>
        <v/>
      </c>
      <c r="AJ1344">
        <f>IF([3]Entry!$L$1347="","",[3]Entry!$L$1347)</f>
        <v/>
      </c>
      <c r="AK1344">
        <f>IF([3]Entry!$M$1347="","",[3]Entry!$M$1347)</f>
        <v/>
      </c>
      <c r="AL1344">
        <f>IF([3]Entry!$N$1347="","",[3]Entry!$N$1347)</f>
        <v/>
      </c>
      <c r="AM1344">
        <f>IF([3]Entry!$R$1347="","",[3]Entry!$R$1347)</f>
        <v/>
      </c>
    </row>
    <row r="1345">
      <c r="T1345">
        <f>IF([2]Baskol!$B$1348="","",[2]Baskol!$B$1348)</f>
        <v/>
      </c>
      <c r="U1345">
        <f>IF([2]Baskol!$C$1348="","",[2]Baskol!$C$1348)</f>
        <v/>
      </c>
      <c r="V1345">
        <f>IF([2]Baskol!$D$1348="","",[2]Baskol!$D$1348)</f>
        <v/>
      </c>
      <c r="W1345">
        <f>IF([2]Baskol!$E$1348="","",[2]Baskol!$E$1348)</f>
        <v/>
      </c>
      <c r="X1345">
        <f>IF([2]Baskol!$G$1348="","",[2]Baskol!$G$1348)</f>
        <v/>
      </c>
      <c r="Y1345">
        <f>IF([2]Baskol!$I$1348="","",[2]Baskol!$I$1348)</f>
        <v/>
      </c>
      <c r="Z1345">
        <f>IF([2]Baskol!$J$1348="","",[2]Baskol!$J$1348)</f>
        <v/>
      </c>
      <c r="AA1345">
        <f>IF([2]Baskol!$K$1348="","",[2]Baskol!$K$1348)</f>
        <v/>
      </c>
      <c r="AB1345">
        <f>IF([2]Baskol!$L$1348="","",[2]Baskol!$L$1348)</f>
        <v/>
      </c>
      <c r="AC1345">
        <f>IF([2]Baskol!$N$1348="","",[2]Baskol!$N$1348)</f>
        <v/>
      </c>
      <c r="AD1345">
        <f>IF([2]Baskol!$O$1348="","",[2]Baskol!$O$1348)</f>
        <v/>
      </c>
      <c r="AE1345">
        <f>IF([3]Entry!$C$1348="","",[3]Entry!$C$1348)</f>
        <v/>
      </c>
      <c r="AF1345">
        <f>IF([3]Entry!$D$1348="","",[3]Entry!$D$1348)</f>
        <v/>
      </c>
      <c r="AG1345">
        <f>IF([3]Entry!$E$1348="","",[3]Entry!$E$1348)</f>
        <v/>
      </c>
      <c r="AH1345">
        <f>IF([3]Entry!$G$1348="","",[3]Entry!$G$1348)</f>
        <v/>
      </c>
      <c r="AI1345">
        <f>IF([3]Entry!$K$1348="","",[3]Entry!$K$1348)</f>
        <v/>
      </c>
      <c r="AJ1345">
        <f>IF([3]Entry!$L$1348="","",[3]Entry!$L$1348)</f>
        <v/>
      </c>
      <c r="AK1345">
        <f>IF([3]Entry!$M$1348="","",[3]Entry!$M$1348)</f>
        <v/>
      </c>
      <c r="AL1345">
        <f>IF([3]Entry!$N$1348="","",[3]Entry!$N$1348)</f>
        <v/>
      </c>
      <c r="AM1345">
        <f>IF([3]Entry!$R$1348="","",[3]Entry!$R$1348)</f>
        <v/>
      </c>
    </row>
    <row r="1346">
      <c r="T1346">
        <f>IF([2]Baskol!$B$1349="","",[2]Baskol!$B$1349)</f>
        <v/>
      </c>
      <c r="U1346">
        <f>IF([2]Baskol!$C$1349="","",[2]Baskol!$C$1349)</f>
        <v/>
      </c>
      <c r="V1346">
        <f>IF([2]Baskol!$D$1349="","",[2]Baskol!$D$1349)</f>
        <v/>
      </c>
      <c r="W1346">
        <f>IF([2]Baskol!$E$1349="","",[2]Baskol!$E$1349)</f>
        <v/>
      </c>
      <c r="X1346">
        <f>IF([2]Baskol!$G$1349="","",[2]Baskol!$G$1349)</f>
        <v/>
      </c>
      <c r="Y1346">
        <f>IF([2]Baskol!$I$1349="","",[2]Baskol!$I$1349)</f>
        <v/>
      </c>
      <c r="Z1346">
        <f>IF([2]Baskol!$J$1349="","",[2]Baskol!$J$1349)</f>
        <v/>
      </c>
      <c r="AA1346">
        <f>IF([2]Baskol!$K$1349="","",[2]Baskol!$K$1349)</f>
        <v/>
      </c>
      <c r="AB1346">
        <f>IF([2]Baskol!$L$1349="","",[2]Baskol!$L$1349)</f>
        <v/>
      </c>
      <c r="AC1346">
        <f>IF([2]Baskol!$N$1349="","",[2]Baskol!$N$1349)</f>
        <v/>
      </c>
      <c r="AD1346">
        <f>IF([2]Baskol!$O$1349="","",[2]Baskol!$O$1349)</f>
        <v/>
      </c>
      <c r="AE1346">
        <f>IF([3]Entry!$C$1349="","",[3]Entry!$C$1349)</f>
        <v/>
      </c>
      <c r="AF1346">
        <f>IF([3]Entry!$D$1349="","",[3]Entry!$D$1349)</f>
        <v/>
      </c>
      <c r="AG1346">
        <f>IF([3]Entry!$E$1349="","",[3]Entry!$E$1349)</f>
        <v/>
      </c>
      <c r="AH1346">
        <f>IF([3]Entry!$G$1349="","",[3]Entry!$G$1349)</f>
        <v/>
      </c>
      <c r="AI1346">
        <f>IF([3]Entry!$K$1349="","",[3]Entry!$K$1349)</f>
        <v/>
      </c>
      <c r="AJ1346">
        <f>IF([3]Entry!$L$1349="","",[3]Entry!$L$1349)</f>
        <v/>
      </c>
      <c r="AK1346">
        <f>IF([3]Entry!$M$1349="","",[3]Entry!$M$1349)</f>
        <v/>
      </c>
      <c r="AL1346">
        <f>IF([3]Entry!$N$1349="","",[3]Entry!$N$1349)</f>
        <v/>
      </c>
      <c r="AM1346">
        <f>IF([3]Entry!$R$1349="","",[3]Entry!$R$1349)</f>
        <v/>
      </c>
    </row>
    <row r="1347">
      <c r="T1347">
        <f>IF([2]Baskol!$B$1350="","",[2]Baskol!$B$1350)</f>
        <v/>
      </c>
      <c r="U1347">
        <f>IF([2]Baskol!$C$1350="","",[2]Baskol!$C$1350)</f>
        <v/>
      </c>
      <c r="V1347">
        <f>IF([2]Baskol!$D$1350="","",[2]Baskol!$D$1350)</f>
        <v/>
      </c>
      <c r="W1347">
        <f>IF([2]Baskol!$E$1350="","",[2]Baskol!$E$1350)</f>
        <v/>
      </c>
      <c r="X1347">
        <f>IF([2]Baskol!$G$1350="","",[2]Baskol!$G$1350)</f>
        <v/>
      </c>
      <c r="Y1347">
        <f>IF([2]Baskol!$I$1350="","",[2]Baskol!$I$1350)</f>
        <v/>
      </c>
      <c r="Z1347">
        <f>IF([2]Baskol!$J$1350="","",[2]Baskol!$J$1350)</f>
        <v/>
      </c>
      <c r="AA1347">
        <f>IF([2]Baskol!$K$1350="","",[2]Baskol!$K$1350)</f>
        <v/>
      </c>
      <c r="AB1347">
        <f>IF([2]Baskol!$L$1350="","",[2]Baskol!$L$1350)</f>
        <v/>
      </c>
      <c r="AC1347">
        <f>IF([2]Baskol!$N$1350="","",[2]Baskol!$N$1350)</f>
        <v/>
      </c>
      <c r="AD1347">
        <f>IF([2]Baskol!$O$1350="","",[2]Baskol!$O$1350)</f>
        <v/>
      </c>
      <c r="AE1347">
        <f>IF([3]Entry!$C$1350="","",[3]Entry!$C$1350)</f>
        <v/>
      </c>
      <c r="AF1347">
        <f>IF([3]Entry!$D$1350="","",[3]Entry!$D$1350)</f>
        <v/>
      </c>
      <c r="AG1347">
        <f>IF([3]Entry!$E$1350="","",[3]Entry!$E$1350)</f>
        <v/>
      </c>
      <c r="AH1347">
        <f>IF([3]Entry!$G$1350="","",[3]Entry!$G$1350)</f>
        <v/>
      </c>
      <c r="AI1347">
        <f>IF([3]Entry!$K$1350="","",[3]Entry!$K$1350)</f>
        <v/>
      </c>
      <c r="AJ1347">
        <f>IF([3]Entry!$L$1350="","",[3]Entry!$L$1350)</f>
        <v/>
      </c>
      <c r="AK1347">
        <f>IF([3]Entry!$M$1350="","",[3]Entry!$M$1350)</f>
        <v/>
      </c>
      <c r="AL1347">
        <f>IF([3]Entry!$N$1350="","",[3]Entry!$N$1350)</f>
        <v/>
      </c>
      <c r="AM1347">
        <f>IF([3]Entry!$R$1350="","",[3]Entry!$R$1350)</f>
        <v/>
      </c>
    </row>
    <row r="1348">
      <c r="T1348">
        <f>IF([2]Baskol!$B$1351="","",[2]Baskol!$B$1351)</f>
        <v/>
      </c>
      <c r="U1348">
        <f>IF([2]Baskol!$C$1351="","",[2]Baskol!$C$1351)</f>
        <v/>
      </c>
      <c r="V1348">
        <f>IF([2]Baskol!$D$1351="","",[2]Baskol!$D$1351)</f>
        <v/>
      </c>
      <c r="W1348">
        <f>IF([2]Baskol!$E$1351="","",[2]Baskol!$E$1351)</f>
        <v/>
      </c>
      <c r="X1348">
        <f>IF([2]Baskol!$G$1351="","",[2]Baskol!$G$1351)</f>
        <v/>
      </c>
      <c r="Y1348">
        <f>IF([2]Baskol!$I$1351="","",[2]Baskol!$I$1351)</f>
        <v/>
      </c>
      <c r="Z1348">
        <f>IF([2]Baskol!$J$1351="","",[2]Baskol!$J$1351)</f>
        <v/>
      </c>
      <c r="AA1348">
        <f>IF([2]Baskol!$K$1351="","",[2]Baskol!$K$1351)</f>
        <v/>
      </c>
      <c r="AB1348">
        <f>IF([2]Baskol!$L$1351="","",[2]Baskol!$L$1351)</f>
        <v/>
      </c>
      <c r="AC1348">
        <f>IF([2]Baskol!$N$1351="","",[2]Baskol!$N$1351)</f>
        <v/>
      </c>
      <c r="AD1348">
        <f>IF([2]Baskol!$O$1351="","",[2]Baskol!$O$1351)</f>
        <v/>
      </c>
      <c r="AE1348">
        <f>IF([3]Entry!$C$1351="","",[3]Entry!$C$1351)</f>
        <v/>
      </c>
      <c r="AF1348">
        <f>IF([3]Entry!$D$1351="","",[3]Entry!$D$1351)</f>
        <v/>
      </c>
      <c r="AG1348">
        <f>IF([3]Entry!$E$1351="","",[3]Entry!$E$1351)</f>
        <v/>
      </c>
      <c r="AH1348">
        <f>IF([3]Entry!$G$1351="","",[3]Entry!$G$1351)</f>
        <v/>
      </c>
      <c r="AI1348">
        <f>IF([3]Entry!$K$1351="","",[3]Entry!$K$1351)</f>
        <v/>
      </c>
      <c r="AJ1348">
        <f>IF([3]Entry!$L$1351="","",[3]Entry!$L$1351)</f>
        <v/>
      </c>
      <c r="AK1348">
        <f>IF([3]Entry!$M$1351="","",[3]Entry!$M$1351)</f>
        <v/>
      </c>
      <c r="AL1348">
        <f>IF([3]Entry!$N$1351="","",[3]Entry!$N$1351)</f>
        <v/>
      </c>
      <c r="AM1348">
        <f>IF([3]Entry!$R$1351="","",[3]Entry!$R$1351)</f>
        <v/>
      </c>
    </row>
    <row r="1349">
      <c r="T1349">
        <f>IF([2]Baskol!$B$1352="","",[2]Baskol!$B$1352)</f>
        <v/>
      </c>
      <c r="U1349">
        <f>IF([2]Baskol!$C$1352="","",[2]Baskol!$C$1352)</f>
        <v/>
      </c>
      <c r="V1349">
        <f>IF([2]Baskol!$D$1352="","",[2]Baskol!$D$1352)</f>
        <v/>
      </c>
      <c r="W1349">
        <f>IF([2]Baskol!$E$1352="","",[2]Baskol!$E$1352)</f>
        <v/>
      </c>
      <c r="X1349">
        <f>IF([2]Baskol!$G$1352="","",[2]Baskol!$G$1352)</f>
        <v/>
      </c>
      <c r="Y1349">
        <f>IF([2]Baskol!$I$1352="","",[2]Baskol!$I$1352)</f>
        <v/>
      </c>
      <c r="Z1349">
        <f>IF([2]Baskol!$J$1352="","",[2]Baskol!$J$1352)</f>
        <v/>
      </c>
      <c r="AA1349">
        <f>IF([2]Baskol!$K$1352="","",[2]Baskol!$K$1352)</f>
        <v/>
      </c>
      <c r="AB1349">
        <f>IF([2]Baskol!$L$1352="","",[2]Baskol!$L$1352)</f>
        <v/>
      </c>
      <c r="AC1349">
        <f>IF([2]Baskol!$N$1352="","",[2]Baskol!$N$1352)</f>
        <v/>
      </c>
      <c r="AD1349">
        <f>IF([2]Baskol!$O$1352="","",[2]Baskol!$O$1352)</f>
        <v/>
      </c>
      <c r="AE1349">
        <f>IF([3]Entry!$C$1352="","",[3]Entry!$C$1352)</f>
        <v/>
      </c>
      <c r="AF1349">
        <f>IF([3]Entry!$D$1352="","",[3]Entry!$D$1352)</f>
        <v/>
      </c>
      <c r="AG1349">
        <f>IF([3]Entry!$E$1352="","",[3]Entry!$E$1352)</f>
        <v/>
      </c>
      <c r="AH1349">
        <f>IF([3]Entry!$G$1352="","",[3]Entry!$G$1352)</f>
        <v/>
      </c>
      <c r="AI1349">
        <f>IF([3]Entry!$K$1352="","",[3]Entry!$K$1352)</f>
        <v/>
      </c>
      <c r="AJ1349">
        <f>IF([3]Entry!$L$1352="","",[3]Entry!$L$1352)</f>
        <v/>
      </c>
      <c r="AK1349">
        <f>IF([3]Entry!$M$1352="","",[3]Entry!$M$1352)</f>
        <v/>
      </c>
      <c r="AL1349">
        <f>IF([3]Entry!$N$1352="","",[3]Entry!$N$1352)</f>
        <v/>
      </c>
      <c r="AM1349">
        <f>IF([3]Entry!$R$1352="","",[3]Entry!$R$1352)</f>
        <v/>
      </c>
    </row>
    <row r="1350">
      <c r="T1350">
        <f>IF([2]Baskol!$B$1353="","",[2]Baskol!$B$1353)</f>
        <v/>
      </c>
      <c r="U1350">
        <f>IF([2]Baskol!$C$1353="","",[2]Baskol!$C$1353)</f>
        <v/>
      </c>
      <c r="V1350">
        <f>IF([2]Baskol!$D$1353="","",[2]Baskol!$D$1353)</f>
        <v/>
      </c>
      <c r="W1350">
        <f>IF([2]Baskol!$E$1353="","",[2]Baskol!$E$1353)</f>
        <v/>
      </c>
      <c r="X1350">
        <f>IF([2]Baskol!$G$1353="","",[2]Baskol!$G$1353)</f>
        <v/>
      </c>
      <c r="Y1350">
        <f>IF([2]Baskol!$I$1353="","",[2]Baskol!$I$1353)</f>
        <v/>
      </c>
      <c r="Z1350">
        <f>IF([2]Baskol!$J$1353="","",[2]Baskol!$J$1353)</f>
        <v/>
      </c>
      <c r="AA1350">
        <f>IF([2]Baskol!$K$1353="","",[2]Baskol!$K$1353)</f>
        <v/>
      </c>
      <c r="AB1350">
        <f>IF([2]Baskol!$L$1353="","",[2]Baskol!$L$1353)</f>
        <v/>
      </c>
      <c r="AC1350">
        <f>IF([2]Baskol!$N$1353="","",[2]Baskol!$N$1353)</f>
        <v/>
      </c>
      <c r="AD1350">
        <f>IF([2]Baskol!$O$1353="","",[2]Baskol!$O$1353)</f>
        <v/>
      </c>
      <c r="AE1350">
        <f>IF([3]Entry!$C$1353="","",[3]Entry!$C$1353)</f>
        <v/>
      </c>
      <c r="AF1350">
        <f>IF([3]Entry!$D$1353="","",[3]Entry!$D$1353)</f>
        <v/>
      </c>
      <c r="AG1350">
        <f>IF([3]Entry!$E$1353="","",[3]Entry!$E$1353)</f>
        <v/>
      </c>
      <c r="AH1350">
        <f>IF([3]Entry!$G$1353="","",[3]Entry!$G$1353)</f>
        <v/>
      </c>
      <c r="AI1350">
        <f>IF([3]Entry!$K$1353="","",[3]Entry!$K$1353)</f>
        <v/>
      </c>
      <c r="AJ1350">
        <f>IF([3]Entry!$L$1353="","",[3]Entry!$L$1353)</f>
        <v/>
      </c>
      <c r="AK1350">
        <f>IF([3]Entry!$M$1353="","",[3]Entry!$M$1353)</f>
        <v/>
      </c>
      <c r="AL1350">
        <f>IF([3]Entry!$N$1353="","",[3]Entry!$N$1353)</f>
        <v/>
      </c>
      <c r="AM1350">
        <f>IF([3]Entry!$R$1353="","",[3]Entry!$R$1353)</f>
        <v/>
      </c>
    </row>
    <row r="1351">
      <c r="T1351">
        <f>IF([2]Baskol!$B$1354="","",[2]Baskol!$B$1354)</f>
        <v/>
      </c>
      <c r="U1351">
        <f>IF([2]Baskol!$C$1354="","",[2]Baskol!$C$1354)</f>
        <v/>
      </c>
      <c r="V1351">
        <f>IF([2]Baskol!$D$1354="","",[2]Baskol!$D$1354)</f>
        <v/>
      </c>
      <c r="W1351">
        <f>IF([2]Baskol!$E$1354="","",[2]Baskol!$E$1354)</f>
        <v/>
      </c>
      <c r="X1351">
        <f>IF([2]Baskol!$G$1354="","",[2]Baskol!$G$1354)</f>
        <v/>
      </c>
      <c r="Y1351">
        <f>IF([2]Baskol!$I$1354="","",[2]Baskol!$I$1354)</f>
        <v/>
      </c>
      <c r="Z1351">
        <f>IF([2]Baskol!$J$1354="","",[2]Baskol!$J$1354)</f>
        <v/>
      </c>
      <c r="AA1351">
        <f>IF([2]Baskol!$K$1354="","",[2]Baskol!$K$1354)</f>
        <v/>
      </c>
      <c r="AB1351">
        <f>IF([2]Baskol!$L$1354="","",[2]Baskol!$L$1354)</f>
        <v/>
      </c>
      <c r="AC1351">
        <f>IF([2]Baskol!$N$1354="","",[2]Baskol!$N$1354)</f>
        <v/>
      </c>
      <c r="AD1351">
        <f>IF([2]Baskol!$O$1354="","",[2]Baskol!$O$1354)</f>
        <v/>
      </c>
      <c r="AE1351">
        <f>IF([3]Entry!$C$1354="","",[3]Entry!$C$1354)</f>
        <v/>
      </c>
      <c r="AF1351">
        <f>IF([3]Entry!$D$1354="","",[3]Entry!$D$1354)</f>
        <v/>
      </c>
      <c r="AG1351">
        <f>IF([3]Entry!$E$1354="","",[3]Entry!$E$1354)</f>
        <v/>
      </c>
      <c r="AH1351">
        <f>IF([3]Entry!$G$1354="","",[3]Entry!$G$1354)</f>
        <v/>
      </c>
      <c r="AI1351">
        <f>IF([3]Entry!$K$1354="","",[3]Entry!$K$1354)</f>
        <v/>
      </c>
      <c r="AJ1351">
        <f>IF([3]Entry!$L$1354="","",[3]Entry!$L$1354)</f>
        <v/>
      </c>
      <c r="AK1351">
        <f>IF([3]Entry!$M$1354="","",[3]Entry!$M$1354)</f>
        <v/>
      </c>
      <c r="AL1351">
        <f>IF([3]Entry!$N$1354="","",[3]Entry!$N$1354)</f>
        <v/>
      </c>
      <c r="AM1351">
        <f>IF([3]Entry!$R$1354="","",[3]Entry!$R$1354)</f>
        <v/>
      </c>
    </row>
    <row r="1352">
      <c r="T1352">
        <f>IF([2]Baskol!$B$1355="","",[2]Baskol!$B$1355)</f>
        <v/>
      </c>
      <c r="U1352">
        <f>IF([2]Baskol!$C$1355="","",[2]Baskol!$C$1355)</f>
        <v/>
      </c>
      <c r="V1352">
        <f>IF([2]Baskol!$D$1355="","",[2]Baskol!$D$1355)</f>
        <v/>
      </c>
      <c r="W1352">
        <f>IF([2]Baskol!$E$1355="","",[2]Baskol!$E$1355)</f>
        <v/>
      </c>
      <c r="X1352">
        <f>IF([2]Baskol!$G$1355="","",[2]Baskol!$G$1355)</f>
        <v/>
      </c>
      <c r="Y1352">
        <f>IF([2]Baskol!$I$1355="","",[2]Baskol!$I$1355)</f>
        <v/>
      </c>
      <c r="Z1352">
        <f>IF([2]Baskol!$J$1355="","",[2]Baskol!$J$1355)</f>
        <v/>
      </c>
      <c r="AA1352">
        <f>IF([2]Baskol!$K$1355="","",[2]Baskol!$K$1355)</f>
        <v/>
      </c>
      <c r="AB1352">
        <f>IF([2]Baskol!$L$1355="","",[2]Baskol!$L$1355)</f>
        <v/>
      </c>
      <c r="AC1352">
        <f>IF([2]Baskol!$N$1355="","",[2]Baskol!$N$1355)</f>
        <v/>
      </c>
      <c r="AD1352">
        <f>IF([2]Baskol!$O$1355="","",[2]Baskol!$O$1355)</f>
        <v/>
      </c>
      <c r="AE1352">
        <f>IF([3]Entry!$C$1355="","",[3]Entry!$C$1355)</f>
        <v/>
      </c>
      <c r="AF1352">
        <f>IF([3]Entry!$D$1355="","",[3]Entry!$D$1355)</f>
        <v/>
      </c>
      <c r="AG1352">
        <f>IF([3]Entry!$E$1355="","",[3]Entry!$E$1355)</f>
        <v/>
      </c>
      <c r="AH1352">
        <f>IF([3]Entry!$G$1355="","",[3]Entry!$G$1355)</f>
        <v/>
      </c>
      <c r="AI1352">
        <f>IF([3]Entry!$K$1355="","",[3]Entry!$K$1355)</f>
        <v/>
      </c>
      <c r="AJ1352">
        <f>IF([3]Entry!$L$1355="","",[3]Entry!$L$1355)</f>
        <v/>
      </c>
      <c r="AK1352">
        <f>IF([3]Entry!$M$1355="","",[3]Entry!$M$1355)</f>
        <v/>
      </c>
      <c r="AL1352">
        <f>IF([3]Entry!$N$1355="","",[3]Entry!$N$1355)</f>
        <v/>
      </c>
      <c r="AM1352">
        <f>IF([3]Entry!$R$1355="","",[3]Entry!$R$1355)</f>
        <v/>
      </c>
    </row>
    <row r="1353">
      <c r="T1353">
        <f>IF([2]Baskol!$B$1356="","",[2]Baskol!$B$1356)</f>
        <v/>
      </c>
      <c r="U1353">
        <f>IF([2]Baskol!$C$1356="","",[2]Baskol!$C$1356)</f>
        <v/>
      </c>
      <c r="V1353">
        <f>IF([2]Baskol!$D$1356="","",[2]Baskol!$D$1356)</f>
        <v/>
      </c>
      <c r="W1353">
        <f>IF([2]Baskol!$E$1356="","",[2]Baskol!$E$1356)</f>
        <v/>
      </c>
      <c r="X1353">
        <f>IF([2]Baskol!$G$1356="","",[2]Baskol!$G$1356)</f>
        <v/>
      </c>
      <c r="Y1353">
        <f>IF([2]Baskol!$I$1356="","",[2]Baskol!$I$1356)</f>
        <v/>
      </c>
      <c r="Z1353">
        <f>IF([2]Baskol!$J$1356="","",[2]Baskol!$J$1356)</f>
        <v/>
      </c>
      <c r="AA1353">
        <f>IF([2]Baskol!$K$1356="","",[2]Baskol!$K$1356)</f>
        <v/>
      </c>
      <c r="AB1353">
        <f>IF([2]Baskol!$L$1356="","",[2]Baskol!$L$1356)</f>
        <v/>
      </c>
      <c r="AC1353">
        <f>IF([2]Baskol!$N$1356="","",[2]Baskol!$N$1356)</f>
        <v/>
      </c>
      <c r="AD1353">
        <f>IF([2]Baskol!$O$1356="","",[2]Baskol!$O$1356)</f>
        <v/>
      </c>
      <c r="AE1353">
        <f>IF([3]Entry!$C$1356="","",[3]Entry!$C$1356)</f>
        <v/>
      </c>
      <c r="AF1353">
        <f>IF([3]Entry!$D$1356="","",[3]Entry!$D$1356)</f>
        <v/>
      </c>
      <c r="AG1353">
        <f>IF([3]Entry!$E$1356="","",[3]Entry!$E$1356)</f>
        <v/>
      </c>
      <c r="AH1353">
        <f>IF([3]Entry!$G$1356="","",[3]Entry!$G$1356)</f>
        <v/>
      </c>
      <c r="AI1353">
        <f>IF([3]Entry!$K$1356="","",[3]Entry!$K$1356)</f>
        <v/>
      </c>
      <c r="AJ1353">
        <f>IF([3]Entry!$L$1356="","",[3]Entry!$L$1356)</f>
        <v/>
      </c>
      <c r="AK1353">
        <f>IF([3]Entry!$M$1356="","",[3]Entry!$M$1356)</f>
        <v/>
      </c>
      <c r="AL1353">
        <f>IF([3]Entry!$N$1356="","",[3]Entry!$N$1356)</f>
        <v/>
      </c>
      <c r="AM1353">
        <f>IF([3]Entry!$R$1356="","",[3]Entry!$R$1356)</f>
        <v/>
      </c>
    </row>
    <row r="1354">
      <c r="T1354">
        <f>IF([2]Baskol!$B$1357="","",[2]Baskol!$B$1357)</f>
        <v/>
      </c>
      <c r="U1354">
        <f>IF([2]Baskol!$C$1357="","",[2]Baskol!$C$1357)</f>
        <v/>
      </c>
      <c r="V1354">
        <f>IF([2]Baskol!$D$1357="","",[2]Baskol!$D$1357)</f>
        <v/>
      </c>
      <c r="W1354">
        <f>IF([2]Baskol!$E$1357="","",[2]Baskol!$E$1357)</f>
        <v/>
      </c>
      <c r="X1354">
        <f>IF([2]Baskol!$G$1357="","",[2]Baskol!$G$1357)</f>
        <v/>
      </c>
      <c r="Y1354">
        <f>IF([2]Baskol!$I$1357="","",[2]Baskol!$I$1357)</f>
        <v/>
      </c>
      <c r="Z1354">
        <f>IF([2]Baskol!$J$1357="","",[2]Baskol!$J$1357)</f>
        <v/>
      </c>
      <c r="AA1354">
        <f>IF([2]Baskol!$K$1357="","",[2]Baskol!$K$1357)</f>
        <v/>
      </c>
      <c r="AB1354">
        <f>IF([2]Baskol!$L$1357="","",[2]Baskol!$L$1357)</f>
        <v/>
      </c>
      <c r="AC1354">
        <f>IF([2]Baskol!$N$1357="","",[2]Baskol!$N$1357)</f>
        <v/>
      </c>
      <c r="AD1354">
        <f>IF([2]Baskol!$O$1357="","",[2]Baskol!$O$1357)</f>
        <v/>
      </c>
      <c r="AE1354">
        <f>IF([3]Entry!$C$1357="","",[3]Entry!$C$1357)</f>
        <v/>
      </c>
      <c r="AF1354">
        <f>IF([3]Entry!$D$1357="","",[3]Entry!$D$1357)</f>
        <v/>
      </c>
      <c r="AG1354">
        <f>IF([3]Entry!$E$1357="","",[3]Entry!$E$1357)</f>
        <v/>
      </c>
      <c r="AH1354">
        <f>IF([3]Entry!$G$1357="","",[3]Entry!$G$1357)</f>
        <v/>
      </c>
      <c r="AI1354">
        <f>IF([3]Entry!$K$1357="","",[3]Entry!$K$1357)</f>
        <v/>
      </c>
      <c r="AJ1354">
        <f>IF([3]Entry!$L$1357="","",[3]Entry!$L$1357)</f>
        <v/>
      </c>
      <c r="AK1354">
        <f>IF([3]Entry!$M$1357="","",[3]Entry!$M$1357)</f>
        <v/>
      </c>
      <c r="AL1354">
        <f>IF([3]Entry!$N$1357="","",[3]Entry!$N$1357)</f>
        <v/>
      </c>
      <c r="AM1354">
        <f>IF([3]Entry!$R$1357="","",[3]Entry!$R$1357)</f>
        <v/>
      </c>
    </row>
    <row r="1355">
      <c r="T1355">
        <f>IF([2]Baskol!$B$1358="","",[2]Baskol!$B$1358)</f>
        <v/>
      </c>
      <c r="U1355">
        <f>IF([2]Baskol!$C$1358="","",[2]Baskol!$C$1358)</f>
        <v/>
      </c>
      <c r="V1355">
        <f>IF([2]Baskol!$D$1358="","",[2]Baskol!$D$1358)</f>
        <v/>
      </c>
      <c r="W1355">
        <f>IF([2]Baskol!$E$1358="","",[2]Baskol!$E$1358)</f>
        <v/>
      </c>
      <c r="X1355">
        <f>IF([2]Baskol!$G$1358="","",[2]Baskol!$G$1358)</f>
        <v/>
      </c>
      <c r="Y1355">
        <f>IF([2]Baskol!$I$1358="","",[2]Baskol!$I$1358)</f>
        <v/>
      </c>
      <c r="Z1355">
        <f>IF([2]Baskol!$J$1358="","",[2]Baskol!$J$1358)</f>
        <v/>
      </c>
      <c r="AA1355">
        <f>IF([2]Baskol!$K$1358="","",[2]Baskol!$K$1358)</f>
        <v/>
      </c>
      <c r="AB1355">
        <f>IF([2]Baskol!$L$1358="","",[2]Baskol!$L$1358)</f>
        <v/>
      </c>
      <c r="AC1355">
        <f>IF([2]Baskol!$N$1358="","",[2]Baskol!$N$1358)</f>
        <v/>
      </c>
      <c r="AD1355">
        <f>IF([2]Baskol!$O$1358="","",[2]Baskol!$O$1358)</f>
        <v/>
      </c>
      <c r="AE1355">
        <f>IF([3]Entry!$C$1358="","",[3]Entry!$C$1358)</f>
        <v/>
      </c>
      <c r="AF1355">
        <f>IF([3]Entry!$D$1358="","",[3]Entry!$D$1358)</f>
        <v/>
      </c>
      <c r="AG1355">
        <f>IF([3]Entry!$E$1358="","",[3]Entry!$E$1358)</f>
        <v/>
      </c>
      <c r="AH1355">
        <f>IF([3]Entry!$G$1358="","",[3]Entry!$G$1358)</f>
        <v/>
      </c>
      <c r="AI1355">
        <f>IF([3]Entry!$K$1358="","",[3]Entry!$K$1358)</f>
        <v/>
      </c>
      <c r="AJ1355">
        <f>IF([3]Entry!$L$1358="","",[3]Entry!$L$1358)</f>
        <v/>
      </c>
      <c r="AK1355">
        <f>IF([3]Entry!$M$1358="","",[3]Entry!$M$1358)</f>
        <v/>
      </c>
      <c r="AL1355">
        <f>IF([3]Entry!$N$1358="","",[3]Entry!$N$1358)</f>
        <v/>
      </c>
      <c r="AM1355">
        <f>IF([3]Entry!$R$1358="","",[3]Entry!$R$1358)</f>
        <v/>
      </c>
    </row>
    <row r="1356">
      <c r="T1356">
        <f>IF([2]Baskol!$B$1359="","",[2]Baskol!$B$1359)</f>
        <v/>
      </c>
      <c r="U1356">
        <f>IF([2]Baskol!$C$1359="","",[2]Baskol!$C$1359)</f>
        <v/>
      </c>
      <c r="V1356">
        <f>IF([2]Baskol!$D$1359="","",[2]Baskol!$D$1359)</f>
        <v/>
      </c>
      <c r="W1356">
        <f>IF([2]Baskol!$E$1359="","",[2]Baskol!$E$1359)</f>
        <v/>
      </c>
      <c r="X1356">
        <f>IF([2]Baskol!$G$1359="","",[2]Baskol!$G$1359)</f>
        <v/>
      </c>
      <c r="Y1356">
        <f>IF([2]Baskol!$I$1359="","",[2]Baskol!$I$1359)</f>
        <v/>
      </c>
      <c r="Z1356">
        <f>IF([2]Baskol!$J$1359="","",[2]Baskol!$J$1359)</f>
        <v/>
      </c>
      <c r="AA1356">
        <f>IF([2]Baskol!$K$1359="","",[2]Baskol!$K$1359)</f>
        <v/>
      </c>
      <c r="AB1356">
        <f>IF([2]Baskol!$L$1359="","",[2]Baskol!$L$1359)</f>
        <v/>
      </c>
      <c r="AC1356">
        <f>IF([2]Baskol!$N$1359="","",[2]Baskol!$N$1359)</f>
        <v/>
      </c>
      <c r="AD1356">
        <f>IF([2]Baskol!$O$1359="","",[2]Baskol!$O$1359)</f>
        <v/>
      </c>
      <c r="AE1356">
        <f>IF([3]Entry!$C$1359="","",[3]Entry!$C$1359)</f>
        <v/>
      </c>
      <c r="AF1356">
        <f>IF([3]Entry!$D$1359="","",[3]Entry!$D$1359)</f>
        <v/>
      </c>
      <c r="AG1356">
        <f>IF([3]Entry!$E$1359="","",[3]Entry!$E$1359)</f>
        <v/>
      </c>
      <c r="AH1356">
        <f>IF([3]Entry!$G$1359="","",[3]Entry!$G$1359)</f>
        <v/>
      </c>
      <c r="AI1356">
        <f>IF([3]Entry!$K$1359="","",[3]Entry!$K$1359)</f>
        <v/>
      </c>
      <c r="AJ1356">
        <f>IF([3]Entry!$L$1359="","",[3]Entry!$L$1359)</f>
        <v/>
      </c>
      <c r="AK1356">
        <f>IF([3]Entry!$M$1359="","",[3]Entry!$M$1359)</f>
        <v/>
      </c>
      <c r="AL1356">
        <f>IF([3]Entry!$N$1359="","",[3]Entry!$N$1359)</f>
        <v/>
      </c>
      <c r="AM1356">
        <f>IF([3]Entry!$R$1359="","",[3]Entry!$R$1359)</f>
        <v/>
      </c>
    </row>
    <row r="1357">
      <c r="T1357">
        <f>IF([2]Baskol!$B$1360="","",[2]Baskol!$B$1360)</f>
        <v/>
      </c>
      <c r="U1357">
        <f>IF([2]Baskol!$C$1360="","",[2]Baskol!$C$1360)</f>
        <v/>
      </c>
      <c r="V1357">
        <f>IF([2]Baskol!$D$1360="","",[2]Baskol!$D$1360)</f>
        <v/>
      </c>
      <c r="W1357">
        <f>IF([2]Baskol!$E$1360="","",[2]Baskol!$E$1360)</f>
        <v/>
      </c>
      <c r="X1357">
        <f>IF([2]Baskol!$G$1360="","",[2]Baskol!$G$1360)</f>
        <v/>
      </c>
      <c r="Y1357">
        <f>IF([2]Baskol!$I$1360="","",[2]Baskol!$I$1360)</f>
        <v/>
      </c>
      <c r="Z1357">
        <f>IF([2]Baskol!$J$1360="","",[2]Baskol!$J$1360)</f>
        <v/>
      </c>
      <c r="AA1357">
        <f>IF([2]Baskol!$K$1360="","",[2]Baskol!$K$1360)</f>
        <v/>
      </c>
      <c r="AB1357">
        <f>IF([2]Baskol!$L$1360="","",[2]Baskol!$L$1360)</f>
        <v/>
      </c>
      <c r="AC1357">
        <f>IF([2]Baskol!$N$1360="","",[2]Baskol!$N$1360)</f>
        <v/>
      </c>
      <c r="AD1357">
        <f>IF([2]Baskol!$O$1360="","",[2]Baskol!$O$1360)</f>
        <v/>
      </c>
      <c r="AE1357">
        <f>IF([3]Entry!$C$1360="","",[3]Entry!$C$1360)</f>
        <v/>
      </c>
      <c r="AF1357">
        <f>IF([3]Entry!$D$1360="","",[3]Entry!$D$1360)</f>
        <v/>
      </c>
      <c r="AG1357">
        <f>IF([3]Entry!$E$1360="","",[3]Entry!$E$1360)</f>
        <v/>
      </c>
      <c r="AH1357">
        <f>IF([3]Entry!$G$1360="","",[3]Entry!$G$1360)</f>
        <v/>
      </c>
      <c r="AI1357">
        <f>IF([3]Entry!$K$1360="","",[3]Entry!$K$1360)</f>
        <v/>
      </c>
      <c r="AJ1357">
        <f>IF([3]Entry!$L$1360="","",[3]Entry!$L$1360)</f>
        <v/>
      </c>
      <c r="AK1357">
        <f>IF([3]Entry!$M$1360="","",[3]Entry!$M$1360)</f>
        <v/>
      </c>
      <c r="AL1357">
        <f>IF([3]Entry!$N$1360="","",[3]Entry!$N$1360)</f>
        <v/>
      </c>
      <c r="AM1357">
        <f>IF([3]Entry!$R$1360="","",[3]Entry!$R$1360)</f>
        <v/>
      </c>
    </row>
    <row r="1358">
      <c r="T1358">
        <f>IF([2]Baskol!$B$1361="","",[2]Baskol!$B$1361)</f>
        <v/>
      </c>
      <c r="U1358">
        <f>IF([2]Baskol!$C$1361="","",[2]Baskol!$C$1361)</f>
        <v/>
      </c>
      <c r="V1358">
        <f>IF([2]Baskol!$D$1361="","",[2]Baskol!$D$1361)</f>
        <v/>
      </c>
      <c r="W1358">
        <f>IF([2]Baskol!$E$1361="","",[2]Baskol!$E$1361)</f>
        <v/>
      </c>
      <c r="X1358">
        <f>IF([2]Baskol!$G$1361="","",[2]Baskol!$G$1361)</f>
        <v/>
      </c>
      <c r="Y1358">
        <f>IF([2]Baskol!$I$1361="","",[2]Baskol!$I$1361)</f>
        <v/>
      </c>
      <c r="Z1358">
        <f>IF([2]Baskol!$J$1361="","",[2]Baskol!$J$1361)</f>
        <v/>
      </c>
      <c r="AA1358">
        <f>IF([2]Baskol!$K$1361="","",[2]Baskol!$K$1361)</f>
        <v/>
      </c>
      <c r="AB1358">
        <f>IF([2]Baskol!$L$1361="","",[2]Baskol!$L$1361)</f>
        <v/>
      </c>
      <c r="AC1358">
        <f>IF([2]Baskol!$N$1361="","",[2]Baskol!$N$1361)</f>
        <v/>
      </c>
      <c r="AD1358">
        <f>IF([2]Baskol!$O$1361="","",[2]Baskol!$O$1361)</f>
        <v/>
      </c>
      <c r="AE1358">
        <f>IF([3]Entry!$C$1361="","",[3]Entry!$C$1361)</f>
        <v/>
      </c>
      <c r="AF1358">
        <f>IF([3]Entry!$D$1361="","",[3]Entry!$D$1361)</f>
        <v/>
      </c>
      <c r="AG1358">
        <f>IF([3]Entry!$E$1361="","",[3]Entry!$E$1361)</f>
        <v/>
      </c>
      <c r="AH1358">
        <f>IF([3]Entry!$G$1361="","",[3]Entry!$G$1361)</f>
        <v/>
      </c>
      <c r="AI1358">
        <f>IF([3]Entry!$K$1361="","",[3]Entry!$K$1361)</f>
        <v/>
      </c>
      <c r="AJ1358">
        <f>IF([3]Entry!$L$1361="","",[3]Entry!$L$1361)</f>
        <v/>
      </c>
      <c r="AK1358">
        <f>IF([3]Entry!$M$1361="","",[3]Entry!$M$1361)</f>
        <v/>
      </c>
      <c r="AL1358">
        <f>IF([3]Entry!$N$1361="","",[3]Entry!$N$1361)</f>
        <v/>
      </c>
      <c r="AM1358">
        <f>IF([3]Entry!$R$1361="","",[3]Entry!$R$1361)</f>
        <v/>
      </c>
    </row>
    <row r="1359">
      <c r="T1359">
        <f>IF([2]Baskol!$B$1362="","",[2]Baskol!$B$1362)</f>
        <v/>
      </c>
      <c r="U1359">
        <f>IF([2]Baskol!$C$1362="","",[2]Baskol!$C$1362)</f>
        <v/>
      </c>
      <c r="V1359">
        <f>IF([2]Baskol!$D$1362="","",[2]Baskol!$D$1362)</f>
        <v/>
      </c>
      <c r="W1359">
        <f>IF([2]Baskol!$E$1362="","",[2]Baskol!$E$1362)</f>
        <v/>
      </c>
      <c r="X1359">
        <f>IF([2]Baskol!$G$1362="","",[2]Baskol!$G$1362)</f>
        <v/>
      </c>
      <c r="Y1359">
        <f>IF([2]Baskol!$I$1362="","",[2]Baskol!$I$1362)</f>
        <v/>
      </c>
      <c r="Z1359">
        <f>IF([2]Baskol!$J$1362="","",[2]Baskol!$J$1362)</f>
        <v/>
      </c>
      <c r="AA1359">
        <f>IF([2]Baskol!$K$1362="","",[2]Baskol!$K$1362)</f>
        <v/>
      </c>
      <c r="AB1359">
        <f>IF([2]Baskol!$L$1362="","",[2]Baskol!$L$1362)</f>
        <v/>
      </c>
      <c r="AC1359">
        <f>IF([2]Baskol!$N$1362="","",[2]Baskol!$N$1362)</f>
        <v/>
      </c>
      <c r="AD1359">
        <f>IF([2]Baskol!$O$1362="","",[2]Baskol!$O$1362)</f>
        <v/>
      </c>
      <c r="AE1359">
        <f>IF([3]Entry!$C$1362="","",[3]Entry!$C$1362)</f>
        <v/>
      </c>
      <c r="AF1359">
        <f>IF([3]Entry!$D$1362="","",[3]Entry!$D$1362)</f>
        <v/>
      </c>
      <c r="AG1359">
        <f>IF([3]Entry!$E$1362="","",[3]Entry!$E$1362)</f>
        <v/>
      </c>
      <c r="AH1359">
        <f>IF([3]Entry!$G$1362="","",[3]Entry!$G$1362)</f>
        <v/>
      </c>
      <c r="AI1359">
        <f>IF([3]Entry!$K$1362="","",[3]Entry!$K$1362)</f>
        <v/>
      </c>
      <c r="AJ1359">
        <f>IF([3]Entry!$L$1362="","",[3]Entry!$L$1362)</f>
        <v/>
      </c>
      <c r="AK1359">
        <f>IF([3]Entry!$M$1362="","",[3]Entry!$M$1362)</f>
        <v/>
      </c>
      <c r="AL1359">
        <f>IF([3]Entry!$N$1362="","",[3]Entry!$N$1362)</f>
        <v/>
      </c>
      <c r="AM1359">
        <f>IF([3]Entry!$R$1362="","",[3]Entry!$R$1362)</f>
        <v/>
      </c>
    </row>
    <row r="1360">
      <c r="T1360">
        <f>IF([2]Baskol!$B$1363="","",[2]Baskol!$B$1363)</f>
        <v/>
      </c>
      <c r="U1360">
        <f>IF([2]Baskol!$C$1363="","",[2]Baskol!$C$1363)</f>
        <v/>
      </c>
      <c r="V1360">
        <f>IF([2]Baskol!$D$1363="","",[2]Baskol!$D$1363)</f>
        <v/>
      </c>
      <c r="W1360">
        <f>IF([2]Baskol!$E$1363="","",[2]Baskol!$E$1363)</f>
        <v/>
      </c>
      <c r="X1360">
        <f>IF([2]Baskol!$G$1363="","",[2]Baskol!$G$1363)</f>
        <v/>
      </c>
      <c r="Y1360">
        <f>IF([2]Baskol!$I$1363="","",[2]Baskol!$I$1363)</f>
        <v/>
      </c>
      <c r="Z1360">
        <f>IF([2]Baskol!$J$1363="","",[2]Baskol!$J$1363)</f>
        <v/>
      </c>
      <c r="AA1360">
        <f>IF([2]Baskol!$K$1363="","",[2]Baskol!$K$1363)</f>
        <v/>
      </c>
      <c r="AB1360">
        <f>IF([2]Baskol!$L$1363="","",[2]Baskol!$L$1363)</f>
        <v/>
      </c>
      <c r="AC1360">
        <f>IF([2]Baskol!$N$1363="","",[2]Baskol!$N$1363)</f>
        <v/>
      </c>
      <c r="AD1360">
        <f>IF([2]Baskol!$O$1363="","",[2]Baskol!$O$1363)</f>
        <v/>
      </c>
      <c r="AE1360">
        <f>IF([3]Entry!$C$1363="","",[3]Entry!$C$1363)</f>
        <v/>
      </c>
      <c r="AF1360">
        <f>IF([3]Entry!$D$1363="","",[3]Entry!$D$1363)</f>
        <v/>
      </c>
      <c r="AG1360">
        <f>IF([3]Entry!$E$1363="","",[3]Entry!$E$1363)</f>
        <v/>
      </c>
      <c r="AH1360">
        <f>IF([3]Entry!$G$1363="","",[3]Entry!$G$1363)</f>
        <v/>
      </c>
      <c r="AI1360">
        <f>IF([3]Entry!$K$1363="","",[3]Entry!$K$1363)</f>
        <v/>
      </c>
      <c r="AJ1360">
        <f>IF([3]Entry!$L$1363="","",[3]Entry!$L$1363)</f>
        <v/>
      </c>
      <c r="AK1360">
        <f>IF([3]Entry!$M$1363="","",[3]Entry!$M$1363)</f>
        <v/>
      </c>
      <c r="AL1360">
        <f>IF([3]Entry!$N$1363="","",[3]Entry!$N$1363)</f>
        <v/>
      </c>
      <c r="AM1360">
        <f>IF([3]Entry!$R$1363="","",[3]Entry!$R$1363)</f>
        <v/>
      </c>
    </row>
    <row r="1361">
      <c r="T1361">
        <f>IF([2]Baskol!$B$1364="","",[2]Baskol!$B$1364)</f>
        <v/>
      </c>
      <c r="U1361">
        <f>IF([2]Baskol!$C$1364="","",[2]Baskol!$C$1364)</f>
        <v/>
      </c>
      <c r="V1361">
        <f>IF([2]Baskol!$D$1364="","",[2]Baskol!$D$1364)</f>
        <v/>
      </c>
      <c r="W1361">
        <f>IF([2]Baskol!$E$1364="","",[2]Baskol!$E$1364)</f>
        <v/>
      </c>
      <c r="X1361">
        <f>IF([2]Baskol!$G$1364="","",[2]Baskol!$G$1364)</f>
        <v/>
      </c>
      <c r="Y1361">
        <f>IF([2]Baskol!$I$1364="","",[2]Baskol!$I$1364)</f>
        <v/>
      </c>
      <c r="Z1361">
        <f>IF([2]Baskol!$J$1364="","",[2]Baskol!$J$1364)</f>
        <v/>
      </c>
      <c r="AA1361">
        <f>IF([2]Baskol!$K$1364="","",[2]Baskol!$K$1364)</f>
        <v/>
      </c>
      <c r="AB1361">
        <f>IF([2]Baskol!$L$1364="","",[2]Baskol!$L$1364)</f>
        <v/>
      </c>
      <c r="AC1361">
        <f>IF([2]Baskol!$N$1364="","",[2]Baskol!$N$1364)</f>
        <v/>
      </c>
      <c r="AD1361">
        <f>IF([2]Baskol!$O$1364="","",[2]Baskol!$O$1364)</f>
        <v/>
      </c>
      <c r="AE1361">
        <f>IF([3]Entry!$C$1364="","",[3]Entry!$C$1364)</f>
        <v/>
      </c>
      <c r="AF1361">
        <f>IF([3]Entry!$D$1364="","",[3]Entry!$D$1364)</f>
        <v/>
      </c>
      <c r="AG1361">
        <f>IF([3]Entry!$E$1364="","",[3]Entry!$E$1364)</f>
        <v/>
      </c>
      <c r="AH1361">
        <f>IF([3]Entry!$G$1364="","",[3]Entry!$G$1364)</f>
        <v/>
      </c>
      <c r="AI1361">
        <f>IF([3]Entry!$K$1364="","",[3]Entry!$K$1364)</f>
        <v/>
      </c>
      <c r="AJ1361">
        <f>IF([3]Entry!$L$1364="","",[3]Entry!$L$1364)</f>
        <v/>
      </c>
      <c r="AK1361">
        <f>IF([3]Entry!$M$1364="","",[3]Entry!$M$1364)</f>
        <v/>
      </c>
      <c r="AL1361">
        <f>IF([3]Entry!$N$1364="","",[3]Entry!$N$1364)</f>
        <v/>
      </c>
      <c r="AM1361">
        <f>IF([3]Entry!$R$1364="","",[3]Entry!$R$1364)</f>
        <v/>
      </c>
    </row>
    <row r="1362">
      <c r="T1362">
        <f>IF([2]Baskol!$B$1365="","",[2]Baskol!$B$1365)</f>
        <v/>
      </c>
      <c r="U1362">
        <f>IF([2]Baskol!$C$1365="","",[2]Baskol!$C$1365)</f>
        <v/>
      </c>
      <c r="V1362">
        <f>IF([2]Baskol!$D$1365="","",[2]Baskol!$D$1365)</f>
        <v/>
      </c>
      <c r="W1362">
        <f>IF([2]Baskol!$E$1365="","",[2]Baskol!$E$1365)</f>
        <v/>
      </c>
      <c r="X1362">
        <f>IF([2]Baskol!$G$1365="","",[2]Baskol!$G$1365)</f>
        <v/>
      </c>
      <c r="Y1362">
        <f>IF([2]Baskol!$I$1365="","",[2]Baskol!$I$1365)</f>
        <v/>
      </c>
      <c r="Z1362">
        <f>IF([2]Baskol!$J$1365="","",[2]Baskol!$J$1365)</f>
        <v/>
      </c>
      <c r="AA1362">
        <f>IF([2]Baskol!$K$1365="","",[2]Baskol!$K$1365)</f>
        <v/>
      </c>
      <c r="AB1362">
        <f>IF([2]Baskol!$L$1365="","",[2]Baskol!$L$1365)</f>
        <v/>
      </c>
      <c r="AC1362">
        <f>IF([2]Baskol!$N$1365="","",[2]Baskol!$N$1365)</f>
        <v/>
      </c>
      <c r="AD1362">
        <f>IF([2]Baskol!$O$1365="","",[2]Baskol!$O$1365)</f>
        <v/>
      </c>
      <c r="AE1362">
        <f>IF([3]Entry!$C$1365="","",[3]Entry!$C$1365)</f>
        <v/>
      </c>
      <c r="AF1362">
        <f>IF([3]Entry!$D$1365="","",[3]Entry!$D$1365)</f>
        <v/>
      </c>
      <c r="AG1362">
        <f>IF([3]Entry!$E$1365="","",[3]Entry!$E$1365)</f>
        <v/>
      </c>
      <c r="AH1362">
        <f>IF([3]Entry!$G$1365="","",[3]Entry!$G$1365)</f>
        <v/>
      </c>
      <c r="AI1362">
        <f>IF([3]Entry!$K$1365="","",[3]Entry!$K$1365)</f>
        <v/>
      </c>
      <c r="AJ1362">
        <f>IF([3]Entry!$L$1365="","",[3]Entry!$L$1365)</f>
        <v/>
      </c>
      <c r="AK1362">
        <f>IF([3]Entry!$M$1365="","",[3]Entry!$M$1365)</f>
        <v/>
      </c>
      <c r="AL1362">
        <f>IF([3]Entry!$N$1365="","",[3]Entry!$N$1365)</f>
        <v/>
      </c>
      <c r="AM1362">
        <f>IF([3]Entry!$R$1365="","",[3]Entry!$R$1365)</f>
        <v/>
      </c>
    </row>
    <row r="1363">
      <c r="T1363">
        <f>IF([2]Baskol!$B$1366="","",[2]Baskol!$B$1366)</f>
        <v/>
      </c>
      <c r="U1363">
        <f>IF([2]Baskol!$C$1366="","",[2]Baskol!$C$1366)</f>
        <v/>
      </c>
      <c r="V1363">
        <f>IF([2]Baskol!$D$1366="","",[2]Baskol!$D$1366)</f>
        <v/>
      </c>
      <c r="W1363">
        <f>IF([2]Baskol!$E$1366="","",[2]Baskol!$E$1366)</f>
        <v/>
      </c>
      <c r="X1363">
        <f>IF([2]Baskol!$G$1366="","",[2]Baskol!$G$1366)</f>
        <v/>
      </c>
      <c r="Y1363">
        <f>IF([2]Baskol!$I$1366="","",[2]Baskol!$I$1366)</f>
        <v/>
      </c>
      <c r="Z1363">
        <f>IF([2]Baskol!$J$1366="","",[2]Baskol!$J$1366)</f>
        <v/>
      </c>
      <c r="AA1363">
        <f>IF([2]Baskol!$K$1366="","",[2]Baskol!$K$1366)</f>
        <v/>
      </c>
      <c r="AB1363">
        <f>IF([2]Baskol!$L$1366="","",[2]Baskol!$L$1366)</f>
        <v/>
      </c>
      <c r="AC1363">
        <f>IF([2]Baskol!$N$1366="","",[2]Baskol!$N$1366)</f>
        <v/>
      </c>
      <c r="AD1363">
        <f>IF([2]Baskol!$O$1366="","",[2]Baskol!$O$1366)</f>
        <v/>
      </c>
      <c r="AE1363">
        <f>IF([3]Entry!$C$1366="","",[3]Entry!$C$1366)</f>
        <v/>
      </c>
      <c r="AF1363">
        <f>IF([3]Entry!$D$1366="","",[3]Entry!$D$1366)</f>
        <v/>
      </c>
      <c r="AG1363">
        <f>IF([3]Entry!$E$1366="","",[3]Entry!$E$1366)</f>
        <v/>
      </c>
      <c r="AH1363">
        <f>IF([3]Entry!$G$1366="","",[3]Entry!$G$1366)</f>
        <v/>
      </c>
      <c r="AI1363">
        <f>IF([3]Entry!$K$1366="","",[3]Entry!$K$1366)</f>
        <v/>
      </c>
      <c r="AJ1363">
        <f>IF([3]Entry!$L$1366="","",[3]Entry!$L$1366)</f>
        <v/>
      </c>
      <c r="AK1363">
        <f>IF([3]Entry!$M$1366="","",[3]Entry!$M$1366)</f>
        <v/>
      </c>
      <c r="AL1363">
        <f>IF([3]Entry!$N$1366="","",[3]Entry!$N$1366)</f>
        <v/>
      </c>
      <c r="AM1363">
        <f>IF([3]Entry!$R$1366="","",[3]Entry!$R$1366)</f>
        <v/>
      </c>
    </row>
    <row r="1364">
      <c r="T1364">
        <f>IF([2]Baskol!$B$1367="","",[2]Baskol!$B$1367)</f>
        <v/>
      </c>
      <c r="U1364">
        <f>IF([2]Baskol!$C$1367="","",[2]Baskol!$C$1367)</f>
        <v/>
      </c>
      <c r="V1364">
        <f>IF([2]Baskol!$D$1367="","",[2]Baskol!$D$1367)</f>
        <v/>
      </c>
      <c r="W1364">
        <f>IF([2]Baskol!$E$1367="","",[2]Baskol!$E$1367)</f>
        <v/>
      </c>
      <c r="X1364">
        <f>IF([2]Baskol!$G$1367="","",[2]Baskol!$G$1367)</f>
        <v/>
      </c>
      <c r="Y1364">
        <f>IF([2]Baskol!$I$1367="","",[2]Baskol!$I$1367)</f>
        <v/>
      </c>
      <c r="Z1364">
        <f>IF([2]Baskol!$J$1367="","",[2]Baskol!$J$1367)</f>
        <v/>
      </c>
      <c r="AA1364">
        <f>IF([2]Baskol!$K$1367="","",[2]Baskol!$K$1367)</f>
        <v/>
      </c>
      <c r="AB1364">
        <f>IF([2]Baskol!$L$1367="","",[2]Baskol!$L$1367)</f>
        <v/>
      </c>
      <c r="AC1364">
        <f>IF([2]Baskol!$N$1367="","",[2]Baskol!$N$1367)</f>
        <v/>
      </c>
      <c r="AD1364">
        <f>IF([2]Baskol!$O$1367="","",[2]Baskol!$O$1367)</f>
        <v/>
      </c>
      <c r="AE1364">
        <f>IF([3]Entry!$C$1367="","",[3]Entry!$C$1367)</f>
        <v/>
      </c>
      <c r="AF1364">
        <f>IF([3]Entry!$D$1367="","",[3]Entry!$D$1367)</f>
        <v/>
      </c>
      <c r="AG1364">
        <f>IF([3]Entry!$E$1367="","",[3]Entry!$E$1367)</f>
        <v/>
      </c>
      <c r="AH1364">
        <f>IF([3]Entry!$G$1367="","",[3]Entry!$G$1367)</f>
        <v/>
      </c>
      <c r="AI1364">
        <f>IF([3]Entry!$K$1367="","",[3]Entry!$K$1367)</f>
        <v/>
      </c>
      <c r="AJ1364">
        <f>IF([3]Entry!$L$1367="","",[3]Entry!$L$1367)</f>
        <v/>
      </c>
      <c r="AK1364">
        <f>IF([3]Entry!$M$1367="","",[3]Entry!$M$1367)</f>
        <v/>
      </c>
      <c r="AL1364">
        <f>IF([3]Entry!$N$1367="","",[3]Entry!$N$1367)</f>
        <v/>
      </c>
      <c r="AM1364">
        <f>IF([3]Entry!$R$1367="","",[3]Entry!$R$1367)</f>
        <v/>
      </c>
    </row>
    <row r="1365">
      <c r="T1365">
        <f>IF([2]Baskol!$B$1368="","",[2]Baskol!$B$1368)</f>
        <v/>
      </c>
      <c r="U1365">
        <f>IF([2]Baskol!$C$1368="","",[2]Baskol!$C$1368)</f>
        <v/>
      </c>
      <c r="V1365">
        <f>IF([2]Baskol!$D$1368="","",[2]Baskol!$D$1368)</f>
        <v/>
      </c>
      <c r="W1365">
        <f>IF([2]Baskol!$E$1368="","",[2]Baskol!$E$1368)</f>
        <v/>
      </c>
      <c r="X1365">
        <f>IF([2]Baskol!$G$1368="","",[2]Baskol!$G$1368)</f>
        <v/>
      </c>
      <c r="Y1365">
        <f>IF([2]Baskol!$I$1368="","",[2]Baskol!$I$1368)</f>
        <v/>
      </c>
      <c r="Z1365">
        <f>IF([2]Baskol!$J$1368="","",[2]Baskol!$J$1368)</f>
        <v/>
      </c>
      <c r="AA1365">
        <f>IF([2]Baskol!$K$1368="","",[2]Baskol!$K$1368)</f>
        <v/>
      </c>
      <c r="AB1365">
        <f>IF([2]Baskol!$L$1368="","",[2]Baskol!$L$1368)</f>
        <v/>
      </c>
      <c r="AC1365">
        <f>IF([2]Baskol!$N$1368="","",[2]Baskol!$N$1368)</f>
        <v/>
      </c>
      <c r="AD1365">
        <f>IF([2]Baskol!$O$1368="","",[2]Baskol!$O$1368)</f>
        <v/>
      </c>
      <c r="AE1365">
        <f>IF([3]Entry!$C$1368="","",[3]Entry!$C$1368)</f>
        <v/>
      </c>
      <c r="AF1365">
        <f>IF([3]Entry!$D$1368="","",[3]Entry!$D$1368)</f>
        <v/>
      </c>
      <c r="AG1365">
        <f>IF([3]Entry!$E$1368="","",[3]Entry!$E$1368)</f>
        <v/>
      </c>
      <c r="AH1365">
        <f>IF([3]Entry!$G$1368="","",[3]Entry!$G$1368)</f>
        <v/>
      </c>
      <c r="AI1365">
        <f>IF([3]Entry!$K$1368="","",[3]Entry!$K$1368)</f>
        <v/>
      </c>
      <c r="AJ1365">
        <f>IF([3]Entry!$L$1368="","",[3]Entry!$L$1368)</f>
        <v/>
      </c>
      <c r="AK1365">
        <f>IF([3]Entry!$M$1368="","",[3]Entry!$M$1368)</f>
        <v/>
      </c>
      <c r="AL1365">
        <f>IF([3]Entry!$N$1368="","",[3]Entry!$N$1368)</f>
        <v/>
      </c>
      <c r="AM1365">
        <f>IF([3]Entry!$R$1368="","",[3]Entry!$R$1368)</f>
        <v/>
      </c>
    </row>
    <row r="1366">
      <c r="T1366">
        <f>IF([2]Baskol!$B$1369="","",[2]Baskol!$B$1369)</f>
        <v/>
      </c>
      <c r="U1366">
        <f>IF([2]Baskol!$C$1369="","",[2]Baskol!$C$1369)</f>
        <v/>
      </c>
      <c r="V1366">
        <f>IF([2]Baskol!$D$1369="","",[2]Baskol!$D$1369)</f>
        <v/>
      </c>
      <c r="W1366">
        <f>IF([2]Baskol!$E$1369="","",[2]Baskol!$E$1369)</f>
        <v/>
      </c>
      <c r="X1366">
        <f>IF([2]Baskol!$G$1369="","",[2]Baskol!$G$1369)</f>
        <v/>
      </c>
      <c r="Y1366">
        <f>IF([2]Baskol!$I$1369="","",[2]Baskol!$I$1369)</f>
        <v/>
      </c>
      <c r="Z1366">
        <f>IF([2]Baskol!$J$1369="","",[2]Baskol!$J$1369)</f>
        <v/>
      </c>
      <c r="AA1366">
        <f>IF([2]Baskol!$K$1369="","",[2]Baskol!$K$1369)</f>
        <v/>
      </c>
      <c r="AB1366">
        <f>IF([2]Baskol!$L$1369="","",[2]Baskol!$L$1369)</f>
        <v/>
      </c>
      <c r="AC1366">
        <f>IF([2]Baskol!$N$1369="","",[2]Baskol!$N$1369)</f>
        <v/>
      </c>
      <c r="AD1366">
        <f>IF([2]Baskol!$O$1369="","",[2]Baskol!$O$1369)</f>
        <v/>
      </c>
      <c r="AE1366">
        <f>IF([3]Entry!$C$1369="","",[3]Entry!$C$1369)</f>
        <v/>
      </c>
      <c r="AF1366">
        <f>IF([3]Entry!$D$1369="","",[3]Entry!$D$1369)</f>
        <v/>
      </c>
      <c r="AG1366">
        <f>IF([3]Entry!$E$1369="","",[3]Entry!$E$1369)</f>
        <v/>
      </c>
      <c r="AH1366">
        <f>IF([3]Entry!$G$1369="","",[3]Entry!$G$1369)</f>
        <v/>
      </c>
      <c r="AI1366">
        <f>IF([3]Entry!$K$1369="","",[3]Entry!$K$1369)</f>
        <v/>
      </c>
      <c r="AJ1366">
        <f>IF([3]Entry!$L$1369="","",[3]Entry!$L$1369)</f>
        <v/>
      </c>
      <c r="AK1366">
        <f>IF([3]Entry!$M$1369="","",[3]Entry!$M$1369)</f>
        <v/>
      </c>
      <c r="AL1366">
        <f>IF([3]Entry!$N$1369="","",[3]Entry!$N$1369)</f>
        <v/>
      </c>
      <c r="AM1366">
        <f>IF([3]Entry!$R$1369="","",[3]Entry!$R$1369)</f>
        <v/>
      </c>
    </row>
    <row r="1367">
      <c r="T1367">
        <f>IF([2]Baskol!$B$1370="","",[2]Baskol!$B$1370)</f>
        <v/>
      </c>
      <c r="U1367">
        <f>IF([2]Baskol!$C$1370="","",[2]Baskol!$C$1370)</f>
        <v/>
      </c>
      <c r="V1367">
        <f>IF([2]Baskol!$D$1370="","",[2]Baskol!$D$1370)</f>
        <v/>
      </c>
      <c r="W1367">
        <f>IF([2]Baskol!$E$1370="","",[2]Baskol!$E$1370)</f>
        <v/>
      </c>
      <c r="X1367">
        <f>IF([2]Baskol!$G$1370="","",[2]Baskol!$G$1370)</f>
        <v/>
      </c>
      <c r="Y1367">
        <f>IF([2]Baskol!$I$1370="","",[2]Baskol!$I$1370)</f>
        <v/>
      </c>
      <c r="Z1367">
        <f>IF([2]Baskol!$J$1370="","",[2]Baskol!$J$1370)</f>
        <v/>
      </c>
      <c r="AA1367">
        <f>IF([2]Baskol!$K$1370="","",[2]Baskol!$K$1370)</f>
        <v/>
      </c>
      <c r="AB1367">
        <f>IF([2]Baskol!$L$1370="","",[2]Baskol!$L$1370)</f>
        <v/>
      </c>
      <c r="AC1367">
        <f>IF([2]Baskol!$N$1370="","",[2]Baskol!$N$1370)</f>
        <v/>
      </c>
      <c r="AD1367">
        <f>IF([2]Baskol!$O$1370="","",[2]Baskol!$O$1370)</f>
        <v/>
      </c>
      <c r="AE1367">
        <f>IF([3]Entry!$C$1370="","",[3]Entry!$C$1370)</f>
        <v/>
      </c>
      <c r="AF1367">
        <f>IF([3]Entry!$D$1370="","",[3]Entry!$D$1370)</f>
        <v/>
      </c>
      <c r="AG1367">
        <f>IF([3]Entry!$E$1370="","",[3]Entry!$E$1370)</f>
        <v/>
      </c>
      <c r="AH1367">
        <f>IF([3]Entry!$G$1370="","",[3]Entry!$G$1370)</f>
        <v/>
      </c>
      <c r="AI1367">
        <f>IF([3]Entry!$K$1370="","",[3]Entry!$K$1370)</f>
        <v/>
      </c>
      <c r="AJ1367">
        <f>IF([3]Entry!$L$1370="","",[3]Entry!$L$1370)</f>
        <v/>
      </c>
      <c r="AK1367">
        <f>IF([3]Entry!$M$1370="","",[3]Entry!$M$1370)</f>
        <v/>
      </c>
      <c r="AL1367">
        <f>IF([3]Entry!$N$1370="","",[3]Entry!$N$1370)</f>
        <v/>
      </c>
      <c r="AM1367">
        <f>IF([3]Entry!$R$1370="","",[3]Entry!$R$1370)</f>
        <v/>
      </c>
    </row>
    <row r="1368">
      <c r="T1368">
        <f>IF([2]Baskol!$B$1371="","",[2]Baskol!$B$1371)</f>
        <v/>
      </c>
      <c r="U1368">
        <f>IF([2]Baskol!$C$1371="","",[2]Baskol!$C$1371)</f>
        <v/>
      </c>
      <c r="V1368">
        <f>IF([2]Baskol!$D$1371="","",[2]Baskol!$D$1371)</f>
        <v/>
      </c>
      <c r="W1368">
        <f>IF([2]Baskol!$E$1371="","",[2]Baskol!$E$1371)</f>
        <v/>
      </c>
      <c r="X1368">
        <f>IF([2]Baskol!$G$1371="","",[2]Baskol!$G$1371)</f>
        <v/>
      </c>
      <c r="Y1368">
        <f>IF([2]Baskol!$I$1371="","",[2]Baskol!$I$1371)</f>
        <v/>
      </c>
      <c r="Z1368">
        <f>IF([2]Baskol!$J$1371="","",[2]Baskol!$J$1371)</f>
        <v/>
      </c>
      <c r="AA1368">
        <f>IF([2]Baskol!$K$1371="","",[2]Baskol!$K$1371)</f>
        <v/>
      </c>
      <c r="AB1368">
        <f>IF([2]Baskol!$L$1371="","",[2]Baskol!$L$1371)</f>
        <v/>
      </c>
      <c r="AC1368">
        <f>IF([2]Baskol!$N$1371="","",[2]Baskol!$N$1371)</f>
        <v/>
      </c>
      <c r="AD1368">
        <f>IF([2]Baskol!$O$1371="","",[2]Baskol!$O$1371)</f>
        <v/>
      </c>
      <c r="AE1368">
        <f>IF([3]Entry!$C$1371="","",[3]Entry!$C$1371)</f>
        <v/>
      </c>
      <c r="AF1368">
        <f>IF([3]Entry!$D$1371="","",[3]Entry!$D$1371)</f>
        <v/>
      </c>
      <c r="AG1368">
        <f>IF([3]Entry!$E$1371="","",[3]Entry!$E$1371)</f>
        <v/>
      </c>
      <c r="AH1368">
        <f>IF([3]Entry!$G$1371="","",[3]Entry!$G$1371)</f>
        <v/>
      </c>
      <c r="AI1368">
        <f>IF([3]Entry!$K$1371="","",[3]Entry!$K$1371)</f>
        <v/>
      </c>
      <c r="AJ1368">
        <f>IF([3]Entry!$L$1371="","",[3]Entry!$L$1371)</f>
        <v/>
      </c>
      <c r="AK1368">
        <f>IF([3]Entry!$M$1371="","",[3]Entry!$M$1371)</f>
        <v/>
      </c>
      <c r="AL1368">
        <f>IF([3]Entry!$N$1371="","",[3]Entry!$N$1371)</f>
        <v/>
      </c>
      <c r="AM1368">
        <f>IF([3]Entry!$R$1371="","",[3]Entry!$R$1371)</f>
        <v/>
      </c>
    </row>
    <row r="1369">
      <c r="T1369">
        <f>IF([2]Baskol!$B$1372="","",[2]Baskol!$B$1372)</f>
        <v/>
      </c>
      <c r="U1369">
        <f>IF([2]Baskol!$C$1372="","",[2]Baskol!$C$1372)</f>
        <v/>
      </c>
      <c r="V1369">
        <f>IF([2]Baskol!$D$1372="","",[2]Baskol!$D$1372)</f>
        <v/>
      </c>
      <c r="W1369">
        <f>IF([2]Baskol!$E$1372="","",[2]Baskol!$E$1372)</f>
        <v/>
      </c>
      <c r="X1369">
        <f>IF([2]Baskol!$G$1372="","",[2]Baskol!$G$1372)</f>
        <v/>
      </c>
      <c r="Y1369">
        <f>IF([2]Baskol!$I$1372="","",[2]Baskol!$I$1372)</f>
        <v/>
      </c>
      <c r="Z1369">
        <f>IF([2]Baskol!$J$1372="","",[2]Baskol!$J$1372)</f>
        <v/>
      </c>
      <c r="AA1369">
        <f>IF([2]Baskol!$K$1372="","",[2]Baskol!$K$1372)</f>
        <v/>
      </c>
      <c r="AB1369">
        <f>IF([2]Baskol!$L$1372="","",[2]Baskol!$L$1372)</f>
        <v/>
      </c>
      <c r="AC1369">
        <f>IF([2]Baskol!$N$1372="","",[2]Baskol!$N$1372)</f>
        <v/>
      </c>
      <c r="AD1369">
        <f>IF([2]Baskol!$O$1372="","",[2]Baskol!$O$1372)</f>
        <v/>
      </c>
      <c r="AE1369">
        <f>IF([3]Entry!$C$1372="","",[3]Entry!$C$1372)</f>
        <v/>
      </c>
      <c r="AF1369">
        <f>IF([3]Entry!$D$1372="","",[3]Entry!$D$1372)</f>
        <v/>
      </c>
      <c r="AG1369">
        <f>IF([3]Entry!$E$1372="","",[3]Entry!$E$1372)</f>
        <v/>
      </c>
      <c r="AH1369">
        <f>IF([3]Entry!$G$1372="","",[3]Entry!$G$1372)</f>
        <v/>
      </c>
      <c r="AI1369">
        <f>IF([3]Entry!$K$1372="","",[3]Entry!$K$1372)</f>
        <v/>
      </c>
      <c r="AJ1369">
        <f>IF([3]Entry!$L$1372="","",[3]Entry!$L$1372)</f>
        <v/>
      </c>
      <c r="AK1369">
        <f>IF([3]Entry!$M$1372="","",[3]Entry!$M$1372)</f>
        <v/>
      </c>
      <c r="AL1369">
        <f>IF([3]Entry!$N$1372="","",[3]Entry!$N$1372)</f>
        <v/>
      </c>
      <c r="AM1369">
        <f>IF([3]Entry!$R$1372="","",[3]Entry!$R$1372)</f>
        <v/>
      </c>
    </row>
    <row r="1370">
      <c r="T1370">
        <f>IF([2]Baskol!$B$1373="","",[2]Baskol!$B$1373)</f>
        <v/>
      </c>
      <c r="U1370">
        <f>IF([2]Baskol!$C$1373="","",[2]Baskol!$C$1373)</f>
        <v/>
      </c>
      <c r="V1370">
        <f>IF([2]Baskol!$D$1373="","",[2]Baskol!$D$1373)</f>
        <v/>
      </c>
      <c r="W1370">
        <f>IF([2]Baskol!$E$1373="","",[2]Baskol!$E$1373)</f>
        <v/>
      </c>
      <c r="X1370">
        <f>IF([2]Baskol!$G$1373="","",[2]Baskol!$G$1373)</f>
        <v/>
      </c>
      <c r="Y1370">
        <f>IF([2]Baskol!$I$1373="","",[2]Baskol!$I$1373)</f>
        <v/>
      </c>
      <c r="Z1370">
        <f>IF([2]Baskol!$J$1373="","",[2]Baskol!$J$1373)</f>
        <v/>
      </c>
      <c r="AA1370">
        <f>IF([2]Baskol!$K$1373="","",[2]Baskol!$K$1373)</f>
        <v/>
      </c>
      <c r="AB1370">
        <f>IF([2]Baskol!$L$1373="","",[2]Baskol!$L$1373)</f>
        <v/>
      </c>
      <c r="AC1370">
        <f>IF([2]Baskol!$N$1373="","",[2]Baskol!$N$1373)</f>
        <v/>
      </c>
      <c r="AD1370">
        <f>IF([2]Baskol!$O$1373="","",[2]Baskol!$O$1373)</f>
        <v/>
      </c>
      <c r="AE1370">
        <f>IF([3]Entry!$C$1373="","",[3]Entry!$C$1373)</f>
        <v/>
      </c>
      <c r="AF1370">
        <f>IF([3]Entry!$D$1373="","",[3]Entry!$D$1373)</f>
        <v/>
      </c>
      <c r="AG1370">
        <f>IF([3]Entry!$E$1373="","",[3]Entry!$E$1373)</f>
        <v/>
      </c>
      <c r="AH1370">
        <f>IF([3]Entry!$G$1373="","",[3]Entry!$G$1373)</f>
        <v/>
      </c>
      <c r="AI1370">
        <f>IF([3]Entry!$K$1373="","",[3]Entry!$K$1373)</f>
        <v/>
      </c>
      <c r="AJ1370">
        <f>IF([3]Entry!$L$1373="","",[3]Entry!$L$1373)</f>
        <v/>
      </c>
      <c r="AK1370">
        <f>IF([3]Entry!$M$1373="","",[3]Entry!$M$1373)</f>
        <v/>
      </c>
      <c r="AL1370">
        <f>IF([3]Entry!$N$1373="","",[3]Entry!$N$1373)</f>
        <v/>
      </c>
      <c r="AM1370">
        <f>IF([3]Entry!$R$1373="","",[3]Entry!$R$1373)</f>
        <v/>
      </c>
    </row>
    <row r="1371">
      <c r="T1371">
        <f>IF([2]Baskol!$B$1374="","",[2]Baskol!$B$1374)</f>
        <v/>
      </c>
      <c r="U1371">
        <f>IF([2]Baskol!$C$1374="","",[2]Baskol!$C$1374)</f>
        <v/>
      </c>
      <c r="V1371">
        <f>IF([2]Baskol!$D$1374="","",[2]Baskol!$D$1374)</f>
        <v/>
      </c>
      <c r="W1371">
        <f>IF([2]Baskol!$E$1374="","",[2]Baskol!$E$1374)</f>
        <v/>
      </c>
      <c r="X1371">
        <f>IF([2]Baskol!$G$1374="","",[2]Baskol!$G$1374)</f>
        <v/>
      </c>
      <c r="Y1371">
        <f>IF([2]Baskol!$I$1374="","",[2]Baskol!$I$1374)</f>
        <v/>
      </c>
      <c r="Z1371">
        <f>IF([2]Baskol!$J$1374="","",[2]Baskol!$J$1374)</f>
        <v/>
      </c>
      <c r="AA1371">
        <f>IF([2]Baskol!$K$1374="","",[2]Baskol!$K$1374)</f>
        <v/>
      </c>
      <c r="AB1371">
        <f>IF([2]Baskol!$L$1374="","",[2]Baskol!$L$1374)</f>
        <v/>
      </c>
      <c r="AC1371">
        <f>IF([2]Baskol!$N$1374="","",[2]Baskol!$N$1374)</f>
        <v/>
      </c>
      <c r="AD1371">
        <f>IF([2]Baskol!$O$1374="","",[2]Baskol!$O$1374)</f>
        <v/>
      </c>
      <c r="AE1371">
        <f>IF([3]Entry!$C$1374="","",[3]Entry!$C$1374)</f>
        <v/>
      </c>
      <c r="AF1371">
        <f>IF([3]Entry!$D$1374="","",[3]Entry!$D$1374)</f>
        <v/>
      </c>
      <c r="AG1371">
        <f>IF([3]Entry!$E$1374="","",[3]Entry!$E$1374)</f>
        <v/>
      </c>
      <c r="AH1371">
        <f>IF([3]Entry!$G$1374="","",[3]Entry!$G$1374)</f>
        <v/>
      </c>
      <c r="AI1371">
        <f>IF([3]Entry!$K$1374="","",[3]Entry!$K$1374)</f>
        <v/>
      </c>
      <c r="AJ1371">
        <f>IF([3]Entry!$L$1374="","",[3]Entry!$L$1374)</f>
        <v/>
      </c>
      <c r="AK1371">
        <f>IF([3]Entry!$M$1374="","",[3]Entry!$M$1374)</f>
        <v/>
      </c>
      <c r="AL1371">
        <f>IF([3]Entry!$N$1374="","",[3]Entry!$N$1374)</f>
        <v/>
      </c>
      <c r="AM1371">
        <f>IF([3]Entry!$R$1374="","",[3]Entry!$R$1374)</f>
        <v/>
      </c>
    </row>
    <row r="1372">
      <c r="T1372">
        <f>IF([2]Baskol!$B$1375="","",[2]Baskol!$B$1375)</f>
        <v/>
      </c>
      <c r="U1372">
        <f>IF([2]Baskol!$C$1375="","",[2]Baskol!$C$1375)</f>
        <v/>
      </c>
      <c r="V1372">
        <f>IF([2]Baskol!$D$1375="","",[2]Baskol!$D$1375)</f>
        <v/>
      </c>
      <c r="W1372">
        <f>IF([2]Baskol!$E$1375="","",[2]Baskol!$E$1375)</f>
        <v/>
      </c>
      <c r="X1372">
        <f>IF([2]Baskol!$G$1375="","",[2]Baskol!$G$1375)</f>
        <v/>
      </c>
      <c r="Y1372">
        <f>IF([2]Baskol!$I$1375="","",[2]Baskol!$I$1375)</f>
        <v/>
      </c>
      <c r="Z1372">
        <f>IF([2]Baskol!$J$1375="","",[2]Baskol!$J$1375)</f>
        <v/>
      </c>
      <c r="AA1372">
        <f>IF([2]Baskol!$K$1375="","",[2]Baskol!$K$1375)</f>
        <v/>
      </c>
      <c r="AB1372">
        <f>IF([2]Baskol!$L$1375="","",[2]Baskol!$L$1375)</f>
        <v/>
      </c>
      <c r="AC1372">
        <f>IF([2]Baskol!$N$1375="","",[2]Baskol!$N$1375)</f>
        <v/>
      </c>
      <c r="AD1372">
        <f>IF([2]Baskol!$O$1375="","",[2]Baskol!$O$1375)</f>
        <v/>
      </c>
      <c r="AE1372">
        <f>IF([3]Entry!$C$1375="","",[3]Entry!$C$1375)</f>
        <v/>
      </c>
      <c r="AF1372">
        <f>IF([3]Entry!$D$1375="","",[3]Entry!$D$1375)</f>
        <v/>
      </c>
      <c r="AG1372">
        <f>IF([3]Entry!$E$1375="","",[3]Entry!$E$1375)</f>
        <v/>
      </c>
      <c r="AH1372">
        <f>IF([3]Entry!$G$1375="","",[3]Entry!$G$1375)</f>
        <v/>
      </c>
      <c r="AI1372">
        <f>IF([3]Entry!$K$1375="","",[3]Entry!$K$1375)</f>
        <v/>
      </c>
      <c r="AJ1372">
        <f>IF([3]Entry!$L$1375="","",[3]Entry!$L$1375)</f>
        <v/>
      </c>
      <c r="AK1372">
        <f>IF([3]Entry!$M$1375="","",[3]Entry!$M$1375)</f>
        <v/>
      </c>
      <c r="AL1372">
        <f>IF([3]Entry!$N$1375="","",[3]Entry!$N$1375)</f>
        <v/>
      </c>
      <c r="AM1372">
        <f>IF([3]Entry!$R$1375="","",[3]Entry!$R$1375)</f>
        <v/>
      </c>
    </row>
    <row r="1373">
      <c r="T1373">
        <f>IF([2]Baskol!$B$1376="","",[2]Baskol!$B$1376)</f>
        <v/>
      </c>
      <c r="U1373">
        <f>IF([2]Baskol!$C$1376="","",[2]Baskol!$C$1376)</f>
        <v/>
      </c>
      <c r="V1373">
        <f>IF([2]Baskol!$D$1376="","",[2]Baskol!$D$1376)</f>
        <v/>
      </c>
      <c r="W1373">
        <f>IF([2]Baskol!$E$1376="","",[2]Baskol!$E$1376)</f>
        <v/>
      </c>
      <c r="X1373">
        <f>IF([2]Baskol!$G$1376="","",[2]Baskol!$G$1376)</f>
        <v/>
      </c>
      <c r="Y1373">
        <f>IF([2]Baskol!$I$1376="","",[2]Baskol!$I$1376)</f>
        <v/>
      </c>
      <c r="Z1373">
        <f>IF([2]Baskol!$J$1376="","",[2]Baskol!$J$1376)</f>
        <v/>
      </c>
      <c r="AA1373">
        <f>IF([2]Baskol!$K$1376="","",[2]Baskol!$K$1376)</f>
        <v/>
      </c>
      <c r="AB1373">
        <f>IF([2]Baskol!$L$1376="","",[2]Baskol!$L$1376)</f>
        <v/>
      </c>
      <c r="AC1373">
        <f>IF([2]Baskol!$N$1376="","",[2]Baskol!$N$1376)</f>
        <v/>
      </c>
      <c r="AD1373">
        <f>IF([2]Baskol!$O$1376="","",[2]Baskol!$O$1376)</f>
        <v/>
      </c>
      <c r="AE1373">
        <f>IF([3]Entry!$C$1376="","",[3]Entry!$C$1376)</f>
        <v/>
      </c>
      <c r="AF1373">
        <f>IF([3]Entry!$D$1376="","",[3]Entry!$D$1376)</f>
        <v/>
      </c>
      <c r="AG1373">
        <f>IF([3]Entry!$E$1376="","",[3]Entry!$E$1376)</f>
        <v/>
      </c>
      <c r="AH1373">
        <f>IF([3]Entry!$G$1376="","",[3]Entry!$G$1376)</f>
        <v/>
      </c>
      <c r="AI1373">
        <f>IF([3]Entry!$K$1376="","",[3]Entry!$K$1376)</f>
        <v/>
      </c>
      <c r="AJ1373">
        <f>IF([3]Entry!$L$1376="","",[3]Entry!$L$1376)</f>
        <v/>
      </c>
      <c r="AK1373">
        <f>IF([3]Entry!$M$1376="","",[3]Entry!$M$1376)</f>
        <v/>
      </c>
      <c r="AL1373">
        <f>IF([3]Entry!$N$1376="","",[3]Entry!$N$1376)</f>
        <v/>
      </c>
      <c r="AM1373">
        <f>IF([3]Entry!$R$1376="","",[3]Entry!$R$1376)</f>
        <v/>
      </c>
    </row>
    <row r="1374">
      <c r="T1374">
        <f>IF([2]Baskol!$B$1377="","",[2]Baskol!$B$1377)</f>
        <v/>
      </c>
      <c r="U1374">
        <f>IF([2]Baskol!$C$1377="","",[2]Baskol!$C$1377)</f>
        <v/>
      </c>
      <c r="V1374">
        <f>IF([2]Baskol!$D$1377="","",[2]Baskol!$D$1377)</f>
        <v/>
      </c>
      <c r="W1374">
        <f>IF([2]Baskol!$E$1377="","",[2]Baskol!$E$1377)</f>
        <v/>
      </c>
      <c r="X1374">
        <f>IF([2]Baskol!$G$1377="","",[2]Baskol!$G$1377)</f>
        <v/>
      </c>
      <c r="Y1374">
        <f>IF([2]Baskol!$I$1377="","",[2]Baskol!$I$1377)</f>
        <v/>
      </c>
      <c r="Z1374">
        <f>IF([2]Baskol!$J$1377="","",[2]Baskol!$J$1377)</f>
        <v/>
      </c>
      <c r="AA1374">
        <f>IF([2]Baskol!$K$1377="","",[2]Baskol!$K$1377)</f>
        <v/>
      </c>
      <c r="AB1374">
        <f>IF([2]Baskol!$L$1377="","",[2]Baskol!$L$1377)</f>
        <v/>
      </c>
      <c r="AC1374">
        <f>IF([2]Baskol!$N$1377="","",[2]Baskol!$N$1377)</f>
        <v/>
      </c>
      <c r="AD1374">
        <f>IF([2]Baskol!$O$1377="","",[2]Baskol!$O$1377)</f>
        <v/>
      </c>
      <c r="AE1374">
        <f>IF([3]Entry!$C$1377="","",[3]Entry!$C$1377)</f>
        <v/>
      </c>
      <c r="AF1374">
        <f>IF([3]Entry!$D$1377="","",[3]Entry!$D$1377)</f>
        <v/>
      </c>
      <c r="AG1374">
        <f>IF([3]Entry!$E$1377="","",[3]Entry!$E$1377)</f>
        <v/>
      </c>
      <c r="AH1374">
        <f>IF([3]Entry!$G$1377="","",[3]Entry!$G$1377)</f>
        <v/>
      </c>
      <c r="AI1374">
        <f>IF([3]Entry!$K$1377="","",[3]Entry!$K$1377)</f>
        <v/>
      </c>
      <c r="AJ1374">
        <f>IF([3]Entry!$L$1377="","",[3]Entry!$L$1377)</f>
        <v/>
      </c>
      <c r="AK1374">
        <f>IF([3]Entry!$M$1377="","",[3]Entry!$M$1377)</f>
        <v/>
      </c>
      <c r="AL1374">
        <f>IF([3]Entry!$N$1377="","",[3]Entry!$N$1377)</f>
        <v/>
      </c>
      <c r="AM1374">
        <f>IF([3]Entry!$R$1377="","",[3]Entry!$R$1377)</f>
        <v/>
      </c>
    </row>
    <row r="1375">
      <c r="T1375">
        <f>IF([2]Baskol!$B$1378="","",[2]Baskol!$B$1378)</f>
        <v/>
      </c>
      <c r="U1375">
        <f>IF([2]Baskol!$C$1378="","",[2]Baskol!$C$1378)</f>
        <v/>
      </c>
      <c r="V1375">
        <f>IF([2]Baskol!$D$1378="","",[2]Baskol!$D$1378)</f>
        <v/>
      </c>
      <c r="W1375">
        <f>IF([2]Baskol!$E$1378="","",[2]Baskol!$E$1378)</f>
        <v/>
      </c>
      <c r="X1375">
        <f>IF([2]Baskol!$G$1378="","",[2]Baskol!$G$1378)</f>
        <v/>
      </c>
      <c r="Y1375">
        <f>IF([2]Baskol!$I$1378="","",[2]Baskol!$I$1378)</f>
        <v/>
      </c>
      <c r="Z1375">
        <f>IF([2]Baskol!$J$1378="","",[2]Baskol!$J$1378)</f>
        <v/>
      </c>
      <c r="AA1375">
        <f>IF([2]Baskol!$K$1378="","",[2]Baskol!$K$1378)</f>
        <v/>
      </c>
      <c r="AB1375">
        <f>IF([2]Baskol!$L$1378="","",[2]Baskol!$L$1378)</f>
        <v/>
      </c>
      <c r="AC1375">
        <f>IF([2]Baskol!$N$1378="","",[2]Baskol!$N$1378)</f>
        <v/>
      </c>
      <c r="AD1375">
        <f>IF([2]Baskol!$O$1378="","",[2]Baskol!$O$1378)</f>
        <v/>
      </c>
      <c r="AE1375">
        <f>IF([3]Entry!$C$1378="","",[3]Entry!$C$1378)</f>
        <v/>
      </c>
      <c r="AF1375">
        <f>IF([3]Entry!$D$1378="","",[3]Entry!$D$1378)</f>
        <v/>
      </c>
      <c r="AG1375">
        <f>IF([3]Entry!$E$1378="","",[3]Entry!$E$1378)</f>
        <v/>
      </c>
      <c r="AH1375">
        <f>IF([3]Entry!$G$1378="","",[3]Entry!$G$1378)</f>
        <v/>
      </c>
      <c r="AI1375">
        <f>IF([3]Entry!$K$1378="","",[3]Entry!$K$1378)</f>
        <v/>
      </c>
      <c r="AJ1375">
        <f>IF([3]Entry!$L$1378="","",[3]Entry!$L$1378)</f>
        <v/>
      </c>
      <c r="AK1375">
        <f>IF([3]Entry!$M$1378="","",[3]Entry!$M$1378)</f>
        <v/>
      </c>
      <c r="AL1375">
        <f>IF([3]Entry!$N$1378="","",[3]Entry!$N$1378)</f>
        <v/>
      </c>
      <c r="AM1375">
        <f>IF([3]Entry!$R$1378="","",[3]Entry!$R$1378)</f>
        <v/>
      </c>
    </row>
    <row r="1376">
      <c r="T1376">
        <f>IF([2]Baskol!$B$1379="","",[2]Baskol!$B$1379)</f>
        <v/>
      </c>
      <c r="U1376">
        <f>IF([2]Baskol!$C$1379="","",[2]Baskol!$C$1379)</f>
        <v/>
      </c>
      <c r="V1376">
        <f>IF([2]Baskol!$D$1379="","",[2]Baskol!$D$1379)</f>
        <v/>
      </c>
      <c r="W1376">
        <f>IF([2]Baskol!$E$1379="","",[2]Baskol!$E$1379)</f>
        <v/>
      </c>
      <c r="X1376">
        <f>IF([2]Baskol!$G$1379="","",[2]Baskol!$G$1379)</f>
        <v/>
      </c>
      <c r="Y1376">
        <f>IF([2]Baskol!$I$1379="","",[2]Baskol!$I$1379)</f>
        <v/>
      </c>
      <c r="Z1376">
        <f>IF([2]Baskol!$J$1379="","",[2]Baskol!$J$1379)</f>
        <v/>
      </c>
      <c r="AA1376">
        <f>IF([2]Baskol!$K$1379="","",[2]Baskol!$K$1379)</f>
        <v/>
      </c>
      <c r="AB1376">
        <f>IF([2]Baskol!$L$1379="","",[2]Baskol!$L$1379)</f>
        <v/>
      </c>
      <c r="AC1376">
        <f>IF([2]Baskol!$N$1379="","",[2]Baskol!$N$1379)</f>
        <v/>
      </c>
      <c r="AD1376">
        <f>IF([2]Baskol!$O$1379="","",[2]Baskol!$O$1379)</f>
        <v/>
      </c>
      <c r="AE1376">
        <f>IF([3]Entry!$C$1379="","",[3]Entry!$C$1379)</f>
        <v/>
      </c>
      <c r="AF1376">
        <f>IF([3]Entry!$D$1379="","",[3]Entry!$D$1379)</f>
        <v/>
      </c>
      <c r="AG1376">
        <f>IF([3]Entry!$E$1379="","",[3]Entry!$E$1379)</f>
        <v/>
      </c>
      <c r="AH1376">
        <f>IF([3]Entry!$G$1379="","",[3]Entry!$G$1379)</f>
        <v/>
      </c>
      <c r="AI1376">
        <f>IF([3]Entry!$K$1379="","",[3]Entry!$K$1379)</f>
        <v/>
      </c>
      <c r="AJ1376">
        <f>IF([3]Entry!$L$1379="","",[3]Entry!$L$1379)</f>
        <v/>
      </c>
      <c r="AK1376">
        <f>IF([3]Entry!$M$1379="","",[3]Entry!$M$1379)</f>
        <v/>
      </c>
      <c r="AL1376">
        <f>IF([3]Entry!$N$1379="","",[3]Entry!$N$1379)</f>
        <v/>
      </c>
      <c r="AM1376">
        <f>IF([3]Entry!$R$1379="","",[3]Entry!$R$1379)</f>
        <v/>
      </c>
    </row>
    <row r="1377">
      <c r="T1377">
        <f>IF([2]Baskol!$B$1380="","",[2]Baskol!$B$1380)</f>
        <v/>
      </c>
      <c r="U1377">
        <f>IF([2]Baskol!$C$1380="","",[2]Baskol!$C$1380)</f>
        <v/>
      </c>
      <c r="V1377">
        <f>IF([2]Baskol!$D$1380="","",[2]Baskol!$D$1380)</f>
        <v/>
      </c>
      <c r="W1377">
        <f>IF([2]Baskol!$E$1380="","",[2]Baskol!$E$1380)</f>
        <v/>
      </c>
      <c r="X1377">
        <f>IF([2]Baskol!$G$1380="","",[2]Baskol!$G$1380)</f>
        <v/>
      </c>
      <c r="Y1377">
        <f>IF([2]Baskol!$I$1380="","",[2]Baskol!$I$1380)</f>
        <v/>
      </c>
      <c r="Z1377">
        <f>IF([2]Baskol!$J$1380="","",[2]Baskol!$J$1380)</f>
        <v/>
      </c>
      <c r="AA1377">
        <f>IF([2]Baskol!$K$1380="","",[2]Baskol!$K$1380)</f>
        <v/>
      </c>
      <c r="AB1377">
        <f>IF([2]Baskol!$L$1380="","",[2]Baskol!$L$1380)</f>
        <v/>
      </c>
      <c r="AC1377">
        <f>IF([2]Baskol!$N$1380="","",[2]Baskol!$N$1380)</f>
        <v/>
      </c>
      <c r="AD1377">
        <f>IF([2]Baskol!$O$1380="","",[2]Baskol!$O$1380)</f>
        <v/>
      </c>
      <c r="AE1377">
        <f>IF([3]Entry!$C$1380="","",[3]Entry!$C$1380)</f>
        <v/>
      </c>
      <c r="AF1377">
        <f>IF([3]Entry!$D$1380="","",[3]Entry!$D$1380)</f>
        <v/>
      </c>
      <c r="AG1377">
        <f>IF([3]Entry!$E$1380="","",[3]Entry!$E$1380)</f>
        <v/>
      </c>
      <c r="AH1377">
        <f>IF([3]Entry!$G$1380="","",[3]Entry!$G$1380)</f>
        <v/>
      </c>
      <c r="AI1377">
        <f>IF([3]Entry!$K$1380="","",[3]Entry!$K$1380)</f>
        <v/>
      </c>
      <c r="AJ1377">
        <f>IF([3]Entry!$L$1380="","",[3]Entry!$L$1380)</f>
        <v/>
      </c>
      <c r="AK1377">
        <f>IF([3]Entry!$M$1380="","",[3]Entry!$M$1380)</f>
        <v/>
      </c>
      <c r="AL1377">
        <f>IF([3]Entry!$N$1380="","",[3]Entry!$N$1380)</f>
        <v/>
      </c>
      <c r="AM1377">
        <f>IF([3]Entry!$R$1380="","",[3]Entry!$R$1380)</f>
        <v/>
      </c>
    </row>
    <row r="1378">
      <c r="T1378">
        <f>IF([2]Baskol!$B$1381="","",[2]Baskol!$B$1381)</f>
        <v/>
      </c>
      <c r="U1378">
        <f>IF([2]Baskol!$C$1381="","",[2]Baskol!$C$1381)</f>
        <v/>
      </c>
      <c r="V1378">
        <f>IF([2]Baskol!$D$1381="","",[2]Baskol!$D$1381)</f>
        <v/>
      </c>
      <c r="W1378">
        <f>IF([2]Baskol!$E$1381="","",[2]Baskol!$E$1381)</f>
        <v/>
      </c>
      <c r="X1378">
        <f>IF([2]Baskol!$G$1381="","",[2]Baskol!$G$1381)</f>
        <v/>
      </c>
      <c r="Y1378">
        <f>IF([2]Baskol!$I$1381="","",[2]Baskol!$I$1381)</f>
        <v/>
      </c>
      <c r="Z1378">
        <f>IF([2]Baskol!$J$1381="","",[2]Baskol!$J$1381)</f>
        <v/>
      </c>
      <c r="AA1378">
        <f>IF([2]Baskol!$K$1381="","",[2]Baskol!$K$1381)</f>
        <v/>
      </c>
      <c r="AB1378">
        <f>IF([2]Baskol!$L$1381="","",[2]Baskol!$L$1381)</f>
        <v/>
      </c>
      <c r="AC1378">
        <f>IF([2]Baskol!$N$1381="","",[2]Baskol!$N$1381)</f>
        <v/>
      </c>
      <c r="AD1378">
        <f>IF([2]Baskol!$O$1381="","",[2]Baskol!$O$1381)</f>
        <v/>
      </c>
      <c r="AE1378">
        <f>IF([3]Entry!$C$1381="","",[3]Entry!$C$1381)</f>
        <v/>
      </c>
      <c r="AF1378">
        <f>IF([3]Entry!$D$1381="","",[3]Entry!$D$1381)</f>
        <v/>
      </c>
      <c r="AG1378">
        <f>IF([3]Entry!$E$1381="","",[3]Entry!$E$1381)</f>
        <v/>
      </c>
      <c r="AH1378">
        <f>IF([3]Entry!$G$1381="","",[3]Entry!$G$1381)</f>
        <v/>
      </c>
      <c r="AI1378">
        <f>IF([3]Entry!$K$1381="","",[3]Entry!$K$1381)</f>
        <v/>
      </c>
      <c r="AJ1378">
        <f>IF([3]Entry!$L$1381="","",[3]Entry!$L$1381)</f>
        <v/>
      </c>
      <c r="AK1378">
        <f>IF([3]Entry!$M$1381="","",[3]Entry!$M$1381)</f>
        <v/>
      </c>
      <c r="AL1378">
        <f>IF([3]Entry!$N$1381="","",[3]Entry!$N$1381)</f>
        <v/>
      </c>
      <c r="AM1378">
        <f>IF([3]Entry!$R$1381="","",[3]Entry!$R$1381)</f>
        <v/>
      </c>
    </row>
    <row r="1379">
      <c r="T1379">
        <f>IF([2]Baskol!$B$1382="","",[2]Baskol!$B$1382)</f>
        <v/>
      </c>
      <c r="U1379">
        <f>IF([2]Baskol!$C$1382="","",[2]Baskol!$C$1382)</f>
        <v/>
      </c>
      <c r="V1379">
        <f>IF([2]Baskol!$D$1382="","",[2]Baskol!$D$1382)</f>
        <v/>
      </c>
      <c r="W1379">
        <f>IF([2]Baskol!$E$1382="","",[2]Baskol!$E$1382)</f>
        <v/>
      </c>
      <c r="X1379">
        <f>IF([2]Baskol!$G$1382="","",[2]Baskol!$G$1382)</f>
        <v/>
      </c>
      <c r="Y1379">
        <f>IF([2]Baskol!$I$1382="","",[2]Baskol!$I$1382)</f>
        <v/>
      </c>
      <c r="Z1379">
        <f>IF([2]Baskol!$J$1382="","",[2]Baskol!$J$1382)</f>
        <v/>
      </c>
      <c r="AA1379">
        <f>IF([2]Baskol!$K$1382="","",[2]Baskol!$K$1382)</f>
        <v/>
      </c>
      <c r="AB1379">
        <f>IF([2]Baskol!$L$1382="","",[2]Baskol!$L$1382)</f>
        <v/>
      </c>
      <c r="AC1379">
        <f>IF([2]Baskol!$N$1382="","",[2]Baskol!$N$1382)</f>
        <v/>
      </c>
      <c r="AD1379">
        <f>IF([2]Baskol!$O$1382="","",[2]Baskol!$O$1382)</f>
        <v/>
      </c>
      <c r="AE1379">
        <f>IF([3]Entry!$C$1382="","",[3]Entry!$C$1382)</f>
        <v/>
      </c>
      <c r="AF1379">
        <f>IF([3]Entry!$D$1382="","",[3]Entry!$D$1382)</f>
        <v/>
      </c>
      <c r="AG1379">
        <f>IF([3]Entry!$E$1382="","",[3]Entry!$E$1382)</f>
        <v/>
      </c>
      <c r="AH1379">
        <f>IF([3]Entry!$G$1382="","",[3]Entry!$G$1382)</f>
        <v/>
      </c>
      <c r="AI1379">
        <f>IF([3]Entry!$K$1382="","",[3]Entry!$K$1382)</f>
        <v/>
      </c>
      <c r="AJ1379">
        <f>IF([3]Entry!$L$1382="","",[3]Entry!$L$1382)</f>
        <v/>
      </c>
      <c r="AK1379">
        <f>IF([3]Entry!$M$1382="","",[3]Entry!$M$1382)</f>
        <v/>
      </c>
      <c r="AL1379">
        <f>IF([3]Entry!$N$1382="","",[3]Entry!$N$1382)</f>
        <v/>
      </c>
      <c r="AM1379">
        <f>IF([3]Entry!$R$1382="","",[3]Entry!$R$1382)</f>
        <v/>
      </c>
    </row>
    <row r="1380">
      <c r="T1380">
        <f>IF([2]Baskol!$B$1383="","",[2]Baskol!$B$1383)</f>
        <v/>
      </c>
      <c r="U1380">
        <f>IF([2]Baskol!$C$1383="","",[2]Baskol!$C$1383)</f>
        <v/>
      </c>
      <c r="V1380">
        <f>IF([2]Baskol!$D$1383="","",[2]Baskol!$D$1383)</f>
        <v/>
      </c>
      <c r="W1380">
        <f>IF([2]Baskol!$E$1383="","",[2]Baskol!$E$1383)</f>
        <v/>
      </c>
      <c r="X1380">
        <f>IF([2]Baskol!$G$1383="","",[2]Baskol!$G$1383)</f>
        <v/>
      </c>
      <c r="Y1380">
        <f>IF([2]Baskol!$I$1383="","",[2]Baskol!$I$1383)</f>
        <v/>
      </c>
      <c r="Z1380">
        <f>IF([2]Baskol!$J$1383="","",[2]Baskol!$J$1383)</f>
        <v/>
      </c>
      <c r="AA1380">
        <f>IF([2]Baskol!$K$1383="","",[2]Baskol!$K$1383)</f>
        <v/>
      </c>
      <c r="AB1380">
        <f>IF([2]Baskol!$L$1383="","",[2]Baskol!$L$1383)</f>
        <v/>
      </c>
      <c r="AC1380">
        <f>IF([2]Baskol!$N$1383="","",[2]Baskol!$N$1383)</f>
        <v/>
      </c>
      <c r="AD1380">
        <f>IF([2]Baskol!$O$1383="","",[2]Baskol!$O$1383)</f>
        <v/>
      </c>
      <c r="AE1380">
        <f>IF([3]Entry!$C$1383="","",[3]Entry!$C$1383)</f>
        <v/>
      </c>
      <c r="AF1380">
        <f>IF([3]Entry!$D$1383="","",[3]Entry!$D$1383)</f>
        <v/>
      </c>
      <c r="AG1380">
        <f>IF([3]Entry!$E$1383="","",[3]Entry!$E$1383)</f>
        <v/>
      </c>
      <c r="AH1380">
        <f>IF([3]Entry!$G$1383="","",[3]Entry!$G$1383)</f>
        <v/>
      </c>
      <c r="AI1380">
        <f>IF([3]Entry!$K$1383="","",[3]Entry!$K$1383)</f>
        <v/>
      </c>
      <c r="AJ1380">
        <f>IF([3]Entry!$L$1383="","",[3]Entry!$L$1383)</f>
        <v/>
      </c>
      <c r="AK1380">
        <f>IF([3]Entry!$M$1383="","",[3]Entry!$M$1383)</f>
        <v/>
      </c>
      <c r="AL1380">
        <f>IF([3]Entry!$N$1383="","",[3]Entry!$N$1383)</f>
        <v/>
      </c>
      <c r="AM1380">
        <f>IF([3]Entry!$R$1383="","",[3]Entry!$R$1383)</f>
        <v/>
      </c>
    </row>
    <row r="1381">
      <c r="T1381">
        <f>IF([2]Baskol!$B$1384="","",[2]Baskol!$B$1384)</f>
        <v/>
      </c>
      <c r="U1381">
        <f>IF([2]Baskol!$C$1384="","",[2]Baskol!$C$1384)</f>
        <v/>
      </c>
      <c r="V1381">
        <f>IF([2]Baskol!$D$1384="","",[2]Baskol!$D$1384)</f>
        <v/>
      </c>
      <c r="W1381">
        <f>IF([2]Baskol!$E$1384="","",[2]Baskol!$E$1384)</f>
        <v/>
      </c>
      <c r="X1381">
        <f>IF([2]Baskol!$G$1384="","",[2]Baskol!$G$1384)</f>
        <v/>
      </c>
      <c r="Y1381">
        <f>IF([2]Baskol!$I$1384="","",[2]Baskol!$I$1384)</f>
        <v/>
      </c>
      <c r="Z1381">
        <f>IF([2]Baskol!$J$1384="","",[2]Baskol!$J$1384)</f>
        <v/>
      </c>
      <c r="AA1381">
        <f>IF([2]Baskol!$K$1384="","",[2]Baskol!$K$1384)</f>
        <v/>
      </c>
      <c r="AB1381">
        <f>IF([2]Baskol!$L$1384="","",[2]Baskol!$L$1384)</f>
        <v/>
      </c>
      <c r="AC1381">
        <f>IF([2]Baskol!$N$1384="","",[2]Baskol!$N$1384)</f>
        <v/>
      </c>
      <c r="AD1381">
        <f>IF([2]Baskol!$O$1384="","",[2]Baskol!$O$1384)</f>
        <v/>
      </c>
      <c r="AE1381">
        <f>IF([3]Entry!$C$1384="","",[3]Entry!$C$1384)</f>
        <v/>
      </c>
      <c r="AF1381">
        <f>IF([3]Entry!$D$1384="","",[3]Entry!$D$1384)</f>
        <v/>
      </c>
      <c r="AG1381">
        <f>IF([3]Entry!$E$1384="","",[3]Entry!$E$1384)</f>
        <v/>
      </c>
      <c r="AH1381">
        <f>IF([3]Entry!$G$1384="","",[3]Entry!$G$1384)</f>
        <v/>
      </c>
      <c r="AI1381">
        <f>IF([3]Entry!$K$1384="","",[3]Entry!$K$1384)</f>
        <v/>
      </c>
      <c r="AJ1381">
        <f>IF([3]Entry!$L$1384="","",[3]Entry!$L$1384)</f>
        <v/>
      </c>
      <c r="AK1381">
        <f>IF([3]Entry!$M$1384="","",[3]Entry!$M$1384)</f>
        <v/>
      </c>
      <c r="AL1381">
        <f>IF([3]Entry!$N$1384="","",[3]Entry!$N$1384)</f>
        <v/>
      </c>
      <c r="AM1381">
        <f>IF([3]Entry!$R$1384="","",[3]Entry!$R$1384)</f>
        <v/>
      </c>
    </row>
    <row r="1382">
      <c r="T1382">
        <f>IF([2]Baskol!$B$1385="","",[2]Baskol!$B$1385)</f>
        <v/>
      </c>
      <c r="U1382">
        <f>IF([2]Baskol!$C$1385="","",[2]Baskol!$C$1385)</f>
        <v/>
      </c>
      <c r="V1382">
        <f>IF([2]Baskol!$D$1385="","",[2]Baskol!$D$1385)</f>
        <v/>
      </c>
      <c r="W1382">
        <f>IF([2]Baskol!$E$1385="","",[2]Baskol!$E$1385)</f>
        <v/>
      </c>
      <c r="X1382">
        <f>IF([2]Baskol!$G$1385="","",[2]Baskol!$G$1385)</f>
        <v/>
      </c>
      <c r="Y1382">
        <f>IF([2]Baskol!$I$1385="","",[2]Baskol!$I$1385)</f>
        <v/>
      </c>
      <c r="Z1382">
        <f>IF([2]Baskol!$J$1385="","",[2]Baskol!$J$1385)</f>
        <v/>
      </c>
      <c r="AA1382">
        <f>IF([2]Baskol!$K$1385="","",[2]Baskol!$K$1385)</f>
        <v/>
      </c>
      <c r="AB1382">
        <f>IF([2]Baskol!$L$1385="","",[2]Baskol!$L$1385)</f>
        <v/>
      </c>
      <c r="AC1382">
        <f>IF([2]Baskol!$N$1385="","",[2]Baskol!$N$1385)</f>
        <v/>
      </c>
      <c r="AD1382">
        <f>IF([2]Baskol!$O$1385="","",[2]Baskol!$O$1385)</f>
        <v/>
      </c>
      <c r="AE1382">
        <f>IF([3]Entry!$C$1385="","",[3]Entry!$C$1385)</f>
        <v/>
      </c>
      <c r="AF1382">
        <f>IF([3]Entry!$D$1385="","",[3]Entry!$D$1385)</f>
        <v/>
      </c>
      <c r="AG1382">
        <f>IF([3]Entry!$E$1385="","",[3]Entry!$E$1385)</f>
        <v/>
      </c>
      <c r="AH1382">
        <f>IF([3]Entry!$G$1385="","",[3]Entry!$G$1385)</f>
        <v/>
      </c>
      <c r="AI1382">
        <f>IF([3]Entry!$K$1385="","",[3]Entry!$K$1385)</f>
        <v/>
      </c>
      <c r="AJ1382">
        <f>IF([3]Entry!$L$1385="","",[3]Entry!$L$1385)</f>
        <v/>
      </c>
      <c r="AK1382">
        <f>IF([3]Entry!$M$1385="","",[3]Entry!$M$1385)</f>
        <v/>
      </c>
      <c r="AL1382">
        <f>IF([3]Entry!$N$1385="","",[3]Entry!$N$1385)</f>
        <v/>
      </c>
      <c r="AM1382">
        <f>IF([3]Entry!$R$1385="","",[3]Entry!$R$1385)</f>
        <v/>
      </c>
    </row>
    <row r="1383">
      <c r="T1383">
        <f>IF([2]Baskol!$B$1386="","",[2]Baskol!$B$1386)</f>
        <v/>
      </c>
      <c r="U1383">
        <f>IF([2]Baskol!$C$1386="","",[2]Baskol!$C$1386)</f>
        <v/>
      </c>
      <c r="V1383">
        <f>IF([2]Baskol!$D$1386="","",[2]Baskol!$D$1386)</f>
        <v/>
      </c>
      <c r="W1383">
        <f>IF([2]Baskol!$E$1386="","",[2]Baskol!$E$1386)</f>
        <v/>
      </c>
      <c r="X1383">
        <f>IF([2]Baskol!$G$1386="","",[2]Baskol!$G$1386)</f>
        <v/>
      </c>
      <c r="Y1383">
        <f>IF([2]Baskol!$I$1386="","",[2]Baskol!$I$1386)</f>
        <v/>
      </c>
      <c r="Z1383">
        <f>IF([2]Baskol!$J$1386="","",[2]Baskol!$J$1386)</f>
        <v/>
      </c>
      <c r="AA1383">
        <f>IF([2]Baskol!$K$1386="","",[2]Baskol!$K$1386)</f>
        <v/>
      </c>
      <c r="AB1383">
        <f>IF([2]Baskol!$L$1386="","",[2]Baskol!$L$1386)</f>
        <v/>
      </c>
      <c r="AC1383">
        <f>IF([2]Baskol!$N$1386="","",[2]Baskol!$N$1386)</f>
        <v/>
      </c>
      <c r="AD1383">
        <f>IF([2]Baskol!$O$1386="","",[2]Baskol!$O$1386)</f>
        <v/>
      </c>
      <c r="AE1383">
        <f>IF([3]Entry!$C$1386="","",[3]Entry!$C$1386)</f>
        <v/>
      </c>
      <c r="AF1383">
        <f>IF([3]Entry!$D$1386="","",[3]Entry!$D$1386)</f>
        <v/>
      </c>
      <c r="AG1383">
        <f>IF([3]Entry!$E$1386="","",[3]Entry!$E$1386)</f>
        <v/>
      </c>
      <c r="AH1383">
        <f>IF([3]Entry!$G$1386="","",[3]Entry!$G$1386)</f>
        <v/>
      </c>
      <c r="AI1383">
        <f>IF([3]Entry!$K$1386="","",[3]Entry!$K$1386)</f>
        <v/>
      </c>
      <c r="AJ1383">
        <f>IF([3]Entry!$L$1386="","",[3]Entry!$L$1386)</f>
        <v/>
      </c>
      <c r="AK1383">
        <f>IF([3]Entry!$M$1386="","",[3]Entry!$M$1386)</f>
        <v/>
      </c>
      <c r="AL1383">
        <f>IF([3]Entry!$N$1386="","",[3]Entry!$N$1386)</f>
        <v/>
      </c>
      <c r="AM1383">
        <f>IF([3]Entry!$R$1386="","",[3]Entry!$R$1386)</f>
        <v/>
      </c>
    </row>
    <row r="1384">
      <c r="T1384">
        <f>IF([2]Baskol!$B$1387="","",[2]Baskol!$B$1387)</f>
        <v/>
      </c>
      <c r="U1384">
        <f>IF([2]Baskol!$C$1387="","",[2]Baskol!$C$1387)</f>
        <v/>
      </c>
      <c r="V1384">
        <f>IF([2]Baskol!$D$1387="","",[2]Baskol!$D$1387)</f>
        <v/>
      </c>
      <c r="W1384">
        <f>IF([2]Baskol!$E$1387="","",[2]Baskol!$E$1387)</f>
        <v/>
      </c>
      <c r="X1384">
        <f>IF([2]Baskol!$G$1387="","",[2]Baskol!$G$1387)</f>
        <v/>
      </c>
      <c r="Y1384">
        <f>IF([2]Baskol!$I$1387="","",[2]Baskol!$I$1387)</f>
        <v/>
      </c>
      <c r="Z1384">
        <f>IF([2]Baskol!$J$1387="","",[2]Baskol!$J$1387)</f>
        <v/>
      </c>
      <c r="AA1384">
        <f>IF([2]Baskol!$K$1387="","",[2]Baskol!$K$1387)</f>
        <v/>
      </c>
      <c r="AB1384">
        <f>IF([2]Baskol!$L$1387="","",[2]Baskol!$L$1387)</f>
        <v/>
      </c>
      <c r="AC1384">
        <f>IF([2]Baskol!$N$1387="","",[2]Baskol!$N$1387)</f>
        <v/>
      </c>
      <c r="AD1384">
        <f>IF([2]Baskol!$O$1387="","",[2]Baskol!$O$1387)</f>
        <v/>
      </c>
      <c r="AE1384">
        <f>IF([3]Entry!$C$1387="","",[3]Entry!$C$1387)</f>
        <v/>
      </c>
      <c r="AF1384">
        <f>IF([3]Entry!$D$1387="","",[3]Entry!$D$1387)</f>
        <v/>
      </c>
      <c r="AG1384">
        <f>IF([3]Entry!$E$1387="","",[3]Entry!$E$1387)</f>
        <v/>
      </c>
      <c r="AH1384">
        <f>IF([3]Entry!$G$1387="","",[3]Entry!$G$1387)</f>
        <v/>
      </c>
      <c r="AI1384">
        <f>IF([3]Entry!$K$1387="","",[3]Entry!$K$1387)</f>
        <v/>
      </c>
      <c r="AJ1384">
        <f>IF([3]Entry!$L$1387="","",[3]Entry!$L$1387)</f>
        <v/>
      </c>
      <c r="AK1384">
        <f>IF([3]Entry!$M$1387="","",[3]Entry!$M$1387)</f>
        <v/>
      </c>
      <c r="AL1384">
        <f>IF([3]Entry!$N$1387="","",[3]Entry!$N$1387)</f>
        <v/>
      </c>
      <c r="AM1384">
        <f>IF([3]Entry!$R$1387="","",[3]Entry!$R$1387)</f>
        <v/>
      </c>
    </row>
    <row r="1385">
      <c r="T1385">
        <f>IF([2]Baskol!$B$1388="","",[2]Baskol!$B$1388)</f>
        <v/>
      </c>
      <c r="U1385">
        <f>IF([2]Baskol!$C$1388="","",[2]Baskol!$C$1388)</f>
        <v/>
      </c>
      <c r="V1385">
        <f>IF([2]Baskol!$D$1388="","",[2]Baskol!$D$1388)</f>
        <v/>
      </c>
      <c r="W1385">
        <f>IF([2]Baskol!$E$1388="","",[2]Baskol!$E$1388)</f>
        <v/>
      </c>
      <c r="X1385">
        <f>IF([2]Baskol!$G$1388="","",[2]Baskol!$G$1388)</f>
        <v/>
      </c>
      <c r="Y1385">
        <f>IF([2]Baskol!$I$1388="","",[2]Baskol!$I$1388)</f>
        <v/>
      </c>
      <c r="Z1385">
        <f>IF([2]Baskol!$J$1388="","",[2]Baskol!$J$1388)</f>
        <v/>
      </c>
      <c r="AA1385">
        <f>IF([2]Baskol!$K$1388="","",[2]Baskol!$K$1388)</f>
        <v/>
      </c>
      <c r="AB1385">
        <f>IF([2]Baskol!$L$1388="","",[2]Baskol!$L$1388)</f>
        <v/>
      </c>
      <c r="AC1385">
        <f>IF([2]Baskol!$N$1388="","",[2]Baskol!$N$1388)</f>
        <v/>
      </c>
      <c r="AD1385">
        <f>IF([2]Baskol!$O$1388="","",[2]Baskol!$O$1388)</f>
        <v/>
      </c>
      <c r="AE1385">
        <f>IF([3]Entry!$C$1388="","",[3]Entry!$C$1388)</f>
        <v/>
      </c>
      <c r="AF1385">
        <f>IF([3]Entry!$D$1388="","",[3]Entry!$D$1388)</f>
        <v/>
      </c>
      <c r="AG1385">
        <f>IF([3]Entry!$E$1388="","",[3]Entry!$E$1388)</f>
        <v/>
      </c>
      <c r="AH1385">
        <f>IF([3]Entry!$G$1388="","",[3]Entry!$G$1388)</f>
        <v/>
      </c>
      <c r="AI1385">
        <f>IF([3]Entry!$K$1388="","",[3]Entry!$K$1388)</f>
        <v/>
      </c>
      <c r="AJ1385">
        <f>IF([3]Entry!$L$1388="","",[3]Entry!$L$1388)</f>
        <v/>
      </c>
      <c r="AK1385">
        <f>IF([3]Entry!$M$1388="","",[3]Entry!$M$1388)</f>
        <v/>
      </c>
      <c r="AL1385">
        <f>IF([3]Entry!$N$1388="","",[3]Entry!$N$1388)</f>
        <v/>
      </c>
      <c r="AM1385">
        <f>IF([3]Entry!$R$1388="","",[3]Entry!$R$1388)</f>
        <v/>
      </c>
    </row>
    <row r="1386">
      <c r="T1386">
        <f>IF([2]Baskol!$B$1389="","",[2]Baskol!$B$1389)</f>
        <v/>
      </c>
      <c r="U1386">
        <f>IF([2]Baskol!$C$1389="","",[2]Baskol!$C$1389)</f>
        <v/>
      </c>
      <c r="V1386">
        <f>IF([2]Baskol!$D$1389="","",[2]Baskol!$D$1389)</f>
        <v/>
      </c>
      <c r="W1386">
        <f>IF([2]Baskol!$E$1389="","",[2]Baskol!$E$1389)</f>
        <v/>
      </c>
      <c r="X1386">
        <f>IF([2]Baskol!$G$1389="","",[2]Baskol!$G$1389)</f>
        <v/>
      </c>
      <c r="Y1386">
        <f>IF([2]Baskol!$I$1389="","",[2]Baskol!$I$1389)</f>
        <v/>
      </c>
      <c r="Z1386">
        <f>IF([2]Baskol!$J$1389="","",[2]Baskol!$J$1389)</f>
        <v/>
      </c>
      <c r="AA1386">
        <f>IF([2]Baskol!$K$1389="","",[2]Baskol!$K$1389)</f>
        <v/>
      </c>
      <c r="AB1386">
        <f>IF([2]Baskol!$L$1389="","",[2]Baskol!$L$1389)</f>
        <v/>
      </c>
      <c r="AC1386">
        <f>IF([2]Baskol!$N$1389="","",[2]Baskol!$N$1389)</f>
        <v/>
      </c>
      <c r="AD1386">
        <f>IF([2]Baskol!$O$1389="","",[2]Baskol!$O$1389)</f>
        <v/>
      </c>
      <c r="AE1386">
        <f>IF([3]Entry!$C$1389="","",[3]Entry!$C$1389)</f>
        <v/>
      </c>
      <c r="AF1386">
        <f>IF([3]Entry!$D$1389="","",[3]Entry!$D$1389)</f>
        <v/>
      </c>
      <c r="AG1386">
        <f>IF([3]Entry!$E$1389="","",[3]Entry!$E$1389)</f>
        <v/>
      </c>
      <c r="AH1386">
        <f>IF([3]Entry!$G$1389="","",[3]Entry!$G$1389)</f>
        <v/>
      </c>
      <c r="AI1386">
        <f>IF([3]Entry!$K$1389="","",[3]Entry!$K$1389)</f>
        <v/>
      </c>
      <c r="AJ1386">
        <f>IF([3]Entry!$L$1389="","",[3]Entry!$L$1389)</f>
        <v/>
      </c>
      <c r="AK1386">
        <f>IF([3]Entry!$M$1389="","",[3]Entry!$M$1389)</f>
        <v/>
      </c>
      <c r="AL1386">
        <f>IF([3]Entry!$N$1389="","",[3]Entry!$N$1389)</f>
        <v/>
      </c>
      <c r="AM1386">
        <f>IF([3]Entry!$R$1389="","",[3]Entry!$R$1389)</f>
        <v/>
      </c>
    </row>
    <row r="1387">
      <c r="T1387">
        <f>IF([2]Baskol!$B$1390="","",[2]Baskol!$B$1390)</f>
        <v/>
      </c>
      <c r="U1387">
        <f>IF([2]Baskol!$C$1390="","",[2]Baskol!$C$1390)</f>
        <v/>
      </c>
      <c r="V1387">
        <f>IF([2]Baskol!$D$1390="","",[2]Baskol!$D$1390)</f>
        <v/>
      </c>
      <c r="W1387">
        <f>IF([2]Baskol!$E$1390="","",[2]Baskol!$E$1390)</f>
        <v/>
      </c>
      <c r="X1387">
        <f>IF([2]Baskol!$G$1390="","",[2]Baskol!$G$1390)</f>
        <v/>
      </c>
      <c r="Y1387">
        <f>IF([2]Baskol!$I$1390="","",[2]Baskol!$I$1390)</f>
        <v/>
      </c>
      <c r="Z1387">
        <f>IF([2]Baskol!$J$1390="","",[2]Baskol!$J$1390)</f>
        <v/>
      </c>
      <c r="AA1387">
        <f>IF([2]Baskol!$K$1390="","",[2]Baskol!$K$1390)</f>
        <v/>
      </c>
      <c r="AB1387">
        <f>IF([2]Baskol!$L$1390="","",[2]Baskol!$L$1390)</f>
        <v/>
      </c>
      <c r="AC1387">
        <f>IF([2]Baskol!$N$1390="","",[2]Baskol!$N$1390)</f>
        <v/>
      </c>
      <c r="AD1387">
        <f>IF([2]Baskol!$O$1390="","",[2]Baskol!$O$1390)</f>
        <v/>
      </c>
      <c r="AE1387">
        <f>IF([3]Entry!$C$1390="","",[3]Entry!$C$1390)</f>
        <v/>
      </c>
      <c r="AF1387">
        <f>IF([3]Entry!$D$1390="","",[3]Entry!$D$1390)</f>
        <v/>
      </c>
      <c r="AG1387">
        <f>IF([3]Entry!$E$1390="","",[3]Entry!$E$1390)</f>
        <v/>
      </c>
      <c r="AH1387">
        <f>IF([3]Entry!$G$1390="","",[3]Entry!$G$1390)</f>
        <v/>
      </c>
      <c r="AI1387">
        <f>IF([3]Entry!$K$1390="","",[3]Entry!$K$1390)</f>
        <v/>
      </c>
      <c r="AJ1387">
        <f>IF([3]Entry!$L$1390="","",[3]Entry!$L$1390)</f>
        <v/>
      </c>
      <c r="AK1387">
        <f>IF([3]Entry!$M$1390="","",[3]Entry!$M$1390)</f>
        <v/>
      </c>
      <c r="AL1387">
        <f>IF([3]Entry!$N$1390="","",[3]Entry!$N$1390)</f>
        <v/>
      </c>
      <c r="AM1387">
        <f>IF([3]Entry!$R$1390="","",[3]Entry!$R$1390)</f>
        <v/>
      </c>
    </row>
    <row r="1388">
      <c r="T1388">
        <f>IF([2]Baskol!$B$1391="","",[2]Baskol!$B$1391)</f>
        <v/>
      </c>
      <c r="U1388">
        <f>IF([2]Baskol!$C$1391="","",[2]Baskol!$C$1391)</f>
        <v/>
      </c>
      <c r="V1388">
        <f>IF([2]Baskol!$D$1391="","",[2]Baskol!$D$1391)</f>
        <v/>
      </c>
      <c r="W1388">
        <f>IF([2]Baskol!$E$1391="","",[2]Baskol!$E$1391)</f>
        <v/>
      </c>
      <c r="X1388">
        <f>IF([2]Baskol!$G$1391="","",[2]Baskol!$G$1391)</f>
        <v/>
      </c>
      <c r="Y1388">
        <f>IF([2]Baskol!$I$1391="","",[2]Baskol!$I$1391)</f>
        <v/>
      </c>
      <c r="Z1388">
        <f>IF([2]Baskol!$J$1391="","",[2]Baskol!$J$1391)</f>
        <v/>
      </c>
      <c r="AA1388">
        <f>IF([2]Baskol!$K$1391="","",[2]Baskol!$K$1391)</f>
        <v/>
      </c>
      <c r="AB1388">
        <f>IF([2]Baskol!$L$1391="","",[2]Baskol!$L$1391)</f>
        <v/>
      </c>
      <c r="AC1388">
        <f>IF([2]Baskol!$N$1391="","",[2]Baskol!$N$1391)</f>
        <v/>
      </c>
      <c r="AD1388">
        <f>IF([2]Baskol!$O$1391="","",[2]Baskol!$O$1391)</f>
        <v/>
      </c>
      <c r="AE1388">
        <f>IF([3]Entry!$C$1391="","",[3]Entry!$C$1391)</f>
        <v/>
      </c>
      <c r="AF1388">
        <f>IF([3]Entry!$D$1391="","",[3]Entry!$D$1391)</f>
        <v/>
      </c>
      <c r="AG1388">
        <f>IF([3]Entry!$E$1391="","",[3]Entry!$E$1391)</f>
        <v/>
      </c>
      <c r="AH1388">
        <f>IF([3]Entry!$G$1391="","",[3]Entry!$G$1391)</f>
        <v/>
      </c>
      <c r="AI1388">
        <f>IF([3]Entry!$K$1391="","",[3]Entry!$K$1391)</f>
        <v/>
      </c>
      <c r="AJ1388">
        <f>IF([3]Entry!$L$1391="","",[3]Entry!$L$1391)</f>
        <v/>
      </c>
      <c r="AK1388">
        <f>IF([3]Entry!$M$1391="","",[3]Entry!$M$1391)</f>
        <v/>
      </c>
      <c r="AL1388">
        <f>IF([3]Entry!$N$1391="","",[3]Entry!$N$1391)</f>
        <v/>
      </c>
      <c r="AM1388">
        <f>IF([3]Entry!$R$1391="","",[3]Entry!$R$1391)</f>
        <v/>
      </c>
    </row>
    <row r="1389">
      <c r="T1389">
        <f>IF([2]Baskol!$B$1392="","",[2]Baskol!$B$1392)</f>
        <v/>
      </c>
      <c r="U1389">
        <f>IF([2]Baskol!$C$1392="","",[2]Baskol!$C$1392)</f>
        <v/>
      </c>
      <c r="V1389">
        <f>IF([2]Baskol!$D$1392="","",[2]Baskol!$D$1392)</f>
        <v/>
      </c>
      <c r="W1389">
        <f>IF([2]Baskol!$E$1392="","",[2]Baskol!$E$1392)</f>
        <v/>
      </c>
      <c r="X1389">
        <f>IF([2]Baskol!$G$1392="","",[2]Baskol!$G$1392)</f>
        <v/>
      </c>
      <c r="Y1389">
        <f>IF([2]Baskol!$I$1392="","",[2]Baskol!$I$1392)</f>
        <v/>
      </c>
      <c r="Z1389">
        <f>IF([2]Baskol!$J$1392="","",[2]Baskol!$J$1392)</f>
        <v/>
      </c>
      <c r="AA1389">
        <f>IF([2]Baskol!$K$1392="","",[2]Baskol!$K$1392)</f>
        <v/>
      </c>
      <c r="AB1389">
        <f>IF([2]Baskol!$L$1392="","",[2]Baskol!$L$1392)</f>
        <v/>
      </c>
      <c r="AC1389">
        <f>IF([2]Baskol!$N$1392="","",[2]Baskol!$N$1392)</f>
        <v/>
      </c>
      <c r="AD1389">
        <f>IF([2]Baskol!$O$1392="","",[2]Baskol!$O$1392)</f>
        <v/>
      </c>
      <c r="AE1389">
        <f>IF([3]Entry!$C$1392="","",[3]Entry!$C$1392)</f>
        <v/>
      </c>
      <c r="AF1389">
        <f>IF([3]Entry!$D$1392="","",[3]Entry!$D$1392)</f>
        <v/>
      </c>
      <c r="AG1389">
        <f>IF([3]Entry!$E$1392="","",[3]Entry!$E$1392)</f>
        <v/>
      </c>
      <c r="AH1389">
        <f>IF([3]Entry!$G$1392="","",[3]Entry!$G$1392)</f>
        <v/>
      </c>
      <c r="AI1389">
        <f>IF([3]Entry!$K$1392="","",[3]Entry!$K$1392)</f>
        <v/>
      </c>
      <c r="AJ1389">
        <f>IF([3]Entry!$L$1392="","",[3]Entry!$L$1392)</f>
        <v/>
      </c>
      <c r="AK1389">
        <f>IF([3]Entry!$M$1392="","",[3]Entry!$M$1392)</f>
        <v/>
      </c>
      <c r="AL1389">
        <f>IF([3]Entry!$N$1392="","",[3]Entry!$N$1392)</f>
        <v/>
      </c>
      <c r="AM1389">
        <f>IF([3]Entry!$R$1392="","",[3]Entry!$R$1392)</f>
        <v/>
      </c>
    </row>
    <row r="1390">
      <c r="T1390">
        <f>IF([2]Baskol!$B$1393="","",[2]Baskol!$B$1393)</f>
        <v/>
      </c>
      <c r="U1390">
        <f>IF([2]Baskol!$C$1393="","",[2]Baskol!$C$1393)</f>
        <v/>
      </c>
      <c r="V1390">
        <f>IF([2]Baskol!$D$1393="","",[2]Baskol!$D$1393)</f>
        <v/>
      </c>
      <c r="W1390">
        <f>IF([2]Baskol!$E$1393="","",[2]Baskol!$E$1393)</f>
        <v/>
      </c>
      <c r="X1390">
        <f>IF([2]Baskol!$G$1393="","",[2]Baskol!$G$1393)</f>
        <v/>
      </c>
      <c r="Y1390">
        <f>IF([2]Baskol!$I$1393="","",[2]Baskol!$I$1393)</f>
        <v/>
      </c>
      <c r="Z1390">
        <f>IF([2]Baskol!$J$1393="","",[2]Baskol!$J$1393)</f>
        <v/>
      </c>
      <c r="AA1390">
        <f>IF([2]Baskol!$K$1393="","",[2]Baskol!$K$1393)</f>
        <v/>
      </c>
      <c r="AB1390">
        <f>IF([2]Baskol!$L$1393="","",[2]Baskol!$L$1393)</f>
        <v/>
      </c>
      <c r="AC1390">
        <f>IF([2]Baskol!$N$1393="","",[2]Baskol!$N$1393)</f>
        <v/>
      </c>
      <c r="AD1390">
        <f>IF([2]Baskol!$O$1393="","",[2]Baskol!$O$1393)</f>
        <v/>
      </c>
      <c r="AE1390">
        <f>IF([3]Entry!$C$1393="","",[3]Entry!$C$1393)</f>
        <v/>
      </c>
      <c r="AF1390">
        <f>IF([3]Entry!$D$1393="","",[3]Entry!$D$1393)</f>
        <v/>
      </c>
      <c r="AG1390">
        <f>IF([3]Entry!$E$1393="","",[3]Entry!$E$1393)</f>
        <v/>
      </c>
      <c r="AH1390">
        <f>IF([3]Entry!$G$1393="","",[3]Entry!$G$1393)</f>
        <v/>
      </c>
      <c r="AI1390">
        <f>IF([3]Entry!$K$1393="","",[3]Entry!$K$1393)</f>
        <v/>
      </c>
      <c r="AJ1390">
        <f>IF([3]Entry!$L$1393="","",[3]Entry!$L$1393)</f>
        <v/>
      </c>
      <c r="AK1390">
        <f>IF([3]Entry!$M$1393="","",[3]Entry!$M$1393)</f>
        <v/>
      </c>
      <c r="AL1390">
        <f>IF([3]Entry!$N$1393="","",[3]Entry!$N$1393)</f>
        <v/>
      </c>
      <c r="AM1390">
        <f>IF([3]Entry!$R$1393="","",[3]Entry!$R$1393)</f>
        <v/>
      </c>
    </row>
    <row r="1391">
      <c r="T1391">
        <f>IF([2]Baskol!$B$1394="","",[2]Baskol!$B$1394)</f>
        <v/>
      </c>
      <c r="U1391">
        <f>IF([2]Baskol!$C$1394="","",[2]Baskol!$C$1394)</f>
        <v/>
      </c>
      <c r="V1391">
        <f>IF([2]Baskol!$D$1394="","",[2]Baskol!$D$1394)</f>
        <v/>
      </c>
      <c r="W1391">
        <f>IF([2]Baskol!$E$1394="","",[2]Baskol!$E$1394)</f>
        <v/>
      </c>
      <c r="X1391">
        <f>IF([2]Baskol!$G$1394="","",[2]Baskol!$G$1394)</f>
        <v/>
      </c>
      <c r="Y1391">
        <f>IF([2]Baskol!$I$1394="","",[2]Baskol!$I$1394)</f>
        <v/>
      </c>
      <c r="Z1391">
        <f>IF([2]Baskol!$J$1394="","",[2]Baskol!$J$1394)</f>
        <v/>
      </c>
      <c r="AA1391">
        <f>IF([2]Baskol!$K$1394="","",[2]Baskol!$K$1394)</f>
        <v/>
      </c>
      <c r="AB1391">
        <f>IF([2]Baskol!$L$1394="","",[2]Baskol!$L$1394)</f>
        <v/>
      </c>
      <c r="AC1391">
        <f>IF([2]Baskol!$N$1394="","",[2]Baskol!$N$1394)</f>
        <v/>
      </c>
      <c r="AD1391">
        <f>IF([2]Baskol!$O$1394="","",[2]Baskol!$O$1394)</f>
        <v/>
      </c>
      <c r="AE1391">
        <f>IF([3]Entry!$C$1394="","",[3]Entry!$C$1394)</f>
        <v/>
      </c>
      <c r="AF1391">
        <f>IF([3]Entry!$D$1394="","",[3]Entry!$D$1394)</f>
        <v/>
      </c>
      <c r="AG1391">
        <f>IF([3]Entry!$E$1394="","",[3]Entry!$E$1394)</f>
        <v/>
      </c>
      <c r="AH1391">
        <f>IF([3]Entry!$G$1394="","",[3]Entry!$G$1394)</f>
        <v/>
      </c>
      <c r="AI1391">
        <f>IF([3]Entry!$K$1394="","",[3]Entry!$K$1394)</f>
        <v/>
      </c>
      <c r="AJ1391">
        <f>IF([3]Entry!$L$1394="","",[3]Entry!$L$1394)</f>
        <v/>
      </c>
      <c r="AK1391">
        <f>IF([3]Entry!$M$1394="","",[3]Entry!$M$1394)</f>
        <v/>
      </c>
      <c r="AL1391">
        <f>IF([3]Entry!$N$1394="","",[3]Entry!$N$1394)</f>
        <v/>
      </c>
      <c r="AM1391">
        <f>IF([3]Entry!$R$1394="","",[3]Entry!$R$1394)</f>
        <v/>
      </c>
    </row>
    <row r="1392">
      <c r="T1392">
        <f>IF([2]Baskol!$B$1395="","",[2]Baskol!$B$1395)</f>
        <v/>
      </c>
      <c r="U1392">
        <f>IF([2]Baskol!$C$1395="","",[2]Baskol!$C$1395)</f>
        <v/>
      </c>
      <c r="V1392">
        <f>IF([2]Baskol!$D$1395="","",[2]Baskol!$D$1395)</f>
        <v/>
      </c>
      <c r="W1392">
        <f>IF([2]Baskol!$E$1395="","",[2]Baskol!$E$1395)</f>
        <v/>
      </c>
      <c r="X1392">
        <f>IF([2]Baskol!$G$1395="","",[2]Baskol!$G$1395)</f>
        <v/>
      </c>
      <c r="Y1392">
        <f>IF([2]Baskol!$I$1395="","",[2]Baskol!$I$1395)</f>
        <v/>
      </c>
      <c r="Z1392">
        <f>IF([2]Baskol!$J$1395="","",[2]Baskol!$J$1395)</f>
        <v/>
      </c>
      <c r="AA1392">
        <f>IF([2]Baskol!$K$1395="","",[2]Baskol!$K$1395)</f>
        <v/>
      </c>
      <c r="AB1392">
        <f>IF([2]Baskol!$L$1395="","",[2]Baskol!$L$1395)</f>
        <v/>
      </c>
      <c r="AC1392">
        <f>IF([2]Baskol!$N$1395="","",[2]Baskol!$N$1395)</f>
        <v/>
      </c>
      <c r="AD1392">
        <f>IF([2]Baskol!$O$1395="","",[2]Baskol!$O$1395)</f>
        <v/>
      </c>
      <c r="AE1392">
        <f>IF([3]Entry!$C$1395="","",[3]Entry!$C$1395)</f>
        <v/>
      </c>
      <c r="AF1392">
        <f>IF([3]Entry!$D$1395="","",[3]Entry!$D$1395)</f>
        <v/>
      </c>
      <c r="AG1392">
        <f>IF([3]Entry!$E$1395="","",[3]Entry!$E$1395)</f>
        <v/>
      </c>
      <c r="AH1392">
        <f>IF([3]Entry!$G$1395="","",[3]Entry!$G$1395)</f>
        <v/>
      </c>
      <c r="AI1392">
        <f>IF([3]Entry!$K$1395="","",[3]Entry!$K$1395)</f>
        <v/>
      </c>
      <c r="AJ1392">
        <f>IF([3]Entry!$L$1395="","",[3]Entry!$L$1395)</f>
        <v/>
      </c>
      <c r="AK1392">
        <f>IF([3]Entry!$M$1395="","",[3]Entry!$M$1395)</f>
        <v/>
      </c>
      <c r="AL1392">
        <f>IF([3]Entry!$N$1395="","",[3]Entry!$N$1395)</f>
        <v/>
      </c>
      <c r="AM1392">
        <f>IF([3]Entry!$R$1395="","",[3]Entry!$R$1395)</f>
        <v/>
      </c>
    </row>
    <row r="1393">
      <c r="T1393">
        <f>IF([2]Baskol!$B$1396="","",[2]Baskol!$B$1396)</f>
        <v/>
      </c>
      <c r="U1393">
        <f>IF([2]Baskol!$C$1396="","",[2]Baskol!$C$1396)</f>
        <v/>
      </c>
      <c r="V1393">
        <f>IF([2]Baskol!$D$1396="","",[2]Baskol!$D$1396)</f>
        <v/>
      </c>
      <c r="W1393">
        <f>IF([2]Baskol!$E$1396="","",[2]Baskol!$E$1396)</f>
        <v/>
      </c>
      <c r="X1393">
        <f>IF([2]Baskol!$G$1396="","",[2]Baskol!$G$1396)</f>
        <v/>
      </c>
      <c r="Y1393">
        <f>IF([2]Baskol!$I$1396="","",[2]Baskol!$I$1396)</f>
        <v/>
      </c>
      <c r="Z1393">
        <f>IF([2]Baskol!$J$1396="","",[2]Baskol!$J$1396)</f>
        <v/>
      </c>
      <c r="AA1393">
        <f>IF([2]Baskol!$K$1396="","",[2]Baskol!$K$1396)</f>
        <v/>
      </c>
      <c r="AB1393">
        <f>IF([2]Baskol!$L$1396="","",[2]Baskol!$L$1396)</f>
        <v/>
      </c>
      <c r="AC1393">
        <f>IF([2]Baskol!$N$1396="","",[2]Baskol!$N$1396)</f>
        <v/>
      </c>
      <c r="AD1393">
        <f>IF([2]Baskol!$O$1396="","",[2]Baskol!$O$1396)</f>
        <v/>
      </c>
      <c r="AE1393">
        <f>IF([3]Entry!$C$1396="","",[3]Entry!$C$1396)</f>
        <v/>
      </c>
      <c r="AF1393">
        <f>IF([3]Entry!$D$1396="","",[3]Entry!$D$1396)</f>
        <v/>
      </c>
      <c r="AG1393">
        <f>IF([3]Entry!$E$1396="","",[3]Entry!$E$1396)</f>
        <v/>
      </c>
      <c r="AH1393">
        <f>IF([3]Entry!$G$1396="","",[3]Entry!$G$1396)</f>
        <v/>
      </c>
      <c r="AI1393">
        <f>IF([3]Entry!$K$1396="","",[3]Entry!$K$1396)</f>
        <v/>
      </c>
      <c r="AJ1393">
        <f>IF([3]Entry!$L$1396="","",[3]Entry!$L$1396)</f>
        <v/>
      </c>
      <c r="AK1393">
        <f>IF([3]Entry!$M$1396="","",[3]Entry!$M$1396)</f>
        <v/>
      </c>
      <c r="AL1393">
        <f>IF([3]Entry!$N$1396="","",[3]Entry!$N$1396)</f>
        <v/>
      </c>
      <c r="AM1393">
        <f>IF([3]Entry!$R$1396="","",[3]Entry!$R$1396)</f>
        <v/>
      </c>
    </row>
    <row r="1394">
      <c r="T1394">
        <f>IF([2]Baskol!$B$1397="","",[2]Baskol!$B$1397)</f>
        <v/>
      </c>
      <c r="U1394">
        <f>IF([2]Baskol!$C$1397="","",[2]Baskol!$C$1397)</f>
        <v/>
      </c>
      <c r="V1394">
        <f>IF([2]Baskol!$D$1397="","",[2]Baskol!$D$1397)</f>
        <v/>
      </c>
      <c r="W1394">
        <f>IF([2]Baskol!$E$1397="","",[2]Baskol!$E$1397)</f>
        <v/>
      </c>
      <c r="X1394">
        <f>IF([2]Baskol!$G$1397="","",[2]Baskol!$G$1397)</f>
        <v/>
      </c>
      <c r="Y1394">
        <f>IF([2]Baskol!$I$1397="","",[2]Baskol!$I$1397)</f>
        <v/>
      </c>
      <c r="Z1394">
        <f>IF([2]Baskol!$J$1397="","",[2]Baskol!$J$1397)</f>
        <v/>
      </c>
      <c r="AA1394">
        <f>IF([2]Baskol!$K$1397="","",[2]Baskol!$K$1397)</f>
        <v/>
      </c>
      <c r="AB1394">
        <f>IF([2]Baskol!$L$1397="","",[2]Baskol!$L$1397)</f>
        <v/>
      </c>
      <c r="AC1394">
        <f>IF([2]Baskol!$N$1397="","",[2]Baskol!$N$1397)</f>
        <v/>
      </c>
      <c r="AD1394">
        <f>IF([2]Baskol!$O$1397="","",[2]Baskol!$O$1397)</f>
        <v/>
      </c>
      <c r="AE1394">
        <f>IF([3]Entry!$C$1397="","",[3]Entry!$C$1397)</f>
        <v/>
      </c>
      <c r="AF1394">
        <f>IF([3]Entry!$D$1397="","",[3]Entry!$D$1397)</f>
        <v/>
      </c>
      <c r="AG1394">
        <f>IF([3]Entry!$E$1397="","",[3]Entry!$E$1397)</f>
        <v/>
      </c>
      <c r="AH1394">
        <f>IF([3]Entry!$G$1397="","",[3]Entry!$G$1397)</f>
        <v/>
      </c>
      <c r="AI1394">
        <f>IF([3]Entry!$K$1397="","",[3]Entry!$K$1397)</f>
        <v/>
      </c>
      <c r="AJ1394">
        <f>IF([3]Entry!$L$1397="","",[3]Entry!$L$1397)</f>
        <v/>
      </c>
      <c r="AK1394">
        <f>IF([3]Entry!$M$1397="","",[3]Entry!$M$1397)</f>
        <v/>
      </c>
      <c r="AL1394">
        <f>IF([3]Entry!$N$1397="","",[3]Entry!$N$1397)</f>
        <v/>
      </c>
      <c r="AM1394">
        <f>IF([3]Entry!$R$1397="","",[3]Entry!$R$1397)</f>
        <v/>
      </c>
    </row>
    <row r="1395">
      <c r="T1395">
        <f>IF([2]Baskol!$B$1398="","",[2]Baskol!$B$1398)</f>
        <v/>
      </c>
      <c r="U1395">
        <f>IF([2]Baskol!$C$1398="","",[2]Baskol!$C$1398)</f>
        <v/>
      </c>
      <c r="V1395">
        <f>IF([2]Baskol!$D$1398="","",[2]Baskol!$D$1398)</f>
        <v/>
      </c>
      <c r="W1395">
        <f>IF([2]Baskol!$E$1398="","",[2]Baskol!$E$1398)</f>
        <v/>
      </c>
      <c r="X1395">
        <f>IF([2]Baskol!$G$1398="","",[2]Baskol!$G$1398)</f>
        <v/>
      </c>
      <c r="Y1395">
        <f>IF([2]Baskol!$I$1398="","",[2]Baskol!$I$1398)</f>
        <v/>
      </c>
      <c r="Z1395">
        <f>IF([2]Baskol!$J$1398="","",[2]Baskol!$J$1398)</f>
        <v/>
      </c>
      <c r="AA1395">
        <f>IF([2]Baskol!$K$1398="","",[2]Baskol!$K$1398)</f>
        <v/>
      </c>
      <c r="AB1395">
        <f>IF([2]Baskol!$L$1398="","",[2]Baskol!$L$1398)</f>
        <v/>
      </c>
      <c r="AC1395">
        <f>IF([2]Baskol!$N$1398="","",[2]Baskol!$N$1398)</f>
        <v/>
      </c>
      <c r="AD1395">
        <f>IF([2]Baskol!$O$1398="","",[2]Baskol!$O$1398)</f>
        <v/>
      </c>
      <c r="AE1395">
        <f>IF([3]Entry!$C$1398="","",[3]Entry!$C$1398)</f>
        <v/>
      </c>
      <c r="AF1395">
        <f>IF([3]Entry!$D$1398="","",[3]Entry!$D$1398)</f>
        <v/>
      </c>
      <c r="AG1395">
        <f>IF([3]Entry!$E$1398="","",[3]Entry!$E$1398)</f>
        <v/>
      </c>
      <c r="AH1395">
        <f>IF([3]Entry!$G$1398="","",[3]Entry!$G$1398)</f>
        <v/>
      </c>
      <c r="AI1395">
        <f>IF([3]Entry!$K$1398="","",[3]Entry!$K$1398)</f>
        <v/>
      </c>
      <c r="AJ1395">
        <f>IF([3]Entry!$L$1398="","",[3]Entry!$L$1398)</f>
        <v/>
      </c>
      <c r="AK1395">
        <f>IF([3]Entry!$M$1398="","",[3]Entry!$M$1398)</f>
        <v/>
      </c>
      <c r="AL1395">
        <f>IF([3]Entry!$N$1398="","",[3]Entry!$N$1398)</f>
        <v/>
      </c>
      <c r="AM1395">
        <f>IF([3]Entry!$R$1398="","",[3]Entry!$R$1398)</f>
        <v/>
      </c>
    </row>
    <row r="1396">
      <c r="T1396">
        <f>IF([2]Baskol!$B$1399="","",[2]Baskol!$B$1399)</f>
        <v/>
      </c>
      <c r="U1396">
        <f>IF([2]Baskol!$C$1399="","",[2]Baskol!$C$1399)</f>
        <v/>
      </c>
      <c r="V1396">
        <f>IF([2]Baskol!$D$1399="","",[2]Baskol!$D$1399)</f>
        <v/>
      </c>
      <c r="W1396">
        <f>IF([2]Baskol!$E$1399="","",[2]Baskol!$E$1399)</f>
        <v/>
      </c>
      <c r="X1396">
        <f>IF([2]Baskol!$G$1399="","",[2]Baskol!$G$1399)</f>
        <v/>
      </c>
      <c r="Y1396">
        <f>IF([2]Baskol!$I$1399="","",[2]Baskol!$I$1399)</f>
        <v/>
      </c>
      <c r="Z1396">
        <f>IF([2]Baskol!$J$1399="","",[2]Baskol!$J$1399)</f>
        <v/>
      </c>
      <c r="AA1396">
        <f>IF([2]Baskol!$K$1399="","",[2]Baskol!$K$1399)</f>
        <v/>
      </c>
      <c r="AB1396">
        <f>IF([2]Baskol!$L$1399="","",[2]Baskol!$L$1399)</f>
        <v/>
      </c>
      <c r="AC1396">
        <f>IF([2]Baskol!$N$1399="","",[2]Baskol!$N$1399)</f>
        <v/>
      </c>
      <c r="AD1396">
        <f>IF([2]Baskol!$O$1399="","",[2]Baskol!$O$1399)</f>
        <v/>
      </c>
      <c r="AE1396">
        <f>IF([3]Entry!$C$1399="","",[3]Entry!$C$1399)</f>
        <v/>
      </c>
      <c r="AF1396">
        <f>IF([3]Entry!$D$1399="","",[3]Entry!$D$1399)</f>
        <v/>
      </c>
      <c r="AG1396">
        <f>IF([3]Entry!$E$1399="","",[3]Entry!$E$1399)</f>
        <v/>
      </c>
      <c r="AH1396">
        <f>IF([3]Entry!$G$1399="","",[3]Entry!$G$1399)</f>
        <v/>
      </c>
      <c r="AI1396">
        <f>IF([3]Entry!$K$1399="","",[3]Entry!$K$1399)</f>
        <v/>
      </c>
      <c r="AJ1396">
        <f>IF([3]Entry!$L$1399="","",[3]Entry!$L$1399)</f>
        <v/>
      </c>
      <c r="AK1396">
        <f>IF([3]Entry!$M$1399="","",[3]Entry!$M$1399)</f>
        <v/>
      </c>
      <c r="AL1396">
        <f>IF([3]Entry!$N$1399="","",[3]Entry!$N$1399)</f>
        <v/>
      </c>
      <c r="AM1396">
        <f>IF([3]Entry!$R$1399="","",[3]Entry!$R$1399)</f>
        <v/>
      </c>
    </row>
    <row r="1397">
      <c r="T1397">
        <f>IF([2]Baskol!$B$1400="","",[2]Baskol!$B$1400)</f>
        <v/>
      </c>
      <c r="U1397">
        <f>IF([2]Baskol!$C$1400="","",[2]Baskol!$C$1400)</f>
        <v/>
      </c>
      <c r="V1397">
        <f>IF([2]Baskol!$D$1400="","",[2]Baskol!$D$1400)</f>
        <v/>
      </c>
      <c r="W1397">
        <f>IF([2]Baskol!$E$1400="","",[2]Baskol!$E$1400)</f>
        <v/>
      </c>
      <c r="X1397">
        <f>IF([2]Baskol!$G$1400="","",[2]Baskol!$G$1400)</f>
        <v/>
      </c>
      <c r="Y1397">
        <f>IF([2]Baskol!$I$1400="","",[2]Baskol!$I$1400)</f>
        <v/>
      </c>
      <c r="Z1397">
        <f>IF([2]Baskol!$J$1400="","",[2]Baskol!$J$1400)</f>
        <v/>
      </c>
      <c r="AA1397">
        <f>IF([2]Baskol!$K$1400="","",[2]Baskol!$K$1400)</f>
        <v/>
      </c>
      <c r="AB1397">
        <f>IF([2]Baskol!$L$1400="","",[2]Baskol!$L$1400)</f>
        <v/>
      </c>
      <c r="AC1397">
        <f>IF([2]Baskol!$N$1400="","",[2]Baskol!$N$1400)</f>
        <v/>
      </c>
      <c r="AD1397">
        <f>IF([2]Baskol!$O$1400="","",[2]Baskol!$O$1400)</f>
        <v/>
      </c>
      <c r="AE1397">
        <f>IF([3]Entry!$C$1400="","",[3]Entry!$C$1400)</f>
        <v/>
      </c>
      <c r="AF1397">
        <f>IF([3]Entry!$D$1400="","",[3]Entry!$D$1400)</f>
        <v/>
      </c>
      <c r="AG1397">
        <f>IF([3]Entry!$E$1400="","",[3]Entry!$E$1400)</f>
        <v/>
      </c>
      <c r="AH1397">
        <f>IF([3]Entry!$G$1400="","",[3]Entry!$G$1400)</f>
        <v/>
      </c>
      <c r="AI1397">
        <f>IF([3]Entry!$K$1400="","",[3]Entry!$K$1400)</f>
        <v/>
      </c>
      <c r="AJ1397">
        <f>IF([3]Entry!$L$1400="","",[3]Entry!$L$1400)</f>
        <v/>
      </c>
      <c r="AK1397">
        <f>IF([3]Entry!$M$1400="","",[3]Entry!$M$1400)</f>
        <v/>
      </c>
      <c r="AL1397">
        <f>IF([3]Entry!$N$1400="","",[3]Entry!$N$1400)</f>
        <v/>
      </c>
      <c r="AM1397">
        <f>IF([3]Entry!$R$1400="","",[3]Entry!$R$1400)</f>
        <v/>
      </c>
    </row>
    <row r="1398">
      <c r="T1398">
        <f>IF([2]Baskol!$B$1401="","",[2]Baskol!$B$1401)</f>
        <v/>
      </c>
      <c r="U1398">
        <f>IF([2]Baskol!$C$1401="","",[2]Baskol!$C$1401)</f>
        <v/>
      </c>
      <c r="V1398">
        <f>IF([2]Baskol!$D$1401="","",[2]Baskol!$D$1401)</f>
        <v/>
      </c>
      <c r="W1398">
        <f>IF([2]Baskol!$E$1401="","",[2]Baskol!$E$1401)</f>
        <v/>
      </c>
      <c r="X1398">
        <f>IF([2]Baskol!$G$1401="","",[2]Baskol!$G$1401)</f>
        <v/>
      </c>
      <c r="Y1398">
        <f>IF([2]Baskol!$I$1401="","",[2]Baskol!$I$1401)</f>
        <v/>
      </c>
      <c r="Z1398">
        <f>IF([2]Baskol!$J$1401="","",[2]Baskol!$J$1401)</f>
        <v/>
      </c>
      <c r="AA1398">
        <f>IF([2]Baskol!$K$1401="","",[2]Baskol!$K$1401)</f>
        <v/>
      </c>
      <c r="AB1398">
        <f>IF([2]Baskol!$L$1401="","",[2]Baskol!$L$1401)</f>
        <v/>
      </c>
      <c r="AC1398">
        <f>IF([2]Baskol!$N$1401="","",[2]Baskol!$N$1401)</f>
        <v/>
      </c>
      <c r="AD1398">
        <f>IF([2]Baskol!$O$1401="","",[2]Baskol!$O$1401)</f>
        <v/>
      </c>
      <c r="AE1398">
        <f>IF([3]Entry!$C$1401="","",[3]Entry!$C$1401)</f>
        <v/>
      </c>
      <c r="AF1398">
        <f>IF([3]Entry!$D$1401="","",[3]Entry!$D$1401)</f>
        <v/>
      </c>
      <c r="AG1398">
        <f>IF([3]Entry!$E$1401="","",[3]Entry!$E$1401)</f>
        <v/>
      </c>
      <c r="AH1398">
        <f>IF([3]Entry!$G$1401="","",[3]Entry!$G$1401)</f>
        <v/>
      </c>
      <c r="AI1398">
        <f>IF([3]Entry!$K$1401="","",[3]Entry!$K$1401)</f>
        <v/>
      </c>
      <c r="AJ1398">
        <f>IF([3]Entry!$L$1401="","",[3]Entry!$L$1401)</f>
        <v/>
      </c>
      <c r="AK1398">
        <f>IF([3]Entry!$M$1401="","",[3]Entry!$M$1401)</f>
        <v/>
      </c>
      <c r="AL1398">
        <f>IF([3]Entry!$N$1401="","",[3]Entry!$N$1401)</f>
        <v/>
      </c>
      <c r="AM1398">
        <f>IF([3]Entry!$R$1401="","",[3]Entry!$R$1401)</f>
        <v/>
      </c>
    </row>
    <row r="1399">
      <c r="T1399">
        <f>IF([2]Baskol!$B$1402="","",[2]Baskol!$B$1402)</f>
        <v/>
      </c>
      <c r="U1399">
        <f>IF([2]Baskol!$C$1402="","",[2]Baskol!$C$1402)</f>
        <v/>
      </c>
      <c r="V1399">
        <f>IF([2]Baskol!$D$1402="","",[2]Baskol!$D$1402)</f>
        <v/>
      </c>
      <c r="W1399">
        <f>IF([2]Baskol!$E$1402="","",[2]Baskol!$E$1402)</f>
        <v/>
      </c>
      <c r="X1399">
        <f>IF([2]Baskol!$G$1402="","",[2]Baskol!$G$1402)</f>
        <v/>
      </c>
      <c r="Y1399">
        <f>IF([2]Baskol!$I$1402="","",[2]Baskol!$I$1402)</f>
        <v/>
      </c>
      <c r="Z1399">
        <f>IF([2]Baskol!$J$1402="","",[2]Baskol!$J$1402)</f>
        <v/>
      </c>
      <c r="AA1399">
        <f>IF([2]Baskol!$K$1402="","",[2]Baskol!$K$1402)</f>
        <v/>
      </c>
      <c r="AB1399">
        <f>IF([2]Baskol!$L$1402="","",[2]Baskol!$L$1402)</f>
        <v/>
      </c>
      <c r="AC1399">
        <f>IF([2]Baskol!$N$1402="","",[2]Baskol!$N$1402)</f>
        <v/>
      </c>
      <c r="AD1399">
        <f>IF([2]Baskol!$O$1402="","",[2]Baskol!$O$1402)</f>
        <v/>
      </c>
      <c r="AE1399">
        <f>IF([3]Entry!$C$1402="","",[3]Entry!$C$1402)</f>
        <v/>
      </c>
      <c r="AF1399">
        <f>IF([3]Entry!$D$1402="","",[3]Entry!$D$1402)</f>
        <v/>
      </c>
      <c r="AG1399">
        <f>IF([3]Entry!$E$1402="","",[3]Entry!$E$1402)</f>
        <v/>
      </c>
      <c r="AH1399">
        <f>IF([3]Entry!$G$1402="","",[3]Entry!$G$1402)</f>
        <v/>
      </c>
      <c r="AI1399">
        <f>IF([3]Entry!$K$1402="","",[3]Entry!$K$1402)</f>
        <v/>
      </c>
      <c r="AJ1399">
        <f>IF([3]Entry!$L$1402="","",[3]Entry!$L$1402)</f>
        <v/>
      </c>
      <c r="AK1399">
        <f>IF([3]Entry!$M$1402="","",[3]Entry!$M$1402)</f>
        <v/>
      </c>
      <c r="AL1399">
        <f>IF([3]Entry!$N$1402="","",[3]Entry!$N$1402)</f>
        <v/>
      </c>
      <c r="AM1399">
        <f>IF([3]Entry!$R$1402="","",[3]Entry!$R$1402)</f>
        <v/>
      </c>
    </row>
    <row r="1400">
      <c r="T1400">
        <f>IF([2]Baskol!$B$1403="","",[2]Baskol!$B$1403)</f>
        <v/>
      </c>
      <c r="U1400">
        <f>IF([2]Baskol!$C$1403="","",[2]Baskol!$C$1403)</f>
        <v/>
      </c>
      <c r="V1400">
        <f>IF([2]Baskol!$D$1403="","",[2]Baskol!$D$1403)</f>
        <v/>
      </c>
      <c r="W1400">
        <f>IF([2]Baskol!$E$1403="","",[2]Baskol!$E$1403)</f>
        <v/>
      </c>
      <c r="X1400">
        <f>IF([2]Baskol!$G$1403="","",[2]Baskol!$G$1403)</f>
        <v/>
      </c>
      <c r="Y1400">
        <f>IF([2]Baskol!$I$1403="","",[2]Baskol!$I$1403)</f>
        <v/>
      </c>
      <c r="Z1400">
        <f>IF([2]Baskol!$J$1403="","",[2]Baskol!$J$1403)</f>
        <v/>
      </c>
      <c r="AA1400">
        <f>IF([2]Baskol!$K$1403="","",[2]Baskol!$K$1403)</f>
        <v/>
      </c>
      <c r="AB1400">
        <f>IF([2]Baskol!$L$1403="","",[2]Baskol!$L$1403)</f>
        <v/>
      </c>
      <c r="AC1400">
        <f>IF([2]Baskol!$N$1403="","",[2]Baskol!$N$1403)</f>
        <v/>
      </c>
      <c r="AD1400">
        <f>IF([2]Baskol!$O$1403="","",[2]Baskol!$O$1403)</f>
        <v/>
      </c>
      <c r="AE1400">
        <f>IF([3]Entry!$C$1403="","",[3]Entry!$C$1403)</f>
        <v/>
      </c>
      <c r="AF1400">
        <f>IF([3]Entry!$D$1403="","",[3]Entry!$D$1403)</f>
        <v/>
      </c>
      <c r="AG1400">
        <f>IF([3]Entry!$E$1403="","",[3]Entry!$E$1403)</f>
        <v/>
      </c>
      <c r="AH1400">
        <f>IF([3]Entry!$G$1403="","",[3]Entry!$G$1403)</f>
        <v/>
      </c>
      <c r="AI1400">
        <f>IF([3]Entry!$K$1403="","",[3]Entry!$K$1403)</f>
        <v/>
      </c>
      <c r="AJ1400">
        <f>IF([3]Entry!$L$1403="","",[3]Entry!$L$1403)</f>
        <v/>
      </c>
      <c r="AK1400">
        <f>IF([3]Entry!$M$1403="","",[3]Entry!$M$1403)</f>
        <v/>
      </c>
      <c r="AL1400">
        <f>IF([3]Entry!$N$1403="","",[3]Entry!$N$1403)</f>
        <v/>
      </c>
      <c r="AM1400">
        <f>IF([3]Entry!$R$1403="","",[3]Entry!$R$1403)</f>
        <v/>
      </c>
    </row>
    <row r="1401">
      <c r="T1401">
        <f>IF([2]Baskol!$B$1404="","",[2]Baskol!$B$1404)</f>
        <v/>
      </c>
      <c r="U1401">
        <f>IF([2]Baskol!$C$1404="","",[2]Baskol!$C$1404)</f>
        <v/>
      </c>
      <c r="V1401">
        <f>IF([2]Baskol!$D$1404="","",[2]Baskol!$D$1404)</f>
        <v/>
      </c>
      <c r="W1401">
        <f>IF([2]Baskol!$E$1404="","",[2]Baskol!$E$1404)</f>
        <v/>
      </c>
      <c r="X1401">
        <f>IF([2]Baskol!$G$1404="","",[2]Baskol!$G$1404)</f>
        <v/>
      </c>
      <c r="Y1401">
        <f>IF([2]Baskol!$I$1404="","",[2]Baskol!$I$1404)</f>
        <v/>
      </c>
      <c r="Z1401">
        <f>IF([2]Baskol!$J$1404="","",[2]Baskol!$J$1404)</f>
        <v/>
      </c>
      <c r="AA1401">
        <f>IF([2]Baskol!$K$1404="","",[2]Baskol!$K$1404)</f>
        <v/>
      </c>
      <c r="AB1401">
        <f>IF([2]Baskol!$L$1404="","",[2]Baskol!$L$1404)</f>
        <v/>
      </c>
      <c r="AC1401">
        <f>IF([2]Baskol!$N$1404="","",[2]Baskol!$N$1404)</f>
        <v/>
      </c>
      <c r="AD1401">
        <f>IF([2]Baskol!$O$1404="","",[2]Baskol!$O$1404)</f>
        <v/>
      </c>
      <c r="AE1401">
        <f>IF([3]Entry!$C$1404="","",[3]Entry!$C$1404)</f>
        <v/>
      </c>
      <c r="AF1401">
        <f>IF([3]Entry!$D$1404="","",[3]Entry!$D$1404)</f>
        <v/>
      </c>
      <c r="AG1401">
        <f>IF([3]Entry!$E$1404="","",[3]Entry!$E$1404)</f>
        <v/>
      </c>
      <c r="AH1401">
        <f>IF([3]Entry!$G$1404="","",[3]Entry!$G$1404)</f>
        <v/>
      </c>
      <c r="AI1401">
        <f>IF([3]Entry!$K$1404="","",[3]Entry!$K$1404)</f>
        <v/>
      </c>
      <c r="AJ1401">
        <f>IF([3]Entry!$L$1404="","",[3]Entry!$L$1404)</f>
        <v/>
      </c>
      <c r="AK1401">
        <f>IF([3]Entry!$M$1404="","",[3]Entry!$M$1404)</f>
        <v/>
      </c>
      <c r="AL1401">
        <f>IF([3]Entry!$N$1404="","",[3]Entry!$N$1404)</f>
        <v/>
      </c>
      <c r="AM1401">
        <f>IF([3]Entry!$R$1404="","",[3]Entry!$R$1404)</f>
        <v/>
      </c>
    </row>
    <row r="1402">
      <c r="T1402">
        <f>IF([2]Baskol!$B$1405="","",[2]Baskol!$B$1405)</f>
        <v/>
      </c>
      <c r="U1402">
        <f>IF([2]Baskol!$C$1405="","",[2]Baskol!$C$1405)</f>
        <v/>
      </c>
      <c r="V1402">
        <f>IF([2]Baskol!$D$1405="","",[2]Baskol!$D$1405)</f>
        <v/>
      </c>
      <c r="W1402">
        <f>IF([2]Baskol!$E$1405="","",[2]Baskol!$E$1405)</f>
        <v/>
      </c>
      <c r="X1402">
        <f>IF([2]Baskol!$G$1405="","",[2]Baskol!$G$1405)</f>
        <v/>
      </c>
      <c r="Y1402">
        <f>IF([2]Baskol!$I$1405="","",[2]Baskol!$I$1405)</f>
        <v/>
      </c>
      <c r="Z1402">
        <f>IF([2]Baskol!$J$1405="","",[2]Baskol!$J$1405)</f>
        <v/>
      </c>
      <c r="AA1402">
        <f>IF([2]Baskol!$K$1405="","",[2]Baskol!$K$1405)</f>
        <v/>
      </c>
      <c r="AB1402">
        <f>IF([2]Baskol!$L$1405="","",[2]Baskol!$L$1405)</f>
        <v/>
      </c>
      <c r="AC1402">
        <f>IF([2]Baskol!$N$1405="","",[2]Baskol!$N$1405)</f>
        <v/>
      </c>
      <c r="AD1402">
        <f>IF([2]Baskol!$O$1405="","",[2]Baskol!$O$1405)</f>
        <v/>
      </c>
      <c r="AE1402">
        <f>IF([3]Entry!$C$1405="","",[3]Entry!$C$1405)</f>
        <v/>
      </c>
      <c r="AF1402">
        <f>IF([3]Entry!$D$1405="","",[3]Entry!$D$1405)</f>
        <v/>
      </c>
      <c r="AG1402">
        <f>IF([3]Entry!$E$1405="","",[3]Entry!$E$1405)</f>
        <v/>
      </c>
      <c r="AH1402">
        <f>IF([3]Entry!$G$1405="","",[3]Entry!$G$1405)</f>
        <v/>
      </c>
      <c r="AI1402">
        <f>IF([3]Entry!$K$1405="","",[3]Entry!$K$1405)</f>
        <v/>
      </c>
      <c r="AJ1402">
        <f>IF([3]Entry!$L$1405="","",[3]Entry!$L$1405)</f>
        <v/>
      </c>
      <c r="AK1402">
        <f>IF([3]Entry!$M$1405="","",[3]Entry!$M$1405)</f>
        <v/>
      </c>
      <c r="AL1402">
        <f>IF([3]Entry!$N$1405="","",[3]Entry!$N$1405)</f>
        <v/>
      </c>
      <c r="AM1402">
        <f>IF([3]Entry!$R$1405="","",[3]Entry!$R$1405)</f>
        <v/>
      </c>
    </row>
    <row r="1403">
      <c r="T1403">
        <f>IF([2]Baskol!$B$1406="","",[2]Baskol!$B$1406)</f>
        <v/>
      </c>
      <c r="U1403">
        <f>IF([2]Baskol!$C$1406="","",[2]Baskol!$C$1406)</f>
        <v/>
      </c>
      <c r="V1403">
        <f>IF([2]Baskol!$D$1406="","",[2]Baskol!$D$1406)</f>
        <v/>
      </c>
      <c r="W1403">
        <f>IF([2]Baskol!$E$1406="","",[2]Baskol!$E$1406)</f>
        <v/>
      </c>
      <c r="X1403">
        <f>IF([2]Baskol!$G$1406="","",[2]Baskol!$G$1406)</f>
        <v/>
      </c>
      <c r="Y1403">
        <f>IF([2]Baskol!$I$1406="","",[2]Baskol!$I$1406)</f>
        <v/>
      </c>
      <c r="Z1403">
        <f>IF([2]Baskol!$J$1406="","",[2]Baskol!$J$1406)</f>
        <v/>
      </c>
      <c r="AA1403">
        <f>IF([2]Baskol!$K$1406="","",[2]Baskol!$K$1406)</f>
        <v/>
      </c>
      <c r="AB1403">
        <f>IF([2]Baskol!$L$1406="","",[2]Baskol!$L$1406)</f>
        <v/>
      </c>
      <c r="AC1403">
        <f>IF([2]Baskol!$N$1406="","",[2]Baskol!$N$1406)</f>
        <v/>
      </c>
      <c r="AD1403">
        <f>IF([2]Baskol!$O$1406="","",[2]Baskol!$O$1406)</f>
        <v/>
      </c>
      <c r="AE1403">
        <f>IF([3]Entry!$C$1406="","",[3]Entry!$C$1406)</f>
        <v/>
      </c>
      <c r="AF1403">
        <f>IF([3]Entry!$D$1406="","",[3]Entry!$D$1406)</f>
        <v/>
      </c>
      <c r="AG1403">
        <f>IF([3]Entry!$E$1406="","",[3]Entry!$E$1406)</f>
        <v/>
      </c>
      <c r="AH1403">
        <f>IF([3]Entry!$G$1406="","",[3]Entry!$G$1406)</f>
        <v/>
      </c>
      <c r="AI1403">
        <f>IF([3]Entry!$K$1406="","",[3]Entry!$K$1406)</f>
        <v/>
      </c>
      <c r="AJ1403">
        <f>IF([3]Entry!$L$1406="","",[3]Entry!$L$1406)</f>
        <v/>
      </c>
      <c r="AK1403">
        <f>IF([3]Entry!$M$1406="","",[3]Entry!$M$1406)</f>
        <v/>
      </c>
      <c r="AL1403">
        <f>IF([3]Entry!$N$1406="","",[3]Entry!$N$1406)</f>
        <v/>
      </c>
      <c r="AM1403">
        <f>IF([3]Entry!$R$1406="","",[3]Entry!$R$1406)</f>
        <v/>
      </c>
    </row>
    <row r="1404">
      <c r="T1404">
        <f>IF([2]Baskol!$B$1407="","",[2]Baskol!$B$1407)</f>
        <v/>
      </c>
      <c r="U1404">
        <f>IF([2]Baskol!$C$1407="","",[2]Baskol!$C$1407)</f>
        <v/>
      </c>
      <c r="V1404">
        <f>IF([2]Baskol!$D$1407="","",[2]Baskol!$D$1407)</f>
        <v/>
      </c>
      <c r="W1404">
        <f>IF([2]Baskol!$E$1407="","",[2]Baskol!$E$1407)</f>
        <v/>
      </c>
      <c r="X1404">
        <f>IF([2]Baskol!$G$1407="","",[2]Baskol!$G$1407)</f>
        <v/>
      </c>
      <c r="Y1404">
        <f>IF([2]Baskol!$I$1407="","",[2]Baskol!$I$1407)</f>
        <v/>
      </c>
      <c r="Z1404">
        <f>IF([2]Baskol!$J$1407="","",[2]Baskol!$J$1407)</f>
        <v/>
      </c>
      <c r="AA1404">
        <f>IF([2]Baskol!$K$1407="","",[2]Baskol!$K$1407)</f>
        <v/>
      </c>
      <c r="AB1404">
        <f>IF([2]Baskol!$L$1407="","",[2]Baskol!$L$1407)</f>
        <v/>
      </c>
      <c r="AC1404">
        <f>IF([2]Baskol!$N$1407="","",[2]Baskol!$N$1407)</f>
        <v/>
      </c>
      <c r="AD1404">
        <f>IF([2]Baskol!$O$1407="","",[2]Baskol!$O$1407)</f>
        <v/>
      </c>
      <c r="AE1404">
        <f>IF([3]Entry!$C$1407="","",[3]Entry!$C$1407)</f>
        <v/>
      </c>
      <c r="AF1404">
        <f>IF([3]Entry!$D$1407="","",[3]Entry!$D$1407)</f>
        <v/>
      </c>
      <c r="AG1404">
        <f>IF([3]Entry!$E$1407="","",[3]Entry!$E$1407)</f>
        <v/>
      </c>
      <c r="AH1404">
        <f>IF([3]Entry!$G$1407="","",[3]Entry!$G$1407)</f>
        <v/>
      </c>
      <c r="AI1404">
        <f>IF([3]Entry!$K$1407="","",[3]Entry!$K$1407)</f>
        <v/>
      </c>
      <c r="AJ1404">
        <f>IF([3]Entry!$L$1407="","",[3]Entry!$L$1407)</f>
        <v/>
      </c>
      <c r="AK1404">
        <f>IF([3]Entry!$M$1407="","",[3]Entry!$M$1407)</f>
        <v/>
      </c>
      <c r="AL1404">
        <f>IF([3]Entry!$N$1407="","",[3]Entry!$N$1407)</f>
        <v/>
      </c>
      <c r="AM1404">
        <f>IF([3]Entry!$R$1407="","",[3]Entry!$R$1407)</f>
        <v/>
      </c>
    </row>
    <row r="1405">
      <c r="T1405">
        <f>IF([2]Baskol!$B$1408="","",[2]Baskol!$B$1408)</f>
        <v/>
      </c>
      <c r="U1405">
        <f>IF([2]Baskol!$C$1408="","",[2]Baskol!$C$1408)</f>
        <v/>
      </c>
      <c r="V1405">
        <f>IF([2]Baskol!$D$1408="","",[2]Baskol!$D$1408)</f>
        <v/>
      </c>
      <c r="W1405">
        <f>IF([2]Baskol!$E$1408="","",[2]Baskol!$E$1408)</f>
        <v/>
      </c>
      <c r="X1405">
        <f>IF([2]Baskol!$G$1408="","",[2]Baskol!$G$1408)</f>
        <v/>
      </c>
      <c r="Y1405">
        <f>IF([2]Baskol!$I$1408="","",[2]Baskol!$I$1408)</f>
        <v/>
      </c>
      <c r="Z1405">
        <f>IF([2]Baskol!$J$1408="","",[2]Baskol!$J$1408)</f>
        <v/>
      </c>
      <c r="AA1405">
        <f>IF([2]Baskol!$K$1408="","",[2]Baskol!$K$1408)</f>
        <v/>
      </c>
      <c r="AB1405">
        <f>IF([2]Baskol!$L$1408="","",[2]Baskol!$L$1408)</f>
        <v/>
      </c>
      <c r="AC1405">
        <f>IF([2]Baskol!$N$1408="","",[2]Baskol!$N$1408)</f>
        <v/>
      </c>
      <c r="AD1405">
        <f>IF([2]Baskol!$O$1408="","",[2]Baskol!$O$1408)</f>
        <v/>
      </c>
      <c r="AE1405">
        <f>IF([3]Entry!$C$1408="","",[3]Entry!$C$1408)</f>
        <v/>
      </c>
      <c r="AF1405">
        <f>IF([3]Entry!$D$1408="","",[3]Entry!$D$1408)</f>
        <v/>
      </c>
      <c r="AG1405">
        <f>IF([3]Entry!$E$1408="","",[3]Entry!$E$1408)</f>
        <v/>
      </c>
      <c r="AH1405">
        <f>IF([3]Entry!$G$1408="","",[3]Entry!$G$1408)</f>
        <v/>
      </c>
      <c r="AI1405">
        <f>IF([3]Entry!$K$1408="","",[3]Entry!$K$1408)</f>
        <v/>
      </c>
      <c r="AJ1405">
        <f>IF([3]Entry!$L$1408="","",[3]Entry!$L$1408)</f>
        <v/>
      </c>
      <c r="AK1405">
        <f>IF([3]Entry!$M$1408="","",[3]Entry!$M$1408)</f>
        <v/>
      </c>
      <c r="AL1405">
        <f>IF([3]Entry!$N$1408="","",[3]Entry!$N$1408)</f>
        <v/>
      </c>
      <c r="AM1405">
        <f>IF([3]Entry!$R$1408="","",[3]Entry!$R$1408)</f>
        <v/>
      </c>
    </row>
    <row r="1406">
      <c r="T1406">
        <f>IF([2]Baskol!$B$1409="","",[2]Baskol!$B$1409)</f>
        <v/>
      </c>
      <c r="U1406">
        <f>IF([2]Baskol!$C$1409="","",[2]Baskol!$C$1409)</f>
        <v/>
      </c>
      <c r="V1406">
        <f>IF([2]Baskol!$D$1409="","",[2]Baskol!$D$1409)</f>
        <v/>
      </c>
      <c r="W1406">
        <f>IF([2]Baskol!$E$1409="","",[2]Baskol!$E$1409)</f>
        <v/>
      </c>
      <c r="X1406">
        <f>IF([2]Baskol!$G$1409="","",[2]Baskol!$G$1409)</f>
        <v/>
      </c>
      <c r="Y1406">
        <f>IF([2]Baskol!$I$1409="","",[2]Baskol!$I$1409)</f>
        <v/>
      </c>
      <c r="Z1406">
        <f>IF([2]Baskol!$J$1409="","",[2]Baskol!$J$1409)</f>
        <v/>
      </c>
      <c r="AA1406">
        <f>IF([2]Baskol!$K$1409="","",[2]Baskol!$K$1409)</f>
        <v/>
      </c>
      <c r="AB1406">
        <f>IF([2]Baskol!$L$1409="","",[2]Baskol!$L$1409)</f>
        <v/>
      </c>
      <c r="AC1406">
        <f>IF([2]Baskol!$N$1409="","",[2]Baskol!$N$1409)</f>
        <v/>
      </c>
      <c r="AD1406">
        <f>IF([2]Baskol!$O$1409="","",[2]Baskol!$O$1409)</f>
        <v/>
      </c>
      <c r="AE1406">
        <f>IF([3]Entry!$C$1409="","",[3]Entry!$C$1409)</f>
        <v/>
      </c>
      <c r="AF1406">
        <f>IF([3]Entry!$D$1409="","",[3]Entry!$D$1409)</f>
        <v/>
      </c>
      <c r="AG1406">
        <f>IF([3]Entry!$E$1409="","",[3]Entry!$E$1409)</f>
        <v/>
      </c>
      <c r="AH1406">
        <f>IF([3]Entry!$G$1409="","",[3]Entry!$G$1409)</f>
        <v/>
      </c>
      <c r="AI1406">
        <f>IF([3]Entry!$K$1409="","",[3]Entry!$K$1409)</f>
        <v/>
      </c>
      <c r="AJ1406">
        <f>IF([3]Entry!$L$1409="","",[3]Entry!$L$1409)</f>
        <v/>
      </c>
      <c r="AK1406">
        <f>IF([3]Entry!$M$1409="","",[3]Entry!$M$1409)</f>
        <v/>
      </c>
      <c r="AL1406">
        <f>IF([3]Entry!$N$1409="","",[3]Entry!$N$1409)</f>
        <v/>
      </c>
      <c r="AM1406">
        <f>IF([3]Entry!$R$1409="","",[3]Entry!$R$1409)</f>
        <v/>
      </c>
    </row>
    <row r="1407">
      <c r="T1407">
        <f>IF([2]Baskol!$B$1410="","",[2]Baskol!$B$1410)</f>
        <v/>
      </c>
      <c r="U1407">
        <f>IF([2]Baskol!$C$1410="","",[2]Baskol!$C$1410)</f>
        <v/>
      </c>
      <c r="V1407">
        <f>IF([2]Baskol!$D$1410="","",[2]Baskol!$D$1410)</f>
        <v/>
      </c>
      <c r="W1407">
        <f>IF([2]Baskol!$E$1410="","",[2]Baskol!$E$1410)</f>
        <v/>
      </c>
      <c r="X1407">
        <f>IF([2]Baskol!$G$1410="","",[2]Baskol!$G$1410)</f>
        <v/>
      </c>
      <c r="Y1407">
        <f>IF([2]Baskol!$I$1410="","",[2]Baskol!$I$1410)</f>
        <v/>
      </c>
      <c r="Z1407">
        <f>IF([2]Baskol!$J$1410="","",[2]Baskol!$J$1410)</f>
        <v/>
      </c>
      <c r="AA1407">
        <f>IF([2]Baskol!$K$1410="","",[2]Baskol!$K$1410)</f>
        <v/>
      </c>
      <c r="AB1407">
        <f>IF([2]Baskol!$L$1410="","",[2]Baskol!$L$1410)</f>
        <v/>
      </c>
      <c r="AC1407">
        <f>IF([2]Baskol!$N$1410="","",[2]Baskol!$N$1410)</f>
        <v/>
      </c>
      <c r="AD1407">
        <f>IF([2]Baskol!$O$1410="","",[2]Baskol!$O$1410)</f>
        <v/>
      </c>
      <c r="AE1407">
        <f>IF([3]Entry!$C$1410="","",[3]Entry!$C$1410)</f>
        <v/>
      </c>
      <c r="AF1407">
        <f>IF([3]Entry!$D$1410="","",[3]Entry!$D$1410)</f>
        <v/>
      </c>
      <c r="AG1407">
        <f>IF([3]Entry!$E$1410="","",[3]Entry!$E$1410)</f>
        <v/>
      </c>
      <c r="AH1407">
        <f>IF([3]Entry!$G$1410="","",[3]Entry!$G$1410)</f>
        <v/>
      </c>
      <c r="AI1407">
        <f>IF([3]Entry!$K$1410="","",[3]Entry!$K$1410)</f>
        <v/>
      </c>
      <c r="AJ1407">
        <f>IF([3]Entry!$L$1410="","",[3]Entry!$L$1410)</f>
        <v/>
      </c>
      <c r="AK1407">
        <f>IF([3]Entry!$M$1410="","",[3]Entry!$M$1410)</f>
        <v/>
      </c>
      <c r="AL1407">
        <f>IF([3]Entry!$N$1410="","",[3]Entry!$N$1410)</f>
        <v/>
      </c>
      <c r="AM1407">
        <f>IF([3]Entry!$R$1410="","",[3]Entry!$R$1410)</f>
        <v/>
      </c>
    </row>
    <row r="1408">
      <c r="T1408">
        <f>IF([2]Baskol!$B$1411="","",[2]Baskol!$B$1411)</f>
        <v/>
      </c>
      <c r="U1408">
        <f>IF([2]Baskol!$C$1411="","",[2]Baskol!$C$1411)</f>
        <v/>
      </c>
      <c r="V1408">
        <f>IF([2]Baskol!$D$1411="","",[2]Baskol!$D$1411)</f>
        <v/>
      </c>
      <c r="W1408">
        <f>IF([2]Baskol!$E$1411="","",[2]Baskol!$E$1411)</f>
        <v/>
      </c>
      <c r="X1408">
        <f>IF([2]Baskol!$G$1411="","",[2]Baskol!$G$1411)</f>
        <v/>
      </c>
      <c r="Y1408">
        <f>IF([2]Baskol!$I$1411="","",[2]Baskol!$I$1411)</f>
        <v/>
      </c>
      <c r="Z1408">
        <f>IF([2]Baskol!$J$1411="","",[2]Baskol!$J$1411)</f>
        <v/>
      </c>
      <c r="AA1408">
        <f>IF([2]Baskol!$K$1411="","",[2]Baskol!$K$1411)</f>
        <v/>
      </c>
      <c r="AB1408">
        <f>IF([2]Baskol!$L$1411="","",[2]Baskol!$L$1411)</f>
        <v/>
      </c>
      <c r="AC1408">
        <f>IF([2]Baskol!$N$1411="","",[2]Baskol!$N$1411)</f>
        <v/>
      </c>
      <c r="AD1408">
        <f>IF([2]Baskol!$O$1411="","",[2]Baskol!$O$1411)</f>
        <v/>
      </c>
      <c r="AE1408">
        <f>IF([3]Entry!$C$1411="","",[3]Entry!$C$1411)</f>
        <v/>
      </c>
      <c r="AF1408">
        <f>IF([3]Entry!$D$1411="","",[3]Entry!$D$1411)</f>
        <v/>
      </c>
      <c r="AG1408">
        <f>IF([3]Entry!$E$1411="","",[3]Entry!$E$1411)</f>
        <v/>
      </c>
      <c r="AH1408">
        <f>IF([3]Entry!$G$1411="","",[3]Entry!$G$1411)</f>
        <v/>
      </c>
      <c r="AI1408">
        <f>IF([3]Entry!$K$1411="","",[3]Entry!$K$1411)</f>
        <v/>
      </c>
      <c r="AJ1408">
        <f>IF([3]Entry!$L$1411="","",[3]Entry!$L$1411)</f>
        <v/>
      </c>
      <c r="AK1408">
        <f>IF([3]Entry!$M$1411="","",[3]Entry!$M$1411)</f>
        <v/>
      </c>
      <c r="AL1408">
        <f>IF([3]Entry!$N$1411="","",[3]Entry!$N$1411)</f>
        <v/>
      </c>
      <c r="AM1408">
        <f>IF([3]Entry!$R$1411="","",[3]Entry!$R$1411)</f>
        <v/>
      </c>
    </row>
    <row r="1409">
      <c r="T1409">
        <f>IF([2]Baskol!$B$1412="","",[2]Baskol!$B$1412)</f>
        <v/>
      </c>
      <c r="U1409">
        <f>IF([2]Baskol!$C$1412="","",[2]Baskol!$C$1412)</f>
        <v/>
      </c>
      <c r="V1409">
        <f>IF([2]Baskol!$D$1412="","",[2]Baskol!$D$1412)</f>
        <v/>
      </c>
      <c r="W1409">
        <f>IF([2]Baskol!$E$1412="","",[2]Baskol!$E$1412)</f>
        <v/>
      </c>
      <c r="X1409">
        <f>IF([2]Baskol!$G$1412="","",[2]Baskol!$G$1412)</f>
        <v/>
      </c>
      <c r="Y1409">
        <f>IF([2]Baskol!$I$1412="","",[2]Baskol!$I$1412)</f>
        <v/>
      </c>
      <c r="Z1409">
        <f>IF([2]Baskol!$J$1412="","",[2]Baskol!$J$1412)</f>
        <v/>
      </c>
      <c r="AA1409">
        <f>IF([2]Baskol!$K$1412="","",[2]Baskol!$K$1412)</f>
        <v/>
      </c>
      <c r="AB1409">
        <f>IF([2]Baskol!$L$1412="","",[2]Baskol!$L$1412)</f>
        <v/>
      </c>
      <c r="AC1409">
        <f>IF([2]Baskol!$N$1412="","",[2]Baskol!$N$1412)</f>
        <v/>
      </c>
      <c r="AD1409">
        <f>IF([2]Baskol!$O$1412="","",[2]Baskol!$O$1412)</f>
        <v/>
      </c>
      <c r="AE1409">
        <f>IF([3]Entry!$C$1412="","",[3]Entry!$C$1412)</f>
        <v/>
      </c>
      <c r="AF1409">
        <f>IF([3]Entry!$D$1412="","",[3]Entry!$D$1412)</f>
        <v/>
      </c>
      <c r="AG1409">
        <f>IF([3]Entry!$E$1412="","",[3]Entry!$E$1412)</f>
        <v/>
      </c>
      <c r="AH1409">
        <f>IF([3]Entry!$G$1412="","",[3]Entry!$G$1412)</f>
        <v/>
      </c>
      <c r="AI1409">
        <f>IF([3]Entry!$K$1412="","",[3]Entry!$K$1412)</f>
        <v/>
      </c>
      <c r="AJ1409">
        <f>IF([3]Entry!$L$1412="","",[3]Entry!$L$1412)</f>
        <v/>
      </c>
      <c r="AK1409">
        <f>IF([3]Entry!$M$1412="","",[3]Entry!$M$1412)</f>
        <v/>
      </c>
      <c r="AL1409">
        <f>IF([3]Entry!$N$1412="","",[3]Entry!$N$1412)</f>
        <v/>
      </c>
      <c r="AM1409">
        <f>IF([3]Entry!$R$1412="","",[3]Entry!$R$1412)</f>
        <v/>
      </c>
    </row>
    <row r="1410">
      <c r="T1410">
        <f>IF([2]Baskol!$B$1413="","",[2]Baskol!$B$1413)</f>
        <v/>
      </c>
      <c r="U1410">
        <f>IF([2]Baskol!$C$1413="","",[2]Baskol!$C$1413)</f>
        <v/>
      </c>
      <c r="V1410">
        <f>IF([2]Baskol!$D$1413="","",[2]Baskol!$D$1413)</f>
        <v/>
      </c>
      <c r="W1410">
        <f>IF([2]Baskol!$E$1413="","",[2]Baskol!$E$1413)</f>
        <v/>
      </c>
      <c r="X1410">
        <f>IF([2]Baskol!$G$1413="","",[2]Baskol!$G$1413)</f>
        <v/>
      </c>
      <c r="Y1410">
        <f>IF([2]Baskol!$I$1413="","",[2]Baskol!$I$1413)</f>
        <v/>
      </c>
      <c r="Z1410">
        <f>IF([2]Baskol!$J$1413="","",[2]Baskol!$J$1413)</f>
        <v/>
      </c>
      <c r="AA1410">
        <f>IF([2]Baskol!$K$1413="","",[2]Baskol!$K$1413)</f>
        <v/>
      </c>
      <c r="AB1410">
        <f>IF([2]Baskol!$L$1413="","",[2]Baskol!$L$1413)</f>
        <v/>
      </c>
      <c r="AC1410">
        <f>IF([2]Baskol!$N$1413="","",[2]Baskol!$N$1413)</f>
        <v/>
      </c>
      <c r="AD1410">
        <f>IF([2]Baskol!$O$1413="","",[2]Baskol!$O$1413)</f>
        <v/>
      </c>
      <c r="AE1410">
        <f>IF([3]Entry!$C$1413="","",[3]Entry!$C$1413)</f>
        <v/>
      </c>
      <c r="AF1410">
        <f>IF([3]Entry!$D$1413="","",[3]Entry!$D$1413)</f>
        <v/>
      </c>
      <c r="AG1410">
        <f>IF([3]Entry!$E$1413="","",[3]Entry!$E$1413)</f>
        <v/>
      </c>
      <c r="AH1410">
        <f>IF([3]Entry!$G$1413="","",[3]Entry!$G$1413)</f>
        <v/>
      </c>
      <c r="AI1410">
        <f>IF([3]Entry!$K$1413="","",[3]Entry!$K$1413)</f>
        <v/>
      </c>
      <c r="AJ1410">
        <f>IF([3]Entry!$L$1413="","",[3]Entry!$L$1413)</f>
        <v/>
      </c>
      <c r="AK1410">
        <f>IF([3]Entry!$M$1413="","",[3]Entry!$M$1413)</f>
        <v/>
      </c>
      <c r="AL1410">
        <f>IF([3]Entry!$N$1413="","",[3]Entry!$N$1413)</f>
        <v/>
      </c>
      <c r="AM1410">
        <f>IF([3]Entry!$R$1413="","",[3]Entry!$R$1413)</f>
        <v/>
      </c>
    </row>
    <row r="1411">
      <c r="T1411">
        <f>IF([2]Baskol!$B$1414="","",[2]Baskol!$B$1414)</f>
        <v/>
      </c>
      <c r="U1411">
        <f>IF([2]Baskol!$C$1414="","",[2]Baskol!$C$1414)</f>
        <v/>
      </c>
      <c r="V1411">
        <f>IF([2]Baskol!$D$1414="","",[2]Baskol!$D$1414)</f>
        <v/>
      </c>
      <c r="W1411">
        <f>IF([2]Baskol!$E$1414="","",[2]Baskol!$E$1414)</f>
        <v/>
      </c>
      <c r="X1411">
        <f>IF([2]Baskol!$G$1414="","",[2]Baskol!$G$1414)</f>
        <v/>
      </c>
      <c r="Y1411">
        <f>IF([2]Baskol!$I$1414="","",[2]Baskol!$I$1414)</f>
        <v/>
      </c>
      <c r="Z1411">
        <f>IF([2]Baskol!$J$1414="","",[2]Baskol!$J$1414)</f>
        <v/>
      </c>
      <c r="AA1411">
        <f>IF([2]Baskol!$K$1414="","",[2]Baskol!$K$1414)</f>
        <v/>
      </c>
      <c r="AB1411">
        <f>IF([2]Baskol!$L$1414="","",[2]Baskol!$L$1414)</f>
        <v/>
      </c>
      <c r="AC1411">
        <f>IF([2]Baskol!$N$1414="","",[2]Baskol!$N$1414)</f>
        <v/>
      </c>
      <c r="AD1411">
        <f>IF([2]Baskol!$O$1414="","",[2]Baskol!$O$1414)</f>
        <v/>
      </c>
      <c r="AE1411">
        <f>IF([3]Entry!$C$1414="","",[3]Entry!$C$1414)</f>
        <v/>
      </c>
      <c r="AF1411">
        <f>IF([3]Entry!$D$1414="","",[3]Entry!$D$1414)</f>
        <v/>
      </c>
      <c r="AG1411">
        <f>IF([3]Entry!$E$1414="","",[3]Entry!$E$1414)</f>
        <v/>
      </c>
      <c r="AH1411">
        <f>IF([3]Entry!$G$1414="","",[3]Entry!$G$1414)</f>
        <v/>
      </c>
      <c r="AI1411">
        <f>IF([3]Entry!$K$1414="","",[3]Entry!$K$1414)</f>
        <v/>
      </c>
      <c r="AJ1411">
        <f>IF([3]Entry!$L$1414="","",[3]Entry!$L$1414)</f>
        <v/>
      </c>
      <c r="AK1411">
        <f>IF([3]Entry!$M$1414="","",[3]Entry!$M$1414)</f>
        <v/>
      </c>
      <c r="AL1411">
        <f>IF([3]Entry!$N$1414="","",[3]Entry!$N$1414)</f>
        <v/>
      </c>
      <c r="AM1411">
        <f>IF([3]Entry!$R$1414="","",[3]Entry!$R$1414)</f>
        <v/>
      </c>
    </row>
    <row r="1412">
      <c r="T1412">
        <f>IF([2]Baskol!$B$1415="","",[2]Baskol!$B$1415)</f>
        <v/>
      </c>
      <c r="U1412">
        <f>IF([2]Baskol!$C$1415="","",[2]Baskol!$C$1415)</f>
        <v/>
      </c>
      <c r="V1412">
        <f>IF([2]Baskol!$D$1415="","",[2]Baskol!$D$1415)</f>
        <v/>
      </c>
      <c r="W1412">
        <f>IF([2]Baskol!$E$1415="","",[2]Baskol!$E$1415)</f>
        <v/>
      </c>
      <c r="X1412">
        <f>IF([2]Baskol!$G$1415="","",[2]Baskol!$G$1415)</f>
        <v/>
      </c>
      <c r="Y1412">
        <f>IF([2]Baskol!$I$1415="","",[2]Baskol!$I$1415)</f>
        <v/>
      </c>
      <c r="Z1412">
        <f>IF([2]Baskol!$J$1415="","",[2]Baskol!$J$1415)</f>
        <v/>
      </c>
      <c r="AA1412">
        <f>IF([2]Baskol!$K$1415="","",[2]Baskol!$K$1415)</f>
        <v/>
      </c>
      <c r="AB1412">
        <f>IF([2]Baskol!$L$1415="","",[2]Baskol!$L$1415)</f>
        <v/>
      </c>
      <c r="AC1412">
        <f>IF([2]Baskol!$N$1415="","",[2]Baskol!$N$1415)</f>
        <v/>
      </c>
      <c r="AD1412">
        <f>IF([2]Baskol!$O$1415="","",[2]Baskol!$O$1415)</f>
        <v/>
      </c>
      <c r="AE1412">
        <f>IF([3]Entry!$C$1415="","",[3]Entry!$C$1415)</f>
        <v/>
      </c>
      <c r="AF1412">
        <f>IF([3]Entry!$D$1415="","",[3]Entry!$D$1415)</f>
        <v/>
      </c>
      <c r="AG1412">
        <f>IF([3]Entry!$E$1415="","",[3]Entry!$E$1415)</f>
        <v/>
      </c>
      <c r="AH1412">
        <f>IF([3]Entry!$G$1415="","",[3]Entry!$G$1415)</f>
        <v/>
      </c>
      <c r="AI1412">
        <f>IF([3]Entry!$K$1415="","",[3]Entry!$K$1415)</f>
        <v/>
      </c>
      <c r="AJ1412">
        <f>IF([3]Entry!$L$1415="","",[3]Entry!$L$1415)</f>
        <v/>
      </c>
      <c r="AK1412">
        <f>IF([3]Entry!$M$1415="","",[3]Entry!$M$1415)</f>
        <v/>
      </c>
      <c r="AL1412">
        <f>IF([3]Entry!$N$1415="","",[3]Entry!$N$1415)</f>
        <v/>
      </c>
      <c r="AM1412">
        <f>IF([3]Entry!$R$1415="","",[3]Entry!$R$1415)</f>
        <v/>
      </c>
    </row>
    <row r="1413">
      <c r="T1413">
        <f>IF([2]Baskol!$B$1416="","",[2]Baskol!$B$1416)</f>
        <v/>
      </c>
      <c r="U1413">
        <f>IF([2]Baskol!$C$1416="","",[2]Baskol!$C$1416)</f>
        <v/>
      </c>
      <c r="V1413">
        <f>IF([2]Baskol!$D$1416="","",[2]Baskol!$D$1416)</f>
        <v/>
      </c>
      <c r="W1413">
        <f>IF([2]Baskol!$E$1416="","",[2]Baskol!$E$1416)</f>
        <v/>
      </c>
      <c r="X1413">
        <f>IF([2]Baskol!$G$1416="","",[2]Baskol!$G$1416)</f>
        <v/>
      </c>
      <c r="Y1413">
        <f>IF([2]Baskol!$I$1416="","",[2]Baskol!$I$1416)</f>
        <v/>
      </c>
      <c r="Z1413">
        <f>IF([2]Baskol!$J$1416="","",[2]Baskol!$J$1416)</f>
        <v/>
      </c>
      <c r="AA1413">
        <f>IF([2]Baskol!$K$1416="","",[2]Baskol!$K$1416)</f>
        <v/>
      </c>
      <c r="AB1413">
        <f>IF([2]Baskol!$L$1416="","",[2]Baskol!$L$1416)</f>
        <v/>
      </c>
      <c r="AC1413">
        <f>IF([2]Baskol!$N$1416="","",[2]Baskol!$N$1416)</f>
        <v/>
      </c>
      <c r="AD1413">
        <f>IF([2]Baskol!$O$1416="","",[2]Baskol!$O$1416)</f>
        <v/>
      </c>
      <c r="AE1413">
        <f>IF([3]Entry!$C$1416="","",[3]Entry!$C$1416)</f>
        <v/>
      </c>
      <c r="AF1413">
        <f>IF([3]Entry!$D$1416="","",[3]Entry!$D$1416)</f>
        <v/>
      </c>
      <c r="AG1413">
        <f>IF([3]Entry!$E$1416="","",[3]Entry!$E$1416)</f>
        <v/>
      </c>
      <c r="AH1413">
        <f>IF([3]Entry!$G$1416="","",[3]Entry!$G$1416)</f>
        <v/>
      </c>
      <c r="AI1413">
        <f>IF([3]Entry!$K$1416="","",[3]Entry!$K$1416)</f>
        <v/>
      </c>
      <c r="AJ1413">
        <f>IF([3]Entry!$L$1416="","",[3]Entry!$L$1416)</f>
        <v/>
      </c>
      <c r="AK1413">
        <f>IF([3]Entry!$M$1416="","",[3]Entry!$M$1416)</f>
        <v/>
      </c>
      <c r="AL1413">
        <f>IF([3]Entry!$N$1416="","",[3]Entry!$N$1416)</f>
        <v/>
      </c>
      <c r="AM1413">
        <f>IF([3]Entry!$R$1416="","",[3]Entry!$R$1416)</f>
        <v/>
      </c>
    </row>
    <row r="1414">
      <c r="T1414">
        <f>IF([2]Baskol!$B$1417="","",[2]Baskol!$B$1417)</f>
        <v/>
      </c>
      <c r="U1414">
        <f>IF([2]Baskol!$C$1417="","",[2]Baskol!$C$1417)</f>
        <v/>
      </c>
      <c r="V1414">
        <f>IF([2]Baskol!$D$1417="","",[2]Baskol!$D$1417)</f>
        <v/>
      </c>
      <c r="W1414">
        <f>IF([2]Baskol!$E$1417="","",[2]Baskol!$E$1417)</f>
        <v/>
      </c>
      <c r="X1414">
        <f>IF([2]Baskol!$G$1417="","",[2]Baskol!$G$1417)</f>
        <v/>
      </c>
      <c r="Y1414">
        <f>IF([2]Baskol!$I$1417="","",[2]Baskol!$I$1417)</f>
        <v/>
      </c>
      <c r="Z1414">
        <f>IF([2]Baskol!$J$1417="","",[2]Baskol!$J$1417)</f>
        <v/>
      </c>
      <c r="AA1414">
        <f>IF([2]Baskol!$K$1417="","",[2]Baskol!$K$1417)</f>
        <v/>
      </c>
      <c r="AB1414">
        <f>IF([2]Baskol!$L$1417="","",[2]Baskol!$L$1417)</f>
        <v/>
      </c>
      <c r="AC1414">
        <f>IF([2]Baskol!$N$1417="","",[2]Baskol!$N$1417)</f>
        <v/>
      </c>
      <c r="AD1414">
        <f>IF([2]Baskol!$O$1417="","",[2]Baskol!$O$1417)</f>
        <v/>
      </c>
      <c r="AE1414">
        <f>IF([3]Entry!$C$1417="","",[3]Entry!$C$1417)</f>
        <v/>
      </c>
      <c r="AF1414">
        <f>IF([3]Entry!$D$1417="","",[3]Entry!$D$1417)</f>
        <v/>
      </c>
      <c r="AG1414">
        <f>IF([3]Entry!$E$1417="","",[3]Entry!$E$1417)</f>
        <v/>
      </c>
      <c r="AH1414">
        <f>IF([3]Entry!$G$1417="","",[3]Entry!$G$1417)</f>
        <v/>
      </c>
      <c r="AI1414">
        <f>IF([3]Entry!$K$1417="","",[3]Entry!$K$1417)</f>
        <v/>
      </c>
      <c r="AJ1414">
        <f>IF([3]Entry!$L$1417="","",[3]Entry!$L$1417)</f>
        <v/>
      </c>
      <c r="AK1414">
        <f>IF([3]Entry!$M$1417="","",[3]Entry!$M$1417)</f>
        <v/>
      </c>
      <c r="AL1414">
        <f>IF([3]Entry!$N$1417="","",[3]Entry!$N$1417)</f>
        <v/>
      </c>
      <c r="AM1414">
        <f>IF([3]Entry!$R$1417="","",[3]Entry!$R$1417)</f>
        <v/>
      </c>
    </row>
    <row r="1415">
      <c r="T1415">
        <f>IF([2]Baskol!$B$1418="","",[2]Baskol!$B$1418)</f>
        <v/>
      </c>
      <c r="U1415">
        <f>IF([2]Baskol!$C$1418="","",[2]Baskol!$C$1418)</f>
        <v/>
      </c>
      <c r="V1415">
        <f>IF([2]Baskol!$D$1418="","",[2]Baskol!$D$1418)</f>
        <v/>
      </c>
      <c r="W1415">
        <f>IF([2]Baskol!$E$1418="","",[2]Baskol!$E$1418)</f>
        <v/>
      </c>
      <c r="X1415">
        <f>IF([2]Baskol!$G$1418="","",[2]Baskol!$G$1418)</f>
        <v/>
      </c>
      <c r="Y1415">
        <f>IF([2]Baskol!$I$1418="","",[2]Baskol!$I$1418)</f>
        <v/>
      </c>
      <c r="Z1415">
        <f>IF([2]Baskol!$J$1418="","",[2]Baskol!$J$1418)</f>
        <v/>
      </c>
      <c r="AA1415">
        <f>IF([2]Baskol!$K$1418="","",[2]Baskol!$K$1418)</f>
        <v/>
      </c>
      <c r="AB1415">
        <f>IF([2]Baskol!$L$1418="","",[2]Baskol!$L$1418)</f>
        <v/>
      </c>
      <c r="AC1415">
        <f>IF([2]Baskol!$N$1418="","",[2]Baskol!$N$1418)</f>
        <v/>
      </c>
      <c r="AD1415">
        <f>IF([2]Baskol!$O$1418="","",[2]Baskol!$O$1418)</f>
        <v/>
      </c>
      <c r="AE1415">
        <f>IF([3]Entry!$C$1418="","",[3]Entry!$C$1418)</f>
        <v/>
      </c>
      <c r="AF1415">
        <f>IF([3]Entry!$D$1418="","",[3]Entry!$D$1418)</f>
        <v/>
      </c>
      <c r="AG1415">
        <f>IF([3]Entry!$E$1418="","",[3]Entry!$E$1418)</f>
        <v/>
      </c>
      <c r="AH1415">
        <f>IF([3]Entry!$G$1418="","",[3]Entry!$G$1418)</f>
        <v/>
      </c>
      <c r="AI1415">
        <f>IF([3]Entry!$K$1418="","",[3]Entry!$K$1418)</f>
        <v/>
      </c>
      <c r="AJ1415">
        <f>IF([3]Entry!$L$1418="","",[3]Entry!$L$1418)</f>
        <v/>
      </c>
      <c r="AK1415">
        <f>IF([3]Entry!$M$1418="","",[3]Entry!$M$1418)</f>
        <v/>
      </c>
      <c r="AL1415">
        <f>IF([3]Entry!$N$1418="","",[3]Entry!$N$1418)</f>
        <v/>
      </c>
      <c r="AM1415">
        <f>IF([3]Entry!$R$1418="","",[3]Entry!$R$1418)</f>
        <v/>
      </c>
    </row>
    <row r="1416">
      <c r="T1416">
        <f>IF([2]Baskol!$B$1419="","",[2]Baskol!$B$1419)</f>
        <v/>
      </c>
      <c r="U1416">
        <f>IF([2]Baskol!$C$1419="","",[2]Baskol!$C$1419)</f>
        <v/>
      </c>
      <c r="V1416">
        <f>IF([2]Baskol!$D$1419="","",[2]Baskol!$D$1419)</f>
        <v/>
      </c>
      <c r="W1416">
        <f>IF([2]Baskol!$E$1419="","",[2]Baskol!$E$1419)</f>
        <v/>
      </c>
      <c r="X1416">
        <f>IF([2]Baskol!$G$1419="","",[2]Baskol!$G$1419)</f>
        <v/>
      </c>
      <c r="Y1416">
        <f>IF([2]Baskol!$I$1419="","",[2]Baskol!$I$1419)</f>
        <v/>
      </c>
      <c r="Z1416">
        <f>IF([2]Baskol!$J$1419="","",[2]Baskol!$J$1419)</f>
        <v/>
      </c>
      <c r="AA1416">
        <f>IF([2]Baskol!$K$1419="","",[2]Baskol!$K$1419)</f>
        <v/>
      </c>
      <c r="AB1416">
        <f>IF([2]Baskol!$L$1419="","",[2]Baskol!$L$1419)</f>
        <v/>
      </c>
      <c r="AC1416">
        <f>IF([2]Baskol!$N$1419="","",[2]Baskol!$N$1419)</f>
        <v/>
      </c>
      <c r="AD1416">
        <f>IF([2]Baskol!$O$1419="","",[2]Baskol!$O$1419)</f>
        <v/>
      </c>
      <c r="AE1416">
        <f>IF([3]Entry!$C$1419="","",[3]Entry!$C$1419)</f>
        <v/>
      </c>
      <c r="AF1416">
        <f>IF([3]Entry!$D$1419="","",[3]Entry!$D$1419)</f>
        <v/>
      </c>
      <c r="AG1416">
        <f>IF([3]Entry!$E$1419="","",[3]Entry!$E$1419)</f>
        <v/>
      </c>
      <c r="AH1416">
        <f>IF([3]Entry!$G$1419="","",[3]Entry!$G$1419)</f>
        <v/>
      </c>
      <c r="AI1416">
        <f>IF([3]Entry!$K$1419="","",[3]Entry!$K$1419)</f>
        <v/>
      </c>
      <c r="AJ1416">
        <f>IF([3]Entry!$L$1419="","",[3]Entry!$L$1419)</f>
        <v/>
      </c>
      <c r="AK1416">
        <f>IF([3]Entry!$M$1419="","",[3]Entry!$M$1419)</f>
        <v/>
      </c>
      <c r="AL1416">
        <f>IF([3]Entry!$N$1419="","",[3]Entry!$N$1419)</f>
        <v/>
      </c>
      <c r="AM1416">
        <f>IF([3]Entry!$R$1419="","",[3]Entry!$R$1419)</f>
        <v/>
      </c>
    </row>
    <row r="1417">
      <c r="T1417">
        <f>IF([2]Baskol!$B$1420="","",[2]Baskol!$B$1420)</f>
        <v/>
      </c>
      <c r="U1417">
        <f>IF([2]Baskol!$C$1420="","",[2]Baskol!$C$1420)</f>
        <v/>
      </c>
      <c r="V1417">
        <f>IF([2]Baskol!$D$1420="","",[2]Baskol!$D$1420)</f>
        <v/>
      </c>
      <c r="W1417">
        <f>IF([2]Baskol!$E$1420="","",[2]Baskol!$E$1420)</f>
        <v/>
      </c>
      <c r="X1417">
        <f>IF([2]Baskol!$G$1420="","",[2]Baskol!$G$1420)</f>
        <v/>
      </c>
      <c r="Y1417">
        <f>IF([2]Baskol!$I$1420="","",[2]Baskol!$I$1420)</f>
        <v/>
      </c>
      <c r="Z1417">
        <f>IF([2]Baskol!$J$1420="","",[2]Baskol!$J$1420)</f>
        <v/>
      </c>
      <c r="AA1417">
        <f>IF([2]Baskol!$K$1420="","",[2]Baskol!$K$1420)</f>
        <v/>
      </c>
      <c r="AB1417">
        <f>IF([2]Baskol!$L$1420="","",[2]Baskol!$L$1420)</f>
        <v/>
      </c>
      <c r="AC1417">
        <f>IF([2]Baskol!$N$1420="","",[2]Baskol!$N$1420)</f>
        <v/>
      </c>
      <c r="AD1417">
        <f>IF([2]Baskol!$O$1420="","",[2]Baskol!$O$1420)</f>
        <v/>
      </c>
      <c r="AE1417">
        <f>IF([3]Entry!$C$1420="","",[3]Entry!$C$1420)</f>
        <v/>
      </c>
      <c r="AF1417">
        <f>IF([3]Entry!$D$1420="","",[3]Entry!$D$1420)</f>
        <v/>
      </c>
      <c r="AG1417">
        <f>IF([3]Entry!$E$1420="","",[3]Entry!$E$1420)</f>
        <v/>
      </c>
      <c r="AH1417">
        <f>IF([3]Entry!$G$1420="","",[3]Entry!$G$1420)</f>
        <v/>
      </c>
      <c r="AI1417">
        <f>IF([3]Entry!$K$1420="","",[3]Entry!$K$1420)</f>
        <v/>
      </c>
      <c r="AJ1417">
        <f>IF([3]Entry!$L$1420="","",[3]Entry!$L$1420)</f>
        <v/>
      </c>
      <c r="AK1417">
        <f>IF([3]Entry!$M$1420="","",[3]Entry!$M$1420)</f>
        <v/>
      </c>
      <c r="AL1417">
        <f>IF([3]Entry!$N$1420="","",[3]Entry!$N$1420)</f>
        <v/>
      </c>
      <c r="AM1417">
        <f>IF([3]Entry!$R$1420="","",[3]Entry!$R$1420)</f>
        <v/>
      </c>
    </row>
    <row r="1418">
      <c r="T1418">
        <f>IF([2]Baskol!$B$1421="","",[2]Baskol!$B$1421)</f>
        <v/>
      </c>
      <c r="U1418">
        <f>IF([2]Baskol!$C$1421="","",[2]Baskol!$C$1421)</f>
        <v/>
      </c>
      <c r="V1418">
        <f>IF([2]Baskol!$D$1421="","",[2]Baskol!$D$1421)</f>
        <v/>
      </c>
      <c r="W1418">
        <f>IF([2]Baskol!$E$1421="","",[2]Baskol!$E$1421)</f>
        <v/>
      </c>
      <c r="X1418">
        <f>IF([2]Baskol!$G$1421="","",[2]Baskol!$G$1421)</f>
        <v/>
      </c>
      <c r="Y1418">
        <f>IF([2]Baskol!$I$1421="","",[2]Baskol!$I$1421)</f>
        <v/>
      </c>
      <c r="Z1418">
        <f>IF([2]Baskol!$J$1421="","",[2]Baskol!$J$1421)</f>
        <v/>
      </c>
      <c r="AA1418">
        <f>IF([2]Baskol!$K$1421="","",[2]Baskol!$K$1421)</f>
        <v/>
      </c>
      <c r="AB1418">
        <f>IF([2]Baskol!$L$1421="","",[2]Baskol!$L$1421)</f>
        <v/>
      </c>
      <c r="AC1418">
        <f>IF([2]Baskol!$N$1421="","",[2]Baskol!$N$1421)</f>
        <v/>
      </c>
      <c r="AD1418">
        <f>IF([2]Baskol!$O$1421="","",[2]Baskol!$O$1421)</f>
        <v/>
      </c>
      <c r="AE1418">
        <f>IF([3]Entry!$C$1421="","",[3]Entry!$C$1421)</f>
        <v/>
      </c>
      <c r="AF1418">
        <f>IF([3]Entry!$D$1421="","",[3]Entry!$D$1421)</f>
        <v/>
      </c>
      <c r="AG1418">
        <f>IF([3]Entry!$E$1421="","",[3]Entry!$E$1421)</f>
        <v/>
      </c>
      <c r="AH1418">
        <f>IF([3]Entry!$G$1421="","",[3]Entry!$G$1421)</f>
        <v/>
      </c>
      <c r="AI1418">
        <f>IF([3]Entry!$K$1421="","",[3]Entry!$K$1421)</f>
        <v/>
      </c>
      <c r="AJ1418">
        <f>IF([3]Entry!$L$1421="","",[3]Entry!$L$1421)</f>
        <v/>
      </c>
      <c r="AK1418">
        <f>IF([3]Entry!$M$1421="","",[3]Entry!$M$1421)</f>
        <v/>
      </c>
      <c r="AL1418">
        <f>IF([3]Entry!$N$1421="","",[3]Entry!$N$1421)</f>
        <v/>
      </c>
      <c r="AM1418">
        <f>IF([3]Entry!$R$1421="","",[3]Entry!$R$1421)</f>
        <v/>
      </c>
    </row>
    <row r="1419">
      <c r="T1419">
        <f>IF([2]Baskol!$B$1422="","",[2]Baskol!$B$1422)</f>
        <v/>
      </c>
      <c r="U1419">
        <f>IF([2]Baskol!$C$1422="","",[2]Baskol!$C$1422)</f>
        <v/>
      </c>
      <c r="V1419">
        <f>IF([2]Baskol!$D$1422="","",[2]Baskol!$D$1422)</f>
        <v/>
      </c>
      <c r="W1419">
        <f>IF([2]Baskol!$E$1422="","",[2]Baskol!$E$1422)</f>
        <v/>
      </c>
      <c r="X1419">
        <f>IF([2]Baskol!$G$1422="","",[2]Baskol!$G$1422)</f>
        <v/>
      </c>
      <c r="Y1419">
        <f>IF([2]Baskol!$I$1422="","",[2]Baskol!$I$1422)</f>
        <v/>
      </c>
      <c r="Z1419">
        <f>IF([2]Baskol!$J$1422="","",[2]Baskol!$J$1422)</f>
        <v/>
      </c>
      <c r="AA1419">
        <f>IF([2]Baskol!$K$1422="","",[2]Baskol!$K$1422)</f>
        <v/>
      </c>
      <c r="AB1419">
        <f>IF([2]Baskol!$L$1422="","",[2]Baskol!$L$1422)</f>
        <v/>
      </c>
      <c r="AC1419">
        <f>IF([2]Baskol!$N$1422="","",[2]Baskol!$N$1422)</f>
        <v/>
      </c>
      <c r="AD1419">
        <f>IF([2]Baskol!$O$1422="","",[2]Baskol!$O$1422)</f>
        <v/>
      </c>
      <c r="AE1419">
        <f>IF([3]Entry!$C$1422="","",[3]Entry!$C$1422)</f>
        <v/>
      </c>
      <c r="AF1419">
        <f>IF([3]Entry!$D$1422="","",[3]Entry!$D$1422)</f>
        <v/>
      </c>
      <c r="AG1419">
        <f>IF([3]Entry!$E$1422="","",[3]Entry!$E$1422)</f>
        <v/>
      </c>
      <c r="AH1419">
        <f>IF([3]Entry!$G$1422="","",[3]Entry!$G$1422)</f>
        <v/>
      </c>
      <c r="AI1419">
        <f>IF([3]Entry!$K$1422="","",[3]Entry!$K$1422)</f>
        <v/>
      </c>
      <c r="AJ1419">
        <f>IF([3]Entry!$L$1422="","",[3]Entry!$L$1422)</f>
        <v/>
      </c>
      <c r="AK1419">
        <f>IF([3]Entry!$M$1422="","",[3]Entry!$M$1422)</f>
        <v/>
      </c>
      <c r="AL1419">
        <f>IF([3]Entry!$N$1422="","",[3]Entry!$N$1422)</f>
        <v/>
      </c>
      <c r="AM1419">
        <f>IF([3]Entry!$R$1422="","",[3]Entry!$R$1422)</f>
        <v/>
      </c>
    </row>
    <row r="1420">
      <c r="T1420">
        <f>IF([2]Baskol!$B$1423="","",[2]Baskol!$B$1423)</f>
        <v/>
      </c>
      <c r="U1420">
        <f>IF([2]Baskol!$C$1423="","",[2]Baskol!$C$1423)</f>
        <v/>
      </c>
      <c r="V1420">
        <f>IF([2]Baskol!$D$1423="","",[2]Baskol!$D$1423)</f>
        <v/>
      </c>
      <c r="W1420">
        <f>IF([2]Baskol!$E$1423="","",[2]Baskol!$E$1423)</f>
        <v/>
      </c>
      <c r="X1420">
        <f>IF([2]Baskol!$G$1423="","",[2]Baskol!$G$1423)</f>
        <v/>
      </c>
      <c r="Y1420">
        <f>IF([2]Baskol!$I$1423="","",[2]Baskol!$I$1423)</f>
        <v/>
      </c>
      <c r="Z1420">
        <f>IF([2]Baskol!$J$1423="","",[2]Baskol!$J$1423)</f>
        <v/>
      </c>
      <c r="AA1420">
        <f>IF([2]Baskol!$K$1423="","",[2]Baskol!$K$1423)</f>
        <v/>
      </c>
      <c r="AB1420">
        <f>IF([2]Baskol!$L$1423="","",[2]Baskol!$L$1423)</f>
        <v/>
      </c>
      <c r="AC1420">
        <f>IF([2]Baskol!$N$1423="","",[2]Baskol!$N$1423)</f>
        <v/>
      </c>
      <c r="AD1420">
        <f>IF([2]Baskol!$O$1423="","",[2]Baskol!$O$1423)</f>
        <v/>
      </c>
      <c r="AE1420">
        <f>IF([3]Entry!$C$1423="","",[3]Entry!$C$1423)</f>
        <v/>
      </c>
      <c r="AF1420">
        <f>IF([3]Entry!$D$1423="","",[3]Entry!$D$1423)</f>
        <v/>
      </c>
      <c r="AG1420">
        <f>IF([3]Entry!$E$1423="","",[3]Entry!$E$1423)</f>
        <v/>
      </c>
      <c r="AH1420">
        <f>IF([3]Entry!$G$1423="","",[3]Entry!$G$1423)</f>
        <v/>
      </c>
      <c r="AI1420">
        <f>IF([3]Entry!$K$1423="","",[3]Entry!$K$1423)</f>
        <v/>
      </c>
      <c r="AJ1420">
        <f>IF([3]Entry!$L$1423="","",[3]Entry!$L$1423)</f>
        <v/>
      </c>
      <c r="AK1420">
        <f>IF([3]Entry!$M$1423="","",[3]Entry!$M$1423)</f>
        <v/>
      </c>
      <c r="AL1420">
        <f>IF([3]Entry!$N$1423="","",[3]Entry!$N$1423)</f>
        <v/>
      </c>
      <c r="AM1420">
        <f>IF([3]Entry!$R$1423="","",[3]Entry!$R$1423)</f>
        <v/>
      </c>
    </row>
    <row r="1421">
      <c r="T1421">
        <f>IF([2]Baskol!$B$1424="","",[2]Baskol!$B$1424)</f>
        <v/>
      </c>
      <c r="U1421">
        <f>IF([2]Baskol!$C$1424="","",[2]Baskol!$C$1424)</f>
        <v/>
      </c>
      <c r="V1421">
        <f>IF([2]Baskol!$D$1424="","",[2]Baskol!$D$1424)</f>
        <v/>
      </c>
      <c r="W1421">
        <f>IF([2]Baskol!$E$1424="","",[2]Baskol!$E$1424)</f>
        <v/>
      </c>
      <c r="X1421">
        <f>IF([2]Baskol!$G$1424="","",[2]Baskol!$G$1424)</f>
        <v/>
      </c>
      <c r="Y1421">
        <f>IF([2]Baskol!$I$1424="","",[2]Baskol!$I$1424)</f>
        <v/>
      </c>
      <c r="Z1421">
        <f>IF([2]Baskol!$J$1424="","",[2]Baskol!$J$1424)</f>
        <v/>
      </c>
      <c r="AA1421">
        <f>IF([2]Baskol!$K$1424="","",[2]Baskol!$K$1424)</f>
        <v/>
      </c>
      <c r="AB1421">
        <f>IF([2]Baskol!$L$1424="","",[2]Baskol!$L$1424)</f>
        <v/>
      </c>
      <c r="AC1421">
        <f>IF([2]Baskol!$N$1424="","",[2]Baskol!$N$1424)</f>
        <v/>
      </c>
      <c r="AD1421">
        <f>IF([2]Baskol!$O$1424="","",[2]Baskol!$O$1424)</f>
        <v/>
      </c>
      <c r="AE1421">
        <f>IF([3]Entry!$C$1424="","",[3]Entry!$C$1424)</f>
        <v/>
      </c>
      <c r="AF1421">
        <f>IF([3]Entry!$D$1424="","",[3]Entry!$D$1424)</f>
        <v/>
      </c>
      <c r="AG1421">
        <f>IF([3]Entry!$E$1424="","",[3]Entry!$E$1424)</f>
        <v/>
      </c>
      <c r="AH1421">
        <f>IF([3]Entry!$G$1424="","",[3]Entry!$G$1424)</f>
        <v/>
      </c>
      <c r="AI1421">
        <f>IF([3]Entry!$K$1424="","",[3]Entry!$K$1424)</f>
        <v/>
      </c>
      <c r="AJ1421">
        <f>IF([3]Entry!$L$1424="","",[3]Entry!$L$1424)</f>
        <v/>
      </c>
      <c r="AK1421">
        <f>IF([3]Entry!$M$1424="","",[3]Entry!$M$1424)</f>
        <v/>
      </c>
      <c r="AL1421">
        <f>IF([3]Entry!$N$1424="","",[3]Entry!$N$1424)</f>
        <v/>
      </c>
      <c r="AM1421">
        <f>IF([3]Entry!$R$1424="","",[3]Entry!$R$1424)</f>
        <v/>
      </c>
    </row>
    <row r="1422">
      <c r="T1422">
        <f>IF([2]Baskol!$B$1425="","",[2]Baskol!$B$1425)</f>
        <v/>
      </c>
      <c r="U1422">
        <f>IF([2]Baskol!$C$1425="","",[2]Baskol!$C$1425)</f>
        <v/>
      </c>
      <c r="V1422">
        <f>IF([2]Baskol!$D$1425="","",[2]Baskol!$D$1425)</f>
        <v/>
      </c>
      <c r="W1422">
        <f>IF([2]Baskol!$E$1425="","",[2]Baskol!$E$1425)</f>
        <v/>
      </c>
      <c r="X1422">
        <f>IF([2]Baskol!$G$1425="","",[2]Baskol!$G$1425)</f>
        <v/>
      </c>
      <c r="Y1422">
        <f>IF([2]Baskol!$I$1425="","",[2]Baskol!$I$1425)</f>
        <v/>
      </c>
      <c r="Z1422">
        <f>IF([2]Baskol!$J$1425="","",[2]Baskol!$J$1425)</f>
        <v/>
      </c>
      <c r="AA1422">
        <f>IF([2]Baskol!$K$1425="","",[2]Baskol!$K$1425)</f>
        <v/>
      </c>
      <c r="AB1422">
        <f>IF([2]Baskol!$L$1425="","",[2]Baskol!$L$1425)</f>
        <v/>
      </c>
      <c r="AC1422">
        <f>IF([2]Baskol!$N$1425="","",[2]Baskol!$N$1425)</f>
        <v/>
      </c>
      <c r="AD1422">
        <f>IF([2]Baskol!$O$1425="","",[2]Baskol!$O$1425)</f>
        <v/>
      </c>
      <c r="AE1422">
        <f>IF([3]Entry!$C$1425="","",[3]Entry!$C$1425)</f>
        <v/>
      </c>
      <c r="AF1422">
        <f>IF([3]Entry!$D$1425="","",[3]Entry!$D$1425)</f>
        <v/>
      </c>
      <c r="AG1422">
        <f>IF([3]Entry!$E$1425="","",[3]Entry!$E$1425)</f>
        <v/>
      </c>
      <c r="AH1422">
        <f>IF([3]Entry!$G$1425="","",[3]Entry!$G$1425)</f>
        <v/>
      </c>
      <c r="AI1422">
        <f>IF([3]Entry!$K$1425="","",[3]Entry!$K$1425)</f>
        <v/>
      </c>
      <c r="AJ1422">
        <f>IF([3]Entry!$L$1425="","",[3]Entry!$L$1425)</f>
        <v/>
      </c>
      <c r="AK1422">
        <f>IF([3]Entry!$M$1425="","",[3]Entry!$M$1425)</f>
        <v/>
      </c>
      <c r="AL1422">
        <f>IF([3]Entry!$N$1425="","",[3]Entry!$N$1425)</f>
        <v/>
      </c>
      <c r="AM1422">
        <f>IF([3]Entry!$R$1425="","",[3]Entry!$R$1425)</f>
        <v/>
      </c>
    </row>
    <row r="1423">
      <c r="T1423">
        <f>IF([2]Baskol!$B$1426="","",[2]Baskol!$B$1426)</f>
        <v/>
      </c>
      <c r="U1423">
        <f>IF([2]Baskol!$C$1426="","",[2]Baskol!$C$1426)</f>
        <v/>
      </c>
      <c r="V1423">
        <f>IF([2]Baskol!$D$1426="","",[2]Baskol!$D$1426)</f>
        <v/>
      </c>
      <c r="W1423">
        <f>IF([2]Baskol!$E$1426="","",[2]Baskol!$E$1426)</f>
        <v/>
      </c>
      <c r="X1423">
        <f>IF([2]Baskol!$G$1426="","",[2]Baskol!$G$1426)</f>
        <v/>
      </c>
      <c r="Y1423">
        <f>IF([2]Baskol!$I$1426="","",[2]Baskol!$I$1426)</f>
        <v/>
      </c>
      <c r="Z1423">
        <f>IF([2]Baskol!$J$1426="","",[2]Baskol!$J$1426)</f>
        <v/>
      </c>
      <c r="AA1423">
        <f>IF([2]Baskol!$K$1426="","",[2]Baskol!$K$1426)</f>
        <v/>
      </c>
      <c r="AB1423">
        <f>IF([2]Baskol!$L$1426="","",[2]Baskol!$L$1426)</f>
        <v/>
      </c>
      <c r="AC1423">
        <f>IF([2]Baskol!$N$1426="","",[2]Baskol!$N$1426)</f>
        <v/>
      </c>
      <c r="AD1423">
        <f>IF([2]Baskol!$O$1426="","",[2]Baskol!$O$1426)</f>
        <v/>
      </c>
      <c r="AE1423">
        <f>IF([3]Entry!$C$1426="","",[3]Entry!$C$1426)</f>
        <v/>
      </c>
      <c r="AF1423">
        <f>IF([3]Entry!$D$1426="","",[3]Entry!$D$1426)</f>
        <v/>
      </c>
      <c r="AG1423">
        <f>IF([3]Entry!$E$1426="","",[3]Entry!$E$1426)</f>
        <v/>
      </c>
      <c r="AH1423">
        <f>IF([3]Entry!$G$1426="","",[3]Entry!$G$1426)</f>
        <v/>
      </c>
      <c r="AI1423">
        <f>IF([3]Entry!$K$1426="","",[3]Entry!$K$1426)</f>
        <v/>
      </c>
      <c r="AJ1423">
        <f>IF([3]Entry!$L$1426="","",[3]Entry!$L$1426)</f>
        <v/>
      </c>
      <c r="AK1423">
        <f>IF([3]Entry!$M$1426="","",[3]Entry!$M$1426)</f>
        <v/>
      </c>
      <c r="AL1423">
        <f>IF([3]Entry!$N$1426="","",[3]Entry!$N$1426)</f>
        <v/>
      </c>
      <c r="AM1423">
        <f>IF([3]Entry!$R$1426="","",[3]Entry!$R$1426)</f>
        <v/>
      </c>
    </row>
    <row r="1424">
      <c r="T1424">
        <f>IF([2]Baskol!$B$1427="","",[2]Baskol!$B$1427)</f>
        <v/>
      </c>
      <c r="U1424">
        <f>IF([2]Baskol!$C$1427="","",[2]Baskol!$C$1427)</f>
        <v/>
      </c>
      <c r="V1424">
        <f>IF([2]Baskol!$D$1427="","",[2]Baskol!$D$1427)</f>
        <v/>
      </c>
      <c r="W1424">
        <f>IF([2]Baskol!$E$1427="","",[2]Baskol!$E$1427)</f>
        <v/>
      </c>
      <c r="X1424">
        <f>IF([2]Baskol!$G$1427="","",[2]Baskol!$G$1427)</f>
        <v/>
      </c>
      <c r="Y1424">
        <f>IF([2]Baskol!$I$1427="","",[2]Baskol!$I$1427)</f>
        <v/>
      </c>
      <c r="Z1424">
        <f>IF([2]Baskol!$J$1427="","",[2]Baskol!$J$1427)</f>
        <v/>
      </c>
      <c r="AA1424">
        <f>IF([2]Baskol!$K$1427="","",[2]Baskol!$K$1427)</f>
        <v/>
      </c>
      <c r="AB1424">
        <f>IF([2]Baskol!$L$1427="","",[2]Baskol!$L$1427)</f>
        <v/>
      </c>
      <c r="AC1424">
        <f>IF([2]Baskol!$N$1427="","",[2]Baskol!$N$1427)</f>
        <v/>
      </c>
      <c r="AD1424">
        <f>IF([2]Baskol!$O$1427="","",[2]Baskol!$O$1427)</f>
        <v/>
      </c>
      <c r="AE1424">
        <f>IF([3]Entry!$C$1427="","",[3]Entry!$C$1427)</f>
        <v/>
      </c>
      <c r="AF1424">
        <f>IF([3]Entry!$D$1427="","",[3]Entry!$D$1427)</f>
        <v/>
      </c>
      <c r="AG1424">
        <f>IF([3]Entry!$E$1427="","",[3]Entry!$E$1427)</f>
        <v/>
      </c>
      <c r="AH1424">
        <f>IF([3]Entry!$G$1427="","",[3]Entry!$G$1427)</f>
        <v/>
      </c>
      <c r="AI1424">
        <f>IF([3]Entry!$K$1427="","",[3]Entry!$K$1427)</f>
        <v/>
      </c>
      <c r="AJ1424">
        <f>IF([3]Entry!$L$1427="","",[3]Entry!$L$1427)</f>
        <v/>
      </c>
      <c r="AK1424">
        <f>IF([3]Entry!$M$1427="","",[3]Entry!$M$1427)</f>
        <v/>
      </c>
      <c r="AL1424">
        <f>IF([3]Entry!$N$1427="","",[3]Entry!$N$1427)</f>
        <v/>
      </c>
      <c r="AM1424">
        <f>IF([3]Entry!$R$1427="","",[3]Entry!$R$1427)</f>
        <v/>
      </c>
    </row>
    <row r="1425">
      <c r="T1425">
        <f>IF([2]Baskol!$B$1428="","",[2]Baskol!$B$1428)</f>
        <v/>
      </c>
      <c r="U1425">
        <f>IF([2]Baskol!$C$1428="","",[2]Baskol!$C$1428)</f>
        <v/>
      </c>
      <c r="V1425">
        <f>IF([2]Baskol!$D$1428="","",[2]Baskol!$D$1428)</f>
        <v/>
      </c>
      <c r="W1425">
        <f>IF([2]Baskol!$E$1428="","",[2]Baskol!$E$1428)</f>
        <v/>
      </c>
      <c r="X1425">
        <f>IF([2]Baskol!$G$1428="","",[2]Baskol!$G$1428)</f>
        <v/>
      </c>
      <c r="Y1425">
        <f>IF([2]Baskol!$I$1428="","",[2]Baskol!$I$1428)</f>
        <v/>
      </c>
      <c r="Z1425">
        <f>IF([2]Baskol!$J$1428="","",[2]Baskol!$J$1428)</f>
        <v/>
      </c>
      <c r="AA1425">
        <f>IF([2]Baskol!$K$1428="","",[2]Baskol!$K$1428)</f>
        <v/>
      </c>
      <c r="AB1425">
        <f>IF([2]Baskol!$L$1428="","",[2]Baskol!$L$1428)</f>
        <v/>
      </c>
      <c r="AC1425">
        <f>IF([2]Baskol!$N$1428="","",[2]Baskol!$N$1428)</f>
        <v/>
      </c>
      <c r="AD1425">
        <f>IF([2]Baskol!$O$1428="","",[2]Baskol!$O$1428)</f>
        <v/>
      </c>
      <c r="AE1425">
        <f>IF([3]Entry!$C$1428="","",[3]Entry!$C$1428)</f>
        <v/>
      </c>
      <c r="AF1425">
        <f>IF([3]Entry!$D$1428="","",[3]Entry!$D$1428)</f>
        <v/>
      </c>
      <c r="AG1425">
        <f>IF([3]Entry!$E$1428="","",[3]Entry!$E$1428)</f>
        <v/>
      </c>
      <c r="AH1425">
        <f>IF([3]Entry!$G$1428="","",[3]Entry!$G$1428)</f>
        <v/>
      </c>
      <c r="AI1425">
        <f>IF([3]Entry!$K$1428="","",[3]Entry!$K$1428)</f>
        <v/>
      </c>
      <c r="AJ1425">
        <f>IF([3]Entry!$L$1428="","",[3]Entry!$L$1428)</f>
        <v/>
      </c>
      <c r="AK1425">
        <f>IF([3]Entry!$M$1428="","",[3]Entry!$M$1428)</f>
        <v/>
      </c>
      <c r="AL1425">
        <f>IF([3]Entry!$N$1428="","",[3]Entry!$N$1428)</f>
        <v/>
      </c>
      <c r="AM1425">
        <f>IF([3]Entry!$R$1428="","",[3]Entry!$R$1428)</f>
        <v/>
      </c>
    </row>
    <row r="1426">
      <c r="T1426">
        <f>IF([2]Baskol!$B$1429="","",[2]Baskol!$B$1429)</f>
        <v/>
      </c>
      <c r="U1426">
        <f>IF([2]Baskol!$C$1429="","",[2]Baskol!$C$1429)</f>
        <v/>
      </c>
      <c r="V1426">
        <f>IF([2]Baskol!$D$1429="","",[2]Baskol!$D$1429)</f>
        <v/>
      </c>
      <c r="W1426">
        <f>IF([2]Baskol!$E$1429="","",[2]Baskol!$E$1429)</f>
        <v/>
      </c>
      <c r="X1426">
        <f>IF([2]Baskol!$G$1429="","",[2]Baskol!$G$1429)</f>
        <v/>
      </c>
      <c r="Y1426">
        <f>IF([2]Baskol!$I$1429="","",[2]Baskol!$I$1429)</f>
        <v/>
      </c>
      <c r="Z1426">
        <f>IF([2]Baskol!$J$1429="","",[2]Baskol!$J$1429)</f>
        <v/>
      </c>
      <c r="AA1426">
        <f>IF([2]Baskol!$K$1429="","",[2]Baskol!$K$1429)</f>
        <v/>
      </c>
      <c r="AB1426">
        <f>IF([2]Baskol!$L$1429="","",[2]Baskol!$L$1429)</f>
        <v/>
      </c>
      <c r="AC1426">
        <f>IF([2]Baskol!$N$1429="","",[2]Baskol!$N$1429)</f>
        <v/>
      </c>
      <c r="AD1426">
        <f>IF([2]Baskol!$O$1429="","",[2]Baskol!$O$1429)</f>
        <v/>
      </c>
      <c r="AE1426">
        <f>IF([3]Entry!$C$1429="","",[3]Entry!$C$1429)</f>
        <v/>
      </c>
      <c r="AF1426">
        <f>IF([3]Entry!$D$1429="","",[3]Entry!$D$1429)</f>
        <v/>
      </c>
      <c r="AG1426">
        <f>IF([3]Entry!$E$1429="","",[3]Entry!$E$1429)</f>
        <v/>
      </c>
      <c r="AH1426">
        <f>IF([3]Entry!$G$1429="","",[3]Entry!$G$1429)</f>
        <v/>
      </c>
      <c r="AI1426">
        <f>IF([3]Entry!$K$1429="","",[3]Entry!$K$1429)</f>
        <v/>
      </c>
      <c r="AJ1426">
        <f>IF([3]Entry!$L$1429="","",[3]Entry!$L$1429)</f>
        <v/>
      </c>
      <c r="AK1426">
        <f>IF([3]Entry!$M$1429="","",[3]Entry!$M$1429)</f>
        <v/>
      </c>
      <c r="AL1426">
        <f>IF([3]Entry!$N$1429="","",[3]Entry!$N$1429)</f>
        <v/>
      </c>
      <c r="AM1426">
        <f>IF([3]Entry!$R$1429="","",[3]Entry!$R$1429)</f>
        <v/>
      </c>
    </row>
    <row r="1427">
      <c r="T1427">
        <f>IF([2]Baskol!$B$1430="","",[2]Baskol!$B$1430)</f>
        <v/>
      </c>
      <c r="U1427">
        <f>IF([2]Baskol!$C$1430="","",[2]Baskol!$C$1430)</f>
        <v/>
      </c>
      <c r="V1427">
        <f>IF([2]Baskol!$D$1430="","",[2]Baskol!$D$1430)</f>
        <v/>
      </c>
      <c r="W1427">
        <f>IF([2]Baskol!$E$1430="","",[2]Baskol!$E$1430)</f>
        <v/>
      </c>
      <c r="X1427">
        <f>IF([2]Baskol!$G$1430="","",[2]Baskol!$G$1430)</f>
        <v/>
      </c>
      <c r="Y1427">
        <f>IF([2]Baskol!$I$1430="","",[2]Baskol!$I$1430)</f>
        <v/>
      </c>
      <c r="Z1427">
        <f>IF([2]Baskol!$J$1430="","",[2]Baskol!$J$1430)</f>
        <v/>
      </c>
      <c r="AA1427">
        <f>IF([2]Baskol!$K$1430="","",[2]Baskol!$K$1430)</f>
        <v/>
      </c>
      <c r="AB1427">
        <f>IF([2]Baskol!$L$1430="","",[2]Baskol!$L$1430)</f>
        <v/>
      </c>
      <c r="AC1427">
        <f>IF([2]Baskol!$N$1430="","",[2]Baskol!$N$1430)</f>
        <v/>
      </c>
      <c r="AD1427">
        <f>IF([2]Baskol!$O$1430="","",[2]Baskol!$O$1430)</f>
        <v/>
      </c>
      <c r="AE1427">
        <f>IF([3]Entry!$C$1430="","",[3]Entry!$C$1430)</f>
        <v/>
      </c>
      <c r="AF1427">
        <f>IF([3]Entry!$D$1430="","",[3]Entry!$D$1430)</f>
        <v/>
      </c>
      <c r="AG1427">
        <f>IF([3]Entry!$E$1430="","",[3]Entry!$E$1430)</f>
        <v/>
      </c>
      <c r="AH1427">
        <f>IF([3]Entry!$G$1430="","",[3]Entry!$G$1430)</f>
        <v/>
      </c>
      <c r="AI1427">
        <f>IF([3]Entry!$K$1430="","",[3]Entry!$K$1430)</f>
        <v/>
      </c>
      <c r="AJ1427">
        <f>IF([3]Entry!$L$1430="","",[3]Entry!$L$1430)</f>
        <v/>
      </c>
      <c r="AK1427">
        <f>IF([3]Entry!$M$1430="","",[3]Entry!$M$1430)</f>
        <v/>
      </c>
      <c r="AL1427">
        <f>IF([3]Entry!$N$1430="","",[3]Entry!$N$1430)</f>
        <v/>
      </c>
      <c r="AM1427">
        <f>IF([3]Entry!$R$1430="","",[3]Entry!$R$1430)</f>
        <v/>
      </c>
    </row>
    <row r="1428">
      <c r="T1428">
        <f>IF([2]Baskol!$B$1431="","",[2]Baskol!$B$1431)</f>
        <v/>
      </c>
      <c r="U1428">
        <f>IF([2]Baskol!$C$1431="","",[2]Baskol!$C$1431)</f>
        <v/>
      </c>
      <c r="V1428">
        <f>IF([2]Baskol!$D$1431="","",[2]Baskol!$D$1431)</f>
        <v/>
      </c>
      <c r="W1428">
        <f>IF([2]Baskol!$E$1431="","",[2]Baskol!$E$1431)</f>
        <v/>
      </c>
      <c r="X1428">
        <f>IF([2]Baskol!$G$1431="","",[2]Baskol!$G$1431)</f>
        <v/>
      </c>
      <c r="Y1428">
        <f>IF([2]Baskol!$I$1431="","",[2]Baskol!$I$1431)</f>
        <v/>
      </c>
      <c r="Z1428">
        <f>IF([2]Baskol!$J$1431="","",[2]Baskol!$J$1431)</f>
        <v/>
      </c>
      <c r="AA1428">
        <f>IF([2]Baskol!$K$1431="","",[2]Baskol!$K$1431)</f>
        <v/>
      </c>
      <c r="AB1428">
        <f>IF([2]Baskol!$L$1431="","",[2]Baskol!$L$1431)</f>
        <v/>
      </c>
      <c r="AC1428">
        <f>IF([2]Baskol!$N$1431="","",[2]Baskol!$N$1431)</f>
        <v/>
      </c>
      <c r="AD1428">
        <f>IF([2]Baskol!$O$1431="","",[2]Baskol!$O$1431)</f>
        <v/>
      </c>
      <c r="AE1428">
        <f>IF([3]Entry!$C$1431="","",[3]Entry!$C$1431)</f>
        <v/>
      </c>
      <c r="AF1428">
        <f>IF([3]Entry!$D$1431="","",[3]Entry!$D$1431)</f>
        <v/>
      </c>
      <c r="AG1428">
        <f>IF([3]Entry!$E$1431="","",[3]Entry!$E$1431)</f>
        <v/>
      </c>
      <c r="AH1428">
        <f>IF([3]Entry!$G$1431="","",[3]Entry!$G$1431)</f>
        <v/>
      </c>
      <c r="AI1428">
        <f>IF([3]Entry!$K$1431="","",[3]Entry!$K$1431)</f>
        <v/>
      </c>
      <c r="AJ1428">
        <f>IF([3]Entry!$L$1431="","",[3]Entry!$L$1431)</f>
        <v/>
      </c>
      <c r="AK1428">
        <f>IF([3]Entry!$M$1431="","",[3]Entry!$M$1431)</f>
        <v/>
      </c>
      <c r="AL1428">
        <f>IF([3]Entry!$N$1431="","",[3]Entry!$N$1431)</f>
        <v/>
      </c>
      <c r="AM1428">
        <f>IF([3]Entry!$R$1431="","",[3]Entry!$R$1431)</f>
        <v/>
      </c>
    </row>
    <row r="1429">
      <c r="T1429">
        <f>IF([2]Baskol!$B$1432="","",[2]Baskol!$B$1432)</f>
        <v/>
      </c>
      <c r="U1429">
        <f>IF([2]Baskol!$C$1432="","",[2]Baskol!$C$1432)</f>
        <v/>
      </c>
      <c r="V1429">
        <f>IF([2]Baskol!$D$1432="","",[2]Baskol!$D$1432)</f>
        <v/>
      </c>
      <c r="W1429">
        <f>IF([2]Baskol!$E$1432="","",[2]Baskol!$E$1432)</f>
        <v/>
      </c>
      <c r="X1429">
        <f>IF([2]Baskol!$G$1432="","",[2]Baskol!$G$1432)</f>
        <v/>
      </c>
      <c r="Y1429">
        <f>IF([2]Baskol!$I$1432="","",[2]Baskol!$I$1432)</f>
        <v/>
      </c>
      <c r="Z1429">
        <f>IF([2]Baskol!$J$1432="","",[2]Baskol!$J$1432)</f>
        <v/>
      </c>
      <c r="AA1429">
        <f>IF([2]Baskol!$K$1432="","",[2]Baskol!$K$1432)</f>
        <v/>
      </c>
      <c r="AB1429">
        <f>IF([2]Baskol!$L$1432="","",[2]Baskol!$L$1432)</f>
        <v/>
      </c>
      <c r="AC1429">
        <f>IF([2]Baskol!$N$1432="","",[2]Baskol!$N$1432)</f>
        <v/>
      </c>
      <c r="AD1429">
        <f>IF([2]Baskol!$O$1432="","",[2]Baskol!$O$1432)</f>
        <v/>
      </c>
      <c r="AE1429">
        <f>IF([3]Entry!$C$1432="","",[3]Entry!$C$1432)</f>
        <v/>
      </c>
      <c r="AF1429">
        <f>IF([3]Entry!$D$1432="","",[3]Entry!$D$1432)</f>
        <v/>
      </c>
      <c r="AG1429">
        <f>IF([3]Entry!$E$1432="","",[3]Entry!$E$1432)</f>
        <v/>
      </c>
      <c r="AH1429">
        <f>IF([3]Entry!$G$1432="","",[3]Entry!$G$1432)</f>
        <v/>
      </c>
      <c r="AI1429">
        <f>IF([3]Entry!$K$1432="","",[3]Entry!$K$1432)</f>
        <v/>
      </c>
      <c r="AJ1429">
        <f>IF([3]Entry!$L$1432="","",[3]Entry!$L$1432)</f>
        <v/>
      </c>
      <c r="AK1429">
        <f>IF([3]Entry!$M$1432="","",[3]Entry!$M$1432)</f>
        <v/>
      </c>
      <c r="AL1429">
        <f>IF([3]Entry!$N$1432="","",[3]Entry!$N$1432)</f>
        <v/>
      </c>
      <c r="AM1429">
        <f>IF([3]Entry!$R$1432="","",[3]Entry!$R$1432)</f>
        <v/>
      </c>
    </row>
    <row r="1430">
      <c r="T1430">
        <f>IF([2]Baskol!$B$1433="","",[2]Baskol!$B$1433)</f>
        <v/>
      </c>
      <c r="U1430">
        <f>IF([2]Baskol!$C$1433="","",[2]Baskol!$C$1433)</f>
        <v/>
      </c>
      <c r="V1430">
        <f>IF([2]Baskol!$D$1433="","",[2]Baskol!$D$1433)</f>
        <v/>
      </c>
      <c r="W1430">
        <f>IF([2]Baskol!$E$1433="","",[2]Baskol!$E$1433)</f>
        <v/>
      </c>
      <c r="X1430">
        <f>IF([2]Baskol!$G$1433="","",[2]Baskol!$G$1433)</f>
        <v/>
      </c>
      <c r="Y1430">
        <f>IF([2]Baskol!$I$1433="","",[2]Baskol!$I$1433)</f>
        <v/>
      </c>
      <c r="Z1430">
        <f>IF([2]Baskol!$J$1433="","",[2]Baskol!$J$1433)</f>
        <v/>
      </c>
      <c r="AA1430">
        <f>IF([2]Baskol!$K$1433="","",[2]Baskol!$K$1433)</f>
        <v/>
      </c>
      <c r="AB1430">
        <f>IF([2]Baskol!$L$1433="","",[2]Baskol!$L$1433)</f>
        <v/>
      </c>
      <c r="AC1430">
        <f>IF([2]Baskol!$N$1433="","",[2]Baskol!$N$1433)</f>
        <v/>
      </c>
      <c r="AD1430">
        <f>IF([2]Baskol!$O$1433="","",[2]Baskol!$O$1433)</f>
        <v/>
      </c>
      <c r="AE1430">
        <f>IF([3]Entry!$C$1433="","",[3]Entry!$C$1433)</f>
        <v/>
      </c>
      <c r="AF1430">
        <f>IF([3]Entry!$D$1433="","",[3]Entry!$D$1433)</f>
        <v/>
      </c>
      <c r="AG1430">
        <f>IF([3]Entry!$E$1433="","",[3]Entry!$E$1433)</f>
        <v/>
      </c>
      <c r="AH1430">
        <f>IF([3]Entry!$G$1433="","",[3]Entry!$G$1433)</f>
        <v/>
      </c>
      <c r="AI1430">
        <f>IF([3]Entry!$K$1433="","",[3]Entry!$K$1433)</f>
        <v/>
      </c>
      <c r="AJ1430">
        <f>IF([3]Entry!$L$1433="","",[3]Entry!$L$1433)</f>
        <v/>
      </c>
      <c r="AK1430">
        <f>IF([3]Entry!$M$1433="","",[3]Entry!$M$1433)</f>
        <v/>
      </c>
      <c r="AL1430">
        <f>IF([3]Entry!$N$1433="","",[3]Entry!$N$1433)</f>
        <v/>
      </c>
      <c r="AM1430">
        <f>IF([3]Entry!$R$1433="","",[3]Entry!$R$1433)</f>
        <v/>
      </c>
    </row>
    <row r="1431">
      <c r="T1431">
        <f>IF([2]Baskol!$B$1434="","",[2]Baskol!$B$1434)</f>
        <v/>
      </c>
      <c r="U1431">
        <f>IF([2]Baskol!$C$1434="","",[2]Baskol!$C$1434)</f>
        <v/>
      </c>
      <c r="V1431">
        <f>IF([2]Baskol!$D$1434="","",[2]Baskol!$D$1434)</f>
        <v/>
      </c>
      <c r="W1431">
        <f>IF([2]Baskol!$E$1434="","",[2]Baskol!$E$1434)</f>
        <v/>
      </c>
      <c r="X1431">
        <f>IF([2]Baskol!$G$1434="","",[2]Baskol!$G$1434)</f>
        <v/>
      </c>
      <c r="Y1431">
        <f>IF([2]Baskol!$I$1434="","",[2]Baskol!$I$1434)</f>
        <v/>
      </c>
      <c r="Z1431">
        <f>IF([2]Baskol!$J$1434="","",[2]Baskol!$J$1434)</f>
        <v/>
      </c>
      <c r="AA1431">
        <f>IF([2]Baskol!$K$1434="","",[2]Baskol!$K$1434)</f>
        <v/>
      </c>
      <c r="AB1431">
        <f>IF([2]Baskol!$L$1434="","",[2]Baskol!$L$1434)</f>
        <v/>
      </c>
      <c r="AC1431">
        <f>IF([2]Baskol!$N$1434="","",[2]Baskol!$N$1434)</f>
        <v/>
      </c>
      <c r="AD1431">
        <f>IF([2]Baskol!$O$1434="","",[2]Baskol!$O$1434)</f>
        <v/>
      </c>
      <c r="AE1431">
        <f>IF([3]Entry!$C$1434="","",[3]Entry!$C$1434)</f>
        <v/>
      </c>
      <c r="AF1431">
        <f>IF([3]Entry!$D$1434="","",[3]Entry!$D$1434)</f>
        <v/>
      </c>
      <c r="AG1431">
        <f>IF([3]Entry!$E$1434="","",[3]Entry!$E$1434)</f>
        <v/>
      </c>
      <c r="AH1431">
        <f>IF([3]Entry!$G$1434="","",[3]Entry!$G$1434)</f>
        <v/>
      </c>
      <c r="AI1431">
        <f>IF([3]Entry!$K$1434="","",[3]Entry!$K$1434)</f>
        <v/>
      </c>
      <c r="AJ1431">
        <f>IF([3]Entry!$L$1434="","",[3]Entry!$L$1434)</f>
        <v/>
      </c>
      <c r="AK1431">
        <f>IF([3]Entry!$M$1434="","",[3]Entry!$M$1434)</f>
        <v/>
      </c>
      <c r="AL1431">
        <f>IF([3]Entry!$N$1434="","",[3]Entry!$N$1434)</f>
        <v/>
      </c>
      <c r="AM1431">
        <f>IF([3]Entry!$R$1434="","",[3]Entry!$R$1434)</f>
        <v/>
      </c>
    </row>
    <row r="1432">
      <c r="T1432">
        <f>IF([2]Baskol!$B$1435="","",[2]Baskol!$B$1435)</f>
        <v/>
      </c>
      <c r="U1432">
        <f>IF([2]Baskol!$C$1435="","",[2]Baskol!$C$1435)</f>
        <v/>
      </c>
      <c r="V1432">
        <f>IF([2]Baskol!$D$1435="","",[2]Baskol!$D$1435)</f>
        <v/>
      </c>
      <c r="W1432">
        <f>IF([2]Baskol!$E$1435="","",[2]Baskol!$E$1435)</f>
        <v/>
      </c>
      <c r="X1432">
        <f>IF([2]Baskol!$G$1435="","",[2]Baskol!$G$1435)</f>
        <v/>
      </c>
      <c r="Y1432">
        <f>IF([2]Baskol!$I$1435="","",[2]Baskol!$I$1435)</f>
        <v/>
      </c>
      <c r="Z1432">
        <f>IF([2]Baskol!$J$1435="","",[2]Baskol!$J$1435)</f>
        <v/>
      </c>
      <c r="AA1432">
        <f>IF([2]Baskol!$K$1435="","",[2]Baskol!$K$1435)</f>
        <v/>
      </c>
      <c r="AB1432">
        <f>IF([2]Baskol!$L$1435="","",[2]Baskol!$L$1435)</f>
        <v/>
      </c>
      <c r="AC1432">
        <f>IF([2]Baskol!$N$1435="","",[2]Baskol!$N$1435)</f>
        <v/>
      </c>
      <c r="AD1432">
        <f>IF([2]Baskol!$O$1435="","",[2]Baskol!$O$1435)</f>
        <v/>
      </c>
      <c r="AE1432">
        <f>IF([3]Entry!$C$1435="","",[3]Entry!$C$1435)</f>
        <v/>
      </c>
      <c r="AF1432">
        <f>IF([3]Entry!$D$1435="","",[3]Entry!$D$1435)</f>
        <v/>
      </c>
      <c r="AG1432">
        <f>IF([3]Entry!$E$1435="","",[3]Entry!$E$1435)</f>
        <v/>
      </c>
      <c r="AH1432">
        <f>IF([3]Entry!$G$1435="","",[3]Entry!$G$1435)</f>
        <v/>
      </c>
      <c r="AI1432">
        <f>IF([3]Entry!$K$1435="","",[3]Entry!$K$1435)</f>
        <v/>
      </c>
      <c r="AJ1432">
        <f>IF([3]Entry!$L$1435="","",[3]Entry!$L$1435)</f>
        <v/>
      </c>
      <c r="AK1432">
        <f>IF([3]Entry!$M$1435="","",[3]Entry!$M$1435)</f>
        <v/>
      </c>
      <c r="AL1432">
        <f>IF([3]Entry!$N$1435="","",[3]Entry!$N$1435)</f>
        <v/>
      </c>
      <c r="AM1432">
        <f>IF([3]Entry!$R$1435="","",[3]Entry!$R$1435)</f>
        <v/>
      </c>
    </row>
    <row r="1433">
      <c r="T1433">
        <f>IF([2]Baskol!$B$1436="","",[2]Baskol!$B$1436)</f>
        <v/>
      </c>
      <c r="U1433">
        <f>IF([2]Baskol!$C$1436="","",[2]Baskol!$C$1436)</f>
        <v/>
      </c>
      <c r="V1433">
        <f>IF([2]Baskol!$D$1436="","",[2]Baskol!$D$1436)</f>
        <v/>
      </c>
      <c r="W1433">
        <f>IF([2]Baskol!$E$1436="","",[2]Baskol!$E$1436)</f>
        <v/>
      </c>
      <c r="X1433">
        <f>IF([2]Baskol!$G$1436="","",[2]Baskol!$G$1436)</f>
        <v/>
      </c>
      <c r="Y1433">
        <f>IF([2]Baskol!$I$1436="","",[2]Baskol!$I$1436)</f>
        <v/>
      </c>
      <c r="Z1433">
        <f>IF([2]Baskol!$J$1436="","",[2]Baskol!$J$1436)</f>
        <v/>
      </c>
      <c r="AA1433">
        <f>IF([2]Baskol!$K$1436="","",[2]Baskol!$K$1436)</f>
        <v/>
      </c>
      <c r="AB1433">
        <f>IF([2]Baskol!$L$1436="","",[2]Baskol!$L$1436)</f>
        <v/>
      </c>
      <c r="AC1433">
        <f>IF([2]Baskol!$N$1436="","",[2]Baskol!$N$1436)</f>
        <v/>
      </c>
      <c r="AD1433">
        <f>IF([2]Baskol!$O$1436="","",[2]Baskol!$O$1436)</f>
        <v/>
      </c>
      <c r="AE1433">
        <f>IF([3]Entry!$C$1436="","",[3]Entry!$C$1436)</f>
        <v/>
      </c>
      <c r="AF1433">
        <f>IF([3]Entry!$D$1436="","",[3]Entry!$D$1436)</f>
        <v/>
      </c>
      <c r="AG1433">
        <f>IF([3]Entry!$E$1436="","",[3]Entry!$E$1436)</f>
        <v/>
      </c>
      <c r="AH1433">
        <f>IF([3]Entry!$G$1436="","",[3]Entry!$G$1436)</f>
        <v/>
      </c>
      <c r="AI1433">
        <f>IF([3]Entry!$K$1436="","",[3]Entry!$K$1436)</f>
        <v/>
      </c>
      <c r="AJ1433">
        <f>IF([3]Entry!$L$1436="","",[3]Entry!$L$1436)</f>
        <v/>
      </c>
      <c r="AK1433">
        <f>IF([3]Entry!$M$1436="","",[3]Entry!$M$1436)</f>
        <v/>
      </c>
      <c r="AL1433">
        <f>IF([3]Entry!$N$1436="","",[3]Entry!$N$1436)</f>
        <v/>
      </c>
      <c r="AM1433">
        <f>IF([3]Entry!$R$1436="","",[3]Entry!$R$1436)</f>
        <v/>
      </c>
    </row>
    <row r="1434">
      <c r="T1434">
        <f>IF([2]Baskol!$B$1437="","",[2]Baskol!$B$1437)</f>
        <v/>
      </c>
      <c r="U1434">
        <f>IF([2]Baskol!$C$1437="","",[2]Baskol!$C$1437)</f>
        <v/>
      </c>
      <c r="V1434">
        <f>IF([2]Baskol!$D$1437="","",[2]Baskol!$D$1437)</f>
        <v/>
      </c>
      <c r="W1434">
        <f>IF([2]Baskol!$E$1437="","",[2]Baskol!$E$1437)</f>
        <v/>
      </c>
      <c r="X1434">
        <f>IF([2]Baskol!$G$1437="","",[2]Baskol!$G$1437)</f>
        <v/>
      </c>
      <c r="Y1434">
        <f>IF([2]Baskol!$I$1437="","",[2]Baskol!$I$1437)</f>
        <v/>
      </c>
      <c r="Z1434">
        <f>IF([2]Baskol!$J$1437="","",[2]Baskol!$J$1437)</f>
        <v/>
      </c>
      <c r="AA1434">
        <f>IF([2]Baskol!$K$1437="","",[2]Baskol!$K$1437)</f>
        <v/>
      </c>
      <c r="AB1434">
        <f>IF([2]Baskol!$L$1437="","",[2]Baskol!$L$1437)</f>
        <v/>
      </c>
      <c r="AC1434">
        <f>IF([2]Baskol!$N$1437="","",[2]Baskol!$N$1437)</f>
        <v/>
      </c>
      <c r="AD1434">
        <f>IF([2]Baskol!$O$1437="","",[2]Baskol!$O$1437)</f>
        <v/>
      </c>
      <c r="AE1434">
        <f>IF([3]Entry!$C$1437="","",[3]Entry!$C$1437)</f>
        <v/>
      </c>
      <c r="AF1434">
        <f>IF([3]Entry!$D$1437="","",[3]Entry!$D$1437)</f>
        <v/>
      </c>
      <c r="AG1434">
        <f>IF([3]Entry!$E$1437="","",[3]Entry!$E$1437)</f>
        <v/>
      </c>
      <c r="AH1434">
        <f>IF([3]Entry!$G$1437="","",[3]Entry!$G$1437)</f>
        <v/>
      </c>
      <c r="AI1434">
        <f>IF([3]Entry!$K$1437="","",[3]Entry!$K$1437)</f>
        <v/>
      </c>
      <c r="AJ1434">
        <f>IF([3]Entry!$L$1437="","",[3]Entry!$L$1437)</f>
        <v/>
      </c>
      <c r="AK1434">
        <f>IF([3]Entry!$M$1437="","",[3]Entry!$M$1437)</f>
        <v/>
      </c>
      <c r="AL1434">
        <f>IF([3]Entry!$N$1437="","",[3]Entry!$N$1437)</f>
        <v/>
      </c>
      <c r="AM1434">
        <f>IF([3]Entry!$R$1437="","",[3]Entry!$R$1437)</f>
        <v/>
      </c>
    </row>
    <row r="1435">
      <c r="T1435">
        <f>IF([2]Baskol!$B$1438="","",[2]Baskol!$B$1438)</f>
        <v/>
      </c>
      <c r="U1435">
        <f>IF([2]Baskol!$C$1438="","",[2]Baskol!$C$1438)</f>
        <v/>
      </c>
      <c r="V1435">
        <f>IF([2]Baskol!$D$1438="","",[2]Baskol!$D$1438)</f>
        <v/>
      </c>
      <c r="W1435">
        <f>IF([2]Baskol!$E$1438="","",[2]Baskol!$E$1438)</f>
        <v/>
      </c>
      <c r="X1435">
        <f>IF([2]Baskol!$G$1438="","",[2]Baskol!$G$1438)</f>
        <v/>
      </c>
      <c r="Y1435">
        <f>IF([2]Baskol!$I$1438="","",[2]Baskol!$I$1438)</f>
        <v/>
      </c>
      <c r="Z1435">
        <f>IF([2]Baskol!$J$1438="","",[2]Baskol!$J$1438)</f>
        <v/>
      </c>
      <c r="AA1435">
        <f>IF([2]Baskol!$K$1438="","",[2]Baskol!$K$1438)</f>
        <v/>
      </c>
      <c r="AB1435">
        <f>IF([2]Baskol!$L$1438="","",[2]Baskol!$L$1438)</f>
        <v/>
      </c>
      <c r="AC1435">
        <f>IF([2]Baskol!$N$1438="","",[2]Baskol!$N$1438)</f>
        <v/>
      </c>
      <c r="AD1435">
        <f>IF([2]Baskol!$O$1438="","",[2]Baskol!$O$1438)</f>
        <v/>
      </c>
      <c r="AE1435">
        <f>IF([3]Entry!$C$1438="","",[3]Entry!$C$1438)</f>
        <v/>
      </c>
      <c r="AF1435">
        <f>IF([3]Entry!$D$1438="","",[3]Entry!$D$1438)</f>
        <v/>
      </c>
      <c r="AG1435">
        <f>IF([3]Entry!$E$1438="","",[3]Entry!$E$1438)</f>
        <v/>
      </c>
      <c r="AH1435">
        <f>IF([3]Entry!$G$1438="","",[3]Entry!$G$1438)</f>
        <v/>
      </c>
      <c r="AI1435">
        <f>IF([3]Entry!$K$1438="","",[3]Entry!$K$1438)</f>
        <v/>
      </c>
      <c r="AJ1435">
        <f>IF([3]Entry!$L$1438="","",[3]Entry!$L$1438)</f>
        <v/>
      </c>
      <c r="AK1435">
        <f>IF([3]Entry!$M$1438="","",[3]Entry!$M$1438)</f>
        <v/>
      </c>
      <c r="AL1435">
        <f>IF([3]Entry!$N$1438="","",[3]Entry!$N$1438)</f>
        <v/>
      </c>
      <c r="AM1435">
        <f>IF([3]Entry!$R$1438="","",[3]Entry!$R$1438)</f>
        <v/>
      </c>
    </row>
    <row r="1436">
      <c r="T1436">
        <f>IF([2]Baskol!$B$1439="","",[2]Baskol!$B$1439)</f>
        <v/>
      </c>
      <c r="U1436">
        <f>IF([2]Baskol!$C$1439="","",[2]Baskol!$C$1439)</f>
        <v/>
      </c>
      <c r="V1436">
        <f>IF([2]Baskol!$D$1439="","",[2]Baskol!$D$1439)</f>
        <v/>
      </c>
      <c r="W1436">
        <f>IF([2]Baskol!$E$1439="","",[2]Baskol!$E$1439)</f>
        <v/>
      </c>
      <c r="X1436">
        <f>IF([2]Baskol!$G$1439="","",[2]Baskol!$G$1439)</f>
        <v/>
      </c>
      <c r="Y1436">
        <f>IF([2]Baskol!$I$1439="","",[2]Baskol!$I$1439)</f>
        <v/>
      </c>
      <c r="Z1436">
        <f>IF([2]Baskol!$J$1439="","",[2]Baskol!$J$1439)</f>
        <v/>
      </c>
      <c r="AA1436">
        <f>IF([2]Baskol!$K$1439="","",[2]Baskol!$K$1439)</f>
        <v/>
      </c>
      <c r="AB1436">
        <f>IF([2]Baskol!$L$1439="","",[2]Baskol!$L$1439)</f>
        <v/>
      </c>
      <c r="AC1436">
        <f>IF([2]Baskol!$N$1439="","",[2]Baskol!$N$1439)</f>
        <v/>
      </c>
      <c r="AD1436">
        <f>IF([2]Baskol!$O$1439="","",[2]Baskol!$O$1439)</f>
        <v/>
      </c>
      <c r="AE1436">
        <f>IF([3]Entry!$C$1439="","",[3]Entry!$C$1439)</f>
        <v/>
      </c>
      <c r="AF1436">
        <f>IF([3]Entry!$D$1439="","",[3]Entry!$D$1439)</f>
        <v/>
      </c>
      <c r="AG1436">
        <f>IF([3]Entry!$E$1439="","",[3]Entry!$E$1439)</f>
        <v/>
      </c>
      <c r="AH1436">
        <f>IF([3]Entry!$G$1439="","",[3]Entry!$G$1439)</f>
        <v/>
      </c>
      <c r="AI1436">
        <f>IF([3]Entry!$K$1439="","",[3]Entry!$K$1439)</f>
        <v/>
      </c>
      <c r="AJ1436">
        <f>IF([3]Entry!$L$1439="","",[3]Entry!$L$1439)</f>
        <v/>
      </c>
      <c r="AK1436">
        <f>IF([3]Entry!$M$1439="","",[3]Entry!$M$1439)</f>
        <v/>
      </c>
      <c r="AL1436">
        <f>IF([3]Entry!$N$1439="","",[3]Entry!$N$1439)</f>
        <v/>
      </c>
      <c r="AM1436">
        <f>IF([3]Entry!$R$1439="","",[3]Entry!$R$1439)</f>
        <v/>
      </c>
    </row>
    <row r="1437">
      <c r="T1437">
        <f>IF([2]Baskol!$B$1440="","",[2]Baskol!$B$1440)</f>
        <v/>
      </c>
      <c r="U1437">
        <f>IF([2]Baskol!$C$1440="","",[2]Baskol!$C$1440)</f>
        <v/>
      </c>
      <c r="V1437">
        <f>IF([2]Baskol!$D$1440="","",[2]Baskol!$D$1440)</f>
        <v/>
      </c>
      <c r="W1437">
        <f>IF([2]Baskol!$E$1440="","",[2]Baskol!$E$1440)</f>
        <v/>
      </c>
      <c r="X1437">
        <f>IF([2]Baskol!$G$1440="","",[2]Baskol!$G$1440)</f>
        <v/>
      </c>
      <c r="Y1437">
        <f>IF([2]Baskol!$I$1440="","",[2]Baskol!$I$1440)</f>
        <v/>
      </c>
      <c r="Z1437">
        <f>IF([2]Baskol!$J$1440="","",[2]Baskol!$J$1440)</f>
        <v/>
      </c>
      <c r="AA1437">
        <f>IF([2]Baskol!$K$1440="","",[2]Baskol!$K$1440)</f>
        <v/>
      </c>
      <c r="AB1437">
        <f>IF([2]Baskol!$L$1440="","",[2]Baskol!$L$1440)</f>
        <v/>
      </c>
      <c r="AC1437">
        <f>IF([2]Baskol!$N$1440="","",[2]Baskol!$N$1440)</f>
        <v/>
      </c>
      <c r="AD1437">
        <f>IF([2]Baskol!$O$1440="","",[2]Baskol!$O$1440)</f>
        <v/>
      </c>
      <c r="AE1437">
        <f>IF([3]Entry!$C$1440="","",[3]Entry!$C$1440)</f>
        <v/>
      </c>
      <c r="AF1437">
        <f>IF([3]Entry!$D$1440="","",[3]Entry!$D$1440)</f>
        <v/>
      </c>
      <c r="AG1437">
        <f>IF([3]Entry!$E$1440="","",[3]Entry!$E$1440)</f>
        <v/>
      </c>
      <c r="AH1437">
        <f>IF([3]Entry!$G$1440="","",[3]Entry!$G$1440)</f>
        <v/>
      </c>
      <c r="AI1437">
        <f>IF([3]Entry!$K$1440="","",[3]Entry!$K$1440)</f>
        <v/>
      </c>
      <c r="AJ1437">
        <f>IF([3]Entry!$L$1440="","",[3]Entry!$L$1440)</f>
        <v/>
      </c>
      <c r="AK1437">
        <f>IF([3]Entry!$M$1440="","",[3]Entry!$M$1440)</f>
        <v/>
      </c>
      <c r="AL1437">
        <f>IF([3]Entry!$N$1440="","",[3]Entry!$N$1440)</f>
        <v/>
      </c>
      <c r="AM1437">
        <f>IF([3]Entry!$R$1440="","",[3]Entry!$R$1440)</f>
        <v/>
      </c>
    </row>
    <row r="1438">
      <c r="T1438">
        <f>IF([2]Baskol!$B$1441="","",[2]Baskol!$B$1441)</f>
        <v/>
      </c>
      <c r="U1438">
        <f>IF([2]Baskol!$C$1441="","",[2]Baskol!$C$1441)</f>
        <v/>
      </c>
      <c r="V1438">
        <f>IF([2]Baskol!$D$1441="","",[2]Baskol!$D$1441)</f>
        <v/>
      </c>
      <c r="W1438">
        <f>IF([2]Baskol!$E$1441="","",[2]Baskol!$E$1441)</f>
        <v/>
      </c>
      <c r="X1438">
        <f>IF([2]Baskol!$G$1441="","",[2]Baskol!$G$1441)</f>
        <v/>
      </c>
      <c r="Y1438">
        <f>IF([2]Baskol!$I$1441="","",[2]Baskol!$I$1441)</f>
        <v/>
      </c>
      <c r="Z1438">
        <f>IF([2]Baskol!$J$1441="","",[2]Baskol!$J$1441)</f>
        <v/>
      </c>
      <c r="AA1438">
        <f>IF([2]Baskol!$K$1441="","",[2]Baskol!$K$1441)</f>
        <v/>
      </c>
      <c r="AB1438">
        <f>IF([2]Baskol!$L$1441="","",[2]Baskol!$L$1441)</f>
        <v/>
      </c>
      <c r="AC1438">
        <f>IF([2]Baskol!$N$1441="","",[2]Baskol!$N$1441)</f>
        <v/>
      </c>
      <c r="AD1438">
        <f>IF([2]Baskol!$O$1441="","",[2]Baskol!$O$1441)</f>
        <v/>
      </c>
      <c r="AE1438">
        <f>IF([3]Entry!$C$1441="","",[3]Entry!$C$1441)</f>
        <v/>
      </c>
      <c r="AF1438">
        <f>IF([3]Entry!$D$1441="","",[3]Entry!$D$1441)</f>
        <v/>
      </c>
      <c r="AG1438">
        <f>IF([3]Entry!$E$1441="","",[3]Entry!$E$1441)</f>
        <v/>
      </c>
      <c r="AH1438">
        <f>IF([3]Entry!$G$1441="","",[3]Entry!$G$1441)</f>
        <v/>
      </c>
      <c r="AI1438">
        <f>IF([3]Entry!$K$1441="","",[3]Entry!$K$1441)</f>
        <v/>
      </c>
      <c r="AJ1438">
        <f>IF([3]Entry!$L$1441="","",[3]Entry!$L$1441)</f>
        <v/>
      </c>
      <c r="AK1438">
        <f>IF([3]Entry!$M$1441="","",[3]Entry!$M$1441)</f>
        <v/>
      </c>
      <c r="AL1438">
        <f>IF([3]Entry!$N$1441="","",[3]Entry!$N$1441)</f>
        <v/>
      </c>
      <c r="AM1438">
        <f>IF([3]Entry!$R$1441="","",[3]Entry!$R$1441)</f>
        <v/>
      </c>
    </row>
    <row r="1439">
      <c r="T1439">
        <f>IF([2]Baskol!$B$1442="","",[2]Baskol!$B$1442)</f>
        <v/>
      </c>
      <c r="U1439">
        <f>IF([2]Baskol!$C$1442="","",[2]Baskol!$C$1442)</f>
        <v/>
      </c>
      <c r="V1439">
        <f>IF([2]Baskol!$D$1442="","",[2]Baskol!$D$1442)</f>
        <v/>
      </c>
      <c r="W1439">
        <f>IF([2]Baskol!$E$1442="","",[2]Baskol!$E$1442)</f>
        <v/>
      </c>
      <c r="X1439">
        <f>IF([2]Baskol!$G$1442="","",[2]Baskol!$G$1442)</f>
        <v/>
      </c>
      <c r="Y1439">
        <f>IF([2]Baskol!$I$1442="","",[2]Baskol!$I$1442)</f>
        <v/>
      </c>
      <c r="Z1439">
        <f>IF([2]Baskol!$J$1442="","",[2]Baskol!$J$1442)</f>
        <v/>
      </c>
      <c r="AA1439">
        <f>IF([2]Baskol!$K$1442="","",[2]Baskol!$K$1442)</f>
        <v/>
      </c>
      <c r="AB1439">
        <f>IF([2]Baskol!$L$1442="","",[2]Baskol!$L$1442)</f>
        <v/>
      </c>
      <c r="AC1439">
        <f>IF([2]Baskol!$N$1442="","",[2]Baskol!$N$1442)</f>
        <v/>
      </c>
      <c r="AD1439">
        <f>IF([2]Baskol!$O$1442="","",[2]Baskol!$O$1442)</f>
        <v/>
      </c>
      <c r="AE1439">
        <f>IF([3]Entry!$C$1442="","",[3]Entry!$C$1442)</f>
        <v/>
      </c>
      <c r="AF1439">
        <f>IF([3]Entry!$D$1442="","",[3]Entry!$D$1442)</f>
        <v/>
      </c>
      <c r="AG1439">
        <f>IF([3]Entry!$E$1442="","",[3]Entry!$E$1442)</f>
        <v/>
      </c>
      <c r="AH1439">
        <f>IF([3]Entry!$G$1442="","",[3]Entry!$G$1442)</f>
        <v/>
      </c>
      <c r="AI1439">
        <f>IF([3]Entry!$K$1442="","",[3]Entry!$K$1442)</f>
        <v/>
      </c>
      <c r="AJ1439">
        <f>IF([3]Entry!$L$1442="","",[3]Entry!$L$1442)</f>
        <v/>
      </c>
      <c r="AK1439">
        <f>IF([3]Entry!$M$1442="","",[3]Entry!$M$1442)</f>
        <v/>
      </c>
      <c r="AL1439">
        <f>IF([3]Entry!$N$1442="","",[3]Entry!$N$1442)</f>
        <v/>
      </c>
      <c r="AM1439">
        <f>IF([3]Entry!$R$1442="","",[3]Entry!$R$1442)</f>
        <v/>
      </c>
    </row>
    <row r="1440">
      <c r="T1440">
        <f>IF([2]Baskol!$B$1443="","",[2]Baskol!$B$1443)</f>
        <v/>
      </c>
      <c r="U1440">
        <f>IF([2]Baskol!$C$1443="","",[2]Baskol!$C$1443)</f>
        <v/>
      </c>
      <c r="V1440">
        <f>IF([2]Baskol!$D$1443="","",[2]Baskol!$D$1443)</f>
        <v/>
      </c>
      <c r="W1440">
        <f>IF([2]Baskol!$E$1443="","",[2]Baskol!$E$1443)</f>
        <v/>
      </c>
      <c r="X1440">
        <f>IF([2]Baskol!$G$1443="","",[2]Baskol!$G$1443)</f>
        <v/>
      </c>
      <c r="Y1440">
        <f>IF([2]Baskol!$I$1443="","",[2]Baskol!$I$1443)</f>
        <v/>
      </c>
      <c r="Z1440">
        <f>IF([2]Baskol!$J$1443="","",[2]Baskol!$J$1443)</f>
        <v/>
      </c>
      <c r="AA1440">
        <f>IF([2]Baskol!$K$1443="","",[2]Baskol!$K$1443)</f>
        <v/>
      </c>
      <c r="AB1440">
        <f>IF([2]Baskol!$L$1443="","",[2]Baskol!$L$1443)</f>
        <v/>
      </c>
      <c r="AC1440">
        <f>IF([2]Baskol!$N$1443="","",[2]Baskol!$N$1443)</f>
        <v/>
      </c>
      <c r="AD1440">
        <f>IF([2]Baskol!$O$1443="","",[2]Baskol!$O$1443)</f>
        <v/>
      </c>
      <c r="AE1440">
        <f>IF([3]Entry!$C$1443="","",[3]Entry!$C$1443)</f>
        <v/>
      </c>
      <c r="AF1440">
        <f>IF([3]Entry!$D$1443="","",[3]Entry!$D$1443)</f>
        <v/>
      </c>
      <c r="AG1440">
        <f>IF([3]Entry!$E$1443="","",[3]Entry!$E$1443)</f>
        <v/>
      </c>
      <c r="AH1440">
        <f>IF([3]Entry!$G$1443="","",[3]Entry!$G$1443)</f>
        <v/>
      </c>
      <c r="AI1440">
        <f>IF([3]Entry!$K$1443="","",[3]Entry!$K$1443)</f>
        <v/>
      </c>
      <c r="AJ1440">
        <f>IF([3]Entry!$L$1443="","",[3]Entry!$L$1443)</f>
        <v/>
      </c>
      <c r="AK1440">
        <f>IF([3]Entry!$M$1443="","",[3]Entry!$M$1443)</f>
        <v/>
      </c>
      <c r="AL1440">
        <f>IF([3]Entry!$N$1443="","",[3]Entry!$N$1443)</f>
        <v/>
      </c>
      <c r="AM1440">
        <f>IF([3]Entry!$R$1443="","",[3]Entry!$R$1443)</f>
        <v/>
      </c>
    </row>
    <row r="1441">
      <c r="T1441">
        <f>IF([2]Baskol!$B$1444="","",[2]Baskol!$B$1444)</f>
        <v/>
      </c>
      <c r="U1441">
        <f>IF([2]Baskol!$C$1444="","",[2]Baskol!$C$1444)</f>
        <v/>
      </c>
      <c r="V1441">
        <f>IF([2]Baskol!$D$1444="","",[2]Baskol!$D$1444)</f>
        <v/>
      </c>
      <c r="W1441">
        <f>IF([2]Baskol!$E$1444="","",[2]Baskol!$E$1444)</f>
        <v/>
      </c>
      <c r="X1441">
        <f>IF([2]Baskol!$G$1444="","",[2]Baskol!$G$1444)</f>
        <v/>
      </c>
      <c r="Y1441">
        <f>IF([2]Baskol!$I$1444="","",[2]Baskol!$I$1444)</f>
        <v/>
      </c>
      <c r="Z1441">
        <f>IF([2]Baskol!$J$1444="","",[2]Baskol!$J$1444)</f>
        <v/>
      </c>
      <c r="AA1441">
        <f>IF([2]Baskol!$K$1444="","",[2]Baskol!$K$1444)</f>
        <v/>
      </c>
      <c r="AB1441">
        <f>IF([2]Baskol!$L$1444="","",[2]Baskol!$L$1444)</f>
        <v/>
      </c>
      <c r="AC1441">
        <f>IF([2]Baskol!$N$1444="","",[2]Baskol!$N$1444)</f>
        <v/>
      </c>
      <c r="AD1441">
        <f>IF([2]Baskol!$O$1444="","",[2]Baskol!$O$1444)</f>
        <v/>
      </c>
      <c r="AE1441">
        <f>IF([3]Entry!$C$1444="","",[3]Entry!$C$1444)</f>
        <v/>
      </c>
      <c r="AF1441">
        <f>IF([3]Entry!$D$1444="","",[3]Entry!$D$1444)</f>
        <v/>
      </c>
      <c r="AG1441">
        <f>IF([3]Entry!$E$1444="","",[3]Entry!$E$1444)</f>
        <v/>
      </c>
      <c r="AH1441">
        <f>IF([3]Entry!$G$1444="","",[3]Entry!$G$1444)</f>
        <v/>
      </c>
      <c r="AI1441">
        <f>IF([3]Entry!$K$1444="","",[3]Entry!$K$1444)</f>
        <v/>
      </c>
      <c r="AJ1441">
        <f>IF([3]Entry!$L$1444="","",[3]Entry!$L$1444)</f>
        <v/>
      </c>
      <c r="AK1441">
        <f>IF([3]Entry!$M$1444="","",[3]Entry!$M$1444)</f>
        <v/>
      </c>
      <c r="AL1441">
        <f>IF([3]Entry!$N$1444="","",[3]Entry!$N$1444)</f>
        <v/>
      </c>
      <c r="AM1441">
        <f>IF([3]Entry!$R$1444="","",[3]Entry!$R$1444)</f>
        <v/>
      </c>
    </row>
    <row r="1442">
      <c r="T1442">
        <f>IF([2]Baskol!$B$1445="","",[2]Baskol!$B$1445)</f>
        <v/>
      </c>
      <c r="U1442">
        <f>IF([2]Baskol!$C$1445="","",[2]Baskol!$C$1445)</f>
        <v/>
      </c>
      <c r="V1442">
        <f>IF([2]Baskol!$D$1445="","",[2]Baskol!$D$1445)</f>
        <v/>
      </c>
      <c r="W1442">
        <f>IF([2]Baskol!$E$1445="","",[2]Baskol!$E$1445)</f>
        <v/>
      </c>
      <c r="X1442">
        <f>IF([2]Baskol!$G$1445="","",[2]Baskol!$G$1445)</f>
        <v/>
      </c>
      <c r="Y1442">
        <f>IF([2]Baskol!$I$1445="","",[2]Baskol!$I$1445)</f>
        <v/>
      </c>
      <c r="Z1442">
        <f>IF([2]Baskol!$J$1445="","",[2]Baskol!$J$1445)</f>
        <v/>
      </c>
      <c r="AA1442">
        <f>IF([2]Baskol!$K$1445="","",[2]Baskol!$K$1445)</f>
        <v/>
      </c>
      <c r="AB1442">
        <f>IF([2]Baskol!$L$1445="","",[2]Baskol!$L$1445)</f>
        <v/>
      </c>
      <c r="AC1442">
        <f>IF([2]Baskol!$N$1445="","",[2]Baskol!$N$1445)</f>
        <v/>
      </c>
      <c r="AD1442">
        <f>IF([2]Baskol!$O$1445="","",[2]Baskol!$O$1445)</f>
        <v/>
      </c>
      <c r="AE1442">
        <f>IF([3]Entry!$C$1445="","",[3]Entry!$C$1445)</f>
        <v/>
      </c>
      <c r="AF1442">
        <f>IF([3]Entry!$D$1445="","",[3]Entry!$D$1445)</f>
        <v/>
      </c>
      <c r="AG1442">
        <f>IF([3]Entry!$E$1445="","",[3]Entry!$E$1445)</f>
        <v/>
      </c>
      <c r="AH1442">
        <f>IF([3]Entry!$G$1445="","",[3]Entry!$G$1445)</f>
        <v/>
      </c>
      <c r="AI1442">
        <f>IF([3]Entry!$K$1445="","",[3]Entry!$K$1445)</f>
        <v/>
      </c>
      <c r="AJ1442">
        <f>IF([3]Entry!$L$1445="","",[3]Entry!$L$1445)</f>
        <v/>
      </c>
      <c r="AK1442">
        <f>IF([3]Entry!$M$1445="","",[3]Entry!$M$1445)</f>
        <v/>
      </c>
      <c r="AL1442">
        <f>IF([3]Entry!$N$1445="","",[3]Entry!$N$1445)</f>
        <v/>
      </c>
      <c r="AM1442">
        <f>IF([3]Entry!$R$1445="","",[3]Entry!$R$1445)</f>
        <v/>
      </c>
    </row>
    <row r="1443">
      <c r="T1443">
        <f>IF([2]Baskol!$B$1446="","",[2]Baskol!$B$1446)</f>
        <v/>
      </c>
      <c r="U1443">
        <f>IF([2]Baskol!$C$1446="","",[2]Baskol!$C$1446)</f>
        <v/>
      </c>
      <c r="V1443">
        <f>IF([2]Baskol!$D$1446="","",[2]Baskol!$D$1446)</f>
        <v/>
      </c>
      <c r="W1443">
        <f>IF([2]Baskol!$E$1446="","",[2]Baskol!$E$1446)</f>
        <v/>
      </c>
      <c r="X1443">
        <f>IF([2]Baskol!$G$1446="","",[2]Baskol!$G$1446)</f>
        <v/>
      </c>
      <c r="Y1443">
        <f>IF([2]Baskol!$I$1446="","",[2]Baskol!$I$1446)</f>
        <v/>
      </c>
      <c r="Z1443">
        <f>IF([2]Baskol!$J$1446="","",[2]Baskol!$J$1446)</f>
        <v/>
      </c>
      <c r="AA1443">
        <f>IF([2]Baskol!$K$1446="","",[2]Baskol!$K$1446)</f>
        <v/>
      </c>
      <c r="AB1443">
        <f>IF([2]Baskol!$L$1446="","",[2]Baskol!$L$1446)</f>
        <v/>
      </c>
      <c r="AC1443">
        <f>IF([2]Baskol!$N$1446="","",[2]Baskol!$N$1446)</f>
        <v/>
      </c>
      <c r="AD1443">
        <f>IF([2]Baskol!$O$1446="","",[2]Baskol!$O$1446)</f>
        <v/>
      </c>
      <c r="AE1443">
        <f>IF([3]Entry!$C$1446="","",[3]Entry!$C$1446)</f>
        <v/>
      </c>
      <c r="AF1443">
        <f>IF([3]Entry!$D$1446="","",[3]Entry!$D$1446)</f>
        <v/>
      </c>
      <c r="AG1443">
        <f>IF([3]Entry!$E$1446="","",[3]Entry!$E$1446)</f>
        <v/>
      </c>
      <c r="AH1443">
        <f>IF([3]Entry!$G$1446="","",[3]Entry!$G$1446)</f>
        <v/>
      </c>
      <c r="AI1443">
        <f>IF([3]Entry!$K$1446="","",[3]Entry!$K$1446)</f>
        <v/>
      </c>
      <c r="AJ1443">
        <f>IF([3]Entry!$L$1446="","",[3]Entry!$L$1446)</f>
        <v/>
      </c>
      <c r="AK1443">
        <f>IF([3]Entry!$M$1446="","",[3]Entry!$M$1446)</f>
        <v/>
      </c>
      <c r="AL1443">
        <f>IF([3]Entry!$N$1446="","",[3]Entry!$N$1446)</f>
        <v/>
      </c>
      <c r="AM1443">
        <f>IF([3]Entry!$R$1446="","",[3]Entry!$R$1446)</f>
        <v/>
      </c>
    </row>
    <row r="1444">
      <c r="T1444">
        <f>IF([2]Baskol!$B$1447="","",[2]Baskol!$B$1447)</f>
        <v/>
      </c>
      <c r="U1444">
        <f>IF([2]Baskol!$C$1447="","",[2]Baskol!$C$1447)</f>
        <v/>
      </c>
      <c r="V1444">
        <f>IF([2]Baskol!$D$1447="","",[2]Baskol!$D$1447)</f>
        <v/>
      </c>
      <c r="W1444">
        <f>IF([2]Baskol!$E$1447="","",[2]Baskol!$E$1447)</f>
        <v/>
      </c>
      <c r="X1444">
        <f>IF([2]Baskol!$G$1447="","",[2]Baskol!$G$1447)</f>
        <v/>
      </c>
      <c r="Y1444">
        <f>IF([2]Baskol!$I$1447="","",[2]Baskol!$I$1447)</f>
        <v/>
      </c>
      <c r="Z1444">
        <f>IF([2]Baskol!$J$1447="","",[2]Baskol!$J$1447)</f>
        <v/>
      </c>
      <c r="AA1444">
        <f>IF([2]Baskol!$K$1447="","",[2]Baskol!$K$1447)</f>
        <v/>
      </c>
      <c r="AB1444">
        <f>IF([2]Baskol!$L$1447="","",[2]Baskol!$L$1447)</f>
        <v/>
      </c>
      <c r="AC1444">
        <f>IF([2]Baskol!$N$1447="","",[2]Baskol!$N$1447)</f>
        <v/>
      </c>
      <c r="AD1444">
        <f>IF([2]Baskol!$O$1447="","",[2]Baskol!$O$1447)</f>
        <v/>
      </c>
      <c r="AE1444">
        <f>IF([3]Entry!$C$1447="","",[3]Entry!$C$1447)</f>
        <v/>
      </c>
      <c r="AF1444">
        <f>IF([3]Entry!$D$1447="","",[3]Entry!$D$1447)</f>
        <v/>
      </c>
      <c r="AG1444">
        <f>IF([3]Entry!$E$1447="","",[3]Entry!$E$1447)</f>
        <v/>
      </c>
      <c r="AH1444">
        <f>IF([3]Entry!$G$1447="","",[3]Entry!$G$1447)</f>
        <v/>
      </c>
      <c r="AI1444">
        <f>IF([3]Entry!$K$1447="","",[3]Entry!$K$1447)</f>
        <v/>
      </c>
      <c r="AJ1444">
        <f>IF([3]Entry!$L$1447="","",[3]Entry!$L$1447)</f>
        <v/>
      </c>
      <c r="AK1444">
        <f>IF([3]Entry!$M$1447="","",[3]Entry!$M$1447)</f>
        <v/>
      </c>
      <c r="AL1444">
        <f>IF([3]Entry!$N$1447="","",[3]Entry!$N$1447)</f>
        <v/>
      </c>
      <c r="AM1444">
        <f>IF([3]Entry!$R$1447="","",[3]Entry!$R$1447)</f>
        <v/>
      </c>
    </row>
    <row r="1445">
      <c r="T1445">
        <f>IF([2]Baskol!$B$1448="","",[2]Baskol!$B$1448)</f>
        <v/>
      </c>
      <c r="U1445">
        <f>IF([2]Baskol!$C$1448="","",[2]Baskol!$C$1448)</f>
        <v/>
      </c>
      <c r="V1445">
        <f>IF([2]Baskol!$D$1448="","",[2]Baskol!$D$1448)</f>
        <v/>
      </c>
      <c r="W1445">
        <f>IF([2]Baskol!$E$1448="","",[2]Baskol!$E$1448)</f>
        <v/>
      </c>
      <c r="X1445">
        <f>IF([2]Baskol!$G$1448="","",[2]Baskol!$G$1448)</f>
        <v/>
      </c>
      <c r="Y1445">
        <f>IF([2]Baskol!$I$1448="","",[2]Baskol!$I$1448)</f>
        <v/>
      </c>
      <c r="Z1445">
        <f>IF([2]Baskol!$J$1448="","",[2]Baskol!$J$1448)</f>
        <v/>
      </c>
      <c r="AA1445">
        <f>IF([2]Baskol!$K$1448="","",[2]Baskol!$K$1448)</f>
        <v/>
      </c>
      <c r="AB1445">
        <f>IF([2]Baskol!$L$1448="","",[2]Baskol!$L$1448)</f>
        <v/>
      </c>
      <c r="AC1445">
        <f>IF([2]Baskol!$N$1448="","",[2]Baskol!$N$1448)</f>
        <v/>
      </c>
      <c r="AD1445">
        <f>IF([2]Baskol!$O$1448="","",[2]Baskol!$O$1448)</f>
        <v/>
      </c>
      <c r="AE1445">
        <f>IF([3]Entry!$C$1448="","",[3]Entry!$C$1448)</f>
        <v/>
      </c>
      <c r="AF1445">
        <f>IF([3]Entry!$D$1448="","",[3]Entry!$D$1448)</f>
        <v/>
      </c>
      <c r="AG1445">
        <f>IF([3]Entry!$E$1448="","",[3]Entry!$E$1448)</f>
        <v/>
      </c>
      <c r="AH1445">
        <f>IF([3]Entry!$G$1448="","",[3]Entry!$G$1448)</f>
        <v/>
      </c>
      <c r="AI1445">
        <f>IF([3]Entry!$K$1448="","",[3]Entry!$K$1448)</f>
        <v/>
      </c>
      <c r="AJ1445">
        <f>IF([3]Entry!$L$1448="","",[3]Entry!$L$1448)</f>
        <v/>
      </c>
      <c r="AK1445">
        <f>IF([3]Entry!$M$1448="","",[3]Entry!$M$1448)</f>
        <v/>
      </c>
      <c r="AL1445">
        <f>IF([3]Entry!$N$1448="","",[3]Entry!$N$1448)</f>
        <v/>
      </c>
      <c r="AM1445">
        <f>IF([3]Entry!$R$1448="","",[3]Entry!$R$1448)</f>
        <v/>
      </c>
    </row>
    <row r="1446">
      <c r="T1446">
        <f>IF([2]Baskol!$B$1449="","",[2]Baskol!$B$1449)</f>
        <v/>
      </c>
      <c r="U1446">
        <f>IF([2]Baskol!$C$1449="","",[2]Baskol!$C$1449)</f>
        <v/>
      </c>
      <c r="V1446">
        <f>IF([2]Baskol!$D$1449="","",[2]Baskol!$D$1449)</f>
        <v/>
      </c>
      <c r="W1446">
        <f>IF([2]Baskol!$E$1449="","",[2]Baskol!$E$1449)</f>
        <v/>
      </c>
      <c r="X1446">
        <f>IF([2]Baskol!$G$1449="","",[2]Baskol!$G$1449)</f>
        <v/>
      </c>
      <c r="Y1446">
        <f>IF([2]Baskol!$I$1449="","",[2]Baskol!$I$1449)</f>
        <v/>
      </c>
      <c r="Z1446">
        <f>IF([2]Baskol!$J$1449="","",[2]Baskol!$J$1449)</f>
        <v/>
      </c>
      <c r="AA1446">
        <f>IF([2]Baskol!$K$1449="","",[2]Baskol!$K$1449)</f>
        <v/>
      </c>
      <c r="AB1446">
        <f>IF([2]Baskol!$L$1449="","",[2]Baskol!$L$1449)</f>
        <v/>
      </c>
      <c r="AC1446">
        <f>IF([2]Baskol!$N$1449="","",[2]Baskol!$N$1449)</f>
        <v/>
      </c>
      <c r="AD1446">
        <f>IF([2]Baskol!$O$1449="","",[2]Baskol!$O$1449)</f>
        <v/>
      </c>
      <c r="AE1446">
        <f>IF([3]Entry!$C$1449="","",[3]Entry!$C$1449)</f>
        <v/>
      </c>
      <c r="AF1446">
        <f>IF([3]Entry!$D$1449="","",[3]Entry!$D$1449)</f>
        <v/>
      </c>
      <c r="AG1446">
        <f>IF([3]Entry!$E$1449="","",[3]Entry!$E$1449)</f>
        <v/>
      </c>
      <c r="AH1446">
        <f>IF([3]Entry!$G$1449="","",[3]Entry!$G$1449)</f>
        <v/>
      </c>
      <c r="AI1446">
        <f>IF([3]Entry!$K$1449="","",[3]Entry!$K$1449)</f>
        <v/>
      </c>
      <c r="AJ1446">
        <f>IF([3]Entry!$L$1449="","",[3]Entry!$L$1449)</f>
        <v/>
      </c>
      <c r="AK1446">
        <f>IF([3]Entry!$M$1449="","",[3]Entry!$M$1449)</f>
        <v/>
      </c>
      <c r="AL1446">
        <f>IF([3]Entry!$N$1449="","",[3]Entry!$N$1449)</f>
        <v/>
      </c>
      <c r="AM1446">
        <f>IF([3]Entry!$R$1449="","",[3]Entry!$R$1449)</f>
        <v/>
      </c>
    </row>
    <row r="1447">
      <c r="T1447">
        <f>IF([2]Baskol!$B$1450="","",[2]Baskol!$B$1450)</f>
        <v/>
      </c>
      <c r="U1447">
        <f>IF([2]Baskol!$C$1450="","",[2]Baskol!$C$1450)</f>
        <v/>
      </c>
      <c r="V1447">
        <f>IF([2]Baskol!$D$1450="","",[2]Baskol!$D$1450)</f>
        <v/>
      </c>
      <c r="W1447">
        <f>IF([2]Baskol!$E$1450="","",[2]Baskol!$E$1450)</f>
        <v/>
      </c>
      <c r="X1447">
        <f>IF([2]Baskol!$G$1450="","",[2]Baskol!$G$1450)</f>
        <v/>
      </c>
      <c r="Y1447">
        <f>IF([2]Baskol!$I$1450="","",[2]Baskol!$I$1450)</f>
        <v/>
      </c>
      <c r="Z1447">
        <f>IF([2]Baskol!$J$1450="","",[2]Baskol!$J$1450)</f>
        <v/>
      </c>
      <c r="AA1447">
        <f>IF([2]Baskol!$K$1450="","",[2]Baskol!$K$1450)</f>
        <v/>
      </c>
      <c r="AB1447">
        <f>IF([2]Baskol!$L$1450="","",[2]Baskol!$L$1450)</f>
        <v/>
      </c>
      <c r="AC1447">
        <f>IF([2]Baskol!$N$1450="","",[2]Baskol!$N$1450)</f>
        <v/>
      </c>
      <c r="AD1447">
        <f>IF([2]Baskol!$O$1450="","",[2]Baskol!$O$1450)</f>
        <v/>
      </c>
      <c r="AE1447">
        <f>IF([3]Entry!$C$1450="","",[3]Entry!$C$1450)</f>
        <v/>
      </c>
      <c r="AF1447">
        <f>IF([3]Entry!$D$1450="","",[3]Entry!$D$1450)</f>
        <v/>
      </c>
      <c r="AG1447">
        <f>IF([3]Entry!$E$1450="","",[3]Entry!$E$1450)</f>
        <v/>
      </c>
      <c r="AH1447">
        <f>IF([3]Entry!$G$1450="","",[3]Entry!$G$1450)</f>
        <v/>
      </c>
      <c r="AI1447">
        <f>IF([3]Entry!$K$1450="","",[3]Entry!$K$1450)</f>
        <v/>
      </c>
      <c r="AJ1447">
        <f>IF([3]Entry!$L$1450="","",[3]Entry!$L$1450)</f>
        <v/>
      </c>
      <c r="AK1447">
        <f>IF([3]Entry!$M$1450="","",[3]Entry!$M$1450)</f>
        <v/>
      </c>
      <c r="AL1447">
        <f>IF([3]Entry!$N$1450="","",[3]Entry!$N$1450)</f>
        <v/>
      </c>
      <c r="AM1447">
        <f>IF([3]Entry!$R$1450="","",[3]Entry!$R$1450)</f>
        <v/>
      </c>
    </row>
    <row r="1448">
      <c r="T1448">
        <f>IF([2]Baskol!$B$1451="","",[2]Baskol!$B$1451)</f>
        <v/>
      </c>
      <c r="U1448">
        <f>IF([2]Baskol!$C$1451="","",[2]Baskol!$C$1451)</f>
        <v/>
      </c>
      <c r="V1448">
        <f>IF([2]Baskol!$D$1451="","",[2]Baskol!$D$1451)</f>
        <v/>
      </c>
      <c r="W1448">
        <f>IF([2]Baskol!$E$1451="","",[2]Baskol!$E$1451)</f>
        <v/>
      </c>
      <c r="X1448">
        <f>IF([2]Baskol!$G$1451="","",[2]Baskol!$G$1451)</f>
        <v/>
      </c>
      <c r="Y1448">
        <f>IF([2]Baskol!$I$1451="","",[2]Baskol!$I$1451)</f>
        <v/>
      </c>
      <c r="Z1448">
        <f>IF([2]Baskol!$J$1451="","",[2]Baskol!$J$1451)</f>
        <v/>
      </c>
      <c r="AA1448">
        <f>IF([2]Baskol!$K$1451="","",[2]Baskol!$K$1451)</f>
        <v/>
      </c>
      <c r="AB1448">
        <f>IF([2]Baskol!$L$1451="","",[2]Baskol!$L$1451)</f>
        <v/>
      </c>
      <c r="AC1448">
        <f>IF([2]Baskol!$N$1451="","",[2]Baskol!$N$1451)</f>
        <v/>
      </c>
      <c r="AD1448">
        <f>IF([2]Baskol!$O$1451="","",[2]Baskol!$O$1451)</f>
        <v/>
      </c>
      <c r="AE1448">
        <f>IF([3]Entry!$C$1451="","",[3]Entry!$C$1451)</f>
        <v/>
      </c>
      <c r="AF1448">
        <f>IF([3]Entry!$D$1451="","",[3]Entry!$D$1451)</f>
        <v/>
      </c>
      <c r="AG1448">
        <f>IF([3]Entry!$E$1451="","",[3]Entry!$E$1451)</f>
        <v/>
      </c>
      <c r="AH1448">
        <f>IF([3]Entry!$G$1451="","",[3]Entry!$G$1451)</f>
        <v/>
      </c>
      <c r="AI1448">
        <f>IF([3]Entry!$K$1451="","",[3]Entry!$K$1451)</f>
        <v/>
      </c>
      <c r="AJ1448">
        <f>IF([3]Entry!$L$1451="","",[3]Entry!$L$1451)</f>
        <v/>
      </c>
      <c r="AK1448">
        <f>IF([3]Entry!$M$1451="","",[3]Entry!$M$1451)</f>
        <v/>
      </c>
      <c r="AL1448">
        <f>IF([3]Entry!$N$1451="","",[3]Entry!$N$1451)</f>
        <v/>
      </c>
      <c r="AM1448">
        <f>IF([3]Entry!$R$1451="","",[3]Entry!$R$1451)</f>
        <v/>
      </c>
    </row>
    <row r="1449">
      <c r="T1449">
        <f>IF([2]Baskol!$B$1452="","",[2]Baskol!$B$1452)</f>
        <v/>
      </c>
      <c r="U1449">
        <f>IF([2]Baskol!$C$1452="","",[2]Baskol!$C$1452)</f>
        <v/>
      </c>
      <c r="V1449">
        <f>IF([2]Baskol!$D$1452="","",[2]Baskol!$D$1452)</f>
        <v/>
      </c>
      <c r="W1449">
        <f>IF([2]Baskol!$E$1452="","",[2]Baskol!$E$1452)</f>
        <v/>
      </c>
      <c r="X1449">
        <f>IF([2]Baskol!$G$1452="","",[2]Baskol!$G$1452)</f>
        <v/>
      </c>
      <c r="Y1449">
        <f>IF([2]Baskol!$I$1452="","",[2]Baskol!$I$1452)</f>
        <v/>
      </c>
      <c r="Z1449">
        <f>IF([2]Baskol!$J$1452="","",[2]Baskol!$J$1452)</f>
        <v/>
      </c>
      <c r="AA1449">
        <f>IF([2]Baskol!$K$1452="","",[2]Baskol!$K$1452)</f>
        <v/>
      </c>
      <c r="AB1449">
        <f>IF([2]Baskol!$L$1452="","",[2]Baskol!$L$1452)</f>
        <v/>
      </c>
      <c r="AC1449">
        <f>IF([2]Baskol!$N$1452="","",[2]Baskol!$N$1452)</f>
        <v/>
      </c>
      <c r="AD1449">
        <f>IF([2]Baskol!$O$1452="","",[2]Baskol!$O$1452)</f>
        <v/>
      </c>
      <c r="AE1449">
        <f>IF([3]Entry!$C$1452="","",[3]Entry!$C$1452)</f>
        <v/>
      </c>
      <c r="AF1449">
        <f>IF([3]Entry!$D$1452="","",[3]Entry!$D$1452)</f>
        <v/>
      </c>
      <c r="AG1449">
        <f>IF([3]Entry!$E$1452="","",[3]Entry!$E$1452)</f>
        <v/>
      </c>
      <c r="AH1449">
        <f>IF([3]Entry!$G$1452="","",[3]Entry!$G$1452)</f>
        <v/>
      </c>
      <c r="AI1449">
        <f>IF([3]Entry!$K$1452="","",[3]Entry!$K$1452)</f>
        <v/>
      </c>
      <c r="AJ1449">
        <f>IF([3]Entry!$L$1452="","",[3]Entry!$L$1452)</f>
        <v/>
      </c>
      <c r="AK1449">
        <f>IF([3]Entry!$M$1452="","",[3]Entry!$M$1452)</f>
        <v/>
      </c>
      <c r="AL1449">
        <f>IF([3]Entry!$N$1452="","",[3]Entry!$N$1452)</f>
        <v/>
      </c>
      <c r="AM1449">
        <f>IF([3]Entry!$R$1452="","",[3]Entry!$R$1452)</f>
        <v/>
      </c>
    </row>
    <row r="1450">
      <c r="T1450">
        <f>IF([2]Baskol!$B$1453="","",[2]Baskol!$B$1453)</f>
        <v/>
      </c>
      <c r="U1450">
        <f>IF([2]Baskol!$C$1453="","",[2]Baskol!$C$1453)</f>
        <v/>
      </c>
      <c r="V1450">
        <f>IF([2]Baskol!$D$1453="","",[2]Baskol!$D$1453)</f>
        <v/>
      </c>
      <c r="W1450">
        <f>IF([2]Baskol!$E$1453="","",[2]Baskol!$E$1453)</f>
        <v/>
      </c>
      <c r="X1450">
        <f>IF([2]Baskol!$G$1453="","",[2]Baskol!$G$1453)</f>
        <v/>
      </c>
      <c r="Y1450">
        <f>IF([2]Baskol!$I$1453="","",[2]Baskol!$I$1453)</f>
        <v/>
      </c>
      <c r="Z1450">
        <f>IF([2]Baskol!$J$1453="","",[2]Baskol!$J$1453)</f>
        <v/>
      </c>
      <c r="AA1450">
        <f>IF([2]Baskol!$K$1453="","",[2]Baskol!$K$1453)</f>
        <v/>
      </c>
      <c r="AB1450">
        <f>IF([2]Baskol!$L$1453="","",[2]Baskol!$L$1453)</f>
        <v/>
      </c>
      <c r="AC1450">
        <f>IF([2]Baskol!$N$1453="","",[2]Baskol!$N$1453)</f>
        <v/>
      </c>
      <c r="AD1450">
        <f>IF([2]Baskol!$O$1453="","",[2]Baskol!$O$1453)</f>
        <v/>
      </c>
      <c r="AE1450">
        <f>IF([3]Entry!$C$1453="","",[3]Entry!$C$1453)</f>
        <v/>
      </c>
      <c r="AF1450">
        <f>IF([3]Entry!$D$1453="","",[3]Entry!$D$1453)</f>
        <v/>
      </c>
      <c r="AG1450">
        <f>IF([3]Entry!$E$1453="","",[3]Entry!$E$1453)</f>
        <v/>
      </c>
      <c r="AH1450">
        <f>IF([3]Entry!$G$1453="","",[3]Entry!$G$1453)</f>
        <v/>
      </c>
      <c r="AI1450">
        <f>IF([3]Entry!$K$1453="","",[3]Entry!$K$1453)</f>
        <v/>
      </c>
      <c r="AJ1450">
        <f>IF([3]Entry!$L$1453="","",[3]Entry!$L$1453)</f>
        <v/>
      </c>
      <c r="AK1450">
        <f>IF([3]Entry!$M$1453="","",[3]Entry!$M$1453)</f>
        <v/>
      </c>
      <c r="AL1450">
        <f>IF([3]Entry!$N$1453="","",[3]Entry!$N$1453)</f>
        <v/>
      </c>
      <c r="AM1450">
        <f>IF([3]Entry!$R$1453="","",[3]Entry!$R$1453)</f>
        <v/>
      </c>
    </row>
    <row r="1451">
      <c r="T1451">
        <f>IF([2]Baskol!$B$1454="","",[2]Baskol!$B$1454)</f>
        <v/>
      </c>
      <c r="U1451">
        <f>IF([2]Baskol!$C$1454="","",[2]Baskol!$C$1454)</f>
        <v/>
      </c>
      <c r="V1451">
        <f>IF([2]Baskol!$D$1454="","",[2]Baskol!$D$1454)</f>
        <v/>
      </c>
      <c r="W1451">
        <f>IF([2]Baskol!$E$1454="","",[2]Baskol!$E$1454)</f>
        <v/>
      </c>
      <c r="X1451">
        <f>IF([2]Baskol!$G$1454="","",[2]Baskol!$G$1454)</f>
        <v/>
      </c>
      <c r="Y1451">
        <f>IF([2]Baskol!$I$1454="","",[2]Baskol!$I$1454)</f>
        <v/>
      </c>
      <c r="Z1451">
        <f>IF([2]Baskol!$J$1454="","",[2]Baskol!$J$1454)</f>
        <v/>
      </c>
      <c r="AA1451">
        <f>IF([2]Baskol!$K$1454="","",[2]Baskol!$K$1454)</f>
        <v/>
      </c>
      <c r="AB1451">
        <f>IF([2]Baskol!$L$1454="","",[2]Baskol!$L$1454)</f>
        <v/>
      </c>
      <c r="AC1451">
        <f>IF([2]Baskol!$N$1454="","",[2]Baskol!$N$1454)</f>
        <v/>
      </c>
      <c r="AD1451">
        <f>IF([2]Baskol!$O$1454="","",[2]Baskol!$O$1454)</f>
        <v/>
      </c>
      <c r="AE1451">
        <f>IF([3]Entry!$C$1454="","",[3]Entry!$C$1454)</f>
        <v/>
      </c>
      <c r="AF1451">
        <f>IF([3]Entry!$D$1454="","",[3]Entry!$D$1454)</f>
        <v/>
      </c>
      <c r="AG1451">
        <f>IF([3]Entry!$E$1454="","",[3]Entry!$E$1454)</f>
        <v/>
      </c>
      <c r="AH1451">
        <f>IF([3]Entry!$G$1454="","",[3]Entry!$G$1454)</f>
        <v/>
      </c>
      <c r="AI1451">
        <f>IF([3]Entry!$K$1454="","",[3]Entry!$K$1454)</f>
        <v/>
      </c>
      <c r="AJ1451">
        <f>IF([3]Entry!$L$1454="","",[3]Entry!$L$1454)</f>
        <v/>
      </c>
      <c r="AK1451">
        <f>IF([3]Entry!$M$1454="","",[3]Entry!$M$1454)</f>
        <v/>
      </c>
      <c r="AL1451">
        <f>IF([3]Entry!$N$1454="","",[3]Entry!$N$1454)</f>
        <v/>
      </c>
      <c r="AM1451">
        <f>IF([3]Entry!$R$1454="","",[3]Entry!$R$1454)</f>
        <v/>
      </c>
    </row>
    <row r="1452">
      <c r="T1452">
        <f>IF([2]Baskol!$B$1455="","",[2]Baskol!$B$1455)</f>
        <v/>
      </c>
      <c r="U1452">
        <f>IF([2]Baskol!$C$1455="","",[2]Baskol!$C$1455)</f>
        <v/>
      </c>
      <c r="V1452">
        <f>IF([2]Baskol!$D$1455="","",[2]Baskol!$D$1455)</f>
        <v/>
      </c>
      <c r="W1452">
        <f>IF([2]Baskol!$E$1455="","",[2]Baskol!$E$1455)</f>
        <v/>
      </c>
      <c r="X1452">
        <f>IF([2]Baskol!$G$1455="","",[2]Baskol!$G$1455)</f>
        <v/>
      </c>
      <c r="Y1452">
        <f>IF([2]Baskol!$I$1455="","",[2]Baskol!$I$1455)</f>
        <v/>
      </c>
      <c r="Z1452">
        <f>IF([2]Baskol!$J$1455="","",[2]Baskol!$J$1455)</f>
        <v/>
      </c>
      <c r="AA1452">
        <f>IF([2]Baskol!$K$1455="","",[2]Baskol!$K$1455)</f>
        <v/>
      </c>
      <c r="AB1452">
        <f>IF([2]Baskol!$L$1455="","",[2]Baskol!$L$1455)</f>
        <v/>
      </c>
      <c r="AC1452">
        <f>IF([2]Baskol!$N$1455="","",[2]Baskol!$N$1455)</f>
        <v/>
      </c>
      <c r="AD1452">
        <f>IF([2]Baskol!$O$1455="","",[2]Baskol!$O$1455)</f>
        <v/>
      </c>
      <c r="AE1452">
        <f>IF([3]Entry!$C$1455="","",[3]Entry!$C$1455)</f>
        <v/>
      </c>
      <c r="AF1452">
        <f>IF([3]Entry!$D$1455="","",[3]Entry!$D$1455)</f>
        <v/>
      </c>
      <c r="AG1452">
        <f>IF([3]Entry!$E$1455="","",[3]Entry!$E$1455)</f>
        <v/>
      </c>
      <c r="AH1452">
        <f>IF([3]Entry!$G$1455="","",[3]Entry!$G$1455)</f>
        <v/>
      </c>
      <c r="AI1452">
        <f>IF([3]Entry!$K$1455="","",[3]Entry!$K$1455)</f>
        <v/>
      </c>
      <c r="AJ1452">
        <f>IF([3]Entry!$L$1455="","",[3]Entry!$L$1455)</f>
        <v/>
      </c>
      <c r="AK1452">
        <f>IF([3]Entry!$M$1455="","",[3]Entry!$M$1455)</f>
        <v/>
      </c>
      <c r="AL1452">
        <f>IF([3]Entry!$N$1455="","",[3]Entry!$N$1455)</f>
        <v/>
      </c>
      <c r="AM1452">
        <f>IF([3]Entry!$R$1455="","",[3]Entry!$R$1455)</f>
        <v/>
      </c>
    </row>
    <row r="1453">
      <c r="T1453">
        <f>IF([2]Baskol!$B$1456="","",[2]Baskol!$B$1456)</f>
        <v/>
      </c>
      <c r="U1453">
        <f>IF([2]Baskol!$C$1456="","",[2]Baskol!$C$1456)</f>
        <v/>
      </c>
      <c r="V1453">
        <f>IF([2]Baskol!$D$1456="","",[2]Baskol!$D$1456)</f>
        <v/>
      </c>
      <c r="W1453">
        <f>IF([2]Baskol!$E$1456="","",[2]Baskol!$E$1456)</f>
        <v/>
      </c>
      <c r="X1453">
        <f>IF([2]Baskol!$G$1456="","",[2]Baskol!$G$1456)</f>
        <v/>
      </c>
      <c r="Y1453">
        <f>IF([2]Baskol!$I$1456="","",[2]Baskol!$I$1456)</f>
        <v/>
      </c>
      <c r="Z1453">
        <f>IF([2]Baskol!$J$1456="","",[2]Baskol!$J$1456)</f>
        <v/>
      </c>
      <c r="AA1453">
        <f>IF([2]Baskol!$K$1456="","",[2]Baskol!$K$1456)</f>
        <v/>
      </c>
      <c r="AB1453">
        <f>IF([2]Baskol!$L$1456="","",[2]Baskol!$L$1456)</f>
        <v/>
      </c>
      <c r="AC1453">
        <f>IF([2]Baskol!$N$1456="","",[2]Baskol!$N$1456)</f>
        <v/>
      </c>
      <c r="AD1453">
        <f>IF([2]Baskol!$O$1456="","",[2]Baskol!$O$1456)</f>
        <v/>
      </c>
      <c r="AE1453">
        <f>IF([3]Entry!$C$1456="","",[3]Entry!$C$1456)</f>
        <v/>
      </c>
      <c r="AF1453">
        <f>IF([3]Entry!$D$1456="","",[3]Entry!$D$1456)</f>
        <v/>
      </c>
      <c r="AG1453">
        <f>IF([3]Entry!$E$1456="","",[3]Entry!$E$1456)</f>
        <v/>
      </c>
      <c r="AH1453">
        <f>IF([3]Entry!$G$1456="","",[3]Entry!$G$1456)</f>
        <v/>
      </c>
      <c r="AI1453">
        <f>IF([3]Entry!$K$1456="","",[3]Entry!$K$1456)</f>
        <v/>
      </c>
      <c r="AJ1453">
        <f>IF([3]Entry!$L$1456="","",[3]Entry!$L$1456)</f>
        <v/>
      </c>
      <c r="AK1453">
        <f>IF([3]Entry!$M$1456="","",[3]Entry!$M$1456)</f>
        <v/>
      </c>
      <c r="AL1453">
        <f>IF([3]Entry!$N$1456="","",[3]Entry!$N$1456)</f>
        <v/>
      </c>
      <c r="AM1453">
        <f>IF([3]Entry!$R$1456="","",[3]Entry!$R$1456)</f>
        <v/>
      </c>
    </row>
    <row r="1454">
      <c r="T1454">
        <f>IF([2]Baskol!$B$1457="","",[2]Baskol!$B$1457)</f>
        <v/>
      </c>
      <c r="U1454">
        <f>IF([2]Baskol!$C$1457="","",[2]Baskol!$C$1457)</f>
        <v/>
      </c>
      <c r="V1454">
        <f>IF([2]Baskol!$D$1457="","",[2]Baskol!$D$1457)</f>
        <v/>
      </c>
      <c r="W1454">
        <f>IF([2]Baskol!$E$1457="","",[2]Baskol!$E$1457)</f>
        <v/>
      </c>
      <c r="X1454">
        <f>IF([2]Baskol!$G$1457="","",[2]Baskol!$G$1457)</f>
        <v/>
      </c>
      <c r="Y1454">
        <f>IF([2]Baskol!$I$1457="","",[2]Baskol!$I$1457)</f>
        <v/>
      </c>
      <c r="Z1454">
        <f>IF([2]Baskol!$J$1457="","",[2]Baskol!$J$1457)</f>
        <v/>
      </c>
      <c r="AA1454">
        <f>IF([2]Baskol!$K$1457="","",[2]Baskol!$K$1457)</f>
        <v/>
      </c>
      <c r="AB1454">
        <f>IF([2]Baskol!$L$1457="","",[2]Baskol!$L$1457)</f>
        <v/>
      </c>
      <c r="AC1454">
        <f>IF([2]Baskol!$N$1457="","",[2]Baskol!$N$1457)</f>
        <v/>
      </c>
      <c r="AD1454">
        <f>IF([2]Baskol!$O$1457="","",[2]Baskol!$O$1457)</f>
        <v/>
      </c>
      <c r="AE1454">
        <f>IF([3]Entry!$C$1457="","",[3]Entry!$C$1457)</f>
        <v/>
      </c>
      <c r="AF1454">
        <f>IF([3]Entry!$D$1457="","",[3]Entry!$D$1457)</f>
        <v/>
      </c>
      <c r="AG1454">
        <f>IF([3]Entry!$E$1457="","",[3]Entry!$E$1457)</f>
        <v/>
      </c>
      <c r="AH1454">
        <f>IF([3]Entry!$G$1457="","",[3]Entry!$G$1457)</f>
        <v/>
      </c>
      <c r="AI1454">
        <f>IF([3]Entry!$K$1457="","",[3]Entry!$K$1457)</f>
        <v/>
      </c>
      <c r="AJ1454">
        <f>IF([3]Entry!$L$1457="","",[3]Entry!$L$1457)</f>
        <v/>
      </c>
      <c r="AK1454">
        <f>IF([3]Entry!$M$1457="","",[3]Entry!$M$1457)</f>
        <v/>
      </c>
      <c r="AL1454">
        <f>IF([3]Entry!$N$1457="","",[3]Entry!$N$1457)</f>
        <v/>
      </c>
      <c r="AM1454">
        <f>IF([3]Entry!$R$1457="","",[3]Entry!$R$1457)</f>
        <v/>
      </c>
    </row>
    <row r="1455">
      <c r="T1455">
        <f>IF([2]Baskol!$B$1458="","",[2]Baskol!$B$1458)</f>
        <v/>
      </c>
      <c r="U1455">
        <f>IF([2]Baskol!$C$1458="","",[2]Baskol!$C$1458)</f>
        <v/>
      </c>
      <c r="V1455">
        <f>IF([2]Baskol!$D$1458="","",[2]Baskol!$D$1458)</f>
        <v/>
      </c>
      <c r="W1455">
        <f>IF([2]Baskol!$E$1458="","",[2]Baskol!$E$1458)</f>
        <v/>
      </c>
      <c r="X1455">
        <f>IF([2]Baskol!$G$1458="","",[2]Baskol!$G$1458)</f>
        <v/>
      </c>
      <c r="Y1455">
        <f>IF([2]Baskol!$I$1458="","",[2]Baskol!$I$1458)</f>
        <v/>
      </c>
      <c r="Z1455">
        <f>IF([2]Baskol!$J$1458="","",[2]Baskol!$J$1458)</f>
        <v/>
      </c>
      <c r="AA1455">
        <f>IF([2]Baskol!$K$1458="","",[2]Baskol!$K$1458)</f>
        <v/>
      </c>
      <c r="AB1455">
        <f>IF([2]Baskol!$L$1458="","",[2]Baskol!$L$1458)</f>
        <v/>
      </c>
      <c r="AC1455">
        <f>IF([2]Baskol!$N$1458="","",[2]Baskol!$N$1458)</f>
        <v/>
      </c>
      <c r="AD1455">
        <f>IF([2]Baskol!$O$1458="","",[2]Baskol!$O$1458)</f>
        <v/>
      </c>
      <c r="AE1455">
        <f>IF([3]Entry!$C$1458="","",[3]Entry!$C$1458)</f>
        <v/>
      </c>
      <c r="AF1455">
        <f>IF([3]Entry!$D$1458="","",[3]Entry!$D$1458)</f>
        <v/>
      </c>
      <c r="AG1455">
        <f>IF([3]Entry!$E$1458="","",[3]Entry!$E$1458)</f>
        <v/>
      </c>
      <c r="AH1455">
        <f>IF([3]Entry!$G$1458="","",[3]Entry!$G$1458)</f>
        <v/>
      </c>
      <c r="AI1455">
        <f>IF([3]Entry!$K$1458="","",[3]Entry!$K$1458)</f>
        <v/>
      </c>
      <c r="AJ1455">
        <f>IF([3]Entry!$L$1458="","",[3]Entry!$L$1458)</f>
        <v/>
      </c>
      <c r="AK1455">
        <f>IF([3]Entry!$M$1458="","",[3]Entry!$M$1458)</f>
        <v/>
      </c>
      <c r="AL1455">
        <f>IF([3]Entry!$N$1458="","",[3]Entry!$N$1458)</f>
        <v/>
      </c>
      <c r="AM1455">
        <f>IF([3]Entry!$R$1458="","",[3]Entry!$R$1458)</f>
        <v/>
      </c>
    </row>
    <row r="1456">
      <c r="T1456">
        <f>IF([2]Baskol!$B$1459="","",[2]Baskol!$B$1459)</f>
        <v/>
      </c>
      <c r="U1456">
        <f>IF([2]Baskol!$C$1459="","",[2]Baskol!$C$1459)</f>
        <v/>
      </c>
      <c r="V1456">
        <f>IF([2]Baskol!$D$1459="","",[2]Baskol!$D$1459)</f>
        <v/>
      </c>
      <c r="W1456">
        <f>IF([2]Baskol!$E$1459="","",[2]Baskol!$E$1459)</f>
        <v/>
      </c>
      <c r="X1456">
        <f>IF([2]Baskol!$G$1459="","",[2]Baskol!$G$1459)</f>
        <v/>
      </c>
      <c r="Y1456">
        <f>IF([2]Baskol!$I$1459="","",[2]Baskol!$I$1459)</f>
        <v/>
      </c>
      <c r="Z1456">
        <f>IF([2]Baskol!$J$1459="","",[2]Baskol!$J$1459)</f>
        <v/>
      </c>
      <c r="AA1456">
        <f>IF([2]Baskol!$K$1459="","",[2]Baskol!$K$1459)</f>
        <v/>
      </c>
      <c r="AB1456">
        <f>IF([2]Baskol!$L$1459="","",[2]Baskol!$L$1459)</f>
        <v/>
      </c>
      <c r="AC1456">
        <f>IF([2]Baskol!$N$1459="","",[2]Baskol!$N$1459)</f>
        <v/>
      </c>
      <c r="AD1456">
        <f>IF([2]Baskol!$O$1459="","",[2]Baskol!$O$1459)</f>
        <v/>
      </c>
      <c r="AE1456">
        <f>IF([3]Entry!$C$1459="","",[3]Entry!$C$1459)</f>
        <v/>
      </c>
      <c r="AF1456">
        <f>IF([3]Entry!$D$1459="","",[3]Entry!$D$1459)</f>
        <v/>
      </c>
      <c r="AG1456">
        <f>IF([3]Entry!$E$1459="","",[3]Entry!$E$1459)</f>
        <v/>
      </c>
      <c r="AH1456">
        <f>IF([3]Entry!$G$1459="","",[3]Entry!$G$1459)</f>
        <v/>
      </c>
      <c r="AI1456">
        <f>IF([3]Entry!$K$1459="","",[3]Entry!$K$1459)</f>
        <v/>
      </c>
      <c r="AJ1456">
        <f>IF([3]Entry!$L$1459="","",[3]Entry!$L$1459)</f>
        <v/>
      </c>
      <c r="AK1456">
        <f>IF([3]Entry!$M$1459="","",[3]Entry!$M$1459)</f>
        <v/>
      </c>
      <c r="AL1456">
        <f>IF([3]Entry!$N$1459="","",[3]Entry!$N$1459)</f>
        <v/>
      </c>
      <c r="AM1456">
        <f>IF([3]Entry!$R$1459="","",[3]Entry!$R$1459)</f>
        <v/>
      </c>
    </row>
    <row r="1457">
      <c r="T1457">
        <f>IF([2]Baskol!$B$1460="","",[2]Baskol!$B$1460)</f>
        <v/>
      </c>
      <c r="U1457">
        <f>IF([2]Baskol!$C$1460="","",[2]Baskol!$C$1460)</f>
        <v/>
      </c>
      <c r="V1457">
        <f>IF([2]Baskol!$D$1460="","",[2]Baskol!$D$1460)</f>
        <v/>
      </c>
      <c r="W1457">
        <f>IF([2]Baskol!$E$1460="","",[2]Baskol!$E$1460)</f>
        <v/>
      </c>
      <c r="X1457">
        <f>IF([2]Baskol!$G$1460="","",[2]Baskol!$G$1460)</f>
        <v/>
      </c>
      <c r="Y1457">
        <f>IF([2]Baskol!$I$1460="","",[2]Baskol!$I$1460)</f>
        <v/>
      </c>
      <c r="Z1457">
        <f>IF([2]Baskol!$J$1460="","",[2]Baskol!$J$1460)</f>
        <v/>
      </c>
      <c r="AA1457">
        <f>IF([2]Baskol!$K$1460="","",[2]Baskol!$K$1460)</f>
        <v/>
      </c>
      <c r="AB1457">
        <f>IF([2]Baskol!$L$1460="","",[2]Baskol!$L$1460)</f>
        <v/>
      </c>
      <c r="AC1457">
        <f>IF([2]Baskol!$N$1460="","",[2]Baskol!$N$1460)</f>
        <v/>
      </c>
      <c r="AD1457">
        <f>IF([2]Baskol!$O$1460="","",[2]Baskol!$O$1460)</f>
        <v/>
      </c>
      <c r="AE1457">
        <f>IF([3]Entry!$C$1460="","",[3]Entry!$C$1460)</f>
        <v/>
      </c>
      <c r="AF1457">
        <f>IF([3]Entry!$D$1460="","",[3]Entry!$D$1460)</f>
        <v/>
      </c>
      <c r="AG1457">
        <f>IF([3]Entry!$E$1460="","",[3]Entry!$E$1460)</f>
        <v/>
      </c>
      <c r="AH1457">
        <f>IF([3]Entry!$G$1460="","",[3]Entry!$G$1460)</f>
        <v/>
      </c>
      <c r="AI1457">
        <f>IF([3]Entry!$K$1460="","",[3]Entry!$K$1460)</f>
        <v/>
      </c>
      <c r="AJ1457">
        <f>IF([3]Entry!$L$1460="","",[3]Entry!$L$1460)</f>
        <v/>
      </c>
      <c r="AK1457">
        <f>IF([3]Entry!$M$1460="","",[3]Entry!$M$1460)</f>
        <v/>
      </c>
      <c r="AL1457">
        <f>IF([3]Entry!$N$1460="","",[3]Entry!$N$1460)</f>
        <v/>
      </c>
      <c r="AM1457">
        <f>IF([3]Entry!$R$1460="","",[3]Entry!$R$1460)</f>
        <v/>
      </c>
    </row>
    <row r="1458">
      <c r="T1458">
        <f>IF([2]Baskol!$B$1461="","",[2]Baskol!$B$1461)</f>
        <v/>
      </c>
      <c r="U1458">
        <f>IF([2]Baskol!$C$1461="","",[2]Baskol!$C$1461)</f>
        <v/>
      </c>
      <c r="V1458">
        <f>IF([2]Baskol!$D$1461="","",[2]Baskol!$D$1461)</f>
        <v/>
      </c>
      <c r="W1458">
        <f>IF([2]Baskol!$E$1461="","",[2]Baskol!$E$1461)</f>
        <v/>
      </c>
      <c r="X1458">
        <f>IF([2]Baskol!$G$1461="","",[2]Baskol!$G$1461)</f>
        <v/>
      </c>
      <c r="Y1458">
        <f>IF([2]Baskol!$I$1461="","",[2]Baskol!$I$1461)</f>
        <v/>
      </c>
      <c r="Z1458">
        <f>IF([2]Baskol!$J$1461="","",[2]Baskol!$J$1461)</f>
        <v/>
      </c>
      <c r="AA1458">
        <f>IF([2]Baskol!$K$1461="","",[2]Baskol!$K$1461)</f>
        <v/>
      </c>
      <c r="AB1458">
        <f>IF([2]Baskol!$L$1461="","",[2]Baskol!$L$1461)</f>
        <v/>
      </c>
      <c r="AC1458">
        <f>IF([2]Baskol!$N$1461="","",[2]Baskol!$N$1461)</f>
        <v/>
      </c>
      <c r="AD1458">
        <f>IF([2]Baskol!$O$1461="","",[2]Baskol!$O$1461)</f>
        <v/>
      </c>
      <c r="AE1458">
        <f>IF([3]Entry!$C$1461="","",[3]Entry!$C$1461)</f>
        <v/>
      </c>
      <c r="AF1458">
        <f>IF([3]Entry!$D$1461="","",[3]Entry!$D$1461)</f>
        <v/>
      </c>
      <c r="AG1458">
        <f>IF([3]Entry!$E$1461="","",[3]Entry!$E$1461)</f>
        <v/>
      </c>
      <c r="AH1458">
        <f>IF([3]Entry!$G$1461="","",[3]Entry!$G$1461)</f>
        <v/>
      </c>
      <c r="AI1458">
        <f>IF([3]Entry!$K$1461="","",[3]Entry!$K$1461)</f>
        <v/>
      </c>
      <c r="AJ1458">
        <f>IF([3]Entry!$L$1461="","",[3]Entry!$L$1461)</f>
        <v/>
      </c>
      <c r="AK1458">
        <f>IF([3]Entry!$M$1461="","",[3]Entry!$M$1461)</f>
        <v/>
      </c>
      <c r="AL1458">
        <f>IF([3]Entry!$N$1461="","",[3]Entry!$N$1461)</f>
        <v/>
      </c>
      <c r="AM1458">
        <f>IF([3]Entry!$R$1461="","",[3]Entry!$R$1461)</f>
        <v/>
      </c>
    </row>
    <row r="1459">
      <c r="T1459">
        <f>IF([2]Baskol!$B$1462="","",[2]Baskol!$B$1462)</f>
        <v/>
      </c>
      <c r="U1459">
        <f>IF([2]Baskol!$C$1462="","",[2]Baskol!$C$1462)</f>
        <v/>
      </c>
      <c r="V1459">
        <f>IF([2]Baskol!$D$1462="","",[2]Baskol!$D$1462)</f>
        <v/>
      </c>
      <c r="W1459">
        <f>IF([2]Baskol!$E$1462="","",[2]Baskol!$E$1462)</f>
        <v/>
      </c>
      <c r="X1459">
        <f>IF([2]Baskol!$G$1462="","",[2]Baskol!$G$1462)</f>
        <v/>
      </c>
      <c r="Y1459">
        <f>IF([2]Baskol!$I$1462="","",[2]Baskol!$I$1462)</f>
        <v/>
      </c>
      <c r="Z1459">
        <f>IF([2]Baskol!$J$1462="","",[2]Baskol!$J$1462)</f>
        <v/>
      </c>
      <c r="AA1459">
        <f>IF([2]Baskol!$K$1462="","",[2]Baskol!$K$1462)</f>
        <v/>
      </c>
      <c r="AB1459">
        <f>IF([2]Baskol!$L$1462="","",[2]Baskol!$L$1462)</f>
        <v/>
      </c>
      <c r="AC1459">
        <f>IF([2]Baskol!$N$1462="","",[2]Baskol!$N$1462)</f>
        <v/>
      </c>
      <c r="AD1459">
        <f>IF([2]Baskol!$O$1462="","",[2]Baskol!$O$1462)</f>
        <v/>
      </c>
      <c r="AE1459">
        <f>IF([3]Entry!$C$1462="","",[3]Entry!$C$1462)</f>
        <v/>
      </c>
      <c r="AF1459">
        <f>IF([3]Entry!$D$1462="","",[3]Entry!$D$1462)</f>
        <v/>
      </c>
      <c r="AG1459">
        <f>IF([3]Entry!$E$1462="","",[3]Entry!$E$1462)</f>
        <v/>
      </c>
      <c r="AH1459">
        <f>IF([3]Entry!$G$1462="","",[3]Entry!$G$1462)</f>
        <v/>
      </c>
      <c r="AI1459">
        <f>IF([3]Entry!$K$1462="","",[3]Entry!$K$1462)</f>
        <v/>
      </c>
      <c r="AJ1459">
        <f>IF([3]Entry!$L$1462="","",[3]Entry!$L$1462)</f>
        <v/>
      </c>
      <c r="AK1459">
        <f>IF([3]Entry!$M$1462="","",[3]Entry!$M$1462)</f>
        <v/>
      </c>
      <c r="AL1459">
        <f>IF([3]Entry!$N$1462="","",[3]Entry!$N$1462)</f>
        <v/>
      </c>
      <c r="AM1459">
        <f>IF([3]Entry!$R$1462="","",[3]Entry!$R$1462)</f>
        <v/>
      </c>
    </row>
    <row r="1460">
      <c r="T1460">
        <f>IF([2]Baskol!$B$1463="","",[2]Baskol!$B$1463)</f>
        <v/>
      </c>
      <c r="U1460">
        <f>IF([2]Baskol!$C$1463="","",[2]Baskol!$C$1463)</f>
        <v/>
      </c>
      <c r="V1460">
        <f>IF([2]Baskol!$D$1463="","",[2]Baskol!$D$1463)</f>
        <v/>
      </c>
      <c r="W1460">
        <f>IF([2]Baskol!$E$1463="","",[2]Baskol!$E$1463)</f>
        <v/>
      </c>
      <c r="X1460">
        <f>IF([2]Baskol!$G$1463="","",[2]Baskol!$G$1463)</f>
        <v/>
      </c>
      <c r="Y1460">
        <f>IF([2]Baskol!$I$1463="","",[2]Baskol!$I$1463)</f>
        <v/>
      </c>
      <c r="Z1460">
        <f>IF([2]Baskol!$J$1463="","",[2]Baskol!$J$1463)</f>
        <v/>
      </c>
      <c r="AA1460">
        <f>IF([2]Baskol!$K$1463="","",[2]Baskol!$K$1463)</f>
        <v/>
      </c>
      <c r="AB1460">
        <f>IF([2]Baskol!$L$1463="","",[2]Baskol!$L$1463)</f>
        <v/>
      </c>
      <c r="AC1460">
        <f>IF([2]Baskol!$N$1463="","",[2]Baskol!$N$1463)</f>
        <v/>
      </c>
      <c r="AD1460">
        <f>IF([2]Baskol!$O$1463="","",[2]Baskol!$O$1463)</f>
        <v/>
      </c>
      <c r="AE1460">
        <f>IF([3]Entry!$C$1463="","",[3]Entry!$C$1463)</f>
        <v/>
      </c>
      <c r="AF1460">
        <f>IF([3]Entry!$D$1463="","",[3]Entry!$D$1463)</f>
        <v/>
      </c>
      <c r="AG1460">
        <f>IF([3]Entry!$E$1463="","",[3]Entry!$E$1463)</f>
        <v/>
      </c>
      <c r="AH1460">
        <f>IF([3]Entry!$G$1463="","",[3]Entry!$G$1463)</f>
        <v/>
      </c>
      <c r="AI1460">
        <f>IF([3]Entry!$K$1463="","",[3]Entry!$K$1463)</f>
        <v/>
      </c>
      <c r="AJ1460">
        <f>IF([3]Entry!$L$1463="","",[3]Entry!$L$1463)</f>
        <v/>
      </c>
      <c r="AK1460">
        <f>IF([3]Entry!$M$1463="","",[3]Entry!$M$1463)</f>
        <v/>
      </c>
      <c r="AL1460">
        <f>IF([3]Entry!$N$1463="","",[3]Entry!$N$1463)</f>
        <v/>
      </c>
      <c r="AM1460">
        <f>IF([3]Entry!$R$1463="","",[3]Entry!$R$1463)</f>
        <v/>
      </c>
    </row>
    <row r="1461">
      <c r="T1461">
        <f>IF([2]Baskol!$B$1464="","",[2]Baskol!$B$1464)</f>
        <v/>
      </c>
      <c r="U1461">
        <f>IF([2]Baskol!$C$1464="","",[2]Baskol!$C$1464)</f>
        <v/>
      </c>
      <c r="V1461">
        <f>IF([2]Baskol!$D$1464="","",[2]Baskol!$D$1464)</f>
        <v/>
      </c>
      <c r="W1461">
        <f>IF([2]Baskol!$E$1464="","",[2]Baskol!$E$1464)</f>
        <v/>
      </c>
      <c r="X1461">
        <f>IF([2]Baskol!$G$1464="","",[2]Baskol!$G$1464)</f>
        <v/>
      </c>
      <c r="Y1461">
        <f>IF([2]Baskol!$I$1464="","",[2]Baskol!$I$1464)</f>
        <v/>
      </c>
      <c r="Z1461">
        <f>IF([2]Baskol!$J$1464="","",[2]Baskol!$J$1464)</f>
        <v/>
      </c>
      <c r="AA1461">
        <f>IF([2]Baskol!$K$1464="","",[2]Baskol!$K$1464)</f>
        <v/>
      </c>
      <c r="AB1461">
        <f>IF([2]Baskol!$L$1464="","",[2]Baskol!$L$1464)</f>
        <v/>
      </c>
      <c r="AC1461">
        <f>IF([2]Baskol!$N$1464="","",[2]Baskol!$N$1464)</f>
        <v/>
      </c>
      <c r="AD1461">
        <f>IF([2]Baskol!$O$1464="","",[2]Baskol!$O$1464)</f>
        <v/>
      </c>
      <c r="AE1461">
        <f>IF([3]Entry!$C$1464="","",[3]Entry!$C$1464)</f>
        <v/>
      </c>
      <c r="AF1461">
        <f>IF([3]Entry!$D$1464="","",[3]Entry!$D$1464)</f>
        <v/>
      </c>
      <c r="AG1461">
        <f>IF([3]Entry!$E$1464="","",[3]Entry!$E$1464)</f>
        <v/>
      </c>
      <c r="AH1461">
        <f>IF([3]Entry!$G$1464="","",[3]Entry!$G$1464)</f>
        <v/>
      </c>
      <c r="AI1461">
        <f>IF([3]Entry!$K$1464="","",[3]Entry!$K$1464)</f>
        <v/>
      </c>
      <c r="AJ1461">
        <f>IF([3]Entry!$L$1464="","",[3]Entry!$L$1464)</f>
        <v/>
      </c>
      <c r="AK1461">
        <f>IF([3]Entry!$M$1464="","",[3]Entry!$M$1464)</f>
        <v/>
      </c>
      <c r="AL1461">
        <f>IF([3]Entry!$N$1464="","",[3]Entry!$N$1464)</f>
        <v/>
      </c>
      <c r="AM1461">
        <f>IF([3]Entry!$R$1464="","",[3]Entry!$R$1464)</f>
        <v/>
      </c>
    </row>
    <row r="1462">
      <c r="T1462">
        <f>IF([2]Baskol!$B$1465="","",[2]Baskol!$B$1465)</f>
        <v/>
      </c>
      <c r="U1462">
        <f>IF([2]Baskol!$C$1465="","",[2]Baskol!$C$1465)</f>
        <v/>
      </c>
      <c r="V1462">
        <f>IF([2]Baskol!$D$1465="","",[2]Baskol!$D$1465)</f>
        <v/>
      </c>
      <c r="W1462">
        <f>IF([2]Baskol!$E$1465="","",[2]Baskol!$E$1465)</f>
        <v/>
      </c>
      <c r="X1462">
        <f>IF([2]Baskol!$G$1465="","",[2]Baskol!$G$1465)</f>
        <v/>
      </c>
      <c r="Y1462">
        <f>IF([2]Baskol!$I$1465="","",[2]Baskol!$I$1465)</f>
        <v/>
      </c>
      <c r="Z1462">
        <f>IF([2]Baskol!$J$1465="","",[2]Baskol!$J$1465)</f>
        <v/>
      </c>
      <c r="AA1462">
        <f>IF([2]Baskol!$K$1465="","",[2]Baskol!$K$1465)</f>
        <v/>
      </c>
      <c r="AB1462">
        <f>IF([2]Baskol!$L$1465="","",[2]Baskol!$L$1465)</f>
        <v/>
      </c>
      <c r="AC1462">
        <f>IF([2]Baskol!$N$1465="","",[2]Baskol!$N$1465)</f>
        <v/>
      </c>
      <c r="AD1462">
        <f>IF([2]Baskol!$O$1465="","",[2]Baskol!$O$1465)</f>
        <v/>
      </c>
      <c r="AE1462">
        <f>IF([3]Entry!$C$1465="","",[3]Entry!$C$1465)</f>
        <v/>
      </c>
      <c r="AF1462">
        <f>IF([3]Entry!$D$1465="","",[3]Entry!$D$1465)</f>
        <v/>
      </c>
      <c r="AG1462">
        <f>IF([3]Entry!$E$1465="","",[3]Entry!$E$1465)</f>
        <v/>
      </c>
      <c r="AH1462">
        <f>IF([3]Entry!$G$1465="","",[3]Entry!$G$1465)</f>
        <v/>
      </c>
      <c r="AI1462">
        <f>IF([3]Entry!$K$1465="","",[3]Entry!$K$1465)</f>
        <v/>
      </c>
      <c r="AJ1462">
        <f>IF([3]Entry!$L$1465="","",[3]Entry!$L$1465)</f>
        <v/>
      </c>
      <c r="AK1462">
        <f>IF([3]Entry!$M$1465="","",[3]Entry!$M$1465)</f>
        <v/>
      </c>
      <c r="AL1462">
        <f>IF([3]Entry!$N$1465="","",[3]Entry!$N$1465)</f>
        <v/>
      </c>
      <c r="AM1462">
        <f>IF([3]Entry!$R$1465="","",[3]Entry!$R$1465)</f>
        <v/>
      </c>
    </row>
    <row r="1463">
      <c r="T1463">
        <f>IF([2]Baskol!$B$1466="","",[2]Baskol!$B$1466)</f>
        <v/>
      </c>
      <c r="U1463">
        <f>IF([2]Baskol!$C$1466="","",[2]Baskol!$C$1466)</f>
        <v/>
      </c>
      <c r="V1463">
        <f>IF([2]Baskol!$D$1466="","",[2]Baskol!$D$1466)</f>
        <v/>
      </c>
      <c r="W1463">
        <f>IF([2]Baskol!$E$1466="","",[2]Baskol!$E$1466)</f>
        <v/>
      </c>
      <c r="X1463">
        <f>IF([2]Baskol!$G$1466="","",[2]Baskol!$G$1466)</f>
        <v/>
      </c>
      <c r="Y1463">
        <f>IF([2]Baskol!$I$1466="","",[2]Baskol!$I$1466)</f>
        <v/>
      </c>
      <c r="Z1463">
        <f>IF([2]Baskol!$J$1466="","",[2]Baskol!$J$1466)</f>
        <v/>
      </c>
      <c r="AA1463">
        <f>IF([2]Baskol!$K$1466="","",[2]Baskol!$K$1466)</f>
        <v/>
      </c>
      <c r="AB1463">
        <f>IF([2]Baskol!$L$1466="","",[2]Baskol!$L$1466)</f>
        <v/>
      </c>
      <c r="AC1463">
        <f>IF([2]Baskol!$N$1466="","",[2]Baskol!$N$1466)</f>
        <v/>
      </c>
      <c r="AD1463">
        <f>IF([2]Baskol!$O$1466="","",[2]Baskol!$O$1466)</f>
        <v/>
      </c>
      <c r="AE1463">
        <f>IF([3]Entry!$C$1466="","",[3]Entry!$C$1466)</f>
        <v/>
      </c>
      <c r="AF1463">
        <f>IF([3]Entry!$D$1466="","",[3]Entry!$D$1466)</f>
        <v/>
      </c>
      <c r="AG1463">
        <f>IF([3]Entry!$E$1466="","",[3]Entry!$E$1466)</f>
        <v/>
      </c>
      <c r="AH1463">
        <f>IF([3]Entry!$G$1466="","",[3]Entry!$G$1466)</f>
        <v/>
      </c>
      <c r="AI1463">
        <f>IF([3]Entry!$K$1466="","",[3]Entry!$K$1466)</f>
        <v/>
      </c>
      <c r="AJ1463">
        <f>IF([3]Entry!$L$1466="","",[3]Entry!$L$1466)</f>
        <v/>
      </c>
      <c r="AK1463">
        <f>IF([3]Entry!$M$1466="","",[3]Entry!$M$1466)</f>
        <v/>
      </c>
      <c r="AL1463">
        <f>IF([3]Entry!$N$1466="","",[3]Entry!$N$1466)</f>
        <v/>
      </c>
      <c r="AM1463">
        <f>IF([3]Entry!$R$1466="","",[3]Entry!$R$1466)</f>
        <v/>
      </c>
    </row>
    <row r="1464">
      <c r="T1464">
        <f>IF([2]Baskol!$B$1467="","",[2]Baskol!$B$1467)</f>
        <v/>
      </c>
      <c r="U1464">
        <f>IF([2]Baskol!$C$1467="","",[2]Baskol!$C$1467)</f>
        <v/>
      </c>
      <c r="V1464">
        <f>IF([2]Baskol!$D$1467="","",[2]Baskol!$D$1467)</f>
        <v/>
      </c>
      <c r="W1464">
        <f>IF([2]Baskol!$E$1467="","",[2]Baskol!$E$1467)</f>
        <v/>
      </c>
      <c r="X1464">
        <f>IF([2]Baskol!$G$1467="","",[2]Baskol!$G$1467)</f>
        <v/>
      </c>
      <c r="Y1464">
        <f>IF([2]Baskol!$I$1467="","",[2]Baskol!$I$1467)</f>
        <v/>
      </c>
      <c r="Z1464">
        <f>IF([2]Baskol!$J$1467="","",[2]Baskol!$J$1467)</f>
        <v/>
      </c>
      <c r="AA1464">
        <f>IF([2]Baskol!$K$1467="","",[2]Baskol!$K$1467)</f>
        <v/>
      </c>
      <c r="AB1464">
        <f>IF([2]Baskol!$L$1467="","",[2]Baskol!$L$1467)</f>
        <v/>
      </c>
      <c r="AC1464">
        <f>IF([2]Baskol!$N$1467="","",[2]Baskol!$N$1467)</f>
        <v/>
      </c>
      <c r="AD1464">
        <f>IF([2]Baskol!$O$1467="","",[2]Baskol!$O$1467)</f>
        <v/>
      </c>
      <c r="AE1464">
        <f>IF([3]Entry!$C$1467="","",[3]Entry!$C$1467)</f>
        <v/>
      </c>
      <c r="AF1464">
        <f>IF([3]Entry!$D$1467="","",[3]Entry!$D$1467)</f>
        <v/>
      </c>
      <c r="AG1464">
        <f>IF([3]Entry!$E$1467="","",[3]Entry!$E$1467)</f>
        <v/>
      </c>
      <c r="AH1464">
        <f>IF([3]Entry!$G$1467="","",[3]Entry!$G$1467)</f>
        <v/>
      </c>
      <c r="AI1464">
        <f>IF([3]Entry!$K$1467="","",[3]Entry!$K$1467)</f>
        <v/>
      </c>
      <c r="AJ1464">
        <f>IF([3]Entry!$L$1467="","",[3]Entry!$L$1467)</f>
        <v/>
      </c>
      <c r="AK1464">
        <f>IF([3]Entry!$M$1467="","",[3]Entry!$M$1467)</f>
        <v/>
      </c>
      <c r="AL1464">
        <f>IF([3]Entry!$N$1467="","",[3]Entry!$N$1467)</f>
        <v/>
      </c>
      <c r="AM1464">
        <f>IF([3]Entry!$R$1467="","",[3]Entry!$R$1467)</f>
        <v/>
      </c>
    </row>
    <row r="1465">
      <c r="T1465">
        <f>IF([2]Baskol!$B$1468="","",[2]Baskol!$B$1468)</f>
        <v/>
      </c>
      <c r="U1465">
        <f>IF([2]Baskol!$C$1468="","",[2]Baskol!$C$1468)</f>
        <v/>
      </c>
      <c r="V1465">
        <f>IF([2]Baskol!$D$1468="","",[2]Baskol!$D$1468)</f>
        <v/>
      </c>
      <c r="W1465">
        <f>IF([2]Baskol!$E$1468="","",[2]Baskol!$E$1468)</f>
        <v/>
      </c>
      <c r="X1465">
        <f>IF([2]Baskol!$G$1468="","",[2]Baskol!$G$1468)</f>
        <v/>
      </c>
      <c r="Y1465">
        <f>IF([2]Baskol!$I$1468="","",[2]Baskol!$I$1468)</f>
        <v/>
      </c>
      <c r="Z1465">
        <f>IF([2]Baskol!$J$1468="","",[2]Baskol!$J$1468)</f>
        <v/>
      </c>
      <c r="AA1465">
        <f>IF([2]Baskol!$K$1468="","",[2]Baskol!$K$1468)</f>
        <v/>
      </c>
      <c r="AB1465">
        <f>IF([2]Baskol!$L$1468="","",[2]Baskol!$L$1468)</f>
        <v/>
      </c>
      <c r="AC1465">
        <f>IF([2]Baskol!$N$1468="","",[2]Baskol!$N$1468)</f>
        <v/>
      </c>
      <c r="AD1465">
        <f>IF([2]Baskol!$O$1468="","",[2]Baskol!$O$1468)</f>
        <v/>
      </c>
      <c r="AE1465">
        <f>IF([3]Entry!$C$1468="","",[3]Entry!$C$1468)</f>
        <v/>
      </c>
      <c r="AF1465">
        <f>IF([3]Entry!$D$1468="","",[3]Entry!$D$1468)</f>
        <v/>
      </c>
      <c r="AG1465">
        <f>IF([3]Entry!$E$1468="","",[3]Entry!$E$1468)</f>
        <v/>
      </c>
      <c r="AH1465">
        <f>IF([3]Entry!$G$1468="","",[3]Entry!$G$1468)</f>
        <v/>
      </c>
      <c r="AI1465">
        <f>IF([3]Entry!$K$1468="","",[3]Entry!$K$1468)</f>
        <v/>
      </c>
      <c r="AJ1465">
        <f>IF([3]Entry!$L$1468="","",[3]Entry!$L$1468)</f>
        <v/>
      </c>
      <c r="AK1465">
        <f>IF([3]Entry!$M$1468="","",[3]Entry!$M$1468)</f>
        <v/>
      </c>
      <c r="AL1465">
        <f>IF([3]Entry!$N$1468="","",[3]Entry!$N$1468)</f>
        <v/>
      </c>
      <c r="AM1465">
        <f>IF([3]Entry!$R$1468="","",[3]Entry!$R$1468)</f>
        <v/>
      </c>
    </row>
    <row r="1466">
      <c r="T1466">
        <f>IF([2]Baskol!$B$1469="","",[2]Baskol!$B$1469)</f>
        <v/>
      </c>
      <c r="U1466">
        <f>IF([2]Baskol!$C$1469="","",[2]Baskol!$C$1469)</f>
        <v/>
      </c>
      <c r="V1466">
        <f>IF([2]Baskol!$D$1469="","",[2]Baskol!$D$1469)</f>
        <v/>
      </c>
      <c r="W1466">
        <f>IF([2]Baskol!$E$1469="","",[2]Baskol!$E$1469)</f>
        <v/>
      </c>
      <c r="X1466">
        <f>IF([2]Baskol!$G$1469="","",[2]Baskol!$G$1469)</f>
        <v/>
      </c>
      <c r="Y1466">
        <f>IF([2]Baskol!$I$1469="","",[2]Baskol!$I$1469)</f>
        <v/>
      </c>
      <c r="Z1466">
        <f>IF([2]Baskol!$J$1469="","",[2]Baskol!$J$1469)</f>
        <v/>
      </c>
      <c r="AA1466">
        <f>IF([2]Baskol!$K$1469="","",[2]Baskol!$K$1469)</f>
        <v/>
      </c>
      <c r="AB1466">
        <f>IF([2]Baskol!$L$1469="","",[2]Baskol!$L$1469)</f>
        <v/>
      </c>
      <c r="AC1466">
        <f>IF([2]Baskol!$N$1469="","",[2]Baskol!$N$1469)</f>
        <v/>
      </c>
      <c r="AD1466">
        <f>IF([2]Baskol!$O$1469="","",[2]Baskol!$O$1469)</f>
        <v/>
      </c>
      <c r="AE1466">
        <f>IF([3]Entry!$C$1469="","",[3]Entry!$C$1469)</f>
        <v/>
      </c>
      <c r="AF1466">
        <f>IF([3]Entry!$D$1469="","",[3]Entry!$D$1469)</f>
        <v/>
      </c>
      <c r="AG1466">
        <f>IF([3]Entry!$E$1469="","",[3]Entry!$E$1469)</f>
        <v/>
      </c>
      <c r="AH1466">
        <f>IF([3]Entry!$G$1469="","",[3]Entry!$G$1469)</f>
        <v/>
      </c>
      <c r="AI1466">
        <f>IF([3]Entry!$K$1469="","",[3]Entry!$K$1469)</f>
        <v/>
      </c>
      <c r="AJ1466">
        <f>IF([3]Entry!$L$1469="","",[3]Entry!$L$1469)</f>
        <v/>
      </c>
      <c r="AK1466">
        <f>IF([3]Entry!$M$1469="","",[3]Entry!$M$1469)</f>
        <v/>
      </c>
      <c r="AL1466">
        <f>IF([3]Entry!$N$1469="","",[3]Entry!$N$1469)</f>
        <v/>
      </c>
      <c r="AM1466">
        <f>IF([3]Entry!$R$1469="","",[3]Entry!$R$1469)</f>
        <v/>
      </c>
    </row>
    <row r="1467">
      <c r="T1467">
        <f>IF([2]Baskol!$B$1470="","",[2]Baskol!$B$1470)</f>
        <v/>
      </c>
      <c r="U1467">
        <f>IF([2]Baskol!$C$1470="","",[2]Baskol!$C$1470)</f>
        <v/>
      </c>
      <c r="V1467">
        <f>IF([2]Baskol!$D$1470="","",[2]Baskol!$D$1470)</f>
        <v/>
      </c>
      <c r="W1467">
        <f>IF([2]Baskol!$E$1470="","",[2]Baskol!$E$1470)</f>
        <v/>
      </c>
      <c r="X1467">
        <f>IF([2]Baskol!$G$1470="","",[2]Baskol!$G$1470)</f>
        <v/>
      </c>
      <c r="Y1467">
        <f>IF([2]Baskol!$I$1470="","",[2]Baskol!$I$1470)</f>
        <v/>
      </c>
      <c r="Z1467">
        <f>IF([2]Baskol!$J$1470="","",[2]Baskol!$J$1470)</f>
        <v/>
      </c>
      <c r="AA1467">
        <f>IF([2]Baskol!$K$1470="","",[2]Baskol!$K$1470)</f>
        <v/>
      </c>
      <c r="AB1467">
        <f>IF([2]Baskol!$L$1470="","",[2]Baskol!$L$1470)</f>
        <v/>
      </c>
      <c r="AC1467">
        <f>IF([2]Baskol!$N$1470="","",[2]Baskol!$N$1470)</f>
        <v/>
      </c>
      <c r="AD1467">
        <f>IF([2]Baskol!$O$1470="","",[2]Baskol!$O$1470)</f>
        <v/>
      </c>
      <c r="AE1467">
        <f>IF([3]Entry!$C$1470="","",[3]Entry!$C$1470)</f>
        <v/>
      </c>
      <c r="AF1467">
        <f>IF([3]Entry!$D$1470="","",[3]Entry!$D$1470)</f>
        <v/>
      </c>
      <c r="AG1467">
        <f>IF([3]Entry!$E$1470="","",[3]Entry!$E$1470)</f>
        <v/>
      </c>
      <c r="AH1467">
        <f>IF([3]Entry!$G$1470="","",[3]Entry!$G$1470)</f>
        <v/>
      </c>
      <c r="AI1467">
        <f>IF([3]Entry!$K$1470="","",[3]Entry!$K$1470)</f>
        <v/>
      </c>
      <c r="AJ1467">
        <f>IF([3]Entry!$L$1470="","",[3]Entry!$L$1470)</f>
        <v/>
      </c>
      <c r="AK1467">
        <f>IF([3]Entry!$M$1470="","",[3]Entry!$M$1470)</f>
        <v/>
      </c>
      <c r="AL1467">
        <f>IF([3]Entry!$N$1470="","",[3]Entry!$N$1470)</f>
        <v/>
      </c>
      <c r="AM1467">
        <f>IF([3]Entry!$R$1470="","",[3]Entry!$R$1470)</f>
        <v/>
      </c>
    </row>
    <row r="1468">
      <c r="T1468">
        <f>IF([2]Baskol!$B$1471="","",[2]Baskol!$B$1471)</f>
        <v/>
      </c>
      <c r="U1468">
        <f>IF([2]Baskol!$C$1471="","",[2]Baskol!$C$1471)</f>
        <v/>
      </c>
      <c r="V1468">
        <f>IF([2]Baskol!$D$1471="","",[2]Baskol!$D$1471)</f>
        <v/>
      </c>
      <c r="W1468">
        <f>IF([2]Baskol!$E$1471="","",[2]Baskol!$E$1471)</f>
        <v/>
      </c>
      <c r="X1468">
        <f>IF([2]Baskol!$G$1471="","",[2]Baskol!$G$1471)</f>
        <v/>
      </c>
      <c r="Y1468">
        <f>IF([2]Baskol!$I$1471="","",[2]Baskol!$I$1471)</f>
        <v/>
      </c>
      <c r="Z1468">
        <f>IF([2]Baskol!$J$1471="","",[2]Baskol!$J$1471)</f>
        <v/>
      </c>
      <c r="AA1468">
        <f>IF([2]Baskol!$K$1471="","",[2]Baskol!$K$1471)</f>
        <v/>
      </c>
      <c r="AB1468">
        <f>IF([2]Baskol!$L$1471="","",[2]Baskol!$L$1471)</f>
        <v/>
      </c>
      <c r="AC1468">
        <f>IF([2]Baskol!$N$1471="","",[2]Baskol!$N$1471)</f>
        <v/>
      </c>
      <c r="AD1468">
        <f>IF([2]Baskol!$O$1471="","",[2]Baskol!$O$1471)</f>
        <v/>
      </c>
      <c r="AE1468">
        <f>IF([3]Entry!$C$1471="","",[3]Entry!$C$1471)</f>
        <v/>
      </c>
      <c r="AF1468">
        <f>IF([3]Entry!$D$1471="","",[3]Entry!$D$1471)</f>
        <v/>
      </c>
      <c r="AG1468">
        <f>IF([3]Entry!$E$1471="","",[3]Entry!$E$1471)</f>
        <v/>
      </c>
      <c r="AH1468">
        <f>IF([3]Entry!$G$1471="","",[3]Entry!$G$1471)</f>
        <v/>
      </c>
      <c r="AI1468">
        <f>IF([3]Entry!$K$1471="","",[3]Entry!$K$1471)</f>
        <v/>
      </c>
      <c r="AJ1468">
        <f>IF([3]Entry!$L$1471="","",[3]Entry!$L$1471)</f>
        <v/>
      </c>
      <c r="AK1468">
        <f>IF([3]Entry!$M$1471="","",[3]Entry!$M$1471)</f>
        <v/>
      </c>
      <c r="AL1468">
        <f>IF([3]Entry!$N$1471="","",[3]Entry!$N$1471)</f>
        <v/>
      </c>
      <c r="AM1468">
        <f>IF([3]Entry!$R$1471="","",[3]Entry!$R$1471)</f>
        <v/>
      </c>
    </row>
    <row r="1469">
      <c r="T1469">
        <f>IF([2]Baskol!$B$1472="","",[2]Baskol!$B$1472)</f>
        <v/>
      </c>
      <c r="U1469">
        <f>IF([2]Baskol!$C$1472="","",[2]Baskol!$C$1472)</f>
        <v/>
      </c>
      <c r="V1469">
        <f>IF([2]Baskol!$D$1472="","",[2]Baskol!$D$1472)</f>
        <v/>
      </c>
      <c r="W1469">
        <f>IF([2]Baskol!$E$1472="","",[2]Baskol!$E$1472)</f>
        <v/>
      </c>
      <c r="X1469">
        <f>IF([2]Baskol!$G$1472="","",[2]Baskol!$G$1472)</f>
        <v/>
      </c>
      <c r="Y1469">
        <f>IF([2]Baskol!$I$1472="","",[2]Baskol!$I$1472)</f>
        <v/>
      </c>
      <c r="Z1469">
        <f>IF([2]Baskol!$J$1472="","",[2]Baskol!$J$1472)</f>
        <v/>
      </c>
      <c r="AA1469">
        <f>IF([2]Baskol!$K$1472="","",[2]Baskol!$K$1472)</f>
        <v/>
      </c>
      <c r="AB1469">
        <f>IF([2]Baskol!$L$1472="","",[2]Baskol!$L$1472)</f>
        <v/>
      </c>
      <c r="AC1469">
        <f>IF([2]Baskol!$N$1472="","",[2]Baskol!$N$1472)</f>
        <v/>
      </c>
      <c r="AD1469">
        <f>IF([2]Baskol!$O$1472="","",[2]Baskol!$O$1472)</f>
        <v/>
      </c>
      <c r="AE1469">
        <f>IF([3]Entry!$C$1472="","",[3]Entry!$C$1472)</f>
        <v/>
      </c>
      <c r="AF1469">
        <f>IF([3]Entry!$D$1472="","",[3]Entry!$D$1472)</f>
        <v/>
      </c>
      <c r="AG1469">
        <f>IF([3]Entry!$E$1472="","",[3]Entry!$E$1472)</f>
        <v/>
      </c>
      <c r="AH1469">
        <f>IF([3]Entry!$G$1472="","",[3]Entry!$G$1472)</f>
        <v/>
      </c>
      <c r="AI1469">
        <f>IF([3]Entry!$K$1472="","",[3]Entry!$K$1472)</f>
        <v/>
      </c>
      <c r="AJ1469">
        <f>IF([3]Entry!$L$1472="","",[3]Entry!$L$1472)</f>
        <v/>
      </c>
      <c r="AK1469">
        <f>IF([3]Entry!$M$1472="","",[3]Entry!$M$1472)</f>
        <v/>
      </c>
      <c r="AL1469">
        <f>IF([3]Entry!$N$1472="","",[3]Entry!$N$1472)</f>
        <v/>
      </c>
      <c r="AM1469">
        <f>IF([3]Entry!$R$1472="","",[3]Entry!$R$1472)</f>
        <v/>
      </c>
    </row>
    <row r="1470">
      <c r="T1470">
        <f>IF([2]Baskol!$B$1473="","",[2]Baskol!$B$1473)</f>
        <v/>
      </c>
      <c r="U1470">
        <f>IF([2]Baskol!$C$1473="","",[2]Baskol!$C$1473)</f>
        <v/>
      </c>
      <c r="V1470">
        <f>IF([2]Baskol!$D$1473="","",[2]Baskol!$D$1473)</f>
        <v/>
      </c>
      <c r="W1470">
        <f>IF([2]Baskol!$E$1473="","",[2]Baskol!$E$1473)</f>
        <v/>
      </c>
      <c r="X1470">
        <f>IF([2]Baskol!$G$1473="","",[2]Baskol!$G$1473)</f>
        <v/>
      </c>
      <c r="Y1470">
        <f>IF([2]Baskol!$I$1473="","",[2]Baskol!$I$1473)</f>
        <v/>
      </c>
      <c r="Z1470">
        <f>IF([2]Baskol!$J$1473="","",[2]Baskol!$J$1473)</f>
        <v/>
      </c>
      <c r="AA1470">
        <f>IF([2]Baskol!$K$1473="","",[2]Baskol!$K$1473)</f>
        <v/>
      </c>
      <c r="AB1470">
        <f>IF([2]Baskol!$L$1473="","",[2]Baskol!$L$1473)</f>
        <v/>
      </c>
      <c r="AC1470">
        <f>IF([2]Baskol!$N$1473="","",[2]Baskol!$N$1473)</f>
        <v/>
      </c>
      <c r="AD1470">
        <f>IF([2]Baskol!$O$1473="","",[2]Baskol!$O$1473)</f>
        <v/>
      </c>
      <c r="AE1470">
        <f>IF([3]Entry!$C$1473="","",[3]Entry!$C$1473)</f>
        <v/>
      </c>
      <c r="AF1470">
        <f>IF([3]Entry!$D$1473="","",[3]Entry!$D$1473)</f>
        <v/>
      </c>
      <c r="AG1470">
        <f>IF([3]Entry!$E$1473="","",[3]Entry!$E$1473)</f>
        <v/>
      </c>
      <c r="AH1470">
        <f>IF([3]Entry!$G$1473="","",[3]Entry!$G$1473)</f>
        <v/>
      </c>
      <c r="AI1470">
        <f>IF([3]Entry!$K$1473="","",[3]Entry!$K$1473)</f>
        <v/>
      </c>
      <c r="AJ1470">
        <f>IF([3]Entry!$L$1473="","",[3]Entry!$L$1473)</f>
        <v/>
      </c>
      <c r="AK1470">
        <f>IF([3]Entry!$M$1473="","",[3]Entry!$M$1473)</f>
        <v/>
      </c>
      <c r="AL1470">
        <f>IF([3]Entry!$N$1473="","",[3]Entry!$N$1473)</f>
        <v/>
      </c>
      <c r="AM1470">
        <f>IF([3]Entry!$R$1473="","",[3]Entry!$R$1473)</f>
        <v/>
      </c>
    </row>
    <row r="1471">
      <c r="T1471">
        <f>IF([2]Baskol!$B$1474="","",[2]Baskol!$B$1474)</f>
        <v/>
      </c>
      <c r="U1471">
        <f>IF([2]Baskol!$C$1474="","",[2]Baskol!$C$1474)</f>
        <v/>
      </c>
      <c r="V1471">
        <f>IF([2]Baskol!$D$1474="","",[2]Baskol!$D$1474)</f>
        <v/>
      </c>
      <c r="W1471">
        <f>IF([2]Baskol!$E$1474="","",[2]Baskol!$E$1474)</f>
        <v/>
      </c>
      <c r="X1471">
        <f>IF([2]Baskol!$G$1474="","",[2]Baskol!$G$1474)</f>
        <v/>
      </c>
      <c r="Y1471">
        <f>IF([2]Baskol!$I$1474="","",[2]Baskol!$I$1474)</f>
        <v/>
      </c>
      <c r="Z1471">
        <f>IF([2]Baskol!$J$1474="","",[2]Baskol!$J$1474)</f>
        <v/>
      </c>
      <c r="AA1471">
        <f>IF([2]Baskol!$K$1474="","",[2]Baskol!$K$1474)</f>
        <v/>
      </c>
      <c r="AB1471">
        <f>IF([2]Baskol!$L$1474="","",[2]Baskol!$L$1474)</f>
        <v/>
      </c>
      <c r="AC1471">
        <f>IF([2]Baskol!$N$1474="","",[2]Baskol!$N$1474)</f>
        <v/>
      </c>
      <c r="AD1471">
        <f>IF([2]Baskol!$O$1474="","",[2]Baskol!$O$1474)</f>
        <v/>
      </c>
      <c r="AE1471">
        <f>IF([3]Entry!$C$1474="","",[3]Entry!$C$1474)</f>
        <v/>
      </c>
      <c r="AF1471">
        <f>IF([3]Entry!$D$1474="","",[3]Entry!$D$1474)</f>
        <v/>
      </c>
      <c r="AG1471">
        <f>IF([3]Entry!$E$1474="","",[3]Entry!$E$1474)</f>
        <v/>
      </c>
      <c r="AH1471">
        <f>IF([3]Entry!$G$1474="","",[3]Entry!$G$1474)</f>
        <v/>
      </c>
      <c r="AI1471">
        <f>IF([3]Entry!$K$1474="","",[3]Entry!$K$1474)</f>
        <v/>
      </c>
      <c r="AJ1471">
        <f>IF([3]Entry!$L$1474="","",[3]Entry!$L$1474)</f>
        <v/>
      </c>
      <c r="AK1471">
        <f>IF([3]Entry!$M$1474="","",[3]Entry!$M$1474)</f>
        <v/>
      </c>
      <c r="AL1471">
        <f>IF([3]Entry!$N$1474="","",[3]Entry!$N$1474)</f>
        <v/>
      </c>
      <c r="AM1471">
        <f>IF([3]Entry!$R$1474="","",[3]Entry!$R$1474)</f>
        <v/>
      </c>
    </row>
    <row r="1472">
      <c r="T1472">
        <f>IF([2]Baskol!$B$1475="","",[2]Baskol!$B$1475)</f>
        <v/>
      </c>
      <c r="U1472">
        <f>IF([2]Baskol!$C$1475="","",[2]Baskol!$C$1475)</f>
        <v/>
      </c>
      <c r="V1472">
        <f>IF([2]Baskol!$D$1475="","",[2]Baskol!$D$1475)</f>
        <v/>
      </c>
      <c r="W1472">
        <f>IF([2]Baskol!$E$1475="","",[2]Baskol!$E$1475)</f>
        <v/>
      </c>
      <c r="X1472">
        <f>IF([2]Baskol!$G$1475="","",[2]Baskol!$G$1475)</f>
        <v/>
      </c>
      <c r="Y1472">
        <f>IF([2]Baskol!$I$1475="","",[2]Baskol!$I$1475)</f>
        <v/>
      </c>
      <c r="Z1472">
        <f>IF([2]Baskol!$J$1475="","",[2]Baskol!$J$1475)</f>
        <v/>
      </c>
      <c r="AA1472">
        <f>IF([2]Baskol!$K$1475="","",[2]Baskol!$K$1475)</f>
        <v/>
      </c>
      <c r="AB1472">
        <f>IF([2]Baskol!$L$1475="","",[2]Baskol!$L$1475)</f>
        <v/>
      </c>
      <c r="AC1472">
        <f>IF([2]Baskol!$N$1475="","",[2]Baskol!$N$1475)</f>
        <v/>
      </c>
      <c r="AD1472">
        <f>IF([2]Baskol!$O$1475="","",[2]Baskol!$O$1475)</f>
        <v/>
      </c>
      <c r="AE1472">
        <f>IF([3]Entry!$C$1475="","",[3]Entry!$C$1475)</f>
        <v/>
      </c>
      <c r="AF1472">
        <f>IF([3]Entry!$D$1475="","",[3]Entry!$D$1475)</f>
        <v/>
      </c>
      <c r="AG1472">
        <f>IF([3]Entry!$E$1475="","",[3]Entry!$E$1475)</f>
        <v/>
      </c>
      <c r="AH1472">
        <f>IF([3]Entry!$G$1475="","",[3]Entry!$G$1475)</f>
        <v/>
      </c>
      <c r="AI1472">
        <f>IF([3]Entry!$K$1475="","",[3]Entry!$K$1475)</f>
        <v/>
      </c>
      <c r="AJ1472">
        <f>IF([3]Entry!$L$1475="","",[3]Entry!$L$1475)</f>
        <v/>
      </c>
      <c r="AK1472">
        <f>IF([3]Entry!$M$1475="","",[3]Entry!$M$1475)</f>
        <v/>
      </c>
      <c r="AL1472">
        <f>IF([3]Entry!$N$1475="","",[3]Entry!$N$1475)</f>
        <v/>
      </c>
      <c r="AM1472">
        <f>IF([3]Entry!$R$1475="","",[3]Entry!$R$1475)</f>
        <v/>
      </c>
    </row>
    <row r="1473">
      <c r="T1473">
        <f>IF([2]Baskol!$B$1476="","",[2]Baskol!$B$1476)</f>
        <v/>
      </c>
      <c r="U1473">
        <f>IF([2]Baskol!$C$1476="","",[2]Baskol!$C$1476)</f>
        <v/>
      </c>
      <c r="V1473">
        <f>IF([2]Baskol!$D$1476="","",[2]Baskol!$D$1476)</f>
        <v/>
      </c>
      <c r="W1473">
        <f>IF([2]Baskol!$E$1476="","",[2]Baskol!$E$1476)</f>
        <v/>
      </c>
      <c r="X1473">
        <f>IF([2]Baskol!$G$1476="","",[2]Baskol!$G$1476)</f>
        <v/>
      </c>
      <c r="Y1473">
        <f>IF([2]Baskol!$I$1476="","",[2]Baskol!$I$1476)</f>
        <v/>
      </c>
      <c r="Z1473">
        <f>IF([2]Baskol!$J$1476="","",[2]Baskol!$J$1476)</f>
        <v/>
      </c>
      <c r="AA1473">
        <f>IF([2]Baskol!$K$1476="","",[2]Baskol!$K$1476)</f>
        <v/>
      </c>
      <c r="AB1473">
        <f>IF([2]Baskol!$L$1476="","",[2]Baskol!$L$1476)</f>
        <v/>
      </c>
      <c r="AC1473">
        <f>IF([2]Baskol!$N$1476="","",[2]Baskol!$N$1476)</f>
        <v/>
      </c>
      <c r="AD1473">
        <f>IF([2]Baskol!$O$1476="","",[2]Baskol!$O$1476)</f>
        <v/>
      </c>
      <c r="AE1473">
        <f>IF([3]Entry!$C$1476="","",[3]Entry!$C$1476)</f>
        <v/>
      </c>
      <c r="AF1473">
        <f>IF([3]Entry!$D$1476="","",[3]Entry!$D$1476)</f>
        <v/>
      </c>
      <c r="AG1473">
        <f>IF([3]Entry!$E$1476="","",[3]Entry!$E$1476)</f>
        <v/>
      </c>
      <c r="AH1473">
        <f>IF([3]Entry!$G$1476="","",[3]Entry!$G$1476)</f>
        <v/>
      </c>
      <c r="AI1473">
        <f>IF([3]Entry!$K$1476="","",[3]Entry!$K$1476)</f>
        <v/>
      </c>
      <c r="AJ1473">
        <f>IF([3]Entry!$L$1476="","",[3]Entry!$L$1476)</f>
        <v/>
      </c>
      <c r="AK1473">
        <f>IF([3]Entry!$M$1476="","",[3]Entry!$M$1476)</f>
        <v/>
      </c>
      <c r="AL1473">
        <f>IF([3]Entry!$N$1476="","",[3]Entry!$N$1476)</f>
        <v/>
      </c>
      <c r="AM1473">
        <f>IF([3]Entry!$R$1476="","",[3]Entry!$R$1476)</f>
        <v/>
      </c>
    </row>
    <row r="1474">
      <c r="T1474">
        <f>IF([2]Baskol!$B$1477="","",[2]Baskol!$B$1477)</f>
        <v/>
      </c>
      <c r="U1474">
        <f>IF([2]Baskol!$C$1477="","",[2]Baskol!$C$1477)</f>
        <v/>
      </c>
      <c r="V1474">
        <f>IF([2]Baskol!$D$1477="","",[2]Baskol!$D$1477)</f>
        <v/>
      </c>
      <c r="W1474">
        <f>IF([2]Baskol!$E$1477="","",[2]Baskol!$E$1477)</f>
        <v/>
      </c>
      <c r="X1474">
        <f>IF([2]Baskol!$G$1477="","",[2]Baskol!$G$1477)</f>
        <v/>
      </c>
      <c r="Y1474">
        <f>IF([2]Baskol!$I$1477="","",[2]Baskol!$I$1477)</f>
        <v/>
      </c>
      <c r="Z1474">
        <f>IF([2]Baskol!$J$1477="","",[2]Baskol!$J$1477)</f>
        <v/>
      </c>
      <c r="AA1474">
        <f>IF([2]Baskol!$K$1477="","",[2]Baskol!$K$1477)</f>
        <v/>
      </c>
      <c r="AB1474">
        <f>IF([2]Baskol!$L$1477="","",[2]Baskol!$L$1477)</f>
        <v/>
      </c>
      <c r="AC1474">
        <f>IF([2]Baskol!$N$1477="","",[2]Baskol!$N$1477)</f>
        <v/>
      </c>
      <c r="AD1474">
        <f>IF([2]Baskol!$O$1477="","",[2]Baskol!$O$1477)</f>
        <v/>
      </c>
      <c r="AE1474">
        <f>IF([3]Entry!$C$1477="","",[3]Entry!$C$1477)</f>
        <v/>
      </c>
      <c r="AF1474">
        <f>IF([3]Entry!$D$1477="","",[3]Entry!$D$1477)</f>
        <v/>
      </c>
      <c r="AG1474">
        <f>IF([3]Entry!$E$1477="","",[3]Entry!$E$1477)</f>
        <v/>
      </c>
      <c r="AH1474">
        <f>IF([3]Entry!$G$1477="","",[3]Entry!$G$1477)</f>
        <v/>
      </c>
      <c r="AI1474">
        <f>IF([3]Entry!$K$1477="","",[3]Entry!$K$1477)</f>
        <v/>
      </c>
      <c r="AJ1474">
        <f>IF([3]Entry!$L$1477="","",[3]Entry!$L$1477)</f>
        <v/>
      </c>
      <c r="AK1474">
        <f>IF([3]Entry!$M$1477="","",[3]Entry!$M$1477)</f>
        <v/>
      </c>
      <c r="AL1474">
        <f>IF([3]Entry!$N$1477="","",[3]Entry!$N$1477)</f>
        <v/>
      </c>
      <c r="AM1474">
        <f>IF([3]Entry!$R$1477="","",[3]Entry!$R$1477)</f>
        <v/>
      </c>
    </row>
    <row r="1475">
      <c r="T1475">
        <f>IF([2]Baskol!$B$1478="","",[2]Baskol!$B$1478)</f>
        <v/>
      </c>
      <c r="U1475">
        <f>IF([2]Baskol!$C$1478="","",[2]Baskol!$C$1478)</f>
        <v/>
      </c>
      <c r="V1475">
        <f>IF([2]Baskol!$D$1478="","",[2]Baskol!$D$1478)</f>
        <v/>
      </c>
      <c r="W1475">
        <f>IF([2]Baskol!$E$1478="","",[2]Baskol!$E$1478)</f>
        <v/>
      </c>
      <c r="X1475">
        <f>IF([2]Baskol!$G$1478="","",[2]Baskol!$G$1478)</f>
        <v/>
      </c>
      <c r="Y1475">
        <f>IF([2]Baskol!$I$1478="","",[2]Baskol!$I$1478)</f>
        <v/>
      </c>
      <c r="Z1475">
        <f>IF([2]Baskol!$J$1478="","",[2]Baskol!$J$1478)</f>
        <v/>
      </c>
      <c r="AA1475">
        <f>IF([2]Baskol!$K$1478="","",[2]Baskol!$K$1478)</f>
        <v/>
      </c>
      <c r="AB1475">
        <f>IF([2]Baskol!$L$1478="","",[2]Baskol!$L$1478)</f>
        <v/>
      </c>
      <c r="AC1475">
        <f>IF([2]Baskol!$N$1478="","",[2]Baskol!$N$1478)</f>
        <v/>
      </c>
      <c r="AD1475">
        <f>IF([2]Baskol!$O$1478="","",[2]Baskol!$O$1478)</f>
        <v/>
      </c>
      <c r="AE1475">
        <f>IF([3]Entry!$C$1478="","",[3]Entry!$C$1478)</f>
        <v/>
      </c>
      <c r="AF1475">
        <f>IF([3]Entry!$D$1478="","",[3]Entry!$D$1478)</f>
        <v/>
      </c>
      <c r="AG1475">
        <f>IF([3]Entry!$E$1478="","",[3]Entry!$E$1478)</f>
        <v/>
      </c>
      <c r="AH1475">
        <f>IF([3]Entry!$G$1478="","",[3]Entry!$G$1478)</f>
        <v/>
      </c>
      <c r="AI1475">
        <f>IF([3]Entry!$K$1478="","",[3]Entry!$K$1478)</f>
        <v/>
      </c>
      <c r="AJ1475">
        <f>IF([3]Entry!$L$1478="","",[3]Entry!$L$1478)</f>
        <v/>
      </c>
      <c r="AK1475">
        <f>IF([3]Entry!$M$1478="","",[3]Entry!$M$1478)</f>
        <v/>
      </c>
      <c r="AL1475">
        <f>IF([3]Entry!$N$1478="","",[3]Entry!$N$1478)</f>
        <v/>
      </c>
      <c r="AM1475">
        <f>IF([3]Entry!$R$1478="","",[3]Entry!$R$1478)</f>
        <v/>
      </c>
    </row>
    <row r="1476">
      <c r="T1476">
        <f>IF([2]Baskol!$B$1479="","",[2]Baskol!$B$1479)</f>
        <v/>
      </c>
      <c r="U1476">
        <f>IF([2]Baskol!$C$1479="","",[2]Baskol!$C$1479)</f>
        <v/>
      </c>
      <c r="V1476">
        <f>IF([2]Baskol!$D$1479="","",[2]Baskol!$D$1479)</f>
        <v/>
      </c>
      <c r="W1476">
        <f>IF([2]Baskol!$E$1479="","",[2]Baskol!$E$1479)</f>
        <v/>
      </c>
      <c r="X1476">
        <f>IF([2]Baskol!$G$1479="","",[2]Baskol!$G$1479)</f>
        <v/>
      </c>
      <c r="Y1476">
        <f>IF([2]Baskol!$I$1479="","",[2]Baskol!$I$1479)</f>
        <v/>
      </c>
      <c r="Z1476">
        <f>IF([2]Baskol!$J$1479="","",[2]Baskol!$J$1479)</f>
        <v/>
      </c>
      <c r="AA1476">
        <f>IF([2]Baskol!$K$1479="","",[2]Baskol!$K$1479)</f>
        <v/>
      </c>
      <c r="AB1476">
        <f>IF([2]Baskol!$L$1479="","",[2]Baskol!$L$1479)</f>
        <v/>
      </c>
      <c r="AC1476">
        <f>IF([2]Baskol!$N$1479="","",[2]Baskol!$N$1479)</f>
        <v/>
      </c>
      <c r="AD1476">
        <f>IF([2]Baskol!$O$1479="","",[2]Baskol!$O$1479)</f>
        <v/>
      </c>
      <c r="AE1476">
        <f>IF([3]Entry!$C$1479="","",[3]Entry!$C$1479)</f>
        <v/>
      </c>
      <c r="AF1476">
        <f>IF([3]Entry!$D$1479="","",[3]Entry!$D$1479)</f>
        <v/>
      </c>
      <c r="AG1476">
        <f>IF([3]Entry!$E$1479="","",[3]Entry!$E$1479)</f>
        <v/>
      </c>
      <c r="AH1476">
        <f>IF([3]Entry!$G$1479="","",[3]Entry!$G$1479)</f>
        <v/>
      </c>
      <c r="AI1476">
        <f>IF([3]Entry!$K$1479="","",[3]Entry!$K$1479)</f>
        <v/>
      </c>
      <c r="AJ1476">
        <f>IF([3]Entry!$L$1479="","",[3]Entry!$L$1479)</f>
        <v/>
      </c>
      <c r="AK1476">
        <f>IF([3]Entry!$M$1479="","",[3]Entry!$M$1479)</f>
        <v/>
      </c>
      <c r="AL1476">
        <f>IF([3]Entry!$N$1479="","",[3]Entry!$N$1479)</f>
        <v/>
      </c>
      <c r="AM1476">
        <f>IF([3]Entry!$R$1479="","",[3]Entry!$R$1479)</f>
        <v/>
      </c>
    </row>
    <row r="1477">
      <c r="T1477">
        <f>IF([2]Baskol!$B$1480="","",[2]Baskol!$B$1480)</f>
        <v/>
      </c>
      <c r="U1477">
        <f>IF([2]Baskol!$C$1480="","",[2]Baskol!$C$1480)</f>
        <v/>
      </c>
      <c r="V1477">
        <f>IF([2]Baskol!$D$1480="","",[2]Baskol!$D$1480)</f>
        <v/>
      </c>
      <c r="W1477">
        <f>IF([2]Baskol!$E$1480="","",[2]Baskol!$E$1480)</f>
        <v/>
      </c>
      <c r="X1477">
        <f>IF([2]Baskol!$G$1480="","",[2]Baskol!$G$1480)</f>
        <v/>
      </c>
      <c r="Y1477">
        <f>IF([2]Baskol!$I$1480="","",[2]Baskol!$I$1480)</f>
        <v/>
      </c>
      <c r="Z1477">
        <f>IF([2]Baskol!$J$1480="","",[2]Baskol!$J$1480)</f>
        <v/>
      </c>
      <c r="AA1477">
        <f>IF([2]Baskol!$K$1480="","",[2]Baskol!$K$1480)</f>
        <v/>
      </c>
      <c r="AB1477">
        <f>IF([2]Baskol!$L$1480="","",[2]Baskol!$L$1480)</f>
        <v/>
      </c>
      <c r="AC1477">
        <f>IF([2]Baskol!$N$1480="","",[2]Baskol!$N$1480)</f>
        <v/>
      </c>
      <c r="AD1477">
        <f>IF([2]Baskol!$O$1480="","",[2]Baskol!$O$1480)</f>
        <v/>
      </c>
      <c r="AE1477">
        <f>IF([3]Entry!$C$1480="","",[3]Entry!$C$1480)</f>
        <v/>
      </c>
      <c r="AF1477">
        <f>IF([3]Entry!$D$1480="","",[3]Entry!$D$1480)</f>
        <v/>
      </c>
      <c r="AG1477">
        <f>IF([3]Entry!$E$1480="","",[3]Entry!$E$1480)</f>
        <v/>
      </c>
      <c r="AH1477">
        <f>IF([3]Entry!$G$1480="","",[3]Entry!$G$1480)</f>
        <v/>
      </c>
      <c r="AI1477">
        <f>IF([3]Entry!$K$1480="","",[3]Entry!$K$1480)</f>
        <v/>
      </c>
      <c r="AJ1477">
        <f>IF([3]Entry!$L$1480="","",[3]Entry!$L$1480)</f>
        <v/>
      </c>
      <c r="AK1477">
        <f>IF([3]Entry!$M$1480="","",[3]Entry!$M$1480)</f>
        <v/>
      </c>
      <c r="AL1477">
        <f>IF([3]Entry!$N$1480="","",[3]Entry!$N$1480)</f>
        <v/>
      </c>
      <c r="AM1477">
        <f>IF([3]Entry!$R$1480="","",[3]Entry!$R$1480)</f>
        <v/>
      </c>
    </row>
    <row r="1478">
      <c r="T1478">
        <f>IF([2]Baskol!$B$1481="","",[2]Baskol!$B$1481)</f>
        <v/>
      </c>
      <c r="U1478">
        <f>IF([2]Baskol!$C$1481="","",[2]Baskol!$C$1481)</f>
        <v/>
      </c>
      <c r="V1478">
        <f>IF([2]Baskol!$D$1481="","",[2]Baskol!$D$1481)</f>
        <v/>
      </c>
      <c r="W1478">
        <f>IF([2]Baskol!$E$1481="","",[2]Baskol!$E$1481)</f>
        <v/>
      </c>
      <c r="X1478">
        <f>IF([2]Baskol!$G$1481="","",[2]Baskol!$G$1481)</f>
        <v/>
      </c>
      <c r="Y1478">
        <f>IF([2]Baskol!$I$1481="","",[2]Baskol!$I$1481)</f>
        <v/>
      </c>
      <c r="Z1478">
        <f>IF([2]Baskol!$J$1481="","",[2]Baskol!$J$1481)</f>
        <v/>
      </c>
      <c r="AA1478">
        <f>IF([2]Baskol!$K$1481="","",[2]Baskol!$K$1481)</f>
        <v/>
      </c>
      <c r="AB1478">
        <f>IF([2]Baskol!$L$1481="","",[2]Baskol!$L$1481)</f>
        <v/>
      </c>
      <c r="AC1478">
        <f>IF([2]Baskol!$N$1481="","",[2]Baskol!$N$1481)</f>
        <v/>
      </c>
      <c r="AD1478">
        <f>IF([2]Baskol!$O$1481="","",[2]Baskol!$O$1481)</f>
        <v/>
      </c>
      <c r="AE1478">
        <f>IF([3]Entry!$C$1481="","",[3]Entry!$C$1481)</f>
        <v/>
      </c>
      <c r="AF1478">
        <f>IF([3]Entry!$D$1481="","",[3]Entry!$D$1481)</f>
        <v/>
      </c>
      <c r="AG1478">
        <f>IF([3]Entry!$E$1481="","",[3]Entry!$E$1481)</f>
        <v/>
      </c>
      <c r="AH1478">
        <f>IF([3]Entry!$G$1481="","",[3]Entry!$G$1481)</f>
        <v/>
      </c>
      <c r="AI1478">
        <f>IF([3]Entry!$K$1481="","",[3]Entry!$K$1481)</f>
        <v/>
      </c>
      <c r="AJ1478">
        <f>IF([3]Entry!$L$1481="","",[3]Entry!$L$1481)</f>
        <v/>
      </c>
      <c r="AK1478">
        <f>IF([3]Entry!$M$1481="","",[3]Entry!$M$1481)</f>
        <v/>
      </c>
      <c r="AL1478">
        <f>IF([3]Entry!$N$1481="","",[3]Entry!$N$1481)</f>
        <v/>
      </c>
      <c r="AM1478">
        <f>IF([3]Entry!$R$1481="","",[3]Entry!$R$1481)</f>
        <v/>
      </c>
    </row>
    <row r="1479">
      <c r="T1479">
        <f>IF([2]Baskol!$B$1482="","",[2]Baskol!$B$1482)</f>
        <v/>
      </c>
      <c r="U1479">
        <f>IF([2]Baskol!$C$1482="","",[2]Baskol!$C$1482)</f>
        <v/>
      </c>
      <c r="V1479">
        <f>IF([2]Baskol!$D$1482="","",[2]Baskol!$D$1482)</f>
        <v/>
      </c>
      <c r="W1479">
        <f>IF([2]Baskol!$E$1482="","",[2]Baskol!$E$1482)</f>
        <v/>
      </c>
      <c r="X1479">
        <f>IF([2]Baskol!$G$1482="","",[2]Baskol!$G$1482)</f>
        <v/>
      </c>
      <c r="Y1479">
        <f>IF([2]Baskol!$I$1482="","",[2]Baskol!$I$1482)</f>
        <v/>
      </c>
      <c r="Z1479">
        <f>IF([2]Baskol!$J$1482="","",[2]Baskol!$J$1482)</f>
        <v/>
      </c>
      <c r="AA1479">
        <f>IF([2]Baskol!$K$1482="","",[2]Baskol!$K$1482)</f>
        <v/>
      </c>
      <c r="AB1479">
        <f>IF([2]Baskol!$L$1482="","",[2]Baskol!$L$1482)</f>
        <v/>
      </c>
      <c r="AC1479">
        <f>IF([2]Baskol!$N$1482="","",[2]Baskol!$N$1482)</f>
        <v/>
      </c>
      <c r="AD1479">
        <f>IF([2]Baskol!$O$1482="","",[2]Baskol!$O$1482)</f>
        <v/>
      </c>
      <c r="AE1479">
        <f>IF([3]Entry!$C$1482="","",[3]Entry!$C$1482)</f>
        <v/>
      </c>
      <c r="AF1479">
        <f>IF([3]Entry!$D$1482="","",[3]Entry!$D$1482)</f>
        <v/>
      </c>
      <c r="AG1479">
        <f>IF([3]Entry!$E$1482="","",[3]Entry!$E$1482)</f>
        <v/>
      </c>
      <c r="AH1479">
        <f>IF([3]Entry!$G$1482="","",[3]Entry!$G$1482)</f>
        <v/>
      </c>
      <c r="AI1479">
        <f>IF([3]Entry!$K$1482="","",[3]Entry!$K$1482)</f>
        <v/>
      </c>
      <c r="AJ1479">
        <f>IF([3]Entry!$L$1482="","",[3]Entry!$L$1482)</f>
        <v/>
      </c>
      <c r="AK1479">
        <f>IF([3]Entry!$M$1482="","",[3]Entry!$M$1482)</f>
        <v/>
      </c>
      <c r="AL1479">
        <f>IF([3]Entry!$N$1482="","",[3]Entry!$N$1482)</f>
        <v/>
      </c>
      <c r="AM1479">
        <f>IF([3]Entry!$R$1482="","",[3]Entry!$R$1482)</f>
        <v/>
      </c>
    </row>
    <row r="1480">
      <c r="T1480">
        <f>IF([2]Baskol!$B$1483="","",[2]Baskol!$B$1483)</f>
        <v/>
      </c>
      <c r="U1480">
        <f>IF([2]Baskol!$C$1483="","",[2]Baskol!$C$1483)</f>
        <v/>
      </c>
      <c r="V1480">
        <f>IF([2]Baskol!$D$1483="","",[2]Baskol!$D$1483)</f>
        <v/>
      </c>
      <c r="W1480">
        <f>IF([2]Baskol!$E$1483="","",[2]Baskol!$E$1483)</f>
        <v/>
      </c>
      <c r="X1480">
        <f>IF([2]Baskol!$G$1483="","",[2]Baskol!$G$1483)</f>
        <v/>
      </c>
      <c r="Y1480">
        <f>IF([2]Baskol!$I$1483="","",[2]Baskol!$I$1483)</f>
        <v/>
      </c>
      <c r="Z1480">
        <f>IF([2]Baskol!$J$1483="","",[2]Baskol!$J$1483)</f>
        <v/>
      </c>
      <c r="AA1480">
        <f>IF([2]Baskol!$K$1483="","",[2]Baskol!$K$1483)</f>
        <v/>
      </c>
      <c r="AB1480">
        <f>IF([2]Baskol!$L$1483="","",[2]Baskol!$L$1483)</f>
        <v/>
      </c>
      <c r="AC1480">
        <f>IF([2]Baskol!$N$1483="","",[2]Baskol!$N$1483)</f>
        <v/>
      </c>
      <c r="AD1480">
        <f>IF([2]Baskol!$O$1483="","",[2]Baskol!$O$1483)</f>
        <v/>
      </c>
      <c r="AE1480">
        <f>IF([3]Entry!$C$1483="","",[3]Entry!$C$1483)</f>
        <v/>
      </c>
      <c r="AF1480">
        <f>IF([3]Entry!$D$1483="","",[3]Entry!$D$1483)</f>
        <v/>
      </c>
      <c r="AG1480">
        <f>IF([3]Entry!$E$1483="","",[3]Entry!$E$1483)</f>
        <v/>
      </c>
      <c r="AH1480">
        <f>IF([3]Entry!$G$1483="","",[3]Entry!$G$1483)</f>
        <v/>
      </c>
      <c r="AI1480">
        <f>IF([3]Entry!$K$1483="","",[3]Entry!$K$1483)</f>
        <v/>
      </c>
      <c r="AJ1480">
        <f>IF([3]Entry!$L$1483="","",[3]Entry!$L$1483)</f>
        <v/>
      </c>
      <c r="AK1480">
        <f>IF([3]Entry!$M$1483="","",[3]Entry!$M$1483)</f>
        <v/>
      </c>
      <c r="AL1480">
        <f>IF([3]Entry!$N$1483="","",[3]Entry!$N$1483)</f>
        <v/>
      </c>
      <c r="AM1480">
        <f>IF([3]Entry!$R$1483="","",[3]Entry!$R$1483)</f>
        <v/>
      </c>
    </row>
    <row r="1481">
      <c r="T1481">
        <f>IF([2]Baskol!$B$1484="","",[2]Baskol!$B$1484)</f>
        <v/>
      </c>
      <c r="U1481">
        <f>IF([2]Baskol!$C$1484="","",[2]Baskol!$C$1484)</f>
        <v/>
      </c>
      <c r="V1481">
        <f>IF([2]Baskol!$D$1484="","",[2]Baskol!$D$1484)</f>
        <v/>
      </c>
      <c r="W1481">
        <f>IF([2]Baskol!$E$1484="","",[2]Baskol!$E$1484)</f>
        <v/>
      </c>
      <c r="X1481">
        <f>IF([2]Baskol!$G$1484="","",[2]Baskol!$G$1484)</f>
        <v/>
      </c>
      <c r="Y1481">
        <f>IF([2]Baskol!$I$1484="","",[2]Baskol!$I$1484)</f>
        <v/>
      </c>
      <c r="Z1481">
        <f>IF([2]Baskol!$J$1484="","",[2]Baskol!$J$1484)</f>
        <v/>
      </c>
      <c r="AA1481">
        <f>IF([2]Baskol!$K$1484="","",[2]Baskol!$K$1484)</f>
        <v/>
      </c>
      <c r="AB1481">
        <f>IF([2]Baskol!$L$1484="","",[2]Baskol!$L$1484)</f>
        <v/>
      </c>
      <c r="AC1481">
        <f>IF([2]Baskol!$N$1484="","",[2]Baskol!$N$1484)</f>
        <v/>
      </c>
      <c r="AD1481">
        <f>IF([2]Baskol!$O$1484="","",[2]Baskol!$O$1484)</f>
        <v/>
      </c>
      <c r="AE1481">
        <f>IF([3]Entry!$C$1484="","",[3]Entry!$C$1484)</f>
        <v/>
      </c>
      <c r="AF1481">
        <f>IF([3]Entry!$D$1484="","",[3]Entry!$D$1484)</f>
        <v/>
      </c>
      <c r="AG1481">
        <f>IF([3]Entry!$E$1484="","",[3]Entry!$E$1484)</f>
        <v/>
      </c>
      <c r="AH1481">
        <f>IF([3]Entry!$G$1484="","",[3]Entry!$G$1484)</f>
        <v/>
      </c>
      <c r="AI1481">
        <f>IF([3]Entry!$K$1484="","",[3]Entry!$K$1484)</f>
        <v/>
      </c>
      <c r="AJ1481">
        <f>IF([3]Entry!$L$1484="","",[3]Entry!$L$1484)</f>
        <v/>
      </c>
      <c r="AK1481">
        <f>IF([3]Entry!$M$1484="","",[3]Entry!$M$1484)</f>
        <v/>
      </c>
      <c r="AL1481">
        <f>IF([3]Entry!$N$1484="","",[3]Entry!$N$1484)</f>
        <v/>
      </c>
      <c r="AM1481">
        <f>IF([3]Entry!$R$1484="","",[3]Entry!$R$1484)</f>
        <v/>
      </c>
    </row>
    <row r="1482">
      <c r="T1482">
        <f>IF([2]Baskol!$B$1485="","",[2]Baskol!$B$1485)</f>
        <v/>
      </c>
      <c r="U1482">
        <f>IF([2]Baskol!$C$1485="","",[2]Baskol!$C$1485)</f>
        <v/>
      </c>
      <c r="V1482">
        <f>IF([2]Baskol!$D$1485="","",[2]Baskol!$D$1485)</f>
        <v/>
      </c>
      <c r="W1482">
        <f>IF([2]Baskol!$E$1485="","",[2]Baskol!$E$1485)</f>
        <v/>
      </c>
      <c r="X1482">
        <f>IF([2]Baskol!$G$1485="","",[2]Baskol!$G$1485)</f>
        <v/>
      </c>
      <c r="Y1482">
        <f>IF([2]Baskol!$I$1485="","",[2]Baskol!$I$1485)</f>
        <v/>
      </c>
      <c r="Z1482">
        <f>IF([2]Baskol!$J$1485="","",[2]Baskol!$J$1485)</f>
        <v/>
      </c>
      <c r="AA1482">
        <f>IF([2]Baskol!$K$1485="","",[2]Baskol!$K$1485)</f>
        <v/>
      </c>
      <c r="AB1482">
        <f>IF([2]Baskol!$L$1485="","",[2]Baskol!$L$1485)</f>
        <v/>
      </c>
      <c r="AC1482">
        <f>IF([2]Baskol!$N$1485="","",[2]Baskol!$N$1485)</f>
        <v/>
      </c>
      <c r="AD1482">
        <f>IF([2]Baskol!$O$1485="","",[2]Baskol!$O$1485)</f>
        <v/>
      </c>
      <c r="AE1482">
        <f>IF([3]Entry!$C$1485="","",[3]Entry!$C$1485)</f>
        <v/>
      </c>
      <c r="AF1482">
        <f>IF([3]Entry!$D$1485="","",[3]Entry!$D$1485)</f>
        <v/>
      </c>
      <c r="AG1482">
        <f>IF([3]Entry!$E$1485="","",[3]Entry!$E$1485)</f>
        <v/>
      </c>
      <c r="AH1482">
        <f>IF([3]Entry!$G$1485="","",[3]Entry!$G$1485)</f>
        <v/>
      </c>
      <c r="AI1482">
        <f>IF([3]Entry!$K$1485="","",[3]Entry!$K$1485)</f>
        <v/>
      </c>
      <c r="AJ1482">
        <f>IF([3]Entry!$L$1485="","",[3]Entry!$L$1485)</f>
        <v/>
      </c>
      <c r="AK1482">
        <f>IF([3]Entry!$M$1485="","",[3]Entry!$M$1485)</f>
        <v/>
      </c>
      <c r="AL1482">
        <f>IF([3]Entry!$N$1485="","",[3]Entry!$N$1485)</f>
        <v/>
      </c>
      <c r="AM1482">
        <f>IF([3]Entry!$R$1485="","",[3]Entry!$R$1485)</f>
        <v/>
      </c>
    </row>
    <row r="1483">
      <c r="T1483">
        <f>IF([2]Baskol!$B$1486="","",[2]Baskol!$B$1486)</f>
        <v/>
      </c>
      <c r="U1483">
        <f>IF([2]Baskol!$C$1486="","",[2]Baskol!$C$1486)</f>
        <v/>
      </c>
      <c r="V1483">
        <f>IF([2]Baskol!$D$1486="","",[2]Baskol!$D$1486)</f>
        <v/>
      </c>
      <c r="W1483">
        <f>IF([2]Baskol!$E$1486="","",[2]Baskol!$E$1486)</f>
        <v/>
      </c>
      <c r="X1483">
        <f>IF([2]Baskol!$G$1486="","",[2]Baskol!$G$1486)</f>
        <v/>
      </c>
      <c r="Y1483">
        <f>IF([2]Baskol!$I$1486="","",[2]Baskol!$I$1486)</f>
        <v/>
      </c>
      <c r="Z1483">
        <f>IF([2]Baskol!$J$1486="","",[2]Baskol!$J$1486)</f>
        <v/>
      </c>
      <c r="AA1483">
        <f>IF([2]Baskol!$K$1486="","",[2]Baskol!$K$1486)</f>
        <v/>
      </c>
      <c r="AB1483">
        <f>IF([2]Baskol!$L$1486="","",[2]Baskol!$L$1486)</f>
        <v/>
      </c>
      <c r="AC1483">
        <f>IF([2]Baskol!$N$1486="","",[2]Baskol!$N$1486)</f>
        <v/>
      </c>
      <c r="AD1483">
        <f>IF([2]Baskol!$O$1486="","",[2]Baskol!$O$1486)</f>
        <v/>
      </c>
      <c r="AE1483">
        <f>IF([3]Entry!$C$1486="","",[3]Entry!$C$1486)</f>
        <v/>
      </c>
      <c r="AF1483">
        <f>IF([3]Entry!$D$1486="","",[3]Entry!$D$1486)</f>
        <v/>
      </c>
      <c r="AG1483">
        <f>IF([3]Entry!$E$1486="","",[3]Entry!$E$1486)</f>
        <v/>
      </c>
      <c r="AH1483">
        <f>IF([3]Entry!$G$1486="","",[3]Entry!$G$1486)</f>
        <v/>
      </c>
      <c r="AI1483">
        <f>IF([3]Entry!$K$1486="","",[3]Entry!$K$1486)</f>
        <v/>
      </c>
      <c r="AJ1483">
        <f>IF([3]Entry!$L$1486="","",[3]Entry!$L$1486)</f>
        <v/>
      </c>
      <c r="AK1483">
        <f>IF([3]Entry!$M$1486="","",[3]Entry!$M$1486)</f>
        <v/>
      </c>
      <c r="AL1483">
        <f>IF([3]Entry!$N$1486="","",[3]Entry!$N$1486)</f>
        <v/>
      </c>
      <c r="AM1483">
        <f>IF([3]Entry!$R$1486="","",[3]Entry!$R$1486)</f>
        <v/>
      </c>
    </row>
    <row r="1484">
      <c r="T1484">
        <f>IF([2]Baskol!$B$1487="","",[2]Baskol!$B$1487)</f>
        <v/>
      </c>
      <c r="U1484">
        <f>IF([2]Baskol!$C$1487="","",[2]Baskol!$C$1487)</f>
        <v/>
      </c>
      <c r="V1484">
        <f>IF([2]Baskol!$D$1487="","",[2]Baskol!$D$1487)</f>
        <v/>
      </c>
      <c r="W1484">
        <f>IF([2]Baskol!$E$1487="","",[2]Baskol!$E$1487)</f>
        <v/>
      </c>
      <c r="X1484">
        <f>IF([2]Baskol!$G$1487="","",[2]Baskol!$G$1487)</f>
        <v/>
      </c>
      <c r="Y1484">
        <f>IF([2]Baskol!$I$1487="","",[2]Baskol!$I$1487)</f>
        <v/>
      </c>
      <c r="Z1484">
        <f>IF([2]Baskol!$J$1487="","",[2]Baskol!$J$1487)</f>
        <v/>
      </c>
      <c r="AA1484">
        <f>IF([2]Baskol!$K$1487="","",[2]Baskol!$K$1487)</f>
        <v/>
      </c>
      <c r="AB1484">
        <f>IF([2]Baskol!$L$1487="","",[2]Baskol!$L$1487)</f>
        <v/>
      </c>
      <c r="AC1484">
        <f>IF([2]Baskol!$N$1487="","",[2]Baskol!$N$1487)</f>
        <v/>
      </c>
      <c r="AD1484">
        <f>IF([2]Baskol!$O$1487="","",[2]Baskol!$O$1487)</f>
        <v/>
      </c>
      <c r="AE1484">
        <f>IF([3]Entry!$C$1487="","",[3]Entry!$C$1487)</f>
        <v/>
      </c>
      <c r="AF1484">
        <f>IF([3]Entry!$D$1487="","",[3]Entry!$D$1487)</f>
        <v/>
      </c>
      <c r="AG1484">
        <f>IF([3]Entry!$E$1487="","",[3]Entry!$E$1487)</f>
        <v/>
      </c>
      <c r="AH1484">
        <f>IF([3]Entry!$G$1487="","",[3]Entry!$G$1487)</f>
        <v/>
      </c>
      <c r="AI1484">
        <f>IF([3]Entry!$K$1487="","",[3]Entry!$K$1487)</f>
        <v/>
      </c>
      <c r="AJ1484">
        <f>IF([3]Entry!$L$1487="","",[3]Entry!$L$1487)</f>
        <v/>
      </c>
      <c r="AK1484">
        <f>IF([3]Entry!$M$1487="","",[3]Entry!$M$1487)</f>
        <v/>
      </c>
      <c r="AL1484">
        <f>IF([3]Entry!$N$1487="","",[3]Entry!$N$1487)</f>
        <v/>
      </c>
      <c r="AM1484">
        <f>IF([3]Entry!$R$1487="","",[3]Entry!$R$1487)</f>
        <v/>
      </c>
    </row>
    <row r="1485">
      <c r="T1485">
        <f>IF([2]Baskol!$B$1488="","",[2]Baskol!$B$1488)</f>
        <v/>
      </c>
      <c r="U1485">
        <f>IF([2]Baskol!$C$1488="","",[2]Baskol!$C$1488)</f>
        <v/>
      </c>
      <c r="V1485">
        <f>IF([2]Baskol!$D$1488="","",[2]Baskol!$D$1488)</f>
        <v/>
      </c>
      <c r="W1485">
        <f>IF([2]Baskol!$E$1488="","",[2]Baskol!$E$1488)</f>
        <v/>
      </c>
      <c r="X1485">
        <f>IF([2]Baskol!$G$1488="","",[2]Baskol!$G$1488)</f>
        <v/>
      </c>
      <c r="Y1485">
        <f>IF([2]Baskol!$I$1488="","",[2]Baskol!$I$1488)</f>
        <v/>
      </c>
      <c r="Z1485">
        <f>IF([2]Baskol!$J$1488="","",[2]Baskol!$J$1488)</f>
        <v/>
      </c>
      <c r="AA1485">
        <f>IF([2]Baskol!$K$1488="","",[2]Baskol!$K$1488)</f>
        <v/>
      </c>
      <c r="AB1485">
        <f>IF([2]Baskol!$L$1488="","",[2]Baskol!$L$1488)</f>
        <v/>
      </c>
      <c r="AC1485">
        <f>IF([2]Baskol!$N$1488="","",[2]Baskol!$N$1488)</f>
        <v/>
      </c>
      <c r="AD1485">
        <f>IF([2]Baskol!$O$1488="","",[2]Baskol!$O$1488)</f>
        <v/>
      </c>
      <c r="AE1485">
        <f>IF([3]Entry!$C$1488="","",[3]Entry!$C$1488)</f>
        <v/>
      </c>
      <c r="AF1485">
        <f>IF([3]Entry!$D$1488="","",[3]Entry!$D$1488)</f>
        <v/>
      </c>
      <c r="AG1485">
        <f>IF([3]Entry!$E$1488="","",[3]Entry!$E$1488)</f>
        <v/>
      </c>
      <c r="AH1485">
        <f>IF([3]Entry!$G$1488="","",[3]Entry!$G$1488)</f>
        <v/>
      </c>
      <c r="AI1485">
        <f>IF([3]Entry!$K$1488="","",[3]Entry!$K$1488)</f>
        <v/>
      </c>
      <c r="AJ1485">
        <f>IF([3]Entry!$L$1488="","",[3]Entry!$L$1488)</f>
        <v/>
      </c>
      <c r="AK1485">
        <f>IF([3]Entry!$M$1488="","",[3]Entry!$M$1488)</f>
        <v/>
      </c>
      <c r="AL1485">
        <f>IF([3]Entry!$N$1488="","",[3]Entry!$N$1488)</f>
        <v/>
      </c>
      <c r="AM1485">
        <f>IF([3]Entry!$R$1488="","",[3]Entry!$R$1488)</f>
        <v/>
      </c>
    </row>
    <row r="1486">
      <c r="T1486">
        <f>IF([2]Baskol!$B$1489="","",[2]Baskol!$B$1489)</f>
        <v/>
      </c>
      <c r="U1486">
        <f>IF([2]Baskol!$C$1489="","",[2]Baskol!$C$1489)</f>
        <v/>
      </c>
      <c r="V1486">
        <f>IF([2]Baskol!$D$1489="","",[2]Baskol!$D$1489)</f>
        <v/>
      </c>
      <c r="W1486">
        <f>IF([2]Baskol!$E$1489="","",[2]Baskol!$E$1489)</f>
        <v/>
      </c>
      <c r="X1486">
        <f>IF([2]Baskol!$G$1489="","",[2]Baskol!$G$1489)</f>
        <v/>
      </c>
      <c r="Y1486">
        <f>IF([2]Baskol!$I$1489="","",[2]Baskol!$I$1489)</f>
        <v/>
      </c>
      <c r="Z1486">
        <f>IF([2]Baskol!$J$1489="","",[2]Baskol!$J$1489)</f>
        <v/>
      </c>
      <c r="AA1486">
        <f>IF([2]Baskol!$K$1489="","",[2]Baskol!$K$1489)</f>
        <v/>
      </c>
      <c r="AB1486">
        <f>IF([2]Baskol!$L$1489="","",[2]Baskol!$L$1489)</f>
        <v/>
      </c>
      <c r="AC1486">
        <f>IF([2]Baskol!$N$1489="","",[2]Baskol!$N$1489)</f>
        <v/>
      </c>
      <c r="AD1486">
        <f>IF([2]Baskol!$O$1489="","",[2]Baskol!$O$1489)</f>
        <v/>
      </c>
      <c r="AE1486">
        <f>IF([3]Entry!$C$1489="","",[3]Entry!$C$1489)</f>
        <v/>
      </c>
      <c r="AF1486">
        <f>IF([3]Entry!$D$1489="","",[3]Entry!$D$1489)</f>
        <v/>
      </c>
      <c r="AG1486">
        <f>IF([3]Entry!$E$1489="","",[3]Entry!$E$1489)</f>
        <v/>
      </c>
      <c r="AH1486">
        <f>IF([3]Entry!$G$1489="","",[3]Entry!$G$1489)</f>
        <v/>
      </c>
      <c r="AI1486">
        <f>IF([3]Entry!$K$1489="","",[3]Entry!$K$1489)</f>
        <v/>
      </c>
      <c r="AJ1486">
        <f>IF([3]Entry!$L$1489="","",[3]Entry!$L$1489)</f>
        <v/>
      </c>
      <c r="AK1486">
        <f>IF([3]Entry!$M$1489="","",[3]Entry!$M$1489)</f>
        <v/>
      </c>
      <c r="AL1486">
        <f>IF([3]Entry!$N$1489="","",[3]Entry!$N$1489)</f>
        <v/>
      </c>
      <c r="AM1486">
        <f>IF([3]Entry!$R$1489="","",[3]Entry!$R$1489)</f>
        <v/>
      </c>
    </row>
    <row r="1487">
      <c r="T1487">
        <f>IF([2]Baskol!$B$1490="","",[2]Baskol!$B$1490)</f>
        <v/>
      </c>
      <c r="U1487">
        <f>IF([2]Baskol!$C$1490="","",[2]Baskol!$C$1490)</f>
        <v/>
      </c>
      <c r="V1487">
        <f>IF([2]Baskol!$D$1490="","",[2]Baskol!$D$1490)</f>
        <v/>
      </c>
      <c r="W1487">
        <f>IF([2]Baskol!$E$1490="","",[2]Baskol!$E$1490)</f>
        <v/>
      </c>
      <c r="X1487">
        <f>IF([2]Baskol!$G$1490="","",[2]Baskol!$G$1490)</f>
        <v/>
      </c>
      <c r="Y1487">
        <f>IF([2]Baskol!$I$1490="","",[2]Baskol!$I$1490)</f>
        <v/>
      </c>
      <c r="Z1487">
        <f>IF([2]Baskol!$J$1490="","",[2]Baskol!$J$1490)</f>
        <v/>
      </c>
      <c r="AA1487">
        <f>IF([2]Baskol!$K$1490="","",[2]Baskol!$K$1490)</f>
        <v/>
      </c>
      <c r="AB1487">
        <f>IF([2]Baskol!$L$1490="","",[2]Baskol!$L$1490)</f>
        <v/>
      </c>
      <c r="AC1487">
        <f>IF([2]Baskol!$N$1490="","",[2]Baskol!$N$1490)</f>
        <v/>
      </c>
      <c r="AD1487">
        <f>IF([2]Baskol!$O$1490="","",[2]Baskol!$O$1490)</f>
        <v/>
      </c>
      <c r="AE1487">
        <f>IF([3]Entry!$C$1490="","",[3]Entry!$C$1490)</f>
        <v/>
      </c>
      <c r="AF1487">
        <f>IF([3]Entry!$D$1490="","",[3]Entry!$D$1490)</f>
        <v/>
      </c>
      <c r="AG1487">
        <f>IF([3]Entry!$E$1490="","",[3]Entry!$E$1490)</f>
        <v/>
      </c>
      <c r="AH1487">
        <f>IF([3]Entry!$G$1490="","",[3]Entry!$G$1490)</f>
        <v/>
      </c>
      <c r="AI1487">
        <f>IF([3]Entry!$K$1490="","",[3]Entry!$K$1490)</f>
        <v/>
      </c>
      <c r="AJ1487">
        <f>IF([3]Entry!$L$1490="","",[3]Entry!$L$1490)</f>
        <v/>
      </c>
      <c r="AK1487">
        <f>IF([3]Entry!$M$1490="","",[3]Entry!$M$1490)</f>
        <v/>
      </c>
      <c r="AL1487">
        <f>IF([3]Entry!$N$1490="","",[3]Entry!$N$1490)</f>
        <v/>
      </c>
      <c r="AM1487">
        <f>IF([3]Entry!$R$1490="","",[3]Entry!$R$1490)</f>
        <v/>
      </c>
    </row>
    <row r="1488">
      <c r="T1488">
        <f>IF([2]Baskol!$B$1491="","",[2]Baskol!$B$1491)</f>
        <v/>
      </c>
      <c r="U1488">
        <f>IF([2]Baskol!$C$1491="","",[2]Baskol!$C$1491)</f>
        <v/>
      </c>
      <c r="V1488">
        <f>IF([2]Baskol!$D$1491="","",[2]Baskol!$D$1491)</f>
        <v/>
      </c>
      <c r="W1488">
        <f>IF([2]Baskol!$E$1491="","",[2]Baskol!$E$1491)</f>
        <v/>
      </c>
      <c r="X1488">
        <f>IF([2]Baskol!$G$1491="","",[2]Baskol!$G$1491)</f>
        <v/>
      </c>
      <c r="Y1488">
        <f>IF([2]Baskol!$I$1491="","",[2]Baskol!$I$1491)</f>
        <v/>
      </c>
      <c r="Z1488">
        <f>IF([2]Baskol!$J$1491="","",[2]Baskol!$J$1491)</f>
        <v/>
      </c>
      <c r="AA1488">
        <f>IF([2]Baskol!$K$1491="","",[2]Baskol!$K$1491)</f>
        <v/>
      </c>
      <c r="AB1488">
        <f>IF([2]Baskol!$L$1491="","",[2]Baskol!$L$1491)</f>
        <v/>
      </c>
      <c r="AC1488">
        <f>IF([2]Baskol!$N$1491="","",[2]Baskol!$N$1491)</f>
        <v/>
      </c>
      <c r="AD1488">
        <f>IF([2]Baskol!$O$1491="","",[2]Baskol!$O$1491)</f>
        <v/>
      </c>
      <c r="AE1488">
        <f>IF([3]Entry!$C$1491="","",[3]Entry!$C$1491)</f>
        <v/>
      </c>
      <c r="AF1488">
        <f>IF([3]Entry!$D$1491="","",[3]Entry!$D$1491)</f>
        <v/>
      </c>
      <c r="AG1488">
        <f>IF([3]Entry!$E$1491="","",[3]Entry!$E$1491)</f>
        <v/>
      </c>
      <c r="AH1488">
        <f>IF([3]Entry!$G$1491="","",[3]Entry!$G$1491)</f>
        <v/>
      </c>
      <c r="AI1488">
        <f>IF([3]Entry!$K$1491="","",[3]Entry!$K$1491)</f>
        <v/>
      </c>
      <c r="AJ1488">
        <f>IF([3]Entry!$L$1491="","",[3]Entry!$L$1491)</f>
        <v/>
      </c>
      <c r="AK1488">
        <f>IF([3]Entry!$M$1491="","",[3]Entry!$M$1491)</f>
        <v/>
      </c>
      <c r="AL1488">
        <f>IF([3]Entry!$N$1491="","",[3]Entry!$N$1491)</f>
        <v/>
      </c>
      <c r="AM1488">
        <f>IF([3]Entry!$R$1491="","",[3]Entry!$R$1491)</f>
        <v/>
      </c>
    </row>
    <row r="1489">
      <c r="T1489">
        <f>IF([2]Baskol!$B$1492="","",[2]Baskol!$B$1492)</f>
        <v/>
      </c>
      <c r="U1489">
        <f>IF([2]Baskol!$C$1492="","",[2]Baskol!$C$1492)</f>
        <v/>
      </c>
      <c r="V1489">
        <f>IF([2]Baskol!$D$1492="","",[2]Baskol!$D$1492)</f>
        <v/>
      </c>
      <c r="W1489">
        <f>IF([2]Baskol!$E$1492="","",[2]Baskol!$E$1492)</f>
        <v/>
      </c>
      <c r="X1489">
        <f>IF([2]Baskol!$G$1492="","",[2]Baskol!$G$1492)</f>
        <v/>
      </c>
      <c r="Y1489">
        <f>IF([2]Baskol!$I$1492="","",[2]Baskol!$I$1492)</f>
        <v/>
      </c>
      <c r="Z1489">
        <f>IF([2]Baskol!$J$1492="","",[2]Baskol!$J$1492)</f>
        <v/>
      </c>
      <c r="AA1489">
        <f>IF([2]Baskol!$K$1492="","",[2]Baskol!$K$1492)</f>
        <v/>
      </c>
      <c r="AB1489">
        <f>IF([2]Baskol!$L$1492="","",[2]Baskol!$L$1492)</f>
        <v/>
      </c>
      <c r="AC1489">
        <f>IF([2]Baskol!$N$1492="","",[2]Baskol!$N$1492)</f>
        <v/>
      </c>
      <c r="AD1489">
        <f>IF([2]Baskol!$O$1492="","",[2]Baskol!$O$1492)</f>
        <v/>
      </c>
      <c r="AE1489">
        <f>IF([3]Entry!$C$1492="","",[3]Entry!$C$1492)</f>
        <v/>
      </c>
      <c r="AF1489">
        <f>IF([3]Entry!$D$1492="","",[3]Entry!$D$1492)</f>
        <v/>
      </c>
      <c r="AG1489">
        <f>IF([3]Entry!$E$1492="","",[3]Entry!$E$1492)</f>
        <v/>
      </c>
      <c r="AH1489">
        <f>IF([3]Entry!$G$1492="","",[3]Entry!$G$1492)</f>
        <v/>
      </c>
      <c r="AI1489">
        <f>IF([3]Entry!$K$1492="","",[3]Entry!$K$1492)</f>
        <v/>
      </c>
      <c r="AJ1489">
        <f>IF([3]Entry!$L$1492="","",[3]Entry!$L$1492)</f>
        <v/>
      </c>
      <c r="AK1489">
        <f>IF([3]Entry!$M$1492="","",[3]Entry!$M$1492)</f>
        <v/>
      </c>
      <c r="AL1489">
        <f>IF([3]Entry!$N$1492="","",[3]Entry!$N$1492)</f>
        <v/>
      </c>
      <c r="AM1489">
        <f>IF([3]Entry!$R$1492="","",[3]Entry!$R$1492)</f>
        <v/>
      </c>
    </row>
    <row r="1490">
      <c r="T1490">
        <f>IF([2]Baskol!$B$1493="","",[2]Baskol!$B$1493)</f>
        <v/>
      </c>
      <c r="U1490">
        <f>IF([2]Baskol!$C$1493="","",[2]Baskol!$C$1493)</f>
        <v/>
      </c>
      <c r="V1490">
        <f>IF([2]Baskol!$D$1493="","",[2]Baskol!$D$1493)</f>
        <v/>
      </c>
      <c r="W1490">
        <f>IF([2]Baskol!$E$1493="","",[2]Baskol!$E$1493)</f>
        <v/>
      </c>
      <c r="X1490">
        <f>IF([2]Baskol!$G$1493="","",[2]Baskol!$G$1493)</f>
        <v/>
      </c>
      <c r="Y1490">
        <f>IF([2]Baskol!$I$1493="","",[2]Baskol!$I$1493)</f>
        <v/>
      </c>
      <c r="Z1490">
        <f>IF([2]Baskol!$J$1493="","",[2]Baskol!$J$1493)</f>
        <v/>
      </c>
      <c r="AA1490">
        <f>IF([2]Baskol!$K$1493="","",[2]Baskol!$K$1493)</f>
        <v/>
      </c>
      <c r="AB1490">
        <f>IF([2]Baskol!$L$1493="","",[2]Baskol!$L$1493)</f>
        <v/>
      </c>
      <c r="AC1490">
        <f>IF([2]Baskol!$N$1493="","",[2]Baskol!$N$1493)</f>
        <v/>
      </c>
      <c r="AD1490">
        <f>IF([2]Baskol!$O$1493="","",[2]Baskol!$O$1493)</f>
        <v/>
      </c>
      <c r="AE1490">
        <f>IF([3]Entry!$C$1493="","",[3]Entry!$C$1493)</f>
        <v/>
      </c>
      <c r="AF1490">
        <f>IF([3]Entry!$D$1493="","",[3]Entry!$D$1493)</f>
        <v/>
      </c>
      <c r="AG1490">
        <f>IF([3]Entry!$E$1493="","",[3]Entry!$E$1493)</f>
        <v/>
      </c>
      <c r="AH1490">
        <f>IF([3]Entry!$G$1493="","",[3]Entry!$G$1493)</f>
        <v/>
      </c>
      <c r="AI1490">
        <f>IF([3]Entry!$K$1493="","",[3]Entry!$K$1493)</f>
        <v/>
      </c>
      <c r="AJ1490">
        <f>IF([3]Entry!$L$1493="","",[3]Entry!$L$1493)</f>
        <v/>
      </c>
      <c r="AK1490">
        <f>IF([3]Entry!$M$1493="","",[3]Entry!$M$1493)</f>
        <v/>
      </c>
      <c r="AL1490">
        <f>IF([3]Entry!$N$1493="","",[3]Entry!$N$1493)</f>
        <v/>
      </c>
      <c r="AM1490">
        <f>IF([3]Entry!$R$1493="","",[3]Entry!$R$1493)</f>
        <v/>
      </c>
    </row>
    <row r="1491">
      <c r="T1491">
        <f>IF([2]Baskol!$B$1494="","",[2]Baskol!$B$1494)</f>
        <v/>
      </c>
      <c r="U1491">
        <f>IF([2]Baskol!$C$1494="","",[2]Baskol!$C$1494)</f>
        <v/>
      </c>
      <c r="V1491">
        <f>IF([2]Baskol!$D$1494="","",[2]Baskol!$D$1494)</f>
        <v/>
      </c>
      <c r="W1491">
        <f>IF([2]Baskol!$E$1494="","",[2]Baskol!$E$1494)</f>
        <v/>
      </c>
      <c r="X1491">
        <f>IF([2]Baskol!$G$1494="","",[2]Baskol!$G$1494)</f>
        <v/>
      </c>
      <c r="Y1491">
        <f>IF([2]Baskol!$I$1494="","",[2]Baskol!$I$1494)</f>
        <v/>
      </c>
      <c r="Z1491">
        <f>IF([2]Baskol!$J$1494="","",[2]Baskol!$J$1494)</f>
        <v/>
      </c>
      <c r="AA1491">
        <f>IF([2]Baskol!$K$1494="","",[2]Baskol!$K$1494)</f>
        <v/>
      </c>
      <c r="AB1491">
        <f>IF([2]Baskol!$L$1494="","",[2]Baskol!$L$1494)</f>
        <v/>
      </c>
      <c r="AC1491">
        <f>IF([2]Baskol!$N$1494="","",[2]Baskol!$N$1494)</f>
        <v/>
      </c>
      <c r="AD1491">
        <f>IF([2]Baskol!$O$1494="","",[2]Baskol!$O$1494)</f>
        <v/>
      </c>
      <c r="AE1491">
        <f>IF([3]Entry!$C$1494="","",[3]Entry!$C$1494)</f>
        <v/>
      </c>
      <c r="AF1491">
        <f>IF([3]Entry!$D$1494="","",[3]Entry!$D$1494)</f>
        <v/>
      </c>
      <c r="AG1491">
        <f>IF([3]Entry!$E$1494="","",[3]Entry!$E$1494)</f>
        <v/>
      </c>
      <c r="AH1491">
        <f>IF([3]Entry!$G$1494="","",[3]Entry!$G$1494)</f>
        <v/>
      </c>
      <c r="AI1491">
        <f>IF([3]Entry!$K$1494="","",[3]Entry!$K$1494)</f>
        <v/>
      </c>
      <c r="AJ1491">
        <f>IF([3]Entry!$L$1494="","",[3]Entry!$L$1494)</f>
        <v/>
      </c>
      <c r="AK1491">
        <f>IF([3]Entry!$M$1494="","",[3]Entry!$M$1494)</f>
        <v/>
      </c>
      <c r="AL1491">
        <f>IF([3]Entry!$N$1494="","",[3]Entry!$N$1494)</f>
        <v/>
      </c>
      <c r="AM1491">
        <f>IF([3]Entry!$R$1494="","",[3]Entry!$R$1494)</f>
        <v/>
      </c>
    </row>
    <row r="1492">
      <c r="T1492">
        <f>IF([2]Baskol!$B$1495="","",[2]Baskol!$B$1495)</f>
        <v/>
      </c>
      <c r="U1492">
        <f>IF([2]Baskol!$C$1495="","",[2]Baskol!$C$1495)</f>
        <v/>
      </c>
      <c r="V1492">
        <f>IF([2]Baskol!$D$1495="","",[2]Baskol!$D$1495)</f>
        <v/>
      </c>
      <c r="W1492">
        <f>IF([2]Baskol!$E$1495="","",[2]Baskol!$E$1495)</f>
        <v/>
      </c>
      <c r="X1492">
        <f>IF([2]Baskol!$G$1495="","",[2]Baskol!$G$1495)</f>
        <v/>
      </c>
      <c r="Y1492">
        <f>IF([2]Baskol!$I$1495="","",[2]Baskol!$I$1495)</f>
        <v/>
      </c>
      <c r="Z1492">
        <f>IF([2]Baskol!$J$1495="","",[2]Baskol!$J$1495)</f>
        <v/>
      </c>
      <c r="AA1492">
        <f>IF([2]Baskol!$K$1495="","",[2]Baskol!$K$1495)</f>
        <v/>
      </c>
      <c r="AB1492">
        <f>IF([2]Baskol!$L$1495="","",[2]Baskol!$L$1495)</f>
        <v/>
      </c>
      <c r="AC1492">
        <f>IF([2]Baskol!$N$1495="","",[2]Baskol!$N$1495)</f>
        <v/>
      </c>
      <c r="AD1492">
        <f>IF([2]Baskol!$O$1495="","",[2]Baskol!$O$1495)</f>
        <v/>
      </c>
      <c r="AE1492">
        <f>IF([3]Entry!$C$1495="","",[3]Entry!$C$1495)</f>
        <v/>
      </c>
      <c r="AF1492">
        <f>IF([3]Entry!$D$1495="","",[3]Entry!$D$1495)</f>
        <v/>
      </c>
      <c r="AG1492">
        <f>IF([3]Entry!$E$1495="","",[3]Entry!$E$1495)</f>
        <v/>
      </c>
      <c r="AH1492">
        <f>IF([3]Entry!$G$1495="","",[3]Entry!$G$1495)</f>
        <v/>
      </c>
      <c r="AI1492">
        <f>IF([3]Entry!$K$1495="","",[3]Entry!$K$1495)</f>
        <v/>
      </c>
      <c r="AJ1492">
        <f>IF([3]Entry!$L$1495="","",[3]Entry!$L$1495)</f>
        <v/>
      </c>
      <c r="AK1492">
        <f>IF([3]Entry!$M$1495="","",[3]Entry!$M$1495)</f>
        <v/>
      </c>
      <c r="AL1492">
        <f>IF([3]Entry!$N$1495="","",[3]Entry!$N$1495)</f>
        <v/>
      </c>
      <c r="AM1492">
        <f>IF([3]Entry!$R$1495="","",[3]Entry!$R$1495)</f>
        <v/>
      </c>
    </row>
    <row r="1493">
      <c r="T1493">
        <f>IF([2]Baskol!$B$1496="","",[2]Baskol!$B$1496)</f>
        <v/>
      </c>
      <c r="U1493">
        <f>IF([2]Baskol!$C$1496="","",[2]Baskol!$C$1496)</f>
        <v/>
      </c>
      <c r="V1493">
        <f>IF([2]Baskol!$D$1496="","",[2]Baskol!$D$1496)</f>
        <v/>
      </c>
      <c r="W1493">
        <f>IF([2]Baskol!$E$1496="","",[2]Baskol!$E$1496)</f>
        <v/>
      </c>
      <c r="X1493">
        <f>IF([2]Baskol!$G$1496="","",[2]Baskol!$G$1496)</f>
        <v/>
      </c>
      <c r="Y1493">
        <f>IF([2]Baskol!$I$1496="","",[2]Baskol!$I$1496)</f>
        <v/>
      </c>
      <c r="Z1493">
        <f>IF([2]Baskol!$J$1496="","",[2]Baskol!$J$1496)</f>
        <v/>
      </c>
      <c r="AA1493">
        <f>IF([2]Baskol!$K$1496="","",[2]Baskol!$K$1496)</f>
        <v/>
      </c>
      <c r="AB1493">
        <f>IF([2]Baskol!$L$1496="","",[2]Baskol!$L$1496)</f>
        <v/>
      </c>
      <c r="AC1493">
        <f>IF([2]Baskol!$N$1496="","",[2]Baskol!$N$1496)</f>
        <v/>
      </c>
      <c r="AD1493">
        <f>IF([2]Baskol!$O$1496="","",[2]Baskol!$O$1496)</f>
        <v/>
      </c>
      <c r="AE1493">
        <f>IF([3]Entry!$C$1496="","",[3]Entry!$C$1496)</f>
        <v/>
      </c>
      <c r="AF1493">
        <f>IF([3]Entry!$D$1496="","",[3]Entry!$D$1496)</f>
        <v/>
      </c>
      <c r="AG1493">
        <f>IF([3]Entry!$E$1496="","",[3]Entry!$E$1496)</f>
        <v/>
      </c>
      <c r="AH1493">
        <f>IF([3]Entry!$G$1496="","",[3]Entry!$G$1496)</f>
        <v/>
      </c>
      <c r="AI1493">
        <f>IF([3]Entry!$K$1496="","",[3]Entry!$K$1496)</f>
        <v/>
      </c>
      <c r="AJ1493">
        <f>IF([3]Entry!$L$1496="","",[3]Entry!$L$1496)</f>
        <v/>
      </c>
      <c r="AK1493">
        <f>IF([3]Entry!$M$1496="","",[3]Entry!$M$1496)</f>
        <v/>
      </c>
      <c r="AL1493">
        <f>IF([3]Entry!$N$1496="","",[3]Entry!$N$1496)</f>
        <v/>
      </c>
      <c r="AM1493">
        <f>IF([3]Entry!$R$1496="","",[3]Entry!$R$1496)</f>
        <v/>
      </c>
    </row>
    <row r="1494">
      <c r="T1494">
        <f>IF([2]Baskol!$B$1497="","",[2]Baskol!$B$1497)</f>
        <v/>
      </c>
      <c r="U1494">
        <f>IF([2]Baskol!$C$1497="","",[2]Baskol!$C$1497)</f>
        <v/>
      </c>
      <c r="V1494">
        <f>IF([2]Baskol!$D$1497="","",[2]Baskol!$D$1497)</f>
        <v/>
      </c>
      <c r="W1494">
        <f>IF([2]Baskol!$E$1497="","",[2]Baskol!$E$1497)</f>
        <v/>
      </c>
      <c r="X1494">
        <f>IF([2]Baskol!$G$1497="","",[2]Baskol!$G$1497)</f>
        <v/>
      </c>
      <c r="Y1494">
        <f>IF([2]Baskol!$I$1497="","",[2]Baskol!$I$1497)</f>
        <v/>
      </c>
      <c r="Z1494">
        <f>IF([2]Baskol!$J$1497="","",[2]Baskol!$J$1497)</f>
        <v/>
      </c>
      <c r="AA1494">
        <f>IF([2]Baskol!$K$1497="","",[2]Baskol!$K$1497)</f>
        <v/>
      </c>
      <c r="AB1494">
        <f>IF([2]Baskol!$L$1497="","",[2]Baskol!$L$1497)</f>
        <v/>
      </c>
      <c r="AC1494">
        <f>IF([2]Baskol!$N$1497="","",[2]Baskol!$N$1497)</f>
        <v/>
      </c>
      <c r="AD1494">
        <f>IF([2]Baskol!$O$1497="","",[2]Baskol!$O$1497)</f>
        <v/>
      </c>
      <c r="AE1494">
        <f>IF([3]Entry!$C$1497="","",[3]Entry!$C$1497)</f>
        <v/>
      </c>
      <c r="AF1494">
        <f>IF([3]Entry!$D$1497="","",[3]Entry!$D$1497)</f>
        <v/>
      </c>
      <c r="AG1494">
        <f>IF([3]Entry!$E$1497="","",[3]Entry!$E$1497)</f>
        <v/>
      </c>
      <c r="AH1494">
        <f>IF([3]Entry!$G$1497="","",[3]Entry!$G$1497)</f>
        <v/>
      </c>
      <c r="AI1494">
        <f>IF([3]Entry!$K$1497="","",[3]Entry!$K$1497)</f>
        <v/>
      </c>
      <c r="AJ1494">
        <f>IF([3]Entry!$L$1497="","",[3]Entry!$L$1497)</f>
        <v/>
      </c>
      <c r="AK1494">
        <f>IF([3]Entry!$M$1497="","",[3]Entry!$M$1497)</f>
        <v/>
      </c>
      <c r="AL1494">
        <f>IF([3]Entry!$N$1497="","",[3]Entry!$N$1497)</f>
        <v/>
      </c>
      <c r="AM1494">
        <f>IF([3]Entry!$R$1497="","",[3]Entry!$R$1497)</f>
        <v/>
      </c>
    </row>
    <row r="1495">
      <c r="T1495">
        <f>IF([2]Baskol!$B$1498="","",[2]Baskol!$B$1498)</f>
        <v/>
      </c>
      <c r="U1495">
        <f>IF([2]Baskol!$C$1498="","",[2]Baskol!$C$1498)</f>
        <v/>
      </c>
      <c r="V1495">
        <f>IF([2]Baskol!$D$1498="","",[2]Baskol!$D$1498)</f>
        <v/>
      </c>
      <c r="W1495">
        <f>IF([2]Baskol!$E$1498="","",[2]Baskol!$E$1498)</f>
        <v/>
      </c>
      <c r="X1495">
        <f>IF([2]Baskol!$G$1498="","",[2]Baskol!$G$1498)</f>
        <v/>
      </c>
      <c r="Y1495">
        <f>IF([2]Baskol!$I$1498="","",[2]Baskol!$I$1498)</f>
        <v/>
      </c>
      <c r="Z1495">
        <f>IF([2]Baskol!$J$1498="","",[2]Baskol!$J$1498)</f>
        <v/>
      </c>
      <c r="AA1495">
        <f>IF([2]Baskol!$K$1498="","",[2]Baskol!$K$1498)</f>
        <v/>
      </c>
      <c r="AB1495">
        <f>IF([2]Baskol!$L$1498="","",[2]Baskol!$L$1498)</f>
        <v/>
      </c>
      <c r="AC1495">
        <f>IF([2]Baskol!$N$1498="","",[2]Baskol!$N$1498)</f>
        <v/>
      </c>
      <c r="AD1495">
        <f>IF([2]Baskol!$O$1498="","",[2]Baskol!$O$1498)</f>
        <v/>
      </c>
      <c r="AE1495">
        <f>IF([3]Entry!$C$1498="","",[3]Entry!$C$1498)</f>
        <v/>
      </c>
      <c r="AF1495">
        <f>IF([3]Entry!$D$1498="","",[3]Entry!$D$1498)</f>
        <v/>
      </c>
      <c r="AG1495">
        <f>IF([3]Entry!$E$1498="","",[3]Entry!$E$1498)</f>
        <v/>
      </c>
      <c r="AH1495">
        <f>IF([3]Entry!$G$1498="","",[3]Entry!$G$1498)</f>
        <v/>
      </c>
      <c r="AI1495">
        <f>IF([3]Entry!$K$1498="","",[3]Entry!$K$1498)</f>
        <v/>
      </c>
      <c r="AJ1495">
        <f>IF([3]Entry!$L$1498="","",[3]Entry!$L$1498)</f>
        <v/>
      </c>
      <c r="AK1495">
        <f>IF([3]Entry!$M$1498="","",[3]Entry!$M$1498)</f>
        <v/>
      </c>
      <c r="AL1495">
        <f>IF([3]Entry!$N$1498="","",[3]Entry!$N$1498)</f>
        <v/>
      </c>
      <c r="AM1495">
        <f>IF([3]Entry!$R$1498="","",[3]Entry!$R$1498)</f>
        <v/>
      </c>
    </row>
    <row r="1496">
      <c r="T1496">
        <f>IF([2]Baskol!$B$1499="","",[2]Baskol!$B$1499)</f>
        <v/>
      </c>
      <c r="U1496">
        <f>IF([2]Baskol!$C$1499="","",[2]Baskol!$C$1499)</f>
        <v/>
      </c>
      <c r="V1496">
        <f>IF([2]Baskol!$D$1499="","",[2]Baskol!$D$1499)</f>
        <v/>
      </c>
      <c r="W1496">
        <f>IF([2]Baskol!$E$1499="","",[2]Baskol!$E$1499)</f>
        <v/>
      </c>
      <c r="X1496">
        <f>IF([2]Baskol!$G$1499="","",[2]Baskol!$G$1499)</f>
        <v/>
      </c>
      <c r="Y1496">
        <f>IF([2]Baskol!$I$1499="","",[2]Baskol!$I$1499)</f>
        <v/>
      </c>
      <c r="Z1496">
        <f>IF([2]Baskol!$J$1499="","",[2]Baskol!$J$1499)</f>
        <v/>
      </c>
      <c r="AA1496">
        <f>IF([2]Baskol!$K$1499="","",[2]Baskol!$K$1499)</f>
        <v/>
      </c>
      <c r="AB1496">
        <f>IF([2]Baskol!$L$1499="","",[2]Baskol!$L$1499)</f>
        <v/>
      </c>
      <c r="AC1496">
        <f>IF([2]Baskol!$N$1499="","",[2]Baskol!$N$1499)</f>
        <v/>
      </c>
      <c r="AD1496">
        <f>IF([2]Baskol!$O$1499="","",[2]Baskol!$O$1499)</f>
        <v/>
      </c>
      <c r="AE1496">
        <f>IF([3]Entry!$C$1499="","",[3]Entry!$C$1499)</f>
        <v/>
      </c>
      <c r="AF1496">
        <f>IF([3]Entry!$D$1499="","",[3]Entry!$D$1499)</f>
        <v/>
      </c>
      <c r="AG1496">
        <f>IF([3]Entry!$E$1499="","",[3]Entry!$E$1499)</f>
        <v/>
      </c>
      <c r="AH1496">
        <f>IF([3]Entry!$G$1499="","",[3]Entry!$G$1499)</f>
        <v/>
      </c>
      <c r="AI1496">
        <f>IF([3]Entry!$K$1499="","",[3]Entry!$K$1499)</f>
        <v/>
      </c>
      <c r="AJ1496">
        <f>IF([3]Entry!$L$1499="","",[3]Entry!$L$1499)</f>
        <v/>
      </c>
      <c r="AK1496">
        <f>IF([3]Entry!$M$1499="","",[3]Entry!$M$1499)</f>
        <v/>
      </c>
      <c r="AL1496">
        <f>IF([3]Entry!$N$1499="","",[3]Entry!$N$1499)</f>
        <v/>
      </c>
      <c r="AM1496">
        <f>IF([3]Entry!$R$1499="","",[3]Entry!$R$1499)</f>
        <v/>
      </c>
    </row>
    <row r="1497">
      <c r="T1497">
        <f>IF([2]Baskol!$B$1500="","",[2]Baskol!$B$1500)</f>
        <v/>
      </c>
      <c r="U1497">
        <f>IF([2]Baskol!$C$1500="","",[2]Baskol!$C$1500)</f>
        <v/>
      </c>
      <c r="V1497">
        <f>IF([2]Baskol!$D$1500="","",[2]Baskol!$D$1500)</f>
        <v/>
      </c>
      <c r="W1497">
        <f>IF([2]Baskol!$E$1500="","",[2]Baskol!$E$1500)</f>
        <v/>
      </c>
      <c r="X1497">
        <f>IF([2]Baskol!$G$1500="","",[2]Baskol!$G$1500)</f>
        <v/>
      </c>
      <c r="Y1497">
        <f>IF([2]Baskol!$I$1500="","",[2]Baskol!$I$1500)</f>
        <v/>
      </c>
      <c r="Z1497">
        <f>IF([2]Baskol!$J$1500="","",[2]Baskol!$J$1500)</f>
        <v/>
      </c>
      <c r="AA1497">
        <f>IF([2]Baskol!$K$1500="","",[2]Baskol!$K$1500)</f>
        <v/>
      </c>
      <c r="AB1497">
        <f>IF([2]Baskol!$L$1500="","",[2]Baskol!$L$1500)</f>
        <v/>
      </c>
      <c r="AC1497">
        <f>IF([2]Baskol!$N$1500="","",[2]Baskol!$N$1500)</f>
        <v/>
      </c>
      <c r="AD1497">
        <f>IF([2]Baskol!$O$1500="","",[2]Baskol!$O$1500)</f>
        <v/>
      </c>
      <c r="AE1497">
        <f>IF([3]Entry!$C$1500="","",[3]Entry!$C$1500)</f>
        <v/>
      </c>
      <c r="AF1497">
        <f>IF([3]Entry!$D$1500="","",[3]Entry!$D$1500)</f>
        <v/>
      </c>
      <c r="AG1497">
        <f>IF([3]Entry!$E$1500="","",[3]Entry!$E$1500)</f>
        <v/>
      </c>
      <c r="AH1497">
        <f>IF([3]Entry!$G$1500="","",[3]Entry!$G$1500)</f>
        <v/>
      </c>
      <c r="AI1497">
        <f>IF([3]Entry!$K$1500="","",[3]Entry!$K$1500)</f>
        <v/>
      </c>
      <c r="AJ1497">
        <f>IF([3]Entry!$L$1500="","",[3]Entry!$L$1500)</f>
        <v/>
      </c>
      <c r="AK1497">
        <f>IF([3]Entry!$M$1500="","",[3]Entry!$M$1500)</f>
        <v/>
      </c>
      <c r="AL1497">
        <f>IF([3]Entry!$N$1500="","",[3]Entry!$N$1500)</f>
        <v/>
      </c>
      <c r="AM1497">
        <f>IF([3]Entry!$R$1500="","",[3]Entry!$R$1500)</f>
        <v/>
      </c>
    </row>
    <row r="1498">
      <c r="T1498">
        <f>IF([2]Baskol!$B$1501="","",[2]Baskol!$B$1501)</f>
        <v/>
      </c>
      <c r="U1498">
        <f>IF([2]Baskol!$C$1501="","",[2]Baskol!$C$1501)</f>
        <v/>
      </c>
      <c r="V1498">
        <f>IF([2]Baskol!$D$1501="","",[2]Baskol!$D$1501)</f>
        <v/>
      </c>
      <c r="W1498">
        <f>IF([2]Baskol!$E$1501="","",[2]Baskol!$E$1501)</f>
        <v/>
      </c>
      <c r="X1498">
        <f>IF([2]Baskol!$G$1501="","",[2]Baskol!$G$1501)</f>
        <v/>
      </c>
      <c r="Y1498">
        <f>IF([2]Baskol!$I$1501="","",[2]Baskol!$I$1501)</f>
        <v/>
      </c>
      <c r="Z1498">
        <f>IF([2]Baskol!$J$1501="","",[2]Baskol!$J$1501)</f>
        <v/>
      </c>
      <c r="AA1498">
        <f>IF([2]Baskol!$K$1501="","",[2]Baskol!$K$1501)</f>
        <v/>
      </c>
      <c r="AB1498">
        <f>IF([2]Baskol!$L$1501="","",[2]Baskol!$L$1501)</f>
        <v/>
      </c>
      <c r="AC1498">
        <f>IF([2]Baskol!$N$1501="","",[2]Baskol!$N$1501)</f>
        <v/>
      </c>
      <c r="AD1498">
        <f>IF([2]Baskol!$O$1501="","",[2]Baskol!$O$1501)</f>
        <v/>
      </c>
      <c r="AE1498">
        <f>IF([3]Entry!$C$1501="","",[3]Entry!$C$1501)</f>
        <v/>
      </c>
      <c r="AF1498">
        <f>IF([3]Entry!$D$1501="","",[3]Entry!$D$1501)</f>
        <v/>
      </c>
      <c r="AG1498">
        <f>IF([3]Entry!$E$1501="","",[3]Entry!$E$1501)</f>
        <v/>
      </c>
      <c r="AH1498">
        <f>IF([3]Entry!$G$1501="","",[3]Entry!$G$1501)</f>
        <v/>
      </c>
      <c r="AI1498">
        <f>IF([3]Entry!$K$1501="","",[3]Entry!$K$1501)</f>
        <v/>
      </c>
      <c r="AJ1498">
        <f>IF([3]Entry!$L$1501="","",[3]Entry!$L$1501)</f>
        <v/>
      </c>
      <c r="AK1498">
        <f>IF([3]Entry!$M$1501="","",[3]Entry!$M$1501)</f>
        <v/>
      </c>
      <c r="AL1498">
        <f>IF([3]Entry!$N$1501="","",[3]Entry!$N$1501)</f>
        <v/>
      </c>
      <c r="AM1498">
        <f>IF([3]Entry!$R$1501="","",[3]Entry!$R$1501)</f>
        <v/>
      </c>
    </row>
    <row r="1499">
      <c r="T1499">
        <f>IF([2]Baskol!$B$1502="","",[2]Baskol!$B$1502)</f>
        <v/>
      </c>
      <c r="U1499">
        <f>IF([2]Baskol!$C$1502="","",[2]Baskol!$C$1502)</f>
        <v/>
      </c>
      <c r="V1499">
        <f>IF([2]Baskol!$D$1502="","",[2]Baskol!$D$1502)</f>
        <v/>
      </c>
      <c r="W1499">
        <f>IF([2]Baskol!$E$1502="","",[2]Baskol!$E$1502)</f>
        <v/>
      </c>
      <c r="X1499">
        <f>IF([2]Baskol!$G$1502="","",[2]Baskol!$G$1502)</f>
        <v/>
      </c>
      <c r="Y1499">
        <f>IF([2]Baskol!$I$1502="","",[2]Baskol!$I$1502)</f>
        <v/>
      </c>
      <c r="Z1499">
        <f>IF([2]Baskol!$J$1502="","",[2]Baskol!$J$1502)</f>
        <v/>
      </c>
      <c r="AA1499">
        <f>IF([2]Baskol!$K$1502="","",[2]Baskol!$K$1502)</f>
        <v/>
      </c>
      <c r="AB1499">
        <f>IF([2]Baskol!$L$1502="","",[2]Baskol!$L$1502)</f>
        <v/>
      </c>
      <c r="AC1499">
        <f>IF([2]Baskol!$N$1502="","",[2]Baskol!$N$1502)</f>
        <v/>
      </c>
      <c r="AD1499">
        <f>IF([2]Baskol!$O$1502="","",[2]Baskol!$O$1502)</f>
        <v/>
      </c>
      <c r="AE1499">
        <f>IF([3]Entry!$C$1502="","",[3]Entry!$C$1502)</f>
        <v/>
      </c>
      <c r="AF1499">
        <f>IF([3]Entry!$D$1502="","",[3]Entry!$D$1502)</f>
        <v/>
      </c>
      <c r="AG1499">
        <f>IF([3]Entry!$E$1502="","",[3]Entry!$E$1502)</f>
        <v/>
      </c>
      <c r="AH1499">
        <f>IF([3]Entry!$G$1502="","",[3]Entry!$G$1502)</f>
        <v/>
      </c>
      <c r="AI1499">
        <f>IF([3]Entry!$K$1502="","",[3]Entry!$K$1502)</f>
        <v/>
      </c>
      <c r="AJ1499">
        <f>IF([3]Entry!$L$1502="","",[3]Entry!$L$1502)</f>
        <v/>
      </c>
      <c r="AK1499">
        <f>IF([3]Entry!$M$1502="","",[3]Entry!$M$1502)</f>
        <v/>
      </c>
      <c r="AL1499">
        <f>IF([3]Entry!$N$1502="","",[3]Entry!$N$1502)</f>
        <v/>
      </c>
      <c r="AM1499">
        <f>IF([3]Entry!$R$1502="","",[3]Entry!$R$1502)</f>
        <v/>
      </c>
    </row>
    <row r="1500">
      <c r="T1500">
        <f>IF([2]Baskol!$B$1503="","",[2]Baskol!$B$1503)</f>
        <v/>
      </c>
      <c r="U1500">
        <f>IF([2]Baskol!$C$1503="","",[2]Baskol!$C$1503)</f>
        <v/>
      </c>
      <c r="V1500">
        <f>IF([2]Baskol!$D$1503="","",[2]Baskol!$D$1503)</f>
        <v/>
      </c>
      <c r="W1500">
        <f>IF([2]Baskol!$E$1503="","",[2]Baskol!$E$1503)</f>
        <v/>
      </c>
      <c r="X1500">
        <f>IF([2]Baskol!$G$1503="","",[2]Baskol!$G$1503)</f>
        <v/>
      </c>
      <c r="Y1500">
        <f>IF([2]Baskol!$I$1503="","",[2]Baskol!$I$1503)</f>
        <v/>
      </c>
      <c r="Z1500">
        <f>IF([2]Baskol!$J$1503="","",[2]Baskol!$J$1503)</f>
        <v/>
      </c>
      <c r="AA1500">
        <f>IF([2]Baskol!$K$1503="","",[2]Baskol!$K$1503)</f>
        <v/>
      </c>
      <c r="AB1500">
        <f>IF([2]Baskol!$L$1503="","",[2]Baskol!$L$1503)</f>
        <v/>
      </c>
      <c r="AC1500">
        <f>IF([2]Baskol!$N$1503="","",[2]Baskol!$N$1503)</f>
        <v/>
      </c>
      <c r="AD1500">
        <f>IF([2]Baskol!$O$1503="","",[2]Baskol!$O$1503)</f>
        <v/>
      </c>
      <c r="AE1500">
        <f>IF([3]Entry!$C$1503="","",[3]Entry!$C$1503)</f>
        <v/>
      </c>
      <c r="AF1500">
        <f>IF([3]Entry!$D$1503="","",[3]Entry!$D$1503)</f>
        <v/>
      </c>
      <c r="AG1500">
        <f>IF([3]Entry!$E$1503="","",[3]Entry!$E$1503)</f>
        <v/>
      </c>
      <c r="AH1500">
        <f>IF([3]Entry!$G$1503="","",[3]Entry!$G$1503)</f>
        <v/>
      </c>
      <c r="AI1500">
        <f>IF([3]Entry!$K$1503="","",[3]Entry!$K$1503)</f>
        <v/>
      </c>
      <c r="AJ1500">
        <f>IF([3]Entry!$L$1503="","",[3]Entry!$L$1503)</f>
        <v/>
      </c>
      <c r="AK1500">
        <f>IF([3]Entry!$M$1503="","",[3]Entry!$M$1503)</f>
        <v/>
      </c>
      <c r="AL1500">
        <f>IF([3]Entry!$N$1503="","",[3]Entry!$N$1503)</f>
        <v/>
      </c>
      <c r="AM1500">
        <f>IF([3]Entry!$R$1503="","",[3]Entry!$R$1503)</f>
        <v/>
      </c>
    </row>
    <row r="1501">
      <c r="T1501">
        <f>IF([2]Baskol!$B$1504="","",[2]Baskol!$B$1504)</f>
        <v/>
      </c>
      <c r="U1501">
        <f>IF([2]Baskol!$C$1504="","",[2]Baskol!$C$1504)</f>
        <v/>
      </c>
      <c r="V1501">
        <f>IF([2]Baskol!$D$1504="","",[2]Baskol!$D$1504)</f>
        <v/>
      </c>
      <c r="W1501">
        <f>IF([2]Baskol!$E$1504="","",[2]Baskol!$E$1504)</f>
        <v/>
      </c>
      <c r="X1501">
        <f>IF([2]Baskol!$G$1504="","",[2]Baskol!$G$1504)</f>
        <v/>
      </c>
      <c r="Y1501">
        <f>IF([2]Baskol!$I$1504="","",[2]Baskol!$I$1504)</f>
        <v/>
      </c>
      <c r="Z1501">
        <f>IF([2]Baskol!$J$1504="","",[2]Baskol!$J$1504)</f>
        <v/>
      </c>
      <c r="AA1501">
        <f>IF([2]Baskol!$K$1504="","",[2]Baskol!$K$1504)</f>
        <v/>
      </c>
      <c r="AB1501">
        <f>IF([2]Baskol!$L$1504="","",[2]Baskol!$L$1504)</f>
        <v/>
      </c>
      <c r="AC1501">
        <f>IF([2]Baskol!$N$1504="","",[2]Baskol!$N$1504)</f>
        <v/>
      </c>
      <c r="AD1501">
        <f>IF([2]Baskol!$O$1504="","",[2]Baskol!$O$1504)</f>
        <v/>
      </c>
      <c r="AE1501">
        <f>IF([3]Entry!$C$1504="","",[3]Entry!$C$1504)</f>
        <v/>
      </c>
      <c r="AF1501">
        <f>IF([3]Entry!$D$1504="","",[3]Entry!$D$1504)</f>
        <v/>
      </c>
      <c r="AG1501">
        <f>IF([3]Entry!$E$1504="","",[3]Entry!$E$1504)</f>
        <v/>
      </c>
      <c r="AH1501">
        <f>IF([3]Entry!$G$1504="","",[3]Entry!$G$1504)</f>
        <v/>
      </c>
      <c r="AI1501">
        <f>IF([3]Entry!$K$1504="","",[3]Entry!$K$1504)</f>
        <v/>
      </c>
      <c r="AJ1501">
        <f>IF([3]Entry!$L$1504="","",[3]Entry!$L$1504)</f>
        <v/>
      </c>
      <c r="AK1501">
        <f>IF([3]Entry!$M$1504="","",[3]Entry!$M$1504)</f>
        <v/>
      </c>
      <c r="AL1501">
        <f>IF([3]Entry!$N$1504="","",[3]Entry!$N$1504)</f>
        <v/>
      </c>
      <c r="AM1501">
        <f>IF([3]Entry!$R$1504="","",[3]Entry!$R$1504)</f>
        <v/>
      </c>
    </row>
    <row r="1502">
      <c r="T1502">
        <f>IF([2]Baskol!$B$1505="","",[2]Baskol!$B$1505)</f>
        <v/>
      </c>
      <c r="U1502">
        <f>IF([2]Baskol!$C$1505="","",[2]Baskol!$C$1505)</f>
        <v/>
      </c>
      <c r="V1502">
        <f>IF([2]Baskol!$D$1505="","",[2]Baskol!$D$1505)</f>
        <v/>
      </c>
      <c r="W1502">
        <f>IF([2]Baskol!$E$1505="","",[2]Baskol!$E$1505)</f>
        <v/>
      </c>
      <c r="X1502">
        <f>IF([2]Baskol!$G$1505="","",[2]Baskol!$G$1505)</f>
        <v/>
      </c>
      <c r="Y1502">
        <f>IF([2]Baskol!$I$1505="","",[2]Baskol!$I$1505)</f>
        <v/>
      </c>
      <c r="Z1502">
        <f>IF([2]Baskol!$J$1505="","",[2]Baskol!$J$1505)</f>
        <v/>
      </c>
      <c r="AA1502">
        <f>IF([2]Baskol!$K$1505="","",[2]Baskol!$K$1505)</f>
        <v/>
      </c>
      <c r="AB1502">
        <f>IF([2]Baskol!$L$1505="","",[2]Baskol!$L$1505)</f>
        <v/>
      </c>
      <c r="AC1502">
        <f>IF([2]Baskol!$N$1505="","",[2]Baskol!$N$1505)</f>
        <v/>
      </c>
      <c r="AD1502">
        <f>IF([2]Baskol!$O$1505="","",[2]Baskol!$O$1505)</f>
        <v/>
      </c>
      <c r="AE1502">
        <f>IF([3]Entry!$C$1505="","",[3]Entry!$C$1505)</f>
        <v/>
      </c>
      <c r="AF1502">
        <f>IF([3]Entry!$D$1505="","",[3]Entry!$D$1505)</f>
        <v/>
      </c>
      <c r="AG1502">
        <f>IF([3]Entry!$E$1505="","",[3]Entry!$E$1505)</f>
        <v/>
      </c>
      <c r="AH1502">
        <f>IF([3]Entry!$G$1505="","",[3]Entry!$G$1505)</f>
        <v/>
      </c>
      <c r="AI1502">
        <f>IF([3]Entry!$K$1505="","",[3]Entry!$K$1505)</f>
        <v/>
      </c>
      <c r="AJ1502">
        <f>IF([3]Entry!$L$1505="","",[3]Entry!$L$1505)</f>
        <v/>
      </c>
      <c r="AK1502">
        <f>IF([3]Entry!$M$1505="","",[3]Entry!$M$1505)</f>
        <v/>
      </c>
      <c r="AL1502">
        <f>IF([3]Entry!$N$1505="","",[3]Entry!$N$1505)</f>
        <v/>
      </c>
      <c r="AM1502">
        <f>IF([3]Entry!$R$1505="","",[3]Entry!$R$1505)</f>
        <v/>
      </c>
    </row>
    <row r="1503">
      <c r="T1503">
        <f>IF([2]Baskol!$B$1506="","",[2]Baskol!$B$1506)</f>
        <v/>
      </c>
      <c r="U1503">
        <f>IF([2]Baskol!$C$1506="","",[2]Baskol!$C$1506)</f>
        <v/>
      </c>
      <c r="V1503">
        <f>IF([2]Baskol!$D$1506="","",[2]Baskol!$D$1506)</f>
        <v/>
      </c>
      <c r="W1503">
        <f>IF([2]Baskol!$E$1506="","",[2]Baskol!$E$1506)</f>
        <v/>
      </c>
      <c r="X1503">
        <f>IF([2]Baskol!$G$1506="","",[2]Baskol!$G$1506)</f>
        <v/>
      </c>
      <c r="Y1503">
        <f>IF([2]Baskol!$I$1506="","",[2]Baskol!$I$1506)</f>
        <v/>
      </c>
      <c r="Z1503">
        <f>IF([2]Baskol!$J$1506="","",[2]Baskol!$J$1506)</f>
        <v/>
      </c>
      <c r="AA1503">
        <f>IF([2]Baskol!$K$1506="","",[2]Baskol!$K$1506)</f>
        <v/>
      </c>
      <c r="AB1503">
        <f>IF([2]Baskol!$L$1506="","",[2]Baskol!$L$1506)</f>
        <v/>
      </c>
      <c r="AC1503">
        <f>IF([2]Baskol!$N$1506="","",[2]Baskol!$N$1506)</f>
        <v/>
      </c>
      <c r="AD1503">
        <f>IF([2]Baskol!$O$1506="","",[2]Baskol!$O$1506)</f>
        <v/>
      </c>
      <c r="AE1503">
        <f>IF([3]Entry!$C$1506="","",[3]Entry!$C$1506)</f>
        <v/>
      </c>
      <c r="AF1503">
        <f>IF([3]Entry!$D$1506="","",[3]Entry!$D$1506)</f>
        <v/>
      </c>
      <c r="AG1503">
        <f>IF([3]Entry!$E$1506="","",[3]Entry!$E$1506)</f>
        <v/>
      </c>
      <c r="AH1503">
        <f>IF([3]Entry!$G$1506="","",[3]Entry!$G$1506)</f>
        <v/>
      </c>
      <c r="AI1503">
        <f>IF([3]Entry!$K$1506="","",[3]Entry!$K$1506)</f>
        <v/>
      </c>
      <c r="AJ1503">
        <f>IF([3]Entry!$L$1506="","",[3]Entry!$L$1506)</f>
        <v/>
      </c>
      <c r="AK1503">
        <f>IF([3]Entry!$M$1506="","",[3]Entry!$M$1506)</f>
        <v/>
      </c>
      <c r="AL1503">
        <f>IF([3]Entry!$N$1506="","",[3]Entry!$N$1506)</f>
        <v/>
      </c>
      <c r="AM1503">
        <f>IF([3]Entry!$R$1506="","",[3]Entry!$R$1506)</f>
        <v/>
      </c>
    </row>
    <row r="1504">
      <c r="T1504">
        <f>IF([2]Baskol!$B$1507="","",[2]Baskol!$B$1507)</f>
        <v/>
      </c>
      <c r="U1504">
        <f>IF([2]Baskol!$C$1507="","",[2]Baskol!$C$1507)</f>
        <v/>
      </c>
      <c r="V1504">
        <f>IF([2]Baskol!$D$1507="","",[2]Baskol!$D$1507)</f>
        <v/>
      </c>
      <c r="W1504">
        <f>IF([2]Baskol!$E$1507="","",[2]Baskol!$E$1507)</f>
        <v/>
      </c>
      <c r="X1504">
        <f>IF([2]Baskol!$G$1507="","",[2]Baskol!$G$1507)</f>
        <v/>
      </c>
      <c r="Y1504">
        <f>IF([2]Baskol!$I$1507="","",[2]Baskol!$I$1507)</f>
        <v/>
      </c>
      <c r="Z1504">
        <f>IF([2]Baskol!$J$1507="","",[2]Baskol!$J$1507)</f>
        <v/>
      </c>
      <c r="AA1504">
        <f>IF([2]Baskol!$K$1507="","",[2]Baskol!$K$1507)</f>
        <v/>
      </c>
      <c r="AB1504">
        <f>IF([2]Baskol!$L$1507="","",[2]Baskol!$L$1507)</f>
        <v/>
      </c>
      <c r="AC1504">
        <f>IF([2]Baskol!$N$1507="","",[2]Baskol!$N$1507)</f>
        <v/>
      </c>
      <c r="AD1504">
        <f>IF([2]Baskol!$O$1507="","",[2]Baskol!$O$1507)</f>
        <v/>
      </c>
      <c r="AE1504">
        <f>IF([3]Entry!$C$1507="","",[3]Entry!$C$1507)</f>
        <v/>
      </c>
      <c r="AF1504">
        <f>IF([3]Entry!$D$1507="","",[3]Entry!$D$1507)</f>
        <v/>
      </c>
      <c r="AG1504">
        <f>IF([3]Entry!$E$1507="","",[3]Entry!$E$1507)</f>
        <v/>
      </c>
      <c r="AH1504">
        <f>IF([3]Entry!$G$1507="","",[3]Entry!$G$1507)</f>
        <v/>
      </c>
      <c r="AI1504">
        <f>IF([3]Entry!$K$1507="","",[3]Entry!$K$1507)</f>
        <v/>
      </c>
      <c r="AJ1504">
        <f>IF([3]Entry!$L$1507="","",[3]Entry!$L$1507)</f>
        <v/>
      </c>
      <c r="AK1504">
        <f>IF([3]Entry!$M$1507="","",[3]Entry!$M$1507)</f>
        <v/>
      </c>
      <c r="AL1504">
        <f>IF([3]Entry!$N$1507="","",[3]Entry!$N$1507)</f>
        <v/>
      </c>
      <c r="AM1504">
        <f>IF([3]Entry!$R$1507="","",[3]Entry!$R$1507)</f>
        <v/>
      </c>
    </row>
    <row r="1505">
      <c r="T1505">
        <f>IF([2]Baskol!$B$1508="","",[2]Baskol!$B$1508)</f>
        <v/>
      </c>
      <c r="U1505">
        <f>IF([2]Baskol!$C$1508="","",[2]Baskol!$C$1508)</f>
        <v/>
      </c>
      <c r="V1505">
        <f>IF([2]Baskol!$D$1508="","",[2]Baskol!$D$1508)</f>
        <v/>
      </c>
      <c r="W1505">
        <f>IF([2]Baskol!$E$1508="","",[2]Baskol!$E$1508)</f>
        <v/>
      </c>
      <c r="X1505">
        <f>IF([2]Baskol!$G$1508="","",[2]Baskol!$G$1508)</f>
        <v/>
      </c>
      <c r="Y1505">
        <f>IF([2]Baskol!$I$1508="","",[2]Baskol!$I$1508)</f>
        <v/>
      </c>
      <c r="Z1505">
        <f>IF([2]Baskol!$J$1508="","",[2]Baskol!$J$1508)</f>
        <v/>
      </c>
      <c r="AA1505">
        <f>IF([2]Baskol!$K$1508="","",[2]Baskol!$K$1508)</f>
        <v/>
      </c>
      <c r="AB1505">
        <f>IF([2]Baskol!$L$1508="","",[2]Baskol!$L$1508)</f>
        <v/>
      </c>
      <c r="AC1505">
        <f>IF([2]Baskol!$N$1508="","",[2]Baskol!$N$1508)</f>
        <v/>
      </c>
      <c r="AD1505">
        <f>IF([2]Baskol!$O$1508="","",[2]Baskol!$O$1508)</f>
        <v/>
      </c>
      <c r="AE1505">
        <f>IF([3]Entry!$C$1508="","",[3]Entry!$C$1508)</f>
        <v/>
      </c>
      <c r="AF1505">
        <f>IF([3]Entry!$D$1508="","",[3]Entry!$D$1508)</f>
        <v/>
      </c>
      <c r="AG1505">
        <f>IF([3]Entry!$E$1508="","",[3]Entry!$E$1508)</f>
        <v/>
      </c>
      <c r="AH1505">
        <f>IF([3]Entry!$G$1508="","",[3]Entry!$G$1508)</f>
        <v/>
      </c>
      <c r="AI1505">
        <f>IF([3]Entry!$K$1508="","",[3]Entry!$K$1508)</f>
        <v/>
      </c>
      <c r="AJ1505">
        <f>IF([3]Entry!$L$1508="","",[3]Entry!$L$1508)</f>
        <v/>
      </c>
      <c r="AK1505">
        <f>IF([3]Entry!$M$1508="","",[3]Entry!$M$1508)</f>
        <v/>
      </c>
      <c r="AL1505">
        <f>IF([3]Entry!$N$1508="","",[3]Entry!$N$1508)</f>
        <v/>
      </c>
      <c r="AM1505">
        <f>IF([3]Entry!$R$1508="","",[3]Entry!$R$1508)</f>
        <v/>
      </c>
    </row>
    <row r="1506">
      <c r="T1506">
        <f>IF([2]Baskol!$B$1509="","",[2]Baskol!$B$1509)</f>
        <v/>
      </c>
      <c r="U1506">
        <f>IF([2]Baskol!$C$1509="","",[2]Baskol!$C$1509)</f>
        <v/>
      </c>
      <c r="V1506">
        <f>IF([2]Baskol!$D$1509="","",[2]Baskol!$D$1509)</f>
        <v/>
      </c>
      <c r="W1506">
        <f>IF([2]Baskol!$E$1509="","",[2]Baskol!$E$1509)</f>
        <v/>
      </c>
      <c r="X1506">
        <f>IF([2]Baskol!$G$1509="","",[2]Baskol!$G$1509)</f>
        <v/>
      </c>
      <c r="Y1506">
        <f>IF([2]Baskol!$I$1509="","",[2]Baskol!$I$1509)</f>
        <v/>
      </c>
      <c r="Z1506">
        <f>IF([2]Baskol!$J$1509="","",[2]Baskol!$J$1509)</f>
        <v/>
      </c>
      <c r="AA1506">
        <f>IF([2]Baskol!$K$1509="","",[2]Baskol!$K$1509)</f>
        <v/>
      </c>
      <c r="AB1506">
        <f>IF([2]Baskol!$L$1509="","",[2]Baskol!$L$1509)</f>
        <v/>
      </c>
      <c r="AC1506">
        <f>IF([2]Baskol!$N$1509="","",[2]Baskol!$N$1509)</f>
        <v/>
      </c>
      <c r="AD1506">
        <f>IF([2]Baskol!$O$1509="","",[2]Baskol!$O$1509)</f>
        <v/>
      </c>
      <c r="AE1506">
        <f>IF([3]Entry!$C$1509="","",[3]Entry!$C$1509)</f>
        <v/>
      </c>
      <c r="AF1506">
        <f>IF([3]Entry!$D$1509="","",[3]Entry!$D$1509)</f>
        <v/>
      </c>
      <c r="AG1506">
        <f>IF([3]Entry!$E$1509="","",[3]Entry!$E$1509)</f>
        <v/>
      </c>
      <c r="AH1506">
        <f>IF([3]Entry!$G$1509="","",[3]Entry!$G$1509)</f>
        <v/>
      </c>
      <c r="AI1506">
        <f>IF([3]Entry!$K$1509="","",[3]Entry!$K$1509)</f>
        <v/>
      </c>
      <c r="AJ1506">
        <f>IF([3]Entry!$L$1509="","",[3]Entry!$L$1509)</f>
        <v/>
      </c>
      <c r="AK1506">
        <f>IF([3]Entry!$M$1509="","",[3]Entry!$M$1509)</f>
        <v/>
      </c>
      <c r="AL1506">
        <f>IF([3]Entry!$N$1509="","",[3]Entry!$N$1509)</f>
        <v/>
      </c>
      <c r="AM1506">
        <f>IF([3]Entry!$R$1509="","",[3]Entry!$R$1509)</f>
        <v/>
      </c>
    </row>
    <row r="1507">
      <c r="T1507">
        <f>IF([2]Baskol!$B$1510="","",[2]Baskol!$B$1510)</f>
        <v/>
      </c>
      <c r="U1507">
        <f>IF([2]Baskol!$C$1510="","",[2]Baskol!$C$1510)</f>
        <v/>
      </c>
      <c r="V1507">
        <f>IF([2]Baskol!$D$1510="","",[2]Baskol!$D$1510)</f>
        <v/>
      </c>
      <c r="W1507">
        <f>IF([2]Baskol!$E$1510="","",[2]Baskol!$E$1510)</f>
        <v/>
      </c>
      <c r="X1507">
        <f>IF([2]Baskol!$G$1510="","",[2]Baskol!$G$1510)</f>
        <v/>
      </c>
      <c r="Y1507">
        <f>IF([2]Baskol!$I$1510="","",[2]Baskol!$I$1510)</f>
        <v/>
      </c>
      <c r="Z1507">
        <f>IF([2]Baskol!$J$1510="","",[2]Baskol!$J$1510)</f>
        <v/>
      </c>
      <c r="AA1507">
        <f>IF([2]Baskol!$K$1510="","",[2]Baskol!$K$1510)</f>
        <v/>
      </c>
      <c r="AB1507">
        <f>IF([2]Baskol!$L$1510="","",[2]Baskol!$L$1510)</f>
        <v/>
      </c>
      <c r="AC1507">
        <f>IF([2]Baskol!$N$1510="","",[2]Baskol!$N$1510)</f>
        <v/>
      </c>
      <c r="AD1507">
        <f>IF([2]Baskol!$O$1510="","",[2]Baskol!$O$1510)</f>
        <v/>
      </c>
      <c r="AE1507">
        <f>IF([3]Entry!$C$1510="","",[3]Entry!$C$1510)</f>
        <v/>
      </c>
      <c r="AF1507">
        <f>IF([3]Entry!$D$1510="","",[3]Entry!$D$1510)</f>
        <v/>
      </c>
      <c r="AG1507">
        <f>IF([3]Entry!$E$1510="","",[3]Entry!$E$1510)</f>
        <v/>
      </c>
      <c r="AH1507">
        <f>IF([3]Entry!$G$1510="","",[3]Entry!$G$1510)</f>
        <v/>
      </c>
      <c r="AI1507">
        <f>IF([3]Entry!$K$1510="","",[3]Entry!$K$1510)</f>
        <v/>
      </c>
      <c r="AJ1507">
        <f>IF([3]Entry!$L$1510="","",[3]Entry!$L$1510)</f>
        <v/>
      </c>
      <c r="AK1507">
        <f>IF([3]Entry!$M$1510="","",[3]Entry!$M$1510)</f>
        <v/>
      </c>
      <c r="AL1507">
        <f>IF([3]Entry!$N$1510="","",[3]Entry!$N$1510)</f>
        <v/>
      </c>
      <c r="AM1507">
        <f>IF([3]Entry!$R$1510="","",[3]Entry!$R$1510)</f>
        <v/>
      </c>
    </row>
    <row r="1508">
      <c r="T1508">
        <f>IF([2]Baskol!$B$1511="","",[2]Baskol!$B$1511)</f>
        <v/>
      </c>
      <c r="U1508">
        <f>IF([2]Baskol!$C$1511="","",[2]Baskol!$C$1511)</f>
        <v/>
      </c>
      <c r="V1508">
        <f>IF([2]Baskol!$D$1511="","",[2]Baskol!$D$1511)</f>
        <v/>
      </c>
      <c r="W1508">
        <f>IF([2]Baskol!$E$1511="","",[2]Baskol!$E$1511)</f>
        <v/>
      </c>
      <c r="X1508">
        <f>IF([2]Baskol!$G$1511="","",[2]Baskol!$G$1511)</f>
        <v/>
      </c>
      <c r="Y1508">
        <f>IF([2]Baskol!$I$1511="","",[2]Baskol!$I$1511)</f>
        <v/>
      </c>
      <c r="Z1508">
        <f>IF([2]Baskol!$J$1511="","",[2]Baskol!$J$1511)</f>
        <v/>
      </c>
      <c r="AA1508">
        <f>IF([2]Baskol!$K$1511="","",[2]Baskol!$K$1511)</f>
        <v/>
      </c>
      <c r="AB1508">
        <f>IF([2]Baskol!$L$1511="","",[2]Baskol!$L$1511)</f>
        <v/>
      </c>
      <c r="AC1508">
        <f>IF([2]Baskol!$N$1511="","",[2]Baskol!$N$1511)</f>
        <v/>
      </c>
      <c r="AD1508">
        <f>IF([2]Baskol!$O$1511="","",[2]Baskol!$O$1511)</f>
        <v/>
      </c>
      <c r="AE1508">
        <f>IF([3]Entry!$C$1511="","",[3]Entry!$C$1511)</f>
        <v/>
      </c>
      <c r="AF1508">
        <f>IF([3]Entry!$D$1511="","",[3]Entry!$D$1511)</f>
        <v/>
      </c>
      <c r="AG1508">
        <f>IF([3]Entry!$E$1511="","",[3]Entry!$E$1511)</f>
        <v/>
      </c>
      <c r="AH1508">
        <f>IF([3]Entry!$G$1511="","",[3]Entry!$G$1511)</f>
        <v/>
      </c>
      <c r="AI1508">
        <f>IF([3]Entry!$K$1511="","",[3]Entry!$K$1511)</f>
        <v/>
      </c>
      <c r="AJ1508">
        <f>IF([3]Entry!$L$1511="","",[3]Entry!$L$1511)</f>
        <v/>
      </c>
      <c r="AK1508">
        <f>IF([3]Entry!$M$1511="","",[3]Entry!$M$1511)</f>
        <v/>
      </c>
      <c r="AL1508">
        <f>IF([3]Entry!$N$1511="","",[3]Entry!$N$1511)</f>
        <v/>
      </c>
      <c r="AM1508">
        <f>IF([3]Entry!$R$1511="","",[3]Entry!$R$1511)</f>
        <v/>
      </c>
    </row>
    <row r="1509">
      <c r="T1509">
        <f>IF([2]Baskol!$B$1512="","",[2]Baskol!$B$1512)</f>
        <v/>
      </c>
      <c r="U1509">
        <f>IF([2]Baskol!$C$1512="","",[2]Baskol!$C$1512)</f>
        <v/>
      </c>
      <c r="V1509">
        <f>IF([2]Baskol!$D$1512="","",[2]Baskol!$D$1512)</f>
        <v/>
      </c>
      <c r="W1509">
        <f>IF([2]Baskol!$E$1512="","",[2]Baskol!$E$1512)</f>
        <v/>
      </c>
      <c r="X1509">
        <f>IF([2]Baskol!$G$1512="","",[2]Baskol!$G$1512)</f>
        <v/>
      </c>
      <c r="Y1509">
        <f>IF([2]Baskol!$I$1512="","",[2]Baskol!$I$1512)</f>
        <v/>
      </c>
      <c r="Z1509">
        <f>IF([2]Baskol!$J$1512="","",[2]Baskol!$J$1512)</f>
        <v/>
      </c>
      <c r="AA1509">
        <f>IF([2]Baskol!$K$1512="","",[2]Baskol!$K$1512)</f>
        <v/>
      </c>
      <c r="AB1509">
        <f>IF([2]Baskol!$L$1512="","",[2]Baskol!$L$1512)</f>
        <v/>
      </c>
      <c r="AC1509">
        <f>IF([2]Baskol!$N$1512="","",[2]Baskol!$N$1512)</f>
        <v/>
      </c>
      <c r="AD1509">
        <f>IF([2]Baskol!$O$1512="","",[2]Baskol!$O$1512)</f>
        <v/>
      </c>
      <c r="AE1509">
        <f>IF([3]Entry!$C$1512="","",[3]Entry!$C$1512)</f>
        <v/>
      </c>
      <c r="AF1509">
        <f>IF([3]Entry!$D$1512="","",[3]Entry!$D$1512)</f>
        <v/>
      </c>
      <c r="AG1509">
        <f>IF([3]Entry!$E$1512="","",[3]Entry!$E$1512)</f>
        <v/>
      </c>
      <c r="AH1509">
        <f>IF([3]Entry!$G$1512="","",[3]Entry!$G$1512)</f>
        <v/>
      </c>
      <c r="AI1509">
        <f>IF([3]Entry!$K$1512="","",[3]Entry!$K$1512)</f>
        <v/>
      </c>
      <c r="AJ1509">
        <f>IF([3]Entry!$L$1512="","",[3]Entry!$L$1512)</f>
        <v/>
      </c>
      <c r="AK1509">
        <f>IF([3]Entry!$M$1512="","",[3]Entry!$M$1512)</f>
        <v/>
      </c>
      <c r="AL1509">
        <f>IF([3]Entry!$N$1512="","",[3]Entry!$N$1512)</f>
        <v/>
      </c>
      <c r="AM1509">
        <f>IF([3]Entry!$R$1512="","",[3]Entry!$R$1512)</f>
        <v/>
      </c>
    </row>
    <row r="1510">
      <c r="T1510">
        <f>IF([2]Baskol!$B$1513="","",[2]Baskol!$B$1513)</f>
        <v/>
      </c>
      <c r="U1510">
        <f>IF([2]Baskol!$C$1513="","",[2]Baskol!$C$1513)</f>
        <v/>
      </c>
      <c r="V1510">
        <f>IF([2]Baskol!$D$1513="","",[2]Baskol!$D$1513)</f>
        <v/>
      </c>
      <c r="W1510">
        <f>IF([2]Baskol!$E$1513="","",[2]Baskol!$E$1513)</f>
        <v/>
      </c>
      <c r="X1510">
        <f>IF([2]Baskol!$G$1513="","",[2]Baskol!$G$1513)</f>
        <v/>
      </c>
      <c r="Y1510">
        <f>IF([2]Baskol!$I$1513="","",[2]Baskol!$I$1513)</f>
        <v/>
      </c>
      <c r="Z1510">
        <f>IF([2]Baskol!$J$1513="","",[2]Baskol!$J$1513)</f>
        <v/>
      </c>
      <c r="AA1510">
        <f>IF([2]Baskol!$K$1513="","",[2]Baskol!$K$1513)</f>
        <v/>
      </c>
      <c r="AB1510">
        <f>IF([2]Baskol!$L$1513="","",[2]Baskol!$L$1513)</f>
        <v/>
      </c>
      <c r="AC1510">
        <f>IF([2]Baskol!$N$1513="","",[2]Baskol!$N$1513)</f>
        <v/>
      </c>
      <c r="AD1510">
        <f>IF([2]Baskol!$O$1513="","",[2]Baskol!$O$1513)</f>
        <v/>
      </c>
      <c r="AE1510">
        <f>IF([3]Entry!$C$1513="","",[3]Entry!$C$1513)</f>
        <v/>
      </c>
      <c r="AF1510">
        <f>IF([3]Entry!$D$1513="","",[3]Entry!$D$1513)</f>
        <v/>
      </c>
      <c r="AG1510">
        <f>IF([3]Entry!$E$1513="","",[3]Entry!$E$1513)</f>
        <v/>
      </c>
      <c r="AH1510">
        <f>IF([3]Entry!$G$1513="","",[3]Entry!$G$1513)</f>
        <v/>
      </c>
      <c r="AI1510">
        <f>IF([3]Entry!$K$1513="","",[3]Entry!$K$1513)</f>
        <v/>
      </c>
      <c r="AJ1510">
        <f>IF([3]Entry!$L$1513="","",[3]Entry!$L$1513)</f>
        <v/>
      </c>
      <c r="AK1510">
        <f>IF([3]Entry!$M$1513="","",[3]Entry!$M$1513)</f>
        <v/>
      </c>
      <c r="AL1510">
        <f>IF([3]Entry!$N$1513="","",[3]Entry!$N$1513)</f>
        <v/>
      </c>
      <c r="AM1510">
        <f>IF([3]Entry!$R$1513="","",[3]Entry!$R$1513)</f>
        <v/>
      </c>
    </row>
    <row r="1511">
      <c r="T1511">
        <f>IF([2]Baskol!$B$1514="","",[2]Baskol!$B$1514)</f>
        <v/>
      </c>
      <c r="U1511">
        <f>IF([2]Baskol!$C$1514="","",[2]Baskol!$C$1514)</f>
        <v/>
      </c>
      <c r="V1511">
        <f>IF([2]Baskol!$D$1514="","",[2]Baskol!$D$1514)</f>
        <v/>
      </c>
      <c r="W1511">
        <f>IF([2]Baskol!$E$1514="","",[2]Baskol!$E$1514)</f>
        <v/>
      </c>
      <c r="X1511">
        <f>IF([2]Baskol!$G$1514="","",[2]Baskol!$G$1514)</f>
        <v/>
      </c>
      <c r="Y1511">
        <f>IF([2]Baskol!$I$1514="","",[2]Baskol!$I$1514)</f>
        <v/>
      </c>
      <c r="Z1511">
        <f>IF([2]Baskol!$J$1514="","",[2]Baskol!$J$1514)</f>
        <v/>
      </c>
      <c r="AA1511">
        <f>IF([2]Baskol!$K$1514="","",[2]Baskol!$K$1514)</f>
        <v/>
      </c>
      <c r="AB1511">
        <f>IF([2]Baskol!$L$1514="","",[2]Baskol!$L$1514)</f>
        <v/>
      </c>
      <c r="AC1511">
        <f>IF([2]Baskol!$N$1514="","",[2]Baskol!$N$1514)</f>
        <v/>
      </c>
      <c r="AD1511">
        <f>IF([2]Baskol!$O$1514="","",[2]Baskol!$O$1514)</f>
        <v/>
      </c>
      <c r="AE1511">
        <f>IF([3]Entry!$C$1514="","",[3]Entry!$C$1514)</f>
        <v/>
      </c>
      <c r="AF1511">
        <f>IF([3]Entry!$D$1514="","",[3]Entry!$D$1514)</f>
        <v/>
      </c>
      <c r="AG1511">
        <f>IF([3]Entry!$E$1514="","",[3]Entry!$E$1514)</f>
        <v/>
      </c>
      <c r="AH1511">
        <f>IF([3]Entry!$G$1514="","",[3]Entry!$G$1514)</f>
        <v/>
      </c>
      <c r="AI1511">
        <f>IF([3]Entry!$K$1514="","",[3]Entry!$K$1514)</f>
        <v/>
      </c>
      <c r="AJ1511">
        <f>IF([3]Entry!$L$1514="","",[3]Entry!$L$1514)</f>
        <v/>
      </c>
      <c r="AK1511">
        <f>IF([3]Entry!$M$1514="","",[3]Entry!$M$1514)</f>
        <v/>
      </c>
      <c r="AL1511">
        <f>IF([3]Entry!$N$1514="","",[3]Entry!$N$1514)</f>
        <v/>
      </c>
      <c r="AM1511">
        <f>IF([3]Entry!$R$1514="","",[3]Entry!$R$1514)</f>
        <v/>
      </c>
    </row>
    <row r="1512">
      <c r="T1512">
        <f>IF([2]Baskol!$B$1515="","",[2]Baskol!$B$1515)</f>
        <v/>
      </c>
      <c r="U1512">
        <f>IF([2]Baskol!$C$1515="","",[2]Baskol!$C$1515)</f>
        <v/>
      </c>
      <c r="V1512">
        <f>IF([2]Baskol!$D$1515="","",[2]Baskol!$D$1515)</f>
        <v/>
      </c>
      <c r="W1512">
        <f>IF([2]Baskol!$E$1515="","",[2]Baskol!$E$1515)</f>
        <v/>
      </c>
      <c r="X1512">
        <f>IF([2]Baskol!$G$1515="","",[2]Baskol!$G$1515)</f>
        <v/>
      </c>
      <c r="Y1512">
        <f>IF([2]Baskol!$I$1515="","",[2]Baskol!$I$1515)</f>
        <v/>
      </c>
      <c r="Z1512">
        <f>IF([2]Baskol!$J$1515="","",[2]Baskol!$J$1515)</f>
        <v/>
      </c>
      <c r="AA1512">
        <f>IF([2]Baskol!$K$1515="","",[2]Baskol!$K$1515)</f>
        <v/>
      </c>
      <c r="AB1512">
        <f>IF([2]Baskol!$L$1515="","",[2]Baskol!$L$1515)</f>
        <v/>
      </c>
      <c r="AC1512">
        <f>IF([2]Baskol!$N$1515="","",[2]Baskol!$N$1515)</f>
        <v/>
      </c>
      <c r="AD1512">
        <f>IF([2]Baskol!$O$1515="","",[2]Baskol!$O$1515)</f>
        <v/>
      </c>
      <c r="AE1512">
        <f>IF([3]Entry!$C$1515="","",[3]Entry!$C$1515)</f>
        <v/>
      </c>
      <c r="AF1512">
        <f>IF([3]Entry!$D$1515="","",[3]Entry!$D$1515)</f>
        <v/>
      </c>
      <c r="AG1512">
        <f>IF([3]Entry!$E$1515="","",[3]Entry!$E$1515)</f>
        <v/>
      </c>
      <c r="AH1512">
        <f>IF([3]Entry!$G$1515="","",[3]Entry!$G$1515)</f>
        <v/>
      </c>
      <c r="AI1512">
        <f>IF([3]Entry!$K$1515="","",[3]Entry!$K$1515)</f>
        <v/>
      </c>
      <c r="AJ1512">
        <f>IF([3]Entry!$L$1515="","",[3]Entry!$L$1515)</f>
        <v/>
      </c>
      <c r="AK1512">
        <f>IF([3]Entry!$M$1515="","",[3]Entry!$M$1515)</f>
        <v/>
      </c>
      <c r="AL1512">
        <f>IF([3]Entry!$N$1515="","",[3]Entry!$N$1515)</f>
        <v/>
      </c>
      <c r="AM1512">
        <f>IF([3]Entry!$R$1515="","",[3]Entry!$R$1515)</f>
        <v/>
      </c>
    </row>
    <row r="1513">
      <c r="T1513">
        <f>IF([2]Baskol!$B$1516="","",[2]Baskol!$B$1516)</f>
        <v/>
      </c>
      <c r="U1513">
        <f>IF([2]Baskol!$C$1516="","",[2]Baskol!$C$1516)</f>
        <v/>
      </c>
      <c r="V1513">
        <f>IF([2]Baskol!$D$1516="","",[2]Baskol!$D$1516)</f>
        <v/>
      </c>
      <c r="W1513">
        <f>IF([2]Baskol!$E$1516="","",[2]Baskol!$E$1516)</f>
        <v/>
      </c>
      <c r="X1513">
        <f>IF([2]Baskol!$G$1516="","",[2]Baskol!$G$1516)</f>
        <v/>
      </c>
      <c r="Y1513">
        <f>IF([2]Baskol!$I$1516="","",[2]Baskol!$I$1516)</f>
        <v/>
      </c>
      <c r="Z1513">
        <f>IF([2]Baskol!$J$1516="","",[2]Baskol!$J$1516)</f>
        <v/>
      </c>
      <c r="AA1513">
        <f>IF([2]Baskol!$K$1516="","",[2]Baskol!$K$1516)</f>
        <v/>
      </c>
      <c r="AB1513">
        <f>IF([2]Baskol!$L$1516="","",[2]Baskol!$L$1516)</f>
        <v/>
      </c>
      <c r="AC1513">
        <f>IF([2]Baskol!$N$1516="","",[2]Baskol!$N$1516)</f>
        <v/>
      </c>
      <c r="AD1513">
        <f>IF([2]Baskol!$O$1516="","",[2]Baskol!$O$1516)</f>
        <v/>
      </c>
      <c r="AE1513">
        <f>IF([3]Entry!$C$1516="","",[3]Entry!$C$1516)</f>
        <v/>
      </c>
      <c r="AF1513">
        <f>IF([3]Entry!$D$1516="","",[3]Entry!$D$1516)</f>
        <v/>
      </c>
      <c r="AG1513">
        <f>IF([3]Entry!$E$1516="","",[3]Entry!$E$1516)</f>
        <v/>
      </c>
      <c r="AH1513">
        <f>IF([3]Entry!$G$1516="","",[3]Entry!$G$1516)</f>
        <v/>
      </c>
      <c r="AI1513">
        <f>IF([3]Entry!$K$1516="","",[3]Entry!$K$1516)</f>
        <v/>
      </c>
      <c r="AJ1513">
        <f>IF([3]Entry!$L$1516="","",[3]Entry!$L$1516)</f>
        <v/>
      </c>
      <c r="AK1513">
        <f>IF([3]Entry!$M$1516="","",[3]Entry!$M$1516)</f>
        <v/>
      </c>
      <c r="AL1513">
        <f>IF([3]Entry!$N$1516="","",[3]Entry!$N$1516)</f>
        <v/>
      </c>
      <c r="AM1513">
        <f>IF([3]Entry!$R$1516="","",[3]Entry!$R$1516)</f>
        <v/>
      </c>
    </row>
    <row r="1514">
      <c r="T1514">
        <f>IF([2]Baskol!$B$1517="","",[2]Baskol!$B$1517)</f>
        <v/>
      </c>
      <c r="U1514">
        <f>IF([2]Baskol!$C$1517="","",[2]Baskol!$C$1517)</f>
        <v/>
      </c>
      <c r="V1514">
        <f>IF([2]Baskol!$D$1517="","",[2]Baskol!$D$1517)</f>
        <v/>
      </c>
      <c r="W1514">
        <f>IF([2]Baskol!$E$1517="","",[2]Baskol!$E$1517)</f>
        <v/>
      </c>
      <c r="X1514">
        <f>IF([2]Baskol!$G$1517="","",[2]Baskol!$G$1517)</f>
        <v/>
      </c>
      <c r="Y1514">
        <f>IF([2]Baskol!$I$1517="","",[2]Baskol!$I$1517)</f>
        <v/>
      </c>
      <c r="Z1514">
        <f>IF([2]Baskol!$J$1517="","",[2]Baskol!$J$1517)</f>
        <v/>
      </c>
      <c r="AA1514">
        <f>IF([2]Baskol!$K$1517="","",[2]Baskol!$K$1517)</f>
        <v/>
      </c>
      <c r="AB1514">
        <f>IF([2]Baskol!$L$1517="","",[2]Baskol!$L$1517)</f>
        <v/>
      </c>
      <c r="AC1514">
        <f>IF([2]Baskol!$N$1517="","",[2]Baskol!$N$1517)</f>
        <v/>
      </c>
      <c r="AD1514">
        <f>IF([2]Baskol!$O$1517="","",[2]Baskol!$O$1517)</f>
        <v/>
      </c>
      <c r="AE1514">
        <f>IF([3]Entry!$C$1517="","",[3]Entry!$C$1517)</f>
        <v/>
      </c>
      <c r="AF1514">
        <f>IF([3]Entry!$D$1517="","",[3]Entry!$D$1517)</f>
        <v/>
      </c>
      <c r="AG1514">
        <f>IF([3]Entry!$E$1517="","",[3]Entry!$E$1517)</f>
        <v/>
      </c>
      <c r="AH1514">
        <f>IF([3]Entry!$G$1517="","",[3]Entry!$G$1517)</f>
        <v/>
      </c>
      <c r="AI1514">
        <f>IF([3]Entry!$K$1517="","",[3]Entry!$K$1517)</f>
        <v/>
      </c>
      <c r="AJ1514">
        <f>IF([3]Entry!$L$1517="","",[3]Entry!$L$1517)</f>
        <v/>
      </c>
      <c r="AK1514">
        <f>IF([3]Entry!$M$1517="","",[3]Entry!$M$1517)</f>
        <v/>
      </c>
      <c r="AL1514">
        <f>IF([3]Entry!$N$1517="","",[3]Entry!$N$1517)</f>
        <v/>
      </c>
      <c r="AM1514">
        <f>IF([3]Entry!$R$1517="","",[3]Entry!$R$1517)</f>
        <v/>
      </c>
    </row>
    <row r="1515">
      <c r="T1515">
        <f>IF([2]Baskol!$B$1518="","",[2]Baskol!$B$1518)</f>
        <v/>
      </c>
      <c r="U1515">
        <f>IF([2]Baskol!$C$1518="","",[2]Baskol!$C$1518)</f>
        <v/>
      </c>
      <c r="V1515">
        <f>IF([2]Baskol!$D$1518="","",[2]Baskol!$D$1518)</f>
        <v/>
      </c>
      <c r="W1515">
        <f>IF([2]Baskol!$E$1518="","",[2]Baskol!$E$1518)</f>
        <v/>
      </c>
      <c r="X1515">
        <f>IF([2]Baskol!$G$1518="","",[2]Baskol!$G$1518)</f>
        <v/>
      </c>
      <c r="Y1515">
        <f>IF([2]Baskol!$I$1518="","",[2]Baskol!$I$1518)</f>
        <v/>
      </c>
      <c r="Z1515">
        <f>IF([2]Baskol!$J$1518="","",[2]Baskol!$J$1518)</f>
        <v/>
      </c>
      <c r="AA1515">
        <f>IF([2]Baskol!$K$1518="","",[2]Baskol!$K$1518)</f>
        <v/>
      </c>
      <c r="AB1515">
        <f>IF([2]Baskol!$L$1518="","",[2]Baskol!$L$1518)</f>
        <v/>
      </c>
      <c r="AC1515">
        <f>IF([2]Baskol!$N$1518="","",[2]Baskol!$N$1518)</f>
        <v/>
      </c>
      <c r="AD1515">
        <f>IF([2]Baskol!$O$1518="","",[2]Baskol!$O$1518)</f>
        <v/>
      </c>
      <c r="AE1515">
        <f>IF([3]Entry!$C$1518="","",[3]Entry!$C$1518)</f>
        <v/>
      </c>
      <c r="AF1515">
        <f>IF([3]Entry!$D$1518="","",[3]Entry!$D$1518)</f>
        <v/>
      </c>
      <c r="AG1515">
        <f>IF([3]Entry!$E$1518="","",[3]Entry!$E$1518)</f>
        <v/>
      </c>
      <c r="AH1515">
        <f>IF([3]Entry!$G$1518="","",[3]Entry!$G$1518)</f>
        <v/>
      </c>
      <c r="AI1515">
        <f>IF([3]Entry!$K$1518="","",[3]Entry!$K$1518)</f>
        <v/>
      </c>
      <c r="AJ1515">
        <f>IF([3]Entry!$L$1518="","",[3]Entry!$L$1518)</f>
        <v/>
      </c>
      <c r="AK1515">
        <f>IF([3]Entry!$M$1518="","",[3]Entry!$M$1518)</f>
        <v/>
      </c>
      <c r="AL1515">
        <f>IF([3]Entry!$N$1518="","",[3]Entry!$N$1518)</f>
        <v/>
      </c>
      <c r="AM1515">
        <f>IF([3]Entry!$R$1518="","",[3]Entry!$R$1518)</f>
        <v/>
      </c>
    </row>
    <row r="1516">
      <c r="T1516">
        <f>IF([2]Baskol!$B$1519="","",[2]Baskol!$B$1519)</f>
        <v/>
      </c>
      <c r="U1516">
        <f>IF([2]Baskol!$C$1519="","",[2]Baskol!$C$1519)</f>
        <v/>
      </c>
      <c r="V1516">
        <f>IF([2]Baskol!$D$1519="","",[2]Baskol!$D$1519)</f>
        <v/>
      </c>
      <c r="W1516">
        <f>IF([2]Baskol!$E$1519="","",[2]Baskol!$E$1519)</f>
        <v/>
      </c>
      <c r="X1516">
        <f>IF([2]Baskol!$G$1519="","",[2]Baskol!$G$1519)</f>
        <v/>
      </c>
      <c r="Y1516">
        <f>IF([2]Baskol!$I$1519="","",[2]Baskol!$I$1519)</f>
        <v/>
      </c>
      <c r="Z1516">
        <f>IF([2]Baskol!$J$1519="","",[2]Baskol!$J$1519)</f>
        <v/>
      </c>
      <c r="AA1516">
        <f>IF([2]Baskol!$K$1519="","",[2]Baskol!$K$1519)</f>
        <v/>
      </c>
      <c r="AB1516">
        <f>IF([2]Baskol!$L$1519="","",[2]Baskol!$L$1519)</f>
        <v/>
      </c>
      <c r="AC1516">
        <f>IF([2]Baskol!$N$1519="","",[2]Baskol!$N$1519)</f>
        <v/>
      </c>
      <c r="AD1516">
        <f>IF([2]Baskol!$O$1519="","",[2]Baskol!$O$1519)</f>
        <v/>
      </c>
      <c r="AE1516">
        <f>IF([3]Entry!$C$1519="","",[3]Entry!$C$1519)</f>
        <v/>
      </c>
      <c r="AF1516">
        <f>IF([3]Entry!$D$1519="","",[3]Entry!$D$1519)</f>
        <v/>
      </c>
      <c r="AG1516">
        <f>IF([3]Entry!$E$1519="","",[3]Entry!$E$1519)</f>
        <v/>
      </c>
      <c r="AH1516">
        <f>IF([3]Entry!$G$1519="","",[3]Entry!$G$1519)</f>
        <v/>
      </c>
      <c r="AI1516">
        <f>IF([3]Entry!$K$1519="","",[3]Entry!$K$1519)</f>
        <v/>
      </c>
      <c r="AJ1516">
        <f>IF([3]Entry!$L$1519="","",[3]Entry!$L$1519)</f>
        <v/>
      </c>
      <c r="AK1516">
        <f>IF([3]Entry!$M$1519="","",[3]Entry!$M$1519)</f>
        <v/>
      </c>
      <c r="AL1516">
        <f>IF([3]Entry!$N$1519="","",[3]Entry!$N$1519)</f>
        <v/>
      </c>
      <c r="AM1516">
        <f>IF([3]Entry!$R$1519="","",[3]Entry!$R$1519)</f>
        <v/>
      </c>
    </row>
    <row r="1517">
      <c r="T1517">
        <f>IF([2]Baskol!$B$1520="","",[2]Baskol!$B$1520)</f>
        <v/>
      </c>
      <c r="U1517">
        <f>IF([2]Baskol!$C$1520="","",[2]Baskol!$C$1520)</f>
        <v/>
      </c>
      <c r="V1517">
        <f>IF([2]Baskol!$D$1520="","",[2]Baskol!$D$1520)</f>
        <v/>
      </c>
      <c r="W1517">
        <f>IF([2]Baskol!$E$1520="","",[2]Baskol!$E$1520)</f>
        <v/>
      </c>
      <c r="X1517">
        <f>IF([2]Baskol!$G$1520="","",[2]Baskol!$G$1520)</f>
        <v/>
      </c>
      <c r="Y1517">
        <f>IF([2]Baskol!$I$1520="","",[2]Baskol!$I$1520)</f>
        <v/>
      </c>
      <c r="Z1517">
        <f>IF([2]Baskol!$J$1520="","",[2]Baskol!$J$1520)</f>
        <v/>
      </c>
      <c r="AA1517">
        <f>IF([2]Baskol!$K$1520="","",[2]Baskol!$K$1520)</f>
        <v/>
      </c>
      <c r="AB1517">
        <f>IF([2]Baskol!$L$1520="","",[2]Baskol!$L$1520)</f>
        <v/>
      </c>
      <c r="AC1517">
        <f>IF([2]Baskol!$N$1520="","",[2]Baskol!$N$1520)</f>
        <v/>
      </c>
      <c r="AD1517">
        <f>IF([2]Baskol!$O$1520="","",[2]Baskol!$O$1520)</f>
        <v/>
      </c>
      <c r="AE1517">
        <f>IF([3]Entry!$C$1520="","",[3]Entry!$C$1520)</f>
        <v/>
      </c>
      <c r="AF1517">
        <f>IF([3]Entry!$D$1520="","",[3]Entry!$D$1520)</f>
        <v/>
      </c>
      <c r="AG1517">
        <f>IF([3]Entry!$E$1520="","",[3]Entry!$E$1520)</f>
        <v/>
      </c>
      <c r="AH1517">
        <f>IF([3]Entry!$G$1520="","",[3]Entry!$G$1520)</f>
        <v/>
      </c>
      <c r="AI1517">
        <f>IF([3]Entry!$K$1520="","",[3]Entry!$K$1520)</f>
        <v/>
      </c>
      <c r="AJ1517">
        <f>IF([3]Entry!$L$1520="","",[3]Entry!$L$1520)</f>
        <v/>
      </c>
      <c r="AK1517">
        <f>IF([3]Entry!$M$1520="","",[3]Entry!$M$1520)</f>
        <v/>
      </c>
      <c r="AL1517">
        <f>IF([3]Entry!$N$1520="","",[3]Entry!$N$1520)</f>
        <v/>
      </c>
      <c r="AM1517">
        <f>IF([3]Entry!$R$1520="","",[3]Entry!$R$1520)</f>
        <v/>
      </c>
    </row>
    <row r="1518">
      <c r="T1518">
        <f>IF([2]Baskol!$B$1521="","",[2]Baskol!$B$1521)</f>
        <v/>
      </c>
      <c r="U1518">
        <f>IF([2]Baskol!$C$1521="","",[2]Baskol!$C$1521)</f>
        <v/>
      </c>
      <c r="V1518">
        <f>IF([2]Baskol!$D$1521="","",[2]Baskol!$D$1521)</f>
        <v/>
      </c>
      <c r="W1518">
        <f>IF([2]Baskol!$E$1521="","",[2]Baskol!$E$1521)</f>
        <v/>
      </c>
      <c r="X1518">
        <f>IF([2]Baskol!$G$1521="","",[2]Baskol!$G$1521)</f>
        <v/>
      </c>
      <c r="Y1518">
        <f>IF([2]Baskol!$I$1521="","",[2]Baskol!$I$1521)</f>
        <v/>
      </c>
      <c r="Z1518">
        <f>IF([2]Baskol!$J$1521="","",[2]Baskol!$J$1521)</f>
        <v/>
      </c>
      <c r="AA1518">
        <f>IF([2]Baskol!$K$1521="","",[2]Baskol!$K$1521)</f>
        <v/>
      </c>
      <c r="AB1518">
        <f>IF([2]Baskol!$L$1521="","",[2]Baskol!$L$1521)</f>
        <v/>
      </c>
      <c r="AC1518">
        <f>IF([2]Baskol!$N$1521="","",[2]Baskol!$N$1521)</f>
        <v/>
      </c>
      <c r="AD1518">
        <f>IF([2]Baskol!$O$1521="","",[2]Baskol!$O$1521)</f>
        <v/>
      </c>
      <c r="AE1518">
        <f>IF([3]Entry!$C$1521="","",[3]Entry!$C$1521)</f>
        <v/>
      </c>
      <c r="AF1518">
        <f>IF([3]Entry!$D$1521="","",[3]Entry!$D$1521)</f>
        <v/>
      </c>
      <c r="AG1518">
        <f>IF([3]Entry!$E$1521="","",[3]Entry!$E$1521)</f>
        <v/>
      </c>
      <c r="AH1518">
        <f>IF([3]Entry!$G$1521="","",[3]Entry!$G$1521)</f>
        <v/>
      </c>
      <c r="AI1518">
        <f>IF([3]Entry!$K$1521="","",[3]Entry!$K$1521)</f>
        <v/>
      </c>
      <c r="AJ1518">
        <f>IF([3]Entry!$L$1521="","",[3]Entry!$L$1521)</f>
        <v/>
      </c>
      <c r="AK1518">
        <f>IF([3]Entry!$M$1521="","",[3]Entry!$M$1521)</f>
        <v/>
      </c>
      <c r="AL1518">
        <f>IF([3]Entry!$N$1521="","",[3]Entry!$N$1521)</f>
        <v/>
      </c>
      <c r="AM1518">
        <f>IF([3]Entry!$R$1521="","",[3]Entry!$R$1521)</f>
        <v/>
      </c>
    </row>
    <row r="1519">
      <c r="T1519">
        <f>IF([2]Baskol!$B$1522="","",[2]Baskol!$B$1522)</f>
        <v/>
      </c>
      <c r="U1519">
        <f>IF([2]Baskol!$C$1522="","",[2]Baskol!$C$1522)</f>
        <v/>
      </c>
      <c r="V1519">
        <f>IF([2]Baskol!$D$1522="","",[2]Baskol!$D$1522)</f>
        <v/>
      </c>
      <c r="W1519">
        <f>IF([2]Baskol!$E$1522="","",[2]Baskol!$E$1522)</f>
        <v/>
      </c>
      <c r="X1519">
        <f>IF([2]Baskol!$G$1522="","",[2]Baskol!$G$1522)</f>
        <v/>
      </c>
      <c r="Y1519">
        <f>IF([2]Baskol!$I$1522="","",[2]Baskol!$I$1522)</f>
        <v/>
      </c>
      <c r="Z1519">
        <f>IF([2]Baskol!$J$1522="","",[2]Baskol!$J$1522)</f>
        <v/>
      </c>
      <c r="AA1519">
        <f>IF([2]Baskol!$K$1522="","",[2]Baskol!$K$1522)</f>
        <v/>
      </c>
      <c r="AB1519">
        <f>IF([2]Baskol!$L$1522="","",[2]Baskol!$L$1522)</f>
        <v/>
      </c>
      <c r="AC1519">
        <f>IF([2]Baskol!$N$1522="","",[2]Baskol!$N$1522)</f>
        <v/>
      </c>
      <c r="AD1519">
        <f>IF([2]Baskol!$O$1522="","",[2]Baskol!$O$1522)</f>
        <v/>
      </c>
      <c r="AE1519">
        <f>IF([3]Entry!$C$1522="","",[3]Entry!$C$1522)</f>
        <v/>
      </c>
      <c r="AF1519">
        <f>IF([3]Entry!$D$1522="","",[3]Entry!$D$1522)</f>
        <v/>
      </c>
      <c r="AG1519">
        <f>IF([3]Entry!$E$1522="","",[3]Entry!$E$1522)</f>
        <v/>
      </c>
      <c r="AH1519">
        <f>IF([3]Entry!$G$1522="","",[3]Entry!$G$1522)</f>
        <v/>
      </c>
      <c r="AI1519">
        <f>IF([3]Entry!$K$1522="","",[3]Entry!$K$1522)</f>
        <v/>
      </c>
      <c r="AJ1519">
        <f>IF([3]Entry!$L$1522="","",[3]Entry!$L$1522)</f>
        <v/>
      </c>
      <c r="AK1519">
        <f>IF([3]Entry!$M$1522="","",[3]Entry!$M$1522)</f>
        <v/>
      </c>
      <c r="AL1519">
        <f>IF([3]Entry!$N$1522="","",[3]Entry!$N$1522)</f>
        <v/>
      </c>
      <c r="AM1519">
        <f>IF([3]Entry!$R$1522="","",[3]Entry!$R$1522)</f>
        <v/>
      </c>
    </row>
    <row r="1520">
      <c r="T1520">
        <f>IF([2]Baskol!$B$1523="","",[2]Baskol!$B$1523)</f>
        <v/>
      </c>
      <c r="U1520">
        <f>IF([2]Baskol!$C$1523="","",[2]Baskol!$C$1523)</f>
        <v/>
      </c>
      <c r="V1520">
        <f>IF([2]Baskol!$D$1523="","",[2]Baskol!$D$1523)</f>
        <v/>
      </c>
      <c r="W1520">
        <f>IF([2]Baskol!$E$1523="","",[2]Baskol!$E$1523)</f>
        <v/>
      </c>
      <c r="X1520">
        <f>IF([2]Baskol!$G$1523="","",[2]Baskol!$G$1523)</f>
        <v/>
      </c>
      <c r="Y1520">
        <f>IF([2]Baskol!$I$1523="","",[2]Baskol!$I$1523)</f>
        <v/>
      </c>
      <c r="Z1520">
        <f>IF([2]Baskol!$J$1523="","",[2]Baskol!$J$1523)</f>
        <v/>
      </c>
      <c r="AA1520">
        <f>IF([2]Baskol!$K$1523="","",[2]Baskol!$K$1523)</f>
        <v/>
      </c>
      <c r="AB1520">
        <f>IF([2]Baskol!$L$1523="","",[2]Baskol!$L$1523)</f>
        <v/>
      </c>
      <c r="AC1520">
        <f>IF([2]Baskol!$N$1523="","",[2]Baskol!$N$1523)</f>
        <v/>
      </c>
      <c r="AD1520">
        <f>IF([2]Baskol!$O$1523="","",[2]Baskol!$O$1523)</f>
        <v/>
      </c>
      <c r="AE1520">
        <f>IF([3]Entry!$C$1523="","",[3]Entry!$C$1523)</f>
        <v/>
      </c>
      <c r="AF1520">
        <f>IF([3]Entry!$D$1523="","",[3]Entry!$D$1523)</f>
        <v/>
      </c>
      <c r="AG1520">
        <f>IF([3]Entry!$E$1523="","",[3]Entry!$E$1523)</f>
        <v/>
      </c>
      <c r="AH1520">
        <f>IF([3]Entry!$G$1523="","",[3]Entry!$G$1523)</f>
        <v/>
      </c>
      <c r="AI1520">
        <f>IF([3]Entry!$K$1523="","",[3]Entry!$K$1523)</f>
        <v/>
      </c>
      <c r="AJ1520">
        <f>IF([3]Entry!$L$1523="","",[3]Entry!$L$1523)</f>
        <v/>
      </c>
      <c r="AK1520">
        <f>IF([3]Entry!$M$1523="","",[3]Entry!$M$1523)</f>
        <v/>
      </c>
      <c r="AL1520">
        <f>IF([3]Entry!$N$1523="","",[3]Entry!$N$1523)</f>
        <v/>
      </c>
      <c r="AM1520">
        <f>IF([3]Entry!$R$1523="","",[3]Entry!$R$1523)</f>
        <v/>
      </c>
    </row>
    <row r="1521">
      <c r="T1521">
        <f>IF([2]Baskol!$B$1524="","",[2]Baskol!$B$1524)</f>
        <v/>
      </c>
      <c r="U1521">
        <f>IF([2]Baskol!$C$1524="","",[2]Baskol!$C$1524)</f>
        <v/>
      </c>
      <c r="V1521">
        <f>IF([2]Baskol!$D$1524="","",[2]Baskol!$D$1524)</f>
        <v/>
      </c>
      <c r="W1521">
        <f>IF([2]Baskol!$E$1524="","",[2]Baskol!$E$1524)</f>
        <v/>
      </c>
      <c r="X1521">
        <f>IF([2]Baskol!$G$1524="","",[2]Baskol!$G$1524)</f>
        <v/>
      </c>
      <c r="Y1521">
        <f>IF([2]Baskol!$I$1524="","",[2]Baskol!$I$1524)</f>
        <v/>
      </c>
      <c r="Z1521">
        <f>IF([2]Baskol!$J$1524="","",[2]Baskol!$J$1524)</f>
        <v/>
      </c>
      <c r="AA1521">
        <f>IF([2]Baskol!$K$1524="","",[2]Baskol!$K$1524)</f>
        <v/>
      </c>
      <c r="AB1521">
        <f>IF([2]Baskol!$L$1524="","",[2]Baskol!$L$1524)</f>
        <v/>
      </c>
      <c r="AC1521">
        <f>IF([2]Baskol!$N$1524="","",[2]Baskol!$N$1524)</f>
        <v/>
      </c>
      <c r="AD1521">
        <f>IF([2]Baskol!$O$1524="","",[2]Baskol!$O$1524)</f>
        <v/>
      </c>
      <c r="AE1521">
        <f>IF([3]Entry!$C$1524="","",[3]Entry!$C$1524)</f>
        <v/>
      </c>
      <c r="AF1521">
        <f>IF([3]Entry!$D$1524="","",[3]Entry!$D$1524)</f>
        <v/>
      </c>
      <c r="AG1521">
        <f>IF([3]Entry!$E$1524="","",[3]Entry!$E$1524)</f>
        <v/>
      </c>
      <c r="AH1521">
        <f>IF([3]Entry!$G$1524="","",[3]Entry!$G$1524)</f>
        <v/>
      </c>
      <c r="AI1521">
        <f>IF([3]Entry!$K$1524="","",[3]Entry!$K$1524)</f>
        <v/>
      </c>
      <c r="AJ1521">
        <f>IF([3]Entry!$L$1524="","",[3]Entry!$L$1524)</f>
        <v/>
      </c>
      <c r="AK1521">
        <f>IF([3]Entry!$M$1524="","",[3]Entry!$M$1524)</f>
        <v/>
      </c>
      <c r="AL1521">
        <f>IF([3]Entry!$N$1524="","",[3]Entry!$N$1524)</f>
        <v/>
      </c>
      <c r="AM1521">
        <f>IF([3]Entry!$R$1524="","",[3]Entry!$R$1524)</f>
        <v/>
      </c>
    </row>
    <row r="1522">
      <c r="T1522">
        <f>IF([2]Baskol!$B$1525="","",[2]Baskol!$B$1525)</f>
        <v/>
      </c>
      <c r="U1522">
        <f>IF([2]Baskol!$C$1525="","",[2]Baskol!$C$1525)</f>
        <v/>
      </c>
      <c r="V1522">
        <f>IF([2]Baskol!$D$1525="","",[2]Baskol!$D$1525)</f>
        <v/>
      </c>
      <c r="W1522">
        <f>IF([2]Baskol!$E$1525="","",[2]Baskol!$E$1525)</f>
        <v/>
      </c>
      <c r="X1522">
        <f>IF([2]Baskol!$G$1525="","",[2]Baskol!$G$1525)</f>
        <v/>
      </c>
      <c r="Y1522">
        <f>IF([2]Baskol!$I$1525="","",[2]Baskol!$I$1525)</f>
        <v/>
      </c>
      <c r="Z1522">
        <f>IF([2]Baskol!$J$1525="","",[2]Baskol!$J$1525)</f>
        <v/>
      </c>
      <c r="AA1522">
        <f>IF([2]Baskol!$K$1525="","",[2]Baskol!$K$1525)</f>
        <v/>
      </c>
      <c r="AB1522">
        <f>IF([2]Baskol!$L$1525="","",[2]Baskol!$L$1525)</f>
        <v/>
      </c>
      <c r="AC1522">
        <f>IF([2]Baskol!$N$1525="","",[2]Baskol!$N$1525)</f>
        <v/>
      </c>
      <c r="AD1522">
        <f>IF([2]Baskol!$O$1525="","",[2]Baskol!$O$1525)</f>
        <v/>
      </c>
      <c r="AE1522">
        <f>IF([3]Entry!$C$1525="","",[3]Entry!$C$1525)</f>
        <v/>
      </c>
      <c r="AF1522">
        <f>IF([3]Entry!$D$1525="","",[3]Entry!$D$1525)</f>
        <v/>
      </c>
      <c r="AG1522">
        <f>IF([3]Entry!$E$1525="","",[3]Entry!$E$1525)</f>
        <v/>
      </c>
      <c r="AH1522">
        <f>IF([3]Entry!$G$1525="","",[3]Entry!$G$1525)</f>
        <v/>
      </c>
      <c r="AI1522">
        <f>IF([3]Entry!$K$1525="","",[3]Entry!$K$1525)</f>
        <v/>
      </c>
      <c r="AJ1522">
        <f>IF([3]Entry!$L$1525="","",[3]Entry!$L$1525)</f>
        <v/>
      </c>
      <c r="AK1522">
        <f>IF([3]Entry!$M$1525="","",[3]Entry!$M$1525)</f>
        <v/>
      </c>
      <c r="AL1522">
        <f>IF([3]Entry!$N$1525="","",[3]Entry!$N$1525)</f>
        <v/>
      </c>
      <c r="AM1522">
        <f>IF([3]Entry!$R$1525="","",[3]Entry!$R$1525)</f>
        <v/>
      </c>
    </row>
    <row r="1523">
      <c r="T1523">
        <f>IF([2]Baskol!$B$1526="","",[2]Baskol!$B$1526)</f>
        <v/>
      </c>
      <c r="U1523">
        <f>IF([2]Baskol!$C$1526="","",[2]Baskol!$C$1526)</f>
        <v/>
      </c>
      <c r="V1523">
        <f>IF([2]Baskol!$D$1526="","",[2]Baskol!$D$1526)</f>
        <v/>
      </c>
      <c r="W1523">
        <f>IF([2]Baskol!$E$1526="","",[2]Baskol!$E$1526)</f>
        <v/>
      </c>
      <c r="X1523">
        <f>IF([2]Baskol!$G$1526="","",[2]Baskol!$G$1526)</f>
        <v/>
      </c>
      <c r="Y1523">
        <f>IF([2]Baskol!$I$1526="","",[2]Baskol!$I$1526)</f>
        <v/>
      </c>
      <c r="Z1523">
        <f>IF([2]Baskol!$J$1526="","",[2]Baskol!$J$1526)</f>
        <v/>
      </c>
      <c r="AA1523">
        <f>IF([2]Baskol!$K$1526="","",[2]Baskol!$K$1526)</f>
        <v/>
      </c>
      <c r="AB1523">
        <f>IF([2]Baskol!$L$1526="","",[2]Baskol!$L$1526)</f>
        <v/>
      </c>
      <c r="AC1523">
        <f>IF([2]Baskol!$N$1526="","",[2]Baskol!$N$1526)</f>
        <v/>
      </c>
      <c r="AD1523">
        <f>IF([2]Baskol!$O$1526="","",[2]Baskol!$O$1526)</f>
        <v/>
      </c>
      <c r="AE1523">
        <f>IF([3]Entry!$C$1526="","",[3]Entry!$C$1526)</f>
        <v/>
      </c>
      <c r="AF1523">
        <f>IF([3]Entry!$D$1526="","",[3]Entry!$D$1526)</f>
        <v/>
      </c>
      <c r="AG1523">
        <f>IF([3]Entry!$E$1526="","",[3]Entry!$E$1526)</f>
        <v/>
      </c>
      <c r="AH1523">
        <f>IF([3]Entry!$G$1526="","",[3]Entry!$G$1526)</f>
        <v/>
      </c>
      <c r="AI1523">
        <f>IF([3]Entry!$K$1526="","",[3]Entry!$K$1526)</f>
        <v/>
      </c>
      <c r="AJ1523">
        <f>IF([3]Entry!$L$1526="","",[3]Entry!$L$1526)</f>
        <v/>
      </c>
      <c r="AK1523">
        <f>IF([3]Entry!$M$1526="","",[3]Entry!$M$1526)</f>
        <v/>
      </c>
      <c r="AL1523">
        <f>IF([3]Entry!$N$1526="","",[3]Entry!$N$1526)</f>
        <v/>
      </c>
      <c r="AM1523">
        <f>IF([3]Entry!$R$1526="","",[3]Entry!$R$1526)</f>
        <v/>
      </c>
    </row>
    <row r="1524">
      <c r="T1524">
        <f>IF([2]Baskol!$B$1527="","",[2]Baskol!$B$1527)</f>
        <v/>
      </c>
      <c r="U1524">
        <f>IF([2]Baskol!$C$1527="","",[2]Baskol!$C$1527)</f>
        <v/>
      </c>
      <c r="V1524">
        <f>IF([2]Baskol!$D$1527="","",[2]Baskol!$D$1527)</f>
        <v/>
      </c>
      <c r="W1524">
        <f>IF([2]Baskol!$E$1527="","",[2]Baskol!$E$1527)</f>
        <v/>
      </c>
      <c r="X1524">
        <f>IF([2]Baskol!$G$1527="","",[2]Baskol!$G$1527)</f>
        <v/>
      </c>
      <c r="Y1524">
        <f>IF([2]Baskol!$I$1527="","",[2]Baskol!$I$1527)</f>
        <v/>
      </c>
      <c r="Z1524">
        <f>IF([2]Baskol!$J$1527="","",[2]Baskol!$J$1527)</f>
        <v/>
      </c>
      <c r="AA1524">
        <f>IF([2]Baskol!$K$1527="","",[2]Baskol!$K$1527)</f>
        <v/>
      </c>
      <c r="AB1524">
        <f>IF([2]Baskol!$L$1527="","",[2]Baskol!$L$1527)</f>
        <v/>
      </c>
      <c r="AC1524">
        <f>IF([2]Baskol!$N$1527="","",[2]Baskol!$N$1527)</f>
        <v/>
      </c>
      <c r="AD1524">
        <f>IF([2]Baskol!$O$1527="","",[2]Baskol!$O$1527)</f>
        <v/>
      </c>
      <c r="AE1524">
        <f>IF([3]Entry!$C$1527="","",[3]Entry!$C$1527)</f>
        <v/>
      </c>
      <c r="AF1524">
        <f>IF([3]Entry!$D$1527="","",[3]Entry!$D$1527)</f>
        <v/>
      </c>
      <c r="AG1524">
        <f>IF([3]Entry!$E$1527="","",[3]Entry!$E$1527)</f>
        <v/>
      </c>
      <c r="AH1524">
        <f>IF([3]Entry!$G$1527="","",[3]Entry!$G$1527)</f>
        <v/>
      </c>
      <c r="AI1524">
        <f>IF([3]Entry!$K$1527="","",[3]Entry!$K$1527)</f>
        <v/>
      </c>
      <c r="AJ1524">
        <f>IF([3]Entry!$L$1527="","",[3]Entry!$L$1527)</f>
        <v/>
      </c>
      <c r="AK1524">
        <f>IF([3]Entry!$M$1527="","",[3]Entry!$M$1527)</f>
        <v/>
      </c>
      <c r="AL1524">
        <f>IF([3]Entry!$N$1527="","",[3]Entry!$N$1527)</f>
        <v/>
      </c>
      <c r="AM1524">
        <f>IF([3]Entry!$R$1527="","",[3]Entry!$R$1527)</f>
        <v/>
      </c>
    </row>
    <row r="1525">
      <c r="T1525">
        <f>IF([2]Baskol!$B$1528="","",[2]Baskol!$B$1528)</f>
        <v/>
      </c>
      <c r="U1525">
        <f>IF([2]Baskol!$C$1528="","",[2]Baskol!$C$1528)</f>
        <v/>
      </c>
      <c r="V1525">
        <f>IF([2]Baskol!$D$1528="","",[2]Baskol!$D$1528)</f>
        <v/>
      </c>
      <c r="W1525">
        <f>IF([2]Baskol!$E$1528="","",[2]Baskol!$E$1528)</f>
        <v/>
      </c>
      <c r="X1525">
        <f>IF([2]Baskol!$G$1528="","",[2]Baskol!$G$1528)</f>
        <v/>
      </c>
      <c r="Y1525">
        <f>IF([2]Baskol!$I$1528="","",[2]Baskol!$I$1528)</f>
        <v/>
      </c>
      <c r="Z1525">
        <f>IF([2]Baskol!$J$1528="","",[2]Baskol!$J$1528)</f>
        <v/>
      </c>
      <c r="AA1525">
        <f>IF([2]Baskol!$K$1528="","",[2]Baskol!$K$1528)</f>
        <v/>
      </c>
      <c r="AB1525">
        <f>IF([2]Baskol!$L$1528="","",[2]Baskol!$L$1528)</f>
        <v/>
      </c>
      <c r="AC1525">
        <f>IF([2]Baskol!$N$1528="","",[2]Baskol!$N$1528)</f>
        <v/>
      </c>
      <c r="AD1525">
        <f>IF([2]Baskol!$O$1528="","",[2]Baskol!$O$1528)</f>
        <v/>
      </c>
      <c r="AE1525">
        <f>IF([3]Entry!$C$1528="","",[3]Entry!$C$1528)</f>
        <v/>
      </c>
      <c r="AF1525">
        <f>IF([3]Entry!$D$1528="","",[3]Entry!$D$1528)</f>
        <v/>
      </c>
      <c r="AG1525">
        <f>IF([3]Entry!$E$1528="","",[3]Entry!$E$1528)</f>
        <v/>
      </c>
      <c r="AH1525">
        <f>IF([3]Entry!$G$1528="","",[3]Entry!$G$1528)</f>
        <v/>
      </c>
      <c r="AI1525">
        <f>IF([3]Entry!$K$1528="","",[3]Entry!$K$1528)</f>
        <v/>
      </c>
      <c r="AJ1525">
        <f>IF([3]Entry!$L$1528="","",[3]Entry!$L$1528)</f>
        <v/>
      </c>
      <c r="AK1525">
        <f>IF([3]Entry!$M$1528="","",[3]Entry!$M$1528)</f>
        <v/>
      </c>
      <c r="AL1525">
        <f>IF([3]Entry!$N$1528="","",[3]Entry!$N$1528)</f>
        <v/>
      </c>
      <c r="AM1525">
        <f>IF([3]Entry!$R$1528="","",[3]Entry!$R$1528)</f>
        <v/>
      </c>
    </row>
    <row r="1526">
      <c r="T1526">
        <f>IF([2]Baskol!$B$1529="","",[2]Baskol!$B$1529)</f>
        <v/>
      </c>
      <c r="U1526">
        <f>IF([2]Baskol!$C$1529="","",[2]Baskol!$C$1529)</f>
        <v/>
      </c>
      <c r="V1526">
        <f>IF([2]Baskol!$D$1529="","",[2]Baskol!$D$1529)</f>
        <v/>
      </c>
      <c r="W1526">
        <f>IF([2]Baskol!$E$1529="","",[2]Baskol!$E$1529)</f>
        <v/>
      </c>
      <c r="X1526">
        <f>IF([2]Baskol!$G$1529="","",[2]Baskol!$G$1529)</f>
        <v/>
      </c>
      <c r="Y1526">
        <f>IF([2]Baskol!$I$1529="","",[2]Baskol!$I$1529)</f>
        <v/>
      </c>
      <c r="Z1526">
        <f>IF([2]Baskol!$J$1529="","",[2]Baskol!$J$1529)</f>
        <v/>
      </c>
      <c r="AA1526">
        <f>IF([2]Baskol!$K$1529="","",[2]Baskol!$K$1529)</f>
        <v/>
      </c>
      <c r="AB1526">
        <f>IF([2]Baskol!$L$1529="","",[2]Baskol!$L$1529)</f>
        <v/>
      </c>
      <c r="AC1526">
        <f>IF([2]Baskol!$N$1529="","",[2]Baskol!$N$1529)</f>
        <v/>
      </c>
      <c r="AD1526">
        <f>IF([2]Baskol!$O$1529="","",[2]Baskol!$O$1529)</f>
        <v/>
      </c>
      <c r="AE1526">
        <f>IF([3]Entry!$C$1529="","",[3]Entry!$C$1529)</f>
        <v/>
      </c>
      <c r="AF1526">
        <f>IF([3]Entry!$D$1529="","",[3]Entry!$D$1529)</f>
        <v/>
      </c>
      <c r="AG1526">
        <f>IF([3]Entry!$E$1529="","",[3]Entry!$E$1529)</f>
        <v/>
      </c>
      <c r="AH1526">
        <f>IF([3]Entry!$G$1529="","",[3]Entry!$G$1529)</f>
        <v/>
      </c>
      <c r="AI1526">
        <f>IF([3]Entry!$K$1529="","",[3]Entry!$K$1529)</f>
        <v/>
      </c>
      <c r="AJ1526">
        <f>IF([3]Entry!$L$1529="","",[3]Entry!$L$1529)</f>
        <v/>
      </c>
      <c r="AK1526">
        <f>IF([3]Entry!$M$1529="","",[3]Entry!$M$1529)</f>
        <v/>
      </c>
      <c r="AL1526">
        <f>IF([3]Entry!$N$1529="","",[3]Entry!$N$1529)</f>
        <v/>
      </c>
      <c r="AM1526">
        <f>IF([3]Entry!$R$1529="","",[3]Entry!$R$1529)</f>
        <v/>
      </c>
    </row>
    <row r="1527">
      <c r="T1527">
        <f>IF([2]Baskol!$B$1530="","",[2]Baskol!$B$1530)</f>
        <v/>
      </c>
      <c r="U1527">
        <f>IF([2]Baskol!$C$1530="","",[2]Baskol!$C$1530)</f>
        <v/>
      </c>
      <c r="V1527">
        <f>IF([2]Baskol!$D$1530="","",[2]Baskol!$D$1530)</f>
        <v/>
      </c>
      <c r="W1527">
        <f>IF([2]Baskol!$E$1530="","",[2]Baskol!$E$1530)</f>
        <v/>
      </c>
      <c r="X1527">
        <f>IF([2]Baskol!$G$1530="","",[2]Baskol!$G$1530)</f>
        <v/>
      </c>
      <c r="Y1527">
        <f>IF([2]Baskol!$I$1530="","",[2]Baskol!$I$1530)</f>
        <v/>
      </c>
      <c r="Z1527">
        <f>IF([2]Baskol!$J$1530="","",[2]Baskol!$J$1530)</f>
        <v/>
      </c>
      <c r="AA1527">
        <f>IF([2]Baskol!$K$1530="","",[2]Baskol!$K$1530)</f>
        <v/>
      </c>
      <c r="AB1527">
        <f>IF([2]Baskol!$L$1530="","",[2]Baskol!$L$1530)</f>
        <v/>
      </c>
      <c r="AC1527">
        <f>IF([2]Baskol!$N$1530="","",[2]Baskol!$N$1530)</f>
        <v/>
      </c>
      <c r="AD1527">
        <f>IF([2]Baskol!$O$1530="","",[2]Baskol!$O$1530)</f>
        <v/>
      </c>
      <c r="AE1527">
        <f>IF([3]Entry!$C$1530="","",[3]Entry!$C$1530)</f>
        <v/>
      </c>
      <c r="AF1527">
        <f>IF([3]Entry!$D$1530="","",[3]Entry!$D$1530)</f>
        <v/>
      </c>
      <c r="AG1527">
        <f>IF([3]Entry!$E$1530="","",[3]Entry!$E$1530)</f>
        <v/>
      </c>
      <c r="AH1527">
        <f>IF([3]Entry!$G$1530="","",[3]Entry!$G$1530)</f>
        <v/>
      </c>
      <c r="AI1527">
        <f>IF([3]Entry!$K$1530="","",[3]Entry!$K$1530)</f>
        <v/>
      </c>
      <c r="AJ1527">
        <f>IF([3]Entry!$L$1530="","",[3]Entry!$L$1530)</f>
        <v/>
      </c>
      <c r="AK1527">
        <f>IF([3]Entry!$M$1530="","",[3]Entry!$M$1530)</f>
        <v/>
      </c>
      <c r="AL1527">
        <f>IF([3]Entry!$N$1530="","",[3]Entry!$N$1530)</f>
        <v/>
      </c>
      <c r="AM1527">
        <f>IF([3]Entry!$R$1530="","",[3]Entry!$R$1530)</f>
        <v/>
      </c>
    </row>
    <row r="1528">
      <c r="T1528">
        <f>IF([2]Baskol!$B$1531="","",[2]Baskol!$B$1531)</f>
        <v/>
      </c>
      <c r="U1528">
        <f>IF([2]Baskol!$C$1531="","",[2]Baskol!$C$1531)</f>
        <v/>
      </c>
      <c r="V1528">
        <f>IF([2]Baskol!$D$1531="","",[2]Baskol!$D$1531)</f>
        <v/>
      </c>
      <c r="W1528">
        <f>IF([2]Baskol!$E$1531="","",[2]Baskol!$E$1531)</f>
        <v/>
      </c>
      <c r="X1528">
        <f>IF([2]Baskol!$G$1531="","",[2]Baskol!$G$1531)</f>
        <v/>
      </c>
      <c r="Y1528">
        <f>IF([2]Baskol!$I$1531="","",[2]Baskol!$I$1531)</f>
        <v/>
      </c>
      <c r="Z1528">
        <f>IF([2]Baskol!$J$1531="","",[2]Baskol!$J$1531)</f>
        <v/>
      </c>
      <c r="AA1528">
        <f>IF([2]Baskol!$K$1531="","",[2]Baskol!$K$1531)</f>
        <v/>
      </c>
      <c r="AB1528">
        <f>IF([2]Baskol!$L$1531="","",[2]Baskol!$L$1531)</f>
        <v/>
      </c>
      <c r="AC1528">
        <f>IF([2]Baskol!$N$1531="","",[2]Baskol!$N$1531)</f>
        <v/>
      </c>
      <c r="AD1528">
        <f>IF([2]Baskol!$O$1531="","",[2]Baskol!$O$1531)</f>
        <v/>
      </c>
      <c r="AE1528">
        <f>IF([3]Entry!$C$1531="","",[3]Entry!$C$1531)</f>
        <v/>
      </c>
      <c r="AF1528">
        <f>IF([3]Entry!$D$1531="","",[3]Entry!$D$1531)</f>
        <v/>
      </c>
      <c r="AG1528">
        <f>IF([3]Entry!$E$1531="","",[3]Entry!$E$1531)</f>
        <v/>
      </c>
      <c r="AH1528">
        <f>IF([3]Entry!$G$1531="","",[3]Entry!$G$1531)</f>
        <v/>
      </c>
      <c r="AI1528">
        <f>IF([3]Entry!$K$1531="","",[3]Entry!$K$1531)</f>
        <v/>
      </c>
      <c r="AJ1528">
        <f>IF([3]Entry!$L$1531="","",[3]Entry!$L$1531)</f>
        <v/>
      </c>
      <c r="AK1528">
        <f>IF([3]Entry!$M$1531="","",[3]Entry!$M$1531)</f>
        <v/>
      </c>
      <c r="AL1528">
        <f>IF([3]Entry!$N$1531="","",[3]Entry!$N$1531)</f>
        <v/>
      </c>
      <c r="AM1528">
        <f>IF([3]Entry!$R$1531="","",[3]Entry!$R$1531)</f>
        <v/>
      </c>
    </row>
    <row r="1529">
      <c r="T1529">
        <f>IF([2]Baskol!$B$1532="","",[2]Baskol!$B$1532)</f>
        <v/>
      </c>
      <c r="U1529">
        <f>IF([2]Baskol!$C$1532="","",[2]Baskol!$C$1532)</f>
        <v/>
      </c>
      <c r="V1529">
        <f>IF([2]Baskol!$D$1532="","",[2]Baskol!$D$1532)</f>
        <v/>
      </c>
      <c r="W1529">
        <f>IF([2]Baskol!$E$1532="","",[2]Baskol!$E$1532)</f>
        <v/>
      </c>
      <c r="X1529">
        <f>IF([2]Baskol!$G$1532="","",[2]Baskol!$G$1532)</f>
        <v/>
      </c>
      <c r="Y1529">
        <f>IF([2]Baskol!$I$1532="","",[2]Baskol!$I$1532)</f>
        <v/>
      </c>
      <c r="Z1529">
        <f>IF([2]Baskol!$J$1532="","",[2]Baskol!$J$1532)</f>
        <v/>
      </c>
      <c r="AA1529">
        <f>IF([2]Baskol!$K$1532="","",[2]Baskol!$K$1532)</f>
        <v/>
      </c>
      <c r="AB1529">
        <f>IF([2]Baskol!$L$1532="","",[2]Baskol!$L$1532)</f>
        <v/>
      </c>
      <c r="AC1529">
        <f>IF([2]Baskol!$N$1532="","",[2]Baskol!$N$1532)</f>
        <v/>
      </c>
      <c r="AD1529">
        <f>IF([2]Baskol!$O$1532="","",[2]Baskol!$O$1532)</f>
        <v/>
      </c>
      <c r="AE1529">
        <f>IF([3]Entry!$C$1532="","",[3]Entry!$C$1532)</f>
        <v/>
      </c>
      <c r="AF1529">
        <f>IF([3]Entry!$D$1532="","",[3]Entry!$D$1532)</f>
        <v/>
      </c>
      <c r="AG1529">
        <f>IF([3]Entry!$E$1532="","",[3]Entry!$E$1532)</f>
        <v/>
      </c>
      <c r="AH1529">
        <f>IF([3]Entry!$G$1532="","",[3]Entry!$G$1532)</f>
        <v/>
      </c>
      <c r="AI1529">
        <f>IF([3]Entry!$K$1532="","",[3]Entry!$K$1532)</f>
        <v/>
      </c>
      <c r="AJ1529">
        <f>IF([3]Entry!$L$1532="","",[3]Entry!$L$1532)</f>
        <v/>
      </c>
      <c r="AK1529">
        <f>IF([3]Entry!$M$1532="","",[3]Entry!$M$1532)</f>
        <v/>
      </c>
      <c r="AL1529">
        <f>IF([3]Entry!$N$1532="","",[3]Entry!$N$1532)</f>
        <v/>
      </c>
      <c r="AM1529">
        <f>IF([3]Entry!$R$1532="","",[3]Entry!$R$1532)</f>
        <v/>
      </c>
    </row>
    <row r="1530">
      <c r="T1530">
        <f>IF([2]Baskol!$B$1533="","",[2]Baskol!$B$1533)</f>
        <v/>
      </c>
      <c r="U1530">
        <f>IF([2]Baskol!$C$1533="","",[2]Baskol!$C$1533)</f>
        <v/>
      </c>
      <c r="V1530">
        <f>IF([2]Baskol!$D$1533="","",[2]Baskol!$D$1533)</f>
        <v/>
      </c>
      <c r="W1530">
        <f>IF([2]Baskol!$E$1533="","",[2]Baskol!$E$1533)</f>
        <v/>
      </c>
      <c r="X1530">
        <f>IF([2]Baskol!$G$1533="","",[2]Baskol!$G$1533)</f>
        <v/>
      </c>
      <c r="Y1530">
        <f>IF([2]Baskol!$I$1533="","",[2]Baskol!$I$1533)</f>
        <v/>
      </c>
      <c r="Z1530">
        <f>IF([2]Baskol!$J$1533="","",[2]Baskol!$J$1533)</f>
        <v/>
      </c>
      <c r="AA1530">
        <f>IF([2]Baskol!$K$1533="","",[2]Baskol!$K$1533)</f>
        <v/>
      </c>
      <c r="AB1530">
        <f>IF([2]Baskol!$L$1533="","",[2]Baskol!$L$1533)</f>
        <v/>
      </c>
      <c r="AC1530">
        <f>IF([2]Baskol!$N$1533="","",[2]Baskol!$N$1533)</f>
        <v/>
      </c>
      <c r="AD1530">
        <f>IF([2]Baskol!$O$1533="","",[2]Baskol!$O$1533)</f>
        <v/>
      </c>
      <c r="AE1530">
        <f>IF([3]Entry!$C$1533="","",[3]Entry!$C$1533)</f>
        <v/>
      </c>
      <c r="AF1530">
        <f>IF([3]Entry!$D$1533="","",[3]Entry!$D$1533)</f>
        <v/>
      </c>
      <c r="AG1530">
        <f>IF([3]Entry!$E$1533="","",[3]Entry!$E$1533)</f>
        <v/>
      </c>
      <c r="AH1530">
        <f>IF([3]Entry!$G$1533="","",[3]Entry!$G$1533)</f>
        <v/>
      </c>
      <c r="AI1530">
        <f>IF([3]Entry!$K$1533="","",[3]Entry!$K$1533)</f>
        <v/>
      </c>
      <c r="AJ1530">
        <f>IF([3]Entry!$L$1533="","",[3]Entry!$L$1533)</f>
        <v/>
      </c>
      <c r="AK1530">
        <f>IF([3]Entry!$M$1533="","",[3]Entry!$M$1533)</f>
        <v/>
      </c>
      <c r="AL1530">
        <f>IF([3]Entry!$N$1533="","",[3]Entry!$N$1533)</f>
        <v/>
      </c>
      <c r="AM1530">
        <f>IF([3]Entry!$R$1533="","",[3]Entry!$R$1533)</f>
        <v/>
      </c>
    </row>
    <row r="1531">
      <c r="T1531">
        <f>IF([2]Baskol!$B$1534="","",[2]Baskol!$B$1534)</f>
        <v/>
      </c>
      <c r="U1531">
        <f>IF([2]Baskol!$C$1534="","",[2]Baskol!$C$1534)</f>
        <v/>
      </c>
      <c r="V1531">
        <f>IF([2]Baskol!$D$1534="","",[2]Baskol!$D$1534)</f>
        <v/>
      </c>
      <c r="W1531">
        <f>IF([2]Baskol!$E$1534="","",[2]Baskol!$E$1534)</f>
        <v/>
      </c>
      <c r="X1531">
        <f>IF([2]Baskol!$G$1534="","",[2]Baskol!$G$1534)</f>
        <v/>
      </c>
      <c r="Y1531">
        <f>IF([2]Baskol!$I$1534="","",[2]Baskol!$I$1534)</f>
        <v/>
      </c>
      <c r="Z1531">
        <f>IF([2]Baskol!$J$1534="","",[2]Baskol!$J$1534)</f>
        <v/>
      </c>
      <c r="AA1531">
        <f>IF([2]Baskol!$K$1534="","",[2]Baskol!$K$1534)</f>
        <v/>
      </c>
      <c r="AB1531">
        <f>IF([2]Baskol!$L$1534="","",[2]Baskol!$L$1534)</f>
        <v/>
      </c>
      <c r="AC1531">
        <f>IF([2]Baskol!$N$1534="","",[2]Baskol!$N$1534)</f>
        <v/>
      </c>
      <c r="AD1531">
        <f>IF([2]Baskol!$O$1534="","",[2]Baskol!$O$1534)</f>
        <v/>
      </c>
      <c r="AE1531">
        <f>IF([3]Entry!$C$1534="","",[3]Entry!$C$1534)</f>
        <v/>
      </c>
      <c r="AF1531">
        <f>IF([3]Entry!$D$1534="","",[3]Entry!$D$1534)</f>
        <v/>
      </c>
      <c r="AG1531">
        <f>IF([3]Entry!$E$1534="","",[3]Entry!$E$1534)</f>
        <v/>
      </c>
      <c r="AH1531">
        <f>IF([3]Entry!$G$1534="","",[3]Entry!$G$1534)</f>
        <v/>
      </c>
      <c r="AI1531">
        <f>IF([3]Entry!$K$1534="","",[3]Entry!$K$1534)</f>
        <v/>
      </c>
      <c r="AJ1531">
        <f>IF([3]Entry!$L$1534="","",[3]Entry!$L$1534)</f>
        <v/>
      </c>
      <c r="AK1531">
        <f>IF([3]Entry!$M$1534="","",[3]Entry!$M$1534)</f>
        <v/>
      </c>
      <c r="AL1531">
        <f>IF([3]Entry!$N$1534="","",[3]Entry!$N$1534)</f>
        <v/>
      </c>
      <c r="AM1531">
        <f>IF([3]Entry!$R$1534="","",[3]Entry!$R$1534)</f>
        <v/>
      </c>
    </row>
    <row r="1532">
      <c r="T1532">
        <f>IF([2]Baskol!$B$1535="","",[2]Baskol!$B$1535)</f>
        <v/>
      </c>
      <c r="U1532">
        <f>IF([2]Baskol!$C$1535="","",[2]Baskol!$C$1535)</f>
        <v/>
      </c>
      <c r="V1532">
        <f>IF([2]Baskol!$D$1535="","",[2]Baskol!$D$1535)</f>
        <v/>
      </c>
      <c r="W1532">
        <f>IF([2]Baskol!$E$1535="","",[2]Baskol!$E$1535)</f>
        <v/>
      </c>
      <c r="X1532">
        <f>IF([2]Baskol!$G$1535="","",[2]Baskol!$G$1535)</f>
        <v/>
      </c>
      <c r="Y1532">
        <f>IF([2]Baskol!$I$1535="","",[2]Baskol!$I$1535)</f>
        <v/>
      </c>
      <c r="Z1532">
        <f>IF([2]Baskol!$J$1535="","",[2]Baskol!$J$1535)</f>
        <v/>
      </c>
      <c r="AA1532">
        <f>IF([2]Baskol!$K$1535="","",[2]Baskol!$K$1535)</f>
        <v/>
      </c>
      <c r="AB1532">
        <f>IF([2]Baskol!$L$1535="","",[2]Baskol!$L$1535)</f>
        <v/>
      </c>
      <c r="AC1532">
        <f>IF([2]Baskol!$N$1535="","",[2]Baskol!$N$1535)</f>
        <v/>
      </c>
      <c r="AD1532">
        <f>IF([2]Baskol!$O$1535="","",[2]Baskol!$O$1535)</f>
        <v/>
      </c>
      <c r="AE1532">
        <f>IF([3]Entry!$C$1535="","",[3]Entry!$C$1535)</f>
        <v/>
      </c>
      <c r="AF1532">
        <f>IF([3]Entry!$D$1535="","",[3]Entry!$D$1535)</f>
        <v/>
      </c>
      <c r="AG1532">
        <f>IF([3]Entry!$E$1535="","",[3]Entry!$E$1535)</f>
        <v/>
      </c>
      <c r="AH1532">
        <f>IF([3]Entry!$G$1535="","",[3]Entry!$G$1535)</f>
        <v/>
      </c>
      <c r="AI1532">
        <f>IF([3]Entry!$K$1535="","",[3]Entry!$K$1535)</f>
        <v/>
      </c>
      <c r="AJ1532">
        <f>IF([3]Entry!$L$1535="","",[3]Entry!$L$1535)</f>
        <v/>
      </c>
      <c r="AK1532">
        <f>IF([3]Entry!$M$1535="","",[3]Entry!$M$1535)</f>
        <v/>
      </c>
      <c r="AL1532">
        <f>IF([3]Entry!$N$1535="","",[3]Entry!$N$1535)</f>
        <v/>
      </c>
      <c r="AM1532">
        <f>IF([3]Entry!$R$1535="","",[3]Entry!$R$1535)</f>
        <v/>
      </c>
    </row>
    <row r="1533">
      <c r="T1533">
        <f>IF([2]Baskol!$B$1536="","",[2]Baskol!$B$1536)</f>
        <v/>
      </c>
      <c r="U1533">
        <f>IF([2]Baskol!$C$1536="","",[2]Baskol!$C$1536)</f>
        <v/>
      </c>
      <c r="V1533">
        <f>IF([2]Baskol!$D$1536="","",[2]Baskol!$D$1536)</f>
        <v/>
      </c>
      <c r="W1533">
        <f>IF([2]Baskol!$E$1536="","",[2]Baskol!$E$1536)</f>
        <v/>
      </c>
      <c r="X1533">
        <f>IF([2]Baskol!$G$1536="","",[2]Baskol!$G$1536)</f>
        <v/>
      </c>
      <c r="Y1533">
        <f>IF([2]Baskol!$I$1536="","",[2]Baskol!$I$1536)</f>
        <v/>
      </c>
      <c r="Z1533">
        <f>IF([2]Baskol!$J$1536="","",[2]Baskol!$J$1536)</f>
        <v/>
      </c>
      <c r="AA1533">
        <f>IF([2]Baskol!$K$1536="","",[2]Baskol!$K$1536)</f>
        <v/>
      </c>
      <c r="AB1533">
        <f>IF([2]Baskol!$L$1536="","",[2]Baskol!$L$1536)</f>
        <v/>
      </c>
      <c r="AC1533">
        <f>IF([2]Baskol!$N$1536="","",[2]Baskol!$N$1536)</f>
        <v/>
      </c>
      <c r="AD1533">
        <f>IF([2]Baskol!$O$1536="","",[2]Baskol!$O$1536)</f>
        <v/>
      </c>
      <c r="AE1533">
        <f>IF([3]Entry!$C$1536="","",[3]Entry!$C$1536)</f>
        <v/>
      </c>
      <c r="AF1533">
        <f>IF([3]Entry!$D$1536="","",[3]Entry!$D$1536)</f>
        <v/>
      </c>
      <c r="AG1533">
        <f>IF([3]Entry!$E$1536="","",[3]Entry!$E$1536)</f>
        <v/>
      </c>
      <c r="AH1533">
        <f>IF([3]Entry!$G$1536="","",[3]Entry!$G$1536)</f>
        <v/>
      </c>
      <c r="AI1533">
        <f>IF([3]Entry!$K$1536="","",[3]Entry!$K$1536)</f>
        <v/>
      </c>
      <c r="AJ1533">
        <f>IF([3]Entry!$L$1536="","",[3]Entry!$L$1536)</f>
        <v/>
      </c>
      <c r="AK1533">
        <f>IF([3]Entry!$M$1536="","",[3]Entry!$M$1536)</f>
        <v/>
      </c>
      <c r="AL1533">
        <f>IF([3]Entry!$N$1536="","",[3]Entry!$N$1536)</f>
        <v/>
      </c>
      <c r="AM1533">
        <f>IF([3]Entry!$R$1536="","",[3]Entry!$R$1536)</f>
        <v/>
      </c>
    </row>
    <row r="1534">
      <c r="T1534">
        <f>IF([2]Baskol!$B$1537="","",[2]Baskol!$B$1537)</f>
        <v/>
      </c>
      <c r="U1534">
        <f>IF([2]Baskol!$C$1537="","",[2]Baskol!$C$1537)</f>
        <v/>
      </c>
      <c r="V1534">
        <f>IF([2]Baskol!$D$1537="","",[2]Baskol!$D$1537)</f>
        <v/>
      </c>
      <c r="W1534">
        <f>IF([2]Baskol!$E$1537="","",[2]Baskol!$E$1537)</f>
        <v/>
      </c>
      <c r="X1534">
        <f>IF([2]Baskol!$G$1537="","",[2]Baskol!$G$1537)</f>
        <v/>
      </c>
      <c r="Y1534">
        <f>IF([2]Baskol!$I$1537="","",[2]Baskol!$I$1537)</f>
        <v/>
      </c>
      <c r="Z1534">
        <f>IF([2]Baskol!$J$1537="","",[2]Baskol!$J$1537)</f>
        <v/>
      </c>
      <c r="AA1534">
        <f>IF([2]Baskol!$K$1537="","",[2]Baskol!$K$1537)</f>
        <v/>
      </c>
      <c r="AB1534">
        <f>IF([2]Baskol!$L$1537="","",[2]Baskol!$L$1537)</f>
        <v/>
      </c>
      <c r="AC1534">
        <f>IF([2]Baskol!$N$1537="","",[2]Baskol!$N$1537)</f>
        <v/>
      </c>
      <c r="AD1534">
        <f>IF([2]Baskol!$O$1537="","",[2]Baskol!$O$1537)</f>
        <v/>
      </c>
      <c r="AE1534">
        <f>IF([3]Entry!$C$1537="","",[3]Entry!$C$1537)</f>
        <v/>
      </c>
      <c r="AF1534">
        <f>IF([3]Entry!$D$1537="","",[3]Entry!$D$1537)</f>
        <v/>
      </c>
      <c r="AG1534">
        <f>IF([3]Entry!$E$1537="","",[3]Entry!$E$1537)</f>
        <v/>
      </c>
      <c r="AH1534">
        <f>IF([3]Entry!$G$1537="","",[3]Entry!$G$1537)</f>
        <v/>
      </c>
      <c r="AI1534">
        <f>IF([3]Entry!$K$1537="","",[3]Entry!$K$1537)</f>
        <v/>
      </c>
      <c r="AJ1534">
        <f>IF([3]Entry!$L$1537="","",[3]Entry!$L$1537)</f>
        <v/>
      </c>
      <c r="AK1534">
        <f>IF([3]Entry!$M$1537="","",[3]Entry!$M$1537)</f>
        <v/>
      </c>
      <c r="AL1534">
        <f>IF([3]Entry!$N$1537="","",[3]Entry!$N$1537)</f>
        <v/>
      </c>
      <c r="AM1534">
        <f>IF([3]Entry!$R$1537="","",[3]Entry!$R$1537)</f>
        <v/>
      </c>
    </row>
    <row r="1535">
      <c r="T1535">
        <f>IF([2]Baskol!$B$1538="","",[2]Baskol!$B$1538)</f>
        <v/>
      </c>
      <c r="U1535">
        <f>IF([2]Baskol!$C$1538="","",[2]Baskol!$C$1538)</f>
        <v/>
      </c>
      <c r="V1535">
        <f>IF([2]Baskol!$D$1538="","",[2]Baskol!$D$1538)</f>
        <v/>
      </c>
      <c r="W1535">
        <f>IF([2]Baskol!$E$1538="","",[2]Baskol!$E$1538)</f>
        <v/>
      </c>
      <c r="X1535">
        <f>IF([2]Baskol!$G$1538="","",[2]Baskol!$G$1538)</f>
        <v/>
      </c>
      <c r="Y1535">
        <f>IF([2]Baskol!$I$1538="","",[2]Baskol!$I$1538)</f>
        <v/>
      </c>
      <c r="Z1535">
        <f>IF([2]Baskol!$J$1538="","",[2]Baskol!$J$1538)</f>
        <v/>
      </c>
      <c r="AA1535">
        <f>IF([2]Baskol!$K$1538="","",[2]Baskol!$K$1538)</f>
        <v/>
      </c>
      <c r="AB1535">
        <f>IF([2]Baskol!$L$1538="","",[2]Baskol!$L$1538)</f>
        <v/>
      </c>
      <c r="AC1535">
        <f>IF([2]Baskol!$N$1538="","",[2]Baskol!$N$1538)</f>
        <v/>
      </c>
      <c r="AD1535">
        <f>IF([2]Baskol!$O$1538="","",[2]Baskol!$O$1538)</f>
        <v/>
      </c>
      <c r="AE1535">
        <f>IF([3]Entry!$C$1538="","",[3]Entry!$C$1538)</f>
        <v/>
      </c>
      <c r="AF1535">
        <f>IF([3]Entry!$D$1538="","",[3]Entry!$D$1538)</f>
        <v/>
      </c>
      <c r="AG1535">
        <f>IF([3]Entry!$E$1538="","",[3]Entry!$E$1538)</f>
        <v/>
      </c>
      <c r="AH1535">
        <f>IF([3]Entry!$G$1538="","",[3]Entry!$G$1538)</f>
        <v/>
      </c>
      <c r="AI1535">
        <f>IF([3]Entry!$K$1538="","",[3]Entry!$K$1538)</f>
        <v/>
      </c>
      <c r="AJ1535">
        <f>IF([3]Entry!$L$1538="","",[3]Entry!$L$1538)</f>
        <v/>
      </c>
      <c r="AK1535">
        <f>IF([3]Entry!$M$1538="","",[3]Entry!$M$1538)</f>
        <v/>
      </c>
      <c r="AL1535">
        <f>IF([3]Entry!$N$1538="","",[3]Entry!$N$1538)</f>
        <v/>
      </c>
      <c r="AM1535">
        <f>IF([3]Entry!$R$1538="","",[3]Entry!$R$1538)</f>
        <v/>
      </c>
    </row>
    <row r="1536">
      <c r="T1536">
        <f>IF([2]Baskol!$B$1539="","",[2]Baskol!$B$1539)</f>
        <v/>
      </c>
      <c r="U1536">
        <f>IF([2]Baskol!$C$1539="","",[2]Baskol!$C$1539)</f>
        <v/>
      </c>
      <c r="V1536">
        <f>IF([2]Baskol!$D$1539="","",[2]Baskol!$D$1539)</f>
        <v/>
      </c>
      <c r="W1536">
        <f>IF([2]Baskol!$E$1539="","",[2]Baskol!$E$1539)</f>
        <v/>
      </c>
      <c r="X1536">
        <f>IF([2]Baskol!$G$1539="","",[2]Baskol!$G$1539)</f>
        <v/>
      </c>
      <c r="Y1536">
        <f>IF([2]Baskol!$I$1539="","",[2]Baskol!$I$1539)</f>
        <v/>
      </c>
      <c r="Z1536">
        <f>IF([2]Baskol!$J$1539="","",[2]Baskol!$J$1539)</f>
        <v/>
      </c>
      <c r="AA1536">
        <f>IF([2]Baskol!$K$1539="","",[2]Baskol!$K$1539)</f>
        <v/>
      </c>
      <c r="AB1536">
        <f>IF([2]Baskol!$L$1539="","",[2]Baskol!$L$1539)</f>
        <v/>
      </c>
      <c r="AC1536">
        <f>IF([2]Baskol!$N$1539="","",[2]Baskol!$N$1539)</f>
        <v/>
      </c>
      <c r="AD1536">
        <f>IF([2]Baskol!$O$1539="","",[2]Baskol!$O$1539)</f>
        <v/>
      </c>
      <c r="AE1536">
        <f>IF([3]Entry!$C$1539="","",[3]Entry!$C$1539)</f>
        <v/>
      </c>
      <c r="AF1536">
        <f>IF([3]Entry!$D$1539="","",[3]Entry!$D$1539)</f>
        <v/>
      </c>
      <c r="AG1536">
        <f>IF([3]Entry!$E$1539="","",[3]Entry!$E$1539)</f>
        <v/>
      </c>
      <c r="AH1536">
        <f>IF([3]Entry!$G$1539="","",[3]Entry!$G$1539)</f>
        <v/>
      </c>
      <c r="AI1536">
        <f>IF([3]Entry!$K$1539="","",[3]Entry!$K$1539)</f>
        <v/>
      </c>
      <c r="AJ1536">
        <f>IF([3]Entry!$L$1539="","",[3]Entry!$L$1539)</f>
        <v/>
      </c>
      <c r="AK1536">
        <f>IF([3]Entry!$M$1539="","",[3]Entry!$M$1539)</f>
        <v/>
      </c>
      <c r="AL1536">
        <f>IF([3]Entry!$N$1539="","",[3]Entry!$N$1539)</f>
        <v/>
      </c>
      <c r="AM1536">
        <f>IF([3]Entry!$R$1539="","",[3]Entry!$R$1539)</f>
        <v/>
      </c>
    </row>
    <row r="1537">
      <c r="T1537">
        <f>IF([2]Baskol!$B$1540="","",[2]Baskol!$B$1540)</f>
        <v/>
      </c>
      <c r="U1537">
        <f>IF([2]Baskol!$C$1540="","",[2]Baskol!$C$1540)</f>
        <v/>
      </c>
      <c r="V1537">
        <f>IF([2]Baskol!$D$1540="","",[2]Baskol!$D$1540)</f>
        <v/>
      </c>
      <c r="W1537">
        <f>IF([2]Baskol!$E$1540="","",[2]Baskol!$E$1540)</f>
        <v/>
      </c>
      <c r="X1537">
        <f>IF([2]Baskol!$G$1540="","",[2]Baskol!$G$1540)</f>
        <v/>
      </c>
      <c r="Y1537">
        <f>IF([2]Baskol!$I$1540="","",[2]Baskol!$I$1540)</f>
        <v/>
      </c>
      <c r="Z1537">
        <f>IF([2]Baskol!$J$1540="","",[2]Baskol!$J$1540)</f>
        <v/>
      </c>
      <c r="AA1537">
        <f>IF([2]Baskol!$K$1540="","",[2]Baskol!$K$1540)</f>
        <v/>
      </c>
      <c r="AB1537">
        <f>IF([2]Baskol!$L$1540="","",[2]Baskol!$L$1540)</f>
        <v/>
      </c>
      <c r="AC1537">
        <f>IF([2]Baskol!$N$1540="","",[2]Baskol!$N$1540)</f>
        <v/>
      </c>
      <c r="AD1537">
        <f>IF([2]Baskol!$O$1540="","",[2]Baskol!$O$1540)</f>
        <v/>
      </c>
      <c r="AE1537">
        <f>IF([3]Entry!$C$1540="","",[3]Entry!$C$1540)</f>
        <v/>
      </c>
      <c r="AF1537">
        <f>IF([3]Entry!$D$1540="","",[3]Entry!$D$1540)</f>
        <v/>
      </c>
      <c r="AG1537">
        <f>IF([3]Entry!$E$1540="","",[3]Entry!$E$1540)</f>
        <v/>
      </c>
      <c r="AH1537">
        <f>IF([3]Entry!$G$1540="","",[3]Entry!$G$1540)</f>
        <v/>
      </c>
      <c r="AI1537">
        <f>IF([3]Entry!$K$1540="","",[3]Entry!$K$1540)</f>
        <v/>
      </c>
      <c r="AJ1537">
        <f>IF([3]Entry!$L$1540="","",[3]Entry!$L$1540)</f>
        <v/>
      </c>
      <c r="AK1537">
        <f>IF([3]Entry!$M$1540="","",[3]Entry!$M$1540)</f>
        <v/>
      </c>
      <c r="AL1537">
        <f>IF([3]Entry!$N$1540="","",[3]Entry!$N$1540)</f>
        <v/>
      </c>
      <c r="AM1537">
        <f>IF([3]Entry!$R$1540="","",[3]Entry!$R$1540)</f>
        <v/>
      </c>
    </row>
    <row r="1538">
      <c r="T1538">
        <f>IF([2]Baskol!$B$1541="","",[2]Baskol!$B$1541)</f>
        <v/>
      </c>
      <c r="U1538">
        <f>IF([2]Baskol!$C$1541="","",[2]Baskol!$C$1541)</f>
        <v/>
      </c>
      <c r="V1538">
        <f>IF([2]Baskol!$D$1541="","",[2]Baskol!$D$1541)</f>
        <v/>
      </c>
      <c r="W1538">
        <f>IF([2]Baskol!$E$1541="","",[2]Baskol!$E$1541)</f>
        <v/>
      </c>
      <c r="X1538">
        <f>IF([2]Baskol!$G$1541="","",[2]Baskol!$G$1541)</f>
        <v/>
      </c>
      <c r="Y1538">
        <f>IF([2]Baskol!$I$1541="","",[2]Baskol!$I$1541)</f>
        <v/>
      </c>
      <c r="Z1538">
        <f>IF([2]Baskol!$J$1541="","",[2]Baskol!$J$1541)</f>
        <v/>
      </c>
      <c r="AA1538">
        <f>IF([2]Baskol!$K$1541="","",[2]Baskol!$K$1541)</f>
        <v/>
      </c>
      <c r="AB1538">
        <f>IF([2]Baskol!$L$1541="","",[2]Baskol!$L$1541)</f>
        <v/>
      </c>
      <c r="AC1538">
        <f>IF([2]Baskol!$N$1541="","",[2]Baskol!$N$1541)</f>
        <v/>
      </c>
      <c r="AD1538">
        <f>IF([2]Baskol!$O$1541="","",[2]Baskol!$O$1541)</f>
        <v/>
      </c>
      <c r="AE1538">
        <f>IF([3]Entry!$C$1541="","",[3]Entry!$C$1541)</f>
        <v/>
      </c>
      <c r="AF1538">
        <f>IF([3]Entry!$D$1541="","",[3]Entry!$D$1541)</f>
        <v/>
      </c>
      <c r="AG1538">
        <f>IF([3]Entry!$E$1541="","",[3]Entry!$E$1541)</f>
        <v/>
      </c>
      <c r="AH1538">
        <f>IF([3]Entry!$G$1541="","",[3]Entry!$G$1541)</f>
        <v/>
      </c>
      <c r="AI1538">
        <f>IF([3]Entry!$K$1541="","",[3]Entry!$K$1541)</f>
        <v/>
      </c>
      <c r="AJ1538">
        <f>IF([3]Entry!$L$1541="","",[3]Entry!$L$1541)</f>
        <v/>
      </c>
      <c r="AK1538">
        <f>IF([3]Entry!$M$1541="","",[3]Entry!$M$1541)</f>
        <v/>
      </c>
      <c r="AL1538">
        <f>IF([3]Entry!$N$1541="","",[3]Entry!$N$1541)</f>
        <v/>
      </c>
      <c r="AM1538">
        <f>IF([3]Entry!$R$1541="","",[3]Entry!$R$1541)</f>
        <v/>
      </c>
    </row>
    <row r="1539">
      <c r="T1539">
        <f>IF([2]Baskol!$B$1542="","",[2]Baskol!$B$1542)</f>
        <v/>
      </c>
      <c r="U1539">
        <f>IF([2]Baskol!$C$1542="","",[2]Baskol!$C$1542)</f>
        <v/>
      </c>
      <c r="V1539">
        <f>IF([2]Baskol!$D$1542="","",[2]Baskol!$D$1542)</f>
        <v/>
      </c>
      <c r="W1539">
        <f>IF([2]Baskol!$E$1542="","",[2]Baskol!$E$1542)</f>
        <v/>
      </c>
      <c r="X1539">
        <f>IF([2]Baskol!$G$1542="","",[2]Baskol!$G$1542)</f>
        <v/>
      </c>
      <c r="Y1539">
        <f>IF([2]Baskol!$I$1542="","",[2]Baskol!$I$1542)</f>
        <v/>
      </c>
      <c r="Z1539">
        <f>IF([2]Baskol!$J$1542="","",[2]Baskol!$J$1542)</f>
        <v/>
      </c>
      <c r="AA1539">
        <f>IF([2]Baskol!$K$1542="","",[2]Baskol!$K$1542)</f>
        <v/>
      </c>
      <c r="AB1539">
        <f>IF([2]Baskol!$L$1542="","",[2]Baskol!$L$1542)</f>
        <v/>
      </c>
      <c r="AC1539">
        <f>IF([2]Baskol!$N$1542="","",[2]Baskol!$N$1542)</f>
        <v/>
      </c>
      <c r="AD1539">
        <f>IF([2]Baskol!$O$1542="","",[2]Baskol!$O$1542)</f>
        <v/>
      </c>
      <c r="AE1539">
        <f>IF([3]Entry!$C$1542="","",[3]Entry!$C$1542)</f>
        <v/>
      </c>
      <c r="AF1539">
        <f>IF([3]Entry!$D$1542="","",[3]Entry!$D$1542)</f>
        <v/>
      </c>
      <c r="AG1539">
        <f>IF([3]Entry!$E$1542="","",[3]Entry!$E$1542)</f>
        <v/>
      </c>
      <c r="AH1539">
        <f>IF([3]Entry!$G$1542="","",[3]Entry!$G$1542)</f>
        <v/>
      </c>
      <c r="AI1539">
        <f>IF([3]Entry!$K$1542="","",[3]Entry!$K$1542)</f>
        <v/>
      </c>
      <c r="AJ1539">
        <f>IF([3]Entry!$L$1542="","",[3]Entry!$L$1542)</f>
        <v/>
      </c>
      <c r="AK1539">
        <f>IF([3]Entry!$M$1542="","",[3]Entry!$M$1542)</f>
        <v/>
      </c>
      <c r="AL1539">
        <f>IF([3]Entry!$N$1542="","",[3]Entry!$N$1542)</f>
        <v/>
      </c>
      <c r="AM1539">
        <f>IF([3]Entry!$R$1542="","",[3]Entry!$R$1542)</f>
        <v/>
      </c>
    </row>
    <row r="1540">
      <c r="T1540">
        <f>IF([2]Baskol!$B$1543="","",[2]Baskol!$B$1543)</f>
        <v/>
      </c>
      <c r="U1540">
        <f>IF([2]Baskol!$C$1543="","",[2]Baskol!$C$1543)</f>
        <v/>
      </c>
      <c r="V1540">
        <f>IF([2]Baskol!$D$1543="","",[2]Baskol!$D$1543)</f>
        <v/>
      </c>
      <c r="W1540">
        <f>IF([2]Baskol!$E$1543="","",[2]Baskol!$E$1543)</f>
        <v/>
      </c>
      <c r="X1540">
        <f>IF([2]Baskol!$G$1543="","",[2]Baskol!$G$1543)</f>
        <v/>
      </c>
      <c r="Y1540">
        <f>IF([2]Baskol!$I$1543="","",[2]Baskol!$I$1543)</f>
        <v/>
      </c>
      <c r="Z1540">
        <f>IF([2]Baskol!$J$1543="","",[2]Baskol!$J$1543)</f>
        <v/>
      </c>
      <c r="AA1540">
        <f>IF([2]Baskol!$K$1543="","",[2]Baskol!$K$1543)</f>
        <v/>
      </c>
      <c r="AB1540">
        <f>IF([2]Baskol!$L$1543="","",[2]Baskol!$L$1543)</f>
        <v/>
      </c>
      <c r="AC1540">
        <f>IF([2]Baskol!$N$1543="","",[2]Baskol!$N$1543)</f>
        <v/>
      </c>
      <c r="AD1540">
        <f>IF([2]Baskol!$O$1543="","",[2]Baskol!$O$1543)</f>
        <v/>
      </c>
      <c r="AE1540">
        <f>IF([3]Entry!$C$1543="","",[3]Entry!$C$1543)</f>
        <v/>
      </c>
      <c r="AF1540">
        <f>IF([3]Entry!$D$1543="","",[3]Entry!$D$1543)</f>
        <v/>
      </c>
      <c r="AG1540">
        <f>IF([3]Entry!$E$1543="","",[3]Entry!$E$1543)</f>
        <v/>
      </c>
      <c r="AH1540">
        <f>IF([3]Entry!$G$1543="","",[3]Entry!$G$1543)</f>
        <v/>
      </c>
      <c r="AI1540">
        <f>IF([3]Entry!$K$1543="","",[3]Entry!$K$1543)</f>
        <v/>
      </c>
      <c r="AJ1540">
        <f>IF([3]Entry!$L$1543="","",[3]Entry!$L$1543)</f>
        <v/>
      </c>
      <c r="AK1540">
        <f>IF([3]Entry!$M$1543="","",[3]Entry!$M$1543)</f>
        <v/>
      </c>
      <c r="AL1540">
        <f>IF([3]Entry!$N$1543="","",[3]Entry!$N$1543)</f>
        <v/>
      </c>
      <c r="AM1540">
        <f>IF([3]Entry!$R$1543="","",[3]Entry!$R$1543)</f>
        <v/>
      </c>
    </row>
    <row r="1541">
      <c r="T1541">
        <f>IF([2]Baskol!$B$1544="","",[2]Baskol!$B$1544)</f>
        <v/>
      </c>
      <c r="U1541">
        <f>IF([2]Baskol!$C$1544="","",[2]Baskol!$C$1544)</f>
        <v/>
      </c>
      <c r="V1541">
        <f>IF([2]Baskol!$D$1544="","",[2]Baskol!$D$1544)</f>
        <v/>
      </c>
      <c r="W1541">
        <f>IF([2]Baskol!$E$1544="","",[2]Baskol!$E$1544)</f>
        <v/>
      </c>
      <c r="X1541">
        <f>IF([2]Baskol!$G$1544="","",[2]Baskol!$G$1544)</f>
        <v/>
      </c>
      <c r="Y1541">
        <f>IF([2]Baskol!$I$1544="","",[2]Baskol!$I$1544)</f>
        <v/>
      </c>
      <c r="Z1541">
        <f>IF([2]Baskol!$J$1544="","",[2]Baskol!$J$1544)</f>
        <v/>
      </c>
      <c r="AA1541">
        <f>IF([2]Baskol!$K$1544="","",[2]Baskol!$K$1544)</f>
        <v/>
      </c>
      <c r="AB1541">
        <f>IF([2]Baskol!$L$1544="","",[2]Baskol!$L$1544)</f>
        <v/>
      </c>
      <c r="AC1541">
        <f>IF([2]Baskol!$N$1544="","",[2]Baskol!$N$1544)</f>
        <v/>
      </c>
      <c r="AD1541">
        <f>IF([2]Baskol!$O$1544="","",[2]Baskol!$O$1544)</f>
        <v/>
      </c>
      <c r="AE1541">
        <f>IF([3]Entry!$C$1544="","",[3]Entry!$C$1544)</f>
        <v/>
      </c>
      <c r="AF1541">
        <f>IF([3]Entry!$D$1544="","",[3]Entry!$D$1544)</f>
        <v/>
      </c>
      <c r="AG1541">
        <f>IF([3]Entry!$E$1544="","",[3]Entry!$E$1544)</f>
        <v/>
      </c>
      <c r="AH1541">
        <f>IF([3]Entry!$G$1544="","",[3]Entry!$G$1544)</f>
        <v/>
      </c>
      <c r="AI1541">
        <f>IF([3]Entry!$K$1544="","",[3]Entry!$K$1544)</f>
        <v/>
      </c>
      <c r="AJ1541">
        <f>IF([3]Entry!$L$1544="","",[3]Entry!$L$1544)</f>
        <v/>
      </c>
      <c r="AK1541">
        <f>IF([3]Entry!$M$1544="","",[3]Entry!$M$1544)</f>
        <v/>
      </c>
      <c r="AL1541">
        <f>IF([3]Entry!$N$1544="","",[3]Entry!$N$1544)</f>
        <v/>
      </c>
      <c r="AM1541">
        <f>IF([3]Entry!$R$1544="","",[3]Entry!$R$1544)</f>
        <v/>
      </c>
    </row>
    <row r="1542">
      <c r="T1542">
        <f>IF([2]Baskol!$B$1545="","",[2]Baskol!$B$1545)</f>
        <v/>
      </c>
      <c r="U1542">
        <f>IF([2]Baskol!$C$1545="","",[2]Baskol!$C$1545)</f>
        <v/>
      </c>
      <c r="V1542">
        <f>IF([2]Baskol!$D$1545="","",[2]Baskol!$D$1545)</f>
        <v/>
      </c>
      <c r="W1542">
        <f>IF([2]Baskol!$E$1545="","",[2]Baskol!$E$1545)</f>
        <v/>
      </c>
      <c r="X1542">
        <f>IF([2]Baskol!$G$1545="","",[2]Baskol!$G$1545)</f>
        <v/>
      </c>
      <c r="Y1542">
        <f>IF([2]Baskol!$I$1545="","",[2]Baskol!$I$1545)</f>
        <v/>
      </c>
      <c r="Z1542">
        <f>IF([2]Baskol!$J$1545="","",[2]Baskol!$J$1545)</f>
        <v/>
      </c>
      <c r="AA1542">
        <f>IF([2]Baskol!$K$1545="","",[2]Baskol!$K$1545)</f>
        <v/>
      </c>
      <c r="AB1542">
        <f>IF([2]Baskol!$L$1545="","",[2]Baskol!$L$1545)</f>
        <v/>
      </c>
      <c r="AC1542">
        <f>IF([2]Baskol!$N$1545="","",[2]Baskol!$N$1545)</f>
        <v/>
      </c>
      <c r="AD1542">
        <f>IF([2]Baskol!$O$1545="","",[2]Baskol!$O$1545)</f>
        <v/>
      </c>
      <c r="AE1542">
        <f>IF([3]Entry!$C$1545="","",[3]Entry!$C$1545)</f>
        <v/>
      </c>
      <c r="AF1542">
        <f>IF([3]Entry!$D$1545="","",[3]Entry!$D$1545)</f>
        <v/>
      </c>
      <c r="AG1542">
        <f>IF([3]Entry!$E$1545="","",[3]Entry!$E$1545)</f>
        <v/>
      </c>
      <c r="AH1542">
        <f>IF([3]Entry!$G$1545="","",[3]Entry!$G$1545)</f>
        <v/>
      </c>
      <c r="AI1542">
        <f>IF([3]Entry!$K$1545="","",[3]Entry!$K$1545)</f>
        <v/>
      </c>
      <c r="AJ1542">
        <f>IF([3]Entry!$L$1545="","",[3]Entry!$L$1545)</f>
        <v/>
      </c>
      <c r="AK1542">
        <f>IF([3]Entry!$M$1545="","",[3]Entry!$M$1545)</f>
        <v/>
      </c>
      <c r="AL1542">
        <f>IF([3]Entry!$N$1545="","",[3]Entry!$N$1545)</f>
        <v/>
      </c>
      <c r="AM1542">
        <f>IF([3]Entry!$R$1545="","",[3]Entry!$R$1545)</f>
        <v/>
      </c>
    </row>
    <row r="1543">
      <c r="T1543">
        <f>IF([2]Baskol!$B$1546="","",[2]Baskol!$B$1546)</f>
        <v/>
      </c>
      <c r="U1543">
        <f>IF([2]Baskol!$C$1546="","",[2]Baskol!$C$1546)</f>
        <v/>
      </c>
      <c r="V1543">
        <f>IF([2]Baskol!$D$1546="","",[2]Baskol!$D$1546)</f>
        <v/>
      </c>
      <c r="W1543">
        <f>IF([2]Baskol!$E$1546="","",[2]Baskol!$E$1546)</f>
        <v/>
      </c>
      <c r="X1543">
        <f>IF([2]Baskol!$G$1546="","",[2]Baskol!$G$1546)</f>
        <v/>
      </c>
      <c r="Y1543">
        <f>IF([2]Baskol!$I$1546="","",[2]Baskol!$I$1546)</f>
        <v/>
      </c>
      <c r="Z1543">
        <f>IF([2]Baskol!$J$1546="","",[2]Baskol!$J$1546)</f>
        <v/>
      </c>
      <c r="AA1543">
        <f>IF([2]Baskol!$K$1546="","",[2]Baskol!$K$1546)</f>
        <v/>
      </c>
      <c r="AB1543">
        <f>IF([2]Baskol!$L$1546="","",[2]Baskol!$L$1546)</f>
        <v/>
      </c>
      <c r="AC1543">
        <f>IF([2]Baskol!$N$1546="","",[2]Baskol!$N$1546)</f>
        <v/>
      </c>
      <c r="AD1543">
        <f>IF([2]Baskol!$O$1546="","",[2]Baskol!$O$1546)</f>
        <v/>
      </c>
      <c r="AE1543">
        <f>IF([3]Entry!$C$1546="","",[3]Entry!$C$1546)</f>
        <v/>
      </c>
      <c r="AF1543">
        <f>IF([3]Entry!$D$1546="","",[3]Entry!$D$1546)</f>
        <v/>
      </c>
      <c r="AG1543">
        <f>IF([3]Entry!$E$1546="","",[3]Entry!$E$1546)</f>
        <v/>
      </c>
      <c r="AH1543">
        <f>IF([3]Entry!$G$1546="","",[3]Entry!$G$1546)</f>
        <v/>
      </c>
      <c r="AI1543">
        <f>IF([3]Entry!$K$1546="","",[3]Entry!$K$1546)</f>
        <v/>
      </c>
      <c r="AJ1543">
        <f>IF([3]Entry!$L$1546="","",[3]Entry!$L$1546)</f>
        <v/>
      </c>
      <c r="AK1543">
        <f>IF([3]Entry!$M$1546="","",[3]Entry!$M$1546)</f>
        <v/>
      </c>
      <c r="AL1543">
        <f>IF([3]Entry!$N$1546="","",[3]Entry!$N$1546)</f>
        <v/>
      </c>
      <c r="AM1543">
        <f>IF([3]Entry!$R$1546="","",[3]Entry!$R$1546)</f>
        <v/>
      </c>
    </row>
    <row r="1544">
      <c r="T1544">
        <f>IF([2]Baskol!$B$1547="","",[2]Baskol!$B$1547)</f>
        <v/>
      </c>
      <c r="U1544">
        <f>IF([2]Baskol!$C$1547="","",[2]Baskol!$C$1547)</f>
        <v/>
      </c>
      <c r="V1544">
        <f>IF([2]Baskol!$D$1547="","",[2]Baskol!$D$1547)</f>
        <v/>
      </c>
      <c r="W1544">
        <f>IF([2]Baskol!$E$1547="","",[2]Baskol!$E$1547)</f>
        <v/>
      </c>
      <c r="X1544">
        <f>IF([2]Baskol!$G$1547="","",[2]Baskol!$G$1547)</f>
        <v/>
      </c>
      <c r="Y1544">
        <f>IF([2]Baskol!$I$1547="","",[2]Baskol!$I$1547)</f>
        <v/>
      </c>
      <c r="Z1544">
        <f>IF([2]Baskol!$J$1547="","",[2]Baskol!$J$1547)</f>
        <v/>
      </c>
      <c r="AA1544">
        <f>IF([2]Baskol!$K$1547="","",[2]Baskol!$K$1547)</f>
        <v/>
      </c>
      <c r="AB1544">
        <f>IF([2]Baskol!$L$1547="","",[2]Baskol!$L$1547)</f>
        <v/>
      </c>
      <c r="AC1544">
        <f>IF([2]Baskol!$N$1547="","",[2]Baskol!$N$1547)</f>
        <v/>
      </c>
      <c r="AD1544">
        <f>IF([2]Baskol!$O$1547="","",[2]Baskol!$O$1547)</f>
        <v/>
      </c>
      <c r="AE1544">
        <f>IF([3]Entry!$C$1547="","",[3]Entry!$C$1547)</f>
        <v/>
      </c>
      <c r="AF1544">
        <f>IF([3]Entry!$D$1547="","",[3]Entry!$D$1547)</f>
        <v/>
      </c>
      <c r="AG1544">
        <f>IF([3]Entry!$E$1547="","",[3]Entry!$E$1547)</f>
        <v/>
      </c>
      <c r="AH1544">
        <f>IF([3]Entry!$G$1547="","",[3]Entry!$G$1547)</f>
        <v/>
      </c>
      <c r="AI1544">
        <f>IF([3]Entry!$K$1547="","",[3]Entry!$K$1547)</f>
        <v/>
      </c>
      <c r="AJ1544">
        <f>IF([3]Entry!$L$1547="","",[3]Entry!$L$1547)</f>
        <v/>
      </c>
      <c r="AK1544">
        <f>IF([3]Entry!$M$1547="","",[3]Entry!$M$1547)</f>
        <v/>
      </c>
      <c r="AL1544">
        <f>IF([3]Entry!$N$1547="","",[3]Entry!$N$1547)</f>
        <v/>
      </c>
      <c r="AM1544">
        <f>IF([3]Entry!$R$1547="","",[3]Entry!$R$1547)</f>
        <v/>
      </c>
    </row>
    <row r="1545">
      <c r="T1545">
        <f>IF([2]Baskol!$B$1548="","",[2]Baskol!$B$1548)</f>
        <v/>
      </c>
      <c r="U1545">
        <f>IF([2]Baskol!$C$1548="","",[2]Baskol!$C$1548)</f>
        <v/>
      </c>
      <c r="V1545">
        <f>IF([2]Baskol!$D$1548="","",[2]Baskol!$D$1548)</f>
        <v/>
      </c>
      <c r="W1545">
        <f>IF([2]Baskol!$E$1548="","",[2]Baskol!$E$1548)</f>
        <v/>
      </c>
      <c r="X1545">
        <f>IF([2]Baskol!$G$1548="","",[2]Baskol!$G$1548)</f>
        <v/>
      </c>
      <c r="Y1545">
        <f>IF([2]Baskol!$I$1548="","",[2]Baskol!$I$1548)</f>
        <v/>
      </c>
      <c r="Z1545">
        <f>IF([2]Baskol!$J$1548="","",[2]Baskol!$J$1548)</f>
        <v/>
      </c>
      <c r="AA1545">
        <f>IF([2]Baskol!$K$1548="","",[2]Baskol!$K$1548)</f>
        <v/>
      </c>
      <c r="AB1545">
        <f>IF([2]Baskol!$L$1548="","",[2]Baskol!$L$1548)</f>
        <v/>
      </c>
      <c r="AC1545">
        <f>IF([2]Baskol!$N$1548="","",[2]Baskol!$N$1548)</f>
        <v/>
      </c>
      <c r="AD1545">
        <f>IF([2]Baskol!$O$1548="","",[2]Baskol!$O$1548)</f>
        <v/>
      </c>
      <c r="AE1545">
        <f>IF([3]Entry!$C$1548="","",[3]Entry!$C$1548)</f>
        <v/>
      </c>
      <c r="AF1545">
        <f>IF([3]Entry!$D$1548="","",[3]Entry!$D$1548)</f>
        <v/>
      </c>
      <c r="AG1545">
        <f>IF([3]Entry!$E$1548="","",[3]Entry!$E$1548)</f>
        <v/>
      </c>
      <c r="AH1545">
        <f>IF([3]Entry!$G$1548="","",[3]Entry!$G$1548)</f>
        <v/>
      </c>
      <c r="AI1545">
        <f>IF([3]Entry!$K$1548="","",[3]Entry!$K$1548)</f>
        <v/>
      </c>
      <c r="AJ1545">
        <f>IF([3]Entry!$L$1548="","",[3]Entry!$L$1548)</f>
        <v/>
      </c>
      <c r="AK1545">
        <f>IF([3]Entry!$M$1548="","",[3]Entry!$M$1548)</f>
        <v/>
      </c>
      <c r="AL1545">
        <f>IF([3]Entry!$N$1548="","",[3]Entry!$N$1548)</f>
        <v/>
      </c>
      <c r="AM1545">
        <f>IF([3]Entry!$R$1548="","",[3]Entry!$R$1548)</f>
        <v/>
      </c>
    </row>
    <row r="1546">
      <c r="T1546">
        <f>IF([2]Baskol!$B$1549="","",[2]Baskol!$B$1549)</f>
        <v/>
      </c>
      <c r="U1546">
        <f>IF([2]Baskol!$C$1549="","",[2]Baskol!$C$1549)</f>
        <v/>
      </c>
      <c r="V1546">
        <f>IF([2]Baskol!$D$1549="","",[2]Baskol!$D$1549)</f>
        <v/>
      </c>
      <c r="W1546">
        <f>IF([2]Baskol!$E$1549="","",[2]Baskol!$E$1549)</f>
        <v/>
      </c>
      <c r="X1546">
        <f>IF([2]Baskol!$G$1549="","",[2]Baskol!$G$1549)</f>
        <v/>
      </c>
      <c r="Y1546">
        <f>IF([2]Baskol!$I$1549="","",[2]Baskol!$I$1549)</f>
        <v/>
      </c>
      <c r="Z1546">
        <f>IF([2]Baskol!$J$1549="","",[2]Baskol!$J$1549)</f>
        <v/>
      </c>
      <c r="AA1546">
        <f>IF([2]Baskol!$K$1549="","",[2]Baskol!$K$1549)</f>
        <v/>
      </c>
      <c r="AB1546">
        <f>IF([2]Baskol!$L$1549="","",[2]Baskol!$L$1549)</f>
        <v/>
      </c>
      <c r="AC1546">
        <f>IF([2]Baskol!$N$1549="","",[2]Baskol!$N$1549)</f>
        <v/>
      </c>
      <c r="AD1546">
        <f>IF([2]Baskol!$O$1549="","",[2]Baskol!$O$1549)</f>
        <v/>
      </c>
      <c r="AE1546">
        <f>IF([3]Entry!$C$1549="","",[3]Entry!$C$1549)</f>
        <v/>
      </c>
      <c r="AF1546">
        <f>IF([3]Entry!$D$1549="","",[3]Entry!$D$1549)</f>
        <v/>
      </c>
      <c r="AG1546">
        <f>IF([3]Entry!$E$1549="","",[3]Entry!$E$1549)</f>
        <v/>
      </c>
      <c r="AH1546">
        <f>IF([3]Entry!$G$1549="","",[3]Entry!$G$1549)</f>
        <v/>
      </c>
      <c r="AI1546">
        <f>IF([3]Entry!$K$1549="","",[3]Entry!$K$1549)</f>
        <v/>
      </c>
      <c r="AJ1546">
        <f>IF([3]Entry!$L$1549="","",[3]Entry!$L$1549)</f>
        <v/>
      </c>
      <c r="AK1546">
        <f>IF([3]Entry!$M$1549="","",[3]Entry!$M$1549)</f>
        <v/>
      </c>
      <c r="AL1546">
        <f>IF([3]Entry!$N$1549="","",[3]Entry!$N$1549)</f>
        <v/>
      </c>
      <c r="AM1546">
        <f>IF([3]Entry!$R$1549="","",[3]Entry!$R$1549)</f>
        <v/>
      </c>
    </row>
    <row r="1547">
      <c r="T1547">
        <f>IF([2]Baskol!$B$1550="","",[2]Baskol!$B$1550)</f>
        <v/>
      </c>
      <c r="U1547">
        <f>IF([2]Baskol!$C$1550="","",[2]Baskol!$C$1550)</f>
        <v/>
      </c>
      <c r="V1547">
        <f>IF([2]Baskol!$D$1550="","",[2]Baskol!$D$1550)</f>
        <v/>
      </c>
      <c r="W1547">
        <f>IF([2]Baskol!$E$1550="","",[2]Baskol!$E$1550)</f>
        <v/>
      </c>
      <c r="X1547">
        <f>IF([2]Baskol!$G$1550="","",[2]Baskol!$G$1550)</f>
        <v/>
      </c>
      <c r="Y1547">
        <f>IF([2]Baskol!$I$1550="","",[2]Baskol!$I$1550)</f>
        <v/>
      </c>
      <c r="Z1547">
        <f>IF([2]Baskol!$J$1550="","",[2]Baskol!$J$1550)</f>
        <v/>
      </c>
      <c r="AA1547">
        <f>IF([2]Baskol!$K$1550="","",[2]Baskol!$K$1550)</f>
        <v/>
      </c>
      <c r="AB1547">
        <f>IF([2]Baskol!$L$1550="","",[2]Baskol!$L$1550)</f>
        <v/>
      </c>
      <c r="AC1547">
        <f>IF([2]Baskol!$N$1550="","",[2]Baskol!$N$1550)</f>
        <v/>
      </c>
      <c r="AD1547">
        <f>IF([2]Baskol!$O$1550="","",[2]Baskol!$O$1550)</f>
        <v/>
      </c>
      <c r="AE1547">
        <f>IF([3]Entry!$C$1550="","",[3]Entry!$C$1550)</f>
        <v/>
      </c>
      <c r="AF1547">
        <f>IF([3]Entry!$D$1550="","",[3]Entry!$D$1550)</f>
        <v/>
      </c>
      <c r="AG1547">
        <f>IF([3]Entry!$E$1550="","",[3]Entry!$E$1550)</f>
        <v/>
      </c>
      <c r="AH1547">
        <f>IF([3]Entry!$G$1550="","",[3]Entry!$G$1550)</f>
        <v/>
      </c>
      <c r="AI1547">
        <f>IF([3]Entry!$K$1550="","",[3]Entry!$K$1550)</f>
        <v/>
      </c>
      <c r="AJ1547">
        <f>IF([3]Entry!$L$1550="","",[3]Entry!$L$1550)</f>
        <v/>
      </c>
      <c r="AK1547">
        <f>IF([3]Entry!$M$1550="","",[3]Entry!$M$1550)</f>
        <v/>
      </c>
      <c r="AL1547">
        <f>IF([3]Entry!$N$1550="","",[3]Entry!$N$1550)</f>
        <v/>
      </c>
      <c r="AM1547">
        <f>IF([3]Entry!$R$1550="","",[3]Entry!$R$1550)</f>
        <v/>
      </c>
    </row>
    <row r="1548">
      <c r="T1548">
        <f>IF([2]Baskol!$B$1551="","",[2]Baskol!$B$1551)</f>
        <v/>
      </c>
      <c r="U1548">
        <f>IF([2]Baskol!$C$1551="","",[2]Baskol!$C$1551)</f>
        <v/>
      </c>
      <c r="V1548">
        <f>IF([2]Baskol!$D$1551="","",[2]Baskol!$D$1551)</f>
        <v/>
      </c>
      <c r="W1548">
        <f>IF([2]Baskol!$E$1551="","",[2]Baskol!$E$1551)</f>
        <v/>
      </c>
      <c r="X1548">
        <f>IF([2]Baskol!$G$1551="","",[2]Baskol!$G$1551)</f>
        <v/>
      </c>
      <c r="Y1548">
        <f>IF([2]Baskol!$I$1551="","",[2]Baskol!$I$1551)</f>
        <v/>
      </c>
      <c r="Z1548">
        <f>IF([2]Baskol!$J$1551="","",[2]Baskol!$J$1551)</f>
        <v/>
      </c>
      <c r="AA1548">
        <f>IF([2]Baskol!$K$1551="","",[2]Baskol!$K$1551)</f>
        <v/>
      </c>
      <c r="AB1548">
        <f>IF([2]Baskol!$L$1551="","",[2]Baskol!$L$1551)</f>
        <v/>
      </c>
      <c r="AC1548">
        <f>IF([2]Baskol!$N$1551="","",[2]Baskol!$N$1551)</f>
        <v/>
      </c>
      <c r="AD1548">
        <f>IF([2]Baskol!$O$1551="","",[2]Baskol!$O$1551)</f>
        <v/>
      </c>
      <c r="AE1548">
        <f>IF([3]Entry!$C$1551="","",[3]Entry!$C$1551)</f>
        <v/>
      </c>
      <c r="AF1548">
        <f>IF([3]Entry!$D$1551="","",[3]Entry!$D$1551)</f>
        <v/>
      </c>
      <c r="AG1548">
        <f>IF([3]Entry!$E$1551="","",[3]Entry!$E$1551)</f>
        <v/>
      </c>
      <c r="AH1548">
        <f>IF([3]Entry!$G$1551="","",[3]Entry!$G$1551)</f>
        <v/>
      </c>
      <c r="AI1548">
        <f>IF([3]Entry!$K$1551="","",[3]Entry!$K$1551)</f>
        <v/>
      </c>
      <c r="AJ1548">
        <f>IF([3]Entry!$L$1551="","",[3]Entry!$L$1551)</f>
        <v/>
      </c>
      <c r="AK1548">
        <f>IF([3]Entry!$M$1551="","",[3]Entry!$M$1551)</f>
        <v/>
      </c>
      <c r="AL1548">
        <f>IF([3]Entry!$N$1551="","",[3]Entry!$N$1551)</f>
        <v/>
      </c>
      <c r="AM1548">
        <f>IF([3]Entry!$R$1551="","",[3]Entry!$R$1551)</f>
        <v/>
      </c>
    </row>
    <row r="1549">
      <c r="T1549">
        <f>IF([2]Baskol!$B$1552="","",[2]Baskol!$B$1552)</f>
        <v/>
      </c>
      <c r="U1549">
        <f>IF([2]Baskol!$C$1552="","",[2]Baskol!$C$1552)</f>
        <v/>
      </c>
      <c r="V1549">
        <f>IF([2]Baskol!$D$1552="","",[2]Baskol!$D$1552)</f>
        <v/>
      </c>
      <c r="W1549">
        <f>IF([2]Baskol!$E$1552="","",[2]Baskol!$E$1552)</f>
        <v/>
      </c>
      <c r="X1549">
        <f>IF([2]Baskol!$G$1552="","",[2]Baskol!$G$1552)</f>
        <v/>
      </c>
      <c r="Y1549">
        <f>IF([2]Baskol!$I$1552="","",[2]Baskol!$I$1552)</f>
        <v/>
      </c>
      <c r="Z1549">
        <f>IF([2]Baskol!$J$1552="","",[2]Baskol!$J$1552)</f>
        <v/>
      </c>
      <c r="AA1549">
        <f>IF([2]Baskol!$K$1552="","",[2]Baskol!$K$1552)</f>
        <v/>
      </c>
      <c r="AB1549">
        <f>IF([2]Baskol!$L$1552="","",[2]Baskol!$L$1552)</f>
        <v/>
      </c>
      <c r="AC1549">
        <f>IF([2]Baskol!$N$1552="","",[2]Baskol!$N$1552)</f>
        <v/>
      </c>
      <c r="AD1549">
        <f>IF([2]Baskol!$O$1552="","",[2]Baskol!$O$1552)</f>
        <v/>
      </c>
      <c r="AE1549">
        <f>IF([3]Entry!$C$1552="","",[3]Entry!$C$1552)</f>
        <v/>
      </c>
      <c r="AF1549">
        <f>IF([3]Entry!$D$1552="","",[3]Entry!$D$1552)</f>
        <v/>
      </c>
      <c r="AG1549">
        <f>IF([3]Entry!$E$1552="","",[3]Entry!$E$1552)</f>
        <v/>
      </c>
      <c r="AH1549">
        <f>IF([3]Entry!$G$1552="","",[3]Entry!$G$1552)</f>
        <v/>
      </c>
      <c r="AI1549">
        <f>IF([3]Entry!$K$1552="","",[3]Entry!$K$1552)</f>
        <v/>
      </c>
      <c r="AJ1549">
        <f>IF([3]Entry!$L$1552="","",[3]Entry!$L$1552)</f>
        <v/>
      </c>
      <c r="AK1549">
        <f>IF([3]Entry!$M$1552="","",[3]Entry!$M$1552)</f>
        <v/>
      </c>
      <c r="AL1549">
        <f>IF([3]Entry!$N$1552="","",[3]Entry!$N$1552)</f>
        <v/>
      </c>
      <c r="AM1549">
        <f>IF([3]Entry!$R$1552="","",[3]Entry!$R$1552)</f>
        <v/>
      </c>
    </row>
    <row r="1550">
      <c r="T1550">
        <f>IF([2]Baskol!$B$1553="","",[2]Baskol!$B$1553)</f>
        <v/>
      </c>
      <c r="U1550">
        <f>IF([2]Baskol!$C$1553="","",[2]Baskol!$C$1553)</f>
        <v/>
      </c>
      <c r="V1550">
        <f>IF([2]Baskol!$D$1553="","",[2]Baskol!$D$1553)</f>
        <v/>
      </c>
      <c r="W1550">
        <f>IF([2]Baskol!$E$1553="","",[2]Baskol!$E$1553)</f>
        <v/>
      </c>
      <c r="X1550">
        <f>IF([2]Baskol!$G$1553="","",[2]Baskol!$G$1553)</f>
        <v/>
      </c>
      <c r="Y1550">
        <f>IF([2]Baskol!$I$1553="","",[2]Baskol!$I$1553)</f>
        <v/>
      </c>
      <c r="Z1550">
        <f>IF([2]Baskol!$J$1553="","",[2]Baskol!$J$1553)</f>
        <v/>
      </c>
      <c r="AA1550">
        <f>IF([2]Baskol!$K$1553="","",[2]Baskol!$K$1553)</f>
        <v/>
      </c>
      <c r="AB1550">
        <f>IF([2]Baskol!$L$1553="","",[2]Baskol!$L$1553)</f>
        <v/>
      </c>
      <c r="AC1550">
        <f>IF([2]Baskol!$N$1553="","",[2]Baskol!$N$1553)</f>
        <v/>
      </c>
      <c r="AD1550">
        <f>IF([2]Baskol!$O$1553="","",[2]Baskol!$O$1553)</f>
        <v/>
      </c>
      <c r="AE1550">
        <f>IF([3]Entry!$C$1553="","",[3]Entry!$C$1553)</f>
        <v/>
      </c>
      <c r="AF1550">
        <f>IF([3]Entry!$D$1553="","",[3]Entry!$D$1553)</f>
        <v/>
      </c>
      <c r="AG1550">
        <f>IF([3]Entry!$E$1553="","",[3]Entry!$E$1553)</f>
        <v/>
      </c>
      <c r="AH1550">
        <f>IF([3]Entry!$G$1553="","",[3]Entry!$G$1553)</f>
        <v/>
      </c>
      <c r="AI1550">
        <f>IF([3]Entry!$K$1553="","",[3]Entry!$K$1553)</f>
        <v/>
      </c>
      <c r="AJ1550">
        <f>IF([3]Entry!$L$1553="","",[3]Entry!$L$1553)</f>
        <v/>
      </c>
      <c r="AK1550">
        <f>IF([3]Entry!$M$1553="","",[3]Entry!$M$1553)</f>
        <v/>
      </c>
      <c r="AL1550">
        <f>IF([3]Entry!$N$1553="","",[3]Entry!$N$1553)</f>
        <v/>
      </c>
      <c r="AM1550">
        <f>IF([3]Entry!$R$1553="","",[3]Entry!$R$1553)</f>
        <v/>
      </c>
    </row>
    <row r="1551">
      <c r="T1551">
        <f>IF([2]Baskol!$B$1554="","",[2]Baskol!$B$1554)</f>
        <v/>
      </c>
      <c r="U1551">
        <f>IF([2]Baskol!$C$1554="","",[2]Baskol!$C$1554)</f>
        <v/>
      </c>
      <c r="V1551">
        <f>IF([2]Baskol!$D$1554="","",[2]Baskol!$D$1554)</f>
        <v/>
      </c>
      <c r="W1551">
        <f>IF([2]Baskol!$E$1554="","",[2]Baskol!$E$1554)</f>
        <v/>
      </c>
      <c r="X1551">
        <f>IF([2]Baskol!$G$1554="","",[2]Baskol!$G$1554)</f>
        <v/>
      </c>
      <c r="Y1551">
        <f>IF([2]Baskol!$I$1554="","",[2]Baskol!$I$1554)</f>
        <v/>
      </c>
      <c r="Z1551">
        <f>IF([2]Baskol!$J$1554="","",[2]Baskol!$J$1554)</f>
        <v/>
      </c>
      <c r="AA1551">
        <f>IF([2]Baskol!$K$1554="","",[2]Baskol!$K$1554)</f>
        <v/>
      </c>
      <c r="AB1551">
        <f>IF([2]Baskol!$L$1554="","",[2]Baskol!$L$1554)</f>
        <v/>
      </c>
      <c r="AC1551">
        <f>IF([2]Baskol!$N$1554="","",[2]Baskol!$N$1554)</f>
        <v/>
      </c>
      <c r="AD1551">
        <f>IF([2]Baskol!$O$1554="","",[2]Baskol!$O$1554)</f>
        <v/>
      </c>
      <c r="AE1551">
        <f>IF([3]Entry!$C$1554="","",[3]Entry!$C$1554)</f>
        <v/>
      </c>
      <c r="AF1551">
        <f>IF([3]Entry!$D$1554="","",[3]Entry!$D$1554)</f>
        <v/>
      </c>
      <c r="AG1551">
        <f>IF([3]Entry!$E$1554="","",[3]Entry!$E$1554)</f>
        <v/>
      </c>
      <c r="AH1551">
        <f>IF([3]Entry!$G$1554="","",[3]Entry!$G$1554)</f>
        <v/>
      </c>
      <c r="AI1551">
        <f>IF([3]Entry!$K$1554="","",[3]Entry!$K$1554)</f>
        <v/>
      </c>
      <c r="AJ1551">
        <f>IF([3]Entry!$L$1554="","",[3]Entry!$L$1554)</f>
        <v/>
      </c>
      <c r="AK1551">
        <f>IF([3]Entry!$M$1554="","",[3]Entry!$M$1554)</f>
        <v/>
      </c>
      <c r="AL1551">
        <f>IF([3]Entry!$N$1554="","",[3]Entry!$N$1554)</f>
        <v/>
      </c>
      <c r="AM1551">
        <f>IF([3]Entry!$R$1554="","",[3]Entry!$R$1554)</f>
        <v/>
      </c>
    </row>
    <row r="1552">
      <c r="T1552">
        <f>IF([2]Baskol!$B$1555="","",[2]Baskol!$B$1555)</f>
        <v/>
      </c>
      <c r="U1552">
        <f>IF([2]Baskol!$C$1555="","",[2]Baskol!$C$1555)</f>
        <v/>
      </c>
      <c r="V1552">
        <f>IF([2]Baskol!$D$1555="","",[2]Baskol!$D$1555)</f>
        <v/>
      </c>
      <c r="W1552">
        <f>IF([2]Baskol!$E$1555="","",[2]Baskol!$E$1555)</f>
        <v/>
      </c>
      <c r="X1552">
        <f>IF([2]Baskol!$G$1555="","",[2]Baskol!$G$1555)</f>
        <v/>
      </c>
      <c r="Y1552">
        <f>IF([2]Baskol!$I$1555="","",[2]Baskol!$I$1555)</f>
        <v/>
      </c>
      <c r="Z1552">
        <f>IF([2]Baskol!$J$1555="","",[2]Baskol!$J$1555)</f>
        <v/>
      </c>
      <c r="AA1552">
        <f>IF([2]Baskol!$K$1555="","",[2]Baskol!$K$1555)</f>
        <v/>
      </c>
      <c r="AB1552">
        <f>IF([2]Baskol!$L$1555="","",[2]Baskol!$L$1555)</f>
        <v/>
      </c>
      <c r="AC1552">
        <f>IF([2]Baskol!$N$1555="","",[2]Baskol!$N$1555)</f>
        <v/>
      </c>
      <c r="AD1552">
        <f>IF([2]Baskol!$O$1555="","",[2]Baskol!$O$1555)</f>
        <v/>
      </c>
      <c r="AE1552">
        <f>IF([3]Entry!$C$1555="","",[3]Entry!$C$1555)</f>
        <v/>
      </c>
      <c r="AF1552">
        <f>IF([3]Entry!$D$1555="","",[3]Entry!$D$1555)</f>
        <v/>
      </c>
      <c r="AG1552">
        <f>IF([3]Entry!$E$1555="","",[3]Entry!$E$1555)</f>
        <v/>
      </c>
      <c r="AH1552">
        <f>IF([3]Entry!$G$1555="","",[3]Entry!$G$1555)</f>
        <v/>
      </c>
      <c r="AI1552">
        <f>IF([3]Entry!$K$1555="","",[3]Entry!$K$1555)</f>
        <v/>
      </c>
      <c r="AJ1552">
        <f>IF([3]Entry!$L$1555="","",[3]Entry!$L$1555)</f>
        <v/>
      </c>
      <c r="AK1552">
        <f>IF([3]Entry!$M$1555="","",[3]Entry!$M$1555)</f>
        <v/>
      </c>
      <c r="AL1552">
        <f>IF([3]Entry!$N$1555="","",[3]Entry!$N$1555)</f>
        <v/>
      </c>
      <c r="AM1552">
        <f>IF([3]Entry!$R$1555="","",[3]Entry!$R$1555)</f>
        <v/>
      </c>
    </row>
    <row r="1553">
      <c r="T1553">
        <f>IF([2]Baskol!$B$1556="","",[2]Baskol!$B$1556)</f>
        <v/>
      </c>
      <c r="U1553">
        <f>IF([2]Baskol!$C$1556="","",[2]Baskol!$C$1556)</f>
        <v/>
      </c>
      <c r="V1553">
        <f>IF([2]Baskol!$D$1556="","",[2]Baskol!$D$1556)</f>
        <v/>
      </c>
      <c r="W1553">
        <f>IF([2]Baskol!$E$1556="","",[2]Baskol!$E$1556)</f>
        <v/>
      </c>
      <c r="X1553">
        <f>IF([2]Baskol!$G$1556="","",[2]Baskol!$G$1556)</f>
        <v/>
      </c>
      <c r="Y1553">
        <f>IF([2]Baskol!$I$1556="","",[2]Baskol!$I$1556)</f>
        <v/>
      </c>
      <c r="Z1553">
        <f>IF([2]Baskol!$J$1556="","",[2]Baskol!$J$1556)</f>
        <v/>
      </c>
      <c r="AA1553">
        <f>IF([2]Baskol!$K$1556="","",[2]Baskol!$K$1556)</f>
        <v/>
      </c>
      <c r="AB1553">
        <f>IF([2]Baskol!$L$1556="","",[2]Baskol!$L$1556)</f>
        <v/>
      </c>
      <c r="AC1553">
        <f>IF([2]Baskol!$N$1556="","",[2]Baskol!$N$1556)</f>
        <v/>
      </c>
      <c r="AD1553">
        <f>IF([2]Baskol!$O$1556="","",[2]Baskol!$O$1556)</f>
        <v/>
      </c>
      <c r="AE1553">
        <f>IF([3]Entry!$C$1556="","",[3]Entry!$C$1556)</f>
        <v/>
      </c>
      <c r="AF1553">
        <f>IF([3]Entry!$D$1556="","",[3]Entry!$D$1556)</f>
        <v/>
      </c>
      <c r="AG1553">
        <f>IF([3]Entry!$E$1556="","",[3]Entry!$E$1556)</f>
        <v/>
      </c>
      <c r="AH1553">
        <f>IF([3]Entry!$G$1556="","",[3]Entry!$G$1556)</f>
        <v/>
      </c>
      <c r="AI1553">
        <f>IF([3]Entry!$K$1556="","",[3]Entry!$K$1556)</f>
        <v/>
      </c>
      <c r="AJ1553">
        <f>IF([3]Entry!$L$1556="","",[3]Entry!$L$1556)</f>
        <v/>
      </c>
      <c r="AK1553">
        <f>IF([3]Entry!$M$1556="","",[3]Entry!$M$1556)</f>
        <v/>
      </c>
      <c r="AL1553">
        <f>IF([3]Entry!$N$1556="","",[3]Entry!$N$1556)</f>
        <v/>
      </c>
      <c r="AM1553">
        <f>IF([3]Entry!$R$1556="","",[3]Entry!$R$1556)</f>
        <v/>
      </c>
    </row>
    <row r="1554">
      <c r="T1554">
        <f>IF([2]Baskol!$B$1557="","",[2]Baskol!$B$1557)</f>
        <v/>
      </c>
      <c r="U1554">
        <f>IF([2]Baskol!$C$1557="","",[2]Baskol!$C$1557)</f>
        <v/>
      </c>
      <c r="V1554">
        <f>IF([2]Baskol!$D$1557="","",[2]Baskol!$D$1557)</f>
        <v/>
      </c>
      <c r="W1554">
        <f>IF([2]Baskol!$E$1557="","",[2]Baskol!$E$1557)</f>
        <v/>
      </c>
      <c r="X1554">
        <f>IF([2]Baskol!$G$1557="","",[2]Baskol!$G$1557)</f>
        <v/>
      </c>
      <c r="Y1554">
        <f>IF([2]Baskol!$I$1557="","",[2]Baskol!$I$1557)</f>
        <v/>
      </c>
      <c r="Z1554">
        <f>IF([2]Baskol!$J$1557="","",[2]Baskol!$J$1557)</f>
        <v/>
      </c>
      <c r="AA1554">
        <f>IF([2]Baskol!$K$1557="","",[2]Baskol!$K$1557)</f>
        <v/>
      </c>
      <c r="AB1554">
        <f>IF([2]Baskol!$L$1557="","",[2]Baskol!$L$1557)</f>
        <v/>
      </c>
      <c r="AC1554">
        <f>IF([2]Baskol!$N$1557="","",[2]Baskol!$N$1557)</f>
        <v/>
      </c>
      <c r="AD1554">
        <f>IF([2]Baskol!$O$1557="","",[2]Baskol!$O$1557)</f>
        <v/>
      </c>
      <c r="AE1554">
        <f>IF([3]Entry!$C$1557="","",[3]Entry!$C$1557)</f>
        <v/>
      </c>
      <c r="AF1554">
        <f>IF([3]Entry!$D$1557="","",[3]Entry!$D$1557)</f>
        <v/>
      </c>
      <c r="AG1554">
        <f>IF([3]Entry!$E$1557="","",[3]Entry!$E$1557)</f>
        <v/>
      </c>
      <c r="AH1554">
        <f>IF([3]Entry!$G$1557="","",[3]Entry!$G$1557)</f>
        <v/>
      </c>
      <c r="AI1554">
        <f>IF([3]Entry!$K$1557="","",[3]Entry!$K$1557)</f>
        <v/>
      </c>
      <c r="AJ1554">
        <f>IF([3]Entry!$L$1557="","",[3]Entry!$L$1557)</f>
        <v/>
      </c>
      <c r="AK1554">
        <f>IF([3]Entry!$M$1557="","",[3]Entry!$M$1557)</f>
        <v/>
      </c>
      <c r="AL1554">
        <f>IF([3]Entry!$N$1557="","",[3]Entry!$N$1557)</f>
        <v/>
      </c>
      <c r="AM1554">
        <f>IF([3]Entry!$R$1557="","",[3]Entry!$R$1557)</f>
        <v/>
      </c>
    </row>
    <row r="1555">
      <c r="T1555">
        <f>IF([2]Baskol!$B$1558="","",[2]Baskol!$B$1558)</f>
        <v/>
      </c>
      <c r="U1555">
        <f>IF([2]Baskol!$C$1558="","",[2]Baskol!$C$1558)</f>
        <v/>
      </c>
      <c r="V1555">
        <f>IF([2]Baskol!$D$1558="","",[2]Baskol!$D$1558)</f>
        <v/>
      </c>
      <c r="W1555">
        <f>IF([2]Baskol!$E$1558="","",[2]Baskol!$E$1558)</f>
        <v/>
      </c>
      <c r="X1555">
        <f>IF([2]Baskol!$G$1558="","",[2]Baskol!$G$1558)</f>
        <v/>
      </c>
      <c r="Y1555">
        <f>IF([2]Baskol!$I$1558="","",[2]Baskol!$I$1558)</f>
        <v/>
      </c>
      <c r="Z1555">
        <f>IF([2]Baskol!$J$1558="","",[2]Baskol!$J$1558)</f>
        <v/>
      </c>
      <c r="AA1555">
        <f>IF([2]Baskol!$K$1558="","",[2]Baskol!$K$1558)</f>
        <v/>
      </c>
      <c r="AB1555">
        <f>IF([2]Baskol!$L$1558="","",[2]Baskol!$L$1558)</f>
        <v/>
      </c>
      <c r="AC1555">
        <f>IF([2]Baskol!$N$1558="","",[2]Baskol!$N$1558)</f>
        <v/>
      </c>
      <c r="AD1555">
        <f>IF([2]Baskol!$O$1558="","",[2]Baskol!$O$1558)</f>
        <v/>
      </c>
      <c r="AE1555">
        <f>IF([3]Entry!$C$1558="","",[3]Entry!$C$1558)</f>
        <v/>
      </c>
      <c r="AF1555">
        <f>IF([3]Entry!$D$1558="","",[3]Entry!$D$1558)</f>
        <v/>
      </c>
      <c r="AG1555">
        <f>IF([3]Entry!$E$1558="","",[3]Entry!$E$1558)</f>
        <v/>
      </c>
      <c r="AH1555">
        <f>IF([3]Entry!$G$1558="","",[3]Entry!$G$1558)</f>
        <v/>
      </c>
      <c r="AI1555">
        <f>IF([3]Entry!$K$1558="","",[3]Entry!$K$1558)</f>
        <v/>
      </c>
      <c r="AJ1555">
        <f>IF([3]Entry!$L$1558="","",[3]Entry!$L$1558)</f>
        <v/>
      </c>
      <c r="AK1555">
        <f>IF([3]Entry!$M$1558="","",[3]Entry!$M$1558)</f>
        <v/>
      </c>
      <c r="AL1555">
        <f>IF([3]Entry!$N$1558="","",[3]Entry!$N$1558)</f>
        <v/>
      </c>
      <c r="AM1555">
        <f>IF([3]Entry!$R$1558="","",[3]Entry!$R$1558)</f>
        <v/>
      </c>
    </row>
    <row r="1556">
      <c r="T1556">
        <f>IF([2]Baskol!$B$1559="","",[2]Baskol!$B$1559)</f>
        <v/>
      </c>
      <c r="U1556">
        <f>IF([2]Baskol!$C$1559="","",[2]Baskol!$C$1559)</f>
        <v/>
      </c>
      <c r="V1556">
        <f>IF([2]Baskol!$D$1559="","",[2]Baskol!$D$1559)</f>
        <v/>
      </c>
      <c r="W1556">
        <f>IF([2]Baskol!$E$1559="","",[2]Baskol!$E$1559)</f>
        <v/>
      </c>
      <c r="X1556">
        <f>IF([2]Baskol!$G$1559="","",[2]Baskol!$G$1559)</f>
        <v/>
      </c>
      <c r="Y1556">
        <f>IF([2]Baskol!$I$1559="","",[2]Baskol!$I$1559)</f>
        <v/>
      </c>
      <c r="Z1556">
        <f>IF([2]Baskol!$J$1559="","",[2]Baskol!$J$1559)</f>
        <v/>
      </c>
      <c r="AA1556">
        <f>IF([2]Baskol!$K$1559="","",[2]Baskol!$K$1559)</f>
        <v/>
      </c>
      <c r="AB1556">
        <f>IF([2]Baskol!$L$1559="","",[2]Baskol!$L$1559)</f>
        <v/>
      </c>
      <c r="AC1556">
        <f>IF([2]Baskol!$N$1559="","",[2]Baskol!$N$1559)</f>
        <v/>
      </c>
      <c r="AD1556">
        <f>IF([2]Baskol!$O$1559="","",[2]Baskol!$O$1559)</f>
        <v/>
      </c>
      <c r="AE1556">
        <f>IF([3]Entry!$C$1559="","",[3]Entry!$C$1559)</f>
        <v/>
      </c>
      <c r="AF1556">
        <f>IF([3]Entry!$D$1559="","",[3]Entry!$D$1559)</f>
        <v/>
      </c>
      <c r="AG1556">
        <f>IF([3]Entry!$E$1559="","",[3]Entry!$E$1559)</f>
        <v/>
      </c>
      <c r="AH1556">
        <f>IF([3]Entry!$G$1559="","",[3]Entry!$G$1559)</f>
        <v/>
      </c>
      <c r="AI1556">
        <f>IF([3]Entry!$K$1559="","",[3]Entry!$K$1559)</f>
        <v/>
      </c>
      <c r="AJ1556">
        <f>IF([3]Entry!$L$1559="","",[3]Entry!$L$1559)</f>
        <v/>
      </c>
      <c r="AK1556">
        <f>IF([3]Entry!$M$1559="","",[3]Entry!$M$1559)</f>
        <v/>
      </c>
      <c r="AL1556">
        <f>IF([3]Entry!$N$1559="","",[3]Entry!$N$1559)</f>
        <v/>
      </c>
      <c r="AM1556">
        <f>IF([3]Entry!$R$1559="","",[3]Entry!$R$1559)</f>
        <v/>
      </c>
    </row>
    <row r="1557">
      <c r="T1557">
        <f>IF([2]Baskol!$B$1560="","",[2]Baskol!$B$1560)</f>
        <v/>
      </c>
      <c r="U1557">
        <f>IF([2]Baskol!$C$1560="","",[2]Baskol!$C$1560)</f>
        <v/>
      </c>
      <c r="V1557">
        <f>IF([2]Baskol!$D$1560="","",[2]Baskol!$D$1560)</f>
        <v/>
      </c>
      <c r="W1557">
        <f>IF([2]Baskol!$E$1560="","",[2]Baskol!$E$1560)</f>
        <v/>
      </c>
      <c r="X1557">
        <f>IF([2]Baskol!$G$1560="","",[2]Baskol!$G$1560)</f>
        <v/>
      </c>
      <c r="Y1557">
        <f>IF([2]Baskol!$I$1560="","",[2]Baskol!$I$1560)</f>
        <v/>
      </c>
      <c r="Z1557">
        <f>IF([2]Baskol!$J$1560="","",[2]Baskol!$J$1560)</f>
        <v/>
      </c>
      <c r="AA1557">
        <f>IF([2]Baskol!$K$1560="","",[2]Baskol!$K$1560)</f>
        <v/>
      </c>
      <c r="AB1557">
        <f>IF([2]Baskol!$L$1560="","",[2]Baskol!$L$1560)</f>
        <v/>
      </c>
      <c r="AC1557">
        <f>IF([2]Baskol!$N$1560="","",[2]Baskol!$N$1560)</f>
        <v/>
      </c>
      <c r="AD1557">
        <f>IF([2]Baskol!$O$1560="","",[2]Baskol!$O$1560)</f>
        <v/>
      </c>
      <c r="AE1557">
        <f>IF([3]Entry!$C$1560="","",[3]Entry!$C$1560)</f>
        <v/>
      </c>
      <c r="AF1557">
        <f>IF([3]Entry!$D$1560="","",[3]Entry!$D$1560)</f>
        <v/>
      </c>
      <c r="AG1557">
        <f>IF([3]Entry!$E$1560="","",[3]Entry!$E$1560)</f>
        <v/>
      </c>
      <c r="AH1557">
        <f>IF([3]Entry!$G$1560="","",[3]Entry!$G$1560)</f>
        <v/>
      </c>
      <c r="AI1557">
        <f>IF([3]Entry!$K$1560="","",[3]Entry!$K$1560)</f>
        <v/>
      </c>
      <c r="AJ1557">
        <f>IF([3]Entry!$L$1560="","",[3]Entry!$L$1560)</f>
        <v/>
      </c>
      <c r="AK1557">
        <f>IF([3]Entry!$M$1560="","",[3]Entry!$M$1560)</f>
        <v/>
      </c>
      <c r="AL1557">
        <f>IF([3]Entry!$N$1560="","",[3]Entry!$N$1560)</f>
        <v/>
      </c>
      <c r="AM1557">
        <f>IF([3]Entry!$R$1560="","",[3]Entry!$R$1560)</f>
        <v/>
      </c>
    </row>
    <row r="1558">
      <c r="T1558">
        <f>IF([2]Baskol!$B$1561="","",[2]Baskol!$B$1561)</f>
        <v/>
      </c>
      <c r="U1558">
        <f>IF([2]Baskol!$C$1561="","",[2]Baskol!$C$1561)</f>
        <v/>
      </c>
      <c r="V1558">
        <f>IF([2]Baskol!$D$1561="","",[2]Baskol!$D$1561)</f>
        <v/>
      </c>
      <c r="W1558">
        <f>IF([2]Baskol!$E$1561="","",[2]Baskol!$E$1561)</f>
        <v/>
      </c>
      <c r="X1558">
        <f>IF([2]Baskol!$G$1561="","",[2]Baskol!$G$1561)</f>
        <v/>
      </c>
      <c r="Y1558">
        <f>IF([2]Baskol!$I$1561="","",[2]Baskol!$I$1561)</f>
        <v/>
      </c>
      <c r="Z1558">
        <f>IF([2]Baskol!$J$1561="","",[2]Baskol!$J$1561)</f>
        <v/>
      </c>
      <c r="AA1558">
        <f>IF([2]Baskol!$K$1561="","",[2]Baskol!$K$1561)</f>
        <v/>
      </c>
      <c r="AB1558">
        <f>IF([2]Baskol!$L$1561="","",[2]Baskol!$L$1561)</f>
        <v/>
      </c>
      <c r="AC1558">
        <f>IF([2]Baskol!$N$1561="","",[2]Baskol!$N$1561)</f>
        <v/>
      </c>
      <c r="AD1558">
        <f>IF([2]Baskol!$O$1561="","",[2]Baskol!$O$1561)</f>
        <v/>
      </c>
      <c r="AE1558">
        <f>IF([3]Entry!$C$1561="","",[3]Entry!$C$1561)</f>
        <v/>
      </c>
      <c r="AF1558">
        <f>IF([3]Entry!$D$1561="","",[3]Entry!$D$1561)</f>
        <v/>
      </c>
      <c r="AG1558">
        <f>IF([3]Entry!$E$1561="","",[3]Entry!$E$1561)</f>
        <v/>
      </c>
      <c r="AH1558">
        <f>IF([3]Entry!$G$1561="","",[3]Entry!$G$1561)</f>
        <v/>
      </c>
      <c r="AI1558">
        <f>IF([3]Entry!$K$1561="","",[3]Entry!$K$1561)</f>
        <v/>
      </c>
      <c r="AJ1558">
        <f>IF([3]Entry!$L$1561="","",[3]Entry!$L$1561)</f>
        <v/>
      </c>
      <c r="AK1558">
        <f>IF([3]Entry!$M$1561="","",[3]Entry!$M$1561)</f>
        <v/>
      </c>
      <c r="AL1558">
        <f>IF([3]Entry!$N$1561="","",[3]Entry!$N$1561)</f>
        <v/>
      </c>
      <c r="AM1558">
        <f>IF([3]Entry!$R$1561="","",[3]Entry!$R$1561)</f>
        <v/>
      </c>
    </row>
    <row r="1559">
      <c r="T1559">
        <f>IF([2]Baskol!$B$1562="","",[2]Baskol!$B$1562)</f>
        <v/>
      </c>
      <c r="U1559">
        <f>IF([2]Baskol!$C$1562="","",[2]Baskol!$C$1562)</f>
        <v/>
      </c>
      <c r="V1559">
        <f>IF([2]Baskol!$D$1562="","",[2]Baskol!$D$1562)</f>
        <v/>
      </c>
      <c r="W1559">
        <f>IF([2]Baskol!$E$1562="","",[2]Baskol!$E$1562)</f>
        <v/>
      </c>
      <c r="X1559">
        <f>IF([2]Baskol!$G$1562="","",[2]Baskol!$G$1562)</f>
        <v/>
      </c>
      <c r="Y1559">
        <f>IF([2]Baskol!$I$1562="","",[2]Baskol!$I$1562)</f>
        <v/>
      </c>
      <c r="Z1559">
        <f>IF([2]Baskol!$J$1562="","",[2]Baskol!$J$1562)</f>
        <v/>
      </c>
      <c r="AA1559">
        <f>IF([2]Baskol!$K$1562="","",[2]Baskol!$K$1562)</f>
        <v/>
      </c>
      <c r="AB1559">
        <f>IF([2]Baskol!$L$1562="","",[2]Baskol!$L$1562)</f>
        <v/>
      </c>
      <c r="AC1559">
        <f>IF([2]Baskol!$N$1562="","",[2]Baskol!$N$1562)</f>
        <v/>
      </c>
      <c r="AD1559">
        <f>IF([2]Baskol!$O$1562="","",[2]Baskol!$O$1562)</f>
        <v/>
      </c>
      <c r="AE1559">
        <f>IF([3]Entry!$C$1562="","",[3]Entry!$C$1562)</f>
        <v/>
      </c>
      <c r="AF1559">
        <f>IF([3]Entry!$D$1562="","",[3]Entry!$D$1562)</f>
        <v/>
      </c>
      <c r="AG1559">
        <f>IF([3]Entry!$E$1562="","",[3]Entry!$E$1562)</f>
        <v/>
      </c>
      <c r="AH1559">
        <f>IF([3]Entry!$G$1562="","",[3]Entry!$G$1562)</f>
        <v/>
      </c>
      <c r="AI1559">
        <f>IF([3]Entry!$K$1562="","",[3]Entry!$K$1562)</f>
        <v/>
      </c>
      <c r="AJ1559">
        <f>IF([3]Entry!$L$1562="","",[3]Entry!$L$1562)</f>
        <v/>
      </c>
      <c r="AK1559">
        <f>IF([3]Entry!$M$1562="","",[3]Entry!$M$1562)</f>
        <v/>
      </c>
      <c r="AL1559">
        <f>IF([3]Entry!$N$1562="","",[3]Entry!$N$1562)</f>
        <v/>
      </c>
      <c r="AM1559">
        <f>IF([3]Entry!$R$1562="","",[3]Entry!$R$1562)</f>
        <v/>
      </c>
    </row>
    <row r="1560">
      <c r="T1560">
        <f>IF([2]Baskol!$B$1563="","",[2]Baskol!$B$1563)</f>
        <v/>
      </c>
      <c r="U1560">
        <f>IF([2]Baskol!$C$1563="","",[2]Baskol!$C$1563)</f>
        <v/>
      </c>
      <c r="V1560">
        <f>IF([2]Baskol!$D$1563="","",[2]Baskol!$D$1563)</f>
        <v/>
      </c>
      <c r="W1560">
        <f>IF([2]Baskol!$E$1563="","",[2]Baskol!$E$1563)</f>
        <v/>
      </c>
      <c r="X1560">
        <f>IF([2]Baskol!$G$1563="","",[2]Baskol!$G$1563)</f>
        <v/>
      </c>
      <c r="Y1560">
        <f>IF([2]Baskol!$I$1563="","",[2]Baskol!$I$1563)</f>
        <v/>
      </c>
      <c r="Z1560">
        <f>IF([2]Baskol!$J$1563="","",[2]Baskol!$J$1563)</f>
        <v/>
      </c>
      <c r="AA1560">
        <f>IF([2]Baskol!$K$1563="","",[2]Baskol!$K$1563)</f>
        <v/>
      </c>
      <c r="AB1560">
        <f>IF([2]Baskol!$L$1563="","",[2]Baskol!$L$1563)</f>
        <v/>
      </c>
      <c r="AC1560">
        <f>IF([2]Baskol!$N$1563="","",[2]Baskol!$N$1563)</f>
        <v/>
      </c>
      <c r="AD1560">
        <f>IF([2]Baskol!$O$1563="","",[2]Baskol!$O$1563)</f>
        <v/>
      </c>
      <c r="AE1560">
        <f>IF([3]Entry!$C$1563="","",[3]Entry!$C$1563)</f>
        <v/>
      </c>
      <c r="AF1560">
        <f>IF([3]Entry!$D$1563="","",[3]Entry!$D$1563)</f>
        <v/>
      </c>
      <c r="AG1560">
        <f>IF([3]Entry!$E$1563="","",[3]Entry!$E$1563)</f>
        <v/>
      </c>
      <c r="AH1560">
        <f>IF([3]Entry!$G$1563="","",[3]Entry!$G$1563)</f>
        <v/>
      </c>
      <c r="AI1560">
        <f>IF([3]Entry!$K$1563="","",[3]Entry!$K$1563)</f>
        <v/>
      </c>
      <c r="AJ1560">
        <f>IF([3]Entry!$L$1563="","",[3]Entry!$L$1563)</f>
        <v/>
      </c>
      <c r="AK1560">
        <f>IF([3]Entry!$M$1563="","",[3]Entry!$M$1563)</f>
        <v/>
      </c>
      <c r="AL1560">
        <f>IF([3]Entry!$N$1563="","",[3]Entry!$N$1563)</f>
        <v/>
      </c>
      <c r="AM1560">
        <f>IF([3]Entry!$R$1563="","",[3]Entry!$R$1563)</f>
        <v/>
      </c>
    </row>
    <row r="1561">
      <c r="T1561">
        <f>IF([2]Baskol!$B$1564="","",[2]Baskol!$B$1564)</f>
        <v/>
      </c>
      <c r="U1561">
        <f>IF([2]Baskol!$C$1564="","",[2]Baskol!$C$1564)</f>
        <v/>
      </c>
      <c r="V1561">
        <f>IF([2]Baskol!$D$1564="","",[2]Baskol!$D$1564)</f>
        <v/>
      </c>
      <c r="W1561">
        <f>IF([2]Baskol!$E$1564="","",[2]Baskol!$E$1564)</f>
        <v/>
      </c>
      <c r="X1561">
        <f>IF([2]Baskol!$G$1564="","",[2]Baskol!$G$1564)</f>
        <v/>
      </c>
      <c r="Y1561">
        <f>IF([2]Baskol!$I$1564="","",[2]Baskol!$I$1564)</f>
        <v/>
      </c>
      <c r="Z1561">
        <f>IF([2]Baskol!$J$1564="","",[2]Baskol!$J$1564)</f>
        <v/>
      </c>
      <c r="AA1561">
        <f>IF([2]Baskol!$K$1564="","",[2]Baskol!$K$1564)</f>
        <v/>
      </c>
      <c r="AB1561">
        <f>IF([2]Baskol!$L$1564="","",[2]Baskol!$L$1564)</f>
        <v/>
      </c>
      <c r="AC1561">
        <f>IF([2]Baskol!$N$1564="","",[2]Baskol!$N$1564)</f>
        <v/>
      </c>
      <c r="AD1561">
        <f>IF([2]Baskol!$O$1564="","",[2]Baskol!$O$1564)</f>
        <v/>
      </c>
      <c r="AE1561">
        <f>IF([3]Entry!$C$1564="","",[3]Entry!$C$1564)</f>
        <v/>
      </c>
      <c r="AF1561">
        <f>IF([3]Entry!$D$1564="","",[3]Entry!$D$1564)</f>
        <v/>
      </c>
      <c r="AG1561">
        <f>IF([3]Entry!$E$1564="","",[3]Entry!$E$1564)</f>
        <v/>
      </c>
      <c r="AH1561">
        <f>IF([3]Entry!$G$1564="","",[3]Entry!$G$1564)</f>
        <v/>
      </c>
      <c r="AI1561">
        <f>IF([3]Entry!$K$1564="","",[3]Entry!$K$1564)</f>
        <v/>
      </c>
      <c r="AJ1561">
        <f>IF([3]Entry!$L$1564="","",[3]Entry!$L$1564)</f>
        <v/>
      </c>
      <c r="AK1561">
        <f>IF([3]Entry!$M$1564="","",[3]Entry!$M$1564)</f>
        <v/>
      </c>
      <c r="AL1561">
        <f>IF([3]Entry!$N$1564="","",[3]Entry!$N$1564)</f>
        <v/>
      </c>
      <c r="AM1561">
        <f>IF([3]Entry!$R$1564="","",[3]Entry!$R$1564)</f>
        <v/>
      </c>
    </row>
    <row r="1562">
      <c r="T1562">
        <f>IF([2]Baskol!$B$1565="","",[2]Baskol!$B$1565)</f>
        <v/>
      </c>
      <c r="U1562">
        <f>IF([2]Baskol!$C$1565="","",[2]Baskol!$C$1565)</f>
        <v/>
      </c>
      <c r="V1562">
        <f>IF([2]Baskol!$D$1565="","",[2]Baskol!$D$1565)</f>
        <v/>
      </c>
      <c r="W1562">
        <f>IF([2]Baskol!$E$1565="","",[2]Baskol!$E$1565)</f>
        <v/>
      </c>
      <c r="X1562">
        <f>IF([2]Baskol!$G$1565="","",[2]Baskol!$G$1565)</f>
        <v/>
      </c>
      <c r="Y1562">
        <f>IF([2]Baskol!$I$1565="","",[2]Baskol!$I$1565)</f>
        <v/>
      </c>
      <c r="Z1562">
        <f>IF([2]Baskol!$J$1565="","",[2]Baskol!$J$1565)</f>
        <v/>
      </c>
      <c r="AA1562">
        <f>IF([2]Baskol!$K$1565="","",[2]Baskol!$K$1565)</f>
        <v/>
      </c>
      <c r="AB1562">
        <f>IF([2]Baskol!$L$1565="","",[2]Baskol!$L$1565)</f>
        <v/>
      </c>
      <c r="AC1562">
        <f>IF([2]Baskol!$N$1565="","",[2]Baskol!$N$1565)</f>
        <v/>
      </c>
      <c r="AD1562">
        <f>IF([2]Baskol!$O$1565="","",[2]Baskol!$O$1565)</f>
        <v/>
      </c>
      <c r="AE1562">
        <f>IF([3]Entry!$C$1565="","",[3]Entry!$C$1565)</f>
        <v/>
      </c>
      <c r="AF1562">
        <f>IF([3]Entry!$D$1565="","",[3]Entry!$D$1565)</f>
        <v/>
      </c>
      <c r="AG1562">
        <f>IF([3]Entry!$E$1565="","",[3]Entry!$E$1565)</f>
        <v/>
      </c>
      <c r="AH1562">
        <f>IF([3]Entry!$G$1565="","",[3]Entry!$G$1565)</f>
        <v/>
      </c>
      <c r="AI1562">
        <f>IF([3]Entry!$K$1565="","",[3]Entry!$K$1565)</f>
        <v/>
      </c>
      <c r="AJ1562">
        <f>IF([3]Entry!$L$1565="","",[3]Entry!$L$1565)</f>
        <v/>
      </c>
      <c r="AK1562">
        <f>IF([3]Entry!$M$1565="","",[3]Entry!$M$1565)</f>
        <v/>
      </c>
      <c r="AL1562">
        <f>IF([3]Entry!$N$1565="","",[3]Entry!$N$1565)</f>
        <v/>
      </c>
      <c r="AM1562">
        <f>IF([3]Entry!$R$1565="","",[3]Entry!$R$1565)</f>
        <v/>
      </c>
    </row>
    <row r="1563">
      <c r="T1563">
        <f>IF([2]Baskol!$B$1566="","",[2]Baskol!$B$1566)</f>
        <v/>
      </c>
      <c r="U1563">
        <f>IF([2]Baskol!$C$1566="","",[2]Baskol!$C$1566)</f>
        <v/>
      </c>
      <c r="V1563">
        <f>IF([2]Baskol!$D$1566="","",[2]Baskol!$D$1566)</f>
        <v/>
      </c>
      <c r="W1563">
        <f>IF([2]Baskol!$E$1566="","",[2]Baskol!$E$1566)</f>
        <v/>
      </c>
      <c r="X1563">
        <f>IF([2]Baskol!$G$1566="","",[2]Baskol!$G$1566)</f>
        <v/>
      </c>
      <c r="Y1563">
        <f>IF([2]Baskol!$I$1566="","",[2]Baskol!$I$1566)</f>
        <v/>
      </c>
      <c r="Z1563">
        <f>IF([2]Baskol!$J$1566="","",[2]Baskol!$J$1566)</f>
        <v/>
      </c>
      <c r="AA1563">
        <f>IF([2]Baskol!$K$1566="","",[2]Baskol!$K$1566)</f>
        <v/>
      </c>
      <c r="AB1563">
        <f>IF([2]Baskol!$L$1566="","",[2]Baskol!$L$1566)</f>
        <v/>
      </c>
      <c r="AC1563">
        <f>IF([2]Baskol!$N$1566="","",[2]Baskol!$N$1566)</f>
        <v/>
      </c>
      <c r="AD1563">
        <f>IF([2]Baskol!$O$1566="","",[2]Baskol!$O$1566)</f>
        <v/>
      </c>
      <c r="AE1563">
        <f>IF([3]Entry!$C$1566="","",[3]Entry!$C$1566)</f>
        <v/>
      </c>
      <c r="AF1563">
        <f>IF([3]Entry!$D$1566="","",[3]Entry!$D$1566)</f>
        <v/>
      </c>
      <c r="AG1563">
        <f>IF([3]Entry!$E$1566="","",[3]Entry!$E$1566)</f>
        <v/>
      </c>
      <c r="AH1563">
        <f>IF([3]Entry!$G$1566="","",[3]Entry!$G$1566)</f>
        <v/>
      </c>
      <c r="AI1563">
        <f>IF([3]Entry!$K$1566="","",[3]Entry!$K$1566)</f>
        <v/>
      </c>
      <c r="AJ1563">
        <f>IF([3]Entry!$L$1566="","",[3]Entry!$L$1566)</f>
        <v/>
      </c>
      <c r="AK1563">
        <f>IF([3]Entry!$M$1566="","",[3]Entry!$M$1566)</f>
        <v/>
      </c>
      <c r="AL1563">
        <f>IF([3]Entry!$N$1566="","",[3]Entry!$N$1566)</f>
        <v/>
      </c>
      <c r="AM1563">
        <f>IF([3]Entry!$R$1566="","",[3]Entry!$R$1566)</f>
        <v/>
      </c>
    </row>
    <row r="1564">
      <c r="T1564">
        <f>IF([2]Baskol!$B$1567="","",[2]Baskol!$B$1567)</f>
        <v/>
      </c>
      <c r="U1564">
        <f>IF([2]Baskol!$C$1567="","",[2]Baskol!$C$1567)</f>
        <v/>
      </c>
      <c r="V1564">
        <f>IF([2]Baskol!$D$1567="","",[2]Baskol!$D$1567)</f>
        <v/>
      </c>
      <c r="W1564">
        <f>IF([2]Baskol!$E$1567="","",[2]Baskol!$E$1567)</f>
        <v/>
      </c>
      <c r="X1564">
        <f>IF([2]Baskol!$G$1567="","",[2]Baskol!$G$1567)</f>
        <v/>
      </c>
      <c r="Y1564">
        <f>IF([2]Baskol!$I$1567="","",[2]Baskol!$I$1567)</f>
        <v/>
      </c>
      <c r="Z1564">
        <f>IF([2]Baskol!$J$1567="","",[2]Baskol!$J$1567)</f>
        <v/>
      </c>
      <c r="AA1564">
        <f>IF([2]Baskol!$K$1567="","",[2]Baskol!$K$1567)</f>
        <v/>
      </c>
      <c r="AB1564">
        <f>IF([2]Baskol!$L$1567="","",[2]Baskol!$L$1567)</f>
        <v/>
      </c>
      <c r="AC1564">
        <f>IF([2]Baskol!$N$1567="","",[2]Baskol!$N$1567)</f>
        <v/>
      </c>
      <c r="AD1564">
        <f>IF([2]Baskol!$O$1567="","",[2]Baskol!$O$1567)</f>
        <v/>
      </c>
      <c r="AE1564">
        <f>IF([3]Entry!$C$1567="","",[3]Entry!$C$1567)</f>
        <v/>
      </c>
      <c r="AF1564">
        <f>IF([3]Entry!$D$1567="","",[3]Entry!$D$1567)</f>
        <v/>
      </c>
      <c r="AG1564">
        <f>IF([3]Entry!$E$1567="","",[3]Entry!$E$1567)</f>
        <v/>
      </c>
      <c r="AH1564">
        <f>IF([3]Entry!$G$1567="","",[3]Entry!$G$1567)</f>
        <v/>
      </c>
      <c r="AI1564">
        <f>IF([3]Entry!$K$1567="","",[3]Entry!$K$1567)</f>
        <v/>
      </c>
      <c r="AJ1564">
        <f>IF([3]Entry!$L$1567="","",[3]Entry!$L$1567)</f>
        <v/>
      </c>
      <c r="AK1564">
        <f>IF([3]Entry!$M$1567="","",[3]Entry!$M$1567)</f>
        <v/>
      </c>
      <c r="AL1564">
        <f>IF([3]Entry!$N$1567="","",[3]Entry!$N$1567)</f>
        <v/>
      </c>
      <c r="AM1564">
        <f>IF([3]Entry!$R$1567="","",[3]Entry!$R$1567)</f>
        <v/>
      </c>
    </row>
    <row r="1565">
      <c r="T1565">
        <f>IF([2]Baskol!$B$1568="","",[2]Baskol!$B$1568)</f>
        <v/>
      </c>
      <c r="U1565">
        <f>IF([2]Baskol!$C$1568="","",[2]Baskol!$C$1568)</f>
        <v/>
      </c>
      <c r="V1565">
        <f>IF([2]Baskol!$D$1568="","",[2]Baskol!$D$1568)</f>
        <v/>
      </c>
      <c r="W1565">
        <f>IF([2]Baskol!$E$1568="","",[2]Baskol!$E$1568)</f>
        <v/>
      </c>
      <c r="X1565">
        <f>IF([2]Baskol!$G$1568="","",[2]Baskol!$G$1568)</f>
        <v/>
      </c>
      <c r="Y1565">
        <f>IF([2]Baskol!$I$1568="","",[2]Baskol!$I$1568)</f>
        <v/>
      </c>
      <c r="Z1565">
        <f>IF([2]Baskol!$J$1568="","",[2]Baskol!$J$1568)</f>
        <v/>
      </c>
      <c r="AA1565">
        <f>IF([2]Baskol!$K$1568="","",[2]Baskol!$K$1568)</f>
        <v/>
      </c>
      <c r="AB1565">
        <f>IF([2]Baskol!$L$1568="","",[2]Baskol!$L$1568)</f>
        <v/>
      </c>
      <c r="AC1565">
        <f>IF([2]Baskol!$N$1568="","",[2]Baskol!$N$1568)</f>
        <v/>
      </c>
      <c r="AD1565">
        <f>IF([2]Baskol!$O$1568="","",[2]Baskol!$O$1568)</f>
        <v/>
      </c>
      <c r="AE1565">
        <f>IF([3]Entry!$C$1568="","",[3]Entry!$C$1568)</f>
        <v/>
      </c>
      <c r="AF1565">
        <f>IF([3]Entry!$D$1568="","",[3]Entry!$D$1568)</f>
        <v/>
      </c>
      <c r="AG1565">
        <f>IF([3]Entry!$E$1568="","",[3]Entry!$E$1568)</f>
        <v/>
      </c>
      <c r="AH1565">
        <f>IF([3]Entry!$G$1568="","",[3]Entry!$G$1568)</f>
        <v/>
      </c>
      <c r="AI1565">
        <f>IF([3]Entry!$K$1568="","",[3]Entry!$K$1568)</f>
        <v/>
      </c>
      <c r="AJ1565">
        <f>IF([3]Entry!$L$1568="","",[3]Entry!$L$1568)</f>
        <v/>
      </c>
      <c r="AK1565">
        <f>IF([3]Entry!$M$1568="","",[3]Entry!$M$1568)</f>
        <v/>
      </c>
      <c r="AL1565">
        <f>IF([3]Entry!$N$1568="","",[3]Entry!$N$1568)</f>
        <v/>
      </c>
      <c r="AM1565">
        <f>IF([3]Entry!$R$1568="","",[3]Entry!$R$1568)</f>
        <v/>
      </c>
    </row>
    <row r="1566">
      <c r="T1566">
        <f>IF([2]Baskol!$B$1569="","",[2]Baskol!$B$1569)</f>
        <v/>
      </c>
      <c r="U1566">
        <f>IF([2]Baskol!$C$1569="","",[2]Baskol!$C$1569)</f>
        <v/>
      </c>
      <c r="V1566">
        <f>IF([2]Baskol!$D$1569="","",[2]Baskol!$D$1569)</f>
        <v/>
      </c>
      <c r="W1566">
        <f>IF([2]Baskol!$E$1569="","",[2]Baskol!$E$1569)</f>
        <v/>
      </c>
      <c r="X1566">
        <f>IF([2]Baskol!$G$1569="","",[2]Baskol!$G$1569)</f>
        <v/>
      </c>
      <c r="Y1566">
        <f>IF([2]Baskol!$I$1569="","",[2]Baskol!$I$1569)</f>
        <v/>
      </c>
      <c r="Z1566">
        <f>IF([2]Baskol!$J$1569="","",[2]Baskol!$J$1569)</f>
        <v/>
      </c>
      <c r="AA1566">
        <f>IF([2]Baskol!$K$1569="","",[2]Baskol!$K$1569)</f>
        <v/>
      </c>
      <c r="AB1566">
        <f>IF([2]Baskol!$L$1569="","",[2]Baskol!$L$1569)</f>
        <v/>
      </c>
      <c r="AC1566">
        <f>IF([2]Baskol!$N$1569="","",[2]Baskol!$N$1569)</f>
        <v/>
      </c>
      <c r="AD1566">
        <f>IF([2]Baskol!$O$1569="","",[2]Baskol!$O$1569)</f>
        <v/>
      </c>
      <c r="AE1566">
        <f>IF([3]Entry!$C$1569="","",[3]Entry!$C$1569)</f>
        <v/>
      </c>
      <c r="AF1566">
        <f>IF([3]Entry!$D$1569="","",[3]Entry!$D$1569)</f>
        <v/>
      </c>
      <c r="AG1566">
        <f>IF([3]Entry!$E$1569="","",[3]Entry!$E$1569)</f>
        <v/>
      </c>
      <c r="AH1566">
        <f>IF([3]Entry!$G$1569="","",[3]Entry!$G$1569)</f>
        <v/>
      </c>
      <c r="AI1566">
        <f>IF([3]Entry!$K$1569="","",[3]Entry!$K$1569)</f>
        <v/>
      </c>
      <c r="AJ1566">
        <f>IF([3]Entry!$L$1569="","",[3]Entry!$L$1569)</f>
        <v/>
      </c>
      <c r="AK1566">
        <f>IF([3]Entry!$M$1569="","",[3]Entry!$M$1569)</f>
        <v/>
      </c>
      <c r="AL1566">
        <f>IF([3]Entry!$N$1569="","",[3]Entry!$N$1569)</f>
        <v/>
      </c>
      <c r="AM1566">
        <f>IF([3]Entry!$R$1569="","",[3]Entry!$R$1569)</f>
        <v/>
      </c>
    </row>
    <row r="1567">
      <c r="T1567">
        <f>IF([2]Baskol!$B$1570="","",[2]Baskol!$B$1570)</f>
        <v/>
      </c>
      <c r="U1567">
        <f>IF([2]Baskol!$C$1570="","",[2]Baskol!$C$1570)</f>
        <v/>
      </c>
      <c r="V1567">
        <f>IF([2]Baskol!$D$1570="","",[2]Baskol!$D$1570)</f>
        <v/>
      </c>
      <c r="W1567">
        <f>IF([2]Baskol!$E$1570="","",[2]Baskol!$E$1570)</f>
        <v/>
      </c>
      <c r="X1567">
        <f>IF([2]Baskol!$G$1570="","",[2]Baskol!$G$1570)</f>
        <v/>
      </c>
      <c r="Y1567">
        <f>IF([2]Baskol!$I$1570="","",[2]Baskol!$I$1570)</f>
        <v/>
      </c>
      <c r="Z1567">
        <f>IF([2]Baskol!$J$1570="","",[2]Baskol!$J$1570)</f>
        <v/>
      </c>
      <c r="AA1567">
        <f>IF([2]Baskol!$K$1570="","",[2]Baskol!$K$1570)</f>
        <v/>
      </c>
      <c r="AB1567">
        <f>IF([2]Baskol!$L$1570="","",[2]Baskol!$L$1570)</f>
        <v/>
      </c>
      <c r="AC1567">
        <f>IF([2]Baskol!$N$1570="","",[2]Baskol!$N$1570)</f>
        <v/>
      </c>
      <c r="AD1567">
        <f>IF([2]Baskol!$O$1570="","",[2]Baskol!$O$1570)</f>
        <v/>
      </c>
      <c r="AE1567">
        <f>IF([3]Entry!$C$1570="","",[3]Entry!$C$1570)</f>
        <v/>
      </c>
      <c r="AF1567">
        <f>IF([3]Entry!$D$1570="","",[3]Entry!$D$1570)</f>
        <v/>
      </c>
      <c r="AG1567">
        <f>IF([3]Entry!$E$1570="","",[3]Entry!$E$1570)</f>
        <v/>
      </c>
      <c r="AH1567">
        <f>IF([3]Entry!$G$1570="","",[3]Entry!$G$1570)</f>
        <v/>
      </c>
      <c r="AI1567">
        <f>IF([3]Entry!$K$1570="","",[3]Entry!$K$1570)</f>
        <v/>
      </c>
      <c r="AJ1567">
        <f>IF([3]Entry!$L$1570="","",[3]Entry!$L$1570)</f>
        <v/>
      </c>
      <c r="AK1567">
        <f>IF([3]Entry!$M$1570="","",[3]Entry!$M$1570)</f>
        <v/>
      </c>
      <c r="AL1567">
        <f>IF([3]Entry!$N$1570="","",[3]Entry!$N$1570)</f>
        <v/>
      </c>
      <c r="AM1567">
        <f>IF([3]Entry!$R$1570="","",[3]Entry!$R$1570)</f>
        <v/>
      </c>
    </row>
    <row r="1568">
      <c r="T1568">
        <f>IF([2]Baskol!$B$1571="","",[2]Baskol!$B$1571)</f>
        <v/>
      </c>
      <c r="U1568">
        <f>IF([2]Baskol!$C$1571="","",[2]Baskol!$C$1571)</f>
        <v/>
      </c>
      <c r="V1568">
        <f>IF([2]Baskol!$D$1571="","",[2]Baskol!$D$1571)</f>
        <v/>
      </c>
      <c r="W1568">
        <f>IF([2]Baskol!$E$1571="","",[2]Baskol!$E$1571)</f>
        <v/>
      </c>
      <c r="X1568">
        <f>IF([2]Baskol!$G$1571="","",[2]Baskol!$G$1571)</f>
        <v/>
      </c>
      <c r="Y1568">
        <f>IF([2]Baskol!$I$1571="","",[2]Baskol!$I$1571)</f>
        <v/>
      </c>
      <c r="Z1568">
        <f>IF([2]Baskol!$J$1571="","",[2]Baskol!$J$1571)</f>
        <v/>
      </c>
      <c r="AA1568">
        <f>IF([2]Baskol!$K$1571="","",[2]Baskol!$K$1571)</f>
        <v/>
      </c>
      <c r="AB1568">
        <f>IF([2]Baskol!$L$1571="","",[2]Baskol!$L$1571)</f>
        <v/>
      </c>
      <c r="AC1568">
        <f>IF([2]Baskol!$N$1571="","",[2]Baskol!$N$1571)</f>
        <v/>
      </c>
      <c r="AD1568">
        <f>IF([2]Baskol!$O$1571="","",[2]Baskol!$O$1571)</f>
        <v/>
      </c>
      <c r="AE1568">
        <f>IF([3]Entry!$C$1571="","",[3]Entry!$C$1571)</f>
        <v/>
      </c>
      <c r="AF1568">
        <f>IF([3]Entry!$D$1571="","",[3]Entry!$D$1571)</f>
        <v/>
      </c>
      <c r="AG1568">
        <f>IF([3]Entry!$E$1571="","",[3]Entry!$E$1571)</f>
        <v/>
      </c>
      <c r="AH1568">
        <f>IF([3]Entry!$G$1571="","",[3]Entry!$G$1571)</f>
        <v/>
      </c>
      <c r="AI1568">
        <f>IF([3]Entry!$K$1571="","",[3]Entry!$K$1571)</f>
        <v/>
      </c>
      <c r="AJ1568">
        <f>IF([3]Entry!$L$1571="","",[3]Entry!$L$1571)</f>
        <v/>
      </c>
      <c r="AK1568">
        <f>IF([3]Entry!$M$1571="","",[3]Entry!$M$1571)</f>
        <v/>
      </c>
      <c r="AL1568">
        <f>IF([3]Entry!$N$1571="","",[3]Entry!$N$1571)</f>
        <v/>
      </c>
      <c r="AM1568">
        <f>IF([3]Entry!$R$1571="","",[3]Entry!$R$1571)</f>
        <v/>
      </c>
    </row>
    <row r="1569">
      <c r="T1569">
        <f>IF([2]Baskol!$B$1572="","",[2]Baskol!$B$1572)</f>
        <v/>
      </c>
      <c r="U1569">
        <f>IF([2]Baskol!$C$1572="","",[2]Baskol!$C$1572)</f>
        <v/>
      </c>
      <c r="V1569">
        <f>IF([2]Baskol!$D$1572="","",[2]Baskol!$D$1572)</f>
        <v/>
      </c>
      <c r="W1569">
        <f>IF([2]Baskol!$E$1572="","",[2]Baskol!$E$1572)</f>
        <v/>
      </c>
      <c r="X1569">
        <f>IF([2]Baskol!$G$1572="","",[2]Baskol!$G$1572)</f>
        <v/>
      </c>
      <c r="Y1569">
        <f>IF([2]Baskol!$I$1572="","",[2]Baskol!$I$1572)</f>
        <v/>
      </c>
      <c r="Z1569">
        <f>IF([2]Baskol!$J$1572="","",[2]Baskol!$J$1572)</f>
        <v/>
      </c>
      <c r="AA1569">
        <f>IF([2]Baskol!$K$1572="","",[2]Baskol!$K$1572)</f>
        <v/>
      </c>
      <c r="AB1569">
        <f>IF([2]Baskol!$L$1572="","",[2]Baskol!$L$1572)</f>
        <v/>
      </c>
      <c r="AC1569">
        <f>IF([2]Baskol!$N$1572="","",[2]Baskol!$N$1572)</f>
        <v/>
      </c>
      <c r="AD1569">
        <f>IF([2]Baskol!$O$1572="","",[2]Baskol!$O$1572)</f>
        <v/>
      </c>
      <c r="AE1569">
        <f>IF([3]Entry!$C$1572="","",[3]Entry!$C$1572)</f>
        <v/>
      </c>
      <c r="AF1569">
        <f>IF([3]Entry!$D$1572="","",[3]Entry!$D$1572)</f>
        <v/>
      </c>
      <c r="AG1569">
        <f>IF([3]Entry!$E$1572="","",[3]Entry!$E$1572)</f>
        <v/>
      </c>
      <c r="AH1569">
        <f>IF([3]Entry!$G$1572="","",[3]Entry!$G$1572)</f>
        <v/>
      </c>
      <c r="AI1569">
        <f>IF([3]Entry!$K$1572="","",[3]Entry!$K$1572)</f>
        <v/>
      </c>
      <c r="AJ1569">
        <f>IF([3]Entry!$L$1572="","",[3]Entry!$L$1572)</f>
        <v/>
      </c>
      <c r="AK1569">
        <f>IF([3]Entry!$M$1572="","",[3]Entry!$M$1572)</f>
        <v/>
      </c>
      <c r="AL1569">
        <f>IF([3]Entry!$N$1572="","",[3]Entry!$N$1572)</f>
        <v/>
      </c>
      <c r="AM1569">
        <f>IF([3]Entry!$R$1572="","",[3]Entry!$R$1572)</f>
        <v/>
      </c>
    </row>
    <row r="1570">
      <c r="T1570">
        <f>IF([2]Baskol!$B$1573="","",[2]Baskol!$B$1573)</f>
        <v/>
      </c>
      <c r="U1570">
        <f>IF([2]Baskol!$C$1573="","",[2]Baskol!$C$1573)</f>
        <v/>
      </c>
      <c r="V1570">
        <f>IF([2]Baskol!$D$1573="","",[2]Baskol!$D$1573)</f>
        <v/>
      </c>
      <c r="W1570">
        <f>IF([2]Baskol!$E$1573="","",[2]Baskol!$E$1573)</f>
        <v/>
      </c>
      <c r="X1570">
        <f>IF([2]Baskol!$G$1573="","",[2]Baskol!$G$1573)</f>
        <v/>
      </c>
      <c r="Y1570">
        <f>IF([2]Baskol!$I$1573="","",[2]Baskol!$I$1573)</f>
        <v/>
      </c>
      <c r="Z1570">
        <f>IF([2]Baskol!$J$1573="","",[2]Baskol!$J$1573)</f>
        <v/>
      </c>
      <c r="AA1570">
        <f>IF([2]Baskol!$K$1573="","",[2]Baskol!$K$1573)</f>
        <v/>
      </c>
      <c r="AB1570">
        <f>IF([2]Baskol!$L$1573="","",[2]Baskol!$L$1573)</f>
        <v/>
      </c>
      <c r="AC1570">
        <f>IF([2]Baskol!$N$1573="","",[2]Baskol!$N$1573)</f>
        <v/>
      </c>
      <c r="AD1570">
        <f>IF([2]Baskol!$O$1573="","",[2]Baskol!$O$1573)</f>
        <v/>
      </c>
      <c r="AE1570">
        <f>IF([3]Entry!$C$1573="","",[3]Entry!$C$1573)</f>
        <v/>
      </c>
      <c r="AF1570">
        <f>IF([3]Entry!$D$1573="","",[3]Entry!$D$1573)</f>
        <v/>
      </c>
      <c r="AG1570">
        <f>IF([3]Entry!$E$1573="","",[3]Entry!$E$1573)</f>
        <v/>
      </c>
      <c r="AH1570">
        <f>IF([3]Entry!$G$1573="","",[3]Entry!$G$1573)</f>
        <v/>
      </c>
      <c r="AI1570">
        <f>IF([3]Entry!$K$1573="","",[3]Entry!$K$1573)</f>
        <v/>
      </c>
      <c r="AJ1570">
        <f>IF([3]Entry!$L$1573="","",[3]Entry!$L$1573)</f>
        <v/>
      </c>
      <c r="AK1570">
        <f>IF([3]Entry!$M$1573="","",[3]Entry!$M$1573)</f>
        <v/>
      </c>
      <c r="AL1570">
        <f>IF([3]Entry!$N$1573="","",[3]Entry!$N$1573)</f>
        <v/>
      </c>
      <c r="AM1570">
        <f>IF([3]Entry!$R$1573="","",[3]Entry!$R$1573)</f>
        <v/>
      </c>
    </row>
    <row r="1571">
      <c r="T1571">
        <f>IF([2]Baskol!$B$1574="","",[2]Baskol!$B$1574)</f>
        <v/>
      </c>
      <c r="U1571">
        <f>IF([2]Baskol!$C$1574="","",[2]Baskol!$C$1574)</f>
        <v/>
      </c>
      <c r="V1571">
        <f>IF([2]Baskol!$D$1574="","",[2]Baskol!$D$1574)</f>
        <v/>
      </c>
      <c r="W1571">
        <f>IF([2]Baskol!$E$1574="","",[2]Baskol!$E$1574)</f>
        <v/>
      </c>
      <c r="X1571">
        <f>IF([2]Baskol!$G$1574="","",[2]Baskol!$G$1574)</f>
        <v/>
      </c>
      <c r="Y1571">
        <f>IF([2]Baskol!$I$1574="","",[2]Baskol!$I$1574)</f>
        <v/>
      </c>
      <c r="Z1571">
        <f>IF([2]Baskol!$J$1574="","",[2]Baskol!$J$1574)</f>
        <v/>
      </c>
      <c r="AA1571">
        <f>IF([2]Baskol!$K$1574="","",[2]Baskol!$K$1574)</f>
        <v/>
      </c>
      <c r="AB1571">
        <f>IF([2]Baskol!$L$1574="","",[2]Baskol!$L$1574)</f>
        <v/>
      </c>
      <c r="AC1571">
        <f>IF([2]Baskol!$N$1574="","",[2]Baskol!$N$1574)</f>
        <v/>
      </c>
      <c r="AD1571">
        <f>IF([2]Baskol!$O$1574="","",[2]Baskol!$O$1574)</f>
        <v/>
      </c>
      <c r="AE1571">
        <f>IF([3]Entry!$C$1574="","",[3]Entry!$C$1574)</f>
        <v/>
      </c>
      <c r="AF1571">
        <f>IF([3]Entry!$D$1574="","",[3]Entry!$D$1574)</f>
        <v/>
      </c>
      <c r="AG1571">
        <f>IF([3]Entry!$E$1574="","",[3]Entry!$E$1574)</f>
        <v/>
      </c>
      <c r="AH1571">
        <f>IF([3]Entry!$G$1574="","",[3]Entry!$G$1574)</f>
        <v/>
      </c>
      <c r="AI1571">
        <f>IF([3]Entry!$K$1574="","",[3]Entry!$K$1574)</f>
        <v/>
      </c>
      <c r="AJ1571">
        <f>IF([3]Entry!$L$1574="","",[3]Entry!$L$1574)</f>
        <v/>
      </c>
      <c r="AK1571">
        <f>IF([3]Entry!$M$1574="","",[3]Entry!$M$1574)</f>
        <v/>
      </c>
      <c r="AL1571">
        <f>IF([3]Entry!$N$1574="","",[3]Entry!$N$1574)</f>
        <v/>
      </c>
      <c r="AM1571">
        <f>IF([3]Entry!$R$1574="","",[3]Entry!$R$1574)</f>
        <v/>
      </c>
    </row>
    <row r="1572">
      <c r="T1572">
        <f>IF([2]Baskol!$B$1575="","",[2]Baskol!$B$1575)</f>
        <v/>
      </c>
      <c r="U1572">
        <f>IF([2]Baskol!$C$1575="","",[2]Baskol!$C$1575)</f>
        <v/>
      </c>
      <c r="V1572">
        <f>IF([2]Baskol!$D$1575="","",[2]Baskol!$D$1575)</f>
        <v/>
      </c>
      <c r="W1572">
        <f>IF([2]Baskol!$E$1575="","",[2]Baskol!$E$1575)</f>
        <v/>
      </c>
      <c r="X1572">
        <f>IF([2]Baskol!$G$1575="","",[2]Baskol!$G$1575)</f>
        <v/>
      </c>
      <c r="Y1572">
        <f>IF([2]Baskol!$I$1575="","",[2]Baskol!$I$1575)</f>
        <v/>
      </c>
      <c r="Z1572">
        <f>IF([2]Baskol!$J$1575="","",[2]Baskol!$J$1575)</f>
        <v/>
      </c>
      <c r="AA1572">
        <f>IF([2]Baskol!$K$1575="","",[2]Baskol!$K$1575)</f>
        <v/>
      </c>
      <c r="AB1572">
        <f>IF([2]Baskol!$L$1575="","",[2]Baskol!$L$1575)</f>
        <v/>
      </c>
      <c r="AC1572">
        <f>IF([2]Baskol!$N$1575="","",[2]Baskol!$N$1575)</f>
        <v/>
      </c>
      <c r="AD1572">
        <f>IF([2]Baskol!$O$1575="","",[2]Baskol!$O$1575)</f>
        <v/>
      </c>
      <c r="AE1572">
        <f>IF([3]Entry!$C$1575="","",[3]Entry!$C$1575)</f>
        <v/>
      </c>
      <c r="AF1572">
        <f>IF([3]Entry!$D$1575="","",[3]Entry!$D$1575)</f>
        <v/>
      </c>
      <c r="AG1572">
        <f>IF([3]Entry!$E$1575="","",[3]Entry!$E$1575)</f>
        <v/>
      </c>
      <c r="AH1572">
        <f>IF([3]Entry!$G$1575="","",[3]Entry!$G$1575)</f>
        <v/>
      </c>
      <c r="AI1572">
        <f>IF([3]Entry!$K$1575="","",[3]Entry!$K$1575)</f>
        <v/>
      </c>
      <c r="AJ1572">
        <f>IF([3]Entry!$L$1575="","",[3]Entry!$L$1575)</f>
        <v/>
      </c>
      <c r="AK1572">
        <f>IF([3]Entry!$M$1575="","",[3]Entry!$M$1575)</f>
        <v/>
      </c>
      <c r="AL1572">
        <f>IF([3]Entry!$N$1575="","",[3]Entry!$N$1575)</f>
        <v/>
      </c>
      <c r="AM1572">
        <f>IF([3]Entry!$R$1575="","",[3]Entry!$R$1575)</f>
        <v/>
      </c>
    </row>
    <row r="1573">
      <c r="T1573">
        <f>IF([2]Baskol!$B$1576="","",[2]Baskol!$B$1576)</f>
        <v/>
      </c>
      <c r="U1573">
        <f>IF([2]Baskol!$C$1576="","",[2]Baskol!$C$1576)</f>
        <v/>
      </c>
      <c r="V1573">
        <f>IF([2]Baskol!$D$1576="","",[2]Baskol!$D$1576)</f>
        <v/>
      </c>
      <c r="W1573">
        <f>IF([2]Baskol!$E$1576="","",[2]Baskol!$E$1576)</f>
        <v/>
      </c>
      <c r="X1573">
        <f>IF([2]Baskol!$G$1576="","",[2]Baskol!$G$1576)</f>
        <v/>
      </c>
      <c r="Y1573">
        <f>IF([2]Baskol!$I$1576="","",[2]Baskol!$I$1576)</f>
        <v/>
      </c>
      <c r="Z1573">
        <f>IF([2]Baskol!$J$1576="","",[2]Baskol!$J$1576)</f>
        <v/>
      </c>
      <c r="AA1573">
        <f>IF([2]Baskol!$K$1576="","",[2]Baskol!$K$1576)</f>
        <v/>
      </c>
      <c r="AB1573">
        <f>IF([2]Baskol!$L$1576="","",[2]Baskol!$L$1576)</f>
        <v/>
      </c>
      <c r="AC1573">
        <f>IF([2]Baskol!$N$1576="","",[2]Baskol!$N$1576)</f>
        <v/>
      </c>
      <c r="AD1573">
        <f>IF([2]Baskol!$O$1576="","",[2]Baskol!$O$1576)</f>
        <v/>
      </c>
      <c r="AE1573">
        <f>IF([3]Entry!$C$1576="","",[3]Entry!$C$1576)</f>
        <v/>
      </c>
      <c r="AF1573">
        <f>IF([3]Entry!$D$1576="","",[3]Entry!$D$1576)</f>
        <v/>
      </c>
      <c r="AG1573">
        <f>IF([3]Entry!$E$1576="","",[3]Entry!$E$1576)</f>
        <v/>
      </c>
      <c r="AH1573">
        <f>IF([3]Entry!$G$1576="","",[3]Entry!$G$1576)</f>
        <v/>
      </c>
      <c r="AI1573">
        <f>IF([3]Entry!$K$1576="","",[3]Entry!$K$1576)</f>
        <v/>
      </c>
      <c r="AJ1573">
        <f>IF([3]Entry!$L$1576="","",[3]Entry!$L$1576)</f>
        <v/>
      </c>
      <c r="AK1573">
        <f>IF([3]Entry!$M$1576="","",[3]Entry!$M$1576)</f>
        <v/>
      </c>
      <c r="AL1573">
        <f>IF([3]Entry!$N$1576="","",[3]Entry!$N$1576)</f>
        <v/>
      </c>
      <c r="AM1573">
        <f>IF([3]Entry!$R$1576="","",[3]Entry!$R$1576)</f>
        <v/>
      </c>
    </row>
    <row r="1574">
      <c r="T1574">
        <f>IF([2]Baskol!$B$1577="","",[2]Baskol!$B$1577)</f>
        <v/>
      </c>
      <c r="U1574">
        <f>IF([2]Baskol!$C$1577="","",[2]Baskol!$C$1577)</f>
        <v/>
      </c>
      <c r="V1574">
        <f>IF([2]Baskol!$D$1577="","",[2]Baskol!$D$1577)</f>
        <v/>
      </c>
      <c r="W1574">
        <f>IF([2]Baskol!$E$1577="","",[2]Baskol!$E$1577)</f>
        <v/>
      </c>
      <c r="X1574">
        <f>IF([2]Baskol!$G$1577="","",[2]Baskol!$G$1577)</f>
        <v/>
      </c>
      <c r="Y1574">
        <f>IF([2]Baskol!$I$1577="","",[2]Baskol!$I$1577)</f>
        <v/>
      </c>
      <c r="Z1574">
        <f>IF([2]Baskol!$J$1577="","",[2]Baskol!$J$1577)</f>
        <v/>
      </c>
      <c r="AA1574">
        <f>IF([2]Baskol!$K$1577="","",[2]Baskol!$K$1577)</f>
        <v/>
      </c>
      <c r="AB1574">
        <f>IF([2]Baskol!$L$1577="","",[2]Baskol!$L$1577)</f>
        <v/>
      </c>
      <c r="AC1574">
        <f>IF([2]Baskol!$N$1577="","",[2]Baskol!$N$1577)</f>
        <v/>
      </c>
      <c r="AD1574">
        <f>IF([2]Baskol!$O$1577="","",[2]Baskol!$O$1577)</f>
        <v/>
      </c>
      <c r="AE1574">
        <f>IF([3]Entry!$C$1577="","",[3]Entry!$C$1577)</f>
        <v/>
      </c>
      <c r="AF1574">
        <f>IF([3]Entry!$D$1577="","",[3]Entry!$D$1577)</f>
        <v/>
      </c>
      <c r="AG1574">
        <f>IF([3]Entry!$E$1577="","",[3]Entry!$E$1577)</f>
        <v/>
      </c>
      <c r="AH1574">
        <f>IF([3]Entry!$G$1577="","",[3]Entry!$G$1577)</f>
        <v/>
      </c>
      <c r="AI1574">
        <f>IF([3]Entry!$K$1577="","",[3]Entry!$K$1577)</f>
        <v/>
      </c>
      <c r="AJ1574">
        <f>IF([3]Entry!$L$1577="","",[3]Entry!$L$1577)</f>
        <v/>
      </c>
      <c r="AK1574">
        <f>IF([3]Entry!$M$1577="","",[3]Entry!$M$1577)</f>
        <v/>
      </c>
      <c r="AL1574">
        <f>IF([3]Entry!$N$1577="","",[3]Entry!$N$1577)</f>
        <v/>
      </c>
      <c r="AM1574">
        <f>IF([3]Entry!$R$1577="","",[3]Entry!$R$1577)</f>
        <v/>
      </c>
    </row>
    <row r="1575">
      <c r="T1575">
        <f>IF([2]Baskol!$B$1578="","",[2]Baskol!$B$1578)</f>
        <v/>
      </c>
      <c r="U1575">
        <f>IF([2]Baskol!$C$1578="","",[2]Baskol!$C$1578)</f>
        <v/>
      </c>
      <c r="V1575">
        <f>IF([2]Baskol!$D$1578="","",[2]Baskol!$D$1578)</f>
        <v/>
      </c>
      <c r="W1575">
        <f>IF([2]Baskol!$E$1578="","",[2]Baskol!$E$1578)</f>
        <v/>
      </c>
      <c r="X1575">
        <f>IF([2]Baskol!$G$1578="","",[2]Baskol!$G$1578)</f>
        <v/>
      </c>
      <c r="Y1575">
        <f>IF([2]Baskol!$I$1578="","",[2]Baskol!$I$1578)</f>
        <v/>
      </c>
      <c r="Z1575">
        <f>IF([2]Baskol!$J$1578="","",[2]Baskol!$J$1578)</f>
        <v/>
      </c>
      <c r="AA1575">
        <f>IF([2]Baskol!$K$1578="","",[2]Baskol!$K$1578)</f>
        <v/>
      </c>
      <c r="AB1575">
        <f>IF([2]Baskol!$L$1578="","",[2]Baskol!$L$1578)</f>
        <v/>
      </c>
      <c r="AC1575">
        <f>IF([2]Baskol!$N$1578="","",[2]Baskol!$N$1578)</f>
        <v/>
      </c>
      <c r="AD1575">
        <f>IF([2]Baskol!$O$1578="","",[2]Baskol!$O$1578)</f>
        <v/>
      </c>
      <c r="AE1575">
        <f>IF([3]Entry!$C$1578="","",[3]Entry!$C$1578)</f>
        <v/>
      </c>
      <c r="AF1575">
        <f>IF([3]Entry!$D$1578="","",[3]Entry!$D$1578)</f>
        <v/>
      </c>
      <c r="AG1575">
        <f>IF([3]Entry!$E$1578="","",[3]Entry!$E$1578)</f>
        <v/>
      </c>
      <c r="AH1575">
        <f>IF([3]Entry!$G$1578="","",[3]Entry!$G$1578)</f>
        <v/>
      </c>
      <c r="AI1575">
        <f>IF([3]Entry!$K$1578="","",[3]Entry!$K$1578)</f>
        <v/>
      </c>
      <c r="AJ1575">
        <f>IF([3]Entry!$L$1578="","",[3]Entry!$L$1578)</f>
        <v/>
      </c>
      <c r="AK1575">
        <f>IF([3]Entry!$M$1578="","",[3]Entry!$M$1578)</f>
        <v/>
      </c>
      <c r="AL1575">
        <f>IF([3]Entry!$N$1578="","",[3]Entry!$N$1578)</f>
        <v/>
      </c>
      <c r="AM1575">
        <f>IF([3]Entry!$R$1578="","",[3]Entry!$R$1578)</f>
        <v/>
      </c>
    </row>
    <row r="1576">
      <c r="T1576">
        <f>IF([2]Baskol!$B$1579="","",[2]Baskol!$B$1579)</f>
        <v/>
      </c>
      <c r="U1576">
        <f>IF([2]Baskol!$C$1579="","",[2]Baskol!$C$1579)</f>
        <v/>
      </c>
      <c r="V1576">
        <f>IF([2]Baskol!$D$1579="","",[2]Baskol!$D$1579)</f>
        <v/>
      </c>
      <c r="W1576">
        <f>IF([2]Baskol!$E$1579="","",[2]Baskol!$E$1579)</f>
        <v/>
      </c>
      <c r="X1576">
        <f>IF([2]Baskol!$G$1579="","",[2]Baskol!$G$1579)</f>
        <v/>
      </c>
      <c r="Y1576">
        <f>IF([2]Baskol!$I$1579="","",[2]Baskol!$I$1579)</f>
        <v/>
      </c>
      <c r="Z1576">
        <f>IF([2]Baskol!$J$1579="","",[2]Baskol!$J$1579)</f>
        <v/>
      </c>
      <c r="AA1576">
        <f>IF([2]Baskol!$K$1579="","",[2]Baskol!$K$1579)</f>
        <v/>
      </c>
      <c r="AB1576">
        <f>IF([2]Baskol!$L$1579="","",[2]Baskol!$L$1579)</f>
        <v/>
      </c>
      <c r="AC1576">
        <f>IF([2]Baskol!$N$1579="","",[2]Baskol!$N$1579)</f>
        <v/>
      </c>
      <c r="AD1576">
        <f>IF([2]Baskol!$O$1579="","",[2]Baskol!$O$1579)</f>
        <v/>
      </c>
      <c r="AE1576">
        <f>IF([3]Entry!$C$1579="","",[3]Entry!$C$1579)</f>
        <v/>
      </c>
      <c r="AF1576">
        <f>IF([3]Entry!$D$1579="","",[3]Entry!$D$1579)</f>
        <v/>
      </c>
      <c r="AG1576">
        <f>IF([3]Entry!$E$1579="","",[3]Entry!$E$1579)</f>
        <v/>
      </c>
      <c r="AH1576">
        <f>IF([3]Entry!$G$1579="","",[3]Entry!$G$1579)</f>
        <v/>
      </c>
      <c r="AI1576">
        <f>IF([3]Entry!$K$1579="","",[3]Entry!$K$1579)</f>
        <v/>
      </c>
      <c r="AJ1576">
        <f>IF([3]Entry!$L$1579="","",[3]Entry!$L$1579)</f>
        <v/>
      </c>
      <c r="AK1576">
        <f>IF([3]Entry!$M$1579="","",[3]Entry!$M$1579)</f>
        <v/>
      </c>
      <c r="AL1576">
        <f>IF([3]Entry!$N$1579="","",[3]Entry!$N$1579)</f>
        <v/>
      </c>
      <c r="AM1576">
        <f>IF([3]Entry!$R$1579="","",[3]Entry!$R$1579)</f>
        <v/>
      </c>
    </row>
    <row r="1577">
      <c r="T1577">
        <f>IF([2]Baskol!$B$1580="","",[2]Baskol!$B$1580)</f>
        <v/>
      </c>
      <c r="U1577">
        <f>IF([2]Baskol!$C$1580="","",[2]Baskol!$C$1580)</f>
        <v/>
      </c>
      <c r="V1577">
        <f>IF([2]Baskol!$D$1580="","",[2]Baskol!$D$1580)</f>
        <v/>
      </c>
      <c r="W1577">
        <f>IF([2]Baskol!$E$1580="","",[2]Baskol!$E$1580)</f>
        <v/>
      </c>
      <c r="X1577">
        <f>IF([2]Baskol!$G$1580="","",[2]Baskol!$G$1580)</f>
        <v/>
      </c>
      <c r="Y1577">
        <f>IF([2]Baskol!$I$1580="","",[2]Baskol!$I$1580)</f>
        <v/>
      </c>
      <c r="Z1577">
        <f>IF([2]Baskol!$J$1580="","",[2]Baskol!$J$1580)</f>
        <v/>
      </c>
      <c r="AA1577">
        <f>IF([2]Baskol!$K$1580="","",[2]Baskol!$K$1580)</f>
        <v/>
      </c>
      <c r="AB1577">
        <f>IF([2]Baskol!$L$1580="","",[2]Baskol!$L$1580)</f>
        <v/>
      </c>
      <c r="AC1577">
        <f>IF([2]Baskol!$N$1580="","",[2]Baskol!$N$1580)</f>
        <v/>
      </c>
      <c r="AD1577">
        <f>IF([2]Baskol!$O$1580="","",[2]Baskol!$O$1580)</f>
        <v/>
      </c>
      <c r="AE1577">
        <f>IF([3]Entry!$C$1580="","",[3]Entry!$C$1580)</f>
        <v/>
      </c>
      <c r="AF1577">
        <f>IF([3]Entry!$D$1580="","",[3]Entry!$D$1580)</f>
        <v/>
      </c>
      <c r="AG1577">
        <f>IF([3]Entry!$E$1580="","",[3]Entry!$E$1580)</f>
        <v/>
      </c>
      <c r="AH1577">
        <f>IF([3]Entry!$G$1580="","",[3]Entry!$G$1580)</f>
        <v/>
      </c>
      <c r="AI1577">
        <f>IF([3]Entry!$K$1580="","",[3]Entry!$K$1580)</f>
        <v/>
      </c>
      <c r="AJ1577">
        <f>IF([3]Entry!$L$1580="","",[3]Entry!$L$1580)</f>
        <v/>
      </c>
      <c r="AK1577">
        <f>IF([3]Entry!$M$1580="","",[3]Entry!$M$1580)</f>
        <v/>
      </c>
      <c r="AL1577">
        <f>IF([3]Entry!$N$1580="","",[3]Entry!$N$1580)</f>
        <v/>
      </c>
      <c r="AM1577">
        <f>IF([3]Entry!$R$1580="","",[3]Entry!$R$1580)</f>
        <v/>
      </c>
    </row>
    <row r="1578">
      <c r="T1578">
        <f>IF([2]Baskol!$B$1581="","",[2]Baskol!$B$1581)</f>
        <v/>
      </c>
      <c r="U1578">
        <f>IF([2]Baskol!$C$1581="","",[2]Baskol!$C$1581)</f>
        <v/>
      </c>
      <c r="V1578">
        <f>IF([2]Baskol!$D$1581="","",[2]Baskol!$D$1581)</f>
        <v/>
      </c>
      <c r="W1578">
        <f>IF([2]Baskol!$E$1581="","",[2]Baskol!$E$1581)</f>
        <v/>
      </c>
      <c r="X1578">
        <f>IF([2]Baskol!$G$1581="","",[2]Baskol!$G$1581)</f>
        <v/>
      </c>
      <c r="Y1578">
        <f>IF([2]Baskol!$I$1581="","",[2]Baskol!$I$1581)</f>
        <v/>
      </c>
      <c r="Z1578">
        <f>IF([2]Baskol!$J$1581="","",[2]Baskol!$J$1581)</f>
        <v/>
      </c>
      <c r="AA1578">
        <f>IF([2]Baskol!$K$1581="","",[2]Baskol!$K$1581)</f>
        <v/>
      </c>
      <c r="AB1578">
        <f>IF([2]Baskol!$L$1581="","",[2]Baskol!$L$1581)</f>
        <v/>
      </c>
      <c r="AC1578">
        <f>IF([2]Baskol!$N$1581="","",[2]Baskol!$N$1581)</f>
        <v/>
      </c>
      <c r="AD1578">
        <f>IF([2]Baskol!$O$1581="","",[2]Baskol!$O$1581)</f>
        <v/>
      </c>
      <c r="AE1578">
        <f>IF([3]Entry!$C$1581="","",[3]Entry!$C$1581)</f>
        <v/>
      </c>
      <c r="AF1578">
        <f>IF([3]Entry!$D$1581="","",[3]Entry!$D$1581)</f>
        <v/>
      </c>
      <c r="AG1578">
        <f>IF([3]Entry!$E$1581="","",[3]Entry!$E$1581)</f>
        <v/>
      </c>
      <c r="AH1578">
        <f>IF([3]Entry!$G$1581="","",[3]Entry!$G$1581)</f>
        <v/>
      </c>
      <c r="AI1578">
        <f>IF([3]Entry!$K$1581="","",[3]Entry!$K$1581)</f>
        <v/>
      </c>
      <c r="AJ1578">
        <f>IF([3]Entry!$L$1581="","",[3]Entry!$L$1581)</f>
        <v/>
      </c>
      <c r="AK1578">
        <f>IF([3]Entry!$M$1581="","",[3]Entry!$M$1581)</f>
        <v/>
      </c>
      <c r="AL1578">
        <f>IF([3]Entry!$N$1581="","",[3]Entry!$N$1581)</f>
        <v/>
      </c>
      <c r="AM1578">
        <f>IF([3]Entry!$R$1581="","",[3]Entry!$R$1581)</f>
        <v/>
      </c>
    </row>
    <row r="1579">
      <c r="T1579">
        <f>IF([2]Baskol!$B$1582="","",[2]Baskol!$B$1582)</f>
        <v/>
      </c>
      <c r="U1579">
        <f>IF([2]Baskol!$C$1582="","",[2]Baskol!$C$1582)</f>
        <v/>
      </c>
      <c r="V1579">
        <f>IF([2]Baskol!$D$1582="","",[2]Baskol!$D$1582)</f>
        <v/>
      </c>
      <c r="W1579">
        <f>IF([2]Baskol!$E$1582="","",[2]Baskol!$E$1582)</f>
        <v/>
      </c>
      <c r="X1579">
        <f>IF([2]Baskol!$G$1582="","",[2]Baskol!$G$1582)</f>
        <v/>
      </c>
      <c r="Y1579">
        <f>IF([2]Baskol!$I$1582="","",[2]Baskol!$I$1582)</f>
        <v/>
      </c>
      <c r="Z1579">
        <f>IF([2]Baskol!$J$1582="","",[2]Baskol!$J$1582)</f>
        <v/>
      </c>
      <c r="AA1579">
        <f>IF([2]Baskol!$K$1582="","",[2]Baskol!$K$1582)</f>
        <v/>
      </c>
      <c r="AB1579">
        <f>IF([2]Baskol!$L$1582="","",[2]Baskol!$L$1582)</f>
        <v/>
      </c>
      <c r="AC1579">
        <f>IF([2]Baskol!$N$1582="","",[2]Baskol!$N$1582)</f>
        <v/>
      </c>
      <c r="AD1579">
        <f>IF([2]Baskol!$O$1582="","",[2]Baskol!$O$1582)</f>
        <v/>
      </c>
      <c r="AE1579">
        <f>IF([3]Entry!$C$1582="","",[3]Entry!$C$1582)</f>
        <v/>
      </c>
      <c r="AF1579">
        <f>IF([3]Entry!$D$1582="","",[3]Entry!$D$1582)</f>
        <v/>
      </c>
      <c r="AG1579">
        <f>IF([3]Entry!$E$1582="","",[3]Entry!$E$1582)</f>
        <v/>
      </c>
      <c r="AH1579">
        <f>IF([3]Entry!$G$1582="","",[3]Entry!$G$1582)</f>
        <v/>
      </c>
      <c r="AI1579">
        <f>IF([3]Entry!$K$1582="","",[3]Entry!$K$1582)</f>
        <v/>
      </c>
      <c r="AJ1579">
        <f>IF([3]Entry!$L$1582="","",[3]Entry!$L$1582)</f>
        <v/>
      </c>
      <c r="AK1579">
        <f>IF([3]Entry!$M$1582="","",[3]Entry!$M$1582)</f>
        <v/>
      </c>
      <c r="AL1579">
        <f>IF([3]Entry!$N$1582="","",[3]Entry!$N$1582)</f>
        <v/>
      </c>
      <c r="AM1579">
        <f>IF([3]Entry!$R$1582="","",[3]Entry!$R$1582)</f>
        <v/>
      </c>
    </row>
    <row r="1580">
      <c r="T1580">
        <f>IF([2]Baskol!$B$1583="","",[2]Baskol!$B$1583)</f>
        <v/>
      </c>
      <c r="U1580">
        <f>IF([2]Baskol!$C$1583="","",[2]Baskol!$C$1583)</f>
        <v/>
      </c>
      <c r="V1580">
        <f>IF([2]Baskol!$D$1583="","",[2]Baskol!$D$1583)</f>
        <v/>
      </c>
      <c r="W1580">
        <f>IF([2]Baskol!$E$1583="","",[2]Baskol!$E$1583)</f>
        <v/>
      </c>
      <c r="X1580">
        <f>IF([2]Baskol!$G$1583="","",[2]Baskol!$G$1583)</f>
        <v/>
      </c>
      <c r="Y1580">
        <f>IF([2]Baskol!$I$1583="","",[2]Baskol!$I$1583)</f>
        <v/>
      </c>
      <c r="Z1580">
        <f>IF([2]Baskol!$J$1583="","",[2]Baskol!$J$1583)</f>
        <v/>
      </c>
      <c r="AA1580">
        <f>IF([2]Baskol!$K$1583="","",[2]Baskol!$K$1583)</f>
        <v/>
      </c>
      <c r="AB1580">
        <f>IF([2]Baskol!$L$1583="","",[2]Baskol!$L$1583)</f>
        <v/>
      </c>
      <c r="AC1580">
        <f>IF([2]Baskol!$N$1583="","",[2]Baskol!$N$1583)</f>
        <v/>
      </c>
      <c r="AD1580">
        <f>IF([2]Baskol!$O$1583="","",[2]Baskol!$O$1583)</f>
        <v/>
      </c>
      <c r="AE1580">
        <f>IF([3]Entry!$C$1583="","",[3]Entry!$C$1583)</f>
        <v/>
      </c>
      <c r="AF1580">
        <f>IF([3]Entry!$D$1583="","",[3]Entry!$D$1583)</f>
        <v/>
      </c>
      <c r="AG1580">
        <f>IF([3]Entry!$E$1583="","",[3]Entry!$E$1583)</f>
        <v/>
      </c>
      <c r="AH1580">
        <f>IF([3]Entry!$G$1583="","",[3]Entry!$G$1583)</f>
        <v/>
      </c>
      <c r="AI1580">
        <f>IF([3]Entry!$K$1583="","",[3]Entry!$K$1583)</f>
        <v/>
      </c>
      <c r="AJ1580">
        <f>IF([3]Entry!$L$1583="","",[3]Entry!$L$1583)</f>
        <v/>
      </c>
      <c r="AK1580">
        <f>IF([3]Entry!$M$1583="","",[3]Entry!$M$1583)</f>
        <v/>
      </c>
      <c r="AL1580">
        <f>IF([3]Entry!$N$1583="","",[3]Entry!$N$1583)</f>
        <v/>
      </c>
      <c r="AM1580">
        <f>IF([3]Entry!$R$1583="","",[3]Entry!$R$1583)</f>
        <v/>
      </c>
    </row>
    <row r="1581">
      <c r="T1581">
        <f>IF([2]Baskol!$B$1584="","",[2]Baskol!$B$1584)</f>
        <v/>
      </c>
      <c r="U1581">
        <f>IF([2]Baskol!$C$1584="","",[2]Baskol!$C$1584)</f>
        <v/>
      </c>
      <c r="V1581">
        <f>IF([2]Baskol!$D$1584="","",[2]Baskol!$D$1584)</f>
        <v/>
      </c>
      <c r="W1581">
        <f>IF([2]Baskol!$E$1584="","",[2]Baskol!$E$1584)</f>
        <v/>
      </c>
      <c r="X1581">
        <f>IF([2]Baskol!$G$1584="","",[2]Baskol!$G$1584)</f>
        <v/>
      </c>
      <c r="Y1581">
        <f>IF([2]Baskol!$I$1584="","",[2]Baskol!$I$1584)</f>
        <v/>
      </c>
      <c r="Z1581">
        <f>IF([2]Baskol!$J$1584="","",[2]Baskol!$J$1584)</f>
        <v/>
      </c>
      <c r="AA1581">
        <f>IF([2]Baskol!$K$1584="","",[2]Baskol!$K$1584)</f>
        <v/>
      </c>
      <c r="AB1581">
        <f>IF([2]Baskol!$L$1584="","",[2]Baskol!$L$1584)</f>
        <v/>
      </c>
      <c r="AC1581">
        <f>IF([2]Baskol!$N$1584="","",[2]Baskol!$N$1584)</f>
        <v/>
      </c>
      <c r="AD1581">
        <f>IF([2]Baskol!$O$1584="","",[2]Baskol!$O$1584)</f>
        <v/>
      </c>
      <c r="AE1581">
        <f>IF([3]Entry!$C$1584="","",[3]Entry!$C$1584)</f>
        <v/>
      </c>
      <c r="AF1581">
        <f>IF([3]Entry!$D$1584="","",[3]Entry!$D$1584)</f>
        <v/>
      </c>
      <c r="AG1581">
        <f>IF([3]Entry!$E$1584="","",[3]Entry!$E$1584)</f>
        <v/>
      </c>
      <c r="AH1581">
        <f>IF([3]Entry!$G$1584="","",[3]Entry!$G$1584)</f>
        <v/>
      </c>
      <c r="AI1581">
        <f>IF([3]Entry!$K$1584="","",[3]Entry!$K$1584)</f>
        <v/>
      </c>
      <c r="AJ1581">
        <f>IF([3]Entry!$L$1584="","",[3]Entry!$L$1584)</f>
        <v/>
      </c>
      <c r="AK1581">
        <f>IF([3]Entry!$M$1584="","",[3]Entry!$M$1584)</f>
        <v/>
      </c>
      <c r="AL1581">
        <f>IF([3]Entry!$N$1584="","",[3]Entry!$N$1584)</f>
        <v/>
      </c>
      <c r="AM1581">
        <f>IF([3]Entry!$R$1584="","",[3]Entry!$R$1584)</f>
        <v/>
      </c>
    </row>
    <row r="1582">
      <c r="T1582">
        <f>IF([2]Baskol!$B$1585="","",[2]Baskol!$B$1585)</f>
        <v/>
      </c>
      <c r="U1582">
        <f>IF([2]Baskol!$C$1585="","",[2]Baskol!$C$1585)</f>
        <v/>
      </c>
      <c r="V1582">
        <f>IF([2]Baskol!$D$1585="","",[2]Baskol!$D$1585)</f>
        <v/>
      </c>
      <c r="W1582">
        <f>IF([2]Baskol!$E$1585="","",[2]Baskol!$E$1585)</f>
        <v/>
      </c>
      <c r="X1582">
        <f>IF([2]Baskol!$G$1585="","",[2]Baskol!$G$1585)</f>
        <v/>
      </c>
      <c r="Y1582">
        <f>IF([2]Baskol!$I$1585="","",[2]Baskol!$I$1585)</f>
        <v/>
      </c>
      <c r="Z1582">
        <f>IF([2]Baskol!$J$1585="","",[2]Baskol!$J$1585)</f>
        <v/>
      </c>
      <c r="AA1582">
        <f>IF([2]Baskol!$K$1585="","",[2]Baskol!$K$1585)</f>
        <v/>
      </c>
      <c r="AB1582">
        <f>IF([2]Baskol!$L$1585="","",[2]Baskol!$L$1585)</f>
        <v/>
      </c>
      <c r="AC1582">
        <f>IF([2]Baskol!$N$1585="","",[2]Baskol!$N$1585)</f>
        <v/>
      </c>
      <c r="AD1582">
        <f>IF([2]Baskol!$O$1585="","",[2]Baskol!$O$1585)</f>
        <v/>
      </c>
      <c r="AE1582">
        <f>IF([3]Entry!$C$1585="","",[3]Entry!$C$1585)</f>
        <v/>
      </c>
      <c r="AF1582">
        <f>IF([3]Entry!$D$1585="","",[3]Entry!$D$1585)</f>
        <v/>
      </c>
      <c r="AG1582">
        <f>IF([3]Entry!$E$1585="","",[3]Entry!$E$1585)</f>
        <v/>
      </c>
      <c r="AH1582">
        <f>IF([3]Entry!$G$1585="","",[3]Entry!$G$1585)</f>
        <v/>
      </c>
      <c r="AI1582">
        <f>IF([3]Entry!$K$1585="","",[3]Entry!$K$1585)</f>
        <v/>
      </c>
      <c r="AJ1582">
        <f>IF([3]Entry!$L$1585="","",[3]Entry!$L$1585)</f>
        <v/>
      </c>
      <c r="AK1582">
        <f>IF([3]Entry!$M$1585="","",[3]Entry!$M$1585)</f>
        <v/>
      </c>
      <c r="AL1582">
        <f>IF([3]Entry!$N$1585="","",[3]Entry!$N$1585)</f>
        <v/>
      </c>
      <c r="AM1582">
        <f>IF([3]Entry!$R$1585="","",[3]Entry!$R$1585)</f>
        <v/>
      </c>
    </row>
    <row r="1583">
      <c r="T1583">
        <f>IF([2]Baskol!$B$1586="","",[2]Baskol!$B$1586)</f>
        <v/>
      </c>
      <c r="U1583">
        <f>IF([2]Baskol!$C$1586="","",[2]Baskol!$C$1586)</f>
        <v/>
      </c>
      <c r="V1583">
        <f>IF([2]Baskol!$D$1586="","",[2]Baskol!$D$1586)</f>
        <v/>
      </c>
      <c r="W1583">
        <f>IF([2]Baskol!$E$1586="","",[2]Baskol!$E$1586)</f>
        <v/>
      </c>
      <c r="X1583">
        <f>IF([2]Baskol!$G$1586="","",[2]Baskol!$G$1586)</f>
        <v/>
      </c>
      <c r="Y1583">
        <f>IF([2]Baskol!$I$1586="","",[2]Baskol!$I$1586)</f>
        <v/>
      </c>
      <c r="Z1583">
        <f>IF([2]Baskol!$J$1586="","",[2]Baskol!$J$1586)</f>
        <v/>
      </c>
      <c r="AA1583">
        <f>IF([2]Baskol!$K$1586="","",[2]Baskol!$K$1586)</f>
        <v/>
      </c>
      <c r="AB1583">
        <f>IF([2]Baskol!$L$1586="","",[2]Baskol!$L$1586)</f>
        <v/>
      </c>
      <c r="AC1583">
        <f>IF([2]Baskol!$N$1586="","",[2]Baskol!$N$1586)</f>
        <v/>
      </c>
      <c r="AD1583">
        <f>IF([2]Baskol!$O$1586="","",[2]Baskol!$O$1586)</f>
        <v/>
      </c>
      <c r="AE1583">
        <f>IF([3]Entry!$C$1586="","",[3]Entry!$C$1586)</f>
        <v/>
      </c>
      <c r="AF1583">
        <f>IF([3]Entry!$D$1586="","",[3]Entry!$D$1586)</f>
        <v/>
      </c>
      <c r="AG1583">
        <f>IF([3]Entry!$E$1586="","",[3]Entry!$E$1586)</f>
        <v/>
      </c>
      <c r="AH1583">
        <f>IF([3]Entry!$G$1586="","",[3]Entry!$G$1586)</f>
        <v/>
      </c>
      <c r="AI1583">
        <f>IF([3]Entry!$K$1586="","",[3]Entry!$K$1586)</f>
        <v/>
      </c>
      <c r="AJ1583">
        <f>IF([3]Entry!$L$1586="","",[3]Entry!$L$1586)</f>
        <v/>
      </c>
      <c r="AK1583">
        <f>IF([3]Entry!$M$1586="","",[3]Entry!$M$1586)</f>
        <v/>
      </c>
      <c r="AL1583">
        <f>IF([3]Entry!$N$1586="","",[3]Entry!$N$1586)</f>
        <v/>
      </c>
      <c r="AM1583">
        <f>IF([3]Entry!$R$1586="","",[3]Entry!$R$1586)</f>
        <v/>
      </c>
    </row>
    <row r="1584">
      <c r="T1584">
        <f>IF([2]Baskol!$B$1587="","",[2]Baskol!$B$1587)</f>
        <v/>
      </c>
      <c r="U1584">
        <f>IF([2]Baskol!$C$1587="","",[2]Baskol!$C$1587)</f>
        <v/>
      </c>
      <c r="V1584">
        <f>IF([2]Baskol!$D$1587="","",[2]Baskol!$D$1587)</f>
        <v/>
      </c>
      <c r="W1584">
        <f>IF([2]Baskol!$E$1587="","",[2]Baskol!$E$1587)</f>
        <v/>
      </c>
      <c r="X1584">
        <f>IF([2]Baskol!$G$1587="","",[2]Baskol!$G$1587)</f>
        <v/>
      </c>
      <c r="Y1584">
        <f>IF([2]Baskol!$I$1587="","",[2]Baskol!$I$1587)</f>
        <v/>
      </c>
      <c r="Z1584">
        <f>IF([2]Baskol!$J$1587="","",[2]Baskol!$J$1587)</f>
        <v/>
      </c>
      <c r="AA1584">
        <f>IF([2]Baskol!$K$1587="","",[2]Baskol!$K$1587)</f>
        <v/>
      </c>
      <c r="AB1584">
        <f>IF([2]Baskol!$L$1587="","",[2]Baskol!$L$1587)</f>
        <v/>
      </c>
      <c r="AC1584">
        <f>IF([2]Baskol!$N$1587="","",[2]Baskol!$N$1587)</f>
        <v/>
      </c>
      <c r="AD1584">
        <f>IF([2]Baskol!$O$1587="","",[2]Baskol!$O$1587)</f>
        <v/>
      </c>
      <c r="AE1584">
        <f>IF([3]Entry!$C$1587="","",[3]Entry!$C$1587)</f>
        <v/>
      </c>
      <c r="AF1584">
        <f>IF([3]Entry!$D$1587="","",[3]Entry!$D$1587)</f>
        <v/>
      </c>
      <c r="AG1584">
        <f>IF([3]Entry!$E$1587="","",[3]Entry!$E$1587)</f>
        <v/>
      </c>
      <c r="AH1584">
        <f>IF([3]Entry!$G$1587="","",[3]Entry!$G$1587)</f>
        <v/>
      </c>
      <c r="AI1584">
        <f>IF([3]Entry!$K$1587="","",[3]Entry!$K$1587)</f>
        <v/>
      </c>
      <c r="AJ1584">
        <f>IF([3]Entry!$L$1587="","",[3]Entry!$L$1587)</f>
        <v/>
      </c>
      <c r="AK1584">
        <f>IF([3]Entry!$M$1587="","",[3]Entry!$M$1587)</f>
        <v/>
      </c>
      <c r="AL1584">
        <f>IF([3]Entry!$N$1587="","",[3]Entry!$N$1587)</f>
        <v/>
      </c>
      <c r="AM1584">
        <f>IF([3]Entry!$R$1587="","",[3]Entry!$R$1587)</f>
        <v/>
      </c>
    </row>
    <row r="1585">
      <c r="T1585">
        <f>IF([2]Baskol!$B$1588="","",[2]Baskol!$B$1588)</f>
        <v/>
      </c>
      <c r="U1585">
        <f>IF([2]Baskol!$C$1588="","",[2]Baskol!$C$1588)</f>
        <v/>
      </c>
      <c r="V1585">
        <f>IF([2]Baskol!$D$1588="","",[2]Baskol!$D$1588)</f>
        <v/>
      </c>
      <c r="W1585">
        <f>IF([2]Baskol!$E$1588="","",[2]Baskol!$E$1588)</f>
        <v/>
      </c>
      <c r="X1585">
        <f>IF([2]Baskol!$G$1588="","",[2]Baskol!$G$1588)</f>
        <v/>
      </c>
      <c r="Y1585">
        <f>IF([2]Baskol!$I$1588="","",[2]Baskol!$I$1588)</f>
        <v/>
      </c>
      <c r="Z1585">
        <f>IF([2]Baskol!$J$1588="","",[2]Baskol!$J$1588)</f>
        <v/>
      </c>
      <c r="AA1585">
        <f>IF([2]Baskol!$K$1588="","",[2]Baskol!$K$1588)</f>
        <v/>
      </c>
      <c r="AB1585">
        <f>IF([2]Baskol!$L$1588="","",[2]Baskol!$L$1588)</f>
        <v/>
      </c>
      <c r="AC1585">
        <f>IF([2]Baskol!$N$1588="","",[2]Baskol!$N$1588)</f>
        <v/>
      </c>
      <c r="AD1585">
        <f>IF([2]Baskol!$O$1588="","",[2]Baskol!$O$1588)</f>
        <v/>
      </c>
      <c r="AE1585">
        <f>IF([3]Entry!$C$1588="","",[3]Entry!$C$1588)</f>
        <v/>
      </c>
      <c r="AF1585">
        <f>IF([3]Entry!$D$1588="","",[3]Entry!$D$1588)</f>
        <v/>
      </c>
      <c r="AG1585">
        <f>IF([3]Entry!$E$1588="","",[3]Entry!$E$1588)</f>
        <v/>
      </c>
      <c r="AH1585">
        <f>IF([3]Entry!$G$1588="","",[3]Entry!$G$1588)</f>
        <v/>
      </c>
      <c r="AI1585">
        <f>IF([3]Entry!$K$1588="","",[3]Entry!$K$1588)</f>
        <v/>
      </c>
      <c r="AJ1585">
        <f>IF([3]Entry!$L$1588="","",[3]Entry!$L$1588)</f>
        <v/>
      </c>
      <c r="AK1585">
        <f>IF([3]Entry!$M$1588="","",[3]Entry!$M$1588)</f>
        <v/>
      </c>
      <c r="AL1585">
        <f>IF([3]Entry!$N$1588="","",[3]Entry!$N$1588)</f>
        <v/>
      </c>
      <c r="AM1585">
        <f>IF([3]Entry!$R$1588="","",[3]Entry!$R$1588)</f>
        <v/>
      </c>
    </row>
    <row r="1586">
      <c r="T1586">
        <f>IF([2]Baskol!$B$1589="","",[2]Baskol!$B$1589)</f>
        <v/>
      </c>
      <c r="U1586">
        <f>IF([2]Baskol!$C$1589="","",[2]Baskol!$C$1589)</f>
        <v/>
      </c>
      <c r="V1586">
        <f>IF([2]Baskol!$D$1589="","",[2]Baskol!$D$1589)</f>
        <v/>
      </c>
      <c r="W1586">
        <f>IF([2]Baskol!$E$1589="","",[2]Baskol!$E$1589)</f>
        <v/>
      </c>
      <c r="X1586">
        <f>IF([2]Baskol!$G$1589="","",[2]Baskol!$G$1589)</f>
        <v/>
      </c>
      <c r="Y1586">
        <f>IF([2]Baskol!$I$1589="","",[2]Baskol!$I$1589)</f>
        <v/>
      </c>
      <c r="Z1586">
        <f>IF([2]Baskol!$J$1589="","",[2]Baskol!$J$1589)</f>
        <v/>
      </c>
      <c r="AA1586">
        <f>IF([2]Baskol!$K$1589="","",[2]Baskol!$K$1589)</f>
        <v/>
      </c>
      <c r="AB1586">
        <f>IF([2]Baskol!$L$1589="","",[2]Baskol!$L$1589)</f>
        <v/>
      </c>
      <c r="AC1586">
        <f>IF([2]Baskol!$N$1589="","",[2]Baskol!$N$1589)</f>
        <v/>
      </c>
      <c r="AD1586">
        <f>IF([2]Baskol!$O$1589="","",[2]Baskol!$O$1589)</f>
        <v/>
      </c>
      <c r="AE1586">
        <f>IF([3]Entry!$C$1589="","",[3]Entry!$C$1589)</f>
        <v/>
      </c>
      <c r="AF1586">
        <f>IF([3]Entry!$D$1589="","",[3]Entry!$D$1589)</f>
        <v/>
      </c>
      <c r="AG1586">
        <f>IF([3]Entry!$E$1589="","",[3]Entry!$E$1589)</f>
        <v/>
      </c>
      <c r="AH1586">
        <f>IF([3]Entry!$G$1589="","",[3]Entry!$G$1589)</f>
        <v/>
      </c>
      <c r="AI1586">
        <f>IF([3]Entry!$K$1589="","",[3]Entry!$K$1589)</f>
        <v/>
      </c>
      <c r="AJ1586">
        <f>IF([3]Entry!$L$1589="","",[3]Entry!$L$1589)</f>
        <v/>
      </c>
      <c r="AK1586">
        <f>IF([3]Entry!$M$1589="","",[3]Entry!$M$1589)</f>
        <v/>
      </c>
      <c r="AL1586">
        <f>IF([3]Entry!$N$1589="","",[3]Entry!$N$1589)</f>
        <v/>
      </c>
      <c r="AM1586">
        <f>IF([3]Entry!$R$1589="","",[3]Entry!$R$1589)</f>
        <v/>
      </c>
    </row>
    <row r="1587">
      <c r="T1587">
        <f>IF([2]Baskol!$B$1590="","",[2]Baskol!$B$1590)</f>
        <v/>
      </c>
      <c r="U1587">
        <f>IF([2]Baskol!$C$1590="","",[2]Baskol!$C$1590)</f>
        <v/>
      </c>
      <c r="V1587">
        <f>IF([2]Baskol!$D$1590="","",[2]Baskol!$D$1590)</f>
        <v/>
      </c>
      <c r="W1587">
        <f>IF([2]Baskol!$E$1590="","",[2]Baskol!$E$1590)</f>
        <v/>
      </c>
      <c r="X1587">
        <f>IF([2]Baskol!$G$1590="","",[2]Baskol!$G$1590)</f>
        <v/>
      </c>
      <c r="Y1587">
        <f>IF([2]Baskol!$I$1590="","",[2]Baskol!$I$1590)</f>
        <v/>
      </c>
      <c r="Z1587">
        <f>IF([2]Baskol!$J$1590="","",[2]Baskol!$J$1590)</f>
        <v/>
      </c>
      <c r="AA1587">
        <f>IF([2]Baskol!$K$1590="","",[2]Baskol!$K$1590)</f>
        <v/>
      </c>
      <c r="AB1587">
        <f>IF([2]Baskol!$L$1590="","",[2]Baskol!$L$1590)</f>
        <v/>
      </c>
      <c r="AC1587">
        <f>IF([2]Baskol!$N$1590="","",[2]Baskol!$N$1590)</f>
        <v/>
      </c>
      <c r="AD1587">
        <f>IF([2]Baskol!$O$1590="","",[2]Baskol!$O$1590)</f>
        <v/>
      </c>
      <c r="AE1587">
        <f>IF([3]Entry!$C$1590="","",[3]Entry!$C$1590)</f>
        <v/>
      </c>
      <c r="AF1587">
        <f>IF([3]Entry!$D$1590="","",[3]Entry!$D$1590)</f>
        <v/>
      </c>
      <c r="AG1587">
        <f>IF([3]Entry!$E$1590="","",[3]Entry!$E$1590)</f>
        <v/>
      </c>
      <c r="AH1587">
        <f>IF([3]Entry!$G$1590="","",[3]Entry!$G$1590)</f>
        <v/>
      </c>
      <c r="AI1587">
        <f>IF([3]Entry!$K$1590="","",[3]Entry!$K$1590)</f>
        <v/>
      </c>
      <c r="AJ1587">
        <f>IF([3]Entry!$L$1590="","",[3]Entry!$L$1590)</f>
        <v/>
      </c>
      <c r="AK1587">
        <f>IF([3]Entry!$M$1590="","",[3]Entry!$M$1590)</f>
        <v/>
      </c>
      <c r="AL1587">
        <f>IF([3]Entry!$N$1590="","",[3]Entry!$N$1590)</f>
        <v/>
      </c>
      <c r="AM1587">
        <f>IF([3]Entry!$R$1590="","",[3]Entry!$R$1590)</f>
        <v/>
      </c>
    </row>
    <row r="1588">
      <c r="T1588">
        <f>IF([2]Baskol!$B$1591="","",[2]Baskol!$B$1591)</f>
        <v/>
      </c>
      <c r="U1588">
        <f>IF([2]Baskol!$C$1591="","",[2]Baskol!$C$1591)</f>
        <v/>
      </c>
      <c r="V1588">
        <f>IF([2]Baskol!$D$1591="","",[2]Baskol!$D$1591)</f>
        <v/>
      </c>
      <c r="W1588">
        <f>IF([2]Baskol!$E$1591="","",[2]Baskol!$E$1591)</f>
        <v/>
      </c>
      <c r="X1588">
        <f>IF([2]Baskol!$G$1591="","",[2]Baskol!$G$1591)</f>
        <v/>
      </c>
      <c r="Y1588">
        <f>IF([2]Baskol!$I$1591="","",[2]Baskol!$I$1591)</f>
        <v/>
      </c>
      <c r="Z1588">
        <f>IF([2]Baskol!$J$1591="","",[2]Baskol!$J$1591)</f>
        <v/>
      </c>
      <c r="AA1588">
        <f>IF([2]Baskol!$K$1591="","",[2]Baskol!$K$1591)</f>
        <v/>
      </c>
      <c r="AB1588">
        <f>IF([2]Baskol!$L$1591="","",[2]Baskol!$L$1591)</f>
        <v/>
      </c>
      <c r="AC1588">
        <f>IF([2]Baskol!$N$1591="","",[2]Baskol!$N$1591)</f>
        <v/>
      </c>
      <c r="AD1588">
        <f>IF([2]Baskol!$O$1591="","",[2]Baskol!$O$1591)</f>
        <v/>
      </c>
      <c r="AE1588">
        <f>IF([3]Entry!$C$1591="","",[3]Entry!$C$1591)</f>
        <v/>
      </c>
      <c r="AF1588">
        <f>IF([3]Entry!$D$1591="","",[3]Entry!$D$1591)</f>
        <v/>
      </c>
      <c r="AG1588">
        <f>IF([3]Entry!$E$1591="","",[3]Entry!$E$1591)</f>
        <v/>
      </c>
      <c r="AH1588">
        <f>IF([3]Entry!$G$1591="","",[3]Entry!$G$1591)</f>
        <v/>
      </c>
      <c r="AI1588">
        <f>IF([3]Entry!$K$1591="","",[3]Entry!$K$1591)</f>
        <v/>
      </c>
      <c r="AJ1588">
        <f>IF([3]Entry!$L$1591="","",[3]Entry!$L$1591)</f>
        <v/>
      </c>
      <c r="AK1588">
        <f>IF([3]Entry!$M$1591="","",[3]Entry!$M$1591)</f>
        <v/>
      </c>
      <c r="AL1588">
        <f>IF([3]Entry!$N$1591="","",[3]Entry!$N$1591)</f>
        <v/>
      </c>
      <c r="AM1588">
        <f>IF([3]Entry!$R$1591="","",[3]Entry!$R$1591)</f>
        <v/>
      </c>
    </row>
    <row r="1589">
      <c r="T1589">
        <f>IF([2]Baskol!$B$1592="","",[2]Baskol!$B$1592)</f>
        <v/>
      </c>
      <c r="U1589">
        <f>IF([2]Baskol!$C$1592="","",[2]Baskol!$C$1592)</f>
        <v/>
      </c>
      <c r="V1589">
        <f>IF([2]Baskol!$D$1592="","",[2]Baskol!$D$1592)</f>
        <v/>
      </c>
      <c r="W1589">
        <f>IF([2]Baskol!$E$1592="","",[2]Baskol!$E$1592)</f>
        <v/>
      </c>
      <c r="X1589">
        <f>IF([2]Baskol!$G$1592="","",[2]Baskol!$G$1592)</f>
        <v/>
      </c>
      <c r="Y1589">
        <f>IF([2]Baskol!$I$1592="","",[2]Baskol!$I$1592)</f>
        <v/>
      </c>
      <c r="Z1589">
        <f>IF([2]Baskol!$J$1592="","",[2]Baskol!$J$1592)</f>
        <v/>
      </c>
      <c r="AA1589">
        <f>IF([2]Baskol!$K$1592="","",[2]Baskol!$K$1592)</f>
        <v/>
      </c>
      <c r="AB1589">
        <f>IF([2]Baskol!$L$1592="","",[2]Baskol!$L$1592)</f>
        <v/>
      </c>
      <c r="AC1589">
        <f>IF([2]Baskol!$N$1592="","",[2]Baskol!$N$1592)</f>
        <v/>
      </c>
      <c r="AD1589">
        <f>IF([2]Baskol!$O$1592="","",[2]Baskol!$O$1592)</f>
        <v/>
      </c>
      <c r="AE1589">
        <f>IF([3]Entry!$C$1592="","",[3]Entry!$C$1592)</f>
        <v/>
      </c>
      <c r="AF1589">
        <f>IF([3]Entry!$D$1592="","",[3]Entry!$D$1592)</f>
        <v/>
      </c>
      <c r="AG1589">
        <f>IF([3]Entry!$E$1592="","",[3]Entry!$E$1592)</f>
        <v/>
      </c>
      <c r="AH1589">
        <f>IF([3]Entry!$G$1592="","",[3]Entry!$G$1592)</f>
        <v/>
      </c>
      <c r="AI1589">
        <f>IF([3]Entry!$K$1592="","",[3]Entry!$K$1592)</f>
        <v/>
      </c>
      <c r="AJ1589">
        <f>IF([3]Entry!$L$1592="","",[3]Entry!$L$1592)</f>
        <v/>
      </c>
      <c r="AK1589">
        <f>IF([3]Entry!$M$1592="","",[3]Entry!$M$1592)</f>
        <v/>
      </c>
      <c r="AL1589">
        <f>IF([3]Entry!$N$1592="","",[3]Entry!$N$1592)</f>
        <v/>
      </c>
      <c r="AM1589">
        <f>IF([3]Entry!$R$1592="","",[3]Entry!$R$1592)</f>
        <v/>
      </c>
    </row>
    <row r="1590">
      <c r="T1590">
        <f>IF([2]Baskol!$B$1593="","",[2]Baskol!$B$1593)</f>
        <v/>
      </c>
      <c r="U1590">
        <f>IF([2]Baskol!$C$1593="","",[2]Baskol!$C$1593)</f>
        <v/>
      </c>
      <c r="V1590">
        <f>IF([2]Baskol!$D$1593="","",[2]Baskol!$D$1593)</f>
        <v/>
      </c>
      <c r="W1590">
        <f>IF([2]Baskol!$E$1593="","",[2]Baskol!$E$1593)</f>
        <v/>
      </c>
      <c r="X1590">
        <f>IF([2]Baskol!$G$1593="","",[2]Baskol!$G$1593)</f>
        <v/>
      </c>
      <c r="Y1590">
        <f>IF([2]Baskol!$I$1593="","",[2]Baskol!$I$1593)</f>
        <v/>
      </c>
      <c r="Z1590">
        <f>IF([2]Baskol!$J$1593="","",[2]Baskol!$J$1593)</f>
        <v/>
      </c>
      <c r="AA1590">
        <f>IF([2]Baskol!$K$1593="","",[2]Baskol!$K$1593)</f>
        <v/>
      </c>
      <c r="AB1590">
        <f>IF([2]Baskol!$L$1593="","",[2]Baskol!$L$1593)</f>
        <v/>
      </c>
      <c r="AC1590">
        <f>IF([2]Baskol!$N$1593="","",[2]Baskol!$N$1593)</f>
        <v/>
      </c>
      <c r="AD1590">
        <f>IF([2]Baskol!$O$1593="","",[2]Baskol!$O$1593)</f>
        <v/>
      </c>
      <c r="AE1590">
        <f>IF([3]Entry!$C$1593="","",[3]Entry!$C$1593)</f>
        <v/>
      </c>
      <c r="AF1590">
        <f>IF([3]Entry!$D$1593="","",[3]Entry!$D$1593)</f>
        <v/>
      </c>
      <c r="AG1590">
        <f>IF([3]Entry!$E$1593="","",[3]Entry!$E$1593)</f>
        <v/>
      </c>
      <c r="AH1590">
        <f>IF([3]Entry!$G$1593="","",[3]Entry!$G$1593)</f>
        <v/>
      </c>
      <c r="AI1590">
        <f>IF([3]Entry!$K$1593="","",[3]Entry!$K$1593)</f>
        <v/>
      </c>
      <c r="AJ1590">
        <f>IF([3]Entry!$L$1593="","",[3]Entry!$L$1593)</f>
        <v/>
      </c>
      <c r="AK1590">
        <f>IF([3]Entry!$M$1593="","",[3]Entry!$M$1593)</f>
        <v/>
      </c>
      <c r="AL1590">
        <f>IF([3]Entry!$N$1593="","",[3]Entry!$N$1593)</f>
        <v/>
      </c>
      <c r="AM1590">
        <f>IF([3]Entry!$R$1593="","",[3]Entry!$R$1593)</f>
        <v/>
      </c>
    </row>
    <row r="1591">
      <c r="T1591">
        <f>IF([2]Baskol!$B$1594="","",[2]Baskol!$B$1594)</f>
        <v/>
      </c>
      <c r="U1591">
        <f>IF([2]Baskol!$C$1594="","",[2]Baskol!$C$1594)</f>
        <v/>
      </c>
      <c r="V1591">
        <f>IF([2]Baskol!$D$1594="","",[2]Baskol!$D$1594)</f>
        <v/>
      </c>
      <c r="W1591">
        <f>IF([2]Baskol!$E$1594="","",[2]Baskol!$E$1594)</f>
        <v/>
      </c>
      <c r="X1591">
        <f>IF([2]Baskol!$G$1594="","",[2]Baskol!$G$1594)</f>
        <v/>
      </c>
      <c r="Y1591">
        <f>IF([2]Baskol!$I$1594="","",[2]Baskol!$I$1594)</f>
        <v/>
      </c>
      <c r="Z1591">
        <f>IF([2]Baskol!$J$1594="","",[2]Baskol!$J$1594)</f>
        <v/>
      </c>
      <c r="AA1591">
        <f>IF([2]Baskol!$K$1594="","",[2]Baskol!$K$1594)</f>
        <v/>
      </c>
      <c r="AB1591">
        <f>IF([2]Baskol!$L$1594="","",[2]Baskol!$L$1594)</f>
        <v/>
      </c>
      <c r="AC1591">
        <f>IF([2]Baskol!$N$1594="","",[2]Baskol!$N$1594)</f>
        <v/>
      </c>
      <c r="AD1591">
        <f>IF([2]Baskol!$O$1594="","",[2]Baskol!$O$1594)</f>
        <v/>
      </c>
      <c r="AE1591">
        <f>IF([3]Entry!$C$1594="","",[3]Entry!$C$1594)</f>
        <v/>
      </c>
      <c r="AF1591">
        <f>IF([3]Entry!$D$1594="","",[3]Entry!$D$1594)</f>
        <v/>
      </c>
      <c r="AG1591">
        <f>IF([3]Entry!$E$1594="","",[3]Entry!$E$1594)</f>
        <v/>
      </c>
      <c r="AH1591">
        <f>IF([3]Entry!$G$1594="","",[3]Entry!$G$1594)</f>
        <v/>
      </c>
      <c r="AI1591">
        <f>IF([3]Entry!$K$1594="","",[3]Entry!$K$1594)</f>
        <v/>
      </c>
      <c r="AJ1591">
        <f>IF([3]Entry!$L$1594="","",[3]Entry!$L$1594)</f>
        <v/>
      </c>
      <c r="AK1591">
        <f>IF([3]Entry!$M$1594="","",[3]Entry!$M$1594)</f>
        <v/>
      </c>
      <c r="AL1591">
        <f>IF([3]Entry!$N$1594="","",[3]Entry!$N$1594)</f>
        <v/>
      </c>
      <c r="AM1591">
        <f>IF([3]Entry!$R$1594="","",[3]Entry!$R$1594)</f>
        <v/>
      </c>
    </row>
    <row r="1592">
      <c r="T1592">
        <f>IF([2]Baskol!$B$1595="","",[2]Baskol!$B$1595)</f>
        <v/>
      </c>
      <c r="U1592">
        <f>IF([2]Baskol!$C$1595="","",[2]Baskol!$C$1595)</f>
        <v/>
      </c>
      <c r="V1592">
        <f>IF([2]Baskol!$D$1595="","",[2]Baskol!$D$1595)</f>
        <v/>
      </c>
      <c r="W1592">
        <f>IF([2]Baskol!$E$1595="","",[2]Baskol!$E$1595)</f>
        <v/>
      </c>
      <c r="X1592">
        <f>IF([2]Baskol!$G$1595="","",[2]Baskol!$G$1595)</f>
        <v/>
      </c>
      <c r="Y1592">
        <f>IF([2]Baskol!$I$1595="","",[2]Baskol!$I$1595)</f>
        <v/>
      </c>
      <c r="Z1592">
        <f>IF([2]Baskol!$J$1595="","",[2]Baskol!$J$1595)</f>
        <v/>
      </c>
      <c r="AA1592">
        <f>IF([2]Baskol!$K$1595="","",[2]Baskol!$K$1595)</f>
        <v/>
      </c>
      <c r="AB1592">
        <f>IF([2]Baskol!$L$1595="","",[2]Baskol!$L$1595)</f>
        <v/>
      </c>
      <c r="AC1592">
        <f>IF([2]Baskol!$N$1595="","",[2]Baskol!$N$1595)</f>
        <v/>
      </c>
      <c r="AD1592">
        <f>IF([2]Baskol!$O$1595="","",[2]Baskol!$O$1595)</f>
        <v/>
      </c>
      <c r="AE1592">
        <f>IF([3]Entry!$C$1595="","",[3]Entry!$C$1595)</f>
        <v/>
      </c>
      <c r="AF1592">
        <f>IF([3]Entry!$D$1595="","",[3]Entry!$D$1595)</f>
        <v/>
      </c>
      <c r="AG1592">
        <f>IF([3]Entry!$E$1595="","",[3]Entry!$E$1595)</f>
        <v/>
      </c>
      <c r="AH1592">
        <f>IF([3]Entry!$G$1595="","",[3]Entry!$G$1595)</f>
        <v/>
      </c>
      <c r="AI1592">
        <f>IF([3]Entry!$K$1595="","",[3]Entry!$K$1595)</f>
        <v/>
      </c>
      <c r="AJ1592">
        <f>IF([3]Entry!$L$1595="","",[3]Entry!$L$1595)</f>
        <v/>
      </c>
      <c r="AK1592">
        <f>IF([3]Entry!$M$1595="","",[3]Entry!$M$1595)</f>
        <v/>
      </c>
      <c r="AL1592">
        <f>IF([3]Entry!$N$1595="","",[3]Entry!$N$1595)</f>
        <v/>
      </c>
      <c r="AM1592">
        <f>IF([3]Entry!$R$1595="","",[3]Entry!$R$1595)</f>
        <v/>
      </c>
    </row>
    <row r="1593">
      <c r="T1593">
        <f>IF([2]Baskol!$B$1596="","",[2]Baskol!$B$1596)</f>
        <v/>
      </c>
      <c r="U1593">
        <f>IF([2]Baskol!$C$1596="","",[2]Baskol!$C$1596)</f>
        <v/>
      </c>
      <c r="V1593">
        <f>IF([2]Baskol!$D$1596="","",[2]Baskol!$D$1596)</f>
        <v/>
      </c>
      <c r="W1593">
        <f>IF([2]Baskol!$E$1596="","",[2]Baskol!$E$1596)</f>
        <v/>
      </c>
      <c r="X1593">
        <f>IF([2]Baskol!$G$1596="","",[2]Baskol!$G$1596)</f>
        <v/>
      </c>
      <c r="Y1593">
        <f>IF([2]Baskol!$I$1596="","",[2]Baskol!$I$1596)</f>
        <v/>
      </c>
      <c r="Z1593">
        <f>IF([2]Baskol!$J$1596="","",[2]Baskol!$J$1596)</f>
        <v/>
      </c>
      <c r="AA1593">
        <f>IF([2]Baskol!$K$1596="","",[2]Baskol!$K$1596)</f>
        <v/>
      </c>
      <c r="AB1593">
        <f>IF([2]Baskol!$L$1596="","",[2]Baskol!$L$1596)</f>
        <v/>
      </c>
      <c r="AC1593">
        <f>IF([2]Baskol!$N$1596="","",[2]Baskol!$N$1596)</f>
        <v/>
      </c>
      <c r="AD1593">
        <f>IF([2]Baskol!$O$1596="","",[2]Baskol!$O$1596)</f>
        <v/>
      </c>
      <c r="AE1593">
        <f>IF([3]Entry!$C$1596="","",[3]Entry!$C$1596)</f>
        <v/>
      </c>
      <c r="AF1593">
        <f>IF([3]Entry!$D$1596="","",[3]Entry!$D$1596)</f>
        <v/>
      </c>
      <c r="AG1593">
        <f>IF([3]Entry!$E$1596="","",[3]Entry!$E$1596)</f>
        <v/>
      </c>
      <c r="AH1593">
        <f>IF([3]Entry!$G$1596="","",[3]Entry!$G$1596)</f>
        <v/>
      </c>
      <c r="AI1593">
        <f>IF([3]Entry!$K$1596="","",[3]Entry!$K$1596)</f>
        <v/>
      </c>
      <c r="AJ1593">
        <f>IF([3]Entry!$L$1596="","",[3]Entry!$L$1596)</f>
        <v/>
      </c>
      <c r="AK1593">
        <f>IF([3]Entry!$M$1596="","",[3]Entry!$M$1596)</f>
        <v/>
      </c>
      <c r="AL1593">
        <f>IF([3]Entry!$N$1596="","",[3]Entry!$N$1596)</f>
        <v/>
      </c>
      <c r="AM1593">
        <f>IF([3]Entry!$R$1596="","",[3]Entry!$R$1596)</f>
        <v/>
      </c>
    </row>
    <row r="1594">
      <c r="T1594">
        <f>IF([2]Baskol!$B$1597="","",[2]Baskol!$B$1597)</f>
        <v/>
      </c>
      <c r="U1594">
        <f>IF([2]Baskol!$C$1597="","",[2]Baskol!$C$1597)</f>
        <v/>
      </c>
      <c r="V1594">
        <f>IF([2]Baskol!$D$1597="","",[2]Baskol!$D$1597)</f>
        <v/>
      </c>
      <c r="W1594">
        <f>IF([2]Baskol!$E$1597="","",[2]Baskol!$E$1597)</f>
        <v/>
      </c>
      <c r="X1594">
        <f>IF([2]Baskol!$G$1597="","",[2]Baskol!$G$1597)</f>
        <v/>
      </c>
      <c r="Y1594">
        <f>IF([2]Baskol!$I$1597="","",[2]Baskol!$I$1597)</f>
        <v/>
      </c>
      <c r="Z1594">
        <f>IF([2]Baskol!$J$1597="","",[2]Baskol!$J$1597)</f>
        <v/>
      </c>
      <c r="AA1594">
        <f>IF([2]Baskol!$K$1597="","",[2]Baskol!$K$1597)</f>
        <v/>
      </c>
      <c r="AB1594">
        <f>IF([2]Baskol!$L$1597="","",[2]Baskol!$L$1597)</f>
        <v/>
      </c>
      <c r="AC1594">
        <f>IF([2]Baskol!$N$1597="","",[2]Baskol!$N$1597)</f>
        <v/>
      </c>
      <c r="AD1594">
        <f>IF([2]Baskol!$O$1597="","",[2]Baskol!$O$1597)</f>
        <v/>
      </c>
      <c r="AE1594">
        <f>IF([3]Entry!$C$1597="","",[3]Entry!$C$1597)</f>
        <v/>
      </c>
      <c r="AF1594">
        <f>IF([3]Entry!$D$1597="","",[3]Entry!$D$1597)</f>
        <v/>
      </c>
      <c r="AG1594">
        <f>IF([3]Entry!$E$1597="","",[3]Entry!$E$1597)</f>
        <v/>
      </c>
      <c r="AH1594">
        <f>IF([3]Entry!$G$1597="","",[3]Entry!$G$1597)</f>
        <v/>
      </c>
      <c r="AI1594">
        <f>IF([3]Entry!$K$1597="","",[3]Entry!$K$1597)</f>
        <v/>
      </c>
      <c r="AJ1594">
        <f>IF([3]Entry!$L$1597="","",[3]Entry!$L$1597)</f>
        <v/>
      </c>
      <c r="AK1594">
        <f>IF([3]Entry!$M$1597="","",[3]Entry!$M$1597)</f>
        <v/>
      </c>
      <c r="AL1594">
        <f>IF([3]Entry!$N$1597="","",[3]Entry!$N$1597)</f>
        <v/>
      </c>
      <c r="AM1594">
        <f>IF([3]Entry!$R$1597="","",[3]Entry!$R$1597)</f>
        <v/>
      </c>
    </row>
    <row r="1595">
      <c r="T1595">
        <f>IF([2]Baskol!$B$1598="","",[2]Baskol!$B$1598)</f>
        <v/>
      </c>
      <c r="U1595">
        <f>IF([2]Baskol!$C$1598="","",[2]Baskol!$C$1598)</f>
        <v/>
      </c>
      <c r="V1595">
        <f>IF([2]Baskol!$D$1598="","",[2]Baskol!$D$1598)</f>
        <v/>
      </c>
      <c r="W1595">
        <f>IF([2]Baskol!$E$1598="","",[2]Baskol!$E$1598)</f>
        <v/>
      </c>
      <c r="X1595">
        <f>IF([2]Baskol!$G$1598="","",[2]Baskol!$G$1598)</f>
        <v/>
      </c>
      <c r="Y1595">
        <f>IF([2]Baskol!$I$1598="","",[2]Baskol!$I$1598)</f>
        <v/>
      </c>
      <c r="Z1595">
        <f>IF([2]Baskol!$J$1598="","",[2]Baskol!$J$1598)</f>
        <v/>
      </c>
      <c r="AA1595">
        <f>IF([2]Baskol!$K$1598="","",[2]Baskol!$K$1598)</f>
        <v/>
      </c>
      <c r="AB1595">
        <f>IF([2]Baskol!$L$1598="","",[2]Baskol!$L$1598)</f>
        <v/>
      </c>
      <c r="AC1595">
        <f>IF([2]Baskol!$N$1598="","",[2]Baskol!$N$1598)</f>
        <v/>
      </c>
      <c r="AD1595">
        <f>IF([2]Baskol!$O$1598="","",[2]Baskol!$O$1598)</f>
        <v/>
      </c>
      <c r="AE1595">
        <f>IF([3]Entry!$C$1598="","",[3]Entry!$C$1598)</f>
        <v/>
      </c>
      <c r="AF1595">
        <f>IF([3]Entry!$D$1598="","",[3]Entry!$D$1598)</f>
        <v/>
      </c>
      <c r="AG1595">
        <f>IF([3]Entry!$E$1598="","",[3]Entry!$E$1598)</f>
        <v/>
      </c>
      <c r="AH1595">
        <f>IF([3]Entry!$G$1598="","",[3]Entry!$G$1598)</f>
        <v/>
      </c>
      <c r="AI1595">
        <f>IF([3]Entry!$K$1598="","",[3]Entry!$K$1598)</f>
        <v/>
      </c>
      <c r="AJ1595">
        <f>IF([3]Entry!$L$1598="","",[3]Entry!$L$1598)</f>
        <v/>
      </c>
      <c r="AK1595">
        <f>IF([3]Entry!$M$1598="","",[3]Entry!$M$1598)</f>
        <v/>
      </c>
      <c r="AL1595">
        <f>IF([3]Entry!$N$1598="","",[3]Entry!$N$1598)</f>
        <v/>
      </c>
      <c r="AM1595">
        <f>IF([3]Entry!$R$1598="","",[3]Entry!$R$1598)</f>
        <v/>
      </c>
    </row>
    <row r="1596">
      <c r="T1596">
        <f>IF([2]Baskol!$B$1599="","",[2]Baskol!$B$1599)</f>
        <v/>
      </c>
      <c r="U1596">
        <f>IF([2]Baskol!$C$1599="","",[2]Baskol!$C$1599)</f>
        <v/>
      </c>
      <c r="V1596">
        <f>IF([2]Baskol!$D$1599="","",[2]Baskol!$D$1599)</f>
        <v/>
      </c>
      <c r="W1596">
        <f>IF([2]Baskol!$E$1599="","",[2]Baskol!$E$1599)</f>
        <v/>
      </c>
      <c r="X1596">
        <f>IF([2]Baskol!$G$1599="","",[2]Baskol!$G$1599)</f>
        <v/>
      </c>
      <c r="Y1596">
        <f>IF([2]Baskol!$I$1599="","",[2]Baskol!$I$1599)</f>
        <v/>
      </c>
      <c r="Z1596">
        <f>IF([2]Baskol!$J$1599="","",[2]Baskol!$J$1599)</f>
        <v/>
      </c>
      <c r="AA1596">
        <f>IF([2]Baskol!$K$1599="","",[2]Baskol!$K$1599)</f>
        <v/>
      </c>
      <c r="AB1596">
        <f>IF([2]Baskol!$L$1599="","",[2]Baskol!$L$1599)</f>
        <v/>
      </c>
      <c r="AC1596">
        <f>IF([2]Baskol!$N$1599="","",[2]Baskol!$N$1599)</f>
        <v/>
      </c>
      <c r="AD1596">
        <f>IF([2]Baskol!$O$1599="","",[2]Baskol!$O$1599)</f>
        <v/>
      </c>
      <c r="AE1596">
        <f>IF([3]Entry!$C$1599="","",[3]Entry!$C$1599)</f>
        <v/>
      </c>
      <c r="AF1596">
        <f>IF([3]Entry!$D$1599="","",[3]Entry!$D$1599)</f>
        <v/>
      </c>
      <c r="AG1596">
        <f>IF([3]Entry!$E$1599="","",[3]Entry!$E$1599)</f>
        <v/>
      </c>
      <c r="AH1596">
        <f>IF([3]Entry!$G$1599="","",[3]Entry!$G$1599)</f>
        <v/>
      </c>
      <c r="AI1596">
        <f>IF([3]Entry!$K$1599="","",[3]Entry!$K$1599)</f>
        <v/>
      </c>
      <c r="AJ1596">
        <f>IF([3]Entry!$L$1599="","",[3]Entry!$L$1599)</f>
        <v/>
      </c>
      <c r="AK1596">
        <f>IF([3]Entry!$M$1599="","",[3]Entry!$M$1599)</f>
        <v/>
      </c>
      <c r="AL1596">
        <f>IF([3]Entry!$N$1599="","",[3]Entry!$N$1599)</f>
        <v/>
      </c>
      <c r="AM1596">
        <f>IF([3]Entry!$R$1599="","",[3]Entry!$R$1599)</f>
        <v/>
      </c>
    </row>
    <row r="1597">
      <c r="T1597">
        <f>IF([2]Baskol!$B$1600="","",[2]Baskol!$B$1600)</f>
        <v/>
      </c>
      <c r="U1597">
        <f>IF([2]Baskol!$C$1600="","",[2]Baskol!$C$1600)</f>
        <v/>
      </c>
      <c r="V1597">
        <f>IF([2]Baskol!$D$1600="","",[2]Baskol!$D$1600)</f>
        <v/>
      </c>
      <c r="W1597">
        <f>IF([2]Baskol!$E$1600="","",[2]Baskol!$E$1600)</f>
        <v/>
      </c>
      <c r="X1597">
        <f>IF([2]Baskol!$G$1600="","",[2]Baskol!$G$1600)</f>
        <v/>
      </c>
      <c r="Y1597">
        <f>IF([2]Baskol!$I$1600="","",[2]Baskol!$I$1600)</f>
        <v/>
      </c>
      <c r="Z1597">
        <f>IF([2]Baskol!$J$1600="","",[2]Baskol!$J$1600)</f>
        <v/>
      </c>
      <c r="AA1597">
        <f>IF([2]Baskol!$K$1600="","",[2]Baskol!$K$1600)</f>
        <v/>
      </c>
      <c r="AB1597">
        <f>IF([2]Baskol!$L$1600="","",[2]Baskol!$L$1600)</f>
        <v/>
      </c>
      <c r="AC1597">
        <f>IF([2]Baskol!$N$1600="","",[2]Baskol!$N$1600)</f>
        <v/>
      </c>
      <c r="AD1597">
        <f>IF([2]Baskol!$O$1600="","",[2]Baskol!$O$1600)</f>
        <v/>
      </c>
      <c r="AE1597">
        <f>IF([3]Entry!$C$1600="","",[3]Entry!$C$1600)</f>
        <v/>
      </c>
      <c r="AF1597">
        <f>IF([3]Entry!$D$1600="","",[3]Entry!$D$1600)</f>
        <v/>
      </c>
      <c r="AG1597">
        <f>IF([3]Entry!$E$1600="","",[3]Entry!$E$1600)</f>
        <v/>
      </c>
      <c r="AH1597">
        <f>IF([3]Entry!$G$1600="","",[3]Entry!$G$1600)</f>
        <v/>
      </c>
      <c r="AI1597">
        <f>IF([3]Entry!$K$1600="","",[3]Entry!$K$1600)</f>
        <v/>
      </c>
      <c r="AJ1597">
        <f>IF([3]Entry!$L$1600="","",[3]Entry!$L$1600)</f>
        <v/>
      </c>
      <c r="AK1597">
        <f>IF([3]Entry!$M$1600="","",[3]Entry!$M$1600)</f>
        <v/>
      </c>
      <c r="AL1597">
        <f>IF([3]Entry!$N$1600="","",[3]Entry!$N$1600)</f>
        <v/>
      </c>
      <c r="AM1597">
        <f>IF([3]Entry!$R$1600="","",[3]Entry!$R$1600)</f>
        <v/>
      </c>
    </row>
    <row r="1598">
      <c r="T1598">
        <f>IF([2]Baskol!$B$1601="","",[2]Baskol!$B$1601)</f>
        <v/>
      </c>
      <c r="U1598">
        <f>IF([2]Baskol!$C$1601="","",[2]Baskol!$C$1601)</f>
        <v/>
      </c>
      <c r="V1598">
        <f>IF([2]Baskol!$D$1601="","",[2]Baskol!$D$1601)</f>
        <v/>
      </c>
      <c r="W1598">
        <f>IF([2]Baskol!$E$1601="","",[2]Baskol!$E$1601)</f>
        <v/>
      </c>
      <c r="X1598">
        <f>IF([2]Baskol!$G$1601="","",[2]Baskol!$G$1601)</f>
        <v/>
      </c>
      <c r="Y1598">
        <f>IF([2]Baskol!$I$1601="","",[2]Baskol!$I$1601)</f>
        <v/>
      </c>
      <c r="Z1598">
        <f>IF([2]Baskol!$J$1601="","",[2]Baskol!$J$1601)</f>
        <v/>
      </c>
      <c r="AA1598">
        <f>IF([2]Baskol!$K$1601="","",[2]Baskol!$K$1601)</f>
        <v/>
      </c>
      <c r="AB1598">
        <f>IF([2]Baskol!$L$1601="","",[2]Baskol!$L$1601)</f>
        <v/>
      </c>
      <c r="AC1598">
        <f>IF([2]Baskol!$N$1601="","",[2]Baskol!$N$1601)</f>
        <v/>
      </c>
      <c r="AD1598">
        <f>IF([2]Baskol!$O$1601="","",[2]Baskol!$O$1601)</f>
        <v/>
      </c>
      <c r="AE1598">
        <f>IF([3]Entry!$C$1601="","",[3]Entry!$C$1601)</f>
        <v/>
      </c>
      <c r="AF1598">
        <f>IF([3]Entry!$D$1601="","",[3]Entry!$D$1601)</f>
        <v/>
      </c>
      <c r="AG1598">
        <f>IF([3]Entry!$E$1601="","",[3]Entry!$E$1601)</f>
        <v/>
      </c>
      <c r="AH1598">
        <f>IF([3]Entry!$G$1601="","",[3]Entry!$G$1601)</f>
        <v/>
      </c>
      <c r="AI1598">
        <f>IF([3]Entry!$K$1601="","",[3]Entry!$K$1601)</f>
        <v/>
      </c>
      <c r="AJ1598">
        <f>IF([3]Entry!$L$1601="","",[3]Entry!$L$1601)</f>
        <v/>
      </c>
      <c r="AK1598">
        <f>IF([3]Entry!$M$1601="","",[3]Entry!$M$1601)</f>
        <v/>
      </c>
      <c r="AL1598">
        <f>IF([3]Entry!$N$1601="","",[3]Entry!$N$1601)</f>
        <v/>
      </c>
      <c r="AM1598">
        <f>IF([3]Entry!$R$1601="","",[3]Entry!$R$1601)</f>
        <v/>
      </c>
    </row>
    <row r="1599">
      <c r="T1599">
        <f>IF([2]Baskol!$B$1602="","",[2]Baskol!$B$1602)</f>
        <v/>
      </c>
      <c r="U1599">
        <f>IF([2]Baskol!$C$1602="","",[2]Baskol!$C$1602)</f>
        <v/>
      </c>
      <c r="V1599">
        <f>IF([2]Baskol!$D$1602="","",[2]Baskol!$D$1602)</f>
        <v/>
      </c>
      <c r="W1599">
        <f>IF([2]Baskol!$E$1602="","",[2]Baskol!$E$1602)</f>
        <v/>
      </c>
      <c r="X1599">
        <f>IF([2]Baskol!$G$1602="","",[2]Baskol!$G$1602)</f>
        <v/>
      </c>
      <c r="Y1599">
        <f>IF([2]Baskol!$I$1602="","",[2]Baskol!$I$1602)</f>
        <v/>
      </c>
      <c r="Z1599">
        <f>IF([2]Baskol!$J$1602="","",[2]Baskol!$J$1602)</f>
        <v/>
      </c>
      <c r="AA1599">
        <f>IF([2]Baskol!$K$1602="","",[2]Baskol!$K$1602)</f>
        <v/>
      </c>
      <c r="AB1599">
        <f>IF([2]Baskol!$L$1602="","",[2]Baskol!$L$1602)</f>
        <v/>
      </c>
      <c r="AC1599">
        <f>IF([2]Baskol!$N$1602="","",[2]Baskol!$N$1602)</f>
        <v/>
      </c>
      <c r="AD1599">
        <f>IF([2]Baskol!$O$1602="","",[2]Baskol!$O$1602)</f>
        <v/>
      </c>
      <c r="AE1599">
        <f>IF([3]Entry!$C$1602="","",[3]Entry!$C$1602)</f>
        <v/>
      </c>
      <c r="AF1599">
        <f>IF([3]Entry!$D$1602="","",[3]Entry!$D$1602)</f>
        <v/>
      </c>
      <c r="AG1599">
        <f>IF([3]Entry!$E$1602="","",[3]Entry!$E$1602)</f>
        <v/>
      </c>
      <c r="AH1599">
        <f>IF([3]Entry!$G$1602="","",[3]Entry!$G$1602)</f>
        <v/>
      </c>
      <c r="AI1599">
        <f>IF([3]Entry!$K$1602="","",[3]Entry!$K$1602)</f>
        <v/>
      </c>
      <c r="AJ1599">
        <f>IF([3]Entry!$L$1602="","",[3]Entry!$L$1602)</f>
        <v/>
      </c>
      <c r="AK1599">
        <f>IF([3]Entry!$M$1602="","",[3]Entry!$M$1602)</f>
        <v/>
      </c>
      <c r="AL1599">
        <f>IF([3]Entry!$N$1602="","",[3]Entry!$N$1602)</f>
        <v/>
      </c>
      <c r="AM1599">
        <f>IF([3]Entry!$R$1602="","",[3]Entry!$R$1602)</f>
        <v/>
      </c>
    </row>
    <row r="1600">
      <c r="T1600">
        <f>IF([2]Baskol!$B$1603="","",[2]Baskol!$B$1603)</f>
        <v/>
      </c>
      <c r="U1600">
        <f>IF([2]Baskol!$C$1603="","",[2]Baskol!$C$1603)</f>
        <v/>
      </c>
      <c r="V1600">
        <f>IF([2]Baskol!$D$1603="","",[2]Baskol!$D$1603)</f>
        <v/>
      </c>
      <c r="W1600">
        <f>IF([2]Baskol!$E$1603="","",[2]Baskol!$E$1603)</f>
        <v/>
      </c>
      <c r="X1600">
        <f>IF([2]Baskol!$G$1603="","",[2]Baskol!$G$1603)</f>
        <v/>
      </c>
      <c r="Y1600">
        <f>IF([2]Baskol!$I$1603="","",[2]Baskol!$I$1603)</f>
        <v/>
      </c>
      <c r="Z1600">
        <f>IF([2]Baskol!$J$1603="","",[2]Baskol!$J$1603)</f>
        <v/>
      </c>
      <c r="AA1600">
        <f>IF([2]Baskol!$K$1603="","",[2]Baskol!$K$1603)</f>
        <v/>
      </c>
      <c r="AB1600">
        <f>IF([2]Baskol!$L$1603="","",[2]Baskol!$L$1603)</f>
        <v/>
      </c>
      <c r="AC1600">
        <f>IF([2]Baskol!$N$1603="","",[2]Baskol!$N$1603)</f>
        <v/>
      </c>
      <c r="AD1600">
        <f>IF([2]Baskol!$O$1603="","",[2]Baskol!$O$1603)</f>
        <v/>
      </c>
      <c r="AE1600">
        <f>IF([3]Entry!$C$1603="","",[3]Entry!$C$1603)</f>
        <v/>
      </c>
      <c r="AF1600">
        <f>IF([3]Entry!$D$1603="","",[3]Entry!$D$1603)</f>
        <v/>
      </c>
      <c r="AG1600">
        <f>IF([3]Entry!$E$1603="","",[3]Entry!$E$1603)</f>
        <v/>
      </c>
      <c r="AH1600">
        <f>IF([3]Entry!$G$1603="","",[3]Entry!$G$1603)</f>
        <v/>
      </c>
      <c r="AI1600">
        <f>IF([3]Entry!$K$1603="","",[3]Entry!$K$1603)</f>
        <v/>
      </c>
      <c r="AJ1600">
        <f>IF([3]Entry!$L$1603="","",[3]Entry!$L$1603)</f>
        <v/>
      </c>
      <c r="AK1600">
        <f>IF([3]Entry!$M$1603="","",[3]Entry!$M$1603)</f>
        <v/>
      </c>
      <c r="AL1600">
        <f>IF([3]Entry!$N$1603="","",[3]Entry!$N$1603)</f>
        <v/>
      </c>
      <c r="AM1600">
        <f>IF([3]Entry!$R$1603="","",[3]Entry!$R$1603)</f>
        <v/>
      </c>
    </row>
    <row r="1601">
      <c r="T1601">
        <f>IF([2]Baskol!$B$1604="","",[2]Baskol!$B$1604)</f>
        <v/>
      </c>
      <c r="U1601">
        <f>IF([2]Baskol!$C$1604="","",[2]Baskol!$C$1604)</f>
        <v/>
      </c>
      <c r="V1601">
        <f>IF([2]Baskol!$D$1604="","",[2]Baskol!$D$1604)</f>
        <v/>
      </c>
      <c r="W1601">
        <f>IF([2]Baskol!$E$1604="","",[2]Baskol!$E$1604)</f>
        <v/>
      </c>
      <c r="X1601">
        <f>IF([2]Baskol!$G$1604="","",[2]Baskol!$G$1604)</f>
        <v/>
      </c>
      <c r="Y1601">
        <f>IF([2]Baskol!$I$1604="","",[2]Baskol!$I$1604)</f>
        <v/>
      </c>
      <c r="Z1601">
        <f>IF([2]Baskol!$J$1604="","",[2]Baskol!$J$1604)</f>
        <v/>
      </c>
      <c r="AA1601">
        <f>IF([2]Baskol!$K$1604="","",[2]Baskol!$K$1604)</f>
        <v/>
      </c>
      <c r="AB1601">
        <f>IF([2]Baskol!$L$1604="","",[2]Baskol!$L$1604)</f>
        <v/>
      </c>
      <c r="AC1601">
        <f>IF([2]Baskol!$N$1604="","",[2]Baskol!$N$1604)</f>
        <v/>
      </c>
      <c r="AD1601">
        <f>IF([2]Baskol!$O$1604="","",[2]Baskol!$O$1604)</f>
        <v/>
      </c>
      <c r="AE1601">
        <f>IF([3]Entry!$C$1604="","",[3]Entry!$C$1604)</f>
        <v/>
      </c>
      <c r="AF1601">
        <f>IF([3]Entry!$D$1604="","",[3]Entry!$D$1604)</f>
        <v/>
      </c>
      <c r="AG1601">
        <f>IF([3]Entry!$E$1604="","",[3]Entry!$E$1604)</f>
        <v/>
      </c>
      <c r="AH1601">
        <f>IF([3]Entry!$G$1604="","",[3]Entry!$G$1604)</f>
        <v/>
      </c>
      <c r="AI1601">
        <f>IF([3]Entry!$K$1604="","",[3]Entry!$K$1604)</f>
        <v/>
      </c>
      <c r="AJ1601">
        <f>IF([3]Entry!$L$1604="","",[3]Entry!$L$1604)</f>
        <v/>
      </c>
      <c r="AK1601">
        <f>IF([3]Entry!$M$1604="","",[3]Entry!$M$1604)</f>
        <v/>
      </c>
      <c r="AL1601">
        <f>IF([3]Entry!$N$1604="","",[3]Entry!$N$1604)</f>
        <v/>
      </c>
      <c r="AM1601">
        <f>IF([3]Entry!$R$1604="","",[3]Entry!$R$1604)</f>
        <v/>
      </c>
    </row>
    <row r="1602">
      <c r="T1602">
        <f>IF([2]Baskol!$B$1605="","",[2]Baskol!$B$1605)</f>
        <v/>
      </c>
      <c r="U1602">
        <f>IF([2]Baskol!$C$1605="","",[2]Baskol!$C$1605)</f>
        <v/>
      </c>
      <c r="V1602">
        <f>IF([2]Baskol!$D$1605="","",[2]Baskol!$D$1605)</f>
        <v/>
      </c>
      <c r="W1602">
        <f>IF([2]Baskol!$E$1605="","",[2]Baskol!$E$1605)</f>
        <v/>
      </c>
      <c r="X1602">
        <f>IF([2]Baskol!$G$1605="","",[2]Baskol!$G$1605)</f>
        <v/>
      </c>
      <c r="Y1602">
        <f>IF([2]Baskol!$I$1605="","",[2]Baskol!$I$1605)</f>
        <v/>
      </c>
      <c r="Z1602">
        <f>IF([2]Baskol!$J$1605="","",[2]Baskol!$J$1605)</f>
        <v/>
      </c>
      <c r="AA1602">
        <f>IF([2]Baskol!$K$1605="","",[2]Baskol!$K$1605)</f>
        <v/>
      </c>
      <c r="AB1602">
        <f>IF([2]Baskol!$L$1605="","",[2]Baskol!$L$1605)</f>
        <v/>
      </c>
      <c r="AC1602">
        <f>IF([2]Baskol!$N$1605="","",[2]Baskol!$N$1605)</f>
        <v/>
      </c>
      <c r="AD1602">
        <f>IF([2]Baskol!$O$1605="","",[2]Baskol!$O$1605)</f>
        <v/>
      </c>
      <c r="AE1602">
        <f>IF([3]Entry!$C$1605="","",[3]Entry!$C$1605)</f>
        <v/>
      </c>
      <c r="AF1602">
        <f>IF([3]Entry!$D$1605="","",[3]Entry!$D$1605)</f>
        <v/>
      </c>
      <c r="AG1602">
        <f>IF([3]Entry!$E$1605="","",[3]Entry!$E$1605)</f>
        <v/>
      </c>
      <c r="AH1602">
        <f>IF([3]Entry!$G$1605="","",[3]Entry!$G$1605)</f>
        <v/>
      </c>
      <c r="AI1602">
        <f>IF([3]Entry!$K$1605="","",[3]Entry!$K$1605)</f>
        <v/>
      </c>
      <c r="AJ1602">
        <f>IF([3]Entry!$L$1605="","",[3]Entry!$L$1605)</f>
        <v/>
      </c>
      <c r="AK1602">
        <f>IF([3]Entry!$M$1605="","",[3]Entry!$M$1605)</f>
        <v/>
      </c>
      <c r="AL1602">
        <f>IF([3]Entry!$N$1605="","",[3]Entry!$N$1605)</f>
        <v/>
      </c>
      <c r="AM1602">
        <f>IF([3]Entry!$R$1605="","",[3]Entry!$R$1605)</f>
        <v/>
      </c>
    </row>
    <row r="1603">
      <c r="T1603">
        <f>IF([2]Baskol!$B$1606="","",[2]Baskol!$B$1606)</f>
        <v/>
      </c>
      <c r="U1603">
        <f>IF([2]Baskol!$C$1606="","",[2]Baskol!$C$1606)</f>
        <v/>
      </c>
      <c r="V1603">
        <f>IF([2]Baskol!$D$1606="","",[2]Baskol!$D$1606)</f>
        <v/>
      </c>
      <c r="W1603">
        <f>IF([2]Baskol!$E$1606="","",[2]Baskol!$E$1606)</f>
        <v/>
      </c>
      <c r="X1603">
        <f>IF([2]Baskol!$G$1606="","",[2]Baskol!$G$1606)</f>
        <v/>
      </c>
      <c r="Y1603">
        <f>IF([2]Baskol!$I$1606="","",[2]Baskol!$I$1606)</f>
        <v/>
      </c>
      <c r="Z1603">
        <f>IF([2]Baskol!$J$1606="","",[2]Baskol!$J$1606)</f>
        <v/>
      </c>
      <c r="AA1603">
        <f>IF([2]Baskol!$K$1606="","",[2]Baskol!$K$1606)</f>
        <v/>
      </c>
      <c r="AB1603">
        <f>IF([2]Baskol!$L$1606="","",[2]Baskol!$L$1606)</f>
        <v/>
      </c>
      <c r="AC1603">
        <f>IF([2]Baskol!$N$1606="","",[2]Baskol!$N$1606)</f>
        <v/>
      </c>
      <c r="AD1603">
        <f>IF([2]Baskol!$O$1606="","",[2]Baskol!$O$1606)</f>
        <v/>
      </c>
      <c r="AE1603">
        <f>IF([3]Entry!$C$1606="","",[3]Entry!$C$1606)</f>
        <v/>
      </c>
      <c r="AF1603">
        <f>IF([3]Entry!$D$1606="","",[3]Entry!$D$1606)</f>
        <v/>
      </c>
      <c r="AG1603">
        <f>IF([3]Entry!$E$1606="","",[3]Entry!$E$1606)</f>
        <v/>
      </c>
      <c r="AH1603">
        <f>IF([3]Entry!$G$1606="","",[3]Entry!$G$1606)</f>
        <v/>
      </c>
      <c r="AI1603">
        <f>IF([3]Entry!$K$1606="","",[3]Entry!$K$1606)</f>
        <v/>
      </c>
      <c r="AJ1603">
        <f>IF([3]Entry!$L$1606="","",[3]Entry!$L$1606)</f>
        <v/>
      </c>
      <c r="AK1603">
        <f>IF([3]Entry!$M$1606="","",[3]Entry!$M$1606)</f>
        <v/>
      </c>
      <c r="AL1603">
        <f>IF([3]Entry!$N$1606="","",[3]Entry!$N$1606)</f>
        <v/>
      </c>
      <c r="AM1603">
        <f>IF([3]Entry!$R$1606="","",[3]Entry!$R$1606)</f>
        <v/>
      </c>
    </row>
    <row r="1604">
      <c r="T1604">
        <f>IF([2]Baskol!$B$1607="","",[2]Baskol!$B$1607)</f>
        <v/>
      </c>
      <c r="U1604">
        <f>IF([2]Baskol!$C$1607="","",[2]Baskol!$C$1607)</f>
        <v/>
      </c>
      <c r="V1604">
        <f>IF([2]Baskol!$D$1607="","",[2]Baskol!$D$1607)</f>
        <v/>
      </c>
      <c r="W1604">
        <f>IF([2]Baskol!$E$1607="","",[2]Baskol!$E$1607)</f>
        <v/>
      </c>
      <c r="X1604">
        <f>IF([2]Baskol!$G$1607="","",[2]Baskol!$G$1607)</f>
        <v/>
      </c>
      <c r="Y1604">
        <f>IF([2]Baskol!$I$1607="","",[2]Baskol!$I$1607)</f>
        <v/>
      </c>
      <c r="Z1604">
        <f>IF([2]Baskol!$J$1607="","",[2]Baskol!$J$1607)</f>
        <v/>
      </c>
      <c r="AA1604">
        <f>IF([2]Baskol!$K$1607="","",[2]Baskol!$K$1607)</f>
        <v/>
      </c>
      <c r="AB1604">
        <f>IF([2]Baskol!$L$1607="","",[2]Baskol!$L$1607)</f>
        <v/>
      </c>
      <c r="AC1604">
        <f>IF([2]Baskol!$N$1607="","",[2]Baskol!$N$1607)</f>
        <v/>
      </c>
      <c r="AD1604">
        <f>IF([2]Baskol!$O$1607="","",[2]Baskol!$O$1607)</f>
        <v/>
      </c>
      <c r="AE1604">
        <f>IF([3]Entry!$C$1607="","",[3]Entry!$C$1607)</f>
        <v/>
      </c>
      <c r="AF1604">
        <f>IF([3]Entry!$D$1607="","",[3]Entry!$D$1607)</f>
        <v/>
      </c>
      <c r="AG1604">
        <f>IF([3]Entry!$E$1607="","",[3]Entry!$E$1607)</f>
        <v/>
      </c>
      <c r="AH1604">
        <f>IF([3]Entry!$G$1607="","",[3]Entry!$G$1607)</f>
        <v/>
      </c>
      <c r="AI1604">
        <f>IF([3]Entry!$K$1607="","",[3]Entry!$K$1607)</f>
        <v/>
      </c>
      <c r="AJ1604">
        <f>IF([3]Entry!$L$1607="","",[3]Entry!$L$1607)</f>
        <v/>
      </c>
      <c r="AK1604">
        <f>IF([3]Entry!$M$1607="","",[3]Entry!$M$1607)</f>
        <v/>
      </c>
      <c r="AL1604">
        <f>IF([3]Entry!$N$1607="","",[3]Entry!$N$1607)</f>
        <v/>
      </c>
      <c r="AM1604">
        <f>IF([3]Entry!$R$1607="","",[3]Entry!$R$1607)</f>
        <v/>
      </c>
    </row>
    <row r="1605">
      <c r="T1605">
        <f>IF([2]Baskol!$B$1608="","",[2]Baskol!$B$1608)</f>
        <v/>
      </c>
      <c r="U1605">
        <f>IF([2]Baskol!$C$1608="","",[2]Baskol!$C$1608)</f>
        <v/>
      </c>
      <c r="V1605">
        <f>IF([2]Baskol!$D$1608="","",[2]Baskol!$D$1608)</f>
        <v/>
      </c>
      <c r="W1605">
        <f>IF([2]Baskol!$E$1608="","",[2]Baskol!$E$1608)</f>
        <v/>
      </c>
      <c r="X1605">
        <f>IF([2]Baskol!$G$1608="","",[2]Baskol!$G$1608)</f>
        <v/>
      </c>
      <c r="Y1605">
        <f>IF([2]Baskol!$I$1608="","",[2]Baskol!$I$1608)</f>
        <v/>
      </c>
      <c r="Z1605">
        <f>IF([2]Baskol!$J$1608="","",[2]Baskol!$J$1608)</f>
        <v/>
      </c>
      <c r="AA1605">
        <f>IF([2]Baskol!$K$1608="","",[2]Baskol!$K$1608)</f>
        <v/>
      </c>
      <c r="AB1605">
        <f>IF([2]Baskol!$L$1608="","",[2]Baskol!$L$1608)</f>
        <v/>
      </c>
      <c r="AC1605">
        <f>IF([2]Baskol!$N$1608="","",[2]Baskol!$N$1608)</f>
        <v/>
      </c>
      <c r="AD1605">
        <f>IF([2]Baskol!$O$1608="","",[2]Baskol!$O$1608)</f>
        <v/>
      </c>
      <c r="AE1605">
        <f>IF([3]Entry!$C$1608="","",[3]Entry!$C$1608)</f>
        <v/>
      </c>
      <c r="AF1605">
        <f>IF([3]Entry!$D$1608="","",[3]Entry!$D$1608)</f>
        <v/>
      </c>
      <c r="AG1605">
        <f>IF([3]Entry!$E$1608="","",[3]Entry!$E$1608)</f>
        <v/>
      </c>
      <c r="AH1605">
        <f>IF([3]Entry!$G$1608="","",[3]Entry!$G$1608)</f>
        <v/>
      </c>
      <c r="AI1605">
        <f>IF([3]Entry!$K$1608="","",[3]Entry!$K$1608)</f>
        <v/>
      </c>
      <c r="AJ1605">
        <f>IF([3]Entry!$L$1608="","",[3]Entry!$L$1608)</f>
        <v/>
      </c>
      <c r="AK1605">
        <f>IF([3]Entry!$M$1608="","",[3]Entry!$M$1608)</f>
        <v/>
      </c>
      <c r="AL1605">
        <f>IF([3]Entry!$N$1608="","",[3]Entry!$N$1608)</f>
        <v/>
      </c>
      <c r="AM1605">
        <f>IF([3]Entry!$R$1608="","",[3]Entry!$R$1608)</f>
        <v/>
      </c>
    </row>
    <row r="1606">
      <c r="T1606">
        <f>IF([2]Baskol!$B$1609="","",[2]Baskol!$B$1609)</f>
        <v/>
      </c>
      <c r="U1606">
        <f>IF([2]Baskol!$C$1609="","",[2]Baskol!$C$1609)</f>
        <v/>
      </c>
      <c r="V1606">
        <f>IF([2]Baskol!$D$1609="","",[2]Baskol!$D$1609)</f>
        <v/>
      </c>
      <c r="W1606">
        <f>IF([2]Baskol!$E$1609="","",[2]Baskol!$E$1609)</f>
        <v/>
      </c>
      <c r="X1606">
        <f>IF([2]Baskol!$G$1609="","",[2]Baskol!$G$1609)</f>
        <v/>
      </c>
      <c r="Y1606">
        <f>IF([2]Baskol!$I$1609="","",[2]Baskol!$I$1609)</f>
        <v/>
      </c>
      <c r="Z1606">
        <f>IF([2]Baskol!$J$1609="","",[2]Baskol!$J$1609)</f>
        <v/>
      </c>
      <c r="AA1606">
        <f>IF([2]Baskol!$K$1609="","",[2]Baskol!$K$1609)</f>
        <v/>
      </c>
      <c r="AB1606">
        <f>IF([2]Baskol!$L$1609="","",[2]Baskol!$L$1609)</f>
        <v/>
      </c>
      <c r="AC1606">
        <f>IF([2]Baskol!$N$1609="","",[2]Baskol!$N$1609)</f>
        <v/>
      </c>
      <c r="AD1606">
        <f>IF([2]Baskol!$O$1609="","",[2]Baskol!$O$1609)</f>
        <v/>
      </c>
      <c r="AE1606">
        <f>IF([3]Entry!$C$1609="","",[3]Entry!$C$1609)</f>
        <v/>
      </c>
      <c r="AF1606">
        <f>IF([3]Entry!$D$1609="","",[3]Entry!$D$1609)</f>
        <v/>
      </c>
      <c r="AG1606">
        <f>IF([3]Entry!$E$1609="","",[3]Entry!$E$1609)</f>
        <v/>
      </c>
      <c r="AH1606">
        <f>IF([3]Entry!$G$1609="","",[3]Entry!$G$1609)</f>
        <v/>
      </c>
      <c r="AI1606">
        <f>IF([3]Entry!$K$1609="","",[3]Entry!$K$1609)</f>
        <v/>
      </c>
      <c r="AJ1606">
        <f>IF([3]Entry!$L$1609="","",[3]Entry!$L$1609)</f>
        <v/>
      </c>
      <c r="AK1606">
        <f>IF([3]Entry!$M$1609="","",[3]Entry!$M$1609)</f>
        <v/>
      </c>
      <c r="AL1606">
        <f>IF([3]Entry!$N$1609="","",[3]Entry!$N$1609)</f>
        <v/>
      </c>
      <c r="AM1606">
        <f>IF([3]Entry!$R$1609="","",[3]Entry!$R$1609)</f>
        <v/>
      </c>
    </row>
    <row r="1607">
      <c r="T1607">
        <f>IF([2]Baskol!$B$1610="","",[2]Baskol!$B$1610)</f>
        <v/>
      </c>
      <c r="U1607">
        <f>IF([2]Baskol!$C$1610="","",[2]Baskol!$C$1610)</f>
        <v/>
      </c>
      <c r="V1607">
        <f>IF([2]Baskol!$D$1610="","",[2]Baskol!$D$1610)</f>
        <v/>
      </c>
      <c r="W1607">
        <f>IF([2]Baskol!$E$1610="","",[2]Baskol!$E$1610)</f>
        <v/>
      </c>
      <c r="X1607">
        <f>IF([2]Baskol!$G$1610="","",[2]Baskol!$G$1610)</f>
        <v/>
      </c>
      <c r="Y1607">
        <f>IF([2]Baskol!$I$1610="","",[2]Baskol!$I$1610)</f>
        <v/>
      </c>
      <c r="Z1607">
        <f>IF([2]Baskol!$J$1610="","",[2]Baskol!$J$1610)</f>
        <v/>
      </c>
      <c r="AA1607">
        <f>IF([2]Baskol!$K$1610="","",[2]Baskol!$K$1610)</f>
        <v/>
      </c>
      <c r="AB1607">
        <f>IF([2]Baskol!$L$1610="","",[2]Baskol!$L$1610)</f>
        <v/>
      </c>
      <c r="AC1607">
        <f>IF([2]Baskol!$N$1610="","",[2]Baskol!$N$1610)</f>
        <v/>
      </c>
      <c r="AD1607">
        <f>IF([2]Baskol!$O$1610="","",[2]Baskol!$O$1610)</f>
        <v/>
      </c>
      <c r="AE1607">
        <f>IF([3]Entry!$C$1610="","",[3]Entry!$C$1610)</f>
        <v/>
      </c>
      <c r="AF1607">
        <f>IF([3]Entry!$D$1610="","",[3]Entry!$D$1610)</f>
        <v/>
      </c>
      <c r="AG1607">
        <f>IF([3]Entry!$E$1610="","",[3]Entry!$E$1610)</f>
        <v/>
      </c>
      <c r="AH1607">
        <f>IF([3]Entry!$G$1610="","",[3]Entry!$G$1610)</f>
        <v/>
      </c>
      <c r="AI1607">
        <f>IF([3]Entry!$K$1610="","",[3]Entry!$K$1610)</f>
        <v/>
      </c>
      <c r="AJ1607">
        <f>IF([3]Entry!$L$1610="","",[3]Entry!$L$1610)</f>
        <v/>
      </c>
      <c r="AK1607">
        <f>IF([3]Entry!$M$1610="","",[3]Entry!$M$1610)</f>
        <v/>
      </c>
      <c r="AL1607">
        <f>IF([3]Entry!$N$1610="","",[3]Entry!$N$1610)</f>
        <v/>
      </c>
      <c r="AM1607">
        <f>IF([3]Entry!$R$1610="","",[3]Entry!$R$1610)</f>
        <v/>
      </c>
    </row>
    <row r="1608">
      <c r="T1608">
        <f>IF([2]Baskol!$B$1611="","",[2]Baskol!$B$1611)</f>
        <v/>
      </c>
      <c r="U1608">
        <f>IF([2]Baskol!$C$1611="","",[2]Baskol!$C$1611)</f>
        <v/>
      </c>
      <c r="V1608">
        <f>IF([2]Baskol!$D$1611="","",[2]Baskol!$D$1611)</f>
        <v/>
      </c>
      <c r="W1608">
        <f>IF([2]Baskol!$E$1611="","",[2]Baskol!$E$1611)</f>
        <v/>
      </c>
      <c r="X1608">
        <f>IF([2]Baskol!$G$1611="","",[2]Baskol!$G$1611)</f>
        <v/>
      </c>
      <c r="Y1608">
        <f>IF([2]Baskol!$I$1611="","",[2]Baskol!$I$1611)</f>
        <v/>
      </c>
      <c r="Z1608">
        <f>IF([2]Baskol!$J$1611="","",[2]Baskol!$J$1611)</f>
        <v/>
      </c>
      <c r="AA1608">
        <f>IF([2]Baskol!$K$1611="","",[2]Baskol!$K$1611)</f>
        <v/>
      </c>
      <c r="AB1608">
        <f>IF([2]Baskol!$L$1611="","",[2]Baskol!$L$1611)</f>
        <v/>
      </c>
      <c r="AC1608">
        <f>IF([2]Baskol!$N$1611="","",[2]Baskol!$N$1611)</f>
        <v/>
      </c>
      <c r="AD1608">
        <f>IF([2]Baskol!$O$1611="","",[2]Baskol!$O$1611)</f>
        <v/>
      </c>
      <c r="AE1608">
        <f>IF([3]Entry!$C$1611="","",[3]Entry!$C$1611)</f>
        <v/>
      </c>
      <c r="AF1608">
        <f>IF([3]Entry!$D$1611="","",[3]Entry!$D$1611)</f>
        <v/>
      </c>
      <c r="AG1608">
        <f>IF([3]Entry!$E$1611="","",[3]Entry!$E$1611)</f>
        <v/>
      </c>
      <c r="AH1608">
        <f>IF([3]Entry!$G$1611="","",[3]Entry!$G$1611)</f>
        <v/>
      </c>
      <c r="AI1608">
        <f>IF([3]Entry!$K$1611="","",[3]Entry!$K$1611)</f>
        <v/>
      </c>
      <c r="AJ1608">
        <f>IF([3]Entry!$L$1611="","",[3]Entry!$L$1611)</f>
        <v/>
      </c>
      <c r="AK1608">
        <f>IF([3]Entry!$M$1611="","",[3]Entry!$M$1611)</f>
        <v/>
      </c>
      <c r="AL1608">
        <f>IF([3]Entry!$N$1611="","",[3]Entry!$N$1611)</f>
        <v/>
      </c>
      <c r="AM1608">
        <f>IF([3]Entry!$R$1611="","",[3]Entry!$R$1611)</f>
        <v/>
      </c>
    </row>
    <row r="1609">
      <c r="T1609">
        <f>IF([2]Baskol!$B$1612="","",[2]Baskol!$B$1612)</f>
        <v/>
      </c>
      <c r="U1609">
        <f>IF([2]Baskol!$C$1612="","",[2]Baskol!$C$1612)</f>
        <v/>
      </c>
      <c r="V1609">
        <f>IF([2]Baskol!$D$1612="","",[2]Baskol!$D$1612)</f>
        <v/>
      </c>
      <c r="W1609">
        <f>IF([2]Baskol!$E$1612="","",[2]Baskol!$E$1612)</f>
        <v/>
      </c>
      <c r="X1609">
        <f>IF([2]Baskol!$G$1612="","",[2]Baskol!$G$1612)</f>
        <v/>
      </c>
      <c r="Y1609">
        <f>IF([2]Baskol!$I$1612="","",[2]Baskol!$I$1612)</f>
        <v/>
      </c>
      <c r="Z1609">
        <f>IF([2]Baskol!$J$1612="","",[2]Baskol!$J$1612)</f>
        <v/>
      </c>
      <c r="AA1609">
        <f>IF([2]Baskol!$K$1612="","",[2]Baskol!$K$1612)</f>
        <v/>
      </c>
      <c r="AB1609">
        <f>IF([2]Baskol!$L$1612="","",[2]Baskol!$L$1612)</f>
        <v/>
      </c>
      <c r="AC1609">
        <f>IF([2]Baskol!$N$1612="","",[2]Baskol!$N$1612)</f>
        <v/>
      </c>
      <c r="AD1609">
        <f>IF([2]Baskol!$O$1612="","",[2]Baskol!$O$1612)</f>
        <v/>
      </c>
      <c r="AE1609">
        <f>IF([3]Entry!$C$1612="","",[3]Entry!$C$1612)</f>
        <v/>
      </c>
      <c r="AF1609">
        <f>IF([3]Entry!$D$1612="","",[3]Entry!$D$1612)</f>
        <v/>
      </c>
      <c r="AG1609">
        <f>IF([3]Entry!$E$1612="","",[3]Entry!$E$1612)</f>
        <v/>
      </c>
      <c r="AH1609">
        <f>IF([3]Entry!$G$1612="","",[3]Entry!$G$1612)</f>
        <v/>
      </c>
      <c r="AI1609">
        <f>IF([3]Entry!$K$1612="","",[3]Entry!$K$1612)</f>
        <v/>
      </c>
      <c r="AJ1609">
        <f>IF([3]Entry!$L$1612="","",[3]Entry!$L$1612)</f>
        <v/>
      </c>
      <c r="AK1609">
        <f>IF([3]Entry!$M$1612="","",[3]Entry!$M$1612)</f>
        <v/>
      </c>
      <c r="AL1609">
        <f>IF([3]Entry!$N$1612="","",[3]Entry!$N$1612)</f>
        <v/>
      </c>
      <c r="AM1609">
        <f>IF([3]Entry!$R$1612="","",[3]Entry!$R$1612)</f>
        <v/>
      </c>
    </row>
    <row r="1610">
      <c r="T1610">
        <f>IF([2]Baskol!$B$1613="","",[2]Baskol!$B$1613)</f>
        <v/>
      </c>
      <c r="U1610">
        <f>IF([2]Baskol!$C$1613="","",[2]Baskol!$C$1613)</f>
        <v/>
      </c>
      <c r="V1610">
        <f>IF([2]Baskol!$D$1613="","",[2]Baskol!$D$1613)</f>
        <v/>
      </c>
      <c r="W1610">
        <f>IF([2]Baskol!$E$1613="","",[2]Baskol!$E$1613)</f>
        <v/>
      </c>
      <c r="X1610">
        <f>IF([2]Baskol!$G$1613="","",[2]Baskol!$G$1613)</f>
        <v/>
      </c>
      <c r="Y1610">
        <f>IF([2]Baskol!$I$1613="","",[2]Baskol!$I$1613)</f>
        <v/>
      </c>
      <c r="Z1610">
        <f>IF([2]Baskol!$J$1613="","",[2]Baskol!$J$1613)</f>
        <v/>
      </c>
      <c r="AA1610">
        <f>IF([2]Baskol!$K$1613="","",[2]Baskol!$K$1613)</f>
        <v/>
      </c>
      <c r="AB1610">
        <f>IF([2]Baskol!$L$1613="","",[2]Baskol!$L$1613)</f>
        <v/>
      </c>
      <c r="AC1610">
        <f>IF([2]Baskol!$N$1613="","",[2]Baskol!$N$1613)</f>
        <v/>
      </c>
      <c r="AD1610">
        <f>IF([2]Baskol!$O$1613="","",[2]Baskol!$O$1613)</f>
        <v/>
      </c>
      <c r="AE1610">
        <f>IF([3]Entry!$C$1613="","",[3]Entry!$C$1613)</f>
        <v/>
      </c>
      <c r="AF1610">
        <f>IF([3]Entry!$D$1613="","",[3]Entry!$D$1613)</f>
        <v/>
      </c>
      <c r="AG1610">
        <f>IF([3]Entry!$E$1613="","",[3]Entry!$E$1613)</f>
        <v/>
      </c>
      <c r="AH1610">
        <f>IF([3]Entry!$G$1613="","",[3]Entry!$G$1613)</f>
        <v/>
      </c>
      <c r="AI1610">
        <f>IF([3]Entry!$K$1613="","",[3]Entry!$K$1613)</f>
        <v/>
      </c>
      <c r="AJ1610">
        <f>IF([3]Entry!$L$1613="","",[3]Entry!$L$1613)</f>
        <v/>
      </c>
      <c r="AK1610">
        <f>IF([3]Entry!$M$1613="","",[3]Entry!$M$1613)</f>
        <v/>
      </c>
      <c r="AL1610">
        <f>IF([3]Entry!$N$1613="","",[3]Entry!$N$1613)</f>
        <v/>
      </c>
      <c r="AM1610">
        <f>IF([3]Entry!$R$1613="","",[3]Entry!$R$1613)</f>
        <v/>
      </c>
    </row>
    <row r="1611">
      <c r="T1611">
        <f>IF([2]Baskol!$B$1614="","",[2]Baskol!$B$1614)</f>
        <v/>
      </c>
      <c r="U1611">
        <f>IF([2]Baskol!$C$1614="","",[2]Baskol!$C$1614)</f>
        <v/>
      </c>
      <c r="V1611">
        <f>IF([2]Baskol!$D$1614="","",[2]Baskol!$D$1614)</f>
        <v/>
      </c>
      <c r="W1611">
        <f>IF([2]Baskol!$E$1614="","",[2]Baskol!$E$1614)</f>
        <v/>
      </c>
      <c r="X1611">
        <f>IF([2]Baskol!$G$1614="","",[2]Baskol!$G$1614)</f>
        <v/>
      </c>
      <c r="Y1611">
        <f>IF([2]Baskol!$I$1614="","",[2]Baskol!$I$1614)</f>
        <v/>
      </c>
      <c r="Z1611">
        <f>IF([2]Baskol!$J$1614="","",[2]Baskol!$J$1614)</f>
        <v/>
      </c>
      <c r="AA1611">
        <f>IF([2]Baskol!$K$1614="","",[2]Baskol!$K$1614)</f>
        <v/>
      </c>
      <c r="AB1611">
        <f>IF([2]Baskol!$L$1614="","",[2]Baskol!$L$1614)</f>
        <v/>
      </c>
      <c r="AC1611">
        <f>IF([2]Baskol!$N$1614="","",[2]Baskol!$N$1614)</f>
        <v/>
      </c>
      <c r="AD1611">
        <f>IF([2]Baskol!$O$1614="","",[2]Baskol!$O$1614)</f>
        <v/>
      </c>
      <c r="AE1611">
        <f>IF([3]Entry!$C$1614="","",[3]Entry!$C$1614)</f>
        <v/>
      </c>
      <c r="AF1611">
        <f>IF([3]Entry!$D$1614="","",[3]Entry!$D$1614)</f>
        <v/>
      </c>
      <c r="AG1611">
        <f>IF([3]Entry!$E$1614="","",[3]Entry!$E$1614)</f>
        <v/>
      </c>
      <c r="AH1611">
        <f>IF([3]Entry!$G$1614="","",[3]Entry!$G$1614)</f>
        <v/>
      </c>
      <c r="AI1611">
        <f>IF([3]Entry!$K$1614="","",[3]Entry!$K$1614)</f>
        <v/>
      </c>
      <c r="AJ1611">
        <f>IF([3]Entry!$L$1614="","",[3]Entry!$L$1614)</f>
        <v/>
      </c>
      <c r="AK1611">
        <f>IF([3]Entry!$M$1614="","",[3]Entry!$M$1614)</f>
        <v/>
      </c>
      <c r="AL1611">
        <f>IF([3]Entry!$N$1614="","",[3]Entry!$N$1614)</f>
        <v/>
      </c>
      <c r="AM1611">
        <f>IF([3]Entry!$R$1614="","",[3]Entry!$R$1614)</f>
        <v/>
      </c>
    </row>
    <row r="1612">
      <c r="T1612">
        <f>IF([2]Baskol!$B$1615="","",[2]Baskol!$B$1615)</f>
        <v/>
      </c>
      <c r="U1612">
        <f>IF([2]Baskol!$C$1615="","",[2]Baskol!$C$1615)</f>
        <v/>
      </c>
      <c r="V1612">
        <f>IF([2]Baskol!$D$1615="","",[2]Baskol!$D$1615)</f>
        <v/>
      </c>
      <c r="W1612">
        <f>IF([2]Baskol!$E$1615="","",[2]Baskol!$E$1615)</f>
        <v/>
      </c>
      <c r="X1612">
        <f>IF([2]Baskol!$G$1615="","",[2]Baskol!$G$1615)</f>
        <v/>
      </c>
      <c r="Y1612">
        <f>IF([2]Baskol!$I$1615="","",[2]Baskol!$I$1615)</f>
        <v/>
      </c>
      <c r="Z1612">
        <f>IF([2]Baskol!$J$1615="","",[2]Baskol!$J$1615)</f>
        <v/>
      </c>
      <c r="AA1612">
        <f>IF([2]Baskol!$K$1615="","",[2]Baskol!$K$1615)</f>
        <v/>
      </c>
      <c r="AB1612">
        <f>IF([2]Baskol!$L$1615="","",[2]Baskol!$L$1615)</f>
        <v/>
      </c>
      <c r="AC1612">
        <f>IF([2]Baskol!$N$1615="","",[2]Baskol!$N$1615)</f>
        <v/>
      </c>
      <c r="AD1612">
        <f>IF([2]Baskol!$O$1615="","",[2]Baskol!$O$1615)</f>
        <v/>
      </c>
      <c r="AE1612">
        <f>IF([3]Entry!$C$1615="","",[3]Entry!$C$1615)</f>
        <v/>
      </c>
      <c r="AF1612">
        <f>IF([3]Entry!$D$1615="","",[3]Entry!$D$1615)</f>
        <v/>
      </c>
      <c r="AG1612">
        <f>IF([3]Entry!$E$1615="","",[3]Entry!$E$1615)</f>
        <v/>
      </c>
      <c r="AH1612">
        <f>IF([3]Entry!$G$1615="","",[3]Entry!$G$1615)</f>
        <v/>
      </c>
      <c r="AI1612">
        <f>IF([3]Entry!$K$1615="","",[3]Entry!$K$1615)</f>
        <v/>
      </c>
      <c r="AJ1612">
        <f>IF([3]Entry!$L$1615="","",[3]Entry!$L$1615)</f>
        <v/>
      </c>
      <c r="AK1612">
        <f>IF([3]Entry!$M$1615="","",[3]Entry!$M$1615)</f>
        <v/>
      </c>
      <c r="AL1612">
        <f>IF([3]Entry!$N$1615="","",[3]Entry!$N$1615)</f>
        <v/>
      </c>
      <c r="AM1612">
        <f>IF([3]Entry!$R$1615="","",[3]Entry!$R$1615)</f>
        <v/>
      </c>
    </row>
    <row r="1613">
      <c r="T1613">
        <f>IF([2]Baskol!$B$1616="","",[2]Baskol!$B$1616)</f>
        <v/>
      </c>
      <c r="U1613">
        <f>IF([2]Baskol!$C$1616="","",[2]Baskol!$C$1616)</f>
        <v/>
      </c>
      <c r="V1613">
        <f>IF([2]Baskol!$D$1616="","",[2]Baskol!$D$1616)</f>
        <v/>
      </c>
      <c r="W1613">
        <f>IF([2]Baskol!$E$1616="","",[2]Baskol!$E$1616)</f>
        <v/>
      </c>
      <c r="X1613">
        <f>IF([2]Baskol!$G$1616="","",[2]Baskol!$G$1616)</f>
        <v/>
      </c>
      <c r="Y1613">
        <f>IF([2]Baskol!$I$1616="","",[2]Baskol!$I$1616)</f>
        <v/>
      </c>
      <c r="Z1613">
        <f>IF([2]Baskol!$J$1616="","",[2]Baskol!$J$1616)</f>
        <v/>
      </c>
      <c r="AA1613">
        <f>IF([2]Baskol!$K$1616="","",[2]Baskol!$K$1616)</f>
        <v/>
      </c>
      <c r="AB1613">
        <f>IF([2]Baskol!$L$1616="","",[2]Baskol!$L$1616)</f>
        <v/>
      </c>
      <c r="AC1613">
        <f>IF([2]Baskol!$N$1616="","",[2]Baskol!$N$1616)</f>
        <v/>
      </c>
      <c r="AD1613">
        <f>IF([2]Baskol!$O$1616="","",[2]Baskol!$O$1616)</f>
        <v/>
      </c>
      <c r="AE1613">
        <f>IF([3]Entry!$C$1616="","",[3]Entry!$C$1616)</f>
        <v/>
      </c>
      <c r="AF1613">
        <f>IF([3]Entry!$D$1616="","",[3]Entry!$D$1616)</f>
        <v/>
      </c>
      <c r="AG1613">
        <f>IF([3]Entry!$E$1616="","",[3]Entry!$E$1616)</f>
        <v/>
      </c>
      <c r="AH1613">
        <f>IF([3]Entry!$G$1616="","",[3]Entry!$G$1616)</f>
        <v/>
      </c>
      <c r="AI1613">
        <f>IF([3]Entry!$K$1616="","",[3]Entry!$K$1616)</f>
        <v/>
      </c>
      <c r="AJ1613">
        <f>IF([3]Entry!$L$1616="","",[3]Entry!$L$1616)</f>
        <v/>
      </c>
      <c r="AK1613">
        <f>IF([3]Entry!$M$1616="","",[3]Entry!$M$1616)</f>
        <v/>
      </c>
      <c r="AL1613">
        <f>IF([3]Entry!$N$1616="","",[3]Entry!$N$1616)</f>
        <v/>
      </c>
      <c r="AM1613">
        <f>IF([3]Entry!$R$1616="","",[3]Entry!$R$1616)</f>
        <v/>
      </c>
    </row>
    <row r="1614">
      <c r="T1614">
        <f>IF([2]Baskol!$B$1617="","",[2]Baskol!$B$1617)</f>
        <v/>
      </c>
      <c r="U1614">
        <f>IF([2]Baskol!$C$1617="","",[2]Baskol!$C$1617)</f>
        <v/>
      </c>
      <c r="V1614">
        <f>IF([2]Baskol!$D$1617="","",[2]Baskol!$D$1617)</f>
        <v/>
      </c>
      <c r="W1614">
        <f>IF([2]Baskol!$E$1617="","",[2]Baskol!$E$1617)</f>
        <v/>
      </c>
      <c r="X1614">
        <f>IF([2]Baskol!$G$1617="","",[2]Baskol!$G$1617)</f>
        <v/>
      </c>
      <c r="Y1614">
        <f>IF([2]Baskol!$I$1617="","",[2]Baskol!$I$1617)</f>
        <v/>
      </c>
      <c r="Z1614">
        <f>IF([2]Baskol!$J$1617="","",[2]Baskol!$J$1617)</f>
        <v/>
      </c>
      <c r="AA1614">
        <f>IF([2]Baskol!$K$1617="","",[2]Baskol!$K$1617)</f>
        <v/>
      </c>
      <c r="AB1614">
        <f>IF([2]Baskol!$L$1617="","",[2]Baskol!$L$1617)</f>
        <v/>
      </c>
      <c r="AC1614">
        <f>IF([2]Baskol!$N$1617="","",[2]Baskol!$N$1617)</f>
        <v/>
      </c>
      <c r="AD1614">
        <f>IF([2]Baskol!$O$1617="","",[2]Baskol!$O$1617)</f>
        <v/>
      </c>
      <c r="AE1614">
        <f>IF([3]Entry!$C$1617="","",[3]Entry!$C$1617)</f>
        <v/>
      </c>
      <c r="AF1614">
        <f>IF([3]Entry!$D$1617="","",[3]Entry!$D$1617)</f>
        <v/>
      </c>
      <c r="AG1614">
        <f>IF([3]Entry!$E$1617="","",[3]Entry!$E$1617)</f>
        <v/>
      </c>
      <c r="AH1614">
        <f>IF([3]Entry!$G$1617="","",[3]Entry!$G$1617)</f>
        <v/>
      </c>
      <c r="AI1614">
        <f>IF([3]Entry!$K$1617="","",[3]Entry!$K$1617)</f>
        <v/>
      </c>
      <c r="AJ1614">
        <f>IF([3]Entry!$L$1617="","",[3]Entry!$L$1617)</f>
        <v/>
      </c>
      <c r="AK1614">
        <f>IF([3]Entry!$M$1617="","",[3]Entry!$M$1617)</f>
        <v/>
      </c>
      <c r="AL1614">
        <f>IF([3]Entry!$N$1617="","",[3]Entry!$N$1617)</f>
        <v/>
      </c>
      <c r="AM1614">
        <f>IF([3]Entry!$R$1617="","",[3]Entry!$R$1617)</f>
        <v/>
      </c>
    </row>
    <row r="1615">
      <c r="T1615">
        <f>IF([2]Baskol!$B$1618="","",[2]Baskol!$B$1618)</f>
        <v/>
      </c>
      <c r="U1615">
        <f>IF([2]Baskol!$C$1618="","",[2]Baskol!$C$1618)</f>
        <v/>
      </c>
      <c r="V1615">
        <f>IF([2]Baskol!$D$1618="","",[2]Baskol!$D$1618)</f>
        <v/>
      </c>
      <c r="W1615">
        <f>IF([2]Baskol!$E$1618="","",[2]Baskol!$E$1618)</f>
        <v/>
      </c>
      <c r="X1615">
        <f>IF([2]Baskol!$G$1618="","",[2]Baskol!$G$1618)</f>
        <v/>
      </c>
      <c r="Y1615">
        <f>IF([2]Baskol!$I$1618="","",[2]Baskol!$I$1618)</f>
        <v/>
      </c>
      <c r="Z1615">
        <f>IF([2]Baskol!$J$1618="","",[2]Baskol!$J$1618)</f>
        <v/>
      </c>
      <c r="AA1615">
        <f>IF([2]Baskol!$K$1618="","",[2]Baskol!$K$1618)</f>
        <v/>
      </c>
      <c r="AB1615">
        <f>IF([2]Baskol!$L$1618="","",[2]Baskol!$L$1618)</f>
        <v/>
      </c>
      <c r="AC1615">
        <f>IF([2]Baskol!$N$1618="","",[2]Baskol!$N$1618)</f>
        <v/>
      </c>
      <c r="AD1615">
        <f>IF([2]Baskol!$O$1618="","",[2]Baskol!$O$1618)</f>
        <v/>
      </c>
      <c r="AE1615">
        <f>IF([3]Entry!$C$1618="","",[3]Entry!$C$1618)</f>
        <v/>
      </c>
      <c r="AF1615">
        <f>IF([3]Entry!$D$1618="","",[3]Entry!$D$1618)</f>
        <v/>
      </c>
      <c r="AG1615">
        <f>IF([3]Entry!$E$1618="","",[3]Entry!$E$1618)</f>
        <v/>
      </c>
      <c r="AH1615">
        <f>IF([3]Entry!$G$1618="","",[3]Entry!$G$1618)</f>
        <v/>
      </c>
      <c r="AI1615">
        <f>IF([3]Entry!$K$1618="","",[3]Entry!$K$1618)</f>
        <v/>
      </c>
      <c r="AJ1615">
        <f>IF([3]Entry!$L$1618="","",[3]Entry!$L$1618)</f>
        <v/>
      </c>
      <c r="AK1615">
        <f>IF([3]Entry!$M$1618="","",[3]Entry!$M$1618)</f>
        <v/>
      </c>
      <c r="AL1615">
        <f>IF([3]Entry!$N$1618="","",[3]Entry!$N$1618)</f>
        <v/>
      </c>
      <c r="AM1615">
        <f>IF([3]Entry!$R$1618="","",[3]Entry!$R$1618)</f>
        <v/>
      </c>
    </row>
    <row r="1616">
      <c r="T1616">
        <f>IF([2]Baskol!$B$1619="","",[2]Baskol!$B$1619)</f>
        <v/>
      </c>
      <c r="U1616">
        <f>IF([2]Baskol!$C$1619="","",[2]Baskol!$C$1619)</f>
        <v/>
      </c>
      <c r="V1616">
        <f>IF([2]Baskol!$D$1619="","",[2]Baskol!$D$1619)</f>
        <v/>
      </c>
      <c r="W1616">
        <f>IF([2]Baskol!$E$1619="","",[2]Baskol!$E$1619)</f>
        <v/>
      </c>
      <c r="X1616">
        <f>IF([2]Baskol!$G$1619="","",[2]Baskol!$G$1619)</f>
        <v/>
      </c>
      <c r="Y1616">
        <f>IF([2]Baskol!$I$1619="","",[2]Baskol!$I$1619)</f>
        <v/>
      </c>
      <c r="Z1616">
        <f>IF([2]Baskol!$J$1619="","",[2]Baskol!$J$1619)</f>
        <v/>
      </c>
      <c r="AA1616">
        <f>IF([2]Baskol!$K$1619="","",[2]Baskol!$K$1619)</f>
        <v/>
      </c>
      <c r="AB1616">
        <f>IF([2]Baskol!$L$1619="","",[2]Baskol!$L$1619)</f>
        <v/>
      </c>
      <c r="AC1616">
        <f>IF([2]Baskol!$N$1619="","",[2]Baskol!$N$1619)</f>
        <v/>
      </c>
      <c r="AD1616">
        <f>IF([2]Baskol!$O$1619="","",[2]Baskol!$O$1619)</f>
        <v/>
      </c>
      <c r="AE1616">
        <f>IF([3]Entry!$C$1619="","",[3]Entry!$C$1619)</f>
        <v/>
      </c>
      <c r="AF1616">
        <f>IF([3]Entry!$D$1619="","",[3]Entry!$D$1619)</f>
        <v/>
      </c>
      <c r="AG1616">
        <f>IF([3]Entry!$E$1619="","",[3]Entry!$E$1619)</f>
        <v/>
      </c>
      <c r="AH1616">
        <f>IF([3]Entry!$G$1619="","",[3]Entry!$G$1619)</f>
        <v/>
      </c>
      <c r="AI1616">
        <f>IF([3]Entry!$K$1619="","",[3]Entry!$K$1619)</f>
        <v/>
      </c>
      <c r="AJ1616">
        <f>IF([3]Entry!$L$1619="","",[3]Entry!$L$1619)</f>
        <v/>
      </c>
      <c r="AK1616">
        <f>IF([3]Entry!$M$1619="","",[3]Entry!$M$1619)</f>
        <v/>
      </c>
      <c r="AL1616">
        <f>IF([3]Entry!$N$1619="","",[3]Entry!$N$1619)</f>
        <v/>
      </c>
      <c r="AM1616">
        <f>IF([3]Entry!$R$1619="","",[3]Entry!$R$1619)</f>
        <v/>
      </c>
    </row>
    <row r="1617">
      <c r="T1617">
        <f>IF([2]Baskol!$B$1620="","",[2]Baskol!$B$1620)</f>
        <v/>
      </c>
      <c r="U1617">
        <f>IF([2]Baskol!$C$1620="","",[2]Baskol!$C$1620)</f>
        <v/>
      </c>
      <c r="V1617">
        <f>IF([2]Baskol!$D$1620="","",[2]Baskol!$D$1620)</f>
        <v/>
      </c>
      <c r="W1617">
        <f>IF([2]Baskol!$E$1620="","",[2]Baskol!$E$1620)</f>
        <v/>
      </c>
      <c r="X1617">
        <f>IF([2]Baskol!$G$1620="","",[2]Baskol!$G$1620)</f>
        <v/>
      </c>
      <c r="Y1617">
        <f>IF([2]Baskol!$I$1620="","",[2]Baskol!$I$1620)</f>
        <v/>
      </c>
      <c r="Z1617">
        <f>IF([2]Baskol!$J$1620="","",[2]Baskol!$J$1620)</f>
        <v/>
      </c>
      <c r="AA1617">
        <f>IF([2]Baskol!$K$1620="","",[2]Baskol!$K$1620)</f>
        <v/>
      </c>
      <c r="AB1617">
        <f>IF([2]Baskol!$L$1620="","",[2]Baskol!$L$1620)</f>
        <v/>
      </c>
      <c r="AC1617">
        <f>IF([2]Baskol!$N$1620="","",[2]Baskol!$N$1620)</f>
        <v/>
      </c>
      <c r="AD1617">
        <f>IF([2]Baskol!$O$1620="","",[2]Baskol!$O$1620)</f>
        <v/>
      </c>
      <c r="AE1617">
        <f>IF([3]Entry!$C$1620="","",[3]Entry!$C$1620)</f>
        <v/>
      </c>
      <c r="AF1617">
        <f>IF([3]Entry!$D$1620="","",[3]Entry!$D$1620)</f>
        <v/>
      </c>
      <c r="AG1617">
        <f>IF([3]Entry!$E$1620="","",[3]Entry!$E$1620)</f>
        <v/>
      </c>
      <c r="AH1617">
        <f>IF([3]Entry!$G$1620="","",[3]Entry!$G$1620)</f>
        <v/>
      </c>
      <c r="AI1617">
        <f>IF([3]Entry!$K$1620="","",[3]Entry!$K$1620)</f>
        <v/>
      </c>
      <c r="AJ1617">
        <f>IF([3]Entry!$L$1620="","",[3]Entry!$L$1620)</f>
        <v/>
      </c>
      <c r="AK1617">
        <f>IF([3]Entry!$M$1620="","",[3]Entry!$M$1620)</f>
        <v/>
      </c>
      <c r="AL1617">
        <f>IF([3]Entry!$N$1620="","",[3]Entry!$N$1620)</f>
        <v/>
      </c>
      <c r="AM1617">
        <f>IF([3]Entry!$R$1620="","",[3]Entry!$R$1620)</f>
        <v/>
      </c>
    </row>
    <row r="1618">
      <c r="T1618">
        <f>IF([2]Baskol!$B$1621="","",[2]Baskol!$B$1621)</f>
        <v/>
      </c>
      <c r="U1618">
        <f>IF([2]Baskol!$C$1621="","",[2]Baskol!$C$1621)</f>
        <v/>
      </c>
      <c r="V1618">
        <f>IF([2]Baskol!$D$1621="","",[2]Baskol!$D$1621)</f>
        <v/>
      </c>
      <c r="W1618">
        <f>IF([2]Baskol!$E$1621="","",[2]Baskol!$E$1621)</f>
        <v/>
      </c>
      <c r="X1618">
        <f>IF([2]Baskol!$G$1621="","",[2]Baskol!$G$1621)</f>
        <v/>
      </c>
      <c r="Y1618">
        <f>IF([2]Baskol!$I$1621="","",[2]Baskol!$I$1621)</f>
        <v/>
      </c>
      <c r="Z1618">
        <f>IF([2]Baskol!$J$1621="","",[2]Baskol!$J$1621)</f>
        <v/>
      </c>
      <c r="AA1618">
        <f>IF([2]Baskol!$K$1621="","",[2]Baskol!$K$1621)</f>
        <v/>
      </c>
      <c r="AB1618">
        <f>IF([2]Baskol!$L$1621="","",[2]Baskol!$L$1621)</f>
        <v/>
      </c>
      <c r="AC1618">
        <f>IF([2]Baskol!$N$1621="","",[2]Baskol!$N$1621)</f>
        <v/>
      </c>
      <c r="AD1618">
        <f>IF([2]Baskol!$O$1621="","",[2]Baskol!$O$1621)</f>
        <v/>
      </c>
      <c r="AE1618">
        <f>IF([3]Entry!$C$1621="","",[3]Entry!$C$1621)</f>
        <v/>
      </c>
      <c r="AF1618">
        <f>IF([3]Entry!$D$1621="","",[3]Entry!$D$1621)</f>
        <v/>
      </c>
      <c r="AG1618">
        <f>IF([3]Entry!$E$1621="","",[3]Entry!$E$1621)</f>
        <v/>
      </c>
      <c r="AH1618">
        <f>IF([3]Entry!$G$1621="","",[3]Entry!$G$1621)</f>
        <v/>
      </c>
      <c r="AI1618">
        <f>IF([3]Entry!$K$1621="","",[3]Entry!$K$1621)</f>
        <v/>
      </c>
      <c r="AJ1618">
        <f>IF([3]Entry!$L$1621="","",[3]Entry!$L$1621)</f>
        <v/>
      </c>
      <c r="AK1618">
        <f>IF([3]Entry!$M$1621="","",[3]Entry!$M$1621)</f>
        <v/>
      </c>
      <c r="AL1618">
        <f>IF([3]Entry!$N$1621="","",[3]Entry!$N$1621)</f>
        <v/>
      </c>
      <c r="AM1618">
        <f>IF([3]Entry!$R$1621="","",[3]Entry!$R$1621)</f>
        <v/>
      </c>
    </row>
    <row r="1619">
      <c r="T1619">
        <f>IF([2]Baskol!$B$1622="","",[2]Baskol!$B$1622)</f>
        <v/>
      </c>
      <c r="U1619">
        <f>IF([2]Baskol!$C$1622="","",[2]Baskol!$C$1622)</f>
        <v/>
      </c>
      <c r="V1619">
        <f>IF([2]Baskol!$D$1622="","",[2]Baskol!$D$1622)</f>
        <v/>
      </c>
      <c r="W1619">
        <f>IF([2]Baskol!$E$1622="","",[2]Baskol!$E$1622)</f>
        <v/>
      </c>
      <c r="X1619">
        <f>IF([2]Baskol!$G$1622="","",[2]Baskol!$G$1622)</f>
        <v/>
      </c>
      <c r="Y1619">
        <f>IF([2]Baskol!$I$1622="","",[2]Baskol!$I$1622)</f>
        <v/>
      </c>
      <c r="Z1619">
        <f>IF([2]Baskol!$J$1622="","",[2]Baskol!$J$1622)</f>
        <v/>
      </c>
      <c r="AA1619">
        <f>IF([2]Baskol!$K$1622="","",[2]Baskol!$K$1622)</f>
        <v/>
      </c>
      <c r="AB1619">
        <f>IF([2]Baskol!$L$1622="","",[2]Baskol!$L$1622)</f>
        <v/>
      </c>
      <c r="AC1619">
        <f>IF([2]Baskol!$N$1622="","",[2]Baskol!$N$1622)</f>
        <v/>
      </c>
      <c r="AD1619">
        <f>IF([2]Baskol!$O$1622="","",[2]Baskol!$O$1622)</f>
        <v/>
      </c>
      <c r="AE1619">
        <f>IF([3]Entry!$C$1622="","",[3]Entry!$C$1622)</f>
        <v/>
      </c>
      <c r="AF1619">
        <f>IF([3]Entry!$D$1622="","",[3]Entry!$D$1622)</f>
        <v/>
      </c>
      <c r="AG1619">
        <f>IF([3]Entry!$E$1622="","",[3]Entry!$E$1622)</f>
        <v/>
      </c>
      <c r="AH1619">
        <f>IF([3]Entry!$G$1622="","",[3]Entry!$G$1622)</f>
        <v/>
      </c>
      <c r="AI1619">
        <f>IF([3]Entry!$K$1622="","",[3]Entry!$K$1622)</f>
        <v/>
      </c>
      <c r="AJ1619">
        <f>IF([3]Entry!$L$1622="","",[3]Entry!$L$1622)</f>
        <v/>
      </c>
      <c r="AK1619">
        <f>IF([3]Entry!$M$1622="","",[3]Entry!$M$1622)</f>
        <v/>
      </c>
      <c r="AL1619">
        <f>IF([3]Entry!$N$1622="","",[3]Entry!$N$1622)</f>
        <v/>
      </c>
      <c r="AM1619">
        <f>IF([3]Entry!$R$1622="","",[3]Entry!$R$1622)</f>
        <v/>
      </c>
    </row>
    <row r="1620">
      <c r="T1620">
        <f>IF([2]Baskol!$B$1623="","",[2]Baskol!$B$1623)</f>
        <v/>
      </c>
      <c r="U1620">
        <f>IF([2]Baskol!$C$1623="","",[2]Baskol!$C$1623)</f>
        <v/>
      </c>
      <c r="V1620">
        <f>IF([2]Baskol!$D$1623="","",[2]Baskol!$D$1623)</f>
        <v/>
      </c>
      <c r="W1620">
        <f>IF([2]Baskol!$E$1623="","",[2]Baskol!$E$1623)</f>
        <v/>
      </c>
      <c r="X1620">
        <f>IF([2]Baskol!$G$1623="","",[2]Baskol!$G$1623)</f>
        <v/>
      </c>
      <c r="Y1620">
        <f>IF([2]Baskol!$I$1623="","",[2]Baskol!$I$1623)</f>
        <v/>
      </c>
      <c r="Z1620">
        <f>IF([2]Baskol!$J$1623="","",[2]Baskol!$J$1623)</f>
        <v/>
      </c>
      <c r="AA1620">
        <f>IF([2]Baskol!$K$1623="","",[2]Baskol!$K$1623)</f>
        <v/>
      </c>
      <c r="AB1620">
        <f>IF([2]Baskol!$L$1623="","",[2]Baskol!$L$1623)</f>
        <v/>
      </c>
      <c r="AC1620">
        <f>IF([2]Baskol!$N$1623="","",[2]Baskol!$N$1623)</f>
        <v/>
      </c>
      <c r="AD1620">
        <f>IF([2]Baskol!$O$1623="","",[2]Baskol!$O$1623)</f>
        <v/>
      </c>
      <c r="AE1620">
        <f>IF([3]Entry!$C$1623="","",[3]Entry!$C$1623)</f>
        <v/>
      </c>
      <c r="AF1620">
        <f>IF([3]Entry!$D$1623="","",[3]Entry!$D$1623)</f>
        <v/>
      </c>
      <c r="AG1620">
        <f>IF([3]Entry!$E$1623="","",[3]Entry!$E$1623)</f>
        <v/>
      </c>
      <c r="AH1620">
        <f>IF([3]Entry!$G$1623="","",[3]Entry!$G$1623)</f>
        <v/>
      </c>
      <c r="AI1620">
        <f>IF([3]Entry!$K$1623="","",[3]Entry!$K$1623)</f>
        <v/>
      </c>
      <c r="AJ1620">
        <f>IF([3]Entry!$L$1623="","",[3]Entry!$L$1623)</f>
        <v/>
      </c>
      <c r="AK1620">
        <f>IF([3]Entry!$M$1623="","",[3]Entry!$M$1623)</f>
        <v/>
      </c>
      <c r="AL1620">
        <f>IF([3]Entry!$N$1623="","",[3]Entry!$N$1623)</f>
        <v/>
      </c>
      <c r="AM1620">
        <f>IF([3]Entry!$R$1623="","",[3]Entry!$R$1623)</f>
        <v/>
      </c>
    </row>
    <row r="1621">
      <c r="T1621">
        <f>IF([2]Baskol!$B$1624="","",[2]Baskol!$B$1624)</f>
        <v/>
      </c>
      <c r="U1621">
        <f>IF([2]Baskol!$C$1624="","",[2]Baskol!$C$1624)</f>
        <v/>
      </c>
      <c r="V1621">
        <f>IF([2]Baskol!$D$1624="","",[2]Baskol!$D$1624)</f>
        <v/>
      </c>
      <c r="W1621">
        <f>IF([2]Baskol!$E$1624="","",[2]Baskol!$E$1624)</f>
        <v/>
      </c>
      <c r="X1621">
        <f>IF([2]Baskol!$G$1624="","",[2]Baskol!$G$1624)</f>
        <v/>
      </c>
      <c r="Y1621">
        <f>IF([2]Baskol!$I$1624="","",[2]Baskol!$I$1624)</f>
        <v/>
      </c>
      <c r="Z1621">
        <f>IF([2]Baskol!$J$1624="","",[2]Baskol!$J$1624)</f>
        <v/>
      </c>
      <c r="AA1621">
        <f>IF([2]Baskol!$K$1624="","",[2]Baskol!$K$1624)</f>
        <v/>
      </c>
      <c r="AB1621">
        <f>IF([2]Baskol!$L$1624="","",[2]Baskol!$L$1624)</f>
        <v/>
      </c>
      <c r="AC1621">
        <f>IF([2]Baskol!$N$1624="","",[2]Baskol!$N$1624)</f>
        <v/>
      </c>
      <c r="AD1621">
        <f>IF([2]Baskol!$O$1624="","",[2]Baskol!$O$1624)</f>
        <v/>
      </c>
      <c r="AE1621">
        <f>IF([3]Entry!$C$1624="","",[3]Entry!$C$1624)</f>
        <v/>
      </c>
      <c r="AF1621">
        <f>IF([3]Entry!$D$1624="","",[3]Entry!$D$1624)</f>
        <v/>
      </c>
      <c r="AG1621">
        <f>IF([3]Entry!$E$1624="","",[3]Entry!$E$1624)</f>
        <v/>
      </c>
      <c r="AH1621">
        <f>IF([3]Entry!$G$1624="","",[3]Entry!$G$1624)</f>
        <v/>
      </c>
      <c r="AI1621">
        <f>IF([3]Entry!$K$1624="","",[3]Entry!$K$1624)</f>
        <v/>
      </c>
      <c r="AJ1621">
        <f>IF([3]Entry!$L$1624="","",[3]Entry!$L$1624)</f>
        <v/>
      </c>
      <c r="AK1621">
        <f>IF([3]Entry!$M$1624="","",[3]Entry!$M$1624)</f>
        <v/>
      </c>
      <c r="AL1621">
        <f>IF([3]Entry!$N$1624="","",[3]Entry!$N$1624)</f>
        <v/>
      </c>
      <c r="AM1621">
        <f>IF([3]Entry!$R$1624="","",[3]Entry!$R$1624)</f>
        <v/>
      </c>
    </row>
    <row r="1622">
      <c r="T1622">
        <f>IF([2]Baskol!$B$1625="","",[2]Baskol!$B$1625)</f>
        <v/>
      </c>
      <c r="U1622">
        <f>IF([2]Baskol!$C$1625="","",[2]Baskol!$C$1625)</f>
        <v/>
      </c>
      <c r="V1622">
        <f>IF([2]Baskol!$D$1625="","",[2]Baskol!$D$1625)</f>
        <v/>
      </c>
      <c r="W1622">
        <f>IF([2]Baskol!$E$1625="","",[2]Baskol!$E$1625)</f>
        <v/>
      </c>
      <c r="X1622">
        <f>IF([2]Baskol!$G$1625="","",[2]Baskol!$G$1625)</f>
        <v/>
      </c>
      <c r="Y1622">
        <f>IF([2]Baskol!$I$1625="","",[2]Baskol!$I$1625)</f>
        <v/>
      </c>
      <c r="Z1622">
        <f>IF([2]Baskol!$J$1625="","",[2]Baskol!$J$1625)</f>
        <v/>
      </c>
      <c r="AA1622">
        <f>IF([2]Baskol!$K$1625="","",[2]Baskol!$K$1625)</f>
        <v/>
      </c>
      <c r="AB1622">
        <f>IF([2]Baskol!$L$1625="","",[2]Baskol!$L$1625)</f>
        <v/>
      </c>
      <c r="AC1622">
        <f>IF([2]Baskol!$N$1625="","",[2]Baskol!$N$1625)</f>
        <v/>
      </c>
      <c r="AD1622">
        <f>IF([2]Baskol!$O$1625="","",[2]Baskol!$O$1625)</f>
        <v/>
      </c>
      <c r="AE1622">
        <f>IF([3]Entry!$C$1625="","",[3]Entry!$C$1625)</f>
        <v/>
      </c>
      <c r="AF1622">
        <f>IF([3]Entry!$D$1625="","",[3]Entry!$D$1625)</f>
        <v/>
      </c>
      <c r="AG1622">
        <f>IF([3]Entry!$E$1625="","",[3]Entry!$E$1625)</f>
        <v/>
      </c>
      <c r="AH1622">
        <f>IF([3]Entry!$G$1625="","",[3]Entry!$G$1625)</f>
        <v/>
      </c>
      <c r="AI1622">
        <f>IF([3]Entry!$K$1625="","",[3]Entry!$K$1625)</f>
        <v/>
      </c>
      <c r="AJ1622">
        <f>IF([3]Entry!$L$1625="","",[3]Entry!$L$1625)</f>
        <v/>
      </c>
      <c r="AK1622">
        <f>IF([3]Entry!$M$1625="","",[3]Entry!$M$1625)</f>
        <v/>
      </c>
      <c r="AL1622">
        <f>IF([3]Entry!$N$1625="","",[3]Entry!$N$1625)</f>
        <v/>
      </c>
      <c r="AM1622">
        <f>IF([3]Entry!$R$1625="","",[3]Entry!$R$1625)</f>
        <v/>
      </c>
    </row>
    <row r="1623">
      <c r="T1623">
        <f>IF([2]Baskol!$B$1626="","",[2]Baskol!$B$1626)</f>
        <v/>
      </c>
      <c r="U1623">
        <f>IF([2]Baskol!$C$1626="","",[2]Baskol!$C$1626)</f>
        <v/>
      </c>
      <c r="V1623">
        <f>IF([2]Baskol!$D$1626="","",[2]Baskol!$D$1626)</f>
        <v/>
      </c>
      <c r="W1623">
        <f>IF([2]Baskol!$E$1626="","",[2]Baskol!$E$1626)</f>
        <v/>
      </c>
      <c r="X1623">
        <f>IF([2]Baskol!$G$1626="","",[2]Baskol!$G$1626)</f>
        <v/>
      </c>
      <c r="Y1623">
        <f>IF([2]Baskol!$I$1626="","",[2]Baskol!$I$1626)</f>
        <v/>
      </c>
      <c r="Z1623">
        <f>IF([2]Baskol!$J$1626="","",[2]Baskol!$J$1626)</f>
        <v/>
      </c>
      <c r="AA1623">
        <f>IF([2]Baskol!$K$1626="","",[2]Baskol!$K$1626)</f>
        <v/>
      </c>
      <c r="AB1623">
        <f>IF([2]Baskol!$L$1626="","",[2]Baskol!$L$1626)</f>
        <v/>
      </c>
      <c r="AC1623">
        <f>IF([2]Baskol!$N$1626="","",[2]Baskol!$N$1626)</f>
        <v/>
      </c>
      <c r="AD1623">
        <f>IF([2]Baskol!$O$1626="","",[2]Baskol!$O$1626)</f>
        <v/>
      </c>
      <c r="AE1623">
        <f>IF([3]Entry!$C$1626="","",[3]Entry!$C$1626)</f>
        <v/>
      </c>
      <c r="AF1623">
        <f>IF([3]Entry!$D$1626="","",[3]Entry!$D$1626)</f>
        <v/>
      </c>
      <c r="AG1623">
        <f>IF([3]Entry!$E$1626="","",[3]Entry!$E$1626)</f>
        <v/>
      </c>
      <c r="AH1623">
        <f>IF([3]Entry!$G$1626="","",[3]Entry!$G$1626)</f>
        <v/>
      </c>
      <c r="AI1623">
        <f>IF([3]Entry!$K$1626="","",[3]Entry!$K$1626)</f>
        <v/>
      </c>
      <c r="AJ1623">
        <f>IF([3]Entry!$L$1626="","",[3]Entry!$L$1626)</f>
        <v/>
      </c>
      <c r="AK1623">
        <f>IF([3]Entry!$M$1626="","",[3]Entry!$M$1626)</f>
        <v/>
      </c>
      <c r="AL1623">
        <f>IF([3]Entry!$N$1626="","",[3]Entry!$N$1626)</f>
        <v/>
      </c>
      <c r="AM1623">
        <f>IF([3]Entry!$R$1626="","",[3]Entry!$R$1626)</f>
        <v/>
      </c>
    </row>
    <row r="1624">
      <c r="T1624">
        <f>IF([2]Baskol!$B$1627="","",[2]Baskol!$B$1627)</f>
        <v/>
      </c>
      <c r="U1624">
        <f>IF([2]Baskol!$C$1627="","",[2]Baskol!$C$1627)</f>
        <v/>
      </c>
      <c r="V1624">
        <f>IF([2]Baskol!$D$1627="","",[2]Baskol!$D$1627)</f>
        <v/>
      </c>
      <c r="W1624">
        <f>IF([2]Baskol!$E$1627="","",[2]Baskol!$E$1627)</f>
        <v/>
      </c>
      <c r="X1624">
        <f>IF([2]Baskol!$G$1627="","",[2]Baskol!$G$1627)</f>
        <v/>
      </c>
      <c r="Y1624">
        <f>IF([2]Baskol!$I$1627="","",[2]Baskol!$I$1627)</f>
        <v/>
      </c>
      <c r="Z1624">
        <f>IF([2]Baskol!$J$1627="","",[2]Baskol!$J$1627)</f>
        <v/>
      </c>
      <c r="AA1624">
        <f>IF([2]Baskol!$K$1627="","",[2]Baskol!$K$1627)</f>
        <v/>
      </c>
      <c r="AB1624">
        <f>IF([2]Baskol!$L$1627="","",[2]Baskol!$L$1627)</f>
        <v/>
      </c>
      <c r="AC1624">
        <f>IF([2]Baskol!$N$1627="","",[2]Baskol!$N$1627)</f>
        <v/>
      </c>
      <c r="AD1624">
        <f>IF([2]Baskol!$O$1627="","",[2]Baskol!$O$1627)</f>
        <v/>
      </c>
      <c r="AE1624">
        <f>IF([3]Entry!$C$1627="","",[3]Entry!$C$1627)</f>
        <v/>
      </c>
      <c r="AF1624">
        <f>IF([3]Entry!$D$1627="","",[3]Entry!$D$1627)</f>
        <v/>
      </c>
      <c r="AG1624">
        <f>IF([3]Entry!$E$1627="","",[3]Entry!$E$1627)</f>
        <v/>
      </c>
      <c r="AH1624">
        <f>IF([3]Entry!$G$1627="","",[3]Entry!$G$1627)</f>
        <v/>
      </c>
      <c r="AI1624">
        <f>IF([3]Entry!$K$1627="","",[3]Entry!$K$1627)</f>
        <v/>
      </c>
      <c r="AJ1624">
        <f>IF([3]Entry!$L$1627="","",[3]Entry!$L$1627)</f>
        <v/>
      </c>
      <c r="AK1624">
        <f>IF([3]Entry!$M$1627="","",[3]Entry!$M$1627)</f>
        <v/>
      </c>
      <c r="AL1624">
        <f>IF([3]Entry!$N$1627="","",[3]Entry!$N$1627)</f>
        <v/>
      </c>
      <c r="AM1624">
        <f>IF([3]Entry!$R$1627="","",[3]Entry!$R$1627)</f>
        <v/>
      </c>
    </row>
    <row r="1625">
      <c r="T1625">
        <f>IF([2]Baskol!$B$1628="","",[2]Baskol!$B$1628)</f>
        <v/>
      </c>
      <c r="U1625">
        <f>IF([2]Baskol!$C$1628="","",[2]Baskol!$C$1628)</f>
        <v/>
      </c>
      <c r="V1625">
        <f>IF([2]Baskol!$D$1628="","",[2]Baskol!$D$1628)</f>
        <v/>
      </c>
      <c r="W1625">
        <f>IF([2]Baskol!$E$1628="","",[2]Baskol!$E$1628)</f>
        <v/>
      </c>
      <c r="X1625">
        <f>IF([2]Baskol!$G$1628="","",[2]Baskol!$G$1628)</f>
        <v/>
      </c>
      <c r="Y1625">
        <f>IF([2]Baskol!$I$1628="","",[2]Baskol!$I$1628)</f>
        <v/>
      </c>
      <c r="Z1625">
        <f>IF([2]Baskol!$J$1628="","",[2]Baskol!$J$1628)</f>
        <v/>
      </c>
      <c r="AA1625">
        <f>IF([2]Baskol!$K$1628="","",[2]Baskol!$K$1628)</f>
        <v/>
      </c>
      <c r="AB1625">
        <f>IF([2]Baskol!$L$1628="","",[2]Baskol!$L$1628)</f>
        <v/>
      </c>
      <c r="AC1625">
        <f>IF([2]Baskol!$N$1628="","",[2]Baskol!$N$1628)</f>
        <v/>
      </c>
      <c r="AD1625">
        <f>IF([2]Baskol!$O$1628="","",[2]Baskol!$O$1628)</f>
        <v/>
      </c>
      <c r="AE1625">
        <f>IF([3]Entry!$C$1628="","",[3]Entry!$C$1628)</f>
        <v/>
      </c>
      <c r="AF1625">
        <f>IF([3]Entry!$D$1628="","",[3]Entry!$D$1628)</f>
        <v/>
      </c>
      <c r="AG1625">
        <f>IF([3]Entry!$E$1628="","",[3]Entry!$E$1628)</f>
        <v/>
      </c>
      <c r="AH1625">
        <f>IF([3]Entry!$G$1628="","",[3]Entry!$G$1628)</f>
        <v/>
      </c>
      <c r="AI1625">
        <f>IF([3]Entry!$K$1628="","",[3]Entry!$K$1628)</f>
        <v/>
      </c>
      <c r="AJ1625">
        <f>IF([3]Entry!$L$1628="","",[3]Entry!$L$1628)</f>
        <v/>
      </c>
      <c r="AK1625">
        <f>IF([3]Entry!$M$1628="","",[3]Entry!$M$1628)</f>
        <v/>
      </c>
      <c r="AL1625">
        <f>IF([3]Entry!$N$1628="","",[3]Entry!$N$1628)</f>
        <v/>
      </c>
      <c r="AM1625">
        <f>IF([3]Entry!$R$1628="","",[3]Entry!$R$1628)</f>
        <v/>
      </c>
    </row>
    <row r="1626">
      <c r="T1626">
        <f>IF([2]Baskol!$B$1629="","",[2]Baskol!$B$1629)</f>
        <v/>
      </c>
      <c r="U1626">
        <f>IF([2]Baskol!$C$1629="","",[2]Baskol!$C$1629)</f>
        <v/>
      </c>
      <c r="V1626">
        <f>IF([2]Baskol!$D$1629="","",[2]Baskol!$D$1629)</f>
        <v/>
      </c>
      <c r="W1626">
        <f>IF([2]Baskol!$E$1629="","",[2]Baskol!$E$1629)</f>
        <v/>
      </c>
      <c r="X1626">
        <f>IF([2]Baskol!$G$1629="","",[2]Baskol!$G$1629)</f>
        <v/>
      </c>
      <c r="Y1626">
        <f>IF([2]Baskol!$I$1629="","",[2]Baskol!$I$1629)</f>
        <v/>
      </c>
      <c r="Z1626">
        <f>IF([2]Baskol!$J$1629="","",[2]Baskol!$J$1629)</f>
        <v/>
      </c>
      <c r="AA1626">
        <f>IF([2]Baskol!$K$1629="","",[2]Baskol!$K$1629)</f>
        <v/>
      </c>
      <c r="AB1626">
        <f>IF([2]Baskol!$L$1629="","",[2]Baskol!$L$1629)</f>
        <v/>
      </c>
      <c r="AC1626">
        <f>IF([2]Baskol!$N$1629="","",[2]Baskol!$N$1629)</f>
        <v/>
      </c>
      <c r="AD1626">
        <f>IF([2]Baskol!$O$1629="","",[2]Baskol!$O$1629)</f>
        <v/>
      </c>
      <c r="AE1626">
        <f>IF([3]Entry!$C$1629="","",[3]Entry!$C$1629)</f>
        <v/>
      </c>
      <c r="AF1626">
        <f>IF([3]Entry!$D$1629="","",[3]Entry!$D$1629)</f>
        <v/>
      </c>
      <c r="AG1626">
        <f>IF([3]Entry!$E$1629="","",[3]Entry!$E$1629)</f>
        <v/>
      </c>
      <c r="AH1626">
        <f>IF([3]Entry!$G$1629="","",[3]Entry!$G$1629)</f>
        <v/>
      </c>
      <c r="AI1626">
        <f>IF([3]Entry!$K$1629="","",[3]Entry!$K$1629)</f>
        <v/>
      </c>
      <c r="AJ1626">
        <f>IF([3]Entry!$L$1629="","",[3]Entry!$L$1629)</f>
        <v/>
      </c>
      <c r="AK1626">
        <f>IF([3]Entry!$M$1629="","",[3]Entry!$M$1629)</f>
        <v/>
      </c>
      <c r="AL1626">
        <f>IF([3]Entry!$N$1629="","",[3]Entry!$N$1629)</f>
        <v/>
      </c>
      <c r="AM1626">
        <f>IF([3]Entry!$R$1629="","",[3]Entry!$R$1629)</f>
        <v/>
      </c>
    </row>
    <row r="1627">
      <c r="T1627">
        <f>IF([2]Baskol!$B$1630="","",[2]Baskol!$B$1630)</f>
        <v/>
      </c>
      <c r="U1627">
        <f>IF([2]Baskol!$C$1630="","",[2]Baskol!$C$1630)</f>
        <v/>
      </c>
      <c r="V1627">
        <f>IF([2]Baskol!$D$1630="","",[2]Baskol!$D$1630)</f>
        <v/>
      </c>
      <c r="W1627">
        <f>IF([2]Baskol!$E$1630="","",[2]Baskol!$E$1630)</f>
        <v/>
      </c>
      <c r="X1627">
        <f>IF([2]Baskol!$G$1630="","",[2]Baskol!$G$1630)</f>
        <v/>
      </c>
      <c r="Y1627">
        <f>IF([2]Baskol!$I$1630="","",[2]Baskol!$I$1630)</f>
        <v/>
      </c>
      <c r="Z1627">
        <f>IF([2]Baskol!$J$1630="","",[2]Baskol!$J$1630)</f>
        <v/>
      </c>
      <c r="AA1627">
        <f>IF([2]Baskol!$K$1630="","",[2]Baskol!$K$1630)</f>
        <v/>
      </c>
      <c r="AB1627">
        <f>IF([2]Baskol!$L$1630="","",[2]Baskol!$L$1630)</f>
        <v/>
      </c>
      <c r="AC1627">
        <f>IF([2]Baskol!$N$1630="","",[2]Baskol!$N$1630)</f>
        <v/>
      </c>
      <c r="AD1627">
        <f>IF([2]Baskol!$O$1630="","",[2]Baskol!$O$1630)</f>
        <v/>
      </c>
      <c r="AE1627">
        <f>IF([3]Entry!$C$1630="","",[3]Entry!$C$1630)</f>
        <v/>
      </c>
      <c r="AF1627">
        <f>IF([3]Entry!$D$1630="","",[3]Entry!$D$1630)</f>
        <v/>
      </c>
      <c r="AG1627">
        <f>IF([3]Entry!$E$1630="","",[3]Entry!$E$1630)</f>
        <v/>
      </c>
      <c r="AH1627">
        <f>IF([3]Entry!$G$1630="","",[3]Entry!$G$1630)</f>
        <v/>
      </c>
      <c r="AI1627">
        <f>IF([3]Entry!$K$1630="","",[3]Entry!$K$1630)</f>
        <v/>
      </c>
      <c r="AJ1627">
        <f>IF([3]Entry!$L$1630="","",[3]Entry!$L$1630)</f>
        <v/>
      </c>
      <c r="AK1627">
        <f>IF([3]Entry!$M$1630="","",[3]Entry!$M$1630)</f>
        <v/>
      </c>
      <c r="AL1627">
        <f>IF([3]Entry!$N$1630="","",[3]Entry!$N$1630)</f>
        <v/>
      </c>
      <c r="AM1627">
        <f>IF([3]Entry!$R$1630="","",[3]Entry!$R$1630)</f>
        <v/>
      </c>
    </row>
    <row r="1628">
      <c r="T1628">
        <f>IF([2]Baskol!$B$1631="","",[2]Baskol!$B$1631)</f>
        <v/>
      </c>
      <c r="U1628">
        <f>IF([2]Baskol!$C$1631="","",[2]Baskol!$C$1631)</f>
        <v/>
      </c>
      <c r="V1628">
        <f>IF([2]Baskol!$D$1631="","",[2]Baskol!$D$1631)</f>
        <v/>
      </c>
      <c r="W1628">
        <f>IF([2]Baskol!$E$1631="","",[2]Baskol!$E$1631)</f>
        <v/>
      </c>
      <c r="X1628">
        <f>IF([2]Baskol!$G$1631="","",[2]Baskol!$G$1631)</f>
        <v/>
      </c>
      <c r="Y1628">
        <f>IF([2]Baskol!$I$1631="","",[2]Baskol!$I$1631)</f>
        <v/>
      </c>
      <c r="Z1628">
        <f>IF([2]Baskol!$J$1631="","",[2]Baskol!$J$1631)</f>
        <v/>
      </c>
      <c r="AA1628">
        <f>IF([2]Baskol!$K$1631="","",[2]Baskol!$K$1631)</f>
        <v/>
      </c>
      <c r="AB1628">
        <f>IF([2]Baskol!$L$1631="","",[2]Baskol!$L$1631)</f>
        <v/>
      </c>
      <c r="AC1628">
        <f>IF([2]Baskol!$N$1631="","",[2]Baskol!$N$1631)</f>
        <v/>
      </c>
      <c r="AD1628">
        <f>IF([2]Baskol!$O$1631="","",[2]Baskol!$O$1631)</f>
        <v/>
      </c>
      <c r="AE1628">
        <f>IF([3]Entry!$C$1631="","",[3]Entry!$C$1631)</f>
        <v/>
      </c>
      <c r="AF1628">
        <f>IF([3]Entry!$D$1631="","",[3]Entry!$D$1631)</f>
        <v/>
      </c>
      <c r="AG1628">
        <f>IF([3]Entry!$E$1631="","",[3]Entry!$E$1631)</f>
        <v/>
      </c>
      <c r="AH1628">
        <f>IF([3]Entry!$G$1631="","",[3]Entry!$G$1631)</f>
        <v/>
      </c>
      <c r="AI1628">
        <f>IF([3]Entry!$K$1631="","",[3]Entry!$K$1631)</f>
        <v/>
      </c>
      <c r="AJ1628">
        <f>IF([3]Entry!$L$1631="","",[3]Entry!$L$1631)</f>
        <v/>
      </c>
      <c r="AK1628">
        <f>IF([3]Entry!$M$1631="","",[3]Entry!$M$1631)</f>
        <v/>
      </c>
      <c r="AL1628">
        <f>IF([3]Entry!$N$1631="","",[3]Entry!$N$1631)</f>
        <v/>
      </c>
      <c r="AM1628">
        <f>IF([3]Entry!$R$1631="","",[3]Entry!$R$1631)</f>
        <v/>
      </c>
    </row>
    <row r="1629">
      <c r="T1629">
        <f>IF([2]Baskol!$B$1632="","",[2]Baskol!$B$1632)</f>
        <v/>
      </c>
      <c r="U1629">
        <f>IF([2]Baskol!$C$1632="","",[2]Baskol!$C$1632)</f>
        <v/>
      </c>
      <c r="V1629">
        <f>IF([2]Baskol!$D$1632="","",[2]Baskol!$D$1632)</f>
        <v/>
      </c>
      <c r="W1629">
        <f>IF([2]Baskol!$E$1632="","",[2]Baskol!$E$1632)</f>
        <v/>
      </c>
      <c r="X1629">
        <f>IF([2]Baskol!$G$1632="","",[2]Baskol!$G$1632)</f>
        <v/>
      </c>
      <c r="Y1629">
        <f>IF([2]Baskol!$I$1632="","",[2]Baskol!$I$1632)</f>
        <v/>
      </c>
      <c r="Z1629">
        <f>IF([2]Baskol!$J$1632="","",[2]Baskol!$J$1632)</f>
        <v/>
      </c>
      <c r="AA1629">
        <f>IF([2]Baskol!$K$1632="","",[2]Baskol!$K$1632)</f>
        <v/>
      </c>
      <c r="AB1629">
        <f>IF([2]Baskol!$L$1632="","",[2]Baskol!$L$1632)</f>
        <v/>
      </c>
      <c r="AC1629">
        <f>IF([2]Baskol!$N$1632="","",[2]Baskol!$N$1632)</f>
        <v/>
      </c>
      <c r="AD1629">
        <f>IF([2]Baskol!$O$1632="","",[2]Baskol!$O$1632)</f>
        <v/>
      </c>
      <c r="AE1629">
        <f>IF([3]Entry!$C$1632="","",[3]Entry!$C$1632)</f>
        <v/>
      </c>
      <c r="AF1629">
        <f>IF([3]Entry!$D$1632="","",[3]Entry!$D$1632)</f>
        <v/>
      </c>
      <c r="AG1629">
        <f>IF([3]Entry!$E$1632="","",[3]Entry!$E$1632)</f>
        <v/>
      </c>
      <c r="AH1629">
        <f>IF([3]Entry!$G$1632="","",[3]Entry!$G$1632)</f>
        <v/>
      </c>
      <c r="AI1629">
        <f>IF([3]Entry!$K$1632="","",[3]Entry!$K$1632)</f>
        <v/>
      </c>
      <c r="AJ1629">
        <f>IF([3]Entry!$L$1632="","",[3]Entry!$L$1632)</f>
        <v/>
      </c>
      <c r="AK1629">
        <f>IF([3]Entry!$M$1632="","",[3]Entry!$M$1632)</f>
        <v/>
      </c>
      <c r="AL1629">
        <f>IF([3]Entry!$N$1632="","",[3]Entry!$N$1632)</f>
        <v/>
      </c>
      <c r="AM1629">
        <f>IF([3]Entry!$R$1632="","",[3]Entry!$R$1632)</f>
        <v/>
      </c>
    </row>
    <row r="1630">
      <c r="T1630">
        <f>IF([2]Baskol!$B$1633="","",[2]Baskol!$B$1633)</f>
        <v/>
      </c>
      <c r="U1630">
        <f>IF([2]Baskol!$C$1633="","",[2]Baskol!$C$1633)</f>
        <v/>
      </c>
      <c r="V1630">
        <f>IF([2]Baskol!$D$1633="","",[2]Baskol!$D$1633)</f>
        <v/>
      </c>
      <c r="W1630">
        <f>IF([2]Baskol!$E$1633="","",[2]Baskol!$E$1633)</f>
        <v/>
      </c>
      <c r="X1630">
        <f>IF([2]Baskol!$G$1633="","",[2]Baskol!$G$1633)</f>
        <v/>
      </c>
      <c r="Y1630">
        <f>IF([2]Baskol!$I$1633="","",[2]Baskol!$I$1633)</f>
        <v/>
      </c>
      <c r="Z1630">
        <f>IF([2]Baskol!$J$1633="","",[2]Baskol!$J$1633)</f>
        <v/>
      </c>
      <c r="AA1630">
        <f>IF([2]Baskol!$K$1633="","",[2]Baskol!$K$1633)</f>
        <v/>
      </c>
      <c r="AB1630">
        <f>IF([2]Baskol!$L$1633="","",[2]Baskol!$L$1633)</f>
        <v/>
      </c>
      <c r="AC1630">
        <f>IF([2]Baskol!$N$1633="","",[2]Baskol!$N$1633)</f>
        <v/>
      </c>
      <c r="AD1630">
        <f>IF([2]Baskol!$O$1633="","",[2]Baskol!$O$1633)</f>
        <v/>
      </c>
      <c r="AE1630">
        <f>IF([3]Entry!$C$1633="","",[3]Entry!$C$1633)</f>
        <v/>
      </c>
      <c r="AF1630">
        <f>IF([3]Entry!$D$1633="","",[3]Entry!$D$1633)</f>
        <v/>
      </c>
      <c r="AG1630">
        <f>IF([3]Entry!$E$1633="","",[3]Entry!$E$1633)</f>
        <v/>
      </c>
      <c r="AH1630">
        <f>IF([3]Entry!$G$1633="","",[3]Entry!$G$1633)</f>
        <v/>
      </c>
      <c r="AI1630">
        <f>IF([3]Entry!$K$1633="","",[3]Entry!$K$1633)</f>
        <v/>
      </c>
      <c r="AJ1630">
        <f>IF([3]Entry!$L$1633="","",[3]Entry!$L$1633)</f>
        <v/>
      </c>
      <c r="AK1630">
        <f>IF([3]Entry!$M$1633="","",[3]Entry!$M$1633)</f>
        <v/>
      </c>
      <c r="AL1630">
        <f>IF([3]Entry!$N$1633="","",[3]Entry!$N$1633)</f>
        <v/>
      </c>
      <c r="AM1630">
        <f>IF([3]Entry!$R$1633="","",[3]Entry!$R$1633)</f>
        <v/>
      </c>
    </row>
    <row r="1631">
      <c r="T1631">
        <f>IF([2]Baskol!$B$1634="","",[2]Baskol!$B$1634)</f>
        <v/>
      </c>
      <c r="U1631">
        <f>IF([2]Baskol!$C$1634="","",[2]Baskol!$C$1634)</f>
        <v/>
      </c>
      <c r="V1631">
        <f>IF([2]Baskol!$D$1634="","",[2]Baskol!$D$1634)</f>
        <v/>
      </c>
      <c r="W1631">
        <f>IF([2]Baskol!$E$1634="","",[2]Baskol!$E$1634)</f>
        <v/>
      </c>
      <c r="X1631">
        <f>IF([2]Baskol!$G$1634="","",[2]Baskol!$G$1634)</f>
        <v/>
      </c>
      <c r="Y1631">
        <f>IF([2]Baskol!$I$1634="","",[2]Baskol!$I$1634)</f>
        <v/>
      </c>
      <c r="Z1631">
        <f>IF([2]Baskol!$J$1634="","",[2]Baskol!$J$1634)</f>
        <v/>
      </c>
      <c r="AA1631">
        <f>IF([2]Baskol!$K$1634="","",[2]Baskol!$K$1634)</f>
        <v/>
      </c>
      <c r="AB1631">
        <f>IF([2]Baskol!$L$1634="","",[2]Baskol!$L$1634)</f>
        <v/>
      </c>
      <c r="AC1631">
        <f>IF([2]Baskol!$N$1634="","",[2]Baskol!$N$1634)</f>
        <v/>
      </c>
      <c r="AD1631">
        <f>IF([2]Baskol!$O$1634="","",[2]Baskol!$O$1634)</f>
        <v/>
      </c>
      <c r="AE1631">
        <f>IF([3]Entry!$C$1634="","",[3]Entry!$C$1634)</f>
        <v/>
      </c>
      <c r="AF1631">
        <f>IF([3]Entry!$D$1634="","",[3]Entry!$D$1634)</f>
        <v/>
      </c>
      <c r="AG1631">
        <f>IF([3]Entry!$E$1634="","",[3]Entry!$E$1634)</f>
        <v/>
      </c>
      <c r="AH1631">
        <f>IF([3]Entry!$G$1634="","",[3]Entry!$G$1634)</f>
        <v/>
      </c>
      <c r="AI1631">
        <f>IF([3]Entry!$K$1634="","",[3]Entry!$K$1634)</f>
        <v/>
      </c>
      <c r="AJ1631">
        <f>IF([3]Entry!$L$1634="","",[3]Entry!$L$1634)</f>
        <v/>
      </c>
      <c r="AK1631">
        <f>IF([3]Entry!$M$1634="","",[3]Entry!$M$1634)</f>
        <v/>
      </c>
      <c r="AL1631">
        <f>IF([3]Entry!$N$1634="","",[3]Entry!$N$1634)</f>
        <v/>
      </c>
      <c r="AM1631">
        <f>IF([3]Entry!$R$1634="","",[3]Entry!$R$1634)</f>
        <v/>
      </c>
    </row>
    <row r="1632">
      <c r="T1632">
        <f>IF([2]Baskol!$B$1635="","",[2]Baskol!$B$1635)</f>
        <v/>
      </c>
      <c r="U1632">
        <f>IF([2]Baskol!$C$1635="","",[2]Baskol!$C$1635)</f>
        <v/>
      </c>
      <c r="V1632">
        <f>IF([2]Baskol!$D$1635="","",[2]Baskol!$D$1635)</f>
        <v/>
      </c>
      <c r="W1632">
        <f>IF([2]Baskol!$E$1635="","",[2]Baskol!$E$1635)</f>
        <v/>
      </c>
      <c r="X1632">
        <f>IF([2]Baskol!$G$1635="","",[2]Baskol!$G$1635)</f>
        <v/>
      </c>
      <c r="Y1632">
        <f>IF([2]Baskol!$I$1635="","",[2]Baskol!$I$1635)</f>
        <v/>
      </c>
      <c r="Z1632">
        <f>IF([2]Baskol!$J$1635="","",[2]Baskol!$J$1635)</f>
        <v/>
      </c>
      <c r="AA1632">
        <f>IF([2]Baskol!$K$1635="","",[2]Baskol!$K$1635)</f>
        <v/>
      </c>
      <c r="AB1632">
        <f>IF([2]Baskol!$L$1635="","",[2]Baskol!$L$1635)</f>
        <v/>
      </c>
      <c r="AC1632">
        <f>IF([2]Baskol!$N$1635="","",[2]Baskol!$N$1635)</f>
        <v/>
      </c>
      <c r="AD1632">
        <f>IF([2]Baskol!$O$1635="","",[2]Baskol!$O$1635)</f>
        <v/>
      </c>
      <c r="AE1632">
        <f>IF([3]Entry!$C$1635="","",[3]Entry!$C$1635)</f>
        <v/>
      </c>
      <c r="AF1632">
        <f>IF([3]Entry!$D$1635="","",[3]Entry!$D$1635)</f>
        <v/>
      </c>
      <c r="AG1632">
        <f>IF([3]Entry!$E$1635="","",[3]Entry!$E$1635)</f>
        <v/>
      </c>
      <c r="AH1632">
        <f>IF([3]Entry!$G$1635="","",[3]Entry!$G$1635)</f>
        <v/>
      </c>
      <c r="AI1632">
        <f>IF([3]Entry!$K$1635="","",[3]Entry!$K$1635)</f>
        <v/>
      </c>
      <c r="AJ1632">
        <f>IF([3]Entry!$L$1635="","",[3]Entry!$L$1635)</f>
        <v/>
      </c>
      <c r="AK1632">
        <f>IF([3]Entry!$M$1635="","",[3]Entry!$M$1635)</f>
        <v/>
      </c>
      <c r="AL1632">
        <f>IF([3]Entry!$N$1635="","",[3]Entry!$N$1635)</f>
        <v/>
      </c>
      <c r="AM1632">
        <f>IF([3]Entry!$R$1635="","",[3]Entry!$R$1635)</f>
        <v/>
      </c>
    </row>
    <row r="1633">
      <c r="T1633">
        <f>IF([2]Baskol!$B$1636="","",[2]Baskol!$B$1636)</f>
        <v/>
      </c>
      <c r="U1633">
        <f>IF([2]Baskol!$C$1636="","",[2]Baskol!$C$1636)</f>
        <v/>
      </c>
      <c r="V1633">
        <f>IF([2]Baskol!$D$1636="","",[2]Baskol!$D$1636)</f>
        <v/>
      </c>
      <c r="W1633">
        <f>IF([2]Baskol!$E$1636="","",[2]Baskol!$E$1636)</f>
        <v/>
      </c>
      <c r="X1633">
        <f>IF([2]Baskol!$G$1636="","",[2]Baskol!$G$1636)</f>
        <v/>
      </c>
      <c r="Y1633">
        <f>IF([2]Baskol!$I$1636="","",[2]Baskol!$I$1636)</f>
        <v/>
      </c>
      <c r="Z1633">
        <f>IF([2]Baskol!$J$1636="","",[2]Baskol!$J$1636)</f>
        <v/>
      </c>
      <c r="AA1633">
        <f>IF([2]Baskol!$K$1636="","",[2]Baskol!$K$1636)</f>
        <v/>
      </c>
      <c r="AB1633">
        <f>IF([2]Baskol!$L$1636="","",[2]Baskol!$L$1636)</f>
        <v/>
      </c>
      <c r="AC1633">
        <f>IF([2]Baskol!$N$1636="","",[2]Baskol!$N$1636)</f>
        <v/>
      </c>
      <c r="AD1633">
        <f>IF([2]Baskol!$O$1636="","",[2]Baskol!$O$1636)</f>
        <v/>
      </c>
      <c r="AE1633">
        <f>IF([3]Entry!$C$1636="","",[3]Entry!$C$1636)</f>
        <v/>
      </c>
      <c r="AF1633">
        <f>IF([3]Entry!$D$1636="","",[3]Entry!$D$1636)</f>
        <v/>
      </c>
      <c r="AG1633">
        <f>IF([3]Entry!$E$1636="","",[3]Entry!$E$1636)</f>
        <v/>
      </c>
      <c r="AH1633">
        <f>IF([3]Entry!$G$1636="","",[3]Entry!$G$1636)</f>
        <v/>
      </c>
      <c r="AI1633">
        <f>IF([3]Entry!$K$1636="","",[3]Entry!$K$1636)</f>
        <v/>
      </c>
      <c r="AJ1633">
        <f>IF([3]Entry!$L$1636="","",[3]Entry!$L$1636)</f>
        <v/>
      </c>
      <c r="AK1633">
        <f>IF([3]Entry!$M$1636="","",[3]Entry!$M$1636)</f>
        <v/>
      </c>
      <c r="AL1633">
        <f>IF([3]Entry!$N$1636="","",[3]Entry!$N$1636)</f>
        <v/>
      </c>
      <c r="AM1633">
        <f>IF([3]Entry!$R$1636="","",[3]Entry!$R$1636)</f>
        <v/>
      </c>
    </row>
    <row r="1634">
      <c r="T1634">
        <f>IF([2]Baskol!$B$1637="","",[2]Baskol!$B$1637)</f>
        <v/>
      </c>
      <c r="U1634">
        <f>IF([2]Baskol!$C$1637="","",[2]Baskol!$C$1637)</f>
        <v/>
      </c>
      <c r="V1634">
        <f>IF([2]Baskol!$D$1637="","",[2]Baskol!$D$1637)</f>
        <v/>
      </c>
      <c r="W1634">
        <f>IF([2]Baskol!$E$1637="","",[2]Baskol!$E$1637)</f>
        <v/>
      </c>
      <c r="X1634">
        <f>IF([2]Baskol!$G$1637="","",[2]Baskol!$G$1637)</f>
        <v/>
      </c>
      <c r="Y1634">
        <f>IF([2]Baskol!$I$1637="","",[2]Baskol!$I$1637)</f>
        <v/>
      </c>
      <c r="Z1634">
        <f>IF([2]Baskol!$J$1637="","",[2]Baskol!$J$1637)</f>
        <v/>
      </c>
      <c r="AA1634">
        <f>IF([2]Baskol!$K$1637="","",[2]Baskol!$K$1637)</f>
        <v/>
      </c>
      <c r="AB1634">
        <f>IF([2]Baskol!$L$1637="","",[2]Baskol!$L$1637)</f>
        <v/>
      </c>
      <c r="AC1634">
        <f>IF([2]Baskol!$N$1637="","",[2]Baskol!$N$1637)</f>
        <v/>
      </c>
      <c r="AD1634">
        <f>IF([2]Baskol!$O$1637="","",[2]Baskol!$O$1637)</f>
        <v/>
      </c>
      <c r="AE1634">
        <f>IF([3]Entry!$C$1637="","",[3]Entry!$C$1637)</f>
        <v/>
      </c>
      <c r="AF1634">
        <f>IF([3]Entry!$D$1637="","",[3]Entry!$D$1637)</f>
        <v/>
      </c>
      <c r="AG1634">
        <f>IF([3]Entry!$E$1637="","",[3]Entry!$E$1637)</f>
        <v/>
      </c>
      <c r="AH1634">
        <f>IF([3]Entry!$G$1637="","",[3]Entry!$G$1637)</f>
        <v/>
      </c>
      <c r="AI1634">
        <f>IF([3]Entry!$K$1637="","",[3]Entry!$K$1637)</f>
        <v/>
      </c>
      <c r="AJ1634">
        <f>IF([3]Entry!$L$1637="","",[3]Entry!$L$1637)</f>
        <v/>
      </c>
      <c r="AK1634">
        <f>IF([3]Entry!$M$1637="","",[3]Entry!$M$1637)</f>
        <v/>
      </c>
      <c r="AL1634">
        <f>IF([3]Entry!$N$1637="","",[3]Entry!$N$1637)</f>
        <v/>
      </c>
      <c r="AM1634">
        <f>IF([3]Entry!$R$1637="","",[3]Entry!$R$1637)</f>
        <v/>
      </c>
    </row>
    <row r="1635">
      <c r="T1635">
        <f>IF([2]Baskol!$B$1638="","",[2]Baskol!$B$1638)</f>
        <v/>
      </c>
      <c r="U1635">
        <f>IF([2]Baskol!$C$1638="","",[2]Baskol!$C$1638)</f>
        <v/>
      </c>
      <c r="V1635">
        <f>IF([2]Baskol!$D$1638="","",[2]Baskol!$D$1638)</f>
        <v/>
      </c>
      <c r="W1635">
        <f>IF([2]Baskol!$E$1638="","",[2]Baskol!$E$1638)</f>
        <v/>
      </c>
      <c r="X1635">
        <f>IF([2]Baskol!$G$1638="","",[2]Baskol!$G$1638)</f>
        <v/>
      </c>
      <c r="Y1635">
        <f>IF([2]Baskol!$I$1638="","",[2]Baskol!$I$1638)</f>
        <v/>
      </c>
      <c r="Z1635">
        <f>IF([2]Baskol!$J$1638="","",[2]Baskol!$J$1638)</f>
        <v/>
      </c>
      <c r="AA1635">
        <f>IF([2]Baskol!$K$1638="","",[2]Baskol!$K$1638)</f>
        <v/>
      </c>
      <c r="AB1635">
        <f>IF([2]Baskol!$L$1638="","",[2]Baskol!$L$1638)</f>
        <v/>
      </c>
      <c r="AC1635">
        <f>IF([2]Baskol!$N$1638="","",[2]Baskol!$N$1638)</f>
        <v/>
      </c>
      <c r="AD1635">
        <f>IF([2]Baskol!$O$1638="","",[2]Baskol!$O$1638)</f>
        <v/>
      </c>
      <c r="AE1635">
        <f>IF([3]Entry!$C$1638="","",[3]Entry!$C$1638)</f>
        <v/>
      </c>
      <c r="AF1635">
        <f>IF([3]Entry!$D$1638="","",[3]Entry!$D$1638)</f>
        <v/>
      </c>
      <c r="AG1635">
        <f>IF([3]Entry!$E$1638="","",[3]Entry!$E$1638)</f>
        <v/>
      </c>
      <c r="AH1635">
        <f>IF([3]Entry!$G$1638="","",[3]Entry!$G$1638)</f>
        <v/>
      </c>
      <c r="AI1635">
        <f>IF([3]Entry!$K$1638="","",[3]Entry!$K$1638)</f>
        <v/>
      </c>
      <c r="AJ1635">
        <f>IF([3]Entry!$L$1638="","",[3]Entry!$L$1638)</f>
        <v/>
      </c>
      <c r="AK1635">
        <f>IF([3]Entry!$M$1638="","",[3]Entry!$M$1638)</f>
        <v/>
      </c>
      <c r="AL1635">
        <f>IF([3]Entry!$N$1638="","",[3]Entry!$N$1638)</f>
        <v/>
      </c>
      <c r="AM1635">
        <f>IF([3]Entry!$R$1638="","",[3]Entry!$R$1638)</f>
        <v/>
      </c>
    </row>
    <row r="1636">
      <c r="T1636">
        <f>IF([2]Baskol!$B$1639="","",[2]Baskol!$B$1639)</f>
        <v/>
      </c>
      <c r="U1636">
        <f>IF([2]Baskol!$C$1639="","",[2]Baskol!$C$1639)</f>
        <v/>
      </c>
      <c r="V1636">
        <f>IF([2]Baskol!$D$1639="","",[2]Baskol!$D$1639)</f>
        <v/>
      </c>
      <c r="W1636">
        <f>IF([2]Baskol!$E$1639="","",[2]Baskol!$E$1639)</f>
        <v/>
      </c>
      <c r="X1636">
        <f>IF([2]Baskol!$G$1639="","",[2]Baskol!$G$1639)</f>
        <v/>
      </c>
      <c r="Y1636">
        <f>IF([2]Baskol!$I$1639="","",[2]Baskol!$I$1639)</f>
        <v/>
      </c>
      <c r="Z1636">
        <f>IF([2]Baskol!$J$1639="","",[2]Baskol!$J$1639)</f>
        <v/>
      </c>
      <c r="AA1636">
        <f>IF([2]Baskol!$K$1639="","",[2]Baskol!$K$1639)</f>
        <v/>
      </c>
      <c r="AB1636">
        <f>IF([2]Baskol!$L$1639="","",[2]Baskol!$L$1639)</f>
        <v/>
      </c>
      <c r="AC1636">
        <f>IF([2]Baskol!$N$1639="","",[2]Baskol!$N$1639)</f>
        <v/>
      </c>
      <c r="AD1636">
        <f>IF([2]Baskol!$O$1639="","",[2]Baskol!$O$1639)</f>
        <v/>
      </c>
      <c r="AE1636">
        <f>IF([3]Entry!$C$1639="","",[3]Entry!$C$1639)</f>
        <v/>
      </c>
      <c r="AF1636">
        <f>IF([3]Entry!$D$1639="","",[3]Entry!$D$1639)</f>
        <v/>
      </c>
      <c r="AG1636">
        <f>IF([3]Entry!$E$1639="","",[3]Entry!$E$1639)</f>
        <v/>
      </c>
      <c r="AH1636">
        <f>IF([3]Entry!$G$1639="","",[3]Entry!$G$1639)</f>
        <v/>
      </c>
      <c r="AI1636">
        <f>IF([3]Entry!$K$1639="","",[3]Entry!$K$1639)</f>
        <v/>
      </c>
      <c r="AJ1636">
        <f>IF([3]Entry!$L$1639="","",[3]Entry!$L$1639)</f>
        <v/>
      </c>
      <c r="AK1636">
        <f>IF([3]Entry!$M$1639="","",[3]Entry!$M$1639)</f>
        <v/>
      </c>
      <c r="AL1636">
        <f>IF([3]Entry!$N$1639="","",[3]Entry!$N$1639)</f>
        <v/>
      </c>
      <c r="AM1636">
        <f>IF([3]Entry!$R$1639="","",[3]Entry!$R$1639)</f>
        <v/>
      </c>
    </row>
    <row r="1637">
      <c r="T1637">
        <f>IF([2]Baskol!$B$1640="","",[2]Baskol!$B$1640)</f>
        <v/>
      </c>
      <c r="U1637">
        <f>IF([2]Baskol!$C$1640="","",[2]Baskol!$C$1640)</f>
        <v/>
      </c>
      <c r="V1637">
        <f>IF([2]Baskol!$D$1640="","",[2]Baskol!$D$1640)</f>
        <v/>
      </c>
      <c r="W1637">
        <f>IF([2]Baskol!$E$1640="","",[2]Baskol!$E$1640)</f>
        <v/>
      </c>
      <c r="X1637">
        <f>IF([2]Baskol!$G$1640="","",[2]Baskol!$G$1640)</f>
        <v/>
      </c>
      <c r="Y1637">
        <f>IF([2]Baskol!$I$1640="","",[2]Baskol!$I$1640)</f>
        <v/>
      </c>
      <c r="Z1637">
        <f>IF([2]Baskol!$J$1640="","",[2]Baskol!$J$1640)</f>
        <v/>
      </c>
      <c r="AA1637">
        <f>IF([2]Baskol!$K$1640="","",[2]Baskol!$K$1640)</f>
        <v/>
      </c>
      <c r="AB1637">
        <f>IF([2]Baskol!$L$1640="","",[2]Baskol!$L$1640)</f>
        <v/>
      </c>
      <c r="AC1637">
        <f>IF([2]Baskol!$N$1640="","",[2]Baskol!$N$1640)</f>
        <v/>
      </c>
      <c r="AD1637">
        <f>IF([2]Baskol!$O$1640="","",[2]Baskol!$O$1640)</f>
        <v/>
      </c>
      <c r="AE1637">
        <f>IF([3]Entry!$C$1640="","",[3]Entry!$C$1640)</f>
        <v/>
      </c>
      <c r="AF1637">
        <f>IF([3]Entry!$D$1640="","",[3]Entry!$D$1640)</f>
        <v/>
      </c>
      <c r="AG1637">
        <f>IF([3]Entry!$E$1640="","",[3]Entry!$E$1640)</f>
        <v/>
      </c>
      <c r="AH1637">
        <f>IF([3]Entry!$G$1640="","",[3]Entry!$G$1640)</f>
        <v/>
      </c>
      <c r="AI1637">
        <f>IF([3]Entry!$K$1640="","",[3]Entry!$K$1640)</f>
        <v/>
      </c>
      <c r="AJ1637">
        <f>IF([3]Entry!$L$1640="","",[3]Entry!$L$1640)</f>
        <v/>
      </c>
      <c r="AK1637">
        <f>IF([3]Entry!$M$1640="","",[3]Entry!$M$1640)</f>
        <v/>
      </c>
      <c r="AL1637">
        <f>IF([3]Entry!$N$1640="","",[3]Entry!$N$1640)</f>
        <v/>
      </c>
      <c r="AM1637">
        <f>IF([3]Entry!$R$1640="","",[3]Entry!$R$1640)</f>
        <v/>
      </c>
    </row>
    <row r="1638">
      <c r="T1638">
        <f>IF([2]Baskol!$B$1641="","",[2]Baskol!$B$1641)</f>
        <v/>
      </c>
      <c r="U1638">
        <f>IF([2]Baskol!$C$1641="","",[2]Baskol!$C$1641)</f>
        <v/>
      </c>
      <c r="V1638">
        <f>IF([2]Baskol!$D$1641="","",[2]Baskol!$D$1641)</f>
        <v/>
      </c>
      <c r="W1638">
        <f>IF([2]Baskol!$E$1641="","",[2]Baskol!$E$1641)</f>
        <v/>
      </c>
      <c r="X1638">
        <f>IF([2]Baskol!$G$1641="","",[2]Baskol!$G$1641)</f>
        <v/>
      </c>
      <c r="Y1638">
        <f>IF([2]Baskol!$I$1641="","",[2]Baskol!$I$1641)</f>
        <v/>
      </c>
      <c r="Z1638">
        <f>IF([2]Baskol!$J$1641="","",[2]Baskol!$J$1641)</f>
        <v/>
      </c>
      <c r="AA1638">
        <f>IF([2]Baskol!$K$1641="","",[2]Baskol!$K$1641)</f>
        <v/>
      </c>
      <c r="AB1638">
        <f>IF([2]Baskol!$L$1641="","",[2]Baskol!$L$1641)</f>
        <v/>
      </c>
      <c r="AC1638">
        <f>IF([2]Baskol!$N$1641="","",[2]Baskol!$N$1641)</f>
        <v/>
      </c>
      <c r="AD1638">
        <f>IF([2]Baskol!$O$1641="","",[2]Baskol!$O$1641)</f>
        <v/>
      </c>
      <c r="AE1638">
        <f>IF([3]Entry!$C$1641="","",[3]Entry!$C$1641)</f>
        <v/>
      </c>
      <c r="AF1638">
        <f>IF([3]Entry!$D$1641="","",[3]Entry!$D$1641)</f>
        <v/>
      </c>
      <c r="AG1638">
        <f>IF([3]Entry!$E$1641="","",[3]Entry!$E$1641)</f>
        <v/>
      </c>
      <c r="AH1638">
        <f>IF([3]Entry!$G$1641="","",[3]Entry!$G$1641)</f>
        <v/>
      </c>
      <c r="AI1638">
        <f>IF([3]Entry!$K$1641="","",[3]Entry!$K$1641)</f>
        <v/>
      </c>
      <c r="AJ1638">
        <f>IF([3]Entry!$L$1641="","",[3]Entry!$L$1641)</f>
        <v/>
      </c>
      <c r="AK1638">
        <f>IF([3]Entry!$M$1641="","",[3]Entry!$M$1641)</f>
        <v/>
      </c>
      <c r="AL1638">
        <f>IF([3]Entry!$N$1641="","",[3]Entry!$N$1641)</f>
        <v/>
      </c>
      <c r="AM1638">
        <f>IF([3]Entry!$R$1641="","",[3]Entry!$R$1641)</f>
        <v/>
      </c>
    </row>
    <row r="1639">
      <c r="T1639">
        <f>IF([2]Baskol!$B$1642="","",[2]Baskol!$B$1642)</f>
        <v/>
      </c>
      <c r="U1639">
        <f>IF([2]Baskol!$C$1642="","",[2]Baskol!$C$1642)</f>
        <v/>
      </c>
      <c r="V1639">
        <f>IF([2]Baskol!$D$1642="","",[2]Baskol!$D$1642)</f>
        <v/>
      </c>
      <c r="W1639">
        <f>IF([2]Baskol!$E$1642="","",[2]Baskol!$E$1642)</f>
        <v/>
      </c>
      <c r="X1639">
        <f>IF([2]Baskol!$G$1642="","",[2]Baskol!$G$1642)</f>
        <v/>
      </c>
      <c r="Y1639">
        <f>IF([2]Baskol!$I$1642="","",[2]Baskol!$I$1642)</f>
        <v/>
      </c>
      <c r="Z1639">
        <f>IF([2]Baskol!$J$1642="","",[2]Baskol!$J$1642)</f>
        <v/>
      </c>
      <c r="AA1639">
        <f>IF([2]Baskol!$K$1642="","",[2]Baskol!$K$1642)</f>
        <v/>
      </c>
      <c r="AB1639">
        <f>IF([2]Baskol!$L$1642="","",[2]Baskol!$L$1642)</f>
        <v/>
      </c>
      <c r="AC1639">
        <f>IF([2]Baskol!$N$1642="","",[2]Baskol!$N$1642)</f>
        <v/>
      </c>
      <c r="AD1639">
        <f>IF([2]Baskol!$O$1642="","",[2]Baskol!$O$1642)</f>
        <v/>
      </c>
      <c r="AE1639">
        <f>IF([3]Entry!$C$1642="","",[3]Entry!$C$1642)</f>
        <v/>
      </c>
      <c r="AF1639">
        <f>IF([3]Entry!$D$1642="","",[3]Entry!$D$1642)</f>
        <v/>
      </c>
      <c r="AG1639">
        <f>IF([3]Entry!$E$1642="","",[3]Entry!$E$1642)</f>
        <v/>
      </c>
      <c r="AH1639">
        <f>IF([3]Entry!$G$1642="","",[3]Entry!$G$1642)</f>
        <v/>
      </c>
      <c r="AI1639">
        <f>IF([3]Entry!$K$1642="","",[3]Entry!$K$1642)</f>
        <v/>
      </c>
      <c r="AJ1639">
        <f>IF([3]Entry!$L$1642="","",[3]Entry!$L$1642)</f>
        <v/>
      </c>
      <c r="AK1639">
        <f>IF([3]Entry!$M$1642="","",[3]Entry!$M$1642)</f>
        <v/>
      </c>
      <c r="AL1639">
        <f>IF([3]Entry!$N$1642="","",[3]Entry!$N$1642)</f>
        <v/>
      </c>
      <c r="AM1639">
        <f>IF([3]Entry!$R$1642="","",[3]Entry!$R$1642)</f>
        <v/>
      </c>
    </row>
    <row r="1640">
      <c r="T1640">
        <f>IF([2]Baskol!$B$1643="","",[2]Baskol!$B$1643)</f>
        <v/>
      </c>
      <c r="U1640">
        <f>IF([2]Baskol!$C$1643="","",[2]Baskol!$C$1643)</f>
        <v/>
      </c>
      <c r="V1640">
        <f>IF([2]Baskol!$D$1643="","",[2]Baskol!$D$1643)</f>
        <v/>
      </c>
      <c r="W1640">
        <f>IF([2]Baskol!$E$1643="","",[2]Baskol!$E$1643)</f>
        <v/>
      </c>
      <c r="X1640">
        <f>IF([2]Baskol!$G$1643="","",[2]Baskol!$G$1643)</f>
        <v/>
      </c>
      <c r="Y1640">
        <f>IF([2]Baskol!$I$1643="","",[2]Baskol!$I$1643)</f>
        <v/>
      </c>
      <c r="Z1640">
        <f>IF([2]Baskol!$J$1643="","",[2]Baskol!$J$1643)</f>
        <v/>
      </c>
      <c r="AA1640">
        <f>IF([2]Baskol!$K$1643="","",[2]Baskol!$K$1643)</f>
        <v/>
      </c>
      <c r="AB1640">
        <f>IF([2]Baskol!$L$1643="","",[2]Baskol!$L$1643)</f>
        <v/>
      </c>
      <c r="AC1640">
        <f>IF([2]Baskol!$N$1643="","",[2]Baskol!$N$1643)</f>
        <v/>
      </c>
      <c r="AD1640">
        <f>IF([2]Baskol!$O$1643="","",[2]Baskol!$O$1643)</f>
        <v/>
      </c>
      <c r="AE1640">
        <f>IF([3]Entry!$C$1643="","",[3]Entry!$C$1643)</f>
        <v/>
      </c>
      <c r="AF1640">
        <f>IF([3]Entry!$D$1643="","",[3]Entry!$D$1643)</f>
        <v/>
      </c>
      <c r="AG1640">
        <f>IF([3]Entry!$E$1643="","",[3]Entry!$E$1643)</f>
        <v/>
      </c>
      <c r="AH1640">
        <f>IF([3]Entry!$G$1643="","",[3]Entry!$G$1643)</f>
        <v/>
      </c>
      <c r="AI1640">
        <f>IF([3]Entry!$K$1643="","",[3]Entry!$K$1643)</f>
        <v/>
      </c>
      <c r="AJ1640">
        <f>IF([3]Entry!$L$1643="","",[3]Entry!$L$1643)</f>
        <v/>
      </c>
      <c r="AK1640">
        <f>IF([3]Entry!$M$1643="","",[3]Entry!$M$1643)</f>
        <v/>
      </c>
      <c r="AL1640">
        <f>IF([3]Entry!$N$1643="","",[3]Entry!$N$1643)</f>
        <v/>
      </c>
      <c r="AM1640">
        <f>IF([3]Entry!$R$1643="","",[3]Entry!$R$1643)</f>
        <v/>
      </c>
    </row>
    <row r="1641">
      <c r="T1641">
        <f>IF([2]Baskol!$B$1644="","",[2]Baskol!$B$1644)</f>
        <v/>
      </c>
      <c r="U1641">
        <f>IF([2]Baskol!$C$1644="","",[2]Baskol!$C$1644)</f>
        <v/>
      </c>
      <c r="V1641">
        <f>IF([2]Baskol!$D$1644="","",[2]Baskol!$D$1644)</f>
        <v/>
      </c>
      <c r="W1641">
        <f>IF([2]Baskol!$E$1644="","",[2]Baskol!$E$1644)</f>
        <v/>
      </c>
      <c r="X1641">
        <f>IF([2]Baskol!$G$1644="","",[2]Baskol!$G$1644)</f>
        <v/>
      </c>
      <c r="Y1641">
        <f>IF([2]Baskol!$I$1644="","",[2]Baskol!$I$1644)</f>
        <v/>
      </c>
      <c r="Z1641">
        <f>IF([2]Baskol!$J$1644="","",[2]Baskol!$J$1644)</f>
        <v/>
      </c>
      <c r="AA1641">
        <f>IF([2]Baskol!$K$1644="","",[2]Baskol!$K$1644)</f>
        <v/>
      </c>
      <c r="AB1641">
        <f>IF([2]Baskol!$L$1644="","",[2]Baskol!$L$1644)</f>
        <v/>
      </c>
      <c r="AC1641">
        <f>IF([2]Baskol!$N$1644="","",[2]Baskol!$N$1644)</f>
        <v/>
      </c>
      <c r="AD1641">
        <f>IF([2]Baskol!$O$1644="","",[2]Baskol!$O$1644)</f>
        <v/>
      </c>
      <c r="AE1641">
        <f>IF([3]Entry!$C$1644="","",[3]Entry!$C$1644)</f>
        <v/>
      </c>
      <c r="AF1641">
        <f>IF([3]Entry!$D$1644="","",[3]Entry!$D$1644)</f>
        <v/>
      </c>
      <c r="AG1641">
        <f>IF([3]Entry!$E$1644="","",[3]Entry!$E$1644)</f>
        <v/>
      </c>
      <c r="AH1641">
        <f>IF([3]Entry!$G$1644="","",[3]Entry!$G$1644)</f>
        <v/>
      </c>
      <c r="AI1641">
        <f>IF([3]Entry!$K$1644="","",[3]Entry!$K$1644)</f>
        <v/>
      </c>
      <c r="AJ1641">
        <f>IF([3]Entry!$L$1644="","",[3]Entry!$L$1644)</f>
        <v/>
      </c>
      <c r="AK1641">
        <f>IF([3]Entry!$M$1644="","",[3]Entry!$M$1644)</f>
        <v/>
      </c>
      <c r="AL1641">
        <f>IF([3]Entry!$N$1644="","",[3]Entry!$N$1644)</f>
        <v/>
      </c>
      <c r="AM1641">
        <f>IF([3]Entry!$R$1644="","",[3]Entry!$R$1644)</f>
        <v/>
      </c>
    </row>
    <row r="1642">
      <c r="T1642">
        <f>IF([2]Baskol!$B$1645="","",[2]Baskol!$B$1645)</f>
        <v/>
      </c>
      <c r="U1642">
        <f>IF([2]Baskol!$C$1645="","",[2]Baskol!$C$1645)</f>
        <v/>
      </c>
      <c r="V1642">
        <f>IF([2]Baskol!$D$1645="","",[2]Baskol!$D$1645)</f>
        <v/>
      </c>
      <c r="W1642">
        <f>IF([2]Baskol!$E$1645="","",[2]Baskol!$E$1645)</f>
        <v/>
      </c>
      <c r="X1642">
        <f>IF([2]Baskol!$G$1645="","",[2]Baskol!$G$1645)</f>
        <v/>
      </c>
      <c r="Y1642">
        <f>IF([2]Baskol!$I$1645="","",[2]Baskol!$I$1645)</f>
        <v/>
      </c>
      <c r="Z1642">
        <f>IF([2]Baskol!$J$1645="","",[2]Baskol!$J$1645)</f>
        <v/>
      </c>
      <c r="AA1642">
        <f>IF([2]Baskol!$K$1645="","",[2]Baskol!$K$1645)</f>
        <v/>
      </c>
      <c r="AB1642">
        <f>IF([2]Baskol!$L$1645="","",[2]Baskol!$L$1645)</f>
        <v/>
      </c>
      <c r="AC1642">
        <f>IF([2]Baskol!$N$1645="","",[2]Baskol!$N$1645)</f>
        <v/>
      </c>
      <c r="AD1642">
        <f>IF([2]Baskol!$O$1645="","",[2]Baskol!$O$1645)</f>
        <v/>
      </c>
      <c r="AE1642">
        <f>IF([3]Entry!$C$1645="","",[3]Entry!$C$1645)</f>
        <v/>
      </c>
      <c r="AF1642">
        <f>IF([3]Entry!$D$1645="","",[3]Entry!$D$1645)</f>
        <v/>
      </c>
      <c r="AG1642">
        <f>IF([3]Entry!$E$1645="","",[3]Entry!$E$1645)</f>
        <v/>
      </c>
      <c r="AH1642">
        <f>IF([3]Entry!$G$1645="","",[3]Entry!$G$1645)</f>
        <v/>
      </c>
      <c r="AI1642">
        <f>IF([3]Entry!$K$1645="","",[3]Entry!$K$1645)</f>
        <v/>
      </c>
      <c r="AJ1642">
        <f>IF([3]Entry!$L$1645="","",[3]Entry!$L$1645)</f>
        <v/>
      </c>
      <c r="AK1642">
        <f>IF([3]Entry!$M$1645="","",[3]Entry!$M$1645)</f>
        <v/>
      </c>
      <c r="AL1642">
        <f>IF([3]Entry!$N$1645="","",[3]Entry!$N$1645)</f>
        <v/>
      </c>
      <c r="AM1642">
        <f>IF([3]Entry!$R$1645="","",[3]Entry!$R$1645)</f>
        <v/>
      </c>
    </row>
    <row r="1643">
      <c r="T1643">
        <f>IF([2]Baskol!$B$1646="","",[2]Baskol!$B$1646)</f>
        <v/>
      </c>
      <c r="U1643">
        <f>IF([2]Baskol!$C$1646="","",[2]Baskol!$C$1646)</f>
        <v/>
      </c>
      <c r="V1643">
        <f>IF([2]Baskol!$D$1646="","",[2]Baskol!$D$1646)</f>
        <v/>
      </c>
      <c r="W1643">
        <f>IF([2]Baskol!$E$1646="","",[2]Baskol!$E$1646)</f>
        <v/>
      </c>
      <c r="X1643">
        <f>IF([2]Baskol!$G$1646="","",[2]Baskol!$G$1646)</f>
        <v/>
      </c>
      <c r="Y1643">
        <f>IF([2]Baskol!$I$1646="","",[2]Baskol!$I$1646)</f>
        <v/>
      </c>
      <c r="Z1643">
        <f>IF([2]Baskol!$J$1646="","",[2]Baskol!$J$1646)</f>
        <v/>
      </c>
      <c r="AA1643">
        <f>IF([2]Baskol!$K$1646="","",[2]Baskol!$K$1646)</f>
        <v/>
      </c>
      <c r="AB1643">
        <f>IF([2]Baskol!$L$1646="","",[2]Baskol!$L$1646)</f>
        <v/>
      </c>
      <c r="AC1643">
        <f>IF([2]Baskol!$N$1646="","",[2]Baskol!$N$1646)</f>
        <v/>
      </c>
      <c r="AD1643">
        <f>IF([2]Baskol!$O$1646="","",[2]Baskol!$O$1646)</f>
        <v/>
      </c>
      <c r="AE1643">
        <f>IF([3]Entry!$C$1646="","",[3]Entry!$C$1646)</f>
        <v/>
      </c>
      <c r="AF1643">
        <f>IF([3]Entry!$D$1646="","",[3]Entry!$D$1646)</f>
        <v/>
      </c>
      <c r="AG1643">
        <f>IF([3]Entry!$E$1646="","",[3]Entry!$E$1646)</f>
        <v/>
      </c>
      <c r="AH1643">
        <f>IF([3]Entry!$G$1646="","",[3]Entry!$G$1646)</f>
        <v/>
      </c>
      <c r="AI1643">
        <f>IF([3]Entry!$K$1646="","",[3]Entry!$K$1646)</f>
        <v/>
      </c>
      <c r="AJ1643">
        <f>IF([3]Entry!$L$1646="","",[3]Entry!$L$1646)</f>
        <v/>
      </c>
      <c r="AK1643">
        <f>IF([3]Entry!$M$1646="","",[3]Entry!$M$1646)</f>
        <v/>
      </c>
      <c r="AL1643">
        <f>IF([3]Entry!$N$1646="","",[3]Entry!$N$1646)</f>
        <v/>
      </c>
      <c r="AM1643">
        <f>IF([3]Entry!$R$1646="","",[3]Entry!$R$1646)</f>
        <v/>
      </c>
    </row>
    <row r="1644">
      <c r="T1644">
        <f>IF([2]Baskol!$B$1647="","",[2]Baskol!$B$1647)</f>
        <v/>
      </c>
      <c r="U1644">
        <f>IF([2]Baskol!$C$1647="","",[2]Baskol!$C$1647)</f>
        <v/>
      </c>
      <c r="V1644">
        <f>IF([2]Baskol!$D$1647="","",[2]Baskol!$D$1647)</f>
        <v/>
      </c>
      <c r="W1644">
        <f>IF([2]Baskol!$E$1647="","",[2]Baskol!$E$1647)</f>
        <v/>
      </c>
      <c r="X1644">
        <f>IF([2]Baskol!$G$1647="","",[2]Baskol!$G$1647)</f>
        <v/>
      </c>
      <c r="Y1644">
        <f>IF([2]Baskol!$I$1647="","",[2]Baskol!$I$1647)</f>
        <v/>
      </c>
      <c r="Z1644">
        <f>IF([2]Baskol!$J$1647="","",[2]Baskol!$J$1647)</f>
        <v/>
      </c>
      <c r="AA1644">
        <f>IF([2]Baskol!$K$1647="","",[2]Baskol!$K$1647)</f>
        <v/>
      </c>
      <c r="AB1644">
        <f>IF([2]Baskol!$L$1647="","",[2]Baskol!$L$1647)</f>
        <v/>
      </c>
      <c r="AC1644">
        <f>IF([2]Baskol!$N$1647="","",[2]Baskol!$N$1647)</f>
        <v/>
      </c>
      <c r="AD1644">
        <f>IF([2]Baskol!$O$1647="","",[2]Baskol!$O$1647)</f>
        <v/>
      </c>
      <c r="AE1644">
        <f>IF([3]Entry!$C$1647="","",[3]Entry!$C$1647)</f>
        <v/>
      </c>
      <c r="AF1644">
        <f>IF([3]Entry!$D$1647="","",[3]Entry!$D$1647)</f>
        <v/>
      </c>
      <c r="AG1644">
        <f>IF([3]Entry!$E$1647="","",[3]Entry!$E$1647)</f>
        <v/>
      </c>
      <c r="AH1644">
        <f>IF([3]Entry!$G$1647="","",[3]Entry!$G$1647)</f>
        <v/>
      </c>
      <c r="AI1644">
        <f>IF([3]Entry!$K$1647="","",[3]Entry!$K$1647)</f>
        <v/>
      </c>
      <c r="AJ1644">
        <f>IF([3]Entry!$L$1647="","",[3]Entry!$L$1647)</f>
        <v/>
      </c>
      <c r="AK1644">
        <f>IF([3]Entry!$M$1647="","",[3]Entry!$M$1647)</f>
        <v/>
      </c>
      <c r="AL1644">
        <f>IF([3]Entry!$N$1647="","",[3]Entry!$N$1647)</f>
        <v/>
      </c>
      <c r="AM1644">
        <f>IF([3]Entry!$R$1647="","",[3]Entry!$R$1647)</f>
        <v/>
      </c>
    </row>
    <row r="1645">
      <c r="T1645">
        <f>IF([2]Baskol!$B$1648="","",[2]Baskol!$B$1648)</f>
        <v/>
      </c>
      <c r="U1645">
        <f>IF([2]Baskol!$C$1648="","",[2]Baskol!$C$1648)</f>
        <v/>
      </c>
      <c r="V1645">
        <f>IF([2]Baskol!$D$1648="","",[2]Baskol!$D$1648)</f>
        <v/>
      </c>
      <c r="W1645">
        <f>IF([2]Baskol!$E$1648="","",[2]Baskol!$E$1648)</f>
        <v/>
      </c>
      <c r="X1645">
        <f>IF([2]Baskol!$G$1648="","",[2]Baskol!$G$1648)</f>
        <v/>
      </c>
      <c r="Y1645">
        <f>IF([2]Baskol!$I$1648="","",[2]Baskol!$I$1648)</f>
        <v/>
      </c>
      <c r="Z1645">
        <f>IF([2]Baskol!$J$1648="","",[2]Baskol!$J$1648)</f>
        <v/>
      </c>
      <c r="AA1645">
        <f>IF([2]Baskol!$K$1648="","",[2]Baskol!$K$1648)</f>
        <v/>
      </c>
      <c r="AB1645">
        <f>IF([2]Baskol!$L$1648="","",[2]Baskol!$L$1648)</f>
        <v/>
      </c>
      <c r="AC1645">
        <f>IF([2]Baskol!$N$1648="","",[2]Baskol!$N$1648)</f>
        <v/>
      </c>
      <c r="AD1645">
        <f>IF([2]Baskol!$O$1648="","",[2]Baskol!$O$1648)</f>
        <v/>
      </c>
      <c r="AE1645">
        <f>IF([3]Entry!$C$1648="","",[3]Entry!$C$1648)</f>
        <v/>
      </c>
      <c r="AF1645">
        <f>IF([3]Entry!$D$1648="","",[3]Entry!$D$1648)</f>
        <v/>
      </c>
      <c r="AG1645">
        <f>IF([3]Entry!$E$1648="","",[3]Entry!$E$1648)</f>
        <v/>
      </c>
      <c r="AH1645">
        <f>IF([3]Entry!$G$1648="","",[3]Entry!$G$1648)</f>
        <v/>
      </c>
      <c r="AI1645">
        <f>IF([3]Entry!$K$1648="","",[3]Entry!$K$1648)</f>
        <v/>
      </c>
      <c r="AJ1645">
        <f>IF([3]Entry!$L$1648="","",[3]Entry!$L$1648)</f>
        <v/>
      </c>
      <c r="AK1645">
        <f>IF([3]Entry!$M$1648="","",[3]Entry!$M$1648)</f>
        <v/>
      </c>
      <c r="AL1645">
        <f>IF([3]Entry!$N$1648="","",[3]Entry!$N$1648)</f>
        <v/>
      </c>
      <c r="AM1645">
        <f>IF([3]Entry!$R$1648="","",[3]Entry!$R$1648)</f>
        <v/>
      </c>
    </row>
    <row r="1646">
      <c r="T1646">
        <f>IF([2]Baskol!$B$1649="","",[2]Baskol!$B$1649)</f>
        <v/>
      </c>
      <c r="U1646">
        <f>IF([2]Baskol!$C$1649="","",[2]Baskol!$C$1649)</f>
        <v/>
      </c>
      <c r="V1646">
        <f>IF([2]Baskol!$D$1649="","",[2]Baskol!$D$1649)</f>
        <v/>
      </c>
      <c r="W1646">
        <f>IF([2]Baskol!$E$1649="","",[2]Baskol!$E$1649)</f>
        <v/>
      </c>
      <c r="X1646">
        <f>IF([2]Baskol!$G$1649="","",[2]Baskol!$G$1649)</f>
        <v/>
      </c>
      <c r="Y1646">
        <f>IF([2]Baskol!$I$1649="","",[2]Baskol!$I$1649)</f>
        <v/>
      </c>
      <c r="Z1646">
        <f>IF([2]Baskol!$J$1649="","",[2]Baskol!$J$1649)</f>
        <v/>
      </c>
      <c r="AA1646">
        <f>IF([2]Baskol!$K$1649="","",[2]Baskol!$K$1649)</f>
        <v/>
      </c>
      <c r="AB1646">
        <f>IF([2]Baskol!$L$1649="","",[2]Baskol!$L$1649)</f>
        <v/>
      </c>
      <c r="AC1646">
        <f>IF([2]Baskol!$N$1649="","",[2]Baskol!$N$1649)</f>
        <v/>
      </c>
      <c r="AD1646">
        <f>IF([2]Baskol!$O$1649="","",[2]Baskol!$O$1649)</f>
        <v/>
      </c>
      <c r="AE1646">
        <f>IF([3]Entry!$C$1649="","",[3]Entry!$C$1649)</f>
        <v/>
      </c>
      <c r="AF1646">
        <f>IF([3]Entry!$D$1649="","",[3]Entry!$D$1649)</f>
        <v/>
      </c>
      <c r="AG1646">
        <f>IF([3]Entry!$E$1649="","",[3]Entry!$E$1649)</f>
        <v/>
      </c>
      <c r="AH1646">
        <f>IF([3]Entry!$G$1649="","",[3]Entry!$G$1649)</f>
        <v/>
      </c>
      <c r="AI1646">
        <f>IF([3]Entry!$K$1649="","",[3]Entry!$K$1649)</f>
        <v/>
      </c>
      <c r="AJ1646">
        <f>IF([3]Entry!$L$1649="","",[3]Entry!$L$1649)</f>
        <v/>
      </c>
      <c r="AK1646">
        <f>IF([3]Entry!$M$1649="","",[3]Entry!$M$1649)</f>
        <v/>
      </c>
      <c r="AL1646">
        <f>IF([3]Entry!$N$1649="","",[3]Entry!$N$1649)</f>
        <v/>
      </c>
      <c r="AM1646">
        <f>IF([3]Entry!$R$1649="","",[3]Entry!$R$1649)</f>
        <v/>
      </c>
    </row>
    <row r="1647">
      <c r="T1647">
        <f>IF([2]Baskol!$B$1650="","",[2]Baskol!$B$1650)</f>
        <v/>
      </c>
      <c r="U1647">
        <f>IF([2]Baskol!$C$1650="","",[2]Baskol!$C$1650)</f>
        <v/>
      </c>
      <c r="V1647">
        <f>IF([2]Baskol!$D$1650="","",[2]Baskol!$D$1650)</f>
        <v/>
      </c>
      <c r="W1647">
        <f>IF([2]Baskol!$E$1650="","",[2]Baskol!$E$1650)</f>
        <v/>
      </c>
      <c r="X1647">
        <f>IF([2]Baskol!$G$1650="","",[2]Baskol!$G$1650)</f>
        <v/>
      </c>
      <c r="Y1647">
        <f>IF([2]Baskol!$I$1650="","",[2]Baskol!$I$1650)</f>
        <v/>
      </c>
      <c r="Z1647">
        <f>IF([2]Baskol!$J$1650="","",[2]Baskol!$J$1650)</f>
        <v/>
      </c>
      <c r="AA1647">
        <f>IF([2]Baskol!$K$1650="","",[2]Baskol!$K$1650)</f>
        <v/>
      </c>
      <c r="AB1647">
        <f>IF([2]Baskol!$L$1650="","",[2]Baskol!$L$1650)</f>
        <v/>
      </c>
      <c r="AC1647">
        <f>IF([2]Baskol!$N$1650="","",[2]Baskol!$N$1650)</f>
        <v/>
      </c>
      <c r="AD1647">
        <f>IF([2]Baskol!$O$1650="","",[2]Baskol!$O$1650)</f>
        <v/>
      </c>
      <c r="AE1647">
        <f>IF([3]Entry!$C$1650="","",[3]Entry!$C$1650)</f>
        <v/>
      </c>
      <c r="AF1647">
        <f>IF([3]Entry!$D$1650="","",[3]Entry!$D$1650)</f>
        <v/>
      </c>
      <c r="AG1647">
        <f>IF([3]Entry!$E$1650="","",[3]Entry!$E$1650)</f>
        <v/>
      </c>
      <c r="AH1647">
        <f>IF([3]Entry!$G$1650="","",[3]Entry!$G$1650)</f>
        <v/>
      </c>
      <c r="AI1647">
        <f>IF([3]Entry!$K$1650="","",[3]Entry!$K$1650)</f>
        <v/>
      </c>
      <c r="AJ1647">
        <f>IF([3]Entry!$L$1650="","",[3]Entry!$L$1650)</f>
        <v/>
      </c>
      <c r="AK1647">
        <f>IF([3]Entry!$M$1650="","",[3]Entry!$M$1650)</f>
        <v/>
      </c>
      <c r="AL1647">
        <f>IF([3]Entry!$N$1650="","",[3]Entry!$N$1650)</f>
        <v/>
      </c>
      <c r="AM1647">
        <f>IF([3]Entry!$R$1650="","",[3]Entry!$R$1650)</f>
        <v/>
      </c>
    </row>
    <row r="1648">
      <c r="T1648">
        <f>IF([2]Baskol!$B$1651="","",[2]Baskol!$B$1651)</f>
        <v/>
      </c>
      <c r="U1648">
        <f>IF([2]Baskol!$C$1651="","",[2]Baskol!$C$1651)</f>
        <v/>
      </c>
      <c r="V1648">
        <f>IF([2]Baskol!$D$1651="","",[2]Baskol!$D$1651)</f>
        <v/>
      </c>
      <c r="W1648">
        <f>IF([2]Baskol!$E$1651="","",[2]Baskol!$E$1651)</f>
        <v/>
      </c>
      <c r="X1648">
        <f>IF([2]Baskol!$G$1651="","",[2]Baskol!$G$1651)</f>
        <v/>
      </c>
      <c r="Y1648">
        <f>IF([2]Baskol!$I$1651="","",[2]Baskol!$I$1651)</f>
        <v/>
      </c>
      <c r="Z1648">
        <f>IF([2]Baskol!$J$1651="","",[2]Baskol!$J$1651)</f>
        <v/>
      </c>
      <c r="AA1648">
        <f>IF([2]Baskol!$K$1651="","",[2]Baskol!$K$1651)</f>
        <v/>
      </c>
      <c r="AB1648">
        <f>IF([2]Baskol!$L$1651="","",[2]Baskol!$L$1651)</f>
        <v/>
      </c>
      <c r="AC1648">
        <f>IF([2]Baskol!$N$1651="","",[2]Baskol!$N$1651)</f>
        <v/>
      </c>
      <c r="AD1648">
        <f>IF([2]Baskol!$O$1651="","",[2]Baskol!$O$1651)</f>
        <v/>
      </c>
      <c r="AE1648">
        <f>IF([3]Entry!$C$1651="","",[3]Entry!$C$1651)</f>
        <v/>
      </c>
      <c r="AF1648">
        <f>IF([3]Entry!$D$1651="","",[3]Entry!$D$1651)</f>
        <v/>
      </c>
      <c r="AG1648">
        <f>IF([3]Entry!$E$1651="","",[3]Entry!$E$1651)</f>
        <v/>
      </c>
      <c r="AH1648">
        <f>IF([3]Entry!$G$1651="","",[3]Entry!$G$1651)</f>
        <v/>
      </c>
      <c r="AI1648">
        <f>IF([3]Entry!$K$1651="","",[3]Entry!$K$1651)</f>
        <v/>
      </c>
      <c r="AJ1648">
        <f>IF([3]Entry!$L$1651="","",[3]Entry!$L$1651)</f>
        <v/>
      </c>
      <c r="AK1648">
        <f>IF([3]Entry!$M$1651="","",[3]Entry!$M$1651)</f>
        <v/>
      </c>
      <c r="AL1648">
        <f>IF([3]Entry!$N$1651="","",[3]Entry!$N$1651)</f>
        <v/>
      </c>
      <c r="AM1648">
        <f>IF([3]Entry!$R$1651="","",[3]Entry!$R$1651)</f>
        <v/>
      </c>
    </row>
    <row r="1649">
      <c r="T1649">
        <f>IF([2]Baskol!$B$1652="","",[2]Baskol!$B$1652)</f>
        <v/>
      </c>
      <c r="U1649">
        <f>IF([2]Baskol!$C$1652="","",[2]Baskol!$C$1652)</f>
        <v/>
      </c>
      <c r="V1649">
        <f>IF([2]Baskol!$D$1652="","",[2]Baskol!$D$1652)</f>
        <v/>
      </c>
      <c r="W1649">
        <f>IF([2]Baskol!$E$1652="","",[2]Baskol!$E$1652)</f>
        <v/>
      </c>
      <c r="X1649">
        <f>IF([2]Baskol!$G$1652="","",[2]Baskol!$G$1652)</f>
        <v/>
      </c>
      <c r="Y1649">
        <f>IF([2]Baskol!$I$1652="","",[2]Baskol!$I$1652)</f>
        <v/>
      </c>
      <c r="Z1649">
        <f>IF([2]Baskol!$J$1652="","",[2]Baskol!$J$1652)</f>
        <v/>
      </c>
      <c r="AA1649">
        <f>IF([2]Baskol!$K$1652="","",[2]Baskol!$K$1652)</f>
        <v/>
      </c>
      <c r="AB1649">
        <f>IF([2]Baskol!$L$1652="","",[2]Baskol!$L$1652)</f>
        <v/>
      </c>
      <c r="AC1649">
        <f>IF([2]Baskol!$N$1652="","",[2]Baskol!$N$1652)</f>
        <v/>
      </c>
      <c r="AD1649">
        <f>IF([2]Baskol!$O$1652="","",[2]Baskol!$O$1652)</f>
        <v/>
      </c>
      <c r="AE1649">
        <f>IF([3]Entry!$C$1652="","",[3]Entry!$C$1652)</f>
        <v/>
      </c>
      <c r="AF1649">
        <f>IF([3]Entry!$D$1652="","",[3]Entry!$D$1652)</f>
        <v/>
      </c>
      <c r="AG1649">
        <f>IF([3]Entry!$E$1652="","",[3]Entry!$E$1652)</f>
        <v/>
      </c>
      <c r="AH1649">
        <f>IF([3]Entry!$G$1652="","",[3]Entry!$G$1652)</f>
        <v/>
      </c>
      <c r="AI1649">
        <f>IF([3]Entry!$K$1652="","",[3]Entry!$K$1652)</f>
        <v/>
      </c>
      <c r="AJ1649">
        <f>IF([3]Entry!$L$1652="","",[3]Entry!$L$1652)</f>
        <v/>
      </c>
      <c r="AK1649">
        <f>IF([3]Entry!$M$1652="","",[3]Entry!$M$1652)</f>
        <v/>
      </c>
      <c r="AL1649">
        <f>IF([3]Entry!$N$1652="","",[3]Entry!$N$1652)</f>
        <v/>
      </c>
      <c r="AM1649">
        <f>IF([3]Entry!$R$1652="","",[3]Entry!$R$1652)</f>
        <v/>
      </c>
    </row>
    <row r="1650">
      <c r="T1650">
        <f>IF([2]Baskol!$B$1653="","",[2]Baskol!$B$1653)</f>
        <v/>
      </c>
      <c r="U1650">
        <f>IF([2]Baskol!$C$1653="","",[2]Baskol!$C$1653)</f>
        <v/>
      </c>
      <c r="V1650">
        <f>IF([2]Baskol!$D$1653="","",[2]Baskol!$D$1653)</f>
        <v/>
      </c>
      <c r="W1650">
        <f>IF([2]Baskol!$E$1653="","",[2]Baskol!$E$1653)</f>
        <v/>
      </c>
      <c r="X1650">
        <f>IF([2]Baskol!$G$1653="","",[2]Baskol!$G$1653)</f>
        <v/>
      </c>
      <c r="Y1650">
        <f>IF([2]Baskol!$I$1653="","",[2]Baskol!$I$1653)</f>
        <v/>
      </c>
      <c r="Z1650">
        <f>IF([2]Baskol!$J$1653="","",[2]Baskol!$J$1653)</f>
        <v/>
      </c>
      <c r="AA1650">
        <f>IF([2]Baskol!$K$1653="","",[2]Baskol!$K$1653)</f>
        <v/>
      </c>
      <c r="AB1650">
        <f>IF([2]Baskol!$L$1653="","",[2]Baskol!$L$1653)</f>
        <v/>
      </c>
      <c r="AC1650">
        <f>IF([2]Baskol!$N$1653="","",[2]Baskol!$N$1653)</f>
        <v/>
      </c>
      <c r="AD1650">
        <f>IF([2]Baskol!$O$1653="","",[2]Baskol!$O$1653)</f>
        <v/>
      </c>
      <c r="AE1650">
        <f>IF([3]Entry!$C$1653="","",[3]Entry!$C$1653)</f>
        <v/>
      </c>
      <c r="AF1650">
        <f>IF([3]Entry!$D$1653="","",[3]Entry!$D$1653)</f>
        <v/>
      </c>
      <c r="AG1650">
        <f>IF([3]Entry!$E$1653="","",[3]Entry!$E$1653)</f>
        <v/>
      </c>
      <c r="AH1650">
        <f>IF([3]Entry!$G$1653="","",[3]Entry!$G$1653)</f>
        <v/>
      </c>
      <c r="AI1650">
        <f>IF([3]Entry!$K$1653="","",[3]Entry!$K$1653)</f>
        <v/>
      </c>
      <c r="AJ1650">
        <f>IF([3]Entry!$L$1653="","",[3]Entry!$L$1653)</f>
        <v/>
      </c>
      <c r="AK1650">
        <f>IF([3]Entry!$M$1653="","",[3]Entry!$M$1653)</f>
        <v/>
      </c>
      <c r="AL1650">
        <f>IF([3]Entry!$N$1653="","",[3]Entry!$N$1653)</f>
        <v/>
      </c>
      <c r="AM1650">
        <f>IF([3]Entry!$R$1653="","",[3]Entry!$R$1653)</f>
        <v/>
      </c>
    </row>
    <row r="1651">
      <c r="T1651">
        <f>IF([2]Baskol!$B$1654="","",[2]Baskol!$B$1654)</f>
        <v/>
      </c>
      <c r="U1651">
        <f>IF([2]Baskol!$C$1654="","",[2]Baskol!$C$1654)</f>
        <v/>
      </c>
      <c r="V1651">
        <f>IF([2]Baskol!$D$1654="","",[2]Baskol!$D$1654)</f>
        <v/>
      </c>
      <c r="W1651">
        <f>IF([2]Baskol!$E$1654="","",[2]Baskol!$E$1654)</f>
        <v/>
      </c>
      <c r="X1651">
        <f>IF([2]Baskol!$G$1654="","",[2]Baskol!$G$1654)</f>
        <v/>
      </c>
      <c r="Y1651">
        <f>IF([2]Baskol!$I$1654="","",[2]Baskol!$I$1654)</f>
        <v/>
      </c>
      <c r="Z1651">
        <f>IF([2]Baskol!$J$1654="","",[2]Baskol!$J$1654)</f>
        <v/>
      </c>
      <c r="AA1651">
        <f>IF([2]Baskol!$K$1654="","",[2]Baskol!$K$1654)</f>
        <v/>
      </c>
      <c r="AB1651">
        <f>IF([2]Baskol!$L$1654="","",[2]Baskol!$L$1654)</f>
        <v/>
      </c>
      <c r="AC1651">
        <f>IF([2]Baskol!$N$1654="","",[2]Baskol!$N$1654)</f>
        <v/>
      </c>
      <c r="AD1651">
        <f>IF([2]Baskol!$O$1654="","",[2]Baskol!$O$1654)</f>
        <v/>
      </c>
      <c r="AE1651">
        <f>IF([3]Entry!$C$1654="","",[3]Entry!$C$1654)</f>
        <v/>
      </c>
      <c r="AF1651">
        <f>IF([3]Entry!$D$1654="","",[3]Entry!$D$1654)</f>
        <v/>
      </c>
      <c r="AG1651">
        <f>IF([3]Entry!$E$1654="","",[3]Entry!$E$1654)</f>
        <v/>
      </c>
      <c r="AH1651">
        <f>IF([3]Entry!$G$1654="","",[3]Entry!$G$1654)</f>
        <v/>
      </c>
      <c r="AI1651">
        <f>IF([3]Entry!$K$1654="","",[3]Entry!$K$1654)</f>
        <v/>
      </c>
      <c r="AJ1651">
        <f>IF([3]Entry!$L$1654="","",[3]Entry!$L$1654)</f>
        <v/>
      </c>
      <c r="AK1651">
        <f>IF([3]Entry!$M$1654="","",[3]Entry!$M$1654)</f>
        <v/>
      </c>
      <c r="AL1651">
        <f>IF([3]Entry!$N$1654="","",[3]Entry!$N$1654)</f>
        <v/>
      </c>
      <c r="AM1651">
        <f>IF([3]Entry!$R$1654="","",[3]Entry!$R$1654)</f>
        <v/>
      </c>
    </row>
    <row r="1652">
      <c r="T1652">
        <f>IF([2]Baskol!$B$1655="","",[2]Baskol!$B$1655)</f>
        <v/>
      </c>
      <c r="U1652">
        <f>IF([2]Baskol!$C$1655="","",[2]Baskol!$C$1655)</f>
        <v/>
      </c>
      <c r="V1652">
        <f>IF([2]Baskol!$D$1655="","",[2]Baskol!$D$1655)</f>
        <v/>
      </c>
      <c r="W1652">
        <f>IF([2]Baskol!$E$1655="","",[2]Baskol!$E$1655)</f>
        <v/>
      </c>
      <c r="X1652">
        <f>IF([2]Baskol!$G$1655="","",[2]Baskol!$G$1655)</f>
        <v/>
      </c>
      <c r="Y1652">
        <f>IF([2]Baskol!$I$1655="","",[2]Baskol!$I$1655)</f>
        <v/>
      </c>
      <c r="Z1652">
        <f>IF([2]Baskol!$J$1655="","",[2]Baskol!$J$1655)</f>
        <v/>
      </c>
      <c r="AA1652">
        <f>IF([2]Baskol!$K$1655="","",[2]Baskol!$K$1655)</f>
        <v/>
      </c>
      <c r="AB1652">
        <f>IF([2]Baskol!$L$1655="","",[2]Baskol!$L$1655)</f>
        <v/>
      </c>
      <c r="AC1652">
        <f>IF([2]Baskol!$N$1655="","",[2]Baskol!$N$1655)</f>
        <v/>
      </c>
      <c r="AD1652">
        <f>IF([2]Baskol!$O$1655="","",[2]Baskol!$O$1655)</f>
        <v/>
      </c>
      <c r="AE1652">
        <f>IF([3]Entry!$C$1655="","",[3]Entry!$C$1655)</f>
        <v/>
      </c>
      <c r="AF1652">
        <f>IF([3]Entry!$D$1655="","",[3]Entry!$D$1655)</f>
        <v/>
      </c>
      <c r="AG1652">
        <f>IF([3]Entry!$E$1655="","",[3]Entry!$E$1655)</f>
        <v/>
      </c>
      <c r="AH1652">
        <f>IF([3]Entry!$G$1655="","",[3]Entry!$G$1655)</f>
        <v/>
      </c>
      <c r="AI1652">
        <f>IF([3]Entry!$K$1655="","",[3]Entry!$K$1655)</f>
        <v/>
      </c>
      <c r="AJ1652">
        <f>IF([3]Entry!$L$1655="","",[3]Entry!$L$1655)</f>
        <v/>
      </c>
      <c r="AK1652">
        <f>IF([3]Entry!$M$1655="","",[3]Entry!$M$1655)</f>
        <v/>
      </c>
      <c r="AL1652">
        <f>IF([3]Entry!$N$1655="","",[3]Entry!$N$1655)</f>
        <v/>
      </c>
      <c r="AM1652">
        <f>IF([3]Entry!$R$1655="","",[3]Entry!$R$1655)</f>
        <v/>
      </c>
    </row>
    <row r="1653">
      <c r="T1653">
        <f>IF([2]Baskol!$B$1656="","",[2]Baskol!$B$1656)</f>
        <v/>
      </c>
      <c r="U1653">
        <f>IF([2]Baskol!$C$1656="","",[2]Baskol!$C$1656)</f>
        <v/>
      </c>
      <c r="V1653">
        <f>IF([2]Baskol!$D$1656="","",[2]Baskol!$D$1656)</f>
        <v/>
      </c>
      <c r="W1653">
        <f>IF([2]Baskol!$E$1656="","",[2]Baskol!$E$1656)</f>
        <v/>
      </c>
      <c r="X1653">
        <f>IF([2]Baskol!$G$1656="","",[2]Baskol!$G$1656)</f>
        <v/>
      </c>
      <c r="Y1653">
        <f>IF([2]Baskol!$I$1656="","",[2]Baskol!$I$1656)</f>
        <v/>
      </c>
      <c r="Z1653">
        <f>IF([2]Baskol!$J$1656="","",[2]Baskol!$J$1656)</f>
        <v/>
      </c>
      <c r="AA1653">
        <f>IF([2]Baskol!$K$1656="","",[2]Baskol!$K$1656)</f>
        <v/>
      </c>
      <c r="AB1653">
        <f>IF([2]Baskol!$L$1656="","",[2]Baskol!$L$1656)</f>
        <v/>
      </c>
      <c r="AC1653">
        <f>IF([2]Baskol!$N$1656="","",[2]Baskol!$N$1656)</f>
        <v/>
      </c>
      <c r="AD1653">
        <f>IF([2]Baskol!$O$1656="","",[2]Baskol!$O$1656)</f>
        <v/>
      </c>
      <c r="AE1653">
        <f>IF([3]Entry!$C$1656="","",[3]Entry!$C$1656)</f>
        <v/>
      </c>
      <c r="AF1653">
        <f>IF([3]Entry!$D$1656="","",[3]Entry!$D$1656)</f>
        <v/>
      </c>
      <c r="AG1653">
        <f>IF([3]Entry!$E$1656="","",[3]Entry!$E$1656)</f>
        <v/>
      </c>
      <c r="AH1653">
        <f>IF([3]Entry!$G$1656="","",[3]Entry!$G$1656)</f>
        <v/>
      </c>
      <c r="AI1653">
        <f>IF([3]Entry!$K$1656="","",[3]Entry!$K$1656)</f>
        <v/>
      </c>
      <c r="AJ1653">
        <f>IF([3]Entry!$L$1656="","",[3]Entry!$L$1656)</f>
        <v/>
      </c>
      <c r="AK1653">
        <f>IF([3]Entry!$M$1656="","",[3]Entry!$M$1656)</f>
        <v/>
      </c>
      <c r="AL1653">
        <f>IF([3]Entry!$N$1656="","",[3]Entry!$N$1656)</f>
        <v/>
      </c>
      <c r="AM1653">
        <f>IF([3]Entry!$R$1656="","",[3]Entry!$R$1656)</f>
        <v/>
      </c>
    </row>
    <row r="1654">
      <c r="T1654">
        <f>IF([2]Baskol!$B$1657="","",[2]Baskol!$B$1657)</f>
        <v/>
      </c>
      <c r="U1654">
        <f>IF([2]Baskol!$C$1657="","",[2]Baskol!$C$1657)</f>
        <v/>
      </c>
      <c r="V1654">
        <f>IF([2]Baskol!$D$1657="","",[2]Baskol!$D$1657)</f>
        <v/>
      </c>
      <c r="W1654">
        <f>IF([2]Baskol!$E$1657="","",[2]Baskol!$E$1657)</f>
        <v/>
      </c>
      <c r="X1654">
        <f>IF([2]Baskol!$G$1657="","",[2]Baskol!$G$1657)</f>
        <v/>
      </c>
      <c r="Y1654">
        <f>IF([2]Baskol!$I$1657="","",[2]Baskol!$I$1657)</f>
        <v/>
      </c>
      <c r="Z1654">
        <f>IF([2]Baskol!$J$1657="","",[2]Baskol!$J$1657)</f>
        <v/>
      </c>
      <c r="AA1654">
        <f>IF([2]Baskol!$K$1657="","",[2]Baskol!$K$1657)</f>
        <v/>
      </c>
      <c r="AB1654">
        <f>IF([2]Baskol!$L$1657="","",[2]Baskol!$L$1657)</f>
        <v/>
      </c>
      <c r="AC1654">
        <f>IF([2]Baskol!$N$1657="","",[2]Baskol!$N$1657)</f>
        <v/>
      </c>
      <c r="AD1654">
        <f>IF([2]Baskol!$O$1657="","",[2]Baskol!$O$1657)</f>
        <v/>
      </c>
      <c r="AE1654">
        <f>IF([3]Entry!$C$1657="","",[3]Entry!$C$1657)</f>
        <v/>
      </c>
      <c r="AF1654">
        <f>IF([3]Entry!$D$1657="","",[3]Entry!$D$1657)</f>
        <v/>
      </c>
      <c r="AG1654">
        <f>IF([3]Entry!$E$1657="","",[3]Entry!$E$1657)</f>
        <v/>
      </c>
      <c r="AH1654">
        <f>IF([3]Entry!$G$1657="","",[3]Entry!$G$1657)</f>
        <v/>
      </c>
      <c r="AI1654">
        <f>IF([3]Entry!$K$1657="","",[3]Entry!$K$1657)</f>
        <v/>
      </c>
      <c r="AJ1654">
        <f>IF([3]Entry!$L$1657="","",[3]Entry!$L$1657)</f>
        <v/>
      </c>
      <c r="AK1654">
        <f>IF([3]Entry!$M$1657="","",[3]Entry!$M$1657)</f>
        <v/>
      </c>
      <c r="AL1654">
        <f>IF([3]Entry!$N$1657="","",[3]Entry!$N$1657)</f>
        <v/>
      </c>
      <c r="AM1654">
        <f>IF([3]Entry!$R$1657="","",[3]Entry!$R$1657)</f>
        <v/>
      </c>
    </row>
    <row r="1655">
      <c r="T1655">
        <f>IF([2]Baskol!$B$1658="","",[2]Baskol!$B$1658)</f>
        <v/>
      </c>
      <c r="U1655">
        <f>IF([2]Baskol!$C$1658="","",[2]Baskol!$C$1658)</f>
        <v/>
      </c>
      <c r="V1655">
        <f>IF([2]Baskol!$D$1658="","",[2]Baskol!$D$1658)</f>
        <v/>
      </c>
      <c r="W1655">
        <f>IF([2]Baskol!$E$1658="","",[2]Baskol!$E$1658)</f>
        <v/>
      </c>
      <c r="X1655">
        <f>IF([2]Baskol!$G$1658="","",[2]Baskol!$G$1658)</f>
        <v/>
      </c>
      <c r="Y1655">
        <f>IF([2]Baskol!$I$1658="","",[2]Baskol!$I$1658)</f>
        <v/>
      </c>
      <c r="Z1655">
        <f>IF([2]Baskol!$J$1658="","",[2]Baskol!$J$1658)</f>
        <v/>
      </c>
      <c r="AA1655">
        <f>IF([2]Baskol!$K$1658="","",[2]Baskol!$K$1658)</f>
        <v/>
      </c>
      <c r="AB1655">
        <f>IF([2]Baskol!$L$1658="","",[2]Baskol!$L$1658)</f>
        <v/>
      </c>
      <c r="AC1655">
        <f>IF([2]Baskol!$N$1658="","",[2]Baskol!$N$1658)</f>
        <v/>
      </c>
      <c r="AD1655">
        <f>IF([2]Baskol!$O$1658="","",[2]Baskol!$O$1658)</f>
        <v/>
      </c>
      <c r="AE1655">
        <f>IF([3]Entry!$C$1658="","",[3]Entry!$C$1658)</f>
        <v/>
      </c>
      <c r="AF1655">
        <f>IF([3]Entry!$D$1658="","",[3]Entry!$D$1658)</f>
        <v/>
      </c>
      <c r="AG1655">
        <f>IF([3]Entry!$E$1658="","",[3]Entry!$E$1658)</f>
        <v/>
      </c>
      <c r="AH1655">
        <f>IF([3]Entry!$G$1658="","",[3]Entry!$G$1658)</f>
        <v/>
      </c>
      <c r="AI1655">
        <f>IF([3]Entry!$K$1658="","",[3]Entry!$K$1658)</f>
        <v/>
      </c>
      <c r="AJ1655">
        <f>IF([3]Entry!$L$1658="","",[3]Entry!$L$1658)</f>
        <v/>
      </c>
      <c r="AK1655">
        <f>IF([3]Entry!$M$1658="","",[3]Entry!$M$1658)</f>
        <v/>
      </c>
      <c r="AL1655">
        <f>IF([3]Entry!$N$1658="","",[3]Entry!$N$1658)</f>
        <v/>
      </c>
      <c r="AM1655">
        <f>IF([3]Entry!$R$1658="","",[3]Entry!$R$1658)</f>
        <v/>
      </c>
    </row>
    <row r="1656">
      <c r="T1656">
        <f>IF([2]Baskol!$B$1659="","",[2]Baskol!$B$1659)</f>
        <v/>
      </c>
      <c r="U1656">
        <f>IF([2]Baskol!$C$1659="","",[2]Baskol!$C$1659)</f>
        <v/>
      </c>
      <c r="V1656">
        <f>IF([2]Baskol!$D$1659="","",[2]Baskol!$D$1659)</f>
        <v/>
      </c>
      <c r="W1656">
        <f>IF([2]Baskol!$E$1659="","",[2]Baskol!$E$1659)</f>
        <v/>
      </c>
      <c r="X1656">
        <f>IF([2]Baskol!$G$1659="","",[2]Baskol!$G$1659)</f>
        <v/>
      </c>
      <c r="Y1656">
        <f>IF([2]Baskol!$I$1659="","",[2]Baskol!$I$1659)</f>
        <v/>
      </c>
      <c r="Z1656">
        <f>IF([2]Baskol!$J$1659="","",[2]Baskol!$J$1659)</f>
        <v/>
      </c>
      <c r="AA1656">
        <f>IF([2]Baskol!$K$1659="","",[2]Baskol!$K$1659)</f>
        <v/>
      </c>
      <c r="AB1656">
        <f>IF([2]Baskol!$L$1659="","",[2]Baskol!$L$1659)</f>
        <v/>
      </c>
      <c r="AC1656">
        <f>IF([2]Baskol!$N$1659="","",[2]Baskol!$N$1659)</f>
        <v/>
      </c>
      <c r="AD1656">
        <f>IF([2]Baskol!$O$1659="","",[2]Baskol!$O$1659)</f>
        <v/>
      </c>
      <c r="AE1656">
        <f>IF([3]Entry!$C$1659="","",[3]Entry!$C$1659)</f>
        <v/>
      </c>
      <c r="AF1656">
        <f>IF([3]Entry!$D$1659="","",[3]Entry!$D$1659)</f>
        <v/>
      </c>
      <c r="AG1656">
        <f>IF([3]Entry!$E$1659="","",[3]Entry!$E$1659)</f>
        <v/>
      </c>
      <c r="AH1656">
        <f>IF([3]Entry!$G$1659="","",[3]Entry!$G$1659)</f>
        <v/>
      </c>
      <c r="AI1656">
        <f>IF([3]Entry!$K$1659="","",[3]Entry!$K$1659)</f>
        <v/>
      </c>
      <c r="AJ1656">
        <f>IF([3]Entry!$L$1659="","",[3]Entry!$L$1659)</f>
        <v/>
      </c>
      <c r="AK1656">
        <f>IF([3]Entry!$M$1659="","",[3]Entry!$M$1659)</f>
        <v/>
      </c>
      <c r="AL1656">
        <f>IF([3]Entry!$N$1659="","",[3]Entry!$N$1659)</f>
        <v/>
      </c>
      <c r="AM1656">
        <f>IF([3]Entry!$R$1659="","",[3]Entry!$R$1659)</f>
        <v/>
      </c>
    </row>
    <row r="1657">
      <c r="T1657">
        <f>IF([2]Baskol!$B$1660="","",[2]Baskol!$B$1660)</f>
        <v/>
      </c>
      <c r="U1657">
        <f>IF([2]Baskol!$C$1660="","",[2]Baskol!$C$1660)</f>
        <v/>
      </c>
      <c r="V1657">
        <f>IF([2]Baskol!$D$1660="","",[2]Baskol!$D$1660)</f>
        <v/>
      </c>
      <c r="W1657">
        <f>IF([2]Baskol!$E$1660="","",[2]Baskol!$E$1660)</f>
        <v/>
      </c>
      <c r="X1657">
        <f>IF([2]Baskol!$G$1660="","",[2]Baskol!$G$1660)</f>
        <v/>
      </c>
      <c r="Y1657">
        <f>IF([2]Baskol!$I$1660="","",[2]Baskol!$I$1660)</f>
        <v/>
      </c>
      <c r="Z1657">
        <f>IF([2]Baskol!$J$1660="","",[2]Baskol!$J$1660)</f>
        <v/>
      </c>
      <c r="AA1657">
        <f>IF([2]Baskol!$K$1660="","",[2]Baskol!$K$1660)</f>
        <v/>
      </c>
      <c r="AB1657">
        <f>IF([2]Baskol!$L$1660="","",[2]Baskol!$L$1660)</f>
        <v/>
      </c>
      <c r="AC1657">
        <f>IF([2]Baskol!$N$1660="","",[2]Baskol!$N$1660)</f>
        <v/>
      </c>
      <c r="AD1657">
        <f>IF([2]Baskol!$O$1660="","",[2]Baskol!$O$1660)</f>
        <v/>
      </c>
      <c r="AE1657">
        <f>IF([3]Entry!$C$1660="","",[3]Entry!$C$1660)</f>
        <v/>
      </c>
      <c r="AF1657">
        <f>IF([3]Entry!$D$1660="","",[3]Entry!$D$1660)</f>
        <v/>
      </c>
      <c r="AG1657">
        <f>IF([3]Entry!$E$1660="","",[3]Entry!$E$1660)</f>
        <v/>
      </c>
      <c r="AH1657">
        <f>IF([3]Entry!$G$1660="","",[3]Entry!$G$1660)</f>
        <v/>
      </c>
      <c r="AI1657">
        <f>IF([3]Entry!$K$1660="","",[3]Entry!$K$1660)</f>
        <v/>
      </c>
      <c r="AJ1657">
        <f>IF([3]Entry!$L$1660="","",[3]Entry!$L$1660)</f>
        <v/>
      </c>
      <c r="AK1657">
        <f>IF([3]Entry!$M$1660="","",[3]Entry!$M$1660)</f>
        <v/>
      </c>
      <c r="AL1657">
        <f>IF([3]Entry!$N$1660="","",[3]Entry!$N$1660)</f>
        <v/>
      </c>
      <c r="AM1657">
        <f>IF([3]Entry!$R$1660="","",[3]Entry!$R$1660)</f>
        <v/>
      </c>
    </row>
    <row r="1658">
      <c r="T1658">
        <f>IF([2]Baskol!$B$1661="","",[2]Baskol!$B$1661)</f>
        <v/>
      </c>
      <c r="U1658">
        <f>IF([2]Baskol!$C$1661="","",[2]Baskol!$C$1661)</f>
        <v/>
      </c>
      <c r="V1658">
        <f>IF([2]Baskol!$D$1661="","",[2]Baskol!$D$1661)</f>
        <v/>
      </c>
      <c r="W1658">
        <f>IF([2]Baskol!$E$1661="","",[2]Baskol!$E$1661)</f>
        <v/>
      </c>
      <c r="X1658">
        <f>IF([2]Baskol!$G$1661="","",[2]Baskol!$G$1661)</f>
        <v/>
      </c>
      <c r="Y1658">
        <f>IF([2]Baskol!$I$1661="","",[2]Baskol!$I$1661)</f>
        <v/>
      </c>
      <c r="Z1658">
        <f>IF([2]Baskol!$J$1661="","",[2]Baskol!$J$1661)</f>
        <v/>
      </c>
      <c r="AA1658">
        <f>IF([2]Baskol!$K$1661="","",[2]Baskol!$K$1661)</f>
        <v/>
      </c>
      <c r="AB1658">
        <f>IF([2]Baskol!$L$1661="","",[2]Baskol!$L$1661)</f>
        <v/>
      </c>
      <c r="AC1658">
        <f>IF([2]Baskol!$N$1661="","",[2]Baskol!$N$1661)</f>
        <v/>
      </c>
      <c r="AD1658">
        <f>IF([2]Baskol!$O$1661="","",[2]Baskol!$O$1661)</f>
        <v/>
      </c>
      <c r="AE1658">
        <f>IF([3]Entry!$C$1661="","",[3]Entry!$C$1661)</f>
        <v/>
      </c>
      <c r="AF1658">
        <f>IF([3]Entry!$D$1661="","",[3]Entry!$D$1661)</f>
        <v/>
      </c>
      <c r="AG1658">
        <f>IF([3]Entry!$E$1661="","",[3]Entry!$E$1661)</f>
        <v/>
      </c>
      <c r="AH1658">
        <f>IF([3]Entry!$G$1661="","",[3]Entry!$G$1661)</f>
        <v/>
      </c>
      <c r="AI1658">
        <f>IF([3]Entry!$K$1661="","",[3]Entry!$K$1661)</f>
        <v/>
      </c>
      <c r="AJ1658">
        <f>IF([3]Entry!$L$1661="","",[3]Entry!$L$1661)</f>
        <v/>
      </c>
      <c r="AK1658">
        <f>IF([3]Entry!$M$1661="","",[3]Entry!$M$1661)</f>
        <v/>
      </c>
      <c r="AL1658">
        <f>IF([3]Entry!$N$1661="","",[3]Entry!$N$1661)</f>
        <v/>
      </c>
      <c r="AM1658">
        <f>IF([3]Entry!$R$1661="","",[3]Entry!$R$1661)</f>
        <v/>
      </c>
    </row>
    <row r="1659">
      <c r="T1659">
        <f>IF([2]Baskol!$B$1662="","",[2]Baskol!$B$1662)</f>
        <v/>
      </c>
      <c r="U1659">
        <f>IF([2]Baskol!$C$1662="","",[2]Baskol!$C$1662)</f>
        <v/>
      </c>
      <c r="V1659">
        <f>IF([2]Baskol!$D$1662="","",[2]Baskol!$D$1662)</f>
        <v/>
      </c>
      <c r="W1659">
        <f>IF([2]Baskol!$E$1662="","",[2]Baskol!$E$1662)</f>
        <v/>
      </c>
      <c r="X1659">
        <f>IF([2]Baskol!$G$1662="","",[2]Baskol!$G$1662)</f>
        <v/>
      </c>
      <c r="Y1659">
        <f>IF([2]Baskol!$I$1662="","",[2]Baskol!$I$1662)</f>
        <v/>
      </c>
      <c r="Z1659">
        <f>IF([2]Baskol!$J$1662="","",[2]Baskol!$J$1662)</f>
        <v/>
      </c>
      <c r="AA1659">
        <f>IF([2]Baskol!$K$1662="","",[2]Baskol!$K$1662)</f>
        <v/>
      </c>
      <c r="AB1659">
        <f>IF([2]Baskol!$L$1662="","",[2]Baskol!$L$1662)</f>
        <v/>
      </c>
      <c r="AC1659">
        <f>IF([2]Baskol!$N$1662="","",[2]Baskol!$N$1662)</f>
        <v/>
      </c>
      <c r="AD1659">
        <f>IF([2]Baskol!$O$1662="","",[2]Baskol!$O$1662)</f>
        <v/>
      </c>
      <c r="AE1659">
        <f>IF([3]Entry!$C$1662="","",[3]Entry!$C$1662)</f>
        <v/>
      </c>
      <c r="AF1659">
        <f>IF([3]Entry!$D$1662="","",[3]Entry!$D$1662)</f>
        <v/>
      </c>
      <c r="AG1659">
        <f>IF([3]Entry!$E$1662="","",[3]Entry!$E$1662)</f>
        <v/>
      </c>
      <c r="AH1659">
        <f>IF([3]Entry!$G$1662="","",[3]Entry!$G$1662)</f>
        <v/>
      </c>
      <c r="AI1659">
        <f>IF([3]Entry!$K$1662="","",[3]Entry!$K$1662)</f>
        <v/>
      </c>
      <c r="AJ1659">
        <f>IF([3]Entry!$L$1662="","",[3]Entry!$L$1662)</f>
        <v/>
      </c>
      <c r="AK1659">
        <f>IF([3]Entry!$M$1662="","",[3]Entry!$M$1662)</f>
        <v/>
      </c>
      <c r="AL1659">
        <f>IF([3]Entry!$N$1662="","",[3]Entry!$N$1662)</f>
        <v/>
      </c>
      <c r="AM1659">
        <f>IF([3]Entry!$R$1662="","",[3]Entry!$R$1662)</f>
        <v/>
      </c>
    </row>
    <row r="1660">
      <c r="T1660">
        <f>IF([2]Baskol!$B$1663="","",[2]Baskol!$B$1663)</f>
        <v/>
      </c>
      <c r="U1660">
        <f>IF([2]Baskol!$C$1663="","",[2]Baskol!$C$1663)</f>
        <v/>
      </c>
      <c r="V1660">
        <f>IF([2]Baskol!$D$1663="","",[2]Baskol!$D$1663)</f>
        <v/>
      </c>
      <c r="W1660">
        <f>IF([2]Baskol!$E$1663="","",[2]Baskol!$E$1663)</f>
        <v/>
      </c>
      <c r="X1660">
        <f>IF([2]Baskol!$G$1663="","",[2]Baskol!$G$1663)</f>
        <v/>
      </c>
      <c r="Y1660">
        <f>IF([2]Baskol!$I$1663="","",[2]Baskol!$I$1663)</f>
        <v/>
      </c>
      <c r="Z1660">
        <f>IF([2]Baskol!$J$1663="","",[2]Baskol!$J$1663)</f>
        <v/>
      </c>
      <c r="AA1660">
        <f>IF([2]Baskol!$K$1663="","",[2]Baskol!$K$1663)</f>
        <v/>
      </c>
      <c r="AB1660">
        <f>IF([2]Baskol!$L$1663="","",[2]Baskol!$L$1663)</f>
        <v/>
      </c>
      <c r="AC1660">
        <f>IF([2]Baskol!$N$1663="","",[2]Baskol!$N$1663)</f>
        <v/>
      </c>
      <c r="AD1660">
        <f>IF([2]Baskol!$O$1663="","",[2]Baskol!$O$1663)</f>
        <v/>
      </c>
      <c r="AE1660">
        <f>IF([3]Entry!$C$1663="","",[3]Entry!$C$1663)</f>
        <v/>
      </c>
      <c r="AF1660">
        <f>IF([3]Entry!$D$1663="","",[3]Entry!$D$1663)</f>
        <v/>
      </c>
      <c r="AG1660">
        <f>IF([3]Entry!$E$1663="","",[3]Entry!$E$1663)</f>
        <v/>
      </c>
      <c r="AH1660">
        <f>IF([3]Entry!$G$1663="","",[3]Entry!$G$1663)</f>
        <v/>
      </c>
      <c r="AI1660">
        <f>IF([3]Entry!$K$1663="","",[3]Entry!$K$1663)</f>
        <v/>
      </c>
      <c r="AJ1660">
        <f>IF([3]Entry!$L$1663="","",[3]Entry!$L$1663)</f>
        <v/>
      </c>
      <c r="AK1660">
        <f>IF([3]Entry!$M$1663="","",[3]Entry!$M$1663)</f>
        <v/>
      </c>
      <c r="AL1660">
        <f>IF([3]Entry!$N$1663="","",[3]Entry!$N$1663)</f>
        <v/>
      </c>
      <c r="AM1660">
        <f>IF([3]Entry!$R$1663="","",[3]Entry!$R$1663)</f>
        <v/>
      </c>
    </row>
    <row r="1661">
      <c r="T1661">
        <f>IF([2]Baskol!$B$1664="","",[2]Baskol!$B$1664)</f>
        <v/>
      </c>
      <c r="U1661">
        <f>IF([2]Baskol!$C$1664="","",[2]Baskol!$C$1664)</f>
        <v/>
      </c>
      <c r="V1661">
        <f>IF([2]Baskol!$D$1664="","",[2]Baskol!$D$1664)</f>
        <v/>
      </c>
      <c r="W1661">
        <f>IF([2]Baskol!$E$1664="","",[2]Baskol!$E$1664)</f>
        <v/>
      </c>
      <c r="X1661">
        <f>IF([2]Baskol!$G$1664="","",[2]Baskol!$G$1664)</f>
        <v/>
      </c>
      <c r="Y1661">
        <f>IF([2]Baskol!$I$1664="","",[2]Baskol!$I$1664)</f>
        <v/>
      </c>
      <c r="Z1661">
        <f>IF([2]Baskol!$J$1664="","",[2]Baskol!$J$1664)</f>
        <v/>
      </c>
      <c r="AA1661">
        <f>IF([2]Baskol!$K$1664="","",[2]Baskol!$K$1664)</f>
        <v/>
      </c>
      <c r="AB1661">
        <f>IF([2]Baskol!$L$1664="","",[2]Baskol!$L$1664)</f>
        <v/>
      </c>
      <c r="AC1661">
        <f>IF([2]Baskol!$N$1664="","",[2]Baskol!$N$1664)</f>
        <v/>
      </c>
      <c r="AD1661">
        <f>IF([2]Baskol!$O$1664="","",[2]Baskol!$O$1664)</f>
        <v/>
      </c>
      <c r="AE1661">
        <f>IF([3]Entry!$C$1664="","",[3]Entry!$C$1664)</f>
        <v/>
      </c>
      <c r="AF1661">
        <f>IF([3]Entry!$D$1664="","",[3]Entry!$D$1664)</f>
        <v/>
      </c>
      <c r="AG1661">
        <f>IF([3]Entry!$E$1664="","",[3]Entry!$E$1664)</f>
        <v/>
      </c>
      <c r="AH1661">
        <f>IF([3]Entry!$G$1664="","",[3]Entry!$G$1664)</f>
        <v/>
      </c>
      <c r="AI1661">
        <f>IF([3]Entry!$K$1664="","",[3]Entry!$K$1664)</f>
        <v/>
      </c>
      <c r="AJ1661">
        <f>IF([3]Entry!$L$1664="","",[3]Entry!$L$1664)</f>
        <v/>
      </c>
      <c r="AK1661">
        <f>IF([3]Entry!$M$1664="","",[3]Entry!$M$1664)</f>
        <v/>
      </c>
      <c r="AL1661">
        <f>IF([3]Entry!$N$1664="","",[3]Entry!$N$1664)</f>
        <v/>
      </c>
      <c r="AM1661">
        <f>IF([3]Entry!$R$1664="","",[3]Entry!$R$1664)</f>
        <v/>
      </c>
    </row>
    <row r="1662">
      <c r="T1662">
        <f>IF([2]Baskol!$B$1665="","",[2]Baskol!$B$1665)</f>
        <v/>
      </c>
      <c r="U1662">
        <f>IF([2]Baskol!$C$1665="","",[2]Baskol!$C$1665)</f>
        <v/>
      </c>
      <c r="V1662">
        <f>IF([2]Baskol!$D$1665="","",[2]Baskol!$D$1665)</f>
        <v/>
      </c>
      <c r="W1662">
        <f>IF([2]Baskol!$E$1665="","",[2]Baskol!$E$1665)</f>
        <v/>
      </c>
      <c r="X1662">
        <f>IF([2]Baskol!$G$1665="","",[2]Baskol!$G$1665)</f>
        <v/>
      </c>
      <c r="Y1662">
        <f>IF([2]Baskol!$I$1665="","",[2]Baskol!$I$1665)</f>
        <v/>
      </c>
      <c r="Z1662">
        <f>IF([2]Baskol!$J$1665="","",[2]Baskol!$J$1665)</f>
        <v/>
      </c>
      <c r="AA1662">
        <f>IF([2]Baskol!$K$1665="","",[2]Baskol!$K$1665)</f>
        <v/>
      </c>
      <c r="AB1662">
        <f>IF([2]Baskol!$L$1665="","",[2]Baskol!$L$1665)</f>
        <v/>
      </c>
      <c r="AC1662">
        <f>IF([2]Baskol!$N$1665="","",[2]Baskol!$N$1665)</f>
        <v/>
      </c>
      <c r="AD1662">
        <f>IF([2]Baskol!$O$1665="","",[2]Baskol!$O$1665)</f>
        <v/>
      </c>
      <c r="AE1662">
        <f>IF([3]Entry!$C$1665="","",[3]Entry!$C$1665)</f>
        <v/>
      </c>
      <c r="AF1662">
        <f>IF([3]Entry!$D$1665="","",[3]Entry!$D$1665)</f>
        <v/>
      </c>
      <c r="AG1662">
        <f>IF([3]Entry!$E$1665="","",[3]Entry!$E$1665)</f>
        <v/>
      </c>
      <c r="AH1662">
        <f>IF([3]Entry!$G$1665="","",[3]Entry!$G$1665)</f>
        <v/>
      </c>
      <c r="AI1662">
        <f>IF([3]Entry!$K$1665="","",[3]Entry!$K$1665)</f>
        <v/>
      </c>
      <c r="AJ1662">
        <f>IF([3]Entry!$L$1665="","",[3]Entry!$L$1665)</f>
        <v/>
      </c>
      <c r="AK1662">
        <f>IF([3]Entry!$M$1665="","",[3]Entry!$M$1665)</f>
        <v/>
      </c>
      <c r="AL1662">
        <f>IF([3]Entry!$N$1665="","",[3]Entry!$N$1665)</f>
        <v/>
      </c>
      <c r="AM1662">
        <f>IF([3]Entry!$R$1665="","",[3]Entry!$R$1665)</f>
        <v/>
      </c>
    </row>
    <row r="1663">
      <c r="T1663">
        <f>IF([2]Baskol!$B$1666="","",[2]Baskol!$B$1666)</f>
        <v/>
      </c>
      <c r="U1663">
        <f>IF([2]Baskol!$C$1666="","",[2]Baskol!$C$1666)</f>
        <v/>
      </c>
      <c r="V1663">
        <f>IF([2]Baskol!$D$1666="","",[2]Baskol!$D$1666)</f>
        <v/>
      </c>
      <c r="W1663">
        <f>IF([2]Baskol!$E$1666="","",[2]Baskol!$E$1666)</f>
        <v/>
      </c>
      <c r="X1663">
        <f>IF([2]Baskol!$G$1666="","",[2]Baskol!$G$1666)</f>
        <v/>
      </c>
      <c r="Y1663">
        <f>IF([2]Baskol!$I$1666="","",[2]Baskol!$I$1666)</f>
        <v/>
      </c>
      <c r="Z1663">
        <f>IF([2]Baskol!$J$1666="","",[2]Baskol!$J$1666)</f>
        <v/>
      </c>
      <c r="AA1663">
        <f>IF([2]Baskol!$K$1666="","",[2]Baskol!$K$1666)</f>
        <v/>
      </c>
      <c r="AB1663">
        <f>IF([2]Baskol!$L$1666="","",[2]Baskol!$L$1666)</f>
        <v/>
      </c>
      <c r="AC1663">
        <f>IF([2]Baskol!$N$1666="","",[2]Baskol!$N$1666)</f>
        <v/>
      </c>
      <c r="AD1663">
        <f>IF([2]Baskol!$O$1666="","",[2]Baskol!$O$1666)</f>
        <v/>
      </c>
      <c r="AE1663">
        <f>IF([3]Entry!$C$1666="","",[3]Entry!$C$1666)</f>
        <v/>
      </c>
      <c r="AF1663">
        <f>IF([3]Entry!$D$1666="","",[3]Entry!$D$1666)</f>
        <v/>
      </c>
      <c r="AG1663">
        <f>IF([3]Entry!$E$1666="","",[3]Entry!$E$1666)</f>
        <v/>
      </c>
      <c r="AH1663">
        <f>IF([3]Entry!$G$1666="","",[3]Entry!$G$1666)</f>
        <v/>
      </c>
      <c r="AI1663">
        <f>IF([3]Entry!$K$1666="","",[3]Entry!$K$1666)</f>
        <v/>
      </c>
      <c r="AJ1663">
        <f>IF([3]Entry!$L$1666="","",[3]Entry!$L$1666)</f>
        <v/>
      </c>
      <c r="AK1663">
        <f>IF([3]Entry!$M$1666="","",[3]Entry!$M$1666)</f>
        <v/>
      </c>
      <c r="AL1663">
        <f>IF([3]Entry!$N$1666="","",[3]Entry!$N$1666)</f>
        <v/>
      </c>
      <c r="AM1663">
        <f>IF([3]Entry!$R$1666="","",[3]Entry!$R$1666)</f>
        <v/>
      </c>
    </row>
    <row r="1664">
      <c r="T1664">
        <f>IF([2]Baskol!$B$1667="","",[2]Baskol!$B$1667)</f>
        <v/>
      </c>
      <c r="U1664">
        <f>IF([2]Baskol!$C$1667="","",[2]Baskol!$C$1667)</f>
        <v/>
      </c>
      <c r="V1664">
        <f>IF([2]Baskol!$D$1667="","",[2]Baskol!$D$1667)</f>
        <v/>
      </c>
      <c r="W1664">
        <f>IF([2]Baskol!$E$1667="","",[2]Baskol!$E$1667)</f>
        <v/>
      </c>
      <c r="X1664">
        <f>IF([2]Baskol!$G$1667="","",[2]Baskol!$G$1667)</f>
        <v/>
      </c>
      <c r="Y1664">
        <f>IF([2]Baskol!$I$1667="","",[2]Baskol!$I$1667)</f>
        <v/>
      </c>
      <c r="Z1664">
        <f>IF([2]Baskol!$J$1667="","",[2]Baskol!$J$1667)</f>
        <v/>
      </c>
      <c r="AA1664">
        <f>IF([2]Baskol!$K$1667="","",[2]Baskol!$K$1667)</f>
        <v/>
      </c>
      <c r="AB1664">
        <f>IF([2]Baskol!$L$1667="","",[2]Baskol!$L$1667)</f>
        <v/>
      </c>
      <c r="AC1664">
        <f>IF([2]Baskol!$N$1667="","",[2]Baskol!$N$1667)</f>
        <v/>
      </c>
      <c r="AD1664">
        <f>IF([2]Baskol!$O$1667="","",[2]Baskol!$O$1667)</f>
        <v/>
      </c>
      <c r="AE1664">
        <f>IF([3]Entry!$C$1667="","",[3]Entry!$C$1667)</f>
        <v/>
      </c>
      <c r="AF1664">
        <f>IF([3]Entry!$D$1667="","",[3]Entry!$D$1667)</f>
        <v/>
      </c>
      <c r="AG1664">
        <f>IF([3]Entry!$E$1667="","",[3]Entry!$E$1667)</f>
        <v/>
      </c>
      <c r="AH1664">
        <f>IF([3]Entry!$G$1667="","",[3]Entry!$G$1667)</f>
        <v/>
      </c>
      <c r="AI1664">
        <f>IF([3]Entry!$K$1667="","",[3]Entry!$K$1667)</f>
        <v/>
      </c>
      <c r="AJ1664">
        <f>IF([3]Entry!$L$1667="","",[3]Entry!$L$1667)</f>
        <v/>
      </c>
      <c r="AK1664">
        <f>IF([3]Entry!$M$1667="","",[3]Entry!$M$1667)</f>
        <v/>
      </c>
      <c r="AL1664">
        <f>IF([3]Entry!$N$1667="","",[3]Entry!$N$1667)</f>
        <v/>
      </c>
      <c r="AM1664">
        <f>IF([3]Entry!$R$1667="","",[3]Entry!$R$1667)</f>
        <v/>
      </c>
    </row>
    <row r="1665">
      <c r="T1665">
        <f>IF([2]Baskol!$B$1668="","",[2]Baskol!$B$1668)</f>
        <v/>
      </c>
      <c r="U1665">
        <f>IF([2]Baskol!$C$1668="","",[2]Baskol!$C$1668)</f>
        <v/>
      </c>
      <c r="V1665">
        <f>IF([2]Baskol!$D$1668="","",[2]Baskol!$D$1668)</f>
        <v/>
      </c>
      <c r="W1665">
        <f>IF([2]Baskol!$E$1668="","",[2]Baskol!$E$1668)</f>
        <v/>
      </c>
      <c r="X1665">
        <f>IF([2]Baskol!$G$1668="","",[2]Baskol!$G$1668)</f>
        <v/>
      </c>
      <c r="Y1665">
        <f>IF([2]Baskol!$I$1668="","",[2]Baskol!$I$1668)</f>
        <v/>
      </c>
      <c r="Z1665">
        <f>IF([2]Baskol!$J$1668="","",[2]Baskol!$J$1668)</f>
        <v/>
      </c>
      <c r="AA1665">
        <f>IF([2]Baskol!$K$1668="","",[2]Baskol!$K$1668)</f>
        <v/>
      </c>
      <c r="AB1665">
        <f>IF([2]Baskol!$L$1668="","",[2]Baskol!$L$1668)</f>
        <v/>
      </c>
      <c r="AC1665">
        <f>IF([2]Baskol!$N$1668="","",[2]Baskol!$N$1668)</f>
        <v/>
      </c>
      <c r="AD1665">
        <f>IF([2]Baskol!$O$1668="","",[2]Baskol!$O$1668)</f>
        <v/>
      </c>
      <c r="AE1665">
        <f>IF([3]Entry!$C$1668="","",[3]Entry!$C$1668)</f>
        <v/>
      </c>
      <c r="AF1665">
        <f>IF([3]Entry!$D$1668="","",[3]Entry!$D$1668)</f>
        <v/>
      </c>
      <c r="AG1665">
        <f>IF([3]Entry!$E$1668="","",[3]Entry!$E$1668)</f>
        <v/>
      </c>
      <c r="AH1665">
        <f>IF([3]Entry!$G$1668="","",[3]Entry!$G$1668)</f>
        <v/>
      </c>
      <c r="AI1665">
        <f>IF([3]Entry!$K$1668="","",[3]Entry!$K$1668)</f>
        <v/>
      </c>
      <c r="AJ1665">
        <f>IF([3]Entry!$L$1668="","",[3]Entry!$L$1668)</f>
        <v/>
      </c>
      <c r="AK1665">
        <f>IF([3]Entry!$M$1668="","",[3]Entry!$M$1668)</f>
        <v/>
      </c>
      <c r="AL1665">
        <f>IF([3]Entry!$N$1668="","",[3]Entry!$N$1668)</f>
        <v/>
      </c>
      <c r="AM1665">
        <f>IF([3]Entry!$R$1668="","",[3]Entry!$R$1668)</f>
        <v/>
      </c>
    </row>
    <row r="1666">
      <c r="T1666">
        <f>IF([2]Baskol!$B$1669="","",[2]Baskol!$B$1669)</f>
        <v/>
      </c>
      <c r="U1666">
        <f>IF([2]Baskol!$C$1669="","",[2]Baskol!$C$1669)</f>
        <v/>
      </c>
      <c r="V1666">
        <f>IF([2]Baskol!$D$1669="","",[2]Baskol!$D$1669)</f>
        <v/>
      </c>
      <c r="W1666">
        <f>IF([2]Baskol!$E$1669="","",[2]Baskol!$E$1669)</f>
        <v/>
      </c>
      <c r="X1666">
        <f>IF([2]Baskol!$G$1669="","",[2]Baskol!$G$1669)</f>
        <v/>
      </c>
      <c r="Y1666">
        <f>IF([2]Baskol!$I$1669="","",[2]Baskol!$I$1669)</f>
        <v/>
      </c>
      <c r="Z1666">
        <f>IF([2]Baskol!$J$1669="","",[2]Baskol!$J$1669)</f>
        <v/>
      </c>
      <c r="AA1666">
        <f>IF([2]Baskol!$K$1669="","",[2]Baskol!$K$1669)</f>
        <v/>
      </c>
      <c r="AB1666">
        <f>IF([2]Baskol!$L$1669="","",[2]Baskol!$L$1669)</f>
        <v/>
      </c>
      <c r="AC1666">
        <f>IF([2]Baskol!$N$1669="","",[2]Baskol!$N$1669)</f>
        <v/>
      </c>
      <c r="AD1666">
        <f>IF([2]Baskol!$O$1669="","",[2]Baskol!$O$1669)</f>
        <v/>
      </c>
      <c r="AE1666">
        <f>IF([3]Entry!$C$1669="","",[3]Entry!$C$1669)</f>
        <v/>
      </c>
      <c r="AF1666">
        <f>IF([3]Entry!$D$1669="","",[3]Entry!$D$1669)</f>
        <v/>
      </c>
      <c r="AG1666">
        <f>IF([3]Entry!$E$1669="","",[3]Entry!$E$1669)</f>
        <v/>
      </c>
      <c r="AH1666">
        <f>IF([3]Entry!$G$1669="","",[3]Entry!$G$1669)</f>
        <v/>
      </c>
      <c r="AI1666">
        <f>IF([3]Entry!$K$1669="","",[3]Entry!$K$1669)</f>
        <v/>
      </c>
      <c r="AJ1666">
        <f>IF([3]Entry!$L$1669="","",[3]Entry!$L$1669)</f>
        <v/>
      </c>
      <c r="AK1666">
        <f>IF([3]Entry!$M$1669="","",[3]Entry!$M$1669)</f>
        <v/>
      </c>
      <c r="AL1666">
        <f>IF([3]Entry!$N$1669="","",[3]Entry!$N$1669)</f>
        <v/>
      </c>
      <c r="AM1666">
        <f>IF([3]Entry!$R$1669="","",[3]Entry!$R$1669)</f>
        <v/>
      </c>
    </row>
    <row r="1667">
      <c r="T1667">
        <f>IF([2]Baskol!$B$1670="","",[2]Baskol!$B$1670)</f>
        <v/>
      </c>
      <c r="U1667">
        <f>IF([2]Baskol!$C$1670="","",[2]Baskol!$C$1670)</f>
        <v/>
      </c>
      <c r="V1667">
        <f>IF([2]Baskol!$D$1670="","",[2]Baskol!$D$1670)</f>
        <v/>
      </c>
      <c r="W1667">
        <f>IF([2]Baskol!$E$1670="","",[2]Baskol!$E$1670)</f>
        <v/>
      </c>
      <c r="X1667">
        <f>IF([2]Baskol!$G$1670="","",[2]Baskol!$G$1670)</f>
        <v/>
      </c>
      <c r="Y1667">
        <f>IF([2]Baskol!$I$1670="","",[2]Baskol!$I$1670)</f>
        <v/>
      </c>
      <c r="Z1667">
        <f>IF([2]Baskol!$J$1670="","",[2]Baskol!$J$1670)</f>
        <v/>
      </c>
      <c r="AA1667">
        <f>IF([2]Baskol!$K$1670="","",[2]Baskol!$K$1670)</f>
        <v/>
      </c>
      <c r="AB1667">
        <f>IF([2]Baskol!$L$1670="","",[2]Baskol!$L$1670)</f>
        <v/>
      </c>
      <c r="AC1667">
        <f>IF([2]Baskol!$N$1670="","",[2]Baskol!$N$1670)</f>
        <v/>
      </c>
      <c r="AD1667">
        <f>IF([2]Baskol!$O$1670="","",[2]Baskol!$O$1670)</f>
        <v/>
      </c>
      <c r="AE1667">
        <f>IF([3]Entry!$C$1670="","",[3]Entry!$C$1670)</f>
        <v/>
      </c>
      <c r="AF1667">
        <f>IF([3]Entry!$D$1670="","",[3]Entry!$D$1670)</f>
        <v/>
      </c>
      <c r="AG1667">
        <f>IF([3]Entry!$E$1670="","",[3]Entry!$E$1670)</f>
        <v/>
      </c>
      <c r="AH1667">
        <f>IF([3]Entry!$G$1670="","",[3]Entry!$G$1670)</f>
        <v/>
      </c>
      <c r="AI1667">
        <f>IF([3]Entry!$K$1670="","",[3]Entry!$K$1670)</f>
        <v/>
      </c>
      <c r="AJ1667">
        <f>IF([3]Entry!$L$1670="","",[3]Entry!$L$1670)</f>
        <v/>
      </c>
      <c r="AK1667">
        <f>IF([3]Entry!$M$1670="","",[3]Entry!$M$1670)</f>
        <v/>
      </c>
      <c r="AL1667">
        <f>IF([3]Entry!$N$1670="","",[3]Entry!$N$1670)</f>
        <v/>
      </c>
      <c r="AM1667">
        <f>IF([3]Entry!$R$1670="","",[3]Entry!$R$1670)</f>
        <v/>
      </c>
    </row>
    <row r="1668">
      <c r="T1668">
        <f>IF([2]Baskol!$B$1671="","",[2]Baskol!$B$1671)</f>
        <v/>
      </c>
      <c r="U1668">
        <f>IF([2]Baskol!$C$1671="","",[2]Baskol!$C$1671)</f>
        <v/>
      </c>
      <c r="V1668">
        <f>IF([2]Baskol!$D$1671="","",[2]Baskol!$D$1671)</f>
        <v/>
      </c>
      <c r="W1668">
        <f>IF([2]Baskol!$E$1671="","",[2]Baskol!$E$1671)</f>
        <v/>
      </c>
      <c r="X1668">
        <f>IF([2]Baskol!$G$1671="","",[2]Baskol!$G$1671)</f>
        <v/>
      </c>
      <c r="Y1668">
        <f>IF([2]Baskol!$I$1671="","",[2]Baskol!$I$1671)</f>
        <v/>
      </c>
      <c r="Z1668">
        <f>IF([2]Baskol!$J$1671="","",[2]Baskol!$J$1671)</f>
        <v/>
      </c>
      <c r="AA1668">
        <f>IF([2]Baskol!$K$1671="","",[2]Baskol!$K$1671)</f>
        <v/>
      </c>
      <c r="AB1668">
        <f>IF([2]Baskol!$L$1671="","",[2]Baskol!$L$1671)</f>
        <v/>
      </c>
      <c r="AC1668">
        <f>IF([2]Baskol!$N$1671="","",[2]Baskol!$N$1671)</f>
        <v/>
      </c>
      <c r="AD1668">
        <f>IF([2]Baskol!$O$1671="","",[2]Baskol!$O$1671)</f>
        <v/>
      </c>
      <c r="AE1668">
        <f>IF([3]Entry!$C$1671="","",[3]Entry!$C$1671)</f>
        <v/>
      </c>
      <c r="AF1668">
        <f>IF([3]Entry!$D$1671="","",[3]Entry!$D$1671)</f>
        <v/>
      </c>
      <c r="AG1668">
        <f>IF([3]Entry!$E$1671="","",[3]Entry!$E$1671)</f>
        <v/>
      </c>
      <c r="AH1668">
        <f>IF([3]Entry!$G$1671="","",[3]Entry!$G$1671)</f>
        <v/>
      </c>
      <c r="AI1668">
        <f>IF([3]Entry!$K$1671="","",[3]Entry!$K$1671)</f>
        <v/>
      </c>
      <c r="AJ1668">
        <f>IF([3]Entry!$L$1671="","",[3]Entry!$L$1671)</f>
        <v/>
      </c>
      <c r="AK1668">
        <f>IF([3]Entry!$M$1671="","",[3]Entry!$M$1671)</f>
        <v/>
      </c>
      <c r="AL1668">
        <f>IF([3]Entry!$N$1671="","",[3]Entry!$N$1671)</f>
        <v/>
      </c>
      <c r="AM1668">
        <f>IF([3]Entry!$R$1671="","",[3]Entry!$R$1671)</f>
        <v/>
      </c>
    </row>
    <row r="1669">
      <c r="T1669">
        <f>IF([2]Baskol!$B$1672="","",[2]Baskol!$B$1672)</f>
        <v/>
      </c>
      <c r="U1669">
        <f>IF([2]Baskol!$C$1672="","",[2]Baskol!$C$1672)</f>
        <v/>
      </c>
      <c r="V1669">
        <f>IF([2]Baskol!$D$1672="","",[2]Baskol!$D$1672)</f>
        <v/>
      </c>
      <c r="W1669">
        <f>IF([2]Baskol!$E$1672="","",[2]Baskol!$E$1672)</f>
        <v/>
      </c>
      <c r="X1669">
        <f>IF([2]Baskol!$G$1672="","",[2]Baskol!$G$1672)</f>
        <v/>
      </c>
      <c r="Y1669">
        <f>IF([2]Baskol!$I$1672="","",[2]Baskol!$I$1672)</f>
        <v/>
      </c>
      <c r="Z1669">
        <f>IF([2]Baskol!$J$1672="","",[2]Baskol!$J$1672)</f>
        <v/>
      </c>
      <c r="AA1669">
        <f>IF([2]Baskol!$K$1672="","",[2]Baskol!$K$1672)</f>
        <v/>
      </c>
      <c r="AB1669">
        <f>IF([2]Baskol!$L$1672="","",[2]Baskol!$L$1672)</f>
        <v/>
      </c>
      <c r="AC1669">
        <f>IF([2]Baskol!$N$1672="","",[2]Baskol!$N$1672)</f>
        <v/>
      </c>
      <c r="AD1669">
        <f>IF([2]Baskol!$O$1672="","",[2]Baskol!$O$1672)</f>
        <v/>
      </c>
      <c r="AE1669">
        <f>IF([3]Entry!$C$1672="","",[3]Entry!$C$1672)</f>
        <v/>
      </c>
      <c r="AF1669">
        <f>IF([3]Entry!$D$1672="","",[3]Entry!$D$1672)</f>
        <v/>
      </c>
      <c r="AG1669">
        <f>IF([3]Entry!$E$1672="","",[3]Entry!$E$1672)</f>
        <v/>
      </c>
      <c r="AH1669">
        <f>IF([3]Entry!$G$1672="","",[3]Entry!$G$1672)</f>
        <v/>
      </c>
      <c r="AI1669">
        <f>IF([3]Entry!$K$1672="","",[3]Entry!$K$1672)</f>
        <v/>
      </c>
      <c r="AJ1669">
        <f>IF([3]Entry!$L$1672="","",[3]Entry!$L$1672)</f>
        <v/>
      </c>
      <c r="AK1669">
        <f>IF([3]Entry!$M$1672="","",[3]Entry!$M$1672)</f>
        <v/>
      </c>
      <c r="AL1669">
        <f>IF([3]Entry!$N$1672="","",[3]Entry!$N$1672)</f>
        <v/>
      </c>
      <c r="AM1669">
        <f>IF([3]Entry!$R$1672="","",[3]Entry!$R$1672)</f>
        <v/>
      </c>
    </row>
    <row r="1670">
      <c r="T1670">
        <f>IF([2]Baskol!$B$1673="","",[2]Baskol!$B$1673)</f>
        <v/>
      </c>
      <c r="U1670">
        <f>IF([2]Baskol!$C$1673="","",[2]Baskol!$C$1673)</f>
        <v/>
      </c>
      <c r="V1670">
        <f>IF([2]Baskol!$D$1673="","",[2]Baskol!$D$1673)</f>
        <v/>
      </c>
      <c r="W1670">
        <f>IF([2]Baskol!$E$1673="","",[2]Baskol!$E$1673)</f>
        <v/>
      </c>
      <c r="X1670">
        <f>IF([2]Baskol!$G$1673="","",[2]Baskol!$G$1673)</f>
        <v/>
      </c>
      <c r="Y1670">
        <f>IF([2]Baskol!$I$1673="","",[2]Baskol!$I$1673)</f>
        <v/>
      </c>
      <c r="Z1670">
        <f>IF([2]Baskol!$J$1673="","",[2]Baskol!$J$1673)</f>
        <v/>
      </c>
      <c r="AA1670">
        <f>IF([2]Baskol!$K$1673="","",[2]Baskol!$K$1673)</f>
        <v/>
      </c>
      <c r="AB1670">
        <f>IF([2]Baskol!$L$1673="","",[2]Baskol!$L$1673)</f>
        <v/>
      </c>
      <c r="AC1670">
        <f>IF([2]Baskol!$N$1673="","",[2]Baskol!$N$1673)</f>
        <v/>
      </c>
      <c r="AD1670">
        <f>IF([2]Baskol!$O$1673="","",[2]Baskol!$O$1673)</f>
        <v/>
      </c>
      <c r="AE1670">
        <f>IF([3]Entry!$C$1673="","",[3]Entry!$C$1673)</f>
        <v/>
      </c>
      <c r="AF1670">
        <f>IF([3]Entry!$D$1673="","",[3]Entry!$D$1673)</f>
        <v/>
      </c>
      <c r="AG1670">
        <f>IF([3]Entry!$E$1673="","",[3]Entry!$E$1673)</f>
        <v/>
      </c>
      <c r="AH1670">
        <f>IF([3]Entry!$G$1673="","",[3]Entry!$G$1673)</f>
        <v/>
      </c>
      <c r="AI1670">
        <f>IF([3]Entry!$K$1673="","",[3]Entry!$K$1673)</f>
        <v/>
      </c>
      <c r="AJ1670">
        <f>IF([3]Entry!$L$1673="","",[3]Entry!$L$1673)</f>
        <v/>
      </c>
      <c r="AK1670">
        <f>IF([3]Entry!$M$1673="","",[3]Entry!$M$1673)</f>
        <v/>
      </c>
      <c r="AL1670">
        <f>IF([3]Entry!$N$1673="","",[3]Entry!$N$1673)</f>
        <v/>
      </c>
      <c r="AM1670">
        <f>IF([3]Entry!$R$1673="","",[3]Entry!$R$1673)</f>
        <v/>
      </c>
    </row>
    <row r="1671">
      <c r="T1671">
        <f>IF([2]Baskol!$B$1674="","",[2]Baskol!$B$1674)</f>
        <v/>
      </c>
      <c r="U1671">
        <f>IF([2]Baskol!$C$1674="","",[2]Baskol!$C$1674)</f>
        <v/>
      </c>
      <c r="V1671">
        <f>IF([2]Baskol!$D$1674="","",[2]Baskol!$D$1674)</f>
        <v/>
      </c>
      <c r="W1671">
        <f>IF([2]Baskol!$E$1674="","",[2]Baskol!$E$1674)</f>
        <v/>
      </c>
      <c r="X1671">
        <f>IF([2]Baskol!$G$1674="","",[2]Baskol!$G$1674)</f>
        <v/>
      </c>
      <c r="Y1671">
        <f>IF([2]Baskol!$I$1674="","",[2]Baskol!$I$1674)</f>
        <v/>
      </c>
      <c r="Z1671">
        <f>IF([2]Baskol!$J$1674="","",[2]Baskol!$J$1674)</f>
        <v/>
      </c>
      <c r="AA1671">
        <f>IF([2]Baskol!$K$1674="","",[2]Baskol!$K$1674)</f>
        <v/>
      </c>
      <c r="AB1671">
        <f>IF([2]Baskol!$L$1674="","",[2]Baskol!$L$1674)</f>
        <v/>
      </c>
      <c r="AC1671">
        <f>IF([2]Baskol!$N$1674="","",[2]Baskol!$N$1674)</f>
        <v/>
      </c>
      <c r="AD1671">
        <f>IF([2]Baskol!$O$1674="","",[2]Baskol!$O$1674)</f>
        <v/>
      </c>
      <c r="AE1671">
        <f>IF([3]Entry!$C$1674="","",[3]Entry!$C$1674)</f>
        <v/>
      </c>
      <c r="AF1671">
        <f>IF([3]Entry!$D$1674="","",[3]Entry!$D$1674)</f>
        <v/>
      </c>
      <c r="AG1671">
        <f>IF([3]Entry!$E$1674="","",[3]Entry!$E$1674)</f>
        <v/>
      </c>
      <c r="AH1671">
        <f>IF([3]Entry!$G$1674="","",[3]Entry!$G$1674)</f>
        <v/>
      </c>
      <c r="AI1671">
        <f>IF([3]Entry!$K$1674="","",[3]Entry!$K$1674)</f>
        <v/>
      </c>
      <c r="AJ1671">
        <f>IF([3]Entry!$L$1674="","",[3]Entry!$L$1674)</f>
        <v/>
      </c>
      <c r="AK1671">
        <f>IF([3]Entry!$M$1674="","",[3]Entry!$M$1674)</f>
        <v/>
      </c>
      <c r="AL1671">
        <f>IF([3]Entry!$N$1674="","",[3]Entry!$N$1674)</f>
        <v/>
      </c>
      <c r="AM1671">
        <f>IF([3]Entry!$R$1674="","",[3]Entry!$R$1674)</f>
        <v/>
      </c>
    </row>
    <row r="1672">
      <c r="T1672">
        <f>IF([2]Baskol!$B$1675="","",[2]Baskol!$B$1675)</f>
        <v/>
      </c>
      <c r="U1672">
        <f>IF([2]Baskol!$C$1675="","",[2]Baskol!$C$1675)</f>
        <v/>
      </c>
      <c r="V1672">
        <f>IF([2]Baskol!$D$1675="","",[2]Baskol!$D$1675)</f>
        <v/>
      </c>
      <c r="W1672">
        <f>IF([2]Baskol!$E$1675="","",[2]Baskol!$E$1675)</f>
        <v/>
      </c>
      <c r="X1672">
        <f>IF([2]Baskol!$G$1675="","",[2]Baskol!$G$1675)</f>
        <v/>
      </c>
      <c r="Y1672">
        <f>IF([2]Baskol!$I$1675="","",[2]Baskol!$I$1675)</f>
        <v/>
      </c>
      <c r="Z1672">
        <f>IF([2]Baskol!$J$1675="","",[2]Baskol!$J$1675)</f>
        <v/>
      </c>
      <c r="AA1672">
        <f>IF([2]Baskol!$K$1675="","",[2]Baskol!$K$1675)</f>
        <v/>
      </c>
      <c r="AB1672">
        <f>IF([2]Baskol!$L$1675="","",[2]Baskol!$L$1675)</f>
        <v/>
      </c>
      <c r="AC1672">
        <f>IF([2]Baskol!$N$1675="","",[2]Baskol!$N$1675)</f>
        <v/>
      </c>
      <c r="AD1672">
        <f>IF([2]Baskol!$O$1675="","",[2]Baskol!$O$1675)</f>
        <v/>
      </c>
      <c r="AE1672">
        <f>IF([3]Entry!$C$1675="","",[3]Entry!$C$1675)</f>
        <v/>
      </c>
      <c r="AF1672">
        <f>IF([3]Entry!$D$1675="","",[3]Entry!$D$1675)</f>
        <v/>
      </c>
      <c r="AG1672">
        <f>IF([3]Entry!$E$1675="","",[3]Entry!$E$1675)</f>
        <v/>
      </c>
      <c r="AH1672">
        <f>IF([3]Entry!$G$1675="","",[3]Entry!$G$1675)</f>
        <v/>
      </c>
      <c r="AI1672">
        <f>IF([3]Entry!$K$1675="","",[3]Entry!$K$1675)</f>
        <v/>
      </c>
      <c r="AJ1672">
        <f>IF([3]Entry!$L$1675="","",[3]Entry!$L$1675)</f>
        <v/>
      </c>
      <c r="AK1672">
        <f>IF([3]Entry!$M$1675="","",[3]Entry!$M$1675)</f>
        <v/>
      </c>
      <c r="AL1672">
        <f>IF([3]Entry!$N$1675="","",[3]Entry!$N$1675)</f>
        <v/>
      </c>
      <c r="AM1672">
        <f>IF([3]Entry!$R$1675="","",[3]Entry!$R$1675)</f>
        <v/>
      </c>
    </row>
    <row r="1673">
      <c r="T1673">
        <f>IF([2]Baskol!$B$1676="","",[2]Baskol!$B$1676)</f>
        <v/>
      </c>
      <c r="U1673">
        <f>IF([2]Baskol!$C$1676="","",[2]Baskol!$C$1676)</f>
        <v/>
      </c>
      <c r="V1673">
        <f>IF([2]Baskol!$D$1676="","",[2]Baskol!$D$1676)</f>
        <v/>
      </c>
      <c r="W1673">
        <f>IF([2]Baskol!$E$1676="","",[2]Baskol!$E$1676)</f>
        <v/>
      </c>
      <c r="X1673">
        <f>IF([2]Baskol!$G$1676="","",[2]Baskol!$G$1676)</f>
        <v/>
      </c>
      <c r="Y1673">
        <f>IF([2]Baskol!$I$1676="","",[2]Baskol!$I$1676)</f>
        <v/>
      </c>
      <c r="Z1673">
        <f>IF([2]Baskol!$J$1676="","",[2]Baskol!$J$1676)</f>
        <v/>
      </c>
      <c r="AA1673">
        <f>IF([2]Baskol!$K$1676="","",[2]Baskol!$K$1676)</f>
        <v/>
      </c>
      <c r="AB1673">
        <f>IF([2]Baskol!$L$1676="","",[2]Baskol!$L$1676)</f>
        <v/>
      </c>
      <c r="AC1673">
        <f>IF([2]Baskol!$N$1676="","",[2]Baskol!$N$1676)</f>
        <v/>
      </c>
      <c r="AD1673">
        <f>IF([2]Baskol!$O$1676="","",[2]Baskol!$O$1676)</f>
        <v/>
      </c>
      <c r="AE1673">
        <f>IF([3]Entry!$C$1676="","",[3]Entry!$C$1676)</f>
        <v/>
      </c>
      <c r="AF1673">
        <f>IF([3]Entry!$D$1676="","",[3]Entry!$D$1676)</f>
        <v/>
      </c>
      <c r="AG1673">
        <f>IF([3]Entry!$E$1676="","",[3]Entry!$E$1676)</f>
        <v/>
      </c>
      <c r="AH1673">
        <f>IF([3]Entry!$G$1676="","",[3]Entry!$G$1676)</f>
        <v/>
      </c>
      <c r="AI1673">
        <f>IF([3]Entry!$K$1676="","",[3]Entry!$K$1676)</f>
        <v/>
      </c>
      <c r="AJ1673">
        <f>IF([3]Entry!$L$1676="","",[3]Entry!$L$1676)</f>
        <v/>
      </c>
      <c r="AK1673">
        <f>IF([3]Entry!$M$1676="","",[3]Entry!$M$1676)</f>
        <v/>
      </c>
      <c r="AL1673">
        <f>IF([3]Entry!$N$1676="","",[3]Entry!$N$1676)</f>
        <v/>
      </c>
      <c r="AM1673">
        <f>IF([3]Entry!$R$1676="","",[3]Entry!$R$1676)</f>
        <v/>
      </c>
    </row>
    <row r="1674">
      <c r="T1674">
        <f>IF([2]Baskol!$B$1677="","",[2]Baskol!$B$1677)</f>
        <v/>
      </c>
      <c r="U1674">
        <f>IF([2]Baskol!$C$1677="","",[2]Baskol!$C$1677)</f>
        <v/>
      </c>
      <c r="V1674">
        <f>IF([2]Baskol!$D$1677="","",[2]Baskol!$D$1677)</f>
        <v/>
      </c>
      <c r="W1674">
        <f>IF([2]Baskol!$E$1677="","",[2]Baskol!$E$1677)</f>
        <v/>
      </c>
      <c r="X1674">
        <f>IF([2]Baskol!$G$1677="","",[2]Baskol!$G$1677)</f>
        <v/>
      </c>
      <c r="Y1674">
        <f>IF([2]Baskol!$I$1677="","",[2]Baskol!$I$1677)</f>
        <v/>
      </c>
      <c r="Z1674">
        <f>IF([2]Baskol!$J$1677="","",[2]Baskol!$J$1677)</f>
        <v/>
      </c>
      <c r="AA1674">
        <f>IF([2]Baskol!$K$1677="","",[2]Baskol!$K$1677)</f>
        <v/>
      </c>
      <c r="AB1674">
        <f>IF([2]Baskol!$L$1677="","",[2]Baskol!$L$1677)</f>
        <v/>
      </c>
      <c r="AC1674">
        <f>IF([2]Baskol!$N$1677="","",[2]Baskol!$N$1677)</f>
        <v/>
      </c>
      <c r="AD1674">
        <f>IF([2]Baskol!$O$1677="","",[2]Baskol!$O$1677)</f>
        <v/>
      </c>
      <c r="AE1674">
        <f>IF([3]Entry!$C$1677="","",[3]Entry!$C$1677)</f>
        <v/>
      </c>
      <c r="AF1674">
        <f>IF([3]Entry!$D$1677="","",[3]Entry!$D$1677)</f>
        <v/>
      </c>
      <c r="AG1674">
        <f>IF([3]Entry!$E$1677="","",[3]Entry!$E$1677)</f>
        <v/>
      </c>
      <c r="AH1674">
        <f>IF([3]Entry!$G$1677="","",[3]Entry!$G$1677)</f>
        <v/>
      </c>
      <c r="AI1674">
        <f>IF([3]Entry!$K$1677="","",[3]Entry!$K$1677)</f>
        <v/>
      </c>
      <c r="AJ1674">
        <f>IF([3]Entry!$L$1677="","",[3]Entry!$L$1677)</f>
        <v/>
      </c>
      <c r="AK1674">
        <f>IF([3]Entry!$M$1677="","",[3]Entry!$M$1677)</f>
        <v/>
      </c>
      <c r="AL1674">
        <f>IF([3]Entry!$N$1677="","",[3]Entry!$N$1677)</f>
        <v/>
      </c>
      <c r="AM1674">
        <f>IF([3]Entry!$R$1677="","",[3]Entry!$R$1677)</f>
        <v/>
      </c>
    </row>
    <row r="1675">
      <c r="T1675">
        <f>IF([2]Baskol!$B$1678="","",[2]Baskol!$B$1678)</f>
        <v/>
      </c>
      <c r="U1675">
        <f>IF([2]Baskol!$C$1678="","",[2]Baskol!$C$1678)</f>
        <v/>
      </c>
      <c r="V1675">
        <f>IF([2]Baskol!$D$1678="","",[2]Baskol!$D$1678)</f>
        <v/>
      </c>
      <c r="W1675">
        <f>IF([2]Baskol!$E$1678="","",[2]Baskol!$E$1678)</f>
        <v/>
      </c>
      <c r="X1675">
        <f>IF([2]Baskol!$G$1678="","",[2]Baskol!$G$1678)</f>
        <v/>
      </c>
      <c r="Y1675">
        <f>IF([2]Baskol!$I$1678="","",[2]Baskol!$I$1678)</f>
        <v/>
      </c>
      <c r="Z1675">
        <f>IF([2]Baskol!$J$1678="","",[2]Baskol!$J$1678)</f>
        <v/>
      </c>
      <c r="AA1675">
        <f>IF([2]Baskol!$K$1678="","",[2]Baskol!$K$1678)</f>
        <v/>
      </c>
      <c r="AB1675">
        <f>IF([2]Baskol!$L$1678="","",[2]Baskol!$L$1678)</f>
        <v/>
      </c>
      <c r="AC1675">
        <f>IF([2]Baskol!$N$1678="","",[2]Baskol!$N$1678)</f>
        <v/>
      </c>
      <c r="AD1675">
        <f>IF([2]Baskol!$O$1678="","",[2]Baskol!$O$1678)</f>
        <v/>
      </c>
      <c r="AE1675">
        <f>IF([3]Entry!$C$1678="","",[3]Entry!$C$1678)</f>
        <v/>
      </c>
      <c r="AF1675">
        <f>IF([3]Entry!$D$1678="","",[3]Entry!$D$1678)</f>
        <v/>
      </c>
      <c r="AG1675">
        <f>IF([3]Entry!$E$1678="","",[3]Entry!$E$1678)</f>
        <v/>
      </c>
      <c r="AH1675">
        <f>IF([3]Entry!$G$1678="","",[3]Entry!$G$1678)</f>
        <v/>
      </c>
      <c r="AI1675">
        <f>IF([3]Entry!$K$1678="","",[3]Entry!$K$1678)</f>
        <v/>
      </c>
      <c r="AJ1675">
        <f>IF([3]Entry!$L$1678="","",[3]Entry!$L$1678)</f>
        <v/>
      </c>
      <c r="AK1675">
        <f>IF([3]Entry!$M$1678="","",[3]Entry!$M$1678)</f>
        <v/>
      </c>
      <c r="AL1675">
        <f>IF([3]Entry!$N$1678="","",[3]Entry!$N$1678)</f>
        <v/>
      </c>
      <c r="AM1675">
        <f>IF([3]Entry!$R$1678="","",[3]Entry!$R$1678)</f>
        <v/>
      </c>
    </row>
    <row r="1676">
      <c r="T1676">
        <f>IF([2]Baskol!$B$1679="","",[2]Baskol!$B$1679)</f>
        <v/>
      </c>
      <c r="U1676">
        <f>IF([2]Baskol!$C$1679="","",[2]Baskol!$C$1679)</f>
        <v/>
      </c>
      <c r="V1676">
        <f>IF([2]Baskol!$D$1679="","",[2]Baskol!$D$1679)</f>
        <v/>
      </c>
      <c r="W1676">
        <f>IF([2]Baskol!$E$1679="","",[2]Baskol!$E$1679)</f>
        <v/>
      </c>
      <c r="X1676">
        <f>IF([2]Baskol!$G$1679="","",[2]Baskol!$G$1679)</f>
        <v/>
      </c>
      <c r="Y1676">
        <f>IF([2]Baskol!$I$1679="","",[2]Baskol!$I$1679)</f>
        <v/>
      </c>
      <c r="Z1676">
        <f>IF([2]Baskol!$J$1679="","",[2]Baskol!$J$1679)</f>
        <v/>
      </c>
      <c r="AA1676">
        <f>IF([2]Baskol!$K$1679="","",[2]Baskol!$K$1679)</f>
        <v/>
      </c>
      <c r="AB1676">
        <f>IF([2]Baskol!$L$1679="","",[2]Baskol!$L$1679)</f>
        <v/>
      </c>
      <c r="AC1676">
        <f>IF([2]Baskol!$N$1679="","",[2]Baskol!$N$1679)</f>
        <v/>
      </c>
      <c r="AD1676">
        <f>IF([2]Baskol!$O$1679="","",[2]Baskol!$O$1679)</f>
        <v/>
      </c>
      <c r="AE1676">
        <f>IF([3]Entry!$C$1679="","",[3]Entry!$C$1679)</f>
        <v/>
      </c>
      <c r="AF1676">
        <f>IF([3]Entry!$D$1679="","",[3]Entry!$D$1679)</f>
        <v/>
      </c>
      <c r="AG1676">
        <f>IF([3]Entry!$E$1679="","",[3]Entry!$E$1679)</f>
        <v/>
      </c>
      <c r="AH1676">
        <f>IF([3]Entry!$G$1679="","",[3]Entry!$G$1679)</f>
        <v/>
      </c>
      <c r="AI1676">
        <f>IF([3]Entry!$K$1679="","",[3]Entry!$K$1679)</f>
        <v/>
      </c>
      <c r="AJ1676">
        <f>IF([3]Entry!$L$1679="","",[3]Entry!$L$1679)</f>
        <v/>
      </c>
      <c r="AK1676">
        <f>IF([3]Entry!$M$1679="","",[3]Entry!$M$1679)</f>
        <v/>
      </c>
      <c r="AL1676">
        <f>IF([3]Entry!$N$1679="","",[3]Entry!$N$1679)</f>
        <v/>
      </c>
      <c r="AM1676">
        <f>IF([3]Entry!$R$1679="","",[3]Entry!$R$1679)</f>
        <v/>
      </c>
    </row>
    <row r="1677">
      <c r="T1677">
        <f>IF([2]Baskol!$B$1680="","",[2]Baskol!$B$1680)</f>
        <v/>
      </c>
      <c r="U1677">
        <f>IF([2]Baskol!$C$1680="","",[2]Baskol!$C$1680)</f>
        <v/>
      </c>
      <c r="V1677">
        <f>IF([2]Baskol!$D$1680="","",[2]Baskol!$D$1680)</f>
        <v/>
      </c>
      <c r="W1677">
        <f>IF([2]Baskol!$E$1680="","",[2]Baskol!$E$1680)</f>
        <v/>
      </c>
      <c r="X1677">
        <f>IF([2]Baskol!$G$1680="","",[2]Baskol!$G$1680)</f>
        <v/>
      </c>
      <c r="Y1677">
        <f>IF([2]Baskol!$I$1680="","",[2]Baskol!$I$1680)</f>
        <v/>
      </c>
      <c r="Z1677">
        <f>IF([2]Baskol!$J$1680="","",[2]Baskol!$J$1680)</f>
        <v/>
      </c>
      <c r="AA1677">
        <f>IF([2]Baskol!$K$1680="","",[2]Baskol!$K$1680)</f>
        <v/>
      </c>
      <c r="AB1677">
        <f>IF([2]Baskol!$L$1680="","",[2]Baskol!$L$1680)</f>
        <v/>
      </c>
      <c r="AC1677">
        <f>IF([2]Baskol!$N$1680="","",[2]Baskol!$N$1680)</f>
        <v/>
      </c>
      <c r="AD1677">
        <f>IF([2]Baskol!$O$1680="","",[2]Baskol!$O$1680)</f>
        <v/>
      </c>
      <c r="AE1677">
        <f>IF([3]Entry!$C$1680="","",[3]Entry!$C$1680)</f>
        <v/>
      </c>
      <c r="AF1677">
        <f>IF([3]Entry!$D$1680="","",[3]Entry!$D$1680)</f>
        <v/>
      </c>
      <c r="AG1677">
        <f>IF([3]Entry!$E$1680="","",[3]Entry!$E$1680)</f>
        <v/>
      </c>
      <c r="AH1677">
        <f>IF([3]Entry!$G$1680="","",[3]Entry!$G$1680)</f>
        <v/>
      </c>
      <c r="AI1677">
        <f>IF([3]Entry!$K$1680="","",[3]Entry!$K$1680)</f>
        <v/>
      </c>
      <c r="AJ1677">
        <f>IF([3]Entry!$L$1680="","",[3]Entry!$L$1680)</f>
        <v/>
      </c>
      <c r="AK1677">
        <f>IF([3]Entry!$M$1680="","",[3]Entry!$M$1680)</f>
        <v/>
      </c>
      <c r="AL1677">
        <f>IF([3]Entry!$N$1680="","",[3]Entry!$N$1680)</f>
        <v/>
      </c>
      <c r="AM1677">
        <f>IF([3]Entry!$R$1680="","",[3]Entry!$R$1680)</f>
        <v/>
      </c>
    </row>
    <row r="1678">
      <c r="T1678">
        <f>IF([2]Baskol!$B$1681="","",[2]Baskol!$B$1681)</f>
        <v/>
      </c>
      <c r="U1678">
        <f>IF([2]Baskol!$C$1681="","",[2]Baskol!$C$1681)</f>
        <v/>
      </c>
      <c r="V1678">
        <f>IF([2]Baskol!$D$1681="","",[2]Baskol!$D$1681)</f>
        <v/>
      </c>
      <c r="W1678">
        <f>IF([2]Baskol!$E$1681="","",[2]Baskol!$E$1681)</f>
        <v/>
      </c>
      <c r="X1678">
        <f>IF([2]Baskol!$G$1681="","",[2]Baskol!$G$1681)</f>
        <v/>
      </c>
      <c r="Y1678">
        <f>IF([2]Baskol!$I$1681="","",[2]Baskol!$I$1681)</f>
        <v/>
      </c>
      <c r="Z1678">
        <f>IF([2]Baskol!$J$1681="","",[2]Baskol!$J$1681)</f>
        <v/>
      </c>
      <c r="AA1678">
        <f>IF([2]Baskol!$K$1681="","",[2]Baskol!$K$1681)</f>
        <v/>
      </c>
      <c r="AB1678">
        <f>IF([2]Baskol!$L$1681="","",[2]Baskol!$L$1681)</f>
        <v/>
      </c>
      <c r="AC1678">
        <f>IF([2]Baskol!$N$1681="","",[2]Baskol!$N$1681)</f>
        <v/>
      </c>
      <c r="AD1678">
        <f>IF([2]Baskol!$O$1681="","",[2]Baskol!$O$1681)</f>
        <v/>
      </c>
      <c r="AE1678">
        <f>IF([3]Entry!$C$1681="","",[3]Entry!$C$1681)</f>
        <v/>
      </c>
      <c r="AF1678">
        <f>IF([3]Entry!$D$1681="","",[3]Entry!$D$1681)</f>
        <v/>
      </c>
      <c r="AG1678">
        <f>IF([3]Entry!$E$1681="","",[3]Entry!$E$1681)</f>
        <v/>
      </c>
      <c r="AH1678">
        <f>IF([3]Entry!$G$1681="","",[3]Entry!$G$1681)</f>
        <v/>
      </c>
      <c r="AI1678">
        <f>IF([3]Entry!$K$1681="","",[3]Entry!$K$1681)</f>
        <v/>
      </c>
      <c r="AJ1678">
        <f>IF([3]Entry!$L$1681="","",[3]Entry!$L$1681)</f>
        <v/>
      </c>
      <c r="AK1678">
        <f>IF([3]Entry!$M$1681="","",[3]Entry!$M$1681)</f>
        <v/>
      </c>
      <c r="AL1678">
        <f>IF([3]Entry!$N$1681="","",[3]Entry!$N$1681)</f>
        <v/>
      </c>
      <c r="AM1678">
        <f>IF([3]Entry!$R$1681="","",[3]Entry!$R$1681)</f>
        <v/>
      </c>
    </row>
    <row r="1679">
      <c r="T1679">
        <f>IF([2]Baskol!$B$1682="","",[2]Baskol!$B$1682)</f>
        <v/>
      </c>
      <c r="U1679">
        <f>IF([2]Baskol!$C$1682="","",[2]Baskol!$C$1682)</f>
        <v/>
      </c>
      <c r="V1679">
        <f>IF([2]Baskol!$D$1682="","",[2]Baskol!$D$1682)</f>
        <v/>
      </c>
      <c r="W1679">
        <f>IF([2]Baskol!$E$1682="","",[2]Baskol!$E$1682)</f>
        <v/>
      </c>
      <c r="X1679">
        <f>IF([2]Baskol!$G$1682="","",[2]Baskol!$G$1682)</f>
        <v/>
      </c>
      <c r="Y1679">
        <f>IF([2]Baskol!$I$1682="","",[2]Baskol!$I$1682)</f>
        <v/>
      </c>
      <c r="Z1679">
        <f>IF([2]Baskol!$J$1682="","",[2]Baskol!$J$1682)</f>
        <v/>
      </c>
      <c r="AA1679">
        <f>IF([2]Baskol!$K$1682="","",[2]Baskol!$K$1682)</f>
        <v/>
      </c>
      <c r="AB1679">
        <f>IF([2]Baskol!$L$1682="","",[2]Baskol!$L$1682)</f>
        <v/>
      </c>
      <c r="AC1679">
        <f>IF([2]Baskol!$N$1682="","",[2]Baskol!$N$1682)</f>
        <v/>
      </c>
      <c r="AD1679">
        <f>IF([2]Baskol!$O$1682="","",[2]Baskol!$O$1682)</f>
        <v/>
      </c>
      <c r="AE1679">
        <f>IF([3]Entry!$C$1682="","",[3]Entry!$C$1682)</f>
        <v/>
      </c>
      <c r="AF1679">
        <f>IF([3]Entry!$D$1682="","",[3]Entry!$D$1682)</f>
        <v/>
      </c>
      <c r="AG1679">
        <f>IF([3]Entry!$E$1682="","",[3]Entry!$E$1682)</f>
        <v/>
      </c>
      <c r="AH1679">
        <f>IF([3]Entry!$G$1682="","",[3]Entry!$G$1682)</f>
        <v/>
      </c>
      <c r="AI1679">
        <f>IF([3]Entry!$K$1682="","",[3]Entry!$K$1682)</f>
        <v/>
      </c>
      <c r="AJ1679">
        <f>IF([3]Entry!$L$1682="","",[3]Entry!$L$1682)</f>
        <v/>
      </c>
      <c r="AK1679">
        <f>IF([3]Entry!$M$1682="","",[3]Entry!$M$1682)</f>
        <v/>
      </c>
      <c r="AL1679">
        <f>IF([3]Entry!$N$1682="","",[3]Entry!$N$1682)</f>
        <v/>
      </c>
      <c r="AM1679">
        <f>IF([3]Entry!$R$1682="","",[3]Entry!$R$1682)</f>
        <v/>
      </c>
    </row>
    <row r="1680">
      <c r="T1680">
        <f>IF([2]Baskol!$B$1683="","",[2]Baskol!$B$1683)</f>
        <v/>
      </c>
      <c r="U1680">
        <f>IF([2]Baskol!$C$1683="","",[2]Baskol!$C$1683)</f>
        <v/>
      </c>
      <c r="V1680">
        <f>IF([2]Baskol!$D$1683="","",[2]Baskol!$D$1683)</f>
        <v/>
      </c>
      <c r="W1680">
        <f>IF([2]Baskol!$E$1683="","",[2]Baskol!$E$1683)</f>
        <v/>
      </c>
      <c r="X1680">
        <f>IF([2]Baskol!$G$1683="","",[2]Baskol!$G$1683)</f>
        <v/>
      </c>
      <c r="Y1680">
        <f>IF([2]Baskol!$I$1683="","",[2]Baskol!$I$1683)</f>
        <v/>
      </c>
      <c r="Z1680">
        <f>IF([2]Baskol!$J$1683="","",[2]Baskol!$J$1683)</f>
        <v/>
      </c>
      <c r="AA1680">
        <f>IF([2]Baskol!$K$1683="","",[2]Baskol!$K$1683)</f>
        <v/>
      </c>
      <c r="AB1680">
        <f>IF([2]Baskol!$L$1683="","",[2]Baskol!$L$1683)</f>
        <v/>
      </c>
      <c r="AC1680">
        <f>IF([2]Baskol!$N$1683="","",[2]Baskol!$N$1683)</f>
        <v/>
      </c>
      <c r="AD1680">
        <f>IF([2]Baskol!$O$1683="","",[2]Baskol!$O$1683)</f>
        <v/>
      </c>
      <c r="AE1680">
        <f>IF([3]Entry!$C$1683="","",[3]Entry!$C$1683)</f>
        <v/>
      </c>
      <c r="AF1680">
        <f>IF([3]Entry!$D$1683="","",[3]Entry!$D$1683)</f>
        <v/>
      </c>
      <c r="AG1680">
        <f>IF([3]Entry!$E$1683="","",[3]Entry!$E$1683)</f>
        <v/>
      </c>
      <c r="AH1680">
        <f>IF([3]Entry!$G$1683="","",[3]Entry!$G$1683)</f>
        <v/>
      </c>
      <c r="AI1680">
        <f>IF([3]Entry!$K$1683="","",[3]Entry!$K$1683)</f>
        <v/>
      </c>
      <c r="AJ1680">
        <f>IF([3]Entry!$L$1683="","",[3]Entry!$L$1683)</f>
        <v/>
      </c>
      <c r="AK1680">
        <f>IF([3]Entry!$M$1683="","",[3]Entry!$M$1683)</f>
        <v/>
      </c>
      <c r="AL1680">
        <f>IF([3]Entry!$N$1683="","",[3]Entry!$N$1683)</f>
        <v/>
      </c>
      <c r="AM1680">
        <f>IF([3]Entry!$R$1683="","",[3]Entry!$R$1683)</f>
        <v/>
      </c>
    </row>
    <row r="1681">
      <c r="T1681">
        <f>IF([2]Baskol!$B$1684="","",[2]Baskol!$B$1684)</f>
        <v/>
      </c>
      <c r="U1681">
        <f>IF([2]Baskol!$C$1684="","",[2]Baskol!$C$1684)</f>
        <v/>
      </c>
      <c r="V1681">
        <f>IF([2]Baskol!$D$1684="","",[2]Baskol!$D$1684)</f>
        <v/>
      </c>
      <c r="W1681">
        <f>IF([2]Baskol!$E$1684="","",[2]Baskol!$E$1684)</f>
        <v/>
      </c>
      <c r="X1681">
        <f>IF([2]Baskol!$G$1684="","",[2]Baskol!$G$1684)</f>
        <v/>
      </c>
      <c r="Y1681">
        <f>IF([2]Baskol!$I$1684="","",[2]Baskol!$I$1684)</f>
        <v/>
      </c>
      <c r="Z1681">
        <f>IF([2]Baskol!$J$1684="","",[2]Baskol!$J$1684)</f>
        <v/>
      </c>
      <c r="AA1681">
        <f>IF([2]Baskol!$K$1684="","",[2]Baskol!$K$1684)</f>
        <v/>
      </c>
      <c r="AB1681">
        <f>IF([2]Baskol!$L$1684="","",[2]Baskol!$L$1684)</f>
        <v/>
      </c>
      <c r="AC1681">
        <f>IF([2]Baskol!$N$1684="","",[2]Baskol!$N$1684)</f>
        <v/>
      </c>
      <c r="AD1681">
        <f>IF([2]Baskol!$O$1684="","",[2]Baskol!$O$1684)</f>
        <v/>
      </c>
      <c r="AE1681">
        <f>IF([3]Entry!$C$1684="","",[3]Entry!$C$1684)</f>
        <v/>
      </c>
      <c r="AF1681">
        <f>IF([3]Entry!$D$1684="","",[3]Entry!$D$1684)</f>
        <v/>
      </c>
      <c r="AG1681">
        <f>IF([3]Entry!$E$1684="","",[3]Entry!$E$1684)</f>
        <v/>
      </c>
      <c r="AH1681">
        <f>IF([3]Entry!$G$1684="","",[3]Entry!$G$1684)</f>
        <v/>
      </c>
      <c r="AI1681">
        <f>IF([3]Entry!$K$1684="","",[3]Entry!$K$1684)</f>
        <v/>
      </c>
      <c r="AJ1681">
        <f>IF([3]Entry!$L$1684="","",[3]Entry!$L$1684)</f>
        <v/>
      </c>
      <c r="AK1681">
        <f>IF([3]Entry!$M$1684="","",[3]Entry!$M$1684)</f>
        <v/>
      </c>
      <c r="AL1681">
        <f>IF([3]Entry!$N$1684="","",[3]Entry!$N$1684)</f>
        <v/>
      </c>
      <c r="AM1681">
        <f>IF([3]Entry!$R$1684="","",[3]Entry!$R$1684)</f>
        <v/>
      </c>
    </row>
    <row r="1682">
      <c r="T1682">
        <f>IF([2]Baskol!$B$1685="","",[2]Baskol!$B$1685)</f>
        <v/>
      </c>
      <c r="U1682">
        <f>IF([2]Baskol!$C$1685="","",[2]Baskol!$C$1685)</f>
        <v/>
      </c>
      <c r="V1682">
        <f>IF([2]Baskol!$D$1685="","",[2]Baskol!$D$1685)</f>
        <v/>
      </c>
      <c r="W1682">
        <f>IF([2]Baskol!$E$1685="","",[2]Baskol!$E$1685)</f>
        <v/>
      </c>
      <c r="X1682">
        <f>IF([2]Baskol!$G$1685="","",[2]Baskol!$G$1685)</f>
        <v/>
      </c>
      <c r="Y1682">
        <f>IF([2]Baskol!$I$1685="","",[2]Baskol!$I$1685)</f>
        <v/>
      </c>
      <c r="Z1682">
        <f>IF([2]Baskol!$J$1685="","",[2]Baskol!$J$1685)</f>
        <v/>
      </c>
      <c r="AA1682">
        <f>IF([2]Baskol!$K$1685="","",[2]Baskol!$K$1685)</f>
        <v/>
      </c>
      <c r="AB1682">
        <f>IF([2]Baskol!$L$1685="","",[2]Baskol!$L$1685)</f>
        <v/>
      </c>
      <c r="AC1682">
        <f>IF([2]Baskol!$N$1685="","",[2]Baskol!$N$1685)</f>
        <v/>
      </c>
      <c r="AD1682">
        <f>IF([2]Baskol!$O$1685="","",[2]Baskol!$O$1685)</f>
        <v/>
      </c>
      <c r="AE1682">
        <f>IF([3]Entry!$C$1685="","",[3]Entry!$C$1685)</f>
        <v/>
      </c>
      <c r="AF1682">
        <f>IF([3]Entry!$D$1685="","",[3]Entry!$D$1685)</f>
        <v/>
      </c>
      <c r="AG1682">
        <f>IF([3]Entry!$E$1685="","",[3]Entry!$E$1685)</f>
        <v/>
      </c>
      <c r="AH1682">
        <f>IF([3]Entry!$G$1685="","",[3]Entry!$G$1685)</f>
        <v/>
      </c>
      <c r="AI1682">
        <f>IF([3]Entry!$K$1685="","",[3]Entry!$K$1685)</f>
        <v/>
      </c>
      <c r="AJ1682">
        <f>IF([3]Entry!$L$1685="","",[3]Entry!$L$1685)</f>
        <v/>
      </c>
      <c r="AK1682">
        <f>IF([3]Entry!$M$1685="","",[3]Entry!$M$1685)</f>
        <v/>
      </c>
      <c r="AL1682">
        <f>IF([3]Entry!$N$1685="","",[3]Entry!$N$1685)</f>
        <v/>
      </c>
      <c r="AM1682">
        <f>IF([3]Entry!$R$1685="","",[3]Entry!$R$1685)</f>
        <v/>
      </c>
    </row>
    <row r="1683">
      <c r="T1683">
        <f>IF([2]Baskol!$B$1686="","",[2]Baskol!$B$1686)</f>
        <v/>
      </c>
      <c r="U1683">
        <f>IF([2]Baskol!$C$1686="","",[2]Baskol!$C$1686)</f>
        <v/>
      </c>
      <c r="V1683">
        <f>IF([2]Baskol!$D$1686="","",[2]Baskol!$D$1686)</f>
        <v/>
      </c>
      <c r="W1683">
        <f>IF([2]Baskol!$E$1686="","",[2]Baskol!$E$1686)</f>
        <v/>
      </c>
      <c r="X1683">
        <f>IF([2]Baskol!$G$1686="","",[2]Baskol!$G$1686)</f>
        <v/>
      </c>
      <c r="Y1683">
        <f>IF([2]Baskol!$I$1686="","",[2]Baskol!$I$1686)</f>
        <v/>
      </c>
      <c r="Z1683">
        <f>IF([2]Baskol!$J$1686="","",[2]Baskol!$J$1686)</f>
        <v/>
      </c>
      <c r="AA1683">
        <f>IF([2]Baskol!$K$1686="","",[2]Baskol!$K$1686)</f>
        <v/>
      </c>
      <c r="AB1683">
        <f>IF([2]Baskol!$L$1686="","",[2]Baskol!$L$1686)</f>
        <v/>
      </c>
      <c r="AC1683">
        <f>IF([2]Baskol!$N$1686="","",[2]Baskol!$N$1686)</f>
        <v/>
      </c>
      <c r="AD1683">
        <f>IF([2]Baskol!$O$1686="","",[2]Baskol!$O$1686)</f>
        <v/>
      </c>
      <c r="AE1683">
        <f>IF([3]Entry!$C$1686="","",[3]Entry!$C$1686)</f>
        <v/>
      </c>
      <c r="AF1683">
        <f>IF([3]Entry!$D$1686="","",[3]Entry!$D$1686)</f>
        <v/>
      </c>
      <c r="AG1683">
        <f>IF([3]Entry!$E$1686="","",[3]Entry!$E$1686)</f>
        <v/>
      </c>
      <c r="AH1683">
        <f>IF([3]Entry!$G$1686="","",[3]Entry!$G$1686)</f>
        <v/>
      </c>
      <c r="AI1683">
        <f>IF([3]Entry!$K$1686="","",[3]Entry!$K$1686)</f>
        <v/>
      </c>
      <c r="AJ1683">
        <f>IF([3]Entry!$L$1686="","",[3]Entry!$L$1686)</f>
        <v/>
      </c>
      <c r="AK1683">
        <f>IF([3]Entry!$M$1686="","",[3]Entry!$M$1686)</f>
        <v/>
      </c>
      <c r="AL1683">
        <f>IF([3]Entry!$N$1686="","",[3]Entry!$N$1686)</f>
        <v/>
      </c>
      <c r="AM1683">
        <f>IF([3]Entry!$R$1686="","",[3]Entry!$R$1686)</f>
        <v/>
      </c>
    </row>
    <row r="1684">
      <c r="T1684">
        <f>IF([2]Baskol!$B$1687="","",[2]Baskol!$B$1687)</f>
        <v/>
      </c>
      <c r="U1684">
        <f>IF([2]Baskol!$C$1687="","",[2]Baskol!$C$1687)</f>
        <v/>
      </c>
      <c r="V1684">
        <f>IF([2]Baskol!$D$1687="","",[2]Baskol!$D$1687)</f>
        <v/>
      </c>
      <c r="W1684">
        <f>IF([2]Baskol!$E$1687="","",[2]Baskol!$E$1687)</f>
        <v/>
      </c>
      <c r="X1684">
        <f>IF([2]Baskol!$G$1687="","",[2]Baskol!$G$1687)</f>
        <v/>
      </c>
      <c r="Y1684">
        <f>IF([2]Baskol!$I$1687="","",[2]Baskol!$I$1687)</f>
        <v/>
      </c>
      <c r="Z1684">
        <f>IF([2]Baskol!$J$1687="","",[2]Baskol!$J$1687)</f>
        <v/>
      </c>
      <c r="AA1684">
        <f>IF([2]Baskol!$K$1687="","",[2]Baskol!$K$1687)</f>
        <v/>
      </c>
      <c r="AB1684">
        <f>IF([2]Baskol!$L$1687="","",[2]Baskol!$L$1687)</f>
        <v/>
      </c>
      <c r="AC1684">
        <f>IF([2]Baskol!$N$1687="","",[2]Baskol!$N$1687)</f>
        <v/>
      </c>
      <c r="AD1684">
        <f>IF([2]Baskol!$O$1687="","",[2]Baskol!$O$1687)</f>
        <v/>
      </c>
      <c r="AE1684">
        <f>IF([3]Entry!$C$1687="","",[3]Entry!$C$1687)</f>
        <v/>
      </c>
      <c r="AF1684">
        <f>IF([3]Entry!$D$1687="","",[3]Entry!$D$1687)</f>
        <v/>
      </c>
      <c r="AG1684">
        <f>IF([3]Entry!$E$1687="","",[3]Entry!$E$1687)</f>
        <v/>
      </c>
      <c r="AH1684">
        <f>IF([3]Entry!$G$1687="","",[3]Entry!$G$1687)</f>
        <v/>
      </c>
      <c r="AI1684">
        <f>IF([3]Entry!$K$1687="","",[3]Entry!$K$1687)</f>
        <v/>
      </c>
      <c r="AJ1684">
        <f>IF([3]Entry!$L$1687="","",[3]Entry!$L$1687)</f>
        <v/>
      </c>
      <c r="AK1684">
        <f>IF([3]Entry!$M$1687="","",[3]Entry!$M$1687)</f>
        <v/>
      </c>
      <c r="AL1684">
        <f>IF([3]Entry!$N$1687="","",[3]Entry!$N$1687)</f>
        <v/>
      </c>
      <c r="AM1684">
        <f>IF([3]Entry!$R$1687="","",[3]Entry!$R$1687)</f>
        <v/>
      </c>
    </row>
    <row r="1685">
      <c r="T1685">
        <f>IF([2]Baskol!$B$1688="","",[2]Baskol!$B$1688)</f>
        <v/>
      </c>
      <c r="U1685">
        <f>IF([2]Baskol!$C$1688="","",[2]Baskol!$C$1688)</f>
        <v/>
      </c>
      <c r="V1685">
        <f>IF([2]Baskol!$D$1688="","",[2]Baskol!$D$1688)</f>
        <v/>
      </c>
      <c r="W1685">
        <f>IF([2]Baskol!$E$1688="","",[2]Baskol!$E$1688)</f>
        <v/>
      </c>
      <c r="X1685">
        <f>IF([2]Baskol!$G$1688="","",[2]Baskol!$G$1688)</f>
        <v/>
      </c>
      <c r="Y1685">
        <f>IF([2]Baskol!$I$1688="","",[2]Baskol!$I$1688)</f>
        <v/>
      </c>
      <c r="Z1685">
        <f>IF([2]Baskol!$J$1688="","",[2]Baskol!$J$1688)</f>
        <v/>
      </c>
      <c r="AA1685">
        <f>IF([2]Baskol!$K$1688="","",[2]Baskol!$K$1688)</f>
        <v/>
      </c>
      <c r="AB1685">
        <f>IF([2]Baskol!$L$1688="","",[2]Baskol!$L$1688)</f>
        <v/>
      </c>
      <c r="AC1685">
        <f>IF([2]Baskol!$N$1688="","",[2]Baskol!$N$1688)</f>
        <v/>
      </c>
      <c r="AD1685">
        <f>IF([2]Baskol!$O$1688="","",[2]Baskol!$O$1688)</f>
        <v/>
      </c>
      <c r="AE1685">
        <f>IF([3]Entry!$C$1688="","",[3]Entry!$C$1688)</f>
        <v/>
      </c>
      <c r="AF1685">
        <f>IF([3]Entry!$D$1688="","",[3]Entry!$D$1688)</f>
        <v/>
      </c>
      <c r="AG1685">
        <f>IF([3]Entry!$E$1688="","",[3]Entry!$E$1688)</f>
        <v/>
      </c>
      <c r="AH1685">
        <f>IF([3]Entry!$G$1688="","",[3]Entry!$G$1688)</f>
        <v/>
      </c>
      <c r="AI1685">
        <f>IF([3]Entry!$K$1688="","",[3]Entry!$K$1688)</f>
        <v/>
      </c>
      <c r="AJ1685">
        <f>IF([3]Entry!$L$1688="","",[3]Entry!$L$1688)</f>
        <v/>
      </c>
      <c r="AK1685">
        <f>IF([3]Entry!$M$1688="","",[3]Entry!$M$1688)</f>
        <v/>
      </c>
      <c r="AL1685">
        <f>IF([3]Entry!$N$1688="","",[3]Entry!$N$1688)</f>
        <v/>
      </c>
      <c r="AM1685">
        <f>IF([3]Entry!$R$1688="","",[3]Entry!$R$1688)</f>
        <v/>
      </c>
    </row>
    <row r="1686">
      <c r="T1686">
        <f>IF([2]Baskol!$B$1689="","",[2]Baskol!$B$1689)</f>
        <v/>
      </c>
      <c r="U1686">
        <f>IF([2]Baskol!$C$1689="","",[2]Baskol!$C$1689)</f>
        <v/>
      </c>
      <c r="V1686">
        <f>IF([2]Baskol!$D$1689="","",[2]Baskol!$D$1689)</f>
        <v/>
      </c>
      <c r="W1686">
        <f>IF([2]Baskol!$E$1689="","",[2]Baskol!$E$1689)</f>
        <v/>
      </c>
      <c r="X1686">
        <f>IF([2]Baskol!$G$1689="","",[2]Baskol!$G$1689)</f>
        <v/>
      </c>
      <c r="Y1686">
        <f>IF([2]Baskol!$I$1689="","",[2]Baskol!$I$1689)</f>
        <v/>
      </c>
      <c r="Z1686">
        <f>IF([2]Baskol!$J$1689="","",[2]Baskol!$J$1689)</f>
        <v/>
      </c>
      <c r="AA1686">
        <f>IF([2]Baskol!$K$1689="","",[2]Baskol!$K$1689)</f>
        <v/>
      </c>
      <c r="AB1686">
        <f>IF([2]Baskol!$L$1689="","",[2]Baskol!$L$1689)</f>
        <v/>
      </c>
      <c r="AC1686">
        <f>IF([2]Baskol!$N$1689="","",[2]Baskol!$N$1689)</f>
        <v/>
      </c>
      <c r="AD1686">
        <f>IF([2]Baskol!$O$1689="","",[2]Baskol!$O$1689)</f>
        <v/>
      </c>
      <c r="AE1686">
        <f>IF([3]Entry!$C$1689="","",[3]Entry!$C$1689)</f>
        <v/>
      </c>
      <c r="AF1686">
        <f>IF([3]Entry!$D$1689="","",[3]Entry!$D$1689)</f>
        <v/>
      </c>
      <c r="AG1686">
        <f>IF([3]Entry!$E$1689="","",[3]Entry!$E$1689)</f>
        <v/>
      </c>
      <c r="AH1686">
        <f>IF([3]Entry!$G$1689="","",[3]Entry!$G$1689)</f>
        <v/>
      </c>
      <c r="AI1686">
        <f>IF([3]Entry!$K$1689="","",[3]Entry!$K$1689)</f>
        <v/>
      </c>
      <c r="AJ1686">
        <f>IF([3]Entry!$L$1689="","",[3]Entry!$L$1689)</f>
        <v/>
      </c>
      <c r="AK1686">
        <f>IF([3]Entry!$M$1689="","",[3]Entry!$M$1689)</f>
        <v/>
      </c>
      <c r="AL1686">
        <f>IF([3]Entry!$N$1689="","",[3]Entry!$N$1689)</f>
        <v/>
      </c>
      <c r="AM1686">
        <f>IF([3]Entry!$R$1689="","",[3]Entry!$R$1689)</f>
        <v/>
      </c>
    </row>
    <row r="1687">
      <c r="T1687">
        <f>IF([2]Baskol!$B$1690="","",[2]Baskol!$B$1690)</f>
        <v/>
      </c>
      <c r="U1687">
        <f>IF([2]Baskol!$C$1690="","",[2]Baskol!$C$1690)</f>
        <v/>
      </c>
      <c r="V1687">
        <f>IF([2]Baskol!$D$1690="","",[2]Baskol!$D$1690)</f>
        <v/>
      </c>
      <c r="W1687">
        <f>IF([2]Baskol!$E$1690="","",[2]Baskol!$E$1690)</f>
        <v/>
      </c>
      <c r="X1687">
        <f>IF([2]Baskol!$G$1690="","",[2]Baskol!$G$1690)</f>
        <v/>
      </c>
      <c r="Y1687">
        <f>IF([2]Baskol!$I$1690="","",[2]Baskol!$I$1690)</f>
        <v/>
      </c>
      <c r="Z1687">
        <f>IF([2]Baskol!$J$1690="","",[2]Baskol!$J$1690)</f>
        <v/>
      </c>
      <c r="AA1687">
        <f>IF([2]Baskol!$K$1690="","",[2]Baskol!$K$1690)</f>
        <v/>
      </c>
      <c r="AB1687">
        <f>IF([2]Baskol!$L$1690="","",[2]Baskol!$L$1690)</f>
        <v/>
      </c>
      <c r="AC1687">
        <f>IF([2]Baskol!$N$1690="","",[2]Baskol!$N$1690)</f>
        <v/>
      </c>
      <c r="AD1687">
        <f>IF([2]Baskol!$O$1690="","",[2]Baskol!$O$1690)</f>
        <v/>
      </c>
      <c r="AE1687">
        <f>IF([3]Entry!$C$1690="","",[3]Entry!$C$1690)</f>
        <v/>
      </c>
      <c r="AF1687">
        <f>IF([3]Entry!$D$1690="","",[3]Entry!$D$1690)</f>
        <v/>
      </c>
      <c r="AG1687">
        <f>IF([3]Entry!$E$1690="","",[3]Entry!$E$1690)</f>
        <v/>
      </c>
      <c r="AH1687">
        <f>IF([3]Entry!$G$1690="","",[3]Entry!$G$1690)</f>
        <v/>
      </c>
      <c r="AI1687">
        <f>IF([3]Entry!$K$1690="","",[3]Entry!$K$1690)</f>
        <v/>
      </c>
      <c r="AJ1687">
        <f>IF([3]Entry!$L$1690="","",[3]Entry!$L$1690)</f>
        <v/>
      </c>
      <c r="AK1687">
        <f>IF([3]Entry!$M$1690="","",[3]Entry!$M$1690)</f>
        <v/>
      </c>
      <c r="AL1687">
        <f>IF([3]Entry!$N$1690="","",[3]Entry!$N$1690)</f>
        <v/>
      </c>
      <c r="AM1687">
        <f>IF([3]Entry!$R$1690="","",[3]Entry!$R$1690)</f>
        <v/>
      </c>
    </row>
    <row r="1688">
      <c r="T1688">
        <f>IF([2]Baskol!$B$1691="","",[2]Baskol!$B$1691)</f>
        <v/>
      </c>
      <c r="U1688">
        <f>IF([2]Baskol!$C$1691="","",[2]Baskol!$C$1691)</f>
        <v/>
      </c>
      <c r="V1688">
        <f>IF([2]Baskol!$D$1691="","",[2]Baskol!$D$1691)</f>
        <v/>
      </c>
      <c r="W1688">
        <f>IF([2]Baskol!$E$1691="","",[2]Baskol!$E$1691)</f>
        <v/>
      </c>
      <c r="X1688">
        <f>IF([2]Baskol!$G$1691="","",[2]Baskol!$G$1691)</f>
        <v/>
      </c>
      <c r="Y1688">
        <f>IF([2]Baskol!$I$1691="","",[2]Baskol!$I$1691)</f>
        <v/>
      </c>
      <c r="Z1688">
        <f>IF([2]Baskol!$J$1691="","",[2]Baskol!$J$1691)</f>
        <v/>
      </c>
      <c r="AA1688">
        <f>IF([2]Baskol!$K$1691="","",[2]Baskol!$K$1691)</f>
        <v/>
      </c>
      <c r="AB1688">
        <f>IF([2]Baskol!$L$1691="","",[2]Baskol!$L$1691)</f>
        <v/>
      </c>
      <c r="AC1688">
        <f>IF([2]Baskol!$N$1691="","",[2]Baskol!$N$1691)</f>
        <v/>
      </c>
      <c r="AD1688">
        <f>IF([2]Baskol!$O$1691="","",[2]Baskol!$O$1691)</f>
        <v/>
      </c>
      <c r="AE1688">
        <f>IF([3]Entry!$C$1691="","",[3]Entry!$C$1691)</f>
        <v/>
      </c>
      <c r="AF1688">
        <f>IF([3]Entry!$D$1691="","",[3]Entry!$D$1691)</f>
        <v/>
      </c>
      <c r="AG1688">
        <f>IF([3]Entry!$E$1691="","",[3]Entry!$E$1691)</f>
        <v/>
      </c>
      <c r="AH1688">
        <f>IF([3]Entry!$G$1691="","",[3]Entry!$G$1691)</f>
        <v/>
      </c>
      <c r="AI1688">
        <f>IF([3]Entry!$K$1691="","",[3]Entry!$K$1691)</f>
        <v/>
      </c>
      <c r="AJ1688">
        <f>IF([3]Entry!$L$1691="","",[3]Entry!$L$1691)</f>
        <v/>
      </c>
      <c r="AK1688">
        <f>IF([3]Entry!$M$1691="","",[3]Entry!$M$1691)</f>
        <v/>
      </c>
      <c r="AL1688">
        <f>IF([3]Entry!$N$1691="","",[3]Entry!$N$1691)</f>
        <v/>
      </c>
      <c r="AM1688">
        <f>IF([3]Entry!$R$1691="","",[3]Entry!$R$1691)</f>
        <v/>
      </c>
    </row>
    <row r="1689">
      <c r="T1689">
        <f>IF([2]Baskol!$B$1692="","",[2]Baskol!$B$1692)</f>
        <v/>
      </c>
      <c r="U1689">
        <f>IF([2]Baskol!$C$1692="","",[2]Baskol!$C$1692)</f>
        <v/>
      </c>
      <c r="V1689">
        <f>IF([2]Baskol!$D$1692="","",[2]Baskol!$D$1692)</f>
        <v/>
      </c>
      <c r="W1689">
        <f>IF([2]Baskol!$E$1692="","",[2]Baskol!$E$1692)</f>
        <v/>
      </c>
      <c r="X1689">
        <f>IF([2]Baskol!$G$1692="","",[2]Baskol!$G$1692)</f>
        <v/>
      </c>
      <c r="Y1689">
        <f>IF([2]Baskol!$I$1692="","",[2]Baskol!$I$1692)</f>
        <v/>
      </c>
      <c r="Z1689">
        <f>IF([2]Baskol!$J$1692="","",[2]Baskol!$J$1692)</f>
        <v/>
      </c>
      <c r="AA1689">
        <f>IF([2]Baskol!$K$1692="","",[2]Baskol!$K$1692)</f>
        <v/>
      </c>
      <c r="AB1689">
        <f>IF([2]Baskol!$L$1692="","",[2]Baskol!$L$1692)</f>
        <v/>
      </c>
      <c r="AC1689">
        <f>IF([2]Baskol!$N$1692="","",[2]Baskol!$N$1692)</f>
        <v/>
      </c>
      <c r="AD1689">
        <f>IF([2]Baskol!$O$1692="","",[2]Baskol!$O$1692)</f>
        <v/>
      </c>
      <c r="AE1689">
        <f>IF([3]Entry!$C$1692="","",[3]Entry!$C$1692)</f>
        <v/>
      </c>
      <c r="AF1689">
        <f>IF([3]Entry!$D$1692="","",[3]Entry!$D$1692)</f>
        <v/>
      </c>
      <c r="AG1689">
        <f>IF([3]Entry!$E$1692="","",[3]Entry!$E$1692)</f>
        <v/>
      </c>
      <c r="AH1689">
        <f>IF([3]Entry!$G$1692="","",[3]Entry!$G$1692)</f>
        <v/>
      </c>
      <c r="AI1689">
        <f>IF([3]Entry!$K$1692="","",[3]Entry!$K$1692)</f>
        <v/>
      </c>
      <c r="AJ1689">
        <f>IF([3]Entry!$L$1692="","",[3]Entry!$L$1692)</f>
        <v/>
      </c>
      <c r="AK1689">
        <f>IF([3]Entry!$M$1692="","",[3]Entry!$M$1692)</f>
        <v/>
      </c>
      <c r="AL1689">
        <f>IF([3]Entry!$N$1692="","",[3]Entry!$N$1692)</f>
        <v/>
      </c>
      <c r="AM1689">
        <f>IF([3]Entry!$R$1692="","",[3]Entry!$R$1692)</f>
        <v/>
      </c>
    </row>
    <row r="1690">
      <c r="T1690">
        <f>IF([2]Baskol!$B$1693="","",[2]Baskol!$B$1693)</f>
        <v/>
      </c>
      <c r="U1690">
        <f>IF([2]Baskol!$C$1693="","",[2]Baskol!$C$1693)</f>
        <v/>
      </c>
      <c r="V1690">
        <f>IF([2]Baskol!$D$1693="","",[2]Baskol!$D$1693)</f>
        <v/>
      </c>
      <c r="W1690">
        <f>IF([2]Baskol!$E$1693="","",[2]Baskol!$E$1693)</f>
        <v/>
      </c>
      <c r="X1690">
        <f>IF([2]Baskol!$G$1693="","",[2]Baskol!$G$1693)</f>
        <v/>
      </c>
      <c r="Y1690">
        <f>IF([2]Baskol!$I$1693="","",[2]Baskol!$I$1693)</f>
        <v/>
      </c>
      <c r="Z1690">
        <f>IF([2]Baskol!$J$1693="","",[2]Baskol!$J$1693)</f>
        <v/>
      </c>
      <c r="AA1690">
        <f>IF([2]Baskol!$K$1693="","",[2]Baskol!$K$1693)</f>
        <v/>
      </c>
      <c r="AB1690">
        <f>IF([2]Baskol!$L$1693="","",[2]Baskol!$L$1693)</f>
        <v/>
      </c>
      <c r="AC1690">
        <f>IF([2]Baskol!$N$1693="","",[2]Baskol!$N$1693)</f>
        <v/>
      </c>
      <c r="AD1690">
        <f>IF([2]Baskol!$O$1693="","",[2]Baskol!$O$1693)</f>
        <v/>
      </c>
      <c r="AE1690">
        <f>IF([3]Entry!$C$1693="","",[3]Entry!$C$1693)</f>
        <v/>
      </c>
      <c r="AF1690">
        <f>IF([3]Entry!$D$1693="","",[3]Entry!$D$1693)</f>
        <v/>
      </c>
      <c r="AG1690">
        <f>IF([3]Entry!$E$1693="","",[3]Entry!$E$1693)</f>
        <v/>
      </c>
      <c r="AH1690">
        <f>IF([3]Entry!$G$1693="","",[3]Entry!$G$1693)</f>
        <v/>
      </c>
      <c r="AI1690">
        <f>IF([3]Entry!$K$1693="","",[3]Entry!$K$1693)</f>
        <v/>
      </c>
      <c r="AJ1690">
        <f>IF([3]Entry!$L$1693="","",[3]Entry!$L$1693)</f>
        <v/>
      </c>
      <c r="AK1690">
        <f>IF([3]Entry!$M$1693="","",[3]Entry!$M$1693)</f>
        <v/>
      </c>
      <c r="AL1690">
        <f>IF([3]Entry!$N$1693="","",[3]Entry!$N$1693)</f>
        <v/>
      </c>
      <c r="AM1690">
        <f>IF([3]Entry!$R$1693="","",[3]Entry!$R$1693)</f>
        <v/>
      </c>
    </row>
    <row r="1691">
      <c r="T1691">
        <f>IF([2]Baskol!$B$1694="","",[2]Baskol!$B$1694)</f>
        <v/>
      </c>
      <c r="U1691">
        <f>IF([2]Baskol!$C$1694="","",[2]Baskol!$C$1694)</f>
        <v/>
      </c>
      <c r="V1691">
        <f>IF([2]Baskol!$D$1694="","",[2]Baskol!$D$1694)</f>
        <v/>
      </c>
      <c r="W1691">
        <f>IF([2]Baskol!$E$1694="","",[2]Baskol!$E$1694)</f>
        <v/>
      </c>
      <c r="X1691">
        <f>IF([2]Baskol!$G$1694="","",[2]Baskol!$G$1694)</f>
        <v/>
      </c>
      <c r="Y1691">
        <f>IF([2]Baskol!$I$1694="","",[2]Baskol!$I$1694)</f>
        <v/>
      </c>
      <c r="Z1691">
        <f>IF([2]Baskol!$J$1694="","",[2]Baskol!$J$1694)</f>
        <v/>
      </c>
      <c r="AA1691">
        <f>IF([2]Baskol!$K$1694="","",[2]Baskol!$K$1694)</f>
        <v/>
      </c>
      <c r="AB1691">
        <f>IF([2]Baskol!$L$1694="","",[2]Baskol!$L$1694)</f>
        <v/>
      </c>
      <c r="AC1691">
        <f>IF([2]Baskol!$N$1694="","",[2]Baskol!$N$1694)</f>
        <v/>
      </c>
      <c r="AD1691">
        <f>IF([2]Baskol!$O$1694="","",[2]Baskol!$O$1694)</f>
        <v/>
      </c>
      <c r="AE1691">
        <f>IF([3]Entry!$C$1694="","",[3]Entry!$C$1694)</f>
        <v/>
      </c>
      <c r="AF1691">
        <f>IF([3]Entry!$D$1694="","",[3]Entry!$D$1694)</f>
        <v/>
      </c>
      <c r="AG1691">
        <f>IF([3]Entry!$E$1694="","",[3]Entry!$E$1694)</f>
        <v/>
      </c>
      <c r="AH1691">
        <f>IF([3]Entry!$G$1694="","",[3]Entry!$G$1694)</f>
        <v/>
      </c>
      <c r="AI1691">
        <f>IF([3]Entry!$K$1694="","",[3]Entry!$K$1694)</f>
        <v/>
      </c>
      <c r="AJ1691">
        <f>IF([3]Entry!$L$1694="","",[3]Entry!$L$1694)</f>
        <v/>
      </c>
      <c r="AK1691">
        <f>IF([3]Entry!$M$1694="","",[3]Entry!$M$1694)</f>
        <v/>
      </c>
      <c r="AL1691">
        <f>IF([3]Entry!$N$1694="","",[3]Entry!$N$1694)</f>
        <v/>
      </c>
      <c r="AM1691">
        <f>IF([3]Entry!$R$1694="","",[3]Entry!$R$1694)</f>
        <v/>
      </c>
    </row>
    <row r="1692">
      <c r="T1692">
        <f>IF([2]Baskol!$B$1695="","",[2]Baskol!$B$1695)</f>
        <v/>
      </c>
      <c r="U1692">
        <f>IF([2]Baskol!$C$1695="","",[2]Baskol!$C$1695)</f>
        <v/>
      </c>
      <c r="V1692">
        <f>IF([2]Baskol!$D$1695="","",[2]Baskol!$D$1695)</f>
        <v/>
      </c>
      <c r="W1692">
        <f>IF([2]Baskol!$E$1695="","",[2]Baskol!$E$1695)</f>
        <v/>
      </c>
      <c r="X1692">
        <f>IF([2]Baskol!$G$1695="","",[2]Baskol!$G$1695)</f>
        <v/>
      </c>
      <c r="Y1692">
        <f>IF([2]Baskol!$I$1695="","",[2]Baskol!$I$1695)</f>
        <v/>
      </c>
      <c r="Z1692">
        <f>IF([2]Baskol!$J$1695="","",[2]Baskol!$J$1695)</f>
        <v/>
      </c>
      <c r="AA1692">
        <f>IF([2]Baskol!$K$1695="","",[2]Baskol!$K$1695)</f>
        <v/>
      </c>
      <c r="AB1692">
        <f>IF([2]Baskol!$L$1695="","",[2]Baskol!$L$1695)</f>
        <v/>
      </c>
      <c r="AC1692">
        <f>IF([2]Baskol!$N$1695="","",[2]Baskol!$N$1695)</f>
        <v/>
      </c>
      <c r="AD1692">
        <f>IF([2]Baskol!$O$1695="","",[2]Baskol!$O$1695)</f>
        <v/>
      </c>
      <c r="AE1692">
        <f>IF([3]Entry!$C$1695="","",[3]Entry!$C$1695)</f>
        <v/>
      </c>
      <c r="AF1692">
        <f>IF([3]Entry!$D$1695="","",[3]Entry!$D$1695)</f>
        <v/>
      </c>
      <c r="AG1692">
        <f>IF([3]Entry!$E$1695="","",[3]Entry!$E$1695)</f>
        <v/>
      </c>
      <c r="AH1692">
        <f>IF([3]Entry!$G$1695="","",[3]Entry!$G$1695)</f>
        <v/>
      </c>
      <c r="AI1692">
        <f>IF([3]Entry!$K$1695="","",[3]Entry!$K$1695)</f>
        <v/>
      </c>
      <c r="AJ1692">
        <f>IF([3]Entry!$L$1695="","",[3]Entry!$L$1695)</f>
        <v/>
      </c>
      <c r="AK1692">
        <f>IF([3]Entry!$M$1695="","",[3]Entry!$M$1695)</f>
        <v/>
      </c>
      <c r="AL1692">
        <f>IF([3]Entry!$N$1695="","",[3]Entry!$N$1695)</f>
        <v/>
      </c>
      <c r="AM1692">
        <f>IF([3]Entry!$R$1695="","",[3]Entry!$R$1695)</f>
        <v/>
      </c>
    </row>
    <row r="1693">
      <c r="T1693">
        <f>IF([2]Baskol!$B$1696="","",[2]Baskol!$B$1696)</f>
        <v/>
      </c>
      <c r="U1693">
        <f>IF([2]Baskol!$C$1696="","",[2]Baskol!$C$1696)</f>
        <v/>
      </c>
      <c r="V1693">
        <f>IF([2]Baskol!$D$1696="","",[2]Baskol!$D$1696)</f>
        <v/>
      </c>
      <c r="W1693">
        <f>IF([2]Baskol!$E$1696="","",[2]Baskol!$E$1696)</f>
        <v/>
      </c>
      <c r="X1693">
        <f>IF([2]Baskol!$G$1696="","",[2]Baskol!$G$1696)</f>
        <v/>
      </c>
      <c r="Y1693">
        <f>IF([2]Baskol!$I$1696="","",[2]Baskol!$I$1696)</f>
        <v/>
      </c>
      <c r="Z1693">
        <f>IF([2]Baskol!$J$1696="","",[2]Baskol!$J$1696)</f>
        <v/>
      </c>
      <c r="AA1693">
        <f>IF([2]Baskol!$K$1696="","",[2]Baskol!$K$1696)</f>
        <v/>
      </c>
      <c r="AB1693">
        <f>IF([2]Baskol!$L$1696="","",[2]Baskol!$L$1696)</f>
        <v/>
      </c>
      <c r="AC1693">
        <f>IF([2]Baskol!$N$1696="","",[2]Baskol!$N$1696)</f>
        <v/>
      </c>
      <c r="AD1693">
        <f>IF([2]Baskol!$O$1696="","",[2]Baskol!$O$1696)</f>
        <v/>
      </c>
      <c r="AE1693">
        <f>IF([3]Entry!$C$1696="","",[3]Entry!$C$1696)</f>
        <v/>
      </c>
      <c r="AF1693">
        <f>IF([3]Entry!$D$1696="","",[3]Entry!$D$1696)</f>
        <v/>
      </c>
      <c r="AG1693">
        <f>IF([3]Entry!$E$1696="","",[3]Entry!$E$1696)</f>
        <v/>
      </c>
      <c r="AH1693">
        <f>IF([3]Entry!$G$1696="","",[3]Entry!$G$1696)</f>
        <v/>
      </c>
      <c r="AI1693">
        <f>IF([3]Entry!$K$1696="","",[3]Entry!$K$1696)</f>
        <v/>
      </c>
      <c r="AJ1693">
        <f>IF([3]Entry!$L$1696="","",[3]Entry!$L$1696)</f>
        <v/>
      </c>
      <c r="AK1693">
        <f>IF([3]Entry!$M$1696="","",[3]Entry!$M$1696)</f>
        <v/>
      </c>
      <c r="AL1693">
        <f>IF([3]Entry!$N$1696="","",[3]Entry!$N$1696)</f>
        <v/>
      </c>
      <c r="AM1693">
        <f>IF([3]Entry!$R$1696="","",[3]Entry!$R$1696)</f>
        <v/>
      </c>
    </row>
    <row r="1694">
      <c r="T1694">
        <f>IF([2]Baskol!$B$1697="","",[2]Baskol!$B$1697)</f>
        <v/>
      </c>
      <c r="U1694">
        <f>IF([2]Baskol!$C$1697="","",[2]Baskol!$C$1697)</f>
        <v/>
      </c>
      <c r="V1694">
        <f>IF([2]Baskol!$D$1697="","",[2]Baskol!$D$1697)</f>
        <v/>
      </c>
      <c r="W1694">
        <f>IF([2]Baskol!$E$1697="","",[2]Baskol!$E$1697)</f>
        <v/>
      </c>
      <c r="X1694">
        <f>IF([2]Baskol!$G$1697="","",[2]Baskol!$G$1697)</f>
        <v/>
      </c>
      <c r="Y1694">
        <f>IF([2]Baskol!$I$1697="","",[2]Baskol!$I$1697)</f>
        <v/>
      </c>
      <c r="Z1694">
        <f>IF([2]Baskol!$J$1697="","",[2]Baskol!$J$1697)</f>
        <v/>
      </c>
      <c r="AA1694">
        <f>IF([2]Baskol!$K$1697="","",[2]Baskol!$K$1697)</f>
        <v/>
      </c>
      <c r="AB1694">
        <f>IF([2]Baskol!$L$1697="","",[2]Baskol!$L$1697)</f>
        <v/>
      </c>
      <c r="AC1694">
        <f>IF([2]Baskol!$N$1697="","",[2]Baskol!$N$1697)</f>
        <v/>
      </c>
      <c r="AD1694">
        <f>IF([2]Baskol!$O$1697="","",[2]Baskol!$O$1697)</f>
        <v/>
      </c>
      <c r="AE1694">
        <f>IF([3]Entry!$C$1697="","",[3]Entry!$C$1697)</f>
        <v/>
      </c>
      <c r="AF1694">
        <f>IF([3]Entry!$D$1697="","",[3]Entry!$D$1697)</f>
        <v/>
      </c>
      <c r="AG1694">
        <f>IF([3]Entry!$E$1697="","",[3]Entry!$E$1697)</f>
        <v/>
      </c>
      <c r="AH1694">
        <f>IF([3]Entry!$G$1697="","",[3]Entry!$G$1697)</f>
        <v/>
      </c>
      <c r="AI1694">
        <f>IF([3]Entry!$K$1697="","",[3]Entry!$K$1697)</f>
        <v/>
      </c>
      <c r="AJ1694">
        <f>IF([3]Entry!$L$1697="","",[3]Entry!$L$1697)</f>
        <v/>
      </c>
      <c r="AK1694">
        <f>IF([3]Entry!$M$1697="","",[3]Entry!$M$1697)</f>
        <v/>
      </c>
      <c r="AL1694">
        <f>IF([3]Entry!$N$1697="","",[3]Entry!$N$1697)</f>
        <v/>
      </c>
      <c r="AM1694">
        <f>IF([3]Entry!$R$1697="","",[3]Entry!$R$1697)</f>
        <v/>
      </c>
    </row>
    <row r="1695">
      <c r="T1695">
        <f>IF([2]Baskol!$B$1698="","",[2]Baskol!$B$1698)</f>
        <v/>
      </c>
      <c r="U1695">
        <f>IF([2]Baskol!$C$1698="","",[2]Baskol!$C$1698)</f>
        <v/>
      </c>
      <c r="V1695">
        <f>IF([2]Baskol!$D$1698="","",[2]Baskol!$D$1698)</f>
        <v/>
      </c>
      <c r="W1695">
        <f>IF([2]Baskol!$E$1698="","",[2]Baskol!$E$1698)</f>
        <v/>
      </c>
      <c r="X1695">
        <f>IF([2]Baskol!$G$1698="","",[2]Baskol!$G$1698)</f>
        <v/>
      </c>
      <c r="Y1695">
        <f>IF([2]Baskol!$I$1698="","",[2]Baskol!$I$1698)</f>
        <v/>
      </c>
      <c r="Z1695">
        <f>IF([2]Baskol!$J$1698="","",[2]Baskol!$J$1698)</f>
        <v/>
      </c>
      <c r="AA1695">
        <f>IF([2]Baskol!$K$1698="","",[2]Baskol!$K$1698)</f>
        <v/>
      </c>
      <c r="AB1695">
        <f>IF([2]Baskol!$L$1698="","",[2]Baskol!$L$1698)</f>
        <v/>
      </c>
      <c r="AC1695">
        <f>IF([2]Baskol!$N$1698="","",[2]Baskol!$N$1698)</f>
        <v/>
      </c>
      <c r="AD1695">
        <f>IF([2]Baskol!$O$1698="","",[2]Baskol!$O$1698)</f>
        <v/>
      </c>
      <c r="AE1695">
        <f>IF([3]Entry!$C$1698="","",[3]Entry!$C$1698)</f>
        <v/>
      </c>
      <c r="AF1695">
        <f>IF([3]Entry!$D$1698="","",[3]Entry!$D$1698)</f>
        <v/>
      </c>
      <c r="AG1695">
        <f>IF([3]Entry!$E$1698="","",[3]Entry!$E$1698)</f>
        <v/>
      </c>
      <c r="AH1695">
        <f>IF([3]Entry!$G$1698="","",[3]Entry!$G$1698)</f>
        <v/>
      </c>
      <c r="AI1695">
        <f>IF([3]Entry!$K$1698="","",[3]Entry!$K$1698)</f>
        <v/>
      </c>
      <c r="AJ1695">
        <f>IF([3]Entry!$L$1698="","",[3]Entry!$L$1698)</f>
        <v/>
      </c>
      <c r="AK1695">
        <f>IF([3]Entry!$M$1698="","",[3]Entry!$M$1698)</f>
        <v/>
      </c>
      <c r="AL1695">
        <f>IF([3]Entry!$N$1698="","",[3]Entry!$N$1698)</f>
        <v/>
      </c>
      <c r="AM1695">
        <f>IF([3]Entry!$R$1698="","",[3]Entry!$R$1698)</f>
        <v/>
      </c>
    </row>
    <row r="1696">
      <c r="T1696">
        <f>IF([2]Baskol!$B$1699="","",[2]Baskol!$B$1699)</f>
        <v/>
      </c>
      <c r="U1696">
        <f>IF([2]Baskol!$C$1699="","",[2]Baskol!$C$1699)</f>
        <v/>
      </c>
      <c r="V1696">
        <f>IF([2]Baskol!$D$1699="","",[2]Baskol!$D$1699)</f>
        <v/>
      </c>
      <c r="W1696">
        <f>IF([2]Baskol!$E$1699="","",[2]Baskol!$E$1699)</f>
        <v/>
      </c>
      <c r="X1696">
        <f>IF([2]Baskol!$G$1699="","",[2]Baskol!$G$1699)</f>
        <v/>
      </c>
      <c r="Y1696">
        <f>IF([2]Baskol!$I$1699="","",[2]Baskol!$I$1699)</f>
        <v/>
      </c>
      <c r="Z1696">
        <f>IF([2]Baskol!$J$1699="","",[2]Baskol!$J$1699)</f>
        <v/>
      </c>
      <c r="AA1696">
        <f>IF([2]Baskol!$K$1699="","",[2]Baskol!$K$1699)</f>
        <v/>
      </c>
      <c r="AB1696">
        <f>IF([2]Baskol!$L$1699="","",[2]Baskol!$L$1699)</f>
        <v/>
      </c>
      <c r="AC1696">
        <f>IF([2]Baskol!$N$1699="","",[2]Baskol!$N$1699)</f>
        <v/>
      </c>
      <c r="AD1696">
        <f>IF([2]Baskol!$O$1699="","",[2]Baskol!$O$1699)</f>
        <v/>
      </c>
      <c r="AE1696">
        <f>IF([3]Entry!$C$1699="","",[3]Entry!$C$1699)</f>
        <v/>
      </c>
      <c r="AF1696">
        <f>IF([3]Entry!$D$1699="","",[3]Entry!$D$1699)</f>
        <v/>
      </c>
      <c r="AG1696">
        <f>IF([3]Entry!$E$1699="","",[3]Entry!$E$1699)</f>
        <v/>
      </c>
      <c r="AH1696">
        <f>IF([3]Entry!$G$1699="","",[3]Entry!$G$1699)</f>
        <v/>
      </c>
      <c r="AI1696">
        <f>IF([3]Entry!$K$1699="","",[3]Entry!$K$1699)</f>
        <v/>
      </c>
      <c r="AJ1696">
        <f>IF([3]Entry!$L$1699="","",[3]Entry!$L$1699)</f>
        <v/>
      </c>
      <c r="AK1696">
        <f>IF([3]Entry!$M$1699="","",[3]Entry!$M$1699)</f>
        <v/>
      </c>
      <c r="AL1696">
        <f>IF([3]Entry!$N$1699="","",[3]Entry!$N$1699)</f>
        <v/>
      </c>
      <c r="AM1696">
        <f>IF([3]Entry!$R$1699="","",[3]Entry!$R$1699)</f>
        <v/>
      </c>
    </row>
    <row r="1697">
      <c r="T1697">
        <f>IF([2]Baskol!$B$1700="","",[2]Baskol!$B$1700)</f>
        <v/>
      </c>
      <c r="U1697">
        <f>IF([2]Baskol!$C$1700="","",[2]Baskol!$C$1700)</f>
        <v/>
      </c>
      <c r="V1697">
        <f>IF([2]Baskol!$D$1700="","",[2]Baskol!$D$1700)</f>
        <v/>
      </c>
      <c r="W1697">
        <f>IF([2]Baskol!$E$1700="","",[2]Baskol!$E$1700)</f>
        <v/>
      </c>
      <c r="X1697">
        <f>IF([2]Baskol!$G$1700="","",[2]Baskol!$G$1700)</f>
        <v/>
      </c>
      <c r="Y1697">
        <f>IF([2]Baskol!$I$1700="","",[2]Baskol!$I$1700)</f>
        <v/>
      </c>
      <c r="Z1697">
        <f>IF([2]Baskol!$J$1700="","",[2]Baskol!$J$1700)</f>
        <v/>
      </c>
      <c r="AA1697">
        <f>IF([2]Baskol!$K$1700="","",[2]Baskol!$K$1700)</f>
        <v/>
      </c>
      <c r="AB1697">
        <f>IF([2]Baskol!$L$1700="","",[2]Baskol!$L$1700)</f>
        <v/>
      </c>
      <c r="AC1697">
        <f>IF([2]Baskol!$N$1700="","",[2]Baskol!$N$1700)</f>
        <v/>
      </c>
      <c r="AD1697">
        <f>IF([2]Baskol!$O$1700="","",[2]Baskol!$O$1700)</f>
        <v/>
      </c>
      <c r="AE1697">
        <f>IF([3]Entry!$C$1700="","",[3]Entry!$C$1700)</f>
        <v/>
      </c>
      <c r="AF1697">
        <f>IF([3]Entry!$D$1700="","",[3]Entry!$D$1700)</f>
        <v/>
      </c>
      <c r="AG1697">
        <f>IF([3]Entry!$E$1700="","",[3]Entry!$E$1700)</f>
        <v/>
      </c>
      <c r="AH1697">
        <f>IF([3]Entry!$G$1700="","",[3]Entry!$G$1700)</f>
        <v/>
      </c>
      <c r="AI1697">
        <f>IF([3]Entry!$K$1700="","",[3]Entry!$K$1700)</f>
        <v/>
      </c>
      <c r="AJ1697">
        <f>IF([3]Entry!$L$1700="","",[3]Entry!$L$1700)</f>
        <v/>
      </c>
      <c r="AK1697">
        <f>IF([3]Entry!$M$1700="","",[3]Entry!$M$1700)</f>
        <v/>
      </c>
      <c r="AL1697">
        <f>IF([3]Entry!$N$1700="","",[3]Entry!$N$1700)</f>
        <v/>
      </c>
      <c r="AM1697">
        <f>IF([3]Entry!$R$1700="","",[3]Entry!$R$1700)</f>
        <v/>
      </c>
    </row>
    <row r="1698">
      <c r="T1698">
        <f>IF([2]Baskol!$B$1701="","",[2]Baskol!$B$1701)</f>
        <v/>
      </c>
      <c r="U1698">
        <f>IF([2]Baskol!$C$1701="","",[2]Baskol!$C$1701)</f>
        <v/>
      </c>
      <c r="V1698">
        <f>IF([2]Baskol!$D$1701="","",[2]Baskol!$D$1701)</f>
        <v/>
      </c>
      <c r="W1698">
        <f>IF([2]Baskol!$E$1701="","",[2]Baskol!$E$1701)</f>
        <v/>
      </c>
      <c r="X1698">
        <f>IF([2]Baskol!$G$1701="","",[2]Baskol!$G$1701)</f>
        <v/>
      </c>
      <c r="Y1698">
        <f>IF([2]Baskol!$I$1701="","",[2]Baskol!$I$1701)</f>
        <v/>
      </c>
      <c r="Z1698">
        <f>IF([2]Baskol!$J$1701="","",[2]Baskol!$J$1701)</f>
        <v/>
      </c>
      <c r="AA1698">
        <f>IF([2]Baskol!$K$1701="","",[2]Baskol!$K$1701)</f>
        <v/>
      </c>
      <c r="AB1698">
        <f>IF([2]Baskol!$L$1701="","",[2]Baskol!$L$1701)</f>
        <v/>
      </c>
      <c r="AC1698">
        <f>IF([2]Baskol!$N$1701="","",[2]Baskol!$N$1701)</f>
        <v/>
      </c>
      <c r="AD1698">
        <f>IF([2]Baskol!$O$1701="","",[2]Baskol!$O$1701)</f>
        <v/>
      </c>
      <c r="AE1698">
        <f>IF([3]Entry!$C$1701="","",[3]Entry!$C$1701)</f>
        <v/>
      </c>
      <c r="AF1698">
        <f>IF([3]Entry!$D$1701="","",[3]Entry!$D$1701)</f>
        <v/>
      </c>
      <c r="AG1698">
        <f>IF([3]Entry!$E$1701="","",[3]Entry!$E$1701)</f>
        <v/>
      </c>
      <c r="AH1698">
        <f>IF([3]Entry!$G$1701="","",[3]Entry!$G$1701)</f>
        <v/>
      </c>
      <c r="AI1698">
        <f>IF([3]Entry!$K$1701="","",[3]Entry!$K$1701)</f>
        <v/>
      </c>
      <c r="AJ1698">
        <f>IF([3]Entry!$L$1701="","",[3]Entry!$L$1701)</f>
        <v/>
      </c>
      <c r="AK1698">
        <f>IF([3]Entry!$M$1701="","",[3]Entry!$M$1701)</f>
        <v/>
      </c>
      <c r="AL1698">
        <f>IF([3]Entry!$N$1701="","",[3]Entry!$N$1701)</f>
        <v/>
      </c>
      <c r="AM1698">
        <f>IF([3]Entry!$R$1701="","",[3]Entry!$R$1701)</f>
        <v/>
      </c>
    </row>
    <row r="1699">
      <c r="T1699">
        <f>IF([2]Baskol!$B$1702="","",[2]Baskol!$B$1702)</f>
        <v/>
      </c>
      <c r="U1699">
        <f>IF([2]Baskol!$C$1702="","",[2]Baskol!$C$1702)</f>
        <v/>
      </c>
      <c r="V1699">
        <f>IF([2]Baskol!$D$1702="","",[2]Baskol!$D$1702)</f>
        <v/>
      </c>
      <c r="W1699">
        <f>IF([2]Baskol!$E$1702="","",[2]Baskol!$E$1702)</f>
        <v/>
      </c>
      <c r="X1699">
        <f>IF([2]Baskol!$G$1702="","",[2]Baskol!$G$1702)</f>
        <v/>
      </c>
      <c r="Y1699">
        <f>IF([2]Baskol!$I$1702="","",[2]Baskol!$I$1702)</f>
        <v/>
      </c>
      <c r="Z1699">
        <f>IF([2]Baskol!$J$1702="","",[2]Baskol!$J$1702)</f>
        <v/>
      </c>
      <c r="AA1699">
        <f>IF([2]Baskol!$K$1702="","",[2]Baskol!$K$1702)</f>
        <v/>
      </c>
      <c r="AB1699">
        <f>IF([2]Baskol!$L$1702="","",[2]Baskol!$L$1702)</f>
        <v/>
      </c>
      <c r="AC1699">
        <f>IF([2]Baskol!$N$1702="","",[2]Baskol!$N$1702)</f>
        <v/>
      </c>
      <c r="AD1699">
        <f>IF([2]Baskol!$O$1702="","",[2]Baskol!$O$1702)</f>
        <v/>
      </c>
      <c r="AE1699">
        <f>IF([3]Entry!$C$1702="","",[3]Entry!$C$1702)</f>
        <v/>
      </c>
      <c r="AF1699">
        <f>IF([3]Entry!$D$1702="","",[3]Entry!$D$1702)</f>
        <v/>
      </c>
      <c r="AG1699">
        <f>IF([3]Entry!$E$1702="","",[3]Entry!$E$1702)</f>
        <v/>
      </c>
      <c r="AH1699">
        <f>IF([3]Entry!$G$1702="","",[3]Entry!$G$1702)</f>
        <v/>
      </c>
      <c r="AI1699">
        <f>IF([3]Entry!$K$1702="","",[3]Entry!$K$1702)</f>
        <v/>
      </c>
      <c r="AJ1699">
        <f>IF([3]Entry!$L$1702="","",[3]Entry!$L$1702)</f>
        <v/>
      </c>
      <c r="AK1699">
        <f>IF([3]Entry!$M$1702="","",[3]Entry!$M$1702)</f>
        <v/>
      </c>
      <c r="AL1699">
        <f>IF([3]Entry!$N$1702="","",[3]Entry!$N$1702)</f>
        <v/>
      </c>
      <c r="AM1699">
        <f>IF([3]Entry!$R$1702="","",[3]Entry!$R$1702)</f>
        <v/>
      </c>
    </row>
    <row r="1700">
      <c r="T1700">
        <f>IF([2]Baskol!$B$1703="","",[2]Baskol!$B$1703)</f>
        <v/>
      </c>
      <c r="U1700">
        <f>IF([2]Baskol!$C$1703="","",[2]Baskol!$C$1703)</f>
        <v/>
      </c>
      <c r="V1700">
        <f>IF([2]Baskol!$D$1703="","",[2]Baskol!$D$1703)</f>
        <v/>
      </c>
      <c r="W1700">
        <f>IF([2]Baskol!$E$1703="","",[2]Baskol!$E$1703)</f>
        <v/>
      </c>
      <c r="X1700">
        <f>IF([2]Baskol!$G$1703="","",[2]Baskol!$G$1703)</f>
        <v/>
      </c>
      <c r="Y1700">
        <f>IF([2]Baskol!$I$1703="","",[2]Baskol!$I$1703)</f>
        <v/>
      </c>
      <c r="Z1700">
        <f>IF([2]Baskol!$J$1703="","",[2]Baskol!$J$1703)</f>
        <v/>
      </c>
      <c r="AA1700">
        <f>IF([2]Baskol!$K$1703="","",[2]Baskol!$K$1703)</f>
        <v/>
      </c>
      <c r="AB1700">
        <f>IF([2]Baskol!$L$1703="","",[2]Baskol!$L$1703)</f>
        <v/>
      </c>
      <c r="AC1700">
        <f>IF([2]Baskol!$N$1703="","",[2]Baskol!$N$1703)</f>
        <v/>
      </c>
      <c r="AD1700">
        <f>IF([2]Baskol!$O$1703="","",[2]Baskol!$O$1703)</f>
        <v/>
      </c>
      <c r="AE1700">
        <f>IF([3]Entry!$C$1703="","",[3]Entry!$C$1703)</f>
        <v/>
      </c>
      <c r="AF1700">
        <f>IF([3]Entry!$D$1703="","",[3]Entry!$D$1703)</f>
        <v/>
      </c>
      <c r="AG1700">
        <f>IF([3]Entry!$E$1703="","",[3]Entry!$E$1703)</f>
        <v/>
      </c>
      <c r="AH1700">
        <f>IF([3]Entry!$G$1703="","",[3]Entry!$G$1703)</f>
        <v/>
      </c>
      <c r="AI1700">
        <f>IF([3]Entry!$K$1703="","",[3]Entry!$K$1703)</f>
        <v/>
      </c>
      <c r="AJ1700">
        <f>IF([3]Entry!$L$1703="","",[3]Entry!$L$1703)</f>
        <v/>
      </c>
      <c r="AK1700">
        <f>IF([3]Entry!$M$1703="","",[3]Entry!$M$1703)</f>
        <v/>
      </c>
      <c r="AL1700">
        <f>IF([3]Entry!$N$1703="","",[3]Entry!$N$1703)</f>
        <v/>
      </c>
      <c r="AM1700">
        <f>IF([3]Entry!$R$1703="","",[3]Entry!$R$1703)</f>
        <v/>
      </c>
    </row>
    <row r="1701">
      <c r="T1701">
        <f>IF([2]Baskol!$B$1704="","",[2]Baskol!$B$1704)</f>
        <v/>
      </c>
      <c r="U1701">
        <f>IF([2]Baskol!$C$1704="","",[2]Baskol!$C$1704)</f>
        <v/>
      </c>
      <c r="V1701">
        <f>IF([2]Baskol!$D$1704="","",[2]Baskol!$D$1704)</f>
        <v/>
      </c>
      <c r="W1701">
        <f>IF([2]Baskol!$E$1704="","",[2]Baskol!$E$1704)</f>
        <v/>
      </c>
      <c r="X1701">
        <f>IF([2]Baskol!$G$1704="","",[2]Baskol!$G$1704)</f>
        <v/>
      </c>
      <c r="Y1701">
        <f>IF([2]Baskol!$I$1704="","",[2]Baskol!$I$1704)</f>
        <v/>
      </c>
      <c r="Z1701">
        <f>IF([2]Baskol!$J$1704="","",[2]Baskol!$J$1704)</f>
        <v/>
      </c>
      <c r="AA1701">
        <f>IF([2]Baskol!$K$1704="","",[2]Baskol!$K$1704)</f>
        <v/>
      </c>
      <c r="AB1701">
        <f>IF([2]Baskol!$L$1704="","",[2]Baskol!$L$1704)</f>
        <v/>
      </c>
      <c r="AC1701">
        <f>IF([2]Baskol!$N$1704="","",[2]Baskol!$N$1704)</f>
        <v/>
      </c>
      <c r="AD1701">
        <f>IF([2]Baskol!$O$1704="","",[2]Baskol!$O$1704)</f>
        <v/>
      </c>
      <c r="AE1701">
        <f>IF([3]Entry!$C$1704="","",[3]Entry!$C$1704)</f>
        <v/>
      </c>
      <c r="AF1701">
        <f>IF([3]Entry!$D$1704="","",[3]Entry!$D$1704)</f>
        <v/>
      </c>
      <c r="AG1701">
        <f>IF([3]Entry!$E$1704="","",[3]Entry!$E$1704)</f>
        <v/>
      </c>
      <c r="AH1701">
        <f>IF([3]Entry!$G$1704="","",[3]Entry!$G$1704)</f>
        <v/>
      </c>
      <c r="AI1701">
        <f>IF([3]Entry!$K$1704="","",[3]Entry!$K$1704)</f>
        <v/>
      </c>
      <c r="AJ1701">
        <f>IF([3]Entry!$L$1704="","",[3]Entry!$L$1704)</f>
        <v/>
      </c>
      <c r="AK1701">
        <f>IF([3]Entry!$M$1704="","",[3]Entry!$M$1704)</f>
        <v/>
      </c>
      <c r="AL1701">
        <f>IF([3]Entry!$N$1704="","",[3]Entry!$N$1704)</f>
        <v/>
      </c>
      <c r="AM1701">
        <f>IF([3]Entry!$R$1704="","",[3]Entry!$R$1704)</f>
        <v/>
      </c>
    </row>
    <row r="1702">
      <c r="T1702">
        <f>IF([2]Baskol!$B$1705="","",[2]Baskol!$B$1705)</f>
        <v/>
      </c>
      <c r="U1702">
        <f>IF([2]Baskol!$C$1705="","",[2]Baskol!$C$1705)</f>
        <v/>
      </c>
      <c r="V1702">
        <f>IF([2]Baskol!$D$1705="","",[2]Baskol!$D$1705)</f>
        <v/>
      </c>
      <c r="W1702">
        <f>IF([2]Baskol!$E$1705="","",[2]Baskol!$E$1705)</f>
        <v/>
      </c>
      <c r="X1702">
        <f>IF([2]Baskol!$G$1705="","",[2]Baskol!$G$1705)</f>
        <v/>
      </c>
      <c r="Y1702">
        <f>IF([2]Baskol!$I$1705="","",[2]Baskol!$I$1705)</f>
        <v/>
      </c>
      <c r="Z1702">
        <f>IF([2]Baskol!$J$1705="","",[2]Baskol!$J$1705)</f>
        <v/>
      </c>
      <c r="AA1702">
        <f>IF([2]Baskol!$K$1705="","",[2]Baskol!$K$1705)</f>
        <v/>
      </c>
      <c r="AB1702">
        <f>IF([2]Baskol!$L$1705="","",[2]Baskol!$L$1705)</f>
        <v/>
      </c>
      <c r="AC1702">
        <f>IF([2]Baskol!$N$1705="","",[2]Baskol!$N$1705)</f>
        <v/>
      </c>
      <c r="AD1702">
        <f>IF([2]Baskol!$O$1705="","",[2]Baskol!$O$1705)</f>
        <v/>
      </c>
      <c r="AE1702">
        <f>IF([3]Entry!$C$1705="","",[3]Entry!$C$1705)</f>
        <v/>
      </c>
      <c r="AF1702">
        <f>IF([3]Entry!$D$1705="","",[3]Entry!$D$1705)</f>
        <v/>
      </c>
      <c r="AG1702">
        <f>IF([3]Entry!$E$1705="","",[3]Entry!$E$1705)</f>
        <v/>
      </c>
      <c r="AH1702">
        <f>IF([3]Entry!$G$1705="","",[3]Entry!$G$1705)</f>
        <v/>
      </c>
      <c r="AI1702">
        <f>IF([3]Entry!$K$1705="","",[3]Entry!$K$1705)</f>
        <v/>
      </c>
      <c r="AJ1702">
        <f>IF([3]Entry!$L$1705="","",[3]Entry!$L$1705)</f>
        <v/>
      </c>
      <c r="AK1702">
        <f>IF([3]Entry!$M$1705="","",[3]Entry!$M$1705)</f>
        <v/>
      </c>
      <c r="AL1702">
        <f>IF([3]Entry!$N$1705="","",[3]Entry!$N$1705)</f>
        <v/>
      </c>
      <c r="AM1702">
        <f>IF([3]Entry!$R$1705="","",[3]Entry!$R$1705)</f>
        <v/>
      </c>
    </row>
    <row r="1703">
      <c r="T1703">
        <f>IF([2]Baskol!$B$1706="","",[2]Baskol!$B$1706)</f>
        <v/>
      </c>
      <c r="U1703">
        <f>IF([2]Baskol!$C$1706="","",[2]Baskol!$C$1706)</f>
        <v/>
      </c>
      <c r="V1703">
        <f>IF([2]Baskol!$D$1706="","",[2]Baskol!$D$1706)</f>
        <v/>
      </c>
      <c r="W1703">
        <f>IF([2]Baskol!$E$1706="","",[2]Baskol!$E$1706)</f>
        <v/>
      </c>
      <c r="X1703">
        <f>IF([2]Baskol!$G$1706="","",[2]Baskol!$G$1706)</f>
        <v/>
      </c>
      <c r="Y1703">
        <f>IF([2]Baskol!$I$1706="","",[2]Baskol!$I$1706)</f>
        <v/>
      </c>
      <c r="Z1703">
        <f>IF([2]Baskol!$J$1706="","",[2]Baskol!$J$1706)</f>
        <v/>
      </c>
      <c r="AA1703">
        <f>IF([2]Baskol!$K$1706="","",[2]Baskol!$K$1706)</f>
        <v/>
      </c>
      <c r="AB1703">
        <f>IF([2]Baskol!$L$1706="","",[2]Baskol!$L$1706)</f>
        <v/>
      </c>
      <c r="AC1703">
        <f>IF([2]Baskol!$N$1706="","",[2]Baskol!$N$1706)</f>
        <v/>
      </c>
      <c r="AD1703">
        <f>IF([2]Baskol!$O$1706="","",[2]Baskol!$O$1706)</f>
        <v/>
      </c>
      <c r="AE1703">
        <f>IF([3]Entry!$C$1706="","",[3]Entry!$C$1706)</f>
        <v/>
      </c>
      <c r="AF1703">
        <f>IF([3]Entry!$D$1706="","",[3]Entry!$D$1706)</f>
        <v/>
      </c>
      <c r="AG1703">
        <f>IF([3]Entry!$E$1706="","",[3]Entry!$E$1706)</f>
        <v/>
      </c>
      <c r="AH1703">
        <f>IF([3]Entry!$G$1706="","",[3]Entry!$G$1706)</f>
        <v/>
      </c>
      <c r="AI1703">
        <f>IF([3]Entry!$K$1706="","",[3]Entry!$K$1706)</f>
        <v/>
      </c>
      <c r="AJ1703">
        <f>IF([3]Entry!$L$1706="","",[3]Entry!$L$1706)</f>
        <v/>
      </c>
      <c r="AK1703">
        <f>IF([3]Entry!$M$1706="","",[3]Entry!$M$1706)</f>
        <v/>
      </c>
      <c r="AL1703">
        <f>IF([3]Entry!$N$1706="","",[3]Entry!$N$1706)</f>
        <v/>
      </c>
      <c r="AM1703">
        <f>IF([3]Entry!$R$1706="","",[3]Entry!$R$1706)</f>
        <v/>
      </c>
    </row>
    <row r="1704">
      <c r="T1704">
        <f>IF([2]Baskol!$B$1707="","",[2]Baskol!$B$1707)</f>
        <v/>
      </c>
      <c r="U1704">
        <f>IF([2]Baskol!$C$1707="","",[2]Baskol!$C$1707)</f>
        <v/>
      </c>
      <c r="V1704">
        <f>IF([2]Baskol!$D$1707="","",[2]Baskol!$D$1707)</f>
        <v/>
      </c>
      <c r="W1704">
        <f>IF([2]Baskol!$E$1707="","",[2]Baskol!$E$1707)</f>
        <v/>
      </c>
      <c r="X1704">
        <f>IF([2]Baskol!$G$1707="","",[2]Baskol!$G$1707)</f>
        <v/>
      </c>
      <c r="Y1704">
        <f>IF([2]Baskol!$I$1707="","",[2]Baskol!$I$1707)</f>
        <v/>
      </c>
      <c r="Z1704">
        <f>IF([2]Baskol!$J$1707="","",[2]Baskol!$J$1707)</f>
        <v/>
      </c>
      <c r="AA1704">
        <f>IF([2]Baskol!$K$1707="","",[2]Baskol!$K$1707)</f>
        <v/>
      </c>
      <c r="AB1704">
        <f>IF([2]Baskol!$L$1707="","",[2]Baskol!$L$1707)</f>
        <v/>
      </c>
      <c r="AC1704">
        <f>IF([2]Baskol!$N$1707="","",[2]Baskol!$N$1707)</f>
        <v/>
      </c>
      <c r="AD1704">
        <f>IF([2]Baskol!$O$1707="","",[2]Baskol!$O$1707)</f>
        <v/>
      </c>
      <c r="AE1704">
        <f>IF([3]Entry!$C$1707="","",[3]Entry!$C$1707)</f>
        <v/>
      </c>
      <c r="AF1704">
        <f>IF([3]Entry!$D$1707="","",[3]Entry!$D$1707)</f>
        <v/>
      </c>
      <c r="AG1704">
        <f>IF([3]Entry!$E$1707="","",[3]Entry!$E$1707)</f>
        <v/>
      </c>
      <c r="AH1704">
        <f>IF([3]Entry!$G$1707="","",[3]Entry!$G$1707)</f>
        <v/>
      </c>
      <c r="AI1704">
        <f>IF([3]Entry!$K$1707="","",[3]Entry!$K$1707)</f>
        <v/>
      </c>
      <c r="AJ1704">
        <f>IF([3]Entry!$L$1707="","",[3]Entry!$L$1707)</f>
        <v/>
      </c>
      <c r="AK1704">
        <f>IF([3]Entry!$M$1707="","",[3]Entry!$M$1707)</f>
        <v/>
      </c>
      <c r="AL1704">
        <f>IF([3]Entry!$N$1707="","",[3]Entry!$N$1707)</f>
        <v/>
      </c>
      <c r="AM1704">
        <f>IF([3]Entry!$R$1707="","",[3]Entry!$R$1707)</f>
        <v/>
      </c>
    </row>
    <row r="1705">
      <c r="T1705">
        <f>IF([2]Baskol!$B$1708="","",[2]Baskol!$B$1708)</f>
        <v/>
      </c>
      <c r="U1705">
        <f>IF([2]Baskol!$C$1708="","",[2]Baskol!$C$1708)</f>
        <v/>
      </c>
      <c r="V1705">
        <f>IF([2]Baskol!$D$1708="","",[2]Baskol!$D$1708)</f>
        <v/>
      </c>
      <c r="W1705">
        <f>IF([2]Baskol!$E$1708="","",[2]Baskol!$E$1708)</f>
        <v/>
      </c>
      <c r="X1705">
        <f>IF([2]Baskol!$G$1708="","",[2]Baskol!$G$1708)</f>
        <v/>
      </c>
      <c r="Y1705">
        <f>IF([2]Baskol!$I$1708="","",[2]Baskol!$I$1708)</f>
        <v/>
      </c>
      <c r="Z1705">
        <f>IF([2]Baskol!$J$1708="","",[2]Baskol!$J$1708)</f>
        <v/>
      </c>
      <c r="AA1705">
        <f>IF([2]Baskol!$K$1708="","",[2]Baskol!$K$1708)</f>
        <v/>
      </c>
      <c r="AB1705">
        <f>IF([2]Baskol!$L$1708="","",[2]Baskol!$L$1708)</f>
        <v/>
      </c>
      <c r="AC1705">
        <f>IF([2]Baskol!$N$1708="","",[2]Baskol!$N$1708)</f>
        <v/>
      </c>
      <c r="AD1705">
        <f>IF([2]Baskol!$O$1708="","",[2]Baskol!$O$1708)</f>
        <v/>
      </c>
      <c r="AE1705">
        <f>IF([3]Entry!$C$1708="","",[3]Entry!$C$1708)</f>
        <v/>
      </c>
      <c r="AF1705">
        <f>IF([3]Entry!$D$1708="","",[3]Entry!$D$1708)</f>
        <v/>
      </c>
      <c r="AG1705">
        <f>IF([3]Entry!$E$1708="","",[3]Entry!$E$1708)</f>
        <v/>
      </c>
      <c r="AH1705">
        <f>IF([3]Entry!$G$1708="","",[3]Entry!$G$1708)</f>
        <v/>
      </c>
      <c r="AI1705">
        <f>IF([3]Entry!$K$1708="","",[3]Entry!$K$1708)</f>
        <v/>
      </c>
      <c r="AJ1705">
        <f>IF([3]Entry!$L$1708="","",[3]Entry!$L$1708)</f>
        <v/>
      </c>
      <c r="AK1705">
        <f>IF([3]Entry!$M$1708="","",[3]Entry!$M$1708)</f>
        <v/>
      </c>
      <c r="AL1705">
        <f>IF([3]Entry!$N$1708="","",[3]Entry!$N$1708)</f>
        <v/>
      </c>
      <c r="AM1705">
        <f>IF([3]Entry!$R$1708="","",[3]Entry!$R$1708)</f>
        <v/>
      </c>
    </row>
    <row r="1706">
      <c r="T1706">
        <f>IF([2]Baskol!$B$1709="","",[2]Baskol!$B$1709)</f>
        <v/>
      </c>
      <c r="U1706">
        <f>IF([2]Baskol!$C$1709="","",[2]Baskol!$C$1709)</f>
        <v/>
      </c>
      <c r="V1706">
        <f>IF([2]Baskol!$D$1709="","",[2]Baskol!$D$1709)</f>
        <v/>
      </c>
      <c r="W1706">
        <f>IF([2]Baskol!$E$1709="","",[2]Baskol!$E$1709)</f>
        <v/>
      </c>
      <c r="X1706">
        <f>IF([2]Baskol!$G$1709="","",[2]Baskol!$G$1709)</f>
        <v/>
      </c>
      <c r="Y1706">
        <f>IF([2]Baskol!$I$1709="","",[2]Baskol!$I$1709)</f>
        <v/>
      </c>
      <c r="Z1706">
        <f>IF([2]Baskol!$J$1709="","",[2]Baskol!$J$1709)</f>
        <v/>
      </c>
      <c r="AA1706">
        <f>IF([2]Baskol!$K$1709="","",[2]Baskol!$K$1709)</f>
        <v/>
      </c>
      <c r="AB1706">
        <f>IF([2]Baskol!$L$1709="","",[2]Baskol!$L$1709)</f>
        <v/>
      </c>
      <c r="AC1706">
        <f>IF([2]Baskol!$N$1709="","",[2]Baskol!$N$1709)</f>
        <v/>
      </c>
      <c r="AD1706">
        <f>IF([2]Baskol!$O$1709="","",[2]Baskol!$O$1709)</f>
        <v/>
      </c>
      <c r="AE1706">
        <f>IF([3]Entry!$C$1709="","",[3]Entry!$C$1709)</f>
        <v/>
      </c>
      <c r="AF1706">
        <f>IF([3]Entry!$D$1709="","",[3]Entry!$D$1709)</f>
        <v/>
      </c>
      <c r="AG1706">
        <f>IF([3]Entry!$E$1709="","",[3]Entry!$E$1709)</f>
        <v/>
      </c>
      <c r="AH1706">
        <f>IF([3]Entry!$G$1709="","",[3]Entry!$G$1709)</f>
        <v/>
      </c>
      <c r="AI1706">
        <f>IF([3]Entry!$K$1709="","",[3]Entry!$K$1709)</f>
        <v/>
      </c>
      <c r="AJ1706">
        <f>IF([3]Entry!$L$1709="","",[3]Entry!$L$1709)</f>
        <v/>
      </c>
      <c r="AK1706">
        <f>IF([3]Entry!$M$1709="","",[3]Entry!$M$1709)</f>
        <v/>
      </c>
      <c r="AL1706">
        <f>IF([3]Entry!$N$1709="","",[3]Entry!$N$1709)</f>
        <v/>
      </c>
      <c r="AM1706">
        <f>IF([3]Entry!$R$1709="","",[3]Entry!$R$1709)</f>
        <v/>
      </c>
    </row>
    <row r="1707">
      <c r="T1707">
        <f>IF([2]Baskol!$B$1710="","",[2]Baskol!$B$1710)</f>
        <v/>
      </c>
      <c r="U1707">
        <f>IF([2]Baskol!$C$1710="","",[2]Baskol!$C$1710)</f>
        <v/>
      </c>
      <c r="V1707">
        <f>IF([2]Baskol!$D$1710="","",[2]Baskol!$D$1710)</f>
        <v/>
      </c>
      <c r="W1707">
        <f>IF([2]Baskol!$E$1710="","",[2]Baskol!$E$1710)</f>
        <v/>
      </c>
      <c r="X1707">
        <f>IF([2]Baskol!$G$1710="","",[2]Baskol!$G$1710)</f>
        <v/>
      </c>
      <c r="Y1707">
        <f>IF([2]Baskol!$I$1710="","",[2]Baskol!$I$1710)</f>
        <v/>
      </c>
      <c r="Z1707">
        <f>IF([2]Baskol!$J$1710="","",[2]Baskol!$J$1710)</f>
        <v/>
      </c>
      <c r="AA1707">
        <f>IF([2]Baskol!$K$1710="","",[2]Baskol!$K$1710)</f>
        <v/>
      </c>
      <c r="AB1707">
        <f>IF([2]Baskol!$L$1710="","",[2]Baskol!$L$1710)</f>
        <v/>
      </c>
      <c r="AC1707">
        <f>IF([2]Baskol!$N$1710="","",[2]Baskol!$N$1710)</f>
        <v/>
      </c>
      <c r="AD1707">
        <f>IF([2]Baskol!$O$1710="","",[2]Baskol!$O$1710)</f>
        <v/>
      </c>
      <c r="AE1707">
        <f>IF([3]Entry!$C$1710="","",[3]Entry!$C$1710)</f>
        <v/>
      </c>
      <c r="AF1707">
        <f>IF([3]Entry!$D$1710="","",[3]Entry!$D$1710)</f>
        <v/>
      </c>
      <c r="AG1707">
        <f>IF([3]Entry!$E$1710="","",[3]Entry!$E$1710)</f>
        <v/>
      </c>
      <c r="AH1707">
        <f>IF([3]Entry!$G$1710="","",[3]Entry!$G$1710)</f>
        <v/>
      </c>
      <c r="AI1707">
        <f>IF([3]Entry!$K$1710="","",[3]Entry!$K$1710)</f>
        <v/>
      </c>
      <c r="AJ1707">
        <f>IF([3]Entry!$L$1710="","",[3]Entry!$L$1710)</f>
        <v/>
      </c>
      <c r="AK1707">
        <f>IF([3]Entry!$M$1710="","",[3]Entry!$M$1710)</f>
        <v/>
      </c>
      <c r="AL1707">
        <f>IF([3]Entry!$N$1710="","",[3]Entry!$N$1710)</f>
        <v/>
      </c>
      <c r="AM1707">
        <f>IF([3]Entry!$R$1710="","",[3]Entry!$R$1710)</f>
        <v/>
      </c>
    </row>
    <row r="1708">
      <c r="T1708">
        <f>IF([2]Baskol!$B$1711="","",[2]Baskol!$B$1711)</f>
        <v/>
      </c>
      <c r="U1708">
        <f>IF([2]Baskol!$C$1711="","",[2]Baskol!$C$1711)</f>
        <v/>
      </c>
      <c r="V1708">
        <f>IF([2]Baskol!$D$1711="","",[2]Baskol!$D$1711)</f>
        <v/>
      </c>
      <c r="W1708">
        <f>IF([2]Baskol!$E$1711="","",[2]Baskol!$E$1711)</f>
        <v/>
      </c>
      <c r="X1708">
        <f>IF([2]Baskol!$G$1711="","",[2]Baskol!$G$1711)</f>
        <v/>
      </c>
      <c r="Y1708">
        <f>IF([2]Baskol!$I$1711="","",[2]Baskol!$I$1711)</f>
        <v/>
      </c>
      <c r="Z1708">
        <f>IF([2]Baskol!$J$1711="","",[2]Baskol!$J$1711)</f>
        <v/>
      </c>
      <c r="AA1708">
        <f>IF([2]Baskol!$K$1711="","",[2]Baskol!$K$1711)</f>
        <v/>
      </c>
      <c r="AB1708">
        <f>IF([2]Baskol!$L$1711="","",[2]Baskol!$L$1711)</f>
        <v/>
      </c>
      <c r="AC1708">
        <f>IF([2]Baskol!$N$1711="","",[2]Baskol!$N$1711)</f>
        <v/>
      </c>
      <c r="AD1708">
        <f>IF([2]Baskol!$O$1711="","",[2]Baskol!$O$1711)</f>
        <v/>
      </c>
      <c r="AE1708">
        <f>IF([3]Entry!$C$1711="","",[3]Entry!$C$1711)</f>
        <v/>
      </c>
      <c r="AF1708">
        <f>IF([3]Entry!$D$1711="","",[3]Entry!$D$1711)</f>
        <v/>
      </c>
      <c r="AG1708">
        <f>IF([3]Entry!$E$1711="","",[3]Entry!$E$1711)</f>
        <v/>
      </c>
      <c r="AH1708">
        <f>IF([3]Entry!$G$1711="","",[3]Entry!$G$1711)</f>
        <v/>
      </c>
      <c r="AI1708">
        <f>IF([3]Entry!$K$1711="","",[3]Entry!$K$1711)</f>
        <v/>
      </c>
      <c r="AJ1708">
        <f>IF([3]Entry!$L$1711="","",[3]Entry!$L$1711)</f>
        <v/>
      </c>
      <c r="AK1708">
        <f>IF([3]Entry!$M$1711="","",[3]Entry!$M$1711)</f>
        <v/>
      </c>
      <c r="AL1708">
        <f>IF([3]Entry!$N$1711="","",[3]Entry!$N$1711)</f>
        <v/>
      </c>
      <c r="AM1708">
        <f>IF([3]Entry!$R$1711="","",[3]Entry!$R$1711)</f>
        <v/>
      </c>
    </row>
    <row r="1709">
      <c r="T1709">
        <f>IF([2]Baskol!$B$1712="","",[2]Baskol!$B$1712)</f>
        <v/>
      </c>
      <c r="U1709">
        <f>IF([2]Baskol!$C$1712="","",[2]Baskol!$C$1712)</f>
        <v/>
      </c>
      <c r="V1709">
        <f>IF([2]Baskol!$D$1712="","",[2]Baskol!$D$1712)</f>
        <v/>
      </c>
      <c r="W1709">
        <f>IF([2]Baskol!$E$1712="","",[2]Baskol!$E$1712)</f>
        <v/>
      </c>
      <c r="X1709">
        <f>IF([2]Baskol!$G$1712="","",[2]Baskol!$G$1712)</f>
        <v/>
      </c>
      <c r="Y1709">
        <f>IF([2]Baskol!$I$1712="","",[2]Baskol!$I$1712)</f>
        <v/>
      </c>
      <c r="Z1709">
        <f>IF([2]Baskol!$J$1712="","",[2]Baskol!$J$1712)</f>
        <v/>
      </c>
      <c r="AA1709">
        <f>IF([2]Baskol!$K$1712="","",[2]Baskol!$K$1712)</f>
        <v/>
      </c>
      <c r="AB1709">
        <f>IF([2]Baskol!$L$1712="","",[2]Baskol!$L$1712)</f>
        <v/>
      </c>
      <c r="AC1709">
        <f>IF([2]Baskol!$N$1712="","",[2]Baskol!$N$1712)</f>
        <v/>
      </c>
      <c r="AD1709">
        <f>IF([2]Baskol!$O$1712="","",[2]Baskol!$O$1712)</f>
        <v/>
      </c>
      <c r="AE1709">
        <f>IF([3]Entry!$C$1712="","",[3]Entry!$C$1712)</f>
        <v/>
      </c>
      <c r="AF1709">
        <f>IF([3]Entry!$D$1712="","",[3]Entry!$D$1712)</f>
        <v/>
      </c>
      <c r="AG1709">
        <f>IF([3]Entry!$E$1712="","",[3]Entry!$E$1712)</f>
        <v/>
      </c>
      <c r="AH1709">
        <f>IF([3]Entry!$G$1712="","",[3]Entry!$G$1712)</f>
        <v/>
      </c>
      <c r="AI1709">
        <f>IF([3]Entry!$K$1712="","",[3]Entry!$K$1712)</f>
        <v/>
      </c>
      <c r="AJ1709">
        <f>IF([3]Entry!$L$1712="","",[3]Entry!$L$1712)</f>
        <v/>
      </c>
      <c r="AK1709">
        <f>IF([3]Entry!$M$1712="","",[3]Entry!$M$1712)</f>
        <v/>
      </c>
      <c r="AL1709">
        <f>IF([3]Entry!$N$1712="","",[3]Entry!$N$1712)</f>
        <v/>
      </c>
      <c r="AM1709">
        <f>IF([3]Entry!$R$1712="","",[3]Entry!$R$1712)</f>
        <v/>
      </c>
    </row>
    <row r="1710">
      <c r="T1710">
        <f>IF([2]Baskol!$B$1713="","",[2]Baskol!$B$1713)</f>
        <v/>
      </c>
      <c r="U1710">
        <f>IF([2]Baskol!$C$1713="","",[2]Baskol!$C$1713)</f>
        <v/>
      </c>
      <c r="V1710">
        <f>IF([2]Baskol!$D$1713="","",[2]Baskol!$D$1713)</f>
        <v/>
      </c>
      <c r="W1710">
        <f>IF([2]Baskol!$E$1713="","",[2]Baskol!$E$1713)</f>
        <v/>
      </c>
      <c r="X1710">
        <f>IF([2]Baskol!$G$1713="","",[2]Baskol!$G$1713)</f>
        <v/>
      </c>
      <c r="Y1710">
        <f>IF([2]Baskol!$I$1713="","",[2]Baskol!$I$1713)</f>
        <v/>
      </c>
      <c r="Z1710">
        <f>IF([2]Baskol!$J$1713="","",[2]Baskol!$J$1713)</f>
        <v/>
      </c>
      <c r="AA1710">
        <f>IF([2]Baskol!$K$1713="","",[2]Baskol!$K$1713)</f>
        <v/>
      </c>
      <c r="AB1710">
        <f>IF([2]Baskol!$L$1713="","",[2]Baskol!$L$1713)</f>
        <v/>
      </c>
      <c r="AC1710">
        <f>IF([2]Baskol!$N$1713="","",[2]Baskol!$N$1713)</f>
        <v/>
      </c>
      <c r="AD1710">
        <f>IF([2]Baskol!$O$1713="","",[2]Baskol!$O$1713)</f>
        <v/>
      </c>
      <c r="AE1710">
        <f>IF([3]Entry!$C$1713="","",[3]Entry!$C$1713)</f>
        <v/>
      </c>
      <c r="AF1710">
        <f>IF([3]Entry!$D$1713="","",[3]Entry!$D$1713)</f>
        <v/>
      </c>
      <c r="AG1710">
        <f>IF([3]Entry!$E$1713="","",[3]Entry!$E$1713)</f>
        <v/>
      </c>
      <c r="AH1710">
        <f>IF([3]Entry!$G$1713="","",[3]Entry!$G$1713)</f>
        <v/>
      </c>
      <c r="AI1710">
        <f>IF([3]Entry!$K$1713="","",[3]Entry!$K$1713)</f>
        <v/>
      </c>
      <c r="AJ1710">
        <f>IF([3]Entry!$L$1713="","",[3]Entry!$L$1713)</f>
        <v/>
      </c>
      <c r="AK1710">
        <f>IF([3]Entry!$M$1713="","",[3]Entry!$M$1713)</f>
        <v/>
      </c>
      <c r="AL1710">
        <f>IF([3]Entry!$N$1713="","",[3]Entry!$N$1713)</f>
        <v/>
      </c>
      <c r="AM1710">
        <f>IF([3]Entry!$R$1713="","",[3]Entry!$R$1713)</f>
        <v/>
      </c>
    </row>
    <row r="1711">
      <c r="T1711">
        <f>IF([2]Baskol!$B$1714="","",[2]Baskol!$B$1714)</f>
        <v/>
      </c>
      <c r="U1711">
        <f>IF([2]Baskol!$C$1714="","",[2]Baskol!$C$1714)</f>
        <v/>
      </c>
      <c r="V1711">
        <f>IF([2]Baskol!$D$1714="","",[2]Baskol!$D$1714)</f>
        <v/>
      </c>
      <c r="W1711">
        <f>IF([2]Baskol!$E$1714="","",[2]Baskol!$E$1714)</f>
        <v/>
      </c>
      <c r="X1711">
        <f>IF([2]Baskol!$G$1714="","",[2]Baskol!$G$1714)</f>
        <v/>
      </c>
      <c r="Y1711">
        <f>IF([2]Baskol!$I$1714="","",[2]Baskol!$I$1714)</f>
        <v/>
      </c>
      <c r="Z1711">
        <f>IF([2]Baskol!$J$1714="","",[2]Baskol!$J$1714)</f>
        <v/>
      </c>
      <c r="AA1711">
        <f>IF([2]Baskol!$K$1714="","",[2]Baskol!$K$1714)</f>
        <v/>
      </c>
      <c r="AB1711">
        <f>IF([2]Baskol!$L$1714="","",[2]Baskol!$L$1714)</f>
        <v/>
      </c>
      <c r="AC1711">
        <f>IF([2]Baskol!$N$1714="","",[2]Baskol!$N$1714)</f>
        <v/>
      </c>
      <c r="AD1711">
        <f>IF([2]Baskol!$O$1714="","",[2]Baskol!$O$1714)</f>
        <v/>
      </c>
      <c r="AE1711">
        <f>IF([3]Entry!$C$1714="","",[3]Entry!$C$1714)</f>
        <v/>
      </c>
      <c r="AF1711">
        <f>IF([3]Entry!$D$1714="","",[3]Entry!$D$1714)</f>
        <v/>
      </c>
      <c r="AG1711">
        <f>IF([3]Entry!$E$1714="","",[3]Entry!$E$1714)</f>
        <v/>
      </c>
      <c r="AH1711">
        <f>IF([3]Entry!$G$1714="","",[3]Entry!$G$1714)</f>
        <v/>
      </c>
      <c r="AI1711">
        <f>IF([3]Entry!$K$1714="","",[3]Entry!$K$1714)</f>
        <v/>
      </c>
      <c r="AJ1711">
        <f>IF([3]Entry!$L$1714="","",[3]Entry!$L$1714)</f>
        <v/>
      </c>
      <c r="AK1711">
        <f>IF([3]Entry!$M$1714="","",[3]Entry!$M$1714)</f>
        <v/>
      </c>
      <c r="AL1711">
        <f>IF([3]Entry!$N$1714="","",[3]Entry!$N$1714)</f>
        <v/>
      </c>
      <c r="AM1711">
        <f>IF([3]Entry!$R$1714="","",[3]Entry!$R$1714)</f>
        <v/>
      </c>
    </row>
    <row r="1712">
      <c r="T1712">
        <f>IF([2]Baskol!$B$1715="","",[2]Baskol!$B$1715)</f>
        <v/>
      </c>
      <c r="U1712">
        <f>IF([2]Baskol!$C$1715="","",[2]Baskol!$C$1715)</f>
        <v/>
      </c>
      <c r="V1712">
        <f>IF([2]Baskol!$D$1715="","",[2]Baskol!$D$1715)</f>
        <v/>
      </c>
      <c r="W1712">
        <f>IF([2]Baskol!$E$1715="","",[2]Baskol!$E$1715)</f>
        <v/>
      </c>
      <c r="X1712">
        <f>IF([2]Baskol!$G$1715="","",[2]Baskol!$G$1715)</f>
        <v/>
      </c>
      <c r="Y1712">
        <f>IF([2]Baskol!$I$1715="","",[2]Baskol!$I$1715)</f>
        <v/>
      </c>
      <c r="Z1712">
        <f>IF([2]Baskol!$J$1715="","",[2]Baskol!$J$1715)</f>
        <v/>
      </c>
      <c r="AA1712">
        <f>IF([2]Baskol!$K$1715="","",[2]Baskol!$K$1715)</f>
        <v/>
      </c>
      <c r="AB1712">
        <f>IF([2]Baskol!$L$1715="","",[2]Baskol!$L$1715)</f>
        <v/>
      </c>
      <c r="AC1712">
        <f>IF([2]Baskol!$N$1715="","",[2]Baskol!$N$1715)</f>
        <v/>
      </c>
      <c r="AD1712">
        <f>IF([2]Baskol!$O$1715="","",[2]Baskol!$O$1715)</f>
        <v/>
      </c>
      <c r="AE1712">
        <f>IF([3]Entry!$C$1715="","",[3]Entry!$C$1715)</f>
        <v/>
      </c>
      <c r="AF1712">
        <f>IF([3]Entry!$D$1715="","",[3]Entry!$D$1715)</f>
        <v/>
      </c>
      <c r="AG1712">
        <f>IF([3]Entry!$E$1715="","",[3]Entry!$E$1715)</f>
        <v/>
      </c>
      <c r="AH1712">
        <f>IF([3]Entry!$G$1715="","",[3]Entry!$G$1715)</f>
        <v/>
      </c>
      <c r="AI1712">
        <f>IF([3]Entry!$K$1715="","",[3]Entry!$K$1715)</f>
        <v/>
      </c>
      <c r="AJ1712">
        <f>IF([3]Entry!$L$1715="","",[3]Entry!$L$1715)</f>
        <v/>
      </c>
      <c r="AK1712">
        <f>IF([3]Entry!$M$1715="","",[3]Entry!$M$1715)</f>
        <v/>
      </c>
      <c r="AL1712">
        <f>IF([3]Entry!$N$1715="","",[3]Entry!$N$1715)</f>
        <v/>
      </c>
      <c r="AM1712">
        <f>IF([3]Entry!$R$1715="","",[3]Entry!$R$1715)</f>
        <v/>
      </c>
    </row>
    <row r="1713">
      <c r="T1713">
        <f>IF([2]Baskol!$B$1716="","",[2]Baskol!$B$1716)</f>
        <v/>
      </c>
      <c r="U1713">
        <f>IF([2]Baskol!$C$1716="","",[2]Baskol!$C$1716)</f>
        <v/>
      </c>
      <c r="V1713">
        <f>IF([2]Baskol!$D$1716="","",[2]Baskol!$D$1716)</f>
        <v/>
      </c>
      <c r="W1713">
        <f>IF([2]Baskol!$E$1716="","",[2]Baskol!$E$1716)</f>
        <v/>
      </c>
      <c r="X1713">
        <f>IF([2]Baskol!$G$1716="","",[2]Baskol!$G$1716)</f>
        <v/>
      </c>
      <c r="Y1713">
        <f>IF([2]Baskol!$I$1716="","",[2]Baskol!$I$1716)</f>
        <v/>
      </c>
      <c r="Z1713">
        <f>IF([2]Baskol!$J$1716="","",[2]Baskol!$J$1716)</f>
        <v/>
      </c>
      <c r="AA1713">
        <f>IF([2]Baskol!$K$1716="","",[2]Baskol!$K$1716)</f>
        <v/>
      </c>
      <c r="AB1713">
        <f>IF([2]Baskol!$L$1716="","",[2]Baskol!$L$1716)</f>
        <v/>
      </c>
      <c r="AC1713">
        <f>IF([2]Baskol!$N$1716="","",[2]Baskol!$N$1716)</f>
        <v/>
      </c>
      <c r="AD1713">
        <f>IF([2]Baskol!$O$1716="","",[2]Baskol!$O$1716)</f>
        <v/>
      </c>
      <c r="AE1713">
        <f>IF([3]Entry!$C$1716="","",[3]Entry!$C$1716)</f>
        <v/>
      </c>
      <c r="AF1713">
        <f>IF([3]Entry!$D$1716="","",[3]Entry!$D$1716)</f>
        <v/>
      </c>
      <c r="AG1713">
        <f>IF([3]Entry!$E$1716="","",[3]Entry!$E$1716)</f>
        <v/>
      </c>
      <c r="AH1713">
        <f>IF([3]Entry!$G$1716="","",[3]Entry!$G$1716)</f>
        <v/>
      </c>
      <c r="AI1713">
        <f>IF([3]Entry!$K$1716="","",[3]Entry!$K$1716)</f>
        <v/>
      </c>
      <c r="AJ1713">
        <f>IF([3]Entry!$L$1716="","",[3]Entry!$L$1716)</f>
        <v/>
      </c>
      <c r="AK1713">
        <f>IF([3]Entry!$M$1716="","",[3]Entry!$M$1716)</f>
        <v/>
      </c>
      <c r="AL1713">
        <f>IF([3]Entry!$N$1716="","",[3]Entry!$N$1716)</f>
        <v/>
      </c>
      <c r="AM1713">
        <f>IF([3]Entry!$R$1716="","",[3]Entry!$R$1716)</f>
        <v/>
      </c>
    </row>
    <row r="1714">
      <c r="T1714">
        <f>IF([2]Baskol!$B$1717="","",[2]Baskol!$B$1717)</f>
        <v/>
      </c>
      <c r="U1714">
        <f>IF([2]Baskol!$C$1717="","",[2]Baskol!$C$1717)</f>
        <v/>
      </c>
      <c r="V1714">
        <f>IF([2]Baskol!$D$1717="","",[2]Baskol!$D$1717)</f>
        <v/>
      </c>
      <c r="W1714">
        <f>IF([2]Baskol!$E$1717="","",[2]Baskol!$E$1717)</f>
        <v/>
      </c>
      <c r="X1714">
        <f>IF([2]Baskol!$G$1717="","",[2]Baskol!$G$1717)</f>
        <v/>
      </c>
      <c r="Y1714">
        <f>IF([2]Baskol!$I$1717="","",[2]Baskol!$I$1717)</f>
        <v/>
      </c>
      <c r="Z1714">
        <f>IF([2]Baskol!$J$1717="","",[2]Baskol!$J$1717)</f>
        <v/>
      </c>
      <c r="AA1714">
        <f>IF([2]Baskol!$K$1717="","",[2]Baskol!$K$1717)</f>
        <v/>
      </c>
      <c r="AB1714">
        <f>IF([2]Baskol!$L$1717="","",[2]Baskol!$L$1717)</f>
        <v/>
      </c>
      <c r="AC1714">
        <f>IF([2]Baskol!$N$1717="","",[2]Baskol!$N$1717)</f>
        <v/>
      </c>
      <c r="AD1714">
        <f>IF([2]Baskol!$O$1717="","",[2]Baskol!$O$1717)</f>
        <v/>
      </c>
      <c r="AE1714">
        <f>IF([3]Entry!$C$1717="","",[3]Entry!$C$1717)</f>
        <v/>
      </c>
      <c r="AF1714">
        <f>IF([3]Entry!$D$1717="","",[3]Entry!$D$1717)</f>
        <v/>
      </c>
      <c r="AG1714">
        <f>IF([3]Entry!$E$1717="","",[3]Entry!$E$1717)</f>
        <v/>
      </c>
      <c r="AH1714">
        <f>IF([3]Entry!$G$1717="","",[3]Entry!$G$1717)</f>
        <v/>
      </c>
      <c r="AI1714">
        <f>IF([3]Entry!$K$1717="","",[3]Entry!$K$1717)</f>
        <v/>
      </c>
      <c r="AJ1714">
        <f>IF([3]Entry!$L$1717="","",[3]Entry!$L$1717)</f>
        <v/>
      </c>
      <c r="AK1714">
        <f>IF([3]Entry!$M$1717="","",[3]Entry!$M$1717)</f>
        <v/>
      </c>
      <c r="AL1714">
        <f>IF([3]Entry!$N$1717="","",[3]Entry!$N$1717)</f>
        <v/>
      </c>
      <c r="AM1714">
        <f>IF([3]Entry!$R$1717="","",[3]Entry!$R$1717)</f>
        <v/>
      </c>
    </row>
    <row r="1715">
      <c r="T1715">
        <f>IF([2]Baskol!$B$1718="","",[2]Baskol!$B$1718)</f>
        <v/>
      </c>
      <c r="U1715">
        <f>IF([2]Baskol!$C$1718="","",[2]Baskol!$C$1718)</f>
        <v/>
      </c>
      <c r="V1715">
        <f>IF([2]Baskol!$D$1718="","",[2]Baskol!$D$1718)</f>
        <v/>
      </c>
      <c r="W1715">
        <f>IF([2]Baskol!$E$1718="","",[2]Baskol!$E$1718)</f>
        <v/>
      </c>
      <c r="X1715">
        <f>IF([2]Baskol!$G$1718="","",[2]Baskol!$G$1718)</f>
        <v/>
      </c>
      <c r="Y1715">
        <f>IF([2]Baskol!$I$1718="","",[2]Baskol!$I$1718)</f>
        <v/>
      </c>
      <c r="Z1715">
        <f>IF([2]Baskol!$J$1718="","",[2]Baskol!$J$1718)</f>
        <v/>
      </c>
      <c r="AA1715">
        <f>IF([2]Baskol!$K$1718="","",[2]Baskol!$K$1718)</f>
        <v/>
      </c>
      <c r="AB1715">
        <f>IF([2]Baskol!$L$1718="","",[2]Baskol!$L$1718)</f>
        <v/>
      </c>
      <c r="AC1715">
        <f>IF([2]Baskol!$N$1718="","",[2]Baskol!$N$1718)</f>
        <v/>
      </c>
      <c r="AD1715">
        <f>IF([2]Baskol!$O$1718="","",[2]Baskol!$O$1718)</f>
        <v/>
      </c>
      <c r="AE1715">
        <f>IF([3]Entry!$C$1718="","",[3]Entry!$C$1718)</f>
        <v/>
      </c>
      <c r="AF1715">
        <f>IF([3]Entry!$D$1718="","",[3]Entry!$D$1718)</f>
        <v/>
      </c>
      <c r="AG1715">
        <f>IF([3]Entry!$E$1718="","",[3]Entry!$E$1718)</f>
        <v/>
      </c>
      <c r="AH1715">
        <f>IF([3]Entry!$G$1718="","",[3]Entry!$G$1718)</f>
        <v/>
      </c>
      <c r="AI1715">
        <f>IF([3]Entry!$K$1718="","",[3]Entry!$K$1718)</f>
        <v/>
      </c>
      <c r="AJ1715">
        <f>IF([3]Entry!$L$1718="","",[3]Entry!$L$1718)</f>
        <v/>
      </c>
      <c r="AK1715">
        <f>IF([3]Entry!$M$1718="","",[3]Entry!$M$1718)</f>
        <v/>
      </c>
      <c r="AL1715">
        <f>IF([3]Entry!$N$1718="","",[3]Entry!$N$1718)</f>
        <v/>
      </c>
      <c r="AM1715">
        <f>IF([3]Entry!$R$1718="","",[3]Entry!$R$1718)</f>
        <v/>
      </c>
    </row>
    <row r="1716">
      <c r="T1716">
        <f>IF([2]Baskol!$B$1719="","",[2]Baskol!$B$1719)</f>
        <v/>
      </c>
      <c r="U1716">
        <f>IF([2]Baskol!$C$1719="","",[2]Baskol!$C$1719)</f>
        <v/>
      </c>
      <c r="V1716">
        <f>IF([2]Baskol!$D$1719="","",[2]Baskol!$D$1719)</f>
        <v/>
      </c>
      <c r="W1716">
        <f>IF([2]Baskol!$E$1719="","",[2]Baskol!$E$1719)</f>
        <v/>
      </c>
      <c r="X1716">
        <f>IF([2]Baskol!$G$1719="","",[2]Baskol!$G$1719)</f>
        <v/>
      </c>
      <c r="Y1716">
        <f>IF([2]Baskol!$I$1719="","",[2]Baskol!$I$1719)</f>
        <v/>
      </c>
      <c r="Z1716">
        <f>IF([2]Baskol!$J$1719="","",[2]Baskol!$J$1719)</f>
        <v/>
      </c>
      <c r="AA1716">
        <f>IF([2]Baskol!$K$1719="","",[2]Baskol!$K$1719)</f>
        <v/>
      </c>
      <c r="AB1716">
        <f>IF([2]Baskol!$L$1719="","",[2]Baskol!$L$1719)</f>
        <v/>
      </c>
      <c r="AC1716">
        <f>IF([2]Baskol!$N$1719="","",[2]Baskol!$N$1719)</f>
        <v/>
      </c>
      <c r="AD1716">
        <f>IF([2]Baskol!$O$1719="","",[2]Baskol!$O$1719)</f>
        <v/>
      </c>
      <c r="AE1716">
        <f>IF([3]Entry!$C$1719="","",[3]Entry!$C$1719)</f>
        <v/>
      </c>
      <c r="AF1716">
        <f>IF([3]Entry!$D$1719="","",[3]Entry!$D$1719)</f>
        <v/>
      </c>
      <c r="AG1716">
        <f>IF([3]Entry!$E$1719="","",[3]Entry!$E$1719)</f>
        <v/>
      </c>
      <c r="AH1716">
        <f>IF([3]Entry!$G$1719="","",[3]Entry!$G$1719)</f>
        <v/>
      </c>
      <c r="AI1716">
        <f>IF([3]Entry!$K$1719="","",[3]Entry!$K$1719)</f>
        <v/>
      </c>
      <c r="AJ1716">
        <f>IF([3]Entry!$L$1719="","",[3]Entry!$L$1719)</f>
        <v/>
      </c>
      <c r="AK1716">
        <f>IF([3]Entry!$M$1719="","",[3]Entry!$M$1719)</f>
        <v/>
      </c>
      <c r="AL1716">
        <f>IF([3]Entry!$N$1719="","",[3]Entry!$N$1719)</f>
        <v/>
      </c>
      <c r="AM1716">
        <f>IF([3]Entry!$R$1719="","",[3]Entry!$R$1719)</f>
        <v/>
      </c>
    </row>
    <row r="1717">
      <c r="T1717">
        <f>IF([2]Baskol!$B$1720="","",[2]Baskol!$B$1720)</f>
        <v/>
      </c>
      <c r="U1717">
        <f>IF([2]Baskol!$C$1720="","",[2]Baskol!$C$1720)</f>
        <v/>
      </c>
      <c r="V1717">
        <f>IF([2]Baskol!$D$1720="","",[2]Baskol!$D$1720)</f>
        <v/>
      </c>
      <c r="W1717">
        <f>IF([2]Baskol!$E$1720="","",[2]Baskol!$E$1720)</f>
        <v/>
      </c>
      <c r="X1717">
        <f>IF([2]Baskol!$G$1720="","",[2]Baskol!$G$1720)</f>
        <v/>
      </c>
      <c r="Y1717">
        <f>IF([2]Baskol!$I$1720="","",[2]Baskol!$I$1720)</f>
        <v/>
      </c>
      <c r="Z1717">
        <f>IF([2]Baskol!$J$1720="","",[2]Baskol!$J$1720)</f>
        <v/>
      </c>
      <c r="AA1717">
        <f>IF([2]Baskol!$K$1720="","",[2]Baskol!$K$1720)</f>
        <v/>
      </c>
      <c r="AB1717">
        <f>IF([2]Baskol!$L$1720="","",[2]Baskol!$L$1720)</f>
        <v/>
      </c>
      <c r="AC1717">
        <f>IF([2]Baskol!$N$1720="","",[2]Baskol!$N$1720)</f>
        <v/>
      </c>
      <c r="AD1717">
        <f>IF([2]Baskol!$O$1720="","",[2]Baskol!$O$1720)</f>
        <v/>
      </c>
      <c r="AE1717">
        <f>IF([3]Entry!$C$1720="","",[3]Entry!$C$1720)</f>
        <v/>
      </c>
      <c r="AF1717">
        <f>IF([3]Entry!$D$1720="","",[3]Entry!$D$1720)</f>
        <v/>
      </c>
      <c r="AG1717">
        <f>IF([3]Entry!$E$1720="","",[3]Entry!$E$1720)</f>
        <v/>
      </c>
      <c r="AH1717">
        <f>IF([3]Entry!$G$1720="","",[3]Entry!$G$1720)</f>
        <v/>
      </c>
      <c r="AI1717">
        <f>IF([3]Entry!$K$1720="","",[3]Entry!$K$1720)</f>
        <v/>
      </c>
      <c r="AJ1717">
        <f>IF([3]Entry!$L$1720="","",[3]Entry!$L$1720)</f>
        <v/>
      </c>
      <c r="AK1717">
        <f>IF([3]Entry!$M$1720="","",[3]Entry!$M$1720)</f>
        <v/>
      </c>
      <c r="AL1717">
        <f>IF([3]Entry!$N$1720="","",[3]Entry!$N$1720)</f>
        <v/>
      </c>
      <c r="AM1717">
        <f>IF([3]Entry!$R$1720="","",[3]Entry!$R$1720)</f>
        <v/>
      </c>
    </row>
    <row r="1718">
      <c r="T1718">
        <f>IF([2]Baskol!$B$1721="","",[2]Baskol!$B$1721)</f>
        <v/>
      </c>
      <c r="U1718">
        <f>IF([2]Baskol!$C$1721="","",[2]Baskol!$C$1721)</f>
        <v/>
      </c>
      <c r="V1718">
        <f>IF([2]Baskol!$D$1721="","",[2]Baskol!$D$1721)</f>
        <v/>
      </c>
      <c r="W1718">
        <f>IF([2]Baskol!$E$1721="","",[2]Baskol!$E$1721)</f>
        <v/>
      </c>
      <c r="X1718">
        <f>IF([2]Baskol!$G$1721="","",[2]Baskol!$G$1721)</f>
        <v/>
      </c>
      <c r="Y1718">
        <f>IF([2]Baskol!$I$1721="","",[2]Baskol!$I$1721)</f>
        <v/>
      </c>
      <c r="Z1718">
        <f>IF([2]Baskol!$J$1721="","",[2]Baskol!$J$1721)</f>
        <v/>
      </c>
      <c r="AA1718">
        <f>IF([2]Baskol!$K$1721="","",[2]Baskol!$K$1721)</f>
        <v/>
      </c>
      <c r="AB1718">
        <f>IF([2]Baskol!$L$1721="","",[2]Baskol!$L$1721)</f>
        <v/>
      </c>
      <c r="AC1718">
        <f>IF([2]Baskol!$N$1721="","",[2]Baskol!$N$1721)</f>
        <v/>
      </c>
      <c r="AD1718">
        <f>IF([2]Baskol!$O$1721="","",[2]Baskol!$O$1721)</f>
        <v/>
      </c>
      <c r="AE1718">
        <f>IF([3]Entry!$C$1721="","",[3]Entry!$C$1721)</f>
        <v/>
      </c>
      <c r="AF1718">
        <f>IF([3]Entry!$D$1721="","",[3]Entry!$D$1721)</f>
        <v/>
      </c>
      <c r="AG1718">
        <f>IF([3]Entry!$E$1721="","",[3]Entry!$E$1721)</f>
        <v/>
      </c>
      <c r="AH1718">
        <f>IF([3]Entry!$G$1721="","",[3]Entry!$G$1721)</f>
        <v/>
      </c>
      <c r="AI1718">
        <f>IF([3]Entry!$K$1721="","",[3]Entry!$K$1721)</f>
        <v/>
      </c>
      <c r="AJ1718">
        <f>IF([3]Entry!$L$1721="","",[3]Entry!$L$1721)</f>
        <v/>
      </c>
      <c r="AK1718">
        <f>IF([3]Entry!$M$1721="","",[3]Entry!$M$1721)</f>
        <v/>
      </c>
      <c r="AL1718">
        <f>IF([3]Entry!$N$1721="","",[3]Entry!$N$1721)</f>
        <v/>
      </c>
      <c r="AM1718">
        <f>IF([3]Entry!$R$1721="","",[3]Entry!$R$1721)</f>
        <v/>
      </c>
    </row>
    <row r="1719">
      <c r="T1719">
        <f>IF([2]Baskol!$B$1722="","",[2]Baskol!$B$1722)</f>
        <v/>
      </c>
      <c r="U1719">
        <f>IF([2]Baskol!$C$1722="","",[2]Baskol!$C$1722)</f>
        <v/>
      </c>
      <c r="V1719">
        <f>IF([2]Baskol!$D$1722="","",[2]Baskol!$D$1722)</f>
        <v/>
      </c>
      <c r="W1719">
        <f>IF([2]Baskol!$E$1722="","",[2]Baskol!$E$1722)</f>
        <v/>
      </c>
      <c r="X1719">
        <f>IF([2]Baskol!$G$1722="","",[2]Baskol!$G$1722)</f>
        <v/>
      </c>
      <c r="Y1719">
        <f>IF([2]Baskol!$I$1722="","",[2]Baskol!$I$1722)</f>
        <v/>
      </c>
      <c r="Z1719">
        <f>IF([2]Baskol!$J$1722="","",[2]Baskol!$J$1722)</f>
        <v/>
      </c>
      <c r="AA1719">
        <f>IF([2]Baskol!$K$1722="","",[2]Baskol!$K$1722)</f>
        <v/>
      </c>
      <c r="AB1719">
        <f>IF([2]Baskol!$L$1722="","",[2]Baskol!$L$1722)</f>
        <v/>
      </c>
      <c r="AC1719">
        <f>IF([2]Baskol!$N$1722="","",[2]Baskol!$N$1722)</f>
        <v/>
      </c>
      <c r="AD1719">
        <f>IF([2]Baskol!$O$1722="","",[2]Baskol!$O$1722)</f>
        <v/>
      </c>
      <c r="AE1719">
        <f>IF([3]Entry!$C$1722="","",[3]Entry!$C$1722)</f>
        <v/>
      </c>
      <c r="AF1719">
        <f>IF([3]Entry!$D$1722="","",[3]Entry!$D$1722)</f>
        <v/>
      </c>
      <c r="AG1719">
        <f>IF([3]Entry!$E$1722="","",[3]Entry!$E$1722)</f>
        <v/>
      </c>
      <c r="AH1719">
        <f>IF([3]Entry!$G$1722="","",[3]Entry!$G$1722)</f>
        <v/>
      </c>
      <c r="AI1719">
        <f>IF([3]Entry!$K$1722="","",[3]Entry!$K$1722)</f>
        <v/>
      </c>
      <c r="AJ1719">
        <f>IF([3]Entry!$L$1722="","",[3]Entry!$L$1722)</f>
        <v/>
      </c>
      <c r="AK1719">
        <f>IF([3]Entry!$M$1722="","",[3]Entry!$M$1722)</f>
        <v/>
      </c>
      <c r="AL1719">
        <f>IF([3]Entry!$N$1722="","",[3]Entry!$N$1722)</f>
        <v/>
      </c>
      <c r="AM1719">
        <f>IF([3]Entry!$R$1722="","",[3]Entry!$R$1722)</f>
        <v/>
      </c>
    </row>
    <row r="1720">
      <c r="T1720">
        <f>IF([2]Baskol!$B$1723="","",[2]Baskol!$B$1723)</f>
        <v/>
      </c>
      <c r="U1720">
        <f>IF([2]Baskol!$C$1723="","",[2]Baskol!$C$1723)</f>
        <v/>
      </c>
      <c r="V1720">
        <f>IF([2]Baskol!$D$1723="","",[2]Baskol!$D$1723)</f>
        <v/>
      </c>
      <c r="W1720">
        <f>IF([2]Baskol!$E$1723="","",[2]Baskol!$E$1723)</f>
        <v/>
      </c>
      <c r="X1720">
        <f>IF([2]Baskol!$G$1723="","",[2]Baskol!$G$1723)</f>
        <v/>
      </c>
      <c r="Y1720">
        <f>IF([2]Baskol!$I$1723="","",[2]Baskol!$I$1723)</f>
        <v/>
      </c>
      <c r="Z1720">
        <f>IF([2]Baskol!$J$1723="","",[2]Baskol!$J$1723)</f>
        <v/>
      </c>
      <c r="AA1720">
        <f>IF([2]Baskol!$K$1723="","",[2]Baskol!$K$1723)</f>
        <v/>
      </c>
      <c r="AB1720">
        <f>IF([2]Baskol!$L$1723="","",[2]Baskol!$L$1723)</f>
        <v/>
      </c>
      <c r="AC1720">
        <f>IF([2]Baskol!$N$1723="","",[2]Baskol!$N$1723)</f>
        <v/>
      </c>
      <c r="AD1720">
        <f>IF([2]Baskol!$O$1723="","",[2]Baskol!$O$1723)</f>
        <v/>
      </c>
      <c r="AE1720">
        <f>IF([3]Entry!$C$1723="","",[3]Entry!$C$1723)</f>
        <v/>
      </c>
      <c r="AF1720">
        <f>IF([3]Entry!$D$1723="","",[3]Entry!$D$1723)</f>
        <v/>
      </c>
      <c r="AG1720">
        <f>IF([3]Entry!$E$1723="","",[3]Entry!$E$1723)</f>
        <v/>
      </c>
      <c r="AH1720">
        <f>IF([3]Entry!$G$1723="","",[3]Entry!$G$1723)</f>
        <v/>
      </c>
      <c r="AI1720">
        <f>IF([3]Entry!$K$1723="","",[3]Entry!$K$1723)</f>
        <v/>
      </c>
      <c r="AJ1720">
        <f>IF([3]Entry!$L$1723="","",[3]Entry!$L$1723)</f>
        <v/>
      </c>
      <c r="AK1720">
        <f>IF([3]Entry!$M$1723="","",[3]Entry!$M$1723)</f>
        <v/>
      </c>
      <c r="AL1720">
        <f>IF([3]Entry!$N$1723="","",[3]Entry!$N$1723)</f>
        <v/>
      </c>
      <c r="AM1720">
        <f>IF([3]Entry!$R$1723="","",[3]Entry!$R$1723)</f>
        <v/>
      </c>
    </row>
    <row r="1721">
      <c r="T1721">
        <f>IF([2]Baskol!$B$1724="","",[2]Baskol!$B$1724)</f>
        <v/>
      </c>
      <c r="U1721">
        <f>IF([2]Baskol!$C$1724="","",[2]Baskol!$C$1724)</f>
        <v/>
      </c>
      <c r="V1721">
        <f>IF([2]Baskol!$D$1724="","",[2]Baskol!$D$1724)</f>
        <v/>
      </c>
      <c r="W1721">
        <f>IF([2]Baskol!$E$1724="","",[2]Baskol!$E$1724)</f>
        <v/>
      </c>
      <c r="X1721">
        <f>IF([2]Baskol!$G$1724="","",[2]Baskol!$G$1724)</f>
        <v/>
      </c>
      <c r="Y1721">
        <f>IF([2]Baskol!$I$1724="","",[2]Baskol!$I$1724)</f>
        <v/>
      </c>
      <c r="Z1721">
        <f>IF([2]Baskol!$J$1724="","",[2]Baskol!$J$1724)</f>
        <v/>
      </c>
      <c r="AA1721">
        <f>IF([2]Baskol!$K$1724="","",[2]Baskol!$K$1724)</f>
        <v/>
      </c>
      <c r="AB1721">
        <f>IF([2]Baskol!$L$1724="","",[2]Baskol!$L$1724)</f>
        <v/>
      </c>
      <c r="AC1721">
        <f>IF([2]Baskol!$N$1724="","",[2]Baskol!$N$1724)</f>
        <v/>
      </c>
      <c r="AD1721">
        <f>IF([2]Baskol!$O$1724="","",[2]Baskol!$O$1724)</f>
        <v/>
      </c>
      <c r="AE1721">
        <f>IF([3]Entry!$C$1724="","",[3]Entry!$C$1724)</f>
        <v/>
      </c>
      <c r="AF1721">
        <f>IF([3]Entry!$D$1724="","",[3]Entry!$D$1724)</f>
        <v/>
      </c>
      <c r="AG1721">
        <f>IF([3]Entry!$E$1724="","",[3]Entry!$E$1724)</f>
        <v/>
      </c>
      <c r="AH1721">
        <f>IF([3]Entry!$G$1724="","",[3]Entry!$G$1724)</f>
        <v/>
      </c>
      <c r="AI1721">
        <f>IF([3]Entry!$K$1724="","",[3]Entry!$K$1724)</f>
        <v/>
      </c>
      <c r="AJ1721">
        <f>IF([3]Entry!$L$1724="","",[3]Entry!$L$1724)</f>
        <v/>
      </c>
      <c r="AK1721">
        <f>IF([3]Entry!$M$1724="","",[3]Entry!$M$1724)</f>
        <v/>
      </c>
      <c r="AL1721">
        <f>IF([3]Entry!$N$1724="","",[3]Entry!$N$1724)</f>
        <v/>
      </c>
      <c r="AM1721">
        <f>IF([3]Entry!$R$1724="","",[3]Entry!$R$1724)</f>
        <v/>
      </c>
    </row>
    <row r="1722">
      <c r="T1722">
        <f>IF([2]Baskol!$B$1725="","",[2]Baskol!$B$1725)</f>
        <v/>
      </c>
      <c r="U1722">
        <f>IF([2]Baskol!$C$1725="","",[2]Baskol!$C$1725)</f>
        <v/>
      </c>
      <c r="V1722">
        <f>IF([2]Baskol!$D$1725="","",[2]Baskol!$D$1725)</f>
        <v/>
      </c>
      <c r="W1722">
        <f>IF([2]Baskol!$E$1725="","",[2]Baskol!$E$1725)</f>
        <v/>
      </c>
      <c r="X1722">
        <f>IF([2]Baskol!$G$1725="","",[2]Baskol!$G$1725)</f>
        <v/>
      </c>
      <c r="Y1722">
        <f>IF([2]Baskol!$I$1725="","",[2]Baskol!$I$1725)</f>
        <v/>
      </c>
      <c r="Z1722">
        <f>IF([2]Baskol!$J$1725="","",[2]Baskol!$J$1725)</f>
        <v/>
      </c>
      <c r="AA1722">
        <f>IF([2]Baskol!$K$1725="","",[2]Baskol!$K$1725)</f>
        <v/>
      </c>
      <c r="AB1722">
        <f>IF([2]Baskol!$L$1725="","",[2]Baskol!$L$1725)</f>
        <v/>
      </c>
      <c r="AC1722">
        <f>IF([2]Baskol!$N$1725="","",[2]Baskol!$N$1725)</f>
        <v/>
      </c>
      <c r="AD1722">
        <f>IF([2]Baskol!$O$1725="","",[2]Baskol!$O$1725)</f>
        <v/>
      </c>
      <c r="AE1722">
        <f>IF([3]Entry!$C$1725="","",[3]Entry!$C$1725)</f>
        <v/>
      </c>
      <c r="AF1722">
        <f>IF([3]Entry!$D$1725="","",[3]Entry!$D$1725)</f>
        <v/>
      </c>
      <c r="AG1722">
        <f>IF([3]Entry!$E$1725="","",[3]Entry!$E$1725)</f>
        <v/>
      </c>
      <c r="AH1722">
        <f>IF([3]Entry!$G$1725="","",[3]Entry!$G$1725)</f>
        <v/>
      </c>
      <c r="AI1722">
        <f>IF([3]Entry!$K$1725="","",[3]Entry!$K$1725)</f>
        <v/>
      </c>
      <c r="AJ1722">
        <f>IF([3]Entry!$L$1725="","",[3]Entry!$L$1725)</f>
        <v/>
      </c>
      <c r="AK1722">
        <f>IF([3]Entry!$M$1725="","",[3]Entry!$M$1725)</f>
        <v/>
      </c>
      <c r="AL1722">
        <f>IF([3]Entry!$N$1725="","",[3]Entry!$N$1725)</f>
        <v/>
      </c>
      <c r="AM1722">
        <f>IF([3]Entry!$R$1725="","",[3]Entry!$R$1725)</f>
        <v/>
      </c>
    </row>
    <row r="1723">
      <c r="T1723">
        <f>IF([2]Baskol!$B$1726="","",[2]Baskol!$B$1726)</f>
        <v/>
      </c>
      <c r="U1723">
        <f>IF([2]Baskol!$C$1726="","",[2]Baskol!$C$1726)</f>
        <v/>
      </c>
      <c r="V1723">
        <f>IF([2]Baskol!$D$1726="","",[2]Baskol!$D$1726)</f>
        <v/>
      </c>
      <c r="W1723">
        <f>IF([2]Baskol!$E$1726="","",[2]Baskol!$E$1726)</f>
        <v/>
      </c>
      <c r="X1723">
        <f>IF([2]Baskol!$G$1726="","",[2]Baskol!$G$1726)</f>
        <v/>
      </c>
      <c r="Y1723">
        <f>IF([2]Baskol!$I$1726="","",[2]Baskol!$I$1726)</f>
        <v/>
      </c>
      <c r="Z1723">
        <f>IF([2]Baskol!$J$1726="","",[2]Baskol!$J$1726)</f>
        <v/>
      </c>
      <c r="AA1723">
        <f>IF([2]Baskol!$K$1726="","",[2]Baskol!$K$1726)</f>
        <v/>
      </c>
      <c r="AB1723">
        <f>IF([2]Baskol!$L$1726="","",[2]Baskol!$L$1726)</f>
        <v/>
      </c>
      <c r="AC1723">
        <f>IF([2]Baskol!$N$1726="","",[2]Baskol!$N$1726)</f>
        <v/>
      </c>
      <c r="AD1723">
        <f>IF([2]Baskol!$O$1726="","",[2]Baskol!$O$1726)</f>
        <v/>
      </c>
      <c r="AE1723">
        <f>IF([3]Entry!$C$1726="","",[3]Entry!$C$1726)</f>
        <v/>
      </c>
      <c r="AF1723">
        <f>IF([3]Entry!$D$1726="","",[3]Entry!$D$1726)</f>
        <v/>
      </c>
      <c r="AG1723">
        <f>IF([3]Entry!$E$1726="","",[3]Entry!$E$1726)</f>
        <v/>
      </c>
      <c r="AH1723">
        <f>IF([3]Entry!$G$1726="","",[3]Entry!$G$1726)</f>
        <v/>
      </c>
      <c r="AI1723">
        <f>IF([3]Entry!$K$1726="","",[3]Entry!$K$1726)</f>
        <v/>
      </c>
      <c r="AJ1723">
        <f>IF([3]Entry!$L$1726="","",[3]Entry!$L$1726)</f>
        <v/>
      </c>
      <c r="AK1723">
        <f>IF([3]Entry!$M$1726="","",[3]Entry!$M$1726)</f>
        <v/>
      </c>
      <c r="AL1723">
        <f>IF([3]Entry!$N$1726="","",[3]Entry!$N$1726)</f>
        <v/>
      </c>
      <c r="AM1723">
        <f>IF([3]Entry!$R$1726="","",[3]Entry!$R$1726)</f>
        <v/>
      </c>
    </row>
    <row r="1724">
      <c r="T1724">
        <f>IF([2]Baskol!$B$1727="","",[2]Baskol!$B$1727)</f>
        <v/>
      </c>
      <c r="U1724">
        <f>IF([2]Baskol!$C$1727="","",[2]Baskol!$C$1727)</f>
        <v/>
      </c>
      <c r="V1724">
        <f>IF([2]Baskol!$D$1727="","",[2]Baskol!$D$1727)</f>
        <v/>
      </c>
      <c r="W1724">
        <f>IF([2]Baskol!$E$1727="","",[2]Baskol!$E$1727)</f>
        <v/>
      </c>
      <c r="X1724">
        <f>IF([2]Baskol!$G$1727="","",[2]Baskol!$G$1727)</f>
        <v/>
      </c>
      <c r="Y1724">
        <f>IF([2]Baskol!$I$1727="","",[2]Baskol!$I$1727)</f>
        <v/>
      </c>
      <c r="Z1724">
        <f>IF([2]Baskol!$J$1727="","",[2]Baskol!$J$1727)</f>
        <v/>
      </c>
      <c r="AA1724">
        <f>IF([2]Baskol!$K$1727="","",[2]Baskol!$K$1727)</f>
        <v/>
      </c>
      <c r="AB1724">
        <f>IF([2]Baskol!$L$1727="","",[2]Baskol!$L$1727)</f>
        <v/>
      </c>
      <c r="AC1724">
        <f>IF([2]Baskol!$N$1727="","",[2]Baskol!$N$1727)</f>
        <v/>
      </c>
      <c r="AD1724">
        <f>IF([2]Baskol!$O$1727="","",[2]Baskol!$O$1727)</f>
        <v/>
      </c>
      <c r="AE1724">
        <f>IF([3]Entry!$C$1727="","",[3]Entry!$C$1727)</f>
        <v/>
      </c>
      <c r="AF1724">
        <f>IF([3]Entry!$D$1727="","",[3]Entry!$D$1727)</f>
        <v/>
      </c>
      <c r="AG1724">
        <f>IF([3]Entry!$E$1727="","",[3]Entry!$E$1727)</f>
        <v/>
      </c>
      <c r="AH1724">
        <f>IF([3]Entry!$G$1727="","",[3]Entry!$G$1727)</f>
        <v/>
      </c>
      <c r="AI1724">
        <f>IF([3]Entry!$K$1727="","",[3]Entry!$K$1727)</f>
        <v/>
      </c>
      <c r="AJ1724">
        <f>IF([3]Entry!$L$1727="","",[3]Entry!$L$1727)</f>
        <v/>
      </c>
      <c r="AK1724">
        <f>IF([3]Entry!$M$1727="","",[3]Entry!$M$1727)</f>
        <v/>
      </c>
      <c r="AL1724">
        <f>IF([3]Entry!$N$1727="","",[3]Entry!$N$1727)</f>
        <v/>
      </c>
      <c r="AM1724">
        <f>IF([3]Entry!$R$1727="","",[3]Entry!$R$1727)</f>
        <v/>
      </c>
    </row>
    <row r="1725">
      <c r="T1725">
        <f>IF([2]Baskol!$B$1728="","",[2]Baskol!$B$1728)</f>
        <v/>
      </c>
      <c r="U1725">
        <f>IF([2]Baskol!$C$1728="","",[2]Baskol!$C$1728)</f>
        <v/>
      </c>
      <c r="V1725">
        <f>IF([2]Baskol!$D$1728="","",[2]Baskol!$D$1728)</f>
        <v/>
      </c>
      <c r="W1725">
        <f>IF([2]Baskol!$E$1728="","",[2]Baskol!$E$1728)</f>
        <v/>
      </c>
      <c r="X1725">
        <f>IF([2]Baskol!$G$1728="","",[2]Baskol!$G$1728)</f>
        <v/>
      </c>
      <c r="Y1725">
        <f>IF([2]Baskol!$I$1728="","",[2]Baskol!$I$1728)</f>
        <v/>
      </c>
      <c r="Z1725">
        <f>IF([2]Baskol!$J$1728="","",[2]Baskol!$J$1728)</f>
        <v/>
      </c>
      <c r="AA1725">
        <f>IF([2]Baskol!$K$1728="","",[2]Baskol!$K$1728)</f>
        <v/>
      </c>
      <c r="AB1725">
        <f>IF([2]Baskol!$L$1728="","",[2]Baskol!$L$1728)</f>
        <v/>
      </c>
      <c r="AC1725">
        <f>IF([2]Baskol!$N$1728="","",[2]Baskol!$N$1728)</f>
        <v/>
      </c>
      <c r="AD1725">
        <f>IF([2]Baskol!$O$1728="","",[2]Baskol!$O$1728)</f>
        <v/>
      </c>
      <c r="AE1725">
        <f>IF([3]Entry!$C$1728="","",[3]Entry!$C$1728)</f>
        <v/>
      </c>
      <c r="AF1725">
        <f>IF([3]Entry!$D$1728="","",[3]Entry!$D$1728)</f>
        <v/>
      </c>
      <c r="AG1725">
        <f>IF([3]Entry!$E$1728="","",[3]Entry!$E$1728)</f>
        <v/>
      </c>
      <c r="AH1725">
        <f>IF([3]Entry!$G$1728="","",[3]Entry!$G$1728)</f>
        <v/>
      </c>
      <c r="AI1725">
        <f>IF([3]Entry!$K$1728="","",[3]Entry!$K$1728)</f>
        <v/>
      </c>
      <c r="AJ1725">
        <f>IF([3]Entry!$L$1728="","",[3]Entry!$L$1728)</f>
        <v/>
      </c>
      <c r="AK1725">
        <f>IF([3]Entry!$M$1728="","",[3]Entry!$M$1728)</f>
        <v/>
      </c>
      <c r="AL1725">
        <f>IF([3]Entry!$N$1728="","",[3]Entry!$N$1728)</f>
        <v/>
      </c>
      <c r="AM1725">
        <f>IF([3]Entry!$R$1728="","",[3]Entry!$R$1728)</f>
        <v/>
      </c>
    </row>
    <row r="1726">
      <c r="T1726">
        <f>IF([2]Baskol!$B$1729="","",[2]Baskol!$B$1729)</f>
        <v/>
      </c>
      <c r="U1726">
        <f>IF([2]Baskol!$C$1729="","",[2]Baskol!$C$1729)</f>
        <v/>
      </c>
      <c r="V1726">
        <f>IF([2]Baskol!$D$1729="","",[2]Baskol!$D$1729)</f>
        <v/>
      </c>
      <c r="W1726">
        <f>IF([2]Baskol!$E$1729="","",[2]Baskol!$E$1729)</f>
        <v/>
      </c>
      <c r="X1726">
        <f>IF([2]Baskol!$G$1729="","",[2]Baskol!$G$1729)</f>
        <v/>
      </c>
      <c r="Y1726">
        <f>IF([2]Baskol!$I$1729="","",[2]Baskol!$I$1729)</f>
        <v/>
      </c>
      <c r="Z1726">
        <f>IF([2]Baskol!$J$1729="","",[2]Baskol!$J$1729)</f>
        <v/>
      </c>
      <c r="AA1726">
        <f>IF([2]Baskol!$K$1729="","",[2]Baskol!$K$1729)</f>
        <v/>
      </c>
      <c r="AB1726">
        <f>IF([2]Baskol!$L$1729="","",[2]Baskol!$L$1729)</f>
        <v/>
      </c>
      <c r="AC1726">
        <f>IF([2]Baskol!$N$1729="","",[2]Baskol!$N$1729)</f>
        <v/>
      </c>
      <c r="AD1726">
        <f>IF([2]Baskol!$O$1729="","",[2]Baskol!$O$1729)</f>
        <v/>
      </c>
      <c r="AE1726">
        <f>IF([3]Entry!$C$1729="","",[3]Entry!$C$1729)</f>
        <v/>
      </c>
      <c r="AF1726">
        <f>IF([3]Entry!$D$1729="","",[3]Entry!$D$1729)</f>
        <v/>
      </c>
      <c r="AG1726">
        <f>IF([3]Entry!$E$1729="","",[3]Entry!$E$1729)</f>
        <v/>
      </c>
      <c r="AH1726">
        <f>IF([3]Entry!$G$1729="","",[3]Entry!$G$1729)</f>
        <v/>
      </c>
      <c r="AI1726">
        <f>IF([3]Entry!$K$1729="","",[3]Entry!$K$1729)</f>
        <v/>
      </c>
      <c r="AJ1726">
        <f>IF([3]Entry!$L$1729="","",[3]Entry!$L$1729)</f>
        <v/>
      </c>
      <c r="AK1726">
        <f>IF([3]Entry!$M$1729="","",[3]Entry!$M$1729)</f>
        <v/>
      </c>
      <c r="AL1726">
        <f>IF([3]Entry!$N$1729="","",[3]Entry!$N$1729)</f>
        <v/>
      </c>
      <c r="AM1726">
        <f>IF([3]Entry!$R$1729="","",[3]Entry!$R$1729)</f>
        <v/>
      </c>
    </row>
    <row r="1727">
      <c r="T1727">
        <f>IF([2]Baskol!$B$1730="","",[2]Baskol!$B$1730)</f>
        <v/>
      </c>
      <c r="U1727">
        <f>IF([2]Baskol!$C$1730="","",[2]Baskol!$C$1730)</f>
        <v/>
      </c>
      <c r="V1727">
        <f>IF([2]Baskol!$D$1730="","",[2]Baskol!$D$1730)</f>
        <v/>
      </c>
      <c r="W1727">
        <f>IF([2]Baskol!$E$1730="","",[2]Baskol!$E$1730)</f>
        <v/>
      </c>
      <c r="X1727">
        <f>IF([2]Baskol!$G$1730="","",[2]Baskol!$G$1730)</f>
        <v/>
      </c>
      <c r="Y1727">
        <f>IF([2]Baskol!$I$1730="","",[2]Baskol!$I$1730)</f>
        <v/>
      </c>
      <c r="Z1727">
        <f>IF([2]Baskol!$J$1730="","",[2]Baskol!$J$1730)</f>
        <v/>
      </c>
      <c r="AA1727">
        <f>IF([2]Baskol!$K$1730="","",[2]Baskol!$K$1730)</f>
        <v/>
      </c>
      <c r="AB1727">
        <f>IF([2]Baskol!$L$1730="","",[2]Baskol!$L$1730)</f>
        <v/>
      </c>
      <c r="AC1727">
        <f>IF([2]Baskol!$N$1730="","",[2]Baskol!$N$1730)</f>
        <v/>
      </c>
      <c r="AD1727">
        <f>IF([2]Baskol!$O$1730="","",[2]Baskol!$O$1730)</f>
        <v/>
      </c>
      <c r="AE1727">
        <f>IF([3]Entry!$C$1730="","",[3]Entry!$C$1730)</f>
        <v/>
      </c>
      <c r="AF1727">
        <f>IF([3]Entry!$D$1730="","",[3]Entry!$D$1730)</f>
        <v/>
      </c>
      <c r="AG1727">
        <f>IF([3]Entry!$E$1730="","",[3]Entry!$E$1730)</f>
        <v/>
      </c>
      <c r="AH1727">
        <f>IF([3]Entry!$G$1730="","",[3]Entry!$G$1730)</f>
        <v/>
      </c>
      <c r="AI1727">
        <f>IF([3]Entry!$K$1730="","",[3]Entry!$K$1730)</f>
        <v/>
      </c>
      <c r="AJ1727">
        <f>IF([3]Entry!$L$1730="","",[3]Entry!$L$1730)</f>
        <v/>
      </c>
      <c r="AK1727">
        <f>IF([3]Entry!$M$1730="","",[3]Entry!$M$1730)</f>
        <v/>
      </c>
      <c r="AL1727">
        <f>IF([3]Entry!$N$1730="","",[3]Entry!$N$1730)</f>
        <v/>
      </c>
      <c r="AM1727">
        <f>IF([3]Entry!$R$1730="","",[3]Entry!$R$1730)</f>
        <v/>
      </c>
    </row>
    <row r="1728">
      <c r="T1728">
        <f>IF([2]Baskol!$B$1731="","",[2]Baskol!$B$1731)</f>
        <v/>
      </c>
      <c r="U1728">
        <f>IF([2]Baskol!$C$1731="","",[2]Baskol!$C$1731)</f>
        <v/>
      </c>
      <c r="V1728">
        <f>IF([2]Baskol!$D$1731="","",[2]Baskol!$D$1731)</f>
        <v/>
      </c>
      <c r="W1728">
        <f>IF([2]Baskol!$E$1731="","",[2]Baskol!$E$1731)</f>
        <v/>
      </c>
      <c r="X1728">
        <f>IF([2]Baskol!$G$1731="","",[2]Baskol!$G$1731)</f>
        <v/>
      </c>
      <c r="Y1728">
        <f>IF([2]Baskol!$I$1731="","",[2]Baskol!$I$1731)</f>
        <v/>
      </c>
      <c r="Z1728">
        <f>IF([2]Baskol!$J$1731="","",[2]Baskol!$J$1731)</f>
        <v/>
      </c>
      <c r="AA1728">
        <f>IF([2]Baskol!$K$1731="","",[2]Baskol!$K$1731)</f>
        <v/>
      </c>
      <c r="AB1728">
        <f>IF([2]Baskol!$L$1731="","",[2]Baskol!$L$1731)</f>
        <v/>
      </c>
      <c r="AC1728">
        <f>IF([2]Baskol!$N$1731="","",[2]Baskol!$N$1731)</f>
        <v/>
      </c>
      <c r="AD1728">
        <f>IF([2]Baskol!$O$1731="","",[2]Baskol!$O$1731)</f>
        <v/>
      </c>
      <c r="AE1728">
        <f>IF([3]Entry!$C$1731="","",[3]Entry!$C$1731)</f>
        <v/>
      </c>
      <c r="AF1728">
        <f>IF([3]Entry!$D$1731="","",[3]Entry!$D$1731)</f>
        <v/>
      </c>
      <c r="AG1728">
        <f>IF([3]Entry!$E$1731="","",[3]Entry!$E$1731)</f>
        <v/>
      </c>
      <c r="AH1728">
        <f>IF([3]Entry!$G$1731="","",[3]Entry!$G$1731)</f>
        <v/>
      </c>
      <c r="AI1728">
        <f>IF([3]Entry!$K$1731="","",[3]Entry!$K$1731)</f>
        <v/>
      </c>
      <c r="AJ1728">
        <f>IF([3]Entry!$L$1731="","",[3]Entry!$L$1731)</f>
        <v/>
      </c>
      <c r="AK1728">
        <f>IF([3]Entry!$M$1731="","",[3]Entry!$M$1731)</f>
        <v/>
      </c>
      <c r="AL1728">
        <f>IF([3]Entry!$N$1731="","",[3]Entry!$N$1731)</f>
        <v/>
      </c>
      <c r="AM1728">
        <f>IF([3]Entry!$R$1731="","",[3]Entry!$R$1731)</f>
        <v/>
      </c>
    </row>
    <row r="1729">
      <c r="T1729">
        <f>IF([2]Baskol!$B$1732="","",[2]Baskol!$B$1732)</f>
        <v/>
      </c>
      <c r="U1729">
        <f>IF([2]Baskol!$C$1732="","",[2]Baskol!$C$1732)</f>
        <v/>
      </c>
      <c r="V1729">
        <f>IF([2]Baskol!$D$1732="","",[2]Baskol!$D$1732)</f>
        <v/>
      </c>
      <c r="W1729">
        <f>IF([2]Baskol!$E$1732="","",[2]Baskol!$E$1732)</f>
        <v/>
      </c>
      <c r="X1729">
        <f>IF([2]Baskol!$G$1732="","",[2]Baskol!$G$1732)</f>
        <v/>
      </c>
      <c r="Y1729">
        <f>IF([2]Baskol!$I$1732="","",[2]Baskol!$I$1732)</f>
        <v/>
      </c>
      <c r="Z1729">
        <f>IF([2]Baskol!$J$1732="","",[2]Baskol!$J$1732)</f>
        <v/>
      </c>
      <c r="AA1729">
        <f>IF([2]Baskol!$K$1732="","",[2]Baskol!$K$1732)</f>
        <v/>
      </c>
      <c r="AB1729">
        <f>IF([2]Baskol!$L$1732="","",[2]Baskol!$L$1732)</f>
        <v/>
      </c>
      <c r="AC1729">
        <f>IF([2]Baskol!$N$1732="","",[2]Baskol!$N$1732)</f>
        <v/>
      </c>
      <c r="AD1729">
        <f>IF([2]Baskol!$O$1732="","",[2]Baskol!$O$1732)</f>
        <v/>
      </c>
      <c r="AE1729">
        <f>IF([3]Entry!$C$1732="","",[3]Entry!$C$1732)</f>
        <v/>
      </c>
      <c r="AF1729">
        <f>IF([3]Entry!$D$1732="","",[3]Entry!$D$1732)</f>
        <v/>
      </c>
      <c r="AG1729">
        <f>IF([3]Entry!$E$1732="","",[3]Entry!$E$1732)</f>
        <v/>
      </c>
      <c r="AH1729">
        <f>IF([3]Entry!$G$1732="","",[3]Entry!$G$1732)</f>
        <v/>
      </c>
      <c r="AI1729">
        <f>IF([3]Entry!$K$1732="","",[3]Entry!$K$1732)</f>
        <v/>
      </c>
      <c r="AJ1729">
        <f>IF([3]Entry!$L$1732="","",[3]Entry!$L$1732)</f>
        <v/>
      </c>
      <c r="AK1729">
        <f>IF([3]Entry!$M$1732="","",[3]Entry!$M$1732)</f>
        <v/>
      </c>
      <c r="AL1729">
        <f>IF([3]Entry!$N$1732="","",[3]Entry!$N$1732)</f>
        <v/>
      </c>
      <c r="AM1729">
        <f>IF([3]Entry!$R$1732="","",[3]Entry!$R$1732)</f>
        <v/>
      </c>
    </row>
    <row r="1730">
      <c r="T1730">
        <f>IF([2]Baskol!$B$1733="","",[2]Baskol!$B$1733)</f>
        <v/>
      </c>
      <c r="U1730">
        <f>IF([2]Baskol!$C$1733="","",[2]Baskol!$C$1733)</f>
        <v/>
      </c>
      <c r="V1730">
        <f>IF([2]Baskol!$D$1733="","",[2]Baskol!$D$1733)</f>
        <v/>
      </c>
      <c r="W1730">
        <f>IF([2]Baskol!$E$1733="","",[2]Baskol!$E$1733)</f>
        <v/>
      </c>
      <c r="X1730">
        <f>IF([2]Baskol!$G$1733="","",[2]Baskol!$G$1733)</f>
        <v/>
      </c>
      <c r="Y1730">
        <f>IF([2]Baskol!$I$1733="","",[2]Baskol!$I$1733)</f>
        <v/>
      </c>
      <c r="Z1730">
        <f>IF([2]Baskol!$J$1733="","",[2]Baskol!$J$1733)</f>
        <v/>
      </c>
      <c r="AA1730">
        <f>IF([2]Baskol!$K$1733="","",[2]Baskol!$K$1733)</f>
        <v/>
      </c>
      <c r="AB1730">
        <f>IF([2]Baskol!$L$1733="","",[2]Baskol!$L$1733)</f>
        <v/>
      </c>
      <c r="AC1730">
        <f>IF([2]Baskol!$N$1733="","",[2]Baskol!$N$1733)</f>
        <v/>
      </c>
      <c r="AD1730">
        <f>IF([2]Baskol!$O$1733="","",[2]Baskol!$O$1733)</f>
        <v/>
      </c>
      <c r="AE1730">
        <f>IF([3]Entry!$C$1733="","",[3]Entry!$C$1733)</f>
        <v/>
      </c>
      <c r="AF1730">
        <f>IF([3]Entry!$D$1733="","",[3]Entry!$D$1733)</f>
        <v/>
      </c>
      <c r="AG1730">
        <f>IF([3]Entry!$E$1733="","",[3]Entry!$E$1733)</f>
        <v/>
      </c>
      <c r="AH1730">
        <f>IF([3]Entry!$G$1733="","",[3]Entry!$G$1733)</f>
        <v/>
      </c>
      <c r="AI1730">
        <f>IF([3]Entry!$K$1733="","",[3]Entry!$K$1733)</f>
        <v/>
      </c>
      <c r="AJ1730">
        <f>IF([3]Entry!$L$1733="","",[3]Entry!$L$1733)</f>
        <v/>
      </c>
      <c r="AK1730">
        <f>IF([3]Entry!$M$1733="","",[3]Entry!$M$1733)</f>
        <v/>
      </c>
      <c r="AL1730">
        <f>IF([3]Entry!$N$1733="","",[3]Entry!$N$1733)</f>
        <v/>
      </c>
      <c r="AM1730">
        <f>IF([3]Entry!$R$1733="","",[3]Entry!$R$1733)</f>
        <v/>
      </c>
    </row>
    <row r="1731">
      <c r="T1731">
        <f>IF([2]Baskol!$B$1734="","",[2]Baskol!$B$1734)</f>
        <v/>
      </c>
      <c r="U1731">
        <f>IF([2]Baskol!$C$1734="","",[2]Baskol!$C$1734)</f>
        <v/>
      </c>
      <c r="V1731">
        <f>IF([2]Baskol!$D$1734="","",[2]Baskol!$D$1734)</f>
        <v/>
      </c>
      <c r="W1731">
        <f>IF([2]Baskol!$E$1734="","",[2]Baskol!$E$1734)</f>
        <v/>
      </c>
      <c r="X1731">
        <f>IF([2]Baskol!$G$1734="","",[2]Baskol!$G$1734)</f>
        <v/>
      </c>
      <c r="Y1731">
        <f>IF([2]Baskol!$I$1734="","",[2]Baskol!$I$1734)</f>
        <v/>
      </c>
      <c r="Z1731">
        <f>IF([2]Baskol!$J$1734="","",[2]Baskol!$J$1734)</f>
        <v/>
      </c>
      <c r="AA1731">
        <f>IF([2]Baskol!$K$1734="","",[2]Baskol!$K$1734)</f>
        <v/>
      </c>
      <c r="AB1731">
        <f>IF([2]Baskol!$L$1734="","",[2]Baskol!$L$1734)</f>
        <v/>
      </c>
      <c r="AC1731">
        <f>IF([2]Baskol!$N$1734="","",[2]Baskol!$N$1734)</f>
        <v/>
      </c>
      <c r="AD1731">
        <f>IF([2]Baskol!$O$1734="","",[2]Baskol!$O$1734)</f>
        <v/>
      </c>
      <c r="AE1731">
        <f>IF([3]Entry!$C$1734="","",[3]Entry!$C$1734)</f>
        <v/>
      </c>
      <c r="AF1731">
        <f>IF([3]Entry!$D$1734="","",[3]Entry!$D$1734)</f>
        <v/>
      </c>
      <c r="AG1731">
        <f>IF([3]Entry!$E$1734="","",[3]Entry!$E$1734)</f>
        <v/>
      </c>
      <c r="AH1731">
        <f>IF([3]Entry!$G$1734="","",[3]Entry!$G$1734)</f>
        <v/>
      </c>
      <c r="AI1731">
        <f>IF([3]Entry!$K$1734="","",[3]Entry!$K$1734)</f>
        <v/>
      </c>
      <c r="AJ1731">
        <f>IF([3]Entry!$L$1734="","",[3]Entry!$L$1734)</f>
        <v/>
      </c>
      <c r="AK1731">
        <f>IF([3]Entry!$M$1734="","",[3]Entry!$M$1734)</f>
        <v/>
      </c>
      <c r="AL1731">
        <f>IF([3]Entry!$N$1734="","",[3]Entry!$N$1734)</f>
        <v/>
      </c>
      <c r="AM1731">
        <f>IF([3]Entry!$R$1734="","",[3]Entry!$R$1734)</f>
        <v/>
      </c>
    </row>
    <row r="1732">
      <c r="T1732">
        <f>IF([2]Baskol!$B$1735="","",[2]Baskol!$B$1735)</f>
        <v/>
      </c>
      <c r="U1732">
        <f>IF([2]Baskol!$C$1735="","",[2]Baskol!$C$1735)</f>
        <v/>
      </c>
      <c r="V1732">
        <f>IF([2]Baskol!$D$1735="","",[2]Baskol!$D$1735)</f>
        <v/>
      </c>
      <c r="W1732">
        <f>IF([2]Baskol!$E$1735="","",[2]Baskol!$E$1735)</f>
        <v/>
      </c>
      <c r="X1732">
        <f>IF([2]Baskol!$G$1735="","",[2]Baskol!$G$1735)</f>
        <v/>
      </c>
      <c r="Y1732">
        <f>IF([2]Baskol!$I$1735="","",[2]Baskol!$I$1735)</f>
        <v/>
      </c>
      <c r="Z1732">
        <f>IF([2]Baskol!$J$1735="","",[2]Baskol!$J$1735)</f>
        <v/>
      </c>
      <c r="AA1732">
        <f>IF([2]Baskol!$K$1735="","",[2]Baskol!$K$1735)</f>
        <v/>
      </c>
      <c r="AB1732">
        <f>IF([2]Baskol!$L$1735="","",[2]Baskol!$L$1735)</f>
        <v/>
      </c>
      <c r="AC1732">
        <f>IF([2]Baskol!$N$1735="","",[2]Baskol!$N$1735)</f>
        <v/>
      </c>
      <c r="AD1732">
        <f>IF([2]Baskol!$O$1735="","",[2]Baskol!$O$1735)</f>
        <v/>
      </c>
      <c r="AE1732">
        <f>IF([3]Entry!$C$1735="","",[3]Entry!$C$1735)</f>
        <v/>
      </c>
      <c r="AF1732">
        <f>IF([3]Entry!$D$1735="","",[3]Entry!$D$1735)</f>
        <v/>
      </c>
      <c r="AG1732">
        <f>IF([3]Entry!$E$1735="","",[3]Entry!$E$1735)</f>
        <v/>
      </c>
      <c r="AH1732">
        <f>IF([3]Entry!$G$1735="","",[3]Entry!$G$1735)</f>
        <v/>
      </c>
      <c r="AI1732">
        <f>IF([3]Entry!$K$1735="","",[3]Entry!$K$1735)</f>
        <v/>
      </c>
      <c r="AJ1732">
        <f>IF([3]Entry!$L$1735="","",[3]Entry!$L$1735)</f>
        <v/>
      </c>
      <c r="AK1732">
        <f>IF([3]Entry!$M$1735="","",[3]Entry!$M$1735)</f>
        <v/>
      </c>
      <c r="AL1732">
        <f>IF([3]Entry!$N$1735="","",[3]Entry!$N$1735)</f>
        <v/>
      </c>
      <c r="AM1732">
        <f>IF([3]Entry!$R$1735="","",[3]Entry!$R$1735)</f>
        <v/>
      </c>
    </row>
    <row r="1733">
      <c r="T1733">
        <f>IF([2]Baskol!$B$1736="","",[2]Baskol!$B$1736)</f>
        <v/>
      </c>
      <c r="U1733">
        <f>IF([2]Baskol!$C$1736="","",[2]Baskol!$C$1736)</f>
        <v/>
      </c>
      <c r="V1733">
        <f>IF([2]Baskol!$D$1736="","",[2]Baskol!$D$1736)</f>
        <v/>
      </c>
      <c r="W1733">
        <f>IF([2]Baskol!$E$1736="","",[2]Baskol!$E$1736)</f>
        <v/>
      </c>
      <c r="X1733">
        <f>IF([2]Baskol!$G$1736="","",[2]Baskol!$G$1736)</f>
        <v/>
      </c>
      <c r="Y1733">
        <f>IF([2]Baskol!$I$1736="","",[2]Baskol!$I$1736)</f>
        <v/>
      </c>
      <c r="Z1733">
        <f>IF([2]Baskol!$J$1736="","",[2]Baskol!$J$1736)</f>
        <v/>
      </c>
      <c r="AA1733">
        <f>IF([2]Baskol!$K$1736="","",[2]Baskol!$K$1736)</f>
        <v/>
      </c>
      <c r="AB1733">
        <f>IF([2]Baskol!$L$1736="","",[2]Baskol!$L$1736)</f>
        <v/>
      </c>
      <c r="AC1733">
        <f>IF([2]Baskol!$N$1736="","",[2]Baskol!$N$1736)</f>
        <v/>
      </c>
      <c r="AD1733">
        <f>IF([2]Baskol!$O$1736="","",[2]Baskol!$O$1736)</f>
        <v/>
      </c>
      <c r="AE1733">
        <f>IF([3]Entry!$C$1736="","",[3]Entry!$C$1736)</f>
        <v/>
      </c>
      <c r="AF1733">
        <f>IF([3]Entry!$D$1736="","",[3]Entry!$D$1736)</f>
        <v/>
      </c>
      <c r="AG1733">
        <f>IF([3]Entry!$E$1736="","",[3]Entry!$E$1736)</f>
        <v/>
      </c>
      <c r="AH1733">
        <f>IF([3]Entry!$G$1736="","",[3]Entry!$G$1736)</f>
        <v/>
      </c>
      <c r="AI1733">
        <f>IF([3]Entry!$K$1736="","",[3]Entry!$K$1736)</f>
        <v/>
      </c>
      <c r="AJ1733">
        <f>IF([3]Entry!$L$1736="","",[3]Entry!$L$1736)</f>
        <v/>
      </c>
      <c r="AK1733">
        <f>IF([3]Entry!$M$1736="","",[3]Entry!$M$1736)</f>
        <v/>
      </c>
      <c r="AL1733">
        <f>IF([3]Entry!$N$1736="","",[3]Entry!$N$1736)</f>
        <v/>
      </c>
      <c r="AM1733">
        <f>IF([3]Entry!$R$1736="","",[3]Entry!$R$1736)</f>
        <v/>
      </c>
    </row>
    <row r="1734">
      <c r="T1734">
        <f>IF([2]Baskol!$B$1737="","",[2]Baskol!$B$1737)</f>
        <v/>
      </c>
      <c r="U1734">
        <f>IF([2]Baskol!$C$1737="","",[2]Baskol!$C$1737)</f>
        <v/>
      </c>
      <c r="V1734">
        <f>IF([2]Baskol!$D$1737="","",[2]Baskol!$D$1737)</f>
        <v/>
      </c>
      <c r="W1734">
        <f>IF([2]Baskol!$E$1737="","",[2]Baskol!$E$1737)</f>
        <v/>
      </c>
      <c r="X1734">
        <f>IF([2]Baskol!$G$1737="","",[2]Baskol!$G$1737)</f>
        <v/>
      </c>
      <c r="Y1734">
        <f>IF([2]Baskol!$I$1737="","",[2]Baskol!$I$1737)</f>
        <v/>
      </c>
      <c r="Z1734">
        <f>IF([2]Baskol!$J$1737="","",[2]Baskol!$J$1737)</f>
        <v/>
      </c>
      <c r="AA1734">
        <f>IF([2]Baskol!$K$1737="","",[2]Baskol!$K$1737)</f>
        <v/>
      </c>
      <c r="AB1734">
        <f>IF([2]Baskol!$L$1737="","",[2]Baskol!$L$1737)</f>
        <v/>
      </c>
      <c r="AC1734">
        <f>IF([2]Baskol!$N$1737="","",[2]Baskol!$N$1737)</f>
        <v/>
      </c>
      <c r="AD1734">
        <f>IF([2]Baskol!$O$1737="","",[2]Baskol!$O$1737)</f>
        <v/>
      </c>
      <c r="AE1734">
        <f>IF([3]Entry!$C$1737="","",[3]Entry!$C$1737)</f>
        <v/>
      </c>
      <c r="AF1734">
        <f>IF([3]Entry!$D$1737="","",[3]Entry!$D$1737)</f>
        <v/>
      </c>
      <c r="AG1734">
        <f>IF([3]Entry!$E$1737="","",[3]Entry!$E$1737)</f>
        <v/>
      </c>
      <c r="AH1734">
        <f>IF([3]Entry!$G$1737="","",[3]Entry!$G$1737)</f>
        <v/>
      </c>
      <c r="AI1734">
        <f>IF([3]Entry!$K$1737="","",[3]Entry!$K$1737)</f>
        <v/>
      </c>
      <c r="AJ1734">
        <f>IF([3]Entry!$L$1737="","",[3]Entry!$L$1737)</f>
        <v/>
      </c>
      <c r="AK1734">
        <f>IF([3]Entry!$M$1737="","",[3]Entry!$M$1737)</f>
        <v/>
      </c>
      <c r="AL1734">
        <f>IF([3]Entry!$N$1737="","",[3]Entry!$N$1737)</f>
        <v/>
      </c>
      <c r="AM1734">
        <f>IF([3]Entry!$R$1737="","",[3]Entry!$R$1737)</f>
        <v/>
      </c>
    </row>
    <row r="1735">
      <c r="T1735">
        <f>IF([2]Baskol!$B$1738="","",[2]Baskol!$B$1738)</f>
        <v/>
      </c>
      <c r="U1735">
        <f>IF([2]Baskol!$C$1738="","",[2]Baskol!$C$1738)</f>
        <v/>
      </c>
      <c r="V1735">
        <f>IF([2]Baskol!$D$1738="","",[2]Baskol!$D$1738)</f>
        <v/>
      </c>
      <c r="W1735">
        <f>IF([2]Baskol!$E$1738="","",[2]Baskol!$E$1738)</f>
        <v/>
      </c>
      <c r="X1735">
        <f>IF([2]Baskol!$G$1738="","",[2]Baskol!$G$1738)</f>
        <v/>
      </c>
      <c r="Y1735">
        <f>IF([2]Baskol!$I$1738="","",[2]Baskol!$I$1738)</f>
        <v/>
      </c>
      <c r="Z1735">
        <f>IF([2]Baskol!$J$1738="","",[2]Baskol!$J$1738)</f>
        <v/>
      </c>
      <c r="AA1735">
        <f>IF([2]Baskol!$K$1738="","",[2]Baskol!$K$1738)</f>
        <v/>
      </c>
      <c r="AB1735">
        <f>IF([2]Baskol!$L$1738="","",[2]Baskol!$L$1738)</f>
        <v/>
      </c>
      <c r="AC1735">
        <f>IF([2]Baskol!$N$1738="","",[2]Baskol!$N$1738)</f>
        <v/>
      </c>
      <c r="AD1735">
        <f>IF([2]Baskol!$O$1738="","",[2]Baskol!$O$1738)</f>
        <v/>
      </c>
      <c r="AE1735">
        <f>IF([3]Entry!$C$1738="","",[3]Entry!$C$1738)</f>
        <v/>
      </c>
      <c r="AF1735">
        <f>IF([3]Entry!$D$1738="","",[3]Entry!$D$1738)</f>
        <v/>
      </c>
      <c r="AG1735">
        <f>IF([3]Entry!$E$1738="","",[3]Entry!$E$1738)</f>
        <v/>
      </c>
      <c r="AH1735">
        <f>IF([3]Entry!$G$1738="","",[3]Entry!$G$1738)</f>
        <v/>
      </c>
      <c r="AI1735">
        <f>IF([3]Entry!$K$1738="","",[3]Entry!$K$1738)</f>
        <v/>
      </c>
      <c r="AJ1735">
        <f>IF([3]Entry!$L$1738="","",[3]Entry!$L$1738)</f>
        <v/>
      </c>
      <c r="AK1735">
        <f>IF([3]Entry!$M$1738="","",[3]Entry!$M$1738)</f>
        <v/>
      </c>
      <c r="AL1735">
        <f>IF([3]Entry!$N$1738="","",[3]Entry!$N$1738)</f>
        <v/>
      </c>
      <c r="AM1735">
        <f>IF([3]Entry!$R$1738="","",[3]Entry!$R$1738)</f>
        <v/>
      </c>
    </row>
    <row r="1736">
      <c r="T1736">
        <f>IF([2]Baskol!$B$1739="","",[2]Baskol!$B$1739)</f>
        <v/>
      </c>
      <c r="U1736">
        <f>IF([2]Baskol!$C$1739="","",[2]Baskol!$C$1739)</f>
        <v/>
      </c>
      <c r="V1736">
        <f>IF([2]Baskol!$D$1739="","",[2]Baskol!$D$1739)</f>
        <v/>
      </c>
      <c r="W1736">
        <f>IF([2]Baskol!$E$1739="","",[2]Baskol!$E$1739)</f>
        <v/>
      </c>
      <c r="X1736">
        <f>IF([2]Baskol!$G$1739="","",[2]Baskol!$G$1739)</f>
        <v/>
      </c>
      <c r="Y1736">
        <f>IF([2]Baskol!$I$1739="","",[2]Baskol!$I$1739)</f>
        <v/>
      </c>
      <c r="Z1736">
        <f>IF([2]Baskol!$J$1739="","",[2]Baskol!$J$1739)</f>
        <v/>
      </c>
      <c r="AA1736">
        <f>IF([2]Baskol!$K$1739="","",[2]Baskol!$K$1739)</f>
        <v/>
      </c>
      <c r="AB1736">
        <f>IF([2]Baskol!$L$1739="","",[2]Baskol!$L$1739)</f>
        <v/>
      </c>
      <c r="AC1736">
        <f>IF([2]Baskol!$N$1739="","",[2]Baskol!$N$1739)</f>
        <v/>
      </c>
      <c r="AD1736">
        <f>IF([2]Baskol!$O$1739="","",[2]Baskol!$O$1739)</f>
        <v/>
      </c>
      <c r="AE1736">
        <f>IF([3]Entry!$C$1739="","",[3]Entry!$C$1739)</f>
        <v/>
      </c>
      <c r="AF1736">
        <f>IF([3]Entry!$D$1739="","",[3]Entry!$D$1739)</f>
        <v/>
      </c>
      <c r="AG1736">
        <f>IF([3]Entry!$E$1739="","",[3]Entry!$E$1739)</f>
        <v/>
      </c>
      <c r="AH1736">
        <f>IF([3]Entry!$G$1739="","",[3]Entry!$G$1739)</f>
        <v/>
      </c>
      <c r="AI1736">
        <f>IF([3]Entry!$K$1739="","",[3]Entry!$K$1739)</f>
        <v/>
      </c>
      <c r="AJ1736">
        <f>IF([3]Entry!$L$1739="","",[3]Entry!$L$1739)</f>
        <v/>
      </c>
      <c r="AK1736">
        <f>IF([3]Entry!$M$1739="","",[3]Entry!$M$1739)</f>
        <v/>
      </c>
      <c r="AL1736">
        <f>IF([3]Entry!$N$1739="","",[3]Entry!$N$1739)</f>
        <v/>
      </c>
      <c r="AM1736">
        <f>IF([3]Entry!$R$1739="","",[3]Entry!$R$1739)</f>
        <v/>
      </c>
    </row>
    <row r="1737">
      <c r="T1737">
        <f>IF([2]Baskol!$B$1740="","",[2]Baskol!$B$1740)</f>
        <v/>
      </c>
      <c r="U1737">
        <f>IF([2]Baskol!$C$1740="","",[2]Baskol!$C$1740)</f>
        <v/>
      </c>
      <c r="V1737">
        <f>IF([2]Baskol!$D$1740="","",[2]Baskol!$D$1740)</f>
        <v/>
      </c>
      <c r="W1737">
        <f>IF([2]Baskol!$E$1740="","",[2]Baskol!$E$1740)</f>
        <v/>
      </c>
      <c r="X1737">
        <f>IF([2]Baskol!$G$1740="","",[2]Baskol!$G$1740)</f>
        <v/>
      </c>
      <c r="Y1737">
        <f>IF([2]Baskol!$I$1740="","",[2]Baskol!$I$1740)</f>
        <v/>
      </c>
      <c r="Z1737">
        <f>IF([2]Baskol!$J$1740="","",[2]Baskol!$J$1740)</f>
        <v/>
      </c>
      <c r="AA1737">
        <f>IF([2]Baskol!$K$1740="","",[2]Baskol!$K$1740)</f>
        <v/>
      </c>
      <c r="AB1737">
        <f>IF([2]Baskol!$L$1740="","",[2]Baskol!$L$1740)</f>
        <v/>
      </c>
      <c r="AC1737">
        <f>IF([2]Baskol!$N$1740="","",[2]Baskol!$N$1740)</f>
        <v/>
      </c>
      <c r="AD1737">
        <f>IF([2]Baskol!$O$1740="","",[2]Baskol!$O$1740)</f>
        <v/>
      </c>
      <c r="AE1737">
        <f>IF([3]Entry!$C$1740="","",[3]Entry!$C$1740)</f>
        <v/>
      </c>
      <c r="AF1737">
        <f>IF([3]Entry!$D$1740="","",[3]Entry!$D$1740)</f>
        <v/>
      </c>
      <c r="AG1737">
        <f>IF([3]Entry!$E$1740="","",[3]Entry!$E$1740)</f>
        <v/>
      </c>
      <c r="AH1737">
        <f>IF([3]Entry!$G$1740="","",[3]Entry!$G$1740)</f>
        <v/>
      </c>
      <c r="AI1737">
        <f>IF([3]Entry!$K$1740="","",[3]Entry!$K$1740)</f>
        <v/>
      </c>
      <c r="AJ1737">
        <f>IF([3]Entry!$L$1740="","",[3]Entry!$L$1740)</f>
        <v/>
      </c>
      <c r="AK1737">
        <f>IF([3]Entry!$M$1740="","",[3]Entry!$M$1740)</f>
        <v/>
      </c>
      <c r="AL1737">
        <f>IF([3]Entry!$N$1740="","",[3]Entry!$N$1740)</f>
        <v/>
      </c>
      <c r="AM1737">
        <f>IF([3]Entry!$R$1740="","",[3]Entry!$R$1740)</f>
        <v/>
      </c>
    </row>
    <row r="1738">
      <c r="T1738">
        <f>IF([2]Baskol!$B$1741="","",[2]Baskol!$B$1741)</f>
        <v/>
      </c>
      <c r="U1738">
        <f>IF([2]Baskol!$C$1741="","",[2]Baskol!$C$1741)</f>
        <v/>
      </c>
      <c r="V1738">
        <f>IF([2]Baskol!$D$1741="","",[2]Baskol!$D$1741)</f>
        <v/>
      </c>
      <c r="W1738">
        <f>IF([2]Baskol!$E$1741="","",[2]Baskol!$E$1741)</f>
        <v/>
      </c>
      <c r="X1738">
        <f>IF([2]Baskol!$G$1741="","",[2]Baskol!$G$1741)</f>
        <v/>
      </c>
      <c r="Y1738">
        <f>IF([2]Baskol!$I$1741="","",[2]Baskol!$I$1741)</f>
        <v/>
      </c>
      <c r="Z1738">
        <f>IF([2]Baskol!$J$1741="","",[2]Baskol!$J$1741)</f>
        <v/>
      </c>
      <c r="AA1738">
        <f>IF([2]Baskol!$K$1741="","",[2]Baskol!$K$1741)</f>
        <v/>
      </c>
      <c r="AB1738">
        <f>IF([2]Baskol!$L$1741="","",[2]Baskol!$L$1741)</f>
        <v/>
      </c>
      <c r="AC1738">
        <f>IF([2]Baskol!$N$1741="","",[2]Baskol!$N$1741)</f>
        <v/>
      </c>
      <c r="AD1738">
        <f>IF([2]Baskol!$O$1741="","",[2]Baskol!$O$1741)</f>
        <v/>
      </c>
      <c r="AE1738">
        <f>IF([3]Entry!$C$1741="","",[3]Entry!$C$1741)</f>
        <v/>
      </c>
      <c r="AF1738">
        <f>IF([3]Entry!$D$1741="","",[3]Entry!$D$1741)</f>
        <v/>
      </c>
      <c r="AG1738">
        <f>IF([3]Entry!$E$1741="","",[3]Entry!$E$1741)</f>
        <v/>
      </c>
      <c r="AH1738">
        <f>IF([3]Entry!$G$1741="","",[3]Entry!$G$1741)</f>
        <v/>
      </c>
      <c r="AI1738">
        <f>IF([3]Entry!$K$1741="","",[3]Entry!$K$1741)</f>
        <v/>
      </c>
      <c r="AJ1738">
        <f>IF([3]Entry!$L$1741="","",[3]Entry!$L$1741)</f>
        <v/>
      </c>
      <c r="AK1738">
        <f>IF([3]Entry!$M$1741="","",[3]Entry!$M$1741)</f>
        <v/>
      </c>
      <c r="AL1738">
        <f>IF([3]Entry!$N$1741="","",[3]Entry!$N$1741)</f>
        <v/>
      </c>
      <c r="AM1738">
        <f>IF([3]Entry!$R$1741="","",[3]Entry!$R$1741)</f>
        <v/>
      </c>
    </row>
    <row r="1739">
      <c r="T1739">
        <f>IF([2]Baskol!$B$1742="","",[2]Baskol!$B$1742)</f>
        <v/>
      </c>
      <c r="U1739">
        <f>IF([2]Baskol!$C$1742="","",[2]Baskol!$C$1742)</f>
        <v/>
      </c>
      <c r="V1739">
        <f>IF([2]Baskol!$D$1742="","",[2]Baskol!$D$1742)</f>
        <v/>
      </c>
      <c r="W1739">
        <f>IF([2]Baskol!$E$1742="","",[2]Baskol!$E$1742)</f>
        <v/>
      </c>
      <c r="X1739">
        <f>IF([2]Baskol!$G$1742="","",[2]Baskol!$G$1742)</f>
        <v/>
      </c>
      <c r="Y1739">
        <f>IF([2]Baskol!$I$1742="","",[2]Baskol!$I$1742)</f>
        <v/>
      </c>
      <c r="Z1739">
        <f>IF([2]Baskol!$J$1742="","",[2]Baskol!$J$1742)</f>
        <v/>
      </c>
      <c r="AA1739">
        <f>IF([2]Baskol!$K$1742="","",[2]Baskol!$K$1742)</f>
        <v/>
      </c>
      <c r="AB1739">
        <f>IF([2]Baskol!$L$1742="","",[2]Baskol!$L$1742)</f>
        <v/>
      </c>
      <c r="AC1739">
        <f>IF([2]Baskol!$N$1742="","",[2]Baskol!$N$1742)</f>
        <v/>
      </c>
      <c r="AD1739">
        <f>IF([2]Baskol!$O$1742="","",[2]Baskol!$O$1742)</f>
        <v/>
      </c>
      <c r="AE1739">
        <f>IF([3]Entry!$C$1742="","",[3]Entry!$C$1742)</f>
        <v/>
      </c>
      <c r="AF1739">
        <f>IF([3]Entry!$D$1742="","",[3]Entry!$D$1742)</f>
        <v/>
      </c>
      <c r="AG1739">
        <f>IF([3]Entry!$E$1742="","",[3]Entry!$E$1742)</f>
        <v/>
      </c>
      <c r="AH1739">
        <f>IF([3]Entry!$G$1742="","",[3]Entry!$G$1742)</f>
        <v/>
      </c>
      <c r="AI1739">
        <f>IF([3]Entry!$K$1742="","",[3]Entry!$K$1742)</f>
        <v/>
      </c>
      <c r="AJ1739">
        <f>IF([3]Entry!$L$1742="","",[3]Entry!$L$1742)</f>
        <v/>
      </c>
      <c r="AK1739">
        <f>IF([3]Entry!$M$1742="","",[3]Entry!$M$1742)</f>
        <v/>
      </c>
      <c r="AL1739">
        <f>IF([3]Entry!$N$1742="","",[3]Entry!$N$1742)</f>
        <v/>
      </c>
      <c r="AM1739">
        <f>IF([3]Entry!$R$1742="","",[3]Entry!$R$1742)</f>
        <v/>
      </c>
    </row>
    <row r="1740">
      <c r="T1740">
        <f>IF([2]Baskol!$B$1743="","",[2]Baskol!$B$1743)</f>
        <v/>
      </c>
      <c r="U1740">
        <f>IF([2]Baskol!$C$1743="","",[2]Baskol!$C$1743)</f>
        <v/>
      </c>
      <c r="V1740">
        <f>IF([2]Baskol!$D$1743="","",[2]Baskol!$D$1743)</f>
        <v/>
      </c>
      <c r="W1740">
        <f>IF([2]Baskol!$E$1743="","",[2]Baskol!$E$1743)</f>
        <v/>
      </c>
      <c r="X1740">
        <f>IF([2]Baskol!$G$1743="","",[2]Baskol!$G$1743)</f>
        <v/>
      </c>
      <c r="Y1740">
        <f>IF([2]Baskol!$I$1743="","",[2]Baskol!$I$1743)</f>
        <v/>
      </c>
      <c r="Z1740">
        <f>IF([2]Baskol!$J$1743="","",[2]Baskol!$J$1743)</f>
        <v/>
      </c>
      <c r="AA1740">
        <f>IF([2]Baskol!$K$1743="","",[2]Baskol!$K$1743)</f>
        <v/>
      </c>
      <c r="AB1740">
        <f>IF([2]Baskol!$L$1743="","",[2]Baskol!$L$1743)</f>
        <v/>
      </c>
      <c r="AC1740">
        <f>IF([2]Baskol!$N$1743="","",[2]Baskol!$N$1743)</f>
        <v/>
      </c>
      <c r="AD1740">
        <f>IF([2]Baskol!$O$1743="","",[2]Baskol!$O$1743)</f>
        <v/>
      </c>
      <c r="AE1740">
        <f>IF([3]Entry!$C$1743="","",[3]Entry!$C$1743)</f>
        <v/>
      </c>
      <c r="AF1740">
        <f>IF([3]Entry!$D$1743="","",[3]Entry!$D$1743)</f>
        <v/>
      </c>
      <c r="AG1740">
        <f>IF([3]Entry!$E$1743="","",[3]Entry!$E$1743)</f>
        <v/>
      </c>
      <c r="AH1740">
        <f>IF([3]Entry!$G$1743="","",[3]Entry!$G$1743)</f>
        <v/>
      </c>
      <c r="AI1740">
        <f>IF([3]Entry!$K$1743="","",[3]Entry!$K$1743)</f>
        <v/>
      </c>
      <c r="AJ1740">
        <f>IF([3]Entry!$L$1743="","",[3]Entry!$L$1743)</f>
        <v/>
      </c>
      <c r="AK1740">
        <f>IF([3]Entry!$M$1743="","",[3]Entry!$M$1743)</f>
        <v/>
      </c>
      <c r="AL1740">
        <f>IF([3]Entry!$N$1743="","",[3]Entry!$N$1743)</f>
        <v/>
      </c>
      <c r="AM1740">
        <f>IF([3]Entry!$R$1743="","",[3]Entry!$R$1743)</f>
        <v/>
      </c>
    </row>
    <row r="1741">
      <c r="T1741">
        <f>IF([2]Baskol!$B$1744="","",[2]Baskol!$B$1744)</f>
        <v/>
      </c>
      <c r="U1741">
        <f>IF([2]Baskol!$C$1744="","",[2]Baskol!$C$1744)</f>
        <v/>
      </c>
      <c r="V1741">
        <f>IF([2]Baskol!$D$1744="","",[2]Baskol!$D$1744)</f>
        <v/>
      </c>
      <c r="W1741">
        <f>IF([2]Baskol!$E$1744="","",[2]Baskol!$E$1744)</f>
        <v/>
      </c>
      <c r="X1741">
        <f>IF([2]Baskol!$G$1744="","",[2]Baskol!$G$1744)</f>
        <v/>
      </c>
      <c r="Y1741">
        <f>IF([2]Baskol!$I$1744="","",[2]Baskol!$I$1744)</f>
        <v/>
      </c>
      <c r="Z1741">
        <f>IF([2]Baskol!$J$1744="","",[2]Baskol!$J$1744)</f>
        <v/>
      </c>
      <c r="AA1741">
        <f>IF([2]Baskol!$K$1744="","",[2]Baskol!$K$1744)</f>
        <v/>
      </c>
      <c r="AB1741">
        <f>IF([2]Baskol!$L$1744="","",[2]Baskol!$L$1744)</f>
        <v/>
      </c>
      <c r="AC1741">
        <f>IF([2]Baskol!$N$1744="","",[2]Baskol!$N$1744)</f>
        <v/>
      </c>
      <c r="AD1741">
        <f>IF([2]Baskol!$O$1744="","",[2]Baskol!$O$1744)</f>
        <v/>
      </c>
      <c r="AE1741">
        <f>IF([3]Entry!$C$1744="","",[3]Entry!$C$1744)</f>
        <v/>
      </c>
      <c r="AF1741">
        <f>IF([3]Entry!$D$1744="","",[3]Entry!$D$1744)</f>
        <v/>
      </c>
      <c r="AG1741">
        <f>IF([3]Entry!$E$1744="","",[3]Entry!$E$1744)</f>
        <v/>
      </c>
      <c r="AH1741">
        <f>IF([3]Entry!$G$1744="","",[3]Entry!$G$1744)</f>
        <v/>
      </c>
      <c r="AI1741">
        <f>IF([3]Entry!$K$1744="","",[3]Entry!$K$1744)</f>
        <v/>
      </c>
      <c r="AJ1741">
        <f>IF([3]Entry!$L$1744="","",[3]Entry!$L$1744)</f>
        <v/>
      </c>
      <c r="AK1741">
        <f>IF([3]Entry!$M$1744="","",[3]Entry!$M$1744)</f>
        <v/>
      </c>
      <c r="AL1741">
        <f>IF([3]Entry!$N$1744="","",[3]Entry!$N$1744)</f>
        <v/>
      </c>
      <c r="AM1741">
        <f>IF([3]Entry!$R$1744="","",[3]Entry!$R$1744)</f>
        <v/>
      </c>
    </row>
    <row r="1742">
      <c r="T1742">
        <f>IF([2]Baskol!$B$1745="","",[2]Baskol!$B$1745)</f>
        <v/>
      </c>
      <c r="U1742">
        <f>IF([2]Baskol!$C$1745="","",[2]Baskol!$C$1745)</f>
        <v/>
      </c>
      <c r="V1742">
        <f>IF([2]Baskol!$D$1745="","",[2]Baskol!$D$1745)</f>
        <v/>
      </c>
      <c r="W1742">
        <f>IF([2]Baskol!$E$1745="","",[2]Baskol!$E$1745)</f>
        <v/>
      </c>
      <c r="X1742">
        <f>IF([2]Baskol!$G$1745="","",[2]Baskol!$G$1745)</f>
        <v/>
      </c>
      <c r="Y1742">
        <f>IF([2]Baskol!$I$1745="","",[2]Baskol!$I$1745)</f>
        <v/>
      </c>
      <c r="Z1742">
        <f>IF([2]Baskol!$J$1745="","",[2]Baskol!$J$1745)</f>
        <v/>
      </c>
      <c r="AA1742">
        <f>IF([2]Baskol!$K$1745="","",[2]Baskol!$K$1745)</f>
        <v/>
      </c>
      <c r="AB1742">
        <f>IF([2]Baskol!$L$1745="","",[2]Baskol!$L$1745)</f>
        <v/>
      </c>
      <c r="AC1742">
        <f>IF([2]Baskol!$N$1745="","",[2]Baskol!$N$1745)</f>
        <v/>
      </c>
      <c r="AD1742">
        <f>IF([2]Baskol!$O$1745="","",[2]Baskol!$O$1745)</f>
        <v/>
      </c>
      <c r="AE1742">
        <f>IF([3]Entry!$C$1745="","",[3]Entry!$C$1745)</f>
        <v/>
      </c>
      <c r="AF1742">
        <f>IF([3]Entry!$D$1745="","",[3]Entry!$D$1745)</f>
        <v/>
      </c>
      <c r="AG1742">
        <f>IF([3]Entry!$E$1745="","",[3]Entry!$E$1745)</f>
        <v/>
      </c>
      <c r="AH1742">
        <f>IF([3]Entry!$G$1745="","",[3]Entry!$G$1745)</f>
        <v/>
      </c>
      <c r="AI1742">
        <f>IF([3]Entry!$K$1745="","",[3]Entry!$K$1745)</f>
        <v/>
      </c>
      <c r="AJ1742">
        <f>IF([3]Entry!$L$1745="","",[3]Entry!$L$1745)</f>
        <v/>
      </c>
      <c r="AK1742">
        <f>IF([3]Entry!$M$1745="","",[3]Entry!$M$1745)</f>
        <v/>
      </c>
      <c r="AL1742">
        <f>IF([3]Entry!$N$1745="","",[3]Entry!$N$1745)</f>
        <v/>
      </c>
      <c r="AM1742">
        <f>IF([3]Entry!$R$1745="","",[3]Entry!$R$1745)</f>
        <v/>
      </c>
    </row>
    <row r="1743">
      <c r="T1743">
        <f>IF([2]Baskol!$B$1746="","",[2]Baskol!$B$1746)</f>
        <v/>
      </c>
      <c r="U1743">
        <f>IF([2]Baskol!$C$1746="","",[2]Baskol!$C$1746)</f>
        <v/>
      </c>
      <c r="V1743">
        <f>IF([2]Baskol!$D$1746="","",[2]Baskol!$D$1746)</f>
        <v/>
      </c>
      <c r="W1743">
        <f>IF([2]Baskol!$E$1746="","",[2]Baskol!$E$1746)</f>
        <v/>
      </c>
      <c r="X1743">
        <f>IF([2]Baskol!$G$1746="","",[2]Baskol!$G$1746)</f>
        <v/>
      </c>
      <c r="Y1743">
        <f>IF([2]Baskol!$I$1746="","",[2]Baskol!$I$1746)</f>
        <v/>
      </c>
      <c r="Z1743">
        <f>IF([2]Baskol!$J$1746="","",[2]Baskol!$J$1746)</f>
        <v/>
      </c>
      <c r="AA1743">
        <f>IF([2]Baskol!$K$1746="","",[2]Baskol!$K$1746)</f>
        <v/>
      </c>
      <c r="AB1743">
        <f>IF([2]Baskol!$L$1746="","",[2]Baskol!$L$1746)</f>
        <v/>
      </c>
      <c r="AC1743">
        <f>IF([2]Baskol!$N$1746="","",[2]Baskol!$N$1746)</f>
        <v/>
      </c>
      <c r="AD1743">
        <f>IF([2]Baskol!$O$1746="","",[2]Baskol!$O$1746)</f>
        <v/>
      </c>
      <c r="AE1743">
        <f>IF([3]Entry!$C$1746="","",[3]Entry!$C$1746)</f>
        <v/>
      </c>
      <c r="AF1743">
        <f>IF([3]Entry!$D$1746="","",[3]Entry!$D$1746)</f>
        <v/>
      </c>
      <c r="AG1743">
        <f>IF([3]Entry!$E$1746="","",[3]Entry!$E$1746)</f>
        <v/>
      </c>
      <c r="AH1743">
        <f>IF([3]Entry!$G$1746="","",[3]Entry!$G$1746)</f>
        <v/>
      </c>
      <c r="AI1743">
        <f>IF([3]Entry!$K$1746="","",[3]Entry!$K$1746)</f>
        <v/>
      </c>
      <c r="AJ1743">
        <f>IF([3]Entry!$L$1746="","",[3]Entry!$L$1746)</f>
        <v/>
      </c>
      <c r="AK1743">
        <f>IF([3]Entry!$M$1746="","",[3]Entry!$M$1746)</f>
        <v/>
      </c>
      <c r="AL1743">
        <f>IF([3]Entry!$N$1746="","",[3]Entry!$N$1746)</f>
        <v/>
      </c>
      <c r="AM1743">
        <f>IF([3]Entry!$R$1746="","",[3]Entry!$R$1746)</f>
        <v/>
      </c>
    </row>
    <row r="1744">
      <c r="T1744">
        <f>IF([2]Baskol!$B$1747="","",[2]Baskol!$B$1747)</f>
        <v/>
      </c>
      <c r="U1744">
        <f>IF([2]Baskol!$C$1747="","",[2]Baskol!$C$1747)</f>
        <v/>
      </c>
      <c r="V1744">
        <f>IF([2]Baskol!$D$1747="","",[2]Baskol!$D$1747)</f>
        <v/>
      </c>
      <c r="W1744">
        <f>IF([2]Baskol!$E$1747="","",[2]Baskol!$E$1747)</f>
        <v/>
      </c>
      <c r="X1744">
        <f>IF([2]Baskol!$G$1747="","",[2]Baskol!$G$1747)</f>
        <v/>
      </c>
      <c r="Y1744">
        <f>IF([2]Baskol!$I$1747="","",[2]Baskol!$I$1747)</f>
        <v/>
      </c>
      <c r="Z1744">
        <f>IF([2]Baskol!$J$1747="","",[2]Baskol!$J$1747)</f>
        <v/>
      </c>
      <c r="AA1744">
        <f>IF([2]Baskol!$K$1747="","",[2]Baskol!$K$1747)</f>
        <v/>
      </c>
      <c r="AB1744">
        <f>IF([2]Baskol!$L$1747="","",[2]Baskol!$L$1747)</f>
        <v/>
      </c>
      <c r="AC1744">
        <f>IF([2]Baskol!$N$1747="","",[2]Baskol!$N$1747)</f>
        <v/>
      </c>
      <c r="AD1744">
        <f>IF([2]Baskol!$O$1747="","",[2]Baskol!$O$1747)</f>
        <v/>
      </c>
      <c r="AE1744">
        <f>IF([3]Entry!$C$1747="","",[3]Entry!$C$1747)</f>
        <v/>
      </c>
      <c r="AF1744">
        <f>IF([3]Entry!$D$1747="","",[3]Entry!$D$1747)</f>
        <v/>
      </c>
      <c r="AG1744">
        <f>IF([3]Entry!$E$1747="","",[3]Entry!$E$1747)</f>
        <v/>
      </c>
      <c r="AH1744">
        <f>IF([3]Entry!$G$1747="","",[3]Entry!$G$1747)</f>
        <v/>
      </c>
      <c r="AI1744">
        <f>IF([3]Entry!$K$1747="","",[3]Entry!$K$1747)</f>
        <v/>
      </c>
      <c r="AJ1744">
        <f>IF([3]Entry!$L$1747="","",[3]Entry!$L$1747)</f>
        <v/>
      </c>
      <c r="AK1744">
        <f>IF([3]Entry!$M$1747="","",[3]Entry!$M$1747)</f>
        <v/>
      </c>
      <c r="AL1744">
        <f>IF([3]Entry!$N$1747="","",[3]Entry!$N$1747)</f>
        <v/>
      </c>
      <c r="AM1744">
        <f>IF([3]Entry!$R$1747="","",[3]Entry!$R$1747)</f>
        <v/>
      </c>
    </row>
    <row r="1745">
      <c r="T1745">
        <f>IF([2]Baskol!$B$1748="","",[2]Baskol!$B$1748)</f>
        <v/>
      </c>
      <c r="U1745">
        <f>IF([2]Baskol!$C$1748="","",[2]Baskol!$C$1748)</f>
        <v/>
      </c>
      <c r="V1745">
        <f>IF([2]Baskol!$D$1748="","",[2]Baskol!$D$1748)</f>
        <v/>
      </c>
      <c r="W1745">
        <f>IF([2]Baskol!$E$1748="","",[2]Baskol!$E$1748)</f>
        <v/>
      </c>
      <c r="X1745">
        <f>IF([2]Baskol!$G$1748="","",[2]Baskol!$G$1748)</f>
        <v/>
      </c>
      <c r="Y1745">
        <f>IF([2]Baskol!$I$1748="","",[2]Baskol!$I$1748)</f>
        <v/>
      </c>
      <c r="Z1745">
        <f>IF([2]Baskol!$J$1748="","",[2]Baskol!$J$1748)</f>
        <v/>
      </c>
      <c r="AA1745">
        <f>IF([2]Baskol!$K$1748="","",[2]Baskol!$K$1748)</f>
        <v/>
      </c>
      <c r="AB1745">
        <f>IF([2]Baskol!$L$1748="","",[2]Baskol!$L$1748)</f>
        <v/>
      </c>
      <c r="AC1745">
        <f>IF([2]Baskol!$N$1748="","",[2]Baskol!$N$1748)</f>
        <v/>
      </c>
      <c r="AD1745">
        <f>IF([2]Baskol!$O$1748="","",[2]Baskol!$O$1748)</f>
        <v/>
      </c>
      <c r="AE1745">
        <f>IF([3]Entry!$C$1748="","",[3]Entry!$C$1748)</f>
        <v/>
      </c>
      <c r="AF1745">
        <f>IF([3]Entry!$D$1748="","",[3]Entry!$D$1748)</f>
        <v/>
      </c>
      <c r="AG1745">
        <f>IF([3]Entry!$E$1748="","",[3]Entry!$E$1748)</f>
        <v/>
      </c>
      <c r="AH1745">
        <f>IF([3]Entry!$G$1748="","",[3]Entry!$G$1748)</f>
        <v/>
      </c>
      <c r="AI1745">
        <f>IF([3]Entry!$K$1748="","",[3]Entry!$K$1748)</f>
        <v/>
      </c>
      <c r="AJ1745">
        <f>IF([3]Entry!$L$1748="","",[3]Entry!$L$1748)</f>
        <v/>
      </c>
      <c r="AK1745">
        <f>IF([3]Entry!$M$1748="","",[3]Entry!$M$1748)</f>
        <v/>
      </c>
      <c r="AL1745">
        <f>IF([3]Entry!$N$1748="","",[3]Entry!$N$1748)</f>
        <v/>
      </c>
      <c r="AM1745">
        <f>IF([3]Entry!$R$1748="","",[3]Entry!$R$1748)</f>
        <v/>
      </c>
    </row>
    <row r="1746">
      <c r="T1746">
        <f>IF([2]Baskol!$B$1749="","",[2]Baskol!$B$1749)</f>
        <v/>
      </c>
      <c r="U1746">
        <f>IF([2]Baskol!$C$1749="","",[2]Baskol!$C$1749)</f>
        <v/>
      </c>
      <c r="V1746">
        <f>IF([2]Baskol!$D$1749="","",[2]Baskol!$D$1749)</f>
        <v/>
      </c>
      <c r="W1746">
        <f>IF([2]Baskol!$E$1749="","",[2]Baskol!$E$1749)</f>
        <v/>
      </c>
      <c r="X1746">
        <f>IF([2]Baskol!$G$1749="","",[2]Baskol!$G$1749)</f>
        <v/>
      </c>
      <c r="Y1746">
        <f>IF([2]Baskol!$I$1749="","",[2]Baskol!$I$1749)</f>
        <v/>
      </c>
      <c r="Z1746">
        <f>IF([2]Baskol!$J$1749="","",[2]Baskol!$J$1749)</f>
        <v/>
      </c>
      <c r="AA1746">
        <f>IF([2]Baskol!$K$1749="","",[2]Baskol!$K$1749)</f>
        <v/>
      </c>
      <c r="AB1746">
        <f>IF([2]Baskol!$L$1749="","",[2]Baskol!$L$1749)</f>
        <v/>
      </c>
      <c r="AC1746">
        <f>IF([2]Baskol!$N$1749="","",[2]Baskol!$N$1749)</f>
        <v/>
      </c>
      <c r="AD1746">
        <f>IF([2]Baskol!$O$1749="","",[2]Baskol!$O$1749)</f>
        <v/>
      </c>
      <c r="AE1746">
        <f>IF([3]Entry!$C$1749="","",[3]Entry!$C$1749)</f>
        <v/>
      </c>
      <c r="AF1746">
        <f>IF([3]Entry!$D$1749="","",[3]Entry!$D$1749)</f>
        <v/>
      </c>
      <c r="AG1746">
        <f>IF([3]Entry!$E$1749="","",[3]Entry!$E$1749)</f>
        <v/>
      </c>
      <c r="AH1746">
        <f>IF([3]Entry!$G$1749="","",[3]Entry!$G$1749)</f>
        <v/>
      </c>
      <c r="AI1746">
        <f>IF([3]Entry!$K$1749="","",[3]Entry!$K$1749)</f>
        <v/>
      </c>
      <c r="AJ1746">
        <f>IF([3]Entry!$L$1749="","",[3]Entry!$L$1749)</f>
        <v/>
      </c>
      <c r="AK1746">
        <f>IF([3]Entry!$M$1749="","",[3]Entry!$M$1749)</f>
        <v/>
      </c>
      <c r="AL1746">
        <f>IF([3]Entry!$N$1749="","",[3]Entry!$N$1749)</f>
        <v/>
      </c>
      <c r="AM1746">
        <f>IF([3]Entry!$R$1749="","",[3]Entry!$R$1749)</f>
        <v/>
      </c>
    </row>
    <row r="1747">
      <c r="T1747">
        <f>IF([2]Baskol!$B$1750="","",[2]Baskol!$B$1750)</f>
        <v/>
      </c>
      <c r="U1747">
        <f>IF([2]Baskol!$C$1750="","",[2]Baskol!$C$1750)</f>
        <v/>
      </c>
      <c r="V1747">
        <f>IF([2]Baskol!$D$1750="","",[2]Baskol!$D$1750)</f>
        <v/>
      </c>
      <c r="W1747">
        <f>IF([2]Baskol!$E$1750="","",[2]Baskol!$E$1750)</f>
        <v/>
      </c>
      <c r="X1747">
        <f>IF([2]Baskol!$G$1750="","",[2]Baskol!$G$1750)</f>
        <v/>
      </c>
      <c r="Y1747">
        <f>IF([2]Baskol!$I$1750="","",[2]Baskol!$I$1750)</f>
        <v/>
      </c>
      <c r="Z1747">
        <f>IF([2]Baskol!$J$1750="","",[2]Baskol!$J$1750)</f>
        <v/>
      </c>
      <c r="AA1747">
        <f>IF([2]Baskol!$K$1750="","",[2]Baskol!$K$1750)</f>
        <v/>
      </c>
      <c r="AB1747">
        <f>IF([2]Baskol!$L$1750="","",[2]Baskol!$L$1750)</f>
        <v/>
      </c>
      <c r="AC1747">
        <f>IF([2]Baskol!$N$1750="","",[2]Baskol!$N$1750)</f>
        <v/>
      </c>
      <c r="AD1747">
        <f>IF([2]Baskol!$O$1750="","",[2]Baskol!$O$1750)</f>
        <v/>
      </c>
      <c r="AE1747">
        <f>IF([3]Entry!$C$1750="","",[3]Entry!$C$1750)</f>
        <v/>
      </c>
      <c r="AF1747">
        <f>IF([3]Entry!$D$1750="","",[3]Entry!$D$1750)</f>
        <v/>
      </c>
      <c r="AG1747">
        <f>IF([3]Entry!$E$1750="","",[3]Entry!$E$1750)</f>
        <v/>
      </c>
      <c r="AH1747">
        <f>IF([3]Entry!$G$1750="","",[3]Entry!$G$1750)</f>
        <v/>
      </c>
      <c r="AI1747">
        <f>IF([3]Entry!$K$1750="","",[3]Entry!$K$1750)</f>
        <v/>
      </c>
      <c r="AJ1747">
        <f>IF([3]Entry!$L$1750="","",[3]Entry!$L$1750)</f>
        <v/>
      </c>
      <c r="AK1747">
        <f>IF([3]Entry!$M$1750="","",[3]Entry!$M$1750)</f>
        <v/>
      </c>
      <c r="AL1747">
        <f>IF([3]Entry!$N$1750="","",[3]Entry!$N$1750)</f>
        <v/>
      </c>
      <c r="AM1747">
        <f>IF([3]Entry!$R$1750="","",[3]Entry!$R$1750)</f>
        <v/>
      </c>
    </row>
    <row r="1748">
      <c r="T1748">
        <f>IF([2]Baskol!$B$1751="","",[2]Baskol!$B$1751)</f>
        <v/>
      </c>
      <c r="U1748">
        <f>IF([2]Baskol!$C$1751="","",[2]Baskol!$C$1751)</f>
        <v/>
      </c>
      <c r="V1748">
        <f>IF([2]Baskol!$D$1751="","",[2]Baskol!$D$1751)</f>
        <v/>
      </c>
      <c r="W1748">
        <f>IF([2]Baskol!$E$1751="","",[2]Baskol!$E$1751)</f>
        <v/>
      </c>
      <c r="X1748">
        <f>IF([2]Baskol!$G$1751="","",[2]Baskol!$G$1751)</f>
        <v/>
      </c>
      <c r="Y1748">
        <f>IF([2]Baskol!$I$1751="","",[2]Baskol!$I$1751)</f>
        <v/>
      </c>
      <c r="Z1748">
        <f>IF([2]Baskol!$J$1751="","",[2]Baskol!$J$1751)</f>
        <v/>
      </c>
      <c r="AA1748">
        <f>IF([2]Baskol!$K$1751="","",[2]Baskol!$K$1751)</f>
        <v/>
      </c>
      <c r="AB1748">
        <f>IF([2]Baskol!$L$1751="","",[2]Baskol!$L$1751)</f>
        <v/>
      </c>
      <c r="AC1748">
        <f>IF([2]Baskol!$N$1751="","",[2]Baskol!$N$1751)</f>
        <v/>
      </c>
      <c r="AD1748">
        <f>IF([2]Baskol!$O$1751="","",[2]Baskol!$O$1751)</f>
        <v/>
      </c>
      <c r="AE1748">
        <f>IF([3]Entry!$C$1751="","",[3]Entry!$C$1751)</f>
        <v/>
      </c>
      <c r="AF1748">
        <f>IF([3]Entry!$D$1751="","",[3]Entry!$D$1751)</f>
        <v/>
      </c>
      <c r="AG1748">
        <f>IF([3]Entry!$E$1751="","",[3]Entry!$E$1751)</f>
        <v/>
      </c>
      <c r="AH1748">
        <f>IF([3]Entry!$G$1751="","",[3]Entry!$G$1751)</f>
        <v/>
      </c>
      <c r="AI1748">
        <f>IF([3]Entry!$K$1751="","",[3]Entry!$K$1751)</f>
        <v/>
      </c>
      <c r="AJ1748">
        <f>IF([3]Entry!$L$1751="","",[3]Entry!$L$1751)</f>
        <v/>
      </c>
      <c r="AK1748">
        <f>IF([3]Entry!$M$1751="","",[3]Entry!$M$1751)</f>
        <v/>
      </c>
      <c r="AL1748">
        <f>IF([3]Entry!$N$1751="","",[3]Entry!$N$1751)</f>
        <v/>
      </c>
      <c r="AM1748">
        <f>IF([3]Entry!$R$1751="","",[3]Entry!$R$1751)</f>
        <v/>
      </c>
    </row>
    <row r="1749">
      <c r="T1749">
        <f>IF([2]Baskol!$B$1752="","",[2]Baskol!$B$1752)</f>
        <v/>
      </c>
      <c r="U1749">
        <f>IF([2]Baskol!$C$1752="","",[2]Baskol!$C$1752)</f>
        <v/>
      </c>
      <c r="V1749">
        <f>IF([2]Baskol!$D$1752="","",[2]Baskol!$D$1752)</f>
        <v/>
      </c>
      <c r="W1749">
        <f>IF([2]Baskol!$E$1752="","",[2]Baskol!$E$1752)</f>
        <v/>
      </c>
      <c r="X1749">
        <f>IF([2]Baskol!$G$1752="","",[2]Baskol!$G$1752)</f>
        <v/>
      </c>
      <c r="Y1749">
        <f>IF([2]Baskol!$I$1752="","",[2]Baskol!$I$1752)</f>
        <v/>
      </c>
      <c r="Z1749">
        <f>IF([2]Baskol!$J$1752="","",[2]Baskol!$J$1752)</f>
        <v/>
      </c>
      <c r="AA1749">
        <f>IF([2]Baskol!$K$1752="","",[2]Baskol!$K$1752)</f>
        <v/>
      </c>
      <c r="AB1749">
        <f>IF([2]Baskol!$L$1752="","",[2]Baskol!$L$1752)</f>
        <v/>
      </c>
      <c r="AC1749">
        <f>IF([2]Baskol!$N$1752="","",[2]Baskol!$N$1752)</f>
        <v/>
      </c>
      <c r="AD1749">
        <f>IF([2]Baskol!$O$1752="","",[2]Baskol!$O$1752)</f>
        <v/>
      </c>
      <c r="AE1749">
        <f>IF([3]Entry!$C$1752="","",[3]Entry!$C$1752)</f>
        <v/>
      </c>
      <c r="AF1749">
        <f>IF([3]Entry!$D$1752="","",[3]Entry!$D$1752)</f>
        <v/>
      </c>
      <c r="AG1749">
        <f>IF([3]Entry!$E$1752="","",[3]Entry!$E$1752)</f>
        <v/>
      </c>
      <c r="AH1749">
        <f>IF([3]Entry!$G$1752="","",[3]Entry!$G$1752)</f>
        <v/>
      </c>
      <c r="AI1749">
        <f>IF([3]Entry!$K$1752="","",[3]Entry!$K$1752)</f>
        <v/>
      </c>
      <c r="AJ1749">
        <f>IF([3]Entry!$L$1752="","",[3]Entry!$L$1752)</f>
        <v/>
      </c>
      <c r="AK1749">
        <f>IF([3]Entry!$M$1752="","",[3]Entry!$M$1752)</f>
        <v/>
      </c>
      <c r="AL1749">
        <f>IF([3]Entry!$N$1752="","",[3]Entry!$N$1752)</f>
        <v/>
      </c>
      <c r="AM1749">
        <f>IF([3]Entry!$R$1752="","",[3]Entry!$R$1752)</f>
        <v/>
      </c>
    </row>
    <row r="1750">
      <c r="T1750">
        <f>IF([2]Baskol!$B$1753="","",[2]Baskol!$B$1753)</f>
        <v/>
      </c>
      <c r="U1750">
        <f>IF([2]Baskol!$C$1753="","",[2]Baskol!$C$1753)</f>
        <v/>
      </c>
      <c r="V1750">
        <f>IF([2]Baskol!$D$1753="","",[2]Baskol!$D$1753)</f>
        <v/>
      </c>
      <c r="W1750">
        <f>IF([2]Baskol!$E$1753="","",[2]Baskol!$E$1753)</f>
        <v/>
      </c>
      <c r="X1750">
        <f>IF([2]Baskol!$G$1753="","",[2]Baskol!$G$1753)</f>
        <v/>
      </c>
      <c r="Y1750">
        <f>IF([2]Baskol!$I$1753="","",[2]Baskol!$I$1753)</f>
        <v/>
      </c>
      <c r="Z1750">
        <f>IF([2]Baskol!$J$1753="","",[2]Baskol!$J$1753)</f>
        <v/>
      </c>
      <c r="AA1750">
        <f>IF([2]Baskol!$K$1753="","",[2]Baskol!$K$1753)</f>
        <v/>
      </c>
      <c r="AB1750">
        <f>IF([2]Baskol!$L$1753="","",[2]Baskol!$L$1753)</f>
        <v/>
      </c>
      <c r="AC1750">
        <f>IF([2]Baskol!$N$1753="","",[2]Baskol!$N$1753)</f>
        <v/>
      </c>
      <c r="AD1750">
        <f>IF([2]Baskol!$O$1753="","",[2]Baskol!$O$1753)</f>
        <v/>
      </c>
      <c r="AE1750">
        <f>IF([3]Entry!$C$1753="","",[3]Entry!$C$1753)</f>
        <v/>
      </c>
      <c r="AF1750">
        <f>IF([3]Entry!$D$1753="","",[3]Entry!$D$1753)</f>
        <v/>
      </c>
      <c r="AG1750">
        <f>IF([3]Entry!$E$1753="","",[3]Entry!$E$1753)</f>
        <v/>
      </c>
      <c r="AH1750">
        <f>IF([3]Entry!$G$1753="","",[3]Entry!$G$1753)</f>
        <v/>
      </c>
      <c r="AI1750">
        <f>IF([3]Entry!$K$1753="","",[3]Entry!$K$1753)</f>
        <v/>
      </c>
      <c r="AJ1750">
        <f>IF([3]Entry!$L$1753="","",[3]Entry!$L$1753)</f>
        <v/>
      </c>
      <c r="AK1750">
        <f>IF([3]Entry!$M$1753="","",[3]Entry!$M$1753)</f>
        <v/>
      </c>
      <c r="AL1750">
        <f>IF([3]Entry!$N$1753="","",[3]Entry!$N$1753)</f>
        <v/>
      </c>
      <c r="AM1750">
        <f>IF([3]Entry!$R$1753="","",[3]Entry!$R$1753)</f>
        <v/>
      </c>
    </row>
    <row r="1751">
      <c r="T1751">
        <f>IF([2]Baskol!$B$1754="","",[2]Baskol!$B$1754)</f>
        <v/>
      </c>
      <c r="U1751">
        <f>IF([2]Baskol!$C$1754="","",[2]Baskol!$C$1754)</f>
        <v/>
      </c>
      <c r="V1751">
        <f>IF([2]Baskol!$D$1754="","",[2]Baskol!$D$1754)</f>
        <v/>
      </c>
      <c r="W1751">
        <f>IF([2]Baskol!$E$1754="","",[2]Baskol!$E$1754)</f>
        <v/>
      </c>
      <c r="X1751">
        <f>IF([2]Baskol!$G$1754="","",[2]Baskol!$G$1754)</f>
        <v/>
      </c>
      <c r="Y1751">
        <f>IF([2]Baskol!$I$1754="","",[2]Baskol!$I$1754)</f>
        <v/>
      </c>
      <c r="Z1751">
        <f>IF([2]Baskol!$J$1754="","",[2]Baskol!$J$1754)</f>
        <v/>
      </c>
      <c r="AA1751">
        <f>IF([2]Baskol!$K$1754="","",[2]Baskol!$K$1754)</f>
        <v/>
      </c>
      <c r="AB1751">
        <f>IF([2]Baskol!$L$1754="","",[2]Baskol!$L$1754)</f>
        <v/>
      </c>
      <c r="AC1751">
        <f>IF([2]Baskol!$N$1754="","",[2]Baskol!$N$1754)</f>
        <v/>
      </c>
      <c r="AD1751">
        <f>IF([2]Baskol!$O$1754="","",[2]Baskol!$O$1754)</f>
        <v/>
      </c>
      <c r="AE1751">
        <f>IF([3]Entry!$C$1754="","",[3]Entry!$C$1754)</f>
        <v/>
      </c>
      <c r="AF1751">
        <f>IF([3]Entry!$D$1754="","",[3]Entry!$D$1754)</f>
        <v/>
      </c>
      <c r="AG1751">
        <f>IF([3]Entry!$E$1754="","",[3]Entry!$E$1754)</f>
        <v/>
      </c>
      <c r="AH1751">
        <f>IF([3]Entry!$G$1754="","",[3]Entry!$G$1754)</f>
        <v/>
      </c>
      <c r="AI1751">
        <f>IF([3]Entry!$K$1754="","",[3]Entry!$K$1754)</f>
        <v/>
      </c>
      <c r="AJ1751">
        <f>IF([3]Entry!$L$1754="","",[3]Entry!$L$1754)</f>
        <v/>
      </c>
      <c r="AK1751">
        <f>IF([3]Entry!$M$1754="","",[3]Entry!$M$1754)</f>
        <v/>
      </c>
      <c r="AL1751">
        <f>IF([3]Entry!$N$1754="","",[3]Entry!$N$1754)</f>
        <v/>
      </c>
      <c r="AM1751">
        <f>IF([3]Entry!$R$1754="","",[3]Entry!$R$1754)</f>
        <v/>
      </c>
    </row>
    <row r="1752">
      <c r="T1752">
        <f>IF([2]Baskol!$B$1755="","",[2]Baskol!$B$1755)</f>
        <v/>
      </c>
      <c r="U1752">
        <f>IF([2]Baskol!$C$1755="","",[2]Baskol!$C$1755)</f>
        <v/>
      </c>
      <c r="V1752">
        <f>IF([2]Baskol!$D$1755="","",[2]Baskol!$D$1755)</f>
        <v/>
      </c>
      <c r="W1752">
        <f>IF([2]Baskol!$E$1755="","",[2]Baskol!$E$1755)</f>
        <v/>
      </c>
      <c r="X1752">
        <f>IF([2]Baskol!$G$1755="","",[2]Baskol!$G$1755)</f>
        <v/>
      </c>
      <c r="Y1752">
        <f>IF([2]Baskol!$I$1755="","",[2]Baskol!$I$1755)</f>
        <v/>
      </c>
      <c r="Z1752">
        <f>IF([2]Baskol!$J$1755="","",[2]Baskol!$J$1755)</f>
        <v/>
      </c>
      <c r="AA1752">
        <f>IF([2]Baskol!$K$1755="","",[2]Baskol!$K$1755)</f>
        <v/>
      </c>
      <c r="AB1752">
        <f>IF([2]Baskol!$L$1755="","",[2]Baskol!$L$1755)</f>
        <v/>
      </c>
      <c r="AC1752">
        <f>IF([2]Baskol!$N$1755="","",[2]Baskol!$N$1755)</f>
        <v/>
      </c>
      <c r="AD1752">
        <f>IF([2]Baskol!$O$1755="","",[2]Baskol!$O$1755)</f>
        <v/>
      </c>
      <c r="AE1752">
        <f>IF([3]Entry!$C$1755="","",[3]Entry!$C$1755)</f>
        <v/>
      </c>
      <c r="AF1752">
        <f>IF([3]Entry!$D$1755="","",[3]Entry!$D$1755)</f>
        <v/>
      </c>
      <c r="AG1752">
        <f>IF([3]Entry!$E$1755="","",[3]Entry!$E$1755)</f>
        <v/>
      </c>
      <c r="AH1752">
        <f>IF([3]Entry!$G$1755="","",[3]Entry!$G$1755)</f>
        <v/>
      </c>
      <c r="AI1752">
        <f>IF([3]Entry!$K$1755="","",[3]Entry!$K$1755)</f>
        <v/>
      </c>
      <c r="AJ1752">
        <f>IF([3]Entry!$L$1755="","",[3]Entry!$L$1755)</f>
        <v/>
      </c>
      <c r="AK1752">
        <f>IF([3]Entry!$M$1755="","",[3]Entry!$M$1755)</f>
        <v/>
      </c>
      <c r="AL1752">
        <f>IF([3]Entry!$N$1755="","",[3]Entry!$N$1755)</f>
        <v/>
      </c>
      <c r="AM1752">
        <f>IF([3]Entry!$R$1755="","",[3]Entry!$R$1755)</f>
        <v/>
      </c>
    </row>
    <row r="1753">
      <c r="T1753">
        <f>IF([2]Baskol!$B$1756="","",[2]Baskol!$B$1756)</f>
        <v/>
      </c>
      <c r="U1753">
        <f>IF([2]Baskol!$C$1756="","",[2]Baskol!$C$1756)</f>
        <v/>
      </c>
      <c r="V1753">
        <f>IF([2]Baskol!$D$1756="","",[2]Baskol!$D$1756)</f>
        <v/>
      </c>
      <c r="W1753">
        <f>IF([2]Baskol!$E$1756="","",[2]Baskol!$E$1756)</f>
        <v/>
      </c>
      <c r="X1753">
        <f>IF([2]Baskol!$G$1756="","",[2]Baskol!$G$1756)</f>
        <v/>
      </c>
      <c r="Y1753">
        <f>IF([2]Baskol!$I$1756="","",[2]Baskol!$I$1756)</f>
        <v/>
      </c>
      <c r="Z1753">
        <f>IF([2]Baskol!$J$1756="","",[2]Baskol!$J$1756)</f>
        <v/>
      </c>
      <c r="AA1753">
        <f>IF([2]Baskol!$K$1756="","",[2]Baskol!$K$1756)</f>
        <v/>
      </c>
      <c r="AB1753">
        <f>IF([2]Baskol!$L$1756="","",[2]Baskol!$L$1756)</f>
        <v/>
      </c>
      <c r="AC1753">
        <f>IF([2]Baskol!$N$1756="","",[2]Baskol!$N$1756)</f>
        <v/>
      </c>
      <c r="AD1753">
        <f>IF([2]Baskol!$O$1756="","",[2]Baskol!$O$1756)</f>
        <v/>
      </c>
      <c r="AE1753">
        <f>IF([3]Entry!$C$1756="","",[3]Entry!$C$1756)</f>
        <v/>
      </c>
      <c r="AF1753">
        <f>IF([3]Entry!$D$1756="","",[3]Entry!$D$1756)</f>
        <v/>
      </c>
      <c r="AG1753">
        <f>IF([3]Entry!$E$1756="","",[3]Entry!$E$1756)</f>
        <v/>
      </c>
      <c r="AH1753">
        <f>IF([3]Entry!$G$1756="","",[3]Entry!$G$1756)</f>
        <v/>
      </c>
      <c r="AI1753">
        <f>IF([3]Entry!$K$1756="","",[3]Entry!$K$1756)</f>
        <v/>
      </c>
      <c r="AJ1753">
        <f>IF([3]Entry!$L$1756="","",[3]Entry!$L$1756)</f>
        <v/>
      </c>
      <c r="AK1753">
        <f>IF([3]Entry!$M$1756="","",[3]Entry!$M$1756)</f>
        <v/>
      </c>
      <c r="AL1753">
        <f>IF([3]Entry!$N$1756="","",[3]Entry!$N$1756)</f>
        <v/>
      </c>
      <c r="AM1753">
        <f>IF([3]Entry!$R$1756="","",[3]Entry!$R$1756)</f>
        <v/>
      </c>
    </row>
    <row r="1754">
      <c r="T1754">
        <f>IF([2]Baskol!$B$1757="","",[2]Baskol!$B$1757)</f>
        <v/>
      </c>
      <c r="U1754">
        <f>IF([2]Baskol!$C$1757="","",[2]Baskol!$C$1757)</f>
        <v/>
      </c>
      <c r="V1754">
        <f>IF([2]Baskol!$D$1757="","",[2]Baskol!$D$1757)</f>
        <v/>
      </c>
      <c r="W1754">
        <f>IF([2]Baskol!$E$1757="","",[2]Baskol!$E$1757)</f>
        <v/>
      </c>
      <c r="X1754">
        <f>IF([2]Baskol!$G$1757="","",[2]Baskol!$G$1757)</f>
        <v/>
      </c>
      <c r="Y1754">
        <f>IF([2]Baskol!$I$1757="","",[2]Baskol!$I$1757)</f>
        <v/>
      </c>
      <c r="Z1754">
        <f>IF([2]Baskol!$J$1757="","",[2]Baskol!$J$1757)</f>
        <v/>
      </c>
      <c r="AA1754">
        <f>IF([2]Baskol!$K$1757="","",[2]Baskol!$K$1757)</f>
        <v/>
      </c>
      <c r="AB1754">
        <f>IF([2]Baskol!$L$1757="","",[2]Baskol!$L$1757)</f>
        <v/>
      </c>
      <c r="AC1754">
        <f>IF([2]Baskol!$N$1757="","",[2]Baskol!$N$1757)</f>
        <v/>
      </c>
      <c r="AD1754">
        <f>IF([2]Baskol!$O$1757="","",[2]Baskol!$O$1757)</f>
        <v/>
      </c>
      <c r="AE1754">
        <f>IF([3]Entry!$C$1757="","",[3]Entry!$C$1757)</f>
        <v/>
      </c>
      <c r="AF1754">
        <f>IF([3]Entry!$D$1757="","",[3]Entry!$D$1757)</f>
        <v/>
      </c>
      <c r="AG1754">
        <f>IF([3]Entry!$E$1757="","",[3]Entry!$E$1757)</f>
        <v/>
      </c>
      <c r="AH1754">
        <f>IF([3]Entry!$G$1757="","",[3]Entry!$G$1757)</f>
        <v/>
      </c>
      <c r="AI1754">
        <f>IF([3]Entry!$K$1757="","",[3]Entry!$K$1757)</f>
        <v/>
      </c>
      <c r="AJ1754">
        <f>IF([3]Entry!$L$1757="","",[3]Entry!$L$1757)</f>
        <v/>
      </c>
      <c r="AK1754">
        <f>IF([3]Entry!$M$1757="","",[3]Entry!$M$1757)</f>
        <v/>
      </c>
      <c r="AL1754">
        <f>IF([3]Entry!$N$1757="","",[3]Entry!$N$1757)</f>
        <v/>
      </c>
      <c r="AM1754">
        <f>IF([3]Entry!$R$1757="","",[3]Entry!$R$1757)</f>
        <v/>
      </c>
    </row>
    <row r="1755">
      <c r="T1755">
        <f>IF([2]Baskol!$B$1758="","",[2]Baskol!$B$1758)</f>
        <v/>
      </c>
      <c r="U1755">
        <f>IF([2]Baskol!$C$1758="","",[2]Baskol!$C$1758)</f>
        <v/>
      </c>
      <c r="V1755">
        <f>IF([2]Baskol!$D$1758="","",[2]Baskol!$D$1758)</f>
        <v/>
      </c>
      <c r="W1755">
        <f>IF([2]Baskol!$E$1758="","",[2]Baskol!$E$1758)</f>
        <v/>
      </c>
      <c r="X1755">
        <f>IF([2]Baskol!$G$1758="","",[2]Baskol!$G$1758)</f>
        <v/>
      </c>
      <c r="Y1755">
        <f>IF([2]Baskol!$I$1758="","",[2]Baskol!$I$1758)</f>
        <v/>
      </c>
      <c r="Z1755">
        <f>IF([2]Baskol!$J$1758="","",[2]Baskol!$J$1758)</f>
        <v/>
      </c>
      <c r="AA1755">
        <f>IF([2]Baskol!$K$1758="","",[2]Baskol!$K$1758)</f>
        <v/>
      </c>
      <c r="AB1755">
        <f>IF([2]Baskol!$L$1758="","",[2]Baskol!$L$1758)</f>
        <v/>
      </c>
      <c r="AC1755">
        <f>IF([2]Baskol!$N$1758="","",[2]Baskol!$N$1758)</f>
        <v/>
      </c>
      <c r="AD1755">
        <f>IF([2]Baskol!$O$1758="","",[2]Baskol!$O$1758)</f>
        <v/>
      </c>
      <c r="AE1755">
        <f>IF([3]Entry!$C$1758="","",[3]Entry!$C$1758)</f>
        <v/>
      </c>
      <c r="AF1755">
        <f>IF([3]Entry!$D$1758="","",[3]Entry!$D$1758)</f>
        <v/>
      </c>
      <c r="AG1755">
        <f>IF([3]Entry!$E$1758="","",[3]Entry!$E$1758)</f>
        <v/>
      </c>
      <c r="AH1755">
        <f>IF([3]Entry!$G$1758="","",[3]Entry!$G$1758)</f>
        <v/>
      </c>
      <c r="AI1755">
        <f>IF([3]Entry!$K$1758="","",[3]Entry!$K$1758)</f>
        <v/>
      </c>
      <c r="AJ1755">
        <f>IF([3]Entry!$L$1758="","",[3]Entry!$L$1758)</f>
        <v/>
      </c>
      <c r="AK1755">
        <f>IF([3]Entry!$M$1758="","",[3]Entry!$M$1758)</f>
        <v/>
      </c>
      <c r="AL1755">
        <f>IF([3]Entry!$N$1758="","",[3]Entry!$N$1758)</f>
        <v/>
      </c>
      <c r="AM1755">
        <f>IF([3]Entry!$R$1758="","",[3]Entry!$R$1758)</f>
        <v/>
      </c>
    </row>
    <row r="1756">
      <c r="T1756">
        <f>IF([2]Baskol!$B$1759="","",[2]Baskol!$B$1759)</f>
        <v/>
      </c>
      <c r="U1756">
        <f>IF([2]Baskol!$C$1759="","",[2]Baskol!$C$1759)</f>
        <v/>
      </c>
      <c r="V1756">
        <f>IF([2]Baskol!$D$1759="","",[2]Baskol!$D$1759)</f>
        <v/>
      </c>
      <c r="W1756">
        <f>IF([2]Baskol!$E$1759="","",[2]Baskol!$E$1759)</f>
        <v/>
      </c>
      <c r="X1756">
        <f>IF([2]Baskol!$G$1759="","",[2]Baskol!$G$1759)</f>
        <v/>
      </c>
      <c r="Y1756">
        <f>IF([2]Baskol!$I$1759="","",[2]Baskol!$I$1759)</f>
        <v/>
      </c>
      <c r="Z1756">
        <f>IF([2]Baskol!$J$1759="","",[2]Baskol!$J$1759)</f>
        <v/>
      </c>
      <c r="AA1756">
        <f>IF([2]Baskol!$K$1759="","",[2]Baskol!$K$1759)</f>
        <v/>
      </c>
      <c r="AB1756">
        <f>IF([2]Baskol!$L$1759="","",[2]Baskol!$L$1759)</f>
        <v/>
      </c>
      <c r="AC1756">
        <f>IF([2]Baskol!$N$1759="","",[2]Baskol!$N$1759)</f>
        <v/>
      </c>
      <c r="AD1756">
        <f>IF([2]Baskol!$O$1759="","",[2]Baskol!$O$1759)</f>
        <v/>
      </c>
      <c r="AE1756">
        <f>IF([3]Entry!$C$1759="","",[3]Entry!$C$1759)</f>
        <v/>
      </c>
      <c r="AF1756">
        <f>IF([3]Entry!$D$1759="","",[3]Entry!$D$1759)</f>
        <v/>
      </c>
      <c r="AG1756">
        <f>IF([3]Entry!$E$1759="","",[3]Entry!$E$1759)</f>
        <v/>
      </c>
      <c r="AH1756">
        <f>IF([3]Entry!$G$1759="","",[3]Entry!$G$1759)</f>
        <v/>
      </c>
      <c r="AI1756">
        <f>IF([3]Entry!$K$1759="","",[3]Entry!$K$1759)</f>
        <v/>
      </c>
      <c r="AJ1756">
        <f>IF([3]Entry!$L$1759="","",[3]Entry!$L$1759)</f>
        <v/>
      </c>
      <c r="AK1756">
        <f>IF([3]Entry!$M$1759="","",[3]Entry!$M$1759)</f>
        <v/>
      </c>
      <c r="AL1756">
        <f>IF([3]Entry!$N$1759="","",[3]Entry!$N$1759)</f>
        <v/>
      </c>
      <c r="AM1756">
        <f>IF([3]Entry!$R$1759="","",[3]Entry!$R$1759)</f>
        <v/>
      </c>
    </row>
    <row r="1757">
      <c r="T1757">
        <f>IF([2]Baskol!$B$1760="","",[2]Baskol!$B$1760)</f>
        <v/>
      </c>
      <c r="U1757">
        <f>IF([2]Baskol!$C$1760="","",[2]Baskol!$C$1760)</f>
        <v/>
      </c>
      <c r="V1757">
        <f>IF([2]Baskol!$D$1760="","",[2]Baskol!$D$1760)</f>
        <v/>
      </c>
      <c r="W1757">
        <f>IF([2]Baskol!$E$1760="","",[2]Baskol!$E$1760)</f>
        <v/>
      </c>
      <c r="X1757">
        <f>IF([2]Baskol!$G$1760="","",[2]Baskol!$G$1760)</f>
        <v/>
      </c>
      <c r="Y1757">
        <f>IF([2]Baskol!$I$1760="","",[2]Baskol!$I$1760)</f>
        <v/>
      </c>
      <c r="Z1757">
        <f>IF([2]Baskol!$J$1760="","",[2]Baskol!$J$1760)</f>
        <v/>
      </c>
      <c r="AA1757">
        <f>IF([2]Baskol!$K$1760="","",[2]Baskol!$K$1760)</f>
        <v/>
      </c>
      <c r="AB1757">
        <f>IF([2]Baskol!$L$1760="","",[2]Baskol!$L$1760)</f>
        <v/>
      </c>
      <c r="AC1757">
        <f>IF([2]Baskol!$N$1760="","",[2]Baskol!$N$1760)</f>
        <v/>
      </c>
      <c r="AD1757">
        <f>IF([2]Baskol!$O$1760="","",[2]Baskol!$O$1760)</f>
        <v/>
      </c>
      <c r="AE1757">
        <f>IF([3]Entry!$C$1760="","",[3]Entry!$C$1760)</f>
        <v/>
      </c>
      <c r="AF1757">
        <f>IF([3]Entry!$D$1760="","",[3]Entry!$D$1760)</f>
        <v/>
      </c>
      <c r="AG1757">
        <f>IF([3]Entry!$E$1760="","",[3]Entry!$E$1760)</f>
        <v/>
      </c>
      <c r="AH1757">
        <f>IF([3]Entry!$G$1760="","",[3]Entry!$G$1760)</f>
        <v/>
      </c>
      <c r="AI1757">
        <f>IF([3]Entry!$K$1760="","",[3]Entry!$K$1760)</f>
        <v/>
      </c>
      <c r="AJ1757">
        <f>IF([3]Entry!$L$1760="","",[3]Entry!$L$1760)</f>
        <v/>
      </c>
      <c r="AK1757">
        <f>IF([3]Entry!$M$1760="","",[3]Entry!$M$1760)</f>
        <v/>
      </c>
      <c r="AL1757">
        <f>IF([3]Entry!$N$1760="","",[3]Entry!$N$1760)</f>
        <v/>
      </c>
      <c r="AM1757">
        <f>IF([3]Entry!$R$1760="","",[3]Entry!$R$1760)</f>
        <v/>
      </c>
    </row>
    <row r="1758">
      <c r="T1758">
        <f>IF([2]Baskol!$B$1761="","",[2]Baskol!$B$1761)</f>
        <v/>
      </c>
      <c r="U1758">
        <f>IF([2]Baskol!$C$1761="","",[2]Baskol!$C$1761)</f>
        <v/>
      </c>
      <c r="V1758">
        <f>IF([2]Baskol!$D$1761="","",[2]Baskol!$D$1761)</f>
        <v/>
      </c>
      <c r="W1758">
        <f>IF([2]Baskol!$E$1761="","",[2]Baskol!$E$1761)</f>
        <v/>
      </c>
      <c r="X1758">
        <f>IF([2]Baskol!$G$1761="","",[2]Baskol!$G$1761)</f>
        <v/>
      </c>
      <c r="Y1758">
        <f>IF([2]Baskol!$I$1761="","",[2]Baskol!$I$1761)</f>
        <v/>
      </c>
      <c r="Z1758">
        <f>IF([2]Baskol!$J$1761="","",[2]Baskol!$J$1761)</f>
        <v/>
      </c>
      <c r="AA1758">
        <f>IF([2]Baskol!$K$1761="","",[2]Baskol!$K$1761)</f>
        <v/>
      </c>
      <c r="AB1758">
        <f>IF([2]Baskol!$L$1761="","",[2]Baskol!$L$1761)</f>
        <v/>
      </c>
      <c r="AC1758">
        <f>IF([2]Baskol!$N$1761="","",[2]Baskol!$N$1761)</f>
        <v/>
      </c>
      <c r="AD1758">
        <f>IF([2]Baskol!$O$1761="","",[2]Baskol!$O$1761)</f>
        <v/>
      </c>
      <c r="AE1758">
        <f>IF([3]Entry!$C$1761="","",[3]Entry!$C$1761)</f>
        <v/>
      </c>
      <c r="AF1758">
        <f>IF([3]Entry!$D$1761="","",[3]Entry!$D$1761)</f>
        <v/>
      </c>
      <c r="AG1758">
        <f>IF([3]Entry!$E$1761="","",[3]Entry!$E$1761)</f>
        <v/>
      </c>
      <c r="AH1758">
        <f>IF([3]Entry!$G$1761="","",[3]Entry!$G$1761)</f>
        <v/>
      </c>
      <c r="AI1758">
        <f>IF([3]Entry!$K$1761="","",[3]Entry!$K$1761)</f>
        <v/>
      </c>
      <c r="AJ1758">
        <f>IF([3]Entry!$L$1761="","",[3]Entry!$L$1761)</f>
        <v/>
      </c>
      <c r="AK1758">
        <f>IF([3]Entry!$M$1761="","",[3]Entry!$M$1761)</f>
        <v/>
      </c>
      <c r="AL1758">
        <f>IF([3]Entry!$N$1761="","",[3]Entry!$N$1761)</f>
        <v/>
      </c>
      <c r="AM1758">
        <f>IF([3]Entry!$R$1761="","",[3]Entry!$R$1761)</f>
        <v/>
      </c>
    </row>
    <row r="1759">
      <c r="T1759">
        <f>IF([2]Baskol!$B$1762="","",[2]Baskol!$B$1762)</f>
        <v/>
      </c>
      <c r="U1759">
        <f>IF([2]Baskol!$C$1762="","",[2]Baskol!$C$1762)</f>
        <v/>
      </c>
      <c r="V1759">
        <f>IF([2]Baskol!$D$1762="","",[2]Baskol!$D$1762)</f>
        <v/>
      </c>
      <c r="W1759">
        <f>IF([2]Baskol!$E$1762="","",[2]Baskol!$E$1762)</f>
        <v/>
      </c>
      <c r="X1759">
        <f>IF([2]Baskol!$G$1762="","",[2]Baskol!$G$1762)</f>
        <v/>
      </c>
      <c r="Y1759">
        <f>IF([2]Baskol!$I$1762="","",[2]Baskol!$I$1762)</f>
        <v/>
      </c>
      <c r="Z1759">
        <f>IF([2]Baskol!$J$1762="","",[2]Baskol!$J$1762)</f>
        <v/>
      </c>
      <c r="AA1759">
        <f>IF([2]Baskol!$K$1762="","",[2]Baskol!$K$1762)</f>
        <v/>
      </c>
      <c r="AB1759">
        <f>IF([2]Baskol!$L$1762="","",[2]Baskol!$L$1762)</f>
        <v/>
      </c>
      <c r="AC1759">
        <f>IF([2]Baskol!$N$1762="","",[2]Baskol!$N$1762)</f>
        <v/>
      </c>
      <c r="AD1759">
        <f>IF([2]Baskol!$O$1762="","",[2]Baskol!$O$1762)</f>
        <v/>
      </c>
      <c r="AE1759">
        <f>IF([3]Entry!$C$1762="","",[3]Entry!$C$1762)</f>
        <v/>
      </c>
      <c r="AF1759">
        <f>IF([3]Entry!$D$1762="","",[3]Entry!$D$1762)</f>
        <v/>
      </c>
      <c r="AG1759">
        <f>IF([3]Entry!$E$1762="","",[3]Entry!$E$1762)</f>
        <v/>
      </c>
      <c r="AH1759">
        <f>IF([3]Entry!$G$1762="","",[3]Entry!$G$1762)</f>
        <v/>
      </c>
      <c r="AI1759">
        <f>IF([3]Entry!$K$1762="","",[3]Entry!$K$1762)</f>
        <v/>
      </c>
      <c r="AJ1759">
        <f>IF([3]Entry!$L$1762="","",[3]Entry!$L$1762)</f>
        <v/>
      </c>
      <c r="AK1759">
        <f>IF([3]Entry!$M$1762="","",[3]Entry!$M$1762)</f>
        <v/>
      </c>
      <c r="AL1759">
        <f>IF([3]Entry!$N$1762="","",[3]Entry!$N$1762)</f>
        <v/>
      </c>
      <c r="AM1759">
        <f>IF([3]Entry!$R$1762="","",[3]Entry!$R$1762)</f>
        <v/>
      </c>
    </row>
    <row r="1760">
      <c r="T1760">
        <f>IF([2]Baskol!$B$1763="","",[2]Baskol!$B$1763)</f>
        <v/>
      </c>
      <c r="U1760">
        <f>IF([2]Baskol!$C$1763="","",[2]Baskol!$C$1763)</f>
        <v/>
      </c>
      <c r="V1760">
        <f>IF([2]Baskol!$D$1763="","",[2]Baskol!$D$1763)</f>
        <v/>
      </c>
      <c r="W1760">
        <f>IF([2]Baskol!$E$1763="","",[2]Baskol!$E$1763)</f>
        <v/>
      </c>
      <c r="X1760">
        <f>IF([2]Baskol!$G$1763="","",[2]Baskol!$G$1763)</f>
        <v/>
      </c>
      <c r="Y1760">
        <f>IF([2]Baskol!$I$1763="","",[2]Baskol!$I$1763)</f>
        <v/>
      </c>
      <c r="Z1760">
        <f>IF([2]Baskol!$J$1763="","",[2]Baskol!$J$1763)</f>
        <v/>
      </c>
      <c r="AA1760">
        <f>IF([2]Baskol!$K$1763="","",[2]Baskol!$K$1763)</f>
        <v/>
      </c>
      <c r="AB1760">
        <f>IF([2]Baskol!$L$1763="","",[2]Baskol!$L$1763)</f>
        <v/>
      </c>
      <c r="AC1760">
        <f>IF([2]Baskol!$N$1763="","",[2]Baskol!$N$1763)</f>
        <v/>
      </c>
      <c r="AD1760">
        <f>IF([2]Baskol!$O$1763="","",[2]Baskol!$O$1763)</f>
        <v/>
      </c>
      <c r="AE1760">
        <f>IF([3]Entry!$C$1763="","",[3]Entry!$C$1763)</f>
        <v/>
      </c>
      <c r="AF1760">
        <f>IF([3]Entry!$D$1763="","",[3]Entry!$D$1763)</f>
        <v/>
      </c>
      <c r="AG1760">
        <f>IF([3]Entry!$E$1763="","",[3]Entry!$E$1763)</f>
        <v/>
      </c>
      <c r="AH1760">
        <f>IF([3]Entry!$G$1763="","",[3]Entry!$G$1763)</f>
        <v/>
      </c>
      <c r="AI1760">
        <f>IF([3]Entry!$K$1763="","",[3]Entry!$K$1763)</f>
        <v/>
      </c>
      <c r="AJ1760">
        <f>IF([3]Entry!$L$1763="","",[3]Entry!$L$1763)</f>
        <v/>
      </c>
      <c r="AK1760">
        <f>IF([3]Entry!$M$1763="","",[3]Entry!$M$1763)</f>
        <v/>
      </c>
      <c r="AL1760">
        <f>IF([3]Entry!$N$1763="","",[3]Entry!$N$1763)</f>
        <v/>
      </c>
      <c r="AM1760">
        <f>IF([3]Entry!$R$1763="","",[3]Entry!$R$1763)</f>
        <v/>
      </c>
    </row>
    <row r="1761">
      <c r="T1761">
        <f>IF([2]Baskol!$B$1764="","",[2]Baskol!$B$1764)</f>
        <v/>
      </c>
      <c r="U1761">
        <f>IF([2]Baskol!$C$1764="","",[2]Baskol!$C$1764)</f>
        <v/>
      </c>
      <c r="V1761">
        <f>IF([2]Baskol!$D$1764="","",[2]Baskol!$D$1764)</f>
        <v/>
      </c>
      <c r="W1761">
        <f>IF([2]Baskol!$E$1764="","",[2]Baskol!$E$1764)</f>
        <v/>
      </c>
      <c r="X1761">
        <f>IF([2]Baskol!$G$1764="","",[2]Baskol!$G$1764)</f>
        <v/>
      </c>
      <c r="Y1761">
        <f>IF([2]Baskol!$I$1764="","",[2]Baskol!$I$1764)</f>
        <v/>
      </c>
      <c r="Z1761">
        <f>IF([2]Baskol!$J$1764="","",[2]Baskol!$J$1764)</f>
        <v/>
      </c>
      <c r="AA1761">
        <f>IF([2]Baskol!$K$1764="","",[2]Baskol!$K$1764)</f>
        <v/>
      </c>
      <c r="AB1761">
        <f>IF([2]Baskol!$L$1764="","",[2]Baskol!$L$1764)</f>
        <v/>
      </c>
      <c r="AC1761">
        <f>IF([2]Baskol!$N$1764="","",[2]Baskol!$N$1764)</f>
        <v/>
      </c>
      <c r="AD1761">
        <f>IF([2]Baskol!$O$1764="","",[2]Baskol!$O$1764)</f>
        <v/>
      </c>
      <c r="AE1761">
        <f>IF([3]Entry!$C$1764="","",[3]Entry!$C$1764)</f>
        <v/>
      </c>
      <c r="AF1761">
        <f>IF([3]Entry!$D$1764="","",[3]Entry!$D$1764)</f>
        <v/>
      </c>
      <c r="AG1761">
        <f>IF([3]Entry!$E$1764="","",[3]Entry!$E$1764)</f>
        <v/>
      </c>
      <c r="AH1761">
        <f>IF([3]Entry!$G$1764="","",[3]Entry!$G$1764)</f>
        <v/>
      </c>
      <c r="AI1761">
        <f>IF([3]Entry!$K$1764="","",[3]Entry!$K$1764)</f>
        <v/>
      </c>
      <c r="AJ1761">
        <f>IF([3]Entry!$L$1764="","",[3]Entry!$L$1764)</f>
        <v/>
      </c>
      <c r="AK1761">
        <f>IF([3]Entry!$M$1764="","",[3]Entry!$M$1764)</f>
        <v/>
      </c>
      <c r="AL1761">
        <f>IF([3]Entry!$N$1764="","",[3]Entry!$N$1764)</f>
        <v/>
      </c>
      <c r="AM1761">
        <f>IF([3]Entry!$R$1764="","",[3]Entry!$R$1764)</f>
        <v/>
      </c>
    </row>
    <row r="1762">
      <c r="T1762">
        <f>IF([2]Baskol!$B$1765="","",[2]Baskol!$B$1765)</f>
        <v/>
      </c>
      <c r="U1762">
        <f>IF([2]Baskol!$C$1765="","",[2]Baskol!$C$1765)</f>
        <v/>
      </c>
      <c r="V1762">
        <f>IF([2]Baskol!$D$1765="","",[2]Baskol!$D$1765)</f>
        <v/>
      </c>
      <c r="W1762">
        <f>IF([2]Baskol!$E$1765="","",[2]Baskol!$E$1765)</f>
        <v/>
      </c>
      <c r="X1762">
        <f>IF([2]Baskol!$G$1765="","",[2]Baskol!$G$1765)</f>
        <v/>
      </c>
      <c r="Y1762">
        <f>IF([2]Baskol!$I$1765="","",[2]Baskol!$I$1765)</f>
        <v/>
      </c>
      <c r="Z1762">
        <f>IF([2]Baskol!$J$1765="","",[2]Baskol!$J$1765)</f>
        <v/>
      </c>
      <c r="AA1762">
        <f>IF([2]Baskol!$K$1765="","",[2]Baskol!$K$1765)</f>
        <v/>
      </c>
      <c r="AB1762">
        <f>IF([2]Baskol!$L$1765="","",[2]Baskol!$L$1765)</f>
        <v/>
      </c>
      <c r="AC1762">
        <f>IF([2]Baskol!$N$1765="","",[2]Baskol!$N$1765)</f>
        <v/>
      </c>
      <c r="AD1762">
        <f>IF([2]Baskol!$O$1765="","",[2]Baskol!$O$1765)</f>
        <v/>
      </c>
      <c r="AE1762">
        <f>IF([3]Entry!$C$1765="","",[3]Entry!$C$1765)</f>
        <v/>
      </c>
      <c r="AF1762">
        <f>IF([3]Entry!$D$1765="","",[3]Entry!$D$1765)</f>
        <v/>
      </c>
      <c r="AG1762">
        <f>IF([3]Entry!$E$1765="","",[3]Entry!$E$1765)</f>
        <v/>
      </c>
      <c r="AH1762">
        <f>IF([3]Entry!$G$1765="","",[3]Entry!$G$1765)</f>
        <v/>
      </c>
      <c r="AI1762">
        <f>IF([3]Entry!$K$1765="","",[3]Entry!$K$1765)</f>
        <v/>
      </c>
      <c r="AJ1762">
        <f>IF([3]Entry!$L$1765="","",[3]Entry!$L$1765)</f>
        <v/>
      </c>
      <c r="AK1762">
        <f>IF([3]Entry!$M$1765="","",[3]Entry!$M$1765)</f>
        <v/>
      </c>
      <c r="AL1762">
        <f>IF([3]Entry!$N$1765="","",[3]Entry!$N$1765)</f>
        <v/>
      </c>
      <c r="AM1762">
        <f>IF([3]Entry!$R$1765="","",[3]Entry!$R$1765)</f>
        <v/>
      </c>
    </row>
    <row r="1763">
      <c r="T1763">
        <f>IF([2]Baskol!$B$1766="","",[2]Baskol!$B$1766)</f>
        <v/>
      </c>
      <c r="U1763">
        <f>IF([2]Baskol!$C$1766="","",[2]Baskol!$C$1766)</f>
        <v/>
      </c>
      <c r="V1763">
        <f>IF([2]Baskol!$D$1766="","",[2]Baskol!$D$1766)</f>
        <v/>
      </c>
      <c r="W1763">
        <f>IF([2]Baskol!$E$1766="","",[2]Baskol!$E$1766)</f>
        <v/>
      </c>
      <c r="X1763">
        <f>IF([2]Baskol!$G$1766="","",[2]Baskol!$G$1766)</f>
        <v/>
      </c>
      <c r="Y1763">
        <f>IF([2]Baskol!$I$1766="","",[2]Baskol!$I$1766)</f>
        <v/>
      </c>
      <c r="Z1763">
        <f>IF([2]Baskol!$J$1766="","",[2]Baskol!$J$1766)</f>
        <v/>
      </c>
      <c r="AA1763">
        <f>IF([2]Baskol!$K$1766="","",[2]Baskol!$K$1766)</f>
        <v/>
      </c>
      <c r="AB1763">
        <f>IF([2]Baskol!$L$1766="","",[2]Baskol!$L$1766)</f>
        <v/>
      </c>
      <c r="AC1763">
        <f>IF([2]Baskol!$N$1766="","",[2]Baskol!$N$1766)</f>
        <v/>
      </c>
      <c r="AD1763">
        <f>IF([2]Baskol!$O$1766="","",[2]Baskol!$O$1766)</f>
        <v/>
      </c>
      <c r="AE1763">
        <f>IF([3]Entry!$C$1766="","",[3]Entry!$C$1766)</f>
        <v/>
      </c>
      <c r="AF1763">
        <f>IF([3]Entry!$D$1766="","",[3]Entry!$D$1766)</f>
        <v/>
      </c>
      <c r="AG1763">
        <f>IF([3]Entry!$E$1766="","",[3]Entry!$E$1766)</f>
        <v/>
      </c>
      <c r="AH1763">
        <f>IF([3]Entry!$G$1766="","",[3]Entry!$G$1766)</f>
        <v/>
      </c>
      <c r="AI1763">
        <f>IF([3]Entry!$K$1766="","",[3]Entry!$K$1766)</f>
        <v/>
      </c>
      <c r="AJ1763">
        <f>IF([3]Entry!$L$1766="","",[3]Entry!$L$1766)</f>
        <v/>
      </c>
      <c r="AK1763">
        <f>IF([3]Entry!$M$1766="","",[3]Entry!$M$1766)</f>
        <v/>
      </c>
      <c r="AL1763">
        <f>IF([3]Entry!$N$1766="","",[3]Entry!$N$1766)</f>
        <v/>
      </c>
      <c r="AM1763">
        <f>IF([3]Entry!$R$1766="","",[3]Entry!$R$1766)</f>
        <v/>
      </c>
    </row>
    <row r="1764">
      <c r="T1764">
        <f>IF([2]Baskol!$B$1767="","",[2]Baskol!$B$1767)</f>
        <v/>
      </c>
      <c r="U1764">
        <f>IF([2]Baskol!$C$1767="","",[2]Baskol!$C$1767)</f>
        <v/>
      </c>
      <c r="V1764">
        <f>IF([2]Baskol!$D$1767="","",[2]Baskol!$D$1767)</f>
        <v/>
      </c>
      <c r="W1764">
        <f>IF([2]Baskol!$E$1767="","",[2]Baskol!$E$1767)</f>
        <v/>
      </c>
      <c r="X1764">
        <f>IF([2]Baskol!$G$1767="","",[2]Baskol!$G$1767)</f>
        <v/>
      </c>
      <c r="Y1764">
        <f>IF([2]Baskol!$I$1767="","",[2]Baskol!$I$1767)</f>
        <v/>
      </c>
      <c r="Z1764">
        <f>IF([2]Baskol!$J$1767="","",[2]Baskol!$J$1767)</f>
        <v/>
      </c>
      <c r="AA1764">
        <f>IF([2]Baskol!$K$1767="","",[2]Baskol!$K$1767)</f>
        <v/>
      </c>
      <c r="AB1764">
        <f>IF([2]Baskol!$L$1767="","",[2]Baskol!$L$1767)</f>
        <v/>
      </c>
      <c r="AC1764">
        <f>IF([2]Baskol!$N$1767="","",[2]Baskol!$N$1767)</f>
        <v/>
      </c>
      <c r="AD1764">
        <f>IF([2]Baskol!$O$1767="","",[2]Baskol!$O$1767)</f>
        <v/>
      </c>
      <c r="AE1764">
        <f>IF([3]Entry!$C$1767="","",[3]Entry!$C$1767)</f>
        <v/>
      </c>
      <c r="AF1764">
        <f>IF([3]Entry!$D$1767="","",[3]Entry!$D$1767)</f>
        <v/>
      </c>
      <c r="AG1764">
        <f>IF([3]Entry!$E$1767="","",[3]Entry!$E$1767)</f>
        <v/>
      </c>
      <c r="AH1764">
        <f>IF([3]Entry!$G$1767="","",[3]Entry!$G$1767)</f>
        <v/>
      </c>
      <c r="AI1764">
        <f>IF([3]Entry!$K$1767="","",[3]Entry!$K$1767)</f>
        <v/>
      </c>
      <c r="AJ1764">
        <f>IF([3]Entry!$L$1767="","",[3]Entry!$L$1767)</f>
        <v/>
      </c>
      <c r="AK1764">
        <f>IF([3]Entry!$M$1767="","",[3]Entry!$M$1767)</f>
        <v/>
      </c>
      <c r="AL1764">
        <f>IF([3]Entry!$N$1767="","",[3]Entry!$N$1767)</f>
        <v/>
      </c>
      <c r="AM1764">
        <f>IF([3]Entry!$R$1767="","",[3]Entry!$R$1767)</f>
        <v/>
      </c>
    </row>
    <row r="1765">
      <c r="T1765">
        <f>IF([2]Baskol!$B$1768="","",[2]Baskol!$B$1768)</f>
        <v/>
      </c>
      <c r="U1765">
        <f>IF([2]Baskol!$C$1768="","",[2]Baskol!$C$1768)</f>
        <v/>
      </c>
      <c r="V1765">
        <f>IF([2]Baskol!$D$1768="","",[2]Baskol!$D$1768)</f>
        <v/>
      </c>
      <c r="W1765">
        <f>IF([2]Baskol!$E$1768="","",[2]Baskol!$E$1768)</f>
        <v/>
      </c>
      <c r="X1765">
        <f>IF([2]Baskol!$G$1768="","",[2]Baskol!$G$1768)</f>
        <v/>
      </c>
      <c r="Y1765">
        <f>IF([2]Baskol!$I$1768="","",[2]Baskol!$I$1768)</f>
        <v/>
      </c>
      <c r="Z1765">
        <f>IF([2]Baskol!$J$1768="","",[2]Baskol!$J$1768)</f>
        <v/>
      </c>
      <c r="AA1765">
        <f>IF([2]Baskol!$K$1768="","",[2]Baskol!$K$1768)</f>
        <v/>
      </c>
      <c r="AB1765">
        <f>IF([2]Baskol!$L$1768="","",[2]Baskol!$L$1768)</f>
        <v/>
      </c>
      <c r="AC1765">
        <f>IF([2]Baskol!$N$1768="","",[2]Baskol!$N$1768)</f>
        <v/>
      </c>
      <c r="AD1765">
        <f>IF([2]Baskol!$O$1768="","",[2]Baskol!$O$1768)</f>
        <v/>
      </c>
      <c r="AE1765">
        <f>IF([3]Entry!$C$1768="","",[3]Entry!$C$1768)</f>
        <v/>
      </c>
      <c r="AF1765">
        <f>IF([3]Entry!$D$1768="","",[3]Entry!$D$1768)</f>
        <v/>
      </c>
      <c r="AG1765">
        <f>IF([3]Entry!$E$1768="","",[3]Entry!$E$1768)</f>
        <v/>
      </c>
      <c r="AH1765">
        <f>IF([3]Entry!$G$1768="","",[3]Entry!$G$1768)</f>
        <v/>
      </c>
      <c r="AI1765">
        <f>IF([3]Entry!$K$1768="","",[3]Entry!$K$1768)</f>
        <v/>
      </c>
      <c r="AJ1765">
        <f>IF([3]Entry!$L$1768="","",[3]Entry!$L$1768)</f>
        <v/>
      </c>
      <c r="AK1765">
        <f>IF([3]Entry!$M$1768="","",[3]Entry!$M$1768)</f>
        <v/>
      </c>
      <c r="AL1765">
        <f>IF([3]Entry!$N$1768="","",[3]Entry!$N$1768)</f>
        <v/>
      </c>
      <c r="AM1765">
        <f>IF([3]Entry!$R$1768="","",[3]Entry!$R$1768)</f>
        <v/>
      </c>
    </row>
    <row r="1766">
      <c r="T1766">
        <f>IF([2]Baskol!$B$1769="","",[2]Baskol!$B$1769)</f>
        <v/>
      </c>
      <c r="U1766">
        <f>IF([2]Baskol!$C$1769="","",[2]Baskol!$C$1769)</f>
        <v/>
      </c>
      <c r="V1766">
        <f>IF([2]Baskol!$D$1769="","",[2]Baskol!$D$1769)</f>
        <v/>
      </c>
      <c r="W1766">
        <f>IF([2]Baskol!$E$1769="","",[2]Baskol!$E$1769)</f>
        <v/>
      </c>
      <c r="X1766">
        <f>IF([2]Baskol!$G$1769="","",[2]Baskol!$G$1769)</f>
        <v/>
      </c>
      <c r="Y1766">
        <f>IF([2]Baskol!$I$1769="","",[2]Baskol!$I$1769)</f>
        <v/>
      </c>
      <c r="Z1766">
        <f>IF([2]Baskol!$J$1769="","",[2]Baskol!$J$1769)</f>
        <v/>
      </c>
      <c r="AA1766">
        <f>IF([2]Baskol!$K$1769="","",[2]Baskol!$K$1769)</f>
        <v/>
      </c>
      <c r="AB1766">
        <f>IF([2]Baskol!$L$1769="","",[2]Baskol!$L$1769)</f>
        <v/>
      </c>
      <c r="AC1766">
        <f>IF([2]Baskol!$N$1769="","",[2]Baskol!$N$1769)</f>
        <v/>
      </c>
      <c r="AD1766">
        <f>IF([2]Baskol!$O$1769="","",[2]Baskol!$O$1769)</f>
        <v/>
      </c>
      <c r="AE1766">
        <f>IF([3]Entry!$C$1769="","",[3]Entry!$C$1769)</f>
        <v/>
      </c>
      <c r="AF1766">
        <f>IF([3]Entry!$D$1769="","",[3]Entry!$D$1769)</f>
        <v/>
      </c>
      <c r="AG1766">
        <f>IF([3]Entry!$E$1769="","",[3]Entry!$E$1769)</f>
        <v/>
      </c>
      <c r="AH1766">
        <f>IF([3]Entry!$G$1769="","",[3]Entry!$G$1769)</f>
        <v/>
      </c>
      <c r="AI1766">
        <f>IF([3]Entry!$K$1769="","",[3]Entry!$K$1769)</f>
        <v/>
      </c>
      <c r="AJ1766">
        <f>IF([3]Entry!$L$1769="","",[3]Entry!$L$1769)</f>
        <v/>
      </c>
      <c r="AK1766">
        <f>IF([3]Entry!$M$1769="","",[3]Entry!$M$1769)</f>
        <v/>
      </c>
      <c r="AL1766">
        <f>IF([3]Entry!$N$1769="","",[3]Entry!$N$1769)</f>
        <v/>
      </c>
      <c r="AM1766">
        <f>IF([3]Entry!$R$1769="","",[3]Entry!$R$1769)</f>
        <v/>
      </c>
    </row>
    <row r="1767">
      <c r="T1767">
        <f>IF([2]Baskol!$B$1770="","",[2]Baskol!$B$1770)</f>
        <v/>
      </c>
      <c r="U1767">
        <f>IF([2]Baskol!$C$1770="","",[2]Baskol!$C$1770)</f>
        <v/>
      </c>
      <c r="V1767">
        <f>IF([2]Baskol!$D$1770="","",[2]Baskol!$D$1770)</f>
        <v/>
      </c>
      <c r="W1767">
        <f>IF([2]Baskol!$E$1770="","",[2]Baskol!$E$1770)</f>
        <v/>
      </c>
      <c r="X1767">
        <f>IF([2]Baskol!$G$1770="","",[2]Baskol!$G$1770)</f>
        <v/>
      </c>
      <c r="Y1767">
        <f>IF([2]Baskol!$I$1770="","",[2]Baskol!$I$1770)</f>
        <v/>
      </c>
      <c r="Z1767">
        <f>IF([2]Baskol!$J$1770="","",[2]Baskol!$J$1770)</f>
        <v/>
      </c>
      <c r="AA1767">
        <f>IF([2]Baskol!$K$1770="","",[2]Baskol!$K$1770)</f>
        <v/>
      </c>
      <c r="AB1767">
        <f>IF([2]Baskol!$L$1770="","",[2]Baskol!$L$1770)</f>
        <v/>
      </c>
      <c r="AC1767">
        <f>IF([2]Baskol!$N$1770="","",[2]Baskol!$N$1770)</f>
        <v/>
      </c>
      <c r="AD1767">
        <f>IF([2]Baskol!$O$1770="","",[2]Baskol!$O$1770)</f>
        <v/>
      </c>
      <c r="AE1767">
        <f>IF([3]Entry!$C$1770="","",[3]Entry!$C$1770)</f>
        <v/>
      </c>
      <c r="AF1767">
        <f>IF([3]Entry!$D$1770="","",[3]Entry!$D$1770)</f>
        <v/>
      </c>
      <c r="AG1767">
        <f>IF([3]Entry!$E$1770="","",[3]Entry!$E$1770)</f>
        <v/>
      </c>
      <c r="AH1767">
        <f>IF([3]Entry!$G$1770="","",[3]Entry!$G$1770)</f>
        <v/>
      </c>
      <c r="AI1767">
        <f>IF([3]Entry!$K$1770="","",[3]Entry!$K$1770)</f>
        <v/>
      </c>
      <c r="AJ1767">
        <f>IF([3]Entry!$L$1770="","",[3]Entry!$L$1770)</f>
        <v/>
      </c>
      <c r="AK1767">
        <f>IF([3]Entry!$M$1770="","",[3]Entry!$M$1770)</f>
        <v/>
      </c>
      <c r="AL1767">
        <f>IF([3]Entry!$N$1770="","",[3]Entry!$N$1770)</f>
        <v/>
      </c>
      <c r="AM1767">
        <f>IF([3]Entry!$R$1770="","",[3]Entry!$R$1770)</f>
        <v/>
      </c>
    </row>
    <row r="1768">
      <c r="T1768">
        <f>IF([2]Baskol!$B$1771="","",[2]Baskol!$B$1771)</f>
        <v/>
      </c>
      <c r="U1768">
        <f>IF([2]Baskol!$C$1771="","",[2]Baskol!$C$1771)</f>
        <v/>
      </c>
      <c r="V1768">
        <f>IF([2]Baskol!$D$1771="","",[2]Baskol!$D$1771)</f>
        <v/>
      </c>
      <c r="W1768">
        <f>IF([2]Baskol!$E$1771="","",[2]Baskol!$E$1771)</f>
        <v/>
      </c>
      <c r="X1768">
        <f>IF([2]Baskol!$G$1771="","",[2]Baskol!$G$1771)</f>
        <v/>
      </c>
      <c r="Y1768">
        <f>IF([2]Baskol!$I$1771="","",[2]Baskol!$I$1771)</f>
        <v/>
      </c>
      <c r="Z1768">
        <f>IF([2]Baskol!$J$1771="","",[2]Baskol!$J$1771)</f>
        <v/>
      </c>
      <c r="AA1768">
        <f>IF([2]Baskol!$K$1771="","",[2]Baskol!$K$1771)</f>
        <v/>
      </c>
      <c r="AB1768">
        <f>IF([2]Baskol!$L$1771="","",[2]Baskol!$L$1771)</f>
        <v/>
      </c>
      <c r="AC1768">
        <f>IF([2]Baskol!$N$1771="","",[2]Baskol!$N$1771)</f>
        <v/>
      </c>
      <c r="AD1768">
        <f>IF([2]Baskol!$O$1771="","",[2]Baskol!$O$1771)</f>
        <v/>
      </c>
      <c r="AE1768">
        <f>IF([3]Entry!$C$1771="","",[3]Entry!$C$1771)</f>
        <v/>
      </c>
      <c r="AF1768">
        <f>IF([3]Entry!$D$1771="","",[3]Entry!$D$1771)</f>
        <v/>
      </c>
      <c r="AG1768">
        <f>IF([3]Entry!$E$1771="","",[3]Entry!$E$1771)</f>
        <v/>
      </c>
      <c r="AH1768">
        <f>IF([3]Entry!$G$1771="","",[3]Entry!$G$1771)</f>
        <v/>
      </c>
      <c r="AI1768">
        <f>IF([3]Entry!$K$1771="","",[3]Entry!$K$1771)</f>
        <v/>
      </c>
      <c r="AJ1768">
        <f>IF([3]Entry!$L$1771="","",[3]Entry!$L$1771)</f>
        <v/>
      </c>
      <c r="AK1768">
        <f>IF([3]Entry!$M$1771="","",[3]Entry!$M$1771)</f>
        <v/>
      </c>
      <c r="AL1768">
        <f>IF([3]Entry!$N$1771="","",[3]Entry!$N$1771)</f>
        <v/>
      </c>
      <c r="AM1768">
        <f>IF([3]Entry!$R$1771="","",[3]Entry!$R$1771)</f>
        <v/>
      </c>
    </row>
    <row r="1769">
      <c r="T1769">
        <f>IF([2]Baskol!$B$1772="","",[2]Baskol!$B$1772)</f>
        <v/>
      </c>
      <c r="U1769">
        <f>IF([2]Baskol!$C$1772="","",[2]Baskol!$C$1772)</f>
        <v/>
      </c>
      <c r="V1769">
        <f>IF([2]Baskol!$D$1772="","",[2]Baskol!$D$1772)</f>
        <v/>
      </c>
      <c r="W1769">
        <f>IF([2]Baskol!$E$1772="","",[2]Baskol!$E$1772)</f>
        <v/>
      </c>
      <c r="X1769">
        <f>IF([2]Baskol!$G$1772="","",[2]Baskol!$G$1772)</f>
        <v/>
      </c>
      <c r="Y1769">
        <f>IF([2]Baskol!$I$1772="","",[2]Baskol!$I$1772)</f>
        <v/>
      </c>
      <c r="Z1769">
        <f>IF([2]Baskol!$J$1772="","",[2]Baskol!$J$1772)</f>
        <v/>
      </c>
      <c r="AA1769">
        <f>IF([2]Baskol!$K$1772="","",[2]Baskol!$K$1772)</f>
        <v/>
      </c>
      <c r="AB1769">
        <f>IF([2]Baskol!$L$1772="","",[2]Baskol!$L$1772)</f>
        <v/>
      </c>
      <c r="AC1769">
        <f>IF([2]Baskol!$N$1772="","",[2]Baskol!$N$1772)</f>
        <v/>
      </c>
      <c r="AD1769">
        <f>IF([2]Baskol!$O$1772="","",[2]Baskol!$O$1772)</f>
        <v/>
      </c>
      <c r="AE1769">
        <f>IF([3]Entry!$C$1772="","",[3]Entry!$C$1772)</f>
        <v/>
      </c>
      <c r="AF1769">
        <f>IF([3]Entry!$D$1772="","",[3]Entry!$D$1772)</f>
        <v/>
      </c>
      <c r="AG1769">
        <f>IF([3]Entry!$E$1772="","",[3]Entry!$E$1772)</f>
        <v/>
      </c>
      <c r="AH1769">
        <f>IF([3]Entry!$G$1772="","",[3]Entry!$G$1772)</f>
        <v/>
      </c>
      <c r="AI1769">
        <f>IF([3]Entry!$K$1772="","",[3]Entry!$K$1772)</f>
        <v/>
      </c>
      <c r="AJ1769">
        <f>IF([3]Entry!$L$1772="","",[3]Entry!$L$1772)</f>
        <v/>
      </c>
      <c r="AK1769">
        <f>IF([3]Entry!$M$1772="","",[3]Entry!$M$1772)</f>
        <v/>
      </c>
      <c r="AL1769">
        <f>IF([3]Entry!$N$1772="","",[3]Entry!$N$1772)</f>
        <v/>
      </c>
      <c r="AM1769">
        <f>IF([3]Entry!$R$1772="","",[3]Entry!$R$1772)</f>
        <v/>
      </c>
    </row>
    <row r="1770">
      <c r="T1770">
        <f>IF([2]Baskol!$B$1773="","",[2]Baskol!$B$1773)</f>
        <v/>
      </c>
      <c r="U1770">
        <f>IF([2]Baskol!$C$1773="","",[2]Baskol!$C$1773)</f>
        <v/>
      </c>
      <c r="V1770">
        <f>IF([2]Baskol!$D$1773="","",[2]Baskol!$D$1773)</f>
        <v/>
      </c>
      <c r="W1770">
        <f>IF([2]Baskol!$E$1773="","",[2]Baskol!$E$1773)</f>
        <v/>
      </c>
      <c r="X1770">
        <f>IF([2]Baskol!$G$1773="","",[2]Baskol!$G$1773)</f>
        <v/>
      </c>
      <c r="Y1770">
        <f>IF([2]Baskol!$I$1773="","",[2]Baskol!$I$1773)</f>
        <v/>
      </c>
      <c r="Z1770">
        <f>IF([2]Baskol!$J$1773="","",[2]Baskol!$J$1773)</f>
        <v/>
      </c>
      <c r="AA1770">
        <f>IF([2]Baskol!$K$1773="","",[2]Baskol!$K$1773)</f>
        <v/>
      </c>
      <c r="AB1770">
        <f>IF([2]Baskol!$L$1773="","",[2]Baskol!$L$1773)</f>
        <v/>
      </c>
      <c r="AC1770">
        <f>IF([2]Baskol!$N$1773="","",[2]Baskol!$N$1773)</f>
        <v/>
      </c>
      <c r="AD1770">
        <f>IF([2]Baskol!$O$1773="","",[2]Baskol!$O$1773)</f>
        <v/>
      </c>
      <c r="AE1770">
        <f>IF([3]Entry!$C$1773="","",[3]Entry!$C$1773)</f>
        <v/>
      </c>
      <c r="AF1770">
        <f>IF([3]Entry!$D$1773="","",[3]Entry!$D$1773)</f>
        <v/>
      </c>
      <c r="AG1770">
        <f>IF([3]Entry!$E$1773="","",[3]Entry!$E$1773)</f>
        <v/>
      </c>
      <c r="AH1770">
        <f>IF([3]Entry!$G$1773="","",[3]Entry!$G$1773)</f>
        <v/>
      </c>
      <c r="AI1770">
        <f>IF([3]Entry!$K$1773="","",[3]Entry!$K$1773)</f>
        <v/>
      </c>
      <c r="AJ1770">
        <f>IF([3]Entry!$L$1773="","",[3]Entry!$L$1773)</f>
        <v/>
      </c>
      <c r="AK1770">
        <f>IF([3]Entry!$M$1773="","",[3]Entry!$M$1773)</f>
        <v/>
      </c>
      <c r="AL1770">
        <f>IF([3]Entry!$N$1773="","",[3]Entry!$N$1773)</f>
        <v/>
      </c>
      <c r="AM1770">
        <f>IF([3]Entry!$R$1773="","",[3]Entry!$R$1773)</f>
        <v/>
      </c>
    </row>
    <row r="1771">
      <c r="T1771">
        <f>IF([2]Baskol!$B$1774="","",[2]Baskol!$B$1774)</f>
        <v/>
      </c>
      <c r="U1771">
        <f>IF([2]Baskol!$C$1774="","",[2]Baskol!$C$1774)</f>
        <v/>
      </c>
      <c r="V1771">
        <f>IF([2]Baskol!$D$1774="","",[2]Baskol!$D$1774)</f>
        <v/>
      </c>
      <c r="W1771">
        <f>IF([2]Baskol!$E$1774="","",[2]Baskol!$E$1774)</f>
        <v/>
      </c>
      <c r="X1771">
        <f>IF([2]Baskol!$G$1774="","",[2]Baskol!$G$1774)</f>
        <v/>
      </c>
      <c r="Y1771">
        <f>IF([2]Baskol!$I$1774="","",[2]Baskol!$I$1774)</f>
        <v/>
      </c>
      <c r="Z1771">
        <f>IF([2]Baskol!$J$1774="","",[2]Baskol!$J$1774)</f>
        <v/>
      </c>
      <c r="AA1771">
        <f>IF([2]Baskol!$K$1774="","",[2]Baskol!$K$1774)</f>
        <v/>
      </c>
      <c r="AB1771">
        <f>IF([2]Baskol!$L$1774="","",[2]Baskol!$L$1774)</f>
        <v/>
      </c>
      <c r="AC1771">
        <f>IF([2]Baskol!$N$1774="","",[2]Baskol!$N$1774)</f>
        <v/>
      </c>
      <c r="AD1771">
        <f>IF([2]Baskol!$O$1774="","",[2]Baskol!$O$1774)</f>
        <v/>
      </c>
      <c r="AE1771">
        <f>IF([3]Entry!$C$1774="","",[3]Entry!$C$1774)</f>
        <v/>
      </c>
      <c r="AF1771">
        <f>IF([3]Entry!$D$1774="","",[3]Entry!$D$1774)</f>
        <v/>
      </c>
      <c r="AG1771">
        <f>IF([3]Entry!$E$1774="","",[3]Entry!$E$1774)</f>
        <v/>
      </c>
      <c r="AH1771">
        <f>IF([3]Entry!$G$1774="","",[3]Entry!$G$1774)</f>
        <v/>
      </c>
      <c r="AI1771">
        <f>IF([3]Entry!$K$1774="","",[3]Entry!$K$1774)</f>
        <v/>
      </c>
      <c r="AJ1771">
        <f>IF([3]Entry!$L$1774="","",[3]Entry!$L$1774)</f>
        <v/>
      </c>
      <c r="AK1771">
        <f>IF([3]Entry!$M$1774="","",[3]Entry!$M$1774)</f>
        <v/>
      </c>
      <c r="AL1771">
        <f>IF([3]Entry!$N$1774="","",[3]Entry!$N$1774)</f>
        <v/>
      </c>
      <c r="AM1771">
        <f>IF([3]Entry!$R$1774="","",[3]Entry!$R$1774)</f>
        <v/>
      </c>
    </row>
    <row r="1772">
      <c r="T1772">
        <f>IF([2]Baskol!$B$1775="","",[2]Baskol!$B$1775)</f>
        <v/>
      </c>
      <c r="U1772">
        <f>IF([2]Baskol!$C$1775="","",[2]Baskol!$C$1775)</f>
        <v/>
      </c>
      <c r="V1772">
        <f>IF([2]Baskol!$D$1775="","",[2]Baskol!$D$1775)</f>
        <v/>
      </c>
      <c r="W1772">
        <f>IF([2]Baskol!$E$1775="","",[2]Baskol!$E$1775)</f>
        <v/>
      </c>
      <c r="X1772">
        <f>IF([2]Baskol!$G$1775="","",[2]Baskol!$G$1775)</f>
        <v/>
      </c>
      <c r="Y1772">
        <f>IF([2]Baskol!$I$1775="","",[2]Baskol!$I$1775)</f>
        <v/>
      </c>
      <c r="Z1772">
        <f>IF([2]Baskol!$J$1775="","",[2]Baskol!$J$1775)</f>
        <v/>
      </c>
      <c r="AA1772">
        <f>IF([2]Baskol!$K$1775="","",[2]Baskol!$K$1775)</f>
        <v/>
      </c>
      <c r="AB1772">
        <f>IF([2]Baskol!$L$1775="","",[2]Baskol!$L$1775)</f>
        <v/>
      </c>
      <c r="AC1772">
        <f>IF([2]Baskol!$N$1775="","",[2]Baskol!$N$1775)</f>
        <v/>
      </c>
      <c r="AD1772">
        <f>IF([2]Baskol!$O$1775="","",[2]Baskol!$O$1775)</f>
        <v/>
      </c>
      <c r="AE1772">
        <f>IF([3]Entry!$C$1775="","",[3]Entry!$C$1775)</f>
        <v/>
      </c>
      <c r="AF1772">
        <f>IF([3]Entry!$D$1775="","",[3]Entry!$D$1775)</f>
        <v/>
      </c>
      <c r="AG1772">
        <f>IF([3]Entry!$E$1775="","",[3]Entry!$E$1775)</f>
        <v/>
      </c>
      <c r="AH1772">
        <f>IF([3]Entry!$G$1775="","",[3]Entry!$G$1775)</f>
        <v/>
      </c>
      <c r="AI1772">
        <f>IF([3]Entry!$K$1775="","",[3]Entry!$K$1775)</f>
        <v/>
      </c>
      <c r="AJ1772">
        <f>IF([3]Entry!$L$1775="","",[3]Entry!$L$1775)</f>
        <v/>
      </c>
      <c r="AK1772">
        <f>IF([3]Entry!$M$1775="","",[3]Entry!$M$1775)</f>
        <v/>
      </c>
      <c r="AL1772">
        <f>IF([3]Entry!$N$1775="","",[3]Entry!$N$1775)</f>
        <v/>
      </c>
      <c r="AM1772">
        <f>IF([3]Entry!$R$1775="","",[3]Entry!$R$1775)</f>
        <v/>
      </c>
    </row>
    <row r="1773">
      <c r="T1773">
        <f>IF([2]Baskol!$B$1776="","",[2]Baskol!$B$1776)</f>
        <v/>
      </c>
      <c r="U1773">
        <f>IF([2]Baskol!$C$1776="","",[2]Baskol!$C$1776)</f>
        <v/>
      </c>
      <c r="V1773">
        <f>IF([2]Baskol!$D$1776="","",[2]Baskol!$D$1776)</f>
        <v/>
      </c>
      <c r="W1773">
        <f>IF([2]Baskol!$E$1776="","",[2]Baskol!$E$1776)</f>
        <v/>
      </c>
      <c r="X1773">
        <f>IF([2]Baskol!$G$1776="","",[2]Baskol!$G$1776)</f>
        <v/>
      </c>
      <c r="Y1773">
        <f>IF([2]Baskol!$I$1776="","",[2]Baskol!$I$1776)</f>
        <v/>
      </c>
      <c r="Z1773">
        <f>IF([2]Baskol!$J$1776="","",[2]Baskol!$J$1776)</f>
        <v/>
      </c>
      <c r="AA1773">
        <f>IF([2]Baskol!$K$1776="","",[2]Baskol!$K$1776)</f>
        <v/>
      </c>
      <c r="AB1773">
        <f>IF([2]Baskol!$L$1776="","",[2]Baskol!$L$1776)</f>
        <v/>
      </c>
      <c r="AC1773">
        <f>IF([2]Baskol!$N$1776="","",[2]Baskol!$N$1776)</f>
        <v/>
      </c>
      <c r="AD1773">
        <f>IF([2]Baskol!$O$1776="","",[2]Baskol!$O$1776)</f>
        <v/>
      </c>
      <c r="AE1773">
        <f>IF([3]Entry!$C$1776="","",[3]Entry!$C$1776)</f>
        <v/>
      </c>
      <c r="AF1773">
        <f>IF([3]Entry!$D$1776="","",[3]Entry!$D$1776)</f>
        <v/>
      </c>
      <c r="AG1773">
        <f>IF([3]Entry!$E$1776="","",[3]Entry!$E$1776)</f>
        <v/>
      </c>
      <c r="AH1773">
        <f>IF([3]Entry!$G$1776="","",[3]Entry!$G$1776)</f>
        <v/>
      </c>
      <c r="AI1773">
        <f>IF([3]Entry!$K$1776="","",[3]Entry!$K$1776)</f>
        <v/>
      </c>
      <c r="AJ1773">
        <f>IF([3]Entry!$L$1776="","",[3]Entry!$L$1776)</f>
        <v/>
      </c>
      <c r="AK1773">
        <f>IF([3]Entry!$M$1776="","",[3]Entry!$M$1776)</f>
        <v/>
      </c>
      <c r="AL1773">
        <f>IF([3]Entry!$N$1776="","",[3]Entry!$N$1776)</f>
        <v/>
      </c>
      <c r="AM1773">
        <f>IF([3]Entry!$R$1776="","",[3]Entry!$R$1776)</f>
        <v/>
      </c>
    </row>
    <row r="1774">
      <c r="T1774">
        <f>IF([2]Baskol!$B$1777="","",[2]Baskol!$B$1777)</f>
        <v/>
      </c>
      <c r="U1774">
        <f>IF([2]Baskol!$C$1777="","",[2]Baskol!$C$1777)</f>
        <v/>
      </c>
      <c r="V1774">
        <f>IF([2]Baskol!$D$1777="","",[2]Baskol!$D$1777)</f>
        <v/>
      </c>
      <c r="W1774">
        <f>IF([2]Baskol!$E$1777="","",[2]Baskol!$E$1777)</f>
        <v/>
      </c>
      <c r="X1774">
        <f>IF([2]Baskol!$G$1777="","",[2]Baskol!$G$1777)</f>
        <v/>
      </c>
      <c r="Y1774">
        <f>IF([2]Baskol!$I$1777="","",[2]Baskol!$I$1777)</f>
        <v/>
      </c>
      <c r="Z1774">
        <f>IF([2]Baskol!$J$1777="","",[2]Baskol!$J$1777)</f>
        <v/>
      </c>
      <c r="AA1774">
        <f>IF([2]Baskol!$K$1777="","",[2]Baskol!$K$1777)</f>
        <v/>
      </c>
      <c r="AB1774">
        <f>IF([2]Baskol!$L$1777="","",[2]Baskol!$L$1777)</f>
        <v/>
      </c>
      <c r="AC1774">
        <f>IF([2]Baskol!$N$1777="","",[2]Baskol!$N$1777)</f>
        <v/>
      </c>
      <c r="AD1774">
        <f>IF([2]Baskol!$O$1777="","",[2]Baskol!$O$1777)</f>
        <v/>
      </c>
      <c r="AE1774">
        <f>IF([3]Entry!$C$1777="","",[3]Entry!$C$1777)</f>
        <v/>
      </c>
      <c r="AF1774">
        <f>IF([3]Entry!$D$1777="","",[3]Entry!$D$1777)</f>
        <v/>
      </c>
      <c r="AG1774">
        <f>IF([3]Entry!$E$1777="","",[3]Entry!$E$1777)</f>
        <v/>
      </c>
      <c r="AH1774">
        <f>IF([3]Entry!$G$1777="","",[3]Entry!$G$1777)</f>
        <v/>
      </c>
      <c r="AI1774">
        <f>IF([3]Entry!$K$1777="","",[3]Entry!$K$1777)</f>
        <v/>
      </c>
      <c r="AJ1774">
        <f>IF([3]Entry!$L$1777="","",[3]Entry!$L$1777)</f>
        <v/>
      </c>
      <c r="AK1774">
        <f>IF([3]Entry!$M$1777="","",[3]Entry!$M$1777)</f>
        <v/>
      </c>
      <c r="AL1774">
        <f>IF([3]Entry!$N$1777="","",[3]Entry!$N$1777)</f>
        <v/>
      </c>
      <c r="AM1774">
        <f>IF([3]Entry!$R$1777="","",[3]Entry!$R$1777)</f>
        <v/>
      </c>
    </row>
    <row r="1775">
      <c r="T1775">
        <f>IF([2]Baskol!$B$1778="","",[2]Baskol!$B$1778)</f>
        <v/>
      </c>
      <c r="U1775">
        <f>IF([2]Baskol!$C$1778="","",[2]Baskol!$C$1778)</f>
        <v/>
      </c>
      <c r="V1775">
        <f>IF([2]Baskol!$D$1778="","",[2]Baskol!$D$1778)</f>
        <v/>
      </c>
      <c r="W1775">
        <f>IF([2]Baskol!$E$1778="","",[2]Baskol!$E$1778)</f>
        <v/>
      </c>
      <c r="X1775">
        <f>IF([2]Baskol!$G$1778="","",[2]Baskol!$G$1778)</f>
        <v/>
      </c>
      <c r="Y1775">
        <f>IF([2]Baskol!$I$1778="","",[2]Baskol!$I$1778)</f>
        <v/>
      </c>
      <c r="Z1775">
        <f>IF([2]Baskol!$J$1778="","",[2]Baskol!$J$1778)</f>
        <v/>
      </c>
      <c r="AA1775">
        <f>IF([2]Baskol!$K$1778="","",[2]Baskol!$K$1778)</f>
        <v/>
      </c>
      <c r="AB1775">
        <f>IF([2]Baskol!$L$1778="","",[2]Baskol!$L$1778)</f>
        <v/>
      </c>
      <c r="AC1775">
        <f>IF([2]Baskol!$N$1778="","",[2]Baskol!$N$1778)</f>
        <v/>
      </c>
      <c r="AD1775">
        <f>IF([2]Baskol!$O$1778="","",[2]Baskol!$O$1778)</f>
        <v/>
      </c>
      <c r="AE1775">
        <f>IF([3]Entry!$C$1778="","",[3]Entry!$C$1778)</f>
        <v/>
      </c>
      <c r="AF1775">
        <f>IF([3]Entry!$D$1778="","",[3]Entry!$D$1778)</f>
        <v/>
      </c>
      <c r="AG1775">
        <f>IF([3]Entry!$E$1778="","",[3]Entry!$E$1778)</f>
        <v/>
      </c>
      <c r="AH1775">
        <f>IF([3]Entry!$G$1778="","",[3]Entry!$G$1778)</f>
        <v/>
      </c>
      <c r="AI1775">
        <f>IF([3]Entry!$K$1778="","",[3]Entry!$K$1778)</f>
        <v/>
      </c>
      <c r="AJ1775">
        <f>IF([3]Entry!$L$1778="","",[3]Entry!$L$1778)</f>
        <v/>
      </c>
      <c r="AK1775">
        <f>IF([3]Entry!$M$1778="","",[3]Entry!$M$1778)</f>
        <v/>
      </c>
      <c r="AL1775">
        <f>IF([3]Entry!$N$1778="","",[3]Entry!$N$1778)</f>
        <v/>
      </c>
      <c r="AM1775">
        <f>IF([3]Entry!$R$1778="","",[3]Entry!$R$1778)</f>
        <v/>
      </c>
    </row>
    <row r="1776">
      <c r="T1776">
        <f>IF([2]Baskol!$B$1779="","",[2]Baskol!$B$1779)</f>
        <v/>
      </c>
      <c r="U1776">
        <f>IF([2]Baskol!$C$1779="","",[2]Baskol!$C$1779)</f>
        <v/>
      </c>
      <c r="V1776">
        <f>IF([2]Baskol!$D$1779="","",[2]Baskol!$D$1779)</f>
        <v/>
      </c>
      <c r="W1776">
        <f>IF([2]Baskol!$E$1779="","",[2]Baskol!$E$1779)</f>
        <v/>
      </c>
      <c r="X1776">
        <f>IF([2]Baskol!$G$1779="","",[2]Baskol!$G$1779)</f>
        <v/>
      </c>
      <c r="Y1776">
        <f>IF([2]Baskol!$I$1779="","",[2]Baskol!$I$1779)</f>
        <v/>
      </c>
      <c r="Z1776">
        <f>IF([2]Baskol!$J$1779="","",[2]Baskol!$J$1779)</f>
        <v/>
      </c>
      <c r="AA1776">
        <f>IF([2]Baskol!$K$1779="","",[2]Baskol!$K$1779)</f>
        <v/>
      </c>
      <c r="AB1776">
        <f>IF([2]Baskol!$L$1779="","",[2]Baskol!$L$1779)</f>
        <v/>
      </c>
      <c r="AC1776">
        <f>IF([2]Baskol!$N$1779="","",[2]Baskol!$N$1779)</f>
        <v/>
      </c>
      <c r="AD1776">
        <f>IF([2]Baskol!$O$1779="","",[2]Baskol!$O$1779)</f>
        <v/>
      </c>
      <c r="AE1776">
        <f>IF([3]Entry!$C$1779="","",[3]Entry!$C$1779)</f>
        <v/>
      </c>
      <c r="AF1776">
        <f>IF([3]Entry!$D$1779="","",[3]Entry!$D$1779)</f>
        <v/>
      </c>
      <c r="AG1776">
        <f>IF([3]Entry!$E$1779="","",[3]Entry!$E$1779)</f>
        <v/>
      </c>
      <c r="AH1776">
        <f>IF([3]Entry!$G$1779="","",[3]Entry!$G$1779)</f>
        <v/>
      </c>
      <c r="AI1776">
        <f>IF([3]Entry!$K$1779="","",[3]Entry!$K$1779)</f>
        <v/>
      </c>
      <c r="AJ1776">
        <f>IF([3]Entry!$L$1779="","",[3]Entry!$L$1779)</f>
        <v/>
      </c>
      <c r="AK1776">
        <f>IF([3]Entry!$M$1779="","",[3]Entry!$M$1779)</f>
        <v/>
      </c>
      <c r="AL1776">
        <f>IF([3]Entry!$N$1779="","",[3]Entry!$N$1779)</f>
        <v/>
      </c>
      <c r="AM1776">
        <f>IF([3]Entry!$R$1779="","",[3]Entry!$R$1779)</f>
        <v/>
      </c>
    </row>
    <row r="1777">
      <c r="T1777">
        <f>IF([2]Baskol!$B$1780="","",[2]Baskol!$B$1780)</f>
        <v/>
      </c>
      <c r="U1777">
        <f>IF([2]Baskol!$C$1780="","",[2]Baskol!$C$1780)</f>
        <v/>
      </c>
      <c r="V1777">
        <f>IF([2]Baskol!$D$1780="","",[2]Baskol!$D$1780)</f>
        <v/>
      </c>
      <c r="W1777">
        <f>IF([2]Baskol!$E$1780="","",[2]Baskol!$E$1780)</f>
        <v/>
      </c>
      <c r="X1777">
        <f>IF([2]Baskol!$G$1780="","",[2]Baskol!$G$1780)</f>
        <v/>
      </c>
      <c r="Y1777">
        <f>IF([2]Baskol!$I$1780="","",[2]Baskol!$I$1780)</f>
        <v/>
      </c>
      <c r="Z1777">
        <f>IF([2]Baskol!$J$1780="","",[2]Baskol!$J$1780)</f>
        <v/>
      </c>
      <c r="AA1777">
        <f>IF([2]Baskol!$K$1780="","",[2]Baskol!$K$1780)</f>
        <v/>
      </c>
      <c r="AB1777">
        <f>IF([2]Baskol!$L$1780="","",[2]Baskol!$L$1780)</f>
        <v/>
      </c>
      <c r="AC1777">
        <f>IF([2]Baskol!$N$1780="","",[2]Baskol!$N$1780)</f>
        <v/>
      </c>
      <c r="AD1777">
        <f>IF([2]Baskol!$O$1780="","",[2]Baskol!$O$1780)</f>
        <v/>
      </c>
      <c r="AE1777">
        <f>IF([3]Entry!$C$1780="","",[3]Entry!$C$1780)</f>
        <v/>
      </c>
      <c r="AF1777">
        <f>IF([3]Entry!$D$1780="","",[3]Entry!$D$1780)</f>
        <v/>
      </c>
      <c r="AG1777">
        <f>IF([3]Entry!$E$1780="","",[3]Entry!$E$1780)</f>
        <v/>
      </c>
      <c r="AH1777">
        <f>IF([3]Entry!$G$1780="","",[3]Entry!$G$1780)</f>
        <v/>
      </c>
      <c r="AI1777">
        <f>IF([3]Entry!$K$1780="","",[3]Entry!$K$1780)</f>
        <v/>
      </c>
      <c r="AJ1777">
        <f>IF([3]Entry!$L$1780="","",[3]Entry!$L$1780)</f>
        <v/>
      </c>
      <c r="AK1777">
        <f>IF([3]Entry!$M$1780="","",[3]Entry!$M$1780)</f>
        <v/>
      </c>
      <c r="AL1777">
        <f>IF([3]Entry!$N$1780="","",[3]Entry!$N$1780)</f>
        <v/>
      </c>
      <c r="AM1777">
        <f>IF([3]Entry!$R$1780="","",[3]Entry!$R$1780)</f>
        <v/>
      </c>
    </row>
    <row r="1778">
      <c r="T1778">
        <f>IF([2]Baskol!$B$1781="","",[2]Baskol!$B$1781)</f>
        <v/>
      </c>
      <c r="U1778">
        <f>IF([2]Baskol!$C$1781="","",[2]Baskol!$C$1781)</f>
        <v/>
      </c>
      <c r="V1778">
        <f>IF([2]Baskol!$D$1781="","",[2]Baskol!$D$1781)</f>
        <v/>
      </c>
      <c r="W1778">
        <f>IF([2]Baskol!$E$1781="","",[2]Baskol!$E$1781)</f>
        <v/>
      </c>
      <c r="X1778">
        <f>IF([2]Baskol!$G$1781="","",[2]Baskol!$G$1781)</f>
        <v/>
      </c>
      <c r="Y1778">
        <f>IF([2]Baskol!$I$1781="","",[2]Baskol!$I$1781)</f>
        <v/>
      </c>
      <c r="Z1778">
        <f>IF([2]Baskol!$J$1781="","",[2]Baskol!$J$1781)</f>
        <v/>
      </c>
      <c r="AA1778">
        <f>IF([2]Baskol!$K$1781="","",[2]Baskol!$K$1781)</f>
        <v/>
      </c>
      <c r="AB1778">
        <f>IF([2]Baskol!$L$1781="","",[2]Baskol!$L$1781)</f>
        <v/>
      </c>
      <c r="AC1778">
        <f>IF([2]Baskol!$N$1781="","",[2]Baskol!$N$1781)</f>
        <v/>
      </c>
      <c r="AD1778">
        <f>IF([2]Baskol!$O$1781="","",[2]Baskol!$O$1781)</f>
        <v/>
      </c>
      <c r="AE1778">
        <f>IF([3]Entry!$C$1781="","",[3]Entry!$C$1781)</f>
        <v/>
      </c>
      <c r="AF1778">
        <f>IF([3]Entry!$D$1781="","",[3]Entry!$D$1781)</f>
        <v/>
      </c>
      <c r="AG1778">
        <f>IF([3]Entry!$E$1781="","",[3]Entry!$E$1781)</f>
        <v/>
      </c>
      <c r="AH1778">
        <f>IF([3]Entry!$G$1781="","",[3]Entry!$G$1781)</f>
        <v/>
      </c>
      <c r="AI1778">
        <f>IF([3]Entry!$K$1781="","",[3]Entry!$K$1781)</f>
        <v/>
      </c>
      <c r="AJ1778">
        <f>IF([3]Entry!$L$1781="","",[3]Entry!$L$1781)</f>
        <v/>
      </c>
      <c r="AK1778">
        <f>IF([3]Entry!$M$1781="","",[3]Entry!$M$1781)</f>
        <v/>
      </c>
      <c r="AL1778">
        <f>IF([3]Entry!$N$1781="","",[3]Entry!$N$1781)</f>
        <v/>
      </c>
      <c r="AM1778">
        <f>IF([3]Entry!$R$1781="","",[3]Entry!$R$1781)</f>
        <v/>
      </c>
    </row>
    <row r="1779">
      <c r="T1779">
        <f>IF([2]Baskol!$B$1782="","",[2]Baskol!$B$1782)</f>
        <v/>
      </c>
      <c r="U1779">
        <f>IF([2]Baskol!$C$1782="","",[2]Baskol!$C$1782)</f>
        <v/>
      </c>
      <c r="V1779">
        <f>IF([2]Baskol!$D$1782="","",[2]Baskol!$D$1782)</f>
        <v/>
      </c>
      <c r="W1779">
        <f>IF([2]Baskol!$E$1782="","",[2]Baskol!$E$1782)</f>
        <v/>
      </c>
      <c r="X1779">
        <f>IF([2]Baskol!$G$1782="","",[2]Baskol!$G$1782)</f>
        <v/>
      </c>
      <c r="Y1779">
        <f>IF([2]Baskol!$I$1782="","",[2]Baskol!$I$1782)</f>
        <v/>
      </c>
      <c r="Z1779">
        <f>IF([2]Baskol!$J$1782="","",[2]Baskol!$J$1782)</f>
        <v/>
      </c>
      <c r="AA1779">
        <f>IF([2]Baskol!$K$1782="","",[2]Baskol!$K$1782)</f>
        <v/>
      </c>
      <c r="AB1779">
        <f>IF([2]Baskol!$L$1782="","",[2]Baskol!$L$1782)</f>
        <v/>
      </c>
      <c r="AC1779">
        <f>IF([2]Baskol!$N$1782="","",[2]Baskol!$N$1782)</f>
        <v/>
      </c>
      <c r="AD1779">
        <f>IF([2]Baskol!$O$1782="","",[2]Baskol!$O$1782)</f>
        <v/>
      </c>
      <c r="AE1779">
        <f>IF([3]Entry!$C$1782="","",[3]Entry!$C$1782)</f>
        <v/>
      </c>
      <c r="AF1779">
        <f>IF([3]Entry!$D$1782="","",[3]Entry!$D$1782)</f>
        <v/>
      </c>
      <c r="AG1779">
        <f>IF([3]Entry!$E$1782="","",[3]Entry!$E$1782)</f>
        <v/>
      </c>
      <c r="AH1779">
        <f>IF([3]Entry!$G$1782="","",[3]Entry!$G$1782)</f>
        <v/>
      </c>
      <c r="AI1779">
        <f>IF([3]Entry!$K$1782="","",[3]Entry!$K$1782)</f>
        <v/>
      </c>
      <c r="AJ1779">
        <f>IF([3]Entry!$L$1782="","",[3]Entry!$L$1782)</f>
        <v/>
      </c>
      <c r="AK1779">
        <f>IF([3]Entry!$M$1782="","",[3]Entry!$M$1782)</f>
        <v/>
      </c>
      <c r="AL1779">
        <f>IF([3]Entry!$N$1782="","",[3]Entry!$N$1782)</f>
        <v/>
      </c>
      <c r="AM1779">
        <f>IF([3]Entry!$R$1782="","",[3]Entry!$R$1782)</f>
        <v/>
      </c>
    </row>
    <row r="1780">
      <c r="T1780">
        <f>IF([2]Baskol!$B$1783="","",[2]Baskol!$B$1783)</f>
        <v/>
      </c>
      <c r="U1780">
        <f>IF([2]Baskol!$C$1783="","",[2]Baskol!$C$1783)</f>
        <v/>
      </c>
      <c r="V1780">
        <f>IF([2]Baskol!$D$1783="","",[2]Baskol!$D$1783)</f>
        <v/>
      </c>
      <c r="W1780">
        <f>IF([2]Baskol!$E$1783="","",[2]Baskol!$E$1783)</f>
        <v/>
      </c>
      <c r="X1780">
        <f>IF([2]Baskol!$G$1783="","",[2]Baskol!$G$1783)</f>
        <v/>
      </c>
      <c r="Y1780">
        <f>IF([2]Baskol!$I$1783="","",[2]Baskol!$I$1783)</f>
        <v/>
      </c>
      <c r="Z1780">
        <f>IF([2]Baskol!$J$1783="","",[2]Baskol!$J$1783)</f>
        <v/>
      </c>
      <c r="AA1780">
        <f>IF([2]Baskol!$K$1783="","",[2]Baskol!$K$1783)</f>
        <v/>
      </c>
      <c r="AB1780">
        <f>IF([2]Baskol!$L$1783="","",[2]Baskol!$L$1783)</f>
        <v/>
      </c>
      <c r="AC1780">
        <f>IF([2]Baskol!$N$1783="","",[2]Baskol!$N$1783)</f>
        <v/>
      </c>
      <c r="AD1780">
        <f>IF([2]Baskol!$O$1783="","",[2]Baskol!$O$1783)</f>
        <v/>
      </c>
      <c r="AE1780">
        <f>IF([3]Entry!$C$1783="","",[3]Entry!$C$1783)</f>
        <v/>
      </c>
      <c r="AF1780">
        <f>IF([3]Entry!$D$1783="","",[3]Entry!$D$1783)</f>
        <v/>
      </c>
      <c r="AG1780">
        <f>IF([3]Entry!$E$1783="","",[3]Entry!$E$1783)</f>
        <v/>
      </c>
      <c r="AH1780">
        <f>IF([3]Entry!$G$1783="","",[3]Entry!$G$1783)</f>
        <v/>
      </c>
      <c r="AI1780">
        <f>IF([3]Entry!$K$1783="","",[3]Entry!$K$1783)</f>
        <v/>
      </c>
      <c r="AJ1780">
        <f>IF([3]Entry!$L$1783="","",[3]Entry!$L$1783)</f>
        <v/>
      </c>
      <c r="AK1780">
        <f>IF([3]Entry!$M$1783="","",[3]Entry!$M$1783)</f>
        <v/>
      </c>
      <c r="AL1780">
        <f>IF([3]Entry!$N$1783="","",[3]Entry!$N$1783)</f>
        <v/>
      </c>
      <c r="AM1780">
        <f>IF([3]Entry!$R$1783="","",[3]Entry!$R$1783)</f>
        <v/>
      </c>
    </row>
    <row r="1781">
      <c r="T1781">
        <f>IF([2]Baskol!$B$1784="","",[2]Baskol!$B$1784)</f>
        <v/>
      </c>
      <c r="U1781">
        <f>IF([2]Baskol!$C$1784="","",[2]Baskol!$C$1784)</f>
        <v/>
      </c>
      <c r="V1781">
        <f>IF([2]Baskol!$D$1784="","",[2]Baskol!$D$1784)</f>
        <v/>
      </c>
      <c r="W1781">
        <f>IF([2]Baskol!$E$1784="","",[2]Baskol!$E$1784)</f>
        <v/>
      </c>
      <c r="X1781">
        <f>IF([2]Baskol!$G$1784="","",[2]Baskol!$G$1784)</f>
        <v/>
      </c>
      <c r="Y1781">
        <f>IF([2]Baskol!$I$1784="","",[2]Baskol!$I$1784)</f>
        <v/>
      </c>
      <c r="Z1781">
        <f>IF([2]Baskol!$J$1784="","",[2]Baskol!$J$1784)</f>
        <v/>
      </c>
      <c r="AA1781">
        <f>IF([2]Baskol!$K$1784="","",[2]Baskol!$K$1784)</f>
        <v/>
      </c>
      <c r="AB1781">
        <f>IF([2]Baskol!$L$1784="","",[2]Baskol!$L$1784)</f>
        <v/>
      </c>
      <c r="AC1781">
        <f>IF([2]Baskol!$N$1784="","",[2]Baskol!$N$1784)</f>
        <v/>
      </c>
      <c r="AD1781">
        <f>IF([2]Baskol!$O$1784="","",[2]Baskol!$O$1784)</f>
        <v/>
      </c>
      <c r="AE1781">
        <f>IF([3]Entry!$C$1784="","",[3]Entry!$C$1784)</f>
        <v/>
      </c>
      <c r="AF1781">
        <f>IF([3]Entry!$D$1784="","",[3]Entry!$D$1784)</f>
        <v/>
      </c>
      <c r="AG1781">
        <f>IF([3]Entry!$E$1784="","",[3]Entry!$E$1784)</f>
        <v/>
      </c>
      <c r="AH1781">
        <f>IF([3]Entry!$G$1784="","",[3]Entry!$G$1784)</f>
        <v/>
      </c>
      <c r="AI1781">
        <f>IF([3]Entry!$K$1784="","",[3]Entry!$K$1784)</f>
        <v/>
      </c>
      <c r="AJ1781">
        <f>IF([3]Entry!$L$1784="","",[3]Entry!$L$1784)</f>
        <v/>
      </c>
      <c r="AK1781">
        <f>IF([3]Entry!$M$1784="","",[3]Entry!$M$1784)</f>
        <v/>
      </c>
      <c r="AL1781">
        <f>IF([3]Entry!$N$1784="","",[3]Entry!$N$1784)</f>
        <v/>
      </c>
      <c r="AM1781">
        <f>IF([3]Entry!$R$1784="","",[3]Entry!$R$1784)</f>
        <v/>
      </c>
    </row>
    <row r="1782">
      <c r="T1782">
        <f>IF([2]Baskol!$B$1785="","",[2]Baskol!$B$1785)</f>
        <v/>
      </c>
      <c r="U1782">
        <f>IF([2]Baskol!$C$1785="","",[2]Baskol!$C$1785)</f>
        <v/>
      </c>
      <c r="V1782">
        <f>IF([2]Baskol!$D$1785="","",[2]Baskol!$D$1785)</f>
        <v/>
      </c>
      <c r="W1782">
        <f>IF([2]Baskol!$E$1785="","",[2]Baskol!$E$1785)</f>
        <v/>
      </c>
      <c r="X1782">
        <f>IF([2]Baskol!$G$1785="","",[2]Baskol!$G$1785)</f>
        <v/>
      </c>
      <c r="Y1782">
        <f>IF([2]Baskol!$I$1785="","",[2]Baskol!$I$1785)</f>
        <v/>
      </c>
      <c r="Z1782">
        <f>IF([2]Baskol!$J$1785="","",[2]Baskol!$J$1785)</f>
        <v/>
      </c>
      <c r="AA1782">
        <f>IF([2]Baskol!$K$1785="","",[2]Baskol!$K$1785)</f>
        <v/>
      </c>
      <c r="AB1782">
        <f>IF([2]Baskol!$L$1785="","",[2]Baskol!$L$1785)</f>
        <v/>
      </c>
      <c r="AC1782">
        <f>IF([2]Baskol!$N$1785="","",[2]Baskol!$N$1785)</f>
        <v/>
      </c>
      <c r="AD1782">
        <f>IF([2]Baskol!$O$1785="","",[2]Baskol!$O$1785)</f>
        <v/>
      </c>
      <c r="AE1782">
        <f>IF([3]Entry!$C$1785="","",[3]Entry!$C$1785)</f>
        <v/>
      </c>
      <c r="AF1782">
        <f>IF([3]Entry!$D$1785="","",[3]Entry!$D$1785)</f>
        <v/>
      </c>
      <c r="AG1782">
        <f>IF([3]Entry!$E$1785="","",[3]Entry!$E$1785)</f>
        <v/>
      </c>
      <c r="AH1782">
        <f>IF([3]Entry!$G$1785="","",[3]Entry!$G$1785)</f>
        <v/>
      </c>
      <c r="AI1782">
        <f>IF([3]Entry!$K$1785="","",[3]Entry!$K$1785)</f>
        <v/>
      </c>
      <c r="AJ1782">
        <f>IF([3]Entry!$L$1785="","",[3]Entry!$L$1785)</f>
        <v/>
      </c>
      <c r="AK1782">
        <f>IF([3]Entry!$M$1785="","",[3]Entry!$M$1785)</f>
        <v/>
      </c>
      <c r="AL1782">
        <f>IF([3]Entry!$N$1785="","",[3]Entry!$N$1785)</f>
        <v/>
      </c>
      <c r="AM1782">
        <f>IF([3]Entry!$R$1785="","",[3]Entry!$R$1785)</f>
        <v/>
      </c>
    </row>
    <row r="1783">
      <c r="T1783">
        <f>IF([2]Baskol!$B$1786="","",[2]Baskol!$B$1786)</f>
        <v/>
      </c>
      <c r="U1783">
        <f>IF([2]Baskol!$C$1786="","",[2]Baskol!$C$1786)</f>
        <v/>
      </c>
      <c r="V1783">
        <f>IF([2]Baskol!$D$1786="","",[2]Baskol!$D$1786)</f>
        <v/>
      </c>
      <c r="W1783">
        <f>IF([2]Baskol!$E$1786="","",[2]Baskol!$E$1786)</f>
        <v/>
      </c>
      <c r="X1783">
        <f>IF([2]Baskol!$G$1786="","",[2]Baskol!$G$1786)</f>
        <v/>
      </c>
      <c r="Y1783">
        <f>IF([2]Baskol!$I$1786="","",[2]Baskol!$I$1786)</f>
        <v/>
      </c>
      <c r="Z1783">
        <f>IF([2]Baskol!$J$1786="","",[2]Baskol!$J$1786)</f>
        <v/>
      </c>
      <c r="AA1783">
        <f>IF([2]Baskol!$K$1786="","",[2]Baskol!$K$1786)</f>
        <v/>
      </c>
      <c r="AB1783">
        <f>IF([2]Baskol!$L$1786="","",[2]Baskol!$L$1786)</f>
        <v/>
      </c>
      <c r="AC1783">
        <f>IF([2]Baskol!$N$1786="","",[2]Baskol!$N$1786)</f>
        <v/>
      </c>
      <c r="AD1783">
        <f>IF([2]Baskol!$O$1786="","",[2]Baskol!$O$1786)</f>
        <v/>
      </c>
      <c r="AE1783">
        <f>IF([3]Entry!$C$1786="","",[3]Entry!$C$1786)</f>
        <v/>
      </c>
      <c r="AF1783">
        <f>IF([3]Entry!$D$1786="","",[3]Entry!$D$1786)</f>
        <v/>
      </c>
      <c r="AG1783">
        <f>IF([3]Entry!$E$1786="","",[3]Entry!$E$1786)</f>
        <v/>
      </c>
      <c r="AH1783">
        <f>IF([3]Entry!$G$1786="","",[3]Entry!$G$1786)</f>
        <v/>
      </c>
      <c r="AI1783">
        <f>IF([3]Entry!$K$1786="","",[3]Entry!$K$1786)</f>
        <v/>
      </c>
      <c r="AJ1783">
        <f>IF([3]Entry!$L$1786="","",[3]Entry!$L$1786)</f>
        <v/>
      </c>
      <c r="AK1783">
        <f>IF([3]Entry!$M$1786="","",[3]Entry!$M$1786)</f>
        <v/>
      </c>
      <c r="AL1783">
        <f>IF([3]Entry!$N$1786="","",[3]Entry!$N$1786)</f>
        <v/>
      </c>
      <c r="AM1783">
        <f>IF([3]Entry!$R$1786="","",[3]Entry!$R$1786)</f>
        <v/>
      </c>
    </row>
    <row r="1784">
      <c r="T1784">
        <f>IF([2]Baskol!$B$1787="","",[2]Baskol!$B$1787)</f>
        <v/>
      </c>
      <c r="U1784">
        <f>IF([2]Baskol!$C$1787="","",[2]Baskol!$C$1787)</f>
        <v/>
      </c>
      <c r="V1784">
        <f>IF([2]Baskol!$D$1787="","",[2]Baskol!$D$1787)</f>
        <v/>
      </c>
      <c r="W1784">
        <f>IF([2]Baskol!$E$1787="","",[2]Baskol!$E$1787)</f>
        <v/>
      </c>
      <c r="X1784">
        <f>IF([2]Baskol!$G$1787="","",[2]Baskol!$G$1787)</f>
        <v/>
      </c>
      <c r="Y1784">
        <f>IF([2]Baskol!$I$1787="","",[2]Baskol!$I$1787)</f>
        <v/>
      </c>
      <c r="Z1784">
        <f>IF([2]Baskol!$J$1787="","",[2]Baskol!$J$1787)</f>
        <v/>
      </c>
      <c r="AA1784">
        <f>IF([2]Baskol!$K$1787="","",[2]Baskol!$K$1787)</f>
        <v/>
      </c>
      <c r="AB1784">
        <f>IF([2]Baskol!$L$1787="","",[2]Baskol!$L$1787)</f>
        <v/>
      </c>
      <c r="AC1784">
        <f>IF([2]Baskol!$N$1787="","",[2]Baskol!$N$1787)</f>
        <v/>
      </c>
      <c r="AD1784">
        <f>IF([2]Baskol!$O$1787="","",[2]Baskol!$O$1787)</f>
        <v/>
      </c>
      <c r="AE1784">
        <f>IF([3]Entry!$C$1787="","",[3]Entry!$C$1787)</f>
        <v/>
      </c>
      <c r="AF1784">
        <f>IF([3]Entry!$D$1787="","",[3]Entry!$D$1787)</f>
        <v/>
      </c>
      <c r="AG1784">
        <f>IF([3]Entry!$E$1787="","",[3]Entry!$E$1787)</f>
        <v/>
      </c>
      <c r="AH1784">
        <f>IF([3]Entry!$G$1787="","",[3]Entry!$G$1787)</f>
        <v/>
      </c>
      <c r="AI1784">
        <f>IF([3]Entry!$K$1787="","",[3]Entry!$K$1787)</f>
        <v/>
      </c>
      <c r="AJ1784">
        <f>IF([3]Entry!$L$1787="","",[3]Entry!$L$1787)</f>
        <v/>
      </c>
      <c r="AK1784">
        <f>IF([3]Entry!$M$1787="","",[3]Entry!$M$1787)</f>
        <v/>
      </c>
      <c r="AL1784">
        <f>IF([3]Entry!$N$1787="","",[3]Entry!$N$1787)</f>
        <v/>
      </c>
      <c r="AM1784">
        <f>IF([3]Entry!$R$1787="","",[3]Entry!$R$1787)</f>
        <v/>
      </c>
    </row>
    <row r="1785">
      <c r="T1785">
        <f>IF([2]Baskol!$B$1788="","",[2]Baskol!$B$1788)</f>
        <v/>
      </c>
      <c r="U1785">
        <f>IF([2]Baskol!$C$1788="","",[2]Baskol!$C$1788)</f>
        <v/>
      </c>
      <c r="V1785">
        <f>IF([2]Baskol!$D$1788="","",[2]Baskol!$D$1788)</f>
        <v/>
      </c>
      <c r="W1785">
        <f>IF([2]Baskol!$E$1788="","",[2]Baskol!$E$1788)</f>
        <v/>
      </c>
      <c r="X1785">
        <f>IF([2]Baskol!$G$1788="","",[2]Baskol!$G$1788)</f>
        <v/>
      </c>
      <c r="Y1785">
        <f>IF([2]Baskol!$I$1788="","",[2]Baskol!$I$1788)</f>
        <v/>
      </c>
      <c r="Z1785">
        <f>IF([2]Baskol!$J$1788="","",[2]Baskol!$J$1788)</f>
        <v/>
      </c>
      <c r="AA1785">
        <f>IF([2]Baskol!$K$1788="","",[2]Baskol!$K$1788)</f>
        <v/>
      </c>
      <c r="AB1785">
        <f>IF([2]Baskol!$L$1788="","",[2]Baskol!$L$1788)</f>
        <v/>
      </c>
      <c r="AC1785">
        <f>IF([2]Baskol!$N$1788="","",[2]Baskol!$N$1788)</f>
        <v/>
      </c>
      <c r="AD1785">
        <f>IF([2]Baskol!$O$1788="","",[2]Baskol!$O$1788)</f>
        <v/>
      </c>
      <c r="AE1785">
        <f>IF([3]Entry!$C$1788="","",[3]Entry!$C$1788)</f>
        <v/>
      </c>
      <c r="AF1785">
        <f>IF([3]Entry!$D$1788="","",[3]Entry!$D$1788)</f>
        <v/>
      </c>
      <c r="AG1785">
        <f>IF([3]Entry!$E$1788="","",[3]Entry!$E$1788)</f>
        <v/>
      </c>
      <c r="AH1785">
        <f>IF([3]Entry!$G$1788="","",[3]Entry!$G$1788)</f>
        <v/>
      </c>
      <c r="AI1785">
        <f>IF([3]Entry!$K$1788="","",[3]Entry!$K$1788)</f>
        <v/>
      </c>
      <c r="AJ1785">
        <f>IF([3]Entry!$L$1788="","",[3]Entry!$L$1788)</f>
        <v/>
      </c>
      <c r="AK1785">
        <f>IF([3]Entry!$M$1788="","",[3]Entry!$M$1788)</f>
        <v/>
      </c>
      <c r="AL1785">
        <f>IF([3]Entry!$N$1788="","",[3]Entry!$N$1788)</f>
        <v/>
      </c>
      <c r="AM1785">
        <f>IF([3]Entry!$R$1788="","",[3]Entry!$R$1788)</f>
        <v/>
      </c>
    </row>
    <row r="1786">
      <c r="T1786">
        <f>IF([2]Baskol!$B$1789="","",[2]Baskol!$B$1789)</f>
        <v/>
      </c>
      <c r="U1786">
        <f>IF([2]Baskol!$C$1789="","",[2]Baskol!$C$1789)</f>
        <v/>
      </c>
      <c r="V1786">
        <f>IF([2]Baskol!$D$1789="","",[2]Baskol!$D$1789)</f>
        <v/>
      </c>
      <c r="W1786">
        <f>IF([2]Baskol!$E$1789="","",[2]Baskol!$E$1789)</f>
        <v/>
      </c>
      <c r="X1786">
        <f>IF([2]Baskol!$G$1789="","",[2]Baskol!$G$1789)</f>
        <v/>
      </c>
      <c r="Y1786">
        <f>IF([2]Baskol!$I$1789="","",[2]Baskol!$I$1789)</f>
        <v/>
      </c>
      <c r="Z1786">
        <f>IF([2]Baskol!$J$1789="","",[2]Baskol!$J$1789)</f>
        <v/>
      </c>
      <c r="AA1786">
        <f>IF([2]Baskol!$K$1789="","",[2]Baskol!$K$1789)</f>
        <v/>
      </c>
      <c r="AB1786">
        <f>IF([2]Baskol!$L$1789="","",[2]Baskol!$L$1789)</f>
        <v/>
      </c>
      <c r="AC1786">
        <f>IF([2]Baskol!$N$1789="","",[2]Baskol!$N$1789)</f>
        <v/>
      </c>
      <c r="AD1786">
        <f>IF([2]Baskol!$O$1789="","",[2]Baskol!$O$1789)</f>
        <v/>
      </c>
      <c r="AE1786">
        <f>IF([3]Entry!$C$1789="","",[3]Entry!$C$1789)</f>
        <v/>
      </c>
      <c r="AF1786">
        <f>IF([3]Entry!$D$1789="","",[3]Entry!$D$1789)</f>
        <v/>
      </c>
      <c r="AG1786">
        <f>IF([3]Entry!$E$1789="","",[3]Entry!$E$1789)</f>
        <v/>
      </c>
      <c r="AH1786">
        <f>IF([3]Entry!$G$1789="","",[3]Entry!$G$1789)</f>
        <v/>
      </c>
      <c r="AI1786">
        <f>IF([3]Entry!$K$1789="","",[3]Entry!$K$1789)</f>
        <v/>
      </c>
      <c r="AJ1786">
        <f>IF([3]Entry!$L$1789="","",[3]Entry!$L$1789)</f>
        <v/>
      </c>
      <c r="AK1786">
        <f>IF([3]Entry!$M$1789="","",[3]Entry!$M$1789)</f>
        <v/>
      </c>
      <c r="AL1786">
        <f>IF([3]Entry!$N$1789="","",[3]Entry!$N$1789)</f>
        <v/>
      </c>
      <c r="AM1786">
        <f>IF([3]Entry!$R$1789="","",[3]Entry!$R$1789)</f>
        <v/>
      </c>
    </row>
    <row r="1787">
      <c r="T1787">
        <f>IF([2]Baskol!$B$1790="","",[2]Baskol!$B$1790)</f>
        <v/>
      </c>
      <c r="U1787">
        <f>IF([2]Baskol!$C$1790="","",[2]Baskol!$C$1790)</f>
        <v/>
      </c>
      <c r="V1787">
        <f>IF([2]Baskol!$D$1790="","",[2]Baskol!$D$1790)</f>
        <v/>
      </c>
      <c r="W1787">
        <f>IF([2]Baskol!$E$1790="","",[2]Baskol!$E$1790)</f>
        <v/>
      </c>
      <c r="X1787">
        <f>IF([2]Baskol!$G$1790="","",[2]Baskol!$G$1790)</f>
        <v/>
      </c>
      <c r="Y1787">
        <f>IF([2]Baskol!$I$1790="","",[2]Baskol!$I$1790)</f>
        <v/>
      </c>
      <c r="Z1787">
        <f>IF([2]Baskol!$J$1790="","",[2]Baskol!$J$1790)</f>
        <v/>
      </c>
      <c r="AA1787">
        <f>IF([2]Baskol!$K$1790="","",[2]Baskol!$K$1790)</f>
        <v/>
      </c>
      <c r="AB1787">
        <f>IF([2]Baskol!$L$1790="","",[2]Baskol!$L$1790)</f>
        <v/>
      </c>
      <c r="AC1787">
        <f>IF([2]Baskol!$N$1790="","",[2]Baskol!$N$1790)</f>
        <v/>
      </c>
      <c r="AD1787">
        <f>IF([2]Baskol!$O$1790="","",[2]Baskol!$O$1790)</f>
        <v/>
      </c>
      <c r="AE1787">
        <f>IF([3]Entry!$C$1790="","",[3]Entry!$C$1790)</f>
        <v/>
      </c>
      <c r="AF1787">
        <f>IF([3]Entry!$D$1790="","",[3]Entry!$D$1790)</f>
        <v/>
      </c>
      <c r="AG1787">
        <f>IF([3]Entry!$E$1790="","",[3]Entry!$E$1790)</f>
        <v/>
      </c>
      <c r="AH1787">
        <f>IF([3]Entry!$G$1790="","",[3]Entry!$G$1790)</f>
        <v/>
      </c>
      <c r="AI1787">
        <f>IF([3]Entry!$K$1790="","",[3]Entry!$K$1790)</f>
        <v/>
      </c>
      <c r="AJ1787">
        <f>IF([3]Entry!$L$1790="","",[3]Entry!$L$1790)</f>
        <v/>
      </c>
      <c r="AK1787">
        <f>IF([3]Entry!$M$1790="","",[3]Entry!$M$1790)</f>
        <v/>
      </c>
      <c r="AL1787">
        <f>IF([3]Entry!$N$1790="","",[3]Entry!$N$1790)</f>
        <v/>
      </c>
      <c r="AM1787">
        <f>IF([3]Entry!$R$1790="","",[3]Entry!$R$1790)</f>
        <v/>
      </c>
    </row>
    <row r="1788">
      <c r="T1788">
        <f>IF([2]Baskol!$B$1791="","",[2]Baskol!$B$1791)</f>
        <v/>
      </c>
      <c r="U1788">
        <f>IF([2]Baskol!$C$1791="","",[2]Baskol!$C$1791)</f>
        <v/>
      </c>
      <c r="V1788">
        <f>IF([2]Baskol!$D$1791="","",[2]Baskol!$D$1791)</f>
        <v/>
      </c>
      <c r="W1788">
        <f>IF([2]Baskol!$E$1791="","",[2]Baskol!$E$1791)</f>
        <v/>
      </c>
      <c r="X1788">
        <f>IF([2]Baskol!$G$1791="","",[2]Baskol!$G$1791)</f>
        <v/>
      </c>
      <c r="Y1788">
        <f>IF([2]Baskol!$I$1791="","",[2]Baskol!$I$1791)</f>
        <v/>
      </c>
      <c r="Z1788">
        <f>IF([2]Baskol!$J$1791="","",[2]Baskol!$J$1791)</f>
        <v/>
      </c>
      <c r="AA1788">
        <f>IF([2]Baskol!$K$1791="","",[2]Baskol!$K$1791)</f>
        <v/>
      </c>
      <c r="AB1788">
        <f>IF([2]Baskol!$L$1791="","",[2]Baskol!$L$1791)</f>
        <v/>
      </c>
      <c r="AC1788">
        <f>IF([2]Baskol!$N$1791="","",[2]Baskol!$N$1791)</f>
        <v/>
      </c>
      <c r="AD1788">
        <f>IF([2]Baskol!$O$1791="","",[2]Baskol!$O$1791)</f>
        <v/>
      </c>
      <c r="AE1788">
        <f>IF([3]Entry!$C$1791="","",[3]Entry!$C$1791)</f>
        <v/>
      </c>
      <c r="AF1788">
        <f>IF([3]Entry!$D$1791="","",[3]Entry!$D$1791)</f>
        <v/>
      </c>
      <c r="AG1788">
        <f>IF([3]Entry!$E$1791="","",[3]Entry!$E$1791)</f>
        <v/>
      </c>
      <c r="AH1788">
        <f>IF([3]Entry!$G$1791="","",[3]Entry!$G$1791)</f>
        <v/>
      </c>
      <c r="AI1788">
        <f>IF([3]Entry!$K$1791="","",[3]Entry!$K$1791)</f>
        <v/>
      </c>
      <c r="AJ1788">
        <f>IF([3]Entry!$L$1791="","",[3]Entry!$L$1791)</f>
        <v/>
      </c>
      <c r="AK1788">
        <f>IF([3]Entry!$M$1791="","",[3]Entry!$M$1791)</f>
        <v/>
      </c>
      <c r="AL1788">
        <f>IF([3]Entry!$N$1791="","",[3]Entry!$N$1791)</f>
        <v/>
      </c>
      <c r="AM1788">
        <f>IF([3]Entry!$R$1791="","",[3]Entry!$R$1791)</f>
        <v/>
      </c>
    </row>
    <row r="1789">
      <c r="T1789">
        <f>IF([2]Baskol!$B$1792="","",[2]Baskol!$B$1792)</f>
        <v/>
      </c>
      <c r="U1789">
        <f>IF([2]Baskol!$C$1792="","",[2]Baskol!$C$1792)</f>
        <v/>
      </c>
      <c r="V1789">
        <f>IF([2]Baskol!$D$1792="","",[2]Baskol!$D$1792)</f>
        <v/>
      </c>
      <c r="W1789">
        <f>IF([2]Baskol!$E$1792="","",[2]Baskol!$E$1792)</f>
        <v/>
      </c>
      <c r="X1789">
        <f>IF([2]Baskol!$G$1792="","",[2]Baskol!$G$1792)</f>
        <v/>
      </c>
      <c r="Y1789">
        <f>IF([2]Baskol!$I$1792="","",[2]Baskol!$I$1792)</f>
        <v/>
      </c>
      <c r="Z1789">
        <f>IF([2]Baskol!$J$1792="","",[2]Baskol!$J$1792)</f>
        <v/>
      </c>
      <c r="AA1789">
        <f>IF([2]Baskol!$K$1792="","",[2]Baskol!$K$1792)</f>
        <v/>
      </c>
      <c r="AB1789">
        <f>IF([2]Baskol!$L$1792="","",[2]Baskol!$L$1792)</f>
        <v/>
      </c>
      <c r="AC1789">
        <f>IF([2]Baskol!$N$1792="","",[2]Baskol!$N$1792)</f>
        <v/>
      </c>
      <c r="AD1789">
        <f>IF([2]Baskol!$O$1792="","",[2]Baskol!$O$1792)</f>
        <v/>
      </c>
      <c r="AE1789">
        <f>IF([3]Entry!$C$1792="","",[3]Entry!$C$1792)</f>
        <v/>
      </c>
      <c r="AF1789">
        <f>IF([3]Entry!$D$1792="","",[3]Entry!$D$1792)</f>
        <v/>
      </c>
      <c r="AG1789">
        <f>IF([3]Entry!$E$1792="","",[3]Entry!$E$1792)</f>
        <v/>
      </c>
      <c r="AH1789">
        <f>IF([3]Entry!$G$1792="","",[3]Entry!$G$1792)</f>
        <v/>
      </c>
      <c r="AI1789">
        <f>IF([3]Entry!$K$1792="","",[3]Entry!$K$1792)</f>
        <v/>
      </c>
      <c r="AJ1789">
        <f>IF([3]Entry!$L$1792="","",[3]Entry!$L$1792)</f>
        <v/>
      </c>
      <c r="AK1789">
        <f>IF([3]Entry!$M$1792="","",[3]Entry!$M$1792)</f>
        <v/>
      </c>
      <c r="AL1789">
        <f>IF([3]Entry!$N$1792="","",[3]Entry!$N$1792)</f>
        <v/>
      </c>
      <c r="AM1789">
        <f>IF([3]Entry!$R$1792="","",[3]Entry!$R$1792)</f>
        <v/>
      </c>
    </row>
    <row r="1790">
      <c r="T1790">
        <f>IF([2]Baskol!$B$1793="","",[2]Baskol!$B$1793)</f>
        <v/>
      </c>
      <c r="U1790">
        <f>IF([2]Baskol!$C$1793="","",[2]Baskol!$C$1793)</f>
        <v/>
      </c>
      <c r="V1790">
        <f>IF([2]Baskol!$D$1793="","",[2]Baskol!$D$1793)</f>
        <v/>
      </c>
      <c r="W1790">
        <f>IF([2]Baskol!$E$1793="","",[2]Baskol!$E$1793)</f>
        <v/>
      </c>
      <c r="X1790">
        <f>IF([2]Baskol!$G$1793="","",[2]Baskol!$G$1793)</f>
        <v/>
      </c>
      <c r="Y1790">
        <f>IF([2]Baskol!$I$1793="","",[2]Baskol!$I$1793)</f>
        <v/>
      </c>
      <c r="Z1790">
        <f>IF([2]Baskol!$J$1793="","",[2]Baskol!$J$1793)</f>
        <v/>
      </c>
      <c r="AA1790">
        <f>IF([2]Baskol!$K$1793="","",[2]Baskol!$K$1793)</f>
        <v/>
      </c>
      <c r="AB1790">
        <f>IF([2]Baskol!$L$1793="","",[2]Baskol!$L$1793)</f>
        <v/>
      </c>
      <c r="AC1790">
        <f>IF([2]Baskol!$N$1793="","",[2]Baskol!$N$1793)</f>
        <v/>
      </c>
      <c r="AD1790">
        <f>IF([2]Baskol!$O$1793="","",[2]Baskol!$O$1793)</f>
        <v/>
      </c>
      <c r="AE1790">
        <f>IF([3]Entry!$C$1793="","",[3]Entry!$C$1793)</f>
        <v/>
      </c>
      <c r="AF1790">
        <f>IF([3]Entry!$D$1793="","",[3]Entry!$D$1793)</f>
        <v/>
      </c>
      <c r="AG1790">
        <f>IF([3]Entry!$E$1793="","",[3]Entry!$E$1793)</f>
        <v/>
      </c>
      <c r="AH1790">
        <f>IF([3]Entry!$G$1793="","",[3]Entry!$G$1793)</f>
        <v/>
      </c>
      <c r="AI1790">
        <f>IF([3]Entry!$K$1793="","",[3]Entry!$K$1793)</f>
        <v/>
      </c>
      <c r="AJ1790">
        <f>IF([3]Entry!$L$1793="","",[3]Entry!$L$1793)</f>
        <v/>
      </c>
      <c r="AK1790">
        <f>IF([3]Entry!$M$1793="","",[3]Entry!$M$1793)</f>
        <v/>
      </c>
      <c r="AL1790">
        <f>IF([3]Entry!$N$1793="","",[3]Entry!$N$1793)</f>
        <v/>
      </c>
      <c r="AM1790">
        <f>IF([3]Entry!$R$1793="","",[3]Entry!$R$1793)</f>
        <v/>
      </c>
    </row>
    <row r="1791">
      <c r="T1791">
        <f>IF([2]Baskol!$B$1794="","",[2]Baskol!$B$1794)</f>
        <v/>
      </c>
      <c r="U1791">
        <f>IF([2]Baskol!$C$1794="","",[2]Baskol!$C$1794)</f>
        <v/>
      </c>
      <c r="V1791">
        <f>IF([2]Baskol!$D$1794="","",[2]Baskol!$D$1794)</f>
        <v/>
      </c>
      <c r="W1791">
        <f>IF([2]Baskol!$E$1794="","",[2]Baskol!$E$1794)</f>
        <v/>
      </c>
      <c r="X1791">
        <f>IF([2]Baskol!$G$1794="","",[2]Baskol!$G$1794)</f>
        <v/>
      </c>
      <c r="Y1791">
        <f>IF([2]Baskol!$I$1794="","",[2]Baskol!$I$1794)</f>
        <v/>
      </c>
      <c r="Z1791">
        <f>IF([2]Baskol!$J$1794="","",[2]Baskol!$J$1794)</f>
        <v/>
      </c>
      <c r="AA1791">
        <f>IF([2]Baskol!$K$1794="","",[2]Baskol!$K$1794)</f>
        <v/>
      </c>
      <c r="AB1791">
        <f>IF([2]Baskol!$L$1794="","",[2]Baskol!$L$1794)</f>
        <v/>
      </c>
      <c r="AC1791">
        <f>IF([2]Baskol!$N$1794="","",[2]Baskol!$N$1794)</f>
        <v/>
      </c>
      <c r="AD1791">
        <f>IF([2]Baskol!$O$1794="","",[2]Baskol!$O$1794)</f>
        <v/>
      </c>
      <c r="AE1791">
        <f>IF([3]Entry!$C$1794="","",[3]Entry!$C$1794)</f>
        <v/>
      </c>
      <c r="AF1791">
        <f>IF([3]Entry!$D$1794="","",[3]Entry!$D$1794)</f>
        <v/>
      </c>
      <c r="AG1791">
        <f>IF([3]Entry!$E$1794="","",[3]Entry!$E$1794)</f>
        <v/>
      </c>
      <c r="AH1791">
        <f>IF([3]Entry!$G$1794="","",[3]Entry!$G$1794)</f>
        <v/>
      </c>
      <c r="AI1791">
        <f>IF([3]Entry!$K$1794="","",[3]Entry!$K$1794)</f>
        <v/>
      </c>
      <c r="AJ1791">
        <f>IF([3]Entry!$L$1794="","",[3]Entry!$L$1794)</f>
        <v/>
      </c>
      <c r="AK1791">
        <f>IF([3]Entry!$M$1794="","",[3]Entry!$M$1794)</f>
        <v/>
      </c>
      <c r="AL1791">
        <f>IF([3]Entry!$N$1794="","",[3]Entry!$N$1794)</f>
        <v/>
      </c>
      <c r="AM1791">
        <f>IF([3]Entry!$R$1794="","",[3]Entry!$R$1794)</f>
        <v/>
      </c>
    </row>
    <row r="1792">
      <c r="T1792">
        <f>IF([2]Baskol!$B$1795="","",[2]Baskol!$B$1795)</f>
        <v/>
      </c>
      <c r="U1792">
        <f>IF([2]Baskol!$C$1795="","",[2]Baskol!$C$1795)</f>
        <v/>
      </c>
      <c r="V1792">
        <f>IF([2]Baskol!$D$1795="","",[2]Baskol!$D$1795)</f>
        <v/>
      </c>
      <c r="W1792">
        <f>IF([2]Baskol!$E$1795="","",[2]Baskol!$E$1795)</f>
        <v/>
      </c>
      <c r="X1792">
        <f>IF([2]Baskol!$G$1795="","",[2]Baskol!$G$1795)</f>
        <v/>
      </c>
      <c r="Y1792">
        <f>IF([2]Baskol!$I$1795="","",[2]Baskol!$I$1795)</f>
        <v/>
      </c>
      <c r="Z1792">
        <f>IF([2]Baskol!$J$1795="","",[2]Baskol!$J$1795)</f>
        <v/>
      </c>
      <c r="AA1792">
        <f>IF([2]Baskol!$K$1795="","",[2]Baskol!$K$1795)</f>
        <v/>
      </c>
      <c r="AB1792">
        <f>IF([2]Baskol!$L$1795="","",[2]Baskol!$L$1795)</f>
        <v/>
      </c>
      <c r="AC1792">
        <f>IF([2]Baskol!$N$1795="","",[2]Baskol!$N$1795)</f>
        <v/>
      </c>
      <c r="AD1792">
        <f>IF([2]Baskol!$O$1795="","",[2]Baskol!$O$1795)</f>
        <v/>
      </c>
      <c r="AE1792">
        <f>IF([3]Entry!$C$1795="","",[3]Entry!$C$1795)</f>
        <v/>
      </c>
      <c r="AF1792">
        <f>IF([3]Entry!$D$1795="","",[3]Entry!$D$1795)</f>
        <v/>
      </c>
      <c r="AG1792">
        <f>IF([3]Entry!$E$1795="","",[3]Entry!$E$1795)</f>
        <v/>
      </c>
      <c r="AH1792">
        <f>IF([3]Entry!$G$1795="","",[3]Entry!$G$1795)</f>
        <v/>
      </c>
      <c r="AI1792">
        <f>IF([3]Entry!$K$1795="","",[3]Entry!$K$1795)</f>
        <v/>
      </c>
      <c r="AJ1792">
        <f>IF([3]Entry!$L$1795="","",[3]Entry!$L$1795)</f>
        <v/>
      </c>
      <c r="AK1792">
        <f>IF([3]Entry!$M$1795="","",[3]Entry!$M$1795)</f>
        <v/>
      </c>
      <c r="AL1792">
        <f>IF([3]Entry!$N$1795="","",[3]Entry!$N$1795)</f>
        <v/>
      </c>
      <c r="AM1792">
        <f>IF([3]Entry!$R$1795="","",[3]Entry!$R$1795)</f>
        <v/>
      </c>
    </row>
    <row r="1793">
      <c r="T1793">
        <f>IF([2]Baskol!$B$1796="","",[2]Baskol!$B$1796)</f>
        <v/>
      </c>
      <c r="U1793">
        <f>IF([2]Baskol!$C$1796="","",[2]Baskol!$C$1796)</f>
        <v/>
      </c>
      <c r="V1793">
        <f>IF([2]Baskol!$D$1796="","",[2]Baskol!$D$1796)</f>
        <v/>
      </c>
      <c r="W1793">
        <f>IF([2]Baskol!$E$1796="","",[2]Baskol!$E$1796)</f>
        <v/>
      </c>
      <c r="X1793">
        <f>IF([2]Baskol!$G$1796="","",[2]Baskol!$G$1796)</f>
        <v/>
      </c>
      <c r="Y1793">
        <f>IF([2]Baskol!$I$1796="","",[2]Baskol!$I$1796)</f>
        <v/>
      </c>
      <c r="Z1793">
        <f>IF([2]Baskol!$J$1796="","",[2]Baskol!$J$1796)</f>
        <v/>
      </c>
      <c r="AA1793">
        <f>IF([2]Baskol!$K$1796="","",[2]Baskol!$K$1796)</f>
        <v/>
      </c>
      <c r="AB1793">
        <f>IF([2]Baskol!$L$1796="","",[2]Baskol!$L$1796)</f>
        <v/>
      </c>
      <c r="AC1793">
        <f>IF([2]Baskol!$N$1796="","",[2]Baskol!$N$1796)</f>
        <v/>
      </c>
      <c r="AD1793">
        <f>IF([2]Baskol!$O$1796="","",[2]Baskol!$O$1796)</f>
        <v/>
      </c>
      <c r="AE1793">
        <f>IF([3]Entry!$C$1796="","",[3]Entry!$C$1796)</f>
        <v/>
      </c>
      <c r="AF1793">
        <f>IF([3]Entry!$D$1796="","",[3]Entry!$D$1796)</f>
        <v/>
      </c>
      <c r="AG1793">
        <f>IF([3]Entry!$E$1796="","",[3]Entry!$E$1796)</f>
        <v/>
      </c>
      <c r="AH1793">
        <f>IF([3]Entry!$G$1796="","",[3]Entry!$G$1796)</f>
        <v/>
      </c>
      <c r="AI1793">
        <f>IF([3]Entry!$K$1796="","",[3]Entry!$K$1796)</f>
        <v/>
      </c>
      <c r="AJ1793">
        <f>IF([3]Entry!$L$1796="","",[3]Entry!$L$1796)</f>
        <v/>
      </c>
      <c r="AK1793">
        <f>IF([3]Entry!$M$1796="","",[3]Entry!$M$1796)</f>
        <v/>
      </c>
      <c r="AL1793">
        <f>IF([3]Entry!$N$1796="","",[3]Entry!$N$1796)</f>
        <v/>
      </c>
      <c r="AM1793">
        <f>IF([3]Entry!$R$1796="","",[3]Entry!$R$1796)</f>
        <v/>
      </c>
    </row>
    <row r="1794">
      <c r="T1794">
        <f>IF([2]Baskol!$B$1797="","",[2]Baskol!$B$1797)</f>
        <v/>
      </c>
      <c r="U1794">
        <f>IF([2]Baskol!$C$1797="","",[2]Baskol!$C$1797)</f>
        <v/>
      </c>
      <c r="V1794">
        <f>IF([2]Baskol!$D$1797="","",[2]Baskol!$D$1797)</f>
        <v/>
      </c>
      <c r="W1794">
        <f>IF([2]Baskol!$E$1797="","",[2]Baskol!$E$1797)</f>
        <v/>
      </c>
      <c r="X1794">
        <f>IF([2]Baskol!$G$1797="","",[2]Baskol!$G$1797)</f>
        <v/>
      </c>
      <c r="Y1794">
        <f>IF([2]Baskol!$I$1797="","",[2]Baskol!$I$1797)</f>
        <v/>
      </c>
      <c r="Z1794">
        <f>IF([2]Baskol!$J$1797="","",[2]Baskol!$J$1797)</f>
        <v/>
      </c>
      <c r="AA1794">
        <f>IF([2]Baskol!$K$1797="","",[2]Baskol!$K$1797)</f>
        <v/>
      </c>
      <c r="AB1794">
        <f>IF([2]Baskol!$L$1797="","",[2]Baskol!$L$1797)</f>
        <v/>
      </c>
      <c r="AC1794">
        <f>IF([2]Baskol!$N$1797="","",[2]Baskol!$N$1797)</f>
        <v/>
      </c>
      <c r="AD1794">
        <f>IF([2]Baskol!$O$1797="","",[2]Baskol!$O$1797)</f>
        <v/>
      </c>
      <c r="AE1794">
        <f>IF([3]Entry!$C$1797="","",[3]Entry!$C$1797)</f>
        <v/>
      </c>
      <c r="AF1794">
        <f>IF([3]Entry!$D$1797="","",[3]Entry!$D$1797)</f>
        <v/>
      </c>
      <c r="AG1794">
        <f>IF([3]Entry!$E$1797="","",[3]Entry!$E$1797)</f>
        <v/>
      </c>
      <c r="AH1794">
        <f>IF([3]Entry!$G$1797="","",[3]Entry!$G$1797)</f>
        <v/>
      </c>
      <c r="AI1794">
        <f>IF([3]Entry!$K$1797="","",[3]Entry!$K$1797)</f>
        <v/>
      </c>
      <c r="AJ1794">
        <f>IF([3]Entry!$L$1797="","",[3]Entry!$L$1797)</f>
        <v/>
      </c>
      <c r="AK1794">
        <f>IF([3]Entry!$M$1797="","",[3]Entry!$M$1797)</f>
        <v/>
      </c>
      <c r="AL1794">
        <f>IF([3]Entry!$N$1797="","",[3]Entry!$N$1797)</f>
        <v/>
      </c>
      <c r="AM1794">
        <f>IF([3]Entry!$R$1797="","",[3]Entry!$R$1797)</f>
        <v/>
      </c>
    </row>
    <row r="1795">
      <c r="T1795">
        <f>IF([2]Baskol!$B$1798="","",[2]Baskol!$B$1798)</f>
        <v/>
      </c>
      <c r="U1795">
        <f>IF([2]Baskol!$C$1798="","",[2]Baskol!$C$1798)</f>
        <v/>
      </c>
      <c r="V1795">
        <f>IF([2]Baskol!$D$1798="","",[2]Baskol!$D$1798)</f>
        <v/>
      </c>
      <c r="W1795">
        <f>IF([2]Baskol!$E$1798="","",[2]Baskol!$E$1798)</f>
        <v/>
      </c>
      <c r="X1795">
        <f>IF([2]Baskol!$G$1798="","",[2]Baskol!$G$1798)</f>
        <v/>
      </c>
      <c r="Y1795">
        <f>IF([2]Baskol!$I$1798="","",[2]Baskol!$I$1798)</f>
        <v/>
      </c>
      <c r="Z1795">
        <f>IF([2]Baskol!$J$1798="","",[2]Baskol!$J$1798)</f>
        <v/>
      </c>
      <c r="AA1795">
        <f>IF([2]Baskol!$K$1798="","",[2]Baskol!$K$1798)</f>
        <v/>
      </c>
      <c r="AB1795">
        <f>IF([2]Baskol!$L$1798="","",[2]Baskol!$L$1798)</f>
        <v/>
      </c>
      <c r="AC1795">
        <f>IF([2]Baskol!$N$1798="","",[2]Baskol!$N$1798)</f>
        <v/>
      </c>
      <c r="AD1795">
        <f>IF([2]Baskol!$O$1798="","",[2]Baskol!$O$1798)</f>
        <v/>
      </c>
      <c r="AE1795">
        <f>IF([3]Entry!$C$1798="","",[3]Entry!$C$1798)</f>
        <v/>
      </c>
      <c r="AF1795">
        <f>IF([3]Entry!$D$1798="","",[3]Entry!$D$1798)</f>
        <v/>
      </c>
      <c r="AG1795">
        <f>IF([3]Entry!$E$1798="","",[3]Entry!$E$1798)</f>
        <v/>
      </c>
      <c r="AH1795">
        <f>IF([3]Entry!$G$1798="","",[3]Entry!$G$1798)</f>
        <v/>
      </c>
      <c r="AI1795">
        <f>IF([3]Entry!$K$1798="","",[3]Entry!$K$1798)</f>
        <v/>
      </c>
      <c r="AJ1795">
        <f>IF([3]Entry!$L$1798="","",[3]Entry!$L$1798)</f>
        <v/>
      </c>
      <c r="AK1795">
        <f>IF([3]Entry!$M$1798="","",[3]Entry!$M$1798)</f>
        <v/>
      </c>
      <c r="AL1795">
        <f>IF([3]Entry!$N$1798="","",[3]Entry!$N$1798)</f>
        <v/>
      </c>
      <c r="AM1795">
        <f>IF([3]Entry!$R$1798="","",[3]Entry!$R$1798)</f>
        <v/>
      </c>
    </row>
    <row r="1796">
      <c r="T1796">
        <f>IF([2]Baskol!$B$1799="","",[2]Baskol!$B$1799)</f>
        <v/>
      </c>
      <c r="U1796">
        <f>IF([2]Baskol!$C$1799="","",[2]Baskol!$C$1799)</f>
        <v/>
      </c>
      <c r="V1796">
        <f>IF([2]Baskol!$D$1799="","",[2]Baskol!$D$1799)</f>
        <v/>
      </c>
      <c r="W1796">
        <f>IF([2]Baskol!$E$1799="","",[2]Baskol!$E$1799)</f>
        <v/>
      </c>
      <c r="X1796">
        <f>IF([2]Baskol!$G$1799="","",[2]Baskol!$G$1799)</f>
        <v/>
      </c>
      <c r="Y1796">
        <f>IF([2]Baskol!$I$1799="","",[2]Baskol!$I$1799)</f>
        <v/>
      </c>
      <c r="Z1796">
        <f>IF([2]Baskol!$J$1799="","",[2]Baskol!$J$1799)</f>
        <v/>
      </c>
      <c r="AA1796">
        <f>IF([2]Baskol!$K$1799="","",[2]Baskol!$K$1799)</f>
        <v/>
      </c>
      <c r="AB1796">
        <f>IF([2]Baskol!$L$1799="","",[2]Baskol!$L$1799)</f>
        <v/>
      </c>
      <c r="AC1796">
        <f>IF([2]Baskol!$N$1799="","",[2]Baskol!$N$1799)</f>
        <v/>
      </c>
      <c r="AD1796">
        <f>IF([2]Baskol!$O$1799="","",[2]Baskol!$O$1799)</f>
        <v/>
      </c>
      <c r="AE1796">
        <f>IF([3]Entry!$C$1799="","",[3]Entry!$C$1799)</f>
        <v/>
      </c>
      <c r="AF1796">
        <f>IF([3]Entry!$D$1799="","",[3]Entry!$D$1799)</f>
        <v/>
      </c>
      <c r="AG1796">
        <f>IF([3]Entry!$E$1799="","",[3]Entry!$E$1799)</f>
        <v/>
      </c>
      <c r="AH1796">
        <f>IF([3]Entry!$G$1799="","",[3]Entry!$G$1799)</f>
        <v/>
      </c>
      <c r="AI1796">
        <f>IF([3]Entry!$K$1799="","",[3]Entry!$K$1799)</f>
        <v/>
      </c>
      <c r="AJ1796">
        <f>IF([3]Entry!$L$1799="","",[3]Entry!$L$1799)</f>
        <v/>
      </c>
      <c r="AK1796">
        <f>IF([3]Entry!$M$1799="","",[3]Entry!$M$1799)</f>
        <v/>
      </c>
      <c r="AL1796">
        <f>IF([3]Entry!$N$1799="","",[3]Entry!$N$1799)</f>
        <v/>
      </c>
      <c r="AM1796">
        <f>IF([3]Entry!$R$1799="","",[3]Entry!$R$1799)</f>
        <v/>
      </c>
    </row>
    <row r="1797">
      <c r="T1797">
        <f>IF([2]Baskol!$B$1800="","",[2]Baskol!$B$1800)</f>
        <v/>
      </c>
      <c r="U1797">
        <f>IF([2]Baskol!$C$1800="","",[2]Baskol!$C$1800)</f>
        <v/>
      </c>
      <c r="V1797">
        <f>IF([2]Baskol!$D$1800="","",[2]Baskol!$D$1800)</f>
        <v/>
      </c>
      <c r="W1797">
        <f>IF([2]Baskol!$E$1800="","",[2]Baskol!$E$1800)</f>
        <v/>
      </c>
      <c r="X1797">
        <f>IF([2]Baskol!$G$1800="","",[2]Baskol!$G$1800)</f>
        <v/>
      </c>
      <c r="Y1797">
        <f>IF([2]Baskol!$I$1800="","",[2]Baskol!$I$1800)</f>
        <v/>
      </c>
      <c r="Z1797">
        <f>IF([2]Baskol!$J$1800="","",[2]Baskol!$J$1800)</f>
        <v/>
      </c>
      <c r="AA1797">
        <f>IF([2]Baskol!$K$1800="","",[2]Baskol!$K$1800)</f>
        <v/>
      </c>
      <c r="AB1797">
        <f>IF([2]Baskol!$L$1800="","",[2]Baskol!$L$1800)</f>
        <v/>
      </c>
      <c r="AC1797">
        <f>IF([2]Baskol!$N$1800="","",[2]Baskol!$N$1800)</f>
        <v/>
      </c>
      <c r="AD1797">
        <f>IF([2]Baskol!$O$1800="","",[2]Baskol!$O$1800)</f>
        <v/>
      </c>
      <c r="AE1797">
        <f>IF([3]Entry!$C$1800="","",[3]Entry!$C$1800)</f>
        <v/>
      </c>
      <c r="AF1797">
        <f>IF([3]Entry!$D$1800="","",[3]Entry!$D$1800)</f>
        <v/>
      </c>
      <c r="AG1797">
        <f>IF([3]Entry!$E$1800="","",[3]Entry!$E$1800)</f>
        <v/>
      </c>
      <c r="AH1797">
        <f>IF([3]Entry!$G$1800="","",[3]Entry!$G$1800)</f>
        <v/>
      </c>
      <c r="AI1797">
        <f>IF([3]Entry!$K$1800="","",[3]Entry!$K$1800)</f>
        <v/>
      </c>
      <c r="AJ1797">
        <f>IF([3]Entry!$L$1800="","",[3]Entry!$L$1800)</f>
        <v/>
      </c>
      <c r="AK1797">
        <f>IF([3]Entry!$M$1800="","",[3]Entry!$M$1800)</f>
        <v/>
      </c>
      <c r="AL1797">
        <f>IF([3]Entry!$N$1800="","",[3]Entry!$N$1800)</f>
        <v/>
      </c>
      <c r="AM1797">
        <f>IF([3]Entry!$R$1800="","",[3]Entry!$R$1800)</f>
        <v/>
      </c>
    </row>
    <row r="1798">
      <c r="T1798">
        <f>IF([2]Baskol!$B$1801="","",[2]Baskol!$B$1801)</f>
        <v/>
      </c>
      <c r="U1798">
        <f>IF([2]Baskol!$C$1801="","",[2]Baskol!$C$1801)</f>
        <v/>
      </c>
      <c r="V1798">
        <f>IF([2]Baskol!$D$1801="","",[2]Baskol!$D$1801)</f>
        <v/>
      </c>
      <c r="W1798">
        <f>IF([2]Baskol!$E$1801="","",[2]Baskol!$E$1801)</f>
        <v/>
      </c>
      <c r="X1798">
        <f>IF([2]Baskol!$G$1801="","",[2]Baskol!$G$1801)</f>
        <v/>
      </c>
      <c r="Y1798">
        <f>IF([2]Baskol!$I$1801="","",[2]Baskol!$I$1801)</f>
        <v/>
      </c>
      <c r="Z1798">
        <f>IF([2]Baskol!$J$1801="","",[2]Baskol!$J$1801)</f>
        <v/>
      </c>
      <c r="AA1798">
        <f>IF([2]Baskol!$K$1801="","",[2]Baskol!$K$1801)</f>
        <v/>
      </c>
      <c r="AB1798">
        <f>IF([2]Baskol!$L$1801="","",[2]Baskol!$L$1801)</f>
        <v/>
      </c>
      <c r="AC1798">
        <f>IF([2]Baskol!$N$1801="","",[2]Baskol!$N$1801)</f>
        <v/>
      </c>
      <c r="AD1798">
        <f>IF([2]Baskol!$O$1801="","",[2]Baskol!$O$1801)</f>
        <v/>
      </c>
      <c r="AE1798">
        <f>IF([3]Entry!$C$1801="","",[3]Entry!$C$1801)</f>
        <v/>
      </c>
      <c r="AF1798">
        <f>IF([3]Entry!$D$1801="","",[3]Entry!$D$1801)</f>
        <v/>
      </c>
      <c r="AG1798">
        <f>IF([3]Entry!$E$1801="","",[3]Entry!$E$1801)</f>
        <v/>
      </c>
      <c r="AH1798">
        <f>IF([3]Entry!$G$1801="","",[3]Entry!$G$1801)</f>
        <v/>
      </c>
      <c r="AI1798">
        <f>IF([3]Entry!$K$1801="","",[3]Entry!$K$1801)</f>
        <v/>
      </c>
      <c r="AJ1798">
        <f>IF([3]Entry!$L$1801="","",[3]Entry!$L$1801)</f>
        <v/>
      </c>
      <c r="AK1798">
        <f>IF([3]Entry!$M$1801="","",[3]Entry!$M$1801)</f>
        <v/>
      </c>
      <c r="AL1798">
        <f>IF([3]Entry!$N$1801="","",[3]Entry!$N$1801)</f>
        <v/>
      </c>
      <c r="AM1798">
        <f>IF([3]Entry!$R$1801="","",[3]Entry!$R$1801)</f>
        <v/>
      </c>
    </row>
    <row r="1799">
      <c r="T1799">
        <f>IF([2]Baskol!$B$1802="","",[2]Baskol!$B$1802)</f>
        <v/>
      </c>
      <c r="U1799">
        <f>IF([2]Baskol!$C$1802="","",[2]Baskol!$C$1802)</f>
        <v/>
      </c>
      <c r="V1799">
        <f>IF([2]Baskol!$D$1802="","",[2]Baskol!$D$1802)</f>
        <v/>
      </c>
      <c r="W1799">
        <f>IF([2]Baskol!$E$1802="","",[2]Baskol!$E$1802)</f>
        <v/>
      </c>
      <c r="X1799">
        <f>IF([2]Baskol!$G$1802="","",[2]Baskol!$G$1802)</f>
        <v/>
      </c>
      <c r="Y1799">
        <f>IF([2]Baskol!$I$1802="","",[2]Baskol!$I$1802)</f>
        <v/>
      </c>
      <c r="Z1799">
        <f>IF([2]Baskol!$J$1802="","",[2]Baskol!$J$1802)</f>
        <v/>
      </c>
      <c r="AA1799">
        <f>IF([2]Baskol!$K$1802="","",[2]Baskol!$K$1802)</f>
        <v/>
      </c>
      <c r="AB1799">
        <f>IF([2]Baskol!$L$1802="","",[2]Baskol!$L$1802)</f>
        <v/>
      </c>
      <c r="AC1799">
        <f>IF([2]Baskol!$N$1802="","",[2]Baskol!$N$1802)</f>
        <v/>
      </c>
      <c r="AD1799">
        <f>IF([2]Baskol!$O$1802="","",[2]Baskol!$O$1802)</f>
        <v/>
      </c>
      <c r="AE1799">
        <f>IF([3]Entry!$C$1802="","",[3]Entry!$C$1802)</f>
        <v/>
      </c>
      <c r="AF1799">
        <f>IF([3]Entry!$D$1802="","",[3]Entry!$D$1802)</f>
        <v/>
      </c>
      <c r="AG1799">
        <f>IF([3]Entry!$E$1802="","",[3]Entry!$E$1802)</f>
        <v/>
      </c>
      <c r="AH1799">
        <f>IF([3]Entry!$G$1802="","",[3]Entry!$G$1802)</f>
        <v/>
      </c>
      <c r="AI1799">
        <f>IF([3]Entry!$K$1802="","",[3]Entry!$K$1802)</f>
        <v/>
      </c>
      <c r="AJ1799">
        <f>IF([3]Entry!$L$1802="","",[3]Entry!$L$1802)</f>
        <v/>
      </c>
      <c r="AK1799">
        <f>IF([3]Entry!$M$1802="","",[3]Entry!$M$1802)</f>
        <v/>
      </c>
      <c r="AL1799">
        <f>IF([3]Entry!$N$1802="","",[3]Entry!$N$1802)</f>
        <v/>
      </c>
      <c r="AM1799">
        <f>IF([3]Entry!$R$1802="","",[3]Entry!$R$1802)</f>
        <v/>
      </c>
    </row>
    <row r="1800">
      <c r="T1800">
        <f>IF([2]Baskol!$B$1803="","",[2]Baskol!$B$1803)</f>
        <v/>
      </c>
      <c r="U1800">
        <f>IF([2]Baskol!$C$1803="","",[2]Baskol!$C$1803)</f>
        <v/>
      </c>
      <c r="V1800">
        <f>IF([2]Baskol!$D$1803="","",[2]Baskol!$D$1803)</f>
        <v/>
      </c>
      <c r="W1800">
        <f>IF([2]Baskol!$E$1803="","",[2]Baskol!$E$1803)</f>
        <v/>
      </c>
      <c r="X1800">
        <f>IF([2]Baskol!$G$1803="","",[2]Baskol!$G$1803)</f>
        <v/>
      </c>
      <c r="Y1800">
        <f>IF([2]Baskol!$I$1803="","",[2]Baskol!$I$1803)</f>
        <v/>
      </c>
      <c r="Z1800">
        <f>IF([2]Baskol!$J$1803="","",[2]Baskol!$J$1803)</f>
        <v/>
      </c>
      <c r="AA1800">
        <f>IF([2]Baskol!$K$1803="","",[2]Baskol!$K$1803)</f>
        <v/>
      </c>
      <c r="AB1800">
        <f>IF([2]Baskol!$L$1803="","",[2]Baskol!$L$1803)</f>
        <v/>
      </c>
      <c r="AC1800">
        <f>IF([2]Baskol!$N$1803="","",[2]Baskol!$N$1803)</f>
        <v/>
      </c>
      <c r="AD1800">
        <f>IF([2]Baskol!$O$1803="","",[2]Baskol!$O$1803)</f>
        <v/>
      </c>
      <c r="AE1800">
        <f>IF([3]Entry!$C$1803="","",[3]Entry!$C$1803)</f>
        <v/>
      </c>
      <c r="AF1800">
        <f>IF([3]Entry!$D$1803="","",[3]Entry!$D$1803)</f>
        <v/>
      </c>
      <c r="AG1800">
        <f>IF([3]Entry!$E$1803="","",[3]Entry!$E$1803)</f>
        <v/>
      </c>
      <c r="AH1800">
        <f>IF([3]Entry!$G$1803="","",[3]Entry!$G$1803)</f>
        <v/>
      </c>
      <c r="AI1800">
        <f>IF([3]Entry!$K$1803="","",[3]Entry!$K$1803)</f>
        <v/>
      </c>
      <c r="AJ1800">
        <f>IF([3]Entry!$L$1803="","",[3]Entry!$L$1803)</f>
        <v/>
      </c>
      <c r="AK1800">
        <f>IF([3]Entry!$M$1803="","",[3]Entry!$M$1803)</f>
        <v/>
      </c>
      <c r="AL1800">
        <f>IF([3]Entry!$N$1803="","",[3]Entry!$N$1803)</f>
        <v/>
      </c>
      <c r="AM1800">
        <f>IF([3]Entry!$R$1803="","",[3]Entry!$R$1803)</f>
        <v/>
      </c>
    </row>
    <row r="1801">
      <c r="T1801">
        <f>IF([2]Baskol!$B$1804="","",[2]Baskol!$B$1804)</f>
        <v/>
      </c>
      <c r="U1801">
        <f>IF([2]Baskol!$C$1804="","",[2]Baskol!$C$1804)</f>
        <v/>
      </c>
      <c r="V1801">
        <f>IF([2]Baskol!$D$1804="","",[2]Baskol!$D$1804)</f>
        <v/>
      </c>
      <c r="W1801">
        <f>IF([2]Baskol!$E$1804="","",[2]Baskol!$E$1804)</f>
        <v/>
      </c>
      <c r="X1801">
        <f>IF([2]Baskol!$G$1804="","",[2]Baskol!$G$1804)</f>
        <v/>
      </c>
      <c r="Y1801">
        <f>IF([2]Baskol!$I$1804="","",[2]Baskol!$I$1804)</f>
        <v/>
      </c>
      <c r="Z1801">
        <f>IF([2]Baskol!$J$1804="","",[2]Baskol!$J$1804)</f>
        <v/>
      </c>
      <c r="AA1801">
        <f>IF([2]Baskol!$K$1804="","",[2]Baskol!$K$1804)</f>
        <v/>
      </c>
      <c r="AB1801">
        <f>IF([2]Baskol!$L$1804="","",[2]Baskol!$L$1804)</f>
        <v/>
      </c>
      <c r="AC1801">
        <f>IF([2]Baskol!$N$1804="","",[2]Baskol!$N$1804)</f>
        <v/>
      </c>
      <c r="AD1801">
        <f>IF([2]Baskol!$O$1804="","",[2]Baskol!$O$1804)</f>
        <v/>
      </c>
      <c r="AE1801">
        <f>IF([3]Entry!$C$1804="","",[3]Entry!$C$1804)</f>
        <v/>
      </c>
      <c r="AF1801">
        <f>IF([3]Entry!$D$1804="","",[3]Entry!$D$1804)</f>
        <v/>
      </c>
      <c r="AG1801">
        <f>IF([3]Entry!$E$1804="","",[3]Entry!$E$1804)</f>
        <v/>
      </c>
      <c r="AH1801">
        <f>IF([3]Entry!$G$1804="","",[3]Entry!$G$1804)</f>
        <v/>
      </c>
      <c r="AI1801">
        <f>IF([3]Entry!$K$1804="","",[3]Entry!$K$1804)</f>
        <v/>
      </c>
      <c r="AJ1801">
        <f>IF([3]Entry!$L$1804="","",[3]Entry!$L$1804)</f>
        <v/>
      </c>
      <c r="AK1801">
        <f>IF([3]Entry!$M$1804="","",[3]Entry!$M$1804)</f>
        <v/>
      </c>
      <c r="AL1801">
        <f>IF([3]Entry!$N$1804="","",[3]Entry!$N$1804)</f>
        <v/>
      </c>
      <c r="AM1801">
        <f>IF([3]Entry!$R$1804="","",[3]Entry!$R$1804)</f>
        <v/>
      </c>
    </row>
    <row r="1802">
      <c r="T1802">
        <f>IF([2]Baskol!$B$1805="","",[2]Baskol!$B$1805)</f>
        <v/>
      </c>
      <c r="U1802">
        <f>IF([2]Baskol!$C$1805="","",[2]Baskol!$C$1805)</f>
        <v/>
      </c>
      <c r="V1802">
        <f>IF([2]Baskol!$D$1805="","",[2]Baskol!$D$1805)</f>
        <v/>
      </c>
      <c r="W1802">
        <f>IF([2]Baskol!$E$1805="","",[2]Baskol!$E$1805)</f>
        <v/>
      </c>
      <c r="X1802">
        <f>IF([2]Baskol!$G$1805="","",[2]Baskol!$G$1805)</f>
        <v/>
      </c>
      <c r="Y1802">
        <f>IF([2]Baskol!$I$1805="","",[2]Baskol!$I$1805)</f>
        <v/>
      </c>
      <c r="Z1802">
        <f>IF([2]Baskol!$J$1805="","",[2]Baskol!$J$1805)</f>
        <v/>
      </c>
      <c r="AA1802">
        <f>IF([2]Baskol!$K$1805="","",[2]Baskol!$K$1805)</f>
        <v/>
      </c>
      <c r="AB1802">
        <f>IF([2]Baskol!$L$1805="","",[2]Baskol!$L$1805)</f>
        <v/>
      </c>
      <c r="AC1802">
        <f>IF([2]Baskol!$N$1805="","",[2]Baskol!$N$1805)</f>
        <v/>
      </c>
      <c r="AD1802">
        <f>IF([2]Baskol!$O$1805="","",[2]Baskol!$O$1805)</f>
        <v/>
      </c>
      <c r="AE1802">
        <f>IF([3]Entry!$C$1805="","",[3]Entry!$C$1805)</f>
        <v/>
      </c>
      <c r="AF1802">
        <f>IF([3]Entry!$D$1805="","",[3]Entry!$D$1805)</f>
        <v/>
      </c>
      <c r="AG1802">
        <f>IF([3]Entry!$E$1805="","",[3]Entry!$E$1805)</f>
        <v/>
      </c>
      <c r="AH1802">
        <f>IF([3]Entry!$G$1805="","",[3]Entry!$G$1805)</f>
        <v/>
      </c>
      <c r="AI1802">
        <f>IF([3]Entry!$K$1805="","",[3]Entry!$K$1805)</f>
        <v/>
      </c>
      <c r="AJ1802">
        <f>IF([3]Entry!$L$1805="","",[3]Entry!$L$1805)</f>
        <v/>
      </c>
      <c r="AK1802">
        <f>IF([3]Entry!$M$1805="","",[3]Entry!$M$1805)</f>
        <v/>
      </c>
      <c r="AL1802">
        <f>IF([3]Entry!$N$1805="","",[3]Entry!$N$1805)</f>
        <v/>
      </c>
      <c r="AM1802">
        <f>IF([3]Entry!$R$1805="","",[3]Entry!$R$1805)</f>
        <v/>
      </c>
    </row>
    <row r="1803">
      <c r="T1803">
        <f>IF([2]Baskol!$B$1806="","",[2]Baskol!$B$1806)</f>
        <v/>
      </c>
      <c r="U1803">
        <f>IF([2]Baskol!$C$1806="","",[2]Baskol!$C$1806)</f>
        <v/>
      </c>
      <c r="V1803">
        <f>IF([2]Baskol!$D$1806="","",[2]Baskol!$D$1806)</f>
        <v/>
      </c>
      <c r="W1803">
        <f>IF([2]Baskol!$E$1806="","",[2]Baskol!$E$1806)</f>
        <v/>
      </c>
      <c r="X1803">
        <f>IF([2]Baskol!$G$1806="","",[2]Baskol!$G$1806)</f>
        <v/>
      </c>
      <c r="Y1803">
        <f>IF([2]Baskol!$I$1806="","",[2]Baskol!$I$1806)</f>
        <v/>
      </c>
      <c r="Z1803">
        <f>IF([2]Baskol!$J$1806="","",[2]Baskol!$J$1806)</f>
        <v/>
      </c>
      <c r="AA1803">
        <f>IF([2]Baskol!$K$1806="","",[2]Baskol!$K$1806)</f>
        <v/>
      </c>
      <c r="AB1803">
        <f>IF([2]Baskol!$L$1806="","",[2]Baskol!$L$1806)</f>
        <v/>
      </c>
      <c r="AC1803">
        <f>IF([2]Baskol!$N$1806="","",[2]Baskol!$N$1806)</f>
        <v/>
      </c>
      <c r="AD1803">
        <f>IF([2]Baskol!$O$1806="","",[2]Baskol!$O$1806)</f>
        <v/>
      </c>
      <c r="AE1803">
        <f>IF([3]Entry!$C$1806="","",[3]Entry!$C$1806)</f>
        <v/>
      </c>
      <c r="AF1803">
        <f>IF([3]Entry!$D$1806="","",[3]Entry!$D$1806)</f>
        <v/>
      </c>
      <c r="AG1803">
        <f>IF([3]Entry!$E$1806="","",[3]Entry!$E$1806)</f>
        <v/>
      </c>
      <c r="AH1803">
        <f>IF([3]Entry!$G$1806="","",[3]Entry!$G$1806)</f>
        <v/>
      </c>
      <c r="AI1803">
        <f>IF([3]Entry!$K$1806="","",[3]Entry!$K$1806)</f>
        <v/>
      </c>
      <c r="AJ1803">
        <f>IF([3]Entry!$L$1806="","",[3]Entry!$L$1806)</f>
        <v/>
      </c>
      <c r="AK1803">
        <f>IF([3]Entry!$M$1806="","",[3]Entry!$M$1806)</f>
        <v/>
      </c>
      <c r="AL1803">
        <f>IF([3]Entry!$N$1806="","",[3]Entry!$N$1806)</f>
        <v/>
      </c>
      <c r="AM1803">
        <f>IF([3]Entry!$R$1806="","",[3]Entry!$R$1806)</f>
        <v/>
      </c>
    </row>
    <row r="1804">
      <c r="T1804">
        <f>IF([2]Baskol!$B$1807="","",[2]Baskol!$B$1807)</f>
        <v/>
      </c>
      <c r="U1804">
        <f>IF([2]Baskol!$C$1807="","",[2]Baskol!$C$1807)</f>
        <v/>
      </c>
      <c r="V1804">
        <f>IF([2]Baskol!$D$1807="","",[2]Baskol!$D$1807)</f>
        <v/>
      </c>
      <c r="W1804">
        <f>IF([2]Baskol!$E$1807="","",[2]Baskol!$E$1807)</f>
        <v/>
      </c>
      <c r="X1804">
        <f>IF([2]Baskol!$G$1807="","",[2]Baskol!$G$1807)</f>
        <v/>
      </c>
      <c r="Y1804">
        <f>IF([2]Baskol!$I$1807="","",[2]Baskol!$I$1807)</f>
        <v/>
      </c>
      <c r="Z1804">
        <f>IF([2]Baskol!$J$1807="","",[2]Baskol!$J$1807)</f>
        <v/>
      </c>
      <c r="AA1804">
        <f>IF([2]Baskol!$K$1807="","",[2]Baskol!$K$1807)</f>
        <v/>
      </c>
      <c r="AB1804">
        <f>IF([2]Baskol!$L$1807="","",[2]Baskol!$L$1807)</f>
        <v/>
      </c>
      <c r="AC1804">
        <f>IF([2]Baskol!$N$1807="","",[2]Baskol!$N$1807)</f>
        <v/>
      </c>
      <c r="AD1804">
        <f>IF([2]Baskol!$O$1807="","",[2]Baskol!$O$1807)</f>
        <v/>
      </c>
      <c r="AE1804">
        <f>IF([3]Entry!$C$1807="","",[3]Entry!$C$1807)</f>
        <v/>
      </c>
      <c r="AF1804">
        <f>IF([3]Entry!$D$1807="","",[3]Entry!$D$1807)</f>
        <v/>
      </c>
      <c r="AG1804">
        <f>IF([3]Entry!$E$1807="","",[3]Entry!$E$1807)</f>
        <v/>
      </c>
      <c r="AH1804">
        <f>IF([3]Entry!$G$1807="","",[3]Entry!$G$1807)</f>
        <v/>
      </c>
      <c r="AI1804">
        <f>IF([3]Entry!$K$1807="","",[3]Entry!$K$1807)</f>
        <v/>
      </c>
      <c r="AJ1804">
        <f>IF([3]Entry!$L$1807="","",[3]Entry!$L$1807)</f>
        <v/>
      </c>
      <c r="AK1804">
        <f>IF([3]Entry!$M$1807="","",[3]Entry!$M$1807)</f>
        <v/>
      </c>
      <c r="AL1804">
        <f>IF([3]Entry!$N$1807="","",[3]Entry!$N$1807)</f>
        <v/>
      </c>
      <c r="AM1804">
        <f>IF([3]Entry!$R$1807="","",[3]Entry!$R$1807)</f>
        <v/>
      </c>
    </row>
    <row r="1805">
      <c r="T1805">
        <f>IF([2]Baskol!$B$1808="","",[2]Baskol!$B$1808)</f>
        <v/>
      </c>
      <c r="U1805">
        <f>IF([2]Baskol!$C$1808="","",[2]Baskol!$C$1808)</f>
        <v/>
      </c>
      <c r="V1805">
        <f>IF([2]Baskol!$D$1808="","",[2]Baskol!$D$1808)</f>
        <v/>
      </c>
      <c r="W1805">
        <f>IF([2]Baskol!$E$1808="","",[2]Baskol!$E$1808)</f>
        <v/>
      </c>
      <c r="X1805">
        <f>IF([2]Baskol!$G$1808="","",[2]Baskol!$G$1808)</f>
        <v/>
      </c>
      <c r="Y1805">
        <f>IF([2]Baskol!$I$1808="","",[2]Baskol!$I$1808)</f>
        <v/>
      </c>
      <c r="Z1805">
        <f>IF([2]Baskol!$J$1808="","",[2]Baskol!$J$1808)</f>
        <v/>
      </c>
      <c r="AA1805">
        <f>IF([2]Baskol!$K$1808="","",[2]Baskol!$K$1808)</f>
        <v/>
      </c>
      <c r="AB1805">
        <f>IF([2]Baskol!$L$1808="","",[2]Baskol!$L$1808)</f>
        <v/>
      </c>
      <c r="AC1805">
        <f>IF([2]Baskol!$N$1808="","",[2]Baskol!$N$1808)</f>
        <v/>
      </c>
      <c r="AD1805">
        <f>IF([2]Baskol!$O$1808="","",[2]Baskol!$O$1808)</f>
        <v/>
      </c>
      <c r="AE1805">
        <f>IF([3]Entry!$C$1808="","",[3]Entry!$C$1808)</f>
        <v/>
      </c>
      <c r="AF1805">
        <f>IF([3]Entry!$D$1808="","",[3]Entry!$D$1808)</f>
        <v/>
      </c>
      <c r="AG1805">
        <f>IF([3]Entry!$E$1808="","",[3]Entry!$E$1808)</f>
        <v/>
      </c>
      <c r="AH1805">
        <f>IF([3]Entry!$G$1808="","",[3]Entry!$G$1808)</f>
        <v/>
      </c>
      <c r="AI1805">
        <f>IF([3]Entry!$K$1808="","",[3]Entry!$K$1808)</f>
        <v/>
      </c>
      <c r="AJ1805">
        <f>IF([3]Entry!$L$1808="","",[3]Entry!$L$1808)</f>
        <v/>
      </c>
      <c r="AK1805">
        <f>IF([3]Entry!$M$1808="","",[3]Entry!$M$1808)</f>
        <v/>
      </c>
      <c r="AL1805">
        <f>IF([3]Entry!$N$1808="","",[3]Entry!$N$1808)</f>
        <v/>
      </c>
      <c r="AM1805">
        <f>IF([3]Entry!$R$1808="","",[3]Entry!$R$1808)</f>
        <v/>
      </c>
    </row>
    <row r="1806">
      <c r="T1806">
        <f>IF([2]Baskol!$B$1809="","",[2]Baskol!$B$1809)</f>
        <v/>
      </c>
      <c r="U1806">
        <f>IF([2]Baskol!$C$1809="","",[2]Baskol!$C$1809)</f>
        <v/>
      </c>
      <c r="V1806">
        <f>IF([2]Baskol!$D$1809="","",[2]Baskol!$D$1809)</f>
        <v/>
      </c>
      <c r="W1806">
        <f>IF([2]Baskol!$E$1809="","",[2]Baskol!$E$1809)</f>
        <v/>
      </c>
      <c r="X1806">
        <f>IF([2]Baskol!$G$1809="","",[2]Baskol!$G$1809)</f>
        <v/>
      </c>
      <c r="Y1806">
        <f>IF([2]Baskol!$I$1809="","",[2]Baskol!$I$1809)</f>
        <v/>
      </c>
      <c r="Z1806">
        <f>IF([2]Baskol!$J$1809="","",[2]Baskol!$J$1809)</f>
        <v/>
      </c>
      <c r="AA1806">
        <f>IF([2]Baskol!$K$1809="","",[2]Baskol!$K$1809)</f>
        <v/>
      </c>
      <c r="AB1806">
        <f>IF([2]Baskol!$L$1809="","",[2]Baskol!$L$1809)</f>
        <v/>
      </c>
      <c r="AC1806">
        <f>IF([2]Baskol!$N$1809="","",[2]Baskol!$N$1809)</f>
        <v/>
      </c>
      <c r="AD1806">
        <f>IF([2]Baskol!$O$1809="","",[2]Baskol!$O$1809)</f>
        <v/>
      </c>
      <c r="AE1806">
        <f>IF([3]Entry!$C$1809="","",[3]Entry!$C$1809)</f>
        <v/>
      </c>
      <c r="AF1806">
        <f>IF([3]Entry!$D$1809="","",[3]Entry!$D$1809)</f>
        <v/>
      </c>
      <c r="AG1806">
        <f>IF([3]Entry!$E$1809="","",[3]Entry!$E$1809)</f>
        <v/>
      </c>
      <c r="AH1806">
        <f>IF([3]Entry!$G$1809="","",[3]Entry!$G$1809)</f>
        <v/>
      </c>
      <c r="AI1806">
        <f>IF([3]Entry!$K$1809="","",[3]Entry!$K$1809)</f>
        <v/>
      </c>
      <c r="AJ1806">
        <f>IF([3]Entry!$L$1809="","",[3]Entry!$L$1809)</f>
        <v/>
      </c>
      <c r="AK1806">
        <f>IF([3]Entry!$M$1809="","",[3]Entry!$M$1809)</f>
        <v/>
      </c>
      <c r="AL1806">
        <f>IF([3]Entry!$N$1809="","",[3]Entry!$N$1809)</f>
        <v/>
      </c>
      <c r="AM1806">
        <f>IF([3]Entry!$R$1809="","",[3]Entry!$R$1809)</f>
        <v/>
      </c>
    </row>
    <row r="1807">
      <c r="T1807">
        <f>IF([2]Baskol!$B$1810="","",[2]Baskol!$B$1810)</f>
        <v/>
      </c>
      <c r="U1807">
        <f>IF([2]Baskol!$C$1810="","",[2]Baskol!$C$1810)</f>
        <v/>
      </c>
      <c r="V1807">
        <f>IF([2]Baskol!$D$1810="","",[2]Baskol!$D$1810)</f>
        <v/>
      </c>
      <c r="W1807">
        <f>IF([2]Baskol!$E$1810="","",[2]Baskol!$E$1810)</f>
        <v/>
      </c>
      <c r="X1807">
        <f>IF([2]Baskol!$G$1810="","",[2]Baskol!$G$1810)</f>
        <v/>
      </c>
      <c r="Y1807">
        <f>IF([2]Baskol!$I$1810="","",[2]Baskol!$I$1810)</f>
        <v/>
      </c>
      <c r="Z1807">
        <f>IF([2]Baskol!$J$1810="","",[2]Baskol!$J$1810)</f>
        <v/>
      </c>
      <c r="AA1807">
        <f>IF([2]Baskol!$K$1810="","",[2]Baskol!$K$1810)</f>
        <v/>
      </c>
      <c r="AB1807">
        <f>IF([2]Baskol!$L$1810="","",[2]Baskol!$L$1810)</f>
        <v/>
      </c>
      <c r="AC1807">
        <f>IF([2]Baskol!$N$1810="","",[2]Baskol!$N$1810)</f>
        <v/>
      </c>
      <c r="AD1807">
        <f>IF([2]Baskol!$O$1810="","",[2]Baskol!$O$1810)</f>
        <v/>
      </c>
      <c r="AE1807">
        <f>IF([3]Entry!$C$1810="","",[3]Entry!$C$1810)</f>
        <v/>
      </c>
      <c r="AF1807">
        <f>IF([3]Entry!$D$1810="","",[3]Entry!$D$1810)</f>
        <v/>
      </c>
      <c r="AG1807">
        <f>IF([3]Entry!$E$1810="","",[3]Entry!$E$1810)</f>
        <v/>
      </c>
      <c r="AH1807">
        <f>IF([3]Entry!$G$1810="","",[3]Entry!$G$1810)</f>
        <v/>
      </c>
      <c r="AI1807">
        <f>IF([3]Entry!$K$1810="","",[3]Entry!$K$1810)</f>
        <v/>
      </c>
      <c r="AJ1807">
        <f>IF([3]Entry!$L$1810="","",[3]Entry!$L$1810)</f>
        <v/>
      </c>
      <c r="AK1807">
        <f>IF([3]Entry!$M$1810="","",[3]Entry!$M$1810)</f>
        <v/>
      </c>
      <c r="AL1807">
        <f>IF([3]Entry!$N$1810="","",[3]Entry!$N$1810)</f>
        <v/>
      </c>
      <c r="AM1807">
        <f>IF([3]Entry!$R$1810="","",[3]Entry!$R$1810)</f>
        <v/>
      </c>
    </row>
    <row r="1808">
      <c r="T1808">
        <f>IF([2]Baskol!$B$1811="","",[2]Baskol!$B$1811)</f>
        <v/>
      </c>
      <c r="U1808">
        <f>IF([2]Baskol!$C$1811="","",[2]Baskol!$C$1811)</f>
        <v/>
      </c>
      <c r="V1808">
        <f>IF([2]Baskol!$D$1811="","",[2]Baskol!$D$1811)</f>
        <v/>
      </c>
      <c r="W1808">
        <f>IF([2]Baskol!$E$1811="","",[2]Baskol!$E$1811)</f>
        <v/>
      </c>
      <c r="X1808">
        <f>IF([2]Baskol!$G$1811="","",[2]Baskol!$G$1811)</f>
        <v/>
      </c>
      <c r="Y1808">
        <f>IF([2]Baskol!$I$1811="","",[2]Baskol!$I$1811)</f>
        <v/>
      </c>
      <c r="Z1808">
        <f>IF([2]Baskol!$J$1811="","",[2]Baskol!$J$1811)</f>
        <v/>
      </c>
      <c r="AA1808">
        <f>IF([2]Baskol!$K$1811="","",[2]Baskol!$K$1811)</f>
        <v/>
      </c>
      <c r="AB1808">
        <f>IF([2]Baskol!$L$1811="","",[2]Baskol!$L$1811)</f>
        <v/>
      </c>
      <c r="AC1808">
        <f>IF([2]Baskol!$N$1811="","",[2]Baskol!$N$1811)</f>
        <v/>
      </c>
      <c r="AD1808">
        <f>IF([2]Baskol!$O$1811="","",[2]Baskol!$O$1811)</f>
        <v/>
      </c>
      <c r="AE1808">
        <f>IF([3]Entry!$C$1811="","",[3]Entry!$C$1811)</f>
        <v/>
      </c>
      <c r="AF1808">
        <f>IF([3]Entry!$D$1811="","",[3]Entry!$D$1811)</f>
        <v/>
      </c>
      <c r="AG1808">
        <f>IF([3]Entry!$E$1811="","",[3]Entry!$E$1811)</f>
        <v/>
      </c>
      <c r="AH1808">
        <f>IF([3]Entry!$G$1811="","",[3]Entry!$G$1811)</f>
        <v/>
      </c>
      <c r="AI1808">
        <f>IF([3]Entry!$K$1811="","",[3]Entry!$K$1811)</f>
        <v/>
      </c>
      <c r="AJ1808">
        <f>IF([3]Entry!$L$1811="","",[3]Entry!$L$1811)</f>
        <v/>
      </c>
      <c r="AK1808">
        <f>IF([3]Entry!$M$1811="","",[3]Entry!$M$1811)</f>
        <v/>
      </c>
      <c r="AL1808">
        <f>IF([3]Entry!$N$1811="","",[3]Entry!$N$1811)</f>
        <v/>
      </c>
      <c r="AM1808">
        <f>IF([3]Entry!$R$1811="","",[3]Entry!$R$1811)</f>
        <v/>
      </c>
    </row>
    <row r="1809">
      <c r="T1809">
        <f>IF([2]Baskol!$B$1812="","",[2]Baskol!$B$1812)</f>
        <v/>
      </c>
      <c r="U1809">
        <f>IF([2]Baskol!$C$1812="","",[2]Baskol!$C$1812)</f>
        <v/>
      </c>
      <c r="V1809">
        <f>IF([2]Baskol!$D$1812="","",[2]Baskol!$D$1812)</f>
        <v/>
      </c>
      <c r="W1809">
        <f>IF([2]Baskol!$E$1812="","",[2]Baskol!$E$1812)</f>
        <v/>
      </c>
      <c r="X1809">
        <f>IF([2]Baskol!$G$1812="","",[2]Baskol!$G$1812)</f>
        <v/>
      </c>
      <c r="Y1809">
        <f>IF([2]Baskol!$I$1812="","",[2]Baskol!$I$1812)</f>
        <v/>
      </c>
      <c r="Z1809">
        <f>IF([2]Baskol!$J$1812="","",[2]Baskol!$J$1812)</f>
        <v/>
      </c>
      <c r="AA1809">
        <f>IF([2]Baskol!$K$1812="","",[2]Baskol!$K$1812)</f>
        <v/>
      </c>
      <c r="AB1809">
        <f>IF([2]Baskol!$L$1812="","",[2]Baskol!$L$1812)</f>
        <v/>
      </c>
      <c r="AC1809">
        <f>IF([2]Baskol!$N$1812="","",[2]Baskol!$N$1812)</f>
        <v/>
      </c>
      <c r="AD1809">
        <f>IF([2]Baskol!$O$1812="","",[2]Baskol!$O$1812)</f>
        <v/>
      </c>
      <c r="AE1809">
        <f>IF([3]Entry!$C$1812="","",[3]Entry!$C$1812)</f>
        <v/>
      </c>
      <c r="AF1809">
        <f>IF([3]Entry!$D$1812="","",[3]Entry!$D$1812)</f>
        <v/>
      </c>
      <c r="AG1809">
        <f>IF([3]Entry!$E$1812="","",[3]Entry!$E$1812)</f>
        <v/>
      </c>
      <c r="AH1809">
        <f>IF([3]Entry!$G$1812="","",[3]Entry!$G$1812)</f>
        <v/>
      </c>
      <c r="AI1809">
        <f>IF([3]Entry!$K$1812="","",[3]Entry!$K$1812)</f>
        <v/>
      </c>
      <c r="AJ1809">
        <f>IF([3]Entry!$L$1812="","",[3]Entry!$L$1812)</f>
        <v/>
      </c>
      <c r="AK1809">
        <f>IF([3]Entry!$M$1812="","",[3]Entry!$M$1812)</f>
        <v/>
      </c>
      <c r="AL1809">
        <f>IF([3]Entry!$N$1812="","",[3]Entry!$N$1812)</f>
        <v/>
      </c>
      <c r="AM1809">
        <f>IF([3]Entry!$R$1812="","",[3]Entry!$R$1812)</f>
        <v/>
      </c>
    </row>
    <row r="1810">
      <c r="T1810">
        <f>IF([2]Baskol!$B$1813="","",[2]Baskol!$B$1813)</f>
        <v/>
      </c>
      <c r="U1810">
        <f>IF([2]Baskol!$C$1813="","",[2]Baskol!$C$1813)</f>
        <v/>
      </c>
      <c r="V1810">
        <f>IF([2]Baskol!$D$1813="","",[2]Baskol!$D$1813)</f>
        <v/>
      </c>
      <c r="W1810">
        <f>IF([2]Baskol!$E$1813="","",[2]Baskol!$E$1813)</f>
        <v/>
      </c>
      <c r="X1810">
        <f>IF([2]Baskol!$G$1813="","",[2]Baskol!$G$1813)</f>
        <v/>
      </c>
      <c r="Y1810">
        <f>IF([2]Baskol!$I$1813="","",[2]Baskol!$I$1813)</f>
        <v/>
      </c>
      <c r="Z1810">
        <f>IF([2]Baskol!$J$1813="","",[2]Baskol!$J$1813)</f>
        <v/>
      </c>
      <c r="AA1810">
        <f>IF([2]Baskol!$K$1813="","",[2]Baskol!$K$1813)</f>
        <v/>
      </c>
      <c r="AB1810">
        <f>IF([2]Baskol!$L$1813="","",[2]Baskol!$L$1813)</f>
        <v/>
      </c>
      <c r="AC1810">
        <f>IF([2]Baskol!$N$1813="","",[2]Baskol!$N$1813)</f>
        <v/>
      </c>
      <c r="AD1810">
        <f>IF([2]Baskol!$O$1813="","",[2]Baskol!$O$1813)</f>
        <v/>
      </c>
      <c r="AE1810">
        <f>IF([3]Entry!$C$1813="","",[3]Entry!$C$1813)</f>
        <v/>
      </c>
      <c r="AF1810">
        <f>IF([3]Entry!$D$1813="","",[3]Entry!$D$1813)</f>
        <v/>
      </c>
      <c r="AG1810">
        <f>IF([3]Entry!$E$1813="","",[3]Entry!$E$1813)</f>
        <v/>
      </c>
      <c r="AH1810">
        <f>IF([3]Entry!$G$1813="","",[3]Entry!$G$1813)</f>
        <v/>
      </c>
      <c r="AI1810">
        <f>IF([3]Entry!$K$1813="","",[3]Entry!$K$1813)</f>
        <v/>
      </c>
      <c r="AJ1810">
        <f>IF([3]Entry!$L$1813="","",[3]Entry!$L$1813)</f>
        <v/>
      </c>
      <c r="AK1810">
        <f>IF([3]Entry!$M$1813="","",[3]Entry!$M$1813)</f>
        <v/>
      </c>
      <c r="AL1810">
        <f>IF([3]Entry!$N$1813="","",[3]Entry!$N$1813)</f>
        <v/>
      </c>
      <c r="AM1810">
        <f>IF([3]Entry!$R$1813="","",[3]Entry!$R$1813)</f>
        <v/>
      </c>
    </row>
    <row r="1811">
      <c r="T1811">
        <f>IF([2]Baskol!$B$1814="","",[2]Baskol!$B$1814)</f>
        <v/>
      </c>
      <c r="U1811">
        <f>IF([2]Baskol!$C$1814="","",[2]Baskol!$C$1814)</f>
        <v/>
      </c>
      <c r="V1811">
        <f>IF([2]Baskol!$D$1814="","",[2]Baskol!$D$1814)</f>
        <v/>
      </c>
      <c r="W1811">
        <f>IF([2]Baskol!$E$1814="","",[2]Baskol!$E$1814)</f>
        <v/>
      </c>
      <c r="X1811">
        <f>IF([2]Baskol!$G$1814="","",[2]Baskol!$G$1814)</f>
        <v/>
      </c>
      <c r="Y1811">
        <f>IF([2]Baskol!$I$1814="","",[2]Baskol!$I$1814)</f>
        <v/>
      </c>
      <c r="Z1811">
        <f>IF([2]Baskol!$J$1814="","",[2]Baskol!$J$1814)</f>
        <v/>
      </c>
      <c r="AA1811">
        <f>IF([2]Baskol!$K$1814="","",[2]Baskol!$K$1814)</f>
        <v/>
      </c>
      <c r="AB1811">
        <f>IF([2]Baskol!$L$1814="","",[2]Baskol!$L$1814)</f>
        <v/>
      </c>
      <c r="AC1811">
        <f>IF([2]Baskol!$N$1814="","",[2]Baskol!$N$1814)</f>
        <v/>
      </c>
      <c r="AD1811">
        <f>IF([2]Baskol!$O$1814="","",[2]Baskol!$O$1814)</f>
        <v/>
      </c>
      <c r="AE1811">
        <f>IF([3]Entry!$C$1814="","",[3]Entry!$C$1814)</f>
        <v/>
      </c>
      <c r="AF1811">
        <f>IF([3]Entry!$D$1814="","",[3]Entry!$D$1814)</f>
        <v/>
      </c>
      <c r="AG1811">
        <f>IF([3]Entry!$E$1814="","",[3]Entry!$E$1814)</f>
        <v/>
      </c>
      <c r="AH1811">
        <f>IF([3]Entry!$G$1814="","",[3]Entry!$G$1814)</f>
        <v/>
      </c>
      <c r="AI1811">
        <f>IF([3]Entry!$K$1814="","",[3]Entry!$K$1814)</f>
        <v/>
      </c>
      <c r="AJ1811">
        <f>IF([3]Entry!$L$1814="","",[3]Entry!$L$1814)</f>
        <v/>
      </c>
      <c r="AK1811">
        <f>IF([3]Entry!$M$1814="","",[3]Entry!$M$1814)</f>
        <v/>
      </c>
      <c r="AL1811">
        <f>IF([3]Entry!$N$1814="","",[3]Entry!$N$1814)</f>
        <v/>
      </c>
      <c r="AM1811">
        <f>IF([3]Entry!$R$1814="","",[3]Entry!$R$1814)</f>
        <v/>
      </c>
    </row>
    <row r="1812">
      <c r="T1812">
        <f>IF([2]Baskol!$B$1815="","",[2]Baskol!$B$1815)</f>
        <v/>
      </c>
      <c r="U1812">
        <f>IF([2]Baskol!$C$1815="","",[2]Baskol!$C$1815)</f>
        <v/>
      </c>
      <c r="V1812">
        <f>IF([2]Baskol!$D$1815="","",[2]Baskol!$D$1815)</f>
        <v/>
      </c>
      <c r="W1812">
        <f>IF([2]Baskol!$E$1815="","",[2]Baskol!$E$1815)</f>
        <v/>
      </c>
      <c r="X1812">
        <f>IF([2]Baskol!$G$1815="","",[2]Baskol!$G$1815)</f>
        <v/>
      </c>
      <c r="Y1812">
        <f>IF([2]Baskol!$I$1815="","",[2]Baskol!$I$1815)</f>
        <v/>
      </c>
      <c r="Z1812">
        <f>IF([2]Baskol!$J$1815="","",[2]Baskol!$J$1815)</f>
        <v/>
      </c>
      <c r="AA1812">
        <f>IF([2]Baskol!$K$1815="","",[2]Baskol!$K$1815)</f>
        <v/>
      </c>
      <c r="AB1812">
        <f>IF([2]Baskol!$L$1815="","",[2]Baskol!$L$1815)</f>
        <v/>
      </c>
      <c r="AC1812">
        <f>IF([2]Baskol!$N$1815="","",[2]Baskol!$N$1815)</f>
        <v/>
      </c>
      <c r="AD1812">
        <f>IF([2]Baskol!$O$1815="","",[2]Baskol!$O$1815)</f>
        <v/>
      </c>
      <c r="AE1812">
        <f>IF([3]Entry!$C$1815="","",[3]Entry!$C$1815)</f>
        <v/>
      </c>
      <c r="AF1812">
        <f>IF([3]Entry!$D$1815="","",[3]Entry!$D$1815)</f>
        <v/>
      </c>
      <c r="AG1812">
        <f>IF([3]Entry!$E$1815="","",[3]Entry!$E$1815)</f>
        <v/>
      </c>
      <c r="AH1812">
        <f>IF([3]Entry!$G$1815="","",[3]Entry!$G$1815)</f>
        <v/>
      </c>
      <c r="AI1812">
        <f>IF([3]Entry!$K$1815="","",[3]Entry!$K$1815)</f>
        <v/>
      </c>
      <c r="AJ1812">
        <f>IF([3]Entry!$L$1815="","",[3]Entry!$L$1815)</f>
        <v/>
      </c>
      <c r="AK1812">
        <f>IF([3]Entry!$M$1815="","",[3]Entry!$M$1815)</f>
        <v/>
      </c>
      <c r="AL1812">
        <f>IF([3]Entry!$N$1815="","",[3]Entry!$N$1815)</f>
        <v/>
      </c>
      <c r="AM1812">
        <f>IF([3]Entry!$R$1815="","",[3]Entry!$R$1815)</f>
        <v/>
      </c>
    </row>
    <row r="1813">
      <c r="T1813">
        <f>IF([2]Baskol!$B$1816="","",[2]Baskol!$B$1816)</f>
        <v/>
      </c>
      <c r="U1813">
        <f>IF([2]Baskol!$C$1816="","",[2]Baskol!$C$1816)</f>
        <v/>
      </c>
      <c r="V1813">
        <f>IF([2]Baskol!$D$1816="","",[2]Baskol!$D$1816)</f>
        <v/>
      </c>
      <c r="W1813">
        <f>IF([2]Baskol!$E$1816="","",[2]Baskol!$E$1816)</f>
        <v/>
      </c>
      <c r="X1813">
        <f>IF([2]Baskol!$G$1816="","",[2]Baskol!$G$1816)</f>
        <v/>
      </c>
      <c r="Y1813">
        <f>IF([2]Baskol!$I$1816="","",[2]Baskol!$I$1816)</f>
        <v/>
      </c>
      <c r="Z1813">
        <f>IF([2]Baskol!$J$1816="","",[2]Baskol!$J$1816)</f>
        <v/>
      </c>
      <c r="AA1813">
        <f>IF([2]Baskol!$K$1816="","",[2]Baskol!$K$1816)</f>
        <v/>
      </c>
      <c r="AB1813">
        <f>IF([2]Baskol!$L$1816="","",[2]Baskol!$L$1816)</f>
        <v/>
      </c>
      <c r="AC1813">
        <f>IF([2]Baskol!$N$1816="","",[2]Baskol!$N$1816)</f>
        <v/>
      </c>
      <c r="AD1813">
        <f>IF([2]Baskol!$O$1816="","",[2]Baskol!$O$1816)</f>
        <v/>
      </c>
      <c r="AE1813">
        <f>IF([3]Entry!$C$1816="","",[3]Entry!$C$1816)</f>
        <v/>
      </c>
      <c r="AF1813">
        <f>IF([3]Entry!$D$1816="","",[3]Entry!$D$1816)</f>
        <v/>
      </c>
      <c r="AG1813">
        <f>IF([3]Entry!$E$1816="","",[3]Entry!$E$1816)</f>
        <v/>
      </c>
      <c r="AH1813">
        <f>IF([3]Entry!$G$1816="","",[3]Entry!$G$1816)</f>
        <v/>
      </c>
      <c r="AI1813">
        <f>IF([3]Entry!$K$1816="","",[3]Entry!$K$1816)</f>
        <v/>
      </c>
      <c r="AJ1813">
        <f>IF([3]Entry!$L$1816="","",[3]Entry!$L$1816)</f>
        <v/>
      </c>
      <c r="AK1813">
        <f>IF([3]Entry!$M$1816="","",[3]Entry!$M$1816)</f>
        <v/>
      </c>
      <c r="AL1813">
        <f>IF([3]Entry!$N$1816="","",[3]Entry!$N$1816)</f>
        <v/>
      </c>
      <c r="AM1813">
        <f>IF([3]Entry!$R$1816="","",[3]Entry!$R$1816)</f>
        <v/>
      </c>
    </row>
    <row r="1814">
      <c r="T1814">
        <f>IF([2]Baskol!$B$1817="","",[2]Baskol!$B$1817)</f>
        <v/>
      </c>
      <c r="U1814">
        <f>IF([2]Baskol!$C$1817="","",[2]Baskol!$C$1817)</f>
        <v/>
      </c>
      <c r="V1814">
        <f>IF([2]Baskol!$D$1817="","",[2]Baskol!$D$1817)</f>
        <v/>
      </c>
      <c r="W1814">
        <f>IF([2]Baskol!$E$1817="","",[2]Baskol!$E$1817)</f>
        <v/>
      </c>
      <c r="X1814">
        <f>IF([2]Baskol!$G$1817="","",[2]Baskol!$G$1817)</f>
        <v/>
      </c>
      <c r="Y1814">
        <f>IF([2]Baskol!$I$1817="","",[2]Baskol!$I$1817)</f>
        <v/>
      </c>
      <c r="Z1814">
        <f>IF([2]Baskol!$J$1817="","",[2]Baskol!$J$1817)</f>
        <v/>
      </c>
      <c r="AA1814">
        <f>IF([2]Baskol!$K$1817="","",[2]Baskol!$K$1817)</f>
        <v/>
      </c>
      <c r="AB1814">
        <f>IF([2]Baskol!$L$1817="","",[2]Baskol!$L$1817)</f>
        <v/>
      </c>
      <c r="AC1814">
        <f>IF([2]Baskol!$N$1817="","",[2]Baskol!$N$1817)</f>
        <v/>
      </c>
      <c r="AD1814">
        <f>IF([2]Baskol!$O$1817="","",[2]Baskol!$O$1817)</f>
        <v/>
      </c>
      <c r="AE1814">
        <f>IF([3]Entry!$C$1817="","",[3]Entry!$C$1817)</f>
        <v/>
      </c>
      <c r="AF1814">
        <f>IF([3]Entry!$D$1817="","",[3]Entry!$D$1817)</f>
        <v/>
      </c>
      <c r="AG1814">
        <f>IF([3]Entry!$E$1817="","",[3]Entry!$E$1817)</f>
        <v/>
      </c>
      <c r="AH1814">
        <f>IF([3]Entry!$G$1817="","",[3]Entry!$G$1817)</f>
        <v/>
      </c>
      <c r="AI1814">
        <f>IF([3]Entry!$K$1817="","",[3]Entry!$K$1817)</f>
        <v/>
      </c>
      <c r="AJ1814">
        <f>IF([3]Entry!$L$1817="","",[3]Entry!$L$1817)</f>
        <v/>
      </c>
      <c r="AK1814">
        <f>IF([3]Entry!$M$1817="","",[3]Entry!$M$1817)</f>
        <v/>
      </c>
      <c r="AL1814">
        <f>IF([3]Entry!$N$1817="","",[3]Entry!$N$1817)</f>
        <v/>
      </c>
      <c r="AM1814">
        <f>IF([3]Entry!$R$1817="","",[3]Entry!$R$1817)</f>
        <v/>
      </c>
    </row>
    <row r="1815">
      <c r="T1815">
        <f>IF([2]Baskol!$B$1818="","",[2]Baskol!$B$1818)</f>
        <v/>
      </c>
      <c r="U1815">
        <f>IF([2]Baskol!$C$1818="","",[2]Baskol!$C$1818)</f>
        <v/>
      </c>
      <c r="V1815">
        <f>IF([2]Baskol!$D$1818="","",[2]Baskol!$D$1818)</f>
        <v/>
      </c>
      <c r="W1815">
        <f>IF([2]Baskol!$E$1818="","",[2]Baskol!$E$1818)</f>
        <v/>
      </c>
      <c r="X1815">
        <f>IF([2]Baskol!$G$1818="","",[2]Baskol!$G$1818)</f>
        <v/>
      </c>
      <c r="Y1815">
        <f>IF([2]Baskol!$I$1818="","",[2]Baskol!$I$1818)</f>
        <v/>
      </c>
      <c r="Z1815">
        <f>IF([2]Baskol!$J$1818="","",[2]Baskol!$J$1818)</f>
        <v/>
      </c>
      <c r="AA1815">
        <f>IF([2]Baskol!$K$1818="","",[2]Baskol!$K$1818)</f>
        <v/>
      </c>
      <c r="AB1815">
        <f>IF([2]Baskol!$L$1818="","",[2]Baskol!$L$1818)</f>
        <v/>
      </c>
      <c r="AC1815">
        <f>IF([2]Baskol!$N$1818="","",[2]Baskol!$N$1818)</f>
        <v/>
      </c>
      <c r="AD1815">
        <f>IF([2]Baskol!$O$1818="","",[2]Baskol!$O$1818)</f>
        <v/>
      </c>
      <c r="AE1815">
        <f>IF([3]Entry!$C$1818="","",[3]Entry!$C$1818)</f>
        <v/>
      </c>
      <c r="AF1815">
        <f>IF([3]Entry!$D$1818="","",[3]Entry!$D$1818)</f>
        <v/>
      </c>
      <c r="AG1815">
        <f>IF([3]Entry!$E$1818="","",[3]Entry!$E$1818)</f>
        <v/>
      </c>
      <c r="AH1815">
        <f>IF([3]Entry!$G$1818="","",[3]Entry!$G$1818)</f>
        <v/>
      </c>
      <c r="AI1815">
        <f>IF([3]Entry!$K$1818="","",[3]Entry!$K$1818)</f>
        <v/>
      </c>
      <c r="AJ1815">
        <f>IF([3]Entry!$L$1818="","",[3]Entry!$L$1818)</f>
        <v/>
      </c>
      <c r="AK1815">
        <f>IF([3]Entry!$M$1818="","",[3]Entry!$M$1818)</f>
        <v/>
      </c>
      <c r="AL1815">
        <f>IF([3]Entry!$N$1818="","",[3]Entry!$N$1818)</f>
        <v/>
      </c>
      <c r="AM1815">
        <f>IF([3]Entry!$R$1818="","",[3]Entry!$R$1818)</f>
        <v/>
      </c>
    </row>
    <row r="1816">
      <c r="T1816">
        <f>IF([2]Baskol!$B$1819="","",[2]Baskol!$B$1819)</f>
        <v/>
      </c>
      <c r="U1816">
        <f>IF([2]Baskol!$C$1819="","",[2]Baskol!$C$1819)</f>
        <v/>
      </c>
      <c r="V1816">
        <f>IF([2]Baskol!$D$1819="","",[2]Baskol!$D$1819)</f>
        <v/>
      </c>
      <c r="W1816">
        <f>IF([2]Baskol!$E$1819="","",[2]Baskol!$E$1819)</f>
        <v/>
      </c>
      <c r="X1816">
        <f>IF([2]Baskol!$G$1819="","",[2]Baskol!$G$1819)</f>
        <v/>
      </c>
      <c r="Y1816">
        <f>IF([2]Baskol!$I$1819="","",[2]Baskol!$I$1819)</f>
        <v/>
      </c>
      <c r="Z1816">
        <f>IF([2]Baskol!$J$1819="","",[2]Baskol!$J$1819)</f>
        <v/>
      </c>
      <c r="AA1816">
        <f>IF([2]Baskol!$K$1819="","",[2]Baskol!$K$1819)</f>
        <v/>
      </c>
      <c r="AB1816">
        <f>IF([2]Baskol!$L$1819="","",[2]Baskol!$L$1819)</f>
        <v/>
      </c>
      <c r="AC1816">
        <f>IF([2]Baskol!$N$1819="","",[2]Baskol!$N$1819)</f>
        <v/>
      </c>
      <c r="AD1816">
        <f>IF([2]Baskol!$O$1819="","",[2]Baskol!$O$1819)</f>
        <v/>
      </c>
      <c r="AE1816">
        <f>IF([3]Entry!$C$1819="","",[3]Entry!$C$1819)</f>
        <v/>
      </c>
      <c r="AF1816">
        <f>IF([3]Entry!$D$1819="","",[3]Entry!$D$1819)</f>
        <v/>
      </c>
      <c r="AG1816">
        <f>IF([3]Entry!$E$1819="","",[3]Entry!$E$1819)</f>
        <v/>
      </c>
      <c r="AH1816">
        <f>IF([3]Entry!$G$1819="","",[3]Entry!$G$1819)</f>
        <v/>
      </c>
      <c r="AI1816">
        <f>IF([3]Entry!$K$1819="","",[3]Entry!$K$1819)</f>
        <v/>
      </c>
      <c r="AJ1816">
        <f>IF([3]Entry!$L$1819="","",[3]Entry!$L$1819)</f>
        <v/>
      </c>
      <c r="AK1816">
        <f>IF([3]Entry!$M$1819="","",[3]Entry!$M$1819)</f>
        <v/>
      </c>
      <c r="AL1816">
        <f>IF([3]Entry!$N$1819="","",[3]Entry!$N$1819)</f>
        <v/>
      </c>
      <c r="AM1816">
        <f>IF([3]Entry!$R$1819="","",[3]Entry!$R$1819)</f>
        <v/>
      </c>
    </row>
    <row r="1817">
      <c r="T1817">
        <f>IF([2]Baskol!$B$1820="","",[2]Baskol!$B$1820)</f>
        <v/>
      </c>
      <c r="U1817">
        <f>IF([2]Baskol!$C$1820="","",[2]Baskol!$C$1820)</f>
        <v/>
      </c>
      <c r="V1817">
        <f>IF([2]Baskol!$D$1820="","",[2]Baskol!$D$1820)</f>
        <v/>
      </c>
      <c r="W1817">
        <f>IF([2]Baskol!$E$1820="","",[2]Baskol!$E$1820)</f>
        <v/>
      </c>
      <c r="X1817">
        <f>IF([2]Baskol!$G$1820="","",[2]Baskol!$G$1820)</f>
        <v/>
      </c>
      <c r="Y1817">
        <f>IF([2]Baskol!$I$1820="","",[2]Baskol!$I$1820)</f>
        <v/>
      </c>
      <c r="Z1817">
        <f>IF([2]Baskol!$J$1820="","",[2]Baskol!$J$1820)</f>
        <v/>
      </c>
      <c r="AA1817">
        <f>IF([2]Baskol!$K$1820="","",[2]Baskol!$K$1820)</f>
        <v/>
      </c>
      <c r="AB1817">
        <f>IF([2]Baskol!$L$1820="","",[2]Baskol!$L$1820)</f>
        <v/>
      </c>
      <c r="AC1817">
        <f>IF([2]Baskol!$N$1820="","",[2]Baskol!$N$1820)</f>
        <v/>
      </c>
      <c r="AD1817">
        <f>IF([2]Baskol!$O$1820="","",[2]Baskol!$O$1820)</f>
        <v/>
      </c>
      <c r="AE1817">
        <f>IF([3]Entry!$C$1820="","",[3]Entry!$C$1820)</f>
        <v/>
      </c>
      <c r="AF1817">
        <f>IF([3]Entry!$D$1820="","",[3]Entry!$D$1820)</f>
        <v/>
      </c>
      <c r="AG1817">
        <f>IF([3]Entry!$E$1820="","",[3]Entry!$E$1820)</f>
        <v/>
      </c>
      <c r="AH1817">
        <f>IF([3]Entry!$G$1820="","",[3]Entry!$G$1820)</f>
        <v/>
      </c>
      <c r="AI1817">
        <f>IF([3]Entry!$K$1820="","",[3]Entry!$K$1820)</f>
        <v/>
      </c>
      <c r="AJ1817">
        <f>IF([3]Entry!$L$1820="","",[3]Entry!$L$1820)</f>
        <v/>
      </c>
      <c r="AK1817">
        <f>IF([3]Entry!$M$1820="","",[3]Entry!$M$1820)</f>
        <v/>
      </c>
      <c r="AL1817">
        <f>IF([3]Entry!$N$1820="","",[3]Entry!$N$1820)</f>
        <v/>
      </c>
      <c r="AM1817">
        <f>IF([3]Entry!$R$1820="","",[3]Entry!$R$1820)</f>
        <v/>
      </c>
    </row>
    <row r="1818">
      <c r="T1818">
        <f>IF([2]Baskol!$B$1821="","",[2]Baskol!$B$1821)</f>
        <v/>
      </c>
      <c r="U1818">
        <f>IF([2]Baskol!$C$1821="","",[2]Baskol!$C$1821)</f>
        <v/>
      </c>
      <c r="V1818">
        <f>IF([2]Baskol!$D$1821="","",[2]Baskol!$D$1821)</f>
        <v/>
      </c>
      <c r="W1818">
        <f>IF([2]Baskol!$E$1821="","",[2]Baskol!$E$1821)</f>
        <v/>
      </c>
      <c r="X1818">
        <f>IF([2]Baskol!$G$1821="","",[2]Baskol!$G$1821)</f>
        <v/>
      </c>
      <c r="Y1818">
        <f>IF([2]Baskol!$I$1821="","",[2]Baskol!$I$1821)</f>
        <v/>
      </c>
      <c r="Z1818">
        <f>IF([2]Baskol!$J$1821="","",[2]Baskol!$J$1821)</f>
        <v/>
      </c>
      <c r="AA1818">
        <f>IF([2]Baskol!$K$1821="","",[2]Baskol!$K$1821)</f>
        <v/>
      </c>
      <c r="AB1818">
        <f>IF([2]Baskol!$L$1821="","",[2]Baskol!$L$1821)</f>
        <v/>
      </c>
      <c r="AC1818">
        <f>IF([2]Baskol!$N$1821="","",[2]Baskol!$N$1821)</f>
        <v/>
      </c>
      <c r="AD1818">
        <f>IF([2]Baskol!$O$1821="","",[2]Baskol!$O$1821)</f>
        <v/>
      </c>
      <c r="AE1818">
        <f>IF([3]Entry!$C$1821="","",[3]Entry!$C$1821)</f>
        <v/>
      </c>
      <c r="AF1818">
        <f>IF([3]Entry!$D$1821="","",[3]Entry!$D$1821)</f>
        <v/>
      </c>
      <c r="AG1818">
        <f>IF([3]Entry!$E$1821="","",[3]Entry!$E$1821)</f>
        <v/>
      </c>
      <c r="AH1818">
        <f>IF([3]Entry!$G$1821="","",[3]Entry!$G$1821)</f>
        <v/>
      </c>
      <c r="AI1818">
        <f>IF([3]Entry!$K$1821="","",[3]Entry!$K$1821)</f>
        <v/>
      </c>
      <c r="AJ1818">
        <f>IF([3]Entry!$L$1821="","",[3]Entry!$L$1821)</f>
        <v/>
      </c>
      <c r="AK1818">
        <f>IF([3]Entry!$M$1821="","",[3]Entry!$M$1821)</f>
        <v/>
      </c>
      <c r="AL1818">
        <f>IF([3]Entry!$N$1821="","",[3]Entry!$N$1821)</f>
        <v/>
      </c>
      <c r="AM1818">
        <f>IF([3]Entry!$R$1821="","",[3]Entry!$R$1821)</f>
        <v/>
      </c>
    </row>
    <row r="1819">
      <c r="T1819">
        <f>IF([2]Baskol!$B$1822="","",[2]Baskol!$B$1822)</f>
        <v/>
      </c>
      <c r="U1819">
        <f>IF([2]Baskol!$C$1822="","",[2]Baskol!$C$1822)</f>
        <v/>
      </c>
      <c r="V1819">
        <f>IF([2]Baskol!$D$1822="","",[2]Baskol!$D$1822)</f>
        <v/>
      </c>
      <c r="W1819">
        <f>IF([2]Baskol!$E$1822="","",[2]Baskol!$E$1822)</f>
        <v/>
      </c>
      <c r="X1819">
        <f>IF([2]Baskol!$G$1822="","",[2]Baskol!$G$1822)</f>
        <v/>
      </c>
      <c r="Y1819">
        <f>IF([2]Baskol!$I$1822="","",[2]Baskol!$I$1822)</f>
        <v/>
      </c>
      <c r="Z1819">
        <f>IF([2]Baskol!$J$1822="","",[2]Baskol!$J$1822)</f>
        <v/>
      </c>
      <c r="AA1819">
        <f>IF([2]Baskol!$K$1822="","",[2]Baskol!$K$1822)</f>
        <v/>
      </c>
      <c r="AB1819">
        <f>IF([2]Baskol!$L$1822="","",[2]Baskol!$L$1822)</f>
        <v/>
      </c>
      <c r="AC1819">
        <f>IF([2]Baskol!$N$1822="","",[2]Baskol!$N$1822)</f>
        <v/>
      </c>
      <c r="AD1819">
        <f>IF([2]Baskol!$O$1822="","",[2]Baskol!$O$1822)</f>
        <v/>
      </c>
      <c r="AE1819">
        <f>IF([3]Entry!$C$1822="","",[3]Entry!$C$1822)</f>
        <v/>
      </c>
      <c r="AF1819">
        <f>IF([3]Entry!$D$1822="","",[3]Entry!$D$1822)</f>
        <v/>
      </c>
      <c r="AG1819">
        <f>IF([3]Entry!$E$1822="","",[3]Entry!$E$1822)</f>
        <v/>
      </c>
      <c r="AH1819">
        <f>IF([3]Entry!$G$1822="","",[3]Entry!$G$1822)</f>
        <v/>
      </c>
      <c r="AI1819">
        <f>IF([3]Entry!$K$1822="","",[3]Entry!$K$1822)</f>
        <v/>
      </c>
      <c r="AJ1819">
        <f>IF([3]Entry!$L$1822="","",[3]Entry!$L$1822)</f>
        <v/>
      </c>
      <c r="AK1819">
        <f>IF([3]Entry!$M$1822="","",[3]Entry!$M$1822)</f>
        <v/>
      </c>
      <c r="AL1819">
        <f>IF([3]Entry!$N$1822="","",[3]Entry!$N$1822)</f>
        <v/>
      </c>
      <c r="AM1819">
        <f>IF([3]Entry!$R$1822="","",[3]Entry!$R$1822)</f>
        <v/>
      </c>
    </row>
    <row r="1820">
      <c r="T1820">
        <f>IF([2]Baskol!$B$1823="","",[2]Baskol!$B$1823)</f>
        <v/>
      </c>
      <c r="U1820">
        <f>IF([2]Baskol!$C$1823="","",[2]Baskol!$C$1823)</f>
        <v/>
      </c>
      <c r="V1820">
        <f>IF([2]Baskol!$D$1823="","",[2]Baskol!$D$1823)</f>
        <v/>
      </c>
      <c r="W1820">
        <f>IF([2]Baskol!$E$1823="","",[2]Baskol!$E$1823)</f>
        <v/>
      </c>
      <c r="X1820">
        <f>IF([2]Baskol!$G$1823="","",[2]Baskol!$G$1823)</f>
        <v/>
      </c>
      <c r="Y1820">
        <f>IF([2]Baskol!$I$1823="","",[2]Baskol!$I$1823)</f>
        <v/>
      </c>
      <c r="Z1820">
        <f>IF([2]Baskol!$J$1823="","",[2]Baskol!$J$1823)</f>
        <v/>
      </c>
      <c r="AA1820">
        <f>IF([2]Baskol!$K$1823="","",[2]Baskol!$K$1823)</f>
        <v/>
      </c>
      <c r="AB1820">
        <f>IF([2]Baskol!$L$1823="","",[2]Baskol!$L$1823)</f>
        <v/>
      </c>
      <c r="AC1820">
        <f>IF([2]Baskol!$N$1823="","",[2]Baskol!$N$1823)</f>
        <v/>
      </c>
      <c r="AD1820">
        <f>IF([2]Baskol!$O$1823="","",[2]Baskol!$O$1823)</f>
        <v/>
      </c>
      <c r="AE1820">
        <f>IF([3]Entry!$C$1823="","",[3]Entry!$C$1823)</f>
        <v/>
      </c>
      <c r="AF1820">
        <f>IF([3]Entry!$D$1823="","",[3]Entry!$D$1823)</f>
        <v/>
      </c>
      <c r="AG1820">
        <f>IF([3]Entry!$E$1823="","",[3]Entry!$E$1823)</f>
        <v/>
      </c>
      <c r="AH1820">
        <f>IF([3]Entry!$G$1823="","",[3]Entry!$G$1823)</f>
        <v/>
      </c>
      <c r="AI1820">
        <f>IF([3]Entry!$K$1823="","",[3]Entry!$K$1823)</f>
        <v/>
      </c>
      <c r="AJ1820">
        <f>IF([3]Entry!$L$1823="","",[3]Entry!$L$1823)</f>
        <v/>
      </c>
      <c r="AK1820">
        <f>IF([3]Entry!$M$1823="","",[3]Entry!$M$1823)</f>
        <v/>
      </c>
      <c r="AL1820">
        <f>IF([3]Entry!$N$1823="","",[3]Entry!$N$1823)</f>
        <v/>
      </c>
      <c r="AM1820">
        <f>IF([3]Entry!$R$1823="","",[3]Entry!$R$1823)</f>
        <v/>
      </c>
    </row>
    <row r="1821">
      <c r="T1821">
        <f>IF([2]Baskol!$B$1824="","",[2]Baskol!$B$1824)</f>
        <v/>
      </c>
      <c r="U1821">
        <f>IF([2]Baskol!$C$1824="","",[2]Baskol!$C$1824)</f>
        <v/>
      </c>
      <c r="V1821">
        <f>IF([2]Baskol!$D$1824="","",[2]Baskol!$D$1824)</f>
        <v/>
      </c>
      <c r="W1821">
        <f>IF([2]Baskol!$E$1824="","",[2]Baskol!$E$1824)</f>
        <v/>
      </c>
      <c r="X1821">
        <f>IF([2]Baskol!$G$1824="","",[2]Baskol!$G$1824)</f>
        <v/>
      </c>
      <c r="Y1821">
        <f>IF([2]Baskol!$I$1824="","",[2]Baskol!$I$1824)</f>
        <v/>
      </c>
      <c r="Z1821">
        <f>IF([2]Baskol!$J$1824="","",[2]Baskol!$J$1824)</f>
        <v/>
      </c>
      <c r="AA1821">
        <f>IF([2]Baskol!$K$1824="","",[2]Baskol!$K$1824)</f>
        <v/>
      </c>
      <c r="AB1821">
        <f>IF([2]Baskol!$L$1824="","",[2]Baskol!$L$1824)</f>
        <v/>
      </c>
      <c r="AC1821">
        <f>IF([2]Baskol!$N$1824="","",[2]Baskol!$N$1824)</f>
        <v/>
      </c>
      <c r="AD1821">
        <f>IF([2]Baskol!$O$1824="","",[2]Baskol!$O$1824)</f>
        <v/>
      </c>
      <c r="AE1821">
        <f>IF([3]Entry!$C$1824="","",[3]Entry!$C$1824)</f>
        <v/>
      </c>
      <c r="AF1821">
        <f>IF([3]Entry!$D$1824="","",[3]Entry!$D$1824)</f>
        <v/>
      </c>
      <c r="AG1821">
        <f>IF([3]Entry!$E$1824="","",[3]Entry!$E$1824)</f>
        <v/>
      </c>
      <c r="AH1821">
        <f>IF([3]Entry!$G$1824="","",[3]Entry!$G$1824)</f>
        <v/>
      </c>
      <c r="AI1821">
        <f>IF([3]Entry!$K$1824="","",[3]Entry!$K$1824)</f>
        <v/>
      </c>
      <c r="AJ1821">
        <f>IF([3]Entry!$L$1824="","",[3]Entry!$L$1824)</f>
        <v/>
      </c>
      <c r="AK1821">
        <f>IF([3]Entry!$M$1824="","",[3]Entry!$M$1824)</f>
        <v/>
      </c>
      <c r="AL1821">
        <f>IF([3]Entry!$N$1824="","",[3]Entry!$N$1824)</f>
        <v/>
      </c>
      <c r="AM1821">
        <f>IF([3]Entry!$R$1824="","",[3]Entry!$R$1824)</f>
        <v/>
      </c>
    </row>
    <row r="1822">
      <c r="T1822">
        <f>IF([2]Baskol!$B$1825="","",[2]Baskol!$B$1825)</f>
        <v/>
      </c>
      <c r="U1822">
        <f>IF([2]Baskol!$C$1825="","",[2]Baskol!$C$1825)</f>
        <v/>
      </c>
      <c r="V1822">
        <f>IF([2]Baskol!$D$1825="","",[2]Baskol!$D$1825)</f>
        <v/>
      </c>
      <c r="W1822">
        <f>IF([2]Baskol!$E$1825="","",[2]Baskol!$E$1825)</f>
        <v/>
      </c>
      <c r="X1822">
        <f>IF([2]Baskol!$G$1825="","",[2]Baskol!$G$1825)</f>
        <v/>
      </c>
      <c r="Y1822">
        <f>IF([2]Baskol!$I$1825="","",[2]Baskol!$I$1825)</f>
        <v/>
      </c>
      <c r="Z1822">
        <f>IF([2]Baskol!$J$1825="","",[2]Baskol!$J$1825)</f>
        <v/>
      </c>
      <c r="AA1822">
        <f>IF([2]Baskol!$K$1825="","",[2]Baskol!$K$1825)</f>
        <v/>
      </c>
      <c r="AB1822">
        <f>IF([2]Baskol!$L$1825="","",[2]Baskol!$L$1825)</f>
        <v/>
      </c>
      <c r="AC1822">
        <f>IF([2]Baskol!$N$1825="","",[2]Baskol!$N$1825)</f>
        <v/>
      </c>
      <c r="AD1822">
        <f>IF([2]Baskol!$O$1825="","",[2]Baskol!$O$1825)</f>
        <v/>
      </c>
      <c r="AE1822">
        <f>IF([3]Entry!$C$1825="","",[3]Entry!$C$1825)</f>
        <v/>
      </c>
      <c r="AF1822">
        <f>IF([3]Entry!$D$1825="","",[3]Entry!$D$1825)</f>
        <v/>
      </c>
      <c r="AG1822">
        <f>IF([3]Entry!$E$1825="","",[3]Entry!$E$1825)</f>
        <v/>
      </c>
      <c r="AH1822">
        <f>IF([3]Entry!$G$1825="","",[3]Entry!$G$1825)</f>
        <v/>
      </c>
      <c r="AI1822">
        <f>IF([3]Entry!$K$1825="","",[3]Entry!$K$1825)</f>
        <v/>
      </c>
      <c r="AJ1822">
        <f>IF([3]Entry!$L$1825="","",[3]Entry!$L$1825)</f>
        <v/>
      </c>
      <c r="AK1822">
        <f>IF([3]Entry!$M$1825="","",[3]Entry!$M$1825)</f>
        <v/>
      </c>
      <c r="AL1822">
        <f>IF([3]Entry!$N$1825="","",[3]Entry!$N$1825)</f>
        <v/>
      </c>
      <c r="AM1822">
        <f>IF([3]Entry!$R$1825="","",[3]Entry!$R$1825)</f>
        <v/>
      </c>
    </row>
    <row r="1823">
      <c r="T1823">
        <f>IF([2]Baskol!$B$1826="","",[2]Baskol!$B$1826)</f>
        <v/>
      </c>
      <c r="U1823">
        <f>IF([2]Baskol!$C$1826="","",[2]Baskol!$C$1826)</f>
        <v/>
      </c>
      <c r="V1823">
        <f>IF([2]Baskol!$D$1826="","",[2]Baskol!$D$1826)</f>
        <v/>
      </c>
      <c r="W1823">
        <f>IF([2]Baskol!$E$1826="","",[2]Baskol!$E$1826)</f>
        <v/>
      </c>
      <c r="X1823">
        <f>IF([2]Baskol!$G$1826="","",[2]Baskol!$G$1826)</f>
        <v/>
      </c>
      <c r="Y1823">
        <f>IF([2]Baskol!$I$1826="","",[2]Baskol!$I$1826)</f>
        <v/>
      </c>
      <c r="Z1823">
        <f>IF([2]Baskol!$J$1826="","",[2]Baskol!$J$1826)</f>
        <v/>
      </c>
      <c r="AA1823">
        <f>IF([2]Baskol!$K$1826="","",[2]Baskol!$K$1826)</f>
        <v/>
      </c>
      <c r="AB1823">
        <f>IF([2]Baskol!$L$1826="","",[2]Baskol!$L$1826)</f>
        <v/>
      </c>
      <c r="AC1823">
        <f>IF([2]Baskol!$N$1826="","",[2]Baskol!$N$1826)</f>
        <v/>
      </c>
      <c r="AD1823">
        <f>IF([2]Baskol!$O$1826="","",[2]Baskol!$O$1826)</f>
        <v/>
      </c>
      <c r="AE1823">
        <f>IF([3]Entry!$C$1826="","",[3]Entry!$C$1826)</f>
        <v/>
      </c>
      <c r="AF1823">
        <f>IF([3]Entry!$D$1826="","",[3]Entry!$D$1826)</f>
        <v/>
      </c>
      <c r="AG1823">
        <f>IF([3]Entry!$E$1826="","",[3]Entry!$E$1826)</f>
        <v/>
      </c>
      <c r="AH1823">
        <f>IF([3]Entry!$G$1826="","",[3]Entry!$G$1826)</f>
        <v/>
      </c>
      <c r="AI1823">
        <f>IF([3]Entry!$K$1826="","",[3]Entry!$K$1826)</f>
        <v/>
      </c>
      <c r="AJ1823">
        <f>IF([3]Entry!$L$1826="","",[3]Entry!$L$1826)</f>
        <v/>
      </c>
      <c r="AK1823">
        <f>IF([3]Entry!$M$1826="","",[3]Entry!$M$1826)</f>
        <v/>
      </c>
      <c r="AL1823">
        <f>IF([3]Entry!$N$1826="","",[3]Entry!$N$1826)</f>
        <v/>
      </c>
      <c r="AM1823">
        <f>IF([3]Entry!$R$1826="","",[3]Entry!$R$1826)</f>
        <v/>
      </c>
    </row>
    <row r="1824">
      <c r="T1824">
        <f>IF([2]Baskol!$B$1827="","",[2]Baskol!$B$1827)</f>
        <v/>
      </c>
      <c r="U1824">
        <f>IF([2]Baskol!$C$1827="","",[2]Baskol!$C$1827)</f>
        <v/>
      </c>
      <c r="V1824">
        <f>IF([2]Baskol!$D$1827="","",[2]Baskol!$D$1827)</f>
        <v/>
      </c>
      <c r="W1824">
        <f>IF([2]Baskol!$E$1827="","",[2]Baskol!$E$1827)</f>
        <v/>
      </c>
      <c r="X1824">
        <f>IF([2]Baskol!$G$1827="","",[2]Baskol!$G$1827)</f>
        <v/>
      </c>
      <c r="Y1824">
        <f>IF([2]Baskol!$I$1827="","",[2]Baskol!$I$1827)</f>
        <v/>
      </c>
      <c r="Z1824">
        <f>IF([2]Baskol!$J$1827="","",[2]Baskol!$J$1827)</f>
        <v/>
      </c>
      <c r="AA1824">
        <f>IF([2]Baskol!$K$1827="","",[2]Baskol!$K$1827)</f>
        <v/>
      </c>
      <c r="AB1824">
        <f>IF([2]Baskol!$L$1827="","",[2]Baskol!$L$1827)</f>
        <v/>
      </c>
      <c r="AC1824">
        <f>IF([2]Baskol!$N$1827="","",[2]Baskol!$N$1827)</f>
        <v/>
      </c>
      <c r="AD1824">
        <f>IF([2]Baskol!$O$1827="","",[2]Baskol!$O$1827)</f>
        <v/>
      </c>
      <c r="AE1824">
        <f>IF([3]Entry!$C$1827="","",[3]Entry!$C$1827)</f>
        <v/>
      </c>
      <c r="AF1824">
        <f>IF([3]Entry!$D$1827="","",[3]Entry!$D$1827)</f>
        <v/>
      </c>
      <c r="AG1824">
        <f>IF([3]Entry!$E$1827="","",[3]Entry!$E$1827)</f>
        <v/>
      </c>
      <c r="AH1824">
        <f>IF([3]Entry!$G$1827="","",[3]Entry!$G$1827)</f>
        <v/>
      </c>
      <c r="AI1824">
        <f>IF([3]Entry!$K$1827="","",[3]Entry!$K$1827)</f>
        <v/>
      </c>
      <c r="AJ1824">
        <f>IF([3]Entry!$L$1827="","",[3]Entry!$L$1827)</f>
        <v/>
      </c>
      <c r="AK1824">
        <f>IF([3]Entry!$M$1827="","",[3]Entry!$M$1827)</f>
        <v/>
      </c>
      <c r="AL1824">
        <f>IF([3]Entry!$N$1827="","",[3]Entry!$N$1827)</f>
        <v/>
      </c>
      <c r="AM1824">
        <f>IF([3]Entry!$R$1827="","",[3]Entry!$R$1827)</f>
        <v/>
      </c>
    </row>
    <row r="1825">
      <c r="T1825">
        <f>IF([2]Baskol!$B$1828="","",[2]Baskol!$B$1828)</f>
        <v/>
      </c>
      <c r="U1825">
        <f>IF([2]Baskol!$C$1828="","",[2]Baskol!$C$1828)</f>
        <v/>
      </c>
      <c r="V1825">
        <f>IF([2]Baskol!$D$1828="","",[2]Baskol!$D$1828)</f>
        <v/>
      </c>
      <c r="W1825">
        <f>IF([2]Baskol!$E$1828="","",[2]Baskol!$E$1828)</f>
        <v/>
      </c>
      <c r="X1825">
        <f>IF([2]Baskol!$G$1828="","",[2]Baskol!$G$1828)</f>
        <v/>
      </c>
      <c r="Y1825">
        <f>IF([2]Baskol!$I$1828="","",[2]Baskol!$I$1828)</f>
        <v/>
      </c>
      <c r="Z1825">
        <f>IF([2]Baskol!$J$1828="","",[2]Baskol!$J$1828)</f>
        <v/>
      </c>
      <c r="AA1825">
        <f>IF([2]Baskol!$K$1828="","",[2]Baskol!$K$1828)</f>
        <v/>
      </c>
      <c r="AB1825">
        <f>IF([2]Baskol!$L$1828="","",[2]Baskol!$L$1828)</f>
        <v/>
      </c>
      <c r="AC1825">
        <f>IF([2]Baskol!$N$1828="","",[2]Baskol!$N$1828)</f>
        <v/>
      </c>
      <c r="AD1825">
        <f>IF([2]Baskol!$O$1828="","",[2]Baskol!$O$1828)</f>
        <v/>
      </c>
      <c r="AE1825">
        <f>IF([3]Entry!$C$1828="","",[3]Entry!$C$1828)</f>
        <v/>
      </c>
      <c r="AF1825">
        <f>IF([3]Entry!$D$1828="","",[3]Entry!$D$1828)</f>
        <v/>
      </c>
      <c r="AG1825">
        <f>IF([3]Entry!$E$1828="","",[3]Entry!$E$1828)</f>
        <v/>
      </c>
      <c r="AH1825">
        <f>IF([3]Entry!$G$1828="","",[3]Entry!$G$1828)</f>
        <v/>
      </c>
      <c r="AI1825">
        <f>IF([3]Entry!$K$1828="","",[3]Entry!$K$1828)</f>
        <v/>
      </c>
      <c r="AJ1825">
        <f>IF([3]Entry!$L$1828="","",[3]Entry!$L$1828)</f>
        <v/>
      </c>
      <c r="AK1825">
        <f>IF([3]Entry!$M$1828="","",[3]Entry!$M$1828)</f>
        <v/>
      </c>
      <c r="AL1825">
        <f>IF([3]Entry!$N$1828="","",[3]Entry!$N$1828)</f>
        <v/>
      </c>
      <c r="AM1825">
        <f>IF([3]Entry!$R$1828="","",[3]Entry!$R$1828)</f>
        <v/>
      </c>
    </row>
    <row r="1826">
      <c r="T1826">
        <f>IF([2]Baskol!$B$1829="","",[2]Baskol!$B$1829)</f>
        <v/>
      </c>
      <c r="U1826">
        <f>IF([2]Baskol!$C$1829="","",[2]Baskol!$C$1829)</f>
        <v/>
      </c>
      <c r="V1826">
        <f>IF([2]Baskol!$D$1829="","",[2]Baskol!$D$1829)</f>
        <v/>
      </c>
      <c r="W1826">
        <f>IF([2]Baskol!$E$1829="","",[2]Baskol!$E$1829)</f>
        <v/>
      </c>
      <c r="X1826">
        <f>IF([2]Baskol!$G$1829="","",[2]Baskol!$G$1829)</f>
        <v/>
      </c>
      <c r="Y1826">
        <f>IF([2]Baskol!$I$1829="","",[2]Baskol!$I$1829)</f>
        <v/>
      </c>
      <c r="Z1826">
        <f>IF([2]Baskol!$J$1829="","",[2]Baskol!$J$1829)</f>
        <v/>
      </c>
      <c r="AA1826">
        <f>IF([2]Baskol!$K$1829="","",[2]Baskol!$K$1829)</f>
        <v/>
      </c>
      <c r="AB1826">
        <f>IF([2]Baskol!$L$1829="","",[2]Baskol!$L$1829)</f>
        <v/>
      </c>
      <c r="AC1826">
        <f>IF([2]Baskol!$N$1829="","",[2]Baskol!$N$1829)</f>
        <v/>
      </c>
      <c r="AD1826">
        <f>IF([2]Baskol!$O$1829="","",[2]Baskol!$O$1829)</f>
        <v/>
      </c>
      <c r="AE1826">
        <f>IF([3]Entry!$C$1829="","",[3]Entry!$C$1829)</f>
        <v/>
      </c>
      <c r="AF1826">
        <f>IF([3]Entry!$D$1829="","",[3]Entry!$D$1829)</f>
        <v/>
      </c>
      <c r="AG1826">
        <f>IF([3]Entry!$E$1829="","",[3]Entry!$E$1829)</f>
        <v/>
      </c>
      <c r="AH1826">
        <f>IF([3]Entry!$G$1829="","",[3]Entry!$G$1829)</f>
        <v/>
      </c>
      <c r="AI1826">
        <f>IF([3]Entry!$K$1829="","",[3]Entry!$K$1829)</f>
        <v/>
      </c>
      <c r="AJ1826">
        <f>IF([3]Entry!$L$1829="","",[3]Entry!$L$1829)</f>
        <v/>
      </c>
      <c r="AK1826">
        <f>IF([3]Entry!$M$1829="","",[3]Entry!$M$1829)</f>
        <v/>
      </c>
      <c r="AL1826">
        <f>IF([3]Entry!$N$1829="","",[3]Entry!$N$1829)</f>
        <v/>
      </c>
      <c r="AM1826">
        <f>IF([3]Entry!$R$1829="","",[3]Entry!$R$1829)</f>
        <v/>
      </c>
    </row>
    <row r="1827">
      <c r="T1827">
        <f>IF([2]Baskol!$B$1830="","",[2]Baskol!$B$1830)</f>
        <v/>
      </c>
      <c r="U1827">
        <f>IF([2]Baskol!$C$1830="","",[2]Baskol!$C$1830)</f>
        <v/>
      </c>
      <c r="V1827">
        <f>IF([2]Baskol!$D$1830="","",[2]Baskol!$D$1830)</f>
        <v/>
      </c>
      <c r="W1827">
        <f>IF([2]Baskol!$E$1830="","",[2]Baskol!$E$1830)</f>
        <v/>
      </c>
      <c r="X1827">
        <f>IF([2]Baskol!$G$1830="","",[2]Baskol!$G$1830)</f>
        <v/>
      </c>
      <c r="Y1827">
        <f>IF([2]Baskol!$I$1830="","",[2]Baskol!$I$1830)</f>
        <v/>
      </c>
      <c r="Z1827">
        <f>IF([2]Baskol!$J$1830="","",[2]Baskol!$J$1830)</f>
        <v/>
      </c>
      <c r="AA1827">
        <f>IF([2]Baskol!$K$1830="","",[2]Baskol!$K$1830)</f>
        <v/>
      </c>
      <c r="AB1827">
        <f>IF([2]Baskol!$L$1830="","",[2]Baskol!$L$1830)</f>
        <v/>
      </c>
      <c r="AC1827">
        <f>IF([2]Baskol!$N$1830="","",[2]Baskol!$N$1830)</f>
        <v/>
      </c>
      <c r="AD1827">
        <f>IF([2]Baskol!$O$1830="","",[2]Baskol!$O$1830)</f>
        <v/>
      </c>
      <c r="AE1827">
        <f>IF([3]Entry!$C$1830="","",[3]Entry!$C$1830)</f>
        <v/>
      </c>
      <c r="AF1827">
        <f>IF([3]Entry!$D$1830="","",[3]Entry!$D$1830)</f>
        <v/>
      </c>
      <c r="AG1827">
        <f>IF([3]Entry!$E$1830="","",[3]Entry!$E$1830)</f>
        <v/>
      </c>
      <c r="AH1827">
        <f>IF([3]Entry!$G$1830="","",[3]Entry!$G$1830)</f>
        <v/>
      </c>
      <c r="AI1827">
        <f>IF([3]Entry!$K$1830="","",[3]Entry!$K$1830)</f>
        <v/>
      </c>
      <c r="AJ1827">
        <f>IF([3]Entry!$L$1830="","",[3]Entry!$L$1830)</f>
        <v/>
      </c>
      <c r="AK1827">
        <f>IF([3]Entry!$M$1830="","",[3]Entry!$M$1830)</f>
        <v/>
      </c>
      <c r="AL1827">
        <f>IF([3]Entry!$N$1830="","",[3]Entry!$N$1830)</f>
        <v/>
      </c>
      <c r="AM1827">
        <f>IF([3]Entry!$R$1830="","",[3]Entry!$R$1830)</f>
        <v/>
      </c>
    </row>
    <row r="1828">
      <c r="T1828">
        <f>IF([2]Baskol!$B$1831="","",[2]Baskol!$B$1831)</f>
        <v/>
      </c>
      <c r="U1828">
        <f>IF([2]Baskol!$C$1831="","",[2]Baskol!$C$1831)</f>
        <v/>
      </c>
      <c r="V1828">
        <f>IF([2]Baskol!$D$1831="","",[2]Baskol!$D$1831)</f>
        <v/>
      </c>
      <c r="W1828">
        <f>IF([2]Baskol!$E$1831="","",[2]Baskol!$E$1831)</f>
        <v/>
      </c>
      <c r="X1828">
        <f>IF([2]Baskol!$G$1831="","",[2]Baskol!$G$1831)</f>
        <v/>
      </c>
      <c r="Y1828">
        <f>IF([2]Baskol!$I$1831="","",[2]Baskol!$I$1831)</f>
        <v/>
      </c>
      <c r="Z1828">
        <f>IF([2]Baskol!$J$1831="","",[2]Baskol!$J$1831)</f>
        <v/>
      </c>
      <c r="AA1828">
        <f>IF([2]Baskol!$K$1831="","",[2]Baskol!$K$1831)</f>
        <v/>
      </c>
      <c r="AB1828">
        <f>IF([2]Baskol!$L$1831="","",[2]Baskol!$L$1831)</f>
        <v/>
      </c>
      <c r="AC1828">
        <f>IF([2]Baskol!$N$1831="","",[2]Baskol!$N$1831)</f>
        <v/>
      </c>
      <c r="AD1828">
        <f>IF([2]Baskol!$O$1831="","",[2]Baskol!$O$1831)</f>
        <v/>
      </c>
      <c r="AE1828">
        <f>IF([3]Entry!$C$1831="","",[3]Entry!$C$1831)</f>
        <v/>
      </c>
      <c r="AF1828">
        <f>IF([3]Entry!$D$1831="","",[3]Entry!$D$1831)</f>
        <v/>
      </c>
      <c r="AG1828">
        <f>IF([3]Entry!$E$1831="","",[3]Entry!$E$1831)</f>
        <v/>
      </c>
      <c r="AH1828">
        <f>IF([3]Entry!$G$1831="","",[3]Entry!$G$1831)</f>
        <v/>
      </c>
      <c r="AI1828">
        <f>IF([3]Entry!$K$1831="","",[3]Entry!$K$1831)</f>
        <v/>
      </c>
      <c r="AJ1828">
        <f>IF([3]Entry!$L$1831="","",[3]Entry!$L$1831)</f>
        <v/>
      </c>
      <c r="AK1828">
        <f>IF([3]Entry!$M$1831="","",[3]Entry!$M$1831)</f>
        <v/>
      </c>
      <c r="AL1828">
        <f>IF([3]Entry!$N$1831="","",[3]Entry!$N$1831)</f>
        <v/>
      </c>
      <c r="AM1828">
        <f>IF([3]Entry!$R$1831="","",[3]Entry!$R$1831)</f>
        <v/>
      </c>
    </row>
    <row r="1829">
      <c r="T1829">
        <f>IF([2]Baskol!$B$1832="","",[2]Baskol!$B$1832)</f>
        <v/>
      </c>
      <c r="U1829">
        <f>IF([2]Baskol!$C$1832="","",[2]Baskol!$C$1832)</f>
        <v/>
      </c>
      <c r="V1829">
        <f>IF([2]Baskol!$D$1832="","",[2]Baskol!$D$1832)</f>
        <v/>
      </c>
      <c r="W1829">
        <f>IF([2]Baskol!$E$1832="","",[2]Baskol!$E$1832)</f>
        <v/>
      </c>
      <c r="X1829">
        <f>IF([2]Baskol!$G$1832="","",[2]Baskol!$G$1832)</f>
        <v/>
      </c>
      <c r="Y1829">
        <f>IF([2]Baskol!$I$1832="","",[2]Baskol!$I$1832)</f>
        <v/>
      </c>
      <c r="Z1829">
        <f>IF([2]Baskol!$J$1832="","",[2]Baskol!$J$1832)</f>
        <v/>
      </c>
      <c r="AA1829">
        <f>IF([2]Baskol!$K$1832="","",[2]Baskol!$K$1832)</f>
        <v/>
      </c>
      <c r="AB1829">
        <f>IF([2]Baskol!$L$1832="","",[2]Baskol!$L$1832)</f>
        <v/>
      </c>
      <c r="AC1829">
        <f>IF([2]Baskol!$N$1832="","",[2]Baskol!$N$1832)</f>
        <v/>
      </c>
      <c r="AD1829">
        <f>IF([2]Baskol!$O$1832="","",[2]Baskol!$O$1832)</f>
        <v/>
      </c>
      <c r="AE1829">
        <f>IF([3]Entry!$C$1832="","",[3]Entry!$C$1832)</f>
        <v/>
      </c>
      <c r="AF1829">
        <f>IF([3]Entry!$D$1832="","",[3]Entry!$D$1832)</f>
        <v/>
      </c>
      <c r="AG1829">
        <f>IF([3]Entry!$E$1832="","",[3]Entry!$E$1832)</f>
        <v/>
      </c>
      <c r="AH1829">
        <f>IF([3]Entry!$G$1832="","",[3]Entry!$G$1832)</f>
        <v/>
      </c>
      <c r="AI1829">
        <f>IF([3]Entry!$K$1832="","",[3]Entry!$K$1832)</f>
        <v/>
      </c>
      <c r="AJ1829">
        <f>IF([3]Entry!$L$1832="","",[3]Entry!$L$1832)</f>
        <v/>
      </c>
      <c r="AK1829">
        <f>IF([3]Entry!$M$1832="","",[3]Entry!$M$1832)</f>
        <v/>
      </c>
      <c r="AL1829">
        <f>IF([3]Entry!$N$1832="","",[3]Entry!$N$1832)</f>
        <v/>
      </c>
      <c r="AM1829">
        <f>IF([3]Entry!$R$1832="","",[3]Entry!$R$1832)</f>
        <v/>
      </c>
    </row>
    <row r="1830">
      <c r="T1830">
        <f>IF([2]Baskol!$B$1833="","",[2]Baskol!$B$1833)</f>
        <v/>
      </c>
      <c r="U1830">
        <f>IF([2]Baskol!$C$1833="","",[2]Baskol!$C$1833)</f>
        <v/>
      </c>
      <c r="V1830">
        <f>IF([2]Baskol!$D$1833="","",[2]Baskol!$D$1833)</f>
        <v/>
      </c>
      <c r="W1830">
        <f>IF([2]Baskol!$E$1833="","",[2]Baskol!$E$1833)</f>
        <v/>
      </c>
      <c r="X1830">
        <f>IF([2]Baskol!$G$1833="","",[2]Baskol!$G$1833)</f>
        <v/>
      </c>
      <c r="Y1830">
        <f>IF([2]Baskol!$I$1833="","",[2]Baskol!$I$1833)</f>
        <v/>
      </c>
      <c r="Z1830">
        <f>IF([2]Baskol!$J$1833="","",[2]Baskol!$J$1833)</f>
        <v/>
      </c>
      <c r="AA1830">
        <f>IF([2]Baskol!$K$1833="","",[2]Baskol!$K$1833)</f>
        <v/>
      </c>
      <c r="AB1830">
        <f>IF([2]Baskol!$L$1833="","",[2]Baskol!$L$1833)</f>
        <v/>
      </c>
      <c r="AC1830">
        <f>IF([2]Baskol!$N$1833="","",[2]Baskol!$N$1833)</f>
        <v/>
      </c>
      <c r="AD1830">
        <f>IF([2]Baskol!$O$1833="","",[2]Baskol!$O$1833)</f>
        <v/>
      </c>
      <c r="AE1830">
        <f>IF([3]Entry!$C$1833="","",[3]Entry!$C$1833)</f>
        <v/>
      </c>
      <c r="AF1830">
        <f>IF([3]Entry!$D$1833="","",[3]Entry!$D$1833)</f>
        <v/>
      </c>
      <c r="AG1830">
        <f>IF([3]Entry!$E$1833="","",[3]Entry!$E$1833)</f>
        <v/>
      </c>
      <c r="AH1830">
        <f>IF([3]Entry!$G$1833="","",[3]Entry!$G$1833)</f>
        <v/>
      </c>
      <c r="AI1830">
        <f>IF([3]Entry!$K$1833="","",[3]Entry!$K$1833)</f>
        <v/>
      </c>
      <c r="AJ1830">
        <f>IF([3]Entry!$L$1833="","",[3]Entry!$L$1833)</f>
        <v/>
      </c>
      <c r="AK1830">
        <f>IF([3]Entry!$M$1833="","",[3]Entry!$M$1833)</f>
        <v/>
      </c>
      <c r="AL1830">
        <f>IF([3]Entry!$N$1833="","",[3]Entry!$N$1833)</f>
        <v/>
      </c>
      <c r="AM1830">
        <f>IF([3]Entry!$R$1833="","",[3]Entry!$R$1833)</f>
        <v/>
      </c>
    </row>
    <row r="1831">
      <c r="T1831">
        <f>IF([2]Baskol!$B$1834="","",[2]Baskol!$B$1834)</f>
        <v/>
      </c>
      <c r="U1831">
        <f>IF([2]Baskol!$C$1834="","",[2]Baskol!$C$1834)</f>
        <v/>
      </c>
      <c r="V1831">
        <f>IF([2]Baskol!$D$1834="","",[2]Baskol!$D$1834)</f>
        <v/>
      </c>
      <c r="W1831">
        <f>IF([2]Baskol!$E$1834="","",[2]Baskol!$E$1834)</f>
        <v/>
      </c>
      <c r="X1831">
        <f>IF([2]Baskol!$G$1834="","",[2]Baskol!$G$1834)</f>
        <v/>
      </c>
      <c r="Y1831">
        <f>IF([2]Baskol!$I$1834="","",[2]Baskol!$I$1834)</f>
        <v/>
      </c>
      <c r="Z1831">
        <f>IF([2]Baskol!$J$1834="","",[2]Baskol!$J$1834)</f>
        <v/>
      </c>
      <c r="AA1831">
        <f>IF([2]Baskol!$K$1834="","",[2]Baskol!$K$1834)</f>
        <v/>
      </c>
      <c r="AB1831">
        <f>IF([2]Baskol!$L$1834="","",[2]Baskol!$L$1834)</f>
        <v/>
      </c>
      <c r="AC1831">
        <f>IF([2]Baskol!$N$1834="","",[2]Baskol!$N$1834)</f>
        <v/>
      </c>
      <c r="AD1831">
        <f>IF([2]Baskol!$O$1834="","",[2]Baskol!$O$1834)</f>
        <v/>
      </c>
      <c r="AE1831">
        <f>IF([3]Entry!$C$1834="","",[3]Entry!$C$1834)</f>
        <v/>
      </c>
      <c r="AF1831">
        <f>IF([3]Entry!$D$1834="","",[3]Entry!$D$1834)</f>
        <v/>
      </c>
      <c r="AG1831">
        <f>IF([3]Entry!$E$1834="","",[3]Entry!$E$1834)</f>
        <v/>
      </c>
      <c r="AH1831">
        <f>IF([3]Entry!$G$1834="","",[3]Entry!$G$1834)</f>
        <v/>
      </c>
      <c r="AI1831">
        <f>IF([3]Entry!$K$1834="","",[3]Entry!$K$1834)</f>
        <v/>
      </c>
      <c r="AJ1831">
        <f>IF([3]Entry!$L$1834="","",[3]Entry!$L$1834)</f>
        <v/>
      </c>
      <c r="AK1831">
        <f>IF([3]Entry!$M$1834="","",[3]Entry!$M$1834)</f>
        <v/>
      </c>
      <c r="AL1831">
        <f>IF([3]Entry!$N$1834="","",[3]Entry!$N$1834)</f>
        <v/>
      </c>
      <c r="AM1831">
        <f>IF([3]Entry!$R$1834="","",[3]Entry!$R$1834)</f>
        <v/>
      </c>
    </row>
    <row r="1832">
      <c r="T1832">
        <f>IF([2]Baskol!$B$1835="","",[2]Baskol!$B$1835)</f>
        <v/>
      </c>
      <c r="U1832">
        <f>IF([2]Baskol!$C$1835="","",[2]Baskol!$C$1835)</f>
        <v/>
      </c>
      <c r="V1832">
        <f>IF([2]Baskol!$D$1835="","",[2]Baskol!$D$1835)</f>
        <v/>
      </c>
      <c r="W1832">
        <f>IF([2]Baskol!$E$1835="","",[2]Baskol!$E$1835)</f>
        <v/>
      </c>
      <c r="X1832">
        <f>IF([2]Baskol!$G$1835="","",[2]Baskol!$G$1835)</f>
        <v/>
      </c>
      <c r="Y1832">
        <f>IF([2]Baskol!$I$1835="","",[2]Baskol!$I$1835)</f>
        <v/>
      </c>
      <c r="Z1832">
        <f>IF([2]Baskol!$J$1835="","",[2]Baskol!$J$1835)</f>
        <v/>
      </c>
      <c r="AA1832">
        <f>IF([2]Baskol!$K$1835="","",[2]Baskol!$K$1835)</f>
        <v/>
      </c>
      <c r="AB1832">
        <f>IF([2]Baskol!$L$1835="","",[2]Baskol!$L$1835)</f>
        <v/>
      </c>
      <c r="AC1832">
        <f>IF([2]Baskol!$N$1835="","",[2]Baskol!$N$1835)</f>
        <v/>
      </c>
      <c r="AD1832">
        <f>IF([2]Baskol!$O$1835="","",[2]Baskol!$O$1835)</f>
        <v/>
      </c>
      <c r="AE1832">
        <f>IF([3]Entry!$C$1835="","",[3]Entry!$C$1835)</f>
        <v/>
      </c>
      <c r="AF1832">
        <f>IF([3]Entry!$D$1835="","",[3]Entry!$D$1835)</f>
        <v/>
      </c>
      <c r="AG1832">
        <f>IF([3]Entry!$E$1835="","",[3]Entry!$E$1835)</f>
        <v/>
      </c>
      <c r="AH1832">
        <f>IF([3]Entry!$G$1835="","",[3]Entry!$G$1835)</f>
        <v/>
      </c>
      <c r="AI1832">
        <f>IF([3]Entry!$K$1835="","",[3]Entry!$K$1835)</f>
        <v/>
      </c>
      <c r="AJ1832">
        <f>IF([3]Entry!$L$1835="","",[3]Entry!$L$1835)</f>
        <v/>
      </c>
      <c r="AK1832">
        <f>IF([3]Entry!$M$1835="","",[3]Entry!$M$1835)</f>
        <v/>
      </c>
      <c r="AL1832">
        <f>IF([3]Entry!$N$1835="","",[3]Entry!$N$1835)</f>
        <v/>
      </c>
      <c r="AM1832">
        <f>IF([3]Entry!$R$1835="","",[3]Entry!$R$1835)</f>
        <v/>
      </c>
    </row>
    <row r="1833">
      <c r="T1833">
        <f>IF([2]Baskol!$B$1836="","",[2]Baskol!$B$1836)</f>
        <v/>
      </c>
      <c r="U1833">
        <f>IF([2]Baskol!$C$1836="","",[2]Baskol!$C$1836)</f>
        <v/>
      </c>
      <c r="V1833">
        <f>IF([2]Baskol!$D$1836="","",[2]Baskol!$D$1836)</f>
        <v/>
      </c>
      <c r="W1833">
        <f>IF([2]Baskol!$E$1836="","",[2]Baskol!$E$1836)</f>
        <v/>
      </c>
      <c r="X1833">
        <f>IF([2]Baskol!$G$1836="","",[2]Baskol!$G$1836)</f>
        <v/>
      </c>
      <c r="Y1833">
        <f>IF([2]Baskol!$I$1836="","",[2]Baskol!$I$1836)</f>
        <v/>
      </c>
      <c r="Z1833">
        <f>IF([2]Baskol!$J$1836="","",[2]Baskol!$J$1836)</f>
        <v/>
      </c>
      <c r="AA1833">
        <f>IF([2]Baskol!$K$1836="","",[2]Baskol!$K$1836)</f>
        <v/>
      </c>
      <c r="AB1833">
        <f>IF([2]Baskol!$L$1836="","",[2]Baskol!$L$1836)</f>
        <v/>
      </c>
      <c r="AC1833">
        <f>IF([2]Baskol!$N$1836="","",[2]Baskol!$N$1836)</f>
        <v/>
      </c>
      <c r="AD1833">
        <f>IF([2]Baskol!$O$1836="","",[2]Baskol!$O$1836)</f>
        <v/>
      </c>
      <c r="AE1833">
        <f>IF([3]Entry!$C$1836="","",[3]Entry!$C$1836)</f>
        <v/>
      </c>
      <c r="AF1833">
        <f>IF([3]Entry!$D$1836="","",[3]Entry!$D$1836)</f>
        <v/>
      </c>
      <c r="AG1833">
        <f>IF([3]Entry!$E$1836="","",[3]Entry!$E$1836)</f>
        <v/>
      </c>
      <c r="AH1833">
        <f>IF([3]Entry!$G$1836="","",[3]Entry!$G$1836)</f>
        <v/>
      </c>
      <c r="AI1833">
        <f>IF([3]Entry!$K$1836="","",[3]Entry!$K$1836)</f>
        <v/>
      </c>
      <c r="AJ1833">
        <f>IF([3]Entry!$L$1836="","",[3]Entry!$L$1836)</f>
        <v/>
      </c>
      <c r="AK1833">
        <f>IF([3]Entry!$M$1836="","",[3]Entry!$M$1836)</f>
        <v/>
      </c>
      <c r="AL1833">
        <f>IF([3]Entry!$N$1836="","",[3]Entry!$N$1836)</f>
        <v/>
      </c>
      <c r="AM1833">
        <f>IF([3]Entry!$R$1836="","",[3]Entry!$R$1836)</f>
        <v/>
      </c>
    </row>
    <row r="1834">
      <c r="T1834">
        <f>IF([2]Baskol!$B$1837="","",[2]Baskol!$B$1837)</f>
        <v/>
      </c>
      <c r="U1834">
        <f>IF([2]Baskol!$C$1837="","",[2]Baskol!$C$1837)</f>
        <v/>
      </c>
      <c r="V1834">
        <f>IF([2]Baskol!$D$1837="","",[2]Baskol!$D$1837)</f>
        <v/>
      </c>
      <c r="W1834">
        <f>IF([2]Baskol!$E$1837="","",[2]Baskol!$E$1837)</f>
        <v/>
      </c>
      <c r="X1834">
        <f>IF([2]Baskol!$G$1837="","",[2]Baskol!$G$1837)</f>
        <v/>
      </c>
      <c r="Y1834">
        <f>IF([2]Baskol!$I$1837="","",[2]Baskol!$I$1837)</f>
        <v/>
      </c>
      <c r="Z1834">
        <f>IF([2]Baskol!$J$1837="","",[2]Baskol!$J$1837)</f>
        <v/>
      </c>
      <c r="AA1834">
        <f>IF([2]Baskol!$K$1837="","",[2]Baskol!$K$1837)</f>
        <v/>
      </c>
      <c r="AB1834">
        <f>IF([2]Baskol!$L$1837="","",[2]Baskol!$L$1837)</f>
        <v/>
      </c>
      <c r="AC1834">
        <f>IF([2]Baskol!$N$1837="","",[2]Baskol!$N$1837)</f>
        <v/>
      </c>
      <c r="AD1834">
        <f>IF([2]Baskol!$O$1837="","",[2]Baskol!$O$1837)</f>
        <v/>
      </c>
      <c r="AE1834">
        <f>IF([3]Entry!$C$1837="","",[3]Entry!$C$1837)</f>
        <v/>
      </c>
      <c r="AF1834">
        <f>IF([3]Entry!$D$1837="","",[3]Entry!$D$1837)</f>
        <v/>
      </c>
      <c r="AG1834">
        <f>IF([3]Entry!$E$1837="","",[3]Entry!$E$1837)</f>
        <v/>
      </c>
      <c r="AH1834">
        <f>IF([3]Entry!$G$1837="","",[3]Entry!$G$1837)</f>
        <v/>
      </c>
      <c r="AI1834">
        <f>IF([3]Entry!$K$1837="","",[3]Entry!$K$1837)</f>
        <v/>
      </c>
      <c r="AJ1834">
        <f>IF([3]Entry!$L$1837="","",[3]Entry!$L$1837)</f>
        <v/>
      </c>
      <c r="AK1834">
        <f>IF([3]Entry!$M$1837="","",[3]Entry!$M$1837)</f>
        <v/>
      </c>
      <c r="AL1834">
        <f>IF([3]Entry!$N$1837="","",[3]Entry!$N$1837)</f>
        <v/>
      </c>
      <c r="AM1834">
        <f>IF([3]Entry!$R$1837="","",[3]Entry!$R$1837)</f>
        <v/>
      </c>
    </row>
    <row r="1835">
      <c r="T1835">
        <f>IF([2]Baskol!$B$1838="","",[2]Baskol!$B$1838)</f>
        <v/>
      </c>
      <c r="U1835">
        <f>IF([2]Baskol!$C$1838="","",[2]Baskol!$C$1838)</f>
        <v/>
      </c>
      <c r="V1835">
        <f>IF([2]Baskol!$D$1838="","",[2]Baskol!$D$1838)</f>
        <v/>
      </c>
      <c r="W1835">
        <f>IF([2]Baskol!$E$1838="","",[2]Baskol!$E$1838)</f>
        <v/>
      </c>
      <c r="X1835">
        <f>IF([2]Baskol!$G$1838="","",[2]Baskol!$G$1838)</f>
        <v/>
      </c>
      <c r="Y1835">
        <f>IF([2]Baskol!$I$1838="","",[2]Baskol!$I$1838)</f>
        <v/>
      </c>
      <c r="Z1835">
        <f>IF([2]Baskol!$J$1838="","",[2]Baskol!$J$1838)</f>
        <v/>
      </c>
      <c r="AA1835">
        <f>IF([2]Baskol!$K$1838="","",[2]Baskol!$K$1838)</f>
        <v/>
      </c>
      <c r="AB1835">
        <f>IF([2]Baskol!$L$1838="","",[2]Baskol!$L$1838)</f>
        <v/>
      </c>
      <c r="AC1835">
        <f>IF([2]Baskol!$N$1838="","",[2]Baskol!$N$1838)</f>
        <v/>
      </c>
      <c r="AD1835">
        <f>IF([2]Baskol!$O$1838="","",[2]Baskol!$O$1838)</f>
        <v/>
      </c>
      <c r="AE1835">
        <f>IF([3]Entry!$C$1838="","",[3]Entry!$C$1838)</f>
        <v/>
      </c>
      <c r="AF1835">
        <f>IF([3]Entry!$D$1838="","",[3]Entry!$D$1838)</f>
        <v/>
      </c>
      <c r="AG1835">
        <f>IF([3]Entry!$E$1838="","",[3]Entry!$E$1838)</f>
        <v/>
      </c>
      <c r="AH1835">
        <f>IF([3]Entry!$G$1838="","",[3]Entry!$G$1838)</f>
        <v/>
      </c>
      <c r="AI1835">
        <f>IF([3]Entry!$K$1838="","",[3]Entry!$K$1838)</f>
        <v/>
      </c>
      <c r="AJ1835">
        <f>IF([3]Entry!$L$1838="","",[3]Entry!$L$1838)</f>
        <v/>
      </c>
      <c r="AK1835">
        <f>IF([3]Entry!$M$1838="","",[3]Entry!$M$1838)</f>
        <v/>
      </c>
      <c r="AL1835">
        <f>IF([3]Entry!$N$1838="","",[3]Entry!$N$1838)</f>
        <v/>
      </c>
      <c r="AM1835">
        <f>IF([3]Entry!$R$1838="","",[3]Entry!$R$1838)</f>
        <v/>
      </c>
    </row>
    <row r="1836">
      <c r="T1836">
        <f>IF([2]Baskol!$B$1839="","",[2]Baskol!$B$1839)</f>
        <v/>
      </c>
      <c r="U1836">
        <f>IF([2]Baskol!$C$1839="","",[2]Baskol!$C$1839)</f>
        <v/>
      </c>
      <c r="V1836">
        <f>IF([2]Baskol!$D$1839="","",[2]Baskol!$D$1839)</f>
        <v/>
      </c>
      <c r="W1836">
        <f>IF([2]Baskol!$E$1839="","",[2]Baskol!$E$1839)</f>
        <v/>
      </c>
      <c r="X1836">
        <f>IF([2]Baskol!$G$1839="","",[2]Baskol!$G$1839)</f>
        <v/>
      </c>
      <c r="Y1836">
        <f>IF([2]Baskol!$I$1839="","",[2]Baskol!$I$1839)</f>
        <v/>
      </c>
      <c r="Z1836">
        <f>IF([2]Baskol!$J$1839="","",[2]Baskol!$J$1839)</f>
        <v/>
      </c>
      <c r="AA1836">
        <f>IF([2]Baskol!$K$1839="","",[2]Baskol!$K$1839)</f>
        <v/>
      </c>
      <c r="AB1836">
        <f>IF([2]Baskol!$L$1839="","",[2]Baskol!$L$1839)</f>
        <v/>
      </c>
      <c r="AC1836">
        <f>IF([2]Baskol!$N$1839="","",[2]Baskol!$N$1839)</f>
        <v/>
      </c>
      <c r="AD1836">
        <f>IF([2]Baskol!$O$1839="","",[2]Baskol!$O$1839)</f>
        <v/>
      </c>
      <c r="AE1836">
        <f>IF([3]Entry!$C$1839="","",[3]Entry!$C$1839)</f>
        <v/>
      </c>
      <c r="AF1836">
        <f>IF([3]Entry!$D$1839="","",[3]Entry!$D$1839)</f>
        <v/>
      </c>
      <c r="AG1836">
        <f>IF([3]Entry!$E$1839="","",[3]Entry!$E$1839)</f>
        <v/>
      </c>
      <c r="AH1836">
        <f>IF([3]Entry!$G$1839="","",[3]Entry!$G$1839)</f>
        <v/>
      </c>
      <c r="AI1836">
        <f>IF([3]Entry!$K$1839="","",[3]Entry!$K$1839)</f>
        <v/>
      </c>
      <c r="AJ1836">
        <f>IF([3]Entry!$L$1839="","",[3]Entry!$L$1839)</f>
        <v/>
      </c>
      <c r="AK1836">
        <f>IF([3]Entry!$M$1839="","",[3]Entry!$M$1839)</f>
        <v/>
      </c>
      <c r="AL1836">
        <f>IF([3]Entry!$N$1839="","",[3]Entry!$N$1839)</f>
        <v/>
      </c>
      <c r="AM1836">
        <f>IF([3]Entry!$R$1839="","",[3]Entry!$R$1839)</f>
        <v/>
      </c>
    </row>
    <row r="1837">
      <c r="T1837">
        <f>IF([2]Baskol!$B$1840="","",[2]Baskol!$B$1840)</f>
        <v/>
      </c>
      <c r="U1837">
        <f>IF([2]Baskol!$C$1840="","",[2]Baskol!$C$1840)</f>
        <v/>
      </c>
      <c r="V1837">
        <f>IF([2]Baskol!$D$1840="","",[2]Baskol!$D$1840)</f>
        <v/>
      </c>
      <c r="W1837">
        <f>IF([2]Baskol!$E$1840="","",[2]Baskol!$E$1840)</f>
        <v/>
      </c>
      <c r="X1837">
        <f>IF([2]Baskol!$G$1840="","",[2]Baskol!$G$1840)</f>
        <v/>
      </c>
      <c r="Y1837">
        <f>IF([2]Baskol!$I$1840="","",[2]Baskol!$I$1840)</f>
        <v/>
      </c>
      <c r="Z1837">
        <f>IF([2]Baskol!$J$1840="","",[2]Baskol!$J$1840)</f>
        <v/>
      </c>
      <c r="AA1837">
        <f>IF([2]Baskol!$K$1840="","",[2]Baskol!$K$1840)</f>
        <v/>
      </c>
      <c r="AB1837">
        <f>IF([2]Baskol!$L$1840="","",[2]Baskol!$L$1840)</f>
        <v/>
      </c>
      <c r="AC1837">
        <f>IF([2]Baskol!$N$1840="","",[2]Baskol!$N$1840)</f>
        <v/>
      </c>
      <c r="AD1837">
        <f>IF([2]Baskol!$O$1840="","",[2]Baskol!$O$1840)</f>
        <v/>
      </c>
      <c r="AE1837">
        <f>IF([3]Entry!$C$1840="","",[3]Entry!$C$1840)</f>
        <v/>
      </c>
      <c r="AF1837">
        <f>IF([3]Entry!$D$1840="","",[3]Entry!$D$1840)</f>
        <v/>
      </c>
      <c r="AG1837">
        <f>IF([3]Entry!$E$1840="","",[3]Entry!$E$1840)</f>
        <v/>
      </c>
      <c r="AH1837">
        <f>IF([3]Entry!$G$1840="","",[3]Entry!$G$1840)</f>
        <v/>
      </c>
      <c r="AI1837">
        <f>IF([3]Entry!$K$1840="","",[3]Entry!$K$1840)</f>
        <v/>
      </c>
      <c r="AJ1837">
        <f>IF([3]Entry!$L$1840="","",[3]Entry!$L$1840)</f>
        <v/>
      </c>
      <c r="AK1837">
        <f>IF([3]Entry!$M$1840="","",[3]Entry!$M$1840)</f>
        <v/>
      </c>
      <c r="AL1837">
        <f>IF([3]Entry!$N$1840="","",[3]Entry!$N$1840)</f>
        <v/>
      </c>
      <c r="AM1837">
        <f>IF([3]Entry!$R$1840="","",[3]Entry!$R$1840)</f>
        <v/>
      </c>
    </row>
    <row r="1838">
      <c r="T1838">
        <f>IF([2]Baskol!$B$1841="","",[2]Baskol!$B$1841)</f>
        <v/>
      </c>
      <c r="U1838">
        <f>IF([2]Baskol!$C$1841="","",[2]Baskol!$C$1841)</f>
        <v/>
      </c>
      <c r="V1838">
        <f>IF([2]Baskol!$D$1841="","",[2]Baskol!$D$1841)</f>
        <v/>
      </c>
      <c r="W1838">
        <f>IF([2]Baskol!$E$1841="","",[2]Baskol!$E$1841)</f>
        <v/>
      </c>
      <c r="X1838">
        <f>IF([2]Baskol!$G$1841="","",[2]Baskol!$G$1841)</f>
        <v/>
      </c>
      <c r="Y1838">
        <f>IF([2]Baskol!$I$1841="","",[2]Baskol!$I$1841)</f>
        <v/>
      </c>
      <c r="Z1838">
        <f>IF([2]Baskol!$J$1841="","",[2]Baskol!$J$1841)</f>
        <v/>
      </c>
      <c r="AA1838">
        <f>IF([2]Baskol!$K$1841="","",[2]Baskol!$K$1841)</f>
        <v/>
      </c>
      <c r="AB1838">
        <f>IF([2]Baskol!$L$1841="","",[2]Baskol!$L$1841)</f>
        <v/>
      </c>
      <c r="AC1838">
        <f>IF([2]Baskol!$N$1841="","",[2]Baskol!$N$1841)</f>
        <v/>
      </c>
      <c r="AD1838">
        <f>IF([2]Baskol!$O$1841="","",[2]Baskol!$O$1841)</f>
        <v/>
      </c>
      <c r="AE1838">
        <f>IF([3]Entry!$C$1841="","",[3]Entry!$C$1841)</f>
        <v/>
      </c>
      <c r="AF1838">
        <f>IF([3]Entry!$D$1841="","",[3]Entry!$D$1841)</f>
        <v/>
      </c>
      <c r="AG1838">
        <f>IF([3]Entry!$E$1841="","",[3]Entry!$E$1841)</f>
        <v/>
      </c>
      <c r="AH1838">
        <f>IF([3]Entry!$G$1841="","",[3]Entry!$G$1841)</f>
        <v/>
      </c>
      <c r="AI1838">
        <f>IF([3]Entry!$K$1841="","",[3]Entry!$K$1841)</f>
        <v/>
      </c>
      <c r="AJ1838">
        <f>IF([3]Entry!$L$1841="","",[3]Entry!$L$1841)</f>
        <v/>
      </c>
      <c r="AK1838">
        <f>IF([3]Entry!$M$1841="","",[3]Entry!$M$1841)</f>
        <v/>
      </c>
      <c r="AL1838">
        <f>IF([3]Entry!$N$1841="","",[3]Entry!$N$1841)</f>
        <v/>
      </c>
      <c r="AM1838">
        <f>IF([3]Entry!$R$1841="","",[3]Entry!$R$1841)</f>
        <v/>
      </c>
    </row>
    <row r="1839">
      <c r="T1839">
        <f>IF([2]Baskol!$B$1842="","",[2]Baskol!$B$1842)</f>
        <v/>
      </c>
      <c r="U1839">
        <f>IF([2]Baskol!$C$1842="","",[2]Baskol!$C$1842)</f>
        <v/>
      </c>
      <c r="V1839">
        <f>IF([2]Baskol!$D$1842="","",[2]Baskol!$D$1842)</f>
        <v/>
      </c>
      <c r="W1839">
        <f>IF([2]Baskol!$E$1842="","",[2]Baskol!$E$1842)</f>
        <v/>
      </c>
      <c r="X1839">
        <f>IF([2]Baskol!$G$1842="","",[2]Baskol!$G$1842)</f>
        <v/>
      </c>
      <c r="Y1839">
        <f>IF([2]Baskol!$I$1842="","",[2]Baskol!$I$1842)</f>
        <v/>
      </c>
      <c r="Z1839">
        <f>IF([2]Baskol!$J$1842="","",[2]Baskol!$J$1842)</f>
        <v/>
      </c>
      <c r="AA1839">
        <f>IF([2]Baskol!$K$1842="","",[2]Baskol!$K$1842)</f>
        <v/>
      </c>
      <c r="AB1839">
        <f>IF([2]Baskol!$L$1842="","",[2]Baskol!$L$1842)</f>
        <v/>
      </c>
      <c r="AC1839">
        <f>IF([2]Baskol!$N$1842="","",[2]Baskol!$N$1842)</f>
        <v/>
      </c>
      <c r="AD1839">
        <f>IF([2]Baskol!$O$1842="","",[2]Baskol!$O$1842)</f>
        <v/>
      </c>
      <c r="AE1839">
        <f>IF([3]Entry!$C$1842="","",[3]Entry!$C$1842)</f>
        <v/>
      </c>
      <c r="AF1839">
        <f>IF([3]Entry!$D$1842="","",[3]Entry!$D$1842)</f>
        <v/>
      </c>
      <c r="AG1839">
        <f>IF([3]Entry!$E$1842="","",[3]Entry!$E$1842)</f>
        <v/>
      </c>
      <c r="AH1839">
        <f>IF([3]Entry!$G$1842="","",[3]Entry!$G$1842)</f>
        <v/>
      </c>
      <c r="AI1839">
        <f>IF([3]Entry!$K$1842="","",[3]Entry!$K$1842)</f>
        <v/>
      </c>
      <c r="AJ1839">
        <f>IF([3]Entry!$L$1842="","",[3]Entry!$L$1842)</f>
        <v/>
      </c>
      <c r="AK1839">
        <f>IF([3]Entry!$M$1842="","",[3]Entry!$M$1842)</f>
        <v/>
      </c>
      <c r="AL1839">
        <f>IF([3]Entry!$N$1842="","",[3]Entry!$N$1842)</f>
        <v/>
      </c>
      <c r="AM1839">
        <f>IF([3]Entry!$R$1842="","",[3]Entry!$R$1842)</f>
        <v/>
      </c>
    </row>
    <row r="1840">
      <c r="T1840">
        <f>IF([2]Baskol!$B$1843="","",[2]Baskol!$B$1843)</f>
        <v/>
      </c>
      <c r="U1840">
        <f>IF([2]Baskol!$C$1843="","",[2]Baskol!$C$1843)</f>
        <v/>
      </c>
      <c r="V1840">
        <f>IF([2]Baskol!$D$1843="","",[2]Baskol!$D$1843)</f>
        <v/>
      </c>
      <c r="W1840">
        <f>IF([2]Baskol!$E$1843="","",[2]Baskol!$E$1843)</f>
        <v/>
      </c>
      <c r="X1840">
        <f>IF([2]Baskol!$G$1843="","",[2]Baskol!$G$1843)</f>
        <v/>
      </c>
      <c r="Y1840">
        <f>IF([2]Baskol!$I$1843="","",[2]Baskol!$I$1843)</f>
        <v/>
      </c>
      <c r="Z1840">
        <f>IF([2]Baskol!$J$1843="","",[2]Baskol!$J$1843)</f>
        <v/>
      </c>
      <c r="AA1840">
        <f>IF([2]Baskol!$K$1843="","",[2]Baskol!$K$1843)</f>
        <v/>
      </c>
      <c r="AB1840">
        <f>IF([2]Baskol!$L$1843="","",[2]Baskol!$L$1843)</f>
        <v/>
      </c>
      <c r="AC1840">
        <f>IF([2]Baskol!$N$1843="","",[2]Baskol!$N$1843)</f>
        <v/>
      </c>
      <c r="AD1840">
        <f>IF([2]Baskol!$O$1843="","",[2]Baskol!$O$1843)</f>
        <v/>
      </c>
      <c r="AE1840">
        <f>IF([3]Entry!$C$1843="","",[3]Entry!$C$1843)</f>
        <v/>
      </c>
      <c r="AF1840">
        <f>IF([3]Entry!$D$1843="","",[3]Entry!$D$1843)</f>
        <v/>
      </c>
      <c r="AG1840">
        <f>IF([3]Entry!$E$1843="","",[3]Entry!$E$1843)</f>
        <v/>
      </c>
      <c r="AH1840">
        <f>IF([3]Entry!$G$1843="","",[3]Entry!$G$1843)</f>
        <v/>
      </c>
      <c r="AI1840">
        <f>IF([3]Entry!$K$1843="","",[3]Entry!$K$1843)</f>
        <v/>
      </c>
      <c r="AJ1840">
        <f>IF([3]Entry!$L$1843="","",[3]Entry!$L$1843)</f>
        <v/>
      </c>
      <c r="AK1840">
        <f>IF([3]Entry!$M$1843="","",[3]Entry!$M$1843)</f>
        <v/>
      </c>
      <c r="AL1840">
        <f>IF([3]Entry!$N$1843="","",[3]Entry!$N$1843)</f>
        <v/>
      </c>
      <c r="AM1840">
        <f>IF([3]Entry!$R$1843="","",[3]Entry!$R$1843)</f>
        <v/>
      </c>
    </row>
    <row r="1841">
      <c r="T1841">
        <f>IF([2]Baskol!$B$1844="","",[2]Baskol!$B$1844)</f>
        <v/>
      </c>
      <c r="U1841">
        <f>IF([2]Baskol!$C$1844="","",[2]Baskol!$C$1844)</f>
        <v/>
      </c>
      <c r="V1841">
        <f>IF([2]Baskol!$D$1844="","",[2]Baskol!$D$1844)</f>
        <v/>
      </c>
      <c r="W1841">
        <f>IF([2]Baskol!$E$1844="","",[2]Baskol!$E$1844)</f>
        <v/>
      </c>
      <c r="X1841">
        <f>IF([2]Baskol!$G$1844="","",[2]Baskol!$G$1844)</f>
        <v/>
      </c>
      <c r="Y1841">
        <f>IF([2]Baskol!$I$1844="","",[2]Baskol!$I$1844)</f>
        <v/>
      </c>
      <c r="Z1841">
        <f>IF([2]Baskol!$J$1844="","",[2]Baskol!$J$1844)</f>
        <v/>
      </c>
      <c r="AA1841">
        <f>IF([2]Baskol!$K$1844="","",[2]Baskol!$K$1844)</f>
        <v/>
      </c>
      <c r="AB1841">
        <f>IF([2]Baskol!$L$1844="","",[2]Baskol!$L$1844)</f>
        <v/>
      </c>
      <c r="AC1841">
        <f>IF([2]Baskol!$N$1844="","",[2]Baskol!$N$1844)</f>
        <v/>
      </c>
      <c r="AD1841">
        <f>IF([2]Baskol!$O$1844="","",[2]Baskol!$O$1844)</f>
        <v/>
      </c>
      <c r="AE1841">
        <f>IF([3]Entry!$C$1844="","",[3]Entry!$C$1844)</f>
        <v/>
      </c>
      <c r="AF1841">
        <f>IF([3]Entry!$D$1844="","",[3]Entry!$D$1844)</f>
        <v/>
      </c>
      <c r="AG1841">
        <f>IF([3]Entry!$E$1844="","",[3]Entry!$E$1844)</f>
        <v/>
      </c>
      <c r="AH1841">
        <f>IF([3]Entry!$G$1844="","",[3]Entry!$G$1844)</f>
        <v/>
      </c>
      <c r="AI1841">
        <f>IF([3]Entry!$K$1844="","",[3]Entry!$K$1844)</f>
        <v/>
      </c>
      <c r="AJ1841">
        <f>IF([3]Entry!$L$1844="","",[3]Entry!$L$1844)</f>
        <v/>
      </c>
      <c r="AK1841">
        <f>IF([3]Entry!$M$1844="","",[3]Entry!$M$1844)</f>
        <v/>
      </c>
      <c r="AL1841">
        <f>IF([3]Entry!$N$1844="","",[3]Entry!$N$1844)</f>
        <v/>
      </c>
      <c r="AM1841">
        <f>IF([3]Entry!$R$1844="","",[3]Entry!$R$1844)</f>
        <v/>
      </c>
    </row>
    <row r="1842">
      <c r="T1842">
        <f>IF([2]Baskol!$B$1845="","",[2]Baskol!$B$1845)</f>
        <v/>
      </c>
      <c r="U1842">
        <f>IF([2]Baskol!$C$1845="","",[2]Baskol!$C$1845)</f>
        <v/>
      </c>
      <c r="V1842">
        <f>IF([2]Baskol!$D$1845="","",[2]Baskol!$D$1845)</f>
        <v/>
      </c>
      <c r="W1842">
        <f>IF([2]Baskol!$E$1845="","",[2]Baskol!$E$1845)</f>
        <v/>
      </c>
      <c r="X1842">
        <f>IF([2]Baskol!$G$1845="","",[2]Baskol!$G$1845)</f>
        <v/>
      </c>
      <c r="Y1842">
        <f>IF([2]Baskol!$I$1845="","",[2]Baskol!$I$1845)</f>
        <v/>
      </c>
      <c r="Z1842">
        <f>IF([2]Baskol!$J$1845="","",[2]Baskol!$J$1845)</f>
        <v/>
      </c>
      <c r="AA1842">
        <f>IF([2]Baskol!$K$1845="","",[2]Baskol!$K$1845)</f>
        <v/>
      </c>
      <c r="AB1842">
        <f>IF([2]Baskol!$L$1845="","",[2]Baskol!$L$1845)</f>
        <v/>
      </c>
      <c r="AC1842">
        <f>IF([2]Baskol!$N$1845="","",[2]Baskol!$N$1845)</f>
        <v/>
      </c>
      <c r="AD1842">
        <f>IF([2]Baskol!$O$1845="","",[2]Baskol!$O$1845)</f>
        <v/>
      </c>
      <c r="AE1842">
        <f>IF([3]Entry!$C$1845="","",[3]Entry!$C$1845)</f>
        <v/>
      </c>
      <c r="AF1842">
        <f>IF([3]Entry!$D$1845="","",[3]Entry!$D$1845)</f>
        <v/>
      </c>
      <c r="AG1842">
        <f>IF([3]Entry!$E$1845="","",[3]Entry!$E$1845)</f>
        <v/>
      </c>
      <c r="AH1842">
        <f>IF([3]Entry!$G$1845="","",[3]Entry!$G$1845)</f>
        <v/>
      </c>
      <c r="AI1842">
        <f>IF([3]Entry!$K$1845="","",[3]Entry!$K$1845)</f>
        <v/>
      </c>
      <c r="AJ1842">
        <f>IF([3]Entry!$L$1845="","",[3]Entry!$L$1845)</f>
        <v/>
      </c>
      <c r="AK1842">
        <f>IF([3]Entry!$M$1845="","",[3]Entry!$M$1845)</f>
        <v/>
      </c>
      <c r="AL1842">
        <f>IF([3]Entry!$N$1845="","",[3]Entry!$N$1845)</f>
        <v/>
      </c>
      <c r="AM1842">
        <f>IF([3]Entry!$R$1845="","",[3]Entry!$R$1845)</f>
        <v/>
      </c>
    </row>
    <row r="1843">
      <c r="T1843">
        <f>IF([2]Baskol!$B$1846="","",[2]Baskol!$B$1846)</f>
        <v/>
      </c>
      <c r="U1843">
        <f>IF([2]Baskol!$C$1846="","",[2]Baskol!$C$1846)</f>
        <v/>
      </c>
      <c r="V1843">
        <f>IF([2]Baskol!$D$1846="","",[2]Baskol!$D$1846)</f>
        <v/>
      </c>
      <c r="W1843">
        <f>IF([2]Baskol!$E$1846="","",[2]Baskol!$E$1846)</f>
        <v/>
      </c>
      <c r="X1843">
        <f>IF([2]Baskol!$G$1846="","",[2]Baskol!$G$1846)</f>
        <v/>
      </c>
      <c r="Y1843">
        <f>IF([2]Baskol!$I$1846="","",[2]Baskol!$I$1846)</f>
        <v/>
      </c>
      <c r="Z1843">
        <f>IF([2]Baskol!$J$1846="","",[2]Baskol!$J$1846)</f>
        <v/>
      </c>
      <c r="AA1843">
        <f>IF([2]Baskol!$K$1846="","",[2]Baskol!$K$1846)</f>
        <v/>
      </c>
      <c r="AB1843">
        <f>IF([2]Baskol!$L$1846="","",[2]Baskol!$L$1846)</f>
        <v/>
      </c>
      <c r="AC1843">
        <f>IF([2]Baskol!$N$1846="","",[2]Baskol!$N$1846)</f>
        <v/>
      </c>
      <c r="AD1843">
        <f>IF([2]Baskol!$O$1846="","",[2]Baskol!$O$1846)</f>
        <v/>
      </c>
      <c r="AE1843">
        <f>IF([3]Entry!$C$1846="","",[3]Entry!$C$1846)</f>
        <v/>
      </c>
      <c r="AF1843">
        <f>IF([3]Entry!$D$1846="","",[3]Entry!$D$1846)</f>
        <v/>
      </c>
      <c r="AG1843">
        <f>IF([3]Entry!$E$1846="","",[3]Entry!$E$1846)</f>
        <v/>
      </c>
      <c r="AH1843">
        <f>IF([3]Entry!$G$1846="","",[3]Entry!$G$1846)</f>
        <v/>
      </c>
      <c r="AI1843">
        <f>IF([3]Entry!$K$1846="","",[3]Entry!$K$1846)</f>
        <v/>
      </c>
      <c r="AJ1843">
        <f>IF([3]Entry!$L$1846="","",[3]Entry!$L$1846)</f>
        <v/>
      </c>
      <c r="AK1843">
        <f>IF([3]Entry!$M$1846="","",[3]Entry!$M$1846)</f>
        <v/>
      </c>
      <c r="AL1843">
        <f>IF([3]Entry!$N$1846="","",[3]Entry!$N$1846)</f>
        <v/>
      </c>
      <c r="AM1843">
        <f>IF([3]Entry!$R$1846="","",[3]Entry!$R$1846)</f>
        <v/>
      </c>
    </row>
    <row r="1844">
      <c r="T1844">
        <f>IF([2]Baskol!$B$1847="","",[2]Baskol!$B$1847)</f>
        <v/>
      </c>
      <c r="U1844">
        <f>IF([2]Baskol!$C$1847="","",[2]Baskol!$C$1847)</f>
        <v/>
      </c>
      <c r="V1844">
        <f>IF([2]Baskol!$D$1847="","",[2]Baskol!$D$1847)</f>
        <v/>
      </c>
      <c r="W1844">
        <f>IF([2]Baskol!$E$1847="","",[2]Baskol!$E$1847)</f>
        <v/>
      </c>
      <c r="X1844">
        <f>IF([2]Baskol!$G$1847="","",[2]Baskol!$G$1847)</f>
        <v/>
      </c>
      <c r="Y1844">
        <f>IF([2]Baskol!$I$1847="","",[2]Baskol!$I$1847)</f>
        <v/>
      </c>
      <c r="Z1844">
        <f>IF([2]Baskol!$J$1847="","",[2]Baskol!$J$1847)</f>
        <v/>
      </c>
      <c r="AA1844">
        <f>IF([2]Baskol!$K$1847="","",[2]Baskol!$K$1847)</f>
        <v/>
      </c>
      <c r="AB1844">
        <f>IF([2]Baskol!$L$1847="","",[2]Baskol!$L$1847)</f>
        <v/>
      </c>
      <c r="AC1844">
        <f>IF([2]Baskol!$N$1847="","",[2]Baskol!$N$1847)</f>
        <v/>
      </c>
      <c r="AD1844">
        <f>IF([2]Baskol!$O$1847="","",[2]Baskol!$O$1847)</f>
        <v/>
      </c>
      <c r="AE1844">
        <f>IF([3]Entry!$C$1847="","",[3]Entry!$C$1847)</f>
        <v/>
      </c>
      <c r="AF1844">
        <f>IF([3]Entry!$D$1847="","",[3]Entry!$D$1847)</f>
        <v/>
      </c>
      <c r="AG1844">
        <f>IF([3]Entry!$E$1847="","",[3]Entry!$E$1847)</f>
        <v/>
      </c>
      <c r="AH1844">
        <f>IF([3]Entry!$G$1847="","",[3]Entry!$G$1847)</f>
        <v/>
      </c>
      <c r="AI1844">
        <f>IF([3]Entry!$K$1847="","",[3]Entry!$K$1847)</f>
        <v/>
      </c>
      <c r="AJ1844">
        <f>IF([3]Entry!$L$1847="","",[3]Entry!$L$1847)</f>
        <v/>
      </c>
      <c r="AK1844">
        <f>IF([3]Entry!$M$1847="","",[3]Entry!$M$1847)</f>
        <v/>
      </c>
      <c r="AL1844">
        <f>IF([3]Entry!$N$1847="","",[3]Entry!$N$1847)</f>
        <v/>
      </c>
      <c r="AM1844">
        <f>IF([3]Entry!$R$1847="","",[3]Entry!$R$1847)</f>
        <v/>
      </c>
    </row>
    <row r="1845">
      <c r="T1845">
        <f>IF([2]Baskol!$B$1848="","",[2]Baskol!$B$1848)</f>
        <v/>
      </c>
      <c r="U1845">
        <f>IF([2]Baskol!$C$1848="","",[2]Baskol!$C$1848)</f>
        <v/>
      </c>
      <c r="V1845">
        <f>IF([2]Baskol!$D$1848="","",[2]Baskol!$D$1848)</f>
        <v/>
      </c>
      <c r="W1845">
        <f>IF([2]Baskol!$E$1848="","",[2]Baskol!$E$1848)</f>
        <v/>
      </c>
      <c r="X1845">
        <f>IF([2]Baskol!$G$1848="","",[2]Baskol!$G$1848)</f>
        <v/>
      </c>
      <c r="Y1845">
        <f>IF([2]Baskol!$I$1848="","",[2]Baskol!$I$1848)</f>
        <v/>
      </c>
      <c r="Z1845">
        <f>IF([2]Baskol!$J$1848="","",[2]Baskol!$J$1848)</f>
        <v/>
      </c>
      <c r="AA1845">
        <f>IF([2]Baskol!$K$1848="","",[2]Baskol!$K$1848)</f>
        <v/>
      </c>
      <c r="AB1845">
        <f>IF([2]Baskol!$L$1848="","",[2]Baskol!$L$1848)</f>
        <v/>
      </c>
      <c r="AC1845">
        <f>IF([2]Baskol!$N$1848="","",[2]Baskol!$N$1848)</f>
        <v/>
      </c>
      <c r="AD1845">
        <f>IF([2]Baskol!$O$1848="","",[2]Baskol!$O$1848)</f>
        <v/>
      </c>
      <c r="AE1845">
        <f>IF([3]Entry!$C$1848="","",[3]Entry!$C$1848)</f>
        <v/>
      </c>
      <c r="AF1845">
        <f>IF([3]Entry!$D$1848="","",[3]Entry!$D$1848)</f>
        <v/>
      </c>
      <c r="AG1845">
        <f>IF([3]Entry!$E$1848="","",[3]Entry!$E$1848)</f>
        <v/>
      </c>
      <c r="AH1845">
        <f>IF([3]Entry!$G$1848="","",[3]Entry!$G$1848)</f>
        <v/>
      </c>
      <c r="AI1845">
        <f>IF([3]Entry!$K$1848="","",[3]Entry!$K$1848)</f>
        <v/>
      </c>
      <c r="AJ1845">
        <f>IF([3]Entry!$L$1848="","",[3]Entry!$L$1848)</f>
        <v/>
      </c>
      <c r="AK1845">
        <f>IF([3]Entry!$M$1848="","",[3]Entry!$M$1848)</f>
        <v/>
      </c>
      <c r="AL1845">
        <f>IF([3]Entry!$N$1848="","",[3]Entry!$N$1848)</f>
        <v/>
      </c>
      <c r="AM1845">
        <f>IF([3]Entry!$R$1848="","",[3]Entry!$R$1848)</f>
        <v/>
      </c>
    </row>
    <row r="1846">
      <c r="T1846">
        <f>IF([2]Baskol!$B$1849="","",[2]Baskol!$B$1849)</f>
        <v/>
      </c>
      <c r="U1846">
        <f>IF([2]Baskol!$C$1849="","",[2]Baskol!$C$1849)</f>
        <v/>
      </c>
      <c r="V1846">
        <f>IF([2]Baskol!$D$1849="","",[2]Baskol!$D$1849)</f>
        <v/>
      </c>
      <c r="W1846">
        <f>IF([2]Baskol!$E$1849="","",[2]Baskol!$E$1849)</f>
        <v/>
      </c>
      <c r="X1846">
        <f>IF([2]Baskol!$G$1849="","",[2]Baskol!$G$1849)</f>
        <v/>
      </c>
      <c r="Y1846">
        <f>IF([2]Baskol!$I$1849="","",[2]Baskol!$I$1849)</f>
        <v/>
      </c>
      <c r="Z1846">
        <f>IF([2]Baskol!$J$1849="","",[2]Baskol!$J$1849)</f>
        <v/>
      </c>
      <c r="AA1846">
        <f>IF([2]Baskol!$K$1849="","",[2]Baskol!$K$1849)</f>
        <v/>
      </c>
      <c r="AB1846">
        <f>IF([2]Baskol!$L$1849="","",[2]Baskol!$L$1849)</f>
        <v/>
      </c>
      <c r="AC1846">
        <f>IF([2]Baskol!$N$1849="","",[2]Baskol!$N$1849)</f>
        <v/>
      </c>
      <c r="AD1846">
        <f>IF([2]Baskol!$O$1849="","",[2]Baskol!$O$1849)</f>
        <v/>
      </c>
      <c r="AE1846">
        <f>IF([3]Entry!$C$1849="","",[3]Entry!$C$1849)</f>
        <v/>
      </c>
      <c r="AF1846">
        <f>IF([3]Entry!$D$1849="","",[3]Entry!$D$1849)</f>
        <v/>
      </c>
      <c r="AG1846">
        <f>IF([3]Entry!$E$1849="","",[3]Entry!$E$1849)</f>
        <v/>
      </c>
      <c r="AH1846">
        <f>IF([3]Entry!$G$1849="","",[3]Entry!$G$1849)</f>
        <v/>
      </c>
      <c r="AI1846">
        <f>IF([3]Entry!$K$1849="","",[3]Entry!$K$1849)</f>
        <v/>
      </c>
      <c r="AJ1846">
        <f>IF([3]Entry!$L$1849="","",[3]Entry!$L$1849)</f>
        <v/>
      </c>
      <c r="AK1846">
        <f>IF([3]Entry!$M$1849="","",[3]Entry!$M$1849)</f>
        <v/>
      </c>
      <c r="AL1846">
        <f>IF([3]Entry!$N$1849="","",[3]Entry!$N$1849)</f>
        <v/>
      </c>
      <c r="AM1846">
        <f>IF([3]Entry!$R$1849="","",[3]Entry!$R$1849)</f>
        <v/>
      </c>
    </row>
    <row r="1847">
      <c r="T1847">
        <f>IF([2]Baskol!$B$1850="","",[2]Baskol!$B$1850)</f>
        <v/>
      </c>
      <c r="U1847">
        <f>IF([2]Baskol!$C$1850="","",[2]Baskol!$C$1850)</f>
        <v/>
      </c>
      <c r="V1847">
        <f>IF([2]Baskol!$D$1850="","",[2]Baskol!$D$1850)</f>
        <v/>
      </c>
      <c r="W1847">
        <f>IF([2]Baskol!$E$1850="","",[2]Baskol!$E$1850)</f>
        <v/>
      </c>
      <c r="X1847">
        <f>IF([2]Baskol!$G$1850="","",[2]Baskol!$G$1850)</f>
        <v/>
      </c>
      <c r="Y1847">
        <f>IF([2]Baskol!$I$1850="","",[2]Baskol!$I$1850)</f>
        <v/>
      </c>
      <c r="Z1847">
        <f>IF([2]Baskol!$J$1850="","",[2]Baskol!$J$1850)</f>
        <v/>
      </c>
      <c r="AA1847">
        <f>IF([2]Baskol!$K$1850="","",[2]Baskol!$K$1850)</f>
        <v/>
      </c>
      <c r="AB1847">
        <f>IF([2]Baskol!$L$1850="","",[2]Baskol!$L$1850)</f>
        <v/>
      </c>
      <c r="AC1847">
        <f>IF([2]Baskol!$N$1850="","",[2]Baskol!$N$1850)</f>
        <v/>
      </c>
      <c r="AD1847">
        <f>IF([2]Baskol!$O$1850="","",[2]Baskol!$O$1850)</f>
        <v/>
      </c>
      <c r="AE1847">
        <f>IF([3]Entry!$C$1850="","",[3]Entry!$C$1850)</f>
        <v/>
      </c>
      <c r="AF1847">
        <f>IF([3]Entry!$D$1850="","",[3]Entry!$D$1850)</f>
        <v/>
      </c>
      <c r="AG1847">
        <f>IF([3]Entry!$E$1850="","",[3]Entry!$E$1850)</f>
        <v/>
      </c>
      <c r="AH1847">
        <f>IF([3]Entry!$G$1850="","",[3]Entry!$G$1850)</f>
        <v/>
      </c>
      <c r="AI1847">
        <f>IF([3]Entry!$K$1850="","",[3]Entry!$K$1850)</f>
        <v/>
      </c>
      <c r="AJ1847">
        <f>IF([3]Entry!$L$1850="","",[3]Entry!$L$1850)</f>
        <v/>
      </c>
      <c r="AK1847">
        <f>IF([3]Entry!$M$1850="","",[3]Entry!$M$1850)</f>
        <v/>
      </c>
      <c r="AL1847">
        <f>IF([3]Entry!$N$1850="","",[3]Entry!$N$1850)</f>
        <v/>
      </c>
      <c r="AM1847">
        <f>IF([3]Entry!$R$1850="","",[3]Entry!$R$1850)</f>
        <v/>
      </c>
    </row>
    <row r="1848">
      <c r="T1848">
        <f>IF([2]Baskol!$B$1851="","",[2]Baskol!$B$1851)</f>
        <v/>
      </c>
      <c r="U1848">
        <f>IF([2]Baskol!$C$1851="","",[2]Baskol!$C$1851)</f>
        <v/>
      </c>
      <c r="V1848">
        <f>IF([2]Baskol!$D$1851="","",[2]Baskol!$D$1851)</f>
        <v/>
      </c>
      <c r="W1848">
        <f>IF([2]Baskol!$E$1851="","",[2]Baskol!$E$1851)</f>
        <v/>
      </c>
      <c r="X1848">
        <f>IF([2]Baskol!$G$1851="","",[2]Baskol!$G$1851)</f>
        <v/>
      </c>
      <c r="Y1848">
        <f>IF([2]Baskol!$I$1851="","",[2]Baskol!$I$1851)</f>
        <v/>
      </c>
      <c r="Z1848">
        <f>IF([2]Baskol!$J$1851="","",[2]Baskol!$J$1851)</f>
        <v/>
      </c>
      <c r="AA1848">
        <f>IF([2]Baskol!$K$1851="","",[2]Baskol!$K$1851)</f>
        <v/>
      </c>
      <c r="AB1848">
        <f>IF([2]Baskol!$L$1851="","",[2]Baskol!$L$1851)</f>
        <v/>
      </c>
      <c r="AC1848">
        <f>IF([2]Baskol!$N$1851="","",[2]Baskol!$N$1851)</f>
        <v/>
      </c>
      <c r="AD1848">
        <f>IF([2]Baskol!$O$1851="","",[2]Baskol!$O$1851)</f>
        <v/>
      </c>
      <c r="AE1848">
        <f>IF([3]Entry!$C$1851="","",[3]Entry!$C$1851)</f>
        <v/>
      </c>
      <c r="AF1848">
        <f>IF([3]Entry!$D$1851="","",[3]Entry!$D$1851)</f>
        <v/>
      </c>
      <c r="AG1848">
        <f>IF([3]Entry!$E$1851="","",[3]Entry!$E$1851)</f>
        <v/>
      </c>
      <c r="AH1848">
        <f>IF([3]Entry!$G$1851="","",[3]Entry!$G$1851)</f>
        <v/>
      </c>
      <c r="AI1848">
        <f>IF([3]Entry!$K$1851="","",[3]Entry!$K$1851)</f>
        <v/>
      </c>
      <c r="AJ1848">
        <f>IF([3]Entry!$L$1851="","",[3]Entry!$L$1851)</f>
        <v/>
      </c>
      <c r="AK1848">
        <f>IF([3]Entry!$M$1851="","",[3]Entry!$M$1851)</f>
        <v/>
      </c>
      <c r="AL1848">
        <f>IF([3]Entry!$N$1851="","",[3]Entry!$N$1851)</f>
        <v/>
      </c>
      <c r="AM1848">
        <f>IF([3]Entry!$R$1851="","",[3]Entry!$R$1851)</f>
        <v/>
      </c>
    </row>
    <row r="1849">
      <c r="T1849">
        <f>IF([2]Baskol!$B$1852="","",[2]Baskol!$B$1852)</f>
        <v/>
      </c>
      <c r="U1849">
        <f>IF([2]Baskol!$C$1852="","",[2]Baskol!$C$1852)</f>
        <v/>
      </c>
      <c r="V1849">
        <f>IF([2]Baskol!$D$1852="","",[2]Baskol!$D$1852)</f>
        <v/>
      </c>
      <c r="W1849">
        <f>IF([2]Baskol!$E$1852="","",[2]Baskol!$E$1852)</f>
        <v/>
      </c>
      <c r="X1849">
        <f>IF([2]Baskol!$G$1852="","",[2]Baskol!$G$1852)</f>
        <v/>
      </c>
      <c r="Y1849">
        <f>IF([2]Baskol!$I$1852="","",[2]Baskol!$I$1852)</f>
        <v/>
      </c>
      <c r="Z1849">
        <f>IF([2]Baskol!$J$1852="","",[2]Baskol!$J$1852)</f>
        <v/>
      </c>
      <c r="AA1849">
        <f>IF([2]Baskol!$K$1852="","",[2]Baskol!$K$1852)</f>
        <v/>
      </c>
      <c r="AB1849">
        <f>IF([2]Baskol!$L$1852="","",[2]Baskol!$L$1852)</f>
        <v/>
      </c>
      <c r="AC1849">
        <f>IF([2]Baskol!$N$1852="","",[2]Baskol!$N$1852)</f>
        <v/>
      </c>
      <c r="AD1849">
        <f>IF([2]Baskol!$O$1852="","",[2]Baskol!$O$1852)</f>
        <v/>
      </c>
      <c r="AE1849">
        <f>IF([3]Entry!$C$1852="","",[3]Entry!$C$1852)</f>
        <v/>
      </c>
      <c r="AF1849">
        <f>IF([3]Entry!$D$1852="","",[3]Entry!$D$1852)</f>
        <v/>
      </c>
      <c r="AG1849">
        <f>IF([3]Entry!$E$1852="","",[3]Entry!$E$1852)</f>
        <v/>
      </c>
      <c r="AH1849">
        <f>IF([3]Entry!$G$1852="","",[3]Entry!$G$1852)</f>
        <v/>
      </c>
      <c r="AI1849">
        <f>IF([3]Entry!$K$1852="","",[3]Entry!$K$1852)</f>
        <v/>
      </c>
      <c r="AJ1849">
        <f>IF([3]Entry!$L$1852="","",[3]Entry!$L$1852)</f>
        <v/>
      </c>
      <c r="AK1849">
        <f>IF([3]Entry!$M$1852="","",[3]Entry!$M$1852)</f>
        <v/>
      </c>
      <c r="AL1849">
        <f>IF([3]Entry!$N$1852="","",[3]Entry!$N$1852)</f>
        <v/>
      </c>
      <c r="AM1849">
        <f>IF([3]Entry!$R$1852="","",[3]Entry!$R$1852)</f>
        <v/>
      </c>
    </row>
    <row r="1850">
      <c r="T1850">
        <f>IF([2]Baskol!$B$1853="","",[2]Baskol!$B$1853)</f>
        <v/>
      </c>
      <c r="U1850">
        <f>IF([2]Baskol!$C$1853="","",[2]Baskol!$C$1853)</f>
        <v/>
      </c>
      <c r="V1850">
        <f>IF([2]Baskol!$D$1853="","",[2]Baskol!$D$1853)</f>
        <v/>
      </c>
      <c r="W1850">
        <f>IF([2]Baskol!$E$1853="","",[2]Baskol!$E$1853)</f>
        <v/>
      </c>
      <c r="X1850">
        <f>IF([2]Baskol!$G$1853="","",[2]Baskol!$G$1853)</f>
        <v/>
      </c>
      <c r="Y1850">
        <f>IF([2]Baskol!$I$1853="","",[2]Baskol!$I$1853)</f>
        <v/>
      </c>
      <c r="Z1850">
        <f>IF([2]Baskol!$J$1853="","",[2]Baskol!$J$1853)</f>
        <v/>
      </c>
      <c r="AA1850">
        <f>IF([2]Baskol!$K$1853="","",[2]Baskol!$K$1853)</f>
        <v/>
      </c>
      <c r="AB1850">
        <f>IF([2]Baskol!$L$1853="","",[2]Baskol!$L$1853)</f>
        <v/>
      </c>
      <c r="AC1850">
        <f>IF([2]Baskol!$N$1853="","",[2]Baskol!$N$1853)</f>
        <v/>
      </c>
      <c r="AD1850">
        <f>IF([2]Baskol!$O$1853="","",[2]Baskol!$O$1853)</f>
        <v/>
      </c>
      <c r="AE1850">
        <f>IF([3]Entry!$C$1853="","",[3]Entry!$C$1853)</f>
        <v/>
      </c>
      <c r="AF1850">
        <f>IF([3]Entry!$D$1853="","",[3]Entry!$D$1853)</f>
        <v/>
      </c>
      <c r="AG1850">
        <f>IF([3]Entry!$E$1853="","",[3]Entry!$E$1853)</f>
        <v/>
      </c>
      <c r="AH1850">
        <f>IF([3]Entry!$G$1853="","",[3]Entry!$G$1853)</f>
        <v/>
      </c>
      <c r="AI1850">
        <f>IF([3]Entry!$K$1853="","",[3]Entry!$K$1853)</f>
        <v/>
      </c>
      <c r="AJ1850">
        <f>IF([3]Entry!$L$1853="","",[3]Entry!$L$1853)</f>
        <v/>
      </c>
      <c r="AK1850">
        <f>IF([3]Entry!$M$1853="","",[3]Entry!$M$1853)</f>
        <v/>
      </c>
      <c r="AL1850">
        <f>IF([3]Entry!$N$1853="","",[3]Entry!$N$1853)</f>
        <v/>
      </c>
      <c r="AM1850">
        <f>IF([3]Entry!$R$1853="","",[3]Entry!$R$1853)</f>
        <v/>
      </c>
    </row>
    <row r="1851">
      <c r="T1851">
        <f>IF([2]Baskol!$B$1854="","",[2]Baskol!$B$1854)</f>
        <v/>
      </c>
      <c r="U1851">
        <f>IF([2]Baskol!$C$1854="","",[2]Baskol!$C$1854)</f>
        <v/>
      </c>
      <c r="V1851">
        <f>IF([2]Baskol!$D$1854="","",[2]Baskol!$D$1854)</f>
        <v/>
      </c>
      <c r="W1851">
        <f>IF([2]Baskol!$E$1854="","",[2]Baskol!$E$1854)</f>
        <v/>
      </c>
      <c r="X1851">
        <f>IF([2]Baskol!$G$1854="","",[2]Baskol!$G$1854)</f>
        <v/>
      </c>
      <c r="Y1851">
        <f>IF([2]Baskol!$I$1854="","",[2]Baskol!$I$1854)</f>
        <v/>
      </c>
      <c r="Z1851">
        <f>IF([2]Baskol!$J$1854="","",[2]Baskol!$J$1854)</f>
        <v/>
      </c>
      <c r="AA1851">
        <f>IF([2]Baskol!$K$1854="","",[2]Baskol!$K$1854)</f>
        <v/>
      </c>
      <c r="AB1851">
        <f>IF([2]Baskol!$L$1854="","",[2]Baskol!$L$1854)</f>
        <v/>
      </c>
      <c r="AC1851">
        <f>IF([2]Baskol!$N$1854="","",[2]Baskol!$N$1854)</f>
        <v/>
      </c>
      <c r="AD1851">
        <f>IF([2]Baskol!$O$1854="","",[2]Baskol!$O$1854)</f>
        <v/>
      </c>
      <c r="AE1851">
        <f>IF([3]Entry!$C$1854="","",[3]Entry!$C$1854)</f>
        <v/>
      </c>
      <c r="AF1851">
        <f>IF([3]Entry!$D$1854="","",[3]Entry!$D$1854)</f>
        <v/>
      </c>
      <c r="AG1851">
        <f>IF([3]Entry!$E$1854="","",[3]Entry!$E$1854)</f>
        <v/>
      </c>
      <c r="AH1851">
        <f>IF([3]Entry!$G$1854="","",[3]Entry!$G$1854)</f>
        <v/>
      </c>
      <c r="AI1851">
        <f>IF([3]Entry!$K$1854="","",[3]Entry!$K$1854)</f>
        <v/>
      </c>
      <c r="AJ1851">
        <f>IF([3]Entry!$L$1854="","",[3]Entry!$L$1854)</f>
        <v/>
      </c>
      <c r="AK1851">
        <f>IF([3]Entry!$M$1854="","",[3]Entry!$M$1854)</f>
        <v/>
      </c>
      <c r="AL1851">
        <f>IF([3]Entry!$N$1854="","",[3]Entry!$N$1854)</f>
        <v/>
      </c>
      <c r="AM1851">
        <f>IF([3]Entry!$R$1854="","",[3]Entry!$R$1854)</f>
        <v/>
      </c>
    </row>
    <row r="1852">
      <c r="T1852">
        <f>IF([2]Baskol!$B$1855="","",[2]Baskol!$B$1855)</f>
        <v/>
      </c>
      <c r="U1852">
        <f>IF([2]Baskol!$C$1855="","",[2]Baskol!$C$1855)</f>
        <v/>
      </c>
      <c r="V1852">
        <f>IF([2]Baskol!$D$1855="","",[2]Baskol!$D$1855)</f>
        <v/>
      </c>
      <c r="W1852">
        <f>IF([2]Baskol!$E$1855="","",[2]Baskol!$E$1855)</f>
        <v/>
      </c>
      <c r="X1852">
        <f>IF([2]Baskol!$G$1855="","",[2]Baskol!$G$1855)</f>
        <v/>
      </c>
      <c r="Y1852">
        <f>IF([2]Baskol!$I$1855="","",[2]Baskol!$I$1855)</f>
        <v/>
      </c>
      <c r="Z1852">
        <f>IF([2]Baskol!$J$1855="","",[2]Baskol!$J$1855)</f>
        <v/>
      </c>
      <c r="AA1852">
        <f>IF([2]Baskol!$K$1855="","",[2]Baskol!$K$1855)</f>
        <v/>
      </c>
      <c r="AB1852">
        <f>IF([2]Baskol!$L$1855="","",[2]Baskol!$L$1855)</f>
        <v/>
      </c>
      <c r="AC1852">
        <f>IF([2]Baskol!$N$1855="","",[2]Baskol!$N$1855)</f>
        <v/>
      </c>
      <c r="AD1852">
        <f>IF([2]Baskol!$O$1855="","",[2]Baskol!$O$1855)</f>
        <v/>
      </c>
      <c r="AE1852">
        <f>IF([3]Entry!$C$1855="","",[3]Entry!$C$1855)</f>
        <v/>
      </c>
      <c r="AF1852">
        <f>IF([3]Entry!$D$1855="","",[3]Entry!$D$1855)</f>
        <v/>
      </c>
      <c r="AG1852">
        <f>IF([3]Entry!$E$1855="","",[3]Entry!$E$1855)</f>
        <v/>
      </c>
      <c r="AH1852">
        <f>IF([3]Entry!$G$1855="","",[3]Entry!$G$1855)</f>
        <v/>
      </c>
      <c r="AI1852">
        <f>IF([3]Entry!$K$1855="","",[3]Entry!$K$1855)</f>
        <v/>
      </c>
      <c r="AJ1852">
        <f>IF([3]Entry!$L$1855="","",[3]Entry!$L$1855)</f>
        <v/>
      </c>
      <c r="AK1852">
        <f>IF([3]Entry!$M$1855="","",[3]Entry!$M$1855)</f>
        <v/>
      </c>
      <c r="AL1852">
        <f>IF([3]Entry!$N$1855="","",[3]Entry!$N$1855)</f>
        <v/>
      </c>
      <c r="AM1852">
        <f>IF([3]Entry!$R$1855="","",[3]Entry!$R$1855)</f>
        <v/>
      </c>
    </row>
    <row r="1853">
      <c r="T1853">
        <f>IF([2]Baskol!$B$1856="","",[2]Baskol!$B$1856)</f>
        <v/>
      </c>
      <c r="U1853">
        <f>IF([2]Baskol!$C$1856="","",[2]Baskol!$C$1856)</f>
        <v/>
      </c>
      <c r="V1853">
        <f>IF([2]Baskol!$D$1856="","",[2]Baskol!$D$1856)</f>
        <v/>
      </c>
      <c r="W1853">
        <f>IF([2]Baskol!$E$1856="","",[2]Baskol!$E$1856)</f>
        <v/>
      </c>
      <c r="X1853">
        <f>IF([2]Baskol!$G$1856="","",[2]Baskol!$G$1856)</f>
        <v/>
      </c>
      <c r="Y1853">
        <f>IF([2]Baskol!$I$1856="","",[2]Baskol!$I$1856)</f>
        <v/>
      </c>
      <c r="Z1853">
        <f>IF([2]Baskol!$J$1856="","",[2]Baskol!$J$1856)</f>
        <v/>
      </c>
      <c r="AA1853">
        <f>IF([2]Baskol!$K$1856="","",[2]Baskol!$K$1856)</f>
        <v/>
      </c>
      <c r="AB1853">
        <f>IF([2]Baskol!$L$1856="","",[2]Baskol!$L$1856)</f>
        <v/>
      </c>
      <c r="AC1853">
        <f>IF([2]Baskol!$N$1856="","",[2]Baskol!$N$1856)</f>
        <v/>
      </c>
      <c r="AD1853">
        <f>IF([2]Baskol!$O$1856="","",[2]Baskol!$O$1856)</f>
        <v/>
      </c>
      <c r="AE1853">
        <f>IF([3]Entry!$C$1856="","",[3]Entry!$C$1856)</f>
        <v/>
      </c>
      <c r="AF1853">
        <f>IF([3]Entry!$D$1856="","",[3]Entry!$D$1856)</f>
        <v/>
      </c>
      <c r="AG1853">
        <f>IF([3]Entry!$E$1856="","",[3]Entry!$E$1856)</f>
        <v/>
      </c>
      <c r="AH1853">
        <f>IF([3]Entry!$G$1856="","",[3]Entry!$G$1856)</f>
        <v/>
      </c>
      <c r="AI1853">
        <f>IF([3]Entry!$K$1856="","",[3]Entry!$K$1856)</f>
        <v/>
      </c>
      <c r="AJ1853">
        <f>IF([3]Entry!$L$1856="","",[3]Entry!$L$1856)</f>
        <v/>
      </c>
      <c r="AK1853">
        <f>IF([3]Entry!$M$1856="","",[3]Entry!$M$1856)</f>
        <v/>
      </c>
      <c r="AL1853">
        <f>IF([3]Entry!$N$1856="","",[3]Entry!$N$1856)</f>
        <v/>
      </c>
      <c r="AM1853">
        <f>IF([3]Entry!$R$1856="","",[3]Entry!$R$1856)</f>
        <v/>
      </c>
    </row>
    <row r="1854">
      <c r="T1854">
        <f>IF([2]Baskol!$B$1857="","",[2]Baskol!$B$1857)</f>
        <v/>
      </c>
      <c r="U1854">
        <f>IF([2]Baskol!$C$1857="","",[2]Baskol!$C$1857)</f>
        <v/>
      </c>
      <c r="V1854">
        <f>IF([2]Baskol!$D$1857="","",[2]Baskol!$D$1857)</f>
        <v/>
      </c>
      <c r="W1854">
        <f>IF([2]Baskol!$E$1857="","",[2]Baskol!$E$1857)</f>
        <v/>
      </c>
      <c r="X1854">
        <f>IF([2]Baskol!$G$1857="","",[2]Baskol!$G$1857)</f>
        <v/>
      </c>
      <c r="Y1854">
        <f>IF([2]Baskol!$I$1857="","",[2]Baskol!$I$1857)</f>
        <v/>
      </c>
      <c r="Z1854">
        <f>IF([2]Baskol!$J$1857="","",[2]Baskol!$J$1857)</f>
        <v/>
      </c>
      <c r="AA1854">
        <f>IF([2]Baskol!$K$1857="","",[2]Baskol!$K$1857)</f>
        <v/>
      </c>
      <c r="AB1854">
        <f>IF([2]Baskol!$L$1857="","",[2]Baskol!$L$1857)</f>
        <v/>
      </c>
      <c r="AC1854">
        <f>IF([2]Baskol!$N$1857="","",[2]Baskol!$N$1857)</f>
        <v/>
      </c>
      <c r="AD1854">
        <f>IF([2]Baskol!$O$1857="","",[2]Baskol!$O$1857)</f>
        <v/>
      </c>
      <c r="AE1854">
        <f>IF([3]Entry!$C$1857="","",[3]Entry!$C$1857)</f>
        <v/>
      </c>
      <c r="AF1854">
        <f>IF([3]Entry!$D$1857="","",[3]Entry!$D$1857)</f>
        <v/>
      </c>
      <c r="AG1854">
        <f>IF([3]Entry!$E$1857="","",[3]Entry!$E$1857)</f>
        <v/>
      </c>
      <c r="AH1854">
        <f>IF([3]Entry!$G$1857="","",[3]Entry!$G$1857)</f>
        <v/>
      </c>
      <c r="AI1854">
        <f>IF([3]Entry!$K$1857="","",[3]Entry!$K$1857)</f>
        <v/>
      </c>
      <c r="AJ1854">
        <f>IF([3]Entry!$L$1857="","",[3]Entry!$L$1857)</f>
        <v/>
      </c>
      <c r="AK1854">
        <f>IF([3]Entry!$M$1857="","",[3]Entry!$M$1857)</f>
        <v/>
      </c>
      <c r="AL1854">
        <f>IF([3]Entry!$N$1857="","",[3]Entry!$N$1857)</f>
        <v/>
      </c>
      <c r="AM1854">
        <f>IF([3]Entry!$R$1857="","",[3]Entry!$R$1857)</f>
        <v/>
      </c>
    </row>
    <row r="1855">
      <c r="T1855">
        <f>IF([2]Baskol!$B$1858="","",[2]Baskol!$B$1858)</f>
        <v/>
      </c>
      <c r="U1855">
        <f>IF([2]Baskol!$C$1858="","",[2]Baskol!$C$1858)</f>
        <v/>
      </c>
      <c r="V1855">
        <f>IF([2]Baskol!$D$1858="","",[2]Baskol!$D$1858)</f>
        <v/>
      </c>
      <c r="W1855">
        <f>IF([2]Baskol!$E$1858="","",[2]Baskol!$E$1858)</f>
        <v/>
      </c>
      <c r="X1855">
        <f>IF([2]Baskol!$G$1858="","",[2]Baskol!$G$1858)</f>
        <v/>
      </c>
      <c r="Y1855">
        <f>IF([2]Baskol!$I$1858="","",[2]Baskol!$I$1858)</f>
        <v/>
      </c>
      <c r="Z1855">
        <f>IF([2]Baskol!$J$1858="","",[2]Baskol!$J$1858)</f>
        <v/>
      </c>
      <c r="AA1855">
        <f>IF([2]Baskol!$K$1858="","",[2]Baskol!$K$1858)</f>
        <v/>
      </c>
      <c r="AB1855">
        <f>IF([2]Baskol!$L$1858="","",[2]Baskol!$L$1858)</f>
        <v/>
      </c>
      <c r="AC1855">
        <f>IF([2]Baskol!$N$1858="","",[2]Baskol!$N$1858)</f>
        <v/>
      </c>
      <c r="AD1855">
        <f>IF([2]Baskol!$O$1858="","",[2]Baskol!$O$1858)</f>
        <v/>
      </c>
      <c r="AE1855">
        <f>IF([3]Entry!$C$1858="","",[3]Entry!$C$1858)</f>
        <v/>
      </c>
      <c r="AF1855">
        <f>IF([3]Entry!$D$1858="","",[3]Entry!$D$1858)</f>
        <v/>
      </c>
      <c r="AG1855">
        <f>IF([3]Entry!$E$1858="","",[3]Entry!$E$1858)</f>
        <v/>
      </c>
      <c r="AH1855">
        <f>IF([3]Entry!$G$1858="","",[3]Entry!$G$1858)</f>
        <v/>
      </c>
      <c r="AI1855">
        <f>IF([3]Entry!$K$1858="","",[3]Entry!$K$1858)</f>
        <v/>
      </c>
      <c r="AJ1855">
        <f>IF([3]Entry!$L$1858="","",[3]Entry!$L$1858)</f>
        <v/>
      </c>
      <c r="AK1855">
        <f>IF([3]Entry!$M$1858="","",[3]Entry!$M$1858)</f>
        <v/>
      </c>
      <c r="AL1855">
        <f>IF([3]Entry!$N$1858="","",[3]Entry!$N$1858)</f>
        <v/>
      </c>
      <c r="AM1855">
        <f>IF([3]Entry!$R$1858="","",[3]Entry!$R$1858)</f>
        <v/>
      </c>
    </row>
    <row r="1856">
      <c r="T1856">
        <f>IF([2]Baskol!$B$1859="","",[2]Baskol!$B$1859)</f>
        <v/>
      </c>
      <c r="U1856">
        <f>IF([2]Baskol!$C$1859="","",[2]Baskol!$C$1859)</f>
        <v/>
      </c>
      <c r="V1856">
        <f>IF([2]Baskol!$D$1859="","",[2]Baskol!$D$1859)</f>
        <v/>
      </c>
      <c r="W1856">
        <f>IF([2]Baskol!$E$1859="","",[2]Baskol!$E$1859)</f>
        <v/>
      </c>
      <c r="X1856">
        <f>IF([2]Baskol!$G$1859="","",[2]Baskol!$G$1859)</f>
        <v/>
      </c>
      <c r="Y1856">
        <f>IF([2]Baskol!$I$1859="","",[2]Baskol!$I$1859)</f>
        <v/>
      </c>
      <c r="Z1856">
        <f>IF([2]Baskol!$J$1859="","",[2]Baskol!$J$1859)</f>
        <v/>
      </c>
      <c r="AA1856">
        <f>IF([2]Baskol!$K$1859="","",[2]Baskol!$K$1859)</f>
        <v/>
      </c>
      <c r="AB1856">
        <f>IF([2]Baskol!$L$1859="","",[2]Baskol!$L$1859)</f>
        <v/>
      </c>
      <c r="AC1856">
        <f>IF([2]Baskol!$N$1859="","",[2]Baskol!$N$1859)</f>
        <v/>
      </c>
      <c r="AD1856">
        <f>IF([2]Baskol!$O$1859="","",[2]Baskol!$O$1859)</f>
        <v/>
      </c>
      <c r="AE1856">
        <f>IF([3]Entry!$C$1859="","",[3]Entry!$C$1859)</f>
        <v/>
      </c>
      <c r="AF1856">
        <f>IF([3]Entry!$D$1859="","",[3]Entry!$D$1859)</f>
        <v/>
      </c>
      <c r="AG1856">
        <f>IF([3]Entry!$E$1859="","",[3]Entry!$E$1859)</f>
        <v/>
      </c>
      <c r="AH1856">
        <f>IF([3]Entry!$G$1859="","",[3]Entry!$G$1859)</f>
        <v/>
      </c>
      <c r="AI1856">
        <f>IF([3]Entry!$K$1859="","",[3]Entry!$K$1859)</f>
        <v/>
      </c>
      <c r="AJ1856">
        <f>IF([3]Entry!$L$1859="","",[3]Entry!$L$1859)</f>
        <v/>
      </c>
      <c r="AK1856">
        <f>IF([3]Entry!$M$1859="","",[3]Entry!$M$1859)</f>
        <v/>
      </c>
      <c r="AL1856">
        <f>IF([3]Entry!$N$1859="","",[3]Entry!$N$1859)</f>
        <v/>
      </c>
      <c r="AM1856">
        <f>IF([3]Entry!$R$1859="","",[3]Entry!$R$1859)</f>
        <v/>
      </c>
    </row>
    <row r="1857">
      <c r="T1857">
        <f>IF([2]Baskol!$B$1860="","",[2]Baskol!$B$1860)</f>
        <v/>
      </c>
      <c r="U1857">
        <f>IF([2]Baskol!$C$1860="","",[2]Baskol!$C$1860)</f>
        <v/>
      </c>
      <c r="V1857">
        <f>IF([2]Baskol!$D$1860="","",[2]Baskol!$D$1860)</f>
        <v/>
      </c>
      <c r="W1857">
        <f>IF([2]Baskol!$E$1860="","",[2]Baskol!$E$1860)</f>
        <v/>
      </c>
      <c r="X1857">
        <f>IF([2]Baskol!$G$1860="","",[2]Baskol!$G$1860)</f>
        <v/>
      </c>
      <c r="Y1857">
        <f>IF([2]Baskol!$I$1860="","",[2]Baskol!$I$1860)</f>
        <v/>
      </c>
      <c r="Z1857">
        <f>IF([2]Baskol!$J$1860="","",[2]Baskol!$J$1860)</f>
        <v/>
      </c>
      <c r="AA1857">
        <f>IF([2]Baskol!$K$1860="","",[2]Baskol!$K$1860)</f>
        <v/>
      </c>
      <c r="AB1857">
        <f>IF([2]Baskol!$L$1860="","",[2]Baskol!$L$1860)</f>
        <v/>
      </c>
      <c r="AC1857">
        <f>IF([2]Baskol!$N$1860="","",[2]Baskol!$N$1860)</f>
        <v/>
      </c>
      <c r="AD1857">
        <f>IF([2]Baskol!$O$1860="","",[2]Baskol!$O$1860)</f>
        <v/>
      </c>
      <c r="AE1857">
        <f>IF([3]Entry!$C$1860="","",[3]Entry!$C$1860)</f>
        <v/>
      </c>
      <c r="AF1857">
        <f>IF([3]Entry!$D$1860="","",[3]Entry!$D$1860)</f>
        <v/>
      </c>
      <c r="AG1857">
        <f>IF([3]Entry!$E$1860="","",[3]Entry!$E$1860)</f>
        <v/>
      </c>
      <c r="AH1857">
        <f>IF([3]Entry!$G$1860="","",[3]Entry!$G$1860)</f>
        <v/>
      </c>
      <c r="AI1857">
        <f>IF([3]Entry!$K$1860="","",[3]Entry!$K$1860)</f>
        <v/>
      </c>
      <c r="AJ1857">
        <f>IF([3]Entry!$L$1860="","",[3]Entry!$L$1860)</f>
        <v/>
      </c>
      <c r="AK1857">
        <f>IF([3]Entry!$M$1860="","",[3]Entry!$M$1860)</f>
        <v/>
      </c>
      <c r="AL1857">
        <f>IF([3]Entry!$N$1860="","",[3]Entry!$N$1860)</f>
        <v/>
      </c>
      <c r="AM1857">
        <f>IF([3]Entry!$R$1860="","",[3]Entry!$R$1860)</f>
        <v/>
      </c>
    </row>
    <row r="1858">
      <c r="T1858">
        <f>IF([2]Baskol!$B$1861="","",[2]Baskol!$B$1861)</f>
        <v/>
      </c>
      <c r="U1858">
        <f>IF([2]Baskol!$C$1861="","",[2]Baskol!$C$1861)</f>
        <v/>
      </c>
      <c r="V1858">
        <f>IF([2]Baskol!$D$1861="","",[2]Baskol!$D$1861)</f>
        <v/>
      </c>
      <c r="W1858">
        <f>IF([2]Baskol!$E$1861="","",[2]Baskol!$E$1861)</f>
        <v/>
      </c>
      <c r="X1858">
        <f>IF([2]Baskol!$G$1861="","",[2]Baskol!$G$1861)</f>
        <v/>
      </c>
      <c r="Y1858">
        <f>IF([2]Baskol!$I$1861="","",[2]Baskol!$I$1861)</f>
        <v/>
      </c>
      <c r="Z1858">
        <f>IF([2]Baskol!$J$1861="","",[2]Baskol!$J$1861)</f>
        <v/>
      </c>
      <c r="AA1858">
        <f>IF([2]Baskol!$K$1861="","",[2]Baskol!$K$1861)</f>
        <v/>
      </c>
      <c r="AB1858">
        <f>IF([2]Baskol!$L$1861="","",[2]Baskol!$L$1861)</f>
        <v/>
      </c>
      <c r="AC1858">
        <f>IF([2]Baskol!$N$1861="","",[2]Baskol!$N$1861)</f>
        <v/>
      </c>
      <c r="AD1858">
        <f>IF([2]Baskol!$O$1861="","",[2]Baskol!$O$1861)</f>
        <v/>
      </c>
      <c r="AE1858">
        <f>IF([3]Entry!$C$1861="","",[3]Entry!$C$1861)</f>
        <v/>
      </c>
      <c r="AF1858">
        <f>IF([3]Entry!$D$1861="","",[3]Entry!$D$1861)</f>
        <v/>
      </c>
      <c r="AG1858">
        <f>IF([3]Entry!$E$1861="","",[3]Entry!$E$1861)</f>
        <v/>
      </c>
      <c r="AH1858">
        <f>IF([3]Entry!$G$1861="","",[3]Entry!$G$1861)</f>
        <v/>
      </c>
      <c r="AI1858">
        <f>IF([3]Entry!$K$1861="","",[3]Entry!$K$1861)</f>
        <v/>
      </c>
      <c r="AJ1858">
        <f>IF([3]Entry!$L$1861="","",[3]Entry!$L$1861)</f>
        <v/>
      </c>
      <c r="AK1858">
        <f>IF([3]Entry!$M$1861="","",[3]Entry!$M$1861)</f>
        <v/>
      </c>
      <c r="AL1858">
        <f>IF([3]Entry!$N$1861="","",[3]Entry!$N$1861)</f>
        <v/>
      </c>
      <c r="AM1858">
        <f>IF([3]Entry!$R$1861="","",[3]Entry!$R$1861)</f>
        <v/>
      </c>
    </row>
    <row r="1859">
      <c r="T1859">
        <f>IF([2]Baskol!$B$1862="","",[2]Baskol!$B$1862)</f>
        <v/>
      </c>
      <c r="U1859">
        <f>IF([2]Baskol!$C$1862="","",[2]Baskol!$C$1862)</f>
        <v/>
      </c>
      <c r="V1859">
        <f>IF([2]Baskol!$D$1862="","",[2]Baskol!$D$1862)</f>
        <v/>
      </c>
      <c r="W1859">
        <f>IF([2]Baskol!$E$1862="","",[2]Baskol!$E$1862)</f>
        <v/>
      </c>
      <c r="X1859">
        <f>IF([2]Baskol!$G$1862="","",[2]Baskol!$G$1862)</f>
        <v/>
      </c>
      <c r="Y1859">
        <f>IF([2]Baskol!$I$1862="","",[2]Baskol!$I$1862)</f>
        <v/>
      </c>
      <c r="Z1859">
        <f>IF([2]Baskol!$J$1862="","",[2]Baskol!$J$1862)</f>
        <v/>
      </c>
      <c r="AA1859">
        <f>IF([2]Baskol!$K$1862="","",[2]Baskol!$K$1862)</f>
        <v/>
      </c>
      <c r="AB1859">
        <f>IF([2]Baskol!$L$1862="","",[2]Baskol!$L$1862)</f>
        <v/>
      </c>
      <c r="AC1859">
        <f>IF([2]Baskol!$N$1862="","",[2]Baskol!$N$1862)</f>
        <v/>
      </c>
      <c r="AD1859">
        <f>IF([2]Baskol!$O$1862="","",[2]Baskol!$O$1862)</f>
        <v/>
      </c>
      <c r="AE1859">
        <f>IF([3]Entry!$C$1862="","",[3]Entry!$C$1862)</f>
        <v/>
      </c>
      <c r="AF1859">
        <f>IF([3]Entry!$D$1862="","",[3]Entry!$D$1862)</f>
        <v/>
      </c>
      <c r="AG1859">
        <f>IF([3]Entry!$E$1862="","",[3]Entry!$E$1862)</f>
        <v/>
      </c>
      <c r="AH1859">
        <f>IF([3]Entry!$G$1862="","",[3]Entry!$G$1862)</f>
        <v/>
      </c>
      <c r="AI1859">
        <f>IF([3]Entry!$K$1862="","",[3]Entry!$K$1862)</f>
        <v/>
      </c>
      <c r="AJ1859">
        <f>IF([3]Entry!$L$1862="","",[3]Entry!$L$1862)</f>
        <v/>
      </c>
      <c r="AK1859">
        <f>IF([3]Entry!$M$1862="","",[3]Entry!$M$1862)</f>
        <v/>
      </c>
      <c r="AL1859">
        <f>IF([3]Entry!$N$1862="","",[3]Entry!$N$1862)</f>
        <v/>
      </c>
      <c r="AM1859">
        <f>IF([3]Entry!$R$1862="","",[3]Entry!$R$1862)</f>
        <v/>
      </c>
    </row>
    <row r="1860">
      <c r="T1860">
        <f>IF([2]Baskol!$B$1863="","",[2]Baskol!$B$1863)</f>
        <v/>
      </c>
      <c r="U1860">
        <f>IF([2]Baskol!$C$1863="","",[2]Baskol!$C$1863)</f>
        <v/>
      </c>
      <c r="V1860">
        <f>IF([2]Baskol!$D$1863="","",[2]Baskol!$D$1863)</f>
        <v/>
      </c>
      <c r="W1860">
        <f>IF([2]Baskol!$E$1863="","",[2]Baskol!$E$1863)</f>
        <v/>
      </c>
      <c r="X1860">
        <f>IF([2]Baskol!$G$1863="","",[2]Baskol!$G$1863)</f>
        <v/>
      </c>
      <c r="Y1860">
        <f>IF([2]Baskol!$I$1863="","",[2]Baskol!$I$1863)</f>
        <v/>
      </c>
      <c r="Z1860">
        <f>IF([2]Baskol!$J$1863="","",[2]Baskol!$J$1863)</f>
        <v/>
      </c>
      <c r="AA1860">
        <f>IF([2]Baskol!$K$1863="","",[2]Baskol!$K$1863)</f>
        <v/>
      </c>
      <c r="AB1860">
        <f>IF([2]Baskol!$L$1863="","",[2]Baskol!$L$1863)</f>
        <v/>
      </c>
      <c r="AC1860">
        <f>IF([2]Baskol!$N$1863="","",[2]Baskol!$N$1863)</f>
        <v/>
      </c>
      <c r="AD1860">
        <f>IF([2]Baskol!$O$1863="","",[2]Baskol!$O$1863)</f>
        <v/>
      </c>
      <c r="AE1860">
        <f>IF([3]Entry!$C$1863="","",[3]Entry!$C$1863)</f>
        <v/>
      </c>
      <c r="AF1860">
        <f>IF([3]Entry!$D$1863="","",[3]Entry!$D$1863)</f>
        <v/>
      </c>
      <c r="AG1860">
        <f>IF([3]Entry!$E$1863="","",[3]Entry!$E$1863)</f>
        <v/>
      </c>
      <c r="AH1860">
        <f>IF([3]Entry!$G$1863="","",[3]Entry!$G$1863)</f>
        <v/>
      </c>
      <c r="AI1860">
        <f>IF([3]Entry!$K$1863="","",[3]Entry!$K$1863)</f>
        <v/>
      </c>
      <c r="AJ1860">
        <f>IF([3]Entry!$L$1863="","",[3]Entry!$L$1863)</f>
        <v/>
      </c>
      <c r="AK1860">
        <f>IF([3]Entry!$M$1863="","",[3]Entry!$M$1863)</f>
        <v/>
      </c>
      <c r="AL1860">
        <f>IF([3]Entry!$N$1863="","",[3]Entry!$N$1863)</f>
        <v/>
      </c>
      <c r="AM1860">
        <f>IF([3]Entry!$R$1863="","",[3]Entry!$R$1863)</f>
        <v/>
      </c>
    </row>
    <row r="1861">
      <c r="T1861">
        <f>IF([2]Baskol!$B$1864="","",[2]Baskol!$B$1864)</f>
        <v/>
      </c>
      <c r="U1861">
        <f>IF([2]Baskol!$C$1864="","",[2]Baskol!$C$1864)</f>
        <v/>
      </c>
      <c r="V1861">
        <f>IF([2]Baskol!$D$1864="","",[2]Baskol!$D$1864)</f>
        <v/>
      </c>
      <c r="W1861">
        <f>IF([2]Baskol!$E$1864="","",[2]Baskol!$E$1864)</f>
        <v/>
      </c>
      <c r="X1861">
        <f>IF([2]Baskol!$G$1864="","",[2]Baskol!$G$1864)</f>
        <v/>
      </c>
      <c r="Y1861">
        <f>IF([2]Baskol!$I$1864="","",[2]Baskol!$I$1864)</f>
        <v/>
      </c>
      <c r="Z1861">
        <f>IF([2]Baskol!$J$1864="","",[2]Baskol!$J$1864)</f>
        <v/>
      </c>
      <c r="AA1861">
        <f>IF([2]Baskol!$K$1864="","",[2]Baskol!$K$1864)</f>
        <v/>
      </c>
      <c r="AB1861">
        <f>IF([2]Baskol!$L$1864="","",[2]Baskol!$L$1864)</f>
        <v/>
      </c>
      <c r="AC1861">
        <f>IF([2]Baskol!$N$1864="","",[2]Baskol!$N$1864)</f>
        <v/>
      </c>
      <c r="AD1861">
        <f>IF([2]Baskol!$O$1864="","",[2]Baskol!$O$1864)</f>
        <v/>
      </c>
      <c r="AE1861">
        <f>IF([3]Entry!$C$1864="","",[3]Entry!$C$1864)</f>
        <v/>
      </c>
      <c r="AF1861">
        <f>IF([3]Entry!$D$1864="","",[3]Entry!$D$1864)</f>
        <v/>
      </c>
      <c r="AG1861">
        <f>IF([3]Entry!$E$1864="","",[3]Entry!$E$1864)</f>
        <v/>
      </c>
      <c r="AH1861">
        <f>IF([3]Entry!$G$1864="","",[3]Entry!$G$1864)</f>
        <v/>
      </c>
      <c r="AI1861">
        <f>IF([3]Entry!$K$1864="","",[3]Entry!$K$1864)</f>
        <v/>
      </c>
      <c r="AJ1861">
        <f>IF([3]Entry!$L$1864="","",[3]Entry!$L$1864)</f>
        <v/>
      </c>
      <c r="AK1861">
        <f>IF([3]Entry!$M$1864="","",[3]Entry!$M$1864)</f>
        <v/>
      </c>
      <c r="AL1861">
        <f>IF([3]Entry!$N$1864="","",[3]Entry!$N$1864)</f>
        <v/>
      </c>
      <c r="AM1861">
        <f>IF([3]Entry!$R$1864="","",[3]Entry!$R$1864)</f>
        <v/>
      </c>
    </row>
    <row r="1862">
      <c r="T1862">
        <f>IF([2]Baskol!$B$1865="","",[2]Baskol!$B$1865)</f>
        <v/>
      </c>
      <c r="U1862">
        <f>IF([2]Baskol!$C$1865="","",[2]Baskol!$C$1865)</f>
        <v/>
      </c>
      <c r="V1862">
        <f>IF([2]Baskol!$D$1865="","",[2]Baskol!$D$1865)</f>
        <v/>
      </c>
      <c r="W1862">
        <f>IF([2]Baskol!$E$1865="","",[2]Baskol!$E$1865)</f>
        <v/>
      </c>
      <c r="X1862">
        <f>IF([2]Baskol!$G$1865="","",[2]Baskol!$G$1865)</f>
        <v/>
      </c>
      <c r="Y1862">
        <f>IF([2]Baskol!$I$1865="","",[2]Baskol!$I$1865)</f>
        <v/>
      </c>
      <c r="Z1862">
        <f>IF([2]Baskol!$J$1865="","",[2]Baskol!$J$1865)</f>
        <v/>
      </c>
      <c r="AA1862">
        <f>IF([2]Baskol!$K$1865="","",[2]Baskol!$K$1865)</f>
        <v/>
      </c>
      <c r="AB1862">
        <f>IF([2]Baskol!$L$1865="","",[2]Baskol!$L$1865)</f>
        <v/>
      </c>
      <c r="AC1862">
        <f>IF([2]Baskol!$N$1865="","",[2]Baskol!$N$1865)</f>
        <v/>
      </c>
      <c r="AD1862">
        <f>IF([2]Baskol!$O$1865="","",[2]Baskol!$O$1865)</f>
        <v/>
      </c>
      <c r="AE1862">
        <f>IF([3]Entry!$C$1865="","",[3]Entry!$C$1865)</f>
        <v/>
      </c>
      <c r="AF1862">
        <f>IF([3]Entry!$D$1865="","",[3]Entry!$D$1865)</f>
        <v/>
      </c>
      <c r="AG1862">
        <f>IF([3]Entry!$E$1865="","",[3]Entry!$E$1865)</f>
        <v/>
      </c>
      <c r="AH1862">
        <f>IF([3]Entry!$G$1865="","",[3]Entry!$G$1865)</f>
        <v/>
      </c>
      <c r="AI1862">
        <f>IF([3]Entry!$K$1865="","",[3]Entry!$K$1865)</f>
        <v/>
      </c>
      <c r="AJ1862">
        <f>IF([3]Entry!$L$1865="","",[3]Entry!$L$1865)</f>
        <v/>
      </c>
      <c r="AK1862">
        <f>IF([3]Entry!$M$1865="","",[3]Entry!$M$1865)</f>
        <v/>
      </c>
      <c r="AL1862">
        <f>IF([3]Entry!$N$1865="","",[3]Entry!$N$1865)</f>
        <v/>
      </c>
      <c r="AM1862">
        <f>IF([3]Entry!$R$1865="","",[3]Entry!$R$1865)</f>
        <v/>
      </c>
    </row>
    <row r="1863">
      <c r="T1863">
        <f>IF([2]Baskol!$B$1866="","",[2]Baskol!$B$1866)</f>
        <v/>
      </c>
      <c r="U1863">
        <f>IF([2]Baskol!$C$1866="","",[2]Baskol!$C$1866)</f>
        <v/>
      </c>
      <c r="V1863">
        <f>IF([2]Baskol!$D$1866="","",[2]Baskol!$D$1866)</f>
        <v/>
      </c>
      <c r="W1863">
        <f>IF([2]Baskol!$E$1866="","",[2]Baskol!$E$1866)</f>
        <v/>
      </c>
      <c r="X1863">
        <f>IF([2]Baskol!$G$1866="","",[2]Baskol!$G$1866)</f>
        <v/>
      </c>
      <c r="Y1863">
        <f>IF([2]Baskol!$I$1866="","",[2]Baskol!$I$1866)</f>
        <v/>
      </c>
      <c r="Z1863">
        <f>IF([2]Baskol!$J$1866="","",[2]Baskol!$J$1866)</f>
        <v/>
      </c>
      <c r="AA1863">
        <f>IF([2]Baskol!$K$1866="","",[2]Baskol!$K$1866)</f>
        <v/>
      </c>
      <c r="AB1863">
        <f>IF([2]Baskol!$L$1866="","",[2]Baskol!$L$1866)</f>
        <v/>
      </c>
      <c r="AC1863">
        <f>IF([2]Baskol!$N$1866="","",[2]Baskol!$N$1866)</f>
        <v/>
      </c>
      <c r="AD1863">
        <f>IF([2]Baskol!$O$1866="","",[2]Baskol!$O$1866)</f>
        <v/>
      </c>
      <c r="AE1863">
        <f>IF([3]Entry!$C$1866="","",[3]Entry!$C$1866)</f>
        <v/>
      </c>
      <c r="AF1863">
        <f>IF([3]Entry!$D$1866="","",[3]Entry!$D$1866)</f>
        <v/>
      </c>
      <c r="AG1863">
        <f>IF([3]Entry!$E$1866="","",[3]Entry!$E$1866)</f>
        <v/>
      </c>
      <c r="AH1863">
        <f>IF([3]Entry!$G$1866="","",[3]Entry!$G$1866)</f>
        <v/>
      </c>
      <c r="AI1863">
        <f>IF([3]Entry!$K$1866="","",[3]Entry!$K$1866)</f>
        <v/>
      </c>
      <c r="AJ1863">
        <f>IF([3]Entry!$L$1866="","",[3]Entry!$L$1866)</f>
        <v/>
      </c>
      <c r="AK1863">
        <f>IF([3]Entry!$M$1866="","",[3]Entry!$M$1866)</f>
        <v/>
      </c>
      <c r="AL1863">
        <f>IF([3]Entry!$N$1866="","",[3]Entry!$N$1866)</f>
        <v/>
      </c>
      <c r="AM1863">
        <f>IF([3]Entry!$R$1866="","",[3]Entry!$R$1866)</f>
        <v/>
      </c>
    </row>
    <row r="1864">
      <c r="T1864">
        <f>IF([2]Baskol!$B$1867="","",[2]Baskol!$B$1867)</f>
        <v/>
      </c>
      <c r="U1864">
        <f>IF([2]Baskol!$C$1867="","",[2]Baskol!$C$1867)</f>
        <v/>
      </c>
      <c r="V1864">
        <f>IF([2]Baskol!$D$1867="","",[2]Baskol!$D$1867)</f>
        <v/>
      </c>
      <c r="W1864">
        <f>IF([2]Baskol!$E$1867="","",[2]Baskol!$E$1867)</f>
        <v/>
      </c>
      <c r="X1864">
        <f>IF([2]Baskol!$G$1867="","",[2]Baskol!$G$1867)</f>
        <v/>
      </c>
      <c r="Y1864">
        <f>IF([2]Baskol!$I$1867="","",[2]Baskol!$I$1867)</f>
        <v/>
      </c>
      <c r="Z1864">
        <f>IF([2]Baskol!$J$1867="","",[2]Baskol!$J$1867)</f>
        <v/>
      </c>
      <c r="AA1864">
        <f>IF([2]Baskol!$K$1867="","",[2]Baskol!$K$1867)</f>
        <v/>
      </c>
      <c r="AB1864">
        <f>IF([2]Baskol!$L$1867="","",[2]Baskol!$L$1867)</f>
        <v/>
      </c>
      <c r="AC1864">
        <f>IF([2]Baskol!$N$1867="","",[2]Baskol!$N$1867)</f>
        <v/>
      </c>
      <c r="AD1864">
        <f>IF([2]Baskol!$O$1867="","",[2]Baskol!$O$1867)</f>
        <v/>
      </c>
      <c r="AE1864">
        <f>IF([3]Entry!$C$1867="","",[3]Entry!$C$1867)</f>
        <v/>
      </c>
      <c r="AF1864">
        <f>IF([3]Entry!$D$1867="","",[3]Entry!$D$1867)</f>
        <v/>
      </c>
      <c r="AG1864">
        <f>IF([3]Entry!$E$1867="","",[3]Entry!$E$1867)</f>
        <v/>
      </c>
      <c r="AH1864">
        <f>IF([3]Entry!$G$1867="","",[3]Entry!$G$1867)</f>
        <v/>
      </c>
      <c r="AI1864">
        <f>IF([3]Entry!$K$1867="","",[3]Entry!$K$1867)</f>
        <v/>
      </c>
      <c r="AJ1864">
        <f>IF([3]Entry!$L$1867="","",[3]Entry!$L$1867)</f>
        <v/>
      </c>
      <c r="AK1864">
        <f>IF([3]Entry!$M$1867="","",[3]Entry!$M$1867)</f>
        <v/>
      </c>
      <c r="AL1864">
        <f>IF([3]Entry!$N$1867="","",[3]Entry!$N$1867)</f>
        <v/>
      </c>
      <c r="AM1864">
        <f>IF([3]Entry!$R$1867="","",[3]Entry!$R$1867)</f>
        <v/>
      </c>
    </row>
    <row r="1865">
      <c r="T1865">
        <f>IF([2]Baskol!$B$1868="","",[2]Baskol!$B$1868)</f>
        <v/>
      </c>
      <c r="U1865">
        <f>IF([2]Baskol!$C$1868="","",[2]Baskol!$C$1868)</f>
        <v/>
      </c>
      <c r="V1865">
        <f>IF([2]Baskol!$D$1868="","",[2]Baskol!$D$1868)</f>
        <v/>
      </c>
      <c r="W1865">
        <f>IF([2]Baskol!$E$1868="","",[2]Baskol!$E$1868)</f>
        <v/>
      </c>
      <c r="X1865">
        <f>IF([2]Baskol!$G$1868="","",[2]Baskol!$G$1868)</f>
        <v/>
      </c>
      <c r="Y1865">
        <f>IF([2]Baskol!$I$1868="","",[2]Baskol!$I$1868)</f>
        <v/>
      </c>
      <c r="Z1865">
        <f>IF([2]Baskol!$J$1868="","",[2]Baskol!$J$1868)</f>
        <v/>
      </c>
      <c r="AA1865">
        <f>IF([2]Baskol!$K$1868="","",[2]Baskol!$K$1868)</f>
        <v/>
      </c>
      <c r="AB1865">
        <f>IF([2]Baskol!$L$1868="","",[2]Baskol!$L$1868)</f>
        <v/>
      </c>
      <c r="AC1865">
        <f>IF([2]Baskol!$N$1868="","",[2]Baskol!$N$1868)</f>
        <v/>
      </c>
      <c r="AD1865">
        <f>IF([2]Baskol!$O$1868="","",[2]Baskol!$O$1868)</f>
        <v/>
      </c>
      <c r="AE1865">
        <f>IF([3]Entry!$C$1868="","",[3]Entry!$C$1868)</f>
        <v/>
      </c>
      <c r="AF1865">
        <f>IF([3]Entry!$D$1868="","",[3]Entry!$D$1868)</f>
        <v/>
      </c>
      <c r="AG1865">
        <f>IF([3]Entry!$E$1868="","",[3]Entry!$E$1868)</f>
        <v/>
      </c>
      <c r="AH1865">
        <f>IF([3]Entry!$G$1868="","",[3]Entry!$G$1868)</f>
        <v/>
      </c>
      <c r="AI1865">
        <f>IF([3]Entry!$K$1868="","",[3]Entry!$K$1868)</f>
        <v/>
      </c>
      <c r="AJ1865">
        <f>IF([3]Entry!$L$1868="","",[3]Entry!$L$1868)</f>
        <v/>
      </c>
      <c r="AK1865">
        <f>IF([3]Entry!$M$1868="","",[3]Entry!$M$1868)</f>
        <v/>
      </c>
      <c r="AL1865">
        <f>IF([3]Entry!$N$1868="","",[3]Entry!$N$1868)</f>
        <v/>
      </c>
      <c r="AM1865">
        <f>IF([3]Entry!$R$1868="","",[3]Entry!$R$1868)</f>
        <v/>
      </c>
    </row>
    <row r="1866">
      <c r="T1866">
        <f>IF([2]Baskol!$B$1869="","",[2]Baskol!$B$1869)</f>
        <v/>
      </c>
      <c r="U1866">
        <f>IF([2]Baskol!$C$1869="","",[2]Baskol!$C$1869)</f>
        <v/>
      </c>
      <c r="V1866">
        <f>IF([2]Baskol!$D$1869="","",[2]Baskol!$D$1869)</f>
        <v/>
      </c>
      <c r="W1866">
        <f>IF([2]Baskol!$E$1869="","",[2]Baskol!$E$1869)</f>
        <v/>
      </c>
      <c r="X1866">
        <f>IF([2]Baskol!$G$1869="","",[2]Baskol!$G$1869)</f>
        <v/>
      </c>
      <c r="Y1866">
        <f>IF([2]Baskol!$I$1869="","",[2]Baskol!$I$1869)</f>
        <v/>
      </c>
      <c r="Z1866">
        <f>IF([2]Baskol!$J$1869="","",[2]Baskol!$J$1869)</f>
        <v/>
      </c>
      <c r="AA1866">
        <f>IF([2]Baskol!$K$1869="","",[2]Baskol!$K$1869)</f>
        <v/>
      </c>
      <c r="AB1866">
        <f>IF([2]Baskol!$L$1869="","",[2]Baskol!$L$1869)</f>
        <v/>
      </c>
      <c r="AC1866">
        <f>IF([2]Baskol!$N$1869="","",[2]Baskol!$N$1869)</f>
        <v/>
      </c>
      <c r="AD1866">
        <f>IF([2]Baskol!$O$1869="","",[2]Baskol!$O$1869)</f>
        <v/>
      </c>
      <c r="AE1866">
        <f>IF([3]Entry!$C$1869="","",[3]Entry!$C$1869)</f>
        <v/>
      </c>
      <c r="AF1866">
        <f>IF([3]Entry!$D$1869="","",[3]Entry!$D$1869)</f>
        <v/>
      </c>
      <c r="AG1866">
        <f>IF([3]Entry!$E$1869="","",[3]Entry!$E$1869)</f>
        <v/>
      </c>
      <c r="AH1866">
        <f>IF([3]Entry!$G$1869="","",[3]Entry!$G$1869)</f>
        <v/>
      </c>
      <c r="AI1866">
        <f>IF([3]Entry!$K$1869="","",[3]Entry!$K$1869)</f>
        <v/>
      </c>
      <c r="AJ1866">
        <f>IF([3]Entry!$L$1869="","",[3]Entry!$L$1869)</f>
        <v/>
      </c>
      <c r="AK1866">
        <f>IF([3]Entry!$M$1869="","",[3]Entry!$M$1869)</f>
        <v/>
      </c>
      <c r="AL1866">
        <f>IF([3]Entry!$N$1869="","",[3]Entry!$N$1869)</f>
        <v/>
      </c>
      <c r="AM1866">
        <f>IF([3]Entry!$R$1869="","",[3]Entry!$R$1869)</f>
        <v/>
      </c>
    </row>
    <row r="1867">
      <c r="T1867">
        <f>IF([2]Baskol!$B$1870="","",[2]Baskol!$B$1870)</f>
        <v/>
      </c>
      <c r="U1867">
        <f>IF([2]Baskol!$C$1870="","",[2]Baskol!$C$1870)</f>
        <v/>
      </c>
      <c r="V1867">
        <f>IF([2]Baskol!$D$1870="","",[2]Baskol!$D$1870)</f>
        <v/>
      </c>
      <c r="W1867">
        <f>IF([2]Baskol!$E$1870="","",[2]Baskol!$E$1870)</f>
        <v/>
      </c>
      <c r="X1867">
        <f>IF([2]Baskol!$G$1870="","",[2]Baskol!$G$1870)</f>
        <v/>
      </c>
      <c r="Y1867">
        <f>IF([2]Baskol!$I$1870="","",[2]Baskol!$I$1870)</f>
        <v/>
      </c>
      <c r="Z1867">
        <f>IF([2]Baskol!$J$1870="","",[2]Baskol!$J$1870)</f>
        <v/>
      </c>
      <c r="AA1867">
        <f>IF([2]Baskol!$K$1870="","",[2]Baskol!$K$1870)</f>
        <v/>
      </c>
      <c r="AB1867">
        <f>IF([2]Baskol!$L$1870="","",[2]Baskol!$L$1870)</f>
        <v/>
      </c>
      <c r="AC1867">
        <f>IF([2]Baskol!$N$1870="","",[2]Baskol!$N$1870)</f>
        <v/>
      </c>
      <c r="AD1867">
        <f>IF([2]Baskol!$O$1870="","",[2]Baskol!$O$1870)</f>
        <v/>
      </c>
      <c r="AE1867">
        <f>IF([3]Entry!$C$1870="","",[3]Entry!$C$1870)</f>
        <v/>
      </c>
      <c r="AF1867">
        <f>IF([3]Entry!$D$1870="","",[3]Entry!$D$1870)</f>
        <v/>
      </c>
      <c r="AG1867">
        <f>IF([3]Entry!$E$1870="","",[3]Entry!$E$1870)</f>
        <v/>
      </c>
      <c r="AH1867">
        <f>IF([3]Entry!$G$1870="","",[3]Entry!$G$1870)</f>
        <v/>
      </c>
      <c r="AI1867">
        <f>IF([3]Entry!$K$1870="","",[3]Entry!$K$1870)</f>
        <v/>
      </c>
      <c r="AJ1867">
        <f>IF([3]Entry!$L$1870="","",[3]Entry!$L$1870)</f>
        <v/>
      </c>
      <c r="AK1867">
        <f>IF([3]Entry!$M$1870="","",[3]Entry!$M$1870)</f>
        <v/>
      </c>
      <c r="AL1867">
        <f>IF([3]Entry!$N$1870="","",[3]Entry!$N$1870)</f>
        <v/>
      </c>
      <c r="AM1867">
        <f>IF([3]Entry!$R$1870="","",[3]Entry!$R$1870)</f>
        <v/>
      </c>
    </row>
    <row r="1868">
      <c r="T1868">
        <f>IF([2]Baskol!$B$1871="","",[2]Baskol!$B$1871)</f>
        <v/>
      </c>
      <c r="U1868">
        <f>IF([2]Baskol!$C$1871="","",[2]Baskol!$C$1871)</f>
        <v/>
      </c>
      <c r="V1868">
        <f>IF([2]Baskol!$D$1871="","",[2]Baskol!$D$1871)</f>
        <v/>
      </c>
      <c r="W1868">
        <f>IF([2]Baskol!$E$1871="","",[2]Baskol!$E$1871)</f>
        <v/>
      </c>
      <c r="X1868">
        <f>IF([2]Baskol!$G$1871="","",[2]Baskol!$G$1871)</f>
        <v/>
      </c>
      <c r="Y1868">
        <f>IF([2]Baskol!$I$1871="","",[2]Baskol!$I$1871)</f>
        <v/>
      </c>
      <c r="Z1868">
        <f>IF([2]Baskol!$J$1871="","",[2]Baskol!$J$1871)</f>
        <v/>
      </c>
      <c r="AA1868">
        <f>IF([2]Baskol!$K$1871="","",[2]Baskol!$K$1871)</f>
        <v/>
      </c>
      <c r="AB1868">
        <f>IF([2]Baskol!$L$1871="","",[2]Baskol!$L$1871)</f>
        <v/>
      </c>
      <c r="AC1868">
        <f>IF([2]Baskol!$N$1871="","",[2]Baskol!$N$1871)</f>
        <v/>
      </c>
      <c r="AD1868">
        <f>IF([2]Baskol!$O$1871="","",[2]Baskol!$O$1871)</f>
        <v/>
      </c>
      <c r="AE1868">
        <f>IF([3]Entry!$C$1871="","",[3]Entry!$C$1871)</f>
        <v/>
      </c>
      <c r="AF1868">
        <f>IF([3]Entry!$D$1871="","",[3]Entry!$D$1871)</f>
        <v/>
      </c>
      <c r="AG1868">
        <f>IF([3]Entry!$E$1871="","",[3]Entry!$E$1871)</f>
        <v/>
      </c>
      <c r="AH1868">
        <f>IF([3]Entry!$G$1871="","",[3]Entry!$G$1871)</f>
        <v/>
      </c>
      <c r="AI1868">
        <f>IF([3]Entry!$K$1871="","",[3]Entry!$K$1871)</f>
        <v/>
      </c>
      <c r="AJ1868">
        <f>IF([3]Entry!$L$1871="","",[3]Entry!$L$1871)</f>
        <v/>
      </c>
      <c r="AK1868">
        <f>IF([3]Entry!$M$1871="","",[3]Entry!$M$1871)</f>
        <v/>
      </c>
      <c r="AL1868">
        <f>IF([3]Entry!$N$1871="","",[3]Entry!$N$1871)</f>
        <v/>
      </c>
      <c r="AM1868">
        <f>IF([3]Entry!$R$1871="","",[3]Entry!$R$1871)</f>
        <v/>
      </c>
    </row>
    <row r="1869">
      <c r="T1869">
        <f>IF([2]Baskol!$B$1872="","",[2]Baskol!$B$1872)</f>
        <v/>
      </c>
      <c r="U1869">
        <f>IF([2]Baskol!$C$1872="","",[2]Baskol!$C$1872)</f>
        <v/>
      </c>
      <c r="V1869">
        <f>IF([2]Baskol!$D$1872="","",[2]Baskol!$D$1872)</f>
        <v/>
      </c>
      <c r="W1869">
        <f>IF([2]Baskol!$E$1872="","",[2]Baskol!$E$1872)</f>
        <v/>
      </c>
      <c r="X1869">
        <f>IF([2]Baskol!$G$1872="","",[2]Baskol!$G$1872)</f>
        <v/>
      </c>
      <c r="Y1869">
        <f>IF([2]Baskol!$I$1872="","",[2]Baskol!$I$1872)</f>
        <v/>
      </c>
      <c r="Z1869">
        <f>IF([2]Baskol!$J$1872="","",[2]Baskol!$J$1872)</f>
        <v/>
      </c>
      <c r="AA1869">
        <f>IF([2]Baskol!$K$1872="","",[2]Baskol!$K$1872)</f>
        <v/>
      </c>
      <c r="AB1869">
        <f>IF([2]Baskol!$L$1872="","",[2]Baskol!$L$1872)</f>
        <v/>
      </c>
      <c r="AC1869">
        <f>IF([2]Baskol!$N$1872="","",[2]Baskol!$N$1872)</f>
        <v/>
      </c>
      <c r="AD1869">
        <f>IF([2]Baskol!$O$1872="","",[2]Baskol!$O$1872)</f>
        <v/>
      </c>
      <c r="AE1869">
        <f>IF([3]Entry!$C$1872="","",[3]Entry!$C$1872)</f>
        <v/>
      </c>
      <c r="AF1869">
        <f>IF([3]Entry!$D$1872="","",[3]Entry!$D$1872)</f>
        <v/>
      </c>
      <c r="AG1869">
        <f>IF([3]Entry!$E$1872="","",[3]Entry!$E$1872)</f>
        <v/>
      </c>
      <c r="AH1869">
        <f>IF([3]Entry!$G$1872="","",[3]Entry!$G$1872)</f>
        <v/>
      </c>
      <c r="AI1869">
        <f>IF([3]Entry!$K$1872="","",[3]Entry!$K$1872)</f>
        <v/>
      </c>
      <c r="AJ1869">
        <f>IF([3]Entry!$L$1872="","",[3]Entry!$L$1872)</f>
        <v/>
      </c>
      <c r="AK1869">
        <f>IF([3]Entry!$M$1872="","",[3]Entry!$M$1872)</f>
        <v/>
      </c>
      <c r="AL1869">
        <f>IF([3]Entry!$N$1872="","",[3]Entry!$N$1872)</f>
        <v/>
      </c>
      <c r="AM1869">
        <f>IF([3]Entry!$R$1872="","",[3]Entry!$R$1872)</f>
        <v/>
      </c>
    </row>
    <row r="1870">
      <c r="T1870">
        <f>IF([2]Baskol!$B$1873="","",[2]Baskol!$B$1873)</f>
        <v/>
      </c>
      <c r="U1870">
        <f>IF([2]Baskol!$C$1873="","",[2]Baskol!$C$1873)</f>
        <v/>
      </c>
      <c r="V1870">
        <f>IF([2]Baskol!$D$1873="","",[2]Baskol!$D$1873)</f>
        <v/>
      </c>
      <c r="W1870">
        <f>IF([2]Baskol!$E$1873="","",[2]Baskol!$E$1873)</f>
        <v/>
      </c>
      <c r="X1870">
        <f>IF([2]Baskol!$G$1873="","",[2]Baskol!$G$1873)</f>
        <v/>
      </c>
      <c r="Y1870">
        <f>IF([2]Baskol!$I$1873="","",[2]Baskol!$I$1873)</f>
        <v/>
      </c>
      <c r="Z1870">
        <f>IF([2]Baskol!$J$1873="","",[2]Baskol!$J$1873)</f>
        <v/>
      </c>
      <c r="AA1870">
        <f>IF([2]Baskol!$K$1873="","",[2]Baskol!$K$1873)</f>
        <v/>
      </c>
      <c r="AB1870">
        <f>IF([2]Baskol!$L$1873="","",[2]Baskol!$L$1873)</f>
        <v/>
      </c>
      <c r="AC1870">
        <f>IF([2]Baskol!$N$1873="","",[2]Baskol!$N$1873)</f>
        <v/>
      </c>
      <c r="AD1870">
        <f>IF([2]Baskol!$O$1873="","",[2]Baskol!$O$1873)</f>
        <v/>
      </c>
      <c r="AE1870">
        <f>IF([3]Entry!$C$1873="","",[3]Entry!$C$1873)</f>
        <v/>
      </c>
      <c r="AF1870">
        <f>IF([3]Entry!$D$1873="","",[3]Entry!$D$1873)</f>
        <v/>
      </c>
      <c r="AG1870">
        <f>IF([3]Entry!$E$1873="","",[3]Entry!$E$1873)</f>
        <v/>
      </c>
      <c r="AH1870">
        <f>IF([3]Entry!$G$1873="","",[3]Entry!$G$1873)</f>
        <v/>
      </c>
      <c r="AI1870">
        <f>IF([3]Entry!$K$1873="","",[3]Entry!$K$1873)</f>
        <v/>
      </c>
      <c r="AJ1870">
        <f>IF([3]Entry!$L$1873="","",[3]Entry!$L$1873)</f>
        <v/>
      </c>
      <c r="AK1870">
        <f>IF([3]Entry!$M$1873="","",[3]Entry!$M$1873)</f>
        <v/>
      </c>
      <c r="AL1870">
        <f>IF([3]Entry!$N$1873="","",[3]Entry!$N$1873)</f>
        <v/>
      </c>
      <c r="AM1870">
        <f>IF([3]Entry!$R$1873="","",[3]Entry!$R$1873)</f>
        <v/>
      </c>
    </row>
    <row r="1871">
      <c r="T1871">
        <f>IF([2]Baskol!$B$1874="","",[2]Baskol!$B$1874)</f>
        <v/>
      </c>
      <c r="U1871">
        <f>IF([2]Baskol!$C$1874="","",[2]Baskol!$C$1874)</f>
        <v/>
      </c>
      <c r="V1871">
        <f>IF([2]Baskol!$D$1874="","",[2]Baskol!$D$1874)</f>
        <v/>
      </c>
      <c r="W1871">
        <f>IF([2]Baskol!$E$1874="","",[2]Baskol!$E$1874)</f>
        <v/>
      </c>
      <c r="X1871">
        <f>IF([2]Baskol!$G$1874="","",[2]Baskol!$G$1874)</f>
        <v/>
      </c>
      <c r="Y1871">
        <f>IF([2]Baskol!$I$1874="","",[2]Baskol!$I$1874)</f>
        <v/>
      </c>
      <c r="Z1871">
        <f>IF([2]Baskol!$J$1874="","",[2]Baskol!$J$1874)</f>
        <v/>
      </c>
      <c r="AA1871">
        <f>IF([2]Baskol!$K$1874="","",[2]Baskol!$K$1874)</f>
        <v/>
      </c>
      <c r="AB1871">
        <f>IF([2]Baskol!$L$1874="","",[2]Baskol!$L$1874)</f>
        <v/>
      </c>
      <c r="AC1871">
        <f>IF([2]Baskol!$N$1874="","",[2]Baskol!$N$1874)</f>
        <v/>
      </c>
      <c r="AD1871">
        <f>IF([2]Baskol!$O$1874="","",[2]Baskol!$O$1874)</f>
        <v/>
      </c>
      <c r="AE1871">
        <f>IF([3]Entry!$C$1874="","",[3]Entry!$C$1874)</f>
        <v/>
      </c>
      <c r="AF1871">
        <f>IF([3]Entry!$D$1874="","",[3]Entry!$D$1874)</f>
        <v/>
      </c>
      <c r="AG1871">
        <f>IF([3]Entry!$E$1874="","",[3]Entry!$E$1874)</f>
        <v/>
      </c>
      <c r="AH1871">
        <f>IF([3]Entry!$G$1874="","",[3]Entry!$G$1874)</f>
        <v/>
      </c>
      <c r="AI1871">
        <f>IF([3]Entry!$K$1874="","",[3]Entry!$K$1874)</f>
        <v/>
      </c>
      <c r="AJ1871">
        <f>IF([3]Entry!$L$1874="","",[3]Entry!$L$1874)</f>
        <v/>
      </c>
      <c r="AK1871">
        <f>IF([3]Entry!$M$1874="","",[3]Entry!$M$1874)</f>
        <v/>
      </c>
      <c r="AL1871">
        <f>IF([3]Entry!$N$1874="","",[3]Entry!$N$1874)</f>
        <v/>
      </c>
      <c r="AM1871">
        <f>IF([3]Entry!$R$1874="","",[3]Entry!$R$1874)</f>
        <v/>
      </c>
    </row>
    <row r="1872">
      <c r="T1872">
        <f>IF([2]Baskol!$B$1875="","",[2]Baskol!$B$1875)</f>
        <v/>
      </c>
      <c r="U1872">
        <f>IF([2]Baskol!$C$1875="","",[2]Baskol!$C$1875)</f>
        <v/>
      </c>
      <c r="V1872">
        <f>IF([2]Baskol!$D$1875="","",[2]Baskol!$D$1875)</f>
        <v/>
      </c>
      <c r="W1872">
        <f>IF([2]Baskol!$E$1875="","",[2]Baskol!$E$1875)</f>
        <v/>
      </c>
      <c r="X1872">
        <f>IF([2]Baskol!$G$1875="","",[2]Baskol!$G$1875)</f>
        <v/>
      </c>
      <c r="Y1872">
        <f>IF([2]Baskol!$I$1875="","",[2]Baskol!$I$1875)</f>
        <v/>
      </c>
      <c r="Z1872">
        <f>IF([2]Baskol!$J$1875="","",[2]Baskol!$J$1875)</f>
        <v/>
      </c>
      <c r="AA1872">
        <f>IF([2]Baskol!$K$1875="","",[2]Baskol!$K$1875)</f>
        <v/>
      </c>
      <c r="AB1872">
        <f>IF([2]Baskol!$L$1875="","",[2]Baskol!$L$1875)</f>
        <v/>
      </c>
      <c r="AC1872">
        <f>IF([2]Baskol!$N$1875="","",[2]Baskol!$N$1875)</f>
        <v/>
      </c>
      <c r="AD1872">
        <f>IF([2]Baskol!$O$1875="","",[2]Baskol!$O$1875)</f>
        <v/>
      </c>
      <c r="AE1872">
        <f>IF([3]Entry!$C$1875="","",[3]Entry!$C$1875)</f>
        <v/>
      </c>
      <c r="AF1872">
        <f>IF([3]Entry!$D$1875="","",[3]Entry!$D$1875)</f>
        <v/>
      </c>
      <c r="AG1872">
        <f>IF([3]Entry!$E$1875="","",[3]Entry!$E$1875)</f>
        <v/>
      </c>
      <c r="AH1872">
        <f>IF([3]Entry!$G$1875="","",[3]Entry!$G$1875)</f>
        <v/>
      </c>
      <c r="AI1872">
        <f>IF([3]Entry!$K$1875="","",[3]Entry!$K$1875)</f>
        <v/>
      </c>
      <c r="AJ1872">
        <f>IF([3]Entry!$L$1875="","",[3]Entry!$L$1875)</f>
        <v/>
      </c>
      <c r="AK1872">
        <f>IF([3]Entry!$M$1875="","",[3]Entry!$M$1875)</f>
        <v/>
      </c>
      <c r="AL1872">
        <f>IF([3]Entry!$N$1875="","",[3]Entry!$N$1875)</f>
        <v/>
      </c>
      <c r="AM1872">
        <f>IF([3]Entry!$R$1875="","",[3]Entry!$R$1875)</f>
        <v/>
      </c>
    </row>
    <row r="1873">
      <c r="T1873">
        <f>IF([2]Baskol!$B$1876="","",[2]Baskol!$B$1876)</f>
        <v/>
      </c>
      <c r="U1873">
        <f>IF([2]Baskol!$C$1876="","",[2]Baskol!$C$1876)</f>
        <v/>
      </c>
      <c r="V1873">
        <f>IF([2]Baskol!$D$1876="","",[2]Baskol!$D$1876)</f>
        <v/>
      </c>
      <c r="W1873">
        <f>IF([2]Baskol!$E$1876="","",[2]Baskol!$E$1876)</f>
        <v/>
      </c>
      <c r="X1873">
        <f>IF([2]Baskol!$G$1876="","",[2]Baskol!$G$1876)</f>
        <v/>
      </c>
      <c r="Y1873">
        <f>IF([2]Baskol!$I$1876="","",[2]Baskol!$I$1876)</f>
        <v/>
      </c>
      <c r="Z1873">
        <f>IF([2]Baskol!$J$1876="","",[2]Baskol!$J$1876)</f>
        <v/>
      </c>
      <c r="AA1873">
        <f>IF([2]Baskol!$K$1876="","",[2]Baskol!$K$1876)</f>
        <v/>
      </c>
      <c r="AB1873">
        <f>IF([2]Baskol!$L$1876="","",[2]Baskol!$L$1876)</f>
        <v/>
      </c>
      <c r="AC1873">
        <f>IF([2]Baskol!$N$1876="","",[2]Baskol!$N$1876)</f>
        <v/>
      </c>
      <c r="AD1873">
        <f>IF([2]Baskol!$O$1876="","",[2]Baskol!$O$1876)</f>
        <v/>
      </c>
      <c r="AE1873">
        <f>IF([3]Entry!$C$1876="","",[3]Entry!$C$1876)</f>
        <v/>
      </c>
      <c r="AF1873">
        <f>IF([3]Entry!$D$1876="","",[3]Entry!$D$1876)</f>
        <v/>
      </c>
      <c r="AG1873">
        <f>IF([3]Entry!$E$1876="","",[3]Entry!$E$1876)</f>
        <v/>
      </c>
      <c r="AH1873">
        <f>IF([3]Entry!$G$1876="","",[3]Entry!$G$1876)</f>
        <v/>
      </c>
      <c r="AI1873">
        <f>IF([3]Entry!$K$1876="","",[3]Entry!$K$1876)</f>
        <v/>
      </c>
      <c r="AJ1873">
        <f>IF([3]Entry!$L$1876="","",[3]Entry!$L$1876)</f>
        <v/>
      </c>
      <c r="AK1873">
        <f>IF([3]Entry!$M$1876="","",[3]Entry!$M$1876)</f>
        <v/>
      </c>
      <c r="AL1873">
        <f>IF([3]Entry!$N$1876="","",[3]Entry!$N$1876)</f>
        <v/>
      </c>
      <c r="AM1873">
        <f>IF([3]Entry!$R$1876="","",[3]Entry!$R$1876)</f>
        <v/>
      </c>
    </row>
    <row r="1874">
      <c r="T1874">
        <f>IF([2]Baskol!$B$1877="","",[2]Baskol!$B$1877)</f>
        <v/>
      </c>
      <c r="U1874">
        <f>IF([2]Baskol!$C$1877="","",[2]Baskol!$C$1877)</f>
        <v/>
      </c>
      <c r="V1874">
        <f>IF([2]Baskol!$D$1877="","",[2]Baskol!$D$1877)</f>
        <v/>
      </c>
      <c r="W1874">
        <f>IF([2]Baskol!$E$1877="","",[2]Baskol!$E$1877)</f>
        <v/>
      </c>
      <c r="X1874">
        <f>IF([2]Baskol!$G$1877="","",[2]Baskol!$G$1877)</f>
        <v/>
      </c>
      <c r="Y1874">
        <f>IF([2]Baskol!$I$1877="","",[2]Baskol!$I$1877)</f>
        <v/>
      </c>
      <c r="Z1874">
        <f>IF([2]Baskol!$J$1877="","",[2]Baskol!$J$1877)</f>
        <v/>
      </c>
      <c r="AA1874">
        <f>IF([2]Baskol!$K$1877="","",[2]Baskol!$K$1877)</f>
        <v/>
      </c>
      <c r="AB1874">
        <f>IF([2]Baskol!$L$1877="","",[2]Baskol!$L$1877)</f>
        <v/>
      </c>
      <c r="AC1874">
        <f>IF([2]Baskol!$N$1877="","",[2]Baskol!$N$1877)</f>
        <v/>
      </c>
      <c r="AD1874">
        <f>IF([2]Baskol!$O$1877="","",[2]Baskol!$O$1877)</f>
        <v/>
      </c>
      <c r="AE1874">
        <f>IF([3]Entry!$C$1877="","",[3]Entry!$C$1877)</f>
        <v/>
      </c>
      <c r="AF1874">
        <f>IF([3]Entry!$D$1877="","",[3]Entry!$D$1877)</f>
        <v/>
      </c>
      <c r="AG1874">
        <f>IF([3]Entry!$E$1877="","",[3]Entry!$E$1877)</f>
        <v/>
      </c>
      <c r="AH1874">
        <f>IF([3]Entry!$G$1877="","",[3]Entry!$G$1877)</f>
        <v/>
      </c>
      <c r="AI1874">
        <f>IF([3]Entry!$K$1877="","",[3]Entry!$K$1877)</f>
        <v/>
      </c>
      <c r="AJ1874">
        <f>IF([3]Entry!$L$1877="","",[3]Entry!$L$1877)</f>
        <v/>
      </c>
      <c r="AK1874">
        <f>IF([3]Entry!$M$1877="","",[3]Entry!$M$1877)</f>
        <v/>
      </c>
      <c r="AL1874">
        <f>IF([3]Entry!$N$1877="","",[3]Entry!$N$1877)</f>
        <v/>
      </c>
      <c r="AM1874">
        <f>IF([3]Entry!$R$1877="","",[3]Entry!$R$1877)</f>
        <v/>
      </c>
    </row>
    <row r="1875">
      <c r="T1875">
        <f>IF([2]Baskol!$B$1878="","",[2]Baskol!$B$1878)</f>
        <v/>
      </c>
      <c r="U1875">
        <f>IF([2]Baskol!$C$1878="","",[2]Baskol!$C$1878)</f>
        <v/>
      </c>
      <c r="V1875">
        <f>IF([2]Baskol!$D$1878="","",[2]Baskol!$D$1878)</f>
        <v/>
      </c>
      <c r="W1875">
        <f>IF([2]Baskol!$E$1878="","",[2]Baskol!$E$1878)</f>
        <v/>
      </c>
      <c r="X1875">
        <f>IF([2]Baskol!$G$1878="","",[2]Baskol!$G$1878)</f>
        <v/>
      </c>
      <c r="Y1875">
        <f>IF([2]Baskol!$I$1878="","",[2]Baskol!$I$1878)</f>
        <v/>
      </c>
      <c r="Z1875">
        <f>IF([2]Baskol!$J$1878="","",[2]Baskol!$J$1878)</f>
        <v/>
      </c>
      <c r="AA1875">
        <f>IF([2]Baskol!$K$1878="","",[2]Baskol!$K$1878)</f>
        <v/>
      </c>
      <c r="AB1875">
        <f>IF([2]Baskol!$L$1878="","",[2]Baskol!$L$1878)</f>
        <v/>
      </c>
      <c r="AC1875">
        <f>IF([2]Baskol!$N$1878="","",[2]Baskol!$N$1878)</f>
        <v/>
      </c>
      <c r="AD1875">
        <f>IF([2]Baskol!$O$1878="","",[2]Baskol!$O$1878)</f>
        <v/>
      </c>
      <c r="AE1875">
        <f>IF([3]Entry!$C$1878="","",[3]Entry!$C$1878)</f>
        <v/>
      </c>
      <c r="AF1875">
        <f>IF([3]Entry!$D$1878="","",[3]Entry!$D$1878)</f>
        <v/>
      </c>
      <c r="AG1875">
        <f>IF([3]Entry!$E$1878="","",[3]Entry!$E$1878)</f>
        <v/>
      </c>
      <c r="AH1875">
        <f>IF([3]Entry!$G$1878="","",[3]Entry!$G$1878)</f>
        <v/>
      </c>
      <c r="AI1875">
        <f>IF([3]Entry!$K$1878="","",[3]Entry!$K$1878)</f>
        <v/>
      </c>
      <c r="AJ1875">
        <f>IF([3]Entry!$L$1878="","",[3]Entry!$L$1878)</f>
        <v/>
      </c>
      <c r="AK1875">
        <f>IF([3]Entry!$M$1878="","",[3]Entry!$M$1878)</f>
        <v/>
      </c>
      <c r="AL1875">
        <f>IF([3]Entry!$N$1878="","",[3]Entry!$N$1878)</f>
        <v/>
      </c>
      <c r="AM1875">
        <f>IF([3]Entry!$R$1878="","",[3]Entry!$R$1878)</f>
        <v/>
      </c>
    </row>
    <row r="1876">
      <c r="T1876">
        <f>IF([2]Baskol!$B$1879="","",[2]Baskol!$B$1879)</f>
        <v/>
      </c>
      <c r="U1876">
        <f>IF([2]Baskol!$C$1879="","",[2]Baskol!$C$1879)</f>
        <v/>
      </c>
      <c r="V1876">
        <f>IF([2]Baskol!$D$1879="","",[2]Baskol!$D$1879)</f>
        <v/>
      </c>
      <c r="W1876">
        <f>IF([2]Baskol!$E$1879="","",[2]Baskol!$E$1879)</f>
        <v/>
      </c>
      <c r="X1876">
        <f>IF([2]Baskol!$G$1879="","",[2]Baskol!$G$1879)</f>
        <v/>
      </c>
      <c r="Y1876">
        <f>IF([2]Baskol!$I$1879="","",[2]Baskol!$I$1879)</f>
        <v/>
      </c>
      <c r="Z1876">
        <f>IF([2]Baskol!$J$1879="","",[2]Baskol!$J$1879)</f>
        <v/>
      </c>
      <c r="AA1876">
        <f>IF([2]Baskol!$K$1879="","",[2]Baskol!$K$1879)</f>
        <v/>
      </c>
      <c r="AB1876">
        <f>IF([2]Baskol!$L$1879="","",[2]Baskol!$L$1879)</f>
        <v/>
      </c>
      <c r="AC1876">
        <f>IF([2]Baskol!$N$1879="","",[2]Baskol!$N$1879)</f>
        <v/>
      </c>
      <c r="AD1876">
        <f>IF([2]Baskol!$O$1879="","",[2]Baskol!$O$1879)</f>
        <v/>
      </c>
      <c r="AE1876">
        <f>IF([3]Entry!$C$1879="","",[3]Entry!$C$1879)</f>
        <v/>
      </c>
      <c r="AF1876">
        <f>IF([3]Entry!$D$1879="","",[3]Entry!$D$1879)</f>
        <v/>
      </c>
      <c r="AG1876">
        <f>IF([3]Entry!$E$1879="","",[3]Entry!$E$1879)</f>
        <v/>
      </c>
      <c r="AH1876">
        <f>IF([3]Entry!$G$1879="","",[3]Entry!$G$1879)</f>
        <v/>
      </c>
      <c r="AI1876">
        <f>IF([3]Entry!$K$1879="","",[3]Entry!$K$1879)</f>
        <v/>
      </c>
      <c r="AJ1876">
        <f>IF([3]Entry!$L$1879="","",[3]Entry!$L$1879)</f>
        <v/>
      </c>
      <c r="AK1876">
        <f>IF([3]Entry!$M$1879="","",[3]Entry!$M$1879)</f>
        <v/>
      </c>
      <c r="AL1876">
        <f>IF([3]Entry!$N$1879="","",[3]Entry!$N$1879)</f>
        <v/>
      </c>
      <c r="AM1876">
        <f>IF([3]Entry!$R$1879="","",[3]Entry!$R$1879)</f>
        <v/>
      </c>
    </row>
    <row r="1877">
      <c r="T1877">
        <f>IF([2]Baskol!$B$1880="","",[2]Baskol!$B$1880)</f>
        <v/>
      </c>
      <c r="U1877">
        <f>IF([2]Baskol!$C$1880="","",[2]Baskol!$C$1880)</f>
        <v/>
      </c>
      <c r="V1877">
        <f>IF([2]Baskol!$D$1880="","",[2]Baskol!$D$1880)</f>
        <v/>
      </c>
      <c r="W1877">
        <f>IF([2]Baskol!$E$1880="","",[2]Baskol!$E$1880)</f>
        <v/>
      </c>
      <c r="X1877">
        <f>IF([2]Baskol!$G$1880="","",[2]Baskol!$G$1880)</f>
        <v/>
      </c>
      <c r="Y1877">
        <f>IF([2]Baskol!$I$1880="","",[2]Baskol!$I$1880)</f>
        <v/>
      </c>
      <c r="Z1877">
        <f>IF([2]Baskol!$J$1880="","",[2]Baskol!$J$1880)</f>
        <v/>
      </c>
      <c r="AA1877">
        <f>IF([2]Baskol!$K$1880="","",[2]Baskol!$K$1880)</f>
        <v/>
      </c>
      <c r="AB1877">
        <f>IF([2]Baskol!$L$1880="","",[2]Baskol!$L$1880)</f>
        <v/>
      </c>
      <c r="AC1877">
        <f>IF([2]Baskol!$N$1880="","",[2]Baskol!$N$1880)</f>
        <v/>
      </c>
      <c r="AD1877">
        <f>IF([2]Baskol!$O$1880="","",[2]Baskol!$O$1880)</f>
        <v/>
      </c>
      <c r="AE1877">
        <f>IF([3]Entry!$C$1880="","",[3]Entry!$C$1880)</f>
        <v/>
      </c>
      <c r="AF1877">
        <f>IF([3]Entry!$D$1880="","",[3]Entry!$D$1880)</f>
        <v/>
      </c>
      <c r="AG1877">
        <f>IF([3]Entry!$E$1880="","",[3]Entry!$E$1880)</f>
        <v/>
      </c>
      <c r="AH1877">
        <f>IF([3]Entry!$G$1880="","",[3]Entry!$G$1880)</f>
        <v/>
      </c>
      <c r="AI1877">
        <f>IF([3]Entry!$K$1880="","",[3]Entry!$K$1880)</f>
        <v/>
      </c>
      <c r="AJ1877">
        <f>IF([3]Entry!$L$1880="","",[3]Entry!$L$1880)</f>
        <v/>
      </c>
      <c r="AK1877">
        <f>IF([3]Entry!$M$1880="","",[3]Entry!$M$1880)</f>
        <v/>
      </c>
      <c r="AL1877">
        <f>IF([3]Entry!$N$1880="","",[3]Entry!$N$1880)</f>
        <v/>
      </c>
      <c r="AM1877">
        <f>IF([3]Entry!$R$1880="","",[3]Entry!$R$1880)</f>
        <v/>
      </c>
    </row>
    <row r="1878">
      <c r="T1878">
        <f>IF([2]Baskol!$B$1881="","",[2]Baskol!$B$1881)</f>
        <v/>
      </c>
      <c r="U1878">
        <f>IF([2]Baskol!$C$1881="","",[2]Baskol!$C$1881)</f>
        <v/>
      </c>
      <c r="V1878">
        <f>IF([2]Baskol!$D$1881="","",[2]Baskol!$D$1881)</f>
        <v/>
      </c>
      <c r="W1878">
        <f>IF([2]Baskol!$E$1881="","",[2]Baskol!$E$1881)</f>
        <v/>
      </c>
      <c r="X1878">
        <f>IF([2]Baskol!$G$1881="","",[2]Baskol!$G$1881)</f>
        <v/>
      </c>
      <c r="Y1878">
        <f>IF([2]Baskol!$I$1881="","",[2]Baskol!$I$1881)</f>
        <v/>
      </c>
      <c r="Z1878">
        <f>IF([2]Baskol!$J$1881="","",[2]Baskol!$J$1881)</f>
        <v/>
      </c>
      <c r="AA1878">
        <f>IF([2]Baskol!$K$1881="","",[2]Baskol!$K$1881)</f>
        <v/>
      </c>
      <c r="AB1878">
        <f>IF([2]Baskol!$L$1881="","",[2]Baskol!$L$1881)</f>
        <v/>
      </c>
      <c r="AC1878">
        <f>IF([2]Baskol!$N$1881="","",[2]Baskol!$N$1881)</f>
        <v/>
      </c>
      <c r="AD1878">
        <f>IF([2]Baskol!$O$1881="","",[2]Baskol!$O$1881)</f>
        <v/>
      </c>
      <c r="AE1878">
        <f>IF([3]Entry!$C$1881="","",[3]Entry!$C$1881)</f>
        <v/>
      </c>
      <c r="AF1878">
        <f>IF([3]Entry!$D$1881="","",[3]Entry!$D$1881)</f>
        <v/>
      </c>
      <c r="AG1878">
        <f>IF([3]Entry!$E$1881="","",[3]Entry!$E$1881)</f>
        <v/>
      </c>
      <c r="AH1878">
        <f>IF([3]Entry!$G$1881="","",[3]Entry!$G$1881)</f>
        <v/>
      </c>
      <c r="AI1878">
        <f>IF([3]Entry!$K$1881="","",[3]Entry!$K$1881)</f>
        <v/>
      </c>
      <c r="AJ1878">
        <f>IF([3]Entry!$L$1881="","",[3]Entry!$L$1881)</f>
        <v/>
      </c>
      <c r="AK1878">
        <f>IF([3]Entry!$M$1881="","",[3]Entry!$M$1881)</f>
        <v/>
      </c>
      <c r="AL1878">
        <f>IF([3]Entry!$N$1881="","",[3]Entry!$N$1881)</f>
        <v/>
      </c>
      <c r="AM1878">
        <f>IF([3]Entry!$R$1881="","",[3]Entry!$R$1881)</f>
        <v/>
      </c>
    </row>
    <row r="1879">
      <c r="T1879">
        <f>IF([2]Baskol!$B$1882="","",[2]Baskol!$B$1882)</f>
        <v/>
      </c>
      <c r="U1879">
        <f>IF([2]Baskol!$C$1882="","",[2]Baskol!$C$1882)</f>
        <v/>
      </c>
      <c r="V1879">
        <f>IF([2]Baskol!$D$1882="","",[2]Baskol!$D$1882)</f>
        <v/>
      </c>
      <c r="W1879">
        <f>IF([2]Baskol!$E$1882="","",[2]Baskol!$E$1882)</f>
        <v/>
      </c>
      <c r="X1879">
        <f>IF([2]Baskol!$G$1882="","",[2]Baskol!$G$1882)</f>
        <v/>
      </c>
      <c r="Y1879">
        <f>IF([2]Baskol!$I$1882="","",[2]Baskol!$I$1882)</f>
        <v/>
      </c>
      <c r="Z1879">
        <f>IF([2]Baskol!$J$1882="","",[2]Baskol!$J$1882)</f>
        <v/>
      </c>
      <c r="AA1879">
        <f>IF([2]Baskol!$K$1882="","",[2]Baskol!$K$1882)</f>
        <v/>
      </c>
      <c r="AB1879">
        <f>IF([2]Baskol!$L$1882="","",[2]Baskol!$L$1882)</f>
        <v/>
      </c>
      <c r="AC1879">
        <f>IF([2]Baskol!$N$1882="","",[2]Baskol!$N$1882)</f>
        <v/>
      </c>
      <c r="AD1879">
        <f>IF([2]Baskol!$O$1882="","",[2]Baskol!$O$1882)</f>
        <v/>
      </c>
      <c r="AE1879">
        <f>IF([3]Entry!$C$1882="","",[3]Entry!$C$1882)</f>
        <v/>
      </c>
      <c r="AF1879">
        <f>IF([3]Entry!$D$1882="","",[3]Entry!$D$1882)</f>
        <v/>
      </c>
      <c r="AG1879">
        <f>IF([3]Entry!$E$1882="","",[3]Entry!$E$1882)</f>
        <v/>
      </c>
      <c r="AH1879">
        <f>IF([3]Entry!$G$1882="","",[3]Entry!$G$1882)</f>
        <v/>
      </c>
      <c r="AI1879">
        <f>IF([3]Entry!$K$1882="","",[3]Entry!$K$1882)</f>
        <v/>
      </c>
      <c r="AJ1879">
        <f>IF([3]Entry!$L$1882="","",[3]Entry!$L$1882)</f>
        <v/>
      </c>
      <c r="AK1879">
        <f>IF([3]Entry!$M$1882="","",[3]Entry!$M$1882)</f>
        <v/>
      </c>
      <c r="AL1879">
        <f>IF([3]Entry!$N$1882="","",[3]Entry!$N$1882)</f>
        <v/>
      </c>
      <c r="AM1879">
        <f>IF([3]Entry!$R$1882="","",[3]Entry!$R$1882)</f>
        <v/>
      </c>
    </row>
    <row r="1880">
      <c r="T1880">
        <f>IF([2]Baskol!$B$1883="","",[2]Baskol!$B$1883)</f>
        <v/>
      </c>
      <c r="U1880">
        <f>IF([2]Baskol!$C$1883="","",[2]Baskol!$C$1883)</f>
        <v/>
      </c>
      <c r="V1880">
        <f>IF([2]Baskol!$D$1883="","",[2]Baskol!$D$1883)</f>
        <v/>
      </c>
      <c r="W1880">
        <f>IF([2]Baskol!$E$1883="","",[2]Baskol!$E$1883)</f>
        <v/>
      </c>
      <c r="X1880">
        <f>IF([2]Baskol!$G$1883="","",[2]Baskol!$G$1883)</f>
        <v/>
      </c>
      <c r="Y1880">
        <f>IF([2]Baskol!$I$1883="","",[2]Baskol!$I$1883)</f>
        <v/>
      </c>
      <c r="Z1880">
        <f>IF([2]Baskol!$J$1883="","",[2]Baskol!$J$1883)</f>
        <v/>
      </c>
      <c r="AA1880">
        <f>IF([2]Baskol!$K$1883="","",[2]Baskol!$K$1883)</f>
        <v/>
      </c>
      <c r="AB1880">
        <f>IF([2]Baskol!$L$1883="","",[2]Baskol!$L$1883)</f>
        <v/>
      </c>
      <c r="AC1880">
        <f>IF([2]Baskol!$N$1883="","",[2]Baskol!$N$1883)</f>
        <v/>
      </c>
      <c r="AD1880">
        <f>IF([2]Baskol!$O$1883="","",[2]Baskol!$O$1883)</f>
        <v/>
      </c>
      <c r="AE1880">
        <f>IF([3]Entry!$C$1883="","",[3]Entry!$C$1883)</f>
        <v/>
      </c>
      <c r="AF1880">
        <f>IF([3]Entry!$D$1883="","",[3]Entry!$D$1883)</f>
        <v/>
      </c>
      <c r="AG1880">
        <f>IF([3]Entry!$E$1883="","",[3]Entry!$E$1883)</f>
        <v/>
      </c>
      <c r="AH1880">
        <f>IF([3]Entry!$G$1883="","",[3]Entry!$G$1883)</f>
        <v/>
      </c>
      <c r="AI1880">
        <f>IF([3]Entry!$K$1883="","",[3]Entry!$K$1883)</f>
        <v/>
      </c>
      <c r="AJ1880">
        <f>IF([3]Entry!$L$1883="","",[3]Entry!$L$1883)</f>
        <v/>
      </c>
      <c r="AK1880">
        <f>IF([3]Entry!$M$1883="","",[3]Entry!$M$1883)</f>
        <v/>
      </c>
      <c r="AL1880">
        <f>IF([3]Entry!$N$1883="","",[3]Entry!$N$1883)</f>
        <v/>
      </c>
      <c r="AM1880">
        <f>IF([3]Entry!$R$1883="","",[3]Entry!$R$1883)</f>
        <v/>
      </c>
    </row>
    <row r="1881">
      <c r="T1881">
        <f>IF([2]Baskol!$B$1884="","",[2]Baskol!$B$1884)</f>
        <v/>
      </c>
      <c r="U1881">
        <f>IF([2]Baskol!$C$1884="","",[2]Baskol!$C$1884)</f>
        <v/>
      </c>
      <c r="V1881">
        <f>IF([2]Baskol!$D$1884="","",[2]Baskol!$D$1884)</f>
        <v/>
      </c>
      <c r="W1881">
        <f>IF([2]Baskol!$E$1884="","",[2]Baskol!$E$1884)</f>
        <v/>
      </c>
      <c r="X1881">
        <f>IF([2]Baskol!$G$1884="","",[2]Baskol!$G$1884)</f>
        <v/>
      </c>
      <c r="Y1881">
        <f>IF([2]Baskol!$I$1884="","",[2]Baskol!$I$1884)</f>
        <v/>
      </c>
      <c r="Z1881">
        <f>IF([2]Baskol!$J$1884="","",[2]Baskol!$J$1884)</f>
        <v/>
      </c>
      <c r="AA1881">
        <f>IF([2]Baskol!$K$1884="","",[2]Baskol!$K$1884)</f>
        <v/>
      </c>
      <c r="AB1881">
        <f>IF([2]Baskol!$L$1884="","",[2]Baskol!$L$1884)</f>
        <v/>
      </c>
      <c r="AC1881">
        <f>IF([2]Baskol!$N$1884="","",[2]Baskol!$N$1884)</f>
        <v/>
      </c>
      <c r="AD1881">
        <f>IF([2]Baskol!$O$1884="","",[2]Baskol!$O$1884)</f>
        <v/>
      </c>
      <c r="AE1881">
        <f>IF([3]Entry!$C$1884="","",[3]Entry!$C$1884)</f>
        <v/>
      </c>
      <c r="AF1881">
        <f>IF([3]Entry!$D$1884="","",[3]Entry!$D$1884)</f>
        <v/>
      </c>
      <c r="AG1881">
        <f>IF([3]Entry!$E$1884="","",[3]Entry!$E$1884)</f>
        <v/>
      </c>
      <c r="AH1881">
        <f>IF([3]Entry!$G$1884="","",[3]Entry!$G$1884)</f>
        <v/>
      </c>
      <c r="AI1881">
        <f>IF([3]Entry!$K$1884="","",[3]Entry!$K$1884)</f>
        <v/>
      </c>
      <c r="AJ1881">
        <f>IF([3]Entry!$L$1884="","",[3]Entry!$L$1884)</f>
        <v/>
      </c>
      <c r="AK1881">
        <f>IF([3]Entry!$M$1884="","",[3]Entry!$M$1884)</f>
        <v/>
      </c>
      <c r="AL1881">
        <f>IF([3]Entry!$N$1884="","",[3]Entry!$N$1884)</f>
        <v/>
      </c>
      <c r="AM1881">
        <f>IF([3]Entry!$R$1884="","",[3]Entry!$R$1884)</f>
        <v/>
      </c>
    </row>
    <row r="1882">
      <c r="T1882">
        <f>IF([2]Baskol!$B$1885="","",[2]Baskol!$B$1885)</f>
        <v/>
      </c>
      <c r="U1882">
        <f>IF([2]Baskol!$C$1885="","",[2]Baskol!$C$1885)</f>
        <v/>
      </c>
      <c r="V1882">
        <f>IF([2]Baskol!$D$1885="","",[2]Baskol!$D$1885)</f>
        <v/>
      </c>
      <c r="W1882">
        <f>IF([2]Baskol!$E$1885="","",[2]Baskol!$E$1885)</f>
        <v/>
      </c>
      <c r="X1882">
        <f>IF([2]Baskol!$G$1885="","",[2]Baskol!$G$1885)</f>
        <v/>
      </c>
      <c r="Y1882">
        <f>IF([2]Baskol!$I$1885="","",[2]Baskol!$I$1885)</f>
        <v/>
      </c>
      <c r="Z1882">
        <f>IF([2]Baskol!$J$1885="","",[2]Baskol!$J$1885)</f>
        <v/>
      </c>
      <c r="AA1882">
        <f>IF([2]Baskol!$K$1885="","",[2]Baskol!$K$1885)</f>
        <v/>
      </c>
      <c r="AB1882">
        <f>IF([2]Baskol!$L$1885="","",[2]Baskol!$L$1885)</f>
        <v/>
      </c>
      <c r="AC1882">
        <f>IF([2]Baskol!$N$1885="","",[2]Baskol!$N$1885)</f>
        <v/>
      </c>
      <c r="AD1882">
        <f>IF([2]Baskol!$O$1885="","",[2]Baskol!$O$1885)</f>
        <v/>
      </c>
      <c r="AE1882">
        <f>IF([3]Entry!$C$1885="","",[3]Entry!$C$1885)</f>
        <v/>
      </c>
      <c r="AF1882">
        <f>IF([3]Entry!$D$1885="","",[3]Entry!$D$1885)</f>
        <v/>
      </c>
      <c r="AG1882">
        <f>IF([3]Entry!$E$1885="","",[3]Entry!$E$1885)</f>
        <v/>
      </c>
      <c r="AH1882">
        <f>IF([3]Entry!$G$1885="","",[3]Entry!$G$1885)</f>
        <v/>
      </c>
      <c r="AI1882">
        <f>IF([3]Entry!$K$1885="","",[3]Entry!$K$1885)</f>
        <v/>
      </c>
      <c r="AJ1882">
        <f>IF([3]Entry!$L$1885="","",[3]Entry!$L$1885)</f>
        <v/>
      </c>
      <c r="AK1882">
        <f>IF([3]Entry!$M$1885="","",[3]Entry!$M$1885)</f>
        <v/>
      </c>
      <c r="AL1882">
        <f>IF([3]Entry!$N$1885="","",[3]Entry!$N$1885)</f>
        <v/>
      </c>
      <c r="AM1882">
        <f>IF([3]Entry!$R$1885="","",[3]Entry!$R$1885)</f>
        <v/>
      </c>
    </row>
    <row r="1883">
      <c r="T1883">
        <f>IF([2]Baskol!$B$1886="","",[2]Baskol!$B$1886)</f>
        <v/>
      </c>
      <c r="U1883">
        <f>IF([2]Baskol!$C$1886="","",[2]Baskol!$C$1886)</f>
        <v/>
      </c>
      <c r="V1883">
        <f>IF([2]Baskol!$D$1886="","",[2]Baskol!$D$1886)</f>
        <v/>
      </c>
      <c r="W1883">
        <f>IF([2]Baskol!$E$1886="","",[2]Baskol!$E$1886)</f>
        <v/>
      </c>
      <c r="X1883">
        <f>IF([2]Baskol!$G$1886="","",[2]Baskol!$G$1886)</f>
        <v/>
      </c>
      <c r="Y1883">
        <f>IF([2]Baskol!$I$1886="","",[2]Baskol!$I$1886)</f>
        <v/>
      </c>
      <c r="Z1883">
        <f>IF([2]Baskol!$J$1886="","",[2]Baskol!$J$1886)</f>
        <v/>
      </c>
      <c r="AA1883">
        <f>IF([2]Baskol!$K$1886="","",[2]Baskol!$K$1886)</f>
        <v/>
      </c>
      <c r="AB1883">
        <f>IF([2]Baskol!$L$1886="","",[2]Baskol!$L$1886)</f>
        <v/>
      </c>
      <c r="AC1883">
        <f>IF([2]Baskol!$N$1886="","",[2]Baskol!$N$1886)</f>
        <v/>
      </c>
      <c r="AD1883">
        <f>IF([2]Baskol!$O$1886="","",[2]Baskol!$O$1886)</f>
        <v/>
      </c>
      <c r="AE1883">
        <f>IF([3]Entry!$C$1886="","",[3]Entry!$C$1886)</f>
        <v/>
      </c>
      <c r="AF1883">
        <f>IF([3]Entry!$D$1886="","",[3]Entry!$D$1886)</f>
        <v/>
      </c>
      <c r="AG1883">
        <f>IF([3]Entry!$E$1886="","",[3]Entry!$E$1886)</f>
        <v/>
      </c>
      <c r="AH1883">
        <f>IF([3]Entry!$G$1886="","",[3]Entry!$G$1886)</f>
        <v/>
      </c>
      <c r="AI1883">
        <f>IF([3]Entry!$K$1886="","",[3]Entry!$K$1886)</f>
        <v/>
      </c>
      <c r="AJ1883">
        <f>IF([3]Entry!$L$1886="","",[3]Entry!$L$1886)</f>
        <v/>
      </c>
      <c r="AK1883">
        <f>IF([3]Entry!$M$1886="","",[3]Entry!$M$1886)</f>
        <v/>
      </c>
      <c r="AL1883">
        <f>IF([3]Entry!$N$1886="","",[3]Entry!$N$1886)</f>
        <v/>
      </c>
      <c r="AM1883">
        <f>IF([3]Entry!$R$1886="","",[3]Entry!$R$1886)</f>
        <v/>
      </c>
    </row>
    <row r="1884">
      <c r="T1884">
        <f>IF([2]Baskol!$B$1887="","",[2]Baskol!$B$1887)</f>
        <v/>
      </c>
      <c r="U1884">
        <f>IF([2]Baskol!$C$1887="","",[2]Baskol!$C$1887)</f>
        <v/>
      </c>
      <c r="V1884">
        <f>IF([2]Baskol!$D$1887="","",[2]Baskol!$D$1887)</f>
        <v/>
      </c>
      <c r="W1884">
        <f>IF([2]Baskol!$E$1887="","",[2]Baskol!$E$1887)</f>
        <v/>
      </c>
      <c r="X1884">
        <f>IF([2]Baskol!$G$1887="","",[2]Baskol!$G$1887)</f>
        <v/>
      </c>
      <c r="Y1884">
        <f>IF([2]Baskol!$I$1887="","",[2]Baskol!$I$1887)</f>
        <v/>
      </c>
      <c r="Z1884">
        <f>IF([2]Baskol!$J$1887="","",[2]Baskol!$J$1887)</f>
        <v/>
      </c>
      <c r="AA1884">
        <f>IF([2]Baskol!$K$1887="","",[2]Baskol!$K$1887)</f>
        <v/>
      </c>
      <c r="AB1884">
        <f>IF([2]Baskol!$L$1887="","",[2]Baskol!$L$1887)</f>
        <v/>
      </c>
      <c r="AC1884">
        <f>IF([2]Baskol!$N$1887="","",[2]Baskol!$N$1887)</f>
        <v/>
      </c>
      <c r="AD1884">
        <f>IF([2]Baskol!$O$1887="","",[2]Baskol!$O$1887)</f>
        <v/>
      </c>
      <c r="AE1884">
        <f>IF([3]Entry!$C$1887="","",[3]Entry!$C$1887)</f>
        <v/>
      </c>
      <c r="AF1884">
        <f>IF([3]Entry!$D$1887="","",[3]Entry!$D$1887)</f>
        <v/>
      </c>
      <c r="AG1884">
        <f>IF([3]Entry!$E$1887="","",[3]Entry!$E$1887)</f>
        <v/>
      </c>
      <c r="AH1884">
        <f>IF([3]Entry!$G$1887="","",[3]Entry!$G$1887)</f>
        <v/>
      </c>
      <c r="AI1884">
        <f>IF([3]Entry!$K$1887="","",[3]Entry!$K$1887)</f>
        <v/>
      </c>
      <c r="AJ1884">
        <f>IF([3]Entry!$L$1887="","",[3]Entry!$L$1887)</f>
        <v/>
      </c>
      <c r="AK1884">
        <f>IF([3]Entry!$M$1887="","",[3]Entry!$M$1887)</f>
        <v/>
      </c>
      <c r="AL1884">
        <f>IF([3]Entry!$N$1887="","",[3]Entry!$N$1887)</f>
        <v/>
      </c>
      <c r="AM1884">
        <f>IF([3]Entry!$R$1887="","",[3]Entry!$R$1887)</f>
        <v/>
      </c>
    </row>
    <row r="1885">
      <c r="T1885">
        <f>IF([2]Baskol!$B$1888="","",[2]Baskol!$B$1888)</f>
        <v/>
      </c>
      <c r="U1885">
        <f>IF([2]Baskol!$C$1888="","",[2]Baskol!$C$1888)</f>
        <v/>
      </c>
      <c r="V1885">
        <f>IF([2]Baskol!$D$1888="","",[2]Baskol!$D$1888)</f>
        <v/>
      </c>
      <c r="W1885">
        <f>IF([2]Baskol!$E$1888="","",[2]Baskol!$E$1888)</f>
        <v/>
      </c>
      <c r="X1885">
        <f>IF([2]Baskol!$G$1888="","",[2]Baskol!$G$1888)</f>
        <v/>
      </c>
      <c r="Y1885">
        <f>IF([2]Baskol!$I$1888="","",[2]Baskol!$I$1888)</f>
        <v/>
      </c>
      <c r="Z1885">
        <f>IF([2]Baskol!$J$1888="","",[2]Baskol!$J$1888)</f>
        <v/>
      </c>
      <c r="AA1885">
        <f>IF([2]Baskol!$K$1888="","",[2]Baskol!$K$1888)</f>
        <v/>
      </c>
      <c r="AB1885">
        <f>IF([2]Baskol!$L$1888="","",[2]Baskol!$L$1888)</f>
        <v/>
      </c>
      <c r="AC1885">
        <f>IF([2]Baskol!$N$1888="","",[2]Baskol!$N$1888)</f>
        <v/>
      </c>
      <c r="AD1885">
        <f>IF([2]Baskol!$O$1888="","",[2]Baskol!$O$1888)</f>
        <v/>
      </c>
      <c r="AE1885">
        <f>IF([3]Entry!$C$1888="","",[3]Entry!$C$1888)</f>
        <v/>
      </c>
      <c r="AF1885">
        <f>IF([3]Entry!$D$1888="","",[3]Entry!$D$1888)</f>
        <v/>
      </c>
      <c r="AG1885">
        <f>IF([3]Entry!$E$1888="","",[3]Entry!$E$1888)</f>
        <v/>
      </c>
      <c r="AH1885">
        <f>IF([3]Entry!$G$1888="","",[3]Entry!$G$1888)</f>
        <v/>
      </c>
      <c r="AI1885">
        <f>IF([3]Entry!$K$1888="","",[3]Entry!$K$1888)</f>
        <v/>
      </c>
      <c r="AJ1885">
        <f>IF([3]Entry!$L$1888="","",[3]Entry!$L$1888)</f>
        <v/>
      </c>
      <c r="AK1885">
        <f>IF([3]Entry!$M$1888="","",[3]Entry!$M$1888)</f>
        <v/>
      </c>
      <c r="AL1885">
        <f>IF([3]Entry!$N$1888="","",[3]Entry!$N$1888)</f>
        <v/>
      </c>
      <c r="AM1885">
        <f>IF([3]Entry!$R$1888="","",[3]Entry!$R$1888)</f>
        <v/>
      </c>
    </row>
    <row r="1886">
      <c r="T1886">
        <f>IF([2]Baskol!$B$1889="","",[2]Baskol!$B$1889)</f>
        <v/>
      </c>
      <c r="U1886">
        <f>IF([2]Baskol!$C$1889="","",[2]Baskol!$C$1889)</f>
        <v/>
      </c>
      <c r="V1886">
        <f>IF([2]Baskol!$D$1889="","",[2]Baskol!$D$1889)</f>
        <v/>
      </c>
      <c r="W1886">
        <f>IF([2]Baskol!$E$1889="","",[2]Baskol!$E$1889)</f>
        <v/>
      </c>
      <c r="X1886">
        <f>IF([2]Baskol!$G$1889="","",[2]Baskol!$G$1889)</f>
        <v/>
      </c>
      <c r="Y1886">
        <f>IF([2]Baskol!$I$1889="","",[2]Baskol!$I$1889)</f>
        <v/>
      </c>
      <c r="Z1886">
        <f>IF([2]Baskol!$J$1889="","",[2]Baskol!$J$1889)</f>
        <v/>
      </c>
      <c r="AA1886">
        <f>IF([2]Baskol!$K$1889="","",[2]Baskol!$K$1889)</f>
        <v/>
      </c>
      <c r="AB1886">
        <f>IF([2]Baskol!$L$1889="","",[2]Baskol!$L$1889)</f>
        <v/>
      </c>
      <c r="AC1886">
        <f>IF([2]Baskol!$N$1889="","",[2]Baskol!$N$1889)</f>
        <v/>
      </c>
      <c r="AD1886">
        <f>IF([2]Baskol!$O$1889="","",[2]Baskol!$O$1889)</f>
        <v/>
      </c>
      <c r="AE1886">
        <f>IF([3]Entry!$C$1889="","",[3]Entry!$C$1889)</f>
        <v/>
      </c>
      <c r="AF1886">
        <f>IF([3]Entry!$D$1889="","",[3]Entry!$D$1889)</f>
        <v/>
      </c>
      <c r="AG1886">
        <f>IF([3]Entry!$E$1889="","",[3]Entry!$E$1889)</f>
        <v/>
      </c>
      <c r="AH1886">
        <f>IF([3]Entry!$G$1889="","",[3]Entry!$G$1889)</f>
        <v/>
      </c>
      <c r="AI1886">
        <f>IF([3]Entry!$K$1889="","",[3]Entry!$K$1889)</f>
        <v/>
      </c>
      <c r="AJ1886">
        <f>IF([3]Entry!$L$1889="","",[3]Entry!$L$1889)</f>
        <v/>
      </c>
      <c r="AK1886">
        <f>IF([3]Entry!$M$1889="","",[3]Entry!$M$1889)</f>
        <v/>
      </c>
      <c r="AL1886">
        <f>IF([3]Entry!$N$1889="","",[3]Entry!$N$1889)</f>
        <v/>
      </c>
      <c r="AM1886">
        <f>IF([3]Entry!$R$1889="","",[3]Entry!$R$1889)</f>
        <v/>
      </c>
    </row>
    <row r="1887">
      <c r="T1887">
        <f>IF([2]Baskol!$B$1890="","",[2]Baskol!$B$1890)</f>
        <v/>
      </c>
      <c r="U1887">
        <f>IF([2]Baskol!$C$1890="","",[2]Baskol!$C$1890)</f>
        <v/>
      </c>
      <c r="V1887">
        <f>IF([2]Baskol!$D$1890="","",[2]Baskol!$D$1890)</f>
        <v/>
      </c>
      <c r="W1887">
        <f>IF([2]Baskol!$E$1890="","",[2]Baskol!$E$1890)</f>
        <v/>
      </c>
      <c r="X1887">
        <f>IF([2]Baskol!$G$1890="","",[2]Baskol!$G$1890)</f>
        <v/>
      </c>
      <c r="Y1887">
        <f>IF([2]Baskol!$I$1890="","",[2]Baskol!$I$1890)</f>
        <v/>
      </c>
      <c r="Z1887">
        <f>IF([2]Baskol!$J$1890="","",[2]Baskol!$J$1890)</f>
        <v/>
      </c>
      <c r="AA1887">
        <f>IF([2]Baskol!$K$1890="","",[2]Baskol!$K$1890)</f>
        <v/>
      </c>
      <c r="AB1887">
        <f>IF([2]Baskol!$L$1890="","",[2]Baskol!$L$1890)</f>
        <v/>
      </c>
      <c r="AC1887">
        <f>IF([2]Baskol!$N$1890="","",[2]Baskol!$N$1890)</f>
        <v/>
      </c>
      <c r="AD1887">
        <f>IF([2]Baskol!$O$1890="","",[2]Baskol!$O$1890)</f>
        <v/>
      </c>
      <c r="AE1887">
        <f>IF([3]Entry!$C$1890="","",[3]Entry!$C$1890)</f>
        <v/>
      </c>
      <c r="AF1887">
        <f>IF([3]Entry!$D$1890="","",[3]Entry!$D$1890)</f>
        <v/>
      </c>
      <c r="AG1887">
        <f>IF([3]Entry!$E$1890="","",[3]Entry!$E$1890)</f>
        <v/>
      </c>
      <c r="AH1887">
        <f>IF([3]Entry!$G$1890="","",[3]Entry!$G$1890)</f>
        <v/>
      </c>
      <c r="AI1887">
        <f>IF([3]Entry!$K$1890="","",[3]Entry!$K$1890)</f>
        <v/>
      </c>
      <c r="AJ1887">
        <f>IF([3]Entry!$L$1890="","",[3]Entry!$L$1890)</f>
        <v/>
      </c>
      <c r="AK1887">
        <f>IF([3]Entry!$M$1890="","",[3]Entry!$M$1890)</f>
        <v/>
      </c>
      <c r="AL1887">
        <f>IF([3]Entry!$N$1890="","",[3]Entry!$N$1890)</f>
        <v/>
      </c>
      <c r="AM1887">
        <f>IF([3]Entry!$R$1890="","",[3]Entry!$R$1890)</f>
        <v/>
      </c>
    </row>
    <row r="1888">
      <c r="T1888">
        <f>IF([2]Baskol!$B$1891="","",[2]Baskol!$B$1891)</f>
        <v/>
      </c>
      <c r="U1888">
        <f>IF([2]Baskol!$C$1891="","",[2]Baskol!$C$1891)</f>
        <v/>
      </c>
      <c r="V1888">
        <f>IF([2]Baskol!$D$1891="","",[2]Baskol!$D$1891)</f>
        <v/>
      </c>
      <c r="W1888">
        <f>IF([2]Baskol!$E$1891="","",[2]Baskol!$E$1891)</f>
        <v/>
      </c>
      <c r="X1888">
        <f>IF([2]Baskol!$G$1891="","",[2]Baskol!$G$1891)</f>
        <v/>
      </c>
      <c r="Y1888">
        <f>IF([2]Baskol!$I$1891="","",[2]Baskol!$I$1891)</f>
        <v/>
      </c>
      <c r="Z1888">
        <f>IF([2]Baskol!$J$1891="","",[2]Baskol!$J$1891)</f>
        <v/>
      </c>
      <c r="AA1888">
        <f>IF([2]Baskol!$K$1891="","",[2]Baskol!$K$1891)</f>
        <v/>
      </c>
      <c r="AB1888">
        <f>IF([2]Baskol!$L$1891="","",[2]Baskol!$L$1891)</f>
        <v/>
      </c>
      <c r="AC1888">
        <f>IF([2]Baskol!$N$1891="","",[2]Baskol!$N$1891)</f>
        <v/>
      </c>
      <c r="AD1888">
        <f>IF([2]Baskol!$O$1891="","",[2]Baskol!$O$1891)</f>
        <v/>
      </c>
      <c r="AE1888">
        <f>IF([3]Entry!$C$1891="","",[3]Entry!$C$1891)</f>
        <v/>
      </c>
      <c r="AF1888">
        <f>IF([3]Entry!$D$1891="","",[3]Entry!$D$1891)</f>
        <v/>
      </c>
      <c r="AG1888">
        <f>IF([3]Entry!$E$1891="","",[3]Entry!$E$1891)</f>
        <v/>
      </c>
      <c r="AH1888">
        <f>IF([3]Entry!$G$1891="","",[3]Entry!$G$1891)</f>
        <v/>
      </c>
      <c r="AI1888">
        <f>IF([3]Entry!$K$1891="","",[3]Entry!$K$1891)</f>
        <v/>
      </c>
      <c r="AJ1888">
        <f>IF([3]Entry!$L$1891="","",[3]Entry!$L$1891)</f>
        <v/>
      </c>
      <c r="AK1888">
        <f>IF([3]Entry!$M$1891="","",[3]Entry!$M$1891)</f>
        <v/>
      </c>
      <c r="AL1888">
        <f>IF([3]Entry!$N$1891="","",[3]Entry!$N$1891)</f>
        <v/>
      </c>
      <c r="AM1888">
        <f>IF([3]Entry!$R$1891="","",[3]Entry!$R$1891)</f>
        <v/>
      </c>
    </row>
    <row r="1889">
      <c r="T1889">
        <f>IF([2]Baskol!$B$1892="","",[2]Baskol!$B$1892)</f>
        <v/>
      </c>
      <c r="U1889">
        <f>IF([2]Baskol!$C$1892="","",[2]Baskol!$C$1892)</f>
        <v/>
      </c>
      <c r="V1889">
        <f>IF([2]Baskol!$D$1892="","",[2]Baskol!$D$1892)</f>
        <v/>
      </c>
      <c r="W1889">
        <f>IF([2]Baskol!$E$1892="","",[2]Baskol!$E$1892)</f>
        <v/>
      </c>
      <c r="X1889">
        <f>IF([2]Baskol!$G$1892="","",[2]Baskol!$G$1892)</f>
        <v/>
      </c>
      <c r="Y1889">
        <f>IF([2]Baskol!$I$1892="","",[2]Baskol!$I$1892)</f>
        <v/>
      </c>
      <c r="Z1889">
        <f>IF([2]Baskol!$J$1892="","",[2]Baskol!$J$1892)</f>
        <v/>
      </c>
      <c r="AA1889">
        <f>IF([2]Baskol!$K$1892="","",[2]Baskol!$K$1892)</f>
        <v/>
      </c>
      <c r="AB1889">
        <f>IF([2]Baskol!$L$1892="","",[2]Baskol!$L$1892)</f>
        <v/>
      </c>
      <c r="AC1889">
        <f>IF([2]Baskol!$N$1892="","",[2]Baskol!$N$1892)</f>
        <v/>
      </c>
      <c r="AD1889">
        <f>IF([2]Baskol!$O$1892="","",[2]Baskol!$O$1892)</f>
        <v/>
      </c>
      <c r="AE1889">
        <f>IF([3]Entry!$C$1892="","",[3]Entry!$C$1892)</f>
        <v/>
      </c>
      <c r="AF1889">
        <f>IF([3]Entry!$D$1892="","",[3]Entry!$D$1892)</f>
        <v/>
      </c>
      <c r="AG1889">
        <f>IF([3]Entry!$E$1892="","",[3]Entry!$E$1892)</f>
        <v/>
      </c>
      <c r="AH1889">
        <f>IF([3]Entry!$G$1892="","",[3]Entry!$G$1892)</f>
        <v/>
      </c>
      <c r="AI1889">
        <f>IF([3]Entry!$K$1892="","",[3]Entry!$K$1892)</f>
        <v/>
      </c>
      <c r="AJ1889">
        <f>IF([3]Entry!$L$1892="","",[3]Entry!$L$1892)</f>
        <v/>
      </c>
      <c r="AK1889">
        <f>IF([3]Entry!$M$1892="","",[3]Entry!$M$1892)</f>
        <v/>
      </c>
      <c r="AL1889">
        <f>IF([3]Entry!$N$1892="","",[3]Entry!$N$1892)</f>
        <v/>
      </c>
      <c r="AM1889">
        <f>IF([3]Entry!$R$1892="","",[3]Entry!$R$1892)</f>
        <v/>
      </c>
    </row>
    <row r="1890">
      <c r="T1890">
        <f>IF([2]Baskol!$B$1893="","",[2]Baskol!$B$1893)</f>
        <v/>
      </c>
      <c r="U1890">
        <f>IF([2]Baskol!$C$1893="","",[2]Baskol!$C$1893)</f>
        <v/>
      </c>
      <c r="V1890">
        <f>IF([2]Baskol!$D$1893="","",[2]Baskol!$D$1893)</f>
        <v/>
      </c>
      <c r="W1890">
        <f>IF([2]Baskol!$E$1893="","",[2]Baskol!$E$1893)</f>
        <v/>
      </c>
      <c r="X1890">
        <f>IF([2]Baskol!$G$1893="","",[2]Baskol!$G$1893)</f>
        <v/>
      </c>
      <c r="Y1890">
        <f>IF([2]Baskol!$I$1893="","",[2]Baskol!$I$1893)</f>
        <v/>
      </c>
      <c r="Z1890">
        <f>IF([2]Baskol!$J$1893="","",[2]Baskol!$J$1893)</f>
        <v/>
      </c>
      <c r="AA1890">
        <f>IF([2]Baskol!$K$1893="","",[2]Baskol!$K$1893)</f>
        <v/>
      </c>
      <c r="AB1890">
        <f>IF([2]Baskol!$L$1893="","",[2]Baskol!$L$1893)</f>
        <v/>
      </c>
      <c r="AC1890">
        <f>IF([2]Baskol!$N$1893="","",[2]Baskol!$N$1893)</f>
        <v/>
      </c>
      <c r="AD1890">
        <f>IF([2]Baskol!$O$1893="","",[2]Baskol!$O$1893)</f>
        <v/>
      </c>
      <c r="AE1890">
        <f>IF([3]Entry!$C$1893="","",[3]Entry!$C$1893)</f>
        <v/>
      </c>
      <c r="AF1890">
        <f>IF([3]Entry!$D$1893="","",[3]Entry!$D$1893)</f>
        <v/>
      </c>
      <c r="AG1890">
        <f>IF([3]Entry!$E$1893="","",[3]Entry!$E$1893)</f>
        <v/>
      </c>
      <c r="AH1890">
        <f>IF([3]Entry!$G$1893="","",[3]Entry!$G$1893)</f>
        <v/>
      </c>
      <c r="AI1890">
        <f>IF([3]Entry!$K$1893="","",[3]Entry!$K$1893)</f>
        <v/>
      </c>
      <c r="AJ1890">
        <f>IF([3]Entry!$L$1893="","",[3]Entry!$L$1893)</f>
        <v/>
      </c>
      <c r="AK1890">
        <f>IF([3]Entry!$M$1893="","",[3]Entry!$M$1893)</f>
        <v/>
      </c>
      <c r="AL1890">
        <f>IF([3]Entry!$N$1893="","",[3]Entry!$N$1893)</f>
        <v/>
      </c>
      <c r="AM1890">
        <f>IF([3]Entry!$R$1893="","",[3]Entry!$R$1893)</f>
        <v/>
      </c>
    </row>
    <row r="1891">
      <c r="T1891">
        <f>IF([2]Baskol!$B$1894="","",[2]Baskol!$B$1894)</f>
        <v/>
      </c>
      <c r="U1891">
        <f>IF([2]Baskol!$C$1894="","",[2]Baskol!$C$1894)</f>
        <v/>
      </c>
      <c r="V1891">
        <f>IF([2]Baskol!$D$1894="","",[2]Baskol!$D$1894)</f>
        <v/>
      </c>
      <c r="W1891">
        <f>IF([2]Baskol!$E$1894="","",[2]Baskol!$E$1894)</f>
        <v/>
      </c>
      <c r="X1891">
        <f>IF([2]Baskol!$G$1894="","",[2]Baskol!$G$1894)</f>
        <v/>
      </c>
      <c r="Y1891">
        <f>IF([2]Baskol!$I$1894="","",[2]Baskol!$I$1894)</f>
        <v/>
      </c>
      <c r="Z1891">
        <f>IF([2]Baskol!$J$1894="","",[2]Baskol!$J$1894)</f>
        <v/>
      </c>
      <c r="AA1891">
        <f>IF([2]Baskol!$K$1894="","",[2]Baskol!$K$1894)</f>
        <v/>
      </c>
      <c r="AB1891">
        <f>IF([2]Baskol!$L$1894="","",[2]Baskol!$L$1894)</f>
        <v/>
      </c>
      <c r="AC1891">
        <f>IF([2]Baskol!$N$1894="","",[2]Baskol!$N$1894)</f>
        <v/>
      </c>
      <c r="AD1891">
        <f>IF([2]Baskol!$O$1894="","",[2]Baskol!$O$1894)</f>
        <v/>
      </c>
      <c r="AE1891">
        <f>IF([3]Entry!$C$1894="","",[3]Entry!$C$1894)</f>
        <v/>
      </c>
      <c r="AF1891">
        <f>IF([3]Entry!$D$1894="","",[3]Entry!$D$1894)</f>
        <v/>
      </c>
      <c r="AG1891">
        <f>IF([3]Entry!$E$1894="","",[3]Entry!$E$1894)</f>
        <v/>
      </c>
      <c r="AH1891">
        <f>IF([3]Entry!$G$1894="","",[3]Entry!$G$1894)</f>
        <v/>
      </c>
      <c r="AI1891">
        <f>IF([3]Entry!$K$1894="","",[3]Entry!$K$1894)</f>
        <v/>
      </c>
      <c r="AJ1891">
        <f>IF([3]Entry!$L$1894="","",[3]Entry!$L$1894)</f>
        <v/>
      </c>
      <c r="AK1891">
        <f>IF([3]Entry!$M$1894="","",[3]Entry!$M$1894)</f>
        <v/>
      </c>
      <c r="AL1891">
        <f>IF([3]Entry!$N$1894="","",[3]Entry!$N$1894)</f>
        <v/>
      </c>
      <c r="AM1891">
        <f>IF([3]Entry!$R$1894="","",[3]Entry!$R$1894)</f>
        <v/>
      </c>
    </row>
    <row r="1892">
      <c r="T1892">
        <f>IF([2]Baskol!$B$1895="","",[2]Baskol!$B$1895)</f>
        <v/>
      </c>
      <c r="U1892">
        <f>IF([2]Baskol!$C$1895="","",[2]Baskol!$C$1895)</f>
        <v/>
      </c>
      <c r="V1892">
        <f>IF([2]Baskol!$D$1895="","",[2]Baskol!$D$1895)</f>
        <v/>
      </c>
      <c r="W1892">
        <f>IF([2]Baskol!$E$1895="","",[2]Baskol!$E$1895)</f>
        <v/>
      </c>
      <c r="X1892">
        <f>IF([2]Baskol!$G$1895="","",[2]Baskol!$G$1895)</f>
        <v/>
      </c>
      <c r="Y1892">
        <f>IF([2]Baskol!$I$1895="","",[2]Baskol!$I$1895)</f>
        <v/>
      </c>
      <c r="Z1892">
        <f>IF([2]Baskol!$J$1895="","",[2]Baskol!$J$1895)</f>
        <v/>
      </c>
      <c r="AA1892">
        <f>IF([2]Baskol!$K$1895="","",[2]Baskol!$K$1895)</f>
        <v/>
      </c>
      <c r="AB1892">
        <f>IF([2]Baskol!$L$1895="","",[2]Baskol!$L$1895)</f>
        <v/>
      </c>
      <c r="AC1892">
        <f>IF([2]Baskol!$N$1895="","",[2]Baskol!$N$1895)</f>
        <v/>
      </c>
      <c r="AD1892">
        <f>IF([2]Baskol!$O$1895="","",[2]Baskol!$O$1895)</f>
        <v/>
      </c>
      <c r="AE1892">
        <f>IF([3]Entry!$C$1895="","",[3]Entry!$C$1895)</f>
        <v/>
      </c>
      <c r="AF1892">
        <f>IF([3]Entry!$D$1895="","",[3]Entry!$D$1895)</f>
        <v/>
      </c>
      <c r="AG1892">
        <f>IF([3]Entry!$E$1895="","",[3]Entry!$E$1895)</f>
        <v/>
      </c>
      <c r="AH1892">
        <f>IF([3]Entry!$G$1895="","",[3]Entry!$G$1895)</f>
        <v/>
      </c>
      <c r="AI1892">
        <f>IF([3]Entry!$K$1895="","",[3]Entry!$K$1895)</f>
        <v/>
      </c>
      <c r="AJ1892">
        <f>IF([3]Entry!$L$1895="","",[3]Entry!$L$1895)</f>
        <v/>
      </c>
      <c r="AK1892">
        <f>IF([3]Entry!$M$1895="","",[3]Entry!$M$1895)</f>
        <v/>
      </c>
      <c r="AL1892">
        <f>IF([3]Entry!$N$1895="","",[3]Entry!$N$1895)</f>
        <v/>
      </c>
      <c r="AM1892">
        <f>IF([3]Entry!$R$1895="","",[3]Entry!$R$1895)</f>
        <v/>
      </c>
    </row>
    <row r="1893">
      <c r="T1893">
        <f>IF([2]Baskol!$B$1896="","",[2]Baskol!$B$1896)</f>
        <v/>
      </c>
      <c r="U1893">
        <f>IF([2]Baskol!$C$1896="","",[2]Baskol!$C$1896)</f>
        <v/>
      </c>
      <c r="V1893">
        <f>IF([2]Baskol!$D$1896="","",[2]Baskol!$D$1896)</f>
        <v/>
      </c>
      <c r="W1893">
        <f>IF([2]Baskol!$E$1896="","",[2]Baskol!$E$1896)</f>
        <v/>
      </c>
      <c r="X1893">
        <f>IF([2]Baskol!$G$1896="","",[2]Baskol!$G$1896)</f>
        <v/>
      </c>
      <c r="Y1893">
        <f>IF([2]Baskol!$I$1896="","",[2]Baskol!$I$1896)</f>
        <v/>
      </c>
      <c r="Z1893">
        <f>IF([2]Baskol!$J$1896="","",[2]Baskol!$J$1896)</f>
        <v/>
      </c>
      <c r="AA1893">
        <f>IF([2]Baskol!$K$1896="","",[2]Baskol!$K$1896)</f>
        <v/>
      </c>
      <c r="AB1893">
        <f>IF([2]Baskol!$L$1896="","",[2]Baskol!$L$1896)</f>
        <v/>
      </c>
      <c r="AC1893">
        <f>IF([2]Baskol!$N$1896="","",[2]Baskol!$N$1896)</f>
        <v/>
      </c>
      <c r="AD1893">
        <f>IF([2]Baskol!$O$1896="","",[2]Baskol!$O$1896)</f>
        <v/>
      </c>
      <c r="AE1893">
        <f>IF([3]Entry!$C$1896="","",[3]Entry!$C$1896)</f>
        <v/>
      </c>
      <c r="AF1893">
        <f>IF([3]Entry!$D$1896="","",[3]Entry!$D$1896)</f>
        <v/>
      </c>
      <c r="AG1893">
        <f>IF([3]Entry!$E$1896="","",[3]Entry!$E$1896)</f>
        <v/>
      </c>
      <c r="AH1893">
        <f>IF([3]Entry!$G$1896="","",[3]Entry!$G$1896)</f>
        <v/>
      </c>
      <c r="AI1893">
        <f>IF([3]Entry!$K$1896="","",[3]Entry!$K$1896)</f>
        <v/>
      </c>
      <c r="AJ1893">
        <f>IF([3]Entry!$L$1896="","",[3]Entry!$L$1896)</f>
        <v/>
      </c>
      <c r="AK1893">
        <f>IF([3]Entry!$M$1896="","",[3]Entry!$M$1896)</f>
        <v/>
      </c>
      <c r="AL1893">
        <f>IF([3]Entry!$N$1896="","",[3]Entry!$N$1896)</f>
        <v/>
      </c>
      <c r="AM1893">
        <f>IF([3]Entry!$R$1896="","",[3]Entry!$R$1896)</f>
        <v/>
      </c>
    </row>
    <row r="1894">
      <c r="T1894">
        <f>IF([2]Baskol!$B$1897="","",[2]Baskol!$B$1897)</f>
        <v/>
      </c>
      <c r="U1894">
        <f>IF([2]Baskol!$C$1897="","",[2]Baskol!$C$1897)</f>
        <v/>
      </c>
      <c r="V1894">
        <f>IF([2]Baskol!$D$1897="","",[2]Baskol!$D$1897)</f>
        <v/>
      </c>
      <c r="W1894">
        <f>IF([2]Baskol!$E$1897="","",[2]Baskol!$E$1897)</f>
        <v/>
      </c>
      <c r="X1894">
        <f>IF([2]Baskol!$G$1897="","",[2]Baskol!$G$1897)</f>
        <v/>
      </c>
      <c r="Y1894">
        <f>IF([2]Baskol!$I$1897="","",[2]Baskol!$I$1897)</f>
        <v/>
      </c>
      <c r="Z1894">
        <f>IF([2]Baskol!$J$1897="","",[2]Baskol!$J$1897)</f>
        <v/>
      </c>
      <c r="AA1894">
        <f>IF([2]Baskol!$K$1897="","",[2]Baskol!$K$1897)</f>
        <v/>
      </c>
      <c r="AB1894">
        <f>IF([2]Baskol!$L$1897="","",[2]Baskol!$L$1897)</f>
        <v/>
      </c>
      <c r="AC1894">
        <f>IF([2]Baskol!$N$1897="","",[2]Baskol!$N$1897)</f>
        <v/>
      </c>
      <c r="AD1894">
        <f>IF([2]Baskol!$O$1897="","",[2]Baskol!$O$1897)</f>
        <v/>
      </c>
      <c r="AE1894">
        <f>IF([3]Entry!$C$1897="","",[3]Entry!$C$1897)</f>
        <v/>
      </c>
      <c r="AF1894">
        <f>IF([3]Entry!$D$1897="","",[3]Entry!$D$1897)</f>
        <v/>
      </c>
      <c r="AG1894">
        <f>IF([3]Entry!$E$1897="","",[3]Entry!$E$1897)</f>
        <v/>
      </c>
      <c r="AH1894">
        <f>IF([3]Entry!$G$1897="","",[3]Entry!$G$1897)</f>
        <v/>
      </c>
      <c r="AI1894">
        <f>IF([3]Entry!$K$1897="","",[3]Entry!$K$1897)</f>
        <v/>
      </c>
      <c r="AJ1894">
        <f>IF([3]Entry!$L$1897="","",[3]Entry!$L$1897)</f>
        <v/>
      </c>
      <c r="AK1894">
        <f>IF([3]Entry!$M$1897="","",[3]Entry!$M$1897)</f>
        <v/>
      </c>
      <c r="AL1894">
        <f>IF([3]Entry!$N$1897="","",[3]Entry!$N$1897)</f>
        <v/>
      </c>
      <c r="AM1894">
        <f>IF([3]Entry!$R$1897="","",[3]Entry!$R$1897)</f>
        <v/>
      </c>
    </row>
    <row r="1895">
      <c r="T1895">
        <f>IF([2]Baskol!$B$1898="","",[2]Baskol!$B$1898)</f>
        <v/>
      </c>
      <c r="U1895">
        <f>IF([2]Baskol!$C$1898="","",[2]Baskol!$C$1898)</f>
        <v/>
      </c>
      <c r="V1895">
        <f>IF([2]Baskol!$D$1898="","",[2]Baskol!$D$1898)</f>
        <v/>
      </c>
      <c r="W1895">
        <f>IF([2]Baskol!$E$1898="","",[2]Baskol!$E$1898)</f>
        <v/>
      </c>
      <c r="X1895">
        <f>IF([2]Baskol!$G$1898="","",[2]Baskol!$G$1898)</f>
        <v/>
      </c>
      <c r="Y1895">
        <f>IF([2]Baskol!$I$1898="","",[2]Baskol!$I$1898)</f>
        <v/>
      </c>
      <c r="Z1895">
        <f>IF([2]Baskol!$J$1898="","",[2]Baskol!$J$1898)</f>
        <v/>
      </c>
      <c r="AA1895">
        <f>IF([2]Baskol!$K$1898="","",[2]Baskol!$K$1898)</f>
        <v/>
      </c>
      <c r="AB1895">
        <f>IF([2]Baskol!$L$1898="","",[2]Baskol!$L$1898)</f>
        <v/>
      </c>
      <c r="AC1895">
        <f>IF([2]Baskol!$N$1898="","",[2]Baskol!$N$1898)</f>
        <v/>
      </c>
      <c r="AD1895">
        <f>IF([2]Baskol!$O$1898="","",[2]Baskol!$O$1898)</f>
        <v/>
      </c>
      <c r="AE1895">
        <f>IF([3]Entry!$C$1898="","",[3]Entry!$C$1898)</f>
        <v/>
      </c>
      <c r="AF1895">
        <f>IF([3]Entry!$D$1898="","",[3]Entry!$D$1898)</f>
        <v/>
      </c>
      <c r="AG1895">
        <f>IF([3]Entry!$E$1898="","",[3]Entry!$E$1898)</f>
        <v/>
      </c>
      <c r="AH1895">
        <f>IF([3]Entry!$G$1898="","",[3]Entry!$G$1898)</f>
        <v/>
      </c>
      <c r="AI1895">
        <f>IF([3]Entry!$K$1898="","",[3]Entry!$K$1898)</f>
        <v/>
      </c>
      <c r="AJ1895">
        <f>IF([3]Entry!$L$1898="","",[3]Entry!$L$1898)</f>
        <v/>
      </c>
      <c r="AK1895">
        <f>IF([3]Entry!$M$1898="","",[3]Entry!$M$1898)</f>
        <v/>
      </c>
      <c r="AL1895">
        <f>IF([3]Entry!$N$1898="","",[3]Entry!$N$1898)</f>
        <v/>
      </c>
      <c r="AM1895">
        <f>IF([3]Entry!$R$1898="","",[3]Entry!$R$1898)</f>
        <v/>
      </c>
    </row>
    <row r="1896">
      <c r="T1896">
        <f>IF([2]Baskol!$B$1899="","",[2]Baskol!$B$1899)</f>
        <v/>
      </c>
      <c r="U1896">
        <f>IF([2]Baskol!$C$1899="","",[2]Baskol!$C$1899)</f>
        <v/>
      </c>
      <c r="V1896">
        <f>IF([2]Baskol!$D$1899="","",[2]Baskol!$D$1899)</f>
        <v/>
      </c>
      <c r="W1896">
        <f>IF([2]Baskol!$E$1899="","",[2]Baskol!$E$1899)</f>
        <v/>
      </c>
      <c r="X1896">
        <f>IF([2]Baskol!$G$1899="","",[2]Baskol!$G$1899)</f>
        <v/>
      </c>
      <c r="Y1896">
        <f>IF([2]Baskol!$I$1899="","",[2]Baskol!$I$1899)</f>
        <v/>
      </c>
      <c r="Z1896">
        <f>IF([2]Baskol!$J$1899="","",[2]Baskol!$J$1899)</f>
        <v/>
      </c>
      <c r="AA1896">
        <f>IF([2]Baskol!$K$1899="","",[2]Baskol!$K$1899)</f>
        <v/>
      </c>
      <c r="AB1896">
        <f>IF([2]Baskol!$L$1899="","",[2]Baskol!$L$1899)</f>
        <v/>
      </c>
      <c r="AC1896">
        <f>IF([2]Baskol!$N$1899="","",[2]Baskol!$N$1899)</f>
        <v/>
      </c>
      <c r="AD1896">
        <f>IF([2]Baskol!$O$1899="","",[2]Baskol!$O$1899)</f>
        <v/>
      </c>
      <c r="AE1896">
        <f>IF([3]Entry!$C$1899="","",[3]Entry!$C$1899)</f>
        <v/>
      </c>
      <c r="AF1896">
        <f>IF([3]Entry!$D$1899="","",[3]Entry!$D$1899)</f>
        <v/>
      </c>
      <c r="AG1896">
        <f>IF([3]Entry!$E$1899="","",[3]Entry!$E$1899)</f>
        <v/>
      </c>
      <c r="AH1896">
        <f>IF([3]Entry!$G$1899="","",[3]Entry!$G$1899)</f>
        <v/>
      </c>
      <c r="AI1896">
        <f>IF([3]Entry!$K$1899="","",[3]Entry!$K$1899)</f>
        <v/>
      </c>
      <c r="AJ1896">
        <f>IF([3]Entry!$L$1899="","",[3]Entry!$L$1899)</f>
        <v/>
      </c>
      <c r="AK1896">
        <f>IF([3]Entry!$M$1899="","",[3]Entry!$M$1899)</f>
        <v/>
      </c>
      <c r="AL1896">
        <f>IF([3]Entry!$N$1899="","",[3]Entry!$N$1899)</f>
        <v/>
      </c>
      <c r="AM1896">
        <f>IF([3]Entry!$R$1899="","",[3]Entry!$R$1899)</f>
        <v/>
      </c>
    </row>
    <row r="1897">
      <c r="T1897">
        <f>IF([2]Baskol!$B$1900="","",[2]Baskol!$B$1900)</f>
        <v/>
      </c>
      <c r="U1897">
        <f>IF([2]Baskol!$C$1900="","",[2]Baskol!$C$1900)</f>
        <v/>
      </c>
      <c r="V1897">
        <f>IF([2]Baskol!$D$1900="","",[2]Baskol!$D$1900)</f>
        <v/>
      </c>
      <c r="W1897">
        <f>IF([2]Baskol!$E$1900="","",[2]Baskol!$E$1900)</f>
        <v/>
      </c>
      <c r="X1897">
        <f>IF([2]Baskol!$G$1900="","",[2]Baskol!$G$1900)</f>
        <v/>
      </c>
      <c r="Y1897">
        <f>IF([2]Baskol!$I$1900="","",[2]Baskol!$I$1900)</f>
        <v/>
      </c>
      <c r="Z1897">
        <f>IF([2]Baskol!$J$1900="","",[2]Baskol!$J$1900)</f>
        <v/>
      </c>
      <c r="AA1897">
        <f>IF([2]Baskol!$K$1900="","",[2]Baskol!$K$1900)</f>
        <v/>
      </c>
      <c r="AB1897">
        <f>IF([2]Baskol!$L$1900="","",[2]Baskol!$L$1900)</f>
        <v/>
      </c>
      <c r="AC1897">
        <f>IF([2]Baskol!$N$1900="","",[2]Baskol!$N$1900)</f>
        <v/>
      </c>
      <c r="AD1897">
        <f>IF([2]Baskol!$O$1900="","",[2]Baskol!$O$1900)</f>
        <v/>
      </c>
      <c r="AE1897">
        <f>IF([3]Entry!$C$1900="","",[3]Entry!$C$1900)</f>
        <v/>
      </c>
      <c r="AF1897">
        <f>IF([3]Entry!$D$1900="","",[3]Entry!$D$1900)</f>
        <v/>
      </c>
      <c r="AG1897">
        <f>IF([3]Entry!$E$1900="","",[3]Entry!$E$1900)</f>
        <v/>
      </c>
      <c r="AH1897">
        <f>IF([3]Entry!$G$1900="","",[3]Entry!$G$1900)</f>
        <v/>
      </c>
      <c r="AI1897">
        <f>IF([3]Entry!$K$1900="","",[3]Entry!$K$1900)</f>
        <v/>
      </c>
      <c r="AJ1897">
        <f>IF([3]Entry!$L$1900="","",[3]Entry!$L$1900)</f>
        <v/>
      </c>
      <c r="AK1897">
        <f>IF([3]Entry!$M$1900="","",[3]Entry!$M$1900)</f>
        <v/>
      </c>
      <c r="AL1897">
        <f>IF([3]Entry!$N$1900="","",[3]Entry!$N$1900)</f>
        <v/>
      </c>
      <c r="AM1897">
        <f>IF([3]Entry!$R$1900="","",[3]Entry!$R$1900)</f>
        <v/>
      </c>
    </row>
    <row r="1898">
      <c r="T1898">
        <f>IF([2]Baskol!$B$1901="","",[2]Baskol!$B$1901)</f>
        <v/>
      </c>
      <c r="U1898">
        <f>IF([2]Baskol!$C$1901="","",[2]Baskol!$C$1901)</f>
        <v/>
      </c>
      <c r="V1898">
        <f>IF([2]Baskol!$D$1901="","",[2]Baskol!$D$1901)</f>
        <v/>
      </c>
      <c r="W1898">
        <f>IF([2]Baskol!$E$1901="","",[2]Baskol!$E$1901)</f>
        <v/>
      </c>
      <c r="X1898">
        <f>IF([2]Baskol!$G$1901="","",[2]Baskol!$G$1901)</f>
        <v/>
      </c>
      <c r="Y1898">
        <f>IF([2]Baskol!$I$1901="","",[2]Baskol!$I$1901)</f>
        <v/>
      </c>
      <c r="Z1898">
        <f>IF([2]Baskol!$J$1901="","",[2]Baskol!$J$1901)</f>
        <v/>
      </c>
      <c r="AA1898">
        <f>IF([2]Baskol!$K$1901="","",[2]Baskol!$K$1901)</f>
        <v/>
      </c>
      <c r="AB1898">
        <f>IF([2]Baskol!$L$1901="","",[2]Baskol!$L$1901)</f>
        <v/>
      </c>
      <c r="AC1898">
        <f>IF([2]Baskol!$N$1901="","",[2]Baskol!$N$1901)</f>
        <v/>
      </c>
      <c r="AD1898">
        <f>IF([2]Baskol!$O$1901="","",[2]Baskol!$O$1901)</f>
        <v/>
      </c>
      <c r="AE1898">
        <f>IF([3]Entry!$C$1901="","",[3]Entry!$C$1901)</f>
        <v/>
      </c>
      <c r="AF1898">
        <f>IF([3]Entry!$D$1901="","",[3]Entry!$D$1901)</f>
        <v/>
      </c>
      <c r="AG1898">
        <f>IF([3]Entry!$E$1901="","",[3]Entry!$E$1901)</f>
        <v/>
      </c>
      <c r="AH1898">
        <f>IF([3]Entry!$G$1901="","",[3]Entry!$G$1901)</f>
        <v/>
      </c>
      <c r="AI1898">
        <f>IF([3]Entry!$K$1901="","",[3]Entry!$K$1901)</f>
        <v/>
      </c>
      <c r="AJ1898">
        <f>IF([3]Entry!$L$1901="","",[3]Entry!$L$1901)</f>
        <v/>
      </c>
      <c r="AK1898">
        <f>IF([3]Entry!$M$1901="","",[3]Entry!$M$1901)</f>
        <v/>
      </c>
      <c r="AL1898">
        <f>IF([3]Entry!$N$1901="","",[3]Entry!$N$1901)</f>
        <v/>
      </c>
      <c r="AM1898">
        <f>IF([3]Entry!$R$1901="","",[3]Entry!$R$1901)</f>
        <v/>
      </c>
    </row>
    <row r="1899">
      <c r="T1899">
        <f>IF([2]Baskol!$B$1902="","",[2]Baskol!$B$1902)</f>
        <v/>
      </c>
      <c r="U1899">
        <f>IF([2]Baskol!$C$1902="","",[2]Baskol!$C$1902)</f>
        <v/>
      </c>
      <c r="V1899">
        <f>IF([2]Baskol!$D$1902="","",[2]Baskol!$D$1902)</f>
        <v/>
      </c>
      <c r="W1899">
        <f>IF([2]Baskol!$E$1902="","",[2]Baskol!$E$1902)</f>
        <v/>
      </c>
      <c r="X1899">
        <f>IF([2]Baskol!$G$1902="","",[2]Baskol!$G$1902)</f>
        <v/>
      </c>
      <c r="Y1899">
        <f>IF([2]Baskol!$I$1902="","",[2]Baskol!$I$1902)</f>
        <v/>
      </c>
      <c r="Z1899">
        <f>IF([2]Baskol!$J$1902="","",[2]Baskol!$J$1902)</f>
        <v/>
      </c>
      <c r="AA1899">
        <f>IF([2]Baskol!$K$1902="","",[2]Baskol!$K$1902)</f>
        <v/>
      </c>
      <c r="AB1899">
        <f>IF([2]Baskol!$L$1902="","",[2]Baskol!$L$1902)</f>
        <v/>
      </c>
      <c r="AC1899">
        <f>IF([2]Baskol!$N$1902="","",[2]Baskol!$N$1902)</f>
        <v/>
      </c>
      <c r="AD1899">
        <f>IF([2]Baskol!$O$1902="","",[2]Baskol!$O$1902)</f>
        <v/>
      </c>
      <c r="AE1899">
        <f>IF([3]Entry!$C$1902="","",[3]Entry!$C$1902)</f>
        <v/>
      </c>
      <c r="AF1899">
        <f>IF([3]Entry!$D$1902="","",[3]Entry!$D$1902)</f>
        <v/>
      </c>
      <c r="AG1899">
        <f>IF([3]Entry!$E$1902="","",[3]Entry!$E$1902)</f>
        <v/>
      </c>
      <c r="AH1899">
        <f>IF([3]Entry!$G$1902="","",[3]Entry!$G$1902)</f>
        <v/>
      </c>
      <c r="AI1899">
        <f>IF([3]Entry!$K$1902="","",[3]Entry!$K$1902)</f>
        <v/>
      </c>
      <c r="AJ1899">
        <f>IF([3]Entry!$L$1902="","",[3]Entry!$L$1902)</f>
        <v/>
      </c>
      <c r="AK1899">
        <f>IF([3]Entry!$M$1902="","",[3]Entry!$M$1902)</f>
        <v/>
      </c>
      <c r="AL1899">
        <f>IF([3]Entry!$N$1902="","",[3]Entry!$N$1902)</f>
        <v/>
      </c>
      <c r="AM1899">
        <f>IF([3]Entry!$R$1902="","",[3]Entry!$R$1902)</f>
        <v/>
      </c>
    </row>
    <row r="1900">
      <c r="T1900">
        <f>IF([2]Baskol!$B$1903="","",[2]Baskol!$B$1903)</f>
        <v/>
      </c>
      <c r="U1900">
        <f>IF([2]Baskol!$C$1903="","",[2]Baskol!$C$1903)</f>
        <v/>
      </c>
      <c r="V1900">
        <f>IF([2]Baskol!$D$1903="","",[2]Baskol!$D$1903)</f>
        <v/>
      </c>
      <c r="W1900">
        <f>IF([2]Baskol!$E$1903="","",[2]Baskol!$E$1903)</f>
        <v/>
      </c>
      <c r="X1900">
        <f>IF([2]Baskol!$G$1903="","",[2]Baskol!$G$1903)</f>
        <v/>
      </c>
      <c r="Y1900">
        <f>IF([2]Baskol!$I$1903="","",[2]Baskol!$I$1903)</f>
        <v/>
      </c>
      <c r="Z1900">
        <f>IF([2]Baskol!$J$1903="","",[2]Baskol!$J$1903)</f>
        <v/>
      </c>
      <c r="AA1900">
        <f>IF([2]Baskol!$K$1903="","",[2]Baskol!$K$1903)</f>
        <v/>
      </c>
      <c r="AB1900">
        <f>IF([2]Baskol!$L$1903="","",[2]Baskol!$L$1903)</f>
        <v/>
      </c>
      <c r="AC1900">
        <f>IF([2]Baskol!$N$1903="","",[2]Baskol!$N$1903)</f>
        <v/>
      </c>
      <c r="AD1900">
        <f>IF([2]Baskol!$O$1903="","",[2]Baskol!$O$1903)</f>
        <v/>
      </c>
      <c r="AE1900">
        <f>IF([3]Entry!$C$1903="","",[3]Entry!$C$1903)</f>
        <v/>
      </c>
      <c r="AF1900">
        <f>IF([3]Entry!$D$1903="","",[3]Entry!$D$1903)</f>
        <v/>
      </c>
      <c r="AG1900">
        <f>IF([3]Entry!$E$1903="","",[3]Entry!$E$1903)</f>
        <v/>
      </c>
      <c r="AH1900">
        <f>IF([3]Entry!$G$1903="","",[3]Entry!$G$1903)</f>
        <v/>
      </c>
      <c r="AI1900">
        <f>IF([3]Entry!$K$1903="","",[3]Entry!$K$1903)</f>
        <v/>
      </c>
      <c r="AJ1900">
        <f>IF([3]Entry!$L$1903="","",[3]Entry!$L$1903)</f>
        <v/>
      </c>
      <c r="AK1900">
        <f>IF([3]Entry!$M$1903="","",[3]Entry!$M$1903)</f>
        <v/>
      </c>
      <c r="AL1900">
        <f>IF([3]Entry!$N$1903="","",[3]Entry!$N$1903)</f>
        <v/>
      </c>
      <c r="AM1900">
        <f>IF([3]Entry!$R$1903="","",[3]Entry!$R$1903)</f>
        <v/>
      </c>
    </row>
    <row r="1901">
      <c r="T1901">
        <f>IF([2]Baskol!$B$1904="","",[2]Baskol!$B$1904)</f>
        <v/>
      </c>
      <c r="U1901">
        <f>IF([2]Baskol!$C$1904="","",[2]Baskol!$C$1904)</f>
        <v/>
      </c>
      <c r="V1901">
        <f>IF([2]Baskol!$D$1904="","",[2]Baskol!$D$1904)</f>
        <v/>
      </c>
      <c r="W1901">
        <f>IF([2]Baskol!$E$1904="","",[2]Baskol!$E$1904)</f>
        <v/>
      </c>
      <c r="X1901">
        <f>IF([2]Baskol!$G$1904="","",[2]Baskol!$G$1904)</f>
        <v/>
      </c>
      <c r="Y1901">
        <f>IF([2]Baskol!$I$1904="","",[2]Baskol!$I$1904)</f>
        <v/>
      </c>
      <c r="Z1901">
        <f>IF([2]Baskol!$J$1904="","",[2]Baskol!$J$1904)</f>
        <v/>
      </c>
      <c r="AA1901">
        <f>IF([2]Baskol!$K$1904="","",[2]Baskol!$K$1904)</f>
        <v/>
      </c>
      <c r="AB1901">
        <f>IF([2]Baskol!$L$1904="","",[2]Baskol!$L$1904)</f>
        <v/>
      </c>
      <c r="AC1901">
        <f>IF([2]Baskol!$N$1904="","",[2]Baskol!$N$1904)</f>
        <v/>
      </c>
      <c r="AD1901">
        <f>IF([2]Baskol!$O$1904="","",[2]Baskol!$O$1904)</f>
        <v/>
      </c>
      <c r="AE1901">
        <f>IF([3]Entry!$C$1904="","",[3]Entry!$C$1904)</f>
        <v/>
      </c>
      <c r="AF1901">
        <f>IF([3]Entry!$D$1904="","",[3]Entry!$D$1904)</f>
        <v/>
      </c>
      <c r="AG1901">
        <f>IF([3]Entry!$E$1904="","",[3]Entry!$E$1904)</f>
        <v/>
      </c>
      <c r="AH1901">
        <f>IF([3]Entry!$G$1904="","",[3]Entry!$G$1904)</f>
        <v/>
      </c>
      <c r="AI1901">
        <f>IF([3]Entry!$K$1904="","",[3]Entry!$K$1904)</f>
        <v/>
      </c>
      <c r="AJ1901">
        <f>IF([3]Entry!$L$1904="","",[3]Entry!$L$1904)</f>
        <v/>
      </c>
      <c r="AK1901">
        <f>IF([3]Entry!$M$1904="","",[3]Entry!$M$1904)</f>
        <v/>
      </c>
      <c r="AL1901">
        <f>IF([3]Entry!$N$1904="","",[3]Entry!$N$1904)</f>
        <v/>
      </c>
      <c r="AM1901">
        <f>IF([3]Entry!$R$1904="","",[3]Entry!$R$1904)</f>
        <v/>
      </c>
    </row>
    <row r="1902">
      <c r="T1902">
        <f>IF([2]Baskol!$B$1905="","",[2]Baskol!$B$1905)</f>
        <v/>
      </c>
      <c r="U1902">
        <f>IF([2]Baskol!$C$1905="","",[2]Baskol!$C$1905)</f>
        <v/>
      </c>
      <c r="V1902">
        <f>IF([2]Baskol!$D$1905="","",[2]Baskol!$D$1905)</f>
        <v/>
      </c>
      <c r="W1902">
        <f>IF([2]Baskol!$E$1905="","",[2]Baskol!$E$1905)</f>
        <v/>
      </c>
      <c r="X1902">
        <f>IF([2]Baskol!$G$1905="","",[2]Baskol!$G$1905)</f>
        <v/>
      </c>
      <c r="Y1902">
        <f>IF([2]Baskol!$I$1905="","",[2]Baskol!$I$1905)</f>
        <v/>
      </c>
      <c r="Z1902">
        <f>IF([2]Baskol!$J$1905="","",[2]Baskol!$J$1905)</f>
        <v/>
      </c>
      <c r="AA1902">
        <f>IF([2]Baskol!$K$1905="","",[2]Baskol!$K$1905)</f>
        <v/>
      </c>
      <c r="AB1902">
        <f>IF([2]Baskol!$L$1905="","",[2]Baskol!$L$1905)</f>
        <v/>
      </c>
      <c r="AC1902">
        <f>IF([2]Baskol!$N$1905="","",[2]Baskol!$N$1905)</f>
        <v/>
      </c>
      <c r="AD1902">
        <f>IF([2]Baskol!$O$1905="","",[2]Baskol!$O$1905)</f>
        <v/>
      </c>
      <c r="AE1902">
        <f>IF([3]Entry!$C$1905="","",[3]Entry!$C$1905)</f>
        <v/>
      </c>
      <c r="AF1902">
        <f>IF([3]Entry!$D$1905="","",[3]Entry!$D$1905)</f>
        <v/>
      </c>
      <c r="AG1902">
        <f>IF([3]Entry!$E$1905="","",[3]Entry!$E$1905)</f>
        <v/>
      </c>
      <c r="AH1902">
        <f>IF([3]Entry!$G$1905="","",[3]Entry!$G$1905)</f>
        <v/>
      </c>
      <c r="AI1902">
        <f>IF([3]Entry!$K$1905="","",[3]Entry!$K$1905)</f>
        <v/>
      </c>
      <c r="AJ1902">
        <f>IF([3]Entry!$L$1905="","",[3]Entry!$L$1905)</f>
        <v/>
      </c>
      <c r="AK1902">
        <f>IF([3]Entry!$M$1905="","",[3]Entry!$M$1905)</f>
        <v/>
      </c>
      <c r="AL1902">
        <f>IF([3]Entry!$N$1905="","",[3]Entry!$N$1905)</f>
        <v/>
      </c>
      <c r="AM1902">
        <f>IF([3]Entry!$R$1905="","",[3]Entry!$R$1905)</f>
        <v/>
      </c>
    </row>
    <row r="1903">
      <c r="T1903">
        <f>IF([2]Baskol!$B$1906="","",[2]Baskol!$B$1906)</f>
        <v/>
      </c>
      <c r="U1903">
        <f>IF([2]Baskol!$C$1906="","",[2]Baskol!$C$1906)</f>
        <v/>
      </c>
      <c r="V1903">
        <f>IF([2]Baskol!$D$1906="","",[2]Baskol!$D$1906)</f>
        <v/>
      </c>
      <c r="W1903">
        <f>IF([2]Baskol!$E$1906="","",[2]Baskol!$E$1906)</f>
        <v/>
      </c>
      <c r="X1903">
        <f>IF([2]Baskol!$G$1906="","",[2]Baskol!$G$1906)</f>
        <v/>
      </c>
      <c r="Y1903">
        <f>IF([2]Baskol!$I$1906="","",[2]Baskol!$I$1906)</f>
        <v/>
      </c>
      <c r="Z1903">
        <f>IF([2]Baskol!$J$1906="","",[2]Baskol!$J$1906)</f>
        <v/>
      </c>
      <c r="AA1903">
        <f>IF([2]Baskol!$K$1906="","",[2]Baskol!$K$1906)</f>
        <v/>
      </c>
      <c r="AB1903">
        <f>IF([2]Baskol!$L$1906="","",[2]Baskol!$L$1906)</f>
        <v/>
      </c>
      <c r="AC1903">
        <f>IF([2]Baskol!$N$1906="","",[2]Baskol!$N$1906)</f>
        <v/>
      </c>
      <c r="AD1903">
        <f>IF([2]Baskol!$O$1906="","",[2]Baskol!$O$1906)</f>
        <v/>
      </c>
      <c r="AE1903">
        <f>IF([3]Entry!$C$1906="","",[3]Entry!$C$1906)</f>
        <v/>
      </c>
      <c r="AF1903">
        <f>IF([3]Entry!$D$1906="","",[3]Entry!$D$1906)</f>
        <v/>
      </c>
      <c r="AG1903">
        <f>IF([3]Entry!$E$1906="","",[3]Entry!$E$1906)</f>
        <v/>
      </c>
      <c r="AH1903">
        <f>IF([3]Entry!$G$1906="","",[3]Entry!$G$1906)</f>
        <v/>
      </c>
      <c r="AI1903">
        <f>IF([3]Entry!$K$1906="","",[3]Entry!$K$1906)</f>
        <v/>
      </c>
      <c r="AJ1903">
        <f>IF([3]Entry!$L$1906="","",[3]Entry!$L$1906)</f>
        <v/>
      </c>
      <c r="AK1903">
        <f>IF([3]Entry!$M$1906="","",[3]Entry!$M$1906)</f>
        <v/>
      </c>
      <c r="AL1903">
        <f>IF([3]Entry!$N$1906="","",[3]Entry!$N$1906)</f>
        <v/>
      </c>
      <c r="AM1903">
        <f>IF([3]Entry!$R$1906="","",[3]Entry!$R$1906)</f>
        <v/>
      </c>
    </row>
    <row r="1904">
      <c r="T1904">
        <f>IF([2]Baskol!$B$1907="","",[2]Baskol!$B$1907)</f>
        <v/>
      </c>
      <c r="U1904">
        <f>IF([2]Baskol!$C$1907="","",[2]Baskol!$C$1907)</f>
        <v/>
      </c>
      <c r="V1904">
        <f>IF([2]Baskol!$D$1907="","",[2]Baskol!$D$1907)</f>
        <v/>
      </c>
      <c r="W1904">
        <f>IF([2]Baskol!$E$1907="","",[2]Baskol!$E$1907)</f>
        <v/>
      </c>
      <c r="X1904">
        <f>IF([2]Baskol!$G$1907="","",[2]Baskol!$G$1907)</f>
        <v/>
      </c>
      <c r="Y1904">
        <f>IF([2]Baskol!$I$1907="","",[2]Baskol!$I$1907)</f>
        <v/>
      </c>
      <c r="Z1904">
        <f>IF([2]Baskol!$J$1907="","",[2]Baskol!$J$1907)</f>
        <v/>
      </c>
      <c r="AA1904">
        <f>IF([2]Baskol!$K$1907="","",[2]Baskol!$K$1907)</f>
        <v/>
      </c>
      <c r="AB1904">
        <f>IF([2]Baskol!$L$1907="","",[2]Baskol!$L$1907)</f>
        <v/>
      </c>
      <c r="AC1904">
        <f>IF([2]Baskol!$N$1907="","",[2]Baskol!$N$1907)</f>
        <v/>
      </c>
      <c r="AD1904">
        <f>IF([2]Baskol!$O$1907="","",[2]Baskol!$O$1907)</f>
        <v/>
      </c>
      <c r="AE1904">
        <f>IF([3]Entry!$C$1907="","",[3]Entry!$C$1907)</f>
        <v/>
      </c>
      <c r="AF1904">
        <f>IF([3]Entry!$D$1907="","",[3]Entry!$D$1907)</f>
        <v/>
      </c>
      <c r="AG1904">
        <f>IF([3]Entry!$E$1907="","",[3]Entry!$E$1907)</f>
        <v/>
      </c>
      <c r="AH1904">
        <f>IF([3]Entry!$G$1907="","",[3]Entry!$G$1907)</f>
        <v/>
      </c>
      <c r="AI1904">
        <f>IF([3]Entry!$K$1907="","",[3]Entry!$K$1907)</f>
        <v/>
      </c>
      <c r="AJ1904">
        <f>IF([3]Entry!$L$1907="","",[3]Entry!$L$1907)</f>
        <v/>
      </c>
      <c r="AK1904">
        <f>IF([3]Entry!$M$1907="","",[3]Entry!$M$1907)</f>
        <v/>
      </c>
      <c r="AL1904">
        <f>IF([3]Entry!$N$1907="","",[3]Entry!$N$1907)</f>
        <v/>
      </c>
      <c r="AM1904">
        <f>IF([3]Entry!$R$1907="","",[3]Entry!$R$1907)</f>
        <v/>
      </c>
    </row>
    <row r="1905">
      <c r="T1905">
        <f>IF([2]Baskol!$B$1908="","",[2]Baskol!$B$1908)</f>
        <v/>
      </c>
      <c r="U1905">
        <f>IF([2]Baskol!$C$1908="","",[2]Baskol!$C$1908)</f>
        <v/>
      </c>
      <c r="V1905">
        <f>IF([2]Baskol!$D$1908="","",[2]Baskol!$D$1908)</f>
        <v/>
      </c>
      <c r="W1905">
        <f>IF([2]Baskol!$E$1908="","",[2]Baskol!$E$1908)</f>
        <v/>
      </c>
      <c r="X1905">
        <f>IF([2]Baskol!$G$1908="","",[2]Baskol!$G$1908)</f>
        <v/>
      </c>
      <c r="Y1905">
        <f>IF([2]Baskol!$I$1908="","",[2]Baskol!$I$1908)</f>
        <v/>
      </c>
      <c r="Z1905">
        <f>IF([2]Baskol!$J$1908="","",[2]Baskol!$J$1908)</f>
        <v/>
      </c>
      <c r="AA1905">
        <f>IF([2]Baskol!$K$1908="","",[2]Baskol!$K$1908)</f>
        <v/>
      </c>
      <c r="AB1905">
        <f>IF([2]Baskol!$L$1908="","",[2]Baskol!$L$1908)</f>
        <v/>
      </c>
      <c r="AC1905">
        <f>IF([2]Baskol!$N$1908="","",[2]Baskol!$N$1908)</f>
        <v/>
      </c>
      <c r="AD1905">
        <f>IF([2]Baskol!$O$1908="","",[2]Baskol!$O$1908)</f>
        <v/>
      </c>
      <c r="AE1905">
        <f>IF([3]Entry!$C$1908="","",[3]Entry!$C$1908)</f>
        <v/>
      </c>
      <c r="AF1905">
        <f>IF([3]Entry!$D$1908="","",[3]Entry!$D$1908)</f>
        <v/>
      </c>
      <c r="AG1905">
        <f>IF([3]Entry!$E$1908="","",[3]Entry!$E$1908)</f>
        <v/>
      </c>
      <c r="AH1905">
        <f>IF([3]Entry!$G$1908="","",[3]Entry!$G$1908)</f>
        <v/>
      </c>
      <c r="AI1905">
        <f>IF([3]Entry!$K$1908="","",[3]Entry!$K$1908)</f>
        <v/>
      </c>
      <c r="AJ1905">
        <f>IF([3]Entry!$L$1908="","",[3]Entry!$L$1908)</f>
        <v/>
      </c>
      <c r="AK1905">
        <f>IF([3]Entry!$M$1908="","",[3]Entry!$M$1908)</f>
        <v/>
      </c>
      <c r="AL1905">
        <f>IF([3]Entry!$N$1908="","",[3]Entry!$N$1908)</f>
        <v/>
      </c>
      <c r="AM1905">
        <f>IF([3]Entry!$R$1908="","",[3]Entry!$R$1908)</f>
        <v/>
      </c>
    </row>
    <row r="1906">
      <c r="T1906">
        <f>IF([2]Baskol!$B$1909="","",[2]Baskol!$B$1909)</f>
        <v/>
      </c>
      <c r="U1906">
        <f>IF([2]Baskol!$C$1909="","",[2]Baskol!$C$1909)</f>
        <v/>
      </c>
      <c r="V1906">
        <f>IF([2]Baskol!$D$1909="","",[2]Baskol!$D$1909)</f>
        <v/>
      </c>
      <c r="W1906">
        <f>IF([2]Baskol!$E$1909="","",[2]Baskol!$E$1909)</f>
        <v/>
      </c>
      <c r="X1906">
        <f>IF([2]Baskol!$G$1909="","",[2]Baskol!$G$1909)</f>
        <v/>
      </c>
      <c r="Y1906">
        <f>IF([2]Baskol!$I$1909="","",[2]Baskol!$I$1909)</f>
        <v/>
      </c>
      <c r="Z1906">
        <f>IF([2]Baskol!$J$1909="","",[2]Baskol!$J$1909)</f>
        <v/>
      </c>
      <c r="AA1906">
        <f>IF([2]Baskol!$K$1909="","",[2]Baskol!$K$1909)</f>
        <v/>
      </c>
      <c r="AB1906">
        <f>IF([2]Baskol!$L$1909="","",[2]Baskol!$L$1909)</f>
        <v/>
      </c>
      <c r="AC1906">
        <f>IF([2]Baskol!$N$1909="","",[2]Baskol!$N$1909)</f>
        <v/>
      </c>
      <c r="AD1906">
        <f>IF([2]Baskol!$O$1909="","",[2]Baskol!$O$1909)</f>
        <v/>
      </c>
      <c r="AE1906">
        <f>IF([3]Entry!$C$1909="","",[3]Entry!$C$1909)</f>
        <v/>
      </c>
      <c r="AF1906">
        <f>IF([3]Entry!$D$1909="","",[3]Entry!$D$1909)</f>
        <v/>
      </c>
      <c r="AG1906">
        <f>IF([3]Entry!$E$1909="","",[3]Entry!$E$1909)</f>
        <v/>
      </c>
      <c r="AH1906">
        <f>IF([3]Entry!$G$1909="","",[3]Entry!$G$1909)</f>
        <v/>
      </c>
      <c r="AI1906">
        <f>IF([3]Entry!$K$1909="","",[3]Entry!$K$1909)</f>
        <v/>
      </c>
      <c r="AJ1906">
        <f>IF([3]Entry!$L$1909="","",[3]Entry!$L$1909)</f>
        <v/>
      </c>
      <c r="AK1906">
        <f>IF([3]Entry!$M$1909="","",[3]Entry!$M$1909)</f>
        <v/>
      </c>
      <c r="AL1906">
        <f>IF([3]Entry!$N$1909="","",[3]Entry!$N$1909)</f>
        <v/>
      </c>
      <c r="AM1906">
        <f>IF([3]Entry!$R$1909="","",[3]Entry!$R$1909)</f>
        <v/>
      </c>
    </row>
    <row r="1907">
      <c r="T1907">
        <f>IF([2]Baskol!$B$1910="","",[2]Baskol!$B$1910)</f>
        <v/>
      </c>
      <c r="U1907">
        <f>IF([2]Baskol!$C$1910="","",[2]Baskol!$C$1910)</f>
        <v/>
      </c>
      <c r="V1907">
        <f>IF([2]Baskol!$D$1910="","",[2]Baskol!$D$1910)</f>
        <v/>
      </c>
      <c r="W1907">
        <f>IF([2]Baskol!$E$1910="","",[2]Baskol!$E$1910)</f>
        <v/>
      </c>
      <c r="X1907">
        <f>IF([2]Baskol!$G$1910="","",[2]Baskol!$G$1910)</f>
        <v/>
      </c>
      <c r="Y1907">
        <f>IF([2]Baskol!$I$1910="","",[2]Baskol!$I$1910)</f>
        <v/>
      </c>
      <c r="Z1907">
        <f>IF([2]Baskol!$J$1910="","",[2]Baskol!$J$1910)</f>
        <v/>
      </c>
      <c r="AA1907">
        <f>IF([2]Baskol!$K$1910="","",[2]Baskol!$K$1910)</f>
        <v/>
      </c>
      <c r="AB1907">
        <f>IF([2]Baskol!$L$1910="","",[2]Baskol!$L$1910)</f>
        <v/>
      </c>
      <c r="AC1907">
        <f>IF([2]Baskol!$N$1910="","",[2]Baskol!$N$1910)</f>
        <v/>
      </c>
      <c r="AD1907">
        <f>IF([2]Baskol!$O$1910="","",[2]Baskol!$O$1910)</f>
        <v/>
      </c>
      <c r="AE1907">
        <f>IF([3]Entry!$C$1910="","",[3]Entry!$C$1910)</f>
        <v/>
      </c>
      <c r="AF1907">
        <f>IF([3]Entry!$D$1910="","",[3]Entry!$D$1910)</f>
        <v/>
      </c>
      <c r="AG1907">
        <f>IF([3]Entry!$E$1910="","",[3]Entry!$E$1910)</f>
        <v/>
      </c>
      <c r="AH1907">
        <f>IF([3]Entry!$G$1910="","",[3]Entry!$G$1910)</f>
        <v/>
      </c>
      <c r="AI1907">
        <f>IF([3]Entry!$K$1910="","",[3]Entry!$K$1910)</f>
        <v/>
      </c>
      <c r="AJ1907">
        <f>IF([3]Entry!$L$1910="","",[3]Entry!$L$1910)</f>
        <v/>
      </c>
      <c r="AK1907">
        <f>IF([3]Entry!$M$1910="","",[3]Entry!$M$1910)</f>
        <v/>
      </c>
      <c r="AL1907">
        <f>IF([3]Entry!$N$1910="","",[3]Entry!$N$1910)</f>
        <v/>
      </c>
      <c r="AM1907">
        <f>IF([3]Entry!$R$1910="","",[3]Entry!$R$1910)</f>
        <v/>
      </c>
    </row>
    <row r="1908">
      <c r="T1908">
        <f>IF([2]Baskol!$B$1911="","",[2]Baskol!$B$1911)</f>
        <v/>
      </c>
      <c r="U1908">
        <f>IF([2]Baskol!$C$1911="","",[2]Baskol!$C$1911)</f>
        <v/>
      </c>
      <c r="V1908">
        <f>IF([2]Baskol!$D$1911="","",[2]Baskol!$D$1911)</f>
        <v/>
      </c>
      <c r="W1908">
        <f>IF([2]Baskol!$E$1911="","",[2]Baskol!$E$1911)</f>
        <v/>
      </c>
      <c r="X1908">
        <f>IF([2]Baskol!$G$1911="","",[2]Baskol!$G$1911)</f>
        <v/>
      </c>
      <c r="Y1908">
        <f>IF([2]Baskol!$I$1911="","",[2]Baskol!$I$1911)</f>
        <v/>
      </c>
      <c r="Z1908">
        <f>IF([2]Baskol!$J$1911="","",[2]Baskol!$J$1911)</f>
        <v/>
      </c>
      <c r="AA1908">
        <f>IF([2]Baskol!$K$1911="","",[2]Baskol!$K$1911)</f>
        <v/>
      </c>
      <c r="AB1908">
        <f>IF([2]Baskol!$L$1911="","",[2]Baskol!$L$1911)</f>
        <v/>
      </c>
      <c r="AC1908">
        <f>IF([2]Baskol!$N$1911="","",[2]Baskol!$N$1911)</f>
        <v/>
      </c>
      <c r="AD1908">
        <f>IF([2]Baskol!$O$1911="","",[2]Baskol!$O$1911)</f>
        <v/>
      </c>
      <c r="AE1908">
        <f>IF([3]Entry!$C$1911="","",[3]Entry!$C$1911)</f>
        <v/>
      </c>
      <c r="AF1908">
        <f>IF([3]Entry!$D$1911="","",[3]Entry!$D$1911)</f>
        <v/>
      </c>
      <c r="AG1908">
        <f>IF([3]Entry!$E$1911="","",[3]Entry!$E$1911)</f>
        <v/>
      </c>
      <c r="AH1908">
        <f>IF([3]Entry!$G$1911="","",[3]Entry!$G$1911)</f>
        <v/>
      </c>
      <c r="AI1908">
        <f>IF([3]Entry!$K$1911="","",[3]Entry!$K$1911)</f>
        <v/>
      </c>
      <c r="AJ1908">
        <f>IF([3]Entry!$L$1911="","",[3]Entry!$L$1911)</f>
        <v/>
      </c>
      <c r="AK1908">
        <f>IF([3]Entry!$M$1911="","",[3]Entry!$M$1911)</f>
        <v/>
      </c>
      <c r="AL1908">
        <f>IF([3]Entry!$N$1911="","",[3]Entry!$N$1911)</f>
        <v/>
      </c>
      <c r="AM1908">
        <f>IF([3]Entry!$R$1911="","",[3]Entry!$R$1911)</f>
        <v/>
      </c>
    </row>
    <row r="1909">
      <c r="T1909">
        <f>IF([2]Baskol!$B$1912="","",[2]Baskol!$B$1912)</f>
        <v/>
      </c>
      <c r="U1909">
        <f>IF([2]Baskol!$C$1912="","",[2]Baskol!$C$1912)</f>
        <v/>
      </c>
      <c r="V1909">
        <f>IF([2]Baskol!$D$1912="","",[2]Baskol!$D$1912)</f>
        <v/>
      </c>
      <c r="W1909">
        <f>IF([2]Baskol!$E$1912="","",[2]Baskol!$E$1912)</f>
        <v/>
      </c>
      <c r="X1909">
        <f>IF([2]Baskol!$G$1912="","",[2]Baskol!$G$1912)</f>
        <v/>
      </c>
      <c r="Y1909">
        <f>IF([2]Baskol!$I$1912="","",[2]Baskol!$I$1912)</f>
        <v/>
      </c>
      <c r="Z1909">
        <f>IF([2]Baskol!$J$1912="","",[2]Baskol!$J$1912)</f>
        <v/>
      </c>
      <c r="AA1909">
        <f>IF([2]Baskol!$K$1912="","",[2]Baskol!$K$1912)</f>
        <v/>
      </c>
      <c r="AB1909">
        <f>IF([2]Baskol!$L$1912="","",[2]Baskol!$L$1912)</f>
        <v/>
      </c>
      <c r="AC1909">
        <f>IF([2]Baskol!$N$1912="","",[2]Baskol!$N$1912)</f>
        <v/>
      </c>
      <c r="AD1909">
        <f>IF([2]Baskol!$O$1912="","",[2]Baskol!$O$1912)</f>
        <v/>
      </c>
      <c r="AE1909">
        <f>IF([3]Entry!$C$1912="","",[3]Entry!$C$1912)</f>
        <v/>
      </c>
      <c r="AF1909">
        <f>IF([3]Entry!$D$1912="","",[3]Entry!$D$1912)</f>
        <v/>
      </c>
      <c r="AG1909">
        <f>IF([3]Entry!$E$1912="","",[3]Entry!$E$1912)</f>
        <v/>
      </c>
      <c r="AH1909">
        <f>IF([3]Entry!$G$1912="","",[3]Entry!$G$1912)</f>
        <v/>
      </c>
      <c r="AI1909">
        <f>IF([3]Entry!$K$1912="","",[3]Entry!$K$1912)</f>
        <v/>
      </c>
      <c r="AJ1909">
        <f>IF([3]Entry!$L$1912="","",[3]Entry!$L$1912)</f>
        <v/>
      </c>
      <c r="AK1909">
        <f>IF([3]Entry!$M$1912="","",[3]Entry!$M$1912)</f>
        <v/>
      </c>
      <c r="AL1909">
        <f>IF([3]Entry!$N$1912="","",[3]Entry!$N$1912)</f>
        <v/>
      </c>
      <c r="AM1909">
        <f>IF([3]Entry!$R$1912="","",[3]Entry!$R$1912)</f>
        <v/>
      </c>
    </row>
    <row r="1910">
      <c r="T1910">
        <f>IF([2]Baskol!$B$1913="","",[2]Baskol!$B$1913)</f>
        <v/>
      </c>
      <c r="U1910">
        <f>IF([2]Baskol!$C$1913="","",[2]Baskol!$C$1913)</f>
        <v/>
      </c>
      <c r="V1910">
        <f>IF([2]Baskol!$D$1913="","",[2]Baskol!$D$1913)</f>
        <v/>
      </c>
      <c r="W1910">
        <f>IF([2]Baskol!$E$1913="","",[2]Baskol!$E$1913)</f>
        <v/>
      </c>
      <c r="X1910">
        <f>IF([2]Baskol!$G$1913="","",[2]Baskol!$G$1913)</f>
        <v/>
      </c>
      <c r="Y1910">
        <f>IF([2]Baskol!$I$1913="","",[2]Baskol!$I$1913)</f>
        <v/>
      </c>
      <c r="Z1910">
        <f>IF([2]Baskol!$J$1913="","",[2]Baskol!$J$1913)</f>
        <v/>
      </c>
      <c r="AA1910">
        <f>IF([2]Baskol!$K$1913="","",[2]Baskol!$K$1913)</f>
        <v/>
      </c>
      <c r="AB1910">
        <f>IF([2]Baskol!$L$1913="","",[2]Baskol!$L$1913)</f>
        <v/>
      </c>
      <c r="AC1910">
        <f>IF([2]Baskol!$N$1913="","",[2]Baskol!$N$1913)</f>
        <v/>
      </c>
      <c r="AD1910">
        <f>IF([2]Baskol!$O$1913="","",[2]Baskol!$O$1913)</f>
        <v/>
      </c>
      <c r="AE1910">
        <f>IF([3]Entry!$C$1913="","",[3]Entry!$C$1913)</f>
        <v/>
      </c>
      <c r="AF1910">
        <f>IF([3]Entry!$D$1913="","",[3]Entry!$D$1913)</f>
        <v/>
      </c>
      <c r="AG1910">
        <f>IF([3]Entry!$E$1913="","",[3]Entry!$E$1913)</f>
        <v/>
      </c>
      <c r="AH1910">
        <f>IF([3]Entry!$G$1913="","",[3]Entry!$G$1913)</f>
        <v/>
      </c>
      <c r="AI1910">
        <f>IF([3]Entry!$K$1913="","",[3]Entry!$K$1913)</f>
        <v/>
      </c>
      <c r="AJ1910">
        <f>IF([3]Entry!$L$1913="","",[3]Entry!$L$1913)</f>
        <v/>
      </c>
      <c r="AK1910">
        <f>IF([3]Entry!$M$1913="","",[3]Entry!$M$1913)</f>
        <v/>
      </c>
      <c r="AL1910">
        <f>IF([3]Entry!$N$1913="","",[3]Entry!$N$1913)</f>
        <v/>
      </c>
      <c r="AM1910">
        <f>IF([3]Entry!$R$1913="","",[3]Entry!$R$1913)</f>
        <v/>
      </c>
    </row>
    <row r="1911">
      <c r="T1911">
        <f>IF([2]Baskol!$B$1914="","",[2]Baskol!$B$1914)</f>
        <v/>
      </c>
      <c r="U1911">
        <f>IF([2]Baskol!$C$1914="","",[2]Baskol!$C$1914)</f>
        <v/>
      </c>
      <c r="V1911">
        <f>IF([2]Baskol!$D$1914="","",[2]Baskol!$D$1914)</f>
        <v/>
      </c>
      <c r="W1911">
        <f>IF([2]Baskol!$E$1914="","",[2]Baskol!$E$1914)</f>
        <v/>
      </c>
      <c r="X1911">
        <f>IF([2]Baskol!$G$1914="","",[2]Baskol!$G$1914)</f>
        <v/>
      </c>
      <c r="Y1911">
        <f>IF([2]Baskol!$I$1914="","",[2]Baskol!$I$1914)</f>
        <v/>
      </c>
      <c r="Z1911">
        <f>IF([2]Baskol!$J$1914="","",[2]Baskol!$J$1914)</f>
        <v/>
      </c>
      <c r="AA1911">
        <f>IF([2]Baskol!$K$1914="","",[2]Baskol!$K$1914)</f>
        <v/>
      </c>
      <c r="AB1911">
        <f>IF([2]Baskol!$L$1914="","",[2]Baskol!$L$1914)</f>
        <v/>
      </c>
      <c r="AC1911">
        <f>IF([2]Baskol!$N$1914="","",[2]Baskol!$N$1914)</f>
        <v/>
      </c>
      <c r="AD1911">
        <f>IF([2]Baskol!$O$1914="","",[2]Baskol!$O$1914)</f>
        <v/>
      </c>
      <c r="AE1911">
        <f>IF([3]Entry!$C$1914="","",[3]Entry!$C$1914)</f>
        <v/>
      </c>
      <c r="AF1911">
        <f>IF([3]Entry!$D$1914="","",[3]Entry!$D$1914)</f>
        <v/>
      </c>
      <c r="AG1911">
        <f>IF([3]Entry!$E$1914="","",[3]Entry!$E$1914)</f>
        <v/>
      </c>
      <c r="AH1911">
        <f>IF([3]Entry!$G$1914="","",[3]Entry!$G$1914)</f>
        <v/>
      </c>
      <c r="AI1911">
        <f>IF([3]Entry!$K$1914="","",[3]Entry!$K$1914)</f>
        <v/>
      </c>
      <c r="AJ1911">
        <f>IF([3]Entry!$L$1914="","",[3]Entry!$L$1914)</f>
        <v/>
      </c>
      <c r="AK1911">
        <f>IF([3]Entry!$M$1914="","",[3]Entry!$M$1914)</f>
        <v/>
      </c>
      <c r="AL1911">
        <f>IF([3]Entry!$N$1914="","",[3]Entry!$N$1914)</f>
        <v/>
      </c>
      <c r="AM1911">
        <f>IF([3]Entry!$R$1914="","",[3]Entry!$R$1914)</f>
        <v/>
      </c>
    </row>
    <row r="1912">
      <c r="T1912">
        <f>IF([2]Baskol!$B$1915="","",[2]Baskol!$B$1915)</f>
        <v/>
      </c>
      <c r="U1912">
        <f>IF([2]Baskol!$C$1915="","",[2]Baskol!$C$1915)</f>
        <v/>
      </c>
      <c r="V1912">
        <f>IF([2]Baskol!$D$1915="","",[2]Baskol!$D$1915)</f>
        <v/>
      </c>
      <c r="W1912">
        <f>IF([2]Baskol!$E$1915="","",[2]Baskol!$E$1915)</f>
        <v/>
      </c>
      <c r="X1912">
        <f>IF([2]Baskol!$G$1915="","",[2]Baskol!$G$1915)</f>
        <v/>
      </c>
      <c r="Y1912">
        <f>IF([2]Baskol!$I$1915="","",[2]Baskol!$I$1915)</f>
        <v/>
      </c>
      <c r="Z1912">
        <f>IF([2]Baskol!$J$1915="","",[2]Baskol!$J$1915)</f>
        <v/>
      </c>
      <c r="AA1912">
        <f>IF([2]Baskol!$K$1915="","",[2]Baskol!$K$1915)</f>
        <v/>
      </c>
      <c r="AB1912">
        <f>IF([2]Baskol!$L$1915="","",[2]Baskol!$L$1915)</f>
        <v/>
      </c>
      <c r="AC1912">
        <f>IF([2]Baskol!$N$1915="","",[2]Baskol!$N$1915)</f>
        <v/>
      </c>
      <c r="AD1912">
        <f>IF([2]Baskol!$O$1915="","",[2]Baskol!$O$1915)</f>
        <v/>
      </c>
      <c r="AE1912">
        <f>IF([3]Entry!$C$1915="","",[3]Entry!$C$1915)</f>
        <v/>
      </c>
      <c r="AF1912">
        <f>IF([3]Entry!$D$1915="","",[3]Entry!$D$1915)</f>
        <v/>
      </c>
      <c r="AG1912">
        <f>IF([3]Entry!$E$1915="","",[3]Entry!$E$1915)</f>
        <v/>
      </c>
      <c r="AH1912">
        <f>IF([3]Entry!$G$1915="","",[3]Entry!$G$1915)</f>
        <v/>
      </c>
      <c r="AI1912">
        <f>IF([3]Entry!$K$1915="","",[3]Entry!$K$1915)</f>
        <v/>
      </c>
      <c r="AJ1912">
        <f>IF([3]Entry!$L$1915="","",[3]Entry!$L$1915)</f>
        <v/>
      </c>
      <c r="AK1912">
        <f>IF([3]Entry!$M$1915="","",[3]Entry!$M$1915)</f>
        <v/>
      </c>
      <c r="AL1912">
        <f>IF([3]Entry!$N$1915="","",[3]Entry!$N$1915)</f>
        <v/>
      </c>
      <c r="AM1912">
        <f>IF([3]Entry!$R$1915="","",[3]Entry!$R$1915)</f>
        <v/>
      </c>
    </row>
    <row r="1913">
      <c r="T1913">
        <f>IF([2]Baskol!$B$1916="","",[2]Baskol!$B$1916)</f>
        <v/>
      </c>
      <c r="U1913">
        <f>IF([2]Baskol!$C$1916="","",[2]Baskol!$C$1916)</f>
        <v/>
      </c>
      <c r="V1913">
        <f>IF([2]Baskol!$D$1916="","",[2]Baskol!$D$1916)</f>
        <v/>
      </c>
      <c r="W1913">
        <f>IF([2]Baskol!$E$1916="","",[2]Baskol!$E$1916)</f>
        <v/>
      </c>
      <c r="X1913">
        <f>IF([2]Baskol!$G$1916="","",[2]Baskol!$G$1916)</f>
        <v/>
      </c>
      <c r="Y1913">
        <f>IF([2]Baskol!$I$1916="","",[2]Baskol!$I$1916)</f>
        <v/>
      </c>
      <c r="Z1913">
        <f>IF([2]Baskol!$J$1916="","",[2]Baskol!$J$1916)</f>
        <v/>
      </c>
      <c r="AA1913">
        <f>IF([2]Baskol!$K$1916="","",[2]Baskol!$K$1916)</f>
        <v/>
      </c>
      <c r="AB1913">
        <f>IF([2]Baskol!$L$1916="","",[2]Baskol!$L$1916)</f>
        <v/>
      </c>
      <c r="AC1913">
        <f>IF([2]Baskol!$N$1916="","",[2]Baskol!$N$1916)</f>
        <v/>
      </c>
      <c r="AD1913">
        <f>IF([2]Baskol!$O$1916="","",[2]Baskol!$O$1916)</f>
        <v/>
      </c>
      <c r="AE1913">
        <f>IF([3]Entry!$C$1916="","",[3]Entry!$C$1916)</f>
        <v/>
      </c>
      <c r="AF1913">
        <f>IF([3]Entry!$D$1916="","",[3]Entry!$D$1916)</f>
        <v/>
      </c>
      <c r="AG1913">
        <f>IF([3]Entry!$E$1916="","",[3]Entry!$E$1916)</f>
        <v/>
      </c>
      <c r="AH1913">
        <f>IF([3]Entry!$G$1916="","",[3]Entry!$G$1916)</f>
        <v/>
      </c>
      <c r="AI1913">
        <f>IF([3]Entry!$K$1916="","",[3]Entry!$K$1916)</f>
        <v/>
      </c>
      <c r="AJ1913">
        <f>IF([3]Entry!$L$1916="","",[3]Entry!$L$1916)</f>
        <v/>
      </c>
      <c r="AK1913">
        <f>IF([3]Entry!$M$1916="","",[3]Entry!$M$1916)</f>
        <v/>
      </c>
      <c r="AL1913">
        <f>IF([3]Entry!$N$1916="","",[3]Entry!$N$1916)</f>
        <v/>
      </c>
      <c r="AM1913">
        <f>IF([3]Entry!$R$1916="","",[3]Entry!$R$1916)</f>
        <v/>
      </c>
    </row>
    <row r="1914">
      <c r="T1914">
        <f>IF([2]Baskol!$B$1917="","",[2]Baskol!$B$1917)</f>
        <v/>
      </c>
      <c r="U1914">
        <f>IF([2]Baskol!$C$1917="","",[2]Baskol!$C$1917)</f>
        <v/>
      </c>
      <c r="V1914">
        <f>IF([2]Baskol!$D$1917="","",[2]Baskol!$D$1917)</f>
        <v/>
      </c>
      <c r="W1914">
        <f>IF([2]Baskol!$E$1917="","",[2]Baskol!$E$1917)</f>
        <v/>
      </c>
      <c r="X1914">
        <f>IF([2]Baskol!$G$1917="","",[2]Baskol!$G$1917)</f>
        <v/>
      </c>
      <c r="Y1914">
        <f>IF([2]Baskol!$I$1917="","",[2]Baskol!$I$1917)</f>
        <v/>
      </c>
      <c r="Z1914">
        <f>IF([2]Baskol!$J$1917="","",[2]Baskol!$J$1917)</f>
        <v/>
      </c>
      <c r="AA1914">
        <f>IF([2]Baskol!$K$1917="","",[2]Baskol!$K$1917)</f>
        <v/>
      </c>
      <c r="AB1914">
        <f>IF([2]Baskol!$L$1917="","",[2]Baskol!$L$1917)</f>
        <v/>
      </c>
      <c r="AC1914">
        <f>IF([2]Baskol!$N$1917="","",[2]Baskol!$N$1917)</f>
        <v/>
      </c>
      <c r="AD1914">
        <f>IF([2]Baskol!$O$1917="","",[2]Baskol!$O$1917)</f>
        <v/>
      </c>
      <c r="AE1914">
        <f>IF([3]Entry!$C$1917="","",[3]Entry!$C$1917)</f>
        <v/>
      </c>
      <c r="AF1914">
        <f>IF([3]Entry!$D$1917="","",[3]Entry!$D$1917)</f>
        <v/>
      </c>
      <c r="AG1914">
        <f>IF([3]Entry!$E$1917="","",[3]Entry!$E$1917)</f>
        <v/>
      </c>
      <c r="AH1914">
        <f>IF([3]Entry!$G$1917="","",[3]Entry!$G$1917)</f>
        <v/>
      </c>
      <c r="AI1914">
        <f>IF([3]Entry!$K$1917="","",[3]Entry!$K$1917)</f>
        <v/>
      </c>
      <c r="AJ1914">
        <f>IF([3]Entry!$L$1917="","",[3]Entry!$L$1917)</f>
        <v/>
      </c>
      <c r="AK1914">
        <f>IF([3]Entry!$M$1917="","",[3]Entry!$M$1917)</f>
        <v/>
      </c>
      <c r="AL1914">
        <f>IF([3]Entry!$N$1917="","",[3]Entry!$N$1917)</f>
        <v/>
      </c>
      <c r="AM1914">
        <f>IF([3]Entry!$R$1917="","",[3]Entry!$R$1917)</f>
        <v/>
      </c>
    </row>
    <row r="1915">
      <c r="T1915">
        <f>IF([2]Baskol!$B$1918="","",[2]Baskol!$B$1918)</f>
        <v/>
      </c>
      <c r="U1915">
        <f>IF([2]Baskol!$C$1918="","",[2]Baskol!$C$1918)</f>
        <v/>
      </c>
      <c r="V1915">
        <f>IF([2]Baskol!$D$1918="","",[2]Baskol!$D$1918)</f>
        <v/>
      </c>
      <c r="W1915">
        <f>IF([2]Baskol!$E$1918="","",[2]Baskol!$E$1918)</f>
        <v/>
      </c>
      <c r="X1915">
        <f>IF([2]Baskol!$G$1918="","",[2]Baskol!$G$1918)</f>
        <v/>
      </c>
      <c r="Y1915">
        <f>IF([2]Baskol!$I$1918="","",[2]Baskol!$I$1918)</f>
        <v/>
      </c>
      <c r="Z1915">
        <f>IF([2]Baskol!$J$1918="","",[2]Baskol!$J$1918)</f>
        <v/>
      </c>
      <c r="AA1915">
        <f>IF([2]Baskol!$K$1918="","",[2]Baskol!$K$1918)</f>
        <v/>
      </c>
      <c r="AB1915">
        <f>IF([2]Baskol!$L$1918="","",[2]Baskol!$L$1918)</f>
        <v/>
      </c>
      <c r="AC1915">
        <f>IF([2]Baskol!$N$1918="","",[2]Baskol!$N$1918)</f>
        <v/>
      </c>
      <c r="AD1915">
        <f>IF([2]Baskol!$O$1918="","",[2]Baskol!$O$1918)</f>
        <v/>
      </c>
      <c r="AE1915">
        <f>IF([3]Entry!$C$1918="","",[3]Entry!$C$1918)</f>
        <v/>
      </c>
      <c r="AF1915">
        <f>IF([3]Entry!$D$1918="","",[3]Entry!$D$1918)</f>
        <v/>
      </c>
      <c r="AG1915">
        <f>IF([3]Entry!$E$1918="","",[3]Entry!$E$1918)</f>
        <v/>
      </c>
      <c r="AH1915">
        <f>IF([3]Entry!$G$1918="","",[3]Entry!$G$1918)</f>
        <v/>
      </c>
      <c r="AI1915">
        <f>IF([3]Entry!$K$1918="","",[3]Entry!$K$1918)</f>
        <v/>
      </c>
      <c r="AJ1915">
        <f>IF([3]Entry!$L$1918="","",[3]Entry!$L$1918)</f>
        <v/>
      </c>
      <c r="AK1915">
        <f>IF([3]Entry!$M$1918="","",[3]Entry!$M$1918)</f>
        <v/>
      </c>
      <c r="AL1915">
        <f>IF([3]Entry!$N$1918="","",[3]Entry!$N$1918)</f>
        <v/>
      </c>
      <c r="AM1915">
        <f>IF([3]Entry!$R$1918="","",[3]Entry!$R$1918)</f>
        <v/>
      </c>
    </row>
    <row r="1916">
      <c r="T1916">
        <f>IF([2]Baskol!$B$1919="","",[2]Baskol!$B$1919)</f>
        <v/>
      </c>
      <c r="U1916">
        <f>IF([2]Baskol!$C$1919="","",[2]Baskol!$C$1919)</f>
        <v/>
      </c>
      <c r="V1916">
        <f>IF([2]Baskol!$D$1919="","",[2]Baskol!$D$1919)</f>
        <v/>
      </c>
      <c r="W1916">
        <f>IF([2]Baskol!$E$1919="","",[2]Baskol!$E$1919)</f>
        <v/>
      </c>
      <c r="X1916">
        <f>IF([2]Baskol!$G$1919="","",[2]Baskol!$G$1919)</f>
        <v/>
      </c>
      <c r="Y1916">
        <f>IF([2]Baskol!$I$1919="","",[2]Baskol!$I$1919)</f>
        <v/>
      </c>
      <c r="Z1916">
        <f>IF([2]Baskol!$J$1919="","",[2]Baskol!$J$1919)</f>
        <v/>
      </c>
      <c r="AA1916">
        <f>IF([2]Baskol!$K$1919="","",[2]Baskol!$K$1919)</f>
        <v/>
      </c>
      <c r="AB1916">
        <f>IF([2]Baskol!$L$1919="","",[2]Baskol!$L$1919)</f>
        <v/>
      </c>
      <c r="AC1916">
        <f>IF([2]Baskol!$N$1919="","",[2]Baskol!$N$1919)</f>
        <v/>
      </c>
      <c r="AD1916">
        <f>IF([2]Baskol!$O$1919="","",[2]Baskol!$O$1919)</f>
        <v/>
      </c>
      <c r="AE1916">
        <f>IF([3]Entry!$C$1919="","",[3]Entry!$C$1919)</f>
        <v/>
      </c>
      <c r="AF1916">
        <f>IF([3]Entry!$D$1919="","",[3]Entry!$D$1919)</f>
        <v/>
      </c>
      <c r="AG1916">
        <f>IF([3]Entry!$E$1919="","",[3]Entry!$E$1919)</f>
        <v/>
      </c>
      <c r="AH1916">
        <f>IF([3]Entry!$G$1919="","",[3]Entry!$G$1919)</f>
        <v/>
      </c>
      <c r="AI1916">
        <f>IF([3]Entry!$K$1919="","",[3]Entry!$K$1919)</f>
        <v/>
      </c>
      <c r="AJ1916">
        <f>IF([3]Entry!$L$1919="","",[3]Entry!$L$1919)</f>
        <v/>
      </c>
      <c r="AK1916">
        <f>IF([3]Entry!$M$1919="","",[3]Entry!$M$1919)</f>
        <v/>
      </c>
      <c r="AL1916">
        <f>IF([3]Entry!$N$1919="","",[3]Entry!$N$1919)</f>
        <v/>
      </c>
      <c r="AM1916">
        <f>IF([3]Entry!$R$1919="","",[3]Entry!$R$1919)</f>
        <v/>
      </c>
    </row>
    <row r="1917">
      <c r="T1917">
        <f>IF([2]Baskol!$B$1920="","",[2]Baskol!$B$1920)</f>
        <v/>
      </c>
      <c r="U1917">
        <f>IF([2]Baskol!$C$1920="","",[2]Baskol!$C$1920)</f>
        <v/>
      </c>
      <c r="V1917">
        <f>IF([2]Baskol!$D$1920="","",[2]Baskol!$D$1920)</f>
        <v/>
      </c>
      <c r="W1917">
        <f>IF([2]Baskol!$E$1920="","",[2]Baskol!$E$1920)</f>
        <v/>
      </c>
      <c r="X1917">
        <f>IF([2]Baskol!$G$1920="","",[2]Baskol!$G$1920)</f>
        <v/>
      </c>
      <c r="Y1917">
        <f>IF([2]Baskol!$I$1920="","",[2]Baskol!$I$1920)</f>
        <v/>
      </c>
      <c r="Z1917">
        <f>IF([2]Baskol!$J$1920="","",[2]Baskol!$J$1920)</f>
        <v/>
      </c>
      <c r="AA1917">
        <f>IF([2]Baskol!$K$1920="","",[2]Baskol!$K$1920)</f>
        <v/>
      </c>
      <c r="AB1917">
        <f>IF([2]Baskol!$L$1920="","",[2]Baskol!$L$1920)</f>
        <v/>
      </c>
      <c r="AC1917">
        <f>IF([2]Baskol!$N$1920="","",[2]Baskol!$N$1920)</f>
        <v/>
      </c>
      <c r="AD1917">
        <f>IF([2]Baskol!$O$1920="","",[2]Baskol!$O$1920)</f>
        <v/>
      </c>
      <c r="AE1917">
        <f>IF([3]Entry!$C$1920="","",[3]Entry!$C$1920)</f>
        <v/>
      </c>
      <c r="AF1917">
        <f>IF([3]Entry!$D$1920="","",[3]Entry!$D$1920)</f>
        <v/>
      </c>
      <c r="AG1917">
        <f>IF([3]Entry!$E$1920="","",[3]Entry!$E$1920)</f>
        <v/>
      </c>
      <c r="AH1917">
        <f>IF([3]Entry!$G$1920="","",[3]Entry!$G$1920)</f>
        <v/>
      </c>
      <c r="AI1917">
        <f>IF([3]Entry!$K$1920="","",[3]Entry!$K$1920)</f>
        <v/>
      </c>
      <c r="AJ1917">
        <f>IF([3]Entry!$L$1920="","",[3]Entry!$L$1920)</f>
        <v/>
      </c>
      <c r="AK1917">
        <f>IF([3]Entry!$M$1920="","",[3]Entry!$M$1920)</f>
        <v/>
      </c>
      <c r="AL1917">
        <f>IF([3]Entry!$N$1920="","",[3]Entry!$N$1920)</f>
        <v/>
      </c>
      <c r="AM1917">
        <f>IF([3]Entry!$R$1920="","",[3]Entry!$R$1920)</f>
        <v/>
      </c>
    </row>
    <row r="1918">
      <c r="T1918">
        <f>IF([2]Baskol!$B$1921="","",[2]Baskol!$B$1921)</f>
        <v/>
      </c>
      <c r="U1918">
        <f>IF([2]Baskol!$C$1921="","",[2]Baskol!$C$1921)</f>
        <v/>
      </c>
      <c r="V1918">
        <f>IF([2]Baskol!$D$1921="","",[2]Baskol!$D$1921)</f>
        <v/>
      </c>
      <c r="W1918">
        <f>IF([2]Baskol!$E$1921="","",[2]Baskol!$E$1921)</f>
        <v/>
      </c>
      <c r="X1918">
        <f>IF([2]Baskol!$G$1921="","",[2]Baskol!$G$1921)</f>
        <v/>
      </c>
      <c r="Y1918">
        <f>IF([2]Baskol!$I$1921="","",[2]Baskol!$I$1921)</f>
        <v/>
      </c>
      <c r="Z1918">
        <f>IF([2]Baskol!$J$1921="","",[2]Baskol!$J$1921)</f>
        <v/>
      </c>
      <c r="AA1918">
        <f>IF([2]Baskol!$K$1921="","",[2]Baskol!$K$1921)</f>
        <v/>
      </c>
      <c r="AB1918">
        <f>IF([2]Baskol!$L$1921="","",[2]Baskol!$L$1921)</f>
        <v/>
      </c>
      <c r="AC1918">
        <f>IF([2]Baskol!$N$1921="","",[2]Baskol!$N$1921)</f>
        <v/>
      </c>
      <c r="AD1918">
        <f>IF([2]Baskol!$O$1921="","",[2]Baskol!$O$1921)</f>
        <v/>
      </c>
      <c r="AE1918">
        <f>IF([3]Entry!$C$1921="","",[3]Entry!$C$1921)</f>
        <v/>
      </c>
      <c r="AF1918">
        <f>IF([3]Entry!$D$1921="","",[3]Entry!$D$1921)</f>
        <v/>
      </c>
      <c r="AG1918">
        <f>IF([3]Entry!$E$1921="","",[3]Entry!$E$1921)</f>
        <v/>
      </c>
      <c r="AH1918">
        <f>IF([3]Entry!$G$1921="","",[3]Entry!$G$1921)</f>
        <v/>
      </c>
      <c r="AI1918">
        <f>IF([3]Entry!$K$1921="","",[3]Entry!$K$1921)</f>
        <v/>
      </c>
      <c r="AJ1918">
        <f>IF([3]Entry!$L$1921="","",[3]Entry!$L$1921)</f>
        <v/>
      </c>
      <c r="AK1918">
        <f>IF([3]Entry!$M$1921="","",[3]Entry!$M$1921)</f>
        <v/>
      </c>
      <c r="AL1918">
        <f>IF([3]Entry!$N$1921="","",[3]Entry!$N$1921)</f>
        <v/>
      </c>
      <c r="AM1918">
        <f>IF([3]Entry!$R$1921="","",[3]Entry!$R$1921)</f>
        <v/>
      </c>
    </row>
    <row r="1919">
      <c r="T1919">
        <f>IF([2]Baskol!$B$1922="","",[2]Baskol!$B$1922)</f>
        <v/>
      </c>
      <c r="U1919">
        <f>IF([2]Baskol!$C$1922="","",[2]Baskol!$C$1922)</f>
        <v/>
      </c>
      <c r="V1919">
        <f>IF([2]Baskol!$D$1922="","",[2]Baskol!$D$1922)</f>
        <v/>
      </c>
      <c r="W1919">
        <f>IF([2]Baskol!$E$1922="","",[2]Baskol!$E$1922)</f>
        <v/>
      </c>
      <c r="X1919">
        <f>IF([2]Baskol!$G$1922="","",[2]Baskol!$G$1922)</f>
        <v/>
      </c>
      <c r="Y1919">
        <f>IF([2]Baskol!$I$1922="","",[2]Baskol!$I$1922)</f>
        <v/>
      </c>
      <c r="Z1919">
        <f>IF([2]Baskol!$J$1922="","",[2]Baskol!$J$1922)</f>
        <v/>
      </c>
      <c r="AA1919">
        <f>IF([2]Baskol!$K$1922="","",[2]Baskol!$K$1922)</f>
        <v/>
      </c>
      <c r="AB1919">
        <f>IF([2]Baskol!$L$1922="","",[2]Baskol!$L$1922)</f>
        <v/>
      </c>
      <c r="AC1919">
        <f>IF([2]Baskol!$N$1922="","",[2]Baskol!$N$1922)</f>
        <v/>
      </c>
      <c r="AD1919">
        <f>IF([2]Baskol!$O$1922="","",[2]Baskol!$O$1922)</f>
        <v/>
      </c>
      <c r="AE1919">
        <f>IF([3]Entry!$C$1922="","",[3]Entry!$C$1922)</f>
        <v/>
      </c>
      <c r="AF1919">
        <f>IF([3]Entry!$D$1922="","",[3]Entry!$D$1922)</f>
        <v/>
      </c>
      <c r="AG1919">
        <f>IF([3]Entry!$E$1922="","",[3]Entry!$E$1922)</f>
        <v/>
      </c>
      <c r="AH1919">
        <f>IF([3]Entry!$G$1922="","",[3]Entry!$G$1922)</f>
        <v/>
      </c>
      <c r="AI1919">
        <f>IF([3]Entry!$K$1922="","",[3]Entry!$K$1922)</f>
        <v/>
      </c>
      <c r="AJ1919">
        <f>IF([3]Entry!$L$1922="","",[3]Entry!$L$1922)</f>
        <v/>
      </c>
      <c r="AK1919">
        <f>IF([3]Entry!$M$1922="","",[3]Entry!$M$1922)</f>
        <v/>
      </c>
      <c r="AL1919">
        <f>IF([3]Entry!$N$1922="","",[3]Entry!$N$1922)</f>
        <v/>
      </c>
      <c r="AM1919">
        <f>IF([3]Entry!$R$1922="","",[3]Entry!$R$1922)</f>
        <v/>
      </c>
    </row>
    <row r="1920">
      <c r="T1920">
        <f>IF([2]Baskol!$B$1923="","",[2]Baskol!$B$1923)</f>
        <v/>
      </c>
      <c r="U1920">
        <f>IF([2]Baskol!$C$1923="","",[2]Baskol!$C$1923)</f>
        <v/>
      </c>
      <c r="V1920">
        <f>IF([2]Baskol!$D$1923="","",[2]Baskol!$D$1923)</f>
        <v/>
      </c>
      <c r="W1920">
        <f>IF([2]Baskol!$E$1923="","",[2]Baskol!$E$1923)</f>
        <v/>
      </c>
      <c r="X1920">
        <f>IF([2]Baskol!$G$1923="","",[2]Baskol!$G$1923)</f>
        <v/>
      </c>
      <c r="Y1920">
        <f>IF([2]Baskol!$I$1923="","",[2]Baskol!$I$1923)</f>
        <v/>
      </c>
      <c r="Z1920">
        <f>IF([2]Baskol!$J$1923="","",[2]Baskol!$J$1923)</f>
        <v/>
      </c>
      <c r="AA1920">
        <f>IF([2]Baskol!$K$1923="","",[2]Baskol!$K$1923)</f>
        <v/>
      </c>
      <c r="AB1920">
        <f>IF([2]Baskol!$L$1923="","",[2]Baskol!$L$1923)</f>
        <v/>
      </c>
      <c r="AC1920">
        <f>IF([2]Baskol!$N$1923="","",[2]Baskol!$N$1923)</f>
        <v/>
      </c>
      <c r="AD1920">
        <f>IF([2]Baskol!$O$1923="","",[2]Baskol!$O$1923)</f>
        <v/>
      </c>
      <c r="AE1920">
        <f>IF([3]Entry!$C$1923="","",[3]Entry!$C$1923)</f>
        <v/>
      </c>
      <c r="AF1920">
        <f>IF([3]Entry!$D$1923="","",[3]Entry!$D$1923)</f>
        <v/>
      </c>
      <c r="AG1920">
        <f>IF([3]Entry!$E$1923="","",[3]Entry!$E$1923)</f>
        <v/>
      </c>
      <c r="AH1920">
        <f>IF([3]Entry!$G$1923="","",[3]Entry!$G$1923)</f>
        <v/>
      </c>
      <c r="AI1920">
        <f>IF([3]Entry!$K$1923="","",[3]Entry!$K$1923)</f>
        <v/>
      </c>
      <c r="AJ1920">
        <f>IF([3]Entry!$L$1923="","",[3]Entry!$L$1923)</f>
        <v/>
      </c>
      <c r="AK1920">
        <f>IF([3]Entry!$M$1923="","",[3]Entry!$M$1923)</f>
        <v/>
      </c>
      <c r="AL1920">
        <f>IF([3]Entry!$N$1923="","",[3]Entry!$N$1923)</f>
        <v/>
      </c>
      <c r="AM1920">
        <f>IF([3]Entry!$R$1923="","",[3]Entry!$R$1923)</f>
        <v/>
      </c>
    </row>
    <row r="1921">
      <c r="T1921">
        <f>IF([2]Baskol!$B$1924="","",[2]Baskol!$B$1924)</f>
        <v/>
      </c>
      <c r="U1921">
        <f>IF([2]Baskol!$C$1924="","",[2]Baskol!$C$1924)</f>
        <v/>
      </c>
      <c r="V1921">
        <f>IF([2]Baskol!$D$1924="","",[2]Baskol!$D$1924)</f>
        <v/>
      </c>
      <c r="W1921">
        <f>IF([2]Baskol!$E$1924="","",[2]Baskol!$E$1924)</f>
        <v/>
      </c>
      <c r="X1921">
        <f>IF([2]Baskol!$G$1924="","",[2]Baskol!$G$1924)</f>
        <v/>
      </c>
      <c r="Y1921">
        <f>IF([2]Baskol!$I$1924="","",[2]Baskol!$I$1924)</f>
        <v/>
      </c>
      <c r="Z1921">
        <f>IF([2]Baskol!$J$1924="","",[2]Baskol!$J$1924)</f>
        <v/>
      </c>
      <c r="AA1921">
        <f>IF([2]Baskol!$K$1924="","",[2]Baskol!$K$1924)</f>
        <v/>
      </c>
      <c r="AB1921">
        <f>IF([2]Baskol!$L$1924="","",[2]Baskol!$L$1924)</f>
        <v/>
      </c>
      <c r="AC1921">
        <f>IF([2]Baskol!$N$1924="","",[2]Baskol!$N$1924)</f>
        <v/>
      </c>
      <c r="AD1921">
        <f>IF([2]Baskol!$O$1924="","",[2]Baskol!$O$1924)</f>
        <v/>
      </c>
      <c r="AE1921">
        <f>IF([3]Entry!$C$1924="","",[3]Entry!$C$1924)</f>
        <v/>
      </c>
      <c r="AF1921">
        <f>IF([3]Entry!$D$1924="","",[3]Entry!$D$1924)</f>
        <v/>
      </c>
      <c r="AG1921">
        <f>IF([3]Entry!$E$1924="","",[3]Entry!$E$1924)</f>
        <v/>
      </c>
      <c r="AH1921">
        <f>IF([3]Entry!$G$1924="","",[3]Entry!$G$1924)</f>
        <v/>
      </c>
      <c r="AI1921">
        <f>IF([3]Entry!$K$1924="","",[3]Entry!$K$1924)</f>
        <v/>
      </c>
      <c r="AJ1921">
        <f>IF([3]Entry!$L$1924="","",[3]Entry!$L$1924)</f>
        <v/>
      </c>
      <c r="AK1921">
        <f>IF([3]Entry!$M$1924="","",[3]Entry!$M$1924)</f>
        <v/>
      </c>
      <c r="AL1921">
        <f>IF([3]Entry!$N$1924="","",[3]Entry!$N$1924)</f>
        <v/>
      </c>
      <c r="AM1921">
        <f>IF([3]Entry!$R$1924="","",[3]Entry!$R$1924)</f>
        <v/>
      </c>
    </row>
    <row r="1922">
      <c r="T1922">
        <f>IF([2]Baskol!$B$1925="","",[2]Baskol!$B$1925)</f>
        <v/>
      </c>
      <c r="U1922">
        <f>IF([2]Baskol!$C$1925="","",[2]Baskol!$C$1925)</f>
        <v/>
      </c>
      <c r="V1922">
        <f>IF([2]Baskol!$D$1925="","",[2]Baskol!$D$1925)</f>
        <v/>
      </c>
      <c r="W1922">
        <f>IF([2]Baskol!$E$1925="","",[2]Baskol!$E$1925)</f>
        <v/>
      </c>
      <c r="X1922">
        <f>IF([2]Baskol!$G$1925="","",[2]Baskol!$G$1925)</f>
        <v/>
      </c>
      <c r="Y1922">
        <f>IF([2]Baskol!$I$1925="","",[2]Baskol!$I$1925)</f>
        <v/>
      </c>
      <c r="Z1922">
        <f>IF([2]Baskol!$J$1925="","",[2]Baskol!$J$1925)</f>
        <v/>
      </c>
      <c r="AA1922">
        <f>IF([2]Baskol!$K$1925="","",[2]Baskol!$K$1925)</f>
        <v/>
      </c>
      <c r="AB1922">
        <f>IF([2]Baskol!$L$1925="","",[2]Baskol!$L$1925)</f>
        <v/>
      </c>
      <c r="AC1922">
        <f>IF([2]Baskol!$N$1925="","",[2]Baskol!$N$1925)</f>
        <v/>
      </c>
      <c r="AD1922">
        <f>IF([2]Baskol!$O$1925="","",[2]Baskol!$O$1925)</f>
        <v/>
      </c>
      <c r="AE1922">
        <f>IF([3]Entry!$C$1925="","",[3]Entry!$C$1925)</f>
        <v/>
      </c>
      <c r="AF1922">
        <f>IF([3]Entry!$D$1925="","",[3]Entry!$D$1925)</f>
        <v/>
      </c>
      <c r="AG1922">
        <f>IF([3]Entry!$E$1925="","",[3]Entry!$E$1925)</f>
        <v/>
      </c>
      <c r="AH1922">
        <f>IF([3]Entry!$G$1925="","",[3]Entry!$G$1925)</f>
        <v/>
      </c>
      <c r="AI1922">
        <f>IF([3]Entry!$K$1925="","",[3]Entry!$K$1925)</f>
        <v/>
      </c>
      <c r="AJ1922">
        <f>IF([3]Entry!$L$1925="","",[3]Entry!$L$1925)</f>
        <v/>
      </c>
      <c r="AK1922">
        <f>IF([3]Entry!$M$1925="","",[3]Entry!$M$1925)</f>
        <v/>
      </c>
      <c r="AL1922">
        <f>IF([3]Entry!$N$1925="","",[3]Entry!$N$1925)</f>
        <v/>
      </c>
      <c r="AM1922">
        <f>IF([3]Entry!$R$1925="","",[3]Entry!$R$1925)</f>
        <v/>
      </c>
    </row>
    <row r="1923">
      <c r="T1923">
        <f>IF([2]Baskol!$B$1926="","",[2]Baskol!$B$1926)</f>
        <v/>
      </c>
      <c r="U1923">
        <f>IF([2]Baskol!$C$1926="","",[2]Baskol!$C$1926)</f>
        <v/>
      </c>
      <c r="V1923">
        <f>IF([2]Baskol!$D$1926="","",[2]Baskol!$D$1926)</f>
        <v/>
      </c>
      <c r="W1923">
        <f>IF([2]Baskol!$E$1926="","",[2]Baskol!$E$1926)</f>
        <v/>
      </c>
      <c r="X1923">
        <f>IF([2]Baskol!$G$1926="","",[2]Baskol!$G$1926)</f>
        <v/>
      </c>
      <c r="Y1923">
        <f>IF([2]Baskol!$I$1926="","",[2]Baskol!$I$1926)</f>
        <v/>
      </c>
      <c r="Z1923">
        <f>IF([2]Baskol!$J$1926="","",[2]Baskol!$J$1926)</f>
        <v/>
      </c>
      <c r="AA1923">
        <f>IF([2]Baskol!$K$1926="","",[2]Baskol!$K$1926)</f>
        <v/>
      </c>
      <c r="AB1923">
        <f>IF([2]Baskol!$L$1926="","",[2]Baskol!$L$1926)</f>
        <v/>
      </c>
      <c r="AC1923">
        <f>IF([2]Baskol!$N$1926="","",[2]Baskol!$N$1926)</f>
        <v/>
      </c>
      <c r="AD1923">
        <f>IF([2]Baskol!$O$1926="","",[2]Baskol!$O$1926)</f>
        <v/>
      </c>
      <c r="AE1923">
        <f>IF([3]Entry!$C$1926="","",[3]Entry!$C$1926)</f>
        <v/>
      </c>
      <c r="AF1923">
        <f>IF([3]Entry!$D$1926="","",[3]Entry!$D$1926)</f>
        <v/>
      </c>
      <c r="AG1923">
        <f>IF([3]Entry!$E$1926="","",[3]Entry!$E$1926)</f>
        <v/>
      </c>
      <c r="AH1923">
        <f>IF([3]Entry!$G$1926="","",[3]Entry!$G$1926)</f>
        <v/>
      </c>
      <c r="AI1923">
        <f>IF([3]Entry!$K$1926="","",[3]Entry!$K$1926)</f>
        <v/>
      </c>
      <c r="AJ1923">
        <f>IF([3]Entry!$L$1926="","",[3]Entry!$L$1926)</f>
        <v/>
      </c>
      <c r="AK1923">
        <f>IF([3]Entry!$M$1926="","",[3]Entry!$M$1926)</f>
        <v/>
      </c>
      <c r="AL1923">
        <f>IF([3]Entry!$N$1926="","",[3]Entry!$N$1926)</f>
        <v/>
      </c>
      <c r="AM1923">
        <f>IF([3]Entry!$R$1926="","",[3]Entry!$R$1926)</f>
        <v/>
      </c>
    </row>
    <row r="1924">
      <c r="T1924">
        <f>IF([2]Baskol!$B$1927="","",[2]Baskol!$B$1927)</f>
        <v/>
      </c>
      <c r="U1924">
        <f>IF([2]Baskol!$C$1927="","",[2]Baskol!$C$1927)</f>
        <v/>
      </c>
      <c r="V1924">
        <f>IF([2]Baskol!$D$1927="","",[2]Baskol!$D$1927)</f>
        <v/>
      </c>
      <c r="W1924">
        <f>IF([2]Baskol!$E$1927="","",[2]Baskol!$E$1927)</f>
        <v/>
      </c>
      <c r="X1924">
        <f>IF([2]Baskol!$G$1927="","",[2]Baskol!$G$1927)</f>
        <v/>
      </c>
      <c r="Y1924">
        <f>IF([2]Baskol!$I$1927="","",[2]Baskol!$I$1927)</f>
        <v/>
      </c>
      <c r="Z1924">
        <f>IF([2]Baskol!$J$1927="","",[2]Baskol!$J$1927)</f>
        <v/>
      </c>
      <c r="AA1924">
        <f>IF([2]Baskol!$K$1927="","",[2]Baskol!$K$1927)</f>
        <v/>
      </c>
      <c r="AB1924">
        <f>IF([2]Baskol!$L$1927="","",[2]Baskol!$L$1927)</f>
        <v/>
      </c>
      <c r="AC1924">
        <f>IF([2]Baskol!$N$1927="","",[2]Baskol!$N$1927)</f>
        <v/>
      </c>
      <c r="AD1924">
        <f>IF([2]Baskol!$O$1927="","",[2]Baskol!$O$1927)</f>
        <v/>
      </c>
      <c r="AE1924">
        <f>IF([3]Entry!$C$1927="","",[3]Entry!$C$1927)</f>
        <v/>
      </c>
      <c r="AF1924">
        <f>IF([3]Entry!$D$1927="","",[3]Entry!$D$1927)</f>
        <v/>
      </c>
      <c r="AG1924">
        <f>IF([3]Entry!$E$1927="","",[3]Entry!$E$1927)</f>
        <v/>
      </c>
      <c r="AH1924">
        <f>IF([3]Entry!$G$1927="","",[3]Entry!$G$1927)</f>
        <v/>
      </c>
      <c r="AI1924">
        <f>IF([3]Entry!$K$1927="","",[3]Entry!$K$1927)</f>
        <v/>
      </c>
      <c r="AJ1924">
        <f>IF([3]Entry!$L$1927="","",[3]Entry!$L$1927)</f>
        <v/>
      </c>
      <c r="AK1924">
        <f>IF([3]Entry!$M$1927="","",[3]Entry!$M$1927)</f>
        <v/>
      </c>
      <c r="AL1924">
        <f>IF([3]Entry!$N$1927="","",[3]Entry!$N$1927)</f>
        <v/>
      </c>
      <c r="AM1924">
        <f>IF([3]Entry!$R$1927="","",[3]Entry!$R$1927)</f>
        <v/>
      </c>
    </row>
    <row r="1925">
      <c r="T1925">
        <f>IF([2]Baskol!$B$1928="","",[2]Baskol!$B$1928)</f>
        <v/>
      </c>
      <c r="U1925">
        <f>IF([2]Baskol!$C$1928="","",[2]Baskol!$C$1928)</f>
        <v/>
      </c>
      <c r="V1925">
        <f>IF([2]Baskol!$D$1928="","",[2]Baskol!$D$1928)</f>
        <v/>
      </c>
      <c r="W1925">
        <f>IF([2]Baskol!$E$1928="","",[2]Baskol!$E$1928)</f>
        <v/>
      </c>
      <c r="X1925">
        <f>IF([2]Baskol!$G$1928="","",[2]Baskol!$G$1928)</f>
        <v/>
      </c>
      <c r="Y1925">
        <f>IF([2]Baskol!$I$1928="","",[2]Baskol!$I$1928)</f>
        <v/>
      </c>
      <c r="Z1925">
        <f>IF([2]Baskol!$J$1928="","",[2]Baskol!$J$1928)</f>
        <v/>
      </c>
      <c r="AA1925">
        <f>IF([2]Baskol!$K$1928="","",[2]Baskol!$K$1928)</f>
        <v/>
      </c>
      <c r="AB1925">
        <f>IF([2]Baskol!$L$1928="","",[2]Baskol!$L$1928)</f>
        <v/>
      </c>
      <c r="AC1925">
        <f>IF([2]Baskol!$N$1928="","",[2]Baskol!$N$1928)</f>
        <v/>
      </c>
      <c r="AD1925">
        <f>IF([2]Baskol!$O$1928="","",[2]Baskol!$O$1928)</f>
        <v/>
      </c>
      <c r="AE1925">
        <f>IF([3]Entry!$C$1928="","",[3]Entry!$C$1928)</f>
        <v/>
      </c>
      <c r="AF1925">
        <f>IF([3]Entry!$D$1928="","",[3]Entry!$D$1928)</f>
        <v/>
      </c>
      <c r="AG1925">
        <f>IF([3]Entry!$E$1928="","",[3]Entry!$E$1928)</f>
        <v/>
      </c>
      <c r="AH1925">
        <f>IF([3]Entry!$G$1928="","",[3]Entry!$G$1928)</f>
        <v/>
      </c>
      <c r="AI1925">
        <f>IF([3]Entry!$K$1928="","",[3]Entry!$K$1928)</f>
        <v/>
      </c>
      <c r="AJ1925">
        <f>IF([3]Entry!$L$1928="","",[3]Entry!$L$1928)</f>
        <v/>
      </c>
      <c r="AK1925">
        <f>IF([3]Entry!$M$1928="","",[3]Entry!$M$1928)</f>
        <v/>
      </c>
      <c r="AL1925">
        <f>IF([3]Entry!$N$1928="","",[3]Entry!$N$1928)</f>
        <v/>
      </c>
      <c r="AM1925">
        <f>IF([3]Entry!$R$1928="","",[3]Entry!$R$1928)</f>
        <v/>
      </c>
    </row>
    <row r="1926">
      <c r="T1926">
        <f>IF([2]Baskol!$B$1929="","",[2]Baskol!$B$1929)</f>
        <v/>
      </c>
      <c r="U1926">
        <f>IF([2]Baskol!$C$1929="","",[2]Baskol!$C$1929)</f>
        <v/>
      </c>
      <c r="V1926">
        <f>IF([2]Baskol!$D$1929="","",[2]Baskol!$D$1929)</f>
        <v/>
      </c>
      <c r="W1926">
        <f>IF([2]Baskol!$E$1929="","",[2]Baskol!$E$1929)</f>
        <v/>
      </c>
      <c r="X1926">
        <f>IF([2]Baskol!$G$1929="","",[2]Baskol!$G$1929)</f>
        <v/>
      </c>
      <c r="Y1926">
        <f>IF([2]Baskol!$I$1929="","",[2]Baskol!$I$1929)</f>
        <v/>
      </c>
      <c r="Z1926">
        <f>IF([2]Baskol!$J$1929="","",[2]Baskol!$J$1929)</f>
        <v/>
      </c>
      <c r="AA1926">
        <f>IF([2]Baskol!$K$1929="","",[2]Baskol!$K$1929)</f>
        <v/>
      </c>
      <c r="AB1926">
        <f>IF([2]Baskol!$L$1929="","",[2]Baskol!$L$1929)</f>
        <v/>
      </c>
      <c r="AC1926">
        <f>IF([2]Baskol!$N$1929="","",[2]Baskol!$N$1929)</f>
        <v/>
      </c>
      <c r="AD1926">
        <f>IF([2]Baskol!$O$1929="","",[2]Baskol!$O$1929)</f>
        <v/>
      </c>
      <c r="AE1926">
        <f>IF([3]Entry!$C$1929="","",[3]Entry!$C$1929)</f>
        <v/>
      </c>
      <c r="AF1926">
        <f>IF([3]Entry!$D$1929="","",[3]Entry!$D$1929)</f>
        <v/>
      </c>
      <c r="AG1926">
        <f>IF([3]Entry!$E$1929="","",[3]Entry!$E$1929)</f>
        <v/>
      </c>
      <c r="AH1926">
        <f>IF([3]Entry!$G$1929="","",[3]Entry!$G$1929)</f>
        <v/>
      </c>
      <c r="AI1926">
        <f>IF([3]Entry!$K$1929="","",[3]Entry!$K$1929)</f>
        <v/>
      </c>
      <c r="AJ1926">
        <f>IF([3]Entry!$L$1929="","",[3]Entry!$L$1929)</f>
        <v/>
      </c>
      <c r="AK1926">
        <f>IF([3]Entry!$M$1929="","",[3]Entry!$M$1929)</f>
        <v/>
      </c>
      <c r="AL1926">
        <f>IF([3]Entry!$N$1929="","",[3]Entry!$N$1929)</f>
        <v/>
      </c>
      <c r="AM1926">
        <f>IF([3]Entry!$R$1929="","",[3]Entry!$R$1929)</f>
        <v/>
      </c>
    </row>
    <row r="1927">
      <c r="T1927">
        <f>IF([2]Baskol!$B$1930="","",[2]Baskol!$B$1930)</f>
        <v/>
      </c>
      <c r="U1927">
        <f>IF([2]Baskol!$C$1930="","",[2]Baskol!$C$1930)</f>
        <v/>
      </c>
      <c r="V1927">
        <f>IF([2]Baskol!$D$1930="","",[2]Baskol!$D$1930)</f>
        <v/>
      </c>
      <c r="W1927">
        <f>IF([2]Baskol!$E$1930="","",[2]Baskol!$E$1930)</f>
        <v/>
      </c>
      <c r="X1927">
        <f>IF([2]Baskol!$G$1930="","",[2]Baskol!$G$1930)</f>
        <v/>
      </c>
      <c r="Y1927">
        <f>IF([2]Baskol!$I$1930="","",[2]Baskol!$I$1930)</f>
        <v/>
      </c>
      <c r="Z1927">
        <f>IF([2]Baskol!$J$1930="","",[2]Baskol!$J$1930)</f>
        <v/>
      </c>
      <c r="AA1927">
        <f>IF([2]Baskol!$K$1930="","",[2]Baskol!$K$1930)</f>
        <v/>
      </c>
      <c r="AB1927">
        <f>IF([2]Baskol!$L$1930="","",[2]Baskol!$L$1930)</f>
        <v/>
      </c>
      <c r="AC1927">
        <f>IF([2]Baskol!$N$1930="","",[2]Baskol!$N$1930)</f>
        <v/>
      </c>
      <c r="AD1927">
        <f>IF([2]Baskol!$O$1930="","",[2]Baskol!$O$1930)</f>
        <v/>
      </c>
      <c r="AE1927">
        <f>IF([3]Entry!$C$1930="","",[3]Entry!$C$1930)</f>
        <v/>
      </c>
      <c r="AF1927">
        <f>IF([3]Entry!$D$1930="","",[3]Entry!$D$1930)</f>
        <v/>
      </c>
      <c r="AG1927">
        <f>IF([3]Entry!$E$1930="","",[3]Entry!$E$1930)</f>
        <v/>
      </c>
      <c r="AH1927">
        <f>IF([3]Entry!$G$1930="","",[3]Entry!$G$1930)</f>
        <v/>
      </c>
      <c r="AI1927">
        <f>IF([3]Entry!$K$1930="","",[3]Entry!$K$1930)</f>
        <v/>
      </c>
      <c r="AJ1927">
        <f>IF([3]Entry!$L$1930="","",[3]Entry!$L$1930)</f>
        <v/>
      </c>
      <c r="AK1927">
        <f>IF([3]Entry!$M$1930="","",[3]Entry!$M$1930)</f>
        <v/>
      </c>
      <c r="AL1927">
        <f>IF([3]Entry!$N$1930="","",[3]Entry!$N$1930)</f>
        <v/>
      </c>
      <c r="AM1927">
        <f>IF([3]Entry!$R$1930="","",[3]Entry!$R$1930)</f>
        <v/>
      </c>
    </row>
    <row r="1928">
      <c r="T1928">
        <f>IF([2]Baskol!$B$1931="","",[2]Baskol!$B$1931)</f>
        <v/>
      </c>
      <c r="U1928">
        <f>IF([2]Baskol!$C$1931="","",[2]Baskol!$C$1931)</f>
        <v/>
      </c>
      <c r="V1928">
        <f>IF([2]Baskol!$D$1931="","",[2]Baskol!$D$1931)</f>
        <v/>
      </c>
      <c r="W1928">
        <f>IF([2]Baskol!$E$1931="","",[2]Baskol!$E$1931)</f>
        <v/>
      </c>
      <c r="X1928">
        <f>IF([2]Baskol!$G$1931="","",[2]Baskol!$G$1931)</f>
        <v/>
      </c>
      <c r="Y1928">
        <f>IF([2]Baskol!$I$1931="","",[2]Baskol!$I$1931)</f>
        <v/>
      </c>
      <c r="Z1928">
        <f>IF([2]Baskol!$J$1931="","",[2]Baskol!$J$1931)</f>
        <v/>
      </c>
      <c r="AA1928">
        <f>IF([2]Baskol!$K$1931="","",[2]Baskol!$K$1931)</f>
        <v/>
      </c>
      <c r="AB1928">
        <f>IF([2]Baskol!$L$1931="","",[2]Baskol!$L$1931)</f>
        <v/>
      </c>
      <c r="AC1928">
        <f>IF([2]Baskol!$N$1931="","",[2]Baskol!$N$1931)</f>
        <v/>
      </c>
      <c r="AD1928">
        <f>IF([2]Baskol!$O$1931="","",[2]Baskol!$O$1931)</f>
        <v/>
      </c>
      <c r="AE1928">
        <f>IF([3]Entry!$C$1931="","",[3]Entry!$C$1931)</f>
        <v/>
      </c>
      <c r="AF1928">
        <f>IF([3]Entry!$D$1931="","",[3]Entry!$D$1931)</f>
        <v/>
      </c>
      <c r="AG1928">
        <f>IF([3]Entry!$E$1931="","",[3]Entry!$E$1931)</f>
        <v/>
      </c>
      <c r="AH1928">
        <f>IF([3]Entry!$G$1931="","",[3]Entry!$G$1931)</f>
        <v/>
      </c>
      <c r="AI1928">
        <f>IF([3]Entry!$K$1931="","",[3]Entry!$K$1931)</f>
        <v/>
      </c>
      <c r="AJ1928">
        <f>IF([3]Entry!$L$1931="","",[3]Entry!$L$1931)</f>
        <v/>
      </c>
      <c r="AK1928">
        <f>IF([3]Entry!$M$1931="","",[3]Entry!$M$1931)</f>
        <v/>
      </c>
      <c r="AL1928">
        <f>IF([3]Entry!$N$1931="","",[3]Entry!$N$1931)</f>
        <v/>
      </c>
      <c r="AM1928">
        <f>IF([3]Entry!$R$1931="","",[3]Entry!$R$1931)</f>
        <v/>
      </c>
    </row>
    <row r="1929">
      <c r="T1929">
        <f>IF([2]Baskol!$B$1932="","",[2]Baskol!$B$1932)</f>
        <v/>
      </c>
      <c r="U1929">
        <f>IF([2]Baskol!$C$1932="","",[2]Baskol!$C$1932)</f>
        <v/>
      </c>
      <c r="V1929">
        <f>IF([2]Baskol!$D$1932="","",[2]Baskol!$D$1932)</f>
        <v/>
      </c>
      <c r="W1929">
        <f>IF([2]Baskol!$E$1932="","",[2]Baskol!$E$1932)</f>
        <v/>
      </c>
      <c r="X1929">
        <f>IF([2]Baskol!$G$1932="","",[2]Baskol!$G$1932)</f>
        <v/>
      </c>
      <c r="Y1929">
        <f>IF([2]Baskol!$I$1932="","",[2]Baskol!$I$1932)</f>
        <v/>
      </c>
      <c r="Z1929">
        <f>IF([2]Baskol!$J$1932="","",[2]Baskol!$J$1932)</f>
        <v/>
      </c>
      <c r="AA1929">
        <f>IF([2]Baskol!$K$1932="","",[2]Baskol!$K$1932)</f>
        <v/>
      </c>
      <c r="AB1929">
        <f>IF([2]Baskol!$L$1932="","",[2]Baskol!$L$1932)</f>
        <v/>
      </c>
      <c r="AC1929">
        <f>IF([2]Baskol!$N$1932="","",[2]Baskol!$N$1932)</f>
        <v/>
      </c>
      <c r="AD1929">
        <f>IF([2]Baskol!$O$1932="","",[2]Baskol!$O$1932)</f>
        <v/>
      </c>
      <c r="AE1929">
        <f>IF([3]Entry!$C$1932="","",[3]Entry!$C$1932)</f>
        <v/>
      </c>
      <c r="AF1929">
        <f>IF([3]Entry!$D$1932="","",[3]Entry!$D$1932)</f>
        <v/>
      </c>
      <c r="AG1929">
        <f>IF([3]Entry!$E$1932="","",[3]Entry!$E$1932)</f>
        <v/>
      </c>
      <c r="AH1929">
        <f>IF([3]Entry!$G$1932="","",[3]Entry!$G$1932)</f>
        <v/>
      </c>
      <c r="AI1929">
        <f>IF([3]Entry!$K$1932="","",[3]Entry!$K$1932)</f>
        <v/>
      </c>
      <c r="AJ1929">
        <f>IF([3]Entry!$L$1932="","",[3]Entry!$L$1932)</f>
        <v/>
      </c>
      <c r="AK1929">
        <f>IF([3]Entry!$M$1932="","",[3]Entry!$M$1932)</f>
        <v/>
      </c>
      <c r="AL1929">
        <f>IF([3]Entry!$N$1932="","",[3]Entry!$N$1932)</f>
        <v/>
      </c>
      <c r="AM1929">
        <f>IF([3]Entry!$R$1932="","",[3]Entry!$R$1932)</f>
        <v/>
      </c>
    </row>
    <row r="1930">
      <c r="T1930">
        <f>IF([2]Baskol!$B$1933="","",[2]Baskol!$B$1933)</f>
        <v/>
      </c>
      <c r="U1930">
        <f>IF([2]Baskol!$C$1933="","",[2]Baskol!$C$1933)</f>
        <v/>
      </c>
      <c r="V1930">
        <f>IF([2]Baskol!$D$1933="","",[2]Baskol!$D$1933)</f>
        <v/>
      </c>
      <c r="W1930">
        <f>IF([2]Baskol!$E$1933="","",[2]Baskol!$E$1933)</f>
        <v/>
      </c>
      <c r="X1930">
        <f>IF([2]Baskol!$G$1933="","",[2]Baskol!$G$1933)</f>
        <v/>
      </c>
      <c r="Y1930">
        <f>IF([2]Baskol!$I$1933="","",[2]Baskol!$I$1933)</f>
        <v/>
      </c>
      <c r="Z1930">
        <f>IF([2]Baskol!$J$1933="","",[2]Baskol!$J$1933)</f>
        <v/>
      </c>
      <c r="AA1930">
        <f>IF([2]Baskol!$K$1933="","",[2]Baskol!$K$1933)</f>
        <v/>
      </c>
      <c r="AB1930">
        <f>IF([2]Baskol!$L$1933="","",[2]Baskol!$L$1933)</f>
        <v/>
      </c>
      <c r="AC1930">
        <f>IF([2]Baskol!$N$1933="","",[2]Baskol!$N$1933)</f>
        <v/>
      </c>
      <c r="AD1930">
        <f>IF([2]Baskol!$O$1933="","",[2]Baskol!$O$1933)</f>
        <v/>
      </c>
      <c r="AE1930">
        <f>IF([3]Entry!$C$1933="","",[3]Entry!$C$1933)</f>
        <v/>
      </c>
      <c r="AF1930">
        <f>IF([3]Entry!$D$1933="","",[3]Entry!$D$1933)</f>
        <v/>
      </c>
      <c r="AG1930">
        <f>IF([3]Entry!$E$1933="","",[3]Entry!$E$1933)</f>
        <v/>
      </c>
      <c r="AH1930">
        <f>IF([3]Entry!$G$1933="","",[3]Entry!$G$1933)</f>
        <v/>
      </c>
      <c r="AI1930">
        <f>IF([3]Entry!$K$1933="","",[3]Entry!$K$1933)</f>
        <v/>
      </c>
      <c r="AJ1930">
        <f>IF([3]Entry!$L$1933="","",[3]Entry!$L$1933)</f>
        <v/>
      </c>
      <c r="AK1930">
        <f>IF([3]Entry!$M$1933="","",[3]Entry!$M$1933)</f>
        <v/>
      </c>
      <c r="AL1930">
        <f>IF([3]Entry!$N$1933="","",[3]Entry!$N$1933)</f>
        <v/>
      </c>
      <c r="AM1930">
        <f>IF([3]Entry!$R$1933="","",[3]Entry!$R$1933)</f>
        <v/>
      </c>
    </row>
    <row r="1931">
      <c r="T1931">
        <f>IF([2]Baskol!$B$1934="","",[2]Baskol!$B$1934)</f>
        <v/>
      </c>
      <c r="U1931">
        <f>IF([2]Baskol!$C$1934="","",[2]Baskol!$C$1934)</f>
        <v/>
      </c>
      <c r="V1931">
        <f>IF([2]Baskol!$D$1934="","",[2]Baskol!$D$1934)</f>
        <v/>
      </c>
      <c r="W1931">
        <f>IF([2]Baskol!$E$1934="","",[2]Baskol!$E$1934)</f>
        <v/>
      </c>
      <c r="X1931">
        <f>IF([2]Baskol!$G$1934="","",[2]Baskol!$G$1934)</f>
        <v/>
      </c>
      <c r="Y1931">
        <f>IF([2]Baskol!$I$1934="","",[2]Baskol!$I$1934)</f>
        <v/>
      </c>
      <c r="Z1931">
        <f>IF([2]Baskol!$J$1934="","",[2]Baskol!$J$1934)</f>
        <v/>
      </c>
      <c r="AA1931">
        <f>IF([2]Baskol!$K$1934="","",[2]Baskol!$K$1934)</f>
        <v/>
      </c>
      <c r="AB1931">
        <f>IF([2]Baskol!$L$1934="","",[2]Baskol!$L$1934)</f>
        <v/>
      </c>
      <c r="AC1931">
        <f>IF([2]Baskol!$N$1934="","",[2]Baskol!$N$1934)</f>
        <v/>
      </c>
      <c r="AD1931">
        <f>IF([2]Baskol!$O$1934="","",[2]Baskol!$O$1934)</f>
        <v/>
      </c>
      <c r="AE1931">
        <f>IF([3]Entry!$C$1934="","",[3]Entry!$C$1934)</f>
        <v/>
      </c>
      <c r="AF1931">
        <f>IF([3]Entry!$D$1934="","",[3]Entry!$D$1934)</f>
        <v/>
      </c>
      <c r="AG1931">
        <f>IF([3]Entry!$E$1934="","",[3]Entry!$E$1934)</f>
        <v/>
      </c>
      <c r="AH1931">
        <f>IF([3]Entry!$G$1934="","",[3]Entry!$G$1934)</f>
        <v/>
      </c>
      <c r="AI1931">
        <f>IF([3]Entry!$K$1934="","",[3]Entry!$K$1934)</f>
        <v/>
      </c>
      <c r="AJ1931">
        <f>IF([3]Entry!$L$1934="","",[3]Entry!$L$1934)</f>
        <v/>
      </c>
      <c r="AK1931">
        <f>IF([3]Entry!$M$1934="","",[3]Entry!$M$1934)</f>
        <v/>
      </c>
      <c r="AL1931">
        <f>IF([3]Entry!$N$1934="","",[3]Entry!$N$1934)</f>
        <v/>
      </c>
      <c r="AM1931">
        <f>IF([3]Entry!$R$1934="","",[3]Entry!$R$1934)</f>
        <v/>
      </c>
    </row>
    <row r="1932">
      <c r="T1932">
        <f>IF([2]Baskol!$B$1935="","",[2]Baskol!$B$1935)</f>
        <v/>
      </c>
      <c r="U1932">
        <f>IF([2]Baskol!$C$1935="","",[2]Baskol!$C$1935)</f>
        <v/>
      </c>
      <c r="V1932">
        <f>IF([2]Baskol!$D$1935="","",[2]Baskol!$D$1935)</f>
        <v/>
      </c>
      <c r="W1932">
        <f>IF([2]Baskol!$E$1935="","",[2]Baskol!$E$1935)</f>
        <v/>
      </c>
      <c r="X1932">
        <f>IF([2]Baskol!$G$1935="","",[2]Baskol!$G$1935)</f>
        <v/>
      </c>
      <c r="Y1932">
        <f>IF([2]Baskol!$I$1935="","",[2]Baskol!$I$1935)</f>
        <v/>
      </c>
      <c r="Z1932">
        <f>IF([2]Baskol!$J$1935="","",[2]Baskol!$J$1935)</f>
        <v/>
      </c>
      <c r="AA1932">
        <f>IF([2]Baskol!$K$1935="","",[2]Baskol!$K$1935)</f>
        <v/>
      </c>
      <c r="AB1932">
        <f>IF([2]Baskol!$L$1935="","",[2]Baskol!$L$1935)</f>
        <v/>
      </c>
      <c r="AC1932">
        <f>IF([2]Baskol!$N$1935="","",[2]Baskol!$N$1935)</f>
        <v/>
      </c>
      <c r="AD1932">
        <f>IF([2]Baskol!$O$1935="","",[2]Baskol!$O$1935)</f>
        <v/>
      </c>
      <c r="AE1932">
        <f>IF([3]Entry!$C$1935="","",[3]Entry!$C$1935)</f>
        <v/>
      </c>
      <c r="AF1932">
        <f>IF([3]Entry!$D$1935="","",[3]Entry!$D$1935)</f>
        <v/>
      </c>
      <c r="AG1932">
        <f>IF([3]Entry!$E$1935="","",[3]Entry!$E$1935)</f>
        <v/>
      </c>
      <c r="AH1932">
        <f>IF([3]Entry!$G$1935="","",[3]Entry!$G$1935)</f>
        <v/>
      </c>
      <c r="AI1932">
        <f>IF([3]Entry!$K$1935="","",[3]Entry!$K$1935)</f>
        <v/>
      </c>
      <c r="AJ1932">
        <f>IF([3]Entry!$L$1935="","",[3]Entry!$L$1935)</f>
        <v/>
      </c>
      <c r="AK1932">
        <f>IF([3]Entry!$M$1935="","",[3]Entry!$M$1935)</f>
        <v/>
      </c>
      <c r="AL1932">
        <f>IF([3]Entry!$N$1935="","",[3]Entry!$N$1935)</f>
        <v/>
      </c>
      <c r="AM1932">
        <f>IF([3]Entry!$R$1935="","",[3]Entry!$R$1935)</f>
        <v/>
      </c>
    </row>
    <row r="1933">
      <c r="T1933">
        <f>IF([2]Baskol!$B$1936="","",[2]Baskol!$B$1936)</f>
        <v/>
      </c>
      <c r="U1933">
        <f>IF([2]Baskol!$C$1936="","",[2]Baskol!$C$1936)</f>
        <v/>
      </c>
      <c r="V1933">
        <f>IF([2]Baskol!$D$1936="","",[2]Baskol!$D$1936)</f>
        <v/>
      </c>
      <c r="W1933">
        <f>IF([2]Baskol!$E$1936="","",[2]Baskol!$E$1936)</f>
        <v/>
      </c>
      <c r="X1933">
        <f>IF([2]Baskol!$G$1936="","",[2]Baskol!$G$1936)</f>
        <v/>
      </c>
      <c r="Y1933">
        <f>IF([2]Baskol!$I$1936="","",[2]Baskol!$I$1936)</f>
        <v/>
      </c>
      <c r="Z1933">
        <f>IF([2]Baskol!$J$1936="","",[2]Baskol!$J$1936)</f>
        <v/>
      </c>
      <c r="AA1933">
        <f>IF([2]Baskol!$K$1936="","",[2]Baskol!$K$1936)</f>
        <v/>
      </c>
      <c r="AB1933">
        <f>IF([2]Baskol!$L$1936="","",[2]Baskol!$L$1936)</f>
        <v/>
      </c>
      <c r="AC1933">
        <f>IF([2]Baskol!$N$1936="","",[2]Baskol!$N$1936)</f>
        <v/>
      </c>
      <c r="AD1933">
        <f>IF([2]Baskol!$O$1936="","",[2]Baskol!$O$1936)</f>
        <v/>
      </c>
      <c r="AE1933">
        <f>IF([3]Entry!$C$1936="","",[3]Entry!$C$1936)</f>
        <v/>
      </c>
      <c r="AF1933">
        <f>IF([3]Entry!$D$1936="","",[3]Entry!$D$1936)</f>
        <v/>
      </c>
      <c r="AG1933">
        <f>IF([3]Entry!$E$1936="","",[3]Entry!$E$1936)</f>
        <v/>
      </c>
      <c r="AH1933">
        <f>IF([3]Entry!$G$1936="","",[3]Entry!$G$1936)</f>
        <v/>
      </c>
      <c r="AI1933">
        <f>IF([3]Entry!$K$1936="","",[3]Entry!$K$1936)</f>
        <v/>
      </c>
      <c r="AJ1933">
        <f>IF([3]Entry!$L$1936="","",[3]Entry!$L$1936)</f>
        <v/>
      </c>
      <c r="AK1933">
        <f>IF([3]Entry!$M$1936="","",[3]Entry!$M$1936)</f>
        <v/>
      </c>
      <c r="AL1933">
        <f>IF([3]Entry!$N$1936="","",[3]Entry!$N$1936)</f>
        <v/>
      </c>
      <c r="AM1933">
        <f>IF([3]Entry!$R$1936="","",[3]Entry!$R$1936)</f>
        <v/>
      </c>
    </row>
    <row r="1934">
      <c r="T1934">
        <f>IF([2]Baskol!$B$1937="","",[2]Baskol!$B$1937)</f>
        <v/>
      </c>
      <c r="U1934">
        <f>IF([2]Baskol!$C$1937="","",[2]Baskol!$C$1937)</f>
        <v/>
      </c>
      <c r="V1934">
        <f>IF([2]Baskol!$D$1937="","",[2]Baskol!$D$1937)</f>
        <v/>
      </c>
      <c r="W1934">
        <f>IF([2]Baskol!$E$1937="","",[2]Baskol!$E$1937)</f>
        <v/>
      </c>
      <c r="X1934">
        <f>IF([2]Baskol!$G$1937="","",[2]Baskol!$G$1937)</f>
        <v/>
      </c>
      <c r="Y1934">
        <f>IF([2]Baskol!$I$1937="","",[2]Baskol!$I$1937)</f>
        <v/>
      </c>
      <c r="Z1934">
        <f>IF([2]Baskol!$J$1937="","",[2]Baskol!$J$1937)</f>
        <v/>
      </c>
      <c r="AA1934">
        <f>IF([2]Baskol!$K$1937="","",[2]Baskol!$K$1937)</f>
        <v/>
      </c>
      <c r="AB1934">
        <f>IF([2]Baskol!$L$1937="","",[2]Baskol!$L$1937)</f>
        <v/>
      </c>
      <c r="AC1934">
        <f>IF([2]Baskol!$N$1937="","",[2]Baskol!$N$1937)</f>
        <v/>
      </c>
      <c r="AD1934">
        <f>IF([2]Baskol!$O$1937="","",[2]Baskol!$O$1937)</f>
        <v/>
      </c>
      <c r="AE1934">
        <f>IF([3]Entry!$C$1937="","",[3]Entry!$C$1937)</f>
        <v/>
      </c>
      <c r="AF1934">
        <f>IF([3]Entry!$D$1937="","",[3]Entry!$D$1937)</f>
        <v/>
      </c>
      <c r="AG1934">
        <f>IF([3]Entry!$E$1937="","",[3]Entry!$E$1937)</f>
        <v/>
      </c>
      <c r="AH1934">
        <f>IF([3]Entry!$G$1937="","",[3]Entry!$G$1937)</f>
        <v/>
      </c>
      <c r="AI1934">
        <f>IF([3]Entry!$K$1937="","",[3]Entry!$K$1937)</f>
        <v/>
      </c>
      <c r="AJ1934">
        <f>IF([3]Entry!$L$1937="","",[3]Entry!$L$1937)</f>
        <v/>
      </c>
      <c r="AK1934">
        <f>IF([3]Entry!$M$1937="","",[3]Entry!$M$1937)</f>
        <v/>
      </c>
      <c r="AL1934">
        <f>IF([3]Entry!$N$1937="","",[3]Entry!$N$1937)</f>
        <v/>
      </c>
      <c r="AM1934">
        <f>IF([3]Entry!$R$1937="","",[3]Entry!$R$1937)</f>
        <v/>
      </c>
    </row>
    <row r="1935">
      <c r="T1935">
        <f>IF([2]Baskol!$B$1938="","",[2]Baskol!$B$1938)</f>
        <v/>
      </c>
      <c r="U1935">
        <f>IF([2]Baskol!$C$1938="","",[2]Baskol!$C$1938)</f>
        <v/>
      </c>
      <c r="V1935">
        <f>IF([2]Baskol!$D$1938="","",[2]Baskol!$D$1938)</f>
        <v/>
      </c>
      <c r="W1935">
        <f>IF([2]Baskol!$E$1938="","",[2]Baskol!$E$1938)</f>
        <v/>
      </c>
      <c r="X1935">
        <f>IF([2]Baskol!$G$1938="","",[2]Baskol!$G$1938)</f>
        <v/>
      </c>
      <c r="Y1935">
        <f>IF([2]Baskol!$I$1938="","",[2]Baskol!$I$1938)</f>
        <v/>
      </c>
      <c r="Z1935">
        <f>IF([2]Baskol!$J$1938="","",[2]Baskol!$J$1938)</f>
        <v/>
      </c>
      <c r="AA1935">
        <f>IF([2]Baskol!$K$1938="","",[2]Baskol!$K$1938)</f>
        <v/>
      </c>
      <c r="AB1935">
        <f>IF([2]Baskol!$L$1938="","",[2]Baskol!$L$1938)</f>
        <v/>
      </c>
      <c r="AC1935">
        <f>IF([2]Baskol!$N$1938="","",[2]Baskol!$N$1938)</f>
        <v/>
      </c>
      <c r="AD1935">
        <f>IF([2]Baskol!$O$1938="","",[2]Baskol!$O$1938)</f>
        <v/>
      </c>
      <c r="AE1935">
        <f>IF([3]Entry!$C$1938="","",[3]Entry!$C$1938)</f>
        <v/>
      </c>
      <c r="AF1935">
        <f>IF([3]Entry!$D$1938="","",[3]Entry!$D$1938)</f>
        <v/>
      </c>
      <c r="AG1935">
        <f>IF([3]Entry!$E$1938="","",[3]Entry!$E$1938)</f>
        <v/>
      </c>
      <c r="AH1935">
        <f>IF([3]Entry!$G$1938="","",[3]Entry!$G$1938)</f>
        <v/>
      </c>
      <c r="AI1935">
        <f>IF([3]Entry!$K$1938="","",[3]Entry!$K$1938)</f>
        <v/>
      </c>
      <c r="AJ1935">
        <f>IF([3]Entry!$L$1938="","",[3]Entry!$L$1938)</f>
        <v/>
      </c>
      <c r="AK1935">
        <f>IF([3]Entry!$M$1938="","",[3]Entry!$M$1938)</f>
        <v/>
      </c>
      <c r="AL1935">
        <f>IF([3]Entry!$N$1938="","",[3]Entry!$N$1938)</f>
        <v/>
      </c>
      <c r="AM1935">
        <f>IF([3]Entry!$R$1938="","",[3]Entry!$R$1938)</f>
        <v/>
      </c>
    </row>
    <row r="1936">
      <c r="T1936">
        <f>IF([2]Baskol!$B$1939="","",[2]Baskol!$B$1939)</f>
        <v/>
      </c>
      <c r="U1936">
        <f>IF([2]Baskol!$C$1939="","",[2]Baskol!$C$1939)</f>
        <v/>
      </c>
      <c r="V1936">
        <f>IF([2]Baskol!$D$1939="","",[2]Baskol!$D$1939)</f>
        <v/>
      </c>
      <c r="W1936">
        <f>IF([2]Baskol!$E$1939="","",[2]Baskol!$E$1939)</f>
        <v/>
      </c>
      <c r="X1936">
        <f>IF([2]Baskol!$G$1939="","",[2]Baskol!$G$1939)</f>
        <v/>
      </c>
      <c r="Y1936">
        <f>IF([2]Baskol!$I$1939="","",[2]Baskol!$I$1939)</f>
        <v/>
      </c>
      <c r="Z1936">
        <f>IF([2]Baskol!$J$1939="","",[2]Baskol!$J$1939)</f>
        <v/>
      </c>
      <c r="AA1936">
        <f>IF([2]Baskol!$K$1939="","",[2]Baskol!$K$1939)</f>
        <v/>
      </c>
      <c r="AB1936">
        <f>IF([2]Baskol!$L$1939="","",[2]Baskol!$L$1939)</f>
        <v/>
      </c>
      <c r="AC1936">
        <f>IF([2]Baskol!$N$1939="","",[2]Baskol!$N$1939)</f>
        <v/>
      </c>
      <c r="AD1936">
        <f>IF([2]Baskol!$O$1939="","",[2]Baskol!$O$1939)</f>
        <v/>
      </c>
      <c r="AE1936">
        <f>IF([3]Entry!$C$1939="","",[3]Entry!$C$1939)</f>
        <v/>
      </c>
      <c r="AF1936">
        <f>IF([3]Entry!$D$1939="","",[3]Entry!$D$1939)</f>
        <v/>
      </c>
      <c r="AG1936">
        <f>IF([3]Entry!$E$1939="","",[3]Entry!$E$1939)</f>
        <v/>
      </c>
      <c r="AH1936">
        <f>IF([3]Entry!$G$1939="","",[3]Entry!$G$1939)</f>
        <v/>
      </c>
      <c r="AI1936">
        <f>IF([3]Entry!$K$1939="","",[3]Entry!$K$1939)</f>
        <v/>
      </c>
      <c r="AJ1936">
        <f>IF([3]Entry!$L$1939="","",[3]Entry!$L$1939)</f>
        <v/>
      </c>
      <c r="AK1936">
        <f>IF([3]Entry!$M$1939="","",[3]Entry!$M$1939)</f>
        <v/>
      </c>
      <c r="AL1936">
        <f>IF([3]Entry!$N$1939="","",[3]Entry!$N$1939)</f>
        <v/>
      </c>
      <c r="AM1936">
        <f>IF([3]Entry!$R$1939="","",[3]Entry!$R$1939)</f>
        <v/>
      </c>
    </row>
    <row r="1937">
      <c r="T1937">
        <f>IF([2]Baskol!$B$1940="","",[2]Baskol!$B$1940)</f>
        <v/>
      </c>
      <c r="U1937">
        <f>IF([2]Baskol!$C$1940="","",[2]Baskol!$C$1940)</f>
        <v/>
      </c>
      <c r="V1937">
        <f>IF([2]Baskol!$D$1940="","",[2]Baskol!$D$1940)</f>
        <v/>
      </c>
      <c r="W1937">
        <f>IF([2]Baskol!$E$1940="","",[2]Baskol!$E$1940)</f>
        <v/>
      </c>
      <c r="X1937">
        <f>IF([2]Baskol!$G$1940="","",[2]Baskol!$G$1940)</f>
        <v/>
      </c>
      <c r="Y1937">
        <f>IF([2]Baskol!$I$1940="","",[2]Baskol!$I$1940)</f>
        <v/>
      </c>
      <c r="Z1937">
        <f>IF([2]Baskol!$J$1940="","",[2]Baskol!$J$1940)</f>
        <v/>
      </c>
      <c r="AA1937">
        <f>IF([2]Baskol!$K$1940="","",[2]Baskol!$K$1940)</f>
        <v/>
      </c>
      <c r="AB1937">
        <f>IF([2]Baskol!$L$1940="","",[2]Baskol!$L$1940)</f>
        <v/>
      </c>
      <c r="AC1937">
        <f>IF([2]Baskol!$N$1940="","",[2]Baskol!$N$1940)</f>
        <v/>
      </c>
      <c r="AD1937">
        <f>IF([2]Baskol!$O$1940="","",[2]Baskol!$O$1940)</f>
        <v/>
      </c>
      <c r="AE1937">
        <f>IF([3]Entry!$C$1940="","",[3]Entry!$C$1940)</f>
        <v/>
      </c>
      <c r="AF1937">
        <f>IF([3]Entry!$D$1940="","",[3]Entry!$D$1940)</f>
        <v/>
      </c>
      <c r="AG1937">
        <f>IF([3]Entry!$E$1940="","",[3]Entry!$E$1940)</f>
        <v/>
      </c>
      <c r="AH1937">
        <f>IF([3]Entry!$G$1940="","",[3]Entry!$G$1940)</f>
        <v/>
      </c>
      <c r="AI1937">
        <f>IF([3]Entry!$K$1940="","",[3]Entry!$K$1940)</f>
        <v/>
      </c>
      <c r="AJ1937">
        <f>IF([3]Entry!$L$1940="","",[3]Entry!$L$1940)</f>
        <v/>
      </c>
      <c r="AK1937">
        <f>IF([3]Entry!$M$1940="","",[3]Entry!$M$1940)</f>
        <v/>
      </c>
      <c r="AL1937">
        <f>IF([3]Entry!$N$1940="","",[3]Entry!$N$1940)</f>
        <v/>
      </c>
      <c r="AM1937">
        <f>IF([3]Entry!$R$1940="","",[3]Entry!$R$1940)</f>
        <v/>
      </c>
    </row>
    <row r="1938">
      <c r="T1938">
        <f>IF([2]Baskol!$B$1941="","",[2]Baskol!$B$1941)</f>
        <v/>
      </c>
      <c r="U1938">
        <f>IF([2]Baskol!$C$1941="","",[2]Baskol!$C$1941)</f>
        <v/>
      </c>
      <c r="V1938">
        <f>IF([2]Baskol!$D$1941="","",[2]Baskol!$D$1941)</f>
        <v/>
      </c>
      <c r="W1938">
        <f>IF([2]Baskol!$E$1941="","",[2]Baskol!$E$1941)</f>
        <v/>
      </c>
      <c r="X1938">
        <f>IF([2]Baskol!$G$1941="","",[2]Baskol!$G$1941)</f>
        <v/>
      </c>
      <c r="Y1938">
        <f>IF([2]Baskol!$I$1941="","",[2]Baskol!$I$1941)</f>
        <v/>
      </c>
      <c r="Z1938">
        <f>IF([2]Baskol!$J$1941="","",[2]Baskol!$J$1941)</f>
        <v/>
      </c>
      <c r="AA1938">
        <f>IF([2]Baskol!$K$1941="","",[2]Baskol!$K$1941)</f>
        <v/>
      </c>
      <c r="AB1938">
        <f>IF([2]Baskol!$L$1941="","",[2]Baskol!$L$1941)</f>
        <v/>
      </c>
      <c r="AC1938">
        <f>IF([2]Baskol!$N$1941="","",[2]Baskol!$N$1941)</f>
        <v/>
      </c>
      <c r="AD1938">
        <f>IF([2]Baskol!$O$1941="","",[2]Baskol!$O$1941)</f>
        <v/>
      </c>
      <c r="AE1938">
        <f>IF([3]Entry!$C$1941="","",[3]Entry!$C$1941)</f>
        <v/>
      </c>
      <c r="AF1938">
        <f>IF([3]Entry!$D$1941="","",[3]Entry!$D$1941)</f>
        <v/>
      </c>
      <c r="AG1938">
        <f>IF([3]Entry!$E$1941="","",[3]Entry!$E$1941)</f>
        <v/>
      </c>
      <c r="AH1938">
        <f>IF([3]Entry!$G$1941="","",[3]Entry!$G$1941)</f>
        <v/>
      </c>
      <c r="AI1938">
        <f>IF([3]Entry!$K$1941="","",[3]Entry!$K$1941)</f>
        <v/>
      </c>
      <c r="AJ1938">
        <f>IF([3]Entry!$L$1941="","",[3]Entry!$L$1941)</f>
        <v/>
      </c>
      <c r="AK1938">
        <f>IF([3]Entry!$M$1941="","",[3]Entry!$M$1941)</f>
        <v/>
      </c>
      <c r="AL1938">
        <f>IF([3]Entry!$N$1941="","",[3]Entry!$N$1941)</f>
        <v/>
      </c>
      <c r="AM1938">
        <f>IF([3]Entry!$R$1941="","",[3]Entry!$R$1941)</f>
        <v/>
      </c>
    </row>
    <row r="1939">
      <c r="T1939">
        <f>IF([2]Baskol!$B$1942="","",[2]Baskol!$B$1942)</f>
        <v/>
      </c>
      <c r="U1939">
        <f>IF([2]Baskol!$C$1942="","",[2]Baskol!$C$1942)</f>
        <v/>
      </c>
      <c r="V1939">
        <f>IF([2]Baskol!$D$1942="","",[2]Baskol!$D$1942)</f>
        <v/>
      </c>
      <c r="W1939">
        <f>IF([2]Baskol!$E$1942="","",[2]Baskol!$E$1942)</f>
        <v/>
      </c>
      <c r="X1939">
        <f>IF([2]Baskol!$G$1942="","",[2]Baskol!$G$1942)</f>
        <v/>
      </c>
      <c r="Y1939">
        <f>IF([2]Baskol!$I$1942="","",[2]Baskol!$I$1942)</f>
        <v/>
      </c>
      <c r="Z1939">
        <f>IF([2]Baskol!$J$1942="","",[2]Baskol!$J$1942)</f>
        <v/>
      </c>
      <c r="AA1939">
        <f>IF([2]Baskol!$K$1942="","",[2]Baskol!$K$1942)</f>
        <v/>
      </c>
      <c r="AB1939">
        <f>IF([2]Baskol!$L$1942="","",[2]Baskol!$L$1942)</f>
        <v/>
      </c>
      <c r="AC1939">
        <f>IF([2]Baskol!$N$1942="","",[2]Baskol!$N$1942)</f>
        <v/>
      </c>
      <c r="AD1939">
        <f>IF([2]Baskol!$O$1942="","",[2]Baskol!$O$1942)</f>
        <v/>
      </c>
      <c r="AE1939">
        <f>IF([3]Entry!$C$1942="","",[3]Entry!$C$1942)</f>
        <v/>
      </c>
      <c r="AF1939">
        <f>IF([3]Entry!$D$1942="","",[3]Entry!$D$1942)</f>
        <v/>
      </c>
      <c r="AG1939">
        <f>IF([3]Entry!$E$1942="","",[3]Entry!$E$1942)</f>
        <v/>
      </c>
      <c r="AH1939">
        <f>IF([3]Entry!$G$1942="","",[3]Entry!$G$1942)</f>
        <v/>
      </c>
      <c r="AI1939">
        <f>IF([3]Entry!$K$1942="","",[3]Entry!$K$1942)</f>
        <v/>
      </c>
      <c r="AJ1939">
        <f>IF([3]Entry!$L$1942="","",[3]Entry!$L$1942)</f>
        <v/>
      </c>
      <c r="AK1939">
        <f>IF([3]Entry!$M$1942="","",[3]Entry!$M$1942)</f>
        <v/>
      </c>
      <c r="AL1939">
        <f>IF([3]Entry!$N$1942="","",[3]Entry!$N$1942)</f>
        <v/>
      </c>
      <c r="AM1939">
        <f>IF([3]Entry!$R$1942="","",[3]Entry!$R$1942)</f>
        <v/>
      </c>
    </row>
    <row r="1940">
      <c r="T1940">
        <f>IF([2]Baskol!$B$1943="","",[2]Baskol!$B$1943)</f>
        <v/>
      </c>
      <c r="U1940">
        <f>IF([2]Baskol!$C$1943="","",[2]Baskol!$C$1943)</f>
        <v/>
      </c>
      <c r="V1940">
        <f>IF([2]Baskol!$D$1943="","",[2]Baskol!$D$1943)</f>
        <v/>
      </c>
      <c r="W1940">
        <f>IF([2]Baskol!$E$1943="","",[2]Baskol!$E$1943)</f>
        <v/>
      </c>
      <c r="X1940">
        <f>IF([2]Baskol!$G$1943="","",[2]Baskol!$G$1943)</f>
        <v/>
      </c>
      <c r="Y1940">
        <f>IF([2]Baskol!$I$1943="","",[2]Baskol!$I$1943)</f>
        <v/>
      </c>
      <c r="Z1940">
        <f>IF([2]Baskol!$J$1943="","",[2]Baskol!$J$1943)</f>
        <v/>
      </c>
      <c r="AA1940">
        <f>IF([2]Baskol!$K$1943="","",[2]Baskol!$K$1943)</f>
        <v/>
      </c>
      <c r="AB1940">
        <f>IF([2]Baskol!$L$1943="","",[2]Baskol!$L$1943)</f>
        <v/>
      </c>
      <c r="AC1940">
        <f>IF([2]Baskol!$N$1943="","",[2]Baskol!$N$1943)</f>
        <v/>
      </c>
      <c r="AD1940">
        <f>IF([2]Baskol!$O$1943="","",[2]Baskol!$O$1943)</f>
        <v/>
      </c>
      <c r="AE1940">
        <f>IF([3]Entry!$C$1943="","",[3]Entry!$C$1943)</f>
        <v/>
      </c>
      <c r="AF1940">
        <f>IF([3]Entry!$D$1943="","",[3]Entry!$D$1943)</f>
        <v/>
      </c>
      <c r="AG1940">
        <f>IF([3]Entry!$E$1943="","",[3]Entry!$E$1943)</f>
        <v/>
      </c>
      <c r="AH1940">
        <f>IF([3]Entry!$G$1943="","",[3]Entry!$G$1943)</f>
        <v/>
      </c>
      <c r="AI1940">
        <f>IF([3]Entry!$K$1943="","",[3]Entry!$K$1943)</f>
        <v/>
      </c>
      <c r="AJ1940">
        <f>IF([3]Entry!$L$1943="","",[3]Entry!$L$1943)</f>
        <v/>
      </c>
      <c r="AK1940">
        <f>IF([3]Entry!$M$1943="","",[3]Entry!$M$1943)</f>
        <v/>
      </c>
      <c r="AL1940">
        <f>IF([3]Entry!$N$1943="","",[3]Entry!$N$1943)</f>
        <v/>
      </c>
      <c r="AM1940">
        <f>IF([3]Entry!$R$1943="","",[3]Entry!$R$1943)</f>
        <v/>
      </c>
    </row>
    <row r="1941">
      <c r="T1941">
        <f>IF([2]Baskol!$B$1944="","",[2]Baskol!$B$1944)</f>
        <v/>
      </c>
      <c r="U1941">
        <f>IF([2]Baskol!$C$1944="","",[2]Baskol!$C$1944)</f>
        <v/>
      </c>
      <c r="V1941">
        <f>IF([2]Baskol!$D$1944="","",[2]Baskol!$D$1944)</f>
        <v/>
      </c>
      <c r="W1941">
        <f>IF([2]Baskol!$E$1944="","",[2]Baskol!$E$1944)</f>
        <v/>
      </c>
      <c r="X1941">
        <f>IF([2]Baskol!$G$1944="","",[2]Baskol!$G$1944)</f>
        <v/>
      </c>
      <c r="Y1941">
        <f>IF([2]Baskol!$I$1944="","",[2]Baskol!$I$1944)</f>
        <v/>
      </c>
      <c r="Z1941">
        <f>IF([2]Baskol!$J$1944="","",[2]Baskol!$J$1944)</f>
        <v/>
      </c>
      <c r="AA1941">
        <f>IF([2]Baskol!$K$1944="","",[2]Baskol!$K$1944)</f>
        <v/>
      </c>
      <c r="AB1941">
        <f>IF([2]Baskol!$L$1944="","",[2]Baskol!$L$1944)</f>
        <v/>
      </c>
      <c r="AC1941">
        <f>IF([2]Baskol!$N$1944="","",[2]Baskol!$N$1944)</f>
        <v/>
      </c>
      <c r="AD1941">
        <f>IF([2]Baskol!$O$1944="","",[2]Baskol!$O$1944)</f>
        <v/>
      </c>
      <c r="AE1941">
        <f>IF([3]Entry!$C$1944="","",[3]Entry!$C$1944)</f>
        <v/>
      </c>
      <c r="AF1941">
        <f>IF([3]Entry!$D$1944="","",[3]Entry!$D$1944)</f>
        <v/>
      </c>
      <c r="AG1941">
        <f>IF([3]Entry!$E$1944="","",[3]Entry!$E$1944)</f>
        <v/>
      </c>
      <c r="AH1941">
        <f>IF([3]Entry!$G$1944="","",[3]Entry!$G$1944)</f>
        <v/>
      </c>
      <c r="AI1941">
        <f>IF([3]Entry!$K$1944="","",[3]Entry!$K$1944)</f>
        <v/>
      </c>
      <c r="AJ1941">
        <f>IF([3]Entry!$L$1944="","",[3]Entry!$L$1944)</f>
        <v/>
      </c>
      <c r="AK1941">
        <f>IF([3]Entry!$M$1944="","",[3]Entry!$M$1944)</f>
        <v/>
      </c>
      <c r="AL1941">
        <f>IF([3]Entry!$N$1944="","",[3]Entry!$N$1944)</f>
        <v/>
      </c>
      <c r="AM1941">
        <f>IF([3]Entry!$R$1944="","",[3]Entry!$R$1944)</f>
        <v/>
      </c>
    </row>
    <row r="1942">
      <c r="T1942">
        <f>IF([2]Baskol!$B$1945="","",[2]Baskol!$B$1945)</f>
        <v/>
      </c>
      <c r="U1942">
        <f>IF([2]Baskol!$C$1945="","",[2]Baskol!$C$1945)</f>
        <v/>
      </c>
      <c r="V1942">
        <f>IF([2]Baskol!$D$1945="","",[2]Baskol!$D$1945)</f>
        <v/>
      </c>
      <c r="W1942">
        <f>IF([2]Baskol!$E$1945="","",[2]Baskol!$E$1945)</f>
        <v/>
      </c>
      <c r="X1942">
        <f>IF([2]Baskol!$G$1945="","",[2]Baskol!$G$1945)</f>
        <v/>
      </c>
      <c r="Y1942">
        <f>IF([2]Baskol!$I$1945="","",[2]Baskol!$I$1945)</f>
        <v/>
      </c>
      <c r="Z1942">
        <f>IF([2]Baskol!$J$1945="","",[2]Baskol!$J$1945)</f>
        <v/>
      </c>
      <c r="AA1942">
        <f>IF([2]Baskol!$K$1945="","",[2]Baskol!$K$1945)</f>
        <v/>
      </c>
      <c r="AB1942">
        <f>IF([2]Baskol!$L$1945="","",[2]Baskol!$L$1945)</f>
        <v/>
      </c>
      <c r="AC1942">
        <f>IF([2]Baskol!$N$1945="","",[2]Baskol!$N$1945)</f>
        <v/>
      </c>
      <c r="AD1942">
        <f>IF([2]Baskol!$O$1945="","",[2]Baskol!$O$1945)</f>
        <v/>
      </c>
      <c r="AE1942">
        <f>IF([3]Entry!$C$1945="","",[3]Entry!$C$1945)</f>
        <v/>
      </c>
      <c r="AF1942">
        <f>IF([3]Entry!$D$1945="","",[3]Entry!$D$1945)</f>
        <v/>
      </c>
      <c r="AG1942">
        <f>IF([3]Entry!$E$1945="","",[3]Entry!$E$1945)</f>
        <v/>
      </c>
      <c r="AH1942">
        <f>IF([3]Entry!$G$1945="","",[3]Entry!$G$1945)</f>
        <v/>
      </c>
      <c r="AI1942">
        <f>IF([3]Entry!$K$1945="","",[3]Entry!$K$1945)</f>
        <v/>
      </c>
      <c r="AJ1942">
        <f>IF([3]Entry!$L$1945="","",[3]Entry!$L$1945)</f>
        <v/>
      </c>
      <c r="AK1942">
        <f>IF([3]Entry!$M$1945="","",[3]Entry!$M$1945)</f>
        <v/>
      </c>
      <c r="AL1942">
        <f>IF([3]Entry!$N$1945="","",[3]Entry!$N$1945)</f>
        <v/>
      </c>
      <c r="AM1942">
        <f>IF([3]Entry!$R$1945="","",[3]Entry!$R$1945)</f>
        <v/>
      </c>
    </row>
    <row r="1943">
      <c r="T1943">
        <f>IF([2]Baskol!$B$1946="","",[2]Baskol!$B$1946)</f>
        <v/>
      </c>
      <c r="U1943">
        <f>IF([2]Baskol!$C$1946="","",[2]Baskol!$C$1946)</f>
        <v/>
      </c>
      <c r="V1943">
        <f>IF([2]Baskol!$D$1946="","",[2]Baskol!$D$1946)</f>
        <v/>
      </c>
      <c r="W1943">
        <f>IF([2]Baskol!$E$1946="","",[2]Baskol!$E$1946)</f>
        <v/>
      </c>
      <c r="X1943">
        <f>IF([2]Baskol!$G$1946="","",[2]Baskol!$G$1946)</f>
        <v/>
      </c>
      <c r="Y1943">
        <f>IF([2]Baskol!$I$1946="","",[2]Baskol!$I$1946)</f>
        <v/>
      </c>
      <c r="Z1943">
        <f>IF([2]Baskol!$J$1946="","",[2]Baskol!$J$1946)</f>
        <v/>
      </c>
      <c r="AA1943">
        <f>IF([2]Baskol!$K$1946="","",[2]Baskol!$K$1946)</f>
        <v/>
      </c>
      <c r="AB1943">
        <f>IF([2]Baskol!$L$1946="","",[2]Baskol!$L$1946)</f>
        <v/>
      </c>
      <c r="AC1943">
        <f>IF([2]Baskol!$N$1946="","",[2]Baskol!$N$1946)</f>
        <v/>
      </c>
      <c r="AD1943">
        <f>IF([2]Baskol!$O$1946="","",[2]Baskol!$O$1946)</f>
        <v/>
      </c>
      <c r="AE1943">
        <f>IF([3]Entry!$C$1946="","",[3]Entry!$C$1946)</f>
        <v/>
      </c>
      <c r="AF1943">
        <f>IF([3]Entry!$D$1946="","",[3]Entry!$D$1946)</f>
        <v/>
      </c>
      <c r="AG1943">
        <f>IF([3]Entry!$E$1946="","",[3]Entry!$E$1946)</f>
        <v/>
      </c>
      <c r="AH1943">
        <f>IF([3]Entry!$G$1946="","",[3]Entry!$G$1946)</f>
        <v/>
      </c>
      <c r="AI1943">
        <f>IF([3]Entry!$K$1946="","",[3]Entry!$K$1946)</f>
        <v/>
      </c>
      <c r="AJ1943">
        <f>IF([3]Entry!$L$1946="","",[3]Entry!$L$1946)</f>
        <v/>
      </c>
      <c r="AK1943">
        <f>IF([3]Entry!$M$1946="","",[3]Entry!$M$1946)</f>
        <v/>
      </c>
      <c r="AL1943">
        <f>IF([3]Entry!$N$1946="","",[3]Entry!$N$1946)</f>
        <v/>
      </c>
      <c r="AM1943">
        <f>IF([3]Entry!$R$1946="","",[3]Entry!$R$1946)</f>
        <v/>
      </c>
    </row>
    <row r="1944">
      <c r="T1944">
        <f>IF([2]Baskol!$B$1947="","",[2]Baskol!$B$1947)</f>
        <v/>
      </c>
      <c r="U1944">
        <f>IF([2]Baskol!$C$1947="","",[2]Baskol!$C$1947)</f>
        <v/>
      </c>
      <c r="V1944">
        <f>IF([2]Baskol!$D$1947="","",[2]Baskol!$D$1947)</f>
        <v/>
      </c>
      <c r="W1944">
        <f>IF([2]Baskol!$E$1947="","",[2]Baskol!$E$1947)</f>
        <v/>
      </c>
      <c r="X1944">
        <f>IF([2]Baskol!$G$1947="","",[2]Baskol!$G$1947)</f>
        <v/>
      </c>
      <c r="Y1944">
        <f>IF([2]Baskol!$I$1947="","",[2]Baskol!$I$1947)</f>
        <v/>
      </c>
      <c r="Z1944">
        <f>IF([2]Baskol!$J$1947="","",[2]Baskol!$J$1947)</f>
        <v/>
      </c>
      <c r="AA1944">
        <f>IF([2]Baskol!$K$1947="","",[2]Baskol!$K$1947)</f>
        <v/>
      </c>
      <c r="AB1944">
        <f>IF([2]Baskol!$L$1947="","",[2]Baskol!$L$1947)</f>
        <v/>
      </c>
      <c r="AC1944">
        <f>IF([2]Baskol!$N$1947="","",[2]Baskol!$N$1947)</f>
        <v/>
      </c>
      <c r="AD1944">
        <f>IF([2]Baskol!$O$1947="","",[2]Baskol!$O$1947)</f>
        <v/>
      </c>
      <c r="AE1944">
        <f>IF([3]Entry!$C$1947="","",[3]Entry!$C$1947)</f>
        <v/>
      </c>
      <c r="AF1944">
        <f>IF([3]Entry!$D$1947="","",[3]Entry!$D$1947)</f>
        <v/>
      </c>
      <c r="AG1944">
        <f>IF([3]Entry!$E$1947="","",[3]Entry!$E$1947)</f>
        <v/>
      </c>
      <c r="AH1944">
        <f>IF([3]Entry!$G$1947="","",[3]Entry!$G$1947)</f>
        <v/>
      </c>
      <c r="AI1944">
        <f>IF([3]Entry!$K$1947="","",[3]Entry!$K$1947)</f>
        <v/>
      </c>
      <c r="AJ1944">
        <f>IF([3]Entry!$L$1947="","",[3]Entry!$L$1947)</f>
        <v/>
      </c>
      <c r="AK1944">
        <f>IF([3]Entry!$M$1947="","",[3]Entry!$M$1947)</f>
        <v/>
      </c>
      <c r="AL1944">
        <f>IF([3]Entry!$N$1947="","",[3]Entry!$N$1947)</f>
        <v/>
      </c>
      <c r="AM1944">
        <f>IF([3]Entry!$R$1947="","",[3]Entry!$R$1947)</f>
        <v/>
      </c>
    </row>
    <row r="1945">
      <c r="T1945">
        <f>IF([2]Baskol!$B$1948="","",[2]Baskol!$B$1948)</f>
        <v/>
      </c>
      <c r="U1945">
        <f>IF([2]Baskol!$C$1948="","",[2]Baskol!$C$1948)</f>
        <v/>
      </c>
      <c r="V1945">
        <f>IF([2]Baskol!$D$1948="","",[2]Baskol!$D$1948)</f>
        <v/>
      </c>
      <c r="W1945">
        <f>IF([2]Baskol!$E$1948="","",[2]Baskol!$E$1948)</f>
        <v/>
      </c>
      <c r="X1945">
        <f>IF([2]Baskol!$G$1948="","",[2]Baskol!$G$1948)</f>
        <v/>
      </c>
      <c r="Y1945">
        <f>IF([2]Baskol!$I$1948="","",[2]Baskol!$I$1948)</f>
        <v/>
      </c>
      <c r="Z1945">
        <f>IF([2]Baskol!$J$1948="","",[2]Baskol!$J$1948)</f>
        <v/>
      </c>
      <c r="AA1945">
        <f>IF([2]Baskol!$K$1948="","",[2]Baskol!$K$1948)</f>
        <v/>
      </c>
      <c r="AB1945">
        <f>IF([2]Baskol!$L$1948="","",[2]Baskol!$L$1948)</f>
        <v/>
      </c>
      <c r="AC1945">
        <f>IF([2]Baskol!$N$1948="","",[2]Baskol!$N$1948)</f>
        <v/>
      </c>
      <c r="AD1945">
        <f>IF([2]Baskol!$O$1948="","",[2]Baskol!$O$1948)</f>
        <v/>
      </c>
      <c r="AE1945">
        <f>IF([3]Entry!$C$1948="","",[3]Entry!$C$1948)</f>
        <v/>
      </c>
      <c r="AF1945">
        <f>IF([3]Entry!$D$1948="","",[3]Entry!$D$1948)</f>
        <v/>
      </c>
      <c r="AG1945">
        <f>IF([3]Entry!$E$1948="","",[3]Entry!$E$1948)</f>
        <v/>
      </c>
      <c r="AH1945">
        <f>IF([3]Entry!$G$1948="","",[3]Entry!$G$1948)</f>
        <v/>
      </c>
      <c r="AI1945">
        <f>IF([3]Entry!$K$1948="","",[3]Entry!$K$1948)</f>
        <v/>
      </c>
      <c r="AJ1945">
        <f>IF([3]Entry!$L$1948="","",[3]Entry!$L$1948)</f>
        <v/>
      </c>
      <c r="AK1945">
        <f>IF([3]Entry!$M$1948="","",[3]Entry!$M$1948)</f>
        <v/>
      </c>
      <c r="AL1945">
        <f>IF([3]Entry!$N$1948="","",[3]Entry!$N$1948)</f>
        <v/>
      </c>
      <c r="AM1945">
        <f>IF([3]Entry!$R$1948="","",[3]Entry!$R$1948)</f>
        <v/>
      </c>
    </row>
    <row r="1946">
      <c r="T1946">
        <f>IF([2]Baskol!$B$1949="","",[2]Baskol!$B$1949)</f>
        <v/>
      </c>
      <c r="U1946">
        <f>IF([2]Baskol!$C$1949="","",[2]Baskol!$C$1949)</f>
        <v/>
      </c>
      <c r="V1946">
        <f>IF([2]Baskol!$D$1949="","",[2]Baskol!$D$1949)</f>
        <v/>
      </c>
      <c r="W1946">
        <f>IF([2]Baskol!$E$1949="","",[2]Baskol!$E$1949)</f>
        <v/>
      </c>
      <c r="X1946">
        <f>IF([2]Baskol!$G$1949="","",[2]Baskol!$G$1949)</f>
        <v/>
      </c>
      <c r="Y1946">
        <f>IF([2]Baskol!$I$1949="","",[2]Baskol!$I$1949)</f>
        <v/>
      </c>
      <c r="Z1946">
        <f>IF([2]Baskol!$J$1949="","",[2]Baskol!$J$1949)</f>
        <v/>
      </c>
      <c r="AA1946">
        <f>IF([2]Baskol!$K$1949="","",[2]Baskol!$K$1949)</f>
        <v/>
      </c>
      <c r="AB1946">
        <f>IF([2]Baskol!$L$1949="","",[2]Baskol!$L$1949)</f>
        <v/>
      </c>
      <c r="AC1946">
        <f>IF([2]Baskol!$N$1949="","",[2]Baskol!$N$1949)</f>
        <v/>
      </c>
      <c r="AD1946">
        <f>IF([2]Baskol!$O$1949="","",[2]Baskol!$O$1949)</f>
        <v/>
      </c>
      <c r="AE1946">
        <f>IF([3]Entry!$C$1949="","",[3]Entry!$C$1949)</f>
        <v/>
      </c>
      <c r="AF1946">
        <f>IF([3]Entry!$D$1949="","",[3]Entry!$D$1949)</f>
        <v/>
      </c>
      <c r="AG1946">
        <f>IF([3]Entry!$E$1949="","",[3]Entry!$E$1949)</f>
        <v/>
      </c>
      <c r="AH1946">
        <f>IF([3]Entry!$G$1949="","",[3]Entry!$G$1949)</f>
        <v/>
      </c>
      <c r="AI1946">
        <f>IF([3]Entry!$K$1949="","",[3]Entry!$K$1949)</f>
        <v/>
      </c>
      <c r="AJ1946">
        <f>IF([3]Entry!$L$1949="","",[3]Entry!$L$1949)</f>
        <v/>
      </c>
      <c r="AK1946">
        <f>IF([3]Entry!$M$1949="","",[3]Entry!$M$1949)</f>
        <v/>
      </c>
      <c r="AL1946">
        <f>IF([3]Entry!$N$1949="","",[3]Entry!$N$1949)</f>
        <v/>
      </c>
      <c r="AM1946">
        <f>IF([3]Entry!$R$1949="","",[3]Entry!$R$1949)</f>
        <v/>
      </c>
    </row>
    <row r="1947">
      <c r="T1947">
        <f>IF([2]Baskol!$B$1950="","",[2]Baskol!$B$1950)</f>
        <v/>
      </c>
      <c r="U1947">
        <f>IF([2]Baskol!$C$1950="","",[2]Baskol!$C$1950)</f>
        <v/>
      </c>
      <c r="V1947">
        <f>IF([2]Baskol!$D$1950="","",[2]Baskol!$D$1950)</f>
        <v/>
      </c>
      <c r="W1947">
        <f>IF([2]Baskol!$E$1950="","",[2]Baskol!$E$1950)</f>
        <v/>
      </c>
      <c r="X1947">
        <f>IF([2]Baskol!$G$1950="","",[2]Baskol!$G$1950)</f>
        <v/>
      </c>
      <c r="Y1947">
        <f>IF([2]Baskol!$I$1950="","",[2]Baskol!$I$1950)</f>
        <v/>
      </c>
      <c r="Z1947">
        <f>IF([2]Baskol!$J$1950="","",[2]Baskol!$J$1950)</f>
        <v/>
      </c>
      <c r="AA1947">
        <f>IF([2]Baskol!$K$1950="","",[2]Baskol!$K$1950)</f>
        <v/>
      </c>
      <c r="AB1947">
        <f>IF([2]Baskol!$L$1950="","",[2]Baskol!$L$1950)</f>
        <v/>
      </c>
      <c r="AC1947">
        <f>IF([2]Baskol!$N$1950="","",[2]Baskol!$N$1950)</f>
        <v/>
      </c>
      <c r="AD1947">
        <f>IF([2]Baskol!$O$1950="","",[2]Baskol!$O$1950)</f>
        <v/>
      </c>
      <c r="AE1947">
        <f>IF([3]Entry!$C$1950="","",[3]Entry!$C$1950)</f>
        <v/>
      </c>
      <c r="AF1947">
        <f>IF([3]Entry!$D$1950="","",[3]Entry!$D$1950)</f>
        <v/>
      </c>
      <c r="AG1947">
        <f>IF([3]Entry!$E$1950="","",[3]Entry!$E$1950)</f>
        <v/>
      </c>
      <c r="AH1947">
        <f>IF([3]Entry!$G$1950="","",[3]Entry!$G$1950)</f>
        <v/>
      </c>
      <c r="AI1947">
        <f>IF([3]Entry!$K$1950="","",[3]Entry!$K$1950)</f>
        <v/>
      </c>
      <c r="AJ1947">
        <f>IF([3]Entry!$L$1950="","",[3]Entry!$L$1950)</f>
        <v/>
      </c>
      <c r="AK1947">
        <f>IF([3]Entry!$M$1950="","",[3]Entry!$M$1950)</f>
        <v/>
      </c>
      <c r="AL1947">
        <f>IF([3]Entry!$N$1950="","",[3]Entry!$N$1950)</f>
        <v/>
      </c>
      <c r="AM1947">
        <f>IF([3]Entry!$R$1950="","",[3]Entry!$R$1950)</f>
        <v/>
      </c>
    </row>
    <row r="1948">
      <c r="T1948">
        <f>IF([2]Baskol!$B$1951="","",[2]Baskol!$B$1951)</f>
        <v/>
      </c>
      <c r="U1948">
        <f>IF([2]Baskol!$C$1951="","",[2]Baskol!$C$1951)</f>
        <v/>
      </c>
      <c r="V1948">
        <f>IF([2]Baskol!$D$1951="","",[2]Baskol!$D$1951)</f>
        <v/>
      </c>
      <c r="W1948">
        <f>IF([2]Baskol!$E$1951="","",[2]Baskol!$E$1951)</f>
        <v/>
      </c>
      <c r="X1948">
        <f>IF([2]Baskol!$G$1951="","",[2]Baskol!$G$1951)</f>
        <v/>
      </c>
      <c r="Y1948">
        <f>IF([2]Baskol!$I$1951="","",[2]Baskol!$I$1951)</f>
        <v/>
      </c>
      <c r="Z1948">
        <f>IF([2]Baskol!$J$1951="","",[2]Baskol!$J$1951)</f>
        <v/>
      </c>
      <c r="AA1948">
        <f>IF([2]Baskol!$K$1951="","",[2]Baskol!$K$1951)</f>
        <v/>
      </c>
      <c r="AB1948">
        <f>IF([2]Baskol!$L$1951="","",[2]Baskol!$L$1951)</f>
        <v/>
      </c>
      <c r="AC1948">
        <f>IF([2]Baskol!$N$1951="","",[2]Baskol!$N$1951)</f>
        <v/>
      </c>
      <c r="AD1948">
        <f>IF([2]Baskol!$O$1951="","",[2]Baskol!$O$1951)</f>
        <v/>
      </c>
      <c r="AE1948">
        <f>IF([3]Entry!$C$1951="","",[3]Entry!$C$1951)</f>
        <v/>
      </c>
      <c r="AF1948">
        <f>IF([3]Entry!$D$1951="","",[3]Entry!$D$1951)</f>
        <v/>
      </c>
      <c r="AG1948">
        <f>IF([3]Entry!$E$1951="","",[3]Entry!$E$1951)</f>
        <v/>
      </c>
      <c r="AH1948">
        <f>IF([3]Entry!$G$1951="","",[3]Entry!$G$1951)</f>
        <v/>
      </c>
      <c r="AI1948">
        <f>IF([3]Entry!$K$1951="","",[3]Entry!$K$1951)</f>
        <v/>
      </c>
      <c r="AJ1948">
        <f>IF([3]Entry!$L$1951="","",[3]Entry!$L$1951)</f>
        <v/>
      </c>
      <c r="AK1948">
        <f>IF([3]Entry!$M$1951="","",[3]Entry!$M$1951)</f>
        <v/>
      </c>
      <c r="AL1948">
        <f>IF([3]Entry!$N$1951="","",[3]Entry!$N$1951)</f>
        <v/>
      </c>
      <c r="AM1948">
        <f>IF([3]Entry!$R$1951="","",[3]Entry!$R$1951)</f>
        <v/>
      </c>
    </row>
    <row r="1949">
      <c r="T1949">
        <f>IF([2]Baskol!$B$1952="","",[2]Baskol!$B$1952)</f>
        <v/>
      </c>
      <c r="U1949">
        <f>IF([2]Baskol!$C$1952="","",[2]Baskol!$C$1952)</f>
        <v/>
      </c>
      <c r="V1949">
        <f>IF([2]Baskol!$D$1952="","",[2]Baskol!$D$1952)</f>
        <v/>
      </c>
      <c r="W1949">
        <f>IF([2]Baskol!$E$1952="","",[2]Baskol!$E$1952)</f>
        <v/>
      </c>
      <c r="X1949">
        <f>IF([2]Baskol!$G$1952="","",[2]Baskol!$G$1952)</f>
        <v/>
      </c>
      <c r="Y1949">
        <f>IF([2]Baskol!$I$1952="","",[2]Baskol!$I$1952)</f>
        <v/>
      </c>
      <c r="Z1949">
        <f>IF([2]Baskol!$J$1952="","",[2]Baskol!$J$1952)</f>
        <v/>
      </c>
      <c r="AA1949">
        <f>IF([2]Baskol!$K$1952="","",[2]Baskol!$K$1952)</f>
        <v/>
      </c>
      <c r="AB1949">
        <f>IF([2]Baskol!$L$1952="","",[2]Baskol!$L$1952)</f>
        <v/>
      </c>
      <c r="AC1949">
        <f>IF([2]Baskol!$N$1952="","",[2]Baskol!$N$1952)</f>
        <v/>
      </c>
      <c r="AD1949">
        <f>IF([2]Baskol!$O$1952="","",[2]Baskol!$O$1952)</f>
        <v/>
      </c>
      <c r="AE1949">
        <f>IF([3]Entry!$C$1952="","",[3]Entry!$C$1952)</f>
        <v/>
      </c>
      <c r="AF1949">
        <f>IF([3]Entry!$D$1952="","",[3]Entry!$D$1952)</f>
        <v/>
      </c>
      <c r="AG1949">
        <f>IF([3]Entry!$E$1952="","",[3]Entry!$E$1952)</f>
        <v/>
      </c>
      <c r="AH1949">
        <f>IF([3]Entry!$G$1952="","",[3]Entry!$G$1952)</f>
        <v/>
      </c>
      <c r="AI1949">
        <f>IF([3]Entry!$K$1952="","",[3]Entry!$K$1952)</f>
        <v/>
      </c>
      <c r="AJ1949">
        <f>IF([3]Entry!$L$1952="","",[3]Entry!$L$1952)</f>
        <v/>
      </c>
      <c r="AK1949">
        <f>IF([3]Entry!$M$1952="","",[3]Entry!$M$1952)</f>
        <v/>
      </c>
      <c r="AL1949">
        <f>IF([3]Entry!$N$1952="","",[3]Entry!$N$1952)</f>
        <v/>
      </c>
      <c r="AM1949">
        <f>IF([3]Entry!$R$1952="","",[3]Entry!$R$1952)</f>
        <v/>
      </c>
    </row>
    <row r="1950">
      <c r="T1950">
        <f>IF([2]Baskol!$B$1953="","",[2]Baskol!$B$1953)</f>
        <v/>
      </c>
      <c r="U1950">
        <f>IF([2]Baskol!$C$1953="","",[2]Baskol!$C$1953)</f>
        <v/>
      </c>
      <c r="V1950">
        <f>IF([2]Baskol!$D$1953="","",[2]Baskol!$D$1953)</f>
        <v/>
      </c>
      <c r="W1950">
        <f>IF([2]Baskol!$E$1953="","",[2]Baskol!$E$1953)</f>
        <v/>
      </c>
      <c r="X1950">
        <f>IF([2]Baskol!$G$1953="","",[2]Baskol!$G$1953)</f>
        <v/>
      </c>
      <c r="Y1950">
        <f>IF([2]Baskol!$I$1953="","",[2]Baskol!$I$1953)</f>
        <v/>
      </c>
      <c r="Z1950">
        <f>IF([2]Baskol!$J$1953="","",[2]Baskol!$J$1953)</f>
        <v/>
      </c>
      <c r="AA1950">
        <f>IF([2]Baskol!$K$1953="","",[2]Baskol!$K$1953)</f>
        <v/>
      </c>
      <c r="AB1950">
        <f>IF([2]Baskol!$L$1953="","",[2]Baskol!$L$1953)</f>
        <v/>
      </c>
      <c r="AC1950">
        <f>IF([2]Baskol!$N$1953="","",[2]Baskol!$N$1953)</f>
        <v/>
      </c>
      <c r="AD1950">
        <f>IF([2]Baskol!$O$1953="","",[2]Baskol!$O$1953)</f>
        <v/>
      </c>
      <c r="AE1950">
        <f>IF([3]Entry!$C$1953="","",[3]Entry!$C$1953)</f>
        <v/>
      </c>
      <c r="AF1950">
        <f>IF([3]Entry!$D$1953="","",[3]Entry!$D$1953)</f>
        <v/>
      </c>
      <c r="AG1950">
        <f>IF([3]Entry!$E$1953="","",[3]Entry!$E$1953)</f>
        <v/>
      </c>
      <c r="AH1950">
        <f>IF([3]Entry!$G$1953="","",[3]Entry!$G$1953)</f>
        <v/>
      </c>
      <c r="AI1950">
        <f>IF([3]Entry!$K$1953="","",[3]Entry!$K$1953)</f>
        <v/>
      </c>
      <c r="AJ1950">
        <f>IF([3]Entry!$L$1953="","",[3]Entry!$L$1953)</f>
        <v/>
      </c>
      <c r="AK1950">
        <f>IF([3]Entry!$M$1953="","",[3]Entry!$M$1953)</f>
        <v/>
      </c>
      <c r="AL1950">
        <f>IF([3]Entry!$N$1953="","",[3]Entry!$N$1953)</f>
        <v/>
      </c>
      <c r="AM1950">
        <f>IF([3]Entry!$R$1953="","",[3]Entry!$R$1953)</f>
        <v/>
      </c>
    </row>
    <row r="1951">
      <c r="T1951">
        <f>IF([2]Baskol!$B$1954="","",[2]Baskol!$B$1954)</f>
        <v/>
      </c>
      <c r="U1951">
        <f>IF([2]Baskol!$C$1954="","",[2]Baskol!$C$1954)</f>
        <v/>
      </c>
      <c r="V1951">
        <f>IF([2]Baskol!$D$1954="","",[2]Baskol!$D$1954)</f>
        <v/>
      </c>
      <c r="W1951">
        <f>IF([2]Baskol!$E$1954="","",[2]Baskol!$E$1954)</f>
        <v/>
      </c>
      <c r="X1951">
        <f>IF([2]Baskol!$G$1954="","",[2]Baskol!$G$1954)</f>
        <v/>
      </c>
      <c r="Y1951">
        <f>IF([2]Baskol!$I$1954="","",[2]Baskol!$I$1954)</f>
        <v/>
      </c>
      <c r="Z1951">
        <f>IF([2]Baskol!$J$1954="","",[2]Baskol!$J$1954)</f>
        <v/>
      </c>
      <c r="AA1951">
        <f>IF([2]Baskol!$K$1954="","",[2]Baskol!$K$1954)</f>
        <v/>
      </c>
      <c r="AB1951">
        <f>IF([2]Baskol!$L$1954="","",[2]Baskol!$L$1954)</f>
        <v/>
      </c>
      <c r="AC1951">
        <f>IF([2]Baskol!$N$1954="","",[2]Baskol!$N$1954)</f>
        <v/>
      </c>
      <c r="AD1951">
        <f>IF([2]Baskol!$O$1954="","",[2]Baskol!$O$1954)</f>
        <v/>
      </c>
      <c r="AE1951">
        <f>IF([3]Entry!$C$1954="","",[3]Entry!$C$1954)</f>
        <v/>
      </c>
      <c r="AF1951">
        <f>IF([3]Entry!$D$1954="","",[3]Entry!$D$1954)</f>
        <v/>
      </c>
      <c r="AG1951">
        <f>IF([3]Entry!$E$1954="","",[3]Entry!$E$1954)</f>
        <v/>
      </c>
      <c r="AH1951">
        <f>IF([3]Entry!$G$1954="","",[3]Entry!$G$1954)</f>
        <v/>
      </c>
      <c r="AI1951">
        <f>IF([3]Entry!$K$1954="","",[3]Entry!$K$1954)</f>
        <v/>
      </c>
      <c r="AJ1951">
        <f>IF([3]Entry!$L$1954="","",[3]Entry!$L$1954)</f>
        <v/>
      </c>
      <c r="AK1951">
        <f>IF([3]Entry!$M$1954="","",[3]Entry!$M$1954)</f>
        <v/>
      </c>
      <c r="AL1951">
        <f>IF([3]Entry!$N$1954="","",[3]Entry!$N$1954)</f>
        <v/>
      </c>
      <c r="AM1951">
        <f>IF([3]Entry!$R$1954="","",[3]Entry!$R$1954)</f>
        <v/>
      </c>
    </row>
    <row r="1952">
      <c r="T1952">
        <f>IF([2]Baskol!$B$1955="","",[2]Baskol!$B$1955)</f>
        <v/>
      </c>
      <c r="U1952">
        <f>IF([2]Baskol!$C$1955="","",[2]Baskol!$C$1955)</f>
        <v/>
      </c>
      <c r="V1952">
        <f>IF([2]Baskol!$D$1955="","",[2]Baskol!$D$1955)</f>
        <v/>
      </c>
      <c r="W1952">
        <f>IF([2]Baskol!$E$1955="","",[2]Baskol!$E$1955)</f>
        <v/>
      </c>
      <c r="X1952">
        <f>IF([2]Baskol!$G$1955="","",[2]Baskol!$G$1955)</f>
        <v/>
      </c>
      <c r="Y1952">
        <f>IF([2]Baskol!$I$1955="","",[2]Baskol!$I$1955)</f>
        <v/>
      </c>
      <c r="Z1952">
        <f>IF([2]Baskol!$J$1955="","",[2]Baskol!$J$1955)</f>
        <v/>
      </c>
      <c r="AA1952">
        <f>IF([2]Baskol!$K$1955="","",[2]Baskol!$K$1955)</f>
        <v/>
      </c>
      <c r="AB1952">
        <f>IF([2]Baskol!$L$1955="","",[2]Baskol!$L$1955)</f>
        <v/>
      </c>
      <c r="AC1952">
        <f>IF([2]Baskol!$N$1955="","",[2]Baskol!$N$1955)</f>
        <v/>
      </c>
      <c r="AD1952">
        <f>IF([2]Baskol!$O$1955="","",[2]Baskol!$O$1955)</f>
        <v/>
      </c>
      <c r="AE1952">
        <f>IF([3]Entry!$C$1955="","",[3]Entry!$C$1955)</f>
        <v/>
      </c>
      <c r="AF1952">
        <f>IF([3]Entry!$D$1955="","",[3]Entry!$D$1955)</f>
        <v/>
      </c>
      <c r="AG1952">
        <f>IF([3]Entry!$E$1955="","",[3]Entry!$E$1955)</f>
        <v/>
      </c>
      <c r="AH1952">
        <f>IF([3]Entry!$G$1955="","",[3]Entry!$G$1955)</f>
        <v/>
      </c>
      <c r="AI1952">
        <f>IF([3]Entry!$K$1955="","",[3]Entry!$K$1955)</f>
        <v/>
      </c>
      <c r="AJ1952">
        <f>IF([3]Entry!$L$1955="","",[3]Entry!$L$1955)</f>
        <v/>
      </c>
      <c r="AK1952">
        <f>IF([3]Entry!$M$1955="","",[3]Entry!$M$1955)</f>
        <v/>
      </c>
      <c r="AL1952">
        <f>IF([3]Entry!$N$1955="","",[3]Entry!$N$1955)</f>
        <v/>
      </c>
      <c r="AM1952">
        <f>IF([3]Entry!$R$1955="","",[3]Entry!$R$1955)</f>
        <v/>
      </c>
    </row>
    <row r="1953">
      <c r="T1953">
        <f>IF([2]Baskol!$B$1956="","",[2]Baskol!$B$1956)</f>
        <v/>
      </c>
      <c r="U1953">
        <f>IF([2]Baskol!$C$1956="","",[2]Baskol!$C$1956)</f>
        <v/>
      </c>
      <c r="V1953">
        <f>IF([2]Baskol!$D$1956="","",[2]Baskol!$D$1956)</f>
        <v/>
      </c>
      <c r="W1953">
        <f>IF([2]Baskol!$E$1956="","",[2]Baskol!$E$1956)</f>
        <v/>
      </c>
      <c r="X1953">
        <f>IF([2]Baskol!$G$1956="","",[2]Baskol!$G$1956)</f>
        <v/>
      </c>
      <c r="Y1953">
        <f>IF([2]Baskol!$I$1956="","",[2]Baskol!$I$1956)</f>
        <v/>
      </c>
      <c r="Z1953">
        <f>IF([2]Baskol!$J$1956="","",[2]Baskol!$J$1956)</f>
        <v/>
      </c>
      <c r="AA1953">
        <f>IF([2]Baskol!$K$1956="","",[2]Baskol!$K$1956)</f>
        <v/>
      </c>
      <c r="AB1953">
        <f>IF([2]Baskol!$L$1956="","",[2]Baskol!$L$1956)</f>
        <v/>
      </c>
      <c r="AC1953">
        <f>IF([2]Baskol!$N$1956="","",[2]Baskol!$N$1956)</f>
        <v/>
      </c>
      <c r="AD1953">
        <f>IF([2]Baskol!$O$1956="","",[2]Baskol!$O$1956)</f>
        <v/>
      </c>
      <c r="AE1953">
        <f>IF([3]Entry!$C$1956="","",[3]Entry!$C$1956)</f>
        <v/>
      </c>
      <c r="AF1953">
        <f>IF([3]Entry!$D$1956="","",[3]Entry!$D$1956)</f>
        <v/>
      </c>
      <c r="AG1953">
        <f>IF([3]Entry!$E$1956="","",[3]Entry!$E$1956)</f>
        <v/>
      </c>
      <c r="AH1953">
        <f>IF([3]Entry!$G$1956="","",[3]Entry!$G$1956)</f>
        <v/>
      </c>
      <c r="AI1953">
        <f>IF([3]Entry!$K$1956="","",[3]Entry!$K$1956)</f>
        <v/>
      </c>
      <c r="AJ1953">
        <f>IF([3]Entry!$L$1956="","",[3]Entry!$L$1956)</f>
        <v/>
      </c>
      <c r="AK1953">
        <f>IF([3]Entry!$M$1956="","",[3]Entry!$M$1956)</f>
        <v/>
      </c>
      <c r="AL1953">
        <f>IF([3]Entry!$N$1956="","",[3]Entry!$N$1956)</f>
        <v/>
      </c>
      <c r="AM1953">
        <f>IF([3]Entry!$R$1956="","",[3]Entry!$R$1956)</f>
        <v/>
      </c>
    </row>
    <row r="1954">
      <c r="T1954">
        <f>IF([2]Baskol!$B$1957="","",[2]Baskol!$B$1957)</f>
        <v/>
      </c>
      <c r="U1954">
        <f>IF([2]Baskol!$C$1957="","",[2]Baskol!$C$1957)</f>
        <v/>
      </c>
      <c r="V1954">
        <f>IF([2]Baskol!$D$1957="","",[2]Baskol!$D$1957)</f>
        <v/>
      </c>
      <c r="W1954">
        <f>IF([2]Baskol!$E$1957="","",[2]Baskol!$E$1957)</f>
        <v/>
      </c>
      <c r="X1954">
        <f>IF([2]Baskol!$G$1957="","",[2]Baskol!$G$1957)</f>
        <v/>
      </c>
      <c r="Y1954">
        <f>IF([2]Baskol!$I$1957="","",[2]Baskol!$I$1957)</f>
        <v/>
      </c>
      <c r="Z1954">
        <f>IF([2]Baskol!$J$1957="","",[2]Baskol!$J$1957)</f>
        <v/>
      </c>
      <c r="AA1954">
        <f>IF([2]Baskol!$K$1957="","",[2]Baskol!$K$1957)</f>
        <v/>
      </c>
      <c r="AB1954">
        <f>IF([2]Baskol!$L$1957="","",[2]Baskol!$L$1957)</f>
        <v/>
      </c>
      <c r="AC1954">
        <f>IF([2]Baskol!$N$1957="","",[2]Baskol!$N$1957)</f>
        <v/>
      </c>
      <c r="AD1954">
        <f>IF([2]Baskol!$O$1957="","",[2]Baskol!$O$1957)</f>
        <v/>
      </c>
      <c r="AE1954">
        <f>IF([3]Entry!$C$1957="","",[3]Entry!$C$1957)</f>
        <v/>
      </c>
      <c r="AF1954">
        <f>IF([3]Entry!$D$1957="","",[3]Entry!$D$1957)</f>
        <v/>
      </c>
      <c r="AG1954">
        <f>IF([3]Entry!$E$1957="","",[3]Entry!$E$1957)</f>
        <v/>
      </c>
      <c r="AH1954">
        <f>IF([3]Entry!$G$1957="","",[3]Entry!$G$1957)</f>
        <v/>
      </c>
      <c r="AI1954">
        <f>IF([3]Entry!$K$1957="","",[3]Entry!$K$1957)</f>
        <v/>
      </c>
      <c r="AJ1954">
        <f>IF([3]Entry!$L$1957="","",[3]Entry!$L$1957)</f>
        <v/>
      </c>
      <c r="AK1954">
        <f>IF([3]Entry!$M$1957="","",[3]Entry!$M$1957)</f>
        <v/>
      </c>
      <c r="AL1954">
        <f>IF([3]Entry!$N$1957="","",[3]Entry!$N$1957)</f>
        <v/>
      </c>
      <c r="AM1954">
        <f>IF([3]Entry!$R$1957="","",[3]Entry!$R$1957)</f>
        <v/>
      </c>
    </row>
    <row r="1955">
      <c r="T1955">
        <f>IF([2]Baskol!$B$1958="","",[2]Baskol!$B$1958)</f>
        <v/>
      </c>
      <c r="U1955">
        <f>IF([2]Baskol!$C$1958="","",[2]Baskol!$C$1958)</f>
        <v/>
      </c>
      <c r="V1955">
        <f>IF([2]Baskol!$D$1958="","",[2]Baskol!$D$1958)</f>
        <v/>
      </c>
      <c r="W1955">
        <f>IF([2]Baskol!$E$1958="","",[2]Baskol!$E$1958)</f>
        <v/>
      </c>
      <c r="X1955">
        <f>IF([2]Baskol!$G$1958="","",[2]Baskol!$G$1958)</f>
        <v/>
      </c>
      <c r="Y1955">
        <f>IF([2]Baskol!$I$1958="","",[2]Baskol!$I$1958)</f>
        <v/>
      </c>
      <c r="Z1955">
        <f>IF([2]Baskol!$J$1958="","",[2]Baskol!$J$1958)</f>
        <v/>
      </c>
      <c r="AA1955">
        <f>IF([2]Baskol!$K$1958="","",[2]Baskol!$K$1958)</f>
        <v/>
      </c>
      <c r="AB1955">
        <f>IF([2]Baskol!$L$1958="","",[2]Baskol!$L$1958)</f>
        <v/>
      </c>
      <c r="AC1955">
        <f>IF([2]Baskol!$N$1958="","",[2]Baskol!$N$1958)</f>
        <v/>
      </c>
      <c r="AD1955">
        <f>IF([2]Baskol!$O$1958="","",[2]Baskol!$O$1958)</f>
        <v/>
      </c>
      <c r="AE1955">
        <f>IF([3]Entry!$C$1958="","",[3]Entry!$C$1958)</f>
        <v/>
      </c>
      <c r="AF1955">
        <f>IF([3]Entry!$D$1958="","",[3]Entry!$D$1958)</f>
        <v/>
      </c>
      <c r="AG1955">
        <f>IF([3]Entry!$E$1958="","",[3]Entry!$E$1958)</f>
        <v/>
      </c>
      <c r="AH1955">
        <f>IF([3]Entry!$G$1958="","",[3]Entry!$G$1958)</f>
        <v/>
      </c>
      <c r="AI1955">
        <f>IF([3]Entry!$K$1958="","",[3]Entry!$K$1958)</f>
        <v/>
      </c>
      <c r="AJ1955">
        <f>IF([3]Entry!$L$1958="","",[3]Entry!$L$1958)</f>
        <v/>
      </c>
      <c r="AK1955">
        <f>IF([3]Entry!$M$1958="","",[3]Entry!$M$1958)</f>
        <v/>
      </c>
      <c r="AL1955">
        <f>IF([3]Entry!$N$1958="","",[3]Entry!$N$1958)</f>
        <v/>
      </c>
      <c r="AM1955">
        <f>IF([3]Entry!$R$1958="","",[3]Entry!$R$1958)</f>
        <v/>
      </c>
    </row>
    <row r="1956">
      <c r="T1956">
        <f>IF([2]Baskol!$B$1959="","",[2]Baskol!$B$1959)</f>
        <v/>
      </c>
      <c r="U1956">
        <f>IF([2]Baskol!$C$1959="","",[2]Baskol!$C$1959)</f>
        <v/>
      </c>
      <c r="V1956">
        <f>IF([2]Baskol!$D$1959="","",[2]Baskol!$D$1959)</f>
        <v/>
      </c>
      <c r="W1956">
        <f>IF([2]Baskol!$E$1959="","",[2]Baskol!$E$1959)</f>
        <v/>
      </c>
      <c r="X1956">
        <f>IF([2]Baskol!$G$1959="","",[2]Baskol!$G$1959)</f>
        <v/>
      </c>
      <c r="Y1956">
        <f>IF([2]Baskol!$I$1959="","",[2]Baskol!$I$1959)</f>
        <v/>
      </c>
      <c r="Z1956">
        <f>IF([2]Baskol!$J$1959="","",[2]Baskol!$J$1959)</f>
        <v/>
      </c>
      <c r="AA1956">
        <f>IF([2]Baskol!$K$1959="","",[2]Baskol!$K$1959)</f>
        <v/>
      </c>
      <c r="AB1956">
        <f>IF([2]Baskol!$L$1959="","",[2]Baskol!$L$1959)</f>
        <v/>
      </c>
      <c r="AC1956">
        <f>IF([2]Baskol!$N$1959="","",[2]Baskol!$N$1959)</f>
        <v/>
      </c>
      <c r="AD1956">
        <f>IF([2]Baskol!$O$1959="","",[2]Baskol!$O$1959)</f>
        <v/>
      </c>
      <c r="AE1956">
        <f>IF([3]Entry!$C$1959="","",[3]Entry!$C$1959)</f>
        <v/>
      </c>
      <c r="AF1956">
        <f>IF([3]Entry!$D$1959="","",[3]Entry!$D$1959)</f>
        <v/>
      </c>
      <c r="AG1956">
        <f>IF([3]Entry!$E$1959="","",[3]Entry!$E$1959)</f>
        <v/>
      </c>
      <c r="AH1956">
        <f>IF([3]Entry!$G$1959="","",[3]Entry!$G$1959)</f>
        <v/>
      </c>
      <c r="AI1956">
        <f>IF([3]Entry!$K$1959="","",[3]Entry!$K$1959)</f>
        <v/>
      </c>
      <c r="AJ1956">
        <f>IF([3]Entry!$L$1959="","",[3]Entry!$L$1959)</f>
        <v/>
      </c>
      <c r="AK1956">
        <f>IF([3]Entry!$M$1959="","",[3]Entry!$M$1959)</f>
        <v/>
      </c>
      <c r="AL1956">
        <f>IF([3]Entry!$N$1959="","",[3]Entry!$N$1959)</f>
        <v/>
      </c>
      <c r="AM1956">
        <f>IF([3]Entry!$R$1959="","",[3]Entry!$R$1959)</f>
        <v/>
      </c>
    </row>
    <row r="1957">
      <c r="T1957">
        <f>IF([2]Baskol!$B$1960="","",[2]Baskol!$B$1960)</f>
        <v/>
      </c>
      <c r="U1957">
        <f>IF([2]Baskol!$C$1960="","",[2]Baskol!$C$1960)</f>
        <v/>
      </c>
      <c r="V1957">
        <f>IF([2]Baskol!$D$1960="","",[2]Baskol!$D$1960)</f>
        <v/>
      </c>
      <c r="W1957">
        <f>IF([2]Baskol!$E$1960="","",[2]Baskol!$E$1960)</f>
        <v/>
      </c>
      <c r="X1957">
        <f>IF([2]Baskol!$G$1960="","",[2]Baskol!$G$1960)</f>
        <v/>
      </c>
      <c r="Y1957">
        <f>IF([2]Baskol!$I$1960="","",[2]Baskol!$I$1960)</f>
        <v/>
      </c>
      <c r="Z1957">
        <f>IF([2]Baskol!$J$1960="","",[2]Baskol!$J$1960)</f>
        <v/>
      </c>
      <c r="AA1957">
        <f>IF([2]Baskol!$K$1960="","",[2]Baskol!$K$1960)</f>
        <v/>
      </c>
      <c r="AB1957">
        <f>IF([2]Baskol!$L$1960="","",[2]Baskol!$L$1960)</f>
        <v/>
      </c>
      <c r="AC1957">
        <f>IF([2]Baskol!$N$1960="","",[2]Baskol!$N$1960)</f>
        <v/>
      </c>
      <c r="AD1957">
        <f>IF([2]Baskol!$O$1960="","",[2]Baskol!$O$1960)</f>
        <v/>
      </c>
      <c r="AE1957">
        <f>IF([3]Entry!$C$1960="","",[3]Entry!$C$1960)</f>
        <v/>
      </c>
      <c r="AF1957">
        <f>IF([3]Entry!$D$1960="","",[3]Entry!$D$1960)</f>
        <v/>
      </c>
      <c r="AG1957">
        <f>IF([3]Entry!$E$1960="","",[3]Entry!$E$1960)</f>
        <v/>
      </c>
      <c r="AH1957">
        <f>IF([3]Entry!$G$1960="","",[3]Entry!$G$1960)</f>
        <v/>
      </c>
      <c r="AI1957">
        <f>IF([3]Entry!$K$1960="","",[3]Entry!$K$1960)</f>
        <v/>
      </c>
      <c r="AJ1957">
        <f>IF([3]Entry!$L$1960="","",[3]Entry!$L$1960)</f>
        <v/>
      </c>
      <c r="AK1957">
        <f>IF([3]Entry!$M$1960="","",[3]Entry!$M$1960)</f>
        <v/>
      </c>
      <c r="AL1957">
        <f>IF([3]Entry!$N$1960="","",[3]Entry!$N$1960)</f>
        <v/>
      </c>
      <c r="AM1957">
        <f>IF([3]Entry!$R$1960="","",[3]Entry!$R$1960)</f>
        <v/>
      </c>
    </row>
    <row r="1958">
      <c r="T1958">
        <f>IF([2]Baskol!$B$1961="","",[2]Baskol!$B$1961)</f>
        <v/>
      </c>
      <c r="U1958">
        <f>IF([2]Baskol!$C$1961="","",[2]Baskol!$C$1961)</f>
        <v/>
      </c>
      <c r="V1958">
        <f>IF([2]Baskol!$D$1961="","",[2]Baskol!$D$1961)</f>
        <v/>
      </c>
      <c r="W1958">
        <f>IF([2]Baskol!$E$1961="","",[2]Baskol!$E$1961)</f>
        <v/>
      </c>
      <c r="X1958">
        <f>IF([2]Baskol!$G$1961="","",[2]Baskol!$G$1961)</f>
        <v/>
      </c>
      <c r="Y1958">
        <f>IF([2]Baskol!$I$1961="","",[2]Baskol!$I$1961)</f>
        <v/>
      </c>
      <c r="Z1958">
        <f>IF([2]Baskol!$J$1961="","",[2]Baskol!$J$1961)</f>
        <v/>
      </c>
      <c r="AA1958">
        <f>IF([2]Baskol!$K$1961="","",[2]Baskol!$K$1961)</f>
        <v/>
      </c>
      <c r="AB1958">
        <f>IF([2]Baskol!$L$1961="","",[2]Baskol!$L$1961)</f>
        <v/>
      </c>
      <c r="AC1958">
        <f>IF([2]Baskol!$N$1961="","",[2]Baskol!$N$1961)</f>
        <v/>
      </c>
      <c r="AD1958">
        <f>IF([2]Baskol!$O$1961="","",[2]Baskol!$O$1961)</f>
        <v/>
      </c>
      <c r="AE1958">
        <f>IF([3]Entry!$C$1961="","",[3]Entry!$C$1961)</f>
        <v/>
      </c>
      <c r="AF1958">
        <f>IF([3]Entry!$D$1961="","",[3]Entry!$D$1961)</f>
        <v/>
      </c>
      <c r="AG1958">
        <f>IF([3]Entry!$E$1961="","",[3]Entry!$E$1961)</f>
        <v/>
      </c>
      <c r="AH1958">
        <f>IF([3]Entry!$G$1961="","",[3]Entry!$G$1961)</f>
        <v/>
      </c>
      <c r="AI1958">
        <f>IF([3]Entry!$K$1961="","",[3]Entry!$K$1961)</f>
        <v/>
      </c>
      <c r="AJ1958">
        <f>IF([3]Entry!$L$1961="","",[3]Entry!$L$1961)</f>
        <v/>
      </c>
      <c r="AK1958">
        <f>IF([3]Entry!$M$1961="","",[3]Entry!$M$1961)</f>
        <v/>
      </c>
      <c r="AL1958">
        <f>IF([3]Entry!$N$1961="","",[3]Entry!$N$1961)</f>
        <v/>
      </c>
      <c r="AM1958">
        <f>IF([3]Entry!$R$1961="","",[3]Entry!$R$1961)</f>
        <v/>
      </c>
    </row>
    <row r="1959">
      <c r="T1959">
        <f>IF([2]Baskol!$B$1962="","",[2]Baskol!$B$1962)</f>
        <v/>
      </c>
      <c r="U1959">
        <f>IF([2]Baskol!$C$1962="","",[2]Baskol!$C$1962)</f>
        <v/>
      </c>
      <c r="V1959">
        <f>IF([2]Baskol!$D$1962="","",[2]Baskol!$D$1962)</f>
        <v/>
      </c>
      <c r="W1959">
        <f>IF([2]Baskol!$E$1962="","",[2]Baskol!$E$1962)</f>
        <v/>
      </c>
      <c r="X1959">
        <f>IF([2]Baskol!$G$1962="","",[2]Baskol!$G$1962)</f>
        <v/>
      </c>
      <c r="Y1959">
        <f>IF([2]Baskol!$I$1962="","",[2]Baskol!$I$1962)</f>
        <v/>
      </c>
      <c r="Z1959">
        <f>IF([2]Baskol!$J$1962="","",[2]Baskol!$J$1962)</f>
        <v/>
      </c>
      <c r="AA1959">
        <f>IF([2]Baskol!$K$1962="","",[2]Baskol!$K$1962)</f>
        <v/>
      </c>
      <c r="AB1959">
        <f>IF([2]Baskol!$L$1962="","",[2]Baskol!$L$1962)</f>
        <v/>
      </c>
      <c r="AC1959">
        <f>IF([2]Baskol!$N$1962="","",[2]Baskol!$N$1962)</f>
        <v/>
      </c>
      <c r="AD1959">
        <f>IF([2]Baskol!$O$1962="","",[2]Baskol!$O$1962)</f>
        <v/>
      </c>
      <c r="AE1959">
        <f>IF([3]Entry!$C$1962="","",[3]Entry!$C$1962)</f>
        <v/>
      </c>
      <c r="AF1959">
        <f>IF([3]Entry!$D$1962="","",[3]Entry!$D$1962)</f>
        <v/>
      </c>
      <c r="AG1959">
        <f>IF([3]Entry!$E$1962="","",[3]Entry!$E$1962)</f>
        <v/>
      </c>
      <c r="AH1959">
        <f>IF([3]Entry!$G$1962="","",[3]Entry!$G$1962)</f>
        <v/>
      </c>
      <c r="AI1959">
        <f>IF([3]Entry!$K$1962="","",[3]Entry!$K$1962)</f>
        <v/>
      </c>
      <c r="AJ1959">
        <f>IF([3]Entry!$L$1962="","",[3]Entry!$L$1962)</f>
        <v/>
      </c>
      <c r="AK1959">
        <f>IF([3]Entry!$M$1962="","",[3]Entry!$M$1962)</f>
        <v/>
      </c>
      <c r="AL1959">
        <f>IF([3]Entry!$N$1962="","",[3]Entry!$N$1962)</f>
        <v/>
      </c>
      <c r="AM1959">
        <f>IF([3]Entry!$R$1962="","",[3]Entry!$R$1962)</f>
        <v/>
      </c>
    </row>
    <row r="1960">
      <c r="T1960">
        <f>IF([2]Baskol!$B$1963="","",[2]Baskol!$B$1963)</f>
        <v/>
      </c>
      <c r="U1960">
        <f>IF([2]Baskol!$C$1963="","",[2]Baskol!$C$1963)</f>
        <v/>
      </c>
      <c r="V1960">
        <f>IF([2]Baskol!$D$1963="","",[2]Baskol!$D$1963)</f>
        <v/>
      </c>
      <c r="W1960">
        <f>IF([2]Baskol!$E$1963="","",[2]Baskol!$E$1963)</f>
        <v/>
      </c>
      <c r="X1960">
        <f>IF([2]Baskol!$G$1963="","",[2]Baskol!$G$1963)</f>
        <v/>
      </c>
      <c r="Y1960">
        <f>IF([2]Baskol!$I$1963="","",[2]Baskol!$I$1963)</f>
        <v/>
      </c>
      <c r="Z1960">
        <f>IF([2]Baskol!$J$1963="","",[2]Baskol!$J$1963)</f>
        <v/>
      </c>
      <c r="AA1960">
        <f>IF([2]Baskol!$K$1963="","",[2]Baskol!$K$1963)</f>
        <v/>
      </c>
      <c r="AB1960">
        <f>IF([2]Baskol!$L$1963="","",[2]Baskol!$L$1963)</f>
        <v/>
      </c>
      <c r="AC1960">
        <f>IF([2]Baskol!$N$1963="","",[2]Baskol!$N$1963)</f>
        <v/>
      </c>
      <c r="AD1960">
        <f>IF([2]Baskol!$O$1963="","",[2]Baskol!$O$1963)</f>
        <v/>
      </c>
      <c r="AE1960">
        <f>IF([3]Entry!$C$1963="","",[3]Entry!$C$1963)</f>
        <v/>
      </c>
      <c r="AF1960">
        <f>IF([3]Entry!$D$1963="","",[3]Entry!$D$1963)</f>
        <v/>
      </c>
      <c r="AG1960">
        <f>IF([3]Entry!$E$1963="","",[3]Entry!$E$1963)</f>
        <v/>
      </c>
      <c r="AH1960">
        <f>IF([3]Entry!$G$1963="","",[3]Entry!$G$1963)</f>
        <v/>
      </c>
      <c r="AI1960">
        <f>IF([3]Entry!$K$1963="","",[3]Entry!$K$1963)</f>
        <v/>
      </c>
      <c r="AJ1960">
        <f>IF([3]Entry!$L$1963="","",[3]Entry!$L$1963)</f>
        <v/>
      </c>
      <c r="AK1960">
        <f>IF([3]Entry!$M$1963="","",[3]Entry!$M$1963)</f>
        <v/>
      </c>
      <c r="AL1960">
        <f>IF([3]Entry!$N$1963="","",[3]Entry!$N$1963)</f>
        <v/>
      </c>
      <c r="AM1960">
        <f>IF([3]Entry!$R$1963="","",[3]Entry!$R$1963)</f>
        <v/>
      </c>
    </row>
    <row r="1961">
      <c r="T1961">
        <f>IF([2]Baskol!$B$1964="","",[2]Baskol!$B$1964)</f>
        <v/>
      </c>
      <c r="U1961">
        <f>IF([2]Baskol!$C$1964="","",[2]Baskol!$C$1964)</f>
        <v/>
      </c>
      <c r="V1961">
        <f>IF([2]Baskol!$D$1964="","",[2]Baskol!$D$1964)</f>
        <v/>
      </c>
      <c r="W1961">
        <f>IF([2]Baskol!$E$1964="","",[2]Baskol!$E$1964)</f>
        <v/>
      </c>
      <c r="X1961">
        <f>IF([2]Baskol!$G$1964="","",[2]Baskol!$G$1964)</f>
        <v/>
      </c>
      <c r="Y1961">
        <f>IF([2]Baskol!$I$1964="","",[2]Baskol!$I$1964)</f>
        <v/>
      </c>
      <c r="Z1961">
        <f>IF([2]Baskol!$J$1964="","",[2]Baskol!$J$1964)</f>
        <v/>
      </c>
      <c r="AA1961">
        <f>IF([2]Baskol!$K$1964="","",[2]Baskol!$K$1964)</f>
        <v/>
      </c>
      <c r="AB1961">
        <f>IF([2]Baskol!$L$1964="","",[2]Baskol!$L$1964)</f>
        <v/>
      </c>
      <c r="AC1961">
        <f>IF([2]Baskol!$N$1964="","",[2]Baskol!$N$1964)</f>
        <v/>
      </c>
      <c r="AD1961">
        <f>IF([2]Baskol!$O$1964="","",[2]Baskol!$O$1964)</f>
        <v/>
      </c>
      <c r="AE1961">
        <f>IF([3]Entry!$C$1964="","",[3]Entry!$C$1964)</f>
        <v/>
      </c>
      <c r="AF1961">
        <f>IF([3]Entry!$D$1964="","",[3]Entry!$D$1964)</f>
        <v/>
      </c>
      <c r="AG1961">
        <f>IF([3]Entry!$E$1964="","",[3]Entry!$E$1964)</f>
        <v/>
      </c>
      <c r="AH1961">
        <f>IF([3]Entry!$G$1964="","",[3]Entry!$G$1964)</f>
        <v/>
      </c>
      <c r="AI1961">
        <f>IF([3]Entry!$K$1964="","",[3]Entry!$K$1964)</f>
        <v/>
      </c>
      <c r="AJ1961">
        <f>IF([3]Entry!$L$1964="","",[3]Entry!$L$1964)</f>
        <v/>
      </c>
      <c r="AK1961">
        <f>IF([3]Entry!$M$1964="","",[3]Entry!$M$1964)</f>
        <v/>
      </c>
      <c r="AL1961">
        <f>IF([3]Entry!$N$1964="","",[3]Entry!$N$1964)</f>
        <v/>
      </c>
      <c r="AM1961">
        <f>IF([3]Entry!$R$1964="","",[3]Entry!$R$1964)</f>
        <v/>
      </c>
    </row>
    <row r="1962">
      <c r="T1962">
        <f>IF([2]Baskol!$B$1965="","",[2]Baskol!$B$1965)</f>
        <v/>
      </c>
      <c r="U1962">
        <f>IF([2]Baskol!$C$1965="","",[2]Baskol!$C$1965)</f>
        <v/>
      </c>
      <c r="V1962">
        <f>IF([2]Baskol!$D$1965="","",[2]Baskol!$D$1965)</f>
        <v/>
      </c>
      <c r="W1962">
        <f>IF([2]Baskol!$E$1965="","",[2]Baskol!$E$1965)</f>
        <v/>
      </c>
      <c r="X1962">
        <f>IF([2]Baskol!$G$1965="","",[2]Baskol!$G$1965)</f>
        <v/>
      </c>
      <c r="Y1962">
        <f>IF([2]Baskol!$I$1965="","",[2]Baskol!$I$1965)</f>
        <v/>
      </c>
      <c r="Z1962">
        <f>IF([2]Baskol!$J$1965="","",[2]Baskol!$J$1965)</f>
        <v/>
      </c>
      <c r="AA1962">
        <f>IF([2]Baskol!$K$1965="","",[2]Baskol!$K$1965)</f>
        <v/>
      </c>
      <c r="AB1962">
        <f>IF([2]Baskol!$L$1965="","",[2]Baskol!$L$1965)</f>
        <v/>
      </c>
      <c r="AC1962">
        <f>IF([2]Baskol!$N$1965="","",[2]Baskol!$N$1965)</f>
        <v/>
      </c>
      <c r="AD1962">
        <f>IF([2]Baskol!$O$1965="","",[2]Baskol!$O$1965)</f>
        <v/>
      </c>
      <c r="AE1962">
        <f>IF([3]Entry!$C$1965="","",[3]Entry!$C$1965)</f>
        <v/>
      </c>
      <c r="AF1962">
        <f>IF([3]Entry!$D$1965="","",[3]Entry!$D$1965)</f>
        <v/>
      </c>
      <c r="AG1962">
        <f>IF([3]Entry!$E$1965="","",[3]Entry!$E$1965)</f>
        <v/>
      </c>
      <c r="AH1962">
        <f>IF([3]Entry!$G$1965="","",[3]Entry!$G$1965)</f>
        <v/>
      </c>
      <c r="AI1962">
        <f>IF([3]Entry!$K$1965="","",[3]Entry!$K$1965)</f>
        <v/>
      </c>
      <c r="AJ1962">
        <f>IF([3]Entry!$L$1965="","",[3]Entry!$L$1965)</f>
        <v/>
      </c>
      <c r="AK1962">
        <f>IF([3]Entry!$M$1965="","",[3]Entry!$M$1965)</f>
        <v/>
      </c>
      <c r="AL1962">
        <f>IF([3]Entry!$N$1965="","",[3]Entry!$N$1965)</f>
        <v/>
      </c>
      <c r="AM1962">
        <f>IF([3]Entry!$R$1965="","",[3]Entry!$R$1965)</f>
        <v/>
      </c>
    </row>
    <row r="1963">
      <c r="T1963">
        <f>IF([2]Baskol!$B$1966="","",[2]Baskol!$B$1966)</f>
        <v/>
      </c>
      <c r="U1963">
        <f>IF([2]Baskol!$C$1966="","",[2]Baskol!$C$1966)</f>
        <v/>
      </c>
      <c r="V1963">
        <f>IF([2]Baskol!$D$1966="","",[2]Baskol!$D$1966)</f>
        <v/>
      </c>
      <c r="W1963">
        <f>IF([2]Baskol!$E$1966="","",[2]Baskol!$E$1966)</f>
        <v/>
      </c>
      <c r="X1963">
        <f>IF([2]Baskol!$G$1966="","",[2]Baskol!$G$1966)</f>
        <v/>
      </c>
      <c r="Y1963">
        <f>IF([2]Baskol!$I$1966="","",[2]Baskol!$I$1966)</f>
        <v/>
      </c>
      <c r="Z1963">
        <f>IF([2]Baskol!$J$1966="","",[2]Baskol!$J$1966)</f>
        <v/>
      </c>
      <c r="AA1963">
        <f>IF([2]Baskol!$K$1966="","",[2]Baskol!$K$1966)</f>
        <v/>
      </c>
      <c r="AB1963">
        <f>IF([2]Baskol!$L$1966="","",[2]Baskol!$L$1966)</f>
        <v/>
      </c>
      <c r="AC1963">
        <f>IF([2]Baskol!$N$1966="","",[2]Baskol!$N$1966)</f>
        <v/>
      </c>
      <c r="AD1963">
        <f>IF([2]Baskol!$O$1966="","",[2]Baskol!$O$1966)</f>
        <v/>
      </c>
      <c r="AE1963">
        <f>IF([3]Entry!$C$1966="","",[3]Entry!$C$1966)</f>
        <v/>
      </c>
      <c r="AF1963">
        <f>IF([3]Entry!$D$1966="","",[3]Entry!$D$1966)</f>
        <v/>
      </c>
      <c r="AG1963">
        <f>IF([3]Entry!$E$1966="","",[3]Entry!$E$1966)</f>
        <v/>
      </c>
      <c r="AH1963">
        <f>IF([3]Entry!$G$1966="","",[3]Entry!$G$1966)</f>
        <v/>
      </c>
      <c r="AI1963">
        <f>IF([3]Entry!$K$1966="","",[3]Entry!$K$1966)</f>
        <v/>
      </c>
      <c r="AJ1963">
        <f>IF([3]Entry!$L$1966="","",[3]Entry!$L$1966)</f>
        <v/>
      </c>
      <c r="AK1963">
        <f>IF([3]Entry!$M$1966="","",[3]Entry!$M$1966)</f>
        <v/>
      </c>
      <c r="AL1963">
        <f>IF([3]Entry!$N$1966="","",[3]Entry!$N$1966)</f>
        <v/>
      </c>
      <c r="AM1963">
        <f>IF([3]Entry!$R$1966="","",[3]Entry!$R$1966)</f>
        <v/>
      </c>
    </row>
    <row r="1964">
      <c r="T1964">
        <f>IF([2]Baskol!$B$1967="","",[2]Baskol!$B$1967)</f>
        <v/>
      </c>
      <c r="U1964">
        <f>IF([2]Baskol!$C$1967="","",[2]Baskol!$C$1967)</f>
        <v/>
      </c>
      <c r="V1964">
        <f>IF([2]Baskol!$D$1967="","",[2]Baskol!$D$1967)</f>
        <v/>
      </c>
      <c r="W1964">
        <f>IF([2]Baskol!$E$1967="","",[2]Baskol!$E$1967)</f>
        <v/>
      </c>
      <c r="X1964">
        <f>IF([2]Baskol!$G$1967="","",[2]Baskol!$G$1967)</f>
        <v/>
      </c>
      <c r="Y1964">
        <f>IF([2]Baskol!$I$1967="","",[2]Baskol!$I$1967)</f>
        <v/>
      </c>
      <c r="Z1964">
        <f>IF([2]Baskol!$J$1967="","",[2]Baskol!$J$1967)</f>
        <v/>
      </c>
      <c r="AA1964">
        <f>IF([2]Baskol!$K$1967="","",[2]Baskol!$K$1967)</f>
        <v/>
      </c>
      <c r="AB1964">
        <f>IF([2]Baskol!$L$1967="","",[2]Baskol!$L$1967)</f>
        <v/>
      </c>
      <c r="AC1964">
        <f>IF([2]Baskol!$N$1967="","",[2]Baskol!$N$1967)</f>
        <v/>
      </c>
      <c r="AD1964">
        <f>IF([2]Baskol!$O$1967="","",[2]Baskol!$O$1967)</f>
        <v/>
      </c>
      <c r="AE1964">
        <f>IF([3]Entry!$C$1967="","",[3]Entry!$C$1967)</f>
        <v/>
      </c>
      <c r="AF1964">
        <f>IF([3]Entry!$D$1967="","",[3]Entry!$D$1967)</f>
        <v/>
      </c>
      <c r="AG1964">
        <f>IF([3]Entry!$E$1967="","",[3]Entry!$E$1967)</f>
        <v/>
      </c>
      <c r="AH1964">
        <f>IF([3]Entry!$G$1967="","",[3]Entry!$G$1967)</f>
        <v/>
      </c>
      <c r="AI1964">
        <f>IF([3]Entry!$K$1967="","",[3]Entry!$K$1967)</f>
        <v/>
      </c>
      <c r="AJ1964">
        <f>IF([3]Entry!$L$1967="","",[3]Entry!$L$1967)</f>
        <v/>
      </c>
      <c r="AK1964">
        <f>IF([3]Entry!$M$1967="","",[3]Entry!$M$1967)</f>
        <v/>
      </c>
      <c r="AL1964">
        <f>IF([3]Entry!$N$1967="","",[3]Entry!$N$1967)</f>
        <v/>
      </c>
      <c r="AM1964">
        <f>IF([3]Entry!$R$1967="","",[3]Entry!$R$1967)</f>
        <v/>
      </c>
    </row>
    <row r="1965">
      <c r="T1965">
        <f>IF([2]Baskol!$B$1968="","",[2]Baskol!$B$1968)</f>
        <v/>
      </c>
      <c r="U1965">
        <f>IF([2]Baskol!$C$1968="","",[2]Baskol!$C$1968)</f>
        <v/>
      </c>
      <c r="V1965">
        <f>IF([2]Baskol!$D$1968="","",[2]Baskol!$D$1968)</f>
        <v/>
      </c>
      <c r="W1965">
        <f>IF([2]Baskol!$E$1968="","",[2]Baskol!$E$1968)</f>
        <v/>
      </c>
      <c r="X1965">
        <f>IF([2]Baskol!$G$1968="","",[2]Baskol!$G$1968)</f>
        <v/>
      </c>
      <c r="Y1965">
        <f>IF([2]Baskol!$I$1968="","",[2]Baskol!$I$1968)</f>
        <v/>
      </c>
      <c r="Z1965">
        <f>IF([2]Baskol!$J$1968="","",[2]Baskol!$J$1968)</f>
        <v/>
      </c>
      <c r="AA1965">
        <f>IF([2]Baskol!$K$1968="","",[2]Baskol!$K$1968)</f>
        <v/>
      </c>
      <c r="AB1965">
        <f>IF([2]Baskol!$L$1968="","",[2]Baskol!$L$1968)</f>
        <v/>
      </c>
      <c r="AC1965">
        <f>IF([2]Baskol!$N$1968="","",[2]Baskol!$N$1968)</f>
        <v/>
      </c>
      <c r="AD1965">
        <f>IF([2]Baskol!$O$1968="","",[2]Baskol!$O$1968)</f>
        <v/>
      </c>
      <c r="AE1965">
        <f>IF([3]Entry!$C$1968="","",[3]Entry!$C$1968)</f>
        <v/>
      </c>
      <c r="AF1965">
        <f>IF([3]Entry!$D$1968="","",[3]Entry!$D$1968)</f>
        <v/>
      </c>
      <c r="AG1965">
        <f>IF([3]Entry!$E$1968="","",[3]Entry!$E$1968)</f>
        <v/>
      </c>
      <c r="AH1965">
        <f>IF([3]Entry!$G$1968="","",[3]Entry!$G$1968)</f>
        <v/>
      </c>
      <c r="AI1965">
        <f>IF([3]Entry!$K$1968="","",[3]Entry!$K$1968)</f>
        <v/>
      </c>
      <c r="AJ1965">
        <f>IF([3]Entry!$L$1968="","",[3]Entry!$L$1968)</f>
        <v/>
      </c>
      <c r="AK1965">
        <f>IF([3]Entry!$M$1968="","",[3]Entry!$M$1968)</f>
        <v/>
      </c>
      <c r="AL1965">
        <f>IF([3]Entry!$N$1968="","",[3]Entry!$N$1968)</f>
        <v/>
      </c>
      <c r="AM1965">
        <f>IF([3]Entry!$R$1968="","",[3]Entry!$R$1968)</f>
        <v/>
      </c>
    </row>
    <row r="1966">
      <c r="T1966">
        <f>IF([2]Baskol!$B$1969="","",[2]Baskol!$B$1969)</f>
        <v/>
      </c>
      <c r="U1966">
        <f>IF([2]Baskol!$C$1969="","",[2]Baskol!$C$1969)</f>
        <v/>
      </c>
      <c r="V1966">
        <f>IF([2]Baskol!$D$1969="","",[2]Baskol!$D$1969)</f>
        <v/>
      </c>
      <c r="W1966">
        <f>IF([2]Baskol!$E$1969="","",[2]Baskol!$E$1969)</f>
        <v/>
      </c>
      <c r="X1966">
        <f>IF([2]Baskol!$G$1969="","",[2]Baskol!$G$1969)</f>
        <v/>
      </c>
      <c r="Y1966">
        <f>IF([2]Baskol!$I$1969="","",[2]Baskol!$I$1969)</f>
        <v/>
      </c>
      <c r="Z1966">
        <f>IF([2]Baskol!$J$1969="","",[2]Baskol!$J$1969)</f>
        <v/>
      </c>
      <c r="AA1966">
        <f>IF([2]Baskol!$K$1969="","",[2]Baskol!$K$1969)</f>
        <v/>
      </c>
      <c r="AB1966">
        <f>IF([2]Baskol!$L$1969="","",[2]Baskol!$L$1969)</f>
        <v/>
      </c>
      <c r="AC1966">
        <f>IF([2]Baskol!$N$1969="","",[2]Baskol!$N$1969)</f>
        <v/>
      </c>
      <c r="AD1966">
        <f>IF([2]Baskol!$O$1969="","",[2]Baskol!$O$1969)</f>
        <v/>
      </c>
      <c r="AE1966">
        <f>IF([3]Entry!$C$1969="","",[3]Entry!$C$1969)</f>
        <v/>
      </c>
      <c r="AF1966">
        <f>IF([3]Entry!$D$1969="","",[3]Entry!$D$1969)</f>
        <v/>
      </c>
      <c r="AG1966">
        <f>IF([3]Entry!$E$1969="","",[3]Entry!$E$1969)</f>
        <v/>
      </c>
      <c r="AH1966">
        <f>IF([3]Entry!$G$1969="","",[3]Entry!$G$1969)</f>
        <v/>
      </c>
      <c r="AI1966">
        <f>IF([3]Entry!$K$1969="","",[3]Entry!$K$1969)</f>
        <v/>
      </c>
      <c r="AJ1966">
        <f>IF([3]Entry!$L$1969="","",[3]Entry!$L$1969)</f>
        <v/>
      </c>
      <c r="AK1966">
        <f>IF([3]Entry!$M$1969="","",[3]Entry!$M$1969)</f>
        <v/>
      </c>
      <c r="AL1966">
        <f>IF([3]Entry!$N$1969="","",[3]Entry!$N$1969)</f>
        <v/>
      </c>
      <c r="AM1966">
        <f>IF([3]Entry!$R$1969="","",[3]Entry!$R$1969)</f>
        <v/>
      </c>
    </row>
    <row r="1967">
      <c r="T1967">
        <f>IF([2]Baskol!$B$1970="","",[2]Baskol!$B$1970)</f>
        <v/>
      </c>
      <c r="U1967">
        <f>IF([2]Baskol!$C$1970="","",[2]Baskol!$C$1970)</f>
        <v/>
      </c>
      <c r="V1967">
        <f>IF([2]Baskol!$D$1970="","",[2]Baskol!$D$1970)</f>
        <v/>
      </c>
      <c r="W1967">
        <f>IF([2]Baskol!$E$1970="","",[2]Baskol!$E$1970)</f>
        <v/>
      </c>
      <c r="X1967">
        <f>IF([2]Baskol!$G$1970="","",[2]Baskol!$G$1970)</f>
        <v/>
      </c>
      <c r="Y1967">
        <f>IF([2]Baskol!$I$1970="","",[2]Baskol!$I$1970)</f>
        <v/>
      </c>
      <c r="Z1967">
        <f>IF([2]Baskol!$J$1970="","",[2]Baskol!$J$1970)</f>
        <v/>
      </c>
      <c r="AA1967">
        <f>IF([2]Baskol!$K$1970="","",[2]Baskol!$K$1970)</f>
        <v/>
      </c>
      <c r="AB1967">
        <f>IF([2]Baskol!$L$1970="","",[2]Baskol!$L$1970)</f>
        <v/>
      </c>
      <c r="AC1967">
        <f>IF([2]Baskol!$N$1970="","",[2]Baskol!$N$1970)</f>
        <v/>
      </c>
      <c r="AD1967">
        <f>IF([2]Baskol!$O$1970="","",[2]Baskol!$O$1970)</f>
        <v/>
      </c>
      <c r="AE1967">
        <f>IF([3]Entry!$C$1970="","",[3]Entry!$C$1970)</f>
        <v/>
      </c>
      <c r="AF1967">
        <f>IF([3]Entry!$D$1970="","",[3]Entry!$D$1970)</f>
        <v/>
      </c>
      <c r="AG1967">
        <f>IF([3]Entry!$E$1970="","",[3]Entry!$E$1970)</f>
        <v/>
      </c>
      <c r="AH1967">
        <f>IF([3]Entry!$G$1970="","",[3]Entry!$G$1970)</f>
        <v/>
      </c>
      <c r="AI1967">
        <f>IF([3]Entry!$K$1970="","",[3]Entry!$K$1970)</f>
        <v/>
      </c>
      <c r="AJ1967">
        <f>IF([3]Entry!$L$1970="","",[3]Entry!$L$1970)</f>
        <v/>
      </c>
      <c r="AK1967">
        <f>IF([3]Entry!$M$1970="","",[3]Entry!$M$1970)</f>
        <v/>
      </c>
      <c r="AL1967">
        <f>IF([3]Entry!$N$1970="","",[3]Entry!$N$1970)</f>
        <v/>
      </c>
      <c r="AM1967">
        <f>IF([3]Entry!$R$1970="","",[3]Entry!$R$1970)</f>
        <v/>
      </c>
    </row>
    <row r="1968">
      <c r="T1968">
        <f>IF([2]Baskol!$B$1971="","",[2]Baskol!$B$1971)</f>
        <v/>
      </c>
      <c r="U1968">
        <f>IF([2]Baskol!$C$1971="","",[2]Baskol!$C$1971)</f>
        <v/>
      </c>
      <c r="V1968">
        <f>IF([2]Baskol!$D$1971="","",[2]Baskol!$D$1971)</f>
        <v/>
      </c>
      <c r="W1968">
        <f>IF([2]Baskol!$E$1971="","",[2]Baskol!$E$1971)</f>
        <v/>
      </c>
      <c r="X1968">
        <f>IF([2]Baskol!$G$1971="","",[2]Baskol!$G$1971)</f>
        <v/>
      </c>
      <c r="Y1968">
        <f>IF([2]Baskol!$I$1971="","",[2]Baskol!$I$1971)</f>
        <v/>
      </c>
      <c r="Z1968">
        <f>IF([2]Baskol!$J$1971="","",[2]Baskol!$J$1971)</f>
        <v/>
      </c>
      <c r="AA1968">
        <f>IF([2]Baskol!$K$1971="","",[2]Baskol!$K$1971)</f>
        <v/>
      </c>
      <c r="AB1968">
        <f>IF([2]Baskol!$L$1971="","",[2]Baskol!$L$1971)</f>
        <v/>
      </c>
      <c r="AC1968">
        <f>IF([2]Baskol!$N$1971="","",[2]Baskol!$N$1971)</f>
        <v/>
      </c>
      <c r="AD1968">
        <f>IF([2]Baskol!$O$1971="","",[2]Baskol!$O$1971)</f>
        <v/>
      </c>
      <c r="AE1968">
        <f>IF([3]Entry!$C$1971="","",[3]Entry!$C$1971)</f>
        <v/>
      </c>
      <c r="AF1968">
        <f>IF([3]Entry!$D$1971="","",[3]Entry!$D$1971)</f>
        <v/>
      </c>
      <c r="AG1968">
        <f>IF([3]Entry!$E$1971="","",[3]Entry!$E$1971)</f>
        <v/>
      </c>
      <c r="AH1968">
        <f>IF([3]Entry!$G$1971="","",[3]Entry!$G$1971)</f>
        <v/>
      </c>
      <c r="AI1968">
        <f>IF([3]Entry!$K$1971="","",[3]Entry!$K$1971)</f>
        <v/>
      </c>
      <c r="AJ1968">
        <f>IF([3]Entry!$L$1971="","",[3]Entry!$L$1971)</f>
        <v/>
      </c>
      <c r="AK1968">
        <f>IF([3]Entry!$M$1971="","",[3]Entry!$M$1971)</f>
        <v/>
      </c>
      <c r="AL1968">
        <f>IF([3]Entry!$N$1971="","",[3]Entry!$N$1971)</f>
        <v/>
      </c>
      <c r="AM1968">
        <f>IF([3]Entry!$R$1971="","",[3]Entry!$R$1971)</f>
        <v/>
      </c>
    </row>
    <row r="1969">
      <c r="T1969">
        <f>IF([2]Baskol!$B$1972="","",[2]Baskol!$B$1972)</f>
        <v/>
      </c>
      <c r="U1969">
        <f>IF([2]Baskol!$C$1972="","",[2]Baskol!$C$1972)</f>
        <v/>
      </c>
      <c r="V1969">
        <f>IF([2]Baskol!$D$1972="","",[2]Baskol!$D$1972)</f>
        <v/>
      </c>
      <c r="W1969">
        <f>IF([2]Baskol!$E$1972="","",[2]Baskol!$E$1972)</f>
        <v/>
      </c>
      <c r="X1969">
        <f>IF([2]Baskol!$G$1972="","",[2]Baskol!$G$1972)</f>
        <v/>
      </c>
      <c r="Y1969">
        <f>IF([2]Baskol!$I$1972="","",[2]Baskol!$I$1972)</f>
        <v/>
      </c>
      <c r="Z1969">
        <f>IF([2]Baskol!$J$1972="","",[2]Baskol!$J$1972)</f>
        <v/>
      </c>
      <c r="AA1969">
        <f>IF([2]Baskol!$K$1972="","",[2]Baskol!$K$1972)</f>
        <v/>
      </c>
      <c r="AB1969">
        <f>IF([2]Baskol!$L$1972="","",[2]Baskol!$L$1972)</f>
        <v/>
      </c>
      <c r="AC1969">
        <f>IF([2]Baskol!$N$1972="","",[2]Baskol!$N$1972)</f>
        <v/>
      </c>
      <c r="AD1969">
        <f>IF([2]Baskol!$O$1972="","",[2]Baskol!$O$1972)</f>
        <v/>
      </c>
      <c r="AE1969">
        <f>IF([3]Entry!$C$1972="","",[3]Entry!$C$1972)</f>
        <v/>
      </c>
      <c r="AF1969">
        <f>IF([3]Entry!$D$1972="","",[3]Entry!$D$1972)</f>
        <v/>
      </c>
      <c r="AG1969">
        <f>IF([3]Entry!$E$1972="","",[3]Entry!$E$1972)</f>
        <v/>
      </c>
      <c r="AH1969">
        <f>IF([3]Entry!$G$1972="","",[3]Entry!$G$1972)</f>
        <v/>
      </c>
      <c r="AI1969">
        <f>IF([3]Entry!$K$1972="","",[3]Entry!$K$1972)</f>
        <v/>
      </c>
      <c r="AJ1969">
        <f>IF([3]Entry!$L$1972="","",[3]Entry!$L$1972)</f>
        <v/>
      </c>
      <c r="AK1969">
        <f>IF([3]Entry!$M$1972="","",[3]Entry!$M$1972)</f>
        <v/>
      </c>
      <c r="AL1969">
        <f>IF([3]Entry!$N$1972="","",[3]Entry!$N$1972)</f>
        <v/>
      </c>
      <c r="AM1969">
        <f>IF([3]Entry!$R$1972="","",[3]Entry!$R$1972)</f>
        <v/>
      </c>
    </row>
    <row r="1970">
      <c r="T1970">
        <f>IF([2]Baskol!$B$1973="","",[2]Baskol!$B$1973)</f>
        <v/>
      </c>
      <c r="U1970">
        <f>IF([2]Baskol!$C$1973="","",[2]Baskol!$C$1973)</f>
        <v/>
      </c>
      <c r="V1970">
        <f>IF([2]Baskol!$D$1973="","",[2]Baskol!$D$1973)</f>
        <v/>
      </c>
      <c r="W1970">
        <f>IF([2]Baskol!$E$1973="","",[2]Baskol!$E$1973)</f>
        <v/>
      </c>
      <c r="X1970">
        <f>IF([2]Baskol!$G$1973="","",[2]Baskol!$G$1973)</f>
        <v/>
      </c>
      <c r="Y1970">
        <f>IF([2]Baskol!$I$1973="","",[2]Baskol!$I$1973)</f>
        <v/>
      </c>
      <c r="Z1970">
        <f>IF([2]Baskol!$J$1973="","",[2]Baskol!$J$1973)</f>
        <v/>
      </c>
      <c r="AA1970">
        <f>IF([2]Baskol!$K$1973="","",[2]Baskol!$K$1973)</f>
        <v/>
      </c>
      <c r="AB1970">
        <f>IF([2]Baskol!$L$1973="","",[2]Baskol!$L$1973)</f>
        <v/>
      </c>
      <c r="AC1970">
        <f>IF([2]Baskol!$N$1973="","",[2]Baskol!$N$1973)</f>
        <v/>
      </c>
      <c r="AD1970">
        <f>IF([2]Baskol!$O$1973="","",[2]Baskol!$O$1973)</f>
        <v/>
      </c>
      <c r="AE1970">
        <f>IF([3]Entry!$C$1973="","",[3]Entry!$C$1973)</f>
        <v/>
      </c>
      <c r="AF1970">
        <f>IF([3]Entry!$D$1973="","",[3]Entry!$D$1973)</f>
        <v/>
      </c>
      <c r="AG1970">
        <f>IF([3]Entry!$E$1973="","",[3]Entry!$E$1973)</f>
        <v/>
      </c>
      <c r="AH1970">
        <f>IF([3]Entry!$G$1973="","",[3]Entry!$G$1973)</f>
        <v/>
      </c>
      <c r="AI1970">
        <f>IF([3]Entry!$K$1973="","",[3]Entry!$K$1973)</f>
        <v/>
      </c>
      <c r="AJ1970">
        <f>IF([3]Entry!$L$1973="","",[3]Entry!$L$1973)</f>
        <v/>
      </c>
      <c r="AK1970">
        <f>IF([3]Entry!$M$1973="","",[3]Entry!$M$1973)</f>
        <v/>
      </c>
      <c r="AL1970">
        <f>IF([3]Entry!$N$1973="","",[3]Entry!$N$1973)</f>
        <v/>
      </c>
      <c r="AM1970">
        <f>IF([3]Entry!$R$1973="","",[3]Entry!$R$1973)</f>
        <v/>
      </c>
    </row>
    <row r="1971">
      <c r="T1971">
        <f>IF([2]Baskol!$B$1974="","",[2]Baskol!$B$1974)</f>
        <v/>
      </c>
      <c r="U1971">
        <f>IF([2]Baskol!$C$1974="","",[2]Baskol!$C$1974)</f>
        <v/>
      </c>
      <c r="V1971">
        <f>IF([2]Baskol!$D$1974="","",[2]Baskol!$D$1974)</f>
        <v/>
      </c>
      <c r="W1971">
        <f>IF([2]Baskol!$E$1974="","",[2]Baskol!$E$1974)</f>
        <v/>
      </c>
      <c r="X1971">
        <f>IF([2]Baskol!$G$1974="","",[2]Baskol!$G$1974)</f>
        <v/>
      </c>
      <c r="Y1971">
        <f>IF([2]Baskol!$I$1974="","",[2]Baskol!$I$1974)</f>
        <v/>
      </c>
      <c r="Z1971">
        <f>IF([2]Baskol!$J$1974="","",[2]Baskol!$J$1974)</f>
        <v/>
      </c>
      <c r="AA1971">
        <f>IF([2]Baskol!$K$1974="","",[2]Baskol!$K$1974)</f>
        <v/>
      </c>
      <c r="AB1971">
        <f>IF([2]Baskol!$L$1974="","",[2]Baskol!$L$1974)</f>
        <v/>
      </c>
      <c r="AC1971">
        <f>IF([2]Baskol!$N$1974="","",[2]Baskol!$N$1974)</f>
        <v/>
      </c>
      <c r="AD1971">
        <f>IF([2]Baskol!$O$1974="","",[2]Baskol!$O$1974)</f>
        <v/>
      </c>
      <c r="AE1971">
        <f>IF([3]Entry!$C$1974="","",[3]Entry!$C$1974)</f>
        <v/>
      </c>
      <c r="AF1971">
        <f>IF([3]Entry!$D$1974="","",[3]Entry!$D$1974)</f>
        <v/>
      </c>
      <c r="AG1971">
        <f>IF([3]Entry!$E$1974="","",[3]Entry!$E$1974)</f>
        <v/>
      </c>
      <c r="AH1971">
        <f>IF([3]Entry!$G$1974="","",[3]Entry!$G$1974)</f>
        <v/>
      </c>
      <c r="AI1971">
        <f>IF([3]Entry!$K$1974="","",[3]Entry!$K$1974)</f>
        <v/>
      </c>
      <c r="AJ1971">
        <f>IF([3]Entry!$L$1974="","",[3]Entry!$L$1974)</f>
        <v/>
      </c>
      <c r="AK1971">
        <f>IF([3]Entry!$M$1974="","",[3]Entry!$M$1974)</f>
        <v/>
      </c>
      <c r="AL1971">
        <f>IF([3]Entry!$N$1974="","",[3]Entry!$N$1974)</f>
        <v/>
      </c>
      <c r="AM1971">
        <f>IF([3]Entry!$R$1974="","",[3]Entry!$R$1974)</f>
        <v/>
      </c>
    </row>
    <row r="1972">
      <c r="T1972">
        <f>IF([2]Baskol!$B$1975="","",[2]Baskol!$B$1975)</f>
        <v/>
      </c>
      <c r="U1972">
        <f>IF([2]Baskol!$C$1975="","",[2]Baskol!$C$1975)</f>
        <v/>
      </c>
      <c r="V1972">
        <f>IF([2]Baskol!$D$1975="","",[2]Baskol!$D$1975)</f>
        <v/>
      </c>
      <c r="W1972">
        <f>IF([2]Baskol!$E$1975="","",[2]Baskol!$E$1975)</f>
        <v/>
      </c>
      <c r="X1972">
        <f>IF([2]Baskol!$G$1975="","",[2]Baskol!$G$1975)</f>
        <v/>
      </c>
      <c r="Y1972">
        <f>IF([2]Baskol!$I$1975="","",[2]Baskol!$I$1975)</f>
        <v/>
      </c>
      <c r="Z1972">
        <f>IF([2]Baskol!$J$1975="","",[2]Baskol!$J$1975)</f>
        <v/>
      </c>
      <c r="AA1972">
        <f>IF([2]Baskol!$K$1975="","",[2]Baskol!$K$1975)</f>
        <v/>
      </c>
      <c r="AB1972">
        <f>IF([2]Baskol!$L$1975="","",[2]Baskol!$L$1975)</f>
        <v/>
      </c>
      <c r="AC1972">
        <f>IF([2]Baskol!$N$1975="","",[2]Baskol!$N$1975)</f>
        <v/>
      </c>
      <c r="AD1972">
        <f>IF([2]Baskol!$O$1975="","",[2]Baskol!$O$1975)</f>
        <v/>
      </c>
      <c r="AE1972">
        <f>IF([3]Entry!$C$1975="","",[3]Entry!$C$1975)</f>
        <v/>
      </c>
      <c r="AF1972">
        <f>IF([3]Entry!$D$1975="","",[3]Entry!$D$1975)</f>
        <v/>
      </c>
      <c r="AG1972">
        <f>IF([3]Entry!$E$1975="","",[3]Entry!$E$1975)</f>
        <v/>
      </c>
      <c r="AH1972">
        <f>IF([3]Entry!$G$1975="","",[3]Entry!$G$1975)</f>
        <v/>
      </c>
      <c r="AI1972">
        <f>IF([3]Entry!$K$1975="","",[3]Entry!$K$1975)</f>
        <v/>
      </c>
      <c r="AJ1972">
        <f>IF([3]Entry!$L$1975="","",[3]Entry!$L$1975)</f>
        <v/>
      </c>
      <c r="AK1972">
        <f>IF([3]Entry!$M$1975="","",[3]Entry!$M$1975)</f>
        <v/>
      </c>
      <c r="AL1972">
        <f>IF([3]Entry!$N$1975="","",[3]Entry!$N$1975)</f>
        <v/>
      </c>
      <c r="AM1972">
        <f>IF([3]Entry!$R$1975="","",[3]Entry!$R$1975)</f>
        <v/>
      </c>
    </row>
    <row r="1973">
      <c r="T1973">
        <f>IF([2]Baskol!$B$1976="","",[2]Baskol!$B$1976)</f>
        <v/>
      </c>
      <c r="U1973">
        <f>IF([2]Baskol!$C$1976="","",[2]Baskol!$C$1976)</f>
        <v/>
      </c>
      <c r="V1973">
        <f>IF([2]Baskol!$D$1976="","",[2]Baskol!$D$1976)</f>
        <v/>
      </c>
      <c r="W1973">
        <f>IF([2]Baskol!$E$1976="","",[2]Baskol!$E$1976)</f>
        <v/>
      </c>
      <c r="X1973">
        <f>IF([2]Baskol!$G$1976="","",[2]Baskol!$G$1976)</f>
        <v/>
      </c>
      <c r="Y1973">
        <f>IF([2]Baskol!$I$1976="","",[2]Baskol!$I$1976)</f>
        <v/>
      </c>
      <c r="Z1973">
        <f>IF([2]Baskol!$J$1976="","",[2]Baskol!$J$1976)</f>
        <v/>
      </c>
      <c r="AA1973">
        <f>IF([2]Baskol!$K$1976="","",[2]Baskol!$K$1976)</f>
        <v/>
      </c>
      <c r="AB1973">
        <f>IF([2]Baskol!$L$1976="","",[2]Baskol!$L$1976)</f>
        <v/>
      </c>
      <c r="AC1973">
        <f>IF([2]Baskol!$N$1976="","",[2]Baskol!$N$1976)</f>
        <v/>
      </c>
      <c r="AD1973">
        <f>IF([2]Baskol!$O$1976="","",[2]Baskol!$O$1976)</f>
        <v/>
      </c>
      <c r="AE1973">
        <f>IF([3]Entry!$C$1976="","",[3]Entry!$C$1976)</f>
        <v/>
      </c>
      <c r="AF1973">
        <f>IF([3]Entry!$D$1976="","",[3]Entry!$D$1976)</f>
        <v/>
      </c>
      <c r="AG1973">
        <f>IF([3]Entry!$E$1976="","",[3]Entry!$E$1976)</f>
        <v/>
      </c>
      <c r="AH1973">
        <f>IF([3]Entry!$G$1976="","",[3]Entry!$G$1976)</f>
        <v/>
      </c>
      <c r="AI1973">
        <f>IF([3]Entry!$K$1976="","",[3]Entry!$K$1976)</f>
        <v/>
      </c>
      <c r="AJ1973">
        <f>IF([3]Entry!$L$1976="","",[3]Entry!$L$1976)</f>
        <v/>
      </c>
      <c r="AK1973">
        <f>IF([3]Entry!$M$1976="","",[3]Entry!$M$1976)</f>
        <v/>
      </c>
      <c r="AL1973">
        <f>IF([3]Entry!$N$1976="","",[3]Entry!$N$1976)</f>
        <v/>
      </c>
      <c r="AM1973">
        <f>IF([3]Entry!$R$1976="","",[3]Entry!$R$1976)</f>
        <v/>
      </c>
    </row>
    <row r="1974">
      <c r="T1974">
        <f>IF([2]Baskol!$B$1977="","",[2]Baskol!$B$1977)</f>
        <v/>
      </c>
      <c r="U1974">
        <f>IF([2]Baskol!$C$1977="","",[2]Baskol!$C$1977)</f>
        <v/>
      </c>
      <c r="V1974">
        <f>IF([2]Baskol!$D$1977="","",[2]Baskol!$D$1977)</f>
        <v/>
      </c>
      <c r="W1974">
        <f>IF([2]Baskol!$E$1977="","",[2]Baskol!$E$1977)</f>
        <v/>
      </c>
      <c r="X1974">
        <f>IF([2]Baskol!$G$1977="","",[2]Baskol!$G$1977)</f>
        <v/>
      </c>
      <c r="Y1974">
        <f>IF([2]Baskol!$I$1977="","",[2]Baskol!$I$1977)</f>
        <v/>
      </c>
      <c r="Z1974">
        <f>IF([2]Baskol!$J$1977="","",[2]Baskol!$J$1977)</f>
        <v/>
      </c>
      <c r="AA1974">
        <f>IF([2]Baskol!$K$1977="","",[2]Baskol!$K$1977)</f>
        <v/>
      </c>
      <c r="AB1974">
        <f>IF([2]Baskol!$L$1977="","",[2]Baskol!$L$1977)</f>
        <v/>
      </c>
      <c r="AC1974">
        <f>IF([2]Baskol!$N$1977="","",[2]Baskol!$N$1977)</f>
        <v/>
      </c>
      <c r="AD1974">
        <f>IF([2]Baskol!$O$1977="","",[2]Baskol!$O$1977)</f>
        <v/>
      </c>
      <c r="AE1974">
        <f>IF([3]Entry!$C$1977="","",[3]Entry!$C$1977)</f>
        <v/>
      </c>
      <c r="AF1974">
        <f>IF([3]Entry!$D$1977="","",[3]Entry!$D$1977)</f>
        <v/>
      </c>
      <c r="AG1974">
        <f>IF([3]Entry!$E$1977="","",[3]Entry!$E$1977)</f>
        <v/>
      </c>
      <c r="AH1974">
        <f>IF([3]Entry!$G$1977="","",[3]Entry!$G$1977)</f>
        <v/>
      </c>
      <c r="AI1974">
        <f>IF([3]Entry!$K$1977="","",[3]Entry!$K$1977)</f>
        <v/>
      </c>
      <c r="AJ1974">
        <f>IF([3]Entry!$L$1977="","",[3]Entry!$L$1977)</f>
        <v/>
      </c>
      <c r="AK1974">
        <f>IF([3]Entry!$M$1977="","",[3]Entry!$M$1977)</f>
        <v/>
      </c>
      <c r="AL1974">
        <f>IF([3]Entry!$N$1977="","",[3]Entry!$N$1977)</f>
        <v/>
      </c>
      <c r="AM1974">
        <f>IF([3]Entry!$R$1977="","",[3]Entry!$R$1977)</f>
        <v/>
      </c>
    </row>
    <row r="1975">
      <c r="T1975">
        <f>IF([2]Baskol!$B$1978="","",[2]Baskol!$B$1978)</f>
        <v/>
      </c>
      <c r="U1975">
        <f>IF([2]Baskol!$C$1978="","",[2]Baskol!$C$1978)</f>
        <v/>
      </c>
      <c r="V1975">
        <f>IF([2]Baskol!$D$1978="","",[2]Baskol!$D$1978)</f>
        <v/>
      </c>
      <c r="W1975">
        <f>IF([2]Baskol!$E$1978="","",[2]Baskol!$E$1978)</f>
        <v/>
      </c>
      <c r="X1975">
        <f>IF([2]Baskol!$G$1978="","",[2]Baskol!$G$1978)</f>
        <v/>
      </c>
      <c r="Y1975">
        <f>IF([2]Baskol!$I$1978="","",[2]Baskol!$I$1978)</f>
        <v/>
      </c>
      <c r="Z1975">
        <f>IF([2]Baskol!$J$1978="","",[2]Baskol!$J$1978)</f>
        <v/>
      </c>
      <c r="AA1975">
        <f>IF([2]Baskol!$K$1978="","",[2]Baskol!$K$1978)</f>
        <v/>
      </c>
      <c r="AB1975">
        <f>IF([2]Baskol!$L$1978="","",[2]Baskol!$L$1978)</f>
        <v/>
      </c>
      <c r="AC1975">
        <f>IF([2]Baskol!$N$1978="","",[2]Baskol!$N$1978)</f>
        <v/>
      </c>
      <c r="AD1975">
        <f>IF([2]Baskol!$O$1978="","",[2]Baskol!$O$1978)</f>
        <v/>
      </c>
      <c r="AE1975">
        <f>IF([3]Entry!$C$1978="","",[3]Entry!$C$1978)</f>
        <v/>
      </c>
      <c r="AF1975">
        <f>IF([3]Entry!$D$1978="","",[3]Entry!$D$1978)</f>
        <v/>
      </c>
      <c r="AG1975">
        <f>IF([3]Entry!$E$1978="","",[3]Entry!$E$1978)</f>
        <v/>
      </c>
      <c r="AH1975">
        <f>IF([3]Entry!$G$1978="","",[3]Entry!$G$1978)</f>
        <v/>
      </c>
      <c r="AI1975">
        <f>IF([3]Entry!$K$1978="","",[3]Entry!$K$1978)</f>
        <v/>
      </c>
      <c r="AJ1975">
        <f>IF([3]Entry!$L$1978="","",[3]Entry!$L$1978)</f>
        <v/>
      </c>
      <c r="AK1975">
        <f>IF([3]Entry!$M$1978="","",[3]Entry!$M$1978)</f>
        <v/>
      </c>
      <c r="AL1975">
        <f>IF([3]Entry!$N$1978="","",[3]Entry!$N$1978)</f>
        <v/>
      </c>
      <c r="AM1975">
        <f>IF([3]Entry!$R$1978="","",[3]Entry!$R$1978)</f>
        <v/>
      </c>
    </row>
    <row r="1976">
      <c r="T1976">
        <f>IF([2]Baskol!$B$1979="","",[2]Baskol!$B$1979)</f>
        <v/>
      </c>
      <c r="U1976">
        <f>IF([2]Baskol!$C$1979="","",[2]Baskol!$C$1979)</f>
        <v/>
      </c>
      <c r="V1976">
        <f>IF([2]Baskol!$D$1979="","",[2]Baskol!$D$1979)</f>
        <v/>
      </c>
      <c r="W1976">
        <f>IF([2]Baskol!$E$1979="","",[2]Baskol!$E$1979)</f>
        <v/>
      </c>
      <c r="X1976">
        <f>IF([2]Baskol!$G$1979="","",[2]Baskol!$G$1979)</f>
        <v/>
      </c>
      <c r="Y1976">
        <f>IF([2]Baskol!$I$1979="","",[2]Baskol!$I$1979)</f>
        <v/>
      </c>
      <c r="Z1976">
        <f>IF([2]Baskol!$J$1979="","",[2]Baskol!$J$1979)</f>
        <v/>
      </c>
      <c r="AA1976">
        <f>IF([2]Baskol!$K$1979="","",[2]Baskol!$K$1979)</f>
        <v/>
      </c>
      <c r="AB1976">
        <f>IF([2]Baskol!$L$1979="","",[2]Baskol!$L$1979)</f>
        <v/>
      </c>
      <c r="AC1976">
        <f>IF([2]Baskol!$N$1979="","",[2]Baskol!$N$1979)</f>
        <v/>
      </c>
      <c r="AD1976">
        <f>IF([2]Baskol!$O$1979="","",[2]Baskol!$O$1979)</f>
        <v/>
      </c>
      <c r="AE1976">
        <f>IF([3]Entry!$C$1979="","",[3]Entry!$C$1979)</f>
        <v/>
      </c>
      <c r="AF1976">
        <f>IF([3]Entry!$D$1979="","",[3]Entry!$D$1979)</f>
        <v/>
      </c>
      <c r="AG1976">
        <f>IF([3]Entry!$E$1979="","",[3]Entry!$E$1979)</f>
        <v/>
      </c>
      <c r="AH1976">
        <f>IF([3]Entry!$G$1979="","",[3]Entry!$G$1979)</f>
        <v/>
      </c>
      <c r="AI1976">
        <f>IF([3]Entry!$K$1979="","",[3]Entry!$K$1979)</f>
        <v/>
      </c>
      <c r="AJ1976">
        <f>IF([3]Entry!$L$1979="","",[3]Entry!$L$1979)</f>
        <v/>
      </c>
      <c r="AK1976">
        <f>IF([3]Entry!$M$1979="","",[3]Entry!$M$1979)</f>
        <v/>
      </c>
      <c r="AL1976">
        <f>IF([3]Entry!$N$1979="","",[3]Entry!$N$1979)</f>
        <v/>
      </c>
      <c r="AM1976">
        <f>IF([3]Entry!$R$1979="","",[3]Entry!$R$1979)</f>
        <v/>
      </c>
    </row>
    <row r="1977">
      <c r="T1977">
        <f>IF([2]Baskol!$B$1980="","",[2]Baskol!$B$1980)</f>
        <v/>
      </c>
      <c r="U1977">
        <f>IF([2]Baskol!$C$1980="","",[2]Baskol!$C$1980)</f>
        <v/>
      </c>
      <c r="V1977">
        <f>IF([2]Baskol!$D$1980="","",[2]Baskol!$D$1980)</f>
        <v/>
      </c>
      <c r="W1977">
        <f>IF([2]Baskol!$E$1980="","",[2]Baskol!$E$1980)</f>
        <v/>
      </c>
      <c r="X1977">
        <f>IF([2]Baskol!$G$1980="","",[2]Baskol!$G$1980)</f>
        <v/>
      </c>
      <c r="Y1977">
        <f>IF([2]Baskol!$I$1980="","",[2]Baskol!$I$1980)</f>
        <v/>
      </c>
      <c r="Z1977">
        <f>IF([2]Baskol!$J$1980="","",[2]Baskol!$J$1980)</f>
        <v/>
      </c>
      <c r="AA1977">
        <f>IF([2]Baskol!$K$1980="","",[2]Baskol!$K$1980)</f>
        <v/>
      </c>
      <c r="AB1977">
        <f>IF([2]Baskol!$L$1980="","",[2]Baskol!$L$1980)</f>
        <v/>
      </c>
      <c r="AC1977">
        <f>IF([2]Baskol!$N$1980="","",[2]Baskol!$N$1980)</f>
        <v/>
      </c>
      <c r="AD1977">
        <f>IF([2]Baskol!$O$1980="","",[2]Baskol!$O$1980)</f>
        <v/>
      </c>
      <c r="AE1977">
        <f>IF([3]Entry!$C$1980="","",[3]Entry!$C$1980)</f>
        <v/>
      </c>
      <c r="AF1977">
        <f>IF([3]Entry!$D$1980="","",[3]Entry!$D$1980)</f>
        <v/>
      </c>
      <c r="AG1977">
        <f>IF([3]Entry!$E$1980="","",[3]Entry!$E$1980)</f>
        <v/>
      </c>
      <c r="AH1977">
        <f>IF([3]Entry!$G$1980="","",[3]Entry!$G$1980)</f>
        <v/>
      </c>
      <c r="AI1977">
        <f>IF([3]Entry!$K$1980="","",[3]Entry!$K$1980)</f>
        <v/>
      </c>
      <c r="AJ1977">
        <f>IF([3]Entry!$L$1980="","",[3]Entry!$L$1980)</f>
        <v/>
      </c>
      <c r="AK1977">
        <f>IF([3]Entry!$M$1980="","",[3]Entry!$M$1980)</f>
        <v/>
      </c>
      <c r="AL1977">
        <f>IF([3]Entry!$N$1980="","",[3]Entry!$N$1980)</f>
        <v/>
      </c>
      <c r="AM1977">
        <f>IF([3]Entry!$R$1980="","",[3]Entry!$R$1980)</f>
        <v/>
      </c>
    </row>
    <row r="1978">
      <c r="T1978">
        <f>IF([2]Baskol!$B$1981="","",[2]Baskol!$B$1981)</f>
        <v/>
      </c>
      <c r="U1978">
        <f>IF([2]Baskol!$C$1981="","",[2]Baskol!$C$1981)</f>
        <v/>
      </c>
      <c r="V1978">
        <f>IF([2]Baskol!$D$1981="","",[2]Baskol!$D$1981)</f>
        <v/>
      </c>
      <c r="W1978">
        <f>IF([2]Baskol!$E$1981="","",[2]Baskol!$E$1981)</f>
        <v/>
      </c>
      <c r="X1978">
        <f>IF([2]Baskol!$G$1981="","",[2]Baskol!$G$1981)</f>
        <v/>
      </c>
      <c r="Y1978">
        <f>IF([2]Baskol!$I$1981="","",[2]Baskol!$I$1981)</f>
        <v/>
      </c>
      <c r="Z1978">
        <f>IF([2]Baskol!$J$1981="","",[2]Baskol!$J$1981)</f>
        <v/>
      </c>
      <c r="AA1978">
        <f>IF([2]Baskol!$K$1981="","",[2]Baskol!$K$1981)</f>
        <v/>
      </c>
      <c r="AB1978">
        <f>IF([2]Baskol!$L$1981="","",[2]Baskol!$L$1981)</f>
        <v/>
      </c>
      <c r="AC1978">
        <f>IF([2]Baskol!$N$1981="","",[2]Baskol!$N$1981)</f>
        <v/>
      </c>
      <c r="AD1978">
        <f>IF([2]Baskol!$O$1981="","",[2]Baskol!$O$1981)</f>
        <v/>
      </c>
      <c r="AE1978">
        <f>IF([3]Entry!$C$1981="","",[3]Entry!$C$1981)</f>
        <v/>
      </c>
      <c r="AF1978">
        <f>IF([3]Entry!$D$1981="","",[3]Entry!$D$1981)</f>
        <v/>
      </c>
      <c r="AG1978">
        <f>IF([3]Entry!$E$1981="","",[3]Entry!$E$1981)</f>
        <v/>
      </c>
      <c r="AH1978">
        <f>IF([3]Entry!$G$1981="","",[3]Entry!$G$1981)</f>
        <v/>
      </c>
      <c r="AI1978">
        <f>IF([3]Entry!$K$1981="","",[3]Entry!$K$1981)</f>
        <v/>
      </c>
      <c r="AJ1978">
        <f>IF([3]Entry!$L$1981="","",[3]Entry!$L$1981)</f>
        <v/>
      </c>
      <c r="AK1978">
        <f>IF([3]Entry!$M$1981="","",[3]Entry!$M$1981)</f>
        <v/>
      </c>
      <c r="AL1978">
        <f>IF([3]Entry!$N$1981="","",[3]Entry!$N$1981)</f>
        <v/>
      </c>
      <c r="AM1978">
        <f>IF([3]Entry!$R$1981="","",[3]Entry!$R$1981)</f>
        <v/>
      </c>
    </row>
    <row r="1979">
      <c r="T1979">
        <f>IF([2]Baskol!$B$1982="","",[2]Baskol!$B$1982)</f>
        <v/>
      </c>
      <c r="U1979">
        <f>IF([2]Baskol!$C$1982="","",[2]Baskol!$C$1982)</f>
        <v/>
      </c>
      <c r="V1979">
        <f>IF([2]Baskol!$D$1982="","",[2]Baskol!$D$1982)</f>
        <v/>
      </c>
      <c r="W1979">
        <f>IF([2]Baskol!$E$1982="","",[2]Baskol!$E$1982)</f>
        <v/>
      </c>
      <c r="X1979">
        <f>IF([2]Baskol!$G$1982="","",[2]Baskol!$G$1982)</f>
        <v/>
      </c>
      <c r="Y1979">
        <f>IF([2]Baskol!$I$1982="","",[2]Baskol!$I$1982)</f>
        <v/>
      </c>
      <c r="Z1979">
        <f>IF([2]Baskol!$J$1982="","",[2]Baskol!$J$1982)</f>
        <v/>
      </c>
      <c r="AA1979">
        <f>IF([2]Baskol!$K$1982="","",[2]Baskol!$K$1982)</f>
        <v/>
      </c>
      <c r="AB1979">
        <f>IF([2]Baskol!$L$1982="","",[2]Baskol!$L$1982)</f>
        <v/>
      </c>
      <c r="AC1979">
        <f>IF([2]Baskol!$N$1982="","",[2]Baskol!$N$1982)</f>
        <v/>
      </c>
      <c r="AD1979">
        <f>IF([2]Baskol!$O$1982="","",[2]Baskol!$O$1982)</f>
        <v/>
      </c>
      <c r="AE1979">
        <f>IF([3]Entry!$C$1982="","",[3]Entry!$C$1982)</f>
        <v/>
      </c>
      <c r="AF1979">
        <f>IF([3]Entry!$D$1982="","",[3]Entry!$D$1982)</f>
        <v/>
      </c>
      <c r="AG1979">
        <f>IF([3]Entry!$E$1982="","",[3]Entry!$E$1982)</f>
        <v/>
      </c>
      <c r="AH1979">
        <f>IF([3]Entry!$G$1982="","",[3]Entry!$G$1982)</f>
        <v/>
      </c>
      <c r="AI1979">
        <f>IF([3]Entry!$K$1982="","",[3]Entry!$K$1982)</f>
        <v/>
      </c>
      <c r="AJ1979">
        <f>IF([3]Entry!$L$1982="","",[3]Entry!$L$1982)</f>
        <v/>
      </c>
      <c r="AK1979">
        <f>IF([3]Entry!$M$1982="","",[3]Entry!$M$1982)</f>
        <v/>
      </c>
      <c r="AL1979">
        <f>IF([3]Entry!$N$1982="","",[3]Entry!$N$1982)</f>
        <v/>
      </c>
      <c r="AM1979">
        <f>IF([3]Entry!$R$1982="","",[3]Entry!$R$1982)</f>
        <v/>
      </c>
    </row>
    <row r="1980">
      <c r="T1980">
        <f>IF([2]Baskol!$B$1983="","",[2]Baskol!$B$1983)</f>
        <v/>
      </c>
      <c r="U1980">
        <f>IF([2]Baskol!$C$1983="","",[2]Baskol!$C$1983)</f>
        <v/>
      </c>
      <c r="V1980">
        <f>IF([2]Baskol!$D$1983="","",[2]Baskol!$D$1983)</f>
        <v/>
      </c>
      <c r="W1980">
        <f>IF([2]Baskol!$E$1983="","",[2]Baskol!$E$1983)</f>
        <v/>
      </c>
      <c r="X1980">
        <f>IF([2]Baskol!$G$1983="","",[2]Baskol!$G$1983)</f>
        <v/>
      </c>
      <c r="Y1980">
        <f>IF([2]Baskol!$I$1983="","",[2]Baskol!$I$1983)</f>
        <v/>
      </c>
      <c r="Z1980">
        <f>IF([2]Baskol!$J$1983="","",[2]Baskol!$J$1983)</f>
        <v/>
      </c>
      <c r="AA1980">
        <f>IF([2]Baskol!$K$1983="","",[2]Baskol!$K$1983)</f>
        <v/>
      </c>
      <c r="AB1980">
        <f>IF([2]Baskol!$L$1983="","",[2]Baskol!$L$1983)</f>
        <v/>
      </c>
      <c r="AC1980">
        <f>IF([2]Baskol!$N$1983="","",[2]Baskol!$N$1983)</f>
        <v/>
      </c>
      <c r="AD1980">
        <f>IF([2]Baskol!$O$1983="","",[2]Baskol!$O$1983)</f>
        <v/>
      </c>
      <c r="AE1980">
        <f>IF([3]Entry!$C$1983="","",[3]Entry!$C$1983)</f>
        <v/>
      </c>
      <c r="AF1980">
        <f>IF([3]Entry!$D$1983="","",[3]Entry!$D$1983)</f>
        <v/>
      </c>
      <c r="AG1980">
        <f>IF([3]Entry!$E$1983="","",[3]Entry!$E$1983)</f>
        <v/>
      </c>
      <c r="AH1980">
        <f>IF([3]Entry!$G$1983="","",[3]Entry!$G$1983)</f>
        <v/>
      </c>
      <c r="AI1980">
        <f>IF([3]Entry!$K$1983="","",[3]Entry!$K$1983)</f>
        <v/>
      </c>
      <c r="AJ1980">
        <f>IF([3]Entry!$L$1983="","",[3]Entry!$L$1983)</f>
        <v/>
      </c>
      <c r="AK1980">
        <f>IF([3]Entry!$M$1983="","",[3]Entry!$M$1983)</f>
        <v/>
      </c>
      <c r="AL1980">
        <f>IF([3]Entry!$N$1983="","",[3]Entry!$N$1983)</f>
        <v/>
      </c>
      <c r="AM1980">
        <f>IF([3]Entry!$R$1983="","",[3]Entry!$R$1983)</f>
        <v/>
      </c>
    </row>
    <row r="1981">
      <c r="T1981">
        <f>IF([2]Baskol!$B$1984="","",[2]Baskol!$B$1984)</f>
        <v/>
      </c>
      <c r="U1981">
        <f>IF([2]Baskol!$C$1984="","",[2]Baskol!$C$1984)</f>
        <v/>
      </c>
      <c r="V1981">
        <f>IF([2]Baskol!$D$1984="","",[2]Baskol!$D$1984)</f>
        <v/>
      </c>
      <c r="W1981">
        <f>IF([2]Baskol!$E$1984="","",[2]Baskol!$E$1984)</f>
        <v/>
      </c>
      <c r="X1981">
        <f>IF([2]Baskol!$G$1984="","",[2]Baskol!$G$1984)</f>
        <v/>
      </c>
      <c r="Y1981">
        <f>IF([2]Baskol!$I$1984="","",[2]Baskol!$I$1984)</f>
        <v/>
      </c>
      <c r="Z1981">
        <f>IF([2]Baskol!$J$1984="","",[2]Baskol!$J$1984)</f>
        <v/>
      </c>
      <c r="AA1981">
        <f>IF([2]Baskol!$K$1984="","",[2]Baskol!$K$1984)</f>
        <v/>
      </c>
      <c r="AB1981">
        <f>IF([2]Baskol!$L$1984="","",[2]Baskol!$L$1984)</f>
        <v/>
      </c>
      <c r="AC1981">
        <f>IF([2]Baskol!$N$1984="","",[2]Baskol!$N$1984)</f>
        <v/>
      </c>
      <c r="AD1981">
        <f>IF([2]Baskol!$O$1984="","",[2]Baskol!$O$1984)</f>
        <v/>
      </c>
      <c r="AE1981">
        <f>IF([3]Entry!$C$1984="","",[3]Entry!$C$1984)</f>
        <v/>
      </c>
      <c r="AF1981">
        <f>IF([3]Entry!$D$1984="","",[3]Entry!$D$1984)</f>
        <v/>
      </c>
      <c r="AG1981">
        <f>IF([3]Entry!$E$1984="","",[3]Entry!$E$1984)</f>
        <v/>
      </c>
      <c r="AH1981">
        <f>IF([3]Entry!$G$1984="","",[3]Entry!$G$1984)</f>
        <v/>
      </c>
      <c r="AI1981">
        <f>IF([3]Entry!$K$1984="","",[3]Entry!$K$1984)</f>
        <v/>
      </c>
      <c r="AJ1981">
        <f>IF([3]Entry!$L$1984="","",[3]Entry!$L$1984)</f>
        <v/>
      </c>
      <c r="AK1981">
        <f>IF([3]Entry!$M$1984="","",[3]Entry!$M$1984)</f>
        <v/>
      </c>
      <c r="AL1981">
        <f>IF([3]Entry!$N$1984="","",[3]Entry!$N$1984)</f>
        <v/>
      </c>
      <c r="AM1981">
        <f>IF([3]Entry!$R$1984="","",[3]Entry!$R$1984)</f>
        <v/>
      </c>
    </row>
    <row r="1982">
      <c r="T1982">
        <f>IF([2]Baskol!$B$1985="","",[2]Baskol!$B$1985)</f>
        <v/>
      </c>
      <c r="U1982">
        <f>IF([2]Baskol!$C$1985="","",[2]Baskol!$C$1985)</f>
        <v/>
      </c>
      <c r="V1982">
        <f>IF([2]Baskol!$D$1985="","",[2]Baskol!$D$1985)</f>
        <v/>
      </c>
      <c r="W1982">
        <f>IF([2]Baskol!$E$1985="","",[2]Baskol!$E$1985)</f>
        <v/>
      </c>
      <c r="X1982">
        <f>IF([2]Baskol!$G$1985="","",[2]Baskol!$G$1985)</f>
        <v/>
      </c>
      <c r="Y1982">
        <f>IF([2]Baskol!$I$1985="","",[2]Baskol!$I$1985)</f>
        <v/>
      </c>
      <c r="Z1982">
        <f>IF([2]Baskol!$J$1985="","",[2]Baskol!$J$1985)</f>
        <v/>
      </c>
      <c r="AA1982">
        <f>IF([2]Baskol!$K$1985="","",[2]Baskol!$K$1985)</f>
        <v/>
      </c>
      <c r="AB1982">
        <f>IF([2]Baskol!$L$1985="","",[2]Baskol!$L$1985)</f>
        <v/>
      </c>
      <c r="AC1982">
        <f>IF([2]Baskol!$N$1985="","",[2]Baskol!$N$1985)</f>
        <v/>
      </c>
      <c r="AD1982">
        <f>IF([2]Baskol!$O$1985="","",[2]Baskol!$O$1985)</f>
        <v/>
      </c>
      <c r="AE1982">
        <f>IF([3]Entry!$C$1985="","",[3]Entry!$C$1985)</f>
        <v/>
      </c>
      <c r="AF1982">
        <f>IF([3]Entry!$D$1985="","",[3]Entry!$D$1985)</f>
        <v/>
      </c>
      <c r="AG1982">
        <f>IF([3]Entry!$E$1985="","",[3]Entry!$E$1985)</f>
        <v/>
      </c>
      <c r="AH1982">
        <f>IF([3]Entry!$G$1985="","",[3]Entry!$G$1985)</f>
        <v/>
      </c>
      <c r="AI1982">
        <f>IF([3]Entry!$K$1985="","",[3]Entry!$K$1985)</f>
        <v/>
      </c>
      <c r="AJ1982">
        <f>IF([3]Entry!$L$1985="","",[3]Entry!$L$1985)</f>
        <v/>
      </c>
      <c r="AK1982">
        <f>IF([3]Entry!$M$1985="","",[3]Entry!$M$1985)</f>
        <v/>
      </c>
      <c r="AL1982">
        <f>IF([3]Entry!$N$1985="","",[3]Entry!$N$1985)</f>
        <v/>
      </c>
      <c r="AM1982">
        <f>IF([3]Entry!$R$1985="","",[3]Entry!$R$1985)</f>
        <v/>
      </c>
    </row>
    <row r="1983">
      <c r="T1983">
        <f>IF([2]Baskol!$B$1986="","",[2]Baskol!$B$1986)</f>
        <v/>
      </c>
      <c r="U1983">
        <f>IF([2]Baskol!$C$1986="","",[2]Baskol!$C$1986)</f>
        <v/>
      </c>
      <c r="V1983">
        <f>IF([2]Baskol!$D$1986="","",[2]Baskol!$D$1986)</f>
        <v/>
      </c>
      <c r="W1983">
        <f>IF([2]Baskol!$E$1986="","",[2]Baskol!$E$1986)</f>
        <v/>
      </c>
      <c r="X1983">
        <f>IF([2]Baskol!$G$1986="","",[2]Baskol!$G$1986)</f>
        <v/>
      </c>
      <c r="Y1983">
        <f>IF([2]Baskol!$I$1986="","",[2]Baskol!$I$1986)</f>
        <v/>
      </c>
      <c r="Z1983">
        <f>IF([2]Baskol!$J$1986="","",[2]Baskol!$J$1986)</f>
        <v/>
      </c>
      <c r="AA1983">
        <f>IF([2]Baskol!$K$1986="","",[2]Baskol!$K$1986)</f>
        <v/>
      </c>
      <c r="AB1983">
        <f>IF([2]Baskol!$L$1986="","",[2]Baskol!$L$1986)</f>
        <v/>
      </c>
      <c r="AC1983">
        <f>IF([2]Baskol!$N$1986="","",[2]Baskol!$N$1986)</f>
        <v/>
      </c>
      <c r="AD1983">
        <f>IF([2]Baskol!$O$1986="","",[2]Baskol!$O$1986)</f>
        <v/>
      </c>
      <c r="AE1983">
        <f>IF([3]Entry!$C$1986="","",[3]Entry!$C$1986)</f>
        <v/>
      </c>
      <c r="AF1983">
        <f>IF([3]Entry!$D$1986="","",[3]Entry!$D$1986)</f>
        <v/>
      </c>
      <c r="AG1983">
        <f>IF([3]Entry!$E$1986="","",[3]Entry!$E$1986)</f>
        <v/>
      </c>
      <c r="AH1983">
        <f>IF([3]Entry!$G$1986="","",[3]Entry!$G$1986)</f>
        <v/>
      </c>
      <c r="AI1983">
        <f>IF([3]Entry!$K$1986="","",[3]Entry!$K$1986)</f>
        <v/>
      </c>
      <c r="AJ1983">
        <f>IF([3]Entry!$L$1986="","",[3]Entry!$L$1986)</f>
        <v/>
      </c>
      <c r="AK1983">
        <f>IF([3]Entry!$M$1986="","",[3]Entry!$M$1986)</f>
        <v/>
      </c>
      <c r="AL1983">
        <f>IF([3]Entry!$N$1986="","",[3]Entry!$N$1986)</f>
        <v/>
      </c>
      <c r="AM1983">
        <f>IF([3]Entry!$R$1986="","",[3]Entry!$R$1986)</f>
        <v/>
      </c>
    </row>
    <row r="1984">
      <c r="T1984">
        <f>IF([2]Baskol!$B$1987="","",[2]Baskol!$B$1987)</f>
        <v/>
      </c>
      <c r="U1984">
        <f>IF([2]Baskol!$C$1987="","",[2]Baskol!$C$1987)</f>
        <v/>
      </c>
      <c r="V1984">
        <f>IF([2]Baskol!$D$1987="","",[2]Baskol!$D$1987)</f>
        <v/>
      </c>
      <c r="W1984">
        <f>IF([2]Baskol!$E$1987="","",[2]Baskol!$E$1987)</f>
        <v/>
      </c>
      <c r="X1984">
        <f>IF([2]Baskol!$G$1987="","",[2]Baskol!$G$1987)</f>
        <v/>
      </c>
      <c r="Y1984">
        <f>IF([2]Baskol!$I$1987="","",[2]Baskol!$I$1987)</f>
        <v/>
      </c>
      <c r="Z1984">
        <f>IF([2]Baskol!$J$1987="","",[2]Baskol!$J$1987)</f>
        <v/>
      </c>
      <c r="AA1984">
        <f>IF([2]Baskol!$K$1987="","",[2]Baskol!$K$1987)</f>
        <v/>
      </c>
      <c r="AB1984">
        <f>IF([2]Baskol!$L$1987="","",[2]Baskol!$L$1987)</f>
        <v/>
      </c>
      <c r="AC1984">
        <f>IF([2]Baskol!$N$1987="","",[2]Baskol!$N$1987)</f>
        <v/>
      </c>
      <c r="AD1984">
        <f>IF([2]Baskol!$O$1987="","",[2]Baskol!$O$1987)</f>
        <v/>
      </c>
      <c r="AE1984">
        <f>IF([3]Entry!$C$1987="","",[3]Entry!$C$1987)</f>
        <v/>
      </c>
      <c r="AF1984">
        <f>IF([3]Entry!$D$1987="","",[3]Entry!$D$1987)</f>
        <v/>
      </c>
      <c r="AG1984">
        <f>IF([3]Entry!$E$1987="","",[3]Entry!$E$1987)</f>
        <v/>
      </c>
      <c r="AH1984">
        <f>IF([3]Entry!$G$1987="","",[3]Entry!$G$1987)</f>
        <v/>
      </c>
      <c r="AI1984">
        <f>IF([3]Entry!$K$1987="","",[3]Entry!$K$1987)</f>
        <v/>
      </c>
      <c r="AJ1984">
        <f>IF([3]Entry!$L$1987="","",[3]Entry!$L$1987)</f>
        <v/>
      </c>
      <c r="AK1984">
        <f>IF([3]Entry!$M$1987="","",[3]Entry!$M$1987)</f>
        <v/>
      </c>
      <c r="AL1984">
        <f>IF([3]Entry!$N$1987="","",[3]Entry!$N$1987)</f>
        <v/>
      </c>
      <c r="AM1984">
        <f>IF([3]Entry!$R$1987="","",[3]Entry!$R$1987)</f>
        <v/>
      </c>
    </row>
    <row r="1985">
      <c r="T1985">
        <f>IF([2]Baskol!$B$1988="","",[2]Baskol!$B$1988)</f>
        <v/>
      </c>
      <c r="U1985">
        <f>IF([2]Baskol!$C$1988="","",[2]Baskol!$C$1988)</f>
        <v/>
      </c>
      <c r="V1985">
        <f>IF([2]Baskol!$D$1988="","",[2]Baskol!$D$1988)</f>
        <v/>
      </c>
      <c r="W1985">
        <f>IF([2]Baskol!$E$1988="","",[2]Baskol!$E$1988)</f>
        <v/>
      </c>
      <c r="X1985">
        <f>IF([2]Baskol!$G$1988="","",[2]Baskol!$G$1988)</f>
        <v/>
      </c>
      <c r="Y1985">
        <f>IF([2]Baskol!$I$1988="","",[2]Baskol!$I$1988)</f>
        <v/>
      </c>
      <c r="Z1985">
        <f>IF([2]Baskol!$J$1988="","",[2]Baskol!$J$1988)</f>
        <v/>
      </c>
      <c r="AA1985">
        <f>IF([2]Baskol!$K$1988="","",[2]Baskol!$K$1988)</f>
        <v/>
      </c>
      <c r="AB1985">
        <f>IF([2]Baskol!$L$1988="","",[2]Baskol!$L$1988)</f>
        <v/>
      </c>
      <c r="AC1985">
        <f>IF([2]Baskol!$N$1988="","",[2]Baskol!$N$1988)</f>
        <v/>
      </c>
      <c r="AD1985">
        <f>IF([2]Baskol!$O$1988="","",[2]Baskol!$O$1988)</f>
        <v/>
      </c>
      <c r="AE1985">
        <f>IF([3]Entry!$C$1988="","",[3]Entry!$C$1988)</f>
        <v/>
      </c>
      <c r="AF1985">
        <f>IF([3]Entry!$D$1988="","",[3]Entry!$D$1988)</f>
        <v/>
      </c>
      <c r="AG1985">
        <f>IF([3]Entry!$E$1988="","",[3]Entry!$E$1988)</f>
        <v/>
      </c>
      <c r="AH1985">
        <f>IF([3]Entry!$G$1988="","",[3]Entry!$G$1988)</f>
        <v/>
      </c>
      <c r="AI1985">
        <f>IF([3]Entry!$K$1988="","",[3]Entry!$K$1988)</f>
        <v/>
      </c>
      <c r="AJ1985">
        <f>IF([3]Entry!$L$1988="","",[3]Entry!$L$1988)</f>
        <v/>
      </c>
      <c r="AK1985">
        <f>IF([3]Entry!$M$1988="","",[3]Entry!$M$1988)</f>
        <v/>
      </c>
      <c r="AL1985">
        <f>IF([3]Entry!$N$1988="","",[3]Entry!$N$1988)</f>
        <v/>
      </c>
      <c r="AM1985">
        <f>IF([3]Entry!$R$1988="","",[3]Entry!$R$1988)</f>
        <v/>
      </c>
    </row>
    <row r="1986">
      <c r="T1986">
        <f>IF([2]Baskol!$B$1989="","",[2]Baskol!$B$1989)</f>
        <v/>
      </c>
      <c r="U1986">
        <f>IF([2]Baskol!$C$1989="","",[2]Baskol!$C$1989)</f>
        <v/>
      </c>
      <c r="V1986">
        <f>IF([2]Baskol!$D$1989="","",[2]Baskol!$D$1989)</f>
        <v/>
      </c>
      <c r="W1986">
        <f>IF([2]Baskol!$E$1989="","",[2]Baskol!$E$1989)</f>
        <v/>
      </c>
      <c r="X1986">
        <f>IF([2]Baskol!$G$1989="","",[2]Baskol!$G$1989)</f>
        <v/>
      </c>
      <c r="Y1986">
        <f>IF([2]Baskol!$I$1989="","",[2]Baskol!$I$1989)</f>
        <v/>
      </c>
      <c r="Z1986">
        <f>IF([2]Baskol!$J$1989="","",[2]Baskol!$J$1989)</f>
        <v/>
      </c>
      <c r="AA1986">
        <f>IF([2]Baskol!$K$1989="","",[2]Baskol!$K$1989)</f>
        <v/>
      </c>
      <c r="AB1986">
        <f>IF([2]Baskol!$L$1989="","",[2]Baskol!$L$1989)</f>
        <v/>
      </c>
      <c r="AC1986">
        <f>IF([2]Baskol!$N$1989="","",[2]Baskol!$N$1989)</f>
        <v/>
      </c>
      <c r="AD1986">
        <f>IF([2]Baskol!$O$1989="","",[2]Baskol!$O$1989)</f>
        <v/>
      </c>
      <c r="AE1986">
        <f>IF([3]Entry!$C$1989="","",[3]Entry!$C$1989)</f>
        <v/>
      </c>
      <c r="AF1986">
        <f>IF([3]Entry!$D$1989="","",[3]Entry!$D$1989)</f>
        <v/>
      </c>
      <c r="AG1986">
        <f>IF([3]Entry!$E$1989="","",[3]Entry!$E$1989)</f>
        <v/>
      </c>
      <c r="AH1986">
        <f>IF([3]Entry!$G$1989="","",[3]Entry!$G$1989)</f>
        <v/>
      </c>
      <c r="AI1986">
        <f>IF([3]Entry!$K$1989="","",[3]Entry!$K$1989)</f>
        <v/>
      </c>
      <c r="AJ1986">
        <f>IF([3]Entry!$L$1989="","",[3]Entry!$L$1989)</f>
        <v/>
      </c>
      <c r="AK1986">
        <f>IF([3]Entry!$M$1989="","",[3]Entry!$M$1989)</f>
        <v/>
      </c>
      <c r="AL1986">
        <f>IF([3]Entry!$N$1989="","",[3]Entry!$N$1989)</f>
        <v/>
      </c>
      <c r="AM1986">
        <f>IF([3]Entry!$R$1989="","",[3]Entry!$R$1989)</f>
        <v/>
      </c>
    </row>
    <row r="1987">
      <c r="T1987">
        <f>IF([2]Baskol!$B$1990="","",[2]Baskol!$B$1990)</f>
        <v/>
      </c>
      <c r="U1987">
        <f>IF([2]Baskol!$C$1990="","",[2]Baskol!$C$1990)</f>
        <v/>
      </c>
      <c r="V1987">
        <f>IF([2]Baskol!$D$1990="","",[2]Baskol!$D$1990)</f>
        <v/>
      </c>
      <c r="W1987">
        <f>IF([2]Baskol!$E$1990="","",[2]Baskol!$E$1990)</f>
        <v/>
      </c>
      <c r="X1987">
        <f>IF([2]Baskol!$G$1990="","",[2]Baskol!$G$1990)</f>
        <v/>
      </c>
      <c r="Y1987">
        <f>IF([2]Baskol!$I$1990="","",[2]Baskol!$I$1990)</f>
        <v/>
      </c>
      <c r="Z1987">
        <f>IF([2]Baskol!$J$1990="","",[2]Baskol!$J$1990)</f>
        <v/>
      </c>
      <c r="AA1987">
        <f>IF([2]Baskol!$K$1990="","",[2]Baskol!$K$1990)</f>
        <v/>
      </c>
      <c r="AB1987">
        <f>IF([2]Baskol!$L$1990="","",[2]Baskol!$L$1990)</f>
        <v/>
      </c>
      <c r="AC1987">
        <f>IF([2]Baskol!$N$1990="","",[2]Baskol!$N$1990)</f>
        <v/>
      </c>
      <c r="AD1987">
        <f>IF([2]Baskol!$O$1990="","",[2]Baskol!$O$1990)</f>
        <v/>
      </c>
      <c r="AE1987">
        <f>IF([3]Entry!$C$1990="","",[3]Entry!$C$1990)</f>
        <v/>
      </c>
      <c r="AF1987">
        <f>IF([3]Entry!$D$1990="","",[3]Entry!$D$1990)</f>
        <v/>
      </c>
      <c r="AG1987">
        <f>IF([3]Entry!$E$1990="","",[3]Entry!$E$1990)</f>
        <v/>
      </c>
      <c r="AH1987">
        <f>IF([3]Entry!$G$1990="","",[3]Entry!$G$1990)</f>
        <v/>
      </c>
      <c r="AI1987">
        <f>IF([3]Entry!$K$1990="","",[3]Entry!$K$1990)</f>
        <v/>
      </c>
      <c r="AJ1987">
        <f>IF([3]Entry!$L$1990="","",[3]Entry!$L$1990)</f>
        <v/>
      </c>
      <c r="AK1987">
        <f>IF([3]Entry!$M$1990="","",[3]Entry!$M$1990)</f>
        <v/>
      </c>
      <c r="AL1987">
        <f>IF([3]Entry!$N$1990="","",[3]Entry!$N$1990)</f>
        <v/>
      </c>
      <c r="AM1987">
        <f>IF([3]Entry!$R$1990="","",[3]Entry!$R$1990)</f>
        <v/>
      </c>
    </row>
    <row r="1988">
      <c r="T1988">
        <f>IF([2]Baskol!$B$1991="","",[2]Baskol!$B$1991)</f>
        <v/>
      </c>
      <c r="U1988">
        <f>IF([2]Baskol!$C$1991="","",[2]Baskol!$C$1991)</f>
        <v/>
      </c>
      <c r="V1988">
        <f>IF([2]Baskol!$D$1991="","",[2]Baskol!$D$1991)</f>
        <v/>
      </c>
      <c r="W1988">
        <f>IF([2]Baskol!$E$1991="","",[2]Baskol!$E$1991)</f>
        <v/>
      </c>
      <c r="X1988">
        <f>IF([2]Baskol!$G$1991="","",[2]Baskol!$G$1991)</f>
        <v/>
      </c>
      <c r="Y1988">
        <f>IF([2]Baskol!$I$1991="","",[2]Baskol!$I$1991)</f>
        <v/>
      </c>
      <c r="Z1988">
        <f>IF([2]Baskol!$J$1991="","",[2]Baskol!$J$1991)</f>
        <v/>
      </c>
      <c r="AA1988">
        <f>IF([2]Baskol!$K$1991="","",[2]Baskol!$K$1991)</f>
        <v/>
      </c>
      <c r="AB1988">
        <f>IF([2]Baskol!$L$1991="","",[2]Baskol!$L$1991)</f>
        <v/>
      </c>
      <c r="AC1988">
        <f>IF([2]Baskol!$N$1991="","",[2]Baskol!$N$1991)</f>
        <v/>
      </c>
      <c r="AD1988">
        <f>IF([2]Baskol!$O$1991="","",[2]Baskol!$O$1991)</f>
        <v/>
      </c>
      <c r="AE1988">
        <f>IF([3]Entry!$C$1991="","",[3]Entry!$C$1991)</f>
        <v/>
      </c>
      <c r="AF1988">
        <f>IF([3]Entry!$D$1991="","",[3]Entry!$D$1991)</f>
        <v/>
      </c>
      <c r="AG1988">
        <f>IF([3]Entry!$E$1991="","",[3]Entry!$E$1991)</f>
        <v/>
      </c>
      <c r="AH1988">
        <f>IF([3]Entry!$G$1991="","",[3]Entry!$G$1991)</f>
        <v/>
      </c>
      <c r="AI1988">
        <f>IF([3]Entry!$K$1991="","",[3]Entry!$K$1991)</f>
        <v/>
      </c>
      <c r="AJ1988">
        <f>IF([3]Entry!$L$1991="","",[3]Entry!$L$1991)</f>
        <v/>
      </c>
      <c r="AK1988">
        <f>IF([3]Entry!$M$1991="","",[3]Entry!$M$1991)</f>
        <v/>
      </c>
      <c r="AL1988">
        <f>IF([3]Entry!$N$1991="","",[3]Entry!$N$1991)</f>
        <v/>
      </c>
      <c r="AM1988">
        <f>IF([3]Entry!$R$1991="","",[3]Entry!$R$1991)</f>
        <v/>
      </c>
    </row>
    <row r="1989">
      <c r="T1989">
        <f>IF([2]Baskol!$B$1992="","",[2]Baskol!$B$1992)</f>
        <v/>
      </c>
      <c r="U1989">
        <f>IF([2]Baskol!$C$1992="","",[2]Baskol!$C$1992)</f>
        <v/>
      </c>
      <c r="V1989">
        <f>IF([2]Baskol!$D$1992="","",[2]Baskol!$D$1992)</f>
        <v/>
      </c>
      <c r="W1989">
        <f>IF([2]Baskol!$E$1992="","",[2]Baskol!$E$1992)</f>
        <v/>
      </c>
      <c r="X1989">
        <f>IF([2]Baskol!$G$1992="","",[2]Baskol!$G$1992)</f>
        <v/>
      </c>
      <c r="Y1989">
        <f>IF([2]Baskol!$I$1992="","",[2]Baskol!$I$1992)</f>
        <v/>
      </c>
      <c r="Z1989">
        <f>IF([2]Baskol!$J$1992="","",[2]Baskol!$J$1992)</f>
        <v/>
      </c>
      <c r="AA1989">
        <f>IF([2]Baskol!$K$1992="","",[2]Baskol!$K$1992)</f>
        <v/>
      </c>
      <c r="AB1989">
        <f>IF([2]Baskol!$L$1992="","",[2]Baskol!$L$1992)</f>
        <v/>
      </c>
      <c r="AC1989">
        <f>IF([2]Baskol!$N$1992="","",[2]Baskol!$N$1992)</f>
        <v/>
      </c>
      <c r="AD1989">
        <f>IF([2]Baskol!$O$1992="","",[2]Baskol!$O$1992)</f>
        <v/>
      </c>
      <c r="AE1989">
        <f>IF([3]Entry!$C$1992="","",[3]Entry!$C$1992)</f>
        <v/>
      </c>
      <c r="AF1989">
        <f>IF([3]Entry!$D$1992="","",[3]Entry!$D$1992)</f>
        <v/>
      </c>
      <c r="AG1989">
        <f>IF([3]Entry!$E$1992="","",[3]Entry!$E$1992)</f>
        <v/>
      </c>
      <c r="AH1989">
        <f>IF([3]Entry!$G$1992="","",[3]Entry!$G$1992)</f>
        <v/>
      </c>
      <c r="AI1989">
        <f>IF([3]Entry!$K$1992="","",[3]Entry!$K$1992)</f>
        <v/>
      </c>
      <c r="AJ1989">
        <f>IF([3]Entry!$L$1992="","",[3]Entry!$L$1992)</f>
        <v/>
      </c>
      <c r="AK1989">
        <f>IF([3]Entry!$M$1992="","",[3]Entry!$M$1992)</f>
        <v/>
      </c>
      <c r="AL1989">
        <f>IF([3]Entry!$N$1992="","",[3]Entry!$N$1992)</f>
        <v/>
      </c>
      <c r="AM1989">
        <f>IF([3]Entry!$R$1992="","",[3]Entry!$R$1992)</f>
        <v/>
      </c>
    </row>
    <row r="1990">
      <c r="T1990">
        <f>IF([2]Baskol!$B$1993="","",[2]Baskol!$B$1993)</f>
        <v/>
      </c>
      <c r="U1990">
        <f>IF([2]Baskol!$C$1993="","",[2]Baskol!$C$1993)</f>
        <v/>
      </c>
      <c r="V1990">
        <f>IF([2]Baskol!$D$1993="","",[2]Baskol!$D$1993)</f>
        <v/>
      </c>
      <c r="W1990">
        <f>IF([2]Baskol!$E$1993="","",[2]Baskol!$E$1993)</f>
        <v/>
      </c>
      <c r="X1990">
        <f>IF([2]Baskol!$G$1993="","",[2]Baskol!$G$1993)</f>
        <v/>
      </c>
      <c r="Y1990">
        <f>IF([2]Baskol!$I$1993="","",[2]Baskol!$I$1993)</f>
        <v/>
      </c>
      <c r="Z1990">
        <f>IF([2]Baskol!$J$1993="","",[2]Baskol!$J$1993)</f>
        <v/>
      </c>
      <c r="AA1990">
        <f>IF([2]Baskol!$K$1993="","",[2]Baskol!$K$1993)</f>
        <v/>
      </c>
      <c r="AB1990">
        <f>IF([2]Baskol!$L$1993="","",[2]Baskol!$L$1993)</f>
        <v/>
      </c>
      <c r="AC1990">
        <f>IF([2]Baskol!$N$1993="","",[2]Baskol!$N$1993)</f>
        <v/>
      </c>
      <c r="AD1990">
        <f>IF([2]Baskol!$O$1993="","",[2]Baskol!$O$1993)</f>
        <v/>
      </c>
      <c r="AE1990">
        <f>IF([3]Entry!$C$1993="","",[3]Entry!$C$1993)</f>
        <v/>
      </c>
      <c r="AF1990">
        <f>IF([3]Entry!$D$1993="","",[3]Entry!$D$1993)</f>
        <v/>
      </c>
      <c r="AG1990">
        <f>IF([3]Entry!$E$1993="","",[3]Entry!$E$1993)</f>
        <v/>
      </c>
      <c r="AH1990">
        <f>IF([3]Entry!$G$1993="","",[3]Entry!$G$1993)</f>
        <v/>
      </c>
      <c r="AI1990">
        <f>IF([3]Entry!$K$1993="","",[3]Entry!$K$1993)</f>
        <v/>
      </c>
      <c r="AJ1990">
        <f>IF([3]Entry!$L$1993="","",[3]Entry!$L$1993)</f>
        <v/>
      </c>
      <c r="AK1990">
        <f>IF([3]Entry!$M$1993="","",[3]Entry!$M$1993)</f>
        <v/>
      </c>
      <c r="AL1990">
        <f>IF([3]Entry!$N$1993="","",[3]Entry!$N$1993)</f>
        <v/>
      </c>
      <c r="AM1990">
        <f>IF([3]Entry!$R$1993="","",[3]Entry!$R$1993)</f>
        <v/>
      </c>
    </row>
    <row r="1991">
      <c r="T1991">
        <f>IF([2]Baskol!$B$1994="","",[2]Baskol!$B$1994)</f>
        <v/>
      </c>
      <c r="U1991">
        <f>IF([2]Baskol!$C$1994="","",[2]Baskol!$C$1994)</f>
        <v/>
      </c>
      <c r="V1991">
        <f>IF([2]Baskol!$D$1994="","",[2]Baskol!$D$1994)</f>
        <v/>
      </c>
      <c r="W1991">
        <f>IF([2]Baskol!$E$1994="","",[2]Baskol!$E$1994)</f>
        <v/>
      </c>
      <c r="X1991">
        <f>IF([2]Baskol!$G$1994="","",[2]Baskol!$G$1994)</f>
        <v/>
      </c>
      <c r="Y1991">
        <f>IF([2]Baskol!$I$1994="","",[2]Baskol!$I$1994)</f>
        <v/>
      </c>
      <c r="Z1991">
        <f>IF([2]Baskol!$J$1994="","",[2]Baskol!$J$1994)</f>
        <v/>
      </c>
      <c r="AA1991">
        <f>IF([2]Baskol!$K$1994="","",[2]Baskol!$K$1994)</f>
        <v/>
      </c>
      <c r="AB1991">
        <f>IF([2]Baskol!$L$1994="","",[2]Baskol!$L$1994)</f>
        <v/>
      </c>
      <c r="AC1991">
        <f>IF([2]Baskol!$N$1994="","",[2]Baskol!$N$1994)</f>
        <v/>
      </c>
      <c r="AD1991">
        <f>IF([2]Baskol!$O$1994="","",[2]Baskol!$O$1994)</f>
        <v/>
      </c>
      <c r="AE1991">
        <f>IF([3]Entry!$C$1994="","",[3]Entry!$C$1994)</f>
        <v/>
      </c>
      <c r="AF1991">
        <f>IF([3]Entry!$D$1994="","",[3]Entry!$D$1994)</f>
        <v/>
      </c>
      <c r="AG1991">
        <f>IF([3]Entry!$E$1994="","",[3]Entry!$E$1994)</f>
        <v/>
      </c>
      <c r="AH1991">
        <f>IF([3]Entry!$G$1994="","",[3]Entry!$G$1994)</f>
        <v/>
      </c>
      <c r="AI1991">
        <f>IF([3]Entry!$K$1994="","",[3]Entry!$K$1994)</f>
        <v/>
      </c>
      <c r="AJ1991">
        <f>IF([3]Entry!$L$1994="","",[3]Entry!$L$1994)</f>
        <v/>
      </c>
      <c r="AK1991">
        <f>IF([3]Entry!$M$1994="","",[3]Entry!$M$1994)</f>
        <v/>
      </c>
      <c r="AL1991">
        <f>IF([3]Entry!$N$1994="","",[3]Entry!$N$1994)</f>
        <v/>
      </c>
      <c r="AM1991">
        <f>IF([3]Entry!$R$1994="","",[3]Entry!$R$1994)</f>
        <v/>
      </c>
    </row>
    <row r="1992">
      <c r="T1992">
        <f>IF([2]Baskol!$B$1995="","",[2]Baskol!$B$1995)</f>
        <v/>
      </c>
      <c r="U1992">
        <f>IF([2]Baskol!$C$1995="","",[2]Baskol!$C$1995)</f>
        <v/>
      </c>
      <c r="V1992">
        <f>IF([2]Baskol!$D$1995="","",[2]Baskol!$D$1995)</f>
        <v/>
      </c>
      <c r="W1992">
        <f>IF([2]Baskol!$E$1995="","",[2]Baskol!$E$1995)</f>
        <v/>
      </c>
      <c r="X1992">
        <f>IF([2]Baskol!$G$1995="","",[2]Baskol!$G$1995)</f>
        <v/>
      </c>
      <c r="Y1992">
        <f>IF([2]Baskol!$I$1995="","",[2]Baskol!$I$1995)</f>
        <v/>
      </c>
      <c r="Z1992">
        <f>IF([2]Baskol!$J$1995="","",[2]Baskol!$J$1995)</f>
        <v/>
      </c>
      <c r="AA1992">
        <f>IF([2]Baskol!$K$1995="","",[2]Baskol!$K$1995)</f>
        <v/>
      </c>
      <c r="AB1992">
        <f>IF([2]Baskol!$L$1995="","",[2]Baskol!$L$1995)</f>
        <v/>
      </c>
      <c r="AC1992">
        <f>IF([2]Baskol!$N$1995="","",[2]Baskol!$N$1995)</f>
        <v/>
      </c>
      <c r="AD1992">
        <f>IF([2]Baskol!$O$1995="","",[2]Baskol!$O$1995)</f>
        <v/>
      </c>
      <c r="AE1992">
        <f>IF([3]Entry!$C$1995="","",[3]Entry!$C$1995)</f>
        <v/>
      </c>
      <c r="AF1992">
        <f>IF([3]Entry!$D$1995="","",[3]Entry!$D$1995)</f>
        <v/>
      </c>
      <c r="AG1992">
        <f>IF([3]Entry!$E$1995="","",[3]Entry!$E$1995)</f>
        <v/>
      </c>
      <c r="AH1992">
        <f>IF([3]Entry!$G$1995="","",[3]Entry!$G$1995)</f>
        <v/>
      </c>
      <c r="AI1992">
        <f>IF([3]Entry!$K$1995="","",[3]Entry!$K$1995)</f>
        <v/>
      </c>
      <c r="AJ1992">
        <f>IF([3]Entry!$L$1995="","",[3]Entry!$L$1995)</f>
        <v/>
      </c>
      <c r="AK1992">
        <f>IF([3]Entry!$M$1995="","",[3]Entry!$M$1995)</f>
        <v/>
      </c>
      <c r="AL1992">
        <f>IF([3]Entry!$N$1995="","",[3]Entry!$N$1995)</f>
        <v/>
      </c>
      <c r="AM1992">
        <f>IF([3]Entry!$R$1995="","",[3]Entry!$R$1995)</f>
        <v/>
      </c>
    </row>
    <row r="1993">
      <c r="T1993">
        <f>IF([2]Baskol!$B$1996="","",[2]Baskol!$B$1996)</f>
        <v/>
      </c>
      <c r="U1993">
        <f>IF([2]Baskol!$C$1996="","",[2]Baskol!$C$1996)</f>
        <v/>
      </c>
      <c r="V1993">
        <f>IF([2]Baskol!$D$1996="","",[2]Baskol!$D$1996)</f>
        <v/>
      </c>
      <c r="W1993">
        <f>IF([2]Baskol!$E$1996="","",[2]Baskol!$E$1996)</f>
        <v/>
      </c>
      <c r="X1993">
        <f>IF([2]Baskol!$G$1996="","",[2]Baskol!$G$1996)</f>
        <v/>
      </c>
      <c r="Y1993">
        <f>IF([2]Baskol!$I$1996="","",[2]Baskol!$I$1996)</f>
        <v/>
      </c>
      <c r="Z1993">
        <f>IF([2]Baskol!$J$1996="","",[2]Baskol!$J$1996)</f>
        <v/>
      </c>
      <c r="AA1993">
        <f>IF([2]Baskol!$K$1996="","",[2]Baskol!$K$1996)</f>
        <v/>
      </c>
      <c r="AB1993">
        <f>IF([2]Baskol!$L$1996="","",[2]Baskol!$L$1996)</f>
        <v/>
      </c>
      <c r="AC1993">
        <f>IF([2]Baskol!$N$1996="","",[2]Baskol!$N$1996)</f>
        <v/>
      </c>
      <c r="AD1993">
        <f>IF([2]Baskol!$O$1996="","",[2]Baskol!$O$1996)</f>
        <v/>
      </c>
      <c r="AE1993">
        <f>IF([3]Entry!$C$1996="","",[3]Entry!$C$1996)</f>
        <v/>
      </c>
      <c r="AF1993">
        <f>IF([3]Entry!$D$1996="","",[3]Entry!$D$1996)</f>
        <v/>
      </c>
      <c r="AG1993">
        <f>IF([3]Entry!$E$1996="","",[3]Entry!$E$1996)</f>
        <v/>
      </c>
      <c r="AH1993">
        <f>IF([3]Entry!$G$1996="","",[3]Entry!$G$1996)</f>
        <v/>
      </c>
      <c r="AI1993">
        <f>IF([3]Entry!$K$1996="","",[3]Entry!$K$1996)</f>
        <v/>
      </c>
      <c r="AJ1993">
        <f>IF([3]Entry!$L$1996="","",[3]Entry!$L$1996)</f>
        <v/>
      </c>
      <c r="AK1993">
        <f>IF([3]Entry!$M$1996="","",[3]Entry!$M$1996)</f>
        <v/>
      </c>
      <c r="AL1993">
        <f>IF([3]Entry!$N$1996="","",[3]Entry!$N$1996)</f>
        <v/>
      </c>
      <c r="AM1993">
        <f>IF([3]Entry!$R$1996="","",[3]Entry!$R$1996)</f>
        <v/>
      </c>
    </row>
    <row r="1994">
      <c r="T1994">
        <f>IF([2]Baskol!$B$1997="","",[2]Baskol!$B$1997)</f>
        <v/>
      </c>
      <c r="U1994">
        <f>IF([2]Baskol!$C$1997="","",[2]Baskol!$C$1997)</f>
        <v/>
      </c>
      <c r="V1994">
        <f>IF([2]Baskol!$D$1997="","",[2]Baskol!$D$1997)</f>
        <v/>
      </c>
      <c r="W1994">
        <f>IF([2]Baskol!$E$1997="","",[2]Baskol!$E$1997)</f>
        <v/>
      </c>
      <c r="X1994">
        <f>IF([2]Baskol!$G$1997="","",[2]Baskol!$G$1997)</f>
        <v/>
      </c>
      <c r="Y1994">
        <f>IF([2]Baskol!$I$1997="","",[2]Baskol!$I$1997)</f>
        <v/>
      </c>
      <c r="Z1994">
        <f>IF([2]Baskol!$J$1997="","",[2]Baskol!$J$1997)</f>
        <v/>
      </c>
      <c r="AA1994">
        <f>IF([2]Baskol!$K$1997="","",[2]Baskol!$K$1997)</f>
        <v/>
      </c>
      <c r="AB1994">
        <f>IF([2]Baskol!$L$1997="","",[2]Baskol!$L$1997)</f>
        <v/>
      </c>
      <c r="AC1994">
        <f>IF([2]Baskol!$N$1997="","",[2]Baskol!$N$1997)</f>
        <v/>
      </c>
      <c r="AD1994">
        <f>IF([2]Baskol!$O$1997="","",[2]Baskol!$O$1997)</f>
        <v/>
      </c>
      <c r="AE1994">
        <f>IF([3]Entry!$C$1997="","",[3]Entry!$C$1997)</f>
        <v/>
      </c>
      <c r="AF1994">
        <f>IF([3]Entry!$D$1997="","",[3]Entry!$D$1997)</f>
        <v/>
      </c>
      <c r="AG1994">
        <f>IF([3]Entry!$E$1997="","",[3]Entry!$E$1997)</f>
        <v/>
      </c>
      <c r="AH1994">
        <f>IF([3]Entry!$G$1997="","",[3]Entry!$G$1997)</f>
        <v/>
      </c>
      <c r="AI1994">
        <f>IF([3]Entry!$K$1997="","",[3]Entry!$K$1997)</f>
        <v/>
      </c>
      <c r="AJ1994">
        <f>IF([3]Entry!$L$1997="","",[3]Entry!$L$1997)</f>
        <v/>
      </c>
      <c r="AK1994">
        <f>IF([3]Entry!$M$1997="","",[3]Entry!$M$1997)</f>
        <v/>
      </c>
      <c r="AL1994">
        <f>IF([3]Entry!$N$1997="","",[3]Entry!$N$1997)</f>
        <v/>
      </c>
      <c r="AM1994">
        <f>IF([3]Entry!$R$1997="","",[3]Entry!$R$1997)</f>
        <v/>
      </c>
    </row>
    <row r="1995">
      <c r="T1995">
        <f>IF([2]Baskol!$B$1998="","",[2]Baskol!$B$1998)</f>
        <v/>
      </c>
      <c r="U1995">
        <f>IF([2]Baskol!$C$1998="","",[2]Baskol!$C$1998)</f>
        <v/>
      </c>
      <c r="V1995">
        <f>IF([2]Baskol!$D$1998="","",[2]Baskol!$D$1998)</f>
        <v/>
      </c>
      <c r="W1995">
        <f>IF([2]Baskol!$E$1998="","",[2]Baskol!$E$1998)</f>
        <v/>
      </c>
      <c r="X1995">
        <f>IF([2]Baskol!$G$1998="","",[2]Baskol!$G$1998)</f>
        <v/>
      </c>
      <c r="Y1995">
        <f>IF([2]Baskol!$I$1998="","",[2]Baskol!$I$1998)</f>
        <v/>
      </c>
      <c r="Z1995">
        <f>IF([2]Baskol!$J$1998="","",[2]Baskol!$J$1998)</f>
        <v/>
      </c>
      <c r="AA1995">
        <f>IF([2]Baskol!$K$1998="","",[2]Baskol!$K$1998)</f>
        <v/>
      </c>
      <c r="AB1995">
        <f>IF([2]Baskol!$L$1998="","",[2]Baskol!$L$1998)</f>
        <v/>
      </c>
      <c r="AC1995">
        <f>IF([2]Baskol!$N$1998="","",[2]Baskol!$N$1998)</f>
        <v/>
      </c>
      <c r="AD1995">
        <f>IF([2]Baskol!$O$1998="","",[2]Baskol!$O$1998)</f>
        <v/>
      </c>
      <c r="AE1995">
        <f>IF([3]Entry!$C$1998="","",[3]Entry!$C$1998)</f>
        <v/>
      </c>
      <c r="AF1995">
        <f>IF([3]Entry!$D$1998="","",[3]Entry!$D$1998)</f>
        <v/>
      </c>
      <c r="AG1995">
        <f>IF([3]Entry!$E$1998="","",[3]Entry!$E$1998)</f>
        <v/>
      </c>
      <c r="AH1995">
        <f>IF([3]Entry!$G$1998="","",[3]Entry!$G$1998)</f>
        <v/>
      </c>
      <c r="AI1995">
        <f>IF([3]Entry!$K$1998="","",[3]Entry!$K$1998)</f>
        <v/>
      </c>
      <c r="AJ1995">
        <f>IF([3]Entry!$L$1998="","",[3]Entry!$L$1998)</f>
        <v/>
      </c>
      <c r="AK1995">
        <f>IF([3]Entry!$M$1998="","",[3]Entry!$M$1998)</f>
        <v/>
      </c>
      <c r="AL1995">
        <f>IF([3]Entry!$N$1998="","",[3]Entry!$N$1998)</f>
        <v/>
      </c>
      <c r="AM1995">
        <f>IF([3]Entry!$R$1998="","",[3]Entry!$R$1998)</f>
        <v/>
      </c>
    </row>
    <row r="1996">
      <c r="T1996">
        <f>IF([2]Baskol!$B$1999="","",[2]Baskol!$B$1999)</f>
        <v/>
      </c>
      <c r="U1996">
        <f>IF([2]Baskol!$C$1999="","",[2]Baskol!$C$1999)</f>
        <v/>
      </c>
      <c r="V1996">
        <f>IF([2]Baskol!$D$1999="","",[2]Baskol!$D$1999)</f>
        <v/>
      </c>
      <c r="W1996">
        <f>IF([2]Baskol!$E$1999="","",[2]Baskol!$E$1999)</f>
        <v/>
      </c>
      <c r="X1996">
        <f>IF([2]Baskol!$G$1999="","",[2]Baskol!$G$1999)</f>
        <v/>
      </c>
      <c r="Y1996">
        <f>IF([2]Baskol!$I$1999="","",[2]Baskol!$I$1999)</f>
        <v/>
      </c>
      <c r="Z1996">
        <f>IF([2]Baskol!$J$1999="","",[2]Baskol!$J$1999)</f>
        <v/>
      </c>
      <c r="AA1996">
        <f>IF([2]Baskol!$K$1999="","",[2]Baskol!$K$1999)</f>
        <v/>
      </c>
      <c r="AB1996">
        <f>IF([2]Baskol!$L$1999="","",[2]Baskol!$L$1999)</f>
        <v/>
      </c>
      <c r="AC1996">
        <f>IF([2]Baskol!$N$1999="","",[2]Baskol!$N$1999)</f>
        <v/>
      </c>
      <c r="AD1996">
        <f>IF([2]Baskol!$O$1999="","",[2]Baskol!$O$1999)</f>
        <v/>
      </c>
      <c r="AE1996">
        <f>IF([3]Entry!$C$1999="","",[3]Entry!$C$1999)</f>
        <v/>
      </c>
      <c r="AF1996">
        <f>IF([3]Entry!$D$1999="","",[3]Entry!$D$1999)</f>
        <v/>
      </c>
      <c r="AG1996">
        <f>IF([3]Entry!$E$1999="","",[3]Entry!$E$1999)</f>
        <v/>
      </c>
      <c r="AH1996">
        <f>IF([3]Entry!$G$1999="","",[3]Entry!$G$1999)</f>
        <v/>
      </c>
      <c r="AI1996">
        <f>IF([3]Entry!$K$1999="","",[3]Entry!$K$1999)</f>
        <v/>
      </c>
      <c r="AJ1996">
        <f>IF([3]Entry!$L$1999="","",[3]Entry!$L$1999)</f>
        <v/>
      </c>
      <c r="AK1996">
        <f>IF([3]Entry!$M$1999="","",[3]Entry!$M$1999)</f>
        <v/>
      </c>
      <c r="AL1996">
        <f>IF([3]Entry!$N$1999="","",[3]Entry!$N$1999)</f>
        <v/>
      </c>
      <c r="AM1996">
        <f>IF([3]Entry!$R$1999="","",[3]Entry!$R$1999)</f>
        <v/>
      </c>
    </row>
    <row r="1997">
      <c r="T1997">
        <f>IF([2]Baskol!$B$2000="","",[2]Baskol!$B$2000)</f>
        <v/>
      </c>
      <c r="U1997">
        <f>IF([2]Baskol!$C$2000="","",[2]Baskol!$C$2000)</f>
        <v/>
      </c>
      <c r="V1997">
        <f>IF([2]Baskol!$D$2000="","",[2]Baskol!$D$2000)</f>
        <v/>
      </c>
      <c r="W1997">
        <f>IF([2]Baskol!$E$2000="","",[2]Baskol!$E$2000)</f>
        <v/>
      </c>
      <c r="X1997">
        <f>IF([2]Baskol!$G$2000="","",[2]Baskol!$G$2000)</f>
        <v/>
      </c>
      <c r="Y1997">
        <f>IF([2]Baskol!$I$2000="","",[2]Baskol!$I$2000)</f>
        <v/>
      </c>
      <c r="Z1997">
        <f>IF([2]Baskol!$J$2000="","",[2]Baskol!$J$2000)</f>
        <v/>
      </c>
      <c r="AA1997">
        <f>IF([2]Baskol!$K$2000="","",[2]Baskol!$K$2000)</f>
        <v/>
      </c>
      <c r="AB1997">
        <f>IF([2]Baskol!$L$2000="","",[2]Baskol!$L$2000)</f>
        <v/>
      </c>
      <c r="AC1997">
        <f>IF([2]Baskol!$N$2000="","",[2]Baskol!$N$2000)</f>
        <v/>
      </c>
      <c r="AD1997">
        <f>IF([2]Baskol!$O$2000="","",[2]Baskol!$O$2000)</f>
        <v/>
      </c>
      <c r="AE1997">
        <f>IF([3]Entry!$C$2000="","",[3]Entry!$C$2000)</f>
        <v/>
      </c>
      <c r="AF1997">
        <f>IF([3]Entry!$D$2000="","",[3]Entry!$D$2000)</f>
        <v/>
      </c>
      <c r="AG1997">
        <f>IF([3]Entry!$E$2000="","",[3]Entry!$E$2000)</f>
        <v/>
      </c>
      <c r="AH1997">
        <f>IF([3]Entry!$G$2000="","",[3]Entry!$G$2000)</f>
        <v/>
      </c>
      <c r="AI1997">
        <f>IF([3]Entry!$K$2000="","",[3]Entry!$K$2000)</f>
        <v/>
      </c>
      <c r="AJ1997">
        <f>IF([3]Entry!$L$2000="","",[3]Entry!$L$2000)</f>
        <v/>
      </c>
      <c r="AK1997">
        <f>IF([3]Entry!$M$2000="","",[3]Entry!$M$2000)</f>
        <v/>
      </c>
      <c r="AL1997">
        <f>IF([3]Entry!$N$2000="","",[3]Entry!$N$2000)</f>
        <v/>
      </c>
      <c r="AM1997">
        <f>IF([3]Entry!$R$2000="","",[3]Entry!$R$2000)</f>
        <v/>
      </c>
    </row>
    <row r="1998">
      <c r="T1998">
        <f>IF([2]Baskol!$B$2001="","",[2]Baskol!$B$2001)</f>
        <v/>
      </c>
      <c r="U1998">
        <f>IF([2]Baskol!$C$2001="","",[2]Baskol!$C$2001)</f>
        <v/>
      </c>
      <c r="V1998">
        <f>IF([2]Baskol!$D$2001="","",[2]Baskol!$D$2001)</f>
        <v/>
      </c>
      <c r="W1998">
        <f>IF([2]Baskol!$E$2001="","",[2]Baskol!$E$2001)</f>
        <v/>
      </c>
      <c r="X1998">
        <f>IF([2]Baskol!$G$2001="","",[2]Baskol!$G$2001)</f>
        <v/>
      </c>
      <c r="Y1998">
        <f>IF([2]Baskol!$I$2001="","",[2]Baskol!$I$2001)</f>
        <v/>
      </c>
      <c r="Z1998">
        <f>IF([2]Baskol!$J$2001="","",[2]Baskol!$J$2001)</f>
        <v/>
      </c>
      <c r="AA1998">
        <f>IF([2]Baskol!$K$2001="","",[2]Baskol!$K$2001)</f>
        <v/>
      </c>
      <c r="AB1998">
        <f>IF([2]Baskol!$L$2001="","",[2]Baskol!$L$2001)</f>
        <v/>
      </c>
      <c r="AC1998">
        <f>IF([2]Baskol!$N$2001="","",[2]Baskol!$N$2001)</f>
        <v/>
      </c>
      <c r="AD1998">
        <f>IF([2]Baskol!$O$2001="","",[2]Baskol!$O$2001)</f>
        <v/>
      </c>
      <c r="AE1998">
        <f>IF([3]Entry!$C$2001="","",[3]Entry!$C$2001)</f>
        <v/>
      </c>
      <c r="AF1998">
        <f>IF([3]Entry!$D$2001="","",[3]Entry!$D$2001)</f>
        <v/>
      </c>
      <c r="AG1998">
        <f>IF([3]Entry!$E$2001="","",[3]Entry!$E$2001)</f>
        <v/>
      </c>
      <c r="AH1998">
        <f>IF([3]Entry!$G$2001="","",[3]Entry!$G$2001)</f>
        <v/>
      </c>
      <c r="AI1998">
        <f>IF([3]Entry!$K$2001="","",[3]Entry!$K$2001)</f>
        <v/>
      </c>
      <c r="AJ1998">
        <f>IF([3]Entry!$L$2001="","",[3]Entry!$L$2001)</f>
        <v/>
      </c>
      <c r="AK1998">
        <f>IF([3]Entry!$M$2001="","",[3]Entry!$M$2001)</f>
        <v/>
      </c>
      <c r="AL1998">
        <f>IF([3]Entry!$N$2001="","",[3]Entry!$N$2001)</f>
        <v/>
      </c>
      <c r="AM1998">
        <f>IF([3]Entry!$R$2001="","",[3]Entry!$R$2001)</f>
        <v/>
      </c>
    </row>
    <row r="1999">
      <c r="T1999">
        <f>IF([2]Baskol!$B$2002="","",[2]Baskol!$B$2002)</f>
        <v/>
      </c>
      <c r="U1999">
        <f>IF([2]Baskol!$C$2002="","",[2]Baskol!$C$2002)</f>
        <v/>
      </c>
      <c r="V1999">
        <f>IF([2]Baskol!$D$2002="","",[2]Baskol!$D$2002)</f>
        <v/>
      </c>
      <c r="W1999">
        <f>IF([2]Baskol!$E$2002="","",[2]Baskol!$E$2002)</f>
        <v/>
      </c>
      <c r="X1999">
        <f>IF([2]Baskol!$G$2002="","",[2]Baskol!$G$2002)</f>
        <v/>
      </c>
      <c r="Y1999">
        <f>IF([2]Baskol!$I$2002="","",[2]Baskol!$I$2002)</f>
        <v/>
      </c>
      <c r="Z1999">
        <f>IF([2]Baskol!$J$2002="","",[2]Baskol!$J$2002)</f>
        <v/>
      </c>
      <c r="AA1999">
        <f>IF([2]Baskol!$K$2002="","",[2]Baskol!$K$2002)</f>
        <v/>
      </c>
      <c r="AB1999">
        <f>IF([2]Baskol!$L$2002="","",[2]Baskol!$L$2002)</f>
        <v/>
      </c>
      <c r="AC1999">
        <f>IF([2]Baskol!$N$2002="","",[2]Baskol!$N$2002)</f>
        <v/>
      </c>
      <c r="AD1999">
        <f>IF([2]Baskol!$O$2002="","",[2]Baskol!$O$2002)</f>
        <v/>
      </c>
      <c r="AE1999">
        <f>IF([3]Entry!$C$2002="","",[3]Entry!$C$2002)</f>
        <v/>
      </c>
      <c r="AF1999">
        <f>IF([3]Entry!$D$2002="","",[3]Entry!$D$2002)</f>
        <v/>
      </c>
      <c r="AG1999">
        <f>IF([3]Entry!$E$2002="","",[3]Entry!$E$2002)</f>
        <v/>
      </c>
      <c r="AH1999">
        <f>IF([3]Entry!$G$2002="","",[3]Entry!$G$2002)</f>
        <v/>
      </c>
      <c r="AI1999">
        <f>IF([3]Entry!$K$2002="","",[3]Entry!$K$2002)</f>
        <v/>
      </c>
      <c r="AJ1999">
        <f>IF([3]Entry!$L$2002="","",[3]Entry!$L$2002)</f>
        <v/>
      </c>
      <c r="AK1999">
        <f>IF([3]Entry!$M$2002="","",[3]Entry!$M$2002)</f>
        <v/>
      </c>
      <c r="AL1999">
        <f>IF([3]Entry!$N$2002="","",[3]Entry!$N$2002)</f>
        <v/>
      </c>
      <c r="AM1999">
        <f>IF([3]Entry!$R$2002="","",[3]Entry!$R$2002)</f>
        <v/>
      </c>
    </row>
    <row r="2000">
      <c r="T2000">
        <f>IF([2]Baskol!$B$2003="","",[2]Baskol!$B$2003)</f>
        <v/>
      </c>
      <c r="U2000">
        <f>IF([2]Baskol!$C$2003="","",[2]Baskol!$C$2003)</f>
        <v/>
      </c>
      <c r="V2000">
        <f>IF([2]Baskol!$D$2003="","",[2]Baskol!$D$2003)</f>
        <v/>
      </c>
      <c r="W2000">
        <f>IF([2]Baskol!$E$2003="","",[2]Baskol!$E$2003)</f>
        <v/>
      </c>
      <c r="X2000">
        <f>IF([2]Baskol!$G$2003="","",[2]Baskol!$G$2003)</f>
        <v/>
      </c>
      <c r="Y2000">
        <f>IF([2]Baskol!$I$2003="","",[2]Baskol!$I$2003)</f>
        <v/>
      </c>
      <c r="Z2000">
        <f>IF([2]Baskol!$J$2003="","",[2]Baskol!$J$2003)</f>
        <v/>
      </c>
      <c r="AA2000">
        <f>IF([2]Baskol!$K$2003="","",[2]Baskol!$K$2003)</f>
        <v/>
      </c>
      <c r="AB2000">
        <f>IF([2]Baskol!$L$2003="","",[2]Baskol!$L$2003)</f>
        <v/>
      </c>
      <c r="AC2000">
        <f>IF([2]Baskol!$N$2003="","",[2]Baskol!$N$2003)</f>
        <v/>
      </c>
      <c r="AD2000">
        <f>IF([2]Baskol!$O$2003="","",[2]Baskol!$O$2003)</f>
        <v/>
      </c>
      <c r="AE2000">
        <f>IF([3]Entry!$C$2003="","",[3]Entry!$C$2003)</f>
        <v/>
      </c>
      <c r="AF2000">
        <f>IF([3]Entry!$D$2003="","",[3]Entry!$D$2003)</f>
        <v/>
      </c>
      <c r="AG2000">
        <f>IF([3]Entry!$E$2003="","",[3]Entry!$E$2003)</f>
        <v/>
      </c>
      <c r="AH2000">
        <f>IF([3]Entry!$G$2003="","",[3]Entry!$G$2003)</f>
        <v/>
      </c>
      <c r="AI2000">
        <f>IF([3]Entry!$K$2003="","",[3]Entry!$K$2003)</f>
        <v/>
      </c>
      <c r="AJ2000">
        <f>IF([3]Entry!$L$2003="","",[3]Entry!$L$2003)</f>
        <v/>
      </c>
      <c r="AK2000">
        <f>IF([3]Entry!$M$2003="","",[3]Entry!$M$2003)</f>
        <v/>
      </c>
      <c r="AL2000">
        <f>IF([3]Entry!$N$2003="","",[3]Entry!$N$2003)</f>
        <v/>
      </c>
      <c r="AM2000">
        <f>IF([3]Entry!$R$2003="","",[3]Entry!$R$2003)</f>
        <v/>
      </c>
    </row>
    <row r="2001">
      <c r="T2001">
        <f>IF([2]Baskol!$B$2004="","",[2]Baskol!$B$2004)</f>
        <v/>
      </c>
      <c r="U2001">
        <f>IF([2]Baskol!$C$2004="","",[2]Baskol!$C$2004)</f>
        <v/>
      </c>
      <c r="V2001">
        <f>IF([2]Baskol!$D$2004="","",[2]Baskol!$D$2004)</f>
        <v/>
      </c>
      <c r="W2001">
        <f>IF([2]Baskol!$E$2004="","",[2]Baskol!$E$2004)</f>
        <v/>
      </c>
      <c r="X2001">
        <f>IF([2]Baskol!$G$2004="","",[2]Baskol!$G$2004)</f>
        <v/>
      </c>
      <c r="Y2001">
        <f>IF([2]Baskol!$I$2004="","",[2]Baskol!$I$2004)</f>
        <v/>
      </c>
      <c r="Z2001">
        <f>IF([2]Baskol!$J$2004="","",[2]Baskol!$J$2004)</f>
        <v/>
      </c>
      <c r="AA2001">
        <f>IF([2]Baskol!$K$2004="","",[2]Baskol!$K$2004)</f>
        <v/>
      </c>
      <c r="AB2001">
        <f>IF([2]Baskol!$L$2004="","",[2]Baskol!$L$2004)</f>
        <v/>
      </c>
      <c r="AC2001">
        <f>IF([2]Baskol!$N$2004="","",[2]Baskol!$N$2004)</f>
        <v/>
      </c>
      <c r="AD2001">
        <f>IF([2]Baskol!$O$2004="","",[2]Baskol!$O$2004)</f>
        <v/>
      </c>
      <c r="AE2001">
        <f>IF([3]Entry!$C$2004="","",[3]Entry!$C$2004)</f>
        <v/>
      </c>
      <c r="AF2001">
        <f>IF([3]Entry!$D$2004="","",[3]Entry!$D$2004)</f>
        <v/>
      </c>
      <c r="AG2001">
        <f>IF([3]Entry!$E$2004="","",[3]Entry!$E$2004)</f>
        <v/>
      </c>
      <c r="AH2001">
        <f>IF([3]Entry!$G$2004="","",[3]Entry!$G$2004)</f>
        <v/>
      </c>
      <c r="AI2001">
        <f>IF([3]Entry!$K$2004="","",[3]Entry!$K$2004)</f>
        <v/>
      </c>
      <c r="AJ2001">
        <f>IF([3]Entry!$L$2004="","",[3]Entry!$L$2004)</f>
        <v/>
      </c>
      <c r="AK2001">
        <f>IF([3]Entry!$M$2004="","",[3]Entry!$M$2004)</f>
        <v/>
      </c>
      <c r="AL2001">
        <f>IF([3]Entry!$N$2004="","",[3]Entry!$N$2004)</f>
        <v/>
      </c>
      <c r="AM2001">
        <f>IF([3]Entry!$R$2004="","",[3]Entry!$R$2004)</f>
        <v/>
      </c>
    </row>
    <row r="2002">
      <c r="T2002">
        <f>IF([2]Baskol!$B$2005="","",[2]Baskol!$B$2005)</f>
        <v/>
      </c>
      <c r="U2002">
        <f>IF([2]Baskol!$C$2005="","",[2]Baskol!$C$2005)</f>
        <v/>
      </c>
      <c r="V2002">
        <f>IF([2]Baskol!$D$2005="","",[2]Baskol!$D$2005)</f>
        <v/>
      </c>
      <c r="W2002">
        <f>IF([2]Baskol!$E$2005="","",[2]Baskol!$E$2005)</f>
        <v/>
      </c>
      <c r="X2002">
        <f>IF([2]Baskol!$G$2005="","",[2]Baskol!$G$2005)</f>
        <v/>
      </c>
      <c r="Y2002">
        <f>IF([2]Baskol!$I$2005="","",[2]Baskol!$I$2005)</f>
        <v/>
      </c>
      <c r="Z2002">
        <f>IF([2]Baskol!$J$2005="","",[2]Baskol!$J$2005)</f>
        <v/>
      </c>
      <c r="AA2002">
        <f>IF([2]Baskol!$K$2005="","",[2]Baskol!$K$2005)</f>
        <v/>
      </c>
      <c r="AB2002">
        <f>IF([2]Baskol!$L$2005="","",[2]Baskol!$L$2005)</f>
        <v/>
      </c>
      <c r="AC2002">
        <f>IF([2]Baskol!$N$2005="","",[2]Baskol!$N$2005)</f>
        <v/>
      </c>
      <c r="AD2002">
        <f>IF([2]Baskol!$O$2005="","",[2]Baskol!$O$2005)</f>
        <v/>
      </c>
      <c r="AE2002">
        <f>IF([3]Entry!$C$2005="","",[3]Entry!$C$2005)</f>
        <v/>
      </c>
      <c r="AF2002">
        <f>IF([3]Entry!$D$2005="","",[3]Entry!$D$2005)</f>
        <v/>
      </c>
      <c r="AG2002">
        <f>IF([3]Entry!$E$2005="","",[3]Entry!$E$2005)</f>
        <v/>
      </c>
      <c r="AH2002">
        <f>IF([3]Entry!$G$2005="","",[3]Entry!$G$2005)</f>
        <v/>
      </c>
      <c r="AI2002">
        <f>IF([3]Entry!$K$2005="","",[3]Entry!$K$2005)</f>
        <v/>
      </c>
      <c r="AJ2002">
        <f>IF([3]Entry!$L$2005="","",[3]Entry!$L$2005)</f>
        <v/>
      </c>
      <c r="AK2002">
        <f>IF([3]Entry!$M$2005="","",[3]Entry!$M$2005)</f>
        <v/>
      </c>
      <c r="AL2002">
        <f>IF([3]Entry!$N$2005="","",[3]Entry!$N$2005)</f>
        <v/>
      </c>
      <c r="AM2002">
        <f>IF([3]Entry!$R$2005="","",[3]Entry!$R$2005)</f>
        <v/>
      </c>
    </row>
    <row r="2003">
      <c r="T2003">
        <f>IF([2]Baskol!$B$2006="","",[2]Baskol!$B$2006)</f>
        <v/>
      </c>
      <c r="U2003">
        <f>IF([2]Baskol!$C$2006="","",[2]Baskol!$C$2006)</f>
        <v/>
      </c>
      <c r="V2003">
        <f>IF([2]Baskol!$D$2006="","",[2]Baskol!$D$2006)</f>
        <v/>
      </c>
      <c r="W2003">
        <f>IF([2]Baskol!$E$2006="","",[2]Baskol!$E$2006)</f>
        <v/>
      </c>
      <c r="X2003">
        <f>IF([2]Baskol!$G$2006="","",[2]Baskol!$G$2006)</f>
        <v/>
      </c>
      <c r="Y2003">
        <f>IF([2]Baskol!$I$2006="","",[2]Baskol!$I$2006)</f>
        <v/>
      </c>
      <c r="Z2003">
        <f>IF([2]Baskol!$J$2006="","",[2]Baskol!$J$2006)</f>
        <v/>
      </c>
      <c r="AA2003">
        <f>IF([2]Baskol!$K$2006="","",[2]Baskol!$K$2006)</f>
        <v/>
      </c>
      <c r="AB2003">
        <f>IF([2]Baskol!$L$2006="","",[2]Baskol!$L$2006)</f>
        <v/>
      </c>
      <c r="AC2003">
        <f>IF([2]Baskol!$N$2006="","",[2]Baskol!$N$2006)</f>
        <v/>
      </c>
      <c r="AD2003">
        <f>IF([2]Baskol!$O$2006="","",[2]Baskol!$O$2006)</f>
        <v/>
      </c>
      <c r="AE2003">
        <f>IF([3]Entry!$C$2006="","",[3]Entry!$C$2006)</f>
        <v/>
      </c>
      <c r="AF2003">
        <f>IF([3]Entry!$D$2006="","",[3]Entry!$D$2006)</f>
        <v/>
      </c>
      <c r="AG2003">
        <f>IF([3]Entry!$E$2006="","",[3]Entry!$E$2006)</f>
        <v/>
      </c>
      <c r="AH2003">
        <f>IF([3]Entry!$G$2006="","",[3]Entry!$G$2006)</f>
        <v/>
      </c>
      <c r="AI2003">
        <f>IF([3]Entry!$K$2006="","",[3]Entry!$K$2006)</f>
        <v/>
      </c>
      <c r="AJ2003">
        <f>IF([3]Entry!$L$2006="","",[3]Entry!$L$2006)</f>
        <v/>
      </c>
      <c r="AK2003">
        <f>IF([3]Entry!$M$2006="","",[3]Entry!$M$2006)</f>
        <v/>
      </c>
      <c r="AL2003">
        <f>IF([3]Entry!$N$2006="","",[3]Entry!$N$2006)</f>
        <v/>
      </c>
      <c r="AM2003">
        <f>IF([3]Entry!$R$2006="","",[3]Entry!$R$2006)</f>
        <v/>
      </c>
    </row>
    <row r="2004">
      <c r="T2004">
        <f>IF([2]Baskol!$B$2007="","",[2]Baskol!$B$2007)</f>
        <v/>
      </c>
      <c r="U2004">
        <f>IF([2]Baskol!$C$2007="","",[2]Baskol!$C$2007)</f>
        <v/>
      </c>
      <c r="V2004">
        <f>IF([2]Baskol!$D$2007="","",[2]Baskol!$D$2007)</f>
        <v/>
      </c>
      <c r="W2004">
        <f>IF([2]Baskol!$E$2007="","",[2]Baskol!$E$2007)</f>
        <v/>
      </c>
      <c r="X2004">
        <f>IF([2]Baskol!$G$2007="","",[2]Baskol!$G$2007)</f>
        <v/>
      </c>
      <c r="Y2004">
        <f>IF([2]Baskol!$I$2007="","",[2]Baskol!$I$2007)</f>
        <v/>
      </c>
      <c r="Z2004">
        <f>IF([2]Baskol!$J$2007="","",[2]Baskol!$J$2007)</f>
        <v/>
      </c>
      <c r="AA2004">
        <f>IF([2]Baskol!$K$2007="","",[2]Baskol!$K$2007)</f>
        <v/>
      </c>
      <c r="AB2004">
        <f>IF([2]Baskol!$L$2007="","",[2]Baskol!$L$2007)</f>
        <v/>
      </c>
      <c r="AC2004">
        <f>IF([2]Baskol!$N$2007="","",[2]Baskol!$N$2007)</f>
        <v/>
      </c>
      <c r="AD2004">
        <f>IF([2]Baskol!$O$2007="","",[2]Baskol!$O$2007)</f>
        <v/>
      </c>
      <c r="AE2004">
        <f>IF([3]Entry!$C$2007="","",[3]Entry!$C$2007)</f>
        <v/>
      </c>
      <c r="AF2004">
        <f>IF([3]Entry!$D$2007="","",[3]Entry!$D$2007)</f>
        <v/>
      </c>
      <c r="AG2004">
        <f>IF([3]Entry!$E$2007="","",[3]Entry!$E$2007)</f>
        <v/>
      </c>
      <c r="AH2004">
        <f>IF([3]Entry!$G$2007="","",[3]Entry!$G$2007)</f>
        <v/>
      </c>
      <c r="AI2004">
        <f>IF([3]Entry!$K$2007="","",[3]Entry!$K$2007)</f>
        <v/>
      </c>
      <c r="AJ2004">
        <f>IF([3]Entry!$L$2007="","",[3]Entry!$L$2007)</f>
        <v/>
      </c>
      <c r="AK2004">
        <f>IF([3]Entry!$M$2007="","",[3]Entry!$M$2007)</f>
        <v/>
      </c>
      <c r="AL2004">
        <f>IF([3]Entry!$N$2007="","",[3]Entry!$N$2007)</f>
        <v/>
      </c>
      <c r="AM2004">
        <f>IF([3]Entry!$R$2007="","",[3]Entry!$R$2007)</f>
        <v/>
      </c>
    </row>
    <row r="2005">
      <c r="T2005">
        <f>IF([2]Baskol!$B$2008="","",[2]Baskol!$B$2008)</f>
        <v/>
      </c>
      <c r="U2005">
        <f>IF([2]Baskol!$C$2008="","",[2]Baskol!$C$2008)</f>
        <v/>
      </c>
      <c r="V2005">
        <f>IF([2]Baskol!$D$2008="","",[2]Baskol!$D$2008)</f>
        <v/>
      </c>
      <c r="W2005">
        <f>IF([2]Baskol!$E$2008="","",[2]Baskol!$E$2008)</f>
        <v/>
      </c>
      <c r="X2005">
        <f>IF([2]Baskol!$G$2008="","",[2]Baskol!$G$2008)</f>
        <v/>
      </c>
      <c r="Y2005">
        <f>IF([2]Baskol!$I$2008="","",[2]Baskol!$I$2008)</f>
        <v/>
      </c>
      <c r="Z2005">
        <f>IF([2]Baskol!$J$2008="","",[2]Baskol!$J$2008)</f>
        <v/>
      </c>
      <c r="AA2005">
        <f>IF([2]Baskol!$K$2008="","",[2]Baskol!$K$2008)</f>
        <v/>
      </c>
      <c r="AB2005">
        <f>IF([2]Baskol!$L$2008="","",[2]Baskol!$L$2008)</f>
        <v/>
      </c>
      <c r="AC2005">
        <f>IF([2]Baskol!$N$2008="","",[2]Baskol!$N$2008)</f>
        <v/>
      </c>
      <c r="AD2005">
        <f>IF([2]Baskol!$O$2008="","",[2]Baskol!$O$2008)</f>
        <v/>
      </c>
      <c r="AE2005">
        <f>IF([3]Entry!$C$2008="","",[3]Entry!$C$2008)</f>
        <v/>
      </c>
      <c r="AF2005">
        <f>IF([3]Entry!$D$2008="","",[3]Entry!$D$2008)</f>
        <v/>
      </c>
      <c r="AG2005">
        <f>IF([3]Entry!$E$2008="","",[3]Entry!$E$2008)</f>
        <v/>
      </c>
      <c r="AH2005">
        <f>IF([3]Entry!$G$2008="","",[3]Entry!$G$2008)</f>
        <v/>
      </c>
      <c r="AI2005">
        <f>IF([3]Entry!$K$2008="","",[3]Entry!$K$2008)</f>
        <v/>
      </c>
      <c r="AJ2005">
        <f>IF([3]Entry!$L$2008="","",[3]Entry!$L$2008)</f>
        <v/>
      </c>
      <c r="AK2005">
        <f>IF([3]Entry!$M$2008="","",[3]Entry!$M$2008)</f>
        <v/>
      </c>
      <c r="AL2005">
        <f>IF([3]Entry!$N$2008="","",[3]Entry!$N$2008)</f>
        <v/>
      </c>
      <c r="AM2005">
        <f>IF([3]Entry!$R$2008="","",[3]Entry!$R$2008)</f>
        <v/>
      </c>
    </row>
  </sheetData>
  <mergeCells count="3">
    <mergeCell ref="A2:AM2"/>
    <mergeCell ref="A1:AM1"/>
    <mergeCell ref="A3:A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0A4AE"/>
    <outlinePr summaryBelow="1" summaryRight="1"/>
    <pageSetUpPr/>
  </sheetPr>
  <dimension ref="A1:Q2009"/>
  <sheetViews>
    <sheetView showGridLines="0" rightToLeft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2" customWidth="1" min="5" max="5"/>
    <col width="9" customWidth="1" min="6" max="6"/>
    <col width="10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15" customWidth="1" min="14" max="14"/>
    <col width="10" customWidth="1" min="15" max="15"/>
    <col width="24" customWidth="1" min="16" max="16"/>
    <col width="8" customWidth="1" min="17" max="17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31" t="inlineStr">
        <is>
          <t>برگه فنی — موتور محاسبات فایل فروش (نرمال‌سازی تاریخ، فیلتر فروشندگان و وزن خالص پارامتری). فرمول‌ها را تغییر ندهید.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</row>
    <row r="8" ht="24" customHeight="1">
      <c r="A8" s="32" t="inlineStr">
        <is>
          <t>تاریخ خام · Raw</t>
        </is>
      </c>
      <c r="B8" s="32" t="inlineStr">
        <is>
          <t>سال · Y</t>
        </is>
      </c>
      <c r="C8" s="32" t="inlineStr">
        <is>
          <t>ماه · M</t>
        </is>
      </c>
      <c r="D8" s="32" t="inlineStr">
        <is>
          <t>روز · D</t>
        </is>
      </c>
      <c r="E8" s="32" t="inlineStr">
        <is>
          <t>تاریخ استاندارد · Norm</t>
        </is>
      </c>
      <c r="F8" s="32" t="inlineStr">
        <is>
          <t>سال/ماه · YM</t>
        </is>
      </c>
      <c r="G8" s="32" t="inlineStr">
        <is>
          <t>کد فروشنده · Seller</t>
        </is>
      </c>
      <c r="H8" s="32" t="inlineStr">
        <is>
          <t>عملیات · Op</t>
        </is>
      </c>
      <c r="I8" s="32" t="inlineStr">
        <is>
          <t>زیرگروه · Sub</t>
        </is>
      </c>
      <c r="J8" s="32" t="inlineStr">
        <is>
          <t>نوع مرکبات · Citrus</t>
        </is>
      </c>
      <c r="K8" s="32" t="inlineStr">
        <is>
          <t>باسکول · Scale</t>
        </is>
      </c>
      <c r="L8" s="32" t="inlineStr">
        <is>
          <t>سبد · Baskets</t>
        </is>
      </c>
      <c r="M8" s="32" t="inlineStr">
        <is>
          <t>خالص · Net</t>
        </is>
      </c>
      <c r="N8" s="32" t="inlineStr">
        <is>
          <t>مبلغ · Amount</t>
        </is>
      </c>
      <c r="O8" s="32" t="inlineStr">
        <is>
          <t>سند · Doc</t>
        </is>
      </c>
      <c r="P8" s="32" t="inlineStr">
        <is>
          <t>توضیح · Note</t>
        </is>
      </c>
      <c r="Q8" s="32" t="inlineStr">
        <is>
          <t>ساعت · hhmm</t>
        </is>
      </c>
    </row>
    <row r="10">
      <c r="A10">
        <f>IF(Sync!$T6="","",Sync!$T6)</f>
        <v/>
      </c>
      <c r="B10">
        <f>IF($A10="","",IF(ISNUMBER($A10),IF(AND($A10&gt;=10000101,$A10&lt;=99991231),INT($A10/10000),""),IFERROR(VALUE(TRIM(LEFT($A10,FIND("/",$A10)-1))),"")))</f>
        <v/>
      </c>
      <c r="C10">
        <f>IF(OR($A10="",$B10=""),"",IF(ISNUMBER($A10),INT(MOD($A10,10000)/100),IFERROR(VALUE(TRIM(LEFT(MID($A10,FIND("/",$A10)+1,20),FIND("/",MID($A10,FIND("/",$A10)+1,20))-1))),"")))</f>
        <v/>
      </c>
      <c r="D10">
        <f>IF(OR($A10="",$B10=""),"",IF(ISNUMBER($A10),MOD($A10,100),IFERROR(VALUE(TRIM(MID(MID($A10,FIND("/",$A10)+1,20),FIND("/",MID($A10,FIND("/",$A10)+1,20))+1,20))),"")))</f>
        <v/>
      </c>
      <c r="E10">
        <f>IF($A10="","",IF(OR($B10="",$C10="",$D10="",$B10&lt;1300,$B10&gt;1500,$C10&lt;1,$C10&gt;12,$D10&lt;1,$D10&gt;31),"نامعتبر",RIGHT("0000"&amp;$B10,4)&amp;"/"&amp;RIGHT("00"&amp;$C10,2)&amp;"/"&amp;RIGHT("00"&amp;$D10,2)))</f>
        <v/>
      </c>
      <c r="F10">
        <f>IF(OR($E10="",$E10="نامعتبر"),"",LEFT($E10,4)&amp;"/"&amp;MID($E10,6,2))</f>
        <v/>
      </c>
      <c r="G10">
        <f>IF(OR($E10="",$E10="نامعتبر",Sync!$X6=""),"",IF(AND(LEFT(UPPER(TRIM(Sync!$X6)),2)="SL",IFERROR(VLOOKUP(Sync!$W6,OpTbl,3,0),"")="فروش"),UPPER(TRIM(Sync!$X6)),""))</f>
        <v/>
      </c>
      <c r="H10">
        <f>IF($G10="","",IF(Sync!$W6="","",Sync!$W6))</f>
        <v/>
      </c>
      <c r="I10">
        <f>IF(OR($G10="",Sync!$Y6=""),"",Sync!$Y6)</f>
        <v/>
      </c>
      <c r="J10">
        <f>IF(OR($G10="",Sync!$Z6=""),"",Sync!$Z6)</f>
        <v/>
      </c>
      <c r="K10">
        <f>IF($G10="",0,IF(Sync!$AA6="",0,Sync!$AA6))</f>
        <v/>
      </c>
      <c r="L10">
        <f>IF($G10="",0,IF(Sync!$AB6="",0,Sync!$AB6))</f>
        <v/>
      </c>
      <c r="M10">
        <f>IF($G10="","",IF($H10="مرجوعی فروش",-1,1)*($K10-$L10*IFERROR(VLOOKUP("P01",ParamTbl,3,0),1.5)))</f>
        <v/>
      </c>
      <c r="N10">
        <f>IF($G10="",0,IF($H10="مرجوعی فروش",-1,1)*IF(Sync!$AC6="",0,Sync!$AC6))</f>
        <v/>
      </c>
      <c r="O10">
        <f>IF(OR($G10="",Sync!$V6=""),"",Sync!$V6)</f>
        <v/>
      </c>
      <c r="P10">
        <f>IF(OR($G10="",Sync!$AD6=""),"",Sync!$AD6)</f>
        <v/>
      </c>
      <c r="Q10">
        <f>IF($G10="","",IF(Sync!$U6="","0000",IF(AND(ISNUMBER(Sync!$U6),Sync!$U6&gt;=0,Sync!$U6&lt;1),RIGHT("00"&amp;HOUR(Sync!$U6),2)&amp;RIGHT("00"&amp;MINUTE(Sync!$U6),2),IFERROR(RIGHT("00"&amp;VALUE(LEFT(Sync!$U6,FIND(":",Sync!$U6)-1)),2)&amp;RIGHT("00"&amp;VALUE(MID(Sync!$U6,FIND(":",Sync!$U6)+1,2)),2),"0000"))))</f>
        <v/>
      </c>
    </row>
    <row r="11">
      <c r="A11">
        <f>IF(Sync!$T7="","",Sync!$T7)</f>
        <v/>
      </c>
      <c r="B11">
        <f>IF($A11="","",IF(ISNUMBER($A11),IF(AND($A11&gt;=10000101,$A11&lt;=99991231),INT($A11/10000),""),IFERROR(VALUE(TRIM(LEFT($A11,FIND("/",$A11)-1))),"")))</f>
        <v/>
      </c>
      <c r="C11">
        <f>IF(OR($A11="",$B11=""),"",IF(ISNUMBER($A11),INT(MOD($A11,10000)/100),IFERROR(VALUE(TRIM(LEFT(MID($A11,FIND("/",$A11)+1,20),FIND("/",MID($A11,FIND("/",$A11)+1,20))-1))),"")))</f>
        <v/>
      </c>
      <c r="D11">
        <f>IF(OR($A11="",$B11=""),"",IF(ISNUMBER($A11),MOD($A11,100),IFERROR(VALUE(TRIM(MID(MID($A11,FIND("/",$A11)+1,20),FIND("/",MID($A11,FIND("/",$A11)+1,20))+1,20))),"")))</f>
        <v/>
      </c>
      <c r="E11">
        <f>IF($A11="","",IF(OR($B11="",$C11="",$D11="",$B11&lt;1300,$B11&gt;1500,$C11&lt;1,$C11&gt;12,$D11&lt;1,$D11&gt;31),"نامعتبر",RIGHT("0000"&amp;$B11,4)&amp;"/"&amp;RIGHT("00"&amp;$C11,2)&amp;"/"&amp;RIGHT("00"&amp;$D11,2)))</f>
        <v/>
      </c>
      <c r="F11">
        <f>IF(OR($E11="",$E11="نامعتبر"),"",LEFT($E11,4)&amp;"/"&amp;MID($E11,6,2))</f>
        <v/>
      </c>
      <c r="G11">
        <f>IF(OR($E11="",$E11="نامعتبر",Sync!$X7=""),"",IF(AND(LEFT(UPPER(TRIM(Sync!$X7)),2)="SL",IFERROR(VLOOKUP(Sync!$W7,OpTbl,3,0),"")="فروش"),UPPER(TRIM(Sync!$X7)),""))</f>
        <v/>
      </c>
      <c r="H11">
        <f>IF($G11="","",IF(Sync!$W7="","",Sync!$W7))</f>
        <v/>
      </c>
      <c r="I11">
        <f>IF(OR($G11="",Sync!$Y7=""),"",Sync!$Y7)</f>
        <v/>
      </c>
      <c r="J11">
        <f>IF(OR($G11="",Sync!$Z7=""),"",Sync!$Z7)</f>
        <v/>
      </c>
      <c r="K11">
        <f>IF($G11="",0,IF(Sync!$AA7="",0,Sync!$AA7))</f>
        <v/>
      </c>
      <c r="L11">
        <f>IF($G11="",0,IF(Sync!$AB7="",0,Sync!$AB7))</f>
        <v/>
      </c>
      <c r="M11">
        <f>IF($G11="","",IF($H11="مرجوعی فروش",-1,1)*($K11-$L11*IFERROR(VLOOKUP("P01",ParamTbl,3,0),1.5)))</f>
        <v/>
      </c>
      <c r="N11">
        <f>IF($G11="",0,IF($H11="مرجوعی فروش",-1,1)*IF(Sync!$AC7="",0,Sync!$AC7))</f>
        <v/>
      </c>
      <c r="O11">
        <f>IF(OR($G11="",Sync!$V7=""),"",Sync!$V7)</f>
        <v/>
      </c>
      <c r="P11">
        <f>IF(OR($G11="",Sync!$AD7=""),"",Sync!$AD7)</f>
        <v/>
      </c>
      <c r="Q11">
        <f>IF($G11="","",IF(Sync!$U7="","0000",IF(AND(ISNUMBER(Sync!$U7),Sync!$U7&gt;=0,Sync!$U7&lt;1),RIGHT("00"&amp;HOUR(Sync!$U7),2)&amp;RIGHT("00"&amp;MINUTE(Sync!$U7),2),IFERROR(RIGHT("00"&amp;VALUE(LEFT(Sync!$U7,FIND(":",Sync!$U7)-1)),2)&amp;RIGHT("00"&amp;VALUE(MID(Sync!$U7,FIND(":",Sync!$U7)+1,2)),2),"0000"))))</f>
        <v/>
      </c>
    </row>
    <row r="12">
      <c r="A12">
        <f>IF(Sync!$T8="","",Sync!$T8)</f>
        <v/>
      </c>
      <c r="B12">
        <f>IF($A12="","",IF(ISNUMBER($A12),IF(AND($A12&gt;=10000101,$A12&lt;=99991231),INT($A12/10000),""),IFERROR(VALUE(TRIM(LEFT($A12,FIND("/",$A12)-1))),"")))</f>
        <v/>
      </c>
      <c r="C12">
        <f>IF(OR($A12="",$B12=""),"",IF(ISNUMBER($A12),INT(MOD($A12,10000)/100),IFERROR(VALUE(TRIM(LEFT(MID($A12,FIND("/",$A12)+1,20),FIND("/",MID($A12,FIND("/",$A12)+1,20))-1))),"")))</f>
        <v/>
      </c>
      <c r="D12">
        <f>IF(OR($A12="",$B12=""),"",IF(ISNUMBER($A12),MOD($A12,100),IFERROR(VALUE(TRIM(MID(MID($A12,FIND("/",$A12)+1,20),FIND("/",MID($A12,FIND("/",$A12)+1,20))+1,20))),"")))</f>
        <v/>
      </c>
      <c r="E12">
        <f>IF($A12="","",IF(OR($B12="",$C12="",$D12="",$B12&lt;1300,$B12&gt;1500,$C12&lt;1,$C12&gt;12,$D12&lt;1,$D12&gt;31),"نامعتبر",RIGHT("0000"&amp;$B12,4)&amp;"/"&amp;RIGHT("00"&amp;$C12,2)&amp;"/"&amp;RIGHT("00"&amp;$D12,2)))</f>
        <v/>
      </c>
      <c r="F12">
        <f>IF(OR($E12="",$E12="نامعتبر"),"",LEFT($E12,4)&amp;"/"&amp;MID($E12,6,2))</f>
        <v/>
      </c>
      <c r="G12">
        <f>IF(OR($E12="",$E12="نامعتبر",Sync!$X8=""),"",IF(AND(LEFT(UPPER(TRIM(Sync!$X8)),2)="SL",IFERROR(VLOOKUP(Sync!$W8,OpTbl,3,0),"")="فروش"),UPPER(TRIM(Sync!$X8)),""))</f>
        <v/>
      </c>
      <c r="H12">
        <f>IF($G12="","",IF(Sync!$W8="","",Sync!$W8))</f>
        <v/>
      </c>
      <c r="I12">
        <f>IF(OR($G12="",Sync!$Y8=""),"",Sync!$Y8)</f>
        <v/>
      </c>
      <c r="J12">
        <f>IF(OR($G12="",Sync!$Z8=""),"",Sync!$Z8)</f>
        <v/>
      </c>
      <c r="K12">
        <f>IF($G12="",0,IF(Sync!$AA8="",0,Sync!$AA8))</f>
        <v/>
      </c>
      <c r="L12">
        <f>IF($G12="",0,IF(Sync!$AB8="",0,Sync!$AB8))</f>
        <v/>
      </c>
      <c r="M12">
        <f>IF($G12="","",IF($H12="مرجوعی فروش",-1,1)*($K12-$L12*IFERROR(VLOOKUP("P01",ParamTbl,3,0),1.5)))</f>
        <v/>
      </c>
      <c r="N12">
        <f>IF($G12="",0,IF($H12="مرجوعی فروش",-1,1)*IF(Sync!$AC8="",0,Sync!$AC8))</f>
        <v/>
      </c>
      <c r="O12">
        <f>IF(OR($G12="",Sync!$V8=""),"",Sync!$V8)</f>
        <v/>
      </c>
      <c r="P12">
        <f>IF(OR($G12="",Sync!$AD8=""),"",Sync!$AD8)</f>
        <v/>
      </c>
      <c r="Q12">
        <f>IF($G12="","",IF(Sync!$U8="","0000",IF(AND(ISNUMBER(Sync!$U8),Sync!$U8&gt;=0,Sync!$U8&lt;1),RIGHT("00"&amp;HOUR(Sync!$U8),2)&amp;RIGHT("00"&amp;MINUTE(Sync!$U8),2),IFERROR(RIGHT("00"&amp;VALUE(LEFT(Sync!$U8,FIND(":",Sync!$U8)-1)),2)&amp;RIGHT("00"&amp;VALUE(MID(Sync!$U8,FIND(":",Sync!$U8)+1,2)),2),"0000"))))</f>
        <v/>
      </c>
    </row>
    <row r="13">
      <c r="A13">
        <f>IF(Sync!$T9="","",Sync!$T9)</f>
        <v/>
      </c>
      <c r="B13">
        <f>IF($A13="","",IF(ISNUMBER($A13),IF(AND($A13&gt;=10000101,$A13&lt;=99991231),INT($A13/10000),""),IFERROR(VALUE(TRIM(LEFT($A13,FIND("/",$A13)-1))),"")))</f>
        <v/>
      </c>
      <c r="C13">
        <f>IF(OR($A13="",$B13=""),"",IF(ISNUMBER($A13),INT(MOD($A13,10000)/100),IFERROR(VALUE(TRIM(LEFT(MID($A13,FIND("/",$A13)+1,20),FIND("/",MID($A13,FIND("/",$A13)+1,20))-1))),"")))</f>
        <v/>
      </c>
      <c r="D13">
        <f>IF(OR($A13="",$B13=""),"",IF(ISNUMBER($A13),MOD($A13,100),IFERROR(VALUE(TRIM(MID(MID($A13,FIND("/",$A13)+1,20),FIND("/",MID($A13,FIND("/",$A13)+1,20))+1,20))),"")))</f>
        <v/>
      </c>
      <c r="E13">
        <f>IF($A13="","",IF(OR($B13="",$C13="",$D13="",$B13&lt;1300,$B13&gt;1500,$C13&lt;1,$C13&gt;12,$D13&lt;1,$D13&gt;31),"نامعتبر",RIGHT("0000"&amp;$B13,4)&amp;"/"&amp;RIGHT("00"&amp;$C13,2)&amp;"/"&amp;RIGHT("00"&amp;$D13,2)))</f>
        <v/>
      </c>
      <c r="F13">
        <f>IF(OR($E13="",$E13="نامعتبر"),"",LEFT($E13,4)&amp;"/"&amp;MID($E13,6,2))</f>
        <v/>
      </c>
      <c r="G13">
        <f>IF(OR($E13="",$E13="نامعتبر",Sync!$X9=""),"",IF(AND(LEFT(UPPER(TRIM(Sync!$X9)),2)="SL",IFERROR(VLOOKUP(Sync!$W9,OpTbl,3,0),"")="فروش"),UPPER(TRIM(Sync!$X9)),""))</f>
        <v/>
      </c>
      <c r="H13">
        <f>IF($G13="","",IF(Sync!$W9="","",Sync!$W9))</f>
        <v/>
      </c>
      <c r="I13">
        <f>IF(OR($G13="",Sync!$Y9=""),"",Sync!$Y9)</f>
        <v/>
      </c>
      <c r="J13">
        <f>IF(OR($G13="",Sync!$Z9=""),"",Sync!$Z9)</f>
        <v/>
      </c>
      <c r="K13">
        <f>IF($G13="",0,IF(Sync!$AA9="",0,Sync!$AA9))</f>
        <v/>
      </c>
      <c r="L13">
        <f>IF($G13="",0,IF(Sync!$AB9="",0,Sync!$AB9))</f>
        <v/>
      </c>
      <c r="M13">
        <f>IF($G13="","",IF($H13="مرجوعی فروش",-1,1)*($K13-$L13*IFERROR(VLOOKUP("P01",ParamTbl,3,0),1.5)))</f>
        <v/>
      </c>
      <c r="N13">
        <f>IF($G13="",0,IF($H13="مرجوعی فروش",-1,1)*IF(Sync!$AC9="",0,Sync!$AC9))</f>
        <v/>
      </c>
      <c r="O13">
        <f>IF(OR($G13="",Sync!$V9=""),"",Sync!$V9)</f>
        <v/>
      </c>
      <c r="P13">
        <f>IF(OR($G13="",Sync!$AD9=""),"",Sync!$AD9)</f>
        <v/>
      </c>
      <c r="Q13">
        <f>IF($G13="","",IF(Sync!$U9="","0000",IF(AND(ISNUMBER(Sync!$U9),Sync!$U9&gt;=0,Sync!$U9&lt;1),RIGHT("00"&amp;HOUR(Sync!$U9),2)&amp;RIGHT("00"&amp;MINUTE(Sync!$U9),2),IFERROR(RIGHT("00"&amp;VALUE(LEFT(Sync!$U9,FIND(":",Sync!$U9)-1)),2)&amp;RIGHT("00"&amp;VALUE(MID(Sync!$U9,FIND(":",Sync!$U9)+1,2)),2),"0000"))))</f>
        <v/>
      </c>
    </row>
    <row r="14">
      <c r="A14">
        <f>IF(Sync!$T10="","",Sync!$T10)</f>
        <v/>
      </c>
      <c r="B14">
        <f>IF($A14="","",IF(ISNUMBER($A14),IF(AND($A14&gt;=10000101,$A14&lt;=99991231),INT($A14/10000),""),IFERROR(VALUE(TRIM(LEFT($A14,FIND("/",$A14)-1))),"")))</f>
        <v/>
      </c>
      <c r="C14">
        <f>IF(OR($A14="",$B14=""),"",IF(ISNUMBER($A14),INT(MOD($A14,10000)/100),IFERROR(VALUE(TRIM(LEFT(MID($A14,FIND("/",$A14)+1,20),FIND("/",MID($A14,FIND("/",$A14)+1,20))-1))),"")))</f>
        <v/>
      </c>
      <c r="D14">
        <f>IF(OR($A14="",$B14=""),"",IF(ISNUMBER($A14),MOD($A14,100),IFERROR(VALUE(TRIM(MID(MID($A14,FIND("/",$A14)+1,20),FIND("/",MID($A14,FIND("/",$A14)+1,20))+1,20))),"")))</f>
        <v/>
      </c>
      <c r="E14">
        <f>IF($A14="","",IF(OR($B14="",$C14="",$D14="",$B14&lt;1300,$B14&gt;1500,$C14&lt;1,$C14&gt;12,$D14&lt;1,$D14&gt;31),"نامعتبر",RIGHT("0000"&amp;$B14,4)&amp;"/"&amp;RIGHT("00"&amp;$C14,2)&amp;"/"&amp;RIGHT("00"&amp;$D14,2)))</f>
        <v/>
      </c>
      <c r="F14">
        <f>IF(OR($E14="",$E14="نامعتبر"),"",LEFT($E14,4)&amp;"/"&amp;MID($E14,6,2))</f>
        <v/>
      </c>
      <c r="G14">
        <f>IF(OR($E14="",$E14="نامعتبر",Sync!$X10=""),"",IF(AND(LEFT(UPPER(TRIM(Sync!$X10)),2)="SL",IFERROR(VLOOKUP(Sync!$W10,OpTbl,3,0),"")="فروش"),UPPER(TRIM(Sync!$X10)),""))</f>
        <v/>
      </c>
      <c r="H14">
        <f>IF($G14="","",IF(Sync!$W10="","",Sync!$W10))</f>
        <v/>
      </c>
      <c r="I14">
        <f>IF(OR($G14="",Sync!$Y10=""),"",Sync!$Y10)</f>
        <v/>
      </c>
      <c r="J14">
        <f>IF(OR($G14="",Sync!$Z10=""),"",Sync!$Z10)</f>
        <v/>
      </c>
      <c r="K14">
        <f>IF($G14="",0,IF(Sync!$AA10="",0,Sync!$AA10))</f>
        <v/>
      </c>
      <c r="L14">
        <f>IF($G14="",0,IF(Sync!$AB10="",0,Sync!$AB10))</f>
        <v/>
      </c>
      <c r="M14">
        <f>IF($G14="","",IF($H14="مرجوعی فروش",-1,1)*($K14-$L14*IFERROR(VLOOKUP("P01",ParamTbl,3,0),1.5)))</f>
        <v/>
      </c>
      <c r="N14">
        <f>IF($G14="",0,IF($H14="مرجوعی فروش",-1,1)*IF(Sync!$AC10="",0,Sync!$AC10))</f>
        <v/>
      </c>
      <c r="O14">
        <f>IF(OR($G14="",Sync!$V10=""),"",Sync!$V10)</f>
        <v/>
      </c>
      <c r="P14">
        <f>IF(OR($G14="",Sync!$AD10=""),"",Sync!$AD10)</f>
        <v/>
      </c>
      <c r="Q14">
        <f>IF($G14="","",IF(Sync!$U10="","0000",IF(AND(ISNUMBER(Sync!$U10),Sync!$U10&gt;=0,Sync!$U10&lt;1),RIGHT("00"&amp;HOUR(Sync!$U10),2)&amp;RIGHT("00"&amp;MINUTE(Sync!$U10),2),IFERROR(RIGHT("00"&amp;VALUE(LEFT(Sync!$U10,FIND(":",Sync!$U10)-1)),2)&amp;RIGHT("00"&amp;VALUE(MID(Sync!$U10,FIND(":",Sync!$U10)+1,2)),2),"0000"))))</f>
        <v/>
      </c>
    </row>
    <row r="15">
      <c r="A15">
        <f>IF(Sync!$T11="","",Sync!$T11)</f>
        <v/>
      </c>
      <c r="B15">
        <f>IF($A15="","",IF(ISNUMBER($A15),IF(AND($A15&gt;=10000101,$A15&lt;=99991231),INT($A15/10000),""),IFERROR(VALUE(TRIM(LEFT($A15,FIND("/",$A15)-1))),"")))</f>
        <v/>
      </c>
      <c r="C15">
        <f>IF(OR($A15="",$B15=""),"",IF(ISNUMBER($A15),INT(MOD($A15,10000)/100),IFERROR(VALUE(TRIM(LEFT(MID($A15,FIND("/",$A15)+1,20),FIND("/",MID($A15,FIND("/",$A15)+1,20))-1))),"")))</f>
        <v/>
      </c>
      <c r="D15">
        <f>IF(OR($A15="",$B15=""),"",IF(ISNUMBER($A15),MOD($A15,100),IFERROR(VALUE(TRIM(MID(MID($A15,FIND("/",$A15)+1,20),FIND("/",MID($A15,FIND("/",$A15)+1,20))+1,20))),"")))</f>
        <v/>
      </c>
      <c r="E15">
        <f>IF($A15="","",IF(OR($B15="",$C15="",$D15="",$B15&lt;1300,$B15&gt;1500,$C15&lt;1,$C15&gt;12,$D15&lt;1,$D15&gt;31),"نامعتبر",RIGHT("0000"&amp;$B15,4)&amp;"/"&amp;RIGHT("00"&amp;$C15,2)&amp;"/"&amp;RIGHT("00"&amp;$D15,2)))</f>
        <v/>
      </c>
      <c r="F15">
        <f>IF(OR($E15="",$E15="نامعتبر"),"",LEFT($E15,4)&amp;"/"&amp;MID($E15,6,2))</f>
        <v/>
      </c>
      <c r="G15">
        <f>IF(OR($E15="",$E15="نامعتبر",Sync!$X11=""),"",IF(AND(LEFT(UPPER(TRIM(Sync!$X11)),2)="SL",IFERROR(VLOOKUP(Sync!$W11,OpTbl,3,0),"")="فروش"),UPPER(TRIM(Sync!$X11)),""))</f>
        <v/>
      </c>
      <c r="H15">
        <f>IF($G15="","",IF(Sync!$W11="","",Sync!$W11))</f>
        <v/>
      </c>
      <c r="I15">
        <f>IF(OR($G15="",Sync!$Y11=""),"",Sync!$Y11)</f>
        <v/>
      </c>
      <c r="J15">
        <f>IF(OR($G15="",Sync!$Z11=""),"",Sync!$Z11)</f>
        <v/>
      </c>
      <c r="K15">
        <f>IF($G15="",0,IF(Sync!$AA11="",0,Sync!$AA11))</f>
        <v/>
      </c>
      <c r="L15">
        <f>IF($G15="",0,IF(Sync!$AB11="",0,Sync!$AB11))</f>
        <v/>
      </c>
      <c r="M15">
        <f>IF($G15="","",IF($H15="مرجوعی فروش",-1,1)*($K15-$L15*IFERROR(VLOOKUP("P01",ParamTbl,3,0),1.5)))</f>
        <v/>
      </c>
      <c r="N15">
        <f>IF($G15="",0,IF($H15="مرجوعی فروش",-1,1)*IF(Sync!$AC11="",0,Sync!$AC11))</f>
        <v/>
      </c>
      <c r="O15">
        <f>IF(OR($G15="",Sync!$V11=""),"",Sync!$V11)</f>
        <v/>
      </c>
      <c r="P15">
        <f>IF(OR($G15="",Sync!$AD11=""),"",Sync!$AD11)</f>
        <v/>
      </c>
      <c r="Q15">
        <f>IF($G15="","",IF(Sync!$U11="","0000",IF(AND(ISNUMBER(Sync!$U11),Sync!$U11&gt;=0,Sync!$U11&lt;1),RIGHT("00"&amp;HOUR(Sync!$U11),2)&amp;RIGHT("00"&amp;MINUTE(Sync!$U11),2),IFERROR(RIGHT("00"&amp;VALUE(LEFT(Sync!$U11,FIND(":",Sync!$U11)-1)),2)&amp;RIGHT("00"&amp;VALUE(MID(Sync!$U11,FIND(":",Sync!$U11)+1,2)),2),"0000"))))</f>
        <v/>
      </c>
    </row>
    <row r="16">
      <c r="A16">
        <f>IF(Sync!$T12="","",Sync!$T12)</f>
        <v/>
      </c>
      <c r="B16">
        <f>IF($A16="","",IF(ISNUMBER($A16),IF(AND($A16&gt;=10000101,$A16&lt;=99991231),INT($A16/10000),""),IFERROR(VALUE(TRIM(LEFT($A16,FIND("/",$A16)-1))),"")))</f>
        <v/>
      </c>
      <c r="C16">
        <f>IF(OR($A16="",$B16=""),"",IF(ISNUMBER($A16),INT(MOD($A16,10000)/100),IFERROR(VALUE(TRIM(LEFT(MID($A16,FIND("/",$A16)+1,20),FIND("/",MID($A16,FIND("/",$A16)+1,20))-1))),"")))</f>
        <v/>
      </c>
      <c r="D16">
        <f>IF(OR($A16="",$B16=""),"",IF(ISNUMBER($A16),MOD($A16,100),IFERROR(VALUE(TRIM(MID(MID($A16,FIND("/",$A16)+1,20),FIND("/",MID($A16,FIND("/",$A16)+1,20))+1,20))),"")))</f>
        <v/>
      </c>
      <c r="E16">
        <f>IF($A16="","",IF(OR($B16="",$C16="",$D16="",$B16&lt;1300,$B16&gt;1500,$C16&lt;1,$C16&gt;12,$D16&lt;1,$D16&gt;31),"نامعتبر",RIGHT("0000"&amp;$B16,4)&amp;"/"&amp;RIGHT("00"&amp;$C16,2)&amp;"/"&amp;RIGHT("00"&amp;$D16,2)))</f>
        <v/>
      </c>
      <c r="F16">
        <f>IF(OR($E16="",$E16="نامعتبر"),"",LEFT($E16,4)&amp;"/"&amp;MID($E16,6,2))</f>
        <v/>
      </c>
      <c r="G16">
        <f>IF(OR($E16="",$E16="نامعتبر",Sync!$X12=""),"",IF(AND(LEFT(UPPER(TRIM(Sync!$X12)),2)="SL",IFERROR(VLOOKUP(Sync!$W12,OpTbl,3,0),"")="فروش"),UPPER(TRIM(Sync!$X12)),""))</f>
        <v/>
      </c>
      <c r="H16">
        <f>IF($G16="","",IF(Sync!$W12="","",Sync!$W12))</f>
        <v/>
      </c>
      <c r="I16">
        <f>IF(OR($G16="",Sync!$Y12=""),"",Sync!$Y12)</f>
        <v/>
      </c>
      <c r="J16">
        <f>IF(OR($G16="",Sync!$Z12=""),"",Sync!$Z12)</f>
        <v/>
      </c>
      <c r="K16">
        <f>IF($G16="",0,IF(Sync!$AA12="",0,Sync!$AA12))</f>
        <v/>
      </c>
      <c r="L16">
        <f>IF($G16="",0,IF(Sync!$AB12="",0,Sync!$AB12))</f>
        <v/>
      </c>
      <c r="M16">
        <f>IF($G16="","",IF($H16="مرجوعی فروش",-1,1)*($K16-$L16*IFERROR(VLOOKUP("P01",ParamTbl,3,0),1.5)))</f>
        <v/>
      </c>
      <c r="N16">
        <f>IF($G16="",0,IF($H16="مرجوعی فروش",-1,1)*IF(Sync!$AC12="",0,Sync!$AC12))</f>
        <v/>
      </c>
      <c r="O16">
        <f>IF(OR($G16="",Sync!$V12=""),"",Sync!$V12)</f>
        <v/>
      </c>
      <c r="P16">
        <f>IF(OR($G16="",Sync!$AD12=""),"",Sync!$AD12)</f>
        <v/>
      </c>
      <c r="Q16">
        <f>IF($G16="","",IF(Sync!$U12="","0000",IF(AND(ISNUMBER(Sync!$U12),Sync!$U12&gt;=0,Sync!$U12&lt;1),RIGHT("00"&amp;HOUR(Sync!$U12),2)&amp;RIGHT("00"&amp;MINUTE(Sync!$U12),2),IFERROR(RIGHT("00"&amp;VALUE(LEFT(Sync!$U12,FIND(":",Sync!$U12)-1)),2)&amp;RIGHT("00"&amp;VALUE(MID(Sync!$U12,FIND(":",Sync!$U12)+1,2)),2),"0000"))))</f>
        <v/>
      </c>
    </row>
    <row r="17">
      <c r="A17">
        <f>IF(Sync!$T13="","",Sync!$T13)</f>
        <v/>
      </c>
      <c r="B17">
        <f>IF($A17="","",IF(ISNUMBER($A17),IF(AND($A17&gt;=10000101,$A17&lt;=99991231),INT($A17/10000),""),IFERROR(VALUE(TRIM(LEFT($A17,FIND("/",$A17)-1))),"")))</f>
        <v/>
      </c>
      <c r="C17">
        <f>IF(OR($A17="",$B17=""),"",IF(ISNUMBER($A17),INT(MOD($A17,10000)/100),IFERROR(VALUE(TRIM(LEFT(MID($A17,FIND("/",$A17)+1,20),FIND("/",MID($A17,FIND("/",$A17)+1,20))-1))),"")))</f>
        <v/>
      </c>
      <c r="D17">
        <f>IF(OR($A17="",$B17=""),"",IF(ISNUMBER($A17),MOD($A17,100),IFERROR(VALUE(TRIM(MID(MID($A17,FIND("/",$A17)+1,20),FIND("/",MID($A17,FIND("/",$A17)+1,20))+1,20))),"")))</f>
        <v/>
      </c>
      <c r="E17">
        <f>IF($A17="","",IF(OR($B17="",$C17="",$D17="",$B17&lt;1300,$B17&gt;1500,$C17&lt;1,$C17&gt;12,$D17&lt;1,$D17&gt;31),"نامعتبر",RIGHT("0000"&amp;$B17,4)&amp;"/"&amp;RIGHT("00"&amp;$C17,2)&amp;"/"&amp;RIGHT("00"&amp;$D17,2)))</f>
        <v/>
      </c>
      <c r="F17">
        <f>IF(OR($E17="",$E17="نامعتبر"),"",LEFT($E17,4)&amp;"/"&amp;MID($E17,6,2))</f>
        <v/>
      </c>
      <c r="G17">
        <f>IF(OR($E17="",$E17="نامعتبر",Sync!$X13=""),"",IF(AND(LEFT(UPPER(TRIM(Sync!$X13)),2)="SL",IFERROR(VLOOKUP(Sync!$W13,OpTbl,3,0),"")="فروش"),UPPER(TRIM(Sync!$X13)),""))</f>
        <v/>
      </c>
      <c r="H17">
        <f>IF($G17="","",IF(Sync!$W13="","",Sync!$W13))</f>
        <v/>
      </c>
      <c r="I17">
        <f>IF(OR($G17="",Sync!$Y13=""),"",Sync!$Y13)</f>
        <v/>
      </c>
      <c r="J17">
        <f>IF(OR($G17="",Sync!$Z13=""),"",Sync!$Z13)</f>
        <v/>
      </c>
      <c r="K17">
        <f>IF($G17="",0,IF(Sync!$AA13="",0,Sync!$AA13))</f>
        <v/>
      </c>
      <c r="L17">
        <f>IF($G17="",0,IF(Sync!$AB13="",0,Sync!$AB13))</f>
        <v/>
      </c>
      <c r="M17">
        <f>IF($G17="","",IF($H17="مرجوعی فروش",-1,1)*($K17-$L17*IFERROR(VLOOKUP("P01",ParamTbl,3,0),1.5)))</f>
        <v/>
      </c>
      <c r="N17">
        <f>IF($G17="",0,IF($H17="مرجوعی فروش",-1,1)*IF(Sync!$AC13="",0,Sync!$AC13))</f>
        <v/>
      </c>
      <c r="O17">
        <f>IF(OR($G17="",Sync!$V13=""),"",Sync!$V13)</f>
        <v/>
      </c>
      <c r="P17">
        <f>IF(OR($G17="",Sync!$AD13=""),"",Sync!$AD13)</f>
        <v/>
      </c>
      <c r="Q17">
        <f>IF($G17="","",IF(Sync!$U13="","0000",IF(AND(ISNUMBER(Sync!$U13),Sync!$U13&gt;=0,Sync!$U13&lt;1),RIGHT("00"&amp;HOUR(Sync!$U13),2)&amp;RIGHT("00"&amp;MINUTE(Sync!$U13),2),IFERROR(RIGHT("00"&amp;VALUE(LEFT(Sync!$U13,FIND(":",Sync!$U13)-1)),2)&amp;RIGHT("00"&amp;VALUE(MID(Sync!$U13,FIND(":",Sync!$U13)+1,2)),2),"0000"))))</f>
        <v/>
      </c>
    </row>
    <row r="18">
      <c r="A18">
        <f>IF(Sync!$T14="","",Sync!$T14)</f>
        <v/>
      </c>
      <c r="B18">
        <f>IF($A18="","",IF(ISNUMBER($A18),IF(AND($A18&gt;=10000101,$A18&lt;=99991231),INT($A18/10000),""),IFERROR(VALUE(TRIM(LEFT($A18,FIND("/",$A18)-1))),"")))</f>
        <v/>
      </c>
      <c r="C18">
        <f>IF(OR($A18="",$B18=""),"",IF(ISNUMBER($A18),INT(MOD($A18,10000)/100),IFERROR(VALUE(TRIM(LEFT(MID($A18,FIND("/",$A18)+1,20),FIND("/",MID($A18,FIND("/",$A18)+1,20))-1))),"")))</f>
        <v/>
      </c>
      <c r="D18">
        <f>IF(OR($A18="",$B18=""),"",IF(ISNUMBER($A18),MOD($A18,100),IFERROR(VALUE(TRIM(MID(MID($A18,FIND("/",$A18)+1,20),FIND("/",MID($A18,FIND("/",$A18)+1,20))+1,20))),"")))</f>
        <v/>
      </c>
      <c r="E18">
        <f>IF($A18="","",IF(OR($B18="",$C18="",$D18="",$B18&lt;1300,$B18&gt;1500,$C18&lt;1,$C18&gt;12,$D18&lt;1,$D18&gt;31),"نامعتبر",RIGHT("0000"&amp;$B18,4)&amp;"/"&amp;RIGHT("00"&amp;$C18,2)&amp;"/"&amp;RIGHT("00"&amp;$D18,2)))</f>
        <v/>
      </c>
      <c r="F18">
        <f>IF(OR($E18="",$E18="نامعتبر"),"",LEFT($E18,4)&amp;"/"&amp;MID($E18,6,2))</f>
        <v/>
      </c>
      <c r="G18">
        <f>IF(OR($E18="",$E18="نامعتبر",Sync!$X14=""),"",IF(AND(LEFT(UPPER(TRIM(Sync!$X14)),2)="SL",IFERROR(VLOOKUP(Sync!$W14,OpTbl,3,0),"")="فروش"),UPPER(TRIM(Sync!$X14)),""))</f>
        <v/>
      </c>
      <c r="H18">
        <f>IF($G18="","",IF(Sync!$W14="","",Sync!$W14))</f>
        <v/>
      </c>
      <c r="I18">
        <f>IF(OR($G18="",Sync!$Y14=""),"",Sync!$Y14)</f>
        <v/>
      </c>
      <c r="J18">
        <f>IF(OR($G18="",Sync!$Z14=""),"",Sync!$Z14)</f>
        <v/>
      </c>
      <c r="K18">
        <f>IF($G18="",0,IF(Sync!$AA14="",0,Sync!$AA14))</f>
        <v/>
      </c>
      <c r="L18">
        <f>IF($G18="",0,IF(Sync!$AB14="",0,Sync!$AB14))</f>
        <v/>
      </c>
      <c r="M18">
        <f>IF($G18="","",IF($H18="مرجوعی فروش",-1,1)*($K18-$L18*IFERROR(VLOOKUP("P01",ParamTbl,3,0),1.5)))</f>
        <v/>
      </c>
      <c r="N18">
        <f>IF($G18="",0,IF($H18="مرجوعی فروش",-1,1)*IF(Sync!$AC14="",0,Sync!$AC14))</f>
        <v/>
      </c>
      <c r="O18">
        <f>IF(OR($G18="",Sync!$V14=""),"",Sync!$V14)</f>
        <v/>
      </c>
      <c r="P18">
        <f>IF(OR($G18="",Sync!$AD14=""),"",Sync!$AD14)</f>
        <v/>
      </c>
      <c r="Q18">
        <f>IF($G18="","",IF(Sync!$U14="","0000",IF(AND(ISNUMBER(Sync!$U14),Sync!$U14&gt;=0,Sync!$U14&lt;1),RIGHT("00"&amp;HOUR(Sync!$U14),2)&amp;RIGHT("00"&amp;MINUTE(Sync!$U14),2),IFERROR(RIGHT("00"&amp;VALUE(LEFT(Sync!$U14,FIND(":",Sync!$U14)-1)),2)&amp;RIGHT("00"&amp;VALUE(MID(Sync!$U14,FIND(":",Sync!$U14)+1,2)),2),"0000"))))</f>
        <v/>
      </c>
    </row>
    <row r="19">
      <c r="A19">
        <f>IF(Sync!$T15="","",Sync!$T15)</f>
        <v/>
      </c>
      <c r="B19">
        <f>IF($A19="","",IF(ISNUMBER($A19),IF(AND($A19&gt;=10000101,$A19&lt;=99991231),INT($A19/10000),""),IFERROR(VALUE(TRIM(LEFT($A19,FIND("/",$A19)-1))),"")))</f>
        <v/>
      </c>
      <c r="C19">
        <f>IF(OR($A19="",$B19=""),"",IF(ISNUMBER($A19),INT(MOD($A19,10000)/100),IFERROR(VALUE(TRIM(LEFT(MID($A19,FIND("/",$A19)+1,20),FIND("/",MID($A19,FIND("/",$A19)+1,20))-1))),"")))</f>
        <v/>
      </c>
      <c r="D19">
        <f>IF(OR($A19="",$B19=""),"",IF(ISNUMBER($A19),MOD($A19,100),IFERROR(VALUE(TRIM(MID(MID($A19,FIND("/",$A19)+1,20),FIND("/",MID($A19,FIND("/",$A19)+1,20))+1,20))),"")))</f>
        <v/>
      </c>
      <c r="E19">
        <f>IF($A19="","",IF(OR($B19="",$C19="",$D19="",$B19&lt;1300,$B19&gt;1500,$C19&lt;1,$C19&gt;12,$D19&lt;1,$D19&gt;31),"نامعتبر",RIGHT("0000"&amp;$B19,4)&amp;"/"&amp;RIGHT("00"&amp;$C19,2)&amp;"/"&amp;RIGHT("00"&amp;$D19,2)))</f>
        <v/>
      </c>
      <c r="F19">
        <f>IF(OR($E19="",$E19="نامعتبر"),"",LEFT($E19,4)&amp;"/"&amp;MID($E19,6,2))</f>
        <v/>
      </c>
      <c r="G19">
        <f>IF(OR($E19="",$E19="نامعتبر",Sync!$X15=""),"",IF(AND(LEFT(UPPER(TRIM(Sync!$X15)),2)="SL",IFERROR(VLOOKUP(Sync!$W15,OpTbl,3,0),"")="فروش"),UPPER(TRIM(Sync!$X15)),""))</f>
        <v/>
      </c>
      <c r="H19">
        <f>IF($G19="","",IF(Sync!$W15="","",Sync!$W15))</f>
        <v/>
      </c>
      <c r="I19">
        <f>IF(OR($G19="",Sync!$Y15=""),"",Sync!$Y15)</f>
        <v/>
      </c>
      <c r="J19">
        <f>IF(OR($G19="",Sync!$Z15=""),"",Sync!$Z15)</f>
        <v/>
      </c>
      <c r="K19">
        <f>IF($G19="",0,IF(Sync!$AA15="",0,Sync!$AA15))</f>
        <v/>
      </c>
      <c r="L19">
        <f>IF($G19="",0,IF(Sync!$AB15="",0,Sync!$AB15))</f>
        <v/>
      </c>
      <c r="M19">
        <f>IF($G19="","",IF($H19="مرجوعی فروش",-1,1)*($K19-$L19*IFERROR(VLOOKUP("P01",ParamTbl,3,0),1.5)))</f>
        <v/>
      </c>
      <c r="N19">
        <f>IF($G19="",0,IF($H19="مرجوعی فروش",-1,1)*IF(Sync!$AC15="",0,Sync!$AC15))</f>
        <v/>
      </c>
      <c r="O19">
        <f>IF(OR($G19="",Sync!$V15=""),"",Sync!$V15)</f>
        <v/>
      </c>
      <c r="P19">
        <f>IF(OR($G19="",Sync!$AD15=""),"",Sync!$AD15)</f>
        <v/>
      </c>
      <c r="Q19">
        <f>IF($G19="","",IF(Sync!$U15="","0000",IF(AND(ISNUMBER(Sync!$U15),Sync!$U15&gt;=0,Sync!$U15&lt;1),RIGHT("00"&amp;HOUR(Sync!$U15),2)&amp;RIGHT("00"&amp;MINUTE(Sync!$U15),2),IFERROR(RIGHT("00"&amp;VALUE(LEFT(Sync!$U15,FIND(":",Sync!$U15)-1)),2)&amp;RIGHT("00"&amp;VALUE(MID(Sync!$U15,FIND(":",Sync!$U15)+1,2)),2),"0000"))))</f>
        <v/>
      </c>
    </row>
    <row r="20">
      <c r="A20">
        <f>IF(Sync!$T16="","",Sync!$T16)</f>
        <v/>
      </c>
      <c r="B20">
        <f>IF($A20="","",IF(ISNUMBER($A20),IF(AND($A20&gt;=10000101,$A20&lt;=99991231),INT($A20/10000),""),IFERROR(VALUE(TRIM(LEFT($A20,FIND("/",$A20)-1))),"")))</f>
        <v/>
      </c>
      <c r="C20">
        <f>IF(OR($A20="",$B20=""),"",IF(ISNUMBER($A20),INT(MOD($A20,10000)/100),IFERROR(VALUE(TRIM(LEFT(MID($A20,FIND("/",$A20)+1,20),FIND("/",MID($A20,FIND("/",$A20)+1,20))-1))),"")))</f>
        <v/>
      </c>
      <c r="D20">
        <f>IF(OR($A20="",$B20=""),"",IF(ISNUMBER($A20),MOD($A20,100),IFERROR(VALUE(TRIM(MID(MID($A20,FIND("/",$A20)+1,20),FIND("/",MID($A20,FIND("/",$A20)+1,20))+1,20))),"")))</f>
        <v/>
      </c>
      <c r="E20">
        <f>IF($A20="","",IF(OR($B20="",$C20="",$D20="",$B20&lt;1300,$B20&gt;1500,$C20&lt;1,$C20&gt;12,$D20&lt;1,$D20&gt;31),"نامعتبر",RIGHT("0000"&amp;$B20,4)&amp;"/"&amp;RIGHT("00"&amp;$C20,2)&amp;"/"&amp;RIGHT("00"&amp;$D20,2)))</f>
        <v/>
      </c>
      <c r="F20">
        <f>IF(OR($E20="",$E20="نامعتبر"),"",LEFT($E20,4)&amp;"/"&amp;MID($E20,6,2))</f>
        <v/>
      </c>
      <c r="G20">
        <f>IF(OR($E20="",$E20="نامعتبر",Sync!$X16=""),"",IF(AND(LEFT(UPPER(TRIM(Sync!$X16)),2)="SL",IFERROR(VLOOKUP(Sync!$W16,OpTbl,3,0),"")="فروش"),UPPER(TRIM(Sync!$X16)),""))</f>
        <v/>
      </c>
      <c r="H20">
        <f>IF($G20="","",IF(Sync!$W16="","",Sync!$W16))</f>
        <v/>
      </c>
      <c r="I20">
        <f>IF(OR($G20="",Sync!$Y16=""),"",Sync!$Y16)</f>
        <v/>
      </c>
      <c r="J20">
        <f>IF(OR($G20="",Sync!$Z16=""),"",Sync!$Z16)</f>
        <v/>
      </c>
      <c r="K20">
        <f>IF($G20="",0,IF(Sync!$AA16="",0,Sync!$AA16))</f>
        <v/>
      </c>
      <c r="L20">
        <f>IF($G20="",0,IF(Sync!$AB16="",0,Sync!$AB16))</f>
        <v/>
      </c>
      <c r="M20">
        <f>IF($G20="","",IF($H20="مرجوعی فروش",-1,1)*($K20-$L20*IFERROR(VLOOKUP("P01",ParamTbl,3,0),1.5)))</f>
        <v/>
      </c>
      <c r="N20">
        <f>IF($G20="",0,IF($H20="مرجوعی فروش",-1,1)*IF(Sync!$AC16="",0,Sync!$AC16))</f>
        <v/>
      </c>
      <c r="O20">
        <f>IF(OR($G20="",Sync!$V16=""),"",Sync!$V16)</f>
        <v/>
      </c>
      <c r="P20">
        <f>IF(OR($G20="",Sync!$AD16=""),"",Sync!$AD16)</f>
        <v/>
      </c>
      <c r="Q20">
        <f>IF($G20="","",IF(Sync!$U16="","0000",IF(AND(ISNUMBER(Sync!$U16),Sync!$U16&gt;=0,Sync!$U16&lt;1),RIGHT("00"&amp;HOUR(Sync!$U16),2)&amp;RIGHT("00"&amp;MINUTE(Sync!$U16),2),IFERROR(RIGHT("00"&amp;VALUE(LEFT(Sync!$U16,FIND(":",Sync!$U16)-1)),2)&amp;RIGHT("00"&amp;VALUE(MID(Sync!$U16,FIND(":",Sync!$U16)+1,2)),2),"0000"))))</f>
        <v/>
      </c>
    </row>
    <row r="21">
      <c r="A21">
        <f>IF(Sync!$T17="","",Sync!$T17)</f>
        <v/>
      </c>
      <c r="B21">
        <f>IF($A21="","",IF(ISNUMBER($A21),IF(AND($A21&gt;=10000101,$A21&lt;=99991231),INT($A21/10000),""),IFERROR(VALUE(TRIM(LEFT($A21,FIND("/",$A21)-1))),"")))</f>
        <v/>
      </c>
      <c r="C21">
        <f>IF(OR($A21="",$B21=""),"",IF(ISNUMBER($A21),INT(MOD($A21,10000)/100),IFERROR(VALUE(TRIM(LEFT(MID($A21,FIND("/",$A21)+1,20),FIND("/",MID($A21,FIND("/",$A21)+1,20))-1))),"")))</f>
        <v/>
      </c>
      <c r="D21">
        <f>IF(OR($A21="",$B21=""),"",IF(ISNUMBER($A21),MOD($A21,100),IFERROR(VALUE(TRIM(MID(MID($A21,FIND("/",$A21)+1,20),FIND("/",MID($A21,FIND("/",$A21)+1,20))+1,20))),"")))</f>
        <v/>
      </c>
      <c r="E21">
        <f>IF($A21="","",IF(OR($B21="",$C21="",$D21="",$B21&lt;1300,$B21&gt;1500,$C21&lt;1,$C21&gt;12,$D21&lt;1,$D21&gt;31),"نامعتبر",RIGHT("0000"&amp;$B21,4)&amp;"/"&amp;RIGHT("00"&amp;$C21,2)&amp;"/"&amp;RIGHT("00"&amp;$D21,2)))</f>
        <v/>
      </c>
      <c r="F21">
        <f>IF(OR($E21="",$E21="نامعتبر"),"",LEFT($E21,4)&amp;"/"&amp;MID($E21,6,2))</f>
        <v/>
      </c>
      <c r="G21">
        <f>IF(OR($E21="",$E21="نامعتبر",Sync!$X17=""),"",IF(AND(LEFT(UPPER(TRIM(Sync!$X17)),2)="SL",IFERROR(VLOOKUP(Sync!$W17,OpTbl,3,0),"")="فروش"),UPPER(TRIM(Sync!$X17)),""))</f>
        <v/>
      </c>
      <c r="H21">
        <f>IF($G21="","",IF(Sync!$W17="","",Sync!$W17))</f>
        <v/>
      </c>
      <c r="I21">
        <f>IF(OR($G21="",Sync!$Y17=""),"",Sync!$Y17)</f>
        <v/>
      </c>
      <c r="J21">
        <f>IF(OR($G21="",Sync!$Z17=""),"",Sync!$Z17)</f>
        <v/>
      </c>
      <c r="K21">
        <f>IF($G21="",0,IF(Sync!$AA17="",0,Sync!$AA17))</f>
        <v/>
      </c>
      <c r="L21">
        <f>IF($G21="",0,IF(Sync!$AB17="",0,Sync!$AB17))</f>
        <v/>
      </c>
      <c r="M21">
        <f>IF($G21="","",IF($H21="مرجوعی فروش",-1,1)*($K21-$L21*IFERROR(VLOOKUP("P01",ParamTbl,3,0),1.5)))</f>
        <v/>
      </c>
      <c r="N21">
        <f>IF($G21="",0,IF($H21="مرجوعی فروش",-1,1)*IF(Sync!$AC17="",0,Sync!$AC17))</f>
        <v/>
      </c>
      <c r="O21">
        <f>IF(OR($G21="",Sync!$V17=""),"",Sync!$V17)</f>
        <v/>
      </c>
      <c r="P21">
        <f>IF(OR($G21="",Sync!$AD17=""),"",Sync!$AD17)</f>
        <v/>
      </c>
      <c r="Q21">
        <f>IF($G21="","",IF(Sync!$U17="","0000",IF(AND(ISNUMBER(Sync!$U17),Sync!$U17&gt;=0,Sync!$U17&lt;1),RIGHT("00"&amp;HOUR(Sync!$U17),2)&amp;RIGHT("00"&amp;MINUTE(Sync!$U17),2),IFERROR(RIGHT("00"&amp;VALUE(LEFT(Sync!$U17,FIND(":",Sync!$U17)-1)),2)&amp;RIGHT("00"&amp;VALUE(MID(Sync!$U17,FIND(":",Sync!$U17)+1,2)),2),"0000"))))</f>
        <v/>
      </c>
    </row>
    <row r="22">
      <c r="A22">
        <f>IF(Sync!$T18="","",Sync!$T18)</f>
        <v/>
      </c>
      <c r="B22">
        <f>IF($A22="","",IF(ISNUMBER($A22),IF(AND($A22&gt;=10000101,$A22&lt;=99991231),INT($A22/10000),""),IFERROR(VALUE(TRIM(LEFT($A22,FIND("/",$A22)-1))),"")))</f>
        <v/>
      </c>
      <c r="C22">
        <f>IF(OR($A22="",$B22=""),"",IF(ISNUMBER($A22),INT(MOD($A22,10000)/100),IFERROR(VALUE(TRIM(LEFT(MID($A22,FIND("/",$A22)+1,20),FIND("/",MID($A22,FIND("/",$A22)+1,20))-1))),"")))</f>
        <v/>
      </c>
      <c r="D22">
        <f>IF(OR($A22="",$B22=""),"",IF(ISNUMBER($A22),MOD($A22,100),IFERROR(VALUE(TRIM(MID(MID($A22,FIND("/",$A22)+1,20),FIND("/",MID($A22,FIND("/",$A22)+1,20))+1,20))),"")))</f>
        <v/>
      </c>
      <c r="E22">
        <f>IF($A22="","",IF(OR($B22="",$C22="",$D22="",$B22&lt;1300,$B22&gt;1500,$C22&lt;1,$C22&gt;12,$D22&lt;1,$D22&gt;31),"نامعتبر",RIGHT("0000"&amp;$B22,4)&amp;"/"&amp;RIGHT("00"&amp;$C22,2)&amp;"/"&amp;RIGHT("00"&amp;$D22,2)))</f>
        <v/>
      </c>
      <c r="F22">
        <f>IF(OR($E22="",$E22="نامعتبر"),"",LEFT($E22,4)&amp;"/"&amp;MID($E22,6,2))</f>
        <v/>
      </c>
      <c r="G22">
        <f>IF(OR($E22="",$E22="نامعتبر",Sync!$X18=""),"",IF(AND(LEFT(UPPER(TRIM(Sync!$X18)),2)="SL",IFERROR(VLOOKUP(Sync!$W18,OpTbl,3,0),"")="فروش"),UPPER(TRIM(Sync!$X18)),""))</f>
        <v/>
      </c>
      <c r="H22">
        <f>IF($G22="","",IF(Sync!$W18="","",Sync!$W18))</f>
        <v/>
      </c>
      <c r="I22">
        <f>IF(OR($G22="",Sync!$Y18=""),"",Sync!$Y18)</f>
        <v/>
      </c>
      <c r="J22">
        <f>IF(OR($G22="",Sync!$Z18=""),"",Sync!$Z18)</f>
        <v/>
      </c>
      <c r="K22">
        <f>IF($G22="",0,IF(Sync!$AA18="",0,Sync!$AA18))</f>
        <v/>
      </c>
      <c r="L22">
        <f>IF($G22="",0,IF(Sync!$AB18="",0,Sync!$AB18))</f>
        <v/>
      </c>
      <c r="M22">
        <f>IF($G22="","",IF($H22="مرجوعی فروش",-1,1)*($K22-$L22*IFERROR(VLOOKUP("P01",ParamTbl,3,0),1.5)))</f>
        <v/>
      </c>
      <c r="N22">
        <f>IF($G22="",0,IF($H22="مرجوعی فروش",-1,1)*IF(Sync!$AC18="",0,Sync!$AC18))</f>
        <v/>
      </c>
      <c r="O22">
        <f>IF(OR($G22="",Sync!$V18=""),"",Sync!$V18)</f>
        <v/>
      </c>
      <c r="P22">
        <f>IF(OR($G22="",Sync!$AD18=""),"",Sync!$AD18)</f>
        <v/>
      </c>
      <c r="Q22">
        <f>IF($G22="","",IF(Sync!$U18="","0000",IF(AND(ISNUMBER(Sync!$U18),Sync!$U18&gt;=0,Sync!$U18&lt;1),RIGHT("00"&amp;HOUR(Sync!$U18),2)&amp;RIGHT("00"&amp;MINUTE(Sync!$U18),2),IFERROR(RIGHT("00"&amp;VALUE(LEFT(Sync!$U18,FIND(":",Sync!$U18)-1)),2)&amp;RIGHT("00"&amp;VALUE(MID(Sync!$U18,FIND(":",Sync!$U18)+1,2)),2),"0000"))))</f>
        <v/>
      </c>
    </row>
    <row r="23">
      <c r="A23">
        <f>IF(Sync!$T19="","",Sync!$T19)</f>
        <v/>
      </c>
      <c r="B23">
        <f>IF($A23="","",IF(ISNUMBER($A23),IF(AND($A23&gt;=10000101,$A23&lt;=99991231),INT($A23/10000),""),IFERROR(VALUE(TRIM(LEFT($A23,FIND("/",$A23)-1))),"")))</f>
        <v/>
      </c>
      <c r="C23">
        <f>IF(OR($A23="",$B23=""),"",IF(ISNUMBER($A23),INT(MOD($A23,10000)/100),IFERROR(VALUE(TRIM(LEFT(MID($A23,FIND("/",$A23)+1,20),FIND("/",MID($A23,FIND("/",$A23)+1,20))-1))),"")))</f>
        <v/>
      </c>
      <c r="D23">
        <f>IF(OR($A23="",$B23=""),"",IF(ISNUMBER($A23),MOD($A23,100),IFERROR(VALUE(TRIM(MID(MID($A23,FIND("/",$A23)+1,20),FIND("/",MID($A23,FIND("/",$A23)+1,20))+1,20))),"")))</f>
        <v/>
      </c>
      <c r="E23">
        <f>IF($A23="","",IF(OR($B23="",$C23="",$D23="",$B23&lt;1300,$B23&gt;1500,$C23&lt;1,$C23&gt;12,$D23&lt;1,$D23&gt;31),"نامعتبر",RIGHT("0000"&amp;$B23,4)&amp;"/"&amp;RIGHT("00"&amp;$C23,2)&amp;"/"&amp;RIGHT("00"&amp;$D23,2)))</f>
        <v/>
      </c>
      <c r="F23">
        <f>IF(OR($E23="",$E23="نامعتبر"),"",LEFT($E23,4)&amp;"/"&amp;MID($E23,6,2))</f>
        <v/>
      </c>
      <c r="G23">
        <f>IF(OR($E23="",$E23="نامعتبر",Sync!$X19=""),"",IF(AND(LEFT(UPPER(TRIM(Sync!$X19)),2)="SL",IFERROR(VLOOKUP(Sync!$W19,OpTbl,3,0),"")="فروش"),UPPER(TRIM(Sync!$X19)),""))</f>
        <v/>
      </c>
      <c r="H23">
        <f>IF($G23="","",IF(Sync!$W19="","",Sync!$W19))</f>
        <v/>
      </c>
      <c r="I23">
        <f>IF(OR($G23="",Sync!$Y19=""),"",Sync!$Y19)</f>
        <v/>
      </c>
      <c r="J23">
        <f>IF(OR($G23="",Sync!$Z19=""),"",Sync!$Z19)</f>
        <v/>
      </c>
      <c r="K23">
        <f>IF($G23="",0,IF(Sync!$AA19="",0,Sync!$AA19))</f>
        <v/>
      </c>
      <c r="L23">
        <f>IF($G23="",0,IF(Sync!$AB19="",0,Sync!$AB19))</f>
        <v/>
      </c>
      <c r="M23">
        <f>IF($G23="","",IF($H23="مرجوعی فروش",-1,1)*($K23-$L23*IFERROR(VLOOKUP("P01",ParamTbl,3,0),1.5)))</f>
        <v/>
      </c>
      <c r="N23">
        <f>IF($G23="",0,IF($H23="مرجوعی فروش",-1,1)*IF(Sync!$AC19="",0,Sync!$AC19))</f>
        <v/>
      </c>
      <c r="O23">
        <f>IF(OR($G23="",Sync!$V19=""),"",Sync!$V19)</f>
        <v/>
      </c>
      <c r="P23">
        <f>IF(OR($G23="",Sync!$AD19=""),"",Sync!$AD19)</f>
        <v/>
      </c>
      <c r="Q23">
        <f>IF($G23="","",IF(Sync!$U19="","0000",IF(AND(ISNUMBER(Sync!$U19),Sync!$U19&gt;=0,Sync!$U19&lt;1),RIGHT("00"&amp;HOUR(Sync!$U19),2)&amp;RIGHT("00"&amp;MINUTE(Sync!$U19),2),IFERROR(RIGHT("00"&amp;VALUE(LEFT(Sync!$U19,FIND(":",Sync!$U19)-1)),2)&amp;RIGHT("00"&amp;VALUE(MID(Sync!$U19,FIND(":",Sync!$U19)+1,2)),2),"0000"))))</f>
        <v/>
      </c>
    </row>
    <row r="24">
      <c r="A24">
        <f>IF(Sync!$T20="","",Sync!$T20)</f>
        <v/>
      </c>
      <c r="B24">
        <f>IF($A24="","",IF(ISNUMBER($A24),IF(AND($A24&gt;=10000101,$A24&lt;=99991231),INT($A24/10000),""),IFERROR(VALUE(TRIM(LEFT($A24,FIND("/",$A24)-1))),"")))</f>
        <v/>
      </c>
      <c r="C24">
        <f>IF(OR($A24="",$B24=""),"",IF(ISNUMBER($A24),INT(MOD($A24,10000)/100),IFERROR(VALUE(TRIM(LEFT(MID($A24,FIND("/",$A24)+1,20),FIND("/",MID($A24,FIND("/",$A24)+1,20))-1))),"")))</f>
        <v/>
      </c>
      <c r="D24">
        <f>IF(OR($A24="",$B24=""),"",IF(ISNUMBER($A24),MOD($A24,100),IFERROR(VALUE(TRIM(MID(MID($A24,FIND("/",$A24)+1,20),FIND("/",MID($A24,FIND("/",$A24)+1,20))+1,20))),"")))</f>
        <v/>
      </c>
      <c r="E24">
        <f>IF($A24="","",IF(OR($B24="",$C24="",$D24="",$B24&lt;1300,$B24&gt;1500,$C24&lt;1,$C24&gt;12,$D24&lt;1,$D24&gt;31),"نامعتبر",RIGHT("0000"&amp;$B24,4)&amp;"/"&amp;RIGHT("00"&amp;$C24,2)&amp;"/"&amp;RIGHT("00"&amp;$D24,2)))</f>
        <v/>
      </c>
      <c r="F24">
        <f>IF(OR($E24="",$E24="نامعتبر"),"",LEFT($E24,4)&amp;"/"&amp;MID($E24,6,2))</f>
        <v/>
      </c>
      <c r="G24">
        <f>IF(OR($E24="",$E24="نامعتبر",Sync!$X20=""),"",IF(AND(LEFT(UPPER(TRIM(Sync!$X20)),2)="SL",IFERROR(VLOOKUP(Sync!$W20,OpTbl,3,0),"")="فروش"),UPPER(TRIM(Sync!$X20)),""))</f>
        <v/>
      </c>
      <c r="H24">
        <f>IF($G24="","",IF(Sync!$W20="","",Sync!$W20))</f>
        <v/>
      </c>
      <c r="I24">
        <f>IF(OR($G24="",Sync!$Y20=""),"",Sync!$Y20)</f>
        <v/>
      </c>
      <c r="J24">
        <f>IF(OR($G24="",Sync!$Z20=""),"",Sync!$Z20)</f>
        <v/>
      </c>
      <c r="K24">
        <f>IF($G24="",0,IF(Sync!$AA20="",0,Sync!$AA20))</f>
        <v/>
      </c>
      <c r="L24">
        <f>IF($G24="",0,IF(Sync!$AB20="",0,Sync!$AB20))</f>
        <v/>
      </c>
      <c r="M24">
        <f>IF($G24="","",IF($H24="مرجوعی فروش",-1,1)*($K24-$L24*IFERROR(VLOOKUP("P01",ParamTbl,3,0),1.5)))</f>
        <v/>
      </c>
      <c r="N24">
        <f>IF($G24="",0,IF($H24="مرجوعی فروش",-1,1)*IF(Sync!$AC20="",0,Sync!$AC20))</f>
        <v/>
      </c>
      <c r="O24">
        <f>IF(OR($G24="",Sync!$V20=""),"",Sync!$V20)</f>
        <v/>
      </c>
      <c r="P24">
        <f>IF(OR($G24="",Sync!$AD20=""),"",Sync!$AD20)</f>
        <v/>
      </c>
      <c r="Q24">
        <f>IF($G24="","",IF(Sync!$U20="","0000",IF(AND(ISNUMBER(Sync!$U20),Sync!$U20&gt;=0,Sync!$U20&lt;1),RIGHT("00"&amp;HOUR(Sync!$U20),2)&amp;RIGHT("00"&amp;MINUTE(Sync!$U20),2),IFERROR(RIGHT("00"&amp;VALUE(LEFT(Sync!$U20,FIND(":",Sync!$U20)-1)),2)&amp;RIGHT("00"&amp;VALUE(MID(Sync!$U20,FIND(":",Sync!$U20)+1,2)),2),"0000"))))</f>
        <v/>
      </c>
    </row>
    <row r="25">
      <c r="A25">
        <f>IF(Sync!$T21="","",Sync!$T21)</f>
        <v/>
      </c>
      <c r="B25">
        <f>IF($A25="","",IF(ISNUMBER($A25),IF(AND($A25&gt;=10000101,$A25&lt;=99991231),INT($A25/10000),""),IFERROR(VALUE(TRIM(LEFT($A25,FIND("/",$A25)-1))),"")))</f>
        <v/>
      </c>
      <c r="C25">
        <f>IF(OR($A25="",$B25=""),"",IF(ISNUMBER($A25),INT(MOD($A25,10000)/100),IFERROR(VALUE(TRIM(LEFT(MID($A25,FIND("/",$A25)+1,20),FIND("/",MID($A25,FIND("/",$A25)+1,20))-1))),"")))</f>
        <v/>
      </c>
      <c r="D25">
        <f>IF(OR($A25="",$B25=""),"",IF(ISNUMBER($A25),MOD($A25,100),IFERROR(VALUE(TRIM(MID(MID($A25,FIND("/",$A25)+1,20),FIND("/",MID($A25,FIND("/",$A25)+1,20))+1,20))),"")))</f>
        <v/>
      </c>
      <c r="E25">
        <f>IF($A25="","",IF(OR($B25="",$C25="",$D25="",$B25&lt;1300,$B25&gt;1500,$C25&lt;1,$C25&gt;12,$D25&lt;1,$D25&gt;31),"نامعتبر",RIGHT("0000"&amp;$B25,4)&amp;"/"&amp;RIGHT("00"&amp;$C25,2)&amp;"/"&amp;RIGHT("00"&amp;$D25,2)))</f>
        <v/>
      </c>
      <c r="F25">
        <f>IF(OR($E25="",$E25="نامعتبر"),"",LEFT($E25,4)&amp;"/"&amp;MID($E25,6,2))</f>
        <v/>
      </c>
      <c r="G25">
        <f>IF(OR($E25="",$E25="نامعتبر",Sync!$X21=""),"",IF(AND(LEFT(UPPER(TRIM(Sync!$X21)),2)="SL",IFERROR(VLOOKUP(Sync!$W21,OpTbl,3,0),"")="فروش"),UPPER(TRIM(Sync!$X21)),""))</f>
        <v/>
      </c>
      <c r="H25">
        <f>IF($G25="","",IF(Sync!$W21="","",Sync!$W21))</f>
        <v/>
      </c>
      <c r="I25">
        <f>IF(OR($G25="",Sync!$Y21=""),"",Sync!$Y21)</f>
        <v/>
      </c>
      <c r="J25">
        <f>IF(OR($G25="",Sync!$Z21=""),"",Sync!$Z21)</f>
        <v/>
      </c>
      <c r="K25">
        <f>IF($G25="",0,IF(Sync!$AA21="",0,Sync!$AA21))</f>
        <v/>
      </c>
      <c r="L25">
        <f>IF($G25="",0,IF(Sync!$AB21="",0,Sync!$AB21))</f>
        <v/>
      </c>
      <c r="M25">
        <f>IF($G25="","",IF($H25="مرجوعی فروش",-1,1)*($K25-$L25*IFERROR(VLOOKUP("P01",ParamTbl,3,0),1.5)))</f>
        <v/>
      </c>
      <c r="N25">
        <f>IF($G25="",0,IF($H25="مرجوعی فروش",-1,1)*IF(Sync!$AC21="",0,Sync!$AC21))</f>
        <v/>
      </c>
      <c r="O25">
        <f>IF(OR($G25="",Sync!$V21=""),"",Sync!$V21)</f>
        <v/>
      </c>
      <c r="P25">
        <f>IF(OR($G25="",Sync!$AD21=""),"",Sync!$AD21)</f>
        <v/>
      </c>
      <c r="Q25">
        <f>IF($G25="","",IF(Sync!$U21="","0000",IF(AND(ISNUMBER(Sync!$U21),Sync!$U21&gt;=0,Sync!$U21&lt;1),RIGHT("00"&amp;HOUR(Sync!$U21),2)&amp;RIGHT("00"&amp;MINUTE(Sync!$U21),2),IFERROR(RIGHT("00"&amp;VALUE(LEFT(Sync!$U21,FIND(":",Sync!$U21)-1)),2)&amp;RIGHT("00"&amp;VALUE(MID(Sync!$U21,FIND(":",Sync!$U21)+1,2)),2),"0000"))))</f>
        <v/>
      </c>
    </row>
    <row r="26">
      <c r="A26">
        <f>IF(Sync!$T22="","",Sync!$T22)</f>
        <v/>
      </c>
      <c r="B26">
        <f>IF($A26="","",IF(ISNUMBER($A26),IF(AND($A26&gt;=10000101,$A26&lt;=99991231),INT($A26/10000),""),IFERROR(VALUE(TRIM(LEFT($A26,FIND("/",$A26)-1))),"")))</f>
        <v/>
      </c>
      <c r="C26">
        <f>IF(OR($A26="",$B26=""),"",IF(ISNUMBER($A26),INT(MOD($A26,10000)/100),IFERROR(VALUE(TRIM(LEFT(MID($A26,FIND("/",$A26)+1,20),FIND("/",MID($A26,FIND("/",$A26)+1,20))-1))),"")))</f>
        <v/>
      </c>
      <c r="D26">
        <f>IF(OR($A26="",$B26=""),"",IF(ISNUMBER($A26),MOD($A26,100),IFERROR(VALUE(TRIM(MID(MID($A26,FIND("/",$A26)+1,20),FIND("/",MID($A26,FIND("/",$A26)+1,20))+1,20))),"")))</f>
        <v/>
      </c>
      <c r="E26">
        <f>IF($A26="","",IF(OR($B26="",$C26="",$D26="",$B26&lt;1300,$B26&gt;1500,$C26&lt;1,$C26&gt;12,$D26&lt;1,$D26&gt;31),"نامعتبر",RIGHT("0000"&amp;$B26,4)&amp;"/"&amp;RIGHT("00"&amp;$C26,2)&amp;"/"&amp;RIGHT("00"&amp;$D26,2)))</f>
        <v/>
      </c>
      <c r="F26">
        <f>IF(OR($E26="",$E26="نامعتبر"),"",LEFT($E26,4)&amp;"/"&amp;MID($E26,6,2))</f>
        <v/>
      </c>
      <c r="G26">
        <f>IF(OR($E26="",$E26="نامعتبر",Sync!$X22=""),"",IF(AND(LEFT(UPPER(TRIM(Sync!$X22)),2)="SL",IFERROR(VLOOKUP(Sync!$W22,OpTbl,3,0),"")="فروش"),UPPER(TRIM(Sync!$X22)),""))</f>
        <v/>
      </c>
      <c r="H26">
        <f>IF($G26="","",IF(Sync!$W22="","",Sync!$W22))</f>
        <v/>
      </c>
      <c r="I26">
        <f>IF(OR($G26="",Sync!$Y22=""),"",Sync!$Y22)</f>
        <v/>
      </c>
      <c r="J26">
        <f>IF(OR($G26="",Sync!$Z22=""),"",Sync!$Z22)</f>
        <v/>
      </c>
      <c r="K26">
        <f>IF($G26="",0,IF(Sync!$AA22="",0,Sync!$AA22))</f>
        <v/>
      </c>
      <c r="L26">
        <f>IF($G26="",0,IF(Sync!$AB22="",0,Sync!$AB22))</f>
        <v/>
      </c>
      <c r="M26">
        <f>IF($G26="","",IF($H26="مرجوعی فروش",-1,1)*($K26-$L26*IFERROR(VLOOKUP("P01",ParamTbl,3,0),1.5)))</f>
        <v/>
      </c>
      <c r="N26">
        <f>IF($G26="",0,IF($H26="مرجوعی فروش",-1,1)*IF(Sync!$AC22="",0,Sync!$AC22))</f>
        <v/>
      </c>
      <c r="O26">
        <f>IF(OR($G26="",Sync!$V22=""),"",Sync!$V22)</f>
        <v/>
      </c>
      <c r="P26">
        <f>IF(OR($G26="",Sync!$AD22=""),"",Sync!$AD22)</f>
        <v/>
      </c>
      <c r="Q26">
        <f>IF($G26="","",IF(Sync!$U22="","0000",IF(AND(ISNUMBER(Sync!$U22),Sync!$U22&gt;=0,Sync!$U22&lt;1),RIGHT("00"&amp;HOUR(Sync!$U22),2)&amp;RIGHT("00"&amp;MINUTE(Sync!$U22),2),IFERROR(RIGHT("00"&amp;VALUE(LEFT(Sync!$U22,FIND(":",Sync!$U22)-1)),2)&amp;RIGHT("00"&amp;VALUE(MID(Sync!$U22,FIND(":",Sync!$U22)+1,2)),2),"0000"))))</f>
        <v/>
      </c>
    </row>
    <row r="27">
      <c r="A27">
        <f>IF(Sync!$T23="","",Sync!$T23)</f>
        <v/>
      </c>
      <c r="B27">
        <f>IF($A27="","",IF(ISNUMBER($A27),IF(AND($A27&gt;=10000101,$A27&lt;=99991231),INT($A27/10000),""),IFERROR(VALUE(TRIM(LEFT($A27,FIND("/",$A27)-1))),"")))</f>
        <v/>
      </c>
      <c r="C27">
        <f>IF(OR($A27="",$B27=""),"",IF(ISNUMBER($A27),INT(MOD($A27,10000)/100),IFERROR(VALUE(TRIM(LEFT(MID($A27,FIND("/",$A27)+1,20),FIND("/",MID($A27,FIND("/",$A27)+1,20))-1))),"")))</f>
        <v/>
      </c>
      <c r="D27">
        <f>IF(OR($A27="",$B27=""),"",IF(ISNUMBER($A27),MOD($A27,100),IFERROR(VALUE(TRIM(MID(MID($A27,FIND("/",$A27)+1,20),FIND("/",MID($A27,FIND("/",$A27)+1,20))+1,20))),"")))</f>
        <v/>
      </c>
      <c r="E27">
        <f>IF($A27="","",IF(OR($B27="",$C27="",$D27="",$B27&lt;1300,$B27&gt;1500,$C27&lt;1,$C27&gt;12,$D27&lt;1,$D27&gt;31),"نامعتبر",RIGHT("0000"&amp;$B27,4)&amp;"/"&amp;RIGHT("00"&amp;$C27,2)&amp;"/"&amp;RIGHT("00"&amp;$D27,2)))</f>
        <v/>
      </c>
      <c r="F27">
        <f>IF(OR($E27="",$E27="نامعتبر"),"",LEFT($E27,4)&amp;"/"&amp;MID($E27,6,2))</f>
        <v/>
      </c>
      <c r="G27">
        <f>IF(OR($E27="",$E27="نامعتبر",Sync!$X23=""),"",IF(AND(LEFT(UPPER(TRIM(Sync!$X23)),2)="SL",IFERROR(VLOOKUP(Sync!$W23,OpTbl,3,0),"")="فروش"),UPPER(TRIM(Sync!$X23)),""))</f>
        <v/>
      </c>
      <c r="H27">
        <f>IF($G27="","",IF(Sync!$W23="","",Sync!$W23))</f>
        <v/>
      </c>
      <c r="I27">
        <f>IF(OR($G27="",Sync!$Y23=""),"",Sync!$Y23)</f>
        <v/>
      </c>
      <c r="J27">
        <f>IF(OR($G27="",Sync!$Z23=""),"",Sync!$Z23)</f>
        <v/>
      </c>
      <c r="K27">
        <f>IF($G27="",0,IF(Sync!$AA23="",0,Sync!$AA23))</f>
        <v/>
      </c>
      <c r="L27">
        <f>IF($G27="",0,IF(Sync!$AB23="",0,Sync!$AB23))</f>
        <v/>
      </c>
      <c r="M27">
        <f>IF($G27="","",IF($H27="مرجوعی فروش",-1,1)*($K27-$L27*IFERROR(VLOOKUP("P01",ParamTbl,3,0),1.5)))</f>
        <v/>
      </c>
      <c r="N27">
        <f>IF($G27="",0,IF($H27="مرجوعی فروش",-1,1)*IF(Sync!$AC23="",0,Sync!$AC23))</f>
        <v/>
      </c>
      <c r="O27">
        <f>IF(OR($G27="",Sync!$V23=""),"",Sync!$V23)</f>
        <v/>
      </c>
      <c r="P27">
        <f>IF(OR($G27="",Sync!$AD23=""),"",Sync!$AD23)</f>
        <v/>
      </c>
      <c r="Q27">
        <f>IF($G27="","",IF(Sync!$U23="","0000",IF(AND(ISNUMBER(Sync!$U23),Sync!$U23&gt;=0,Sync!$U23&lt;1),RIGHT("00"&amp;HOUR(Sync!$U23),2)&amp;RIGHT("00"&amp;MINUTE(Sync!$U23),2),IFERROR(RIGHT("00"&amp;VALUE(LEFT(Sync!$U23,FIND(":",Sync!$U23)-1)),2)&amp;RIGHT("00"&amp;VALUE(MID(Sync!$U23,FIND(":",Sync!$U23)+1,2)),2),"0000"))))</f>
        <v/>
      </c>
    </row>
    <row r="28">
      <c r="A28">
        <f>IF(Sync!$T24="","",Sync!$T24)</f>
        <v/>
      </c>
      <c r="B28">
        <f>IF($A28="","",IF(ISNUMBER($A28),IF(AND($A28&gt;=10000101,$A28&lt;=99991231),INT($A28/10000),""),IFERROR(VALUE(TRIM(LEFT($A28,FIND("/",$A28)-1))),"")))</f>
        <v/>
      </c>
      <c r="C28">
        <f>IF(OR($A28="",$B28=""),"",IF(ISNUMBER($A28),INT(MOD($A28,10000)/100),IFERROR(VALUE(TRIM(LEFT(MID($A28,FIND("/",$A28)+1,20),FIND("/",MID($A28,FIND("/",$A28)+1,20))-1))),"")))</f>
        <v/>
      </c>
      <c r="D28">
        <f>IF(OR($A28="",$B28=""),"",IF(ISNUMBER($A28),MOD($A28,100),IFERROR(VALUE(TRIM(MID(MID($A28,FIND("/",$A28)+1,20),FIND("/",MID($A28,FIND("/",$A28)+1,20))+1,20))),"")))</f>
        <v/>
      </c>
      <c r="E28">
        <f>IF($A28="","",IF(OR($B28="",$C28="",$D28="",$B28&lt;1300,$B28&gt;1500,$C28&lt;1,$C28&gt;12,$D28&lt;1,$D28&gt;31),"نامعتبر",RIGHT("0000"&amp;$B28,4)&amp;"/"&amp;RIGHT("00"&amp;$C28,2)&amp;"/"&amp;RIGHT("00"&amp;$D28,2)))</f>
        <v/>
      </c>
      <c r="F28">
        <f>IF(OR($E28="",$E28="نامعتبر"),"",LEFT($E28,4)&amp;"/"&amp;MID($E28,6,2))</f>
        <v/>
      </c>
      <c r="G28">
        <f>IF(OR($E28="",$E28="نامعتبر",Sync!$X24=""),"",IF(AND(LEFT(UPPER(TRIM(Sync!$X24)),2)="SL",IFERROR(VLOOKUP(Sync!$W24,OpTbl,3,0),"")="فروش"),UPPER(TRIM(Sync!$X24)),""))</f>
        <v/>
      </c>
      <c r="H28">
        <f>IF($G28="","",IF(Sync!$W24="","",Sync!$W24))</f>
        <v/>
      </c>
      <c r="I28">
        <f>IF(OR($G28="",Sync!$Y24=""),"",Sync!$Y24)</f>
        <v/>
      </c>
      <c r="J28">
        <f>IF(OR($G28="",Sync!$Z24=""),"",Sync!$Z24)</f>
        <v/>
      </c>
      <c r="K28">
        <f>IF($G28="",0,IF(Sync!$AA24="",0,Sync!$AA24))</f>
        <v/>
      </c>
      <c r="L28">
        <f>IF($G28="",0,IF(Sync!$AB24="",0,Sync!$AB24))</f>
        <v/>
      </c>
      <c r="M28">
        <f>IF($G28="","",IF($H28="مرجوعی فروش",-1,1)*($K28-$L28*IFERROR(VLOOKUP("P01",ParamTbl,3,0),1.5)))</f>
        <v/>
      </c>
      <c r="N28">
        <f>IF($G28="",0,IF($H28="مرجوعی فروش",-1,1)*IF(Sync!$AC24="",0,Sync!$AC24))</f>
        <v/>
      </c>
      <c r="O28">
        <f>IF(OR($G28="",Sync!$V24=""),"",Sync!$V24)</f>
        <v/>
      </c>
      <c r="P28">
        <f>IF(OR($G28="",Sync!$AD24=""),"",Sync!$AD24)</f>
        <v/>
      </c>
      <c r="Q28">
        <f>IF($G28="","",IF(Sync!$U24="","0000",IF(AND(ISNUMBER(Sync!$U24),Sync!$U24&gt;=0,Sync!$U24&lt;1),RIGHT("00"&amp;HOUR(Sync!$U24),2)&amp;RIGHT("00"&amp;MINUTE(Sync!$U24),2),IFERROR(RIGHT("00"&amp;VALUE(LEFT(Sync!$U24,FIND(":",Sync!$U24)-1)),2)&amp;RIGHT("00"&amp;VALUE(MID(Sync!$U24,FIND(":",Sync!$U24)+1,2)),2),"0000"))))</f>
        <v/>
      </c>
    </row>
    <row r="29">
      <c r="A29">
        <f>IF(Sync!$T25="","",Sync!$T25)</f>
        <v/>
      </c>
      <c r="B29">
        <f>IF($A29="","",IF(ISNUMBER($A29),IF(AND($A29&gt;=10000101,$A29&lt;=99991231),INT($A29/10000),""),IFERROR(VALUE(TRIM(LEFT($A29,FIND("/",$A29)-1))),"")))</f>
        <v/>
      </c>
      <c r="C29">
        <f>IF(OR($A29="",$B29=""),"",IF(ISNUMBER($A29),INT(MOD($A29,10000)/100),IFERROR(VALUE(TRIM(LEFT(MID($A29,FIND("/",$A29)+1,20),FIND("/",MID($A29,FIND("/",$A29)+1,20))-1))),"")))</f>
        <v/>
      </c>
      <c r="D29">
        <f>IF(OR($A29="",$B29=""),"",IF(ISNUMBER($A29),MOD($A29,100),IFERROR(VALUE(TRIM(MID(MID($A29,FIND("/",$A29)+1,20),FIND("/",MID($A29,FIND("/",$A29)+1,20))+1,20))),"")))</f>
        <v/>
      </c>
      <c r="E29">
        <f>IF($A29="","",IF(OR($B29="",$C29="",$D29="",$B29&lt;1300,$B29&gt;1500,$C29&lt;1,$C29&gt;12,$D29&lt;1,$D29&gt;31),"نامعتبر",RIGHT("0000"&amp;$B29,4)&amp;"/"&amp;RIGHT("00"&amp;$C29,2)&amp;"/"&amp;RIGHT("00"&amp;$D29,2)))</f>
        <v/>
      </c>
      <c r="F29">
        <f>IF(OR($E29="",$E29="نامعتبر"),"",LEFT($E29,4)&amp;"/"&amp;MID($E29,6,2))</f>
        <v/>
      </c>
      <c r="G29">
        <f>IF(OR($E29="",$E29="نامعتبر",Sync!$X25=""),"",IF(AND(LEFT(UPPER(TRIM(Sync!$X25)),2)="SL",IFERROR(VLOOKUP(Sync!$W25,OpTbl,3,0),"")="فروش"),UPPER(TRIM(Sync!$X25)),""))</f>
        <v/>
      </c>
      <c r="H29">
        <f>IF($G29="","",IF(Sync!$W25="","",Sync!$W25))</f>
        <v/>
      </c>
      <c r="I29">
        <f>IF(OR($G29="",Sync!$Y25=""),"",Sync!$Y25)</f>
        <v/>
      </c>
      <c r="J29">
        <f>IF(OR($G29="",Sync!$Z25=""),"",Sync!$Z25)</f>
        <v/>
      </c>
      <c r="K29">
        <f>IF($G29="",0,IF(Sync!$AA25="",0,Sync!$AA25))</f>
        <v/>
      </c>
      <c r="L29">
        <f>IF($G29="",0,IF(Sync!$AB25="",0,Sync!$AB25))</f>
        <v/>
      </c>
      <c r="M29">
        <f>IF($G29="","",IF($H29="مرجوعی فروش",-1,1)*($K29-$L29*IFERROR(VLOOKUP("P01",ParamTbl,3,0),1.5)))</f>
        <v/>
      </c>
      <c r="N29">
        <f>IF($G29="",0,IF($H29="مرجوعی فروش",-1,1)*IF(Sync!$AC25="",0,Sync!$AC25))</f>
        <v/>
      </c>
      <c r="O29">
        <f>IF(OR($G29="",Sync!$V25=""),"",Sync!$V25)</f>
        <v/>
      </c>
      <c r="P29">
        <f>IF(OR($G29="",Sync!$AD25=""),"",Sync!$AD25)</f>
        <v/>
      </c>
      <c r="Q29">
        <f>IF($G29="","",IF(Sync!$U25="","0000",IF(AND(ISNUMBER(Sync!$U25),Sync!$U25&gt;=0,Sync!$U25&lt;1),RIGHT("00"&amp;HOUR(Sync!$U25),2)&amp;RIGHT("00"&amp;MINUTE(Sync!$U25),2),IFERROR(RIGHT("00"&amp;VALUE(LEFT(Sync!$U25,FIND(":",Sync!$U25)-1)),2)&amp;RIGHT("00"&amp;VALUE(MID(Sync!$U25,FIND(":",Sync!$U25)+1,2)),2),"0000"))))</f>
        <v/>
      </c>
    </row>
    <row r="30">
      <c r="A30">
        <f>IF(Sync!$T26="","",Sync!$T26)</f>
        <v/>
      </c>
      <c r="B30">
        <f>IF($A30="","",IF(ISNUMBER($A30),IF(AND($A30&gt;=10000101,$A30&lt;=99991231),INT($A30/10000),""),IFERROR(VALUE(TRIM(LEFT($A30,FIND("/",$A30)-1))),"")))</f>
        <v/>
      </c>
      <c r="C30">
        <f>IF(OR($A30="",$B30=""),"",IF(ISNUMBER($A30),INT(MOD($A30,10000)/100),IFERROR(VALUE(TRIM(LEFT(MID($A30,FIND("/",$A30)+1,20),FIND("/",MID($A30,FIND("/",$A30)+1,20))-1))),"")))</f>
        <v/>
      </c>
      <c r="D30">
        <f>IF(OR($A30="",$B30=""),"",IF(ISNUMBER($A30),MOD($A30,100),IFERROR(VALUE(TRIM(MID(MID($A30,FIND("/",$A30)+1,20),FIND("/",MID($A30,FIND("/",$A30)+1,20))+1,20))),"")))</f>
        <v/>
      </c>
      <c r="E30">
        <f>IF($A30="","",IF(OR($B30="",$C30="",$D30="",$B30&lt;1300,$B30&gt;1500,$C30&lt;1,$C30&gt;12,$D30&lt;1,$D30&gt;31),"نامعتبر",RIGHT("0000"&amp;$B30,4)&amp;"/"&amp;RIGHT("00"&amp;$C30,2)&amp;"/"&amp;RIGHT("00"&amp;$D30,2)))</f>
        <v/>
      </c>
      <c r="F30">
        <f>IF(OR($E30="",$E30="نامعتبر"),"",LEFT($E30,4)&amp;"/"&amp;MID($E30,6,2))</f>
        <v/>
      </c>
      <c r="G30">
        <f>IF(OR($E30="",$E30="نامعتبر",Sync!$X26=""),"",IF(AND(LEFT(UPPER(TRIM(Sync!$X26)),2)="SL",IFERROR(VLOOKUP(Sync!$W26,OpTbl,3,0),"")="فروش"),UPPER(TRIM(Sync!$X26)),""))</f>
        <v/>
      </c>
      <c r="H30">
        <f>IF($G30="","",IF(Sync!$W26="","",Sync!$W26))</f>
        <v/>
      </c>
      <c r="I30">
        <f>IF(OR($G30="",Sync!$Y26=""),"",Sync!$Y26)</f>
        <v/>
      </c>
      <c r="J30">
        <f>IF(OR($G30="",Sync!$Z26=""),"",Sync!$Z26)</f>
        <v/>
      </c>
      <c r="K30">
        <f>IF($G30="",0,IF(Sync!$AA26="",0,Sync!$AA26))</f>
        <v/>
      </c>
      <c r="L30">
        <f>IF($G30="",0,IF(Sync!$AB26="",0,Sync!$AB26))</f>
        <v/>
      </c>
      <c r="M30">
        <f>IF($G30="","",IF($H30="مرجوعی فروش",-1,1)*($K30-$L30*IFERROR(VLOOKUP("P01",ParamTbl,3,0),1.5)))</f>
        <v/>
      </c>
      <c r="N30">
        <f>IF($G30="",0,IF($H30="مرجوعی فروش",-1,1)*IF(Sync!$AC26="",0,Sync!$AC26))</f>
        <v/>
      </c>
      <c r="O30">
        <f>IF(OR($G30="",Sync!$V26=""),"",Sync!$V26)</f>
        <v/>
      </c>
      <c r="P30">
        <f>IF(OR($G30="",Sync!$AD26=""),"",Sync!$AD26)</f>
        <v/>
      </c>
      <c r="Q30">
        <f>IF($G30="","",IF(Sync!$U26="","0000",IF(AND(ISNUMBER(Sync!$U26),Sync!$U26&gt;=0,Sync!$U26&lt;1),RIGHT("00"&amp;HOUR(Sync!$U26),2)&amp;RIGHT("00"&amp;MINUTE(Sync!$U26),2),IFERROR(RIGHT("00"&amp;VALUE(LEFT(Sync!$U26,FIND(":",Sync!$U26)-1)),2)&amp;RIGHT("00"&amp;VALUE(MID(Sync!$U26,FIND(":",Sync!$U26)+1,2)),2),"0000"))))</f>
        <v/>
      </c>
    </row>
    <row r="31">
      <c r="A31">
        <f>IF(Sync!$T27="","",Sync!$T27)</f>
        <v/>
      </c>
      <c r="B31">
        <f>IF($A31="","",IF(ISNUMBER($A31),IF(AND($A31&gt;=10000101,$A31&lt;=99991231),INT($A31/10000),""),IFERROR(VALUE(TRIM(LEFT($A31,FIND("/",$A31)-1))),"")))</f>
        <v/>
      </c>
      <c r="C31">
        <f>IF(OR($A31="",$B31=""),"",IF(ISNUMBER($A31),INT(MOD($A31,10000)/100),IFERROR(VALUE(TRIM(LEFT(MID($A31,FIND("/",$A31)+1,20),FIND("/",MID($A31,FIND("/",$A31)+1,20))-1))),"")))</f>
        <v/>
      </c>
      <c r="D31">
        <f>IF(OR($A31="",$B31=""),"",IF(ISNUMBER($A31),MOD($A31,100),IFERROR(VALUE(TRIM(MID(MID($A31,FIND("/",$A31)+1,20),FIND("/",MID($A31,FIND("/",$A31)+1,20))+1,20))),"")))</f>
        <v/>
      </c>
      <c r="E31">
        <f>IF($A31="","",IF(OR($B31="",$C31="",$D31="",$B31&lt;1300,$B31&gt;1500,$C31&lt;1,$C31&gt;12,$D31&lt;1,$D31&gt;31),"نامعتبر",RIGHT("0000"&amp;$B31,4)&amp;"/"&amp;RIGHT("00"&amp;$C31,2)&amp;"/"&amp;RIGHT("00"&amp;$D31,2)))</f>
        <v/>
      </c>
      <c r="F31">
        <f>IF(OR($E31="",$E31="نامعتبر"),"",LEFT($E31,4)&amp;"/"&amp;MID($E31,6,2))</f>
        <v/>
      </c>
      <c r="G31">
        <f>IF(OR($E31="",$E31="نامعتبر",Sync!$X27=""),"",IF(AND(LEFT(UPPER(TRIM(Sync!$X27)),2)="SL",IFERROR(VLOOKUP(Sync!$W27,OpTbl,3,0),"")="فروش"),UPPER(TRIM(Sync!$X27)),""))</f>
        <v/>
      </c>
      <c r="H31">
        <f>IF($G31="","",IF(Sync!$W27="","",Sync!$W27))</f>
        <v/>
      </c>
      <c r="I31">
        <f>IF(OR($G31="",Sync!$Y27=""),"",Sync!$Y27)</f>
        <v/>
      </c>
      <c r="J31">
        <f>IF(OR($G31="",Sync!$Z27=""),"",Sync!$Z27)</f>
        <v/>
      </c>
      <c r="K31">
        <f>IF($G31="",0,IF(Sync!$AA27="",0,Sync!$AA27))</f>
        <v/>
      </c>
      <c r="L31">
        <f>IF($G31="",0,IF(Sync!$AB27="",0,Sync!$AB27))</f>
        <v/>
      </c>
      <c r="M31">
        <f>IF($G31="","",IF($H31="مرجوعی فروش",-1,1)*($K31-$L31*IFERROR(VLOOKUP("P01",ParamTbl,3,0),1.5)))</f>
        <v/>
      </c>
      <c r="N31">
        <f>IF($G31="",0,IF($H31="مرجوعی فروش",-1,1)*IF(Sync!$AC27="",0,Sync!$AC27))</f>
        <v/>
      </c>
      <c r="O31">
        <f>IF(OR($G31="",Sync!$V27=""),"",Sync!$V27)</f>
        <v/>
      </c>
      <c r="P31">
        <f>IF(OR($G31="",Sync!$AD27=""),"",Sync!$AD27)</f>
        <v/>
      </c>
      <c r="Q31">
        <f>IF($G31="","",IF(Sync!$U27="","0000",IF(AND(ISNUMBER(Sync!$U27),Sync!$U27&gt;=0,Sync!$U27&lt;1),RIGHT("00"&amp;HOUR(Sync!$U27),2)&amp;RIGHT("00"&amp;MINUTE(Sync!$U27),2),IFERROR(RIGHT("00"&amp;VALUE(LEFT(Sync!$U27,FIND(":",Sync!$U27)-1)),2)&amp;RIGHT("00"&amp;VALUE(MID(Sync!$U27,FIND(":",Sync!$U27)+1,2)),2),"0000"))))</f>
        <v/>
      </c>
    </row>
    <row r="32">
      <c r="A32">
        <f>IF(Sync!$T28="","",Sync!$T28)</f>
        <v/>
      </c>
      <c r="B32">
        <f>IF($A32="","",IF(ISNUMBER($A32),IF(AND($A32&gt;=10000101,$A32&lt;=99991231),INT($A32/10000),""),IFERROR(VALUE(TRIM(LEFT($A32,FIND("/",$A32)-1))),"")))</f>
        <v/>
      </c>
      <c r="C32">
        <f>IF(OR($A32="",$B32=""),"",IF(ISNUMBER($A32),INT(MOD($A32,10000)/100),IFERROR(VALUE(TRIM(LEFT(MID($A32,FIND("/",$A32)+1,20),FIND("/",MID($A32,FIND("/",$A32)+1,20))-1))),"")))</f>
        <v/>
      </c>
      <c r="D32">
        <f>IF(OR($A32="",$B32=""),"",IF(ISNUMBER($A32),MOD($A32,100),IFERROR(VALUE(TRIM(MID(MID($A32,FIND("/",$A32)+1,20),FIND("/",MID($A32,FIND("/",$A32)+1,20))+1,20))),"")))</f>
        <v/>
      </c>
      <c r="E32">
        <f>IF($A32="","",IF(OR($B32="",$C32="",$D32="",$B32&lt;1300,$B32&gt;1500,$C32&lt;1,$C32&gt;12,$D32&lt;1,$D32&gt;31),"نامعتبر",RIGHT("0000"&amp;$B32,4)&amp;"/"&amp;RIGHT("00"&amp;$C32,2)&amp;"/"&amp;RIGHT("00"&amp;$D32,2)))</f>
        <v/>
      </c>
      <c r="F32">
        <f>IF(OR($E32="",$E32="نامعتبر"),"",LEFT($E32,4)&amp;"/"&amp;MID($E32,6,2))</f>
        <v/>
      </c>
      <c r="G32">
        <f>IF(OR($E32="",$E32="نامعتبر",Sync!$X28=""),"",IF(AND(LEFT(UPPER(TRIM(Sync!$X28)),2)="SL",IFERROR(VLOOKUP(Sync!$W28,OpTbl,3,0),"")="فروش"),UPPER(TRIM(Sync!$X28)),""))</f>
        <v/>
      </c>
      <c r="H32">
        <f>IF($G32="","",IF(Sync!$W28="","",Sync!$W28))</f>
        <v/>
      </c>
      <c r="I32">
        <f>IF(OR($G32="",Sync!$Y28=""),"",Sync!$Y28)</f>
        <v/>
      </c>
      <c r="J32">
        <f>IF(OR($G32="",Sync!$Z28=""),"",Sync!$Z28)</f>
        <v/>
      </c>
      <c r="K32">
        <f>IF($G32="",0,IF(Sync!$AA28="",0,Sync!$AA28))</f>
        <v/>
      </c>
      <c r="L32">
        <f>IF($G32="",0,IF(Sync!$AB28="",0,Sync!$AB28))</f>
        <v/>
      </c>
      <c r="M32">
        <f>IF($G32="","",IF($H32="مرجوعی فروش",-1,1)*($K32-$L32*IFERROR(VLOOKUP("P01",ParamTbl,3,0),1.5)))</f>
        <v/>
      </c>
      <c r="N32">
        <f>IF($G32="",0,IF($H32="مرجوعی فروش",-1,1)*IF(Sync!$AC28="",0,Sync!$AC28))</f>
        <v/>
      </c>
      <c r="O32">
        <f>IF(OR($G32="",Sync!$V28=""),"",Sync!$V28)</f>
        <v/>
      </c>
      <c r="P32">
        <f>IF(OR($G32="",Sync!$AD28=""),"",Sync!$AD28)</f>
        <v/>
      </c>
      <c r="Q32">
        <f>IF($G32="","",IF(Sync!$U28="","0000",IF(AND(ISNUMBER(Sync!$U28),Sync!$U28&gt;=0,Sync!$U28&lt;1),RIGHT("00"&amp;HOUR(Sync!$U28),2)&amp;RIGHT("00"&amp;MINUTE(Sync!$U28),2),IFERROR(RIGHT("00"&amp;VALUE(LEFT(Sync!$U28,FIND(":",Sync!$U28)-1)),2)&amp;RIGHT("00"&amp;VALUE(MID(Sync!$U28,FIND(":",Sync!$U28)+1,2)),2),"0000"))))</f>
        <v/>
      </c>
    </row>
    <row r="33">
      <c r="A33">
        <f>IF(Sync!$T29="","",Sync!$T29)</f>
        <v/>
      </c>
      <c r="B33">
        <f>IF($A33="","",IF(ISNUMBER($A33),IF(AND($A33&gt;=10000101,$A33&lt;=99991231),INT($A33/10000),""),IFERROR(VALUE(TRIM(LEFT($A33,FIND("/",$A33)-1))),"")))</f>
        <v/>
      </c>
      <c r="C33">
        <f>IF(OR($A33="",$B33=""),"",IF(ISNUMBER($A33),INT(MOD($A33,10000)/100),IFERROR(VALUE(TRIM(LEFT(MID($A33,FIND("/",$A33)+1,20),FIND("/",MID($A33,FIND("/",$A33)+1,20))-1))),"")))</f>
        <v/>
      </c>
      <c r="D33">
        <f>IF(OR($A33="",$B33=""),"",IF(ISNUMBER($A33),MOD($A33,100),IFERROR(VALUE(TRIM(MID(MID($A33,FIND("/",$A33)+1,20),FIND("/",MID($A33,FIND("/",$A33)+1,20))+1,20))),"")))</f>
        <v/>
      </c>
      <c r="E33">
        <f>IF($A33="","",IF(OR($B33="",$C33="",$D33="",$B33&lt;1300,$B33&gt;1500,$C33&lt;1,$C33&gt;12,$D33&lt;1,$D33&gt;31),"نامعتبر",RIGHT("0000"&amp;$B33,4)&amp;"/"&amp;RIGHT("00"&amp;$C33,2)&amp;"/"&amp;RIGHT("00"&amp;$D33,2)))</f>
        <v/>
      </c>
      <c r="F33">
        <f>IF(OR($E33="",$E33="نامعتبر"),"",LEFT($E33,4)&amp;"/"&amp;MID($E33,6,2))</f>
        <v/>
      </c>
      <c r="G33">
        <f>IF(OR($E33="",$E33="نامعتبر",Sync!$X29=""),"",IF(AND(LEFT(UPPER(TRIM(Sync!$X29)),2)="SL",IFERROR(VLOOKUP(Sync!$W29,OpTbl,3,0),"")="فروش"),UPPER(TRIM(Sync!$X29)),""))</f>
        <v/>
      </c>
      <c r="H33">
        <f>IF($G33="","",IF(Sync!$W29="","",Sync!$W29))</f>
        <v/>
      </c>
      <c r="I33">
        <f>IF(OR($G33="",Sync!$Y29=""),"",Sync!$Y29)</f>
        <v/>
      </c>
      <c r="J33">
        <f>IF(OR($G33="",Sync!$Z29=""),"",Sync!$Z29)</f>
        <v/>
      </c>
      <c r="K33">
        <f>IF($G33="",0,IF(Sync!$AA29="",0,Sync!$AA29))</f>
        <v/>
      </c>
      <c r="L33">
        <f>IF($G33="",0,IF(Sync!$AB29="",0,Sync!$AB29))</f>
        <v/>
      </c>
      <c r="M33">
        <f>IF($G33="","",IF($H33="مرجوعی فروش",-1,1)*($K33-$L33*IFERROR(VLOOKUP("P01",ParamTbl,3,0),1.5)))</f>
        <v/>
      </c>
      <c r="N33">
        <f>IF($G33="",0,IF($H33="مرجوعی فروش",-1,1)*IF(Sync!$AC29="",0,Sync!$AC29))</f>
        <v/>
      </c>
      <c r="O33">
        <f>IF(OR($G33="",Sync!$V29=""),"",Sync!$V29)</f>
        <v/>
      </c>
      <c r="P33">
        <f>IF(OR($G33="",Sync!$AD29=""),"",Sync!$AD29)</f>
        <v/>
      </c>
      <c r="Q33">
        <f>IF($G33="","",IF(Sync!$U29="","0000",IF(AND(ISNUMBER(Sync!$U29),Sync!$U29&gt;=0,Sync!$U29&lt;1),RIGHT("00"&amp;HOUR(Sync!$U29),2)&amp;RIGHT("00"&amp;MINUTE(Sync!$U29),2),IFERROR(RIGHT("00"&amp;VALUE(LEFT(Sync!$U29,FIND(":",Sync!$U29)-1)),2)&amp;RIGHT("00"&amp;VALUE(MID(Sync!$U29,FIND(":",Sync!$U29)+1,2)),2),"0000"))))</f>
        <v/>
      </c>
    </row>
    <row r="34">
      <c r="A34">
        <f>IF(Sync!$T30="","",Sync!$T30)</f>
        <v/>
      </c>
      <c r="B34">
        <f>IF($A34="","",IF(ISNUMBER($A34),IF(AND($A34&gt;=10000101,$A34&lt;=99991231),INT($A34/10000),""),IFERROR(VALUE(TRIM(LEFT($A34,FIND("/",$A34)-1))),"")))</f>
        <v/>
      </c>
      <c r="C34">
        <f>IF(OR($A34="",$B34=""),"",IF(ISNUMBER($A34),INT(MOD($A34,10000)/100),IFERROR(VALUE(TRIM(LEFT(MID($A34,FIND("/",$A34)+1,20),FIND("/",MID($A34,FIND("/",$A34)+1,20))-1))),"")))</f>
        <v/>
      </c>
      <c r="D34">
        <f>IF(OR($A34="",$B34=""),"",IF(ISNUMBER($A34),MOD($A34,100),IFERROR(VALUE(TRIM(MID(MID($A34,FIND("/",$A34)+1,20),FIND("/",MID($A34,FIND("/",$A34)+1,20))+1,20))),"")))</f>
        <v/>
      </c>
      <c r="E34">
        <f>IF($A34="","",IF(OR($B34="",$C34="",$D34="",$B34&lt;1300,$B34&gt;1500,$C34&lt;1,$C34&gt;12,$D34&lt;1,$D34&gt;31),"نامعتبر",RIGHT("0000"&amp;$B34,4)&amp;"/"&amp;RIGHT("00"&amp;$C34,2)&amp;"/"&amp;RIGHT("00"&amp;$D34,2)))</f>
        <v/>
      </c>
      <c r="F34">
        <f>IF(OR($E34="",$E34="نامعتبر"),"",LEFT($E34,4)&amp;"/"&amp;MID($E34,6,2))</f>
        <v/>
      </c>
      <c r="G34">
        <f>IF(OR($E34="",$E34="نامعتبر",Sync!$X30=""),"",IF(AND(LEFT(UPPER(TRIM(Sync!$X30)),2)="SL",IFERROR(VLOOKUP(Sync!$W30,OpTbl,3,0),"")="فروش"),UPPER(TRIM(Sync!$X30)),""))</f>
        <v/>
      </c>
      <c r="H34">
        <f>IF($G34="","",IF(Sync!$W30="","",Sync!$W30))</f>
        <v/>
      </c>
      <c r="I34">
        <f>IF(OR($G34="",Sync!$Y30=""),"",Sync!$Y30)</f>
        <v/>
      </c>
      <c r="J34">
        <f>IF(OR($G34="",Sync!$Z30=""),"",Sync!$Z30)</f>
        <v/>
      </c>
      <c r="K34">
        <f>IF($G34="",0,IF(Sync!$AA30="",0,Sync!$AA30))</f>
        <v/>
      </c>
      <c r="L34">
        <f>IF($G34="",0,IF(Sync!$AB30="",0,Sync!$AB30))</f>
        <v/>
      </c>
      <c r="M34">
        <f>IF($G34="","",IF($H34="مرجوعی فروش",-1,1)*($K34-$L34*IFERROR(VLOOKUP("P01",ParamTbl,3,0),1.5)))</f>
        <v/>
      </c>
      <c r="N34">
        <f>IF($G34="",0,IF($H34="مرجوعی فروش",-1,1)*IF(Sync!$AC30="",0,Sync!$AC30))</f>
        <v/>
      </c>
      <c r="O34">
        <f>IF(OR($G34="",Sync!$V30=""),"",Sync!$V30)</f>
        <v/>
      </c>
      <c r="P34">
        <f>IF(OR($G34="",Sync!$AD30=""),"",Sync!$AD30)</f>
        <v/>
      </c>
      <c r="Q34">
        <f>IF($G34="","",IF(Sync!$U30="","0000",IF(AND(ISNUMBER(Sync!$U30),Sync!$U30&gt;=0,Sync!$U30&lt;1),RIGHT("00"&amp;HOUR(Sync!$U30),2)&amp;RIGHT("00"&amp;MINUTE(Sync!$U30),2),IFERROR(RIGHT("00"&amp;VALUE(LEFT(Sync!$U30,FIND(":",Sync!$U30)-1)),2)&amp;RIGHT("00"&amp;VALUE(MID(Sync!$U30,FIND(":",Sync!$U30)+1,2)),2),"0000"))))</f>
        <v/>
      </c>
    </row>
    <row r="35">
      <c r="A35">
        <f>IF(Sync!$T31="","",Sync!$T31)</f>
        <v/>
      </c>
      <c r="B35">
        <f>IF($A35="","",IF(ISNUMBER($A35),IF(AND($A35&gt;=10000101,$A35&lt;=99991231),INT($A35/10000),""),IFERROR(VALUE(TRIM(LEFT($A35,FIND("/",$A35)-1))),"")))</f>
        <v/>
      </c>
      <c r="C35">
        <f>IF(OR($A35="",$B35=""),"",IF(ISNUMBER($A35),INT(MOD($A35,10000)/100),IFERROR(VALUE(TRIM(LEFT(MID($A35,FIND("/",$A35)+1,20),FIND("/",MID($A35,FIND("/",$A35)+1,20))-1))),"")))</f>
        <v/>
      </c>
      <c r="D35">
        <f>IF(OR($A35="",$B35=""),"",IF(ISNUMBER($A35),MOD($A35,100),IFERROR(VALUE(TRIM(MID(MID($A35,FIND("/",$A35)+1,20),FIND("/",MID($A35,FIND("/",$A35)+1,20))+1,20))),"")))</f>
        <v/>
      </c>
      <c r="E35">
        <f>IF($A35="","",IF(OR($B35="",$C35="",$D35="",$B35&lt;1300,$B35&gt;1500,$C35&lt;1,$C35&gt;12,$D35&lt;1,$D35&gt;31),"نامعتبر",RIGHT("0000"&amp;$B35,4)&amp;"/"&amp;RIGHT("00"&amp;$C35,2)&amp;"/"&amp;RIGHT("00"&amp;$D35,2)))</f>
        <v/>
      </c>
      <c r="F35">
        <f>IF(OR($E35="",$E35="نامعتبر"),"",LEFT($E35,4)&amp;"/"&amp;MID($E35,6,2))</f>
        <v/>
      </c>
      <c r="G35">
        <f>IF(OR($E35="",$E35="نامعتبر",Sync!$X31=""),"",IF(AND(LEFT(UPPER(TRIM(Sync!$X31)),2)="SL",IFERROR(VLOOKUP(Sync!$W31,OpTbl,3,0),"")="فروش"),UPPER(TRIM(Sync!$X31)),""))</f>
        <v/>
      </c>
      <c r="H35">
        <f>IF($G35="","",IF(Sync!$W31="","",Sync!$W31))</f>
        <v/>
      </c>
      <c r="I35">
        <f>IF(OR($G35="",Sync!$Y31=""),"",Sync!$Y31)</f>
        <v/>
      </c>
      <c r="J35">
        <f>IF(OR($G35="",Sync!$Z31=""),"",Sync!$Z31)</f>
        <v/>
      </c>
      <c r="K35">
        <f>IF($G35="",0,IF(Sync!$AA31="",0,Sync!$AA31))</f>
        <v/>
      </c>
      <c r="L35">
        <f>IF($G35="",0,IF(Sync!$AB31="",0,Sync!$AB31))</f>
        <v/>
      </c>
      <c r="M35">
        <f>IF($G35="","",IF($H35="مرجوعی فروش",-1,1)*($K35-$L35*IFERROR(VLOOKUP("P01",ParamTbl,3,0),1.5)))</f>
        <v/>
      </c>
      <c r="N35">
        <f>IF($G35="",0,IF($H35="مرجوعی فروش",-1,1)*IF(Sync!$AC31="",0,Sync!$AC31))</f>
        <v/>
      </c>
      <c r="O35">
        <f>IF(OR($G35="",Sync!$V31=""),"",Sync!$V31)</f>
        <v/>
      </c>
      <c r="P35">
        <f>IF(OR($G35="",Sync!$AD31=""),"",Sync!$AD31)</f>
        <v/>
      </c>
      <c r="Q35">
        <f>IF($G35="","",IF(Sync!$U31="","0000",IF(AND(ISNUMBER(Sync!$U31),Sync!$U31&gt;=0,Sync!$U31&lt;1),RIGHT("00"&amp;HOUR(Sync!$U31),2)&amp;RIGHT("00"&amp;MINUTE(Sync!$U31),2),IFERROR(RIGHT("00"&amp;VALUE(LEFT(Sync!$U31,FIND(":",Sync!$U31)-1)),2)&amp;RIGHT("00"&amp;VALUE(MID(Sync!$U31,FIND(":",Sync!$U31)+1,2)),2),"0000"))))</f>
        <v/>
      </c>
    </row>
    <row r="36">
      <c r="A36">
        <f>IF(Sync!$T32="","",Sync!$T32)</f>
        <v/>
      </c>
      <c r="B36">
        <f>IF($A36="","",IF(ISNUMBER($A36),IF(AND($A36&gt;=10000101,$A36&lt;=99991231),INT($A36/10000),""),IFERROR(VALUE(TRIM(LEFT($A36,FIND("/",$A36)-1))),"")))</f>
        <v/>
      </c>
      <c r="C36">
        <f>IF(OR($A36="",$B36=""),"",IF(ISNUMBER($A36),INT(MOD($A36,10000)/100),IFERROR(VALUE(TRIM(LEFT(MID($A36,FIND("/",$A36)+1,20),FIND("/",MID($A36,FIND("/",$A36)+1,20))-1))),"")))</f>
        <v/>
      </c>
      <c r="D36">
        <f>IF(OR($A36="",$B36=""),"",IF(ISNUMBER($A36),MOD($A36,100),IFERROR(VALUE(TRIM(MID(MID($A36,FIND("/",$A36)+1,20),FIND("/",MID($A36,FIND("/",$A36)+1,20))+1,20))),"")))</f>
        <v/>
      </c>
      <c r="E36">
        <f>IF($A36="","",IF(OR($B36="",$C36="",$D36="",$B36&lt;1300,$B36&gt;1500,$C36&lt;1,$C36&gt;12,$D36&lt;1,$D36&gt;31),"نامعتبر",RIGHT("0000"&amp;$B36,4)&amp;"/"&amp;RIGHT("00"&amp;$C36,2)&amp;"/"&amp;RIGHT("00"&amp;$D36,2)))</f>
        <v/>
      </c>
      <c r="F36">
        <f>IF(OR($E36="",$E36="نامعتبر"),"",LEFT($E36,4)&amp;"/"&amp;MID($E36,6,2))</f>
        <v/>
      </c>
      <c r="G36">
        <f>IF(OR($E36="",$E36="نامعتبر",Sync!$X32=""),"",IF(AND(LEFT(UPPER(TRIM(Sync!$X32)),2)="SL",IFERROR(VLOOKUP(Sync!$W32,OpTbl,3,0),"")="فروش"),UPPER(TRIM(Sync!$X32)),""))</f>
        <v/>
      </c>
      <c r="H36">
        <f>IF($G36="","",IF(Sync!$W32="","",Sync!$W32))</f>
        <v/>
      </c>
      <c r="I36">
        <f>IF(OR($G36="",Sync!$Y32=""),"",Sync!$Y32)</f>
        <v/>
      </c>
      <c r="J36">
        <f>IF(OR($G36="",Sync!$Z32=""),"",Sync!$Z32)</f>
        <v/>
      </c>
      <c r="K36">
        <f>IF($G36="",0,IF(Sync!$AA32="",0,Sync!$AA32))</f>
        <v/>
      </c>
      <c r="L36">
        <f>IF($G36="",0,IF(Sync!$AB32="",0,Sync!$AB32))</f>
        <v/>
      </c>
      <c r="M36">
        <f>IF($G36="","",IF($H36="مرجوعی فروش",-1,1)*($K36-$L36*IFERROR(VLOOKUP("P01",ParamTbl,3,0),1.5)))</f>
        <v/>
      </c>
      <c r="N36">
        <f>IF($G36="",0,IF($H36="مرجوعی فروش",-1,1)*IF(Sync!$AC32="",0,Sync!$AC32))</f>
        <v/>
      </c>
      <c r="O36">
        <f>IF(OR($G36="",Sync!$V32=""),"",Sync!$V32)</f>
        <v/>
      </c>
      <c r="P36">
        <f>IF(OR($G36="",Sync!$AD32=""),"",Sync!$AD32)</f>
        <v/>
      </c>
      <c r="Q36">
        <f>IF($G36="","",IF(Sync!$U32="","0000",IF(AND(ISNUMBER(Sync!$U32),Sync!$U32&gt;=0,Sync!$U32&lt;1),RIGHT("00"&amp;HOUR(Sync!$U32),2)&amp;RIGHT("00"&amp;MINUTE(Sync!$U32),2),IFERROR(RIGHT("00"&amp;VALUE(LEFT(Sync!$U32,FIND(":",Sync!$U32)-1)),2)&amp;RIGHT("00"&amp;VALUE(MID(Sync!$U32,FIND(":",Sync!$U32)+1,2)),2),"0000"))))</f>
        <v/>
      </c>
    </row>
    <row r="37">
      <c r="A37">
        <f>IF(Sync!$T33="","",Sync!$T33)</f>
        <v/>
      </c>
      <c r="B37">
        <f>IF($A37="","",IF(ISNUMBER($A37),IF(AND($A37&gt;=10000101,$A37&lt;=99991231),INT($A37/10000),""),IFERROR(VALUE(TRIM(LEFT($A37,FIND("/",$A37)-1))),"")))</f>
        <v/>
      </c>
      <c r="C37">
        <f>IF(OR($A37="",$B37=""),"",IF(ISNUMBER($A37),INT(MOD($A37,10000)/100),IFERROR(VALUE(TRIM(LEFT(MID($A37,FIND("/",$A37)+1,20),FIND("/",MID($A37,FIND("/",$A37)+1,20))-1))),"")))</f>
        <v/>
      </c>
      <c r="D37">
        <f>IF(OR($A37="",$B37=""),"",IF(ISNUMBER($A37),MOD($A37,100),IFERROR(VALUE(TRIM(MID(MID($A37,FIND("/",$A37)+1,20),FIND("/",MID($A37,FIND("/",$A37)+1,20))+1,20))),"")))</f>
        <v/>
      </c>
      <c r="E37">
        <f>IF($A37="","",IF(OR($B37="",$C37="",$D37="",$B37&lt;1300,$B37&gt;1500,$C37&lt;1,$C37&gt;12,$D37&lt;1,$D37&gt;31),"نامعتبر",RIGHT("0000"&amp;$B37,4)&amp;"/"&amp;RIGHT("00"&amp;$C37,2)&amp;"/"&amp;RIGHT("00"&amp;$D37,2)))</f>
        <v/>
      </c>
      <c r="F37">
        <f>IF(OR($E37="",$E37="نامعتبر"),"",LEFT($E37,4)&amp;"/"&amp;MID($E37,6,2))</f>
        <v/>
      </c>
      <c r="G37">
        <f>IF(OR($E37="",$E37="نامعتبر",Sync!$X33=""),"",IF(AND(LEFT(UPPER(TRIM(Sync!$X33)),2)="SL",IFERROR(VLOOKUP(Sync!$W33,OpTbl,3,0),"")="فروش"),UPPER(TRIM(Sync!$X33)),""))</f>
        <v/>
      </c>
      <c r="H37">
        <f>IF($G37="","",IF(Sync!$W33="","",Sync!$W33))</f>
        <v/>
      </c>
      <c r="I37">
        <f>IF(OR($G37="",Sync!$Y33=""),"",Sync!$Y33)</f>
        <v/>
      </c>
      <c r="J37">
        <f>IF(OR($G37="",Sync!$Z33=""),"",Sync!$Z33)</f>
        <v/>
      </c>
      <c r="K37">
        <f>IF($G37="",0,IF(Sync!$AA33="",0,Sync!$AA33))</f>
        <v/>
      </c>
      <c r="L37">
        <f>IF($G37="",0,IF(Sync!$AB33="",0,Sync!$AB33))</f>
        <v/>
      </c>
      <c r="M37">
        <f>IF($G37="","",IF($H37="مرجوعی فروش",-1,1)*($K37-$L37*IFERROR(VLOOKUP("P01",ParamTbl,3,0),1.5)))</f>
        <v/>
      </c>
      <c r="N37">
        <f>IF($G37="",0,IF($H37="مرجوعی فروش",-1,1)*IF(Sync!$AC33="",0,Sync!$AC33))</f>
        <v/>
      </c>
      <c r="O37">
        <f>IF(OR($G37="",Sync!$V33=""),"",Sync!$V33)</f>
        <v/>
      </c>
      <c r="P37">
        <f>IF(OR($G37="",Sync!$AD33=""),"",Sync!$AD33)</f>
        <v/>
      </c>
      <c r="Q37">
        <f>IF($G37="","",IF(Sync!$U33="","0000",IF(AND(ISNUMBER(Sync!$U33),Sync!$U33&gt;=0,Sync!$U33&lt;1),RIGHT("00"&amp;HOUR(Sync!$U33),2)&amp;RIGHT("00"&amp;MINUTE(Sync!$U33),2),IFERROR(RIGHT("00"&amp;VALUE(LEFT(Sync!$U33,FIND(":",Sync!$U33)-1)),2)&amp;RIGHT("00"&amp;VALUE(MID(Sync!$U33,FIND(":",Sync!$U33)+1,2)),2),"0000"))))</f>
        <v/>
      </c>
    </row>
    <row r="38">
      <c r="A38">
        <f>IF(Sync!$T34="","",Sync!$T34)</f>
        <v/>
      </c>
      <c r="B38">
        <f>IF($A38="","",IF(ISNUMBER($A38),IF(AND($A38&gt;=10000101,$A38&lt;=99991231),INT($A38/10000),""),IFERROR(VALUE(TRIM(LEFT($A38,FIND("/",$A38)-1))),"")))</f>
        <v/>
      </c>
      <c r="C38">
        <f>IF(OR($A38="",$B38=""),"",IF(ISNUMBER($A38),INT(MOD($A38,10000)/100),IFERROR(VALUE(TRIM(LEFT(MID($A38,FIND("/",$A38)+1,20),FIND("/",MID($A38,FIND("/",$A38)+1,20))-1))),"")))</f>
        <v/>
      </c>
      <c r="D38">
        <f>IF(OR($A38="",$B38=""),"",IF(ISNUMBER($A38),MOD($A38,100),IFERROR(VALUE(TRIM(MID(MID($A38,FIND("/",$A38)+1,20),FIND("/",MID($A38,FIND("/",$A38)+1,20))+1,20))),"")))</f>
        <v/>
      </c>
      <c r="E38">
        <f>IF($A38="","",IF(OR($B38="",$C38="",$D38="",$B38&lt;1300,$B38&gt;1500,$C38&lt;1,$C38&gt;12,$D38&lt;1,$D38&gt;31),"نامعتبر",RIGHT("0000"&amp;$B38,4)&amp;"/"&amp;RIGHT("00"&amp;$C38,2)&amp;"/"&amp;RIGHT("00"&amp;$D38,2)))</f>
        <v/>
      </c>
      <c r="F38">
        <f>IF(OR($E38="",$E38="نامعتبر"),"",LEFT($E38,4)&amp;"/"&amp;MID($E38,6,2))</f>
        <v/>
      </c>
      <c r="G38">
        <f>IF(OR($E38="",$E38="نامعتبر",Sync!$X34=""),"",IF(AND(LEFT(UPPER(TRIM(Sync!$X34)),2)="SL",IFERROR(VLOOKUP(Sync!$W34,OpTbl,3,0),"")="فروش"),UPPER(TRIM(Sync!$X34)),""))</f>
        <v/>
      </c>
      <c r="H38">
        <f>IF($G38="","",IF(Sync!$W34="","",Sync!$W34))</f>
        <v/>
      </c>
      <c r="I38">
        <f>IF(OR($G38="",Sync!$Y34=""),"",Sync!$Y34)</f>
        <v/>
      </c>
      <c r="J38">
        <f>IF(OR($G38="",Sync!$Z34=""),"",Sync!$Z34)</f>
        <v/>
      </c>
      <c r="K38">
        <f>IF($G38="",0,IF(Sync!$AA34="",0,Sync!$AA34))</f>
        <v/>
      </c>
      <c r="L38">
        <f>IF($G38="",0,IF(Sync!$AB34="",0,Sync!$AB34))</f>
        <v/>
      </c>
      <c r="M38">
        <f>IF($G38="","",IF($H38="مرجوعی فروش",-1,1)*($K38-$L38*IFERROR(VLOOKUP("P01",ParamTbl,3,0),1.5)))</f>
        <v/>
      </c>
      <c r="N38">
        <f>IF($G38="",0,IF($H38="مرجوعی فروش",-1,1)*IF(Sync!$AC34="",0,Sync!$AC34))</f>
        <v/>
      </c>
      <c r="O38">
        <f>IF(OR($G38="",Sync!$V34=""),"",Sync!$V34)</f>
        <v/>
      </c>
      <c r="P38">
        <f>IF(OR($G38="",Sync!$AD34=""),"",Sync!$AD34)</f>
        <v/>
      </c>
      <c r="Q38">
        <f>IF($G38="","",IF(Sync!$U34="","0000",IF(AND(ISNUMBER(Sync!$U34),Sync!$U34&gt;=0,Sync!$U34&lt;1),RIGHT("00"&amp;HOUR(Sync!$U34),2)&amp;RIGHT("00"&amp;MINUTE(Sync!$U34),2),IFERROR(RIGHT("00"&amp;VALUE(LEFT(Sync!$U34,FIND(":",Sync!$U34)-1)),2)&amp;RIGHT("00"&amp;VALUE(MID(Sync!$U34,FIND(":",Sync!$U34)+1,2)),2),"0000"))))</f>
        <v/>
      </c>
    </row>
    <row r="39">
      <c r="A39">
        <f>IF(Sync!$T35="","",Sync!$T35)</f>
        <v/>
      </c>
      <c r="B39">
        <f>IF($A39="","",IF(ISNUMBER($A39),IF(AND($A39&gt;=10000101,$A39&lt;=99991231),INT($A39/10000),""),IFERROR(VALUE(TRIM(LEFT($A39,FIND("/",$A39)-1))),"")))</f>
        <v/>
      </c>
      <c r="C39">
        <f>IF(OR($A39="",$B39=""),"",IF(ISNUMBER($A39),INT(MOD($A39,10000)/100),IFERROR(VALUE(TRIM(LEFT(MID($A39,FIND("/",$A39)+1,20),FIND("/",MID($A39,FIND("/",$A39)+1,20))-1))),"")))</f>
        <v/>
      </c>
      <c r="D39">
        <f>IF(OR($A39="",$B39=""),"",IF(ISNUMBER($A39),MOD($A39,100),IFERROR(VALUE(TRIM(MID(MID($A39,FIND("/",$A39)+1,20),FIND("/",MID($A39,FIND("/",$A39)+1,20))+1,20))),"")))</f>
        <v/>
      </c>
      <c r="E39">
        <f>IF($A39="","",IF(OR($B39="",$C39="",$D39="",$B39&lt;1300,$B39&gt;1500,$C39&lt;1,$C39&gt;12,$D39&lt;1,$D39&gt;31),"نامعتبر",RIGHT("0000"&amp;$B39,4)&amp;"/"&amp;RIGHT("00"&amp;$C39,2)&amp;"/"&amp;RIGHT("00"&amp;$D39,2)))</f>
        <v/>
      </c>
      <c r="F39">
        <f>IF(OR($E39="",$E39="نامعتبر"),"",LEFT($E39,4)&amp;"/"&amp;MID($E39,6,2))</f>
        <v/>
      </c>
      <c r="G39">
        <f>IF(OR($E39="",$E39="نامعتبر",Sync!$X35=""),"",IF(AND(LEFT(UPPER(TRIM(Sync!$X35)),2)="SL",IFERROR(VLOOKUP(Sync!$W35,OpTbl,3,0),"")="فروش"),UPPER(TRIM(Sync!$X35)),""))</f>
        <v/>
      </c>
      <c r="H39">
        <f>IF($G39="","",IF(Sync!$W35="","",Sync!$W35))</f>
        <v/>
      </c>
      <c r="I39">
        <f>IF(OR($G39="",Sync!$Y35=""),"",Sync!$Y35)</f>
        <v/>
      </c>
      <c r="J39">
        <f>IF(OR($G39="",Sync!$Z35=""),"",Sync!$Z35)</f>
        <v/>
      </c>
      <c r="K39">
        <f>IF($G39="",0,IF(Sync!$AA35="",0,Sync!$AA35))</f>
        <v/>
      </c>
      <c r="L39">
        <f>IF($G39="",0,IF(Sync!$AB35="",0,Sync!$AB35))</f>
        <v/>
      </c>
      <c r="M39">
        <f>IF($G39="","",IF($H39="مرجوعی فروش",-1,1)*($K39-$L39*IFERROR(VLOOKUP("P01",ParamTbl,3,0),1.5)))</f>
        <v/>
      </c>
      <c r="N39">
        <f>IF($G39="",0,IF($H39="مرجوعی فروش",-1,1)*IF(Sync!$AC35="",0,Sync!$AC35))</f>
        <v/>
      </c>
      <c r="O39">
        <f>IF(OR($G39="",Sync!$V35=""),"",Sync!$V35)</f>
        <v/>
      </c>
      <c r="P39">
        <f>IF(OR($G39="",Sync!$AD35=""),"",Sync!$AD35)</f>
        <v/>
      </c>
      <c r="Q39">
        <f>IF($G39="","",IF(Sync!$U35="","0000",IF(AND(ISNUMBER(Sync!$U35),Sync!$U35&gt;=0,Sync!$U35&lt;1),RIGHT("00"&amp;HOUR(Sync!$U35),2)&amp;RIGHT("00"&amp;MINUTE(Sync!$U35),2),IFERROR(RIGHT("00"&amp;VALUE(LEFT(Sync!$U35,FIND(":",Sync!$U35)-1)),2)&amp;RIGHT("00"&amp;VALUE(MID(Sync!$U35,FIND(":",Sync!$U35)+1,2)),2),"0000"))))</f>
        <v/>
      </c>
    </row>
    <row r="40">
      <c r="A40">
        <f>IF(Sync!$T36="","",Sync!$T36)</f>
        <v/>
      </c>
      <c r="B40">
        <f>IF($A40="","",IF(ISNUMBER($A40),IF(AND($A40&gt;=10000101,$A40&lt;=99991231),INT($A40/10000),""),IFERROR(VALUE(TRIM(LEFT($A40,FIND("/",$A40)-1))),"")))</f>
        <v/>
      </c>
      <c r="C40">
        <f>IF(OR($A40="",$B40=""),"",IF(ISNUMBER($A40),INT(MOD($A40,10000)/100),IFERROR(VALUE(TRIM(LEFT(MID($A40,FIND("/",$A40)+1,20),FIND("/",MID($A40,FIND("/",$A40)+1,20))-1))),"")))</f>
        <v/>
      </c>
      <c r="D40">
        <f>IF(OR($A40="",$B40=""),"",IF(ISNUMBER($A40),MOD($A40,100),IFERROR(VALUE(TRIM(MID(MID($A40,FIND("/",$A40)+1,20),FIND("/",MID($A40,FIND("/",$A40)+1,20))+1,20))),"")))</f>
        <v/>
      </c>
      <c r="E40">
        <f>IF($A40="","",IF(OR($B40="",$C40="",$D40="",$B40&lt;1300,$B40&gt;1500,$C40&lt;1,$C40&gt;12,$D40&lt;1,$D40&gt;31),"نامعتبر",RIGHT("0000"&amp;$B40,4)&amp;"/"&amp;RIGHT("00"&amp;$C40,2)&amp;"/"&amp;RIGHT("00"&amp;$D40,2)))</f>
        <v/>
      </c>
      <c r="F40">
        <f>IF(OR($E40="",$E40="نامعتبر"),"",LEFT($E40,4)&amp;"/"&amp;MID($E40,6,2))</f>
        <v/>
      </c>
      <c r="G40">
        <f>IF(OR($E40="",$E40="نامعتبر",Sync!$X36=""),"",IF(AND(LEFT(UPPER(TRIM(Sync!$X36)),2)="SL",IFERROR(VLOOKUP(Sync!$W36,OpTbl,3,0),"")="فروش"),UPPER(TRIM(Sync!$X36)),""))</f>
        <v/>
      </c>
      <c r="H40">
        <f>IF($G40="","",IF(Sync!$W36="","",Sync!$W36))</f>
        <v/>
      </c>
      <c r="I40">
        <f>IF(OR($G40="",Sync!$Y36=""),"",Sync!$Y36)</f>
        <v/>
      </c>
      <c r="J40">
        <f>IF(OR($G40="",Sync!$Z36=""),"",Sync!$Z36)</f>
        <v/>
      </c>
      <c r="K40">
        <f>IF($G40="",0,IF(Sync!$AA36="",0,Sync!$AA36))</f>
        <v/>
      </c>
      <c r="L40">
        <f>IF($G40="",0,IF(Sync!$AB36="",0,Sync!$AB36))</f>
        <v/>
      </c>
      <c r="M40">
        <f>IF($G40="","",IF($H40="مرجوعی فروش",-1,1)*($K40-$L40*IFERROR(VLOOKUP("P01",ParamTbl,3,0),1.5)))</f>
        <v/>
      </c>
      <c r="N40">
        <f>IF($G40="",0,IF($H40="مرجوعی فروش",-1,1)*IF(Sync!$AC36="",0,Sync!$AC36))</f>
        <v/>
      </c>
      <c r="O40">
        <f>IF(OR($G40="",Sync!$V36=""),"",Sync!$V36)</f>
        <v/>
      </c>
      <c r="P40">
        <f>IF(OR($G40="",Sync!$AD36=""),"",Sync!$AD36)</f>
        <v/>
      </c>
      <c r="Q40">
        <f>IF($G40="","",IF(Sync!$U36="","0000",IF(AND(ISNUMBER(Sync!$U36),Sync!$U36&gt;=0,Sync!$U36&lt;1),RIGHT("00"&amp;HOUR(Sync!$U36),2)&amp;RIGHT("00"&amp;MINUTE(Sync!$U36),2),IFERROR(RIGHT("00"&amp;VALUE(LEFT(Sync!$U36,FIND(":",Sync!$U36)-1)),2)&amp;RIGHT("00"&amp;VALUE(MID(Sync!$U36,FIND(":",Sync!$U36)+1,2)),2),"0000"))))</f>
        <v/>
      </c>
    </row>
    <row r="41">
      <c r="A41">
        <f>IF(Sync!$T37="","",Sync!$T37)</f>
        <v/>
      </c>
      <c r="B41">
        <f>IF($A41="","",IF(ISNUMBER($A41),IF(AND($A41&gt;=10000101,$A41&lt;=99991231),INT($A41/10000),""),IFERROR(VALUE(TRIM(LEFT($A41,FIND("/",$A41)-1))),"")))</f>
        <v/>
      </c>
      <c r="C41">
        <f>IF(OR($A41="",$B41=""),"",IF(ISNUMBER($A41),INT(MOD($A41,10000)/100),IFERROR(VALUE(TRIM(LEFT(MID($A41,FIND("/",$A41)+1,20),FIND("/",MID($A41,FIND("/",$A41)+1,20))-1))),"")))</f>
        <v/>
      </c>
      <c r="D41">
        <f>IF(OR($A41="",$B41=""),"",IF(ISNUMBER($A41),MOD($A41,100),IFERROR(VALUE(TRIM(MID(MID($A41,FIND("/",$A41)+1,20),FIND("/",MID($A41,FIND("/",$A41)+1,20))+1,20))),"")))</f>
        <v/>
      </c>
      <c r="E41">
        <f>IF($A41="","",IF(OR($B41="",$C41="",$D41="",$B41&lt;1300,$B41&gt;1500,$C41&lt;1,$C41&gt;12,$D41&lt;1,$D41&gt;31),"نامعتبر",RIGHT("0000"&amp;$B41,4)&amp;"/"&amp;RIGHT("00"&amp;$C41,2)&amp;"/"&amp;RIGHT("00"&amp;$D41,2)))</f>
        <v/>
      </c>
      <c r="F41">
        <f>IF(OR($E41="",$E41="نامعتبر"),"",LEFT($E41,4)&amp;"/"&amp;MID($E41,6,2))</f>
        <v/>
      </c>
      <c r="G41">
        <f>IF(OR($E41="",$E41="نامعتبر",Sync!$X37=""),"",IF(AND(LEFT(UPPER(TRIM(Sync!$X37)),2)="SL",IFERROR(VLOOKUP(Sync!$W37,OpTbl,3,0),"")="فروش"),UPPER(TRIM(Sync!$X37)),""))</f>
        <v/>
      </c>
      <c r="H41">
        <f>IF($G41="","",IF(Sync!$W37="","",Sync!$W37))</f>
        <v/>
      </c>
      <c r="I41">
        <f>IF(OR($G41="",Sync!$Y37=""),"",Sync!$Y37)</f>
        <v/>
      </c>
      <c r="J41">
        <f>IF(OR($G41="",Sync!$Z37=""),"",Sync!$Z37)</f>
        <v/>
      </c>
      <c r="K41">
        <f>IF($G41="",0,IF(Sync!$AA37="",0,Sync!$AA37))</f>
        <v/>
      </c>
      <c r="L41">
        <f>IF($G41="",0,IF(Sync!$AB37="",0,Sync!$AB37))</f>
        <v/>
      </c>
      <c r="M41">
        <f>IF($G41="","",IF($H41="مرجوعی فروش",-1,1)*($K41-$L41*IFERROR(VLOOKUP("P01",ParamTbl,3,0),1.5)))</f>
        <v/>
      </c>
      <c r="N41">
        <f>IF($G41="",0,IF($H41="مرجوعی فروش",-1,1)*IF(Sync!$AC37="",0,Sync!$AC37))</f>
        <v/>
      </c>
      <c r="O41">
        <f>IF(OR($G41="",Sync!$V37=""),"",Sync!$V37)</f>
        <v/>
      </c>
      <c r="P41">
        <f>IF(OR($G41="",Sync!$AD37=""),"",Sync!$AD37)</f>
        <v/>
      </c>
      <c r="Q41">
        <f>IF($G41="","",IF(Sync!$U37="","0000",IF(AND(ISNUMBER(Sync!$U37),Sync!$U37&gt;=0,Sync!$U37&lt;1),RIGHT("00"&amp;HOUR(Sync!$U37),2)&amp;RIGHT("00"&amp;MINUTE(Sync!$U37),2),IFERROR(RIGHT("00"&amp;VALUE(LEFT(Sync!$U37,FIND(":",Sync!$U37)-1)),2)&amp;RIGHT("00"&amp;VALUE(MID(Sync!$U37,FIND(":",Sync!$U37)+1,2)),2),"0000"))))</f>
        <v/>
      </c>
    </row>
    <row r="42">
      <c r="A42">
        <f>IF(Sync!$T38="","",Sync!$T38)</f>
        <v/>
      </c>
      <c r="B42">
        <f>IF($A42="","",IF(ISNUMBER($A42),IF(AND($A42&gt;=10000101,$A42&lt;=99991231),INT($A42/10000),""),IFERROR(VALUE(TRIM(LEFT($A42,FIND("/",$A42)-1))),"")))</f>
        <v/>
      </c>
      <c r="C42">
        <f>IF(OR($A42="",$B42=""),"",IF(ISNUMBER($A42),INT(MOD($A42,10000)/100),IFERROR(VALUE(TRIM(LEFT(MID($A42,FIND("/",$A42)+1,20),FIND("/",MID($A42,FIND("/",$A42)+1,20))-1))),"")))</f>
        <v/>
      </c>
      <c r="D42">
        <f>IF(OR($A42="",$B42=""),"",IF(ISNUMBER($A42),MOD($A42,100),IFERROR(VALUE(TRIM(MID(MID($A42,FIND("/",$A42)+1,20),FIND("/",MID($A42,FIND("/",$A42)+1,20))+1,20))),"")))</f>
        <v/>
      </c>
      <c r="E42">
        <f>IF($A42="","",IF(OR($B42="",$C42="",$D42="",$B42&lt;1300,$B42&gt;1500,$C42&lt;1,$C42&gt;12,$D42&lt;1,$D42&gt;31),"نامعتبر",RIGHT("0000"&amp;$B42,4)&amp;"/"&amp;RIGHT("00"&amp;$C42,2)&amp;"/"&amp;RIGHT("00"&amp;$D42,2)))</f>
        <v/>
      </c>
      <c r="F42">
        <f>IF(OR($E42="",$E42="نامعتبر"),"",LEFT($E42,4)&amp;"/"&amp;MID($E42,6,2))</f>
        <v/>
      </c>
      <c r="G42">
        <f>IF(OR($E42="",$E42="نامعتبر",Sync!$X38=""),"",IF(AND(LEFT(UPPER(TRIM(Sync!$X38)),2)="SL",IFERROR(VLOOKUP(Sync!$W38,OpTbl,3,0),"")="فروش"),UPPER(TRIM(Sync!$X38)),""))</f>
        <v/>
      </c>
      <c r="H42">
        <f>IF($G42="","",IF(Sync!$W38="","",Sync!$W38))</f>
        <v/>
      </c>
      <c r="I42">
        <f>IF(OR($G42="",Sync!$Y38=""),"",Sync!$Y38)</f>
        <v/>
      </c>
      <c r="J42">
        <f>IF(OR($G42="",Sync!$Z38=""),"",Sync!$Z38)</f>
        <v/>
      </c>
      <c r="K42">
        <f>IF($G42="",0,IF(Sync!$AA38="",0,Sync!$AA38))</f>
        <v/>
      </c>
      <c r="L42">
        <f>IF($G42="",0,IF(Sync!$AB38="",0,Sync!$AB38))</f>
        <v/>
      </c>
      <c r="M42">
        <f>IF($G42="","",IF($H42="مرجوعی فروش",-1,1)*($K42-$L42*IFERROR(VLOOKUP("P01",ParamTbl,3,0),1.5)))</f>
        <v/>
      </c>
      <c r="N42">
        <f>IF($G42="",0,IF($H42="مرجوعی فروش",-1,1)*IF(Sync!$AC38="",0,Sync!$AC38))</f>
        <v/>
      </c>
      <c r="O42">
        <f>IF(OR($G42="",Sync!$V38=""),"",Sync!$V38)</f>
        <v/>
      </c>
      <c r="P42">
        <f>IF(OR($G42="",Sync!$AD38=""),"",Sync!$AD38)</f>
        <v/>
      </c>
      <c r="Q42">
        <f>IF($G42="","",IF(Sync!$U38="","0000",IF(AND(ISNUMBER(Sync!$U38),Sync!$U38&gt;=0,Sync!$U38&lt;1),RIGHT("00"&amp;HOUR(Sync!$U38),2)&amp;RIGHT("00"&amp;MINUTE(Sync!$U38),2),IFERROR(RIGHT("00"&amp;VALUE(LEFT(Sync!$U38,FIND(":",Sync!$U38)-1)),2)&amp;RIGHT("00"&amp;VALUE(MID(Sync!$U38,FIND(":",Sync!$U38)+1,2)),2),"0000"))))</f>
        <v/>
      </c>
    </row>
    <row r="43">
      <c r="A43">
        <f>IF(Sync!$T39="","",Sync!$T39)</f>
        <v/>
      </c>
      <c r="B43">
        <f>IF($A43="","",IF(ISNUMBER($A43),IF(AND($A43&gt;=10000101,$A43&lt;=99991231),INT($A43/10000),""),IFERROR(VALUE(TRIM(LEFT($A43,FIND("/",$A43)-1))),"")))</f>
        <v/>
      </c>
      <c r="C43">
        <f>IF(OR($A43="",$B43=""),"",IF(ISNUMBER($A43),INT(MOD($A43,10000)/100),IFERROR(VALUE(TRIM(LEFT(MID($A43,FIND("/",$A43)+1,20),FIND("/",MID($A43,FIND("/",$A43)+1,20))-1))),"")))</f>
        <v/>
      </c>
      <c r="D43">
        <f>IF(OR($A43="",$B43=""),"",IF(ISNUMBER($A43),MOD($A43,100),IFERROR(VALUE(TRIM(MID(MID($A43,FIND("/",$A43)+1,20),FIND("/",MID($A43,FIND("/",$A43)+1,20))+1,20))),"")))</f>
        <v/>
      </c>
      <c r="E43">
        <f>IF($A43="","",IF(OR($B43="",$C43="",$D43="",$B43&lt;1300,$B43&gt;1500,$C43&lt;1,$C43&gt;12,$D43&lt;1,$D43&gt;31),"نامعتبر",RIGHT("0000"&amp;$B43,4)&amp;"/"&amp;RIGHT("00"&amp;$C43,2)&amp;"/"&amp;RIGHT("00"&amp;$D43,2)))</f>
        <v/>
      </c>
      <c r="F43">
        <f>IF(OR($E43="",$E43="نامعتبر"),"",LEFT($E43,4)&amp;"/"&amp;MID($E43,6,2))</f>
        <v/>
      </c>
      <c r="G43">
        <f>IF(OR($E43="",$E43="نامعتبر",Sync!$X39=""),"",IF(AND(LEFT(UPPER(TRIM(Sync!$X39)),2)="SL",IFERROR(VLOOKUP(Sync!$W39,OpTbl,3,0),"")="فروش"),UPPER(TRIM(Sync!$X39)),""))</f>
        <v/>
      </c>
      <c r="H43">
        <f>IF($G43="","",IF(Sync!$W39="","",Sync!$W39))</f>
        <v/>
      </c>
      <c r="I43">
        <f>IF(OR($G43="",Sync!$Y39=""),"",Sync!$Y39)</f>
        <v/>
      </c>
      <c r="J43">
        <f>IF(OR($G43="",Sync!$Z39=""),"",Sync!$Z39)</f>
        <v/>
      </c>
      <c r="K43">
        <f>IF($G43="",0,IF(Sync!$AA39="",0,Sync!$AA39))</f>
        <v/>
      </c>
      <c r="L43">
        <f>IF($G43="",0,IF(Sync!$AB39="",0,Sync!$AB39))</f>
        <v/>
      </c>
      <c r="M43">
        <f>IF($G43="","",IF($H43="مرجوعی فروش",-1,1)*($K43-$L43*IFERROR(VLOOKUP("P01",ParamTbl,3,0),1.5)))</f>
        <v/>
      </c>
      <c r="N43">
        <f>IF($G43="",0,IF($H43="مرجوعی فروش",-1,1)*IF(Sync!$AC39="",0,Sync!$AC39))</f>
        <v/>
      </c>
      <c r="O43">
        <f>IF(OR($G43="",Sync!$V39=""),"",Sync!$V39)</f>
        <v/>
      </c>
      <c r="P43">
        <f>IF(OR($G43="",Sync!$AD39=""),"",Sync!$AD39)</f>
        <v/>
      </c>
      <c r="Q43">
        <f>IF($G43="","",IF(Sync!$U39="","0000",IF(AND(ISNUMBER(Sync!$U39),Sync!$U39&gt;=0,Sync!$U39&lt;1),RIGHT("00"&amp;HOUR(Sync!$U39),2)&amp;RIGHT("00"&amp;MINUTE(Sync!$U39),2),IFERROR(RIGHT("00"&amp;VALUE(LEFT(Sync!$U39,FIND(":",Sync!$U39)-1)),2)&amp;RIGHT("00"&amp;VALUE(MID(Sync!$U39,FIND(":",Sync!$U39)+1,2)),2),"0000"))))</f>
        <v/>
      </c>
    </row>
    <row r="44">
      <c r="A44">
        <f>IF(Sync!$T40="","",Sync!$T40)</f>
        <v/>
      </c>
      <c r="B44">
        <f>IF($A44="","",IF(ISNUMBER($A44),IF(AND($A44&gt;=10000101,$A44&lt;=99991231),INT($A44/10000),""),IFERROR(VALUE(TRIM(LEFT($A44,FIND("/",$A44)-1))),"")))</f>
        <v/>
      </c>
      <c r="C44">
        <f>IF(OR($A44="",$B44=""),"",IF(ISNUMBER($A44),INT(MOD($A44,10000)/100),IFERROR(VALUE(TRIM(LEFT(MID($A44,FIND("/",$A44)+1,20),FIND("/",MID($A44,FIND("/",$A44)+1,20))-1))),"")))</f>
        <v/>
      </c>
      <c r="D44">
        <f>IF(OR($A44="",$B44=""),"",IF(ISNUMBER($A44),MOD($A44,100),IFERROR(VALUE(TRIM(MID(MID($A44,FIND("/",$A44)+1,20),FIND("/",MID($A44,FIND("/",$A44)+1,20))+1,20))),"")))</f>
        <v/>
      </c>
      <c r="E44">
        <f>IF($A44="","",IF(OR($B44="",$C44="",$D44="",$B44&lt;1300,$B44&gt;1500,$C44&lt;1,$C44&gt;12,$D44&lt;1,$D44&gt;31),"نامعتبر",RIGHT("0000"&amp;$B44,4)&amp;"/"&amp;RIGHT("00"&amp;$C44,2)&amp;"/"&amp;RIGHT("00"&amp;$D44,2)))</f>
        <v/>
      </c>
      <c r="F44">
        <f>IF(OR($E44="",$E44="نامعتبر"),"",LEFT($E44,4)&amp;"/"&amp;MID($E44,6,2))</f>
        <v/>
      </c>
      <c r="G44">
        <f>IF(OR($E44="",$E44="نامعتبر",Sync!$X40=""),"",IF(AND(LEFT(UPPER(TRIM(Sync!$X40)),2)="SL",IFERROR(VLOOKUP(Sync!$W40,OpTbl,3,0),"")="فروش"),UPPER(TRIM(Sync!$X40)),""))</f>
        <v/>
      </c>
      <c r="H44">
        <f>IF($G44="","",IF(Sync!$W40="","",Sync!$W40))</f>
        <v/>
      </c>
      <c r="I44">
        <f>IF(OR($G44="",Sync!$Y40=""),"",Sync!$Y40)</f>
        <v/>
      </c>
      <c r="J44">
        <f>IF(OR($G44="",Sync!$Z40=""),"",Sync!$Z40)</f>
        <v/>
      </c>
      <c r="K44">
        <f>IF($G44="",0,IF(Sync!$AA40="",0,Sync!$AA40))</f>
        <v/>
      </c>
      <c r="L44">
        <f>IF($G44="",0,IF(Sync!$AB40="",0,Sync!$AB40))</f>
        <v/>
      </c>
      <c r="M44">
        <f>IF($G44="","",IF($H44="مرجوعی فروش",-1,1)*($K44-$L44*IFERROR(VLOOKUP("P01",ParamTbl,3,0),1.5)))</f>
        <v/>
      </c>
      <c r="N44">
        <f>IF($G44="",0,IF($H44="مرجوعی فروش",-1,1)*IF(Sync!$AC40="",0,Sync!$AC40))</f>
        <v/>
      </c>
      <c r="O44">
        <f>IF(OR($G44="",Sync!$V40=""),"",Sync!$V40)</f>
        <v/>
      </c>
      <c r="P44">
        <f>IF(OR($G44="",Sync!$AD40=""),"",Sync!$AD40)</f>
        <v/>
      </c>
      <c r="Q44">
        <f>IF($G44="","",IF(Sync!$U40="","0000",IF(AND(ISNUMBER(Sync!$U40),Sync!$U40&gt;=0,Sync!$U40&lt;1),RIGHT("00"&amp;HOUR(Sync!$U40),2)&amp;RIGHT("00"&amp;MINUTE(Sync!$U40),2),IFERROR(RIGHT("00"&amp;VALUE(LEFT(Sync!$U40,FIND(":",Sync!$U40)-1)),2)&amp;RIGHT("00"&amp;VALUE(MID(Sync!$U40,FIND(":",Sync!$U40)+1,2)),2),"0000"))))</f>
        <v/>
      </c>
    </row>
    <row r="45">
      <c r="A45">
        <f>IF(Sync!$T41="","",Sync!$T41)</f>
        <v/>
      </c>
      <c r="B45">
        <f>IF($A45="","",IF(ISNUMBER($A45),IF(AND($A45&gt;=10000101,$A45&lt;=99991231),INT($A45/10000),""),IFERROR(VALUE(TRIM(LEFT($A45,FIND("/",$A45)-1))),"")))</f>
        <v/>
      </c>
      <c r="C45">
        <f>IF(OR($A45="",$B45=""),"",IF(ISNUMBER($A45),INT(MOD($A45,10000)/100),IFERROR(VALUE(TRIM(LEFT(MID($A45,FIND("/",$A45)+1,20),FIND("/",MID($A45,FIND("/",$A45)+1,20))-1))),"")))</f>
        <v/>
      </c>
      <c r="D45">
        <f>IF(OR($A45="",$B45=""),"",IF(ISNUMBER($A45),MOD($A45,100),IFERROR(VALUE(TRIM(MID(MID($A45,FIND("/",$A45)+1,20),FIND("/",MID($A45,FIND("/",$A45)+1,20))+1,20))),"")))</f>
        <v/>
      </c>
      <c r="E45">
        <f>IF($A45="","",IF(OR($B45="",$C45="",$D45="",$B45&lt;1300,$B45&gt;1500,$C45&lt;1,$C45&gt;12,$D45&lt;1,$D45&gt;31),"نامعتبر",RIGHT("0000"&amp;$B45,4)&amp;"/"&amp;RIGHT("00"&amp;$C45,2)&amp;"/"&amp;RIGHT("00"&amp;$D45,2)))</f>
        <v/>
      </c>
      <c r="F45">
        <f>IF(OR($E45="",$E45="نامعتبر"),"",LEFT($E45,4)&amp;"/"&amp;MID($E45,6,2))</f>
        <v/>
      </c>
      <c r="G45">
        <f>IF(OR($E45="",$E45="نامعتبر",Sync!$X41=""),"",IF(AND(LEFT(UPPER(TRIM(Sync!$X41)),2)="SL",IFERROR(VLOOKUP(Sync!$W41,OpTbl,3,0),"")="فروش"),UPPER(TRIM(Sync!$X41)),""))</f>
        <v/>
      </c>
      <c r="H45">
        <f>IF($G45="","",IF(Sync!$W41="","",Sync!$W41))</f>
        <v/>
      </c>
      <c r="I45">
        <f>IF(OR($G45="",Sync!$Y41=""),"",Sync!$Y41)</f>
        <v/>
      </c>
      <c r="J45">
        <f>IF(OR($G45="",Sync!$Z41=""),"",Sync!$Z41)</f>
        <v/>
      </c>
      <c r="K45">
        <f>IF($G45="",0,IF(Sync!$AA41="",0,Sync!$AA41))</f>
        <v/>
      </c>
      <c r="L45">
        <f>IF($G45="",0,IF(Sync!$AB41="",0,Sync!$AB41))</f>
        <v/>
      </c>
      <c r="M45">
        <f>IF($G45="","",IF($H45="مرجوعی فروش",-1,1)*($K45-$L45*IFERROR(VLOOKUP("P01",ParamTbl,3,0),1.5)))</f>
        <v/>
      </c>
      <c r="N45">
        <f>IF($G45="",0,IF($H45="مرجوعی فروش",-1,1)*IF(Sync!$AC41="",0,Sync!$AC41))</f>
        <v/>
      </c>
      <c r="O45">
        <f>IF(OR($G45="",Sync!$V41=""),"",Sync!$V41)</f>
        <v/>
      </c>
      <c r="P45">
        <f>IF(OR($G45="",Sync!$AD41=""),"",Sync!$AD41)</f>
        <v/>
      </c>
      <c r="Q45">
        <f>IF($G45="","",IF(Sync!$U41="","0000",IF(AND(ISNUMBER(Sync!$U41),Sync!$U41&gt;=0,Sync!$U41&lt;1),RIGHT("00"&amp;HOUR(Sync!$U41),2)&amp;RIGHT("00"&amp;MINUTE(Sync!$U41),2),IFERROR(RIGHT("00"&amp;VALUE(LEFT(Sync!$U41,FIND(":",Sync!$U41)-1)),2)&amp;RIGHT("00"&amp;VALUE(MID(Sync!$U41,FIND(":",Sync!$U41)+1,2)),2),"0000"))))</f>
        <v/>
      </c>
    </row>
    <row r="46">
      <c r="A46">
        <f>IF(Sync!$T42="","",Sync!$T42)</f>
        <v/>
      </c>
      <c r="B46">
        <f>IF($A46="","",IF(ISNUMBER($A46),IF(AND($A46&gt;=10000101,$A46&lt;=99991231),INT($A46/10000),""),IFERROR(VALUE(TRIM(LEFT($A46,FIND("/",$A46)-1))),"")))</f>
        <v/>
      </c>
      <c r="C46">
        <f>IF(OR($A46="",$B46=""),"",IF(ISNUMBER($A46),INT(MOD($A46,10000)/100),IFERROR(VALUE(TRIM(LEFT(MID($A46,FIND("/",$A46)+1,20),FIND("/",MID($A46,FIND("/",$A46)+1,20))-1))),"")))</f>
        <v/>
      </c>
      <c r="D46">
        <f>IF(OR($A46="",$B46=""),"",IF(ISNUMBER($A46),MOD($A46,100),IFERROR(VALUE(TRIM(MID(MID($A46,FIND("/",$A46)+1,20),FIND("/",MID($A46,FIND("/",$A46)+1,20))+1,20))),"")))</f>
        <v/>
      </c>
      <c r="E46">
        <f>IF($A46="","",IF(OR($B46="",$C46="",$D46="",$B46&lt;1300,$B46&gt;1500,$C46&lt;1,$C46&gt;12,$D46&lt;1,$D46&gt;31),"نامعتبر",RIGHT("0000"&amp;$B46,4)&amp;"/"&amp;RIGHT("00"&amp;$C46,2)&amp;"/"&amp;RIGHT("00"&amp;$D46,2)))</f>
        <v/>
      </c>
      <c r="F46">
        <f>IF(OR($E46="",$E46="نامعتبر"),"",LEFT($E46,4)&amp;"/"&amp;MID($E46,6,2))</f>
        <v/>
      </c>
      <c r="G46">
        <f>IF(OR($E46="",$E46="نامعتبر",Sync!$X42=""),"",IF(AND(LEFT(UPPER(TRIM(Sync!$X42)),2)="SL",IFERROR(VLOOKUP(Sync!$W42,OpTbl,3,0),"")="فروش"),UPPER(TRIM(Sync!$X42)),""))</f>
        <v/>
      </c>
      <c r="H46">
        <f>IF($G46="","",IF(Sync!$W42="","",Sync!$W42))</f>
        <v/>
      </c>
      <c r="I46">
        <f>IF(OR($G46="",Sync!$Y42=""),"",Sync!$Y42)</f>
        <v/>
      </c>
      <c r="J46">
        <f>IF(OR($G46="",Sync!$Z42=""),"",Sync!$Z42)</f>
        <v/>
      </c>
      <c r="K46">
        <f>IF($G46="",0,IF(Sync!$AA42="",0,Sync!$AA42))</f>
        <v/>
      </c>
      <c r="L46">
        <f>IF($G46="",0,IF(Sync!$AB42="",0,Sync!$AB42))</f>
        <v/>
      </c>
      <c r="M46">
        <f>IF($G46="","",IF($H46="مرجوعی فروش",-1,1)*($K46-$L46*IFERROR(VLOOKUP("P01",ParamTbl,3,0),1.5)))</f>
        <v/>
      </c>
      <c r="N46">
        <f>IF($G46="",0,IF($H46="مرجوعی فروش",-1,1)*IF(Sync!$AC42="",0,Sync!$AC42))</f>
        <v/>
      </c>
      <c r="O46">
        <f>IF(OR($G46="",Sync!$V42=""),"",Sync!$V42)</f>
        <v/>
      </c>
      <c r="P46">
        <f>IF(OR($G46="",Sync!$AD42=""),"",Sync!$AD42)</f>
        <v/>
      </c>
      <c r="Q46">
        <f>IF($G46="","",IF(Sync!$U42="","0000",IF(AND(ISNUMBER(Sync!$U42),Sync!$U42&gt;=0,Sync!$U42&lt;1),RIGHT("00"&amp;HOUR(Sync!$U42),2)&amp;RIGHT("00"&amp;MINUTE(Sync!$U42),2),IFERROR(RIGHT("00"&amp;VALUE(LEFT(Sync!$U42,FIND(":",Sync!$U42)-1)),2)&amp;RIGHT("00"&amp;VALUE(MID(Sync!$U42,FIND(":",Sync!$U42)+1,2)),2),"0000"))))</f>
        <v/>
      </c>
    </row>
    <row r="47">
      <c r="A47">
        <f>IF(Sync!$T43="","",Sync!$T43)</f>
        <v/>
      </c>
      <c r="B47">
        <f>IF($A47="","",IF(ISNUMBER($A47),IF(AND($A47&gt;=10000101,$A47&lt;=99991231),INT($A47/10000),""),IFERROR(VALUE(TRIM(LEFT($A47,FIND("/",$A47)-1))),"")))</f>
        <v/>
      </c>
      <c r="C47">
        <f>IF(OR($A47="",$B47=""),"",IF(ISNUMBER($A47),INT(MOD($A47,10000)/100),IFERROR(VALUE(TRIM(LEFT(MID($A47,FIND("/",$A47)+1,20),FIND("/",MID($A47,FIND("/",$A47)+1,20))-1))),"")))</f>
        <v/>
      </c>
      <c r="D47">
        <f>IF(OR($A47="",$B47=""),"",IF(ISNUMBER($A47),MOD($A47,100),IFERROR(VALUE(TRIM(MID(MID($A47,FIND("/",$A47)+1,20),FIND("/",MID($A47,FIND("/",$A47)+1,20))+1,20))),"")))</f>
        <v/>
      </c>
      <c r="E47">
        <f>IF($A47="","",IF(OR($B47="",$C47="",$D47="",$B47&lt;1300,$B47&gt;1500,$C47&lt;1,$C47&gt;12,$D47&lt;1,$D47&gt;31),"نامعتبر",RIGHT("0000"&amp;$B47,4)&amp;"/"&amp;RIGHT("00"&amp;$C47,2)&amp;"/"&amp;RIGHT("00"&amp;$D47,2)))</f>
        <v/>
      </c>
      <c r="F47">
        <f>IF(OR($E47="",$E47="نامعتبر"),"",LEFT($E47,4)&amp;"/"&amp;MID($E47,6,2))</f>
        <v/>
      </c>
      <c r="G47">
        <f>IF(OR($E47="",$E47="نامعتبر",Sync!$X43=""),"",IF(AND(LEFT(UPPER(TRIM(Sync!$X43)),2)="SL",IFERROR(VLOOKUP(Sync!$W43,OpTbl,3,0),"")="فروش"),UPPER(TRIM(Sync!$X43)),""))</f>
        <v/>
      </c>
      <c r="H47">
        <f>IF($G47="","",IF(Sync!$W43="","",Sync!$W43))</f>
        <v/>
      </c>
      <c r="I47">
        <f>IF(OR($G47="",Sync!$Y43=""),"",Sync!$Y43)</f>
        <v/>
      </c>
      <c r="J47">
        <f>IF(OR($G47="",Sync!$Z43=""),"",Sync!$Z43)</f>
        <v/>
      </c>
      <c r="K47">
        <f>IF($G47="",0,IF(Sync!$AA43="",0,Sync!$AA43))</f>
        <v/>
      </c>
      <c r="L47">
        <f>IF($G47="",0,IF(Sync!$AB43="",0,Sync!$AB43))</f>
        <v/>
      </c>
      <c r="M47">
        <f>IF($G47="","",IF($H47="مرجوعی فروش",-1,1)*($K47-$L47*IFERROR(VLOOKUP("P01",ParamTbl,3,0),1.5)))</f>
        <v/>
      </c>
      <c r="N47">
        <f>IF($G47="",0,IF($H47="مرجوعی فروش",-1,1)*IF(Sync!$AC43="",0,Sync!$AC43))</f>
        <v/>
      </c>
      <c r="O47">
        <f>IF(OR($G47="",Sync!$V43=""),"",Sync!$V43)</f>
        <v/>
      </c>
      <c r="P47">
        <f>IF(OR($G47="",Sync!$AD43=""),"",Sync!$AD43)</f>
        <v/>
      </c>
      <c r="Q47">
        <f>IF($G47="","",IF(Sync!$U43="","0000",IF(AND(ISNUMBER(Sync!$U43),Sync!$U43&gt;=0,Sync!$U43&lt;1),RIGHT("00"&amp;HOUR(Sync!$U43),2)&amp;RIGHT("00"&amp;MINUTE(Sync!$U43),2),IFERROR(RIGHT("00"&amp;VALUE(LEFT(Sync!$U43,FIND(":",Sync!$U43)-1)),2)&amp;RIGHT("00"&amp;VALUE(MID(Sync!$U43,FIND(":",Sync!$U43)+1,2)),2),"0000"))))</f>
        <v/>
      </c>
    </row>
    <row r="48">
      <c r="A48">
        <f>IF(Sync!$T44="","",Sync!$T44)</f>
        <v/>
      </c>
      <c r="B48">
        <f>IF($A48="","",IF(ISNUMBER($A48),IF(AND($A48&gt;=10000101,$A48&lt;=99991231),INT($A48/10000),""),IFERROR(VALUE(TRIM(LEFT($A48,FIND("/",$A48)-1))),"")))</f>
        <v/>
      </c>
      <c r="C48">
        <f>IF(OR($A48="",$B48=""),"",IF(ISNUMBER($A48),INT(MOD($A48,10000)/100),IFERROR(VALUE(TRIM(LEFT(MID($A48,FIND("/",$A48)+1,20),FIND("/",MID($A48,FIND("/",$A48)+1,20))-1))),"")))</f>
        <v/>
      </c>
      <c r="D48">
        <f>IF(OR($A48="",$B48=""),"",IF(ISNUMBER($A48),MOD($A48,100),IFERROR(VALUE(TRIM(MID(MID($A48,FIND("/",$A48)+1,20),FIND("/",MID($A48,FIND("/",$A48)+1,20))+1,20))),"")))</f>
        <v/>
      </c>
      <c r="E48">
        <f>IF($A48="","",IF(OR($B48="",$C48="",$D48="",$B48&lt;1300,$B48&gt;1500,$C48&lt;1,$C48&gt;12,$D48&lt;1,$D48&gt;31),"نامعتبر",RIGHT("0000"&amp;$B48,4)&amp;"/"&amp;RIGHT("00"&amp;$C48,2)&amp;"/"&amp;RIGHT("00"&amp;$D48,2)))</f>
        <v/>
      </c>
      <c r="F48">
        <f>IF(OR($E48="",$E48="نامعتبر"),"",LEFT($E48,4)&amp;"/"&amp;MID($E48,6,2))</f>
        <v/>
      </c>
      <c r="G48">
        <f>IF(OR($E48="",$E48="نامعتبر",Sync!$X44=""),"",IF(AND(LEFT(UPPER(TRIM(Sync!$X44)),2)="SL",IFERROR(VLOOKUP(Sync!$W44,OpTbl,3,0),"")="فروش"),UPPER(TRIM(Sync!$X44)),""))</f>
        <v/>
      </c>
      <c r="H48">
        <f>IF($G48="","",IF(Sync!$W44="","",Sync!$W44))</f>
        <v/>
      </c>
      <c r="I48">
        <f>IF(OR($G48="",Sync!$Y44=""),"",Sync!$Y44)</f>
        <v/>
      </c>
      <c r="J48">
        <f>IF(OR($G48="",Sync!$Z44=""),"",Sync!$Z44)</f>
        <v/>
      </c>
      <c r="K48">
        <f>IF($G48="",0,IF(Sync!$AA44="",0,Sync!$AA44))</f>
        <v/>
      </c>
      <c r="L48">
        <f>IF($G48="",0,IF(Sync!$AB44="",0,Sync!$AB44))</f>
        <v/>
      </c>
      <c r="M48">
        <f>IF($G48="","",IF($H48="مرجوعی فروش",-1,1)*($K48-$L48*IFERROR(VLOOKUP("P01",ParamTbl,3,0),1.5)))</f>
        <v/>
      </c>
      <c r="N48">
        <f>IF($G48="",0,IF($H48="مرجوعی فروش",-1,1)*IF(Sync!$AC44="",0,Sync!$AC44))</f>
        <v/>
      </c>
      <c r="O48">
        <f>IF(OR($G48="",Sync!$V44=""),"",Sync!$V44)</f>
        <v/>
      </c>
      <c r="P48">
        <f>IF(OR($G48="",Sync!$AD44=""),"",Sync!$AD44)</f>
        <v/>
      </c>
      <c r="Q48">
        <f>IF($G48="","",IF(Sync!$U44="","0000",IF(AND(ISNUMBER(Sync!$U44),Sync!$U44&gt;=0,Sync!$U44&lt;1),RIGHT("00"&amp;HOUR(Sync!$U44),2)&amp;RIGHT("00"&amp;MINUTE(Sync!$U44),2),IFERROR(RIGHT("00"&amp;VALUE(LEFT(Sync!$U44,FIND(":",Sync!$U44)-1)),2)&amp;RIGHT("00"&amp;VALUE(MID(Sync!$U44,FIND(":",Sync!$U44)+1,2)),2),"0000"))))</f>
        <v/>
      </c>
    </row>
    <row r="49">
      <c r="A49">
        <f>IF(Sync!$T45="","",Sync!$T45)</f>
        <v/>
      </c>
      <c r="B49">
        <f>IF($A49="","",IF(ISNUMBER($A49),IF(AND($A49&gt;=10000101,$A49&lt;=99991231),INT($A49/10000),""),IFERROR(VALUE(TRIM(LEFT($A49,FIND("/",$A49)-1))),"")))</f>
        <v/>
      </c>
      <c r="C49">
        <f>IF(OR($A49="",$B49=""),"",IF(ISNUMBER($A49),INT(MOD($A49,10000)/100),IFERROR(VALUE(TRIM(LEFT(MID($A49,FIND("/",$A49)+1,20),FIND("/",MID($A49,FIND("/",$A49)+1,20))-1))),"")))</f>
        <v/>
      </c>
      <c r="D49">
        <f>IF(OR($A49="",$B49=""),"",IF(ISNUMBER($A49),MOD($A49,100),IFERROR(VALUE(TRIM(MID(MID($A49,FIND("/",$A49)+1,20),FIND("/",MID($A49,FIND("/",$A49)+1,20))+1,20))),"")))</f>
        <v/>
      </c>
      <c r="E49">
        <f>IF($A49="","",IF(OR($B49="",$C49="",$D49="",$B49&lt;1300,$B49&gt;1500,$C49&lt;1,$C49&gt;12,$D49&lt;1,$D49&gt;31),"نامعتبر",RIGHT("0000"&amp;$B49,4)&amp;"/"&amp;RIGHT("00"&amp;$C49,2)&amp;"/"&amp;RIGHT("00"&amp;$D49,2)))</f>
        <v/>
      </c>
      <c r="F49">
        <f>IF(OR($E49="",$E49="نامعتبر"),"",LEFT($E49,4)&amp;"/"&amp;MID($E49,6,2))</f>
        <v/>
      </c>
      <c r="G49">
        <f>IF(OR($E49="",$E49="نامعتبر",Sync!$X45=""),"",IF(AND(LEFT(UPPER(TRIM(Sync!$X45)),2)="SL",IFERROR(VLOOKUP(Sync!$W45,OpTbl,3,0),"")="فروش"),UPPER(TRIM(Sync!$X45)),""))</f>
        <v/>
      </c>
      <c r="H49">
        <f>IF($G49="","",IF(Sync!$W45="","",Sync!$W45))</f>
        <v/>
      </c>
      <c r="I49">
        <f>IF(OR($G49="",Sync!$Y45=""),"",Sync!$Y45)</f>
        <v/>
      </c>
      <c r="J49">
        <f>IF(OR($G49="",Sync!$Z45=""),"",Sync!$Z45)</f>
        <v/>
      </c>
      <c r="K49">
        <f>IF($G49="",0,IF(Sync!$AA45="",0,Sync!$AA45))</f>
        <v/>
      </c>
      <c r="L49">
        <f>IF($G49="",0,IF(Sync!$AB45="",0,Sync!$AB45))</f>
        <v/>
      </c>
      <c r="M49">
        <f>IF($G49="","",IF($H49="مرجوعی فروش",-1,1)*($K49-$L49*IFERROR(VLOOKUP("P01",ParamTbl,3,0),1.5)))</f>
        <v/>
      </c>
      <c r="N49">
        <f>IF($G49="",0,IF($H49="مرجوعی فروش",-1,1)*IF(Sync!$AC45="",0,Sync!$AC45))</f>
        <v/>
      </c>
      <c r="O49">
        <f>IF(OR($G49="",Sync!$V45=""),"",Sync!$V45)</f>
        <v/>
      </c>
      <c r="P49">
        <f>IF(OR($G49="",Sync!$AD45=""),"",Sync!$AD45)</f>
        <v/>
      </c>
      <c r="Q49">
        <f>IF($G49="","",IF(Sync!$U45="","0000",IF(AND(ISNUMBER(Sync!$U45),Sync!$U45&gt;=0,Sync!$U45&lt;1),RIGHT("00"&amp;HOUR(Sync!$U45),2)&amp;RIGHT("00"&amp;MINUTE(Sync!$U45),2),IFERROR(RIGHT("00"&amp;VALUE(LEFT(Sync!$U45,FIND(":",Sync!$U45)-1)),2)&amp;RIGHT("00"&amp;VALUE(MID(Sync!$U45,FIND(":",Sync!$U45)+1,2)),2),"0000"))))</f>
        <v/>
      </c>
    </row>
    <row r="50">
      <c r="A50">
        <f>IF(Sync!$T46="","",Sync!$T46)</f>
        <v/>
      </c>
      <c r="B50">
        <f>IF($A50="","",IF(ISNUMBER($A50),IF(AND($A50&gt;=10000101,$A50&lt;=99991231),INT($A50/10000),""),IFERROR(VALUE(TRIM(LEFT($A50,FIND("/",$A50)-1))),"")))</f>
        <v/>
      </c>
      <c r="C50">
        <f>IF(OR($A50="",$B50=""),"",IF(ISNUMBER($A50),INT(MOD($A50,10000)/100),IFERROR(VALUE(TRIM(LEFT(MID($A50,FIND("/",$A50)+1,20),FIND("/",MID($A50,FIND("/",$A50)+1,20))-1))),"")))</f>
        <v/>
      </c>
      <c r="D50">
        <f>IF(OR($A50="",$B50=""),"",IF(ISNUMBER($A50),MOD($A50,100),IFERROR(VALUE(TRIM(MID(MID($A50,FIND("/",$A50)+1,20),FIND("/",MID($A50,FIND("/",$A50)+1,20))+1,20))),"")))</f>
        <v/>
      </c>
      <c r="E50">
        <f>IF($A50="","",IF(OR($B50="",$C50="",$D50="",$B50&lt;1300,$B50&gt;1500,$C50&lt;1,$C50&gt;12,$D50&lt;1,$D50&gt;31),"نامعتبر",RIGHT("0000"&amp;$B50,4)&amp;"/"&amp;RIGHT("00"&amp;$C50,2)&amp;"/"&amp;RIGHT("00"&amp;$D50,2)))</f>
        <v/>
      </c>
      <c r="F50">
        <f>IF(OR($E50="",$E50="نامعتبر"),"",LEFT($E50,4)&amp;"/"&amp;MID($E50,6,2))</f>
        <v/>
      </c>
      <c r="G50">
        <f>IF(OR($E50="",$E50="نامعتبر",Sync!$X46=""),"",IF(AND(LEFT(UPPER(TRIM(Sync!$X46)),2)="SL",IFERROR(VLOOKUP(Sync!$W46,OpTbl,3,0),"")="فروش"),UPPER(TRIM(Sync!$X46)),""))</f>
        <v/>
      </c>
      <c r="H50">
        <f>IF($G50="","",IF(Sync!$W46="","",Sync!$W46))</f>
        <v/>
      </c>
      <c r="I50">
        <f>IF(OR($G50="",Sync!$Y46=""),"",Sync!$Y46)</f>
        <v/>
      </c>
      <c r="J50">
        <f>IF(OR($G50="",Sync!$Z46=""),"",Sync!$Z46)</f>
        <v/>
      </c>
      <c r="K50">
        <f>IF($G50="",0,IF(Sync!$AA46="",0,Sync!$AA46))</f>
        <v/>
      </c>
      <c r="L50">
        <f>IF($G50="",0,IF(Sync!$AB46="",0,Sync!$AB46))</f>
        <v/>
      </c>
      <c r="M50">
        <f>IF($G50="","",IF($H50="مرجوعی فروش",-1,1)*($K50-$L50*IFERROR(VLOOKUP("P01",ParamTbl,3,0),1.5)))</f>
        <v/>
      </c>
      <c r="N50">
        <f>IF($G50="",0,IF($H50="مرجوعی فروش",-1,1)*IF(Sync!$AC46="",0,Sync!$AC46))</f>
        <v/>
      </c>
      <c r="O50">
        <f>IF(OR($G50="",Sync!$V46=""),"",Sync!$V46)</f>
        <v/>
      </c>
      <c r="P50">
        <f>IF(OR($G50="",Sync!$AD46=""),"",Sync!$AD46)</f>
        <v/>
      </c>
      <c r="Q50">
        <f>IF($G50="","",IF(Sync!$U46="","0000",IF(AND(ISNUMBER(Sync!$U46),Sync!$U46&gt;=0,Sync!$U46&lt;1),RIGHT("00"&amp;HOUR(Sync!$U46),2)&amp;RIGHT("00"&amp;MINUTE(Sync!$U46),2),IFERROR(RIGHT("00"&amp;VALUE(LEFT(Sync!$U46,FIND(":",Sync!$U46)-1)),2)&amp;RIGHT("00"&amp;VALUE(MID(Sync!$U46,FIND(":",Sync!$U46)+1,2)),2),"0000"))))</f>
        <v/>
      </c>
    </row>
    <row r="51">
      <c r="A51">
        <f>IF(Sync!$T47="","",Sync!$T47)</f>
        <v/>
      </c>
      <c r="B51">
        <f>IF($A51="","",IF(ISNUMBER($A51),IF(AND($A51&gt;=10000101,$A51&lt;=99991231),INT($A51/10000),""),IFERROR(VALUE(TRIM(LEFT($A51,FIND("/",$A51)-1))),"")))</f>
        <v/>
      </c>
      <c r="C51">
        <f>IF(OR($A51="",$B51=""),"",IF(ISNUMBER($A51),INT(MOD($A51,10000)/100),IFERROR(VALUE(TRIM(LEFT(MID($A51,FIND("/",$A51)+1,20),FIND("/",MID($A51,FIND("/",$A51)+1,20))-1))),"")))</f>
        <v/>
      </c>
      <c r="D51">
        <f>IF(OR($A51="",$B51=""),"",IF(ISNUMBER($A51),MOD($A51,100),IFERROR(VALUE(TRIM(MID(MID($A51,FIND("/",$A51)+1,20),FIND("/",MID($A51,FIND("/",$A51)+1,20))+1,20))),"")))</f>
        <v/>
      </c>
      <c r="E51">
        <f>IF($A51="","",IF(OR($B51="",$C51="",$D51="",$B51&lt;1300,$B51&gt;1500,$C51&lt;1,$C51&gt;12,$D51&lt;1,$D51&gt;31),"نامعتبر",RIGHT("0000"&amp;$B51,4)&amp;"/"&amp;RIGHT("00"&amp;$C51,2)&amp;"/"&amp;RIGHT("00"&amp;$D51,2)))</f>
        <v/>
      </c>
      <c r="F51">
        <f>IF(OR($E51="",$E51="نامعتبر"),"",LEFT($E51,4)&amp;"/"&amp;MID($E51,6,2))</f>
        <v/>
      </c>
      <c r="G51">
        <f>IF(OR($E51="",$E51="نامعتبر",Sync!$X47=""),"",IF(AND(LEFT(UPPER(TRIM(Sync!$X47)),2)="SL",IFERROR(VLOOKUP(Sync!$W47,OpTbl,3,0),"")="فروش"),UPPER(TRIM(Sync!$X47)),""))</f>
        <v/>
      </c>
      <c r="H51">
        <f>IF($G51="","",IF(Sync!$W47="","",Sync!$W47))</f>
        <v/>
      </c>
      <c r="I51">
        <f>IF(OR($G51="",Sync!$Y47=""),"",Sync!$Y47)</f>
        <v/>
      </c>
      <c r="J51">
        <f>IF(OR($G51="",Sync!$Z47=""),"",Sync!$Z47)</f>
        <v/>
      </c>
      <c r="K51">
        <f>IF($G51="",0,IF(Sync!$AA47="",0,Sync!$AA47))</f>
        <v/>
      </c>
      <c r="L51">
        <f>IF($G51="",0,IF(Sync!$AB47="",0,Sync!$AB47))</f>
        <v/>
      </c>
      <c r="M51">
        <f>IF($G51="","",IF($H51="مرجوعی فروش",-1,1)*($K51-$L51*IFERROR(VLOOKUP("P01",ParamTbl,3,0),1.5)))</f>
        <v/>
      </c>
      <c r="N51">
        <f>IF($G51="",0,IF($H51="مرجوعی فروش",-1,1)*IF(Sync!$AC47="",0,Sync!$AC47))</f>
        <v/>
      </c>
      <c r="O51">
        <f>IF(OR($G51="",Sync!$V47=""),"",Sync!$V47)</f>
        <v/>
      </c>
      <c r="P51">
        <f>IF(OR($G51="",Sync!$AD47=""),"",Sync!$AD47)</f>
        <v/>
      </c>
      <c r="Q51">
        <f>IF($G51="","",IF(Sync!$U47="","0000",IF(AND(ISNUMBER(Sync!$U47),Sync!$U47&gt;=0,Sync!$U47&lt;1),RIGHT("00"&amp;HOUR(Sync!$U47),2)&amp;RIGHT("00"&amp;MINUTE(Sync!$U47),2),IFERROR(RIGHT("00"&amp;VALUE(LEFT(Sync!$U47,FIND(":",Sync!$U47)-1)),2)&amp;RIGHT("00"&amp;VALUE(MID(Sync!$U47,FIND(":",Sync!$U47)+1,2)),2),"0000"))))</f>
        <v/>
      </c>
    </row>
    <row r="52">
      <c r="A52">
        <f>IF(Sync!$T48="","",Sync!$T48)</f>
        <v/>
      </c>
      <c r="B52">
        <f>IF($A52="","",IF(ISNUMBER($A52),IF(AND($A52&gt;=10000101,$A52&lt;=99991231),INT($A52/10000),""),IFERROR(VALUE(TRIM(LEFT($A52,FIND("/",$A52)-1))),"")))</f>
        <v/>
      </c>
      <c r="C52">
        <f>IF(OR($A52="",$B52=""),"",IF(ISNUMBER($A52),INT(MOD($A52,10000)/100),IFERROR(VALUE(TRIM(LEFT(MID($A52,FIND("/",$A52)+1,20),FIND("/",MID($A52,FIND("/",$A52)+1,20))-1))),"")))</f>
        <v/>
      </c>
      <c r="D52">
        <f>IF(OR($A52="",$B52=""),"",IF(ISNUMBER($A52),MOD($A52,100),IFERROR(VALUE(TRIM(MID(MID($A52,FIND("/",$A52)+1,20),FIND("/",MID($A52,FIND("/",$A52)+1,20))+1,20))),"")))</f>
        <v/>
      </c>
      <c r="E52">
        <f>IF($A52="","",IF(OR($B52="",$C52="",$D52="",$B52&lt;1300,$B52&gt;1500,$C52&lt;1,$C52&gt;12,$D52&lt;1,$D52&gt;31),"نامعتبر",RIGHT("0000"&amp;$B52,4)&amp;"/"&amp;RIGHT("00"&amp;$C52,2)&amp;"/"&amp;RIGHT("00"&amp;$D52,2)))</f>
        <v/>
      </c>
      <c r="F52">
        <f>IF(OR($E52="",$E52="نامعتبر"),"",LEFT($E52,4)&amp;"/"&amp;MID($E52,6,2))</f>
        <v/>
      </c>
      <c r="G52">
        <f>IF(OR($E52="",$E52="نامعتبر",Sync!$X48=""),"",IF(AND(LEFT(UPPER(TRIM(Sync!$X48)),2)="SL",IFERROR(VLOOKUP(Sync!$W48,OpTbl,3,0),"")="فروش"),UPPER(TRIM(Sync!$X48)),""))</f>
        <v/>
      </c>
      <c r="H52">
        <f>IF($G52="","",IF(Sync!$W48="","",Sync!$W48))</f>
        <v/>
      </c>
      <c r="I52">
        <f>IF(OR($G52="",Sync!$Y48=""),"",Sync!$Y48)</f>
        <v/>
      </c>
      <c r="J52">
        <f>IF(OR($G52="",Sync!$Z48=""),"",Sync!$Z48)</f>
        <v/>
      </c>
      <c r="K52">
        <f>IF($G52="",0,IF(Sync!$AA48="",0,Sync!$AA48))</f>
        <v/>
      </c>
      <c r="L52">
        <f>IF($G52="",0,IF(Sync!$AB48="",0,Sync!$AB48))</f>
        <v/>
      </c>
      <c r="M52">
        <f>IF($G52="","",IF($H52="مرجوعی فروش",-1,1)*($K52-$L52*IFERROR(VLOOKUP("P01",ParamTbl,3,0),1.5)))</f>
        <v/>
      </c>
      <c r="N52">
        <f>IF($G52="",0,IF($H52="مرجوعی فروش",-1,1)*IF(Sync!$AC48="",0,Sync!$AC48))</f>
        <v/>
      </c>
      <c r="O52">
        <f>IF(OR($G52="",Sync!$V48=""),"",Sync!$V48)</f>
        <v/>
      </c>
      <c r="P52">
        <f>IF(OR($G52="",Sync!$AD48=""),"",Sync!$AD48)</f>
        <v/>
      </c>
      <c r="Q52">
        <f>IF($G52="","",IF(Sync!$U48="","0000",IF(AND(ISNUMBER(Sync!$U48),Sync!$U48&gt;=0,Sync!$U48&lt;1),RIGHT("00"&amp;HOUR(Sync!$U48),2)&amp;RIGHT("00"&amp;MINUTE(Sync!$U48),2),IFERROR(RIGHT("00"&amp;VALUE(LEFT(Sync!$U48,FIND(":",Sync!$U48)-1)),2)&amp;RIGHT("00"&amp;VALUE(MID(Sync!$U48,FIND(":",Sync!$U48)+1,2)),2),"0000"))))</f>
        <v/>
      </c>
    </row>
    <row r="53">
      <c r="A53">
        <f>IF(Sync!$T49="","",Sync!$T49)</f>
        <v/>
      </c>
      <c r="B53">
        <f>IF($A53="","",IF(ISNUMBER($A53),IF(AND($A53&gt;=10000101,$A53&lt;=99991231),INT($A53/10000),""),IFERROR(VALUE(TRIM(LEFT($A53,FIND("/",$A53)-1))),"")))</f>
        <v/>
      </c>
      <c r="C53">
        <f>IF(OR($A53="",$B53=""),"",IF(ISNUMBER($A53),INT(MOD($A53,10000)/100),IFERROR(VALUE(TRIM(LEFT(MID($A53,FIND("/",$A53)+1,20),FIND("/",MID($A53,FIND("/",$A53)+1,20))-1))),"")))</f>
        <v/>
      </c>
      <c r="D53">
        <f>IF(OR($A53="",$B53=""),"",IF(ISNUMBER($A53),MOD($A53,100),IFERROR(VALUE(TRIM(MID(MID($A53,FIND("/",$A53)+1,20),FIND("/",MID($A53,FIND("/",$A53)+1,20))+1,20))),"")))</f>
        <v/>
      </c>
      <c r="E53">
        <f>IF($A53="","",IF(OR($B53="",$C53="",$D53="",$B53&lt;1300,$B53&gt;1500,$C53&lt;1,$C53&gt;12,$D53&lt;1,$D53&gt;31),"نامعتبر",RIGHT("0000"&amp;$B53,4)&amp;"/"&amp;RIGHT("00"&amp;$C53,2)&amp;"/"&amp;RIGHT("00"&amp;$D53,2)))</f>
        <v/>
      </c>
      <c r="F53">
        <f>IF(OR($E53="",$E53="نامعتبر"),"",LEFT($E53,4)&amp;"/"&amp;MID($E53,6,2))</f>
        <v/>
      </c>
      <c r="G53">
        <f>IF(OR($E53="",$E53="نامعتبر",Sync!$X49=""),"",IF(AND(LEFT(UPPER(TRIM(Sync!$X49)),2)="SL",IFERROR(VLOOKUP(Sync!$W49,OpTbl,3,0),"")="فروش"),UPPER(TRIM(Sync!$X49)),""))</f>
        <v/>
      </c>
      <c r="H53">
        <f>IF($G53="","",IF(Sync!$W49="","",Sync!$W49))</f>
        <v/>
      </c>
      <c r="I53">
        <f>IF(OR($G53="",Sync!$Y49=""),"",Sync!$Y49)</f>
        <v/>
      </c>
      <c r="J53">
        <f>IF(OR($G53="",Sync!$Z49=""),"",Sync!$Z49)</f>
        <v/>
      </c>
      <c r="K53">
        <f>IF($G53="",0,IF(Sync!$AA49="",0,Sync!$AA49))</f>
        <v/>
      </c>
      <c r="L53">
        <f>IF($G53="",0,IF(Sync!$AB49="",0,Sync!$AB49))</f>
        <v/>
      </c>
      <c r="M53">
        <f>IF($G53="","",IF($H53="مرجوعی فروش",-1,1)*($K53-$L53*IFERROR(VLOOKUP("P01",ParamTbl,3,0),1.5)))</f>
        <v/>
      </c>
      <c r="N53">
        <f>IF($G53="",0,IF($H53="مرجوعی فروش",-1,1)*IF(Sync!$AC49="",0,Sync!$AC49))</f>
        <v/>
      </c>
      <c r="O53">
        <f>IF(OR($G53="",Sync!$V49=""),"",Sync!$V49)</f>
        <v/>
      </c>
      <c r="P53">
        <f>IF(OR($G53="",Sync!$AD49=""),"",Sync!$AD49)</f>
        <v/>
      </c>
      <c r="Q53">
        <f>IF($G53="","",IF(Sync!$U49="","0000",IF(AND(ISNUMBER(Sync!$U49),Sync!$U49&gt;=0,Sync!$U49&lt;1),RIGHT("00"&amp;HOUR(Sync!$U49),2)&amp;RIGHT("00"&amp;MINUTE(Sync!$U49),2),IFERROR(RIGHT("00"&amp;VALUE(LEFT(Sync!$U49,FIND(":",Sync!$U49)-1)),2)&amp;RIGHT("00"&amp;VALUE(MID(Sync!$U49,FIND(":",Sync!$U49)+1,2)),2),"0000"))))</f>
        <v/>
      </c>
    </row>
    <row r="54">
      <c r="A54">
        <f>IF(Sync!$T50="","",Sync!$T50)</f>
        <v/>
      </c>
      <c r="B54">
        <f>IF($A54="","",IF(ISNUMBER($A54),IF(AND($A54&gt;=10000101,$A54&lt;=99991231),INT($A54/10000),""),IFERROR(VALUE(TRIM(LEFT($A54,FIND("/",$A54)-1))),"")))</f>
        <v/>
      </c>
      <c r="C54">
        <f>IF(OR($A54="",$B54=""),"",IF(ISNUMBER($A54),INT(MOD($A54,10000)/100),IFERROR(VALUE(TRIM(LEFT(MID($A54,FIND("/",$A54)+1,20),FIND("/",MID($A54,FIND("/",$A54)+1,20))-1))),"")))</f>
        <v/>
      </c>
      <c r="D54">
        <f>IF(OR($A54="",$B54=""),"",IF(ISNUMBER($A54),MOD($A54,100),IFERROR(VALUE(TRIM(MID(MID($A54,FIND("/",$A54)+1,20),FIND("/",MID($A54,FIND("/",$A54)+1,20))+1,20))),"")))</f>
        <v/>
      </c>
      <c r="E54">
        <f>IF($A54="","",IF(OR($B54="",$C54="",$D54="",$B54&lt;1300,$B54&gt;1500,$C54&lt;1,$C54&gt;12,$D54&lt;1,$D54&gt;31),"نامعتبر",RIGHT("0000"&amp;$B54,4)&amp;"/"&amp;RIGHT("00"&amp;$C54,2)&amp;"/"&amp;RIGHT("00"&amp;$D54,2)))</f>
        <v/>
      </c>
      <c r="F54">
        <f>IF(OR($E54="",$E54="نامعتبر"),"",LEFT($E54,4)&amp;"/"&amp;MID($E54,6,2))</f>
        <v/>
      </c>
      <c r="G54">
        <f>IF(OR($E54="",$E54="نامعتبر",Sync!$X50=""),"",IF(AND(LEFT(UPPER(TRIM(Sync!$X50)),2)="SL",IFERROR(VLOOKUP(Sync!$W50,OpTbl,3,0),"")="فروش"),UPPER(TRIM(Sync!$X50)),""))</f>
        <v/>
      </c>
      <c r="H54">
        <f>IF($G54="","",IF(Sync!$W50="","",Sync!$W50))</f>
        <v/>
      </c>
      <c r="I54">
        <f>IF(OR($G54="",Sync!$Y50=""),"",Sync!$Y50)</f>
        <v/>
      </c>
      <c r="J54">
        <f>IF(OR($G54="",Sync!$Z50=""),"",Sync!$Z50)</f>
        <v/>
      </c>
      <c r="K54">
        <f>IF($G54="",0,IF(Sync!$AA50="",0,Sync!$AA50))</f>
        <v/>
      </c>
      <c r="L54">
        <f>IF($G54="",0,IF(Sync!$AB50="",0,Sync!$AB50))</f>
        <v/>
      </c>
      <c r="M54">
        <f>IF($G54="","",IF($H54="مرجوعی فروش",-1,1)*($K54-$L54*IFERROR(VLOOKUP("P01",ParamTbl,3,0),1.5)))</f>
        <v/>
      </c>
      <c r="N54">
        <f>IF($G54="",0,IF($H54="مرجوعی فروش",-1,1)*IF(Sync!$AC50="",0,Sync!$AC50))</f>
        <v/>
      </c>
      <c r="O54">
        <f>IF(OR($G54="",Sync!$V50=""),"",Sync!$V50)</f>
        <v/>
      </c>
      <c r="P54">
        <f>IF(OR($G54="",Sync!$AD50=""),"",Sync!$AD50)</f>
        <v/>
      </c>
      <c r="Q54">
        <f>IF($G54="","",IF(Sync!$U50="","0000",IF(AND(ISNUMBER(Sync!$U50),Sync!$U50&gt;=0,Sync!$U50&lt;1),RIGHT("00"&amp;HOUR(Sync!$U50),2)&amp;RIGHT("00"&amp;MINUTE(Sync!$U50),2),IFERROR(RIGHT("00"&amp;VALUE(LEFT(Sync!$U50,FIND(":",Sync!$U50)-1)),2)&amp;RIGHT("00"&amp;VALUE(MID(Sync!$U50,FIND(":",Sync!$U50)+1,2)),2),"0000"))))</f>
        <v/>
      </c>
    </row>
    <row r="55">
      <c r="A55">
        <f>IF(Sync!$T51="","",Sync!$T51)</f>
        <v/>
      </c>
      <c r="B55">
        <f>IF($A55="","",IF(ISNUMBER($A55),IF(AND($A55&gt;=10000101,$A55&lt;=99991231),INT($A55/10000),""),IFERROR(VALUE(TRIM(LEFT($A55,FIND("/",$A55)-1))),"")))</f>
        <v/>
      </c>
      <c r="C55">
        <f>IF(OR($A55="",$B55=""),"",IF(ISNUMBER($A55),INT(MOD($A55,10000)/100),IFERROR(VALUE(TRIM(LEFT(MID($A55,FIND("/",$A55)+1,20),FIND("/",MID($A55,FIND("/",$A55)+1,20))-1))),"")))</f>
        <v/>
      </c>
      <c r="D55">
        <f>IF(OR($A55="",$B55=""),"",IF(ISNUMBER($A55),MOD($A55,100),IFERROR(VALUE(TRIM(MID(MID($A55,FIND("/",$A55)+1,20),FIND("/",MID($A55,FIND("/",$A55)+1,20))+1,20))),"")))</f>
        <v/>
      </c>
      <c r="E55">
        <f>IF($A55="","",IF(OR($B55="",$C55="",$D55="",$B55&lt;1300,$B55&gt;1500,$C55&lt;1,$C55&gt;12,$D55&lt;1,$D55&gt;31),"نامعتبر",RIGHT("0000"&amp;$B55,4)&amp;"/"&amp;RIGHT("00"&amp;$C55,2)&amp;"/"&amp;RIGHT("00"&amp;$D55,2)))</f>
        <v/>
      </c>
      <c r="F55">
        <f>IF(OR($E55="",$E55="نامعتبر"),"",LEFT($E55,4)&amp;"/"&amp;MID($E55,6,2))</f>
        <v/>
      </c>
      <c r="G55">
        <f>IF(OR($E55="",$E55="نامعتبر",Sync!$X51=""),"",IF(AND(LEFT(UPPER(TRIM(Sync!$X51)),2)="SL",IFERROR(VLOOKUP(Sync!$W51,OpTbl,3,0),"")="فروش"),UPPER(TRIM(Sync!$X51)),""))</f>
        <v/>
      </c>
      <c r="H55">
        <f>IF($G55="","",IF(Sync!$W51="","",Sync!$W51))</f>
        <v/>
      </c>
      <c r="I55">
        <f>IF(OR($G55="",Sync!$Y51=""),"",Sync!$Y51)</f>
        <v/>
      </c>
      <c r="J55">
        <f>IF(OR($G55="",Sync!$Z51=""),"",Sync!$Z51)</f>
        <v/>
      </c>
      <c r="K55">
        <f>IF($G55="",0,IF(Sync!$AA51="",0,Sync!$AA51))</f>
        <v/>
      </c>
      <c r="L55">
        <f>IF($G55="",0,IF(Sync!$AB51="",0,Sync!$AB51))</f>
        <v/>
      </c>
      <c r="M55">
        <f>IF($G55="","",IF($H55="مرجوعی فروش",-1,1)*($K55-$L55*IFERROR(VLOOKUP("P01",ParamTbl,3,0),1.5)))</f>
        <v/>
      </c>
      <c r="N55">
        <f>IF($G55="",0,IF($H55="مرجوعی فروش",-1,1)*IF(Sync!$AC51="",0,Sync!$AC51))</f>
        <v/>
      </c>
      <c r="O55">
        <f>IF(OR($G55="",Sync!$V51=""),"",Sync!$V51)</f>
        <v/>
      </c>
      <c r="P55">
        <f>IF(OR($G55="",Sync!$AD51=""),"",Sync!$AD51)</f>
        <v/>
      </c>
      <c r="Q55">
        <f>IF($G55="","",IF(Sync!$U51="","0000",IF(AND(ISNUMBER(Sync!$U51),Sync!$U51&gt;=0,Sync!$U51&lt;1),RIGHT("00"&amp;HOUR(Sync!$U51),2)&amp;RIGHT("00"&amp;MINUTE(Sync!$U51),2),IFERROR(RIGHT("00"&amp;VALUE(LEFT(Sync!$U51,FIND(":",Sync!$U51)-1)),2)&amp;RIGHT("00"&amp;VALUE(MID(Sync!$U51,FIND(":",Sync!$U51)+1,2)),2),"0000"))))</f>
        <v/>
      </c>
    </row>
    <row r="56">
      <c r="A56">
        <f>IF(Sync!$T52="","",Sync!$T52)</f>
        <v/>
      </c>
      <c r="B56">
        <f>IF($A56="","",IF(ISNUMBER($A56),IF(AND($A56&gt;=10000101,$A56&lt;=99991231),INT($A56/10000),""),IFERROR(VALUE(TRIM(LEFT($A56,FIND("/",$A56)-1))),"")))</f>
        <v/>
      </c>
      <c r="C56">
        <f>IF(OR($A56="",$B56=""),"",IF(ISNUMBER($A56),INT(MOD($A56,10000)/100),IFERROR(VALUE(TRIM(LEFT(MID($A56,FIND("/",$A56)+1,20),FIND("/",MID($A56,FIND("/",$A56)+1,20))-1))),"")))</f>
        <v/>
      </c>
      <c r="D56">
        <f>IF(OR($A56="",$B56=""),"",IF(ISNUMBER($A56),MOD($A56,100),IFERROR(VALUE(TRIM(MID(MID($A56,FIND("/",$A56)+1,20),FIND("/",MID($A56,FIND("/",$A56)+1,20))+1,20))),"")))</f>
        <v/>
      </c>
      <c r="E56">
        <f>IF($A56="","",IF(OR($B56="",$C56="",$D56="",$B56&lt;1300,$B56&gt;1500,$C56&lt;1,$C56&gt;12,$D56&lt;1,$D56&gt;31),"نامعتبر",RIGHT("0000"&amp;$B56,4)&amp;"/"&amp;RIGHT("00"&amp;$C56,2)&amp;"/"&amp;RIGHT("00"&amp;$D56,2)))</f>
        <v/>
      </c>
      <c r="F56">
        <f>IF(OR($E56="",$E56="نامعتبر"),"",LEFT($E56,4)&amp;"/"&amp;MID($E56,6,2))</f>
        <v/>
      </c>
      <c r="G56">
        <f>IF(OR($E56="",$E56="نامعتبر",Sync!$X52=""),"",IF(AND(LEFT(UPPER(TRIM(Sync!$X52)),2)="SL",IFERROR(VLOOKUP(Sync!$W52,OpTbl,3,0),"")="فروش"),UPPER(TRIM(Sync!$X52)),""))</f>
        <v/>
      </c>
      <c r="H56">
        <f>IF($G56="","",IF(Sync!$W52="","",Sync!$W52))</f>
        <v/>
      </c>
      <c r="I56">
        <f>IF(OR($G56="",Sync!$Y52=""),"",Sync!$Y52)</f>
        <v/>
      </c>
      <c r="J56">
        <f>IF(OR($G56="",Sync!$Z52=""),"",Sync!$Z52)</f>
        <v/>
      </c>
      <c r="K56">
        <f>IF($G56="",0,IF(Sync!$AA52="",0,Sync!$AA52))</f>
        <v/>
      </c>
      <c r="L56">
        <f>IF($G56="",0,IF(Sync!$AB52="",0,Sync!$AB52))</f>
        <v/>
      </c>
      <c r="M56">
        <f>IF($G56="","",IF($H56="مرجوعی فروش",-1,1)*($K56-$L56*IFERROR(VLOOKUP("P01",ParamTbl,3,0),1.5)))</f>
        <v/>
      </c>
      <c r="N56">
        <f>IF($G56="",0,IF($H56="مرجوعی فروش",-1,1)*IF(Sync!$AC52="",0,Sync!$AC52))</f>
        <v/>
      </c>
      <c r="O56">
        <f>IF(OR($G56="",Sync!$V52=""),"",Sync!$V52)</f>
        <v/>
      </c>
      <c r="P56">
        <f>IF(OR($G56="",Sync!$AD52=""),"",Sync!$AD52)</f>
        <v/>
      </c>
      <c r="Q56">
        <f>IF($G56="","",IF(Sync!$U52="","0000",IF(AND(ISNUMBER(Sync!$U52),Sync!$U52&gt;=0,Sync!$U52&lt;1),RIGHT("00"&amp;HOUR(Sync!$U52),2)&amp;RIGHT("00"&amp;MINUTE(Sync!$U52),2),IFERROR(RIGHT("00"&amp;VALUE(LEFT(Sync!$U52,FIND(":",Sync!$U52)-1)),2)&amp;RIGHT("00"&amp;VALUE(MID(Sync!$U52,FIND(":",Sync!$U52)+1,2)),2),"0000"))))</f>
        <v/>
      </c>
    </row>
    <row r="57">
      <c r="A57">
        <f>IF(Sync!$T53="","",Sync!$T53)</f>
        <v/>
      </c>
      <c r="B57">
        <f>IF($A57="","",IF(ISNUMBER($A57),IF(AND($A57&gt;=10000101,$A57&lt;=99991231),INT($A57/10000),""),IFERROR(VALUE(TRIM(LEFT($A57,FIND("/",$A57)-1))),"")))</f>
        <v/>
      </c>
      <c r="C57">
        <f>IF(OR($A57="",$B57=""),"",IF(ISNUMBER($A57),INT(MOD($A57,10000)/100),IFERROR(VALUE(TRIM(LEFT(MID($A57,FIND("/",$A57)+1,20),FIND("/",MID($A57,FIND("/",$A57)+1,20))-1))),"")))</f>
        <v/>
      </c>
      <c r="D57">
        <f>IF(OR($A57="",$B57=""),"",IF(ISNUMBER($A57),MOD($A57,100),IFERROR(VALUE(TRIM(MID(MID($A57,FIND("/",$A57)+1,20),FIND("/",MID($A57,FIND("/",$A57)+1,20))+1,20))),"")))</f>
        <v/>
      </c>
      <c r="E57">
        <f>IF($A57="","",IF(OR($B57="",$C57="",$D57="",$B57&lt;1300,$B57&gt;1500,$C57&lt;1,$C57&gt;12,$D57&lt;1,$D57&gt;31),"نامعتبر",RIGHT("0000"&amp;$B57,4)&amp;"/"&amp;RIGHT("00"&amp;$C57,2)&amp;"/"&amp;RIGHT("00"&amp;$D57,2)))</f>
        <v/>
      </c>
      <c r="F57">
        <f>IF(OR($E57="",$E57="نامعتبر"),"",LEFT($E57,4)&amp;"/"&amp;MID($E57,6,2))</f>
        <v/>
      </c>
      <c r="G57">
        <f>IF(OR($E57="",$E57="نامعتبر",Sync!$X53=""),"",IF(AND(LEFT(UPPER(TRIM(Sync!$X53)),2)="SL",IFERROR(VLOOKUP(Sync!$W53,OpTbl,3,0),"")="فروش"),UPPER(TRIM(Sync!$X53)),""))</f>
        <v/>
      </c>
      <c r="H57">
        <f>IF($G57="","",IF(Sync!$W53="","",Sync!$W53))</f>
        <v/>
      </c>
      <c r="I57">
        <f>IF(OR($G57="",Sync!$Y53=""),"",Sync!$Y53)</f>
        <v/>
      </c>
      <c r="J57">
        <f>IF(OR($G57="",Sync!$Z53=""),"",Sync!$Z53)</f>
        <v/>
      </c>
      <c r="K57">
        <f>IF($G57="",0,IF(Sync!$AA53="",0,Sync!$AA53))</f>
        <v/>
      </c>
      <c r="L57">
        <f>IF($G57="",0,IF(Sync!$AB53="",0,Sync!$AB53))</f>
        <v/>
      </c>
      <c r="M57">
        <f>IF($G57="","",IF($H57="مرجوعی فروش",-1,1)*($K57-$L57*IFERROR(VLOOKUP("P01",ParamTbl,3,0),1.5)))</f>
        <v/>
      </c>
      <c r="N57">
        <f>IF($G57="",0,IF($H57="مرجوعی فروش",-1,1)*IF(Sync!$AC53="",0,Sync!$AC53))</f>
        <v/>
      </c>
      <c r="O57">
        <f>IF(OR($G57="",Sync!$V53=""),"",Sync!$V53)</f>
        <v/>
      </c>
      <c r="P57">
        <f>IF(OR($G57="",Sync!$AD53=""),"",Sync!$AD53)</f>
        <v/>
      </c>
      <c r="Q57">
        <f>IF($G57="","",IF(Sync!$U53="","0000",IF(AND(ISNUMBER(Sync!$U53),Sync!$U53&gt;=0,Sync!$U53&lt;1),RIGHT("00"&amp;HOUR(Sync!$U53),2)&amp;RIGHT("00"&amp;MINUTE(Sync!$U53),2),IFERROR(RIGHT("00"&amp;VALUE(LEFT(Sync!$U53,FIND(":",Sync!$U53)-1)),2)&amp;RIGHT("00"&amp;VALUE(MID(Sync!$U53,FIND(":",Sync!$U53)+1,2)),2),"0000"))))</f>
        <v/>
      </c>
    </row>
    <row r="58">
      <c r="A58">
        <f>IF(Sync!$T54="","",Sync!$T54)</f>
        <v/>
      </c>
      <c r="B58">
        <f>IF($A58="","",IF(ISNUMBER($A58),IF(AND($A58&gt;=10000101,$A58&lt;=99991231),INT($A58/10000),""),IFERROR(VALUE(TRIM(LEFT($A58,FIND("/",$A58)-1))),"")))</f>
        <v/>
      </c>
      <c r="C58">
        <f>IF(OR($A58="",$B58=""),"",IF(ISNUMBER($A58),INT(MOD($A58,10000)/100),IFERROR(VALUE(TRIM(LEFT(MID($A58,FIND("/",$A58)+1,20),FIND("/",MID($A58,FIND("/",$A58)+1,20))-1))),"")))</f>
        <v/>
      </c>
      <c r="D58">
        <f>IF(OR($A58="",$B58=""),"",IF(ISNUMBER($A58),MOD($A58,100),IFERROR(VALUE(TRIM(MID(MID($A58,FIND("/",$A58)+1,20),FIND("/",MID($A58,FIND("/",$A58)+1,20))+1,20))),"")))</f>
        <v/>
      </c>
      <c r="E58">
        <f>IF($A58="","",IF(OR($B58="",$C58="",$D58="",$B58&lt;1300,$B58&gt;1500,$C58&lt;1,$C58&gt;12,$D58&lt;1,$D58&gt;31),"نامعتبر",RIGHT("0000"&amp;$B58,4)&amp;"/"&amp;RIGHT("00"&amp;$C58,2)&amp;"/"&amp;RIGHT("00"&amp;$D58,2)))</f>
        <v/>
      </c>
      <c r="F58">
        <f>IF(OR($E58="",$E58="نامعتبر"),"",LEFT($E58,4)&amp;"/"&amp;MID($E58,6,2))</f>
        <v/>
      </c>
      <c r="G58">
        <f>IF(OR($E58="",$E58="نامعتبر",Sync!$X54=""),"",IF(AND(LEFT(UPPER(TRIM(Sync!$X54)),2)="SL",IFERROR(VLOOKUP(Sync!$W54,OpTbl,3,0),"")="فروش"),UPPER(TRIM(Sync!$X54)),""))</f>
        <v/>
      </c>
      <c r="H58">
        <f>IF($G58="","",IF(Sync!$W54="","",Sync!$W54))</f>
        <v/>
      </c>
      <c r="I58">
        <f>IF(OR($G58="",Sync!$Y54=""),"",Sync!$Y54)</f>
        <v/>
      </c>
      <c r="J58">
        <f>IF(OR($G58="",Sync!$Z54=""),"",Sync!$Z54)</f>
        <v/>
      </c>
      <c r="K58">
        <f>IF($G58="",0,IF(Sync!$AA54="",0,Sync!$AA54))</f>
        <v/>
      </c>
      <c r="L58">
        <f>IF($G58="",0,IF(Sync!$AB54="",0,Sync!$AB54))</f>
        <v/>
      </c>
      <c r="M58">
        <f>IF($G58="","",IF($H58="مرجوعی فروش",-1,1)*($K58-$L58*IFERROR(VLOOKUP("P01",ParamTbl,3,0),1.5)))</f>
        <v/>
      </c>
      <c r="N58">
        <f>IF($G58="",0,IF($H58="مرجوعی فروش",-1,1)*IF(Sync!$AC54="",0,Sync!$AC54))</f>
        <v/>
      </c>
      <c r="O58">
        <f>IF(OR($G58="",Sync!$V54=""),"",Sync!$V54)</f>
        <v/>
      </c>
      <c r="P58">
        <f>IF(OR($G58="",Sync!$AD54=""),"",Sync!$AD54)</f>
        <v/>
      </c>
      <c r="Q58">
        <f>IF($G58="","",IF(Sync!$U54="","0000",IF(AND(ISNUMBER(Sync!$U54),Sync!$U54&gt;=0,Sync!$U54&lt;1),RIGHT("00"&amp;HOUR(Sync!$U54),2)&amp;RIGHT("00"&amp;MINUTE(Sync!$U54),2),IFERROR(RIGHT("00"&amp;VALUE(LEFT(Sync!$U54,FIND(":",Sync!$U54)-1)),2)&amp;RIGHT("00"&amp;VALUE(MID(Sync!$U54,FIND(":",Sync!$U54)+1,2)),2),"0000"))))</f>
        <v/>
      </c>
    </row>
    <row r="59">
      <c r="A59">
        <f>IF(Sync!$T55="","",Sync!$T55)</f>
        <v/>
      </c>
      <c r="B59">
        <f>IF($A59="","",IF(ISNUMBER($A59),IF(AND($A59&gt;=10000101,$A59&lt;=99991231),INT($A59/10000),""),IFERROR(VALUE(TRIM(LEFT($A59,FIND("/",$A59)-1))),"")))</f>
        <v/>
      </c>
      <c r="C59">
        <f>IF(OR($A59="",$B59=""),"",IF(ISNUMBER($A59),INT(MOD($A59,10000)/100),IFERROR(VALUE(TRIM(LEFT(MID($A59,FIND("/",$A59)+1,20),FIND("/",MID($A59,FIND("/",$A59)+1,20))-1))),"")))</f>
        <v/>
      </c>
      <c r="D59">
        <f>IF(OR($A59="",$B59=""),"",IF(ISNUMBER($A59),MOD($A59,100),IFERROR(VALUE(TRIM(MID(MID($A59,FIND("/",$A59)+1,20),FIND("/",MID($A59,FIND("/",$A59)+1,20))+1,20))),"")))</f>
        <v/>
      </c>
      <c r="E59">
        <f>IF($A59="","",IF(OR($B59="",$C59="",$D59="",$B59&lt;1300,$B59&gt;1500,$C59&lt;1,$C59&gt;12,$D59&lt;1,$D59&gt;31),"نامعتبر",RIGHT("0000"&amp;$B59,4)&amp;"/"&amp;RIGHT("00"&amp;$C59,2)&amp;"/"&amp;RIGHT("00"&amp;$D59,2)))</f>
        <v/>
      </c>
      <c r="F59">
        <f>IF(OR($E59="",$E59="نامعتبر"),"",LEFT($E59,4)&amp;"/"&amp;MID($E59,6,2))</f>
        <v/>
      </c>
      <c r="G59">
        <f>IF(OR($E59="",$E59="نامعتبر",Sync!$X55=""),"",IF(AND(LEFT(UPPER(TRIM(Sync!$X55)),2)="SL",IFERROR(VLOOKUP(Sync!$W55,OpTbl,3,0),"")="فروش"),UPPER(TRIM(Sync!$X55)),""))</f>
        <v/>
      </c>
      <c r="H59">
        <f>IF($G59="","",IF(Sync!$W55="","",Sync!$W55))</f>
        <v/>
      </c>
      <c r="I59">
        <f>IF(OR($G59="",Sync!$Y55=""),"",Sync!$Y55)</f>
        <v/>
      </c>
      <c r="J59">
        <f>IF(OR($G59="",Sync!$Z55=""),"",Sync!$Z55)</f>
        <v/>
      </c>
      <c r="K59">
        <f>IF($G59="",0,IF(Sync!$AA55="",0,Sync!$AA55))</f>
        <v/>
      </c>
      <c r="L59">
        <f>IF($G59="",0,IF(Sync!$AB55="",0,Sync!$AB55))</f>
        <v/>
      </c>
      <c r="M59">
        <f>IF($G59="","",IF($H59="مرجوعی فروش",-1,1)*($K59-$L59*IFERROR(VLOOKUP("P01",ParamTbl,3,0),1.5)))</f>
        <v/>
      </c>
      <c r="N59">
        <f>IF($G59="",0,IF($H59="مرجوعی فروش",-1,1)*IF(Sync!$AC55="",0,Sync!$AC55))</f>
        <v/>
      </c>
      <c r="O59">
        <f>IF(OR($G59="",Sync!$V55=""),"",Sync!$V55)</f>
        <v/>
      </c>
      <c r="P59">
        <f>IF(OR($G59="",Sync!$AD55=""),"",Sync!$AD55)</f>
        <v/>
      </c>
      <c r="Q59">
        <f>IF($G59="","",IF(Sync!$U55="","0000",IF(AND(ISNUMBER(Sync!$U55),Sync!$U55&gt;=0,Sync!$U55&lt;1),RIGHT("00"&amp;HOUR(Sync!$U55),2)&amp;RIGHT("00"&amp;MINUTE(Sync!$U55),2),IFERROR(RIGHT("00"&amp;VALUE(LEFT(Sync!$U55,FIND(":",Sync!$U55)-1)),2)&amp;RIGHT("00"&amp;VALUE(MID(Sync!$U55,FIND(":",Sync!$U55)+1,2)),2),"0000"))))</f>
        <v/>
      </c>
    </row>
    <row r="60">
      <c r="A60">
        <f>IF(Sync!$T56="","",Sync!$T56)</f>
        <v/>
      </c>
      <c r="B60">
        <f>IF($A60="","",IF(ISNUMBER($A60),IF(AND($A60&gt;=10000101,$A60&lt;=99991231),INT($A60/10000),""),IFERROR(VALUE(TRIM(LEFT($A60,FIND("/",$A60)-1))),"")))</f>
        <v/>
      </c>
      <c r="C60">
        <f>IF(OR($A60="",$B60=""),"",IF(ISNUMBER($A60),INT(MOD($A60,10000)/100),IFERROR(VALUE(TRIM(LEFT(MID($A60,FIND("/",$A60)+1,20),FIND("/",MID($A60,FIND("/",$A60)+1,20))-1))),"")))</f>
        <v/>
      </c>
      <c r="D60">
        <f>IF(OR($A60="",$B60=""),"",IF(ISNUMBER($A60),MOD($A60,100),IFERROR(VALUE(TRIM(MID(MID($A60,FIND("/",$A60)+1,20),FIND("/",MID($A60,FIND("/",$A60)+1,20))+1,20))),"")))</f>
        <v/>
      </c>
      <c r="E60">
        <f>IF($A60="","",IF(OR($B60="",$C60="",$D60="",$B60&lt;1300,$B60&gt;1500,$C60&lt;1,$C60&gt;12,$D60&lt;1,$D60&gt;31),"نامعتبر",RIGHT("0000"&amp;$B60,4)&amp;"/"&amp;RIGHT("00"&amp;$C60,2)&amp;"/"&amp;RIGHT("00"&amp;$D60,2)))</f>
        <v/>
      </c>
      <c r="F60">
        <f>IF(OR($E60="",$E60="نامعتبر"),"",LEFT($E60,4)&amp;"/"&amp;MID($E60,6,2))</f>
        <v/>
      </c>
      <c r="G60">
        <f>IF(OR($E60="",$E60="نامعتبر",Sync!$X56=""),"",IF(AND(LEFT(UPPER(TRIM(Sync!$X56)),2)="SL",IFERROR(VLOOKUP(Sync!$W56,OpTbl,3,0),"")="فروش"),UPPER(TRIM(Sync!$X56)),""))</f>
        <v/>
      </c>
      <c r="H60">
        <f>IF($G60="","",IF(Sync!$W56="","",Sync!$W56))</f>
        <v/>
      </c>
      <c r="I60">
        <f>IF(OR($G60="",Sync!$Y56=""),"",Sync!$Y56)</f>
        <v/>
      </c>
      <c r="J60">
        <f>IF(OR($G60="",Sync!$Z56=""),"",Sync!$Z56)</f>
        <v/>
      </c>
      <c r="K60">
        <f>IF($G60="",0,IF(Sync!$AA56="",0,Sync!$AA56))</f>
        <v/>
      </c>
      <c r="L60">
        <f>IF($G60="",0,IF(Sync!$AB56="",0,Sync!$AB56))</f>
        <v/>
      </c>
      <c r="M60">
        <f>IF($G60="","",IF($H60="مرجوعی فروش",-1,1)*($K60-$L60*IFERROR(VLOOKUP("P01",ParamTbl,3,0),1.5)))</f>
        <v/>
      </c>
      <c r="N60">
        <f>IF($G60="",0,IF($H60="مرجوعی فروش",-1,1)*IF(Sync!$AC56="",0,Sync!$AC56))</f>
        <v/>
      </c>
      <c r="O60">
        <f>IF(OR($G60="",Sync!$V56=""),"",Sync!$V56)</f>
        <v/>
      </c>
      <c r="P60">
        <f>IF(OR($G60="",Sync!$AD56=""),"",Sync!$AD56)</f>
        <v/>
      </c>
      <c r="Q60">
        <f>IF($G60="","",IF(Sync!$U56="","0000",IF(AND(ISNUMBER(Sync!$U56),Sync!$U56&gt;=0,Sync!$U56&lt;1),RIGHT("00"&amp;HOUR(Sync!$U56),2)&amp;RIGHT("00"&amp;MINUTE(Sync!$U56),2),IFERROR(RIGHT("00"&amp;VALUE(LEFT(Sync!$U56,FIND(":",Sync!$U56)-1)),2)&amp;RIGHT("00"&amp;VALUE(MID(Sync!$U56,FIND(":",Sync!$U56)+1,2)),2),"0000"))))</f>
        <v/>
      </c>
    </row>
    <row r="61">
      <c r="A61">
        <f>IF(Sync!$T57="","",Sync!$T57)</f>
        <v/>
      </c>
      <c r="B61">
        <f>IF($A61="","",IF(ISNUMBER($A61),IF(AND($A61&gt;=10000101,$A61&lt;=99991231),INT($A61/10000),""),IFERROR(VALUE(TRIM(LEFT($A61,FIND("/",$A61)-1))),"")))</f>
        <v/>
      </c>
      <c r="C61">
        <f>IF(OR($A61="",$B61=""),"",IF(ISNUMBER($A61),INT(MOD($A61,10000)/100),IFERROR(VALUE(TRIM(LEFT(MID($A61,FIND("/",$A61)+1,20),FIND("/",MID($A61,FIND("/",$A61)+1,20))-1))),"")))</f>
        <v/>
      </c>
      <c r="D61">
        <f>IF(OR($A61="",$B61=""),"",IF(ISNUMBER($A61),MOD($A61,100),IFERROR(VALUE(TRIM(MID(MID($A61,FIND("/",$A61)+1,20),FIND("/",MID($A61,FIND("/",$A61)+1,20))+1,20))),"")))</f>
        <v/>
      </c>
      <c r="E61">
        <f>IF($A61="","",IF(OR($B61="",$C61="",$D61="",$B61&lt;1300,$B61&gt;1500,$C61&lt;1,$C61&gt;12,$D61&lt;1,$D61&gt;31),"نامعتبر",RIGHT("0000"&amp;$B61,4)&amp;"/"&amp;RIGHT("00"&amp;$C61,2)&amp;"/"&amp;RIGHT("00"&amp;$D61,2)))</f>
        <v/>
      </c>
      <c r="F61">
        <f>IF(OR($E61="",$E61="نامعتبر"),"",LEFT($E61,4)&amp;"/"&amp;MID($E61,6,2))</f>
        <v/>
      </c>
      <c r="G61">
        <f>IF(OR($E61="",$E61="نامعتبر",Sync!$X57=""),"",IF(AND(LEFT(UPPER(TRIM(Sync!$X57)),2)="SL",IFERROR(VLOOKUP(Sync!$W57,OpTbl,3,0),"")="فروش"),UPPER(TRIM(Sync!$X57)),""))</f>
        <v/>
      </c>
      <c r="H61">
        <f>IF($G61="","",IF(Sync!$W57="","",Sync!$W57))</f>
        <v/>
      </c>
      <c r="I61">
        <f>IF(OR($G61="",Sync!$Y57=""),"",Sync!$Y57)</f>
        <v/>
      </c>
      <c r="J61">
        <f>IF(OR($G61="",Sync!$Z57=""),"",Sync!$Z57)</f>
        <v/>
      </c>
      <c r="K61">
        <f>IF($G61="",0,IF(Sync!$AA57="",0,Sync!$AA57))</f>
        <v/>
      </c>
      <c r="L61">
        <f>IF($G61="",0,IF(Sync!$AB57="",0,Sync!$AB57))</f>
        <v/>
      </c>
      <c r="M61">
        <f>IF($G61="","",IF($H61="مرجوعی فروش",-1,1)*($K61-$L61*IFERROR(VLOOKUP("P01",ParamTbl,3,0),1.5)))</f>
        <v/>
      </c>
      <c r="N61">
        <f>IF($G61="",0,IF($H61="مرجوعی فروش",-1,1)*IF(Sync!$AC57="",0,Sync!$AC57))</f>
        <v/>
      </c>
      <c r="O61">
        <f>IF(OR($G61="",Sync!$V57=""),"",Sync!$V57)</f>
        <v/>
      </c>
      <c r="P61">
        <f>IF(OR($G61="",Sync!$AD57=""),"",Sync!$AD57)</f>
        <v/>
      </c>
      <c r="Q61">
        <f>IF($G61="","",IF(Sync!$U57="","0000",IF(AND(ISNUMBER(Sync!$U57),Sync!$U57&gt;=0,Sync!$U57&lt;1),RIGHT("00"&amp;HOUR(Sync!$U57),2)&amp;RIGHT("00"&amp;MINUTE(Sync!$U57),2),IFERROR(RIGHT("00"&amp;VALUE(LEFT(Sync!$U57,FIND(":",Sync!$U57)-1)),2)&amp;RIGHT("00"&amp;VALUE(MID(Sync!$U57,FIND(":",Sync!$U57)+1,2)),2),"0000"))))</f>
        <v/>
      </c>
    </row>
    <row r="62">
      <c r="A62">
        <f>IF(Sync!$T58="","",Sync!$T58)</f>
        <v/>
      </c>
      <c r="B62">
        <f>IF($A62="","",IF(ISNUMBER($A62),IF(AND($A62&gt;=10000101,$A62&lt;=99991231),INT($A62/10000),""),IFERROR(VALUE(TRIM(LEFT($A62,FIND("/",$A62)-1))),"")))</f>
        <v/>
      </c>
      <c r="C62">
        <f>IF(OR($A62="",$B62=""),"",IF(ISNUMBER($A62),INT(MOD($A62,10000)/100),IFERROR(VALUE(TRIM(LEFT(MID($A62,FIND("/",$A62)+1,20),FIND("/",MID($A62,FIND("/",$A62)+1,20))-1))),"")))</f>
        <v/>
      </c>
      <c r="D62">
        <f>IF(OR($A62="",$B62=""),"",IF(ISNUMBER($A62),MOD($A62,100),IFERROR(VALUE(TRIM(MID(MID($A62,FIND("/",$A62)+1,20),FIND("/",MID($A62,FIND("/",$A62)+1,20))+1,20))),"")))</f>
        <v/>
      </c>
      <c r="E62">
        <f>IF($A62="","",IF(OR($B62="",$C62="",$D62="",$B62&lt;1300,$B62&gt;1500,$C62&lt;1,$C62&gt;12,$D62&lt;1,$D62&gt;31),"نامعتبر",RIGHT("0000"&amp;$B62,4)&amp;"/"&amp;RIGHT("00"&amp;$C62,2)&amp;"/"&amp;RIGHT("00"&amp;$D62,2)))</f>
        <v/>
      </c>
      <c r="F62">
        <f>IF(OR($E62="",$E62="نامعتبر"),"",LEFT($E62,4)&amp;"/"&amp;MID($E62,6,2))</f>
        <v/>
      </c>
      <c r="G62">
        <f>IF(OR($E62="",$E62="نامعتبر",Sync!$X58=""),"",IF(AND(LEFT(UPPER(TRIM(Sync!$X58)),2)="SL",IFERROR(VLOOKUP(Sync!$W58,OpTbl,3,0),"")="فروش"),UPPER(TRIM(Sync!$X58)),""))</f>
        <v/>
      </c>
      <c r="H62">
        <f>IF($G62="","",IF(Sync!$W58="","",Sync!$W58))</f>
        <v/>
      </c>
      <c r="I62">
        <f>IF(OR($G62="",Sync!$Y58=""),"",Sync!$Y58)</f>
        <v/>
      </c>
      <c r="J62">
        <f>IF(OR($G62="",Sync!$Z58=""),"",Sync!$Z58)</f>
        <v/>
      </c>
      <c r="K62">
        <f>IF($G62="",0,IF(Sync!$AA58="",0,Sync!$AA58))</f>
        <v/>
      </c>
      <c r="L62">
        <f>IF($G62="",0,IF(Sync!$AB58="",0,Sync!$AB58))</f>
        <v/>
      </c>
      <c r="M62">
        <f>IF($G62="","",IF($H62="مرجوعی فروش",-1,1)*($K62-$L62*IFERROR(VLOOKUP("P01",ParamTbl,3,0),1.5)))</f>
        <v/>
      </c>
      <c r="N62">
        <f>IF($G62="",0,IF($H62="مرجوعی فروش",-1,1)*IF(Sync!$AC58="",0,Sync!$AC58))</f>
        <v/>
      </c>
      <c r="O62">
        <f>IF(OR($G62="",Sync!$V58=""),"",Sync!$V58)</f>
        <v/>
      </c>
      <c r="P62">
        <f>IF(OR($G62="",Sync!$AD58=""),"",Sync!$AD58)</f>
        <v/>
      </c>
      <c r="Q62">
        <f>IF($G62="","",IF(Sync!$U58="","0000",IF(AND(ISNUMBER(Sync!$U58),Sync!$U58&gt;=0,Sync!$U58&lt;1),RIGHT("00"&amp;HOUR(Sync!$U58),2)&amp;RIGHT("00"&amp;MINUTE(Sync!$U58),2),IFERROR(RIGHT("00"&amp;VALUE(LEFT(Sync!$U58,FIND(":",Sync!$U58)-1)),2)&amp;RIGHT("00"&amp;VALUE(MID(Sync!$U58,FIND(":",Sync!$U58)+1,2)),2),"0000"))))</f>
        <v/>
      </c>
    </row>
    <row r="63">
      <c r="A63">
        <f>IF(Sync!$T59="","",Sync!$T59)</f>
        <v/>
      </c>
      <c r="B63">
        <f>IF($A63="","",IF(ISNUMBER($A63),IF(AND($A63&gt;=10000101,$A63&lt;=99991231),INT($A63/10000),""),IFERROR(VALUE(TRIM(LEFT($A63,FIND("/",$A63)-1))),"")))</f>
        <v/>
      </c>
      <c r="C63">
        <f>IF(OR($A63="",$B63=""),"",IF(ISNUMBER($A63),INT(MOD($A63,10000)/100),IFERROR(VALUE(TRIM(LEFT(MID($A63,FIND("/",$A63)+1,20),FIND("/",MID($A63,FIND("/",$A63)+1,20))-1))),"")))</f>
        <v/>
      </c>
      <c r="D63">
        <f>IF(OR($A63="",$B63=""),"",IF(ISNUMBER($A63),MOD($A63,100),IFERROR(VALUE(TRIM(MID(MID($A63,FIND("/",$A63)+1,20),FIND("/",MID($A63,FIND("/",$A63)+1,20))+1,20))),"")))</f>
        <v/>
      </c>
      <c r="E63">
        <f>IF($A63="","",IF(OR($B63="",$C63="",$D63="",$B63&lt;1300,$B63&gt;1500,$C63&lt;1,$C63&gt;12,$D63&lt;1,$D63&gt;31),"نامعتبر",RIGHT("0000"&amp;$B63,4)&amp;"/"&amp;RIGHT("00"&amp;$C63,2)&amp;"/"&amp;RIGHT("00"&amp;$D63,2)))</f>
        <v/>
      </c>
      <c r="F63">
        <f>IF(OR($E63="",$E63="نامعتبر"),"",LEFT($E63,4)&amp;"/"&amp;MID($E63,6,2))</f>
        <v/>
      </c>
      <c r="G63">
        <f>IF(OR($E63="",$E63="نامعتبر",Sync!$X59=""),"",IF(AND(LEFT(UPPER(TRIM(Sync!$X59)),2)="SL",IFERROR(VLOOKUP(Sync!$W59,OpTbl,3,0),"")="فروش"),UPPER(TRIM(Sync!$X59)),""))</f>
        <v/>
      </c>
      <c r="H63">
        <f>IF($G63="","",IF(Sync!$W59="","",Sync!$W59))</f>
        <v/>
      </c>
      <c r="I63">
        <f>IF(OR($G63="",Sync!$Y59=""),"",Sync!$Y59)</f>
        <v/>
      </c>
      <c r="J63">
        <f>IF(OR($G63="",Sync!$Z59=""),"",Sync!$Z59)</f>
        <v/>
      </c>
      <c r="K63">
        <f>IF($G63="",0,IF(Sync!$AA59="",0,Sync!$AA59))</f>
        <v/>
      </c>
      <c r="L63">
        <f>IF($G63="",0,IF(Sync!$AB59="",0,Sync!$AB59))</f>
        <v/>
      </c>
      <c r="M63">
        <f>IF($G63="","",IF($H63="مرجوعی فروش",-1,1)*($K63-$L63*IFERROR(VLOOKUP("P01",ParamTbl,3,0),1.5)))</f>
        <v/>
      </c>
      <c r="N63">
        <f>IF($G63="",0,IF($H63="مرجوعی فروش",-1,1)*IF(Sync!$AC59="",0,Sync!$AC59))</f>
        <v/>
      </c>
      <c r="O63">
        <f>IF(OR($G63="",Sync!$V59=""),"",Sync!$V59)</f>
        <v/>
      </c>
      <c r="P63">
        <f>IF(OR($G63="",Sync!$AD59=""),"",Sync!$AD59)</f>
        <v/>
      </c>
      <c r="Q63">
        <f>IF($G63="","",IF(Sync!$U59="","0000",IF(AND(ISNUMBER(Sync!$U59),Sync!$U59&gt;=0,Sync!$U59&lt;1),RIGHT("00"&amp;HOUR(Sync!$U59),2)&amp;RIGHT("00"&amp;MINUTE(Sync!$U59),2),IFERROR(RIGHT("00"&amp;VALUE(LEFT(Sync!$U59,FIND(":",Sync!$U59)-1)),2)&amp;RIGHT("00"&amp;VALUE(MID(Sync!$U59,FIND(":",Sync!$U59)+1,2)),2),"0000"))))</f>
        <v/>
      </c>
    </row>
    <row r="64">
      <c r="A64">
        <f>IF(Sync!$T60="","",Sync!$T60)</f>
        <v/>
      </c>
      <c r="B64">
        <f>IF($A64="","",IF(ISNUMBER($A64),IF(AND($A64&gt;=10000101,$A64&lt;=99991231),INT($A64/10000),""),IFERROR(VALUE(TRIM(LEFT($A64,FIND("/",$A64)-1))),"")))</f>
        <v/>
      </c>
      <c r="C64">
        <f>IF(OR($A64="",$B64=""),"",IF(ISNUMBER($A64),INT(MOD($A64,10000)/100),IFERROR(VALUE(TRIM(LEFT(MID($A64,FIND("/",$A64)+1,20),FIND("/",MID($A64,FIND("/",$A64)+1,20))-1))),"")))</f>
        <v/>
      </c>
      <c r="D64">
        <f>IF(OR($A64="",$B64=""),"",IF(ISNUMBER($A64),MOD($A64,100),IFERROR(VALUE(TRIM(MID(MID($A64,FIND("/",$A64)+1,20),FIND("/",MID($A64,FIND("/",$A64)+1,20))+1,20))),"")))</f>
        <v/>
      </c>
      <c r="E64">
        <f>IF($A64="","",IF(OR($B64="",$C64="",$D64="",$B64&lt;1300,$B64&gt;1500,$C64&lt;1,$C64&gt;12,$D64&lt;1,$D64&gt;31),"نامعتبر",RIGHT("0000"&amp;$B64,4)&amp;"/"&amp;RIGHT("00"&amp;$C64,2)&amp;"/"&amp;RIGHT("00"&amp;$D64,2)))</f>
        <v/>
      </c>
      <c r="F64">
        <f>IF(OR($E64="",$E64="نامعتبر"),"",LEFT($E64,4)&amp;"/"&amp;MID($E64,6,2))</f>
        <v/>
      </c>
      <c r="G64">
        <f>IF(OR($E64="",$E64="نامعتبر",Sync!$X60=""),"",IF(AND(LEFT(UPPER(TRIM(Sync!$X60)),2)="SL",IFERROR(VLOOKUP(Sync!$W60,OpTbl,3,0),"")="فروش"),UPPER(TRIM(Sync!$X60)),""))</f>
        <v/>
      </c>
      <c r="H64">
        <f>IF($G64="","",IF(Sync!$W60="","",Sync!$W60))</f>
        <v/>
      </c>
      <c r="I64">
        <f>IF(OR($G64="",Sync!$Y60=""),"",Sync!$Y60)</f>
        <v/>
      </c>
      <c r="J64">
        <f>IF(OR($G64="",Sync!$Z60=""),"",Sync!$Z60)</f>
        <v/>
      </c>
      <c r="K64">
        <f>IF($G64="",0,IF(Sync!$AA60="",0,Sync!$AA60))</f>
        <v/>
      </c>
      <c r="L64">
        <f>IF($G64="",0,IF(Sync!$AB60="",0,Sync!$AB60))</f>
        <v/>
      </c>
      <c r="M64">
        <f>IF($G64="","",IF($H64="مرجوعی فروش",-1,1)*($K64-$L64*IFERROR(VLOOKUP("P01",ParamTbl,3,0),1.5)))</f>
        <v/>
      </c>
      <c r="N64">
        <f>IF($G64="",0,IF($H64="مرجوعی فروش",-1,1)*IF(Sync!$AC60="",0,Sync!$AC60))</f>
        <v/>
      </c>
      <c r="O64">
        <f>IF(OR($G64="",Sync!$V60=""),"",Sync!$V60)</f>
        <v/>
      </c>
      <c r="P64">
        <f>IF(OR($G64="",Sync!$AD60=""),"",Sync!$AD60)</f>
        <v/>
      </c>
      <c r="Q64">
        <f>IF($G64="","",IF(Sync!$U60="","0000",IF(AND(ISNUMBER(Sync!$U60),Sync!$U60&gt;=0,Sync!$U60&lt;1),RIGHT("00"&amp;HOUR(Sync!$U60),2)&amp;RIGHT("00"&amp;MINUTE(Sync!$U60),2),IFERROR(RIGHT("00"&amp;VALUE(LEFT(Sync!$U60,FIND(":",Sync!$U60)-1)),2)&amp;RIGHT("00"&amp;VALUE(MID(Sync!$U60,FIND(":",Sync!$U60)+1,2)),2),"0000"))))</f>
        <v/>
      </c>
    </row>
    <row r="65">
      <c r="A65">
        <f>IF(Sync!$T61="","",Sync!$T61)</f>
        <v/>
      </c>
      <c r="B65">
        <f>IF($A65="","",IF(ISNUMBER($A65),IF(AND($A65&gt;=10000101,$A65&lt;=99991231),INT($A65/10000),""),IFERROR(VALUE(TRIM(LEFT($A65,FIND("/",$A65)-1))),"")))</f>
        <v/>
      </c>
      <c r="C65">
        <f>IF(OR($A65="",$B65=""),"",IF(ISNUMBER($A65),INT(MOD($A65,10000)/100),IFERROR(VALUE(TRIM(LEFT(MID($A65,FIND("/",$A65)+1,20),FIND("/",MID($A65,FIND("/",$A65)+1,20))-1))),"")))</f>
        <v/>
      </c>
      <c r="D65">
        <f>IF(OR($A65="",$B65=""),"",IF(ISNUMBER($A65),MOD($A65,100),IFERROR(VALUE(TRIM(MID(MID($A65,FIND("/",$A65)+1,20),FIND("/",MID($A65,FIND("/",$A65)+1,20))+1,20))),"")))</f>
        <v/>
      </c>
      <c r="E65">
        <f>IF($A65="","",IF(OR($B65="",$C65="",$D65="",$B65&lt;1300,$B65&gt;1500,$C65&lt;1,$C65&gt;12,$D65&lt;1,$D65&gt;31),"نامعتبر",RIGHT("0000"&amp;$B65,4)&amp;"/"&amp;RIGHT("00"&amp;$C65,2)&amp;"/"&amp;RIGHT("00"&amp;$D65,2)))</f>
        <v/>
      </c>
      <c r="F65">
        <f>IF(OR($E65="",$E65="نامعتبر"),"",LEFT($E65,4)&amp;"/"&amp;MID($E65,6,2))</f>
        <v/>
      </c>
      <c r="G65">
        <f>IF(OR($E65="",$E65="نامعتبر",Sync!$X61=""),"",IF(AND(LEFT(UPPER(TRIM(Sync!$X61)),2)="SL",IFERROR(VLOOKUP(Sync!$W61,OpTbl,3,0),"")="فروش"),UPPER(TRIM(Sync!$X61)),""))</f>
        <v/>
      </c>
      <c r="H65">
        <f>IF($G65="","",IF(Sync!$W61="","",Sync!$W61))</f>
        <v/>
      </c>
      <c r="I65">
        <f>IF(OR($G65="",Sync!$Y61=""),"",Sync!$Y61)</f>
        <v/>
      </c>
      <c r="J65">
        <f>IF(OR($G65="",Sync!$Z61=""),"",Sync!$Z61)</f>
        <v/>
      </c>
      <c r="K65">
        <f>IF($G65="",0,IF(Sync!$AA61="",0,Sync!$AA61))</f>
        <v/>
      </c>
      <c r="L65">
        <f>IF($G65="",0,IF(Sync!$AB61="",0,Sync!$AB61))</f>
        <v/>
      </c>
      <c r="M65">
        <f>IF($G65="","",IF($H65="مرجوعی فروش",-1,1)*($K65-$L65*IFERROR(VLOOKUP("P01",ParamTbl,3,0),1.5)))</f>
        <v/>
      </c>
      <c r="N65">
        <f>IF($G65="",0,IF($H65="مرجوعی فروش",-1,1)*IF(Sync!$AC61="",0,Sync!$AC61))</f>
        <v/>
      </c>
      <c r="O65">
        <f>IF(OR($G65="",Sync!$V61=""),"",Sync!$V61)</f>
        <v/>
      </c>
      <c r="P65">
        <f>IF(OR($G65="",Sync!$AD61=""),"",Sync!$AD61)</f>
        <v/>
      </c>
      <c r="Q65">
        <f>IF($G65="","",IF(Sync!$U61="","0000",IF(AND(ISNUMBER(Sync!$U61),Sync!$U61&gt;=0,Sync!$U61&lt;1),RIGHT("00"&amp;HOUR(Sync!$U61),2)&amp;RIGHT("00"&amp;MINUTE(Sync!$U61),2),IFERROR(RIGHT("00"&amp;VALUE(LEFT(Sync!$U61,FIND(":",Sync!$U61)-1)),2)&amp;RIGHT("00"&amp;VALUE(MID(Sync!$U61,FIND(":",Sync!$U61)+1,2)),2),"0000"))))</f>
        <v/>
      </c>
    </row>
    <row r="66">
      <c r="A66">
        <f>IF(Sync!$T62="","",Sync!$T62)</f>
        <v/>
      </c>
      <c r="B66">
        <f>IF($A66="","",IF(ISNUMBER($A66),IF(AND($A66&gt;=10000101,$A66&lt;=99991231),INT($A66/10000),""),IFERROR(VALUE(TRIM(LEFT($A66,FIND("/",$A66)-1))),"")))</f>
        <v/>
      </c>
      <c r="C66">
        <f>IF(OR($A66="",$B66=""),"",IF(ISNUMBER($A66),INT(MOD($A66,10000)/100),IFERROR(VALUE(TRIM(LEFT(MID($A66,FIND("/",$A66)+1,20),FIND("/",MID($A66,FIND("/",$A66)+1,20))-1))),"")))</f>
        <v/>
      </c>
      <c r="D66">
        <f>IF(OR($A66="",$B66=""),"",IF(ISNUMBER($A66),MOD($A66,100),IFERROR(VALUE(TRIM(MID(MID($A66,FIND("/",$A66)+1,20),FIND("/",MID($A66,FIND("/",$A66)+1,20))+1,20))),"")))</f>
        <v/>
      </c>
      <c r="E66">
        <f>IF($A66="","",IF(OR($B66="",$C66="",$D66="",$B66&lt;1300,$B66&gt;1500,$C66&lt;1,$C66&gt;12,$D66&lt;1,$D66&gt;31),"نامعتبر",RIGHT("0000"&amp;$B66,4)&amp;"/"&amp;RIGHT("00"&amp;$C66,2)&amp;"/"&amp;RIGHT("00"&amp;$D66,2)))</f>
        <v/>
      </c>
      <c r="F66">
        <f>IF(OR($E66="",$E66="نامعتبر"),"",LEFT($E66,4)&amp;"/"&amp;MID($E66,6,2))</f>
        <v/>
      </c>
      <c r="G66">
        <f>IF(OR($E66="",$E66="نامعتبر",Sync!$X62=""),"",IF(AND(LEFT(UPPER(TRIM(Sync!$X62)),2)="SL",IFERROR(VLOOKUP(Sync!$W62,OpTbl,3,0),"")="فروش"),UPPER(TRIM(Sync!$X62)),""))</f>
        <v/>
      </c>
      <c r="H66">
        <f>IF($G66="","",IF(Sync!$W62="","",Sync!$W62))</f>
        <v/>
      </c>
      <c r="I66">
        <f>IF(OR($G66="",Sync!$Y62=""),"",Sync!$Y62)</f>
        <v/>
      </c>
      <c r="J66">
        <f>IF(OR($G66="",Sync!$Z62=""),"",Sync!$Z62)</f>
        <v/>
      </c>
      <c r="K66">
        <f>IF($G66="",0,IF(Sync!$AA62="",0,Sync!$AA62))</f>
        <v/>
      </c>
      <c r="L66">
        <f>IF($G66="",0,IF(Sync!$AB62="",0,Sync!$AB62))</f>
        <v/>
      </c>
      <c r="M66">
        <f>IF($G66="","",IF($H66="مرجوعی فروش",-1,1)*($K66-$L66*IFERROR(VLOOKUP("P01",ParamTbl,3,0),1.5)))</f>
        <v/>
      </c>
      <c r="N66">
        <f>IF($G66="",0,IF($H66="مرجوعی فروش",-1,1)*IF(Sync!$AC62="",0,Sync!$AC62))</f>
        <v/>
      </c>
      <c r="O66">
        <f>IF(OR($G66="",Sync!$V62=""),"",Sync!$V62)</f>
        <v/>
      </c>
      <c r="P66">
        <f>IF(OR($G66="",Sync!$AD62=""),"",Sync!$AD62)</f>
        <v/>
      </c>
      <c r="Q66">
        <f>IF($G66="","",IF(Sync!$U62="","0000",IF(AND(ISNUMBER(Sync!$U62),Sync!$U62&gt;=0,Sync!$U62&lt;1),RIGHT("00"&amp;HOUR(Sync!$U62),2)&amp;RIGHT("00"&amp;MINUTE(Sync!$U62),2),IFERROR(RIGHT("00"&amp;VALUE(LEFT(Sync!$U62,FIND(":",Sync!$U62)-1)),2)&amp;RIGHT("00"&amp;VALUE(MID(Sync!$U62,FIND(":",Sync!$U62)+1,2)),2),"0000"))))</f>
        <v/>
      </c>
    </row>
    <row r="67">
      <c r="A67">
        <f>IF(Sync!$T63="","",Sync!$T63)</f>
        <v/>
      </c>
      <c r="B67">
        <f>IF($A67="","",IF(ISNUMBER($A67),IF(AND($A67&gt;=10000101,$A67&lt;=99991231),INT($A67/10000),""),IFERROR(VALUE(TRIM(LEFT($A67,FIND("/",$A67)-1))),"")))</f>
        <v/>
      </c>
      <c r="C67">
        <f>IF(OR($A67="",$B67=""),"",IF(ISNUMBER($A67),INT(MOD($A67,10000)/100),IFERROR(VALUE(TRIM(LEFT(MID($A67,FIND("/",$A67)+1,20),FIND("/",MID($A67,FIND("/",$A67)+1,20))-1))),"")))</f>
        <v/>
      </c>
      <c r="D67">
        <f>IF(OR($A67="",$B67=""),"",IF(ISNUMBER($A67),MOD($A67,100),IFERROR(VALUE(TRIM(MID(MID($A67,FIND("/",$A67)+1,20),FIND("/",MID($A67,FIND("/",$A67)+1,20))+1,20))),"")))</f>
        <v/>
      </c>
      <c r="E67">
        <f>IF($A67="","",IF(OR($B67="",$C67="",$D67="",$B67&lt;1300,$B67&gt;1500,$C67&lt;1,$C67&gt;12,$D67&lt;1,$D67&gt;31),"نامعتبر",RIGHT("0000"&amp;$B67,4)&amp;"/"&amp;RIGHT("00"&amp;$C67,2)&amp;"/"&amp;RIGHT("00"&amp;$D67,2)))</f>
        <v/>
      </c>
      <c r="F67">
        <f>IF(OR($E67="",$E67="نامعتبر"),"",LEFT($E67,4)&amp;"/"&amp;MID($E67,6,2))</f>
        <v/>
      </c>
      <c r="G67">
        <f>IF(OR($E67="",$E67="نامعتبر",Sync!$X63=""),"",IF(AND(LEFT(UPPER(TRIM(Sync!$X63)),2)="SL",IFERROR(VLOOKUP(Sync!$W63,OpTbl,3,0),"")="فروش"),UPPER(TRIM(Sync!$X63)),""))</f>
        <v/>
      </c>
      <c r="H67">
        <f>IF($G67="","",IF(Sync!$W63="","",Sync!$W63))</f>
        <v/>
      </c>
      <c r="I67">
        <f>IF(OR($G67="",Sync!$Y63=""),"",Sync!$Y63)</f>
        <v/>
      </c>
      <c r="J67">
        <f>IF(OR($G67="",Sync!$Z63=""),"",Sync!$Z63)</f>
        <v/>
      </c>
      <c r="K67">
        <f>IF($G67="",0,IF(Sync!$AA63="",0,Sync!$AA63))</f>
        <v/>
      </c>
      <c r="L67">
        <f>IF($G67="",0,IF(Sync!$AB63="",0,Sync!$AB63))</f>
        <v/>
      </c>
      <c r="M67">
        <f>IF($G67="","",IF($H67="مرجوعی فروش",-1,1)*($K67-$L67*IFERROR(VLOOKUP("P01",ParamTbl,3,0),1.5)))</f>
        <v/>
      </c>
      <c r="N67">
        <f>IF($G67="",0,IF($H67="مرجوعی فروش",-1,1)*IF(Sync!$AC63="",0,Sync!$AC63))</f>
        <v/>
      </c>
      <c r="O67">
        <f>IF(OR($G67="",Sync!$V63=""),"",Sync!$V63)</f>
        <v/>
      </c>
      <c r="P67">
        <f>IF(OR($G67="",Sync!$AD63=""),"",Sync!$AD63)</f>
        <v/>
      </c>
      <c r="Q67">
        <f>IF($G67="","",IF(Sync!$U63="","0000",IF(AND(ISNUMBER(Sync!$U63),Sync!$U63&gt;=0,Sync!$U63&lt;1),RIGHT("00"&amp;HOUR(Sync!$U63),2)&amp;RIGHT("00"&amp;MINUTE(Sync!$U63),2),IFERROR(RIGHT("00"&amp;VALUE(LEFT(Sync!$U63,FIND(":",Sync!$U63)-1)),2)&amp;RIGHT("00"&amp;VALUE(MID(Sync!$U63,FIND(":",Sync!$U63)+1,2)),2),"0000"))))</f>
        <v/>
      </c>
    </row>
    <row r="68">
      <c r="A68">
        <f>IF(Sync!$T64="","",Sync!$T64)</f>
        <v/>
      </c>
      <c r="B68">
        <f>IF($A68="","",IF(ISNUMBER($A68),IF(AND($A68&gt;=10000101,$A68&lt;=99991231),INT($A68/10000),""),IFERROR(VALUE(TRIM(LEFT($A68,FIND("/",$A68)-1))),"")))</f>
        <v/>
      </c>
      <c r="C68">
        <f>IF(OR($A68="",$B68=""),"",IF(ISNUMBER($A68),INT(MOD($A68,10000)/100),IFERROR(VALUE(TRIM(LEFT(MID($A68,FIND("/",$A68)+1,20),FIND("/",MID($A68,FIND("/",$A68)+1,20))-1))),"")))</f>
        <v/>
      </c>
      <c r="D68">
        <f>IF(OR($A68="",$B68=""),"",IF(ISNUMBER($A68),MOD($A68,100),IFERROR(VALUE(TRIM(MID(MID($A68,FIND("/",$A68)+1,20),FIND("/",MID($A68,FIND("/",$A68)+1,20))+1,20))),"")))</f>
        <v/>
      </c>
      <c r="E68">
        <f>IF($A68="","",IF(OR($B68="",$C68="",$D68="",$B68&lt;1300,$B68&gt;1500,$C68&lt;1,$C68&gt;12,$D68&lt;1,$D68&gt;31),"نامعتبر",RIGHT("0000"&amp;$B68,4)&amp;"/"&amp;RIGHT("00"&amp;$C68,2)&amp;"/"&amp;RIGHT("00"&amp;$D68,2)))</f>
        <v/>
      </c>
      <c r="F68">
        <f>IF(OR($E68="",$E68="نامعتبر"),"",LEFT($E68,4)&amp;"/"&amp;MID($E68,6,2))</f>
        <v/>
      </c>
      <c r="G68">
        <f>IF(OR($E68="",$E68="نامعتبر",Sync!$X64=""),"",IF(AND(LEFT(UPPER(TRIM(Sync!$X64)),2)="SL",IFERROR(VLOOKUP(Sync!$W64,OpTbl,3,0),"")="فروش"),UPPER(TRIM(Sync!$X64)),""))</f>
        <v/>
      </c>
      <c r="H68">
        <f>IF($G68="","",IF(Sync!$W64="","",Sync!$W64))</f>
        <v/>
      </c>
      <c r="I68">
        <f>IF(OR($G68="",Sync!$Y64=""),"",Sync!$Y64)</f>
        <v/>
      </c>
      <c r="J68">
        <f>IF(OR($G68="",Sync!$Z64=""),"",Sync!$Z64)</f>
        <v/>
      </c>
      <c r="K68">
        <f>IF($G68="",0,IF(Sync!$AA64="",0,Sync!$AA64))</f>
        <v/>
      </c>
      <c r="L68">
        <f>IF($G68="",0,IF(Sync!$AB64="",0,Sync!$AB64))</f>
        <v/>
      </c>
      <c r="M68">
        <f>IF($G68="","",IF($H68="مرجوعی فروش",-1,1)*($K68-$L68*IFERROR(VLOOKUP("P01",ParamTbl,3,0),1.5)))</f>
        <v/>
      </c>
      <c r="N68">
        <f>IF($G68="",0,IF($H68="مرجوعی فروش",-1,1)*IF(Sync!$AC64="",0,Sync!$AC64))</f>
        <v/>
      </c>
      <c r="O68">
        <f>IF(OR($G68="",Sync!$V64=""),"",Sync!$V64)</f>
        <v/>
      </c>
      <c r="P68">
        <f>IF(OR($G68="",Sync!$AD64=""),"",Sync!$AD64)</f>
        <v/>
      </c>
      <c r="Q68">
        <f>IF($G68="","",IF(Sync!$U64="","0000",IF(AND(ISNUMBER(Sync!$U64),Sync!$U64&gt;=0,Sync!$U64&lt;1),RIGHT("00"&amp;HOUR(Sync!$U64),2)&amp;RIGHT("00"&amp;MINUTE(Sync!$U64),2),IFERROR(RIGHT("00"&amp;VALUE(LEFT(Sync!$U64,FIND(":",Sync!$U64)-1)),2)&amp;RIGHT("00"&amp;VALUE(MID(Sync!$U64,FIND(":",Sync!$U64)+1,2)),2),"0000"))))</f>
        <v/>
      </c>
    </row>
    <row r="69">
      <c r="A69">
        <f>IF(Sync!$T65="","",Sync!$T65)</f>
        <v/>
      </c>
      <c r="B69">
        <f>IF($A69="","",IF(ISNUMBER($A69),IF(AND($A69&gt;=10000101,$A69&lt;=99991231),INT($A69/10000),""),IFERROR(VALUE(TRIM(LEFT($A69,FIND("/",$A69)-1))),"")))</f>
        <v/>
      </c>
      <c r="C69">
        <f>IF(OR($A69="",$B69=""),"",IF(ISNUMBER($A69),INT(MOD($A69,10000)/100),IFERROR(VALUE(TRIM(LEFT(MID($A69,FIND("/",$A69)+1,20),FIND("/",MID($A69,FIND("/",$A69)+1,20))-1))),"")))</f>
        <v/>
      </c>
      <c r="D69">
        <f>IF(OR($A69="",$B69=""),"",IF(ISNUMBER($A69),MOD($A69,100),IFERROR(VALUE(TRIM(MID(MID($A69,FIND("/",$A69)+1,20),FIND("/",MID($A69,FIND("/",$A69)+1,20))+1,20))),"")))</f>
        <v/>
      </c>
      <c r="E69">
        <f>IF($A69="","",IF(OR($B69="",$C69="",$D69="",$B69&lt;1300,$B69&gt;1500,$C69&lt;1,$C69&gt;12,$D69&lt;1,$D69&gt;31),"نامعتبر",RIGHT("0000"&amp;$B69,4)&amp;"/"&amp;RIGHT("00"&amp;$C69,2)&amp;"/"&amp;RIGHT("00"&amp;$D69,2)))</f>
        <v/>
      </c>
      <c r="F69">
        <f>IF(OR($E69="",$E69="نامعتبر"),"",LEFT($E69,4)&amp;"/"&amp;MID($E69,6,2))</f>
        <v/>
      </c>
      <c r="G69">
        <f>IF(OR($E69="",$E69="نامعتبر",Sync!$X65=""),"",IF(AND(LEFT(UPPER(TRIM(Sync!$X65)),2)="SL",IFERROR(VLOOKUP(Sync!$W65,OpTbl,3,0),"")="فروش"),UPPER(TRIM(Sync!$X65)),""))</f>
        <v/>
      </c>
      <c r="H69">
        <f>IF($G69="","",IF(Sync!$W65="","",Sync!$W65))</f>
        <v/>
      </c>
      <c r="I69">
        <f>IF(OR($G69="",Sync!$Y65=""),"",Sync!$Y65)</f>
        <v/>
      </c>
      <c r="J69">
        <f>IF(OR($G69="",Sync!$Z65=""),"",Sync!$Z65)</f>
        <v/>
      </c>
      <c r="K69">
        <f>IF($G69="",0,IF(Sync!$AA65="",0,Sync!$AA65))</f>
        <v/>
      </c>
      <c r="L69">
        <f>IF($G69="",0,IF(Sync!$AB65="",0,Sync!$AB65))</f>
        <v/>
      </c>
      <c r="M69">
        <f>IF($G69="","",IF($H69="مرجوعی فروش",-1,1)*($K69-$L69*IFERROR(VLOOKUP("P01",ParamTbl,3,0),1.5)))</f>
        <v/>
      </c>
      <c r="N69">
        <f>IF($G69="",0,IF($H69="مرجوعی فروش",-1,1)*IF(Sync!$AC65="",0,Sync!$AC65))</f>
        <v/>
      </c>
      <c r="O69">
        <f>IF(OR($G69="",Sync!$V65=""),"",Sync!$V65)</f>
        <v/>
      </c>
      <c r="P69">
        <f>IF(OR($G69="",Sync!$AD65=""),"",Sync!$AD65)</f>
        <v/>
      </c>
      <c r="Q69">
        <f>IF($G69="","",IF(Sync!$U65="","0000",IF(AND(ISNUMBER(Sync!$U65),Sync!$U65&gt;=0,Sync!$U65&lt;1),RIGHT("00"&amp;HOUR(Sync!$U65),2)&amp;RIGHT("00"&amp;MINUTE(Sync!$U65),2),IFERROR(RIGHT("00"&amp;VALUE(LEFT(Sync!$U65,FIND(":",Sync!$U65)-1)),2)&amp;RIGHT("00"&amp;VALUE(MID(Sync!$U65,FIND(":",Sync!$U65)+1,2)),2),"0000"))))</f>
        <v/>
      </c>
    </row>
    <row r="70">
      <c r="A70">
        <f>IF(Sync!$T66="","",Sync!$T66)</f>
        <v/>
      </c>
      <c r="B70">
        <f>IF($A70="","",IF(ISNUMBER($A70),IF(AND($A70&gt;=10000101,$A70&lt;=99991231),INT($A70/10000),""),IFERROR(VALUE(TRIM(LEFT($A70,FIND("/",$A70)-1))),"")))</f>
        <v/>
      </c>
      <c r="C70">
        <f>IF(OR($A70="",$B70=""),"",IF(ISNUMBER($A70),INT(MOD($A70,10000)/100),IFERROR(VALUE(TRIM(LEFT(MID($A70,FIND("/",$A70)+1,20),FIND("/",MID($A70,FIND("/",$A70)+1,20))-1))),"")))</f>
        <v/>
      </c>
      <c r="D70">
        <f>IF(OR($A70="",$B70=""),"",IF(ISNUMBER($A70),MOD($A70,100),IFERROR(VALUE(TRIM(MID(MID($A70,FIND("/",$A70)+1,20),FIND("/",MID($A70,FIND("/",$A70)+1,20))+1,20))),"")))</f>
        <v/>
      </c>
      <c r="E70">
        <f>IF($A70="","",IF(OR($B70="",$C70="",$D70="",$B70&lt;1300,$B70&gt;1500,$C70&lt;1,$C70&gt;12,$D70&lt;1,$D70&gt;31),"نامعتبر",RIGHT("0000"&amp;$B70,4)&amp;"/"&amp;RIGHT("00"&amp;$C70,2)&amp;"/"&amp;RIGHT("00"&amp;$D70,2)))</f>
        <v/>
      </c>
      <c r="F70">
        <f>IF(OR($E70="",$E70="نامعتبر"),"",LEFT($E70,4)&amp;"/"&amp;MID($E70,6,2))</f>
        <v/>
      </c>
      <c r="G70">
        <f>IF(OR($E70="",$E70="نامعتبر",Sync!$X66=""),"",IF(AND(LEFT(UPPER(TRIM(Sync!$X66)),2)="SL",IFERROR(VLOOKUP(Sync!$W66,OpTbl,3,0),"")="فروش"),UPPER(TRIM(Sync!$X66)),""))</f>
        <v/>
      </c>
      <c r="H70">
        <f>IF($G70="","",IF(Sync!$W66="","",Sync!$W66))</f>
        <v/>
      </c>
      <c r="I70">
        <f>IF(OR($G70="",Sync!$Y66=""),"",Sync!$Y66)</f>
        <v/>
      </c>
      <c r="J70">
        <f>IF(OR($G70="",Sync!$Z66=""),"",Sync!$Z66)</f>
        <v/>
      </c>
      <c r="K70">
        <f>IF($G70="",0,IF(Sync!$AA66="",0,Sync!$AA66))</f>
        <v/>
      </c>
      <c r="L70">
        <f>IF($G70="",0,IF(Sync!$AB66="",0,Sync!$AB66))</f>
        <v/>
      </c>
      <c r="M70">
        <f>IF($G70="","",IF($H70="مرجوعی فروش",-1,1)*($K70-$L70*IFERROR(VLOOKUP("P01",ParamTbl,3,0),1.5)))</f>
        <v/>
      </c>
      <c r="N70">
        <f>IF($G70="",0,IF($H70="مرجوعی فروش",-1,1)*IF(Sync!$AC66="",0,Sync!$AC66))</f>
        <v/>
      </c>
      <c r="O70">
        <f>IF(OR($G70="",Sync!$V66=""),"",Sync!$V66)</f>
        <v/>
      </c>
      <c r="P70">
        <f>IF(OR($G70="",Sync!$AD66=""),"",Sync!$AD66)</f>
        <v/>
      </c>
      <c r="Q70">
        <f>IF($G70="","",IF(Sync!$U66="","0000",IF(AND(ISNUMBER(Sync!$U66),Sync!$U66&gt;=0,Sync!$U66&lt;1),RIGHT("00"&amp;HOUR(Sync!$U66),2)&amp;RIGHT("00"&amp;MINUTE(Sync!$U66),2),IFERROR(RIGHT("00"&amp;VALUE(LEFT(Sync!$U66,FIND(":",Sync!$U66)-1)),2)&amp;RIGHT("00"&amp;VALUE(MID(Sync!$U66,FIND(":",Sync!$U66)+1,2)),2),"0000"))))</f>
        <v/>
      </c>
    </row>
    <row r="71">
      <c r="A71">
        <f>IF(Sync!$T67="","",Sync!$T67)</f>
        <v/>
      </c>
      <c r="B71">
        <f>IF($A71="","",IF(ISNUMBER($A71),IF(AND($A71&gt;=10000101,$A71&lt;=99991231),INT($A71/10000),""),IFERROR(VALUE(TRIM(LEFT($A71,FIND("/",$A71)-1))),"")))</f>
        <v/>
      </c>
      <c r="C71">
        <f>IF(OR($A71="",$B71=""),"",IF(ISNUMBER($A71),INT(MOD($A71,10000)/100),IFERROR(VALUE(TRIM(LEFT(MID($A71,FIND("/",$A71)+1,20),FIND("/",MID($A71,FIND("/",$A71)+1,20))-1))),"")))</f>
        <v/>
      </c>
      <c r="D71">
        <f>IF(OR($A71="",$B71=""),"",IF(ISNUMBER($A71),MOD($A71,100),IFERROR(VALUE(TRIM(MID(MID($A71,FIND("/",$A71)+1,20),FIND("/",MID($A71,FIND("/",$A71)+1,20))+1,20))),"")))</f>
        <v/>
      </c>
      <c r="E71">
        <f>IF($A71="","",IF(OR($B71="",$C71="",$D71="",$B71&lt;1300,$B71&gt;1500,$C71&lt;1,$C71&gt;12,$D71&lt;1,$D71&gt;31),"نامعتبر",RIGHT("0000"&amp;$B71,4)&amp;"/"&amp;RIGHT("00"&amp;$C71,2)&amp;"/"&amp;RIGHT("00"&amp;$D71,2)))</f>
        <v/>
      </c>
      <c r="F71">
        <f>IF(OR($E71="",$E71="نامعتبر"),"",LEFT($E71,4)&amp;"/"&amp;MID($E71,6,2))</f>
        <v/>
      </c>
      <c r="G71">
        <f>IF(OR($E71="",$E71="نامعتبر",Sync!$X67=""),"",IF(AND(LEFT(UPPER(TRIM(Sync!$X67)),2)="SL",IFERROR(VLOOKUP(Sync!$W67,OpTbl,3,0),"")="فروش"),UPPER(TRIM(Sync!$X67)),""))</f>
        <v/>
      </c>
      <c r="H71">
        <f>IF($G71="","",IF(Sync!$W67="","",Sync!$W67))</f>
        <v/>
      </c>
      <c r="I71">
        <f>IF(OR($G71="",Sync!$Y67=""),"",Sync!$Y67)</f>
        <v/>
      </c>
      <c r="J71">
        <f>IF(OR($G71="",Sync!$Z67=""),"",Sync!$Z67)</f>
        <v/>
      </c>
      <c r="K71">
        <f>IF($G71="",0,IF(Sync!$AA67="",0,Sync!$AA67))</f>
        <v/>
      </c>
      <c r="L71">
        <f>IF($G71="",0,IF(Sync!$AB67="",0,Sync!$AB67))</f>
        <v/>
      </c>
      <c r="M71">
        <f>IF($G71="","",IF($H71="مرجوعی فروش",-1,1)*($K71-$L71*IFERROR(VLOOKUP("P01",ParamTbl,3,0),1.5)))</f>
        <v/>
      </c>
      <c r="N71">
        <f>IF($G71="",0,IF($H71="مرجوعی فروش",-1,1)*IF(Sync!$AC67="",0,Sync!$AC67))</f>
        <v/>
      </c>
      <c r="O71">
        <f>IF(OR($G71="",Sync!$V67=""),"",Sync!$V67)</f>
        <v/>
      </c>
      <c r="P71">
        <f>IF(OR($G71="",Sync!$AD67=""),"",Sync!$AD67)</f>
        <v/>
      </c>
      <c r="Q71">
        <f>IF($G71="","",IF(Sync!$U67="","0000",IF(AND(ISNUMBER(Sync!$U67),Sync!$U67&gt;=0,Sync!$U67&lt;1),RIGHT("00"&amp;HOUR(Sync!$U67),2)&amp;RIGHT("00"&amp;MINUTE(Sync!$U67),2),IFERROR(RIGHT("00"&amp;VALUE(LEFT(Sync!$U67,FIND(":",Sync!$U67)-1)),2)&amp;RIGHT("00"&amp;VALUE(MID(Sync!$U67,FIND(":",Sync!$U67)+1,2)),2),"0000"))))</f>
        <v/>
      </c>
    </row>
    <row r="72">
      <c r="A72">
        <f>IF(Sync!$T68="","",Sync!$T68)</f>
        <v/>
      </c>
      <c r="B72">
        <f>IF($A72="","",IF(ISNUMBER($A72),IF(AND($A72&gt;=10000101,$A72&lt;=99991231),INT($A72/10000),""),IFERROR(VALUE(TRIM(LEFT($A72,FIND("/",$A72)-1))),"")))</f>
        <v/>
      </c>
      <c r="C72">
        <f>IF(OR($A72="",$B72=""),"",IF(ISNUMBER($A72),INT(MOD($A72,10000)/100),IFERROR(VALUE(TRIM(LEFT(MID($A72,FIND("/",$A72)+1,20),FIND("/",MID($A72,FIND("/",$A72)+1,20))-1))),"")))</f>
        <v/>
      </c>
      <c r="D72">
        <f>IF(OR($A72="",$B72=""),"",IF(ISNUMBER($A72),MOD($A72,100),IFERROR(VALUE(TRIM(MID(MID($A72,FIND("/",$A72)+1,20),FIND("/",MID($A72,FIND("/",$A72)+1,20))+1,20))),"")))</f>
        <v/>
      </c>
      <c r="E72">
        <f>IF($A72="","",IF(OR($B72="",$C72="",$D72="",$B72&lt;1300,$B72&gt;1500,$C72&lt;1,$C72&gt;12,$D72&lt;1,$D72&gt;31),"نامعتبر",RIGHT("0000"&amp;$B72,4)&amp;"/"&amp;RIGHT("00"&amp;$C72,2)&amp;"/"&amp;RIGHT("00"&amp;$D72,2)))</f>
        <v/>
      </c>
      <c r="F72">
        <f>IF(OR($E72="",$E72="نامعتبر"),"",LEFT($E72,4)&amp;"/"&amp;MID($E72,6,2))</f>
        <v/>
      </c>
      <c r="G72">
        <f>IF(OR($E72="",$E72="نامعتبر",Sync!$X68=""),"",IF(AND(LEFT(UPPER(TRIM(Sync!$X68)),2)="SL",IFERROR(VLOOKUP(Sync!$W68,OpTbl,3,0),"")="فروش"),UPPER(TRIM(Sync!$X68)),""))</f>
        <v/>
      </c>
      <c r="H72">
        <f>IF($G72="","",IF(Sync!$W68="","",Sync!$W68))</f>
        <v/>
      </c>
      <c r="I72">
        <f>IF(OR($G72="",Sync!$Y68=""),"",Sync!$Y68)</f>
        <v/>
      </c>
      <c r="J72">
        <f>IF(OR($G72="",Sync!$Z68=""),"",Sync!$Z68)</f>
        <v/>
      </c>
      <c r="K72">
        <f>IF($G72="",0,IF(Sync!$AA68="",0,Sync!$AA68))</f>
        <v/>
      </c>
      <c r="L72">
        <f>IF($G72="",0,IF(Sync!$AB68="",0,Sync!$AB68))</f>
        <v/>
      </c>
      <c r="M72">
        <f>IF($G72="","",IF($H72="مرجوعی فروش",-1,1)*($K72-$L72*IFERROR(VLOOKUP("P01",ParamTbl,3,0),1.5)))</f>
        <v/>
      </c>
      <c r="N72">
        <f>IF($G72="",0,IF($H72="مرجوعی فروش",-1,1)*IF(Sync!$AC68="",0,Sync!$AC68))</f>
        <v/>
      </c>
      <c r="O72">
        <f>IF(OR($G72="",Sync!$V68=""),"",Sync!$V68)</f>
        <v/>
      </c>
      <c r="P72">
        <f>IF(OR($G72="",Sync!$AD68=""),"",Sync!$AD68)</f>
        <v/>
      </c>
      <c r="Q72">
        <f>IF($G72="","",IF(Sync!$U68="","0000",IF(AND(ISNUMBER(Sync!$U68),Sync!$U68&gt;=0,Sync!$U68&lt;1),RIGHT("00"&amp;HOUR(Sync!$U68),2)&amp;RIGHT("00"&amp;MINUTE(Sync!$U68),2),IFERROR(RIGHT("00"&amp;VALUE(LEFT(Sync!$U68,FIND(":",Sync!$U68)-1)),2)&amp;RIGHT("00"&amp;VALUE(MID(Sync!$U68,FIND(":",Sync!$U68)+1,2)),2),"0000"))))</f>
        <v/>
      </c>
    </row>
    <row r="73">
      <c r="A73">
        <f>IF(Sync!$T69="","",Sync!$T69)</f>
        <v/>
      </c>
      <c r="B73">
        <f>IF($A73="","",IF(ISNUMBER($A73),IF(AND($A73&gt;=10000101,$A73&lt;=99991231),INT($A73/10000),""),IFERROR(VALUE(TRIM(LEFT($A73,FIND("/",$A73)-1))),"")))</f>
        <v/>
      </c>
      <c r="C73">
        <f>IF(OR($A73="",$B73=""),"",IF(ISNUMBER($A73),INT(MOD($A73,10000)/100),IFERROR(VALUE(TRIM(LEFT(MID($A73,FIND("/",$A73)+1,20),FIND("/",MID($A73,FIND("/",$A73)+1,20))-1))),"")))</f>
        <v/>
      </c>
      <c r="D73">
        <f>IF(OR($A73="",$B73=""),"",IF(ISNUMBER($A73),MOD($A73,100),IFERROR(VALUE(TRIM(MID(MID($A73,FIND("/",$A73)+1,20),FIND("/",MID($A73,FIND("/",$A73)+1,20))+1,20))),"")))</f>
        <v/>
      </c>
      <c r="E73">
        <f>IF($A73="","",IF(OR($B73="",$C73="",$D73="",$B73&lt;1300,$B73&gt;1500,$C73&lt;1,$C73&gt;12,$D73&lt;1,$D73&gt;31),"نامعتبر",RIGHT("0000"&amp;$B73,4)&amp;"/"&amp;RIGHT("00"&amp;$C73,2)&amp;"/"&amp;RIGHT("00"&amp;$D73,2)))</f>
        <v/>
      </c>
      <c r="F73">
        <f>IF(OR($E73="",$E73="نامعتبر"),"",LEFT($E73,4)&amp;"/"&amp;MID($E73,6,2))</f>
        <v/>
      </c>
      <c r="G73">
        <f>IF(OR($E73="",$E73="نامعتبر",Sync!$X69=""),"",IF(AND(LEFT(UPPER(TRIM(Sync!$X69)),2)="SL",IFERROR(VLOOKUP(Sync!$W69,OpTbl,3,0),"")="فروش"),UPPER(TRIM(Sync!$X69)),""))</f>
        <v/>
      </c>
      <c r="H73">
        <f>IF($G73="","",IF(Sync!$W69="","",Sync!$W69))</f>
        <v/>
      </c>
      <c r="I73">
        <f>IF(OR($G73="",Sync!$Y69=""),"",Sync!$Y69)</f>
        <v/>
      </c>
      <c r="J73">
        <f>IF(OR($G73="",Sync!$Z69=""),"",Sync!$Z69)</f>
        <v/>
      </c>
      <c r="K73">
        <f>IF($G73="",0,IF(Sync!$AA69="",0,Sync!$AA69))</f>
        <v/>
      </c>
      <c r="L73">
        <f>IF($G73="",0,IF(Sync!$AB69="",0,Sync!$AB69))</f>
        <v/>
      </c>
      <c r="M73">
        <f>IF($G73="","",IF($H73="مرجوعی فروش",-1,1)*($K73-$L73*IFERROR(VLOOKUP("P01",ParamTbl,3,0),1.5)))</f>
        <v/>
      </c>
      <c r="N73">
        <f>IF($G73="",0,IF($H73="مرجوعی فروش",-1,1)*IF(Sync!$AC69="",0,Sync!$AC69))</f>
        <v/>
      </c>
      <c r="O73">
        <f>IF(OR($G73="",Sync!$V69=""),"",Sync!$V69)</f>
        <v/>
      </c>
      <c r="P73">
        <f>IF(OR($G73="",Sync!$AD69=""),"",Sync!$AD69)</f>
        <v/>
      </c>
      <c r="Q73">
        <f>IF($G73="","",IF(Sync!$U69="","0000",IF(AND(ISNUMBER(Sync!$U69),Sync!$U69&gt;=0,Sync!$U69&lt;1),RIGHT("00"&amp;HOUR(Sync!$U69),2)&amp;RIGHT("00"&amp;MINUTE(Sync!$U69),2),IFERROR(RIGHT("00"&amp;VALUE(LEFT(Sync!$U69,FIND(":",Sync!$U69)-1)),2)&amp;RIGHT("00"&amp;VALUE(MID(Sync!$U69,FIND(":",Sync!$U69)+1,2)),2),"0000"))))</f>
        <v/>
      </c>
    </row>
    <row r="74">
      <c r="A74">
        <f>IF(Sync!$T70="","",Sync!$T70)</f>
        <v/>
      </c>
      <c r="B74">
        <f>IF($A74="","",IF(ISNUMBER($A74),IF(AND($A74&gt;=10000101,$A74&lt;=99991231),INT($A74/10000),""),IFERROR(VALUE(TRIM(LEFT($A74,FIND("/",$A74)-1))),"")))</f>
        <v/>
      </c>
      <c r="C74">
        <f>IF(OR($A74="",$B74=""),"",IF(ISNUMBER($A74),INT(MOD($A74,10000)/100),IFERROR(VALUE(TRIM(LEFT(MID($A74,FIND("/",$A74)+1,20),FIND("/",MID($A74,FIND("/",$A74)+1,20))-1))),"")))</f>
        <v/>
      </c>
      <c r="D74">
        <f>IF(OR($A74="",$B74=""),"",IF(ISNUMBER($A74),MOD($A74,100),IFERROR(VALUE(TRIM(MID(MID($A74,FIND("/",$A74)+1,20),FIND("/",MID($A74,FIND("/",$A74)+1,20))+1,20))),"")))</f>
        <v/>
      </c>
      <c r="E74">
        <f>IF($A74="","",IF(OR($B74="",$C74="",$D74="",$B74&lt;1300,$B74&gt;1500,$C74&lt;1,$C74&gt;12,$D74&lt;1,$D74&gt;31),"نامعتبر",RIGHT("0000"&amp;$B74,4)&amp;"/"&amp;RIGHT("00"&amp;$C74,2)&amp;"/"&amp;RIGHT("00"&amp;$D74,2)))</f>
        <v/>
      </c>
      <c r="F74">
        <f>IF(OR($E74="",$E74="نامعتبر"),"",LEFT($E74,4)&amp;"/"&amp;MID($E74,6,2))</f>
        <v/>
      </c>
      <c r="G74">
        <f>IF(OR($E74="",$E74="نامعتبر",Sync!$X70=""),"",IF(AND(LEFT(UPPER(TRIM(Sync!$X70)),2)="SL",IFERROR(VLOOKUP(Sync!$W70,OpTbl,3,0),"")="فروش"),UPPER(TRIM(Sync!$X70)),""))</f>
        <v/>
      </c>
      <c r="H74">
        <f>IF($G74="","",IF(Sync!$W70="","",Sync!$W70))</f>
        <v/>
      </c>
      <c r="I74">
        <f>IF(OR($G74="",Sync!$Y70=""),"",Sync!$Y70)</f>
        <v/>
      </c>
      <c r="J74">
        <f>IF(OR($G74="",Sync!$Z70=""),"",Sync!$Z70)</f>
        <v/>
      </c>
      <c r="K74">
        <f>IF($G74="",0,IF(Sync!$AA70="",0,Sync!$AA70))</f>
        <v/>
      </c>
      <c r="L74">
        <f>IF($G74="",0,IF(Sync!$AB70="",0,Sync!$AB70))</f>
        <v/>
      </c>
      <c r="M74">
        <f>IF($G74="","",IF($H74="مرجوعی فروش",-1,1)*($K74-$L74*IFERROR(VLOOKUP("P01",ParamTbl,3,0),1.5)))</f>
        <v/>
      </c>
      <c r="N74">
        <f>IF($G74="",0,IF($H74="مرجوعی فروش",-1,1)*IF(Sync!$AC70="",0,Sync!$AC70))</f>
        <v/>
      </c>
      <c r="O74">
        <f>IF(OR($G74="",Sync!$V70=""),"",Sync!$V70)</f>
        <v/>
      </c>
      <c r="P74">
        <f>IF(OR($G74="",Sync!$AD70=""),"",Sync!$AD70)</f>
        <v/>
      </c>
      <c r="Q74">
        <f>IF($G74="","",IF(Sync!$U70="","0000",IF(AND(ISNUMBER(Sync!$U70),Sync!$U70&gt;=0,Sync!$U70&lt;1),RIGHT("00"&amp;HOUR(Sync!$U70),2)&amp;RIGHT("00"&amp;MINUTE(Sync!$U70),2),IFERROR(RIGHT("00"&amp;VALUE(LEFT(Sync!$U70,FIND(":",Sync!$U70)-1)),2)&amp;RIGHT("00"&amp;VALUE(MID(Sync!$U70,FIND(":",Sync!$U70)+1,2)),2),"0000"))))</f>
        <v/>
      </c>
    </row>
    <row r="75">
      <c r="A75">
        <f>IF(Sync!$T71="","",Sync!$T71)</f>
        <v/>
      </c>
      <c r="B75">
        <f>IF($A75="","",IF(ISNUMBER($A75),IF(AND($A75&gt;=10000101,$A75&lt;=99991231),INT($A75/10000),""),IFERROR(VALUE(TRIM(LEFT($A75,FIND("/",$A75)-1))),"")))</f>
        <v/>
      </c>
      <c r="C75">
        <f>IF(OR($A75="",$B75=""),"",IF(ISNUMBER($A75),INT(MOD($A75,10000)/100),IFERROR(VALUE(TRIM(LEFT(MID($A75,FIND("/",$A75)+1,20),FIND("/",MID($A75,FIND("/",$A75)+1,20))-1))),"")))</f>
        <v/>
      </c>
      <c r="D75">
        <f>IF(OR($A75="",$B75=""),"",IF(ISNUMBER($A75),MOD($A75,100),IFERROR(VALUE(TRIM(MID(MID($A75,FIND("/",$A75)+1,20),FIND("/",MID($A75,FIND("/",$A75)+1,20))+1,20))),"")))</f>
        <v/>
      </c>
      <c r="E75">
        <f>IF($A75="","",IF(OR($B75="",$C75="",$D75="",$B75&lt;1300,$B75&gt;1500,$C75&lt;1,$C75&gt;12,$D75&lt;1,$D75&gt;31),"نامعتبر",RIGHT("0000"&amp;$B75,4)&amp;"/"&amp;RIGHT("00"&amp;$C75,2)&amp;"/"&amp;RIGHT("00"&amp;$D75,2)))</f>
        <v/>
      </c>
      <c r="F75">
        <f>IF(OR($E75="",$E75="نامعتبر"),"",LEFT($E75,4)&amp;"/"&amp;MID($E75,6,2))</f>
        <v/>
      </c>
      <c r="G75">
        <f>IF(OR($E75="",$E75="نامعتبر",Sync!$X71=""),"",IF(AND(LEFT(UPPER(TRIM(Sync!$X71)),2)="SL",IFERROR(VLOOKUP(Sync!$W71,OpTbl,3,0),"")="فروش"),UPPER(TRIM(Sync!$X71)),""))</f>
        <v/>
      </c>
      <c r="H75">
        <f>IF($G75="","",IF(Sync!$W71="","",Sync!$W71))</f>
        <v/>
      </c>
      <c r="I75">
        <f>IF(OR($G75="",Sync!$Y71=""),"",Sync!$Y71)</f>
        <v/>
      </c>
      <c r="J75">
        <f>IF(OR($G75="",Sync!$Z71=""),"",Sync!$Z71)</f>
        <v/>
      </c>
      <c r="K75">
        <f>IF($G75="",0,IF(Sync!$AA71="",0,Sync!$AA71))</f>
        <v/>
      </c>
      <c r="L75">
        <f>IF($G75="",0,IF(Sync!$AB71="",0,Sync!$AB71))</f>
        <v/>
      </c>
      <c r="M75">
        <f>IF($G75="","",IF($H75="مرجوعی فروش",-1,1)*($K75-$L75*IFERROR(VLOOKUP("P01",ParamTbl,3,0),1.5)))</f>
        <v/>
      </c>
      <c r="N75">
        <f>IF($G75="",0,IF($H75="مرجوعی فروش",-1,1)*IF(Sync!$AC71="",0,Sync!$AC71))</f>
        <v/>
      </c>
      <c r="O75">
        <f>IF(OR($G75="",Sync!$V71=""),"",Sync!$V71)</f>
        <v/>
      </c>
      <c r="P75">
        <f>IF(OR($G75="",Sync!$AD71=""),"",Sync!$AD71)</f>
        <v/>
      </c>
      <c r="Q75">
        <f>IF($G75="","",IF(Sync!$U71="","0000",IF(AND(ISNUMBER(Sync!$U71),Sync!$U71&gt;=0,Sync!$U71&lt;1),RIGHT("00"&amp;HOUR(Sync!$U71),2)&amp;RIGHT("00"&amp;MINUTE(Sync!$U71),2),IFERROR(RIGHT("00"&amp;VALUE(LEFT(Sync!$U71,FIND(":",Sync!$U71)-1)),2)&amp;RIGHT("00"&amp;VALUE(MID(Sync!$U71,FIND(":",Sync!$U71)+1,2)),2),"0000"))))</f>
        <v/>
      </c>
    </row>
    <row r="76">
      <c r="A76">
        <f>IF(Sync!$T72="","",Sync!$T72)</f>
        <v/>
      </c>
      <c r="B76">
        <f>IF($A76="","",IF(ISNUMBER($A76),IF(AND($A76&gt;=10000101,$A76&lt;=99991231),INT($A76/10000),""),IFERROR(VALUE(TRIM(LEFT($A76,FIND("/",$A76)-1))),"")))</f>
        <v/>
      </c>
      <c r="C76">
        <f>IF(OR($A76="",$B76=""),"",IF(ISNUMBER($A76),INT(MOD($A76,10000)/100),IFERROR(VALUE(TRIM(LEFT(MID($A76,FIND("/",$A76)+1,20),FIND("/",MID($A76,FIND("/",$A76)+1,20))-1))),"")))</f>
        <v/>
      </c>
      <c r="D76">
        <f>IF(OR($A76="",$B76=""),"",IF(ISNUMBER($A76),MOD($A76,100),IFERROR(VALUE(TRIM(MID(MID($A76,FIND("/",$A76)+1,20),FIND("/",MID($A76,FIND("/",$A76)+1,20))+1,20))),"")))</f>
        <v/>
      </c>
      <c r="E76">
        <f>IF($A76="","",IF(OR($B76="",$C76="",$D76="",$B76&lt;1300,$B76&gt;1500,$C76&lt;1,$C76&gt;12,$D76&lt;1,$D76&gt;31),"نامعتبر",RIGHT("0000"&amp;$B76,4)&amp;"/"&amp;RIGHT("00"&amp;$C76,2)&amp;"/"&amp;RIGHT("00"&amp;$D76,2)))</f>
        <v/>
      </c>
      <c r="F76">
        <f>IF(OR($E76="",$E76="نامعتبر"),"",LEFT($E76,4)&amp;"/"&amp;MID($E76,6,2))</f>
        <v/>
      </c>
      <c r="G76">
        <f>IF(OR($E76="",$E76="نامعتبر",Sync!$X72=""),"",IF(AND(LEFT(UPPER(TRIM(Sync!$X72)),2)="SL",IFERROR(VLOOKUP(Sync!$W72,OpTbl,3,0),"")="فروش"),UPPER(TRIM(Sync!$X72)),""))</f>
        <v/>
      </c>
      <c r="H76">
        <f>IF($G76="","",IF(Sync!$W72="","",Sync!$W72))</f>
        <v/>
      </c>
      <c r="I76">
        <f>IF(OR($G76="",Sync!$Y72=""),"",Sync!$Y72)</f>
        <v/>
      </c>
      <c r="J76">
        <f>IF(OR($G76="",Sync!$Z72=""),"",Sync!$Z72)</f>
        <v/>
      </c>
      <c r="K76">
        <f>IF($G76="",0,IF(Sync!$AA72="",0,Sync!$AA72))</f>
        <v/>
      </c>
      <c r="L76">
        <f>IF($G76="",0,IF(Sync!$AB72="",0,Sync!$AB72))</f>
        <v/>
      </c>
      <c r="M76">
        <f>IF($G76="","",IF($H76="مرجوعی فروش",-1,1)*($K76-$L76*IFERROR(VLOOKUP("P01",ParamTbl,3,0),1.5)))</f>
        <v/>
      </c>
      <c r="N76">
        <f>IF($G76="",0,IF($H76="مرجوعی فروش",-1,1)*IF(Sync!$AC72="",0,Sync!$AC72))</f>
        <v/>
      </c>
      <c r="O76">
        <f>IF(OR($G76="",Sync!$V72=""),"",Sync!$V72)</f>
        <v/>
      </c>
      <c r="P76">
        <f>IF(OR($G76="",Sync!$AD72=""),"",Sync!$AD72)</f>
        <v/>
      </c>
      <c r="Q76">
        <f>IF($G76="","",IF(Sync!$U72="","0000",IF(AND(ISNUMBER(Sync!$U72),Sync!$U72&gt;=0,Sync!$U72&lt;1),RIGHT("00"&amp;HOUR(Sync!$U72),2)&amp;RIGHT("00"&amp;MINUTE(Sync!$U72),2),IFERROR(RIGHT("00"&amp;VALUE(LEFT(Sync!$U72,FIND(":",Sync!$U72)-1)),2)&amp;RIGHT("00"&amp;VALUE(MID(Sync!$U72,FIND(":",Sync!$U72)+1,2)),2),"0000"))))</f>
        <v/>
      </c>
    </row>
    <row r="77">
      <c r="A77">
        <f>IF(Sync!$T73="","",Sync!$T73)</f>
        <v/>
      </c>
      <c r="B77">
        <f>IF($A77="","",IF(ISNUMBER($A77),IF(AND($A77&gt;=10000101,$A77&lt;=99991231),INT($A77/10000),""),IFERROR(VALUE(TRIM(LEFT($A77,FIND("/",$A77)-1))),"")))</f>
        <v/>
      </c>
      <c r="C77">
        <f>IF(OR($A77="",$B77=""),"",IF(ISNUMBER($A77),INT(MOD($A77,10000)/100),IFERROR(VALUE(TRIM(LEFT(MID($A77,FIND("/",$A77)+1,20),FIND("/",MID($A77,FIND("/",$A77)+1,20))-1))),"")))</f>
        <v/>
      </c>
      <c r="D77">
        <f>IF(OR($A77="",$B77=""),"",IF(ISNUMBER($A77),MOD($A77,100),IFERROR(VALUE(TRIM(MID(MID($A77,FIND("/",$A77)+1,20),FIND("/",MID($A77,FIND("/",$A77)+1,20))+1,20))),"")))</f>
        <v/>
      </c>
      <c r="E77">
        <f>IF($A77="","",IF(OR($B77="",$C77="",$D77="",$B77&lt;1300,$B77&gt;1500,$C77&lt;1,$C77&gt;12,$D77&lt;1,$D77&gt;31),"نامعتبر",RIGHT("0000"&amp;$B77,4)&amp;"/"&amp;RIGHT("00"&amp;$C77,2)&amp;"/"&amp;RIGHT("00"&amp;$D77,2)))</f>
        <v/>
      </c>
      <c r="F77">
        <f>IF(OR($E77="",$E77="نامعتبر"),"",LEFT($E77,4)&amp;"/"&amp;MID($E77,6,2))</f>
        <v/>
      </c>
      <c r="G77">
        <f>IF(OR($E77="",$E77="نامعتبر",Sync!$X73=""),"",IF(AND(LEFT(UPPER(TRIM(Sync!$X73)),2)="SL",IFERROR(VLOOKUP(Sync!$W73,OpTbl,3,0),"")="فروش"),UPPER(TRIM(Sync!$X73)),""))</f>
        <v/>
      </c>
      <c r="H77">
        <f>IF($G77="","",IF(Sync!$W73="","",Sync!$W73))</f>
        <v/>
      </c>
      <c r="I77">
        <f>IF(OR($G77="",Sync!$Y73=""),"",Sync!$Y73)</f>
        <v/>
      </c>
      <c r="J77">
        <f>IF(OR($G77="",Sync!$Z73=""),"",Sync!$Z73)</f>
        <v/>
      </c>
      <c r="K77">
        <f>IF($G77="",0,IF(Sync!$AA73="",0,Sync!$AA73))</f>
        <v/>
      </c>
      <c r="L77">
        <f>IF($G77="",0,IF(Sync!$AB73="",0,Sync!$AB73))</f>
        <v/>
      </c>
      <c r="M77">
        <f>IF($G77="","",IF($H77="مرجوعی فروش",-1,1)*($K77-$L77*IFERROR(VLOOKUP("P01",ParamTbl,3,0),1.5)))</f>
        <v/>
      </c>
      <c r="N77">
        <f>IF($G77="",0,IF($H77="مرجوعی فروش",-1,1)*IF(Sync!$AC73="",0,Sync!$AC73))</f>
        <v/>
      </c>
      <c r="O77">
        <f>IF(OR($G77="",Sync!$V73=""),"",Sync!$V73)</f>
        <v/>
      </c>
      <c r="P77">
        <f>IF(OR($G77="",Sync!$AD73=""),"",Sync!$AD73)</f>
        <v/>
      </c>
      <c r="Q77">
        <f>IF($G77="","",IF(Sync!$U73="","0000",IF(AND(ISNUMBER(Sync!$U73),Sync!$U73&gt;=0,Sync!$U73&lt;1),RIGHT("00"&amp;HOUR(Sync!$U73),2)&amp;RIGHT("00"&amp;MINUTE(Sync!$U73),2),IFERROR(RIGHT("00"&amp;VALUE(LEFT(Sync!$U73,FIND(":",Sync!$U73)-1)),2)&amp;RIGHT("00"&amp;VALUE(MID(Sync!$U73,FIND(":",Sync!$U73)+1,2)),2),"0000"))))</f>
        <v/>
      </c>
    </row>
    <row r="78">
      <c r="A78">
        <f>IF(Sync!$T74="","",Sync!$T74)</f>
        <v/>
      </c>
      <c r="B78">
        <f>IF($A78="","",IF(ISNUMBER($A78),IF(AND($A78&gt;=10000101,$A78&lt;=99991231),INT($A78/10000),""),IFERROR(VALUE(TRIM(LEFT($A78,FIND("/",$A78)-1))),"")))</f>
        <v/>
      </c>
      <c r="C78">
        <f>IF(OR($A78="",$B78=""),"",IF(ISNUMBER($A78),INT(MOD($A78,10000)/100),IFERROR(VALUE(TRIM(LEFT(MID($A78,FIND("/",$A78)+1,20),FIND("/",MID($A78,FIND("/",$A78)+1,20))-1))),"")))</f>
        <v/>
      </c>
      <c r="D78">
        <f>IF(OR($A78="",$B78=""),"",IF(ISNUMBER($A78),MOD($A78,100),IFERROR(VALUE(TRIM(MID(MID($A78,FIND("/",$A78)+1,20),FIND("/",MID($A78,FIND("/",$A78)+1,20))+1,20))),"")))</f>
        <v/>
      </c>
      <c r="E78">
        <f>IF($A78="","",IF(OR($B78="",$C78="",$D78="",$B78&lt;1300,$B78&gt;1500,$C78&lt;1,$C78&gt;12,$D78&lt;1,$D78&gt;31),"نامعتبر",RIGHT("0000"&amp;$B78,4)&amp;"/"&amp;RIGHT("00"&amp;$C78,2)&amp;"/"&amp;RIGHT("00"&amp;$D78,2)))</f>
        <v/>
      </c>
      <c r="F78">
        <f>IF(OR($E78="",$E78="نامعتبر"),"",LEFT($E78,4)&amp;"/"&amp;MID($E78,6,2))</f>
        <v/>
      </c>
      <c r="G78">
        <f>IF(OR($E78="",$E78="نامعتبر",Sync!$X74=""),"",IF(AND(LEFT(UPPER(TRIM(Sync!$X74)),2)="SL",IFERROR(VLOOKUP(Sync!$W74,OpTbl,3,0),"")="فروش"),UPPER(TRIM(Sync!$X74)),""))</f>
        <v/>
      </c>
      <c r="H78">
        <f>IF($G78="","",IF(Sync!$W74="","",Sync!$W74))</f>
        <v/>
      </c>
      <c r="I78">
        <f>IF(OR($G78="",Sync!$Y74=""),"",Sync!$Y74)</f>
        <v/>
      </c>
      <c r="J78">
        <f>IF(OR($G78="",Sync!$Z74=""),"",Sync!$Z74)</f>
        <v/>
      </c>
      <c r="K78">
        <f>IF($G78="",0,IF(Sync!$AA74="",0,Sync!$AA74))</f>
        <v/>
      </c>
      <c r="L78">
        <f>IF($G78="",0,IF(Sync!$AB74="",0,Sync!$AB74))</f>
        <v/>
      </c>
      <c r="M78">
        <f>IF($G78="","",IF($H78="مرجوعی فروش",-1,1)*($K78-$L78*IFERROR(VLOOKUP("P01",ParamTbl,3,0),1.5)))</f>
        <v/>
      </c>
      <c r="N78">
        <f>IF($G78="",0,IF($H78="مرجوعی فروش",-1,1)*IF(Sync!$AC74="",0,Sync!$AC74))</f>
        <v/>
      </c>
      <c r="O78">
        <f>IF(OR($G78="",Sync!$V74=""),"",Sync!$V74)</f>
        <v/>
      </c>
      <c r="P78">
        <f>IF(OR($G78="",Sync!$AD74=""),"",Sync!$AD74)</f>
        <v/>
      </c>
      <c r="Q78">
        <f>IF($G78="","",IF(Sync!$U74="","0000",IF(AND(ISNUMBER(Sync!$U74),Sync!$U74&gt;=0,Sync!$U74&lt;1),RIGHT("00"&amp;HOUR(Sync!$U74),2)&amp;RIGHT("00"&amp;MINUTE(Sync!$U74),2),IFERROR(RIGHT("00"&amp;VALUE(LEFT(Sync!$U74,FIND(":",Sync!$U74)-1)),2)&amp;RIGHT("00"&amp;VALUE(MID(Sync!$U74,FIND(":",Sync!$U74)+1,2)),2),"0000"))))</f>
        <v/>
      </c>
    </row>
    <row r="79">
      <c r="A79">
        <f>IF(Sync!$T75="","",Sync!$T75)</f>
        <v/>
      </c>
      <c r="B79">
        <f>IF($A79="","",IF(ISNUMBER($A79),IF(AND($A79&gt;=10000101,$A79&lt;=99991231),INT($A79/10000),""),IFERROR(VALUE(TRIM(LEFT($A79,FIND("/",$A79)-1))),"")))</f>
        <v/>
      </c>
      <c r="C79">
        <f>IF(OR($A79="",$B79=""),"",IF(ISNUMBER($A79),INT(MOD($A79,10000)/100),IFERROR(VALUE(TRIM(LEFT(MID($A79,FIND("/",$A79)+1,20),FIND("/",MID($A79,FIND("/",$A79)+1,20))-1))),"")))</f>
        <v/>
      </c>
      <c r="D79">
        <f>IF(OR($A79="",$B79=""),"",IF(ISNUMBER($A79),MOD($A79,100),IFERROR(VALUE(TRIM(MID(MID($A79,FIND("/",$A79)+1,20),FIND("/",MID($A79,FIND("/",$A79)+1,20))+1,20))),"")))</f>
        <v/>
      </c>
      <c r="E79">
        <f>IF($A79="","",IF(OR($B79="",$C79="",$D79="",$B79&lt;1300,$B79&gt;1500,$C79&lt;1,$C79&gt;12,$D79&lt;1,$D79&gt;31),"نامعتبر",RIGHT("0000"&amp;$B79,4)&amp;"/"&amp;RIGHT("00"&amp;$C79,2)&amp;"/"&amp;RIGHT("00"&amp;$D79,2)))</f>
        <v/>
      </c>
      <c r="F79">
        <f>IF(OR($E79="",$E79="نامعتبر"),"",LEFT($E79,4)&amp;"/"&amp;MID($E79,6,2))</f>
        <v/>
      </c>
      <c r="G79">
        <f>IF(OR($E79="",$E79="نامعتبر",Sync!$X75=""),"",IF(AND(LEFT(UPPER(TRIM(Sync!$X75)),2)="SL",IFERROR(VLOOKUP(Sync!$W75,OpTbl,3,0),"")="فروش"),UPPER(TRIM(Sync!$X75)),""))</f>
        <v/>
      </c>
      <c r="H79">
        <f>IF($G79="","",IF(Sync!$W75="","",Sync!$W75))</f>
        <v/>
      </c>
      <c r="I79">
        <f>IF(OR($G79="",Sync!$Y75=""),"",Sync!$Y75)</f>
        <v/>
      </c>
      <c r="J79">
        <f>IF(OR($G79="",Sync!$Z75=""),"",Sync!$Z75)</f>
        <v/>
      </c>
      <c r="K79">
        <f>IF($G79="",0,IF(Sync!$AA75="",0,Sync!$AA75))</f>
        <v/>
      </c>
      <c r="L79">
        <f>IF($G79="",0,IF(Sync!$AB75="",0,Sync!$AB75))</f>
        <v/>
      </c>
      <c r="M79">
        <f>IF($G79="","",IF($H79="مرجوعی فروش",-1,1)*($K79-$L79*IFERROR(VLOOKUP("P01",ParamTbl,3,0),1.5)))</f>
        <v/>
      </c>
      <c r="N79">
        <f>IF($G79="",0,IF($H79="مرجوعی فروش",-1,1)*IF(Sync!$AC75="",0,Sync!$AC75))</f>
        <v/>
      </c>
      <c r="O79">
        <f>IF(OR($G79="",Sync!$V75=""),"",Sync!$V75)</f>
        <v/>
      </c>
      <c r="P79">
        <f>IF(OR($G79="",Sync!$AD75=""),"",Sync!$AD75)</f>
        <v/>
      </c>
      <c r="Q79">
        <f>IF($G79="","",IF(Sync!$U75="","0000",IF(AND(ISNUMBER(Sync!$U75),Sync!$U75&gt;=0,Sync!$U75&lt;1),RIGHT("00"&amp;HOUR(Sync!$U75),2)&amp;RIGHT("00"&amp;MINUTE(Sync!$U75),2),IFERROR(RIGHT("00"&amp;VALUE(LEFT(Sync!$U75,FIND(":",Sync!$U75)-1)),2)&amp;RIGHT("00"&amp;VALUE(MID(Sync!$U75,FIND(":",Sync!$U75)+1,2)),2),"0000"))))</f>
        <v/>
      </c>
    </row>
    <row r="80">
      <c r="A80">
        <f>IF(Sync!$T76="","",Sync!$T76)</f>
        <v/>
      </c>
      <c r="B80">
        <f>IF($A80="","",IF(ISNUMBER($A80),IF(AND($A80&gt;=10000101,$A80&lt;=99991231),INT($A80/10000),""),IFERROR(VALUE(TRIM(LEFT($A80,FIND("/",$A80)-1))),"")))</f>
        <v/>
      </c>
      <c r="C80">
        <f>IF(OR($A80="",$B80=""),"",IF(ISNUMBER($A80),INT(MOD($A80,10000)/100),IFERROR(VALUE(TRIM(LEFT(MID($A80,FIND("/",$A80)+1,20),FIND("/",MID($A80,FIND("/",$A80)+1,20))-1))),"")))</f>
        <v/>
      </c>
      <c r="D80">
        <f>IF(OR($A80="",$B80=""),"",IF(ISNUMBER($A80),MOD($A80,100),IFERROR(VALUE(TRIM(MID(MID($A80,FIND("/",$A80)+1,20),FIND("/",MID($A80,FIND("/",$A80)+1,20))+1,20))),"")))</f>
        <v/>
      </c>
      <c r="E80">
        <f>IF($A80="","",IF(OR($B80="",$C80="",$D80="",$B80&lt;1300,$B80&gt;1500,$C80&lt;1,$C80&gt;12,$D80&lt;1,$D80&gt;31),"نامعتبر",RIGHT("0000"&amp;$B80,4)&amp;"/"&amp;RIGHT("00"&amp;$C80,2)&amp;"/"&amp;RIGHT("00"&amp;$D80,2)))</f>
        <v/>
      </c>
      <c r="F80">
        <f>IF(OR($E80="",$E80="نامعتبر"),"",LEFT($E80,4)&amp;"/"&amp;MID($E80,6,2))</f>
        <v/>
      </c>
      <c r="G80">
        <f>IF(OR($E80="",$E80="نامعتبر",Sync!$X76=""),"",IF(AND(LEFT(UPPER(TRIM(Sync!$X76)),2)="SL",IFERROR(VLOOKUP(Sync!$W76,OpTbl,3,0),"")="فروش"),UPPER(TRIM(Sync!$X76)),""))</f>
        <v/>
      </c>
      <c r="H80">
        <f>IF($G80="","",IF(Sync!$W76="","",Sync!$W76))</f>
        <v/>
      </c>
      <c r="I80">
        <f>IF(OR($G80="",Sync!$Y76=""),"",Sync!$Y76)</f>
        <v/>
      </c>
      <c r="J80">
        <f>IF(OR($G80="",Sync!$Z76=""),"",Sync!$Z76)</f>
        <v/>
      </c>
      <c r="K80">
        <f>IF($G80="",0,IF(Sync!$AA76="",0,Sync!$AA76))</f>
        <v/>
      </c>
      <c r="L80">
        <f>IF($G80="",0,IF(Sync!$AB76="",0,Sync!$AB76))</f>
        <v/>
      </c>
      <c r="M80">
        <f>IF($G80="","",IF($H80="مرجوعی فروش",-1,1)*($K80-$L80*IFERROR(VLOOKUP("P01",ParamTbl,3,0),1.5)))</f>
        <v/>
      </c>
      <c r="N80">
        <f>IF($G80="",0,IF($H80="مرجوعی فروش",-1,1)*IF(Sync!$AC76="",0,Sync!$AC76))</f>
        <v/>
      </c>
      <c r="O80">
        <f>IF(OR($G80="",Sync!$V76=""),"",Sync!$V76)</f>
        <v/>
      </c>
      <c r="P80">
        <f>IF(OR($G80="",Sync!$AD76=""),"",Sync!$AD76)</f>
        <v/>
      </c>
      <c r="Q80">
        <f>IF($G80="","",IF(Sync!$U76="","0000",IF(AND(ISNUMBER(Sync!$U76),Sync!$U76&gt;=0,Sync!$U76&lt;1),RIGHT("00"&amp;HOUR(Sync!$U76),2)&amp;RIGHT("00"&amp;MINUTE(Sync!$U76),2),IFERROR(RIGHT("00"&amp;VALUE(LEFT(Sync!$U76,FIND(":",Sync!$U76)-1)),2)&amp;RIGHT("00"&amp;VALUE(MID(Sync!$U76,FIND(":",Sync!$U76)+1,2)),2),"0000"))))</f>
        <v/>
      </c>
    </row>
    <row r="81">
      <c r="A81">
        <f>IF(Sync!$T77="","",Sync!$T77)</f>
        <v/>
      </c>
      <c r="B81">
        <f>IF($A81="","",IF(ISNUMBER($A81),IF(AND($A81&gt;=10000101,$A81&lt;=99991231),INT($A81/10000),""),IFERROR(VALUE(TRIM(LEFT($A81,FIND("/",$A81)-1))),"")))</f>
        <v/>
      </c>
      <c r="C81">
        <f>IF(OR($A81="",$B81=""),"",IF(ISNUMBER($A81),INT(MOD($A81,10000)/100),IFERROR(VALUE(TRIM(LEFT(MID($A81,FIND("/",$A81)+1,20),FIND("/",MID($A81,FIND("/",$A81)+1,20))-1))),"")))</f>
        <v/>
      </c>
      <c r="D81">
        <f>IF(OR($A81="",$B81=""),"",IF(ISNUMBER($A81),MOD($A81,100),IFERROR(VALUE(TRIM(MID(MID($A81,FIND("/",$A81)+1,20),FIND("/",MID($A81,FIND("/",$A81)+1,20))+1,20))),"")))</f>
        <v/>
      </c>
      <c r="E81">
        <f>IF($A81="","",IF(OR($B81="",$C81="",$D81="",$B81&lt;1300,$B81&gt;1500,$C81&lt;1,$C81&gt;12,$D81&lt;1,$D81&gt;31),"نامعتبر",RIGHT("0000"&amp;$B81,4)&amp;"/"&amp;RIGHT("00"&amp;$C81,2)&amp;"/"&amp;RIGHT("00"&amp;$D81,2)))</f>
        <v/>
      </c>
      <c r="F81">
        <f>IF(OR($E81="",$E81="نامعتبر"),"",LEFT($E81,4)&amp;"/"&amp;MID($E81,6,2))</f>
        <v/>
      </c>
      <c r="G81">
        <f>IF(OR($E81="",$E81="نامعتبر",Sync!$X77=""),"",IF(AND(LEFT(UPPER(TRIM(Sync!$X77)),2)="SL",IFERROR(VLOOKUP(Sync!$W77,OpTbl,3,0),"")="فروش"),UPPER(TRIM(Sync!$X77)),""))</f>
        <v/>
      </c>
      <c r="H81">
        <f>IF($G81="","",IF(Sync!$W77="","",Sync!$W77))</f>
        <v/>
      </c>
      <c r="I81">
        <f>IF(OR($G81="",Sync!$Y77=""),"",Sync!$Y77)</f>
        <v/>
      </c>
      <c r="J81">
        <f>IF(OR($G81="",Sync!$Z77=""),"",Sync!$Z77)</f>
        <v/>
      </c>
      <c r="K81">
        <f>IF($G81="",0,IF(Sync!$AA77="",0,Sync!$AA77))</f>
        <v/>
      </c>
      <c r="L81">
        <f>IF($G81="",0,IF(Sync!$AB77="",0,Sync!$AB77))</f>
        <v/>
      </c>
      <c r="M81">
        <f>IF($G81="","",IF($H81="مرجوعی فروش",-1,1)*($K81-$L81*IFERROR(VLOOKUP("P01",ParamTbl,3,0),1.5)))</f>
        <v/>
      </c>
      <c r="N81">
        <f>IF($G81="",0,IF($H81="مرجوعی فروش",-1,1)*IF(Sync!$AC77="",0,Sync!$AC77))</f>
        <v/>
      </c>
      <c r="O81">
        <f>IF(OR($G81="",Sync!$V77=""),"",Sync!$V77)</f>
        <v/>
      </c>
      <c r="P81">
        <f>IF(OR($G81="",Sync!$AD77=""),"",Sync!$AD77)</f>
        <v/>
      </c>
      <c r="Q81">
        <f>IF($G81="","",IF(Sync!$U77="","0000",IF(AND(ISNUMBER(Sync!$U77),Sync!$U77&gt;=0,Sync!$U77&lt;1),RIGHT("00"&amp;HOUR(Sync!$U77),2)&amp;RIGHT("00"&amp;MINUTE(Sync!$U77),2),IFERROR(RIGHT("00"&amp;VALUE(LEFT(Sync!$U77,FIND(":",Sync!$U77)-1)),2)&amp;RIGHT("00"&amp;VALUE(MID(Sync!$U77,FIND(":",Sync!$U77)+1,2)),2),"0000"))))</f>
        <v/>
      </c>
    </row>
    <row r="82">
      <c r="A82">
        <f>IF(Sync!$T78="","",Sync!$T78)</f>
        <v/>
      </c>
      <c r="B82">
        <f>IF($A82="","",IF(ISNUMBER($A82),IF(AND($A82&gt;=10000101,$A82&lt;=99991231),INT($A82/10000),""),IFERROR(VALUE(TRIM(LEFT($A82,FIND("/",$A82)-1))),"")))</f>
        <v/>
      </c>
      <c r="C82">
        <f>IF(OR($A82="",$B82=""),"",IF(ISNUMBER($A82),INT(MOD($A82,10000)/100),IFERROR(VALUE(TRIM(LEFT(MID($A82,FIND("/",$A82)+1,20),FIND("/",MID($A82,FIND("/",$A82)+1,20))-1))),"")))</f>
        <v/>
      </c>
      <c r="D82">
        <f>IF(OR($A82="",$B82=""),"",IF(ISNUMBER($A82),MOD($A82,100),IFERROR(VALUE(TRIM(MID(MID($A82,FIND("/",$A82)+1,20),FIND("/",MID($A82,FIND("/",$A82)+1,20))+1,20))),"")))</f>
        <v/>
      </c>
      <c r="E82">
        <f>IF($A82="","",IF(OR($B82="",$C82="",$D82="",$B82&lt;1300,$B82&gt;1500,$C82&lt;1,$C82&gt;12,$D82&lt;1,$D82&gt;31),"نامعتبر",RIGHT("0000"&amp;$B82,4)&amp;"/"&amp;RIGHT("00"&amp;$C82,2)&amp;"/"&amp;RIGHT("00"&amp;$D82,2)))</f>
        <v/>
      </c>
      <c r="F82">
        <f>IF(OR($E82="",$E82="نامعتبر"),"",LEFT($E82,4)&amp;"/"&amp;MID($E82,6,2))</f>
        <v/>
      </c>
      <c r="G82">
        <f>IF(OR($E82="",$E82="نامعتبر",Sync!$X78=""),"",IF(AND(LEFT(UPPER(TRIM(Sync!$X78)),2)="SL",IFERROR(VLOOKUP(Sync!$W78,OpTbl,3,0),"")="فروش"),UPPER(TRIM(Sync!$X78)),""))</f>
        <v/>
      </c>
      <c r="H82">
        <f>IF($G82="","",IF(Sync!$W78="","",Sync!$W78))</f>
        <v/>
      </c>
      <c r="I82">
        <f>IF(OR($G82="",Sync!$Y78=""),"",Sync!$Y78)</f>
        <v/>
      </c>
      <c r="J82">
        <f>IF(OR($G82="",Sync!$Z78=""),"",Sync!$Z78)</f>
        <v/>
      </c>
      <c r="K82">
        <f>IF($G82="",0,IF(Sync!$AA78="",0,Sync!$AA78))</f>
        <v/>
      </c>
      <c r="L82">
        <f>IF($G82="",0,IF(Sync!$AB78="",0,Sync!$AB78))</f>
        <v/>
      </c>
      <c r="M82">
        <f>IF($G82="","",IF($H82="مرجوعی فروش",-1,1)*($K82-$L82*IFERROR(VLOOKUP("P01",ParamTbl,3,0),1.5)))</f>
        <v/>
      </c>
      <c r="N82">
        <f>IF($G82="",0,IF($H82="مرجوعی فروش",-1,1)*IF(Sync!$AC78="",0,Sync!$AC78))</f>
        <v/>
      </c>
      <c r="O82">
        <f>IF(OR($G82="",Sync!$V78=""),"",Sync!$V78)</f>
        <v/>
      </c>
      <c r="P82">
        <f>IF(OR($G82="",Sync!$AD78=""),"",Sync!$AD78)</f>
        <v/>
      </c>
      <c r="Q82">
        <f>IF($G82="","",IF(Sync!$U78="","0000",IF(AND(ISNUMBER(Sync!$U78),Sync!$U78&gt;=0,Sync!$U78&lt;1),RIGHT("00"&amp;HOUR(Sync!$U78),2)&amp;RIGHT("00"&amp;MINUTE(Sync!$U78),2),IFERROR(RIGHT("00"&amp;VALUE(LEFT(Sync!$U78,FIND(":",Sync!$U78)-1)),2)&amp;RIGHT("00"&amp;VALUE(MID(Sync!$U78,FIND(":",Sync!$U78)+1,2)),2),"0000"))))</f>
        <v/>
      </c>
    </row>
    <row r="83">
      <c r="A83">
        <f>IF(Sync!$T79="","",Sync!$T79)</f>
        <v/>
      </c>
      <c r="B83">
        <f>IF($A83="","",IF(ISNUMBER($A83),IF(AND($A83&gt;=10000101,$A83&lt;=99991231),INT($A83/10000),""),IFERROR(VALUE(TRIM(LEFT($A83,FIND("/",$A83)-1))),"")))</f>
        <v/>
      </c>
      <c r="C83">
        <f>IF(OR($A83="",$B83=""),"",IF(ISNUMBER($A83),INT(MOD($A83,10000)/100),IFERROR(VALUE(TRIM(LEFT(MID($A83,FIND("/",$A83)+1,20),FIND("/",MID($A83,FIND("/",$A83)+1,20))-1))),"")))</f>
        <v/>
      </c>
      <c r="D83">
        <f>IF(OR($A83="",$B83=""),"",IF(ISNUMBER($A83),MOD($A83,100),IFERROR(VALUE(TRIM(MID(MID($A83,FIND("/",$A83)+1,20),FIND("/",MID($A83,FIND("/",$A83)+1,20))+1,20))),"")))</f>
        <v/>
      </c>
      <c r="E83">
        <f>IF($A83="","",IF(OR($B83="",$C83="",$D83="",$B83&lt;1300,$B83&gt;1500,$C83&lt;1,$C83&gt;12,$D83&lt;1,$D83&gt;31),"نامعتبر",RIGHT("0000"&amp;$B83,4)&amp;"/"&amp;RIGHT("00"&amp;$C83,2)&amp;"/"&amp;RIGHT("00"&amp;$D83,2)))</f>
        <v/>
      </c>
      <c r="F83">
        <f>IF(OR($E83="",$E83="نامعتبر"),"",LEFT($E83,4)&amp;"/"&amp;MID($E83,6,2))</f>
        <v/>
      </c>
      <c r="G83">
        <f>IF(OR($E83="",$E83="نامعتبر",Sync!$X79=""),"",IF(AND(LEFT(UPPER(TRIM(Sync!$X79)),2)="SL",IFERROR(VLOOKUP(Sync!$W79,OpTbl,3,0),"")="فروش"),UPPER(TRIM(Sync!$X79)),""))</f>
        <v/>
      </c>
      <c r="H83">
        <f>IF($G83="","",IF(Sync!$W79="","",Sync!$W79))</f>
        <v/>
      </c>
      <c r="I83">
        <f>IF(OR($G83="",Sync!$Y79=""),"",Sync!$Y79)</f>
        <v/>
      </c>
      <c r="J83">
        <f>IF(OR($G83="",Sync!$Z79=""),"",Sync!$Z79)</f>
        <v/>
      </c>
      <c r="K83">
        <f>IF($G83="",0,IF(Sync!$AA79="",0,Sync!$AA79))</f>
        <v/>
      </c>
      <c r="L83">
        <f>IF($G83="",0,IF(Sync!$AB79="",0,Sync!$AB79))</f>
        <v/>
      </c>
      <c r="M83">
        <f>IF($G83="","",IF($H83="مرجوعی فروش",-1,1)*($K83-$L83*IFERROR(VLOOKUP("P01",ParamTbl,3,0),1.5)))</f>
        <v/>
      </c>
      <c r="N83">
        <f>IF($G83="",0,IF($H83="مرجوعی فروش",-1,1)*IF(Sync!$AC79="",0,Sync!$AC79))</f>
        <v/>
      </c>
      <c r="O83">
        <f>IF(OR($G83="",Sync!$V79=""),"",Sync!$V79)</f>
        <v/>
      </c>
      <c r="P83">
        <f>IF(OR($G83="",Sync!$AD79=""),"",Sync!$AD79)</f>
        <v/>
      </c>
      <c r="Q83">
        <f>IF($G83="","",IF(Sync!$U79="","0000",IF(AND(ISNUMBER(Sync!$U79),Sync!$U79&gt;=0,Sync!$U79&lt;1),RIGHT("00"&amp;HOUR(Sync!$U79),2)&amp;RIGHT("00"&amp;MINUTE(Sync!$U79),2),IFERROR(RIGHT("00"&amp;VALUE(LEFT(Sync!$U79,FIND(":",Sync!$U79)-1)),2)&amp;RIGHT("00"&amp;VALUE(MID(Sync!$U79,FIND(":",Sync!$U79)+1,2)),2),"0000"))))</f>
        <v/>
      </c>
    </row>
    <row r="84">
      <c r="A84">
        <f>IF(Sync!$T80="","",Sync!$T80)</f>
        <v/>
      </c>
      <c r="B84">
        <f>IF($A84="","",IF(ISNUMBER($A84),IF(AND($A84&gt;=10000101,$A84&lt;=99991231),INT($A84/10000),""),IFERROR(VALUE(TRIM(LEFT($A84,FIND("/",$A84)-1))),"")))</f>
        <v/>
      </c>
      <c r="C84">
        <f>IF(OR($A84="",$B84=""),"",IF(ISNUMBER($A84),INT(MOD($A84,10000)/100),IFERROR(VALUE(TRIM(LEFT(MID($A84,FIND("/",$A84)+1,20),FIND("/",MID($A84,FIND("/",$A84)+1,20))-1))),"")))</f>
        <v/>
      </c>
      <c r="D84">
        <f>IF(OR($A84="",$B84=""),"",IF(ISNUMBER($A84),MOD($A84,100),IFERROR(VALUE(TRIM(MID(MID($A84,FIND("/",$A84)+1,20),FIND("/",MID($A84,FIND("/",$A84)+1,20))+1,20))),"")))</f>
        <v/>
      </c>
      <c r="E84">
        <f>IF($A84="","",IF(OR($B84="",$C84="",$D84="",$B84&lt;1300,$B84&gt;1500,$C84&lt;1,$C84&gt;12,$D84&lt;1,$D84&gt;31),"نامعتبر",RIGHT("0000"&amp;$B84,4)&amp;"/"&amp;RIGHT("00"&amp;$C84,2)&amp;"/"&amp;RIGHT("00"&amp;$D84,2)))</f>
        <v/>
      </c>
      <c r="F84">
        <f>IF(OR($E84="",$E84="نامعتبر"),"",LEFT($E84,4)&amp;"/"&amp;MID($E84,6,2))</f>
        <v/>
      </c>
      <c r="G84">
        <f>IF(OR($E84="",$E84="نامعتبر",Sync!$X80=""),"",IF(AND(LEFT(UPPER(TRIM(Sync!$X80)),2)="SL",IFERROR(VLOOKUP(Sync!$W80,OpTbl,3,0),"")="فروش"),UPPER(TRIM(Sync!$X80)),""))</f>
        <v/>
      </c>
      <c r="H84">
        <f>IF($G84="","",IF(Sync!$W80="","",Sync!$W80))</f>
        <v/>
      </c>
      <c r="I84">
        <f>IF(OR($G84="",Sync!$Y80=""),"",Sync!$Y80)</f>
        <v/>
      </c>
      <c r="J84">
        <f>IF(OR($G84="",Sync!$Z80=""),"",Sync!$Z80)</f>
        <v/>
      </c>
      <c r="K84">
        <f>IF($G84="",0,IF(Sync!$AA80="",0,Sync!$AA80))</f>
        <v/>
      </c>
      <c r="L84">
        <f>IF($G84="",0,IF(Sync!$AB80="",0,Sync!$AB80))</f>
        <v/>
      </c>
      <c r="M84">
        <f>IF($G84="","",IF($H84="مرجوعی فروش",-1,1)*($K84-$L84*IFERROR(VLOOKUP("P01",ParamTbl,3,0),1.5)))</f>
        <v/>
      </c>
      <c r="N84">
        <f>IF($G84="",0,IF($H84="مرجوعی فروش",-1,1)*IF(Sync!$AC80="",0,Sync!$AC80))</f>
        <v/>
      </c>
      <c r="O84">
        <f>IF(OR($G84="",Sync!$V80=""),"",Sync!$V80)</f>
        <v/>
      </c>
      <c r="P84">
        <f>IF(OR($G84="",Sync!$AD80=""),"",Sync!$AD80)</f>
        <v/>
      </c>
      <c r="Q84">
        <f>IF($G84="","",IF(Sync!$U80="","0000",IF(AND(ISNUMBER(Sync!$U80),Sync!$U80&gt;=0,Sync!$U80&lt;1),RIGHT("00"&amp;HOUR(Sync!$U80),2)&amp;RIGHT("00"&amp;MINUTE(Sync!$U80),2),IFERROR(RIGHT("00"&amp;VALUE(LEFT(Sync!$U80,FIND(":",Sync!$U80)-1)),2)&amp;RIGHT("00"&amp;VALUE(MID(Sync!$U80,FIND(":",Sync!$U80)+1,2)),2),"0000"))))</f>
        <v/>
      </c>
    </row>
    <row r="85">
      <c r="A85">
        <f>IF(Sync!$T81="","",Sync!$T81)</f>
        <v/>
      </c>
      <c r="B85">
        <f>IF($A85="","",IF(ISNUMBER($A85),IF(AND($A85&gt;=10000101,$A85&lt;=99991231),INT($A85/10000),""),IFERROR(VALUE(TRIM(LEFT($A85,FIND("/",$A85)-1))),"")))</f>
        <v/>
      </c>
      <c r="C85">
        <f>IF(OR($A85="",$B85=""),"",IF(ISNUMBER($A85),INT(MOD($A85,10000)/100),IFERROR(VALUE(TRIM(LEFT(MID($A85,FIND("/",$A85)+1,20),FIND("/",MID($A85,FIND("/",$A85)+1,20))-1))),"")))</f>
        <v/>
      </c>
      <c r="D85">
        <f>IF(OR($A85="",$B85=""),"",IF(ISNUMBER($A85),MOD($A85,100),IFERROR(VALUE(TRIM(MID(MID($A85,FIND("/",$A85)+1,20),FIND("/",MID($A85,FIND("/",$A85)+1,20))+1,20))),"")))</f>
        <v/>
      </c>
      <c r="E85">
        <f>IF($A85="","",IF(OR($B85="",$C85="",$D85="",$B85&lt;1300,$B85&gt;1500,$C85&lt;1,$C85&gt;12,$D85&lt;1,$D85&gt;31),"نامعتبر",RIGHT("0000"&amp;$B85,4)&amp;"/"&amp;RIGHT("00"&amp;$C85,2)&amp;"/"&amp;RIGHT("00"&amp;$D85,2)))</f>
        <v/>
      </c>
      <c r="F85">
        <f>IF(OR($E85="",$E85="نامعتبر"),"",LEFT($E85,4)&amp;"/"&amp;MID($E85,6,2))</f>
        <v/>
      </c>
      <c r="G85">
        <f>IF(OR($E85="",$E85="نامعتبر",Sync!$X81=""),"",IF(AND(LEFT(UPPER(TRIM(Sync!$X81)),2)="SL",IFERROR(VLOOKUP(Sync!$W81,OpTbl,3,0),"")="فروش"),UPPER(TRIM(Sync!$X81)),""))</f>
        <v/>
      </c>
      <c r="H85">
        <f>IF($G85="","",IF(Sync!$W81="","",Sync!$W81))</f>
        <v/>
      </c>
      <c r="I85">
        <f>IF(OR($G85="",Sync!$Y81=""),"",Sync!$Y81)</f>
        <v/>
      </c>
      <c r="J85">
        <f>IF(OR($G85="",Sync!$Z81=""),"",Sync!$Z81)</f>
        <v/>
      </c>
      <c r="K85">
        <f>IF($G85="",0,IF(Sync!$AA81="",0,Sync!$AA81))</f>
        <v/>
      </c>
      <c r="L85">
        <f>IF($G85="",0,IF(Sync!$AB81="",0,Sync!$AB81))</f>
        <v/>
      </c>
      <c r="M85">
        <f>IF($G85="","",IF($H85="مرجوعی فروش",-1,1)*($K85-$L85*IFERROR(VLOOKUP("P01",ParamTbl,3,0),1.5)))</f>
        <v/>
      </c>
      <c r="N85">
        <f>IF($G85="",0,IF($H85="مرجوعی فروش",-1,1)*IF(Sync!$AC81="",0,Sync!$AC81))</f>
        <v/>
      </c>
      <c r="O85">
        <f>IF(OR($G85="",Sync!$V81=""),"",Sync!$V81)</f>
        <v/>
      </c>
      <c r="P85">
        <f>IF(OR($G85="",Sync!$AD81=""),"",Sync!$AD81)</f>
        <v/>
      </c>
      <c r="Q85">
        <f>IF($G85="","",IF(Sync!$U81="","0000",IF(AND(ISNUMBER(Sync!$U81),Sync!$U81&gt;=0,Sync!$U81&lt;1),RIGHT("00"&amp;HOUR(Sync!$U81),2)&amp;RIGHT("00"&amp;MINUTE(Sync!$U81),2),IFERROR(RIGHT("00"&amp;VALUE(LEFT(Sync!$U81,FIND(":",Sync!$U81)-1)),2)&amp;RIGHT("00"&amp;VALUE(MID(Sync!$U81,FIND(":",Sync!$U81)+1,2)),2),"0000"))))</f>
        <v/>
      </c>
    </row>
    <row r="86">
      <c r="A86">
        <f>IF(Sync!$T82="","",Sync!$T82)</f>
        <v/>
      </c>
      <c r="B86">
        <f>IF($A86="","",IF(ISNUMBER($A86),IF(AND($A86&gt;=10000101,$A86&lt;=99991231),INT($A86/10000),""),IFERROR(VALUE(TRIM(LEFT($A86,FIND("/",$A86)-1))),"")))</f>
        <v/>
      </c>
      <c r="C86">
        <f>IF(OR($A86="",$B86=""),"",IF(ISNUMBER($A86),INT(MOD($A86,10000)/100),IFERROR(VALUE(TRIM(LEFT(MID($A86,FIND("/",$A86)+1,20),FIND("/",MID($A86,FIND("/",$A86)+1,20))-1))),"")))</f>
        <v/>
      </c>
      <c r="D86">
        <f>IF(OR($A86="",$B86=""),"",IF(ISNUMBER($A86),MOD($A86,100),IFERROR(VALUE(TRIM(MID(MID($A86,FIND("/",$A86)+1,20),FIND("/",MID($A86,FIND("/",$A86)+1,20))+1,20))),"")))</f>
        <v/>
      </c>
      <c r="E86">
        <f>IF($A86="","",IF(OR($B86="",$C86="",$D86="",$B86&lt;1300,$B86&gt;1500,$C86&lt;1,$C86&gt;12,$D86&lt;1,$D86&gt;31),"نامعتبر",RIGHT("0000"&amp;$B86,4)&amp;"/"&amp;RIGHT("00"&amp;$C86,2)&amp;"/"&amp;RIGHT("00"&amp;$D86,2)))</f>
        <v/>
      </c>
      <c r="F86">
        <f>IF(OR($E86="",$E86="نامعتبر"),"",LEFT($E86,4)&amp;"/"&amp;MID($E86,6,2))</f>
        <v/>
      </c>
      <c r="G86">
        <f>IF(OR($E86="",$E86="نامعتبر",Sync!$X82=""),"",IF(AND(LEFT(UPPER(TRIM(Sync!$X82)),2)="SL",IFERROR(VLOOKUP(Sync!$W82,OpTbl,3,0),"")="فروش"),UPPER(TRIM(Sync!$X82)),""))</f>
        <v/>
      </c>
      <c r="H86">
        <f>IF($G86="","",IF(Sync!$W82="","",Sync!$W82))</f>
        <v/>
      </c>
      <c r="I86">
        <f>IF(OR($G86="",Sync!$Y82=""),"",Sync!$Y82)</f>
        <v/>
      </c>
      <c r="J86">
        <f>IF(OR($G86="",Sync!$Z82=""),"",Sync!$Z82)</f>
        <v/>
      </c>
      <c r="K86">
        <f>IF($G86="",0,IF(Sync!$AA82="",0,Sync!$AA82))</f>
        <v/>
      </c>
      <c r="L86">
        <f>IF($G86="",0,IF(Sync!$AB82="",0,Sync!$AB82))</f>
        <v/>
      </c>
      <c r="M86">
        <f>IF($G86="","",IF($H86="مرجوعی فروش",-1,1)*($K86-$L86*IFERROR(VLOOKUP("P01",ParamTbl,3,0),1.5)))</f>
        <v/>
      </c>
      <c r="N86">
        <f>IF($G86="",0,IF($H86="مرجوعی فروش",-1,1)*IF(Sync!$AC82="",0,Sync!$AC82))</f>
        <v/>
      </c>
      <c r="O86">
        <f>IF(OR($G86="",Sync!$V82=""),"",Sync!$V82)</f>
        <v/>
      </c>
      <c r="P86">
        <f>IF(OR($G86="",Sync!$AD82=""),"",Sync!$AD82)</f>
        <v/>
      </c>
      <c r="Q86">
        <f>IF($G86="","",IF(Sync!$U82="","0000",IF(AND(ISNUMBER(Sync!$U82),Sync!$U82&gt;=0,Sync!$U82&lt;1),RIGHT("00"&amp;HOUR(Sync!$U82),2)&amp;RIGHT("00"&amp;MINUTE(Sync!$U82),2),IFERROR(RIGHT("00"&amp;VALUE(LEFT(Sync!$U82,FIND(":",Sync!$U82)-1)),2)&amp;RIGHT("00"&amp;VALUE(MID(Sync!$U82,FIND(":",Sync!$U82)+1,2)),2),"0000"))))</f>
        <v/>
      </c>
    </row>
    <row r="87">
      <c r="A87">
        <f>IF(Sync!$T83="","",Sync!$T83)</f>
        <v/>
      </c>
      <c r="B87">
        <f>IF($A87="","",IF(ISNUMBER($A87),IF(AND($A87&gt;=10000101,$A87&lt;=99991231),INT($A87/10000),""),IFERROR(VALUE(TRIM(LEFT($A87,FIND("/",$A87)-1))),"")))</f>
        <v/>
      </c>
      <c r="C87">
        <f>IF(OR($A87="",$B87=""),"",IF(ISNUMBER($A87),INT(MOD($A87,10000)/100),IFERROR(VALUE(TRIM(LEFT(MID($A87,FIND("/",$A87)+1,20),FIND("/",MID($A87,FIND("/",$A87)+1,20))-1))),"")))</f>
        <v/>
      </c>
      <c r="D87">
        <f>IF(OR($A87="",$B87=""),"",IF(ISNUMBER($A87),MOD($A87,100),IFERROR(VALUE(TRIM(MID(MID($A87,FIND("/",$A87)+1,20),FIND("/",MID($A87,FIND("/",$A87)+1,20))+1,20))),"")))</f>
        <v/>
      </c>
      <c r="E87">
        <f>IF($A87="","",IF(OR($B87="",$C87="",$D87="",$B87&lt;1300,$B87&gt;1500,$C87&lt;1,$C87&gt;12,$D87&lt;1,$D87&gt;31),"نامعتبر",RIGHT("0000"&amp;$B87,4)&amp;"/"&amp;RIGHT("00"&amp;$C87,2)&amp;"/"&amp;RIGHT("00"&amp;$D87,2)))</f>
        <v/>
      </c>
      <c r="F87">
        <f>IF(OR($E87="",$E87="نامعتبر"),"",LEFT($E87,4)&amp;"/"&amp;MID($E87,6,2))</f>
        <v/>
      </c>
      <c r="G87">
        <f>IF(OR($E87="",$E87="نامعتبر",Sync!$X83=""),"",IF(AND(LEFT(UPPER(TRIM(Sync!$X83)),2)="SL",IFERROR(VLOOKUP(Sync!$W83,OpTbl,3,0),"")="فروش"),UPPER(TRIM(Sync!$X83)),""))</f>
        <v/>
      </c>
      <c r="H87">
        <f>IF($G87="","",IF(Sync!$W83="","",Sync!$W83))</f>
        <v/>
      </c>
      <c r="I87">
        <f>IF(OR($G87="",Sync!$Y83=""),"",Sync!$Y83)</f>
        <v/>
      </c>
      <c r="J87">
        <f>IF(OR($G87="",Sync!$Z83=""),"",Sync!$Z83)</f>
        <v/>
      </c>
      <c r="K87">
        <f>IF($G87="",0,IF(Sync!$AA83="",0,Sync!$AA83))</f>
        <v/>
      </c>
      <c r="L87">
        <f>IF($G87="",0,IF(Sync!$AB83="",0,Sync!$AB83))</f>
        <v/>
      </c>
      <c r="M87">
        <f>IF($G87="","",IF($H87="مرجوعی فروش",-1,1)*($K87-$L87*IFERROR(VLOOKUP("P01",ParamTbl,3,0),1.5)))</f>
        <v/>
      </c>
      <c r="N87">
        <f>IF($G87="",0,IF($H87="مرجوعی فروش",-1,1)*IF(Sync!$AC83="",0,Sync!$AC83))</f>
        <v/>
      </c>
      <c r="O87">
        <f>IF(OR($G87="",Sync!$V83=""),"",Sync!$V83)</f>
        <v/>
      </c>
      <c r="P87">
        <f>IF(OR($G87="",Sync!$AD83=""),"",Sync!$AD83)</f>
        <v/>
      </c>
      <c r="Q87">
        <f>IF($G87="","",IF(Sync!$U83="","0000",IF(AND(ISNUMBER(Sync!$U83),Sync!$U83&gt;=0,Sync!$U83&lt;1),RIGHT("00"&amp;HOUR(Sync!$U83),2)&amp;RIGHT("00"&amp;MINUTE(Sync!$U83),2),IFERROR(RIGHT("00"&amp;VALUE(LEFT(Sync!$U83,FIND(":",Sync!$U83)-1)),2)&amp;RIGHT("00"&amp;VALUE(MID(Sync!$U83,FIND(":",Sync!$U83)+1,2)),2),"0000"))))</f>
        <v/>
      </c>
    </row>
    <row r="88">
      <c r="A88">
        <f>IF(Sync!$T84="","",Sync!$T84)</f>
        <v/>
      </c>
      <c r="B88">
        <f>IF($A88="","",IF(ISNUMBER($A88),IF(AND($A88&gt;=10000101,$A88&lt;=99991231),INT($A88/10000),""),IFERROR(VALUE(TRIM(LEFT($A88,FIND("/",$A88)-1))),"")))</f>
        <v/>
      </c>
      <c r="C88">
        <f>IF(OR($A88="",$B88=""),"",IF(ISNUMBER($A88),INT(MOD($A88,10000)/100),IFERROR(VALUE(TRIM(LEFT(MID($A88,FIND("/",$A88)+1,20),FIND("/",MID($A88,FIND("/",$A88)+1,20))-1))),"")))</f>
        <v/>
      </c>
      <c r="D88">
        <f>IF(OR($A88="",$B88=""),"",IF(ISNUMBER($A88),MOD($A88,100),IFERROR(VALUE(TRIM(MID(MID($A88,FIND("/",$A88)+1,20),FIND("/",MID($A88,FIND("/",$A88)+1,20))+1,20))),"")))</f>
        <v/>
      </c>
      <c r="E88">
        <f>IF($A88="","",IF(OR($B88="",$C88="",$D88="",$B88&lt;1300,$B88&gt;1500,$C88&lt;1,$C88&gt;12,$D88&lt;1,$D88&gt;31),"نامعتبر",RIGHT("0000"&amp;$B88,4)&amp;"/"&amp;RIGHT("00"&amp;$C88,2)&amp;"/"&amp;RIGHT("00"&amp;$D88,2)))</f>
        <v/>
      </c>
      <c r="F88">
        <f>IF(OR($E88="",$E88="نامعتبر"),"",LEFT($E88,4)&amp;"/"&amp;MID($E88,6,2))</f>
        <v/>
      </c>
      <c r="G88">
        <f>IF(OR($E88="",$E88="نامعتبر",Sync!$X84=""),"",IF(AND(LEFT(UPPER(TRIM(Sync!$X84)),2)="SL",IFERROR(VLOOKUP(Sync!$W84,OpTbl,3,0),"")="فروش"),UPPER(TRIM(Sync!$X84)),""))</f>
        <v/>
      </c>
      <c r="H88">
        <f>IF($G88="","",IF(Sync!$W84="","",Sync!$W84))</f>
        <v/>
      </c>
      <c r="I88">
        <f>IF(OR($G88="",Sync!$Y84=""),"",Sync!$Y84)</f>
        <v/>
      </c>
      <c r="J88">
        <f>IF(OR($G88="",Sync!$Z84=""),"",Sync!$Z84)</f>
        <v/>
      </c>
      <c r="K88">
        <f>IF($G88="",0,IF(Sync!$AA84="",0,Sync!$AA84))</f>
        <v/>
      </c>
      <c r="L88">
        <f>IF($G88="",0,IF(Sync!$AB84="",0,Sync!$AB84))</f>
        <v/>
      </c>
      <c r="M88">
        <f>IF($G88="","",IF($H88="مرجوعی فروش",-1,1)*($K88-$L88*IFERROR(VLOOKUP("P01",ParamTbl,3,0),1.5)))</f>
        <v/>
      </c>
      <c r="N88">
        <f>IF($G88="",0,IF($H88="مرجوعی فروش",-1,1)*IF(Sync!$AC84="",0,Sync!$AC84))</f>
        <v/>
      </c>
      <c r="O88">
        <f>IF(OR($G88="",Sync!$V84=""),"",Sync!$V84)</f>
        <v/>
      </c>
      <c r="P88">
        <f>IF(OR($G88="",Sync!$AD84=""),"",Sync!$AD84)</f>
        <v/>
      </c>
      <c r="Q88">
        <f>IF($G88="","",IF(Sync!$U84="","0000",IF(AND(ISNUMBER(Sync!$U84),Sync!$U84&gt;=0,Sync!$U84&lt;1),RIGHT("00"&amp;HOUR(Sync!$U84),2)&amp;RIGHT("00"&amp;MINUTE(Sync!$U84),2),IFERROR(RIGHT("00"&amp;VALUE(LEFT(Sync!$U84,FIND(":",Sync!$U84)-1)),2)&amp;RIGHT("00"&amp;VALUE(MID(Sync!$U84,FIND(":",Sync!$U84)+1,2)),2),"0000"))))</f>
        <v/>
      </c>
    </row>
    <row r="89">
      <c r="A89">
        <f>IF(Sync!$T85="","",Sync!$T85)</f>
        <v/>
      </c>
      <c r="B89">
        <f>IF($A89="","",IF(ISNUMBER($A89),IF(AND($A89&gt;=10000101,$A89&lt;=99991231),INT($A89/10000),""),IFERROR(VALUE(TRIM(LEFT($A89,FIND("/",$A89)-1))),"")))</f>
        <v/>
      </c>
      <c r="C89">
        <f>IF(OR($A89="",$B89=""),"",IF(ISNUMBER($A89),INT(MOD($A89,10000)/100),IFERROR(VALUE(TRIM(LEFT(MID($A89,FIND("/",$A89)+1,20),FIND("/",MID($A89,FIND("/",$A89)+1,20))-1))),"")))</f>
        <v/>
      </c>
      <c r="D89">
        <f>IF(OR($A89="",$B89=""),"",IF(ISNUMBER($A89),MOD($A89,100),IFERROR(VALUE(TRIM(MID(MID($A89,FIND("/",$A89)+1,20),FIND("/",MID($A89,FIND("/",$A89)+1,20))+1,20))),"")))</f>
        <v/>
      </c>
      <c r="E89">
        <f>IF($A89="","",IF(OR($B89="",$C89="",$D89="",$B89&lt;1300,$B89&gt;1500,$C89&lt;1,$C89&gt;12,$D89&lt;1,$D89&gt;31),"نامعتبر",RIGHT("0000"&amp;$B89,4)&amp;"/"&amp;RIGHT("00"&amp;$C89,2)&amp;"/"&amp;RIGHT("00"&amp;$D89,2)))</f>
        <v/>
      </c>
      <c r="F89">
        <f>IF(OR($E89="",$E89="نامعتبر"),"",LEFT($E89,4)&amp;"/"&amp;MID($E89,6,2))</f>
        <v/>
      </c>
      <c r="G89">
        <f>IF(OR($E89="",$E89="نامعتبر",Sync!$X85=""),"",IF(AND(LEFT(UPPER(TRIM(Sync!$X85)),2)="SL",IFERROR(VLOOKUP(Sync!$W85,OpTbl,3,0),"")="فروش"),UPPER(TRIM(Sync!$X85)),""))</f>
        <v/>
      </c>
      <c r="H89">
        <f>IF($G89="","",IF(Sync!$W85="","",Sync!$W85))</f>
        <v/>
      </c>
      <c r="I89">
        <f>IF(OR($G89="",Sync!$Y85=""),"",Sync!$Y85)</f>
        <v/>
      </c>
      <c r="J89">
        <f>IF(OR($G89="",Sync!$Z85=""),"",Sync!$Z85)</f>
        <v/>
      </c>
      <c r="K89">
        <f>IF($G89="",0,IF(Sync!$AA85="",0,Sync!$AA85))</f>
        <v/>
      </c>
      <c r="L89">
        <f>IF($G89="",0,IF(Sync!$AB85="",0,Sync!$AB85))</f>
        <v/>
      </c>
      <c r="M89">
        <f>IF($G89="","",IF($H89="مرجوعی فروش",-1,1)*($K89-$L89*IFERROR(VLOOKUP("P01",ParamTbl,3,0),1.5)))</f>
        <v/>
      </c>
      <c r="N89">
        <f>IF($G89="",0,IF($H89="مرجوعی فروش",-1,1)*IF(Sync!$AC85="",0,Sync!$AC85))</f>
        <v/>
      </c>
      <c r="O89">
        <f>IF(OR($G89="",Sync!$V85=""),"",Sync!$V85)</f>
        <v/>
      </c>
      <c r="P89">
        <f>IF(OR($G89="",Sync!$AD85=""),"",Sync!$AD85)</f>
        <v/>
      </c>
      <c r="Q89">
        <f>IF($G89="","",IF(Sync!$U85="","0000",IF(AND(ISNUMBER(Sync!$U85),Sync!$U85&gt;=0,Sync!$U85&lt;1),RIGHT("00"&amp;HOUR(Sync!$U85),2)&amp;RIGHT("00"&amp;MINUTE(Sync!$U85),2),IFERROR(RIGHT("00"&amp;VALUE(LEFT(Sync!$U85,FIND(":",Sync!$U85)-1)),2)&amp;RIGHT("00"&amp;VALUE(MID(Sync!$U85,FIND(":",Sync!$U85)+1,2)),2),"0000"))))</f>
        <v/>
      </c>
    </row>
    <row r="90">
      <c r="A90">
        <f>IF(Sync!$T86="","",Sync!$T86)</f>
        <v/>
      </c>
      <c r="B90">
        <f>IF($A90="","",IF(ISNUMBER($A90),IF(AND($A90&gt;=10000101,$A90&lt;=99991231),INT($A90/10000),""),IFERROR(VALUE(TRIM(LEFT($A90,FIND("/",$A90)-1))),"")))</f>
        <v/>
      </c>
      <c r="C90">
        <f>IF(OR($A90="",$B90=""),"",IF(ISNUMBER($A90),INT(MOD($A90,10000)/100),IFERROR(VALUE(TRIM(LEFT(MID($A90,FIND("/",$A90)+1,20),FIND("/",MID($A90,FIND("/",$A90)+1,20))-1))),"")))</f>
        <v/>
      </c>
      <c r="D90">
        <f>IF(OR($A90="",$B90=""),"",IF(ISNUMBER($A90),MOD($A90,100),IFERROR(VALUE(TRIM(MID(MID($A90,FIND("/",$A90)+1,20),FIND("/",MID($A90,FIND("/",$A90)+1,20))+1,20))),"")))</f>
        <v/>
      </c>
      <c r="E90">
        <f>IF($A90="","",IF(OR($B90="",$C90="",$D90="",$B90&lt;1300,$B90&gt;1500,$C90&lt;1,$C90&gt;12,$D90&lt;1,$D90&gt;31),"نامعتبر",RIGHT("0000"&amp;$B90,4)&amp;"/"&amp;RIGHT("00"&amp;$C90,2)&amp;"/"&amp;RIGHT("00"&amp;$D90,2)))</f>
        <v/>
      </c>
      <c r="F90">
        <f>IF(OR($E90="",$E90="نامعتبر"),"",LEFT($E90,4)&amp;"/"&amp;MID($E90,6,2))</f>
        <v/>
      </c>
      <c r="G90">
        <f>IF(OR($E90="",$E90="نامعتبر",Sync!$X86=""),"",IF(AND(LEFT(UPPER(TRIM(Sync!$X86)),2)="SL",IFERROR(VLOOKUP(Sync!$W86,OpTbl,3,0),"")="فروش"),UPPER(TRIM(Sync!$X86)),""))</f>
        <v/>
      </c>
      <c r="H90">
        <f>IF($G90="","",IF(Sync!$W86="","",Sync!$W86))</f>
        <v/>
      </c>
      <c r="I90">
        <f>IF(OR($G90="",Sync!$Y86=""),"",Sync!$Y86)</f>
        <v/>
      </c>
      <c r="J90">
        <f>IF(OR($G90="",Sync!$Z86=""),"",Sync!$Z86)</f>
        <v/>
      </c>
      <c r="K90">
        <f>IF($G90="",0,IF(Sync!$AA86="",0,Sync!$AA86))</f>
        <v/>
      </c>
      <c r="L90">
        <f>IF($G90="",0,IF(Sync!$AB86="",0,Sync!$AB86))</f>
        <v/>
      </c>
      <c r="M90">
        <f>IF($G90="","",IF($H90="مرجوعی فروش",-1,1)*($K90-$L90*IFERROR(VLOOKUP("P01",ParamTbl,3,0),1.5)))</f>
        <v/>
      </c>
      <c r="N90">
        <f>IF($G90="",0,IF($H90="مرجوعی فروش",-1,1)*IF(Sync!$AC86="",0,Sync!$AC86))</f>
        <v/>
      </c>
      <c r="O90">
        <f>IF(OR($G90="",Sync!$V86=""),"",Sync!$V86)</f>
        <v/>
      </c>
      <c r="P90">
        <f>IF(OR($G90="",Sync!$AD86=""),"",Sync!$AD86)</f>
        <v/>
      </c>
      <c r="Q90">
        <f>IF($G90="","",IF(Sync!$U86="","0000",IF(AND(ISNUMBER(Sync!$U86),Sync!$U86&gt;=0,Sync!$U86&lt;1),RIGHT("00"&amp;HOUR(Sync!$U86),2)&amp;RIGHT("00"&amp;MINUTE(Sync!$U86),2),IFERROR(RIGHT("00"&amp;VALUE(LEFT(Sync!$U86,FIND(":",Sync!$U86)-1)),2)&amp;RIGHT("00"&amp;VALUE(MID(Sync!$U86,FIND(":",Sync!$U86)+1,2)),2),"0000"))))</f>
        <v/>
      </c>
    </row>
    <row r="91">
      <c r="A91">
        <f>IF(Sync!$T87="","",Sync!$T87)</f>
        <v/>
      </c>
      <c r="B91">
        <f>IF($A91="","",IF(ISNUMBER($A91),IF(AND($A91&gt;=10000101,$A91&lt;=99991231),INT($A91/10000),""),IFERROR(VALUE(TRIM(LEFT($A91,FIND("/",$A91)-1))),"")))</f>
        <v/>
      </c>
      <c r="C91">
        <f>IF(OR($A91="",$B91=""),"",IF(ISNUMBER($A91),INT(MOD($A91,10000)/100),IFERROR(VALUE(TRIM(LEFT(MID($A91,FIND("/",$A91)+1,20),FIND("/",MID($A91,FIND("/",$A91)+1,20))-1))),"")))</f>
        <v/>
      </c>
      <c r="D91">
        <f>IF(OR($A91="",$B91=""),"",IF(ISNUMBER($A91),MOD($A91,100),IFERROR(VALUE(TRIM(MID(MID($A91,FIND("/",$A91)+1,20),FIND("/",MID($A91,FIND("/",$A91)+1,20))+1,20))),"")))</f>
        <v/>
      </c>
      <c r="E91">
        <f>IF($A91="","",IF(OR($B91="",$C91="",$D91="",$B91&lt;1300,$B91&gt;1500,$C91&lt;1,$C91&gt;12,$D91&lt;1,$D91&gt;31),"نامعتبر",RIGHT("0000"&amp;$B91,4)&amp;"/"&amp;RIGHT("00"&amp;$C91,2)&amp;"/"&amp;RIGHT("00"&amp;$D91,2)))</f>
        <v/>
      </c>
      <c r="F91">
        <f>IF(OR($E91="",$E91="نامعتبر"),"",LEFT($E91,4)&amp;"/"&amp;MID($E91,6,2))</f>
        <v/>
      </c>
      <c r="G91">
        <f>IF(OR($E91="",$E91="نامعتبر",Sync!$X87=""),"",IF(AND(LEFT(UPPER(TRIM(Sync!$X87)),2)="SL",IFERROR(VLOOKUP(Sync!$W87,OpTbl,3,0),"")="فروش"),UPPER(TRIM(Sync!$X87)),""))</f>
        <v/>
      </c>
      <c r="H91">
        <f>IF($G91="","",IF(Sync!$W87="","",Sync!$W87))</f>
        <v/>
      </c>
      <c r="I91">
        <f>IF(OR($G91="",Sync!$Y87=""),"",Sync!$Y87)</f>
        <v/>
      </c>
      <c r="J91">
        <f>IF(OR($G91="",Sync!$Z87=""),"",Sync!$Z87)</f>
        <v/>
      </c>
      <c r="K91">
        <f>IF($G91="",0,IF(Sync!$AA87="",0,Sync!$AA87))</f>
        <v/>
      </c>
      <c r="L91">
        <f>IF($G91="",0,IF(Sync!$AB87="",0,Sync!$AB87))</f>
        <v/>
      </c>
      <c r="M91">
        <f>IF($G91="","",IF($H91="مرجوعی فروش",-1,1)*($K91-$L91*IFERROR(VLOOKUP("P01",ParamTbl,3,0),1.5)))</f>
        <v/>
      </c>
      <c r="N91">
        <f>IF($G91="",0,IF($H91="مرجوعی فروش",-1,1)*IF(Sync!$AC87="",0,Sync!$AC87))</f>
        <v/>
      </c>
      <c r="O91">
        <f>IF(OR($G91="",Sync!$V87=""),"",Sync!$V87)</f>
        <v/>
      </c>
      <c r="P91">
        <f>IF(OR($G91="",Sync!$AD87=""),"",Sync!$AD87)</f>
        <v/>
      </c>
      <c r="Q91">
        <f>IF($G91="","",IF(Sync!$U87="","0000",IF(AND(ISNUMBER(Sync!$U87),Sync!$U87&gt;=0,Sync!$U87&lt;1),RIGHT("00"&amp;HOUR(Sync!$U87),2)&amp;RIGHT("00"&amp;MINUTE(Sync!$U87),2),IFERROR(RIGHT("00"&amp;VALUE(LEFT(Sync!$U87,FIND(":",Sync!$U87)-1)),2)&amp;RIGHT("00"&amp;VALUE(MID(Sync!$U87,FIND(":",Sync!$U87)+1,2)),2),"0000"))))</f>
        <v/>
      </c>
    </row>
    <row r="92">
      <c r="A92">
        <f>IF(Sync!$T88="","",Sync!$T88)</f>
        <v/>
      </c>
      <c r="B92">
        <f>IF($A92="","",IF(ISNUMBER($A92),IF(AND($A92&gt;=10000101,$A92&lt;=99991231),INT($A92/10000),""),IFERROR(VALUE(TRIM(LEFT($A92,FIND("/",$A92)-1))),"")))</f>
        <v/>
      </c>
      <c r="C92">
        <f>IF(OR($A92="",$B92=""),"",IF(ISNUMBER($A92),INT(MOD($A92,10000)/100),IFERROR(VALUE(TRIM(LEFT(MID($A92,FIND("/",$A92)+1,20),FIND("/",MID($A92,FIND("/",$A92)+1,20))-1))),"")))</f>
        <v/>
      </c>
      <c r="D92">
        <f>IF(OR($A92="",$B92=""),"",IF(ISNUMBER($A92),MOD($A92,100),IFERROR(VALUE(TRIM(MID(MID($A92,FIND("/",$A92)+1,20),FIND("/",MID($A92,FIND("/",$A92)+1,20))+1,20))),"")))</f>
        <v/>
      </c>
      <c r="E92">
        <f>IF($A92="","",IF(OR($B92="",$C92="",$D92="",$B92&lt;1300,$B92&gt;1500,$C92&lt;1,$C92&gt;12,$D92&lt;1,$D92&gt;31),"نامعتبر",RIGHT("0000"&amp;$B92,4)&amp;"/"&amp;RIGHT("00"&amp;$C92,2)&amp;"/"&amp;RIGHT("00"&amp;$D92,2)))</f>
        <v/>
      </c>
      <c r="F92">
        <f>IF(OR($E92="",$E92="نامعتبر"),"",LEFT($E92,4)&amp;"/"&amp;MID($E92,6,2))</f>
        <v/>
      </c>
      <c r="G92">
        <f>IF(OR($E92="",$E92="نامعتبر",Sync!$X88=""),"",IF(AND(LEFT(UPPER(TRIM(Sync!$X88)),2)="SL",IFERROR(VLOOKUP(Sync!$W88,OpTbl,3,0),"")="فروش"),UPPER(TRIM(Sync!$X88)),""))</f>
        <v/>
      </c>
      <c r="H92">
        <f>IF($G92="","",IF(Sync!$W88="","",Sync!$W88))</f>
        <v/>
      </c>
      <c r="I92">
        <f>IF(OR($G92="",Sync!$Y88=""),"",Sync!$Y88)</f>
        <v/>
      </c>
      <c r="J92">
        <f>IF(OR($G92="",Sync!$Z88=""),"",Sync!$Z88)</f>
        <v/>
      </c>
      <c r="K92">
        <f>IF($G92="",0,IF(Sync!$AA88="",0,Sync!$AA88))</f>
        <v/>
      </c>
      <c r="L92">
        <f>IF($G92="",0,IF(Sync!$AB88="",0,Sync!$AB88))</f>
        <v/>
      </c>
      <c r="M92">
        <f>IF($G92="","",IF($H92="مرجوعی فروش",-1,1)*($K92-$L92*IFERROR(VLOOKUP("P01",ParamTbl,3,0),1.5)))</f>
        <v/>
      </c>
      <c r="N92">
        <f>IF($G92="",0,IF($H92="مرجوعی فروش",-1,1)*IF(Sync!$AC88="",0,Sync!$AC88))</f>
        <v/>
      </c>
      <c r="O92">
        <f>IF(OR($G92="",Sync!$V88=""),"",Sync!$V88)</f>
        <v/>
      </c>
      <c r="P92">
        <f>IF(OR($G92="",Sync!$AD88=""),"",Sync!$AD88)</f>
        <v/>
      </c>
      <c r="Q92">
        <f>IF($G92="","",IF(Sync!$U88="","0000",IF(AND(ISNUMBER(Sync!$U88),Sync!$U88&gt;=0,Sync!$U88&lt;1),RIGHT("00"&amp;HOUR(Sync!$U88),2)&amp;RIGHT("00"&amp;MINUTE(Sync!$U88),2),IFERROR(RIGHT("00"&amp;VALUE(LEFT(Sync!$U88,FIND(":",Sync!$U88)-1)),2)&amp;RIGHT("00"&amp;VALUE(MID(Sync!$U88,FIND(":",Sync!$U88)+1,2)),2),"0000"))))</f>
        <v/>
      </c>
    </row>
    <row r="93">
      <c r="A93">
        <f>IF(Sync!$T89="","",Sync!$T89)</f>
        <v/>
      </c>
      <c r="B93">
        <f>IF($A93="","",IF(ISNUMBER($A93),IF(AND($A93&gt;=10000101,$A93&lt;=99991231),INT($A93/10000),""),IFERROR(VALUE(TRIM(LEFT($A93,FIND("/",$A93)-1))),"")))</f>
        <v/>
      </c>
      <c r="C93">
        <f>IF(OR($A93="",$B93=""),"",IF(ISNUMBER($A93),INT(MOD($A93,10000)/100),IFERROR(VALUE(TRIM(LEFT(MID($A93,FIND("/",$A93)+1,20),FIND("/",MID($A93,FIND("/",$A93)+1,20))-1))),"")))</f>
        <v/>
      </c>
      <c r="D93">
        <f>IF(OR($A93="",$B93=""),"",IF(ISNUMBER($A93),MOD($A93,100),IFERROR(VALUE(TRIM(MID(MID($A93,FIND("/",$A93)+1,20),FIND("/",MID($A93,FIND("/",$A93)+1,20))+1,20))),"")))</f>
        <v/>
      </c>
      <c r="E93">
        <f>IF($A93="","",IF(OR($B93="",$C93="",$D93="",$B93&lt;1300,$B93&gt;1500,$C93&lt;1,$C93&gt;12,$D93&lt;1,$D93&gt;31),"نامعتبر",RIGHT("0000"&amp;$B93,4)&amp;"/"&amp;RIGHT("00"&amp;$C93,2)&amp;"/"&amp;RIGHT("00"&amp;$D93,2)))</f>
        <v/>
      </c>
      <c r="F93">
        <f>IF(OR($E93="",$E93="نامعتبر"),"",LEFT($E93,4)&amp;"/"&amp;MID($E93,6,2))</f>
        <v/>
      </c>
      <c r="G93">
        <f>IF(OR($E93="",$E93="نامعتبر",Sync!$X89=""),"",IF(AND(LEFT(UPPER(TRIM(Sync!$X89)),2)="SL",IFERROR(VLOOKUP(Sync!$W89,OpTbl,3,0),"")="فروش"),UPPER(TRIM(Sync!$X89)),""))</f>
        <v/>
      </c>
      <c r="H93">
        <f>IF($G93="","",IF(Sync!$W89="","",Sync!$W89))</f>
        <v/>
      </c>
      <c r="I93">
        <f>IF(OR($G93="",Sync!$Y89=""),"",Sync!$Y89)</f>
        <v/>
      </c>
      <c r="J93">
        <f>IF(OR($G93="",Sync!$Z89=""),"",Sync!$Z89)</f>
        <v/>
      </c>
      <c r="K93">
        <f>IF($G93="",0,IF(Sync!$AA89="",0,Sync!$AA89))</f>
        <v/>
      </c>
      <c r="L93">
        <f>IF($G93="",0,IF(Sync!$AB89="",0,Sync!$AB89))</f>
        <v/>
      </c>
      <c r="M93">
        <f>IF($G93="","",IF($H93="مرجوعی فروش",-1,1)*($K93-$L93*IFERROR(VLOOKUP("P01",ParamTbl,3,0),1.5)))</f>
        <v/>
      </c>
      <c r="N93">
        <f>IF($G93="",0,IF($H93="مرجوعی فروش",-1,1)*IF(Sync!$AC89="",0,Sync!$AC89))</f>
        <v/>
      </c>
      <c r="O93">
        <f>IF(OR($G93="",Sync!$V89=""),"",Sync!$V89)</f>
        <v/>
      </c>
      <c r="P93">
        <f>IF(OR($G93="",Sync!$AD89=""),"",Sync!$AD89)</f>
        <v/>
      </c>
      <c r="Q93">
        <f>IF($G93="","",IF(Sync!$U89="","0000",IF(AND(ISNUMBER(Sync!$U89),Sync!$U89&gt;=0,Sync!$U89&lt;1),RIGHT("00"&amp;HOUR(Sync!$U89),2)&amp;RIGHT("00"&amp;MINUTE(Sync!$U89),2),IFERROR(RIGHT("00"&amp;VALUE(LEFT(Sync!$U89,FIND(":",Sync!$U89)-1)),2)&amp;RIGHT("00"&amp;VALUE(MID(Sync!$U89,FIND(":",Sync!$U89)+1,2)),2),"0000"))))</f>
        <v/>
      </c>
    </row>
    <row r="94">
      <c r="A94">
        <f>IF(Sync!$T90="","",Sync!$T90)</f>
        <v/>
      </c>
      <c r="B94">
        <f>IF($A94="","",IF(ISNUMBER($A94),IF(AND($A94&gt;=10000101,$A94&lt;=99991231),INT($A94/10000),""),IFERROR(VALUE(TRIM(LEFT($A94,FIND("/",$A94)-1))),"")))</f>
        <v/>
      </c>
      <c r="C94">
        <f>IF(OR($A94="",$B94=""),"",IF(ISNUMBER($A94),INT(MOD($A94,10000)/100),IFERROR(VALUE(TRIM(LEFT(MID($A94,FIND("/",$A94)+1,20),FIND("/",MID($A94,FIND("/",$A94)+1,20))-1))),"")))</f>
        <v/>
      </c>
      <c r="D94">
        <f>IF(OR($A94="",$B94=""),"",IF(ISNUMBER($A94),MOD($A94,100),IFERROR(VALUE(TRIM(MID(MID($A94,FIND("/",$A94)+1,20),FIND("/",MID($A94,FIND("/",$A94)+1,20))+1,20))),"")))</f>
        <v/>
      </c>
      <c r="E94">
        <f>IF($A94="","",IF(OR($B94="",$C94="",$D94="",$B94&lt;1300,$B94&gt;1500,$C94&lt;1,$C94&gt;12,$D94&lt;1,$D94&gt;31),"نامعتبر",RIGHT("0000"&amp;$B94,4)&amp;"/"&amp;RIGHT("00"&amp;$C94,2)&amp;"/"&amp;RIGHT("00"&amp;$D94,2)))</f>
        <v/>
      </c>
      <c r="F94">
        <f>IF(OR($E94="",$E94="نامعتبر"),"",LEFT($E94,4)&amp;"/"&amp;MID($E94,6,2))</f>
        <v/>
      </c>
      <c r="G94">
        <f>IF(OR($E94="",$E94="نامعتبر",Sync!$X90=""),"",IF(AND(LEFT(UPPER(TRIM(Sync!$X90)),2)="SL",IFERROR(VLOOKUP(Sync!$W90,OpTbl,3,0),"")="فروش"),UPPER(TRIM(Sync!$X90)),""))</f>
        <v/>
      </c>
      <c r="H94">
        <f>IF($G94="","",IF(Sync!$W90="","",Sync!$W90))</f>
        <v/>
      </c>
      <c r="I94">
        <f>IF(OR($G94="",Sync!$Y90=""),"",Sync!$Y90)</f>
        <v/>
      </c>
      <c r="J94">
        <f>IF(OR($G94="",Sync!$Z90=""),"",Sync!$Z90)</f>
        <v/>
      </c>
      <c r="K94">
        <f>IF($G94="",0,IF(Sync!$AA90="",0,Sync!$AA90))</f>
        <v/>
      </c>
      <c r="L94">
        <f>IF($G94="",0,IF(Sync!$AB90="",0,Sync!$AB90))</f>
        <v/>
      </c>
      <c r="M94">
        <f>IF($G94="","",IF($H94="مرجوعی فروش",-1,1)*($K94-$L94*IFERROR(VLOOKUP("P01",ParamTbl,3,0),1.5)))</f>
        <v/>
      </c>
      <c r="N94">
        <f>IF($G94="",0,IF($H94="مرجوعی فروش",-1,1)*IF(Sync!$AC90="",0,Sync!$AC90))</f>
        <v/>
      </c>
      <c r="O94">
        <f>IF(OR($G94="",Sync!$V90=""),"",Sync!$V90)</f>
        <v/>
      </c>
      <c r="P94">
        <f>IF(OR($G94="",Sync!$AD90=""),"",Sync!$AD90)</f>
        <v/>
      </c>
      <c r="Q94">
        <f>IF($G94="","",IF(Sync!$U90="","0000",IF(AND(ISNUMBER(Sync!$U90),Sync!$U90&gt;=0,Sync!$U90&lt;1),RIGHT("00"&amp;HOUR(Sync!$U90),2)&amp;RIGHT("00"&amp;MINUTE(Sync!$U90),2),IFERROR(RIGHT("00"&amp;VALUE(LEFT(Sync!$U90,FIND(":",Sync!$U90)-1)),2)&amp;RIGHT("00"&amp;VALUE(MID(Sync!$U90,FIND(":",Sync!$U90)+1,2)),2),"0000"))))</f>
        <v/>
      </c>
    </row>
    <row r="95">
      <c r="A95">
        <f>IF(Sync!$T91="","",Sync!$T91)</f>
        <v/>
      </c>
      <c r="B95">
        <f>IF($A95="","",IF(ISNUMBER($A95),IF(AND($A95&gt;=10000101,$A95&lt;=99991231),INT($A95/10000),""),IFERROR(VALUE(TRIM(LEFT($A95,FIND("/",$A95)-1))),"")))</f>
        <v/>
      </c>
      <c r="C95">
        <f>IF(OR($A95="",$B95=""),"",IF(ISNUMBER($A95),INT(MOD($A95,10000)/100),IFERROR(VALUE(TRIM(LEFT(MID($A95,FIND("/",$A95)+1,20),FIND("/",MID($A95,FIND("/",$A95)+1,20))-1))),"")))</f>
        <v/>
      </c>
      <c r="D95">
        <f>IF(OR($A95="",$B95=""),"",IF(ISNUMBER($A95),MOD($A95,100),IFERROR(VALUE(TRIM(MID(MID($A95,FIND("/",$A95)+1,20),FIND("/",MID($A95,FIND("/",$A95)+1,20))+1,20))),"")))</f>
        <v/>
      </c>
      <c r="E95">
        <f>IF($A95="","",IF(OR($B95="",$C95="",$D95="",$B95&lt;1300,$B95&gt;1500,$C95&lt;1,$C95&gt;12,$D95&lt;1,$D95&gt;31),"نامعتبر",RIGHT("0000"&amp;$B95,4)&amp;"/"&amp;RIGHT("00"&amp;$C95,2)&amp;"/"&amp;RIGHT("00"&amp;$D95,2)))</f>
        <v/>
      </c>
      <c r="F95">
        <f>IF(OR($E95="",$E95="نامعتبر"),"",LEFT($E95,4)&amp;"/"&amp;MID($E95,6,2))</f>
        <v/>
      </c>
      <c r="G95">
        <f>IF(OR($E95="",$E95="نامعتبر",Sync!$X91=""),"",IF(AND(LEFT(UPPER(TRIM(Sync!$X91)),2)="SL",IFERROR(VLOOKUP(Sync!$W91,OpTbl,3,0),"")="فروش"),UPPER(TRIM(Sync!$X91)),""))</f>
        <v/>
      </c>
      <c r="H95">
        <f>IF($G95="","",IF(Sync!$W91="","",Sync!$W91))</f>
        <v/>
      </c>
      <c r="I95">
        <f>IF(OR($G95="",Sync!$Y91=""),"",Sync!$Y91)</f>
        <v/>
      </c>
      <c r="J95">
        <f>IF(OR($G95="",Sync!$Z91=""),"",Sync!$Z91)</f>
        <v/>
      </c>
      <c r="K95">
        <f>IF($G95="",0,IF(Sync!$AA91="",0,Sync!$AA91))</f>
        <v/>
      </c>
      <c r="L95">
        <f>IF($G95="",0,IF(Sync!$AB91="",0,Sync!$AB91))</f>
        <v/>
      </c>
      <c r="M95">
        <f>IF($G95="","",IF($H95="مرجوعی فروش",-1,1)*($K95-$L95*IFERROR(VLOOKUP("P01",ParamTbl,3,0),1.5)))</f>
        <v/>
      </c>
      <c r="N95">
        <f>IF($G95="",0,IF($H95="مرجوعی فروش",-1,1)*IF(Sync!$AC91="",0,Sync!$AC91))</f>
        <v/>
      </c>
      <c r="O95">
        <f>IF(OR($G95="",Sync!$V91=""),"",Sync!$V91)</f>
        <v/>
      </c>
      <c r="P95">
        <f>IF(OR($G95="",Sync!$AD91=""),"",Sync!$AD91)</f>
        <v/>
      </c>
      <c r="Q95">
        <f>IF($G95="","",IF(Sync!$U91="","0000",IF(AND(ISNUMBER(Sync!$U91),Sync!$U91&gt;=0,Sync!$U91&lt;1),RIGHT("00"&amp;HOUR(Sync!$U91),2)&amp;RIGHT("00"&amp;MINUTE(Sync!$U91),2),IFERROR(RIGHT("00"&amp;VALUE(LEFT(Sync!$U91,FIND(":",Sync!$U91)-1)),2)&amp;RIGHT("00"&amp;VALUE(MID(Sync!$U91,FIND(":",Sync!$U91)+1,2)),2),"0000"))))</f>
        <v/>
      </c>
    </row>
    <row r="96">
      <c r="A96">
        <f>IF(Sync!$T92="","",Sync!$T92)</f>
        <v/>
      </c>
      <c r="B96">
        <f>IF($A96="","",IF(ISNUMBER($A96),IF(AND($A96&gt;=10000101,$A96&lt;=99991231),INT($A96/10000),""),IFERROR(VALUE(TRIM(LEFT($A96,FIND("/",$A96)-1))),"")))</f>
        <v/>
      </c>
      <c r="C96">
        <f>IF(OR($A96="",$B96=""),"",IF(ISNUMBER($A96),INT(MOD($A96,10000)/100),IFERROR(VALUE(TRIM(LEFT(MID($A96,FIND("/",$A96)+1,20),FIND("/",MID($A96,FIND("/",$A96)+1,20))-1))),"")))</f>
        <v/>
      </c>
      <c r="D96">
        <f>IF(OR($A96="",$B96=""),"",IF(ISNUMBER($A96),MOD($A96,100),IFERROR(VALUE(TRIM(MID(MID($A96,FIND("/",$A96)+1,20),FIND("/",MID($A96,FIND("/",$A96)+1,20))+1,20))),"")))</f>
        <v/>
      </c>
      <c r="E96">
        <f>IF($A96="","",IF(OR($B96="",$C96="",$D96="",$B96&lt;1300,$B96&gt;1500,$C96&lt;1,$C96&gt;12,$D96&lt;1,$D96&gt;31),"نامعتبر",RIGHT("0000"&amp;$B96,4)&amp;"/"&amp;RIGHT("00"&amp;$C96,2)&amp;"/"&amp;RIGHT("00"&amp;$D96,2)))</f>
        <v/>
      </c>
      <c r="F96">
        <f>IF(OR($E96="",$E96="نامعتبر"),"",LEFT($E96,4)&amp;"/"&amp;MID($E96,6,2))</f>
        <v/>
      </c>
      <c r="G96">
        <f>IF(OR($E96="",$E96="نامعتبر",Sync!$X92=""),"",IF(AND(LEFT(UPPER(TRIM(Sync!$X92)),2)="SL",IFERROR(VLOOKUP(Sync!$W92,OpTbl,3,0),"")="فروش"),UPPER(TRIM(Sync!$X92)),""))</f>
        <v/>
      </c>
      <c r="H96">
        <f>IF($G96="","",IF(Sync!$W92="","",Sync!$W92))</f>
        <v/>
      </c>
      <c r="I96">
        <f>IF(OR($G96="",Sync!$Y92=""),"",Sync!$Y92)</f>
        <v/>
      </c>
      <c r="J96">
        <f>IF(OR($G96="",Sync!$Z92=""),"",Sync!$Z92)</f>
        <v/>
      </c>
      <c r="K96">
        <f>IF($G96="",0,IF(Sync!$AA92="",0,Sync!$AA92))</f>
        <v/>
      </c>
      <c r="L96">
        <f>IF($G96="",0,IF(Sync!$AB92="",0,Sync!$AB92))</f>
        <v/>
      </c>
      <c r="M96">
        <f>IF($G96="","",IF($H96="مرجوعی فروش",-1,1)*($K96-$L96*IFERROR(VLOOKUP("P01",ParamTbl,3,0),1.5)))</f>
        <v/>
      </c>
      <c r="N96">
        <f>IF($G96="",0,IF($H96="مرجوعی فروش",-1,1)*IF(Sync!$AC92="",0,Sync!$AC92))</f>
        <v/>
      </c>
      <c r="O96">
        <f>IF(OR($G96="",Sync!$V92=""),"",Sync!$V92)</f>
        <v/>
      </c>
      <c r="P96">
        <f>IF(OR($G96="",Sync!$AD92=""),"",Sync!$AD92)</f>
        <v/>
      </c>
      <c r="Q96">
        <f>IF($G96="","",IF(Sync!$U92="","0000",IF(AND(ISNUMBER(Sync!$U92),Sync!$U92&gt;=0,Sync!$U92&lt;1),RIGHT("00"&amp;HOUR(Sync!$U92),2)&amp;RIGHT("00"&amp;MINUTE(Sync!$U92),2),IFERROR(RIGHT("00"&amp;VALUE(LEFT(Sync!$U92,FIND(":",Sync!$U92)-1)),2)&amp;RIGHT("00"&amp;VALUE(MID(Sync!$U92,FIND(":",Sync!$U92)+1,2)),2),"0000"))))</f>
        <v/>
      </c>
    </row>
    <row r="97">
      <c r="A97">
        <f>IF(Sync!$T93="","",Sync!$T93)</f>
        <v/>
      </c>
      <c r="B97">
        <f>IF($A97="","",IF(ISNUMBER($A97),IF(AND($A97&gt;=10000101,$A97&lt;=99991231),INT($A97/10000),""),IFERROR(VALUE(TRIM(LEFT($A97,FIND("/",$A97)-1))),"")))</f>
        <v/>
      </c>
      <c r="C97">
        <f>IF(OR($A97="",$B97=""),"",IF(ISNUMBER($A97),INT(MOD($A97,10000)/100),IFERROR(VALUE(TRIM(LEFT(MID($A97,FIND("/",$A97)+1,20),FIND("/",MID($A97,FIND("/",$A97)+1,20))-1))),"")))</f>
        <v/>
      </c>
      <c r="D97">
        <f>IF(OR($A97="",$B97=""),"",IF(ISNUMBER($A97),MOD($A97,100),IFERROR(VALUE(TRIM(MID(MID($A97,FIND("/",$A97)+1,20),FIND("/",MID($A97,FIND("/",$A97)+1,20))+1,20))),"")))</f>
        <v/>
      </c>
      <c r="E97">
        <f>IF($A97="","",IF(OR($B97="",$C97="",$D97="",$B97&lt;1300,$B97&gt;1500,$C97&lt;1,$C97&gt;12,$D97&lt;1,$D97&gt;31),"نامعتبر",RIGHT("0000"&amp;$B97,4)&amp;"/"&amp;RIGHT("00"&amp;$C97,2)&amp;"/"&amp;RIGHT("00"&amp;$D97,2)))</f>
        <v/>
      </c>
      <c r="F97">
        <f>IF(OR($E97="",$E97="نامعتبر"),"",LEFT($E97,4)&amp;"/"&amp;MID($E97,6,2))</f>
        <v/>
      </c>
      <c r="G97">
        <f>IF(OR($E97="",$E97="نامعتبر",Sync!$X93=""),"",IF(AND(LEFT(UPPER(TRIM(Sync!$X93)),2)="SL",IFERROR(VLOOKUP(Sync!$W93,OpTbl,3,0),"")="فروش"),UPPER(TRIM(Sync!$X93)),""))</f>
        <v/>
      </c>
      <c r="H97">
        <f>IF($G97="","",IF(Sync!$W93="","",Sync!$W93))</f>
        <v/>
      </c>
      <c r="I97">
        <f>IF(OR($G97="",Sync!$Y93=""),"",Sync!$Y93)</f>
        <v/>
      </c>
      <c r="J97">
        <f>IF(OR($G97="",Sync!$Z93=""),"",Sync!$Z93)</f>
        <v/>
      </c>
      <c r="K97">
        <f>IF($G97="",0,IF(Sync!$AA93="",0,Sync!$AA93))</f>
        <v/>
      </c>
      <c r="L97">
        <f>IF($G97="",0,IF(Sync!$AB93="",0,Sync!$AB93))</f>
        <v/>
      </c>
      <c r="M97">
        <f>IF($G97="","",IF($H97="مرجوعی فروش",-1,1)*($K97-$L97*IFERROR(VLOOKUP("P01",ParamTbl,3,0),1.5)))</f>
        <v/>
      </c>
      <c r="N97">
        <f>IF($G97="",0,IF($H97="مرجوعی فروش",-1,1)*IF(Sync!$AC93="",0,Sync!$AC93))</f>
        <v/>
      </c>
      <c r="O97">
        <f>IF(OR($G97="",Sync!$V93=""),"",Sync!$V93)</f>
        <v/>
      </c>
      <c r="P97">
        <f>IF(OR($G97="",Sync!$AD93=""),"",Sync!$AD93)</f>
        <v/>
      </c>
      <c r="Q97">
        <f>IF($G97="","",IF(Sync!$U93="","0000",IF(AND(ISNUMBER(Sync!$U93),Sync!$U93&gt;=0,Sync!$U93&lt;1),RIGHT("00"&amp;HOUR(Sync!$U93),2)&amp;RIGHT("00"&amp;MINUTE(Sync!$U93),2),IFERROR(RIGHT("00"&amp;VALUE(LEFT(Sync!$U93,FIND(":",Sync!$U93)-1)),2)&amp;RIGHT("00"&amp;VALUE(MID(Sync!$U93,FIND(":",Sync!$U93)+1,2)),2),"0000"))))</f>
        <v/>
      </c>
    </row>
    <row r="98">
      <c r="A98">
        <f>IF(Sync!$T94="","",Sync!$T94)</f>
        <v/>
      </c>
      <c r="B98">
        <f>IF($A98="","",IF(ISNUMBER($A98),IF(AND($A98&gt;=10000101,$A98&lt;=99991231),INT($A98/10000),""),IFERROR(VALUE(TRIM(LEFT($A98,FIND("/",$A98)-1))),"")))</f>
        <v/>
      </c>
      <c r="C98">
        <f>IF(OR($A98="",$B98=""),"",IF(ISNUMBER($A98),INT(MOD($A98,10000)/100),IFERROR(VALUE(TRIM(LEFT(MID($A98,FIND("/",$A98)+1,20),FIND("/",MID($A98,FIND("/",$A98)+1,20))-1))),"")))</f>
        <v/>
      </c>
      <c r="D98">
        <f>IF(OR($A98="",$B98=""),"",IF(ISNUMBER($A98),MOD($A98,100),IFERROR(VALUE(TRIM(MID(MID($A98,FIND("/",$A98)+1,20),FIND("/",MID($A98,FIND("/",$A98)+1,20))+1,20))),"")))</f>
        <v/>
      </c>
      <c r="E98">
        <f>IF($A98="","",IF(OR($B98="",$C98="",$D98="",$B98&lt;1300,$B98&gt;1500,$C98&lt;1,$C98&gt;12,$D98&lt;1,$D98&gt;31),"نامعتبر",RIGHT("0000"&amp;$B98,4)&amp;"/"&amp;RIGHT("00"&amp;$C98,2)&amp;"/"&amp;RIGHT("00"&amp;$D98,2)))</f>
        <v/>
      </c>
      <c r="F98">
        <f>IF(OR($E98="",$E98="نامعتبر"),"",LEFT($E98,4)&amp;"/"&amp;MID($E98,6,2))</f>
        <v/>
      </c>
      <c r="G98">
        <f>IF(OR($E98="",$E98="نامعتبر",Sync!$X94=""),"",IF(AND(LEFT(UPPER(TRIM(Sync!$X94)),2)="SL",IFERROR(VLOOKUP(Sync!$W94,OpTbl,3,0),"")="فروش"),UPPER(TRIM(Sync!$X94)),""))</f>
        <v/>
      </c>
      <c r="H98">
        <f>IF($G98="","",IF(Sync!$W94="","",Sync!$W94))</f>
        <v/>
      </c>
      <c r="I98">
        <f>IF(OR($G98="",Sync!$Y94=""),"",Sync!$Y94)</f>
        <v/>
      </c>
      <c r="J98">
        <f>IF(OR($G98="",Sync!$Z94=""),"",Sync!$Z94)</f>
        <v/>
      </c>
      <c r="K98">
        <f>IF($G98="",0,IF(Sync!$AA94="",0,Sync!$AA94))</f>
        <v/>
      </c>
      <c r="L98">
        <f>IF($G98="",0,IF(Sync!$AB94="",0,Sync!$AB94))</f>
        <v/>
      </c>
      <c r="M98">
        <f>IF($G98="","",IF($H98="مرجوعی فروش",-1,1)*($K98-$L98*IFERROR(VLOOKUP("P01",ParamTbl,3,0),1.5)))</f>
        <v/>
      </c>
      <c r="N98">
        <f>IF($G98="",0,IF($H98="مرجوعی فروش",-1,1)*IF(Sync!$AC94="",0,Sync!$AC94))</f>
        <v/>
      </c>
      <c r="O98">
        <f>IF(OR($G98="",Sync!$V94=""),"",Sync!$V94)</f>
        <v/>
      </c>
      <c r="P98">
        <f>IF(OR($G98="",Sync!$AD94=""),"",Sync!$AD94)</f>
        <v/>
      </c>
      <c r="Q98">
        <f>IF($G98="","",IF(Sync!$U94="","0000",IF(AND(ISNUMBER(Sync!$U94),Sync!$U94&gt;=0,Sync!$U94&lt;1),RIGHT("00"&amp;HOUR(Sync!$U94),2)&amp;RIGHT("00"&amp;MINUTE(Sync!$U94),2),IFERROR(RIGHT("00"&amp;VALUE(LEFT(Sync!$U94,FIND(":",Sync!$U94)-1)),2)&amp;RIGHT("00"&amp;VALUE(MID(Sync!$U94,FIND(":",Sync!$U94)+1,2)),2),"0000"))))</f>
        <v/>
      </c>
    </row>
    <row r="99">
      <c r="A99">
        <f>IF(Sync!$T95="","",Sync!$T95)</f>
        <v/>
      </c>
      <c r="B99">
        <f>IF($A99="","",IF(ISNUMBER($A99),IF(AND($A99&gt;=10000101,$A99&lt;=99991231),INT($A99/10000),""),IFERROR(VALUE(TRIM(LEFT($A99,FIND("/",$A99)-1))),"")))</f>
        <v/>
      </c>
      <c r="C99">
        <f>IF(OR($A99="",$B99=""),"",IF(ISNUMBER($A99),INT(MOD($A99,10000)/100),IFERROR(VALUE(TRIM(LEFT(MID($A99,FIND("/",$A99)+1,20),FIND("/",MID($A99,FIND("/",$A99)+1,20))-1))),"")))</f>
        <v/>
      </c>
      <c r="D99">
        <f>IF(OR($A99="",$B99=""),"",IF(ISNUMBER($A99),MOD($A99,100),IFERROR(VALUE(TRIM(MID(MID($A99,FIND("/",$A99)+1,20),FIND("/",MID($A99,FIND("/",$A99)+1,20))+1,20))),"")))</f>
        <v/>
      </c>
      <c r="E99">
        <f>IF($A99="","",IF(OR($B99="",$C99="",$D99="",$B99&lt;1300,$B99&gt;1500,$C99&lt;1,$C99&gt;12,$D99&lt;1,$D99&gt;31),"نامعتبر",RIGHT("0000"&amp;$B99,4)&amp;"/"&amp;RIGHT("00"&amp;$C99,2)&amp;"/"&amp;RIGHT("00"&amp;$D99,2)))</f>
        <v/>
      </c>
      <c r="F99">
        <f>IF(OR($E99="",$E99="نامعتبر"),"",LEFT($E99,4)&amp;"/"&amp;MID($E99,6,2))</f>
        <v/>
      </c>
      <c r="G99">
        <f>IF(OR($E99="",$E99="نامعتبر",Sync!$X95=""),"",IF(AND(LEFT(UPPER(TRIM(Sync!$X95)),2)="SL",IFERROR(VLOOKUP(Sync!$W95,OpTbl,3,0),"")="فروش"),UPPER(TRIM(Sync!$X95)),""))</f>
        <v/>
      </c>
      <c r="H99">
        <f>IF($G99="","",IF(Sync!$W95="","",Sync!$W95))</f>
        <v/>
      </c>
      <c r="I99">
        <f>IF(OR($G99="",Sync!$Y95=""),"",Sync!$Y95)</f>
        <v/>
      </c>
      <c r="J99">
        <f>IF(OR($G99="",Sync!$Z95=""),"",Sync!$Z95)</f>
        <v/>
      </c>
      <c r="K99">
        <f>IF($G99="",0,IF(Sync!$AA95="",0,Sync!$AA95))</f>
        <v/>
      </c>
      <c r="L99">
        <f>IF($G99="",0,IF(Sync!$AB95="",0,Sync!$AB95))</f>
        <v/>
      </c>
      <c r="M99">
        <f>IF($G99="","",IF($H99="مرجوعی فروش",-1,1)*($K99-$L99*IFERROR(VLOOKUP("P01",ParamTbl,3,0),1.5)))</f>
        <v/>
      </c>
      <c r="N99">
        <f>IF($G99="",0,IF($H99="مرجوعی فروش",-1,1)*IF(Sync!$AC95="",0,Sync!$AC95))</f>
        <v/>
      </c>
      <c r="O99">
        <f>IF(OR($G99="",Sync!$V95=""),"",Sync!$V95)</f>
        <v/>
      </c>
      <c r="P99">
        <f>IF(OR($G99="",Sync!$AD95=""),"",Sync!$AD95)</f>
        <v/>
      </c>
      <c r="Q99">
        <f>IF($G99="","",IF(Sync!$U95="","0000",IF(AND(ISNUMBER(Sync!$U95),Sync!$U95&gt;=0,Sync!$U95&lt;1),RIGHT("00"&amp;HOUR(Sync!$U95),2)&amp;RIGHT("00"&amp;MINUTE(Sync!$U95),2),IFERROR(RIGHT("00"&amp;VALUE(LEFT(Sync!$U95,FIND(":",Sync!$U95)-1)),2)&amp;RIGHT("00"&amp;VALUE(MID(Sync!$U95,FIND(":",Sync!$U95)+1,2)),2),"0000"))))</f>
        <v/>
      </c>
    </row>
    <row r="100">
      <c r="A100">
        <f>IF(Sync!$T96="","",Sync!$T96)</f>
        <v/>
      </c>
      <c r="B100">
        <f>IF($A100="","",IF(ISNUMBER($A100),IF(AND($A100&gt;=10000101,$A100&lt;=99991231),INT($A100/10000),""),IFERROR(VALUE(TRIM(LEFT($A100,FIND("/",$A100)-1))),"")))</f>
        <v/>
      </c>
      <c r="C100">
        <f>IF(OR($A100="",$B100=""),"",IF(ISNUMBER($A100),INT(MOD($A100,10000)/100),IFERROR(VALUE(TRIM(LEFT(MID($A100,FIND("/",$A100)+1,20),FIND("/",MID($A100,FIND("/",$A100)+1,20))-1))),"")))</f>
        <v/>
      </c>
      <c r="D100">
        <f>IF(OR($A100="",$B100=""),"",IF(ISNUMBER($A100),MOD($A100,100),IFERROR(VALUE(TRIM(MID(MID($A100,FIND("/",$A100)+1,20),FIND("/",MID($A100,FIND("/",$A100)+1,20))+1,20))),"")))</f>
        <v/>
      </c>
      <c r="E100">
        <f>IF($A100="","",IF(OR($B100="",$C100="",$D100="",$B100&lt;1300,$B100&gt;1500,$C100&lt;1,$C100&gt;12,$D100&lt;1,$D100&gt;31),"نامعتبر",RIGHT("0000"&amp;$B100,4)&amp;"/"&amp;RIGHT("00"&amp;$C100,2)&amp;"/"&amp;RIGHT("00"&amp;$D100,2)))</f>
        <v/>
      </c>
      <c r="F100">
        <f>IF(OR($E100="",$E100="نامعتبر"),"",LEFT($E100,4)&amp;"/"&amp;MID($E100,6,2))</f>
        <v/>
      </c>
      <c r="G100">
        <f>IF(OR($E100="",$E100="نامعتبر",Sync!$X96=""),"",IF(AND(LEFT(UPPER(TRIM(Sync!$X96)),2)="SL",IFERROR(VLOOKUP(Sync!$W96,OpTbl,3,0),"")="فروش"),UPPER(TRIM(Sync!$X96)),""))</f>
        <v/>
      </c>
      <c r="H100">
        <f>IF($G100="","",IF(Sync!$W96="","",Sync!$W96))</f>
        <v/>
      </c>
      <c r="I100">
        <f>IF(OR($G100="",Sync!$Y96=""),"",Sync!$Y96)</f>
        <v/>
      </c>
      <c r="J100">
        <f>IF(OR($G100="",Sync!$Z96=""),"",Sync!$Z96)</f>
        <v/>
      </c>
      <c r="K100">
        <f>IF($G100="",0,IF(Sync!$AA96="",0,Sync!$AA96))</f>
        <v/>
      </c>
      <c r="L100">
        <f>IF($G100="",0,IF(Sync!$AB96="",0,Sync!$AB96))</f>
        <v/>
      </c>
      <c r="M100">
        <f>IF($G100="","",IF($H100="مرجوعی فروش",-1,1)*($K100-$L100*IFERROR(VLOOKUP("P01",ParamTbl,3,0),1.5)))</f>
        <v/>
      </c>
      <c r="N100">
        <f>IF($G100="",0,IF($H100="مرجوعی فروش",-1,1)*IF(Sync!$AC96="",0,Sync!$AC96))</f>
        <v/>
      </c>
      <c r="O100">
        <f>IF(OR($G100="",Sync!$V96=""),"",Sync!$V96)</f>
        <v/>
      </c>
      <c r="P100">
        <f>IF(OR($G100="",Sync!$AD96=""),"",Sync!$AD96)</f>
        <v/>
      </c>
      <c r="Q100">
        <f>IF($G100="","",IF(Sync!$U96="","0000",IF(AND(ISNUMBER(Sync!$U96),Sync!$U96&gt;=0,Sync!$U96&lt;1),RIGHT("00"&amp;HOUR(Sync!$U96),2)&amp;RIGHT("00"&amp;MINUTE(Sync!$U96),2),IFERROR(RIGHT("00"&amp;VALUE(LEFT(Sync!$U96,FIND(":",Sync!$U96)-1)),2)&amp;RIGHT("00"&amp;VALUE(MID(Sync!$U96,FIND(":",Sync!$U96)+1,2)),2),"0000"))))</f>
        <v/>
      </c>
    </row>
    <row r="101">
      <c r="A101">
        <f>IF(Sync!$T97="","",Sync!$T97)</f>
        <v/>
      </c>
      <c r="B101">
        <f>IF($A101="","",IF(ISNUMBER($A101),IF(AND($A101&gt;=10000101,$A101&lt;=99991231),INT($A101/10000),""),IFERROR(VALUE(TRIM(LEFT($A101,FIND("/",$A101)-1))),"")))</f>
        <v/>
      </c>
      <c r="C101">
        <f>IF(OR($A101="",$B101=""),"",IF(ISNUMBER($A101),INT(MOD($A101,10000)/100),IFERROR(VALUE(TRIM(LEFT(MID($A101,FIND("/",$A101)+1,20),FIND("/",MID($A101,FIND("/",$A101)+1,20))-1))),"")))</f>
        <v/>
      </c>
      <c r="D101">
        <f>IF(OR($A101="",$B101=""),"",IF(ISNUMBER($A101),MOD($A101,100),IFERROR(VALUE(TRIM(MID(MID($A101,FIND("/",$A101)+1,20),FIND("/",MID($A101,FIND("/",$A101)+1,20))+1,20))),"")))</f>
        <v/>
      </c>
      <c r="E101">
        <f>IF($A101="","",IF(OR($B101="",$C101="",$D101="",$B101&lt;1300,$B101&gt;1500,$C101&lt;1,$C101&gt;12,$D101&lt;1,$D101&gt;31),"نامعتبر",RIGHT("0000"&amp;$B101,4)&amp;"/"&amp;RIGHT("00"&amp;$C101,2)&amp;"/"&amp;RIGHT("00"&amp;$D101,2)))</f>
        <v/>
      </c>
      <c r="F101">
        <f>IF(OR($E101="",$E101="نامعتبر"),"",LEFT($E101,4)&amp;"/"&amp;MID($E101,6,2))</f>
        <v/>
      </c>
      <c r="G101">
        <f>IF(OR($E101="",$E101="نامعتبر",Sync!$X97=""),"",IF(AND(LEFT(UPPER(TRIM(Sync!$X97)),2)="SL",IFERROR(VLOOKUP(Sync!$W97,OpTbl,3,0),"")="فروش"),UPPER(TRIM(Sync!$X97)),""))</f>
        <v/>
      </c>
      <c r="H101">
        <f>IF($G101="","",IF(Sync!$W97="","",Sync!$W97))</f>
        <v/>
      </c>
      <c r="I101">
        <f>IF(OR($G101="",Sync!$Y97=""),"",Sync!$Y97)</f>
        <v/>
      </c>
      <c r="J101">
        <f>IF(OR($G101="",Sync!$Z97=""),"",Sync!$Z97)</f>
        <v/>
      </c>
      <c r="K101">
        <f>IF($G101="",0,IF(Sync!$AA97="",0,Sync!$AA97))</f>
        <v/>
      </c>
      <c r="L101">
        <f>IF($G101="",0,IF(Sync!$AB97="",0,Sync!$AB97))</f>
        <v/>
      </c>
      <c r="M101">
        <f>IF($G101="","",IF($H101="مرجوعی فروش",-1,1)*($K101-$L101*IFERROR(VLOOKUP("P01",ParamTbl,3,0),1.5)))</f>
        <v/>
      </c>
      <c r="N101">
        <f>IF($G101="",0,IF($H101="مرجوعی فروش",-1,1)*IF(Sync!$AC97="",0,Sync!$AC97))</f>
        <v/>
      </c>
      <c r="O101">
        <f>IF(OR($G101="",Sync!$V97=""),"",Sync!$V97)</f>
        <v/>
      </c>
      <c r="P101">
        <f>IF(OR($G101="",Sync!$AD97=""),"",Sync!$AD97)</f>
        <v/>
      </c>
      <c r="Q101">
        <f>IF($G101="","",IF(Sync!$U97="","0000",IF(AND(ISNUMBER(Sync!$U97),Sync!$U97&gt;=0,Sync!$U97&lt;1),RIGHT("00"&amp;HOUR(Sync!$U97),2)&amp;RIGHT("00"&amp;MINUTE(Sync!$U97),2),IFERROR(RIGHT("00"&amp;VALUE(LEFT(Sync!$U97,FIND(":",Sync!$U97)-1)),2)&amp;RIGHT("00"&amp;VALUE(MID(Sync!$U97,FIND(":",Sync!$U97)+1,2)),2),"0000"))))</f>
        <v/>
      </c>
    </row>
    <row r="102">
      <c r="A102">
        <f>IF(Sync!$T98="","",Sync!$T98)</f>
        <v/>
      </c>
      <c r="B102">
        <f>IF($A102="","",IF(ISNUMBER($A102),IF(AND($A102&gt;=10000101,$A102&lt;=99991231),INT($A102/10000),""),IFERROR(VALUE(TRIM(LEFT($A102,FIND("/",$A102)-1))),"")))</f>
        <v/>
      </c>
      <c r="C102">
        <f>IF(OR($A102="",$B102=""),"",IF(ISNUMBER($A102),INT(MOD($A102,10000)/100),IFERROR(VALUE(TRIM(LEFT(MID($A102,FIND("/",$A102)+1,20),FIND("/",MID($A102,FIND("/",$A102)+1,20))-1))),"")))</f>
        <v/>
      </c>
      <c r="D102">
        <f>IF(OR($A102="",$B102=""),"",IF(ISNUMBER($A102),MOD($A102,100),IFERROR(VALUE(TRIM(MID(MID($A102,FIND("/",$A102)+1,20),FIND("/",MID($A102,FIND("/",$A102)+1,20))+1,20))),"")))</f>
        <v/>
      </c>
      <c r="E102">
        <f>IF($A102="","",IF(OR($B102="",$C102="",$D102="",$B102&lt;1300,$B102&gt;1500,$C102&lt;1,$C102&gt;12,$D102&lt;1,$D102&gt;31),"نامعتبر",RIGHT("0000"&amp;$B102,4)&amp;"/"&amp;RIGHT("00"&amp;$C102,2)&amp;"/"&amp;RIGHT("00"&amp;$D102,2)))</f>
        <v/>
      </c>
      <c r="F102">
        <f>IF(OR($E102="",$E102="نامعتبر"),"",LEFT($E102,4)&amp;"/"&amp;MID($E102,6,2))</f>
        <v/>
      </c>
      <c r="G102">
        <f>IF(OR($E102="",$E102="نامعتبر",Sync!$X98=""),"",IF(AND(LEFT(UPPER(TRIM(Sync!$X98)),2)="SL",IFERROR(VLOOKUP(Sync!$W98,OpTbl,3,0),"")="فروش"),UPPER(TRIM(Sync!$X98)),""))</f>
        <v/>
      </c>
      <c r="H102">
        <f>IF($G102="","",IF(Sync!$W98="","",Sync!$W98))</f>
        <v/>
      </c>
      <c r="I102">
        <f>IF(OR($G102="",Sync!$Y98=""),"",Sync!$Y98)</f>
        <v/>
      </c>
      <c r="J102">
        <f>IF(OR($G102="",Sync!$Z98=""),"",Sync!$Z98)</f>
        <v/>
      </c>
      <c r="K102">
        <f>IF($G102="",0,IF(Sync!$AA98="",0,Sync!$AA98))</f>
        <v/>
      </c>
      <c r="L102">
        <f>IF($G102="",0,IF(Sync!$AB98="",0,Sync!$AB98))</f>
        <v/>
      </c>
      <c r="M102">
        <f>IF($G102="","",IF($H102="مرجوعی فروش",-1,1)*($K102-$L102*IFERROR(VLOOKUP("P01",ParamTbl,3,0),1.5)))</f>
        <v/>
      </c>
      <c r="N102">
        <f>IF($G102="",0,IF($H102="مرجوعی فروش",-1,1)*IF(Sync!$AC98="",0,Sync!$AC98))</f>
        <v/>
      </c>
      <c r="O102">
        <f>IF(OR($G102="",Sync!$V98=""),"",Sync!$V98)</f>
        <v/>
      </c>
      <c r="P102">
        <f>IF(OR($G102="",Sync!$AD98=""),"",Sync!$AD98)</f>
        <v/>
      </c>
      <c r="Q102">
        <f>IF($G102="","",IF(Sync!$U98="","0000",IF(AND(ISNUMBER(Sync!$U98),Sync!$U98&gt;=0,Sync!$U98&lt;1),RIGHT("00"&amp;HOUR(Sync!$U98),2)&amp;RIGHT("00"&amp;MINUTE(Sync!$U98),2),IFERROR(RIGHT("00"&amp;VALUE(LEFT(Sync!$U98,FIND(":",Sync!$U98)-1)),2)&amp;RIGHT("00"&amp;VALUE(MID(Sync!$U98,FIND(":",Sync!$U98)+1,2)),2),"0000"))))</f>
        <v/>
      </c>
    </row>
    <row r="103">
      <c r="A103">
        <f>IF(Sync!$T99="","",Sync!$T99)</f>
        <v/>
      </c>
      <c r="B103">
        <f>IF($A103="","",IF(ISNUMBER($A103),IF(AND($A103&gt;=10000101,$A103&lt;=99991231),INT($A103/10000),""),IFERROR(VALUE(TRIM(LEFT($A103,FIND("/",$A103)-1))),"")))</f>
        <v/>
      </c>
      <c r="C103">
        <f>IF(OR($A103="",$B103=""),"",IF(ISNUMBER($A103),INT(MOD($A103,10000)/100),IFERROR(VALUE(TRIM(LEFT(MID($A103,FIND("/",$A103)+1,20),FIND("/",MID($A103,FIND("/",$A103)+1,20))-1))),"")))</f>
        <v/>
      </c>
      <c r="D103">
        <f>IF(OR($A103="",$B103=""),"",IF(ISNUMBER($A103),MOD($A103,100),IFERROR(VALUE(TRIM(MID(MID($A103,FIND("/",$A103)+1,20),FIND("/",MID($A103,FIND("/",$A103)+1,20))+1,20))),"")))</f>
        <v/>
      </c>
      <c r="E103">
        <f>IF($A103="","",IF(OR($B103="",$C103="",$D103="",$B103&lt;1300,$B103&gt;1500,$C103&lt;1,$C103&gt;12,$D103&lt;1,$D103&gt;31),"نامعتبر",RIGHT("0000"&amp;$B103,4)&amp;"/"&amp;RIGHT("00"&amp;$C103,2)&amp;"/"&amp;RIGHT("00"&amp;$D103,2)))</f>
        <v/>
      </c>
      <c r="F103">
        <f>IF(OR($E103="",$E103="نامعتبر"),"",LEFT($E103,4)&amp;"/"&amp;MID($E103,6,2))</f>
        <v/>
      </c>
      <c r="G103">
        <f>IF(OR($E103="",$E103="نامعتبر",Sync!$X99=""),"",IF(AND(LEFT(UPPER(TRIM(Sync!$X99)),2)="SL",IFERROR(VLOOKUP(Sync!$W99,OpTbl,3,0),"")="فروش"),UPPER(TRIM(Sync!$X99)),""))</f>
        <v/>
      </c>
      <c r="H103">
        <f>IF($G103="","",IF(Sync!$W99="","",Sync!$W99))</f>
        <v/>
      </c>
      <c r="I103">
        <f>IF(OR($G103="",Sync!$Y99=""),"",Sync!$Y99)</f>
        <v/>
      </c>
      <c r="J103">
        <f>IF(OR($G103="",Sync!$Z99=""),"",Sync!$Z99)</f>
        <v/>
      </c>
      <c r="K103">
        <f>IF($G103="",0,IF(Sync!$AA99="",0,Sync!$AA99))</f>
        <v/>
      </c>
      <c r="L103">
        <f>IF($G103="",0,IF(Sync!$AB99="",0,Sync!$AB99))</f>
        <v/>
      </c>
      <c r="M103">
        <f>IF($G103="","",IF($H103="مرجوعی فروش",-1,1)*($K103-$L103*IFERROR(VLOOKUP("P01",ParamTbl,3,0),1.5)))</f>
        <v/>
      </c>
      <c r="N103">
        <f>IF($G103="",0,IF($H103="مرجوعی فروش",-1,1)*IF(Sync!$AC99="",0,Sync!$AC99))</f>
        <v/>
      </c>
      <c r="O103">
        <f>IF(OR($G103="",Sync!$V99=""),"",Sync!$V99)</f>
        <v/>
      </c>
      <c r="P103">
        <f>IF(OR($G103="",Sync!$AD99=""),"",Sync!$AD99)</f>
        <v/>
      </c>
      <c r="Q103">
        <f>IF($G103="","",IF(Sync!$U99="","0000",IF(AND(ISNUMBER(Sync!$U99),Sync!$U99&gt;=0,Sync!$U99&lt;1),RIGHT("00"&amp;HOUR(Sync!$U99),2)&amp;RIGHT("00"&amp;MINUTE(Sync!$U99),2),IFERROR(RIGHT("00"&amp;VALUE(LEFT(Sync!$U99,FIND(":",Sync!$U99)-1)),2)&amp;RIGHT("00"&amp;VALUE(MID(Sync!$U99,FIND(":",Sync!$U99)+1,2)),2),"0000"))))</f>
        <v/>
      </c>
    </row>
    <row r="104">
      <c r="A104">
        <f>IF(Sync!$T100="","",Sync!$T100)</f>
        <v/>
      </c>
      <c r="B104">
        <f>IF($A104="","",IF(ISNUMBER($A104),IF(AND($A104&gt;=10000101,$A104&lt;=99991231),INT($A104/10000),""),IFERROR(VALUE(TRIM(LEFT($A104,FIND("/",$A104)-1))),"")))</f>
        <v/>
      </c>
      <c r="C104">
        <f>IF(OR($A104="",$B104=""),"",IF(ISNUMBER($A104),INT(MOD($A104,10000)/100),IFERROR(VALUE(TRIM(LEFT(MID($A104,FIND("/",$A104)+1,20),FIND("/",MID($A104,FIND("/",$A104)+1,20))-1))),"")))</f>
        <v/>
      </c>
      <c r="D104">
        <f>IF(OR($A104="",$B104=""),"",IF(ISNUMBER($A104),MOD($A104,100),IFERROR(VALUE(TRIM(MID(MID($A104,FIND("/",$A104)+1,20),FIND("/",MID($A104,FIND("/",$A104)+1,20))+1,20))),"")))</f>
        <v/>
      </c>
      <c r="E104">
        <f>IF($A104="","",IF(OR($B104="",$C104="",$D104="",$B104&lt;1300,$B104&gt;1500,$C104&lt;1,$C104&gt;12,$D104&lt;1,$D104&gt;31),"نامعتبر",RIGHT("0000"&amp;$B104,4)&amp;"/"&amp;RIGHT("00"&amp;$C104,2)&amp;"/"&amp;RIGHT("00"&amp;$D104,2)))</f>
        <v/>
      </c>
      <c r="F104">
        <f>IF(OR($E104="",$E104="نامعتبر"),"",LEFT($E104,4)&amp;"/"&amp;MID($E104,6,2))</f>
        <v/>
      </c>
      <c r="G104">
        <f>IF(OR($E104="",$E104="نامعتبر",Sync!$X100=""),"",IF(AND(LEFT(UPPER(TRIM(Sync!$X100)),2)="SL",IFERROR(VLOOKUP(Sync!$W100,OpTbl,3,0),"")="فروش"),UPPER(TRIM(Sync!$X100)),""))</f>
        <v/>
      </c>
      <c r="H104">
        <f>IF($G104="","",IF(Sync!$W100="","",Sync!$W100))</f>
        <v/>
      </c>
      <c r="I104">
        <f>IF(OR($G104="",Sync!$Y100=""),"",Sync!$Y100)</f>
        <v/>
      </c>
      <c r="J104">
        <f>IF(OR($G104="",Sync!$Z100=""),"",Sync!$Z100)</f>
        <v/>
      </c>
      <c r="K104">
        <f>IF($G104="",0,IF(Sync!$AA100="",0,Sync!$AA100))</f>
        <v/>
      </c>
      <c r="L104">
        <f>IF($G104="",0,IF(Sync!$AB100="",0,Sync!$AB100))</f>
        <v/>
      </c>
      <c r="M104">
        <f>IF($G104="","",IF($H104="مرجوعی فروش",-1,1)*($K104-$L104*IFERROR(VLOOKUP("P01",ParamTbl,3,0),1.5)))</f>
        <v/>
      </c>
      <c r="N104">
        <f>IF($G104="",0,IF($H104="مرجوعی فروش",-1,1)*IF(Sync!$AC100="",0,Sync!$AC100))</f>
        <v/>
      </c>
      <c r="O104">
        <f>IF(OR($G104="",Sync!$V100=""),"",Sync!$V100)</f>
        <v/>
      </c>
      <c r="P104">
        <f>IF(OR($G104="",Sync!$AD100=""),"",Sync!$AD100)</f>
        <v/>
      </c>
      <c r="Q104">
        <f>IF($G104="","",IF(Sync!$U100="","0000",IF(AND(ISNUMBER(Sync!$U100),Sync!$U100&gt;=0,Sync!$U100&lt;1),RIGHT("00"&amp;HOUR(Sync!$U100),2)&amp;RIGHT("00"&amp;MINUTE(Sync!$U100),2),IFERROR(RIGHT("00"&amp;VALUE(LEFT(Sync!$U100,FIND(":",Sync!$U100)-1)),2)&amp;RIGHT("00"&amp;VALUE(MID(Sync!$U100,FIND(":",Sync!$U100)+1,2)),2),"0000"))))</f>
        <v/>
      </c>
    </row>
    <row r="105">
      <c r="A105">
        <f>IF(Sync!$T101="","",Sync!$T101)</f>
        <v/>
      </c>
      <c r="B105">
        <f>IF($A105="","",IF(ISNUMBER($A105),IF(AND($A105&gt;=10000101,$A105&lt;=99991231),INT($A105/10000),""),IFERROR(VALUE(TRIM(LEFT($A105,FIND("/",$A105)-1))),"")))</f>
        <v/>
      </c>
      <c r="C105">
        <f>IF(OR($A105="",$B105=""),"",IF(ISNUMBER($A105),INT(MOD($A105,10000)/100),IFERROR(VALUE(TRIM(LEFT(MID($A105,FIND("/",$A105)+1,20),FIND("/",MID($A105,FIND("/",$A105)+1,20))-1))),"")))</f>
        <v/>
      </c>
      <c r="D105">
        <f>IF(OR($A105="",$B105=""),"",IF(ISNUMBER($A105),MOD($A105,100),IFERROR(VALUE(TRIM(MID(MID($A105,FIND("/",$A105)+1,20),FIND("/",MID($A105,FIND("/",$A105)+1,20))+1,20))),"")))</f>
        <v/>
      </c>
      <c r="E105">
        <f>IF($A105="","",IF(OR($B105="",$C105="",$D105="",$B105&lt;1300,$B105&gt;1500,$C105&lt;1,$C105&gt;12,$D105&lt;1,$D105&gt;31),"نامعتبر",RIGHT("0000"&amp;$B105,4)&amp;"/"&amp;RIGHT("00"&amp;$C105,2)&amp;"/"&amp;RIGHT("00"&amp;$D105,2)))</f>
        <v/>
      </c>
      <c r="F105">
        <f>IF(OR($E105="",$E105="نامعتبر"),"",LEFT($E105,4)&amp;"/"&amp;MID($E105,6,2))</f>
        <v/>
      </c>
      <c r="G105">
        <f>IF(OR($E105="",$E105="نامعتبر",Sync!$X101=""),"",IF(AND(LEFT(UPPER(TRIM(Sync!$X101)),2)="SL",IFERROR(VLOOKUP(Sync!$W101,OpTbl,3,0),"")="فروش"),UPPER(TRIM(Sync!$X101)),""))</f>
        <v/>
      </c>
      <c r="H105">
        <f>IF($G105="","",IF(Sync!$W101="","",Sync!$W101))</f>
        <v/>
      </c>
      <c r="I105">
        <f>IF(OR($G105="",Sync!$Y101=""),"",Sync!$Y101)</f>
        <v/>
      </c>
      <c r="J105">
        <f>IF(OR($G105="",Sync!$Z101=""),"",Sync!$Z101)</f>
        <v/>
      </c>
      <c r="K105">
        <f>IF($G105="",0,IF(Sync!$AA101="",0,Sync!$AA101))</f>
        <v/>
      </c>
      <c r="L105">
        <f>IF($G105="",0,IF(Sync!$AB101="",0,Sync!$AB101))</f>
        <v/>
      </c>
      <c r="M105">
        <f>IF($G105="","",IF($H105="مرجوعی فروش",-1,1)*($K105-$L105*IFERROR(VLOOKUP("P01",ParamTbl,3,0),1.5)))</f>
        <v/>
      </c>
      <c r="N105">
        <f>IF($G105="",0,IF($H105="مرجوعی فروش",-1,1)*IF(Sync!$AC101="",0,Sync!$AC101))</f>
        <v/>
      </c>
      <c r="O105">
        <f>IF(OR($G105="",Sync!$V101=""),"",Sync!$V101)</f>
        <v/>
      </c>
      <c r="P105">
        <f>IF(OR($G105="",Sync!$AD101=""),"",Sync!$AD101)</f>
        <v/>
      </c>
      <c r="Q105">
        <f>IF($G105="","",IF(Sync!$U101="","0000",IF(AND(ISNUMBER(Sync!$U101),Sync!$U101&gt;=0,Sync!$U101&lt;1),RIGHT("00"&amp;HOUR(Sync!$U101),2)&amp;RIGHT("00"&amp;MINUTE(Sync!$U101),2),IFERROR(RIGHT("00"&amp;VALUE(LEFT(Sync!$U101,FIND(":",Sync!$U101)-1)),2)&amp;RIGHT("00"&amp;VALUE(MID(Sync!$U101,FIND(":",Sync!$U101)+1,2)),2),"0000"))))</f>
        <v/>
      </c>
    </row>
    <row r="106">
      <c r="A106">
        <f>IF(Sync!$T102="","",Sync!$T102)</f>
        <v/>
      </c>
      <c r="B106">
        <f>IF($A106="","",IF(ISNUMBER($A106),IF(AND($A106&gt;=10000101,$A106&lt;=99991231),INT($A106/10000),""),IFERROR(VALUE(TRIM(LEFT($A106,FIND("/",$A106)-1))),"")))</f>
        <v/>
      </c>
      <c r="C106">
        <f>IF(OR($A106="",$B106=""),"",IF(ISNUMBER($A106),INT(MOD($A106,10000)/100),IFERROR(VALUE(TRIM(LEFT(MID($A106,FIND("/",$A106)+1,20),FIND("/",MID($A106,FIND("/",$A106)+1,20))-1))),"")))</f>
        <v/>
      </c>
      <c r="D106">
        <f>IF(OR($A106="",$B106=""),"",IF(ISNUMBER($A106),MOD($A106,100),IFERROR(VALUE(TRIM(MID(MID($A106,FIND("/",$A106)+1,20),FIND("/",MID($A106,FIND("/",$A106)+1,20))+1,20))),"")))</f>
        <v/>
      </c>
      <c r="E106">
        <f>IF($A106="","",IF(OR($B106="",$C106="",$D106="",$B106&lt;1300,$B106&gt;1500,$C106&lt;1,$C106&gt;12,$D106&lt;1,$D106&gt;31),"نامعتبر",RIGHT("0000"&amp;$B106,4)&amp;"/"&amp;RIGHT("00"&amp;$C106,2)&amp;"/"&amp;RIGHT("00"&amp;$D106,2)))</f>
        <v/>
      </c>
      <c r="F106">
        <f>IF(OR($E106="",$E106="نامعتبر"),"",LEFT($E106,4)&amp;"/"&amp;MID($E106,6,2))</f>
        <v/>
      </c>
      <c r="G106">
        <f>IF(OR($E106="",$E106="نامعتبر",Sync!$X102=""),"",IF(AND(LEFT(UPPER(TRIM(Sync!$X102)),2)="SL",IFERROR(VLOOKUP(Sync!$W102,OpTbl,3,0),"")="فروش"),UPPER(TRIM(Sync!$X102)),""))</f>
        <v/>
      </c>
      <c r="H106">
        <f>IF($G106="","",IF(Sync!$W102="","",Sync!$W102))</f>
        <v/>
      </c>
      <c r="I106">
        <f>IF(OR($G106="",Sync!$Y102=""),"",Sync!$Y102)</f>
        <v/>
      </c>
      <c r="J106">
        <f>IF(OR($G106="",Sync!$Z102=""),"",Sync!$Z102)</f>
        <v/>
      </c>
      <c r="K106">
        <f>IF($G106="",0,IF(Sync!$AA102="",0,Sync!$AA102))</f>
        <v/>
      </c>
      <c r="L106">
        <f>IF($G106="",0,IF(Sync!$AB102="",0,Sync!$AB102))</f>
        <v/>
      </c>
      <c r="M106">
        <f>IF($G106="","",IF($H106="مرجوعی فروش",-1,1)*($K106-$L106*IFERROR(VLOOKUP("P01",ParamTbl,3,0),1.5)))</f>
        <v/>
      </c>
      <c r="N106">
        <f>IF($G106="",0,IF($H106="مرجوعی فروش",-1,1)*IF(Sync!$AC102="",0,Sync!$AC102))</f>
        <v/>
      </c>
      <c r="O106">
        <f>IF(OR($G106="",Sync!$V102=""),"",Sync!$V102)</f>
        <v/>
      </c>
      <c r="P106">
        <f>IF(OR($G106="",Sync!$AD102=""),"",Sync!$AD102)</f>
        <v/>
      </c>
      <c r="Q106">
        <f>IF($G106="","",IF(Sync!$U102="","0000",IF(AND(ISNUMBER(Sync!$U102),Sync!$U102&gt;=0,Sync!$U102&lt;1),RIGHT("00"&amp;HOUR(Sync!$U102),2)&amp;RIGHT("00"&amp;MINUTE(Sync!$U102),2),IFERROR(RIGHT("00"&amp;VALUE(LEFT(Sync!$U102,FIND(":",Sync!$U102)-1)),2)&amp;RIGHT("00"&amp;VALUE(MID(Sync!$U102,FIND(":",Sync!$U102)+1,2)),2),"0000"))))</f>
        <v/>
      </c>
    </row>
    <row r="107">
      <c r="A107">
        <f>IF(Sync!$T103="","",Sync!$T103)</f>
        <v/>
      </c>
      <c r="B107">
        <f>IF($A107="","",IF(ISNUMBER($A107),IF(AND($A107&gt;=10000101,$A107&lt;=99991231),INT($A107/10000),""),IFERROR(VALUE(TRIM(LEFT($A107,FIND("/",$A107)-1))),"")))</f>
        <v/>
      </c>
      <c r="C107">
        <f>IF(OR($A107="",$B107=""),"",IF(ISNUMBER($A107),INT(MOD($A107,10000)/100),IFERROR(VALUE(TRIM(LEFT(MID($A107,FIND("/",$A107)+1,20),FIND("/",MID($A107,FIND("/",$A107)+1,20))-1))),"")))</f>
        <v/>
      </c>
      <c r="D107">
        <f>IF(OR($A107="",$B107=""),"",IF(ISNUMBER($A107),MOD($A107,100),IFERROR(VALUE(TRIM(MID(MID($A107,FIND("/",$A107)+1,20),FIND("/",MID($A107,FIND("/",$A107)+1,20))+1,20))),"")))</f>
        <v/>
      </c>
      <c r="E107">
        <f>IF($A107="","",IF(OR($B107="",$C107="",$D107="",$B107&lt;1300,$B107&gt;1500,$C107&lt;1,$C107&gt;12,$D107&lt;1,$D107&gt;31),"نامعتبر",RIGHT("0000"&amp;$B107,4)&amp;"/"&amp;RIGHT("00"&amp;$C107,2)&amp;"/"&amp;RIGHT("00"&amp;$D107,2)))</f>
        <v/>
      </c>
      <c r="F107">
        <f>IF(OR($E107="",$E107="نامعتبر"),"",LEFT($E107,4)&amp;"/"&amp;MID($E107,6,2))</f>
        <v/>
      </c>
      <c r="G107">
        <f>IF(OR($E107="",$E107="نامعتبر",Sync!$X103=""),"",IF(AND(LEFT(UPPER(TRIM(Sync!$X103)),2)="SL",IFERROR(VLOOKUP(Sync!$W103,OpTbl,3,0),"")="فروش"),UPPER(TRIM(Sync!$X103)),""))</f>
        <v/>
      </c>
      <c r="H107">
        <f>IF($G107="","",IF(Sync!$W103="","",Sync!$W103))</f>
        <v/>
      </c>
      <c r="I107">
        <f>IF(OR($G107="",Sync!$Y103=""),"",Sync!$Y103)</f>
        <v/>
      </c>
      <c r="J107">
        <f>IF(OR($G107="",Sync!$Z103=""),"",Sync!$Z103)</f>
        <v/>
      </c>
      <c r="K107">
        <f>IF($G107="",0,IF(Sync!$AA103="",0,Sync!$AA103))</f>
        <v/>
      </c>
      <c r="L107">
        <f>IF($G107="",0,IF(Sync!$AB103="",0,Sync!$AB103))</f>
        <v/>
      </c>
      <c r="M107">
        <f>IF($G107="","",IF($H107="مرجوعی فروش",-1,1)*($K107-$L107*IFERROR(VLOOKUP("P01",ParamTbl,3,0),1.5)))</f>
        <v/>
      </c>
      <c r="N107">
        <f>IF($G107="",0,IF($H107="مرجوعی فروش",-1,1)*IF(Sync!$AC103="",0,Sync!$AC103))</f>
        <v/>
      </c>
      <c r="O107">
        <f>IF(OR($G107="",Sync!$V103=""),"",Sync!$V103)</f>
        <v/>
      </c>
      <c r="P107">
        <f>IF(OR($G107="",Sync!$AD103=""),"",Sync!$AD103)</f>
        <v/>
      </c>
      <c r="Q107">
        <f>IF($G107="","",IF(Sync!$U103="","0000",IF(AND(ISNUMBER(Sync!$U103),Sync!$U103&gt;=0,Sync!$U103&lt;1),RIGHT("00"&amp;HOUR(Sync!$U103),2)&amp;RIGHT("00"&amp;MINUTE(Sync!$U103),2),IFERROR(RIGHT("00"&amp;VALUE(LEFT(Sync!$U103,FIND(":",Sync!$U103)-1)),2)&amp;RIGHT("00"&amp;VALUE(MID(Sync!$U103,FIND(":",Sync!$U103)+1,2)),2),"0000"))))</f>
        <v/>
      </c>
    </row>
    <row r="108">
      <c r="A108">
        <f>IF(Sync!$T104="","",Sync!$T104)</f>
        <v/>
      </c>
      <c r="B108">
        <f>IF($A108="","",IF(ISNUMBER($A108),IF(AND($A108&gt;=10000101,$A108&lt;=99991231),INT($A108/10000),""),IFERROR(VALUE(TRIM(LEFT($A108,FIND("/",$A108)-1))),"")))</f>
        <v/>
      </c>
      <c r="C108">
        <f>IF(OR($A108="",$B108=""),"",IF(ISNUMBER($A108),INT(MOD($A108,10000)/100),IFERROR(VALUE(TRIM(LEFT(MID($A108,FIND("/",$A108)+1,20),FIND("/",MID($A108,FIND("/",$A108)+1,20))-1))),"")))</f>
        <v/>
      </c>
      <c r="D108">
        <f>IF(OR($A108="",$B108=""),"",IF(ISNUMBER($A108),MOD($A108,100),IFERROR(VALUE(TRIM(MID(MID($A108,FIND("/",$A108)+1,20),FIND("/",MID($A108,FIND("/",$A108)+1,20))+1,20))),"")))</f>
        <v/>
      </c>
      <c r="E108">
        <f>IF($A108="","",IF(OR($B108="",$C108="",$D108="",$B108&lt;1300,$B108&gt;1500,$C108&lt;1,$C108&gt;12,$D108&lt;1,$D108&gt;31),"نامعتبر",RIGHT("0000"&amp;$B108,4)&amp;"/"&amp;RIGHT("00"&amp;$C108,2)&amp;"/"&amp;RIGHT("00"&amp;$D108,2)))</f>
        <v/>
      </c>
      <c r="F108">
        <f>IF(OR($E108="",$E108="نامعتبر"),"",LEFT($E108,4)&amp;"/"&amp;MID($E108,6,2))</f>
        <v/>
      </c>
      <c r="G108">
        <f>IF(OR($E108="",$E108="نامعتبر",Sync!$X104=""),"",IF(AND(LEFT(UPPER(TRIM(Sync!$X104)),2)="SL",IFERROR(VLOOKUP(Sync!$W104,OpTbl,3,0),"")="فروش"),UPPER(TRIM(Sync!$X104)),""))</f>
        <v/>
      </c>
      <c r="H108">
        <f>IF($G108="","",IF(Sync!$W104="","",Sync!$W104))</f>
        <v/>
      </c>
      <c r="I108">
        <f>IF(OR($G108="",Sync!$Y104=""),"",Sync!$Y104)</f>
        <v/>
      </c>
      <c r="J108">
        <f>IF(OR($G108="",Sync!$Z104=""),"",Sync!$Z104)</f>
        <v/>
      </c>
      <c r="K108">
        <f>IF($G108="",0,IF(Sync!$AA104="",0,Sync!$AA104))</f>
        <v/>
      </c>
      <c r="L108">
        <f>IF($G108="",0,IF(Sync!$AB104="",0,Sync!$AB104))</f>
        <v/>
      </c>
      <c r="M108">
        <f>IF($G108="","",IF($H108="مرجوعی فروش",-1,1)*($K108-$L108*IFERROR(VLOOKUP("P01",ParamTbl,3,0),1.5)))</f>
        <v/>
      </c>
      <c r="N108">
        <f>IF($G108="",0,IF($H108="مرجوعی فروش",-1,1)*IF(Sync!$AC104="",0,Sync!$AC104))</f>
        <v/>
      </c>
      <c r="O108">
        <f>IF(OR($G108="",Sync!$V104=""),"",Sync!$V104)</f>
        <v/>
      </c>
      <c r="P108">
        <f>IF(OR($G108="",Sync!$AD104=""),"",Sync!$AD104)</f>
        <v/>
      </c>
      <c r="Q108">
        <f>IF($G108="","",IF(Sync!$U104="","0000",IF(AND(ISNUMBER(Sync!$U104),Sync!$U104&gt;=0,Sync!$U104&lt;1),RIGHT("00"&amp;HOUR(Sync!$U104),2)&amp;RIGHT("00"&amp;MINUTE(Sync!$U104),2),IFERROR(RIGHT("00"&amp;VALUE(LEFT(Sync!$U104,FIND(":",Sync!$U104)-1)),2)&amp;RIGHT("00"&amp;VALUE(MID(Sync!$U104,FIND(":",Sync!$U104)+1,2)),2),"0000"))))</f>
        <v/>
      </c>
    </row>
    <row r="109">
      <c r="A109">
        <f>IF(Sync!$T105="","",Sync!$T105)</f>
        <v/>
      </c>
      <c r="B109">
        <f>IF($A109="","",IF(ISNUMBER($A109),IF(AND($A109&gt;=10000101,$A109&lt;=99991231),INT($A109/10000),""),IFERROR(VALUE(TRIM(LEFT($A109,FIND("/",$A109)-1))),"")))</f>
        <v/>
      </c>
      <c r="C109">
        <f>IF(OR($A109="",$B109=""),"",IF(ISNUMBER($A109),INT(MOD($A109,10000)/100),IFERROR(VALUE(TRIM(LEFT(MID($A109,FIND("/",$A109)+1,20),FIND("/",MID($A109,FIND("/",$A109)+1,20))-1))),"")))</f>
        <v/>
      </c>
      <c r="D109">
        <f>IF(OR($A109="",$B109=""),"",IF(ISNUMBER($A109),MOD($A109,100),IFERROR(VALUE(TRIM(MID(MID($A109,FIND("/",$A109)+1,20),FIND("/",MID($A109,FIND("/",$A109)+1,20))+1,20))),"")))</f>
        <v/>
      </c>
      <c r="E109">
        <f>IF($A109="","",IF(OR($B109="",$C109="",$D109="",$B109&lt;1300,$B109&gt;1500,$C109&lt;1,$C109&gt;12,$D109&lt;1,$D109&gt;31),"نامعتبر",RIGHT("0000"&amp;$B109,4)&amp;"/"&amp;RIGHT("00"&amp;$C109,2)&amp;"/"&amp;RIGHT("00"&amp;$D109,2)))</f>
        <v/>
      </c>
      <c r="F109">
        <f>IF(OR($E109="",$E109="نامعتبر"),"",LEFT($E109,4)&amp;"/"&amp;MID($E109,6,2))</f>
        <v/>
      </c>
      <c r="G109">
        <f>IF(OR($E109="",$E109="نامعتبر",Sync!$X105=""),"",IF(AND(LEFT(UPPER(TRIM(Sync!$X105)),2)="SL",IFERROR(VLOOKUP(Sync!$W105,OpTbl,3,0),"")="فروش"),UPPER(TRIM(Sync!$X105)),""))</f>
        <v/>
      </c>
      <c r="H109">
        <f>IF($G109="","",IF(Sync!$W105="","",Sync!$W105))</f>
        <v/>
      </c>
      <c r="I109">
        <f>IF(OR($G109="",Sync!$Y105=""),"",Sync!$Y105)</f>
        <v/>
      </c>
      <c r="J109">
        <f>IF(OR($G109="",Sync!$Z105=""),"",Sync!$Z105)</f>
        <v/>
      </c>
      <c r="K109">
        <f>IF($G109="",0,IF(Sync!$AA105="",0,Sync!$AA105))</f>
        <v/>
      </c>
      <c r="L109">
        <f>IF($G109="",0,IF(Sync!$AB105="",0,Sync!$AB105))</f>
        <v/>
      </c>
      <c r="M109">
        <f>IF($G109="","",IF($H109="مرجوعی فروش",-1,1)*($K109-$L109*IFERROR(VLOOKUP("P01",ParamTbl,3,0),1.5)))</f>
        <v/>
      </c>
      <c r="N109">
        <f>IF($G109="",0,IF($H109="مرجوعی فروش",-1,1)*IF(Sync!$AC105="",0,Sync!$AC105))</f>
        <v/>
      </c>
      <c r="O109">
        <f>IF(OR($G109="",Sync!$V105=""),"",Sync!$V105)</f>
        <v/>
      </c>
      <c r="P109">
        <f>IF(OR($G109="",Sync!$AD105=""),"",Sync!$AD105)</f>
        <v/>
      </c>
      <c r="Q109">
        <f>IF($G109="","",IF(Sync!$U105="","0000",IF(AND(ISNUMBER(Sync!$U105),Sync!$U105&gt;=0,Sync!$U105&lt;1),RIGHT("00"&amp;HOUR(Sync!$U105),2)&amp;RIGHT("00"&amp;MINUTE(Sync!$U105),2),IFERROR(RIGHT("00"&amp;VALUE(LEFT(Sync!$U105,FIND(":",Sync!$U105)-1)),2)&amp;RIGHT("00"&amp;VALUE(MID(Sync!$U105,FIND(":",Sync!$U105)+1,2)),2),"0000"))))</f>
        <v/>
      </c>
    </row>
    <row r="110">
      <c r="A110">
        <f>IF(Sync!$T106="","",Sync!$T106)</f>
        <v/>
      </c>
      <c r="B110">
        <f>IF($A110="","",IF(ISNUMBER($A110),IF(AND($A110&gt;=10000101,$A110&lt;=99991231),INT($A110/10000),""),IFERROR(VALUE(TRIM(LEFT($A110,FIND("/",$A110)-1))),"")))</f>
        <v/>
      </c>
      <c r="C110">
        <f>IF(OR($A110="",$B110=""),"",IF(ISNUMBER($A110),INT(MOD($A110,10000)/100),IFERROR(VALUE(TRIM(LEFT(MID($A110,FIND("/",$A110)+1,20),FIND("/",MID($A110,FIND("/",$A110)+1,20))-1))),"")))</f>
        <v/>
      </c>
      <c r="D110">
        <f>IF(OR($A110="",$B110=""),"",IF(ISNUMBER($A110),MOD($A110,100),IFERROR(VALUE(TRIM(MID(MID($A110,FIND("/",$A110)+1,20),FIND("/",MID($A110,FIND("/",$A110)+1,20))+1,20))),"")))</f>
        <v/>
      </c>
      <c r="E110">
        <f>IF($A110="","",IF(OR($B110="",$C110="",$D110="",$B110&lt;1300,$B110&gt;1500,$C110&lt;1,$C110&gt;12,$D110&lt;1,$D110&gt;31),"نامعتبر",RIGHT("0000"&amp;$B110,4)&amp;"/"&amp;RIGHT("00"&amp;$C110,2)&amp;"/"&amp;RIGHT("00"&amp;$D110,2)))</f>
        <v/>
      </c>
      <c r="F110">
        <f>IF(OR($E110="",$E110="نامعتبر"),"",LEFT($E110,4)&amp;"/"&amp;MID($E110,6,2))</f>
        <v/>
      </c>
      <c r="G110">
        <f>IF(OR($E110="",$E110="نامعتبر",Sync!$X106=""),"",IF(AND(LEFT(UPPER(TRIM(Sync!$X106)),2)="SL",IFERROR(VLOOKUP(Sync!$W106,OpTbl,3,0),"")="فروش"),UPPER(TRIM(Sync!$X106)),""))</f>
        <v/>
      </c>
      <c r="H110">
        <f>IF($G110="","",IF(Sync!$W106="","",Sync!$W106))</f>
        <v/>
      </c>
      <c r="I110">
        <f>IF(OR($G110="",Sync!$Y106=""),"",Sync!$Y106)</f>
        <v/>
      </c>
      <c r="J110">
        <f>IF(OR($G110="",Sync!$Z106=""),"",Sync!$Z106)</f>
        <v/>
      </c>
      <c r="K110">
        <f>IF($G110="",0,IF(Sync!$AA106="",0,Sync!$AA106))</f>
        <v/>
      </c>
      <c r="L110">
        <f>IF($G110="",0,IF(Sync!$AB106="",0,Sync!$AB106))</f>
        <v/>
      </c>
      <c r="M110">
        <f>IF($G110="","",IF($H110="مرجوعی فروش",-1,1)*($K110-$L110*IFERROR(VLOOKUP("P01",ParamTbl,3,0),1.5)))</f>
        <v/>
      </c>
      <c r="N110">
        <f>IF($G110="",0,IF($H110="مرجوعی فروش",-1,1)*IF(Sync!$AC106="",0,Sync!$AC106))</f>
        <v/>
      </c>
      <c r="O110">
        <f>IF(OR($G110="",Sync!$V106=""),"",Sync!$V106)</f>
        <v/>
      </c>
      <c r="P110">
        <f>IF(OR($G110="",Sync!$AD106=""),"",Sync!$AD106)</f>
        <v/>
      </c>
      <c r="Q110">
        <f>IF($G110="","",IF(Sync!$U106="","0000",IF(AND(ISNUMBER(Sync!$U106),Sync!$U106&gt;=0,Sync!$U106&lt;1),RIGHT("00"&amp;HOUR(Sync!$U106),2)&amp;RIGHT("00"&amp;MINUTE(Sync!$U106),2),IFERROR(RIGHT("00"&amp;VALUE(LEFT(Sync!$U106,FIND(":",Sync!$U106)-1)),2)&amp;RIGHT("00"&amp;VALUE(MID(Sync!$U106,FIND(":",Sync!$U106)+1,2)),2),"0000"))))</f>
        <v/>
      </c>
    </row>
    <row r="111">
      <c r="A111">
        <f>IF(Sync!$T107="","",Sync!$T107)</f>
        <v/>
      </c>
      <c r="B111">
        <f>IF($A111="","",IF(ISNUMBER($A111),IF(AND($A111&gt;=10000101,$A111&lt;=99991231),INT($A111/10000),""),IFERROR(VALUE(TRIM(LEFT($A111,FIND("/",$A111)-1))),"")))</f>
        <v/>
      </c>
      <c r="C111">
        <f>IF(OR($A111="",$B111=""),"",IF(ISNUMBER($A111),INT(MOD($A111,10000)/100),IFERROR(VALUE(TRIM(LEFT(MID($A111,FIND("/",$A111)+1,20),FIND("/",MID($A111,FIND("/",$A111)+1,20))-1))),"")))</f>
        <v/>
      </c>
      <c r="D111">
        <f>IF(OR($A111="",$B111=""),"",IF(ISNUMBER($A111),MOD($A111,100),IFERROR(VALUE(TRIM(MID(MID($A111,FIND("/",$A111)+1,20),FIND("/",MID($A111,FIND("/",$A111)+1,20))+1,20))),"")))</f>
        <v/>
      </c>
      <c r="E111">
        <f>IF($A111="","",IF(OR($B111="",$C111="",$D111="",$B111&lt;1300,$B111&gt;1500,$C111&lt;1,$C111&gt;12,$D111&lt;1,$D111&gt;31),"نامعتبر",RIGHT("0000"&amp;$B111,4)&amp;"/"&amp;RIGHT("00"&amp;$C111,2)&amp;"/"&amp;RIGHT("00"&amp;$D111,2)))</f>
        <v/>
      </c>
      <c r="F111">
        <f>IF(OR($E111="",$E111="نامعتبر"),"",LEFT($E111,4)&amp;"/"&amp;MID($E111,6,2))</f>
        <v/>
      </c>
      <c r="G111">
        <f>IF(OR($E111="",$E111="نامعتبر",Sync!$X107=""),"",IF(AND(LEFT(UPPER(TRIM(Sync!$X107)),2)="SL",IFERROR(VLOOKUP(Sync!$W107,OpTbl,3,0),"")="فروش"),UPPER(TRIM(Sync!$X107)),""))</f>
        <v/>
      </c>
      <c r="H111">
        <f>IF($G111="","",IF(Sync!$W107="","",Sync!$W107))</f>
        <v/>
      </c>
      <c r="I111">
        <f>IF(OR($G111="",Sync!$Y107=""),"",Sync!$Y107)</f>
        <v/>
      </c>
      <c r="J111">
        <f>IF(OR($G111="",Sync!$Z107=""),"",Sync!$Z107)</f>
        <v/>
      </c>
      <c r="K111">
        <f>IF($G111="",0,IF(Sync!$AA107="",0,Sync!$AA107))</f>
        <v/>
      </c>
      <c r="L111">
        <f>IF($G111="",0,IF(Sync!$AB107="",0,Sync!$AB107))</f>
        <v/>
      </c>
      <c r="M111">
        <f>IF($G111="","",IF($H111="مرجوعی فروش",-1,1)*($K111-$L111*IFERROR(VLOOKUP("P01",ParamTbl,3,0),1.5)))</f>
        <v/>
      </c>
      <c r="N111">
        <f>IF($G111="",0,IF($H111="مرجوعی فروش",-1,1)*IF(Sync!$AC107="",0,Sync!$AC107))</f>
        <v/>
      </c>
      <c r="O111">
        <f>IF(OR($G111="",Sync!$V107=""),"",Sync!$V107)</f>
        <v/>
      </c>
      <c r="P111">
        <f>IF(OR($G111="",Sync!$AD107=""),"",Sync!$AD107)</f>
        <v/>
      </c>
      <c r="Q111">
        <f>IF($G111="","",IF(Sync!$U107="","0000",IF(AND(ISNUMBER(Sync!$U107),Sync!$U107&gt;=0,Sync!$U107&lt;1),RIGHT("00"&amp;HOUR(Sync!$U107),2)&amp;RIGHT("00"&amp;MINUTE(Sync!$U107),2),IFERROR(RIGHT("00"&amp;VALUE(LEFT(Sync!$U107,FIND(":",Sync!$U107)-1)),2)&amp;RIGHT("00"&amp;VALUE(MID(Sync!$U107,FIND(":",Sync!$U107)+1,2)),2),"0000"))))</f>
        <v/>
      </c>
    </row>
    <row r="112">
      <c r="A112">
        <f>IF(Sync!$T108="","",Sync!$T108)</f>
        <v/>
      </c>
      <c r="B112">
        <f>IF($A112="","",IF(ISNUMBER($A112),IF(AND($A112&gt;=10000101,$A112&lt;=99991231),INT($A112/10000),""),IFERROR(VALUE(TRIM(LEFT($A112,FIND("/",$A112)-1))),"")))</f>
        <v/>
      </c>
      <c r="C112">
        <f>IF(OR($A112="",$B112=""),"",IF(ISNUMBER($A112),INT(MOD($A112,10000)/100),IFERROR(VALUE(TRIM(LEFT(MID($A112,FIND("/",$A112)+1,20),FIND("/",MID($A112,FIND("/",$A112)+1,20))-1))),"")))</f>
        <v/>
      </c>
      <c r="D112">
        <f>IF(OR($A112="",$B112=""),"",IF(ISNUMBER($A112),MOD($A112,100),IFERROR(VALUE(TRIM(MID(MID($A112,FIND("/",$A112)+1,20),FIND("/",MID($A112,FIND("/",$A112)+1,20))+1,20))),"")))</f>
        <v/>
      </c>
      <c r="E112">
        <f>IF($A112="","",IF(OR($B112="",$C112="",$D112="",$B112&lt;1300,$B112&gt;1500,$C112&lt;1,$C112&gt;12,$D112&lt;1,$D112&gt;31),"نامعتبر",RIGHT("0000"&amp;$B112,4)&amp;"/"&amp;RIGHT("00"&amp;$C112,2)&amp;"/"&amp;RIGHT("00"&amp;$D112,2)))</f>
        <v/>
      </c>
      <c r="F112">
        <f>IF(OR($E112="",$E112="نامعتبر"),"",LEFT($E112,4)&amp;"/"&amp;MID($E112,6,2))</f>
        <v/>
      </c>
      <c r="G112">
        <f>IF(OR($E112="",$E112="نامعتبر",Sync!$X108=""),"",IF(AND(LEFT(UPPER(TRIM(Sync!$X108)),2)="SL",IFERROR(VLOOKUP(Sync!$W108,OpTbl,3,0),"")="فروش"),UPPER(TRIM(Sync!$X108)),""))</f>
        <v/>
      </c>
      <c r="H112">
        <f>IF($G112="","",IF(Sync!$W108="","",Sync!$W108))</f>
        <v/>
      </c>
      <c r="I112">
        <f>IF(OR($G112="",Sync!$Y108=""),"",Sync!$Y108)</f>
        <v/>
      </c>
      <c r="J112">
        <f>IF(OR($G112="",Sync!$Z108=""),"",Sync!$Z108)</f>
        <v/>
      </c>
      <c r="K112">
        <f>IF($G112="",0,IF(Sync!$AA108="",0,Sync!$AA108))</f>
        <v/>
      </c>
      <c r="L112">
        <f>IF($G112="",0,IF(Sync!$AB108="",0,Sync!$AB108))</f>
        <v/>
      </c>
      <c r="M112">
        <f>IF($G112="","",IF($H112="مرجوعی فروش",-1,1)*($K112-$L112*IFERROR(VLOOKUP("P01",ParamTbl,3,0),1.5)))</f>
        <v/>
      </c>
      <c r="N112">
        <f>IF($G112="",0,IF($H112="مرجوعی فروش",-1,1)*IF(Sync!$AC108="",0,Sync!$AC108))</f>
        <v/>
      </c>
      <c r="O112">
        <f>IF(OR($G112="",Sync!$V108=""),"",Sync!$V108)</f>
        <v/>
      </c>
      <c r="P112">
        <f>IF(OR($G112="",Sync!$AD108=""),"",Sync!$AD108)</f>
        <v/>
      </c>
      <c r="Q112">
        <f>IF($G112="","",IF(Sync!$U108="","0000",IF(AND(ISNUMBER(Sync!$U108),Sync!$U108&gt;=0,Sync!$U108&lt;1),RIGHT("00"&amp;HOUR(Sync!$U108),2)&amp;RIGHT("00"&amp;MINUTE(Sync!$U108),2),IFERROR(RIGHT("00"&amp;VALUE(LEFT(Sync!$U108,FIND(":",Sync!$U108)-1)),2)&amp;RIGHT("00"&amp;VALUE(MID(Sync!$U108,FIND(":",Sync!$U108)+1,2)),2),"0000"))))</f>
        <v/>
      </c>
    </row>
    <row r="113">
      <c r="A113">
        <f>IF(Sync!$T109="","",Sync!$T109)</f>
        <v/>
      </c>
      <c r="B113">
        <f>IF($A113="","",IF(ISNUMBER($A113),IF(AND($A113&gt;=10000101,$A113&lt;=99991231),INT($A113/10000),""),IFERROR(VALUE(TRIM(LEFT($A113,FIND("/",$A113)-1))),"")))</f>
        <v/>
      </c>
      <c r="C113">
        <f>IF(OR($A113="",$B113=""),"",IF(ISNUMBER($A113),INT(MOD($A113,10000)/100),IFERROR(VALUE(TRIM(LEFT(MID($A113,FIND("/",$A113)+1,20),FIND("/",MID($A113,FIND("/",$A113)+1,20))-1))),"")))</f>
        <v/>
      </c>
      <c r="D113">
        <f>IF(OR($A113="",$B113=""),"",IF(ISNUMBER($A113),MOD($A113,100),IFERROR(VALUE(TRIM(MID(MID($A113,FIND("/",$A113)+1,20),FIND("/",MID($A113,FIND("/",$A113)+1,20))+1,20))),"")))</f>
        <v/>
      </c>
      <c r="E113">
        <f>IF($A113="","",IF(OR($B113="",$C113="",$D113="",$B113&lt;1300,$B113&gt;1500,$C113&lt;1,$C113&gt;12,$D113&lt;1,$D113&gt;31),"نامعتبر",RIGHT("0000"&amp;$B113,4)&amp;"/"&amp;RIGHT("00"&amp;$C113,2)&amp;"/"&amp;RIGHT("00"&amp;$D113,2)))</f>
        <v/>
      </c>
      <c r="F113">
        <f>IF(OR($E113="",$E113="نامعتبر"),"",LEFT($E113,4)&amp;"/"&amp;MID($E113,6,2))</f>
        <v/>
      </c>
      <c r="G113">
        <f>IF(OR($E113="",$E113="نامعتبر",Sync!$X109=""),"",IF(AND(LEFT(UPPER(TRIM(Sync!$X109)),2)="SL",IFERROR(VLOOKUP(Sync!$W109,OpTbl,3,0),"")="فروش"),UPPER(TRIM(Sync!$X109)),""))</f>
        <v/>
      </c>
      <c r="H113">
        <f>IF($G113="","",IF(Sync!$W109="","",Sync!$W109))</f>
        <v/>
      </c>
      <c r="I113">
        <f>IF(OR($G113="",Sync!$Y109=""),"",Sync!$Y109)</f>
        <v/>
      </c>
      <c r="J113">
        <f>IF(OR($G113="",Sync!$Z109=""),"",Sync!$Z109)</f>
        <v/>
      </c>
      <c r="K113">
        <f>IF($G113="",0,IF(Sync!$AA109="",0,Sync!$AA109))</f>
        <v/>
      </c>
      <c r="L113">
        <f>IF($G113="",0,IF(Sync!$AB109="",0,Sync!$AB109))</f>
        <v/>
      </c>
      <c r="M113">
        <f>IF($G113="","",IF($H113="مرجوعی فروش",-1,1)*($K113-$L113*IFERROR(VLOOKUP("P01",ParamTbl,3,0),1.5)))</f>
        <v/>
      </c>
      <c r="N113">
        <f>IF($G113="",0,IF($H113="مرجوعی فروش",-1,1)*IF(Sync!$AC109="",0,Sync!$AC109))</f>
        <v/>
      </c>
      <c r="O113">
        <f>IF(OR($G113="",Sync!$V109=""),"",Sync!$V109)</f>
        <v/>
      </c>
      <c r="P113">
        <f>IF(OR($G113="",Sync!$AD109=""),"",Sync!$AD109)</f>
        <v/>
      </c>
      <c r="Q113">
        <f>IF($G113="","",IF(Sync!$U109="","0000",IF(AND(ISNUMBER(Sync!$U109),Sync!$U109&gt;=0,Sync!$U109&lt;1),RIGHT("00"&amp;HOUR(Sync!$U109),2)&amp;RIGHT("00"&amp;MINUTE(Sync!$U109),2),IFERROR(RIGHT("00"&amp;VALUE(LEFT(Sync!$U109,FIND(":",Sync!$U109)-1)),2)&amp;RIGHT("00"&amp;VALUE(MID(Sync!$U109,FIND(":",Sync!$U109)+1,2)),2),"0000"))))</f>
        <v/>
      </c>
    </row>
    <row r="114">
      <c r="A114">
        <f>IF(Sync!$T110="","",Sync!$T110)</f>
        <v/>
      </c>
      <c r="B114">
        <f>IF($A114="","",IF(ISNUMBER($A114),IF(AND($A114&gt;=10000101,$A114&lt;=99991231),INT($A114/10000),""),IFERROR(VALUE(TRIM(LEFT($A114,FIND("/",$A114)-1))),"")))</f>
        <v/>
      </c>
      <c r="C114">
        <f>IF(OR($A114="",$B114=""),"",IF(ISNUMBER($A114),INT(MOD($A114,10000)/100),IFERROR(VALUE(TRIM(LEFT(MID($A114,FIND("/",$A114)+1,20),FIND("/",MID($A114,FIND("/",$A114)+1,20))-1))),"")))</f>
        <v/>
      </c>
      <c r="D114">
        <f>IF(OR($A114="",$B114=""),"",IF(ISNUMBER($A114),MOD($A114,100),IFERROR(VALUE(TRIM(MID(MID($A114,FIND("/",$A114)+1,20),FIND("/",MID($A114,FIND("/",$A114)+1,20))+1,20))),"")))</f>
        <v/>
      </c>
      <c r="E114">
        <f>IF($A114="","",IF(OR($B114="",$C114="",$D114="",$B114&lt;1300,$B114&gt;1500,$C114&lt;1,$C114&gt;12,$D114&lt;1,$D114&gt;31),"نامعتبر",RIGHT("0000"&amp;$B114,4)&amp;"/"&amp;RIGHT("00"&amp;$C114,2)&amp;"/"&amp;RIGHT("00"&amp;$D114,2)))</f>
        <v/>
      </c>
      <c r="F114">
        <f>IF(OR($E114="",$E114="نامعتبر"),"",LEFT($E114,4)&amp;"/"&amp;MID($E114,6,2))</f>
        <v/>
      </c>
      <c r="G114">
        <f>IF(OR($E114="",$E114="نامعتبر",Sync!$X110=""),"",IF(AND(LEFT(UPPER(TRIM(Sync!$X110)),2)="SL",IFERROR(VLOOKUP(Sync!$W110,OpTbl,3,0),"")="فروش"),UPPER(TRIM(Sync!$X110)),""))</f>
        <v/>
      </c>
      <c r="H114">
        <f>IF($G114="","",IF(Sync!$W110="","",Sync!$W110))</f>
        <v/>
      </c>
      <c r="I114">
        <f>IF(OR($G114="",Sync!$Y110=""),"",Sync!$Y110)</f>
        <v/>
      </c>
      <c r="J114">
        <f>IF(OR($G114="",Sync!$Z110=""),"",Sync!$Z110)</f>
        <v/>
      </c>
      <c r="K114">
        <f>IF($G114="",0,IF(Sync!$AA110="",0,Sync!$AA110))</f>
        <v/>
      </c>
      <c r="L114">
        <f>IF($G114="",0,IF(Sync!$AB110="",0,Sync!$AB110))</f>
        <v/>
      </c>
      <c r="M114">
        <f>IF($G114="","",IF($H114="مرجوعی فروش",-1,1)*($K114-$L114*IFERROR(VLOOKUP("P01",ParamTbl,3,0),1.5)))</f>
        <v/>
      </c>
      <c r="N114">
        <f>IF($G114="",0,IF($H114="مرجوعی فروش",-1,1)*IF(Sync!$AC110="",0,Sync!$AC110))</f>
        <v/>
      </c>
      <c r="O114">
        <f>IF(OR($G114="",Sync!$V110=""),"",Sync!$V110)</f>
        <v/>
      </c>
      <c r="P114">
        <f>IF(OR($G114="",Sync!$AD110=""),"",Sync!$AD110)</f>
        <v/>
      </c>
      <c r="Q114">
        <f>IF($G114="","",IF(Sync!$U110="","0000",IF(AND(ISNUMBER(Sync!$U110),Sync!$U110&gt;=0,Sync!$U110&lt;1),RIGHT("00"&amp;HOUR(Sync!$U110),2)&amp;RIGHT("00"&amp;MINUTE(Sync!$U110),2),IFERROR(RIGHT("00"&amp;VALUE(LEFT(Sync!$U110,FIND(":",Sync!$U110)-1)),2)&amp;RIGHT("00"&amp;VALUE(MID(Sync!$U110,FIND(":",Sync!$U110)+1,2)),2),"0000"))))</f>
        <v/>
      </c>
    </row>
    <row r="115">
      <c r="A115">
        <f>IF(Sync!$T111="","",Sync!$T111)</f>
        <v/>
      </c>
      <c r="B115">
        <f>IF($A115="","",IF(ISNUMBER($A115),IF(AND($A115&gt;=10000101,$A115&lt;=99991231),INT($A115/10000),""),IFERROR(VALUE(TRIM(LEFT($A115,FIND("/",$A115)-1))),"")))</f>
        <v/>
      </c>
      <c r="C115">
        <f>IF(OR($A115="",$B115=""),"",IF(ISNUMBER($A115),INT(MOD($A115,10000)/100),IFERROR(VALUE(TRIM(LEFT(MID($A115,FIND("/",$A115)+1,20),FIND("/",MID($A115,FIND("/",$A115)+1,20))-1))),"")))</f>
        <v/>
      </c>
      <c r="D115">
        <f>IF(OR($A115="",$B115=""),"",IF(ISNUMBER($A115),MOD($A115,100),IFERROR(VALUE(TRIM(MID(MID($A115,FIND("/",$A115)+1,20),FIND("/",MID($A115,FIND("/",$A115)+1,20))+1,20))),"")))</f>
        <v/>
      </c>
      <c r="E115">
        <f>IF($A115="","",IF(OR($B115="",$C115="",$D115="",$B115&lt;1300,$B115&gt;1500,$C115&lt;1,$C115&gt;12,$D115&lt;1,$D115&gt;31),"نامعتبر",RIGHT("0000"&amp;$B115,4)&amp;"/"&amp;RIGHT("00"&amp;$C115,2)&amp;"/"&amp;RIGHT("00"&amp;$D115,2)))</f>
        <v/>
      </c>
      <c r="F115">
        <f>IF(OR($E115="",$E115="نامعتبر"),"",LEFT($E115,4)&amp;"/"&amp;MID($E115,6,2))</f>
        <v/>
      </c>
      <c r="G115">
        <f>IF(OR($E115="",$E115="نامعتبر",Sync!$X111=""),"",IF(AND(LEFT(UPPER(TRIM(Sync!$X111)),2)="SL",IFERROR(VLOOKUP(Sync!$W111,OpTbl,3,0),"")="فروش"),UPPER(TRIM(Sync!$X111)),""))</f>
        <v/>
      </c>
      <c r="H115">
        <f>IF($G115="","",IF(Sync!$W111="","",Sync!$W111))</f>
        <v/>
      </c>
      <c r="I115">
        <f>IF(OR($G115="",Sync!$Y111=""),"",Sync!$Y111)</f>
        <v/>
      </c>
      <c r="J115">
        <f>IF(OR($G115="",Sync!$Z111=""),"",Sync!$Z111)</f>
        <v/>
      </c>
      <c r="K115">
        <f>IF($G115="",0,IF(Sync!$AA111="",0,Sync!$AA111))</f>
        <v/>
      </c>
      <c r="L115">
        <f>IF($G115="",0,IF(Sync!$AB111="",0,Sync!$AB111))</f>
        <v/>
      </c>
      <c r="M115">
        <f>IF($G115="","",IF($H115="مرجوعی فروش",-1,1)*($K115-$L115*IFERROR(VLOOKUP("P01",ParamTbl,3,0),1.5)))</f>
        <v/>
      </c>
      <c r="N115">
        <f>IF($G115="",0,IF($H115="مرجوعی فروش",-1,1)*IF(Sync!$AC111="",0,Sync!$AC111))</f>
        <v/>
      </c>
      <c r="O115">
        <f>IF(OR($G115="",Sync!$V111=""),"",Sync!$V111)</f>
        <v/>
      </c>
      <c r="P115">
        <f>IF(OR($G115="",Sync!$AD111=""),"",Sync!$AD111)</f>
        <v/>
      </c>
      <c r="Q115">
        <f>IF($G115="","",IF(Sync!$U111="","0000",IF(AND(ISNUMBER(Sync!$U111),Sync!$U111&gt;=0,Sync!$U111&lt;1),RIGHT("00"&amp;HOUR(Sync!$U111),2)&amp;RIGHT("00"&amp;MINUTE(Sync!$U111),2),IFERROR(RIGHT("00"&amp;VALUE(LEFT(Sync!$U111,FIND(":",Sync!$U111)-1)),2)&amp;RIGHT("00"&amp;VALUE(MID(Sync!$U111,FIND(":",Sync!$U111)+1,2)),2),"0000"))))</f>
        <v/>
      </c>
    </row>
    <row r="116">
      <c r="A116">
        <f>IF(Sync!$T112="","",Sync!$T112)</f>
        <v/>
      </c>
      <c r="B116">
        <f>IF($A116="","",IF(ISNUMBER($A116),IF(AND($A116&gt;=10000101,$A116&lt;=99991231),INT($A116/10000),""),IFERROR(VALUE(TRIM(LEFT($A116,FIND("/",$A116)-1))),"")))</f>
        <v/>
      </c>
      <c r="C116">
        <f>IF(OR($A116="",$B116=""),"",IF(ISNUMBER($A116),INT(MOD($A116,10000)/100),IFERROR(VALUE(TRIM(LEFT(MID($A116,FIND("/",$A116)+1,20),FIND("/",MID($A116,FIND("/",$A116)+1,20))-1))),"")))</f>
        <v/>
      </c>
      <c r="D116">
        <f>IF(OR($A116="",$B116=""),"",IF(ISNUMBER($A116),MOD($A116,100),IFERROR(VALUE(TRIM(MID(MID($A116,FIND("/",$A116)+1,20),FIND("/",MID($A116,FIND("/",$A116)+1,20))+1,20))),"")))</f>
        <v/>
      </c>
      <c r="E116">
        <f>IF($A116="","",IF(OR($B116="",$C116="",$D116="",$B116&lt;1300,$B116&gt;1500,$C116&lt;1,$C116&gt;12,$D116&lt;1,$D116&gt;31),"نامعتبر",RIGHT("0000"&amp;$B116,4)&amp;"/"&amp;RIGHT("00"&amp;$C116,2)&amp;"/"&amp;RIGHT("00"&amp;$D116,2)))</f>
        <v/>
      </c>
      <c r="F116">
        <f>IF(OR($E116="",$E116="نامعتبر"),"",LEFT($E116,4)&amp;"/"&amp;MID($E116,6,2))</f>
        <v/>
      </c>
      <c r="G116">
        <f>IF(OR($E116="",$E116="نامعتبر",Sync!$X112=""),"",IF(AND(LEFT(UPPER(TRIM(Sync!$X112)),2)="SL",IFERROR(VLOOKUP(Sync!$W112,OpTbl,3,0),"")="فروش"),UPPER(TRIM(Sync!$X112)),""))</f>
        <v/>
      </c>
      <c r="H116">
        <f>IF($G116="","",IF(Sync!$W112="","",Sync!$W112))</f>
        <v/>
      </c>
      <c r="I116">
        <f>IF(OR($G116="",Sync!$Y112=""),"",Sync!$Y112)</f>
        <v/>
      </c>
      <c r="J116">
        <f>IF(OR($G116="",Sync!$Z112=""),"",Sync!$Z112)</f>
        <v/>
      </c>
      <c r="K116">
        <f>IF($G116="",0,IF(Sync!$AA112="",0,Sync!$AA112))</f>
        <v/>
      </c>
      <c r="L116">
        <f>IF($G116="",0,IF(Sync!$AB112="",0,Sync!$AB112))</f>
        <v/>
      </c>
      <c r="M116">
        <f>IF($G116="","",IF($H116="مرجوعی فروش",-1,1)*($K116-$L116*IFERROR(VLOOKUP("P01",ParamTbl,3,0),1.5)))</f>
        <v/>
      </c>
      <c r="N116">
        <f>IF($G116="",0,IF($H116="مرجوعی فروش",-1,1)*IF(Sync!$AC112="",0,Sync!$AC112))</f>
        <v/>
      </c>
      <c r="O116">
        <f>IF(OR($G116="",Sync!$V112=""),"",Sync!$V112)</f>
        <v/>
      </c>
      <c r="P116">
        <f>IF(OR($G116="",Sync!$AD112=""),"",Sync!$AD112)</f>
        <v/>
      </c>
      <c r="Q116">
        <f>IF($G116="","",IF(Sync!$U112="","0000",IF(AND(ISNUMBER(Sync!$U112),Sync!$U112&gt;=0,Sync!$U112&lt;1),RIGHT("00"&amp;HOUR(Sync!$U112),2)&amp;RIGHT("00"&amp;MINUTE(Sync!$U112),2),IFERROR(RIGHT("00"&amp;VALUE(LEFT(Sync!$U112,FIND(":",Sync!$U112)-1)),2)&amp;RIGHT("00"&amp;VALUE(MID(Sync!$U112,FIND(":",Sync!$U112)+1,2)),2),"0000"))))</f>
        <v/>
      </c>
    </row>
    <row r="117">
      <c r="A117">
        <f>IF(Sync!$T113="","",Sync!$T113)</f>
        <v/>
      </c>
      <c r="B117">
        <f>IF($A117="","",IF(ISNUMBER($A117),IF(AND($A117&gt;=10000101,$A117&lt;=99991231),INT($A117/10000),""),IFERROR(VALUE(TRIM(LEFT($A117,FIND("/",$A117)-1))),"")))</f>
        <v/>
      </c>
      <c r="C117">
        <f>IF(OR($A117="",$B117=""),"",IF(ISNUMBER($A117),INT(MOD($A117,10000)/100),IFERROR(VALUE(TRIM(LEFT(MID($A117,FIND("/",$A117)+1,20),FIND("/",MID($A117,FIND("/",$A117)+1,20))-1))),"")))</f>
        <v/>
      </c>
      <c r="D117">
        <f>IF(OR($A117="",$B117=""),"",IF(ISNUMBER($A117),MOD($A117,100),IFERROR(VALUE(TRIM(MID(MID($A117,FIND("/",$A117)+1,20),FIND("/",MID($A117,FIND("/",$A117)+1,20))+1,20))),"")))</f>
        <v/>
      </c>
      <c r="E117">
        <f>IF($A117="","",IF(OR($B117="",$C117="",$D117="",$B117&lt;1300,$B117&gt;1500,$C117&lt;1,$C117&gt;12,$D117&lt;1,$D117&gt;31),"نامعتبر",RIGHT("0000"&amp;$B117,4)&amp;"/"&amp;RIGHT("00"&amp;$C117,2)&amp;"/"&amp;RIGHT("00"&amp;$D117,2)))</f>
        <v/>
      </c>
      <c r="F117">
        <f>IF(OR($E117="",$E117="نامعتبر"),"",LEFT($E117,4)&amp;"/"&amp;MID($E117,6,2))</f>
        <v/>
      </c>
      <c r="G117">
        <f>IF(OR($E117="",$E117="نامعتبر",Sync!$X113=""),"",IF(AND(LEFT(UPPER(TRIM(Sync!$X113)),2)="SL",IFERROR(VLOOKUP(Sync!$W113,OpTbl,3,0),"")="فروش"),UPPER(TRIM(Sync!$X113)),""))</f>
        <v/>
      </c>
      <c r="H117">
        <f>IF($G117="","",IF(Sync!$W113="","",Sync!$W113))</f>
        <v/>
      </c>
      <c r="I117">
        <f>IF(OR($G117="",Sync!$Y113=""),"",Sync!$Y113)</f>
        <v/>
      </c>
      <c r="J117">
        <f>IF(OR($G117="",Sync!$Z113=""),"",Sync!$Z113)</f>
        <v/>
      </c>
      <c r="K117">
        <f>IF($G117="",0,IF(Sync!$AA113="",0,Sync!$AA113))</f>
        <v/>
      </c>
      <c r="L117">
        <f>IF($G117="",0,IF(Sync!$AB113="",0,Sync!$AB113))</f>
        <v/>
      </c>
      <c r="M117">
        <f>IF($G117="","",IF($H117="مرجوعی فروش",-1,1)*($K117-$L117*IFERROR(VLOOKUP("P01",ParamTbl,3,0),1.5)))</f>
        <v/>
      </c>
      <c r="N117">
        <f>IF($G117="",0,IF($H117="مرجوعی فروش",-1,1)*IF(Sync!$AC113="",0,Sync!$AC113))</f>
        <v/>
      </c>
      <c r="O117">
        <f>IF(OR($G117="",Sync!$V113=""),"",Sync!$V113)</f>
        <v/>
      </c>
      <c r="P117">
        <f>IF(OR($G117="",Sync!$AD113=""),"",Sync!$AD113)</f>
        <v/>
      </c>
      <c r="Q117">
        <f>IF($G117="","",IF(Sync!$U113="","0000",IF(AND(ISNUMBER(Sync!$U113),Sync!$U113&gt;=0,Sync!$U113&lt;1),RIGHT("00"&amp;HOUR(Sync!$U113),2)&amp;RIGHT("00"&amp;MINUTE(Sync!$U113),2),IFERROR(RIGHT("00"&amp;VALUE(LEFT(Sync!$U113,FIND(":",Sync!$U113)-1)),2)&amp;RIGHT("00"&amp;VALUE(MID(Sync!$U113,FIND(":",Sync!$U113)+1,2)),2),"0000"))))</f>
        <v/>
      </c>
    </row>
    <row r="118">
      <c r="A118">
        <f>IF(Sync!$T114="","",Sync!$T114)</f>
        <v/>
      </c>
      <c r="B118">
        <f>IF($A118="","",IF(ISNUMBER($A118),IF(AND($A118&gt;=10000101,$A118&lt;=99991231),INT($A118/10000),""),IFERROR(VALUE(TRIM(LEFT($A118,FIND("/",$A118)-1))),"")))</f>
        <v/>
      </c>
      <c r="C118">
        <f>IF(OR($A118="",$B118=""),"",IF(ISNUMBER($A118),INT(MOD($A118,10000)/100),IFERROR(VALUE(TRIM(LEFT(MID($A118,FIND("/",$A118)+1,20),FIND("/",MID($A118,FIND("/",$A118)+1,20))-1))),"")))</f>
        <v/>
      </c>
      <c r="D118">
        <f>IF(OR($A118="",$B118=""),"",IF(ISNUMBER($A118),MOD($A118,100),IFERROR(VALUE(TRIM(MID(MID($A118,FIND("/",$A118)+1,20),FIND("/",MID($A118,FIND("/",$A118)+1,20))+1,20))),"")))</f>
        <v/>
      </c>
      <c r="E118">
        <f>IF($A118="","",IF(OR($B118="",$C118="",$D118="",$B118&lt;1300,$B118&gt;1500,$C118&lt;1,$C118&gt;12,$D118&lt;1,$D118&gt;31),"نامعتبر",RIGHT("0000"&amp;$B118,4)&amp;"/"&amp;RIGHT("00"&amp;$C118,2)&amp;"/"&amp;RIGHT("00"&amp;$D118,2)))</f>
        <v/>
      </c>
      <c r="F118">
        <f>IF(OR($E118="",$E118="نامعتبر"),"",LEFT($E118,4)&amp;"/"&amp;MID($E118,6,2))</f>
        <v/>
      </c>
      <c r="G118">
        <f>IF(OR($E118="",$E118="نامعتبر",Sync!$X114=""),"",IF(AND(LEFT(UPPER(TRIM(Sync!$X114)),2)="SL",IFERROR(VLOOKUP(Sync!$W114,OpTbl,3,0),"")="فروش"),UPPER(TRIM(Sync!$X114)),""))</f>
        <v/>
      </c>
      <c r="H118">
        <f>IF($G118="","",IF(Sync!$W114="","",Sync!$W114))</f>
        <v/>
      </c>
      <c r="I118">
        <f>IF(OR($G118="",Sync!$Y114=""),"",Sync!$Y114)</f>
        <v/>
      </c>
      <c r="J118">
        <f>IF(OR($G118="",Sync!$Z114=""),"",Sync!$Z114)</f>
        <v/>
      </c>
      <c r="K118">
        <f>IF($G118="",0,IF(Sync!$AA114="",0,Sync!$AA114))</f>
        <v/>
      </c>
      <c r="L118">
        <f>IF($G118="",0,IF(Sync!$AB114="",0,Sync!$AB114))</f>
        <v/>
      </c>
      <c r="M118">
        <f>IF($G118="","",IF($H118="مرجوعی فروش",-1,1)*($K118-$L118*IFERROR(VLOOKUP("P01",ParamTbl,3,0),1.5)))</f>
        <v/>
      </c>
      <c r="N118">
        <f>IF($G118="",0,IF($H118="مرجوعی فروش",-1,1)*IF(Sync!$AC114="",0,Sync!$AC114))</f>
        <v/>
      </c>
      <c r="O118">
        <f>IF(OR($G118="",Sync!$V114=""),"",Sync!$V114)</f>
        <v/>
      </c>
      <c r="P118">
        <f>IF(OR($G118="",Sync!$AD114=""),"",Sync!$AD114)</f>
        <v/>
      </c>
      <c r="Q118">
        <f>IF($G118="","",IF(Sync!$U114="","0000",IF(AND(ISNUMBER(Sync!$U114),Sync!$U114&gt;=0,Sync!$U114&lt;1),RIGHT("00"&amp;HOUR(Sync!$U114),2)&amp;RIGHT("00"&amp;MINUTE(Sync!$U114),2),IFERROR(RIGHT("00"&amp;VALUE(LEFT(Sync!$U114,FIND(":",Sync!$U114)-1)),2)&amp;RIGHT("00"&amp;VALUE(MID(Sync!$U114,FIND(":",Sync!$U114)+1,2)),2),"0000"))))</f>
        <v/>
      </c>
    </row>
    <row r="119">
      <c r="A119">
        <f>IF(Sync!$T115="","",Sync!$T115)</f>
        <v/>
      </c>
      <c r="B119">
        <f>IF($A119="","",IF(ISNUMBER($A119),IF(AND($A119&gt;=10000101,$A119&lt;=99991231),INT($A119/10000),""),IFERROR(VALUE(TRIM(LEFT($A119,FIND("/",$A119)-1))),"")))</f>
        <v/>
      </c>
      <c r="C119">
        <f>IF(OR($A119="",$B119=""),"",IF(ISNUMBER($A119),INT(MOD($A119,10000)/100),IFERROR(VALUE(TRIM(LEFT(MID($A119,FIND("/",$A119)+1,20),FIND("/",MID($A119,FIND("/",$A119)+1,20))-1))),"")))</f>
        <v/>
      </c>
      <c r="D119">
        <f>IF(OR($A119="",$B119=""),"",IF(ISNUMBER($A119),MOD($A119,100),IFERROR(VALUE(TRIM(MID(MID($A119,FIND("/",$A119)+1,20),FIND("/",MID($A119,FIND("/",$A119)+1,20))+1,20))),"")))</f>
        <v/>
      </c>
      <c r="E119">
        <f>IF($A119="","",IF(OR($B119="",$C119="",$D119="",$B119&lt;1300,$B119&gt;1500,$C119&lt;1,$C119&gt;12,$D119&lt;1,$D119&gt;31),"نامعتبر",RIGHT("0000"&amp;$B119,4)&amp;"/"&amp;RIGHT("00"&amp;$C119,2)&amp;"/"&amp;RIGHT("00"&amp;$D119,2)))</f>
        <v/>
      </c>
      <c r="F119">
        <f>IF(OR($E119="",$E119="نامعتبر"),"",LEFT($E119,4)&amp;"/"&amp;MID($E119,6,2))</f>
        <v/>
      </c>
      <c r="G119">
        <f>IF(OR($E119="",$E119="نامعتبر",Sync!$X115=""),"",IF(AND(LEFT(UPPER(TRIM(Sync!$X115)),2)="SL",IFERROR(VLOOKUP(Sync!$W115,OpTbl,3,0),"")="فروش"),UPPER(TRIM(Sync!$X115)),""))</f>
        <v/>
      </c>
      <c r="H119">
        <f>IF($G119="","",IF(Sync!$W115="","",Sync!$W115))</f>
        <v/>
      </c>
      <c r="I119">
        <f>IF(OR($G119="",Sync!$Y115=""),"",Sync!$Y115)</f>
        <v/>
      </c>
      <c r="J119">
        <f>IF(OR($G119="",Sync!$Z115=""),"",Sync!$Z115)</f>
        <v/>
      </c>
      <c r="K119">
        <f>IF($G119="",0,IF(Sync!$AA115="",0,Sync!$AA115))</f>
        <v/>
      </c>
      <c r="L119">
        <f>IF($G119="",0,IF(Sync!$AB115="",0,Sync!$AB115))</f>
        <v/>
      </c>
      <c r="M119">
        <f>IF($G119="","",IF($H119="مرجوعی فروش",-1,1)*($K119-$L119*IFERROR(VLOOKUP("P01",ParamTbl,3,0),1.5)))</f>
        <v/>
      </c>
      <c r="N119">
        <f>IF($G119="",0,IF($H119="مرجوعی فروش",-1,1)*IF(Sync!$AC115="",0,Sync!$AC115))</f>
        <v/>
      </c>
      <c r="O119">
        <f>IF(OR($G119="",Sync!$V115=""),"",Sync!$V115)</f>
        <v/>
      </c>
      <c r="P119">
        <f>IF(OR($G119="",Sync!$AD115=""),"",Sync!$AD115)</f>
        <v/>
      </c>
      <c r="Q119">
        <f>IF($G119="","",IF(Sync!$U115="","0000",IF(AND(ISNUMBER(Sync!$U115),Sync!$U115&gt;=0,Sync!$U115&lt;1),RIGHT("00"&amp;HOUR(Sync!$U115),2)&amp;RIGHT("00"&amp;MINUTE(Sync!$U115),2),IFERROR(RIGHT("00"&amp;VALUE(LEFT(Sync!$U115,FIND(":",Sync!$U115)-1)),2)&amp;RIGHT("00"&amp;VALUE(MID(Sync!$U115,FIND(":",Sync!$U115)+1,2)),2),"0000"))))</f>
        <v/>
      </c>
    </row>
    <row r="120">
      <c r="A120">
        <f>IF(Sync!$T116="","",Sync!$T116)</f>
        <v/>
      </c>
      <c r="B120">
        <f>IF($A120="","",IF(ISNUMBER($A120),IF(AND($A120&gt;=10000101,$A120&lt;=99991231),INT($A120/10000),""),IFERROR(VALUE(TRIM(LEFT($A120,FIND("/",$A120)-1))),"")))</f>
        <v/>
      </c>
      <c r="C120">
        <f>IF(OR($A120="",$B120=""),"",IF(ISNUMBER($A120),INT(MOD($A120,10000)/100),IFERROR(VALUE(TRIM(LEFT(MID($A120,FIND("/",$A120)+1,20),FIND("/",MID($A120,FIND("/",$A120)+1,20))-1))),"")))</f>
        <v/>
      </c>
      <c r="D120">
        <f>IF(OR($A120="",$B120=""),"",IF(ISNUMBER($A120),MOD($A120,100),IFERROR(VALUE(TRIM(MID(MID($A120,FIND("/",$A120)+1,20),FIND("/",MID($A120,FIND("/",$A120)+1,20))+1,20))),"")))</f>
        <v/>
      </c>
      <c r="E120">
        <f>IF($A120="","",IF(OR($B120="",$C120="",$D120="",$B120&lt;1300,$B120&gt;1500,$C120&lt;1,$C120&gt;12,$D120&lt;1,$D120&gt;31),"نامعتبر",RIGHT("0000"&amp;$B120,4)&amp;"/"&amp;RIGHT("00"&amp;$C120,2)&amp;"/"&amp;RIGHT("00"&amp;$D120,2)))</f>
        <v/>
      </c>
      <c r="F120">
        <f>IF(OR($E120="",$E120="نامعتبر"),"",LEFT($E120,4)&amp;"/"&amp;MID($E120,6,2))</f>
        <v/>
      </c>
      <c r="G120">
        <f>IF(OR($E120="",$E120="نامعتبر",Sync!$X116=""),"",IF(AND(LEFT(UPPER(TRIM(Sync!$X116)),2)="SL",IFERROR(VLOOKUP(Sync!$W116,OpTbl,3,0),"")="فروش"),UPPER(TRIM(Sync!$X116)),""))</f>
        <v/>
      </c>
      <c r="H120">
        <f>IF($G120="","",IF(Sync!$W116="","",Sync!$W116))</f>
        <v/>
      </c>
      <c r="I120">
        <f>IF(OR($G120="",Sync!$Y116=""),"",Sync!$Y116)</f>
        <v/>
      </c>
      <c r="J120">
        <f>IF(OR($G120="",Sync!$Z116=""),"",Sync!$Z116)</f>
        <v/>
      </c>
      <c r="K120">
        <f>IF($G120="",0,IF(Sync!$AA116="",0,Sync!$AA116))</f>
        <v/>
      </c>
      <c r="L120">
        <f>IF($G120="",0,IF(Sync!$AB116="",0,Sync!$AB116))</f>
        <v/>
      </c>
      <c r="M120">
        <f>IF($G120="","",IF($H120="مرجوعی فروش",-1,1)*($K120-$L120*IFERROR(VLOOKUP("P01",ParamTbl,3,0),1.5)))</f>
        <v/>
      </c>
      <c r="N120">
        <f>IF($G120="",0,IF($H120="مرجوعی فروش",-1,1)*IF(Sync!$AC116="",0,Sync!$AC116))</f>
        <v/>
      </c>
      <c r="O120">
        <f>IF(OR($G120="",Sync!$V116=""),"",Sync!$V116)</f>
        <v/>
      </c>
      <c r="P120">
        <f>IF(OR($G120="",Sync!$AD116=""),"",Sync!$AD116)</f>
        <v/>
      </c>
      <c r="Q120">
        <f>IF($G120="","",IF(Sync!$U116="","0000",IF(AND(ISNUMBER(Sync!$U116),Sync!$U116&gt;=0,Sync!$U116&lt;1),RIGHT("00"&amp;HOUR(Sync!$U116),2)&amp;RIGHT("00"&amp;MINUTE(Sync!$U116),2),IFERROR(RIGHT("00"&amp;VALUE(LEFT(Sync!$U116,FIND(":",Sync!$U116)-1)),2)&amp;RIGHT("00"&amp;VALUE(MID(Sync!$U116,FIND(":",Sync!$U116)+1,2)),2),"0000"))))</f>
        <v/>
      </c>
    </row>
    <row r="121">
      <c r="A121">
        <f>IF(Sync!$T117="","",Sync!$T117)</f>
        <v/>
      </c>
      <c r="B121">
        <f>IF($A121="","",IF(ISNUMBER($A121),IF(AND($A121&gt;=10000101,$A121&lt;=99991231),INT($A121/10000),""),IFERROR(VALUE(TRIM(LEFT($A121,FIND("/",$A121)-1))),"")))</f>
        <v/>
      </c>
      <c r="C121">
        <f>IF(OR($A121="",$B121=""),"",IF(ISNUMBER($A121),INT(MOD($A121,10000)/100),IFERROR(VALUE(TRIM(LEFT(MID($A121,FIND("/",$A121)+1,20),FIND("/",MID($A121,FIND("/",$A121)+1,20))-1))),"")))</f>
        <v/>
      </c>
      <c r="D121">
        <f>IF(OR($A121="",$B121=""),"",IF(ISNUMBER($A121),MOD($A121,100),IFERROR(VALUE(TRIM(MID(MID($A121,FIND("/",$A121)+1,20),FIND("/",MID($A121,FIND("/",$A121)+1,20))+1,20))),"")))</f>
        <v/>
      </c>
      <c r="E121">
        <f>IF($A121="","",IF(OR($B121="",$C121="",$D121="",$B121&lt;1300,$B121&gt;1500,$C121&lt;1,$C121&gt;12,$D121&lt;1,$D121&gt;31),"نامعتبر",RIGHT("0000"&amp;$B121,4)&amp;"/"&amp;RIGHT("00"&amp;$C121,2)&amp;"/"&amp;RIGHT("00"&amp;$D121,2)))</f>
        <v/>
      </c>
      <c r="F121">
        <f>IF(OR($E121="",$E121="نامعتبر"),"",LEFT($E121,4)&amp;"/"&amp;MID($E121,6,2))</f>
        <v/>
      </c>
      <c r="G121">
        <f>IF(OR($E121="",$E121="نامعتبر",Sync!$X117=""),"",IF(AND(LEFT(UPPER(TRIM(Sync!$X117)),2)="SL",IFERROR(VLOOKUP(Sync!$W117,OpTbl,3,0),"")="فروش"),UPPER(TRIM(Sync!$X117)),""))</f>
        <v/>
      </c>
      <c r="H121">
        <f>IF($G121="","",IF(Sync!$W117="","",Sync!$W117))</f>
        <v/>
      </c>
      <c r="I121">
        <f>IF(OR($G121="",Sync!$Y117=""),"",Sync!$Y117)</f>
        <v/>
      </c>
      <c r="J121">
        <f>IF(OR($G121="",Sync!$Z117=""),"",Sync!$Z117)</f>
        <v/>
      </c>
      <c r="K121">
        <f>IF($G121="",0,IF(Sync!$AA117="",0,Sync!$AA117))</f>
        <v/>
      </c>
      <c r="L121">
        <f>IF($G121="",0,IF(Sync!$AB117="",0,Sync!$AB117))</f>
        <v/>
      </c>
      <c r="M121">
        <f>IF($G121="","",IF($H121="مرجوعی فروش",-1,1)*($K121-$L121*IFERROR(VLOOKUP("P01",ParamTbl,3,0),1.5)))</f>
        <v/>
      </c>
      <c r="N121">
        <f>IF($G121="",0,IF($H121="مرجوعی فروش",-1,1)*IF(Sync!$AC117="",0,Sync!$AC117))</f>
        <v/>
      </c>
      <c r="O121">
        <f>IF(OR($G121="",Sync!$V117=""),"",Sync!$V117)</f>
        <v/>
      </c>
      <c r="P121">
        <f>IF(OR($G121="",Sync!$AD117=""),"",Sync!$AD117)</f>
        <v/>
      </c>
      <c r="Q121">
        <f>IF($G121="","",IF(Sync!$U117="","0000",IF(AND(ISNUMBER(Sync!$U117),Sync!$U117&gt;=0,Sync!$U117&lt;1),RIGHT("00"&amp;HOUR(Sync!$U117),2)&amp;RIGHT("00"&amp;MINUTE(Sync!$U117),2),IFERROR(RIGHT("00"&amp;VALUE(LEFT(Sync!$U117,FIND(":",Sync!$U117)-1)),2)&amp;RIGHT("00"&amp;VALUE(MID(Sync!$U117,FIND(":",Sync!$U117)+1,2)),2),"0000"))))</f>
        <v/>
      </c>
    </row>
    <row r="122">
      <c r="A122">
        <f>IF(Sync!$T118="","",Sync!$T118)</f>
        <v/>
      </c>
      <c r="B122">
        <f>IF($A122="","",IF(ISNUMBER($A122),IF(AND($A122&gt;=10000101,$A122&lt;=99991231),INT($A122/10000),""),IFERROR(VALUE(TRIM(LEFT($A122,FIND("/",$A122)-1))),"")))</f>
        <v/>
      </c>
      <c r="C122">
        <f>IF(OR($A122="",$B122=""),"",IF(ISNUMBER($A122),INT(MOD($A122,10000)/100),IFERROR(VALUE(TRIM(LEFT(MID($A122,FIND("/",$A122)+1,20),FIND("/",MID($A122,FIND("/",$A122)+1,20))-1))),"")))</f>
        <v/>
      </c>
      <c r="D122">
        <f>IF(OR($A122="",$B122=""),"",IF(ISNUMBER($A122),MOD($A122,100),IFERROR(VALUE(TRIM(MID(MID($A122,FIND("/",$A122)+1,20),FIND("/",MID($A122,FIND("/",$A122)+1,20))+1,20))),"")))</f>
        <v/>
      </c>
      <c r="E122">
        <f>IF($A122="","",IF(OR($B122="",$C122="",$D122="",$B122&lt;1300,$B122&gt;1500,$C122&lt;1,$C122&gt;12,$D122&lt;1,$D122&gt;31),"نامعتبر",RIGHT("0000"&amp;$B122,4)&amp;"/"&amp;RIGHT("00"&amp;$C122,2)&amp;"/"&amp;RIGHT("00"&amp;$D122,2)))</f>
        <v/>
      </c>
      <c r="F122">
        <f>IF(OR($E122="",$E122="نامعتبر"),"",LEFT($E122,4)&amp;"/"&amp;MID($E122,6,2))</f>
        <v/>
      </c>
      <c r="G122">
        <f>IF(OR($E122="",$E122="نامعتبر",Sync!$X118=""),"",IF(AND(LEFT(UPPER(TRIM(Sync!$X118)),2)="SL",IFERROR(VLOOKUP(Sync!$W118,OpTbl,3,0),"")="فروش"),UPPER(TRIM(Sync!$X118)),""))</f>
        <v/>
      </c>
      <c r="H122">
        <f>IF($G122="","",IF(Sync!$W118="","",Sync!$W118))</f>
        <v/>
      </c>
      <c r="I122">
        <f>IF(OR($G122="",Sync!$Y118=""),"",Sync!$Y118)</f>
        <v/>
      </c>
      <c r="J122">
        <f>IF(OR($G122="",Sync!$Z118=""),"",Sync!$Z118)</f>
        <v/>
      </c>
      <c r="K122">
        <f>IF($G122="",0,IF(Sync!$AA118="",0,Sync!$AA118))</f>
        <v/>
      </c>
      <c r="L122">
        <f>IF($G122="",0,IF(Sync!$AB118="",0,Sync!$AB118))</f>
        <v/>
      </c>
      <c r="M122">
        <f>IF($G122="","",IF($H122="مرجوعی فروش",-1,1)*($K122-$L122*IFERROR(VLOOKUP("P01",ParamTbl,3,0),1.5)))</f>
        <v/>
      </c>
      <c r="N122">
        <f>IF($G122="",0,IF($H122="مرجوعی فروش",-1,1)*IF(Sync!$AC118="",0,Sync!$AC118))</f>
        <v/>
      </c>
      <c r="O122">
        <f>IF(OR($G122="",Sync!$V118=""),"",Sync!$V118)</f>
        <v/>
      </c>
      <c r="P122">
        <f>IF(OR($G122="",Sync!$AD118=""),"",Sync!$AD118)</f>
        <v/>
      </c>
      <c r="Q122">
        <f>IF($G122="","",IF(Sync!$U118="","0000",IF(AND(ISNUMBER(Sync!$U118),Sync!$U118&gt;=0,Sync!$U118&lt;1),RIGHT("00"&amp;HOUR(Sync!$U118),2)&amp;RIGHT("00"&amp;MINUTE(Sync!$U118),2),IFERROR(RIGHT("00"&amp;VALUE(LEFT(Sync!$U118,FIND(":",Sync!$U118)-1)),2)&amp;RIGHT("00"&amp;VALUE(MID(Sync!$U118,FIND(":",Sync!$U118)+1,2)),2),"0000"))))</f>
        <v/>
      </c>
    </row>
    <row r="123">
      <c r="A123">
        <f>IF(Sync!$T119="","",Sync!$T119)</f>
        <v/>
      </c>
      <c r="B123">
        <f>IF($A123="","",IF(ISNUMBER($A123),IF(AND($A123&gt;=10000101,$A123&lt;=99991231),INT($A123/10000),""),IFERROR(VALUE(TRIM(LEFT($A123,FIND("/",$A123)-1))),"")))</f>
        <v/>
      </c>
      <c r="C123">
        <f>IF(OR($A123="",$B123=""),"",IF(ISNUMBER($A123),INT(MOD($A123,10000)/100),IFERROR(VALUE(TRIM(LEFT(MID($A123,FIND("/",$A123)+1,20),FIND("/",MID($A123,FIND("/",$A123)+1,20))-1))),"")))</f>
        <v/>
      </c>
      <c r="D123">
        <f>IF(OR($A123="",$B123=""),"",IF(ISNUMBER($A123),MOD($A123,100),IFERROR(VALUE(TRIM(MID(MID($A123,FIND("/",$A123)+1,20),FIND("/",MID($A123,FIND("/",$A123)+1,20))+1,20))),"")))</f>
        <v/>
      </c>
      <c r="E123">
        <f>IF($A123="","",IF(OR($B123="",$C123="",$D123="",$B123&lt;1300,$B123&gt;1500,$C123&lt;1,$C123&gt;12,$D123&lt;1,$D123&gt;31),"نامعتبر",RIGHT("0000"&amp;$B123,4)&amp;"/"&amp;RIGHT("00"&amp;$C123,2)&amp;"/"&amp;RIGHT("00"&amp;$D123,2)))</f>
        <v/>
      </c>
      <c r="F123">
        <f>IF(OR($E123="",$E123="نامعتبر"),"",LEFT($E123,4)&amp;"/"&amp;MID($E123,6,2))</f>
        <v/>
      </c>
      <c r="G123">
        <f>IF(OR($E123="",$E123="نامعتبر",Sync!$X119=""),"",IF(AND(LEFT(UPPER(TRIM(Sync!$X119)),2)="SL",IFERROR(VLOOKUP(Sync!$W119,OpTbl,3,0),"")="فروش"),UPPER(TRIM(Sync!$X119)),""))</f>
        <v/>
      </c>
      <c r="H123">
        <f>IF($G123="","",IF(Sync!$W119="","",Sync!$W119))</f>
        <v/>
      </c>
      <c r="I123">
        <f>IF(OR($G123="",Sync!$Y119=""),"",Sync!$Y119)</f>
        <v/>
      </c>
      <c r="J123">
        <f>IF(OR($G123="",Sync!$Z119=""),"",Sync!$Z119)</f>
        <v/>
      </c>
      <c r="K123">
        <f>IF($G123="",0,IF(Sync!$AA119="",0,Sync!$AA119))</f>
        <v/>
      </c>
      <c r="L123">
        <f>IF($G123="",0,IF(Sync!$AB119="",0,Sync!$AB119))</f>
        <v/>
      </c>
      <c r="M123">
        <f>IF($G123="","",IF($H123="مرجوعی فروش",-1,1)*($K123-$L123*IFERROR(VLOOKUP("P01",ParamTbl,3,0),1.5)))</f>
        <v/>
      </c>
      <c r="N123">
        <f>IF($G123="",0,IF($H123="مرجوعی فروش",-1,1)*IF(Sync!$AC119="",0,Sync!$AC119))</f>
        <v/>
      </c>
      <c r="O123">
        <f>IF(OR($G123="",Sync!$V119=""),"",Sync!$V119)</f>
        <v/>
      </c>
      <c r="P123">
        <f>IF(OR($G123="",Sync!$AD119=""),"",Sync!$AD119)</f>
        <v/>
      </c>
      <c r="Q123">
        <f>IF($G123="","",IF(Sync!$U119="","0000",IF(AND(ISNUMBER(Sync!$U119),Sync!$U119&gt;=0,Sync!$U119&lt;1),RIGHT("00"&amp;HOUR(Sync!$U119),2)&amp;RIGHT("00"&amp;MINUTE(Sync!$U119),2),IFERROR(RIGHT("00"&amp;VALUE(LEFT(Sync!$U119,FIND(":",Sync!$U119)-1)),2)&amp;RIGHT("00"&amp;VALUE(MID(Sync!$U119,FIND(":",Sync!$U119)+1,2)),2),"0000"))))</f>
        <v/>
      </c>
    </row>
    <row r="124">
      <c r="A124">
        <f>IF(Sync!$T120="","",Sync!$T120)</f>
        <v/>
      </c>
      <c r="B124">
        <f>IF($A124="","",IF(ISNUMBER($A124),IF(AND($A124&gt;=10000101,$A124&lt;=99991231),INT($A124/10000),""),IFERROR(VALUE(TRIM(LEFT($A124,FIND("/",$A124)-1))),"")))</f>
        <v/>
      </c>
      <c r="C124">
        <f>IF(OR($A124="",$B124=""),"",IF(ISNUMBER($A124),INT(MOD($A124,10000)/100),IFERROR(VALUE(TRIM(LEFT(MID($A124,FIND("/",$A124)+1,20),FIND("/",MID($A124,FIND("/",$A124)+1,20))-1))),"")))</f>
        <v/>
      </c>
      <c r="D124">
        <f>IF(OR($A124="",$B124=""),"",IF(ISNUMBER($A124),MOD($A124,100),IFERROR(VALUE(TRIM(MID(MID($A124,FIND("/",$A124)+1,20),FIND("/",MID($A124,FIND("/",$A124)+1,20))+1,20))),"")))</f>
        <v/>
      </c>
      <c r="E124">
        <f>IF($A124="","",IF(OR($B124="",$C124="",$D124="",$B124&lt;1300,$B124&gt;1500,$C124&lt;1,$C124&gt;12,$D124&lt;1,$D124&gt;31),"نامعتبر",RIGHT("0000"&amp;$B124,4)&amp;"/"&amp;RIGHT("00"&amp;$C124,2)&amp;"/"&amp;RIGHT("00"&amp;$D124,2)))</f>
        <v/>
      </c>
      <c r="F124">
        <f>IF(OR($E124="",$E124="نامعتبر"),"",LEFT($E124,4)&amp;"/"&amp;MID($E124,6,2))</f>
        <v/>
      </c>
      <c r="G124">
        <f>IF(OR($E124="",$E124="نامعتبر",Sync!$X120=""),"",IF(AND(LEFT(UPPER(TRIM(Sync!$X120)),2)="SL",IFERROR(VLOOKUP(Sync!$W120,OpTbl,3,0),"")="فروش"),UPPER(TRIM(Sync!$X120)),""))</f>
        <v/>
      </c>
      <c r="H124">
        <f>IF($G124="","",IF(Sync!$W120="","",Sync!$W120))</f>
        <v/>
      </c>
      <c r="I124">
        <f>IF(OR($G124="",Sync!$Y120=""),"",Sync!$Y120)</f>
        <v/>
      </c>
      <c r="J124">
        <f>IF(OR($G124="",Sync!$Z120=""),"",Sync!$Z120)</f>
        <v/>
      </c>
      <c r="K124">
        <f>IF($G124="",0,IF(Sync!$AA120="",0,Sync!$AA120))</f>
        <v/>
      </c>
      <c r="L124">
        <f>IF($G124="",0,IF(Sync!$AB120="",0,Sync!$AB120))</f>
        <v/>
      </c>
      <c r="M124">
        <f>IF($G124="","",IF($H124="مرجوعی فروش",-1,1)*($K124-$L124*IFERROR(VLOOKUP("P01",ParamTbl,3,0),1.5)))</f>
        <v/>
      </c>
      <c r="N124">
        <f>IF($G124="",0,IF($H124="مرجوعی فروش",-1,1)*IF(Sync!$AC120="",0,Sync!$AC120))</f>
        <v/>
      </c>
      <c r="O124">
        <f>IF(OR($G124="",Sync!$V120=""),"",Sync!$V120)</f>
        <v/>
      </c>
      <c r="P124">
        <f>IF(OR($G124="",Sync!$AD120=""),"",Sync!$AD120)</f>
        <v/>
      </c>
      <c r="Q124">
        <f>IF($G124="","",IF(Sync!$U120="","0000",IF(AND(ISNUMBER(Sync!$U120),Sync!$U120&gt;=0,Sync!$U120&lt;1),RIGHT("00"&amp;HOUR(Sync!$U120),2)&amp;RIGHT("00"&amp;MINUTE(Sync!$U120),2),IFERROR(RIGHT("00"&amp;VALUE(LEFT(Sync!$U120,FIND(":",Sync!$U120)-1)),2)&amp;RIGHT("00"&amp;VALUE(MID(Sync!$U120,FIND(":",Sync!$U120)+1,2)),2),"0000"))))</f>
        <v/>
      </c>
    </row>
    <row r="125">
      <c r="A125">
        <f>IF(Sync!$T121="","",Sync!$T121)</f>
        <v/>
      </c>
      <c r="B125">
        <f>IF($A125="","",IF(ISNUMBER($A125),IF(AND($A125&gt;=10000101,$A125&lt;=99991231),INT($A125/10000),""),IFERROR(VALUE(TRIM(LEFT($A125,FIND("/",$A125)-1))),"")))</f>
        <v/>
      </c>
      <c r="C125">
        <f>IF(OR($A125="",$B125=""),"",IF(ISNUMBER($A125),INT(MOD($A125,10000)/100),IFERROR(VALUE(TRIM(LEFT(MID($A125,FIND("/",$A125)+1,20),FIND("/",MID($A125,FIND("/",$A125)+1,20))-1))),"")))</f>
        <v/>
      </c>
      <c r="D125">
        <f>IF(OR($A125="",$B125=""),"",IF(ISNUMBER($A125),MOD($A125,100),IFERROR(VALUE(TRIM(MID(MID($A125,FIND("/",$A125)+1,20),FIND("/",MID($A125,FIND("/",$A125)+1,20))+1,20))),"")))</f>
        <v/>
      </c>
      <c r="E125">
        <f>IF($A125="","",IF(OR($B125="",$C125="",$D125="",$B125&lt;1300,$B125&gt;1500,$C125&lt;1,$C125&gt;12,$D125&lt;1,$D125&gt;31),"نامعتبر",RIGHT("0000"&amp;$B125,4)&amp;"/"&amp;RIGHT("00"&amp;$C125,2)&amp;"/"&amp;RIGHT("00"&amp;$D125,2)))</f>
        <v/>
      </c>
      <c r="F125">
        <f>IF(OR($E125="",$E125="نامعتبر"),"",LEFT($E125,4)&amp;"/"&amp;MID($E125,6,2))</f>
        <v/>
      </c>
      <c r="G125">
        <f>IF(OR($E125="",$E125="نامعتبر",Sync!$X121=""),"",IF(AND(LEFT(UPPER(TRIM(Sync!$X121)),2)="SL",IFERROR(VLOOKUP(Sync!$W121,OpTbl,3,0),"")="فروش"),UPPER(TRIM(Sync!$X121)),""))</f>
        <v/>
      </c>
      <c r="H125">
        <f>IF($G125="","",IF(Sync!$W121="","",Sync!$W121))</f>
        <v/>
      </c>
      <c r="I125">
        <f>IF(OR($G125="",Sync!$Y121=""),"",Sync!$Y121)</f>
        <v/>
      </c>
      <c r="J125">
        <f>IF(OR($G125="",Sync!$Z121=""),"",Sync!$Z121)</f>
        <v/>
      </c>
      <c r="K125">
        <f>IF($G125="",0,IF(Sync!$AA121="",0,Sync!$AA121))</f>
        <v/>
      </c>
      <c r="L125">
        <f>IF($G125="",0,IF(Sync!$AB121="",0,Sync!$AB121))</f>
        <v/>
      </c>
      <c r="M125">
        <f>IF($G125="","",IF($H125="مرجوعی فروش",-1,1)*($K125-$L125*IFERROR(VLOOKUP("P01",ParamTbl,3,0),1.5)))</f>
        <v/>
      </c>
      <c r="N125">
        <f>IF($G125="",0,IF($H125="مرجوعی فروش",-1,1)*IF(Sync!$AC121="",0,Sync!$AC121))</f>
        <v/>
      </c>
      <c r="O125">
        <f>IF(OR($G125="",Sync!$V121=""),"",Sync!$V121)</f>
        <v/>
      </c>
      <c r="P125">
        <f>IF(OR($G125="",Sync!$AD121=""),"",Sync!$AD121)</f>
        <v/>
      </c>
      <c r="Q125">
        <f>IF($G125="","",IF(Sync!$U121="","0000",IF(AND(ISNUMBER(Sync!$U121),Sync!$U121&gt;=0,Sync!$U121&lt;1),RIGHT("00"&amp;HOUR(Sync!$U121),2)&amp;RIGHT("00"&amp;MINUTE(Sync!$U121),2),IFERROR(RIGHT("00"&amp;VALUE(LEFT(Sync!$U121,FIND(":",Sync!$U121)-1)),2)&amp;RIGHT("00"&amp;VALUE(MID(Sync!$U121,FIND(":",Sync!$U121)+1,2)),2),"0000"))))</f>
        <v/>
      </c>
    </row>
    <row r="126">
      <c r="A126">
        <f>IF(Sync!$T122="","",Sync!$T122)</f>
        <v/>
      </c>
      <c r="B126">
        <f>IF($A126="","",IF(ISNUMBER($A126),IF(AND($A126&gt;=10000101,$A126&lt;=99991231),INT($A126/10000),""),IFERROR(VALUE(TRIM(LEFT($A126,FIND("/",$A126)-1))),"")))</f>
        <v/>
      </c>
      <c r="C126">
        <f>IF(OR($A126="",$B126=""),"",IF(ISNUMBER($A126),INT(MOD($A126,10000)/100),IFERROR(VALUE(TRIM(LEFT(MID($A126,FIND("/",$A126)+1,20),FIND("/",MID($A126,FIND("/",$A126)+1,20))-1))),"")))</f>
        <v/>
      </c>
      <c r="D126">
        <f>IF(OR($A126="",$B126=""),"",IF(ISNUMBER($A126),MOD($A126,100),IFERROR(VALUE(TRIM(MID(MID($A126,FIND("/",$A126)+1,20),FIND("/",MID($A126,FIND("/",$A126)+1,20))+1,20))),"")))</f>
        <v/>
      </c>
      <c r="E126">
        <f>IF($A126="","",IF(OR($B126="",$C126="",$D126="",$B126&lt;1300,$B126&gt;1500,$C126&lt;1,$C126&gt;12,$D126&lt;1,$D126&gt;31),"نامعتبر",RIGHT("0000"&amp;$B126,4)&amp;"/"&amp;RIGHT("00"&amp;$C126,2)&amp;"/"&amp;RIGHT("00"&amp;$D126,2)))</f>
        <v/>
      </c>
      <c r="F126">
        <f>IF(OR($E126="",$E126="نامعتبر"),"",LEFT($E126,4)&amp;"/"&amp;MID($E126,6,2))</f>
        <v/>
      </c>
      <c r="G126">
        <f>IF(OR($E126="",$E126="نامعتبر",Sync!$X122=""),"",IF(AND(LEFT(UPPER(TRIM(Sync!$X122)),2)="SL",IFERROR(VLOOKUP(Sync!$W122,OpTbl,3,0),"")="فروش"),UPPER(TRIM(Sync!$X122)),""))</f>
        <v/>
      </c>
      <c r="H126">
        <f>IF($G126="","",IF(Sync!$W122="","",Sync!$W122))</f>
        <v/>
      </c>
      <c r="I126">
        <f>IF(OR($G126="",Sync!$Y122=""),"",Sync!$Y122)</f>
        <v/>
      </c>
      <c r="J126">
        <f>IF(OR($G126="",Sync!$Z122=""),"",Sync!$Z122)</f>
        <v/>
      </c>
      <c r="K126">
        <f>IF($G126="",0,IF(Sync!$AA122="",0,Sync!$AA122))</f>
        <v/>
      </c>
      <c r="L126">
        <f>IF($G126="",0,IF(Sync!$AB122="",0,Sync!$AB122))</f>
        <v/>
      </c>
      <c r="M126">
        <f>IF($G126="","",IF($H126="مرجوعی فروش",-1,1)*($K126-$L126*IFERROR(VLOOKUP("P01",ParamTbl,3,0),1.5)))</f>
        <v/>
      </c>
      <c r="N126">
        <f>IF($G126="",0,IF($H126="مرجوعی فروش",-1,1)*IF(Sync!$AC122="",0,Sync!$AC122))</f>
        <v/>
      </c>
      <c r="O126">
        <f>IF(OR($G126="",Sync!$V122=""),"",Sync!$V122)</f>
        <v/>
      </c>
      <c r="P126">
        <f>IF(OR($G126="",Sync!$AD122=""),"",Sync!$AD122)</f>
        <v/>
      </c>
      <c r="Q126">
        <f>IF($G126="","",IF(Sync!$U122="","0000",IF(AND(ISNUMBER(Sync!$U122),Sync!$U122&gt;=0,Sync!$U122&lt;1),RIGHT("00"&amp;HOUR(Sync!$U122),2)&amp;RIGHT("00"&amp;MINUTE(Sync!$U122),2),IFERROR(RIGHT("00"&amp;VALUE(LEFT(Sync!$U122,FIND(":",Sync!$U122)-1)),2)&amp;RIGHT("00"&amp;VALUE(MID(Sync!$U122,FIND(":",Sync!$U122)+1,2)),2),"0000"))))</f>
        <v/>
      </c>
    </row>
    <row r="127">
      <c r="A127">
        <f>IF(Sync!$T123="","",Sync!$T123)</f>
        <v/>
      </c>
      <c r="B127">
        <f>IF($A127="","",IF(ISNUMBER($A127),IF(AND($A127&gt;=10000101,$A127&lt;=99991231),INT($A127/10000),""),IFERROR(VALUE(TRIM(LEFT($A127,FIND("/",$A127)-1))),"")))</f>
        <v/>
      </c>
      <c r="C127">
        <f>IF(OR($A127="",$B127=""),"",IF(ISNUMBER($A127),INT(MOD($A127,10000)/100),IFERROR(VALUE(TRIM(LEFT(MID($A127,FIND("/",$A127)+1,20),FIND("/",MID($A127,FIND("/",$A127)+1,20))-1))),"")))</f>
        <v/>
      </c>
      <c r="D127">
        <f>IF(OR($A127="",$B127=""),"",IF(ISNUMBER($A127),MOD($A127,100),IFERROR(VALUE(TRIM(MID(MID($A127,FIND("/",$A127)+1,20),FIND("/",MID($A127,FIND("/",$A127)+1,20))+1,20))),"")))</f>
        <v/>
      </c>
      <c r="E127">
        <f>IF($A127="","",IF(OR($B127="",$C127="",$D127="",$B127&lt;1300,$B127&gt;1500,$C127&lt;1,$C127&gt;12,$D127&lt;1,$D127&gt;31),"نامعتبر",RIGHT("0000"&amp;$B127,4)&amp;"/"&amp;RIGHT("00"&amp;$C127,2)&amp;"/"&amp;RIGHT("00"&amp;$D127,2)))</f>
        <v/>
      </c>
      <c r="F127">
        <f>IF(OR($E127="",$E127="نامعتبر"),"",LEFT($E127,4)&amp;"/"&amp;MID($E127,6,2))</f>
        <v/>
      </c>
      <c r="G127">
        <f>IF(OR($E127="",$E127="نامعتبر",Sync!$X123=""),"",IF(AND(LEFT(UPPER(TRIM(Sync!$X123)),2)="SL",IFERROR(VLOOKUP(Sync!$W123,OpTbl,3,0),"")="فروش"),UPPER(TRIM(Sync!$X123)),""))</f>
        <v/>
      </c>
      <c r="H127">
        <f>IF($G127="","",IF(Sync!$W123="","",Sync!$W123))</f>
        <v/>
      </c>
      <c r="I127">
        <f>IF(OR($G127="",Sync!$Y123=""),"",Sync!$Y123)</f>
        <v/>
      </c>
      <c r="J127">
        <f>IF(OR($G127="",Sync!$Z123=""),"",Sync!$Z123)</f>
        <v/>
      </c>
      <c r="K127">
        <f>IF($G127="",0,IF(Sync!$AA123="",0,Sync!$AA123))</f>
        <v/>
      </c>
      <c r="L127">
        <f>IF($G127="",0,IF(Sync!$AB123="",0,Sync!$AB123))</f>
        <v/>
      </c>
      <c r="M127">
        <f>IF($G127="","",IF($H127="مرجوعی فروش",-1,1)*($K127-$L127*IFERROR(VLOOKUP("P01",ParamTbl,3,0),1.5)))</f>
        <v/>
      </c>
      <c r="N127">
        <f>IF($G127="",0,IF($H127="مرجوعی فروش",-1,1)*IF(Sync!$AC123="",0,Sync!$AC123))</f>
        <v/>
      </c>
      <c r="O127">
        <f>IF(OR($G127="",Sync!$V123=""),"",Sync!$V123)</f>
        <v/>
      </c>
      <c r="P127">
        <f>IF(OR($G127="",Sync!$AD123=""),"",Sync!$AD123)</f>
        <v/>
      </c>
      <c r="Q127">
        <f>IF($G127="","",IF(Sync!$U123="","0000",IF(AND(ISNUMBER(Sync!$U123),Sync!$U123&gt;=0,Sync!$U123&lt;1),RIGHT("00"&amp;HOUR(Sync!$U123),2)&amp;RIGHT("00"&amp;MINUTE(Sync!$U123),2),IFERROR(RIGHT("00"&amp;VALUE(LEFT(Sync!$U123,FIND(":",Sync!$U123)-1)),2)&amp;RIGHT("00"&amp;VALUE(MID(Sync!$U123,FIND(":",Sync!$U123)+1,2)),2),"0000"))))</f>
        <v/>
      </c>
    </row>
    <row r="128">
      <c r="A128">
        <f>IF(Sync!$T124="","",Sync!$T124)</f>
        <v/>
      </c>
      <c r="B128">
        <f>IF($A128="","",IF(ISNUMBER($A128),IF(AND($A128&gt;=10000101,$A128&lt;=99991231),INT($A128/10000),""),IFERROR(VALUE(TRIM(LEFT($A128,FIND("/",$A128)-1))),"")))</f>
        <v/>
      </c>
      <c r="C128">
        <f>IF(OR($A128="",$B128=""),"",IF(ISNUMBER($A128),INT(MOD($A128,10000)/100),IFERROR(VALUE(TRIM(LEFT(MID($A128,FIND("/",$A128)+1,20),FIND("/",MID($A128,FIND("/",$A128)+1,20))-1))),"")))</f>
        <v/>
      </c>
      <c r="D128">
        <f>IF(OR($A128="",$B128=""),"",IF(ISNUMBER($A128),MOD($A128,100),IFERROR(VALUE(TRIM(MID(MID($A128,FIND("/",$A128)+1,20),FIND("/",MID($A128,FIND("/",$A128)+1,20))+1,20))),"")))</f>
        <v/>
      </c>
      <c r="E128">
        <f>IF($A128="","",IF(OR($B128="",$C128="",$D128="",$B128&lt;1300,$B128&gt;1500,$C128&lt;1,$C128&gt;12,$D128&lt;1,$D128&gt;31),"نامعتبر",RIGHT("0000"&amp;$B128,4)&amp;"/"&amp;RIGHT("00"&amp;$C128,2)&amp;"/"&amp;RIGHT("00"&amp;$D128,2)))</f>
        <v/>
      </c>
      <c r="F128">
        <f>IF(OR($E128="",$E128="نامعتبر"),"",LEFT($E128,4)&amp;"/"&amp;MID($E128,6,2))</f>
        <v/>
      </c>
      <c r="G128">
        <f>IF(OR($E128="",$E128="نامعتبر",Sync!$X124=""),"",IF(AND(LEFT(UPPER(TRIM(Sync!$X124)),2)="SL",IFERROR(VLOOKUP(Sync!$W124,OpTbl,3,0),"")="فروش"),UPPER(TRIM(Sync!$X124)),""))</f>
        <v/>
      </c>
      <c r="H128">
        <f>IF($G128="","",IF(Sync!$W124="","",Sync!$W124))</f>
        <v/>
      </c>
      <c r="I128">
        <f>IF(OR($G128="",Sync!$Y124=""),"",Sync!$Y124)</f>
        <v/>
      </c>
      <c r="J128">
        <f>IF(OR($G128="",Sync!$Z124=""),"",Sync!$Z124)</f>
        <v/>
      </c>
      <c r="K128">
        <f>IF($G128="",0,IF(Sync!$AA124="",0,Sync!$AA124))</f>
        <v/>
      </c>
      <c r="L128">
        <f>IF($G128="",0,IF(Sync!$AB124="",0,Sync!$AB124))</f>
        <v/>
      </c>
      <c r="M128">
        <f>IF($G128="","",IF($H128="مرجوعی فروش",-1,1)*($K128-$L128*IFERROR(VLOOKUP("P01",ParamTbl,3,0),1.5)))</f>
        <v/>
      </c>
      <c r="N128">
        <f>IF($G128="",0,IF($H128="مرجوعی فروش",-1,1)*IF(Sync!$AC124="",0,Sync!$AC124))</f>
        <v/>
      </c>
      <c r="O128">
        <f>IF(OR($G128="",Sync!$V124=""),"",Sync!$V124)</f>
        <v/>
      </c>
      <c r="P128">
        <f>IF(OR($G128="",Sync!$AD124=""),"",Sync!$AD124)</f>
        <v/>
      </c>
      <c r="Q128">
        <f>IF($G128="","",IF(Sync!$U124="","0000",IF(AND(ISNUMBER(Sync!$U124),Sync!$U124&gt;=0,Sync!$U124&lt;1),RIGHT("00"&amp;HOUR(Sync!$U124),2)&amp;RIGHT("00"&amp;MINUTE(Sync!$U124),2),IFERROR(RIGHT("00"&amp;VALUE(LEFT(Sync!$U124,FIND(":",Sync!$U124)-1)),2)&amp;RIGHT("00"&amp;VALUE(MID(Sync!$U124,FIND(":",Sync!$U124)+1,2)),2),"0000"))))</f>
        <v/>
      </c>
    </row>
    <row r="129">
      <c r="A129">
        <f>IF(Sync!$T125="","",Sync!$T125)</f>
        <v/>
      </c>
      <c r="B129">
        <f>IF($A129="","",IF(ISNUMBER($A129),IF(AND($A129&gt;=10000101,$A129&lt;=99991231),INT($A129/10000),""),IFERROR(VALUE(TRIM(LEFT($A129,FIND("/",$A129)-1))),"")))</f>
        <v/>
      </c>
      <c r="C129">
        <f>IF(OR($A129="",$B129=""),"",IF(ISNUMBER($A129),INT(MOD($A129,10000)/100),IFERROR(VALUE(TRIM(LEFT(MID($A129,FIND("/",$A129)+1,20),FIND("/",MID($A129,FIND("/",$A129)+1,20))-1))),"")))</f>
        <v/>
      </c>
      <c r="D129">
        <f>IF(OR($A129="",$B129=""),"",IF(ISNUMBER($A129),MOD($A129,100),IFERROR(VALUE(TRIM(MID(MID($A129,FIND("/",$A129)+1,20),FIND("/",MID($A129,FIND("/",$A129)+1,20))+1,20))),"")))</f>
        <v/>
      </c>
      <c r="E129">
        <f>IF($A129="","",IF(OR($B129="",$C129="",$D129="",$B129&lt;1300,$B129&gt;1500,$C129&lt;1,$C129&gt;12,$D129&lt;1,$D129&gt;31),"نامعتبر",RIGHT("0000"&amp;$B129,4)&amp;"/"&amp;RIGHT("00"&amp;$C129,2)&amp;"/"&amp;RIGHT("00"&amp;$D129,2)))</f>
        <v/>
      </c>
      <c r="F129">
        <f>IF(OR($E129="",$E129="نامعتبر"),"",LEFT($E129,4)&amp;"/"&amp;MID($E129,6,2))</f>
        <v/>
      </c>
      <c r="G129">
        <f>IF(OR($E129="",$E129="نامعتبر",Sync!$X125=""),"",IF(AND(LEFT(UPPER(TRIM(Sync!$X125)),2)="SL",IFERROR(VLOOKUP(Sync!$W125,OpTbl,3,0),"")="فروش"),UPPER(TRIM(Sync!$X125)),""))</f>
        <v/>
      </c>
      <c r="H129">
        <f>IF($G129="","",IF(Sync!$W125="","",Sync!$W125))</f>
        <v/>
      </c>
      <c r="I129">
        <f>IF(OR($G129="",Sync!$Y125=""),"",Sync!$Y125)</f>
        <v/>
      </c>
      <c r="J129">
        <f>IF(OR($G129="",Sync!$Z125=""),"",Sync!$Z125)</f>
        <v/>
      </c>
      <c r="K129">
        <f>IF($G129="",0,IF(Sync!$AA125="",0,Sync!$AA125))</f>
        <v/>
      </c>
      <c r="L129">
        <f>IF($G129="",0,IF(Sync!$AB125="",0,Sync!$AB125))</f>
        <v/>
      </c>
      <c r="M129">
        <f>IF($G129="","",IF($H129="مرجوعی فروش",-1,1)*($K129-$L129*IFERROR(VLOOKUP("P01",ParamTbl,3,0),1.5)))</f>
        <v/>
      </c>
      <c r="N129">
        <f>IF($G129="",0,IF($H129="مرجوعی فروش",-1,1)*IF(Sync!$AC125="",0,Sync!$AC125))</f>
        <v/>
      </c>
      <c r="O129">
        <f>IF(OR($G129="",Sync!$V125=""),"",Sync!$V125)</f>
        <v/>
      </c>
      <c r="P129">
        <f>IF(OR($G129="",Sync!$AD125=""),"",Sync!$AD125)</f>
        <v/>
      </c>
      <c r="Q129">
        <f>IF($G129="","",IF(Sync!$U125="","0000",IF(AND(ISNUMBER(Sync!$U125),Sync!$U125&gt;=0,Sync!$U125&lt;1),RIGHT("00"&amp;HOUR(Sync!$U125),2)&amp;RIGHT("00"&amp;MINUTE(Sync!$U125),2),IFERROR(RIGHT("00"&amp;VALUE(LEFT(Sync!$U125,FIND(":",Sync!$U125)-1)),2)&amp;RIGHT("00"&amp;VALUE(MID(Sync!$U125,FIND(":",Sync!$U125)+1,2)),2),"0000"))))</f>
        <v/>
      </c>
    </row>
    <row r="130">
      <c r="A130">
        <f>IF(Sync!$T126="","",Sync!$T126)</f>
        <v/>
      </c>
      <c r="B130">
        <f>IF($A130="","",IF(ISNUMBER($A130),IF(AND($A130&gt;=10000101,$A130&lt;=99991231),INT($A130/10000),""),IFERROR(VALUE(TRIM(LEFT($A130,FIND("/",$A130)-1))),"")))</f>
        <v/>
      </c>
      <c r="C130">
        <f>IF(OR($A130="",$B130=""),"",IF(ISNUMBER($A130),INT(MOD($A130,10000)/100),IFERROR(VALUE(TRIM(LEFT(MID($A130,FIND("/",$A130)+1,20),FIND("/",MID($A130,FIND("/",$A130)+1,20))-1))),"")))</f>
        <v/>
      </c>
      <c r="D130">
        <f>IF(OR($A130="",$B130=""),"",IF(ISNUMBER($A130),MOD($A130,100),IFERROR(VALUE(TRIM(MID(MID($A130,FIND("/",$A130)+1,20),FIND("/",MID($A130,FIND("/",$A130)+1,20))+1,20))),"")))</f>
        <v/>
      </c>
      <c r="E130">
        <f>IF($A130="","",IF(OR($B130="",$C130="",$D130="",$B130&lt;1300,$B130&gt;1500,$C130&lt;1,$C130&gt;12,$D130&lt;1,$D130&gt;31),"نامعتبر",RIGHT("0000"&amp;$B130,4)&amp;"/"&amp;RIGHT("00"&amp;$C130,2)&amp;"/"&amp;RIGHT("00"&amp;$D130,2)))</f>
        <v/>
      </c>
      <c r="F130">
        <f>IF(OR($E130="",$E130="نامعتبر"),"",LEFT($E130,4)&amp;"/"&amp;MID($E130,6,2))</f>
        <v/>
      </c>
      <c r="G130">
        <f>IF(OR($E130="",$E130="نامعتبر",Sync!$X126=""),"",IF(AND(LEFT(UPPER(TRIM(Sync!$X126)),2)="SL",IFERROR(VLOOKUP(Sync!$W126,OpTbl,3,0),"")="فروش"),UPPER(TRIM(Sync!$X126)),""))</f>
        <v/>
      </c>
      <c r="H130">
        <f>IF($G130="","",IF(Sync!$W126="","",Sync!$W126))</f>
        <v/>
      </c>
      <c r="I130">
        <f>IF(OR($G130="",Sync!$Y126=""),"",Sync!$Y126)</f>
        <v/>
      </c>
      <c r="J130">
        <f>IF(OR($G130="",Sync!$Z126=""),"",Sync!$Z126)</f>
        <v/>
      </c>
      <c r="K130">
        <f>IF($G130="",0,IF(Sync!$AA126="",0,Sync!$AA126))</f>
        <v/>
      </c>
      <c r="L130">
        <f>IF($G130="",0,IF(Sync!$AB126="",0,Sync!$AB126))</f>
        <v/>
      </c>
      <c r="M130">
        <f>IF($G130="","",IF($H130="مرجوعی فروش",-1,1)*($K130-$L130*IFERROR(VLOOKUP("P01",ParamTbl,3,0),1.5)))</f>
        <v/>
      </c>
      <c r="N130">
        <f>IF($G130="",0,IF($H130="مرجوعی فروش",-1,1)*IF(Sync!$AC126="",0,Sync!$AC126))</f>
        <v/>
      </c>
      <c r="O130">
        <f>IF(OR($G130="",Sync!$V126=""),"",Sync!$V126)</f>
        <v/>
      </c>
      <c r="P130">
        <f>IF(OR($G130="",Sync!$AD126=""),"",Sync!$AD126)</f>
        <v/>
      </c>
      <c r="Q130">
        <f>IF($G130="","",IF(Sync!$U126="","0000",IF(AND(ISNUMBER(Sync!$U126),Sync!$U126&gt;=0,Sync!$U126&lt;1),RIGHT("00"&amp;HOUR(Sync!$U126),2)&amp;RIGHT("00"&amp;MINUTE(Sync!$U126),2),IFERROR(RIGHT("00"&amp;VALUE(LEFT(Sync!$U126,FIND(":",Sync!$U126)-1)),2)&amp;RIGHT("00"&amp;VALUE(MID(Sync!$U126,FIND(":",Sync!$U126)+1,2)),2),"0000"))))</f>
        <v/>
      </c>
    </row>
    <row r="131">
      <c r="A131">
        <f>IF(Sync!$T127="","",Sync!$T127)</f>
        <v/>
      </c>
      <c r="B131">
        <f>IF($A131="","",IF(ISNUMBER($A131),IF(AND($A131&gt;=10000101,$A131&lt;=99991231),INT($A131/10000),""),IFERROR(VALUE(TRIM(LEFT($A131,FIND("/",$A131)-1))),"")))</f>
        <v/>
      </c>
      <c r="C131">
        <f>IF(OR($A131="",$B131=""),"",IF(ISNUMBER($A131),INT(MOD($A131,10000)/100),IFERROR(VALUE(TRIM(LEFT(MID($A131,FIND("/",$A131)+1,20),FIND("/",MID($A131,FIND("/",$A131)+1,20))-1))),"")))</f>
        <v/>
      </c>
      <c r="D131">
        <f>IF(OR($A131="",$B131=""),"",IF(ISNUMBER($A131),MOD($A131,100),IFERROR(VALUE(TRIM(MID(MID($A131,FIND("/",$A131)+1,20),FIND("/",MID($A131,FIND("/",$A131)+1,20))+1,20))),"")))</f>
        <v/>
      </c>
      <c r="E131">
        <f>IF($A131="","",IF(OR($B131="",$C131="",$D131="",$B131&lt;1300,$B131&gt;1500,$C131&lt;1,$C131&gt;12,$D131&lt;1,$D131&gt;31),"نامعتبر",RIGHT("0000"&amp;$B131,4)&amp;"/"&amp;RIGHT("00"&amp;$C131,2)&amp;"/"&amp;RIGHT("00"&amp;$D131,2)))</f>
        <v/>
      </c>
      <c r="F131">
        <f>IF(OR($E131="",$E131="نامعتبر"),"",LEFT($E131,4)&amp;"/"&amp;MID($E131,6,2))</f>
        <v/>
      </c>
      <c r="G131">
        <f>IF(OR($E131="",$E131="نامعتبر",Sync!$X127=""),"",IF(AND(LEFT(UPPER(TRIM(Sync!$X127)),2)="SL",IFERROR(VLOOKUP(Sync!$W127,OpTbl,3,0),"")="فروش"),UPPER(TRIM(Sync!$X127)),""))</f>
        <v/>
      </c>
      <c r="H131">
        <f>IF($G131="","",IF(Sync!$W127="","",Sync!$W127))</f>
        <v/>
      </c>
      <c r="I131">
        <f>IF(OR($G131="",Sync!$Y127=""),"",Sync!$Y127)</f>
        <v/>
      </c>
      <c r="J131">
        <f>IF(OR($G131="",Sync!$Z127=""),"",Sync!$Z127)</f>
        <v/>
      </c>
      <c r="K131">
        <f>IF($G131="",0,IF(Sync!$AA127="",0,Sync!$AA127))</f>
        <v/>
      </c>
      <c r="L131">
        <f>IF($G131="",0,IF(Sync!$AB127="",0,Sync!$AB127))</f>
        <v/>
      </c>
      <c r="M131">
        <f>IF($G131="","",IF($H131="مرجوعی فروش",-1,1)*($K131-$L131*IFERROR(VLOOKUP("P01",ParamTbl,3,0),1.5)))</f>
        <v/>
      </c>
      <c r="N131">
        <f>IF($G131="",0,IF($H131="مرجوعی فروش",-1,1)*IF(Sync!$AC127="",0,Sync!$AC127))</f>
        <v/>
      </c>
      <c r="O131">
        <f>IF(OR($G131="",Sync!$V127=""),"",Sync!$V127)</f>
        <v/>
      </c>
      <c r="P131">
        <f>IF(OR($G131="",Sync!$AD127=""),"",Sync!$AD127)</f>
        <v/>
      </c>
      <c r="Q131">
        <f>IF($G131="","",IF(Sync!$U127="","0000",IF(AND(ISNUMBER(Sync!$U127),Sync!$U127&gt;=0,Sync!$U127&lt;1),RIGHT("00"&amp;HOUR(Sync!$U127),2)&amp;RIGHT("00"&amp;MINUTE(Sync!$U127),2),IFERROR(RIGHT("00"&amp;VALUE(LEFT(Sync!$U127,FIND(":",Sync!$U127)-1)),2)&amp;RIGHT("00"&amp;VALUE(MID(Sync!$U127,FIND(":",Sync!$U127)+1,2)),2),"0000"))))</f>
        <v/>
      </c>
    </row>
    <row r="132">
      <c r="A132">
        <f>IF(Sync!$T128="","",Sync!$T128)</f>
        <v/>
      </c>
      <c r="B132">
        <f>IF($A132="","",IF(ISNUMBER($A132),IF(AND($A132&gt;=10000101,$A132&lt;=99991231),INT($A132/10000),""),IFERROR(VALUE(TRIM(LEFT($A132,FIND("/",$A132)-1))),"")))</f>
        <v/>
      </c>
      <c r="C132">
        <f>IF(OR($A132="",$B132=""),"",IF(ISNUMBER($A132),INT(MOD($A132,10000)/100),IFERROR(VALUE(TRIM(LEFT(MID($A132,FIND("/",$A132)+1,20),FIND("/",MID($A132,FIND("/",$A132)+1,20))-1))),"")))</f>
        <v/>
      </c>
      <c r="D132">
        <f>IF(OR($A132="",$B132=""),"",IF(ISNUMBER($A132),MOD($A132,100),IFERROR(VALUE(TRIM(MID(MID($A132,FIND("/",$A132)+1,20),FIND("/",MID($A132,FIND("/",$A132)+1,20))+1,20))),"")))</f>
        <v/>
      </c>
      <c r="E132">
        <f>IF($A132="","",IF(OR($B132="",$C132="",$D132="",$B132&lt;1300,$B132&gt;1500,$C132&lt;1,$C132&gt;12,$D132&lt;1,$D132&gt;31),"نامعتبر",RIGHT("0000"&amp;$B132,4)&amp;"/"&amp;RIGHT("00"&amp;$C132,2)&amp;"/"&amp;RIGHT("00"&amp;$D132,2)))</f>
        <v/>
      </c>
      <c r="F132">
        <f>IF(OR($E132="",$E132="نامعتبر"),"",LEFT($E132,4)&amp;"/"&amp;MID($E132,6,2))</f>
        <v/>
      </c>
      <c r="G132">
        <f>IF(OR($E132="",$E132="نامعتبر",Sync!$X128=""),"",IF(AND(LEFT(UPPER(TRIM(Sync!$X128)),2)="SL",IFERROR(VLOOKUP(Sync!$W128,OpTbl,3,0),"")="فروش"),UPPER(TRIM(Sync!$X128)),""))</f>
        <v/>
      </c>
      <c r="H132">
        <f>IF($G132="","",IF(Sync!$W128="","",Sync!$W128))</f>
        <v/>
      </c>
      <c r="I132">
        <f>IF(OR($G132="",Sync!$Y128=""),"",Sync!$Y128)</f>
        <v/>
      </c>
      <c r="J132">
        <f>IF(OR($G132="",Sync!$Z128=""),"",Sync!$Z128)</f>
        <v/>
      </c>
      <c r="K132">
        <f>IF($G132="",0,IF(Sync!$AA128="",0,Sync!$AA128))</f>
        <v/>
      </c>
      <c r="L132">
        <f>IF($G132="",0,IF(Sync!$AB128="",0,Sync!$AB128))</f>
        <v/>
      </c>
      <c r="M132">
        <f>IF($G132="","",IF($H132="مرجوعی فروش",-1,1)*($K132-$L132*IFERROR(VLOOKUP("P01",ParamTbl,3,0),1.5)))</f>
        <v/>
      </c>
      <c r="N132">
        <f>IF($G132="",0,IF($H132="مرجوعی فروش",-1,1)*IF(Sync!$AC128="",0,Sync!$AC128))</f>
        <v/>
      </c>
      <c r="O132">
        <f>IF(OR($G132="",Sync!$V128=""),"",Sync!$V128)</f>
        <v/>
      </c>
      <c r="P132">
        <f>IF(OR($G132="",Sync!$AD128=""),"",Sync!$AD128)</f>
        <v/>
      </c>
      <c r="Q132">
        <f>IF($G132="","",IF(Sync!$U128="","0000",IF(AND(ISNUMBER(Sync!$U128),Sync!$U128&gt;=0,Sync!$U128&lt;1),RIGHT("00"&amp;HOUR(Sync!$U128),2)&amp;RIGHT("00"&amp;MINUTE(Sync!$U128),2),IFERROR(RIGHT("00"&amp;VALUE(LEFT(Sync!$U128,FIND(":",Sync!$U128)-1)),2)&amp;RIGHT("00"&amp;VALUE(MID(Sync!$U128,FIND(":",Sync!$U128)+1,2)),2),"0000"))))</f>
        <v/>
      </c>
    </row>
    <row r="133">
      <c r="A133">
        <f>IF(Sync!$T129="","",Sync!$T129)</f>
        <v/>
      </c>
      <c r="B133">
        <f>IF($A133="","",IF(ISNUMBER($A133),IF(AND($A133&gt;=10000101,$A133&lt;=99991231),INT($A133/10000),""),IFERROR(VALUE(TRIM(LEFT($A133,FIND("/",$A133)-1))),"")))</f>
        <v/>
      </c>
      <c r="C133">
        <f>IF(OR($A133="",$B133=""),"",IF(ISNUMBER($A133),INT(MOD($A133,10000)/100),IFERROR(VALUE(TRIM(LEFT(MID($A133,FIND("/",$A133)+1,20),FIND("/",MID($A133,FIND("/",$A133)+1,20))-1))),"")))</f>
        <v/>
      </c>
      <c r="D133">
        <f>IF(OR($A133="",$B133=""),"",IF(ISNUMBER($A133),MOD($A133,100),IFERROR(VALUE(TRIM(MID(MID($A133,FIND("/",$A133)+1,20),FIND("/",MID($A133,FIND("/",$A133)+1,20))+1,20))),"")))</f>
        <v/>
      </c>
      <c r="E133">
        <f>IF($A133="","",IF(OR($B133="",$C133="",$D133="",$B133&lt;1300,$B133&gt;1500,$C133&lt;1,$C133&gt;12,$D133&lt;1,$D133&gt;31),"نامعتبر",RIGHT("0000"&amp;$B133,4)&amp;"/"&amp;RIGHT("00"&amp;$C133,2)&amp;"/"&amp;RIGHT("00"&amp;$D133,2)))</f>
        <v/>
      </c>
      <c r="F133">
        <f>IF(OR($E133="",$E133="نامعتبر"),"",LEFT($E133,4)&amp;"/"&amp;MID($E133,6,2))</f>
        <v/>
      </c>
      <c r="G133">
        <f>IF(OR($E133="",$E133="نامعتبر",Sync!$X129=""),"",IF(AND(LEFT(UPPER(TRIM(Sync!$X129)),2)="SL",IFERROR(VLOOKUP(Sync!$W129,OpTbl,3,0),"")="فروش"),UPPER(TRIM(Sync!$X129)),""))</f>
        <v/>
      </c>
      <c r="H133">
        <f>IF($G133="","",IF(Sync!$W129="","",Sync!$W129))</f>
        <v/>
      </c>
      <c r="I133">
        <f>IF(OR($G133="",Sync!$Y129=""),"",Sync!$Y129)</f>
        <v/>
      </c>
      <c r="J133">
        <f>IF(OR($G133="",Sync!$Z129=""),"",Sync!$Z129)</f>
        <v/>
      </c>
      <c r="K133">
        <f>IF($G133="",0,IF(Sync!$AA129="",0,Sync!$AA129))</f>
        <v/>
      </c>
      <c r="L133">
        <f>IF($G133="",0,IF(Sync!$AB129="",0,Sync!$AB129))</f>
        <v/>
      </c>
      <c r="M133">
        <f>IF($G133="","",IF($H133="مرجوعی فروش",-1,1)*($K133-$L133*IFERROR(VLOOKUP("P01",ParamTbl,3,0),1.5)))</f>
        <v/>
      </c>
      <c r="N133">
        <f>IF($G133="",0,IF($H133="مرجوعی فروش",-1,1)*IF(Sync!$AC129="",0,Sync!$AC129))</f>
        <v/>
      </c>
      <c r="O133">
        <f>IF(OR($G133="",Sync!$V129=""),"",Sync!$V129)</f>
        <v/>
      </c>
      <c r="P133">
        <f>IF(OR($G133="",Sync!$AD129=""),"",Sync!$AD129)</f>
        <v/>
      </c>
      <c r="Q133">
        <f>IF($G133="","",IF(Sync!$U129="","0000",IF(AND(ISNUMBER(Sync!$U129),Sync!$U129&gt;=0,Sync!$U129&lt;1),RIGHT("00"&amp;HOUR(Sync!$U129),2)&amp;RIGHT("00"&amp;MINUTE(Sync!$U129),2),IFERROR(RIGHT("00"&amp;VALUE(LEFT(Sync!$U129,FIND(":",Sync!$U129)-1)),2)&amp;RIGHT("00"&amp;VALUE(MID(Sync!$U129,FIND(":",Sync!$U129)+1,2)),2),"0000"))))</f>
        <v/>
      </c>
    </row>
    <row r="134">
      <c r="A134">
        <f>IF(Sync!$T130="","",Sync!$T130)</f>
        <v/>
      </c>
      <c r="B134">
        <f>IF($A134="","",IF(ISNUMBER($A134),IF(AND($A134&gt;=10000101,$A134&lt;=99991231),INT($A134/10000),""),IFERROR(VALUE(TRIM(LEFT($A134,FIND("/",$A134)-1))),"")))</f>
        <v/>
      </c>
      <c r="C134">
        <f>IF(OR($A134="",$B134=""),"",IF(ISNUMBER($A134),INT(MOD($A134,10000)/100),IFERROR(VALUE(TRIM(LEFT(MID($A134,FIND("/",$A134)+1,20),FIND("/",MID($A134,FIND("/",$A134)+1,20))-1))),"")))</f>
        <v/>
      </c>
      <c r="D134">
        <f>IF(OR($A134="",$B134=""),"",IF(ISNUMBER($A134),MOD($A134,100),IFERROR(VALUE(TRIM(MID(MID($A134,FIND("/",$A134)+1,20),FIND("/",MID($A134,FIND("/",$A134)+1,20))+1,20))),"")))</f>
        <v/>
      </c>
      <c r="E134">
        <f>IF($A134="","",IF(OR($B134="",$C134="",$D134="",$B134&lt;1300,$B134&gt;1500,$C134&lt;1,$C134&gt;12,$D134&lt;1,$D134&gt;31),"نامعتبر",RIGHT("0000"&amp;$B134,4)&amp;"/"&amp;RIGHT("00"&amp;$C134,2)&amp;"/"&amp;RIGHT("00"&amp;$D134,2)))</f>
        <v/>
      </c>
      <c r="F134">
        <f>IF(OR($E134="",$E134="نامعتبر"),"",LEFT($E134,4)&amp;"/"&amp;MID($E134,6,2))</f>
        <v/>
      </c>
      <c r="G134">
        <f>IF(OR($E134="",$E134="نامعتبر",Sync!$X130=""),"",IF(AND(LEFT(UPPER(TRIM(Sync!$X130)),2)="SL",IFERROR(VLOOKUP(Sync!$W130,OpTbl,3,0),"")="فروش"),UPPER(TRIM(Sync!$X130)),""))</f>
        <v/>
      </c>
      <c r="H134">
        <f>IF($G134="","",IF(Sync!$W130="","",Sync!$W130))</f>
        <v/>
      </c>
      <c r="I134">
        <f>IF(OR($G134="",Sync!$Y130=""),"",Sync!$Y130)</f>
        <v/>
      </c>
      <c r="J134">
        <f>IF(OR($G134="",Sync!$Z130=""),"",Sync!$Z130)</f>
        <v/>
      </c>
      <c r="K134">
        <f>IF($G134="",0,IF(Sync!$AA130="",0,Sync!$AA130))</f>
        <v/>
      </c>
      <c r="L134">
        <f>IF($G134="",0,IF(Sync!$AB130="",0,Sync!$AB130))</f>
        <v/>
      </c>
      <c r="M134">
        <f>IF($G134="","",IF($H134="مرجوعی فروش",-1,1)*($K134-$L134*IFERROR(VLOOKUP("P01",ParamTbl,3,0),1.5)))</f>
        <v/>
      </c>
      <c r="N134">
        <f>IF($G134="",0,IF($H134="مرجوعی فروش",-1,1)*IF(Sync!$AC130="",0,Sync!$AC130))</f>
        <v/>
      </c>
      <c r="O134">
        <f>IF(OR($G134="",Sync!$V130=""),"",Sync!$V130)</f>
        <v/>
      </c>
      <c r="P134">
        <f>IF(OR($G134="",Sync!$AD130=""),"",Sync!$AD130)</f>
        <v/>
      </c>
      <c r="Q134">
        <f>IF($G134="","",IF(Sync!$U130="","0000",IF(AND(ISNUMBER(Sync!$U130),Sync!$U130&gt;=0,Sync!$U130&lt;1),RIGHT("00"&amp;HOUR(Sync!$U130),2)&amp;RIGHT("00"&amp;MINUTE(Sync!$U130),2),IFERROR(RIGHT("00"&amp;VALUE(LEFT(Sync!$U130,FIND(":",Sync!$U130)-1)),2)&amp;RIGHT("00"&amp;VALUE(MID(Sync!$U130,FIND(":",Sync!$U130)+1,2)),2),"0000"))))</f>
        <v/>
      </c>
    </row>
    <row r="135">
      <c r="A135">
        <f>IF(Sync!$T131="","",Sync!$T131)</f>
        <v/>
      </c>
      <c r="B135">
        <f>IF($A135="","",IF(ISNUMBER($A135),IF(AND($A135&gt;=10000101,$A135&lt;=99991231),INT($A135/10000),""),IFERROR(VALUE(TRIM(LEFT($A135,FIND("/",$A135)-1))),"")))</f>
        <v/>
      </c>
      <c r="C135">
        <f>IF(OR($A135="",$B135=""),"",IF(ISNUMBER($A135),INT(MOD($A135,10000)/100),IFERROR(VALUE(TRIM(LEFT(MID($A135,FIND("/",$A135)+1,20),FIND("/",MID($A135,FIND("/",$A135)+1,20))-1))),"")))</f>
        <v/>
      </c>
      <c r="D135">
        <f>IF(OR($A135="",$B135=""),"",IF(ISNUMBER($A135),MOD($A135,100),IFERROR(VALUE(TRIM(MID(MID($A135,FIND("/",$A135)+1,20),FIND("/",MID($A135,FIND("/",$A135)+1,20))+1,20))),"")))</f>
        <v/>
      </c>
      <c r="E135">
        <f>IF($A135="","",IF(OR($B135="",$C135="",$D135="",$B135&lt;1300,$B135&gt;1500,$C135&lt;1,$C135&gt;12,$D135&lt;1,$D135&gt;31),"نامعتبر",RIGHT("0000"&amp;$B135,4)&amp;"/"&amp;RIGHT("00"&amp;$C135,2)&amp;"/"&amp;RIGHT("00"&amp;$D135,2)))</f>
        <v/>
      </c>
      <c r="F135">
        <f>IF(OR($E135="",$E135="نامعتبر"),"",LEFT($E135,4)&amp;"/"&amp;MID($E135,6,2))</f>
        <v/>
      </c>
      <c r="G135">
        <f>IF(OR($E135="",$E135="نامعتبر",Sync!$X131=""),"",IF(AND(LEFT(UPPER(TRIM(Sync!$X131)),2)="SL",IFERROR(VLOOKUP(Sync!$W131,OpTbl,3,0),"")="فروش"),UPPER(TRIM(Sync!$X131)),""))</f>
        <v/>
      </c>
      <c r="H135">
        <f>IF($G135="","",IF(Sync!$W131="","",Sync!$W131))</f>
        <v/>
      </c>
      <c r="I135">
        <f>IF(OR($G135="",Sync!$Y131=""),"",Sync!$Y131)</f>
        <v/>
      </c>
      <c r="J135">
        <f>IF(OR($G135="",Sync!$Z131=""),"",Sync!$Z131)</f>
        <v/>
      </c>
      <c r="K135">
        <f>IF($G135="",0,IF(Sync!$AA131="",0,Sync!$AA131))</f>
        <v/>
      </c>
      <c r="L135">
        <f>IF($G135="",0,IF(Sync!$AB131="",0,Sync!$AB131))</f>
        <v/>
      </c>
      <c r="M135">
        <f>IF($G135="","",IF($H135="مرجوعی فروش",-1,1)*($K135-$L135*IFERROR(VLOOKUP("P01",ParamTbl,3,0),1.5)))</f>
        <v/>
      </c>
      <c r="N135">
        <f>IF($G135="",0,IF($H135="مرجوعی فروش",-1,1)*IF(Sync!$AC131="",0,Sync!$AC131))</f>
        <v/>
      </c>
      <c r="O135">
        <f>IF(OR($G135="",Sync!$V131=""),"",Sync!$V131)</f>
        <v/>
      </c>
      <c r="P135">
        <f>IF(OR($G135="",Sync!$AD131=""),"",Sync!$AD131)</f>
        <v/>
      </c>
      <c r="Q135">
        <f>IF($G135="","",IF(Sync!$U131="","0000",IF(AND(ISNUMBER(Sync!$U131),Sync!$U131&gt;=0,Sync!$U131&lt;1),RIGHT("00"&amp;HOUR(Sync!$U131),2)&amp;RIGHT("00"&amp;MINUTE(Sync!$U131),2),IFERROR(RIGHT("00"&amp;VALUE(LEFT(Sync!$U131,FIND(":",Sync!$U131)-1)),2)&amp;RIGHT("00"&amp;VALUE(MID(Sync!$U131,FIND(":",Sync!$U131)+1,2)),2),"0000"))))</f>
        <v/>
      </c>
    </row>
    <row r="136">
      <c r="A136">
        <f>IF(Sync!$T132="","",Sync!$T132)</f>
        <v/>
      </c>
      <c r="B136">
        <f>IF($A136="","",IF(ISNUMBER($A136),IF(AND($A136&gt;=10000101,$A136&lt;=99991231),INT($A136/10000),""),IFERROR(VALUE(TRIM(LEFT($A136,FIND("/",$A136)-1))),"")))</f>
        <v/>
      </c>
      <c r="C136">
        <f>IF(OR($A136="",$B136=""),"",IF(ISNUMBER($A136),INT(MOD($A136,10000)/100),IFERROR(VALUE(TRIM(LEFT(MID($A136,FIND("/",$A136)+1,20),FIND("/",MID($A136,FIND("/",$A136)+1,20))-1))),"")))</f>
        <v/>
      </c>
      <c r="D136">
        <f>IF(OR($A136="",$B136=""),"",IF(ISNUMBER($A136),MOD($A136,100),IFERROR(VALUE(TRIM(MID(MID($A136,FIND("/",$A136)+1,20),FIND("/",MID($A136,FIND("/",$A136)+1,20))+1,20))),"")))</f>
        <v/>
      </c>
      <c r="E136">
        <f>IF($A136="","",IF(OR($B136="",$C136="",$D136="",$B136&lt;1300,$B136&gt;1500,$C136&lt;1,$C136&gt;12,$D136&lt;1,$D136&gt;31),"نامعتبر",RIGHT("0000"&amp;$B136,4)&amp;"/"&amp;RIGHT("00"&amp;$C136,2)&amp;"/"&amp;RIGHT("00"&amp;$D136,2)))</f>
        <v/>
      </c>
      <c r="F136">
        <f>IF(OR($E136="",$E136="نامعتبر"),"",LEFT($E136,4)&amp;"/"&amp;MID($E136,6,2))</f>
        <v/>
      </c>
      <c r="G136">
        <f>IF(OR($E136="",$E136="نامعتبر",Sync!$X132=""),"",IF(AND(LEFT(UPPER(TRIM(Sync!$X132)),2)="SL",IFERROR(VLOOKUP(Sync!$W132,OpTbl,3,0),"")="فروش"),UPPER(TRIM(Sync!$X132)),""))</f>
        <v/>
      </c>
      <c r="H136">
        <f>IF($G136="","",IF(Sync!$W132="","",Sync!$W132))</f>
        <v/>
      </c>
      <c r="I136">
        <f>IF(OR($G136="",Sync!$Y132=""),"",Sync!$Y132)</f>
        <v/>
      </c>
      <c r="J136">
        <f>IF(OR($G136="",Sync!$Z132=""),"",Sync!$Z132)</f>
        <v/>
      </c>
      <c r="K136">
        <f>IF($G136="",0,IF(Sync!$AA132="",0,Sync!$AA132))</f>
        <v/>
      </c>
      <c r="L136">
        <f>IF($G136="",0,IF(Sync!$AB132="",0,Sync!$AB132))</f>
        <v/>
      </c>
      <c r="M136">
        <f>IF($G136="","",IF($H136="مرجوعی فروش",-1,1)*($K136-$L136*IFERROR(VLOOKUP("P01",ParamTbl,3,0),1.5)))</f>
        <v/>
      </c>
      <c r="N136">
        <f>IF($G136="",0,IF($H136="مرجوعی فروش",-1,1)*IF(Sync!$AC132="",0,Sync!$AC132))</f>
        <v/>
      </c>
      <c r="O136">
        <f>IF(OR($G136="",Sync!$V132=""),"",Sync!$V132)</f>
        <v/>
      </c>
      <c r="P136">
        <f>IF(OR($G136="",Sync!$AD132=""),"",Sync!$AD132)</f>
        <v/>
      </c>
      <c r="Q136">
        <f>IF($G136="","",IF(Sync!$U132="","0000",IF(AND(ISNUMBER(Sync!$U132),Sync!$U132&gt;=0,Sync!$U132&lt;1),RIGHT("00"&amp;HOUR(Sync!$U132),2)&amp;RIGHT("00"&amp;MINUTE(Sync!$U132),2),IFERROR(RIGHT("00"&amp;VALUE(LEFT(Sync!$U132,FIND(":",Sync!$U132)-1)),2)&amp;RIGHT("00"&amp;VALUE(MID(Sync!$U132,FIND(":",Sync!$U132)+1,2)),2),"0000"))))</f>
        <v/>
      </c>
    </row>
    <row r="137">
      <c r="A137">
        <f>IF(Sync!$T133="","",Sync!$T133)</f>
        <v/>
      </c>
      <c r="B137">
        <f>IF($A137="","",IF(ISNUMBER($A137),IF(AND($A137&gt;=10000101,$A137&lt;=99991231),INT($A137/10000),""),IFERROR(VALUE(TRIM(LEFT($A137,FIND("/",$A137)-1))),"")))</f>
        <v/>
      </c>
      <c r="C137">
        <f>IF(OR($A137="",$B137=""),"",IF(ISNUMBER($A137),INT(MOD($A137,10000)/100),IFERROR(VALUE(TRIM(LEFT(MID($A137,FIND("/",$A137)+1,20),FIND("/",MID($A137,FIND("/",$A137)+1,20))-1))),"")))</f>
        <v/>
      </c>
      <c r="D137">
        <f>IF(OR($A137="",$B137=""),"",IF(ISNUMBER($A137),MOD($A137,100),IFERROR(VALUE(TRIM(MID(MID($A137,FIND("/",$A137)+1,20),FIND("/",MID($A137,FIND("/",$A137)+1,20))+1,20))),"")))</f>
        <v/>
      </c>
      <c r="E137">
        <f>IF($A137="","",IF(OR($B137="",$C137="",$D137="",$B137&lt;1300,$B137&gt;1500,$C137&lt;1,$C137&gt;12,$D137&lt;1,$D137&gt;31),"نامعتبر",RIGHT("0000"&amp;$B137,4)&amp;"/"&amp;RIGHT("00"&amp;$C137,2)&amp;"/"&amp;RIGHT("00"&amp;$D137,2)))</f>
        <v/>
      </c>
      <c r="F137">
        <f>IF(OR($E137="",$E137="نامعتبر"),"",LEFT($E137,4)&amp;"/"&amp;MID($E137,6,2))</f>
        <v/>
      </c>
      <c r="G137">
        <f>IF(OR($E137="",$E137="نامعتبر",Sync!$X133=""),"",IF(AND(LEFT(UPPER(TRIM(Sync!$X133)),2)="SL",IFERROR(VLOOKUP(Sync!$W133,OpTbl,3,0),"")="فروش"),UPPER(TRIM(Sync!$X133)),""))</f>
        <v/>
      </c>
      <c r="H137">
        <f>IF($G137="","",IF(Sync!$W133="","",Sync!$W133))</f>
        <v/>
      </c>
      <c r="I137">
        <f>IF(OR($G137="",Sync!$Y133=""),"",Sync!$Y133)</f>
        <v/>
      </c>
      <c r="J137">
        <f>IF(OR($G137="",Sync!$Z133=""),"",Sync!$Z133)</f>
        <v/>
      </c>
      <c r="K137">
        <f>IF($G137="",0,IF(Sync!$AA133="",0,Sync!$AA133))</f>
        <v/>
      </c>
      <c r="L137">
        <f>IF($G137="",0,IF(Sync!$AB133="",0,Sync!$AB133))</f>
        <v/>
      </c>
      <c r="M137">
        <f>IF($G137="","",IF($H137="مرجوعی فروش",-1,1)*($K137-$L137*IFERROR(VLOOKUP("P01",ParamTbl,3,0),1.5)))</f>
        <v/>
      </c>
      <c r="N137">
        <f>IF($G137="",0,IF($H137="مرجوعی فروش",-1,1)*IF(Sync!$AC133="",0,Sync!$AC133))</f>
        <v/>
      </c>
      <c r="O137">
        <f>IF(OR($G137="",Sync!$V133=""),"",Sync!$V133)</f>
        <v/>
      </c>
      <c r="P137">
        <f>IF(OR($G137="",Sync!$AD133=""),"",Sync!$AD133)</f>
        <v/>
      </c>
      <c r="Q137">
        <f>IF($G137="","",IF(Sync!$U133="","0000",IF(AND(ISNUMBER(Sync!$U133),Sync!$U133&gt;=0,Sync!$U133&lt;1),RIGHT("00"&amp;HOUR(Sync!$U133),2)&amp;RIGHT("00"&amp;MINUTE(Sync!$U133),2),IFERROR(RIGHT("00"&amp;VALUE(LEFT(Sync!$U133,FIND(":",Sync!$U133)-1)),2)&amp;RIGHT("00"&amp;VALUE(MID(Sync!$U133,FIND(":",Sync!$U133)+1,2)),2),"0000"))))</f>
        <v/>
      </c>
    </row>
    <row r="138">
      <c r="A138">
        <f>IF(Sync!$T134="","",Sync!$T134)</f>
        <v/>
      </c>
      <c r="B138">
        <f>IF($A138="","",IF(ISNUMBER($A138),IF(AND($A138&gt;=10000101,$A138&lt;=99991231),INT($A138/10000),""),IFERROR(VALUE(TRIM(LEFT($A138,FIND("/",$A138)-1))),"")))</f>
        <v/>
      </c>
      <c r="C138">
        <f>IF(OR($A138="",$B138=""),"",IF(ISNUMBER($A138),INT(MOD($A138,10000)/100),IFERROR(VALUE(TRIM(LEFT(MID($A138,FIND("/",$A138)+1,20),FIND("/",MID($A138,FIND("/",$A138)+1,20))-1))),"")))</f>
        <v/>
      </c>
      <c r="D138">
        <f>IF(OR($A138="",$B138=""),"",IF(ISNUMBER($A138),MOD($A138,100),IFERROR(VALUE(TRIM(MID(MID($A138,FIND("/",$A138)+1,20),FIND("/",MID($A138,FIND("/",$A138)+1,20))+1,20))),"")))</f>
        <v/>
      </c>
      <c r="E138">
        <f>IF($A138="","",IF(OR($B138="",$C138="",$D138="",$B138&lt;1300,$B138&gt;1500,$C138&lt;1,$C138&gt;12,$D138&lt;1,$D138&gt;31),"نامعتبر",RIGHT("0000"&amp;$B138,4)&amp;"/"&amp;RIGHT("00"&amp;$C138,2)&amp;"/"&amp;RIGHT("00"&amp;$D138,2)))</f>
        <v/>
      </c>
      <c r="F138">
        <f>IF(OR($E138="",$E138="نامعتبر"),"",LEFT($E138,4)&amp;"/"&amp;MID($E138,6,2))</f>
        <v/>
      </c>
      <c r="G138">
        <f>IF(OR($E138="",$E138="نامعتبر",Sync!$X134=""),"",IF(AND(LEFT(UPPER(TRIM(Sync!$X134)),2)="SL",IFERROR(VLOOKUP(Sync!$W134,OpTbl,3,0),"")="فروش"),UPPER(TRIM(Sync!$X134)),""))</f>
        <v/>
      </c>
      <c r="H138">
        <f>IF($G138="","",IF(Sync!$W134="","",Sync!$W134))</f>
        <v/>
      </c>
      <c r="I138">
        <f>IF(OR($G138="",Sync!$Y134=""),"",Sync!$Y134)</f>
        <v/>
      </c>
      <c r="J138">
        <f>IF(OR($G138="",Sync!$Z134=""),"",Sync!$Z134)</f>
        <v/>
      </c>
      <c r="K138">
        <f>IF($G138="",0,IF(Sync!$AA134="",0,Sync!$AA134))</f>
        <v/>
      </c>
      <c r="L138">
        <f>IF($G138="",0,IF(Sync!$AB134="",0,Sync!$AB134))</f>
        <v/>
      </c>
      <c r="M138">
        <f>IF($G138="","",IF($H138="مرجوعی فروش",-1,1)*($K138-$L138*IFERROR(VLOOKUP("P01",ParamTbl,3,0),1.5)))</f>
        <v/>
      </c>
      <c r="N138">
        <f>IF($G138="",0,IF($H138="مرجوعی فروش",-1,1)*IF(Sync!$AC134="",0,Sync!$AC134))</f>
        <v/>
      </c>
      <c r="O138">
        <f>IF(OR($G138="",Sync!$V134=""),"",Sync!$V134)</f>
        <v/>
      </c>
      <c r="P138">
        <f>IF(OR($G138="",Sync!$AD134=""),"",Sync!$AD134)</f>
        <v/>
      </c>
      <c r="Q138">
        <f>IF($G138="","",IF(Sync!$U134="","0000",IF(AND(ISNUMBER(Sync!$U134),Sync!$U134&gt;=0,Sync!$U134&lt;1),RIGHT("00"&amp;HOUR(Sync!$U134),2)&amp;RIGHT("00"&amp;MINUTE(Sync!$U134),2),IFERROR(RIGHT("00"&amp;VALUE(LEFT(Sync!$U134,FIND(":",Sync!$U134)-1)),2)&amp;RIGHT("00"&amp;VALUE(MID(Sync!$U134,FIND(":",Sync!$U134)+1,2)),2),"0000"))))</f>
        <v/>
      </c>
    </row>
    <row r="139">
      <c r="A139">
        <f>IF(Sync!$T135="","",Sync!$T135)</f>
        <v/>
      </c>
      <c r="B139">
        <f>IF($A139="","",IF(ISNUMBER($A139),IF(AND($A139&gt;=10000101,$A139&lt;=99991231),INT($A139/10000),""),IFERROR(VALUE(TRIM(LEFT($A139,FIND("/",$A139)-1))),"")))</f>
        <v/>
      </c>
      <c r="C139">
        <f>IF(OR($A139="",$B139=""),"",IF(ISNUMBER($A139),INT(MOD($A139,10000)/100),IFERROR(VALUE(TRIM(LEFT(MID($A139,FIND("/",$A139)+1,20),FIND("/",MID($A139,FIND("/",$A139)+1,20))-1))),"")))</f>
        <v/>
      </c>
      <c r="D139">
        <f>IF(OR($A139="",$B139=""),"",IF(ISNUMBER($A139),MOD($A139,100),IFERROR(VALUE(TRIM(MID(MID($A139,FIND("/",$A139)+1,20),FIND("/",MID($A139,FIND("/",$A139)+1,20))+1,20))),"")))</f>
        <v/>
      </c>
      <c r="E139">
        <f>IF($A139="","",IF(OR($B139="",$C139="",$D139="",$B139&lt;1300,$B139&gt;1500,$C139&lt;1,$C139&gt;12,$D139&lt;1,$D139&gt;31),"نامعتبر",RIGHT("0000"&amp;$B139,4)&amp;"/"&amp;RIGHT("00"&amp;$C139,2)&amp;"/"&amp;RIGHT("00"&amp;$D139,2)))</f>
        <v/>
      </c>
      <c r="F139">
        <f>IF(OR($E139="",$E139="نامعتبر"),"",LEFT($E139,4)&amp;"/"&amp;MID($E139,6,2))</f>
        <v/>
      </c>
      <c r="G139">
        <f>IF(OR($E139="",$E139="نامعتبر",Sync!$X135=""),"",IF(AND(LEFT(UPPER(TRIM(Sync!$X135)),2)="SL",IFERROR(VLOOKUP(Sync!$W135,OpTbl,3,0),"")="فروش"),UPPER(TRIM(Sync!$X135)),""))</f>
        <v/>
      </c>
      <c r="H139">
        <f>IF($G139="","",IF(Sync!$W135="","",Sync!$W135))</f>
        <v/>
      </c>
      <c r="I139">
        <f>IF(OR($G139="",Sync!$Y135=""),"",Sync!$Y135)</f>
        <v/>
      </c>
      <c r="J139">
        <f>IF(OR($G139="",Sync!$Z135=""),"",Sync!$Z135)</f>
        <v/>
      </c>
      <c r="K139">
        <f>IF($G139="",0,IF(Sync!$AA135="",0,Sync!$AA135))</f>
        <v/>
      </c>
      <c r="L139">
        <f>IF($G139="",0,IF(Sync!$AB135="",0,Sync!$AB135))</f>
        <v/>
      </c>
      <c r="M139">
        <f>IF($G139="","",IF($H139="مرجوعی فروش",-1,1)*($K139-$L139*IFERROR(VLOOKUP("P01",ParamTbl,3,0),1.5)))</f>
        <v/>
      </c>
      <c r="N139">
        <f>IF($G139="",0,IF($H139="مرجوعی فروش",-1,1)*IF(Sync!$AC135="",0,Sync!$AC135))</f>
        <v/>
      </c>
      <c r="O139">
        <f>IF(OR($G139="",Sync!$V135=""),"",Sync!$V135)</f>
        <v/>
      </c>
      <c r="P139">
        <f>IF(OR($G139="",Sync!$AD135=""),"",Sync!$AD135)</f>
        <v/>
      </c>
      <c r="Q139">
        <f>IF($G139="","",IF(Sync!$U135="","0000",IF(AND(ISNUMBER(Sync!$U135),Sync!$U135&gt;=0,Sync!$U135&lt;1),RIGHT("00"&amp;HOUR(Sync!$U135),2)&amp;RIGHT("00"&amp;MINUTE(Sync!$U135),2),IFERROR(RIGHT("00"&amp;VALUE(LEFT(Sync!$U135,FIND(":",Sync!$U135)-1)),2)&amp;RIGHT("00"&amp;VALUE(MID(Sync!$U135,FIND(":",Sync!$U135)+1,2)),2),"0000"))))</f>
        <v/>
      </c>
    </row>
    <row r="140">
      <c r="A140">
        <f>IF(Sync!$T136="","",Sync!$T136)</f>
        <v/>
      </c>
      <c r="B140">
        <f>IF($A140="","",IF(ISNUMBER($A140),IF(AND($A140&gt;=10000101,$A140&lt;=99991231),INT($A140/10000),""),IFERROR(VALUE(TRIM(LEFT($A140,FIND("/",$A140)-1))),"")))</f>
        <v/>
      </c>
      <c r="C140">
        <f>IF(OR($A140="",$B140=""),"",IF(ISNUMBER($A140),INT(MOD($A140,10000)/100),IFERROR(VALUE(TRIM(LEFT(MID($A140,FIND("/",$A140)+1,20),FIND("/",MID($A140,FIND("/",$A140)+1,20))-1))),"")))</f>
        <v/>
      </c>
      <c r="D140">
        <f>IF(OR($A140="",$B140=""),"",IF(ISNUMBER($A140),MOD($A140,100),IFERROR(VALUE(TRIM(MID(MID($A140,FIND("/",$A140)+1,20),FIND("/",MID($A140,FIND("/",$A140)+1,20))+1,20))),"")))</f>
        <v/>
      </c>
      <c r="E140">
        <f>IF($A140="","",IF(OR($B140="",$C140="",$D140="",$B140&lt;1300,$B140&gt;1500,$C140&lt;1,$C140&gt;12,$D140&lt;1,$D140&gt;31),"نامعتبر",RIGHT("0000"&amp;$B140,4)&amp;"/"&amp;RIGHT("00"&amp;$C140,2)&amp;"/"&amp;RIGHT("00"&amp;$D140,2)))</f>
        <v/>
      </c>
      <c r="F140">
        <f>IF(OR($E140="",$E140="نامعتبر"),"",LEFT($E140,4)&amp;"/"&amp;MID($E140,6,2))</f>
        <v/>
      </c>
      <c r="G140">
        <f>IF(OR($E140="",$E140="نامعتبر",Sync!$X136=""),"",IF(AND(LEFT(UPPER(TRIM(Sync!$X136)),2)="SL",IFERROR(VLOOKUP(Sync!$W136,OpTbl,3,0),"")="فروش"),UPPER(TRIM(Sync!$X136)),""))</f>
        <v/>
      </c>
      <c r="H140">
        <f>IF($G140="","",IF(Sync!$W136="","",Sync!$W136))</f>
        <v/>
      </c>
      <c r="I140">
        <f>IF(OR($G140="",Sync!$Y136=""),"",Sync!$Y136)</f>
        <v/>
      </c>
      <c r="J140">
        <f>IF(OR($G140="",Sync!$Z136=""),"",Sync!$Z136)</f>
        <v/>
      </c>
      <c r="K140">
        <f>IF($G140="",0,IF(Sync!$AA136="",0,Sync!$AA136))</f>
        <v/>
      </c>
      <c r="L140">
        <f>IF($G140="",0,IF(Sync!$AB136="",0,Sync!$AB136))</f>
        <v/>
      </c>
      <c r="M140">
        <f>IF($G140="","",IF($H140="مرجوعی فروش",-1,1)*($K140-$L140*IFERROR(VLOOKUP("P01",ParamTbl,3,0),1.5)))</f>
        <v/>
      </c>
      <c r="N140">
        <f>IF($G140="",0,IF($H140="مرجوعی فروش",-1,1)*IF(Sync!$AC136="",0,Sync!$AC136))</f>
        <v/>
      </c>
      <c r="O140">
        <f>IF(OR($G140="",Sync!$V136=""),"",Sync!$V136)</f>
        <v/>
      </c>
      <c r="P140">
        <f>IF(OR($G140="",Sync!$AD136=""),"",Sync!$AD136)</f>
        <v/>
      </c>
      <c r="Q140">
        <f>IF($G140="","",IF(Sync!$U136="","0000",IF(AND(ISNUMBER(Sync!$U136),Sync!$U136&gt;=0,Sync!$U136&lt;1),RIGHT("00"&amp;HOUR(Sync!$U136),2)&amp;RIGHT("00"&amp;MINUTE(Sync!$U136),2),IFERROR(RIGHT("00"&amp;VALUE(LEFT(Sync!$U136,FIND(":",Sync!$U136)-1)),2)&amp;RIGHT("00"&amp;VALUE(MID(Sync!$U136,FIND(":",Sync!$U136)+1,2)),2),"0000"))))</f>
        <v/>
      </c>
    </row>
    <row r="141">
      <c r="A141">
        <f>IF(Sync!$T137="","",Sync!$T137)</f>
        <v/>
      </c>
      <c r="B141">
        <f>IF($A141="","",IF(ISNUMBER($A141),IF(AND($A141&gt;=10000101,$A141&lt;=99991231),INT($A141/10000),""),IFERROR(VALUE(TRIM(LEFT($A141,FIND("/",$A141)-1))),"")))</f>
        <v/>
      </c>
      <c r="C141">
        <f>IF(OR($A141="",$B141=""),"",IF(ISNUMBER($A141),INT(MOD($A141,10000)/100),IFERROR(VALUE(TRIM(LEFT(MID($A141,FIND("/",$A141)+1,20),FIND("/",MID($A141,FIND("/",$A141)+1,20))-1))),"")))</f>
        <v/>
      </c>
      <c r="D141">
        <f>IF(OR($A141="",$B141=""),"",IF(ISNUMBER($A141),MOD($A141,100),IFERROR(VALUE(TRIM(MID(MID($A141,FIND("/",$A141)+1,20),FIND("/",MID($A141,FIND("/",$A141)+1,20))+1,20))),"")))</f>
        <v/>
      </c>
      <c r="E141">
        <f>IF($A141="","",IF(OR($B141="",$C141="",$D141="",$B141&lt;1300,$B141&gt;1500,$C141&lt;1,$C141&gt;12,$D141&lt;1,$D141&gt;31),"نامعتبر",RIGHT("0000"&amp;$B141,4)&amp;"/"&amp;RIGHT("00"&amp;$C141,2)&amp;"/"&amp;RIGHT("00"&amp;$D141,2)))</f>
        <v/>
      </c>
      <c r="F141">
        <f>IF(OR($E141="",$E141="نامعتبر"),"",LEFT($E141,4)&amp;"/"&amp;MID($E141,6,2))</f>
        <v/>
      </c>
      <c r="G141">
        <f>IF(OR($E141="",$E141="نامعتبر",Sync!$X137=""),"",IF(AND(LEFT(UPPER(TRIM(Sync!$X137)),2)="SL",IFERROR(VLOOKUP(Sync!$W137,OpTbl,3,0),"")="فروش"),UPPER(TRIM(Sync!$X137)),""))</f>
        <v/>
      </c>
      <c r="H141">
        <f>IF($G141="","",IF(Sync!$W137="","",Sync!$W137))</f>
        <v/>
      </c>
      <c r="I141">
        <f>IF(OR($G141="",Sync!$Y137=""),"",Sync!$Y137)</f>
        <v/>
      </c>
      <c r="J141">
        <f>IF(OR($G141="",Sync!$Z137=""),"",Sync!$Z137)</f>
        <v/>
      </c>
      <c r="K141">
        <f>IF($G141="",0,IF(Sync!$AA137="",0,Sync!$AA137))</f>
        <v/>
      </c>
      <c r="L141">
        <f>IF($G141="",0,IF(Sync!$AB137="",0,Sync!$AB137))</f>
        <v/>
      </c>
      <c r="M141">
        <f>IF($G141="","",IF($H141="مرجوعی فروش",-1,1)*($K141-$L141*IFERROR(VLOOKUP("P01",ParamTbl,3,0),1.5)))</f>
        <v/>
      </c>
      <c r="N141">
        <f>IF($G141="",0,IF($H141="مرجوعی فروش",-1,1)*IF(Sync!$AC137="",0,Sync!$AC137))</f>
        <v/>
      </c>
      <c r="O141">
        <f>IF(OR($G141="",Sync!$V137=""),"",Sync!$V137)</f>
        <v/>
      </c>
      <c r="P141">
        <f>IF(OR($G141="",Sync!$AD137=""),"",Sync!$AD137)</f>
        <v/>
      </c>
      <c r="Q141">
        <f>IF($G141="","",IF(Sync!$U137="","0000",IF(AND(ISNUMBER(Sync!$U137),Sync!$U137&gt;=0,Sync!$U137&lt;1),RIGHT("00"&amp;HOUR(Sync!$U137),2)&amp;RIGHT("00"&amp;MINUTE(Sync!$U137),2),IFERROR(RIGHT("00"&amp;VALUE(LEFT(Sync!$U137,FIND(":",Sync!$U137)-1)),2)&amp;RIGHT("00"&amp;VALUE(MID(Sync!$U137,FIND(":",Sync!$U137)+1,2)),2),"0000"))))</f>
        <v/>
      </c>
    </row>
    <row r="142">
      <c r="A142">
        <f>IF(Sync!$T138="","",Sync!$T138)</f>
        <v/>
      </c>
      <c r="B142">
        <f>IF($A142="","",IF(ISNUMBER($A142),IF(AND($A142&gt;=10000101,$A142&lt;=99991231),INT($A142/10000),""),IFERROR(VALUE(TRIM(LEFT($A142,FIND("/",$A142)-1))),"")))</f>
        <v/>
      </c>
      <c r="C142">
        <f>IF(OR($A142="",$B142=""),"",IF(ISNUMBER($A142),INT(MOD($A142,10000)/100),IFERROR(VALUE(TRIM(LEFT(MID($A142,FIND("/",$A142)+1,20),FIND("/",MID($A142,FIND("/",$A142)+1,20))-1))),"")))</f>
        <v/>
      </c>
      <c r="D142">
        <f>IF(OR($A142="",$B142=""),"",IF(ISNUMBER($A142),MOD($A142,100),IFERROR(VALUE(TRIM(MID(MID($A142,FIND("/",$A142)+1,20),FIND("/",MID($A142,FIND("/",$A142)+1,20))+1,20))),"")))</f>
        <v/>
      </c>
      <c r="E142">
        <f>IF($A142="","",IF(OR($B142="",$C142="",$D142="",$B142&lt;1300,$B142&gt;1500,$C142&lt;1,$C142&gt;12,$D142&lt;1,$D142&gt;31),"نامعتبر",RIGHT("0000"&amp;$B142,4)&amp;"/"&amp;RIGHT("00"&amp;$C142,2)&amp;"/"&amp;RIGHT("00"&amp;$D142,2)))</f>
        <v/>
      </c>
      <c r="F142">
        <f>IF(OR($E142="",$E142="نامعتبر"),"",LEFT($E142,4)&amp;"/"&amp;MID($E142,6,2))</f>
        <v/>
      </c>
      <c r="G142">
        <f>IF(OR($E142="",$E142="نامعتبر",Sync!$X138=""),"",IF(AND(LEFT(UPPER(TRIM(Sync!$X138)),2)="SL",IFERROR(VLOOKUP(Sync!$W138,OpTbl,3,0),"")="فروش"),UPPER(TRIM(Sync!$X138)),""))</f>
        <v/>
      </c>
      <c r="H142">
        <f>IF($G142="","",IF(Sync!$W138="","",Sync!$W138))</f>
        <v/>
      </c>
      <c r="I142">
        <f>IF(OR($G142="",Sync!$Y138=""),"",Sync!$Y138)</f>
        <v/>
      </c>
      <c r="J142">
        <f>IF(OR($G142="",Sync!$Z138=""),"",Sync!$Z138)</f>
        <v/>
      </c>
      <c r="K142">
        <f>IF($G142="",0,IF(Sync!$AA138="",0,Sync!$AA138))</f>
        <v/>
      </c>
      <c r="L142">
        <f>IF($G142="",0,IF(Sync!$AB138="",0,Sync!$AB138))</f>
        <v/>
      </c>
      <c r="M142">
        <f>IF($G142="","",IF($H142="مرجوعی فروش",-1,1)*($K142-$L142*IFERROR(VLOOKUP("P01",ParamTbl,3,0),1.5)))</f>
        <v/>
      </c>
      <c r="N142">
        <f>IF($G142="",0,IF($H142="مرجوعی فروش",-1,1)*IF(Sync!$AC138="",0,Sync!$AC138))</f>
        <v/>
      </c>
      <c r="O142">
        <f>IF(OR($G142="",Sync!$V138=""),"",Sync!$V138)</f>
        <v/>
      </c>
      <c r="P142">
        <f>IF(OR($G142="",Sync!$AD138=""),"",Sync!$AD138)</f>
        <v/>
      </c>
      <c r="Q142">
        <f>IF($G142="","",IF(Sync!$U138="","0000",IF(AND(ISNUMBER(Sync!$U138),Sync!$U138&gt;=0,Sync!$U138&lt;1),RIGHT("00"&amp;HOUR(Sync!$U138),2)&amp;RIGHT("00"&amp;MINUTE(Sync!$U138),2),IFERROR(RIGHT("00"&amp;VALUE(LEFT(Sync!$U138,FIND(":",Sync!$U138)-1)),2)&amp;RIGHT("00"&amp;VALUE(MID(Sync!$U138,FIND(":",Sync!$U138)+1,2)),2),"0000"))))</f>
        <v/>
      </c>
    </row>
    <row r="143">
      <c r="A143">
        <f>IF(Sync!$T139="","",Sync!$T139)</f>
        <v/>
      </c>
      <c r="B143">
        <f>IF($A143="","",IF(ISNUMBER($A143),IF(AND($A143&gt;=10000101,$A143&lt;=99991231),INT($A143/10000),""),IFERROR(VALUE(TRIM(LEFT($A143,FIND("/",$A143)-1))),"")))</f>
        <v/>
      </c>
      <c r="C143">
        <f>IF(OR($A143="",$B143=""),"",IF(ISNUMBER($A143),INT(MOD($A143,10000)/100),IFERROR(VALUE(TRIM(LEFT(MID($A143,FIND("/",$A143)+1,20),FIND("/",MID($A143,FIND("/",$A143)+1,20))-1))),"")))</f>
        <v/>
      </c>
      <c r="D143">
        <f>IF(OR($A143="",$B143=""),"",IF(ISNUMBER($A143),MOD($A143,100),IFERROR(VALUE(TRIM(MID(MID($A143,FIND("/",$A143)+1,20),FIND("/",MID($A143,FIND("/",$A143)+1,20))+1,20))),"")))</f>
        <v/>
      </c>
      <c r="E143">
        <f>IF($A143="","",IF(OR($B143="",$C143="",$D143="",$B143&lt;1300,$B143&gt;1500,$C143&lt;1,$C143&gt;12,$D143&lt;1,$D143&gt;31),"نامعتبر",RIGHT("0000"&amp;$B143,4)&amp;"/"&amp;RIGHT("00"&amp;$C143,2)&amp;"/"&amp;RIGHT("00"&amp;$D143,2)))</f>
        <v/>
      </c>
      <c r="F143">
        <f>IF(OR($E143="",$E143="نامعتبر"),"",LEFT($E143,4)&amp;"/"&amp;MID($E143,6,2))</f>
        <v/>
      </c>
      <c r="G143">
        <f>IF(OR($E143="",$E143="نامعتبر",Sync!$X139=""),"",IF(AND(LEFT(UPPER(TRIM(Sync!$X139)),2)="SL",IFERROR(VLOOKUP(Sync!$W139,OpTbl,3,0),"")="فروش"),UPPER(TRIM(Sync!$X139)),""))</f>
        <v/>
      </c>
      <c r="H143">
        <f>IF($G143="","",IF(Sync!$W139="","",Sync!$W139))</f>
        <v/>
      </c>
      <c r="I143">
        <f>IF(OR($G143="",Sync!$Y139=""),"",Sync!$Y139)</f>
        <v/>
      </c>
      <c r="J143">
        <f>IF(OR($G143="",Sync!$Z139=""),"",Sync!$Z139)</f>
        <v/>
      </c>
      <c r="K143">
        <f>IF($G143="",0,IF(Sync!$AA139="",0,Sync!$AA139))</f>
        <v/>
      </c>
      <c r="L143">
        <f>IF($G143="",0,IF(Sync!$AB139="",0,Sync!$AB139))</f>
        <v/>
      </c>
      <c r="M143">
        <f>IF($G143="","",IF($H143="مرجوعی فروش",-1,1)*($K143-$L143*IFERROR(VLOOKUP("P01",ParamTbl,3,0),1.5)))</f>
        <v/>
      </c>
      <c r="N143">
        <f>IF($G143="",0,IF($H143="مرجوعی فروش",-1,1)*IF(Sync!$AC139="",0,Sync!$AC139))</f>
        <v/>
      </c>
      <c r="O143">
        <f>IF(OR($G143="",Sync!$V139=""),"",Sync!$V139)</f>
        <v/>
      </c>
      <c r="P143">
        <f>IF(OR($G143="",Sync!$AD139=""),"",Sync!$AD139)</f>
        <v/>
      </c>
      <c r="Q143">
        <f>IF($G143="","",IF(Sync!$U139="","0000",IF(AND(ISNUMBER(Sync!$U139),Sync!$U139&gt;=0,Sync!$U139&lt;1),RIGHT("00"&amp;HOUR(Sync!$U139),2)&amp;RIGHT("00"&amp;MINUTE(Sync!$U139),2),IFERROR(RIGHT("00"&amp;VALUE(LEFT(Sync!$U139,FIND(":",Sync!$U139)-1)),2)&amp;RIGHT("00"&amp;VALUE(MID(Sync!$U139,FIND(":",Sync!$U139)+1,2)),2),"0000"))))</f>
        <v/>
      </c>
    </row>
    <row r="144">
      <c r="A144">
        <f>IF(Sync!$T140="","",Sync!$T140)</f>
        <v/>
      </c>
      <c r="B144">
        <f>IF($A144="","",IF(ISNUMBER($A144),IF(AND($A144&gt;=10000101,$A144&lt;=99991231),INT($A144/10000),""),IFERROR(VALUE(TRIM(LEFT($A144,FIND("/",$A144)-1))),"")))</f>
        <v/>
      </c>
      <c r="C144">
        <f>IF(OR($A144="",$B144=""),"",IF(ISNUMBER($A144),INT(MOD($A144,10000)/100),IFERROR(VALUE(TRIM(LEFT(MID($A144,FIND("/",$A144)+1,20),FIND("/",MID($A144,FIND("/",$A144)+1,20))-1))),"")))</f>
        <v/>
      </c>
      <c r="D144">
        <f>IF(OR($A144="",$B144=""),"",IF(ISNUMBER($A144),MOD($A144,100),IFERROR(VALUE(TRIM(MID(MID($A144,FIND("/",$A144)+1,20),FIND("/",MID($A144,FIND("/",$A144)+1,20))+1,20))),"")))</f>
        <v/>
      </c>
      <c r="E144">
        <f>IF($A144="","",IF(OR($B144="",$C144="",$D144="",$B144&lt;1300,$B144&gt;1500,$C144&lt;1,$C144&gt;12,$D144&lt;1,$D144&gt;31),"نامعتبر",RIGHT("0000"&amp;$B144,4)&amp;"/"&amp;RIGHT("00"&amp;$C144,2)&amp;"/"&amp;RIGHT("00"&amp;$D144,2)))</f>
        <v/>
      </c>
      <c r="F144">
        <f>IF(OR($E144="",$E144="نامعتبر"),"",LEFT($E144,4)&amp;"/"&amp;MID($E144,6,2))</f>
        <v/>
      </c>
      <c r="G144">
        <f>IF(OR($E144="",$E144="نامعتبر",Sync!$X140=""),"",IF(AND(LEFT(UPPER(TRIM(Sync!$X140)),2)="SL",IFERROR(VLOOKUP(Sync!$W140,OpTbl,3,0),"")="فروش"),UPPER(TRIM(Sync!$X140)),""))</f>
        <v/>
      </c>
      <c r="H144">
        <f>IF($G144="","",IF(Sync!$W140="","",Sync!$W140))</f>
        <v/>
      </c>
      <c r="I144">
        <f>IF(OR($G144="",Sync!$Y140=""),"",Sync!$Y140)</f>
        <v/>
      </c>
      <c r="J144">
        <f>IF(OR($G144="",Sync!$Z140=""),"",Sync!$Z140)</f>
        <v/>
      </c>
      <c r="K144">
        <f>IF($G144="",0,IF(Sync!$AA140="",0,Sync!$AA140))</f>
        <v/>
      </c>
      <c r="L144">
        <f>IF($G144="",0,IF(Sync!$AB140="",0,Sync!$AB140))</f>
        <v/>
      </c>
      <c r="M144">
        <f>IF($G144="","",IF($H144="مرجوعی فروش",-1,1)*($K144-$L144*IFERROR(VLOOKUP("P01",ParamTbl,3,0),1.5)))</f>
        <v/>
      </c>
      <c r="N144">
        <f>IF($G144="",0,IF($H144="مرجوعی فروش",-1,1)*IF(Sync!$AC140="",0,Sync!$AC140))</f>
        <v/>
      </c>
      <c r="O144">
        <f>IF(OR($G144="",Sync!$V140=""),"",Sync!$V140)</f>
        <v/>
      </c>
      <c r="P144">
        <f>IF(OR($G144="",Sync!$AD140=""),"",Sync!$AD140)</f>
        <v/>
      </c>
      <c r="Q144">
        <f>IF($G144="","",IF(Sync!$U140="","0000",IF(AND(ISNUMBER(Sync!$U140),Sync!$U140&gt;=0,Sync!$U140&lt;1),RIGHT("00"&amp;HOUR(Sync!$U140),2)&amp;RIGHT("00"&amp;MINUTE(Sync!$U140),2),IFERROR(RIGHT("00"&amp;VALUE(LEFT(Sync!$U140,FIND(":",Sync!$U140)-1)),2)&amp;RIGHT("00"&amp;VALUE(MID(Sync!$U140,FIND(":",Sync!$U140)+1,2)),2),"0000"))))</f>
        <v/>
      </c>
    </row>
    <row r="145">
      <c r="A145">
        <f>IF(Sync!$T141="","",Sync!$T141)</f>
        <v/>
      </c>
      <c r="B145">
        <f>IF($A145="","",IF(ISNUMBER($A145),IF(AND($A145&gt;=10000101,$A145&lt;=99991231),INT($A145/10000),""),IFERROR(VALUE(TRIM(LEFT($A145,FIND("/",$A145)-1))),"")))</f>
        <v/>
      </c>
      <c r="C145">
        <f>IF(OR($A145="",$B145=""),"",IF(ISNUMBER($A145),INT(MOD($A145,10000)/100),IFERROR(VALUE(TRIM(LEFT(MID($A145,FIND("/",$A145)+1,20),FIND("/",MID($A145,FIND("/",$A145)+1,20))-1))),"")))</f>
        <v/>
      </c>
      <c r="D145">
        <f>IF(OR($A145="",$B145=""),"",IF(ISNUMBER($A145),MOD($A145,100),IFERROR(VALUE(TRIM(MID(MID($A145,FIND("/",$A145)+1,20),FIND("/",MID($A145,FIND("/",$A145)+1,20))+1,20))),"")))</f>
        <v/>
      </c>
      <c r="E145">
        <f>IF($A145="","",IF(OR($B145="",$C145="",$D145="",$B145&lt;1300,$B145&gt;1500,$C145&lt;1,$C145&gt;12,$D145&lt;1,$D145&gt;31),"نامعتبر",RIGHT("0000"&amp;$B145,4)&amp;"/"&amp;RIGHT("00"&amp;$C145,2)&amp;"/"&amp;RIGHT("00"&amp;$D145,2)))</f>
        <v/>
      </c>
      <c r="F145">
        <f>IF(OR($E145="",$E145="نامعتبر"),"",LEFT($E145,4)&amp;"/"&amp;MID($E145,6,2))</f>
        <v/>
      </c>
      <c r="G145">
        <f>IF(OR($E145="",$E145="نامعتبر",Sync!$X141=""),"",IF(AND(LEFT(UPPER(TRIM(Sync!$X141)),2)="SL",IFERROR(VLOOKUP(Sync!$W141,OpTbl,3,0),"")="فروش"),UPPER(TRIM(Sync!$X141)),""))</f>
        <v/>
      </c>
      <c r="H145">
        <f>IF($G145="","",IF(Sync!$W141="","",Sync!$W141))</f>
        <v/>
      </c>
      <c r="I145">
        <f>IF(OR($G145="",Sync!$Y141=""),"",Sync!$Y141)</f>
        <v/>
      </c>
      <c r="J145">
        <f>IF(OR($G145="",Sync!$Z141=""),"",Sync!$Z141)</f>
        <v/>
      </c>
      <c r="K145">
        <f>IF($G145="",0,IF(Sync!$AA141="",0,Sync!$AA141))</f>
        <v/>
      </c>
      <c r="L145">
        <f>IF($G145="",0,IF(Sync!$AB141="",0,Sync!$AB141))</f>
        <v/>
      </c>
      <c r="M145">
        <f>IF($G145="","",IF($H145="مرجوعی فروش",-1,1)*($K145-$L145*IFERROR(VLOOKUP("P01",ParamTbl,3,0),1.5)))</f>
        <v/>
      </c>
      <c r="N145">
        <f>IF($G145="",0,IF($H145="مرجوعی فروش",-1,1)*IF(Sync!$AC141="",0,Sync!$AC141))</f>
        <v/>
      </c>
      <c r="O145">
        <f>IF(OR($G145="",Sync!$V141=""),"",Sync!$V141)</f>
        <v/>
      </c>
      <c r="P145">
        <f>IF(OR($G145="",Sync!$AD141=""),"",Sync!$AD141)</f>
        <v/>
      </c>
      <c r="Q145">
        <f>IF($G145="","",IF(Sync!$U141="","0000",IF(AND(ISNUMBER(Sync!$U141),Sync!$U141&gt;=0,Sync!$U141&lt;1),RIGHT("00"&amp;HOUR(Sync!$U141),2)&amp;RIGHT("00"&amp;MINUTE(Sync!$U141),2),IFERROR(RIGHT("00"&amp;VALUE(LEFT(Sync!$U141,FIND(":",Sync!$U141)-1)),2)&amp;RIGHT("00"&amp;VALUE(MID(Sync!$U141,FIND(":",Sync!$U141)+1,2)),2),"0000"))))</f>
        <v/>
      </c>
    </row>
    <row r="146">
      <c r="A146">
        <f>IF(Sync!$T142="","",Sync!$T142)</f>
        <v/>
      </c>
      <c r="B146">
        <f>IF($A146="","",IF(ISNUMBER($A146),IF(AND($A146&gt;=10000101,$A146&lt;=99991231),INT($A146/10000),""),IFERROR(VALUE(TRIM(LEFT($A146,FIND("/",$A146)-1))),"")))</f>
        <v/>
      </c>
      <c r="C146">
        <f>IF(OR($A146="",$B146=""),"",IF(ISNUMBER($A146),INT(MOD($A146,10000)/100),IFERROR(VALUE(TRIM(LEFT(MID($A146,FIND("/",$A146)+1,20),FIND("/",MID($A146,FIND("/",$A146)+1,20))-1))),"")))</f>
        <v/>
      </c>
      <c r="D146">
        <f>IF(OR($A146="",$B146=""),"",IF(ISNUMBER($A146),MOD($A146,100),IFERROR(VALUE(TRIM(MID(MID($A146,FIND("/",$A146)+1,20),FIND("/",MID($A146,FIND("/",$A146)+1,20))+1,20))),"")))</f>
        <v/>
      </c>
      <c r="E146">
        <f>IF($A146="","",IF(OR($B146="",$C146="",$D146="",$B146&lt;1300,$B146&gt;1500,$C146&lt;1,$C146&gt;12,$D146&lt;1,$D146&gt;31),"نامعتبر",RIGHT("0000"&amp;$B146,4)&amp;"/"&amp;RIGHT("00"&amp;$C146,2)&amp;"/"&amp;RIGHT("00"&amp;$D146,2)))</f>
        <v/>
      </c>
      <c r="F146">
        <f>IF(OR($E146="",$E146="نامعتبر"),"",LEFT($E146,4)&amp;"/"&amp;MID($E146,6,2))</f>
        <v/>
      </c>
      <c r="G146">
        <f>IF(OR($E146="",$E146="نامعتبر",Sync!$X142=""),"",IF(AND(LEFT(UPPER(TRIM(Sync!$X142)),2)="SL",IFERROR(VLOOKUP(Sync!$W142,OpTbl,3,0),"")="فروش"),UPPER(TRIM(Sync!$X142)),""))</f>
        <v/>
      </c>
      <c r="H146">
        <f>IF($G146="","",IF(Sync!$W142="","",Sync!$W142))</f>
        <v/>
      </c>
      <c r="I146">
        <f>IF(OR($G146="",Sync!$Y142=""),"",Sync!$Y142)</f>
        <v/>
      </c>
      <c r="J146">
        <f>IF(OR($G146="",Sync!$Z142=""),"",Sync!$Z142)</f>
        <v/>
      </c>
      <c r="K146">
        <f>IF($G146="",0,IF(Sync!$AA142="",0,Sync!$AA142))</f>
        <v/>
      </c>
      <c r="L146">
        <f>IF($G146="",0,IF(Sync!$AB142="",0,Sync!$AB142))</f>
        <v/>
      </c>
      <c r="M146">
        <f>IF($G146="","",IF($H146="مرجوعی فروش",-1,1)*($K146-$L146*IFERROR(VLOOKUP("P01",ParamTbl,3,0),1.5)))</f>
        <v/>
      </c>
      <c r="N146">
        <f>IF($G146="",0,IF($H146="مرجوعی فروش",-1,1)*IF(Sync!$AC142="",0,Sync!$AC142))</f>
        <v/>
      </c>
      <c r="O146">
        <f>IF(OR($G146="",Sync!$V142=""),"",Sync!$V142)</f>
        <v/>
      </c>
      <c r="P146">
        <f>IF(OR($G146="",Sync!$AD142=""),"",Sync!$AD142)</f>
        <v/>
      </c>
      <c r="Q146">
        <f>IF($G146="","",IF(Sync!$U142="","0000",IF(AND(ISNUMBER(Sync!$U142),Sync!$U142&gt;=0,Sync!$U142&lt;1),RIGHT("00"&amp;HOUR(Sync!$U142),2)&amp;RIGHT("00"&amp;MINUTE(Sync!$U142),2),IFERROR(RIGHT("00"&amp;VALUE(LEFT(Sync!$U142,FIND(":",Sync!$U142)-1)),2)&amp;RIGHT("00"&amp;VALUE(MID(Sync!$U142,FIND(":",Sync!$U142)+1,2)),2),"0000"))))</f>
        <v/>
      </c>
    </row>
    <row r="147">
      <c r="A147">
        <f>IF(Sync!$T143="","",Sync!$T143)</f>
        <v/>
      </c>
      <c r="B147">
        <f>IF($A147="","",IF(ISNUMBER($A147),IF(AND($A147&gt;=10000101,$A147&lt;=99991231),INT($A147/10000),""),IFERROR(VALUE(TRIM(LEFT($A147,FIND("/",$A147)-1))),"")))</f>
        <v/>
      </c>
      <c r="C147">
        <f>IF(OR($A147="",$B147=""),"",IF(ISNUMBER($A147),INT(MOD($A147,10000)/100),IFERROR(VALUE(TRIM(LEFT(MID($A147,FIND("/",$A147)+1,20),FIND("/",MID($A147,FIND("/",$A147)+1,20))-1))),"")))</f>
        <v/>
      </c>
      <c r="D147">
        <f>IF(OR($A147="",$B147=""),"",IF(ISNUMBER($A147),MOD($A147,100),IFERROR(VALUE(TRIM(MID(MID($A147,FIND("/",$A147)+1,20),FIND("/",MID($A147,FIND("/",$A147)+1,20))+1,20))),"")))</f>
        <v/>
      </c>
      <c r="E147">
        <f>IF($A147="","",IF(OR($B147="",$C147="",$D147="",$B147&lt;1300,$B147&gt;1500,$C147&lt;1,$C147&gt;12,$D147&lt;1,$D147&gt;31),"نامعتبر",RIGHT("0000"&amp;$B147,4)&amp;"/"&amp;RIGHT("00"&amp;$C147,2)&amp;"/"&amp;RIGHT("00"&amp;$D147,2)))</f>
        <v/>
      </c>
      <c r="F147">
        <f>IF(OR($E147="",$E147="نامعتبر"),"",LEFT($E147,4)&amp;"/"&amp;MID($E147,6,2))</f>
        <v/>
      </c>
      <c r="G147">
        <f>IF(OR($E147="",$E147="نامعتبر",Sync!$X143=""),"",IF(AND(LEFT(UPPER(TRIM(Sync!$X143)),2)="SL",IFERROR(VLOOKUP(Sync!$W143,OpTbl,3,0),"")="فروش"),UPPER(TRIM(Sync!$X143)),""))</f>
        <v/>
      </c>
      <c r="H147">
        <f>IF($G147="","",IF(Sync!$W143="","",Sync!$W143))</f>
        <v/>
      </c>
      <c r="I147">
        <f>IF(OR($G147="",Sync!$Y143=""),"",Sync!$Y143)</f>
        <v/>
      </c>
      <c r="J147">
        <f>IF(OR($G147="",Sync!$Z143=""),"",Sync!$Z143)</f>
        <v/>
      </c>
      <c r="K147">
        <f>IF($G147="",0,IF(Sync!$AA143="",0,Sync!$AA143))</f>
        <v/>
      </c>
      <c r="L147">
        <f>IF($G147="",0,IF(Sync!$AB143="",0,Sync!$AB143))</f>
        <v/>
      </c>
      <c r="M147">
        <f>IF($G147="","",IF($H147="مرجوعی فروش",-1,1)*($K147-$L147*IFERROR(VLOOKUP("P01",ParamTbl,3,0),1.5)))</f>
        <v/>
      </c>
      <c r="N147">
        <f>IF($G147="",0,IF($H147="مرجوعی فروش",-1,1)*IF(Sync!$AC143="",0,Sync!$AC143))</f>
        <v/>
      </c>
      <c r="O147">
        <f>IF(OR($G147="",Sync!$V143=""),"",Sync!$V143)</f>
        <v/>
      </c>
      <c r="P147">
        <f>IF(OR($G147="",Sync!$AD143=""),"",Sync!$AD143)</f>
        <v/>
      </c>
      <c r="Q147">
        <f>IF($G147="","",IF(Sync!$U143="","0000",IF(AND(ISNUMBER(Sync!$U143),Sync!$U143&gt;=0,Sync!$U143&lt;1),RIGHT("00"&amp;HOUR(Sync!$U143),2)&amp;RIGHT("00"&amp;MINUTE(Sync!$U143),2),IFERROR(RIGHT("00"&amp;VALUE(LEFT(Sync!$U143,FIND(":",Sync!$U143)-1)),2)&amp;RIGHT("00"&amp;VALUE(MID(Sync!$U143,FIND(":",Sync!$U143)+1,2)),2),"0000"))))</f>
        <v/>
      </c>
    </row>
    <row r="148">
      <c r="A148">
        <f>IF(Sync!$T144="","",Sync!$T144)</f>
        <v/>
      </c>
      <c r="B148">
        <f>IF($A148="","",IF(ISNUMBER($A148),IF(AND($A148&gt;=10000101,$A148&lt;=99991231),INT($A148/10000),""),IFERROR(VALUE(TRIM(LEFT($A148,FIND("/",$A148)-1))),"")))</f>
        <v/>
      </c>
      <c r="C148">
        <f>IF(OR($A148="",$B148=""),"",IF(ISNUMBER($A148),INT(MOD($A148,10000)/100),IFERROR(VALUE(TRIM(LEFT(MID($A148,FIND("/",$A148)+1,20),FIND("/",MID($A148,FIND("/",$A148)+1,20))-1))),"")))</f>
        <v/>
      </c>
      <c r="D148">
        <f>IF(OR($A148="",$B148=""),"",IF(ISNUMBER($A148),MOD($A148,100),IFERROR(VALUE(TRIM(MID(MID($A148,FIND("/",$A148)+1,20),FIND("/",MID($A148,FIND("/",$A148)+1,20))+1,20))),"")))</f>
        <v/>
      </c>
      <c r="E148">
        <f>IF($A148="","",IF(OR($B148="",$C148="",$D148="",$B148&lt;1300,$B148&gt;1500,$C148&lt;1,$C148&gt;12,$D148&lt;1,$D148&gt;31),"نامعتبر",RIGHT("0000"&amp;$B148,4)&amp;"/"&amp;RIGHT("00"&amp;$C148,2)&amp;"/"&amp;RIGHT("00"&amp;$D148,2)))</f>
        <v/>
      </c>
      <c r="F148">
        <f>IF(OR($E148="",$E148="نامعتبر"),"",LEFT($E148,4)&amp;"/"&amp;MID($E148,6,2))</f>
        <v/>
      </c>
      <c r="G148">
        <f>IF(OR($E148="",$E148="نامعتبر",Sync!$X144=""),"",IF(AND(LEFT(UPPER(TRIM(Sync!$X144)),2)="SL",IFERROR(VLOOKUP(Sync!$W144,OpTbl,3,0),"")="فروش"),UPPER(TRIM(Sync!$X144)),""))</f>
        <v/>
      </c>
      <c r="H148">
        <f>IF($G148="","",IF(Sync!$W144="","",Sync!$W144))</f>
        <v/>
      </c>
      <c r="I148">
        <f>IF(OR($G148="",Sync!$Y144=""),"",Sync!$Y144)</f>
        <v/>
      </c>
      <c r="J148">
        <f>IF(OR($G148="",Sync!$Z144=""),"",Sync!$Z144)</f>
        <v/>
      </c>
      <c r="K148">
        <f>IF($G148="",0,IF(Sync!$AA144="",0,Sync!$AA144))</f>
        <v/>
      </c>
      <c r="L148">
        <f>IF($G148="",0,IF(Sync!$AB144="",0,Sync!$AB144))</f>
        <v/>
      </c>
      <c r="M148">
        <f>IF($G148="","",IF($H148="مرجوعی فروش",-1,1)*($K148-$L148*IFERROR(VLOOKUP("P01",ParamTbl,3,0),1.5)))</f>
        <v/>
      </c>
      <c r="N148">
        <f>IF($G148="",0,IF($H148="مرجوعی فروش",-1,1)*IF(Sync!$AC144="",0,Sync!$AC144))</f>
        <v/>
      </c>
      <c r="O148">
        <f>IF(OR($G148="",Sync!$V144=""),"",Sync!$V144)</f>
        <v/>
      </c>
      <c r="P148">
        <f>IF(OR($G148="",Sync!$AD144=""),"",Sync!$AD144)</f>
        <v/>
      </c>
      <c r="Q148">
        <f>IF($G148="","",IF(Sync!$U144="","0000",IF(AND(ISNUMBER(Sync!$U144),Sync!$U144&gt;=0,Sync!$U144&lt;1),RIGHT("00"&amp;HOUR(Sync!$U144),2)&amp;RIGHT("00"&amp;MINUTE(Sync!$U144),2),IFERROR(RIGHT("00"&amp;VALUE(LEFT(Sync!$U144,FIND(":",Sync!$U144)-1)),2)&amp;RIGHT("00"&amp;VALUE(MID(Sync!$U144,FIND(":",Sync!$U144)+1,2)),2),"0000"))))</f>
        <v/>
      </c>
    </row>
    <row r="149">
      <c r="A149">
        <f>IF(Sync!$T145="","",Sync!$T145)</f>
        <v/>
      </c>
      <c r="B149">
        <f>IF($A149="","",IF(ISNUMBER($A149),IF(AND($A149&gt;=10000101,$A149&lt;=99991231),INT($A149/10000),""),IFERROR(VALUE(TRIM(LEFT($A149,FIND("/",$A149)-1))),"")))</f>
        <v/>
      </c>
      <c r="C149">
        <f>IF(OR($A149="",$B149=""),"",IF(ISNUMBER($A149),INT(MOD($A149,10000)/100),IFERROR(VALUE(TRIM(LEFT(MID($A149,FIND("/",$A149)+1,20),FIND("/",MID($A149,FIND("/",$A149)+1,20))-1))),"")))</f>
        <v/>
      </c>
      <c r="D149">
        <f>IF(OR($A149="",$B149=""),"",IF(ISNUMBER($A149),MOD($A149,100),IFERROR(VALUE(TRIM(MID(MID($A149,FIND("/",$A149)+1,20),FIND("/",MID($A149,FIND("/",$A149)+1,20))+1,20))),"")))</f>
        <v/>
      </c>
      <c r="E149">
        <f>IF($A149="","",IF(OR($B149="",$C149="",$D149="",$B149&lt;1300,$B149&gt;1500,$C149&lt;1,$C149&gt;12,$D149&lt;1,$D149&gt;31),"نامعتبر",RIGHT("0000"&amp;$B149,4)&amp;"/"&amp;RIGHT("00"&amp;$C149,2)&amp;"/"&amp;RIGHT("00"&amp;$D149,2)))</f>
        <v/>
      </c>
      <c r="F149">
        <f>IF(OR($E149="",$E149="نامعتبر"),"",LEFT($E149,4)&amp;"/"&amp;MID($E149,6,2))</f>
        <v/>
      </c>
      <c r="G149">
        <f>IF(OR($E149="",$E149="نامعتبر",Sync!$X145=""),"",IF(AND(LEFT(UPPER(TRIM(Sync!$X145)),2)="SL",IFERROR(VLOOKUP(Sync!$W145,OpTbl,3,0),"")="فروش"),UPPER(TRIM(Sync!$X145)),""))</f>
        <v/>
      </c>
      <c r="H149">
        <f>IF($G149="","",IF(Sync!$W145="","",Sync!$W145))</f>
        <v/>
      </c>
      <c r="I149">
        <f>IF(OR($G149="",Sync!$Y145=""),"",Sync!$Y145)</f>
        <v/>
      </c>
      <c r="J149">
        <f>IF(OR($G149="",Sync!$Z145=""),"",Sync!$Z145)</f>
        <v/>
      </c>
      <c r="K149">
        <f>IF($G149="",0,IF(Sync!$AA145="",0,Sync!$AA145))</f>
        <v/>
      </c>
      <c r="L149">
        <f>IF($G149="",0,IF(Sync!$AB145="",0,Sync!$AB145))</f>
        <v/>
      </c>
      <c r="M149">
        <f>IF($G149="","",IF($H149="مرجوعی فروش",-1,1)*($K149-$L149*IFERROR(VLOOKUP("P01",ParamTbl,3,0),1.5)))</f>
        <v/>
      </c>
      <c r="N149">
        <f>IF($G149="",0,IF($H149="مرجوعی فروش",-1,1)*IF(Sync!$AC145="",0,Sync!$AC145))</f>
        <v/>
      </c>
      <c r="O149">
        <f>IF(OR($G149="",Sync!$V145=""),"",Sync!$V145)</f>
        <v/>
      </c>
      <c r="P149">
        <f>IF(OR($G149="",Sync!$AD145=""),"",Sync!$AD145)</f>
        <v/>
      </c>
      <c r="Q149">
        <f>IF($G149="","",IF(Sync!$U145="","0000",IF(AND(ISNUMBER(Sync!$U145),Sync!$U145&gt;=0,Sync!$U145&lt;1),RIGHT("00"&amp;HOUR(Sync!$U145),2)&amp;RIGHT("00"&amp;MINUTE(Sync!$U145),2),IFERROR(RIGHT("00"&amp;VALUE(LEFT(Sync!$U145,FIND(":",Sync!$U145)-1)),2)&amp;RIGHT("00"&amp;VALUE(MID(Sync!$U145,FIND(":",Sync!$U145)+1,2)),2),"0000"))))</f>
        <v/>
      </c>
    </row>
    <row r="150">
      <c r="A150">
        <f>IF(Sync!$T146="","",Sync!$T146)</f>
        <v/>
      </c>
      <c r="B150">
        <f>IF($A150="","",IF(ISNUMBER($A150),IF(AND($A150&gt;=10000101,$A150&lt;=99991231),INT($A150/10000),""),IFERROR(VALUE(TRIM(LEFT($A150,FIND("/",$A150)-1))),"")))</f>
        <v/>
      </c>
      <c r="C150">
        <f>IF(OR($A150="",$B150=""),"",IF(ISNUMBER($A150),INT(MOD($A150,10000)/100),IFERROR(VALUE(TRIM(LEFT(MID($A150,FIND("/",$A150)+1,20),FIND("/",MID($A150,FIND("/",$A150)+1,20))-1))),"")))</f>
        <v/>
      </c>
      <c r="D150">
        <f>IF(OR($A150="",$B150=""),"",IF(ISNUMBER($A150),MOD($A150,100),IFERROR(VALUE(TRIM(MID(MID($A150,FIND("/",$A150)+1,20),FIND("/",MID($A150,FIND("/",$A150)+1,20))+1,20))),"")))</f>
        <v/>
      </c>
      <c r="E150">
        <f>IF($A150="","",IF(OR($B150="",$C150="",$D150="",$B150&lt;1300,$B150&gt;1500,$C150&lt;1,$C150&gt;12,$D150&lt;1,$D150&gt;31),"نامعتبر",RIGHT("0000"&amp;$B150,4)&amp;"/"&amp;RIGHT("00"&amp;$C150,2)&amp;"/"&amp;RIGHT("00"&amp;$D150,2)))</f>
        <v/>
      </c>
      <c r="F150">
        <f>IF(OR($E150="",$E150="نامعتبر"),"",LEFT($E150,4)&amp;"/"&amp;MID($E150,6,2))</f>
        <v/>
      </c>
      <c r="G150">
        <f>IF(OR($E150="",$E150="نامعتبر",Sync!$X146=""),"",IF(AND(LEFT(UPPER(TRIM(Sync!$X146)),2)="SL",IFERROR(VLOOKUP(Sync!$W146,OpTbl,3,0),"")="فروش"),UPPER(TRIM(Sync!$X146)),""))</f>
        <v/>
      </c>
      <c r="H150">
        <f>IF($G150="","",IF(Sync!$W146="","",Sync!$W146))</f>
        <v/>
      </c>
      <c r="I150">
        <f>IF(OR($G150="",Sync!$Y146=""),"",Sync!$Y146)</f>
        <v/>
      </c>
      <c r="J150">
        <f>IF(OR($G150="",Sync!$Z146=""),"",Sync!$Z146)</f>
        <v/>
      </c>
      <c r="K150">
        <f>IF($G150="",0,IF(Sync!$AA146="",0,Sync!$AA146))</f>
        <v/>
      </c>
      <c r="L150">
        <f>IF($G150="",0,IF(Sync!$AB146="",0,Sync!$AB146))</f>
        <v/>
      </c>
      <c r="M150">
        <f>IF($G150="","",IF($H150="مرجوعی فروش",-1,1)*($K150-$L150*IFERROR(VLOOKUP("P01",ParamTbl,3,0),1.5)))</f>
        <v/>
      </c>
      <c r="N150">
        <f>IF($G150="",0,IF($H150="مرجوعی فروش",-1,1)*IF(Sync!$AC146="",0,Sync!$AC146))</f>
        <v/>
      </c>
      <c r="O150">
        <f>IF(OR($G150="",Sync!$V146=""),"",Sync!$V146)</f>
        <v/>
      </c>
      <c r="P150">
        <f>IF(OR($G150="",Sync!$AD146=""),"",Sync!$AD146)</f>
        <v/>
      </c>
      <c r="Q150">
        <f>IF($G150="","",IF(Sync!$U146="","0000",IF(AND(ISNUMBER(Sync!$U146),Sync!$U146&gt;=0,Sync!$U146&lt;1),RIGHT("00"&amp;HOUR(Sync!$U146),2)&amp;RIGHT("00"&amp;MINUTE(Sync!$U146),2),IFERROR(RIGHT("00"&amp;VALUE(LEFT(Sync!$U146,FIND(":",Sync!$U146)-1)),2)&amp;RIGHT("00"&amp;VALUE(MID(Sync!$U146,FIND(":",Sync!$U146)+1,2)),2),"0000"))))</f>
        <v/>
      </c>
    </row>
    <row r="151">
      <c r="A151">
        <f>IF(Sync!$T147="","",Sync!$T147)</f>
        <v/>
      </c>
      <c r="B151">
        <f>IF($A151="","",IF(ISNUMBER($A151),IF(AND($A151&gt;=10000101,$A151&lt;=99991231),INT($A151/10000),""),IFERROR(VALUE(TRIM(LEFT($A151,FIND("/",$A151)-1))),"")))</f>
        <v/>
      </c>
      <c r="C151">
        <f>IF(OR($A151="",$B151=""),"",IF(ISNUMBER($A151),INT(MOD($A151,10000)/100),IFERROR(VALUE(TRIM(LEFT(MID($A151,FIND("/",$A151)+1,20),FIND("/",MID($A151,FIND("/",$A151)+1,20))-1))),"")))</f>
        <v/>
      </c>
      <c r="D151">
        <f>IF(OR($A151="",$B151=""),"",IF(ISNUMBER($A151),MOD($A151,100),IFERROR(VALUE(TRIM(MID(MID($A151,FIND("/",$A151)+1,20),FIND("/",MID($A151,FIND("/",$A151)+1,20))+1,20))),"")))</f>
        <v/>
      </c>
      <c r="E151">
        <f>IF($A151="","",IF(OR($B151="",$C151="",$D151="",$B151&lt;1300,$B151&gt;1500,$C151&lt;1,$C151&gt;12,$D151&lt;1,$D151&gt;31),"نامعتبر",RIGHT("0000"&amp;$B151,4)&amp;"/"&amp;RIGHT("00"&amp;$C151,2)&amp;"/"&amp;RIGHT("00"&amp;$D151,2)))</f>
        <v/>
      </c>
      <c r="F151">
        <f>IF(OR($E151="",$E151="نامعتبر"),"",LEFT($E151,4)&amp;"/"&amp;MID($E151,6,2))</f>
        <v/>
      </c>
      <c r="G151">
        <f>IF(OR($E151="",$E151="نامعتبر",Sync!$X147=""),"",IF(AND(LEFT(UPPER(TRIM(Sync!$X147)),2)="SL",IFERROR(VLOOKUP(Sync!$W147,OpTbl,3,0),"")="فروش"),UPPER(TRIM(Sync!$X147)),""))</f>
        <v/>
      </c>
      <c r="H151">
        <f>IF($G151="","",IF(Sync!$W147="","",Sync!$W147))</f>
        <v/>
      </c>
      <c r="I151">
        <f>IF(OR($G151="",Sync!$Y147=""),"",Sync!$Y147)</f>
        <v/>
      </c>
      <c r="J151">
        <f>IF(OR($G151="",Sync!$Z147=""),"",Sync!$Z147)</f>
        <v/>
      </c>
      <c r="K151">
        <f>IF($G151="",0,IF(Sync!$AA147="",0,Sync!$AA147))</f>
        <v/>
      </c>
      <c r="L151">
        <f>IF($G151="",0,IF(Sync!$AB147="",0,Sync!$AB147))</f>
        <v/>
      </c>
      <c r="M151">
        <f>IF($G151="","",IF($H151="مرجوعی فروش",-1,1)*($K151-$L151*IFERROR(VLOOKUP("P01",ParamTbl,3,0),1.5)))</f>
        <v/>
      </c>
      <c r="N151">
        <f>IF($G151="",0,IF($H151="مرجوعی فروش",-1,1)*IF(Sync!$AC147="",0,Sync!$AC147))</f>
        <v/>
      </c>
      <c r="O151">
        <f>IF(OR($G151="",Sync!$V147=""),"",Sync!$V147)</f>
        <v/>
      </c>
      <c r="P151">
        <f>IF(OR($G151="",Sync!$AD147=""),"",Sync!$AD147)</f>
        <v/>
      </c>
      <c r="Q151">
        <f>IF($G151="","",IF(Sync!$U147="","0000",IF(AND(ISNUMBER(Sync!$U147),Sync!$U147&gt;=0,Sync!$U147&lt;1),RIGHT("00"&amp;HOUR(Sync!$U147),2)&amp;RIGHT("00"&amp;MINUTE(Sync!$U147),2),IFERROR(RIGHT("00"&amp;VALUE(LEFT(Sync!$U147,FIND(":",Sync!$U147)-1)),2)&amp;RIGHT("00"&amp;VALUE(MID(Sync!$U147,FIND(":",Sync!$U147)+1,2)),2),"0000"))))</f>
        <v/>
      </c>
    </row>
    <row r="152">
      <c r="A152">
        <f>IF(Sync!$T148="","",Sync!$T148)</f>
        <v/>
      </c>
      <c r="B152">
        <f>IF($A152="","",IF(ISNUMBER($A152),IF(AND($A152&gt;=10000101,$A152&lt;=99991231),INT($A152/10000),""),IFERROR(VALUE(TRIM(LEFT($A152,FIND("/",$A152)-1))),"")))</f>
        <v/>
      </c>
      <c r="C152">
        <f>IF(OR($A152="",$B152=""),"",IF(ISNUMBER($A152),INT(MOD($A152,10000)/100),IFERROR(VALUE(TRIM(LEFT(MID($A152,FIND("/",$A152)+1,20),FIND("/",MID($A152,FIND("/",$A152)+1,20))-1))),"")))</f>
        <v/>
      </c>
      <c r="D152">
        <f>IF(OR($A152="",$B152=""),"",IF(ISNUMBER($A152),MOD($A152,100),IFERROR(VALUE(TRIM(MID(MID($A152,FIND("/",$A152)+1,20),FIND("/",MID($A152,FIND("/",$A152)+1,20))+1,20))),"")))</f>
        <v/>
      </c>
      <c r="E152">
        <f>IF($A152="","",IF(OR($B152="",$C152="",$D152="",$B152&lt;1300,$B152&gt;1500,$C152&lt;1,$C152&gt;12,$D152&lt;1,$D152&gt;31),"نامعتبر",RIGHT("0000"&amp;$B152,4)&amp;"/"&amp;RIGHT("00"&amp;$C152,2)&amp;"/"&amp;RIGHT("00"&amp;$D152,2)))</f>
        <v/>
      </c>
      <c r="F152">
        <f>IF(OR($E152="",$E152="نامعتبر"),"",LEFT($E152,4)&amp;"/"&amp;MID($E152,6,2))</f>
        <v/>
      </c>
      <c r="G152">
        <f>IF(OR($E152="",$E152="نامعتبر",Sync!$X148=""),"",IF(AND(LEFT(UPPER(TRIM(Sync!$X148)),2)="SL",IFERROR(VLOOKUP(Sync!$W148,OpTbl,3,0),"")="فروش"),UPPER(TRIM(Sync!$X148)),""))</f>
        <v/>
      </c>
      <c r="H152">
        <f>IF($G152="","",IF(Sync!$W148="","",Sync!$W148))</f>
        <v/>
      </c>
      <c r="I152">
        <f>IF(OR($G152="",Sync!$Y148=""),"",Sync!$Y148)</f>
        <v/>
      </c>
      <c r="J152">
        <f>IF(OR($G152="",Sync!$Z148=""),"",Sync!$Z148)</f>
        <v/>
      </c>
      <c r="K152">
        <f>IF($G152="",0,IF(Sync!$AA148="",0,Sync!$AA148))</f>
        <v/>
      </c>
      <c r="L152">
        <f>IF($G152="",0,IF(Sync!$AB148="",0,Sync!$AB148))</f>
        <v/>
      </c>
      <c r="M152">
        <f>IF($G152="","",IF($H152="مرجوعی فروش",-1,1)*($K152-$L152*IFERROR(VLOOKUP("P01",ParamTbl,3,0),1.5)))</f>
        <v/>
      </c>
      <c r="N152">
        <f>IF($G152="",0,IF($H152="مرجوعی فروش",-1,1)*IF(Sync!$AC148="",0,Sync!$AC148))</f>
        <v/>
      </c>
      <c r="O152">
        <f>IF(OR($G152="",Sync!$V148=""),"",Sync!$V148)</f>
        <v/>
      </c>
      <c r="P152">
        <f>IF(OR($G152="",Sync!$AD148=""),"",Sync!$AD148)</f>
        <v/>
      </c>
      <c r="Q152">
        <f>IF($G152="","",IF(Sync!$U148="","0000",IF(AND(ISNUMBER(Sync!$U148),Sync!$U148&gt;=0,Sync!$U148&lt;1),RIGHT("00"&amp;HOUR(Sync!$U148),2)&amp;RIGHT("00"&amp;MINUTE(Sync!$U148),2),IFERROR(RIGHT("00"&amp;VALUE(LEFT(Sync!$U148,FIND(":",Sync!$U148)-1)),2)&amp;RIGHT("00"&amp;VALUE(MID(Sync!$U148,FIND(":",Sync!$U148)+1,2)),2),"0000"))))</f>
        <v/>
      </c>
    </row>
    <row r="153">
      <c r="A153">
        <f>IF(Sync!$T149="","",Sync!$T149)</f>
        <v/>
      </c>
      <c r="B153">
        <f>IF($A153="","",IF(ISNUMBER($A153),IF(AND($A153&gt;=10000101,$A153&lt;=99991231),INT($A153/10000),""),IFERROR(VALUE(TRIM(LEFT($A153,FIND("/",$A153)-1))),"")))</f>
        <v/>
      </c>
      <c r="C153">
        <f>IF(OR($A153="",$B153=""),"",IF(ISNUMBER($A153),INT(MOD($A153,10000)/100),IFERROR(VALUE(TRIM(LEFT(MID($A153,FIND("/",$A153)+1,20),FIND("/",MID($A153,FIND("/",$A153)+1,20))-1))),"")))</f>
        <v/>
      </c>
      <c r="D153">
        <f>IF(OR($A153="",$B153=""),"",IF(ISNUMBER($A153),MOD($A153,100),IFERROR(VALUE(TRIM(MID(MID($A153,FIND("/",$A153)+1,20),FIND("/",MID($A153,FIND("/",$A153)+1,20))+1,20))),"")))</f>
        <v/>
      </c>
      <c r="E153">
        <f>IF($A153="","",IF(OR($B153="",$C153="",$D153="",$B153&lt;1300,$B153&gt;1500,$C153&lt;1,$C153&gt;12,$D153&lt;1,$D153&gt;31),"نامعتبر",RIGHT("0000"&amp;$B153,4)&amp;"/"&amp;RIGHT("00"&amp;$C153,2)&amp;"/"&amp;RIGHT("00"&amp;$D153,2)))</f>
        <v/>
      </c>
      <c r="F153">
        <f>IF(OR($E153="",$E153="نامعتبر"),"",LEFT($E153,4)&amp;"/"&amp;MID($E153,6,2))</f>
        <v/>
      </c>
      <c r="G153">
        <f>IF(OR($E153="",$E153="نامعتبر",Sync!$X149=""),"",IF(AND(LEFT(UPPER(TRIM(Sync!$X149)),2)="SL",IFERROR(VLOOKUP(Sync!$W149,OpTbl,3,0),"")="فروش"),UPPER(TRIM(Sync!$X149)),""))</f>
        <v/>
      </c>
      <c r="H153">
        <f>IF($G153="","",IF(Sync!$W149="","",Sync!$W149))</f>
        <v/>
      </c>
      <c r="I153">
        <f>IF(OR($G153="",Sync!$Y149=""),"",Sync!$Y149)</f>
        <v/>
      </c>
      <c r="J153">
        <f>IF(OR($G153="",Sync!$Z149=""),"",Sync!$Z149)</f>
        <v/>
      </c>
      <c r="K153">
        <f>IF($G153="",0,IF(Sync!$AA149="",0,Sync!$AA149))</f>
        <v/>
      </c>
      <c r="L153">
        <f>IF($G153="",0,IF(Sync!$AB149="",0,Sync!$AB149))</f>
        <v/>
      </c>
      <c r="M153">
        <f>IF($G153="","",IF($H153="مرجوعی فروش",-1,1)*($K153-$L153*IFERROR(VLOOKUP("P01",ParamTbl,3,0),1.5)))</f>
        <v/>
      </c>
      <c r="N153">
        <f>IF($G153="",0,IF($H153="مرجوعی فروش",-1,1)*IF(Sync!$AC149="",0,Sync!$AC149))</f>
        <v/>
      </c>
      <c r="O153">
        <f>IF(OR($G153="",Sync!$V149=""),"",Sync!$V149)</f>
        <v/>
      </c>
      <c r="P153">
        <f>IF(OR($G153="",Sync!$AD149=""),"",Sync!$AD149)</f>
        <v/>
      </c>
      <c r="Q153">
        <f>IF($G153="","",IF(Sync!$U149="","0000",IF(AND(ISNUMBER(Sync!$U149),Sync!$U149&gt;=0,Sync!$U149&lt;1),RIGHT("00"&amp;HOUR(Sync!$U149),2)&amp;RIGHT("00"&amp;MINUTE(Sync!$U149),2),IFERROR(RIGHT("00"&amp;VALUE(LEFT(Sync!$U149,FIND(":",Sync!$U149)-1)),2)&amp;RIGHT("00"&amp;VALUE(MID(Sync!$U149,FIND(":",Sync!$U149)+1,2)),2),"0000"))))</f>
        <v/>
      </c>
    </row>
    <row r="154">
      <c r="A154">
        <f>IF(Sync!$T150="","",Sync!$T150)</f>
        <v/>
      </c>
      <c r="B154">
        <f>IF($A154="","",IF(ISNUMBER($A154),IF(AND($A154&gt;=10000101,$A154&lt;=99991231),INT($A154/10000),""),IFERROR(VALUE(TRIM(LEFT($A154,FIND("/",$A154)-1))),"")))</f>
        <v/>
      </c>
      <c r="C154">
        <f>IF(OR($A154="",$B154=""),"",IF(ISNUMBER($A154),INT(MOD($A154,10000)/100),IFERROR(VALUE(TRIM(LEFT(MID($A154,FIND("/",$A154)+1,20),FIND("/",MID($A154,FIND("/",$A154)+1,20))-1))),"")))</f>
        <v/>
      </c>
      <c r="D154">
        <f>IF(OR($A154="",$B154=""),"",IF(ISNUMBER($A154),MOD($A154,100),IFERROR(VALUE(TRIM(MID(MID($A154,FIND("/",$A154)+1,20),FIND("/",MID($A154,FIND("/",$A154)+1,20))+1,20))),"")))</f>
        <v/>
      </c>
      <c r="E154">
        <f>IF($A154="","",IF(OR($B154="",$C154="",$D154="",$B154&lt;1300,$B154&gt;1500,$C154&lt;1,$C154&gt;12,$D154&lt;1,$D154&gt;31),"نامعتبر",RIGHT("0000"&amp;$B154,4)&amp;"/"&amp;RIGHT("00"&amp;$C154,2)&amp;"/"&amp;RIGHT("00"&amp;$D154,2)))</f>
        <v/>
      </c>
      <c r="F154">
        <f>IF(OR($E154="",$E154="نامعتبر"),"",LEFT($E154,4)&amp;"/"&amp;MID($E154,6,2))</f>
        <v/>
      </c>
      <c r="G154">
        <f>IF(OR($E154="",$E154="نامعتبر",Sync!$X150=""),"",IF(AND(LEFT(UPPER(TRIM(Sync!$X150)),2)="SL",IFERROR(VLOOKUP(Sync!$W150,OpTbl,3,0),"")="فروش"),UPPER(TRIM(Sync!$X150)),""))</f>
        <v/>
      </c>
      <c r="H154">
        <f>IF($G154="","",IF(Sync!$W150="","",Sync!$W150))</f>
        <v/>
      </c>
      <c r="I154">
        <f>IF(OR($G154="",Sync!$Y150=""),"",Sync!$Y150)</f>
        <v/>
      </c>
      <c r="J154">
        <f>IF(OR($G154="",Sync!$Z150=""),"",Sync!$Z150)</f>
        <v/>
      </c>
      <c r="K154">
        <f>IF($G154="",0,IF(Sync!$AA150="",0,Sync!$AA150))</f>
        <v/>
      </c>
      <c r="L154">
        <f>IF($G154="",0,IF(Sync!$AB150="",0,Sync!$AB150))</f>
        <v/>
      </c>
      <c r="M154">
        <f>IF($G154="","",IF($H154="مرجوعی فروش",-1,1)*($K154-$L154*IFERROR(VLOOKUP("P01",ParamTbl,3,0),1.5)))</f>
        <v/>
      </c>
      <c r="N154">
        <f>IF($G154="",0,IF($H154="مرجوعی فروش",-1,1)*IF(Sync!$AC150="",0,Sync!$AC150))</f>
        <v/>
      </c>
      <c r="O154">
        <f>IF(OR($G154="",Sync!$V150=""),"",Sync!$V150)</f>
        <v/>
      </c>
      <c r="P154">
        <f>IF(OR($G154="",Sync!$AD150=""),"",Sync!$AD150)</f>
        <v/>
      </c>
      <c r="Q154">
        <f>IF($G154="","",IF(Sync!$U150="","0000",IF(AND(ISNUMBER(Sync!$U150),Sync!$U150&gt;=0,Sync!$U150&lt;1),RIGHT("00"&amp;HOUR(Sync!$U150),2)&amp;RIGHT("00"&amp;MINUTE(Sync!$U150),2),IFERROR(RIGHT("00"&amp;VALUE(LEFT(Sync!$U150,FIND(":",Sync!$U150)-1)),2)&amp;RIGHT("00"&amp;VALUE(MID(Sync!$U150,FIND(":",Sync!$U150)+1,2)),2),"0000"))))</f>
        <v/>
      </c>
    </row>
    <row r="155">
      <c r="A155">
        <f>IF(Sync!$T151="","",Sync!$T151)</f>
        <v/>
      </c>
      <c r="B155">
        <f>IF($A155="","",IF(ISNUMBER($A155),IF(AND($A155&gt;=10000101,$A155&lt;=99991231),INT($A155/10000),""),IFERROR(VALUE(TRIM(LEFT($A155,FIND("/",$A155)-1))),"")))</f>
        <v/>
      </c>
      <c r="C155">
        <f>IF(OR($A155="",$B155=""),"",IF(ISNUMBER($A155),INT(MOD($A155,10000)/100),IFERROR(VALUE(TRIM(LEFT(MID($A155,FIND("/",$A155)+1,20),FIND("/",MID($A155,FIND("/",$A155)+1,20))-1))),"")))</f>
        <v/>
      </c>
      <c r="D155">
        <f>IF(OR($A155="",$B155=""),"",IF(ISNUMBER($A155),MOD($A155,100),IFERROR(VALUE(TRIM(MID(MID($A155,FIND("/",$A155)+1,20),FIND("/",MID($A155,FIND("/",$A155)+1,20))+1,20))),"")))</f>
        <v/>
      </c>
      <c r="E155">
        <f>IF($A155="","",IF(OR($B155="",$C155="",$D155="",$B155&lt;1300,$B155&gt;1500,$C155&lt;1,$C155&gt;12,$D155&lt;1,$D155&gt;31),"نامعتبر",RIGHT("0000"&amp;$B155,4)&amp;"/"&amp;RIGHT("00"&amp;$C155,2)&amp;"/"&amp;RIGHT("00"&amp;$D155,2)))</f>
        <v/>
      </c>
      <c r="F155">
        <f>IF(OR($E155="",$E155="نامعتبر"),"",LEFT($E155,4)&amp;"/"&amp;MID($E155,6,2))</f>
        <v/>
      </c>
      <c r="G155">
        <f>IF(OR($E155="",$E155="نامعتبر",Sync!$X151=""),"",IF(AND(LEFT(UPPER(TRIM(Sync!$X151)),2)="SL",IFERROR(VLOOKUP(Sync!$W151,OpTbl,3,0),"")="فروش"),UPPER(TRIM(Sync!$X151)),""))</f>
        <v/>
      </c>
      <c r="H155">
        <f>IF($G155="","",IF(Sync!$W151="","",Sync!$W151))</f>
        <v/>
      </c>
      <c r="I155">
        <f>IF(OR($G155="",Sync!$Y151=""),"",Sync!$Y151)</f>
        <v/>
      </c>
      <c r="J155">
        <f>IF(OR($G155="",Sync!$Z151=""),"",Sync!$Z151)</f>
        <v/>
      </c>
      <c r="K155">
        <f>IF($G155="",0,IF(Sync!$AA151="",0,Sync!$AA151))</f>
        <v/>
      </c>
      <c r="L155">
        <f>IF($G155="",0,IF(Sync!$AB151="",0,Sync!$AB151))</f>
        <v/>
      </c>
      <c r="M155">
        <f>IF($G155="","",IF($H155="مرجوعی فروش",-1,1)*($K155-$L155*IFERROR(VLOOKUP("P01",ParamTbl,3,0),1.5)))</f>
        <v/>
      </c>
      <c r="N155">
        <f>IF($G155="",0,IF($H155="مرجوعی فروش",-1,1)*IF(Sync!$AC151="",0,Sync!$AC151))</f>
        <v/>
      </c>
      <c r="O155">
        <f>IF(OR($G155="",Sync!$V151=""),"",Sync!$V151)</f>
        <v/>
      </c>
      <c r="P155">
        <f>IF(OR($G155="",Sync!$AD151=""),"",Sync!$AD151)</f>
        <v/>
      </c>
      <c r="Q155">
        <f>IF($G155="","",IF(Sync!$U151="","0000",IF(AND(ISNUMBER(Sync!$U151),Sync!$U151&gt;=0,Sync!$U151&lt;1),RIGHT("00"&amp;HOUR(Sync!$U151),2)&amp;RIGHT("00"&amp;MINUTE(Sync!$U151),2),IFERROR(RIGHT("00"&amp;VALUE(LEFT(Sync!$U151,FIND(":",Sync!$U151)-1)),2)&amp;RIGHT("00"&amp;VALUE(MID(Sync!$U151,FIND(":",Sync!$U151)+1,2)),2),"0000"))))</f>
        <v/>
      </c>
    </row>
    <row r="156">
      <c r="A156">
        <f>IF(Sync!$T152="","",Sync!$T152)</f>
        <v/>
      </c>
      <c r="B156">
        <f>IF($A156="","",IF(ISNUMBER($A156),IF(AND($A156&gt;=10000101,$A156&lt;=99991231),INT($A156/10000),""),IFERROR(VALUE(TRIM(LEFT($A156,FIND("/",$A156)-1))),"")))</f>
        <v/>
      </c>
      <c r="C156">
        <f>IF(OR($A156="",$B156=""),"",IF(ISNUMBER($A156),INT(MOD($A156,10000)/100),IFERROR(VALUE(TRIM(LEFT(MID($A156,FIND("/",$A156)+1,20),FIND("/",MID($A156,FIND("/",$A156)+1,20))-1))),"")))</f>
        <v/>
      </c>
      <c r="D156">
        <f>IF(OR($A156="",$B156=""),"",IF(ISNUMBER($A156),MOD($A156,100),IFERROR(VALUE(TRIM(MID(MID($A156,FIND("/",$A156)+1,20),FIND("/",MID($A156,FIND("/",$A156)+1,20))+1,20))),"")))</f>
        <v/>
      </c>
      <c r="E156">
        <f>IF($A156="","",IF(OR($B156="",$C156="",$D156="",$B156&lt;1300,$B156&gt;1500,$C156&lt;1,$C156&gt;12,$D156&lt;1,$D156&gt;31),"نامعتبر",RIGHT("0000"&amp;$B156,4)&amp;"/"&amp;RIGHT("00"&amp;$C156,2)&amp;"/"&amp;RIGHT("00"&amp;$D156,2)))</f>
        <v/>
      </c>
      <c r="F156">
        <f>IF(OR($E156="",$E156="نامعتبر"),"",LEFT($E156,4)&amp;"/"&amp;MID($E156,6,2))</f>
        <v/>
      </c>
      <c r="G156">
        <f>IF(OR($E156="",$E156="نامعتبر",Sync!$X152=""),"",IF(AND(LEFT(UPPER(TRIM(Sync!$X152)),2)="SL",IFERROR(VLOOKUP(Sync!$W152,OpTbl,3,0),"")="فروش"),UPPER(TRIM(Sync!$X152)),""))</f>
        <v/>
      </c>
      <c r="H156">
        <f>IF($G156="","",IF(Sync!$W152="","",Sync!$W152))</f>
        <v/>
      </c>
      <c r="I156">
        <f>IF(OR($G156="",Sync!$Y152=""),"",Sync!$Y152)</f>
        <v/>
      </c>
      <c r="J156">
        <f>IF(OR($G156="",Sync!$Z152=""),"",Sync!$Z152)</f>
        <v/>
      </c>
      <c r="K156">
        <f>IF($G156="",0,IF(Sync!$AA152="",0,Sync!$AA152))</f>
        <v/>
      </c>
      <c r="L156">
        <f>IF($G156="",0,IF(Sync!$AB152="",0,Sync!$AB152))</f>
        <v/>
      </c>
      <c r="M156">
        <f>IF($G156="","",IF($H156="مرجوعی فروش",-1,1)*($K156-$L156*IFERROR(VLOOKUP("P01",ParamTbl,3,0),1.5)))</f>
        <v/>
      </c>
      <c r="N156">
        <f>IF($G156="",0,IF($H156="مرجوعی فروش",-1,1)*IF(Sync!$AC152="",0,Sync!$AC152))</f>
        <v/>
      </c>
      <c r="O156">
        <f>IF(OR($G156="",Sync!$V152=""),"",Sync!$V152)</f>
        <v/>
      </c>
      <c r="P156">
        <f>IF(OR($G156="",Sync!$AD152=""),"",Sync!$AD152)</f>
        <v/>
      </c>
      <c r="Q156">
        <f>IF($G156="","",IF(Sync!$U152="","0000",IF(AND(ISNUMBER(Sync!$U152),Sync!$U152&gt;=0,Sync!$U152&lt;1),RIGHT("00"&amp;HOUR(Sync!$U152),2)&amp;RIGHT("00"&amp;MINUTE(Sync!$U152),2),IFERROR(RIGHT("00"&amp;VALUE(LEFT(Sync!$U152,FIND(":",Sync!$U152)-1)),2)&amp;RIGHT("00"&amp;VALUE(MID(Sync!$U152,FIND(":",Sync!$U152)+1,2)),2),"0000"))))</f>
        <v/>
      </c>
    </row>
    <row r="157">
      <c r="A157">
        <f>IF(Sync!$T153="","",Sync!$T153)</f>
        <v/>
      </c>
      <c r="B157">
        <f>IF($A157="","",IF(ISNUMBER($A157),IF(AND($A157&gt;=10000101,$A157&lt;=99991231),INT($A157/10000),""),IFERROR(VALUE(TRIM(LEFT($A157,FIND("/",$A157)-1))),"")))</f>
        <v/>
      </c>
      <c r="C157">
        <f>IF(OR($A157="",$B157=""),"",IF(ISNUMBER($A157),INT(MOD($A157,10000)/100),IFERROR(VALUE(TRIM(LEFT(MID($A157,FIND("/",$A157)+1,20),FIND("/",MID($A157,FIND("/",$A157)+1,20))-1))),"")))</f>
        <v/>
      </c>
      <c r="D157">
        <f>IF(OR($A157="",$B157=""),"",IF(ISNUMBER($A157),MOD($A157,100),IFERROR(VALUE(TRIM(MID(MID($A157,FIND("/",$A157)+1,20),FIND("/",MID($A157,FIND("/",$A157)+1,20))+1,20))),"")))</f>
        <v/>
      </c>
      <c r="E157">
        <f>IF($A157="","",IF(OR($B157="",$C157="",$D157="",$B157&lt;1300,$B157&gt;1500,$C157&lt;1,$C157&gt;12,$D157&lt;1,$D157&gt;31),"نامعتبر",RIGHT("0000"&amp;$B157,4)&amp;"/"&amp;RIGHT("00"&amp;$C157,2)&amp;"/"&amp;RIGHT("00"&amp;$D157,2)))</f>
        <v/>
      </c>
      <c r="F157">
        <f>IF(OR($E157="",$E157="نامعتبر"),"",LEFT($E157,4)&amp;"/"&amp;MID($E157,6,2))</f>
        <v/>
      </c>
      <c r="G157">
        <f>IF(OR($E157="",$E157="نامعتبر",Sync!$X153=""),"",IF(AND(LEFT(UPPER(TRIM(Sync!$X153)),2)="SL",IFERROR(VLOOKUP(Sync!$W153,OpTbl,3,0),"")="فروش"),UPPER(TRIM(Sync!$X153)),""))</f>
        <v/>
      </c>
      <c r="H157">
        <f>IF($G157="","",IF(Sync!$W153="","",Sync!$W153))</f>
        <v/>
      </c>
      <c r="I157">
        <f>IF(OR($G157="",Sync!$Y153=""),"",Sync!$Y153)</f>
        <v/>
      </c>
      <c r="J157">
        <f>IF(OR($G157="",Sync!$Z153=""),"",Sync!$Z153)</f>
        <v/>
      </c>
      <c r="K157">
        <f>IF($G157="",0,IF(Sync!$AA153="",0,Sync!$AA153))</f>
        <v/>
      </c>
      <c r="L157">
        <f>IF($G157="",0,IF(Sync!$AB153="",0,Sync!$AB153))</f>
        <v/>
      </c>
      <c r="M157">
        <f>IF($G157="","",IF($H157="مرجوعی فروش",-1,1)*($K157-$L157*IFERROR(VLOOKUP("P01",ParamTbl,3,0),1.5)))</f>
        <v/>
      </c>
      <c r="N157">
        <f>IF($G157="",0,IF($H157="مرجوعی فروش",-1,1)*IF(Sync!$AC153="",0,Sync!$AC153))</f>
        <v/>
      </c>
      <c r="O157">
        <f>IF(OR($G157="",Sync!$V153=""),"",Sync!$V153)</f>
        <v/>
      </c>
      <c r="P157">
        <f>IF(OR($G157="",Sync!$AD153=""),"",Sync!$AD153)</f>
        <v/>
      </c>
      <c r="Q157">
        <f>IF($G157="","",IF(Sync!$U153="","0000",IF(AND(ISNUMBER(Sync!$U153),Sync!$U153&gt;=0,Sync!$U153&lt;1),RIGHT("00"&amp;HOUR(Sync!$U153),2)&amp;RIGHT("00"&amp;MINUTE(Sync!$U153),2),IFERROR(RIGHT("00"&amp;VALUE(LEFT(Sync!$U153,FIND(":",Sync!$U153)-1)),2)&amp;RIGHT("00"&amp;VALUE(MID(Sync!$U153,FIND(":",Sync!$U153)+1,2)),2),"0000"))))</f>
        <v/>
      </c>
    </row>
    <row r="158">
      <c r="A158">
        <f>IF(Sync!$T154="","",Sync!$T154)</f>
        <v/>
      </c>
      <c r="B158">
        <f>IF($A158="","",IF(ISNUMBER($A158),IF(AND($A158&gt;=10000101,$A158&lt;=99991231),INT($A158/10000),""),IFERROR(VALUE(TRIM(LEFT($A158,FIND("/",$A158)-1))),"")))</f>
        <v/>
      </c>
      <c r="C158">
        <f>IF(OR($A158="",$B158=""),"",IF(ISNUMBER($A158),INT(MOD($A158,10000)/100),IFERROR(VALUE(TRIM(LEFT(MID($A158,FIND("/",$A158)+1,20),FIND("/",MID($A158,FIND("/",$A158)+1,20))-1))),"")))</f>
        <v/>
      </c>
      <c r="D158">
        <f>IF(OR($A158="",$B158=""),"",IF(ISNUMBER($A158),MOD($A158,100),IFERROR(VALUE(TRIM(MID(MID($A158,FIND("/",$A158)+1,20),FIND("/",MID($A158,FIND("/",$A158)+1,20))+1,20))),"")))</f>
        <v/>
      </c>
      <c r="E158">
        <f>IF($A158="","",IF(OR($B158="",$C158="",$D158="",$B158&lt;1300,$B158&gt;1500,$C158&lt;1,$C158&gt;12,$D158&lt;1,$D158&gt;31),"نامعتبر",RIGHT("0000"&amp;$B158,4)&amp;"/"&amp;RIGHT("00"&amp;$C158,2)&amp;"/"&amp;RIGHT("00"&amp;$D158,2)))</f>
        <v/>
      </c>
      <c r="F158">
        <f>IF(OR($E158="",$E158="نامعتبر"),"",LEFT($E158,4)&amp;"/"&amp;MID($E158,6,2))</f>
        <v/>
      </c>
      <c r="G158">
        <f>IF(OR($E158="",$E158="نامعتبر",Sync!$X154=""),"",IF(AND(LEFT(UPPER(TRIM(Sync!$X154)),2)="SL",IFERROR(VLOOKUP(Sync!$W154,OpTbl,3,0),"")="فروش"),UPPER(TRIM(Sync!$X154)),""))</f>
        <v/>
      </c>
      <c r="H158">
        <f>IF($G158="","",IF(Sync!$W154="","",Sync!$W154))</f>
        <v/>
      </c>
      <c r="I158">
        <f>IF(OR($G158="",Sync!$Y154=""),"",Sync!$Y154)</f>
        <v/>
      </c>
      <c r="J158">
        <f>IF(OR($G158="",Sync!$Z154=""),"",Sync!$Z154)</f>
        <v/>
      </c>
      <c r="K158">
        <f>IF($G158="",0,IF(Sync!$AA154="",0,Sync!$AA154))</f>
        <v/>
      </c>
      <c r="L158">
        <f>IF($G158="",0,IF(Sync!$AB154="",0,Sync!$AB154))</f>
        <v/>
      </c>
      <c r="M158">
        <f>IF($G158="","",IF($H158="مرجوعی فروش",-1,1)*($K158-$L158*IFERROR(VLOOKUP("P01",ParamTbl,3,0),1.5)))</f>
        <v/>
      </c>
      <c r="N158">
        <f>IF($G158="",0,IF($H158="مرجوعی فروش",-1,1)*IF(Sync!$AC154="",0,Sync!$AC154))</f>
        <v/>
      </c>
      <c r="O158">
        <f>IF(OR($G158="",Sync!$V154=""),"",Sync!$V154)</f>
        <v/>
      </c>
      <c r="P158">
        <f>IF(OR($G158="",Sync!$AD154=""),"",Sync!$AD154)</f>
        <v/>
      </c>
      <c r="Q158">
        <f>IF($G158="","",IF(Sync!$U154="","0000",IF(AND(ISNUMBER(Sync!$U154),Sync!$U154&gt;=0,Sync!$U154&lt;1),RIGHT("00"&amp;HOUR(Sync!$U154),2)&amp;RIGHT("00"&amp;MINUTE(Sync!$U154),2),IFERROR(RIGHT("00"&amp;VALUE(LEFT(Sync!$U154,FIND(":",Sync!$U154)-1)),2)&amp;RIGHT("00"&amp;VALUE(MID(Sync!$U154,FIND(":",Sync!$U154)+1,2)),2),"0000"))))</f>
        <v/>
      </c>
    </row>
    <row r="159">
      <c r="A159">
        <f>IF(Sync!$T155="","",Sync!$T155)</f>
        <v/>
      </c>
      <c r="B159">
        <f>IF($A159="","",IF(ISNUMBER($A159),IF(AND($A159&gt;=10000101,$A159&lt;=99991231),INT($A159/10000),""),IFERROR(VALUE(TRIM(LEFT($A159,FIND("/",$A159)-1))),"")))</f>
        <v/>
      </c>
      <c r="C159">
        <f>IF(OR($A159="",$B159=""),"",IF(ISNUMBER($A159),INT(MOD($A159,10000)/100),IFERROR(VALUE(TRIM(LEFT(MID($A159,FIND("/",$A159)+1,20),FIND("/",MID($A159,FIND("/",$A159)+1,20))-1))),"")))</f>
        <v/>
      </c>
      <c r="D159">
        <f>IF(OR($A159="",$B159=""),"",IF(ISNUMBER($A159),MOD($A159,100),IFERROR(VALUE(TRIM(MID(MID($A159,FIND("/",$A159)+1,20),FIND("/",MID($A159,FIND("/",$A159)+1,20))+1,20))),"")))</f>
        <v/>
      </c>
      <c r="E159">
        <f>IF($A159="","",IF(OR($B159="",$C159="",$D159="",$B159&lt;1300,$B159&gt;1500,$C159&lt;1,$C159&gt;12,$D159&lt;1,$D159&gt;31),"نامعتبر",RIGHT("0000"&amp;$B159,4)&amp;"/"&amp;RIGHT("00"&amp;$C159,2)&amp;"/"&amp;RIGHT("00"&amp;$D159,2)))</f>
        <v/>
      </c>
      <c r="F159">
        <f>IF(OR($E159="",$E159="نامعتبر"),"",LEFT($E159,4)&amp;"/"&amp;MID($E159,6,2))</f>
        <v/>
      </c>
      <c r="G159">
        <f>IF(OR($E159="",$E159="نامعتبر",Sync!$X155=""),"",IF(AND(LEFT(UPPER(TRIM(Sync!$X155)),2)="SL",IFERROR(VLOOKUP(Sync!$W155,OpTbl,3,0),"")="فروش"),UPPER(TRIM(Sync!$X155)),""))</f>
        <v/>
      </c>
      <c r="H159">
        <f>IF($G159="","",IF(Sync!$W155="","",Sync!$W155))</f>
        <v/>
      </c>
      <c r="I159">
        <f>IF(OR($G159="",Sync!$Y155=""),"",Sync!$Y155)</f>
        <v/>
      </c>
      <c r="J159">
        <f>IF(OR($G159="",Sync!$Z155=""),"",Sync!$Z155)</f>
        <v/>
      </c>
      <c r="K159">
        <f>IF($G159="",0,IF(Sync!$AA155="",0,Sync!$AA155))</f>
        <v/>
      </c>
      <c r="L159">
        <f>IF($G159="",0,IF(Sync!$AB155="",0,Sync!$AB155))</f>
        <v/>
      </c>
      <c r="M159">
        <f>IF($G159="","",IF($H159="مرجوعی فروش",-1,1)*($K159-$L159*IFERROR(VLOOKUP("P01",ParamTbl,3,0),1.5)))</f>
        <v/>
      </c>
      <c r="N159">
        <f>IF($G159="",0,IF($H159="مرجوعی فروش",-1,1)*IF(Sync!$AC155="",0,Sync!$AC155))</f>
        <v/>
      </c>
      <c r="O159">
        <f>IF(OR($G159="",Sync!$V155=""),"",Sync!$V155)</f>
        <v/>
      </c>
      <c r="P159">
        <f>IF(OR($G159="",Sync!$AD155=""),"",Sync!$AD155)</f>
        <v/>
      </c>
      <c r="Q159">
        <f>IF($G159="","",IF(Sync!$U155="","0000",IF(AND(ISNUMBER(Sync!$U155),Sync!$U155&gt;=0,Sync!$U155&lt;1),RIGHT("00"&amp;HOUR(Sync!$U155),2)&amp;RIGHT("00"&amp;MINUTE(Sync!$U155),2),IFERROR(RIGHT("00"&amp;VALUE(LEFT(Sync!$U155,FIND(":",Sync!$U155)-1)),2)&amp;RIGHT("00"&amp;VALUE(MID(Sync!$U155,FIND(":",Sync!$U155)+1,2)),2),"0000"))))</f>
        <v/>
      </c>
    </row>
    <row r="160">
      <c r="A160">
        <f>IF(Sync!$T156="","",Sync!$T156)</f>
        <v/>
      </c>
      <c r="B160">
        <f>IF($A160="","",IF(ISNUMBER($A160),IF(AND($A160&gt;=10000101,$A160&lt;=99991231),INT($A160/10000),""),IFERROR(VALUE(TRIM(LEFT($A160,FIND("/",$A160)-1))),"")))</f>
        <v/>
      </c>
      <c r="C160">
        <f>IF(OR($A160="",$B160=""),"",IF(ISNUMBER($A160),INT(MOD($A160,10000)/100),IFERROR(VALUE(TRIM(LEFT(MID($A160,FIND("/",$A160)+1,20),FIND("/",MID($A160,FIND("/",$A160)+1,20))-1))),"")))</f>
        <v/>
      </c>
      <c r="D160">
        <f>IF(OR($A160="",$B160=""),"",IF(ISNUMBER($A160),MOD($A160,100),IFERROR(VALUE(TRIM(MID(MID($A160,FIND("/",$A160)+1,20),FIND("/",MID($A160,FIND("/",$A160)+1,20))+1,20))),"")))</f>
        <v/>
      </c>
      <c r="E160">
        <f>IF($A160="","",IF(OR($B160="",$C160="",$D160="",$B160&lt;1300,$B160&gt;1500,$C160&lt;1,$C160&gt;12,$D160&lt;1,$D160&gt;31),"نامعتبر",RIGHT("0000"&amp;$B160,4)&amp;"/"&amp;RIGHT("00"&amp;$C160,2)&amp;"/"&amp;RIGHT("00"&amp;$D160,2)))</f>
        <v/>
      </c>
      <c r="F160">
        <f>IF(OR($E160="",$E160="نامعتبر"),"",LEFT($E160,4)&amp;"/"&amp;MID($E160,6,2))</f>
        <v/>
      </c>
      <c r="G160">
        <f>IF(OR($E160="",$E160="نامعتبر",Sync!$X156=""),"",IF(AND(LEFT(UPPER(TRIM(Sync!$X156)),2)="SL",IFERROR(VLOOKUP(Sync!$W156,OpTbl,3,0),"")="فروش"),UPPER(TRIM(Sync!$X156)),""))</f>
        <v/>
      </c>
      <c r="H160">
        <f>IF($G160="","",IF(Sync!$W156="","",Sync!$W156))</f>
        <v/>
      </c>
      <c r="I160">
        <f>IF(OR($G160="",Sync!$Y156=""),"",Sync!$Y156)</f>
        <v/>
      </c>
      <c r="J160">
        <f>IF(OR($G160="",Sync!$Z156=""),"",Sync!$Z156)</f>
        <v/>
      </c>
      <c r="K160">
        <f>IF($G160="",0,IF(Sync!$AA156="",0,Sync!$AA156))</f>
        <v/>
      </c>
      <c r="L160">
        <f>IF($G160="",0,IF(Sync!$AB156="",0,Sync!$AB156))</f>
        <v/>
      </c>
      <c r="M160">
        <f>IF($G160="","",IF($H160="مرجوعی فروش",-1,1)*($K160-$L160*IFERROR(VLOOKUP("P01",ParamTbl,3,0),1.5)))</f>
        <v/>
      </c>
      <c r="N160">
        <f>IF($G160="",0,IF($H160="مرجوعی فروش",-1,1)*IF(Sync!$AC156="",0,Sync!$AC156))</f>
        <v/>
      </c>
      <c r="O160">
        <f>IF(OR($G160="",Sync!$V156=""),"",Sync!$V156)</f>
        <v/>
      </c>
      <c r="P160">
        <f>IF(OR($G160="",Sync!$AD156=""),"",Sync!$AD156)</f>
        <v/>
      </c>
      <c r="Q160">
        <f>IF($G160="","",IF(Sync!$U156="","0000",IF(AND(ISNUMBER(Sync!$U156),Sync!$U156&gt;=0,Sync!$U156&lt;1),RIGHT("00"&amp;HOUR(Sync!$U156),2)&amp;RIGHT("00"&amp;MINUTE(Sync!$U156),2),IFERROR(RIGHT("00"&amp;VALUE(LEFT(Sync!$U156,FIND(":",Sync!$U156)-1)),2)&amp;RIGHT("00"&amp;VALUE(MID(Sync!$U156,FIND(":",Sync!$U156)+1,2)),2),"0000"))))</f>
        <v/>
      </c>
    </row>
    <row r="161">
      <c r="A161">
        <f>IF(Sync!$T157="","",Sync!$T157)</f>
        <v/>
      </c>
      <c r="B161">
        <f>IF($A161="","",IF(ISNUMBER($A161),IF(AND($A161&gt;=10000101,$A161&lt;=99991231),INT($A161/10000),""),IFERROR(VALUE(TRIM(LEFT($A161,FIND("/",$A161)-1))),"")))</f>
        <v/>
      </c>
      <c r="C161">
        <f>IF(OR($A161="",$B161=""),"",IF(ISNUMBER($A161),INT(MOD($A161,10000)/100),IFERROR(VALUE(TRIM(LEFT(MID($A161,FIND("/",$A161)+1,20),FIND("/",MID($A161,FIND("/",$A161)+1,20))-1))),"")))</f>
        <v/>
      </c>
      <c r="D161">
        <f>IF(OR($A161="",$B161=""),"",IF(ISNUMBER($A161),MOD($A161,100),IFERROR(VALUE(TRIM(MID(MID($A161,FIND("/",$A161)+1,20),FIND("/",MID($A161,FIND("/",$A161)+1,20))+1,20))),"")))</f>
        <v/>
      </c>
      <c r="E161">
        <f>IF($A161="","",IF(OR($B161="",$C161="",$D161="",$B161&lt;1300,$B161&gt;1500,$C161&lt;1,$C161&gt;12,$D161&lt;1,$D161&gt;31),"نامعتبر",RIGHT("0000"&amp;$B161,4)&amp;"/"&amp;RIGHT("00"&amp;$C161,2)&amp;"/"&amp;RIGHT("00"&amp;$D161,2)))</f>
        <v/>
      </c>
      <c r="F161">
        <f>IF(OR($E161="",$E161="نامعتبر"),"",LEFT($E161,4)&amp;"/"&amp;MID($E161,6,2))</f>
        <v/>
      </c>
      <c r="G161">
        <f>IF(OR($E161="",$E161="نامعتبر",Sync!$X157=""),"",IF(AND(LEFT(UPPER(TRIM(Sync!$X157)),2)="SL",IFERROR(VLOOKUP(Sync!$W157,OpTbl,3,0),"")="فروش"),UPPER(TRIM(Sync!$X157)),""))</f>
        <v/>
      </c>
      <c r="H161">
        <f>IF($G161="","",IF(Sync!$W157="","",Sync!$W157))</f>
        <v/>
      </c>
      <c r="I161">
        <f>IF(OR($G161="",Sync!$Y157=""),"",Sync!$Y157)</f>
        <v/>
      </c>
      <c r="J161">
        <f>IF(OR($G161="",Sync!$Z157=""),"",Sync!$Z157)</f>
        <v/>
      </c>
      <c r="K161">
        <f>IF($G161="",0,IF(Sync!$AA157="",0,Sync!$AA157))</f>
        <v/>
      </c>
      <c r="L161">
        <f>IF($G161="",0,IF(Sync!$AB157="",0,Sync!$AB157))</f>
        <v/>
      </c>
      <c r="M161">
        <f>IF($G161="","",IF($H161="مرجوعی فروش",-1,1)*($K161-$L161*IFERROR(VLOOKUP("P01",ParamTbl,3,0),1.5)))</f>
        <v/>
      </c>
      <c r="N161">
        <f>IF($G161="",0,IF($H161="مرجوعی فروش",-1,1)*IF(Sync!$AC157="",0,Sync!$AC157))</f>
        <v/>
      </c>
      <c r="O161">
        <f>IF(OR($G161="",Sync!$V157=""),"",Sync!$V157)</f>
        <v/>
      </c>
      <c r="P161">
        <f>IF(OR($G161="",Sync!$AD157=""),"",Sync!$AD157)</f>
        <v/>
      </c>
      <c r="Q161">
        <f>IF($G161="","",IF(Sync!$U157="","0000",IF(AND(ISNUMBER(Sync!$U157),Sync!$U157&gt;=0,Sync!$U157&lt;1),RIGHT("00"&amp;HOUR(Sync!$U157),2)&amp;RIGHT("00"&amp;MINUTE(Sync!$U157),2),IFERROR(RIGHT("00"&amp;VALUE(LEFT(Sync!$U157,FIND(":",Sync!$U157)-1)),2)&amp;RIGHT("00"&amp;VALUE(MID(Sync!$U157,FIND(":",Sync!$U157)+1,2)),2),"0000"))))</f>
        <v/>
      </c>
    </row>
    <row r="162">
      <c r="A162">
        <f>IF(Sync!$T158="","",Sync!$T158)</f>
        <v/>
      </c>
      <c r="B162">
        <f>IF($A162="","",IF(ISNUMBER($A162),IF(AND($A162&gt;=10000101,$A162&lt;=99991231),INT($A162/10000),""),IFERROR(VALUE(TRIM(LEFT($A162,FIND("/",$A162)-1))),"")))</f>
        <v/>
      </c>
      <c r="C162">
        <f>IF(OR($A162="",$B162=""),"",IF(ISNUMBER($A162),INT(MOD($A162,10000)/100),IFERROR(VALUE(TRIM(LEFT(MID($A162,FIND("/",$A162)+1,20),FIND("/",MID($A162,FIND("/",$A162)+1,20))-1))),"")))</f>
        <v/>
      </c>
      <c r="D162">
        <f>IF(OR($A162="",$B162=""),"",IF(ISNUMBER($A162),MOD($A162,100),IFERROR(VALUE(TRIM(MID(MID($A162,FIND("/",$A162)+1,20),FIND("/",MID($A162,FIND("/",$A162)+1,20))+1,20))),"")))</f>
        <v/>
      </c>
      <c r="E162">
        <f>IF($A162="","",IF(OR($B162="",$C162="",$D162="",$B162&lt;1300,$B162&gt;1500,$C162&lt;1,$C162&gt;12,$D162&lt;1,$D162&gt;31),"نامعتبر",RIGHT("0000"&amp;$B162,4)&amp;"/"&amp;RIGHT("00"&amp;$C162,2)&amp;"/"&amp;RIGHT("00"&amp;$D162,2)))</f>
        <v/>
      </c>
      <c r="F162">
        <f>IF(OR($E162="",$E162="نامعتبر"),"",LEFT($E162,4)&amp;"/"&amp;MID($E162,6,2))</f>
        <v/>
      </c>
      <c r="G162">
        <f>IF(OR($E162="",$E162="نامعتبر",Sync!$X158=""),"",IF(AND(LEFT(UPPER(TRIM(Sync!$X158)),2)="SL",IFERROR(VLOOKUP(Sync!$W158,OpTbl,3,0),"")="فروش"),UPPER(TRIM(Sync!$X158)),""))</f>
        <v/>
      </c>
      <c r="H162">
        <f>IF($G162="","",IF(Sync!$W158="","",Sync!$W158))</f>
        <v/>
      </c>
      <c r="I162">
        <f>IF(OR($G162="",Sync!$Y158=""),"",Sync!$Y158)</f>
        <v/>
      </c>
      <c r="J162">
        <f>IF(OR($G162="",Sync!$Z158=""),"",Sync!$Z158)</f>
        <v/>
      </c>
      <c r="K162">
        <f>IF($G162="",0,IF(Sync!$AA158="",0,Sync!$AA158))</f>
        <v/>
      </c>
      <c r="L162">
        <f>IF($G162="",0,IF(Sync!$AB158="",0,Sync!$AB158))</f>
        <v/>
      </c>
      <c r="M162">
        <f>IF($G162="","",IF($H162="مرجوعی فروش",-1,1)*($K162-$L162*IFERROR(VLOOKUP("P01",ParamTbl,3,0),1.5)))</f>
        <v/>
      </c>
      <c r="N162">
        <f>IF($G162="",0,IF($H162="مرجوعی فروش",-1,1)*IF(Sync!$AC158="",0,Sync!$AC158))</f>
        <v/>
      </c>
      <c r="O162">
        <f>IF(OR($G162="",Sync!$V158=""),"",Sync!$V158)</f>
        <v/>
      </c>
      <c r="P162">
        <f>IF(OR($G162="",Sync!$AD158=""),"",Sync!$AD158)</f>
        <v/>
      </c>
      <c r="Q162">
        <f>IF($G162="","",IF(Sync!$U158="","0000",IF(AND(ISNUMBER(Sync!$U158),Sync!$U158&gt;=0,Sync!$U158&lt;1),RIGHT("00"&amp;HOUR(Sync!$U158),2)&amp;RIGHT("00"&amp;MINUTE(Sync!$U158),2),IFERROR(RIGHT("00"&amp;VALUE(LEFT(Sync!$U158,FIND(":",Sync!$U158)-1)),2)&amp;RIGHT("00"&amp;VALUE(MID(Sync!$U158,FIND(":",Sync!$U158)+1,2)),2),"0000"))))</f>
        <v/>
      </c>
    </row>
    <row r="163">
      <c r="A163">
        <f>IF(Sync!$T159="","",Sync!$T159)</f>
        <v/>
      </c>
      <c r="B163">
        <f>IF($A163="","",IF(ISNUMBER($A163),IF(AND($A163&gt;=10000101,$A163&lt;=99991231),INT($A163/10000),""),IFERROR(VALUE(TRIM(LEFT($A163,FIND("/",$A163)-1))),"")))</f>
        <v/>
      </c>
      <c r="C163">
        <f>IF(OR($A163="",$B163=""),"",IF(ISNUMBER($A163),INT(MOD($A163,10000)/100),IFERROR(VALUE(TRIM(LEFT(MID($A163,FIND("/",$A163)+1,20),FIND("/",MID($A163,FIND("/",$A163)+1,20))-1))),"")))</f>
        <v/>
      </c>
      <c r="D163">
        <f>IF(OR($A163="",$B163=""),"",IF(ISNUMBER($A163),MOD($A163,100),IFERROR(VALUE(TRIM(MID(MID($A163,FIND("/",$A163)+1,20),FIND("/",MID($A163,FIND("/",$A163)+1,20))+1,20))),"")))</f>
        <v/>
      </c>
      <c r="E163">
        <f>IF($A163="","",IF(OR($B163="",$C163="",$D163="",$B163&lt;1300,$B163&gt;1500,$C163&lt;1,$C163&gt;12,$D163&lt;1,$D163&gt;31),"نامعتبر",RIGHT("0000"&amp;$B163,4)&amp;"/"&amp;RIGHT("00"&amp;$C163,2)&amp;"/"&amp;RIGHT("00"&amp;$D163,2)))</f>
        <v/>
      </c>
      <c r="F163">
        <f>IF(OR($E163="",$E163="نامعتبر"),"",LEFT($E163,4)&amp;"/"&amp;MID($E163,6,2))</f>
        <v/>
      </c>
      <c r="G163">
        <f>IF(OR($E163="",$E163="نامعتبر",Sync!$X159=""),"",IF(AND(LEFT(UPPER(TRIM(Sync!$X159)),2)="SL",IFERROR(VLOOKUP(Sync!$W159,OpTbl,3,0),"")="فروش"),UPPER(TRIM(Sync!$X159)),""))</f>
        <v/>
      </c>
      <c r="H163">
        <f>IF($G163="","",IF(Sync!$W159="","",Sync!$W159))</f>
        <v/>
      </c>
      <c r="I163">
        <f>IF(OR($G163="",Sync!$Y159=""),"",Sync!$Y159)</f>
        <v/>
      </c>
      <c r="J163">
        <f>IF(OR($G163="",Sync!$Z159=""),"",Sync!$Z159)</f>
        <v/>
      </c>
      <c r="K163">
        <f>IF($G163="",0,IF(Sync!$AA159="",0,Sync!$AA159))</f>
        <v/>
      </c>
      <c r="L163">
        <f>IF($G163="",0,IF(Sync!$AB159="",0,Sync!$AB159))</f>
        <v/>
      </c>
      <c r="M163">
        <f>IF($G163="","",IF($H163="مرجوعی فروش",-1,1)*($K163-$L163*IFERROR(VLOOKUP("P01",ParamTbl,3,0),1.5)))</f>
        <v/>
      </c>
      <c r="N163">
        <f>IF($G163="",0,IF($H163="مرجوعی فروش",-1,1)*IF(Sync!$AC159="",0,Sync!$AC159))</f>
        <v/>
      </c>
      <c r="O163">
        <f>IF(OR($G163="",Sync!$V159=""),"",Sync!$V159)</f>
        <v/>
      </c>
      <c r="P163">
        <f>IF(OR($G163="",Sync!$AD159=""),"",Sync!$AD159)</f>
        <v/>
      </c>
      <c r="Q163">
        <f>IF($G163="","",IF(Sync!$U159="","0000",IF(AND(ISNUMBER(Sync!$U159),Sync!$U159&gt;=0,Sync!$U159&lt;1),RIGHT("00"&amp;HOUR(Sync!$U159),2)&amp;RIGHT("00"&amp;MINUTE(Sync!$U159),2),IFERROR(RIGHT("00"&amp;VALUE(LEFT(Sync!$U159,FIND(":",Sync!$U159)-1)),2)&amp;RIGHT("00"&amp;VALUE(MID(Sync!$U159,FIND(":",Sync!$U159)+1,2)),2),"0000"))))</f>
        <v/>
      </c>
    </row>
    <row r="164">
      <c r="A164">
        <f>IF(Sync!$T160="","",Sync!$T160)</f>
        <v/>
      </c>
      <c r="B164">
        <f>IF($A164="","",IF(ISNUMBER($A164),IF(AND($A164&gt;=10000101,$A164&lt;=99991231),INT($A164/10000),""),IFERROR(VALUE(TRIM(LEFT($A164,FIND("/",$A164)-1))),"")))</f>
        <v/>
      </c>
      <c r="C164">
        <f>IF(OR($A164="",$B164=""),"",IF(ISNUMBER($A164),INT(MOD($A164,10000)/100),IFERROR(VALUE(TRIM(LEFT(MID($A164,FIND("/",$A164)+1,20),FIND("/",MID($A164,FIND("/",$A164)+1,20))-1))),"")))</f>
        <v/>
      </c>
      <c r="D164">
        <f>IF(OR($A164="",$B164=""),"",IF(ISNUMBER($A164),MOD($A164,100),IFERROR(VALUE(TRIM(MID(MID($A164,FIND("/",$A164)+1,20),FIND("/",MID($A164,FIND("/",$A164)+1,20))+1,20))),"")))</f>
        <v/>
      </c>
      <c r="E164">
        <f>IF($A164="","",IF(OR($B164="",$C164="",$D164="",$B164&lt;1300,$B164&gt;1500,$C164&lt;1,$C164&gt;12,$D164&lt;1,$D164&gt;31),"نامعتبر",RIGHT("0000"&amp;$B164,4)&amp;"/"&amp;RIGHT("00"&amp;$C164,2)&amp;"/"&amp;RIGHT("00"&amp;$D164,2)))</f>
        <v/>
      </c>
      <c r="F164">
        <f>IF(OR($E164="",$E164="نامعتبر"),"",LEFT($E164,4)&amp;"/"&amp;MID($E164,6,2))</f>
        <v/>
      </c>
      <c r="G164">
        <f>IF(OR($E164="",$E164="نامعتبر",Sync!$X160=""),"",IF(AND(LEFT(UPPER(TRIM(Sync!$X160)),2)="SL",IFERROR(VLOOKUP(Sync!$W160,OpTbl,3,0),"")="فروش"),UPPER(TRIM(Sync!$X160)),""))</f>
        <v/>
      </c>
      <c r="H164">
        <f>IF($G164="","",IF(Sync!$W160="","",Sync!$W160))</f>
        <v/>
      </c>
      <c r="I164">
        <f>IF(OR($G164="",Sync!$Y160=""),"",Sync!$Y160)</f>
        <v/>
      </c>
      <c r="J164">
        <f>IF(OR($G164="",Sync!$Z160=""),"",Sync!$Z160)</f>
        <v/>
      </c>
      <c r="K164">
        <f>IF($G164="",0,IF(Sync!$AA160="",0,Sync!$AA160))</f>
        <v/>
      </c>
      <c r="L164">
        <f>IF($G164="",0,IF(Sync!$AB160="",0,Sync!$AB160))</f>
        <v/>
      </c>
      <c r="M164">
        <f>IF($G164="","",IF($H164="مرجوعی فروش",-1,1)*($K164-$L164*IFERROR(VLOOKUP("P01",ParamTbl,3,0),1.5)))</f>
        <v/>
      </c>
      <c r="N164">
        <f>IF($G164="",0,IF($H164="مرجوعی فروش",-1,1)*IF(Sync!$AC160="",0,Sync!$AC160))</f>
        <v/>
      </c>
      <c r="O164">
        <f>IF(OR($G164="",Sync!$V160=""),"",Sync!$V160)</f>
        <v/>
      </c>
      <c r="P164">
        <f>IF(OR($G164="",Sync!$AD160=""),"",Sync!$AD160)</f>
        <v/>
      </c>
      <c r="Q164">
        <f>IF($G164="","",IF(Sync!$U160="","0000",IF(AND(ISNUMBER(Sync!$U160),Sync!$U160&gt;=0,Sync!$U160&lt;1),RIGHT("00"&amp;HOUR(Sync!$U160),2)&amp;RIGHT("00"&amp;MINUTE(Sync!$U160),2),IFERROR(RIGHT("00"&amp;VALUE(LEFT(Sync!$U160,FIND(":",Sync!$U160)-1)),2)&amp;RIGHT("00"&amp;VALUE(MID(Sync!$U160,FIND(":",Sync!$U160)+1,2)),2),"0000"))))</f>
        <v/>
      </c>
    </row>
    <row r="165">
      <c r="A165">
        <f>IF(Sync!$T161="","",Sync!$T161)</f>
        <v/>
      </c>
      <c r="B165">
        <f>IF($A165="","",IF(ISNUMBER($A165),IF(AND($A165&gt;=10000101,$A165&lt;=99991231),INT($A165/10000),""),IFERROR(VALUE(TRIM(LEFT($A165,FIND("/",$A165)-1))),"")))</f>
        <v/>
      </c>
      <c r="C165">
        <f>IF(OR($A165="",$B165=""),"",IF(ISNUMBER($A165),INT(MOD($A165,10000)/100),IFERROR(VALUE(TRIM(LEFT(MID($A165,FIND("/",$A165)+1,20),FIND("/",MID($A165,FIND("/",$A165)+1,20))-1))),"")))</f>
        <v/>
      </c>
      <c r="D165">
        <f>IF(OR($A165="",$B165=""),"",IF(ISNUMBER($A165),MOD($A165,100),IFERROR(VALUE(TRIM(MID(MID($A165,FIND("/",$A165)+1,20),FIND("/",MID($A165,FIND("/",$A165)+1,20))+1,20))),"")))</f>
        <v/>
      </c>
      <c r="E165">
        <f>IF($A165="","",IF(OR($B165="",$C165="",$D165="",$B165&lt;1300,$B165&gt;1500,$C165&lt;1,$C165&gt;12,$D165&lt;1,$D165&gt;31),"نامعتبر",RIGHT("0000"&amp;$B165,4)&amp;"/"&amp;RIGHT("00"&amp;$C165,2)&amp;"/"&amp;RIGHT("00"&amp;$D165,2)))</f>
        <v/>
      </c>
      <c r="F165">
        <f>IF(OR($E165="",$E165="نامعتبر"),"",LEFT($E165,4)&amp;"/"&amp;MID($E165,6,2))</f>
        <v/>
      </c>
      <c r="G165">
        <f>IF(OR($E165="",$E165="نامعتبر",Sync!$X161=""),"",IF(AND(LEFT(UPPER(TRIM(Sync!$X161)),2)="SL",IFERROR(VLOOKUP(Sync!$W161,OpTbl,3,0),"")="فروش"),UPPER(TRIM(Sync!$X161)),""))</f>
        <v/>
      </c>
      <c r="H165">
        <f>IF($G165="","",IF(Sync!$W161="","",Sync!$W161))</f>
        <v/>
      </c>
      <c r="I165">
        <f>IF(OR($G165="",Sync!$Y161=""),"",Sync!$Y161)</f>
        <v/>
      </c>
      <c r="J165">
        <f>IF(OR($G165="",Sync!$Z161=""),"",Sync!$Z161)</f>
        <v/>
      </c>
      <c r="K165">
        <f>IF($G165="",0,IF(Sync!$AA161="",0,Sync!$AA161))</f>
        <v/>
      </c>
      <c r="L165">
        <f>IF($G165="",0,IF(Sync!$AB161="",0,Sync!$AB161))</f>
        <v/>
      </c>
      <c r="M165">
        <f>IF($G165="","",IF($H165="مرجوعی فروش",-1,1)*($K165-$L165*IFERROR(VLOOKUP("P01",ParamTbl,3,0),1.5)))</f>
        <v/>
      </c>
      <c r="N165">
        <f>IF($G165="",0,IF($H165="مرجوعی فروش",-1,1)*IF(Sync!$AC161="",0,Sync!$AC161))</f>
        <v/>
      </c>
      <c r="O165">
        <f>IF(OR($G165="",Sync!$V161=""),"",Sync!$V161)</f>
        <v/>
      </c>
      <c r="P165">
        <f>IF(OR($G165="",Sync!$AD161=""),"",Sync!$AD161)</f>
        <v/>
      </c>
      <c r="Q165">
        <f>IF($G165="","",IF(Sync!$U161="","0000",IF(AND(ISNUMBER(Sync!$U161),Sync!$U161&gt;=0,Sync!$U161&lt;1),RIGHT("00"&amp;HOUR(Sync!$U161),2)&amp;RIGHT("00"&amp;MINUTE(Sync!$U161),2),IFERROR(RIGHT("00"&amp;VALUE(LEFT(Sync!$U161,FIND(":",Sync!$U161)-1)),2)&amp;RIGHT("00"&amp;VALUE(MID(Sync!$U161,FIND(":",Sync!$U161)+1,2)),2),"0000"))))</f>
        <v/>
      </c>
    </row>
    <row r="166">
      <c r="A166">
        <f>IF(Sync!$T162="","",Sync!$T162)</f>
        <v/>
      </c>
      <c r="B166">
        <f>IF($A166="","",IF(ISNUMBER($A166),IF(AND($A166&gt;=10000101,$A166&lt;=99991231),INT($A166/10000),""),IFERROR(VALUE(TRIM(LEFT($A166,FIND("/",$A166)-1))),"")))</f>
        <v/>
      </c>
      <c r="C166">
        <f>IF(OR($A166="",$B166=""),"",IF(ISNUMBER($A166),INT(MOD($A166,10000)/100),IFERROR(VALUE(TRIM(LEFT(MID($A166,FIND("/",$A166)+1,20),FIND("/",MID($A166,FIND("/",$A166)+1,20))-1))),"")))</f>
        <v/>
      </c>
      <c r="D166">
        <f>IF(OR($A166="",$B166=""),"",IF(ISNUMBER($A166),MOD($A166,100),IFERROR(VALUE(TRIM(MID(MID($A166,FIND("/",$A166)+1,20),FIND("/",MID($A166,FIND("/",$A166)+1,20))+1,20))),"")))</f>
        <v/>
      </c>
      <c r="E166">
        <f>IF($A166="","",IF(OR($B166="",$C166="",$D166="",$B166&lt;1300,$B166&gt;1500,$C166&lt;1,$C166&gt;12,$D166&lt;1,$D166&gt;31),"نامعتبر",RIGHT("0000"&amp;$B166,4)&amp;"/"&amp;RIGHT("00"&amp;$C166,2)&amp;"/"&amp;RIGHT("00"&amp;$D166,2)))</f>
        <v/>
      </c>
      <c r="F166">
        <f>IF(OR($E166="",$E166="نامعتبر"),"",LEFT($E166,4)&amp;"/"&amp;MID($E166,6,2))</f>
        <v/>
      </c>
      <c r="G166">
        <f>IF(OR($E166="",$E166="نامعتبر",Sync!$X162=""),"",IF(AND(LEFT(UPPER(TRIM(Sync!$X162)),2)="SL",IFERROR(VLOOKUP(Sync!$W162,OpTbl,3,0),"")="فروش"),UPPER(TRIM(Sync!$X162)),""))</f>
        <v/>
      </c>
      <c r="H166">
        <f>IF($G166="","",IF(Sync!$W162="","",Sync!$W162))</f>
        <v/>
      </c>
      <c r="I166">
        <f>IF(OR($G166="",Sync!$Y162=""),"",Sync!$Y162)</f>
        <v/>
      </c>
      <c r="J166">
        <f>IF(OR($G166="",Sync!$Z162=""),"",Sync!$Z162)</f>
        <v/>
      </c>
      <c r="K166">
        <f>IF($G166="",0,IF(Sync!$AA162="",0,Sync!$AA162))</f>
        <v/>
      </c>
      <c r="L166">
        <f>IF($G166="",0,IF(Sync!$AB162="",0,Sync!$AB162))</f>
        <v/>
      </c>
      <c r="M166">
        <f>IF($G166="","",IF($H166="مرجوعی فروش",-1,1)*($K166-$L166*IFERROR(VLOOKUP("P01",ParamTbl,3,0),1.5)))</f>
        <v/>
      </c>
      <c r="N166">
        <f>IF($G166="",0,IF($H166="مرجوعی فروش",-1,1)*IF(Sync!$AC162="",0,Sync!$AC162))</f>
        <v/>
      </c>
      <c r="O166">
        <f>IF(OR($G166="",Sync!$V162=""),"",Sync!$V162)</f>
        <v/>
      </c>
      <c r="P166">
        <f>IF(OR($G166="",Sync!$AD162=""),"",Sync!$AD162)</f>
        <v/>
      </c>
      <c r="Q166">
        <f>IF($G166="","",IF(Sync!$U162="","0000",IF(AND(ISNUMBER(Sync!$U162),Sync!$U162&gt;=0,Sync!$U162&lt;1),RIGHT("00"&amp;HOUR(Sync!$U162),2)&amp;RIGHT("00"&amp;MINUTE(Sync!$U162),2),IFERROR(RIGHT("00"&amp;VALUE(LEFT(Sync!$U162,FIND(":",Sync!$U162)-1)),2)&amp;RIGHT("00"&amp;VALUE(MID(Sync!$U162,FIND(":",Sync!$U162)+1,2)),2),"0000"))))</f>
        <v/>
      </c>
    </row>
    <row r="167">
      <c r="A167">
        <f>IF(Sync!$T163="","",Sync!$T163)</f>
        <v/>
      </c>
      <c r="B167">
        <f>IF($A167="","",IF(ISNUMBER($A167),IF(AND($A167&gt;=10000101,$A167&lt;=99991231),INT($A167/10000),""),IFERROR(VALUE(TRIM(LEFT($A167,FIND("/",$A167)-1))),"")))</f>
        <v/>
      </c>
      <c r="C167">
        <f>IF(OR($A167="",$B167=""),"",IF(ISNUMBER($A167),INT(MOD($A167,10000)/100),IFERROR(VALUE(TRIM(LEFT(MID($A167,FIND("/",$A167)+1,20),FIND("/",MID($A167,FIND("/",$A167)+1,20))-1))),"")))</f>
        <v/>
      </c>
      <c r="D167">
        <f>IF(OR($A167="",$B167=""),"",IF(ISNUMBER($A167),MOD($A167,100),IFERROR(VALUE(TRIM(MID(MID($A167,FIND("/",$A167)+1,20),FIND("/",MID($A167,FIND("/",$A167)+1,20))+1,20))),"")))</f>
        <v/>
      </c>
      <c r="E167">
        <f>IF($A167="","",IF(OR($B167="",$C167="",$D167="",$B167&lt;1300,$B167&gt;1500,$C167&lt;1,$C167&gt;12,$D167&lt;1,$D167&gt;31),"نامعتبر",RIGHT("0000"&amp;$B167,4)&amp;"/"&amp;RIGHT("00"&amp;$C167,2)&amp;"/"&amp;RIGHT("00"&amp;$D167,2)))</f>
        <v/>
      </c>
      <c r="F167">
        <f>IF(OR($E167="",$E167="نامعتبر"),"",LEFT($E167,4)&amp;"/"&amp;MID($E167,6,2))</f>
        <v/>
      </c>
      <c r="G167">
        <f>IF(OR($E167="",$E167="نامعتبر",Sync!$X163=""),"",IF(AND(LEFT(UPPER(TRIM(Sync!$X163)),2)="SL",IFERROR(VLOOKUP(Sync!$W163,OpTbl,3,0),"")="فروش"),UPPER(TRIM(Sync!$X163)),""))</f>
        <v/>
      </c>
      <c r="H167">
        <f>IF($G167="","",IF(Sync!$W163="","",Sync!$W163))</f>
        <v/>
      </c>
      <c r="I167">
        <f>IF(OR($G167="",Sync!$Y163=""),"",Sync!$Y163)</f>
        <v/>
      </c>
      <c r="J167">
        <f>IF(OR($G167="",Sync!$Z163=""),"",Sync!$Z163)</f>
        <v/>
      </c>
      <c r="K167">
        <f>IF($G167="",0,IF(Sync!$AA163="",0,Sync!$AA163))</f>
        <v/>
      </c>
      <c r="L167">
        <f>IF($G167="",0,IF(Sync!$AB163="",0,Sync!$AB163))</f>
        <v/>
      </c>
      <c r="M167">
        <f>IF($G167="","",IF($H167="مرجوعی فروش",-1,1)*($K167-$L167*IFERROR(VLOOKUP("P01",ParamTbl,3,0),1.5)))</f>
        <v/>
      </c>
      <c r="N167">
        <f>IF($G167="",0,IF($H167="مرجوعی فروش",-1,1)*IF(Sync!$AC163="",0,Sync!$AC163))</f>
        <v/>
      </c>
      <c r="O167">
        <f>IF(OR($G167="",Sync!$V163=""),"",Sync!$V163)</f>
        <v/>
      </c>
      <c r="P167">
        <f>IF(OR($G167="",Sync!$AD163=""),"",Sync!$AD163)</f>
        <v/>
      </c>
      <c r="Q167">
        <f>IF($G167="","",IF(Sync!$U163="","0000",IF(AND(ISNUMBER(Sync!$U163),Sync!$U163&gt;=0,Sync!$U163&lt;1),RIGHT("00"&amp;HOUR(Sync!$U163),2)&amp;RIGHT("00"&amp;MINUTE(Sync!$U163),2),IFERROR(RIGHT("00"&amp;VALUE(LEFT(Sync!$U163,FIND(":",Sync!$U163)-1)),2)&amp;RIGHT("00"&amp;VALUE(MID(Sync!$U163,FIND(":",Sync!$U163)+1,2)),2),"0000"))))</f>
        <v/>
      </c>
    </row>
    <row r="168">
      <c r="A168">
        <f>IF(Sync!$T164="","",Sync!$T164)</f>
        <v/>
      </c>
      <c r="B168">
        <f>IF($A168="","",IF(ISNUMBER($A168),IF(AND($A168&gt;=10000101,$A168&lt;=99991231),INT($A168/10000),""),IFERROR(VALUE(TRIM(LEFT($A168,FIND("/",$A168)-1))),"")))</f>
        <v/>
      </c>
      <c r="C168">
        <f>IF(OR($A168="",$B168=""),"",IF(ISNUMBER($A168),INT(MOD($A168,10000)/100),IFERROR(VALUE(TRIM(LEFT(MID($A168,FIND("/",$A168)+1,20),FIND("/",MID($A168,FIND("/",$A168)+1,20))-1))),"")))</f>
        <v/>
      </c>
      <c r="D168">
        <f>IF(OR($A168="",$B168=""),"",IF(ISNUMBER($A168),MOD($A168,100),IFERROR(VALUE(TRIM(MID(MID($A168,FIND("/",$A168)+1,20),FIND("/",MID($A168,FIND("/",$A168)+1,20))+1,20))),"")))</f>
        <v/>
      </c>
      <c r="E168">
        <f>IF($A168="","",IF(OR($B168="",$C168="",$D168="",$B168&lt;1300,$B168&gt;1500,$C168&lt;1,$C168&gt;12,$D168&lt;1,$D168&gt;31),"نامعتبر",RIGHT("0000"&amp;$B168,4)&amp;"/"&amp;RIGHT("00"&amp;$C168,2)&amp;"/"&amp;RIGHT("00"&amp;$D168,2)))</f>
        <v/>
      </c>
      <c r="F168">
        <f>IF(OR($E168="",$E168="نامعتبر"),"",LEFT($E168,4)&amp;"/"&amp;MID($E168,6,2))</f>
        <v/>
      </c>
      <c r="G168">
        <f>IF(OR($E168="",$E168="نامعتبر",Sync!$X164=""),"",IF(AND(LEFT(UPPER(TRIM(Sync!$X164)),2)="SL",IFERROR(VLOOKUP(Sync!$W164,OpTbl,3,0),"")="فروش"),UPPER(TRIM(Sync!$X164)),""))</f>
        <v/>
      </c>
      <c r="H168">
        <f>IF($G168="","",IF(Sync!$W164="","",Sync!$W164))</f>
        <v/>
      </c>
      <c r="I168">
        <f>IF(OR($G168="",Sync!$Y164=""),"",Sync!$Y164)</f>
        <v/>
      </c>
      <c r="J168">
        <f>IF(OR($G168="",Sync!$Z164=""),"",Sync!$Z164)</f>
        <v/>
      </c>
      <c r="K168">
        <f>IF($G168="",0,IF(Sync!$AA164="",0,Sync!$AA164))</f>
        <v/>
      </c>
      <c r="L168">
        <f>IF($G168="",0,IF(Sync!$AB164="",0,Sync!$AB164))</f>
        <v/>
      </c>
      <c r="M168">
        <f>IF($G168="","",IF($H168="مرجوعی فروش",-1,1)*($K168-$L168*IFERROR(VLOOKUP("P01",ParamTbl,3,0),1.5)))</f>
        <v/>
      </c>
      <c r="N168">
        <f>IF($G168="",0,IF($H168="مرجوعی فروش",-1,1)*IF(Sync!$AC164="",0,Sync!$AC164))</f>
        <v/>
      </c>
      <c r="O168">
        <f>IF(OR($G168="",Sync!$V164=""),"",Sync!$V164)</f>
        <v/>
      </c>
      <c r="P168">
        <f>IF(OR($G168="",Sync!$AD164=""),"",Sync!$AD164)</f>
        <v/>
      </c>
      <c r="Q168">
        <f>IF($G168="","",IF(Sync!$U164="","0000",IF(AND(ISNUMBER(Sync!$U164),Sync!$U164&gt;=0,Sync!$U164&lt;1),RIGHT("00"&amp;HOUR(Sync!$U164),2)&amp;RIGHT("00"&amp;MINUTE(Sync!$U164),2),IFERROR(RIGHT("00"&amp;VALUE(LEFT(Sync!$U164,FIND(":",Sync!$U164)-1)),2)&amp;RIGHT("00"&amp;VALUE(MID(Sync!$U164,FIND(":",Sync!$U164)+1,2)),2),"0000"))))</f>
        <v/>
      </c>
    </row>
    <row r="169">
      <c r="A169">
        <f>IF(Sync!$T165="","",Sync!$T165)</f>
        <v/>
      </c>
      <c r="B169">
        <f>IF($A169="","",IF(ISNUMBER($A169),IF(AND($A169&gt;=10000101,$A169&lt;=99991231),INT($A169/10000),""),IFERROR(VALUE(TRIM(LEFT($A169,FIND("/",$A169)-1))),"")))</f>
        <v/>
      </c>
      <c r="C169">
        <f>IF(OR($A169="",$B169=""),"",IF(ISNUMBER($A169),INT(MOD($A169,10000)/100),IFERROR(VALUE(TRIM(LEFT(MID($A169,FIND("/",$A169)+1,20),FIND("/",MID($A169,FIND("/",$A169)+1,20))-1))),"")))</f>
        <v/>
      </c>
      <c r="D169">
        <f>IF(OR($A169="",$B169=""),"",IF(ISNUMBER($A169),MOD($A169,100),IFERROR(VALUE(TRIM(MID(MID($A169,FIND("/",$A169)+1,20),FIND("/",MID($A169,FIND("/",$A169)+1,20))+1,20))),"")))</f>
        <v/>
      </c>
      <c r="E169">
        <f>IF($A169="","",IF(OR($B169="",$C169="",$D169="",$B169&lt;1300,$B169&gt;1500,$C169&lt;1,$C169&gt;12,$D169&lt;1,$D169&gt;31),"نامعتبر",RIGHT("0000"&amp;$B169,4)&amp;"/"&amp;RIGHT("00"&amp;$C169,2)&amp;"/"&amp;RIGHT("00"&amp;$D169,2)))</f>
        <v/>
      </c>
      <c r="F169">
        <f>IF(OR($E169="",$E169="نامعتبر"),"",LEFT($E169,4)&amp;"/"&amp;MID($E169,6,2))</f>
        <v/>
      </c>
      <c r="G169">
        <f>IF(OR($E169="",$E169="نامعتبر",Sync!$X165=""),"",IF(AND(LEFT(UPPER(TRIM(Sync!$X165)),2)="SL",IFERROR(VLOOKUP(Sync!$W165,OpTbl,3,0),"")="فروش"),UPPER(TRIM(Sync!$X165)),""))</f>
        <v/>
      </c>
      <c r="H169">
        <f>IF($G169="","",IF(Sync!$W165="","",Sync!$W165))</f>
        <v/>
      </c>
      <c r="I169">
        <f>IF(OR($G169="",Sync!$Y165=""),"",Sync!$Y165)</f>
        <v/>
      </c>
      <c r="J169">
        <f>IF(OR($G169="",Sync!$Z165=""),"",Sync!$Z165)</f>
        <v/>
      </c>
      <c r="K169">
        <f>IF($G169="",0,IF(Sync!$AA165="",0,Sync!$AA165))</f>
        <v/>
      </c>
      <c r="L169">
        <f>IF($G169="",0,IF(Sync!$AB165="",0,Sync!$AB165))</f>
        <v/>
      </c>
      <c r="M169">
        <f>IF($G169="","",IF($H169="مرجوعی فروش",-1,1)*($K169-$L169*IFERROR(VLOOKUP("P01",ParamTbl,3,0),1.5)))</f>
        <v/>
      </c>
      <c r="N169">
        <f>IF($G169="",0,IF($H169="مرجوعی فروش",-1,1)*IF(Sync!$AC165="",0,Sync!$AC165))</f>
        <v/>
      </c>
      <c r="O169">
        <f>IF(OR($G169="",Sync!$V165=""),"",Sync!$V165)</f>
        <v/>
      </c>
      <c r="P169">
        <f>IF(OR($G169="",Sync!$AD165=""),"",Sync!$AD165)</f>
        <v/>
      </c>
      <c r="Q169">
        <f>IF($G169="","",IF(Sync!$U165="","0000",IF(AND(ISNUMBER(Sync!$U165),Sync!$U165&gt;=0,Sync!$U165&lt;1),RIGHT("00"&amp;HOUR(Sync!$U165),2)&amp;RIGHT("00"&amp;MINUTE(Sync!$U165),2),IFERROR(RIGHT("00"&amp;VALUE(LEFT(Sync!$U165,FIND(":",Sync!$U165)-1)),2)&amp;RIGHT("00"&amp;VALUE(MID(Sync!$U165,FIND(":",Sync!$U165)+1,2)),2),"0000"))))</f>
        <v/>
      </c>
    </row>
    <row r="170">
      <c r="A170">
        <f>IF(Sync!$T166="","",Sync!$T166)</f>
        <v/>
      </c>
      <c r="B170">
        <f>IF($A170="","",IF(ISNUMBER($A170),IF(AND($A170&gt;=10000101,$A170&lt;=99991231),INT($A170/10000),""),IFERROR(VALUE(TRIM(LEFT($A170,FIND("/",$A170)-1))),"")))</f>
        <v/>
      </c>
      <c r="C170">
        <f>IF(OR($A170="",$B170=""),"",IF(ISNUMBER($A170),INT(MOD($A170,10000)/100),IFERROR(VALUE(TRIM(LEFT(MID($A170,FIND("/",$A170)+1,20),FIND("/",MID($A170,FIND("/",$A170)+1,20))-1))),"")))</f>
        <v/>
      </c>
      <c r="D170">
        <f>IF(OR($A170="",$B170=""),"",IF(ISNUMBER($A170),MOD($A170,100),IFERROR(VALUE(TRIM(MID(MID($A170,FIND("/",$A170)+1,20),FIND("/",MID($A170,FIND("/",$A170)+1,20))+1,20))),"")))</f>
        <v/>
      </c>
      <c r="E170">
        <f>IF($A170="","",IF(OR($B170="",$C170="",$D170="",$B170&lt;1300,$B170&gt;1500,$C170&lt;1,$C170&gt;12,$D170&lt;1,$D170&gt;31),"نامعتبر",RIGHT("0000"&amp;$B170,4)&amp;"/"&amp;RIGHT("00"&amp;$C170,2)&amp;"/"&amp;RIGHT("00"&amp;$D170,2)))</f>
        <v/>
      </c>
      <c r="F170">
        <f>IF(OR($E170="",$E170="نامعتبر"),"",LEFT($E170,4)&amp;"/"&amp;MID($E170,6,2))</f>
        <v/>
      </c>
      <c r="G170">
        <f>IF(OR($E170="",$E170="نامعتبر",Sync!$X166=""),"",IF(AND(LEFT(UPPER(TRIM(Sync!$X166)),2)="SL",IFERROR(VLOOKUP(Sync!$W166,OpTbl,3,0),"")="فروش"),UPPER(TRIM(Sync!$X166)),""))</f>
        <v/>
      </c>
      <c r="H170">
        <f>IF($G170="","",IF(Sync!$W166="","",Sync!$W166))</f>
        <v/>
      </c>
      <c r="I170">
        <f>IF(OR($G170="",Sync!$Y166=""),"",Sync!$Y166)</f>
        <v/>
      </c>
      <c r="J170">
        <f>IF(OR($G170="",Sync!$Z166=""),"",Sync!$Z166)</f>
        <v/>
      </c>
      <c r="K170">
        <f>IF($G170="",0,IF(Sync!$AA166="",0,Sync!$AA166))</f>
        <v/>
      </c>
      <c r="L170">
        <f>IF($G170="",0,IF(Sync!$AB166="",0,Sync!$AB166))</f>
        <v/>
      </c>
      <c r="M170">
        <f>IF($G170="","",IF($H170="مرجوعی فروش",-1,1)*($K170-$L170*IFERROR(VLOOKUP("P01",ParamTbl,3,0),1.5)))</f>
        <v/>
      </c>
      <c r="N170">
        <f>IF($G170="",0,IF($H170="مرجوعی فروش",-1,1)*IF(Sync!$AC166="",0,Sync!$AC166))</f>
        <v/>
      </c>
      <c r="O170">
        <f>IF(OR($G170="",Sync!$V166=""),"",Sync!$V166)</f>
        <v/>
      </c>
      <c r="P170">
        <f>IF(OR($G170="",Sync!$AD166=""),"",Sync!$AD166)</f>
        <v/>
      </c>
      <c r="Q170">
        <f>IF($G170="","",IF(Sync!$U166="","0000",IF(AND(ISNUMBER(Sync!$U166),Sync!$U166&gt;=0,Sync!$U166&lt;1),RIGHT("00"&amp;HOUR(Sync!$U166),2)&amp;RIGHT("00"&amp;MINUTE(Sync!$U166),2),IFERROR(RIGHT("00"&amp;VALUE(LEFT(Sync!$U166,FIND(":",Sync!$U166)-1)),2)&amp;RIGHT("00"&amp;VALUE(MID(Sync!$U166,FIND(":",Sync!$U166)+1,2)),2),"0000"))))</f>
        <v/>
      </c>
    </row>
    <row r="171">
      <c r="A171">
        <f>IF(Sync!$T167="","",Sync!$T167)</f>
        <v/>
      </c>
      <c r="B171">
        <f>IF($A171="","",IF(ISNUMBER($A171),IF(AND($A171&gt;=10000101,$A171&lt;=99991231),INT($A171/10000),""),IFERROR(VALUE(TRIM(LEFT($A171,FIND("/",$A171)-1))),"")))</f>
        <v/>
      </c>
      <c r="C171">
        <f>IF(OR($A171="",$B171=""),"",IF(ISNUMBER($A171),INT(MOD($A171,10000)/100),IFERROR(VALUE(TRIM(LEFT(MID($A171,FIND("/",$A171)+1,20),FIND("/",MID($A171,FIND("/",$A171)+1,20))-1))),"")))</f>
        <v/>
      </c>
      <c r="D171">
        <f>IF(OR($A171="",$B171=""),"",IF(ISNUMBER($A171),MOD($A171,100),IFERROR(VALUE(TRIM(MID(MID($A171,FIND("/",$A171)+1,20),FIND("/",MID($A171,FIND("/",$A171)+1,20))+1,20))),"")))</f>
        <v/>
      </c>
      <c r="E171">
        <f>IF($A171="","",IF(OR($B171="",$C171="",$D171="",$B171&lt;1300,$B171&gt;1500,$C171&lt;1,$C171&gt;12,$D171&lt;1,$D171&gt;31),"نامعتبر",RIGHT("0000"&amp;$B171,4)&amp;"/"&amp;RIGHT("00"&amp;$C171,2)&amp;"/"&amp;RIGHT("00"&amp;$D171,2)))</f>
        <v/>
      </c>
      <c r="F171">
        <f>IF(OR($E171="",$E171="نامعتبر"),"",LEFT($E171,4)&amp;"/"&amp;MID($E171,6,2))</f>
        <v/>
      </c>
      <c r="G171">
        <f>IF(OR($E171="",$E171="نامعتبر",Sync!$X167=""),"",IF(AND(LEFT(UPPER(TRIM(Sync!$X167)),2)="SL",IFERROR(VLOOKUP(Sync!$W167,OpTbl,3,0),"")="فروش"),UPPER(TRIM(Sync!$X167)),""))</f>
        <v/>
      </c>
      <c r="H171">
        <f>IF($G171="","",IF(Sync!$W167="","",Sync!$W167))</f>
        <v/>
      </c>
      <c r="I171">
        <f>IF(OR($G171="",Sync!$Y167=""),"",Sync!$Y167)</f>
        <v/>
      </c>
      <c r="J171">
        <f>IF(OR($G171="",Sync!$Z167=""),"",Sync!$Z167)</f>
        <v/>
      </c>
      <c r="K171">
        <f>IF($G171="",0,IF(Sync!$AA167="",0,Sync!$AA167))</f>
        <v/>
      </c>
      <c r="L171">
        <f>IF($G171="",0,IF(Sync!$AB167="",0,Sync!$AB167))</f>
        <v/>
      </c>
      <c r="M171">
        <f>IF($G171="","",IF($H171="مرجوعی فروش",-1,1)*($K171-$L171*IFERROR(VLOOKUP("P01",ParamTbl,3,0),1.5)))</f>
        <v/>
      </c>
      <c r="N171">
        <f>IF($G171="",0,IF($H171="مرجوعی فروش",-1,1)*IF(Sync!$AC167="",0,Sync!$AC167))</f>
        <v/>
      </c>
      <c r="O171">
        <f>IF(OR($G171="",Sync!$V167=""),"",Sync!$V167)</f>
        <v/>
      </c>
      <c r="P171">
        <f>IF(OR($G171="",Sync!$AD167=""),"",Sync!$AD167)</f>
        <v/>
      </c>
      <c r="Q171">
        <f>IF($G171="","",IF(Sync!$U167="","0000",IF(AND(ISNUMBER(Sync!$U167),Sync!$U167&gt;=0,Sync!$U167&lt;1),RIGHT("00"&amp;HOUR(Sync!$U167),2)&amp;RIGHT("00"&amp;MINUTE(Sync!$U167),2),IFERROR(RIGHT("00"&amp;VALUE(LEFT(Sync!$U167,FIND(":",Sync!$U167)-1)),2)&amp;RIGHT("00"&amp;VALUE(MID(Sync!$U167,FIND(":",Sync!$U167)+1,2)),2),"0000"))))</f>
        <v/>
      </c>
    </row>
    <row r="172">
      <c r="A172">
        <f>IF(Sync!$T168="","",Sync!$T168)</f>
        <v/>
      </c>
      <c r="B172">
        <f>IF($A172="","",IF(ISNUMBER($A172),IF(AND($A172&gt;=10000101,$A172&lt;=99991231),INT($A172/10000),""),IFERROR(VALUE(TRIM(LEFT($A172,FIND("/",$A172)-1))),"")))</f>
        <v/>
      </c>
      <c r="C172">
        <f>IF(OR($A172="",$B172=""),"",IF(ISNUMBER($A172),INT(MOD($A172,10000)/100),IFERROR(VALUE(TRIM(LEFT(MID($A172,FIND("/",$A172)+1,20),FIND("/",MID($A172,FIND("/",$A172)+1,20))-1))),"")))</f>
        <v/>
      </c>
      <c r="D172">
        <f>IF(OR($A172="",$B172=""),"",IF(ISNUMBER($A172),MOD($A172,100),IFERROR(VALUE(TRIM(MID(MID($A172,FIND("/",$A172)+1,20),FIND("/",MID($A172,FIND("/",$A172)+1,20))+1,20))),"")))</f>
        <v/>
      </c>
      <c r="E172">
        <f>IF($A172="","",IF(OR($B172="",$C172="",$D172="",$B172&lt;1300,$B172&gt;1500,$C172&lt;1,$C172&gt;12,$D172&lt;1,$D172&gt;31),"نامعتبر",RIGHT("0000"&amp;$B172,4)&amp;"/"&amp;RIGHT("00"&amp;$C172,2)&amp;"/"&amp;RIGHT("00"&amp;$D172,2)))</f>
        <v/>
      </c>
      <c r="F172">
        <f>IF(OR($E172="",$E172="نامعتبر"),"",LEFT($E172,4)&amp;"/"&amp;MID($E172,6,2))</f>
        <v/>
      </c>
      <c r="G172">
        <f>IF(OR($E172="",$E172="نامعتبر",Sync!$X168=""),"",IF(AND(LEFT(UPPER(TRIM(Sync!$X168)),2)="SL",IFERROR(VLOOKUP(Sync!$W168,OpTbl,3,0),"")="فروش"),UPPER(TRIM(Sync!$X168)),""))</f>
        <v/>
      </c>
      <c r="H172">
        <f>IF($G172="","",IF(Sync!$W168="","",Sync!$W168))</f>
        <v/>
      </c>
      <c r="I172">
        <f>IF(OR($G172="",Sync!$Y168=""),"",Sync!$Y168)</f>
        <v/>
      </c>
      <c r="J172">
        <f>IF(OR($G172="",Sync!$Z168=""),"",Sync!$Z168)</f>
        <v/>
      </c>
      <c r="K172">
        <f>IF($G172="",0,IF(Sync!$AA168="",0,Sync!$AA168))</f>
        <v/>
      </c>
      <c r="L172">
        <f>IF($G172="",0,IF(Sync!$AB168="",0,Sync!$AB168))</f>
        <v/>
      </c>
      <c r="M172">
        <f>IF($G172="","",IF($H172="مرجوعی فروش",-1,1)*($K172-$L172*IFERROR(VLOOKUP("P01",ParamTbl,3,0),1.5)))</f>
        <v/>
      </c>
      <c r="N172">
        <f>IF($G172="",0,IF($H172="مرجوعی فروش",-1,1)*IF(Sync!$AC168="",0,Sync!$AC168))</f>
        <v/>
      </c>
      <c r="O172">
        <f>IF(OR($G172="",Sync!$V168=""),"",Sync!$V168)</f>
        <v/>
      </c>
      <c r="P172">
        <f>IF(OR($G172="",Sync!$AD168=""),"",Sync!$AD168)</f>
        <v/>
      </c>
      <c r="Q172">
        <f>IF($G172="","",IF(Sync!$U168="","0000",IF(AND(ISNUMBER(Sync!$U168),Sync!$U168&gt;=0,Sync!$U168&lt;1),RIGHT("00"&amp;HOUR(Sync!$U168),2)&amp;RIGHT("00"&amp;MINUTE(Sync!$U168),2),IFERROR(RIGHT("00"&amp;VALUE(LEFT(Sync!$U168,FIND(":",Sync!$U168)-1)),2)&amp;RIGHT("00"&amp;VALUE(MID(Sync!$U168,FIND(":",Sync!$U168)+1,2)),2),"0000"))))</f>
        <v/>
      </c>
    </row>
    <row r="173">
      <c r="A173">
        <f>IF(Sync!$T169="","",Sync!$T169)</f>
        <v/>
      </c>
      <c r="B173">
        <f>IF($A173="","",IF(ISNUMBER($A173),IF(AND($A173&gt;=10000101,$A173&lt;=99991231),INT($A173/10000),""),IFERROR(VALUE(TRIM(LEFT($A173,FIND("/",$A173)-1))),"")))</f>
        <v/>
      </c>
      <c r="C173">
        <f>IF(OR($A173="",$B173=""),"",IF(ISNUMBER($A173),INT(MOD($A173,10000)/100),IFERROR(VALUE(TRIM(LEFT(MID($A173,FIND("/",$A173)+1,20),FIND("/",MID($A173,FIND("/",$A173)+1,20))-1))),"")))</f>
        <v/>
      </c>
      <c r="D173">
        <f>IF(OR($A173="",$B173=""),"",IF(ISNUMBER($A173),MOD($A173,100),IFERROR(VALUE(TRIM(MID(MID($A173,FIND("/",$A173)+1,20),FIND("/",MID($A173,FIND("/",$A173)+1,20))+1,20))),"")))</f>
        <v/>
      </c>
      <c r="E173">
        <f>IF($A173="","",IF(OR($B173="",$C173="",$D173="",$B173&lt;1300,$B173&gt;1500,$C173&lt;1,$C173&gt;12,$D173&lt;1,$D173&gt;31),"نامعتبر",RIGHT("0000"&amp;$B173,4)&amp;"/"&amp;RIGHT("00"&amp;$C173,2)&amp;"/"&amp;RIGHT("00"&amp;$D173,2)))</f>
        <v/>
      </c>
      <c r="F173">
        <f>IF(OR($E173="",$E173="نامعتبر"),"",LEFT($E173,4)&amp;"/"&amp;MID($E173,6,2))</f>
        <v/>
      </c>
      <c r="G173">
        <f>IF(OR($E173="",$E173="نامعتبر",Sync!$X169=""),"",IF(AND(LEFT(UPPER(TRIM(Sync!$X169)),2)="SL",IFERROR(VLOOKUP(Sync!$W169,OpTbl,3,0),"")="فروش"),UPPER(TRIM(Sync!$X169)),""))</f>
        <v/>
      </c>
      <c r="H173">
        <f>IF($G173="","",IF(Sync!$W169="","",Sync!$W169))</f>
        <v/>
      </c>
      <c r="I173">
        <f>IF(OR($G173="",Sync!$Y169=""),"",Sync!$Y169)</f>
        <v/>
      </c>
      <c r="J173">
        <f>IF(OR($G173="",Sync!$Z169=""),"",Sync!$Z169)</f>
        <v/>
      </c>
      <c r="K173">
        <f>IF($G173="",0,IF(Sync!$AA169="",0,Sync!$AA169))</f>
        <v/>
      </c>
      <c r="L173">
        <f>IF($G173="",0,IF(Sync!$AB169="",0,Sync!$AB169))</f>
        <v/>
      </c>
      <c r="M173">
        <f>IF($G173="","",IF($H173="مرجوعی فروش",-1,1)*($K173-$L173*IFERROR(VLOOKUP("P01",ParamTbl,3,0),1.5)))</f>
        <v/>
      </c>
      <c r="N173">
        <f>IF($G173="",0,IF($H173="مرجوعی فروش",-1,1)*IF(Sync!$AC169="",0,Sync!$AC169))</f>
        <v/>
      </c>
      <c r="O173">
        <f>IF(OR($G173="",Sync!$V169=""),"",Sync!$V169)</f>
        <v/>
      </c>
      <c r="P173">
        <f>IF(OR($G173="",Sync!$AD169=""),"",Sync!$AD169)</f>
        <v/>
      </c>
      <c r="Q173">
        <f>IF($G173="","",IF(Sync!$U169="","0000",IF(AND(ISNUMBER(Sync!$U169),Sync!$U169&gt;=0,Sync!$U169&lt;1),RIGHT("00"&amp;HOUR(Sync!$U169),2)&amp;RIGHT("00"&amp;MINUTE(Sync!$U169),2),IFERROR(RIGHT("00"&amp;VALUE(LEFT(Sync!$U169,FIND(":",Sync!$U169)-1)),2)&amp;RIGHT("00"&amp;VALUE(MID(Sync!$U169,FIND(":",Sync!$U169)+1,2)),2),"0000"))))</f>
        <v/>
      </c>
    </row>
    <row r="174">
      <c r="A174">
        <f>IF(Sync!$T170="","",Sync!$T170)</f>
        <v/>
      </c>
      <c r="B174">
        <f>IF($A174="","",IF(ISNUMBER($A174),IF(AND($A174&gt;=10000101,$A174&lt;=99991231),INT($A174/10000),""),IFERROR(VALUE(TRIM(LEFT($A174,FIND("/",$A174)-1))),"")))</f>
        <v/>
      </c>
      <c r="C174">
        <f>IF(OR($A174="",$B174=""),"",IF(ISNUMBER($A174),INT(MOD($A174,10000)/100),IFERROR(VALUE(TRIM(LEFT(MID($A174,FIND("/",$A174)+1,20),FIND("/",MID($A174,FIND("/",$A174)+1,20))-1))),"")))</f>
        <v/>
      </c>
      <c r="D174">
        <f>IF(OR($A174="",$B174=""),"",IF(ISNUMBER($A174),MOD($A174,100),IFERROR(VALUE(TRIM(MID(MID($A174,FIND("/",$A174)+1,20),FIND("/",MID($A174,FIND("/",$A174)+1,20))+1,20))),"")))</f>
        <v/>
      </c>
      <c r="E174">
        <f>IF($A174="","",IF(OR($B174="",$C174="",$D174="",$B174&lt;1300,$B174&gt;1500,$C174&lt;1,$C174&gt;12,$D174&lt;1,$D174&gt;31),"نامعتبر",RIGHT("0000"&amp;$B174,4)&amp;"/"&amp;RIGHT("00"&amp;$C174,2)&amp;"/"&amp;RIGHT("00"&amp;$D174,2)))</f>
        <v/>
      </c>
      <c r="F174">
        <f>IF(OR($E174="",$E174="نامعتبر"),"",LEFT($E174,4)&amp;"/"&amp;MID($E174,6,2))</f>
        <v/>
      </c>
      <c r="G174">
        <f>IF(OR($E174="",$E174="نامعتبر",Sync!$X170=""),"",IF(AND(LEFT(UPPER(TRIM(Sync!$X170)),2)="SL",IFERROR(VLOOKUP(Sync!$W170,OpTbl,3,0),"")="فروش"),UPPER(TRIM(Sync!$X170)),""))</f>
        <v/>
      </c>
      <c r="H174">
        <f>IF($G174="","",IF(Sync!$W170="","",Sync!$W170))</f>
        <v/>
      </c>
      <c r="I174">
        <f>IF(OR($G174="",Sync!$Y170=""),"",Sync!$Y170)</f>
        <v/>
      </c>
      <c r="J174">
        <f>IF(OR($G174="",Sync!$Z170=""),"",Sync!$Z170)</f>
        <v/>
      </c>
      <c r="K174">
        <f>IF($G174="",0,IF(Sync!$AA170="",0,Sync!$AA170))</f>
        <v/>
      </c>
      <c r="L174">
        <f>IF($G174="",0,IF(Sync!$AB170="",0,Sync!$AB170))</f>
        <v/>
      </c>
      <c r="M174">
        <f>IF($G174="","",IF($H174="مرجوعی فروش",-1,1)*($K174-$L174*IFERROR(VLOOKUP("P01",ParamTbl,3,0),1.5)))</f>
        <v/>
      </c>
      <c r="N174">
        <f>IF($G174="",0,IF($H174="مرجوعی فروش",-1,1)*IF(Sync!$AC170="",0,Sync!$AC170))</f>
        <v/>
      </c>
      <c r="O174">
        <f>IF(OR($G174="",Sync!$V170=""),"",Sync!$V170)</f>
        <v/>
      </c>
      <c r="P174">
        <f>IF(OR($G174="",Sync!$AD170=""),"",Sync!$AD170)</f>
        <v/>
      </c>
      <c r="Q174">
        <f>IF($G174="","",IF(Sync!$U170="","0000",IF(AND(ISNUMBER(Sync!$U170),Sync!$U170&gt;=0,Sync!$U170&lt;1),RIGHT("00"&amp;HOUR(Sync!$U170),2)&amp;RIGHT("00"&amp;MINUTE(Sync!$U170),2),IFERROR(RIGHT("00"&amp;VALUE(LEFT(Sync!$U170,FIND(":",Sync!$U170)-1)),2)&amp;RIGHT("00"&amp;VALUE(MID(Sync!$U170,FIND(":",Sync!$U170)+1,2)),2),"0000"))))</f>
        <v/>
      </c>
    </row>
    <row r="175">
      <c r="A175">
        <f>IF(Sync!$T171="","",Sync!$T171)</f>
        <v/>
      </c>
      <c r="B175">
        <f>IF($A175="","",IF(ISNUMBER($A175),IF(AND($A175&gt;=10000101,$A175&lt;=99991231),INT($A175/10000),""),IFERROR(VALUE(TRIM(LEFT($A175,FIND("/",$A175)-1))),"")))</f>
        <v/>
      </c>
      <c r="C175">
        <f>IF(OR($A175="",$B175=""),"",IF(ISNUMBER($A175),INT(MOD($A175,10000)/100),IFERROR(VALUE(TRIM(LEFT(MID($A175,FIND("/",$A175)+1,20),FIND("/",MID($A175,FIND("/",$A175)+1,20))-1))),"")))</f>
        <v/>
      </c>
      <c r="D175">
        <f>IF(OR($A175="",$B175=""),"",IF(ISNUMBER($A175),MOD($A175,100),IFERROR(VALUE(TRIM(MID(MID($A175,FIND("/",$A175)+1,20),FIND("/",MID($A175,FIND("/",$A175)+1,20))+1,20))),"")))</f>
        <v/>
      </c>
      <c r="E175">
        <f>IF($A175="","",IF(OR($B175="",$C175="",$D175="",$B175&lt;1300,$B175&gt;1500,$C175&lt;1,$C175&gt;12,$D175&lt;1,$D175&gt;31),"نامعتبر",RIGHT("0000"&amp;$B175,4)&amp;"/"&amp;RIGHT("00"&amp;$C175,2)&amp;"/"&amp;RIGHT("00"&amp;$D175,2)))</f>
        <v/>
      </c>
      <c r="F175">
        <f>IF(OR($E175="",$E175="نامعتبر"),"",LEFT($E175,4)&amp;"/"&amp;MID($E175,6,2))</f>
        <v/>
      </c>
      <c r="G175">
        <f>IF(OR($E175="",$E175="نامعتبر",Sync!$X171=""),"",IF(AND(LEFT(UPPER(TRIM(Sync!$X171)),2)="SL",IFERROR(VLOOKUP(Sync!$W171,OpTbl,3,0),"")="فروش"),UPPER(TRIM(Sync!$X171)),""))</f>
        <v/>
      </c>
      <c r="H175">
        <f>IF($G175="","",IF(Sync!$W171="","",Sync!$W171))</f>
        <v/>
      </c>
      <c r="I175">
        <f>IF(OR($G175="",Sync!$Y171=""),"",Sync!$Y171)</f>
        <v/>
      </c>
      <c r="J175">
        <f>IF(OR($G175="",Sync!$Z171=""),"",Sync!$Z171)</f>
        <v/>
      </c>
      <c r="K175">
        <f>IF($G175="",0,IF(Sync!$AA171="",0,Sync!$AA171))</f>
        <v/>
      </c>
      <c r="L175">
        <f>IF($G175="",0,IF(Sync!$AB171="",0,Sync!$AB171))</f>
        <v/>
      </c>
      <c r="M175">
        <f>IF($G175="","",IF($H175="مرجوعی فروش",-1,1)*($K175-$L175*IFERROR(VLOOKUP("P01",ParamTbl,3,0),1.5)))</f>
        <v/>
      </c>
      <c r="N175">
        <f>IF($G175="",0,IF($H175="مرجوعی فروش",-1,1)*IF(Sync!$AC171="",0,Sync!$AC171))</f>
        <v/>
      </c>
      <c r="O175">
        <f>IF(OR($G175="",Sync!$V171=""),"",Sync!$V171)</f>
        <v/>
      </c>
      <c r="P175">
        <f>IF(OR($G175="",Sync!$AD171=""),"",Sync!$AD171)</f>
        <v/>
      </c>
      <c r="Q175">
        <f>IF($G175="","",IF(Sync!$U171="","0000",IF(AND(ISNUMBER(Sync!$U171),Sync!$U171&gt;=0,Sync!$U171&lt;1),RIGHT("00"&amp;HOUR(Sync!$U171),2)&amp;RIGHT("00"&amp;MINUTE(Sync!$U171),2),IFERROR(RIGHT("00"&amp;VALUE(LEFT(Sync!$U171,FIND(":",Sync!$U171)-1)),2)&amp;RIGHT("00"&amp;VALUE(MID(Sync!$U171,FIND(":",Sync!$U171)+1,2)),2),"0000"))))</f>
        <v/>
      </c>
    </row>
    <row r="176">
      <c r="A176">
        <f>IF(Sync!$T172="","",Sync!$T172)</f>
        <v/>
      </c>
      <c r="B176">
        <f>IF($A176="","",IF(ISNUMBER($A176),IF(AND($A176&gt;=10000101,$A176&lt;=99991231),INT($A176/10000),""),IFERROR(VALUE(TRIM(LEFT($A176,FIND("/",$A176)-1))),"")))</f>
        <v/>
      </c>
      <c r="C176">
        <f>IF(OR($A176="",$B176=""),"",IF(ISNUMBER($A176),INT(MOD($A176,10000)/100),IFERROR(VALUE(TRIM(LEFT(MID($A176,FIND("/",$A176)+1,20),FIND("/",MID($A176,FIND("/",$A176)+1,20))-1))),"")))</f>
        <v/>
      </c>
      <c r="D176">
        <f>IF(OR($A176="",$B176=""),"",IF(ISNUMBER($A176),MOD($A176,100),IFERROR(VALUE(TRIM(MID(MID($A176,FIND("/",$A176)+1,20),FIND("/",MID($A176,FIND("/",$A176)+1,20))+1,20))),"")))</f>
        <v/>
      </c>
      <c r="E176">
        <f>IF($A176="","",IF(OR($B176="",$C176="",$D176="",$B176&lt;1300,$B176&gt;1500,$C176&lt;1,$C176&gt;12,$D176&lt;1,$D176&gt;31),"نامعتبر",RIGHT("0000"&amp;$B176,4)&amp;"/"&amp;RIGHT("00"&amp;$C176,2)&amp;"/"&amp;RIGHT("00"&amp;$D176,2)))</f>
        <v/>
      </c>
      <c r="F176">
        <f>IF(OR($E176="",$E176="نامعتبر"),"",LEFT($E176,4)&amp;"/"&amp;MID($E176,6,2))</f>
        <v/>
      </c>
      <c r="G176">
        <f>IF(OR($E176="",$E176="نامعتبر",Sync!$X172=""),"",IF(AND(LEFT(UPPER(TRIM(Sync!$X172)),2)="SL",IFERROR(VLOOKUP(Sync!$W172,OpTbl,3,0),"")="فروش"),UPPER(TRIM(Sync!$X172)),""))</f>
        <v/>
      </c>
      <c r="H176">
        <f>IF($G176="","",IF(Sync!$W172="","",Sync!$W172))</f>
        <v/>
      </c>
      <c r="I176">
        <f>IF(OR($G176="",Sync!$Y172=""),"",Sync!$Y172)</f>
        <v/>
      </c>
      <c r="J176">
        <f>IF(OR($G176="",Sync!$Z172=""),"",Sync!$Z172)</f>
        <v/>
      </c>
      <c r="K176">
        <f>IF($G176="",0,IF(Sync!$AA172="",0,Sync!$AA172))</f>
        <v/>
      </c>
      <c r="L176">
        <f>IF($G176="",0,IF(Sync!$AB172="",0,Sync!$AB172))</f>
        <v/>
      </c>
      <c r="M176">
        <f>IF($G176="","",IF($H176="مرجوعی فروش",-1,1)*($K176-$L176*IFERROR(VLOOKUP("P01",ParamTbl,3,0),1.5)))</f>
        <v/>
      </c>
      <c r="N176">
        <f>IF($G176="",0,IF($H176="مرجوعی فروش",-1,1)*IF(Sync!$AC172="",0,Sync!$AC172))</f>
        <v/>
      </c>
      <c r="O176">
        <f>IF(OR($G176="",Sync!$V172=""),"",Sync!$V172)</f>
        <v/>
      </c>
      <c r="P176">
        <f>IF(OR($G176="",Sync!$AD172=""),"",Sync!$AD172)</f>
        <v/>
      </c>
      <c r="Q176">
        <f>IF($G176="","",IF(Sync!$U172="","0000",IF(AND(ISNUMBER(Sync!$U172),Sync!$U172&gt;=0,Sync!$U172&lt;1),RIGHT("00"&amp;HOUR(Sync!$U172),2)&amp;RIGHT("00"&amp;MINUTE(Sync!$U172),2),IFERROR(RIGHT("00"&amp;VALUE(LEFT(Sync!$U172,FIND(":",Sync!$U172)-1)),2)&amp;RIGHT("00"&amp;VALUE(MID(Sync!$U172,FIND(":",Sync!$U172)+1,2)),2),"0000"))))</f>
        <v/>
      </c>
    </row>
    <row r="177">
      <c r="A177">
        <f>IF(Sync!$T173="","",Sync!$T173)</f>
        <v/>
      </c>
      <c r="B177">
        <f>IF($A177="","",IF(ISNUMBER($A177),IF(AND($A177&gt;=10000101,$A177&lt;=99991231),INT($A177/10000),""),IFERROR(VALUE(TRIM(LEFT($A177,FIND("/",$A177)-1))),"")))</f>
        <v/>
      </c>
      <c r="C177">
        <f>IF(OR($A177="",$B177=""),"",IF(ISNUMBER($A177),INT(MOD($A177,10000)/100),IFERROR(VALUE(TRIM(LEFT(MID($A177,FIND("/",$A177)+1,20),FIND("/",MID($A177,FIND("/",$A177)+1,20))-1))),"")))</f>
        <v/>
      </c>
      <c r="D177">
        <f>IF(OR($A177="",$B177=""),"",IF(ISNUMBER($A177),MOD($A177,100),IFERROR(VALUE(TRIM(MID(MID($A177,FIND("/",$A177)+1,20),FIND("/",MID($A177,FIND("/",$A177)+1,20))+1,20))),"")))</f>
        <v/>
      </c>
      <c r="E177">
        <f>IF($A177="","",IF(OR($B177="",$C177="",$D177="",$B177&lt;1300,$B177&gt;1500,$C177&lt;1,$C177&gt;12,$D177&lt;1,$D177&gt;31),"نامعتبر",RIGHT("0000"&amp;$B177,4)&amp;"/"&amp;RIGHT("00"&amp;$C177,2)&amp;"/"&amp;RIGHT("00"&amp;$D177,2)))</f>
        <v/>
      </c>
      <c r="F177">
        <f>IF(OR($E177="",$E177="نامعتبر"),"",LEFT($E177,4)&amp;"/"&amp;MID($E177,6,2))</f>
        <v/>
      </c>
      <c r="G177">
        <f>IF(OR($E177="",$E177="نامعتبر",Sync!$X173=""),"",IF(AND(LEFT(UPPER(TRIM(Sync!$X173)),2)="SL",IFERROR(VLOOKUP(Sync!$W173,OpTbl,3,0),"")="فروش"),UPPER(TRIM(Sync!$X173)),""))</f>
        <v/>
      </c>
      <c r="H177">
        <f>IF($G177="","",IF(Sync!$W173="","",Sync!$W173))</f>
        <v/>
      </c>
      <c r="I177">
        <f>IF(OR($G177="",Sync!$Y173=""),"",Sync!$Y173)</f>
        <v/>
      </c>
      <c r="J177">
        <f>IF(OR($G177="",Sync!$Z173=""),"",Sync!$Z173)</f>
        <v/>
      </c>
      <c r="K177">
        <f>IF($G177="",0,IF(Sync!$AA173="",0,Sync!$AA173))</f>
        <v/>
      </c>
      <c r="L177">
        <f>IF($G177="",0,IF(Sync!$AB173="",0,Sync!$AB173))</f>
        <v/>
      </c>
      <c r="M177">
        <f>IF($G177="","",IF($H177="مرجوعی فروش",-1,1)*($K177-$L177*IFERROR(VLOOKUP("P01",ParamTbl,3,0),1.5)))</f>
        <v/>
      </c>
      <c r="N177">
        <f>IF($G177="",0,IF($H177="مرجوعی فروش",-1,1)*IF(Sync!$AC173="",0,Sync!$AC173))</f>
        <v/>
      </c>
      <c r="O177">
        <f>IF(OR($G177="",Sync!$V173=""),"",Sync!$V173)</f>
        <v/>
      </c>
      <c r="P177">
        <f>IF(OR($G177="",Sync!$AD173=""),"",Sync!$AD173)</f>
        <v/>
      </c>
      <c r="Q177">
        <f>IF($G177="","",IF(Sync!$U173="","0000",IF(AND(ISNUMBER(Sync!$U173),Sync!$U173&gt;=0,Sync!$U173&lt;1),RIGHT("00"&amp;HOUR(Sync!$U173),2)&amp;RIGHT("00"&amp;MINUTE(Sync!$U173),2),IFERROR(RIGHT("00"&amp;VALUE(LEFT(Sync!$U173,FIND(":",Sync!$U173)-1)),2)&amp;RIGHT("00"&amp;VALUE(MID(Sync!$U173,FIND(":",Sync!$U173)+1,2)),2),"0000"))))</f>
        <v/>
      </c>
    </row>
    <row r="178">
      <c r="A178">
        <f>IF(Sync!$T174="","",Sync!$T174)</f>
        <v/>
      </c>
      <c r="B178">
        <f>IF($A178="","",IF(ISNUMBER($A178),IF(AND($A178&gt;=10000101,$A178&lt;=99991231),INT($A178/10000),""),IFERROR(VALUE(TRIM(LEFT($A178,FIND("/",$A178)-1))),"")))</f>
        <v/>
      </c>
      <c r="C178">
        <f>IF(OR($A178="",$B178=""),"",IF(ISNUMBER($A178),INT(MOD($A178,10000)/100),IFERROR(VALUE(TRIM(LEFT(MID($A178,FIND("/",$A178)+1,20),FIND("/",MID($A178,FIND("/",$A178)+1,20))-1))),"")))</f>
        <v/>
      </c>
      <c r="D178">
        <f>IF(OR($A178="",$B178=""),"",IF(ISNUMBER($A178),MOD($A178,100),IFERROR(VALUE(TRIM(MID(MID($A178,FIND("/",$A178)+1,20),FIND("/",MID($A178,FIND("/",$A178)+1,20))+1,20))),"")))</f>
        <v/>
      </c>
      <c r="E178">
        <f>IF($A178="","",IF(OR($B178="",$C178="",$D178="",$B178&lt;1300,$B178&gt;1500,$C178&lt;1,$C178&gt;12,$D178&lt;1,$D178&gt;31),"نامعتبر",RIGHT("0000"&amp;$B178,4)&amp;"/"&amp;RIGHT("00"&amp;$C178,2)&amp;"/"&amp;RIGHT("00"&amp;$D178,2)))</f>
        <v/>
      </c>
      <c r="F178">
        <f>IF(OR($E178="",$E178="نامعتبر"),"",LEFT($E178,4)&amp;"/"&amp;MID($E178,6,2))</f>
        <v/>
      </c>
      <c r="G178">
        <f>IF(OR($E178="",$E178="نامعتبر",Sync!$X174=""),"",IF(AND(LEFT(UPPER(TRIM(Sync!$X174)),2)="SL",IFERROR(VLOOKUP(Sync!$W174,OpTbl,3,0),"")="فروش"),UPPER(TRIM(Sync!$X174)),""))</f>
        <v/>
      </c>
      <c r="H178">
        <f>IF($G178="","",IF(Sync!$W174="","",Sync!$W174))</f>
        <v/>
      </c>
      <c r="I178">
        <f>IF(OR($G178="",Sync!$Y174=""),"",Sync!$Y174)</f>
        <v/>
      </c>
      <c r="J178">
        <f>IF(OR($G178="",Sync!$Z174=""),"",Sync!$Z174)</f>
        <v/>
      </c>
      <c r="K178">
        <f>IF($G178="",0,IF(Sync!$AA174="",0,Sync!$AA174))</f>
        <v/>
      </c>
      <c r="L178">
        <f>IF($G178="",0,IF(Sync!$AB174="",0,Sync!$AB174))</f>
        <v/>
      </c>
      <c r="M178">
        <f>IF($G178="","",IF($H178="مرجوعی فروش",-1,1)*($K178-$L178*IFERROR(VLOOKUP("P01",ParamTbl,3,0),1.5)))</f>
        <v/>
      </c>
      <c r="N178">
        <f>IF($G178="",0,IF($H178="مرجوعی فروش",-1,1)*IF(Sync!$AC174="",0,Sync!$AC174))</f>
        <v/>
      </c>
      <c r="O178">
        <f>IF(OR($G178="",Sync!$V174=""),"",Sync!$V174)</f>
        <v/>
      </c>
      <c r="P178">
        <f>IF(OR($G178="",Sync!$AD174=""),"",Sync!$AD174)</f>
        <v/>
      </c>
      <c r="Q178">
        <f>IF($G178="","",IF(Sync!$U174="","0000",IF(AND(ISNUMBER(Sync!$U174),Sync!$U174&gt;=0,Sync!$U174&lt;1),RIGHT("00"&amp;HOUR(Sync!$U174),2)&amp;RIGHT("00"&amp;MINUTE(Sync!$U174),2),IFERROR(RIGHT("00"&amp;VALUE(LEFT(Sync!$U174,FIND(":",Sync!$U174)-1)),2)&amp;RIGHT("00"&amp;VALUE(MID(Sync!$U174,FIND(":",Sync!$U174)+1,2)),2),"0000"))))</f>
        <v/>
      </c>
    </row>
    <row r="179">
      <c r="A179">
        <f>IF(Sync!$T175="","",Sync!$T175)</f>
        <v/>
      </c>
      <c r="B179">
        <f>IF($A179="","",IF(ISNUMBER($A179),IF(AND($A179&gt;=10000101,$A179&lt;=99991231),INT($A179/10000),""),IFERROR(VALUE(TRIM(LEFT($A179,FIND("/",$A179)-1))),"")))</f>
        <v/>
      </c>
      <c r="C179">
        <f>IF(OR($A179="",$B179=""),"",IF(ISNUMBER($A179),INT(MOD($A179,10000)/100),IFERROR(VALUE(TRIM(LEFT(MID($A179,FIND("/",$A179)+1,20),FIND("/",MID($A179,FIND("/",$A179)+1,20))-1))),"")))</f>
        <v/>
      </c>
      <c r="D179">
        <f>IF(OR($A179="",$B179=""),"",IF(ISNUMBER($A179),MOD($A179,100),IFERROR(VALUE(TRIM(MID(MID($A179,FIND("/",$A179)+1,20),FIND("/",MID($A179,FIND("/",$A179)+1,20))+1,20))),"")))</f>
        <v/>
      </c>
      <c r="E179">
        <f>IF($A179="","",IF(OR($B179="",$C179="",$D179="",$B179&lt;1300,$B179&gt;1500,$C179&lt;1,$C179&gt;12,$D179&lt;1,$D179&gt;31),"نامعتبر",RIGHT("0000"&amp;$B179,4)&amp;"/"&amp;RIGHT("00"&amp;$C179,2)&amp;"/"&amp;RIGHT("00"&amp;$D179,2)))</f>
        <v/>
      </c>
      <c r="F179">
        <f>IF(OR($E179="",$E179="نامعتبر"),"",LEFT($E179,4)&amp;"/"&amp;MID($E179,6,2))</f>
        <v/>
      </c>
      <c r="G179">
        <f>IF(OR($E179="",$E179="نامعتبر",Sync!$X175=""),"",IF(AND(LEFT(UPPER(TRIM(Sync!$X175)),2)="SL",IFERROR(VLOOKUP(Sync!$W175,OpTbl,3,0),"")="فروش"),UPPER(TRIM(Sync!$X175)),""))</f>
        <v/>
      </c>
      <c r="H179">
        <f>IF($G179="","",IF(Sync!$W175="","",Sync!$W175))</f>
        <v/>
      </c>
      <c r="I179">
        <f>IF(OR($G179="",Sync!$Y175=""),"",Sync!$Y175)</f>
        <v/>
      </c>
      <c r="J179">
        <f>IF(OR($G179="",Sync!$Z175=""),"",Sync!$Z175)</f>
        <v/>
      </c>
      <c r="K179">
        <f>IF($G179="",0,IF(Sync!$AA175="",0,Sync!$AA175))</f>
        <v/>
      </c>
      <c r="L179">
        <f>IF($G179="",0,IF(Sync!$AB175="",0,Sync!$AB175))</f>
        <v/>
      </c>
      <c r="M179">
        <f>IF($G179="","",IF($H179="مرجوعی فروش",-1,1)*($K179-$L179*IFERROR(VLOOKUP("P01",ParamTbl,3,0),1.5)))</f>
        <v/>
      </c>
      <c r="N179">
        <f>IF($G179="",0,IF($H179="مرجوعی فروش",-1,1)*IF(Sync!$AC175="",0,Sync!$AC175))</f>
        <v/>
      </c>
      <c r="O179">
        <f>IF(OR($G179="",Sync!$V175=""),"",Sync!$V175)</f>
        <v/>
      </c>
      <c r="P179">
        <f>IF(OR($G179="",Sync!$AD175=""),"",Sync!$AD175)</f>
        <v/>
      </c>
      <c r="Q179">
        <f>IF($G179="","",IF(Sync!$U175="","0000",IF(AND(ISNUMBER(Sync!$U175),Sync!$U175&gt;=0,Sync!$U175&lt;1),RIGHT("00"&amp;HOUR(Sync!$U175),2)&amp;RIGHT("00"&amp;MINUTE(Sync!$U175),2),IFERROR(RIGHT("00"&amp;VALUE(LEFT(Sync!$U175,FIND(":",Sync!$U175)-1)),2)&amp;RIGHT("00"&amp;VALUE(MID(Sync!$U175,FIND(":",Sync!$U175)+1,2)),2),"0000"))))</f>
        <v/>
      </c>
    </row>
    <row r="180">
      <c r="A180">
        <f>IF(Sync!$T176="","",Sync!$T176)</f>
        <v/>
      </c>
      <c r="B180">
        <f>IF($A180="","",IF(ISNUMBER($A180),IF(AND($A180&gt;=10000101,$A180&lt;=99991231),INT($A180/10000),""),IFERROR(VALUE(TRIM(LEFT($A180,FIND("/",$A180)-1))),"")))</f>
        <v/>
      </c>
      <c r="C180">
        <f>IF(OR($A180="",$B180=""),"",IF(ISNUMBER($A180),INT(MOD($A180,10000)/100),IFERROR(VALUE(TRIM(LEFT(MID($A180,FIND("/",$A180)+1,20),FIND("/",MID($A180,FIND("/",$A180)+1,20))-1))),"")))</f>
        <v/>
      </c>
      <c r="D180">
        <f>IF(OR($A180="",$B180=""),"",IF(ISNUMBER($A180),MOD($A180,100),IFERROR(VALUE(TRIM(MID(MID($A180,FIND("/",$A180)+1,20),FIND("/",MID($A180,FIND("/",$A180)+1,20))+1,20))),"")))</f>
        <v/>
      </c>
      <c r="E180">
        <f>IF($A180="","",IF(OR($B180="",$C180="",$D180="",$B180&lt;1300,$B180&gt;1500,$C180&lt;1,$C180&gt;12,$D180&lt;1,$D180&gt;31),"نامعتبر",RIGHT("0000"&amp;$B180,4)&amp;"/"&amp;RIGHT("00"&amp;$C180,2)&amp;"/"&amp;RIGHT("00"&amp;$D180,2)))</f>
        <v/>
      </c>
      <c r="F180">
        <f>IF(OR($E180="",$E180="نامعتبر"),"",LEFT($E180,4)&amp;"/"&amp;MID($E180,6,2))</f>
        <v/>
      </c>
      <c r="G180">
        <f>IF(OR($E180="",$E180="نامعتبر",Sync!$X176=""),"",IF(AND(LEFT(UPPER(TRIM(Sync!$X176)),2)="SL",IFERROR(VLOOKUP(Sync!$W176,OpTbl,3,0),"")="فروش"),UPPER(TRIM(Sync!$X176)),""))</f>
        <v/>
      </c>
      <c r="H180">
        <f>IF($G180="","",IF(Sync!$W176="","",Sync!$W176))</f>
        <v/>
      </c>
      <c r="I180">
        <f>IF(OR($G180="",Sync!$Y176=""),"",Sync!$Y176)</f>
        <v/>
      </c>
      <c r="J180">
        <f>IF(OR($G180="",Sync!$Z176=""),"",Sync!$Z176)</f>
        <v/>
      </c>
      <c r="K180">
        <f>IF($G180="",0,IF(Sync!$AA176="",0,Sync!$AA176))</f>
        <v/>
      </c>
      <c r="L180">
        <f>IF($G180="",0,IF(Sync!$AB176="",0,Sync!$AB176))</f>
        <v/>
      </c>
      <c r="M180">
        <f>IF($G180="","",IF($H180="مرجوعی فروش",-1,1)*($K180-$L180*IFERROR(VLOOKUP("P01",ParamTbl,3,0),1.5)))</f>
        <v/>
      </c>
      <c r="N180">
        <f>IF($G180="",0,IF($H180="مرجوعی فروش",-1,1)*IF(Sync!$AC176="",0,Sync!$AC176))</f>
        <v/>
      </c>
      <c r="O180">
        <f>IF(OR($G180="",Sync!$V176=""),"",Sync!$V176)</f>
        <v/>
      </c>
      <c r="P180">
        <f>IF(OR($G180="",Sync!$AD176=""),"",Sync!$AD176)</f>
        <v/>
      </c>
      <c r="Q180">
        <f>IF($G180="","",IF(Sync!$U176="","0000",IF(AND(ISNUMBER(Sync!$U176),Sync!$U176&gt;=0,Sync!$U176&lt;1),RIGHT("00"&amp;HOUR(Sync!$U176),2)&amp;RIGHT("00"&amp;MINUTE(Sync!$U176),2),IFERROR(RIGHT("00"&amp;VALUE(LEFT(Sync!$U176,FIND(":",Sync!$U176)-1)),2)&amp;RIGHT("00"&amp;VALUE(MID(Sync!$U176,FIND(":",Sync!$U176)+1,2)),2),"0000"))))</f>
        <v/>
      </c>
    </row>
    <row r="181">
      <c r="A181">
        <f>IF(Sync!$T177="","",Sync!$T177)</f>
        <v/>
      </c>
      <c r="B181">
        <f>IF($A181="","",IF(ISNUMBER($A181),IF(AND($A181&gt;=10000101,$A181&lt;=99991231),INT($A181/10000),""),IFERROR(VALUE(TRIM(LEFT($A181,FIND("/",$A181)-1))),"")))</f>
        <v/>
      </c>
      <c r="C181">
        <f>IF(OR($A181="",$B181=""),"",IF(ISNUMBER($A181),INT(MOD($A181,10000)/100),IFERROR(VALUE(TRIM(LEFT(MID($A181,FIND("/",$A181)+1,20),FIND("/",MID($A181,FIND("/",$A181)+1,20))-1))),"")))</f>
        <v/>
      </c>
      <c r="D181">
        <f>IF(OR($A181="",$B181=""),"",IF(ISNUMBER($A181),MOD($A181,100),IFERROR(VALUE(TRIM(MID(MID($A181,FIND("/",$A181)+1,20),FIND("/",MID($A181,FIND("/",$A181)+1,20))+1,20))),"")))</f>
        <v/>
      </c>
      <c r="E181">
        <f>IF($A181="","",IF(OR($B181="",$C181="",$D181="",$B181&lt;1300,$B181&gt;1500,$C181&lt;1,$C181&gt;12,$D181&lt;1,$D181&gt;31),"نامعتبر",RIGHT("0000"&amp;$B181,4)&amp;"/"&amp;RIGHT("00"&amp;$C181,2)&amp;"/"&amp;RIGHT("00"&amp;$D181,2)))</f>
        <v/>
      </c>
      <c r="F181">
        <f>IF(OR($E181="",$E181="نامعتبر"),"",LEFT($E181,4)&amp;"/"&amp;MID($E181,6,2))</f>
        <v/>
      </c>
      <c r="G181">
        <f>IF(OR($E181="",$E181="نامعتبر",Sync!$X177=""),"",IF(AND(LEFT(UPPER(TRIM(Sync!$X177)),2)="SL",IFERROR(VLOOKUP(Sync!$W177,OpTbl,3,0),"")="فروش"),UPPER(TRIM(Sync!$X177)),""))</f>
        <v/>
      </c>
      <c r="H181">
        <f>IF($G181="","",IF(Sync!$W177="","",Sync!$W177))</f>
        <v/>
      </c>
      <c r="I181">
        <f>IF(OR($G181="",Sync!$Y177=""),"",Sync!$Y177)</f>
        <v/>
      </c>
      <c r="J181">
        <f>IF(OR($G181="",Sync!$Z177=""),"",Sync!$Z177)</f>
        <v/>
      </c>
      <c r="K181">
        <f>IF($G181="",0,IF(Sync!$AA177="",0,Sync!$AA177))</f>
        <v/>
      </c>
      <c r="L181">
        <f>IF($G181="",0,IF(Sync!$AB177="",0,Sync!$AB177))</f>
        <v/>
      </c>
      <c r="M181">
        <f>IF($G181="","",IF($H181="مرجوعی فروش",-1,1)*($K181-$L181*IFERROR(VLOOKUP("P01",ParamTbl,3,0),1.5)))</f>
        <v/>
      </c>
      <c r="N181">
        <f>IF($G181="",0,IF($H181="مرجوعی فروش",-1,1)*IF(Sync!$AC177="",0,Sync!$AC177))</f>
        <v/>
      </c>
      <c r="O181">
        <f>IF(OR($G181="",Sync!$V177=""),"",Sync!$V177)</f>
        <v/>
      </c>
      <c r="P181">
        <f>IF(OR($G181="",Sync!$AD177=""),"",Sync!$AD177)</f>
        <v/>
      </c>
      <c r="Q181">
        <f>IF($G181="","",IF(Sync!$U177="","0000",IF(AND(ISNUMBER(Sync!$U177),Sync!$U177&gt;=0,Sync!$U177&lt;1),RIGHT("00"&amp;HOUR(Sync!$U177),2)&amp;RIGHT("00"&amp;MINUTE(Sync!$U177),2),IFERROR(RIGHT("00"&amp;VALUE(LEFT(Sync!$U177,FIND(":",Sync!$U177)-1)),2)&amp;RIGHT("00"&amp;VALUE(MID(Sync!$U177,FIND(":",Sync!$U177)+1,2)),2),"0000"))))</f>
        <v/>
      </c>
    </row>
    <row r="182">
      <c r="A182">
        <f>IF(Sync!$T178="","",Sync!$T178)</f>
        <v/>
      </c>
      <c r="B182">
        <f>IF($A182="","",IF(ISNUMBER($A182),IF(AND($A182&gt;=10000101,$A182&lt;=99991231),INT($A182/10000),""),IFERROR(VALUE(TRIM(LEFT($A182,FIND("/",$A182)-1))),"")))</f>
        <v/>
      </c>
      <c r="C182">
        <f>IF(OR($A182="",$B182=""),"",IF(ISNUMBER($A182),INT(MOD($A182,10000)/100),IFERROR(VALUE(TRIM(LEFT(MID($A182,FIND("/",$A182)+1,20),FIND("/",MID($A182,FIND("/",$A182)+1,20))-1))),"")))</f>
        <v/>
      </c>
      <c r="D182">
        <f>IF(OR($A182="",$B182=""),"",IF(ISNUMBER($A182),MOD($A182,100),IFERROR(VALUE(TRIM(MID(MID($A182,FIND("/",$A182)+1,20),FIND("/",MID($A182,FIND("/",$A182)+1,20))+1,20))),"")))</f>
        <v/>
      </c>
      <c r="E182">
        <f>IF($A182="","",IF(OR($B182="",$C182="",$D182="",$B182&lt;1300,$B182&gt;1500,$C182&lt;1,$C182&gt;12,$D182&lt;1,$D182&gt;31),"نامعتبر",RIGHT("0000"&amp;$B182,4)&amp;"/"&amp;RIGHT("00"&amp;$C182,2)&amp;"/"&amp;RIGHT("00"&amp;$D182,2)))</f>
        <v/>
      </c>
      <c r="F182">
        <f>IF(OR($E182="",$E182="نامعتبر"),"",LEFT($E182,4)&amp;"/"&amp;MID($E182,6,2))</f>
        <v/>
      </c>
      <c r="G182">
        <f>IF(OR($E182="",$E182="نامعتبر",Sync!$X178=""),"",IF(AND(LEFT(UPPER(TRIM(Sync!$X178)),2)="SL",IFERROR(VLOOKUP(Sync!$W178,OpTbl,3,0),"")="فروش"),UPPER(TRIM(Sync!$X178)),""))</f>
        <v/>
      </c>
      <c r="H182">
        <f>IF($G182="","",IF(Sync!$W178="","",Sync!$W178))</f>
        <v/>
      </c>
      <c r="I182">
        <f>IF(OR($G182="",Sync!$Y178=""),"",Sync!$Y178)</f>
        <v/>
      </c>
      <c r="J182">
        <f>IF(OR($G182="",Sync!$Z178=""),"",Sync!$Z178)</f>
        <v/>
      </c>
      <c r="K182">
        <f>IF($G182="",0,IF(Sync!$AA178="",0,Sync!$AA178))</f>
        <v/>
      </c>
      <c r="L182">
        <f>IF($G182="",0,IF(Sync!$AB178="",0,Sync!$AB178))</f>
        <v/>
      </c>
      <c r="M182">
        <f>IF($G182="","",IF($H182="مرجوعی فروش",-1,1)*($K182-$L182*IFERROR(VLOOKUP("P01",ParamTbl,3,0),1.5)))</f>
        <v/>
      </c>
      <c r="N182">
        <f>IF($G182="",0,IF($H182="مرجوعی فروش",-1,1)*IF(Sync!$AC178="",0,Sync!$AC178))</f>
        <v/>
      </c>
      <c r="O182">
        <f>IF(OR($G182="",Sync!$V178=""),"",Sync!$V178)</f>
        <v/>
      </c>
      <c r="P182">
        <f>IF(OR($G182="",Sync!$AD178=""),"",Sync!$AD178)</f>
        <v/>
      </c>
      <c r="Q182">
        <f>IF($G182="","",IF(Sync!$U178="","0000",IF(AND(ISNUMBER(Sync!$U178),Sync!$U178&gt;=0,Sync!$U178&lt;1),RIGHT("00"&amp;HOUR(Sync!$U178),2)&amp;RIGHT("00"&amp;MINUTE(Sync!$U178),2),IFERROR(RIGHT("00"&amp;VALUE(LEFT(Sync!$U178,FIND(":",Sync!$U178)-1)),2)&amp;RIGHT("00"&amp;VALUE(MID(Sync!$U178,FIND(":",Sync!$U178)+1,2)),2),"0000"))))</f>
        <v/>
      </c>
    </row>
    <row r="183">
      <c r="A183">
        <f>IF(Sync!$T179="","",Sync!$T179)</f>
        <v/>
      </c>
      <c r="B183">
        <f>IF($A183="","",IF(ISNUMBER($A183),IF(AND($A183&gt;=10000101,$A183&lt;=99991231),INT($A183/10000),""),IFERROR(VALUE(TRIM(LEFT($A183,FIND("/",$A183)-1))),"")))</f>
        <v/>
      </c>
      <c r="C183">
        <f>IF(OR($A183="",$B183=""),"",IF(ISNUMBER($A183),INT(MOD($A183,10000)/100),IFERROR(VALUE(TRIM(LEFT(MID($A183,FIND("/",$A183)+1,20),FIND("/",MID($A183,FIND("/",$A183)+1,20))-1))),"")))</f>
        <v/>
      </c>
      <c r="D183">
        <f>IF(OR($A183="",$B183=""),"",IF(ISNUMBER($A183),MOD($A183,100),IFERROR(VALUE(TRIM(MID(MID($A183,FIND("/",$A183)+1,20),FIND("/",MID($A183,FIND("/",$A183)+1,20))+1,20))),"")))</f>
        <v/>
      </c>
      <c r="E183">
        <f>IF($A183="","",IF(OR($B183="",$C183="",$D183="",$B183&lt;1300,$B183&gt;1500,$C183&lt;1,$C183&gt;12,$D183&lt;1,$D183&gt;31),"نامعتبر",RIGHT("0000"&amp;$B183,4)&amp;"/"&amp;RIGHT("00"&amp;$C183,2)&amp;"/"&amp;RIGHT("00"&amp;$D183,2)))</f>
        <v/>
      </c>
      <c r="F183">
        <f>IF(OR($E183="",$E183="نامعتبر"),"",LEFT($E183,4)&amp;"/"&amp;MID($E183,6,2))</f>
        <v/>
      </c>
      <c r="G183">
        <f>IF(OR($E183="",$E183="نامعتبر",Sync!$X179=""),"",IF(AND(LEFT(UPPER(TRIM(Sync!$X179)),2)="SL",IFERROR(VLOOKUP(Sync!$W179,OpTbl,3,0),"")="فروش"),UPPER(TRIM(Sync!$X179)),""))</f>
        <v/>
      </c>
      <c r="H183">
        <f>IF($G183="","",IF(Sync!$W179="","",Sync!$W179))</f>
        <v/>
      </c>
      <c r="I183">
        <f>IF(OR($G183="",Sync!$Y179=""),"",Sync!$Y179)</f>
        <v/>
      </c>
      <c r="J183">
        <f>IF(OR($G183="",Sync!$Z179=""),"",Sync!$Z179)</f>
        <v/>
      </c>
      <c r="K183">
        <f>IF($G183="",0,IF(Sync!$AA179="",0,Sync!$AA179))</f>
        <v/>
      </c>
      <c r="L183">
        <f>IF($G183="",0,IF(Sync!$AB179="",0,Sync!$AB179))</f>
        <v/>
      </c>
      <c r="M183">
        <f>IF($G183="","",IF($H183="مرجوعی فروش",-1,1)*($K183-$L183*IFERROR(VLOOKUP("P01",ParamTbl,3,0),1.5)))</f>
        <v/>
      </c>
      <c r="N183">
        <f>IF($G183="",0,IF($H183="مرجوعی فروش",-1,1)*IF(Sync!$AC179="",0,Sync!$AC179))</f>
        <v/>
      </c>
      <c r="O183">
        <f>IF(OR($G183="",Sync!$V179=""),"",Sync!$V179)</f>
        <v/>
      </c>
      <c r="P183">
        <f>IF(OR($G183="",Sync!$AD179=""),"",Sync!$AD179)</f>
        <v/>
      </c>
      <c r="Q183">
        <f>IF($G183="","",IF(Sync!$U179="","0000",IF(AND(ISNUMBER(Sync!$U179),Sync!$U179&gt;=0,Sync!$U179&lt;1),RIGHT("00"&amp;HOUR(Sync!$U179),2)&amp;RIGHT("00"&amp;MINUTE(Sync!$U179),2),IFERROR(RIGHT("00"&amp;VALUE(LEFT(Sync!$U179,FIND(":",Sync!$U179)-1)),2)&amp;RIGHT("00"&amp;VALUE(MID(Sync!$U179,FIND(":",Sync!$U179)+1,2)),2),"0000"))))</f>
        <v/>
      </c>
    </row>
    <row r="184">
      <c r="A184">
        <f>IF(Sync!$T180="","",Sync!$T180)</f>
        <v/>
      </c>
      <c r="B184">
        <f>IF($A184="","",IF(ISNUMBER($A184),IF(AND($A184&gt;=10000101,$A184&lt;=99991231),INT($A184/10000),""),IFERROR(VALUE(TRIM(LEFT($A184,FIND("/",$A184)-1))),"")))</f>
        <v/>
      </c>
      <c r="C184">
        <f>IF(OR($A184="",$B184=""),"",IF(ISNUMBER($A184),INT(MOD($A184,10000)/100),IFERROR(VALUE(TRIM(LEFT(MID($A184,FIND("/",$A184)+1,20),FIND("/",MID($A184,FIND("/",$A184)+1,20))-1))),"")))</f>
        <v/>
      </c>
      <c r="D184">
        <f>IF(OR($A184="",$B184=""),"",IF(ISNUMBER($A184),MOD($A184,100),IFERROR(VALUE(TRIM(MID(MID($A184,FIND("/",$A184)+1,20),FIND("/",MID($A184,FIND("/",$A184)+1,20))+1,20))),"")))</f>
        <v/>
      </c>
      <c r="E184">
        <f>IF($A184="","",IF(OR($B184="",$C184="",$D184="",$B184&lt;1300,$B184&gt;1500,$C184&lt;1,$C184&gt;12,$D184&lt;1,$D184&gt;31),"نامعتبر",RIGHT("0000"&amp;$B184,4)&amp;"/"&amp;RIGHT("00"&amp;$C184,2)&amp;"/"&amp;RIGHT("00"&amp;$D184,2)))</f>
        <v/>
      </c>
      <c r="F184">
        <f>IF(OR($E184="",$E184="نامعتبر"),"",LEFT($E184,4)&amp;"/"&amp;MID($E184,6,2))</f>
        <v/>
      </c>
      <c r="G184">
        <f>IF(OR($E184="",$E184="نامعتبر",Sync!$X180=""),"",IF(AND(LEFT(UPPER(TRIM(Sync!$X180)),2)="SL",IFERROR(VLOOKUP(Sync!$W180,OpTbl,3,0),"")="فروش"),UPPER(TRIM(Sync!$X180)),""))</f>
        <v/>
      </c>
      <c r="H184">
        <f>IF($G184="","",IF(Sync!$W180="","",Sync!$W180))</f>
        <v/>
      </c>
      <c r="I184">
        <f>IF(OR($G184="",Sync!$Y180=""),"",Sync!$Y180)</f>
        <v/>
      </c>
      <c r="J184">
        <f>IF(OR($G184="",Sync!$Z180=""),"",Sync!$Z180)</f>
        <v/>
      </c>
      <c r="K184">
        <f>IF($G184="",0,IF(Sync!$AA180="",0,Sync!$AA180))</f>
        <v/>
      </c>
      <c r="L184">
        <f>IF($G184="",0,IF(Sync!$AB180="",0,Sync!$AB180))</f>
        <v/>
      </c>
      <c r="M184">
        <f>IF($G184="","",IF($H184="مرجوعی فروش",-1,1)*($K184-$L184*IFERROR(VLOOKUP("P01",ParamTbl,3,0),1.5)))</f>
        <v/>
      </c>
      <c r="N184">
        <f>IF($G184="",0,IF($H184="مرجوعی فروش",-1,1)*IF(Sync!$AC180="",0,Sync!$AC180))</f>
        <v/>
      </c>
      <c r="O184">
        <f>IF(OR($G184="",Sync!$V180=""),"",Sync!$V180)</f>
        <v/>
      </c>
      <c r="P184">
        <f>IF(OR($G184="",Sync!$AD180=""),"",Sync!$AD180)</f>
        <v/>
      </c>
      <c r="Q184">
        <f>IF($G184="","",IF(Sync!$U180="","0000",IF(AND(ISNUMBER(Sync!$U180),Sync!$U180&gt;=0,Sync!$U180&lt;1),RIGHT("00"&amp;HOUR(Sync!$U180),2)&amp;RIGHT("00"&amp;MINUTE(Sync!$U180),2),IFERROR(RIGHT("00"&amp;VALUE(LEFT(Sync!$U180,FIND(":",Sync!$U180)-1)),2)&amp;RIGHT("00"&amp;VALUE(MID(Sync!$U180,FIND(":",Sync!$U180)+1,2)),2),"0000"))))</f>
        <v/>
      </c>
    </row>
    <row r="185">
      <c r="A185">
        <f>IF(Sync!$T181="","",Sync!$T181)</f>
        <v/>
      </c>
      <c r="B185">
        <f>IF($A185="","",IF(ISNUMBER($A185),IF(AND($A185&gt;=10000101,$A185&lt;=99991231),INT($A185/10000),""),IFERROR(VALUE(TRIM(LEFT($A185,FIND("/",$A185)-1))),"")))</f>
        <v/>
      </c>
      <c r="C185">
        <f>IF(OR($A185="",$B185=""),"",IF(ISNUMBER($A185),INT(MOD($A185,10000)/100),IFERROR(VALUE(TRIM(LEFT(MID($A185,FIND("/",$A185)+1,20),FIND("/",MID($A185,FIND("/",$A185)+1,20))-1))),"")))</f>
        <v/>
      </c>
      <c r="D185">
        <f>IF(OR($A185="",$B185=""),"",IF(ISNUMBER($A185),MOD($A185,100),IFERROR(VALUE(TRIM(MID(MID($A185,FIND("/",$A185)+1,20),FIND("/",MID($A185,FIND("/",$A185)+1,20))+1,20))),"")))</f>
        <v/>
      </c>
      <c r="E185">
        <f>IF($A185="","",IF(OR($B185="",$C185="",$D185="",$B185&lt;1300,$B185&gt;1500,$C185&lt;1,$C185&gt;12,$D185&lt;1,$D185&gt;31),"نامعتبر",RIGHT("0000"&amp;$B185,4)&amp;"/"&amp;RIGHT("00"&amp;$C185,2)&amp;"/"&amp;RIGHT("00"&amp;$D185,2)))</f>
        <v/>
      </c>
      <c r="F185">
        <f>IF(OR($E185="",$E185="نامعتبر"),"",LEFT($E185,4)&amp;"/"&amp;MID($E185,6,2))</f>
        <v/>
      </c>
      <c r="G185">
        <f>IF(OR($E185="",$E185="نامعتبر",Sync!$X181=""),"",IF(AND(LEFT(UPPER(TRIM(Sync!$X181)),2)="SL",IFERROR(VLOOKUP(Sync!$W181,OpTbl,3,0),"")="فروش"),UPPER(TRIM(Sync!$X181)),""))</f>
        <v/>
      </c>
      <c r="H185">
        <f>IF($G185="","",IF(Sync!$W181="","",Sync!$W181))</f>
        <v/>
      </c>
      <c r="I185">
        <f>IF(OR($G185="",Sync!$Y181=""),"",Sync!$Y181)</f>
        <v/>
      </c>
      <c r="J185">
        <f>IF(OR($G185="",Sync!$Z181=""),"",Sync!$Z181)</f>
        <v/>
      </c>
      <c r="K185">
        <f>IF($G185="",0,IF(Sync!$AA181="",0,Sync!$AA181))</f>
        <v/>
      </c>
      <c r="L185">
        <f>IF($G185="",0,IF(Sync!$AB181="",0,Sync!$AB181))</f>
        <v/>
      </c>
      <c r="M185">
        <f>IF($G185="","",IF($H185="مرجوعی فروش",-1,1)*($K185-$L185*IFERROR(VLOOKUP("P01",ParamTbl,3,0),1.5)))</f>
        <v/>
      </c>
      <c r="N185">
        <f>IF($G185="",0,IF($H185="مرجوعی فروش",-1,1)*IF(Sync!$AC181="",0,Sync!$AC181))</f>
        <v/>
      </c>
      <c r="O185">
        <f>IF(OR($G185="",Sync!$V181=""),"",Sync!$V181)</f>
        <v/>
      </c>
      <c r="P185">
        <f>IF(OR($G185="",Sync!$AD181=""),"",Sync!$AD181)</f>
        <v/>
      </c>
      <c r="Q185">
        <f>IF($G185="","",IF(Sync!$U181="","0000",IF(AND(ISNUMBER(Sync!$U181),Sync!$U181&gt;=0,Sync!$U181&lt;1),RIGHT("00"&amp;HOUR(Sync!$U181),2)&amp;RIGHT("00"&amp;MINUTE(Sync!$U181),2),IFERROR(RIGHT("00"&amp;VALUE(LEFT(Sync!$U181,FIND(":",Sync!$U181)-1)),2)&amp;RIGHT("00"&amp;VALUE(MID(Sync!$U181,FIND(":",Sync!$U181)+1,2)),2),"0000"))))</f>
        <v/>
      </c>
    </row>
    <row r="186">
      <c r="A186">
        <f>IF(Sync!$T182="","",Sync!$T182)</f>
        <v/>
      </c>
      <c r="B186">
        <f>IF($A186="","",IF(ISNUMBER($A186),IF(AND($A186&gt;=10000101,$A186&lt;=99991231),INT($A186/10000),""),IFERROR(VALUE(TRIM(LEFT($A186,FIND("/",$A186)-1))),"")))</f>
        <v/>
      </c>
      <c r="C186">
        <f>IF(OR($A186="",$B186=""),"",IF(ISNUMBER($A186),INT(MOD($A186,10000)/100),IFERROR(VALUE(TRIM(LEFT(MID($A186,FIND("/",$A186)+1,20),FIND("/",MID($A186,FIND("/",$A186)+1,20))-1))),"")))</f>
        <v/>
      </c>
      <c r="D186">
        <f>IF(OR($A186="",$B186=""),"",IF(ISNUMBER($A186),MOD($A186,100),IFERROR(VALUE(TRIM(MID(MID($A186,FIND("/",$A186)+1,20),FIND("/",MID($A186,FIND("/",$A186)+1,20))+1,20))),"")))</f>
        <v/>
      </c>
      <c r="E186">
        <f>IF($A186="","",IF(OR($B186="",$C186="",$D186="",$B186&lt;1300,$B186&gt;1500,$C186&lt;1,$C186&gt;12,$D186&lt;1,$D186&gt;31),"نامعتبر",RIGHT("0000"&amp;$B186,4)&amp;"/"&amp;RIGHT("00"&amp;$C186,2)&amp;"/"&amp;RIGHT("00"&amp;$D186,2)))</f>
        <v/>
      </c>
      <c r="F186">
        <f>IF(OR($E186="",$E186="نامعتبر"),"",LEFT($E186,4)&amp;"/"&amp;MID($E186,6,2))</f>
        <v/>
      </c>
      <c r="G186">
        <f>IF(OR($E186="",$E186="نامعتبر",Sync!$X182=""),"",IF(AND(LEFT(UPPER(TRIM(Sync!$X182)),2)="SL",IFERROR(VLOOKUP(Sync!$W182,OpTbl,3,0),"")="فروش"),UPPER(TRIM(Sync!$X182)),""))</f>
        <v/>
      </c>
      <c r="H186">
        <f>IF($G186="","",IF(Sync!$W182="","",Sync!$W182))</f>
        <v/>
      </c>
      <c r="I186">
        <f>IF(OR($G186="",Sync!$Y182=""),"",Sync!$Y182)</f>
        <v/>
      </c>
      <c r="J186">
        <f>IF(OR($G186="",Sync!$Z182=""),"",Sync!$Z182)</f>
        <v/>
      </c>
      <c r="K186">
        <f>IF($G186="",0,IF(Sync!$AA182="",0,Sync!$AA182))</f>
        <v/>
      </c>
      <c r="L186">
        <f>IF($G186="",0,IF(Sync!$AB182="",0,Sync!$AB182))</f>
        <v/>
      </c>
      <c r="M186">
        <f>IF($G186="","",IF($H186="مرجوعی فروش",-1,1)*($K186-$L186*IFERROR(VLOOKUP("P01",ParamTbl,3,0),1.5)))</f>
        <v/>
      </c>
      <c r="N186">
        <f>IF($G186="",0,IF($H186="مرجوعی فروش",-1,1)*IF(Sync!$AC182="",0,Sync!$AC182))</f>
        <v/>
      </c>
      <c r="O186">
        <f>IF(OR($G186="",Sync!$V182=""),"",Sync!$V182)</f>
        <v/>
      </c>
      <c r="P186">
        <f>IF(OR($G186="",Sync!$AD182=""),"",Sync!$AD182)</f>
        <v/>
      </c>
      <c r="Q186">
        <f>IF($G186="","",IF(Sync!$U182="","0000",IF(AND(ISNUMBER(Sync!$U182),Sync!$U182&gt;=0,Sync!$U182&lt;1),RIGHT("00"&amp;HOUR(Sync!$U182),2)&amp;RIGHT("00"&amp;MINUTE(Sync!$U182),2),IFERROR(RIGHT("00"&amp;VALUE(LEFT(Sync!$U182,FIND(":",Sync!$U182)-1)),2)&amp;RIGHT("00"&amp;VALUE(MID(Sync!$U182,FIND(":",Sync!$U182)+1,2)),2),"0000"))))</f>
        <v/>
      </c>
    </row>
    <row r="187">
      <c r="A187">
        <f>IF(Sync!$T183="","",Sync!$T183)</f>
        <v/>
      </c>
      <c r="B187">
        <f>IF($A187="","",IF(ISNUMBER($A187),IF(AND($A187&gt;=10000101,$A187&lt;=99991231),INT($A187/10000),""),IFERROR(VALUE(TRIM(LEFT($A187,FIND("/",$A187)-1))),"")))</f>
        <v/>
      </c>
      <c r="C187">
        <f>IF(OR($A187="",$B187=""),"",IF(ISNUMBER($A187),INT(MOD($A187,10000)/100),IFERROR(VALUE(TRIM(LEFT(MID($A187,FIND("/",$A187)+1,20),FIND("/",MID($A187,FIND("/",$A187)+1,20))-1))),"")))</f>
        <v/>
      </c>
      <c r="D187">
        <f>IF(OR($A187="",$B187=""),"",IF(ISNUMBER($A187),MOD($A187,100),IFERROR(VALUE(TRIM(MID(MID($A187,FIND("/",$A187)+1,20),FIND("/",MID($A187,FIND("/",$A187)+1,20))+1,20))),"")))</f>
        <v/>
      </c>
      <c r="E187">
        <f>IF($A187="","",IF(OR($B187="",$C187="",$D187="",$B187&lt;1300,$B187&gt;1500,$C187&lt;1,$C187&gt;12,$D187&lt;1,$D187&gt;31),"نامعتبر",RIGHT("0000"&amp;$B187,4)&amp;"/"&amp;RIGHT("00"&amp;$C187,2)&amp;"/"&amp;RIGHT("00"&amp;$D187,2)))</f>
        <v/>
      </c>
      <c r="F187">
        <f>IF(OR($E187="",$E187="نامعتبر"),"",LEFT($E187,4)&amp;"/"&amp;MID($E187,6,2))</f>
        <v/>
      </c>
      <c r="G187">
        <f>IF(OR($E187="",$E187="نامعتبر",Sync!$X183=""),"",IF(AND(LEFT(UPPER(TRIM(Sync!$X183)),2)="SL",IFERROR(VLOOKUP(Sync!$W183,OpTbl,3,0),"")="فروش"),UPPER(TRIM(Sync!$X183)),""))</f>
        <v/>
      </c>
      <c r="H187">
        <f>IF($G187="","",IF(Sync!$W183="","",Sync!$W183))</f>
        <v/>
      </c>
      <c r="I187">
        <f>IF(OR($G187="",Sync!$Y183=""),"",Sync!$Y183)</f>
        <v/>
      </c>
      <c r="J187">
        <f>IF(OR($G187="",Sync!$Z183=""),"",Sync!$Z183)</f>
        <v/>
      </c>
      <c r="K187">
        <f>IF($G187="",0,IF(Sync!$AA183="",0,Sync!$AA183))</f>
        <v/>
      </c>
      <c r="L187">
        <f>IF($G187="",0,IF(Sync!$AB183="",0,Sync!$AB183))</f>
        <v/>
      </c>
      <c r="M187">
        <f>IF($G187="","",IF($H187="مرجوعی فروش",-1,1)*($K187-$L187*IFERROR(VLOOKUP("P01",ParamTbl,3,0),1.5)))</f>
        <v/>
      </c>
      <c r="N187">
        <f>IF($G187="",0,IF($H187="مرجوعی فروش",-1,1)*IF(Sync!$AC183="",0,Sync!$AC183))</f>
        <v/>
      </c>
      <c r="O187">
        <f>IF(OR($G187="",Sync!$V183=""),"",Sync!$V183)</f>
        <v/>
      </c>
      <c r="P187">
        <f>IF(OR($G187="",Sync!$AD183=""),"",Sync!$AD183)</f>
        <v/>
      </c>
      <c r="Q187">
        <f>IF($G187="","",IF(Sync!$U183="","0000",IF(AND(ISNUMBER(Sync!$U183),Sync!$U183&gt;=0,Sync!$U183&lt;1),RIGHT("00"&amp;HOUR(Sync!$U183),2)&amp;RIGHT("00"&amp;MINUTE(Sync!$U183),2),IFERROR(RIGHT("00"&amp;VALUE(LEFT(Sync!$U183,FIND(":",Sync!$U183)-1)),2)&amp;RIGHT("00"&amp;VALUE(MID(Sync!$U183,FIND(":",Sync!$U183)+1,2)),2),"0000"))))</f>
        <v/>
      </c>
    </row>
    <row r="188">
      <c r="A188">
        <f>IF(Sync!$T184="","",Sync!$T184)</f>
        <v/>
      </c>
      <c r="B188">
        <f>IF($A188="","",IF(ISNUMBER($A188),IF(AND($A188&gt;=10000101,$A188&lt;=99991231),INT($A188/10000),""),IFERROR(VALUE(TRIM(LEFT($A188,FIND("/",$A188)-1))),"")))</f>
        <v/>
      </c>
      <c r="C188">
        <f>IF(OR($A188="",$B188=""),"",IF(ISNUMBER($A188),INT(MOD($A188,10000)/100),IFERROR(VALUE(TRIM(LEFT(MID($A188,FIND("/",$A188)+1,20),FIND("/",MID($A188,FIND("/",$A188)+1,20))-1))),"")))</f>
        <v/>
      </c>
      <c r="D188">
        <f>IF(OR($A188="",$B188=""),"",IF(ISNUMBER($A188),MOD($A188,100),IFERROR(VALUE(TRIM(MID(MID($A188,FIND("/",$A188)+1,20),FIND("/",MID($A188,FIND("/",$A188)+1,20))+1,20))),"")))</f>
        <v/>
      </c>
      <c r="E188">
        <f>IF($A188="","",IF(OR($B188="",$C188="",$D188="",$B188&lt;1300,$B188&gt;1500,$C188&lt;1,$C188&gt;12,$D188&lt;1,$D188&gt;31),"نامعتبر",RIGHT("0000"&amp;$B188,4)&amp;"/"&amp;RIGHT("00"&amp;$C188,2)&amp;"/"&amp;RIGHT("00"&amp;$D188,2)))</f>
        <v/>
      </c>
      <c r="F188">
        <f>IF(OR($E188="",$E188="نامعتبر"),"",LEFT($E188,4)&amp;"/"&amp;MID($E188,6,2))</f>
        <v/>
      </c>
      <c r="G188">
        <f>IF(OR($E188="",$E188="نامعتبر",Sync!$X184=""),"",IF(AND(LEFT(UPPER(TRIM(Sync!$X184)),2)="SL",IFERROR(VLOOKUP(Sync!$W184,OpTbl,3,0),"")="فروش"),UPPER(TRIM(Sync!$X184)),""))</f>
        <v/>
      </c>
      <c r="H188">
        <f>IF($G188="","",IF(Sync!$W184="","",Sync!$W184))</f>
        <v/>
      </c>
      <c r="I188">
        <f>IF(OR($G188="",Sync!$Y184=""),"",Sync!$Y184)</f>
        <v/>
      </c>
      <c r="J188">
        <f>IF(OR($G188="",Sync!$Z184=""),"",Sync!$Z184)</f>
        <v/>
      </c>
      <c r="K188">
        <f>IF($G188="",0,IF(Sync!$AA184="",0,Sync!$AA184))</f>
        <v/>
      </c>
      <c r="L188">
        <f>IF($G188="",0,IF(Sync!$AB184="",0,Sync!$AB184))</f>
        <v/>
      </c>
      <c r="M188">
        <f>IF($G188="","",IF($H188="مرجوعی فروش",-1,1)*($K188-$L188*IFERROR(VLOOKUP("P01",ParamTbl,3,0),1.5)))</f>
        <v/>
      </c>
      <c r="N188">
        <f>IF($G188="",0,IF($H188="مرجوعی فروش",-1,1)*IF(Sync!$AC184="",0,Sync!$AC184))</f>
        <v/>
      </c>
      <c r="O188">
        <f>IF(OR($G188="",Sync!$V184=""),"",Sync!$V184)</f>
        <v/>
      </c>
      <c r="P188">
        <f>IF(OR($G188="",Sync!$AD184=""),"",Sync!$AD184)</f>
        <v/>
      </c>
      <c r="Q188">
        <f>IF($G188="","",IF(Sync!$U184="","0000",IF(AND(ISNUMBER(Sync!$U184),Sync!$U184&gt;=0,Sync!$U184&lt;1),RIGHT("00"&amp;HOUR(Sync!$U184),2)&amp;RIGHT("00"&amp;MINUTE(Sync!$U184),2),IFERROR(RIGHT("00"&amp;VALUE(LEFT(Sync!$U184,FIND(":",Sync!$U184)-1)),2)&amp;RIGHT("00"&amp;VALUE(MID(Sync!$U184,FIND(":",Sync!$U184)+1,2)),2),"0000"))))</f>
        <v/>
      </c>
    </row>
    <row r="189">
      <c r="A189">
        <f>IF(Sync!$T185="","",Sync!$T185)</f>
        <v/>
      </c>
      <c r="B189">
        <f>IF($A189="","",IF(ISNUMBER($A189),IF(AND($A189&gt;=10000101,$A189&lt;=99991231),INT($A189/10000),""),IFERROR(VALUE(TRIM(LEFT($A189,FIND("/",$A189)-1))),"")))</f>
        <v/>
      </c>
      <c r="C189">
        <f>IF(OR($A189="",$B189=""),"",IF(ISNUMBER($A189),INT(MOD($A189,10000)/100),IFERROR(VALUE(TRIM(LEFT(MID($A189,FIND("/",$A189)+1,20),FIND("/",MID($A189,FIND("/",$A189)+1,20))-1))),"")))</f>
        <v/>
      </c>
      <c r="D189">
        <f>IF(OR($A189="",$B189=""),"",IF(ISNUMBER($A189),MOD($A189,100),IFERROR(VALUE(TRIM(MID(MID($A189,FIND("/",$A189)+1,20),FIND("/",MID($A189,FIND("/",$A189)+1,20))+1,20))),"")))</f>
        <v/>
      </c>
      <c r="E189">
        <f>IF($A189="","",IF(OR($B189="",$C189="",$D189="",$B189&lt;1300,$B189&gt;1500,$C189&lt;1,$C189&gt;12,$D189&lt;1,$D189&gt;31),"نامعتبر",RIGHT("0000"&amp;$B189,4)&amp;"/"&amp;RIGHT("00"&amp;$C189,2)&amp;"/"&amp;RIGHT("00"&amp;$D189,2)))</f>
        <v/>
      </c>
      <c r="F189">
        <f>IF(OR($E189="",$E189="نامعتبر"),"",LEFT($E189,4)&amp;"/"&amp;MID($E189,6,2))</f>
        <v/>
      </c>
      <c r="G189">
        <f>IF(OR($E189="",$E189="نامعتبر",Sync!$X185=""),"",IF(AND(LEFT(UPPER(TRIM(Sync!$X185)),2)="SL",IFERROR(VLOOKUP(Sync!$W185,OpTbl,3,0),"")="فروش"),UPPER(TRIM(Sync!$X185)),""))</f>
        <v/>
      </c>
      <c r="H189">
        <f>IF($G189="","",IF(Sync!$W185="","",Sync!$W185))</f>
        <v/>
      </c>
      <c r="I189">
        <f>IF(OR($G189="",Sync!$Y185=""),"",Sync!$Y185)</f>
        <v/>
      </c>
      <c r="J189">
        <f>IF(OR($G189="",Sync!$Z185=""),"",Sync!$Z185)</f>
        <v/>
      </c>
      <c r="K189">
        <f>IF($G189="",0,IF(Sync!$AA185="",0,Sync!$AA185))</f>
        <v/>
      </c>
      <c r="L189">
        <f>IF($G189="",0,IF(Sync!$AB185="",0,Sync!$AB185))</f>
        <v/>
      </c>
      <c r="M189">
        <f>IF($G189="","",IF($H189="مرجوعی فروش",-1,1)*($K189-$L189*IFERROR(VLOOKUP("P01",ParamTbl,3,0),1.5)))</f>
        <v/>
      </c>
      <c r="N189">
        <f>IF($G189="",0,IF($H189="مرجوعی فروش",-1,1)*IF(Sync!$AC185="",0,Sync!$AC185))</f>
        <v/>
      </c>
      <c r="O189">
        <f>IF(OR($G189="",Sync!$V185=""),"",Sync!$V185)</f>
        <v/>
      </c>
      <c r="P189">
        <f>IF(OR($G189="",Sync!$AD185=""),"",Sync!$AD185)</f>
        <v/>
      </c>
      <c r="Q189">
        <f>IF($G189="","",IF(Sync!$U185="","0000",IF(AND(ISNUMBER(Sync!$U185),Sync!$U185&gt;=0,Sync!$U185&lt;1),RIGHT("00"&amp;HOUR(Sync!$U185),2)&amp;RIGHT("00"&amp;MINUTE(Sync!$U185),2),IFERROR(RIGHT("00"&amp;VALUE(LEFT(Sync!$U185,FIND(":",Sync!$U185)-1)),2)&amp;RIGHT("00"&amp;VALUE(MID(Sync!$U185,FIND(":",Sync!$U185)+1,2)),2),"0000"))))</f>
        <v/>
      </c>
    </row>
    <row r="190">
      <c r="A190">
        <f>IF(Sync!$T186="","",Sync!$T186)</f>
        <v/>
      </c>
      <c r="B190">
        <f>IF($A190="","",IF(ISNUMBER($A190),IF(AND($A190&gt;=10000101,$A190&lt;=99991231),INT($A190/10000),""),IFERROR(VALUE(TRIM(LEFT($A190,FIND("/",$A190)-1))),"")))</f>
        <v/>
      </c>
      <c r="C190">
        <f>IF(OR($A190="",$B190=""),"",IF(ISNUMBER($A190),INT(MOD($A190,10000)/100),IFERROR(VALUE(TRIM(LEFT(MID($A190,FIND("/",$A190)+1,20),FIND("/",MID($A190,FIND("/",$A190)+1,20))-1))),"")))</f>
        <v/>
      </c>
      <c r="D190">
        <f>IF(OR($A190="",$B190=""),"",IF(ISNUMBER($A190),MOD($A190,100),IFERROR(VALUE(TRIM(MID(MID($A190,FIND("/",$A190)+1,20),FIND("/",MID($A190,FIND("/",$A190)+1,20))+1,20))),"")))</f>
        <v/>
      </c>
      <c r="E190">
        <f>IF($A190="","",IF(OR($B190="",$C190="",$D190="",$B190&lt;1300,$B190&gt;1500,$C190&lt;1,$C190&gt;12,$D190&lt;1,$D190&gt;31),"نامعتبر",RIGHT("0000"&amp;$B190,4)&amp;"/"&amp;RIGHT("00"&amp;$C190,2)&amp;"/"&amp;RIGHT("00"&amp;$D190,2)))</f>
        <v/>
      </c>
      <c r="F190">
        <f>IF(OR($E190="",$E190="نامعتبر"),"",LEFT($E190,4)&amp;"/"&amp;MID($E190,6,2))</f>
        <v/>
      </c>
      <c r="G190">
        <f>IF(OR($E190="",$E190="نامعتبر",Sync!$X186=""),"",IF(AND(LEFT(UPPER(TRIM(Sync!$X186)),2)="SL",IFERROR(VLOOKUP(Sync!$W186,OpTbl,3,0),"")="فروش"),UPPER(TRIM(Sync!$X186)),""))</f>
        <v/>
      </c>
      <c r="H190">
        <f>IF($G190="","",IF(Sync!$W186="","",Sync!$W186))</f>
        <v/>
      </c>
      <c r="I190">
        <f>IF(OR($G190="",Sync!$Y186=""),"",Sync!$Y186)</f>
        <v/>
      </c>
      <c r="J190">
        <f>IF(OR($G190="",Sync!$Z186=""),"",Sync!$Z186)</f>
        <v/>
      </c>
      <c r="K190">
        <f>IF($G190="",0,IF(Sync!$AA186="",0,Sync!$AA186))</f>
        <v/>
      </c>
      <c r="L190">
        <f>IF($G190="",0,IF(Sync!$AB186="",0,Sync!$AB186))</f>
        <v/>
      </c>
      <c r="M190">
        <f>IF($G190="","",IF($H190="مرجوعی فروش",-1,1)*($K190-$L190*IFERROR(VLOOKUP("P01",ParamTbl,3,0),1.5)))</f>
        <v/>
      </c>
      <c r="N190">
        <f>IF($G190="",0,IF($H190="مرجوعی فروش",-1,1)*IF(Sync!$AC186="",0,Sync!$AC186))</f>
        <v/>
      </c>
      <c r="O190">
        <f>IF(OR($G190="",Sync!$V186=""),"",Sync!$V186)</f>
        <v/>
      </c>
      <c r="P190">
        <f>IF(OR($G190="",Sync!$AD186=""),"",Sync!$AD186)</f>
        <v/>
      </c>
      <c r="Q190">
        <f>IF($G190="","",IF(Sync!$U186="","0000",IF(AND(ISNUMBER(Sync!$U186),Sync!$U186&gt;=0,Sync!$U186&lt;1),RIGHT("00"&amp;HOUR(Sync!$U186),2)&amp;RIGHT("00"&amp;MINUTE(Sync!$U186),2),IFERROR(RIGHT("00"&amp;VALUE(LEFT(Sync!$U186,FIND(":",Sync!$U186)-1)),2)&amp;RIGHT("00"&amp;VALUE(MID(Sync!$U186,FIND(":",Sync!$U186)+1,2)),2),"0000"))))</f>
        <v/>
      </c>
    </row>
    <row r="191">
      <c r="A191">
        <f>IF(Sync!$T187="","",Sync!$T187)</f>
        <v/>
      </c>
      <c r="B191">
        <f>IF($A191="","",IF(ISNUMBER($A191),IF(AND($A191&gt;=10000101,$A191&lt;=99991231),INT($A191/10000),""),IFERROR(VALUE(TRIM(LEFT($A191,FIND("/",$A191)-1))),"")))</f>
        <v/>
      </c>
      <c r="C191">
        <f>IF(OR($A191="",$B191=""),"",IF(ISNUMBER($A191),INT(MOD($A191,10000)/100),IFERROR(VALUE(TRIM(LEFT(MID($A191,FIND("/",$A191)+1,20),FIND("/",MID($A191,FIND("/",$A191)+1,20))-1))),"")))</f>
        <v/>
      </c>
      <c r="D191">
        <f>IF(OR($A191="",$B191=""),"",IF(ISNUMBER($A191),MOD($A191,100),IFERROR(VALUE(TRIM(MID(MID($A191,FIND("/",$A191)+1,20),FIND("/",MID($A191,FIND("/",$A191)+1,20))+1,20))),"")))</f>
        <v/>
      </c>
      <c r="E191">
        <f>IF($A191="","",IF(OR($B191="",$C191="",$D191="",$B191&lt;1300,$B191&gt;1500,$C191&lt;1,$C191&gt;12,$D191&lt;1,$D191&gt;31),"نامعتبر",RIGHT("0000"&amp;$B191,4)&amp;"/"&amp;RIGHT("00"&amp;$C191,2)&amp;"/"&amp;RIGHT("00"&amp;$D191,2)))</f>
        <v/>
      </c>
      <c r="F191">
        <f>IF(OR($E191="",$E191="نامعتبر"),"",LEFT($E191,4)&amp;"/"&amp;MID($E191,6,2))</f>
        <v/>
      </c>
      <c r="G191">
        <f>IF(OR($E191="",$E191="نامعتبر",Sync!$X187=""),"",IF(AND(LEFT(UPPER(TRIM(Sync!$X187)),2)="SL",IFERROR(VLOOKUP(Sync!$W187,OpTbl,3,0),"")="فروش"),UPPER(TRIM(Sync!$X187)),""))</f>
        <v/>
      </c>
      <c r="H191">
        <f>IF($G191="","",IF(Sync!$W187="","",Sync!$W187))</f>
        <v/>
      </c>
      <c r="I191">
        <f>IF(OR($G191="",Sync!$Y187=""),"",Sync!$Y187)</f>
        <v/>
      </c>
      <c r="J191">
        <f>IF(OR($G191="",Sync!$Z187=""),"",Sync!$Z187)</f>
        <v/>
      </c>
      <c r="K191">
        <f>IF($G191="",0,IF(Sync!$AA187="",0,Sync!$AA187))</f>
        <v/>
      </c>
      <c r="L191">
        <f>IF($G191="",0,IF(Sync!$AB187="",0,Sync!$AB187))</f>
        <v/>
      </c>
      <c r="M191">
        <f>IF($G191="","",IF($H191="مرجوعی فروش",-1,1)*($K191-$L191*IFERROR(VLOOKUP("P01",ParamTbl,3,0),1.5)))</f>
        <v/>
      </c>
      <c r="N191">
        <f>IF($G191="",0,IF($H191="مرجوعی فروش",-1,1)*IF(Sync!$AC187="",0,Sync!$AC187))</f>
        <v/>
      </c>
      <c r="O191">
        <f>IF(OR($G191="",Sync!$V187=""),"",Sync!$V187)</f>
        <v/>
      </c>
      <c r="P191">
        <f>IF(OR($G191="",Sync!$AD187=""),"",Sync!$AD187)</f>
        <v/>
      </c>
      <c r="Q191">
        <f>IF($G191="","",IF(Sync!$U187="","0000",IF(AND(ISNUMBER(Sync!$U187),Sync!$U187&gt;=0,Sync!$U187&lt;1),RIGHT("00"&amp;HOUR(Sync!$U187),2)&amp;RIGHT("00"&amp;MINUTE(Sync!$U187),2),IFERROR(RIGHT("00"&amp;VALUE(LEFT(Sync!$U187,FIND(":",Sync!$U187)-1)),2)&amp;RIGHT("00"&amp;VALUE(MID(Sync!$U187,FIND(":",Sync!$U187)+1,2)),2),"0000"))))</f>
        <v/>
      </c>
    </row>
    <row r="192">
      <c r="A192">
        <f>IF(Sync!$T188="","",Sync!$T188)</f>
        <v/>
      </c>
      <c r="B192">
        <f>IF($A192="","",IF(ISNUMBER($A192),IF(AND($A192&gt;=10000101,$A192&lt;=99991231),INT($A192/10000),""),IFERROR(VALUE(TRIM(LEFT($A192,FIND("/",$A192)-1))),"")))</f>
        <v/>
      </c>
      <c r="C192">
        <f>IF(OR($A192="",$B192=""),"",IF(ISNUMBER($A192),INT(MOD($A192,10000)/100),IFERROR(VALUE(TRIM(LEFT(MID($A192,FIND("/",$A192)+1,20),FIND("/",MID($A192,FIND("/",$A192)+1,20))-1))),"")))</f>
        <v/>
      </c>
      <c r="D192">
        <f>IF(OR($A192="",$B192=""),"",IF(ISNUMBER($A192),MOD($A192,100),IFERROR(VALUE(TRIM(MID(MID($A192,FIND("/",$A192)+1,20),FIND("/",MID($A192,FIND("/",$A192)+1,20))+1,20))),"")))</f>
        <v/>
      </c>
      <c r="E192">
        <f>IF($A192="","",IF(OR($B192="",$C192="",$D192="",$B192&lt;1300,$B192&gt;1500,$C192&lt;1,$C192&gt;12,$D192&lt;1,$D192&gt;31),"نامعتبر",RIGHT("0000"&amp;$B192,4)&amp;"/"&amp;RIGHT("00"&amp;$C192,2)&amp;"/"&amp;RIGHT("00"&amp;$D192,2)))</f>
        <v/>
      </c>
      <c r="F192">
        <f>IF(OR($E192="",$E192="نامعتبر"),"",LEFT($E192,4)&amp;"/"&amp;MID($E192,6,2))</f>
        <v/>
      </c>
      <c r="G192">
        <f>IF(OR($E192="",$E192="نامعتبر",Sync!$X188=""),"",IF(AND(LEFT(UPPER(TRIM(Sync!$X188)),2)="SL",IFERROR(VLOOKUP(Sync!$W188,OpTbl,3,0),"")="فروش"),UPPER(TRIM(Sync!$X188)),""))</f>
        <v/>
      </c>
      <c r="H192">
        <f>IF($G192="","",IF(Sync!$W188="","",Sync!$W188))</f>
        <v/>
      </c>
      <c r="I192">
        <f>IF(OR($G192="",Sync!$Y188=""),"",Sync!$Y188)</f>
        <v/>
      </c>
      <c r="J192">
        <f>IF(OR($G192="",Sync!$Z188=""),"",Sync!$Z188)</f>
        <v/>
      </c>
      <c r="K192">
        <f>IF($G192="",0,IF(Sync!$AA188="",0,Sync!$AA188))</f>
        <v/>
      </c>
      <c r="L192">
        <f>IF($G192="",0,IF(Sync!$AB188="",0,Sync!$AB188))</f>
        <v/>
      </c>
      <c r="M192">
        <f>IF($G192="","",IF($H192="مرجوعی فروش",-1,1)*($K192-$L192*IFERROR(VLOOKUP("P01",ParamTbl,3,0),1.5)))</f>
        <v/>
      </c>
      <c r="N192">
        <f>IF($G192="",0,IF($H192="مرجوعی فروش",-1,1)*IF(Sync!$AC188="",0,Sync!$AC188))</f>
        <v/>
      </c>
      <c r="O192">
        <f>IF(OR($G192="",Sync!$V188=""),"",Sync!$V188)</f>
        <v/>
      </c>
      <c r="P192">
        <f>IF(OR($G192="",Sync!$AD188=""),"",Sync!$AD188)</f>
        <v/>
      </c>
      <c r="Q192">
        <f>IF($G192="","",IF(Sync!$U188="","0000",IF(AND(ISNUMBER(Sync!$U188),Sync!$U188&gt;=0,Sync!$U188&lt;1),RIGHT("00"&amp;HOUR(Sync!$U188),2)&amp;RIGHT("00"&amp;MINUTE(Sync!$U188),2),IFERROR(RIGHT("00"&amp;VALUE(LEFT(Sync!$U188,FIND(":",Sync!$U188)-1)),2)&amp;RIGHT("00"&amp;VALUE(MID(Sync!$U188,FIND(":",Sync!$U188)+1,2)),2),"0000"))))</f>
        <v/>
      </c>
    </row>
    <row r="193">
      <c r="A193">
        <f>IF(Sync!$T189="","",Sync!$T189)</f>
        <v/>
      </c>
      <c r="B193">
        <f>IF($A193="","",IF(ISNUMBER($A193),IF(AND($A193&gt;=10000101,$A193&lt;=99991231),INT($A193/10000),""),IFERROR(VALUE(TRIM(LEFT($A193,FIND("/",$A193)-1))),"")))</f>
        <v/>
      </c>
      <c r="C193">
        <f>IF(OR($A193="",$B193=""),"",IF(ISNUMBER($A193),INT(MOD($A193,10000)/100),IFERROR(VALUE(TRIM(LEFT(MID($A193,FIND("/",$A193)+1,20),FIND("/",MID($A193,FIND("/",$A193)+1,20))-1))),"")))</f>
        <v/>
      </c>
      <c r="D193">
        <f>IF(OR($A193="",$B193=""),"",IF(ISNUMBER($A193),MOD($A193,100),IFERROR(VALUE(TRIM(MID(MID($A193,FIND("/",$A193)+1,20),FIND("/",MID($A193,FIND("/",$A193)+1,20))+1,20))),"")))</f>
        <v/>
      </c>
      <c r="E193">
        <f>IF($A193="","",IF(OR($B193="",$C193="",$D193="",$B193&lt;1300,$B193&gt;1500,$C193&lt;1,$C193&gt;12,$D193&lt;1,$D193&gt;31),"نامعتبر",RIGHT("0000"&amp;$B193,4)&amp;"/"&amp;RIGHT("00"&amp;$C193,2)&amp;"/"&amp;RIGHT("00"&amp;$D193,2)))</f>
        <v/>
      </c>
      <c r="F193">
        <f>IF(OR($E193="",$E193="نامعتبر"),"",LEFT($E193,4)&amp;"/"&amp;MID($E193,6,2))</f>
        <v/>
      </c>
      <c r="G193">
        <f>IF(OR($E193="",$E193="نامعتبر",Sync!$X189=""),"",IF(AND(LEFT(UPPER(TRIM(Sync!$X189)),2)="SL",IFERROR(VLOOKUP(Sync!$W189,OpTbl,3,0),"")="فروش"),UPPER(TRIM(Sync!$X189)),""))</f>
        <v/>
      </c>
      <c r="H193">
        <f>IF($G193="","",IF(Sync!$W189="","",Sync!$W189))</f>
        <v/>
      </c>
      <c r="I193">
        <f>IF(OR($G193="",Sync!$Y189=""),"",Sync!$Y189)</f>
        <v/>
      </c>
      <c r="J193">
        <f>IF(OR($G193="",Sync!$Z189=""),"",Sync!$Z189)</f>
        <v/>
      </c>
      <c r="K193">
        <f>IF($G193="",0,IF(Sync!$AA189="",0,Sync!$AA189))</f>
        <v/>
      </c>
      <c r="L193">
        <f>IF($G193="",0,IF(Sync!$AB189="",0,Sync!$AB189))</f>
        <v/>
      </c>
      <c r="M193">
        <f>IF($G193="","",IF($H193="مرجوعی فروش",-1,1)*($K193-$L193*IFERROR(VLOOKUP("P01",ParamTbl,3,0),1.5)))</f>
        <v/>
      </c>
      <c r="N193">
        <f>IF($G193="",0,IF($H193="مرجوعی فروش",-1,1)*IF(Sync!$AC189="",0,Sync!$AC189))</f>
        <v/>
      </c>
      <c r="O193">
        <f>IF(OR($G193="",Sync!$V189=""),"",Sync!$V189)</f>
        <v/>
      </c>
      <c r="P193">
        <f>IF(OR($G193="",Sync!$AD189=""),"",Sync!$AD189)</f>
        <v/>
      </c>
      <c r="Q193">
        <f>IF($G193="","",IF(Sync!$U189="","0000",IF(AND(ISNUMBER(Sync!$U189),Sync!$U189&gt;=0,Sync!$U189&lt;1),RIGHT("00"&amp;HOUR(Sync!$U189),2)&amp;RIGHT("00"&amp;MINUTE(Sync!$U189),2),IFERROR(RIGHT("00"&amp;VALUE(LEFT(Sync!$U189,FIND(":",Sync!$U189)-1)),2)&amp;RIGHT("00"&amp;VALUE(MID(Sync!$U189,FIND(":",Sync!$U189)+1,2)),2),"0000"))))</f>
        <v/>
      </c>
    </row>
    <row r="194">
      <c r="A194">
        <f>IF(Sync!$T190="","",Sync!$T190)</f>
        <v/>
      </c>
      <c r="B194">
        <f>IF($A194="","",IF(ISNUMBER($A194),IF(AND($A194&gt;=10000101,$A194&lt;=99991231),INT($A194/10000),""),IFERROR(VALUE(TRIM(LEFT($A194,FIND("/",$A194)-1))),"")))</f>
        <v/>
      </c>
      <c r="C194">
        <f>IF(OR($A194="",$B194=""),"",IF(ISNUMBER($A194),INT(MOD($A194,10000)/100),IFERROR(VALUE(TRIM(LEFT(MID($A194,FIND("/",$A194)+1,20),FIND("/",MID($A194,FIND("/",$A194)+1,20))-1))),"")))</f>
        <v/>
      </c>
      <c r="D194">
        <f>IF(OR($A194="",$B194=""),"",IF(ISNUMBER($A194),MOD($A194,100),IFERROR(VALUE(TRIM(MID(MID($A194,FIND("/",$A194)+1,20),FIND("/",MID($A194,FIND("/",$A194)+1,20))+1,20))),"")))</f>
        <v/>
      </c>
      <c r="E194">
        <f>IF($A194="","",IF(OR($B194="",$C194="",$D194="",$B194&lt;1300,$B194&gt;1500,$C194&lt;1,$C194&gt;12,$D194&lt;1,$D194&gt;31),"نامعتبر",RIGHT("0000"&amp;$B194,4)&amp;"/"&amp;RIGHT("00"&amp;$C194,2)&amp;"/"&amp;RIGHT("00"&amp;$D194,2)))</f>
        <v/>
      </c>
      <c r="F194">
        <f>IF(OR($E194="",$E194="نامعتبر"),"",LEFT($E194,4)&amp;"/"&amp;MID($E194,6,2))</f>
        <v/>
      </c>
      <c r="G194">
        <f>IF(OR($E194="",$E194="نامعتبر",Sync!$X190=""),"",IF(AND(LEFT(UPPER(TRIM(Sync!$X190)),2)="SL",IFERROR(VLOOKUP(Sync!$W190,OpTbl,3,0),"")="فروش"),UPPER(TRIM(Sync!$X190)),""))</f>
        <v/>
      </c>
      <c r="H194">
        <f>IF($G194="","",IF(Sync!$W190="","",Sync!$W190))</f>
        <v/>
      </c>
      <c r="I194">
        <f>IF(OR($G194="",Sync!$Y190=""),"",Sync!$Y190)</f>
        <v/>
      </c>
      <c r="J194">
        <f>IF(OR($G194="",Sync!$Z190=""),"",Sync!$Z190)</f>
        <v/>
      </c>
      <c r="K194">
        <f>IF($G194="",0,IF(Sync!$AA190="",0,Sync!$AA190))</f>
        <v/>
      </c>
      <c r="L194">
        <f>IF($G194="",0,IF(Sync!$AB190="",0,Sync!$AB190))</f>
        <v/>
      </c>
      <c r="M194">
        <f>IF($G194="","",IF($H194="مرجوعی فروش",-1,1)*($K194-$L194*IFERROR(VLOOKUP("P01",ParamTbl,3,0),1.5)))</f>
        <v/>
      </c>
      <c r="N194">
        <f>IF($G194="",0,IF($H194="مرجوعی فروش",-1,1)*IF(Sync!$AC190="",0,Sync!$AC190))</f>
        <v/>
      </c>
      <c r="O194">
        <f>IF(OR($G194="",Sync!$V190=""),"",Sync!$V190)</f>
        <v/>
      </c>
      <c r="P194">
        <f>IF(OR($G194="",Sync!$AD190=""),"",Sync!$AD190)</f>
        <v/>
      </c>
      <c r="Q194">
        <f>IF($G194="","",IF(Sync!$U190="","0000",IF(AND(ISNUMBER(Sync!$U190),Sync!$U190&gt;=0,Sync!$U190&lt;1),RIGHT("00"&amp;HOUR(Sync!$U190),2)&amp;RIGHT("00"&amp;MINUTE(Sync!$U190),2),IFERROR(RIGHT("00"&amp;VALUE(LEFT(Sync!$U190,FIND(":",Sync!$U190)-1)),2)&amp;RIGHT("00"&amp;VALUE(MID(Sync!$U190,FIND(":",Sync!$U190)+1,2)),2),"0000"))))</f>
        <v/>
      </c>
    </row>
    <row r="195">
      <c r="A195">
        <f>IF(Sync!$T191="","",Sync!$T191)</f>
        <v/>
      </c>
      <c r="B195">
        <f>IF($A195="","",IF(ISNUMBER($A195),IF(AND($A195&gt;=10000101,$A195&lt;=99991231),INT($A195/10000),""),IFERROR(VALUE(TRIM(LEFT($A195,FIND("/",$A195)-1))),"")))</f>
        <v/>
      </c>
      <c r="C195">
        <f>IF(OR($A195="",$B195=""),"",IF(ISNUMBER($A195),INT(MOD($A195,10000)/100),IFERROR(VALUE(TRIM(LEFT(MID($A195,FIND("/",$A195)+1,20),FIND("/",MID($A195,FIND("/",$A195)+1,20))-1))),"")))</f>
        <v/>
      </c>
      <c r="D195">
        <f>IF(OR($A195="",$B195=""),"",IF(ISNUMBER($A195),MOD($A195,100),IFERROR(VALUE(TRIM(MID(MID($A195,FIND("/",$A195)+1,20),FIND("/",MID($A195,FIND("/",$A195)+1,20))+1,20))),"")))</f>
        <v/>
      </c>
      <c r="E195">
        <f>IF($A195="","",IF(OR($B195="",$C195="",$D195="",$B195&lt;1300,$B195&gt;1500,$C195&lt;1,$C195&gt;12,$D195&lt;1,$D195&gt;31),"نامعتبر",RIGHT("0000"&amp;$B195,4)&amp;"/"&amp;RIGHT("00"&amp;$C195,2)&amp;"/"&amp;RIGHT("00"&amp;$D195,2)))</f>
        <v/>
      </c>
      <c r="F195">
        <f>IF(OR($E195="",$E195="نامعتبر"),"",LEFT($E195,4)&amp;"/"&amp;MID($E195,6,2))</f>
        <v/>
      </c>
      <c r="G195">
        <f>IF(OR($E195="",$E195="نامعتبر",Sync!$X191=""),"",IF(AND(LEFT(UPPER(TRIM(Sync!$X191)),2)="SL",IFERROR(VLOOKUP(Sync!$W191,OpTbl,3,0),"")="فروش"),UPPER(TRIM(Sync!$X191)),""))</f>
        <v/>
      </c>
      <c r="H195">
        <f>IF($G195="","",IF(Sync!$W191="","",Sync!$W191))</f>
        <v/>
      </c>
      <c r="I195">
        <f>IF(OR($G195="",Sync!$Y191=""),"",Sync!$Y191)</f>
        <v/>
      </c>
      <c r="J195">
        <f>IF(OR($G195="",Sync!$Z191=""),"",Sync!$Z191)</f>
        <v/>
      </c>
      <c r="K195">
        <f>IF($G195="",0,IF(Sync!$AA191="",0,Sync!$AA191))</f>
        <v/>
      </c>
      <c r="L195">
        <f>IF($G195="",0,IF(Sync!$AB191="",0,Sync!$AB191))</f>
        <v/>
      </c>
      <c r="M195">
        <f>IF($G195="","",IF($H195="مرجوعی فروش",-1,1)*($K195-$L195*IFERROR(VLOOKUP("P01",ParamTbl,3,0),1.5)))</f>
        <v/>
      </c>
      <c r="N195">
        <f>IF($G195="",0,IF($H195="مرجوعی فروش",-1,1)*IF(Sync!$AC191="",0,Sync!$AC191))</f>
        <v/>
      </c>
      <c r="O195">
        <f>IF(OR($G195="",Sync!$V191=""),"",Sync!$V191)</f>
        <v/>
      </c>
      <c r="P195">
        <f>IF(OR($G195="",Sync!$AD191=""),"",Sync!$AD191)</f>
        <v/>
      </c>
      <c r="Q195">
        <f>IF($G195="","",IF(Sync!$U191="","0000",IF(AND(ISNUMBER(Sync!$U191),Sync!$U191&gt;=0,Sync!$U191&lt;1),RIGHT("00"&amp;HOUR(Sync!$U191),2)&amp;RIGHT("00"&amp;MINUTE(Sync!$U191),2),IFERROR(RIGHT("00"&amp;VALUE(LEFT(Sync!$U191,FIND(":",Sync!$U191)-1)),2)&amp;RIGHT("00"&amp;VALUE(MID(Sync!$U191,FIND(":",Sync!$U191)+1,2)),2),"0000"))))</f>
        <v/>
      </c>
    </row>
    <row r="196">
      <c r="A196">
        <f>IF(Sync!$T192="","",Sync!$T192)</f>
        <v/>
      </c>
      <c r="B196">
        <f>IF($A196="","",IF(ISNUMBER($A196),IF(AND($A196&gt;=10000101,$A196&lt;=99991231),INT($A196/10000),""),IFERROR(VALUE(TRIM(LEFT($A196,FIND("/",$A196)-1))),"")))</f>
        <v/>
      </c>
      <c r="C196">
        <f>IF(OR($A196="",$B196=""),"",IF(ISNUMBER($A196),INT(MOD($A196,10000)/100),IFERROR(VALUE(TRIM(LEFT(MID($A196,FIND("/",$A196)+1,20),FIND("/",MID($A196,FIND("/",$A196)+1,20))-1))),"")))</f>
        <v/>
      </c>
      <c r="D196">
        <f>IF(OR($A196="",$B196=""),"",IF(ISNUMBER($A196),MOD($A196,100),IFERROR(VALUE(TRIM(MID(MID($A196,FIND("/",$A196)+1,20),FIND("/",MID($A196,FIND("/",$A196)+1,20))+1,20))),"")))</f>
        <v/>
      </c>
      <c r="E196">
        <f>IF($A196="","",IF(OR($B196="",$C196="",$D196="",$B196&lt;1300,$B196&gt;1500,$C196&lt;1,$C196&gt;12,$D196&lt;1,$D196&gt;31),"نامعتبر",RIGHT("0000"&amp;$B196,4)&amp;"/"&amp;RIGHT("00"&amp;$C196,2)&amp;"/"&amp;RIGHT("00"&amp;$D196,2)))</f>
        <v/>
      </c>
      <c r="F196">
        <f>IF(OR($E196="",$E196="نامعتبر"),"",LEFT($E196,4)&amp;"/"&amp;MID($E196,6,2))</f>
        <v/>
      </c>
      <c r="G196">
        <f>IF(OR($E196="",$E196="نامعتبر",Sync!$X192=""),"",IF(AND(LEFT(UPPER(TRIM(Sync!$X192)),2)="SL",IFERROR(VLOOKUP(Sync!$W192,OpTbl,3,0),"")="فروش"),UPPER(TRIM(Sync!$X192)),""))</f>
        <v/>
      </c>
      <c r="H196">
        <f>IF($G196="","",IF(Sync!$W192="","",Sync!$W192))</f>
        <v/>
      </c>
      <c r="I196">
        <f>IF(OR($G196="",Sync!$Y192=""),"",Sync!$Y192)</f>
        <v/>
      </c>
      <c r="J196">
        <f>IF(OR($G196="",Sync!$Z192=""),"",Sync!$Z192)</f>
        <v/>
      </c>
      <c r="K196">
        <f>IF($G196="",0,IF(Sync!$AA192="",0,Sync!$AA192))</f>
        <v/>
      </c>
      <c r="L196">
        <f>IF($G196="",0,IF(Sync!$AB192="",0,Sync!$AB192))</f>
        <v/>
      </c>
      <c r="M196">
        <f>IF($G196="","",IF($H196="مرجوعی فروش",-1,1)*($K196-$L196*IFERROR(VLOOKUP("P01",ParamTbl,3,0),1.5)))</f>
        <v/>
      </c>
      <c r="N196">
        <f>IF($G196="",0,IF($H196="مرجوعی فروش",-1,1)*IF(Sync!$AC192="",0,Sync!$AC192))</f>
        <v/>
      </c>
      <c r="O196">
        <f>IF(OR($G196="",Sync!$V192=""),"",Sync!$V192)</f>
        <v/>
      </c>
      <c r="P196">
        <f>IF(OR($G196="",Sync!$AD192=""),"",Sync!$AD192)</f>
        <v/>
      </c>
      <c r="Q196">
        <f>IF($G196="","",IF(Sync!$U192="","0000",IF(AND(ISNUMBER(Sync!$U192),Sync!$U192&gt;=0,Sync!$U192&lt;1),RIGHT("00"&amp;HOUR(Sync!$U192),2)&amp;RIGHT("00"&amp;MINUTE(Sync!$U192),2),IFERROR(RIGHT("00"&amp;VALUE(LEFT(Sync!$U192,FIND(":",Sync!$U192)-1)),2)&amp;RIGHT("00"&amp;VALUE(MID(Sync!$U192,FIND(":",Sync!$U192)+1,2)),2),"0000"))))</f>
        <v/>
      </c>
    </row>
    <row r="197">
      <c r="A197">
        <f>IF(Sync!$T193="","",Sync!$T193)</f>
        <v/>
      </c>
      <c r="B197">
        <f>IF($A197="","",IF(ISNUMBER($A197),IF(AND($A197&gt;=10000101,$A197&lt;=99991231),INT($A197/10000),""),IFERROR(VALUE(TRIM(LEFT($A197,FIND("/",$A197)-1))),"")))</f>
        <v/>
      </c>
      <c r="C197">
        <f>IF(OR($A197="",$B197=""),"",IF(ISNUMBER($A197),INT(MOD($A197,10000)/100),IFERROR(VALUE(TRIM(LEFT(MID($A197,FIND("/",$A197)+1,20),FIND("/",MID($A197,FIND("/",$A197)+1,20))-1))),"")))</f>
        <v/>
      </c>
      <c r="D197">
        <f>IF(OR($A197="",$B197=""),"",IF(ISNUMBER($A197),MOD($A197,100),IFERROR(VALUE(TRIM(MID(MID($A197,FIND("/",$A197)+1,20),FIND("/",MID($A197,FIND("/",$A197)+1,20))+1,20))),"")))</f>
        <v/>
      </c>
      <c r="E197">
        <f>IF($A197="","",IF(OR($B197="",$C197="",$D197="",$B197&lt;1300,$B197&gt;1500,$C197&lt;1,$C197&gt;12,$D197&lt;1,$D197&gt;31),"نامعتبر",RIGHT("0000"&amp;$B197,4)&amp;"/"&amp;RIGHT("00"&amp;$C197,2)&amp;"/"&amp;RIGHT("00"&amp;$D197,2)))</f>
        <v/>
      </c>
      <c r="F197">
        <f>IF(OR($E197="",$E197="نامعتبر"),"",LEFT($E197,4)&amp;"/"&amp;MID($E197,6,2))</f>
        <v/>
      </c>
      <c r="G197">
        <f>IF(OR($E197="",$E197="نامعتبر",Sync!$X193=""),"",IF(AND(LEFT(UPPER(TRIM(Sync!$X193)),2)="SL",IFERROR(VLOOKUP(Sync!$W193,OpTbl,3,0),"")="فروش"),UPPER(TRIM(Sync!$X193)),""))</f>
        <v/>
      </c>
      <c r="H197">
        <f>IF($G197="","",IF(Sync!$W193="","",Sync!$W193))</f>
        <v/>
      </c>
      <c r="I197">
        <f>IF(OR($G197="",Sync!$Y193=""),"",Sync!$Y193)</f>
        <v/>
      </c>
      <c r="J197">
        <f>IF(OR($G197="",Sync!$Z193=""),"",Sync!$Z193)</f>
        <v/>
      </c>
      <c r="K197">
        <f>IF($G197="",0,IF(Sync!$AA193="",0,Sync!$AA193))</f>
        <v/>
      </c>
      <c r="L197">
        <f>IF($G197="",0,IF(Sync!$AB193="",0,Sync!$AB193))</f>
        <v/>
      </c>
      <c r="M197">
        <f>IF($G197="","",IF($H197="مرجوعی فروش",-1,1)*($K197-$L197*IFERROR(VLOOKUP("P01",ParamTbl,3,0),1.5)))</f>
        <v/>
      </c>
      <c r="N197">
        <f>IF($G197="",0,IF($H197="مرجوعی فروش",-1,1)*IF(Sync!$AC193="",0,Sync!$AC193))</f>
        <v/>
      </c>
      <c r="O197">
        <f>IF(OR($G197="",Sync!$V193=""),"",Sync!$V193)</f>
        <v/>
      </c>
      <c r="P197">
        <f>IF(OR($G197="",Sync!$AD193=""),"",Sync!$AD193)</f>
        <v/>
      </c>
      <c r="Q197">
        <f>IF($G197="","",IF(Sync!$U193="","0000",IF(AND(ISNUMBER(Sync!$U193),Sync!$U193&gt;=0,Sync!$U193&lt;1),RIGHT("00"&amp;HOUR(Sync!$U193),2)&amp;RIGHT("00"&amp;MINUTE(Sync!$U193),2),IFERROR(RIGHT("00"&amp;VALUE(LEFT(Sync!$U193,FIND(":",Sync!$U193)-1)),2)&amp;RIGHT("00"&amp;VALUE(MID(Sync!$U193,FIND(":",Sync!$U193)+1,2)),2),"0000"))))</f>
        <v/>
      </c>
    </row>
    <row r="198">
      <c r="A198">
        <f>IF(Sync!$T194="","",Sync!$T194)</f>
        <v/>
      </c>
      <c r="B198">
        <f>IF($A198="","",IF(ISNUMBER($A198),IF(AND($A198&gt;=10000101,$A198&lt;=99991231),INT($A198/10000),""),IFERROR(VALUE(TRIM(LEFT($A198,FIND("/",$A198)-1))),"")))</f>
        <v/>
      </c>
      <c r="C198">
        <f>IF(OR($A198="",$B198=""),"",IF(ISNUMBER($A198),INT(MOD($A198,10000)/100),IFERROR(VALUE(TRIM(LEFT(MID($A198,FIND("/",$A198)+1,20),FIND("/",MID($A198,FIND("/",$A198)+1,20))-1))),"")))</f>
        <v/>
      </c>
      <c r="D198">
        <f>IF(OR($A198="",$B198=""),"",IF(ISNUMBER($A198),MOD($A198,100),IFERROR(VALUE(TRIM(MID(MID($A198,FIND("/",$A198)+1,20),FIND("/",MID($A198,FIND("/",$A198)+1,20))+1,20))),"")))</f>
        <v/>
      </c>
      <c r="E198">
        <f>IF($A198="","",IF(OR($B198="",$C198="",$D198="",$B198&lt;1300,$B198&gt;1500,$C198&lt;1,$C198&gt;12,$D198&lt;1,$D198&gt;31),"نامعتبر",RIGHT("0000"&amp;$B198,4)&amp;"/"&amp;RIGHT("00"&amp;$C198,2)&amp;"/"&amp;RIGHT("00"&amp;$D198,2)))</f>
        <v/>
      </c>
      <c r="F198">
        <f>IF(OR($E198="",$E198="نامعتبر"),"",LEFT($E198,4)&amp;"/"&amp;MID($E198,6,2))</f>
        <v/>
      </c>
      <c r="G198">
        <f>IF(OR($E198="",$E198="نامعتبر",Sync!$X194=""),"",IF(AND(LEFT(UPPER(TRIM(Sync!$X194)),2)="SL",IFERROR(VLOOKUP(Sync!$W194,OpTbl,3,0),"")="فروش"),UPPER(TRIM(Sync!$X194)),""))</f>
        <v/>
      </c>
      <c r="H198">
        <f>IF($G198="","",IF(Sync!$W194="","",Sync!$W194))</f>
        <v/>
      </c>
      <c r="I198">
        <f>IF(OR($G198="",Sync!$Y194=""),"",Sync!$Y194)</f>
        <v/>
      </c>
      <c r="J198">
        <f>IF(OR($G198="",Sync!$Z194=""),"",Sync!$Z194)</f>
        <v/>
      </c>
      <c r="K198">
        <f>IF($G198="",0,IF(Sync!$AA194="",0,Sync!$AA194))</f>
        <v/>
      </c>
      <c r="L198">
        <f>IF($G198="",0,IF(Sync!$AB194="",0,Sync!$AB194))</f>
        <v/>
      </c>
      <c r="M198">
        <f>IF($G198="","",IF($H198="مرجوعی فروش",-1,1)*($K198-$L198*IFERROR(VLOOKUP("P01",ParamTbl,3,0),1.5)))</f>
        <v/>
      </c>
      <c r="N198">
        <f>IF($G198="",0,IF($H198="مرجوعی فروش",-1,1)*IF(Sync!$AC194="",0,Sync!$AC194))</f>
        <v/>
      </c>
      <c r="O198">
        <f>IF(OR($G198="",Sync!$V194=""),"",Sync!$V194)</f>
        <v/>
      </c>
      <c r="P198">
        <f>IF(OR($G198="",Sync!$AD194=""),"",Sync!$AD194)</f>
        <v/>
      </c>
      <c r="Q198">
        <f>IF($G198="","",IF(Sync!$U194="","0000",IF(AND(ISNUMBER(Sync!$U194),Sync!$U194&gt;=0,Sync!$U194&lt;1),RIGHT("00"&amp;HOUR(Sync!$U194),2)&amp;RIGHT("00"&amp;MINUTE(Sync!$U194),2),IFERROR(RIGHT("00"&amp;VALUE(LEFT(Sync!$U194,FIND(":",Sync!$U194)-1)),2)&amp;RIGHT("00"&amp;VALUE(MID(Sync!$U194,FIND(":",Sync!$U194)+1,2)),2),"0000"))))</f>
        <v/>
      </c>
    </row>
    <row r="199">
      <c r="A199">
        <f>IF(Sync!$T195="","",Sync!$T195)</f>
        <v/>
      </c>
      <c r="B199">
        <f>IF($A199="","",IF(ISNUMBER($A199),IF(AND($A199&gt;=10000101,$A199&lt;=99991231),INT($A199/10000),""),IFERROR(VALUE(TRIM(LEFT($A199,FIND("/",$A199)-1))),"")))</f>
        <v/>
      </c>
      <c r="C199">
        <f>IF(OR($A199="",$B199=""),"",IF(ISNUMBER($A199),INT(MOD($A199,10000)/100),IFERROR(VALUE(TRIM(LEFT(MID($A199,FIND("/",$A199)+1,20),FIND("/",MID($A199,FIND("/",$A199)+1,20))-1))),"")))</f>
        <v/>
      </c>
      <c r="D199">
        <f>IF(OR($A199="",$B199=""),"",IF(ISNUMBER($A199),MOD($A199,100),IFERROR(VALUE(TRIM(MID(MID($A199,FIND("/",$A199)+1,20),FIND("/",MID($A199,FIND("/",$A199)+1,20))+1,20))),"")))</f>
        <v/>
      </c>
      <c r="E199">
        <f>IF($A199="","",IF(OR($B199="",$C199="",$D199="",$B199&lt;1300,$B199&gt;1500,$C199&lt;1,$C199&gt;12,$D199&lt;1,$D199&gt;31),"نامعتبر",RIGHT("0000"&amp;$B199,4)&amp;"/"&amp;RIGHT("00"&amp;$C199,2)&amp;"/"&amp;RIGHT("00"&amp;$D199,2)))</f>
        <v/>
      </c>
      <c r="F199">
        <f>IF(OR($E199="",$E199="نامعتبر"),"",LEFT($E199,4)&amp;"/"&amp;MID($E199,6,2))</f>
        <v/>
      </c>
      <c r="G199">
        <f>IF(OR($E199="",$E199="نامعتبر",Sync!$X195=""),"",IF(AND(LEFT(UPPER(TRIM(Sync!$X195)),2)="SL",IFERROR(VLOOKUP(Sync!$W195,OpTbl,3,0),"")="فروش"),UPPER(TRIM(Sync!$X195)),""))</f>
        <v/>
      </c>
      <c r="H199">
        <f>IF($G199="","",IF(Sync!$W195="","",Sync!$W195))</f>
        <v/>
      </c>
      <c r="I199">
        <f>IF(OR($G199="",Sync!$Y195=""),"",Sync!$Y195)</f>
        <v/>
      </c>
      <c r="J199">
        <f>IF(OR($G199="",Sync!$Z195=""),"",Sync!$Z195)</f>
        <v/>
      </c>
      <c r="K199">
        <f>IF($G199="",0,IF(Sync!$AA195="",0,Sync!$AA195))</f>
        <v/>
      </c>
      <c r="L199">
        <f>IF($G199="",0,IF(Sync!$AB195="",0,Sync!$AB195))</f>
        <v/>
      </c>
      <c r="M199">
        <f>IF($G199="","",IF($H199="مرجوعی فروش",-1,1)*($K199-$L199*IFERROR(VLOOKUP("P01",ParamTbl,3,0),1.5)))</f>
        <v/>
      </c>
      <c r="N199">
        <f>IF($G199="",0,IF($H199="مرجوعی فروش",-1,1)*IF(Sync!$AC195="",0,Sync!$AC195))</f>
        <v/>
      </c>
      <c r="O199">
        <f>IF(OR($G199="",Sync!$V195=""),"",Sync!$V195)</f>
        <v/>
      </c>
      <c r="P199">
        <f>IF(OR($G199="",Sync!$AD195=""),"",Sync!$AD195)</f>
        <v/>
      </c>
      <c r="Q199">
        <f>IF($G199="","",IF(Sync!$U195="","0000",IF(AND(ISNUMBER(Sync!$U195),Sync!$U195&gt;=0,Sync!$U195&lt;1),RIGHT("00"&amp;HOUR(Sync!$U195),2)&amp;RIGHT("00"&amp;MINUTE(Sync!$U195),2),IFERROR(RIGHT("00"&amp;VALUE(LEFT(Sync!$U195,FIND(":",Sync!$U195)-1)),2)&amp;RIGHT("00"&amp;VALUE(MID(Sync!$U195,FIND(":",Sync!$U195)+1,2)),2),"0000"))))</f>
        <v/>
      </c>
    </row>
    <row r="200">
      <c r="A200">
        <f>IF(Sync!$T196="","",Sync!$T196)</f>
        <v/>
      </c>
      <c r="B200">
        <f>IF($A200="","",IF(ISNUMBER($A200),IF(AND($A200&gt;=10000101,$A200&lt;=99991231),INT($A200/10000),""),IFERROR(VALUE(TRIM(LEFT($A200,FIND("/",$A200)-1))),"")))</f>
        <v/>
      </c>
      <c r="C200">
        <f>IF(OR($A200="",$B200=""),"",IF(ISNUMBER($A200),INT(MOD($A200,10000)/100),IFERROR(VALUE(TRIM(LEFT(MID($A200,FIND("/",$A200)+1,20),FIND("/",MID($A200,FIND("/",$A200)+1,20))-1))),"")))</f>
        <v/>
      </c>
      <c r="D200">
        <f>IF(OR($A200="",$B200=""),"",IF(ISNUMBER($A200),MOD($A200,100),IFERROR(VALUE(TRIM(MID(MID($A200,FIND("/",$A200)+1,20),FIND("/",MID($A200,FIND("/",$A200)+1,20))+1,20))),"")))</f>
        <v/>
      </c>
      <c r="E200">
        <f>IF($A200="","",IF(OR($B200="",$C200="",$D200="",$B200&lt;1300,$B200&gt;1500,$C200&lt;1,$C200&gt;12,$D200&lt;1,$D200&gt;31),"نامعتبر",RIGHT("0000"&amp;$B200,4)&amp;"/"&amp;RIGHT("00"&amp;$C200,2)&amp;"/"&amp;RIGHT("00"&amp;$D200,2)))</f>
        <v/>
      </c>
      <c r="F200">
        <f>IF(OR($E200="",$E200="نامعتبر"),"",LEFT($E200,4)&amp;"/"&amp;MID($E200,6,2))</f>
        <v/>
      </c>
      <c r="G200">
        <f>IF(OR($E200="",$E200="نامعتبر",Sync!$X196=""),"",IF(AND(LEFT(UPPER(TRIM(Sync!$X196)),2)="SL",IFERROR(VLOOKUP(Sync!$W196,OpTbl,3,0),"")="فروش"),UPPER(TRIM(Sync!$X196)),""))</f>
        <v/>
      </c>
      <c r="H200">
        <f>IF($G200="","",IF(Sync!$W196="","",Sync!$W196))</f>
        <v/>
      </c>
      <c r="I200">
        <f>IF(OR($G200="",Sync!$Y196=""),"",Sync!$Y196)</f>
        <v/>
      </c>
      <c r="J200">
        <f>IF(OR($G200="",Sync!$Z196=""),"",Sync!$Z196)</f>
        <v/>
      </c>
      <c r="K200">
        <f>IF($G200="",0,IF(Sync!$AA196="",0,Sync!$AA196))</f>
        <v/>
      </c>
      <c r="L200">
        <f>IF($G200="",0,IF(Sync!$AB196="",0,Sync!$AB196))</f>
        <v/>
      </c>
      <c r="M200">
        <f>IF($G200="","",IF($H200="مرجوعی فروش",-1,1)*($K200-$L200*IFERROR(VLOOKUP("P01",ParamTbl,3,0),1.5)))</f>
        <v/>
      </c>
      <c r="N200">
        <f>IF($G200="",0,IF($H200="مرجوعی فروش",-1,1)*IF(Sync!$AC196="",0,Sync!$AC196))</f>
        <v/>
      </c>
      <c r="O200">
        <f>IF(OR($G200="",Sync!$V196=""),"",Sync!$V196)</f>
        <v/>
      </c>
      <c r="P200">
        <f>IF(OR($G200="",Sync!$AD196=""),"",Sync!$AD196)</f>
        <v/>
      </c>
      <c r="Q200">
        <f>IF($G200="","",IF(Sync!$U196="","0000",IF(AND(ISNUMBER(Sync!$U196),Sync!$U196&gt;=0,Sync!$U196&lt;1),RIGHT("00"&amp;HOUR(Sync!$U196),2)&amp;RIGHT("00"&amp;MINUTE(Sync!$U196),2),IFERROR(RIGHT("00"&amp;VALUE(LEFT(Sync!$U196,FIND(":",Sync!$U196)-1)),2)&amp;RIGHT("00"&amp;VALUE(MID(Sync!$U196,FIND(":",Sync!$U196)+1,2)),2),"0000"))))</f>
        <v/>
      </c>
    </row>
    <row r="201">
      <c r="A201">
        <f>IF(Sync!$T197="","",Sync!$T197)</f>
        <v/>
      </c>
      <c r="B201">
        <f>IF($A201="","",IF(ISNUMBER($A201),IF(AND($A201&gt;=10000101,$A201&lt;=99991231),INT($A201/10000),""),IFERROR(VALUE(TRIM(LEFT($A201,FIND("/",$A201)-1))),"")))</f>
        <v/>
      </c>
      <c r="C201">
        <f>IF(OR($A201="",$B201=""),"",IF(ISNUMBER($A201),INT(MOD($A201,10000)/100),IFERROR(VALUE(TRIM(LEFT(MID($A201,FIND("/",$A201)+1,20),FIND("/",MID($A201,FIND("/",$A201)+1,20))-1))),"")))</f>
        <v/>
      </c>
      <c r="D201">
        <f>IF(OR($A201="",$B201=""),"",IF(ISNUMBER($A201),MOD($A201,100),IFERROR(VALUE(TRIM(MID(MID($A201,FIND("/",$A201)+1,20),FIND("/",MID($A201,FIND("/",$A201)+1,20))+1,20))),"")))</f>
        <v/>
      </c>
      <c r="E201">
        <f>IF($A201="","",IF(OR($B201="",$C201="",$D201="",$B201&lt;1300,$B201&gt;1500,$C201&lt;1,$C201&gt;12,$D201&lt;1,$D201&gt;31),"نامعتبر",RIGHT("0000"&amp;$B201,4)&amp;"/"&amp;RIGHT("00"&amp;$C201,2)&amp;"/"&amp;RIGHT("00"&amp;$D201,2)))</f>
        <v/>
      </c>
      <c r="F201">
        <f>IF(OR($E201="",$E201="نامعتبر"),"",LEFT($E201,4)&amp;"/"&amp;MID($E201,6,2))</f>
        <v/>
      </c>
      <c r="G201">
        <f>IF(OR($E201="",$E201="نامعتبر",Sync!$X197=""),"",IF(AND(LEFT(UPPER(TRIM(Sync!$X197)),2)="SL",IFERROR(VLOOKUP(Sync!$W197,OpTbl,3,0),"")="فروش"),UPPER(TRIM(Sync!$X197)),""))</f>
        <v/>
      </c>
      <c r="H201">
        <f>IF($G201="","",IF(Sync!$W197="","",Sync!$W197))</f>
        <v/>
      </c>
      <c r="I201">
        <f>IF(OR($G201="",Sync!$Y197=""),"",Sync!$Y197)</f>
        <v/>
      </c>
      <c r="J201">
        <f>IF(OR($G201="",Sync!$Z197=""),"",Sync!$Z197)</f>
        <v/>
      </c>
      <c r="K201">
        <f>IF($G201="",0,IF(Sync!$AA197="",0,Sync!$AA197))</f>
        <v/>
      </c>
      <c r="L201">
        <f>IF($G201="",0,IF(Sync!$AB197="",0,Sync!$AB197))</f>
        <v/>
      </c>
      <c r="M201">
        <f>IF($G201="","",IF($H201="مرجوعی فروش",-1,1)*($K201-$L201*IFERROR(VLOOKUP("P01",ParamTbl,3,0),1.5)))</f>
        <v/>
      </c>
      <c r="N201">
        <f>IF($G201="",0,IF($H201="مرجوعی فروش",-1,1)*IF(Sync!$AC197="",0,Sync!$AC197))</f>
        <v/>
      </c>
      <c r="O201">
        <f>IF(OR($G201="",Sync!$V197=""),"",Sync!$V197)</f>
        <v/>
      </c>
      <c r="P201">
        <f>IF(OR($G201="",Sync!$AD197=""),"",Sync!$AD197)</f>
        <v/>
      </c>
      <c r="Q201">
        <f>IF($G201="","",IF(Sync!$U197="","0000",IF(AND(ISNUMBER(Sync!$U197),Sync!$U197&gt;=0,Sync!$U197&lt;1),RIGHT("00"&amp;HOUR(Sync!$U197),2)&amp;RIGHT("00"&amp;MINUTE(Sync!$U197),2),IFERROR(RIGHT("00"&amp;VALUE(LEFT(Sync!$U197,FIND(":",Sync!$U197)-1)),2)&amp;RIGHT("00"&amp;VALUE(MID(Sync!$U197,FIND(":",Sync!$U197)+1,2)),2),"0000"))))</f>
        <v/>
      </c>
    </row>
    <row r="202">
      <c r="A202">
        <f>IF(Sync!$T198="","",Sync!$T198)</f>
        <v/>
      </c>
      <c r="B202">
        <f>IF($A202="","",IF(ISNUMBER($A202),IF(AND($A202&gt;=10000101,$A202&lt;=99991231),INT($A202/10000),""),IFERROR(VALUE(TRIM(LEFT($A202,FIND("/",$A202)-1))),"")))</f>
        <v/>
      </c>
      <c r="C202">
        <f>IF(OR($A202="",$B202=""),"",IF(ISNUMBER($A202),INT(MOD($A202,10000)/100),IFERROR(VALUE(TRIM(LEFT(MID($A202,FIND("/",$A202)+1,20),FIND("/",MID($A202,FIND("/",$A202)+1,20))-1))),"")))</f>
        <v/>
      </c>
      <c r="D202">
        <f>IF(OR($A202="",$B202=""),"",IF(ISNUMBER($A202),MOD($A202,100),IFERROR(VALUE(TRIM(MID(MID($A202,FIND("/",$A202)+1,20),FIND("/",MID($A202,FIND("/",$A202)+1,20))+1,20))),"")))</f>
        <v/>
      </c>
      <c r="E202">
        <f>IF($A202="","",IF(OR($B202="",$C202="",$D202="",$B202&lt;1300,$B202&gt;1500,$C202&lt;1,$C202&gt;12,$D202&lt;1,$D202&gt;31),"نامعتبر",RIGHT("0000"&amp;$B202,4)&amp;"/"&amp;RIGHT("00"&amp;$C202,2)&amp;"/"&amp;RIGHT("00"&amp;$D202,2)))</f>
        <v/>
      </c>
      <c r="F202">
        <f>IF(OR($E202="",$E202="نامعتبر"),"",LEFT($E202,4)&amp;"/"&amp;MID($E202,6,2))</f>
        <v/>
      </c>
      <c r="G202">
        <f>IF(OR($E202="",$E202="نامعتبر",Sync!$X198=""),"",IF(AND(LEFT(UPPER(TRIM(Sync!$X198)),2)="SL",IFERROR(VLOOKUP(Sync!$W198,OpTbl,3,0),"")="فروش"),UPPER(TRIM(Sync!$X198)),""))</f>
        <v/>
      </c>
      <c r="H202">
        <f>IF($G202="","",IF(Sync!$W198="","",Sync!$W198))</f>
        <v/>
      </c>
      <c r="I202">
        <f>IF(OR($G202="",Sync!$Y198=""),"",Sync!$Y198)</f>
        <v/>
      </c>
      <c r="J202">
        <f>IF(OR($G202="",Sync!$Z198=""),"",Sync!$Z198)</f>
        <v/>
      </c>
      <c r="K202">
        <f>IF($G202="",0,IF(Sync!$AA198="",0,Sync!$AA198))</f>
        <v/>
      </c>
      <c r="L202">
        <f>IF($G202="",0,IF(Sync!$AB198="",0,Sync!$AB198))</f>
        <v/>
      </c>
      <c r="M202">
        <f>IF($G202="","",IF($H202="مرجوعی فروش",-1,1)*($K202-$L202*IFERROR(VLOOKUP("P01",ParamTbl,3,0),1.5)))</f>
        <v/>
      </c>
      <c r="N202">
        <f>IF($G202="",0,IF($H202="مرجوعی فروش",-1,1)*IF(Sync!$AC198="",0,Sync!$AC198))</f>
        <v/>
      </c>
      <c r="O202">
        <f>IF(OR($G202="",Sync!$V198=""),"",Sync!$V198)</f>
        <v/>
      </c>
      <c r="P202">
        <f>IF(OR($G202="",Sync!$AD198=""),"",Sync!$AD198)</f>
        <v/>
      </c>
      <c r="Q202">
        <f>IF($G202="","",IF(Sync!$U198="","0000",IF(AND(ISNUMBER(Sync!$U198),Sync!$U198&gt;=0,Sync!$U198&lt;1),RIGHT("00"&amp;HOUR(Sync!$U198),2)&amp;RIGHT("00"&amp;MINUTE(Sync!$U198),2),IFERROR(RIGHT("00"&amp;VALUE(LEFT(Sync!$U198,FIND(":",Sync!$U198)-1)),2)&amp;RIGHT("00"&amp;VALUE(MID(Sync!$U198,FIND(":",Sync!$U198)+1,2)),2),"0000"))))</f>
        <v/>
      </c>
    </row>
    <row r="203">
      <c r="A203">
        <f>IF(Sync!$T199="","",Sync!$T199)</f>
        <v/>
      </c>
      <c r="B203">
        <f>IF($A203="","",IF(ISNUMBER($A203),IF(AND($A203&gt;=10000101,$A203&lt;=99991231),INT($A203/10000),""),IFERROR(VALUE(TRIM(LEFT($A203,FIND("/",$A203)-1))),"")))</f>
        <v/>
      </c>
      <c r="C203">
        <f>IF(OR($A203="",$B203=""),"",IF(ISNUMBER($A203),INT(MOD($A203,10000)/100),IFERROR(VALUE(TRIM(LEFT(MID($A203,FIND("/",$A203)+1,20),FIND("/",MID($A203,FIND("/",$A203)+1,20))-1))),"")))</f>
        <v/>
      </c>
      <c r="D203">
        <f>IF(OR($A203="",$B203=""),"",IF(ISNUMBER($A203),MOD($A203,100),IFERROR(VALUE(TRIM(MID(MID($A203,FIND("/",$A203)+1,20),FIND("/",MID($A203,FIND("/",$A203)+1,20))+1,20))),"")))</f>
        <v/>
      </c>
      <c r="E203">
        <f>IF($A203="","",IF(OR($B203="",$C203="",$D203="",$B203&lt;1300,$B203&gt;1500,$C203&lt;1,$C203&gt;12,$D203&lt;1,$D203&gt;31),"نامعتبر",RIGHT("0000"&amp;$B203,4)&amp;"/"&amp;RIGHT("00"&amp;$C203,2)&amp;"/"&amp;RIGHT("00"&amp;$D203,2)))</f>
        <v/>
      </c>
      <c r="F203">
        <f>IF(OR($E203="",$E203="نامعتبر"),"",LEFT($E203,4)&amp;"/"&amp;MID($E203,6,2))</f>
        <v/>
      </c>
      <c r="G203">
        <f>IF(OR($E203="",$E203="نامعتبر",Sync!$X199=""),"",IF(AND(LEFT(UPPER(TRIM(Sync!$X199)),2)="SL",IFERROR(VLOOKUP(Sync!$W199,OpTbl,3,0),"")="فروش"),UPPER(TRIM(Sync!$X199)),""))</f>
        <v/>
      </c>
      <c r="H203">
        <f>IF($G203="","",IF(Sync!$W199="","",Sync!$W199))</f>
        <v/>
      </c>
      <c r="I203">
        <f>IF(OR($G203="",Sync!$Y199=""),"",Sync!$Y199)</f>
        <v/>
      </c>
      <c r="J203">
        <f>IF(OR($G203="",Sync!$Z199=""),"",Sync!$Z199)</f>
        <v/>
      </c>
      <c r="K203">
        <f>IF($G203="",0,IF(Sync!$AA199="",0,Sync!$AA199))</f>
        <v/>
      </c>
      <c r="L203">
        <f>IF($G203="",0,IF(Sync!$AB199="",0,Sync!$AB199))</f>
        <v/>
      </c>
      <c r="M203">
        <f>IF($G203="","",IF($H203="مرجوعی فروش",-1,1)*($K203-$L203*IFERROR(VLOOKUP("P01",ParamTbl,3,0),1.5)))</f>
        <v/>
      </c>
      <c r="N203">
        <f>IF($G203="",0,IF($H203="مرجوعی فروش",-1,1)*IF(Sync!$AC199="",0,Sync!$AC199))</f>
        <v/>
      </c>
      <c r="O203">
        <f>IF(OR($G203="",Sync!$V199=""),"",Sync!$V199)</f>
        <v/>
      </c>
      <c r="P203">
        <f>IF(OR($G203="",Sync!$AD199=""),"",Sync!$AD199)</f>
        <v/>
      </c>
      <c r="Q203">
        <f>IF($G203="","",IF(Sync!$U199="","0000",IF(AND(ISNUMBER(Sync!$U199),Sync!$U199&gt;=0,Sync!$U199&lt;1),RIGHT("00"&amp;HOUR(Sync!$U199),2)&amp;RIGHT("00"&amp;MINUTE(Sync!$U199),2),IFERROR(RIGHT("00"&amp;VALUE(LEFT(Sync!$U199,FIND(":",Sync!$U199)-1)),2)&amp;RIGHT("00"&amp;VALUE(MID(Sync!$U199,FIND(":",Sync!$U199)+1,2)),2),"0000"))))</f>
        <v/>
      </c>
    </row>
    <row r="204">
      <c r="A204">
        <f>IF(Sync!$T200="","",Sync!$T200)</f>
        <v/>
      </c>
      <c r="B204">
        <f>IF($A204="","",IF(ISNUMBER($A204),IF(AND($A204&gt;=10000101,$A204&lt;=99991231),INT($A204/10000),""),IFERROR(VALUE(TRIM(LEFT($A204,FIND("/",$A204)-1))),"")))</f>
        <v/>
      </c>
      <c r="C204">
        <f>IF(OR($A204="",$B204=""),"",IF(ISNUMBER($A204),INT(MOD($A204,10000)/100),IFERROR(VALUE(TRIM(LEFT(MID($A204,FIND("/",$A204)+1,20),FIND("/",MID($A204,FIND("/",$A204)+1,20))-1))),"")))</f>
        <v/>
      </c>
      <c r="D204">
        <f>IF(OR($A204="",$B204=""),"",IF(ISNUMBER($A204),MOD($A204,100),IFERROR(VALUE(TRIM(MID(MID($A204,FIND("/",$A204)+1,20),FIND("/",MID($A204,FIND("/",$A204)+1,20))+1,20))),"")))</f>
        <v/>
      </c>
      <c r="E204">
        <f>IF($A204="","",IF(OR($B204="",$C204="",$D204="",$B204&lt;1300,$B204&gt;1500,$C204&lt;1,$C204&gt;12,$D204&lt;1,$D204&gt;31),"نامعتبر",RIGHT("0000"&amp;$B204,4)&amp;"/"&amp;RIGHT("00"&amp;$C204,2)&amp;"/"&amp;RIGHT("00"&amp;$D204,2)))</f>
        <v/>
      </c>
      <c r="F204">
        <f>IF(OR($E204="",$E204="نامعتبر"),"",LEFT($E204,4)&amp;"/"&amp;MID($E204,6,2))</f>
        <v/>
      </c>
      <c r="G204">
        <f>IF(OR($E204="",$E204="نامعتبر",Sync!$X200=""),"",IF(AND(LEFT(UPPER(TRIM(Sync!$X200)),2)="SL",IFERROR(VLOOKUP(Sync!$W200,OpTbl,3,0),"")="فروش"),UPPER(TRIM(Sync!$X200)),""))</f>
        <v/>
      </c>
      <c r="H204">
        <f>IF($G204="","",IF(Sync!$W200="","",Sync!$W200))</f>
        <v/>
      </c>
      <c r="I204">
        <f>IF(OR($G204="",Sync!$Y200=""),"",Sync!$Y200)</f>
        <v/>
      </c>
      <c r="J204">
        <f>IF(OR($G204="",Sync!$Z200=""),"",Sync!$Z200)</f>
        <v/>
      </c>
      <c r="K204">
        <f>IF($G204="",0,IF(Sync!$AA200="",0,Sync!$AA200))</f>
        <v/>
      </c>
      <c r="L204">
        <f>IF($G204="",0,IF(Sync!$AB200="",0,Sync!$AB200))</f>
        <v/>
      </c>
      <c r="M204">
        <f>IF($G204="","",IF($H204="مرجوعی فروش",-1,1)*($K204-$L204*IFERROR(VLOOKUP("P01",ParamTbl,3,0),1.5)))</f>
        <v/>
      </c>
      <c r="N204">
        <f>IF($G204="",0,IF($H204="مرجوعی فروش",-1,1)*IF(Sync!$AC200="",0,Sync!$AC200))</f>
        <v/>
      </c>
      <c r="O204">
        <f>IF(OR($G204="",Sync!$V200=""),"",Sync!$V200)</f>
        <v/>
      </c>
      <c r="P204">
        <f>IF(OR($G204="",Sync!$AD200=""),"",Sync!$AD200)</f>
        <v/>
      </c>
      <c r="Q204">
        <f>IF($G204="","",IF(Sync!$U200="","0000",IF(AND(ISNUMBER(Sync!$U200),Sync!$U200&gt;=0,Sync!$U200&lt;1),RIGHT("00"&amp;HOUR(Sync!$U200),2)&amp;RIGHT("00"&amp;MINUTE(Sync!$U200),2),IFERROR(RIGHT("00"&amp;VALUE(LEFT(Sync!$U200,FIND(":",Sync!$U200)-1)),2)&amp;RIGHT("00"&amp;VALUE(MID(Sync!$U200,FIND(":",Sync!$U200)+1,2)),2),"0000"))))</f>
        <v/>
      </c>
    </row>
    <row r="205">
      <c r="A205">
        <f>IF(Sync!$T201="","",Sync!$T201)</f>
        <v/>
      </c>
      <c r="B205">
        <f>IF($A205="","",IF(ISNUMBER($A205),IF(AND($A205&gt;=10000101,$A205&lt;=99991231),INT($A205/10000),""),IFERROR(VALUE(TRIM(LEFT($A205,FIND("/",$A205)-1))),"")))</f>
        <v/>
      </c>
      <c r="C205">
        <f>IF(OR($A205="",$B205=""),"",IF(ISNUMBER($A205),INT(MOD($A205,10000)/100),IFERROR(VALUE(TRIM(LEFT(MID($A205,FIND("/",$A205)+1,20),FIND("/",MID($A205,FIND("/",$A205)+1,20))-1))),"")))</f>
        <v/>
      </c>
      <c r="D205">
        <f>IF(OR($A205="",$B205=""),"",IF(ISNUMBER($A205),MOD($A205,100),IFERROR(VALUE(TRIM(MID(MID($A205,FIND("/",$A205)+1,20),FIND("/",MID($A205,FIND("/",$A205)+1,20))+1,20))),"")))</f>
        <v/>
      </c>
      <c r="E205">
        <f>IF($A205="","",IF(OR($B205="",$C205="",$D205="",$B205&lt;1300,$B205&gt;1500,$C205&lt;1,$C205&gt;12,$D205&lt;1,$D205&gt;31),"نامعتبر",RIGHT("0000"&amp;$B205,4)&amp;"/"&amp;RIGHT("00"&amp;$C205,2)&amp;"/"&amp;RIGHT("00"&amp;$D205,2)))</f>
        <v/>
      </c>
      <c r="F205">
        <f>IF(OR($E205="",$E205="نامعتبر"),"",LEFT($E205,4)&amp;"/"&amp;MID($E205,6,2))</f>
        <v/>
      </c>
      <c r="G205">
        <f>IF(OR($E205="",$E205="نامعتبر",Sync!$X201=""),"",IF(AND(LEFT(UPPER(TRIM(Sync!$X201)),2)="SL",IFERROR(VLOOKUP(Sync!$W201,OpTbl,3,0),"")="فروش"),UPPER(TRIM(Sync!$X201)),""))</f>
        <v/>
      </c>
      <c r="H205">
        <f>IF($G205="","",IF(Sync!$W201="","",Sync!$W201))</f>
        <v/>
      </c>
      <c r="I205">
        <f>IF(OR($G205="",Sync!$Y201=""),"",Sync!$Y201)</f>
        <v/>
      </c>
      <c r="J205">
        <f>IF(OR($G205="",Sync!$Z201=""),"",Sync!$Z201)</f>
        <v/>
      </c>
      <c r="K205">
        <f>IF($G205="",0,IF(Sync!$AA201="",0,Sync!$AA201))</f>
        <v/>
      </c>
      <c r="L205">
        <f>IF($G205="",0,IF(Sync!$AB201="",0,Sync!$AB201))</f>
        <v/>
      </c>
      <c r="M205">
        <f>IF($G205="","",IF($H205="مرجوعی فروش",-1,1)*($K205-$L205*IFERROR(VLOOKUP("P01",ParamTbl,3,0),1.5)))</f>
        <v/>
      </c>
      <c r="N205">
        <f>IF($G205="",0,IF($H205="مرجوعی فروش",-1,1)*IF(Sync!$AC201="",0,Sync!$AC201))</f>
        <v/>
      </c>
      <c r="O205">
        <f>IF(OR($G205="",Sync!$V201=""),"",Sync!$V201)</f>
        <v/>
      </c>
      <c r="P205">
        <f>IF(OR($G205="",Sync!$AD201=""),"",Sync!$AD201)</f>
        <v/>
      </c>
      <c r="Q205">
        <f>IF($G205="","",IF(Sync!$U201="","0000",IF(AND(ISNUMBER(Sync!$U201),Sync!$U201&gt;=0,Sync!$U201&lt;1),RIGHT("00"&amp;HOUR(Sync!$U201),2)&amp;RIGHT("00"&amp;MINUTE(Sync!$U201),2),IFERROR(RIGHT("00"&amp;VALUE(LEFT(Sync!$U201,FIND(":",Sync!$U201)-1)),2)&amp;RIGHT("00"&amp;VALUE(MID(Sync!$U201,FIND(":",Sync!$U201)+1,2)),2),"0000"))))</f>
        <v/>
      </c>
    </row>
    <row r="206">
      <c r="A206">
        <f>IF(Sync!$T202="","",Sync!$T202)</f>
        <v/>
      </c>
      <c r="B206">
        <f>IF($A206="","",IF(ISNUMBER($A206),IF(AND($A206&gt;=10000101,$A206&lt;=99991231),INT($A206/10000),""),IFERROR(VALUE(TRIM(LEFT($A206,FIND("/",$A206)-1))),"")))</f>
        <v/>
      </c>
      <c r="C206">
        <f>IF(OR($A206="",$B206=""),"",IF(ISNUMBER($A206),INT(MOD($A206,10000)/100),IFERROR(VALUE(TRIM(LEFT(MID($A206,FIND("/",$A206)+1,20),FIND("/",MID($A206,FIND("/",$A206)+1,20))-1))),"")))</f>
        <v/>
      </c>
      <c r="D206">
        <f>IF(OR($A206="",$B206=""),"",IF(ISNUMBER($A206),MOD($A206,100),IFERROR(VALUE(TRIM(MID(MID($A206,FIND("/",$A206)+1,20),FIND("/",MID($A206,FIND("/",$A206)+1,20))+1,20))),"")))</f>
        <v/>
      </c>
      <c r="E206">
        <f>IF($A206="","",IF(OR($B206="",$C206="",$D206="",$B206&lt;1300,$B206&gt;1500,$C206&lt;1,$C206&gt;12,$D206&lt;1,$D206&gt;31),"نامعتبر",RIGHT("0000"&amp;$B206,4)&amp;"/"&amp;RIGHT("00"&amp;$C206,2)&amp;"/"&amp;RIGHT("00"&amp;$D206,2)))</f>
        <v/>
      </c>
      <c r="F206">
        <f>IF(OR($E206="",$E206="نامعتبر"),"",LEFT($E206,4)&amp;"/"&amp;MID($E206,6,2))</f>
        <v/>
      </c>
      <c r="G206">
        <f>IF(OR($E206="",$E206="نامعتبر",Sync!$X202=""),"",IF(AND(LEFT(UPPER(TRIM(Sync!$X202)),2)="SL",IFERROR(VLOOKUP(Sync!$W202,OpTbl,3,0),"")="فروش"),UPPER(TRIM(Sync!$X202)),""))</f>
        <v/>
      </c>
      <c r="H206">
        <f>IF($G206="","",IF(Sync!$W202="","",Sync!$W202))</f>
        <v/>
      </c>
      <c r="I206">
        <f>IF(OR($G206="",Sync!$Y202=""),"",Sync!$Y202)</f>
        <v/>
      </c>
      <c r="J206">
        <f>IF(OR($G206="",Sync!$Z202=""),"",Sync!$Z202)</f>
        <v/>
      </c>
      <c r="K206">
        <f>IF($G206="",0,IF(Sync!$AA202="",0,Sync!$AA202))</f>
        <v/>
      </c>
      <c r="L206">
        <f>IF($G206="",0,IF(Sync!$AB202="",0,Sync!$AB202))</f>
        <v/>
      </c>
      <c r="M206">
        <f>IF($G206="","",IF($H206="مرجوعی فروش",-1,1)*($K206-$L206*IFERROR(VLOOKUP("P01",ParamTbl,3,0),1.5)))</f>
        <v/>
      </c>
      <c r="N206">
        <f>IF($G206="",0,IF($H206="مرجوعی فروش",-1,1)*IF(Sync!$AC202="",0,Sync!$AC202))</f>
        <v/>
      </c>
      <c r="O206">
        <f>IF(OR($G206="",Sync!$V202=""),"",Sync!$V202)</f>
        <v/>
      </c>
      <c r="P206">
        <f>IF(OR($G206="",Sync!$AD202=""),"",Sync!$AD202)</f>
        <v/>
      </c>
      <c r="Q206">
        <f>IF($G206="","",IF(Sync!$U202="","0000",IF(AND(ISNUMBER(Sync!$U202),Sync!$U202&gt;=0,Sync!$U202&lt;1),RIGHT("00"&amp;HOUR(Sync!$U202),2)&amp;RIGHT("00"&amp;MINUTE(Sync!$U202),2),IFERROR(RIGHT("00"&amp;VALUE(LEFT(Sync!$U202,FIND(":",Sync!$U202)-1)),2)&amp;RIGHT("00"&amp;VALUE(MID(Sync!$U202,FIND(":",Sync!$U202)+1,2)),2),"0000"))))</f>
        <v/>
      </c>
    </row>
    <row r="207">
      <c r="A207">
        <f>IF(Sync!$T203="","",Sync!$T203)</f>
        <v/>
      </c>
      <c r="B207">
        <f>IF($A207="","",IF(ISNUMBER($A207),IF(AND($A207&gt;=10000101,$A207&lt;=99991231),INT($A207/10000),""),IFERROR(VALUE(TRIM(LEFT($A207,FIND("/",$A207)-1))),"")))</f>
        <v/>
      </c>
      <c r="C207">
        <f>IF(OR($A207="",$B207=""),"",IF(ISNUMBER($A207),INT(MOD($A207,10000)/100),IFERROR(VALUE(TRIM(LEFT(MID($A207,FIND("/",$A207)+1,20),FIND("/",MID($A207,FIND("/",$A207)+1,20))-1))),"")))</f>
        <v/>
      </c>
      <c r="D207">
        <f>IF(OR($A207="",$B207=""),"",IF(ISNUMBER($A207),MOD($A207,100),IFERROR(VALUE(TRIM(MID(MID($A207,FIND("/",$A207)+1,20),FIND("/",MID($A207,FIND("/",$A207)+1,20))+1,20))),"")))</f>
        <v/>
      </c>
      <c r="E207">
        <f>IF($A207="","",IF(OR($B207="",$C207="",$D207="",$B207&lt;1300,$B207&gt;1500,$C207&lt;1,$C207&gt;12,$D207&lt;1,$D207&gt;31),"نامعتبر",RIGHT("0000"&amp;$B207,4)&amp;"/"&amp;RIGHT("00"&amp;$C207,2)&amp;"/"&amp;RIGHT("00"&amp;$D207,2)))</f>
        <v/>
      </c>
      <c r="F207">
        <f>IF(OR($E207="",$E207="نامعتبر"),"",LEFT($E207,4)&amp;"/"&amp;MID($E207,6,2))</f>
        <v/>
      </c>
      <c r="G207">
        <f>IF(OR($E207="",$E207="نامعتبر",Sync!$X203=""),"",IF(AND(LEFT(UPPER(TRIM(Sync!$X203)),2)="SL",IFERROR(VLOOKUP(Sync!$W203,OpTbl,3,0),"")="فروش"),UPPER(TRIM(Sync!$X203)),""))</f>
        <v/>
      </c>
      <c r="H207">
        <f>IF($G207="","",IF(Sync!$W203="","",Sync!$W203))</f>
        <v/>
      </c>
      <c r="I207">
        <f>IF(OR($G207="",Sync!$Y203=""),"",Sync!$Y203)</f>
        <v/>
      </c>
      <c r="J207">
        <f>IF(OR($G207="",Sync!$Z203=""),"",Sync!$Z203)</f>
        <v/>
      </c>
      <c r="K207">
        <f>IF($G207="",0,IF(Sync!$AA203="",0,Sync!$AA203))</f>
        <v/>
      </c>
      <c r="L207">
        <f>IF($G207="",0,IF(Sync!$AB203="",0,Sync!$AB203))</f>
        <v/>
      </c>
      <c r="M207">
        <f>IF($G207="","",IF($H207="مرجوعی فروش",-1,1)*($K207-$L207*IFERROR(VLOOKUP("P01",ParamTbl,3,0),1.5)))</f>
        <v/>
      </c>
      <c r="N207">
        <f>IF($G207="",0,IF($H207="مرجوعی فروش",-1,1)*IF(Sync!$AC203="",0,Sync!$AC203))</f>
        <v/>
      </c>
      <c r="O207">
        <f>IF(OR($G207="",Sync!$V203=""),"",Sync!$V203)</f>
        <v/>
      </c>
      <c r="P207">
        <f>IF(OR($G207="",Sync!$AD203=""),"",Sync!$AD203)</f>
        <v/>
      </c>
      <c r="Q207">
        <f>IF($G207="","",IF(Sync!$U203="","0000",IF(AND(ISNUMBER(Sync!$U203),Sync!$U203&gt;=0,Sync!$U203&lt;1),RIGHT("00"&amp;HOUR(Sync!$U203),2)&amp;RIGHT("00"&amp;MINUTE(Sync!$U203),2),IFERROR(RIGHT("00"&amp;VALUE(LEFT(Sync!$U203,FIND(":",Sync!$U203)-1)),2)&amp;RIGHT("00"&amp;VALUE(MID(Sync!$U203,FIND(":",Sync!$U203)+1,2)),2),"0000"))))</f>
        <v/>
      </c>
    </row>
    <row r="208">
      <c r="A208">
        <f>IF(Sync!$T204="","",Sync!$T204)</f>
        <v/>
      </c>
      <c r="B208">
        <f>IF($A208="","",IF(ISNUMBER($A208),IF(AND($A208&gt;=10000101,$A208&lt;=99991231),INT($A208/10000),""),IFERROR(VALUE(TRIM(LEFT($A208,FIND("/",$A208)-1))),"")))</f>
        <v/>
      </c>
      <c r="C208">
        <f>IF(OR($A208="",$B208=""),"",IF(ISNUMBER($A208),INT(MOD($A208,10000)/100),IFERROR(VALUE(TRIM(LEFT(MID($A208,FIND("/",$A208)+1,20),FIND("/",MID($A208,FIND("/",$A208)+1,20))-1))),"")))</f>
        <v/>
      </c>
      <c r="D208">
        <f>IF(OR($A208="",$B208=""),"",IF(ISNUMBER($A208),MOD($A208,100),IFERROR(VALUE(TRIM(MID(MID($A208,FIND("/",$A208)+1,20),FIND("/",MID($A208,FIND("/",$A208)+1,20))+1,20))),"")))</f>
        <v/>
      </c>
      <c r="E208">
        <f>IF($A208="","",IF(OR($B208="",$C208="",$D208="",$B208&lt;1300,$B208&gt;1500,$C208&lt;1,$C208&gt;12,$D208&lt;1,$D208&gt;31),"نامعتبر",RIGHT("0000"&amp;$B208,4)&amp;"/"&amp;RIGHT("00"&amp;$C208,2)&amp;"/"&amp;RIGHT("00"&amp;$D208,2)))</f>
        <v/>
      </c>
      <c r="F208">
        <f>IF(OR($E208="",$E208="نامعتبر"),"",LEFT($E208,4)&amp;"/"&amp;MID($E208,6,2))</f>
        <v/>
      </c>
      <c r="G208">
        <f>IF(OR($E208="",$E208="نامعتبر",Sync!$X204=""),"",IF(AND(LEFT(UPPER(TRIM(Sync!$X204)),2)="SL",IFERROR(VLOOKUP(Sync!$W204,OpTbl,3,0),"")="فروش"),UPPER(TRIM(Sync!$X204)),""))</f>
        <v/>
      </c>
      <c r="H208">
        <f>IF($G208="","",IF(Sync!$W204="","",Sync!$W204))</f>
        <v/>
      </c>
      <c r="I208">
        <f>IF(OR($G208="",Sync!$Y204=""),"",Sync!$Y204)</f>
        <v/>
      </c>
      <c r="J208">
        <f>IF(OR($G208="",Sync!$Z204=""),"",Sync!$Z204)</f>
        <v/>
      </c>
      <c r="K208">
        <f>IF($G208="",0,IF(Sync!$AA204="",0,Sync!$AA204))</f>
        <v/>
      </c>
      <c r="L208">
        <f>IF($G208="",0,IF(Sync!$AB204="",0,Sync!$AB204))</f>
        <v/>
      </c>
      <c r="M208">
        <f>IF($G208="","",IF($H208="مرجوعی فروش",-1,1)*($K208-$L208*IFERROR(VLOOKUP("P01",ParamTbl,3,0),1.5)))</f>
        <v/>
      </c>
      <c r="N208">
        <f>IF($G208="",0,IF($H208="مرجوعی فروش",-1,1)*IF(Sync!$AC204="",0,Sync!$AC204))</f>
        <v/>
      </c>
      <c r="O208">
        <f>IF(OR($G208="",Sync!$V204=""),"",Sync!$V204)</f>
        <v/>
      </c>
      <c r="P208">
        <f>IF(OR($G208="",Sync!$AD204=""),"",Sync!$AD204)</f>
        <v/>
      </c>
      <c r="Q208">
        <f>IF($G208="","",IF(Sync!$U204="","0000",IF(AND(ISNUMBER(Sync!$U204),Sync!$U204&gt;=0,Sync!$U204&lt;1),RIGHT("00"&amp;HOUR(Sync!$U204),2)&amp;RIGHT("00"&amp;MINUTE(Sync!$U204),2),IFERROR(RIGHT("00"&amp;VALUE(LEFT(Sync!$U204,FIND(":",Sync!$U204)-1)),2)&amp;RIGHT("00"&amp;VALUE(MID(Sync!$U204,FIND(":",Sync!$U204)+1,2)),2),"0000"))))</f>
        <v/>
      </c>
    </row>
    <row r="209">
      <c r="A209">
        <f>IF(Sync!$T205="","",Sync!$T205)</f>
        <v/>
      </c>
      <c r="B209">
        <f>IF($A209="","",IF(ISNUMBER($A209),IF(AND($A209&gt;=10000101,$A209&lt;=99991231),INT($A209/10000),""),IFERROR(VALUE(TRIM(LEFT($A209,FIND("/",$A209)-1))),"")))</f>
        <v/>
      </c>
      <c r="C209">
        <f>IF(OR($A209="",$B209=""),"",IF(ISNUMBER($A209),INT(MOD($A209,10000)/100),IFERROR(VALUE(TRIM(LEFT(MID($A209,FIND("/",$A209)+1,20),FIND("/",MID($A209,FIND("/",$A209)+1,20))-1))),"")))</f>
        <v/>
      </c>
      <c r="D209">
        <f>IF(OR($A209="",$B209=""),"",IF(ISNUMBER($A209),MOD($A209,100),IFERROR(VALUE(TRIM(MID(MID($A209,FIND("/",$A209)+1,20),FIND("/",MID($A209,FIND("/",$A209)+1,20))+1,20))),"")))</f>
        <v/>
      </c>
      <c r="E209">
        <f>IF($A209="","",IF(OR($B209="",$C209="",$D209="",$B209&lt;1300,$B209&gt;1500,$C209&lt;1,$C209&gt;12,$D209&lt;1,$D209&gt;31),"نامعتبر",RIGHT("0000"&amp;$B209,4)&amp;"/"&amp;RIGHT("00"&amp;$C209,2)&amp;"/"&amp;RIGHT("00"&amp;$D209,2)))</f>
        <v/>
      </c>
      <c r="F209">
        <f>IF(OR($E209="",$E209="نامعتبر"),"",LEFT($E209,4)&amp;"/"&amp;MID($E209,6,2))</f>
        <v/>
      </c>
      <c r="G209">
        <f>IF(OR($E209="",$E209="نامعتبر",Sync!$X205=""),"",IF(AND(LEFT(UPPER(TRIM(Sync!$X205)),2)="SL",IFERROR(VLOOKUP(Sync!$W205,OpTbl,3,0),"")="فروش"),UPPER(TRIM(Sync!$X205)),""))</f>
        <v/>
      </c>
      <c r="H209">
        <f>IF($G209="","",IF(Sync!$W205="","",Sync!$W205))</f>
        <v/>
      </c>
      <c r="I209">
        <f>IF(OR($G209="",Sync!$Y205=""),"",Sync!$Y205)</f>
        <v/>
      </c>
      <c r="J209">
        <f>IF(OR($G209="",Sync!$Z205=""),"",Sync!$Z205)</f>
        <v/>
      </c>
      <c r="K209">
        <f>IF($G209="",0,IF(Sync!$AA205="",0,Sync!$AA205))</f>
        <v/>
      </c>
      <c r="L209">
        <f>IF($G209="",0,IF(Sync!$AB205="",0,Sync!$AB205))</f>
        <v/>
      </c>
      <c r="M209">
        <f>IF($G209="","",IF($H209="مرجوعی فروش",-1,1)*($K209-$L209*IFERROR(VLOOKUP("P01",ParamTbl,3,0),1.5)))</f>
        <v/>
      </c>
      <c r="N209">
        <f>IF($G209="",0,IF($H209="مرجوعی فروش",-1,1)*IF(Sync!$AC205="",0,Sync!$AC205))</f>
        <v/>
      </c>
      <c r="O209">
        <f>IF(OR($G209="",Sync!$V205=""),"",Sync!$V205)</f>
        <v/>
      </c>
      <c r="P209">
        <f>IF(OR($G209="",Sync!$AD205=""),"",Sync!$AD205)</f>
        <v/>
      </c>
      <c r="Q209">
        <f>IF($G209="","",IF(Sync!$U205="","0000",IF(AND(ISNUMBER(Sync!$U205),Sync!$U205&gt;=0,Sync!$U205&lt;1),RIGHT("00"&amp;HOUR(Sync!$U205),2)&amp;RIGHT("00"&amp;MINUTE(Sync!$U205),2),IFERROR(RIGHT("00"&amp;VALUE(LEFT(Sync!$U205,FIND(":",Sync!$U205)-1)),2)&amp;RIGHT("00"&amp;VALUE(MID(Sync!$U205,FIND(":",Sync!$U205)+1,2)),2),"0000"))))</f>
        <v/>
      </c>
    </row>
    <row r="210">
      <c r="A210">
        <f>IF(Sync!$T206="","",Sync!$T206)</f>
        <v/>
      </c>
      <c r="B210">
        <f>IF($A210="","",IF(ISNUMBER($A210),IF(AND($A210&gt;=10000101,$A210&lt;=99991231),INT($A210/10000),""),IFERROR(VALUE(TRIM(LEFT($A210,FIND("/",$A210)-1))),"")))</f>
        <v/>
      </c>
      <c r="C210">
        <f>IF(OR($A210="",$B210=""),"",IF(ISNUMBER($A210),INT(MOD($A210,10000)/100),IFERROR(VALUE(TRIM(LEFT(MID($A210,FIND("/",$A210)+1,20),FIND("/",MID($A210,FIND("/",$A210)+1,20))-1))),"")))</f>
        <v/>
      </c>
      <c r="D210">
        <f>IF(OR($A210="",$B210=""),"",IF(ISNUMBER($A210),MOD($A210,100),IFERROR(VALUE(TRIM(MID(MID($A210,FIND("/",$A210)+1,20),FIND("/",MID($A210,FIND("/",$A210)+1,20))+1,20))),"")))</f>
        <v/>
      </c>
      <c r="E210">
        <f>IF($A210="","",IF(OR($B210="",$C210="",$D210="",$B210&lt;1300,$B210&gt;1500,$C210&lt;1,$C210&gt;12,$D210&lt;1,$D210&gt;31),"نامعتبر",RIGHT("0000"&amp;$B210,4)&amp;"/"&amp;RIGHT("00"&amp;$C210,2)&amp;"/"&amp;RIGHT("00"&amp;$D210,2)))</f>
        <v/>
      </c>
      <c r="F210">
        <f>IF(OR($E210="",$E210="نامعتبر"),"",LEFT($E210,4)&amp;"/"&amp;MID($E210,6,2))</f>
        <v/>
      </c>
      <c r="G210">
        <f>IF(OR($E210="",$E210="نامعتبر",Sync!$X206=""),"",IF(AND(LEFT(UPPER(TRIM(Sync!$X206)),2)="SL",IFERROR(VLOOKUP(Sync!$W206,OpTbl,3,0),"")="فروش"),UPPER(TRIM(Sync!$X206)),""))</f>
        <v/>
      </c>
      <c r="H210">
        <f>IF($G210="","",IF(Sync!$W206="","",Sync!$W206))</f>
        <v/>
      </c>
      <c r="I210">
        <f>IF(OR($G210="",Sync!$Y206=""),"",Sync!$Y206)</f>
        <v/>
      </c>
      <c r="J210">
        <f>IF(OR($G210="",Sync!$Z206=""),"",Sync!$Z206)</f>
        <v/>
      </c>
      <c r="K210">
        <f>IF($G210="",0,IF(Sync!$AA206="",0,Sync!$AA206))</f>
        <v/>
      </c>
      <c r="L210">
        <f>IF($G210="",0,IF(Sync!$AB206="",0,Sync!$AB206))</f>
        <v/>
      </c>
      <c r="M210">
        <f>IF($G210="","",IF($H210="مرجوعی فروش",-1,1)*($K210-$L210*IFERROR(VLOOKUP("P01",ParamTbl,3,0),1.5)))</f>
        <v/>
      </c>
      <c r="N210">
        <f>IF($G210="",0,IF($H210="مرجوعی فروش",-1,1)*IF(Sync!$AC206="",0,Sync!$AC206))</f>
        <v/>
      </c>
      <c r="O210">
        <f>IF(OR($G210="",Sync!$V206=""),"",Sync!$V206)</f>
        <v/>
      </c>
      <c r="P210">
        <f>IF(OR($G210="",Sync!$AD206=""),"",Sync!$AD206)</f>
        <v/>
      </c>
      <c r="Q210">
        <f>IF($G210="","",IF(Sync!$U206="","0000",IF(AND(ISNUMBER(Sync!$U206),Sync!$U206&gt;=0,Sync!$U206&lt;1),RIGHT("00"&amp;HOUR(Sync!$U206),2)&amp;RIGHT("00"&amp;MINUTE(Sync!$U206),2),IFERROR(RIGHT("00"&amp;VALUE(LEFT(Sync!$U206,FIND(":",Sync!$U206)-1)),2)&amp;RIGHT("00"&amp;VALUE(MID(Sync!$U206,FIND(":",Sync!$U206)+1,2)),2),"0000"))))</f>
        <v/>
      </c>
    </row>
    <row r="211">
      <c r="A211">
        <f>IF(Sync!$T207="","",Sync!$T207)</f>
        <v/>
      </c>
      <c r="B211">
        <f>IF($A211="","",IF(ISNUMBER($A211),IF(AND($A211&gt;=10000101,$A211&lt;=99991231),INT($A211/10000),""),IFERROR(VALUE(TRIM(LEFT($A211,FIND("/",$A211)-1))),"")))</f>
        <v/>
      </c>
      <c r="C211">
        <f>IF(OR($A211="",$B211=""),"",IF(ISNUMBER($A211),INT(MOD($A211,10000)/100),IFERROR(VALUE(TRIM(LEFT(MID($A211,FIND("/",$A211)+1,20),FIND("/",MID($A211,FIND("/",$A211)+1,20))-1))),"")))</f>
        <v/>
      </c>
      <c r="D211">
        <f>IF(OR($A211="",$B211=""),"",IF(ISNUMBER($A211),MOD($A211,100),IFERROR(VALUE(TRIM(MID(MID($A211,FIND("/",$A211)+1,20),FIND("/",MID($A211,FIND("/",$A211)+1,20))+1,20))),"")))</f>
        <v/>
      </c>
      <c r="E211">
        <f>IF($A211="","",IF(OR($B211="",$C211="",$D211="",$B211&lt;1300,$B211&gt;1500,$C211&lt;1,$C211&gt;12,$D211&lt;1,$D211&gt;31),"نامعتبر",RIGHT("0000"&amp;$B211,4)&amp;"/"&amp;RIGHT("00"&amp;$C211,2)&amp;"/"&amp;RIGHT("00"&amp;$D211,2)))</f>
        <v/>
      </c>
      <c r="F211">
        <f>IF(OR($E211="",$E211="نامعتبر"),"",LEFT($E211,4)&amp;"/"&amp;MID($E211,6,2))</f>
        <v/>
      </c>
      <c r="G211">
        <f>IF(OR($E211="",$E211="نامعتبر",Sync!$X207=""),"",IF(AND(LEFT(UPPER(TRIM(Sync!$X207)),2)="SL",IFERROR(VLOOKUP(Sync!$W207,OpTbl,3,0),"")="فروش"),UPPER(TRIM(Sync!$X207)),""))</f>
        <v/>
      </c>
      <c r="H211">
        <f>IF($G211="","",IF(Sync!$W207="","",Sync!$W207))</f>
        <v/>
      </c>
      <c r="I211">
        <f>IF(OR($G211="",Sync!$Y207=""),"",Sync!$Y207)</f>
        <v/>
      </c>
      <c r="J211">
        <f>IF(OR($G211="",Sync!$Z207=""),"",Sync!$Z207)</f>
        <v/>
      </c>
      <c r="K211">
        <f>IF($G211="",0,IF(Sync!$AA207="",0,Sync!$AA207))</f>
        <v/>
      </c>
      <c r="L211">
        <f>IF($G211="",0,IF(Sync!$AB207="",0,Sync!$AB207))</f>
        <v/>
      </c>
      <c r="M211">
        <f>IF($G211="","",IF($H211="مرجوعی فروش",-1,1)*($K211-$L211*IFERROR(VLOOKUP("P01",ParamTbl,3,0),1.5)))</f>
        <v/>
      </c>
      <c r="N211">
        <f>IF($G211="",0,IF($H211="مرجوعی فروش",-1,1)*IF(Sync!$AC207="",0,Sync!$AC207))</f>
        <v/>
      </c>
      <c r="O211">
        <f>IF(OR($G211="",Sync!$V207=""),"",Sync!$V207)</f>
        <v/>
      </c>
      <c r="P211">
        <f>IF(OR($G211="",Sync!$AD207=""),"",Sync!$AD207)</f>
        <v/>
      </c>
      <c r="Q211">
        <f>IF($G211="","",IF(Sync!$U207="","0000",IF(AND(ISNUMBER(Sync!$U207),Sync!$U207&gt;=0,Sync!$U207&lt;1),RIGHT("00"&amp;HOUR(Sync!$U207),2)&amp;RIGHT("00"&amp;MINUTE(Sync!$U207),2),IFERROR(RIGHT("00"&amp;VALUE(LEFT(Sync!$U207,FIND(":",Sync!$U207)-1)),2)&amp;RIGHT("00"&amp;VALUE(MID(Sync!$U207,FIND(":",Sync!$U207)+1,2)),2),"0000"))))</f>
        <v/>
      </c>
    </row>
    <row r="212">
      <c r="A212">
        <f>IF(Sync!$T208="","",Sync!$T208)</f>
        <v/>
      </c>
      <c r="B212">
        <f>IF($A212="","",IF(ISNUMBER($A212),IF(AND($A212&gt;=10000101,$A212&lt;=99991231),INT($A212/10000),""),IFERROR(VALUE(TRIM(LEFT($A212,FIND("/",$A212)-1))),"")))</f>
        <v/>
      </c>
      <c r="C212">
        <f>IF(OR($A212="",$B212=""),"",IF(ISNUMBER($A212),INT(MOD($A212,10000)/100),IFERROR(VALUE(TRIM(LEFT(MID($A212,FIND("/",$A212)+1,20),FIND("/",MID($A212,FIND("/",$A212)+1,20))-1))),"")))</f>
        <v/>
      </c>
      <c r="D212">
        <f>IF(OR($A212="",$B212=""),"",IF(ISNUMBER($A212),MOD($A212,100),IFERROR(VALUE(TRIM(MID(MID($A212,FIND("/",$A212)+1,20),FIND("/",MID($A212,FIND("/",$A212)+1,20))+1,20))),"")))</f>
        <v/>
      </c>
      <c r="E212">
        <f>IF($A212="","",IF(OR($B212="",$C212="",$D212="",$B212&lt;1300,$B212&gt;1500,$C212&lt;1,$C212&gt;12,$D212&lt;1,$D212&gt;31),"نامعتبر",RIGHT("0000"&amp;$B212,4)&amp;"/"&amp;RIGHT("00"&amp;$C212,2)&amp;"/"&amp;RIGHT("00"&amp;$D212,2)))</f>
        <v/>
      </c>
      <c r="F212">
        <f>IF(OR($E212="",$E212="نامعتبر"),"",LEFT($E212,4)&amp;"/"&amp;MID($E212,6,2))</f>
        <v/>
      </c>
      <c r="G212">
        <f>IF(OR($E212="",$E212="نامعتبر",Sync!$X208=""),"",IF(AND(LEFT(UPPER(TRIM(Sync!$X208)),2)="SL",IFERROR(VLOOKUP(Sync!$W208,OpTbl,3,0),"")="فروش"),UPPER(TRIM(Sync!$X208)),""))</f>
        <v/>
      </c>
      <c r="H212">
        <f>IF($G212="","",IF(Sync!$W208="","",Sync!$W208))</f>
        <v/>
      </c>
      <c r="I212">
        <f>IF(OR($G212="",Sync!$Y208=""),"",Sync!$Y208)</f>
        <v/>
      </c>
      <c r="J212">
        <f>IF(OR($G212="",Sync!$Z208=""),"",Sync!$Z208)</f>
        <v/>
      </c>
      <c r="K212">
        <f>IF($G212="",0,IF(Sync!$AA208="",0,Sync!$AA208))</f>
        <v/>
      </c>
      <c r="L212">
        <f>IF($G212="",0,IF(Sync!$AB208="",0,Sync!$AB208))</f>
        <v/>
      </c>
      <c r="M212">
        <f>IF($G212="","",IF($H212="مرجوعی فروش",-1,1)*($K212-$L212*IFERROR(VLOOKUP("P01",ParamTbl,3,0),1.5)))</f>
        <v/>
      </c>
      <c r="N212">
        <f>IF($G212="",0,IF($H212="مرجوعی فروش",-1,1)*IF(Sync!$AC208="",0,Sync!$AC208))</f>
        <v/>
      </c>
      <c r="O212">
        <f>IF(OR($G212="",Sync!$V208=""),"",Sync!$V208)</f>
        <v/>
      </c>
      <c r="P212">
        <f>IF(OR($G212="",Sync!$AD208=""),"",Sync!$AD208)</f>
        <v/>
      </c>
      <c r="Q212">
        <f>IF($G212="","",IF(Sync!$U208="","0000",IF(AND(ISNUMBER(Sync!$U208),Sync!$U208&gt;=0,Sync!$U208&lt;1),RIGHT("00"&amp;HOUR(Sync!$U208),2)&amp;RIGHT("00"&amp;MINUTE(Sync!$U208),2),IFERROR(RIGHT("00"&amp;VALUE(LEFT(Sync!$U208,FIND(":",Sync!$U208)-1)),2)&amp;RIGHT("00"&amp;VALUE(MID(Sync!$U208,FIND(":",Sync!$U208)+1,2)),2),"0000"))))</f>
        <v/>
      </c>
    </row>
    <row r="213">
      <c r="A213">
        <f>IF(Sync!$T209="","",Sync!$T209)</f>
        <v/>
      </c>
      <c r="B213">
        <f>IF($A213="","",IF(ISNUMBER($A213),IF(AND($A213&gt;=10000101,$A213&lt;=99991231),INT($A213/10000),""),IFERROR(VALUE(TRIM(LEFT($A213,FIND("/",$A213)-1))),"")))</f>
        <v/>
      </c>
      <c r="C213">
        <f>IF(OR($A213="",$B213=""),"",IF(ISNUMBER($A213),INT(MOD($A213,10000)/100),IFERROR(VALUE(TRIM(LEFT(MID($A213,FIND("/",$A213)+1,20),FIND("/",MID($A213,FIND("/",$A213)+1,20))-1))),"")))</f>
        <v/>
      </c>
      <c r="D213">
        <f>IF(OR($A213="",$B213=""),"",IF(ISNUMBER($A213),MOD($A213,100),IFERROR(VALUE(TRIM(MID(MID($A213,FIND("/",$A213)+1,20),FIND("/",MID($A213,FIND("/",$A213)+1,20))+1,20))),"")))</f>
        <v/>
      </c>
      <c r="E213">
        <f>IF($A213="","",IF(OR($B213="",$C213="",$D213="",$B213&lt;1300,$B213&gt;1500,$C213&lt;1,$C213&gt;12,$D213&lt;1,$D213&gt;31),"نامعتبر",RIGHT("0000"&amp;$B213,4)&amp;"/"&amp;RIGHT("00"&amp;$C213,2)&amp;"/"&amp;RIGHT("00"&amp;$D213,2)))</f>
        <v/>
      </c>
      <c r="F213">
        <f>IF(OR($E213="",$E213="نامعتبر"),"",LEFT($E213,4)&amp;"/"&amp;MID($E213,6,2))</f>
        <v/>
      </c>
      <c r="G213">
        <f>IF(OR($E213="",$E213="نامعتبر",Sync!$X209=""),"",IF(AND(LEFT(UPPER(TRIM(Sync!$X209)),2)="SL",IFERROR(VLOOKUP(Sync!$W209,OpTbl,3,0),"")="فروش"),UPPER(TRIM(Sync!$X209)),""))</f>
        <v/>
      </c>
      <c r="H213">
        <f>IF($G213="","",IF(Sync!$W209="","",Sync!$W209))</f>
        <v/>
      </c>
      <c r="I213">
        <f>IF(OR($G213="",Sync!$Y209=""),"",Sync!$Y209)</f>
        <v/>
      </c>
      <c r="J213">
        <f>IF(OR($G213="",Sync!$Z209=""),"",Sync!$Z209)</f>
        <v/>
      </c>
      <c r="K213">
        <f>IF($G213="",0,IF(Sync!$AA209="",0,Sync!$AA209))</f>
        <v/>
      </c>
      <c r="L213">
        <f>IF($G213="",0,IF(Sync!$AB209="",0,Sync!$AB209))</f>
        <v/>
      </c>
      <c r="M213">
        <f>IF($G213="","",IF($H213="مرجوعی فروش",-1,1)*($K213-$L213*IFERROR(VLOOKUP("P01",ParamTbl,3,0),1.5)))</f>
        <v/>
      </c>
      <c r="N213">
        <f>IF($G213="",0,IF($H213="مرجوعی فروش",-1,1)*IF(Sync!$AC209="",0,Sync!$AC209))</f>
        <v/>
      </c>
      <c r="O213">
        <f>IF(OR($G213="",Sync!$V209=""),"",Sync!$V209)</f>
        <v/>
      </c>
      <c r="P213">
        <f>IF(OR($G213="",Sync!$AD209=""),"",Sync!$AD209)</f>
        <v/>
      </c>
      <c r="Q213">
        <f>IF($G213="","",IF(Sync!$U209="","0000",IF(AND(ISNUMBER(Sync!$U209),Sync!$U209&gt;=0,Sync!$U209&lt;1),RIGHT("00"&amp;HOUR(Sync!$U209),2)&amp;RIGHT("00"&amp;MINUTE(Sync!$U209),2),IFERROR(RIGHT("00"&amp;VALUE(LEFT(Sync!$U209,FIND(":",Sync!$U209)-1)),2)&amp;RIGHT("00"&amp;VALUE(MID(Sync!$U209,FIND(":",Sync!$U209)+1,2)),2),"0000"))))</f>
        <v/>
      </c>
    </row>
    <row r="214">
      <c r="A214">
        <f>IF(Sync!$T210="","",Sync!$T210)</f>
        <v/>
      </c>
      <c r="B214">
        <f>IF($A214="","",IF(ISNUMBER($A214),IF(AND($A214&gt;=10000101,$A214&lt;=99991231),INT($A214/10000),""),IFERROR(VALUE(TRIM(LEFT($A214,FIND("/",$A214)-1))),"")))</f>
        <v/>
      </c>
      <c r="C214">
        <f>IF(OR($A214="",$B214=""),"",IF(ISNUMBER($A214),INT(MOD($A214,10000)/100),IFERROR(VALUE(TRIM(LEFT(MID($A214,FIND("/",$A214)+1,20),FIND("/",MID($A214,FIND("/",$A214)+1,20))-1))),"")))</f>
        <v/>
      </c>
      <c r="D214">
        <f>IF(OR($A214="",$B214=""),"",IF(ISNUMBER($A214),MOD($A214,100),IFERROR(VALUE(TRIM(MID(MID($A214,FIND("/",$A214)+1,20),FIND("/",MID($A214,FIND("/",$A214)+1,20))+1,20))),"")))</f>
        <v/>
      </c>
      <c r="E214">
        <f>IF($A214="","",IF(OR($B214="",$C214="",$D214="",$B214&lt;1300,$B214&gt;1500,$C214&lt;1,$C214&gt;12,$D214&lt;1,$D214&gt;31),"نامعتبر",RIGHT("0000"&amp;$B214,4)&amp;"/"&amp;RIGHT("00"&amp;$C214,2)&amp;"/"&amp;RIGHT("00"&amp;$D214,2)))</f>
        <v/>
      </c>
      <c r="F214">
        <f>IF(OR($E214="",$E214="نامعتبر"),"",LEFT($E214,4)&amp;"/"&amp;MID($E214,6,2))</f>
        <v/>
      </c>
      <c r="G214">
        <f>IF(OR($E214="",$E214="نامعتبر",Sync!$X210=""),"",IF(AND(LEFT(UPPER(TRIM(Sync!$X210)),2)="SL",IFERROR(VLOOKUP(Sync!$W210,OpTbl,3,0),"")="فروش"),UPPER(TRIM(Sync!$X210)),""))</f>
        <v/>
      </c>
      <c r="H214">
        <f>IF($G214="","",IF(Sync!$W210="","",Sync!$W210))</f>
        <v/>
      </c>
      <c r="I214">
        <f>IF(OR($G214="",Sync!$Y210=""),"",Sync!$Y210)</f>
        <v/>
      </c>
      <c r="J214">
        <f>IF(OR($G214="",Sync!$Z210=""),"",Sync!$Z210)</f>
        <v/>
      </c>
      <c r="K214">
        <f>IF($G214="",0,IF(Sync!$AA210="",0,Sync!$AA210))</f>
        <v/>
      </c>
      <c r="L214">
        <f>IF($G214="",0,IF(Sync!$AB210="",0,Sync!$AB210))</f>
        <v/>
      </c>
      <c r="M214">
        <f>IF($G214="","",IF($H214="مرجوعی فروش",-1,1)*($K214-$L214*IFERROR(VLOOKUP("P01",ParamTbl,3,0),1.5)))</f>
        <v/>
      </c>
      <c r="N214">
        <f>IF($G214="",0,IF($H214="مرجوعی فروش",-1,1)*IF(Sync!$AC210="",0,Sync!$AC210))</f>
        <v/>
      </c>
      <c r="O214">
        <f>IF(OR($G214="",Sync!$V210=""),"",Sync!$V210)</f>
        <v/>
      </c>
      <c r="P214">
        <f>IF(OR($G214="",Sync!$AD210=""),"",Sync!$AD210)</f>
        <v/>
      </c>
      <c r="Q214">
        <f>IF($G214="","",IF(Sync!$U210="","0000",IF(AND(ISNUMBER(Sync!$U210),Sync!$U210&gt;=0,Sync!$U210&lt;1),RIGHT("00"&amp;HOUR(Sync!$U210),2)&amp;RIGHT("00"&amp;MINUTE(Sync!$U210),2),IFERROR(RIGHT("00"&amp;VALUE(LEFT(Sync!$U210,FIND(":",Sync!$U210)-1)),2)&amp;RIGHT("00"&amp;VALUE(MID(Sync!$U210,FIND(":",Sync!$U210)+1,2)),2),"0000"))))</f>
        <v/>
      </c>
    </row>
    <row r="215">
      <c r="A215">
        <f>IF(Sync!$T211="","",Sync!$T211)</f>
        <v/>
      </c>
      <c r="B215">
        <f>IF($A215="","",IF(ISNUMBER($A215),IF(AND($A215&gt;=10000101,$A215&lt;=99991231),INT($A215/10000),""),IFERROR(VALUE(TRIM(LEFT($A215,FIND("/",$A215)-1))),"")))</f>
        <v/>
      </c>
      <c r="C215">
        <f>IF(OR($A215="",$B215=""),"",IF(ISNUMBER($A215),INT(MOD($A215,10000)/100),IFERROR(VALUE(TRIM(LEFT(MID($A215,FIND("/",$A215)+1,20),FIND("/",MID($A215,FIND("/",$A215)+1,20))-1))),"")))</f>
        <v/>
      </c>
      <c r="D215">
        <f>IF(OR($A215="",$B215=""),"",IF(ISNUMBER($A215),MOD($A215,100),IFERROR(VALUE(TRIM(MID(MID($A215,FIND("/",$A215)+1,20),FIND("/",MID($A215,FIND("/",$A215)+1,20))+1,20))),"")))</f>
        <v/>
      </c>
      <c r="E215">
        <f>IF($A215="","",IF(OR($B215="",$C215="",$D215="",$B215&lt;1300,$B215&gt;1500,$C215&lt;1,$C215&gt;12,$D215&lt;1,$D215&gt;31),"نامعتبر",RIGHT("0000"&amp;$B215,4)&amp;"/"&amp;RIGHT("00"&amp;$C215,2)&amp;"/"&amp;RIGHT("00"&amp;$D215,2)))</f>
        <v/>
      </c>
      <c r="F215">
        <f>IF(OR($E215="",$E215="نامعتبر"),"",LEFT($E215,4)&amp;"/"&amp;MID($E215,6,2))</f>
        <v/>
      </c>
      <c r="G215">
        <f>IF(OR($E215="",$E215="نامعتبر",Sync!$X211=""),"",IF(AND(LEFT(UPPER(TRIM(Sync!$X211)),2)="SL",IFERROR(VLOOKUP(Sync!$W211,OpTbl,3,0),"")="فروش"),UPPER(TRIM(Sync!$X211)),""))</f>
        <v/>
      </c>
      <c r="H215">
        <f>IF($G215="","",IF(Sync!$W211="","",Sync!$W211))</f>
        <v/>
      </c>
      <c r="I215">
        <f>IF(OR($G215="",Sync!$Y211=""),"",Sync!$Y211)</f>
        <v/>
      </c>
      <c r="J215">
        <f>IF(OR($G215="",Sync!$Z211=""),"",Sync!$Z211)</f>
        <v/>
      </c>
      <c r="K215">
        <f>IF($G215="",0,IF(Sync!$AA211="",0,Sync!$AA211))</f>
        <v/>
      </c>
      <c r="L215">
        <f>IF($G215="",0,IF(Sync!$AB211="",0,Sync!$AB211))</f>
        <v/>
      </c>
      <c r="M215">
        <f>IF($G215="","",IF($H215="مرجوعی فروش",-1,1)*($K215-$L215*IFERROR(VLOOKUP("P01",ParamTbl,3,0),1.5)))</f>
        <v/>
      </c>
      <c r="N215">
        <f>IF($G215="",0,IF($H215="مرجوعی فروش",-1,1)*IF(Sync!$AC211="",0,Sync!$AC211))</f>
        <v/>
      </c>
      <c r="O215">
        <f>IF(OR($G215="",Sync!$V211=""),"",Sync!$V211)</f>
        <v/>
      </c>
      <c r="P215">
        <f>IF(OR($G215="",Sync!$AD211=""),"",Sync!$AD211)</f>
        <v/>
      </c>
      <c r="Q215">
        <f>IF($G215="","",IF(Sync!$U211="","0000",IF(AND(ISNUMBER(Sync!$U211),Sync!$U211&gt;=0,Sync!$U211&lt;1),RIGHT("00"&amp;HOUR(Sync!$U211),2)&amp;RIGHT("00"&amp;MINUTE(Sync!$U211),2),IFERROR(RIGHT("00"&amp;VALUE(LEFT(Sync!$U211,FIND(":",Sync!$U211)-1)),2)&amp;RIGHT("00"&amp;VALUE(MID(Sync!$U211,FIND(":",Sync!$U211)+1,2)),2),"0000"))))</f>
        <v/>
      </c>
    </row>
    <row r="216">
      <c r="A216">
        <f>IF(Sync!$T212="","",Sync!$T212)</f>
        <v/>
      </c>
      <c r="B216">
        <f>IF($A216="","",IF(ISNUMBER($A216),IF(AND($A216&gt;=10000101,$A216&lt;=99991231),INT($A216/10000),""),IFERROR(VALUE(TRIM(LEFT($A216,FIND("/",$A216)-1))),"")))</f>
        <v/>
      </c>
      <c r="C216">
        <f>IF(OR($A216="",$B216=""),"",IF(ISNUMBER($A216),INT(MOD($A216,10000)/100),IFERROR(VALUE(TRIM(LEFT(MID($A216,FIND("/",$A216)+1,20),FIND("/",MID($A216,FIND("/",$A216)+1,20))-1))),"")))</f>
        <v/>
      </c>
      <c r="D216">
        <f>IF(OR($A216="",$B216=""),"",IF(ISNUMBER($A216),MOD($A216,100),IFERROR(VALUE(TRIM(MID(MID($A216,FIND("/",$A216)+1,20),FIND("/",MID($A216,FIND("/",$A216)+1,20))+1,20))),"")))</f>
        <v/>
      </c>
      <c r="E216">
        <f>IF($A216="","",IF(OR($B216="",$C216="",$D216="",$B216&lt;1300,$B216&gt;1500,$C216&lt;1,$C216&gt;12,$D216&lt;1,$D216&gt;31),"نامعتبر",RIGHT("0000"&amp;$B216,4)&amp;"/"&amp;RIGHT("00"&amp;$C216,2)&amp;"/"&amp;RIGHT("00"&amp;$D216,2)))</f>
        <v/>
      </c>
      <c r="F216">
        <f>IF(OR($E216="",$E216="نامعتبر"),"",LEFT($E216,4)&amp;"/"&amp;MID($E216,6,2))</f>
        <v/>
      </c>
      <c r="G216">
        <f>IF(OR($E216="",$E216="نامعتبر",Sync!$X212=""),"",IF(AND(LEFT(UPPER(TRIM(Sync!$X212)),2)="SL",IFERROR(VLOOKUP(Sync!$W212,OpTbl,3,0),"")="فروش"),UPPER(TRIM(Sync!$X212)),""))</f>
        <v/>
      </c>
      <c r="H216">
        <f>IF($G216="","",IF(Sync!$W212="","",Sync!$W212))</f>
        <v/>
      </c>
      <c r="I216">
        <f>IF(OR($G216="",Sync!$Y212=""),"",Sync!$Y212)</f>
        <v/>
      </c>
      <c r="J216">
        <f>IF(OR($G216="",Sync!$Z212=""),"",Sync!$Z212)</f>
        <v/>
      </c>
      <c r="K216">
        <f>IF($G216="",0,IF(Sync!$AA212="",0,Sync!$AA212))</f>
        <v/>
      </c>
      <c r="L216">
        <f>IF($G216="",0,IF(Sync!$AB212="",0,Sync!$AB212))</f>
        <v/>
      </c>
      <c r="M216">
        <f>IF($G216="","",IF($H216="مرجوعی فروش",-1,1)*($K216-$L216*IFERROR(VLOOKUP("P01",ParamTbl,3,0),1.5)))</f>
        <v/>
      </c>
      <c r="N216">
        <f>IF($G216="",0,IF($H216="مرجوعی فروش",-1,1)*IF(Sync!$AC212="",0,Sync!$AC212))</f>
        <v/>
      </c>
      <c r="O216">
        <f>IF(OR($G216="",Sync!$V212=""),"",Sync!$V212)</f>
        <v/>
      </c>
      <c r="P216">
        <f>IF(OR($G216="",Sync!$AD212=""),"",Sync!$AD212)</f>
        <v/>
      </c>
      <c r="Q216">
        <f>IF($G216="","",IF(Sync!$U212="","0000",IF(AND(ISNUMBER(Sync!$U212),Sync!$U212&gt;=0,Sync!$U212&lt;1),RIGHT("00"&amp;HOUR(Sync!$U212),2)&amp;RIGHT("00"&amp;MINUTE(Sync!$U212),2),IFERROR(RIGHT("00"&amp;VALUE(LEFT(Sync!$U212,FIND(":",Sync!$U212)-1)),2)&amp;RIGHT("00"&amp;VALUE(MID(Sync!$U212,FIND(":",Sync!$U212)+1,2)),2),"0000"))))</f>
        <v/>
      </c>
    </row>
    <row r="217">
      <c r="A217">
        <f>IF(Sync!$T213="","",Sync!$T213)</f>
        <v/>
      </c>
      <c r="B217">
        <f>IF($A217="","",IF(ISNUMBER($A217),IF(AND($A217&gt;=10000101,$A217&lt;=99991231),INT($A217/10000),""),IFERROR(VALUE(TRIM(LEFT($A217,FIND("/",$A217)-1))),"")))</f>
        <v/>
      </c>
      <c r="C217">
        <f>IF(OR($A217="",$B217=""),"",IF(ISNUMBER($A217),INT(MOD($A217,10000)/100),IFERROR(VALUE(TRIM(LEFT(MID($A217,FIND("/",$A217)+1,20),FIND("/",MID($A217,FIND("/",$A217)+1,20))-1))),"")))</f>
        <v/>
      </c>
      <c r="D217">
        <f>IF(OR($A217="",$B217=""),"",IF(ISNUMBER($A217),MOD($A217,100),IFERROR(VALUE(TRIM(MID(MID($A217,FIND("/",$A217)+1,20),FIND("/",MID($A217,FIND("/",$A217)+1,20))+1,20))),"")))</f>
        <v/>
      </c>
      <c r="E217">
        <f>IF($A217="","",IF(OR($B217="",$C217="",$D217="",$B217&lt;1300,$B217&gt;1500,$C217&lt;1,$C217&gt;12,$D217&lt;1,$D217&gt;31),"نامعتبر",RIGHT("0000"&amp;$B217,4)&amp;"/"&amp;RIGHT("00"&amp;$C217,2)&amp;"/"&amp;RIGHT("00"&amp;$D217,2)))</f>
        <v/>
      </c>
      <c r="F217">
        <f>IF(OR($E217="",$E217="نامعتبر"),"",LEFT($E217,4)&amp;"/"&amp;MID($E217,6,2))</f>
        <v/>
      </c>
      <c r="G217">
        <f>IF(OR($E217="",$E217="نامعتبر",Sync!$X213=""),"",IF(AND(LEFT(UPPER(TRIM(Sync!$X213)),2)="SL",IFERROR(VLOOKUP(Sync!$W213,OpTbl,3,0),"")="فروش"),UPPER(TRIM(Sync!$X213)),""))</f>
        <v/>
      </c>
      <c r="H217">
        <f>IF($G217="","",IF(Sync!$W213="","",Sync!$W213))</f>
        <v/>
      </c>
      <c r="I217">
        <f>IF(OR($G217="",Sync!$Y213=""),"",Sync!$Y213)</f>
        <v/>
      </c>
      <c r="J217">
        <f>IF(OR($G217="",Sync!$Z213=""),"",Sync!$Z213)</f>
        <v/>
      </c>
      <c r="K217">
        <f>IF($G217="",0,IF(Sync!$AA213="",0,Sync!$AA213))</f>
        <v/>
      </c>
      <c r="L217">
        <f>IF($G217="",0,IF(Sync!$AB213="",0,Sync!$AB213))</f>
        <v/>
      </c>
      <c r="M217">
        <f>IF($G217="","",IF($H217="مرجوعی فروش",-1,1)*($K217-$L217*IFERROR(VLOOKUP("P01",ParamTbl,3,0),1.5)))</f>
        <v/>
      </c>
      <c r="N217">
        <f>IF($G217="",0,IF($H217="مرجوعی فروش",-1,1)*IF(Sync!$AC213="",0,Sync!$AC213))</f>
        <v/>
      </c>
      <c r="O217">
        <f>IF(OR($G217="",Sync!$V213=""),"",Sync!$V213)</f>
        <v/>
      </c>
      <c r="P217">
        <f>IF(OR($G217="",Sync!$AD213=""),"",Sync!$AD213)</f>
        <v/>
      </c>
      <c r="Q217">
        <f>IF($G217="","",IF(Sync!$U213="","0000",IF(AND(ISNUMBER(Sync!$U213),Sync!$U213&gt;=0,Sync!$U213&lt;1),RIGHT("00"&amp;HOUR(Sync!$U213),2)&amp;RIGHT("00"&amp;MINUTE(Sync!$U213),2),IFERROR(RIGHT("00"&amp;VALUE(LEFT(Sync!$U213,FIND(":",Sync!$U213)-1)),2)&amp;RIGHT("00"&amp;VALUE(MID(Sync!$U213,FIND(":",Sync!$U213)+1,2)),2),"0000"))))</f>
        <v/>
      </c>
    </row>
    <row r="218">
      <c r="A218">
        <f>IF(Sync!$T214="","",Sync!$T214)</f>
        <v/>
      </c>
      <c r="B218">
        <f>IF($A218="","",IF(ISNUMBER($A218),IF(AND($A218&gt;=10000101,$A218&lt;=99991231),INT($A218/10000),""),IFERROR(VALUE(TRIM(LEFT($A218,FIND("/",$A218)-1))),"")))</f>
        <v/>
      </c>
      <c r="C218">
        <f>IF(OR($A218="",$B218=""),"",IF(ISNUMBER($A218),INT(MOD($A218,10000)/100),IFERROR(VALUE(TRIM(LEFT(MID($A218,FIND("/",$A218)+1,20),FIND("/",MID($A218,FIND("/",$A218)+1,20))-1))),"")))</f>
        <v/>
      </c>
      <c r="D218">
        <f>IF(OR($A218="",$B218=""),"",IF(ISNUMBER($A218),MOD($A218,100),IFERROR(VALUE(TRIM(MID(MID($A218,FIND("/",$A218)+1,20),FIND("/",MID($A218,FIND("/",$A218)+1,20))+1,20))),"")))</f>
        <v/>
      </c>
      <c r="E218">
        <f>IF($A218="","",IF(OR($B218="",$C218="",$D218="",$B218&lt;1300,$B218&gt;1500,$C218&lt;1,$C218&gt;12,$D218&lt;1,$D218&gt;31),"نامعتبر",RIGHT("0000"&amp;$B218,4)&amp;"/"&amp;RIGHT("00"&amp;$C218,2)&amp;"/"&amp;RIGHT("00"&amp;$D218,2)))</f>
        <v/>
      </c>
      <c r="F218">
        <f>IF(OR($E218="",$E218="نامعتبر"),"",LEFT($E218,4)&amp;"/"&amp;MID($E218,6,2))</f>
        <v/>
      </c>
      <c r="G218">
        <f>IF(OR($E218="",$E218="نامعتبر",Sync!$X214=""),"",IF(AND(LEFT(UPPER(TRIM(Sync!$X214)),2)="SL",IFERROR(VLOOKUP(Sync!$W214,OpTbl,3,0),"")="فروش"),UPPER(TRIM(Sync!$X214)),""))</f>
        <v/>
      </c>
      <c r="H218">
        <f>IF($G218="","",IF(Sync!$W214="","",Sync!$W214))</f>
        <v/>
      </c>
      <c r="I218">
        <f>IF(OR($G218="",Sync!$Y214=""),"",Sync!$Y214)</f>
        <v/>
      </c>
      <c r="J218">
        <f>IF(OR($G218="",Sync!$Z214=""),"",Sync!$Z214)</f>
        <v/>
      </c>
      <c r="K218">
        <f>IF($G218="",0,IF(Sync!$AA214="",0,Sync!$AA214))</f>
        <v/>
      </c>
      <c r="L218">
        <f>IF($G218="",0,IF(Sync!$AB214="",0,Sync!$AB214))</f>
        <v/>
      </c>
      <c r="M218">
        <f>IF($G218="","",IF($H218="مرجوعی فروش",-1,1)*($K218-$L218*IFERROR(VLOOKUP("P01",ParamTbl,3,0),1.5)))</f>
        <v/>
      </c>
      <c r="N218">
        <f>IF($G218="",0,IF($H218="مرجوعی فروش",-1,1)*IF(Sync!$AC214="",0,Sync!$AC214))</f>
        <v/>
      </c>
      <c r="O218">
        <f>IF(OR($G218="",Sync!$V214=""),"",Sync!$V214)</f>
        <v/>
      </c>
      <c r="P218">
        <f>IF(OR($G218="",Sync!$AD214=""),"",Sync!$AD214)</f>
        <v/>
      </c>
      <c r="Q218">
        <f>IF($G218="","",IF(Sync!$U214="","0000",IF(AND(ISNUMBER(Sync!$U214),Sync!$U214&gt;=0,Sync!$U214&lt;1),RIGHT("00"&amp;HOUR(Sync!$U214),2)&amp;RIGHT("00"&amp;MINUTE(Sync!$U214),2),IFERROR(RIGHT("00"&amp;VALUE(LEFT(Sync!$U214,FIND(":",Sync!$U214)-1)),2)&amp;RIGHT("00"&amp;VALUE(MID(Sync!$U214,FIND(":",Sync!$U214)+1,2)),2),"0000"))))</f>
        <v/>
      </c>
    </row>
    <row r="219">
      <c r="A219">
        <f>IF(Sync!$T215="","",Sync!$T215)</f>
        <v/>
      </c>
      <c r="B219">
        <f>IF($A219="","",IF(ISNUMBER($A219),IF(AND($A219&gt;=10000101,$A219&lt;=99991231),INT($A219/10000),""),IFERROR(VALUE(TRIM(LEFT($A219,FIND("/",$A219)-1))),"")))</f>
        <v/>
      </c>
      <c r="C219">
        <f>IF(OR($A219="",$B219=""),"",IF(ISNUMBER($A219),INT(MOD($A219,10000)/100),IFERROR(VALUE(TRIM(LEFT(MID($A219,FIND("/",$A219)+1,20),FIND("/",MID($A219,FIND("/",$A219)+1,20))-1))),"")))</f>
        <v/>
      </c>
      <c r="D219">
        <f>IF(OR($A219="",$B219=""),"",IF(ISNUMBER($A219),MOD($A219,100),IFERROR(VALUE(TRIM(MID(MID($A219,FIND("/",$A219)+1,20),FIND("/",MID($A219,FIND("/",$A219)+1,20))+1,20))),"")))</f>
        <v/>
      </c>
      <c r="E219">
        <f>IF($A219="","",IF(OR($B219="",$C219="",$D219="",$B219&lt;1300,$B219&gt;1500,$C219&lt;1,$C219&gt;12,$D219&lt;1,$D219&gt;31),"نامعتبر",RIGHT("0000"&amp;$B219,4)&amp;"/"&amp;RIGHT("00"&amp;$C219,2)&amp;"/"&amp;RIGHT("00"&amp;$D219,2)))</f>
        <v/>
      </c>
      <c r="F219">
        <f>IF(OR($E219="",$E219="نامعتبر"),"",LEFT($E219,4)&amp;"/"&amp;MID($E219,6,2))</f>
        <v/>
      </c>
      <c r="G219">
        <f>IF(OR($E219="",$E219="نامعتبر",Sync!$X215=""),"",IF(AND(LEFT(UPPER(TRIM(Sync!$X215)),2)="SL",IFERROR(VLOOKUP(Sync!$W215,OpTbl,3,0),"")="فروش"),UPPER(TRIM(Sync!$X215)),""))</f>
        <v/>
      </c>
      <c r="H219">
        <f>IF($G219="","",IF(Sync!$W215="","",Sync!$W215))</f>
        <v/>
      </c>
      <c r="I219">
        <f>IF(OR($G219="",Sync!$Y215=""),"",Sync!$Y215)</f>
        <v/>
      </c>
      <c r="J219">
        <f>IF(OR($G219="",Sync!$Z215=""),"",Sync!$Z215)</f>
        <v/>
      </c>
      <c r="K219">
        <f>IF($G219="",0,IF(Sync!$AA215="",0,Sync!$AA215))</f>
        <v/>
      </c>
      <c r="L219">
        <f>IF($G219="",0,IF(Sync!$AB215="",0,Sync!$AB215))</f>
        <v/>
      </c>
      <c r="M219">
        <f>IF($G219="","",IF($H219="مرجوعی فروش",-1,1)*($K219-$L219*IFERROR(VLOOKUP("P01",ParamTbl,3,0),1.5)))</f>
        <v/>
      </c>
      <c r="N219">
        <f>IF($G219="",0,IF($H219="مرجوعی فروش",-1,1)*IF(Sync!$AC215="",0,Sync!$AC215))</f>
        <v/>
      </c>
      <c r="O219">
        <f>IF(OR($G219="",Sync!$V215=""),"",Sync!$V215)</f>
        <v/>
      </c>
      <c r="P219">
        <f>IF(OR($G219="",Sync!$AD215=""),"",Sync!$AD215)</f>
        <v/>
      </c>
      <c r="Q219">
        <f>IF($G219="","",IF(Sync!$U215="","0000",IF(AND(ISNUMBER(Sync!$U215),Sync!$U215&gt;=0,Sync!$U215&lt;1),RIGHT("00"&amp;HOUR(Sync!$U215),2)&amp;RIGHT("00"&amp;MINUTE(Sync!$U215),2),IFERROR(RIGHT("00"&amp;VALUE(LEFT(Sync!$U215,FIND(":",Sync!$U215)-1)),2)&amp;RIGHT("00"&amp;VALUE(MID(Sync!$U215,FIND(":",Sync!$U215)+1,2)),2),"0000"))))</f>
        <v/>
      </c>
    </row>
    <row r="220">
      <c r="A220">
        <f>IF(Sync!$T216="","",Sync!$T216)</f>
        <v/>
      </c>
      <c r="B220">
        <f>IF($A220="","",IF(ISNUMBER($A220),IF(AND($A220&gt;=10000101,$A220&lt;=99991231),INT($A220/10000),""),IFERROR(VALUE(TRIM(LEFT($A220,FIND("/",$A220)-1))),"")))</f>
        <v/>
      </c>
      <c r="C220">
        <f>IF(OR($A220="",$B220=""),"",IF(ISNUMBER($A220),INT(MOD($A220,10000)/100),IFERROR(VALUE(TRIM(LEFT(MID($A220,FIND("/",$A220)+1,20),FIND("/",MID($A220,FIND("/",$A220)+1,20))-1))),"")))</f>
        <v/>
      </c>
      <c r="D220">
        <f>IF(OR($A220="",$B220=""),"",IF(ISNUMBER($A220),MOD($A220,100),IFERROR(VALUE(TRIM(MID(MID($A220,FIND("/",$A220)+1,20),FIND("/",MID($A220,FIND("/",$A220)+1,20))+1,20))),"")))</f>
        <v/>
      </c>
      <c r="E220">
        <f>IF($A220="","",IF(OR($B220="",$C220="",$D220="",$B220&lt;1300,$B220&gt;1500,$C220&lt;1,$C220&gt;12,$D220&lt;1,$D220&gt;31),"نامعتبر",RIGHT("0000"&amp;$B220,4)&amp;"/"&amp;RIGHT("00"&amp;$C220,2)&amp;"/"&amp;RIGHT("00"&amp;$D220,2)))</f>
        <v/>
      </c>
      <c r="F220">
        <f>IF(OR($E220="",$E220="نامعتبر"),"",LEFT($E220,4)&amp;"/"&amp;MID($E220,6,2))</f>
        <v/>
      </c>
      <c r="G220">
        <f>IF(OR($E220="",$E220="نامعتبر",Sync!$X216=""),"",IF(AND(LEFT(UPPER(TRIM(Sync!$X216)),2)="SL",IFERROR(VLOOKUP(Sync!$W216,OpTbl,3,0),"")="فروش"),UPPER(TRIM(Sync!$X216)),""))</f>
        <v/>
      </c>
      <c r="H220">
        <f>IF($G220="","",IF(Sync!$W216="","",Sync!$W216))</f>
        <v/>
      </c>
      <c r="I220">
        <f>IF(OR($G220="",Sync!$Y216=""),"",Sync!$Y216)</f>
        <v/>
      </c>
      <c r="J220">
        <f>IF(OR($G220="",Sync!$Z216=""),"",Sync!$Z216)</f>
        <v/>
      </c>
      <c r="K220">
        <f>IF($G220="",0,IF(Sync!$AA216="",0,Sync!$AA216))</f>
        <v/>
      </c>
      <c r="L220">
        <f>IF($G220="",0,IF(Sync!$AB216="",0,Sync!$AB216))</f>
        <v/>
      </c>
      <c r="M220">
        <f>IF($G220="","",IF($H220="مرجوعی فروش",-1,1)*($K220-$L220*IFERROR(VLOOKUP("P01",ParamTbl,3,0),1.5)))</f>
        <v/>
      </c>
      <c r="N220">
        <f>IF($G220="",0,IF($H220="مرجوعی فروش",-1,1)*IF(Sync!$AC216="",0,Sync!$AC216))</f>
        <v/>
      </c>
      <c r="O220">
        <f>IF(OR($G220="",Sync!$V216=""),"",Sync!$V216)</f>
        <v/>
      </c>
      <c r="P220">
        <f>IF(OR($G220="",Sync!$AD216=""),"",Sync!$AD216)</f>
        <v/>
      </c>
      <c r="Q220">
        <f>IF($G220="","",IF(Sync!$U216="","0000",IF(AND(ISNUMBER(Sync!$U216),Sync!$U216&gt;=0,Sync!$U216&lt;1),RIGHT("00"&amp;HOUR(Sync!$U216),2)&amp;RIGHT("00"&amp;MINUTE(Sync!$U216),2),IFERROR(RIGHT("00"&amp;VALUE(LEFT(Sync!$U216,FIND(":",Sync!$U216)-1)),2)&amp;RIGHT("00"&amp;VALUE(MID(Sync!$U216,FIND(":",Sync!$U216)+1,2)),2),"0000"))))</f>
        <v/>
      </c>
    </row>
    <row r="221">
      <c r="A221">
        <f>IF(Sync!$T217="","",Sync!$T217)</f>
        <v/>
      </c>
      <c r="B221">
        <f>IF($A221="","",IF(ISNUMBER($A221),IF(AND($A221&gt;=10000101,$A221&lt;=99991231),INT($A221/10000),""),IFERROR(VALUE(TRIM(LEFT($A221,FIND("/",$A221)-1))),"")))</f>
        <v/>
      </c>
      <c r="C221">
        <f>IF(OR($A221="",$B221=""),"",IF(ISNUMBER($A221),INT(MOD($A221,10000)/100),IFERROR(VALUE(TRIM(LEFT(MID($A221,FIND("/",$A221)+1,20),FIND("/",MID($A221,FIND("/",$A221)+1,20))-1))),"")))</f>
        <v/>
      </c>
      <c r="D221">
        <f>IF(OR($A221="",$B221=""),"",IF(ISNUMBER($A221),MOD($A221,100),IFERROR(VALUE(TRIM(MID(MID($A221,FIND("/",$A221)+1,20),FIND("/",MID($A221,FIND("/",$A221)+1,20))+1,20))),"")))</f>
        <v/>
      </c>
      <c r="E221">
        <f>IF($A221="","",IF(OR($B221="",$C221="",$D221="",$B221&lt;1300,$B221&gt;1500,$C221&lt;1,$C221&gt;12,$D221&lt;1,$D221&gt;31),"نامعتبر",RIGHT("0000"&amp;$B221,4)&amp;"/"&amp;RIGHT("00"&amp;$C221,2)&amp;"/"&amp;RIGHT("00"&amp;$D221,2)))</f>
        <v/>
      </c>
      <c r="F221">
        <f>IF(OR($E221="",$E221="نامعتبر"),"",LEFT($E221,4)&amp;"/"&amp;MID($E221,6,2))</f>
        <v/>
      </c>
      <c r="G221">
        <f>IF(OR($E221="",$E221="نامعتبر",Sync!$X217=""),"",IF(AND(LEFT(UPPER(TRIM(Sync!$X217)),2)="SL",IFERROR(VLOOKUP(Sync!$W217,OpTbl,3,0),"")="فروش"),UPPER(TRIM(Sync!$X217)),""))</f>
        <v/>
      </c>
      <c r="H221">
        <f>IF($G221="","",IF(Sync!$W217="","",Sync!$W217))</f>
        <v/>
      </c>
      <c r="I221">
        <f>IF(OR($G221="",Sync!$Y217=""),"",Sync!$Y217)</f>
        <v/>
      </c>
      <c r="J221">
        <f>IF(OR($G221="",Sync!$Z217=""),"",Sync!$Z217)</f>
        <v/>
      </c>
      <c r="K221">
        <f>IF($G221="",0,IF(Sync!$AA217="",0,Sync!$AA217))</f>
        <v/>
      </c>
      <c r="L221">
        <f>IF($G221="",0,IF(Sync!$AB217="",0,Sync!$AB217))</f>
        <v/>
      </c>
      <c r="M221">
        <f>IF($G221="","",IF($H221="مرجوعی فروش",-1,1)*($K221-$L221*IFERROR(VLOOKUP("P01",ParamTbl,3,0),1.5)))</f>
        <v/>
      </c>
      <c r="N221">
        <f>IF($G221="",0,IF($H221="مرجوعی فروش",-1,1)*IF(Sync!$AC217="",0,Sync!$AC217))</f>
        <v/>
      </c>
      <c r="O221">
        <f>IF(OR($G221="",Sync!$V217=""),"",Sync!$V217)</f>
        <v/>
      </c>
      <c r="P221">
        <f>IF(OR($G221="",Sync!$AD217=""),"",Sync!$AD217)</f>
        <v/>
      </c>
      <c r="Q221">
        <f>IF($G221="","",IF(Sync!$U217="","0000",IF(AND(ISNUMBER(Sync!$U217),Sync!$U217&gt;=0,Sync!$U217&lt;1),RIGHT("00"&amp;HOUR(Sync!$U217),2)&amp;RIGHT("00"&amp;MINUTE(Sync!$U217),2),IFERROR(RIGHT("00"&amp;VALUE(LEFT(Sync!$U217,FIND(":",Sync!$U217)-1)),2)&amp;RIGHT("00"&amp;VALUE(MID(Sync!$U217,FIND(":",Sync!$U217)+1,2)),2),"0000"))))</f>
        <v/>
      </c>
    </row>
    <row r="222">
      <c r="A222">
        <f>IF(Sync!$T218="","",Sync!$T218)</f>
        <v/>
      </c>
      <c r="B222">
        <f>IF($A222="","",IF(ISNUMBER($A222),IF(AND($A222&gt;=10000101,$A222&lt;=99991231),INT($A222/10000),""),IFERROR(VALUE(TRIM(LEFT($A222,FIND("/",$A222)-1))),"")))</f>
        <v/>
      </c>
      <c r="C222">
        <f>IF(OR($A222="",$B222=""),"",IF(ISNUMBER($A222),INT(MOD($A222,10000)/100),IFERROR(VALUE(TRIM(LEFT(MID($A222,FIND("/",$A222)+1,20),FIND("/",MID($A222,FIND("/",$A222)+1,20))-1))),"")))</f>
        <v/>
      </c>
      <c r="D222">
        <f>IF(OR($A222="",$B222=""),"",IF(ISNUMBER($A222),MOD($A222,100),IFERROR(VALUE(TRIM(MID(MID($A222,FIND("/",$A222)+1,20),FIND("/",MID($A222,FIND("/",$A222)+1,20))+1,20))),"")))</f>
        <v/>
      </c>
      <c r="E222">
        <f>IF($A222="","",IF(OR($B222="",$C222="",$D222="",$B222&lt;1300,$B222&gt;1500,$C222&lt;1,$C222&gt;12,$D222&lt;1,$D222&gt;31),"نامعتبر",RIGHT("0000"&amp;$B222,4)&amp;"/"&amp;RIGHT("00"&amp;$C222,2)&amp;"/"&amp;RIGHT("00"&amp;$D222,2)))</f>
        <v/>
      </c>
      <c r="F222">
        <f>IF(OR($E222="",$E222="نامعتبر"),"",LEFT($E222,4)&amp;"/"&amp;MID($E222,6,2))</f>
        <v/>
      </c>
      <c r="G222">
        <f>IF(OR($E222="",$E222="نامعتبر",Sync!$X218=""),"",IF(AND(LEFT(UPPER(TRIM(Sync!$X218)),2)="SL",IFERROR(VLOOKUP(Sync!$W218,OpTbl,3,0),"")="فروش"),UPPER(TRIM(Sync!$X218)),""))</f>
        <v/>
      </c>
      <c r="H222">
        <f>IF($G222="","",IF(Sync!$W218="","",Sync!$W218))</f>
        <v/>
      </c>
      <c r="I222">
        <f>IF(OR($G222="",Sync!$Y218=""),"",Sync!$Y218)</f>
        <v/>
      </c>
      <c r="J222">
        <f>IF(OR($G222="",Sync!$Z218=""),"",Sync!$Z218)</f>
        <v/>
      </c>
      <c r="K222">
        <f>IF($G222="",0,IF(Sync!$AA218="",0,Sync!$AA218))</f>
        <v/>
      </c>
      <c r="L222">
        <f>IF($G222="",0,IF(Sync!$AB218="",0,Sync!$AB218))</f>
        <v/>
      </c>
      <c r="M222">
        <f>IF($G222="","",IF($H222="مرجوعی فروش",-1,1)*($K222-$L222*IFERROR(VLOOKUP("P01",ParamTbl,3,0),1.5)))</f>
        <v/>
      </c>
      <c r="N222">
        <f>IF($G222="",0,IF($H222="مرجوعی فروش",-1,1)*IF(Sync!$AC218="",0,Sync!$AC218))</f>
        <v/>
      </c>
      <c r="O222">
        <f>IF(OR($G222="",Sync!$V218=""),"",Sync!$V218)</f>
        <v/>
      </c>
      <c r="P222">
        <f>IF(OR($G222="",Sync!$AD218=""),"",Sync!$AD218)</f>
        <v/>
      </c>
      <c r="Q222">
        <f>IF($G222="","",IF(Sync!$U218="","0000",IF(AND(ISNUMBER(Sync!$U218),Sync!$U218&gt;=0,Sync!$U218&lt;1),RIGHT("00"&amp;HOUR(Sync!$U218),2)&amp;RIGHT("00"&amp;MINUTE(Sync!$U218),2),IFERROR(RIGHT("00"&amp;VALUE(LEFT(Sync!$U218,FIND(":",Sync!$U218)-1)),2)&amp;RIGHT("00"&amp;VALUE(MID(Sync!$U218,FIND(":",Sync!$U218)+1,2)),2),"0000"))))</f>
        <v/>
      </c>
    </row>
    <row r="223">
      <c r="A223">
        <f>IF(Sync!$T219="","",Sync!$T219)</f>
        <v/>
      </c>
      <c r="B223">
        <f>IF($A223="","",IF(ISNUMBER($A223),IF(AND($A223&gt;=10000101,$A223&lt;=99991231),INT($A223/10000),""),IFERROR(VALUE(TRIM(LEFT($A223,FIND("/",$A223)-1))),"")))</f>
        <v/>
      </c>
      <c r="C223">
        <f>IF(OR($A223="",$B223=""),"",IF(ISNUMBER($A223),INT(MOD($A223,10000)/100),IFERROR(VALUE(TRIM(LEFT(MID($A223,FIND("/",$A223)+1,20),FIND("/",MID($A223,FIND("/",$A223)+1,20))-1))),"")))</f>
        <v/>
      </c>
      <c r="D223">
        <f>IF(OR($A223="",$B223=""),"",IF(ISNUMBER($A223),MOD($A223,100),IFERROR(VALUE(TRIM(MID(MID($A223,FIND("/",$A223)+1,20),FIND("/",MID($A223,FIND("/",$A223)+1,20))+1,20))),"")))</f>
        <v/>
      </c>
      <c r="E223">
        <f>IF($A223="","",IF(OR($B223="",$C223="",$D223="",$B223&lt;1300,$B223&gt;1500,$C223&lt;1,$C223&gt;12,$D223&lt;1,$D223&gt;31),"نامعتبر",RIGHT("0000"&amp;$B223,4)&amp;"/"&amp;RIGHT("00"&amp;$C223,2)&amp;"/"&amp;RIGHT("00"&amp;$D223,2)))</f>
        <v/>
      </c>
      <c r="F223">
        <f>IF(OR($E223="",$E223="نامعتبر"),"",LEFT($E223,4)&amp;"/"&amp;MID($E223,6,2))</f>
        <v/>
      </c>
      <c r="G223">
        <f>IF(OR($E223="",$E223="نامعتبر",Sync!$X219=""),"",IF(AND(LEFT(UPPER(TRIM(Sync!$X219)),2)="SL",IFERROR(VLOOKUP(Sync!$W219,OpTbl,3,0),"")="فروش"),UPPER(TRIM(Sync!$X219)),""))</f>
        <v/>
      </c>
      <c r="H223">
        <f>IF($G223="","",IF(Sync!$W219="","",Sync!$W219))</f>
        <v/>
      </c>
      <c r="I223">
        <f>IF(OR($G223="",Sync!$Y219=""),"",Sync!$Y219)</f>
        <v/>
      </c>
      <c r="J223">
        <f>IF(OR($G223="",Sync!$Z219=""),"",Sync!$Z219)</f>
        <v/>
      </c>
      <c r="K223">
        <f>IF($G223="",0,IF(Sync!$AA219="",0,Sync!$AA219))</f>
        <v/>
      </c>
      <c r="L223">
        <f>IF($G223="",0,IF(Sync!$AB219="",0,Sync!$AB219))</f>
        <v/>
      </c>
      <c r="M223">
        <f>IF($G223="","",IF($H223="مرجوعی فروش",-1,1)*($K223-$L223*IFERROR(VLOOKUP("P01",ParamTbl,3,0),1.5)))</f>
        <v/>
      </c>
      <c r="N223">
        <f>IF($G223="",0,IF($H223="مرجوعی فروش",-1,1)*IF(Sync!$AC219="",0,Sync!$AC219))</f>
        <v/>
      </c>
      <c r="O223">
        <f>IF(OR($G223="",Sync!$V219=""),"",Sync!$V219)</f>
        <v/>
      </c>
      <c r="P223">
        <f>IF(OR($G223="",Sync!$AD219=""),"",Sync!$AD219)</f>
        <v/>
      </c>
      <c r="Q223">
        <f>IF($G223="","",IF(Sync!$U219="","0000",IF(AND(ISNUMBER(Sync!$U219),Sync!$U219&gt;=0,Sync!$U219&lt;1),RIGHT("00"&amp;HOUR(Sync!$U219),2)&amp;RIGHT("00"&amp;MINUTE(Sync!$U219),2),IFERROR(RIGHT("00"&amp;VALUE(LEFT(Sync!$U219,FIND(":",Sync!$U219)-1)),2)&amp;RIGHT("00"&amp;VALUE(MID(Sync!$U219,FIND(":",Sync!$U219)+1,2)),2),"0000"))))</f>
        <v/>
      </c>
    </row>
    <row r="224">
      <c r="A224">
        <f>IF(Sync!$T220="","",Sync!$T220)</f>
        <v/>
      </c>
      <c r="B224">
        <f>IF($A224="","",IF(ISNUMBER($A224),IF(AND($A224&gt;=10000101,$A224&lt;=99991231),INT($A224/10000),""),IFERROR(VALUE(TRIM(LEFT($A224,FIND("/",$A224)-1))),"")))</f>
        <v/>
      </c>
      <c r="C224">
        <f>IF(OR($A224="",$B224=""),"",IF(ISNUMBER($A224),INT(MOD($A224,10000)/100),IFERROR(VALUE(TRIM(LEFT(MID($A224,FIND("/",$A224)+1,20),FIND("/",MID($A224,FIND("/",$A224)+1,20))-1))),"")))</f>
        <v/>
      </c>
      <c r="D224">
        <f>IF(OR($A224="",$B224=""),"",IF(ISNUMBER($A224),MOD($A224,100),IFERROR(VALUE(TRIM(MID(MID($A224,FIND("/",$A224)+1,20),FIND("/",MID($A224,FIND("/",$A224)+1,20))+1,20))),"")))</f>
        <v/>
      </c>
      <c r="E224">
        <f>IF($A224="","",IF(OR($B224="",$C224="",$D224="",$B224&lt;1300,$B224&gt;1500,$C224&lt;1,$C224&gt;12,$D224&lt;1,$D224&gt;31),"نامعتبر",RIGHT("0000"&amp;$B224,4)&amp;"/"&amp;RIGHT("00"&amp;$C224,2)&amp;"/"&amp;RIGHT("00"&amp;$D224,2)))</f>
        <v/>
      </c>
      <c r="F224">
        <f>IF(OR($E224="",$E224="نامعتبر"),"",LEFT($E224,4)&amp;"/"&amp;MID($E224,6,2))</f>
        <v/>
      </c>
      <c r="G224">
        <f>IF(OR($E224="",$E224="نامعتبر",Sync!$X220=""),"",IF(AND(LEFT(UPPER(TRIM(Sync!$X220)),2)="SL",IFERROR(VLOOKUP(Sync!$W220,OpTbl,3,0),"")="فروش"),UPPER(TRIM(Sync!$X220)),""))</f>
        <v/>
      </c>
      <c r="H224">
        <f>IF($G224="","",IF(Sync!$W220="","",Sync!$W220))</f>
        <v/>
      </c>
      <c r="I224">
        <f>IF(OR($G224="",Sync!$Y220=""),"",Sync!$Y220)</f>
        <v/>
      </c>
      <c r="J224">
        <f>IF(OR($G224="",Sync!$Z220=""),"",Sync!$Z220)</f>
        <v/>
      </c>
      <c r="K224">
        <f>IF($G224="",0,IF(Sync!$AA220="",0,Sync!$AA220))</f>
        <v/>
      </c>
      <c r="L224">
        <f>IF($G224="",0,IF(Sync!$AB220="",0,Sync!$AB220))</f>
        <v/>
      </c>
      <c r="M224">
        <f>IF($G224="","",IF($H224="مرجوعی فروش",-1,1)*($K224-$L224*IFERROR(VLOOKUP("P01",ParamTbl,3,0),1.5)))</f>
        <v/>
      </c>
      <c r="N224">
        <f>IF($G224="",0,IF($H224="مرجوعی فروش",-1,1)*IF(Sync!$AC220="",0,Sync!$AC220))</f>
        <v/>
      </c>
      <c r="O224">
        <f>IF(OR($G224="",Sync!$V220=""),"",Sync!$V220)</f>
        <v/>
      </c>
      <c r="P224">
        <f>IF(OR($G224="",Sync!$AD220=""),"",Sync!$AD220)</f>
        <v/>
      </c>
      <c r="Q224">
        <f>IF($G224="","",IF(Sync!$U220="","0000",IF(AND(ISNUMBER(Sync!$U220),Sync!$U220&gt;=0,Sync!$U220&lt;1),RIGHT("00"&amp;HOUR(Sync!$U220),2)&amp;RIGHT("00"&amp;MINUTE(Sync!$U220),2),IFERROR(RIGHT("00"&amp;VALUE(LEFT(Sync!$U220,FIND(":",Sync!$U220)-1)),2)&amp;RIGHT("00"&amp;VALUE(MID(Sync!$U220,FIND(":",Sync!$U220)+1,2)),2),"0000"))))</f>
        <v/>
      </c>
    </row>
    <row r="225">
      <c r="A225">
        <f>IF(Sync!$T221="","",Sync!$T221)</f>
        <v/>
      </c>
      <c r="B225">
        <f>IF($A225="","",IF(ISNUMBER($A225),IF(AND($A225&gt;=10000101,$A225&lt;=99991231),INT($A225/10000),""),IFERROR(VALUE(TRIM(LEFT($A225,FIND("/",$A225)-1))),"")))</f>
        <v/>
      </c>
      <c r="C225">
        <f>IF(OR($A225="",$B225=""),"",IF(ISNUMBER($A225),INT(MOD($A225,10000)/100),IFERROR(VALUE(TRIM(LEFT(MID($A225,FIND("/",$A225)+1,20),FIND("/",MID($A225,FIND("/",$A225)+1,20))-1))),"")))</f>
        <v/>
      </c>
      <c r="D225">
        <f>IF(OR($A225="",$B225=""),"",IF(ISNUMBER($A225),MOD($A225,100),IFERROR(VALUE(TRIM(MID(MID($A225,FIND("/",$A225)+1,20),FIND("/",MID($A225,FIND("/",$A225)+1,20))+1,20))),"")))</f>
        <v/>
      </c>
      <c r="E225">
        <f>IF($A225="","",IF(OR($B225="",$C225="",$D225="",$B225&lt;1300,$B225&gt;1500,$C225&lt;1,$C225&gt;12,$D225&lt;1,$D225&gt;31),"نامعتبر",RIGHT("0000"&amp;$B225,4)&amp;"/"&amp;RIGHT("00"&amp;$C225,2)&amp;"/"&amp;RIGHT("00"&amp;$D225,2)))</f>
        <v/>
      </c>
      <c r="F225">
        <f>IF(OR($E225="",$E225="نامعتبر"),"",LEFT($E225,4)&amp;"/"&amp;MID($E225,6,2))</f>
        <v/>
      </c>
      <c r="G225">
        <f>IF(OR($E225="",$E225="نامعتبر",Sync!$X221=""),"",IF(AND(LEFT(UPPER(TRIM(Sync!$X221)),2)="SL",IFERROR(VLOOKUP(Sync!$W221,OpTbl,3,0),"")="فروش"),UPPER(TRIM(Sync!$X221)),""))</f>
        <v/>
      </c>
      <c r="H225">
        <f>IF($G225="","",IF(Sync!$W221="","",Sync!$W221))</f>
        <v/>
      </c>
      <c r="I225">
        <f>IF(OR($G225="",Sync!$Y221=""),"",Sync!$Y221)</f>
        <v/>
      </c>
      <c r="J225">
        <f>IF(OR($G225="",Sync!$Z221=""),"",Sync!$Z221)</f>
        <v/>
      </c>
      <c r="K225">
        <f>IF($G225="",0,IF(Sync!$AA221="",0,Sync!$AA221))</f>
        <v/>
      </c>
      <c r="L225">
        <f>IF($G225="",0,IF(Sync!$AB221="",0,Sync!$AB221))</f>
        <v/>
      </c>
      <c r="M225">
        <f>IF($G225="","",IF($H225="مرجوعی فروش",-1,1)*($K225-$L225*IFERROR(VLOOKUP("P01",ParamTbl,3,0),1.5)))</f>
        <v/>
      </c>
      <c r="N225">
        <f>IF($G225="",0,IF($H225="مرجوعی فروش",-1,1)*IF(Sync!$AC221="",0,Sync!$AC221))</f>
        <v/>
      </c>
      <c r="O225">
        <f>IF(OR($G225="",Sync!$V221=""),"",Sync!$V221)</f>
        <v/>
      </c>
      <c r="P225">
        <f>IF(OR($G225="",Sync!$AD221=""),"",Sync!$AD221)</f>
        <v/>
      </c>
      <c r="Q225">
        <f>IF($G225="","",IF(Sync!$U221="","0000",IF(AND(ISNUMBER(Sync!$U221),Sync!$U221&gt;=0,Sync!$U221&lt;1),RIGHT("00"&amp;HOUR(Sync!$U221),2)&amp;RIGHT("00"&amp;MINUTE(Sync!$U221),2),IFERROR(RIGHT("00"&amp;VALUE(LEFT(Sync!$U221,FIND(":",Sync!$U221)-1)),2)&amp;RIGHT("00"&amp;VALUE(MID(Sync!$U221,FIND(":",Sync!$U221)+1,2)),2),"0000"))))</f>
        <v/>
      </c>
    </row>
    <row r="226">
      <c r="A226">
        <f>IF(Sync!$T222="","",Sync!$T222)</f>
        <v/>
      </c>
      <c r="B226">
        <f>IF($A226="","",IF(ISNUMBER($A226),IF(AND($A226&gt;=10000101,$A226&lt;=99991231),INT($A226/10000),""),IFERROR(VALUE(TRIM(LEFT($A226,FIND("/",$A226)-1))),"")))</f>
        <v/>
      </c>
      <c r="C226">
        <f>IF(OR($A226="",$B226=""),"",IF(ISNUMBER($A226),INT(MOD($A226,10000)/100),IFERROR(VALUE(TRIM(LEFT(MID($A226,FIND("/",$A226)+1,20),FIND("/",MID($A226,FIND("/",$A226)+1,20))-1))),"")))</f>
        <v/>
      </c>
      <c r="D226">
        <f>IF(OR($A226="",$B226=""),"",IF(ISNUMBER($A226),MOD($A226,100),IFERROR(VALUE(TRIM(MID(MID($A226,FIND("/",$A226)+1,20),FIND("/",MID($A226,FIND("/",$A226)+1,20))+1,20))),"")))</f>
        <v/>
      </c>
      <c r="E226">
        <f>IF($A226="","",IF(OR($B226="",$C226="",$D226="",$B226&lt;1300,$B226&gt;1500,$C226&lt;1,$C226&gt;12,$D226&lt;1,$D226&gt;31),"نامعتبر",RIGHT("0000"&amp;$B226,4)&amp;"/"&amp;RIGHT("00"&amp;$C226,2)&amp;"/"&amp;RIGHT("00"&amp;$D226,2)))</f>
        <v/>
      </c>
      <c r="F226">
        <f>IF(OR($E226="",$E226="نامعتبر"),"",LEFT($E226,4)&amp;"/"&amp;MID($E226,6,2))</f>
        <v/>
      </c>
      <c r="G226">
        <f>IF(OR($E226="",$E226="نامعتبر",Sync!$X222=""),"",IF(AND(LEFT(UPPER(TRIM(Sync!$X222)),2)="SL",IFERROR(VLOOKUP(Sync!$W222,OpTbl,3,0),"")="فروش"),UPPER(TRIM(Sync!$X222)),""))</f>
        <v/>
      </c>
      <c r="H226">
        <f>IF($G226="","",IF(Sync!$W222="","",Sync!$W222))</f>
        <v/>
      </c>
      <c r="I226">
        <f>IF(OR($G226="",Sync!$Y222=""),"",Sync!$Y222)</f>
        <v/>
      </c>
      <c r="J226">
        <f>IF(OR($G226="",Sync!$Z222=""),"",Sync!$Z222)</f>
        <v/>
      </c>
      <c r="K226">
        <f>IF($G226="",0,IF(Sync!$AA222="",0,Sync!$AA222))</f>
        <v/>
      </c>
      <c r="L226">
        <f>IF($G226="",0,IF(Sync!$AB222="",0,Sync!$AB222))</f>
        <v/>
      </c>
      <c r="M226">
        <f>IF($G226="","",IF($H226="مرجوعی فروش",-1,1)*($K226-$L226*IFERROR(VLOOKUP("P01",ParamTbl,3,0),1.5)))</f>
        <v/>
      </c>
      <c r="N226">
        <f>IF($G226="",0,IF($H226="مرجوعی فروش",-1,1)*IF(Sync!$AC222="",0,Sync!$AC222))</f>
        <v/>
      </c>
      <c r="O226">
        <f>IF(OR($G226="",Sync!$V222=""),"",Sync!$V222)</f>
        <v/>
      </c>
      <c r="P226">
        <f>IF(OR($G226="",Sync!$AD222=""),"",Sync!$AD222)</f>
        <v/>
      </c>
      <c r="Q226">
        <f>IF($G226="","",IF(Sync!$U222="","0000",IF(AND(ISNUMBER(Sync!$U222),Sync!$U222&gt;=0,Sync!$U222&lt;1),RIGHT("00"&amp;HOUR(Sync!$U222),2)&amp;RIGHT("00"&amp;MINUTE(Sync!$U222),2),IFERROR(RIGHT("00"&amp;VALUE(LEFT(Sync!$U222,FIND(":",Sync!$U222)-1)),2)&amp;RIGHT("00"&amp;VALUE(MID(Sync!$U222,FIND(":",Sync!$U222)+1,2)),2),"0000"))))</f>
        <v/>
      </c>
    </row>
    <row r="227">
      <c r="A227">
        <f>IF(Sync!$T223="","",Sync!$T223)</f>
        <v/>
      </c>
      <c r="B227">
        <f>IF($A227="","",IF(ISNUMBER($A227),IF(AND($A227&gt;=10000101,$A227&lt;=99991231),INT($A227/10000),""),IFERROR(VALUE(TRIM(LEFT($A227,FIND("/",$A227)-1))),"")))</f>
        <v/>
      </c>
      <c r="C227">
        <f>IF(OR($A227="",$B227=""),"",IF(ISNUMBER($A227),INT(MOD($A227,10000)/100),IFERROR(VALUE(TRIM(LEFT(MID($A227,FIND("/",$A227)+1,20),FIND("/",MID($A227,FIND("/",$A227)+1,20))-1))),"")))</f>
        <v/>
      </c>
      <c r="D227">
        <f>IF(OR($A227="",$B227=""),"",IF(ISNUMBER($A227),MOD($A227,100),IFERROR(VALUE(TRIM(MID(MID($A227,FIND("/",$A227)+1,20),FIND("/",MID($A227,FIND("/",$A227)+1,20))+1,20))),"")))</f>
        <v/>
      </c>
      <c r="E227">
        <f>IF($A227="","",IF(OR($B227="",$C227="",$D227="",$B227&lt;1300,$B227&gt;1500,$C227&lt;1,$C227&gt;12,$D227&lt;1,$D227&gt;31),"نامعتبر",RIGHT("0000"&amp;$B227,4)&amp;"/"&amp;RIGHT("00"&amp;$C227,2)&amp;"/"&amp;RIGHT("00"&amp;$D227,2)))</f>
        <v/>
      </c>
      <c r="F227">
        <f>IF(OR($E227="",$E227="نامعتبر"),"",LEFT($E227,4)&amp;"/"&amp;MID($E227,6,2))</f>
        <v/>
      </c>
      <c r="G227">
        <f>IF(OR($E227="",$E227="نامعتبر",Sync!$X223=""),"",IF(AND(LEFT(UPPER(TRIM(Sync!$X223)),2)="SL",IFERROR(VLOOKUP(Sync!$W223,OpTbl,3,0),"")="فروش"),UPPER(TRIM(Sync!$X223)),""))</f>
        <v/>
      </c>
      <c r="H227">
        <f>IF($G227="","",IF(Sync!$W223="","",Sync!$W223))</f>
        <v/>
      </c>
      <c r="I227">
        <f>IF(OR($G227="",Sync!$Y223=""),"",Sync!$Y223)</f>
        <v/>
      </c>
      <c r="J227">
        <f>IF(OR($G227="",Sync!$Z223=""),"",Sync!$Z223)</f>
        <v/>
      </c>
      <c r="K227">
        <f>IF($G227="",0,IF(Sync!$AA223="",0,Sync!$AA223))</f>
        <v/>
      </c>
      <c r="L227">
        <f>IF($G227="",0,IF(Sync!$AB223="",0,Sync!$AB223))</f>
        <v/>
      </c>
      <c r="M227">
        <f>IF($G227="","",IF($H227="مرجوعی فروش",-1,1)*($K227-$L227*IFERROR(VLOOKUP("P01",ParamTbl,3,0),1.5)))</f>
        <v/>
      </c>
      <c r="N227">
        <f>IF($G227="",0,IF($H227="مرجوعی فروش",-1,1)*IF(Sync!$AC223="",0,Sync!$AC223))</f>
        <v/>
      </c>
      <c r="O227">
        <f>IF(OR($G227="",Sync!$V223=""),"",Sync!$V223)</f>
        <v/>
      </c>
      <c r="P227">
        <f>IF(OR($G227="",Sync!$AD223=""),"",Sync!$AD223)</f>
        <v/>
      </c>
      <c r="Q227">
        <f>IF($G227="","",IF(Sync!$U223="","0000",IF(AND(ISNUMBER(Sync!$U223),Sync!$U223&gt;=0,Sync!$U223&lt;1),RIGHT("00"&amp;HOUR(Sync!$U223),2)&amp;RIGHT("00"&amp;MINUTE(Sync!$U223),2),IFERROR(RIGHT("00"&amp;VALUE(LEFT(Sync!$U223,FIND(":",Sync!$U223)-1)),2)&amp;RIGHT("00"&amp;VALUE(MID(Sync!$U223,FIND(":",Sync!$U223)+1,2)),2),"0000"))))</f>
        <v/>
      </c>
    </row>
    <row r="228">
      <c r="A228">
        <f>IF(Sync!$T224="","",Sync!$T224)</f>
        <v/>
      </c>
      <c r="B228">
        <f>IF($A228="","",IF(ISNUMBER($A228),IF(AND($A228&gt;=10000101,$A228&lt;=99991231),INT($A228/10000),""),IFERROR(VALUE(TRIM(LEFT($A228,FIND("/",$A228)-1))),"")))</f>
        <v/>
      </c>
      <c r="C228">
        <f>IF(OR($A228="",$B228=""),"",IF(ISNUMBER($A228),INT(MOD($A228,10000)/100),IFERROR(VALUE(TRIM(LEFT(MID($A228,FIND("/",$A228)+1,20),FIND("/",MID($A228,FIND("/",$A228)+1,20))-1))),"")))</f>
        <v/>
      </c>
      <c r="D228">
        <f>IF(OR($A228="",$B228=""),"",IF(ISNUMBER($A228),MOD($A228,100),IFERROR(VALUE(TRIM(MID(MID($A228,FIND("/",$A228)+1,20),FIND("/",MID($A228,FIND("/",$A228)+1,20))+1,20))),"")))</f>
        <v/>
      </c>
      <c r="E228">
        <f>IF($A228="","",IF(OR($B228="",$C228="",$D228="",$B228&lt;1300,$B228&gt;1500,$C228&lt;1,$C228&gt;12,$D228&lt;1,$D228&gt;31),"نامعتبر",RIGHT("0000"&amp;$B228,4)&amp;"/"&amp;RIGHT("00"&amp;$C228,2)&amp;"/"&amp;RIGHT("00"&amp;$D228,2)))</f>
        <v/>
      </c>
      <c r="F228">
        <f>IF(OR($E228="",$E228="نامعتبر"),"",LEFT($E228,4)&amp;"/"&amp;MID($E228,6,2))</f>
        <v/>
      </c>
      <c r="G228">
        <f>IF(OR($E228="",$E228="نامعتبر",Sync!$X224=""),"",IF(AND(LEFT(UPPER(TRIM(Sync!$X224)),2)="SL",IFERROR(VLOOKUP(Sync!$W224,OpTbl,3,0),"")="فروش"),UPPER(TRIM(Sync!$X224)),""))</f>
        <v/>
      </c>
      <c r="H228">
        <f>IF($G228="","",IF(Sync!$W224="","",Sync!$W224))</f>
        <v/>
      </c>
      <c r="I228">
        <f>IF(OR($G228="",Sync!$Y224=""),"",Sync!$Y224)</f>
        <v/>
      </c>
      <c r="J228">
        <f>IF(OR($G228="",Sync!$Z224=""),"",Sync!$Z224)</f>
        <v/>
      </c>
      <c r="K228">
        <f>IF($G228="",0,IF(Sync!$AA224="",0,Sync!$AA224))</f>
        <v/>
      </c>
      <c r="L228">
        <f>IF($G228="",0,IF(Sync!$AB224="",0,Sync!$AB224))</f>
        <v/>
      </c>
      <c r="M228">
        <f>IF($G228="","",IF($H228="مرجوعی فروش",-1,1)*($K228-$L228*IFERROR(VLOOKUP("P01",ParamTbl,3,0),1.5)))</f>
        <v/>
      </c>
      <c r="N228">
        <f>IF($G228="",0,IF($H228="مرجوعی فروش",-1,1)*IF(Sync!$AC224="",0,Sync!$AC224))</f>
        <v/>
      </c>
      <c r="O228">
        <f>IF(OR($G228="",Sync!$V224=""),"",Sync!$V224)</f>
        <v/>
      </c>
      <c r="P228">
        <f>IF(OR($G228="",Sync!$AD224=""),"",Sync!$AD224)</f>
        <v/>
      </c>
      <c r="Q228">
        <f>IF($G228="","",IF(Sync!$U224="","0000",IF(AND(ISNUMBER(Sync!$U224),Sync!$U224&gt;=0,Sync!$U224&lt;1),RIGHT("00"&amp;HOUR(Sync!$U224),2)&amp;RIGHT("00"&amp;MINUTE(Sync!$U224),2),IFERROR(RIGHT("00"&amp;VALUE(LEFT(Sync!$U224,FIND(":",Sync!$U224)-1)),2)&amp;RIGHT("00"&amp;VALUE(MID(Sync!$U224,FIND(":",Sync!$U224)+1,2)),2),"0000"))))</f>
        <v/>
      </c>
    </row>
    <row r="229">
      <c r="A229">
        <f>IF(Sync!$T225="","",Sync!$T225)</f>
        <v/>
      </c>
      <c r="B229">
        <f>IF($A229="","",IF(ISNUMBER($A229),IF(AND($A229&gt;=10000101,$A229&lt;=99991231),INT($A229/10000),""),IFERROR(VALUE(TRIM(LEFT($A229,FIND("/",$A229)-1))),"")))</f>
        <v/>
      </c>
      <c r="C229">
        <f>IF(OR($A229="",$B229=""),"",IF(ISNUMBER($A229),INT(MOD($A229,10000)/100),IFERROR(VALUE(TRIM(LEFT(MID($A229,FIND("/",$A229)+1,20),FIND("/",MID($A229,FIND("/",$A229)+1,20))-1))),"")))</f>
        <v/>
      </c>
      <c r="D229">
        <f>IF(OR($A229="",$B229=""),"",IF(ISNUMBER($A229),MOD($A229,100),IFERROR(VALUE(TRIM(MID(MID($A229,FIND("/",$A229)+1,20),FIND("/",MID($A229,FIND("/",$A229)+1,20))+1,20))),"")))</f>
        <v/>
      </c>
      <c r="E229">
        <f>IF($A229="","",IF(OR($B229="",$C229="",$D229="",$B229&lt;1300,$B229&gt;1500,$C229&lt;1,$C229&gt;12,$D229&lt;1,$D229&gt;31),"نامعتبر",RIGHT("0000"&amp;$B229,4)&amp;"/"&amp;RIGHT("00"&amp;$C229,2)&amp;"/"&amp;RIGHT("00"&amp;$D229,2)))</f>
        <v/>
      </c>
      <c r="F229">
        <f>IF(OR($E229="",$E229="نامعتبر"),"",LEFT($E229,4)&amp;"/"&amp;MID($E229,6,2))</f>
        <v/>
      </c>
      <c r="G229">
        <f>IF(OR($E229="",$E229="نامعتبر",Sync!$X225=""),"",IF(AND(LEFT(UPPER(TRIM(Sync!$X225)),2)="SL",IFERROR(VLOOKUP(Sync!$W225,OpTbl,3,0),"")="فروش"),UPPER(TRIM(Sync!$X225)),""))</f>
        <v/>
      </c>
      <c r="H229">
        <f>IF($G229="","",IF(Sync!$W225="","",Sync!$W225))</f>
        <v/>
      </c>
      <c r="I229">
        <f>IF(OR($G229="",Sync!$Y225=""),"",Sync!$Y225)</f>
        <v/>
      </c>
      <c r="J229">
        <f>IF(OR($G229="",Sync!$Z225=""),"",Sync!$Z225)</f>
        <v/>
      </c>
      <c r="K229">
        <f>IF($G229="",0,IF(Sync!$AA225="",0,Sync!$AA225))</f>
        <v/>
      </c>
      <c r="L229">
        <f>IF($G229="",0,IF(Sync!$AB225="",0,Sync!$AB225))</f>
        <v/>
      </c>
      <c r="M229">
        <f>IF($G229="","",IF($H229="مرجوعی فروش",-1,1)*($K229-$L229*IFERROR(VLOOKUP("P01",ParamTbl,3,0),1.5)))</f>
        <v/>
      </c>
      <c r="N229">
        <f>IF($G229="",0,IF($H229="مرجوعی فروش",-1,1)*IF(Sync!$AC225="",0,Sync!$AC225))</f>
        <v/>
      </c>
      <c r="O229">
        <f>IF(OR($G229="",Sync!$V225=""),"",Sync!$V225)</f>
        <v/>
      </c>
      <c r="P229">
        <f>IF(OR($G229="",Sync!$AD225=""),"",Sync!$AD225)</f>
        <v/>
      </c>
      <c r="Q229">
        <f>IF($G229="","",IF(Sync!$U225="","0000",IF(AND(ISNUMBER(Sync!$U225),Sync!$U225&gt;=0,Sync!$U225&lt;1),RIGHT("00"&amp;HOUR(Sync!$U225),2)&amp;RIGHT("00"&amp;MINUTE(Sync!$U225),2),IFERROR(RIGHT("00"&amp;VALUE(LEFT(Sync!$U225,FIND(":",Sync!$U225)-1)),2)&amp;RIGHT("00"&amp;VALUE(MID(Sync!$U225,FIND(":",Sync!$U225)+1,2)),2),"0000"))))</f>
        <v/>
      </c>
    </row>
    <row r="230">
      <c r="A230">
        <f>IF(Sync!$T226="","",Sync!$T226)</f>
        <v/>
      </c>
      <c r="B230">
        <f>IF($A230="","",IF(ISNUMBER($A230),IF(AND($A230&gt;=10000101,$A230&lt;=99991231),INT($A230/10000),""),IFERROR(VALUE(TRIM(LEFT($A230,FIND("/",$A230)-1))),"")))</f>
        <v/>
      </c>
      <c r="C230">
        <f>IF(OR($A230="",$B230=""),"",IF(ISNUMBER($A230),INT(MOD($A230,10000)/100),IFERROR(VALUE(TRIM(LEFT(MID($A230,FIND("/",$A230)+1,20),FIND("/",MID($A230,FIND("/",$A230)+1,20))-1))),"")))</f>
        <v/>
      </c>
      <c r="D230">
        <f>IF(OR($A230="",$B230=""),"",IF(ISNUMBER($A230),MOD($A230,100),IFERROR(VALUE(TRIM(MID(MID($A230,FIND("/",$A230)+1,20),FIND("/",MID($A230,FIND("/",$A230)+1,20))+1,20))),"")))</f>
        <v/>
      </c>
      <c r="E230">
        <f>IF($A230="","",IF(OR($B230="",$C230="",$D230="",$B230&lt;1300,$B230&gt;1500,$C230&lt;1,$C230&gt;12,$D230&lt;1,$D230&gt;31),"نامعتبر",RIGHT("0000"&amp;$B230,4)&amp;"/"&amp;RIGHT("00"&amp;$C230,2)&amp;"/"&amp;RIGHT("00"&amp;$D230,2)))</f>
        <v/>
      </c>
      <c r="F230">
        <f>IF(OR($E230="",$E230="نامعتبر"),"",LEFT($E230,4)&amp;"/"&amp;MID($E230,6,2))</f>
        <v/>
      </c>
      <c r="G230">
        <f>IF(OR($E230="",$E230="نامعتبر",Sync!$X226=""),"",IF(AND(LEFT(UPPER(TRIM(Sync!$X226)),2)="SL",IFERROR(VLOOKUP(Sync!$W226,OpTbl,3,0),"")="فروش"),UPPER(TRIM(Sync!$X226)),""))</f>
        <v/>
      </c>
      <c r="H230">
        <f>IF($G230="","",IF(Sync!$W226="","",Sync!$W226))</f>
        <v/>
      </c>
      <c r="I230">
        <f>IF(OR($G230="",Sync!$Y226=""),"",Sync!$Y226)</f>
        <v/>
      </c>
      <c r="J230">
        <f>IF(OR($G230="",Sync!$Z226=""),"",Sync!$Z226)</f>
        <v/>
      </c>
      <c r="K230">
        <f>IF($G230="",0,IF(Sync!$AA226="",0,Sync!$AA226))</f>
        <v/>
      </c>
      <c r="L230">
        <f>IF($G230="",0,IF(Sync!$AB226="",0,Sync!$AB226))</f>
        <v/>
      </c>
      <c r="M230">
        <f>IF($G230="","",IF($H230="مرجوعی فروش",-1,1)*($K230-$L230*IFERROR(VLOOKUP("P01",ParamTbl,3,0),1.5)))</f>
        <v/>
      </c>
      <c r="N230">
        <f>IF($G230="",0,IF($H230="مرجوعی فروش",-1,1)*IF(Sync!$AC226="",0,Sync!$AC226))</f>
        <v/>
      </c>
      <c r="O230">
        <f>IF(OR($G230="",Sync!$V226=""),"",Sync!$V226)</f>
        <v/>
      </c>
      <c r="P230">
        <f>IF(OR($G230="",Sync!$AD226=""),"",Sync!$AD226)</f>
        <v/>
      </c>
      <c r="Q230">
        <f>IF($G230="","",IF(Sync!$U226="","0000",IF(AND(ISNUMBER(Sync!$U226),Sync!$U226&gt;=0,Sync!$U226&lt;1),RIGHT("00"&amp;HOUR(Sync!$U226),2)&amp;RIGHT("00"&amp;MINUTE(Sync!$U226),2),IFERROR(RIGHT("00"&amp;VALUE(LEFT(Sync!$U226,FIND(":",Sync!$U226)-1)),2)&amp;RIGHT("00"&amp;VALUE(MID(Sync!$U226,FIND(":",Sync!$U226)+1,2)),2),"0000"))))</f>
        <v/>
      </c>
    </row>
    <row r="231">
      <c r="A231">
        <f>IF(Sync!$T227="","",Sync!$T227)</f>
        <v/>
      </c>
      <c r="B231">
        <f>IF($A231="","",IF(ISNUMBER($A231),IF(AND($A231&gt;=10000101,$A231&lt;=99991231),INT($A231/10000),""),IFERROR(VALUE(TRIM(LEFT($A231,FIND("/",$A231)-1))),"")))</f>
        <v/>
      </c>
      <c r="C231">
        <f>IF(OR($A231="",$B231=""),"",IF(ISNUMBER($A231),INT(MOD($A231,10000)/100),IFERROR(VALUE(TRIM(LEFT(MID($A231,FIND("/",$A231)+1,20),FIND("/",MID($A231,FIND("/",$A231)+1,20))-1))),"")))</f>
        <v/>
      </c>
      <c r="D231">
        <f>IF(OR($A231="",$B231=""),"",IF(ISNUMBER($A231),MOD($A231,100),IFERROR(VALUE(TRIM(MID(MID($A231,FIND("/",$A231)+1,20),FIND("/",MID($A231,FIND("/",$A231)+1,20))+1,20))),"")))</f>
        <v/>
      </c>
      <c r="E231">
        <f>IF($A231="","",IF(OR($B231="",$C231="",$D231="",$B231&lt;1300,$B231&gt;1500,$C231&lt;1,$C231&gt;12,$D231&lt;1,$D231&gt;31),"نامعتبر",RIGHT("0000"&amp;$B231,4)&amp;"/"&amp;RIGHT("00"&amp;$C231,2)&amp;"/"&amp;RIGHT("00"&amp;$D231,2)))</f>
        <v/>
      </c>
      <c r="F231">
        <f>IF(OR($E231="",$E231="نامعتبر"),"",LEFT($E231,4)&amp;"/"&amp;MID($E231,6,2))</f>
        <v/>
      </c>
      <c r="G231">
        <f>IF(OR($E231="",$E231="نامعتبر",Sync!$X227=""),"",IF(AND(LEFT(UPPER(TRIM(Sync!$X227)),2)="SL",IFERROR(VLOOKUP(Sync!$W227,OpTbl,3,0),"")="فروش"),UPPER(TRIM(Sync!$X227)),""))</f>
        <v/>
      </c>
      <c r="H231">
        <f>IF($G231="","",IF(Sync!$W227="","",Sync!$W227))</f>
        <v/>
      </c>
      <c r="I231">
        <f>IF(OR($G231="",Sync!$Y227=""),"",Sync!$Y227)</f>
        <v/>
      </c>
      <c r="J231">
        <f>IF(OR($G231="",Sync!$Z227=""),"",Sync!$Z227)</f>
        <v/>
      </c>
      <c r="K231">
        <f>IF($G231="",0,IF(Sync!$AA227="",0,Sync!$AA227))</f>
        <v/>
      </c>
      <c r="L231">
        <f>IF($G231="",0,IF(Sync!$AB227="",0,Sync!$AB227))</f>
        <v/>
      </c>
      <c r="M231">
        <f>IF($G231="","",IF($H231="مرجوعی فروش",-1,1)*($K231-$L231*IFERROR(VLOOKUP("P01",ParamTbl,3,0),1.5)))</f>
        <v/>
      </c>
      <c r="N231">
        <f>IF($G231="",0,IF($H231="مرجوعی فروش",-1,1)*IF(Sync!$AC227="",0,Sync!$AC227))</f>
        <v/>
      </c>
      <c r="O231">
        <f>IF(OR($G231="",Sync!$V227=""),"",Sync!$V227)</f>
        <v/>
      </c>
      <c r="P231">
        <f>IF(OR($G231="",Sync!$AD227=""),"",Sync!$AD227)</f>
        <v/>
      </c>
      <c r="Q231">
        <f>IF($G231="","",IF(Sync!$U227="","0000",IF(AND(ISNUMBER(Sync!$U227),Sync!$U227&gt;=0,Sync!$U227&lt;1),RIGHT("00"&amp;HOUR(Sync!$U227),2)&amp;RIGHT("00"&amp;MINUTE(Sync!$U227),2),IFERROR(RIGHT("00"&amp;VALUE(LEFT(Sync!$U227,FIND(":",Sync!$U227)-1)),2)&amp;RIGHT("00"&amp;VALUE(MID(Sync!$U227,FIND(":",Sync!$U227)+1,2)),2),"0000"))))</f>
        <v/>
      </c>
    </row>
    <row r="232">
      <c r="A232">
        <f>IF(Sync!$T228="","",Sync!$T228)</f>
        <v/>
      </c>
      <c r="B232">
        <f>IF($A232="","",IF(ISNUMBER($A232),IF(AND($A232&gt;=10000101,$A232&lt;=99991231),INT($A232/10000),""),IFERROR(VALUE(TRIM(LEFT($A232,FIND("/",$A232)-1))),"")))</f>
        <v/>
      </c>
      <c r="C232">
        <f>IF(OR($A232="",$B232=""),"",IF(ISNUMBER($A232),INT(MOD($A232,10000)/100),IFERROR(VALUE(TRIM(LEFT(MID($A232,FIND("/",$A232)+1,20),FIND("/",MID($A232,FIND("/",$A232)+1,20))-1))),"")))</f>
        <v/>
      </c>
      <c r="D232">
        <f>IF(OR($A232="",$B232=""),"",IF(ISNUMBER($A232),MOD($A232,100),IFERROR(VALUE(TRIM(MID(MID($A232,FIND("/",$A232)+1,20),FIND("/",MID($A232,FIND("/",$A232)+1,20))+1,20))),"")))</f>
        <v/>
      </c>
      <c r="E232">
        <f>IF($A232="","",IF(OR($B232="",$C232="",$D232="",$B232&lt;1300,$B232&gt;1500,$C232&lt;1,$C232&gt;12,$D232&lt;1,$D232&gt;31),"نامعتبر",RIGHT("0000"&amp;$B232,4)&amp;"/"&amp;RIGHT("00"&amp;$C232,2)&amp;"/"&amp;RIGHT("00"&amp;$D232,2)))</f>
        <v/>
      </c>
      <c r="F232">
        <f>IF(OR($E232="",$E232="نامعتبر"),"",LEFT($E232,4)&amp;"/"&amp;MID($E232,6,2))</f>
        <v/>
      </c>
      <c r="G232">
        <f>IF(OR($E232="",$E232="نامعتبر",Sync!$X228=""),"",IF(AND(LEFT(UPPER(TRIM(Sync!$X228)),2)="SL",IFERROR(VLOOKUP(Sync!$W228,OpTbl,3,0),"")="فروش"),UPPER(TRIM(Sync!$X228)),""))</f>
        <v/>
      </c>
      <c r="H232">
        <f>IF($G232="","",IF(Sync!$W228="","",Sync!$W228))</f>
        <v/>
      </c>
      <c r="I232">
        <f>IF(OR($G232="",Sync!$Y228=""),"",Sync!$Y228)</f>
        <v/>
      </c>
      <c r="J232">
        <f>IF(OR($G232="",Sync!$Z228=""),"",Sync!$Z228)</f>
        <v/>
      </c>
      <c r="K232">
        <f>IF($G232="",0,IF(Sync!$AA228="",0,Sync!$AA228))</f>
        <v/>
      </c>
      <c r="L232">
        <f>IF($G232="",0,IF(Sync!$AB228="",0,Sync!$AB228))</f>
        <v/>
      </c>
      <c r="M232">
        <f>IF($G232="","",IF($H232="مرجوعی فروش",-1,1)*($K232-$L232*IFERROR(VLOOKUP("P01",ParamTbl,3,0),1.5)))</f>
        <v/>
      </c>
      <c r="N232">
        <f>IF($G232="",0,IF($H232="مرجوعی فروش",-1,1)*IF(Sync!$AC228="",0,Sync!$AC228))</f>
        <v/>
      </c>
      <c r="O232">
        <f>IF(OR($G232="",Sync!$V228=""),"",Sync!$V228)</f>
        <v/>
      </c>
      <c r="P232">
        <f>IF(OR($G232="",Sync!$AD228=""),"",Sync!$AD228)</f>
        <v/>
      </c>
      <c r="Q232">
        <f>IF($G232="","",IF(Sync!$U228="","0000",IF(AND(ISNUMBER(Sync!$U228),Sync!$U228&gt;=0,Sync!$U228&lt;1),RIGHT("00"&amp;HOUR(Sync!$U228),2)&amp;RIGHT("00"&amp;MINUTE(Sync!$U228),2),IFERROR(RIGHT("00"&amp;VALUE(LEFT(Sync!$U228,FIND(":",Sync!$U228)-1)),2)&amp;RIGHT("00"&amp;VALUE(MID(Sync!$U228,FIND(":",Sync!$U228)+1,2)),2),"0000"))))</f>
        <v/>
      </c>
    </row>
    <row r="233">
      <c r="A233">
        <f>IF(Sync!$T229="","",Sync!$T229)</f>
        <v/>
      </c>
      <c r="B233">
        <f>IF($A233="","",IF(ISNUMBER($A233),IF(AND($A233&gt;=10000101,$A233&lt;=99991231),INT($A233/10000),""),IFERROR(VALUE(TRIM(LEFT($A233,FIND("/",$A233)-1))),"")))</f>
        <v/>
      </c>
      <c r="C233">
        <f>IF(OR($A233="",$B233=""),"",IF(ISNUMBER($A233),INT(MOD($A233,10000)/100),IFERROR(VALUE(TRIM(LEFT(MID($A233,FIND("/",$A233)+1,20),FIND("/",MID($A233,FIND("/",$A233)+1,20))-1))),"")))</f>
        <v/>
      </c>
      <c r="D233">
        <f>IF(OR($A233="",$B233=""),"",IF(ISNUMBER($A233),MOD($A233,100),IFERROR(VALUE(TRIM(MID(MID($A233,FIND("/",$A233)+1,20),FIND("/",MID($A233,FIND("/",$A233)+1,20))+1,20))),"")))</f>
        <v/>
      </c>
      <c r="E233">
        <f>IF($A233="","",IF(OR($B233="",$C233="",$D233="",$B233&lt;1300,$B233&gt;1500,$C233&lt;1,$C233&gt;12,$D233&lt;1,$D233&gt;31),"نامعتبر",RIGHT("0000"&amp;$B233,4)&amp;"/"&amp;RIGHT("00"&amp;$C233,2)&amp;"/"&amp;RIGHT("00"&amp;$D233,2)))</f>
        <v/>
      </c>
      <c r="F233">
        <f>IF(OR($E233="",$E233="نامعتبر"),"",LEFT($E233,4)&amp;"/"&amp;MID($E233,6,2))</f>
        <v/>
      </c>
      <c r="G233">
        <f>IF(OR($E233="",$E233="نامعتبر",Sync!$X229=""),"",IF(AND(LEFT(UPPER(TRIM(Sync!$X229)),2)="SL",IFERROR(VLOOKUP(Sync!$W229,OpTbl,3,0),"")="فروش"),UPPER(TRIM(Sync!$X229)),""))</f>
        <v/>
      </c>
      <c r="H233">
        <f>IF($G233="","",IF(Sync!$W229="","",Sync!$W229))</f>
        <v/>
      </c>
      <c r="I233">
        <f>IF(OR($G233="",Sync!$Y229=""),"",Sync!$Y229)</f>
        <v/>
      </c>
      <c r="J233">
        <f>IF(OR($G233="",Sync!$Z229=""),"",Sync!$Z229)</f>
        <v/>
      </c>
      <c r="K233">
        <f>IF($G233="",0,IF(Sync!$AA229="",0,Sync!$AA229))</f>
        <v/>
      </c>
      <c r="L233">
        <f>IF($G233="",0,IF(Sync!$AB229="",0,Sync!$AB229))</f>
        <v/>
      </c>
      <c r="M233">
        <f>IF($G233="","",IF($H233="مرجوعی فروش",-1,1)*($K233-$L233*IFERROR(VLOOKUP("P01",ParamTbl,3,0),1.5)))</f>
        <v/>
      </c>
      <c r="N233">
        <f>IF($G233="",0,IF($H233="مرجوعی فروش",-1,1)*IF(Sync!$AC229="",0,Sync!$AC229))</f>
        <v/>
      </c>
      <c r="O233">
        <f>IF(OR($G233="",Sync!$V229=""),"",Sync!$V229)</f>
        <v/>
      </c>
      <c r="P233">
        <f>IF(OR($G233="",Sync!$AD229=""),"",Sync!$AD229)</f>
        <v/>
      </c>
      <c r="Q233">
        <f>IF($G233="","",IF(Sync!$U229="","0000",IF(AND(ISNUMBER(Sync!$U229),Sync!$U229&gt;=0,Sync!$U229&lt;1),RIGHT("00"&amp;HOUR(Sync!$U229),2)&amp;RIGHT("00"&amp;MINUTE(Sync!$U229),2),IFERROR(RIGHT("00"&amp;VALUE(LEFT(Sync!$U229,FIND(":",Sync!$U229)-1)),2)&amp;RIGHT("00"&amp;VALUE(MID(Sync!$U229,FIND(":",Sync!$U229)+1,2)),2),"0000"))))</f>
        <v/>
      </c>
    </row>
    <row r="234">
      <c r="A234">
        <f>IF(Sync!$T230="","",Sync!$T230)</f>
        <v/>
      </c>
      <c r="B234">
        <f>IF($A234="","",IF(ISNUMBER($A234),IF(AND($A234&gt;=10000101,$A234&lt;=99991231),INT($A234/10000),""),IFERROR(VALUE(TRIM(LEFT($A234,FIND("/",$A234)-1))),"")))</f>
        <v/>
      </c>
      <c r="C234">
        <f>IF(OR($A234="",$B234=""),"",IF(ISNUMBER($A234),INT(MOD($A234,10000)/100),IFERROR(VALUE(TRIM(LEFT(MID($A234,FIND("/",$A234)+1,20),FIND("/",MID($A234,FIND("/",$A234)+1,20))-1))),"")))</f>
        <v/>
      </c>
      <c r="D234">
        <f>IF(OR($A234="",$B234=""),"",IF(ISNUMBER($A234),MOD($A234,100),IFERROR(VALUE(TRIM(MID(MID($A234,FIND("/",$A234)+1,20),FIND("/",MID($A234,FIND("/",$A234)+1,20))+1,20))),"")))</f>
        <v/>
      </c>
      <c r="E234">
        <f>IF($A234="","",IF(OR($B234="",$C234="",$D234="",$B234&lt;1300,$B234&gt;1500,$C234&lt;1,$C234&gt;12,$D234&lt;1,$D234&gt;31),"نامعتبر",RIGHT("0000"&amp;$B234,4)&amp;"/"&amp;RIGHT("00"&amp;$C234,2)&amp;"/"&amp;RIGHT("00"&amp;$D234,2)))</f>
        <v/>
      </c>
      <c r="F234">
        <f>IF(OR($E234="",$E234="نامعتبر"),"",LEFT($E234,4)&amp;"/"&amp;MID($E234,6,2))</f>
        <v/>
      </c>
      <c r="G234">
        <f>IF(OR($E234="",$E234="نامعتبر",Sync!$X230=""),"",IF(AND(LEFT(UPPER(TRIM(Sync!$X230)),2)="SL",IFERROR(VLOOKUP(Sync!$W230,OpTbl,3,0),"")="فروش"),UPPER(TRIM(Sync!$X230)),""))</f>
        <v/>
      </c>
      <c r="H234">
        <f>IF($G234="","",IF(Sync!$W230="","",Sync!$W230))</f>
        <v/>
      </c>
      <c r="I234">
        <f>IF(OR($G234="",Sync!$Y230=""),"",Sync!$Y230)</f>
        <v/>
      </c>
      <c r="J234">
        <f>IF(OR($G234="",Sync!$Z230=""),"",Sync!$Z230)</f>
        <v/>
      </c>
      <c r="K234">
        <f>IF($G234="",0,IF(Sync!$AA230="",0,Sync!$AA230))</f>
        <v/>
      </c>
      <c r="L234">
        <f>IF($G234="",0,IF(Sync!$AB230="",0,Sync!$AB230))</f>
        <v/>
      </c>
      <c r="M234">
        <f>IF($G234="","",IF($H234="مرجوعی فروش",-1,1)*($K234-$L234*IFERROR(VLOOKUP("P01",ParamTbl,3,0),1.5)))</f>
        <v/>
      </c>
      <c r="N234">
        <f>IF($G234="",0,IF($H234="مرجوعی فروش",-1,1)*IF(Sync!$AC230="",0,Sync!$AC230))</f>
        <v/>
      </c>
      <c r="O234">
        <f>IF(OR($G234="",Sync!$V230=""),"",Sync!$V230)</f>
        <v/>
      </c>
      <c r="P234">
        <f>IF(OR($G234="",Sync!$AD230=""),"",Sync!$AD230)</f>
        <v/>
      </c>
      <c r="Q234">
        <f>IF($G234="","",IF(Sync!$U230="","0000",IF(AND(ISNUMBER(Sync!$U230),Sync!$U230&gt;=0,Sync!$U230&lt;1),RIGHT("00"&amp;HOUR(Sync!$U230),2)&amp;RIGHT("00"&amp;MINUTE(Sync!$U230),2),IFERROR(RIGHT("00"&amp;VALUE(LEFT(Sync!$U230,FIND(":",Sync!$U230)-1)),2)&amp;RIGHT("00"&amp;VALUE(MID(Sync!$U230,FIND(":",Sync!$U230)+1,2)),2),"0000"))))</f>
        <v/>
      </c>
    </row>
    <row r="235">
      <c r="A235">
        <f>IF(Sync!$T231="","",Sync!$T231)</f>
        <v/>
      </c>
      <c r="B235">
        <f>IF($A235="","",IF(ISNUMBER($A235),IF(AND($A235&gt;=10000101,$A235&lt;=99991231),INT($A235/10000),""),IFERROR(VALUE(TRIM(LEFT($A235,FIND("/",$A235)-1))),"")))</f>
        <v/>
      </c>
      <c r="C235">
        <f>IF(OR($A235="",$B235=""),"",IF(ISNUMBER($A235),INT(MOD($A235,10000)/100),IFERROR(VALUE(TRIM(LEFT(MID($A235,FIND("/",$A235)+1,20),FIND("/",MID($A235,FIND("/",$A235)+1,20))-1))),"")))</f>
        <v/>
      </c>
      <c r="D235">
        <f>IF(OR($A235="",$B235=""),"",IF(ISNUMBER($A235),MOD($A235,100),IFERROR(VALUE(TRIM(MID(MID($A235,FIND("/",$A235)+1,20),FIND("/",MID($A235,FIND("/",$A235)+1,20))+1,20))),"")))</f>
        <v/>
      </c>
      <c r="E235">
        <f>IF($A235="","",IF(OR($B235="",$C235="",$D235="",$B235&lt;1300,$B235&gt;1500,$C235&lt;1,$C235&gt;12,$D235&lt;1,$D235&gt;31),"نامعتبر",RIGHT("0000"&amp;$B235,4)&amp;"/"&amp;RIGHT("00"&amp;$C235,2)&amp;"/"&amp;RIGHT("00"&amp;$D235,2)))</f>
        <v/>
      </c>
      <c r="F235">
        <f>IF(OR($E235="",$E235="نامعتبر"),"",LEFT($E235,4)&amp;"/"&amp;MID($E235,6,2))</f>
        <v/>
      </c>
      <c r="G235">
        <f>IF(OR($E235="",$E235="نامعتبر",Sync!$X231=""),"",IF(AND(LEFT(UPPER(TRIM(Sync!$X231)),2)="SL",IFERROR(VLOOKUP(Sync!$W231,OpTbl,3,0),"")="فروش"),UPPER(TRIM(Sync!$X231)),""))</f>
        <v/>
      </c>
      <c r="H235">
        <f>IF($G235="","",IF(Sync!$W231="","",Sync!$W231))</f>
        <v/>
      </c>
      <c r="I235">
        <f>IF(OR($G235="",Sync!$Y231=""),"",Sync!$Y231)</f>
        <v/>
      </c>
      <c r="J235">
        <f>IF(OR($G235="",Sync!$Z231=""),"",Sync!$Z231)</f>
        <v/>
      </c>
      <c r="K235">
        <f>IF($G235="",0,IF(Sync!$AA231="",0,Sync!$AA231))</f>
        <v/>
      </c>
      <c r="L235">
        <f>IF($G235="",0,IF(Sync!$AB231="",0,Sync!$AB231))</f>
        <v/>
      </c>
      <c r="M235">
        <f>IF($G235="","",IF($H235="مرجوعی فروش",-1,1)*($K235-$L235*IFERROR(VLOOKUP("P01",ParamTbl,3,0),1.5)))</f>
        <v/>
      </c>
      <c r="N235">
        <f>IF($G235="",0,IF($H235="مرجوعی فروش",-1,1)*IF(Sync!$AC231="",0,Sync!$AC231))</f>
        <v/>
      </c>
      <c r="O235">
        <f>IF(OR($G235="",Sync!$V231=""),"",Sync!$V231)</f>
        <v/>
      </c>
      <c r="P235">
        <f>IF(OR($G235="",Sync!$AD231=""),"",Sync!$AD231)</f>
        <v/>
      </c>
      <c r="Q235">
        <f>IF($G235="","",IF(Sync!$U231="","0000",IF(AND(ISNUMBER(Sync!$U231),Sync!$U231&gt;=0,Sync!$U231&lt;1),RIGHT("00"&amp;HOUR(Sync!$U231),2)&amp;RIGHT("00"&amp;MINUTE(Sync!$U231),2),IFERROR(RIGHT("00"&amp;VALUE(LEFT(Sync!$U231,FIND(":",Sync!$U231)-1)),2)&amp;RIGHT("00"&amp;VALUE(MID(Sync!$U231,FIND(":",Sync!$U231)+1,2)),2),"0000"))))</f>
        <v/>
      </c>
    </row>
    <row r="236">
      <c r="A236">
        <f>IF(Sync!$T232="","",Sync!$T232)</f>
        <v/>
      </c>
      <c r="B236">
        <f>IF($A236="","",IF(ISNUMBER($A236),IF(AND($A236&gt;=10000101,$A236&lt;=99991231),INT($A236/10000),""),IFERROR(VALUE(TRIM(LEFT($A236,FIND("/",$A236)-1))),"")))</f>
        <v/>
      </c>
      <c r="C236">
        <f>IF(OR($A236="",$B236=""),"",IF(ISNUMBER($A236),INT(MOD($A236,10000)/100),IFERROR(VALUE(TRIM(LEFT(MID($A236,FIND("/",$A236)+1,20),FIND("/",MID($A236,FIND("/",$A236)+1,20))-1))),"")))</f>
        <v/>
      </c>
      <c r="D236">
        <f>IF(OR($A236="",$B236=""),"",IF(ISNUMBER($A236),MOD($A236,100),IFERROR(VALUE(TRIM(MID(MID($A236,FIND("/",$A236)+1,20),FIND("/",MID($A236,FIND("/",$A236)+1,20))+1,20))),"")))</f>
        <v/>
      </c>
      <c r="E236">
        <f>IF($A236="","",IF(OR($B236="",$C236="",$D236="",$B236&lt;1300,$B236&gt;1500,$C236&lt;1,$C236&gt;12,$D236&lt;1,$D236&gt;31),"نامعتبر",RIGHT("0000"&amp;$B236,4)&amp;"/"&amp;RIGHT("00"&amp;$C236,2)&amp;"/"&amp;RIGHT("00"&amp;$D236,2)))</f>
        <v/>
      </c>
      <c r="F236">
        <f>IF(OR($E236="",$E236="نامعتبر"),"",LEFT($E236,4)&amp;"/"&amp;MID($E236,6,2))</f>
        <v/>
      </c>
      <c r="G236">
        <f>IF(OR($E236="",$E236="نامعتبر",Sync!$X232=""),"",IF(AND(LEFT(UPPER(TRIM(Sync!$X232)),2)="SL",IFERROR(VLOOKUP(Sync!$W232,OpTbl,3,0),"")="فروش"),UPPER(TRIM(Sync!$X232)),""))</f>
        <v/>
      </c>
      <c r="H236">
        <f>IF($G236="","",IF(Sync!$W232="","",Sync!$W232))</f>
        <v/>
      </c>
      <c r="I236">
        <f>IF(OR($G236="",Sync!$Y232=""),"",Sync!$Y232)</f>
        <v/>
      </c>
      <c r="J236">
        <f>IF(OR($G236="",Sync!$Z232=""),"",Sync!$Z232)</f>
        <v/>
      </c>
      <c r="K236">
        <f>IF($G236="",0,IF(Sync!$AA232="",0,Sync!$AA232))</f>
        <v/>
      </c>
      <c r="L236">
        <f>IF($G236="",0,IF(Sync!$AB232="",0,Sync!$AB232))</f>
        <v/>
      </c>
      <c r="M236">
        <f>IF($G236="","",IF($H236="مرجوعی فروش",-1,1)*($K236-$L236*IFERROR(VLOOKUP("P01",ParamTbl,3,0),1.5)))</f>
        <v/>
      </c>
      <c r="N236">
        <f>IF($G236="",0,IF($H236="مرجوعی فروش",-1,1)*IF(Sync!$AC232="",0,Sync!$AC232))</f>
        <v/>
      </c>
      <c r="O236">
        <f>IF(OR($G236="",Sync!$V232=""),"",Sync!$V232)</f>
        <v/>
      </c>
      <c r="P236">
        <f>IF(OR($G236="",Sync!$AD232=""),"",Sync!$AD232)</f>
        <v/>
      </c>
      <c r="Q236">
        <f>IF($G236="","",IF(Sync!$U232="","0000",IF(AND(ISNUMBER(Sync!$U232),Sync!$U232&gt;=0,Sync!$U232&lt;1),RIGHT("00"&amp;HOUR(Sync!$U232),2)&amp;RIGHT("00"&amp;MINUTE(Sync!$U232),2),IFERROR(RIGHT("00"&amp;VALUE(LEFT(Sync!$U232,FIND(":",Sync!$U232)-1)),2)&amp;RIGHT("00"&amp;VALUE(MID(Sync!$U232,FIND(":",Sync!$U232)+1,2)),2),"0000"))))</f>
        <v/>
      </c>
    </row>
    <row r="237">
      <c r="A237">
        <f>IF(Sync!$T233="","",Sync!$T233)</f>
        <v/>
      </c>
      <c r="B237">
        <f>IF($A237="","",IF(ISNUMBER($A237),IF(AND($A237&gt;=10000101,$A237&lt;=99991231),INT($A237/10000),""),IFERROR(VALUE(TRIM(LEFT($A237,FIND("/",$A237)-1))),"")))</f>
        <v/>
      </c>
      <c r="C237">
        <f>IF(OR($A237="",$B237=""),"",IF(ISNUMBER($A237),INT(MOD($A237,10000)/100),IFERROR(VALUE(TRIM(LEFT(MID($A237,FIND("/",$A237)+1,20),FIND("/",MID($A237,FIND("/",$A237)+1,20))-1))),"")))</f>
        <v/>
      </c>
      <c r="D237">
        <f>IF(OR($A237="",$B237=""),"",IF(ISNUMBER($A237),MOD($A237,100),IFERROR(VALUE(TRIM(MID(MID($A237,FIND("/",$A237)+1,20),FIND("/",MID($A237,FIND("/",$A237)+1,20))+1,20))),"")))</f>
        <v/>
      </c>
      <c r="E237">
        <f>IF($A237="","",IF(OR($B237="",$C237="",$D237="",$B237&lt;1300,$B237&gt;1500,$C237&lt;1,$C237&gt;12,$D237&lt;1,$D237&gt;31),"نامعتبر",RIGHT("0000"&amp;$B237,4)&amp;"/"&amp;RIGHT("00"&amp;$C237,2)&amp;"/"&amp;RIGHT("00"&amp;$D237,2)))</f>
        <v/>
      </c>
      <c r="F237">
        <f>IF(OR($E237="",$E237="نامعتبر"),"",LEFT($E237,4)&amp;"/"&amp;MID($E237,6,2))</f>
        <v/>
      </c>
      <c r="G237">
        <f>IF(OR($E237="",$E237="نامعتبر",Sync!$X233=""),"",IF(AND(LEFT(UPPER(TRIM(Sync!$X233)),2)="SL",IFERROR(VLOOKUP(Sync!$W233,OpTbl,3,0),"")="فروش"),UPPER(TRIM(Sync!$X233)),""))</f>
        <v/>
      </c>
      <c r="H237">
        <f>IF($G237="","",IF(Sync!$W233="","",Sync!$W233))</f>
        <v/>
      </c>
      <c r="I237">
        <f>IF(OR($G237="",Sync!$Y233=""),"",Sync!$Y233)</f>
        <v/>
      </c>
      <c r="J237">
        <f>IF(OR($G237="",Sync!$Z233=""),"",Sync!$Z233)</f>
        <v/>
      </c>
      <c r="K237">
        <f>IF($G237="",0,IF(Sync!$AA233="",0,Sync!$AA233))</f>
        <v/>
      </c>
      <c r="L237">
        <f>IF($G237="",0,IF(Sync!$AB233="",0,Sync!$AB233))</f>
        <v/>
      </c>
      <c r="M237">
        <f>IF($G237="","",IF($H237="مرجوعی فروش",-1,1)*($K237-$L237*IFERROR(VLOOKUP("P01",ParamTbl,3,0),1.5)))</f>
        <v/>
      </c>
      <c r="N237">
        <f>IF($G237="",0,IF($H237="مرجوعی فروش",-1,1)*IF(Sync!$AC233="",0,Sync!$AC233))</f>
        <v/>
      </c>
      <c r="O237">
        <f>IF(OR($G237="",Sync!$V233=""),"",Sync!$V233)</f>
        <v/>
      </c>
      <c r="P237">
        <f>IF(OR($G237="",Sync!$AD233=""),"",Sync!$AD233)</f>
        <v/>
      </c>
      <c r="Q237">
        <f>IF($G237="","",IF(Sync!$U233="","0000",IF(AND(ISNUMBER(Sync!$U233),Sync!$U233&gt;=0,Sync!$U233&lt;1),RIGHT("00"&amp;HOUR(Sync!$U233),2)&amp;RIGHT("00"&amp;MINUTE(Sync!$U233),2),IFERROR(RIGHT("00"&amp;VALUE(LEFT(Sync!$U233,FIND(":",Sync!$U233)-1)),2)&amp;RIGHT("00"&amp;VALUE(MID(Sync!$U233,FIND(":",Sync!$U233)+1,2)),2),"0000"))))</f>
        <v/>
      </c>
    </row>
    <row r="238">
      <c r="A238">
        <f>IF(Sync!$T234="","",Sync!$T234)</f>
        <v/>
      </c>
      <c r="B238">
        <f>IF($A238="","",IF(ISNUMBER($A238),IF(AND($A238&gt;=10000101,$A238&lt;=99991231),INT($A238/10000),""),IFERROR(VALUE(TRIM(LEFT($A238,FIND("/",$A238)-1))),"")))</f>
        <v/>
      </c>
      <c r="C238">
        <f>IF(OR($A238="",$B238=""),"",IF(ISNUMBER($A238),INT(MOD($A238,10000)/100),IFERROR(VALUE(TRIM(LEFT(MID($A238,FIND("/",$A238)+1,20),FIND("/",MID($A238,FIND("/",$A238)+1,20))-1))),"")))</f>
        <v/>
      </c>
      <c r="D238">
        <f>IF(OR($A238="",$B238=""),"",IF(ISNUMBER($A238),MOD($A238,100),IFERROR(VALUE(TRIM(MID(MID($A238,FIND("/",$A238)+1,20),FIND("/",MID($A238,FIND("/",$A238)+1,20))+1,20))),"")))</f>
        <v/>
      </c>
      <c r="E238">
        <f>IF($A238="","",IF(OR($B238="",$C238="",$D238="",$B238&lt;1300,$B238&gt;1500,$C238&lt;1,$C238&gt;12,$D238&lt;1,$D238&gt;31),"نامعتبر",RIGHT("0000"&amp;$B238,4)&amp;"/"&amp;RIGHT("00"&amp;$C238,2)&amp;"/"&amp;RIGHT("00"&amp;$D238,2)))</f>
        <v/>
      </c>
      <c r="F238">
        <f>IF(OR($E238="",$E238="نامعتبر"),"",LEFT($E238,4)&amp;"/"&amp;MID($E238,6,2))</f>
        <v/>
      </c>
      <c r="G238">
        <f>IF(OR($E238="",$E238="نامعتبر",Sync!$X234=""),"",IF(AND(LEFT(UPPER(TRIM(Sync!$X234)),2)="SL",IFERROR(VLOOKUP(Sync!$W234,OpTbl,3,0),"")="فروش"),UPPER(TRIM(Sync!$X234)),""))</f>
        <v/>
      </c>
      <c r="H238">
        <f>IF($G238="","",IF(Sync!$W234="","",Sync!$W234))</f>
        <v/>
      </c>
      <c r="I238">
        <f>IF(OR($G238="",Sync!$Y234=""),"",Sync!$Y234)</f>
        <v/>
      </c>
      <c r="J238">
        <f>IF(OR($G238="",Sync!$Z234=""),"",Sync!$Z234)</f>
        <v/>
      </c>
      <c r="K238">
        <f>IF($G238="",0,IF(Sync!$AA234="",0,Sync!$AA234))</f>
        <v/>
      </c>
      <c r="L238">
        <f>IF($G238="",0,IF(Sync!$AB234="",0,Sync!$AB234))</f>
        <v/>
      </c>
      <c r="M238">
        <f>IF($G238="","",IF($H238="مرجوعی فروش",-1,1)*($K238-$L238*IFERROR(VLOOKUP("P01",ParamTbl,3,0),1.5)))</f>
        <v/>
      </c>
      <c r="N238">
        <f>IF($G238="",0,IF($H238="مرجوعی فروش",-1,1)*IF(Sync!$AC234="",0,Sync!$AC234))</f>
        <v/>
      </c>
      <c r="O238">
        <f>IF(OR($G238="",Sync!$V234=""),"",Sync!$V234)</f>
        <v/>
      </c>
      <c r="P238">
        <f>IF(OR($G238="",Sync!$AD234=""),"",Sync!$AD234)</f>
        <v/>
      </c>
      <c r="Q238">
        <f>IF($G238="","",IF(Sync!$U234="","0000",IF(AND(ISNUMBER(Sync!$U234),Sync!$U234&gt;=0,Sync!$U234&lt;1),RIGHT("00"&amp;HOUR(Sync!$U234),2)&amp;RIGHT("00"&amp;MINUTE(Sync!$U234),2),IFERROR(RIGHT("00"&amp;VALUE(LEFT(Sync!$U234,FIND(":",Sync!$U234)-1)),2)&amp;RIGHT("00"&amp;VALUE(MID(Sync!$U234,FIND(":",Sync!$U234)+1,2)),2),"0000"))))</f>
        <v/>
      </c>
    </row>
    <row r="239">
      <c r="A239">
        <f>IF(Sync!$T235="","",Sync!$T235)</f>
        <v/>
      </c>
      <c r="B239">
        <f>IF($A239="","",IF(ISNUMBER($A239),IF(AND($A239&gt;=10000101,$A239&lt;=99991231),INT($A239/10000),""),IFERROR(VALUE(TRIM(LEFT($A239,FIND("/",$A239)-1))),"")))</f>
        <v/>
      </c>
      <c r="C239">
        <f>IF(OR($A239="",$B239=""),"",IF(ISNUMBER($A239),INT(MOD($A239,10000)/100),IFERROR(VALUE(TRIM(LEFT(MID($A239,FIND("/",$A239)+1,20),FIND("/",MID($A239,FIND("/",$A239)+1,20))-1))),"")))</f>
        <v/>
      </c>
      <c r="D239">
        <f>IF(OR($A239="",$B239=""),"",IF(ISNUMBER($A239),MOD($A239,100),IFERROR(VALUE(TRIM(MID(MID($A239,FIND("/",$A239)+1,20),FIND("/",MID($A239,FIND("/",$A239)+1,20))+1,20))),"")))</f>
        <v/>
      </c>
      <c r="E239">
        <f>IF($A239="","",IF(OR($B239="",$C239="",$D239="",$B239&lt;1300,$B239&gt;1500,$C239&lt;1,$C239&gt;12,$D239&lt;1,$D239&gt;31),"نامعتبر",RIGHT("0000"&amp;$B239,4)&amp;"/"&amp;RIGHT("00"&amp;$C239,2)&amp;"/"&amp;RIGHT("00"&amp;$D239,2)))</f>
        <v/>
      </c>
      <c r="F239">
        <f>IF(OR($E239="",$E239="نامعتبر"),"",LEFT($E239,4)&amp;"/"&amp;MID($E239,6,2))</f>
        <v/>
      </c>
      <c r="G239">
        <f>IF(OR($E239="",$E239="نامعتبر",Sync!$X235=""),"",IF(AND(LEFT(UPPER(TRIM(Sync!$X235)),2)="SL",IFERROR(VLOOKUP(Sync!$W235,OpTbl,3,0),"")="فروش"),UPPER(TRIM(Sync!$X235)),""))</f>
        <v/>
      </c>
      <c r="H239">
        <f>IF($G239="","",IF(Sync!$W235="","",Sync!$W235))</f>
        <v/>
      </c>
      <c r="I239">
        <f>IF(OR($G239="",Sync!$Y235=""),"",Sync!$Y235)</f>
        <v/>
      </c>
      <c r="J239">
        <f>IF(OR($G239="",Sync!$Z235=""),"",Sync!$Z235)</f>
        <v/>
      </c>
      <c r="K239">
        <f>IF($G239="",0,IF(Sync!$AA235="",0,Sync!$AA235))</f>
        <v/>
      </c>
      <c r="L239">
        <f>IF($G239="",0,IF(Sync!$AB235="",0,Sync!$AB235))</f>
        <v/>
      </c>
      <c r="M239">
        <f>IF($G239="","",IF($H239="مرجوعی فروش",-1,1)*($K239-$L239*IFERROR(VLOOKUP("P01",ParamTbl,3,0),1.5)))</f>
        <v/>
      </c>
      <c r="N239">
        <f>IF($G239="",0,IF($H239="مرجوعی فروش",-1,1)*IF(Sync!$AC235="",0,Sync!$AC235))</f>
        <v/>
      </c>
      <c r="O239">
        <f>IF(OR($G239="",Sync!$V235=""),"",Sync!$V235)</f>
        <v/>
      </c>
      <c r="P239">
        <f>IF(OR($G239="",Sync!$AD235=""),"",Sync!$AD235)</f>
        <v/>
      </c>
      <c r="Q239">
        <f>IF($G239="","",IF(Sync!$U235="","0000",IF(AND(ISNUMBER(Sync!$U235),Sync!$U235&gt;=0,Sync!$U235&lt;1),RIGHT("00"&amp;HOUR(Sync!$U235),2)&amp;RIGHT("00"&amp;MINUTE(Sync!$U235),2),IFERROR(RIGHT("00"&amp;VALUE(LEFT(Sync!$U235,FIND(":",Sync!$U235)-1)),2)&amp;RIGHT("00"&amp;VALUE(MID(Sync!$U235,FIND(":",Sync!$U235)+1,2)),2),"0000"))))</f>
        <v/>
      </c>
    </row>
    <row r="240">
      <c r="A240">
        <f>IF(Sync!$T236="","",Sync!$T236)</f>
        <v/>
      </c>
      <c r="B240">
        <f>IF($A240="","",IF(ISNUMBER($A240),IF(AND($A240&gt;=10000101,$A240&lt;=99991231),INT($A240/10000),""),IFERROR(VALUE(TRIM(LEFT($A240,FIND("/",$A240)-1))),"")))</f>
        <v/>
      </c>
      <c r="C240">
        <f>IF(OR($A240="",$B240=""),"",IF(ISNUMBER($A240),INT(MOD($A240,10000)/100),IFERROR(VALUE(TRIM(LEFT(MID($A240,FIND("/",$A240)+1,20),FIND("/",MID($A240,FIND("/",$A240)+1,20))-1))),"")))</f>
        <v/>
      </c>
      <c r="D240">
        <f>IF(OR($A240="",$B240=""),"",IF(ISNUMBER($A240),MOD($A240,100),IFERROR(VALUE(TRIM(MID(MID($A240,FIND("/",$A240)+1,20),FIND("/",MID($A240,FIND("/",$A240)+1,20))+1,20))),"")))</f>
        <v/>
      </c>
      <c r="E240">
        <f>IF($A240="","",IF(OR($B240="",$C240="",$D240="",$B240&lt;1300,$B240&gt;1500,$C240&lt;1,$C240&gt;12,$D240&lt;1,$D240&gt;31),"نامعتبر",RIGHT("0000"&amp;$B240,4)&amp;"/"&amp;RIGHT("00"&amp;$C240,2)&amp;"/"&amp;RIGHT("00"&amp;$D240,2)))</f>
        <v/>
      </c>
      <c r="F240">
        <f>IF(OR($E240="",$E240="نامعتبر"),"",LEFT($E240,4)&amp;"/"&amp;MID($E240,6,2))</f>
        <v/>
      </c>
      <c r="G240">
        <f>IF(OR($E240="",$E240="نامعتبر",Sync!$X236=""),"",IF(AND(LEFT(UPPER(TRIM(Sync!$X236)),2)="SL",IFERROR(VLOOKUP(Sync!$W236,OpTbl,3,0),"")="فروش"),UPPER(TRIM(Sync!$X236)),""))</f>
        <v/>
      </c>
      <c r="H240">
        <f>IF($G240="","",IF(Sync!$W236="","",Sync!$W236))</f>
        <v/>
      </c>
      <c r="I240">
        <f>IF(OR($G240="",Sync!$Y236=""),"",Sync!$Y236)</f>
        <v/>
      </c>
      <c r="J240">
        <f>IF(OR($G240="",Sync!$Z236=""),"",Sync!$Z236)</f>
        <v/>
      </c>
      <c r="K240">
        <f>IF($G240="",0,IF(Sync!$AA236="",0,Sync!$AA236))</f>
        <v/>
      </c>
      <c r="L240">
        <f>IF($G240="",0,IF(Sync!$AB236="",0,Sync!$AB236))</f>
        <v/>
      </c>
      <c r="M240">
        <f>IF($G240="","",IF($H240="مرجوعی فروش",-1,1)*($K240-$L240*IFERROR(VLOOKUP("P01",ParamTbl,3,0),1.5)))</f>
        <v/>
      </c>
      <c r="N240">
        <f>IF($G240="",0,IF($H240="مرجوعی فروش",-1,1)*IF(Sync!$AC236="",0,Sync!$AC236))</f>
        <v/>
      </c>
      <c r="O240">
        <f>IF(OR($G240="",Sync!$V236=""),"",Sync!$V236)</f>
        <v/>
      </c>
      <c r="P240">
        <f>IF(OR($G240="",Sync!$AD236=""),"",Sync!$AD236)</f>
        <v/>
      </c>
      <c r="Q240">
        <f>IF($G240="","",IF(Sync!$U236="","0000",IF(AND(ISNUMBER(Sync!$U236),Sync!$U236&gt;=0,Sync!$U236&lt;1),RIGHT("00"&amp;HOUR(Sync!$U236),2)&amp;RIGHT("00"&amp;MINUTE(Sync!$U236),2),IFERROR(RIGHT("00"&amp;VALUE(LEFT(Sync!$U236,FIND(":",Sync!$U236)-1)),2)&amp;RIGHT("00"&amp;VALUE(MID(Sync!$U236,FIND(":",Sync!$U236)+1,2)),2),"0000"))))</f>
        <v/>
      </c>
    </row>
    <row r="241">
      <c r="A241">
        <f>IF(Sync!$T237="","",Sync!$T237)</f>
        <v/>
      </c>
      <c r="B241">
        <f>IF($A241="","",IF(ISNUMBER($A241),IF(AND($A241&gt;=10000101,$A241&lt;=99991231),INT($A241/10000),""),IFERROR(VALUE(TRIM(LEFT($A241,FIND("/",$A241)-1))),"")))</f>
        <v/>
      </c>
      <c r="C241">
        <f>IF(OR($A241="",$B241=""),"",IF(ISNUMBER($A241),INT(MOD($A241,10000)/100),IFERROR(VALUE(TRIM(LEFT(MID($A241,FIND("/",$A241)+1,20),FIND("/",MID($A241,FIND("/",$A241)+1,20))-1))),"")))</f>
        <v/>
      </c>
      <c r="D241">
        <f>IF(OR($A241="",$B241=""),"",IF(ISNUMBER($A241),MOD($A241,100),IFERROR(VALUE(TRIM(MID(MID($A241,FIND("/",$A241)+1,20),FIND("/",MID($A241,FIND("/",$A241)+1,20))+1,20))),"")))</f>
        <v/>
      </c>
      <c r="E241">
        <f>IF($A241="","",IF(OR($B241="",$C241="",$D241="",$B241&lt;1300,$B241&gt;1500,$C241&lt;1,$C241&gt;12,$D241&lt;1,$D241&gt;31),"نامعتبر",RIGHT("0000"&amp;$B241,4)&amp;"/"&amp;RIGHT("00"&amp;$C241,2)&amp;"/"&amp;RIGHT("00"&amp;$D241,2)))</f>
        <v/>
      </c>
      <c r="F241">
        <f>IF(OR($E241="",$E241="نامعتبر"),"",LEFT($E241,4)&amp;"/"&amp;MID($E241,6,2))</f>
        <v/>
      </c>
      <c r="G241">
        <f>IF(OR($E241="",$E241="نامعتبر",Sync!$X237=""),"",IF(AND(LEFT(UPPER(TRIM(Sync!$X237)),2)="SL",IFERROR(VLOOKUP(Sync!$W237,OpTbl,3,0),"")="فروش"),UPPER(TRIM(Sync!$X237)),""))</f>
        <v/>
      </c>
      <c r="H241">
        <f>IF($G241="","",IF(Sync!$W237="","",Sync!$W237))</f>
        <v/>
      </c>
      <c r="I241">
        <f>IF(OR($G241="",Sync!$Y237=""),"",Sync!$Y237)</f>
        <v/>
      </c>
      <c r="J241">
        <f>IF(OR($G241="",Sync!$Z237=""),"",Sync!$Z237)</f>
        <v/>
      </c>
      <c r="K241">
        <f>IF($G241="",0,IF(Sync!$AA237="",0,Sync!$AA237))</f>
        <v/>
      </c>
      <c r="L241">
        <f>IF($G241="",0,IF(Sync!$AB237="",0,Sync!$AB237))</f>
        <v/>
      </c>
      <c r="M241">
        <f>IF($G241="","",IF($H241="مرجوعی فروش",-1,1)*($K241-$L241*IFERROR(VLOOKUP("P01",ParamTbl,3,0),1.5)))</f>
        <v/>
      </c>
      <c r="N241">
        <f>IF($G241="",0,IF($H241="مرجوعی فروش",-1,1)*IF(Sync!$AC237="",0,Sync!$AC237))</f>
        <v/>
      </c>
      <c r="O241">
        <f>IF(OR($G241="",Sync!$V237=""),"",Sync!$V237)</f>
        <v/>
      </c>
      <c r="P241">
        <f>IF(OR($G241="",Sync!$AD237=""),"",Sync!$AD237)</f>
        <v/>
      </c>
      <c r="Q241">
        <f>IF($G241="","",IF(Sync!$U237="","0000",IF(AND(ISNUMBER(Sync!$U237),Sync!$U237&gt;=0,Sync!$U237&lt;1),RIGHT("00"&amp;HOUR(Sync!$U237),2)&amp;RIGHT("00"&amp;MINUTE(Sync!$U237),2),IFERROR(RIGHT("00"&amp;VALUE(LEFT(Sync!$U237,FIND(":",Sync!$U237)-1)),2)&amp;RIGHT("00"&amp;VALUE(MID(Sync!$U237,FIND(":",Sync!$U237)+1,2)),2),"0000"))))</f>
        <v/>
      </c>
    </row>
    <row r="242">
      <c r="A242">
        <f>IF(Sync!$T238="","",Sync!$T238)</f>
        <v/>
      </c>
      <c r="B242">
        <f>IF($A242="","",IF(ISNUMBER($A242),IF(AND($A242&gt;=10000101,$A242&lt;=99991231),INT($A242/10000),""),IFERROR(VALUE(TRIM(LEFT($A242,FIND("/",$A242)-1))),"")))</f>
        <v/>
      </c>
      <c r="C242">
        <f>IF(OR($A242="",$B242=""),"",IF(ISNUMBER($A242),INT(MOD($A242,10000)/100),IFERROR(VALUE(TRIM(LEFT(MID($A242,FIND("/",$A242)+1,20),FIND("/",MID($A242,FIND("/",$A242)+1,20))-1))),"")))</f>
        <v/>
      </c>
      <c r="D242">
        <f>IF(OR($A242="",$B242=""),"",IF(ISNUMBER($A242),MOD($A242,100),IFERROR(VALUE(TRIM(MID(MID($A242,FIND("/",$A242)+1,20),FIND("/",MID($A242,FIND("/",$A242)+1,20))+1,20))),"")))</f>
        <v/>
      </c>
      <c r="E242">
        <f>IF($A242="","",IF(OR($B242="",$C242="",$D242="",$B242&lt;1300,$B242&gt;1500,$C242&lt;1,$C242&gt;12,$D242&lt;1,$D242&gt;31),"نامعتبر",RIGHT("0000"&amp;$B242,4)&amp;"/"&amp;RIGHT("00"&amp;$C242,2)&amp;"/"&amp;RIGHT("00"&amp;$D242,2)))</f>
        <v/>
      </c>
      <c r="F242">
        <f>IF(OR($E242="",$E242="نامعتبر"),"",LEFT($E242,4)&amp;"/"&amp;MID($E242,6,2))</f>
        <v/>
      </c>
      <c r="G242">
        <f>IF(OR($E242="",$E242="نامعتبر",Sync!$X238=""),"",IF(AND(LEFT(UPPER(TRIM(Sync!$X238)),2)="SL",IFERROR(VLOOKUP(Sync!$W238,OpTbl,3,0),"")="فروش"),UPPER(TRIM(Sync!$X238)),""))</f>
        <v/>
      </c>
      <c r="H242">
        <f>IF($G242="","",IF(Sync!$W238="","",Sync!$W238))</f>
        <v/>
      </c>
      <c r="I242">
        <f>IF(OR($G242="",Sync!$Y238=""),"",Sync!$Y238)</f>
        <v/>
      </c>
      <c r="J242">
        <f>IF(OR($G242="",Sync!$Z238=""),"",Sync!$Z238)</f>
        <v/>
      </c>
      <c r="K242">
        <f>IF($G242="",0,IF(Sync!$AA238="",0,Sync!$AA238))</f>
        <v/>
      </c>
      <c r="L242">
        <f>IF($G242="",0,IF(Sync!$AB238="",0,Sync!$AB238))</f>
        <v/>
      </c>
      <c r="M242">
        <f>IF($G242="","",IF($H242="مرجوعی فروش",-1,1)*($K242-$L242*IFERROR(VLOOKUP("P01",ParamTbl,3,0),1.5)))</f>
        <v/>
      </c>
      <c r="N242">
        <f>IF($G242="",0,IF($H242="مرجوعی فروش",-1,1)*IF(Sync!$AC238="",0,Sync!$AC238))</f>
        <v/>
      </c>
      <c r="O242">
        <f>IF(OR($G242="",Sync!$V238=""),"",Sync!$V238)</f>
        <v/>
      </c>
      <c r="P242">
        <f>IF(OR($G242="",Sync!$AD238=""),"",Sync!$AD238)</f>
        <v/>
      </c>
      <c r="Q242">
        <f>IF($G242="","",IF(Sync!$U238="","0000",IF(AND(ISNUMBER(Sync!$U238),Sync!$U238&gt;=0,Sync!$U238&lt;1),RIGHT("00"&amp;HOUR(Sync!$U238),2)&amp;RIGHT("00"&amp;MINUTE(Sync!$U238),2),IFERROR(RIGHT("00"&amp;VALUE(LEFT(Sync!$U238,FIND(":",Sync!$U238)-1)),2)&amp;RIGHT("00"&amp;VALUE(MID(Sync!$U238,FIND(":",Sync!$U238)+1,2)),2),"0000"))))</f>
        <v/>
      </c>
    </row>
    <row r="243">
      <c r="A243">
        <f>IF(Sync!$T239="","",Sync!$T239)</f>
        <v/>
      </c>
      <c r="B243">
        <f>IF($A243="","",IF(ISNUMBER($A243),IF(AND($A243&gt;=10000101,$A243&lt;=99991231),INT($A243/10000),""),IFERROR(VALUE(TRIM(LEFT($A243,FIND("/",$A243)-1))),"")))</f>
        <v/>
      </c>
      <c r="C243">
        <f>IF(OR($A243="",$B243=""),"",IF(ISNUMBER($A243),INT(MOD($A243,10000)/100),IFERROR(VALUE(TRIM(LEFT(MID($A243,FIND("/",$A243)+1,20),FIND("/",MID($A243,FIND("/",$A243)+1,20))-1))),"")))</f>
        <v/>
      </c>
      <c r="D243">
        <f>IF(OR($A243="",$B243=""),"",IF(ISNUMBER($A243),MOD($A243,100),IFERROR(VALUE(TRIM(MID(MID($A243,FIND("/",$A243)+1,20),FIND("/",MID($A243,FIND("/",$A243)+1,20))+1,20))),"")))</f>
        <v/>
      </c>
      <c r="E243">
        <f>IF($A243="","",IF(OR($B243="",$C243="",$D243="",$B243&lt;1300,$B243&gt;1500,$C243&lt;1,$C243&gt;12,$D243&lt;1,$D243&gt;31),"نامعتبر",RIGHT("0000"&amp;$B243,4)&amp;"/"&amp;RIGHT("00"&amp;$C243,2)&amp;"/"&amp;RIGHT("00"&amp;$D243,2)))</f>
        <v/>
      </c>
      <c r="F243">
        <f>IF(OR($E243="",$E243="نامعتبر"),"",LEFT($E243,4)&amp;"/"&amp;MID($E243,6,2))</f>
        <v/>
      </c>
      <c r="G243">
        <f>IF(OR($E243="",$E243="نامعتبر",Sync!$X239=""),"",IF(AND(LEFT(UPPER(TRIM(Sync!$X239)),2)="SL",IFERROR(VLOOKUP(Sync!$W239,OpTbl,3,0),"")="فروش"),UPPER(TRIM(Sync!$X239)),""))</f>
        <v/>
      </c>
      <c r="H243">
        <f>IF($G243="","",IF(Sync!$W239="","",Sync!$W239))</f>
        <v/>
      </c>
      <c r="I243">
        <f>IF(OR($G243="",Sync!$Y239=""),"",Sync!$Y239)</f>
        <v/>
      </c>
      <c r="J243">
        <f>IF(OR($G243="",Sync!$Z239=""),"",Sync!$Z239)</f>
        <v/>
      </c>
      <c r="K243">
        <f>IF($G243="",0,IF(Sync!$AA239="",0,Sync!$AA239))</f>
        <v/>
      </c>
      <c r="L243">
        <f>IF($G243="",0,IF(Sync!$AB239="",0,Sync!$AB239))</f>
        <v/>
      </c>
      <c r="M243">
        <f>IF($G243="","",IF($H243="مرجوعی فروش",-1,1)*($K243-$L243*IFERROR(VLOOKUP("P01",ParamTbl,3,0),1.5)))</f>
        <v/>
      </c>
      <c r="N243">
        <f>IF($G243="",0,IF($H243="مرجوعی فروش",-1,1)*IF(Sync!$AC239="",0,Sync!$AC239))</f>
        <v/>
      </c>
      <c r="O243">
        <f>IF(OR($G243="",Sync!$V239=""),"",Sync!$V239)</f>
        <v/>
      </c>
      <c r="P243">
        <f>IF(OR($G243="",Sync!$AD239=""),"",Sync!$AD239)</f>
        <v/>
      </c>
      <c r="Q243">
        <f>IF($G243="","",IF(Sync!$U239="","0000",IF(AND(ISNUMBER(Sync!$U239),Sync!$U239&gt;=0,Sync!$U239&lt;1),RIGHT("00"&amp;HOUR(Sync!$U239),2)&amp;RIGHT("00"&amp;MINUTE(Sync!$U239),2),IFERROR(RIGHT("00"&amp;VALUE(LEFT(Sync!$U239,FIND(":",Sync!$U239)-1)),2)&amp;RIGHT("00"&amp;VALUE(MID(Sync!$U239,FIND(":",Sync!$U239)+1,2)),2),"0000"))))</f>
        <v/>
      </c>
    </row>
    <row r="244">
      <c r="A244">
        <f>IF(Sync!$T240="","",Sync!$T240)</f>
        <v/>
      </c>
      <c r="B244">
        <f>IF($A244="","",IF(ISNUMBER($A244),IF(AND($A244&gt;=10000101,$A244&lt;=99991231),INT($A244/10000),""),IFERROR(VALUE(TRIM(LEFT($A244,FIND("/",$A244)-1))),"")))</f>
        <v/>
      </c>
      <c r="C244">
        <f>IF(OR($A244="",$B244=""),"",IF(ISNUMBER($A244),INT(MOD($A244,10000)/100),IFERROR(VALUE(TRIM(LEFT(MID($A244,FIND("/",$A244)+1,20),FIND("/",MID($A244,FIND("/",$A244)+1,20))-1))),"")))</f>
        <v/>
      </c>
      <c r="D244">
        <f>IF(OR($A244="",$B244=""),"",IF(ISNUMBER($A244),MOD($A244,100),IFERROR(VALUE(TRIM(MID(MID($A244,FIND("/",$A244)+1,20),FIND("/",MID($A244,FIND("/",$A244)+1,20))+1,20))),"")))</f>
        <v/>
      </c>
      <c r="E244">
        <f>IF($A244="","",IF(OR($B244="",$C244="",$D244="",$B244&lt;1300,$B244&gt;1500,$C244&lt;1,$C244&gt;12,$D244&lt;1,$D244&gt;31),"نامعتبر",RIGHT("0000"&amp;$B244,4)&amp;"/"&amp;RIGHT("00"&amp;$C244,2)&amp;"/"&amp;RIGHT("00"&amp;$D244,2)))</f>
        <v/>
      </c>
      <c r="F244">
        <f>IF(OR($E244="",$E244="نامعتبر"),"",LEFT($E244,4)&amp;"/"&amp;MID($E244,6,2))</f>
        <v/>
      </c>
      <c r="G244">
        <f>IF(OR($E244="",$E244="نامعتبر",Sync!$X240=""),"",IF(AND(LEFT(UPPER(TRIM(Sync!$X240)),2)="SL",IFERROR(VLOOKUP(Sync!$W240,OpTbl,3,0),"")="فروش"),UPPER(TRIM(Sync!$X240)),""))</f>
        <v/>
      </c>
      <c r="H244">
        <f>IF($G244="","",IF(Sync!$W240="","",Sync!$W240))</f>
        <v/>
      </c>
      <c r="I244">
        <f>IF(OR($G244="",Sync!$Y240=""),"",Sync!$Y240)</f>
        <v/>
      </c>
      <c r="J244">
        <f>IF(OR($G244="",Sync!$Z240=""),"",Sync!$Z240)</f>
        <v/>
      </c>
      <c r="K244">
        <f>IF($G244="",0,IF(Sync!$AA240="",0,Sync!$AA240))</f>
        <v/>
      </c>
      <c r="L244">
        <f>IF($G244="",0,IF(Sync!$AB240="",0,Sync!$AB240))</f>
        <v/>
      </c>
      <c r="M244">
        <f>IF($G244="","",IF($H244="مرجوعی فروش",-1,1)*($K244-$L244*IFERROR(VLOOKUP("P01",ParamTbl,3,0),1.5)))</f>
        <v/>
      </c>
      <c r="N244">
        <f>IF($G244="",0,IF($H244="مرجوعی فروش",-1,1)*IF(Sync!$AC240="",0,Sync!$AC240))</f>
        <v/>
      </c>
      <c r="O244">
        <f>IF(OR($G244="",Sync!$V240=""),"",Sync!$V240)</f>
        <v/>
      </c>
      <c r="P244">
        <f>IF(OR($G244="",Sync!$AD240=""),"",Sync!$AD240)</f>
        <v/>
      </c>
      <c r="Q244">
        <f>IF($G244="","",IF(Sync!$U240="","0000",IF(AND(ISNUMBER(Sync!$U240),Sync!$U240&gt;=0,Sync!$U240&lt;1),RIGHT("00"&amp;HOUR(Sync!$U240),2)&amp;RIGHT("00"&amp;MINUTE(Sync!$U240),2),IFERROR(RIGHT("00"&amp;VALUE(LEFT(Sync!$U240,FIND(":",Sync!$U240)-1)),2)&amp;RIGHT("00"&amp;VALUE(MID(Sync!$U240,FIND(":",Sync!$U240)+1,2)),2),"0000"))))</f>
        <v/>
      </c>
    </row>
    <row r="245">
      <c r="A245">
        <f>IF(Sync!$T241="","",Sync!$T241)</f>
        <v/>
      </c>
      <c r="B245">
        <f>IF($A245="","",IF(ISNUMBER($A245),IF(AND($A245&gt;=10000101,$A245&lt;=99991231),INT($A245/10000),""),IFERROR(VALUE(TRIM(LEFT($A245,FIND("/",$A245)-1))),"")))</f>
        <v/>
      </c>
      <c r="C245">
        <f>IF(OR($A245="",$B245=""),"",IF(ISNUMBER($A245),INT(MOD($A245,10000)/100),IFERROR(VALUE(TRIM(LEFT(MID($A245,FIND("/",$A245)+1,20),FIND("/",MID($A245,FIND("/",$A245)+1,20))-1))),"")))</f>
        <v/>
      </c>
      <c r="D245">
        <f>IF(OR($A245="",$B245=""),"",IF(ISNUMBER($A245),MOD($A245,100),IFERROR(VALUE(TRIM(MID(MID($A245,FIND("/",$A245)+1,20),FIND("/",MID($A245,FIND("/",$A245)+1,20))+1,20))),"")))</f>
        <v/>
      </c>
      <c r="E245">
        <f>IF($A245="","",IF(OR($B245="",$C245="",$D245="",$B245&lt;1300,$B245&gt;1500,$C245&lt;1,$C245&gt;12,$D245&lt;1,$D245&gt;31),"نامعتبر",RIGHT("0000"&amp;$B245,4)&amp;"/"&amp;RIGHT("00"&amp;$C245,2)&amp;"/"&amp;RIGHT("00"&amp;$D245,2)))</f>
        <v/>
      </c>
      <c r="F245">
        <f>IF(OR($E245="",$E245="نامعتبر"),"",LEFT($E245,4)&amp;"/"&amp;MID($E245,6,2))</f>
        <v/>
      </c>
      <c r="G245">
        <f>IF(OR($E245="",$E245="نامعتبر",Sync!$X241=""),"",IF(AND(LEFT(UPPER(TRIM(Sync!$X241)),2)="SL",IFERROR(VLOOKUP(Sync!$W241,OpTbl,3,0),"")="فروش"),UPPER(TRIM(Sync!$X241)),""))</f>
        <v/>
      </c>
      <c r="H245">
        <f>IF($G245="","",IF(Sync!$W241="","",Sync!$W241))</f>
        <v/>
      </c>
      <c r="I245">
        <f>IF(OR($G245="",Sync!$Y241=""),"",Sync!$Y241)</f>
        <v/>
      </c>
      <c r="J245">
        <f>IF(OR($G245="",Sync!$Z241=""),"",Sync!$Z241)</f>
        <v/>
      </c>
      <c r="K245">
        <f>IF($G245="",0,IF(Sync!$AA241="",0,Sync!$AA241))</f>
        <v/>
      </c>
      <c r="L245">
        <f>IF($G245="",0,IF(Sync!$AB241="",0,Sync!$AB241))</f>
        <v/>
      </c>
      <c r="M245">
        <f>IF($G245="","",IF($H245="مرجوعی فروش",-1,1)*($K245-$L245*IFERROR(VLOOKUP("P01",ParamTbl,3,0),1.5)))</f>
        <v/>
      </c>
      <c r="N245">
        <f>IF($G245="",0,IF($H245="مرجوعی فروش",-1,1)*IF(Sync!$AC241="",0,Sync!$AC241))</f>
        <v/>
      </c>
      <c r="O245">
        <f>IF(OR($G245="",Sync!$V241=""),"",Sync!$V241)</f>
        <v/>
      </c>
      <c r="P245">
        <f>IF(OR($G245="",Sync!$AD241=""),"",Sync!$AD241)</f>
        <v/>
      </c>
      <c r="Q245">
        <f>IF($G245="","",IF(Sync!$U241="","0000",IF(AND(ISNUMBER(Sync!$U241),Sync!$U241&gt;=0,Sync!$U241&lt;1),RIGHT("00"&amp;HOUR(Sync!$U241),2)&amp;RIGHT("00"&amp;MINUTE(Sync!$U241),2),IFERROR(RIGHT("00"&amp;VALUE(LEFT(Sync!$U241,FIND(":",Sync!$U241)-1)),2)&amp;RIGHT("00"&amp;VALUE(MID(Sync!$U241,FIND(":",Sync!$U241)+1,2)),2),"0000"))))</f>
        <v/>
      </c>
    </row>
    <row r="246">
      <c r="A246">
        <f>IF(Sync!$T242="","",Sync!$T242)</f>
        <v/>
      </c>
      <c r="B246">
        <f>IF($A246="","",IF(ISNUMBER($A246),IF(AND($A246&gt;=10000101,$A246&lt;=99991231),INT($A246/10000),""),IFERROR(VALUE(TRIM(LEFT($A246,FIND("/",$A246)-1))),"")))</f>
        <v/>
      </c>
      <c r="C246">
        <f>IF(OR($A246="",$B246=""),"",IF(ISNUMBER($A246),INT(MOD($A246,10000)/100),IFERROR(VALUE(TRIM(LEFT(MID($A246,FIND("/",$A246)+1,20),FIND("/",MID($A246,FIND("/",$A246)+1,20))-1))),"")))</f>
        <v/>
      </c>
      <c r="D246">
        <f>IF(OR($A246="",$B246=""),"",IF(ISNUMBER($A246),MOD($A246,100),IFERROR(VALUE(TRIM(MID(MID($A246,FIND("/",$A246)+1,20),FIND("/",MID($A246,FIND("/",$A246)+1,20))+1,20))),"")))</f>
        <v/>
      </c>
      <c r="E246">
        <f>IF($A246="","",IF(OR($B246="",$C246="",$D246="",$B246&lt;1300,$B246&gt;1500,$C246&lt;1,$C246&gt;12,$D246&lt;1,$D246&gt;31),"نامعتبر",RIGHT("0000"&amp;$B246,4)&amp;"/"&amp;RIGHT("00"&amp;$C246,2)&amp;"/"&amp;RIGHT("00"&amp;$D246,2)))</f>
        <v/>
      </c>
      <c r="F246">
        <f>IF(OR($E246="",$E246="نامعتبر"),"",LEFT($E246,4)&amp;"/"&amp;MID($E246,6,2))</f>
        <v/>
      </c>
      <c r="G246">
        <f>IF(OR($E246="",$E246="نامعتبر",Sync!$X242=""),"",IF(AND(LEFT(UPPER(TRIM(Sync!$X242)),2)="SL",IFERROR(VLOOKUP(Sync!$W242,OpTbl,3,0),"")="فروش"),UPPER(TRIM(Sync!$X242)),""))</f>
        <v/>
      </c>
      <c r="H246">
        <f>IF($G246="","",IF(Sync!$W242="","",Sync!$W242))</f>
        <v/>
      </c>
      <c r="I246">
        <f>IF(OR($G246="",Sync!$Y242=""),"",Sync!$Y242)</f>
        <v/>
      </c>
      <c r="J246">
        <f>IF(OR($G246="",Sync!$Z242=""),"",Sync!$Z242)</f>
        <v/>
      </c>
      <c r="K246">
        <f>IF($G246="",0,IF(Sync!$AA242="",0,Sync!$AA242))</f>
        <v/>
      </c>
      <c r="L246">
        <f>IF($G246="",0,IF(Sync!$AB242="",0,Sync!$AB242))</f>
        <v/>
      </c>
      <c r="M246">
        <f>IF($G246="","",IF($H246="مرجوعی فروش",-1,1)*($K246-$L246*IFERROR(VLOOKUP("P01",ParamTbl,3,0),1.5)))</f>
        <v/>
      </c>
      <c r="N246">
        <f>IF($G246="",0,IF($H246="مرجوعی فروش",-1,1)*IF(Sync!$AC242="",0,Sync!$AC242))</f>
        <v/>
      </c>
      <c r="O246">
        <f>IF(OR($G246="",Sync!$V242=""),"",Sync!$V242)</f>
        <v/>
      </c>
      <c r="P246">
        <f>IF(OR($G246="",Sync!$AD242=""),"",Sync!$AD242)</f>
        <v/>
      </c>
      <c r="Q246">
        <f>IF($G246="","",IF(Sync!$U242="","0000",IF(AND(ISNUMBER(Sync!$U242),Sync!$U242&gt;=0,Sync!$U242&lt;1),RIGHT("00"&amp;HOUR(Sync!$U242),2)&amp;RIGHT("00"&amp;MINUTE(Sync!$U242),2),IFERROR(RIGHT("00"&amp;VALUE(LEFT(Sync!$U242,FIND(":",Sync!$U242)-1)),2)&amp;RIGHT("00"&amp;VALUE(MID(Sync!$U242,FIND(":",Sync!$U242)+1,2)),2),"0000"))))</f>
        <v/>
      </c>
    </row>
    <row r="247">
      <c r="A247">
        <f>IF(Sync!$T243="","",Sync!$T243)</f>
        <v/>
      </c>
      <c r="B247">
        <f>IF($A247="","",IF(ISNUMBER($A247),IF(AND($A247&gt;=10000101,$A247&lt;=99991231),INT($A247/10000),""),IFERROR(VALUE(TRIM(LEFT($A247,FIND("/",$A247)-1))),"")))</f>
        <v/>
      </c>
      <c r="C247">
        <f>IF(OR($A247="",$B247=""),"",IF(ISNUMBER($A247),INT(MOD($A247,10000)/100),IFERROR(VALUE(TRIM(LEFT(MID($A247,FIND("/",$A247)+1,20),FIND("/",MID($A247,FIND("/",$A247)+1,20))-1))),"")))</f>
        <v/>
      </c>
      <c r="D247">
        <f>IF(OR($A247="",$B247=""),"",IF(ISNUMBER($A247),MOD($A247,100),IFERROR(VALUE(TRIM(MID(MID($A247,FIND("/",$A247)+1,20),FIND("/",MID($A247,FIND("/",$A247)+1,20))+1,20))),"")))</f>
        <v/>
      </c>
      <c r="E247">
        <f>IF($A247="","",IF(OR($B247="",$C247="",$D247="",$B247&lt;1300,$B247&gt;1500,$C247&lt;1,$C247&gt;12,$D247&lt;1,$D247&gt;31),"نامعتبر",RIGHT("0000"&amp;$B247,4)&amp;"/"&amp;RIGHT("00"&amp;$C247,2)&amp;"/"&amp;RIGHT("00"&amp;$D247,2)))</f>
        <v/>
      </c>
      <c r="F247">
        <f>IF(OR($E247="",$E247="نامعتبر"),"",LEFT($E247,4)&amp;"/"&amp;MID($E247,6,2))</f>
        <v/>
      </c>
      <c r="G247">
        <f>IF(OR($E247="",$E247="نامعتبر",Sync!$X243=""),"",IF(AND(LEFT(UPPER(TRIM(Sync!$X243)),2)="SL",IFERROR(VLOOKUP(Sync!$W243,OpTbl,3,0),"")="فروش"),UPPER(TRIM(Sync!$X243)),""))</f>
        <v/>
      </c>
      <c r="H247">
        <f>IF($G247="","",IF(Sync!$W243="","",Sync!$W243))</f>
        <v/>
      </c>
      <c r="I247">
        <f>IF(OR($G247="",Sync!$Y243=""),"",Sync!$Y243)</f>
        <v/>
      </c>
      <c r="J247">
        <f>IF(OR($G247="",Sync!$Z243=""),"",Sync!$Z243)</f>
        <v/>
      </c>
      <c r="K247">
        <f>IF($G247="",0,IF(Sync!$AA243="",0,Sync!$AA243))</f>
        <v/>
      </c>
      <c r="L247">
        <f>IF($G247="",0,IF(Sync!$AB243="",0,Sync!$AB243))</f>
        <v/>
      </c>
      <c r="M247">
        <f>IF($G247="","",IF($H247="مرجوعی فروش",-1,1)*($K247-$L247*IFERROR(VLOOKUP("P01",ParamTbl,3,0),1.5)))</f>
        <v/>
      </c>
      <c r="N247">
        <f>IF($G247="",0,IF($H247="مرجوعی فروش",-1,1)*IF(Sync!$AC243="",0,Sync!$AC243))</f>
        <v/>
      </c>
      <c r="O247">
        <f>IF(OR($G247="",Sync!$V243=""),"",Sync!$V243)</f>
        <v/>
      </c>
      <c r="P247">
        <f>IF(OR($G247="",Sync!$AD243=""),"",Sync!$AD243)</f>
        <v/>
      </c>
      <c r="Q247">
        <f>IF($G247="","",IF(Sync!$U243="","0000",IF(AND(ISNUMBER(Sync!$U243),Sync!$U243&gt;=0,Sync!$U243&lt;1),RIGHT("00"&amp;HOUR(Sync!$U243),2)&amp;RIGHT("00"&amp;MINUTE(Sync!$U243),2),IFERROR(RIGHT("00"&amp;VALUE(LEFT(Sync!$U243,FIND(":",Sync!$U243)-1)),2)&amp;RIGHT("00"&amp;VALUE(MID(Sync!$U243,FIND(":",Sync!$U243)+1,2)),2),"0000"))))</f>
        <v/>
      </c>
    </row>
    <row r="248">
      <c r="A248">
        <f>IF(Sync!$T244="","",Sync!$T244)</f>
        <v/>
      </c>
      <c r="B248">
        <f>IF($A248="","",IF(ISNUMBER($A248),IF(AND($A248&gt;=10000101,$A248&lt;=99991231),INT($A248/10000),""),IFERROR(VALUE(TRIM(LEFT($A248,FIND("/",$A248)-1))),"")))</f>
        <v/>
      </c>
      <c r="C248">
        <f>IF(OR($A248="",$B248=""),"",IF(ISNUMBER($A248),INT(MOD($A248,10000)/100),IFERROR(VALUE(TRIM(LEFT(MID($A248,FIND("/",$A248)+1,20),FIND("/",MID($A248,FIND("/",$A248)+1,20))-1))),"")))</f>
        <v/>
      </c>
      <c r="D248">
        <f>IF(OR($A248="",$B248=""),"",IF(ISNUMBER($A248),MOD($A248,100),IFERROR(VALUE(TRIM(MID(MID($A248,FIND("/",$A248)+1,20),FIND("/",MID($A248,FIND("/",$A248)+1,20))+1,20))),"")))</f>
        <v/>
      </c>
      <c r="E248">
        <f>IF($A248="","",IF(OR($B248="",$C248="",$D248="",$B248&lt;1300,$B248&gt;1500,$C248&lt;1,$C248&gt;12,$D248&lt;1,$D248&gt;31),"نامعتبر",RIGHT("0000"&amp;$B248,4)&amp;"/"&amp;RIGHT("00"&amp;$C248,2)&amp;"/"&amp;RIGHT("00"&amp;$D248,2)))</f>
        <v/>
      </c>
      <c r="F248">
        <f>IF(OR($E248="",$E248="نامعتبر"),"",LEFT($E248,4)&amp;"/"&amp;MID($E248,6,2))</f>
        <v/>
      </c>
      <c r="G248">
        <f>IF(OR($E248="",$E248="نامعتبر",Sync!$X244=""),"",IF(AND(LEFT(UPPER(TRIM(Sync!$X244)),2)="SL",IFERROR(VLOOKUP(Sync!$W244,OpTbl,3,0),"")="فروش"),UPPER(TRIM(Sync!$X244)),""))</f>
        <v/>
      </c>
      <c r="H248">
        <f>IF($G248="","",IF(Sync!$W244="","",Sync!$W244))</f>
        <v/>
      </c>
      <c r="I248">
        <f>IF(OR($G248="",Sync!$Y244=""),"",Sync!$Y244)</f>
        <v/>
      </c>
      <c r="J248">
        <f>IF(OR($G248="",Sync!$Z244=""),"",Sync!$Z244)</f>
        <v/>
      </c>
      <c r="K248">
        <f>IF($G248="",0,IF(Sync!$AA244="",0,Sync!$AA244))</f>
        <v/>
      </c>
      <c r="L248">
        <f>IF($G248="",0,IF(Sync!$AB244="",0,Sync!$AB244))</f>
        <v/>
      </c>
      <c r="M248">
        <f>IF($G248="","",IF($H248="مرجوعی فروش",-1,1)*($K248-$L248*IFERROR(VLOOKUP("P01",ParamTbl,3,0),1.5)))</f>
        <v/>
      </c>
      <c r="N248">
        <f>IF($G248="",0,IF($H248="مرجوعی فروش",-1,1)*IF(Sync!$AC244="",0,Sync!$AC244))</f>
        <v/>
      </c>
      <c r="O248">
        <f>IF(OR($G248="",Sync!$V244=""),"",Sync!$V244)</f>
        <v/>
      </c>
      <c r="P248">
        <f>IF(OR($G248="",Sync!$AD244=""),"",Sync!$AD244)</f>
        <v/>
      </c>
      <c r="Q248">
        <f>IF($G248="","",IF(Sync!$U244="","0000",IF(AND(ISNUMBER(Sync!$U244),Sync!$U244&gt;=0,Sync!$U244&lt;1),RIGHT("00"&amp;HOUR(Sync!$U244),2)&amp;RIGHT("00"&amp;MINUTE(Sync!$U244),2),IFERROR(RIGHT("00"&amp;VALUE(LEFT(Sync!$U244,FIND(":",Sync!$U244)-1)),2)&amp;RIGHT("00"&amp;VALUE(MID(Sync!$U244,FIND(":",Sync!$U244)+1,2)),2),"0000"))))</f>
        <v/>
      </c>
    </row>
    <row r="249">
      <c r="A249">
        <f>IF(Sync!$T245="","",Sync!$T245)</f>
        <v/>
      </c>
      <c r="B249">
        <f>IF($A249="","",IF(ISNUMBER($A249),IF(AND($A249&gt;=10000101,$A249&lt;=99991231),INT($A249/10000),""),IFERROR(VALUE(TRIM(LEFT($A249,FIND("/",$A249)-1))),"")))</f>
        <v/>
      </c>
      <c r="C249">
        <f>IF(OR($A249="",$B249=""),"",IF(ISNUMBER($A249),INT(MOD($A249,10000)/100),IFERROR(VALUE(TRIM(LEFT(MID($A249,FIND("/",$A249)+1,20),FIND("/",MID($A249,FIND("/",$A249)+1,20))-1))),"")))</f>
        <v/>
      </c>
      <c r="D249">
        <f>IF(OR($A249="",$B249=""),"",IF(ISNUMBER($A249),MOD($A249,100),IFERROR(VALUE(TRIM(MID(MID($A249,FIND("/",$A249)+1,20),FIND("/",MID($A249,FIND("/",$A249)+1,20))+1,20))),"")))</f>
        <v/>
      </c>
      <c r="E249">
        <f>IF($A249="","",IF(OR($B249="",$C249="",$D249="",$B249&lt;1300,$B249&gt;1500,$C249&lt;1,$C249&gt;12,$D249&lt;1,$D249&gt;31),"نامعتبر",RIGHT("0000"&amp;$B249,4)&amp;"/"&amp;RIGHT("00"&amp;$C249,2)&amp;"/"&amp;RIGHT("00"&amp;$D249,2)))</f>
        <v/>
      </c>
      <c r="F249">
        <f>IF(OR($E249="",$E249="نامعتبر"),"",LEFT($E249,4)&amp;"/"&amp;MID($E249,6,2))</f>
        <v/>
      </c>
      <c r="G249">
        <f>IF(OR($E249="",$E249="نامعتبر",Sync!$X245=""),"",IF(AND(LEFT(UPPER(TRIM(Sync!$X245)),2)="SL",IFERROR(VLOOKUP(Sync!$W245,OpTbl,3,0),"")="فروش"),UPPER(TRIM(Sync!$X245)),""))</f>
        <v/>
      </c>
      <c r="H249">
        <f>IF($G249="","",IF(Sync!$W245="","",Sync!$W245))</f>
        <v/>
      </c>
      <c r="I249">
        <f>IF(OR($G249="",Sync!$Y245=""),"",Sync!$Y245)</f>
        <v/>
      </c>
      <c r="J249">
        <f>IF(OR($G249="",Sync!$Z245=""),"",Sync!$Z245)</f>
        <v/>
      </c>
      <c r="K249">
        <f>IF($G249="",0,IF(Sync!$AA245="",0,Sync!$AA245))</f>
        <v/>
      </c>
      <c r="L249">
        <f>IF($G249="",0,IF(Sync!$AB245="",0,Sync!$AB245))</f>
        <v/>
      </c>
      <c r="M249">
        <f>IF($G249="","",IF($H249="مرجوعی فروش",-1,1)*($K249-$L249*IFERROR(VLOOKUP("P01",ParamTbl,3,0),1.5)))</f>
        <v/>
      </c>
      <c r="N249">
        <f>IF($G249="",0,IF($H249="مرجوعی فروش",-1,1)*IF(Sync!$AC245="",0,Sync!$AC245))</f>
        <v/>
      </c>
      <c r="O249">
        <f>IF(OR($G249="",Sync!$V245=""),"",Sync!$V245)</f>
        <v/>
      </c>
      <c r="P249">
        <f>IF(OR($G249="",Sync!$AD245=""),"",Sync!$AD245)</f>
        <v/>
      </c>
      <c r="Q249">
        <f>IF($G249="","",IF(Sync!$U245="","0000",IF(AND(ISNUMBER(Sync!$U245),Sync!$U245&gt;=0,Sync!$U245&lt;1),RIGHT("00"&amp;HOUR(Sync!$U245),2)&amp;RIGHT("00"&amp;MINUTE(Sync!$U245),2),IFERROR(RIGHT("00"&amp;VALUE(LEFT(Sync!$U245,FIND(":",Sync!$U245)-1)),2)&amp;RIGHT("00"&amp;VALUE(MID(Sync!$U245,FIND(":",Sync!$U245)+1,2)),2),"0000"))))</f>
        <v/>
      </c>
    </row>
    <row r="250">
      <c r="A250">
        <f>IF(Sync!$T246="","",Sync!$T246)</f>
        <v/>
      </c>
      <c r="B250">
        <f>IF($A250="","",IF(ISNUMBER($A250),IF(AND($A250&gt;=10000101,$A250&lt;=99991231),INT($A250/10000),""),IFERROR(VALUE(TRIM(LEFT($A250,FIND("/",$A250)-1))),"")))</f>
        <v/>
      </c>
      <c r="C250">
        <f>IF(OR($A250="",$B250=""),"",IF(ISNUMBER($A250),INT(MOD($A250,10000)/100),IFERROR(VALUE(TRIM(LEFT(MID($A250,FIND("/",$A250)+1,20),FIND("/",MID($A250,FIND("/",$A250)+1,20))-1))),"")))</f>
        <v/>
      </c>
      <c r="D250">
        <f>IF(OR($A250="",$B250=""),"",IF(ISNUMBER($A250),MOD($A250,100),IFERROR(VALUE(TRIM(MID(MID($A250,FIND("/",$A250)+1,20),FIND("/",MID($A250,FIND("/",$A250)+1,20))+1,20))),"")))</f>
        <v/>
      </c>
      <c r="E250">
        <f>IF($A250="","",IF(OR($B250="",$C250="",$D250="",$B250&lt;1300,$B250&gt;1500,$C250&lt;1,$C250&gt;12,$D250&lt;1,$D250&gt;31),"نامعتبر",RIGHT("0000"&amp;$B250,4)&amp;"/"&amp;RIGHT("00"&amp;$C250,2)&amp;"/"&amp;RIGHT("00"&amp;$D250,2)))</f>
        <v/>
      </c>
      <c r="F250">
        <f>IF(OR($E250="",$E250="نامعتبر"),"",LEFT($E250,4)&amp;"/"&amp;MID($E250,6,2))</f>
        <v/>
      </c>
      <c r="G250">
        <f>IF(OR($E250="",$E250="نامعتبر",Sync!$X246=""),"",IF(AND(LEFT(UPPER(TRIM(Sync!$X246)),2)="SL",IFERROR(VLOOKUP(Sync!$W246,OpTbl,3,0),"")="فروش"),UPPER(TRIM(Sync!$X246)),""))</f>
        <v/>
      </c>
      <c r="H250">
        <f>IF($G250="","",IF(Sync!$W246="","",Sync!$W246))</f>
        <v/>
      </c>
      <c r="I250">
        <f>IF(OR($G250="",Sync!$Y246=""),"",Sync!$Y246)</f>
        <v/>
      </c>
      <c r="J250">
        <f>IF(OR($G250="",Sync!$Z246=""),"",Sync!$Z246)</f>
        <v/>
      </c>
      <c r="K250">
        <f>IF($G250="",0,IF(Sync!$AA246="",0,Sync!$AA246))</f>
        <v/>
      </c>
      <c r="L250">
        <f>IF($G250="",0,IF(Sync!$AB246="",0,Sync!$AB246))</f>
        <v/>
      </c>
      <c r="M250">
        <f>IF($G250="","",IF($H250="مرجوعی فروش",-1,1)*($K250-$L250*IFERROR(VLOOKUP("P01",ParamTbl,3,0),1.5)))</f>
        <v/>
      </c>
      <c r="N250">
        <f>IF($G250="",0,IF($H250="مرجوعی فروش",-1,1)*IF(Sync!$AC246="",0,Sync!$AC246))</f>
        <v/>
      </c>
      <c r="O250">
        <f>IF(OR($G250="",Sync!$V246=""),"",Sync!$V246)</f>
        <v/>
      </c>
      <c r="P250">
        <f>IF(OR($G250="",Sync!$AD246=""),"",Sync!$AD246)</f>
        <v/>
      </c>
      <c r="Q250">
        <f>IF($G250="","",IF(Sync!$U246="","0000",IF(AND(ISNUMBER(Sync!$U246),Sync!$U246&gt;=0,Sync!$U246&lt;1),RIGHT("00"&amp;HOUR(Sync!$U246),2)&amp;RIGHT("00"&amp;MINUTE(Sync!$U246),2),IFERROR(RIGHT("00"&amp;VALUE(LEFT(Sync!$U246,FIND(":",Sync!$U246)-1)),2)&amp;RIGHT("00"&amp;VALUE(MID(Sync!$U246,FIND(":",Sync!$U246)+1,2)),2),"0000"))))</f>
        <v/>
      </c>
    </row>
    <row r="251">
      <c r="A251">
        <f>IF(Sync!$T247="","",Sync!$T247)</f>
        <v/>
      </c>
      <c r="B251">
        <f>IF($A251="","",IF(ISNUMBER($A251),IF(AND($A251&gt;=10000101,$A251&lt;=99991231),INT($A251/10000),""),IFERROR(VALUE(TRIM(LEFT($A251,FIND("/",$A251)-1))),"")))</f>
        <v/>
      </c>
      <c r="C251">
        <f>IF(OR($A251="",$B251=""),"",IF(ISNUMBER($A251),INT(MOD($A251,10000)/100),IFERROR(VALUE(TRIM(LEFT(MID($A251,FIND("/",$A251)+1,20),FIND("/",MID($A251,FIND("/",$A251)+1,20))-1))),"")))</f>
        <v/>
      </c>
      <c r="D251">
        <f>IF(OR($A251="",$B251=""),"",IF(ISNUMBER($A251),MOD($A251,100),IFERROR(VALUE(TRIM(MID(MID($A251,FIND("/",$A251)+1,20),FIND("/",MID($A251,FIND("/",$A251)+1,20))+1,20))),"")))</f>
        <v/>
      </c>
      <c r="E251">
        <f>IF($A251="","",IF(OR($B251="",$C251="",$D251="",$B251&lt;1300,$B251&gt;1500,$C251&lt;1,$C251&gt;12,$D251&lt;1,$D251&gt;31),"نامعتبر",RIGHT("0000"&amp;$B251,4)&amp;"/"&amp;RIGHT("00"&amp;$C251,2)&amp;"/"&amp;RIGHT("00"&amp;$D251,2)))</f>
        <v/>
      </c>
      <c r="F251">
        <f>IF(OR($E251="",$E251="نامعتبر"),"",LEFT($E251,4)&amp;"/"&amp;MID($E251,6,2))</f>
        <v/>
      </c>
      <c r="G251">
        <f>IF(OR($E251="",$E251="نامعتبر",Sync!$X247=""),"",IF(AND(LEFT(UPPER(TRIM(Sync!$X247)),2)="SL",IFERROR(VLOOKUP(Sync!$W247,OpTbl,3,0),"")="فروش"),UPPER(TRIM(Sync!$X247)),""))</f>
        <v/>
      </c>
      <c r="H251">
        <f>IF($G251="","",IF(Sync!$W247="","",Sync!$W247))</f>
        <v/>
      </c>
      <c r="I251">
        <f>IF(OR($G251="",Sync!$Y247=""),"",Sync!$Y247)</f>
        <v/>
      </c>
      <c r="J251">
        <f>IF(OR($G251="",Sync!$Z247=""),"",Sync!$Z247)</f>
        <v/>
      </c>
      <c r="K251">
        <f>IF($G251="",0,IF(Sync!$AA247="",0,Sync!$AA247))</f>
        <v/>
      </c>
      <c r="L251">
        <f>IF($G251="",0,IF(Sync!$AB247="",0,Sync!$AB247))</f>
        <v/>
      </c>
      <c r="M251">
        <f>IF($G251="","",IF($H251="مرجوعی فروش",-1,1)*($K251-$L251*IFERROR(VLOOKUP("P01",ParamTbl,3,0),1.5)))</f>
        <v/>
      </c>
      <c r="N251">
        <f>IF($G251="",0,IF($H251="مرجوعی فروش",-1,1)*IF(Sync!$AC247="",0,Sync!$AC247))</f>
        <v/>
      </c>
      <c r="O251">
        <f>IF(OR($G251="",Sync!$V247=""),"",Sync!$V247)</f>
        <v/>
      </c>
      <c r="P251">
        <f>IF(OR($G251="",Sync!$AD247=""),"",Sync!$AD247)</f>
        <v/>
      </c>
      <c r="Q251">
        <f>IF($G251="","",IF(Sync!$U247="","0000",IF(AND(ISNUMBER(Sync!$U247),Sync!$U247&gt;=0,Sync!$U247&lt;1),RIGHT("00"&amp;HOUR(Sync!$U247),2)&amp;RIGHT("00"&amp;MINUTE(Sync!$U247),2),IFERROR(RIGHT("00"&amp;VALUE(LEFT(Sync!$U247,FIND(":",Sync!$U247)-1)),2)&amp;RIGHT("00"&amp;VALUE(MID(Sync!$U247,FIND(":",Sync!$U247)+1,2)),2),"0000"))))</f>
        <v/>
      </c>
    </row>
    <row r="252">
      <c r="A252">
        <f>IF(Sync!$T248="","",Sync!$T248)</f>
        <v/>
      </c>
      <c r="B252">
        <f>IF($A252="","",IF(ISNUMBER($A252),IF(AND($A252&gt;=10000101,$A252&lt;=99991231),INT($A252/10000),""),IFERROR(VALUE(TRIM(LEFT($A252,FIND("/",$A252)-1))),"")))</f>
        <v/>
      </c>
      <c r="C252">
        <f>IF(OR($A252="",$B252=""),"",IF(ISNUMBER($A252),INT(MOD($A252,10000)/100),IFERROR(VALUE(TRIM(LEFT(MID($A252,FIND("/",$A252)+1,20),FIND("/",MID($A252,FIND("/",$A252)+1,20))-1))),"")))</f>
        <v/>
      </c>
      <c r="D252">
        <f>IF(OR($A252="",$B252=""),"",IF(ISNUMBER($A252),MOD($A252,100),IFERROR(VALUE(TRIM(MID(MID($A252,FIND("/",$A252)+1,20),FIND("/",MID($A252,FIND("/",$A252)+1,20))+1,20))),"")))</f>
        <v/>
      </c>
      <c r="E252">
        <f>IF($A252="","",IF(OR($B252="",$C252="",$D252="",$B252&lt;1300,$B252&gt;1500,$C252&lt;1,$C252&gt;12,$D252&lt;1,$D252&gt;31),"نامعتبر",RIGHT("0000"&amp;$B252,4)&amp;"/"&amp;RIGHT("00"&amp;$C252,2)&amp;"/"&amp;RIGHT("00"&amp;$D252,2)))</f>
        <v/>
      </c>
      <c r="F252">
        <f>IF(OR($E252="",$E252="نامعتبر"),"",LEFT($E252,4)&amp;"/"&amp;MID($E252,6,2))</f>
        <v/>
      </c>
      <c r="G252">
        <f>IF(OR($E252="",$E252="نامعتبر",Sync!$X248=""),"",IF(AND(LEFT(UPPER(TRIM(Sync!$X248)),2)="SL",IFERROR(VLOOKUP(Sync!$W248,OpTbl,3,0),"")="فروش"),UPPER(TRIM(Sync!$X248)),""))</f>
        <v/>
      </c>
      <c r="H252">
        <f>IF($G252="","",IF(Sync!$W248="","",Sync!$W248))</f>
        <v/>
      </c>
      <c r="I252">
        <f>IF(OR($G252="",Sync!$Y248=""),"",Sync!$Y248)</f>
        <v/>
      </c>
      <c r="J252">
        <f>IF(OR($G252="",Sync!$Z248=""),"",Sync!$Z248)</f>
        <v/>
      </c>
      <c r="K252">
        <f>IF($G252="",0,IF(Sync!$AA248="",0,Sync!$AA248))</f>
        <v/>
      </c>
      <c r="L252">
        <f>IF($G252="",0,IF(Sync!$AB248="",0,Sync!$AB248))</f>
        <v/>
      </c>
      <c r="M252">
        <f>IF($G252="","",IF($H252="مرجوعی فروش",-1,1)*($K252-$L252*IFERROR(VLOOKUP("P01",ParamTbl,3,0),1.5)))</f>
        <v/>
      </c>
      <c r="N252">
        <f>IF($G252="",0,IF($H252="مرجوعی فروش",-1,1)*IF(Sync!$AC248="",0,Sync!$AC248))</f>
        <v/>
      </c>
      <c r="O252">
        <f>IF(OR($G252="",Sync!$V248=""),"",Sync!$V248)</f>
        <v/>
      </c>
      <c r="P252">
        <f>IF(OR($G252="",Sync!$AD248=""),"",Sync!$AD248)</f>
        <v/>
      </c>
      <c r="Q252">
        <f>IF($G252="","",IF(Sync!$U248="","0000",IF(AND(ISNUMBER(Sync!$U248),Sync!$U248&gt;=0,Sync!$U248&lt;1),RIGHT("00"&amp;HOUR(Sync!$U248),2)&amp;RIGHT("00"&amp;MINUTE(Sync!$U248),2),IFERROR(RIGHT("00"&amp;VALUE(LEFT(Sync!$U248,FIND(":",Sync!$U248)-1)),2)&amp;RIGHT("00"&amp;VALUE(MID(Sync!$U248,FIND(":",Sync!$U248)+1,2)),2),"0000"))))</f>
        <v/>
      </c>
    </row>
    <row r="253">
      <c r="A253">
        <f>IF(Sync!$T249="","",Sync!$T249)</f>
        <v/>
      </c>
      <c r="B253">
        <f>IF($A253="","",IF(ISNUMBER($A253),IF(AND($A253&gt;=10000101,$A253&lt;=99991231),INT($A253/10000),""),IFERROR(VALUE(TRIM(LEFT($A253,FIND("/",$A253)-1))),"")))</f>
        <v/>
      </c>
      <c r="C253">
        <f>IF(OR($A253="",$B253=""),"",IF(ISNUMBER($A253),INT(MOD($A253,10000)/100),IFERROR(VALUE(TRIM(LEFT(MID($A253,FIND("/",$A253)+1,20),FIND("/",MID($A253,FIND("/",$A253)+1,20))-1))),"")))</f>
        <v/>
      </c>
      <c r="D253">
        <f>IF(OR($A253="",$B253=""),"",IF(ISNUMBER($A253),MOD($A253,100),IFERROR(VALUE(TRIM(MID(MID($A253,FIND("/",$A253)+1,20),FIND("/",MID($A253,FIND("/",$A253)+1,20))+1,20))),"")))</f>
        <v/>
      </c>
      <c r="E253">
        <f>IF($A253="","",IF(OR($B253="",$C253="",$D253="",$B253&lt;1300,$B253&gt;1500,$C253&lt;1,$C253&gt;12,$D253&lt;1,$D253&gt;31),"نامعتبر",RIGHT("0000"&amp;$B253,4)&amp;"/"&amp;RIGHT("00"&amp;$C253,2)&amp;"/"&amp;RIGHT("00"&amp;$D253,2)))</f>
        <v/>
      </c>
      <c r="F253">
        <f>IF(OR($E253="",$E253="نامعتبر"),"",LEFT($E253,4)&amp;"/"&amp;MID($E253,6,2))</f>
        <v/>
      </c>
      <c r="G253">
        <f>IF(OR($E253="",$E253="نامعتبر",Sync!$X249=""),"",IF(AND(LEFT(UPPER(TRIM(Sync!$X249)),2)="SL",IFERROR(VLOOKUP(Sync!$W249,OpTbl,3,0),"")="فروش"),UPPER(TRIM(Sync!$X249)),""))</f>
        <v/>
      </c>
      <c r="H253">
        <f>IF($G253="","",IF(Sync!$W249="","",Sync!$W249))</f>
        <v/>
      </c>
      <c r="I253">
        <f>IF(OR($G253="",Sync!$Y249=""),"",Sync!$Y249)</f>
        <v/>
      </c>
      <c r="J253">
        <f>IF(OR($G253="",Sync!$Z249=""),"",Sync!$Z249)</f>
        <v/>
      </c>
      <c r="K253">
        <f>IF($G253="",0,IF(Sync!$AA249="",0,Sync!$AA249))</f>
        <v/>
      </c>
      <c r="L253">
        <f>IF($G253="",0,IF(Sync!$AB249="",0,Sync!$AB249))</f>
        <v/>
      </c>
      <c r="M253">
        <f>IF($G253="","",IF($H253="مرجوعی فروش",-1,1)*($K253-$L253*IFERROR(VLOOKUP("P01",ParamTbl,3,0),1.5)))</f>
        <v/>
      </c>
      <c r="N253">
        <f>IF($G253="",0,IF($H253="مرجوعی فروش",-1,1)*IF(Sync!$AC249="",0,Sync!$AC249))</f>
        <v/>
      </c>
      <c r="O253">
        <f>IF(OR($G253="",Sync!$V249=""),"",Sync!$V249)</f>
        <v/>
      </c>
      <c r="P253">
        <f>IF(OR($G253="",Sync!$AD249=""),"",Sync!$AD249)</f>
        <v/>
      </c>
      <c r="Q253">
        <f>IF($G253="","",IF(Sync!$U249="","0000",IF(AND(ISNUMBER(Sync!$U249),Sync!$U249&gt;=0,Sync!$U249&lt;1),RIGHT("00"&amp;HOUR(Sync!$U249),2)&amp;RIGHT("00"&amp;MINUTE(Sync!$U249),2),IFERROR(RIGHT("00"&amp;VALUE(LEFT(Sync!$U249,FIND(":",Sync!$U249)-1)),2)&amp;RIGHT("00"&amp;VALUE(MID(Sync!$U249,FIND(":",Sync!$U249)+1,2)),2),"0000"))))</f>
        <v/>
      </c>
    </row>
    <row r="254">
      <c r="A254">
        <f>IF(Sync!$T250="","",Sync!$T250)</f>
        <v/>
      </c>
      <c r="B254">
        <f>IF($A254="","",IF(ISNUMBER($A254),IF(AND($A254&gt;=10000101,$A254&lt;=99991231),INT($A254/10000),""),IFERROR(VALUE(TRIM(LEFT($A254,FIND("/",$A254)-1))),"")))</f>
        <v/>
      </c>
      <c r="C254">
        <f>IF(OR($A254="",$B254=""),"",IF(ISNUMBER($A254),INT(MOD($A254,10000)/100),IFERROR(VALUE(TRIM(LEFT(MID($A254,FIND("/",$A254)+1,20),FIND("/",MID($A254,FIND("/",$A254)+1,20))-1))),"")))</f>
        <v/>
      </c>
      <c r="D254">
        <f>IF(OR($A254="",$B254=""),"",IF(ISNUMBER($A254),MOD($A254,100),IFERROR(VALUE(TRIM(MID(MID($A254,FIND("/",$A254)+1,20),FIND("/",MID($A254,FIND("/",$A254)+1,20))+1,20))),"")))</f>
        <v/>
      </c>
      <c r="E254">
        <f>IF($A254="","",IF(OR($B254="",$C254="",$D254="",$B254&lt;1300,$B254&gt;1500,$C254&lt;1,$C254&gt;12,$D254&lt;1,$D254&gt;31),"نامعتبر",RIGHT("0000"&amp;$B254,4)&amp;"/"&amp;RIGHT("00"&amp;$C254,2)&amp;"/"&amp;RIGHT("00"&amp;$D254,2)))</f>
        <v/>
      </c>
      <c r="F254">
        <f>IF(OR($E254="",$E254="نامعتبر"),"",LEFT($E254,4)&amp;"/"&amp;MID($E254,6,2))</f>
        <v/>
      </c>
      <c r="G254">
        <f>IF(OR($E254="",$E254="نامعتبر",Sync!$X250=""),"",IF(AND(LEFT(UPPER(TRIM(Sync!$X250)),2)="SL",IFERROR(VLOOKUP(Sync!$W250,OpTbl,3,0),"")="فروش"),UPPER(TRIM(Sync!$X250)),""))</f>
        <v/>
      </c>
      <c r="H254">
        <f>IF($G254="","",IF(Sync!$W250="","",Sync!$W250))</f>
        <v/>
      </c>
      <c r="I254">
        <f>IF(OR($G254="",Sync!$Y250=""),"",Sync!$Y250)</f>
        <v/>
      </c>
      <c r="J254">
        <f>IF(OR($G254="",Sync!$Z250=""),"",Sync!$Z250)</f>
        <v/>
      </c>
      <c r="K254">
        <f>IF($G254="",0,IF(Sync!$AA250="",0,Sync!$AA250))</f>
        <v/>
      </c>
      <c r="L254">
        <f>IF($G254="",0,IF(Sync!$AB250="",0,Sync!$AB250))</f>
        <v/>
      </c>
      <c r="M254">
        <f>IF($G254="","",IF($H254="مرجوعی فروش",-1,1)*($K254-$L254*IFERROR(VLOOKUP("P01",ParamTbl,3,0),1.5)))</f>
        <v/>
      </c>
      <c r="N254">
        <f>IF($G254="",0,IF($H254="مرجوعی فروش",-1,1)*IF(Sync!$AC250="",0,Sync!$AC250))</f>
        <v/>
      </c>
      <c r="O254">
        <f>IF(OR($G254="",Sync!$V250=""),"",Sync!$V250)</f>
        <v/>
      </c>
      <c r="P254">
        <f>IF(OR($G254="",Sync!$AD250=""),"",Sync!$AD250)</f>
        <v/>
      </c>
      <c r="Q254">
        <f>IF($G254="","",IF(Sync!$U250="","0000",IF(AND(ISNUMBER(Sync!$U250),Sync!$U250&gt;=0,Sync!$U250&lt;1),RIGHT("00"&amp;HOUR(Sync!$U250),2)&amp;RIGHT("00"&amp;MINUTE(Sync!$U250),2),IFERROR(RIGHT("00"&amp;VALUE(LEFT(Sync!$U250,FIND(":",Sync!$U250)-1)),2)&amp;RIGHT("00"&amp;VALUE(MID(Sync!$U250,FIND(":",Sync!$U250)+1,2)),2),"0000"))))</f>
        <v/>
      </c>
    </row>
    <row r="255">
      <c r="A255">
        <f>IF(Sync!$T251="","",Sync!$T251)</f>
        <v/>
      </c>
      <c r="B255">
        <f>IF($A255="","",IF(ISNUMBER($A255),IF(AND($A255&gt;=10000101,$A255&lt;=99991231),INT($A255/10000),""),IFERROR(VALUE(TRIM(LEFT($A255,FIND("/",$A255)-1))),"")))</f>
        <v/>
      </c>
      <c r="C255">
        <f>IF(OR($A255="",$B255=""),"",IF(ISNUMBER($A255),INT(MOD($A255,10000)/100),IFERROR(VALUE(TRIM(LEFT(MID($A255,FIND("/",$A255)+1,20),FIND("/",MID($A255,FIND("/",$A255)+1,20))-1))),"")))</f>
        <v/>
      </c>
      <c r="D255">
        <f>IF(OR($A255="",$B255=""),"",IF(ISNUMBER($A255),MOD($A255,100),IFERROR(VALUE(TRIM(MID(MID($A255,FIND("/",$A255)+1,20),FIND("/",MID($A255,FIND("/",$A255)+1,20))+1,20))),"")))</f>
        <v/>
      </c>
      <c r="E255">
        <f>IF($A255="","",IF(OR($B255="",$C255="",$D255="",$B255&lt;1300,$B255&gt;1500,$C255&lt;1,$C255&gt;12,$D255&lt;1,$D255&gt;31),"نامعتبر",RIGHT("0000"&amp;$B255,4)&amp;"/"&amp;RIGHT("00"&amp;$C255,2)&amp;"/"&amp;RIGHT("00"&amp;$D255,2)))</f>
        <v/>
      </c>
      <c r="F255">
        <f>IF(OR($E255="",$E255="نامعتبر"),"",LEFT($E255,4)&amp;"/"&amp;MID($E255,6,2))</f>
        <v/>
      </c>
      <c r="G255">
        <f>IF(OR($E255="",$E255="نامعتبر",Sync!$X251=""),"",IF(AND(LEFT(UPPER(TRIM(Sync!$X251)),2)="SL",IFERROR(VLOOKUP(Sync!$W251,OpTbl,3,0),"")="فروش"),UPPER(TRIM(Sync!$X251)),""))</f>
        <v/>
      </c>
      <c r="H255">
        <f>IF($G255="","",IF(Sync!$W251="","",Sync!$W251))</f>
        <v/>
      </c>
      <c r="I255">
        <f>IF(OR($G255="",Sync!$Y251=""),"",Sync!$Y251)</f>
        <v/>
      </c>
      <c r="J255">
        <f>IF(OR($G255="",Sync!$Z251=""),"",Sync!$Z251)</f>
        <v/>
      </c>
      <c r="K255">
        <f>IF($G255="",0,IF(Sync!$AA251="",0,Sync!$AA251))</f>
        <v/>
      </c>
      <c r="L255">
        <f>IF($G255="",0,IF(Sync!$AB251="",0,Sync!$AB251))</f>
        <v/>
      </c>
      <c r="M255">
        <f>IF($G255="","",IF($H255="مرجوعی فروش",-1,1)*($K255-$L255*IFERROR(VLOOKUP("P01",ParamTbl,3,0),1.5)))</f>
        <v/>
      </c>
      <c r="N255">
        <f>IF($G255="",0,IF($H255="مرجوعی فروش",-1,1)*IF(Sync!$AC251="",0,Sync!$AC251))</f>
        <v/>
      </c>
      <c r="O255">
        <f>IF(OR($G255="",Sync!$V251=""),"",Sync!$V251)</f>
        <v/>
      </c>
      <c r="P255">
        <f>IF(OR($G255="",Sync!$AD251=""),"",Sync!$AD251)</f>
        <v/>
      </c>
      <c r="Q255">
        <f>IF($G255="","",IF(Sync!$U251="","0000",IF(AND(ISNUMBER(Sync!$U251),Sync!$U251&gt;=0,Sync!$U251&lt;1),RIGHT("00"&amp;HOUR(Sync!$U251),2)&amp;RIGHT("00"&amp;MINUTE(Sync!$U251),2),IFERROR(RIGHT("00"&amp;VALUE(LEFT(Sync!$U251,FIND(":",Sync!$U251)-1)),2)&amp;RIGHT("00"&amp;VALUE(MID(Sync!$U251,FIND(":",Sync!$U251)+1,2)),2),"0000"))))</f>
        <v/>
      </c>
    </row>
    <row r="256">
      <c r="A256">
        <f>IF(Sync!$T252="","",Sync!$T252)</f>
        <v/>
      </c>
      <c r="B256">
        <f>IF($A256="","",IF(ISNUMBER($A256),IF(AND($A256&gt;=10000101,$A256&lt;=99991231),INT($A256/10000),""),IFERROR(VALUE(TRIM(LEFT($A256,FIND("/",$A256)-1))),"")))</f>
        <v/>
      </c>
      <c r="C256">
        <f>IF(OR($A256="",$B256=""),"",IF(ISNUMBER($A256),INT(MOD($A256,10000)/100),IFERROR(VALUE(TRIM(LEFT(MID($A256,FIND("/",$A256)+1,20),FIND("/",MID($A256,FIND("/",$A256)+1,20))-1))),"")))</f>
        <v/>
      </c>
      <c r="D256">
        <f>IF(OR($A256="",$B256=""),"",IF(ISNUMBER($A256),MOD($A256,100),IFERROR(VALUE(TRIM(MID(MID($A256,FIND("/",$A256)+1,20),FIND("/",MID($A256,FIND("/",$A256)+1,20))+1,20))),"")))</f>
        <v/>
      </c>
      <c r="E256">
        <f>IF($A256="","",IF(OR($B256="",$C256="",$D256="",$B256&lt;1300,$B256&gt;1500,$C256&lt;1,$C256&gt;12,$D256&lt;1,$D256&gt;31),"نامعتبر",RIGHT("0000"&amp;$B256,4)&amp;"/"&amp;RIGHT("00"&amp;$C256,2)&amp;"/"&amp;RIGHT("00"&amp;$D256,2)))</f>
        <v/>
      </c>
      <c r="F256">
        <f>IF(OR($E256="",$E256="نامعتبر"),"",LEFT($E256,4)&amp;"/"&amp;MID($E256,6,2))</f>
        <v/>
      </c>
      <c r="G256">
        <f>IF(OR($E256="",$E256="نامعتبر",Sync!$X252=""),"",IF(AND(LEFT(UPPER(TRIM(Sync!$X252)),2)="SL",IFERROR(VLOOKUP(Sync!$W252,OpTbl,3,0),"")="فروش"),UPPER(TRIM(Sync!$X252)),""))</f>
        <v/>
      </c>
      <c r="H256">
        <f>IF($G256="","",IF(Sync!$W252="","",Sync!$W252))</f>
        <v/>
      </c>
      <c r="I256">
        <f>IF(OR($G256="",Sync!$Y252=""),"",Sync!$Y252)</f>
        <v/>
      </c>
      <c r="J256">
        <f>IF(OR($G256="",Sync!$Z252=""),"",Sync!$Z252)</f>
        <v/>
      </c>
      <c r="K256">
        <f>IF($G256="",0,IF(Sync!$AA252="",0,Sync!$AA252))</f>
        <v/>
      </c>
      <c r="L256">
        <f>IF($G256="",0,IF(Sync!$AB252="",0,Sync!$AB252))</f>
        <v/>
      </c>
      <c r="M256">
        <f>IF($G256="","",IF($H256="مرجوعی فروش",-1,1)*($K256-$L256*IFERROR(VLOOKUP("P01",ParamTbl,3,0),1.5)))</f>
        <v/>
      </c>
      <c r="N256">
        <f>IF($G256="",0,IF($H256="مرجوعی فروش",-1,1)*IF(Sync!$AC252="",0,Sync!$AC252))</f>
        <v/>
      </c>
      <c r="O256">
        <f>IF(OR($G256="",Sync!$V252=""),"",Sync!$V252)</f>
        <v/>
      </c>
      <c r="P256">
        <f>IF(OR($G256="",Sync!$AD252=""),"",Sync!$AD252)</f>
        <v/>
      </c>
      <c r="Q256">
        <f>IF($G256="","",IF(Sync!$U252="","0000",IF(AND(ISNUMBER(Sync!$U252),Sync!$U252&gt;=0,Sync!$U252&lt;1),RIGHT("00"&amp;HOUR(Sync!$U252),2)&amp;RIGHT("00"&amp;MINUTE(Sync!$U252),2),IFERROR(RIGHT("00"&amp;VALUE(LEFT(Sync!$U252,FIND(":",Sync!$U252)-1)),2)&amp;RIGHT("00"&amp;VALUE(MID(Sync!$U252,FIND(":",Sync!$U252)+1,2)),2),"0000"))))</f>
        <v/>
      </c>
    </row>
    <row r="257">
      <c r="A257">
        <f>IF(Sync!$T253="","",Sync!$T253)</f>
        <v/>
      </c>
      <c r="B257">
        <f>IF($A257="","",IF(ISNUMBER($A257),IF(AND($A257&gt;=10000101,$A257&lt;=99991231),INT($A257/10000),""),IFERROR(VALUE(TRIM(LEFT($A257,FIND("/",$A257)-1))),"")))</f>
        <v/>
      </c>
      <c r="C257">
        <f>IF(OR($A257="",$B257=""),"",IF(ISNUMBER($A257),INT(MOD($A257,10000)/100),IFERROR(VALUE(TRIM(LEFT(MID($A257,FIND("/",$A257)+1,20),FIND("/",MID($A257,FIND("/",$A257)+1,20))-1))),"")))</f>
        <v/>
      </c>
      <c r="D257">
        <f>IF(OR($A257="",$B257=""),"",IF(ISNUMBER($A257),MOD($A257,100),IFERROR(VALUE(TRIM(MID(MID($A257,FIND("/",$A257)+1,20),FIND("/",MID($A257,FIND("/",$A257)+1,20))+1,20))),"")))</f>
        <v/>
      </c>
      <c r="E257">
        <f>IF($A257="","",IF(OR($B257="",$C257="",$D257="",$B257&lt;1300,$B257&gt;1500,$C257&lt;1,$C257&gt;12,$D257&lt;1,$D257&gt;31),"نامعتبر",RIGHT("0000"&amp;$B257,4)&amp;"/"&amp;RIGHT("00"&amp;$C257,2)&amp;"/"&amp;RIGHT("00"&amp;$D257,2)))</f>
        <v/>
      </c>
      <c r="F257">
        <f>IF(OR($E257="",$E257="نامعتبر"),"",LEFT($E257,4)&amp;"/"&amp;MID($E257,6,2))</f>
        <v/>
      </c>
      <c r="G257">
        <f>IF(OR($E257="",$E257="نامعتبر",Sync!$X253=""),"",IF(AND(LEFT(UPPER(TRIM(Sync!$X253)),2)="SL",IFERROR(VLOOKUP(Sync!$W253,OpTbl,3,0),"")="فروش"),UPPER(TRIM(Sync!$X253)),""))</f>
        <v/>
      </c>
      <c r="H257">
        <f>IF($G257="","",IF(Sync!$W253="","",Sync!$W253))</f>
        <v/>
      </c>
      <c r="I257">
        <f>IF(OR($G257="",Sync!$Y253=""),"",Sync!$Y253)</f>
        <v/>
      </c>
      <c r="J257">
        <f>IF(OR($G257="",Sync!$Z253=""),"",Sync!$Z253)</f>
        <v/>
      </c>
      <c r="K257">
        <f>IF($G257="",0,IF(Sync!$AA253="",0,Sync!$AA253))</f>
        <v/>
      </c>
      <c r="L257">
        <f>IF($G257="",0,IF(Sync!$AB253="",0,Sync!$AB253))</f>
        <v/>
      </c>
      <c r="M257">
        <f>IF($G257="","",IF($H257="مرجوعی فروش",-1,1)*($K257-$L257*IFERROR(VLOOKUP("P01",ParamTbl,3,0),1.5)))</f>
        <v/>
      </c>
      <c r="N257">
        <f>IF($G257="",0,IF($H257="مرجوعی فروش",-1,1)*IF(Sync!$AC253="",0,Sync!$AC253))</f>
        <v/>
      </c>
      <c r="O257">
        <f>IF(OR($G257="",Sync!$V253=""),"",Sync!$V253)</f>
        <v/>
      </c>
      <c r="P257">
        <f>IF(OR($G257="",Sync!$AD253=""),"",Sync!$AD253)</f>
        <v/>
      </c>
      <c r="Q257">
        <f>IF($G257="","",IF(Sync!$U253="","0000",IF(AND(ISNUMBER(Sync!$U253),Sync!$U253&gt;=0,Sync!$U253&lt;1),RIGHT("00"&amp;HOUR(Sync!$U253),2)&amp;RIGHT("00"&amp;MINUTE(Sync!$U253),2),IFERROR(RIGHT("00"&amp;VALUE(LEFT(Sync!$U253,FIND(":",Sync!$U253)-1)),2)&amp;RIGHT("00"&amp;VALUE(MID(Sync!$U253,FIND(":",Sync!$U253)+1,2)),2),"0000"))))</f>
        <v/>
      </c>
    </row>
    <row r="258">
      <c r="A258">
        <f>IF(Sync!$T254="","",Sync!$T254)</f>
        <v/>
      </c>
      <c r="B258">
        <f>IF($A258="","",IF(ISNUMBER($A258),IF(AND($A258&gt;=10000101,$A258&lt;=99991231),INT($A258/10000),""),IFERROR(VALUE(TRIM(LEFT($A258,FIND("/",$A258)-1))),"")))</f>
        <v/>
      </c>
      <c r="C258">
        <f>IF(OR($A258="",$B258=""),"",IF(ISNUMBER($A258),INT(MOD($A258,10000)/100),IFERROR(VALUE(TRIM(LEFT(MID($A258,FIND("/",$A258)+1,20),FIND("/",MID($A258,FIND("/",$A258)+1,20))-1))),"")))</f>
        <v/>
      </c>
      <c r="D258">
        <f>IF(OR($A258="",$B258=""),"",IF(ISNUMBER($A258),MOD($A258,100),IFERROR(VALUE(TRIM(MID(MID($A258,FIND("/",$A258)+1,20),FIND("/",MID($A258,FIND("/",$A258)+1,20))+1,20))),"")))</f>
        <v/>
      </c>
      <c r="E258">
        <f>IF($A258="","",IF(OR($B258="",$C258="",$D258="",$B258&lt;1300,$B258&gt;1500,$C258&lt;1,$C258&gt;12,$D258&lt;1,$D258&gt;31),"نامعتبر",RIGHT("0000"&amp;$B258,4)&amp;"/"&amp;RIGHT("00"&amp;$C258,2)&amp;"/"&amp;RIGHT("00"&amp;$D258,2)))</f>
        <v/>
      </c>
      <c r="F258">
        <f>IF(OR($E258="",$E258="نامعتبر"),"",LEFT($E258,4)&amp;"/"&amp;MID($E258,6,2))</f>
        <v/>
      </c>
      <c r="G258">
        <f>IF(OR($E258="",$E258="نامعتبر",Sync!$X254=""),"",IF(AND(LEFT(UPPER(TRIM(Sync!$X254)),2)="SL",IFERROR(VLOOKUP(Sync!$W254,OpTbl,3,0),"")="فروش"),UPPER(TRIM(Sync!$X254)),""))</f>
        <v/>
      </c>
      <c r="H258">
        <f>IF($G258="","",IF(Sync!$W254="","",Sync!$W254))</f>
        <v/>
      </c>
      <c r="I258">
        <f>IF(OR($G258="",Sync!$Y254=""),"",Sync!$Y254)</f>
        <v/>
      </c>
      <c r="J258">
        <f>IF(OR($G258="",Sync!$Z254=""),"",Sync!$Z254)</f>
        <v/>
      </c>
      <c r="K258">
        <f>IF($G258="",0,IF(Sync!$AA254="",0,Sync!$AA254))</f>
        <v/>
      </c>
      <c r="L258">
        <f>IF($G258="",0,IF(Sync!$AB254="",0,Sync!$AB254))</f>
        <v/>
      </c>
      <c r="M258">
        <f>IF($G258="","",IF($H258="مرجوعی فروش",-1,1)*($K258-$L258*IFERROR(VLOOKUP("P01",ParamTbl,3,0),1.5)))</f>
        <v/>
      </c>
      <c r="N258">
        <f>IF($G258="",0,IF($H258="مرجوعی فروش",-1,1)*IF(Sync!$AC254="",0,Sync!$AC254))</f>
        <v/>
      </c>
      <c r="O258">
        <f>IF(OR($G258="",Sync!$V254=""),"",Sync!$V254)</f>
        <v/>
      </c>
      <c r="P258">
        <f>IF(OR($G258="",Sync!$AD254=""),"",Sync!$AD254)</f>
        <v/>
      </c>
      <c r="Q258">
        <f>IF($G258="","",IF(Sync!$U254="","0000",IF(AND(ISNUMBER(Sync!$U254),Sync!$U254&gt;=0,Sync!$U254&lt;1),RIGHT("00"&amp;HOUR(Sync!$U254),2)&amp;RIGHT("00"&amp;MINUTE(Sync!$U254),2),IFERROR(RIGHT("00"&amp;VALUE(LEFT(Sync!$U254,FIND(":",Sync!$U254)-1)),2)&amp;RIGHT("00"&amp;VALUE(MID(Sync!$U254,FIND(":",Sync!$U254)+1,2)),2),"0000"))))</f>
        <v/>
      </c>
    </row>
    <row r="259">
      <c r="A259">
        <f>IF(Sync!$T255="","",Sync!$T255)</f>
        <v/>
      </c>
      <c r="B259">
        <f>IF($A259="","",IF(ISNUMBER($A259),IF(AND($A259&gt;=10000101,$A259&lt;=99991231),INT($A259/10000),""),IFERROR(VALUE(TRIM(LEFT($A259,FIND("/",$A259)-1))),"")))</f>
        <v/>
      </c>
      <c r="C259">
        <f>IF(OR($A259="",$B259=""),"",IF(ISNUMBER($A259),INT(MOD($A259,10000)/100),IFERROR(VALUE(TRIM(LEFT(MID($A259,FIND("/",$A259)+1,20),FIND("/",MID($A259,FIND("/",$A259)+1,20))-1))),"")))</f>
        <v/>
      </c>
      <c r="D259">
        <f>IF(OR($A259="",$B259=""),"",IF(ISNUMBER($A259),MOD($A259,100),IFERROR(VALUE(TRIM(MID(MID($A259,FIND("/",$A259)+1,20),FIND("/",MID($A259,FIND("/",$A259)+1,20))+1,20))),"")))</f>
        <v/>
      </c>
      <c r="E259">
        <f>IF($A259="","",IF(OR($B259="",$C259="",$D259="",$B259&lt;1300,$B259&gt;1500,$C259&lt;1,$C259&gt;12,$D259&lt;1,$D259&gt;31),"نامعتبر",RIGHT("0000"&amp;$B259,4)&amp;"/"&amp;RIGHT("00"&amp;$C259,2)&amp;"/"&amp;RIGHT("00"&amp;$D259,2)))</f>
        <v/>
      </c>
      <c r="F259">
        <f>IF(OR($E259="",$E259="نامعتبر"),"",LEFT($E259,4)&amp;"/"&amp;MID($E259,6,2))</f>
        <v/>
      </c>
      <c r="G259">
        <f>IF(OR($E259="",$E259="نامعتبر",Sync!$X255=""),"",IF(AND(LEFT(UPPER(TRIM(Sync!$X255)),2)="SL",IFERROR(VLOOKUP(Sync!$W255,OpTbl,3,0),"")="فروش"),UPPER(TRIM(Sync!$X255)),""))</f>
        <v/>
      </c>
      <c r="H259">
        <f>IF($G259="","",IF(Sync!$W255="","",Sync!$W255))</f>
        <v/>
      </c>
      <c r="I259">
        <f>IF(OR($G259="",Sync!$Y255=""),"",Sync!$Y255)</f>
        <v/>
      </c>
      <c r="J259">
        <f>IF(OR($G259="",Sync!$Z255=""),"",Sync!$Z255)</f>
        <v/>
      </c>
      <c r="K259">
        <f>IF($G259="",0,IF(Sync!$AA255="",0,Sync!$AA255))</f>
        <v/>
      </c>
      <c r="L259">
        <f>IF($G259="",0,IF(Sync!$AB255="",0,Sync!$AB255))</f>
        <v/>
      </c>
      <c r="M259">
        <f>IF($G259="","",IF($H259="مرجوعی فروش",-1,1)*($K259-$L259*IFERROR(VLOOKUP("P01",ParamTbl,3,0),1.5)))</f>
        <v/>
      </c>
      <c r="N259">
        <f>IF($G259="",0,IF($H259="مرجوعی فروش",-1,1)*IF(Sync!$AC255="",0,Sync!$AC255))</f>
        <v/>
      </c>
      <c r="O259">
        <f>IF(OR($G259="",Sync!$V255=""),"",Sync!$V255)</f>
        <v/>
      </c>
      <c r="P259">
        <f>IF(OR($G259="",Sync!$AD255=""),"",Sync!$AD255)</f>
        <v/>
      </c>
      <c r="Q259">
        <f>IF($G259="","",IF(Sync!$U255="","0000",IF(AND(ISNUMBER(Sync!$U255),Sync!$U255&gt;=0,Sync!$U255&lt;1),RIGHT("00"&amp;HOUR(Sync!$U255),2)&amp;RIGHT("00"&amp;MINUTE(Sync!$U255),2),IFERROR(RIGHT("00"&amp;VALUE(LEFT(Sync!$U255,FIND(":",Sync!$U255)-1)),2)&amp;RIGHT("00"&amp;VALUE(MID(Sync!$U255,FIND(":",Sync!$U255)+1,2)),2),"0000"))))</f>
        <v/>
      </c>
    </row>
    <row r="260">
      <c r="A260">
        <f>IF(Sync!$T256="","",Sync!$T256)</f>
        <v/>
      </c>
      <c r="B260">
        <f>IF($A260="","",IF(ISNUMBER($A260),IF(AND($A260&gt;=10000101,$A260&lt;=99991231),INT($A260/10000),""),IFERROR(VALUE(TRIM(LEFT($A260,FIND("/",$A260)-1))),"")))</f>
        <v/>
      </c>
      <c r="C260">
        <f>IF(OR($A260="",$B260=""),"",IF(ISNUMBER($A260),INT(MOD($A260,10000)/100),IFERROR(VALUE(TRIM(LEFT(MID($A260,FIND("/",$A260)+1,20),FIND("/",MID($A260,FIND("/",$A260)+1,20))-1))),"")))</f>
        <v/>
      </c>
      <c r="D260">
        <f>IF(OR($A260="",$B260=""),"",IF(ISNUMBER($A260),MOD($A260,100),IFERROR(VALUE(TRIM(MID(MID($A260,FIND("/",$A260)+1,20),FIND("/",MID($A260,FIND("/",$A260)+1,20))+1,20))),"")))</f>
        <v/>
      </c>
      <c r="E260">
        <f>IF($A260="","",IF(OR($B260="",$C260="",$D260="",$B260&lt;1300,$B260&gt;1500,$C260&lt;1,$C260&gt;12,$D260&lt;1,$D260&gt;31),"نامعتبر",RIGHT("0000"&amp;$B260,4)&amp;"/"&amp;RIGHT("00"&amp;$C260,2)&amp;"/"&amp;RIGHT("00"&amp;$D260,2)))</f>
        <v/>
      </c>
      <c r="F260">
        <f>IF(OR($E260="",$E260="نامعتبر"),"",LEFT($E260,4)&amp;"/"&amp;MID($E260,6,2))</f>
        <v/>
      </c>
      <c r="G260">
        <f>IF(OR($E260="",$E260="نامعتبر",Sync!$X256=""),"",IF(AND(LEFT(UPPER(TRIM(Sync!$X256)),2)="SL",IFERROR(VLOOKUP(Sync!$W256,OpTbl,3,0),"")="فروش"),UPPER(TRIM(Sync!$X256)),""))</f>
        <v/>
      </c>
      <c r="H260">
        <f>IF($G260="","",IF(Sync!$W256="","",Sync!$W256))</f>
        <v/>
      </c>
      <c r="I260">
        <f>IF(OR($G260="",Sync!$Y256=""),"",Sync!$Y256)</f>
        <v/>
      </c>
      <c r="J260">
        <f>IF(OR($G260="",Sync!$Z256=""),"",Sync!$Z256)</f>
        <v/>
      </c>
      <c r="K260">
        <f>IF($G260="",0,IF(Sync!$AA256="",0,Sync!$AA256))</f>
        <v/>
      </c>
      <c r="L260">
        <f>IF($G260="",0,IF(Sync!$AB256="",0,Sync!$AB256))</f>
        <v/>
      </c>
      <c r="M260">
        <f>IF($G260="","",IF($H260="مرجوعی فروش",-1,1)*($K260-$L260*IFERROR(VLOOKUP("P01",ParamTbl,3,0),1.5)))</f>
        <v/>
      </c>
      <c r="N260">
        <f>IF($G260="",0,IF($H260="مرجوعی فروش",-1,1)*IF(Sync!$AC256="",0,Sync!$AC256))</f>
        <v/>
      </c>
      <c r="O260">
        <f>IF(OR($G260="",Sync!$V256=""),"",Sync!$V256)</f>
        <v/>
      </c>
      <c r="P260">
        <f>IF(OR($G260="",Sync!$AD256=""),"",Sync!$AD256)</f>
        <v/>
      </c>
      <c r="Q260">
        <f>IF($G260="","",IF(Sync!$U256="","0000",IF(AND(ISNUMBER(Sync!$U256),Sync!$U256&gt;=0,Sync!$U256&lt;1),RIGHT("00"&amp;HOUR(Sync!$U256),2)&amp;RIGHT("00"&amp;MINUTE(Sync!$U256),2),IFERROR(RIGHT("00"&amp;VALUE(LEFT(Sync!$U256,FIND(":",Sync!$U256)-1)),2)&amp;RIGHT("00"&amp;VALUE(MID(Sync!$U256,FIND(":",Sync!$U256)+1,2)),2),"0000"))))</f>
        <v/>
      </c>
    </row>
    <row r="261">
      <c r="A261">
        <f>IF(Sync!$T257="","",Sync!$T257)</f>
        <v/>
      </c>
      <c r="B261">
        <f>IF($A261="","",IF(ISNUMBER($A261),IF(AND($A261&gt;=10000101,$A261&lt;=99991231),INT($A261/10000),""),IFERROR(VALUE(TRIM(LEFT($A261,FIND("/",$A261)-1))),"")))</f>
        <v/>
      </c>
      <c r="C261">
        <f>IF(OR($A261="",$B261=""),"",IF(ISNUMBER($A261),INT(MOD($A261,10000)/100),IFERROR(VALUE(TRIM(LEFT(MID($A261,FIND("/",$A261)+1,20),FIND("/",MID($A261,FIND("/",$A261)+1,20))-1))),"")))</f>
        <v/>
      </c>
      <c r="D261">
        <f>IF(OR($A261="",$B261=""),"",IF(ISNUMBER($A261),MOD($A261,100),IFERROR(VALUE(TRIM(MID(MID($A261,FIND("/",$A261)+1,20),FIND("/",MID($A261,FIND("/",$A261)+1,20))+1,20))),"")))</f>
        <v/>
      </c>
      <c r="E261">
        <f>IF($A261="","",IF(OR($B261="",$C261="",$D261="",$B261&lt;1300,$B261&gt;1500,$C261&lt;1,$C261&gt;12,$D261&lt;1,$D261&gt;31),"نامعتبر",RIGHT("0000"&amp;$B261,4)&amp;"/"&amp;RIGHT("00"&amp;$C261,2)&amp;"/"&amp;RIGHT("00"&amp;$D261,2)))</f>
        <v/>
      </c>
      <c r="F261">
        <f>IF(OR($E261="",$E261="نامعتبر"),"",LEFT($E261,4)&amp;"/"&amp;MID($E261,6,2))</f>
        <v/>
      </c>
      <c r="G261">
        <f>IF(OR($E261="",$E261="نامعتبر",Sync!$X257=""),"",IF(AND(LEFT(UPPER(TRIM(Sync!$X257)),2)="SL",IFERROR(VLOOKUP(Sync!$W257,OpTbl,3,0),"")="فروش"),UPPER(TRIM(Sync!$X257)),""))</f>
        <v/>
      </c>
      <c r="H261">
        <f>IF($G261="","",IF(Sync!$W257="","",Sync!$W257))</f>
        <v/>
      </c>
      <c r="I261">
        <f>IF(OR($G261="",Sync!$Y257=""),"",Sync!$Y257)</f>
        <v/>
      </c>
      <c r="J261">
        <f>IF(OR($G261="",Sync!$Z257=""),"",Sync!$Z257)</f>
        <v/>
      </c>
      <c r="K261">
        <f>IF($G261="",0,IF(Sync!$AA257="",0,Sync!$AA257))</f>
        <v/>
      </c>
      <c r="L261">
        <f>IF($G261="",0,IF(Sync!$AB257="",0,Sync!$AB257))</f>
        <v/>
      </c>
      <c r="M261">
        <f>IF($G261="","",IF($H261="مرجوعی فروش",-1,1)*($K261-$L261*IFERROR(VLOOKUP("P01",ParamTbl,3,0),1.5)))</f>
        <v/>
      </c>
      <c r="N261">
        <f>IF($G261="",0,IF($H261="مرجوعی فروش",-1,1)*IF(Sync!$AC257="",0,Sync!$AC257))</f>
        <v/>
      </c>
      <c r="O261">
        <f>IF(OR($G261="",Sync!$V257=""),"",Sync!$V257)</f>
        <v/>
      </c>
      <c r="P261">
        <f>IF(OR($G261="",Sync!$AD257=""),"",Sync!$AD257)</f>
        <v/>
      </c>
      <c r="Q261">
        <f>IF($G261="","",IF(Sync!$U257="","0000",IF(AND(ISNUMBER(Sync!$U257),Sync!$U257&gt;=0,Sync!$U257&lt;1),RIGHT("00"&amp;HOUR(Sync!$U257),2)&amp;RIGHT("00"&amp;MINUTE(Sync!$U257),2),IFERROR(RIGHT("00"&amp;VALUE(LEFT(Sync!$U257,FIND(":",Sync!$U257)-1)),2)&amp;RIGHT("00"&amp;VALUE(MID(Sync!$U257,FIND(":",Sync!$U257)+1,2)),2),"0000"))))</f>
        <v/>
      </c>
    </row>
    <row r="262">
      <c r="A262">
        <f>IF(Sync!$T258="","",Sync!$T258)</f>
        <v/>
      </c>
      <c r="B262">
        <f>IF($A262="","",IF(ISNUMBER($A262),IF(AND($A262&gt;=10000101,$A262&lt;=99991231),INT($A262/10000),""),IFERROR(VALUE(TRIM(LEFT($A262,FIND("/",$A262)-1))),"")))</f>
        <v/>
      </c>
      <c r="C262">
        <f>IF(OR($A262="",$B262=""),"",IF(ISNUMBER($A262),INT(MOD($A262,10000)/100),IFERROR(VALUE(TRIM(LEFT(MID($A262,FIND("/",$A262)+1,20),FIND("/",MID($A262,FIND("/",$A262)+1,20))-1))),"")))</f>
        <v/>
      </c>
      <c r="D262">
        <f>IF(OR($A262="",$B262=""),"",IF(ISNUMBER($A262),MOD($A262,100),IFERROR(VALUE(TRIM(MID(MID($A262,FIND("/",$A262)+1,20),FIND("/",MID($A262,FIND("/",$A262)+1,20))+1,20))),"")))</f>
        <v/>
      </c>
      <c r="E262">
        <f>IF($A262="","",IF(OR($B262="",$C262="",$D262="",$B262&lt;1300,$B262&gt;1500,$C262&lt;1,$C262&gt;12,$D262&lt;1,$D262&gt;31),"نامعتبر",RIGHT("0000"&amp;$B262,4)&amp;"/"&amp;RIGHT("00"&amp;$C262,2)&amp;"/"&amp;RIGHT("00"&amp;$D262,2)))</f>
        <v/>
      </c>
      <c r="F262">
        <f>IF(OR($E262="",$E262="نامعتبر"),"",LEFT($E262,4)&amp;"/"&amp;MID($E262,6,2))</f>
        <v/>
      </c>
      <c r="G262">
        <f>IF(OR($E262="",$E262="نامعتبر",Sync!$X258=""),"",IF(AND(LEFT(UPPER(TRIM(Sync!$X258)),2)="SL",IFERROR(VLOOKUP(Sync!$W258,OpTbl,3,0),"")="فروش"),UPPER(TRIM(Sync!$X258)),""))</f>
        <v/>
      </c>
      <c r="H262">
        <f>IF($G262="","",IF(Sync!$W258="","",Sync!$W258))</f>
        <v/>
      </c>
      <c r="I262">
        <f>IF(OR($G262="",Sync!$Y258=""),"",Sync!$Y258)</f>
        <v/>
      </c>
      <c r="J262">
        <f>IF(OR($G262="",Sync!$Z258=""),"",Sync!$Z258)</f>
        <v/>
      </c>
      <c r="K262">
        <f>IF($G262="",0,IF(Sync!$AA258="",0,Sync!$AA258))</f>
        <v/>
      </c>
      <c r="L262">
        <f>IF($G262="",0,IF(Sync!$AB258="",0,Sync!$AB258))</f>
        <v/>
      </c>
      <c r="M262">
        <f>IF($G262="","",IF($H262="مرجوعی فروش",-1,1)*($K262-$L262*IFERROR(VLOOKUP("P01",ParamTbl,3,0),1.5)))</f>
        <v/>
      </c>
      <c r="N262">
        <f>IF($G262="",0,IF($H262="مرجوعی فروش",-1,1)*IF(Sync!$AC258="",0,Sync!$AC258))</f>
        <v/>
      </c>
      <c r="O262">
        <f>IF(OR($G262="",Sync!$V258=""),"",Sync!$V258)</f>
        <v/>
      </c>
      <c r="P262">
        <f>IF(OR($G262="",Sync!$AD258=""),"",Sync!$AD258)</f>
        <v/>
      </c>
      <c r="Q262">
        <f>IF($G262="","",IF(Sync!$U258="","0000",IF(AND(ISNUMBER(Sync!$U258),Sync!$U258&gt;=0,Sync!$U258&lt;1),RIGHT("00"&amp;HOUR(Sync!$U258),2)&amp;RIGHT("00"&amp;MINUTE(Sync!$U258),2),IFERROR(RIGHT("00"&amp;VALUE(LEFT(Sync!$U258,FIND(":",Sync!$U258)-1)),2)&amp;RIGHT("00"&amp;VALUE(MID(Sync!$U258,FIND(":",Sync!$U258)+1,2)),2),"0000"))))</f>
        <v/>
      </c>
    </row>
    <row r="263">
      <c r="A263">
        <f>IF(Sync!$T259="","",Sync!$T259)</f>
        <v/>
      </c>
      <c r="B263">
        <f>IF($A263="","",IF(ISNUMBER($A263),IF(AND($A263&gt;=10000101,$A263&lt;=99991231),INT($A263/10000),""),IFERROR(VALUE(TRIM(LEFT($A263,FIND("/",$A263)-1))),"")))</f>
        <v/>
      </c>
      <c r="C263">
        <f>IF(OR($A263="",$B263=""),"",IF(ISNUMBER($A263),INT(MOD($A263,10000)/100),IFERROR(VALUE(TRIM(LEFT(MID($A263,FIND("/",$A263)+1,20),FIND("/",MID($A263,FIND("/",$A263)+1,20))-1))),"")))</f>
        <v/>
      </c>
      <c r="D263">
        <f>IF(OR($A263="",$B263=""),"",IF(ISNUMBER($A263),MOD($A263,100),IFERROR(VALUE(TRIM(MID(MID($A263,FIND("/",$A263)+1,20),FIND("/",MID($A263,FIND("/",$A263)+1,20))+1,20))),"")))</f>
        <v/>
      </c>
      <c r="E263">
        <f>IF($A263="","",IF(OR($B263="",$C263="",$D263="",$B263&lt;1300,$B263&gt;1500,$C263&lt;1,$C263&gt;12,$D263&lt;1,$D263&gt;31),"نامعتبر",RIGHT("0000"&amp;$B263,4)&amp;"/"&amp;RIGHT("00"&amp;$C263,2)&amp;"/"&amp;RIGHT("00"&amp;$D263,2)))</f>
        <v/>
      </c>
      <c r="F263">
        <f>IF(OR($E263="",$E263="نامعتبر"),"",LEFT($E263,4)&amp;"/"&amp;MID($E263,6,2))</f>
        <v/>
      </c>
      <c r="G263">
        <f>IF(OR($E263="",$E263="نامعتبر",Sync!$X259=""),"",IF(AND(LEFT(UPPER(TRIM(Sync!$X259)),2)="SL",IFERROR(VLOOKUP(Sync!$W259,OpTbl,3,0),"")="فروش"),UPPER(TRIM(Sync!$X259)),""))</f>
        <v/>
      </c>
      <c r="H263">
        <f>IF($G263="","",IF(Sync!$W259="","",Sync!$W259))</f>
        <v/>
      </c>
      <c r="I263">
        <f>IF(OR($G263="",Sync!$Y259=""),"",Sync!$Y259)</f>
        <v/>
      </c>
      <c r="J263">
        <f>IF(OR($G263="",Sync!$Z259=""),"",Sync!$Z259)</f>
        <v/>
      </c>
      <c r="K263">
        <f>IF($G263="",0,IF(Sync!$AA259="",0,Sync!$AA259))</f>
        <v/>
      </c>
      <c r="L263">
        <f>IF($G263="",0,IF(Sync!$AB259="",0,Sync!$AB259))</f>
        <v/>
      </c>
      <c r="M263">
        <f>IF($G263="","",IF($H263="مرجوعی فروش",-1,1)*($K263-$L263*IFERROR(VLOOKUP("P01",ParamTbl,3,0),1.5)))</f>
        <v/>
      </c>
      <c r="N263">
        <f>IF($G263="",0,IF($H263="مرجوعی فروش",-1,1)*IF(Sync!$AC259="",0,Sync!$AC259))</f>
        <v/>
      </c>
      <c r="O263">
        <f>IF(OR($G263="",Sync!$V259=""),"",Sync!$V259)</f>
        <v/>
      </c>
      <c r="P263">
        <f>IF(OR($G263="",Sync!$AD259=""),"",Sync!$AD259)</f>
        <v/>
      </c>
      <c r="Q263">
        <f>IF($G263="","",IF(Sync!$U259="","0000",IF(AND(ISNUMBER(Sync!$U259),Sync!$U259&gt;=0,Sync!$U259&lt;1),RIGHT("00"&amp;HOUR(Sync!$U259),2)&amp;RIGHT("00"&amp;MINUTE(Sync!$U259),2),IFERROR(RIGHT("00"&amp;VALUE(LEFT(Sync!$U259,FIND(":",Sync!$U259)-1)),2)&amp;RIGHT("00"&amp;VALUE(MID(Sync!$U259,FIND(":",Sync!$U259)+1,2)),2),"0000"))))</f>
        <v/>
      </c>
    </row>
    <row r="264">
      <c r="A264">
        <f>IF(Sync!$T260="","",Sync!$T260)</f>
        <v/>
      </c>
      <c r="B264">
        <f>IF($A264="","",IF(ISNUMBER($A264),IF(AND($A264&gt;=10000101,$A264&lt;=99991231),INT($A264/10000),""),IFERROR(VALUE(TRIM(LEFT($A264,FIND("/",$A264)-1))),"")))</f>
        <v/>
      </c>
      <c r="C264">
        <f>IF(OR($A264="",$B264=""),"",IF(ISNUMBER($A264),INT(MOD($A264,10000)/100),IFERROR(VALUE(TRIM(LEFT(MID($A264,FIND("/",$A264)+1,20),FIND("/",MID($A264,FIND("/",$A264)+1,20))-1))),"")))</f>
        <v/>
      </c>
      <c r="D264">
        <f>IF(OR($A264="",$B264=""),"",IF(ISNUMBER($A264),MOD($A264,100),IFERROR(VALUE(TRIM(MID(MID($A264,FIND("/",$A264)+1,20),FIND("/",MID($A264,FIND("/",$A264)+1,20))+1,20))),"")))</f>
        <v/>
      </c>
      <c r="E264">
        <f>IF($A264="","",IF(OR($B264="",$C264="",$D264="",$B264&lt;1300,$B264&gt;1500,$C264&lt;1,$C264&gt;12,$D264&lt;1,$D264&gt;31),"نامعتبر",RIGHT("0000"&amp;$B264,4)&amp;"/"&amp;RIGHT("00"&amp;$C264,2)&amp;"/"&amp;RIGHT("00"&amp;$D264,2)))</f>
        <v/>
      </c>
      <c r="F264">
        <f>IF(OR($E264="",$E264="نامعتبر"),"",LEFT($E264,4)&amp;"/"&amp;MID($E264,6,2))</f>
        <v/>
      </c>
      <c r="G264">
        <f>IF(OR($E264="",$E264="نامعتبر",Sync!$X260=""),"",IF(AND(LEFT(UPPER(TRIM(Sync!$X260)),2)="SL",IFERROR(VLOOKUP(Sync!$W260,OpTbl,3,0),"")="فروش"),UPPER(TRIM(Sync!$X260)),""))</f>
        <v/>
      </c>
      <c r="H264">
        <f>IF($G264="","",IF(Sync!$W260="","",Sync!$W260))</f>
        <v/>
      </c>
      <c r="I264">
        <f>IF(OR($G264="",Sync!$Y260=""),"",Sync!$Y260)</f>
        <v/>
      </c>
      <c r="J264">
        <f>IF(OR($G264="",Sync!$Z260=""),"",Sync!$Z260)</f>
        <v/>
      </c>
      <c r="K264">
        <f>IF($G264="",0,IF(Sync!$AA260="",0,Sync!$AA260))</f>
        <v/>
      </c>
      <c r="L264">
        <f>IF($G264="",0,IF(Sync!$AB260="",0,Sync!$AB260))</f>
        <v/>
      </c>
      <c r="M264">
        <f>IF($G264="","",IF($H264="مرجوعی فروش",-1,1)*($K264-$L264*IFERROR(VLOOKUP("P01",ParamTbl,3,0),1.5)))</f>
        <v/>
      </c>
      <c r="N264">
        <f>IF($G264="",0,IF($H264="مرجوعی فروش",-1,1)*IF(Sync!$AC260="",0,Sync!$AC260))</f>
        <v/>
      </c>
      <c r="O264">
        <f>IF(OR($G264="",Sync!$V260=""),"",Sync!$V260)</f>
        <v/>
      </c>
      <c r="P264">
        <f>IF(OR($G264="",Sync!$AD260=""),"",Sync!$AD260)</f>
        <v/>
      </c>
      <c r="Q264">
        <f>IF($G264="","",IF(Sync!$U260="","0000",IF(AND(ISNUMBER(Sync!$U260),Sync!$U260&gt;=0,Sync!$U260&lt;1),RIGHT("00"&amp;HOUR(Sync!$U260),2)&amp;RIGHT("00"&amp;MINUTE(Sync!$U260),2),IFERROR(RIGHT("00"&amp;VALUE(LEFT(Sync!$U260,FIND(":",Sync!$U260)-1)),2)&amp;RIGHT("00"&amp;VALUE(MID(Sync!$U260,FIND(":",Sync!$U260)+1,2)),2),"0000"))))</f>
        <v/>
      </c>
    </row>
    <row r="265">
      <c r="A265">
        <f>IF(Sync!$T261="","",Sync!$T261)</f>
        <v/>
      </c>
      <c r="B265">
        <f>IF($A265="","",IF(ISNUMBER($A265),IF(AND($A265&gt;=10000101,$A265&lt;=99991231),INT($A265/10000),""),IFERROR(VALUE(TRIM(LEFT($A265,FIND("/",$A265)-1))),"")))</f>
        <v/>
      </c>
      <c r="C265">
        <f>IF(OR($A265="",$B265=""),"",IF(ISNUMBER($A265),INT(MOD($A265,10000)/100),IFERROR(VALUE(TRIM(LEFT(MID($A265,FIND("/",$A265)+1,20),FIND("/",MID($A265,FIND("/",$A265)+1,20))-1))),"")))</f>
        <v/>
      </c>
      <c r="D265">
        <f>IF(OR($A265="",$B265=""),"",IF(ISNUMBER($A265),MOD($A265,100),IFERROR(VALUE(TRIM(MID(MID($A265,FIND("/",$A265)+1,20),FIND("/",MID($A265,FIND("/",$A265)+1,20))+1,20))),"")))</f>
        <v/>
      </c>
      <c r="E265">
        <f>IF($A265="","",IF(OR($B265="",$C265="",$D265="",$B265&lt;1300,$B265&gt;1500,$C265&lt;1,$C265&gt;12,$D265&lt;1,$D265&gt;31),"نامعتبر",RIGHT("0000"&amp;$B265,4)&amp;"/"&amp;RIGHT("00"&amp;$C265,2)&amp;"/"&amp;RIGHT("00"&amp;$D265,2)))</f>
        <v/>
      </c>
      <c r="F265">
        <f>IF(OR($E265="",$E265="نامعتبر"),"",LEFT($E265,4)&amp;"/"&amp;MID($E265,6,2))</f>
        <v/>
      </c>
      <c r="G265">
        <f>IF(OR($E265="",$E265="نامعتبر",Sync!$X261=""),"",IF(AND(LEFT(UPPER(TRIM(Sync!$X261)),2)="SL",IFERROR(VLOOKUP(Sync!$W261,OpTbl,3,0),"")="فروش"),UPPER(TRIM(Sync!$X261)),""))</f>
        <v/>
      </c>
      <c r="H265">
        <f>IF($G265="","",IF(Sync!$W261="","",Sync!$W261))</f>
        <v/>
      </c>
      <c r="I265">
        <f>IF(OR($G265="",Sync!$Y261=""),"",Sync!$Y261)</f>
        <v/>
      </c>
      <c r="J265">
        <f>IF(OR($G265="",Sync!$Z261=""),"",Sync!$Z261)</f>
        <v/>
      </c>
      <c r="K265">
        <f>IF($G265="",0,IF(Sync!$AA261="",0,Sync!$AA261))</f>
        <v/>
      </c>
      <c r="L265">
        <f>IF($G265="",0,IF(Sync!$AB261="",0,Sync!$AB261))</f>
        <v/>
      </c>
      <c r="M265">
        <f>IF($G265="","",IF($H265="مرجوعی فروش",-1,1)*($K265-$L265*IFERROR(VLOOKUP("P01",ParamTbl,3,0),1.5)))</f>
        <v/>
      </c>
      <c r="N265">
        <f>IF($G265="",0,IF($H265="مرجوعی فروش",-1,1)*IF(Sync!$AC261="",0,Sync!$AC261))</f>
        <v/>
      </c>
      <c r="O265">
        <f>IF(OR($G265="",Sync!$V261=""),"",Sync!$V261)</f>
        <v/>
      </c>
      <c r="P265">
        <f>IF(OR($G265="",Sync!$AD261=""),"",Sync!$AD261)</f>
        <v/>
      </c>
      <c r="Q265">
        <f>IF($G265="","",IF(Sync!$U261="","0000",IF(AND(ISNUMBER(Sync!$U261),Sync!$U261&gt;=0,Sync!$U261&lt;1),RIGHT("00"&amp;HOUR(Sync!$U261),2)&amp;RIGHT("00"&amp;MINUTE(Sync!$U261),2),IFERROR(RIGHT("00"&amp;VALUE(LEFT(Sync!$U261,FIND(":",Sync!$U261)-1)),2)&amp;RIGHT("00"&amp;VALUE(MID(Sync!$U261,FIND(":",Sync!$U261)+1,2)),2),"0000"))))</f>
        <v/>
      </c>
    </row>
    <row r="266">
      <c r="A266">
        <f>IF(Sync!$T262="","",Sync!$T262)</f>
        <v/>
      </c>
      <c r="B266">
        <f>IF($A266="","",IF(ISNUMBER($A266),IF(AND($A266&gt;=10000101,$A266&lt;=99991231),INT($A266/10000),""),IFERROR(VALUE(TRIM(LEFT($A266,FIND("/",$A266)-1))),"")))</f>
        <v/>
      </c>
      <c r="C266">
        <f>IF(OR($A266="",$B266=""),"",IF(ISNUMBER($A266),INT(MOD($A266,10000)/100),IFERROR(VALUE(TRIM(LEFT(MID($A266,FIND("/",$A266)+1,20),FIND("/",MID($A266,FIND("/",$A266)+1,20))-1))),"")))</f>
        <v/>
      </c>
      <c r="D266">
        <f>IF(OR($A266="",$B266=""),"",IF(ISNUMBER($A266),MOD($A266,100),IFERROR(VALUE(TRIM(MID(MID($A266,FIND("/",$A266)+1,20),FIND("/",MID($A266,FIND("/",$A266)+1,20))+1,20))),"")))</f>
        <v/>
      </c>
      <c r="E266">
        <f>IF($A266="","",IF(OR($B266="",$C266="",$D266="",$B266&lt;1300,$B266&gt;1500,$C266&lt;1,$C266&gt;12,$D266&lt;1,$D266&gt;31),"نامعتبر",RIGHT("0000"&amp;$B266,4)&amp;"/"&amp;RIGHT("00"&amp;$C266,2)&amp;"/"&amp;RIGHT("00"&amp;$D266,2)))</f>
        <v/>
      </c>
      <c r="F266">
        <f>IF(OR($E266="",$E266="نامعتبر"),"",LEFT($E266,4)&amp;"/"&amp;MID($E266,6,2))</f>
        <v/>
      </c>
      <c r="G266">
        <f>IF(OR($E266="",$E266="نامعتبر",Sync!$X262=""),"",IF(AND(LEFT(UPPER(TRIM(Sync!$X262)),2)="SL",IFERROR(VLOOKUP(Sync!$W262,OpTbl,3,0),"")="فروش"),UPPER(TRIM(Sync!$X262)),""))</f>
        <v/>
      </c>
      <c r="H266">
        <f>IF($G266="","",IF(Sync!$W262="","",Sync!$W262))</f>
        <v/>
      </c>
      <c r="I266">
        <f>IF(OR($G266="",Sync!$Y262=""),"",Sync!$Y262)</f>
        <v/>
      </c>
      <c r="J266">
        <f>IF(OR($G266="",Sync!$Z262=""),"",Sync!$Z262)</f>
        <v/>
      </c>
      <c r="K266">
        <f>IF($G266="",0,IF(Sync!$AA262="",0,Sync!$AA262))</f>
        <v/>
      </c>
      <c r="L266">
        <f>IF($G266="",0,IF(Sync!$AB262="",0,Sync!$AB262))</f>
        <v/>
      </c>
      <c r="M266">
        <f>IF($G266="","",IF($H266="مرجوعی فروش",-1,1)*($K266-$L266*IFERROR(VLOOKUP("P01",ParamTbl,3,0),1.5)))</f>
        <v/>
      </c>
      <c r="N266">
        <f>IF($G266="",0,IF($H266="مرجوعی فروش",-1,1)*IF(Sync!$AC262="",0,Sync!$AC262))</f>
        <v/>
      </c>
      <c r="O266">
        <f>IF(OR($G266="",Sync!$V262=""),"",Sync!$V262)</f>
        <v/>
      </c>
      <c r="P266">
        <f>IF(OR($G266="",Sync!$AD262=""),"",Sync!$AD262)</f>
        <v/>
      </c>
      <c r="Q266">
        <f>IF($G266="","",IF(Sync!$U262="","0000",IF(AND(ISNUMBER(Sync!$U262),Sync!$U262&gt;=0,Sync!$U262&lt;1),RIGHT("00"&amp;HOUR(Sync!$U262),2)&amp;RIGHT("00"&amp;MINUTE(Sync!$U262),2),IFERROR(RIGHT("00"&amp;VALUE(LEFT(Sync!$U262,FIND(":",Sync!$U262)-1)),2)&amp;RIGHT("00"&amp;VALUE(MID(Sync!$U262,FIND(":",Sync!$U262)+1,2)),2),"0000"))))</f>
        <v/>
      </c>
    </row>
    <row r="267">
      <c r="A267">
        <f>IF(Sync!$T263="","",Sync!$T263)</f>
        <v/>
      </c>
      <c r="B267">
        <f>IF($A267="","",IF(ISNUMBER($A267),IF(AND($A267&gt;=10000101,$A267&lt;=99991231),INT($A267/10000),""),IFERROR(VALUE(TRIM(LEFT($A267,FIND("/",$A267)-1))),"")))</f>
        <v/>
      </c>
      <c r="C267">
        <f>IF(OR($A267="",$B267=""),"",IF(ISNUMBER($A267),INT(MOD($A267,10000)/100),IFERROR(VALUE(TRIM(LEFT(MID($A267,FIND("/",$A267)+1,20),FIND("/",MID($A267,FIND("/",$A267)+1,20))-1))),"")))</f>
        <v/>
      </c>
      <c r="D267">
        <f>IF(OR($A267="",$B267=""),"",IF(ISNUMBER($A267),MOD($A267,100),IFERROR(VALUE(TRIM(MID(MID($A267,FIND("/",$A267)+1,20),FIND("/",MID($A267,FIND("/",$A267)+1,20))+1,20))),"")))</f>
        <v/>
      </c>
      <c r="E267">
        <f>IF($A267="","",IF(OR($B267="",$C267="",$D267="",$B267&lt;1300,$B267&gt;1500,$C267&lt;1,$C267&gt;12,$D267&lt;1,$D267&gt;31),"نامعتبر",RIGHT("0000"&amp;$B267,4)&amp;"/"&amp;RIGHT("00"&amp;$C267,2)&amp;"/"&amp;RIGHT("00"&amp;$D267,2)))</f>
        <v/>
      </c>
      <c r="F267">
        <f>IF(OR($E267="",$E267="نامعتبر"),"",LEFT($E267,4)&amp;"/"&amp;MID($E267,6,2))</f>
        <v/>
      </c>
      <c r="G267">
        <f>IF(OR($E267="",$E267="نامعتبر",Sync!$X263=""),"",IF(AND(LEFT(UPPER(TRIM(Sync!$X263)),2)="SL",IFERROR(VLOOKUP(Sync!$W263,OpTbl,3,0),"")="فروش"),UPPER(TRIM(Sync!$X263)),""))</f>
        <v/>
      </c>
      <c r="H267">
        <f>IF($G267="","",IF(Sync!$W263="","",Sync!$W263))</f>
        <v/>
      </c>
      <c r="I267">
        <f>IF(OR($G267="",Sync!$Y263=""),"",Sync!$Y263)</f>
        <v/>
      </c>
      <c r="J267">
        <f>IF(OR($G267="",Sync!$Z263=""),"",Sync!$Z263)</f>
        <v/>
      </c>
      <c r="K267">
        <f>IF($G267="",0,IF(Sync!$AA263="",0,Sync!$AA263))</f>
        <v/>
      </c>
      <c r="L267">
        <f>IF($G267="",0,IF(Sync!$AB263="",0,Sync!$AB263))</f>
        <v/>
      </c>
      <c r="M267">
        <f>IF($G267="","",IF($H267="مرجوعی فروش",-1,1)*($K267-$L267*IFERROR(VLOOKUP("P01",ParamTbl,3,0),1.5)))</f>
        <v/>
      </c>
      <c r="N267">
        <f>IF($G267="",0,IF($H267="مرجوعی فروش",-1,1)*IF(Sync!$AC263="",0,Sync!$AC263))</f>
        <v/>
      </c>
      <c r="O267">
        <f>IF(OR($G267="",Sync!$V263=""),"",Sync!$V263)</f>
        <v/>
      </c>
      <c r="P267">
        <f>IF(OR($G267="",Sync!$AD263=""),"",Sync!$AD263)</f>
        <v/>
      </c>
      <c r="Q267">
        <f>IF($G267="","",IF(Sync!$U263="","0000",IF(AND(ISNUMBER(Sync!$U263),Sync!$U263&gt;=0,Sync!$U263&lt;1),RIGHT("00"&amp;HOUR(Sync!$U263),2)&amp;RIGHT("00"&amp;MINUTE(Sync!$U263),2),IFERROR(RIGHT("00"&amp;VALUE(LEFT(Sync!$U263,FIND(":",Sync!$U263)-1)),2)&amp;RIGHT("00"&amp;VALUE(MID(Sync!$U263,FIND(":",Sync!$U263)+1,2)),2),"0000"))))</f>
        <v/>
      </c>
    </row>
    <row r="268">
      <c r="A268">
        <f>IF(Sync!$T264="","",Sync!$T264)</f>
        <v/>
      </c>
      <c r="B268">
        <f>IF($A268="","",IF(ISNUMBER($A268),IF(AND($A268&gt;=10000101,$A268&lt;=99991231),INT($A268/10000),""),IFERROR(VALUE(TRIM(LEFT($A268,FIND("/",$A268)-1))),"")))</f>
        <v/>
      </c>
      <c r="C268">
        <f>IF(OR($A268="",$B268=""),"",IF(ISNUMBER($A268),INT(MOD($A268,10000)/100),IFERROR(VALUE(TRIM(LEFT(MID($A268,FIND("/",$A268)+1,20),FIND("/",MID($A268,FIND("/",$A268)+1,20))-1))),"")))</f>
        <v/>
      </c>
      <c r="D268">
        <f>IF(OR($A268="",$B268=""),"",IF(ISNUMBER($A268),MOD($A268,100),IFERROR(VALUE(TRIM(MID(MID($A268,FIND("/",$A268)+1,20),FIND("/",MID($A268,FIND("/",$A268)+1,20))+1,20))),"")))</f>
        <v/>
      </c>
      <c r="E268">
        <f>IF($A268="","",IF(OR($B268="",$C268="",$D268="",$B268&lt;1300,$B268&gt;1500,$C268&lt;1,$C268&gt;12,$D268&lt;1,$D268&gt;31),"نامعتبر",RIGHT("0000"&amp;$B268,4)&amp;"/"&amp;RIGHT("00"&amp;$C268,2)&amp;"/"&amp;RIGHT("00"&amp;$D268,2)))</f>
        <v/>
      </c>
      <c r="F268">
        <f>IF(OR($E268="",$E268="نامعتبر"),"",LEFT($E268,4)&amp;"/"&amp;MID($E268,6,2))</f>
        <v/>
      </c>
      <c r="G268">
        <f>IF(OR($E268="",$E268="نامعتبر",Sync!$X264=""),"",IF(AND(LEFT(UPPER(TRIM(Sync!$X264)),2)="SL",IFERROR(VLOOKUP(Sync!$W264,OpTbl,3,0),"")="فروش"),UPPER(TRIM(Sync!$X264)),""))</f>
        <v/>
      </c>
      <c r="H268">
        <f>IF($G268="","",IF(Sync!$W264="","",Sync!$W264))</f>
        <v/>
      </c>
      <c r="I268">
        <f>IF(OR($G268="",Sync!$Y264=""),"",Sync!$Y264)</f>
        <v/>
      </c>
      <c r="J268">
        <f>IF(OR($G268="",Sync!$Z264=""),"",Sync!$Z264)</f>
        <v/>
      </c>
      <c r="K268">
        <f>IF($G268="",0,IF(Sync!$AA264="",0,Sync!$AA264))</f>
        <v/>
      </c>
      <c r="L268">
        <f>IF($G268="",0,IF(Sync!$AB264="",0,Sync!$AB264))</f>
        <v/>
      </c>
      <c r="M268">
        <f>IF($G268="","",IF($H268="مرجوعی فروش",-1,1)*($K268-$L268*IFERROR(VLOOKUP("P01",ParamTbl,3,0),1.5)))</f>
        <v/>
      </c>
      <c r="N268">
        <f>IF($G268="",0,IF($H268="مرجوعی فروش",-1,1)*IF(Sync!$AC264="",0,Sync!$AC264))</f>
        <v/>
      </c>
      <c r="O268">
        <f>IF(OR($G268="",Sync!$V264=""),"",Sync!$V264)</f>
        <v/>
      </c>
      <c r="P268">
        <f>IF(OR($G268="",Sync!$AD264=""),"",Sync!$AD264)</f>
        <v/>
      </c>
      <c r="Q268">
        <f>IF($G268="","",IF(Sync!$U264="","0000",IF(AND(ISNUMBER(Sync!$U264),Sync!$U264&gt;=0,Sync!$U264&lt;1),RIGHT("00"&amp;HOUR(Sync!$U264),2)&amp;RIGHT("00"&amp;MINUTE(Sync!$U264),2),IFERROR(RIGHT("00"&amp;VALUE(LEFT(Sync!$U264,FIND(":",Sync!$U264)-1)),2)&amp;RIGHT("00"&amp;VALUE(MID(Sync!$U264,FIND(":",Sync!$U264)+1,2)),2),"0000"))))</f>
        <v/>
      </c>
    </row>
    <row r="269">
      <c r="A269">
        <f>IF(Sync!$T265="","",Sync!$T265)</f>
        <v/>
      </c>
      <c r="B269">
        <f>IF($A269="","",IF(ISNUMBER($A269),IF(AND($A269&gt;=10000101,$A269&lt;=99991231),INT($A269/10000),""),IFERROR(VALUE(TRIM(LEFT($A269,FIND("/",$A269)-1))),"")))</f>
        <v/>
      </c>
      <c r="C269">
        <f>IF(OR($A269="",$B269=""),"",IF(ISNUMBER($A269),INT(MOD($A269,10000)/100),IFERROR(VALUE(TRIM(LEFT(MID($A269,FIND("/",$A269)+1,20),FIND("/",MID($A269,FIND("/",$A269)+1,20))-1))),"")))</f>
        <v/>
      </c>
      <c r="D269">
        <f>IF(OR($A269="",$B269=""),"",IF(ISNUMBER($A269),MOD($A269,100),IFERROR(VALUE(TRIM(MID(MID($A269,FIND("/",$A269)+1,20),FIND("/",MID($A269,FIND("/",$A269)+1,20))+1,20))),"")))</f>
        <v/>
      </c>
      <c r="E269">
        <f>IF($A269="","",IF(OR($B269="",$C269="",$D269="",$B269&lt;1300,$B269&gt;1500,$C269&lt;1,$C269&gt;12,$D269&lt;1,$D269&gt;31),"نامعتبر",RIGHT("0000"&amp;$B269,4)&amp;"/"&amp;RIGHT("00"&amp;$C269,2)&amp;"/"&amp;RIGHT("00"&amp;$D269,2)))</f>
        <v/>
      </c>
      <c r="F269">
        <f>IF(OR($E269="",$E269="نامعتبر"),"",LEFT($E269,4)&amp;"/"&amp;MID($E269,6,2))</f>
        <v/>
      </c>
      <c r="G269">
        <f>IF(OR($E269="",$E269="نامعتبر",Sync!$X265=""),"",IF(AND(LEFT(UPPER(TRIM(Sync!$X265)),2)="SL",IFERROR(VLOOKUP(Sync!$W265,OpTbl,3,0),"")="فروش"),UPPER(TRIM(Sync!$X265)),""))</f>
        <v/>
      </c>
      <c r="H269">
        <f>IF($G269="","",IF(Sync!$W265="","",Sync!$W265))</f>
        <v/>
      </c>
      <c r="I269">
        <f>IF(OR($G269="",Sync!$Y265=""),"",Sync!$Y265)</f>
        <v/>
      </c>
      <c r="J269">
        <f>IF(OR($G269="",Sync!$Z265=""),"",Sync!$Z265)</f>
        <v/>
      </c>
      <c r="K269">
        <f>IF($G269="",0,IF(Sync!$AA265="",0,Sync!$AA265))</f>
        <v/>
      </c>
      <c r="L269">
        <f>IF($G269="",0,IF(Sync!$AB265="",0,Sync!$AB265))</f>
        <v/>
      </c>
      <c r="M269">
        <f>IF($G269="","",IF($H269="مرجوعی فروش",-1,1)*($K269-$L269*IFERROR(VLOOKUP("P01",ParamTbl,3,0),1.5)))</f>
        <v/>
      </c>
      <c r="N269">
        <f>IF($G269="",0,IF($H269="مرجوعی فروش",-1,1)*IF(Sync!$AC265="",0,Sync!$AC265))</f>
        <v/>
      </c>
      <c r="O269">
        <f>IF(OR($G269="",Sync!$V265=""),"",Sync!$V265)</f>
        <v/>
      </c>
      <c r="P269">
        <f>IF(OR($G269="",Sync!$AD265=""),"",Sync!$AD265)</f>
        <v/>
      </c>
      <c r="Q269">
        <f>IF($G269="","",IF(Sync!$U265="","0000",IF(AND(ISNUMBER(Sync!$U265),Sync!$U265&gt;=0,Sync!$U265&lt;1),RIGHT("00"&amp;HOUR(Sync!$U265),2)&amp;RIGHT("00"&amp;MINUTE(Sync!$U265),2),IFERROR(RIGHT("00"&amp;VALUE(LEFT(Sync!$U265,FIND(":",Sync!$U265)-1)),2)&amp;RIGHT("00"&amp;VALUE(MID(Sync!$U265,FIND(":",Sync!$U265)+1,2)),2),"0000"))))</f>
        <v/>
      </c>
    </row>
    <row r="270">
      <c r="A270">
        <f>IF(Sync!$T266="","",Sync!$T266)</f>
        <v/>
      </c>
      <c r="B270">
        <f>IF($A270="","",IF(ISNUMBER($A270),IF(AND($A270&gt;=10000101,$A270&lt;=99991231),INT($A270/10000),""),IFERROR(VALUE(TRIM(LEFT($A270,FIND("/",$A270)-1))),"")))</f>
        <v/>
      </c>
      <c r="C270">
        <f>IF(OR($A270="",$B270=""),"",IF(ISNUMBER($A270),INT(MOD($A270,10000)/100),IFERROR(VALUE(TRIM(LEFT(MID($A270,FIND("/",$A270)+1,20),FIND("/",MID($A270,FIND("/",$A270)+1,20))-1))),"")))</f>
        <v/>
      </c>
      <c r="D270">
        <f>IF(OR($A270="",$B270=""),"",IF(ISNUMBER($A270),MOD($A270,100),IFERROR(VALUE(TRIM(MID(MID($A270,FIND("/",$A270)+1,20),FIND("/",MID($A270,FIND("/",$A270)+1,20))+1,20))),"")))</f>
        <v/>
      </c>
      <c r="E270">
        <f>IF($A270="","",IF(OR($B270="",$C270="",$D270="",$B270&lt;1300,$B270&gt;1500,$C270&lt;1,$C270&gt;12,$D270&lt;1,$D270&gt;31),"نامعتبر",RIGHT("0000"&amp;$B270,4)&amp;"/"&amp;RIGHT("00"&amp;$C270,2)&amp;"/"&amp;RIGHT("00"&amp;$D270,2)))</f>
        <v/>
      </c>
      <c r="F270">
        <f>IF(OR($E270="",$E270="نامعتبر"),"",LEFT($E270,4)&amp;"/"&amp;MID($E270,6,2))</f>
        <v/>
      </c>
      <c r="G270">
        <f>IF(OR($E270="",$E270="نامعتبر",Sync!$X266=""),"",IF(AND(LEFT(UPPER(TRIM(Sync!$X266)),2)="SL",IFERROR(VLOOKUP(Sync!$W266,OpTbl,3,0),"")="فروش"),UPPER(TRIM(Sync!$X266)),""))</f>
        <v/>
      </c>
      <c r="H270">
        <f>IF($G270="","",IF(Sync!$W266="","",Sync!$W266))</f>
        <v/>
      </c>
      <c r="I270">
        <f>IF(OR($G270="",Sync!$Y266=""),"",Sync!$Y266)</f>
        <v/>
      </c>
      <c r="J270">
        <f>IF(OR($G270="",Sync!$Z266=""),"",Sync!$Z266)</f>
        <v/>
      </c>
      <c r="K270">
        <f>IF($G270="",0,IF(Sync!$AA266="",0,Sync!$AA266))</f>
        <v/>
      </c>
      <c r="L270">
        <f>IF($G270="",0,IF(Sync!$AB266="",0,Sync!$AB266))</f>
        <v/>
      </c>
      <c r="M270">
        <f>IF($G270="","",IF($H270="مرجوعی فروش",-1,1)*($K270-$L270*IFERROR(VLOOKUP("P01",ParamTbl,3,0),1.5)))</f>
        <v/>
      </c>
      <c r="N270">
        <f>IF($G270="",0,IF($H270="مرجوعی فروش",-1,1)*IF(Sync!$AC266="",0,Sync!$AC266))</f>
        <v/>
      </c>
      <c r="O270">
        <f>IF(OR($G270="",Sync!$V266=""),"",Sync!$V266)</f>
        <v/>
      </c>
      <c r="P270">
        <f>IF(OR($G270="",Sync!$AD266=""),"",Sync!$AD266)</f>
        <v/>
      </c>
      <c r="Q270">
        <f>IF($G270="","",IF(Sync!$U266="","0000",IF(AND(ISNUMBER(Sync!$U266),Sync!$U266&gt;=0,Sync!$U266&lt;1),RIGHT("00"&amp;HOUR(Sync!$U266),2)&amp;RIGHT("00"&amp;MINUTE(Sync!$U266),2),IFERROR(RIGHT("00"&amp;VALUE(LEFT(Sync!$U266,FIND(":",Sync!$U266)-1)),2)&amp;RIGHT("00"&amp;VALUE(MID(Sync!$U266,FIND(":",Sync!$U266)+1,2)),2),"0000"))))</f>
        <v/>
      </c>
    </row>
    <row r="271">
      <c r="A271">
        <f>IF(Sync!$T267="","",Sync!$T267)</f>
        <v/>
      </c>
      <c r="B271">
        <f>IF($A271="","",IF(ISNUMBER($A271),IF(AND($A271&gt;=10000101,$A271&lt;=99991231),INT($A271/10000),""),IFERROR(VALUE(TRIM(LEFT($A271,FIND("/",$A271)-1))),"")))</f>
        <v/>
      </c>
      <c r="C271">
        <f>IF(OR($A271="",$B271=""),"",IF(ISNUMBER($A271),INT(MOD($A271,10000)/100),IFERROR(VALUE(TRIM(LEFT(MID($A271,FIND("/",$A271)+1,20),FIND("/",MID($A271,FIND("/",$A271)+1,20))-1))),"")))</f>
        <v/>
      </c>
      <c r="D271">
        <f>IF(OR($A271="",$B271=""),"",IF(ISNUMBER($A271),MOD($A271,100),IFERROR(VALUE(TRIM(MID(MID($A271,FIND("/",$A271)+1,20),FIND("/",MID($A271,FIND("/",$A271)+1,20))+1,20))),"")))</f>
        <v/>
      </c>
      <c r="E271">
        <f>IF($A271="","",IF(OR($B271="",$C271="",$D271="",$B271&lt;1300,$B271&gt;1500,$C271&lt;1,$C271&gt;12,$D271&lt;1,$D271&gt;31),"نامعتبر",RIGHT("0000"&amp;$B271,4)&amp;"/"&amp;RIGHT("00"&amp;$C271,2)&amp;"/"&amp;RIGHT("00"&amp;$D271,2)))</f>
        <v/>
      </c>
      <c r="F271">
        <f>IF(OR($E271="",$E271="نامعتبر"),"",LEFT($E271,4)&amp;"/"&amp;MID($E271,6,2))</f>
        <v/>
      </c>
      <c r="G271">
        <f>IF(OR($E271="",$E271="نامعتبر",Sync!$X267=""),"",IF(AND(LEFT(UPPER(TRIM(Sync!$X267)),2)="SL",IFERROR(VLOOKUP(Sync!$W267,OpTbl,3,0),"")="فروش"),UPPER(TRIM(Sync!$X267)),""))</f>
        <v/>
      </c>
      <c r="H271">
        <f>IF($G271="","",IF(Sync!$W267="","",Sync!$W267))</f>
        <v/>
      </c>
      <c r="I271">
        <f>IF(OR($G271="",Sync!$Y267=""),"",Sync!$Y267)</f>
        <v/>
      </c>
      <c r="J271">
        <f>IF(OR($G271="",Sync!$Z267=""),"",Sync!$Z267)</f>
        <v/>
      </c>
      <c r="K271">
        <f>IF($G271="",0,IF(Sync!$AA267="",0,Sync!$AA267))</f>
        <v/>
      </c>
      <c r="L271">
        <f>IF($G271="",0,IF(Sync!$AB267="",0,Sync!$AB267))</f>
        <v/>
      </c>
      <c r="M271">
        <f>IF($G271="","",IF($H271="مرجوعی فروش",-1,1)*($K271-$L271*IFERROR(VLOOKUP("P01",ParamTbl,3,0),1.5)))</f>
        <v/>
      </c>
      <c r="N271">
        <f>IF($G271="",0,IF($H271="مرجوعی فروش",-1,1)*IF(Sync!$AC267="",0,Sync!$AC267))</f>
        <v/>
      </c>
      <c r="O271">
        <f>IF(OR($G271="",Sync!$V267=""),"",Sync!$V267)</f>
        <v/>
      </c>
      <c r="P271">
        <f>IF(OR($G271="",Sync!$AD267=""),"",Sync!$AD267)</f>
        <v/>
      </c>
      <c r="Q271">
        <f>IF($G271="","",IF(Sync!$U267="","0000",IF(AND(ISNUMBER(Sync!$U267),Sync!$U267&gt;=0,Sync!$U267&lt;1),RIGHT("00"&amp;HOUR(Sync!$U267),2)&amp;RIGHT("00"&amp;MINUTE(Sync!$U267),2),IFERROR(RIGHT("00"&amp;VALUE(LEFT(Sync!$U267,FIND(":",Sync!$U267)-1)),2)&amp;RIGHT("00"&amp;VALUE(MID(Sync!$U267,FIND(":",Sync!$U267)+1,2)),2),"0000"))))</f>
        <v/>
      </c>
    </row>
    <row r="272">
      <c r="A272">
        <f>IF(Sync!$T268="","",Sync!$T268)</f>
        <v/>
      </c>
      <c r="B272">
        <f>IF($A272="","",IF(ISNUMBER($A272),IF(AND($A272&gt;=10000101,$A272&lt;=99991231),INT($A272/10000),""),IFERROR(VALUE(TRIM(LEFT($A272,FIND("/",$A272)-1))),"")))</f>
        <v/>
      </c>
      <c r="C272">
        <f>IF(OR($A272="",$B272=""),"",IF(ISNUMBER($A272),INT(MOD($A272,10000)/100),IFERROR(VALUE(TRIM(LEFT(MID($A272,FIND("/",$A272)+1,20),FIND("/",MID($A272,FIND("/",$A272)+1,20))-1))),"")))</f>
        <v/>
      </c>
      <c r="D272">
        <f>IF(OR($A272="",$B272=""),"",IF(ISNUMBER($A272),MOD($A272,100),IFERROR(VALUE(TRIM(MID(MID($A272,FIND("/",$A272)+1,20),FIND("/",MID($A272,FIND("/",$A272)+1,20))+1,20))),"")))</f>
        <v/>
      </c>
      <c r="E272">
        <f>IF($A272="","",IF(OR($B272="",$C272="",$D272="",$B272&lt;1300,$B272&gt;1500,$C272&lt;1,$C272&gt;12,$D272&lt;1,$D272&gt;31),"نامعتبر",RIGHT("0000"&amp;$B272,4)&amp;"/"&amp;RIGHT("00"&amp;$C272,2)&amp;"/"&amp;RIGHT("00"&amp;$D272,2)))</f>
        <v/>
      </c>
      <c r="F272">
        <f>IF(OR($E272="",$E272="نامعتبر"),"",LEFT($E272,4)&amp;"/"&amp;MID($E272,6,2))</f>
        <v/>
      </c>
      <c r="G272">
        <f>IF(OR($E272="",$E272="نامعتبر",Sync!$X268=""),"",IF(AND(LEFT(UPPER(TRIM(Sync!$X268)),2)="SL",IFERROR(VLOOKUP(Sync!$W268,OpTbl,3,0),"")="فروش"),UPPER(TRIM(Sync!$X268)),""))</f>
        <v/>
      </c>
      <c r="H272">
        <f>IF($G272="","",IF(Sync!$W268="","",Sync!$W268))</f>
        <v/>
      </c>
      <c r="I272">
        <f>IF(OR($G272="",Sync!$Y268=""),"",Sync!$Y268)</f>
        <v/>
      </c>
      <c r="J272">
        <f>IF(OR($G272="",Sync!$Z268=""),"",Sync!$Z268)</f>
        <v/>
      </c>
      <c r="K272">
        <f>IF($G272="",0,IF(Sync!$AA268="",0,Sync!$AA268))</f>
        <v/>
      </c>
      <c r="L272">
        <f>IF($G272="",0,IF(Sync!$AB268="",0,Sync!$AB268))</f>
        <v/>
      </c>
      <c r="M272">
        <f>IF($G272="","",IF($H272="مرجوعی فروش",-1,1)*($K272-$L272*IFERROR(VLOOKUP("P01",ParamTbl,3,0),1.5)))</f>
        <v/>
      </c>
      <c r="N272">
        <f>IF($G272="",0,IF($H272="مرجوعی فروش",-1,1)*IF(Sync!$AC268="",0,Sync!$AC268))</f>
        <v/>
      </c>
      <c r="O272">
        <f>IF(OR($G272="",Sync!$V268=""),"",Sync!$V268)</f>
        <v/>
      </c>
      <c r="P272">
        <f>IF(OR($G272="",Sync!$AD268=""),"",Sync!$AD268)</f>
        <v/>
      </c>
      <c r="Q272">
        <f>IF($G272="","",IF(Sync!$U268="","0000",IF(AND(ISNUMBER(Sync!$U268),Sync!$U268&gt;=0,Sync!$U268&lt;1),RIGHT("00"&amp;HOUR(Sync!$U268),2)&amp;RIGHT("00"&amp;MINUTE(Sync!$U268),2),IFERROR(RIGHT("00"&amp;VALUE(LEFT(Sync!$U268,FIND(":",Sync!$U268)-1)),2)&amp;RIGHT("00"&amp;VALUE(MID(Sync!$U268,FIND(":",Sync!$U268)+1,2)),2),"0000"))))</f>
        <v/>
      </c>
    </row>
    <row r="273">
      <c r="A273">
        <f>IF(Sync!$T269="","",Sync!$T269)</f>
        <v/>
      </c>
      <c r="B273">
        <f>IF($A273="","",IF(ISNUMBER($A273),IF(AND($A273&gt;=10000101,$A273&lt;=99991231),INT($A273/10000),""),IFERROR(VALUE(TRIM(LEFT($A273,FIND("/",$A273)-1))),"")))</f>
        <v/>
      </c>
      <c r="C273">
        <f>IF(OR($A273="",$B273=""),"",IF(ISNUMBER($A273),INT(MOD($A273,10000)/100),IFERROR(VALUE(TRIM(LEFT(MID($A273,FIND("/",$A273)+1,20),FIND("/",MID($A273,FIND("/",$A273)+1,20))-1))),"")))</f>
        <v/>
      </c>
      <c r="D273">
        <f>IF(OR($A273="",$B273=""),"",IF(ISNUMBER($A273),MOD($A273,100),IFERROR(VALUE(TRIM(MID(MID($A273,FIND("/",$A273)+1,20),FIND("/",MID($A273,FIND("/",$A273)+1,20))+1,20))),"")))</f>
        <v/>
      </c>
      <c r="E273">
        <f>IF($A273="","",IF(OR($B273="",$C273="",$D273="",$B273&lt;1300,$B273&gt;1500,$C273&lt;1,$C273&gt;12,$D273&lt;1,$D273&gt;31),"نامعتبر",RIGHT("0000"&amp;$B273,4)&amp;"/"&amp;RIGHT("00"&amp;$C273,2)&amp;"/"&amp;RIGHT("00"&amp;$D273,2)))</f>
        <v/>
      </c>
      <c r="F273">
        <f>IF(OR($E273="",$E273="نامعتبر"),"",LEFT($E273,4)&amp;"/"&amp;MID($E273,6,2))</f>
        <v/>
      </c>
      <c r="G273">
        <f>IF(OR($E273="",$E273="نامعتبر",Sync!$X269=""),"",IF(AND(LEFT(UPPER(TRIM(Sync!$X269)),2)="SL",IFERROR(VLOOKUP(Sync!$W269,OpTbl,3,0),"")="فروش"),UPPER(TRIM(Sync!$X269)),""))</f>
        <v/>
      </c>
      <c r="H273">
        <f>IF($G273="","",IF(Sync!$W269="","",Sync!$W269))</f>
        <v/>
      </c>
      <c r="I273">
        <f>IF(OR($G273="",Sync!$Y269=""),"",Sync!$Y269)</f>
        <v/>
      </c>
      <c r="J273">
        <f>IF(OR($G273="",Sync!$Z269=""),"",Sync!$Z269)</f>
        <v/>
      </c>
      <c r="K273">
        <f>IF($G273="",0,IF(Sync!$AA269="",0,Sync!$AA269))</f>
        <v/>
      </c>
      <c r="L273">
        <f>IF($G273="",0,IF(Sync!$AB269="",0,Sync!$AB269))</f>
        <v/>
      </c>
      <c r="M273">
        <f>IF($G273="","",IF($H273="مرجوعی فروش",-1,1)*($K273-$L273*IFERROR(VLOOKUP("P01",ParamTbl,3,0),1.5)))</f>
        <v/>
      </c>
      <c r="N273">
        <f>IF($G273="",0,IF($H273="مرجوعی فروش",-1,1)*IF(Sync!$AC269="",0,Sync!$AC269))</f>
        <v/>
      </c>
      <c r="O273">
        <f>IF(OR($G273="",Sync!$V269=""),"",Sync!$V269)</f>
        <v/>
      </c>
      <c r="P273">
        <f>IF(OR($G273="",Sync!$AD269=""),"",Sync!$AD269)</f>
        <v/>
      </c>
      <c r="Q273">
        <f>IF($G273="","",IF(Sync!$U269="","0000",IF(AND(ISNUMBER(Sync!$U269),Sync!$U269&gt;=0,Sync!$U269&lt;1),RIGHT("00"&amp;HOUR(Sync!$U269),2)&amp;RIGHT("00"&amp;MINUTE(Sync!$U269),2),IFERROR(RIGHT("00"&amp;VALUE(LEFT(Sync!$U269,FIND(":",Sync!$U269)-1)),2)&amp;RIGHT("00"&amp;VALUE(MID(Sync!$U269,FIND(":",Sync!$U269)+1,2)),2),"0000"))))</f>
        <v/>
      </c>
    </row>
    <row r="274">
      <c r="A274">
        <f>IF(Sync!$T270="","",Sync!$T270)</f>
        <v/>
      </c>
      <c r="B274">
        <f>IF($A274="","",IF(ISNUMBER($A274),IF(AND($A274&gt;=10000101,$A274&lt;=99991231),INT($A274/10000),""),IFERROR(VALUE(TRIM(LEFT($A274,FIND("/",$A274)-1))),"")))</f>
        <v/>
      </c>
      <c r="C274">
        <f>IF(OR($A274="",$B274=""),"",IF(ISNUMBER($A274),INT(MOD($A274,10000)/100),IFERROR(VALUE(TRIM(LEFT(MID($A274,FIND("/",$A274)+1,20),FIND("/",MID($A274,FIND("/",$A274)+1,20))-1))),"")))</f>
        <v/>
      </c>
      <c r="D274">
        <f>IF(OR($A274="",$B274=""),"",IF(ISNUMBER($A274),MOD($A274,100),IFERROR(VALUE(TRIM(MID(MID($A274,FIND("/",$A274)+1,20),FIND("/",MID($A274,FIND("/",$A274)+1,20))+1,20))),"")))</f>
        <v/>
      </c>
      <c r="E274">
        <f>IF($A274="","",IF(OR($B274="",$C274="",$D274="",$B274&lt;1300,$B274&gt;1500,$C274&lt;1,$C274&gt;12,$D274&lt;1,$D274&gt;31),"نامعتبر",RIGHT("0000"&amp;$B274,4)&amp;"/"&amp;RIGHT("00"&amp;$C274,2)&amp;"/"&amp;RIGHT("00"&amp;$D274,2)))</f>
        <v/>
      </c>
      <c r="F274">
        <f>IF(OR($E274="",$E274="نامعتبر"),"",LEFT($E274,4)&amp;"/"&amp;MID($E274,6,2))</f>
        <v/>
      </c>
      <c r="G274">
        <f>IF(OR($E274="",$E274="نامعتبر",Sync!$X270=""),"",IF(AND(LEFT(UPPER(TRIM(Sync!$X270)),2)="SL",IFERROR(VLOOKUP(Sync!$W270,OpTbl,3,0),"")="فروش"),UPPER(TRIM(Sync!$X270)),""))</f>
        <v/>
      </c>
      <c r="H274">
        <f>IF($G274="","",IF(Sync!$W270="","",Sync!$W270))</f>
        <v/>
      </c>
      <c r="I274">
        <f>IF(OR($G274="",Sync!$Y270=""),"",Sync!$Y270)</f>
        <v/>
      </c>
      <c r="J274">
        <f>IF(OR($G274="",Sync!$Z270=""),"",Sync!$Z270)</f>
        <v/>
      </c>
      <c r="K274">
        <f>IF($G274="",0,IF(Sync!$AA270="",0,Sync!$AA270))</f>
        <v/>
      </c>
      <c r="L274">
        <f>IF($G274="",0,IF(Sync!$AB270="",0,Sync!$AB270))</f>
        <v/>
      </c>
      <c r="M274">
        <f>IF($G274="","",IF($H274="مرجوعی فروش",-1,1)*($K274-$L274*IFERROR(VLOOKUP("P01",ParamTbl,3,0),1.5)))</f>
        <v/>
      </c>
      <c r="N274">
        <f>IF($G274="",0,IF($H274="مرجوعی فروش",-1,1)*IF(Sync!$AC270="",0,Sync!$AC270))</f>
        <v/>
      </c>
      <c r="O274">
        <f>IF(OR($G274="",Sync!$V270=""),"",Sync!$V270)</f>
        <v/>
      </c>
      <c r="P274">
        <f>IF(OR($G274="",Sync!$AD270=""),"",Sync!$AD270)</f>
        <v/>
      </c>
      <c r="Q274">
        <f>IF($G274="","",IF(Sync!$U270="","0000",IF(AND(ISNUMBER(Sync!$U270),Sync!$U270&gt;=0,Sync!$U270&lt;1),RIGHT("00"&amp;HOUR(Sync!$U270),2)&amp;RIGHT("00"&amp;MINUTE(Sync!$U270),2),IFERROR(RIGHT("00"&amp;VALUE(LEFT(Sync!$U270,FIND(":",Sync!$U270)-1)),2)&amp;RIGHT("00"&amp;VALUE(MID(Sync!$U270,FIND(":",Sync!$U270)+1,2)),2),"0000"))))</f>
        <v/>
      </c>
    </row>
    <row r="275">
      <c r="A275">
        <f>IF(Sync!$T271="","",Sync!$T271)</f>
        <v/>
      </c>
      <c r="B275">
        <f>IF($A275="","",IF(ISNUMBER($A275),IF(AND($A275&gt;=10000101,$A275&lt;=99991231),INT($A275/10000),""),IFERROR(VALUE(TRIM(LEFT($A275,FIND("/",$A275)-1))),"")))</f>
        <v/>
      </c>
      <c r="C275">
        <f>IF(OR($A275="",$B275=""),"",IF(ISNUMBER($A275),INT(MOD($A275,10000)/100),IFERROR(VALUE(TRIM(LEFT(MID($A275,FIND("/",$A275)+1,20),FIND("/",MID($A275,FIND("/",$A275)+1,20))-1))),"")))</f>
        <v/>
      </c>
      <c r="D275">
        <f>IF(OR($A275="",$B275=""),"",IF(ISNUMBER($A275),MOD($A275,100),IFERROR(VALUE(TRIM(MID(MID($A275,FIND("/",$A275)+1,20),FIND("/",MID($A275,FIND("/",$A275)+1,20))+1,20))),"")))</f>
        <v/>
      </c>
      <c r="E275">
        <f>IF($A275="","",IF(OR($B275="",$C275="",$D275="",$B275&lt;1300,$B275&gt;1500,$C275&lt;1,$C275&gt;12,$D275&lt;1,$D275&gt;31),"نامعتبر",RIGHT("0000"&amp;$B275,4)&amp;"/"&amp;RIGHT("00"&amp;$C275,2)&amp;"/"&amp;RIGHT("00"&amp;$D275,2)))</f>
        <v/>
      </c>
      <c r="F275">
        <f>IF(OR($E275="",$E275="نامعتبر"),"",LEFT($E275,4)&amp;"/"&amp;MID($E275,6,2))</f>
        <v/>
      </c>
      <c r="G275">
        <f>IF(OR($E275="",$E275="نامعتبر",Sync!$X271=""),"",IF(AND(LEFT(UPPER(TRIM(Sync!$X271)),2)="SL",IFERROR(VLOOKUP(Sync!$W271,OpTbl,3,0),"")="فروش"),UPPER(TRIM(Sync!$X271)),""))</f>
        <v/>
      </c>
      <c r="H275">
        <f>IF($G275="","",IF(Sync!$W271="","",Sync!$W271))</f>
        <v/>
      </c>
      <c r="I275">
        <f>IF(OR($G275="",Sync!$Y271=""),"",Sync!$Y271)</f>
        <v/>
      </c>
      <c r="J275">
        <f>IF(OR($G275="",Sync!$Z271=""),"",Sync!$Z271)</f>
        <v/>
      </c>
      <c r="K275">
        <f>IF($G275="",0,IF(Sync!$AA271="",0,Sync!$AA271))</f>
        <v/>
      </c>
      <c r="L275">
        <f>IF($G275="",0,IF(Sync!$AB271="",0,Sync!$AB271))</f>
        <v/>
      </c>
      <c r="M275">
        <f>IF($G275="","",IF($H275="مرجوعی فروش",-1,1)*($K275-$L275*IFERROR(VLOOKUP("P01",ParamTbl,3,0),1.5)))</f>
        <v/>
      </c>
      <c r="N275">
        <f>IF($G275="",0,IF($H275="مرجوعی فروش",-1,1)*IF(Sync!$AC271="",0,Sync!$AC271))</f>
        <v/>
      </c>
      <c r="O275">
        <f>IF(OR($G275="",Sync!$V271=""),"",Sync!$V271)</f>
        <v/>
      </c>
      <c r="P275">
        <f>IF(OR($G275="",Sync!$AD271=""),"",Sync!$AD271)</f>
        <v/>
      </c>
      <c r="Q275">
        <f>IF($G275="","",IF(Sync!$U271="","0000",IF(AND(ISNUMBER(Sync!$U271),Sync!$U271&gt;=0,Sync!$U271&lt;1),RIGHT("00"&amp;HOUR(Sync!$U271),2)&amp;RIGHT("00"&amp;MINUTE(Sync!$U271),2),IFERROR(RIGHT("00"&amp;VALUE(LEFT(Sync!$U271,FIND(":",Sync!$U271)-1)),2)&amp;RIGHT("00"&amp;VALUE(MID(Sync!$U271,FIND(":",Sync!$U271)+1,2)),2),"0000"))))</f>
        <v/>
      </c>
    </row>
    <row r="276">
      <c r="A276">
        <f>IF(Sync!$T272="","",Sync!$T272)</f>
        <v/>
      </c>
      <c r="B276">
        <f>IF($A276="","",IF(ISNUMBER($A276),IF(AND($A276&gt;=10000101,$A276&lt;=99991231),INT($A276/10000),""),IFERROR(VALUE(TRIM(LEFT($A276,FIND("/",$A276)-1))),"")))</f>
        <v/>
      </c>
      <c r="C276">
        <f>IF(OR($A276="",$B276=""),"",IF(ISNUMBER($A276),INT(MOD($A276,10000)/100),IFERROR(VALUE(TRIM(LEFT(MID($A276,FIND("/",$A276)+1,20),FIND("/",MID($A276,FIND("/",$A276)+1,20))-1))),"")))</f>
        <v/>
      </c>
      <c r="D276">
        <f>IF(OR($A276="",$B276=""),"",IF(ISNUMBER($A276),MOD($A276,100),IFERROR(VALUE(TRIM(MID(MID($A276,FIND("/",$A276)+1,20),FIND("/",MID($A276,FIND("/",$A276)+1,20))+1,20))),"")))</f>
        <v/>
      </c>
      <c r="E276">
        <f>IF($A276="","",IF(OR($B276="",$C276="",$D276="",$B276&lt;1300,$B276&gt;1500,$C276&lt;1,$C276&gt;12,$D276&lt;1,$D276&gt;31),"نامعتبر",RIGHT("0000"&amp;$B276,4)&amp;"/"&amp;RIGHT("00"&amp;$C276,2)&amp;"/"&amp;RIGHT("00"&amp;$D276,2)))</f>
        <v/>
      </c>
      <c r="F276">
        <f>IF(OR($E276="",$E276="نامعتبر"),"",LEFT($E276,4)&amp;"/"&amp;MID($E276,6,2))</f>
        <v/>
      </c>
      <c r="G276">
        <f>IF(OR($E276="",$E276="نامعتبر",Sync!$X272=""),"",IF(AND(LEFT(UPPER(TRIM(Sync!$X272)),2)="SL",IFERROR(VLOOKUP(Sync!$W272,OpTbl,3,0),"")="فروش"),UPPER(TRIM(Sync!$X272)),""))</f>
        <v/>
      </c>
      <c r="H276">
        <f>IF($G276="","",IF(Sync!$W272="","",Sync!$W272))</f>
        <v/>
      </c>
      <c r="I276">
        <f>IF(OR($G276="",Sync!$Y272=""),"",Sync!$Y272)</f>
        <v/>
      </c>
      <c r="J276">
        <f>IF(OR($G276="",Sync!$Z272=""),"",Sync!$Z272)</f>
        <v/>
      </c>
      <c r="K276">
        <f>IF($G276="",0,IF(Sync!$AA272="",0,Sync!$AA272))</f>
        <v/>
      </c>
      <c r="L276">
        <f>IF($G276="",0,IF(Sync!$AB272="",0,Sync!$AB272))</f>
        <v/>
      </c>
      <c r="M276">
        <f>IF($G276="","",IF($H276="مرجوعی فروش",-1,1)*($K276-$L276*IFERROR(VLOOKUP("P01",ParamTbl,3,0),1.5)))</f>
        <v/>
      </c>
      <c r="N276">
        <f>IF($G276="",0,IF($H276="مرجوعی فروش",-1,1)*IF(Sync!$AC272="",0,Sync!$AC272))</f>
        <v/>
      </c>
      <c r="O276">
        <f>IF(OR($G276="",Sync!$V272=""),"",Sync!$V272)</f>
        <v/>
      </c>
      <c r="P276">
        <f>IF(OR($G276="",Sync!$AD272=""),"",Sync!$AD272)</f>
        <v/>
      </c>
      <c r="Q276">
        <f>IF($G276="","",IF(Sync!$U272="","0000",IF(AND(ISNUMBER(Sync!$U272),Sync!$U272&gt;=0,Sync!$U272&lt;1),RIGHT("00"&amp;HOUR(Sync!$U272),2)&amp;RIGHT("00"&amp;MINUTE(Sync!$U272),2),IFERROR(RIGHT("00"&amp;VALUE(LEFT(Sync!$U272,FIND(":",Sync!$U272)-1)),2)&amp;RIGHT("00"&amp;VALUE(MID(Sync!$U272,FIND(":",Sync!$U272)+1,2)),2),"0000"))))</f>
        <v/>
      </c>
    </row>
    <row r="277">
      <c r="A277">
        <f>IF(Sync!$T273="","",Sync!$T273)</f>
        <v/>
      </c>
      <c r="B277">
        <f>IF($A277="","",IF(ISNUMBER($A277),IF(AND($A277&gt;=10000101,$A277&lt;=99991231),INT($A277/10000),""),IFERROR(VALUE(TRIM(LEFT($A277,FIND("/",$A277)-1))),"")))</f>
        <v/>
      </c>
      <c r="C277">
        <f>IF(OR($A277="",$B277=""),"",IF(ISNUMBER($A277),INT(MOD($A277,10000)/100),IFERROR(VALUE(TRIM(LEFT(MID($A277,FIND("/",$A277)+1,20),FIND("/",MID($A277,FIND("/",$A277)+1,20))-1))),"")))</f>
        <v/>
      </c>
      <c r="D277">
        <f>IF(OR($A277="",$B277=""),"",IF(ISNUMBER($A277),MOD($A277,100),IFERROR(VALUE(TRIM(MID(MID($A277,FIND("/",$A277)+1,20),FIND("/",MID($A277,FIND("/",$A277)+1,20))+1,20))),"")))</f>
        <v/>
      </c>
      <c r="E277">
        <f>IF($A277="","",IF(OR($B277="",$C277="",$D277="",$B277&lt;1300,$B277&gt;1500,$C277&lt;1,$C277&gt;12,$D277&lt;1,$D277&gt;31),"نامعتبر",RIGHT("0000"&amp;$B277,4)&amp;"/"&amp;RIGHT("00"&amp;$C277,2)&amp;"/"&amp;RIGHT("00"&amp;$D277,2)))</f>
        <v/>
      </c>
      <c r="F277">
        <f>IF(OR($E277="",$E277="نامعتبر"),"",LEFT($E277,4)&amp;"/"&amp;MID($E277,6,2))</f>
        <v/>
      </c>
      <c r="G277">
        <f>IF(OR($E277="",$E277="نامعتبر",Sync!$X273=""),"",IF(AND(LEFT(UPPER(TRIM(Sync!$X273)),2)="SL",IFERROR(VLOOKUP(Sync!$W273,OpTbl,3,0),"")="فروش"),UPPER(TRIM(Sync!$X273)),""))</f>
        <v/>
      </c>
      <c r="H277">
        <f>IF($G277="","",IF(Sync!$W273="","",Sync!$W273))</f>
        <v/>
      </c>
      <c r="I277">
        <f>IF(OR($G277="",Sync!$Y273=""),"",Sync!$Y273)</f>
        <v/>
      </c>
      <c r="J277">
        <f>IF(OR($G277="",Sync!$Z273=""),"",Sync!$Z273)</f>
        <v/>
      </c>
      <c r="K277">
        <f>IF($G277="",0,IF(Sync!$AA273="",0,Sync!$AA273))</f>
        <v/>
      </c>
      <c r="L277">
        <f>IF($G277="",0,IF(Sync!$AB273="",0,Sync!$AB273))</f>
        <v/>
      </c>
      <c r="M277">
        <f>IF($G277="","",IF($H277="مرجوعی فروش",-1,1)*($K277-$L277*IFERROR(VLOOKUP("P01",ParamTbl,3,0),1.5)))</f>
        <v/>
      </c>
      <c r="N277">
        <f>IF($G277="",0,IF($H277="مرجوعی فروش",-1,1)*IF(Sync!$AC273="",0,Sync!$AC273))</f>
        <v/>
      </c>
      <c r="O277">
        <f>IF(OR($G277="",Sync!$V273=""),"",Sync!$V273)</f>
        <v/>
      </c>
      <c r="P277">
        <f>IF(OR($G277="",Sync!$AD273=""),"",Sync!$AD273)</f>
        <v/>
      </c>
      <c r="Q277">
        <f>IF($G277="","",IF(Sync!$U273="","0000",IF(AND(ISNUMBER(Sync!$U273),Sync!$U273&gt;=0,Sync!$U273&lt;1),RIGHT("00"&amp;HOUR(Sync!$U273),2)&amp;RIGHT("00"&amp;MINUTE(Sync!$U273),2),IFERROR(RIGHT("00"&amp;VALUE(LEFT(Sync!$U273,FIND(":",Sync!$U273)-1)),2)&amp;RIGHT("00"&amp;VALUE(MID(Sync!$U273,FIND(":",Sync!$U273)+1,2)),2),"0000"))))</f>
        <v/>
      </c>
    </row>
    <row r="278">
      <c r="A278">
        <f>IF(Sync!$T274="","",Sync!$T274)</f>
        <v/>
      </c>
      <c r="B278">
        <f>IF($A278="","",IF(ISNUMBER($A278),IF(AND($A278&gt;=10000101,$A278&lt;=99991231),INT($A278/10000),""),IFERROR(VALUE(TRIM(LEFT($A278,FIND("/",$A278)-1))),"")))</f>
        <v/>
      </c>
      <c r="C278">
        <f>IF(OR($A278="",$B278=""),"",IF(ISNUMBER($A278),INT(MOD($A278,10000)/100),IFERROR(VALUE(TRIM(LEFT(MID($A278,FIND("/",$A278)+1,20),FIND("/",MID($A278,FIND("/",$A278)+1,20))-1))),"")))</f>
        <v/>
      </c>
      <c r="D278">
        <f>IF(OR($A278="",$B278=""),"",IF(ISNUMBER($A278),MOD($A278,100),IFERROR(VALUE(TRIM(MID(MID($A278,FIND("/",$A278)+1,20),FIND("/",MID($A278,FIND("/",$A278)+1,20))+1,20))),"")))</f>
        <v/>
      </c>
      <c r="E278">
        <f>IF($A278="","",IF(OR($B278="",$C278="",$D278="",$B278&lt;1300,$B278&gt;1500,$C278&lt;1,$C278&gt;12,$D278&lt;1,$D278&gt;31),"نامعتبر",RIGHT("0000"&amp;$B278,4)&amp;"/"&amp;RIGHT("00"&amp;$C278,2)&amp;"/"&amp;RIGHT("00"&amp;$D278,2)))</f>
        <v/>
      </c>
      <c r="F278">
        <f>IF(OR($E278="",$E278="نامعتبر"),"",LEFT($E278,4)&amp;"/"&amp;MID($E278,6,2))</f>
        <v/>
      </c>
      <c r="G278">
        <f>IF(OR($E278="",$E278="نامعتبر",Sync!$X274=""),"",IF(AND(LEFT(UPPER(TRIM(Sync!$X274)),2)="SL",IFERROR(VLOOKUP(Sync!$W274,OpTbl,3,0),"")="فروش"),UPPER(TRIM(Sync!$X274)),""))</f>
        <v/>
      </c>
      <c r="H278">
        <f>IF($G278="","",IF(Sync!$W274="","",Sync!$W274))</f>
        <v/>
      </c>
      <c r="I278">
        <f>IF(OR($G278="",Sync!$Y274=""),"",Sync!$Y274)</f>
        <v/>
      </c>
      <c r="J278">
        <f>IF(OR($G278="",Sync!$Z274=""),"",Sync!$Z274)</f>
        <v/>
      </c>
      <c r="K278">
        <f>IF($G278="",0,IF(Sync!$AA274="",0,Sync!$AA274))</f>
        <v/>
      </c>
      <c r="L278">
        <f>IF($G278="",0,IF(Sync!$AB274="",0,Sync!$AB274))</f>
        <v/>
      </c>
      <c r="M278">
        <f>IF($G278="","",IF($H278="مرجوعی فروش",-1,1)*($K278-$L278*IFERROR(VLOOKUP("P01",ParamTbl,3,0),1.5)))</f>
        <v/>
      </c>
      <c r="N278">
        <f>IF($G278="",0,IF($H278="مرجوعی فروش",-1,1)*IF(Sync!$AC274="",0,Sync!$AC274))</f>
        <v/>
      </c>
      <c r="O278">
        <f>IF(OR($G278="",Sync!$V274=""),"",Sync!$V274)</f>
        <v/>
      </c>
      <c r="P278">
        <f>IF(OR($G278="",Sync!$AD274=""),"",Sync!$AD274)</f>
        <v/>
      </c>
      <c r="Q278">
        <f>IF($G278="","",IF(Sync!$U274="","0000",IF(AND(ISNUMBER(Sync!$U274),Sync!$U274&gt;=0,Sync!$U274&lt;1),RIGHT("00"&amp;HOUR(Sync!$U274),2)&amp;RIGHT("00"&amp;MINUTE(Sync!$U274),2),IFERROR(RIGHT("00"&amp;VALUE(LEFT(Sync!$U274,FIND(":",Sync!$U274)-1)),2)&amp;RIGHT("00"&amp;VALUE(MID(Sync!$U274,FIND(":",Sync!$U274)+1,2)),2),"0000"))))</f>
        <v/>
      </c>
    </row>
    <row r="279">
      <c r="A279">
        <f>IF(Sync!$T275="","",Sync!$T275)</f>
        <v/>
      </c>
      <c r="B279">
        <f>IF($A279="","",IF(ISNUMBER($A279),IF(AND($A279&gt;=10000101,$A279&lt;=99991231),INT($A279/10000),""),IFERROR(VALUE(TRIM(LEFT($A279,FIND("/",$A279)-1))),"")))</f>
        <v/>
      </c>
      <c r="C279">
        <f>IF(OR($A279="",$B279=""),"",IF(ISNUMBER($A279),INT(MOD($A279,10000)/100),IFERROR(VALUE(TRIM(LEFT(MID($A279,FIND("/",$A279)+1,20),FIND("/",MID($A279,FIND("/",$A279)+1,20))-1))),"")))</f>
        <v/>
      </c>
      <c r="D279">
        <f>IF(OR($A279="",$B279=""),"",IF(ISNUMBER($A279),MOD($A279,100),IFERROR(VALUE(TRIM(MID(MID($A279,FIND("/",$A279)+1,20),FIND("/",MID($A279,FIND("/",$A279)+1,20))+1,20))),"")))</f>
        <v/>
      </c>
      <c r="E279">
        <f>IF($A279="","",IF(OR($B279="",$C279="",$D279="",$B279&lt;1300,$B279&gt;1500,$C279&lt;1,$C279&gt;12,$D279&lt;1,$D279&gt;31),"نامعتبر",RIGHT("0000"&amp;$B279,4)&amp;"/"&amp;RIGHT("00"&amp;$C279,2)&amp;"/"&amp;RIGHT("00"&amp;$D279,2)))</f>
        <v/>
      </c>
      <c r="F279">
        <f>IF(OR($E279="",$E279="نامعتبر"),"",LEFT($E279,4)&amp;"/"&amp;MID($E279,6,2))</f>
        <v/>
      </c>
      <c r="G279">
        <f>IF(OR($E279="",$E279="نامعتبر",Sync!$X275=""),"",IF(AND(LEFT(UPPER(TRIM(Sync!$X275)),2)="SL",IFERROR(VLOOKUP(Sync!$W275,OpTbl,3,0),"")="فروش"),UPPER(TRIM(Sync!$X275)),""))</f>
        <v/>
      </c>
      <c r="H279">
        <f>IF($G279="","",IF(Sync!$W275="","",Sync!$W275))</f>
        <v/>
      </c>
      <c r="I279">
        <f>IF(OR($G279="",Sync!$Y275=""),"",Sync!$Y275)</f>
        <v/>
      </c>
      <c r="J279">
        <f>IF(OR($G279="",Sync!$Z275=""),"",Sync!$Z275)</f>
        <v/>
      </c>
      <c r="K279">
        <f>IF($G279="",0,IF(Sync!$AA275="",0,Sync!$AA275))</f>
        <v/>
      </c>
      <c r="L279">
        <f>IF($G279="",0,IF(Sync!$AB275="",0,Sync!$AB275))</f>
        <v/>
      </c>
      <c r="M279">
        <f>IF($G279="","",IF($H279="مرجوعی فروش",-1,1)*($K279-$L279*IFERROR(VLOOKUP("P01",ParamTbl,3,0),1.5)))</f>
        <v/>
      </c>
      <c r="N279">
        <f>IF($G279="",0,IF($H279="مرجوعی فروش",-1,1)*IF(Sync!$AC275="",0,Sync!$AC275))</f>
        <v/>
      </c>
      <c r="O279">
        <f>IF(OR($G279="",Sync!$V275=""),"",Sync!$V275)</f>
        <v/>
      </c>
      <c r="P279">
        <f>IF(OR($G279="",Sync!$AD275=""),"",Sync!$AD275)</f>
        <v/>
      </c>
      <c r="Q279">
        <f>IF($G279="","",IF(Sync!$U275="","0000",IF(AND(ISNUMBER(Sync!$U275),Sync!$U275&gt;=0,Sync!$U275&lt;1),RIGHT("00"&amp;HOUR(Sync!$U275),2)&amp;RIGHT("00"&amp;MINUTE(Sync!$U275),2),IFERROR(RIGHT("00"&amp;VALUE(LEFT(Sync!$U275,FIND(":",Sync!$U275)-1)),2)&amp;RIGHT("00"&amp;VALUE(MID(Sync!$U275,FIND(":",Sync!$U275)+1,2)),2),"0000"))))</f>
        <v/>
      </c>
    </row>
    <row r="280">
      <c r="A280">
        <f>IF(Sync!$T276="","",Sync!$T276)</f>
        <v/>
      </c>
      <c r="B280">
        <f>IF($A280="","",IF(ISNUMBER($A280),IF(AND($A280&gt;=10000101,$A280&lt;=99991231),INT($A280/10000),""),IFERROR(VALUE(TRIM(LEFT($A280,FIND("/",$A280)-1))),"")))</f>
        <v/>
      </c>
      <c r="C280">
        <f>IF(OR($A280="",$B280=""),"",IF(ISNUMBER($A280),INT(MOD($A280,10000)/100),IFERROR(VALUE(TRIM(LEFT(MID($A280,FIND("/",$A280)+1,20),FIND("/",MID($A280,FIND("/",$A280)+1,20))-1))),"")))</f>
        <v/>
      </c>
      <c r="D280">
        <f>IF(OR($A280="",$B280=""),"",IF(ISNUMBER($A280),MOD($A280,100),IFERROR(VALUE(TRIM(MID(MID($A280,FIND("/",$A280)+1,20),FIND("/",MID($A280,FIND("/",$A280)+1,20))+1,20))),"")))</f>
        <v/>
      </c>
      <c r="E280">
        <f>IF($A280="","",IF(OR($B280="",$C280="",$D280="",$B280&lt;1300,$B280&gt;1500,$C280&lt;1,$C280&gt;12,$D280&lt;1,$D280&gt;31),"نامعتبر",RIGHT("0000"&amp;$B280,4)&amp;"/"&amp;RIGHT("00"&amp;$C280,2)&amp;"/"&amp;RIGHT("00"&amp;$D280,2)))</f>
        <v/>
      </c>
      <c r="F280">
        <f>IF(OR($E280="",$E280="نامعتبر"),"",LEFT($E280,4)&amp;"/"&amp;MID($E280,6,2))</f>
        <v/>
      </c>
      <c r="G280">
        <f>IF(OR($E280="",$E280="نامعتبر",Sync!$X276=""),"",IF(AND(LEFT(UPPER(TRIM(Sync!$X276)),2)="SL",IFERROR(VLOOKUP(Sync!$W276,OpTbl,3,0),"")="فروش"),UPPER(TRIM(Sync!$X276)),""))</f>
        <v/>
      </c>
      <c r="H280">
        <f>IF($G280="","",IF(Sync!$W276="","",Sync!$W276))</f>
        <v/>
      </c>
      <c r="I280">
        <f>IF(OR($G280="",Sync!$Y276=""),"",Sync!$Y276)</f>
        <v/>
      </c>
      <c r="J280">
        <f>IF(OR($G280="",Sync!$Z276=""),"",Sync!$Z276)</f>
        <v/>
      </c>
      <c r="K280">
        <f>IF($G280="",0,IF(Sync!$AA276="",0,Sync!$AA276))</f>
        <v/>
      </c>
      <c r="L280">
        <f>IF($G280="",0,IF(Sync!$AB276="",0,Sync!$AB276))</f>
        <v/>
      </c>
      <c r="M280">
        <f>IF($G280="","",IF($H280="مرجوعی فروش",-1,1)*($K280-$L280*IFERROR(VLOOKUP("P01",ParamTbl,3,0),1.5)))</f>
        <v/>
      </c>
      <c r="N280">
        <f>IF($G280="",0,IF($H280="مرجوعی فروش",-1,1)*IF(Sync!$AC276="",0,Sync!$AC276))</f>
        <v/>
      </c>
      <c r="O280">
        <f>IF(OR($G280="",Sync!$V276=""),"",Sync!$V276)</f>
        <v/>
      </c>
      <c r="P280">
        <f>IF(OR($G280="",Sync!$AD276=""),"",Sync!$AD276)</f>
        <v/>
      </c>
      <c r="Q280">
        <f>IF($G280="","",IF(Sync!$U276="","0000",IF(AND(ISNUMBER(Sync!$U276),Sync!$U276&gt;=0,Sync!$U276&lt;1),RIGHT("00"&amp;HOUR(Sync!$U276),2)&amp;RIGHT("00"&amp;MINUTE(Sync!$U276),2),IFERROR(RIGHT("00"&amp;VALUE(LEFT(Sync!$U276,FIND(":",Sync!$U276)-1)),2)&amp;RIGHT("00"&amp;VALUE(MID(Sync!$U276,FIND(":",Sync!$U276)+1,2)),2),"0000"))))</f>
        <v/>
      </c>
    </row>
    <row r="281">
      <c r="A281">
        <f>IF(Sync!$T277="","",Sync!$T277)</f>
        <v/>
      </c>
      <c r="B281">
        <f>IF($A281="","",IF(ISNUMBER($A281),IF(AND($A281&gt;=10000101,$A281&lt;=99991231),INT($A281/10000),""),IFERROR(VALUE(TRIM(LEFT($A281,FIND("/",$A281)-1))),"")))</f>
        <v/>
      </c>
      <c r="C281">
        <f>IF(OR($A281="",$B281=""),"",IF(ISNUMBER($A281),INT(MOD($A281,10000)/100),IFERROR(VALUE(TRIM(LEFT(MID($A281,FIND("/",$A281)+1,20),FIND("/",MID($A281,FIND("/",$A281)+1,20))-1))),"")))</f>
        <v/>
      </c>
      <c r="D281">
        <f>IF(OR($A281="",$B281=""),"",IF(ISNUMBER($A281),MOD($A281,100),IFERROR(VALUE(TRIM(MID(MID($A281,FIND("/",$A281)+1,20),FIND("/",MID($A281,FIND("/",$A281)+1,20))+1,20))),"")))</f>
        <v/>
      </c>
      <c r="E281">
        <f>IF($A281="","",IF(OR($B281="",$C281="",$D281="",$B281&lt;1300,$B281&gt;1500,$C281&lt;1,$C281&gt;12,$D281&lt;1,$D281&gt;31),"نامعتبر",RIGHT("0000"&amp;$B281,4)&amp;"/"&amp;RIGHT("00"&amp;$C281,2)&amp;"/"&amp;RIGHT("00"&amp;$D281,2)))</f>
        <v/>
      </c>
      <c r="F281">
        <f>IF(OR($E281="",$E281="نامعتبر"),"",LEFT($E281,4)&amp;"/"&amp;MID($E281,6,2))</f>
        <v/>
      </c>
      <c r="G281">
        <f>IF(OR($E281="",$E281="نامعتبر",Sync!$X277=""),"",IF(AND(LEFT(UPPER(TRIM(Sync!$X277)),2)="SL",IFERROR(VLOOKUP(Sync!$W277,OpTbl,3,0),"")="فروش"),UPPER(TRIM(Sync!$X277)),""))</f>
        <v/>
      </c>
      <c r="H281">
        <f>IF($G281="","",IF(Sync!$W277="","",Sync!$W277))</f>
        <v/>
      </c>
      <c r="I281">
        <f>IF(OR($G281="",Sync!$Y277=""),"",Sync!$Y277)</f>
        <v/>
      </c>
      <c r="J281">
        <f>IF(OR($G281="",Sync!$Z277=""),"",Sync!$Z277)</f>
        <v/>
      </c>
      <c r="K281">
        <f>IF($G281="",0,IF(Sync!$AA277="",0,Sync!$AA277))</f>
        <v/>
      </c>
      <c r="L281">
        <f>IF($G281="",0,IF(Sync!$AB277="",0,Sync!$AB277))</f>
        <v/>
      </c>
      <c r="M281">
        <f>IF($G281="","",IF($H281="مرجوعی فروش",-1,1)*($K281-$L281*IFERROR(VLOOKUP("P01",ParamTbl,3,0),1.5)))</f>
        <v/>
      </c>
      <c r="N281">
        <f>IF($G281="",0,IF($H281="مرجوعی فروش",-1,1)*IF(Sync!$AC277="",0,Sync!$AC277))</f>
        <v/>
      </c>
      <c r="O281">
        <f>IF(OR($G281="",Sync!$V277=""),"",Sync!$V277)</f>
        <v/>
      </c>
      <c r="P281">
        <f>IF(OR($G281="",Sync!$AD277=""),"",Sync!$AD277)</f>
        <v/>
      </c>
      <c r="Q281">
        <f>IF($G281="","",IF(Sync!$U277="","0000",IF(AND(ISNUMBER(Sync!$U277),Sync!$U277&gt;=0,Sync!$U277&lt;1),RIGHT("00"&amp;HOUR(Sync!$U277),2)&amp;RIGHT("00"&amp;MINUTE(Sync!$U277),2),IFERROR(RIGHT("00"&amp;VALUE(LEFT(Sync!$U277,FIND(":",Sync!$U277)-1)),2)&amp;RIGHT("00"&amp;VALUE(MID(Sync!$U277,FIND(":",Sync!$U277)+1,2)),2),"0000"))))</f>
        <v/>
      </c>
    </row>
    <row r="282">
      <c r="A282">
        <f>IF(Sync!$T278="","",Sync!$T278)</f>
        <v/>
      </c>
      <c r="B282">
        <f>IF($A282="","",IF(ISNUMBER($A282),IF(AND($A282&gt;=10000101,$A282&lt;=99991231),INT($A282/10000),""),IFERROR(VALUE(TRIM(LEFT($A282,FIND("/",$A282)-1))),"")))</f>
        <v/>
      </c>
      <c r="C282">
        <f>IF(OR($A282="",$B282=""),"",IF(ISNUMBER($A282),INT(MOD($A282,10000)/100),IFERROR(VALUE(TRIM(LEFT(MID($A282,FIND("/",$A282)+1,20),FIND("/",MID($A282,FIND("/",$A282)+1,20))-1))),"")))</f>
        <v/>
      </c>
      <c r="D282">
        <f>IF(OR($A282="",$B282=""),"",IF(ISNUMBER($A282),MOD($A282,100),IFERROR(VALUE(TRIM(MID(MID($A282,FIND("/",$A282)+1,20),FIND("/",MID($A282,FIND("/",$A282)+1,20))+1,20))),"")))</f>
        <v/>
      </c>
      <c r="E282">
        <f>IF($A282="","",IF(OR($B282="",$C282="",$D282="",$B282&lt;1300,$B282&gt;1500,$C282&lt;1,$C282&gt;12,$D282&lt;1,$D282&gt;31),"نامعتبر",RIGHT("0000"&amp;$B282,4)&amp;"/"&amp;RIGHT("00"&amp;$C282,2)&amp;"/"&amp;RIGHT("00"&amp;$D282,2)))</f>
        <v/>
      </c>
      <c r="F282">
        <f>IF(OR($E282="",$E282="نامعتبر"),"",LEFT($E282,4)&amp;"/"&amp;MID($E282,6,2))</f>
        <v/>
      </c>
      <c r="G282">
        <f>IF(OR($E282="",$E282="نامعتبر",Sync!$X278=""),"",IF(AND(LEFT(UPPER(TRIM(Sync!$X278)),2)="SL",IFERROR(VLOOKUP(Sync!$W278,OpTbl,3,0),"")="فروش"),UPPER(TRIM(Sync!$X278)),""))</f>
        <v/>
      </c>
      <c r="H282">
        <f>IF($G282="","",IF(Sync!$W278="","",Sync!$W278))</f>
        <v/>
      </c>
      <c r="I282">
        <f>IF(OR($G282="",Sync!$Y278=""),"",Sync!$Y278)</f>
        <v/>
      </c>
      <c r="J282">
        <f>IF(OR($G282="",Sync!$Z278=""),"",Sync!$Z278)</f>
        <v/>
      </c>
      <c r="K282">
        <f>IF($G282="",0,IF(Sync!$AA278="",0,Sync!$AA278))</f>
        <v/>
      </c>
      <c r="L282">
        <f>IF($G282="",0,IF(Sync!$AB278="",0,Sync!$AB278))</f>
        <v/>
      </c>
      <c r="M282">
        <f>IF($G282="","",IF($H282="مرجوعی فروش",-1,1)*($K282-$L282*IFERROR(VLOOKUP("P01",ParamTbl,3,0),1.5)))</f>
        <v/>
      </c>
      <c r="N282">
        <f>IF($G282="",0,IF($H282="مرجوعی فروش",-1,1)*IF(Sync!$AC278="",0,Sync!$AC278))</f>
        <v/>
      </c>
      <c r="O282">
        <f>IF(OR($G282="",Sync!$V278=""),"",Sync!$V278)</f>
        <v/>
      </c>
      <c r="P282">
        <f>IF(OR($G282="",Sync!$AD278=""),"",Sync!$AD278)</f>
        <v/>
      </c>
      <c r="Q282">
        <f>IF($G282="","",IF(Sync!$U278="","0000",IF(AND(ISNUMBER(Sync!$U278),Sync!$U278&gt;=0,Sync!$U278&lt;1),RIGHT("00"&amp;HOUR(Sync!$U278),2)&amp;RIGHT("00"&amp;MINUTE(Sync!$U278),2),IFERROR(RIGHT("00"&amp;VALUE(LEFT(Sync!$U278,FIND(":",Sync!$U278)-1)),2)&amp;RIGHT("00"&amp;VALUE(MID(Sync!$U278,FIND(":",Sync!$U278)+1,2)),2),"0000"))))</f>
        <v/>
      </c>
    </row>
    <row r="283">
      <c r="A283">
        <f>IF(Sync!$T279="","",Sync!$T279)</f>
        <v/>
      </c>
      <c r="B283">
        <f>IF($A283="","",IF(ISNUMBER($A283),IF(AND($A283&gt;=10000101,$A283&lt;=99991231),INT($A283/10000),""),IFERROR(VALUE(TRIM(LEFT($A283,FIND("/",$A283)-1))),"")))</f>
        <v/>
      </c>
      <c r="C283">
        <f>IF(OR($A283="",$B283=""),"",IF(ISNUMBER($A283),INT(MOD($A283,10000)/100),IFERROR(VALUE(TRIM(LEFT(MID($A283,FIND("/",$A283)+1,20),FIND("/",MID($A283,FIND("/",$A283)+1,20))-1))),"")))</f>
        <v/>
      </c>
      <c r="D283">
        <f>IF(OR($A283="",$B283=""),"",IF(ISNUMBER($A283),MOD($A283,100),IFERROR(VALUE(TRIM(MID(MID($A283,FIND("/",$A283)+1,20),FIND("/",MID($A283,FIND("/",$A283)+1,20))+1,20))),"")))</f>
        <v/>
      </c>
      <c r="E283">
        <f>IF($A283="","",IF(OR($B283="",$C283="",$D283="",$B283&lt;1300,$B283&gt;1500,$C283&lt;1,$C283&gt;12,$D283&lt;1,$D283&gt;31),"نامعتبر",RIGHT("0000"&amp;$B283,4)&amp;"/"&amp;RIGHT("00"&amp;$C283,2)&amp;"/"&amp;RIGHT("00"&amp;$D283,2)))</f>
        <v/>
      </c>
      <c r="F283">
        <f>IF(OR($E283="",$E283="نامعتبر"),"",LEFT($E283,4)&amp;"/"&amp;MID($E283,6,2))</f>
        <v/>
      </c>
      <c r="G283">
        <f>IF(OR($E283="",$E283="نامعتبر",Sync!$X279=""),"",IF(AND(LEFT(UPPER(TRIM(Sync!$X279)),2)="SL",IFERROR(VLOOKUP(Sync!$W279,OpTbl,3,0),"")="فروش"),UPPER(TRIM(Sync!$X279)),""))</f>
        <v/>
      </c>
      <c r="H283">
        <f>IF($G283="","",IF(Sync!$W279="","",Sync!$W279))</f>
        <v/>
      </c>
      <c r="I283">
        <f>IF(OR($G283="",Sync!$Y279=""),"",Sync!$Y279)</f>
        <v/>
      </c>
      <c r="J283">
        <f>IF(OR($G283="",Sync!$Z279=""),"",Sync!$Z279)</f>
        <v/>
      </c>
      <c r="K283">
        <f>IF($G283="",0,IF(Sync!$AA279="",0,Sync!$AA279))</f>
        <v/>
      </c>
      <c r="L283">
        <f>IF($G283="",0,IF(Sync!$AB279="",0,Sync!$AB279))</f>
        <v/>
      </c>
      <c r="M283">
        <f>IF($G283="","",IF($H283="مرجوعی فروش",-1,1)*($K283-$L283*IFERROR(VLOOKUP("P01",ParamTbl,3,0),1.5)))</f>
        <v/>
      </c>
      <c r="N283">
        <f>IF($G283="",0,IF($H283="مرجوعی فروش",-1,1)*IF(Sync!$AC279="",0,Sync!$AC279))</f>
        <v/>
      </c>
      <c r="O283">
        <f>IF(OR($G283="",Sync!$V279=""),"",Sync!$V279)</f>
        <v/>
      </c>
      <c r="P283">
        <f>IF(OR($G283="",Sync!$AD279=""),"",Sync!$AD279)</f>
        <v/>
      </c>
      <c r="Q283">
        <f>IF($G283="","",IF(Sync!$U279="","0000",IF(AND(ISNUMBER(Sync!$U279),Sync!$U279&gt;=0,Sync!$U279&lt;1),RIGHT("00"&amp;HOUR(Sync!$U279),2)&amp;RIGHT("00"&amp;MINUTE(Sync!$U279),2),IFERROR(RIGHT("00"&amp;VALUE(LEFT(Sync!$U279,FIND(":",Sync!$U279)-1)),2)&amp;RIGHT("00"&amp;VALUE(MID(Sync!$U279,FIND(":",Sync!$U279)+1,2)),2),"0000"))))</f>
        <v/>
      </c>
    </row>
    <row r="284">
      <c r="A284">
        <f>IF(Sync!$T280="","",Sync!$T280)</f>
        <v/>
      </c>
      <c r="B284">
        <f>IF($A284="","",IF(ISNUMBER($A284),IF(AND($A284&gt;=10000101,$A284&lt;=99991231),INT($A284/10000),""),IFERROR(VALUE(TRIM(LEFT($A284,FIND("/",$A284)-1))),"")))</f>
        <v/>
      </c>
      <c r="C284">
        <f>IF(OR($A284="",$B284=""),"",IF(ISNUMBER($A284),INT(MOD($A284,10000)/100),IFERROR(VALUE(TRIM(LEFT(MID($A284,FIND("/",$A284)+1,20),FIND("/",MID($A284,FIND("/",$A284)+1,20))-1))),"")))</f>
        <v/>
      </c>
      <c r="D284">
        <f>IF(OR($A284="",$B284=""),"",IF(ISNUMBER($A284),MOD($A284,100),IFERROR(VALUE(TRIM(MID(MID($A284,FIND("/",$A284)+1,20),FIND("/",MID($A284,FIND("/",$A284)+1,20))+1,20))),"")))</f>
        <v/>
      </c>
      <c r="E284">
        <f>IF($A284="","",IF(OR($B284="",$C284="",$D284="",$B284&lt;1300,$B284&gt;1500,$C284&lt;1,$C284&gt;12,$D284&lt;1,$D284&gt;31),"نامعتبر",RIGHT("0000"&amp;$B284,4)&amp;"/"&amp;RIGHT("00"&amp;$C284,2)&amp;"/"&amp;RIGHT("00"&amp;$D284,2)))</f>
        <v/>
      </c>
      <c r="F284">
        <f>IF(OR($E284="",$E284="نامعتبر"),"",LEFT($E284,4)&amp;"/"&amp;MID($E284,6,2))</f>
        <v/>
      </c>
      <c r="G284">
        <f>IF(OR($E284="",$E284="نامعتبر",Sync!$X280=""),"",IF(AND(LEFT(UPPER(TRIM(Sync!$X280)),2)="SL",IFERROR(VLOOKUP(Sync!$W280,OpTbl,3,0),"")="فروش"),UPPER(TRIM(Sync!$X280)),""))</f>
        <v/>
      </c>
      <c r="H284">
        <f>IF($G284="","",IF(Sync!$W280="","",Sync!$W280))</f>
        <v/>
      </c>
      <c r="I284">
        <f>IF(OR($G284="",Sync!$Y280=""),"",Sync!$Y280)</f>
        <v/>
      </c>
      <c r="J284">
        <f>IF(OR($G284="",Sync!$Z280=""),"",Sync!$Z280)</f>
        <v/>
      </c>
      <c r="K284">
        <f>IF($G284="",0,IF(Sync!$AA280="",0,Sync!$AA280))</f>
        <v/>
      </c>
      <c r="L284">
        <f>IF($G284="",0,IF(Sync!$AB280="",0,Sync!$AB280))</f>
        <v/>
      </c>
      <c r="M284">
        <f>IF($G284="","",IF($H284="مرجوعی فروش",-1,1)*($K284-$L284*IFERROR(VLOOKUP("P01",ParamTbl,3,0),1.5)))</f>
        <v/>
      </c>
      <c r="N284">
        <f>IF($G284="",0,IF($H284="مرجوعی فروش",-1,1)*IF(Sync!$AC280="",0,Sync!$AC280))</f>
        <v/>
      </c>
      <c r="O284">
        <f>IF(OR($G284="",Sync!$V280=""),"",Sync!$V280)</f>
        <v/>
      </c>
      <c r="P284">
        <f>IF(OR($G284="",Sync!$AD280=""),"",Sync!$AD280)</f>
        <v/>
      </c>
      <c r="Q284">
        <f>IF($G284="","",IF(Sync!$U280="","0000",IF(AND(ISNUMBER(Sync!$U280),Sync!$U280&gt;=0,Sync!$U280&lt;1),RIGHT("00"&amp;HOUR(Sync!$U280),2)&amp;RIGHT("00"&amp;MINUTE(Sync!$U280),2),IFERROR(RIGHT("00"&amp;VALUE(LEFT(Sync!$U280,FIND(":",Sync!$U280)-1)),2)&amp;RIGHT("00"&amp;VALUE(MID(Sync!$U280,FIND(":",Sync!$U280)+1,2)),2),"0000"))))</f>
        <v/>
      </c>
    </row>
    <row r="285">
      <c r="A285">
        <f>IF(Sync!$T281="","",Sync!$T281)</f>
        <v/>
      </c>
      <c r="B285">
        <f>IF($A285="","",IF(ISNUMBER($A285),IF(AND($A285&gt;=10000101,$A285&lt;=99991231),INT($A285/10000),""),IFERROR(VALUE(TRIM(LEFT($A285,FIND("/",$A285)-1))),"")))</f>
        <v/>
      </c>
      <c r="C285">
        <f>IF(OR($A285="",$B285=""),"",IF(ISNUMBER($A285),INT(MOD($A285,10000)/100),IFERROR(VALUE(TRIM(LEFT(MID($A285,FIND("/",$A285)+1,20),FIND("/",MID($A285,FIND("/",$A285)+1,20))-1))),"")))</f>
        <v/>
      </c>
      <c r="D285">
        <f>IF(OR($A285="",$B285=""),"",IF(ISNUMBER($A285),MOD($A285,100),IFERROR(VALUE(TRIM(MID(MID($A285,FIND("/",$A285)+1,20),FIND("/",MID($A285,FIND("/",$A285)+1,20))+1,20))),"")))</f>
        <v/>
      </c>
      <c r="E285">
        <f>IF($A285="","",IF(OR($B285="",$C285="",$D285="",$B285&lt;1300,$B285&gt;1500,$C285&lt;1,$C285&gt;12,$D285&lt;1,$D285&gt;31),"نامعتبر",RIGHT("0000"&amp;$B285,4)&amp;"/"&amp;RIGHT("00"&amp;$C285,2)&amp;"/"&amp;RIGHT("00"&amp;$D285,2)))</f>
        <v/>
      </c>
      <c r="F285">
        <f>IF(OR($E285="",$E285="نامعتبر"),"",LEFT($E285,4)&amp;"/"&amp;MID($E285,6,2))</f>
        <v/>
      </c>
      <c r="G285">
        <f>IF(OR($E285="",$E285="نامعتبر",Sync!$X281=""),"",IF(AND(LEFT(UPPER(TRIM(Sync!$X281)),2)="SL",IFERROR(VLOOKUP(Sync!$W281,OpTbl,3,0),"")="فروش"),UPPER(TRIM(Sync!$X281)),""))</f>
        <v/>
      </c>
      <c r="H285">
        <f>IF($G285="","",IF(Sync!$W281="","",Sync!$W281))</f>
        <v/>
      </c>
      <c r="I285">
        <f>IF(OR($G285="",Sync!$Y281=""),"",Sync!$Y281)</f>
        <v/>
      </c>
      <c r="J285">
        <f>IF(OR($G285="",Sync!$Z281=""),"",Sync!$Z281)</f>
        <v/>
      </c>
      <c r="K285">
        <f>IF($G285="",0,IF(Sync!$AA281="",0,Sync!$AA281))</f>
        <v/>
      </c>
      <c r="L285">
        <f>IF($G285="",0,IF(Sync!$AB281="",0,Sync!$AB281))</f>
        <v/>
      </c>
      <c r="M285">
        <f>IF($G285="","",IF($H285="مرجوعی فروش",-1,1)*($K285-$L285*IFERROR(VLOOKUP("P01",ParamTbl,3,0),1.5)))</f>
        <v/>
      </c>
      <c r="N285">
        <f>IF($G285="",0,IF($H285="مرجوعی فروش",-1,1)*IF(Sync!$AC281="",0,Sync!$AC281))</f>
        <v/>
      </c>
      <c r="O285">
        <f>IF(OR($G285="",Sync!$V281=""),"",Sync!$V281)</f>
        <v/>
      </c>
      <c r="P285">
        <f>IF(OR($G285="",Sync!$AD281=""),"",Sync!$AD281)</f>
        <v/>
      </c>
      <c r="Q285">
        <f>IF($G285="","",IF(Sync!$U281="","0000",IF(AND(ISNUMBER(Sync!$U281),Sync!$U281&gt;=0,Sync!$U281&lt;1),RIGHT("00"&amp;HOUR(Sync!$U281),2)&amp;RIGHT("00"&amp;MINUTE(Sync!$U281),2),IFERROR(RIGHT("00"&amp;VALUE(LEFT(Sync!$U281,FIND(":",Sync!$U281)-1)),2)&amp;RIGHT("00"&amp;VALUE(MID(Sync!$U281,FIND(":",Sync!$U281)+1,2)),2),"0000"))))</f>
        <v/>
      </c>
    </row>
    <row r="286">
      <c r="A286">
        <f>IF(Sync!$T282="","",Sync!$T282)</f>
        <v/>
      </c>
      <c r="B286">
        <f>IF($A286="","",IF(ISNUMBER($A286),IF(AND($A286&gt;=10000101,$A286&lt;=99991231),INT($A286/10000),""),IFERROR(VALUE(TRIM(LEFT($A286,FIND("/",$A286)-1))),"")))</f>
        <v/>
      </c>
      <c r="C286">
        <f>IF(OR($A286="",$B286=""),"",IF(ISNUMBER($A286),INT(MOD($A286,10000)/100),IFERROR(VALUE(TRIM(LEFT(MID($A286,FIND("/",$A286)+1,20),FIND("/",MID($A286,FIND("/",$A286)+1,20))-1))),"")))</f>
        <v/>
      </c>
      <c r="D286">
        <f>IF(OR($A286="",$B286=""),"",IF(ISNUMBER($A286),MOD($A286,100),IFERROR(VALUE(TRIM(MID(MID($A286,FIND("/",$A286)+1,20),FIND("/",MID($A286,FIND("/",$A286)+1,20))+1,20))),"")))</f>
        <v/>
      </c>
      <c r="E286">
        <f>IF($A286="","",IF(OR($B286="",$C286="",$D286="",$B286&lt;1300,$B286&gt;1500,$C286&lt;1,$C286&gt;12,$D286&lt;1,$D286&gt;31),"نامعتبر",RIGHT("0000"&amp;$B286,4)&amp;"/"&amp;RIGHT("00"&amp;$C286,2)&amp;"/"&amp;RIGHT("00"&amp;$D286,2)))</f>
        <v/>
      </c>
      <c r="F286">
        <f>IF(OR($E286="",$E286="نامعتبر"),"",LEFT($E286,4)&amp;"/"&amp;MID($E286,6,2))</f>
        <v/>
      </c>
      <c r="G286">
        <f>IF(OR($E286="",$E286="نامعتبر",Sync!$X282=""),"",IF(AND(LEFT(UPPER(TRIM(Sync!$X282)),2)="SL",IFERROR(VLOOKUP(Sync!$W282,OpTbl,3,0),"")="فروش"),UPPER(TRIM(Sync!$X282)),""))</f>
        <v/>
      </c>
      <c r="H286">
        <f>IF($G286="","",IF(Sync!$W282="","",Sync!$W282))</f>
        <v/>
      </c>
      <c r="I286">
        <f>IF(OR($G286="",Sync!$Y282=""),"",Sync!$Y282)</f>
        <v/>
      </c>
      <c r="J286">
        <f>IF(OR($G286="",Sync!$Z282=""),"",Sync!$Z282)</f>
        <v/>
      </c>
      <c r="K286">
        <f>IF($G286="",0,IF(Sync!$AA282="",0,Sync!$AA282))</f>
        <v/>
      </c>
      <c r="L286">
        <f>IF($G286="",0,IF(Sync!$AB282="",0,Sync!$AB282))</f>
        <v/>
      </c>
      <c r="M286">
        <f>IF($G286="","",IF($H286="مرجوعی فروش",-1,1)*($K286-$L286*IFERROR(VLOOKUP("P01",ParamTbl,3,0),1.5)))</f>
        <v/>
      </c>
      <c r="N286">
        <f>IF($G286="",0,IF($H286="مرجوعی فروش",-1,1)*IF(Sync!$AC282="",0,Sync!$AC282))</f>
        <v/>
      </c>
      <c r="O286">
        <f>IF(OR($G286="",Sync!$V282=""),"",Sync!$V282)</f>
        <v/>
      </c>
      <c r="P286">
        <f>IF(OR($G286="",Sync!$AD282=""),"",Sync!$AD282)</f>
        <v/>
      </c>
      <c r="Q286">
        <f>IF($G286="","",IF(Sync!$U282="","0000",IF(AND(ISNUMBER(Sync!$U282),Sync!$U282&gt;=0,Sync!$U282&lt;1),RIGHT("00"&amp;HOUR(Sync!$U282),2)&amp;RIGHT("00"&amp;MINUTE(Sync!$U282),2),IFERROR(RIGHT("00"&amp;VALUE(LEFT(Sync!$U282,FIND(":",Sync!$U282)-1)),2)&amp;RIGHT("00"&amp;VALUE(MID(Sync!$U282,FIND(":",Sync!$U282)+1,2)),2),"0000"))))</f>
        <v/>
      </c>
    </row>
    <row r="287">
      <c r="A287">
        <f>IF(Sync!$T283="","",Sync!$T283)</f>
        <v/>
      </c>
      <c r="B287">
        <f>IF($A287="","",IF(ISNUMBER($A287),IF(AND($A287&gt;=10000101,$A287&lt;=99991231),INT($A287/10000),""),IFERROR(VALUE(TRIM(LEFT($A287,FIND("/",$A287)-1))),"")))</f>
        <v/>
      </c>
      <c r="C287">
        <f>IF(OR($A287="",$B287=""),"",IF(ISNUMBER($A287),INT(MOD($A287,10000)/100),IFERROR(VALUE(TRIM(LEFT(MID($A287,FIND("/",$A287)+1,20),FIND("/",MID($A287,FIND("/",$A287)+1,20))-1))),"")))</f>
        <v/>
      </c>
      <c r="D287">
        <f>IF(OR($A287="",$B287=""),"",IF(ISNUMBER($A287),MOD($A287,100),IFERROR(VALUE(TRIM(MID(MID($A287,FIND("/",$A287)+1,20),FIND("/",MID($A287,FIND("/",$A287)+1,20))+1,20))),"")))</f>
        <v/>
      </c>
      <c r="E287">
        <f>IF($A287="","",IF(OR($B287="",$C287="",$D287="",$B287&lt;1300,$B287&gt;1500,$C287&lt;1,$C287&gt;12,$D287&lt;1,$D287&gt;31),"نامعتبر",RIGHT("0000"&amp;$B287,4)&amp;"/"&amp;RIGHT("00"&amp;$C287,2)&amp;"/"&amp;RIGHT("00"&amp;$D287,2)))</f>
        <v/>
      </c>
      <c r="F287">
        <f>IF(OR($E287="",$E287="نامعتبر"),"",LEFT($E287,4)&amp;"/"&amp;MID($E287,6,2))</f>
        <v/>
      </c>
      <c r="G287">
        <f>IF(OR($E287="",$E287="نامعتبر",Sync!$X283=""),"",IF(AND(LEFT(UPPER(TRIM(Sync!$X283)),2)="SL",IFERROR(VLOOKUP(Sync!$W283,OpTbl,3,0),"")="فروش"),UPPER(TRIM(Sync!$X283)),""))</f>
        <v/>
      </c>
      <c r="H287">
        <f>IF($G287="","",IF(Sync!$W283="","",Sync!$W283))</f>
        <v/>
      </c>
      <c r="I287">
        <f>IF(OR($G287="",Sync!$Y283=""),"",Sync!$Y283)</f>
        <v/>
      </c>
      <c r="J287">
        <f>IF(OR($G287="",Sync!$Z283=""),"",Sync!$Z283)</f>
        <v/>
      </c>
      <c r="K287">
        <f>IF($G287="",0,IF(Sync!$AA283="",0,Sync!$AA283))</f>
        <v/>
      </c>
      <c r="L287">
        <f>IF($G287="",0,IF(Sync!$AB283="",0,Sync!$AB283))</f>
        <v/>
      </c>
      <c r="M287">
        <f>IF($G287="","",IF($H287="مرجوعی فروش",-1,1)*($K287-$L287*IFERROR(VLOOKUP("P01",ParamTbl,3,0),1.5)))</f>
        <v/>
      </c>
      <c r="N287">
        <f>IF($G287="",0,IF($H287="مرجوعی فروش",-1,1)*IF(Sync!$AC283="",0,Sync!$AC283))</f>
        <v/>
      </c>
      <c r="O287">
        <f>IF(OR($G287="",Sync!$V283=""),"",Sync!$V283)</f>
        <v/>
      </c>
      <c r="P287">
        <f>IF(OR($G287="",Sync!$AD283=""),"",Sync!$AD283)</f>
        <v/>
      </c>
      <c r="Q287">
        <f>IF($G287="","",IF(Sync!$U283="","0000",IF(AND(ISNUMBER(Sync!$U283),Sync!$U283&gt;=0,Sync!$U283&lt;1),RIGHT("00"&amp;HOUR(Sync!$U283),2)&amp;RIGHT("00"&amp;MINUTE(Sync!$U283),2),IFERROR(RIGHT("00"&amp;VALUE(LEFT(Sync!$U283,FIND(":",Sync!$U283)-1)),2)&amp;RIGHT("00"&amp;VALUE(MID(Sync!$U283,FIND(":",Sync!$U283)+1,2)),2),"0000"))))</f>
        <v/>
      </c>
    </row>
    <row r="288">
      <c r="A288">
        <f>IF(Sync!$T284="","",Sync!$T284)</f>
        <v/>
      </c>
      <c r="B288">
        <f>IF($A288="","",IF(ISNUMBER($A288),IF(AND($A288&gt;=10000101,$A288&lt;=99991231),INT($A288/10000),""),IFERROR(VALUE(TRIM(LEFT($A288,FIND("/",$A288)-1))),"")))</f>
        <v/>
      </c>
      <c r="C288">
        <f>IF(OR($A288="",$B288=""),"",IF(ISNUMBER($A288),INT(MOD($A288,10000)/100),IFERROR(VALUE(TRIM(LEFT(MID($A288,FIND("/",$A288)+1,20),FIND("/",MID($A288,FIND("/",$A288)+1,20))-1))),"")))</f>
        <v/>
      </c>
      <c r="D288">
        <f>IF(OR($A288="",$B288=""),"",IF(ISNUMBER($A288),MOD($A288,100),IFERROR(VALUE(TRIM(MID(MID($A288,FIND("/",$A288)+1,20),FIND("/",MID($A288,FIND("/",$A288)+1,20))+1,20))),"")))</f>
        <v/>
      </c>
      <c r="E288">
        <f>IF($A288="","",IF(OR($B288="",$C288="",$D288="",$B288&lt;1300,$B288&gt;1500,$C288&lt;1,$C288&gt;12,$D288&lt;1,$D288&gt;31),"نامعتبر",RIGHT("0000"&amp;$B288,4)&amp;"/"&amp;RIGHT("00"&amp;$C288,2)&amp;"/"&amp;RIGHT("00"&amp;$D288,2)))</f>
        <v/>
      </c>
      <c r="F288">
        <f>IF(OR($E288="",$E288="نامعتبر"),"",LEFT($E288,4)&amp;"/"&amp;MID($E288,6,2))</f>
        <v/>
      </c>
      <c r="G288">
        <f>IF(OR($E288="",$E288="نامعتبر",Sync!$X284=""),"",IF(AND(LEFT(UPPER(TRIM(Sync!$X284)),2)="SL",IFERROR(VLOOKUP(Sync!$W284,OpTbl,3,0),"")="فروش"),UPPER(TRIM(Sync!$X284)),""))</f>
        <v/>
      </c>
      <c r="H288">
        <f>IF($G288="","",IF(Sync!$W284="","",Sync!$W284))</f>
        <v/>
      </c>
      <c r="I288">
        <f>IF(OR($G288="",Sync!$Y284=""),"",Sync!$Y284)</f>
        <v/>
      </c>
      <c r="J288">
        <f>IF(OR($G288="",Sync!$Z284=""),"",Sync!$Z284)</f>
        <v/>
      </c>
      <c r="K288">
        <f>IF($G288="",0,IF(Sync!$AA284="",0,Sync!$AA284))</f>
        <v/>
      </c>
      <c r="L288">
        <f>IF($G288="",0,IF(Sync!$AB284="",0,Sync!$AB284))</f>
        <v/>
      </c>
      <c r="M288">
        <f>IF($G288="","",IF($H288="مرجوعی فروش",-1,1)*($K288-$L288*IFERROR(VLOOKUP("P01",ParamTbl,3,0),1.5)))</f>
        <v/>
      </c>
      <c r="N288">
        <f>IF($G288="",0,IF($H288="مرجوعی فروش",-1,1)*IF(Sync!$AC284="",0,Sync!$AC284))</f>
        <v/>
      </c>
      <c r="O288">
        <f>IF(OR($G288="",Sync!$V284=""),"",Sync!$V284)</f>
        <v/>
      </c>
      <c r="P288">
        <f>IF(OR($G288="",Sync!$AD284=""),"",Sync!$AD284)</f>
        <v/>
      </c>
      <c r="Q288">
        <f>IF($G288="","",IF(Sync!$U284="","0000",IF(AND(ISNUMBER(Sync!$U284),Sync!$U284&gt;=0,Sync!$U284&lt;1),RIGHT("00"&amp;HOUR(Sync!$U284),2)&amp;RIGHT("00"&amp;MINUTE(Sync!$U284),2),IFERROR(RIGHT("00"&amp;VALUE(LEFT(Sync!$U284,FIND(":",Sync!$U284)-1)),2)&amp;RIGHT("00"&amp;VALUE(MID(Sync!$U284,FIND(":",Sync!$U284)+1,2)),2),"0000"))))</f>
        <v/>
      </c>
    </row>
    <row r="289">
      <c r="A289">
        <f>IF(Sync!$T285="","",Sync!$T285)</f>
        <v/>
      </c>
      <c r="B289">
        <f>IF($A289="","",IF(ISNUMBER($A289),IF(AND($A289&gt;=10000101,$A289&lt;=99991231),INT($A289/10000),""),IFERROR(VALUE(TRIM(LEFT($A289,FIND("/",$A289)-1))),"")))</f>
        <v/>
      </c>
      <c r="C289">
        <f>IF(OR($A289="",$B289=""),"",IF(ISNUMBER($A289),INT(MOD($A289,10000)/100),IFERROR(VALUE(TRIM(LEFT(MID($A289,FIND("/",$A289)+1,20),FIND("/",MID($A289,FIND("/",$A289)+1,20))-1))),"")))</f>
        <v/>
      </c>
      <c r="D289">
        <f>IF(OR($A289="",$B289=""),"",IF(ISNUMBER($A289),MOD($A289,100),IFERROR(VALUE(TRIM(MID(MID($A289,FIND("/",$A289)+1,20),FIND("/",MID($A289,FIND("/",$A289)+1,20))+1,20))),"")))</f>
        <v/>
      </c>
      <c r="E289">
        <f>IF($A289="","",IF(OR($B289="",$C289="",$D289="",$B289&lt;1300,$B289&gt;1500,$C289&lt;1,$C289&gt;12,$D289&lt;1,$D289&gt;31),"نامعتبر",RIGHT("0000"&amp;$B289,4)&amp;"/"&amp;RIGHT("00"&amp;$C289,2)&amp;"/"&amp;RIGHT("00"&amp;$D289,2)))</f>
        <v/>
      </c>
      <c r="F289">
        <f>IF(OR($E289="",$E289="نامعتبر"),"",LEFT($E289,4)&amp;"/"&amp;MID($E289,6,2))</f>
        <v/>
      </c>
      <c r="G289">
        <f>IF(OR($E289="",$E289="نامعتبر",Sync!$X285=""),"",IF(AND(LEFT(UPPER(TRIM(Sync!$X285)),2)="SL",IFERROR(VLOOKUP(Sync!$W285,OpTbl,3,0),"")="فروش"),UPPER(TRIM(Sync!$X285)),""))</f>
        <v/>
      </c>
      <c r="H289">
        <f>IF($G289="","",IF(Sync!$W285="","",Sync!$W285))</f>
        <v/>
      </c>
      <c r="I289">
        <f>IF(OR($G289="",Sync!$Y285=""),"",Sync!$Y285)</f>
        <v/>
      </c>
      <c r="J289">
        <f>IF(OR($G289="",Sync!$Z285=""),"",Sync!$Z285)</f>
        <v/>
      </c>
      <c r="K289">
        <f>IF($G289="",0,IF(Sync!$AA285="",0,Sync!$AA285))</f>
        <v/>
      </c>
      <c r="L289">
        <f>IF($G289="",0,IF(Sync!$AB285="",0,Sync!$AB285))</f>
        <v/>
      </c>
      <c r="M289">
        <f>IF($G289="","",IF($H289="مرجوعی فروش",-1,1)*($K289-$L289*IFERROR(VLOOKUP("P01",ParamTbl,3,0),1.5)))</f>
        <v/>
      </c>
      <c r="N289">
        <f>IF($G289="",0,IF($H289="مرجوعی فروش",-1,1)*IF(Sync!$AC285="",0,Sync!$AC285))</f>
        <v/>
      </c>
      <c r="O289">
        <f>IF(OR($G289="",Sync!$V285=""),"",Sync!$V285)</f>
        <v/>
      </c>
      <c r="P289">
        <f>IF(OR($G289="",Sync!$AD285=""),"",Sync!$AD285)</f>
        <v/>
      </c>
      <c r="Q289">
        <f>IF($G289="","",IF(Sync!$U285="","0000",IF(AND(ISNUMBER(Sync!$U285),Sync!$U285&gt;=0,Sync!$U285&lt;1),RIGHT("00"&amp;HOUR(Sync!$U285),2)&amp;RIGHT("00"&amp;MINUTE(Sync!$U285),2),IFERROR(RIGHT("00"&amp;VALUE(LEFT(Sync!$U285,FIND(":",Sync!$U285)-1)),2)&amp;RIGHT("00"&amp;VALUE(MID(Sync!$U285,FIND(":",Sync!$U285)+1,2)),2),"0000"))))</f>
        <v/>
      </c>
    </row>
    <row r="290">
      <c r="A290">
        <f>IF(Sync!$T286="","",Sync!$T286)</f>
        <v/>
      </c>
      <c r="B290">
        <f>IF($A290="","",IF(ISNUMBER($A290),IF(AND($A290&gt;=10000101,$A290&lt;=99991231),INT($A290/10000),""),IFERROR(VALUE(TRIM(LEFT($A290,FIND("/",$A290)-1))),"")))</f>
        <v/>
      </c>
      <c r="C290">
        <f>IF(OR($A290="",$B290=""),"",IF(ISNUMBER($A290),INT(MOD($A290,10000)/100),IFERROR(VALUE(TRIM(LEFT(MID($A290,FIND("/",$A290)+1,20),FIND("/",MID($A290,FIND("/",$A290)+1,20))-1))),"")))</f>
        <v/>
      </c>
      <c r="D290">
        <f>IF(OR($A290="",$B290=""),"",IF(ISNUMBER($A290),MOD($A290,100),IFERROR(VALUE(TRIM(MID(MID($A290,FIND("/",$A290)+1,20),FIND("/",MID($A290,FIND("/",$A290)+1,20))+1,20))),"")))</f>
        <v/>
      </c>
      <c r="E290">
        <f>IF($A290="","",IF(OR($B290="",$C290="",$D290="",$B290&lt;1300,$B290&gt;1500,$C290&lt;1,$C290&gt;12,$D290&lt;1,$D290&gt;31),"نامعتبر",RIGHT("0000"&amp;$B290,4)&amp;"/"&amp;RIGHT("00"&amp;$C290,2)&amp;"/"&amp;RIGHT("00"&amp;$D290,2)))</f>
        <v/>
      </c>
      <c r="F290">
        <f>IF(OR($E290="",$E290="نامعتبر"),"",LEFT($E290,4)&amp;"/"&amp;MID($E290,6,2))</f>
        <v/>
      </c>
      <c r="G290">
        <f>IF(OR($E290="",$E290="نامعتبر",Sync!$X286=""),"",IF(AND(LEFT(UPPER(TRIM(Sync!$X286)),2)="SL",IFERROR(VLOOKUP(Sync!$W286,OpTbl,3,0),"")="فروش"),UPPER(TRIM(Sync!$X286)),""))</f>
        <v/>
      </c>
      <c r="H290">
        <f>IF($G290="","",IF(Sync!$W286="","",Sync!$W286))</f>
        <v/>
      </c>
      <c r="I290">
        <f>IF(OR($G290="",Sync!$Y286=""),"",Sync!$Y286)</f>
        <v/>
      </c>
      <c r="J290">
        <f>IF(OR($G290="",Sync!$Z286=""),"",Sync!$Z286)</f>
        <v/>
      </c>
      <c r="K290">
        <f>IF($G290="",0,IF(Sync!$AA286="",0,Sync!$AA286))</f>
        <v/>
      </c>
      <c r="L290">
        <f>IF($G290="",0,IF(Sync!$AB286="",0,Sync!$AB286))</f>
        <v/>
      </c>
      <c r="M290">
        <f>IF($G290="","",IF($H290="مرجوعی فروش",-1,1)*($K290-$L290*IFERROR(VLOOKUP("P01",ParamTbl,3,0),1.5)))</f>
        <v/>
      </c>
      <c r="N290">
        <f>IF($G290="",0,IF($H290="مرجوعی فروش",-1,1)*IF(Sync!$AC286="",0,Sync!$AC286))</f>
        <v/>
      </c>
      <c r="O290">
        <f>IF(OR($G290="",Sync!$V286=""),"",Sync!$V286)</f>
        <v/>
      </c>
      <c r="P290">
        <f>IF(OR($G290="",Sync!$AD286=""),"",Sync!$AD286)</f>
        <v/>
      </c>
      <c r="Q290">
        <f>IF($G290="","",IF(Sync!$U286="","0000",IF(AND(ISNUMBER(Sync!$U286),Sync!$U286&gt;=0,Sync!$U286&lt;1),RIGHT("00"&amp;HOUR(Sync!$U286),2)&amp;RIGHT("00"&amp;MINUTE(Sync!$U286),2),IFERROR(RIGHT("00"&amp;VALUE(LEFT(Sync!$U286,FIND(":",Sync!$U286)-1)),2)&amp;RIGHT("00"&amp;VALUE(MID(Sync!$U286,FIND(":",Sync!$U286)+1,2)),2),"0000"))))</f>
        <v/>
      </c>
    </row>
    <row r="291">
      <c r="A291">
        <f>IF(Sync!$T287="","",Sync!$T287)</f>
        <v/>
      </c>
      <c r="B291">
        <f>IF($A291="","",IF(ISNUMBER($A291),IF(AND($A291&gt;=10000101,$A291&lt;=99991231),INT($A291/10000),""),IFERROR(VALUE(TRIM(LEFT($A291,FIND("/",$A291)-1))),"")))</f>
        <v/>
      </c>
      <c r="C291">
        <f>IF(OR($A291="",$B291=""),"",IF(ISNUMBER($A291),INT(MOD($A291,10000)/100),IFERROR(VALUE(TRIM(LEFT(MID($A291,FIND("/",$A291)+1,20),FIND("/",MID($A291,FIND("/",$A291)+1,20))-1))),"")))</f>
        <v/>
      </c>
      <c r="D291">
        <f>IF(OR($A291="",$B291=""),"",IF(ISNUMBER($A291),MOD($A291,100),IFERROR(VALUE(TRIM(MID(MID($A291,FIND("/",$A291)+1,20),FIND("/",MID($A291,FIND("/",$A291)+1,20))+1,20))),"")))</f>
        <v/>
      </c>
      <c r="E291">
        <f>IF($A291="","",IF(OR($B291="",$C291="",$D291="",$B291&lt;1300,$B291&gt;1500,$C291&lt;1,$C291&gt;12,$D291&lt;1,$D291&gt;31),"نامعتبر",RIGHT("0000"&amp;$B291,4)&amp;"/"&amp;RIGHT("00"&amp;$C291,2)&amp;"/"&amp;RIGHT("00"&amp;$D291,2)))</f>
        <v/>
      </c>
      <c r="F291">
        <f>IF(OR($E291="",$E291="نامعتبر"),"",LEFT($E291,4)&amp;"/"&amp;MID($E291,6,2))</f>
        <v/>
      </c>
      <c r="G291">
        <f>IF(OR($E291="",$E291="نامعتبر",Sync!$X287=""),"",IF(AND(LEFT(UPPER(TRIM(Sync!$X287)),2)="SL",IFERROR(VLOOKUP(Sync!$W287,OpTbl,3,0),"")="فروش"),UPPER(TRIM(Sync!$X287)),""))</f>
        <v/>
      </c>
      <c r="H291">
        <f>IF($G291="","",IF(Sync!$W287="","",Sync!$W287))</f>
        <v/>
      </c>
      <c r="I291">
        <f>IF(OR($G291="",Sync!$Y287=""),"",Sync!$Y287)</f>
        <v/>
      </c>
      <c r="J291">
        <f>IF(OR($G291="",Sync!$Z287=""),"",Sync!$Z287)</f>
        <v/>
      </c>
      <c r="K291">
        <f>IF($G291="",0,IF(Sync!$AA287="",0,Sync!$AA287))</f>
        <v/>
      </c>
      <c r="L291">
        <f>IF($G291="",0,IF(Sync!$AB287="",0,Sync!$AB287))</f>
        <v/>
      </c>
      <c r="M291">
        <f>IF($G291="","",IF($H291="مرجوعی فروش",-1,1)*($K291-$L291*IFERROR(VLOOKUP("P01",ParamTbl,3,0),1.5)))</f>
        <v/>
      </c>
      <c r="N291">
        <f>IF($G291="",0,IF($H291="مرجوعی فروش",-1,1)*IF(Sync!$AC287="",0,Sync!$AC287))</f>
        <v/>
      </c>
      <c r="O291">
        <f>IF(OR($G291="",Sync!$V287=""),"",Sync!$V287)</f>
        <v/>
      </c>
      <c r="P291">
        <f>IF(OR($G291="",Sync!$AD287=""),"",Sync!$AD287)</f>
        <v/>
      </c>
      <c r="Q291">
        <f>IF($G291="","",IF(Sync!$U287="","0000",IF(AND(ISNUMBER(Sync!$U287),Sync!$U287&gt;=0,Sync!$U287&lt;1),RIGHT("00"&amp;HOUR(Sync!$U287),2)&amp;RIGHT("00"&amp;MINUTE(Sync!$U287),2),IFERROR(RIGHT("00"&amp;VALUE(LEFT(Sync!$U287,FIND(":",Sync!$U287)-1)),2)&amp;RIGHT("00"&amp;VALUE(MID(Sync!$U287,FIND(":",Sync!$U287)+1,2)),2),"0000"))))</f>
        <v/>
      </c>
    </row>
    <row r="292">
      <c r="A292">
        <f>IF(Sync!$T288="","",Sync!$T288)</f>
        <v/>
      </c>
      <c r="B292">
        <f>IF($A292="","",IF(ISNUMBER($A292),IF(AND($A292&gt;=10000101,$A292&lt;=99991231),INT($A292/10000),""),IFERROR(VALUE(TRIM(LEFT($A292,FIND("/",$A292)-1))),"")))</f>
        <v/>
      </c>
      <c r="C292">
        <f>IF(OR($A292="",$B292=""),"",IF(ISNUMBER($A292),INT(MOD($A292,10000)/100),IFERROR(VALUE(TRIM(LEFT(MID($A292,FIND("/",$A292)+1,20),FIND("/",MID($A292,FIND("/",$A292)+1,20))-1))),"")))</f>
        <v/>
      </c>
      <c r="D292">
        <f>IF(OR($A292="",$B292=""),"",IF(ISNUMBER($A292),MOD($A292,100),IFERROR(VALUE(TRIM(MID(MID($A292,FIND("/",$A292)+1,20),FIND("/",MID($A292,FIND("/",$A292)+1,20))+1,20))),"")))</f>
        <v/>
      </c>
      <c r="E292">
        <f>IF($A292="","",IF(OR($B292="",$C292="",$D292="",$B292&lt;1300,$B292&gt;1500,$C292&lt;1,$C292&gt;12,$D292&lt;1,$D292&gt;31),"نامعتبر",RIGHT("0000"&amp;$B292,4)&amp;"/"&amp;RIGHT("00"&amp;$C292,2)&amp;"/"&amp;RIGHT("00"&amp;$D292,2)))</f>
        <v/>
      </c>
      <c r="F292">
        <f>IF(OR($E292="",$E292="نامعتبر"),"",LEFT($E292,4)&amp;"/"&amp;MID($E292,6,2))</f>
        <v/>
      </c>
      <c r="G292">
        <f>IF(OR($E292="",$E292="نامعتبر",Sync!$X288=""),"",IF(AND(LEFT(UPPER(TRIM(Sync!$X288)),2)="SL",IFERROR(VLOOKUP(Sync!$W288,OpTbl,3,0),"")="فروش"),UPPER(TRIM(Sync!$X288)),""))</f>
        <v/>
      </c>
      <c r="H292">
        <f>IF($G292="","",IF(Sync!$W288="","",Sync!$W288))</f>
        <v/>
      </c>
      <c r="I292">
        <f>IF(OR($G292="",Sync!$Y288=""),"",Sync!$Y288)</f>
        <v/>
      </c>
      <c r="J292">
        <f>IF(OR($G292="",Sync!$Z288=""),"",Sync!$Z288)</f>
        <v/>
      </c>
      <c r="K292">
        <f>IF($G292="",0,IF(Sync!$AA288="",0,Sync!$AA288))</f>
        <v/>
      </c>
      <c r="L292">
        <f>IF($G292="",0,IF(Sync!$AB288="",0,Sync!$AB288))</f>
        <v/>
      </c>
      <c r="M292">
        <f>IF($G292="","",IF($H292="مرجوعی فروش",-1,1)*($K292-$L292*IFERROR(VLOOKUP("P01",ParamTbl,3,0),1.5)))</f>
        <v/>
      </c>
      <c r="N292">
        <f>IF($G292="",0,IF($H292="مرجوعی فروش",-1,1)*IF(Sync!$AC288="",0,Sync!$AC288))</f>
        <v/>
      </c>
      <c r="O292">
        <f>IF(OR($G292="",Sync!$V288=""),"",Sync!$V288)</f>
        <v/>
      </c>
      <c r="P292">
        <f>IF(OR($G292="",Sync!$AD288=""),"",Sync!$AD288)</f>
        <v/>
      </c>
      <c r="Q292">
        <f>IF($G292="","",IF(Sync!$U288="","0000",IF(AND(ISNUMBER(Sync!$U288),Sync!$U288&gt;=0,Sync!$U288&lt;1),RIGHT("00"&amp;HOUR(Sync!$U288),2)&amp;RIGHT("00"&amp;MINUTE(Sync!$U288),2),IFERROR(RIGHT("00"&amp;VALUE(LEFT(Sync!$U288,FIND(":",Sync!$U288)-1)),2)&amp;RIGHT("00"&amp;VALUE(MID(Sync!$U288,FIND(":",Sync!$U288)+1,2)),2),"0000"))))</f>
        <v/>
      </c>
    </row>
    <row r="293">
      <c r="A293">
        <f>IF(Sync!$T289="","",Sync!$T289)</f>
        <v/>
      </c>
      <c r="B293">
        <f>IF($A293="","",IF(ISNUMBER($A293),IF(AND($A293&gt;=10000101,$A293&lt;=99991231),INT($A293/10000),""),IFERROR(VALUE(TRIM(LEFT($A293,FIND("/",$A293)-1))),"")))</f>
        <v/>
      </c>
      <c r="C293">
        <f>IF(OR($A293="",$B293=""),"",IF(ISNUMBER($A293),INT(MOD($A293,10000)/100),IFERROR(VALUE(TRIM(LEFT(MID($A293,FIND("/",$A293)+1,20),FIND("/",MID($A293,FIND("/",$A293)+1,20))-1))),"")))</f>
        <v/>
      </c>
      <c r="D293">
        <f>IF(OR($A293="",$B293=""),"",IF(ISNUMBER($A293),MOD($A293,100),IFERROR(VALUE(TRIM(MID(MID($A293,FIND("/",$A293)+1,20),FIND("/",MID($A293,FIND("/",$A293)+1,20))+1,20))),"")))</f>
        <v/>
      </c>
      <c r="E293">
        <f>IF($A293="","",IF(OR($B293="",$C293="",$D293="",$B293&lt;1300,$B293&gt;1500,$C293&lt;1,$C293&gt;12,$D293&lt;1,$D293&gt;31),"نامعتبر",RIGHT("0000"&amp;$B293,4)&amp;"/"&amp;RIGHT("00"&amp;$C293,2)&amp;"/"&amp;RIGHT("00"&amp;$D293,2)))</f>
        <v/>
      </c>
      <c r="F293">
        <f>IF(OR($E293="",$E293="نامعتبر"),"",LEFT($E293,4)&amp;"/"&amp;MID($E293,6,2))</f>
        <v/>
      </c>
      <c r="G293">
        <f>IF(OR($E293="",$E293="نامعتبر",Sync!$X289=""),"",IF(AND(LEFT(UPPER(TRIM(Sync!$X289)),2)="SL",IFERROR(VLOOKUP(Sync!$W289,OpTbl,3,0),"")="فروش"),UPPER(TRIM(Sync!$X289)),""))</f>
        <v/>
      </c>
      <c r="H293">
        <f>IF($G293="","",IF(Sync!$W289="","",Sync!$W289))</f>
        <v/>
      </c>
      <c r="I293">
        <f>IF(OR($G293="",Sync!$Y289=""),"",Sync!$Y289)</f>
        <v/>
      </c>
      <c r="J293">
        <f>IF(OR($G293="",Sync!$Z289=""),"",Sync!$Z289)</f>
        <v/>
      </c>
      <c r="K293">
        <f>IF($G293="",0,IF(Sync!$AA289="",0,Sync!$AA289))</f>
        <v/>
      </c>
      <c r="L293">
        <f>IF($G293="",0,IF(Sync!$AB289="",0,Sync!$AB289))</f>
        <v/>
      </c>
      <c r="M293">
        <f>IF($G293="","",IF($H293="مرجوعی فروش",-1,1)*($K293-$L293*IFERROR(VLOOKUP("P01",ParamTbl,3,0),1.5)))</f>
        <v/>
      </c>
      <c r="N293">
        <f>IF($G293="",0,IF($H293="مرجوعی فروش",-1,1)*IF(Sync!$AC289="",0,Sync!$AC289))</f>
        <v/>
      </c>
      <c r="O293">
        <f>IF(OR($G293="",Sync!$V289=""),"",Sync!$V289)</f>
        <v/>
      </c>
      <c r="P293">
        <f>IF(OR($G293="",Sync!$AD289=""),"",Sync!$AD289)</f>
        <v/>
      </c>
      <c r="Q293">
        <f>IF($G293="","",IF(Sync!$U289="","0000",IF(AND(ISNUMBER(Sync!$U289),Sync!$U289&gt;=0,Sync!$U289&lt;1),RIGHT("00"&amp;HOUR(Sync!$U289),2)&amp;RIGHT("00"&amp;MINUTE(Sync!$U289),2),IFERROR(RIGHT("00"&amp;VALUE(LEFT(Sync!$U289,FIND(":",Sync!$U289)-1)),2)&amp;RIGHT("00"&amp;VALUE(MID(Sync!$U289,FIND(":",Sync!$U289)+1,2)),2),"0000"))))</f>
        <v/>
      </c>
    </row>
    <row r="294">
      <c r="A294">
        <f>IF(Sync!$T290="","",Sync!$T290)</f>
        <v/>
      </c>
      <c r="B294">
        <f>IF($A294="","",IF(ISNUMBER($A294),IF(AND($A294&gt;=10000101,$A294&lt;=99991231),INT($A294/10000),""),IFERROR(VALUE(TRIM(LEFT($A294,FIND("/",$A294)-1))),"")))</f>
        <v/>
      </c>
      <c r="C294">
        <f>IF(OR($A294="",$B294=""),"",IF(ISNUMBER($A294),INT(MOD($A294,10000)/100),IFERROR(VALUE(TRIM(LEFT(MID($A294,FIND("/",$A294)+1,20),FIND("/",MID($A294,FIND("/",$A294)+1,20))-1))),"")))</f>
        <v/>
      </c>
      <c r="D294">
        <f>IF(OR($A294="",$B294=""),"",IF(ISNUMBER($A294),MOD($A294,100),IFERROR(VALUE(TRIM(MID(MID($A294,FIND("/",$A294)+1,20),FIND("/",MID($A294,FIND("/",$A294)+1,20))+1,20))),"")))</f>
        <v/>
      </c>
      <c r="E294">
        <f>IF($A294="","",IF(OR($B294="",$C294="",$D294="",$B294&lt;1300,$B294&gt;1500,$C294&lt;1,$C294&gt;12,$D294&lt;1,$D294&gt;31),"نامعتبر",RIGHT("0000"&amp;$B294,4)&amp;"/"&amp;RIGHT("00"&amp;$C294,2)&amp;"/"&amp;RIGHT("00"&amp;$D294,2)))</f>
        <v/>
      </c>
      <c r="F294">
        <f>IF(OR($E294="",$E294="نامعتبر"),"",LEFT($E294,4)&amp;"/"&amp;MID($E294,6,2))</f>
        <v/>
      </c>
      <c r="G294">
        <f>IF(OR($E294="",$E294="نامعتبر",Sync!$X290=""),"",IF(AND(LEFT(UPPER(TRIM(Sync!$X290)),2)="SL",IFERROR(VLOOKUP(Sync!$W290,OpTbl,3,0),"")="فروش"),UPPER(TRIM(Sync!$X290)),""))</f>
        <v/>
      </c>
      <c r="H294">
        <f>IF($G294="","",IF(Sync!$W290="","",Sync!$W290))</f>
        <v/>
      </c>
      <c r="I294">
        <f>IF(OR($G294="",Sync!$Y290=""),"",Sync!$Y290)</f>
        <v/>
      </c>
      <c r="J294">
        <f>IF(OR($G294="",Sync!$Z290=""),"",Sync!$Z290)</f>
        <v/>
      </c>
      <c r="K294">
        <f>IF($G294="",0,IF(Sync!$AA290="",0,Sync!$AA290))</f>
        <v/>
      </c>
      <c r="L294">
        <f>IF($G294="",0,IF(Sync!$AB290="",0,Sync!$AB290))</f>
        <v/>
      </c>
      <c r="M294">
        <f>IF($G294="","",IF($H294="مرجوعی فروش",-1,1)*($K294-$L294*IFERROR(VLOOKUP("P01",ParamTbl,3,0),1.5)))</f>
        <v/>
      </c>
      <c r="N294">
        <f>IF($G294="",0,IF($H294="مرجوعی فروش",-1,1)*IF(Sync!$AC290="",0,Sync!$AC290))</f>
        <v/>
      </c>
      <c r="O294">
        <f>IF(OR($G294="",Sync!$V290=""),"",Sync!$V290)</f>
        <v/>
      </c>
      <c r="P294">
        <f>IF(OR($G294="",Sync!$AD290=""),"",Sync!$AD290)</f>
        <v/>
      </c>
      <c r="Q294">
        <f>IF($G294="","",IF(Sync!$U290="","0000",IF(AND(ISNUMBER(Sync!$U290),Sync!$U290&gt;=0,Sync!$U290&lt;1),RIGHT("00"&amp;HOUR(Sync!$U290),2)&amp;RIGHT("00"&amp;MINUTE(Sync!$U290),2),IFERROR(RIGHT("00"&amp;VALUE(LEFT(Sync!$U290,FIND(":",Sync!$U290)-1)),2)&amp;RIGHT("00"&amp;VALUE(MID(Sync!$U290,FIND(":",Sync!$U290)+1,2)),2),"0000"))))</f>
        <v/>
      </c>
    </row>
    <row r="295">
      <c r="A295">
        <f>IF(Sync!$T291="","",Sync!$T291)</f>
        <v/>
      </c>
      <c r="B295">
        <f>IF($A295="","",IF(ISNUMBER($A295),IF(AND($A295&gt;=10000101,$A295&lt;=99991231),INT($A295/10000),""),IFERROR(VALUE(TRIM(LEFT($A295,FIND("/",$A295)-1))),"")))</f>
        <v/>
      </c>
      <c r="C295">
        <f>IF(OR($A295="",$B295=""),"",IF(ISNUMBER($A295),INT(MOD($A295,10000)/100),IFERROR(VALUE(TRIM(LEFT(MID($A295,FIND("/",$A295)+1,20),FIND("/",MID($A295,FIND("/",$A295)+1,20))-1))),"")))</f>
        <v/>
      </c>
      <c r="D295">
        <f>IF(OR($A295="",$B295=""),"",IF(ISNUMBER($A295),MOD($A295,100),IFERROR(VALUE(TRIM(MID(MID($A295,FIND("/",$A295)+1,20),FIND("/",MID($A295,FIND("/",$A295)+1,20))+1,20))),"")))</f>
        <v/>
      </c>
      <c r="E295">
        <f>IF($A295="","",IF(OR($B295="",$C295="",$D295="",$B295&lt;1300,$B295&gt;1500,$C295&lt;1,$C295&gt;12,$D295&lt;1,$D295&gt;31),"نامعتبر",RIGHT("0000"&amp;$B295,4)&amp;"/"&amp;RIGHT("00"&amp;$C295,2)&amp;"/"&amp;RIGHT("00"&amp;$D295,2)))</f>
        <v/>
      </c>
      <c r="F295">
        <f>IF(OR($E295="",$E295="نامعتبر"),"",LEFT($E295,4)&amp;"/"&amp;MID($E295,6,2))</f>
        <v/>
      </c>
      <c r="G295">
        <f>IF(OR($E295="",$E295="نامعتبر",Sync!$X291=""),"",IF(AND(LEFT(UPPER(TRIM(Sync!$X291)),2)="SL",IFERROR(VLOOKUP(Sync!$W291,OpTbl,3,0),"")="فروش"),UPPER(TRIM(Sync!$X291)),""))</f>
        <v/>
      </c>
      <c r="H295">
        <f>IF($G295="","",IF(Sync!$W291="","",Sync!$W291))</f>
        <v/>
      </c>
      <c r="I295">
        <f>IF(OR($G295="",Sync!$Y291=""),"",Sync!$Y291)</f>
        <v/>
      </c>
      <c r="J295">
        <f>IF(OR($G295="",Sync!$Z291=""),"",Sync!$Z291)</f>
        <v/>
      </c>
      <c r="K295">
        <f>IF($G295="",0,IF(Sync!$AA291="",0,Sync!$AA291))</f>
        <v/>
      </c>
      <c r="L295">
        <f>IF($G295="",0,IF(Sync!$AB291="",0,Sync!$AB291))</f>
        <v/>
      </c>
      <c r="M295">
        <f>IF($G295="","",IF($H295="مرجوعی فروش",-1,1)*($K295-$L295*IFERROR(VLOOKUP("P01",ParamTbl,3,0),1.5)))</f>
        <v/>
      </c>
      <c r="N295">
        <f>IF($G295="",0,IF($H295="مرجوعی فروش",-1,1)*IF(Sync!$AC291="",0,Sync!$AC291))</f>
        <v/>
      </c>
      <c r="O295">
        <f>IF(OR($G295="",Sync!$V291=""),"",Sync!$V291)</f>
        <v/>
      </c>
      <c r="P295">
        <f>IF(OR($G295="",Sync!$AD291=""),"",Sync!$AD291)</f>
        <v/>
      </c>
      <c r="Q295">
        <f>IF($G295="","",IF(Sync!$U291="","0000",IF(AND(ISNUMBER(Sync!$U291),Sync!$U291&gt;=0,Sync!$U291&lt;1),RIGHT("00"&amp;HOUR(Sync!$U291),2)&amp;RIGHT("00"&amp;MINUTE(Sync!$U291),2),IFERROR(RIGHT("00"&amp;VALUE(LEFT(Sync!$U291,FIND(":",Sync!$U291)-1)),2)&amp;RIGHT("00"&amp;VALUE(MID(Sync!$U291,FIND(":",Sync!$U291)+1,2)),2),"0000"))))</f>
        <v/>
      </c>
    </row>
    <row r="296">
      <c r="A296">
        <f>IF(Sync!$T292="","",Sync!$T292)</f>
        <v/>
      </c>
      <c r="B296">
        <f>IF($A296="","",IF(ISNUMBER($A296),IF(AND($A296&gt;=10000101,$A296&lt;=99991231),INT($A296/10000),""),IFERROR(VALUE(TRIM(LEFT($A296,FIND("/",$A296)-1))),"")))</f>
        <v/>
      </c>
      <c r="C296">
        <f>IF(OR($A296="",$B296=""),"",IF(ISNUMBER($A296),INT(MOD($A296,10000)/100),IFERROR(VALUE(TRIM(LEFT(MID($A296,FIND("/",$A296)+1,20),FIND("/",MID($A296,FIND("/",$A296)+1,20))-1))),"")))</f>
        <v/>
      </c>
      <c r="D296">
        <f>IF(OR($A296="",$B296=""),"",IF(ISNUMBER($A296),MOD($A296,100),IFERROR(VALUE(TRIM(MID(MID($A296,FIND("/",$A296)+1,20),FIND("/",MID($A296,FIND("/",$A296)+1,20))+1,20))),"")))</f>
        <v/>
      </c>
      <c r="E296">
        <f>IF($A296="","",IF(OR($B296="",$C296="",$D296="",$B296&lt;1300,$B296&gt;1500,$C296&lt;1,$C296&gt;12,$D296&lt;1,$D296&gt;31),"نامعتبر",RIGHT("0000"&amp;$B296,4)&amp;"/"&amp;RIGHT("00"&amp;$C296,2)&amp;"/"&amp;RIGHT("00"&amp;$D296,2)))</f>
        <v/>
      </c>
      <c r="F296">
        <f>IF(OR($E296="",$E296="نامعتبر"),"",LEFT($E296,4)&amp;"/"&amp;MID($E296,6,2))</f>
        <v/>
      </c>
      <c r="G296">
        <f>IF(OR($E296="",$E296="نامعتبر",Sync!$X292=""),"",IF(AND(LEFT(UPPER(TRIM(Sync!$X292)),2)="SL",IFERROR(VLOOKUP(Sync!$W292,OpTbl,3,0),"")="فروش"),UPPER(TRIM(Sync!$X292)),""))</f>
        <v/>
      </c>
      <c r="H296">
        <f>IF($G296="","",IF(Sync!$W292="","",Sync!$W292))</f>
        <v/>
      </c>
      <c r="I296">
        <f>IF(OR($G296="",Sync!$Y292=""),"",Sync!$Y292)</f>
        <v/>
      </c>
      <c r="J296">
        <f>IF(OR($G296="",Sync!$Z292=""),"",Sync!$Z292)</f>
        <v/>
      </c>
      <c r="K296">
        <f>IF($G296="",0,IF(Sync!$AA292="",0,Sync!$AA292))</f>
        <v/>
      </c>
      <c r="L296">
        <f>IF($G296="",0,IF(Sync!$AB292="",0,Sync!$AB292))</f>
        <v/>
      </c>
      <c r="M296">
        <f>IF($G296="","",IF($H296="مرجوعی فروش",-1,1)*($K296-$L296*IFERROR(VLOOKUP("P01",ParamTbl,3,0),1.5)))</f>
        <v/>
      </c>
      <c r="N296">
        <f>IF($G296="",0,IF($H296="مرجوعی فروش",-1,1)*IF(Sync!$AC292="",0,Sync!$AC292))</f>
        <v/>
      </c>
      <c r="O296">
        <f>IF(OR($G296="",Sync!$V292=""),"",Sync!$V292)</f>
        <v/>
      </c>
      <c r="P296">
        <f>IF(OR($G296="",Sync!$AD292=""),"",Sync!$AD292)</f>
        <v/>
      </c>
      <c r="Q296">
        <f>IF($G296="","",IF(Sync!$U292="","0000",IF(AND(ISNUMBER(Sync!$U292),Sync!$U292&gt;=0,Sync!$U292&lt;1),RIGHT("00"&amp;HOUR(Sync!$U292),2)&amp;RIGHT("00"&amp;MINUTE(Sync!$U292),2),IFERROR(RIGHT("00"&amp;VALUE(LEFT(Sync!$U292,FIND(":",Sync!$U292)-1)),2)&amp;RIGHT("00"&amp;VALUE(MID(Sync!$U292,FIND(":",Sync!$U292)+1,2)),2),"0000"))))</f>
        <v/>
      </c>
    </row>
    <row r="297">
      <c r="A297">
        <f>IF(Sync!$T293="","",Sync!$T293)</f>
        <v/>
      </c>
      <c r="B297">
        <f>IF($A297="","",IF(ISNUMBER($A297),IF(AND($A297&gt;=10000101,$A297&lt;=99991231),INT($A297/10000),""),IFERROR(VALUE(TRIM(LEFT($A297,FIND("/",$A297)-1))),"")))</f>
        <v/>
      </c>
      <c r="C297">
        <f>IF(OR($A297="",$B297=""),"",IF(ISNUMBER($A297),INT(MOD($A297,10000)/100),IFERROR(VALUE(TRIM(LEFT(MID($A297,FIND("/",$A297)+1,20),FIND("/",MID($A297,FIND("/",$A297)+1,20))-1))),"")))</f>
        <v/>
      </c>
      <c r="D297">
        <f>IF(OR($A297="",$B297=""),"",IF(ISNUMBER($A297),MOD($A297,100),IFERROR(VALUE(TRIM(MID(MID($A297,FIND("/",$A297)+1,20),FIND("/",MID($A297,FIND("/",$A297)+1,20))+1,20))),"")))</f>
        <v/>
      </c>
      <c r="E297">
        <f>IF($A297="","",IF(OR($B297="",$C297="",$D297="",$B297&lt;1300,$B297&gt;1500,$C297&lt;1,$C297&gt;12,$D297&lt;1,$D297&gt;31),"نامعتبر",RIGHT("0000"&amp;$B297,4)&amp;"/"&amp;RIGHT("00"&amp;$C297,2)&amp;"/"&amp;RIGHT("00"&amp;$D297,2)))</f>
        <v/>
      </c>
      <c r="F297">
        <f>IF(OR($E297="",$E297="نامعتبر"),"",LEFT($E297,4)&amp;"/"&amp;MID($E297,6,2))</f>
        <v/>
      </c>
      <c r="G297">
        <f>IF(OR($E297="",$E297="نامعتبر",Sync!$X293=""),"",IF(AND(LEFT(UPPER(TRIM(Sync!$X293)),2)="SL",IFERROR(VLOOKUP(Sync!$W293,OpTbl,3,0),"")="فروش"),UPPER(TRIM(Sync!$X293)),""))</f>
        <v/>
      </c>
      <c r="H297">
        <f>IF($G297="","",IF(Sync!$W293="","",Sync!$W293))</f>
        <v/>
      </c>
      <c r="I297">
        <f>IF(OR($G297="",Sync!$Y293=""),"",Sync!$Y293)</f>
        <v/>
      </c>
      <c r="J297">
        <f>IF(OR($G297="",Sync!$Z293=""),"",Sync!$Z293)</f>
        <v/>
      </c>
      <c r="K297">
        <f>IF($G297="",0,IF(Sync!$AA293="",0,Sync!$AA293))</f>
        <v/>
      </c>
      <c r="L297">
        <f>IF($G297="",0,IF(Sync!$AB293="",0,Sync!$AB293))</f>
        <v/>
      </c>
      <c r="M297">
        <f>IF($G297="","",IF($H297="مرجوعی فروش",-1,1)*($K297-$L297*IFERROR(VLOOKUP("P01",ParamTbl,3,0),1.5)))</f>
        <v/>
      </c>
      <c r="N297">
        <f>IF($G297="",0,IF($H297="مرجوعی فروش",-1,1)*IF(Sync!$AC293="",0,Sync!$AC293))</f>
        <v/>
      </c>
      <c r="O297">
        <f>IF(OR($G297="",Sync!$V293=""),"",Sync!$V293)</f>
        <v/>
      </c>
      <c r="P297">
        <f>IF(OR($G297="",Sync!$AD293=""),"",Sync!$AD293)</f>
        <v/>
      </c>
      <c r="Q297">
        <f>IF($G297="","",IF(Sync!$U293="","0000",IF(AND(ISNUMBER(Sync!$U293),Sync!$U293&gt;=0,Sync!$U293&lt;1),RIGHT("00"&amp;HOUR(Sync!$U293),2)&amp;RIGHT("00"&amp;MINUTE(Sync!$U293),2),IFERROR(RIGHT("00"&amp;VALUE(LEFT(Sync!$U293,FIND(":",Sync!$U293)-1)),2)&amp;RIGHT("00"&amp;VALUE(MID(Sync!$U293,FIND(":",Sync!$U293)+1,2)),2),"0000"))))</f>
        <v/>
      </c>
    </row>
    <row r="298">
      <c r="A298">
        <f>IF(Sync!$T294="","",Sync!$T294)</f>
        <v/>
      </c>
      <c r="B298">
        <f>IF($A298="","",IF(ISNUMBER($A298),IF(AND($A298&gt;=10000101,$A298&lt;=99991231),INT($A298/10000),""),IFERROR(VALUE(TRIM(LEFT($A298,FIND("/",$A298)-1))),"")))</f>
        <v/>
      </c>
      <c r="C298">
        <f>IF(OR($A298="",$B298=""),"",IF(ISNUMBER($A298),INT(MOD($A298,10000)/100),IFERROR(VALUE(TRIM(LEFT(MID($A298,FIND("/",$A298)+1,20),FIND("/",MID($A298,FIND("/",$A298)+1,20))-1))),"")))</f>
        <v/>
      </c>
      <c r="D298">
        <f>IF(OR($A298="",$B298=""),"",IF(ISNUMBER($A298),MOD($A298,100),IFERROR(VALUE(TRIM(MID(MID($A298,FIND("/",$A298)+1,20),FIND("/",MID($A298,FIND("/",$A298)+1,20))+1,20))),"")))</f>
        <v/>
      </c>
      <c r="E298">
        <f>IF($A298="","",IF(OR($B298="",$C298="",$D298="",$B298&lt;1300,$B298&gt;1500,$C298&lt;1,$C298&gt;12,$D298&lt;1,$D298&gt;31),"نامعتبر",RIGHT("0000"&amp;$B298,4)&amp;"/"&amp;RIGHT("00"&amp;$C298,2)&amp;"/"&amp;RIGHT("00"&amp;$D298,2)))</f>
        <v/>
      </c>
      <c r="F298">
        <f>IF(OR($E298="",$E298="نامعتبر"),"",LEFT($E298,4)&amp;"/"&amp;MID($E298,6,2))</f>
        <v/>
      </c>
      <c r="G298">
        <f>IF(OR($E298="",$E298="نامعتبر",Sync!$X294=""),"",IF(AND(LEFT(UPPER(TRIM(Sync!$X294)),2)="SL",IFERROR(VLOOKUP(Sync!$W294,OpTbl,3,0),"")="فروش"),UPPER(TRIM(Sync!$X294)),""))</f>
        <v/>
      </c>
      <c r="H298">
        <f>IF($G298="","",IF(Sync!$W294="","",Sync!$W294))</f>
        <v/>
      </c>
      <c r="I298">
        <f>IF(OR($G298="",Sync!$Y294=""),"",Sync!$Y294)</f>
        <v/>
      </c>
      <c r="J298">
        <f>IF(OR($G298="",Sync!$Z294=""),"",Sync!$Z294)</f>
        <v/>
      </c>
      <c r="K298">
        <f>IF($G298="",0,IF(Sync!$AA294="",0,Sync!$AA294))</f>
        <v/>
      </c>
      <c r="L298">
        <f>IF($G298="",0,IF(Sync!$AB294="",0,Sync!$AB294))</f>
        <v/>
      </c>
      <c r="M298">
        <f>IF($G298="","",IF($H298="مرجوعی فروش",-1,1)*($K298-$L298*IFERROR(VLOOKUP("P01",ParamTbl,3,0),1.5)))</f>
        <v/>
      </c>
      <c r="N298">
        <f>IF($G298="",0,IF($H298="مرجوعی فروش",-1,1)*IF(Sync!$AC294="",0,Sync!$AC294))</f>
        <v/>
      </c>
      <c r="O298">
        <f>IF(OR($G298="",Sync!$V294=""),"",Sync!$V294)</f>
        <v/>
      </c>
      <c r="P298">
        <f>IF(OR($G298="",Sync!$AD294=""),"",Sync!$AD294)</f>
        <v/>
      </c>
      <c r="Q298">
        <f>IF($G298="","",IF(Sync!$U294="","0000",IF(AND(ISNUMBER(Sync!$U294),Sync!$U294&gt;=0,Sync!$U294&lt;1),RIGHT("00"&amp;HOUR(Sync!$U294),2)&amp;RIGHT("00"&amp;MINUTE(Sync!$U294),2),IFERROR(RIGHT("00"&amp;VALUE(LEFT(Sync!$U294,FIND(":",Sync!$U294)-1)),2)&amp;RIGHT("00"&amp;VALUE(MID(Sync!$U294,FIND(":",Sync!$U294)+1,2)),2),"0000"))))</f>
        <v/>
      </c>
    </row>
    <row r="299">
      <c r="A299">
        <f>IF(Sync!$T295="","",Sync!$T295)</f>
        <v/>
      </c>
      <c r="B299">
        <f>IF($A299="","",IF(ISNUMBER($A299),IF(AND($A299&gt;=10000101,$A299&lt;=99991231),INT($A299/10000),""),IFERROR(VALUE(TRIM(LEFT($A299,FIND("/",$A299)-1))),"")))</f>
        <v/>
      </c>
      <c r="C299">
        <f>IF(OR($A299="",$B299=""),"",IF(ISNUMBER($A299),INT(MOD($A299,10000)/100),IFERROR(VALUE(TRIM(LEFT(MID($A299,FIND("/",$A299)+1,20),FIND("/",MID($A299,FIND("/",$A299)+1,20))-1))),"")))</f>
        <v/>
      </c>
      <c r="D299">
        <f>IF(OR($A299="",$B299=""),"",IF(ISNUMBER($A299),MOD($A299,100),IFERROR(VALUE(TRIM(MID(MID($A299,FIND("/",$A299)+1,20),FIND("/",MID($A299,FIND("/",$A299)+1,20))+1,20))),"")))</f>
        <v/>
      </c>
      <c r="E299">
        <f>IF($A299="","",IF(OR($B299="",$C299="",$D299="",$B299&lt;1300,$B299&gt;1500,$C299&lt;1,$C299&gt;12,$D299&lt;1,$D299&gt;31),"نامعتبر",RIGHT("0000"&amp;$B299,4)&amp;"/"&amp;RIGHT("00"&amp;$C299,2)&amp;"/"&amp;RIGHT("00"&amp;$D299,2)))</f>
        <v/>
      </c>
      <c r="F299">
        <f>IF(OR($E299="",$E299="نامعتبر"),"",LEFT($E299,4)&amp;"/"&amp;MID($E299,6,2))</f>
        <v/>
      </c>
      <c r="G299">
        <f>IF(OR($E299="",$E299="نامعتبر",Sync!$X295=""),"",IF(AND(LEFT(UPPER(TRIM(Sync!$X295)),2)="SL",IFERROR(VLOOKUP(Sync!$W295,OpTbl,3,0),"")="فروش"),UPPER(TRIM(Sync!$X295)),""))</f>
        <v/>
      </c>
      <c r="H299">
        <f>IF($G299="","",IF(Sync!$W295="","",Sync!$W295))</f>
        <v/>
      </c>
      <c r="I299">
        <f>IF(OR($G299="",Sync!$Y295=""),"",Sync!$Y295)</f>
        <v/>
      </c>
      <c r="J299">
        <f>IF(OR($G299="",Sync!$Z295=""),"",Sync!$Z295)</f>
        <v/>
      </c>
      <c r="K299">
        <f>IF($G299="",0,IF(Sync!$AA295="",0,Sync!$AA295))</f>
        <v/>
      </c>
      <c r="L299">
        <f>IF($G299="",0,IF(Sync!$AB295="",0,Sync!$AB295))</f>
        <v/>
      </c>
      <c r="M299">
        <f>IF($G299="","",IF($H299="مرجوعی فروش",-1,1)*($K299-$L299*IFERROR(VLOOKUP("P01",ParamTbl,3,0),1.5)))</f>
        <v/>
      </c>
      <c r="N299">
        <f>IF($G299="",0,IF($H299="مرجوعی فروش",-1,1)*IF(Sync!$AC295="",0,Sync!$AC295))</f>
        <v/>
      </c>
      <c r="O299">
        <f>IF(OR($G299="",Sync!$V295=""),"",Sync!$V295)</f>
        <v/>
      </c>
      <c r="P299">
        <f>IF(OR($G299="",Sync!$AD295=""),"",Sync!$AD295)</f>
        <v/>
      </c>
      <c r="Q299">
        <f>IF($G299="","",IF(Sync!$U295="","0000",IF(AND(ISNUMBER(Sync!$U295),Sync!$U295&gt;=0,Sync!$U295&lt;1),RIGHT("00"&amp;HOUR(Sync!$U295),2)&amp;RIGHT("00"&amp;MINUTE(Sync!$U295),2),IFERROR(RIGHT("00"&amp;VALUE(LEFT(Sync!$U295,FIND(":",Sync!$U295)-1)),2)&amp;RIGHT("00"&amp;VALUE(MID(Sync!$U295,FIND(":",Sync!$U295)+1,2)),2),"0000"))))</f>
        <v/>
      </c>
    </row>
    <row r="300">
      <c r="A300">
        <f>IF(Sync!$T296="","",Sync!$T296)</f>
        <v/>
      </c>
      <c r="B300">
        <f>IF($A300="","",IF(ISNUMBER($A300),IF(AND($A300&gt;=10000101,$A300&lt;=99991231),INT($A300/10000),""),IFERROR(VALUE(TRIM(LEFT($A300,FIND("/",$A300)-1))),"")))</f>
        <v/>
      </c>
      <c r="C300">
        <f>IF(OR($A300="",$B300=""),"",IF(ISNUMBER($A300),INT(MOD($A300,10000)/100),IFERROR(VALUE(TRIM(LEFT(MID($A300,FIND("/",$A300)+1,20),FIND("/",MID($A300,FIND("/",$A300)+1,20))-1))),"")))</f>
        <v/>
      </c>
      <c r="D300">
        <f>IF(OR($A300="",$B300=""),"",IF(ISNUMBER($A300),MOD($A300,100),IFERROR(VALUE(TRIM(MID(MID($A300,FIND("/",$A300)+1,20),FIND("/",MID($A300,FIND("/",$A300)+1,20))+1,20))),"")))</f>
        <v/>
      </c>
      <c r="E300">
        <f>IF($A300="","",IF(OR($B300="",$C300="",$D300="",$B300&lt;1300,$B300&gt;1500,$C300&lt;1,$C300&gt;12,$D300&lt;1,$D300&gt;31),"نامعتبر",RIGHT("0000"&amp;$B300,4)&amp;"/"&amp;RIGHT("00"&amp;$C300,2)&amp;"/"&amp;RIGHT("00"&amp;$D300,2)))</f>
        <v/>
      </c>
      <c r="F300">
        <f>IF(OR($E300="",$E300="نامعتبر"),"",LEFT($E300,4)&amp;"/"&amp;MID($E300,6,2))</f>
        <v/>
      </c>
      <c r="G300">
        <f>IF(OR($E300="",$E300="نامعتبر",Sync!$X296=""),"",IF(AND(LEFT(UPPER(TRIM(Sync!$X296)),2)="SL",IFERROR(VLOOKUP(Sync!$W296,OpTbl,3,0),"")="فروش"),UPPER(TRIM(Sync!$X296)),""))</f>
        <v/>
      </c>
      <c r="H300">
        <f>IF($G300="","",IF(Sync!$W296="","",Sync!$W296))</f>
        <v/>
      </c>
      <c r="I300">
        <f>IF(OR($G300="",Sync!$Y296=""),"",Sync!$Y296)</f>
        <v/>
      </c>
      <c r="J300">
        <f>IF(OR($G300="",Sync!$Z296=""),"",Sync!$Z296)</f>
        <v/>
      </c>
      <c r="K300">
        <f>IF($G300="",0,IF(Sync!$AA296="",0,Sync!$AA296))</f>
        <v/>
      </c>
      <c r="L300">
        <f>IF($G300="",0,IF(Sync!$AB296="",0,Sync!$AB296))</f>
        <v/>
      </c>
      <c r="M300">
        <f>IF($G300="","",IF($H300="مرجوعی فروش",-1,1)*($K300-$L300*IFERROR(VLOOKUP("P01",ParamTbl,3,0),1.5)))</f>
        <v/>
      </c>
      <c r="N300">
        <f>IF($G300="",0,IF($H300="مرجوعی فروش",-1,1)*IF(Sync!$AC296="",0,Sync!$AC296))</f>
        <v/>
      </c>
      <c r="O300">
        <f>IF(OR($G300="",Sync!$V296=""),"",Sync!$V296)</f>
        <v/>
      </c>
      <c r="P300">
        <f>IF(OR($G300="",Sync!$AD296=""),"",Sync!$AD296)</f>
        <v/>
      </c>
      <c r="Q300">
        <f>IF($G300="","",IF(Sync!$U296="","0000",IF(AND(ISNUMBER(Sync!$U296),Sync!$U296&gt;=0,Sync!$U296&lt;1),RIGHT("00"&amp;HOUR(Sync!$U296),2)&amp;RIGHT("00"&amp;MINUTE(Sync!$U296),2),IFERROR(RIGHT("00"&amp;VALUE(LEFT(Sync!$U296,FIND(":",Sync!$U296)-1)),2)&amp;RIGHT("00"&amp;VALUE(MID(Sync!$U296,FIND(":",Sync!$U296)+1,2)),2),"0000"))))</f>
        <v/>
      </c>
    </row>
    <row r="301">
      <c r="A301">
        <f>IF(Sync!$T297="","",Sync!$T297)</f>
        <v/>
      </c>
      <c r="B301">
        <f>IF($A301="","",IF(ISNUMBER($A301),IF(AND($A301&gt;=10000101,$A301&lt;=99991231),INT($A301/10000),""),IFERROR(VALUE(TRIM(LEFT($A301,FIND("/",$A301)-1))),"")))</f>
        <v/>
      </c>
      <c r="C301">
        <f>IF(OR($A301="",$B301=""),"",IF(ISNUMBER($A301),INT(MOD($A301,10000)/100),IFERROR(VALUE(TRIM(LEFT(MID($A301,FIND("/",$A301)+1,20),FIND("/",MID($A301,FIND("/",$A301)+1,20))-1))),"")))</f>
        <v/>
      </c>
      <c r="D301">
        <f>IF(OR($A301="",$B301=""),"",IF(ISNUMBER($A301),MOD($A301,100),IFERROR(VALUE(TRIM(MID(MID($A301,FIND("/",$A301)+1,20),FIND("/",MID($A301,FIND("/",$A301)+1,20))+1,20))),"")))</f>
        <v/>
      </c>
      <c r="E301">
        <f>IF($A301="","",IF(OR($B301="",$C301="",$D301="",$B301&lt;1300,$B301&gt;1500,$C301&lt;1,$C301&gt;12,$D301&lt;1,$D301&gt;31),"نامعتبر",RIGHT("0000"&amp;$B301,4)&amp;"/"&amp;RIGHT("00"&amp;$C301,2)&amp;"/"&amp;RIGHT("00"&amp;$D301,2)))</f>
        <v/>
      </c>
      <c r="F301">
        <f>IF(OR($E301="",$E301="نامعتبر"),"",LEFT($E301,4)&amp;"/"&amp;MID($E301,6,2))</f>
        <v/>
      </c>
      <c r="G301">
        <f>IF(OR($E301="",$E301="نامعتبر",Sync!$X297=""),"",IF(AND(LEFT(UPPER(TRIM(Sync!$X297)),2)="SL",IFERROR(VLOOKUP(Sync!$W297,OpTbl,3,0),"")="فروش"),UPPER(TRIM(Sync!$X297)),""))</f>
        <v/>
      </c>
      <c r="H301">
        <f>IF($G301="","",IF(Sync!$W297="","",Sync!$W297))</f>
        <v/>
      </c>
      <c r="I301">
        <f>IF(OR($G301="",Sync!$Y297=""),"",Sync!$Y297)</f>
        <v/>
      </c>
      <c r="J301">
        <f>IF(OR($G301="",Sync!$Z297=""),"",Sync!$Z297)</f>
        <v/>
      </c>
      <c r="K301">
        <f>IF($G301="",0,IF(Sync!$AA297="",0,Sync!$AA297))</f>
        <v/>
      </c>
      <c r="L301">
        <f>IF($G301="",0,IF(Sync!$AB297="",0,Sync!$AB297))</f>
        <v/>
      </c>
      <c r="M301">
        <f>IF($G301="","",IF($H301="مرجوعی فروش",-1,1)*($K301-$L301*IFERROR(VLOOKUP("P01",ParamTbl,3,0),1.5)))</f>
        <v/>
      </c>
      <c r="N301">
        <f>IF($G301="",0,IF($H301="مرجوعی فروش",-1,1)*IF(Sync!$AC297="",0,Sync!$AC297))</f>
        <v/>
      </c>
      <c r="O301">
        <f>IF(OR($G301="",Sync!$V297=""),"",Sync!$V297)</f>
        <v/>
      </c>
      <c r="P301">
        <f>IF(OR($G301="",Sync!$AD297=""),"",Sync!$AD297)</f>
        <v/>
      </c>
      <c r="Q301">
        <f>IF($G301="","",IF(Sync!$U297="","0000",IF(AND(ISNUMBER(Sync!$U297),Sync!$U297&gt;=0,Sync!$U297&lt;1),RIGHT("00"&amp;HOUR(Sync!$U297),2)&amp;RIGHT("00"&amp;MINUTE(Sync!$U297),2),IFERROR(RIGHT("00"&amp;VALUE(LEFT(Sync!$U297,FIND(":",Sync!$U297)-1)),2)&amp;RIGHT("00"&amp;VALUE(MID(Sync!$U297,FIND(":",Sync!$U297)+1,2)),2),"0000"))))</f>
        <v/>
      </c>
    </row>
    <row r="302">
      <c r="A302">
        <f>IF(Sync!$T298="","",Sync!$T298)</f>
        <v/>
      </c>
      <c r="B302">
        <f>IF($A302="","",IF(ISNUMBER($A302),IF(AND($A302&gt;=10000101,$A302&lt;=99991231),INT($A302/10000),""),IFERROR(VALUE(TRIM(LEFT($A302,FIND("/",$A302)-1))),"")))</f>
        <v/>
      </c>
      <c r="C302">
        <f>IF(OR($A302="",$B302=""),"",IF(ISNUMBER($A302),INT(MOD($A302,10000)/100),IFERROR(VALUE(TRIM(LEFT(MID($A302,FIND("/",$A302)+1,20),FIND("/",MID($A302,FIND("/",$A302)+1,20))-1))),"")))</f>
        <v/>
      </c>
      <c r="D302">
        <f>IF(OR($A302="",$B302=""),"",IF(ISNUMBER($A302),MOD($A302,100),IFERROR(VALUE(TRIM(MID(MID($A302,FIND("/",$A302)+1,20),FIND("/",MID($A302,FIND("/",$A302)+1,20))+1,20))),"")))</f>
        <v/>
      </c>
      <c r="E302">
        <f>IF($A302="","",IF(OR($B302="",$C302="",$D302="",$B302&lt;1300,$B302&gt;1500,$C302&lt;1,$C302&gt;12,$D302&lt;1,$D302&gt;31),"نامعتبر",RIGHT("0000"&amp;$B302,4)&amp;"/"&amp;RIGHT("00"&amp;$C302,2)&amp;"/"&amp;RIGHT("00"&amp;$D302,2)))</f>
        <v/>
      </c>
      <c r="F302">
        <f>IF(OR($E302="",$E302="نامعتبر"),"",LEFT($E302,4)&amp;"/"&amp;MID($E302,6,2))</f>
        <v/>
      </c>
      <c r="G302">
        <f>IF(OR($E302="",$E302="نامعتبر",Sync!$X298=""),"",IF(AND(LEFT(UPPER(TRIM(Sync!$X298)),2)="SL",IFERROR(VLOOKUP(Sync!$W298,OpTbl,3,0),"")="فروش"),UPPER(TRIM(Sync!$X298)),""))</f>
        <v/>
      </c>
      <c r="H302">
        <f>IF($G302="","",IF(Sync!$W298="","",Sync!$W298))</f>
        <v/>
      </c>
      <c r="I302">
        <f>IF(OR($G302="",Sync!$Y298=""),"",Sync!$Y298)</f>
        <v/>
      </c>
      <c r="J302">
        <f>IF(OR($G302="",Sync!$Z298=""),"",Sync!$Z298)</f>
        <v/>
      </c>
      <c r="K302">
        <f>IF($G302="",0,IF(Sync!$AA298="",0,Sync!$AA298))</f>
        <v/>
      </c>
      <c r="L302">
        <f>IF($G302="",0,IF(Sync!$AB298="",0,Sync!$AB298))</f>
        <v/>
      </c>
      <c r="M302">
        <f>IF($G302="","",IF($H302="مرجوعی فروش",-1,1)*($K302-$L302*IFERROR(VLOOKUP("P01",ParamTbl,3,0),1.5)))</f>
        <v/>
      </c>
      <c r="N302">
        <f>IF($G302="",0,IF($H302="مرجوعی فروش",-1,1)*IF(Sync!$AC298="",0,Sync!$AC298))</f>
        <v/>
      </c>
      <c r="O302">
        <f>IF(OR($G302="",Sync!$V298=""),"",Sync!$V298)</f>
        <v/>
      </c>
      <c r="P302">
        <f>IF(OR($G302="",Sync!$AD298=""),"",Sync!$AD298)</f>
        <v/>
      </c>
      <c r="Q302">
        <f>IF($G302="","",IF(Sync!$U298="","0000",IF(AND(ISNUMBER(Sync!$U298),Sync!$U298&gt;=0,Sync!$U298&lt;1),RIGHT("00"&amp;HOUR(Sync!$U298),2)&amp;RIGHT("00"&amp;MINUTE(Sync!$U298),2),IFERROR(RIGHT("00"&amp;VALUE(LEFT(Sync!$U298,FIND(":",Sync!$U298)-1)),2)&amp;RIGHT("00"&amp;VALUE(MID(Sync!$U298,FIND(":",Sync!$U298)+1,2)),2),"0000"))))</f>
        <v/>
      </c>
    </row>
    <row r="303">
      <c r="A303">
        <f>IF(Sync!$T299="","",Sync!$T299)</f>
        <v/>
      </c>
      <c r="B303">
        <f>IF($A303="","",IF(ISNUMBER($A303),IF(AND($A303&gt;=10000101,$A303&lt;=99991231),INT($A303/10000),""),IFERROR(VALUE(TRIM(LEFT($A303,FIND("/",$A303)-1))),"")))</f>
        <v/>
      </c>
      <c r="C303">
        <f>IF(OR($A303="",$B303=""),"",IF(ISNUMBER($A303),INT(MOD($A303,10000)/100),IFERROR(VALUE(TRIM(LEFT(MID($A303,FIND("/",$A303)+1,20),FIND("/",MID($A303,FIND("/",$A303)+1,20))-1))),"")))</f>
        <v/>
      </c>
      <c r="D303">
        <f>IF(OR($A303="",$B303=""),"",IF(ISNUMBER($A303),MOD($A303,100),IFERROR(VALUE(TRIM(MID(MID($A303,FIND("/",$A303)+1,20),FIND("/",MID($A303,FIND("/",$A303)+1,20))+1,20))),"")))</f>
        <v/>
      </c>
      <c r="E303">
        <f>IF($A303="","",IF(OR($B303="",$C303="",$D303="",$B303&lt;1300,$B303&gt;1500,$C303&lt;1,$C303&gt;12,$D303&lt;1,$D303&gt;31),"نامعتبر",RIGHT("0000"&amp;$B303,4)&amp;"/"&amp;RIGHT("00"&amp;$C303,2)&amp;"/"&amp;RIGHT("00"&amp;$D303,2)))</f>
        <v/>
      </c>
      <c r="F303">
        <f>IF(OR($E303="",$E303="نامعتبر"),"",LEFT($E303,4)&amp;"/"&amp;MID($E303,6,2))</f>
        <v/>
      </c>
      <c r="G303">
        <f>IF(OR($E303="",$E303="نامعتبر",Sync!$X299=""),"",IF(AND(LEFT(UPPER(TRIM(Sync!$X299)),2)="SL",IFERROR(VLOOKUP(Sync!$W299,OpTbl,3,0),"")="فروش"),UPPER(TRIM(Sync!$X299)),""))</f>
        <v/>
      </c>
      <c r="H303">
        <f>IF($G303="","",IF(Sync!$W299="","",Sync!$W299))</f>
        <v/>
      </c>
      <c r="I303">
        <f>IF(OR($G303="",Sync!$Y299=""),"",Sync!$Y299)</f>
        <v/>
      </c>
      <c r="J303">
        <f>IF(OR($G303="",Sync!$Z299=""),"",Sync!$Z299)</f>
        <v/>
      </c>
      <c r="K303">
        <f>IF($G303="",0,IF(Sync!$AA299="",0,Sync!$AA299))</f>
        <v/>
      </c>
      <c r="L303">
        <f>IF($G303="",0,IF(Sync!$AB299="",0,Sync!$AB299))</f>
        <v/>
      </c>
      <c r="M303">
        <f>IF($G303="","",IF($H303="مرجوعی فروش",-1,1)*($K303-$L303*IFERROR(VLOOKUP("P01",ParamTbl,3,0),1.5)))</f>
        <v/>
      </c>
      <c r="N303">
        <f>IF($G303="",0,IF($H303="مرجوعی فروش",-1,1)*IF(Sync!$AC299="",0,Sync!$AC299))</f>
        <v/>
      </c>
      <c r="O303">
        <f>IF(OR($G303="",Sync!$V299=""),"",Sync!$V299)</f>
        <v/>
      </c>
      <c r="P303">
        <f>IF(OR($G303="",Sync!$AD299=""),"",Sync!$AD299)</f>
        <v/>
      </c>
      <c r="Q303">
        <f>IF($G303="","",IF(Sync!$U299="","0000",IF(AND(ISNUMBER(Sync!$U299),Sync!$U299&gt;=0,Sync!$U299&lt;1),RIGHT("00"&amp;HOUR(Sync!$U299),2)&amp;RIGHT("00"&amp;MINUTE(Sync!$U299),2),IFERROR(RIGHT("00"&amp;VALUE(LEFT(Sync!$U299,FIND(":",Sync!$U299)-1)),2)&amp;RIGHT("00"&amp;VALUE(MID(Sync!$U299,FIND(":",Sync!$U299)+1,2)),2),"0000"))))</f>
        <v/>
      </c>
    </row>
    <row r="304">
      <c r="A304">
        <f>IF(Sync!$T300="","",Sync!$T300)</f>
        <v/>
      </c>
      <c r="B304">
        <f>IF($A304="","",IF(ISNUMBER($A304),IF(AND($A304&gt;=10000101,$A304&lt;=99991231),INT($A304/10000),""),IFERROR(VALUE(TRIM(LEFT($A304,FIND("/",$A304)-1))),"")))</f>
        <v/>
      </c>
      <c r="C304">
        <f>IF(OR($A304="",$B304=""),"",IF(ISNUMBER($A304),INT(MOD($A304,10000)/100),IFERROR(VALUE(TRIM(LEFT(MID($A304,FIND("/",$A304)+1,20),FIND("/",MID($A304,FIND("/",$A304)+1,20))-1))),"")))</f>
        <v/>
      </c>
      <c r="D304">
        <f>IF(OR($A304="",$B304=""),"",IF(ISNUMBER($A304),MOD($A304,100),IFERROR(VALUE(TRIM(MID(MID($A304,FIND("/",$A304)+1,20),FIND("/",MID($A304,FIND("/",$A304)+1,20))+1,20))),"")))</f>
        <v/>
      </c>
      <c r="E304">
        <f>IF($A304="","",IF(OR($B304="",$C304="",$D304="",$B304&lt;1300,$B304&gt;1500,$C304&lt;1,$C304&gt;12,$D304&lt;1,$D304&gt;31),"نامعتبر",RIGHT("0000"&amp;$B304,4)&amp;"/"&amp;RIGHT("00"&amp;$C304,2)&amp;"/"&amp;RIGHT("00"&amp;$D304,2)))</f>
        <v/>
      </c>
      <c r="F304">
        <f>IF(OR($E304="",$E304="نامعتبر"),"",LEFT($E304,4)&amp;"/"&amp;MID($E304,6,2))</f>
        <v/>
      </c>
      <c r="G304">
        <f>IF(OR($E304="",$E304="نامعتبر",Sync!$X300=""),"",IF(AND(LEFT(UPPER(TRIM(Sync!$X300)),2)="SL",IFERROR(VLOOKUP(Sync!$W300,OpTbl,3,0),"")="فروش"),UPPER(TRIM(Sync!$X300)),""))</f>
        <v/>
      </c>
      <c r="H304">
        <f>IF($G304="","",IF(Sync!$W300="","",Sync!$W300))</f>
        <v/>
      </c>
      <c r="I304">
        <f>IF(OR($G304="",Sync!$Y300=""),"",Sync!$Y300)</f>
        <v/>
      </c>
      <c r="J304">
        <f>IF(OR($G304="",Sync!$Z300=""),"",Sync!$Z300)</f>
        <v/>
      </c>
      <c r="K304">
        <f>IF($G304="",0,IF(Sync!$AA300="",0,Sync!$AA300))</f>
        <v/>
      </c>
      <c r="L304">
        <f>IF($G304="",0,IF(Sync!$AB300="",0,Sync!$AB300))</f>
        <v/>
      </c>
      <c r="M304">
        <f>IF($G304="","",IF($H304="مرجوعی فروش",-1,1)*($K304-$L304*IFERROR(VLOOKUP("P01",ParamTbl,3,0),1.5)))</f>
        <v/>
      </c>
      <c r="N304">
        <f>IF($G304="",0,IF($H304="مرجوعی فروش",-1,1)*IF(Sync!$AC300="",0,Sync!$AC300))</f>
        <v/>
      </c>
      <c r="O304">
        <f>IF(OR($G304="",Sync!$V300=""),"",Sync!$V300)</f>
        <v/>
      </c>
      <c r="P304">
        <f>IF(OR($G304="",Sync!$AD300=""),"",Sync!$AD300)</f>
        <v/>
      </c>
      <c r="Q304">
        <f>IF($G304="","",IF(Sync!$U300="","0000",IF(AND(ISNUMBER(Sync!$U300),Sync!$U300&gt;=0,Sync!$U300&lt;1),RIGHT("00"&amp;HOUR(Sync!$U300),2)&amp;RIGHT("00"&amp;MINUTE(Sync!$U300),2),IFERROR(RIGHT("00"&amp;VALUE(LEFT(Sync!$U300,FIND(":",Sync!$U300)-1)),2)&amp;RIGHT("00"&amp;VALUE(MID(Sync!$U300,FIND(":",Sync!$U300)+1,2)),2),"0000"))))</f>
        <v/>
      </c>
    </row>
    <row r="305">
      <c r="A305">
        <f>IF(Sync!$T301="","",Sync!$T301)</f>
        <v/>
      </c>
      <c r="B305">
        <f>IF($A305="","",IF(ISNUMBER($A305),IF(AND($A305&gt;=10000101,$A305&lt;=99991231),INT($A305/10000),""),IFERROR(VALUE(TRIM(LEFT($A305,FIND("/",$A305)-1))),"")))</f>
        <v/>
      </c>
      <c r="C305">
        <f>IF(OR($A305="",$B305=""),"",IF(ISNUMBER($A305),INT(MOD($A305,10000)/100),IFERROR(VALUE(TRIM(LEFT(MID($A305,FIND("/",$A305)+1,20),FIND("/",MID($A305,FIND("/",$A305)+1,20))-1))),"")))</f>
        <v/>
      </c>
      <c r="D305">
        <f>IF(OR($A305="",$B305=""),"",IF(ISNUMBER($A305),MOD($A305,100),IFERROR(VALUE(TRIM(MID(MID($A305,FIND("/",$A305)+1,20),FIND("/",MID($A305,FIND("/",$A305)+1,20))+1,20))),"")))</f>
        <v/>
      </c>
      <c r="E305">
        <f>IF($A305="","",IF(OR($B305="",$C305="",$D305="",$B305&lt;1300,$B305&gt;1500,$C305&lt;1,$C305&gt;12,$D305&lt;1,$D305&gt;31),"نامعتبر",RIGHT("0000"&amp;$B305,4)&amp;"/"&amp;RIGHT("00"&amp;$C305,2)&amp;"/"&amp;RIGHT("00"&amp;$D305,2)))</f>
        <v/>
      </c>
      <c r="F305">
        <f>IF(OR($E305="",$E305="نامعتبر"),"",LEFT($E305,4)&amp;"/"&amp;MID($E305,6,2))</f>
        <v/>
      </c>
      <c r="G305">
        <f>IF(OR($E305="",$E305="نامعتبر",Sync!$X301=""),"",IF(AND(LEFT(UPPER(TRIM(Sync!$X301)),2)="SL",IFERROR(VLOOKUP(Sync!$W301,OpTbl,3,0),"")="فروش"),UPPER(TRIM(Sync!$X301)),""))</f>
        <v/>
      </c>
      <c r="H305">
        <f>IF($G305="","",IF(Sync!$W301="","",Sync!$W301))</f>
        <v/>
      </c>
      <c r="I305">
        <f>IF(OR($G305="",Sync!$Y301=""),"",Sync!$Y301)</f>
        <v/>
      </c>
      <c r="J305">
        <f>IF(OR($G305="",Sync!$Z301=""),"",Sync!$Z301)</f>
        <v/>
      </c>
      <c r="K305">
        <f>IF($G305="",0,IF(Sync!$AA301="",0,Sync!$AA301))</f>
        <v/>
      </c>
      <c r="L305">
        <f>IF($G305="",0,IF(Sync!$AB301="",0,Sync!$AB301))</f>
        <v/>
      </c>
      <c r="M305">
        <f>IF($G305="","",IF($H305="مرجوعی فروش",-1,1)*($K305-$L305*IFERROR(VLOOKUP("P01",ParamTbl,3,0),1.5)))</f>
        <v/>
      </c>
      <c r="N305">
        <f>IF($G305="",0,IF($H305="مرجوعی فروش",-1,1)*IF(Sync!$AC301="",0,Sync!$AC301))</f>
        <v/>
      </c>
      <c r="O305">
        <f>IF(OR($G305="",Sync!$V301=""),"",Sync!$V301)</f>
        <v/>
      </c>
      <c r="P305">
        <f>IF(OR($G305="",Sync!$AD301=""),"",Sync!$AD301)</f>
        <v/>
      </c>
      <c r="Q305">
        <f>IF($G305="","",IF(Sync!$U301="","0000",IF(AND(ISNUMBER(Sync!$U301),Sync!$U301&gt;=0,Sync!$U301&lt;1),RIGHT("00"&amp;HOUR(Sync!$U301),2)&amp;RIGHT("00"&amp;MINUTE(Sync!$U301),2),IFERROR(RIGHT("00"&amp;VALUE(LEFT(Sync!$U301,FIND(":",Sync!$U301)-1)),2)&amp;RIGHT("00"&amp;VALUE(MID(Sync!$U301,FIND(":",Sync!$U301)+1,2)),2),"0000"))))</f>
        <v/>
      </c>
    </row>
    <row r="306">
      <c r="A306">
        <f>IF(Sync!$T302="","",Sync!$T302)</f>
        <v/>
      </c>
      <c r="B306">
        <f>IF($A306="","",IF(ISNUMBER($A306),IF(AND($A306&gt;=10000101,$A306&lt;=99991231),INT($A306/10000),""),IFERROR(VALUE(TRIM(LEFT($A306,FIND("/",$A306)-1))),"")))</f>
        <v/>
      </c>
      <c r="C306">
        <f>IF(OR($A306="",$B306=""),"",IF(ISNUMBER($A306),INT(MOD($A306,10000)/100),IFERROR(VALUE(TRIM(LEFT(MID($A306,FIND("/",$A306)+1,20),FIND("/",MID($A306,FIND("/",$A306)+1,20))-1))),"")))</f>
        <v/>
      </c>
      <c r="D306">
        <f>IF(OR($A306="",$B306=""),"",IF(ISNUMBER($A306),MOD($A306,100),IFERROR(VALUE(TRIM(MID(MID($A306,FIND("/",$A306)+1,20),FIND("/",MID($A306,FIND("/",$A306)+1,20))+1,20))),"")))</f>
        <v/>
      </c>
      <c r="E306">
        <f>IF($A306="","",IF(OR($B306="",$C306="",$D306="",$B306&lt;1300,$B306&gt;1500,$C306&lt;1,$C306&gt;12,$D306&lt;1,$D306&gt;31),"نامعتبر",RIGHT("0000"&amp;$B306,4)&amp;"/"&amp;RIGHT("00"&amp;$C306,2)&amp;"/"&amp;RIGHT("00"&amp;$D306,2)))</f>
        <v/>
      </c>
      <c r="F306">
        <f>IF(OR($E306="",$E306="نامعتبر"),"",LEFT($E306,4)&amp;"/"&amp;MID($E306,6,2))</f>
        <v/>
      </c>
      <c r="G306">
        <f>IF(OR($E306="",$E306="نامعتبر",Sync!$X302=""),"",IF(AND(LEFT(UPPER(TRIM(Sync!$X302)),2)="SL",IFERROR(VLOOKUP(Sync!$W302,OpTbl,3,0),"")="فروش"),UPPER(TRIM(Sync!$X302)),""))</f>
        <v/>
      </c>
      <c r="H306">
        <f>IF($G306="","",IF(Sync!$W302="","",Sync!$W302))</f>
        <v/>
      </c>
      <c r="I306">
        <f>IF(OR($G306="",Sync!$Y302=""),"",Sync!$Y302)</f>
        <v/>
      </c>
      <c r="J306">
        <f>IF(OR($G306="",Sync!$Z302=""),"",Sync!$Z302)</f>
        <v/>
      </c>
      <c r="K306">
        <f>IF($G306="",0,IF(Sync!$AA302="",0,Sync!$AA302))</f>
        <v/>
      </c>
      <c r="L306">
        <f>IF($G306="",0,IF(Sync!$AB302="",0,Sync!$AB302))</f>
        <v/>
      </c>
      <c r="M306">
        <f>IF($G306="","",IF($H306="مرجوعی فروش",-1,1)*($K306-$L306*IFERROR(VLOOKUP("P01",ParamTbl,3,0),1.5)))</f>
        <v/>
      </c>
      <c r="N306">
        <f>IF($G306="",0,IF($H306="مرجوعی فروش",-1,1)*IF(Sync!$AC302="",0,Sync!$AC302))</f>
        <v/>
      </c>
      <c r="O306">
        <f>IF(OR($G306="",Sync!$V302=""),"",Sync!$V302)</f>
        <v/>
      </c>
      <c r="P306">
        <f>IF(OR($G306="",Sync!$AD302=""),"",Sync!$AD302)</f>
        <v/>
      </c>
      <c r="Q306">
        <f>IF($G306="","",IF(Sync!$U302="","0000",IF(AND(ISNUMBER(Sync!$U302),Sync!$U302&gt;=0,Sync!$U302&lt;1),RIGHT("00"&amp;HOUR(Sync!$U302),2)&amp;RIGHT("00"&amp;MINUTE(Sync!$U302),2),IFERROR(RIGHT("00"&amp;VALUE(LEFT(Sync!$U302,FIND(":",Sync!$U302)-1)),2)&amp;RIGHT("00"&amp;VALUE(MID(Sync!$U302,FIND(":",Sync!$U302)+1,2)),2),"0000"))))</f>
        <v/>
      </c>
    </row>
    <row r="307">
      <c r="A307">
        <f>IF(Sync!$T303="","",Sync!$T303)</f>
        <v/>
      </c>
      <c r="B307">
        <f>IF($A307="","",IF(ISNUMBER($A307),IF(AND($A307&gt;=10000101,$A307&lt;=99991231),INT($A307/10000),""),IFERROR(VALUE(TRIM(LEFT($A307,FIND("/",$A307)-1))),"")))</f>
        <v/>
      </c>
      <c r="C307">
        <f>IF(OR($A307="",$B307=""),"",IF(ISNUMBER($A307),INT(MOD($A307,10000)/100),IFERROR(VALUE(TRIM(LEFT(MID($A307,FIND("/",$A307)+1,20),FIND("/",MID($A307,FIND("/",$A307)+1,20))-1))),"")))</f>
        <v/>
      </c>
      <c r="D307">
        <f>IF(OR($A307="",$B307=""),"",IF(ISNUMBER($A307),MOD($A307,100),IFERROR(VALUE(TRIM(MID(MID($A307,FIND("/",$A307)+1,20),FIND("/",MID($A307,FIND("/",$A307)+1,20))+1,20))),"")))</f>
        <v/>
      </c>
      <c r="E307">
        <f>IF($A307="","",IF(OR($B307="",$C307="",$D307="",$B307&lt;1300,$B307&gt;1500,$C307&lt;1,$C307&gt;12,$D307&lt;1,$D307&gt;31),"نامعتبر",RIGHT("0000"&amp;$B307,4)&amp;"/"&amp;RIGHT("00"&amp;$C307,2)&amp;"/"&amp;RIGHT("00"&amp;$D307,2)))</f>
        <v/>
      </c>
      <c r="F307">
        <f>IF(OR($E307="",$E307="نامعتبر"),"",LEFT($E307,4)&amp;"/"&amp;MID($E307,6,2))</f>
        <v/>
      </c>
      <c r="G307">
        <f>IF(OR($E307="",$E307="نامعتبر",Sync!$X303=""),"",IF(AND(LEFT(UPPER(TRIM(Sync!$X303)),2)="SL",IFERROR(VLOOKUP(Sync!$W303,OpTbl,3,0),"")="فروش"),UPPER(TRIM(Sync!$X303)),""))</f>
        <v/>
      </c>
      <c r="H307">
        <f>IF($G307="","",IF(Sync!$W303="","",Sync!$W303))</f>
        <v/>
      </c>
      <c r="I307">
        <f>IF(OR($G307="",Sync!$Y303=""),"",Sync!$Y303)</f>
        <v/>
      </c>
      <c r="J307">
        <f>IF(OR($G307="",Sync!$Z303=""),"",Sync!$Z303)</f>
        <v/>
      </c>
      <c r="K307">
        <f>IF($G307="",0,IF(Sync!$AA303="",0,Sync!$AA303))</f>
        <v/>
      </c>
      <c r="L307">
        <f>IF($G307="",0,IF(Sync!$AB303="",0,Sync!$AB303))</f>
        <v/>
      </c>
      <c r="M307">
        <f>IF($G307="","",IF($H307="مرجوعی فروش",-1,1)*($K307-$L307*IFERROR(VLOOKUP("P01",ParamTbl,3,0),1.5)))</f>
        <v/>
      </c>
      <c r="N307">
        <f>IF($G307="",0,IF($H307="مرجوعی فروش",-1,1)*IF(Sync!$AC303="",0,Sync!$AC303))</f>
        <v/>
      </c>
      <c r="O307">
        <f>IF(OR($G307="",Sync!$V303=""),"",Sync!$V303)</f>
        <v/>
      </c>
      <c r="P307">
        <f>IF(OR($G307="",Sync!$AD303=""),"",Sync!$AD303)</f>
        <v/>
      </c>
      <c r="Q307">
        <f>IF($G307="","",IF(Sync!$U303="","0000",IF(AND(ISNUMBER(Sync!$U303),Sync!$U303&gt;=0,Sync!$U303&lt;1),RIGHT("00"&amp;HOUR(Sync!$U303),2)&amp;RIGHT("00"&amp;MINUTE(Sync!$U303),2),IFERROR(RIGHT("00"&amp;VALUE(LEFT(Sync!$U303,FIND(":",Sync!$U303)-1)),2)&amp;RIGHT("00"&amp;VALUE(MID(Sync!$U303,FIND(":",Sync!$U303)+1,2)),2),"0000"))))</f>
        <v/>
      </c>
    </row>
    <row r="308">
      <c r="A308">
        <f>IF(Sync!$T304="","",Sync!$T304)</f>
        <v/>
      </c>
      <c r="B308">
        <f>IF($A308="","",IF(ISNUMBER($A308),IF(AND($A308&gt;=10000101,$A308&lt;=99991231),INT($A308/10000),""),IFERROR(VALUE(TRIM(LEFT($A308,FIND("/",$A308)-1))),"")))</f>
        <v/>
      </c>
      <c r="C308">
        <f>IF(OR($A308="",$B308=""),"",IF(ISNUMBER($A308),INT(MOD($A308,10000)/100),IFERROR(VALUE(TRIM(LEFT(MID($A308,FIND("/",$A308)+1,20),FIND("/",MID($A308,FIND("/",$A308)+1,20))-1))),"")))</f>
        <v/>
      </c>
      <c r="D308">
        <f>IF(OR($A308="",$B308=""),"",IF(ISNUMBER($A308),MOD($A308,100),IFERROR(VALUE(TRIM(MID(MID($A308,FIND("/",$A308)+1,20),FIND("/",MID($A308,FIND("/",$A308)+1,20))+1,20))),"")))</f>
        <v/>
      </c>
      <c r="E308">
        <f>IF($A308="","",IF(OR($B308="",$C308="",$D308="",$B308&lt;1300,$B308&gt;1500,$C308&lt;1,$C308&gt;12,$D308&lt;1,$D308&gt;31),"نامعتبر",RIGHT("0000"&amp;$B308,4)&amp;"/"&amp;RIGHT("00"&amp;$C308,2)&amp;"/"&amp;RIGHT("00"&amp;$D308,2)))</f>
        <v/>
      </c>
      <c r="F308">
        <f>IF(OR($E308="",$E308="نامعتبر"),"",LEFT($E308,4)&amp;"/"&amp;MID($E308,6,2))</f>
        <v/>
      </c>
      <c r="G308">
        <f>IF(OR($E308="",$E308="نامعتبر",Sync!$X304=""),"",IF(AND(LEFT(UPPER(TRIM(Sync!$X304)),2)="SL",IFERROR(VLOOKUP(Sync!$W304,OpTbl,3,0),"")="فروش"),UPPER(TRIM(Sync!$X304)),""))</f>
        <v/>
      </c>
      <c r="H308">
        <f>IF($G308="","",IF(Sync!$W304="","",Sync!$W304))</f>
        <v/>
      </c>
      <c r="I308">
        <f>IF(OR($G308="",Sync!$Y304=""),"",Sync!$Y304)</f>
        <v/>
      </c>
      <c r="J308">
        <f>IF(OR($G308="",Sync!$Z304=""),"",Sync!$Z304)</f>
        <v/>
      </c>
      <c r="K308">
        <f>IF($G308="",0,IF(Sync!$AA304="",0,Sync!$AA304))</f>
        <v/>
      </c>
      <c r="L308">
        <f>IF($G308="",0,IF(Sync!$AB304="",0,Sync!$AB304))</f>
        <v/>
      </c>
      <c r="M308">
        <f>IF($G308="","",IF($H308="مرجوعی فروش",-1,1)*($K308-$L308*IFERROR(VLOOKUP("P01",ParamTbl,3,0),1.5)))</f>
        <v/>
      </c>
      <c r="N308">
        <f>IF($G308="",0,IF($H308="مرجوعی فروش",-1,1)*IF(Sync!$AC304="",0,Sync!$AC304))</f>
        <v/>
      </c>
      <c r="O308">
        <f>IF(OR($G308="",Sync!$V304=""),"",Sync!$V304)</f>
        <v/>
      </c>
      <c r="P308">
        <f>IF(OR($G308="",Sync!$AD304=""),"",Sync!$AD304)</f>
        <v/>
      </c>
      <c r="Q308">
        <f>IF($G308="","",IF(Sync!$U304="","0000",IF(AND(ISNUMBER(Sync!$U304),Sync!$U304&gt;=0,Sync!$U304&lt;1),RIGHT("00"&amp;HOUR(Sync!$U304),2)&amp;RIGHT("00"&amp;MINUTE(Sync!$U304),2),IFERROR(RIGHT("00"&amp;VALUE(LEFT(Sync!$U304,FIND(":",Sync!$U304)-1)),2)&amp;RIGHT("00"&amp;VALUE(MID(Sync!$U304,FIND(":",Sync!$U304)+1,2)),2),"0000"))))</f>
        <v/>
      </c>
    </row>
    <row r="309">
      <c r="A309">
        <f>IF(Sync!$T305="","",Sync!$T305)</f>
        <v/>
      </c>
      <c r="B309">
        <f>IF($A309="","",IF(ISNUMBER($A309),IF(AND($A309&gt;=10000101,$A309&lt;=99991231),INT($A309/10000),""),IFERROR(VALUE(TRIM(LEFT($A309,FIND("/",$A309)-1))),"")))</f>
        <v/>
      </c>
      <c r="C309">
        <f>IF(OR($A309="",$B309=""),"",IF(ISNUMBER($A309),INT(MOD($A309,10000)/100),IFERROR(VALUE(TRIM(LEFT(MID($A309,FIND("/",$A309)+1,20),FIND("/",MID($A309,FIND("/",$A309)+1,20))-1))),"")))</f>
        <v/>
      </c>
      <c r="D309">
        <f>IF(OR($A309="",$B309=""),"",IF(ISNUMBER($A309),MOD($A309,100),IFERROR(VALUE(TRIM(MID(MID($A309,FIND("/",$A309)+1,20),FIND("/",MID($A309,FIND("/",$A309)+1,20))+1,20))),"")))</f>
        <v/>
      </c>
      <c r="E309">
        <f>IF($A309="","",IF(OR($B309="",$C309="",$D309="",$B309&lt;1300,$B309&gt;1500,$C309&lt;1,$C309&gt;12,$D309&lt;1,$D309&gt;31),"نامعتبر",RIGHT("0000"&amp;$B309,4)&amp;"/"&amp;RIGHT("00"&amp;$C309,2)&amp;"/"&amp;RIGHT("00"&amp;$D309,2)))</f>
        <v/>
      </c>
      <c r="F309">
        <f>IF(OR($E309="",$E309="نامعتبر"),"",LEFT($E309,4)&amp;"/"&amp;MID($E309,6,2))</f>
        <v/>
      </c>
      <c r="G309">
        <f>IF(OR($E309="",$E309="نامعتبر",Sync!$X305=""),"",IF(AND(LEFT(UPPER(TRIM(Sync!$X305)),2)="SL",IFERROR(VLOOKUP(Sync!$W305,OpTbl,3,0),"")="فروش"),UPPER(TRIM(Sync!$X305)),""))</f>
        <v/>
      </c>
      <c r="H309">
        <f>IF($G309="","",IF(Sync!$W305="","",Sync!$W305))</f>
        <v/>
      </c>
      <c r="I309">
        <f>IF(OR($G309="",Sync!$Y305=""),"",Sync!$Y305)</f>
        <v/>
      </c>
      <c r="J309">
        <f>IF(OR($G309="",Sync!$Z305=""),"",Sync!$Z305)</f>
        <v/>
      </c>
      <c r="K309">
        <f>IF($G309="",0,IF(Sync!$AA305="",0,Sync!$AA305))</f>
        <v/>
      </c>
      <c r="L309">
        <f>IF($G309="",0,IF(Sync!$AB305="",0,Sync!$AB305))</f>
        <v/>
      </c>
      <c r="M309">
        <f>IF($G309="","",IF($H309="مرجوعی فروش",-1,1)*($K309-$L309*IFERROR(VLOOKUP("P01",ParamTbl,3,0),1.5)))</f>
        <v/>
      </c>
      <c r="N309">
        <f>IF($G309="",0,IF($H309="مرجوعی فروش",-1,1)*IF(Sync!$AC305="",0,Sync!$AC305))</f>
        <v/>
      </c>
      <c r="O309">
        <f>IF(OR($G309="",Sync!$V305=""),"",Sync!$V305)</f>
        <v/>
      </c>
      <c r="P309">
        <f>IF(OR($G309="",Sync!$AD305=""),"",Sync!$AD305)</f>
        <v/>
      </c>
      <c r="Q309">
        <f>IF($G309="","",IF(Sync!$U305="","0000",IF(AND(ISNUMBER(Sync!$U305),Sync!$U305&gt;=0,Sync!$U305&lt;1),RIGHT("00"&amp;HOUR(Sync!$U305),2)&amp;RIGHT("00"&amp;MINUTE(Sync!$U305),2),IFERROR(RIGHT("00"&amp;VALUE(LEFT(Sync!$U305,FIND(":",Sync!$U305)-1)),2)&amp;RIGHT("00"&amp;VALUE(MID(Sync!$U305,FIND(":",Sync!$U305)+1,2)),2),"0000"))))</f>
        <v/>
      </c>
    </row>
    <row r="310">
      <c r="A310">
        <f>IF(Sync!$T306="","",Sync!$T306)</f>
        <v/>
      </c>
      <c r="B310">
        <f>IF($A310="","",IF(ISNUMBER($A310),IF(AND($A310&gt;=10000101,$A310&lt;=99991231),INT($A310/10000),""),IFERROR(VALUE(TRIM(LEFT($A310,FIND("/",$A310)-1))),"")))</f>
        <v/>
      </c>
      <c r="C310">
        <f>IF(OR($A310="",$B310=""),"",IF(ISNUMBER($A310),INT(MOD($A310,10000)/100),IFERROR(VALUE(TRIM(LEFT(MID($A310,FIND("/",$A310)+1,20),FIND("/",MID($A310,FIND("/",$A310)+1,20))-1))),"")))</f>
        <v/>
      </c>
      <c r="D310">
        <f>IF(OR($A310="",$B310=""),"",IF(ISNUMBER($A310),MOD($A310,100),IFERROR(VALUE(TRIM(MID(MID($A310,FIND("/",$A310)+1,20),FIND("/",MID($A310,FIND("/",$A310)+1,20))+1,20))),"")))</f>
        <v/>
      </c>
      <c r="E310">
        <f>IF($A310="","",IF(OR($B310="",$C310="",$D310="",$B310&lt;1300,$B310&gt;1500,$C310&lt;1,$C310&gt;12,$D310&lt;1,$D310&gt;31),"نامعتبر",RIGHT("0000"&amp;$B310,4)&amp;"/"&amp;RIGHT("00"&amp;$C310,2)&amp;"/"&amp;RIGHT("00"&amp;$D310,2)))</f>
        <v/>
      </c>
      <c r="F310">
        <f>IF(OR($E310="",$E310="نامعتبر"),"",LEFT($E310,4)&amp;"/"&amp;MID($E310,6,2))</f>
        <v/>
      </c>
      <c r="G310">
        <f>IF(OR($E310="",$E310="نامعتبر",Sync!$X306=""),"",IF(AND(LEFT(UPPER(TRIM(Sync!$X306)),2)="SL",IFERROR(VLOOKUP(Sync!$W306,OpTbl,3,0),"")="فروش"),UPPER(TRIM(Sync!$X306)),""))</f>
        <v/>
      </c>
      <c r="H310">
        <f>IF($G310="","",IF(Sync!$W306="","",Sync!$W306))</f>
        <v/>
      </c>
      <c r="I310">
        <f>IF(OR($G310="",Sync!$Y306=""),"",Sync!$Y306)</f>
        <v/>
      </c>
      <c r="J310">
        <f>IF(OR($G310="",Sync!$Z306=""),"",Sync!$Z306)</f>
        <v/>
      </c>
      <c r="K310">
        <f>IF($G310="",0,IF(Sync!$AA306="",0,Sync!$AA306))</f>
        <v/>
      </c>
      <c r="L310">
        <f>IF($G310="",0,IF(Sync!$AB306="",0,Sync!$AB306))</f>
        <v/>
      </c>
      <c r="M310">
        <f>IF($G310="","",IF($H310="مرجوعی فروش",-1,1)*($K310-$L310*IFERROR(VLOOKUP("P01",ParamTbl,3,0),1.5)))</f>
        <v/>
      </c>
      <c r="N310">
        <f>IF($G310="",0,IF($H310="مرجوعی فروش",-1,1)*IF(Sync!$AC306="",0,Sync!$AC306))</f>
        <v/>
      </c>
      <c r="O310">
        <f>IF(OR($G310="",Sync!$V306=""),"",Sync!$V306)</f>
        <v/>
      </c>
      <c r="P310">
        <f>IF(OR($G310="",Sync!$AD306=""),"",Sync!$AD306)</f>
        <v/>
      </c>
      <c r="Q310">
        <f>IF($G310="","",IF(Sync!$U306="","0000",IF(AND(ISNUMBER(Sync!$U306),Sync!$U306&gt;=0,Sync!$U306&lt;1),RIGHT("00"&amp;HOUR(Sync!$U306),2)&amp;RIGHT("00"&amp;MINUTE(Sync!$U306),2),IFERROR(RIGHT("00"&amp;VALUE(LEFT(Sync!$U306,FIND(":",Sync!$U306)-1)),2)&amp;RIGHT("00"&amp;VALUE(MID(Sync!$U306,FIND(":",Sync!$U306)+1,2)),2),"0000"))))</f>
        <v/>
      </c>
    </row>
    <row r="311">
      <c r="A311">
        <f>IF(Sync!$T307="","",Sync!$T307)</f>
        <v/>
      </c>
      <c r="B311">
        <f>IF($A311="","",IF(ISNUMBER($A311),IF(AND($A311&gt;=10000101,$A311&lt;=99991231),INT($A311/10000),""),IFERROR(VALUE(TRIM(LEFT($A311,FIND("/",$A311)-1))),"")))</f>
        <v/>
      </c>
      <c r="C311">
        <f>IF(OR($A311="",$B311=""),"",IF(ISNUMBER($A311),INT(MOD($A311,10000)/100),IFERROR(VALUE(TRIM(LEFT(MID($A311,FIND("/",$A311)+1,20),FIND("/",MID($A311,FIND("/",$A311)+1,20))-1))),"")))</f>
        <v/>
      </c>
      <c r="D311">
        <f>IF(OR($A311="",$B311=""),"",IF(ISNUMBER($A311),MOD($A311,100),IFERROR(VALUE(TRIM(MID(MID($A311,FIND("/",$A311)+1,20),FIND("/",MID($A311,FIND("/",$A311)+1,20))+1,20))),"")))</f>
        <v/>
      </c>
      <c r="E311">
        <f>IF($A311="","",IF(OR($B311="",$C311="",$D311="",$B311&lt;1300,$B311&gt;1500,$C311&lt;1,$C311&gt;12,$D311&lt;1,$D311&gt;31),"نامعتبر",RIGHT("0000"&amp;$B311,4)&amp;"/"&amp;RIGHT("00"&amp;$C311,2)&amp;"/"&amp;RIGHT("00"&amp;$D311,2)))</f>
        <v/>
      </c>
      <c r="F311">
        <f>IF(OR($E311="",$E311="نامعتبر"),"",LEFT($E311,4)&amp;"/"&amp;MID($E311,6,2))</f>
        <v/>
      </c>
      <c r="G311">
        <f>IF(OR($E311="",$E311="نامعتبر",Sync!$X307=""),"",IF(AND(LEFT(UPPER(TRIM(Sync!$X307)),2)="SL",IFERROR(VLOOKUP(Sync!$W307,OpTbl,3,0),"")="فروش"),UPPER(TRIM(Sync!$X307)),""))</f>
        <v/>
      </c>
      <c r="H311">
        <f>IF($G311="","",IF(Sync!$W307="","",Sync!$W307))</f>
        <v/>
      </c>
      <c r="I311">
        <f>IF(OR($G311="",Sync!$Y307=""),"",Sync!$Y307)</f>
        <v/>
      </c>
      <c r="J311">
        <f>IF(OR($G311="",Sync!$Z307=""),"",Sync!$Z307)</f>
        <v/>
      </c>
      <c r="K311">
        <f>IF($G311="",0,IF(Sync!$AA307="",0,Sync!$AA307))</f>
        <v/>
      </c>
      <c r="L311">
        <f>IF($G311="",0,IF(Sync!$AB307="",0,Sync!$AB307))</f>
        <v/>
      </c>
      <c r="M311">
        <f>IF($G311="","",IF($H311="مرجوعی فروش",-1,1)*($K311-$L311*IFERROR(VLOOKUP("P01",ParamTbl,3,0),1.5)))</f>
        <v/>
      </c>
      <c r="N311">
        <f>IF($G311="",0,IF($H311="مرجوعی فروش",-1,1)*IF(Sync!$AC307="",0,Sync!$AC307))</f>
        <v/>
      </c>
      <c r="O311">
        <f>IF(OR($G311="",Sync!$V307=""),"",Sync!$V307)</f>
        <v/>
      </c>
      <c r="P311">
        <f>IF(OR($G311="",Sync!$AD307=""),"",Sync!$AD307)</f>
        <v/>
      </c>
      <c r="Q311">
        <f>IF($G311="","",IF(Sync!$U307="","0000",IF(AND(ISNUMBER(Sync!$U307),Sync!$U307&gt;=0,Sync!$U307&lt;1),RIGHT("00"&amp;HOUR(Sync!$U307),2)&amp;RIGHT("00"&amp;MINUTE(Sync!$U307),2),IFERROR(RIGHT("00"&amp;VALUE(LEFT(Sync!$U307,FIND(":",Sync!$U307)-1)),2)&amp;RIGHT("00"&amp;VALUE(MID(Sync!$U307,FIND(":",Sync!$U307)+1,2)),2),"0000"))))</f>
        <v/>
      </c>
    </row>
    <row r="312">
      <c r="A312">
        <f>IF(Sync!$T308="","",Sync!$T308)</f>
        <v/>
      </c>
      <c r="B312">
        <f>IF($A312="","",IF(ISNUMBER($A312),IF(AND($A312&gt;=10000101,$A312&lt;=99991231),INT($A312/10000),""),IFERROR(VALUE(TRIM(LEFT($A312,FIND("/",$A312)-1))),"")))</f>
        <v/>
      </c>
      <c r="C312">
        <f>IF(OR($A312="",$B312=""),"",IF(ISNUMBER($A312),INT(MOD($A312,10000)/100),IFERROR(VALUE(TRIM(LEFT(MID($A312,FIND("/",$A312)+1,20),FIND("/",MID($A312,FIND("/",$A312)+1,20))-1))),"")))</f>
        <v/>
      </c>
      <c r="D312">
        <f>IF(OR($A312="",$B312=""),"",IF(ISNUMBER($A312),MOD($A312,100),IFERROR(VALUE(TRIM(MID(MID($A312,FIND("/",$A312)+1,20),FIND("/",MID($A312,FIND("/",$A312)+1,20))+1,20))),"")))</f>
        <v/>
      </c>
      <c r="E312">
        <f>IF($A312="","",IF(OR($B312="",$C312="",$D312="",$B312&lt;1300,$B312&gt;1500,$C312&lt;1,$C312&gt;12,$D312&lt;1,$D312&gt;31),"نامعتبر",RIGHT("0000"&amp;$B312,4)&amp;"/"&amp;RIGHT("00"&amp;$C312,2)&amp;"/"&amp;RIGHT("00"&amp;$D312,2)))</f>
        <v/>
      </c>
      <c r="F312">
        <f>IF(OR($E312="",$E312="نامعتبر"),"",LEFT($E312,4)&amp;"/"&amp;MID($E312,6,2))</f>
        <v/>
      </c>
      <c r="G312">
        <f>IF(OR($E312="",$E312="نامعتبر",Sync!$X308=""),"",IF(AND(LEFT(UPPER(TRIM(Sync!$X308)),2)="SL",IFERROR(VLOOKUP(Sync!$W308,OpTbl,3,0),"")="فروش"),UPPER(TRIM(Sync!$X308)),""))</f>
        <v/>
      </c>
      <c r="H312">
        <f>IF($G312="","",IF(Sync!$W308="","",Sync!$W308))</f>
        <v/>
      </c>
      <c r="I312">
        <f>IF(OR($G312="",Sync!$Y308=""),"",Sync!$Y308)</f>
        <v/>
      </c>
      <c r="J312">
        <f>IF(OR($G312="",Sync!$Z308=""),"",Sync!$Z308)</f>
        <v/>
      </c>
      <c r="K312">
        <f>IF($G312="",0,IF(Sync!$AA308="",0,Sync!$AA308))</f>
        <v/>
      </c>
      <c r="L312">
        <f>IF($G312="",0,IF(Sync!$AB308="",0,Sync!$AB308))</f>
        <v/>
      </c>
      <c r="M312">
        <f>IF($G312="","",IF($H312="مرجوعی فروش",-1,1)*($K312-$L312*IFERROR(VLOOKUP("P01",ParamTbl,3,0),1.5)))</f>
        <v/>
      </c>
      <c r="N312">
        <f>IF($G312="",0,IF($H312="مرجوعی فروش",-1,1)*IF(Sync!$AC308="",0,Sync!$AC308))</f>
        <v/>
      </c>
      <c r="O312">
        <f>IF(OR($G312="",Sync!$V308=""),"",Sync!$V308)</f>
        <v/>
      </c>
      <c r="P312">
        <f>IF(OR($G312="",Sync!$AD308=""),"",Sync!$AD308)</f>
        <v/>
      </c>
      <c r="Q312">
        <f>IF($G312="","",IF(Sync!$U308="","0000",IF(AND(ISNUMBER(Sync!$U308),Sync!$U308&gt;=0,Sync!$U308&lt;1),RIGHT("00"&amp;HOUR(Sync!$U308),2)&amp;RIGHT("00"&amp;MINUTE(Sync!$U308),2),IFERROR(RIGHT("00"&amp;VALUE(LEFT(Sync!$U308,FIND(":",Sync!$U308)-1)),2)&amp;RIGHT("00"&amp;VALUE(MID(Sync!$U308,FIND(":",Sync!$U308)+1,2)),2),"0000"))))</f>
        <v/>
      </c>
    </row>
    <row r="313">
      <c r="A313">
        <f>IF(Sync!$T309="","",Sync!$T309)</f>
        <v/>
      </c>
      <c r="B313">
        <f>IF($A313="","",IF(ISNUMBER($A313),IF(AND($A313&gt;=10000101,$A313&lt;=99991231),INT($A313/10000),""),IFERROR(VALUE(TRIM(LEFT($A313,FIND("/",$A313)-1))),"")))</f>
        <v/>
      </c>
      <c r="C313">
        <f>IF(OR($A313="",$B313=""),"",IF(ISNUMBER($A313),INT(MOD($A313,10000)/100),IFERROR(VALUE(TRIM(LEFT(MID($A313,FIND("/",$A313)+1,20),FIND("/",MID($A313,FIND("/",$A313)+1,20))-1))),"")))</f>
        <v/>
      </c>
      <c r="D313">
        <f>IF(OR($A313="",$B313=""),"",IF(ISNUMBER($A313),MOD($A313,100),IFERROR(VALUE(TRIM(MID(MID($A313,FIND("/",$A313)+1,20),FIND("/",MID($A313,FIND("/",$A313)+1,20))+1,20))),"")))</f>
        <v/>
      </c>
      <c r="E313">
        <f>IF($A313="","",IF(OR($B313="",$C313="",$D313="",$B313&lt;1300,$B313&gt;1500,$C313&lt;1,$C313&gt;12,$D313&lt;1,$D313&gt;31),"نامعتبر",RIGHT("0000"&amp;$B313,4)&amp;"/"&amp;RIGHT("00"&amp;$C313,2)&amp;"/"&amp;RIGHT("00"&amp;$D313,2)))</f>
        <v/>
      </c>
      <c r="F313">
        <f>IF(OR($E313="",$E313="نامعتبر"),"",LEFT($E313,4)&amp;"/"&amp;MID($E313,6,2))</f>
        <v/>
      </c>
      <c r="G313">
        <f>IF(OR($E313="",$E313="نامعتبر",Sync!$X309=""),"",IF(AND(LEFT(UPPER(TRIM(Sync!$X309)),2)="SL",IFERROR(VLOOKUP(Sync!$W309,OpTbl,3,0),"")="فروش"),UPPER(TRIM(Sync!$X309)),""))</f>
        <v/>
      </c>
      <c r="H313">
        <f>IF($G313="","",IF(Sync!$W309="","",Sync!$W309))</f>
        <v/>
      </c>
      <c r="I313">
        <f>IF(OR($G313="",Sync!$Y309=""),"",Sync!$Y309)</f>
        <v/>
      </c>
      <c r="J313">
        <f>IF(OR($G313="",Sync!$Z309=""),"",Sync!$Z309)</f>
        <v/>
      </c>
      <c r="K313">
        <f>IF($G313="",0,IF(Sync!$AA309="",0,Sync!$AA309))</f>
        <v/>
      </c>
      <c r="L313">
        <f>IF($G313="",0,IF(Sync!$AB309="",0,Sync!$AB309))</f>
        <v/>
      </c>
      <c r="M313">
        <f>IF($G313="","",IF($H313="مرجوعی فروش",-1,1)*($K313-$L313*IFERROR(VLOOKUP("P01",ParamTbl,3,0),1.5)))</f>
        <v/>
      </c>
      <c r="N313">
        <f>IF($G313="",0,IF($H313="مرجوعی فروش",-1,1)*IF(Sync!$AC309="",0,Sync!$AC309))</f>
        <v/>
      </c>
      <c r="O313">
        <f>IF(OR($G313="",Sync!$V309=""),"",Sync!$V309)</f>
        <v/>
      </c>
      <c r="P313">
        <f>IF(OR($G313="",Sync!$AD309=""),"",Sync!$AD309)</f>
        <v/>
      </c>
      <c r="Q313">
        <f>IF($G313="","",IF(Sync!$U309="","0000",IF(AND(ISNUMBER(Sync!$U309),Sync!$U309&gt;=0,Sync!$U309&lt;1),RIGHT("00"&amp;HOUR(Sync!$U309),2)&amp;RIGHT("00"&amp;MINUTE(Sync!$U309),2),IFERROR(RIGHT("00"&amp;VALUE(LEFT(Sync!$U309,FIND(":",Sync!$U309)-1)),2)&amp;RIGHT("00"&amp;VALUE(MID(Sync!$U309,FIND(":",Sync!$U309)+1,2)),2),"0000"))))</f>
        <v/>
      </c>
    </row>
    <row r="314">
      <c r="A314">
        <f>IF(Sync!$T310="","",Sync!$T310)</f>
        <v/>
      </c>
      <c r="B314">
        <f>IF($A314="","",IF(ISNUMBER($A314),IF(AND($A314&gt;=10000101,$A314&lt;=99991231),INT($A314/10000),""),IFERROR(VALUE(TRIM(LEFT($A314,FIND("/",$A314)-1))),"")))</f>
        <v/>
      </c>
      <c r="C314">
        <f>IF(OR($A314="",$B314=""),"",IF(ISNUMBER($A314),INT(MOD($A314,10000)/100),IFERROR(VALUE(TRIM(LEFT(MID($A314,FIND("/",$A314)+1,20),FIND("/",MID($A314,FIND("/",$A314)+1,20))-1))),"")))</f>
        <v/>
      </c>
      <c r="D314">
        <f>IF(OR($A314="",$B314=""),"",IF(ISNUMBER($A314),MOD($A314,100),IFERROR(VALUE(TRIM(MID(MID($A314,FIND("/",$A314)+1,20),FIND("/",MID($A314,FIND("/",$A314)+1,20))+1,20))),"")))</f>
        <v/>
      </c>
      <c r="E314">
        <f>IF($A314="","",IF(OR($B314="",$C314="",$D314="",$B314&lt;1300,$B314&gt;1500,$C314&lt;1,$C314&gt;12,$D314&lt;1,$D314&gt;31),"نامعتبر",RIGHT("0000"&amp;$B314,4)&amp;"/"&amp;RIGHT("00"&amp;$C314,2)&amp;"/"&amp;RIGHT("00"&amp;$D314,2)))</f>
        <v/>
      </c>
      <c r="F314">
        <f>IF(OR($E314="",$E314="نامعتبر"),"",LEFT($E314,4)&amp;"/"&amp;MID($E314,6,2))</f>
        <v/>
      </c>
      <c r="G314">
        <f>IF(OR($E314="",$E314="نامعتبر",Sync!$X310=""),"",IF(AND(LEFT(UPPER(TRIM(Sync!$X310)),2)="SL",IFERROR(VLOOKUP(Sync!$W310,OpTbl,3,0),"")="فروش"),UPPER(TRIM(Sync!$X310)),""))</f>
        <v/>
      </c>
      <c r="H314">
        <f>IF($G314="","",IF(Sync!$W310="","",Sync!$W310))</f>
        <v/>
      </c>
      <c r="I314">
        <f>IF(OR($G314="",Sync!$Y310=""),"",Sync!$Y310)</f>
        <v/>
      </c>
      <c r="J314">
        <f>IF(OR($G314="",Sync!$Z310=""),"",Sync!$Z310)</f>
        <v/>
      </c>
      <c r="K314">
        <f>IF($G314="",0,IF(Sync!$AA310="",0,Sync!$AA310))</f>
        <v/>
      </c>
      <c r="L314">
        <f>IF($G314="",0,IF(Sync!$AB310="",0,Sync!$AB310))</f>
        <v/>
      </c>
      <c r="M314">
        <f>IF($G314="","",IF($H314="مرجوعی فروش",-1,1)*($K314-$L314*IFERROR(VLOOKUP("P01",ParamTbl,3,0),1.5)))</f>
        <v/>
      </c>
      <c r="N314">
        <f>IF($G314="",0,IF($H314="مرجوعی فروش",-1,1)*IF(Sync!$AC310="",0,Sync!$AC310))</f>
        <v/>
      </c>
      <c r="O314">
        <f>IF(OR($G314="",Sync!$V310=""),"",Sync!$V310)</f>
        <v/>
      </c>
      <c r="P314">
        <f>IF(OR($G314="",Sync!$AD310=""),"",Sync!$AD310)</f>
        <v/>
      </c>
      <c r="Q314">
        <f>IF($G314="","",IF(Sync!$U310="","0000",IF(AND(ISNUMBER(Sync!$U310),Sync!$U310&gt;=0,Sync!$U310&lt;1),RIGHT("00"&amp;HOUR(Sync!$U310),2)&amp;RIGHT("00"&amp;MINUTE(Sync!$U310),2),IFERROR(RIGHT("00"&amp;VALUE(LEFT(Sync!$U310,FIND(":",Sync!$U310)-1)),2)&amp;RIGHT("00"&amp;VALUE(MID(Sync!$U310,FIND(":",Sync!$U310)+1,2)),2),"0000"))))</f>
        <v/>
      </c>
    </row>
    <row r="315">
      <c r="A315">
        <f>IF(Sync!$T311="","",Sync!$T311)</f>
        <v/>
      </c>
      <c r="B315">
        <f>IF($A315="","",IF(ISNUMBER($A315),IF(AND($A315&gt;=10000101,$A315&lt;=99991231),INT($A315/10000),""),IFERROR(VALUE(TRIM(LEFT($A315,FIND("/",$A315)-1))),"")))</f>
        <v/>
      </c>
      <c r="C315">
        <f>IF(OR($A315="",$B315=""),"",IF(ISNUMBER($A315),INT(MOD($A315,10000)/100),IFERROR(VALUE(TRIM(LEFT(MID($A315,FIND("/",$A315)+1,20),FIND("/",MID($A315,FIND("/",$A315)+1,20))-1))),"")))</f>
        <v/>
      </c>
      <c r="D315">
        <f>IF(OR($A315="",$B315=""),"",IF(ISNUMBER($A315),MOD($A315,100),IFERROR(VALUE(TRIM(MID(MID($A315,FIND("/",$A315)+1,20),FIND("/",MID($A315,FIND("/",$A315)+1,20))+1,20))),"")))</f>
        <v/>
      </c>
      <c r="E315">
        <f>IF($A315="","",IF(OR($B315="",$C315="",$D315="",$B315&lt;1300,$B315&gt;1500,$C315&lt;1,$C315&gt;12,$D315&lt;1,$D315&gt;31),"نامعتبر",RIGHT("0000"&amp;$B315,4)&amp;"/"&amp;RIGHT("00"&amp;$C315,2)&amp;"/"&amp;RIGHT("00"&amp;$D315,2)))</f>
        <v/>
      </c>
      <c r="F315">
        <f>IF(OR($E315="",$E315="نامعتبر"),"",LEFT($E315,4)&amp;"/"&amp;MID($E315,6,2))</f>
        <v/>
      </c>
      <c r="G315">
        <f>IF(OR($E315="",$E315="نامعتبر",Sync!$X311=""),"",IF(AND(LEFT(UPPER(TRIM(Sync!$X311)),2)="SL",IFERROR(VLOOKUP(Sync!$W311,OpTbl,3,0),"")="فروش"),UPPER(TRIM(Sync!$X311)),""))</f>
        <v/>
      </c>
      <c r="H315">
        <f>IF($G315="","",IF(Sync!$W311="","",Sync!$W311))</f>
        <v/>
      </c>
      <c r="I315">
        <f>IF(OR($G315="",Sync!$Y311=""),"",Sync!$Y311)</f>
        <v/>
      </c>
      <c r="J315">
        <f>IF(OR($G315="",Sync!$Z311=""),"",Sync!$Z311)</f>
        <v/>
      </c>
      <c r="K315">
        <f>IF($G315="",0,IF(Sync!$AA311="",0,Sync!$AA311))</f>
        <v/>
      </c>
      <c r="L315">
        <f>IF($G315="",0,IF(Sync!$AB311="",0,Sync!$AB311))</f>
        <v/>
      </c>
      <c r="M315">
        <f>IF($G315="","",IF($H315="مرجوعی فروش",-1,1)*($K315-$L315*IFERROR(VLOOKUP("P01",ParamTbl,3,0),1.5)))</f>
        <v/>
      </c>
      <c r="N315">
        <f>IF($G315="",0,IF($H315="مرجوعی فروش",-1,1)*IF(Sync!$AC311="",0,Sync!$AC311))</f>
        <v/>
      </c>
      <c r="O315">
        <f>IF(OR($G315="",Sync!$V311=""),"",Sync!$V311)</f>
        <v/>
      </c>
      <c r="P315">
        <f>IF(OR($G315="",Sync!$AD311=""),"",Sync!$AD311)</f>
        <v/>
      </c>
      <c r="Q315">
        <f>IF($G315="","",IF(Sync!$U311="","0000",IF(AND(ISNUMBER(Sync!$U311),Sync!$U311&gt;=0,Sync!$U311&lt;1),RIGHT("00"&amp;HOUR(Sync!$U311),2)&amp;RIGHT("00"&amp;MINUTE(Sync!$U311),2),IFERROR(RIGHT("00"&amp;VALUE(LEFT(Sync!$U311,FIND(":",Sync!$U311)-1)),2)&amp;RIGHT("00"&amp;VALUE(MID(Sync!$U311,FIND(":",Sync!$U311)+1,2)),2),"0000"))))</f>
        <v/>
      </c>
    </row>
    <row r="316">
      <c r="A316">
        <f>IF(Sync!$T312="","",Sync!$T312)</f>
        <v/>
      </c>
      <c r="B316">
        <f>IF($A316="","",IF(ISNUMBER($A316),IF(AND($A316&gt;=10000101,$A316&lt;=99991231),INT($A316/10000),""),IFERROR(VALUE(TRIM(LEFT($A316,FIND("/",$A316)-1))),"")))</f>
        <v/>
      </c>
      <c r="C316">
        <f>IF(OR($A316="",$B316=""),"",IF(ISNUMBER($A316),INT(MOD($A316,10000)/100),IFERROR(VALUE(TRIM(LEFT(MID($A316,FIND("/",$A316)+1,20),FIND("/",MID($A316,FIND("/",$A316)+1,20))-1))),"")))</f>
        <v/>
      </c>
      <c r="D316">
        <f>IF(OR($A316="",$B316=""),"",IF(ISNUMBER($A316),MOD($A316,100),IFERROR(VALUE(TRIM(MID(MID($A316,FIND("/",$A316)+1,20),FIND("/",MID($A316,FIND("/",$A316)+1,20))+1,20))),"")))</f>
        <v/>
      </c>
      <c r="E316">
        <f>IF($A316="","",IF(OR($B316="",$C316="",$D316="",$B316&lt;1300,$B316&gt;1500,$C316&lt;1,$C316&gt;12,$D316&lt;1,$D316&gt;31),"نامعتبر",RIGHT("0000"&amp;$B316,4)&amp;"/"&amp;RIGHT("00"&amp;$C316,2)&amp;"/"&amp;RIGHT("00"&amp;$D316,2)))</f>
        <v/>
      </c>
      <c r="F316">
        <f>IF(OR($E316="",$E316="نامعتبر"),"",LEFT($E316,4)&amp;"/"&amp;MID($E316,6,2))</f>
        <v/>
      </c>
      <c r="G316">
        <f>IF(OR($E316="",$E316="نامعتبر",Sync!$X312=""),"",IF(AND(LEFT(UPPER(TRIM(Sync!$X312)),2)="SL",IFERROR(VLOOKUP(Sync!$W312,OpTbl,3,0),"")="فروش"),UPPER(TRIM(Sync!$X312)),""))</f>
        <v/>
      </c>
      <c r="H316">
        <f>IF($G316="","",IF(Sync!$W312="","",Sync!$W312))</f>
        <v/>
      </c>
      <c r="I316">
        <f>IF(OR($G316="",Sync!$Y312=""),"",Sync!$Y312)</f>
        <v/>
      </c>
      <c r="J316">
        <f>IF(OR($G316="",Sync!$Z312=""),"",Sync!$Z312)</f>
        <v/>
      </c>
      <c r="K316">
        <f>IF($G316="",0,IF(Sync!$AA312="",0,Sync!$AA312))</f>
        <v/>
      </c>
      <c r="L316">
        <f>IF($G316="",0,IF(Sync!$AB312="",0,Sync!$AB312))</f>
        <v/>
      </c>
      <c r="M316">
        <f>IF($G316="","",IF($H316="مرجوعی فروش",-1,1)*($K316-$L316*IFERROR(VLOOKUP("P01",ParamTbl,3,0),1.5)))</f>
        <v/>
      </c>
      <c r="N316">
        <f>IF($G316="",0,IF($H316="مرجوعی فروش",-1,1)*IF(Sync!$AC312="",0,Sync!$AC312))</f>
        <v/>
      </c>
      <c r="O316">
        <f>IF(OR($G316="",Sync!$V312=""),"",Sync!$V312)</f>
        <v/>
      </c>
      <c r="P316">
        <f>IF(OR($G316="",Sync!$AD312=""),"",Sync!$AD312)</f>
        <v/>
      </c>
      <c r="Q316">
        <f>IF($G316="","",IF(Sync!$U312="","0000",IF(AND(ISNUMBER(Sync!$U312),Sync!$U312&gt;=0,Sync!$U312&lt;1),RIGHT("00"&amp;HOUR(Sync!$U312),2)&amp;RIGHT("00"&amp;MINUTE(Sync!$U312),2),IFERROR(RIGHT("00"&amp;VALUE(LEFT(Sync!$U312,FIND(":",Sync!$U312)-1)),2)&amp;RIGHT("00"&amp;VALUE(MID(Sync!$U312,FIND(":",Sync!$U312)+1,2)),2),"0000"))))</f>
        <v/>
      </c>
    </row>
    <row r="317">
      <c r="A317">
        <f>IF(Sync!$T313="","",Sync!$T313)</f>
        <v/>
      </c>
      <c r="B317">
        <f>IF($A317="","",IF(ISNUMBER($A317),IF(AND($A317&gt;=10000101,$A317&lt;=99991231),INT($A317/10000),""),IFERROR(VALUE(TRIM(LEFT($A317,FIND("/",$A317)-1))),"")))</f>
        <v/>
      </c>
      <c r="C317">
        <f>IF(OR($A317="",$B317=""),"",IF(ISNUMBER($A317),INT(MOD($A317,10000)/100),IFERROR(VALUE(TRIM(LEFT(MID($A317,FIND("/",$A317)+1,20),FIND("/",MID($A317,FIND("/",$A317)+1,20))-1))),"")))</f>
        <v/>
      </c>
      <c r="D317">
        <f>IF(OR($A317="",$B317=""),"",IF(ISNUMBER($A317),MOD($A317,100),IFERROR(VALUE(TRIM(MID(MID($A317,FIND("/",$A317)+1,20),FIND("/",MID($A317,FIND("/",$A317)+1,20))+1,20))),"")))</f>
        <v/>
      </c>
      <c r="E317">
        <f>IF($A317="","",IF(OR($B317="",$C317="",$D317="",$B317&lt;1300,$B317&gt;1500,$C317&lt;1,$C317&gt;12,$D317&lt;1,$D317&gt;31),"نامعتبر",RIGHT("0000"&amp;$B317,4)&amp;"/"&amp;RIGHT("00"&amp;$C317,2)&amp;"/"&amp;RIGHT("00"&amp;$D317,2)))</f>
        <v/>
      </c>
      <c r="F317">
        <f>IF(OR($E317="",$E317="نامعتبر"),"",LEFT($E317,4)&amp;"/"&amp;MID($E317,6,2))</f>
        <v/>
      </c>
      <c r="G317">
        <f>IF(OR($E317="",$E317="نامعتبر",Sync!$X313=""),"",IF(AND(LEFT(UPPER(TRIM(Sync!$X313)),2)="SL",IFERROR(VLOOKUP(Sync!$W313,OpTbl,3,0),"")="فروش"),UPPER(TRIM(Sync!$X313)),""))</f>
        <v/>
      </c>
      <c r="H317">
        <f>IF($G317="","",IF(Sync!$W313="","",Sync!$W313))</f>
        <v/>
      </c>
      <c r="I317">
        <f>IF(OR($G317="",Sync!$Y313=""),"",Sync!$Y313)</f>
        <v/>
      </c>
      <c r="J317">
        <f>IF(OR($G317="",Sync!$Z313=""),"",Sync!$Z313)</f>
        <v/>
      </c>
      <c r="K317">
        <f>IF($G317="",0,IF(Sync!$AA313="",0,Sync!$AA313))</f>
        <v/>
      </c>
      <c r="L317">
        <f>IF($G317="",0,IF(Sync!$AB313="",0,Sync!$AB313))</f>
        <v/>
      </c>
      <c r="M317">
        <f>IF($G317="","",IF($H317="مرجوعی فروش",-1,1)*($K317-$L317*IFERROR(VLOOKUP("P01",ParamTbl,3,0),1.5)))</f>
        <v/>
      </c>
      <c r="N317">
        <f>IF($G317="",0,IF($H317="مرجوعی فروش",-1,1)*IF(Sync!$AC313="",0,Sync!$AC313))</f>
        <v/>
      </c>
      <c r="O317">
        <f>IF(OR($G317="",Sync!$V313=""),"",Sync!$V313)</f>
        <v/>
      </c>
      <c r="P317">
        <f>IF(OR($G317="",Sync!$AD313=""),"",Sync!$AD313)</f>
        <v/>
      </c>
      <c r="Q317">
        <f>IF($G317="","",IF(Sync!$U313="","0000",IF(AND(ISNUMBER(Sync!$U313),Sync!$U313&gt;=0,Sync!$U313&lt;1),RIGHT("00"&amp;HOUR(Sync!$U313),2)&amp;RIGHT("00"&amp;MINUTE(Sync!$U313),2),IFERROR(RIGHT("00"&amp;VALUE(LEFT(Sync!$U313,FIND(":",Sync!$U313)-1)),2)&amp;RIGHT("00"&amp;VALUE(MID(Sync!$U313,FIND(":",Sync!$U313)+1,2)),2),"0000"))))</f>
        <v/>
      </c>
    </row>
    <row r="318">
      <c r="A318">
        <f>IF(Sync!$T314="","",Sync!$T314)</f>
        <v/>
      </c>
      <c r="B318">
        <f>IF($A318="","",IF(ISNUMBER($A318),IF(AND($A318&gt;=10000101,$A318&lt;=99991231),INT($A318/10000),""),IFERROR(VALUE(TRIM(LEFT($A318,FIND("/",$A318)-1))),"")))</f>
        <v/>
      </c>
      <c r="C318">
        <f>IF(OR($A318="",$B318=""),"",IF(ISNUMBER($A318),INT(MOD($A318,10000)/100),IFERROR(VALUE(TRIM(LEFT(MID($A318,FIND("/",$A318)+1,20),FIND("/",MID($A318,FIND("/",$A318)+1,20))-1))),"")))</f>
        <v/>
      </c>
      <c r="D318">
        <f>IF(OR($A318="",$B318=""),"",IF(ISNUMBER($A318),MOD($A318,100),IFERROR(VALUE(TRIM(MID(MID($A318,FIND("/",$A318)+1,20),FIND("/",MID($A318,FIND("/",$A318)+1,20))+1,20))),"")))</f>
        <v/>
      </c>
      <c r="E318">
        <f>IF($A318="","",IF(OR($B318="",$C318="",$D318="",$B318&lt;1300,$B318&gt;1500,$C318&lt;1,$C318&gt;12,$D318&lt;1,$D318&gt;31),"نامعتبر",RIGHT("0000"&amp;$B318,4)&amp;"/"&amp;RIGHT("00"&amp;$C318,2)&amp;"/"&amp;RIGHT("00"&amp;$D318,2)))</f>
        <v/>
      </c>
      <c r="F318">
        <f>IF(OR($E318="",$E318="نامعتبر"),"",LEFT($E318,4)&amp;"/"&amp;MID($E318,6,2))</f>
        <v/>
      </c>
      <c r="G318">
        <f>IF(OR($E318="",$E318="نامعتبر",Sync!$X314=""),"",IF(AND(LEFT(UPPER(TRIM(Sync!$X314)),2)="SL",IFERROR(VLOOKUP(Sync!$W314,OpTbl,3,0),"")="فروش"),UPPER(TRIM(Sync!$X314)),""))</f>
        <v/>
      </c>
      <c r="H318">
        <f>IF($G318="","",IF(Sync!$W314="","",Sync!$W314))</f>
        <v/>
      </c>
      <c r="I318">
        <f>IF(OR($G318="",Sync!$Y314=""),"",Sync!$Y314)</f>
        <v/>
      </c>
      <c r="J318">
        <f>IF(OR($G318="",Sync!$Z314=""),"",Sync!$Z314)</f>
        <v/>
      </c>
      <c r="K318">
        <f>IF($G318="",0,IF(Sync!$AA314="",0,Sync!$AA314))</f>
        <v/>
      </c>
      <c r="L318">
        <f>IF($G318="",0,IF(Sync!$AB314="",0,Sync!$AB314))</f>
        <v/>
      </c>
      <c r="M318">
        <f>IF($G318="","",IF($H318="مرجوعی فروش",-1,1)*($K318-$L318*IFERROR(VLOOKUP("P01",ParamTbl,3,0),1.5)))</f>
        <v/>
      </c>
      <c r="N318">
        <f>IF($G318="",0,IF($H318="مرجوعی فروش",-1,1)*IF(Sync!$AC314="",0,Sync!$AC314))</f>
        <v/>
      </c>
      <c r="O318">
        <f>IF(OR($G318="",Sync!$V314=""),"",Sync!$V314)</f>
        <v/>
      </c>
      <c r="P318">
        <f>IF(OR($G318="",Sync!$AD314=""),"",Sync!$AD314)</f>
        <v/>
      </c>
      <c r="Q318">
        <f>IF($G318="","",IF(Sync!$U314="","0000",IF(AND(ISNUMBER(Sync!$U314),Sync!$U314&gt;=0,Sync!$U314&lt;1),RIGHT("00"&amp;HOUR(Sync!$U314),2)&amp;RIGHT("00"&amp;MINUTE(Sync!$U314),2),IFERROR(RIGHT("00"&amp;VALUE(LEFT(Sync!$U314,FIND(":",Sync!$U314)-1)),2)&amp;RIGHT("00"&amp;VALUE(MID(Sync!$U314,FIND(":",Sync!$U314)+1,2)),2),"0000"))))</f>
        <v/>
      </c>
    </row>
    <row r="319">
      <c r="A319">
        <f>IF(Sync!$T315="","",Sync!$T315)</f>
        <v/>
      </c>
      <c r="B319">
        <f>IF($A319="","",IF(ISNUMBER($A319),IF(AND($A319&gt;=10000101,$A319&lt;=99991231),INT($A319/10000),""),IFERROR(VALUE(TRIM(LEFT($A319,FIND("/",$A319)-1))),"")))</f>
        <v/>
      </c>
      <c r="C319">
        <f>IF(OR($A319="",$B319=""),"",IF(ISNUMBER($A319),INT(MOD($A319,10000)/100),IFERROR(VALUE(TRIM(LEFT(MID($A319,FIND("/",$A319)+1,20),FIND("/",MID($A319,FIND("/",$A319)+1,20))-1))),"")))</f>
        <v/>
      </c>
      <c r="D319">
        <f>IF(OR($A319="",$B319=""),"",IF(ISNUMBER($A319),MOD($A319,100),IFERROR(VALUE(TRIM(MID(MID($A319,FIND("/",$A319)+1,20),FIND("/",MID($A319,FIND("/",$A319)+1,20))+1,20))),"")))</f>
        <v/>
      </c>
      <c r="E319">
        <f>IF($A319="","",IF(OR($B319="",$C319="",$D319="",$B319&lt;1300,$B319&gt;1500,$C319&lt;1,$C319&gt;12,$D319&lt;1,$D319&gt;31),"نامعتبر",RIGHT("0000"&amp;$B319,4)&amp;"/"&amp;RIGHT("00"&amp;$C319,2)&amp;"/"&amp;RIGHT("00"&amp;$D319,2)))</f>
        <v/>
      </c>
      <c r="F319">
        <f>IF(OR($E319="",$E319="نامعتبر"),"",LEFT($E319,4)&amp;"/"&amp;MID($E319,6,2))</f>
        <v/>
      </c>
      <c r="G319">
        <f>IF(OR($E319="",$E319="نامعتبر",Sync!$X315=""),"",IF(AND(LEFT(UPPER(TRIM(Sync!$X315)),2)="SL",IFERROR(VLOOKUP(Sync!$W315,OpTbl,3,0),"")="فروش"),UPPER(TRIM(Sync!$X315)),""))</f>
        <v/>
      </c>
      <c r="H319">
        <f>IF($G319="","",IF(Sync!$W315="","",Sync!$W315))</f>
        <v/>
      </c>
      <c r="I319">
        <f>IF(OR($G319="",Sync!$Y315=""),"",Sync!$Y315)</f>
        <v/>
      </c>
      <c r="J319">
        <f>IF(OR($G319="",Sync!$Z315=""),"",Sync!$Z315)</f>
        <v/>
      </c>
      <c r="K319">
        <f>IF($G319="",0,IF(Sync!$AA315="",0,Sync!$AA315))</f>
        <v/>
      </c>
      <c r="L319">
        <f>IF($G319="",0,IF(Sync!$AB315="",0,Sync!$AB315))</f>
        <v/>
      </c>
      <c r="M319">
        <f>IF($G319="","",IF($H319="مرجوعی فروش",-1,1)*($K319-$L319*IFERROR(VLOOKUP("P01",ParamTbl,3,0),1.5)))</f>
        <v/>
      </c>
      <c r="N319">
        <f>IF($G319="",0,IF($H319="مرجوعی فروش",-1,1)*IF(Sync!$AC315="",0,Sync!$AC315))</f>
        <v/>
      </c>
      <c r="O319">
        <f>IF(OR($G319="",Sync!$V315=""),"",Sync!$V315)</f>
        <v/>
      </c>
      <c r="P319">
        <f>IF(OR($G319="",Sync!$AD315=""),"",Sync!$AD315)</f>
        <v/>
      </c>
      <c r="Q319">
        <f>IF($G319="","",IF(Sync!$U315="","0000",IF(AND(ISNUMBER(Sync!$U315),Sync!$U315&gt;=0,Sync!$U315&lt;1),RIGHT("00"&amp;HOUR(Sync!$U315),2)&amp;RIGHT("00"&amp;MINUTE(Sync!$U315),2),IFERROR(RIGHT("00"&amp;VALUE(LEFT(Sync!$U315,FIND(":",Sync!$U315)-1)),2)&amp;RIGHT("00"&amp;VALUE(MID(Sync!$U315,FIND(":",Sync!$U315)+1,2)),2),"0000"))))</f>
        <v/>
      </c>
    </row>
    <row r="320">
      <c r="A320">
        <f>IF(Sync!$T316="","",Sync!$T316)</f>
        <v/>
      </c>
      <c r="B320">
        <f>IF($A320="","",IF(ISNUMBER($A320),IF(AND($A320&gt;=10000101,$A320&lt;=99991231),INT($A320/10000),""),IFERROR(VALUE(TRIM(LEFT($A320,FIND("/",$A320)-1))),"")))</f>
        <v/>
      </c>
      <c r="C320">
        <f>IF(OR($A320="",$B320=""),"",IF(ISNUMBER($A320),INT(MOD($A320,10000)/100),IFERROR(VALUE(TRIM(LEFT(MID($A320,FIND("/",$A320)+1,20),FIND("/",MID($A320,FIND("/",$A320)+1,20))-1))),"")))</f>
        <v/>
      </c>
      <c r="D320">
        <f>IF(OR($A320="",$B320=""),"",IF(ISNUMBER($A320),MOD($A320,100),IFERROR(VALUE(TRIM(MID(MID($A320,FIND("/",$A320)+1,20),FIND("/",MID($A320,FIND("/",$A320)+1,20))+1,20))),"")))</f>
        <v/>
      </c>
      <c r="E320">
        <f>IF($A320="","",IF(OR($B320="",$C320="",$D320="",$B320&lt;1300,$B320&gt;1500,$C320&lt;1,$C320&gt;12,$D320&lt;1,$D320&gt;31),"نامعتبر",RIGHT("0000"&amp;$B320,4)&amp;"/"&amp;RIGHT("00"&amp;$C320,2)&amp;"/"&amp;RIGHT("00"&amp;$D320,2)))</f>
        <v/>
      </c>
      <c r="F320">
        <f>IF(OR($E320="",$E320="نامعتبر"),"",LEFT($E320,4)&amp;"/"&amp;MID($E320,6,2))</f>
        <v/>
      </c>
      <c r="G320">
        <f>IF(OR($E320="",$E320="نامعتبر",Sync!$X316=""),"",IF(AND(LEFT(UPPER(TRIM(Sync!$X316)),2)="SL",IFERROR(VLOOKUP(Sync!$W316,OpTbl,3,0),"")="فروش"),UPPER(TRIM(Sync!$X316)),""))</f>
        <v/>
      </c>
      <c r="H320">
        <f>IF($G320="","",IF(Sync!$W316="","",Sync!$W316))</f>
        <v/>
      </c>
      <c r="I320">
        <f>IF(OR($G320="",Sync!$Y316=""),"",Sync!$Y316)</f>
        <v/>
      </c>
      <c r="J320">
        <f>IF(OR($G320="",Sync!$Z316=""),"",Sync!$Z316)</f>
        <v/>
      </c>
      <c r="K320">
        <f>IF($G320="",0,IF(Sync!$AA316="",0,Sync!$AA316))</f>
        <v/>
      </c>
      <c r="L320">
        <f>IF($G320="",0,IF(Sync!$AB316="",0,Sync!$AB316))</f>
        <v/>
      </c>
      <c r="M320">
        <f>IF($G320="","",IF($H320="مرجوعی فروش",-1,1)*($K320-$L320*IFERROR(VLOOKUP("P01",ParamTbl,3,0),1.5)))</f>
        <v/>
      </c>
      <c r="N320">
        <f>IF($G320="",0,IF($H320="مرجوعی فروش",-1,1)*IF(Sync!$AC316="",0,Sync!$AC316))</f>
        <v/>
      </c>
      <c r="O320">
        <f>IF(OR($G320="",Sync!$V316=""),"",Sync!$V316)</f>
        <v/>
      </c>
      <c r="P320">
        <f>IF(OR($G320="",Sync!$AD316=""),"",Sync!$AD316)</f>
        <v/>
      </c>
      <c r="Q320">
        <f>IF($G320="","",IF(Sync!$U316="","0000",IF(AND(ISNUMBER(Sync!$U316),Sync!$U316&gt;=0,Sync!$U316&lt;1),RIGHT("00"&amp;HOUR(Sync!$U316),2)&amp;RIGHT("00"&amp;MINUTE(Sync!$U316),2),IFERROR(RIGHT("00"&amp;VALUE(LEFT(Sync!$U316,FIND(":",Sync!$U316)-1)),2)&amp;RIGHT("00"&amp;VALUE(MID(Sync!$U316,FIND(":",Sync!$U316)+1,2)),2),"0000"))))</f>
        <v/>
      </c>
    </row>
    <row r="321">
      <c r="A321">
        <f>IF(Sync!$T317="","",Sync!$T317)</f>
        <v/>
      </c>
      <c r="B321">
        <f>IF($A321="","",IF(ISNUMBER($A321),IF(AND($A321&gt;=10000101,$A321&lt;=99991231),INT($A321/10000),""),IFERROR(VALUE(TRIM(LEFT($A321,FIND("/",$A321)-1))),"")))</f>
        <v/>
      </c>
      <c r="C321">
        <f>IF(OR($A321="",$B321=""),"",IF(ISNUMBER($A321),INT(MOD($A321,10000)/100),IFERROR(VALUE(TRIM(LEFT(MID($A321,FIND("/",$A321)+1,20),FIND("/",MID($A321,FIND("/",$A321)+1,20))-1))),"")))</f>
        <v/>
      </c>
      <c r="D321">
        <f>IF(OR($A321="",$B321=""),"",IF(ISNUMBER($A321),MOD($A321,100),IFERROR(VALUE(TRIM(MID(MID($A321,FIND("/",$A321)+1,20),FIND("/",MID($A321,FIND("/",$A321)+1,20))+1,20))),"")))</f>
        <v/>
      </c>
      <c r="E321">
        <f>IF($A321="","",IF(OR($B321="",$C321="",$D321="",$B321&lt;1300,$B321&gt;1500,$C321&lt;1,$C321&gt;12,$D321&lt;1,$D321&gt;31),"نامعتبر",RIGHT("0000"&amp;$B321,4)&amp;"/"&amp;RIGHT("00"&amp;$C321,2)&amp;"/"&amp;RIGHT("00"&amp;$D321,2)))</f>
        <v/>
      </c>
      <c r="F321">
        <f>IF(OR($E321="",$E321="نامعتبر"),"",LEFT($E321,4)&amp;"/"&amp;MID($E321,6,2))</f>
        <v/>
      </c>
      <c r="G321">
        <f>IF(OR($E321="",$E321="نامعتبر",Sync!$X317=""),"",IF(AND(LEFT(UPPER(TRIM(Sync!$X317)),2)="SL",IFERROR(VLOOKUP(Sync!$W317,OpTbl,3,0),"")="فروش"),UPPER(TRIM(Sync!$X317)),""))</f>
        <v/>
      </c>
      <c r="H321">
        <f>IF($G321="","",IF(Sync!$W317="","",Sync!$W317))</f>
        <v/>
      </c>
      <c r="I321">
        <f>IF(OR($G321="",Sync!$Y317=""),"",Sync!$Y317)</f>
        <v/>
      </c>
      <c r="J321">
        <f>IF(OR($G321="",Sync!$Z317=""),"",Sync!$Z317)</f>
        <v/>
      </c>
      <c r="K321">
        <f>IF($G321="",0,IF(Sync!$AA317="",0,Sync!$AA317))</f>
        <v/>
      </c>
      <c r="L321">
        <f>IF($G321="",0,IF(Sync!$AB317="",0,Sync!$AB317))</f>
        <v/>
      </c>
      <c r="M321">
        <f>IF($G321="","",IF($H321="مرجوعی فروش",-1,1)*($K321-$L321*IFERROR(VLOOKUP("P01",ParamTbl,3,0),1.5)))</f>
        <v/>
      </c>
      <c r="N321">
        <f>IF($G321="",0,IF($H321="مرجوعی فروش",-1,1)*IF(Sync!$AC317="",0,Sync!$AC317))</f>
        <v/>
      </c>
      <c r="O321">
        <f>IF(OR($G321="",Sync!$V317=""),"",Sync!$V317)</f>
        <v/>
      </c>
      <c r="P321">
        <f>IF(OR($G321="",Sync!$AD317=""),"",Sync!$AD317)</f>
        <v/>
      </c>
      <c r="Q321">
        <f>IF($G321="","",IF(Sync!$U317="","0000",IF(AND(ISNUMBER(Sync!$U317),Sync!$U317&gt;=0,Sync!$U317&lt;1),RIGHT("00"&amp;HOUR(Sync!$U317),2)&amp;RIGHT("00"&amp;MINUTE(Sync!$U317),2),IFERROR(RIGHT("00"&amp;VALUE(LEFT(Sync!$U317,FIND(":",Sync!$U317)-1)),2)&amp;RIGHT("00"&amp;VALUE(MID(Sync!$U317,FIND(":",Sync!$U317)+1,2)),2),"0000"))))</f>
        <v/>
      </c>
    </row>
    <row r="322">
      <c r="A322">
        <f>IF(Sync!$T318="","",Sync!$T318)</f>
        <v/>
      </c>
      <c r="B322">
        <f>IF($A322="","",IF(ISNUMBER($A322),IF(AND($A322&gt;=10000101,$A322&lt;=99991231),INT($A322/10000),""),IFERROR(VALUE(TRIM(LEFT($A322,FIND("/",$A322)-1))),"")))</f>
        <v/>
      </c>
      <c r="C322">
        <f>IF(OR($A322="",$B322=""),"",IF(ISNUMBER($A322),INT(MOD($A322,10000)/100),IFERROR(VALUE(TRIM(LEFT(MID($A322,FIND("/",$A322)+1,20),FIND("/",MID($A322,FIND("/",$A322)+1,20))-1))),"")))</f>
        <v/>
      </c>
      <c r="D322">
        <f>IF(OR($A322="",$B322=""),"",IF(ISNUMBER($A322),MOD($A322,100),IFERROR(VALUE(TRIM(MID(MID($A322,FIND("/",$A322)+1,20),FIND("/",MID($A322,FIND("/",$A322)+1,20))+1,20))),"")))</f>
        <v/>
      </c>
      <c r="E322">
        <f>IF($A322="","",IF(OR($B322="",$C322="",$D322="",$B322&lt;1300,$B322&gt;1500,$C322&lt;1,$C322&gt;12,$D322&lt;1,$D322&gt;31),"نامعتبر",RIGHT("0000"&amp;$B322,4)&amp;"/"&amp;RIGHT("00"&amp;$C322,2)&amp;"/"&amp;RIGHT("00"&amp;$D322,2)))</f>
        <v/>
      </c>
      <c r="F322">
        <f>IF(OR($E322="",$E322="نامعتبر"),"",LEFT($E322,4)&amp;"/"&amp;MID($E322,6,2))</f>
        <v/>
      </c>
      <c r="G322">
        <f>IF(OR($E322="",$E322="نامعتبر",Sync!$X318=""),"",IF(AND(LEFT(UPPER(TRIM(Sync!$X318)),2)="SL",IFERROR(VLOOKUP(Sync!$W318,OpTbl,3,0),"")="فروش"),UPPER(TRIM(Sync!$X318)),""))</f>
        <v/>
      </c>
      <c r="H322">
        <f>IF($G322="","",IF(Sync!$W318="","",Sync!$W318))</f>
        <v/>
      </c>
      <c r="I322">
        <f>IF(OR($G322="",Sync!$Y318=""),"",Sync!$Y318)</f>
        <v/>
      </c>
      <c r="J322">
        <f>IF(OR($G322="",Sync!$Z318=""),"",Sync!$Z318)</f>
        <v/>
      </c>
      <c r="K322">
        <f>IF($G322="",0,IF(Sync!$AA318="",0,Sync!$AA318))</f>
        <v/>
      </c>
      <c r="L322">
        <f>IF($G322="",0,IF(Sync!$AB318="",0,Sync!$AB318))</f>
        <v/>
      </c>
      <c r="M322">
        <f>IF($G322="","",IF($H322="مرجوعی فروش",-1,1)*($K322-$L322*IFERROR(VLOOKUP("P01",ParamTbl,3,0),1.5)))</f>
        <v/>
      </c>
      <c r="N322">
        <f>IF($G322="",0,IF($H322="مرجوعی فروش",-1,1)*IF(Sync!$AC318="",0,Sync!$AC318))</f>
        <v/>
      </c>
      <c r="O322">
        <f>IF(OR($G322="",Sync!$V318=""),"",Sync!$V318)</f>
        <v/>
      </c>
      <c r="P322">
        <f>IF(OR($G322="",Sync!$AD318=""),"",Sync!$AD318)</f>
        <v/>
      </c>
      <c r="Q322">
        <f>IF($G322="","",IF(Sync!$U318="","0000",IF(AND(ISNUMBER(Sync!$U318),Sync!$U318&gt;=0,Sync!$U318&lt;1),RIGHT("00"&amp;HOUR(Sync!$U318),2)&amp;RIGHT("00"&amp;MINUTE(Sync!$U318),2),IFERROR(RIGHT("00"&amp;VALUE(LEFT(Sync!$U318,FIND(":",Sync!$U318)-1)),2)&amp;RIGHT("00"&amp;VALUE(MID(Sync!$U318,FIND(":",Sync!$U318)+1,2)),2),"0000"))))</f>
        <v/>
      </c>
    </row>
    <row r="323">
      <c r="A323">
        <f>IF(Sync!$T319="","",Sync!$T319)</f>
        <v/>
      </c>
      <c r="B323">
        <f>IF($A323="","",IF(ISNUMBER($A323),IF(AND($A323&gt;=10000101,$A323&lt;=99991231),INT($A323/10000),""),IFERROR(VALUE(TRIM(LEFT($A323,FIND("/",$A323)-1))),"")))</f>
        <v/>
      </c>
      <c r="C323">
        <f>IF(OR($A323="",$B323=""),"",IF(ISNUMBER($A323),INT(MOD($A323,10000)/100),IFERROR(VALUE(TRIM(LEFT(MID($A323,FIND("/",$A323)+1,20),FIND("/",MID($A323,FIND("/",$A323)+1,20))-1))),"")))</f>
        <v/>
      </c>
      <c r="D323">
        <f>IF(OR($A323="",$B323=""),"",IF(ISNUMBER($A323),MOD($A323,100),IFERROR(VALUE(TRIM(MID(MID($A323,FIND("/",$A323)+1,20),FIND("/",MID($A323,FIND("/",$A323)+1,20))+1,20))),"")))</f>
        <v/>
      </c>
      <c r="E323">
        <f>IF($A323="","",IF(OR($B323="",$C323="",$D323="",$B323&lt;1300,$B323&gt;1500,$C323&lt;1,$C323&gt;12,$D323&lt;1,$D323&gt;31),"نامعتبر",RIGHT("0000"&amp;$B323,4)&amp;"/"&amp;RIGHT("00"&amp;$C323,2)&amp;"/"&amp;RIGHT("00"&amp;$D323,2)))</f>
        <v/>
      </c>
      <c r="F323">
        <f>IF(OR($E323="",$E323="نامعتبر"),"",LEFT($E323,4)&amp;"/"&amp;MID($E323,6,2))</f>
        <v/>
      </c>
      <c r="G323">
        <f>IF(OR($E323="",$E323="نامعتبر",Sync!$X319=""),"",IF(AND(LEFT(UPPER(TRIM(Sync!$X319)),2)="SL",IFERROR(VLOOKUP(Sync!$W319,OpTbl,3,0),"")="فروش"),UPPER(TRIM(Sync!$X319)),""))</f>
        <v/>
      </c>
      <c r="H323">
        <f>IF($G323="","",IF(Sync!$W319="","",Sync!$W319))</f>
        <v/>
      </c>
      <c r="I323">
        <f>IF(OR($G323="",Sync!$Y319=""),"",Sync!$Y319)</f>
        <v/>
      </c>
      <c r="J323">
        <f>IF(OR($G323="",Sync!$Z319=""),"",Sync!$Z319)</f>
        <v/>
      </c>
      <c r="K323">
        <f>IF($G323="",0,IF(Sync!$AA319="",0,Sync!$AA319))</f>
        <v/>
      </c>
      <c r="L323">
        <f>IF($G323="",0,IF(Sync!$AB319="",0,Sync!$AB319))</f>
        <v/>
      </c>
      <c r="M323">
        <f>IF($G323="","",IF($H323="مرجوعی فروش",-1,1)*($K323-$L323*IFERROR(VLOOKUP("P01",ParamTbl,3,0),1.5)))</f>
        <v/>
      </c>
      <c r="N323">
        <f>IF($G323="",0,IF($H323="مرجوعی فروش",-1,1)*IF(Sync!$AC319="",0,Sync!$AC319))</f>
        <v/>
      </c>
      <c r="O323">
        <f>IF(OR($G323="",Sync!$V319=""),"",Sync!$V319)</f>
        <v/>
      </c>
      <c r="P323">
        <f>IF(OR($G323="",Sync!$AD319=""),"",Sync!$AD319)</f>
        <v/>
      </c>
      <c r="Q323">
        <f>IF($G323="","",IF(Sync!$U319="","0000",IF(AND(ISNUMBER(Sync!$U319),Sync!$U319&gt;=0,Sync!$U319&lt;1),RIGHT("00"&amp;HOUR(Sync!$U319),2)&amp;RIGHT("00"&amp;MINUTE(Sync!$U319),2),IFERROR(RIGHT("00"&amp;VALUE(LEFT(Sync!$U319,FIND(":",Sync!$U319)-1)),2)&amp;RIGHT("00"&amp;VALUE(MID(Sync!$U319,FIND(":",Sync!$U319)+1,2)),2),"0000"))))</f>
        <v/>
      </c>
    </row>
    <row r="324">
      <c r="A324">
        <f>IF(Sync!$T320="","",Sync!$T320)</f>
        <v/>
      </c>
      <c r="B324">
        <f>IF($A324="","",IF(ISNUMBER($A324),IF(AND($A324&gt;=10000101,$A324&lt;=99991231),INT($A324/10000),""),IFERROR(VALUE(TRIM(LEFT($A324,FIND("/",$A324)-1))),"")))</f>
        <v/>
      </c>
      <c r="C324">
        <f>IF(OR($A324="",$B324=""),"",IF(ISNUMBER($A324),INT(MOD($A324,10000)/100),IFERROR(VALUE(TRIM(LEFT(MID($A324,FIND("/",$A324)+1,20),FIND("/",MID($A324,FIND("/",$A324)+1,20))-1))),"")))</f>
        <v/>
      </c>
      <c r="D324">
        <f>IF(OR($A324="",$B324=""),"",IF(ISNUMBER($A324),MOD($A324,100),IFERROR(VALUE(TRIM(MID(MID($A324,FIND("/",$A324)+1,20),FIND("/",MID($A324,FIND("/",$A324)+1,20))+1,20))),"")))</f>
        <v/>
      </c>
      <c r="E324">
        <f>IF($A324="","",IF(OR($B324="",$C324="",$D324="",$B324&lt;1300,$B324&gt;1500,$C324&lt;1,$C324&gt;12,$D324&lt;1,$D324&gt;31),"نامعتبر",RIGHT("0000"&amp;$B324,4)&amp;"/"&amp;RIGHT("00"&amp;$C324,2)&amp;"/"&amp;RIGHT("00"&amp;$D324,2)))</f>
        <v/>
      </c>
      <c r="F324">
        <f>IF(OR($E324="",$E324="نامعتبر"),"",LEFT($E324,4)&amp;"/"&amp;MID($E324,6,2))</f>
        <v/>
      </c>
      <c r="G324">
        <f>IF(OR($E324="",$E324="نامعتبر",Sync!$X320=""),"",IF(AND(LEFT(UPPER(TRIM(Sync!$X320)),2)="SL",IFERROR(VLOOKUP(Sync!$W320,OpTbl,3,0),"")="فروش"),UPPER(TRIM(Sync!$X320)),""))</f>
        <v/>
      </c>
      <c r="H324">
        <f>IF($G324="","",IF(Sync!$W320="","",Sync!$W320))</f>
        <v/>
      </c>
      <c r="I324">
        <f>IF(OR($G324="",Sync!$Y320=""),"",Sync!$Y320)</f>
        <v/>
      </c>
      <c r="J324">
        <f>IF(OR($G324="",Sync!$Z320=""),"",Sync!$Z320)</f>
        <v/>
      </c>
      <c r="K324">
        <f>IF($G324="",0,IF(Sync!$AA320="",0,Sync!$AA320))</f>
        <v/>
      </c>
      <c r="L324">
        <f>IF($G324="",0,IF(Sync!$AB320="",0,Sync!$AB320))</f>
        <v/>
      </c>
      <c r="M324">
        <f>IF($G324="","",IF($H324="مرجوعی فروش",-1,1)*($K324-$L324*IFERROR(VLOOKUP("P01",ParamTbl,3,0),1.5)))</f>
        <v/>
      </c>
      <c r="N324">
        <f>IF($G324="",0,IF($H324="مرجوعی فروش",-1,1)*IF(Sync!$AC320="",0,Sync!$AC320))</f>
        <v/>
      </c>
      <c r="O324">
        <f>IF(OR($G324="",Sync!$V320=""),"",Sync!$V320)</f>
        <v/>
      </c>
      <c r="P324">
        <f>IF(OR($G324="",Sync!$AD320=""),"",Sync!$AD320)</f>
        <v/>
      </c>
      <c r="Q324">
        <f>IF($G324="","",IF(Sync!$U320="","0000",IF(AND(ISNUMBER(Sync!$U320),Sync!$U320&gt;=0,Sync!$U320&lt;1),RIGHT("00"&amp;HOUR(Sync!$U320),2)&amp;RIGHT("00"&amp;MINUTE(Sync!$U320),2),IFERROR(RIGHT("00"&amp;VALUE(LEFT(Sync!$U320,FIND(":",Sync!$U320)-1)),2)&amp;RIGHT("00"&amp;VALUE(MID(Sync!$U320,FIND(":",Sync!$U320)+1,2)),2),"0000"))))</f>
        <v/>
      </c>
    </row>
    <row r="325">
      <c r="A325">
        <f>IF(Sync!$T321="","",Sync!$T321)</f>
        <v/>
      </c>
      <c r="B325">
        <f>IF($A325="","",IF(ISNUMBER($A325),IF(AND($A325&gt;=10000101,$A325&lt;=99991231),INT($A325/10000),""),IFERROR(VALUE(TRIM(LEFT($A325,FIND("/",$A325)-1))),"")))</f>
        <v/>
      </c>
      <c r="C325">
        <f>IF(OR($A325="",$B325=""),"",IF(ISNUMBER($A325),INT(MOD($A325,10000)/100),IFERROR(VALUE(TRIM(LEFT(MID($A325,FIND("/",$A325)+1,20),FIND("/",MID($A325,FIND("/",$A325)+1,20))-1))),"")))</f>
        <v/>
      </c>
      <c r="D325">
        <f>IF(OR($A325="",$B325=""),"",IF(ISNUMBER($A325),MOD($A325,100),IFERROR(VALUE(TRIM(MID(MID($A325,FIND("/",$A325)+1,20),FIND("/",MID($A325,FIND("/",$A325)+1,20))+1,20))),"")))</f>
        <v/>
      </c>
      <c r="E325">
        <f>IF($A325="","",IF(OR($B325="",$C325="",$D325="",$B325&lt;1300,$B325&gt;1500,$C325&lt;1,$C325&gt;12,$D325&lt;1,$D325&gt;31),"نامعتبر",RIGHT("0000"&amp;$B325,4)&amp;"/"&amp;RIGHT("00"&amp;$C325,2)&amp;"/"&amp;RIGHT("00"&amp;$D325,2)))</f>
        <v/>
      </c>
      <c r="F325">
        <f>IF(OR($E325="",$E325="نامعتبر"),"",LEFT($E325,4)&amp;"/"&amp;MID($E325,6,2))</f>
        <v/>
      </c>
      <c r="G325">
        <f>IF(OR($E325="",$E325="نامعتبر",Sync!$X321=""),"",IF(AND(LEFT(UPPER(TRIM(Sync!$X321)),2)="SL",IFERROR(VLOOKUP(Sync!$W321,OpTbl,3,0),"")="فروش"),UPPER(TRIM(Sync!$X321)),""))</f>
        <v/>
      </c>
      <c r="H325">
        <f>IF($G325="","",IF(Sync!$W321="","",Sync!$W321))</f>
        <v/>
      </c>
      <c r="I325">
        <f>IF(OR($G325="",Sync!$Y321=""),"",Sync!$Y321)</f>
        <v/>
      </c>
      <c r="J325">
        <f>IF(OR($G325="",Sync!$Z321=""),"",Sync!$Z321)</f>
        <v/>
      </c>
      <c r="K325">
        <f>IF($G325="",0,IF(Sync!$AA321="",0,Sync!$AA321))</f>
        <v/>
      </c>
      <c r="L325">
        <f>IF($G325="",0,IF(Sync!$AB321="",0,Sync!$AB321))</f>
        <v/>
      </c>
      <c r="M325">
        <f>IF($G325="","",IF($H325="مرجوعی فروش",-1,1)*($K325-$L325*IFERROR(VLOOKUP("P01",ParamTbl,3,0),1.5)))</f>
        <v/>
      </c>
      <c r="N325">
        <f>IF($G325="",0,IF($H325="مرجوعی فروش",-1,1)*IF(Sync!$AC321="",0,Sync!$AC321))</f>
        <v/>
      </c>
      <c r="O325">
        <f>IF(OR($G325="",Sync!$V321=""),"",Sync!$V321)</f>
        <v/>
      </c>
      <c r="P325">
        <f>IF(OR($G325="",Sync!$AD321=""),"",Sync!$AD321)</f>
        <v/>
      </c>
      <c r="Q325">
        <f>IF($G325="","",IF(Sync!$U321="","0000",IF(AND(ISNUMBER(Sync!$U321),Sync!$U321&gt;=0,Sync!$U321&lt;1),RIGHT("00"&amp;HOUR(Sync!$U321),2)&amp;RIGHT("00"&amp;MINUTE(Sync!$U321),2),IFERROR(RIGHT("00"&amp;VALUE(LEFT(Sync!$U321,FIND(":",Sync!$U321)-1)),2)&amp;RIGHT("00"&amp;VALUE(MID(Sync!$U321,FIND(":",Sync!$U321)+1,2)),2),"0000"))))</f>
        <v/>
      </c>
    </row>
    <row r="326">
      <c r="A326">
        <f>IF(Sync!$T322="","",Sync!$T322)</f>
        <v/>
      </c>
      <c r="B326">
        <f>IF($A326="","",IF(ISNUMBER($A326),IF(AND($A326&gt;=10000101,$A326&lt;=99991231),INT($A326/10000),""),IFERROR(VALUE(TRIM(LEFT($A326,FIND("/",$A326)-1))),"")))</f>
        <v/>
      </c>
      <c r="C326">
        <f>IF(OR($A326="",$B326=""),"",IF(ISNUMBER($A326),INT(MOD($A326,10000)/100),IFERROR(VALUE(TRIM(LEFT(MID($A326,FIND("/",$A326)+1,20),FIND("/",MID($A326,FIND("/",$A326)+1,20))-1))),"")))</f>
        <v/>
      </c>
      <c r="D326">
        <f>IF(OR($A326="",$B326=""),"",IF(ISNUMBER($A326),MOD($A326,100),IFERROR(VALUE(TRIM(MID(MID($A326,FIND("/",$A326)+1,20),FIND("/",MID($A326,FIND("/",$A326)+1,20))+1,20))),"")))</f>
        <v/>
      </c>
      <c r="E326">
        <f>IF($A326="","",IF(OR($B326="",$C326="",$D326="",$B326&lt;1300,$B326&gt;1500,$C326&lt;1,$C326&gt;12,$D326&lt;1,$D326&gt;31),"نامعتبر",RIGHT("0000"&amp;$B326,4)&amp;"/"&amp;RIGHT("00"&amp;$C326,2)&amp;"/"&amp;RIGHT("00"&amp;$D326,2)))</f>
        <v/>
      </c>
      <c r="F326">
        <f>IF(OR($E326="",$E326="نامعتبر"),"",LEFT($E326,4)&amp;"/"&amp;MID($E326,6,2))</f>
        <v/>
      </c>
      <c r="G326">
        <f>IF(OR($E326="",$E326="نامعتبر",Sync!$X322=""),"",IF(AND(LEFT(UPPER(TRIM(Sync!$X322)),2)="SL",IFERROR(VLOOKUP(Sync!$W322,OpTbl,3,0),"")="فروش"),UPPER(TRIM(Sync!$X322)),""))</f>
        <v/>
      </c>
      <c r="H326">
        <f>IF($G326="","",IF(Sync!$W322="","",Sync!$W322))</f>
        <v/>
      </c>
      <c r="I326">
        <f>IF(OR($G326="",Sync!$Y322=""),"",Sync!$Y322)</f>
        <v/>
      </c>
      <c r="J326">
        <f>IF(OR($G326="",Sync!$Z322=""),"",Sync!$Z322)</f>
        <v/>
      </c>
      <c r="K326">
        <f>IF($G326="",0,IF(Sync!$AA322="",0,Sync!$AA322))</f>
        <v/>
      </c>
      <c r="L326">
        <f>IF($G326="",0,IF(Sync!$AB322="",0,Sync!$AB322))</f>
        <v/>
      </c>
      <c r="M326">
        <f>IF($G326="","",IF($H326="مرجوعی فروش",-1,1)*($K326-$L326*IFERROR(VLOOKUP("P01",ParamTbl,3,0),1.5)))</f>
        <v/>
      </c>
      <c r="N326">
        <f>IF($G326="",0,IF($H326="مرجوعی فروش",-1,1)*IF(Sync!$AC322="",0,Sync!$AC322))</f>
        <v/>
      </c>
      <c r="O326">
        <f>IF(OR($G326="",Sync!$V322=""),"",Sync!$V322)</f>
        <v/>
      </c>
      <c r="P326">
        <f>IF(OR($G326="",Sync!$AD322=""),"",Sync!$AD322)</f>
        <v/>
      </c>
      <c r="Q326">
        <f>IF($G326="","",IF(Sync!$U322="","0000",IF(AND(ISNUMBER(Sync!$U322),Sync!$U322&gt;=0,Sync!$U322&lt;1),RIGHT("00"&amp;HOUR(Sync!$U322),2)&amp;RIGHT("00"&amp;MINUTE(Sync!$U322),2),IFERROR(RIGHT("00"&amp;VALUE(LEFT(Sync!$U322,FIND(":",Sync!$U322)-1)),2)&amp;RIGHT("00"&amp;VALUE(MID(Sync!$U322,FIND(":",Sync!$U322)+1,2)),2),"0000"))))</f>
        <v/>
      </c>
    </row>
    <row r="327">
      <c r="A327">
        <f>IF(Sync!$T323="","",Sync!$T323)</f>
        <v/>
      </c>
      <c r="B327">
        <f>IF($A327="","",IF(ISNUMBER($A327),IF(AND($A327&gt;=10000101,$A327&lt;=99991231),INT($A327/10000),""),IFERROR(VALUE(TRIM(LEFT($A327,FIND("/",$A327)-1))),"")))</f>
        <v/>
      </c>
      <c r="C327">
        <f>IF(OR($A327="",$B327=""),"",IF(ISNUMBER($A327),INT(MOD($A327,10000)/100),IFERROR(VALUE(TRIM(LEFT(MID($A327,FIND("/",$A327)+1,20),FIND("/",MID($A327,FIND("/",$A327)+1,20))-1))),"")))</f>
        <v/>
      </c>
      <c r="D327">
        <f>IF(OR($A327="",$B327=""),"",IF(ISNUMBER($A327),MOD($A327,100),IFERROR(VALUE(TRIM(MID(MID($A327,FIND("/",$A327)+1,20),FIND("/",MID($A327,FIND("/",$A327)+1,20))+1,20))),"")))</f>
        <v/>
      </c>
      <c r="E327">
        <f>IF($A327="","",IF(OR($B327="",$C327="",$D327="",$B327&lt;1300,$B327&gt;1500,$C327&lt;1,$C327&gt;12,$D327&lt;1,$D327&gt;31),"نامعتبر",RIGHT("0000"&amp;$B327,4)&amp;"/"&amp;RIGHT("00"&amp;$C327,2)&amp;"/"&amp;RIGHT("00"&amp;$D327,2)))</f>
        <v/>
      </c>
      <c r="F327">
        <f>IF(OR($E327="",$E327="نامعتبر"),"",LEFT($E327,4)&amp;"/"&amp;MID($E327,6,2))</f>
        <v/>
      </c>
      <c r="G327">
        <f>IF(OR($E327="",$E327="نامعتبر",Sync!$X323=""),"",IF(AND(LEFT(UPPER(TRIM(Sync!$X323)),2)="SL",IFERROR(VLOOKUP(Sync!$W323,OpTbl,3,0),"")="فروش"),UPPER(TRIM(Sync!$X323)),""))</f>
        <v/>
      </c>
      <c r="H327">
        <f>IF($G327="","",IF(Sync!$W323="","",Sync!$W323))</f>
        <v/>
      </c>
      <c r="I327">
        <f>IF(OR($G327="",Sync!$Y323=""),"",Sync!$Y323)</f>
        <v/>
      </c>
      <c r="J327">
        <f>IF(OR($G327="",Sync!$Z323=""),"",Sync!$Z323)</f>
        <v/>
      </c>
      <c r="K327">
        <f>IF($G327="",0,IF(Sync!$AA323="",0,Sync!$AA323))</f>
        <v/>
      </c>
      <c r="L327">
        <f>IF($G327="",0,IF(Sync!$AB323="",0,Sync!$AB323))</f>
        <v/>
      </c>
      <c r="M327">
        <f>IF($G327="","",IF($H327="مرجوعی فروش",-1,1)*($K327-$L327*IFERROR(VLOOKUP("P01",ParamTbl,3,0),1.5)))</f>
        <v/>
      </c>
      <c r="N327">
        <f>IF($G327="",0,IF($H327="مرجوعی فروش",-1,1)*IF(Sync!$AC323="",0,Sync!$AC323))</f>
        <v/>
      </c>
      <c r="O327">
        <f>IF(OR($G327="",Sync!$V323=""),"",Sync!$V323)</f>
        <v/>
      </c>
      <c r="P327">
        <f>IF(OR($G327="",Sync!$AD323=""),"",Sync!$AD323)</f>
        <v/>
      </c>
      <c r="Q327">
        <f>IF($G327="","",IF(Sync!$U323="","0000",IF(AND(ISNUMBER(Sync!$U323),Sync!$U323&gt;=0,Sync!$U323&lt;1),RIGHT("00"&amp;HOUR(Sync!$U323),2)&amp;RIGHT("00"&amp;MINUTE(Sync!$U323),2),IFERROR(RIGHT("00"&amp;VALUE(LEFT(Sync!$U323,FIND(":",Sync!$U323)-1)),2)&amp;RIGHT("00"&amp;VALUE(MID(Sync!$U323,FIND(":",Sync!$U323)+1,2)),2),"0000"))))</f>
        <v/>
      </c>
    </row>
    <row r="328">
      <c r="A328">
        <f>IF(Sync!$T324="","",Sync!$T324)</f>
        <v/>
      </c>
      <c r="B328">
        <f>IF($A328="","",IF(ISNUMBER($A328),IF(AND($A328&gt;=10000101,$A328&lt;=99991231),INT($A328/10000),""),IFERROR(VALUE(TRIM(LEFT($A328,FIND("/",$A328)-1))),"")))</f>
        <v/>
      </c>
      <c r="C328">
        <f>IF(OR($A328="",$B328=""),"",IF(ISNUMBER($A328),INT(MOD($A328,10000)/100),IFERROR(VALUE(TRIM(LEFT(MID($A328,FIND("/",$A328)+1,20),FIND("/",MID($A328,FIND("/",$A328)+1,20))-1))),"")))</f>
        <v/>
      </c>
      <c r="D328">
        <f>IF(OR($A328="",$B328=""),"",IF(ISNUMBER($A328),MOD($A328,100),IFERROR(VALUE(TRIM(MID(MID($A328,FIND("/",$A328)+1,20),FIND("/",MID($A328,FIND("/",$A328)+1,20))+1,20))),"")))</f>
        <v/>
      </c>
      <c r="E328">
        <f>IF($A328="","",IF(OR($B328="",$C328="",$D328="",$B328&lt;1300,$B328&gt;1500,$C328&lt;1,$C328&gt;12,$D328&lt;1,$D328&gt;31),"نامعتبر",RIGHT("0000"&amp;$B328,4)&amp;"/"&amp;RIGHT("00"&amp;$C328,2)&amp;"/"&amp;RIGHT("00"&amp;$D328,2)))</f>
        <v/>
      </c>
      <c r="F328">
        <f>IF(OR($E328="",$E328="نامعتبر"),"",LEFT($E328,4)&amp;"/"&amp;MID($E328,6,2))</f>
        <v/>
      </c>
      <c r="G328">
        <f>IF(OR($E328="",$E328="نامعتبر",Sync!$X324=""),"",IF(AND(LEFT(UPPER(TRIM(Sync!$X324)),2)="SL",IFERROR(VLOOKUP(Sync!$W324,OpTbl,3,0),"")="فروش"),UPPER(TRIM(Sync!$X324)),""))</f>
        <v/>
      </c>
      <c r="H328">
        <f>IF($G328="","",IF(Sync!$W324="","",Sync!$W324))</f>
        <v/>
      </c>
      <c r="I328">
        <f>IF(OR($G328="",Sync!$Y324=""),"",Sync!$Y324)</f>
        <v/>
      </c>
      <c r="J328">
        <f>IF(OR($G328="",Sync!$Z324=""),"",Sync!$Z324)</f>
        <v/>
      </c>
      <c r="K328">
        <f>IF($G328="",0,IF(Sync!$AA324="",0,Sync!$AA324))</f>
        <v/>
      </c>
      <c r="L328">
        <f>IF($G328="",0,IF(Sync!$AB324="",0,Sync!$AB324))</f>
        <v/>
      </c>
      <c r="M328">
        <f>IF($G328="","",IF($H328="مرجوعی فروش",-1,1)*($K328-$L328*IFERROR(VLOOKUP("P01",ParamTbl,3,0),1.5)))</f>
        <v/>
      </c>
      <c r="N328">
        <f>IF($G328="",0,IF($H328="مرجوعی فروش",-1,1)*IF(Sync!$AC324="",0,Sync!$AC324))</f>
        <v/>
      </c>
      <c r="O328">
        <f>IF(OR($G328="",Sync!$V324=""),"",Sync!$V324)</f>
        <v/>
      </c>
      <c r="P328">
        <f>IF(OR($G328="",Sync!$AD324=""),"",Sync!$AD324)</f>
        <v/>
      </c>
      <c r="Q328">
        <f>IF($G328="","",IF(Sync!$U324="","0000",IF(AND(ISNUMBER(Sync!$U324),Sync!$U324&gt;=0,Sync!$U324&lt;1),RIGHT("00"&amp;HOUR(Sync!$U324),2)&amp;RIGHT("00"&amp;MINUTE(Sync!$U324),2),IFERROR(RIGHT("00"&amp;VALUE(LEFT(Sync!$U324,FIND(":",Sync!$U324)-1)),2)&amp;RIGHT("00"&amp;VALUE(MID(Sync!$U324,FIND(":",Sync!$U324)+1,2)),2),"0000"))))</f>
        <v/>
      </c>
    </row>
    <row r="329">
      <c r="A329">
        <f>IF(Sync!$T325="","",Sync!$T325)</f>
        <v/>
      </c>
      <c r="B329">
        <f>IF($A329="","",IF(ISNUMBER($A329),IF(AND($A329&gt;=10000101,$A329&lt;=99991231),INT($A329/10000),""),IFERROR(VALUE(TRIM(LEFT($A329,FIND("/",$A329)-1))),"")))</f>
        <v/>
      </c>
      <c r="C329">
        <f>IF(OR($A329="",$B329=""),"",IF(ISNUMBER($A329),INT(MOD($A329,10000)/100),IFERROR(VALUE(TRIM(LEFT(MID($A329,FIND("/",$A329)+1,20),FIND("/",MID($A329,FIND("/",$A329)+1,20))-1))),"")))</f>
        <v/>
      </c>
      <c r="D329">
        <f>IF(OR($A329="",$B329=""),"",IF(ISNUMBER($A329),MOD($A329,100),IFERROR(VALUE(TRIM(MID(MID($A329,FIND("/",$A329)+1,20),FIND("/",MID($A329,FIND("/",$A329)+1,20))+1,20))),"")))</f>
        <v/>
      </c>
      <c r="E329">
        <f>IF($A329="","",IF(OR($B329="",$C329="",$D329="",$B329&lt;1300,$B329&gt;1500,$C329&lt;1,$C329&gt;12,$D329&lt;1,$D329&gt;31),"نامعتبر",RIGHT("0000"&amp;$B329,4)&amp;"/"&amp;RIGHT("00"&amp;$C329,2)&amp;"/"&amp;RIGHT("00"&amp;$D329,2)))</f>
        <v/>
      </c>
      <c r="F329">
        <f>IF(OR($E329="",$E329="نامعتبر"),"",LEFT($E329,4)&amp;"/"&amp;MID($E329,6,2))</f>
        <v/>
      </c>
      <c r="G329">
        <f>IF(OR($E329="",$E329="نامعتبر",Sync!$X325=""),"",IF(AND(LEFT(UPPER(TRIM(Sync!$X325)),2)="SL",IFERROR(VLOOKUP(Sync!$W325,OpTbl,3,0),"")="فروش"),UPPER(TRIM(Sync!$X325)),""))</f>
        <v/>
      </c>
      <c r="H329">
        <f>IF($G329="","",IF(Sync!$W325="","",Sync!$W325))</f>
        <v/>
      </c>
      <c r="I329">
        <f>IF(OR($G329="",Sync!$Y325=""),"",Sync!$Y325)</f>
        <v/>
      </c>
      <c r="J329">
        <f>IF(OR($G329="",Sync!$Z325=""),"",Sync!$Z325)</f>
        <v/>
      </c>
      <c r="K329">
        <f>IF($G329="",0,IF(Sync!$AA325="",0,Sync!$AA325))</f>
        <v/>
      </c>
      <c r="L329">
        <f>IF($G329="",0,IF(Sync!$AB325="",0,Sync!$AB325))</f>
        <v/>
      </c>
      <c r="M329">
        <f>IF($G329="","",IF($H329="مرجوعی فروش",-1,1)*($K329-$L329*IFERROR(VLOOKUP("P01",ParamTbl,3,0),1.5)))</f>
        <v/>
      </c>
      <c r="N329">
        <f>IF($G329="",0,IF($H329="مرجوعی فروش",-1,1)*IF(Sync!$AC325="",0,Sync!$AC325))</f>
        <v/>
      </c>
      <c r="O329">
        <f>IF(OR($G329="",Sync!$V325=""),"",Sync!$V325)</f>
        <v/>
      </c>
      <c r="P329">
        <f>IF(OR($G329="",Sync!$AD325=""),"",Sync!$AD325)</f>
        <v/>
      </c>
      <c r="Q329">
        <f>IF($G329="","",IF(Sync!$U325="","0000",IF(AND(ISNUMBER(Sync!$U325),Sync!$U325&gt;=0,Sync!$U325&lt;1),RIGHT("00"&amp;HOUR(Sync!$U325),2)&amp;RIGHT("00"&amp;MINUTE(Sync!$U325),2),IFERROR(RIGHT("00"&amp;VALUE(LEFT(Sync!$U325,FIND(":",Sync!$U325)-1)),2)&amp;RIGHT("00"&amp;VALUE(MID(Sync!$U325,FIND(":",Sync!$U325)+1,2)),2),"0000"))))</f>
        <v/>
      </c>
    </row>
    <row r="330">
      <c r="A330">
        <f>IF(Sync!$T326="","",Sync!$T326)</f>
        <v/>
      </c>
      <c r="B330">
        <f>IF($A330="","",IF(ISNUMBER($A330),IF(AND($A330&gt;=10000101,$A330&lt;=99991231),INT($A330/10000),""),IFERROR(VALUE(TRIM(LEFT($A330,FIND("/",$A330)-1))),"")))</f>
        <v/>
      </c>
      <c r="C330">
        <f>IF(OR($A330="",$B330=""),"",IF(ISNUMBER($A330),INT(MOD($A330,10000)/100),IFERROR(VALUE(TRIM(LEFT(MID($A330,FIND("/",$A330)+1,20),FIND("/",MID($A330,FIND("/",$A330)+1,20))-1))),"")))</f>
        <v/>
      </c>
      <c r="D330">
        <f>IF(OR($A330="",$B330=""),"",IF(ISNUMBER($A330),MOD($A330,100),IFERROR(VALUE(TRIM(MID(MID($A330,FIND("/",$A330)+1,20),FIND("/",MID($A330,FIND("/",$A330)+1,20))+1,20))),"")))</f>
        <v/>
      </c>
      <c r="E330">
        <f>IF($A330="","",IF(OR($B330="",$C330="",$D330="",$B330&lt;1300,$B330&gt;1500,$C330&lt;1,$C330&gt;12,$D330&lt;1,$D330&gt;31),"نامعتبر",RIGHT("0000"&amp;$B330,4)&amp;"/"&amp;RIGHT("00"&amp;$C330,2)&amp;"/"&amp;RIGHT("00"&amp;$D330,2)))</f>
        <v/>
      </c>
      <c r="F330">
        <f>IF(OR($E330="",$E330="نامعتبر"),"",LEFT($E330,4)&amp;"/"&amp;MID($E330,6,2))</f>
        <v/>
      </c>
      <c r="G330">
        <f>IF(OR($E330="",$E330="نامعتبر",Sync!$X326=""),"",IF(AND(LEFT(UPPER(TRIM(Sync!$X326)),2)="SL",IFERROR(VLOOKUP(Sync!$W326,OpTbl,3,0),"")="فروش"),UPPER(TRIM(Sync!$X326)),""))</f>
        <v/>
      </c>
      <c r="H330">
        <f>IF($G330="","",IF(Sync!$W326="","",Sync!$W326))</f>
        <v/>
      </c>
      <c r="I330">
        <f>IF(OR($G330="",Sync!$Y326=""),"",Sync!$Y326)</f>
        <v/>
      </c>
      <c r="J330">
        <f>IF(OR($G330="",Sync!$Z326=""),"",Sync!$Z326)</f>
        <v/>
      </c>
      <c r="K330">
        <f>IF($G330="",0,IF(Sync!$AA326="",0,Sync!$AA326))</f>
        <v/>
      </c>
      <c r="L330">
        <f>IF($G330="",0,IF(Sync!$AB326="",0,Sync!$AB326))</f>
        <v/>
      </c>
      <c r="M330">
        <f>IF($G330="","",IF($H330="مرجوعی فروش",-1,1)*($K330-$L330*IFERROR(VLOOKUP("P01",ParamTbl,3,0),1.5)))</f>
        <v/>
      </c>
      <c r="N330">
        <f>IF($G330="",0,IF($H330="مرجوعی فروش",-1,1)*IF(Sync!$AC326="",0,Sync!$AC326))</f>
        <v/>
      </c>
      <c r="O330">
        <f>IF(OR($G330="",Sync!$V326=""),"",Sync!$V326)</f>
        <v/>
      </c>
      <c r="P330">
        <f>IF(OR($G330="",Sync!$AD326=""),"",Sync!$AD326)</f>
        <v/>
      </c>
      <c r="Q330">
        <f>IF($G330="","",IF(Sync!$U326="","0000",IF(AND(ISNUMBER(Sync!$U326),Sync!$U326&gt;=0,Sync!$U326&lt;1),RIGHT("00"&amp;HOUR(Sync!$U326),2)&amp;RIGHT("00"&amp;MINUTE(Sync!$U326),2),IFERROR(RIGHT("00"&amp;VALUE(LEFT(Sync!$U326,FIND(":",Sync!$U326)-1)),2)&amp;RIGHT("00"&amp;VALUE(MID(Sync!$U326,FIND(":",Sync!$U326)+1,2)),2),"0000"))))</f>
        <v/>
      </c>
    </row>
    <row r="331">
      <c r="A331">
        <f>IF(Sync!$T327="","",Sync!$T327)</f>
        <v/>
      </c>
      <c r="B331">
        <f>IF($A331="","",IF(ISNUMBER($A331),IF(AND($A331&gt;=10000101,$A331&lt;=99991231),INT($A331/10000),""),IFERROR(VALUE(TRIM(LEFT($A331,FIND("/",$A331)-1))),"")))</f>
        <v/>
      </c>
      <c r="C331">
        <f>IF(OR($A331="",$B331=""),"",IF(ISNUMBER($A331),INT(MOD($A331,10000)/100),IFERROR(VALUE(TRIM(LEFT(MID($A331,FIND("/",$A331)+1,20),FIND("/",MID($A331,FIND("/",$A331)+1,20))-1))),"")))</f>
        <v/>
      </c>
      <c r="D331">
        <f>IF(OR($A331="",$B331=""),"",IF(ISNUMBER($A331),MOD($A331,100),IFERROR(VALUE(TRIM(MID(MID($A331,FIND("/",$A331)+1,20),FIND("/",MID($A331,FIND("/",$A331)+1,20))+1,20))),"")))</f>
        <v/>
      </c>
      <c r="E331">
        <f>IF($A331="","",IF(OR($B331="",$C331="",$D331="",$B331&lt;1300,$B331&gt;1500,$C331&lt;1,$C331&gt;12,$D331&lt;1,$D331&gt;31),"نامعتبر",RIGHT("0000"&amp;$B331,4)&amp;"/"&amp;RIGHT("00"&amp;$C331,2)&amp;"/"&amp;RIGHT("00"&amp;$D331,2)))</f>
        <v/>
      </c>
      <c r="F331">
        <f>IF(OR($E331="",$E331="نامعتبر"),"",LEFT($E331,4)&amp;"/"&amp;MID($E331,6,2))</f>
        <v/>
      </c>
      <c r="G331">
        <f>IF(OR($E331="",$E331="نامعتبر",Sync!$X327=""),"",IF(AND(LEFT(UPPER(TRIM(Sync!$X327)),2)="SL",IFERROR(VLOOKUP(Sync!$W327,OpTbl,3,0),"")="فروش"),UPPER(TRIM(Sync!$X327)),""))</f>
        <v/>
      </c>
      <c r="H331">
        <f>IF($G331="","",IF(Sync!$W327="","",Sync!$W327))</f>
        <v/>
      </c>
      <c r="I331">
        <f>IF(OR($G331="",Sync!$Y327=""),"",Sync!$Y327)</f>
        <v/>
      </c>
      <c r="J331">
        <f>IF(OR($G331="",Sync!$Z327=""),"",Sync!$Z327)</f>
        <v/>
      </c>
      <c r="K331">
        <f>IF($G331="",0,IF(Sync!$AA327="",0,Sync!$AA327))</f>
        <v/>
      </c>
      <c r="L331">
        <f>IF($G331="",0,IF(Sync!$AB327="",0,Sync!$AB327))</f>
        <v/>
      </c>
      <c r="M331">
        <f>IF($G331="","",IF($H331="مرجوعی فروش",-1,1)*($K331-$L331*IFERROR(VLOOKUP("P01",ParamTbl,3,0),1.5)))</f>
        <v/>
      </c>
      <c r="N331">
        <f>IF($G331="",0,IF($H331="مرجوعی فروش",-1,1)*IF(Sync!$AC327="",0,Sync!$AC327))</f>
        <v/>
      </c>
      <c r="O331">
        <f>IF(OR($G331="",Sync!$V327=""),"",Sync!$V327)</f>
        <v/>
      </c>
      <c r="P331">
        <f>IF(OR($G331="",Sync!$AD327=""),"",Sync!$AD327)</f>
        <v/>
      </c>
      <c r="Q331">
        <f>IF($G331="","",IF(Sync!$U327="","0000",IF(AND(ISNUMBER(Sync!$U327),Sync!$U327&gt;=0,Sync!$U327&lt;1),RIGHT("00"&amp;HOUR(Sync!$U327),2)&amp;RIGHT("00"&amp;MINUTE(Sync!$U327),2),IFERROR(RIGHT("00"&amp;VALUE(LEFT(Sync!$U327,FIND(":",Sync!$U327)-1)),2)&amp;RIGHT("00"&amp;VALUE(MID(Sync!$U327,FIND(":",Sync!$U327)+1,2)),2),"0000"))))</f>
        <v/>
      </c>
    </row>
    <row r="332">
      <c r="A332">
        <f>IF(Sync!$T328="","",Sync!$T328)</f>
        <v/>
      </c>
      <c r="B332">
        <f>IF($A332="","",IF(ISNUMBER($A332),IF(AND($A332&gt;=10000101,$A332&lt;=99991231),INT($A332/10000),""),IFERROR(VALUE(TRIM(LEFT($A332,FIND("/",$A332)-1))),"")))</f>
        <v/>
      </c>
      <c r="C332">
        <f>IF(OR($A332="",$B332=""),"",IF(ISNUMBER($A332),INT(MOD($A332,10000)/100),IFERROR(VALUE(TRIM(LEFT(MID($A332,FIND("/",$A332)+1,20),FIND("/",MID($A332,FIND("/",$A332)+1,20))-1))),"")))</f>
        <v/>
      </c>
      <c r="D332">
        <f>IF(OR($A332="",$B332=""),"",IF(ISNUMBER($A332),MOD($A332,100),IFERROR(VALUE(TRIM(MID(MID($A332,FIND("/",$A332)+1,20),FIND("/",MID($A332,FIND("/",$A332)+1,20))+1,20))),"")))</f>
        <v/>
      </c>
      <c r="E332">
        <f>IF($A332="","",IF(OR($B332="",$C332="",$D332="",$B332&lt;1300,$B332&gt;1500,$C332&lt;1,$C332&gt;12,$D332&lt;1,$D332&gt;31),"نامعتبر",RIGHT("0000"&amp;$B332,4)&amp;"/"&amp;RIGHT("00"&amp;$C332,2)&amp;"/"&amp;RIGHT("00"&amp;$D332,2)))</f>
        <v/>
      </c>
      <c r="F332">
        <f>IF(OR($E332="",$E332="نامعتبر"),"",LEFT($E332,4)&amp;"/"&amp;MID($E332,6,2))</f>
        <v/>
      </c>
      <c r="G332">
        <f>IF(OR($E332="",$E332="نامعتبر",Sync!$X328=""),"",IF(AND(LEFT(UPPER(TRIM(Sync!$X328)),2)="SL",IFERROR(VLOOKUP(Sync!$W328,OpTbl,3,0),"")="فروش"),UPPER(TRIM(Sync!$X328)),""))</f>
        <v/>
      </c>
      <c r="H332">
        <f>IF($G332="","",IF(Sync!$W328="","",Sync!$W328))</f>
        <v/>
      </c>
      <c r="I332">
        <f>IF(OR($G332="",Sync!$Y328=""),"",Sync!$Y328)</f>
        <v/>
      </c>
      <c r="J332">
        <f>IF(OR($G332="",Sync!$Z328=""),"",Sync!$Z328)</f>
        <v/>
      </c>
      <c r="K332">
        <f>IF($G332="",0,IF(Sync!$AA328="",0,Sync!$AA328))</f>
        <v/>
      </c>
      <c r="L332">
        <f>IF($G332="",0,IF(Sync!$AB328="",0,Sync!$AB328))</f>
        <v/>
      </c>
      <c r="M332">
        <f>IF($G332="","",IF($H332="مرجوعی فروش",-1,1)*($K332-$L332*IFERROR(VLOOKUP("P01",ParamTbl,3,0),1.5)))</f>
        <v/>
      </c>
      <c r="N332">
        <f>IF($G332="",0,IF($H332="مرجوعی فروش",-1,1)*IF(Sync!$AC328="",0,Sync!$AC328))</f>
        <v/>
      </c>
      <c r="O332">
        <f>IF(OR($G332="",Sync!$V328=""),"",Sync!$V328)</f>
        <v/>
      </c>
      <c r="P332">
        <f>IF(OR($G332="",Sync!$AD328=""),"",Sync!$AD328)</f>
        <v/>
      </c>
      <c r="Q332">
        <f>IF($G332="","",IF(Sync!$U328="","0000",IF(AND(ISNUMBER(Sync!$U328),Sync!$U328&gt;=0,Sync!$U328&lt;1),RIGHT("00"&amp;HOUR(Sync!$U328),2)&amp;RIGHT("00"&amp;MINUTE(Sync!$U328),2),IFERROR(RIGHT("00"&amp;VALUE(LEFT(Sync!$U328,FIND(":",Sync!$U328)-1)),2)&amp;RIGHT("00"&amp;VALUE(MID(Sync!$U328,FIND(":",Sync!$U328)+1,2)),2),"0000"))))</f>
        <v/>
      </c>
    </row>
    <row r="333">
      <c r="A333">
        <f>IF(Sync!$T329="","",Sync!$T329)</f>
        <v/>
      </c>
      <c r="B333">
        <f>IF($A333="","",IF(ISNUMBER($A333),IF(AND($A333&gt;=10000101,$A333&lt;=99991231),INT($A333/10000),""),IFERROR(VALUE(TRIM(LEFT($A333,FIND("/",$A333)-1))),"")))</f>
        <v/>
      </c>
      <c r="C333">
        <f>IF(OR($A333="",$B333=""),"",IF(ISNUMBER($A333),INT(MOD($A333,10000)/100),IFERROR(VALUE(TRIM(LEFT(MID($A333,FIND("/",$A333)+1,20),FIND("/",MID($A333,FIND("/",$A333)+1,20))-1))),"")))</f>
        <v/>
      </c>
      <c r="D333">
        <f>IF(OR($A333="",$B333=""),"",IF(ISNUMBER($A333),MOD($A333,100),IFERROR(VALUE(TRIM(MID(MID($A333,FIND("/",$A333)+1,20),FIND("/",MID($A333,FIND("/",$A333)+1,20))+1,20))),"")))</f>
        <v/>
      </c>
      <c r="E333">
        <f>IF($A333="","",IF(OR($B333="",$C333="",$D333="",$B333&lt;1300,$B333&gt;1500,$C333&lt;1,$C333&gt;12,$D333&lt;1,$D333&gt;31),"نامعتبر",RIGHT("0000"&amp;$B333,4)&amp;"/"&amp;RIGHT("00"&amp;$C333,2)&amp;"/"&amp;RIGHT("00"&amp;$D333,2)))</f>
        <v/>
      </c>
      <c r="F333">
        <f>IF(OR($E333="",$E333="نامعتبر"),"",LEFT($E333,4)&amp;"/"&amp;MID($E333,6,2))</f>
        <v/>
      </c>
      <c r="G333">
        <f>IF(OR($E333="",$E333="نامعتبر",Sync!$X329=""),"",IF(AND(LEFT(UPPER(TRIM(Sync!$X329)),2)="SL",IFERROR(VLOOKUP(Sync!$W329,OpTbl,3,0),"")="فروش"),UPPER(TRIM(Sync!$X329)),""))</f>
        <v/>
      </c>
      <c r="H333">
        <f>IF($G333="","",IF(Sync!$W329="","",Sync!$W329))</f>
        <v/>
      </c>
      <c r="I333">
        <f>IF(OR($G333="",Sync!$Y329=""),"",Sync!$Y329)</f>
        <v/>
      </c>
      <c r="J333">
        <f>IF(OR($G333="",Sync!$Z329=""),"",Sync!$Z329)</f>
        <v/>
      </c>
      <c r="K333">
        <f>IF($G333="",0,IF(Sync!$AA329="",0,Sync!$AA329))</f>
        <v/>
      </c>
      <c r="L333">
        <f>IF($G333="",0,IF(Sync!$AB329="",0,Sync!$AB329))</f>
        <v/>
      </c>
      <c r="M333">
        <f>IF($G333="","",IF($H333="مرجوعی فروش",-1,1)*($K333-$L333*IFERROR(VLOOKUP("P01",ParamTbl,3,0),1.5)))</f>
        <v/>
      </c>
      <c r="N333">
        <f>IF($G333="",0,IF($H333="مرجوعی فروش",-1,1)*IF(Sync!$AC329="",0,Sync!$AC329))</f>
        <v/>
      </c>
      <c r="O333">
        <f>IF(OR($G333="",Sync!$V329=""),"",Sync!$V329)</f>
        <v/>
      </c>
      <c r="P333">
        <f>IF(OR($G333="",Sync!$AD329=""),"",Sync!$AD329)</f>
        <v/>
      </c>
      <c r="Q333">
        <f>IF($G333="","",IF(Sync!$U329="","0000",IF(AND(ISNUMBER(Sync!$U329),Sync!$U329&gt;=0,Sync!$U329&lt;1),RIGHT("00"&amp;HOUR(Sync!$U329),2)&amp;RIGHT("00"&amp;MINUTE(Sync!$U329),2),IFERROR(RIGHT("00"&amp;VALUE(LEFT(Sync!$U329,FIND(":",Sync!$U329)-1)),2)&amp;RIGHT("00"&amp;VALUE(MID(Sync!$U329,FIND(":",Sync!$U329)+1,2)),2),"0000"))))</f>
        <v/>
      </c>
    </row>
    <row r="334">
      <c r="A334">
        <f>IF(Sync!$T330="","",Sync!$T330)</f>
        <v/>
      </c>
      <c r="B334">
        <f>IF($A334="","",IF(ISNUMBER($A334),IF(AND($A334&gt;=10000101,$A334&lt;=99991231),INT($A334/10000),""),IFERROR(VALUE(TRIM(LEFT($A334,FIND("/",$A334)-1))),"")))</f>
        <v/>
      </c>
      <c r="C334">
        <f>IF(OR($A334="",$B334=""),"",IF(ISNUMBER($A334),INT(MOD($A334,10000)/100),IFERROR(VALUE(TRIM(LEFT(MID($A334,FIND("/",$A334)+1,20),FIND("/",MID($A334,FIND("/",$A334)+1,20))-1))),"")))</f>
        <v/>
      </c>
      <c r="D334">
        <f>IF(OR($A334="",$B334=""),"",IF(ISNUMBER($A334),MOD($A334,100),IFERROR(VALUE(TRIM(MID(MID($A334,FIND("/",$A334)+1,20),FIND("/",MID($A334,FIND("/",$A334)+1,20))+1,20))),"")))</f>
        <v/>
      </c>
      <c r="E334">
        <f>IF($A334="","",IF(OR($B334="",$C334="",$D334="",$B334&lt;1300,$B334&gt;1500,$C334&lt;1,$C334&gt;12,$D334&lt;1,$D334&gt;31),"نامعتبر",RIGHT("0000"&amp;$B334,4)&amp;"/"&amp;RIGHT("00"&amp;$C334,2)&amp;"/"&amp;RIGHT("00"&amp;$D334,2)))</f>
        <v/>
      </c>
      <c r="F334">
        <f>IF(OR($E334="",$E334="نامعتبر"),"",LEFT($E334,4)&amp;"/"&amp;MID($E334,6,2))</f>
        <v/>
      </c>
      <c r="G334">
        <f>IF(OR($E334="",$E334="نامعتبر",Sync!$X330=""),"",IF(AND(LEFT(UPPER(TRIM(Sync!$X330)),2)="SL",IFERROR(VLOOKUP(Sync!$W330,OpTbl,3,0),"")="فروش"),UPPER(TRIM(Sync!$X330)),""))</f>
        <v/>
      </c>
      <c r="H334">
        <f>IF($G334="","",IF(Sync!$W330="","",Sync!$W330))</f>
        <v/>
      </c>
      <c r="I334">
        <f>IF(OR($G334="",Sync!$Y330=""),"",Sync!$Y330)</f>
        <v/>
      </c>
      <c r="J334">
        <f>IF(OR($G334="",Sync!$Z330=""),"",Sync!$Z330)</f>
        <v/>
      </c>
      <c r="K334">
        <f>IF($G334="",0,IF(Sync!$AA330="",0,Sync!$AA330))</f>
        <v/>
      </c>
      <c r="L334">
        <f>IF($G334="",0,IF(Sync!$AB330="",0,Sync!$AB330))</f>
        <v/>
      </c>
      <c r="M334">
        <f>IF($G334="","",IF($H334="مرجوعی فروش",-1,1)*($K334-$L334*IFERROR(VLOOKUP("P01",ParamTbl,3,0),1.5)))</f>
        <v/>
      </c>
      <c r="N334">
        <f>IF($G334="",0,IF($H334="مرجوعی فروش",-1,1)*IF(Sync!$AC330="",0,Sync!$AC330))</f>
        <v/>
      </c>
      <c r="O334">
        <f>IF(OR($G334="",Sync!$V330=""),"",Sync!$V330)</f>
        <v/>
      </c>
      <c r="P334">
        <f>IF(OR($G334="",Sync!$AD330=""),"",Sync!$AD330)</f>
        <v/>
      </c>
      <c r="Q334">
        <f>IF($G334="","",IF(Sync!$U330="","0000",IF(AND(ISNUMBER(Sync!$U330),Sync!$U330&gt;=0,Sync!$U330&lt;1),RIGHT("00"&amp;HOUR(Sync!$U330),2)&amp;RIGHT("00"&amp;MINUTE(Sync!$U330),2),IFERROR(RIGHT("00"&amp;VALUE(LEFT(Sync!$U330,FIND(":",Sync!$U330)-1)),2)&amp;RIGHT("00"&amp;VALUE(MID(Sync!$U330,FIND(":",Sync!$U330)+1,2)),2),"0000"))))</f>
        <v/>
      </c>
    </row>
    <row r="335">
      <c r="A335">
        <f>IF(Sync!$T331="","",Sync!$T331)</f>
        <v/>
      </c>
      <c r="B335">
        <f>IF($A335="","",IF(ISNUMBER($A335),IF(AND($A335&gt;=10000101,$A335&lt;=99991231),INT($A335/10000),""),IFERROR(VALUE(TRIM(LEFT($A335,FIND("/",$A335)-1))),"")))</f>
        <v/>
      </c>
      <c r="C335">
        <f>IF(OR($A335="",$B335=""),"",IF(ISNUMBER($A335),INT(MOD($A335,10000)/100),IFERROR(VALUE(TRIM(LEFT(MID($A335,FIND("/",$A335)+1,20),FIND("/",MID($A335,FIND("/",$A335)+1,20))-1))),"")))</f>
        <v/>
      </c>
      <c r="D335">
        <f>IF(OR($A335="",$B335=""),"",IF(ISNUMBER($A335),MOD($A335,100),IFERROR(VALUE(TRIM(MID(MID($A335,FIND("/",$A335)+1,20),FIND("/",MID($A335,FIND("/",$A335)+1,20))+1,20))),"")))</f>
        <v/>
      </c>
      <c r="E335">
        <f>IF($A335="","",IF(OR($B335="",$C335="",$D335="",$B335&lt;1300,$B335&gt;1500,$C335&lt;1,$C335&gt;12,$D335&lt;1,$D335&gt;31),"نامعتبر",RIGHT("0000"&amp;$B335,4)&amp;"/"&amp;RIGHT("00"&amp;$C335,2)&amp;"/"&amp;RIGHT("00"&amp;$D335,2)))</f>
        <v/>
      </c>
      <c r="F335">
        <f>IF(OR($E335="",$E335="نامعتبر"),"",LEFT($E335,4)&amp;"/"&amp;MID($E335,6,2))</f>
        <v/>
      </c>
      <c r="G335">
        <f>IF(OR($E335="",$E335="نامعتبر",Sync!$X331=""),"",IF(AND(LEFT(UPPER(TRIM(Sync!$X331)),2)="SL",IFERROR(VLOOKUP(Sync!$W331,OpTbl,3,0),"")="فروش"),UPPER(TRIM(Sync!$X331)),""))</f>
        <v/>
      </c>
      <c r="H335">
        <f>IF($G335="","",IF(Sync!$W331="","",Sync!$W331))</f>
        <v/>
      </c>
      <c r="I335">
        <f>IF(OR($G335="",Sync!$Y331=""),"",Sync!$Y331)</f>
        <v/>
      </c>
      <c r="J335">
        <f>IF(OR($G335="",Sync!$Z331=""),"",Sync!$Z331)</f>
        <v/>
      </c>
      <c r="K335">
        <f>IF($G335="",0,IF(Sync!$AA331="",0,Sync!$AA331))</f>
        <v/>
      </c>
      <c r="L335">
        <f>IF($G335="",0,IF(Sync!$AB331="",0,Sync!$AB331))</f>
        <v/>
      </c>
      <c r="M335">
        <f>IF($G335="","",IF($H335="مرجوعی فروش",-1,1)*($K335-$L335*IFERROR(VLOOKUP("P01",ParamTbl,3,0),1.5)))</f>
        <v/>
      </c>
      <c r="N335">
        <f>IF($G335="",0,IF($H335="مرجوعی فروش",-1,1)*IF(Sync!$AC331="",0,Sync!$AC331))</f>
        <v/>
      </c>
      <c r="O335">
        <f>IF(OR($G335="",Sync!$V331=""),"",Sync!$V331)</f>
        <v/>
      </c>
      <c r="P335">
        <f>IF(OR($G335="",Sync!$AD331=""),"",Sync!$AD331)</f>
        <v/>
      </c>
      <c r="Q335">
        <f>IF($G335="","",IF(Sync!$U331="","0000",IF(AND(ISNUMBER(Sync!$U331),Sync!$U331&gt;=0,Sync!$U331&lt;1),RIGHT("00"&amp;HOUR(Sync!$U331),2)&amp;RIGHT("00"&amp;MINUTE(Sync!$U331),2),IFERROR(RIGHT("00"&amp;VALUE(LEFT(Sync!$U331,FIND(":",Sync!$U331)-1)),2)&amp;RIGHT("00"&amp;VALUE(MID(Sync!$U331,FIND(":",Sync!$U331)+1,2)),2),"0000"))))</f>
        <v/>
      </c>
    </row>
    <row r="336">
      <c r="A336">
        <f>IF(Sync!$T332="","",Sync!$T332)</f>
        <v/>
      </c>
      <c r="B336">
        <f>IF($A336="","",IF(ISNUMBER($A336),IF(AND($A336&gt;=10000101,$A336&lt;=99991231),INT($A336/10000),""),IFERROR(VALUE(TRIM(LEFT($A336,FIND("/",$A336)-1))),"")))</f>
        <v/>
      </c>
      <c r="C336">
        <f>IF(OR($A336="",$B336=""),"",IF(ISNUMBER($A336),INT(MOD($A336,10000)/100),IFERROR(VALUE(TRIM(LEFT(MID($A336,FIND("/",$A336)+1,20),FIND("/",MID($A336,FIND("/",$A336)+1,20))-1))),"")))</f>
        <v/>
      </c>
      <c r="D336">
        <f>IF(OR($A336="",$B336=""),"",IF(ISNUMBER($A336),MOD($A336,100),IFERROR(VALUE(TRIM(MID(MID($A336,FIND("/",$A336)+1,20),FIND("/",MID($A336,FIND("/",$A336)+1,20))+1,20))),"")))</f>
        <v/>
      </c>
      <c r="E336">
        <f>IF($A336="","",IF(OR($B336="",$C336="",$D336="",$B336&lt;1300,$B336&gt;1500,$C336&lt;1,$C336&gt;12,$D336&lt;1,$D336&gt;31),"نامعتبر",RIGHT("0000"&amp;$B336,4)&amp;"/"&amp;RIGHT("00"&amp;$C336,2)&amp;"/"&amp;RIGHT("00"&amp;$D336,2)))</f>
        <v/>
      </c>
      <c r="F336">
        <f>IF(OR($E336="",$E336="نامعتبر"),"",LEFT($E336,4)&amp;"/"&amp;MID($E336,6,2))</f>
        <v/>
      </c>
      <c r="G336">
        <f>IF(OR($E336="",$E336="نامعتبر",Sync!$X332=""),"",IF(AND(LEFT(UPPER(TRIM(Sync!$X332)),2)="SL",IFERROR(VLOOKUP(Sync!$W332,OpTbl,3,0),"")="فروش"),UPPER(TRIM(Sync!$X332)),""))</f>
        <v/>
      </c>
      <c r="H336">
        <f>IF($G336="","",IF(Sync!$W332="","",Sync!$W332))</f>
        <v/>
      </c>
      <c r="I336">
        <f>IF(OR($G336="",Sync!$Y332=""),"",Sync!$Y332)</f>
        <v/>
      </c>
      <c r="J336">
        <f>IF(OR($G336="",Sync!$Z332=""),"",Sync!$Z332)</f>
        <v/>
      </c>
      <c r="K336">
        <f>IF($G336="",0,IF(Sync!$AA332="",0,Sync!$AA332))</f>
        <v/>
      </c>
      <c r="L336">
        <f>IF($G336="",0,IF(Sync!$AB332="",0,Sync!$AB332))</f>
        <v/>
      </c>
      <c r="M336">
        <f>IF($G336="","",IF($H336="مرجوعی فروش",-1,1)*($K336-$L336*IFERROR(VLOOKUP("P01",ParamTbl,3,0),1.5)))</f>
        <v/>
      </c>
      <c r="N336">
        <f>IF($G336="",0,IF($H336="مرجوعی فروش",-1,1)*IF(Sync!$AC332="",0,Sync!$AC332))</f>
        <v/>
      </c>
      <c r="O336">
        <f>IF(OR($G336="",Sync!$V332=""),"",Sync!$V332)</f>
        <v/>
      </c>
      <c r="P336">
        <f>IF(OR($G336="",Sync!$AD332=""),"",Sync!$AD332)</f>
        <v/>
      </c>
      <c r="Q336">
        <f>IF($G336="","",IF(Sync!$U332="","0000",IF(AND(ISNUMBER(Sync!$U332),Sync!$U332&gt;=0,Sync!$U332&lt;1),RIGHT("00"&amp;HOUR(Sync!$U332),2)&amp;RIGHT("00"&amp;MINUTE(Sync!$U332),2),IFERROR(RIGHT("00"&amp;VALUE(LEFT(Sync!$U332,FIND(":",Sync!$U332)-1)),2)&amp;RIGHT("00"&amp;VALUE(MID(Sync!$U332,FIND(":",Sync!$U332)+1,2)),2),"0000"))))</f>
        <v/>
      </c>
    </row>
    <row r="337">
      <c r="A337">
        <f>IF(Sync!$T333="","",Sync!$T333)</f>
        <v/>
      </c>
      <c r="B337">
        <f>IF($A337="","",IF(ISNUMBER($A337),IF(AND($A337&gt;=10000101,$A337&lt;=99991231),INT($A337/10000),""),IFERROR(VALUE(TRIM(LEFT($A337,FIND("/",$A337)-1))),"")))</f>
        <v/>
      </c>
      <c r="C337">
        <f>IF(OR($A337="",$B337=""),"",IF(ISNUMBER($A337),INT(MOD($A337,10000)/100),IFERROR(VALUE(TRIM(LEFT(MID($A337,FIND("/",$A337)+1,20),FIND("/",MID($A337,FIND("/",$A337)+1,20))-1))),"")))</f>
        <v/>
      </c>
      <c r="D337">
        <f>IF(OR($A337="",$B337=""),"",IF(ISNUMBER($A337),MOD($A337,100),IFERROR(VALUE(TRIM(MID(MID($A337,FIND("/",$A337)+1,20),FIND("/",MID($A337,FIND("/",$A337)+1,20))+1,20))),"")))</f>
        <v/>
      </c>
      <c r="E337">
        <f>IF($A337="","",IF(OR($B337="",$C337="",$D337="",$B337&lt;1300,$B337&gt;1500,$C337&lt;1,$C337&gt;12,$D337&lt;1,$D337&gt;31),"نامعتبر",RIGHT("0000"&amp;$B337,4)&amp;"/"&amp;RIGHT("00"&amp;$C337,2)&amp;"/"&amp;RIGHT("00"&amp;$D337,2)))</f>
        <v/>
      </c>
      <c r="F337">
        <f>IF(OR($E337="",$E337="نامعتبر"),"",LEFT($E337,4)&amp;"/"&amp;MID($E337,6,2))</f>
        <v/>
      </c>
      <c r="G337">
        <f>IF(OR($E337="",$E337="نامعتبر",Sync!$X333=""),"",IF(AND(LEFT(UPPER(TRIM(Sync!$X333)),2)="SL",IFERROR(VLOOKUP(Sync!$W333,OpTbl,3,0),"")="فروش"),UPPER(TRIM(Sync!$X333)),""))</f>
        <v/>
      </c>
      <c r="H337">
        <f>IF($G337="","",IF(Sync!$W333="","",Sync!$W333))</f>
        <v/>
      </c>
      <c r="I337">
        <f>IF(OR($G337="",Sync!$Y333=""),"",Sync!$Y333)</f>
        <v/>
      </c>
      <c r="J337">
        <f>IF(OR($G337="",Sync!$Z333=""),"",Sync!$Z333)</f>
        <v/>
      </c>
      <c r="K337">
        <f>IF($G337="",0,IF(Sync!$AA333="",0,Sync!$AA333))</f>
        <v/>
      </c>
      <c r="L337">
        <f>IF($G337="",0,IF(Sync!$AB333="",0,Sync!$AB333))</f>
        <v/>
      </c>
      <c r="M337">
        <f>IF($G337="","",IF($H337="مرجوعی فروش",-1,1)*($K337-$L337*IFERROR(VLOOKUP("P01",ParamTbl,3,0),1.5)))</f>
        <v/>
      </c>
      <c r="N337">
        <f>IF($G337="",0,IF($H337="مرجوعی فروش",-1,1)*IF(Sync!$AC333="",0,Sync!$AC333))</f>
        <v/>
      </c>
      <c r="O337">
        <f>IF(OR($G337="",Sync!$V333=""),"",Sync!$V333)</f>
        <v/>
      </c>
      <c r="P337">
        <f>IF(OR($G337="",Sync!$AD333=""),"",Sync!$AD333)</f>
        <v/>
      </c>
      <c r="Q337">
        <f>IF($G337="","",IF(Sync!$U333="","0000",IF(AND(ISNUMBER(Sync!$U333),Sync!$U333&gt;=0,Sync!$U333&lt;1),RIGHT("00"&amp;HOUR(Sync!$U333),2)&amp;RIGHT("00"&amp;MINUTE(Sync!$U333),2),IFERROR(RIGHT("00"&amp;VALUE(LEFT(Sync!$U333,FIND(":",Sync!$U333)-1)),2)&amp;RIGHT("00"&amp;VALUE(MID(Sync!$U333,FIND(":",Sync!$U333)+1,2)),2),"0000"))))</f>
        <v/>
      </c>
    </row>
    <row r="338">
      <c r="A338">
        <f>IF(Sync!$T334="","",Sync!$T334)</f>
        <v/>
      </c>
      <c r="B338">
        <f>IF($A338="","",IF(ISNUMBER($A338),IF(AND($A338&gt;=10000101,$A338&lt;=99991231),INT($A338/10000),""),IFERROR(VALUE(TRIM(LEFT($A338,FIND("/",$A338)-1))),"")))</f>
        <v/>
      </c>
      <c r="C338">
        <f>IF(OR($A338="",$B338=""),"",IF(ISNUMBER($A338),INT(MOD($A338,10000)/100),IFERROR(VALUE(TRIM(LEFT(MID($A338,FIND("/",$A338)+1,20),FIND("/",MID($A338,FIND("/",$A338)+1,20))-1))),"")))</f>
        <v/>
      </c>
      <c r="D338">
        <f>IF(OR($A338="",$B338=""),"",IF(ISNUMBER($A338),MOD($A338,100),IFERROR(VALUE(TRIM(MID(MID($A338,FIND("/",$A338)+1,20),FIND("/",MID($A338,FIND("/",$A338)+1,20))+1,20))),"")))</f>
        <v/>
      </c>
      <c r="E338">
        <f>IF($A338="","",IF(OR($B338="",$C338="",$D338="",$B338&lt;1300,$B338&gt;1500,$C338&lt;1,$C338&gt;12,$D338&lt;1,$D338&gt;31),"نامعتبر",RIGHT("0000"&amp;$B338,4)&amp;"/"&amp;RIGHT("00"&amp;$C338,2)&amp;"/"&amp;RIGHT("00"&amp;$D338,2)))</f>
        <v/>
      </c>
      <c r="F338">
        <f>IF(OR($E338="",$E338="نامعتبر"),"",LEFT($E338,4)&amp;"/"&amp;MID($E338,6,2))</f>
        <v/>
      </c>
      <c r="G338">
        <f>IF(OR($E338="",$E338="نامعتبر",Sync!$X334=""),"",IF(AND(LEFT(UPPER(TRIM(Sync!$X334)),2)="SL",IFERROR(VLOOKUP(Sync!$W334,OpTbl,3,0),"")="فروش"),UPPER(TRIM(Sync!$X334)),""))</f>
        <v/>
      </c>
      <c r="H338">
        <f>IF($G338="","",IF(Sync!$W334="","",Sync!$W334))</f>
        <v/>
      </c>
      <c r="I338">
        <f>IF(OR($G338="",Sync!$Y334=""),"",Sync!$Y334)</f>
        <v/>
      </c>
      <c r="J338">
        <f>IF(OR($G338="",Sync!$Z334=""),"",Sync!$Z334)</f>
        <v/>
      </c>
      <c r="K338">
        <f>IF($G338="",0,IF(Sync!$AA334="",0,Sync!$AA334))</f>
        <v/>
      </c>
      <c r="L338">
        <f>IF($G338="",0,IF(Sync!$AB334="",0,Sync!$AB334))</f>
        <v/>
      </c>
      <c r="M338">
        <f>IF($G338="","",IF($H338="مرجوعی فروش",-1,1)*($K338-$L338*IFERROR(VLOOKUP("P01",ParamTbl,3,0),1.5)))</f>
        <v/>
      </c>
      <c r="N338">
        <f>IF($G338="",0,IF($H338="مرجوعی فروش",-1,1)*IF(Sync!$AC334="",0,Sync!$AC334))</f>
        <v/>
      </c>
      <c r="O338">
        <f>IF(OR($G338="",Sync!$V334=""),"",Sync!$V334)</f>
        <v/>
      </c>
      <c r="P338">
        <f>IF(OR($G338="",Sync!$AD334=""),"",Sync!$AD334)</f>
        <v/>
      </c>
      <c r="Q338">
        <f>IF($G338="","",IF(Sync!$U334="","0000",IF(AND(ISNUMBER(Sync!$U334),Sync!$U334&gt;=0,Sync!$U334&lt;1),RIGHT("00"&amp;HOUR(Sync!$U334),2)&amp;RIGHT("00"&amp;MINUTE(Sync!$U334),2),IFERROR(RIGHT("00"&amp;VALUE(LEFT(Sync!$U334,FIND(":",Sync!$U334)-1)),2)&amp;RIGHT("00"&amp;VALUE(MID(Sync!$U334,FIND(":",Sync!$U334)+1,2)),2),"0000"))))</f>
        <v/>
      </c>
    </row>
    <row r="339">
      <c r="A339">
        <f>IF(Sync!$T335="","",Sync!$T335)</f>
        <v/>
      </c>
      <c r="B339">
        <f>IF($A339="","",IF(ISNUMBER($A339),IF(AND($A339&gt;=10000101,$A339&lt;=99991231),INT($A339/10000),""),IFERROR(VALUE(TRIM(LEFT($A339,FIND("/",$A339)-1))),"")))</f>
        <v/>
      </c>
      <c r="C339">
        <f>IF(OR($A339="",$B339=""),"",IF(ISNUMBER($A339),INT(MOD($A339,10000)/100),IFERROR(VALUE(TRIM(LEFT(MID($A339,FIND("/",$A339)+1,20),FIND("/",MID($A339,FIND("/",$A339)+1,20))-1))),"")))</f>
        <v/>
      </c>
      <c r="D339">
        <f>IF(OR($A339="",$B339=""),"",IF(ISNUMBER($A339),MOD($A339,100),IFERROR(VALUE(TRIM(MID(MID($A339,FIND("/",$A339)+1,20),FIND("/",MID($A339,FIND("/",$A339)+1,20))+1,20))),"")))</f>
        <v/>
      </c>
      <c r="E339">
        <f>IF($A339="","",IF(OR($B339="",$C339="",$D339="",$B339&lt;1300,$B339&gt;1500,$C339&lt;1,$C339&gt;12,$D339&lt;1,$D339&gt;31),"نامعتبر",RIGHT("0000"&amp;$B339,4)&amp;"/"&amp;RIGHT("00"&amp;$C339,2)&amp;"/"&amp;RIGHT("00"&amp;$D339,2)))</f>
        <v/>
      </c>
      <c r="F339">
        <f>IF(OR($E339="",$E339="نامعتبر"),"",LEFT($E339,4)&amp;"/"&amp;MID($E339,6,2))</f>
        <v/>
      </c>
      <c r="G339">
        <f>IF(OR($E339="",$E339="نامعتبر",Sync!$X335=""),"",IF(AND(LEFT(UPPER(TRIM(Sync!$X335)),2)="SL",IFERROR(VLOOKUP(Sync!$W335,OpTbl,3,0),"")="فروش"),UPPER(TRIM(Sync!$X335)),""))</f>
        <v/>
      </c>
      <c r="H339">
        <f>IF($G339="","",IF(Sync!$W335="","",Sync!$W335))</f>
        <v/>
      </c>
      <c r="I339">
        <f>IF(OR($G339="",Sync!$Y335=""),"",Sync!$Y335)</f>
        <v/>
      </c>
      <c r="J339">
        <f>IF(OR($G339="",Sync!$Z335=""),"",Sync!$Z335)</f>
        <v/>
      </c>
      <c r="K339">
        <f>IF($G339="",0,IF(Sync!$AA335="",0,Sync!$AA335))</f>
        <v/>
      </c>
      <c r="L339">
        <f>IF($G339="",0,IF(Sync!$AB335="",0,Sync!$AB335))</f>
        <v/>
      </c>
      <c r="M339">
        <f>IF($G339="","",IF($H339="مرجوعی فروش",-1,1)*($K339-$L339*IFERROR(VLOOKUP("P01",ParamTbl,3,0),1.5)))</f>
        <v/>
      </c>
      <c r="N339">
        <f>IF($G339="",0,IF($H339="مرجوعی فروش",-1,1)*IF(Sync!$AC335="",0,Sync!$AC335))</f>
        <v/>
      </c>
      <c r="O339">
        <f>IF(OR($G339="",Sync!$V335=""),"",Sync!$V335)</f>
        <v/>
      </c>
      <c r="P339">
        <f>IF(OR($G339="",Sync!$AD335=""),"",Sync!$AD335)</f>
        <v/>
      </c>
      <c r="Q339">
        <f>IF($G339="","",IF(Sync!$U335="","0000",IF(AND(ISNUMBER(Sync!$U335),Sync!$U335&gt;=0,Sync!$U335&lt;1),RIGHT("00"&amp;HOUR(Sync!$U335),2)&amp;RIGHT("00"&amp;MINUTE(Sync!$U335),2),IFERROR(RIGHT("00"&amp;VALUE(LEFT(Sync!$U335,FIND(":",Sync!$U335)-1)),2)&amp;RIGHT("00"&amp;VALUE(MID(Sync!$U335,FIND(":",Sync!$U335)+1,2)),2),"0000"))))</f>
        <v/>
      </c>
    </row>
    <row r="340">
      <c r="A340">
        <f>IF(Sync!$T336="","",Sync!$T336)</f>
        <v/>
      </c>
      <c r="B340">
        <f>IF($A340="","",IF(ISNUMBER($A340),IF(AND($A340&gt;=10000101,$A340&lt;=99991231),INT($A340/10000),""),IFERROR(VALUE(TRIM(LEFT($A340,FIND("/",$A340)-1))),"")))</f>
        <v/>
      </c>
      <c r="C340">
        <f>IF(OR($A340="",$B340=""),"",IF(ISNUMBER($A340),INT(MOD($A340,10000)/100),IFERROR(VALUE(TRIM(LEFT(MID($A340,FIND("/",$A340)+1,20),FIND("/",MID($A340,FIND("/",$A340)+1,20))-1))),"")))</f>
        <v/>
      </c>
      <c r="D340">
        <f>IF(OR($A340="",$B340=""),"",IF(ISNUMBER($A340),MOD($A340,100),IFERROR(VALUE(TRIM(MID(MID($A340,FIND("/",$A340)+1,20),FIND("/",MID($A340,FIND("/",$A340)+1,20))+1,20))),"")))</f>
        <v/>
      </c>
      <c r="E340">
        <f>IF($A340="","",IF(OR($B340="",$C340="",$D340="",$B340&lt;1300,$B340&gt;1500,$C340&lt;1,$C340&gt;12,$D340&lt;1,$D340&gt;31),"نامعتبر",RIGHT("0000"&amp;$B340,4)&amp;"/"&amp;RIGHT("00"&amp;$C340,2)&amp;"/"&amp;RIGHT("00"&amp;$D340,2)))</f>
        <v/>
      </c>
      <c r="F340">
        <f>IF(OR($E340="",$E340="نامعتبر"),"",LEFT($E340,4)&amp;"/"&amp;MID($E340,6,2))</f>
        <v/>
      </c>
      <c r="G340">
        <f>IF(OR($E340="",$E340="نامعتبر",Sync!$X336=""),"",IF(AND(LEFT(UPPER(TRIM(Sync!$X336)),2)="SL",IFERROR(VLOOKUP(Sync!$W336,OpTbl,3,0),"")="فروش"),UPPER(TRIM(Sync!$X336)),""))</f>
        <v/>
      </c>
      <c r="H340">
        <f>IF($G340="","",IF(Sync!$W336="","",Sync!$W336))</f>
        <v/>
      </c>
      <c r="I340">
        <f>IF(OR($G340="",Sync!$Y336=""),"",Sync!$Y336)</f>
        <v/>
      </c>
      <c r="J340">
        <f>IF(OR($G340="",Sync!$Z336=""),"",Sync!$Z336)</f>
        <v/>
      </c>
      <c r="K340">
        <f>IF($G340="",0,IF(Sync!$AA336="",0,Sync!$AA336))</f>
        <v/>
      </c>
      <c r="L340">
        <f>IF($G340="",0,IF(Sync!$AB336="",0,Sync!$AB336))</f>
        <v/>
      </c>
      <c r="M340">
        <f>IF($G340="","",IF($H340="مرجوعی فروش",-1,1)*($K340-$L340*IFERROR(VLOOKUP("P01",ParamTbl,3,0),1.5)))</f>
        <v/>
      </c>
      <c r="N340">
        <f>IF($G340="",0,IF($H340="مرجوعی فروش",-1,1)*IF(Sync!$AC336="",0,Sync!$AC336))</f>
        <v/>
      </c>
      <c r="O340">
        <f>IF(OR($G340="",Sync!$V336=""),"",Sync!$V336)</f>
        <v/>
      </c>
      <c r="P340">
        <f>IF(OR($G340="",Sync!$AD336=""),"",Sync!$AD336)</f>
        <v/>
      </c>
      <c r="Q340">
        <f>IF($G340="","",IF(Sync!$U336="","0000",IF(AND(ISNUMBER(Sync!$U336),Sync!$U336&gt;=0,Sync!$U336&lt;1),RIGHT("00"&amp;HOUR(Sync!$U336),2)&amp;RIGHT("00"&amp;MINUTE(Sync!$U336),2),IFERROR(RIGHT("00"&amp;VALUE(LEFT(Sync!$U336,FIND(":",Sync!$U336)-1)),2)&amp;RIGHT("00"&amp;VALUE(MID(Sync!$U336,FIND(":",Sync!$U336)+1,2)),2),"0000"))))</f>
        <v/>
      </c>
    </row>
    <row r="341">
      <c r="A341">
        <f>IF(Sync!$T337="","",Sync!$T337)</f>
        <v/>
      </c>
      <c r="B341">
        <f>IF($A341="","",IF(ISNUMBER($A341),IF(AND($A341&gt;=10000101,$A341&lt;=99991231),INT($A341/10000),""),IFERROR(VALUE(TRIM(LEFT($A341,FIND("/",$A341)-1))),"")))</f>
        <v/>
      </c>
      <c r="C341">
        <f>IF(OR($A341="",$B341=""),"",IF(ISNUMBER($A341),INT(MOD($A341,10000)/100),IFERROR(VALUE(TRIM(LEFT(MID($A341,FIND("/",$A341)+1,20),FIND("/",MID($A341,FIND("/",$A341)+1,20))-1))),"")))</f>
        <v/>
      </c>
      <c r="D341">
        <f>IF(OR($A341="",$B341=""),"",IF(ISNUMBER($A341),MOD($A341,100),IFERROR(VALUE(TRIM(MID(MID($A341,FIND("/",$A341)+1,20),FIND("/",MID($A341,FIND("/",$A341)+1,20))+1,20))),"")))</f>
        <v/>
      </c>
      <c r="E341">
        <f>IF($A341="","",IF(OR($B341="",$C341="",$D341="",$B341&lt;1300,$B341&gt;1500,$C341&lt;1,$C341&gt;12,$D341&lt;1,$D341&gt;31),"نامعتبر",RIGHT("0000"&amp;$B341,4)&amp;"/"&amp;RIGHT("00"&amp;$C341,2)&amp;"/"&amp;RIGHT("00"&amp;$D341,2)))</f>
        <v/>
      </c>
      <c r="F341">
        <f>IF(OR($E341="",$E341="نامعتبر"),"",LEFT($E341,4)&amp;"/"&amp;MID($E341,6,2))</f>
        <v/>
      </c>
      <c r="G341">
        <f>IF(OR($E341="",$E341="نامعتبر",Sync!$X337=""),"",IF(AND(LEFT(UPPER(TRIM(Sync!$X337)),2)="SL",IFERROR(VLOOKUP(Sync!$W337,OpTbl,3,0),"")="فروش"),UPPER(TRIM(Sync!$X337)),""))</f>
        <v/>
      </c>
      <c r="H341">
        <f>IF($G341="","",IF(Sync!$W337="","",Sync!$W337))</f>
        <v/>
      </c>
      <c r="I341">
        <f>IF(OR($G341="",Sync!$Y337=""),"",Sync!$Y337)</f>
        <v/>
      </c>
      <c r="J341">
        <f>IF(OR($G341="",Sync!$Z337=""),"",Sync!$Z337)</f>
        <v/>
      </c>
      <c r="K341">
        <f>IF($G341="",0,IF(Sync!$AA337="",0,Sync!$AA337))</f>
        <v/>
      </c>
      <c r="L341">
        <f>IF($G341="",0,IF(Sync!$AB337="",0,Sync!$AB337))</f>
        <v/>
      </c>
      <c r="M341">
        <f>IF($G341="","",IF($H341="مرجوعی فروش",-1,1)*($K341-$L341*IFERROR(VLOOKUP("P01",ParamTbl,3,0),1.5)))</f>
        <v/>
      </c>
      <c r="N341">
        <f>IF($G341="",0,IF($H341="مرجوعی فروش",-1,1)*IF(Sync!$AC337="",0,Sync!$AC337))</f>
        <v/>
      </c>
      <c r="O341">
        <f>IF(OR($G341="",Sync!$V337=""),"",Sync!$V337)</f>
        <v/>
      </c>
      <c r="P341">
        <f>IF(OR($G341="",Sync!$AD337=""),"",Sync!$AD337)</f>
        <v/>
      </c>
      <c r="Q341">
        <f>IF($G341="","",IF(Sync!$U337="","0000",IF(AND(ISNUMBER(Sync!$U337),Sync!$U337&gt;=0,Sync!$U337&lt;1),RIGHT("00"&amp;HOUR(Sync!$U337),2)&amp;RIGHT("00"&amp;MINUTE(Sync!$U337),2),IFERROR(RIGHT("00"&amp;VALUE(LEFT(Sync!$U337,FIND(":",Sync!$U337)-1)),2)&amp;RIGHT("00"&amp;VALUE(MID(Sync!$U337,FIND(":",Sync!$U337)+1,2)),2),"0000"))))</f>
        <v/>
      </c>
    </row>
    <row r="342">
      <c r="A342">
        <f>IF(Sync!$T338="","",Sync!$T338)</f>
        <v/>
      </c>
      <c r="B342">
        <f>IF($A342="","",IF(ISNUMBER($A342),IF(AND($A342&gt;=10000101,$A342&lt;=99991231),INT($A342/10000),""),IFERROR(VALUE(TRIM(LEFT($A342,FIND("/",$A342)-1))),"")))</f>
        <v/>
      </c>
      <c r="C342">
        <f>IF(OR($A342="",$B342=""),"",IF(ISNUMBER($A342),INT(MOD($A342,10000)/100),IFERROR(VALUE(TRIM(LEFT(MID($A342,FIND("/",$A342)+1,20),FIND("/",MID($A342,FIND("/",$A342)+1,20))-1))),"")))</f>
        <v/>
      </c>
      <c r="D342">
        <f>IF(OR($A342="",$B342=""),"",IF(ISNUMBER($A342),MOD($A342,100),IFERROR(VALUE(TRIM(MID(MID($A342,FIND("/",$A342)+1,20),FIND("/",MID($A342,FIND("/",$A342)+1,20))+1,20))),"")))</f>
        <v/>
      </c>
      <c r="E342">
        <f>IF($A342="","",IF(OR($B342="",$C342="",$D342="",$B342&lt;1300,$B342&gt;1500,$C342&lt;1,$C342&gt;12,$D342&lt;1,$D342&gt;31),"نامعتبر",RIGHT("0000"&amp;$B342,4)&amp;"/"&amp;RIGHT("00"&amp;$C342,2)&amp;"/"&amp;RIGHT("00"&amp;$D342,2)))</f>
        <v/>
      </c>
      <c r="F342">
        <f>IF(OR($E342="",$E342="نامعتبر"),"",LEFT($E342,4)&amp;"/"&amp;MID($E342,6,2))</f>
        <v/>
      </c>
      <c r="G342">
        <f>IF(OR($E342="",$E342="نامعتبر",Sync!$X338=""),"",IF(AND(LEFT(UPPER(TRIM(Sync!$X338)),2)="SL",IFERROR(VLOOKUP(Sync!$W338,OpTbl,3,0),"")="فروش"),UPPER(TRIM(Sync!$X338)),""))</f>
        <v/>
      </c>
      <c r="H342">
        <f>IF($G342="","",IF(Sync!$W338="","",Sync!$W338))</f>
        <v/>
      </c>
      <c r="I342">
        <f>IF(OR($G342="",Sync!$Y338=""),"",Sync!$Y338)</f>
        <v/>
      </c>
      <c r="J342">
        <f>IF(OR($G342="",Sync!$Z338=""),"",Sync!$Z338)</f>
        <v/>
      </c>
      <c r="K342">
        <f>IF($G342="",0,IF(Sync!$AA338="",0,Sync!$AA338))</f>
        <v/>
      </c>
      <c r="L342">
        <f>IF($G342="",0,IF(Sync!$AB338="",0,Sync!$AB338))</f>
        <v/>
      </c>
      <c r="M342">
        <f>IF($G342="","",IF($H342="مرجوعی فروش",-1,1)*($K342-$L342*IFERROR(VLOOKUP("P01",ParamTbl,3,0),1.5)))</f>
        <v/>
      </c>
      <c r="N342">
        <f>IF($G342="",0,IF($H342="مرجوعی فروش",-1,1)*IF(Sync!$AC338="",0,Sync!$AC338))</f>
        <v/>
      </c>
      <c r="O342">
        <f>IF(OR($G342="",Sync!$V338=""),"",Sync!$V338)</f>
        <v/>
      </c>
      <c r="P342">
        <f>IF(OR($G342="",Sync!$AD338=""),"",Sync!$AD338)</f>
        <v/>
      </c>
      <c r="Q342">
        <f>IF($G342="","",IF(Sync!$U338="","0000",IF(AND(ISNUMBER(Sync!$U338),Sync!$U338&gt;=0,Sync!$U338&lt;1),RIGHT("00"&amp;HOUR(Sync!$U338),2)&amp;RIGHT("00"&amp;MINUTE(Sync!$U338),2),IFERROR(RIGHT("00"&amp;VALUE(LEFT(Sync!$U338,FIND(":",Sync!$U338)-1)),2)&amp;RIGHT("00"&amp;VALUE(MID(Sync!$U338,FIND(":",Sync!$U338)+1,2)),2),"0000"))))</f>
        <v/>
      </c>
    </row>
    <row r="343">
      <c r="A343">
        <f>IF(Sync!$T339="","",Sync!$T339)</f>
        <v/>
      </c>
      <c r="B343">
        <f>IF($A343="","",IF(ISNUMBER($A343),IF(AND($A343&gt;=10000101,$A343&lt;=99991231),INT($A343/10000),""),IFERROR(VALUE(TRIM(LEFT($A343,FIND("/",$A343)-1))),"")))</f>
        <v/>
      </c>
      <c r="C343">
        <f>IF(OR($A343="",$B343=""),"",IF(ISNUMBER($A343),INT(MOD($A343,10000)/100),IFERROR(VALUE(TRIM(LEFT(MID($A343,FIND("/",$A343)+1,20),FIND("/",MID($A343,FIND("/",$A343)+1,20))-1))),"")))</f>
        <v/>
      </c>
      <c r="D343">
        <f>IF(OR($A343="",$B343=""),"",IF(ISNUMBER($A343),MOD($A343,100),IFERROR(VALUE(TRIM(MID(MID($A343,FIND("/",$A343)+1,20),FIND("/",MID($A343,FIND("/",$A343)+1,20))+1,20))),"")))</f>
        <v/>
      </c>
      <c r="E343">
        <f>IF($A343="","",IF(OR($B343="",$C343="",$D343="",$B343&lt;1300,$B343&gt;1500,$C343&lt;1,$C343&gt;12,$D343&lt;1,$D343&gt;31),"نامعتبر",RIGHT("0000"&amp;$B343,4)&amp;"/"&amp;RIGHT("00"&amp;$C343,2)&amp;"/"&amp;RIGHT("00"&amp;$D343,2)))</f>
        <v/>
      </c>
      <c r="F343">
        <f>IF(OR($E343="",$E343="نامعتبر"),"",LEFT($E343,4)&amp;"/"&amp;MID($E343,6,2))</f>
        <v/>
      </c>
      <c r="G343">
        <f>IF(OR($E343="",$E343="نامعتبر",Sync!$X339=""),"",IF(AND(LEFT(UPPER(TRIM(Sync!$X339)),2)="SL",IFERROR(VLOOKUP(Sync!$W339,OpTbl,3,0),"")="فروش"),UPPER(TRIM(Sync!$X339)),""))</f>
        <v/>
      </c>
      <c r="H343">
        <f>IF($G343="","",IF(Sync!$W339="","",Sync!$W339))</f>
        <v/>
      </c>
      <c r="I343">
        <f>IF(OR($G343="",Sync!$Y339=""),"",Sync!$Y339)</f>
        <v/>
      </c>
      <c r="J343">
        <f>IF(OR($G343="",Sync!$Z339=""),"",Sync!$Z339)</f>
        <v/>
      </c>
      <c r="K343">
        <f>IF($G343="",0,IF(Sync!$AA339="",0,Sync!$AA339))</f>
        <v/>
      </c>
      <c r="L343">
        <f>IF($G343="",0,IF(Sync!$AB339="",0,Sync!$AB339))</f>
        <v/>
      </c>
      <c r="M343">
        <f>IF($G343="","",IF($H343="مرجوعی فروش",-1,1)*($K343-$L343*IFERROR(VLOOKUP("P01",ParamTbl,3,0),1.5)))</f>
        <v/>
      </c>
      <c r="N343">
        <f>IF($G343="",0,IF($H343="مرجوعی فروش",-1,1)*IF(Sync!$AC339="",0,Sync!$AC339))</f>
        <v/>
      </c>
      <c r="O343">
        <f>IF(OR($G343="",Sync!$V339=""),"",Sync!$V339)</f>
        <v/>
      </c>
      <c r="P343">
        <f>IF(OR($G343="",Sync!$AD339=""),"",Sync!$AD339)</f>
        <v/>
      </c>
      <c r="Q343">
        <f>IF($G343="","",IF(Sync!$U339="","0000",IF(AND(ISNUMBER(Sync!$U339),Sync!$U339&gt;=0,Sync!$U339&lt;1),RIGHT("00"&amp;HOUR(Sync!$U339),2)&amp;RIGHT("00"&amp;MINUTE(Sync!$U339),2),IFERROR(RIGHT("00"&amp;VALUE(LEFT(Sync!$U339,FIND(":",Sync!$U339)-1)),2)&amp;RIGHT("00"&amp;VALUE(MID(Sync!$U339,FIND(":",Sync!$U339)+1,2)),2),"0000"))))</f>
        <v/>
      </c>
    </row>
    <row r="344">
      <c r="A344">
        <f>IF(Sync!$T340="","",Sync!$T340)</f>
        <v/>
      </c>
      <c r="B344">
        <f>IF($A344="","",IF(ISNUMBER($A344),IF(AND($A344&gt;=10000101,$A344&lt;=99991231),INT($A344/10000),""),IFERROR(VALUE(TRIM(LEFT($A344,FIND("/",$A344)-1))),"")))</f>
        <v/>
      </c>
      <c r="C344">
        <f>IF(OR($A344="",$B344=""),"",IF(ISNUMBER($A344),INT(MOD($A344,10000)/100),IFERROR(VALUE(TRIM(LEFT(MID($A344,FIND("/",$A344)+1,20),FIND("/",MID($A344,FIND("/",$A344)+1,20))-1))),"")))</f>
        <v/>
      </c>
      <c r="D344">
        <f>IF(OR($A344="",$B344=""),"",IF(ISNUMBER($A344),MOD($A344,100),IFERROR(VALUE(TRIM(MID(MID($A344,FIND("/",$A344)+1,20),FIND("/",MID($A344,FIND("/",$A344)+1,20))+1,20))),"")))</f>
        <v/>
      </c>
      <c r="E344">
        <f>IF($A344="","",IF(OR($B344="",$C344="",$D344="",$B344&lt;1300,$B344&gt;1500,$C344&lt;1,$C344&gt;12,$D344&lt;1,$D344&gt;31),"نامعتبر",RIGHT("0000"&amp;$B344,4)&amp;"/"&amp;RIGHT("00"&amp;$C344,2)&amp;"/"&amp;RIGHT("00"&amp;$D344,2)))</f>
        <v/>
      </c>
      <c r="F344">
        <f>IF(OR($E344="",$E344="نامعتبر"),"",LEFT($E344,4)&amp;"/"&amp;MID($E344,6,2))</f>
        <v/>
      </c>
      <c r="G344">
        <f>IF(OR($E344="",$E344="نامعتبر",Sync!$X340=""),"",IF(AND(LEFT(UPPER(TRIM(Sync!$X340)),2)="SL",IFERROR(VLOOKUP(Sync!$W340,OpTbl,3,0),"")="فروش"),UPPER(TRIM(Sync!$X340)),""))</f>
        <v/>
      </c>
      <c r="H344">
        <f>IF($G344="","",IF(Sync!$W340="","",Sync!$W340))</f>
        <v/>
      </c>
      <c r="I344">
        <f>IF(OR($G344="",Sync!$Y340=""),"",Sync!$Y340)</f>
        <v/>
      </c>
      <c r="J344">
        <f>IF(OR($G344="",Sync!$Z340=""),"",Sync!$Z340)</f>
        <v/>
      </c>
      <c r="K344">
        <f>IF($G344="",0,IF(Sync!$AA340="",0,Sync!$AA340))</f>
        <v/>
      </c>
      <c r="L344">
        <f>IF($G344="",0,IF(Sync!$AB340="",0,Sync!$AB340))</f>
        <v/>
      </c>
      <c r="M344">
        <f>IF($G344="","",IF($H344="مرجوعی فروش",-1,1)*($K344-$L344*IFERROR(VLOOKUP("P01",ParamTbl,3,0),1.5)))</f>
        <v/>
      </c>
      <c r="N344">
        <f>IF($G344="",0,IF($H344="مرجوعی فروش",-1,1)*IF(Sync!$AC340="",0,Sync!$AC340))</f>
        <v/>
      </c>
      <c r="O344">
        <f>IF(OR($G344="",Sync!$V340=""),"",Sync!$V340)</f>
        <v/>
      </c>
      <c r="P344">
        <f>IF(OR($G344="",Sync!$AD340=""),"",Sync!$AD340)</f>
        <v/>
      </c>
      <c r="Q344">
        <f>IF($G344="","",IF(Sync!$U340="","0000",IF(AND(ISNUMBER(Sync!$U340),Sync!$U340&gt;=0,Sync!$U340&lt;1),RIGHT("00"&amp;HOUR(Sync!$U340),2)&amp;RIGHT("00"&amp;MINUTE(Sync!$U340),2),IFERROR(RIGHT("00"&amp;VALUE(LEFT(Sync!$U340,FIND(":",Sync!$U340)-1)),2)&amp;RIGHT("00"&amp;VALUE(MID(Sync!$U340,FIND(":",Sync!$U340)+1,2)),2),"0000"))))</f>
        <v/>
      </c>
    </row>
    <row r="345">
      <c r="A345">
        <f>IF(Sync!$T341="","",Sync!$T341)</f>
        <v/>
      </c>
      <c r="B345">
        <f>IF($A345="","",IF(ISNUMBER($A345),IF(AND($A345&gt;=10000101,$A345&lt;=99991231),INT($A345/10000),""),IFERROR(VALUE(TRIM(LEFT($A345,FIND("/",$A345)-1))),"")))</f>
        <v/>
      </c>
      <c r="C345">
        <f>IF(OR($A345="",$B345=""),"",IF(ISNUMBER($A345),INT(MOD($A345,10000)/100),IFERROR(VALUE(TRIM(LEFT(MID($A345,FIND("/",$A345)+1,20),FIND("/",MID($A345,FIND("/",$A345)+1,20))-1))),"")))</f>
        <v/>
      </c>
      <c r="D345">
        <f>IF(OR($A345="",$B345=""),"",IF(ISNUMBER($A345),MOD($A345,100),IFERROR(VALUE(TRIM(MID(MID($A345,FIND("/",$A345)+1,20),FIND("/",MID($A345,FIND("/",$A345)+1,20))+1,20))),"")))</f>
        <v/>
      </c>
      <c r="E345">
        <f>IF($A345="","",IF(OR($B345="",$C345="",$D345="",$B345&lt;1300,$B345&gt;1500,$C345&lt;1,$C345&gt;12,$D345&lt;1,$D345&gt;31),"نامعتبر",RIGHT("0000"&amp;$B345,4)&amp;"/"&amp;RIGHT("00"&amp;$C345,2)&amp;"/"&amp;RIGHT("00"&amp;$D345,2)))</f>
        <v/>
      </c>
      <c r="F345">
        <f>IF(OR($E345="",$E345="نامعتبر"),"",LEFT($E345,4)&amp;"/"&amp;MID($E345,6,2))</f>
        <v/>
      </c>
      <c r="G345">
        <f>IF(OR($E345="",$E345="نامعتبر",Sync!$X341=""),"",IF(AND(LEFT(UPPER(TRIM(Sync!$X341)),2)="SL",IFERROR(VLOOKUP(Sync!$W341,OpTbl,3,0),"")="فروش"),UPPER(TRIM(Sync!$X341)),""))</f>
        <v/>
      </c>
      <c r="H345">
        <f>IF($G345="","",IF(Sync!$W341="","",Sync!$W341))</f>
        <v/>
      </c>
      <c r="I345">
        <f>IF(OR($G345="",Sync!$Y341=""),"",Sync!$Y341)</f>
        <v/>
      </c>
      <c r="J345">
        <f>IF(OR($G345="",Sync!$Z341=""),"",Sync!$Z341)</f>
        <v/>
      </c>
      <c r="K345">
        <f>IF($G345="",0,IF(Sync!$AA341="",0,Sync!$AA341))</f>
        <v/>
      </c>
      <c r="L345">
        <f>IF($G345="",0,IF(Sync!$AB341="",0,Sync!$AB341))</f>
        <v/>
      </c>
      <c r="M345">
        <f>IF($G345="","",IF($H345="مرجوعی فروش",-1,1)*($K345-$L345*IFERROR(VLOOKUP("P01",ParamTbl,3,0),1.5)))</f>
        <v/>
      </c>
      <c r="N345">
        <f>IF($G345="",0,IF($H345="مرجوعی فروش",-1,1)*IF(Sync!$AC341="",0,Sync!$AC341))</f>
        <v/>
      </c>
      <c r="O345">
        <f>IF(OR($G345="",Sync!$V341=""),"",Sync!$V341)</f>
        <v/>
      </c>
      <c r="P345">
        <f>IF(OR($G345="",Sync!$AD341=""),"",Sync!$AD341)</f>
        <v/>
      </c>
      <c r="Q345">
        <f>IF($G345="","",IF(Sync!$U341="","0000",IF(AND(ISNUMBER(Sync!$U341),Sync!$U341&gt;=0,Sync!$U341&lt;1),RIGHT("00"&amp;HOUR(Sync!$U341),2)&amp;RIGHT("00"&amp;MINUTE(Sync!$U341),2),IFERROR(RIGHT("00"&amp;VALUE(LEFT(Sync!$U341,FIND(":",Sync!$U341)-1)),2)&amp;RIGHT("00"&amp;VALUE(MID(Sync!$U341,FIND(":",Sync!$U341)+1,2)),2),"0000"))))</f>
        <v/>
      </c>
    </row>
    <row r="346">
      <c r="A346">
        <f>IF(Sync!$T342="","",Sync!$T342)</f>
        <v/>
      </c>
      <c r="B346">
        <f>IF($A346="","",IF(ISNUMBER($A346),IF(AND($A346&gt;=10000101,$A346&lt;=99991231),INT($A346/10000),""),IFERROR(VALUE(TRIM(LEFT($A346,FIND("/",$A346)-1))),"")))</f>
        <v/>
      </c>
      <c r="C346">
        <f>IF(OR($A346="",$B346=""),"",IF(ISNUMBER($A346),INT(MOD($A346,10000)/100),IFERROR(VALUE(TRIM(LEFT(MID($A346,FIND("/",$A346)+1,20),FIND("/",MID($A346,FIND("/",$A346)+1,20))-1))),"")))</f>
        <v/>
      </c>
      <c r="D346">
        <f>IF(OR($A346="",$B346=""),"",IF(ISNUMBER($A346),MOD($A346,100),IFERROR(VALUE(TRIM(MID(MID($A346,FIND("/",$A346)+1,20),FIND("/",MID($A346,FIND("/",$A346)+1,20))+1,20))),"")))</f>
        <v/>
      </c>
      <c r="E346">
        <f>IF($A346="","",IF(OR($B346="",$C346="",$D346="",$B346&lt;1300,$B346&gt;1500,$C346&lt;1,$C346&gt;12,$D346&lt;1,$D346&gt;31),"نامعتبر",RIGHT("0000"&amp;$B346,4)&amp;"/"&amp;RIGHT("00"&amp;$C346,2)&amp;"/"&amp;RIGHT("00"&amp;$D346,2)))</f>
        <v/>
      </c>
      <c r="F346">
        <f>IF(OR($E346="",$E346="نامعتبر"),"",LEFT($E346,4)&amp;"/"&amp;MID($E346,6,2))</f>
        <v/>
      </c>
      <c r="G346">
        <f>IF(OR($E346="",$E346="نامعتبر",Sync!$X342=""),"",IF(AND(LEFT(UPPER(TRIM(Sync!$X342)),2)="SL",IFERROR(VLOOKUP(Sync!$W342,OpTbl,3,0),"")="فروش"),UPPER(TRIM(Sync!$X342)),""))</f>
        <v/>
      </c>
      <c r="H346">
        <f>IF($G346="","",IF(Sync!$W342="","",Sync!$W342))</f>
        <v/>
      </c>
      <c r="I346">
        <f>IF(OR($G346="",Sync!$Y342=""),"",Sync!$Y342)</f>
        <v/>
      </c>
      <c r="J346">
        <f>IF(OR($G346="",Sync!$Z342=""),"",Sync!$Z342)</f>
        <v/>
      </c>
      <c r="K346">
        <f>IF($G346="",0,IF(Sync!$AA342="",0,Sync!$AA342))</f>
        <v/>
      </c>
      <c r="L346">
        <f>IF($G346="",0,IF(Sync!$AB342="",0,Sync!$AB342))</f>
        <v/>
      </c>
      <c r="M346">
        <f>IF($G346="","",IF($H346="مرجوعی فروش",-1,1)*($K346-$L346*IFERROR(VLOOKUP("P01",ParamTbl,3,0),1.5)))</f>
        <v/>
      </c>
      <c r="N346">
        <f>IF($G346="",0,IF($H346="مرجوعی فروش",-1,1)*IF(Sync!$AC342="",0,Sync!$AC342))</f>
        <v/>
      </c>
      <c r="O346">
        <f>IF(OR($G346="",Sync!$V342=""),"",Sync!$V342)</f>
        <v/>
      </c>
      <c r="P346">
        <f>IF(OR($G346="",Sync!$AD342=""),"",Sync!$AD342)</f>
        <v/>
      </c>
      <c r="Q346">
        <f>IF($G346="","",IF(Sync!$U342="","0000",IF(AND(ISNUMBER(Sync!$U342),Sync!$U342&gt;=0,Sync!$U342&lt;1),RIGHT("00"&amp;HOUR(Sync!$U342),2)&amp;RIGHT("00"&amp;MINUTE(Sync!$U342),2),IFERROR(RIGHT("00"&amp;VALUE(LEFT(Sync!$U342,FIND(":",Sync!$U342)-1)),2)&amp;RIGHT("00"&amp;VALUE(MID(Sync!$U342,FIND(":",Sync!$U342)+1,2)),2),"0000"))))</f>
        <v/>
      </c>
    </row>
    <row r="347">
      <c r="A347">
        <f>IF(Sync!$T343="","",Sync!$T343)</f>
        <v/>
      </c>
      <c r="B347">
        <f>IF($A347="","",IF(ISNUMBER($A347),IF(AND($A347&gt;=10000101,$A347&lt;=99991231),INT($A347/10000),""),IFERROR(VALUE(TRIM(LEFT($A347,FIND("/",$A347)-1))),"")))</f>
        <v/>
      </c>
      <c r="C347">
        <f>IF(OR($A347="",$B347=""),"",IF(ISNUMBER($A347),INT(MOD($A347,10000)/100),IFERROR(VALUE(TRIM(LEFT(MID($A347,FIND("/",$A347)+1,20),FIND("/",MID($A347,FIND("/",$A347)+1,20))-1))),"")))</f>
        <v/>
      </c>
      <c r="D347">
        <f>IF(OR($A347="",$B347=""),"",IF(ISNUMBER($A347),MOD($A347,100),IFERROR(VALUE(TRIM(MID(MID($A347,FIND("/",$A347)+1,20),FIND("/",MID($A347,FIND("/",$A347)+1,20))+1,20))),"")))</f>
        <v/>
      </c>
      <c r="E347">
        <f>IF($A347="","",IF(OR($B347="",$C347="",$D347="",$B347&lt;1300,$B347&gt;1500,$C347&lt;1,$C347&gt;12,$D347&lt;1,$D347&gt;31),"نامعتبر",RIGHT("0000"&amp;$B347,4)&amp;"/"&amp;RIGHT("00"&amp;$C347,2)&amp;"/"&amp;RIGHT("00"&amp;$D347,2)))</f>
        <v/>
      </c>
      <c r="F347">
        <f>IF(OR($E347="",$E347="نامعتبر"),"",LEFT($E347,4)&amp;"/"&amp;MID($E347,6,2))</f>
        <v/>
      </c>
      <c r="G347">
        <f>IF(OR($E347="",$E347="نامعتبر",Sync!$X343=""),"",IF(AND(LEFT(UPPER(TRIM(Sync!$X343)),2)="SL",IFERROR(VLOOKUP(Sync!$W343,OpTbl,3,0),"")="فروش"),UPPER(TRIM(Sync!$X343)),""))</f>
        <v/>
      </c>
      <c r="H347">
        <f>IF($G347="","",IF(Sync!$W343="","",Sync!$W343))</f>
        <v/>
      </c>
      <c r="I347">
        <f>IF(OR($G347="",Sync!$Y343=""),"",Sync!$Y343)</f>
        <v/>
      </c>
      <c r="J347">
        <f>IF(OR($G347="",Sync!$Z343=""),"",Sync!$Z343)</f>
        <v/>
      </c>
      <c r="K347">
        <f>IF($G347="",0,IF(Sync!$AA343="",0,Sync!$AA343))</f>
        <v/>
      </c>
      <c r="L347">
        <f>IF($G347="",0,IF(Sync!$AB343="",0,Sync!$AB343))</f>
        <v/>
      </c>
      <c r="M347">
        <f>IF($G347="","",IF($H347="مرجوعی فروش",-1,1)*($K347-$L347*IFERROR(VLOOKUP("P01",ParamTbl,3,0),1.5)))</f>
        <v/>
      </c>
      <c r="N347">
        <f>IF($G347="",0,IF($H347="مرجوعی فروش",-1,1)*IF(Sync!$AC343="",0,Sync!$AC343))</f>
        <v/>
      </c>
      <c r="O347">
        <f>IF(OR($G347="",Sync!$V343=""),"",Sync!$V343)</f>
        <v/>
      </c>
      <c r="P347">
        <f>IF(OR($G347="",Sync!$AD343=""),"",Sync!$AD343)</f>
        <v/>
      </c>
      <c r="Q347">
        <f>IF($G347="","",IF(Sync!$U343="","0000",IF(AND(ISNUMBER(Sync!$U343),Sync!$U343&gt;=0,Sync!$U343&lt;1),RIGHT("00"&amp;HOUR(Sync!$U343),2)&amp;RIGHT("00"&amp;MINUTE(Sync!$U343),2),IFERROR(RIGHT("00"&amp;VALUE(LEFT(Sync!$U343,FIND(":",Sync!$U343)-1)),2)&amp;RIGHT("00"&amp;VALUE(MID(Sync!$U343,FIND(":",Sync!$U343)+1,2)),2),"0000"))))</f>
        <v/>
      </c>
    </row>
    <row r="348">
      <c r="A348">
        <f>IF(Sync!$T344="","",Sync!$T344)</f>
        <v/>
      </c>
      <c r="B348">
        <f>IF($A348="","",IF(ISNUMBER($A348),IF(AND($A348&gt;=10000101,$A348&lt;=99991231),INT($A348/10000),""),IFERROR(VALUE(TRIM(LEFT($A348,FIND("/",$A348)-1))),"")))</f>
        <v/>
      </c>
      <c r="C348">
        <f>IF(OR($A348="",$B348=""),"",IF(ISNUMBER($A348),INT(MOD($A348,10000)/100),IFERROR(VALUE(TRIM(LEFT(MID($A348,FIND("/",$A348)+1,20),FIND("/",MID($A348,FIND("/",$A348)+1,20))-1))),"")))</f>
        <v/>
      </c>
      <c r="D348">
        <f>IF(OR($A348="",$B348=""),"",IF(ISNUMBER($A348),MOD($A348,100),IFERROR(VALUE(TRIM(MID(MID($A348,FIND("/",$A348)+1,20),FIND("/",MID($A348,FIND("/",$A348)+1,20))+1,20))),"")))</f>
        <v/>
      </c>
      <c r="E348">
        <f>IF($A348="","",IF(OR($B348="",$C348="",$D348="",$B348&lt;1300,$B348&gt;1500,$C348&lt;1,$C348&gt;12,$D348&lt;1,$D348&gt;31),"نامعتبر",RIGHT("0000"&amp;$B348,4)&amp;"/"&amp;RIGHT("00"&amp;$C348,2)&amp;"/"&amp;RIGHT("00"&amp;$D348,2)))</f>
        <v/>
      </c>
      <c r="F348">
        <f>IF(OR($E348="",$E348="نامعتبر"),"",LEFT($E348,4)&amp;"/"&amp;MID($E348,6,2))</f>
        <v/>
      </c>
      <c r="G348">
        <f>IF(OR($E348="",$E348="نامعتبر",Sync!$X344=""),"",IF(AND(LEFT(UPPER(TRIM(Sync!$X344)),2)="SL",IFERROR(VLOOKUP(Sync!$W344,OpTbl,3,0),"")="فروش"),UPPER(TRIM(Sync!$X344)),""))</f>
        <v/>
      </c>
      <c r="H348">
        <f>IF($G348="","",IF(Sync!$W344="","",Sync!$W344))</f>
        <v/>
      </c>
      <c r="I348">
        <f>IF(OR($G348="",Sync!$Y344=""),"",Sync!$Y344)</f>
        <v/>
      </c>
      <c r="J348">
        <f>IF(OR($G348="",Sync!$Z344=""),"",Sync!$Z344)</f>
        <v/>
      </c>
      <c r="K348">
        <f>IF($G348="",0,IF(Sync!$AA344="",0,Sync!$AA344))</f>
        <v/>
      </c>
      <c r="L348">
        <f>IF($G348="",0,IF(Sync!$AB344="",0,Sync!$AB344))</f>
        <v/>
      </c>
      <c r="M348">
        <f>IF($G348="","",IF($H348="مرجوعی فروش",-1,1)*($K348-$L348*IFERROR(VLOOKUP("P01",ParamTbl,3,0),1.5)))</f>
        <v/>
      </c>
      <c r="N348">
        <f>IF($G348="",0,IF($H348="مرجوعی فروش",-1,1)*IF(Sync!$AC344="",0,Sync!$AC344))</f>
        <v/>
      </c>
      <c r="O348">
        <f>IF(OR($G348="",Sync!$V344=""),"",Sync!$V344)</f>
        <v/>
      </c>
      <c r="P348">
        <f>IF(OR($G348="",Sync!$AD344=""),"",Sync!$AD344)</f>
        <v/>
      </c>
      <c r="Q348">
        <f>IF($G348="","",IF(Sync!$U344="","0000",IF(AND(ISNUMBER(Sync!$U344),Sync!$U344&gt;=0,Sync!$U344&lt;1),RIGHT("00"&amp;HOUR(Sync!$U344),2)&amp;RIGHT("00"&amp;MINUTE(Sync!$U344),2),IFERROR(RIGHT("00"&amp;VALUE(LEFT(Sync!$U344,FIND(":",Sync!$U344)-1)),2)&amp;RIGHT("00"&amp;VALUE(MID(Sync!$U344,FIND(":",Sync!$U344)+1,2)),2),"0000"))))</f>
        <v/>
      </c>
    </row>
    <row r="349">
      <c r="A349">
        <f>IF(Sync!$T345="","",Sync!$T345)</f>
        <v/>
      </c>
      <c r="B349">
        <f>IF($A349="","",IF(ISNUMBER($A349),IF(AND($A349&gt;=10000101,$A349&lt;=99991231),INT($A349/10000),""),IFERROR(VALUE(TRIM(LEFT($A349,FIND("/",$A349)-1))),"")))</f>
        <v/>
      </c>
      <c r="C349">
        <f>IF(OR($A349="",$B349=""),"",IF(ISNUMBER($A349),INT(MOD($A349,10000)/100),IFERROR(VALUE(TRIM(LEFT(MID($A349,FIND("/",$A349)+1,20),FIND("/",MID($A349,FIND("/",$A349)+1,20))-1))),"")))</f>
        <v/>
      </c>
      <c r="D349">
        <f>IF(OR($A349="",$B349=""),"",IF(ISNUMBER($A349),MOD($A349,100),IFERROR(VALUE(TRIM(MID(MID($A349,FIND("/",$A349)+1,20),FIND("/",MID($A349,FIND("/",$A349)+1,20))+1,20))),"")))</f>
        <v/>
      </c>
      <c r="E349">
        <f>IF($A349="","",IF(OR($B349="",$C349="",$D349="",$B349&lt;1300,$B349&gt;1500,$C349&lt;1,$C349&gt;12,$D349&lt;1,$D349&gt;31),"نامعتبر",RIGHT("0000"&amp;$B349,4)&amp;"/"&amp;RIGHT("00"&amp;$C349,2)&amp;"/"&amp;RIGHT("00"&amp;$D349,2)))</f>
        <v/>
      </c>
      <c r="F349">
        <f>IF(OR($E349="",$E349="نامعتبر"),"",LEFT($E349,4)&amp;"/"&amp;MID($E349,6,2))</f>
        <v/>
      </c>
      <c r="G349">
        <f>IF(OR($E349="",$E349="نامعتبر",Sync!$X345=""),"",IF(AND(LEFT(UPPER(TRIM(Sync!$X345)),2)="SL",IFERROR(VLOOKUP(Sync!$W345,OpTbl,3,0),"")="فروش"),UPPER(TRIM(Sync!$X345)),""))</f>
        <v/>
      </c>
      <c r="H349">
        <f>IF($G349="","",IF(Sync!$W345="","",Sync!$W345))</f>
        <v/>
      </c>
      <c r="I349">
        <f>IF(OR($G349="",Sync!$Y345=""),"",Sync!$Y345)</f>
        <v/>
      </c>
      <c r="J349">
        <f>IF(OR($G349="",Sync!$Z345=""),"",Sync!$Z345)</f>
        <v/>
      </c>
      <c r="K349">
        <f>IF($G349="",0,IF(Sync!$AA345="",0,Sync!$AA345))</f>
        <v/>
      </c>
      <c r="L349">
        <f>IF($G349="",0,IF(Sync!$AB345="",0,Sync!$AB345))</f>
        <v/>
      </c>
      <c r="M349">
        <f>IF($G349="","",IF($H349="مرجوعی فروش",-1,1)*($K349-$L349*IFERROR(VLOOKUP("P01",ParamTbl,3,0),1.5)))</f>
        <v/>
      </c>
      <c r="N349">
        <f>IF($G349="",0,IF($H349="مرجوعی فروش",-1,1)*IF(Sync!$AC345="",0,Sync!$AC345))</f>
        <v/>
      </c>
      <c r="O349">
        <f>IF(OR($G349="",Sync!$V345=""),"",Sync!$V345)</f>
        <v/>
      </c>
      <c r="P349">
        <f>IF(OR($G349="",Sync!$AD345=""),"",Sync!$AD345)</f>
        <v/>
      </c>
      <c r="Q349">
        <f>IF($G349="","",IF(Sync!$U345="","0000",IF(AND(ISNUMBER(Sync!$U345),Sync!$U345&gt;=0,Sync!$U345&lt;1),RIGHT("00"&amp;HOUR(Sync!$U345),2)&amp;RIGHT("00"&amp;MINUTE(Sync!$U345),2),IFERROR(RIGHT("00"&amp;VALUE(LEFT(Sync!$U345,FIND(":",Sync!$U345)-1)),2)&amp;RIGHT("00"&amp;VALUE(MID(Sync!$U345,FIND(":",Sync!$U345)+1,2)),2),"0000"))))</f>
        <v/>
      </c>
    </row>
    <row r="350">
      <c r="A350">
        <f>IF(Sync!$T346="","",Sync!$T346)</f>
        <v/>
      </c>
      <c r="B350">
        <f>IF($A350="","",IF(ISNUMBER($A350),IF(AND($A350&gt;=10000101,$A350&lt;=99991231),INT($A350/10000),""),IFERROR(VALUE(TRIM(LEFT($A350,FIND("/",$A350)-1))),"")))</f>
        <v/>
      </c>
      <c r="C350">
        <f>IF(OR($A350="",$B350=""),"",IF(ISNUMBER($A350),INT(MOD($A350,10000)/100),IFERROR(VALUE(TRIM(LEFT(MID($A350,FIND("/",$A350)+1,20),FIND("/",MID($A350,FIND("/",$A350)+1,20))-1))),"")))</f>
        <v/>
      </c>
      <c r="D350">
        <f>IF(OR($A350="",$B350=""),"",IF(ISNUMBER($A350),MOD($A350,100),IFERROR(VALUE(TRIM(MID(MID($A350,FIND("/",$A350)+1,20),FIND("/",MID($A350,FIND("/",$A350)+1,20))+1,20))),"")))</f>
        <v/>
      </c>
      <c r="E350">
        <f>IF($A350="","",IF(OR($B350="",$C350="",$D350="",$B350&lt;1300,$B350&gt;1500,$C350&lt;1,$C350&gt;12,$D350&lt;1,$D350&gt;31),"نامعتبر",RIGHT("0000"&amp;$B350,4)&amp;"/"&amp;RIGHT("00"&amp;$C350,2)&amp;"/"&amp;RIGHT("00"&amp;$D350,2)))</f>
        <v/>
      </c>
      <c r="F350">
        <f>IF(OR($E350="",$E350="نامعتبر"),"",LEFT($E350,4)&amp;"/"&amp;MID($E350,6,2))</f>
        <v/>
      </c>
      <c r="G350">
        <f>IF(OR($E350="",$E350="نامعتبر",Sync!$X346=""),"",IF(AND(LEFT(UPPER(TRIM(Sync!$X346)),2)="SL",IFERROR(VLOOKUP(Sync!$W346,OpTbl,3,0),"")="فروش"),UPPER(TRIM(Sync!$X346)),""))</f>
        <v/>
      </c>
      <c r="H350">
        <f>IF($G350="","",IF(Sync!$W346="","",Sync!$W346))</f>
        <v/>
      </c>
      <c r="I350">
        <f>IF(OR($G350="",Sync!$Y346=""),"",Sync!$Y346)</f>
        <v/>
      </c>
      <c r="J350">
        <f>IF(OR($G350="",Sync!$Z346=""),"",Sync!$Z346)</f>
        <v/>
      </c>
      <c r="K350">
        <f>IF($G350="",0,IF(Sync!$AA346="",0,Sync!$AA346))</f>
        <v/>
      </c>
      <c r="L350">
        <f>IF($G350="",0,IF(Sync!$AB346="",0,Sync!$AB346))</f>
        <v/>
      </c>
      <c r="M350">
        <f>IF($G350="","",IF($H350="مرجوعی فروش",-1,1)*($K350-$L350*IFERROR(VLOOKUP("P01",ParamTbl,3,0),1.5)))</f>
        <v/>
      </c>
      <c r="N350">
        <f>IF($G350="",0,IF($H350="مرجوعی فروش",-1,1)*IF(Sync!$AC346="",0,Sync!$AC346))</f>
        <v/>
      </c>
      <c r="O350">
        <f>IF(OR($G350="",Sync!$V346=""),"",Sync!$V346)</f>
        <v/>
      </c>
      <c r="P350">
        <f>IF(OR($G350="",Sync!$AD346=""),"",Sync!$AD346)</f>
        <v/>
      </c>
      <c r="Q350">
        <f>IF($G350="","",IF(Sync!$U346="","0000",IF(AND(ISNUMBER(Sync!$U346),Sync!$U346&gt;=0,Sync!$U346&lt;1),RIGHT("00"&amp;HOUR(Sync!$U346),2)&amp;RIGHT("00"&amp;MINUTE(Sync!$U346),2),IFERROR(RIGHT("00"&amp;VALUE(LEFT(Sync!$U346,FIND(":",Sync!$U346)-1)),2)&amp;RIGHT("00"&amp;VALUE(MID(Sync!$U346,FIND(":",Sync!$U346)+1,2)),2),"0000"))))</f>
        <v/>
      </c>
    </row>
    <row r="351">
      <c r="A351">
        <f>IF(Sync!$T347="","",Sync!$T347)</f>
        <v/>
      </c>
      <c r="B351">
        <f>IF($A351="","",IF(ISNUMBER($A351),IF(AND($A351&gt;=10000101,$A351&lt;=99991231),INT($A351/10000),""),IFERROR(VALUE(TRIM(LEFT($A351,FIND("/",$A351)-1))),"")))</f>
        <v/>
      </c>
      <c r="C351">
        <f>IF(OR($A351="",$B351=""),"",IF(ISNUMBER($A351),INT(MOD($A351,10000)/100),IFERROR(VALUE(TRIM(LEFT(MID($A351,FIND("/",$A351)+1,20),FIND("/",MID($A351,FIND("/",$A351)+1,20))-1))),"")))</f>
        <v/>
      </c>
      <c r="D351">
        <f>IF(OR($A351="",$B351=""),"",IF(ISNUMBER($A351),MOD($A351,100),IFERROR(VALUE(TRIM(MID(MID($A351,FIND("/",$A351)+1,20),FIND("/",MID($A351,FIND("/",$A351)+1,20))+1,20))),"")))</f>
        <v/>
      </c>
      <c r="E351">
        <f>IF($A351="","",IF(OR($B351="",$C351="",$D351="",$B351&lt;1300,$B351&gt;1500,$C351&lt;1,$C351&gt;12,$D351&lt;1,$D351&gt;31),"نامعتبر",RIGHT("0000"&amp;$B351,4)&amp;"/"&amp;RIGHT("00"&amp;$C351,2)&amp;"/"&amp;RIGHT("00"&amp;$D351,2)))</f>
        <v/>
      </c>
      <c r="F351">
        <f>IF(OR($E351="",$E351="نامعتبر"),"",LEFT($E351,4)&amp;"/"&amp;MID($E351,6,2))</f>
        <v/>
      </c>
      <c r="G351">
        <f>IF(OR($E351="",$E351="نامعتبر",Sync!$X347=""),"",IF(AND(LEFT(UPPER(TRIM(Sync!$X347)),2)="SL",IFERROR(VLOOKUP(Sync!$W347,OpTbl,3,0),"")="فروش"),UPPER(TRIM(Sync!$X347)),""))</f>
        <v/>
      </c>
      <c r="H351">
        <f>IF($G351="","",IF(Sync!$W347="","",Sync!$W347))</f>
        <v/>
      </c>
      <c r="I351">
        <f>IF(OR($G351="",Sync!$Y347=""),"",Sync!$Y347)</f>
        <v/>
      </c>
      <c r="J351">
        <f>IF(OR($G351="",Sync!$Z347=""),"",Sync!$Z347)</f>
        <v/>
      </c>
      <c r="K351">
        <f>IF($G351="",0,IF(Sync!$AA347="",0,Sync!$AA347))</f>
        <v/>
      </c>
      <c r="L351">
        <f>IF($G351="",0,IF(Sync!$AB347="",0,Sync!$AB347))</f>
        <v/>
      </c>
      <c r="M351">
        <f>IF($G351="","",IF($H351="مرجوعی فروش",-1,1)*($K351-$L351*IFERROR(VLOOKUP("P01",ParamTbl,3,0),1.5)))</f>
        <v/>
      </c>
      <c r="N351">
        <f>IF($G351="",0,IF($H351="مرجوعی فروش",-1,1)*IF(Sync!$AC347="",0,Sync!$AC347))</f>
        <v/>
      </c>
      <c r="O351">
        <f>IF(OR($G351="",Sync!$V347=""),"",Sync!$V347)</f>
        <v/>
      </c>
      <c r="P351">
        <f>IF(OR($G351="",Sync!$AD347=""),"",Sync!$AD347)</f>
        <v/>
      </c>
      <c r="Q351">
        <f>IF($G351="","",IF(Sync!$U347="","0000",IF(AND(ISNUMBER(Sync!$U347),Sync!$U347&gt;=0,Sync!$U347&lt;1),RIGHT("00"&amp;HOUR(Sync!$U347),2)&amp;RIGHT("00"&amp;MINUTE(Sync!$U347),2),IFERROR(RIGHT("00"&amp;VALUE(LEFT(Sync!$U347,FIND(":",Sync!$U347)-1)),2)&amp;RIGHT("00"&amp;VALUE(MID(Sync!$U347,FIND(":",Sync!$U347)+1,2)),2),"0000"))))</f>
        <v/>
      </c>
    </row>
    <row r="352">
      <c r="A352">
        <f>IF(Sync!$T348="","",Sync!$T348)</f>
        <v/>
      </c>
      <c r="B352">
        <f>IF($A352="","",IF(ISNUMBER($A352),IF(AND($A352&gt;=10000101,$A352&lt;=99991231),INT($A352/10000),""),IFERROR(VALUE(TRIM(LEFT($A352,FIND("/",$A352)-1))),"")))</f>
        <v/>
      </c>
      <c r="C352">
        <f>IF(OR($A352="",$B352=""),"",IF(ISNUMBER($A352),INT(MOD($A352,10000)/100),IFERROR(VALUE(TRIM(LEFT(MID($A352,FIND("/",$A352)+1,20),FIND("/",MID($A352,FIND("/",$A352)+1,20))-1))),"")))</f>
        <v/>
      </c>
      <c r="D352">
        <f>IF(OR($A352="",$B352=""),"",IF(ISNUMBER($A352),MOD($A352,100),IFERROR(VALUE(TRIM(MID(MID($A352,FIND("/",$A352)+1,20),FIND("/",MID($A352,FIND("/",$A352)+1,20))+1,20))),"")))</f>
        <v/>
      </c>
      <c r="E352">
        <f>IF($A352="","",IF(OR($B352="",$C352="",$D352="",$B352&lt;1300,$B352&gt;1500,$C352&lt;1,$C352&gt;12,$D352&lt;1,$D352&gt;31),"نامعتبر",RIGHT("0000"&amp;$B352,4)&amp;"/"&amp;RIGHT("00"&amp;$C352,2)&amp;"/"&amp;RIGHT("00"&amp;$D352,2)))</f>
        <v/>
      </c>
      <c r="F352">
        <f>IF(OR($E352="",$E352="نامعتبر"),"",LEFT($E352,4)&amp;"/"&amp;MID($E352,6,2))</f>
        <v/>
      </c>
      <c r="G352">
        <f>IF(OR($E352="",$E352="نامعتبر",Sync!$X348=""),"",IF(AND(LEFT(UPPER(TRIM(Sync!$X348)),2)="SL",IFERROR(VLOOKUP(Sync!$W348,OpTbl,3,0),"")="فروش"),UPPER(TRIM(Sync!$X348)),""))</f>
        <v/>
      </c>
      <c r="H352">
        <f>IF($G352="","",IF(Sync!$W348="","",Sync!$W348))</f>
        <v/>
      </c>
      <c r="I352">
        <f>IF(OR($G352="",Sync!$Y348=""),"",Sync!$Y348)</f>
        <v/>
      </c>
      <c r="J352">
        <f>IF(OR($G352="",Sync!$Z348=""),"",Sync!$Z348)</f>
        <v/>
      </c>
      <c r="K352">
        <f>IF($G352="",0,IF(Sync!$AA348="",0,Sync!$AA348))</f>
        <v/>
      </c>
      <c r="L352">
        <f>IF($G352="",0,IF(Sync!$AB348="",0,Sync!$AB348))</f>
        <v/>
      </c>
      <c r="M352">
        <f>IF($G352="","",IF($H352="مرجوعی فروش",-1,1)*($K352-$L352*IFERROR(VLOOKUP("P01",ParamTbl,3,0),1.5)))</f>
        <v/>
      </c>
      <c r="N352">
        <f>IF($G352="",0,IF($H352="مرجوعی فروش",-1,1)*IF(Sync!$AC348="",0,Sync!$AC348))</f>
        <v/>
      </c>
      <c r="O352">
        <f>IF(OR($G352="",Sync!$V348=""),"",Sync!$V348)</f>
        <v/>
      </c>
      <c r="P352">
        <f>IF(OR($G352="",Sync!$AD348=""),"",Sync!$AD348)</f>
        <v/>
      </c>
      <c r="Q352">
        <f>IF($G352="","",IF(Sync!$U348="","0000",IF(AND(ISNUMBER(Sync!$U348),Sync!$U348&gt;=0,Sync!$U348&lt;1),RIGHT("00"&amp;HOUR(Sync!$U348),2)&amp;RIGHT("00"&amp;MINUTE(Sync!$U348),2),IFERROR(RIGHT("00"&amp;VALUE(LEFT(Sync!$U348,FIND(":",Sync!$U348)-1)),2)&amp;RIGHT("00"&amp;VALUE(MID(Sync!$U348,FIND(":",Sync!$U348)+1,2)),2),"0000"))))</f>
        <v/>
      </c>
    </row>
    <row r="353">
      <c r="A353">
        <f>IF(Sync!$T349="","",Sync!$T349)</f>
        <v/>
      </c>
      <c r="B353">
        <f>IF($A353="","",IF(ISNUMBER($A353),IF(AND($A353&gt;=10000101,$A353&lt;=99991231),INT($A353/10000),""),IFERROR(VALUE(TRIM(LEFT($A353,FIND("/",$A353)-1))),"")))</f>
        <v/>
      </c>
      <c r="C353">
        <f>IF(OR($A353="",$B353=""),"",IF(ISNUMBER($A353),INT(MOD($A353,10000)/100),IFERROR(VALUE(TRIM(LEFT(MID($A353,FIND("/",$A353)+1,20),FIND("/",MID($A353,FIND("/",$A353)+1,20))-1))),"")))</f>
        <v/>
      </c>
      <c r="D353">
        <f>IF(OR($A353="",$B353=""),"",IF(ISNUMBER($A353),MOD($A353,100),IFERROR(VALUE(TRIM(MID(MID($A353,FIND("/",$A353)+1,20),FIND("/",MID($A353,FIND("/",$A353)+1,20))+1,20))),"")))</f>
        <v/>
      </c>
      <c r="E353">
        <f>IF($A353="","",IF(OR($B353="",$C353="",$D353="",$B353&lt;1300,$B353&gt;1500,$C353&lt;1,$C353&gt;12,$D353&lt;1,$D353&gt;31),"نامعتبر",RIGHT("0000"&amp;$B353,4)&amp;"/"&amp;RIGHT("00"&amp;$C353,2)&amp;"/"&amp;RIGHT("00"&amp;$D353,2)))</f>
        <v/>
      </c>
      <c r="F353">
        <f>IF(OR($E353="",$E353="نامعتبر"),"",LEFT($E353,4)&amp;"/"&amp;MID($E353,6,2))</f>
        <v/>
      </c>
      <c r="G353">
        <f>IF(OR($E353="",$E353="نامعتبر",Sync!$X349=""),"",IF(AND(LEFT(UPPER(TRIM(Sync!$X349)),2)="SL",IFERROR(VLOOKUP(Sync!$W349,OpTbl,3,0),"")="فروش"),UPPER(TRIM(Sync!$X349)),""))</f>
        <v/>
      </c>
      <c r="H353">
        <f>IF($G353="","",IF(Sync!$W349="","",Sync!$W349))</f>
        <v/>
      </c>
      <c r="I353">
        <f>IF(OR($G353="",Sync!$Y349=""),"",Sync!$Y349)</f>
        <v/>
      </c>
      <c r="J353">
        <f>IF(OR($G353="",Sync!$Z349=""),"",Sync!$Z349)</f>
        <v/>
      </c>
      <c r="K353">
        <f>IF($G353="",0,IF(Sync!$AA349="",0,Sync!$AA349))</f>
        <v/>
      </c>
      <c r="L353">
        <f>IF($G353="",0,IF(Sync!$AB349="",0,Sync!$AB349))</f>
        <v/>
      </c>
      <c r="M353">
        <f>IF($G353="","",IF($H353="مرجوعی فروش",-1,1)*($K353-$L353*IFERROR(VLOOKUP("P01",ParamTbl,3,0),1.5)))</f>
        <v/>
      </c>
      <c r="N353">
        <f>IF($G353="",0,IF($H353="مرجوعی فروش",-1,1)*IF(Sync!$AC349="",0,Sync!$AC349))</f>
        <v/>
      </c>
      <c r="O353">
        <f>IF(OR($G353="",Sync!$V349=""),"",Sync!$V349)</f>
        <v/>
      </c>
      <c r="P353">
        <f>IF(OR($G353="",Sync!$AD349=""),"",Sync!$AD349)</f>
        <v/>
      </c>
      <c r="Q353">
        <f>IF($G353="","",IF(Sync!$U349="","0000",IF(AND(ISNUMBER(Sync!$U349),Sync!$U349&gt;=0,Sync!$U349&lt;1),RIGHT("00"&amp;HOUR(Sync!$U349),2)&amp;RIGHT("00"&amp;MINUTE(Sync!$U349),2),IFERROR(RIGHT("00"&amp;VALUE(LEFT(Sync!$U349,FIND(":",Sync!$U349)-1)),2)&amp;RIGHT("00"&amp;VALUE(MID(Sync!$U349,FIND(":",Sync!$U349)+1,2)),2),"0000"))))</f>
        <v/>
      </c>
    </row>
    <row r="354">
      <c r="A354">
        <f>IF(Sync!$T350="","",Sync!$T350)</f>
        <v/>
      </c>
      <c r="B354">
        <f>IF($A354="","",IF(ISNUMBER($A354),IF(AND($A354&gt;=10000101,$A354&lt;=99991231),INT($A354/10000),""),IFERROR(VALUE(TRIM(LEFT($A354,FIND("/",$A354)-1))),"")))</f>
        <v/>
      </c>
      <c r="C354">
        <f>IF(OR($A354="",$B354=""),"",IF(ISNUMBER($A354),INT(MOD($A354,10000)/100),IFERROR(VALUE(TRIM(LEFT(MID($A354,FIND("/",$A354)+1,20),FIND("/",MID($A354,FIND("/",$A354)+1,20))-1))),"")))</f>
        <v/>
      </c>
      <c r="D354">
        <f>IF(OR($A354="",$B354=""),"",IF(ISNUMBER($A354),MOD($A354,100),IFERROR(VALUE(TRIM(MID(MID($A354,FIND("/",$A354)+1,20),FIND("/",MID($A354,FIND("/",$A354)+1,20))+1,20))),"")))</f>
        <v/>
      </c>
      <c r="E354">
        <f>IF($A354="","",IF(OR($B354="",$C354="",$D354="",$B354&lt;1300,$B354&gt;1500,$C354&lt;1,$C354&gt;12,$D354&lt;1,$D354&gt;31),"نامعتبر",RIGHT("0000"&amp;$B354,4)&amp;"/"&amp;RIGHT("00"&amp;$C354,2)&amp;"/"&amp;RIGHT("00"&amp;$D354,2)))</f>
        <v/>
      </c>
      <c r="F354">
        <f>IF(OR($E354="",$E354="نامعتبر"),"",LEFT($E354,4)&amp;"/"&amp;MID($E354,6,2))</f>
        <v/>
      </c>
      <c r="G354">
        <f>IF(OR($E354="",$E354="نامعتبر",Sync!$X350=""),"",IF(AND(LEFT(UPPER(TRIM(Sync!$X350)),2)="SL",IFERROR(VLOOKUP(Sync!$W350,OpTbl,3,0),"")="فروش"),UPPER(TRIM(Sync!$X350)),""))</f>
        <v/>
      </c>
      <c r="H354">
        <f>IF($G354="","",IF(Sync!$W350="","",Sync!$W350))</f>
        <v/>
      </c>
      <c r="I354">
        <f>IF(OR($G354="",Sync!$Y350=""),"",Sync!$Y350)</f>
        <v/>
      </c>
      <c r="J354">
        <f>IF(OR($G354="",Sync!$Z350=""),"",Sync!$Z350)</f>
        <v/>
      </c>
      <c r="K354">
        <f>IF($G354="",0,IF(Sync!$AA350="",0,Sync!$AA350))</f>
        <v/>
      </c>
      <c r="L354">
        <f>IF($G354="",0,IF(Sync!$AB350="",0,Sync!$AB350))</f>
        <v/>
      </c>
      <c r="M354">
        <f>IF($G354="","",IF($H354="مرجوعی فروش",-1,1)*($K354-$L354*IFERROR(VLOOKUP("P01",ParamTbl,3,0),1.5)))</f>
        <v/>
      </c>
      <c r="N354">
        <f>IF($G354="",0,IF($H354="مرجوعی فروش",-1,1)*IF(Sync!$AC350="",0,Sync!$AC350))</f>
        <v/>
      </c>
      <c r="O354">
        <f>IF(OR($G354="",Sync!$V350=""),"",Sync!$V350)</f>
        <v/>
      </c>
      <c r="P354">
        <f>IF(OR($G354="",Sync!$AD350=""),"",Sync!$AD350)</f>
        <v/>
      </c>
      <c r="Q354">
        <f>IF($G354="","",IF(Sync!$U350="","0000",IF(AND(ISNUMBER(Sync!$U350),Sync!$U350&gt;=0,Sync!$U350&lt;1),RIGHT("00"&amp;HOUR(Sync!$U350),2)&amp;RIGHT("00"&amp;MINUTE(Sync!$U350),2),IFERROR(RIGHT("00"&amp;VALUE(LEFT(Sync!$U350,FIND(":",Sync!$U350)-1)),2)&amp;RIGHT("00"&amp;VALUE(MID(Sync!$U350,FIND(":",Sync!$U350)+1,2)),2),"0000"))))</f>
        <v/>
      </c>
    </row>
    <row r="355">
      <c r="A355">
        <f>IF(Sync!$T351="","",Sync!$T351)</f>
        <v/>
      </c>
      <c r="B355">
        <f>IF($A355="","",IF(ISNUMBER($A355),IF(AND($A355&gt;=10000101,$A355&lt;=99991231),INT($A355/10000),""),IFERROR(VALUE(TRIM(LEFT($A355,FIND("/",$A355)-1))),"")))</f>
        <v/>
      </c>
      <c r="C355">
        <f>IF(OR($A355="",$B355=""),"",IF(ISNUMBER($A355),INT(MOD($A355,10000)/100),IFERROR(VALUE(TRIM(LEFT(MID($A355,FIND("/",$A355)+1,20),FIND("/",MID($A355,FIND("/",$A355)+1,20))-1))),"")))</f>
        <v/>
      </c>
      <c r="D355">
        <f>IF(OR($A355="",$B355=""),"",IF(ISNUMBER($A355),MOD($A355,100),IFERROR(VALUE(TRIM(MID(MID($A355,FIND("/",$A355)+1,20),FIND("/",MID($A355,FIND("/",$A355)+1,20))+1,20))),"")))</f>
        <v/>
      </c>
      <c r="E355">
        <f>IF($A355="","",IF(OR($B355="",$C355="",$D355="",$B355&lt;1300,$B355&gt;1500,$C355&lt;1,$C355&gt;12,$D355&lt;1,$D355&gt;31),"نامعتبر",RIGHT("0000"&amp;$B355,4)&amp;"/"&amp;RIGHT("00"&amp;$C355,2)&amp;"/"&amp;RIGHT("00"&amp;$D355,2)))</f>
        <v/>
      </c>
      <c r="F355">
        <f>IF(OR($E355="",$E355="نامعتبر"),"",LEFT($E355,4)&amp;"/"&amp;MID($E355,6,2))</f>
        <v/>
      </c>
      <c r="G355">
        <f>IF(OR($E355="",$E355="نامعتبر",Sync!$X351=""),"",IF(AND(LEFT(UPPER(TRIM(Sync!$X351)),2)="SL",IFERROR(VLOOKUP(Sync!$W351,OpTbl,3,0),"")="فروش"),UPPER(TRIM(Sync!$X351)),""))</f>
        <v/>
      </c>
      <c r="H355">
        <f>IF($G355="","",IF(Sync!$W351="","",Sync!$W351))</f>
        <v/>
      </c>
      <c r="I355">
        <f>IF(OR($G355="",Sync!$Y351=""),"",Sync!$Y351)</f>
        <v/>
      </c>
      <c r="J355">
        <f>IF(OR($G355="",Sync!$Z351=""),"",Sync!$Z351)</f>
        <v/>
      </c>
      <c r="K355">
        <f>IF($G355="",0,IF(Sync!$AA351="",0,Sync!$AA351))</f>
        <v/>
      </c>
      <c r="L355">
        <f>IF($G355="",0,IF(Sync!$AB351="",0,Sync!$AB351))</f>
        <v/>
      </c>
      <c r="M355">
        <f>IF($G355="","",IF($H355="مرجوعی فروش",-1,1)*($K355-$L355*IFERROR(VLOOKUP("P01",ParamTbl,3,0),1.5)))</f>
        <v/>
      </c>
      <c r="N355">
        <f>IF($G355="",0,IF($H355="مرجوعی فروش",-1,1)*IF(Sync!$AC351="",0,Sync!$AC351))</f>
        <v/>
      </c>
      <c r="O355">
        <f>IF(OR($G355="",Sync!$V351=""),"",Sync!$V351)</f>
        <v/>
      </c>
      <c r="P355">
        <f>IF(OR($G355="",Sync!$AD351=""),"",Sync!$AD351)</f>
        <v/>
      </c>
      <c r="Q355">
        <f>IF($G355="","",IF(Sync!$U351="","0000",IF(AND(ISNUMBER(Sync!$U351),Sync!$U351&gt;=0,Sync!$U351&lt;1),RIGHT("00"&amp;HOUR(Sync!$U351),2)&amp;RIGHT("00"&amp;MINUTE(Sync!$U351),2),IFERROR(RIGHT("00"&amp;VALUE(LEFT(Sync!$U351,FIND(":",Sync!$U351)-1)),2)&amp;RIGHT("00"&amp;VALUE(MID(Sync!$U351,FIND(":",Sync!$U351)+1,2)),2),"0000"))))</f>
        <v/>
      </c>
    </row>
    <row r="356">
      <c r="A356">
        <f>IF(Sync!$T352="","",Sync!$T352)</f>
        <v/>
      </c>
      <c r="B356">
        <f>IF($A356="","",IF(ISNUMBER($A356),IF(AND($A356&gt;=10000101,$A356&lt;=99991231),INT($A356/10000),""),IFERROR(VALUE(TRIM(LEFT($A356,FIND("/",$A356)-1))),"")))</f>
        <v/>
      </c>
      <c r="C356">
        <f>IF(OR($A356="",$B356=""),"",IF(ISNUMBER($A356),INT(MOD($A356,10000)/100),IFERROR(VALUE(TRIM(LEFT(MID($A356,FIND("/",$A356)+1,20),FIND("/",MID($A356,FIND("/",$A356)+1,20))-1))),"")))</f>
        <v/>
      </c>
      <c r="D356">
        <f>IF(OR($A356="",$B356=""),"",IF(ISNUMBER($A356),MOD($A356,100),IFERROR(VALUE(TRIM(MID(MID($A356,FIND("/",$A356)+1,20),FIND("/",MID($A356,FIND("/",$A356)+1,20))+1,20))),"")))</f>
        <v/>
      </c>
      <c r="E356">
        <f>IF($A356="","",IF(OR($B356="",$C356="",$D356="",$B356&lt;1300,$B356&gt;1500,$C356&lt;1,$C356&gt;12,$D356&lt;1,$D356&gt;31),"نامعتبر",RIGHT("0000"&amp;$B356,4)&amp;"/"&amp;RIGHT("00"&amp;$C356,2)&amp;"/"&amp;RIGHT("00"&amp;$D356,2)))</f>
        <v/>
      </c>
      <c r="F356">
        <f>IF(OR($E356="",$E356="نامعتبر"),"",LEFT($E356,4)&amp;"/"&amp;MID($E356,6,2))</f>
        <v/>
      </c>
      <c r="G356">
        <f>IF(OR($E356="",$E356="نامعتبر",Sync!$X352=""),"",IF(AND(LEFT(UPPER(TRIM(Sync!$X352)),2)="SL",IFERROR(VLOOKUP(Sync!$W352,OpTbl,3,0),"")="فروش"),UPPER(TRIM(Sync!$X352)),""))</f>
        <v/>
      </c>
      <c r="H356">
        <f>IF($G356="","",IF(Sync!$W352="","",Sync!$W352))</f>
        <v/>
      </c>
      <c r="I356">
        <f>IF(OR($G356="",Sync!$Y352=""),"",Sync!$Y352)</f>
        <v/>
      </c>
      <c r="J356">
        <f>IF(OR($G356="",Sync!$Z352=""),"",Sync!$Z352)</f>
        <v/>
      </c>
      <c r="K356">
        <f>IF($G356="",0,IF(Sync!$AA352="",0,Sync!$AA352))</f>
        <v/>
      </c>
      <c r="L356">
        <f>IF($G356="",0,IF(Sync!$AB352="",0,Sync!$AB352))</f>
        <v/>
      </c>
      <c r="M356">
        <f>IF($G356="","",IF($H356="مرجوعی فروش",-1,1)*($K356-$L356*IFERROR(VLOOKUP("P01",ParamTbl,3,0),1.5)))</f>
        <v/>
      </c>
      <c r="N356">
        <f>IF($G356="",0,IF($H356="مرجوعی فروش",-1,1)*IF(Sync!$AC352="",0,Sync!$AC352))</f>
        <v/>
      </c>
      <c r="O356">
        <f>IF(OR($G356="",Sync!$V352=""),"",Sync!$V352)</f>
        <v/>
      </c>
      <c r="P356">
        <f>IF(OR($G356="",Sync!$AD352=""),"",Sync!$AD352)</f>
        <v/>
      </c>
      <c r="Q356">
        <f>IF($G356="","",IF(Sync!$U352="","0000",IF(AND(ISNUMBER(Sync!$U352),Sync!$U352&gt;=0,Sync!$U352&lt;1),RIGHT("00"&amp;HOUR(Sync!$U352),2)&amp;RIGHT("00"&amp;MINUTE(Sync!$U352),2),IFERROR(RIGHT("00"&amp;VALUE(LEFT(Sync!$U352,FIND(":",Sync!$U352)-1)),2)&amp;RIGHT("00"&amp;VALUE(MID(Sync!$U352,FIND(":",Sync!$U352)+1,2)),2),"0000"))))</f>
        <v/>
      </c>
    </row>
    <row r="357">
      <c r="A357">
        <f>IF(Sync!$T353="","",Sync!$T353)</f>
        <v/>
      </c>
      <c r="B357">
        <f>IF($A357="","",IF(ISNUMBER($A357),IF(AND($A357&gt;=10000101,$A357&lt;=99991231),INT($A357/10000),""),IFERROR(VALUE(TRIM(LEFT($A357,FIND("/",$A357)-1))),"")))</f>
        <v/>
      </c>
      <c r="C357">
        <f>IF(OR($A357="",$B357=""),"",IF(ISNUMBER($A357),INT(MOD($A357,10000)/100),IFERROR(VALUE(TRIM(LEFT(MID($A357,FIND("/",$A357)+1,20),FIND("/",MID($A357,FIND("/",$A357)+1,20))-1))),"")))</f>
        <v/>
      </c>
      <c r="D357">
        <f>IF(OR($A357="",$B357=""),"",IF(ISNUMBER($A357),MOD($A357,100),IFERROR(VALUE(TRIM(MID(MID($A357,FIND("/",$A357)+1,20),FIND("/",MID($A357,FIND("/",$A357)+1,20))+1,20))),"")))</f>
        <v/>
      </c>
      <c r="E357">
        <f>IF($A357="","",IF(OR($B357="",$C357="",$D357="",$B357&lt;1300,$B357&gt;1500,$C357&lt;1,$C357&gt;12,$D357&lt;1,$D357&gt;31),"نامعتبر",RIGHT("0000"&amp;$B357,4)&amp;"/"&amp;RIGHT("00"&amp;$C357,2)&amp;"/"&amp;RIGHT("00"&amp;$D357,2)))</f>
        <v/>
      </c>
      <c r="F357">
        <f>IF(OR($E357="",$E357="نامعتبر"),"",LEFT($E357,4)&amp;"/"&amp;MID($E357,6,2))</f>
        <v/>
      </c>
      <c r="G357">
        <f>IF(OR($E357="",$E357="نامعتبر",Sync!$X353=""),"",IF(AND(LEFT(UPPER(TRIM(Sync!$X353)),2)="SL",IFERROR(VLOOKUP(Sync!$W353,OpTbl,3,0),"")="فروش"),UPPER(TRIM(Sync!$X353)),""))</f>
        <v/>
      </c>
      <c r="H357">
        <f>IF($G357="","",IF(Sync!$W353="","",Sync!$W353))</f>
        <v/>
      </c>
      <c r="I357">
        <f>IF(OR($G357="",Sync!$Y353=""),"",Sync!$Y353)</f>
        <v/>
      </c>
      <c r="J357">
        <f>IF(OR($G357="",Sync!$Z353=""),"",Sync!$Z353)</f>
        <v/>
      </c>
      <c r="K357">
        <f>IF($G357="",0,IF(Sync!$AA353="",0,Sync!$AA353))</f>
        <v/>
      </c>
      <c r="L357">
        <f>IF($G357="",0,IF(Sync!$AB353="",0,Sync!$AB353))</f>
        <v/>
      </c>
      <c r="M357">
        <f>IF($G357="","",IF($H357="مرجوعی فروش",-1,1)*($K357-$L357*IFERROR(VLOOKUP("P01",ParamTbl,3,0),1.5)))</f>
        <v/>
      </c>
      <c r="N357">
        <f>IF($G357="",0,IF($H357="مرجوعی فروش",-1,1)*IF(Sync!$AC353="",0,Sync!$AC353))</f>
        <v/>
      </c>
      <c r="O357">
        <f>IF(OR($G357="",Sync!$V353=""),"",Sync!$V353)</f>
        <v/>
      </c>
      <c r="P357">
        <f>IF(OR($G357="",Sync!$AD353=""),"",Sync!$AD353)</f>
        <v/>
      </c>
      <c r="Q357">
        <f>IF($G357="","",IF(Sync!$U353="","0000",IF(AND(ISNUMBER(Sync!$U353),Sync!$U353&gt;=0,Sync!$U353&lt;1),RIGHT("00"&amp;HOUR(Sync!$U353),2)&amp;RIGHT("00"&amp;MINUTE(Sync!$U353),2),IFERROR(RIGHT("00"&amp;VALUE(LEFT(Sync!$U353,FIND(":",Sync!$U353)-1)),2)&amp;RIGHT("00"&amp;VALUE(MID(Sync!$U353,FIND(":",Sync!$U353)+1,2)),2),"0000"))))</f>
        <v/>
      </c>
    </row>
    <row r="358">
      <c r="A358">
        <f>IF(Sync!$T354="","",Sync!$T354)</f>
        <v/>
      </c>
      <c r="B358">
        <f>IF($A358="","",IF(ISNUMBER($A358),IF(AND($A358&gt;=10000101,$A358&lt;=99991231),INT($A358/10000),""),IFERROR(VALUE(TRIM(LEFT($A358,FIND("/",$A358)-1))),"")))</f>
        <v/>
      </c>
      <c r="C358">
        <f>IF(OR($A358="",$B358=""),"",IF(ISNUMBER($A358),INT(MOD($A358,10000)/100),IFERROR(VALUE(TRIM(LEFT(MID($A358,FIND("/",$A358)+1,20),FIND("/",MID($A358,FIND("/",$A358)+1,20))-1))),"")))</f>
        <v/>
      </c>
      <c r="D358">
        <f>IF(OR($A358="",$B358=""),"",IF(ISNUMBER($A358),MOD($A358,100),IFERROR(VALUE(TRIM(MID(MID($A358,FIND("/",$A358)+1,20),FIND("/",MID($A358,FIND("/",$A358)+1,20))+1,20))),"")))</f>
        <v/>
      </c>
      <c r="E358">
        <f>IF($A358="","",IF(OR($B358="",$C358="",$D358="",$B358&lt;1300,$B358&gt;1500,$C358&lt;1,$C358&gt;12,$D358&lt;1,$D358&gt;31),"نامعتبر",RIGHT("0000"&amp;$B358,4)&amp;"/"&amp;RIGHT("00"&amp;$C358,2)&amp;"/"&amp;RIGHT("00"&amp;$D358,2)))</f>
        <v/>
      </c>
      <c r="F358">
        <f>IF(OR($E358="",$E358="نامعتبر"),"",LEFT($E358,4)&amp;"/"&amp;MID($E358,6,2))</f>
        <v/>
      </c>
      <c r="G358">
        <f>IF(OR($E358="",$E358="نامعتبر",Sync!$X354=""),"",IF(AND(LEFT(UPPER(TRIM(Sync!$X354)),2)="SL",IFERROR(VLOOKUP(Sync!$W354,OpTbl,3,0),"")="فروش"),UPPER(TRIM(Sync!$X354)),""))</f>
        <v/>
      </c>
      <c r="H358">
        <f>IF($G358="","",IF(Sync!$W354="","",Sync!$W354))</f>
        <v/>
      </c>
      <c r="I358">
        <f>IF(OR($G358="",Sync!$Y354=""),"",Sync!$Y354)</f>
        <v/>
      </c>
      <c r="J358">
        <f>IF(OR($G358="",Sync!$Z354=""),"",Sync!$Z354)</f>
        <v/>
      </c>
      <c r="K358">
        <f>IF($G358="",0,IF(Sync!$AA354="",0,Sync!$AA354))</f>
        <v/>
      </c>
      <c r="L358">
        <f>IF($G358="",0,IF(Sync!$AB354="",0,Sync!$AB354))</f>
        <v/>
      </c>
      <c r="M358">
        <f>IF($G358="","",IF($H358="مرجوعی فروش",-1,1)*($K358-$L358*IFERROR(VLOOKUP("P01",ParamTbl,3,0),1.5)))</f>
        <v/>
      </c>
      <c r="N358">
        <f>IF($G358="",0,IF($H358="مرجوعی فروش",-1,1)*IF(Sync!$AC354="",0,Sync!$AC354))</f>
        <v/>
      </c>
      <c r="O358">
        <f>IF(OR($G358="",Sync!$V354=""),"",Sync!$V354)</f>
        <v/>
      </c>
      <c r="P358">
        <f>IF(OR($G358="",Sync!$AD354=""),"",Sync!$AD354)</f>
        <v/>
      </c>
      <c r="Q358">
        <f>IF($G358="","",IF(Sync!$U354="","0000",IF(AND(ISNUMBER(Sync!$U354),Sync!$U354&gt;=0,Sync!$U354&lt;1),RIGHT("00"&amp;HOUR(Sync!$U354),2)&amp;RIGHT("00"&amp;MINUTE(Sync!$U354),2),IFERROR(RIGHT("00"&amp;VALUE(LEFT(Sync!$U354,FIND(":",Sync!$U354)-1)),2)&amp;RIGHT("00"&amp;VALUE(MID(Sync!$U354,FIND(":",Sync!$U354)+1,2)),2),"0000"))))</f>
        <v/>
      </c>
    </row>
    <row r="359">
      <c r="A359">
        <f>IF(Sync!$T355="","",Sync!$T355)</f>
        <v/>
      </c>
      <c r="B359">
        <f>IF($A359="","",IF(ISNUMBER($A359),IF(AND($A359&gt;=10000101,$A359&lt;=99991231),INT($A359/10000),""),IFERROR(VALUE(TRIM(LEFT($A359,FIND("/",$A359)-1))),"")))</f>
        <v/>
      </c>
      <c r="C359">
        <f>IF(OR($A359="",$B359=""),"",IF(ISNUMBER($A359),INT(MOD($A359,10000)/100),IFERROR(VALUE(TRIM(LEFT(MID($A359,FIND("/",$A359)+1,20),FIND("/",MID($A359,FIND("/",$A359)+1,20))-1))),"")))</f>
        <v/>
      </c>
      <c r="D359">
        <f>IF(OR($A359="",$B359=""),"",IF(ISNUMBER($A359),MOD($A359,100),IFERROR(VALUE(TRIM(MID(MID($A359,FIND("/",$A359)+1,20),FIND("/",MID($A359,FIND("/",$A359)+1,20))+1,20))),"")))</f>
        <v/>
      </c>
      <c r="E359">
        <f>IF($A359="","",IF(OR($B359="",$C359="",$D359="",$B359&lt;1300,$B359&gt;1500,$C359&lt;1,$C359&gt;12,$D359&lt;1,$D359&gt;31),"نامعتبر",RIGHT("0000"&amp;$B359,4)&amp;"/"&amp;RIGHT("00"&amp;$C359,2)&amp;"/"&amp;RIGHT("00"&amp;$D359,2)))</f>
        <v/>
      </c>
      <c r="F359">
        <f>IF(OR($E359="",$E359="نامعتبر"),"",LEFT($E359,4)&amp;"/"&amp;MID($E359,6,2))</f>
        <v/>
      </c>
      <c r="G359">
        <f>IF(OR($E359="",$E359="نامعتبر",Sync!$X355=""),"",IF(AND(LEFT(UPPER(TRIM(Sync!$X355)),2)="SL",IFERROR(VLOOKUP(Sync!$W355,OpTbl,3,0),"")="فروش"),UPPER(TRIM(Sync!$X355)),""))</f>
        <v/>
      </c>
      <c r="H359">
        <f>IF($G359="","",IF(Sync!$W355="","",Sync!$W355))</f>
        <v/>
      </c>
      <c r="I359">
        <f>IF(OR($G359="",Sync!$Y355=""),"",Sync!$Y355)</f>
        <v/>
      </c>
      <c r="J359">
        <f>IF(OR($G359="",Sync!$Z355=""),"",Sync!$Z355)</f>
        <v/>
      </c>
      <c r="K359">
        <f>IF($G359="",0,IF(Sync!$AA355="",0,Sync!$AA355))</f>
        <v/>
      </c>
      <c r="L359">
        <f>IF($G359="",0,IF(Sync!$AB355="",0,Sync!$AB355))</f>
        <v/>
      </c>
      <c r="M359">
        <f>IF($G359="","",IF($H359="مرجوعی فروش",-1,1)*($K359-$L359*IFERROR(VLOOKUP("P01",ParamTbl,3,0),1.5)))</f>
        <v/>
      </c>
      <c r="N359">
        <f>IF($G359="",0,IF($H359="مرجوعی فروش",-1,1)*IF(Sync!$AC355="",0,Sync!$AC355))</f>
        <v/>
      </c>
      <c r="O359">
        <f>IF(OR($G359="",Sync!$V355=""),"",Sync!$V355)</f>
        <v/>
      </c>
      <c r="P359">
        <f>IF(OR($G359="",Sync!$AD355=""),"",Sync!$AD355)</f>
        <v/>
      </c>
      <c r="Q359">
        <f>IF($G359="","",IF(Sync!$U355="","0000",IF(AND(ISNUMBER(Sync!$U355),Sync!$U355&gt;=0,Sync!$U355&lt;1),RIGHT("00"&amp;HOUR(Sync!$U355),2)&amp;RIGHT("00"&amp;MINUTE(Sync!$U355),2),IFERROR(RIGHT("00"&amp;VALUE(LEFT(Sync!$U355,FIND(":",Sync!$U355)-1)),2)&amp;RIGHT("00"&amp;VALUE(MID(Sync!$U355,FIND(":",Sync!$U355)+1,2)),2),"0000"))))</f>
        <v/>
      </c>
    </row>
    <row r="360">
      <c r="A360">
        <f>IF(Sync!$T356="","",Sync!$T356)</f>
        <v/>
      </c>
      <c r="B360">
        <f>IF($A360="","",IF(ISNUMBER($A360),IF(AND($A360&gt;=10000101,$A360&lt;=99991231),INT($A360/10000),""),IFERROR(VALUE(TRIM(LEFT($A360,FIND("/",$A360)-1))),"")))</f>
        <v/>
      </c>
      <c r="C360">
        <f>IF(OR($A360="",$B360=""),"",IF(ISNUMBER($A360),INT(MOD($A360,10000)/100),IFERROR(VALUE(TRIM(LEFT(MID($A360,FIND("/",$A360)+1,20),FIND("/",MID($A360,FIND("/",$A360)+1,20))-1))),"")))</f>
        <v/>
      </c>
      <c r="D360">
        <f>IF(OR($A360="",$B360=""),"",IF(ISNUMBER($A360),MOD($A360,100),IFERROR(VALUE(TRIM(MID(MID($A360,FIND("/",$A360)+1,20),FIND("/",MID($A360,FIND("/",$A360)+1,20))+1,20))),"")))</f>
        <v/>
      </c>
      <c r="E360">
        <f>IF($A360="","",IF(OR($B360="",$C360="",$D360="",$B360&lt;1300,$B360&gt;1500,$C360&lt;1,$C360&gt;12,$D360&lt;1,$D360&gt;31),"نامعتبر",RIGHT("0000"&amp;$B360,4)&amp;"/"&amp;RIGHT("00"&amp;$C360,2)&amp;"/"&amp;RIGHT("00"&amp;$D360,2)))</f>
        <v/>
      </c>
      <c r="F360">
        <f>IF(OR($E360="",$E360="نامعتبر"),"",LEFT($E360,4)&amp;"/"&amp;MID($E360,6,2))</f>
        <v/>
      </c>
      <c r="G360">
        <f>IF(OR($E360="",$E360="نامعتبر",Sync!$X356=""),"",IF(AND(LEFT(UPPER(TRIM(Sync!$X356)),2)="SL",IFERROR(VLOOKUP(Sync!$W356,OpTbl,3,0),"")="فروش"),UPPER(TRIM(Sync!$X356)),""))</f>
        <v/>
      </c>
      <c r="H360">
        <f>IF($G360="","",IF(Sync!$W356="","",Sync!$W356))</f>
        <v/>
      </c>
      <c r="I360">
        <f>IF(OR($G360="",Sync!$Y356=""),"",Sync!$Y356)</f>
        <v/>
      </c>
      <c r="J360">
        <f>IF(OR($G360="",Sync!$Z356=""),"",Sync!$Z356)</f>
        <v/>
      </c>
      <c r="K360">
        <f>IF($G360="",0,IF(Sync!$AA356="",0,Sync!$AA356))</f>
        <v/>
      </c>
      <c r="L360">
        <f>IF($G360="",0,IF(Sync!$AB356="",0,Sync!$AB356))</f>
        <v/>
      </c>
      <c r="M360">
        <f>IF($G360="","",IF($H360="مرجوعی فروش",-1,1)*($K360-$L360*IFERROR(VLOOKUP("P01",ParamTbl,3,0),1.5)))</f>
        <v/>
      </c>
      <c r="N360">
        <f>IF($G360="",0,IF($H360="مرجوعی فروش",-1,1)*IF(Sync!$AC356="",0,Sync!$AC356))</f>
        <v/>
      </c>
      <c r="O360">
        <f>IF(OR($G360="",Sync!$V356=""),"",Sync!$V356)</f>
        <v/>
      </c>
      <c r="P360">
        <f>IF(OR($G360="",Sync!$AD356=""),"",Sync!$AD356)</f>
        <v/>
      </c>
      <c r="Q360">
        <f>IF($G360="","",IF(Sync!$U356="","0000",IF(AND(ISNUMBER(Sync!$U356),Sync!$U356&gt;=0,Sync!$U356&lt;1),RIGHT("00"&amp;HOUR(Sync!$U356),2)&amp;RIGHT("00"&amp;MINUTE(Sync!$U356),2),IFERROR(RIGHT("00"&amp;VALUE(LEFT(Sync!$U356,FIND(":",Sync!$U356)-1)),2)&amp;RIGHT("00"&amp;VALUE(MID(Sync!$U356,FIND(":",Sync!$U356)+1,2)),2),"0000"))))</f>
        <v/>
      </c>
    </row>
    <row r="361">
      <c r="A361">
        <f>IF(Sync!$T357="","",Sync!$T357)</f>
        <v/>
      </c>
      <c r="B361">
        <f>IF($A361="","",IF(ISNUMBER($A361),IF(AND($A361&gt;=10000101,$A361&lt;=99991231),INT($A361/10000),""),IFERROR(VALUE(TRIM(LEFT($A361,FIND("/",$A361)-1))),"")))</f>
        <v/>
      </c>
      <c r="C361">
        <f>IF(OR($A361="",$B361=""),"",IF(ISNUMBER($A361),INT(MOD($A361,10000)/100),IFERROR(VALUE(TRIM(LEFT(MID($A361,FIND("/",$A361)+1,20),FIND("/",MID($A361,FIND("/",$A361)+1,20))-1))),"")))</f>
        <v/>
      </c>
      <c r="D361">
        <f>IF(OR($A361="",$B361=""),"",IF(ISNUMBER($A361),MOD($A361,100),IFERROR(VALUE(TRIM(MID(MID($A361,FIND("/",$A361)+1,20),FIND("/",MID($A361,FIND("/",$A361)+1,20))+1,20))),"")))</f>
        <v/>
      </c>
      <c r="E361">
        <f>IF($A361="","",IF(OR($B361="",$C361="",$D361="",$B361&lt;1300,$B361&gt;1500,$C361&lt;1,$C361&gt;12,$D361&lt;1,$D361&gt;31),"نامعتبر",RIGHT("0000"&amp;$B361,4)&amp;"/"&amp;RIGHT("00"&amp;$C361,2)&amp;"/"&amp;RIGHT("00"&amp;$D361,2)))</f>
        <v/>
      </c>
      <c r="F361">
        <f>IF(OR($E361="",$E361="نامعتبر"),"",LEFT($E361,4)&amp;"/"&amp;MID($E361,6,2))</f>
        <v/>
      </c>
      <c r="G361">
        <f>IF(OR($E361="",$E361="نامعتبر",Sync!$X357=""),"",IF(AND(LEFT(UPPER(TRIM(Sync!$X357)),2)="SL",IFERROR(VLOOKUP(Sync!$W357,OpTbl,3,0),"")="فروش"),UPPER(TRIM(Sync!$X357)),""))</f>
        <v/>
      </c>
      <c r="H361">
        <f>IF($G361="","",IF(Sync!$W357="","",Sync!$W357))</f>
        <v/>
      </c>
      <c r="I361">
        <f>IF(OR($G361="",Sync!$Y357=""),"",Sync!$Y357)</f>
        <v/>
      </c>
      <c r="J361">
        <f>IF(OR($G361="",Sync!$Z357=""),"",Sync!$Z357)</f>
        <v/>
      </c>
      <c r="K361">
        <f>IF($G361="",0,IF(Sync!$AA357="",0,Sync!$AA357))</f>
        <v/>
      </c>
      <c r="L361">
        <f>IF($G361="",0,IF(Sync!$AB357="",0,Sync!$AB357))</f>
        <v/>
      </c>
      <c r="M361">
        <f>IF($G361="","",IF($H361="مرجوعی فروش",-1,1)*($K361-$L361*IFERROR(VLOOKUP("P01",ParamTbl,3,0),1.5)))</f>
        <v/>
      </c>
      <c r="N361">
        <f>IF($G361="",0,IF($H361="مرجوعی فروش",-1,1)*IF(Sync!$AC357="",0,Sync!$AC357))</f>
        <v/>
      </c>
      <c r="O361">
        <f>IF(OR($G361="",Sync!$V357=""),"",Sync!$V357)</f>
        <v/>
      </c>
      <c r="P361">
        <f>IF(OR($G361="",Sync!$AD357=""),"",Sync!$AD357)</f>
        <v/>
      </c>
      <c r="Q361">
        <f>IF($G361="","",IF(Sync!$U357="","0000",IF(AND(ISNUMBER(Sync!$U357),Sync!$U357&gt;=0,Sync!$U357&lt;1),RIGHT("00"&amp;HOUR(Sync!$U357),2)&amp;RIGHT("00"&amp;MINUTE(Sync!$U357),2),IFERROR(RIGHT("00"&amp;VALUE(LEFT(Sync!$U357,FIND(":",Sync!$U357)-1)),2)&amp;RIGHT("00"&amp;VALUE(MID(Sync!$U357,FIND(":",Sync!$U357)+1,2)),2),"0000"))))</f>
        <v/>
      </c>
    </row>
    <row r="362">
      <c r="A362">
        <f>IF(Sync!$T358="","",Sync!$T358)</f>
        <v/>
      </c>
      <c r="B362">
        <f>IF($A362="","",IF(ISNUMBER($A362),IF(AND($A362&gt;=10000101,$A362&lt;=99991231),INT($A362/10000),""),IFERROR(VALUE(TRIM(LEFT($A362,FIND("/",$A362)-1))),"")))</f>
        <v/>
      </c>
      <c r="C362">
        <f>IF(OR($A362="",$B362=""),"",IF(ISNUMBER($A362),INT(MOD($A362,10000)/100),IFERROR(VALUE(TRIM(LEFT(MID($A362,FIND("/",$A362)+1,20),FIND("/",MID($A362,FIND("/",$A362)+1,20))-1))),"")))</f>
        <v/>
      </c>
      <c r="D362">
        <f>IF(OR($A362="",$B362=""),"",IF(ISNUMBER($A362),MOD($A362,100),IFERROR(VALUE(TRIM(MID(MID($A362,FIND("/",$A362)+1,20),FIND("/",MID($A362,FIND("/",$A362)+1,20))+1,20))),"")))</f>
        <v/>
      </c>
      <c r="E362">
        <f>IF($A362="","",IF(OR($B362="",$C362="",$D362="",$B362&lt;1300,$B362&gt;1500,$C362&lt;1,$C362&gt;12,$D362&lt;1,$D362&gt;31),"نامعتبر",RIGHT("0000"&amp;$B362,4)&amp;"/"&amp;RIGHT("00"&amp;$C362,2)&amp;"/"&amp;RIGHT("00"&amp;$D362,2)))</f>
        <v/>
      </c>
      <c r="F362">
        <f>IF(OR($E362="",$E362="نامعتبر"),"",LEFT($E362,4)&amp;"/"&amp;MID($E362,6,2))</f>
        <v/>
      </c>
      <c r="G362">
        <f>IF(OR($E362="",$E362="نامعتبر",Sync!$X358=""),"",IF(AND(LEFT(UPPER(TRIM(Sync!$X358)),2)="SL",IFERROR(VLOOKUP(Sync!$W358,OpTbl,3,0),"")="فروش"),UPPER(TRIM(Sync!$X358)),""))</f>
        <v/>
      </c>
      <c r="H362">
        <f>IF($G362="","",IF(Sync!$W358="","",Sync!$W358))</f>
        <v/>
      </c>
      <c r="I362">
        <f>IF(OR($G362="",Sync!$Y358=""),"",Sync!$Y358)</f>
        <v/>
      </c>
      <c r="J362">
        <f>IF(OR($G362="",Sync!$Z358=""),"",Sync!$Z358)</f>
        <v/>
      </c>
      <c r="K362">
        <f>IF($G362="",0,IF(Sync!$AA358="",0,Sync!$AA358))</f>
        <v/>
      </c>
      <c r="L362">
        <f>IF($G362="",0,IF(Sync!$AB358="",0,Sync!$AB358))</f>
        <v/>
      </c>
      <c r="M362">
        <f>IF($G362="","",IF($H362="مرجوعی فروش",-1,1)*($K362-$L362*IFERROR(VLOOKUP("P01",ParamTbl,3,0),1.5)))</f>
        <v/>
      </c>
      <c r="N362">
        <f>IF($G362="",0,IF($H362="مرجوعی فروش",-1,1)*IF(Sync!$AC358="",0,Sync!$AC358))</f>
        <v/>
      </c>
      <c r="O362">
        <f>IF(OR($G362="",Sync!$V358=""),"",Sync!$V358)</f>
        <v/>
      </c>
      <c r="P362">
        <f>IF(OR($G362="",Sync!$AD358=""),"",Sync!$AD358)</f>
        <v/>
      </c>
      <c r="Q362">
        <f>IF($G362="","",IF(Sync!$U358="","0000",IF(AND(ISNUMBER(Sync!$U358),Sync!$U358&gt;=0,Sync!$U358&lt;1),RIGHT("00"&amp;HOUR(Sync!$U358),2)&amp;RIGHT("00"&amp;MINUTE(Sync!$U358),2),IFERROR(RIGHT("00"&amp;VALUE(LEFT(Sync!$U358,FIND(":",Sync!$U358)-1)),2)&amp;RIGHT("00"&amp;VALUE(MID(Sync!$U358,FIND(":",Sync!$U358)+1,2)),2),"0000"))))</f>
        <v/>
      </c>
    </row>
    <row r="363">
      <c r="A363">
        <f>IF(Sync!$T359="","",Sync!$T359)</f>
        <v/>
      </c>
      <c r="B363">
        <f>IF($A363="","",IF(ISNUMBER($A363),IF(AND($A363&gt;=10000101,$A363&lt;=99991231),INT($A363/10000),""),IFERROR(VALUE(TRIM(LEFT($A363,FIND("/",$A363)-1))),"")))</f>
        <v/>
      </c>
      <c r="C363">
        <f>IF(OR($A363="",$B363=""),"",IF(ISNUMBER($A363),INT(MOD($A363,10000)/100),IFERROR(VALUE(TRIM(LEFT(MID($A363,FIND("/",$A363)+1,20),FIND("/",MID($A363,FIND("/",$A363)+1,20))-1))),"")))</f>
        <v/>
      </c>
      <c r="D363">
        <f>IF(OR($A363="",$B363=""),"",IF(ISNUMBER($A363),MOD($A363,100),IFERROR(VALUE(TRIM(MID(MID($A363,FIND("/",$A363)+1,20),FIND("/",MID($A363,FIND("/",$A363)+1,20))+1,20))),"")))</f>
        <v/>
      </c>
      <c r="E363">
        <f>IF($A363="","",IF(OR($B363="",$C363="",$D363="",$B363&lt;1300,$B363&gt;1500,$C363&lt;1,$C363&gt;12,$D363&lt;1,$D363&gt;31),"نامعتبر",RIGHT("0000"&amp;$B363,4)&amp;"/"&amp;RIGHT("00"&amp;$C363,2)&amp;"/"&amp;RIGHT("00"&amp;$D363,2)))</f>
        <v/>
      </c>
      <c r="F363">
        <f>IF(OR($E363="",$E363="نامعتبر"),"",LEFT($E363,4)&amp;"/"&amp;MID($E363,6,2))</f>
        <v/>
      </c>
      <c r="G363">
        <f>IF(OR($E363="",$E363="نامعتبر",Sync!$X359=""),"",IF(AND(LEFT(UPPER(TRIM(Sync!$X359)),2)="SL",IFERROR(VLOOKUP(Sync!$W359,OpTbl,3,0),"")="فروش"),UPPER(TRIM(Sync!$X359)),""))</f>
        <v/>
      </c>
      <c r="H363">
        <f>IF($G363="","",IF(Sync!$W359="","",Sync!$W359))</f>
        <v/>
      </c>
      <c r="I363">
        <f>IF(OR($G363="",Sync!$Y359=""),"",Sync!$Y359)</f>
        <v/>
      </c>
      <c r="J363">
        <f>IF(OR($G363="",Sync!$Z359=""),"",Sync!$Z359)</f>
        <v/>
      </c>
      <c r="K363">
        <f>IF($G363="",0,IF(Sync!$AA359="",0,Sync!$AA359))</f>
        <v/>
      </c>
      <c r="L363">
        <f>IF($G363="",0,IF(Sync!$AB359="",0,Sync!$AB359))</f>
        <v/>
      </c>
      <c r="M363">
        <f>IF($G363="","",IF($H363="مرجوعی فروش",-1,1)*($K363-$L363*IFERROR(VLOOKUP("P01",ParamTbl,3,0),1.5)))</f>
        <v/>
      </c>
      <c r="N363">
        <f>IF($G363="",0,IF($H363="مرجوعی فروش",-1,1)*IF(Sync!$AC359="",0,Sync!$AC359))</f>
        <v/>
      </c>
      <c r="O363">
        <f>IF(OR($G363="",Sync!$V359=""),"",Sync!$V359)</f>
        <v/>
      </c>
      <c r="P363">
        <f>IF(OR($G363="",Sync!$AD359=""),"",Sync!$AD359)</f>
        <v/>
      </c>
      <c r="Q363">
        <f>IF($G363="","",IF(Sync!$U359="","0000",IF(AND(ISNUMBER(Sync!$U359),Sync!$U359&gt;=0,Sync!$U359&lt;1),RIGHT("00"&amp;HOUR(Sync!$U359),2)&amp;RIGHT("00"&amp;MINUTE(Sync!$U359),2),IFERROR(RIGHT("00"&amp;VALUE(LEFT(Sync!$U359,FIND(":",Sync!$U359)-1)),2)&amp;RIGHT("00"&amp;VALUE(MID(Sync!$U359,FIND(":",Sync!$U359)+1,2)),2),"0000"))))</f>
        <v/>
      </c>
    </row>
    <row r="364">
      <c r="A364">
        <f>IF(Sync!$T360="","",Sync!$T360)</f>
        <v/>
      </c>
      <c r="B364">
        <f>IF($A364="","",IF(ISNUMBER($A364),IF(AND($A364&gt;=10000101,$A364&lt;=99991231),INT($A364/10000),""),IFERROR(VALUE(TRIM(LEFT($A364,FIND("/",$A364)-1))),"")))</f>
        <v/>
      </c>
      <c r="C364">
        <f>IF(OR($A364="",$B364=""),"",IF(ISNUMBER($A364),INT(MOD($A364,10000)/100),IFERROR(VALUE(TRIM(LEFT(MID($A364,FIND("/",$A364)+1,20),FIND("/",MID($A364,FIND("/",$A364)+1,20))-1))),"")))</f>
        <v/>
      </c>
      <c r="D364">
        <f>IF(OR($A364="",$B364=""),"",IF(ISNUMBER($A364),MOD($A364,100),IFERROR(VALUE(TRIM(MID(MID($A364,FIND("/",$A364)+1,20),FIND("/",MID($A364,FIND("/",$A364)+1,20))+1,20))),"")))</f>
        <v/>
      </c>
      <c r="E364">
        <f>IF($A364="","",IF(OR($B364="",$C364="",$D364="",$B364&lt;1300,$B364&gt;1500,$C364&lt;1,$C364&gt;12,$D364&lt;1,$D364&gt;31),"نامعتبر",RIGHT("0000"&amp;$B364,4)&amp;"/"&amp;RIGHT("00"&amp;$C364,2)&amp;"/"&amp;RIGHT("00"&amp;$D364,2)))</f>
        <v/>
      </c>
      <c r="F364">
        <f>IF(OR($E364="",$E364="نامعتبر"),"",LEFT($E364,4)&amp;"/"&amp;MID($E364,6,2))</f>
        <v/>
      </c>
      <c r="G364">
        <f>IF(OR($E364="",$E364="نامعتبر",Sync!$X360=""),"",IF(AND(LEFT(UPPER(TRIM(Sync!$X360)),2)="SL",IFERROR(VLOOKUP(Sync!$W360,OpTbl,3,0),"")="فروش"),UPPER(TRIM(Sync!$X360)),""))</f>
        <v/>
      </c>
      <c r="H364">
        <f>IF($G364="","",IF(Sync!$W360="","",Sync!$W360))</f>
        <v/>
      </c>
      <c r="I364">
        <f>IF(OR($G364="",Sync!$Y360=""),"",Sync!$Y360)</f>
        <v/>
      </c>
      <c r="J364">
        <f>IF(OR($G364="",Sync!$Z360=""),"",Sync!$Z360)</f>
        <v/>
      </c>
      <c r="K364">
        <f>IF($G364="",0,IF(Sync!$AA360="",0,Sync!$AA360))</f>
        <v/>
      </c>
      <c r="L364">
        <f>IF($G364="",0,IF(Sync!$AB360="",0,Sync!$AB360))</f>
        <v/>
      </c>
      <c r="M364">
        <f>IF($G364="","",IF($H364="مرجوعی فروش",-1,1)*($K364-$L364*IFERROR(VLOOKUP("P01",ParamTbl,3,0),1.5)))</f>
        <v/>
      </c>
      <c r="N364">
        <f>IF($G364="",0,IF($H364="مرجوعی فروش",-1,1)*IF(Sync!$AC360="",0,Sync!$AC360))</f>
        <v/>
      </c>
      <c r="O364">
        <f>IF(OR($G364="",Sync!$V360=""),"",Sync!$V360)</f>
        <v/>
      </c>
      <c r="P364">
        <f>IF(OR($G364="",Sync!$AD360=""),"",Sync!$AD360)</f>
        <v/>
      </c>
      <c r="Q364">
        <f>IF($G364="","",IF(Sync!$U360="","0000",IF(AND(ISNUMBER(Sync!$U360),Sync!$U360&gt;=0,Sync!$U360&lt;1),RIGHT("00"&amp;HOUR(Sync!$U360),2)&amp;RIGHT("00"&amp;MINUTE(Sync!$U360),2),IFERROR(RIGHT("00"&amp;VALUE(LEFT(Sync!$U360,FIND(":",Sync!$U360)-1)),2)&amp;RIGHT("00"&amp;VALUE(MID(Sync!$U360,FIND(":",Sync!$U360)+1,2)),2),"0000"))))</f>
        <v/>
      </c>
    </row>
    <row r="365">
      <c r="A365">
        <f>IF(Sync!$T361="","",Sync!$T361)</f>
        <v/>
      </c>
      <c r="B365">
        <f>IF($A365="","",IF(ISNUMBER($A365),IF(AND($A365&gt;=10000101,$A365&lt;=99991231),INT($A365/10000),""),IFERROR(VALUE(TRIM(LEFT($A365,FIND("/",$A365)-1))),"")))</f>
        <v/>
      </c>
      <c r="C365">
        <f>IF(OR($A365="",$B365=""),"",IF(ISNUMBER($A365),INT(MOD($A365,10000)/100),IFERROR(VALUE(TRIM(LEFT(MID($A365,FIND("/",$A365)+1,20),FIND("/",MID($A365,FIND("/",$A365)+1,20))-1))),"")))</f>
        <v/>
      </c>
      <c r="D365">
        <f>IF(OR($A365="",$B365=""),"",IF(ISNUMBER($A365),MOD($A365,100),IFERROR(VALUE(TRIM(MID(MID($A365,FIND("/",$A365)+1,20),FIND("/",MID($A365,FIND("/",$A365)+1,20))+1,20))),"")))</f>
        <v/>
      </c>
      <c r="E365">
        <f>IF($A365="","",IF(OR($B365="",$C365="",$D365="",$B365&lt;1300,$B365&gt;1500,$C365&lt;1,$C365&gt;12,$D365&lt;1,$D365&gt;31),"نامعتبر",RIGHT("0000"&amp;$B365,4)&amp;"/"&amp;RIGHT("00"&amp;$C365,2)&amp;"/"&amp;RIGHT("00"&amp;$D365,2)))</f>
        <v/>
      </c>
      <c r="F365">
        <f>IF(OR($E365="",$E365="نامعتبر"),"",LEFT($E365,4)&amp;"/"&amp;MID($E365,6,2))</f>
        <v/>
      </c>
      <c r="G365">
        <f>IF(OR($E365="",$E365="نامعتبر",Sync!$X361=""),"",IF(AND(LEFT(UPPER(TRIM(Sync!$X361)),2)="SL",IFERROR(VLOOKUP(Sync!$W361,OpTbl,3,0),"")="فروش"),UPPER(TRIM(Sync!$X361)),""))</f>
        <v/>
      </c>
      <c r="H365">
        <f>IF($G365="","",IF(Sync!$W361="","",Sync!$W361))</f>
        <v/>
      </c>
      <c r="I365">
        <f>IF(OR($G365="",Sync!$Y361=""),"",Sync!$Y361)</f>
        <v/>
      </c>
      <c r="J365">
        <f>IF(OR($G365="",Sync!$Z361=""),"",Sync!$Z361)</f>
        <v/>
      </c>
      <c r="K365">
        <f>IF($G365="",0,IF(Sync!$AA361="",0,Sync!$AA361))</f>
        <v/>
      </c>
      <c r="L365">
        <f>IF($G365="",0,IF(Sync!$AB361="",0,Sync!$AB361))</f>
        <v/>
      </c>
      <c r="M365">
        <f>IF($G365="","",IF($H365="مرجوعی فروش",-1,1)*($K365-$L365*IFERROR(VLOOKUP("P01",ParamTbl,3,0),1.5)))</f>
        <v/>
      </c>
      <c r="N365">
        <f>IF($G365="",0,IF($H365="مرجوعی فروش",-1,1)*IF(Sync!$AC361="",0,Sync!$AC361))</f>
        <v/>
      </c>
      <c r="O365">
        <f>IF(OR($G365="",Sync!$V361=""),"",Sync!$V361)</f>
        <v/>
      </c>
      <c r="P365">
        <f>IF(OR($G365="",Sync!$AD361=""),"",Sync!$AD361)</f>
        <v/>
      </c>
      <c r="Q365">
        <f>IF($G365="","",IF(Sync!$U361="","0000",IF(AND(ISNUMBER(Sync!$U361),Sync!$U361&gt;=0,Sync!$U361&lt;1),RIGHT("00"&amp;HOUR(Sync!$U361),2)&amp;RIGHT("00"&amp;MINUTE(Sync!$U361),2),IFERROR(RIGHT("00"&amp;VALUE(LEFT(Sync!$U361,FIND(":",Sync!$U361)-1)),2)&amp;RIGHT("00"&amp;VALUE(MID(Sync!$U361,FIND(":",Sync!$U361)+1,2)),2),"0000"))))</f>
        <v/>
      </c>
    </row>
    <row r="366">
      <c r="A366">
        <f>IF(Sync!$T362="","",Sync!$T362)</f>
        <v/>
      </c>
      <c r="B366">
        <f>IF($A366="","",IF(ISNUMBER($A366),IF(AND($A366&gt;=10000101,$A366&lt;=99991231),INT($A366/10000),""),IFERROR(VALUE(TRIM(LEFT($A366,FIND("/",$A366)-1))),"")))</f>
        <v/>
      </c>
      <c r="C366">
        <f>IF(OR($A366="",$B366=""),"",IF(ISNUMBER($A366),INT(MOD($A366,10000)/100),IFERROR(VALUE(TRIM(LEFT(MID($A366,FIND("/",$A366)+1,20),FIND("/",MID($A366,FIND("/",$A366)+1,20))-1))),"")))</f>
        <v/>
      </c>
      <c r="D366">
        <f>IF(OR($A366="",$B366=""),"",IF(ISNUMBER($A366),MOD($A366,100),IFERROR(VALUE(TRIM(MID(MID($A366,FIND("/",$A366)+1,20),FIND("/",MID($A366,FIND("/",$A366)+1,20))+1,20))),"")))</f>
        <v/>
      </c>
      <c r="E366">
        <f>IF($A366="","",IF(OR($B366="",$C366="",$D366="",$B366&lt;1300,$B366&gt;1500,$C366&lt;1,$C366&gt;12,$D366&lt;1,$D366&gt;31),"نامعتبر",RIGHT("0000"&amp;$B366,4)&amp;"/"&amp;RIGHT("00"&amp;$C366,2)&amp;"/"&amp;RIGHT("00"&amp;$D366,2)))</f>
        <v/>
      </c>
      <c r="F366">
        <f>IF(OR($E366="",$E366="نامعتبر"),"",LEFT($E366,4)&amp;"/"&amp;MID($E366,6,2))</f>
        <v/>
      </c>
      <c r="G366">
        <f>IF(OR($E366="",$E366="نامعتبر",Sync!$X362=""),"",IF(AND(LEFT(UPPER(TRIM(Sync!$X362)),2)="SL",IFERROR(VLOOKUP(Sync!$W362,OpTbl,3,0),"")="فروش"),UPPER(TRIM(Sync!$X362)),""))</f>
        <v/>
      </c>
      <c r="H366">
        <f>IF($G366="","",IF(Sync!$W362="","",Sync!$W362))</f>
        <v/>
      </c>
      <c r="I366">
        <f>IF(OR($G366="",Sync!$Y362=""),"",Sync!$Y362)</f>
        <v/>
      </c>
      <c r="J366">
        <f>IF(OR($G366="",Sync!$Z362=""),"",Sync!$Z362)</f>
        <v/>
      </c>
      <c r="K366">
        <f>IF($G366="",0,IF(Sync!$AA362="",0,Sync!$AA362))</f>
        <v/>
      </c>
      <c r="L366">
        <f>IF($G366="",0,IF(Sync!$AB362="",0,Sync!$AB362))</f>
        <v/>
      </c>
      <c r="M366">
        <f>IF($G366="","",IF($H366="مرجوعی فروش",-1,1)*($K366-$L366*IFERROR(VLOOKUP("P01",ParamTbl,3,0),1.5)))</f>
        <v/>
      </c>
      <c r="N366">
        <f>IF($G366="",0,IF($H366="مرجوعی فروش",-1,1)*IF(Sync!$AC362="",0,Sync!$AC362))</f>
        <v/>
      </c>
      <c r="O366">
        <f>IF(OR($G366="",Sync!$V362=""),"",Sync!$V362)</f>
        <v/>
      </c>
      <c r="P366">
        <f>IF(OR($G366="",Sync!$AD362=""),"",Sync!$AD362)</f>
        <v/>
      </c>
      <c r="Q366">
        <f>IF($G366="","",IF(Sync!$U362="","0000",IF(AND(ISNUMBER(Sync!$U362),Sync!$U362&gt;=0,Sync!$U362&lt;1),RIGHT("00"&amp;HOUR(Sync!$U362),2)&amp;RIGHT("00"&amp;MINUTE(Sync!$U362),2),IFERROR(RIGHT("00"&amp;VALUE(LEFT(Sync!$U362,FIND(":",Sync!$U362)-1)),2)&amp;RIGHT("00"&amp;VALUE(MID(Sync!$U362,FIND(":",Sync!$U362)+1,2)),2),"0000"))))</f>
        <v/>
      </c>
    </row>
    <row r="367">
      <c r="A367">
        <f>IF(Sync!$T363="","",Sync!$T363)</f>
        <v/>
      </c>
      <c r="B367">
        <f>IF($A367="","",IF(ISNUMBER($A367),IF(AND($A367&gt;=10000101,$A367&lt;=99991231),INT($A367/10000),""),IFERROR(VALUE(TRIM(LEFT($A367,FIND("/",$A367)-1))),"")))</f>
        <v/>
      </c>
      <c r="C367">
        <f>IF(OR($A367="",$B367=""),"",IF(ISNUMBER($A367),INT(MOD($A367,10000)/100),IFERROR(VALUE(TRIM(LEFT(MID($A367,FIND("/",$A367)+1,20),FIND("/",MID($A367,FIND("/",$A367)+1,20))-1))),"")))</f>
        <v/>
      </c>
      <c r="D367">
        <f>IF(OR($A367="",$B367=""),"",IF(ISNUMBER($A367),MOD($A367,100),IFERROR(VALUE(TRIM(MID(MID($A367,FIND("/",$A367)+1,20),FIND("/",MID($A367,FIND("/",$A367)+1,20))+1,20))),"")))</f>
        <v/>
      </c>
      <c r="E367">
        <f>IF($A367="","",IF(OR($B367="",$C367="",$D367="",$B367&lt;1300,$B367&gt;1500,$C367&lt;1,$C367&gt;12,$D367&lt;1,$D367&gt;31),"نامعتبر",RIGHT("0000"&amp;$B367,4)&amp;"/"&amp;RIGHT("00"&amp;$C367,2)&amp;"/"&amp;RIGHT("00"&amp;$D367,2)))</f>
        <v/>
      </c>
      <c r="F367">
        <f>IF(OR($E367="",$E367="نامعتبر"),"",LEFT($E367,4)&amp;"/"&amp;MID($E367,6,2))</f>
        <v/>
      </c>
      <c r="G367">
        <f>IF(OR($E367="",$E367="نامعتبر",Sync!$X363=""),"",IF(AND(LEFT(UPPER(TRIM(Sync!$X363)),2)="SL",IFERROR(VLOOKUP(Sync!$W363,OpTbl,3,0),"")="فروش"),UPPER(TRIM(Sync!$X363)),""))</f>
        <v/>
      </c>
      <c r="H367">
        <f>IF($G367="","",IF(Sync!$W363="","",Sync!$W363))</f>
        <v/>
      </c>
      <c r="I367">
        <f>IF(OR($G367="",Sync!$Y363=""),"",Sync!$Y363)</f>
        <v/>
      </c>
      <c r="J367">
        <f>IF(OR($G367="",Sync!$Z363=""),"",Sync!$Z363)</f>
        <v/>
      </c>
      <c r="K367">
        <f>IF($G367="",0,IF(Sync!$AA363="",0,Sync!$AA363))</f>
        <v/>
      </c>
      <c r="L367">
        <f>IF($G367="",0,IF(Sync!$AB363="",0,Sync!$AB363))</f>
        <v/>
      </c>
      <c r="M367">
        <f>IF($G367="","",IF($H367="مرجوعی فروش",-1,1)*($K367-$L367*IFERROR(VLOOKUP("P01",ParamTbl,3,0),1.5)))</f>
        <v/>
      </c>
      <c r="N367">
        <f>IF($G367="",0,IF($H367="مرجوعی فروش",-1,1)*IF(Sync!$AC363="",0,Sync!$AC363))</f>
        <v/>
      </c>
      <c r="O367">
        <f>IF(OR($G367="",Sync!$V363=""),"",Sync!$V363)</f>
        <v/>
      </c>
      <c r="P367">
        <f>IF(OR($G367="",Sync!$AD363=""),"",Sync!$AD363)</f>
        <v/>
      </c>
      <c r="Q367">
        <f>IF($G367="","",IF(Sync!$U363="","0000",IF(AND(ISNUMBER(Sync!$U363),Sync!$U363&gt;=0,Sync!$U363&lt;1),RIGHT("00"&amp;HOUR(Sync!$U363),2)&amp;RIGHT("00"&amp;MINUTE(Sync!$U363),2),IFERROR(RIGHT("00"&amp;VALUE(LEFT(Sync!$U363,FIND(":",Sync!$U363)-1)),2)&amp;RIGHT("00"&amp;VALUE(MID(Sync!$U363,FIND(":",Sync!$U363)+1,2)),2),"0000"))))</f>
        <v/>
      </c>
    </row>
    <row r="368">
      <c r="A368">
        <f>IF(Sync!$T364="","",Sync!$T364)</f>
        <v/>
      </c>
      <c r="B368">
        <f>IF($A368="","",IF(ISNUMBER($A368),IF(AND($A368&gt;=10000101,$A368&lt;=99991231),INT($A368/10000),""),IFERROR(VALUE(TRIM(LEFT($A368,FIND("/",$A368)-1))),"")))</f>
        <v/>
      </c>
      <c r="C368">
        <f>IF(OR($A368="",$B368=""),"",IF(ISNUMBER($A368),INT(MOD($A368,10000)/100),IFERROR(VALUE(TRIM(LEFT(MID($A368,FIND("/",$A368)+1,20),FIND("/",MID($A368,FIND("/",$A368)+1,20))-1))),"")))</f>
        <v/>
      </c>
      <c r="D368">
        <f>IF(OR($A368="",$B368=""),"",IF(ISNUMBER($A368),MOD($A368,100),IFERROR(VALUE(TRIM(MID(MID($A368,FIND("/",$A368)+1,20),FIND("/",MID($A368,FIND("/",$A368)+1,20))+1,20))),"")))</f>
        <v/>
      </c>
      <c r="E368">
        <f>IF($A368="","",IF(OR($B368="",$C368="",$D368="",$B368&lt;1300,$B368&gt;1500,$C368&lt;1,$C368&gt;12,$D368&lt;1,$D368&gt;31),"نامعتبر",RIGHT("0000"&amp;$B368,4)&amp;"/"&amp;RIGHT("00"&amp;$C368,2)&amp;"/"&amp;RIGHT("00"&amp;$D368,2)))</f>
        <v/>
      </c>
      <c r="F368">
        <f>IF(OR($E368="",$E368="نامعتبر"),"",LEFT($E368,4)&amp;"/"&amp;MID($E368,6,2))</f>
        <v/>
      </c>
      <c r="G368">
        <f>IF(OR($E368="",$E368="نامعتبر",Sync!$X364=""),"",IF(AND(LEFT(UPPER(TRIM(Sync!$X364)),2)="SL",IFERROR(VLOOKUP(Sync!$W364,OpTbl,3,0),"")="فروش"),UPPER(TRIM(Sync!$X364)),""))</f>
        <v/>
      </c>
      <c r="H368">
        <f>IF($G368="","",IF(Sync!$W364="","",Sync!$W364))</f>
        <v/>
      </c>
      <c r="I368">
        <f>IF(OR($G368="",Sync!$Y364=""),"",Sync!$Y364)</f>
        <v/>
      </c>
      <c r="J368">
        <f>IF(OR($G368="",Sync!$Z364=""),"",Sync!$Z364)</f>
        <v/>
      </c>
      <c r="K368">
        <f>IF($G368="",0,IF(Sync!$AA364="",0,Sync!$AA364))</f>
        <v/>
      </c>
      <c r="L368">
        <f>IF($G368="",0,IF(Sync!$AB364="",0,Sync!$AB364))</f>
        <v/>
      </c>
      <c r="M368">
        <f>IF($G368="","",IF($H368="مرجوعی فروش",-1,1)*($K368-$L368*IFERROR(VLOOKUP("P01",ParamTbl,3,0),1.5)))</f>
        <v/>
      </c>
      <c r="N368">
        <f>IF($G368="",0,IF($H368="مرجوعی فروش",-1,1)*IF(Sync!$AC364="",0,Sync!$AC364))</f>
        <v/>
      </c>
      <c r="O368">
        <f>IF(OR($G368="",Sync!$V364=""),"",Sync!$V364)</f>
        <v/>
      </c>
      <c r="P368">
        <f>IF(OR($G368="",Sync!$AD364=""),"",Sync!$AD364)</f>
        <v/>
      </c>
      <c r="Q368">
        <f>IF($G368="","",IF(Sync!$U364="","0000",IF(AND(ISNUMBER(Sync!$U364),Sync!$U364&gt;=0,Sync!$U364&lt;1),RIGHT("00"&amp;HOUR(Sync!$U364),2)&amp;RIGHT("00"&amp;MINUTE(Sync!$U364),2),IFERROR(RIGHT("00"&amp;VALUE(LEFT(Sync!$U364,FIND(":",Sync!$U364)-1)),2)&amp;RIGHT("00"&amp;VALUE(MID(Sync!$U364,FIND(":",Sync!$U364)+1,2)),2),"0000"))))</f>
        <v/>
      </c>
    </row>
    <row r="369">
      <c r="A369">
        <f>IF(Sync!$T365="","",Sync!$T365)</f>
        <v/>
      </c>
      <c r="B369">
        <f>IF($A369="","",IF(ISNUMBER($A369),IF(AND($A369&gt;=10000101,$A369&lt;=99991231),INT($A369/10000),""),IFERROR(VALUE(TRIM(LEFT($A369,FIND("/",$A369)-1))),"")))</f>
        <v/>
      </c>
      <c r="C369">
        <f>IF(OR($A369="",$B369=""),"",IF(ISNUMBER($A369),INT(MOD($A369,10000)/100),IFERROR(VALUE(TRIM(LEFT(MID($A369,FIND("/",$A369)+1,20),FIND("/",MID($A369,FIND("/",$A369)+1,20))-1))),"")))</f>
        <v/>
      </c>
      <c r="D369">
        <f>IF(OR($A369="",$B369=""),"",IF(ISNUMBER($A369),MOD($A369,100),IFERROR(VALUE(TRIM(MID(MID($A369,FIND("/",$A369)+1,20),FIND("/",MID($A369,FIND("/",$A369)+1,20))+1,20))),"")))</f>
        <v/>
      </c>
      <c r="E369">
        <f>IF($A369="","",IF(OR($B369="",$C369="",$D369="",$B369&lt;1300,$B369&gt;1500,$C369&lt;1,$C369&gt;12,$D369&lt;1,$D369&gt;31),"نامعتبر",RIGHT("0000"&amp;$B369,4)&amp;"/"&amp;RIGHT("00"&amp;$C369,2)&amp;"/"&amp;RIGHT("00"&amp;$D369,2)))</f>
        <v/>
      </c>
      <c r="F369">
        <f>IF(OR($E369="",$E369="نامعتبر"),"",LEFT($E369,4)&amp;"/"&amp;MID($E369,6,2))</f>
        <v/>
      </c>
      <c r="G369">
        <f>IF(OR($E369="",$E369="نامعتبر",Sync!$X365=""),"",IF(AND(LEFT(UPPER(TRIM(Sync!$X365)),2)="SL",IFERROR(VLOOKUP(Sync!$W365,OpTbl,3,0),"")="فروش"),UPPER(TRIM(Sync!$X365)),""))</f>
        <v/>
      </c>
      <c r="H369">
        <f>IF($G369="","",IF(Sync!$W365="","",Sync!$W365))</f>
        <v/>
      </c>
      <c r="I369">
        <f>IF(OR($G369="",Sync!$Y365=""),"",Sync!$Y365)</f>
        <v/>
      </c>
      <c r="J369">
        <f>IF(OR($G369="",Sync!$Z365=""),"",Sync!$Z365)</f>
        <v/>
      </c>
      <c r="K369">
        <f>IF($G369="",0,IF(Sync!$AA365="",0,Sync!$AA365))</f>
        <v/>
      </c>
      <c r="L369">
        <f>IF($G369="",0,IF(Sync!$AB365="",0,Sync!$AB365))</f>
        <v/>
      </c>
      <c r="M369">
        <f>IF($G369="","",IF($H369="مرجوعی فروش",-1,1)*($K369-$L369*IFERROR(VLOOKUP("P01",ParamTbl,3,0),1.5)))</f>
        <v/>
      </c>
      <c r="N369">
        <f>IF($G369="",0,IF($H369="مرجوعی فروش",-1,1)*IF(Sync!$AC365="",0,Sync!$AC365))</f>
        <v/>
      </c>
      <c r="O369">
        <f>IF(OR($G369="",Sync!$V365=""),"",Sync!$V365)</f>
        <v/>
      </c>
      <c r="P369">
        <f>IF(OR($G369="",Sync!$AD365=""),"",Sync!$AD365)</f>
        <v/>
      </c>
      <c r="Q369">
        <f>IF($G369="","",IF(Sync!$U365="","0000",IF(AND(ISNUMBER(Sync!$U365),Sync!$U365&gt;=0,Sync!$U365&lt;1),RIGHT("00"&amp;HOUR(Sync!$U365),2)&amp;RIGHT("00"&amp;MINUTE(Sync!$U365),2),IFERROR(RIGHT("00"&amp;VALUE(LEFT(Sync!$U365,FIND(":",Sync!$U365)-1)),2)&amp;RIGHT("00"&amp;VALUE(MID(Sync!$U365,FIND(":",Sync!$U365)+1,2)),2),"0000"))))</f>
        <v/>
      </c>
    </row>
    <row r="370">
      <c r="A370">
        <f>IF(Sync!$T366="","",Sync!$T366)</f>
        <v/>
      </c>
      <c r="B370">
        <f>IF($A370="","",IF(ISNUMBER($A370),IF(AND($A370&gt;=10000101,$A370&lt;=99991231),INT($A370/10000),""),IFERROR(VALUE(TRIM(LEFT($A370,FIND("/",$A370)-1))),"")))</f>
        <v/>
      </c>
      <c r="C370">
        <f>IF(OR($A370="",$B370=""),"",IF(ISNUMBER($A370),INT(MOD($A370,10000)/100),IFERROR(VALUE(TRIM(LEFT(MID($A370,FIND("/",$A370)+1,20),FIND("/",MID($A370,FIND("/",$A370)+1,20))-1))),"")))</f>
        <v/>
      </c>
      <c r="D370">
        <f>IF(OR($A370="",$B370=""),"",IF(ISNUMBER($A370),MOD($A370,100),IFERROR(VALUE(TRIM(MID(MID($A370,FIND("/",$A370)+1,20),FIND("/",MID($A370,FIND("/",$A370)+1,20))+1,20))),"")))</f>
        <v/>
      </c>
      <c r="E370">
        <f>IF($A370="","",IF(OR($B370="",$C370="",$D370="",$B370&lt;1300,$B370&gt;1500,$C370&lt;1,$C370&gt;12,$D370&lt;1,$D370&gt;31),"نامعتبر",RIGHT("0000"&amp;$B370,4)&amp;"/"&amp;RIGHT("00"&amp;$C370,2)&amp;"/"&amp;RIGHT("00"&amp;$D370,2)))</f>
        <v/>
      </c>
      <c r="F370">
        <f>IF(OR($E370="",$E370="نامعتبر"),"",LEFT($E370,4)&amp;"/"&amp;MID($E370,6,2))</f>
        <v/>
      </c>
      <c r="G370">
        <f>IF(OR($E370="",$E370="نامعتبر",Sync!$X366=""),"",IF(AND(LEFT(UPPER(TRIM(Sync!$X366)),2)="SL",IFERROR(VLOOKUP(Sync!$W366,OpTbl,3,0),"")="فروش"),UPPER(TRIM(Sync!$X366)),""))</f>
        <v/>
      </c>
      <c r="H370">
        <f>IF($G370="","",IF(Sync!$W366="","",Sync!$W366))</f>
        <v/>
      </c>
      <c r="I370">
        <f>IF(OR($G370="",Sync!$Y366=""),"",Sync!$Y366)</f>
        <v/>
      </c>
      <c r="J370">
        <f>IF(OR($G370="",Sync!$Z366=""),"",Sync!$Z366)</f>
        <v/>
      </c>
      <c r="K370">
        <f>IF($G370="",0,IF(Sync!$AA366="",0,Sync!$AA366))</f>
        <v/>
      </c>
      <c r="L370">
        <f>IF($G370="",0,IF(Sync!$AB366="",0,Sync!$AB366))</f>
        <v/>
      </c>
      <c r="M370">
        <f>IF($G370="","",IF($H370="مرجوعی فروش",-1,1)*($K370-$L370*IFERROR(VLOOKUP("P01",ParamTbl,3,0),1.5)))</f>
        <v/>
      </c>
      <c r="N370">
        <f>IF($G370="",0,IF($H370="مرجوعی فروش",-1,1)*IF(Sync!$AC366="",0,Sync!$AC366))</f>
        <v/>
      </c>
      <c r="O370">
        <f>IF(OR($G370="",Sync!$V366=""),"",Sync!$V366)</f>
        <v/>
      </c>
      <c r="P370">
        <f>IF(OR($G370="",Sync!$AD366=""),"",Sync!$AD366)</f>
        <v/>
      </c>
      <c r="Q370">
        <f>IF($G370="","",IF(Sync!$U366="","0000",IF(AND(ISNUMBER(Sync!$U366),Sync!$U366&gt;=0,Sync!$U366&lt;1),RIGHT("00"&amp;HOUR(Sync!$U366),2)&amp;RIGHT("00"&amp;MINUTE(Sync!$U366),2),IFERROR(RIGHT("00"&amp;VALUE(LEFT(Sync!$U366,FIND(":",Sync!$U366)-1)),2)&amp;RIGHT("00"&amp;VALUE(MID(Sync!$U366,FIND(":",Sync!$U366)+1,2)),2),"0000"))))</f>
        <v/>
      </c>
    </row>
    <row r="371">
      <c r="A371">
        <f>IF(Sync!$T367="","",Sync!$T367)</f>
        <v/>
      </c>
      <c r="B371">
        <f>IF($A371="","",IF(ISNUMBER($A371),IF(AND($A371&gt;=10000101,$A371&lt;=99991231),INT($A371/10000),""),IFERROR(VALUE(TRIM(LEFT($A371,FIND("/",$A371)-1))),"")))</f>
        <v/>
      </c>
      <c r="C371">
        <f>IF(OR($A371="",$B371=""),"",IF(ISNUMBER($A371),INT(MOD($A371,10000)/100),IFERROR(VALUE(TRIM(LEFT(MID($A371,FIND("/",$A371)+1,20),FIND("/",MID($A371,FIND("/",$A371)+1,20))-1))),"")))</f>
        <v/>
      </c>
      <c r="D371">
        <f>IF(OR($A371="",$B371=""),"",IF(ISNUMBER($A371),MOD($A371,100),IFERROR(VALUE(TRIM(MID(MID($A371,FIND("/",$A371)+1,20),FIND("/",MID($A371,FIND("/",$A371)+1,20))+1,20))),"")))</f>
        <v/>
      </c>
      <c r="E371">
        <f>IF($A371="","",IF(OR($B371="",$C371="",$D371="",$B371&lt;1300,$B371&gt;1500,$C371&lt;1,$C371&gt;12,$D371&lt;1,$D371&gt;31),"نامعتبر",RIGHT("0000"&amp;$B371,4)&amp;"/"&amp;RIGHT("00"&amp;$C371,2)&amp;"/"&amp;RIGHT("00"&amp;$D371,2)))</f>
        <v/>
      </c>
      <c r="F371">
        <f>IF(OR($E371="",$E371="نامعتبر"),"",LEFT($E371,4)&amp;"/"&amp;MID($E371,6,2))</f>
        <v/>
      </c>
      <c r="G371">
        <f>IF(OR($E371="",$E371="نامعتبر",Sync!$X367=""),"",IF(AND(LEFT(UPPER(TRIM(Sync!$X367)),2)="SL",IFERROR(VLOOKUP(Sync!$W367,OpTbl,3,0),"")="فروش"),UPPER(TRIM(Sync!$X367)),""))</f>
        <v/>
      </c>
      <c r="H371">
        <f>IF($G371="","",IF(Sync!$W367="","",Sync!$W367))</f>
        <v/>
      </c>
      <c r="I371">
        <f>IF(OR($G371="",Sync!$Y367=""),"",Sync!$Y367)</f>
        <v/>
      </c>
      <c r="J371">
        <f>IF(OR($G371="",Sync!$Z367=""),"",Sync!$Z367)</f>
        <v/>
      </c>
      <c r="K371">
        <f>IF($G371="",0,IF(Sync!$AA367="",0,Sync!$AA367))</f>
        <v/>
      </c>
      <c r="L371">
        <f>IF($G371="",0,IF(Sync!$AB367="",0,Sync!$AB367))</f>
        <v/>
      </c>
      <c r="M371">
        <f>IF($G371="","",IF($H371="مرجوعی فروش",-1,1)*($K371-$L371*IFERROR(VLOOKUP("P01",ParamTbl,3,0),1.5)))</f>
        <v/>
      </c>
      <c r="N371">
        <f>IF($G371="",0,IF($H371="مرجوعی فروش",-1,1)*IF(Sync!$AC367="",0,Sync!$AC367))</f>
        <v/>
      </c>
      <c r="O371">
        <f>IF(OR($G371="",Sync!$V367=""),"",Sync!$V367)</f>
        <v/>
      </c>
      <c r="P371">
        <f>IF(OR($G371="",Sync!$AD367=""),"",Sync!$AD367)</f>
        <v/>
      </c>
      <c r="Q371">
        <f>IF($G371="","",IF(Sync!$U367="","0000",IF(AND(ISNUMBER(Sync!$U367),Sync!$U367&gt;=0,Sync!$U367&lt;1),RIGHT("00"&amp;HOUR(Sync!$U367),2)&amp;RIGHT("00"&amp;MINUTE(Sync!$U367),2),IFERROR(RIGHT("00"&amp;VALUE(LEFT(Sync!$U367,FIND(":",Sync!$U367)-1)),2)&amp;RIGHT("00"&amp;VALUE(MID(Sync!$U367,FIND(":",Sync!$U367)+1,2)),2),"0000"))))</f>
        <v/>
      </c>
    </row>
    <row r="372">
      <c r="A372">
        <f>IF(Sync!$T368="","",Sync!$T368)</f>
        <v/>
      </c>
      <c r="B372">
        <f>IF($A372="","",IF(ISNUMBER($A372),IF(AND($A372&gt;=10000101,$A372&lt;=99991231),INT($A372/10000),""),IFERROR(VALUE(TRIM(LEFT($A372,FIND("/",$A372)-1))),"")))</f>
        <v/>
      </c>
      <c r="C372">
        <f>IF(OR($A372="",$B372=""),"",IF(ISNUMBER($A372),INT(MOD($A372,10000)/100),IFERROR(VALUE(TRIM(LEFT(MID($A372,FIND("/",$A372)+1,20),FIND("/",MID($A372,FIND("/",$A372)+1,20))-1))),"")))</f>
        <v/>
      </c>
      <c r="D372">
        <f>IF(OR($A372="",$B372=""),"",IF(ISNUMBER($A372),MOD($A372,100),IFERROR(VALUE(TRIM(MID(MID($A372,FIND("/",$A372)+1,20),FIND("/",MID($A372,FIND("/",$A372)+1,20))+1,20))),"")))</f>
        <v/>
      </c>
      <c r="E372">
        <f>IF($A372="","",IF(OR($B372="",$C372="",$D372="",$B372&lt;1300,$B372&gt;1500,$C372&lt;1,$C372&gt;12,$D372&lt;1,$D372&gt;31),"نامعتبر",RIGHT("0000"&amp;$B372,4)&amp;"/"&amp;RIGHT("00"&amp;$C372,2)&amp;"/"&amp;RIGHT("00"&amp;$D372,2)))</f>
        <v/>
      </c>
      <c r="F372">
        <f>IF(OR($E372="",$E372="نامعتبر"),"",LEFT($E372,4)&amp;"/"&amp;MID($E372,6,2))</f>
        <v/>
      </c>
      <c r="G372">
        <f>IF(OR($E372="",$E372="نامعتبر",Sync!$X368=""),"",IF(AND(LEFT(UPPER(TRIM(Sync!$X368)),2)="SL",IFERROR(VLOOKUP(Sync!$W368,OpTbl,3,0),"")="فروش"),UPPER(TRIM(Sync!$X368)),""))</f>
        <v/>
      </c>
      <c r="H372">
        <f>IF($G372="","",IF(Sync!$W368="","",Sync!$W368))</f>
        <v/>
      </c>
      <c r="I372">
        <f>IF(OR($G372="",Sync!$Y368=""),"",Sync!$Y368)</f>
        <v/>
      </c>
      <c r="J372">
        <f>IF(OR($G372="",Sync!$Z368=""),"",Sync!$Z368)</f>
        <v/>
      </c>
      <c r="K372">
        <f>IF($G372="",0,IF(Sync!$AA368="",0,Sync!$AA368))</f>
        <v/>
      </c>
      <c r="L372">
        <f>IF($G372="",0,IF(Sync!$AB368="",0,Sync!$AB368))</f>
        <v/>
      </c>
      <c r="M372">
        <f>IF($G372="","",IF($H372="مرجوعی فروش",-1,1)*($K372-$L372*IFERROR(VLOOKUP("P01",ParamTbl,3,0),1.5)))</f>
        <v/>
      </c>
      <c r="N372">
        <f>IF($G372="",0,IF($H372="مرجوعی فروش",-1,1)*IF(Sync!$AC368="",0,Sync!$AC368))</f>
        <v/>
      </c>
      <c r="O372">
        <f>IF(OR($G372="",Sync!$V368=""),"",Sync!$V368)</f>
        <v/>
      </c>
      <c r="P372">
        <f>IF(OR($G372="",Sync!$AD368=""),"",Sync!$AD368)</f>
        <v/>
      </c>
      <c r="Q372">
        <f>IF($G372="","",IF(Sync!$U368="","0000",IF(AND(ISNUMBER(Sync!$U368),Sync!$U368&gt;=0,Sync!$U368&lt;1),RIGHT("00"&amp;HOUR(Sync!$U368),2)&amp;RIGHT("00"&amp;MINUTE(Sync!$U368),2),IFERROR(RIGHT("00"&amp;VALUE(LEFT(Sync!$U368,FIND(":",Sync!$U368)-1)),2)&amp;RIGHT("00"&amp;VALUE(MID(Sync!$U368,FIND(":",Sync!$U368)+1,2)),2),"0000"))))</f>
        <v/>
      </c>
    </row>
    <row r="373">
      <c r="A373">
        <f>IF(Sync!$T369="","",Sync!$T369)</f>
        <v/>
      </c>
      <c r="B373">
        <f>IF($A373="","",IF(ISNUMBER($A373),IF(AND($A373&gt;=10000101,$A373&lt;=99991231),INT($A373/10000),""),IFERROR(VALUE(TRIM(LEFT($A373,FIND("/",$A373)-1))),"")))</f>
        <v/>
      </c>
      <c r="C373">
        <f>IF(OR($A373="",$B373=""),"",IF(ISNUMBER($A373),INT(MOD($A373,10000)/100),IFERROR(VALUE(TRIM(LEFT(MID($A373,FIND("/",$A373)+1,20),FIND("/",MID($A373,FIND("/",$A373)+1,20))-1))),"")))</f>
        <v/>
      </c>
      <c r="D373">
        <f>IF(OR($A373="",$B373=""),"",IF(ISNUMBER($A373),MOD($A373,100),IFERROR(VALUE(TRIM(MID(MID($A373,FIND("/",$A373)+1,20),FIND("/",MID($A373,FIND("/",$A373)+1,20))+1,20))),"")))</f>
        <v/>
      </c>
      <c r="E373">
        <f>IF($A373="","",IF(OR($B373="",$C373="",$D373="",$B373&lt;1300,$B373&gt;1500,$C373&lt;1,$C373&gt;12,$D373&lt;1,$D373&gt;31),"نامعتبر",RIGHT("0000"&amp;$B373,4)&amp;"/"&amp;RIGHT("00"&amp;$C373,2)&amp;"/"&amp;RIGHT("00"&amp;$D373,2)))</f>
        <v/>
      </c>
      <c r="F373">
        <f>IF(OR($E373="",$E373="نامعتبر"),"",LEFT($E373,4)&amp;"/"&amp;MID($E373,6,2))</f>
        <v/>
      </c>
      <c r="G373">
        <f>IF(OR($E373="",$E373="نامعتبر",Sync!$X369=""),"",IF(AND(LEFT(UPPER(TRIM(Sync!$X369)),2)="SL",IFERROR(VLOOKUP(Sync!$W369,OpTbl,3,0),"")="فروش"),UPPER(TRIM(Sync!$X369)),""))</f>
        <v/>
      </c>
      <c r="H373">
        <f>IF($G373="","",IF(Sync!$W369="","",Sync!$W369))</f>
        <v/>
      </c>
      <c r="I373">
        <f>IF(OR($G373="",Sync!$Y369=""),"",Sync!$Y369)</f>
        <v/>
      </c>
      <c r="J373">
        <f>IF(OR($G373="",Sync!$Z369=""),"",Sync!$Z369)</f>
        <v/>
      </c>
      <c r="K373">
        <f>IF($G373="",0,IF(Sync!$AA369="",0,Sync!$AA369))</f>
        <v/>
      </c>
      <c r="L373">
        <f>IF($G373="",0,IF(Sync!$AB369="",0,Sync!$AB369))</f>
        <v/>
      </c>
      <c r="M373">
        <f>IF($G373="","",IF($H373="مرجوعی فروش",-1,1)*($K373-$L373*IFERROR(VLOOKUP("P01",ParamTbl,3,0),1.5)))</f>
        <v/>
      </c>
      <c r="N373">
        <f>IF($G373="",0,IF($H373="مرجوعی فروش",-1,1)*IF(Sync!$AC369="",0,Sync!$AC369))</f>
        <v/>
      </c>
      <c r="O373">
        <f>IF(OR($G373="",Sync!$V369=""),"",Sync!$V369)</f>
        <v/>
      </c>
      <c r="P373">
        <f>IF(OR($G373="",Sync!$AD369=""),"",Sync!$AD369)</f>
        <v/>
      </c>
      <c r="Q373">
        <f>IF($G373="","",IF(Sync!$U369="","0000",IF(AND(ISNUMBER(Sync!$U369),Sync!$U369&gt;=0,Sync!$U369&lt;1),RIGHT("00"&amp;HOUR(Sync!$U369),2)&amp;RIGHT("00"&amp;MINUTE(Sync!$U369),2),IFERROR(RIGHT("00"&amp;VALUE(LEFT(Sync!$U369,FIND(":",Sync!$U369)-1)),2)&amp;RIGHT("00"&amp;VALUE(MID(Sync!$U369,FIND(":",Sync!$U369)+1,2)),2),"0000"))))</f>
        <v/>
      </c>
    </row>
    <row r="374">
      <c r="A374">
        <f>IF(Sync!$T370="","",Sync!$T370)</f>
        <v/>
      </c>
      <c r="B374">
        <f>IF($A374="","",IF(ISNUMBER($A374),IF(AND($A374&gt;=10000101,$A374&lt;=99991231),INT($A374/10000),""),IFERROR(VALUE(TRIM(LEFT($A374,FIND("/",$A374)-1))),"")))</f>
        <v/>
      </c>
      <c r="C374">
        <f>IF(OR($A374="",$B374=""),"",IF(ISNUMBER($A374),INT(MOD($A374,10000)/100),IFERROR(VALUE(TRIM(LEFT(MID($A374,FIND("/",$A374)+1,20),FIND("/",MID($A374,FIND("/",$A374)+1,20))-1))),"")))</f>
        <v/>
      </c>
      <c r="D374">
        <f>IF(OR($A374="",$B374=""),"",IF(ISNUMBER($A374),MOD($A374,100),IFERROR(VALUE(TRIM(MID(MID($A374,FIND("/",$A374)+1,20),FIND("/",MID($A374,FIND("/",$A374)+1,20))+1,20))),"")))</f>
        <v/>
      </c>
      <c r="E374">
        <f>IF($A374="","",IF(OR($B374="",$C374="",$D374="",$B374&lt;1300,$B374&gt;1500,$C374&lt;1,$C374&gt;12,$D374&lt;1,$D374&gt;31),"نامعتبر",RIGHT("0000"&amp;$B374,4)&amp;"/"&amp;RIGHT("00"&amp;$C374,2)&amp;"/"&amp;RIGHT("00"&amp;$D374,2)))</f>
        <v/>
      </c>
      <c r="F374">
        <f>IF(OR($E374="",$E374="نامعتبر"),"",LEFT($E374,4)&amp;"/"&amp;MID($E374,6,2))</f>
        <v/>
      </c>
      <c r="G374">
        <f>IF(OR($E374="",$E374="نامعتبر",Sync!$X370=""),"",IF(AND(LEFT(UPPER(TRIM(Sync!$X370)),2)="SL",IFERROR(VLOOKUP(Sync!$W370,OpTbl,3,0),"")="فروش"),UPPER(TRIM(Sync!$X370)),""))</f>
        <v/>
      </c>
      <c r="H374">
        <f>IF($G374="","",IF(Sync!$W370="","",Sync!$W370))</f>
        <v/>
      </c>
      <c r="I374">
        <f>IF(OR($G374="",Sync!$Y370=""),"",Sync!$Y370)</f>
        <v/>
      </c>
      <c r="J374">
        <f>IF(OR($G374="",Sync!$Z370=""),"",Sync!$Z370)</f>
        <v/>
      </c>
      <c r="K374">
        <f>IF($G374="",0,IF(Sync!$AA370="",0,Sync!$AA370))</f>
        <v/>
      </c>
      <c r="L374">
        <f>IF($G374="",0,IF(Sync!$AB370="",0,Sync!$AB370))</f>
        <v/>
      </c>
      <c r="M374">
        <f>IF($G374="","",IF($H374="مرجوعی فروش",-1,1)*($K374-$L374*IFERROR(VLOOKUP("P01",ParamTbl,3,0),1.5)))</f>
        <v/>
      </c>
      <c r="N374">
        <f>IF($G374="",0,IF($H374="مرجوعی فروش",-1,1)*IF(Sync!$AC370="",0,Sync!$AC370))</f>
        <v/>
      </c>
      <c r="O374">
        <f>IF(OR($G374="",Sync!$V370=""),"",Sync!$V370)</f>
        <v/>
      </c>
      <c r="P374">
        <f>IF(OR($G374="",Sync!$AD370=""),"",Sync!$AD370)</f>
        <v/>
      </c>
      <c r="Q374">
        <f>IF($G374="","",IF(Sync!$U370="","0000",IF(AND(ISNUMBER(Sync!$U370),Sync!$U370&gt;=0,Sync!$U370&lt;1),RIGHT("00"&amp;HOUR(Sync!$U370),2)&amp;RIGHT("00"&amp;MINUTE(Sync!$U370),2),IFERROR(RIGHT("00"&amp;VALUE(LEFT(Sync!$U370,FIND(":",Sync!$U370)-1)),2)&amp;RIGHT("00"&amp;VALUE(MID(Sync!$U370,FIND(":",Sync!$U370)+1,2)),2),"0000"))))</f>
        <v/>
      </c>
    </row>
    <row r="375">
      <c r="A375">
        <f>IF(Sync!$T371="","",Sync!$T371)</f>
        <v/>
      </c>
      <c r="B375">
        <f>IF($A375="","",IF(ISNUMBER($A375),IF(AND($A375&gt;=10000101,$A375&lt;=99991231),INT($A375/10000),""),IFERROR(VALUE(TRIM(LEFT($A375,FIND("/",$A375)-1))),"")))</f>
        <v/>
      </c>
      <c r="C375">
        <f>IF(OR($A375="",$B375=""),"",IF(ISNUMBER($A375),INT(MOD($A375,10000)/100),IFERROR(VALUE(TRIM(LEFT(MID($A375,FIND("/",$A375)+1,20),FIND("/",MID($A375,FIND("/",$A375)+1,20))-1))),"")))</f>
        <v/>
      </c>
      <c r="D375">
        <f>IF(OR($A375="",$B375=""),"",IF(ISNUMBER($A375),MOD($A375,100),IFERROR(VALUE(TRIM(MID(MID($A375,FIND("/",$A375)+1,20),FIND("/",MID($A375,FIND("/",$A375)+1,20))+1,20))),"")))</f>
        <v/>
      </c>
      <c r="E375">
        <f>IF($A375="","",IF(OR($B375="",$C375="",$D375="",$B375&lt;1300,$B375&gt;1500,$C375&lt;1,$C375&gt;12,$D375&lt;1,$D375&gt;31),"نامعتبر",RIGHT("0000"&amp;$B375,4)&amp;"/"&amp;RIGHT("00"&amp;$C375,2)&amp;"/"&amp;RIGHT("00"&amp;$D375,2)))</f>
        <v/>
      </c>
      <c r="F375">
        <f>IF(OR($E375="",$E375="نامعتبر"),"",LEFT($E375,4)&amp;"/"&amp;MID($E375,6,2))</f>
        <v/>
      </c>
      <c r="G375">
        <f>IF(OR($E375="",$E375="نامعتبر",Sync!$X371=""),"",IF(AND(LEFT(UPPER(TRIM(Sync!$X371)),2)="SL",IFERROR(VLOOKUP(Sync!$W371,OpTbl,3,0),"")="فروش"),UPPER(TRIM(Sync!$X371)),""))</f>
        <v/>
      </c>
      <c r="H375">
        <f>IF($G375="","",IF(Sync!$W371="","",Sync!$W371))</f>
        <v/>
      </c>
      <c r="I375">
        <f>IF(OR($G375="",Sync!$Y371=""),"",Sync!$Y371)</f>
        <v/>
      </c>
      <c r="J375">
        <f>IF(OR($G375="",Sync!$Z371=""),"",Sync!$Z371)</f>
        <v/>
      </c>
      <c r="K375">
        <f>IF($G375="",0,IF(Sync!$AA371="",0,Sync!$AA371))</f>
        <v/>
      </c>
      <c r="L375">
        <f>IF($G375="",0,IF(Sync!$AB371="",0,Sync!$AB371))</f>
        <v/>
      </c>
      <c r="M375">
        <f>IF($G375="","",IF($H375="مرجوعی فروش",-1,1)*($K375-$L375*IFERROR(VLOOKUP("P01",ParamTbl,3,0),1.5)))</f>
        <v/>
      </c>
      <c r="N375">
        <f>IF($G375="",0,IF($H375="مرجوعی فروش",-1,1)*IF(Sync!$AC371="",0,Sync!$AC371))</f>
        <v/>
      </c>
      <c r="O375">
        <f>IF(OR($G375="",Sync!$V371=""),"",Sync!$V371)</f>
        <v/>
      </c>
      <c r="P375">
        <f>IF(OR($G375="",Sync!$AD371=""),"",Sync!$AD371)</f>
        <v/>
      </c>
      <c r="Q375">
        <f>IF($G375="","",IF(Sync!$U371="","0000",IF(AND(ISNUMBER(Sync!$U371),Sync!$U371&gt;=0,Sync!$U371&lt;1),RIGHT("00"&amp;HOUR(Sync!$U371),2)&amp;RIGHT("00"&amp;MINUTE(Sync!$U371),2),IFERROR(RIGHT("00"&amp;VALUE(LEFT(Sync!$U371,FIND(":",Sync!$U371)-1)),2)&amp;RIGHT("00"&amp;VALUE(MID(Sync!$U371,FIND(":",Sync!$U371)+1,2)),2),"0000"))))</f>
        <v/>
      </c>
    </row>
    <row r="376">
      <c r="A376">
        <f>IF(Sync!$T372="","",Sync!$T372)</f>
        <v/>
      </c>
      <c r="B376">
        <f>IF($A376="","",IF(ISNUMBER($A376),IF(AND($A376&gt;=10000101,$A376&lt;=99991231),INT($A376/10000),""),IFERROR(VALUE(TRIM(LEFT($A376,FIND("/",$A376)-1))),"")))</f>
        <v/>
      </c>
      <c r="C376">
        <f>IF(OR($A376="",$B376=""),"",IF(ISNUMBER($A376),INT(MOD($A376,10000)/100),IFERROR(VALUE(TRIM(LEFT(MID($A376,FIND("/",$A376)+1,20),FIND("/",MID($A376,FIND("/",$A376)+1,20))-1))),"")))</f>
        <v/>
      </c>
      <c r="D376">
        <f>IF(OR($A376="",$B376=""),"",IF(ISNUMBER($A376),MOD($A376,100),IFERROR(VALUE(TRIM(MID(MID($A376,FIND("/",$A376)+1,20),FIND("/",MID($A376,FIND("/",$A376)+1,20))+1,20))),"")))</f>
        <v/>
      </c>
      <c r="E376">
        <f>IF($A376="","",IF(OR($B376="",$C376="",$D376="",$B376&lt;1300,$B376&gt;1500,$C376&lt;1,$C376&gt;12,$D376&lt;1,$D376&gt;31),"نامعتبر",RIGHT("0000"&amp;$B376,4)&amp;"/"&amp;RIGHT("00"&amp;$C376,2)&amp;"/"&amp;RIGHT("00"&amp;$D376,2)))</f>
        <v/>
      </c>
      <c r="F376">
        <f>IF(OR($E376="",$E376="نامعتبر"),"",LEFT($E376,4)&amp;"/"&amp;MID($E376,6,2))</f>
        <v/>
      </c>
      <c r="G376">
        <f>IF(OR($E376="",$E376="نامعتبر",Sync!$X372=""),"",IF(AND(LEFT(UPPER(TRIM(Sync!$X372)),2)="SL",IFERROR(VLOOKUP(Sync!$W372,OpTbl,3,0),"")="فروش"),UPPER(TRIM(Sync!$X372)),""))</f>
        <v/>
      </c>
      <c r="H376">
        <f>IF($G376="","",IF(Sync!$W372="","",Sync!$W372))</f>
        <v/>
      </c>
      <c r="I376">
        <f>IF(OR($G376="",Sync!$Y372=""),"",Sync!$Y372)</f>
        <v/>
      </c>
      <c r="J376">
        <f>IF(OR($G376="",Sync!$Z372=""),"",Sync!$Z372)</f>
        <v/>
      </c>
      <c r="K376">
        <f>IF($G376="",0,IF(Sync!$AA372="",0,Sync!$AA372))</f>
        <v/>
      </c>
      <c r="L376">
        <f>IF($G376="",0,IF(Sync!$AB372="",0,Sync!$AB372))</f>
        <v/>
      </c>
      <c r="M376">
        <f>IF($G376="","",IF($H376="مرجوعی فروش",-1,1)*($K376-$L376*IFERROR(VLOOKUP("P01",ParamTbl,3,0),1.5)))</f>
        <v/>
      </c>
      <c r="N376">
        <f>IF($G376="",0,IF($H376="مرجوعی فروش",-1,1)*IF(Sync!$AC372="",0,Sync!$AC372))</f>
        <v/>
      </c>
      <c r="O376">
        <f>IF(OR($G376="",Sync!$V372=""),"",Sync!$V372)</f>
        <v/>
      </c>
      <c r="P376">
        <f>IF(OR($G376="",Sync!$AD372=""),"",Sync!$AD372)</f>
        <v/>
      </c>
      <c r="Q376">
        <f>IF($G376="","",IF(Sync!$U372="","0000",IF(AND(ISNUMBER(Sync!$U372),Sync!$U372&gt;=0,Sync!$U372&lt;1),RIGHT("00"&amp;HOUR(Sync!$U372),2)&amp;RIGHT("00"&amp;MINUTE(Sync!$U372),2),IFERROR(RIGHT("00"&amp;VALUE(LEFT(Sync!$U372,FIND(":",Sync!$U372)-1)),2)&amp;RIGHT("00"&amp;VALUE(MID(Sync!$U372,FIND(":",Sync!$U372)+1,2)),2),"0000"))))</f>
        <v/>
      </c>
    </row>
    <row r="377">
      <c r="A377">
        <f>IF(Sync!$T373="","",Sync!$T373)</f>
        <v/>
      </c>
      <c r="B377">
        <f>IF($A377="","",IF(ISNUMBER($A377),IF(AND($A377&gt;=10000101,$A377&lt;=99991231),INT($A377/10000),""),IFERROR(VALUE(TRIM(LEFT($A377,FIND("/",$A377)-1))),"")))</f>
        <v/>
      </c>
      <c r="C377">
        <f>IF(OR($A377="",$B377=""),"",IF(ISNUMBER($A377),INT(MOD($A377,10000)/100),IFERROR(VALUE(TRIM(LEFT(MID($A377,FIND("/",$A377)+1,20),FIND("/",MID($A377,FIND("/",$A377)+1,20))-1))),"")))</f>
        <v/>
      </c>
      <c r="D377">
        <f>IF(OR($A377="",$B377=""),"",IF(ISNUMBER($A377),MOD($A377,100),IFERROR(VALUE(TRIM(MID(MID($A377,FIND("/",$A377)+1,20),FIND("/",MID($A377,FIND("/",$A377)+1,20))+1,20))),"")))</f>
        <v/>
      </c>
      <c r="E377">
        <f>IF($A377="","",IF(OR($B377="",$C377="",$D377="",$B377&lt;1300,$B377&gt;1500,$C377&lt;1,$C377&gt;12,$D377&lt;1,$D377&gt;31),"نامعتبر",RIGHT("0000"&amp;$B377,4)&amp;"/"&amp;RIGHT("00"&amp;$C377,2)&amp;"/"&amp;RIGHT("00"&amp;$D377,2)))</f>
        <v/>
      </c>
      <c r="F377">
        <f>IF(OR($E377="",$E377="نامعتبر"),"",LEFT($E377,4)&amp;"/"&amp;MID($E377,6,2))</f>
        <v/>
      </c>
      <c r="G377">
        <f>IF(OR($E377="",$E377="نامعتبر",Sync!$X373=""),"",IF(AND(LEFT(UPPER(TRIM(Sync!$X373)),2)="SL",IFERROR(VLOOKUP(Sync!$W373,OpTbl,3,0),"")="فروش"),UPPER(TRIM(Sync!$X373)),""))</f>
        <v/>
      </c>
      <c r="H377">
        <f>IF($G377="","",IF(Sync!$W373="","",Sync!$W373))</f>
        <v/>
      </c>
      <c r="I377">
        <f>IF(OR($G377="",Sync!$Y373=""),"",Sync!$Y373)</f>
        <v/>
      </c>
      <c r="J377">
        <f>IF(OR($G377="",Sync!$Z373=""),"",Sync!$Z373)</f>
        <v/>
      </c>
      <c r="K377">
        <f>IF($G377="",0,IF(Sync!$AA373="",0,Sync!$AA373))</f>
        <v/>
      </c>
      <c r="L377">
        <f>IF($G377="",0,IF(Sync!$AB373="",0,Sync!$AB373))</f>
        <v/>
      </c>
      <c r="M377">
        <f>IF($G377="","",IF($H377="مرجوعی فروش",-1,1)*($K377-$L377*IFERROR(VLOOKUP("P01",ParamTbl,3,0),1.5)))</f>
        <v/>
      </c>
      <c r="N377">
        <f>IF($G377="",0,IF($H377="مرجوعی فروش",-1,1)*IF(Sync!$AC373="",0,Sync!$AC373))</f>
        <v/>
      </c>
      <c r="O377">
        <f>IF(OR($G377="",Sync!$V373=""),"",Sync!$V373)</f>
        <v/>
      </c>
      <c r="P377">
        <f>IF(OR($G377="",Sync!$AD373=""),"",Sync!$AD373)</f>
        <v/>
      </c>
      <c r="Q377">
        <f>IF($G377="","",IF(Sync!$U373="","0000",IF(AND(ISNUMBER(Sync!$U373),Sync!$U373&gt;=0,Sync!$U373&lt;1),RIGHT("00"&amp;HOUR(Sync!$U373),2)&amp;RIGHT("00"&amp;MINUTE(Sync!$U373),2),IFERROR(RIGHT("00"&amp;VALUE(LEFT(Sync!$U373,FIND(":",Sync!$U373)-1)),2)&amp;RIGHT("00"&amp;VALUE(MID(Sync!$U373,FIND(":",Sync!$U373)+1,2)),2),"0000"))))</f>
        <v/>
      </c>
    </row>
    <row r="378">
      <c r="A378">
        <f>IF(Sync!$T374="","",Sync!$T374)</f>
        <v/>
      </c>
      <c r="B378">
        <f>IF($A378="","",IF(ISNUMBER($A378),IF(AND($A378&gt;=10000101,$A378&lt;=99991231),INT($A378/10000),""),IFERROR(VALUE(TRIM(LEFT($A378,FIND("/",$A378)-1))),"")))</f>
        <v/>
      </c>
      <c r="C378">
        <f>IF(OR($A378="",$B378=""),"",IF(ISNUMBER($A378),INT(MOD($A378,10000)/100),IFERROR(VALUE(TRIM(LEFT(MID($A378,FIND("/",$A378)+1,20),FIND("/",MID($A378,FIND("/",$A378)+1,20))-1))),"")))</f>
        <v/>
      </c>
      <c r="D378">
        <f>IF(OR($A378="",$B378=""),"",IF(ISNUMBER($A378),MOD($A378,100),IFERROR(VALUE(TRIM(MID(MID($A378,FIND("/",$A378)+1,20),FIND("/",MID($A378,FIND("/",$A378)+1,20))+1,20))),"")))</f>
        <v/>
      </c>
      <c r="E378">
        <f>IF($A378="","",IF(OR($B378="",$C378="",$D378="",$B378&lt;1300,$B378&gt;1500,$C378&lt;1,$C378&gt;12,$D378&lt;1,$D378&gt;31),"نامعتبر",RIGHT("0000"&amp;$B378,4)&amp;"/"&amp;RIGHT("00"&amp;$C378,2)&amp;"/"&amp;RIGHT("00"&amp;$D378,2)))</f>
        <v/>
      </c>
      <c r="F378">
        <f>IF(OR($E378="",$E378="نامعتبر"),"",LEFT($E378,4)&amp;"/"&amp;MID($E378,6,2))</f>
        <v/>
      </c>
      <c r="G378">
        <f>IF(OR($E378="",$E378="نامعتبر",Sync!$X374=""),"",IF(AND(LEFT(UPPER(TRIM(Sync!$X374)),2)="SL",IFERROR(VLOOKUP(Sync!$W374,OpTbl,3,0),"")="فروش"),UPPER(TRIM(Sync!$X374)),""))</f>
        <v/>
      </c>
      <c r="H378">
        <f>IF($G378="","",IF(Sync!$W374="","",Sync!$W374))</f>
        <v/>
      </c>
      <c r="I378">
        <f>IF(OR($G378="",Sync!$Y374=""),"",Sync!$Y374)</f>
        <v/>
      </c>
      <c r="J378">
        <f>IF(OR($G378="",Sync!$Z374=""),"",Sync!$Z374)</f>
        <v/>
      </c>
      <c r="K378">
        <f>IF($G378="",0,IF(Sync!$AA374="",0,Sync!$AA374))</f>
        <v/>
      </c>
      <c r="L378">
        <f>IF($G378="",0,IF(Sync!$AB374="",0,Sync!$AB374))</f>
        <v/>
      </c>
      <c r="M378">
        <f>IF($G378="","",IF($H378="مرجوعی فروش",-1,1)*($K378-$L378*IFERROR(VLOOKUP("P01",ParamTbl,3,0),1.5)))</f>
        <v/>
      </c>
      <c r="N378">
        <f>IF($G378="",0,IF($H378="مرجوعی فروش",-1,1)*IF(Sync!$AC374="",0,Sync!$AC374))</f>
        <v/>
      </c>
      <c r="O378">
        <f>IF(OR($G378="",Sync!$V374=""),"",Sync!$V374)</f>
        <v/>
      </c>
      <c r="P378">
        <f>IF(OR($G378="",Sync!$AD374=""),"",Sync!$AD374)</f>
        <v/>
      </c>
      <c r="Q378">
        <f>IF($G378="","",IF(Sync!$U374="","0000",IF(AND(ISNUMBER(Sync!$U374),Sync!$U374&gt;=0,Sync!$U374&lt;1),RIGHT("00"&amp;HOUR(Sync!$U374),2)&amp;RIGHT("00"&amp;MINUTE(Sync!$U374),2),IFERROR(RIGHT("00"&amp;VALUE(LEFT(Sync!$U374,FIND(":",Sync!$U374)-1)),2)&amp;RIGHT("00"&amp;VALUE(MID(Sync!$U374,FIND(":",Sync!$U374)+1,2)),2),"0000"))))</f>
        <v/>
      </c>
    </row>
    <row r="379">
      <c r="A379">
        <f>IF(Sync!$T375="","",Sync!$T375)</f>
        <v/>
      </c>
      <c r="B379">
        <f>IF($A379="","",IF(ISNUMBER($A379),IF(AND($A379&gt;=10000101,$A379&lt;=99991231),INT($A379/10000),""),IFERROR(VALUE(TRIM(LEFT($A379,FIND("/",$A379)-1))),"")))</f>
        <v/>
      </c>
      <c r="C379">
        <f>IF(OR($A379="",$B379=""),"",IF(ISNUMBER($A379),INT(MOD($A379,10000)/100),IFERROR(VALUE(TRIM(LEFT(MID($A379,FIND("/",$A379)+1,20),FIND("/",MID($A379,FIND("/",$A379)+1,20))-1))),"")))</f>
        <v/>
      </c>
      <c r="D379">
        <f>IF(OR($A379="",$B379=""),"",IF(ISNUMBER($A379),MOD($A379,100),IFERROR(VALUE(TRIM(MID(MID($A379,FIND("/",$A379)+1,20),FIND("/",MID($A379,FIND("/",$A379)+1,20))+1,20))),"")))</f>
        <v/>
      </c>
      <c r="E379">
        <f>IF($A379="","",IF(OR($B379="",$C379="",$D379="",$B379&lt;1300,$B379&gt;1500,$C379&lt;1,$C379&gt;12,$D379&lt;1,$D379&gt;31),"نامعتبر",RIGHT("0000"&amp;$B379,4)&amp;"/"&amp;RIGHT("00"&amp;$C379,2)&amp;"/"&amp;RIGHT("00"&amp;$D379,2)))</f>
        <v/>
      </c>
      <c r="F379">
        <f>IF(OR($E379="",$E379="نامعتبر"),"",LEFT($E379,4)&amp;"/"&amp;MID($E379,6,2))</f>
        <v/>
      </c>
      <c r="G379">
        <f>IF(OR($E379="",$E379="نامعتبر",Sync!$X375=""),"",IF(AND(LEFT(UPPER(TRIM(Sync!$X375)),2)="SL",IFERROR(VLOOKUP(Sync!$W375,OpTbl,3,0),"")="فروش"),UPPER(TRIM(Sync!$X375)),""))</f>
        <v/>
      </c>
      <c r="H379">
        <f>IF($G379="","",IF(Sync!$W375="","",Sync!$W375))</f>
        <v/>
      </c>
      <c r="I379">
        <f>IF(OR($G379="",Sync!$Y375=""),"",Sync!$Y375)</f>
        <v/>
      </c>
      <c r="J379">
        <f>IF(OR($G379="",Sync!$Z375=""),"",Sync!$Z375)</f>
        <v/>
      </c>
      <c r="K379">
        <f>IF($G379="",0,IF(Sync!$AA375="",0,Sync!$AA375))</f>
        <v/>
      </c>
      <c r="L379">
        <f>IF($G379="",0,IF(Sync!$AB375="",0,Sync!$AB375))</f>
        <v/>
      </c>
      <c r="M379">
        <f>IF($G379="","",IF($H379="مرجوعی فروش",-1,1)*($K379-$L379*IFERROR(VLOOKUP("P01",ParamTbl,3,0),1.5)))</f>
        <v/>
      </c>
      <c r="N379">
        <f>IF($G379="",0,IF($H379="مرجوعی فروش",-1,1)*IF(Sync!$AC375="",0,Sync!$AC375))</f>
        <v/>
      </c>
      <c r="O379">
        <f>IF(OR($G379="",Sync!$V375=""),"",Sync!$V375)</f>
        <v/>
      </c>
      <c r="P379">
        <f>IF(OR($G379="",Sync!$AD375=""),"",Sync!$AD375)</f>
        <v/>
      </c>
      <c r="Q379">
        <f>IF($G379="","",IF(Sync!$U375="","0000",IF(AND(ISNUMBER(Sync!$U375),Sync!$U375&gt;=0,Sync!$U375&lt;1),RIGHT("00"&amp;HOUR(Sync!$U375),2)&amp;RIGHT("00"&amp;MINUTE(Sync!$U375),2),IFERROR(RIGHT("00"&amp;VALUE(LEFT(Sync!$U375,FIND(":",Sync!$U375)-1)),2)&amp;RIGHT("00"&amp;VALUE(MID(Sync!$U375,FIND(":",Sync!$U375)+1,2)),2),"0000"))))</f>
        <v/>
      </c>
    </row>
    <row r="380">
      <c r="A380">
        <f>IF(Sync!$T376="","",Sync!$T376)</f>
        <v/>
      </c>
      <c r="B380">
        <f>IF($A380="","",IF(ISNUMBER($A380),IF(AND($A380&gt;=10000101,$A380&lt;=99991231),INT($A380/10000),""),IFERROR(VALUE(TRIM(LEFT($A380,FIND("/",$A380)-1))),"")))</f>
        <v/>
      </c>
      <c r="C380">
        <f>IF(OR($A380="",$B380=""),"",IF(ISNUMBER($A380),INT(MOD($A380,10000)/100),IFERROR(VALUE(TRIM(LEFT(MID($A380,FIND("/",$A380)+1,20),FIND("/",MID($A380,FIND("/",$A380)+1,20))-1))),"")))</f>
        <v/>
      </c>
      <c r="D380">
        <f>IF(OR($A380="",$B380=""),"",IF(ISNUMBER($A380),MOD($A380,100),IFERROR(VALUE(TRIM(MID(MID($A380,FIND("/",$A380)+1,20),FIND("/",MID($A380,FIND("/",$A380)+1,20))+1,20))),"")))</f>
        <v/>
      </c>
      <c r="E380">
        <f>IF($A380="","",IF(OR($B380="",$C380="",$D380="",$B380&lt;1300,$B380&gt;1500,$C380&lt;1,$C380&gt;12,$D380&lt;1,$D380&gt;31),"نامعتبر",RIGHT("0000"&amp;$B380,4)&amp;"/"&amp;RIGHT("00"&amp;$C380,2)&amp;"/"&amp;RIGHT("00"&amp;$D380,2)))</f>
        <v/>
      </c>
      <c r="F380">
        <f>IF(OR($E380="",$E380="نامعتبر"),"",LEFT($E380,4)&amp;"/"&amp;MID($E380,6,2))</f>
        <v/>
      </c>
      <c r="G380">
        <f>IF(OR($E380="",$E380="نامعتبر",Sync!$X376=""),"",IF(AND(LEFT(UPPER(TRIM(Sync!$X376)),2)="SL",IFERROR(VLOOKUP(Sync!$W376,OpTbl,3,0),"")="فروش"),UPPER(TRIM(Sync!$X376)),""))</f>
        <v/>
      </c>
      <c r="H380">
        <f>IF($G380="","",IF(Sync!$W376="","",Sync!$W376))</f>
        <v/>
      </c>
      <c r="I380">
        <f>IF(OR($G380="",Sync!$Y376=""),"",Sync!$Y376)</f>
        <v/>
      </c>
      <c r="J380">
        <f>IF(OR($G380="",Sync!$Z376=""),"",Sync!$Z376)</f>
        <v/>
      </c>
      <c r="K380">
        <f>IF($G380="",0,IF(Sync!$AA376="",0,Sync!$AA376))</f>
        <v/>
      </c>
      <c r="L380">
        <f>IF($G380="",0,IF(Sync!$AB376="",0,Sync!$AB376))</f>
        <v/>
      </c>
      <c r="M380">
        <f>IF($G380="","",IF($H380="مرجوعی فروش",-1,1)*($K380-$L380*IFERROR(VLOOKUP("P01",ParamTbl,3,0),1.5)))</f>
        <v/>
      </c>
      <c r="N380">
        <f>IF($G380="",0,IF($H380="مرجوعی فروش",-1,1)*IF(Sync!$AC376="",0,Sync!$AC376))</f>
        <v/>
      </c>
      <c r="O380">
        <f>IF(OR($G380="",Sync!$V376=""),"",Sync!$V376)</f>
        <v/>
      </c>
      <c r="P380">
        <f>IF(OR($G380="",Sync!$AD376=""),"",Sync!$AD376)</f>
        <v/>
      </c>
      <c r="Q380">
        <f>IF($G380="","",IF(Sync!$U376="","0000",IF(AND(ISNUMBER(Sync!$U376),Sync!$U376&gt;=0,Sync!$U376&lt;1),RIGHT("00"&amp;HOUR(Sync!$U376),2)&amp;RIGHT("00"&amp;MINUTE(Sync!$U376),2),IFERROR(RIGHT("00"&amp;VALUE(LEFT(Sync!$U376,FIND(":",Sync!$U376)-1)),2)&amp;RIGHT("00"&amp;VALUE(MID(Sync!$U376,FIND(":",Sync!$U376)+1,2)),2),"0000"))))</f>
        <v/>
      </c>
    </row>
    <row r="381">
      <c r="A381">
        <f>IF(Sync!$T377="","",Sync!$T377)</f>
        <v/>
      </c>
      <c r="B381">
        <f>IF($A381="","",IF(ISNUMBER($A381),IF(AND($A381&gt;=10000101,$A381&lt;=99991231),INT($A381/10000),""),IFERROR(VALUE(TRIM(LEFT($A381,FIND("/",$A381)-1))),"")))</f>
        <v/>
      </c>
      <c r="C381">
        <f>IF(OR($A381="",$B381=""),"",IF(ISNUMBER($A381),INT(MOD($A381,10000)/100),IFERROR(VALUE(TRIM(LEFT(MID($A381,FIND("/",$A381)+1,20),FIND("/",MID($A381,FIND("/",$A381)+1,20))-1))),"")))</f>
        <v/>
      </c>
      <c r="D381">
        <f>IF(OR($A381="",$B381=""),"",IF(ISNUMBER($A381),MOD($A381,100),IFERROR(VALUE(TRIM(MID(MID($A381,FIND("/",$A381)+1,20),FIND("/",MID($A381,FIND("/",$A381)+1,20))+1,20))),"")))</f>
        <v/>
      </c>
      <c r="E381">
        <f>IF($A381="","",IF(OR($B381="",$C381="",$D381="",$B381&lt;1300,$B381&gt;1500,$C381&lt;1,$C381&gt;12,$D381&lt;1,$D381&gt;31),"نامعتبر",RIGHT("0000"&amp;$B381,4)&amp;"/"&amp;RIGHT("00"&amp;$C381,2)&amp;"/"&amp;RIGHT("00"&amp;$D381,2)))</f>
        <v/>
      </c>
      <c r="F381">
        <f>IF(OR($E381="",$E381="نامعتبر"),"",LEFT($E381,4)&amp;"/"&amp;MID($E381,6,2))</f>
        <v/>
      </c>
      <c r="G381">
        <f>IF(OR($E381="",$E381="نامعتبر",Sync!$X377=""),"",IF(AND(LEFT(UPPER(TRIM(Sync!$X377)),2)="SL",IFERROR(VLOOKUP(Sync!$W377,OpTbl,3,0),"")="فروش"),UPPER(TRIM(Sync!$X377)),""))</f>
        <v/>
      </c>
      <c r="H381">
        <f>IF($G381="","",IF(Sync!$W377="","",Sync!$W377))</f>
        <v/>
      </c>
      <c r="I381">
        <f>IF(OR($G381="",Sync!$Y377=""),"",Sync!$Y377)</f>
        <v/>
      </c>
      <c r="J381">
        <f>IF(OR($G381="",Sync!$Z377=""),"",Sync!$Z377)</f>
        <v/>
      </c>
      <c r="K381">
        <f>IF($G381="",0,IF(Sync!$AA377="",0,Sync!$AA377))</f>
        <v/>
      </c>
      <c r="L381">
        <f>IF($G381="",0,IF(Sync!$AB377="",0,Sync!$AB377))</f>
        <v/>
      </c>
      <c r="M381">
        <f>IF($G381="","",IF($H381="مرجوعی فروش",-1,1)*($K381-$L381*IFERROR(VLOOKUP("P01",ParamTbl,3,0),1.5)))</f>
        <v/>
      </c>
      <c r="N381">
        <f>IF($G381="",0,IF($H381="مرجوعی فروش",-1,1)*IF(Sync!$AC377="",0,Sync!$AC377))</f>
        <v/>
      </c>
      <c r="O381">
        <f>IF(OR($G381="",Sync!$V377=""),"",Sync!$V377)</f>
        <v/>
      </c>
      <c r="P381">
        <f>IF(OR($G381="",Sync!$AD377=""),"",Sync!$AD377)</f>
        <v/>
      </c>
      <c r="Q381">
        <f>IF($G381="","",IF(Sync!$U377="","0000",IF(AND(ISNUMBER(Sync!$U377),Sync!$U377&gt;=0,Sync!$U377&lt;1),RIGHT("00"&amp;HOUR(Sync!$U377),2)&amp;RIGHT("00"&amp;MINUTE(Sync!$U377),2),IFERROR(RIGHT("00"&amp;VALUE(LEFT(Sync!$U377,FIND(":",Sync!$U377)-1)),2)&amp;RIGHT("00"&amp;VALUE(MID(Sync!$U377,FIND(":",Sync!$U377)+1,2)),2),"0000"))))</f>
        <v/>
      </c>
    </row>
    <row r="382">
      <c r="A382">
        <f>IF(Sync!$T378="","",Sync!$T378)</f>
        <v/>
      </c>
      <c r="B382">
        <f>IF($A382="","",IF(ISNUMBER($A382),IF(AND($A382&gt;=10000101,$A382&lt;=99991231),INT($A382/10000),""),IFERROR(VALUE(TRIM(LEFT($A382,FIND("/",$A382)-1))),"")))</f>
        <v/>
      </c>
      <c r="C382">
        <f>IF(OR($A382="",$B382=""),"",IF(ISNUMBER($A382),INT(MOD($A382,10000)/100),IFERROR(VALUE(TRIM(LEFT(MID($A382,FIND("/",$A382)+1,20),FIND("/",MID($A382,FIND("/",$A382)+1,20))-1))),"")))</f>
        <v/>
      </c>
      <c r="D382">
        <f>IF(OR($A382="",$B382=""),"",IF(ISNUMBER($A382),MOD($A382,100),IFERROR(VALUE(TRIM(MID(MID($A382,FIND("/",$A382)+1,20),FIND("/",MID($A382,FIND("/",$A382)+1,20))+1,20))),"")))</f>
        <v/>
      </c>
      <c r="E382">
        <f>IF($A382="","",IF(OR($B382="",$C382="",$D382="",$B382&lt;1300,$B382&gt;1500,$C382&lt;1,$C382&gt;12,$D382&lt;1,$D382&gt;31),"نامعتبر",RIGHT("0000"&amp;$B382,4)&amp;"/"&amp;RIGHT("00"&amp;$C382,2)&amp;"/"&amp;RIGHT("00"&amp;$D382,2)))</f>
        <v/>
      </c>
      <c r="F382">
        <f>IF(OR($E382="",$E382="نامعتبر"),"",LEFT($E382,4)&amp;"/"&amp;MID($E382,6,2))</f>
        <v/>
      </c>
      <c r="G382">
        <f>IF(OR($E382="",$E382="نامعتبر",Sync!$X378=""),"",IF(AND(LEFT(UPPER(TRIM(Sync!$X378)),2)="SL",IFERROR(VLOOKUP(Sync!$W378,OpTbl,3,0),"")="فروش"),UPPER(TRIM(Sync!$X378)),""))</f>
        <v/>
      </c>
      <c r="H382">
        <f>IF($G382="","",IF(Sync!$W378="","",Sync!$W378))</f>
        <v/>
      </c>
      <c r="I382">
        <f>IF(OR($G382="",Sync!$Y378=""),"",Sync!$Y378)</f>
        <v/>
      </c>
      <c r="J382">
        <f>IF(OR($G382="",Sync!$Z378=""),"",Sync!$Z378)</f>
        <v/>
      </c>
      <c r="K382">
        <f>IF($G382="",0,IF(Sync!$AA378="",0,Sync!$AA378))</f>
        <v/>
      </c>
      <c r="L382">
        <f>IF($G382="",0,IF(Sync!$AB378="",0,Sync!$AB378))</f>
        <v/>
      </c>
      <c r="M382">
        <f>IF($G382="","",IF($H382="مرجوعی فروش",-1,1)*($K382-$L382*IFERROR(VLOOKUP("P01",ParamTbl,3,0),1.5)))</f>
        <v/>
      </c>
      <c r="N382">
        <f>IF($G382="",0,IF($H382="مرجوعی فروش",-1,1)*IF(Sync!$AC378="",0,Sync!$AC378))</f>
        <v/>
      </c>
      <c r="O382">
        <f>IF(OR($G382="",Sync!$V378=""),"",Sync!$V378)</f>
        <v/>
      </c>
      <c r="P382">
        <f>IF(OR($G382="",Sync!$AD378=""),"",Sync!$AD378)</f>
        <v/>
      </c>
      <c r="Q382">
        <f>IF($G382="","",IF(Sync!$U378="","0000",IF(AND(ISNUMBER(Sync!$U378),Sync!$U378&gt;=0,Sync!$U378&lt;1),RIGHT("00"&amp;HOUR(Sync!$U378),2)&amp;RIGHT("00"&amp;MINUTE(Sync!$U378),2),IFERROR(RIGHT("00"&amp;VALUE(LEFT(Sync!$U378,FIND(":",Sync!$U378)-1)),2)&amp;RIGHT("00"&amp;VALUE(MID(Sync!$U378,FIND(":",Sync!$U378)+1,2)),2),"0000"))))</f>
        <v/>
      </c>
    </row>
    <row r="383">
      <c r="A383">
        <f>IF(Sync!$T379="","",Sync!$T379)</f>
        <v/>
      </c>
      <c r="B383">
        <f>IF($A383="","",IF(ISNUMBER($A383),IF(AND($A383&gt;=10000101,$A383&lt;=99991231),INT($A383/10000),""),IFERROR(VALUE(TRIM(LEFT($A383,FIND("/",$A383)-1))),"")))</f>
        <v/>
      </c>
      <c r="C383">
        <f>IF(OR($A383="",$B383=""),"",IF(ISNUMBER($A383),INT(MOD($A383,10000)/100),IFERROR(VALUE(TRIM(LEFT(MID($A383,FIND("/",$A383)+1,20),FIND("/",MID($A383,FIND("/",$A383)+1,20))-1))),"")))</f>
        <v/>
      </c>
      <c r="D383">
        <f>IF(OR($A383="",$B383=""),"",IF(ISNUMBER($A383),MOD($A383,100),IFERROR(VALUE(TRIM(MID(MID($A383,FIND("/",$A383)+1,20),FIND("/",MID($A383,FIND("/",$A383)+1,20))+1,20))),"")))</f>
        <v/>
      </c>
      <c r="E383">
        <f>IF($A383="","",IF(OR($B383="",$C383="",$D383="",$B383&lt;1300,$B383&gt;1500,$C383&lt;1,$C383&gt;12,$D383&lt;1,$D383&gt;31),"نامعتبر",RIGHT("0000"&amp;$B383,4)&amp;"/"&amp;RIGHT("00"&amp;$C383,2)&amp;"/"&amp;RIGHT("00"&amp;$D383,2)))</f>
        <v/>
      </c>
      <c r="F383">
        <f>IF(OR($E383="",$E383="نامعتبر"),"",LEFT($E383,4)&amp;"/"&amp;MID($E383,6,2))</f>
        <v/>
      </c>
      <c r="G383">
        <f>IF(OR($E383="",$E383="نامعتبر",Sync!$X379=""),"",IF(AND(LEFT(UPPER(TRIM(Sync!$X379)),2)="SL",IFERROR(VLOOKUP(Sync!$W379,OpTbl,3,0),"")="فروش"),UPPER(TRIM(Sync!$X379)),""))</f>
        <v/>
      </c>
      <c r="H383">
        <f>IF($G383="","",IF(Sync!$W379="","",Sync!$W379))</f>
        <v/>
      </c>
      <c r="I383">
        <f>IF(OR($G383="",Sync!$Y379=""),"",Sync!$Y379)</f>
        <v/>
      </c>
      <c r="J383">
        <f>IF(OR($G383="",Sync!$Z379=""),"",Sync!$Z379)</f>
        <v/>
      </c>
      <c r="K383">
        <f>IF($G383="",0,IF(Sync!$AA379="",0,Sync!$AA379))</f>
        <v/>
      </c>
      <c r="L383">
        <f>IF($G383="",0,IF(Sync!$AB379="",0,Sync!$AB379))</f>
        <v/>
      </c>
      <c r="M383">
        <f>IF($G383="","",IF($H383="مرجوعی فروش",-1,1)*($K383-$L383*IFERROR(VLOOKUP("P01",ParamTbl,3,0),1.5)))</f>
        <v/>
      </c>
      <c r="N383">
        <f>IF($G383="",0,IF($H383="مرجوعی فروش",-1,1)*IF(Sync!$AC379="",0,Sync!$AC379))</f>
        <v/>
      </c>
      <c r="O383">
        <f>IF(OR($G383="",Sync!$V379=""),"",Sync!$V379)</f>
        <v/>
      </c>
      <c r="P383">
        <f>IF(OR($G383="",Sync!$AD379=""),"",Sync!$AD379)</f>
        <v/>
      </c>
      <c r="Q383">
        <f>IF($G383="","",IF(Sync!$U379="","0000",IF(AND(ISNUMBER(Sync!$U379),Sync!$U379&gt;=0,Sync!$U379&lt;1),RIGHT("00"&amp;HOUR(Sync!$U379),2)&amp;RIGHT("00"&amp;MINUTE(Sync!$U379),2),IFERROR(RIGHT("00"&amp;VALUE(LEFT(Sync!$U379,FIND(":",Sync!$U379)-1)),2)&amp;RIGHT("00"&amp;VALUE(MID(Sync!$U379,FIND(":",Sync!$U379)+1,2)),2),"0000"))))</f>
        <v/>
      </c>
    </row>
    <row r="384">
      <c r="A384">
        <f>IF(Sync!$T380="","",Sync!$T380)</f>
        <v/>
      </c>
      <c r="B384">
        <f>IF($A384="","",IF(ISNUMBER($A384),IF(AND($A384&gt;=10000101,$A384&lt;=99991231),INT($A384/10000),""),IFERROR(VALUE(TRIM(LEFT($A384,FIND("/",$A384)-1))),"")))</f>
        <v/>
      </c>
      <c r="C384">
        <f>IF(OR($A384="",$B384=""),"",IF(ISNUMBER($A384),INT(MOD($A384,10000)/100),IFERROR(VALUE(TRIM(LEFT(MID($A384,FIND("/",$A384)+1,20),FIND("/",MID($A384,FIND("/",$A384)+1,20))-1))),"")))</f>
        <v/>
      </c>
      <c r="D384">
        <f>IF(OR($A384="",$B384=""),"",IF(ISNUMBER($A384),MOD($A384,100),IFERROR(VALUE(TRIM(MID(MID($A384,FIND("/",$A384)+1,20),FIND("/",MID($A384,FIND("/",$A384)+1,20))+1,20))),"")))</f>
        <v/>
      </c>
      <c r="E384">
        <f>IF($A384="","",IF(OR($B384="",$C384="",$D384="",$B384&lt;1300,$B384&gt;1500,$C384&lt;1,$C384&gt;12,$D384&lt;1,$D384&gt;31),"نامعتبر",RIGHT("0000"&amp;$B384,4)&amp;"/"&amp;RIGHT("00"&amp;$C384,2)&amp;"/"&amp;RIGHT("00"&amp;$D384,2)))</f>
        <v/>
      </c>
      <c r="F384">
        <f>IF(OR($E384="",$E384="نامعتبر"),"",LEFT($E384,4)&amp;"/"&amp;MID($E384,6,2))</f>
        <v/>
      </c>
      <c r="G384">
        <f>IF(OR($E384="",$E384="نامعتبر",Sync!$X380=""),"",IF(AND(LEFT(UPPER(TRIM(Sync!$X380)),2)="SL",IFERROR(VLOOKUP(Sync!$W380,OpTbl,3,0),"")="فروش"),UPPER(TRIM(Sync!$X380)),""))</f>
        <v/>
      </c>
      <c r="H384">
        <f>IF($G384="","",IF(Sync!$W380="","",Sync!$W380))</f>
        <v/>
      </c>
      <c r="I384">
        <f>IF(OR($G384="",Sync!$Y380=""),"",Sync!$Y380)</f>
        <v/>
      </c>
      <c r="J384">
        <f>IF(OR($G384="",Sync!$Z380=""),"",Sync!$Z380)</f>
        <v/>
      </c>
      <c r="K384">
        <f>IF($G384="",0,IF(Sync!$AA380="",0,Sync!$AA380))</f>
        <v/>
      </c>
      <c r="L384">
        <f>IF($G384="",0,IF(Sync!$AB380="",0,Sync!$AB380))</f>
        <v/>
      </c>
      <c r="M384">
        <f>IF($G384="","",IF($H384="مرجوعی فروش",-1,1)*($K384-$L384*IFERROR(VLOOKUP("P01",ParamTbl,3,0),1.5)))</f>
        <v/>
      </c>
      <c r="N384">
        <f>IF($G384="",0,IF($H384="مرجوعی فروش",-1,1)*IF(Sync!$AC380="",0,Sync!$AC380))</f>
        <v/>
      </c>
      <c r="O384">
        <f>IF(OR($G384="",Sync!$V380=""),"",Sync!$V380)</f>
        <v/>
      </c>
      <c r="P384">
        <f>IF(OR($G384="",Sync!$AD380=""),"",Sync!$AD380)</f>
        <v/>
      </c>
      <c r="Q384">
        <f>IF($G384="","",IF(Sync!$U380="","0000",IF(AND(ISNUMBER(Sync!$U380),Sync!$U380&gt;=0,Sync!$U380&lt;1),RIGHT("00"&amp;HOUR(Sync!$U380),2)&amp;RIGHT("00"&amp;MINUTE(Sync!$U380),2),IFERROR(RIGHT("00"&amp;VALUE(LEFT(Sync!$U380,FIND(":",Sync!$U380)-1)),2)&amp;RIGHT("00"&amp;VALUE(MID(Sync!$U380,FIND(":",Sync!$U380)+1,2)),2),"0000"))))</f>
        <v/>
      </c>
    </row>
    <row r="385">
      <c r="A385">
        <f>IF(Sync!$T381="","",Sync!$T381)</f>
        <v/>
      </c>
      <c r="B385">
        <f>IF($A385="","",IF(ISNUMBER($A385),IF(AND($A385&gt;=10000101,$A385&lt;=99991231),INT($A385/10000),""),IFERROR(VALUE(TRIM(LEFT($A385,FIND("/",$A385)-1))),"")))</f>
        <v/>
      </c>
      <c r="C385">
        <f>IF(OR($A385="",$B385=""),"",IF(ISNUMBER($A385),INT(MOD($A385,10000)/100),IFERROR(VALUE(TRIM(LEFT(MID($A385,FIND("/",$A385)+1,20),FIND("/",MID($A385,FIND("/",$A385)+1,20))-1))),"")))</f>
        <v/>
      </c>
      <c r="D385">
        <f>IF(OR($A385="",$B385=""),"",IF(ISNUMBER($A385),MOD($A385,100),IFERROR(VALUE(TRIM(MID(MID($A385,FIND("/",$A385)+1,20),FIND("/",MID($A385,FIND("/",$A385)+1,20))+1,20))),"")))</f>
        <v/>
      </c>
      <c r="E385">
        <f>IF($A385="","",IF(OR($B385="",$C385="",$D385="",$B385&lt;1300,$B385&gt;1500,$C385&lt;1,$C385&gt;12,$D385&lt;1,$D385&gt;31),"نامعتبر",RIGHT("0000"&amp;$B385,4)&amp;"/"&amp;RIGHT("00"&amp;$C385,2)&amp;"/"&amp;RIGHT("00"&amp;$D385,2)))</f>
        <v/>
      </c>
      <c r="F385">
        <f>IF(OR($E385="",$E385="نامعتبر"),"",LEFT($E385,4)&amp;"/"&amp;MID($E385,6,2))</f>
        <v/>
      </c>
      <c r="G385">
        <f>IF(OR($E385="",$E385="نامعتبر",Sync!$X381=""),"",IF(AND(LEFT(UPPER(TRIM(Sync!$X381)),2)="SL",IFERROR(VLOOKUP(Sync!$W381,OpTbl,3,0),"")="فروش"),UPPER(TRIM(Sync!$X381)),""))</f>
        <v/>
      </c>
      <c r="H385">
        <f>IF($G385="","",IF(Sync!$W381="","",Sync!$W381))</f>
        <v/>
      </c>
      <c r="I385">
        <f>IF(OR($G385="",Sync!$Y381=""),"",Sync!$Y381)</f>
        <v/>
      </c>
      <c r="J385">
        <f>IF(OR($G385="",Sync!$Z381=""),"",Sync!$Z381)</f>
        <v/>
      </c>
      <c r="K385">
        <f>IF($G385="",0,IF(Sync!$AA381="",0,Sync!$AA381))</f>
        <v/>
      </c>
      <c r="L385">
        <f>IF($G385="",0,IF(Sync!$AB381="",0,Sync!$AB381))</f>
        <v/>
      </c>
      <c r="M385">
        <f>IF($G385="","",IF($H385="مرجوعی فروش",-1,1)*($K385-$L385*IFERROR(VLOOKUP("P01",ParamTbl,3,0),1.5)))</f>
        <v/>
      </c>
      <c r="N385">
        <f>IF($G385="",0,IF($H385="مرجوعی فروش",-1,1)*IF(Sync!$AC381="",0,Sync!$AC381))</f>
        <v/>
      </c>
      <c r="O385">
        <f>IF(OR($G385="",Sync!$V381=""),"",Sync!$V381)</f>
        <v/>
      </c>
      <c r="P385">
        <f>IF(OR($G385="",Sync!$AD381=""),"",Sync!$AD381)</f>
        <v/>
      </c>
      <c r="Q385">
        <f>IF($G385="","",IF(Sync!$U381="","0000",IF(AND(ISNUMBER(Sync!$U381),Sync!$U381&gt;=0,Sync!$U381&lt;1),RIGHT("00"&amp;HOUR(Sync!$U381),2)&amp;RIGHT("00"&amp;MINUTE(Sync!$U381),2),IFERROR(RIGHT("00"&amp;VALUE(LEFT(Sync!$U381,FIND(":",Sync!$U381)-1)),2)&amp;RIGHT("00"&amp;VALUE(MID(Sync!$U381,FIND(":",Sync!$U381)+1,2)),2),"0000"))))</f>
        <v/>
      </c>
    </row>
    <row r="386">
      <c r="A386">
        <f>IF(Sync!$T382="","",Sync!$T382)</f>
        <v/>
      </c>
      <c r="B386">
        <f>IF($A386="","",IF(ISNUMBER($A386),IF(AND($A386&gt;=10000101,$A386&lt;=99991231),INT($A386/10000),""),IFERROR(VALUE(TRIM(LEFT($A386,FIND("/",$A386)-1))),"")))</f>
        <v/>
      </c>
      <c r="C386">
        <f>IF(OR($A386="",$B386=""),"",IF(ISNUMBER($A386),INT(MOD($A386,10000)/100),IFERROR(VALUE(TRIM(LEFT(MID($A386,FIND("/",$A386)+1,20),FIND("/",MID($A386,FIND("/",$A386)+1,20))-1))),"")))</f>
        <v/>
      </c>
      <c r="D386">
        <f>IF(OR($A386="",$B386=""),"",IF(ISNUMBER($A386),MOD($A386,100),IFERROR(VALUE(TRIM(MID(MID($A386,FIND("/",$A386)+1,20),FIND("/",MID($A386,FIND("/",$A386)+1,20))+1,20))),"")))</f>
        <v/>
      </c>
      <c r="E386">
        <f>IF($A386="","",IF(OR($B386="",$C386="",$D386="",$B386&lt;1300,$B386&gt;1500,$C386&lt;1,$C386&gt;12,$D386&lt;1,$D386&gt;31),"نامعتبر",RIGHT("0000"&amp;$B386,4)&amp;"/"&amp;RIGHT("00"&amp;$C386,2)&amp;"/"&amp;RIGHT("00"&amp;$D386,2)))</f>
        <v/>
      </c>
      <c r="F386">
        <f>IF(OR($E386="",$E386="نامعتبر"),"",LEFT($E386,4)&amp;"/"&amp;MID($E386,6,2))</f>
        <v/>
      </c>
      <c r="G386">
        <f>IF(OR($E386="",$E386="نامعتبر",Sync!$X382=""),"",IF(AND(LEFT(UPPER(TRIM(Sync!$X382)),2)="SL",IFERROR(VLOOKUP(Sync!$W382,OpTbl,3,0),"")="فروش"),UPPER(TRIM(Sync!$X382)),""))</f>
        <v/>
      </c>
      <c r="H386">
        <f>IF($G386="","",IF(Sync!$W382="","",Sync!$W382))</f>
        <v/>
      </c>
      <c r="I386">
        <f>IF(OR($G386="",Sync!$Y382=""),"",Sync!$Y382)</f>
        <v/>
      </c>
      <c r="J386">
        <f>IF(OR($G386="",Sync!$Z382=""),"",Sync!$Z382)</f>
        <v/>
      </c>
      <c r="K386">
        <f>IF($G386="",0,IF(Sync!$AA382="",0,Sync!$AA382))</f>
        <v/>
      </c>
      <c r="L386">
        <f>IF($G386="",0,IF(Sync!$AB382="",0,Sync!$AB382))</f>
        <v/>
      </c>
      <c r="M386">
        <f>IF($G386="","",IF($H386="مرجوعی فروش",-1,1)*($K386-$L386*IFERROR(VLOOKUP("P01",ParamTbl,3,0),1.5)))</f>
        <v/>
      </c>
      <c r="N386">
        <f>IF($G386="",0,IF($H386="مرجوعی فروش",-1,1)*IF(Sync!$AC382="",0,Sync!$AC382))</f>
        <v/>
      </c>
      <c r="O386">
        <f>IF(OR($G386="",Sync!$V382=""),"",Sync!$V382)</f>
        <v/>
      </c>
      <c r="P386">
        <f>IF(OR($G386="",Sync!$AD382=""),"",Sync!$AD382)</f>
        <v/>
      </c>
      <c r="Q386">
        <f>IF($G386="","",IF(Sync!$U382="","0000",IF(AND(ISNUMBER(Sync!$U382),Sync!$U382&gt;=0,Sync!$U382&lt;1),RIGHT("00"&amp;HOUR(Sync!$U382),2)&amp;RIGHT("00"&amp;MINUTE(Sync!$U382),2),IFERROR(RIGHT("00"&amp;VALUE(LEFT(Sync!$U382,FIND(":",Sync!$U382)-1)),2)&amp;RIGHT("00"&amp;VALUE(MID(Sync!$U382,FIND(":",Sync!$U382)+1,2)),2),"0000"))))</f>
        <v/>
      </c>
    </row>
    <row r="387">
      <c r="A387">
        <f>IF(Sync!$T383="","",Sync!$T383)</f>
        <v/>
      </c>
      <c r="B387">
        <f>IF($A387="","",IF(ISNUMBER($A387),IF(AND($A387&gt;=10000101,$A387&lt;=99991231),INT($A387/10000),""),IFERROR(VALUE(TRIM(LEFT($A387,FIND("/",$A387)-1))),"")))</f>
        <v/>
      </c>
      <c r="C387">
        <f>IF(OR($A387="",$B387=""),"",IF(ISNUMBER($A387),INT(MOD($A387,10000)/100),IFERROR(VALUE(TRIM(LEFT(MID($A387,FIND("/",$A387)+1,20),FIND("/",MID($A387,FIND("/",$A387)+1,20))-1))),"")))</f>
        <v/>
      </c>
      <c r="D387">
        <f>IF(OR($A387="",$B387=""),"",IF(ISNUMBER($A387),MOD($A387,100),IFERROR(VALUE(TRIM(MID(MID($A387,FIND("/",$A387)+1,20),FIND("/",MID($A387,FIND("/",$A387)+1,20))+1,20))),"")))</f>
        <v/>
      </c>
      <c r="E387">
        <f>IF($A387="","",IF(OR($B387="",$C387="",$D387="",$B387&lt;1300,$B387&gt;1500,$C387&lt;1,$C387&gt;12,$D387&lt;1,$D387&gt;31),"نامعتبر",RIGHT("0000"&amp;$B387,4)&amp;"/"&amp;RIGHT("00"&amp;$C387,2)&amp;"/"&amp;RIGHT("00"&amp;$D387,2)))</f>
        <v/>
      </c>
      <c r="F387">
        <f>IF(OR($E387="",$E387="نامعتبر"),"",LEFT($E387,4)&amp;"/"&amp;MID($E387,6,2))</f>
        <v/>
      </c>
      <c r="G387">
        <f>IF(OR($E387="",$E387="نامعتبر",Sync!$X383=""),"",IF(AND(LEFT(UPPER(TRIM(Sync!$X383)),2)="SL",IFERROR(VLOOKUP(Sync!$W383,OpTbl,3,0),"")="فروش"),UPPER(TRIM(Sync!$X383)),""))</f>
        <v/>
      </c>
      <c r="H387">
        <f>IF($G387="","",IF(Sync!$W383="","",Sync!$W383))</f>
        <v/>
      </c>
      <c r="I387">
        <f>IF(OR($G387="",Sync!$Y383=""),"",Sync!$Y383)</f>
        <v/>
      </c>
      <c r="J387">
        <f>IF(OR($G387="",Sync!$Z383=""),"",Sync!$Z383)</f>
        <v/>
      </c>
      <c r="K387">
        <f>IF($G387="",0,IF(Sync!$AA383="",0,Sync!$AA383))</f>
        <v/>
      </c>
      <c r="L387">
        <f>IF($G387="",0,IF(Sync!$AB383="",0,Sync!$AB383))</f>
        <v/>
      </c>
      <c r="M387">
        <f>IF($G387="","",IF($H387="مرجوعی فروش",-1,1)*($K387-$L387*IFERROR(VLOOKUP("P01",ParamTbl,3,0),1.5)))</f>
        <v/>
      </c>
      <c r="N387">
        <f>IF($G387="",0,IF($H387="مرجوعی فروش",-1,1)*IF(Sync!$AC383="",0,Sync!$AC383))</f>
        <v/>
      </c>
      <c r="O387">
        <f>IF(OR($G387="",Sync!$V383=""),"",Sync!$V383)</f>
        <v/>
      </c>
      <c r="P387">
        <f>IF(OR($G387="",Sync!$AD383=""),"",Sync!$AD383)</f>
        <v/>
      </c>
      <c r="Q387">
        <f>IF($G387="","",IF(Sync!$U383="","0000",IF(AND(ISNUMBER(Sync!$U383),Sync!$U383&gt;=0,Sync!$U383&lt;1),RIGHT("00"&amp;HOUR(Sync!$U383),2)&amp;RIGHT("00"&amp;MINUTE(Sync!$U383),2),IFERROR(RIGHT("00"&amp;VALUE(LEFT(Sync!$U383,FIND(":",Sync!$U383)-1)),2)&amp;RIGHT("00"&amp;VALUE(MID(Sync!$U383,FIND(":",Sync!$U383)+1,2)),2),"0000"))))</f>
        <v/>
      </c>
    </row>
    <row r="388">
      <c r="A388">
        <f>IF(Sync!$T384="","",Sync!$T384)</f>
        <v/>
      </c>
      <c r="B388">
        <f>IF($A388="","",IF(ISNUMBER($A388),IF(AND($A388&gt;=10000101,$A388&lt;=99991231),INT($A388/10000),""),IFERROR(VALUE(TRIM(LEFT($A388,FIND("/",$A388)-1))),"")))</f>
        <v/>
      </c>
      <c r="C388">
        <f>IF(OR($A388="",$B388=""),"",IF(ISNUMBER($A388),INT(MOD($A388,10000)/100),IFERROR(VALUE(TRIM(LEFT(MID($A388,FIND("/",$A388)+1,20),FIND("/",MID($A388,FIND("/",$A388)+1,20))-1))),"")))</f>
        <v/>
      </c>
      <c r="D388">
        <f>IF(OR($A388="",$B388=""),"",IF(ISNUMBER($A388),MOD($A388,100),IFERROR(VALUE(TRIM(MID(MID($A388,FIND("/",$A388)+1,20),FIND("/",MID($A388,FIND("/",$A388)+1,20))+1,20))),"")))</f>
        <v/>
      </c>
      <c r="E388">
        <f>IF($A388="","",IF(OR($B388="",$C388="",$D388="",$B388&lt;1300,$B388&gt;1500,$C388&lt;1,$C388&gt;12,$D388&lt;1,$D388&gt;31),"نامعتبر",RIGHT("0000"&amp;$B388,4)&amp;"/"&amp;RIGHT("00"&amp;$C388,2)&amp;"/"&amp;RIGHT("00"&amp;$D388,2)))</f>
        <v/>
      </c>
      <c r="F388">
        <f>IF(OR($E388="",$E388="نامعتبر"),"",LEFT($E388,4)&amp;"/"&amp;MID($E388,6,2))</f>
        <v/>
      </c>
      <c r="G388">
        <f>IF(OR($E388="",$E388="نامعتبر",Sync!$X384=""),"",IF(AND(LEFT(UPPER(TRIM(Sync!$X384)),2)="SL",IFERROR(VLOOKUP(Sync!$W384,OpTbl,3,0),"")="فروش"),UPPER(TRIM(Sync!$X384)),""))</f>
        <v/>
      </c>
      <c r="H388">
        <f>IF($G388="","",IF(Sync!$W384="","",Sync!$W384))</f>
        <v/>
      </c>
      <c r="I388">
        <f>IF(OR($G388="",Sync!$Y384=""),"",Sync!$Y384)</f>
        <v/>
      </c>
      <c r="J388">
        <f>IF(OR($G388="",Sync!$Z384=""),"",Sync!$Z384)</f>
        <v/>
      </c>
      <c r="K388">
        <f>IF($G388="",0,IF(Sync!$AA384="",0,Sync!$AA384))</f>
        <v/>
      </c>
      <c r="L388">
        <f>IF($G388="",0,IF(Sync!$AB384="",0,Sync!$AB384))</f>
        <v/>
      </c>
      <c r="M388">
        <f>IF($G388="","",IF($H388="مرجوعی فروش",-1,1)*($K388-$L388*IFERROR(VLOOKUP("P01",ParamTbl,3,0),1.5)))</f>
        <v/>
      </c>
      <c r="N388">
        <f>IF($G388="",0,IF($H388="مرجوعی فروش",-1,1)*IF(Sync!$AC384="",0,Sync!$AC384))</f>
        <v/>
      </c>
      <c r="O388">
        <f>IF(OR($G388="",Sync!$V384=""),"",Sync!$V384)</f>
        <v/>
      </c>
      <c r="P388">
        <f>IF(OR($G388="",Sync!$AD384=""),"",Sync!$AD384)</f>
        <v/>
      </c>
      <c r="Q388">
        <f>IF($G388="","",IF(Sync!$U384="","0000",IF(AND(ISNUMBER(Sync!$U384),Sync!$U384&gt;=0,Sync!$U384&lt;1),RIGHT("00"&amp;HOUR(Sync!$U384),2)&amp;RIGHT("00"&amp;MINUTE(Sync!$U384),2),IFERROR(RIGHT("00"&amp;VALUE(LEFT(Sync!$U384,FIND(":",Sync!$U384)-1)),2)&amp;RIGHT("00"&amp;VALUE(MID(Sync!$U384,FIND(":",Sync!$U384)+1,2)),2),"0000"))))</f>
        <v/>
      </c>
    </row>
    <row r="389">
      <c r="A389">
        <f>IF(Sync!$T385="","",Sync!$T385)</f>
        <v/>
      </c>
      <c r="B389">
        <f>IF($A389="","",IF(ISNUMBER($A389),IF(AND($A389&gt;=10000101,$A389&lt;=99991231),INT($A389/10000),""),IFERROR(VALUE(TRIM(LEFT($A389,FIND("/",$A389)-1))),"")))</f>
        <v/>
      </c>
      <c r="C389">
        <f>IF(OR($A389="",$B389=""),"",IF(ISNUMBER($A389),INT(MOD($A389,10000)/100),IFERROR(VALUE(TRIM(LEFT(MID($A389,FIND("/",$A389)+1,20),FIND("/",MID($A389,FIND("/",$A389)+1,20))-1))),"")))</f>
        <v/>
      </c>
      <c r="D389">
        <f>IF(OR($A389="",$B389=""),"",IF(ISNUMBER($A389),MOD($A389,100),IFERROR(VALUE(TRIM(MID(MID($A389,FIND("/",$A389)+1,20),FIND("/",MID($A389,FIND("/",$A389)+1,20))+1,20))),"")))</f>
        <v/>
      </c>
      <c r="E389">
        <f>IF($A389="","",IF(OR($B389="",$C389="",$D389="",$B389&lt;1300,$B389&gt;1500,$C389&lt;1,$C389&gt;12,$D389&lt;1,$D389&gt;31),"نامعتبر",RIGHT("0000"&amp;$B389,4)&amp;"/"&amp;RIGHT("00"&amp;$C389,2)&amp;"/"&amp;RIGHT("00"&amp;$D389,2)))</f>
        <v/>
      </c>
      <c r="F389">
        <f>IF(OR($E389="",$E389="نامعتبر"),"",LEFT($E389,4)&amp;"/"&amp;MID($E389,6,2))</f>
        <v/>
      </c>
      <c r="G389">
        <f>IF(OR($E389="",$E389="نامعتبر",Sync!$X385=""),"",IF(AND(LEFT(UPPER(TRIM(Sync!$X385)),2)="SL",IFERROR(VLOOKUP(Sync!$W385,OpTbl,3,0),"")="فروش"),UPPER(TRIM(Sync!$X385)),""))</f>
        <v/>
      </c>
      <c r="H389">
        <f>IF($G389="","",IF(Sync!$W385="","",Sync!$W385))</f>
        <v/>
      </c>
      <c r="I389">
        <f>IF(OR($G389="",Sync!$Y385=""),"",Sync!$Y385)</f>
        <v/>
      </c>
      <c r="J389">
        <f>IF(OR($G389="",Sync!$Z385=""),"",Sync!$Z385)</f>
        <v/>
      </c>
      <c r="K389">
        <f>IF($G389="",0,IF(Sync!$AA385="",0,Sync!$AA385))</f>
        <v/>
      </c>
      <c r="L389">
        <f>IF($G389="",0,IF(Sync!$AB385="",0,Sync!$AB385))</f>
        <v/>
      </c>
      <c r="M389">
        <f>IF($G389="","",IF($H389="مرجوعی فروش",-1,1)*($K389-$L389*IFERROR(VLOOKUP("P01",ParamTbl,3,0),1.5)))</f>
        <v/>
      </c>
      <c r="N389">
        <f>IF($G389="",0,IF($H389="مرجوعی فروش",-1,1)*IF(Sync!$AC385="",0,Sync!$AC385))</f>
        <v/>
      </c>
      <c r="O389">
        <f>IF(OR($G389="",Sync!$V385=""),"",Sync!$V385)</f>
        <v/>
      </c>
      <c r="P389">
        <f>IF(OR($G389="",Sync!$AD385=""),"",Sync!$AD385)</f>
        <v/>
      </c>
      <c r="Q389">
        <f>IF($G389="","",IF(Sync!$U385="","0000",IF(AND(ISNUMBER(Sync!$U385),Sync!$U385&gt;=0,Sync!$U385&lt;1),RIGHT("00"&amp;HOUR(Sync!$U385),2)&amp;RIGHT("00"&amp;MINUTE(Sync!$U385),2),IFERROR(RIGHT("00"&amp;VALUE(LEFT(Sync!$U385,FIND(":",Sync!$U385)-1)),2)&amp;RIGHT("00"&amp;VALUE(MID(Sync!$U385,FIND(":",Sync!$U385)+1,2)),2),"0000"))))</f>
        <v/>
      </c>
    </row>
    <row r="390">
      <c r="A390">
        <f>IF(Sync!$T386="","",Sync!$T386)</f>
        <v/>
      </c>
      <c r="B390">
        <f>IF($A390="","",IF(ISNUMBER($A390),IF(AND($A390&gt;=10000101,$A390&lt;=99991231),INT($A390/10000),""),IFERROR(VALUE(TRIM(LEFT($A390,FIND("/",$A390)-1))),"")))</f>
        <v/>
      </c>
      <c r="C390">
        <f>IF(OR($A390="",$B390=""),"",IF(ISNUMBER($A390),INT(MOD($A390,10000)/100),IFERROR(VALUE(TRIM(LEFT(MID($A390,FIND("/",$A390)+1,20),FIND("/",MID($A390,FIND("/",$A390)+1,20))-1))),"")))</f>
        <v/>
      </c>
      <c r="D390">
        <f>IF(OR($A390="",$B390=""),"",IF(ISNUMBER($A390),MOD($A390,100),IFERROR(VALUE(TRIM(MID(MID($A390,FIND("/",$A390)+1,20),FIND("/",MID($A390,FIND("/",$A390)+1,20))+1,20))),"")))</f>
        <v/>
      </c>
      <c r="E390">
        <f>IF($A390="","",IF(OR($B390="",$C390="",$D390="",$B390&lt;1300,$B390&gt;1500,$C390&lt;1,$C390&gt;12,$D390&lt;1,$D390&gt;31),"نامعتبر",RIGHT("0000"&amp;$B390,4)&amp;"/"&amp;RIGHT("00"&amp;$C390,2)&amp;"/"&amp;RIGHT("00"&amp;$D390,2)))</f>
        <v/>
      </c>
      <c r="F390">
        <f>IF(OR($E390="",$E390="نامعتبر"),"",LEFT($E390,4)&amp;"/"&amp;MID($E390,6,2))</f>
        <v/>
      </c>
      <c r="G390">
        <f>IF(OR($E390="",$E390="نامعتبر",Sync!$X386=""),"",IF(AND(LEFT(UPPER(TRIM(Sync!$X386)),2)="SL",IFERROR(VLOOKUP(Sync!$W386,OpTbl,3,0),"")="فروش"),UPPER(TRIM(Sync!$X386)),""))</f>
        <v/>
      </c>
      <c r="H390">
        <f>IF($G390="","",IF(Sync!$W386="","",Sync!$W386))</f>
        <v/>
      </c>
      <c r="I390">
        <f>IF(OR($G390="",Sync!$Y386=""),"",Sync!$Y386)</f>
        <v/>
      </c>
      <c r="J390">
        <f>IF(OR($G390="",Sync!$Z386=""),"",Sync!$Z386)</f>
        <v/>
      </c>
      <c r="K390">
        <f>IF($G390="",0,IF(Sync!$AA386="",0,Sync!$AA386))</f>
        <v/>
      </c>
      <c r="L390">
        <f>IF($G390="",0,IF(Sync!$AB386="",0,Sync!$AB386))</f>
        <v/>
      </c>
      <c r="M390">
        <f>IF($G390="","",IF($H390="مرجوعی فروش",-1,1)*($K390-$L390*IFERROR(VLOOKUP("P01",ParamTbl,3,0),1.5)))</f>
        <v/>
      </c>
      <c r="N390">
        <f>IF($G390="",0,IF($H390="مرجوعی فروش",-1,1)*IF(Sync!$AC386="",0,Sync!$AC386))</f>
        <v/>
      </c>
      <c r="O390">
        <f>IF(OR($G390="",Sync!$V386=""),"",Sync!$V386)</f>
        <v/>
      </c>
      <c r="P390">
        <f>IF(OR($G390="",Sync!$AD386=""),"",Sync!$AD386)</f>
        <v/>
      </c>
      <c r="Q390">
        <f>IF($G390="","",IF(Sync!$U386="","0000",IF(AND(ISNUMBER(Sync!$U386),Sync!$U386&gt;=0,Sync!$U386&lt;1),RIGHT("00"&amp;HOUR(Sync!$U386),2)&amp;RIGHT("00"&amp;MINUTE(Sync!$U386),2),IFERROR(RIGHT("00"&amp;VALUE(LEFT(Sync!$U386,FIND(":",Sync!$U386)-1)),2)&amp;RIGHT("00"&amp;VALUE(MID(Sync!$U386,FIND(":",Sync!$U386)+1,2)),2),"0000"))))</f>
        <v/>
      </c>
    </row>
    <row r="391">
      <c r="A391">
        <f>IF(Sync!$T387="","",Sync!$T387)</f>
        <v/>
      </c>
      <c r="B391">
        <f>IF($A391="","",IF(ISNUMBER($A391),IF(AND($A391&gt;=10000101,$A391&lt;=99991231),INT($A391/10000),""),IFERROR(VALUE(TRIM(LEFT($A391,FIND("/",$A391)-1))),"")))</f>
        <v/>
      </c>
      <c r="C391">
        <f>IF(OR($A391="",$B391=""),"",IF(ISNUMBER($A391),INT(MOD($A391,10000)/100),IFERROR(VALUE(TRIM(LEFT(MID($A391,FIND("/",$A391)+1,20),FIND("/",MID($A391,FIND("/",$A391)+1,20))-1))),"")))</f>
        <v/>
      </c>
      <c r="D391">
        <f>IF(OR($A391="",$B391=""),"",IF(ISNUMBER($A391),MOD($A391,100),IFERROR(VALUE(TRIM(MID(MID($A391,FIND("/",$A391)+1,20),FIND("/",MID($A391,FIND("/",$A391)+1,20))+1,20))),"")))</f>
        <v/>
      </c>
      <c r="E391">
        <f>IF($A391="","",IF(OR($B391="",$C391="",$D391="",$B391&lt;1300,$B391&gt;1500,$C391&lt;1,$C391&gt;12,$D391&lt;1,$D391&gt;31),"نامعتبر",RIGHT("0000"&amp;$B391,4)&amp;"/"&amp;RIGHT("00"&amp;$C391,2)&amp;"/"&amp;RIGHT("00"&amp;$D391,2)))</f>
        <v/>
      </c>
      <c r="F391">
        <f>IF(OR($E391="",$E391="نامعتبر"),"",LEFT($E391,4)&amp;"/"&amp;MID($E391,6,2))</f>
        <v/>
      </c>
      <c r="G391">
        <f>IF(OR($E391="",$E391="نامعتبر",Sync!$X387=""),"",IF(AND(LEFT(UPPER(TRIM(Sync!$X387)),2)="SL",IFERROR(VLOOKUP(Sync!$W387,OpTbl,3,0),"")="فروش"),UPPER(TRIM(Sync!$X387)),""))</f>
        <v/>
      </c>
      <c r="H391">
        <f>IF($G391="","",IF(Sync!$W387="","",Sync!$W387))</f>
        <v/>
      </c>
      <c r="I391">
        <f>IF(OR($G391="",Sync!$Y387=""),"",Sync!$Y387)</f>
        <v/>
      </c>
      <c r="J391">
        <f>IF(OR($G391="",Sync!$Z387=""),"",Sync!$Z387)</f>
        <v/>
      </c>
      <c r="K391">
        <f>IF($G391="",0,IF(Sync!$AA387="",0,Sync!$AA387))</f>
        <v/>
      </c>
      <c r="L391">
        <f>IF($G391="",0,IF(Sync!$AB387="",0,Sync!$AB387))</f>
        <v/>
      </c>
      <c r="M391">
        <f>IF($G391="","",IF($H391="مرجوعی فروش",-1,1)*($K391-$L391*IFERROR(VLOOKUP("P01",ParamTbl,3,0),1.5)))</f>
        <v/>
      </c>
      <c r="N391">
        <f>IF($G391="",0,IF($H391="مرجوعی فروش",-1,1)*IF(Sync!$AC387="",0,Sync!$AC387))</f>
        <v/>
      </c>
      <c r="O391">
        <f>IF(OR($G391="",Sync!$V387=""),"",Sync!$V387)</f>
        <v/>
      </c>
      <c r="P391">
        <f>IF(OR($G391="",Sync!$AD387=""),"",Sync!$AD387)</f>
        <v/>
      </c>
      <c r="Q391">
        <f>IF($G391="","",IF(Sync!$U387="","0000",IF(AND(ISNUMBER(Sync!$U387),Sync!$U387&gt;=0,Sync!$U387&lt;1),RIGHT("00"&amp;HOUR(Sync!$U387),2)&amp;RIGHT("00"&amp;MINUTE(Sync!$U387),2),IFERROR(RIGHT("00"&amp;VALUE(LEFT(Sync!$U387,FIND(":",Sync!$U387)-1)),2)&amp;RIGHT("00"&amp;VALUE(MID(Sync!$U387,FIND(":",Sync!$U387)+1,2)),2),"0000"))))</f>
        <v/>
      </c>
    </row>
    <row r="392">
      <c r="A392">
        <f>IF(Sync!$T388="","",Sync!$T388)</f>
        <v/>
      </c>
      <c r="B392">
        <f>IF($A392="","",IF(ISNUMBER($A392),IF(AND($A392&gt;=10000101,$A392&lt;=99991231),INT($A392/10000),""),IFERROR(VALUE(TRIM(LEFT($A392,FIND("/",$A392)-1))),"")))</f>
        <v/>
      </c>
      <c r="C392">
        <f>IF(OR($A392="",$B392=""),"",IF(ISNUMBER($A392),INT(MOD($A392,10000)/100),IFERROR(VALUE(TRIM(LEFT(MID($A392,FIND("/",$A392)+1,20),FIND("/",MID($A392,FIND("/",$A392)+1,20))-1))),"")))</f>
        <v/>
      </c>
      <c r="D392">
        <f>IF(OR($A392="",$B392=""),"",IF(ISNUMBER($A392),MOD($A392,100),IFERROR(VALUE(TRIM(MID(MID($A392,FIND("/",$A392)+1,20),FIND("/",MID($A392,FIND("/",$A392)+1,20))+1,20))),"")))</f>
        <v/>
      </c>
      <c r="E392">
        <f>IF($A392="","",IF(OR($B392="",$C392="",$D392="",$B392&lt;1300,$B392&gt;1500,$C392&lt;1,$C392&gt;12,$D392&lt;1,$D392&gt;31),"نامعتبر",RIGHT("0000"&amp;$B392,4)&amp;"/"&amp;RIGHT("00"&amp;$C392,2)&amp;"/"&amp;RIGHT("00"&amp;$D392,2)))</f>
        <v/>
      </c>
      <c r="F392">
        <f>IF(OR($E392="",$E392="نامعتبر"),"",LEFT($E392,4)&amp;"/"&amp;MID($E392,6,2))</f>
        <v/>
      </c>
      <c r="G392">
        <f>IF(OR($E392="",$E392="نامعتبر",Sync!$X388=""),"",IF(AND(LEFT(UPPER(TRIM(Sync!$X388)),2)="SL",IFERROR(VLOOKUP(Sync!$W388,OpTbl,3,0),"")="فروش"),UPPER(TRIM(Sync!$X388)),""))</f>
        <v/>
      </c>
      <c r="H392">
        <f>IF($G392="","",IF(Sync!$W388="","",Sync!$W388))</f>
        <v/>
      </c>
      <c r="I392">
        <f>IF(OR($G392="",Sync!$Y388=""),"",Sync!$Y388)</f>
        <v/>
      </c>
      <c r="J392">
        <f>IF(OR($G392="",Sync!$Z388=""),"",Sync!$Z388)</f>
        <v/>
      </c>
      <c r="K392">
        <f>IF($G392="",0,IF(Sync!$AA388="",0,Sync!$AA388))</f>
        <v/>
      </c>
      <c r="L392">
        <f>IF($G392="",0,IF(Sync!$AB388="",0,Sync!$AB388))</f>
        <v/>
      </c>
      <c r="M392">
        <f>IF($G392="","",IF($H392="مرجوعی فروش",-1,1)*($K392-$L392*IFERROR(VLOOKUP("P01",ParamTbl,3,0),1.5)))</f>
        <v/>
      </c>
      <c r="N392">
        <f>IF($G392="",0,IF($H392="مرجوعی فروش",-1,1)*IF(Sync!$AC388="",0,Sync!$AC388))</f>
        <v/>
      </c>
      <c r="O392">
        <f>IF(OR($G392="",Sync!$V388=""),"",Sync!$V388)</f>
        <v/>
      </c>
      <c r="P392">
        <f>IF(OR($G392="",Sync!$AD388=""),"",Sync!$AD388)</f>
        <v/>
      </c>
      <c r="Q392">
        <f>IF($G392="","",IF(Sync!$U388="","0000",IF(AND(ISNUMBER(Sync!$U388),Sync!$U388&gt;=0,Sync!$U388&lt;1),RIGHT("00"&amp;HOUR(Sync!$U388),2)&amp;RIGHT("00"&amp;MINUTE(Sync!$U388),2),IFERROR(RIGHT("00"&amp;VALUE(LEFT(Sync!$U388,FIND(":",Sync!$U388)-1)),2)&amp;RIGHT("00"&amp;VALUE(MID(Sync!$U388,FIND(":",Sync!$U388)+1,2)),2),"0000"))))</f>
        <v/>
      </c>
    </row>
    <row r="393">
      <c r="A393">
        <f>IF(Sync!$T389="","",Sync!$T389)</f>
        <v/>
      </c>
      <c r="B393">
        <f>IF($A393="","",IF(ISNUMBER($A393),IF(AND($A393&gt;=10000101,$A393&lt;=99991231),INT($A393/10000),""),IFERROR(VALUE(TRIM(LEFT($A393,FIND("/",$A393)-1))),"")))</f>
        <v/>
      </c>
      <c r="C393">
        <f>IF(OR($A393="",$B393=""),"",IF(ISNUMBER($A393),INT(MOD($A393,10000)/100),IFERROR(VALUE(TRIM(LEFT(MID($A393,FIND("/",$A393)+1,20),FIND("/",MID($A393,FIND("/",$A393)+1,20))-1))),"")))</f>
        <v/>
      </c>
      <c r="D393">
        <f>IF(OR($A393="",$B393=""),"",IF(ISNUMBER($A393),MOD($A393,100),IFERROR(VALUE(TRIM(MID(MID($A393,FIND("/",$A393)+1,20),FIND("/",MID($A393,FIND("/",$A393)+1,20))+1,20))),"")))</f>
        <v/>
      </c>
      <c r="E393">
        <f>IF($A393="","",IF(OR($B393="",$C393="",$D393="",$B393&lt;1300,$B393&gt;1500,$C393&lt;1,$C393&gt;12,$D393&lt;1,$D393&gt;31),"نامعتبر",RIGHT("0000"&amp;$B393,4)&amp;"/"&amp;RIGHT("00"&amp;$C393,2)&amp;"/"&amp;RIGHT("00"&amp;$D393,2)))</f>
        <v/>
      </c>
      <c r="F393">
        <f>IF(OR($E393="",$E393="نامعتبر"),"",LEFT($E393,4)&amp;"/"&amp;MID($E393,6,2))</f>
        <v/>
      </c>
      <c r="G393">
        <f>IF(OR($E393="",$E393="نامعتبر",Sync!$X389=""),"",IF(AND(LEFT(UPPER(TRIM(Sync!$X389)),2)="SL",IFERROR(VLOOKUP(Sync!$W389,OpTbl,3,0),"")="فروش"),UPPER(TRIM(Sync!$X389)),""))</f>
        <v/>
      </c>
      <c r="H393">
        <f>IF($G393="","",IF(Sync!$W389="","",Sync!$W389))</f>
        <v/>
      </c>
      <c r="I393">
        <f>IF(OR($G393="",Sync!$Y389=""),"",Sync!$Y389)</f>
        <v/>
      </c>
      <c r="J393">
        <f>IF(OR($G393="",Sync!$Z389=""),"",Sync!$Z389)</f>
        <v/>
      </c>
      <c r="K393">
        <f>IF($G393="",0,IF(Sync!$AA389="",0,Sync!$AA389))</f>
        <v/>
      </c>
      <c r="L393">
        <f>IF($G393="",0,IF(Sync!$AB389="",0,Sync!$AB389))</f>
        <v/>
      </c>
      <c r="M393">
        <f>IF($G393="","",IF($H393="مرجوعی فروش",-1,1)*($K393-$L393*IFERROR(VLOOKUP("P01",ParamTbl,3,0),1.5)))</f>
        <v/>
      </c>
      <c r="N393">
        <f>IF($G393="",0,IF($H393="مرجوعی فروش",-1,1)*IF(Sync!$AC389="",0,Sync!$AC389))</f>
        <v/>
      </c>
      <c r="O393">
        <f>IF(OR($G393="",Sync!$V389=""),"",Sync!$V389)</f>
        <v/>
      </c>
      <c r="P393">
        <f>IF(OR($G393="",Sync!$AD389=""),"",Sync!$AD389)</f>
        <v/>
      </c>
      <c r="Q393">
        <f>IF($G393="","",IF(Sync!$U389="","0000",IF(AND(ISNUMBER(Sync!$U389),Sync!$U389&gt;=0,Sync!$U389&lt;1),RIGHT("00"&amp;HOUR(Sync!$U389),2)&amp;RIGHT("00"&amp;MINUTE(Sync!$U389),2),IFERROR(RIGHT("00"&amp;VALUE(LEFT(Sync!$U389,FIND(":",Sync!$U389)-1)),2)&amp;RIGHT("00"&amp;VALUE(MID(Sync!$U389,FIND(":",Sync!$U389)+1,2)),2),"0000"))))</f>
        <v/>
      </c>
    </row>
    <row r="394">
      <c r="A394">
        <f>IF(Sync!$T390="","",Sync!$T390)</f>
        <v/>
      </c>
      <c r="B394">
        <f>IF($A394="","",IF(ISNUMBER($A394),IF(AND($A394&gt;=10000101,$A394&lt;=99991231),INT($A394/10000),""),IFERROR(VALUE(TRIM(LEFT($A394,FIND("/",$A394)-1))),"")))</f>
        <v/>
      </c>
      <c r="C394">
        <f>IF(OR($A394="",$B394=""),"",IF(ISNUMBER($A394),INT(MOD($A394,10000)/100),IFERROR(VALUE(TRIM(LEFT(MID($A394,FIND("/",$A394)+1,20),FIND("/",MID($A394,FIND("/",$A394)+1,20))-1))),"")))</f>
        <v/>
      </c>
      <c r="D394">
        <f>IF(OR($A394="",$B394=""),"",IF(ISNUMBER($A394),MOD($A394,100),IFERROR(VALUE(TRIM(MID(MID($A394,FIND("/",$A394)+1,20),FIND("/",MID($A394,FIND("/",$A394)+1,20))+1,20))),"")))</f>
        <v/>
      </c>
      <c r="E394">
        <f>IF($A394="","",IF(OR($B394="",$C394="",$D394="",$B394&lt;1300,$B394&gt;1500,$C394&lt;1,$C394&gt;12,$D394&lt;1,$D394&gt;31),"نامعتبر",RIGHT("0000"&amp;$B394,4)&amp;"/"&amp;RIGHT("00"&amp;$C394,2)&amp;"/"&amp;RIGHT("00"&amp;$D394,2)))</f>
        <v/>
      </c>
      <c r="F394">
        <f>IF(OR($E394="",$E394="نامعتبر"),"",LEFT($E394,4)&amp;"/"&amp;MID($E394,6,2))</f>
        <v/>
      </c>
      <c r="G394">
        <f>IF(OR($E394="",$E394="نامعتبر",Sync!$X390=""),"",IF(AND(LEFT(UPPER(TRIM(Sync!$X390)),2)="SL",IFERROR(VLOOKUP(Sync!$W390,OpTbl,3,0),"")="فروش"),UPPER(TRIM(Sync!$X390)),""))</f>
        <v/>
      </c>
      <c r="H394">
        <f>IF($G394="","",IF(Sync!$W390="","",Sync!$W390))</f>
        <v/>
      </c>
      <c r="I394">
        <f>IF(OR($G394="",Sync!$Y390=""),"",Sync!$Y390)</f>
        <v/>
      </c>
      <c r="J394">
        <f>IF(OR($G394="",Sync!$Z390=""),"",Sync!$Z390)</f>
        <v/>
      </c>
      <c r="K394">
        <f>IF($G394="",0,IF(Sync!$AA390="",0,Sync!$AA390))</f>
        <v/>
      </c>
      <c r="L394">
        <f>IF($G394="",0,IF(Sync!$AB390="",0,Sync!$AB390))</f>
        <v/>
      </c>
      <c r="M394">
        <f>IF($G394="","",IF($H394="مرجوعی فروش",-1,1)*($K394-$L394*IFERROR(VLOOKUP("P01",ParamTbl,3,0),1.5)))</f>
        <v/>
      </c>
      <c r="N394">
        <f>IF($G394="",0,IF($H394="مرجوعی فروش",-1,1)*IF(Sync!$AC390="",0,Sync!$AC390))</f>
        <v/>
      </c>
      <c r="O394">
        <f>IF(OR($G394="",Sync!$V390=""),"",Sync!$V390)</f>
        <v/>
      </c>
      <c r="P394">
        <f>IF(OR($G394="",Sync!$AD390=""),"",Sync!$AD390)</f>
        <v/>
      </c>
      <c r="Q394">
        <f>IF($G394="","",IF(Sync!$U390="","0000",IF(AND(ISNUMBER(Sync!$U390),Sync!$U390&gt;=0,Sync!$U390&lt;1),RIGHT("00"&amp;HOUR(Sync!$U390),2)&amp;RIGHT("00"&amp;MINUTE(Sync!$U390),2),IFERROR(RIGHT("00"&amp;VALUE(LEFT(Sync!$U390,FIND(":",Sync!$U390)-1)),2)&amp;RIGHT("00"&amp;VALUE(MID(Sync!$U390,FIND(":",Sync!$U390)+1,2)),2),"0000"))))</f>
        <v/>
      </c>
    </row>
    <row r="395">
      <c r="A395">
        <f>IF(Sync!$T391="","",Sync!$T391)</f>
        <v/>
      </c>
      <c r="B395">
        <f>IF($A395="","",IF(ISNUMBER($A395),IF(AND($A395&gt;=10000101,$A395&lt;=99991231),INT($A395/10000),""),IFERROR(VALUE(TRIM(LEFT($A395,FIND("/",$A395)-1))),"")))</f>
        <v/>
      </c>
      <c r="C395">
        <f>IF(OR($A395="",$B395=""),"",IF(ISNUMBER($A395),INT(MOD($A395,10000)/100),IFERROR(VALUE(TRIM(LEFT(MID($A395,FIND("/",$A395)+1,20),FIND("/",MID($A395,FIND("/",$A395)+1,20))-1))),"")))</f>
        <v/>
      </c>
      <c r="D395">
        <f>IF(OR($A395="",$B395=""),"",IF(ISNUMBER($A395),MOD($A395,100),IFERROR(VALUE(TRIM(MID(MID($A395,FIND("/",$A395)+1,20),FIND("/",MID($A395,FIND("/",$A395)+1,20))+1,20))),"")))</f>
        <v/>
      </c>
      <c r="E395">
        <f>IF($A395="","",IF(OR($B395="",$C395="",$D395="",$B395&lt;1300,$B395&gt;1500,$C395&lt;1,$C395&gt;12,$D395&lt;1,$D395&gt;31),"نامعتبر",RIGHT("0000"&amp;$B395,4)&amp;"/"&amp;RIGHT("00"&amp;$C395,2)&amp;"/"&amp;RIGHT("00"&amp;$D395,2)))</f>
        <v/>
      </c>
      <c r="F395">
        <f>IF(OR($E395="",$E395="نامعتبر"),"",LEFT($E395,4)&amp;"/"&amp;MID($E395,6,2))</f>
        <v/>
      </c>
      <c r="G395">
        <f>IF(OR($E395="",$E395="نامعتبر",Sync!$X391=""),"",IF(AND(LEFT(UPPER(TRIM(Sync!$X391)),2)="SL",IFERROR(VLOOKUP(Sync!$W391,OpTbl,3,0),"")="فروش"),UPPER(TRIM(Sync!$X391)),""))</f>
        <v/>
      </c>
      <c r="H395">
        <f>IF($G395="","",IF(Sync!$W391="","",Sync!$W391))</f>
        <v/>
      </c>
      <c r="I395">
        <f>IF(OR($G395="",Sync!$Y391=""),"",Sync!$Y391)</f>
        <v/>
      </c>
      <c r="J395">
        <f>IF(OR($G395="",Sync!$Z391=""),"",Sync!$Z391)</f>
        <v/>
      </c>
      <c r="K395">
        <f>IF($G395="",0,IF(Sync!$AA391="",0,Sync!$AA391))</f>
        <v/>
      </c>
      <c r="L395">
        <f>IF($G395="",0,IF(Sync!$AB391="",0,Sync!$AB391))</f>
        <v/>
      </c>
      <c r="M395">
        <f>IF($G395="","",IF($H395="مرجوعی فروش",-1,1)*($K395-$L395*IFERROR(VLOOKUP("P01",ParamTbl,3,0),1.5)))</f>
        <v/>
      </c>
      <c r="N395">
        <f>IF($G395="",0,IF($H395="مرجوعی فروش",-1,1)*IF(Sync!$AC391="",0,Sync!$AC391))</f>
        <v/>
      </c>
      <c r="O395">
        <f>IF(OR($G395="",Sync!$V391=""),"",Sync!$V391)</f>
        <v/>
      </c>
      <c r="P395">
        <f>IF(OR($G395="",Sync!$AD391=""),"",Sync!$AD391)</f>
        <v/>
      </c>
      <c r="Q395">
        <f>IF($G395="","",IF(Sync!$U391="","0000",IF(AND(ISNUMBER(Sync!$U391),Sync!$U391&gt;=0,Sync!$U391&lt;1),RIGHT("00"&amp;HOUR(Sync!$U391),2)&amp;RIGHT("00"&amp;MINUTE(Sync!$U391),2),IFERROR(RIGHT("00"&amp;VALUE(LEFT(Sync!$U391,FIND(":",Sync!$U391)-1)),2)&amp;RIGHT("00"&amp;VALUE(MID(Sync!$U391,FIND(":",Sync!$U391)+1,2)),2),"0000"))))</f>
        <v/>
      </c>
    </row>
    <row r="396">
      <c r="A396">
        <f>IF(Sync!$T392="","",Sync!$T392)</f>
        <v/>
      </c>
      <c r="B396">
        <f>IF($A396="","",IF(ISNUMBER($A396),IF(AND($A396&gt;=10000101,$A396&lt;=99991231),INT($A396/10000),""),IFERROR(VALUE(TRIM(LEFT($A396,FIND("/",$A396)-1))),"")))</f>
        <v/>
      </c>
      <c r="C396">
        <f>IF(OR($A396="",$B396=""),"",IF(ISNUMBER($A396),INT(MOD($A396,10000)/100),IFERROR(VALUE(TRIM(LEFT(MID($A396,FIND("/",$A396)+1,20),FIND("/",MID($A396,FIND("/",$A396)+1,20))-1))),"")))</f>
        <v/>
      </c>
      <c r="D396">
        <f>IF(OR($A396="",$B396=""),"",IF(ISNUMBER($A396),MOD($A396,100),IFERROR(VALUE(TRIM(MID(MID($A396,FIND("/",$A396)+1,20),FIND("/",MID($A396,FIND("/",$A396)+1,20))+1,20))),"")))</f>
        <v/>
      </c>
      <c r="E396">
        <f>IF($A396="","",IF(OR($B396="",$C396="",$D396="",$B396&lt;1300,$B396&gt;1500,$C396&lt;1,$C396&gt;12,$D396&lt;1,$D396&gt;31),"نامعتبر",RIGHT("0000"&amp;$B396,4)&amp;"/"&amp;RIGHT("00"&amp;$C396,2)&amp;"/"&amp;RIGHT("00"&amp;$D396,2)))</f>
        <v/>
      </c>
      <c r="F396">
        <f>IF(OR($E396="",$E396="نامعتبر"),"",LEFT($E396,4)&amp;"/"&amp;MID($E396,6,2))</f>
        <v/>
      </c>
      <c r="G396">
        <f>IF(OR($E396="",$E396="نامعتبر",Sync!$X392=""),"",IF(AND(LEFT(UPPER(TRIM(Sync!$X392)),2)="SL",IFERROR(VLOOKUP(Sync!$W392,OpTbl,3,0),"")="فروش"),UPPER(TRIM(Sync!$X392)),""))</f>
        <v/>
      </c>
      <c r="H396">
        <f>IF($G396="","",IF(Sync!$W392="","",Sync!$W392))</f>
        <v/>
      </c>
      <c r="I396">
        <f>IF(OR($G396="",Sync!$Y392=""),"",Sync!$Y392)</f>
        <v/>
      </c>
      <c r="J396">
        <f>IF(OR($G396="",Sync!$Z392=""),"",Sync!$Z392)</f>
        <v/>
      </c>
      <c r="K396">
        <f>IF($G396="",0,IF(Sync!$AA392="",0,Sync!$AA392))</f>
        <v/>
      </c>
      <c r="L396">
        <f>IF($G396="",0,IF(Sync!$AB392="",0,Sync!$AB392))</f>
        <v/>
      </c>
      <c r="M396">
        <f>IF($G396="","",IF($H396="مرجوعی فروش",-1,1)*($K396-$L396*IFERROR(VLOOKUP("P01",ParamTbl,3,0),1.5)))</f>
        <v/>
      </c>
      <c r="N396">
        <f>IF($G396="",0,IF($H396="مرجوعی فروش",-1,1)*IF(Sync!$AC392="",0,Sync!$AC392))</f>
        <v/>
      </c>
      <c r="O396">
        <f>IF(OR($G396="",Sync!$V392=""),"",Sync!$V392)</f>
        <v/>
      </c>
      <c r="P396">
        <f>IF(OR($G396="",Sync!$AD392=""),"",Sync!$AD392)</f>
        <v/>
      </c>
      <c r="Q396">
        <f>IF($G396="","",IF(Sync!$U392="","0000",IF(AND(ISNUMBER(Sync!$U392),Sync!$U392&gt;=0,Sync!$U392&lt;1),RIGHT("00"&amp;HOUR(Sync!$U392),2)&amp;RIGHT("00"&amp;MINUTE(Sync!$U392),2),IFERROR(RIGHT("00"&amp;VALUE(LEFT(Sync!$U392,FIND(":",Sync!$U392)-1)),2)&amp;RIGHT("00"&amp;VALUE(MID(Sync!$U392,FIND(":",Sync!$U392)+1,2)),2),"0000"))))</f>
        <v/>
      </c>
    </row>
    <row r="397">
      <c r="A397">
        <f>IF(Sync!$T393="","",Sync!$T393)</f>
        <v/>
      </c>
      <c r="B397">
        <f>IF($A397="","",IF(ISNUMBER($A397),IF(AND($A397&gt;=10000101,$A397&lt;=99991231),INT($A397/10000),""),IFERROR(VALUE(TRIM(LEFT($A397,FIND("/",$A397)-1))),"")))</f>
        <v/>
      </c>
      <c r="C397">
        <f>IF(OR($A397="",$B397=""),"",IF(ISNUMBER($A397),INT(MOD($A397,10000)/100),IFERROR(VALUE(TRIM(LEFT(MID($A397,FIND("/",$A397)+1,20),FIND("/",MID($A397,FIND("/",$A397)+1,20))-1))),"")))</f>
        <v/>
      </c>
      <c r="D397">
        <f>IF(OR($A397="",$B397=""),"",IF(ISNUMBER($A397),MOD($A397,100),IFERROR(VALUE(TRIM(MID(MID($A397,FIND("/",$A397)+1,20),FIND("/",MID($A397,FIND("/",$A397)+1,20))+1,20))),"")))</f>
        <v/>
      </c>
      <c r="E397">
        <f>IF($A397="","",IF(OR($B397="",$C397="",$D397="",$B397&lt;1300,$B397&gt;1500,$C397&lt;1,$C397&gt;12,$D397&lt;1,$D397&gt;31),"نامعتبر",RIGHT("0000"&amp;$B397,4)&amp;"/"&amp;RIGHT("00"&amp;$C397,2)&amp;"/"&amp;RIGHT("00"&amp;$D397,2)))</f>
        <v/>
      </c>
      <c r="F397">
        <f>IF(OR($E397="",$E397="نامعتبر"),"",LEFT($E397,4)&amp;"/"&amp;MID($E397,6,2))</f>
        <v/>
      </c>
      <c r="G397">
        <f>IF(OR($E397="",$E397="نامعتبر",Sync!$X393=""),"",IF(AND(LEFT(UPPER(TRIM(Sync!$X393)),2)="SL",IFERROR(VLOOKUP(Sync!$W393,OpTbl,3,0),"")="فروش"),UPPER(TRIM(Sync!$X393)),""))</f>
        <v/>
      </c>
      <c r="H397">
        <f>IF($G397="","",IF(Sync!$W393="","",Sync!$W393))</f>
        <v/>
      </c>
      <c r="I397">
        <f>IF(OR($G397="",Sync!$Y393=""),"",Sync!$Y393)</f>
        <v/>
      </c>
      <c r="J397">
        <f>IF(OR($G397="",Sync!$Z393=""),"",Sync!$Z393)</f>
        <v/>
      </c>
      <c r="K397">
        <f>IF($G397="",0,IF(Sync!$AA393="",0,Sync!$AA393))</f>
        <v/>
      </c>
      <c r="L397">
        <f>IF($G397="",0,IF(Sync!$AB393="",0,Sync!$AB393))</f>
        <v/>
      </c>
      <c r="M397">
        <f>IF($G397="","",IF($H397="مرجوعی فروش",-1,1)*($K397-$L397*IFERROR(VLOOKUP("P01",ParamTbl,3,0),1.5)))</f>
        <v/>
      </c>
      <c r="N397">
        <f>IF($G397="",0,IF($H397="مرجوعی فروش",-1,1)*IF(Sync!$AC393="",0,Sync!$AC393))</f>
        <v/>
      </c>
      <c r="O397">
        <f>IF(OR($G397="",Sync!$V393=""),"",Sync!$V393)</f>
        <v/>
      </c>
      <c r="P397">
        <f>IF(OR($G397="",Sync!$AD393=""),"",Sync!$AD393)</f>
        <v/>
      </c>
      <c r="Q397">
        <f>IF($G397="","",IF(Sync!$U393="","0000",IF(AND(ISNUMBER(Sync!$U393),Sync!$U393&gt;=0,Sync!$U393&lt;1),RIGHT("00"&amp;HOUR(Sync!$U393),2)&amp;RIGHT("00"&amp;MINUTE(Sync!$U393),2),IFERROR(RIGHT("00"&amp;VALUE(LEFT(Sync!$U393,FIND(":",Sync!$U393)-1)),2)&amp;RIGHT("00"&amp;VALUE(MID(Sync!$U393,FIND(":",Sync!$U393)+1,2)),2),"0000"))))</f>
        <v/>
      </c>
    </row>
    <row r="398">
      <c r="A398">
        <f>IF(Sync!$T394="","",Sync!$T394)</f>
        <v/>
      </c>
      <c r="B398">
        <f>IF($A398="","",IF(ISNUMBER($A398),IF(AND($A398&gt;=10000101,$A398&lt;=99991231),INT($A398/10000),""),IFERROR(VALUE(TRIM(LEFT($A398,FIND("/",$A398)-1))),"")))</f>
        <v/>
      </c>
      <c r="C398">
        <f>IF(OR($A398="",$B398=""),"",IF(ISNUMBER($A398),INT(MOD($A398,10000)/100),IFERROR(VALUE(TRIM(LEFT(MID($A398,FIND("/",$A398)+1,20),FIND("/",MID($A398,FIND("/",$A398)+1,20))-1))),"")))</f>
        <v/>
      </c>
      <c r="D398">
        <f>IF(OR($A398="",$B398=""),"",IF(ISNUMBER($A398),MOD($A398,100),IFERROR(VALUE(TRIM(MID(MID($A398,FIND("/",$A398)+1,20),FIND("/",MID($A398,FIND("/",$A398)+1,20))+1,20))),"")))</f>
        <v/>
      </c>
      <c r="E398">
        <f>IF($A398="","",IF(OR($B398="",$C398="",$D398="",$B398&lt;1300,$B398&gt;1500,$C398&lt;1,$C398&gt;12,$D398&lt;1,$D398&gt;31),"نامعتبر",RIGHT("0000"&amp;$B398,4)&amp;"/"&amp;RIGHT("00"&amp;$C398,2)&amp;"/"&amp;RIGHT("00"&amp;$D398,2)))</f>
        <v/>
      </c>
      <c r="F398">
        <f>IF(OR($E398="",$E398="نامعتبر"),"",LEFT($E398,4)&amp;"/"&amp;MID($E398,6,2))</f>
        <v/>
      </c>
      <c r="G398">
        <f>IF(OR($E398="",$E398="نامعتبر",Sync!$X394=""),"",IF(AND(LEFT(UPPER(TRIM(Sync!$X394)),2)="SL",IFERROR(VLOOKUP(Sync!$W394,OpTbl,3,0),"")="فروش"),UPPER(TRIM(Sync!$X394)),""))</f>
        <v/>
      </c>
      <c r="H398">
        <f>IF($G398="","",IF(Sync!$W394="","",Sync!$W394))</f>
        <v/>
      </c>
      <c r="I398">
        <f>IF(OR($G398="",Sync!$Y394=""),"",Sync!$Y394)</f>
        <v/>
      </c>
      <c r="J398">
        <f>IF(OR($G398="",Sync!$Z394=""),"",Sync!$Z394)</f>
        <v/>
      </c>
      <c r="K398">
        <f>IF($G398="",0,IF(Sync!$AA394="",0,Sync!$AA394))</f>
        <v/>
      </c>
      <c r="L398">
        <f>IF($G398="",0,IF(Sync!$AB394="",0,Sync!$AB394))</f>
        <v/>
      </c>
      <c r="M398">
        <f>IF($G398="","",IF($H398="مرجوعی فروش",-1,1)*($K398-$L398*IFERROR(VLOOKUP("P01",ParamTbl,3,0),1.5)))</f>
        <v/>
      </c>
      <c r="N398">
        <f>IF($G398="",0,IF($H398="مرجوعی فروش",-1,1)*IF(Sync!$AC394="",0,Sync!$AC394))</f>
        <v/>
      </c>
      <c r="O398">
        <f>IF(OR($G398="",Sync!$V394=""),"",Sync!$V394)</f>
        <v/>
      </c>
      <c r="P398">
        <f>IF(OR($G398="",Sync!$AD394=""),"",Sync!$AD394)</f>
        <v/>
      </c>
      <c r="Q398">
        <f>IF($G398="","",IF(Sync!$U394="","0000",IF(AND(ISNUMBER(Sync!$U394),Sync!$U394&gt;=0,Sync!$U394&lt;1),RIGHT("00"&amp;HOUR(Sync!$U394),2)&amp;RIGHT("00"&amp;MINUTE(Sync!$U394),2),IFERROR(RIGHT("00"&amp;VALUE(LEFT(Sync!$U394,FIND(":",Sync!$U394)-1)),2)&amp;RIGHT("00"&amp;VALUE(MID(Sync!$U394,FIND(":",Sync!$U394)+1,2)),2),"0000"))))</f>
        <v/>
      </c>
    </row>
    <row r="399">
      <c r="A399">
        <f>IF(Sync!$T395="","",Sync!$T395)</f>
        <v/>
      </c>
      <c r="B399">
        <f>IF($A399="","",IF(ISNUMBER($A399),IF(AND($A399&gt;=10000101,$A399&lt;=99991231),INT($A399/10000),""),IFERROR(VALUE(TRIM(LEFT($A399,FIND("/",$A399)-1))),"")))</f>
        <v/>
      </c>
      <c r="C399">
        <f>IF(OR($A399="",$B399=""),"",IF(ISNUMBER($A399),INT(MOD($A399,10000)/100),IFERROR(VALUE(TRIM(LEFT(MID($A399,FIND("/",$A399)+1,20),FIND("/",MID($A399,FIND("/",$A399)+1,20))-1))),"")))</f>
        <v/>
      </c>
      <c r="D399">
        <f>IF(OR($A399="",$B399=""),"",IF(ISNUMBER($A399),MOD($A399,100),IFERROR(VALUE(TRIM(MID(MID($A399,FIND("/",$A399)+1,20),FIND("/",MID($A399,FIND("/",$A399)+1,20))+1,20))),"")))</f>
        <v/>
      </c>
      <c r="E399">
        <f>IF($A399="","",IF(OR($B399="",$C399="",$D399="",$B399&lt;1300,$B399&gt;1500,$C399&lt;1,$C399&gt;12,$D399&lt;1,$D399&gt;31),"نامعتبر",RIGHT("0000"&amp;$B399,4)&amp;"/"&amp;RIGHT("00"&amp;$C399,2)&amp;"/"&amp;RIGHT("00"&amp;$D399,2)))</f>
        <v/>
      </c>
      <c r="F399">
        <f>IF(OR($E399="",$E399="نامعتبر"),"",LEFT($E399,4)&amp;"/"&amp;MID($E399,6,2))</f>
        <v/>
      </c>
      <c r="G399">
        <f>IF(OR($E399="",$E399="نامعتبر",Sync!$X395=""),"",IF(AND(LEFT(UPPER(TRIM(Sync!$X395)),2)="SL",IFERROR(VLOOKUP(Sync!$W395,OpTbl,3,0),"")="فروش"),UPPER(TRIM(Sync!$X395)),""))</f>
        <v/>
      </c>
      <c r="H399">
        <f>IF($G399="","",IF(Sync!$W395="","",Sync!$W395))</f>
        <v/>
      </c>
      <c r="I399">
        <f>IF(OR($G399="",Sync!$Y395=""),"",Sync!$Y395)</f>
        <v/>
      </c>
      <c r="J399">
        <f>IF(OR($G399="",Sync!$Z395=""),"",Sync!$Z395)</f>
        <v/>
      </c>
      <c r="K399">
        <f>IF($G399="",0,IF(Sync!$AA395="",0,Sync!$AA395))</f>
        <v/>
      </c>
      <c r="L399">
        <f>IF($G399="",0,IF(Sync!$AB395="",0,Sync!$AB395))</f>
        <v/>
      </c>
      <c r="M399">
        <f>IF($G399="","",IF($H399="مرجوعی فروش",-1,1)*($K399-$L399*IFERROR(VLOOKUP("P01",ParamTbl,3,0),1.5)))</f>
        <v/>
      </c>
      <c r="N399">
        <f>IF($G399="",0,IF($H399="مرجوعی فروش",-1,1)*IF(Sync!$AC395="",0,Sync!$AC395))</f>
        <v/>
      </c>
      <c r="O399">
        <f>IF(OR($G399="",Sync!$V395=""),"",Sync!$V395)</f>
        <v/>
      </c>
      <c r="P399">
        <f>IF(OR($G399="",Sync!$AD395=""),"",Sync!$AD395)</f>
        <v/>
      </c>
      <c r="Q399">
        <f>IF($G399="","",IF(Sync!$U395="","0000",IF(AND(ISNUMBER(Sync!$U395),Sync!$U395&gt;=0,Sync!$U395&lt;1),RIGHT("00"&amp;HOUR(Sync!$U395),2)&amp;RIGHT("00"&amp;MINUTE(Sync!$U395),2),IFERROR(RIGHT("00"&amp;VALUE(LEFT(Sync!$U395,FIND(":",Sync!$U395)-1)),2)&amp;RIGHT("00"&amp;VALUE(MID(Sync!$U395,FIND(":",Sync!$U395)+1,2)),2),"0000"))))</f>
        <v/>
      </c>
    </row>
    <row r="400">
      <c r="A400">
        <f>IF(Sync!$T396="","",Sync!$T396)</f>
        <v/>
      </c>
      <c r="B400">
        <f>IF($A400="","",IF(ISNUMBER($A400),IF(AND($A400&gt;=10000101,$A400&lt;=99991231),INT($A400/10000),""),IFERROR(VALUE(TRIM(LEFT($A400,FIND("/",$A400)-1))),"")))</f>
        <v/>
      </c>
      <c r="C400">
        <f>IF(OR($A400="",$B400=""),"",IF(ISNUMBER($A400),INT(MOD($A400,10000)/100),IFERROR(VALUE(TRIM(LEFT(MID($A400,FIND("/",$A400)+1,20),FIND("/",MID($A400,FIND("/",$A400)+1,20))-1))),"")))</f>
        <v/>
      </c>
      <c r="D400">
        <f>IF(OR($A400="",$B400=""),"",IF(ISNUMBER($A400),MOD($A400,100),IFERROR(VALUE(TRIM(MID(MID($A400,FIND("/",$A400)+1,20),FIND("/",MID($A400,FIND("/",$A400)+1,20))+1,20))),"")))</f>
        <v/>
      </c>
      <c r="E400">
        <f>IF($A400="","",IF(OR($B400="",$C400="",$D400="",$B400&lt;1300,$B400&gt;1500,$C400&lt;1,$C400&gt;12,$D400&lt;1,$D400&gt;31),"نامعتبر",RIGHT("0000"&amp;$B400,4)&amp;"/"&amp;RIGHT("00"&amp;$C400,2)&amp;"/"&amp;RIGHT("00"&amp;$D400,2)))</f>
        <v/>
      </c>
      <c r="F400">
        <f>IF(OR($E400="",$E400="نامعتبر"),"",LEFT($E400,4)&amp;"/"&amp;MID($E400,6,2))</f>
        <v/>
      </c>
      <c r="G400">
        <f>IF(OR($E400="",$E400="نامعتبر",Sync!$X396=""),"",IF(AND(LEFT(UPPER(TRIM(Sync!$X396)),2)="SL",IFERROR(VLOOKUP(Sync!$W396,OpTbl,3,0),"")="فروش"),UPPER(TRIM(Sync!$X396)),""))</f>
        <v/>
      </c>
      <c r="H400">
        <f>IF($G400="","",IF(Sync!$W396="","",Sync!$W396))</f>
        <v/>
      </c>
      <c r="I400">
        <f>IF(OR($G400="",Sync!$Y396=""),"",Sync!$Y396)</f>
        <v/>
      </c>
      <c r="J400">
        <f>IF(OR($G400="",Sync!$Z396=""),"",Sync!$Z396)</f>
        <v/>
      </c>
      <c r="K400">
        <f>IF($G400="",0,IF(Sync!$AA396="",0,Sync!$AA396))</f>
        <v/>
      </c>
      <c r="L400">
        <f>IF($G400="",0,IF(Sync!$AB396="",0,Sync!$AB396))</f>
        <v/>
      </c>
      <c r="M400">
        <f>IF($G400="","",IF($H400="مرجوعی فروش",-1,1)*($K400-$L400*IFERROR(VLOOKUP("P01",ParamTbl,3,0),1.5)))</f>
        <v/>
      </c>
      <c r="N400">
        <f>IF($G400="",0,IF($H400="مرجوعی فروش",-1,1)*IF(Sync!$AC396="",0,Sync!$AC396))</f>
        <v/>
      </c>
      <c r="O400">
        <f>IF(OR($G400="",Sync!$V396=""),"",Sync!$V396)</f>
        <v/>
      </c>
      <c r="P400">
        <f>IF(OR($G400="",Sync!$AD396=""),"",Sync!$AD396)</f>
        <v/>
      </c>
      <c r="Q400">
        <f>IF($G400="","",IF(Sync!$U396="","0000",IF(AND(ISNUMBER(Sync!$U396),Sync!$U396&gt;=0,Sync!$U396&lt;1),RIGHT("00"&amp;HOUR(Sync!$U396),2)&amp;RIGHT("00"&amp;MINUTE(Sync!$U396),2),IFERROR(RIGHT("00"&amp;VALUE(LEFT(Sync!$U396,FIND(":",Sync!$U396)-1)),2)&amp;RIGHT("00"&amp;VALUE(MID(Sync!$U396,FIND(":",Sync!$U396)+1,2)),2),"0000"))))</f>
        <v/>
      </c>
    </row>
    <row r="401">
      <c r="A401">
        <f>IF(Sync!$T397="","",Sync!$T397)</f>
        <v/>
      </c>
      <c r="B401">
        <f>IF($A401="","",IF(ISNUMBER($A401),IF(AND($A401&gt;=10000101,$A401&lt;=99991231),INT($A401/10000),""),IFERROR(VALUE(TRIM(LEFT($A401,FIND("/",$A401)-1))),"")))</f>
        <v/>
      </c>
      <c r="C401">
        <f>IF(OR($A401="",$B401=""),"",IF(ISNUMBER($A401),INT(MOD($A401,10000)/100),IFERROR(VALUE(TRIM(LEFT(MID($A401,FIND("/",$A401)+1,20),FIND("/",MID($A401,FIND("/",$A401)+1,20))-1))),"")))</f>
        <v/>
      </c>
      <c r="D401">
        <f>IF(OR($A401="",$B401=""),"",IF(ISNUMBER($A401),MOD($A401,100),IFERROR(VALUE(TRIM(MID(MID($A401,FIND("/",$A401)+1,20),FIND("/",MID($A401,FIND("/",$A401)+1,20))+1,20))),"")))</f>
        <v/>
      </c>
      <c r="E401">
        <f>IF($A401="","",IF(OR($B401="",$C401="",$D401="",$B401&lt;1300,$B401&gt;1500,$C401&lt;1,$C401&gt;12,$D401&lt;1,$D401&gt;31),"نامعتبر",RIGHT("0000"&amp;$B401,4)&amp;"/"&amp;RIGHT("00"&amp;$C401,2)&amp;"/"&amp;RIGHT("00"&amp;$D401,2)))</f>
        <v/>
      </c>
      <c r="F401">
        <f>IF(OR($E401="",$E401="نامعتبر"),"",LEFT($E401,4)&amp;"/"&amp;MID($E401,6,2))</f>
        <v/>
      </c>
      <c r="G401">
        <f>IF(OR($E401="",$E401="نامعتبر",Sync!$X397=""),"",IF(AND(LEFT(UPPER(TRIM(Sync!$X397)),2)="SL",IFERROR(VLOOKUP(Sync!$W397,OpTbl,3,0),"")="فروش"),UPPER(TRIM(Sync!$X397)),""))</f>
        <v/>
      </c>
      <c r="H401">
        <f>IF($G401="","",IF(Sync!$W397="","",Sync!$W397))</f>
        <v/>
      </c>
      <c r="I401">
        <f>IF(OR($G401="",Sync!$Y397=""),"",Sync!$Y397)</f>
        <v/>
      </c>
      <c r="J401">
        <f>IF(OR($G401="",Sync!$Z397=""),"",Sync!$Z397)</f>
        <v/>
      </c>
      <c r="K401">
        <f>IF($G401="",0,IF(Sync!$AA397="",0,Sync!$AA397))</f>
        <v/>
      </c>
      <c r="L401">
        <f>IF($G401="",0,IF(Sync!$AB397="",0,Sync!$AB397))</f>
        <v/>
      </c>
      <c r="M401">
        <f>IF($G401="","",IF($H401="مرجوعی فروش",-1,1)*($K401-$L401*IFERROR(VLOOKUP("P01",ParamTbl,3,0),1.5)))</f>
        <v/>
      </c>
      <c r="N401">
        <f>IF($G401="",0,IF($H401="مرجوعی فروش",-1,1)*IF(Sync!$AC397="",0,Sync!$AC397))</f>
        <v/>
      </c>
      <c r="O401">
        <f>IF(OR($G401="",Sync!$V397=""),"",Sync!$V397)</f>
        <v/>
      </c>
      <c r="P401">
        <f>IF(OR($G401="",Sync!$AD397=""),"",Sync!$AD397)</f>
        <v/>
      </c>
      <c r="Q401">
        <f>IF($G401="","",IF(Sync!$U397="","0000",IF(AND(ISNUMBER(Sync!$U397),Sync!$U397&gt;=0,Sync!$U397&lt;1),RIGHT("00"&amp;HOUR(Sync!$U397),2)&amp;RIGHT("00"&amp;MINUTE(Sync!$U397),2),IFERROR(RIGHT("00"&amp;VALUE(LEFT(Sync!$U397,FIND(":",Sync!$U397)-1)),2)&amp;RIGHT("00"&amp;VALUE(MID(Sync!$U397,FIND(":",Sync!$U397)+1,2)),2),"0000"))))</f>
        <v/>
      </c>
    </row>
    <row r="402">
      <c r="A402">
        <f>IF(Sync!$T398="","",Sync!$T398)</f>
        <v/>
      </c>
      <c r="B402">
        <f>IF($A402="","",IF(ISNUMBER($A402),IF(AND($A402&gt;=10000101,$A402&lt;=99991231),INT($A402/10000),""),IFERROR(VALUE(TRIM(LEFT($A402,FIND("/",$A402)-1))),"")))</f>
        <v/>
      </c>
      <c r="C402">
        <f>IF(OR($A402="",$B402=""),"",IF(ISNUMBER($A402),INT(MOD($A402,10000)/100),IFERROR(VALUE(TRIM(LEFT(MID($A402,FIND("/",$A402)+1,20),FIND("/",MID($A402,FIND("/",$A402)+1,20))-1))),"")))</f>
        <v/>
      </c>
      <c r="D402">
        <f>IF(OR($A402="",$B402=""),"",IF(ISNUMBER($A402),MOD($A402,100),IFERROR(VALUE(TRIM(MID(MID($A402,FIND("/",$A402)+1,20),FIND("/",MID($A402,FIND("/",$A402)+1,20))+1,20))),"")))</f>
        <v/>
      </c>
      <c r="E402">
        <f>IF($A402="","",IF(OR($B402="",$C402="",$D402="",$B402&lt;1300,$B402&gt;1500,$C402&lt;1,$C402&gt;12,$D402&lt;1,$D402&gt;31),"نامعتبر",RIGHT("0000"&amp;$B402,4)&amp;"/"&amp;RIGHT("00"&amp;$C402,2)&amp;"/"&amp;RIGHT("00"&amp;$D402,2)))</f>
        <v/>
      </c>
      <c r="F402">
        <f>IF(OR($E402="",$E402="نامعتبر"),"",LEFT($E402,4)&amp;"/"&amp;MID($E402,6,2))</f>
        <v/>
      </c>
      <c r="G402">
        <f>IF(OR($E402="",$E402="نامعتبر",Sync!$X398=""),"",IF(AND(LEFT(UPPER(TRIM(Sync!$X398)),2)="SL",IFERROR(VLOOKUP(Sync!$W398,OpTbl,3,0),"")="فروش"),UPPER(TRIM(Sync!$X398)),""))</f>
        <v/>
      </c>
      <c r="H402">
        <f>IF($G402="","",IF(Sync!$W398="","",Sync!$W398))</f>
        <v/>
      </c>
      <c r="I402">
        <f>IF(OR($G402="",Sync!$Y398=""),"",Sync!$Y398)</f>
        <v/>
      </c>
      <c r="J402">
        <f>IF(OR($G402="",Sync!$Z398=""),"",Sync!$Z398)</f>
        <v/>
      </c>
      <c r="K402">
        <f>IF($G402="",0,IF(Sync!$AA398="",0,Sync!$AA398))</f>
        <v/>
      </c>
      <c r="L402">
        <f>IF($G402="",0,IF(Sync!$AB398="",0,Sync!$AB398))</f>
        <v/>
      </c>
      <c r="M402">
        <f>IF($G402="","",IF($H402="مرجوعی فروش",-1,1)*($K402-$L402*IFERROR(VLOOKUP("P01",ParamTbl,3,0),1.5)))</f>
        <v/>
      </c>
      <c r="N402">
        <f>IF($G402="",0,IF($H402="مرجوعی فروش",-1,1)*IF(Sync!$AC398="",0,Sync!$AC398))</f>
        <v/>
      </c>
      <c r="O402">
        <f>IF(OR($G402="",Sync!$V398=""),"",Sync!$V398)</f>
        <v/>
      </c>
      <c r="P402">
        <f>IF(OR($G402="",Sync!$AD398=""),"",Sync!$AD398)</f>
        <v/>
      </c>
      <c r="Q402">
        <f>IF($G402="","",IF(Sync!$U398="","0000",IF(AND(ISNUMBER(Sync!$U398),Sync!$U398&gt;=0,Sync!$U398&lt;1),RIGHT("00"&amp;HOUR(Sync!$U398),2)&amp;RIGHT("00"&amp;MINUTE(Sync!$U398),2),IFERROR(RIGHT("00"&amp;VALUE(LEFT(Sync!$U398,FIND(":",Sync!$U398)-1)),2)&amp;RIGHT("00"&amp;VALUE(MID(Sync!$U398,FIND(":",Sync!$U398)+1,2)),2),"0000"))))</f>
        <v/>
      </c>
    </row>
    <row r="403">
      <c r="A403">
        <f>IF(Sync!$T399="","",Sync!$T399)</f>
        <v/>
      </c>
      <c r="B403">
        <f>IF($A403="","",IF(ISNUMBER($A403),IF(AND($A403&gt;=10000101,$A403&lt;=99991231),INT($A403/10000),""),IFERROR(VALUE(TRIM(LEFT($A403,FIND("/",$A403)-1))),"")))</f>
        <v/>
      </c>
      <c r="C403">
        <f>IF(OR($A403="",$B403=""),"",IF(ISNUMBER($A403),INT(MOD($A403,10000)/100),IFERROR(VALUE(TRIM(LEFT(MID($A403,FIND("/",$A403)+1,20),FIND("/",MID($A403,FIND("/",$A403)+1,20))-1))),"")))</f>
        <v/>
      </c>
      <c r="D403">
        <f>IF(OR($A403="",$B403=""),"",IF(ISNUMBER($A403),MOD($A403,100),IFERROR(VALUE(TRIM(MID(MID($A403,FIND("/",$A403)+1,20),FIND("/",MID($A403,FIND("/",$A403)+1,20))+1,20))),"")))</f>
        <v/>
      </c>
      <c r="E403">
        <f>IF($A403="","",IF(OR($B403="",$C403="",$D403="",$B403&lt;1300,$B403&gt;1500,$C403&lt;1,$C403&gt;12,$D403&lt;1,$D403&gt;31),"نامعتبر",RIGHT("0000"&amp;$B403,4)&amp;"/"&amp;RIGHT("00"&amp;$C403,2)&amp;"/"&amp;RIGHT("00"&amp;$D403,2)))</f>
        <v/>
      </c>
      <c r="F403">
        <f>IF(OR($E403="",$E403="نامعتبر"),"",LEFT($E403,4)&amp;"/"&amp;MID($E403,6,2))</f>
        <v/>
      </c>
      <c r="G403">
        <f>IF(OR($E403="",$E403="نامعتبر",Sync!$X399=""),"",IF(AND(LEFT(UPPER(TRIM(Sync!$X399)),2)="SL",IFERROR(VLOOKUP(Sync!$W399,OpTbl,3,0),"")="فروش"),UPPER(TRIM(Sync!$X399)),""))</f>
        <v/>
      </c>
      <c r="H403">
        <f>IF($G403="","",IF(Sync!$W399="","",Sync!$W399))</f>
        <v/>
      </c>
      <c r="I403">
        <f>IF(OR($G403="",Sync!$Y399=""),"",Sync!$Y399)</f>
        <v/>
      </c>
      <c r="J403">
        <f>IF(OR($G403="",Sync!$Z399=""),"",Sync!$Z399)</f>
        <v/>
      </c>
      <c r="K403">
        <f>IF($G403="",0,IF(Sync!$AA399="",0,Sync!$AA399))</f>
        <v/>
      </c>
      <c r="L403">
        <f>IF($G403="",0,IF(Sync!$AB399="",0,Sync!$AB399))</f>
        <v/>
      </c>
      <c r="M403">
        <f>IF($G403="","",IF($H403="مرجوعی فروش",-1,1)*($K403-$L403*IFERROR(VLOOKUP("P01",ParamTbl,3,0),1.5)))</f>
        <v/>
      </c>
      <c r="N403">
        <f>IF($G403="",0,IF($H403="مرجوعی فروش",-1,1)*IF(Sync!$AC399="",0,Sync!$AC399))</f>
        <v/>
      </c>
      <c r="O403">
        <f>IF(OR($G403="",Sync!$V399=""),"",Sync!$V399)</f>
        <v/>
      </c>
      <c r="P403">
        <f>IF(OR($G403="",Sync!$AD399=""),"",Sync!$AD399)</f>
        <v/>
      </c>
      <c r="Q403">
        <f>IF($G403="","",IF(Sync!$U399="","0000",IF(AND(ISNUMBER(Sync!$U399),Sync!$U399&gt;=0,Sync!$U399&lt;1),RIGHT("00"&amp;HOUR(Sync!$U399),2)&amp;RIGHT("00"&amp;MINUTE(Sync!$U399),2),IFERROR(RIGHT("00"&amp;VALUE(LEFT(Sync!$U399,FIND(":",Sync!$U399)-1)),2)&amp;RIGHT("00"&amp;VALUE(MID(Sync!$U399,FIND(":",Sync!$U399)+1,2)),2),"0000"))))</f>
        <v/>
      </c>
    </row>
    <row r="404">
      <c r="A404">
        <f>IF(Sync!$T400="","",Sync!$T400)</f>
        <v/>
      </c>
      <c r="B404">
        <f>IF($A404="","",IF(ISNUMBER($A404),IF(AND($A404&gt;=10000101,$A404&lt;=99991231),INT($A404/10000),""),IFERROR(VALUE(TRIM(LEFT($A404,FIND("/",$A404)-1))),"")))</f>
        <v/>
      </c>
      <c r="C404">
        <f>IF(OR($A404="",$B404=""),"",IF(ISNUMBER($A404),INT(MOD($A404,10000)/100),IFERROR(VALUE(TRIM(LEFT(MID($A404,FIND("/",$A404)+1,20),FIND("/",MID($A404,FIND("/",$A404)+1,20))-1))),"")))</f>
        <v/>
      </c>
      <c r="D404">
        <f>IF(OR($A404="",$B404=""),"",IF(ISNUMBER($A404),MOD($A404,100),IFERROR(VALUE(TRIM(MID(MID($A404,FIND("/",$A404)+1,20),FIND("/",MID($A404,FIND("/",$A404)+1,20))+1,20))),"")))</f>
        <v/>
      </c>
      <c r="E404">
        <f>IF($A404="","",IF(OR($B404="",$C404="",$D404="",$B404&lt;1300,$B404&gt;1500,$C404&lt;1,$C404&gt;12,$D404&lt;1,$D404&gt;31),"نامعتبر",RIGHT("0000"&amp;$B404,4)&amp;"/"&amp;RIGHT("00"&amp;$C404,2)&amp;"/"&amp;RIGHT("00"&amp;$D404,2)))</f>
        <v/>
      </c>
      <c r="F404">
        <f>IF(OR($E404="",$E404="نامعتبر"),"",LEFT($E404,4)&amp;"/"&amp;MID($E404,6,2))</f>
        <v/>
      </c>
      <c r="G404">
        <f>IF(OR($E404="",$E404="نامعتبر",Sync!$X400=""),"",IF(AND(LEFT(UPPER(TRIM(Sync!$X400)),2)="SL",IFERROR(VLOOKUP(Sync!$W400,OpTbl,3,0),"")="فروش"),UPPER(TRIM(Sync!$X400)),""))</f>
        <v/>
      </c>
      <c r="H404">
        <f>IF($G404="","",IF(Sync!$W400="","",Sync!$W400))</f>
        <v/>
      </c>
      <c r="I404">
        <f>IF(OR($G404="",Sync!$Y400=""),"",Sync!$Y400)</f>
        <v/>
      </c>
      <c r="J404">
        <f>IF(OR($G404="",Sync!$Z400=""),"",Sync!$Z400)</f>
        <v/>
      </c>
      <c r="K404">
        <f>IF($G404="",0,IF(Sync!$AA400="",0,Sync!$AA400))</f>
        <v/>
      </c>
      <c r="L404">
        <f>IF($G404="",0,IF(Sync!$AB400="",0,Sync!$AB400))</f>
        <v/>
      </c>
      <c r="M404">
        <f>IF($G404="","",IF($H404="مرجوعی فروش",-1,1)*($K404-$L404*IFERROR(VLOOKUP("P01",ParamTbl,3,0),1.5)))</f>
        <v/>
      </c>
      <c r="N404">
        <f>IF($G404="",0,IF($H404="مرجوعی فروش",-1,1)*IF(Sync!$AC400="",0,Sync!$AC400))</f>
        <v/>
      </c>
      <c r="O404">
        <f>IF(OR($G404="",Sync!$V400=""),"",Sync!$V400)</f>
        <v/>
      </c>
      <c r="P404">
        <f>IF(OR($G404="",Sync!$AD400=""),"",Sync!$AD400)</f>
        <v/>
      </c>
      <c r="Q404">
        <f>IF($G404="","",IF(Sync!$U400="","0000",IF(AND(ISNUMBER(Sync!$U400),Sync!$U400&gt;=0,Sync!$U400&lt;1),RIGHT("00"&amp;HOUR(Sync!$U400),2)&amp;RIGHT("00"&amp;MINUTE(Sync!$U400),2),IFERROR(RIGHT("00"&amp;VALUE(LEFT(Sync!$U400,FIND(":",Sync!$U400)-1)),2)&amp;RIGHT("00"&amp;VALUE(MID(Sync!$U400,FIND(":",Sync!$U400)+1,2)),2),"0000"))))</f>
        <v/>
      </c>
    </row>
    <row r="405">
      <c r="A405">
        <f>IF(Sync!$T401="","",Sync!$T401)</f>
        <v/>
      </c>
      <c r="B405">
        <f>IF($A405="","",IF(ISNUMBER($A405),IF(AND($A405&gt;=10000101,$A405&lt;=99991231),INT($A405/10000),""),IFERROR(VALUE(TRIM(LEFT($A405,FIND("/",$A405)-1))),"")))</f>
        <v/>
      </c>
      <c r="C405">
        <f>IF(OR($A405="",$B405=""),"",IF(ISNUMBER($A405),INT(MOD($A405,10000)/100),IFERROR(VALUE(TRIM(LEFT(MID($A405,FIND("/",$A405)+1,20),FIND("/",MID($A405,FIND("/",$A405)+1,20))-1))),"")))</f>
        <v/>
      </c>
      <c r="D405">
        <f>IF(OR($A405="",$B405=""),"",IF(ISNUMBER($A405),MOD($A405,100),IFERROR(VALUE(TRIM(MID(MID($A405,FIND("/",$A405)+1,20),FIND("/",MID($A405,FIND("/",$A405)+1,20))+1,20))),"")))</f>
        <v/>
      </c>
      <c r="E405">
        <f>IF($A405="","",IF(OR($B405="",$C405="",$D405="",$B405&lt;1300,$B405&gt;1500,$C405&lt;1,$C405&gt;12,$D405&lt;1,$D405&gt;31),"نامعتبر",RIGHT("0000"&amp;$B405,4)&amp;"/"&amp;RIGHT("00"&amp;$C405,2)&amp;"/"&amp;RIGHT("00"&amp;$D405,2)))</f>
        <v/>
      </c>
      <c r="F405">
        <f>IF(OR($E405="",$E405="نامعتبر"),"",LEFT($E405,4)&amp;"/"&amp;MID($E405,6,2))</f>
        <v/>
      </c>
      <c r="G405">
        <f>IF(OR($E405="",$E405="نامعتبر",Sync!$X401=""),"",IF(AND(LEFT(UPPER(TRIM(Sync!$X401)),2)="SL",IFERROR(VLOOKUP(Sync!$W401,OpTbl,3,0),"")="فروش"),UPPER(TRIM(Sync!$X401)),""))</f>
        <v/>
      </c>
      <c r="H405">
        <f>IF($G405="","",IF(Sync!$W401="","",Sync!$W401))</f>
        <v/>
      </c>
      <c r="I405">
        <f>IF(OR($G405="",Sync!$Y401=""),"",Sync!$Y401)</f>
        <v/>
      </c>
      <c r="J405">
        <f>IF(OR($G405="",Sync!$Z401=""),"",Sync!$Z401)</f>
        <v/>
      </c>
      <c r="K405">
        <f>IF($G405="",0,IF(Sync!$AA401="",0,Sync!$AA401))</f>
        <v/>
      </c>
      <c r="L405">
        <f>IF($G405="",0,IF(Sync!$AB401="",0,Sync!$AB401))</f>
        <v/>
      </c>
      <c r="M405">
        <f>IF($G405="","",IF($H405="مرجوعی فروش",-1,1)*($K405-$L405*IFERROR(VLOOKUP("P01",ParamTbl,3,0),1.5)))</f>
        <v/>
      </c>
      <c r="N405">
        <f>IF($G405="",0,IF($H405="مرجوعی فروش",-1,1)*IF(Sync!$AC401="",0,Sync!$AC401))</f>
        <v/>
      </c>
      <c r="O405">
        <f>IF(OR($G405="",Sync!$V401=""),"",Sync!$V401)</f>
        <v/>
      </c>
      <c r="P405">
        <f>IF(OR($G405="",Sync!$AD401=""),"",Sync!$AD401)</f>
        <v/>
      </c>
      <c r="Q405">
        <f>IF($G405="","",IF(Sync!$U401="","0000",IF(AND(ISNUMBER(Sync!$U401),Sync!$U401&gt;=0,Sync!$U401&lt;1),RIGHT("00"&amp;HOUR(Sync!$U401),2)&amp;RIGHT("00"&amp;MINUTE(Sync!$U401),2),IFERROR(RIGHT("00"&amp;VALUE(LEFT(Sync!$U401,FIND(":",Sync!$U401)-1)),2)&amp;RIGHT("00"&amp;VALUE(MID(Sync!$U401,FIND(":",Sync!$U401)+1,2)),2),"0000"))))</f>
        <v/>
      </c>
    </row>
    <row r="406">
      <c r="A406">
        <f>IF(Sync!$T402="","",Sync!$T402)</f>
        <v/>
      </c>
      <c r="B406">
        <f>IF($A406="","",IF(ISNUMBER($A406),IF(AND($A406&gt;=10000101,$A406&lt;=99991231),INT($A406/10000),""),IFERROR(VALUE(TRIM(LEFT($A406,FIND("/",$A406)-1))),"")))</f>
        <v/>
      </c>
      <c r="C406">
        <f>IF(OR($A406="",$B406=""),"",IF(ISNUMBER($A406),INT(MOD($A406,10000)/100),IFERROR(VALUE(TRIM(LEFT(MID($A406,FIND("/",$A406)+1,20),FIND("/",MID($A406,FIND("/",$A406)+1,20))-1))),"")))</f>
        <v/>
      </c>
      <c r="D406">
        <f>IF(OR($A406="",$B406=""),"",IF(ISNUMBER($A406),MOD($A406,100),IFERROR(VALUE(TRIM(MID(MID($A406,FIND("/",$A406)+1,20),FIND("/",MID($A406,FIND("/",$A406)+1,20))+1,20))),"")))</f>
        <v/>
      </c>
      <c r="E406">
        <f>IF($A406="","",IF(OR($B406="",$C406="",$D406="",$B406&lt;1300,$B406&gt;1500,$C406&lt;1,$C406&gt;12,$D406&lt;1,$D406&gt;31),"نامعتبر",RIGHT("0000"&amp;$B406,4)&amp;"/"&amp;RIGHT("00"&amp;$C406,2)&amp;"/"&amp;RIGHT("00"&amp;$D406,2)))</f>
        <v/>
      </c>
      <c r="F406">
        <f>IF(OR($E406="",$E406="نامعتبر"),"",LEFT($E406,4)&amp;"/"&amp;MID($E406,6,2))</f>
        <v/>
      </c>
      <c r="G406">
        <f>IF(OR($E406="",$E406="نامعتبر",Sync!$X402=""),"",IF(AND(LEFT(UPPER(TRIM(Sync!$X402)),2)="SL",IFERROR(VLOOKUP(Sync!$W402,OpTbl,3,0),"")="فروش"),UPPER(TRIM(Sync!$X402)),""))</f>
        <v/>
      </c>
      <c r="H406">
        <f>IF($G406="","",IF(Sync!$W402="","",Sync!$W402))</f>
        <v/>
      </c>
      <c r="I406">
        <f>IF(OR($G406="",Sync!$Y402=""),"",Sync!$Y402)</f>
        <v/>
      </c>
      <c r="J406">
        <f>IF(OR($G406="",Sync!$Z402=""),"",Sync!$Z402)</f>
        <v/>
      </c>
      <c r="K406">
        <f>IF($G406="",0,IF(Sync!$AA402="",0,Sync!$AA402))</f>
        <v/>
      </c>
      <c r="L406">
        <f>IF($G406="",0,IF(Sync!$AB402="",0,Sync!$AB402))</f>
        <v/>
      </c>
      <c r="M406">
        <f>IF($G406="","",IF($H406="مرجوعی فروش",-1,1)*($K406-$L406*IFERROR(VLOOKUP("P01",ParamTbl,3,0),1.5)))</f>
        <v/>
      </c>
      <c r="N406">
        <f>IF($G406="",0,IF($H406="مرجوعی فروش",-1,1)*IF(Sync!$AC402="",0,Sync!$AC402))</f>
        <v/>
      </c>
      <c r="O406">
        <f>IF(OR($G406="",Sync!$V402=""),"",Sync!$V402)</f>
        <v/>
      </c>
      <c r="P406">
        <f>IF(OR($G406="",Sync!$AD402=""),"",Sync!$AD402)</f>
        <v/>
      </c>
      <c r="Q406">
        <f>IF($G406="","",IF(Sync!$U402="","0000",IF(AND(ISNUMBER(Sync!$U402),Sync!$U402&gt;=0,Sync!$U402&lt;1),RIGHT("00"&amp;HOUR(Sync!$U402),2)&amp;RIGHT("00"&amp;MINUTE(Sync!$U402),2),IFERROR(RIGHT("00"&amp;VALUE(LEFT(Sync!$U402,FIND(":",Sync!$U402)-1)),2)&amp;RIGHT("00"&amp;VALUE(MID(Sync!$U402,FIND(":",Sync!$U402)+1,2)),2),"0000"))))</f>
        <v/>
      </c>
    </row>
    <row r="407">
      <c r="A407">
        <f>IF(Sync!$T403="","",Sync!$T403)</f>
        <v/>
      </c>
      <c r="B407">
        <f>IF($A407="","",IF(ISNUMBER($A407),IF(AND($A407&gt;=10000101,$A407&lt;=99991231),INT($A407/10000),""),IFERROR(VALUE(TRIM(LEFT($A407,FIND("/",$A407)-1))),"")))</f>
        <v/>
      </c>
      <c r="C407">
        <f>IF(OR($A407="",$B407=""),"",IF(ISNUMBER($A407),INT(MOD($A407,10000)/100),IFERROR(VALUE(TRIM(LEFT(MID($A407,FIND("/",$A407)+1,20),FIND("/",MID($A407,FIND("/",$A407)+1,20))-1))),"")))</f>
        <v/>
      </c>
      <c r="D407">
        <f>IF(OR($A407="",$B407=""),"",IF(ISNUMBER($A407),MOD($A407,100),IFERROR(VALUE(TRIM(MID(MID($A407,FIND("/",$A407)+1,20),FIND("/",MID($A407,FIND("/",$A407)+1,20))+1,20))),"")))</f>
        <v/>
      </c>
      <c r="E407">
        <f>IF($A407="","",IF(OR($B407="",$C407="",$D407="",$B407&lt;1300,$B407&gt;1500,$C407&lt;1,$C407&gt;12,$D407&lt;1,$D407&gt;31),"نامعتبر",RIGHT("0000"&amp;$B407,4)&amp;"/"&amp;RIGHT("00"&amp;$C407,2)&amp;"/"&amp;RIGHT("00"&amp;$D407,2)))</f>
        <v/>
      </c>
      <c r="F407">
        <f>IF(OR($E407="",$E407="نامعتبر"),"",LEFT($E407,4)&amp;"/"&amp;MID($E407,6,2))</f>
        <v/>
      </c>
      <c r="G407">
        <f>IF(OR($E407="",$E407="نامعتبر",Sync!$X403=""),"",IF(AND(LEFT(UPPER(TRIM(Sync!$X403)),2)="SL",IFERROR(VLOOKUP(Sync!$W403,OpTbl,3,0),"")="فروش"),UPPER(TRIM(Sync!$X403)),""))</f>
        <v/>
      </c>
      <c r="H407">
        <f>IF($G407="","",IF(Sync!$W403="","",Sync!$W403))</f>
        <v/>
      </c>
      <c r="I407">
        <f>IF(OR($G407="",Sync!$Y403=""),"",Sync!$Y403)</f>
        <v/>
      </c>
      <c r="J407">
        <f>IF(OR($G407="",Sync!$Z403=""),"",Sync!$Z403)</f>
        <v/>
      </c>
      <c r="K407">
        <f>IF($G407="",0,IF(Sync!$AA403="",0,Sync!$AA403))</f>
        <v/>
      </c>
      <c r="L407">
        <f>IF($G407="",0,IF(Sync!$AB403="",0,Sync!$AB403))</f>
        <v/>
      </c>
      <c r="M407">
        <f>IF($G407="","",IF($H407="مرجوعی فروش",-1,1)*($K407-$L407*IFERROR(VLOOKUP("P01",ParamTbl,3,0),1.5)))</f>
        <v/>
      </c>
      <c r="N407">
        <f>IF($G407="",0,IF($H407="مرجوعی فروش",-1,1)*IF(Sync!$AC403="",0,Sync!$AC403))</f>
        <v/>
      </c>
      <c r="O407">
        <f>IF(OR($G407="",Sync!$V403=""),"",Sync!$V403)</f>
        <v/>
      </c>
      <c r="P407">
        <f>IF(OR($G407="",Sync!$AD403=""),"",Sync!$AD403)</f>
        <v/>
      </c>
      <c r="Q407">
        <f>IF($G407="","",IF(Sync!$U403="","0000",IF(AND(ISNUMBER(Sync!$U403),Sync!$U403&gt;=0,Sync!$U403&lt;1),RIGHT("00"&amp;HOUR(Sync!$U403),2)&amp;RIGHT("00"&amp;MINUTE(Sync!$U403),2),IFERROR(RIGHT("00"&amp;VALUE(LEFT(Sync!$U403,FIND(":",Sync!$U403)-1)),2)&amp;RIGHT("00"&amp;VALUE(MID(Sync!$U403,FIND(":",Sync!$U403)+1,2)),2),"0000"))))</f>
        <v/>
      </c>
    </row>
    <row r="408">
      <c r="A408">
        <f>IF(Sync!$T404="","",Sync!$T404)</f>
        <v/>
      </c>
      <c r="B408">
        <f>IF($A408="","",IF(ISNUMBER($A408),IF(AND($A408&gt;=10000101,$A408&lt;=99991231),INT($A408/10000),""),IFERROR(VALUE(TRIM(LEFT($A408,FIND("/",$A408)-1))),"")))</f>
        <v/>
      </c>
      <c r="C408">
        <f>IF(OR($A408="",$B408=""),"",IF(ISNUMBER($A408),INT(MOD($A408,10000)/100),IFERROR(VALUE(TRIM(LEFT(MID($A408,FIND("/",$A408)+1,20),FIND("/",MID($A408,FIND("/",$A408)+1,20))-1))),"")))</f>
        <v/>
      </c>
      <c r="D408">
        <f>IF(OR($A408="",$B408=""),"",IF(ISNUMBER($A408),MOD($A408,100),IFERROR(VALUE(TRIM(MID(MID($A408,FIND("/",$A408)+1,20),FIND("/",MID($A408,FIND("/",$A408)+1,20))+1,20))),"")))</f>
        <v/>
      </c>
      <c r="E408">
        <f>IF($A408="","",IF(OR($B408="",$C408="",$D408="",$B408&lt;1300,$B408&gt;1500,$C408&lt;1,$C408&gt;12,$D408&lt;1,$D408&gt;31),"نامعتبر",RIGHT("0000"&amp;$B408,4)&amp;"/"&amp;RIGHT("00"&amp;$C408,2)&amp;"/"&amp;RIGHT("00"&amp;$D408,2)))</f>
        <v/>
      </c>
      <c r="F408">
        <f>IF(OR($E408="",$E408="نامعتبر"),"",LEFT($E408,4)&amp;"/"&amp;MID($E408,6,2))</f>
        <v/>
      </c>
      <c r="G408">
        <f>IF(OR($E408="",$E408="نامعتبر",Sync!$X404=""),"",IF(AND(LEFT(UPPER(TRIM(Sync!$X404)),2)="SL",IFERROR(VLOOKUP(Sync!$W404,OpTbl,3,0),"")="فروش"),UPPER(TRIM(Sync!$X404)),""))</f>
        <v/>
      </c>
      <c r="H408">
        <f>IF($G408="","",IF(Sync!$W404="","",Sync!$W404))</f>
        <v/>
      </c>
      <c r="I408">
        <f>IF(OR($G408="",Sync!$Y404=""),"",Sync!$Y404)</f>
        <v/>
      </c>
      <c r="J408">
        <f>IF(OR($G408="",Sync!$Z404=""),"",Sync!$Z404)</f>
        <v/>
      </c>
      <c r="K408">
        <f>IF($G408="",0,IF(Sync!$AA404="",0,Sync!$AA404))</f>
        <v/>
      </c>
      <c r="L408">
        <f>IF($G408="",0,IF(Sync!$AB404="",0,Sync!$AB404))</f>
        <v/>
      </c>
      <c r="M408">
        <f>IF($G408="","",IF($H408="مرجوعی فروش",-1,1)*($K408-$L408*IFERROR(VLOOKUP("P01",ParamTbl,3,0),1.5)))</f>
        <v/>
      </c>
      <c r="N408">
        <f>IF($G408="",0,IF($H408="مرجوعی فروش",-1,1)*IF(Sync!$AC404="",0,Sync!$AC404))</f>
        <v/>
      </c>
      <c r="O408">
        <f>IF(OR($G408="",Sync!$V404=""),"",Sync!$V404)</f>
        <v/>
      </c>
      <c r="P408">
        <f>IF(OR($G408="",Sync!$AD404=""),"",Sync!$AD404)</f>
        <v/>
      </c>
      <c r="Q408">
        <f>IF($G408="","",IF(Sync!$U404="","0000",IF(AND(ISNUMBER(Sync!$U404),Sync!$U404&gt;=0,Sync!$U404&lt;1),RIGHT("00"&amp;HOUR(Sync!$U404),2)&amp;RIGHT("00"&amp;MINUTE(Sync!$U404),2),IFERROR(RIGHT("00"&amp;VALUE(LEFT(Sync!$U404,FIND(":",Sync!$U404)-1)),2)&amp;RIGHT("00"&amp;VALUE(MID(Sync!$U404,FIND(":",Sync!$U404)+1,2)),2),"0000"))))</f>
        <v/>
      </c>
    </row>
    <row r="409">
      <c r="A409">
        <f>IF(Sync!$T405="","",Sync!$T405)</f>
        <v/>
      </c>
      <c r="B409">
        <f>IF($A409="","",IF(ISNUMBER($A409),IF(AND($A409&gt;=10000101,$A409&lt;=99991231),INT($A409/10000),""),IFERROR(VALUE(TRIM(LEFT($A409,FIND("/",$A409)-1))),"")))</f>
        <v/>
      </c>
      <c r="C409">
        <f>IF(OR($A409="",$B409=""),"",IF(ISNUMBER($A409),INT(MOD($A409,10000)/100),IFERROR(VALUE(TRIM(LEFT(MID($A409,FIND("/",$A409)+1,20),FIND("/",MID($A409,FIND("/",$A409)+1,20))-1))),"")))</f>
        <v/>
      </c>
      <c r="D409">
        <f>IF(OR($A409="",$B409=""),"",IF(ISNUMBER($A409),MOD($A409,100),IFERROR(VALUE(TRIM(MID(MID($A409,FIND("/",$A409)+1,20),FIND("/",MID($A409,FIND("/",$A409)+1,20))+1,20))),"")))</f>
        <v/>
      </c>
      <c r="E409">
        <f>IF($A409="","",IF(OR($B409="",$C409="",$D409="",$B409&lt;1300,$B409&gt;1500,$C409&lt;1,$C409&gt;12,$D409&lt;1,$D409&gt;31),"نامعتبر",RIGHT("0000"&amp;$B409,4)&amp;"/"&amp;RIGHT("00"&amp;$C409,2)&amp;"/"&amp;RIGHT("00"&amp;$D409,2)))</f>
        <v/>
      </c>
      <c r="F409">
        <f>IF(OR($E409="",$E409="نامعتبر"),"",LEFT($E409,4)&amp;"/"&amp;MID($E409,6,2))</f>
        <v/>
      </c>
      <c r="G409">
        <f>IF(OR($E409="",$E409="نامعتبر",Sync!$X405=""),"",IF(AND(LEFT(UPPER(TRIM(Sync!$X405)),2)="SL",IFERROR(VLOOKUP(Sync!$W405,OpTbl,3,0),"")="فروش"),UPPER(TRIM(Sync!$X405)),""))</f>
        <v/>
      </c>
      <c r="H409">
        <f>IF($G409="","",IF(Sync!$W405="","",Sync!$W405))</f>
        <v/>
      </c>
      <c r="I409">
        <f>IF(OR($G409="",Sync!$Y405=""),"",Sync!$Y405)</f>
        <v/>
      </c>
      <c r="J409">
        <f>IF(OR($G409="",Sync!$Z405=""),"",Sync!$Z405)</f>
        <v/>
      </c>
      <c r="K409">
        <f>IF($G409="",0,IF(Sync!$AA405="",0,Sync!$AA405))</f>
        <v/>
      </c>
      <c r="L409">
        <f>IF($G409="",0,IF(Sync!$AB405="",0,Sync!$AB405))</f>
        <v/>
      </c>
      <c r="M409">
        <f>IF($G409="","",IF($H409="مرجوعی فروش",-1,1)*($K409-$L409*IFERROR(VLOOKUP("P01",ParamTbl,3,0),1.5)))</f>
        <v/>
      </c>
      <c r="N409">
        <f>IF($G409="",0,IF($H409="مرجوعی فروش",-1,1)*IF(Sync!$AC405="",0,Sync!$AC405))</f>
        <v/>
      </c>
      <c r="O409">
        <f>IF(OR($G409="",Sync!$V405=""),"",Sync!$V405)</f>
        <v/>
      </c>
      <c r="P409">
        <f>IF(OR($G409="",Sync!$AD405=""),"",Sync!$AD405)</f>
        <v/>
      </c>
      <c r="Q409">
        <f>IF($G409="","",IF(Sync!$U405="","0000",IF(AND(ISNUMBER(Sync!$U405),Sync!$U405&gt;=0,Sync!$U405&lt;1),RIGHT("00"&amp;HOUR(Sync!$U405),2)&amp;RIGHT("00"&amp;MINUTE(Sync!$U405),2),IFERROR(RIGHT("00"&amp;VALUE(LEFT(Sync!$U405,FIND(":",Sync!$U405)-1)),2)&amp;RIGHT("00"&amp;VALUE(MID(Sync!$U405,FIND(":",Sync!$U405)+1,2)),2),"0000"))))</f>
        <v/>
      </c>
    </row>
    <row r="410">
      <c r="A410">
        <f>IF(Sync!$T406="","",Sync!$T406)</f>
        <v/>
      </c>
      <c r="B410">
        <f>IF($A410="","",IF(ISNUMBER($A410),IF(AND($A410&gt;=10000101,$A410&lt;=99991231),INT($A410/10000),""),IFERROR(VALUE(TRIM(LEFT($A410,FIND("/",$A410)-1))),"")))</f>
        <v/>
      </c>
      <c r="C410">
        <f>IF(OR($A410="",$B410=""),"",IF(ISNUMBER($A410),INT(MOD($A410,10000)/100),IFERROR(VALUE(TRIM(LEFT(MID($A410,FIND("/",$A410)+1,20),FIND("/",MID($A410,FIND("/",$A410)+1,20))-1))),"")))</f>
        <v/>
      </c>
      <c r="D410">
        <f>IF(OR($A410="",$B410=""),"",IF(ISNUMBER($A410),MOD($A410,100),IFERROR(VALUE(TRIM(MID(MID($A410,FIND("/",$A410)+1,20),FIND("/",MID($A410,FIND("/",$A410)+1,20))+1,20))),"")))</f>
        <v/>
      </c>
      <c r="E410">
        <f>IF($A410="","",IF(OR($B410="",$C410="",$D410="",$B410&lt;1300,$B410&gt;1500,$C410&lt;1,$C410&gt;12,$D410&lt;1,$D410&gt;31),"نامعتبر",RIGHT("0000"&amp;$B410,4)&amp;"/"&amp;RIGHT("00"&amp;$C410,2)&amp;"/"&amp;RIGHT("00"&amp;$D410,2)))</f>
        <v/>
      </c>
      <c r="F410">
        <f>IF(OR($E410="",$E410="نامعتبر"),"",LEFT($E410,4)&amp;"/"&amp;MID($E410,6,2))</f>
        <v/>
      </c>
      <c r="G410">
        <f>IF(OR($E410="",$E410="نامعتبر",Sync!$X406=""),"",IF(AND(LEFT(UPPER(TRIM(Sync!$X406)),2)="SL",IFERROR(VLOOKUP(Sync!$W406,OpTbl,3,0),"")="فروش"),UPPER(TRIM(Sync!$X406)),""))</f>
        <v/>
      </c>
      <c r="H410">
        <f>IF($G410="","",IF(Sync!$W406="","",Sync!$W406))</f>
        <v/>
      </c>
      <c r="I410">
        <f>IF(OR($G410="",Sync!$Y406=""),"",Sync!$Y406)</f>
        <v/>
      </c>
      <c r="J410">
        <f>IF(OR($G410="",Sync!$Z406=""),"",Sync!$Z406)</f>
        <v/>
      </c>
      <c r="K410">
        <f>IF($G410="",0,IF(Sync!$AA406="",0,Sync!$AA406))</f>
        <v/>
      </c>
      <c r="L410">
        <f>IF($G410="",0,IF(Sync!$AB406="",0,Sync!$AB406))</f>
        <v/>
      </c>
      <c r="M410">
        <f>IF($G410="","",IF($H410="مرجوعی فروش",-1,1)*($K410-$L410*IFERROR(VLOOKUP("P01",ParamTbl,3,0),1.5)))</f>
        <v/>
      </c>
      <c r="N410">
        <f>IF($G410="",0,IF($H410="مرجوعی فروش",-1,1)*IF(Sync!$AC406="",0,Sync!$AC406))</f>
        <v/>
      </c>
      <c r="O410">
        <f>IF(OR($G410="",Sync!$V406=""),"",Sync!$V406)</f>
        <v/>
      </c>
      <c r="P410">
        <f>IF(OR($G410="",Sync!$AD406=""),"",Sync!$AD406)</f>
        <v/>
      </c>
      <c r="Q410">
        <f>IF($G410="","",IF(Sync!$U406="","0000",IF(AND(ISNUMBER(Sync!$U406),Sync!$U406&gt;=0,Sync!$U406&lt;1),RIGHT("00"&amp;HOUR(Sync!$U406),2)&amp;RIGHT("00"&amp;MINUTE(Sync!$U406),2),IFERROR(RIGHT("00"&amp;VALUE(LEFT(Sync!$U406,FIND(":",Sync!$U406)-1)),2)&amp;RIGHT("00"&amp;VALUE(MID(Sync!$U406,FIND(":",Sync!$U406)+1,2)),2),"0000"))))</f>
        <v/>
      </c>
    </row>
    <row r="411">
      <c r="A411">
        <f>IF(Sync!$T407="","",Sync!$T407)</f>
        <v/>
      </c>
      <c r="B411">
        <f>IF($A411="","",IF(ISNUMBER($A411),IF(AND($A411&gt;=10000101,$A411&lt;=99991231),INT($A411/10000),""),IFERROR(VALUE(TRIM(LEFT($A411,FIND("/",$A411)-1))),"")))</f>
        <v/>
      </c>
      <c r="C411">
        <f>IF(OR($A411="",$B411=""),"",IF(ISNUMBER($A411),INT(MOD($A411,10000)/100),IFERROR(VALUE(TRIM(LEFT(MID($A411,FIND("/",$A411)+1,20),FIND("/",MID($A411,FIND("/",$A411)+1,20))-1))),"")))</f>
        <v/>
      </c>
      <c r="D411">
        <f>IF(OR($A411="",$B411=""),"",IF(ISNUMBER($A411),MOD($A411,100),IFERROR(VALUE(TRIM(MID(MID($A411,FIND("/",$A411)+1,20),FIND("/",MID($A411,FIND("/",$A411)+1,20))+1,20))),"")))</f>
        <v/>
      </c>
      <c r="E411">
        <f>IF($A411="","",IF(OR($B411="",$C411="",$D411="",$B411&lt;1300,$B411&gt;1500,$C411&lt;1,$C411&gt;12,$D411&lt;1,$D411&gt;31),"نامعتبر",RIGHT("0000"&amp;$B411,4)&amp;"/"&amp;RIGHT("00"&amp;$C411,2)&amp;"/"&amp;RIGHT("00"&amp;$D411,2)))</f>
        <v/>
      </c>
      <c r="F411">
        <f>IF(OR($E411="",$E411="نامعتبر"),"",LEFT($E411,4)&amp;"/"&amp;MID($E411,6,2))</f>
        <v/>
      </c>
      <c r="G411">
        <f>IF(OR($E411="",$E411="نامعتبر",Sync!$X407=""),"",IF(AND(LEFT(UPPER(TRIM(Sync!$X407)),2)="SL",IFERROR(VLOOKUP(Sync!$W407,OpTbl,3,0),"")="فروش"),UPPER(TRIM(Sync!$X407)),""))</f>
        <v/>
      </c>
      <c r="H411">
        <f>IF($G411="","",IF(Sync!$W407="","",Sync!$W407))</f>
        <v/>
      </c>
      <c r="I411">
        <f>IF(OR($G411="",Sync!$Y407=""),"",Sync!$Y407)</f>
        <v/>
      </c>
      <c r="J411">
        <f>IF(OR($G411="",Sync!$Z407=""),"",Sync!$Z407)</f>
        <v/>
      </c>
      <c r="K411">
        <f>IF($G411="",0,IF(Sync!$AA407="",0,Sync!$AA407))</f>
        <v/>
      </c>
      <c r="L411">
        <f>IF($G411="",0,IF(Sync!$AB407="",0,Sync!$AB407))</f>
        <v/>
      </c>
      <c r="M411">
        <f>IF($G411="","",IF($H411="مرجوعی فروش",-1,1)*($K411-$L411*IFERROR(VLOOKUP("P01",ParamTbl,3,0),1.5)))</f>
        <v/>
      </c>
      <c r="N411">
        <f>IF($G411="",0,IF($H411="مرجوعی فروش",-1,1)*IF(Sync!$AC407="",0,Sync!$AC407))</f>
        <v/>
      </c>
      <c r="O411">
        <f>IF(OR($G411="",Sync!$V407=""),"",Sync!$V407)</f>
        <v/>
      </c>
      <c r="P411">
        <f>IF(OR($G411="",Sync!$AD407=""),"",Sync!$AD407)</f>
        <v/>
      </c>
      <c r="Q411">
        <f>IF($G411="","",IF(Sync!$U407="","0000",IF(AND(ISNUMBER(Sync!$U407),Sync!$U407&gt;=0,Sync!$U407&lt;1),RIGHT("00"&amp;HOUR(Sync!$U407),2)&amp;RIGHT("00"&amp;MINUTE(Sync!$U407),2),IFERROR(RIGHT("00"&amp;VALUE(LEFT(Sync!$U407,FIND(":",Sync!$U407)-1)),2)&amp;RIGHT("00"&amp;VALUE(MID(Sync!$U407,FIND(":",Sync!$U407)+1,2)),2),"0000"))))</f>
        <v/>
      </c>
    </row>
    <row r="412">
      <c r="A412">
        <f>IF(Sync!$T408="","",Sync!$T408)</f>
        <v/>
      </c>
      <c r="B412">
        <f>IF($A412="","",IF(ISNUMBER($A412),IF(AND($A412&gt;=10000101,$A412&lt;=99991231),INT($A412/10000),""),IFERROR(VALUE(TRIM(LEFT($A412,FIND("/",$A412)-1))),"")))</f>
        <v/>
      </c>
      <c r="C412">
        <f>IF(OR($A412="",$B412=""),"",IF(ISNUMBER($A412),INT(MOD($A412,10000)/100),IFERROR(VALUE(TRIM(LEFT(MID($A412,FIND("/",$A412)+1,20),FIND("/",MID($A412,FIND("/",$A412)+1,20))-1))),"")))</f>
        <v/>
      </c>
      <c r="D412">
        <f>IF(OR($A412="",$B412=""),"",IF(ISNUMBER($A412),MOD($A412,100),IFERROR(VALUE(TRIM(MID(MID($A412,FIND("/",$A412)+1,20),FIND("/",MID($A412,FIND("/",$A412)+1,20))+1,20))),"")))</f>
        <v/>
      </c>
      <c r="E412">
        <f>IF($A412="","",IF(OR($B412="",$C412="",$D412="",$B412&lt;1300,$B412&gt;1500,$C412&lt;1,$C412&gt;12,$D412&lt;1,$D412&gt;31),"نامعتبر",RIGHT("0000"&amp;$B412,4)&amp;"/"&amp;RIGHT("00"&amp;$C412,2)&amp;"/"&amp;RIGHT("00"&amp;$D412,2)))</f>
        <v/>
      </c>
      <c r="F412">
        <f>IF(OR($E412="",$E412="نامعتبر"),"",LEFT($E412,4)&amp;"/"&amp;MID($E412,6,2))</f>
        <v/>
      </c>
      <c r="G412">
        <f>IF(OR($E412="",$E412="نامعتبر",Sync!$X408=""),"",IF(AND(LEFT(UPPER(TRIM(Sync!$X408)),2)="SL",IFERROR(VLOOKUP(Sync!$W408,OpTbl,3,0),"")="فروش"),UPPER(TRIM(Sync!$X408)),""))</f>
        <v/>
      </c>
      <c r="H412">
        <f>IF($G412="","",IF(Sync!$W408="","",Sync!$W408))</f>
        <v/>
      </c>
      <c r="I412">
        <f>IF(OR($G412="",Sync!$Y408=""),"",Sync!$Y408)</f>
        <v/>
      </c>
      <c r="J412">
        <f>IF(OR($G412="",Sync!$Z408=""),"",Sync!$Z408)</f>
        <v/>
      </c>
      <c r="K412">
        <f>IF($G412="",0,IF(Sync!$AA408="",0,Sync!$AA408))</f>
        <v/>
      </c>
      <c r="L412">
        <f>IF($G412="",0,IF(Sync!$AB408="",0,Sync!$AB408))</f>
        <v/>
      </c>
      <c r="M412">
        <f>IF($G412="","",IF($H412="مرجوعی فروش",-1,1)*($K412-$L412*IFERROR(VLOOKUP("P01",ParamTbl,3,0),1.5)))</f>
        <v/>
      </c>
      <c r="N412">
        <f>IF($G412="",0,IF($H412="مرجوعی فروش",-1,1)*IF(Sync!$AC408="",0,Sync!$AC408))</f>
        <v/>
      </c>
      <c r="O412">
        <f>IF(OR($G412="",Sync!$V408=""),"",Sync!$V408)</f>
        <v/>
      </c>
      <c r="P412">
        <f>IF(OR($G412="",Sync!$AD408=""),"",Sync!$AD408)</f>
        <v/>
      </c>
      <c r="Q412">
        <f>IF($G412="","",IF(Sync!$U408="","0000",IF(AND(ISNUMBER(Sync!$U408),Sync!$U408&gt;=0,Sync!$U408&lt;1),RIGHT("00"&amp;HOUR(Sync!$U408),2)&amp;RIGHT("00"&amp;MINUTE(Sync!$U408),2),IFERROR(RIGHT("00"&amp;VALUE(LEFT(Sync!$U408,FIND(":",Sync!$U408)-1)),2)&amp;RIGHT("00"&amp;VALUE(MID(Sync!$U408,FIND(":",Sync!$U408)+1,2)),2),"0000"))))</f>
        <v/>
      </c>
    </row>
    <row r="413">
      <c r="A413">
        <f>IF(Sync!$T409="","",Sync!$T409)</f>
        <v/>
      </c>
      <c r="B413">
        <f>IF($A413="","",IF(ISNUMBER($A413),IF(AND($A413&gt;=10000101,$A413&lt;=99991231),INT($A413/10000),""),IFERROR(VALUE(TRIM(LEFT($A413,FIND("/",$A413)-1))),"")))</f>
        <v/>
      </c>
      <c r="C413">
        <f>IF(OR($A413="",$B413=""),"",IF(ISNUMBER($A413),INT(MOD($A413,10000)/100),IFERROR(VALUE(TRIM(LEFT(MID($A413,FIND("/",$A413)+1,20),FIND("/",MID($A413,FIND("/",$A413)+1,20))-1))),"")))</f>
        <v/>
      </c>
      <c r="D413">
        <f>IF(OR($A413="",$B413=""),"",IF(ISNUMBER($A413),MOD($A413,100),IFERROR(VALUE(TRIM(MID(MID($A413,FIND("/",$A413)+1,20),FIND("/",MID($A413,FIND("/",$A413)+1,20))+1,20))),"")))</f>
        <v/>
      </c>
      <c r="E413">
        <f>IF($A413="","",IF(OR($B413="",$C413="",$D413="",$B413&lt;1300,$B413&gt;1500,$C413&lt;1,$C413&gt;12,$D413&lt;1,$D413&gt;31),"نامعتبر",RIGHT("0000"&amp;$B413,4)&amp;"/"&amp;RIGHT("00"&amp;$C413,2)&amp;"/"&amp;RIGHT("00"&amp;$D413,2)))</f>
        <v/>
      </c>
      <c r="F413">
        <f>IF(OR($E413="",$E413="نامعتبر"),"",LEFT($E413,4)&amp;"/"&amp;MID($E413,6,2))</f>
        <v/>
      </c>
      <c r="G413">
        <f>IF(OR($E413="",$E413="نامعتبر",Sync!$X409=""),"",IF(AND(LEFT(UPPER(TRIM(Sync!$X409)),2)="SL",IFERROR(VLOOKUP(Sync!$W409,OpTbl,3,0),"")="فروش"),UPPER(TRIM(Sync!$X409)),""))</f>
        <v/>
      </c>
      <c r="H413">
        <f>IF($G413="","",IF(Sync!$W409="","",Sync!$W409))</f>
        <v/>
      </c>
      <c r="I413">
        <f>IF(OR($G413="",Sync!$Y409=""),"",Sync!$Y409)</f>
        <v/>
      </c>
      <c r="J413">
        <f>IF(OR($G413="",Sync!$Z409=""),"",Sync!$Z409)</f>
        <v/>
      </c>
      <c r="K413">
        <f>IF($G413="",0,IF(Sync!$AA409="",0,Sync!$AA409))</f>
        <v/>
      </c>
      <c r="L413">
        <f>IF($G413="",0,IF(Sync!$AB409="",0,Sync!$AB409))</f>
        <v/>
      </c>
      <c r="M413">
        <f>IF($G413="","",IF($H413="مرجوعی فروش",-1,1)*($K413-$L413*IFERROR(VLOOKUP("P01",ParamTbl,3,0),1.5)))</f>
        <v/>
      </c>
      <c r="N413">
        <f>IF($G413="",0,IF($H413="مرجوعی فروش",-1,1)*IF(Sync!$AC409="",0,Sync!$AC409))</f>
        <v/>
      </c>
      <c r="O413">
        <f>IF(OR($G413="",Sync!$V409=""),"",Sync!$V409)</f>
        <v/>
      </c>
      <c r="P413">
        <f>IF(OR($G413="",Sync!$AD409=""),"",Sync!$AD409)</f>
        <v/>
      </c>
      <c r="Q413">
        <f>IF($G413="","",IF(Sync!$U409="","0000",IF(AND(ISNUMBER(Sync!$U409),Sync!$U409&gt;=0,Sync!$U409&lt;1),RIGHT("00"&amp;HOUR(Sync!$U409),2)&amp;RIGHT("00"&amp;MINUTE(Sync!$U409),2),IFERROR(RIGHT("00"&amp;VALUE(LEFT(Sync!$U409,FIND(":",Sync!$U409)-1)),2)&amp;RIGHT("00"&amp;VALUE(MID(Sync!$U409,FIND(":",Sync!$U409)+1,2)),2),"0000"))))</f>
        <v/>
      </c>
    </row>
    <row r="414">
      <c r="A414">
        <f>IF(Sync!$T410="","",Sync!$T410)</f>
        <v/>
      </c>
      <c r="B414">
        <f>IF($A414="","",IF(ISNUMBER($A414),IF(AND($A414&gt;=10000101,$A414&lt;=99991231),INT($A414/10000),""),IFERROR(VALUE(TRIM(LEFT($A414,FIND("/",$A414)-1))),"")))</f>
        <v/>
      </c>
      <c r="C414">
        <f>IF(OR($A414="",$B414=""),"",IF(ISNUMBER($A414),INT(MOD($A414,10000)/100),IFERROR(VALUE(TRIM(LEFT(MID($A414,FIND("/",$A414)+1,20),FIND("/",MID($A414,FIND("/",$A414)+1,20))-1))),"")))</f>
        <v/>
      </c>
      <c r="D414">
        <f>IF(OR($A414="",$B414=""),"",IF(ISNUMBER($A414),MOD($A414,100),IFERROR(VALUE(TRIM(MID(MID($A414,FIND("/",$A414)+1,20),FIND("/",MID($A414,FIND("/",$A414)+1,20))+1,20))),"")))</f>
        <v/>
      </c>
      <c r="E414">
        <f>IF($A414="","",IF(OR($B414="",$C414="",$D414="",$B414&lt;1300,$B414&gt;1500,$C414&lt;1,$C414&gt;12,$D414&lt;1,$D414&gt;31),"نامعتبر",RIGHT("0000"&amp;$B414,4)&amp;"/"&amp;RIGHT("00"&amp;$C414,2)&amp;"/"&amp;RIGHT("00"&amp;$D414,2)))</f>
        <v/>
      </c>
      <c r="F414">
        <f>IF(OR($E414="",$E414="نامعتبر"),"",LEFT($E414,4)&amp;"/"&amp;MID($E414,6,2))</f>
        <v/>
      </c>
      <c r="G414">
        <f>IF(OR($E414="",$E414="نامعتبر",Sync!$X410=""),"",IF(AND(LEFT(UPPER(TRIM(Sync!$X410)),2)="SL",IFERROR(VLOOKUP(Sync!$W410,OpTbl,3,0),"")="فروش"),UPPER(TRIM(Sync!$X410)),""))</f>
        <v/>
      </c>
      <c r="H414">
        <f>IF($G414="","",IF(Sync!$W410="","",Sync!$W410))</f>
        <v/>
      </c>
      <c r="I414">
        <f>IF(OR($G414="",Sync!$Y410=""),"",Sync!$Y410)</f>
        <v/>
      </c>
      <c r="J414">
        <f>IF(OR($G414="",Sync!$Z410=""),"",Sync!$Z410)</f>
        <v/>
      </c>
      <c r="K414">
        <f>IF($G414="",0,IF(Sync!$AA410="",0,Sync!$AA410))</f>
        <v/>
      </c>
      <c r="L414">
        <f>IF($G414="",0,IF(Sync!$AB410="",0,Sync!$AB410))</f>
        <v/>
      </c>
      <c r="M414">
        <f>IF($G414="","",IF($H414="مرجوعی فروش",-1,1)*($K414-$L414*IFERROR(VLOOKUP("P01",ParamTbl,3,0),1.5)))</f>
        <v/>
      </c>
      <c r="N414">
        <f>IF($G414="",0,IF($H414="مرجوعی فروش",-1,1)*IF(Sync!$AC410="",0,Sync!$AC410))</f>
        <v/>
      </c>
      <c r="O414">
        <f>IF(OR($G414="",Sync!$V410=""),"",Sync!$V410)</f>
        <v/>
      </c>
      <c r="P414">
        <f>IF(OR($G414="",Sync!$AD410=""),"",Sync!$AD410)</f>
        <v/>
      </c>
      <c r="Q414">
        <f>IF($G414="","",IF(Sync!$U410="","0000",IF(AND(ISNUMBER(Sync!$U410),Sync!$U410&gt;=0,Sync!$U410&lt;1),RIGHT("00"&amp;HOUR(Sync!$U410),2)&amp;RIGHT("00"&amp;MINUTE(Sync!$U410),2),IFERROR(RIGHT("00"&amp;VALUE(LEFT(Sync!$U410,FIND(":",Sync!$U410)-1)),2)&amp;RIGHT("00"&amp;VALUE(MID(Sync!$U410,FIND(":",Sync!$U410)+1,2)),2),"0000"))))</f>
        <v/>
      </c>
    </row>
    <row r="415">
      <c r="A415">
        <f>IF(Sync!$T411="","",Sync!$T411)</f>
        <v/>
      </c>
      <c r="B415">
        <f>IF($A415="","",IF(ISNUMBER($A415),IF(AND($A415&gt;=10000101,$A415&lt;=99991231),INT($A415/10000),""),IFERROR(VALUE(TRIM(LEFT($A415,FIND("/",$A415)-1))),"")))</f>
        <v/>
      </c>
      <c r="C415">
        <f>IF(OR($A415="",$B415=""),"",IF(ISNUMBER($A415),INT(MOD($A415,10000)/100),IFERROR(VALUE(TRIM(LEFT(MID($A415,FIND("/",$A415)+1,20),FIND("/",MID($A415,FIND("/",$A415)+1,20))-1))),"")))</f>
        <v/>
      </c>
      <c r="D415">
        <f>IF(OR($A415="",$B415=""),"",IF(ISNUMBER($A415),MOD($A415,100),IFERROR(VALUE(TRIM(MID(MID($A415,FIND("/",$A415)+1,20),FIND("/",MID($A415,FIND("/",$A415)+1,20))+1,20))),"")))</f>
        <v/>
      </c>
      <c r="E415">
        <f>IF($A415="","",IF(OR($B415="",$C415="",$D415="",$B415&lt;1300,$B415&gt;1500,$C415&lt;1,$C415&gt;12,$D415&lt;1,$D415&gt;31),"نامعتبر",RIGHT("0000"&amp;$B415,4)&amp;"/"&amp;RIGHT("00"&amp;$C415,2)&amp;"/"&amp;RIGHT("00"&amp;$D415,2)))</f>
        <v/>
      </c>
      <c r="F415">
        <f>IF(OR($E415="",$E415="نامعتبر"),"",LEFT($E415,4)&amp;"/"&amp;MID($E415,6,2))</f>
        <v/>
      </c>
      <c r="G415">
        <f>IF(OR($E415="",$E415="نامعتبر",Sync!$X411=""),"",IF(AND(LEFT(UPPER(TRIM(Sync!$X411)),2)="SL",IFERROR(VLOOKUP(Sync!$W411,OpTbl,3,0),"")="فروش"),UPPER(TRIM(Sync!$X411)),""))</f>
        <v/>
      </c>
      <c r="H415">
        <f>IF($G415="","",IF(Sync!$W411="","",Sync!$W411))</f>
        <v/>
      </c>
      <c r="I415">
        <f>IF(OR($G415="",Sync!$Y411=""),"",Sync!$Y411)</f>
        <v/>
      </c>
      <c r="J415">
        <f>IF(OR($G415="",Sync!$Z411=""),"",Sync!$Z411)</f>
        <v/>
      </c>
      <c r="K415">
        <f>IF($G415="",0,IF(Sync!$AA411="",0,Sync!$AA411))</f>
        <v/>
      </c>
      <c r="L415">
        <f>IF($G415="",0,IF(Sync!$AB411="",0,Sync!$AB411))</f>
        <v/>
      </c>
      <c r="M415">
        <f>IF($G415="","",IF($H415="مرجوعی فروش",-1,1)*($K415-$L415*IFERROR(VLOOKUP("P01",ParamTbl,3,0),1.5)))</f>
        <v/>
      </c>
      <c r="N415">
        <f>IF($G415="",0,IF($H415="مرجوعی فروش",-1,1)*IF(Sync!$AC411="",0,Sync!$AC411))</f>
        <v/>
      </c>
      <c r="O415">
        <f>IF(OR($G415="",Sync!$V411=""),"",Sync!$V411)</f>
        <v/>
      </c>
      <c r="P415">
        <f>IF(OR($G415="",Sync!$AD411=""),"",Sync!$AD411)</f>
        <v/>
      </c>
      <c r="Q415">
        <f>IF($G415="","",IF(Sync!$U411="","0000",IF(AND(ISNUMBER(Sync!$U411),Sync!$U411&gt;=0,Sync!$U411&lt;1),RIGHT("00"&amp;HOUR(Sync!$U411),2)&amp;RIGHT("00"&amp;MINUTE(Sync!$U411),2),IFERROR(RIGHT("00"&amp;VALUE(LEFT(Sync!$U411,FIND(":",Sync!$U411)-1)),2)&amp;RIGHT("00"&amp;VALUE(MID(Sync!$U411,FIND(":",Sync!$U411)+1,2)),2),"0000"))))</f>
        <v/>
      </c>
    </row>
    <row r="416">
      <c r="A416">
        <f>IF(Sync!$T412="","",Sync!$T412)</f>
        <v/>
      </c>
      <c r="B416">
        <f>IF($A416="","",IF(ISNUMBER($A416),IF(AND($A416&gt;=10000101,$A416&lt;=99991231),INT($A416/10000),""),IFERROR(VALUE(TRIM(LEFT($A416,FIND("/",$A416)-1))),"")))</f>
        <v/>
      </c>
      <c r="C416">
        <f>IF(OR($A416="",$B416=""),"",IF(ISNUMBER($A416),INT(MOD($A416,10000)/100),IFERROR(VALUE(TRIM(LEFT(MID($A416,FIND("/",$A416)+1,20),FIND("/",MID($A416,FIND("/",$A416)+1,20))-1))),"")))</f>
        <v/>
      </c>
      <c r="D416">
        <f>IF(OR($A416="",$B416=""),"",IF(ISNUMBER($A416),MOD($A416,100),IFERROR(VALUE(TRIM(MID(MID($A416,FIND("/",$A416)+1,20),FIND("/",MID($A416,FIND("/",$A416)+1,20))+1,20))),"")))</f>
        <v/>
      </c>
      <c r="E416">
        <f>IF($A416="","",IF(OR($B416="",$C416="",$D416="",$B416&lt;1300,$B416&gt;1500,$C416&lt;1,$C416&gt;12,$D416&lt;1,$D416&gt;31),"نامعتبر",RIGHT("0000"&amp;$B416,4)&amp;"/"&amp;RIGHT("00"&amp;$C416,2)&amp;"/"&amp;RIGHT("00"&amp;$D416,2)))</f>
        <v/>
      </c>
      <c r="F416">
        <f>IF(OR($E416="",$E416="نامعتبر"),"",LEFT($E416,4)&amp;"/"&amp;MID($E416,6,2))</f>
        <v/>
      </c>
      <c r="G416">
        <f>IF(OR($E416="",$E416="نامعتبر",Sync!$X412=""),"",IF(AND(LEFT(UPPER(TRIM(Sync!$X412)),2)="SL",IFERROR(VLOOKUP(Sync!$W412,OpTbl,3,0),"")="فروش"),UPPER(TRIM(Sync!$X412)),""))</f>
        <v/>
      </c>
      <c r="H416">
        <f>IF($G416="","",IF(Sync!$W412="","",Sync!$W412))</f>
        <v/>
      </c>
      <c r="I416">
        <f>IF(OR($G416="",Sync!$Y412=""),"",Sync!$Y412)</f>
        <v/>
      </c>
      <c r="J416">
        <f>IF(OR($G416="",Sync!$Z412=""),"",Sync!$Z412)</f>
        <v/>
      </c>
      <c r="K416">
        <f>IF($G416="",0,IF(Sync!$AA412="",0,Sync!$AA412))</f>
        <v/>
      </c>
      <c r="L416">
        <f>IF($G416="",0,IF(Sync!$AB412="",0,Sync!$AB412))</f>
        <v/>
      </c>
      <c r="M416">
        <f>IF($G416="","",IF($H416="مرجوعی فروش",-1,1)*($K416-$L416*IFERROR(VLOOKUP("P01",ParamTbl,3,0),1.5)))</f>
        <v/>
      </c>
      <c r="N416">
        <f>IF($G416="",0,IF($H416="مرجوعی فروش",-1,1)*IF(Sync!$AC412="",0,Sync!$AC412))</f>
        <v/>
      </c>
      <c r="O416">
        <f>IF(OR($G416="",Sync!$V412=""),"",Sync!$V412)</f>
        <v/>
      </c>
      <c r="P416">
        <f>IF(OR($G416="",Sync!$AD412=""),"",Sync!$AD412)</f>
        <v/>
      </c>
      <c r="Q416">
        <f>IF($G416="","",IF(Sync!$U412="","0000",IF(AND(ISNUMBER(Sync!$U412),Sync!$U412&gt;=0,Sync!$U412&lt;1),RIGHT("00"&amp;HOUR(Sync!$U412),2)&amp;RIGHT("00"&amp;MINUTE(Sync!$U412),2),IFERROR(RIGHT("00"&amp;VALUE(LEFT(Sync!$U412,FIND(":",Sync!$U412)-1)),2)&amp;RIGHT("00"&amp;VALUE(MID(Sync!$U412,FIND(":",Sync!$U412)+1,2)),2),"0000"))))</f>
        <v/>
      </c>
    </row>
    <row r="417">
      <c r="A417">
        <f>IF(Sync!$T413="","",Sync!$T413)</f>
        <v/>
      </c>
      <c r="B417">
        <f>IF($A417="","",IF(ISNUMBER($A417),IF(AND($A417&gt;=10000101,$A417&lt;=99991231),INT($A417/10000),""),IFERROR(VALUE(TRIM(LEFT($A417,FIND("/",$A417)-1))),"")))</f>
        <v/>
      </c>
      <c r="C417">
        <f>IF(OR($A417="",$B417=""),"",IF(ISNUMBER($A417),INT(MOD($A417,10000)/100),IFERROR(VALUE(TRIM(LEFT(MID($A417,FIND("/",$A417)+1,20),FIND("/",MID($A417,FIND("/",$A417)+1,20))-1))),"")))</f>
        <v/>
      </c>
      <c r="D417">
        <f>IF(OR($A417="",$B417=""),"",IF(ISNUMBER($A417),MOD($A417,100),IFERROR(VALUE(TRIM(MID(MID($A417,FIND("/",$A417)+1,20),FIND("/",MID($A417,FIND("/",$A417)+1,20))+1,20))),"")))</f>
        <v/>
      </c>
      <c r="E417">
        <f>IF($A417="","",IF(OR($B417="",$C417="",$D417="",$B417&lt;1300,$B417&gt;1500,$C417&lt;1,$C417&gt;12,$D417&lt;1,$D417&gt;31),"نامعتبر",RIGHT("0000"&amp;$B417,4)&amp;"/"&amp;RIGHT("00"&amp;$C417,2)&amp;"/"&amp;RIGHT("00"&amp;$D417,2)))</f>
        <v/>
      </c>
      <c r="F417">
        <f>IF(OR($E417="",$E417="نامعتبر"),"",LEFT($E417,4)&amp;"/"&amp;MID($E417,6,2))</f>
        <v/>
      </c>
      <c r="G417">
        <f>IF(OR($E417="",$E417="نامعتبر",Sync!$X413=""),"",IF(AND(LEFT(UPPER(TRIM(Sync!$X413)),2)="SL",IFERROR(VLOOKUP(Sync!$W413,OpTbl,3,0),"")="فروش"),UPPER(TRIM(Sync!$X413)),""))</f>
        <v/>
      </c>
      <c r="H417">
        <f>IF($G417="","",IF(Sync!$W413="","",Sync!$W413))</f>
        <v/>
      </c>
      <c r="I417">
        <f>IF(OR($G417="",Sync!$Y413=""),"",Sync!$Y413)</f>
        <v/>
      </c>
      <c r="J417">
        <f>IF(OR($G417="",Sync!$Z413=""),"",Sync!$Z413)</f>
        <v/>
      </c>
      <c r="K417">
        <f>IF($G417="",0,IF(Sync!$AA413="",0,Sync!$AA413))</f>
        <v/>
      </c>
      <c r="L417">
        <f>IF($G417="",0,IF(Sync!$AB413="",0,Sync!$AB413))</f>
        <v/>
      </c>
      <c r="M417">
        <f>IF($G417="","",IF($H417="مرجوعی فروش",-1,1)*($K417-$L417*IFERROR(VLOOKUP("P01",ParamTbl,3,0),1.5)))</f>
        <v/>
      </c>
      <c r="N417">
        <f>IF($G417="",0,IF($H417="مرجوعی فروش",-1,1)*IF(Sync!$AC413="",0,Sync!$AC413))</f>
        <v/>
      </c>
      <c r="O417">
        <f>IF(OR($G417="",Sync!$V413=""),"",Sync!$V413)</f>
        <v/>
      </c>
      <c r="P417">
        <f>IF(OR($G417="",Sync!$AD413=""),"",Sync!$AD413)</f>
        <v/>
      </c>
      <c r="Q417">
        <f>IF($G417="","",IF(Sync!$U413="","0000",IF(AND(ISNUMBER(Sync!$U413),Sync!$U413&gt;=0,Sync!$U413&lt;1),RIGHT("00"&amp;HOUR(Sync!$U413),2)&amp;RIGHT("00"&amp;MINUTE(Sync!$U413),2),IFERROR(RIGHT("00"&amp;VALUE(LEFT(Sync!$U413,FIND(":",Sync!$U413)-1)),2)&amp;RIGHT("00"&amp;VALUE(MID(Sync!$U413,FIND(":",Sync!$U413)+1,2)),2),"0000"))))</f>
        <v/>
      </c>
    </row>
    <row r="418">
      <c r="A418">
        <f>IF(Sync!$T414="","",Sync!$T414)</f>
        <v/>
      </c>
      <c r="B418">
        <f>IF($A418="","",IF(ISNUMBER($A418),IF(AND($A418&gt;=10000101,$A418&lt;=99991231),INT($A418/10000),""),IFERROR(VALUE(TRIM(LEFT($A418,FIND("/",$A418)-1))),"")))</f>
        <v/>
      </c>
      <c r="C418">
        <f>IF(OR($A418="",$B418=""),"",IF(ISNUMBER($A418),INT(MOD($A418,10000)/100),IFERROR(VALUE(TRIM(LEFT(MID($A418,FIND("/",$A418)+1,20),FIND("/",MID($A418,FIND("/",$A418)+1,20))-1))),"")))</f>
        <v/>
      </c>
      <c r="D418">
        <f>IF(OR($A418="",$B418=""),"",IF(ISNUMBER($A418),MOD($A418,100),IFERROR(VALUE(TRIM(MID(MID($A418,FIND("/",$A418)+1,20),FIND("/",MID($A418,FIND("/",$A418)+1,20))+1,20))),"")))</f>
        <v/>
      </c>
      <c r="E418">
        <f>IF($A418="","",IF(OR($B418="",$C418="",$D418="",$B418&lt;1300,$B418&gt;1500,$C418&lt;1,$C418&gt;12,$D418&lt;1,$D418&gt;31),"نامعتبر",RIGHT("0000"&amp;$B418,4)&amp;"/"&amp;RIGHT("00"&amp;$C418,2)&amp;"/"&amp;RIGHT("00"&amp;$D418,2)))</f>
        <v/>
      </c>
      <c r="F418">
        <f>IF(OR($E418="",$E418="نامعتبر"),"",LEFT($E418,4)&amp;"/"&amp;MID($E418,6,2))</f>
        <v/>
      </c>
      <c r="G418">
        <f>IF(OR($E418="",$E418="نامعتبر",Sync!$X414=""),"",IF(AND(LEFT(UPPER(TRIM(Sync!$X414)),2)="SL",IFERROR(VLOOKUP(Sync!$W414,OpTbl,3,0),"")="فروش"),UPPER(TRIM(Sync!$X414)),""))</f>
        <v/>
      </c>
      <c r="H418">
        <f>IF($G418="","",IF(Sync!$W414="","",Sync!$W414))</f>
        <v/>
      </c>
      <c r="I418">
        <f>IF(OR($G418="",Sync!$Y414=""),"",Sync!$Y414)</f>
        <v/>
      </c>
      <c r="J418">
        <f>IF(OR($G418="",Sync!$Z414=""),"",Sync!$Z414)</f>
        <v/>
      </c>
      <c r="K418">
        <f>IF($G418="",0,IF(Sync!$AA414="",0,Sync!$AA414))</f>
        <v/>
      </c>
      <c r="L418">
        <f>IF($G418="",0,IF(Sync!$AB414="",0,Sync!$AB414))</f>
        <v/>
      </c>
      <c r="M418">
        <f>IF($G418="","",IF($H418="مرجوعی فروش",-1,1)*($K418-$L418*IFERROR(VLOOKUP("P01",ParamTbl,3,0),1.5)))</f>
        <v/>
      </c>
      <c r="N418">
        <f>IF($G418="",0,IF($H418="مرجوعی فروش",-1,1)*IF(Sync!$AC414="",0,Sync!$AC414))</f>
        <v/>
      </c>
      <c r="O418">
        <f>IF(OR($G418="",Sync!$V414=""),"",Sync!$V414)</f>
        <v/>
      </c>
      <c r="P418">
        <f>IF(OR($G418="",Sync!$AD414=""),"",Sync!$AD414)</f>
        <v/>
      </c>
      <c r="Q418">
        <f>IF($G418="","",IF(Sync!$U414="","0000",IF(AND(ISNUMBER(Sync!$U414),Sync!$U414&gt;=0,Sync!$U414&lt;1),RIGHT("00"&amp;HOUR(Sync!$U414),2)&amp;RIGHT("00"&amp;MINUTE(Sync!$U414),2),IFERROR(RIGHT("00"&amp;VALUE(LEFT(Sync!$U414,FIND(":",Sync!$U414)-1)),2)&amp;RIGHT("00"&amp;VALUE(MID(Sync!$U414,FIND(":",Sync!$U414)+1,2)),2),"0000"))))</f>
        <v/>
      </c>
    </row>
    <row r="419">
      <c r="A419">
        <f>IF(Sync!$T415="","",Sync!$T415)</f>
        <v/>
      </c>
      <c r="B419">
        <f>IF($A419="","",IF(ISNUMBER($A419),IF(AND($A419&gt;=10000101,$A419&lt;=99991231),INT($A419/10000),""),IFERROR(VALUE(TRIM(LEFT($A419,FIND("/",$A419)-1))),"")))</f>
        <v/>
      </c>
      <c r="C419">
        <f>IF(OR($A419="",$B419=""),"",IF(ISNUMBER($A419),INT(MOD($A419,10000)/100),IFERROR(VALUE(TRIM(LEFT(MID($A419,FIND("/",$A419)+1,20),FIND("/",MID($A419,FIND("/",$A419)+1,20))-1))),"")))</f>
        <v/>
      </c>
      <c r="D419">
        <f>IF(OR($A419="",$B419=""),"",IF(ISNUMBER($A419),MOD($A419,100),IFERROR(VALUE(TRIM(MID(MID($A419,FIND("/",$A419)+1,20),FIND("/",MID($A419,FIND("/",$A419)+1,20))+1,20))),"")))</f>
        <v/>
      </c>
      <c r="E419">
        <f>IF($A419="","",IF(OR($B419="",$C419="",$D419="",$B419&lt;1300,$B419&gt;1500,$C419&lt;1,$C419&gt;12,$D419&lt;1,$D419&gt;31),"نامعتبر",RIGHT("0000"&amp;$B419,4)&amp;"/"&amp;RIGHT("00"&amp;$C419,2)&amp;"/"&amp;RIGHT("00"&amp;$D419,2)))</f>
        <v/>
      </c>
      <c r="F419">
        <f>IF(OR($E419="",$E419="نامعتبر"),"",LEFT($E419,4)&amp;"/"&amp;MID($E419,6,2))</f>
        <v/>
      </c>
      <c r="G419">
        <f>IF(OR($E419="",$E419="نامعتبر",Sync!$X415=""),"",IF(AND(LEFT(UPPER(TRIM(Sync!$X415)),2)="SL",IFERROR(VLOOKUP(Sync!$W415,OpTbl,3,0),"")="فروش"),UPPER(TRIM(Sync!$X415)),""))</f>
        <v/>
      </c>
      <c r="H419">
        <f>IF($G419="","",IF(Sync!$W415="","",Sync!$W415))</f>
        <v/>
      </c>
      <c r="I419">
        <f>IF(OR($G419="",Sync!$Y415=""),"",Sync!$Y415)</f>
        <v/>
      </c>
      <c r="J419">
        <f>IF(OR($G419="",Sync!$Z415=""),"",Sync!$Z415)</f>
        <v/>
      </c>
      <c r="K419">
        <f>IF($G419="",0,IF(Sync!$AA415="",0,Sync!$AA415))</f>
        <v/>
      </c>
      <c r="L419">
        <f>IF($G419="",0,IF(Sync!$AB415="",0,Sync!$AB415))</f>
        <v/>
      </c>
      <c r="M419">
        <f>IF($G419="","",IF($H419="مرجوعی فروش",-1,1)*($K419-$L419*IFERROR(VLOOKUP("P01",ParamTbl,3,0),1.5)))</f>
        <v/>
      </c>
      <c r="N419">
        <f>IF($G419="",0,IF($H419="مرجوعی فروش",-1,1)*IF(Sync!$AC415="",0,Sync!$AC415))</f>
        <v/>
      </c>
      <c r="O419">
        <f>IF(OR($G419="",Sync!$V415=""),"",Sync!$V415)</f>
        <v/>
      </c>
      <c r="P419">
        <f>IF(OR($G419="",Sync!$AD415=""),"",Sync!$AD415)</f>
        <v/>
      </c>
      <c r="Q419">
        <f>IF($G419="","",IF(Sync!$U415="","0000",IF(AND(ISNUMBER(Sync!$U415),Sync!$U415&gt;=0,Sync!$U415&lt;1),RIGHT("00"&amp;HOUR(Sync!$U415),2)&amp;RIGHT("00"&amp;MINUTE(Sync!$U415),2),IFERROR(RIGHT("00"&amp;VALUE(LEFT(Sync!$U415,FIND(":",Sync!$U415)-1)),2)&amp;RIGHT("00"&amp;VALUE(MID(Sync!$U415,FIND(":",Sync!$U415)+1,2)),2),"0000"))))</f>
        <v/>
      </c>
    </row>
    <row r="420">
      <c r="A420">
        <f>IF(Sync!$T416="","",Sync!$T416)</f>
        <v/>
      </c>
      <c r="B420">
        <f>IF($A420="","",IF(ISNUMBER($A420),IF(AND($A420&gt;=10000101,$A420&lt;=99991231),INT($A420/10000),""),IFERROR(VALUE(TRIM(LEFT($A420,FIND("/",$A420)-1))),"")))</f>
        <v/>
      </c>
      <c r="C420">
        <f>IF(OR($A420="",$B420=""),"",IF(ISNUMBER($A420),INT(MOD($A420,10000)/100),IFERROR(VALUE(TRIM(LEFT(MID($A420,FIND("/",$A420)+1,20),FIND("/",MID($A420,FIND("/",$A420)+1,20))-1))),"")))</f>
        <v/>
      </c>
      <c r="D420">
        <f>IF(OR($A420="",$B420=""),"",IF(ISNUMBER($A420),MOD($A420,100),IFERROR(VALUE(TRIM(MID(MID($A420,FIND("/",$A420)+1,20),FIND("/",MID($A420,FIND("/",$A420)+1,20))+1,20))),"")))</f>
        <v/>
      </c>
      <c r="E420">
        <f>IF($A420="","",IF(OR($B420="",$C420="",$D420="",$B420&lt;1300,$B420&gt;1500,$C420&lt;1,$C420&gt;12,$D420&lt;1,$D420&gt;31),"نامعتبر",RIGHT("0000"&amp;$B420,4)&amp;"/"&amp;RIGHT("00"&amp;$C420,2)&amp;"/"&amp;RIGHT("00"&amp;$D420,2)))</f>
        <v/>
      </c>
      <c r="F420">
        <f>IF(OR($E420="",$E420="نامعتبر"),"",LEFT($E420,4)&amp;"/"&amp;MID($E420,6,2))</f>
        <v/>
      </c>
      <c r="G420">
        <f>IF(OR($E420="",$E420="نامعتبر",Sync!$X416=""),"",IF(AND(LEFT(UPPER(TRIM(Sync!$X416)),2)="SL",IFERROR(VLOOKUP(Sync!$W416,OpTbl,3,0),"")="فروش"),UPPER(TRIM(Sync!$X416)),""))</f>
        <v/>
      </c>
      <c r="H420">
        <f>IF($G420="","",IF(Sync!$W416="","",Sync!$W416))</f>
        <v/>
      </c>
      <c r="I420">
        <f>IF(OR($G420="",Sync!$Y416=""),"",Sync!$Y416)</f>
        <v/>
      </c>
      <c r="J420">
        <f>IF(OR($G420="",Sync!$Z416=""),"",Sync!$Z416)</f>
        <v/>
      </c>
      <c r="K420">
        <f>IF($G420="",0,IF(Sync!$AA416="",0,Sync!$AA416))</f>
        <v/>
      </c>
      <c r="L420">
        <f>IF($G420="",0,IF(Sync!$AB416="",0,Sync!$AB416))</f>
        <v/>
      </c>
      <c r="M420">
        <f>IF($G420="","",IF($H420="مرجوعی فروش",-1,1)*($K420-$L420*IFERROR(VLOOKUP("P01",ParamTbl,3,0),1.5)))</f>
        <v/>
      </c>
      <c r="N420">
        <f>IF($G420="",0,IF($H420="مرجوعی فروش",-1,1)*IF(Sync!$AC416="",0,Sync!$AC416))</f>
        <v/>
      </c>
      <c r="O420">
        <f>IF(OR($G420="",Sync!$V416=""),"",Sync!$V416)</f>
        <v/>
      </c>
      <c r="P420">
        <f>IF(OR($G420="",Sync!$AD416=""),"",Sync!$AD416)</f>
        <v/>
      </c>
      <c r="Q420">
        <f>IF($G420="","",IF(Sync!$U416="","0000",IF(AND(ISNUMBER(Sync!$U416),Sync!$U416&gt;=0,Sync!$U416&lt;1),RIGHT("00"&amp;HOUR(Sync!$U416),2)&amp;RIGHT("00"&amp;MINUTE(Sync!$U416),2),IFERROR(RIGHT("00"&amp;VALUE(LEFT(Sync!$U416,FIND(":",Sync!$U416)-1)),2)&amp;RIGHT("00"&amp;VALUE(MID(Sync!$U416,FIND(":",Sync!$U416)+1,2)),2),"0000"))))</f>
        <v/>
      </c>
    </row>
    <row r="421">
      <c r="A421">
        <f>IF(Sync!$T417="","",Sync!$T417)</f>
        <v/>
      </c>
      <c r="B421">
        <f>IF($A421="","",IF(ISNUMBER($A421),IF(AND($A421&gt;=10000101,$A421&lt;=99991231),INT($A421/10000),""),IFERROR(VALUE(TRIM(LEFT($A421,FIND("/",$A421)-1))),"")))</f>
        <v/>
      </c>
      <c r="C421">
        <f>IF(OR($A421="",$B421=""),"",IF(ISNUMBER($A421),INT(MOD($A421,10000)/100),IFERROR(VALUE(TRIM(LEFT(MID($A421,FIND("/",$A421)+1,20),FIND("/",MID($A421,FIND("/",$A421)+1,20))-1))),"")))</f>
        <v/>
      </c>
      <c r="D421">
        <f>IF(OR($A421="",$B421=""),"",IF(ISNUMBER($A421),MOD($A421,100),IFERROR(VALUE(TRIM(MID(MID($A421,FIND("/",$A421)+1,20),FIND("/",MID($A421,FIND("/",$A421)+1,20))+1,20))),"")))</f>
        <v/>
      </c>
      <c r="E421">
        <f>IF($A421="","",IF(OR($B421="",$C421="",$D421="",$B421&lt;1300,$B421&gt;1500,$C421&lt;1,$C421&gt;12,$D421&lt;1,$D421&gt;31),"نامعتبر",RIGHT("0000"&amp;$B421,4)&amp;"/"&amp;RIGHT("00"&amp;$C421,2)&amp;"/"&amp;RIGHT("00"&amp;$D421,2)))</f>
        <v/>
      </c>
      <c r="F421">
        <f>IF(OR($E421="",$E421="نامعتبر"),"",LEFT($E421,4)&amp;"/"&amp;MID($E421,6,2))</f>
        <v/>
      </c>
      <c r="G421">
        <f>IF(OR($E421="",$E421="نامعتبر",Sync!$X417=""),"",IF(AND(LEFT(UPPER(TRIM(Sync!$X417)),2)="SL",IFERROR(VLOOKUP(Sync!$W417,OpTbl,3,0),"")="فروش"),UPPER(TRIM(Sync!$X417)),""))</f>
        <v/>
      </c>
      <c r="H421">
        <f>IF($G421="","",IF(Sync!$W417="","",Sync!$W417))</f>
        <v/>
      </c>
      <c r="I421">
        <f>IF(OR($G421="",Sync!$Y417=""),"",Sync!$Y417)</f>
        <v/>
      </c>
      <c r="J421">
        <f>IF(OR($G421="",Sync!$Z417=""),"",Sync!$Z417)</f>
        <v/>
      </c>
      <c r="K421">
        <f>IF($G421="",0,IF(Sync!$AA417="",0,Sync!$AA417))</f>
        <v/>
      </c>
      <c r="L421">
        <f>IF($G421="",0,IF(Sync!$AB417="",0,Sync!$AB417))</f>
        <v/>
      </c>
      <c r="M421">
        <f>IF($G421="","",IF($H421="مرجوعی فروش",-1,1)*($K421-$L421*IFERROR(VLOOKUP("P01",ParamTbl,3,0),1.5)))</f>
        <v/>
      </c>
      <c r="N421">
        <f>IF($G421="",0,IF($H421="مرجوعی فروش",-1,1)*IF(Sync!$AC417="",0,Sync!$AC417))</f>
        <v/>
      </c>
      <c r="O421">
        <f>IF(OR($G421="",Sync!$V417=""),"",Sync!$V417)</f>
        <v/>
      </c>
      <c r="P421">
        <f>IF(OR($G421="",Sync!$AD417=""),"",Sync!$AD417)</f>
        <v/>
      </c>
      <c r="Q421">
        <f>IF($G421="","",IF(Sync!$U417="","0000",IF(AND(ISNUMBER(Sync!$U417),Sync!$U417&gt;=0,Sync!$U417&lt;1),RIGHT("00"&amp;HOUR(Sync!$U417),2)&amp;RIGHT("00"&amp;MINUTE(Sync!$U417),2),IFERROR(RIGHT("00"&amp;VALUE(LEFT(Sync!$U417,FIND(":",Sync!$U417)-1)),2)&amp;RIGHT("00"&amp;VALUE(MID(Sync!$U417,FIND(":",Sync!$U417)+1,2)),2),"0000"))))</f>
        <v/>
      </c>
    </row>
    <row r="422">
      <c r="A422">
        <f>IF(Sync!$T418="","",Sync!$T418)</f>
        <v/>
      </c>
      <c r="B422">
        <f>IF($A422="","",IF(ISNUMBER($A422),IF(AND($A422&gt;=10000101,$A422&lt;=99991231),INT($A422/10000),""),IFERROR(VALUE(TRIM(LEFT($A422,FIND("/",$A422)-1))),"")))</f>
        <v/>
      </c>
      <c r="C422">
        <f>IF(OR($A422="",$B422=""),"",IF(ISNUMBER($A422),INT(MOD($A422,10000)/100),IFERROR(VALUE(TRIM(LEFT(MID($A422,FIND("/",$A422)+1,20),FIND("/",MID($A422,FIND("/",$A422)+1,20))-1))),"")))</f>
        <v/>
      </c>
      <c r="D422">
        <f>IF(OR($A422="",$B422=""),"",IF(ISNUMBER($A422),MOD($A422,100),IFERROR(VALUE(TRIM(MID(MID($A422,FIND("/",$A422)+1,20),FIND("/",MID($A422,FIND("/",$A422)+1,20))+1,20))),"")))</f>
        <v/>
      </c>
      <c r="E422">
        <f>IF($A422="","",IF(OR($B422="",$C422="",$D422="",$B422&lt;1300,$B422&gt;1500,$C422&lt;1,$C422&gt;12,$D422&lt;1,$D422&gt;31),"نامعتبر",RIGHT("0000"&amp;$B422,4)&amp;"/"&amp;RIGHT("00"&amp;$C422,2)&amp;"/"&amp;RIGHT("00"&amp;$D422,2)))</f>
        <v/>
      </c>
      <c r="F422">
        <f>IF(OR($E422="",$E422="نامعتبر"),"",LEFT($E422,4)&amp;"/"&amp;MID($E422,6,2))</f>
        <v/>
      </c>
      <c r="G422">
        <f>IF(OR($E422="",$E422="نامعتبر",Sync!$X418=""),"",IF(AND(LEFT(UPPER(TRIM(Sync!$X418)),2)="SL",IFERROR(VLOOKUP(Sync!$W418,OpTbl,3,0),"")="فروش"),UPPER(TRIM(Sync!$X418)),""))</f>
        <v/>
      </c>
      <c r="H422">
        <f>IF($G422="","",IF(Sync!$W418="","",Sync!$W418))</f>
        <v/>
      </c>
      <c r="I422">
        <f>IF(OR($G422="",Sync!$Y418=""),"",Sync!$Y418)</f>
        <v/>
      </c>
      <c r="J422">
        <f>IF(OR($G422="",Sync!$Z418=""),"",Sync!$Z418)</f>
        <v/>
      </c>
      <c r="K422">
        <f>IF($G422="",0,IF(Sync!$AA418="",0,Sync!$AA418))</f>
        <v/>
      </c>
      <c r="L422">
        <f>IF($G422="",0,IF(Sync!$AB418="",0,Sync!$AB418))</f>
        <v/>
      </c>
      <c r="M422">
        <f>IF($G422="","",IF($H422="مرجوعی فروش",-1,1)*($K422-$L422*IFERROR(VLOOKUP("P01",ParamTbl,3,0),1.5)))</f>
        <v/>
      </c>
      <c r="N422">
        <f>IF($G422="",0,IF($H422="مرجوعی فروش",-1,1)*IF(Sync!$AC418="",0,Sync!$AC418))</f>
        <v/>
      </c>
      <c r="O422">
        <f>IF(OR($G422="",Sync!$V418=""),"",Sync!$V418)</f>
        <v/>
      </c>
      <c r="P422">
        <f>IF(OR($G422="",Sync!$AD418=""),"",Sync!$AD418)</f>
        <v/>
      </c>
      <c r="Q422">
        <f>IF($G422="","",IF(Sync!$U418="","0000",IF(AND(ISNUMBER(Sync!$U418),Sync!$U418&gt;=0,Sync!$U418&lt;1),RIGHT("00"&amp;HOUR(Sync!$U418),2)&amp;RIGHT("00"&amp;MINUTE(Sync!$U418),2),IFERROR(RIGHT("00"&amp;VALUE(LEFT(Sync!$U418,FIND(":",Sync!$U418)-1)),2)&amp;RIGHT("00"&amp;VALUE(MID(Sync!$U418,FIND(":",Sync!$U418)+1,2)),2),"0000"))))</f>
        <v/>
      </c>
    </row>
    <row r="423">
      <c r="A423">
        <f>IF(Sync!$T419="","",Sync!$T419)</f>
        <v/>
      </c>
      <c r="B423">
        <f>IF($A423="","",IF(ISNUMBER($A423),IF(AND($A423&gt;=10000101,$A423&lt;=99991231),INT($A423/10000),""),IFERROR(VALUE(TRIM(LEFT($A423,FIND("/",$A423)-1))),"")))</f>
        <v/>
      </c>
      <c r="C423">
        <f>IF(OR($A423="",$B423=""),"",IF(ISNUMBER($A423),INT(MOD($A423,10000)/100),IFERROR(VALUE(TRIM(LEFT(MID($A423,FIND("/",$A423)+1,20),FIND("/",MID($A423,FIND("/",$A423)+1,20))-1))),"")))</f>
        <v/>
      </c>
      <c r="D423">
        <f>IF(OR($A423="",$B423=""),"",IF(ISNUMBER($A423),MOD($A423,100),IFERROR(VALUE(TRIM(MID(MID($A423,FIND("/",$A423)+1,20),FIND("/",MID($A423,FIND("/",$A423)+1,20))+1,20))),"")))</f>
        <v/>
      </c>
      <c r="E423">
        <f>IF($A423="","",IF(OR($B423="",$C423="",$D423="",$B423&lt;1300,$B423&gt;1500,$C423&lt;1,$C423&gt;12,$D423&lt;1,$D423&gt;31),"نامعتبر",RIGHT("0000"&amp;$B423,4)&amp;"/"&amp;RIGHT("00"&amp;$C423,2)&amp;"/"&amp;RIGHT("00"&amp;$D423,2)))</f>
        <v/>
      </c>
      <c r="F423">
        <f>IF(OR($E423="",$E423="نامعتبر"),"",LEFT($E423,4)&amp;"/"&amp;MID($E423,6,2))</f>
        <v/>
      </c>
      <c r="G423">
        <f>IF(OR($E423="",$E423="نامعتبر",Sync!$X419=""),"",IF(AND(LEFT(UPPER(TRIM(Sync!$X419)),2)="SL",IFERROR(VLOOKUP(Sync!$W419,OpTbl,3,0),"")="فروش"),UPPER(TRIM(Sync!$X419)),""))</f>
        <v/>
      </c>
      <c r="H423">
        <f>IF($G423="","",IF(Sync!$W419="","",Sync!$W419))</f>
        <v/>
      </c>
      <c r="I423">
        <f>IF(OR($G423="",Sync!$Y419=""),"",Sync!$Y419)</f>
        <v/>
      </c>
      <c r="J423">
        <f>IF(OR($G423="",Sync!$Z419=""),"",Sync!$Z419)</f>
        <v/>
      </c>
      <c r="K423">
        <f>IF($G423="",0,IF(Sync!$AA419="",0,Sync!$AA419))</f>
        <v/>
      </c>
      <c r="L423">
        <f>IF($G423="",0,IF(Sync!$AB419="",0,Sync!$AB419))</f>
        <v/>
      </c>
      <c r="M423">
        <f>IF($G423="","",IF($H423="مرجوعی فروش",-1,1)*($K423-$L423*IFERROR(VLOOKUP("P01",ParamTbl,3,0),1.5)))</f>
        <v/>
      </c>
      <c r="N423">
        <f>IF($G423="",0,IF($H423="مرجوعی فروش",-1,1)*IF(Sync!$AC419="",0,Sync!$AC419))</f>
        <v/>
      </c>
      <c r="O423">
        <f>IF(OR($G423="",Sync!$V419=""),"",Sync!$V419)</f>
        <v/>
      </c>
      <c r="P423">
        <f>IF(OR($G423="",Sync!$AD419=""),"",Sync!$AD419)</f>
        <v/>
      </c>
      <c r="Q423">
        <f>IF($G423="","",IF(Sync!$U419="","0000",IF(AND(ISNUMBER(Sync!$U419),Sync!$U419&gt;=0,Sync!$U419&lt;1),RIGHT("00"&amp;HOUR(Sync!$U419),2)&amp;RIGHT("00"&amp;MINUTE(Sync!$U419),2),IFERROR(RIGHT("00"&amp;VALUE(LEFT(Sync!$U419,FIND(":",Sync!$U419)-1)),2)&amp;RIGHT("00"&amp;VALUE(MID(Sync!$U419,FIND(":",Sync!$U419)+1,2)),2),"0000"))))</f>
        <v/>
      </c>
    </row>
    <row r="424">
      <c r="A424">
        <f>IF(Sync!$T420="","",Sync!$T420)</f>
        <v/>
      </c>
      <c r="B424">
        <f>IF($A424="","",IF(ISNUMBER($A424),IF(AND($A424&gt;=10000101,$A424&lt;=99991231),INT($A424/10000),""),IFERROR(VALUE(TRIM(LEFT($A424,FIND("/",$A424)-1))),"")))</f>
        <v/>
      </c>
      <c r="C424">
        <f>IF(OR($A424="",$B424=""),"",IF(ISNUMBER($A424),INT(MOD($A424,10000)/100),IFERROR(VALUE(TRIM(LEFT(MID($A424,FIND("/",$A424)+1,20),FIND("/",MID($A424,FIND("/",$A424)+1,20))-1))),"")))</f>
        <v/>
      </c>
      <c r="D424">
        <f>IF(OR($A424="",$B424=""),"",IF(ISNUMBER($A424),MOD($A424,100),IFERROR(VALUE(TRIM(MID(MID($A424,FIND("/",$A424)+1,20),FIND("/",MID($A424,FIND("/",$A424)+1,20))+1,20))),"")))</f>
        <v/>
      </c>
      <c r="E424">
        <f>IF($A424="","",IF(OR($B424="",$C424="",$D424="",$B424&lt;1300,$B424&gt;1500,$C424&lt;1,$C424&gt;12,$D424&lt;1,$D424&gt;31),"نامعتبر",RIGHT("0000"&amp;$B424,4)&amp;"/"&amp;RIGHT("00"&amp;$C424,2)&amp;"/"&amp;RIGHT("00"&amp;$D424,2)))</f>
        <v/>
      </c>
      <c r="F424">
        <f>IF(OR($E424="",$E424="نامعتبر"),"",LEFT($E424,4)&amp;"/"&amp;MID($E424,6,2))</f>
        <v/>
      </c>
      <c r="G424">
        <f>IF(OR($E424="",$E424="نامعتبر",Sync!$X420=""),"",IF(AND(LEFT(UPPER(TRIM(Sync!$X420)),2)="SL",IFERROR(VLOOKUP(Sync!$W420,OpTbl,3,0),"")="فروش"),UPPER(TRIM(Sync!$X420)),""))</f>
        <v/>
      </c>
      <c r="H424">
        <f>IF($G424="","",IF(Sync!$W420="","",Sync!$W420))</f>
        <v/>
      </c>
      <c r="I424">
        <f>IF(OR($G424="",Sync!$Y420=""),"",Sync!$Y420)</f>
        <v/>
      </c>
      <c r="J424">
        <f>IF(OR($G424="",Sync!$Z420=""),"",Sync!$Z420)</f>
        <v/>
      </c>
      <c r="K424">
        <f>IF($G424="",0,IF(Sync!$AA420="",0,Sync!$AA420))</f>
        <v/>
      </c>
      <c r="L424">
        <f>IF($G424="",0,IF(Sync!$AB420="",0,Sync!$AB420))</f>
        <v/>
      </c>
      <c r="M424">
        <f>IF($G424="","",IF($H424="مرجوعی فروش",-1,1)*($K424-$L424*IFERROR(VLOOKUP("P01",ParamTbl,3,0),1.5)))</f>
        <v/>
      </c>
      <c r="N424">
        <f>IF($G424="",0,IF($H424="مرجوعی فروش",-1,1)*IF(Sync!$AC420="",0,Sync!$AC420))</f>
        <v/>
      </c>
      <c r="O424">
        <f>IF(OR($G424="",Sync!$V420=""),"",Sync!$V420)</f>
        <v/>
      </c>
      <c r="P424">
        <f>IF(OR($G424="",Sync!$AD420=""),"",Sync!$AD420)</f>
        <v/>
      </c>
      <c r="Q424">
        <f>IF($G424="","",IF(Sync!$U420="","0000",IF(AND(ISNUMBER(Sync!$U420),Sync!$U420&gt;=0,Sync!$U420&lt;1),RIGHT("00"&amp;HOUR(Sync!$U420),2)&amp;RIGHT("00"&amp;MINUTE(Sync!$U420),2),IFERROR(RIGHT("00"&amp;VALUE(LEFT(Sync!$U420,FIND(":",Sync!$U420)-1)),2)&amp;RIGHT("00"&amp;VALUE(MID(Sync!$U420,FIND(":",Sync!$U420)+1,2)),2),"0000"))))</f>
        <v/>
      </c>
    </row>
    <row r="425">
      <c r="A425">
        <f>IF(Sync!$T421="","",Sync!$T421)</f>
        <v/>
      </c>
      <c r="B425">
        <f>IF($A425="","",IF(ISNUMBER($A425),IF(AND($A425&gt;=10000101,$A425&lt;=99991231),INT($A425/10000),""),IFERROR(VALUE(TRIM(LEFT($A425,FIND("/",$A425)-1))),"")))</f>
        <v/>
      </c>
      <c r="C425">
        <f>IF(OR($A425="",$B425=""),"",IF(ISNUMBER($A425),INT(MOD($A425,10000)/100),IFERROR(VALUE(TRIM(LEFT(MID($A425,FIND("/",$A425)+1,20),FIND("/",MID($A425,FIND("/",$A425)+1,20))-1))),"")))</f>
        <v/>
      </c>
      <c r="D425">
        <f>IF(OR($A425="",$B425=""),"",IF(ISNUMBER($A425),MOD($A425,100),IFERROR(VALUE(TRIM(MID(MID($A425,FIND("/",$A425)+1,20),FIND("/",MID($A425,FIND("/",$A425)+1,20))+1,20))),"")))</f>
        <v/>
      </c>
      <c r="E425">
        <f>IF($A425="","",IF(OR($B425="",$C425="",$D425="",$B425&lt;1300,$B425&gt;1500,$C425&lt;1,$C425&gt;12,$D425&lt;1,$D425&gt;31),"نامعتبر",RIGHT("0000"&amp;$B425,4)&amp;"/"&amp;RIGHT("00"&amp;$C425,2)&amp;"/"&amp;RIGHT("00"&amp;$D425,2)))</f>
        <v/>
      </c>
      <c r="F425">
        <f>IF(OR($E425="",$E425="نامعتبر"),"",LEFT($E425,4)&amp;"/"&amp;MID($E425,6,2))</f>
        <v/>
      </c>
      <c r="G425">
        <f>IF(OR($E425="",$E425="نامعتبر",Sync!$X421=""),"",IF(AND(LEFT(UPPER(TRIM(Sync!$X421)),2)="SL",IFERROR(VLOOKUP(Sync!$W421,OpTbl,3,0),"")="فروش"),UPPER(TRIM(Sync!$X421)),""))</f>
        <v/>
      </c>
      <c r="H425">
        <f>IF($G425="","",IF(Sync!$W421="","",Sync!$W421))</f>
        <v/>
      </c>
      <c r="I425">
        <f>IF(OR($G425="",Sync!$Y421=""),"",Sync!$Y421)</f>
        <v/>
      </c>
      <c r="J425">
        <f>IF(OR($G425="",Sync!$Z421=""),"",Sync!$Z421)</f>
        <v/>
      </c>
      <c r="K425">
        <f>IF($G425="",0,IF(Sync!$AA421="",0,Sync!$AA421))</f>
        <v/>
      </c>
      <c r="L425">
        <f>IF($G425="",0,IF(Sync!$AB421="",0,Sync!$AB421))</f>
        <v/>
      </c>
      <c r="M425">
        <f>IF($G425="","",IF($H425="مرجوعی فروش",-1,1)*($K425-$L425*IFERROR(VLOOKUP("P01",ParamTbl,3,0),1.5)))</f>
        <v/>
      </c>
      <c r="N425">
        <f>IF($G425="",0,IF($H425="مرجوعی فروش",-1,1)*IF(Sync!$AC421="",0,Sync!$AC421))</f>
        <v/>
      </c>
      <c r="O425">
        <f>IF(OR($G425="",Sync!$V421=""),"",Sync!$V421)</f>
        <v/>
      </c>
      <c r="P425">
        <f>IF(OR($G425="",Sync!$AD421=""),"",Sync!$AD421)</f>
        <v/>
      </c>
      <c r="Q425">
        <f>IF($G425="","",IF(Sync!$U421="","0000",IF(AND(ISNUMBER(Sync!$U421),Sync!$U421&gt;=0,Sync!$U421&lt;1),RIGHT("00"&amp;HOUR(Sync!$U421),2)&amp;RIGHT("00"&amp;MINUTE(Sync!$U421),2),IFERROR(RIGHT("00"&amp;VALUE(LEFT(Sync!$U421,FIND(":",Sync!$U421)-1)),2)&amp;RIGHT("00"&amp;VALUE(MID(Sync!$U421,FIND(":",Sync!$U421)+1,2)),2),"0000"))))</f>
        <v/>
      </c>
    </row>
    <row r="426">
      <c r="A426">
        <f>IF(Sync!$T422="","",Sync!$T422)</f>
        <v/>
      </c>
      <c r="B426">
        <f>IF($A426="","",IF(ISNUMBER($A426),IF(AND($A426&gt;=10000101,$A426&lt;=99991231),INT($A426/10000),""),IFERROR(VALUE(TRIM(LEFT($A426,FIND("/",$A426)-1))),"")))</f>
        <v/>
      </c>
      <c r="C426">
        <f>IF(OR($A426="",$B426=""),"",IF(ISNUMBER($A426),INT(MOD($A426,10000)/100),IFERROR(VALUE(TRIM(LEFT(MID($A426,FIND("/",$A426)+1,20),FIND("/",MID($A426,FIND("/",$A426)+1,20))-1))),"")))</f>
        <v/>
      </c>
      <c r="D426">
        <f>IF(OR($A426="",$B426=""),"",IF(ISNUMBER($A426),MOD($A426,100),IFERROR(VALUE(TRIM(MID(MID($A426,FIND("/",$A426)+1,20),FIND("/",MID($A426,FIND("/",$A426)+1,20))+1,20))),"")))</f>
        <v/>
      </c>
      <c r="E426">
        <f>IF($A426="","",IF(OR($B426="",$C426="",$D426="",$B426&lt;1300,$B426&gt;1500,$C426&lt;1,$C426&gt;12,$D426&lt;1,$D426&gt;31),"نامعتبر",RIGHT("0000"&amp;$B426,4)&amp;"/"&amp;RIGHT("00"&amp;$C426,2)&amp;"/"&amp;RIGHT("00"&amp;$D426,2)))</f>
        <v/>
      </c>
      <c r="F426">
        <f>IF(OR($E426="",$E426="نامعتبر"),"",LEFT($E426,4)&amp;"/"&amp;MID($E426,6,2))</f>
        <v/>
      </c>
      <c r="G426">
        <f>IF(OR($E426="",$E426="نامعتبر",Sync!$X422=""),"",IF(AND(LEFT(UPPER(TRIM(Sync!$X422)),2)="SL",IFERROR(VLOOKUP(Sync!$W422,OpTbl,3,0),"")="فروش"),UPPER(TRIM(Sync!$X422)),""))</f>
        <v/>
      </c>
      <c r="H426">
        <f>IF($G426="","",IF(Sync!$W422="","",Sync!$W422))</f>
        <v/>
      </c>
      <c r="I426">
        <f>IF(OR($G426="",Sync!$Y422=""),"",Sync!$Y422)</f>
        <v/>
      </c>
      <c r="J426">
        <f>IF(OR($G426="",Sync!$Z422=""),"",Sync!$Z422)</f>
        <v/>
      </c>
      <c r="K426">
        <f>IF($G426="",0,IF(Sync!$AA422="",0,Sync!$AA422))</f>
        <v/>
      </c>
      <c r="L426">
        <f>IF($G426="",0,IF(Sync!$AB422="",0,Sync!$AB422))</f>
        <v/>
      </c>
      <c r="M426">
        <f>IF($G426="","",IF($H426="مرجوعی فروش",-1,1)*($K426-$L426*IFERROR(VLOOKUP("P01",ParamTbl,3,0),1.5)))</f>
        <v/>
      </c>
      <c r="N426">
        <f>IF($G426="",0,IF($H426="مرجوعی فروش",-1,1)*IF(Sync!$AC422="",0,Sync!$AC422))</f>
        <v/>
      </c>
      <c r="O426">
        <f>IF(OR($G426="",Sync!$V422=""),"",Sync!$V422)</f>
        <v/>
      </c>
      <c r="P426">
        <f>IF(OR($G426="",Sync!$AD422=""),"",Sync!$AD422)</f>
        <v/>
      </c>
      <c r="Q426">
        <f>IF($G426="","",IF(Sync!$U422="","0000",IF(AND(ISNUMBER(Sync!$U422),Sync!$U422&gt;=0,Sync!$U422&lt;1),RIGHT("00"&amp;HOUR(Sync!$U422),2)&amp;RIGHT("00"&amp;MINUTE(Sync!$U422),2),IFERROR(RIGHT("00"&amp;VALUE(LEFT(Sync!$U422,FIND(":",Sync!$U422)-1)),2)&amp;RIGHT("00"&amp;VALUE(MID(Sync!$U422,FIND(":",Sync!$U422)+1,2)),2),"0000"))))</f>
        <v/>
      </c>
    </row>
    <row r="427">
      <c r="A427">
        <f>IF(Sync!$T423="","",Sync!$T423)</f>
        <v/>
      </c>
      <c r="B427">
        <f>IF($A427="","",IF(ISNUMBER($A427),IF(AND($A427&gt;=10000101,$A427&lt;=99991231),INT($A427/10000),""),IFERROR(VALUE(TRIM(LEFT($A427,FIND("/",$A427)-1))),"")))</f>
        <v/>
      </c>
      <c r="C427">
        <f>IF(OR($A427="",$B427=""),"",IF(ISNUMBER($A427),INT(MOD($A427,10000)/100),IFERROR(VALUE(TRIM(LEFT(MID($A427,FIND("/",$A427)+1,20),FIND("/",MID($A427,FIND("/",$A427)+1,20))-1))),"")))</f>
        <v/>
      </c>
      <c r="D427">
        <f>IF(OR($A427="",$B427=""),"",IF(ISNUMBER($A427),MOD($A427,100),IFERROR(VALUE(TRIM(MID(MID($A427,FIND("/",$A427)+1,20),FIND("/",MID($A427,FIND("/",$A427)+1,20))+1,20))),"")))</f>
        <v/>
      </c>
      <c r="E427">
        <f>IF($A427="","",IF(OR($B427="",$C427="",$D427="",$B427&lt;1300,$B427&gt;1500,$C427&lt;1,$C427&gt;12,$D427&lt;1,$D427&gt;31),"نامعتبر",RIGHT("0000"&amp;$B427,4)&amp;"/"&amp;RIGHT("00"&amp;$C427,2)&amp;"/"&amp;RIGHT("00"&amp;$D427,2)))</f>
        <v/>
      </c>
      <c r="F427">
        <f>IF(OR($E427="",$E427="نامعتبر"),"",LEFT($E427,4)&amp;"/"&amp;MID($E427,6,2))</f>
        <v/>
      </c>
      <c r="G427">
        <f>IF(OR($E427="",$E427="نامعتبر",Sync!$X423=""),"",IF(AND(LEFT(UPPER(TRIM(Sync!$X423)),2)="SL",IFERROR(VLOOKUP(Sync!$W423,OpTbl,3,0),"")="فروش"),UPPER(TRIM(Sync!$X423)),""))</f>
        <v/>
      </c>
      <c r="H427">
        <f>IF($G427="","",IF(Sync!$W423="","",Sync!$W423))</f>
        <v/>
      </c>
      <c r="I427">
        <f>IF(OR($G427="",Sync!$Y423=""),"",Sync!$Y423)</f>
        <v/>
      </c>
      <c r="J427">
        <f>IF(OR($G427="",Sync!$Z423=""),"",Sync!$Z423)</f>
        <v/>
      </c>
      <c r="K427">
        <f>IF($G427="",0,IF(Sync!$AA423="",0,Sync!$AA423))</f>
        <v/>
      </c>
      <c r="L427">
        <f>IF($G427="",0,IF(Sync!$AB423="",0,Sync!$AB423))</f>
        <v/>
      </c>
      <c r="M427">
        <f>IF($G427="","",IF($H427="مرجوعی فروش",-1,1)*($K427-$L427*IFERROR(VLOOKUP("P01",ParamTbl,3,0),1.5)))</f>
        <v/>
      </c>
      <c r="N427">
        <f>IF($G427="",0,IF($H427="مرجوعی فروش",-1,1)*IF(Sync!$AC423="",0,Sync!$AC423))</f>
        <v/>
      </c>
      <c r="O427">
        <f>IF(OR($G427="",Sync!$V423=""),"",Sync!$V423)</f>
        <v/>
      </c>
      <c r="P427">
        <f>IF(OR($G427="",Sync!$AD423=""),"",Sync!$AD423)</f>
        <v/>
      </c>
      <c r="Q427">
        <f>IF($G427="","",IF(Sync!$U423="","0000",IF(AND(ISNUMBER(Sync!$U423),Sync!$U423&gt;=0,Sync!$U423&lt;1),RIGHT("00"&amp;HOUR(Sync!$U423),2)&amp;RIGHT("00"&amp;MINUTE(Sync!$U423),2),IFERROR(RIGHT("00"&amp;VALUE(LEFT(Sync!$U423,FIND(":",Sync!$U423)-1)),2)&amp;RIGHT("00"&amp;VALUE(MID(Sync!$U423,FIND(":",Sync!$U423)+1,2)),2),"0000"))))</f>
        <v/>
      </c>
    </row>
    <row r="428">
      <c r="A428">
        <f>IF(Sync!$T424="","",Sync!$T424)</f>
        <v/>
      </c>
      <c r="B428">
        <f>IF($A428="","",IF(ISNUMBER($A428),IF(AND($A428&gt;=10000101,$A428&lt;=99991231),INT($A428/10000),""),IFERROR(VALUE(TRIM(LEFT($A428,FIND("/",$A428)-1))),"")))</f>
        <v/>
      </c>
      <c r="C428">
        <f>IF(OR($A428="",$B428=""),"",IF(ISNUMBER($A428),INT(MOD($A428,10000)/100),IFERROR(VALUE(TRIM(LEFT(MID($A428,FIND("/",$A428)+1,20),FIND("/",MID($A428,FIND("/",$A428)+1,20))-1))),"")))</f>
        <v/>
      </c>
      <c r="D428">
        <f>IF(OR($A428="",$B428=""),"",IF(ISNUMBER($A428),MOD($A428,100),IFERROR(VALUE(TRIM(MID(MID($A428,FIND("/",$A428)+1,20),FIND("/",MID($A428,FIND("/",$A428)+1,20))+1,20))),"")))</f>
        <v/>
      </c>
      <c r="E428">
        <f>IF($A428="","",IF(OR($B428="",$C428="",$D428="",$B428&lt;1300,$B428&gt;1500,$C428&lt;1,$C428&gt;12,$D428&lt;1,$D428&gt;31),"نامعتبر",RIGHT("0000"&amp;$B428,4)&amp;"/"&amp;RIGHT("00"&amp;$C428,2)&amp;"/"&amp;RIGHT("00"&amp;$D428,2)))</f>
        <v/>
      </c>
      <c r="F428">
        <f>IF(OR($E428="",$E428="نامعتبر"),"",LEFT($E428,4)&amp;"/"&amp;MID($E428,6,2))</f>
        <v/>
      </c>
      <c r="G428">
        <f>IF(OR($E428="",$E428="نامعتبر",Sync!$X424=""),"",IF(AND(LEFT(UPPER(TRIM(Sync!$X424)),2)="SL",IFERROR(VLOOKUP(Sync!$W424,OpTbl,3,0),"")="فروش"),UPPER(TRIM(Sync!$X424)),""))</f>
        <v/>
      </c>
      <c r="H428">
        <f>IF($G428="","",IF(Sync!$W424="","",Sync!$W424))</f>
        <v/>
      </c>
      <c r="I428">
        <f>IF(OR($G428="",Sync!$Y424=""),"",Sync!$Y424)</f>
        <v/>
      </c>
      <c r="J428">
        <f>IF(OR($G428="",Sync!$Z424=""),"",Sync!$Z424)</f>
        <v/>
      </c>
      <c r="K428">
        <f>IF($G428="",0,IF(Sync!$AA424="",0,Sync!$AA424))</f>
        <v/>
      </c>
      <c r="L428">
        <f>IF($G428="",0,IF(Sync!$AB424="",0,Sync!$AB424))</f>
        <v/>
      </c>
      <c r="M428">
        <f>IF($G428="","",IF($H428="مرجوعی فروش",-1,1)*($K428-$L428*IFERROR(VLOOKUP("P01",ParamTbl,3,0),1.5)))</f>
        <v/>
      </c>
      <c r="N428">
        <f>IF($G428="",0,IF($H428="مرجوعی فروش",-1,1)*IF(Sync!$AC424="",0,Sync!$AC424))</f>
        <v/>
      </c>
      <c r="O428">
        <f>IF(OR($G428="",Sync!$V424=""),"",Sync!$V424)</f>
        <v/>
      </c>
      <c r="P428">
        <f>IF(OR($G428="",Sync!$AD424=""),"",Sync!$AD424)</f>
        <v/>
      </c>
      <c r="Q428">
        <f>IF($G428="","",IF(Sync!$U424="","0000",IF(AND(ISNUMBER(Sync!$U424),Sync!$U424&gt;=0,Sync!$U424&lt;1),RIGHT("00"&amp;HOUR(Sync!$U424),2)&amp;RIGHT("00"&amp;MINUTE(Sync!$U424),2),IFERROR(RIGHT("00"&amp;VALUE(LEFT(Sync!$U424,FIND(":",Sync!$U424)-1)),2)&amp;RIGHT("00"&amp;VALUE(MID(Sync!$U424,FIND(":",Sync!$U424)+1,2)),2),"0000"))))</f>
        <v/>
      </c>
    </row>
    <row r="429">
      <c r="A429">
        <f>IF(Sync!$T425="","",Sync!$T425)</f>
        <v/>
      </c>
      <c r="B429">
        <f>IF($A429="","",IF(ISNUMBER($A429),IF(AND($A429&gt;=10000101,$A429&lt;=99991231),INT($A429/10000),""),IFERROR(VALUE(TRIM(LEFT($A429,FIND("/",$A429)-1))),"")))</f>
        <v/>
      </c>
      <c r="C429">
        <f>IF(OR($A429="",$B429=""),"",IF(ISNUMBER($A429),INT(MOD($A429,10000)/100),IFERROR(VALUE(TRIM(LEFT(MID($A429,FIND("/",$A429)+1,20),FIND("/",MID($A429,FIND("/",$A429)+1,20))-1))),"")))</f>
        <v/>
      </c>
      <c r="D429">
        <f>IF(OR($A429="",$B429=""),"",IF(ISNUMBER($A429),MOD($A429,100),IFERROR(VALUE(TRIM(MID(MID($A429,FIND("/",$A429)+1,20),FIND("/",MID($A429,FIND("/",$A429)+1,20))+1,20))),"")))</f>
        <v/>
      </c>
      <c r="E429">
        <f>IF($A429="","",IF(OR($B429="",$C429="",$D429="",$B429&lt;1300,$B429&gt;1500,$C429&lt;1,$C429&gt;12,$D429&lt;1,$D429&gt;31),"نامعتبر",RIGHT("0000"&amp;$B429,4)&amp;"/"&amp;RIGHT("00"&amp;$C429,2)&amp;"/"&amp;RIGHT("00"&amp;$D429,2)))</f>
        <v/>
      </c>
      <c r="F429">
        <f>IF(OR($E429="",$E429="نامعتبر"),"",LEFT($E429,4)&amp;"/"&amp;MID($E429,6,2))</f>
        <v/>
      </c>
      <c r="G429">
        <f>IF(OR($E429="",$E429="نامعتبر",Sync!$X425=""),"",IF(AND(LEFT(UPPER(TRIM(Sync!$X425)),2)="SL",IFERROR(VLOOKUP(Sync!$W425,OpTbl,3,0),"")="فروش"),UPPER(TRIM(Sync!$X425)),""))</f>
        <v/>
      </c>
      <c r="H429">
        <f>IF($G429="","",IF(Sync!$W425="","",Sync!$W425))</f>
        <v/>
      </c>
      <c r="I429">
        <f>IF(OR($G429="",Sync!$Y425=""),"",Sync!$Y425)</f>
        <v/>
      </c>
      <c r="J429">
        <f>IF(OR($G429="",Sync!$Z425=""),"",Sync!$Z425)</f>
        <v/>
      </c>
      <c r="K429">
        <f>IF($G429="",0,IF(Sync!$AA425="",0,Sync!$AA425))</f>
        <v/>
      </c>
      <c r="L429">
        <f>IF($G429="",0,IF(Sync!$AB425="",0,Sync!$AB425))</f>
        <v/>
      </c>
      <c r="M429">
        <f>IF($G429="","",IF($H429="مرجوعی فروش",-1,1)*($K429-$L429*IFERROR(VLOOKUP("P01",ParamTbl,3,0),1.5)))</f>
        <v/>
      </c>
      <c r="N429">
        <f>IF($G429="",0,IF($H429="مرجوعی فروش",-1,1)*IF(Sync!$AC425="",0,Sync!$AC425))</f>
        <v/>
      </c>
      <c r="O429">
        <f>IF(OR($G429="",Sync!$V425=""),"",Sync!$V425)</f>
        <v/>
      </c>
      <c r="P429">
        <f>IF(OR($G429="",Sync!$AD425=""),"",Sync!$AD425)</f>
        <v/>
      </c>
      <c r="Q429">
        <f>IF($G429="","",IF(Sync!$U425="","0000",IF(AND(ISNUMBER(Sync!$U425),Sync!$U425&gt;=0,Sync!$U425&lt;1),RIGHT("00"&amp;HOUR(Sync!$U425),2)&amp;RIGHT("00"&amp;MINUTE(Sync!$U425),2),IFERROR(RIGHT("00"&amp;VALUE(LEFT(Sync!$U425,FIND(":",Sync!$U425)-1)),2)&amp;RIGHT("00"&amp;VALUE(MID(Sync!$U425,FIND(":",Sync!$U425)+1,2)),2),"0000"))))</f>
        <v/>
      </c>
    </row>
    <row r="430">
      <c r="A430">
        <f>IF(Sync!$T426="","",Sync!$T426)</f>
        <v/>
      </c>
      <c r="B430">
        <f>IF($A430="","",IF(ISNUMBER($A430),IF(AND($A430&gt;=10000101,$A430&lt;=99991231),INT($A430/10000),""),IFERROR(VALUE(TRIM(LEFT($A430,FIND("/",$A430)-1))),"")))</f>
        <v/>
      </c>
      <c r="C430">
        <f>IF(OR($A430="",$B430=""),"",IF(ISNUMBER($A430),INT(MOD($A430,10000)/100),IFERROR(VALUE(TRIM(LEFT(MID($A430,FIND("/",$A430)+1,20),FIND("/",MID($A430,FIND("/",$A430)+1,20))-1))),"")))</f>
        <v/>
      </c>
      <c r="D430">
        <f>IF(OR($A430="",$B430=""),"",IF(ISNUMBER($A430),MOD($A430,100),IFERROR(VALUE(TRIM(MID(MID($A430,FIND("/",$A430)+1,20),FIND("/",MID($A430,FIND("/",$A430)+1,20))+1,20))),"")))</f>
        <v/>
      </c>
      <c r="E430">
        <f>IF($A430="","",IF(OR($B430="",$C430="",$D430="",$B430&lt;1300,$B430&gt;1500,$C430&lt;1,$C430&gt;12,$D430&lt;1,$D430&gt;31),"نامعتبر",RIGHT("0000"&amp;$B430,4)&amp;"/"&amp;RIGHT("00"&amp;$C430,2)&amp;"/"&amp;RIGHT("00"&amp;$D430,2)))</f>
        <v/>
      </c>
      <c r="F430">
        <f>IF(OR($E430="",$E430="نامعتبر"),"",LEFT($E430,4)&amp;"/"&amp;MID($E430,6,2))</f>
        <v/>
      </c>
      <c r="G430">
        <f>IF(OR($E430="",$E430="نامعتبر",Sync!$X426=""),"",IF(AND(LEFT(UPPER(TRIM(Sync!$X426)),2)="SL",IFERROR(VLOOKUP(Sync!$W426,OpTbl,3,0),"")="فروش"),UPPER(TRIM(Sync!$X426)),""))</f>
        <v/>
      </c>
      <c r="H430">
        <f>IF($G430="","",IF(Sync!$W426="","",Sync!$W426))</f>
        <v/>
      </c>
      <c r="I430">
        <f>IF(OR($G430="",Sync!$Y426=""),"",Sync!$Y426)</f>
        <v/>
      </c>
      <c r="J430">
        <f>IF(OR($G430="",Sync!$Z426=""),"",Sync!$Z426)</f>
        <v/>
      </c>
      <c r="K430">
        <f>IF($G430="",0,IF(Sync!$AA426="",0,Sync!$AA426))</f>
        <v/>
      </c>
      <c r="L430">
        <f>IF($G430="",0,IF(Sync!$AB426="",0,Sync!$AB426))</f>
        <v/>
      </c>
      <c r="M430">
        <f>IF($G430="","",IF($H430="مرجوعی فروش",-1,1)*($K430-$L430*IFERROR(VLOOKUP("P01",ParamTbl,3,0),1.5)))</f>
        <v/>
      </c>
      <c r="N430">
        <f>IF($G430="",0,IF($H430="مرجوعی فروش",-1,1)*IF(Sync!$AC426="",0,Sync!$AC426))</f>
        <v/>
      </c>
      <c r="O430">
        <f>IF(OR($G430="",Sync!$V426=""),"",Sync!$V426)</f>
        <v/>
      </c>
      <c r="P430">
        <f>IF(OR($G430="",Sync!$AD426=""),"",Sync!$AD426)</f>
        <v/>
      </c>
      <c r="Q430">
        <f>IF($G430="","",IF(Sync!$U426="","0000",IF(AND(ISNUMBER(Sync!$U426),Sync!$U426&gt;=0,Sync!$U426&lt;1),RIGHT("00"&amp;HOUR(Sync!$U426),2)&amp;RIGHT("00"&amp;MINUTE(Sync!$U426),2),IFERROR(RIGHT("00"&amp;VALUE(LEFT(Sync!$U426,FIND(":",Sync!$U426)-1)),2)&amp;RIGHT("00"&amp;VALUE(MID(Sync!$U426,FIND(":",Sync!$U426)+1,2)),2),"0000"))))</f>
        <v/>
      </c>
    </row>
    <row r="431">
      <c r="A431">
        <f>IF(Sync!$T427="","",Sync!$T427)</f>
        <v/>
      </c>
      <c r="B431">
        <f>IF($A431="","",IF(ISNUMBER($A431),IF(AND($A431&gt;=10000101,$A431&lt;=99991231),INT($A431/10000),""),IFERROR(VALUE(TRIM(LEFT($A431,FIND("/",$A431)-1))),"")))</f>
        <v/>
      </c>
      <c r="C431">
        <f>IF(OR($A431="",$B431=""),"",IF(ISNUMBER($A431),INT(MOD($A431,10000)/100),IFERROR(VALUE(TRIM(LEFT(MID($A431,FIND("/",$A431)+1,20),FIND("/",MID($A431,FIND("/",$A431)+1,20))-1))),"")))</f>
        <v/>
      </c>
      <c r="D431">
        <f>IF(OR($A431="",$B431=""),"",IF(ISNUMBER($A431),MOD($A431,100),IFERROR(VALUE(TRIM(MID(MID($A431,FIND("/",$A431)+1,20),FIND("/",MID($A431,FIND("/",$A431)+1,20))+1,20))),"")))</f>
        <v/>
      </c>
      <c r="E431">
        <f>IF($A431="","",IF(OR($B431="",$C431="",$D431="",$B431&lt;1300,$B431&gt;1500,$C431&lt;1,$C431&gt;12,$D431&lt;1,$D431&gt;31),"نامعتبر",RIGHT("0000"&amp;$B431,4)&amp;"/"&amp;RIGHT("00"&amp;$C431,2)&amp;"/"&amp;RIGHT("00"&amp;$D431,2)))</f>
        <v/>
      </c>
      <c r="F431">
        <f>IF(OR($E431="",$E431="نامعتبر"),"",LEFT($E431,4)&amp;"/"&amp;MID($E431,6,2))</f>
        <v/>
      </c>
      <c r="G431">
        <f>IF(OR($E431="",$E431="نامعتبر",Sync!$X427=""),"",IF(AND(LEFT(UPPER(TRIM(Sync!$X427)),2)="SL",IFERROR(VLOOKUP(Sync!$W427,OpTbl,3,0),"")="فروش"),UPPER(TRIM(Sync!$X427)),""))</f>
        <v/>
      </c>
      <c r="H431">
        <f>IF($G431="","",IF(Sync!$W427="","",Sync!$W427))</f>
        <v/>
      </c>
      <c r="I431">
        <f>IF(OR($G431="",Sync!$Y427=""),"",Sync!$Y427)</f>
        <v/>
      </c>
      <c r="J431">
        <f>IF(OR($G431="",Sync!$Z427=""),"",Sync!$Z427)</f>
        <v/>
      </c>
      <c r="K431">
        <f>IF($G431="",0,IF(Sync!$AA427="",0,Sync!$AA427))</f>
        <v/>
      </c>
      <c r="L431">
        <f>IF($G431="",0,IF(Sync!$AB427="",0,Sync!$AB427))</f>
        <v/>
      </c>
      <c r="M431">
        <f>IF($G431="","",IF($H431="مرجوعی فروش",-1,1)*($K431-$L431*IFERROR(VLOOKUP("P01",ParamTbl,3,0),1.5)))</f>
        <v/>
      </c>
      <c r="N431">
        <f>IF($G431="",0,IF($H431="مرجوعی فروش",-1,1)*IF(Sync!$AC427="",0,Sync!$AC427))</f>
        <v/>
      </c>
      <c r="O431">
        <f>IF(OR($G431="",Sync!$V427=""),"",Sync!$V427)</f>
        <v/>
      </c>
      <c r="P431">
        <f>IF(OR($G431="",Sync!$AD427=""),"",Sync!$AD427)</f>
        <v/>
      </c>
      <c r="Q431">
        <f>IF($G431="","",IF(Sync!$U427="","0000",IF(AND(ISNUMBER(Sync!$U427),Sync!$U427&gt;=0,Sync!$U427&lt;1),RIGHT("00"&amp;HOUR(Sync!$U427),2)&amp;RIGHT("00"&amp;MINUTE(Sync!$U427),2),IFERROR(RIGHT("00"&amp;VALUE(LEFT(Sync!$U427,FIND(":",Sync!$U427)-1)),2)&amp;RIGHT("00"&amp;VALUE(MID(Sync!$U427,FIND(":",Sync!$U427)+1,2)),2),"0000"))))</f>
        <v/>
      </c>
    </row>
    <row r="432">
      <c r="A432">
        <f>IF(Sync!$T428="","",Sync!$T428)</f>
        <v/>
      </c>
      <c r="B432">
        <f>IF($A432="","",IF(ISNUMBER($A432),IF(AND($A432&gt;=10000101,$A432&lt;=99991231),INT($A432/10000),""),IFERROR(VALUE(TRIM(LEFT($A432,FIND("/",$A432)-1))),"")))</f>
        <v/>
      </c>
      <c r="C432">
        <f>IF(OR($A432="",$B432=""),"",IF(ISNUMBER($A432),INT(MOD($A432,10000)/100),IFERROR(VALUE(TRIM(LEFT(MID($A432,FIND("/",$A432)+1,20),FIND("/",MID($A432,FIND("/",$A432)+1,20))-1))),"")))</f>
        <v/>
      </c>
      <c r="D432">
        <f>IF(OR($A432="",$B432=""),"",IF(ISNUMBER($A432),MOD($A432,100),IFERROR(VALUE(TRIM(MID(MID($A432,FIND("/",$A432)+1,20),FIND("/",MID($A432,FIND("/",$A432)+1,20))+1,20))),"")))</f>
        <v/>
      </c>
      <c r="E432">
        <f>IF($A432="","",IF(OR($B432="",$C432="",$D432="",$B432&lt;1300,$B432&gt;1500,$C432&lt;1,$C432&gt;12,$D432&lt;1,$D432&gt;31),"نامعتبر",RIGHT("0000"&amp;$B432,4)&amp;"/"&amp;RIGHT("00"&amp;$C432,2)&amp;"/"&amp;RIGHT("00"&amp;$D432,2)))</f>
        <v/>
      </c>
      <c r="F432">
        <f>IF(OR($E432="",$E432="نامعتبر"),"",LEFT($E432,4)&amp;"/"&amp;MID($E432,6,2))</f>
        <v/>
      </c>
      <c r="G432">
        <f>IF(OR($E432="",$E432="نامعتبر",Sync!$X428=""),"",IF(AND(LEFT(UPPER(TRIM(Sync!$X428)),2)="SL",IFERROR(VLOOKUP(Sync!$W428,OpTbl,3,0),"")="فروش"),UPPER(TRIM(Sync!$X428)),""))</f>
        <v/>
      </c>
      <c r="H432">
        <f>IF($G432="","",IF(Sync!$W428="","",Sync!$W428))</f>
        <v/>
      </c>
      <c r="I432">
        <f>IF(OR($G432="",Sync!$Y428=""),"",Sync!$Y428)</f>
        <v/>
      </c>
      <c r="J432">
        <f>IF(OR($G432="",Sync!$Z428=""),"",Sync!$Z428)</f>
        <v/>
      </c>
      <c r="K432">
        <f>IF($G432="",0,IF(Sync!$AA428="",0,Sync!$AA428))</f>
        <v/>
      </c>
      <c r="L432">
        <f>IF($G432="",0,IF(Sync!$AB428="",0,Sync!$AB428))</f>
        <v/>
      </c>
      <c r="M432">
        <f>IF($G432="","",IF($H432="مرجوعی فروش",-1,1)*($K432-$L432*IFERROR(VLOOKUP("P01",ParamTbl,3,0),1.5)))</f>
        <v/>
      </c>
      <c r="N432">
        <f>IF($G432="",0,IF($H432="مرجوعی فروش",-1,1)*IF(Sync!$AC428="",0,Sync!$AC428))</f>
        <v/>
      </c>
      <c r="O432">
        <f>IF(OR($G432="",Sync!$V428=""),"",Sync!$V428)</f>
        <v/>
      </c>
      <c r="P432">
        <f>IF(OR($G432="",Sync!$AD428=""),"",Sync!$AD428)</f>
        <v/>
      </c>
      <c r="Q432">
        <f>IF($G432="","",IF(Sync!$U428="","0000",IF(AND(ISNUMBER(Sync!$U428),Sync!$U428&gt;=0,Sync!$U428&lt;1),RIGHT("00"&amp;HOUR(Sync!$U428),2)&amp;RIGHT("00"&amp;MINUTE(Sync!$U428),2),IFERROR(RIGHT("00"&amp;VALUE(LEFT(Sync!$U428,FIND(":",Sync!$U428)-1)),2)&amp;RIGHT("00"&amp;VALUE(MID(Sync!$U428,FIND(":",Sync!$U428)+1,2)),2),"0000"))))</f>
        <v/>
      </c>
    </row>
    <row r="433">
      <c r="A433">
        <f>IF(Sync!$T429="","",Sync!$T429)</f>
        <v/>
      </c>
      <c r="B433">
        <f>IF($A433="","",IF(ISNUMBER($A433),IF(AND($A433&gt;=10000101,$A433&lt;=99991231),INT($A433/10000),""),IFERROR(VALUE(TRIM(LEFT($A433,FIND("/",$A433)-1))),"")))</f>
        <v/>
      </c>
      <c r="C433">
        <f>IF(OR($A433="",$B433=""),"",IF(ISNUMBER($A433),INT(MOD($A433,10000)/100),IFERROR(VALUE(TRIM(LEFT(MID($A433,FIND("/",$A433)+1,20),FIND("/",MID($A433,FIND("/",$A433)+1,20))-1))),"")))</f>
        <v/>
      </c>
      <c r="D433">
        <f>IF(OR($A433="",$B433=""),"",IF(ISNUMBER($A433),MOD($A433,100),IFERROR(VALUE(TRIM(MID(MID($A433,FIND("/",$A433)+1,20),FIND("/",MID($A433,FIND("/",$A433)+1,20))+1,20))),"")))</f>
        <v/>
      </c>
      <c r="E433">
        <f>IF($A433="","",IF(OR($B433="",$C433="",$D433="",$B433&lt;1300,$B433&gt;1500,$C433&lt;1,$C433&gt;12,$D433&lt;1,$D433&gt;31),"نامعتبر",RIGHT("0000"&amp;$B433,4)&amp;"/"&amp;RIGHT("00"&amp;$C433,2)&amp;"/"&amp;RIGHT("00"&amp;$D433,2)))</f>
        <v/>
      </c>
      <c r="F433">
        <f>IF(OR($E433="",$E433="نامعتبر"),"",LEFT($E433,4)&amp;"/"&amp;MID($E433,6,2))</f>
        <v/>
      </c>
      <c r="G433">
        <f>IF(OR($E433="",$E433="نامعتبر",Sync!$X429=""),"",IF(AND(LEFT(UPPER(TRIM(Sync!$X429)),2)="SL",IFERROR(VLOOKUP(Sync!$W429,OpTbl,3,0),"")="فروش"),UPPER(TRIM(Sync!$X429)),""))</f>
        <v/>
      </c>
      <c r="H433">
        <f>IF($G433="","",IF(Sync!$W429="","",Sync!$W429))</f>
        <v/>
      </c>
      <c r="I433">
        <f>IF(OR($G433="",Sync!$Y429=""),"",Sync!$Y429)</f>
        <v/>
      </c>
      <c r="J433">
        <f>IF(OR($G433="",Sync!$Z429=""),"",Sync!$Z429)</f>
        <v/>
      </c>
      <c r="K433">
        <f>IF($G433="",0,IF(Sync!$AA429="",0,Sync!$AA429))</f>
        <v/>
      </c>
      <c r="L433">
        <f>IF($G433="",0,IF(Sync!$AB429="",0,Sync!$AB429))</f>
        <v/>
      </c>
      <c r="M433">
        <f>IF($G433="","",IF($H433="مرجوعی فروش",-1,1)*($K433-$L433*IFERROR(VLOOKUP("P01",ParamTbl,3,0),1.5)))</f>
        <v/>
      </c>
      <c r="N433">
        <f>IF($G433="",0,IF($H433="مرجوعی فروش",-1,1)*IF(Sync!$AC429="",0,Sync!$AC429))</f>
        <v/>
      </c>
      <c r="O433">
        <f>IF(OR($G433="",Sync!$V429=""),"",Sync!$V429)</f>
        <v/>
      </c>
      <c r="P433">
        <f>IF(OR($G433="",Sync!$AD429=""),"",Sync!$AD429)</f>
        <v/>
      </c>
      <c r="Q433">
        <f>IF($G433="","",IF(Sync!$U429="","0000",IF(AND(ISNUMBER(Sync!$U429),Sync!$U429&gt;=0,Sync!$U429&lt;1),RIGHT("00"&amp;HOUR(Sync!$U429),2)&amp;RIGHT("00"&amp;MINUTE(Sync!$U429),2),IFERROR(RIGHT("00"&amp;VALUE(LEFT(Sync!$U429,FIND(":",Sync!$U429)-1)),2)&amp;RIGHT("00"&amp;VALUE(MID(Sync!$U429,FIND(":",Sync!$U429)+1,2)),2),"0000"))))</f>
        <v/>
      </c>
    </row>
    <row r="434">
      <c r="A434">
        <f>IF(Sync!$T430="","",Sync!$T430)</f>
        <v/>
      </c>
      <c r="B434">
        <f>IF($A434="","",IF(ISNUMBER($A434),IF(AND($A434&gt;=10000101,$A434&lt;=99991231),INT($A434/10000),""),IFERROR(VALUE(TRIM(LEFT($A434,FIND("/",$A434)-1))),"")))</f>
        <v/>
      </c>
      <c r="C434">
        <f>IF(OR($A434="",$B434=""),"",IF(ISNUMBER($A434),INT(MOD($A434,10000)/100),IFERROR(VALUE(TRIM(LEFT(MID($A434,FIND("/",$A434)+1,20),FIND("/",MID($A434,FIND("/",$A434)+1,20))-1))),"")))</f>
        <v/>
      </c>
      <c r="D434">
        <f>IF(OR($A434="",$B434=""),"",IF(ISNUMBER($A434),MOD($A434,100),IFERROR(VALUE(TRIM(MID(MID($A434,FIND("/",$A434)+1,20),FIND("/",MID($A434,FIND("/",$A434)+1,20))+1,20))),"")))</f>
        <v/>
      </c>
      <c r="E434">
        <f>IF($A434="","",IF(OR($B434="",$C434="",$D434="",$B434&lt;1300,$B434&gt;1500,$C434&lt;1,$C434&gt;12,$D434&lt;1,$D434&gt;31),"نامعتبر",RIGHT("0000"&amp;$B434,4)&amp;"/"&amp;RIGHT("00"&amp;$C434,2)&amp;"/"&amp;RIGHT("00"&amp;$D434,2)))</f>
        <v/>
      </c>
      <c r="F434">
        <f>IF(OR($E434="",$E434="نامعتبر"),"",LEFT($E434,4)&amp;"/"&amp;MID($E434,6,2))</f>
        <v/>
      </c>
      <c r="G434">
        <f>IF(OR($E434="",$E434="نامعتبر",Sync!$X430=""),"",IF(AND(LEFT(UPPER(TRIM(Sync!$X430)),2)="SL",IFERROR(VLOOKUP(Sync!$W430,OpTbl,3,0),"")="فروش"),UPPER(TRIM(Sync!$X430)),""))</f>
        <v/>
      </c>
      <c r="H434">
        <f>IF($G434="","",IF(Sync!$W430="","",Sync!$W430))</f>
        <v/>
      </c>
      <c r="I434">
        <f>IF(OR($G434="",Sync!$Y430=""),"",Sync!$Y430)</f>
        <v/>
      </c>
      <c r="J434">
        <f>IF(OR($G434="",Sync!$Z430=""),"",Sync!$Z430)</f>
        <v/>
      </c>
      <c r="K434">
        <f>IF($G434="",0,IF(Sync!$AA430="",0,Sync!$AA430))</f>
        <v/>
      </c>
      <c r="L434">
        <f>IF($G434="",0,IF(Sync!$AB430="",0,Sync!$AB430))</f>
        <v/>
      </c>
      <c r="M434">
        <f>IF($G434="","",IF($H434="مرجوعی فروش",-1,1)*($K434-$L434*IFERROR(VLOOKUP("P01",ParamTbl,3,0),1.5)))</f>
        <v/>
      </c>
      <c r="N434">
        <f>IF($G434="",0,IF($H434="مرجوعی فروش",-1,1)*IF(Sync!$AC430="",0,Sync!$AC430))</f>
        <v/>
      </c>
      <c r="O434">
        <f>IF(OR($G434="",Sync!$V430=""),"",Sync!$V430)</f>
        <v/>
      </c>
      <c r="P434">
        <f>IF(OR($G434="",Sync!$AD430=""),"",Sync!$AD430)</f>
        <v/>
      </c>
      <c r="Q434">
        <f>IF($G434="","",IF(Sync!$U430="","0000",IF(AND(ISNUMBER(Sync!$U430),Sync!$U430&gt;=0,Sync!$U430&lt;1),RIGHT("00"&amp;HOUR(Sync!$U430),2)&amp;RIGHT("00"&amp;MINUTE(Sync!$U430),2),IFERROR(RIGHT("00"&amp;VALUE(LEFT(Sync!$U430,FIND(":",Sync!$U430)-1)),2)&amp;RIGHT("00"&amp;VALUE(MID(Sync!$U430,FIND(":",Sync!$U430)+1,2)),2),"0000"))))</f>
        <v/>
      </c>
    </row>
    <row r="435">
      <c r="A435">
        <f>IF(Sync!$T431="","",Sync!$T431)</f>
        <v/>
      </c>
      <c r="B435">
        <f>IF($A435="","",IF(ISNUMBER($A435),IF(AND($A435&gt;=10000101,$A435&lt;=99991231),INT($A435/10000),""),IFERROR(VALUE(TRIM(LEFT($A435,FIND("/",$A435)-1))),"")))</f>
        <v/>
      </c>
      <c r="C435">
        <f>IF(OR($A435="",$B435=""),"",IF(ISNUMBER($A435),INT(MOD($A435,10000)/100),IFERROR(VALUE(TRIM(LEFT(MID($A435,FIND("/",$A435)+1,20),FIND("/",MID($A435,FIND("/",$A435)+1,20))-1))),"")))</f>
        <v/>
      </c>
      <c r="D435">
        <f>IF(OR($A435="",$B435=""),"",IF(ISNUMBER($A435),MOD($A435,100),IFERROR(VALUE(TRIM(MID(MID($A435,FIND("/",$A435)+1,20),FIND("/",MID($A435,FIND("/",$A435)+1,20))+1,20))),"")))</f>
        <v/>
      </c>
      <c r="E435">
        <f>IF($A435="","",IF(OR($B435="",$C435="",$D435="",$B435&lt;1300,$B435&gt;1500,$C435&lt;1,$C435&gt;12,$D435&lt;1,$D435&gt;31),"نامعتبر",RIGHT("0000"&amp;$B435,4)&amp;"/"&amp;RIGHT("00"&amp;$C435,2)&amp;"/"&amp;RIGHT("00"&amp;$D435,2)))</f>
        <v/>
      </c>
      <c r="F435">
        <f>IF(OR($E435="",$E435="نامعتبر"),"",LEFT($E435,4)&amp;"/"&amp;MID($E435,6,2))</f>
        <v/>
      </c>
      <c r="G435">
        <f>IF(OR($E435="",$E435="نامعتبر",Sync!$X431=""),"",IF(AND(LEFT(UPPER(TRIM(Sync!$X431)),2)="SL",IFERROR(VLOOKUP(Sync!$W431,OpTbl,3,0),"")="فروش"),UPPER(TRIM(Sync!$X431)),""))</f>
        <v/>
      </c>
      <c r="H435">
        <f>IF($G435="","",IF(Sync!$W431="","",Sync!$W431))</f>
        <v/>
      </c>
      <c r="I435">
        <f>IF(OR($G435="",Sync!$Y431=""),"",Sync!$Y431)</f>
        <v/>
      </c>
      <c r="J435">
        <f>IF(OR($G435="",Sync!$Z431=""),"",Sync!$Z431)</f>
        <v/>
      </c>
      <c r="K435">
        <f>IF($G435="",0,IF(Sync!$AA431="",0,Sync!$AA431))</f>
        <v/>
      </c>
      <c r="L435">
        <f>IF($G435="",0,IF(Sync!$AB431="",0,Sync!$AB431))</f>
        <v/>
      </c>
      <c r="M435">
        <f>IF($G435="","",IF($H435="مرجوعی فروش",-1,1)*($K435-$L435*IFERROR(VLOOKUP("P01",ParamTbl,3,0),1.5)))</f>
        <v/>
      </c>
      <c r="N435">
        <f>IF($G435="",0,IF($H435="مرجوعی فروش",-1,1)*IF(Sync!$AC431="",0,Sync!$AC431))</f>
        <v/>
      </c>
      <c r="O435">
        <f>IF(OR($G435="",Sync!$V431=""),"",Sync!$V431)</f>
        <v/>
      </c>
      <c r="P435">
        <f>IF(OR($G435="",Sync!$AD431=""),"",Sync!$AD431)</f>
        <v/>
      </c>
      <c r="Q435">
        <f>IF($G435="","",IF(Sync!$U431="","0000",IF(AND(ISNUMBER(Sync!$U431),Sync!$U431&gt;=0,Sync!$U431&lt;1),RIGHT("00"&amp;HOUR(Sync!$U431),2)&amp;RIGHT("00"&amp;MINUTE(Sync!$U431),2),IFERROR(RIGHT("00"&amp;VALUE(LEFT(Sync!$U431,FIND(":",Sync!$U431)-1)),2)&amp;RIGHT("00"&amp;VALUE(MID(Sync!$U431,FIND(":",Sync!$U431)+1,2)),2),"0000"))))</f>
        <v/>
      </c>
    </row>
    <row r="436">
      <c r="A436">
        <f>IF(Sync!$T432="","",Sync!$T432)</f>
        <v/>
      </c>
      <c r="B436">
        <f>IF($A436="","",IF(ISNUMBER($A436),IF(AND($A436&gt;=10000101,$A436&lt;=99991231),INT($A436/10000),""),IFERROR(VALUE(TRIM(LEFT($A436,FIND("/",$A436)-1))),"")))</f>
        <v/>
      </c>
      <c r="C436">
        <f>IF(OR($A436="",$B436=""),"",IF(ISNUMBER($A436),INT(MOD($A436,10000)/100),IFERROR(VALUE(TRIM(LEFT(MID($A436,FIND("/",$A436)+1,20),FIND("/",MID($A436,FIND("/",$A436)+1,20))-1))),"")))</f>
        <v/>
      </c>
      <c r="D436">
        <f>IF(OR($A436="",$B436=""),"",IF(ISNUMBER($A436),MOD($A436,100),IFERROR(VALUE(TRIM(MID(MID($A436,FIND("/",$A436)+1,20),FIND("/",MID($A436,FIND("/",$A436)+1,20))+1,20))),"")))</f>
        <v/>
      </c>
      <c r="E436">
        <f>IF($A436="","",IF(OR($B436="",$C436="",$D436="",$B436&lt;1300,$B436&gt;1500,$C436&lt;1,$C436&gt;12,$D436&lt;1,$D436&gt;31),"نامعتبر",RIGHT("0000"&amp;$B436,4)&amp;"/"&amp;RIGHT("00"&amp;$C436,2)&amp;"/"&amp;RIGHT("00"&amp;$D436,2)))</f>
        <v/>
      </c>
      <c r="F436">
        <f>IF(OR($E436="",$E436="نامعتبر"),"",LEFT($E436,4)&amp;"/"&amp;MID($E436,6,2))</f>
        <v/>
      </c>
      <c r="G436">
        <f>IF(OR($E436="",$E436="نامعتبر",Sync!$X432=""),"",IF(AND(LEFT(UPPER(TRIM(Sync!$X432)),2)="SL",IFERROR(VLOOKUP(Sync!$W432,OpTbl,3,0),"")="فروش"),UPPER(TRIM(Sync!$X432)),""))</f>
        <v/>
      </c>
      <c r="H436">
        <f>IF($G436="","",IF(Sync!$W432="","",Sync!$W432))</f>
        <v/>
      </c>
      <c r="I436">
        <f>IF(OR($G436="",Sync!$Y432=""),"",Sync!$Y432)</f>
        <v/>
      </c>
      <c r="J436">
        <f>IF(OR($G436="",Sync!$Z432=""),"",Sync!$Z432)</f>
        <v/>
      </c>
      <c r="K436">
        <f>IF($G436="",0,IF(Sync!$AA432="",0,Sync!$AA432))</f>
        <v/>
      </c>
      <c r="L436">
        <f>IF($G436="",0,IF(Sync!$AB432="",0,Sync!$AB432))</f>
        <v/>
      </c>
      <c r="M436">
        <f>IF($G436="","",IF($H436="مرجوعی فروش",-1,1)*($K436-$L436*IFERROR(VLOOKUP("P01",ParamTbl,3,0),1.5)))</f>
        <v/>
      </c>
      <c r="N436">
        <f>IF($G436="",0,IF($H436="مرجوعی فروش",-1,1)*IF(Sync!$AC432="",0,Sync!$AC432))</f>
        <v/>
      </c>
      <c r="O436">
        <f>IF(OR($G436="",Sync!$V432=""),"",Sync!$V432)</f>
        <v/>
      </c>
      <c r="P436">
        <f>IF(OR($G436="",Sync!$AD432=""),"",Sync!$AD432)</f>
        <v/>
      </c>
      <c r="Q436">
        <f>IF($G436="","",IF(Sync!$U432="","0000",IF(AND(ISNUMBER(Sync!$U432),Sync!$U432&gt;=0,Sync!$U432&lt;1),RIGHT("00"&amp;HOUR(Sync!$U432),2)&amp;RIGHT("00"&amp;MINUTE(Sync!$U432),2),IFERROR(RIGHT("00"&amp;VALUE(LEFT(Sync!$U432,FIND(":",Sync!$U432)-1)),2)&amp;RIGHT("00"&amp;VALUE(MID(Sync!$U432,FIND(":",Sync!$U432)+1,2)),2),"0000"))))</f>
        <v/>
      </c>
    </row>
    <row r="437">
      <c r="A437">
        <f>IF(Sync!$T433="","",Sync!$T433)</f>
        <v/>
      </c>
      <c r="B437">
        <f>IF($A437="","",IF(ISNUMBER($A437),IF(AND($A437&gt;=10000101,$A437&lt;=99991231),INT($A437/10000),""),IFERROR(VALUE(TRIM(LEFT($A437,FIND("/",$A437)-1))),"")))</f>
        <v/>
      </c>
      <c r="C437">
        <f>IF(OR($A437="",$B437=""),"",IF(ISNUMBER($A437),INT(MOD($A437,10000)/100),IFERROR(VALUE(TRIM(LEFT(MID($A437,FIND("/",$A437)+1,20),FIND("/",MID($A437,FIND("/",$A437)+1,20))-1))),"")))</f>
        <v/>
      </c>
      <c r="D437">
        <f>IF(OR($A437="",$B437=""),"",IF(ISNUMBER($A437),MOD($A437,100),IFERROR(VALUE(TRIM(MID(MID($A437,FIND("/",$A437)+1,20),FIND("/",MID($A437,FIND("/",$A437)+1,20))+1,20))),"")))</f>
        <v/>
      </c>
      <c r="E437">
        <f>IF($A437="","",IF(OR($B437="",$C437="",$D437="",$B437&lt;1300,$B437&gt;1500,$C437&lt;1,$C437&gt;12,$D437&lt;1,$D437&gt;31),"نامعتبر",RIGHT("0000"&amp;$B437,4)&amp;"/"&amp;RIGHT("00"&amp;$C437,2)&amp;"/"&amp;RIGHT("00"&amp;$D437,2)))</f>
        <v/>
      </c>
      <c r="F437">
        <f>IF(OR($E437="",$E437="نامعتبر"),"",LEFT($E437,4)&amp;"/"&amp;MID($E437,6,2))</f>
        <v/>
      </c>
      <c r="G437">
        <f>IF(OR($E437="",$E437="نامعتبر",Sync!$X433=""),"",IF(AND(LEFT(UPPER(TRIM(Sync!$X433)),2)="SL",IFERROR(VLOOKUP(Sync!$W433,OpTbl,3,0),"")="فروش"),UPPER(TRIM(Sync!$X433)),""))</f>
        <v/>
      </c>
      <c r="H437">
        <f>IF($G437="","",IF(Sync!$W433="","",Sync!$W433))</f>
        <v/>
      </c>
      <c r="I437">
        <f>IF(OR($G437="",Sync!$Y433=""),"",Sync!$Y433)</f>
        <v/>
      </c>
      <c r="J437">
        <f>IF(OR($G437="",Sync!$Z433=""),"",Sync!$Z433)</f>
        <v/>
      </c>
      <c r="K437">
        <f>IF($G437="",0,IF(Sync!$AA433="",0,Sync!$AA433))</f>
        <v/>
      </c>
      <c r="L437">
        <f>IF($G437="",0,IF(Sync!$AB433="",0,Sync!$AB433))</f>
        <v/>
      </c>
      <c r="M437">
        <f>IF($G437="","",IF($H437="مرجوعی فروش",-1,1)*($K437-$L437*IFERROR(VLOOKUP("P01",ParamTbl,3,0),1.5)))</f>
        <v/>
      </c>
      <c r="N437">
        <f>IF($G437="",0,IF($H437="مرجوعی فروش",-1,1)*IF(Sync!$AC433="",0,Sync!$AC433))</f>
        <v/>
      </c>
      <c r="O437">
        <f>IF(OR($G437="",Sync!$V433=""),"",Sync!$V433)</f>
        <v/>
      </c>
      <c r="P437">
        <f>IF(OR($G437="",Sync!$AD433=""),"",Sync!$AD433)</f>
        <v/>
      </c>
      <c r="Q437">
        <f>IF($G437="","",IF(Sync!$U433="","0000",IF(AND(ISNUMBER(Sync!$U433),Sync!$U433&gt;=0,Sync!$U433&lt;1),RIGHT("00"&amp;HOUR(Sync!$U433),2)&amp;RIGHT("00"&amp;MINUTE(Sync!$U433),2),IFERROR(RIGHT("00"&amp;VALUE(LEFT(Sync!$U433,FIND(":",Sync!$U433)-1)),2)&amp;RIGHT("00"&amp;VALUE(MID(Sync!$U433,FIND(":",Sync!$U433)+1,2)),2),"0000"))))</f>
        <v/>
      </c>
    </row>
    <row r="438">
      <c r="A438">
        <f>IF(Sync!$T434="","",Sync!$T434)</f>
        <v/>
      </c>
      <c r="B438">
        <f>IF($A438="","",IF(ISNUMBER($A438),IF(AND($A438&gt;=10000101,$A438&lt;=99991231),INT($A438/10000),""),IFERROR(VALUE(TRIM(LEFT($A438,FIND("/",$A438)-1))),"")))</f>
        <v/>
      </c>
      <c r="C438">
        <f>IF(OR($A438="",$B438=""),"",IF(ISNUMBER($A438),INT(MOD($A438,10000)/100),IFERROR(VALUE(TRIM(LEFT(MID($A438,FIND("/",$A438)+1,20),FIND("/",MID($A438,FIND("/",$A438)+1,20))-1))),"")))</f>
        <v/>
      </c>
      <c r="D438">
        <f>IF(OR($A438="",$B438=""),"",IF(ISNUMBER($A438),MOD($A438,100),IFERROR(VALUE(TRIM(MID(MID($A438,FIND("/",$A438)+1,20),FIND("/",MID($A438,FIND("/",$A438)+1,20))+1,20))),"")))</f>
        <v/>
      </c>
      <c r="E438">
        <f>IF($A438="","",IF(OR($B438="",$C438="",$D438="",$B438&lt;1300,$B438&gt;1500,$C438&lt;1,$C438&gt;12,$D438&lt;1,$D438&gt;31),"نامعتبر",RIGHT("0000"&amp;$B438,4)&amp;"/"&amp;RIGHT("00"&amp;$C438,2)&amp;"/"&amp;RIGHT("00"&amp;$D438,2)))</f>
        <v/>
      </c>
      <c r="F438">
        <f>IF(OR($E438="",$E438="نامعتبر"),"",LEFT($E438,4)&amp;"/"&amp;MID($E438,6,2))</f>
        <v/>
      </c>
      <c r="G438">
        <f>IF(OR($E438="",$E438="نامعتبر",Sync!$X434=""),"",IF(AND(LEFT(UPPER(TRIM(Sync!$X434)),2)="SL",IFERROR(VLOOKUP(Sync!$W434,OpTbl,3,0),"")="فروش"),UPPER(TRIM(Sync!$X434)),""))</f>
        <v/>
      </c>
      <c r="H438">
        <f>IF($G438="","",IF(Sync!$W434="","",Sync!$W434))</f>
        <v/>
      </c>
      <c r="I438">
        <f>IF(OR($G438="",Sync!$Y434=""),"",Sync!$Y434)</f>
        <v/>
      </c>
      <c r="J438">
        <f>IF(OR($G438="",Sync!$Z434=""),"",Sync!$Z434)</f>
        <v/>
      </c>
      <c r="K438">
        <f>IF($G438="",0,IF(Sync!$AA434="",0,Sync!$AA434))</f>
        <v/>
      </c>
      <c r="L438">
        <f>IF($G438="",0,IF(Sync!$AB434="",0,Sync!$AB434))</f>
        <v/>
      </c>
      <c r="M438">
        <f>IF($G438="","",IF($H438="مرجوعی فروش",-1,1)*($K438-$L438*IFERROR(VLOOKUP("P01",ParamTbl,3,0),1.5)))</f>
        <v/>
      </c>
      <c r="N438">
        <f>IF($G438="",0,IF($H438="مرجوعی فروش",-1,1)*IF(Sync!$AC434="",0,Sync!$AC434))</f>
        <v/>
      </c>
      <c r="O438">
        <f>IF(OR($G438="",Sync!$V434=""),"",Sync!$V434)</f>
        <v/>
      </c>
      <c r="P438">
        <f>IF(OR($G438="",Sync!$AD434=""),"",Sync!$AD434)</f>
        <v/>
      </c>
      <c r="Q438">
        <f>IF($G438="","",IF(Sync!$U434="","0000",IF(AND(ISNUMBER(Sync!$U434),Sync!$U434&gt;=0,Sync!$U434&lt;1),RIGHT("00"&amp;HOUR(Sync!$U434),2)&amp;RIGHT("00"&amp;MINUTE(Sync!$U434),2),IFERROR(RIGHT("00"&amp;VALUE(LEFT(Sync!$U434,FIND(":",Sync!$U434)-1)),2)&amp;RIGHT("00"&amp;VALUE(MID(Sync!$U434,FIND(":",Sync!$U434)+1,2)),2),"0000"))))</f>
        <v/>
      </c>
    </row>
    <row r="439">
      <c r="A439">
        <f>IF(Sync!$T435="","",Sync!$T435)</f>
        <v/>
      </c>
      <c r="B439">
        <f>IF($A439="","",IF(ISNUMBER($A439),IF(AND($A439&gt;=10000101,$A439&lt;=99991231),INT($A439/10000),""),IFERROR(VALUE(TRIM(LEFT($A439,FIND("/",$A439)-1))),"")))</f>
        <v/>
      </c>
      <c r="C439">
        <f>IF(OR($A439="",$B439=""),"",IF(ISNUMBER($A439),INT(MOD($A439,10000)/100),IFERROR(VALUE(TRIM(LEFT(MID($A439,FIND("/",$A439)+1,20),FIND("/",MID($A439,FIND("/",$A439)+1,20))-1))),"")))</f>
        <v/>
      </c>
      <c r="D439">
        <f>IF(OR($A439="",$B439=""),"",IF(ISNUMBER($A439),MOD($A439,100),IFERROR(VALUE(TRIM(MID(MID($A439,FIND("/",$A439)+1,20),FIND("/",MID($A439,FIND("/",$A439)+1,20))+1,20))),"")))</f>
        <v/>
      </c>
      <c r="E439">
        <f>IF($A439="","",IF(OR($B439="",$C439="",$D439="",$B439&lt;1300,$B439&gt;1500,$C439&lt;1,$C439&gt;12,$D439&lt;1,$D439&gt;31),"نامعتبر",RIGHT("0000"&amp;$B439,4)&amp;"/"&amp;RIGHT("00"&amp;$C439,2)&amp;"/"&amp;RIGHT("00"&amp;$D439,2)))</f>
        <v/>
      </c>
      <c r="F439">
        <f>IF(OR($E439="",$E439="نامعتبر"),"",LEFT($E439,4)&amp;"/"&amp;MID($E439,6,2))</f>
        <v/>
      </c>
      <c r="G439">
        <f>IF(OR($E439="",$E439="نامعتبر",Sync!$X435=""),"",IF(AND(LEFT(UPPER(TRIM(Sync!$X435)),2)="SL",IFERROR(VLOOKUP(Sync!$W435,OpTbl,3,0),"")="فروش"),UPPER(TRIM(Sync!$X435)),""))</f>
        <v/>
      </c>
      <c r="H439">
        <f>IF($G439="","",IF(Sync!$W435="","",Sync!$W435))</f>
        <v/>
      </c>
      <c r="I439">
        <f>IF(OR($G439="",Sync!$Y435=""),"",Sync!$Y435)</f>
        <v/>
      </c>
      <c r="J439">
        <f>IF(OR($G439="",Sync!$Z435=""),"",Sync!$Z435)</f>
        <v/>
      </c>
      <c r="K439">
        <f>IF($G439="",0,IF(Sync!$AA435="",0,Sync!$AA435))</f>
        <v/>
      </c>
      <c r="L439">
        <f>IF($G439="",0,IF(Sync!$AB435="",0,Sync!$AB435))</f>
        <v/>
      </c>
      <c r="M439">
        <f>IF($G439="","",IF($H439="مرجوعی فروش",-1,1)*($K439-$L439*IFERROR(VLOOKUP("P01",ParamTbl,3,0),1.5)))</f>
        <v/>
      </c>
      <c r="N439">
        <f>IF($G439="",0,IF($H439="مرجوعی فروش",-1,1)*IF(Sync!$AC435="",0,Sync!$AC435))</f>
        <v/>
      </c>
      <c r="O439">
        <f>IF(OR($G439="",Sync!$V435=""),"",Sync!$V435)</f>
        <v/>
      </c>
      <c r="P439">
        <f>IF(OR($G439="",Sync!$AD435=""),"",Sync!$AD435)</f>
        <v/>
      </c>
      <c r="Q439">
        <f>IF($G439="","",IF(Sync!$U435="","0000",IF(AND(ISNUMBER(Sync!$U435),Sync!$U435&gt;=0,Sync!$U435&lt;1),RIGHT("00"&amp;HOUR(Sync!$U435),2)&amp;RIGHT("00"&amp;MINUTE(Sync!$U435),2),IFERROR(RIGHT("00"&amp;VALUE(LEFT(Sync!$U435,FIND(":",Sync!$U435)-1)),2)&amp;RIGHT("00"&amp;VALUE(MID(Sync!$U435,FIND(":",Sync!$U435)+1,2)),2),"0000"))))</f>
        <v/>
      </c>
    </row>
    <row r="440">
      <c r="A440">
        <f>IF(Sync!$T436="","",Sync!$T436)</f>
        <v/>
      </c>
      <c r="B440">
        <f>IF($A440="","",IF(ISNUMBER($A440),IF(AND($A440&gt;=10000101,$A440&lt;=99991231),INT($A440/10000),""),IFERROR(VALUE(TRIM(LEFT($A440,FIND("/",$A440)-1))),"")))</f>
        <v/>
      </c>
      <c r="C440">
        <f>IF(OR($A440="",$B440=""),"",IF(ISNUMBER($A440),INT(MOD($A440,10000)/100),IFERROR(VALUE(TRIM(LEFT(MID($A440,FIND("/",$A440)+1,20),FIND("/",MID($A440,FIND("/",$A440)+1,20))-1))),"")))</f>
        <v/>
      </c>
      <c r="D440">
        <f>IF(OR($A440="",$B440=""),"",IF(ISNUMBER($A440),MOD($A440,100),IFERROR(VALUE(TRIM(MID(MID($A440,FIND("/",$A440)+1,20),FIND("/",MID($A440,FIND("/",$A440)+1,20))+1,20))),"")))</f>
        <v/>
      </c>
      <c r="E440">
        <f>IF($A440="","",IF(OR($B440="",$C440="",$D440="",$B440&lt;1300,$B440&gt;1500,$C440&lt;1,$C440&gt;12,$D440&lt;1,$D440&gt;31),"نامعتبر",RIGHT("0000"&amp;$B440,4)&amp;"/"&amp;RIGHT("00"&amp;$C440,2)&amp;"/"&amp;RIGHT("00"&amp;$D440,2)))</f>
        <v/>
      </c>
      <c r="F440">
        <f>IF(OR($E440="",$E440="نامعتبر"),"",LEFT($E440,4)&amp;"/"&amp;MID($E440,6,2))</f>
        <v/>
      </c>
      <c r="G440">
        <f>IF(OR($E440="",$E440="نامعتبر",Sync!$X436=""),"",IF(AND(LEFT(UPPER(TRIM(Sync!$X436)),2)="SL",IFERROR(VLOOKUP(Sync!$W436,OpTbl,3,0),"")="فروش"),UPPER(TRIM(Sync!$X436)),""))</f>
        <v/>
      </c>
      <c r="H440">
        <f>IF($G440="","",IF(Sync!$W436="","",Sync!$W436))</f>
        <v/>
      </c>
      <c r="I440">
        <f>IF(OR($G440="",Sync!$Y436=""),"",Sync!$Y436)</f>
        <v/>
      </c>
      <c r="J440">
        <f>IF(OR($G440="",Sync!$Z436=""),"",Sync!$Z436)</f>
        <v/>
      </c>
      <c r="K440">
        <f>IF($G440="",0,IF(Sync!$AA436="",0,Sync!$AA436))</f>
        <v/>
      </c>
      <c r="L440">
        <f>IF($G440="",0,IF(Sync!$AB436="",0,Sync!$AB436))</f>
        <v/>
      </c>
      <c r="M440">
        <f>IF($G440="","",IF($H440="مرجوعی فروش",-1,1)*($K440-$L440*IFERROR(VLOOKUP("P01",ParamTbl,3,0),1.5)))</f>
        <v/>
      </c>
      <c r="N440">
        <f>IF($G440="",0,IF($H440="مرجوعی فروش",-1,1)*IF(Sync!$AC436="",0,Sync!$AC436))</f>
        <v/>
      </c>
      <c r="O440">
        <f>IF(OR($G440="",Sync!$V436=""),"",Sync!$V436)</f>
        <v/>
      </c>
      <c r="P440">
        <f>IF(OR($G440="",Sync!$AD436=""),"",Sync!$AD436)</f>
        <v/>
      </c>
      <c r="Q440">
        <f>IF($G440="","",IF(Sync!$U436="","0000",IF(AND(ISNUMBER(Sync!$U436),Sync!$U436&gt;=0,Sync!$U436&lt;1),RIGHT("00"&amp;HOUR(Sync!$U436),2)&amp;RIGHT("00"&amp;MINUTE(Sync!$U436),2),IFERROR(RIGHT("00"&amp;VALUE(LEFT(Sync!$U436,FIND(":",Sync!$U436)-1)),2)&amp;RIGHT("00"&amp;VALUE(MID(Sync!$U436,FIND(":",Sync!$U436)+1,2)),2),"0000"))))</f>
        <v/>
      </c>
    </row>
    <row r="441">
      <c r="A441">
        <f>IF(Sync!$T437="","",Sync!$T437)</f>
        <v/>
      </c>
      <c r="B441">
        <f>IF($A441="","",IF(ISNUMBER($A441),IF(AND($A441&gt;=10000101,$A441&lt;=99991231),INT($A441/10000),""),IFERROR(VALUE(TRIM(LEFT($A441,FIND("/",$A441)-1))),"")))</f>
        <v/>
      </c>
      <c r="C441">
        <f>IF(OR($A441="",$B441=""),"",IF(ISNUMBER($A441),INT(MOD($A441,10000)/100),IFERROR(VALUE(TRIM(LEFT(MID($A441,FIND("/",$A441)+1,20),FIND("/",MID($A441,FIND("/",$A441)+1,20))-1))),"")))</f>
        <v/>
      </c>
      <c r="D441">
        <f>IF(OR($A441="",$B441=""),"",IF(ISNUMBER($A441),MOD($A441,100),IFERROR(VALUE(TRIM(MID(MID($A441,FIND("/",$A441)+1,20),FIND("/",MID($A441,FIND("/",$A441)+1,20))+1,20))),"")))</f>
        <v/>
      </c>
      <c r="E441">
        <f>IF($A441="","",IF(OR($B441="",$C441="",$D441="",$B441&lt;1300,$B441&gt;1500,$C441&lt;1,$C441&gt;12,$D441&lt;1,$D441&gt;31),"نامعتبر",RIGHT("0000"&amp;$B441,4)&amp;"/"&amp;RIGHT("00"&amp;$C441,2)&amp;"/"&amp;RIGHT("00"&amp;$D441,2)))</f>
        <v/>
      </c>
      <c r="F441">
        <f>IF(OR($E441="",$E441="نامعتبر"),"",LEFT($E441,4)&amp;"/"&amp;MID($E441,6,2))</f>
        <v/>
      </c>
      <c r="G441">
        <f>IF(OR($E441="",$E441="نامعتبر",Sync!$X437=""),"",IF(AND(LEFT(UPPER(TRIM(Sync!$X437)),2)="SL",IFERROR(VLOOKUP(Sync!$W437,OpTbl,3,0),"")="فروش"),UPPER(TRIM(Sync!$X437)),""))</f>
        <v/>
      </c>
      <c r="H441">
        <f>IF($G441="","",IF(Sync!$W437="","",Sync!$W437))</f>
        <v/>
      </c>
      <c r="I441">
        <f>IF(OR($G441="",Sync!$Y437=""),"",Sync!$Y437)</f>
        <v/>
      </c>
      <c r="J441">
        <f>IF(OR($G441="",Sync!$Z437=""),"",Sync!$Z437)</f>
        <v/>
      </c>
      <c r="K441">
        <f>IF($G441="",0,IF(Sync!$AA437="",0,Sync!$AA437))</f>
        <v/>
      </c>
      <c r="L441">
        <f>IF($G441="",0,IF(Sync!$AB437="",0,Sync!$AB437))</f>
        <v/>
      </c>
      <c r="M441">
        <f>IF($G441="","",IF($H441="مرجوعی فروش",-1,1)*($K441-$L441*IFERROR(VLOOKUP("P01",ParamTbl,3,0),1.5)))</f>
        <v/>
      </c>
      <c r="N441">
        <f>IF($G441="",0,IF($H441="مرجوعی فروش",-1,1)*IF(Sync!$AC437="",0,Sync!$AC437))</f>
        <v/>
      </c>
      <c r="O441">
        <f>IF(OR($G441="",Sync!$V437=""),"",Sync!$V437)</f>
        <v/>
      </c>
      <c r="P441">
        <f>IF(OR($G441="",Sync!$AD437=""),"",Sync!$AD437)</f>
        <v/>
      </c>
      <c r="Q441">
        <f>IF($G441="","",IF(Sync!$U437="","0000",IF(AND(ISNUMBER(Sync!$U437),Sync!$U437&gt;=0,Sync!$U437&lt;1),RIGHT("00"&amp;HOUR(Sync!$U437),2)&amp;RIGHT("00"&amp;MINUTE(Sync!$U437),2),IFERROR(RIGHT("00"&amp;VALUE(LEFT(Sync!$U437,FIND(":",Sync!$U437)-1)),2)&amp;RIGHT("00"&amp;VALUE(MID(Sync!$U437,FIND(":",Sync!$U437)+1,2)),2),"0000"))))</f>
        <v/>
      </c>
    </row>
    <row r="442">
      <c r="A442">
        <f>IF(Sync!$T438="","",Sync!$T438)</f>
        <v/>
      </c>
      <c r="B442">
        <f>IF($A442="","",IF(ISNUMBER($A442),IF(AND($A442&gt;=10000101,$A442&lt;=99991231),INT($A442/10000),""),IFERROR(VALUE(TRIM(LEFT($A442,FIND("/",$A442)-1))),"")))</f>
        <v/>
      </c>
      <c r="C442">
        <f>IF(OR($A442="",$B442=""),"",IF(ISNUMBER($A442),INT(MOD($A442,10000)/100),IFERROR(VALUE(TRIM(LEFT(MID($A442,FIND("/",$A442)+1,20),FIND("/",MID($A442,FIND("/",$A442)+1,20))-1))),"")))</f>
        <v/>
      </c>
      <c r="D442">
        <f>IF(OR($A442="",$B442=""),"",IF(ISNUMBER($A442),MOD($A442,100),IFERROR(VALUE(TRIM(MID(MID($A442,FIND("/",$A442)+1,20),FIND("/",MID($A442,FIND("/",$A442)+1,20))+1,20))),"")))</f>
        <v/>
      </c>
      <c r="E442">
        <f>IF($A442="","",IF(OR($B442="",$C442="",$D442="",$B442&lt;1300,$B442&gt;1500,$C442&lt;1,$C442&gt;12,$D442&lt;1,$D442&gt;31),"نامعتبر",RIGHT("0000"&amp;$B442,4)&amp;"/"&amp;RIGHT("00"&amp;$C442,2)&amp;"/"&amp;RIGHT("00"&amp;$D442,2)))</f>
        <v/>
      </c>
      <c r="F442">
        <f>IF(OR($E442="",$E442="نامعتبر"),"",LEFT($E442,4)&amp;"/"&amp;MID($E442,6,2))</f>
        <v/>
      </c>
      <c r="G442">
        <f>IF(OR($E442="",$E442="نامعتبر",Sync!$X438=""),"",IF(AND(LEFT(UPPER(TRIM(Sync!$X438)),2)="SL",IFERROR(VLOOKUP(Sync!$W438,OpTbl,3,0),"")="فروش"),UPPER(TRIM(Sync!$X438)),""))</f>
        <v/>
      </c>
      <c r="H442">
        <f>IF($G442="","",IF(Sync!$W438="","",Sync!$W438))</f>
        <v/>
      </c>
      <c r="I442">
        <f>IF(OR($G442="",Sync!$Y438=""),"",Sync!$Y438)</f>
        <v/>
      </c>
      <c r="J442">
        <f>IF(OR($G442="",Sync!$Z438=""),"",Sync!$Z438)</f>
        <v/>
      </c>
      <c r="K442">
        <f>IF($G442="",0,IF(Sync!$AA438="",0,Sync!$AA438))</f>
        <v/>
      </c>
      <c r="L442">
        <f>IF($G442="",0,IF(Sync!$AB438="",0,Sync!$AB438))</f>
        <v/>
      </c>
      <c r="M442">
        <f>IF($G442="","",IF($H442="مرجوعی فروش",-1,1)*($K442-$L442*IFERROR(VLOOKUP("P01",ParamTbl,3,0),1.5)))</f>
        <v/>
      </c>
      <c r="N442">
        <f>IF($G442="",0,IF($H442="مرجوعی فروش",-1,1)*IF(Sync!$AC438="",0,Sync!$AC438))</f>
        <v/>
      </c>
      <c r="O442">
        <f>IF(OR($G442="",Sync!$V438=""),"",Sync!$V438)</f>
        <v/>
      </c>
      <c r="P442">
        <f>IF(OR($G442="",Sync!$AD438=""),"",Sync!$AD438)</f>
        <v/>
      </c>
      <c r="Q442">
        <f>IF($G442="","",IF(Sync!$U438="","0000",IF(AND(ISNUMBER(Sync!$U438),Sync!$U438&gt;=0,Sync!$U438&lt;1),RIGHT("00"&amp;HOUR(Sync!$U438),2)&amp;RIGHT("00"&amp;MINUTE(Sync!$U438),2),IFERROR(RIGHT("00"&amp;VALUE(LEFT(Sync!$U438,FIND(":",Sync!$U438)-1)),2)&amp;RIGHT("00"&amp;VALUE(MID(Sync!$U438,FIND(":",Sync!$U438)+1,2)),2),"0000"))))</f>
        <v/>
      </c>
    </row>
    <row r="443">
      <c r="A443">
        <f>IF(Sync!$T439="","",Sync!$T439)</f>
        <v/>
      </c>
      <c r="B443">
        <f>IF($A443="","",IF(ISNUMBER($A443),IF(AND($A443&gt;=10000101,$A443&lt;=99991231),INT($A443/10000),""),IFERROR(VALUE(TRIM(LEFT($A443,FIND("/",$A443)-1))),"")))</f>
        <v/>
      </c>
      <c r="C443">
        <f>IF(OR($A443="",$B443=""),"",IF(ISNUMBER($A443),INT(MOD($A443,10000)/100),IFERROR(VALUE(TRIM(LEFT(MID($A443,FIND("/",$A443)+1,20),FIND("/",MID($A443,FIND("/",$A443)+1,20))-1))),"")))</f>
        <v/>
      </c>
      <c r="D443">
        <f>IF(OR($A443="",$B443=""),"",IF(ISNUMBER($A443),MOD($A443,100),IFERROR(VALUE(TRIM(MID(MID($A443,FIND("/",$A443)+1,20),FIND("/",MID($A443,FIND("/",$A443)+1,20))+1,20))),"")))</f>
        <v/>
      </c>
      <c r="E443">
        <f>IF($A443="","",IF(OR($B443="",$C443="",$D443="",$B443&lt;1300,$B443&gt;1500,$C443&lt;1,$C443&gt;12,$D443&lt;1,$D443&gt;31),"نامعتبر",RIGHT("0000"&amp;$B443,4)&amp;"/"&amp;RIGHT("00"&amp;$C443,2)&amp;"/"&amp;RIGHT("00"&amp;$D443,2)))</f>
        <v/>
      </c>
      <c r="F443">
        <f>IF(OR($E443="",$E443="نامعتبر"),"",LEFT($E443,4)&amp;"/"&amp;MID($E443,6,2))</f>
        <v/>
      </c>
      <c r="G443">
        <f>IF(OR($E443="",$E443="نامعتبر",Sync!$X439=""),"",IF(AND(LEFT(UPPER(TRIM(Sync!$X439)),2)="SL",IFERROR(VLOOKUP(Sync!$W439,OpTbl,3,0),"")="فروش"),UPPER(TRIM(Sync!$X439)),""))</f>
        <v/>
      </c>
      <c r="H443">
        <f>IF($G443="","",IF(Sync!$W439="","",Sync!$W439))</f>
        <v/>
      </c>
      <c r="I443">
        <f>IF(OR($G443="",Sync!$Y439=""),"",Sync!$Y439)</f>
        <v/>
      </c>
      <c r="J443">
        <f>IF(OR($G443="",Sync!$Z439=""),"",Sync!$Z439)</f>
        <v/>
      </c>
      <c r="K443">
        <f>IF($G443="",0,IF(Sync!$AA439="",0,Sync!$AA439))</f>
        <v/>
      </c>
      <c r="L443">
        <f>IF($G443="",0,IF(Sync!$AB439="",0,Sync!$AB439))</f>
        <v/>
      </c>
      <c r="M443">
        <f>IF($G443="","",IF($H443="مرجوعی فروش",-1,1)*($K443-$L443*IFERROR(VLOOKUP("P01",ParamTbl,3,0),1.5)))</f>
        <v/>
      </c>
      <c r="N443">
        <f>IF($G443="",0,IF($H443="مرجوعی فروش",-1,1)*IF(Sync!$AC439="",0,Sync!$AC439))</f>
        <v/>
      </c>
      <c r="O443">
        <f>IF(OR($G443="",Sync!$V439=""),"",Sync!$V439)</f>
        <v/>
      </c>
      <c r="P443">
        <f>IF(OR($G443="",Sync!$AD439=""),"",Sync!$AD439)</f>
        <v/>
      </c>
      <c r="Q443">
        <f>IF($G443="","",IF(Sync!$U439="","0000",IF(AND(ISNUMBER(Sync!$U439),Sync!$U439&gt;=0,Sync!$U439&lt;1),RIGHT("00"&amp;HOUR(Sync!$U439),2)&amp;RIGHT("00"&amp;MINUTE(Sync!$U439),2),IFERROR(RIGHT("00"&amp;VALUE(LEFT(Sync!$U439,FIND(":",Sync!$U439)-1)),2)&amp;RIGHT("00"&amp;VALUE(MID(Sync!$U439,FIND(":",Sync!$U439)+1,2)),2),"0000"))))</f>
        <v/>
      </c>
    </row>
    <row r="444">
      <c r="A444">
        <f>IF(Sync!$T440="","",Sync!$T440)</f>
        <v/>
      </c>
      <c r="B444">
        <f>IF($A444="","",IF(ISNUMBER($A444),IF(AND($A444&gt;=10000101,$A444&lt;=99991231),INT($A444/10000),""),IFERROR(VALUE(TRIM(LEFT($A444,FIND("/",$A444)-1))),"")))</f>
        <v/>
      </c>
      <c r="C444">
        <f>IF(OR($A444="",$B444=""),"",IF(ISNUMBER($A444),INT(MOD($A444,10000)/100),IFERROR(VALUE(TRIM(LEFT(MID($A444,FIND("/",$A444)+1,20),FIND("/",MID($A444,FIND("/",$A444)+1,20))-1))),"")))</f>
        <v/>
      </c>
      <c r="D444">
        <f>IF(OR($A444="",$B444=""),"",IF(ISNUMBER($A444),MOD($A444,100),IFERROR(VALUE(TRIM(MID(MID($A444,FIND("/",$A444)+1,20),FIND("/",MID($A444,FIND("/",$A444)+1,20))+1,20))),"")))</f>
        <v/>
      </c>
      <c r="E444">
        <f>IF($A444="","",IF(OR($B444="",$C444="",$D444="",$B444&lt;1300,$B444&gt;1500,$C444&lt;1,$C444&gt;12,$D444&lt;1,$D444&gt;31),"نامعتبر",RIGHT("0000"&amp;$B444,4)&amp;"/"&amp;RIGHT("00"&amp;$C444,2)&amp;"/"&amp;RIGHT("00"&amp;$D444,2)))</f>
        <v/>
      </c>
      <c r="F444">
        <f>IF(OR($E444="",$E444="نامعتبر"),"",LEFT($E444,4)&amp;"/"&amp;MID($E444,6,2))</f>
        <v/>
      </c>
      <c r="G444">
        <f>IF(OR($E444="",$E444="نامعتبر",Sync!$X440=""),"",IF(AND(LEFT(UPPER(TRIM(Sync!$X440)),2)="SL",IFERROR(VLOOKUP(Sync!$W440,OpTbl,3,0),"")="فروش"),UPPER(TRIM(Sync!$X440)),""))</f>
        <v/>
      </c>
      <c r="H444">
        <f>IF($G444="","",IF(Sync!$W440="","",Sync!$W440))</f>
        <v/>
      </c>
      <c r="I444">
        <f>IF(OR($G444="",Sync!$Y440=""),"",Sync!$Y440)</f>
        <v/>
      </c>
      <c r="J444">
        <f>IF(OR($G444="",Sync!$Z440=""),"",Sync!$Z440)</f>
        <v/>
      </c>
      <c r="K444">
        <f>IF($G444="",0,IF(Sync!$AA440="",0,Sync!$AA440))</f>
        <v/>
      </c>
      <c r="L444">
        <f>IF($G444="",0,IF(Sync!$AB440="",0,Sync!$AB440))</f>
        <v/>
      </c>
      <c r="M444">
        <f>IF($G444="","",IF($H444="مرجوعی فروش",-1,1)*($K444-$L444*IFERROR(VLOOKUP("P01",ParamTbl,3,0),1.5)))</f>
        <v/>
      </c>
      <c r="N444">
        <f>IF($G444="",0,IF($H444="مرجوعی فروش",-1,1)*IF(Sync!$AC440="",0,Sync!$AC440))</f>
        <v/>
      </c>
      <c r="O444">
        <f>IF(OR($G444="",Sync!$V440=""),"",Sync!$V440)</f>
        <v/>
      </c>
      <c r="P444">
        <f>IF(OR($G444="",Sync!$AD440=""),"",Sync!$AD440)</f>
        <v/>
      </c>
      <c r="Q444">
        <f>IF($G444="","",IF(Sync!$U440="","0000",IF(AND(ISNUMBER(Sync!$U440),Sync!$U440&gt;=0,Sync!$U440&lt;1),RIGHT("00"&amp;HOUR(Sync!$U440),2)&amp;RIGHT("00"&amp;MINUTE(Sync!$U440),2),IFERROR(RIGHT("00"&amp;VALUE(LEFT(Sync!$U440,FIND(":",Sync!$U440)-1)),2)&amp;RIGHT("00"&amp;VALUE(MID(Sync!$U440,FIND(":",Sync!$U440)+1,2)),2),"0000"))))</f>
        <v/>
      </c>
    </row>
    <row r="445">
      <c r="A445">
        <f>IF(Sync!$T441="","",Sync!$T441)</f>
        <v/>
      </c>
      <c r="B445">
        <f>IF($A445="","",IF(ISNUMBER($A445),IF(AND($A445&gt;=10000101,$A445&lt;=99991231),INT($A445/10000),""),IFERROR(VALUE(TRIM(LEFT($A445,FIND("/",$A445)-1))),"")))</f>
        <v/>
      </c>
      <c r="C445">
        <f>IF(OR($A445="",$B445=""),"",IF(ISNUMBER($A445),INT(MOD($A445,10000)/100),IFERROR(VALUE(TRIM(LEFT(MID($A445,FIND("/",$A445)+1,20),FIND("/",MID($A445,FIND("/",$A445)+1,20))-1))),"")))</f>
        <v/>
      </c>
      <c r="D445">
        <f>IF(OR($A445="",$B445=""),"",IF(ISNUMBER($A445),MOD($A445,100),IFERROR(VALUE(TRIM(MID(MID($A445,FIND("/",$A445)+1,20),FIND("/",MID($A445,FIND("/",$A445)+1,20))+1,20))),"")))</f>
        <v/>
      </c>
      <c r="E445">
        <f>IF($A445="","",IF(OR($B445="",$C445="",$D445="",$B445&lt;1300,$B445&gt;1500,$C445&lt;1,$C445&gt;12,$D445&lt;1,$D445&gt;31),"نامعتبر",RIGHT("0000"&amp;$B445,4)&amp;"/"&amp;RIGHT("00"&amp;$C445,2)&amp;"/"&amp;RIGHT("00"&amp;$D445,2)))</f>
        <v/>
      </c>
      <c r="F445">
        <f>IF(OR($E445="",$E445="نامعتبر"),"",LEFT($E445,4)&amp;"/"&amp;MID($E445,6,2))</f>
        <v/>
      </c>
      <c r="G445">
        <f>IF(OR($E445="",$E445="نامعتبر",Sync!$X441=""),"",IF(AND(LEFT(UPPER(TRIM(Sync!$X441)),2)="SL",IFERROR(VLOOKUP(Sync!$W441,OpTbl,3,0),"")="فروش"),UPPER(TRIM(Sync!$X441)),""))</f>
        <v/>
      </c>
      <c r="H445">
        <f>IF($G445="","",IF(Sync!$W441="","",Sync!$W441))</f>
        <v/>
      </c>
      <c r="I445">
        <f>IF(OR($G445="",Sync!$Y441=""),"",Sync!$Y441)</f>
        <v/>
      </c>
      <c r="J445">
        <f>IF(OR($G445="",Sync!$Z441=""),"",Sync!$Z441)</f>
        <v/>
      </c>
      <c r="K445">
        <f>IF($G445="",0,IF(Sync!$AA441="",0,Sync!$AA441))</f>
        <v/>
      </c>
      <c r="L445">
        <f>IF($G445="",0,IF(Sync!$AB441="",0,Sync!$AB441))</f>
        <v/>
      </c>
      <c r="M445">
        <f>IF($G445="","",IF($H445="مرجوعی فروش",-1,1)*($K445-$L445*IFERROR(VLOOKUP("P01",ParamTbl,3,0),1.5)))</f>
        <v/>
      </c>
      <c r="N445">
        <f>IF($G445="",0,IF($H445="مرجوعی فروش",-1,1)*IF(Sync!$AC441="",0,Sync!$AC441))</f>
        <v/>
      </c>
      <c r="O445">
        <f>IF(OR($G445="",Sync!$V441=""),"",Sync!$V441)</f>
        <v/>
      </c>
      <c r="P445">
        <f>IF(OR($G445="",Sync!$AD441=""),"",Sync!$AD441)</f>
        <v/>
      </c>
      <c r="Q445">
        <f>IF($G445="","",IF(Sync!$U441="","0000",IF(AND(ISNUMBER(Sync!$U441),Sync!$U441&gt;=0,Sync!$U441&lt;1),RIGHT("00"&amp;HOUR(Sync!$U441),2)&amp;RIGHT("00"&amp;MINUTE(Sync!$U441),2),IFERROR(RIGHT("00"&amp;VALUE(LEFT(Sync!$U441,FIND(":",Sync!$U441)-1)),2)&amp;RIGHT("00"&amp;VALUE(MID(Sync!$U441,FIND(":",Sync!$U441)+1,2)),2),"0000"))))</f>
        <v/>
      </c>
    </row>
    <row r="446">
      <c r="A446">
        <f>IF(Sync!$T442="","",Sync!$T442)</f>
        <v/>
      </c>
      <c r="B446">
        <f>IF($A446="","",IF(ISNUMBER($A446),IF(AND($A446&gt;=10000101,$A446&lt;=99991231),INT($A446/10000),""),IFERROR(VALUE(TRIM(LEFT($A446,FIND("/",$A446)-1))),"")))</f>
        <v/>
      </c>
      <c r="C446">
        <f>IF(OR($A446="",$B446=""),"",IF(ISNUMBER($A446),INT(MOD($A446,10000)/100),IFERROR(VALUE(TRIM(LEFT(MID($A446,FIND("/",$A446)+1,20),FIND("/",MID($A446,FIND("/",$A446)+1,20))-1))),"")))</f>
        <v/>
      </c>
      <c r="D446">
        <f>IF(OR($A446="",$B446=""),"",IF(ISNUMBER($A446),MOD($A446,100),IFERROR(VALUE(TRIM(MID(MID($A446,FIND("/",$A446)+1,20),FIND("/",MID($A446,FIND("/",$A446)+1,20))+1,20))),"")))</f>
        <v/>
      </c>
      <c r="E446">
        <f>IF($A446="","",IF(OR($B446="",$C446="",$D446="",$B446&lt;1300,$B446&gt;1500,$C446&lt;1,$C446&gt;12,$D446&lt;1,$D446&gt;31),"نامعتبر",RIGHT("0000"&amp;$B446,4)&amp;"/"&amp;RIGHT("00"&amp;$C446,2)&amp;"/"&amp;RIGHT("00"&amp;$D446,2)))</f>
        <v/>
      </c>
      <c r="F446">
        <f>IF(OR($E446="",$E446="نامعتبر"),"",LEFT($E446,4)&amp;"/"&amp;MID($E446,6,2))</f>
        <v/>
      </c>
      <c r="G446">
        <f>IF(OR($E446="",$E446="نامعتبر",Sync!$X442=""),"",IF(AND(LEFT(UPPER(TRIM(Sync!$X442)),2)="SL",IFERROR(VLOOKUP(Sync!$W442,OpTbl,3,0),"")="فروش"),UPPER(TRIM(Sync!$X442)),""))</f>
        <v/>
      </c>
      <c r="H446">
        <f>IF($G446="","",IF(Sync!$W442="","",Sync!$W442))</f>
        <v/>
      </c>
      <c r="I446">
        <f>IF(OR($G446="",Sync!$Y442=""),"",Sync!$Y442)</f>
        <v/>
      </c>
      <c r="J446">
        <f>IF(OR($G446="",Sync!$Z442=""),"",Sync!$Z442)</f>
        <v/>
      </c>
      <c r="K446">
        <f>IF($G446="",0,IF(Sync!$AA442="",0,Sync!$AA442))</f>
        <v/>
      </c>
      <c r="L446">
        <f>IF($G446="",0,IF(Sync!$AB442="",0,Sync!$AB442))</f>
        <v/>
      </c>
      <c r="M446">
        <f>IF($G446="","",IF($H446="مرجوعی فروش",-1,1)*($K446-$L446*IFERROR(VLOOKUP("P01",ParamTbl,3,0),1.5)))</f>
        <v/>
      </c>
      <c r="N446">
        <f>IF($G446="",0,IF($H446="مرجوعی فروش",-1,1)*IF(Sync!$AC442="",0,Sync!$AC442))</f>
        <v/>
      </c>
      <c r="O446">
        <f>IF(OR($G446="",Sync!$V442=""),"",Sync!$V442)</f>
        <v/>
      </c>
      <c r="P446">
        <f>IF(OR($G446="",Sync!$AD442=""),"",Sync!$AD442)</f>
        <v/>
      </c>
      <c r="Q446">
        <f>IF($G446="","",IF(Sync!$U442="","0000",IF(AND(ISNUMBER(Sync!$U442),Sync!$U442&gt;=0,Sync!$U442&lt;1),RIGHT("00"&amp;HOUR(Sync!$U442),2)&amp;RIGHT("00"&amp;MINUTE(Sync!$U442),2),IFERROR(RIGHT("00"&amp;VALUE(LEFT(Sync!$U442,FIND(":",Sync!$U442)-1)),2)&amp;RIGHT("00"&amp;VALUE(MID(Sync!$U442,FIND(":",Sync!$U442)+1,2)),2),"0000"))))</f>
        <v/>
      </c>
    </row>
    <row r="447">
      <c r="A447">
        <f>IF(Sync!$T443="","",Sync!$T443)</f>
        <v/>
      </c>
      <c r="B447">
        <f>IF($A447="","",IF(ISNUMBER($A447),IF(AND($A447&gt;=10000101,$A447&lt;=99991231),INT($A447/10000),""),IFERROR(VALUE(TRIM(LEFT($A447,FIND("/",$A447)-1))),"")))</f>
        <v/>
      </c>
      <c r="C447">
        <f>IF(OR($A447="",$B447=""),"",IF(ISNUMBER($A447),INT(MOD($A447,10000)/100),IFERROR(VALUE(TRIM(LEFT(MID($A447,FIND("/",$A447)+1,20),FIND("/",MID($A447,FIND("/",$A447)+1,20))-1))),"")))</f>
        <v/>
      </c>
      <c r="D447">
        <f>IF(OR($A447="",$B447=""),"",IF(ISNUMBER($A447),MOD($A447,100),IFERROR(VALUE(TRIM(MID(MID($A447,FIND("/",$A447)+1,20),FIND("/",MID($A447,FIND("/",$A447)+1,20))+1,20))),"")))</f>
        <v/>
      </c>
      <c r="E447">
        <f>IF($A447="","",IF(OR($B447="",$C447="",$D447="",$B447&lt;1300,$B447&gt;1500,$C447&lt;1,$C447&gt;12,$D447&lt;1,$D447&gt;31),"نامعتبر",RIGHT("0000"&amp;$B447,4)&amp;"/"&amp;RIGHT("00"&amp;$C447,2)&amp;"/"&amp;RIGHT("00"&amp;$D447,2)))</f>
        <v/>
      </c>
      <c r="F447">
        <f>IF(OR($E447="",$E447="نامعتبر"),"",LEFT($E447,4)&amp;"/"&amp;MID($E447,6,2))</f>
        <v/>
      </c>
      <c r="G447">
        <f>IF(OR($E447="",$E447="نامعتبر",Sync!$X443=""),"",IF(AND(LEFT(UPPER(TRIM(Sync!$X443)),2)="SL",IFERROR(VLOOKUP(Sync!$W443,OpTbl,3,0),"")="فروش"),UPPER(TRIM(Sync!$X443)),""))</f>
        <v/>
      </c>
      <c r="H447">
        <f>IF($G447="","",IF(Sync!$W443="","",Sync!$W443))</f>
        <v/>
      </c>
      <c r="I447">
        <f>IF(OR($G447="",Sync!$Y443=""),"",Sync!$Y443)</f>
        <v/>
      </c>
      <c r="J447">
        <f>IF(OR($G447="",Sync!$Z443=""),"",Sync!$Z443)</f>
        <v/>
      </c>
      <c r="K447">
        <f>IF($G447="",0,IF(Sync!$AA443="",0,Sync!$AA443))</f>
        <v/>
      </c>
      <c r="L447">
        <f>IF($G447="",0,IF(Sync!$AB443="",0,Sync!$AB443))</f>
        <v/>
      </c>
      <c r="M447">
        <f>IF($G447="","",IF($H447="مرجوعی فروش",-1,1)*($K447-$L447*IFERROR(VLOOKUP("P01",ParamTbl,3,0),1.5)))</f>
        <v/>
      </c>
      <c r="N447">
        <f>IF($G447="",0,IF($H447="مرجوعی فروش",-1,1)*IF(Sync!$AC443="",0,Sync!$AC443))</f>
        <v/>
      </c>
      <c r="O447">
        <f>IF(OR($G447="",Sync!$V443=""),"",Sync!$V443)</f>
        <v/>
      </c>
      <c r="P447">
        <f>IF(OR($G447="",Sync!$AD443=""),"",Sync!$AD443)</f>
        <v/>
      </c>
      <c r="Q447">
        <f>IF($G447="","",IF(Sync!$U443="","0000",IF(AND(ISNUMBER(Sync!$U443),Sync!$U443&gt;=0,Sync!$U443&lt;1),RIGHT("00"&amp;HOUR(Sync!$U443),2)&amp;RIGHT("00"&amp;MINUTE(Sync!$U443),2),IFERROR(RIGHT("00"&amp;VALUE(LEFT(Sync!$U443,FIND(":",Sync!$U443)-1)),2)&amp;RIGHT("00"&amp;VALUE(MID(Sync!$U443,FIND(":",Sync!$U443)+1,2)),2),"0000"))))</f>
        <v/>
      </c>
    </row>
    <row r="448">
      <c r="A448">
        <f>IF(Sync!$T444="","",Sync!$T444)</f>
        <v/>
      </c>
      <c r="B448">
        <f>IF($A448="","",IF(ISNUMBER($A448),IF(AND($A448&gt;=10000101,$A448&lt;=99991231),INT($A448/10000),""),IFERROR(VALUE(TRIM(LEFT($A448,FIND("/",$A448)-1))),"")))</f>
        <v/>
      </c>
      <c r="C448">
        <f>IF(OR($A448="",$B448=""),"",IF(ISNUMBER($A448),INT(MOD($A448,10000)/100),IFERROR(VALUE(TRIM(LEFT(MID($A448,FIND("/",$A448)+1,20),FIND("/",MID($A448,FIND("/",$A448)+1,20))-1))),"")))</f>
        <v/>
      </c>
      <c r="D448">
        <f>IF(OR($A448="",$B448=""),"",IF(ISNUMBER($A448),MOD($A448,100),IFERROR(VALUE(TRIM(MID(MID($A448,FIND("/",$A448)+1,20),FIND("/",MID($A448,FIND("/",$A448)+1,20))+1,20))),"")))</f>
        <v/>
      </c>
      <c r="E448">
        <f>IF($A448="","",IF(OR($B448="",$C448="",$D448="",$B448&lt;1300,$B448&gt;1500,$C448&lt;1,$C448&gt;12,$D448&lt;1,$D448&gt;31),"نامعتبر",RIGHT("0000"&amp;$B448,4)&amp;"/"&amp;RIGHT("00"&amp;$C448,2)&amp;"/"&amp;RIGHT("00"&amp;$D448,2)))</f>
        <v/>
      </c>
      <c r="F448">
        <f>IF(OR($E448="",$E448="نامعتبر"),"",LEFT($E448,4)&amp;"/"&amp;MID($E448,6,2))</f>
        <v/>
      </c>
      <c r="G448">
        <f>IF(OR($E448="",$E448="نامعتبر",Sync!$X444=""),"",IF(AND(LEFT(UPPER(TRIM(Sync!$X444)),2)="SL",IFERROR(VLOOKUP(Sync!$W444,OpTbl,3,0),"")="فروش"),UPPER(TRIM(Sync!$X444)),""))</f>
        <v/>
      </c>
      <c r="H448">
        <f>IF($G448="","",IF(Sync!$W444="","",Sync!$W444))</f>
        <v/>
      </c>
      <c r="I448">
        <f>IF(OR($G448="",Sync!$Y444=""),"",Sync!$Y444)</f>
        <v/>
      </c>
      <c r="J448">
        <f>IF(OR($G448="",Sync!$Z444=""),"",Sync!$Z444)</f>
        <v/>
      </c>
      <c r="K448">
        <f>IF($G448="",0,IF(Sync!$AA444="",0,Sync!$AA444))</f>
        <v/>
      </c>
      <c r="L448">
        <f>IF($G448="",0,IF(Sync!$AB444="",0,Sync!$AB444))</f>
        <v/>
      </c>
      <c r="M448">
        <f>IF($G448="","",IF($H448="مرجوعی فروش",-1,1)*($K448-$L448*IFERROR(VLOOKUP("P01",ParamTbl,3,0),1.5)))</f>
        <v/>
      </c>
      <c r="N448">
        <f>IF($G448="",0,IF($H448="مرجوعی فروش",-1,1)*IF(Sync!$AC444="",0,Sync!$AC444))</f>
        <v/>
      </c>
      <c r="O448">
        <f>IF(OR($G448="",Sync!$V444=""),"",Sync!$V444)</f>
        <v/>
      </c>
      <c r="P448">
        <f>IF(OR($G448="",Sync!$AD444=""),"",Sync!$AD444)</f>
        <v/>
      </c>
      <c r="Q448">
        <f>IF($G448="","",IF(Sync!$U444="","0000",IF(AND(ISNUMBER(Sync!$U444),Sync!$U444&gt;=0,Sync!$U444&lt;1),RIGHT("00"&amp;HOUR(Sync!$U444),2)&amp;RIGHT("00"&amp;MINUTE(Sync!$U444),2),IFERROR(RIGHT("00"&amp;VALUE(LEFT(Sync!$U444,FIND(":",Sync!$U444)-1)),2)&amp;RIGHT("00"&amp;VALUE(MID(Sync!$U444,FIND(":",Sync!$U444)+1,2)),2),"0000"))))</f>
        <v/>
      </c>
    </row>
    <row r="449">
      <c r="A449">
        <f>IF(Sync!$T445="","",Sync!$T445)</f>
        <v/>
      </c>
      <c r="B449">
        <f>IF($A449="","",IF(ISNUMBER($A449),IF(AND($A449&gt;=10000101,$A449&lt;=99991231),INT($A449/10000),""),IFERROR(VALUE(TRIM(LEFT($A449,FIND("/",$A449)-1))),"")))</f>
        <v/>
      </c>
      <c r="C449">
        <f>IF(OR($A449="",$B449=""),"",IF(ISNUMBER($A449),INT(MOD($A449,10000)/100),IFERROR(VALUE(TRIM(LEFT(MID($A449,FIND("/",$A449)+1,20),FIND("/",MID($A449,FIND("/",$A449)+1,20))-1))),"")))</f>
        <v/>
      </c>
      <c r="D449">
        <f>IF(OR($A449="",$B449=""),"",IF(ISNUMBER($A449),MOD($A449,100),IFERROR(VALUE(TRIM(MID(MID($A449,FIND("/",$A449)+1,20),FIND("/",MID($A449,FIND("/",$A449)+1,20))+1,20))),"")))</f>
        <v/>
      </c>
      <c r="E449">
        <f>IF($A449="","",IF(OR($B449="",$C449="",$D449="",$B449&lt;1300,$B449&gt;1500,$C449&lt;1,$C449&gt;12,$D449&lt;1,$D449&gt;31),"نامعتبر",RIGHT("0000"&amp;$B449,4)&amp;"/"&amp;RIGHT("00"&amp;$C449,2)&amp;"/"&amp;RIGHT("00"&amp;$D449,2)))</f>
        <v/>
      </c>
      <c r="F449">
        <f>IF(OR($E449="",$E449="نامعتبر"),"",LEFT($E449,4)&amp;"/"&amp;MID($E449,6,2))</f>
        <v/>
      </c>
      <c r="G449">
        <f>IF(OR($E449="",$E449="نامعتبر",Sync!$X445=""),"",IF(AND(LEFT(UPPER(TRIM(Sync!$X445)),2)="SL",IFERROR(VLOOKUP(Sync!$W445,OpTbl,3,0),"")="فروش"),UPPER(TRIM(Sync!$X445)),""))</f>
        <v/>
      </c>
      <c r="H449">
        <f>IF($G449="","",IF(Sync!$W445="","",Sync!$W445))</f>
        <v/>
      </c>
      <c r="I449">
        <f>IF(OR($G449="",Sync!$Y445=""),"",Sync!$Y445)</f>
        <v/>
      </c>
      <c r="J449">
        <f>IF(OR($G449="",Sync!$Z445=""),"",Sync!$Z445)</f>
        <v/>
      </c>
      <c r="K449">
        <f>IF($G449="",0,IF(Sync!$AA445="",0,Sync!$AA445))</f>
        <v/>
      </c>
      <c r="L449">
        <f>IF($G449="",0,IF(Sync!$AB445="",0,Sync!$AB445))</f>
        <v/>
      </c>
      <c r="M449">
        <f>IF($G449="","",IF($H449="مرجوعی فروش",-1,1)*($K449-$L449*IFERROR(VLOOKUP("P01",ParamTbl,3,0),1.5)))</f>
        <v/>
      </c>
      <c r="N449">
        <f>IF($G449="",0,IF($H449="مرجوعی فروش",-1,1)*IF(Sync!$AC445="",0,Sync!$AC445))</f>
        <v/>
      </c>
      <c r="O449">
        <f>IF(OR($G449="",Sync!$V445=""),"",Sync!$V445)</f>
        <v/>
      </c>
      <c r="P449">
        <f>IF(OR($G449="",Sync!$AD445=""),"",Sync!$AD445)</f>
        <v/>
      </c>
      <c r="Q449">
        <f>IF($G449="","",IF(Sync!$U445="","0000",IF(AND(ISNUMBER(Sync!$U445),Sync!$U445&gt;=0,Sync!$U445&lt;1),RIGHT("00"&amp;HOUR(Sync!$U445),2)&amp;RIGHT("00"&amp;MINUTE(Sync!$U445),2),IFERROR(RIGHT("00"&amp;VALUE(LEFT(Sync!$U445,FIND(":",Sync!$U445)-1)),2)&amp;RIGHT("00"&amp;VALUE(MID(Sync!$U445,FIND(":",Sync!$U445)+1,2)),2),"0000"))))</f>
        <v/>
      </c>
    </row>
    <row r="450">
      <c r="A450">
        <f>IF(Sync!$T446="","",Sync!$T446)</f>
        <v/>
      </c>
      <c r="B450">
        <f>IF($A450="","",IF(ISNUMBER($A450),IF(AND($A450&gt;=10000101,$A450&lt;=99991231),INT($A450/10000),""),IFERROR(VALUE(TRIM(LEFT($A450,FIND("/",$A450)-1))),"")))</f>
        <v/>
      </c>
      <c r="C450">
        <f>IF(OR($A450="",$B450=""),"",IF(ISNUMBER($A450),INT(MOD($A450,10000)/100),IFERROR(VALUE(TRIM(LEFT(MID($A450,FIND("/",$A450)+1,20),FIND("/",MID($A450,FIND("/",$A450)+1,20))-1))),"")))</f>
        <v/>
      </c>
      <c r="D450">
        <f>IF(OR($A450="",$B450=""),"",IF(ISNUMBER($A450),MOD($A450,100),IFERROR(VALUE(TRIM(MID(MID($A450,FIND("/",$A450)+1,20),FIND("/",MID($A450,FIND("/",$A450)+1,20))+1,20))),"")))</f>
        <v/>
      </c>
      <c r="E450">
        <f>IF($A450="","",IF(OR($B450="",$C450="",$D450="",$B450&lt;1300,$B450&gt;1500,$C450&lt;1,$C450&gt;12,$D450&lt;1,$D450&gt;31),"نامعتبر",RIGHT("0000"&amp;$B450,4)&amp;"/"&amp;RIGHT("00"&amp;$C450,2)&amp;"/"&amp;RIGHT("00"&amp;$D450,2)))</f>
        <v/>
      </c>
      <c r="F450">
        <f>IF(OR($E450="",$E450="نامعتبر"),"",LEFT($E450,4)&amp;"/"&amp;MID($E450,6,2))</f>
        <v/>
      </c>
      <c r="G450">
        <f>IF(OR($E450="",$E450="نامعتبر",Sync!$X446=""),"",IF(AND(LEFT(UPPER(TRIM(Sync!$X446)),2)="SL",IFERROR(VLOOKUP(Sync!$W446,OpTbl,3,0),"")="فروش"),UPPER(TRIM(Sync!$X446)),""))</f>
        <v/>
      </c>
      <c r="H450">
        <f>IF($G450="","",IF(Sync!$W446="","",Sync!$W446))</f>
        <v/>
      </c>
      <c r="I450">
        <f>IF(OR($G450="",Sync!$Y446=""),"",Sync!$Y446)</f>
        <v/>
      </c>
      <c r="J450">
        <f>IF(OR($G450="",Sync!$Z446=""),"",Sync!$Z446)</f>
        <v/>
      </c>
      <c r="K450">
        <f>IF($G450="",0,IF(Sync!$AA446="",0,Sync!$AA446))</f>
        <v/>
      </c>
      <c r="L450">
        <f>IF($G450="",0,IF(Sync!$AB446="",0,Sync!$AB446))</f>
        <v/>
      </c>
      <c r="M450">
        <f>IF($G450="","",IF($H450="مرجوعی فروش",-1,1)*($K450-$L450*IFERROR(VLOOKUP("P01",ParamTbl,3,0),1.5)))</f>
        <v/>
      </c>
      <c r="N450">
        <f>IF($G450="",0,IF($H450="مرجوعی فروش",-1,1)*IF(Sync!$AC446="",0,Sync!$AC446))</f>
        <v/>
      </c>
      <c r="O450">
        <f>IF(OR($G450="",Sync!$V446=""),"",Sync!$V446)</f>
        <v/>
      </c>
      <c r="P450">
        <f>IF(OR($G450="",Sync!$AD446=""),"",Sync!$AD446)</f>
        <v/>
      </c>
      <c r="Q450">
        <f>IF($G450="","",IF(Sync!$U446="","0000",IF(AND(ISNUMBER(Sync!$U446),Sync!$U446&gt;=0,Sync!$U446&lt;1),RIGHT("00"&amp;HOUR(Sync!$U446),2)&amp;RIGHT("00"&amp;MINUTE(Sync!$U446),2),IFERROR(RIGHT("00"&amp;VALUE(LEFT(Sync!$U446,FIND(":",Sync!$U446)-1)),2)&amp;RIGHT("00"&amp;VALUE(MID(Sync!$U446,FIND(":",Sync!$U446)+1,2)),2),"0000"))))</f>
        <v/>
      </c>
    </row>
    <row r="451">
      <c r="A451">
        <f>IF(Sync!$T447="","",Sync!$T447)</f>
        <v/>
      </c>
      <c r="B451">
        <f>IF($A451="","",IF(ISNUMBER($A451),IF(AND($A451&gt;=10000101,$A451&lt;=99991231),INT($A451/10000),""),IFERROR(VALUE(TRIM(LEFT($A451,FIND("/",$A451)-1))),"")))</f>
        <v/>
      </c>
      <c r="C451">
        <f>IF(OR($A451="",$B451=""),"",IF(ISNUMBER($A451),INT(MOD($A451,10000)/100),IFERROR(VALUE(TRIM(LEFT(MID($A451,FIND("/",$A451)+1,20),FIND("/",MID($A451,FIND("/",$A451)+1,20))-1))),"")))</f>
        <v/>
      </c>
      <c r="D451">
        <f>IF(OR($A451="",$B451=""),"",IF(ISNUMBER($A451),MOD($A451,100),IFERROR(VALUE(TRIM(MID(MID($A451,FIND("/",$A451)+1,20),FIND("/",MID($A451,FIND("/",$A451)+1,20))+1,20))),"")))</f>
        <v/>
      </c>
      <c r="E451">
        <f>IF($A451="","",IF(OR($B451="",$C451="",$D451="",$B451&lt;1300,$B451&gt;1500,$C451&lt;1,$C451&gt;12,$D451&lt;1,$D451&gt;31),"نامعتبر",RIGHT("0000"&amp;$B451,4)&amp;"/"&amp;RIGHT("00"&amp;$C451,2)&amp;"/"&amp;RIGHT("00"&amp;$D451,2)))</f>
        <v/>
      </c>
      <c r="F451">
        <f>IF(OR($E451="",$E451="نامعتبر"),"",LEFT($E451,4)&amp;"/"&amp;MID($E451,6,2))</f>
        <v/>
      </c>
      <c r="G451">
        <f>IF(OR($E451="",$E451="نامعتبر",Sync!$X447=""),"",IF(AND(LEFT(UPPER(TRIM(Sync!$X447)),2)="SL",IFERROR(VLOOKUP(Sync!$W447,OpTbl,3,0),"")="فروش"),UPPER(TRIM(Sync!$X447)),""))</f>
        <v/>
      </c>
      <c r="H451">
        <f>IF($G451="","",IF(Sync!$W447="","",Sync!$W447))</f>
        <v/>
      </c>
      <c r="I451">
        <f>IF(OR($G451="",Sync!$Y447=""),"",Sync!$Y447)</f>
        <v/>
      </c>
      <c r="J451">
        <f>IF(OR($G451="",Sync!$Z447=""),"",Sync!$Z447)</f>
        <v/>
      </c>
      <c r="K451">
        <f>IF($G451="",0,IF(Sync!$AA447="",0,Sync!$AA447))</f>
        <v/>
      </c>
      <c r="L451">
        <f>IF($G451="",0,IF(Sync!$AB447="",0,Sync!$AB447))</f>
        <v/>
      </c>
      <c r="M451">
        <f>IF($G451="","",IF($H451="مرجوعی فروش",-1,1)*($K451-$L451*IFERROR(VLOOKUP("P01",ParamTbl,3,0),1.5)))</f>
        <v/>
      </c>
      <c r="N451">
        <f>IF($G451="",0,IF($H451="مرجوعی فروش",-1,1)*IF(Sync!$AC447="",0,Sync!$AC447))</f>
        <v/>
      </c>
      <c r="O451">
        <f>IF(OR($G451="",Sync!$V447=""),"",Sync!$V447)</f>
        <v/>
      </c>
      <c r="P451">
        <f>IF(OR($G451="",Sync!$AD447=""),"",Sync!$AD447)</f>
        <v/>
      </c>
      <c r="Q451">
        <f>IF($G451="","",IF(Sync!$U447="","0000",IF(AND(ISNUMBER(Sync!$U447),Sync!$U447&gt;=0,Sync!$U447&lt;1),RIGHT("00"&amp;HOUR(Sync!$U447),2)&amp;RIGHT("00"&amp;MINUTE(Sync!$U447),2),IFERROR(RIGHT("00"&amp;VALUE(LEFT(Sync!$U447,FIND(":",Sync!$U447)-1)),2)&amp;RIGHT("00"&amp;VALUE(MID(Sync!$U447,FIND(":",Sync!$U447)+1,2)),2),"0000"))))</f>
        <v/>
      </c>
    </row>
    <row r="452">
      <c r="A452">
        <f>IF(Sync!$T448="","",Sync!$T448)</f>
        <v/>
      </c>
      <c r="B452">
        <f>IF($A452="","",IF(ISNUMBER($A452),IF(AND($A452&gt;=10000101,$A452&lt;=99991231),INT($A452/10000),""),IFERROR(VALUE(TRIM(LEFT($A452,FIND("/",$A452)-1))),"")))</f>
        <v/>
      </c>
      <c r="C452">
        <f>IF(OR($A452="",$B452=""),"",IF(ISNUMBER($A452),INT(MOD($A452,10000)/100),IFERROR(VALUE(TRIM(LEFT(MID($A452,FIND("/",$A452)+1,20),FIND("/",MID($A452,FIND("/",$A452)+1,20))-1))),"")))</f>
        <v/>
      </c>
      <c r="D452">
        <f>IF(OR($A452="",$B452=""),"",IF(ISNUMBER($A452),MOD($A452,100),IFERROR(VALUE(TRIM(MID(MID($A452,FIND("/",$A452)+1,20),FIND("/",MID($A452,FIND("/",$A452)+1,20))+1,20))),"")))</f>
        <v/>
      </c>
      <c r="E452">
        <f>IF($A452="","",IF(OR($B452="",$C452="",$D452="",$B452&lt;1300,$B452&gt;1500,$C452&lt;1,$C452&gt;12,$D452&lt;1,$D452&gt;31),"نامعتبر",RIGHT("0000"&amp;$B452,4)&amp;"/"&amp;RIGHT("00"&amp;$C452,2)&amp;"/"&amp;RIGHT("00"&amp;$D452,2)))</f>
        <v/>
      </c>
      <c r="F452">
        <f>IF(OR($E452="",$E452="نامعتبر"),"",LEFT($E452,4)&amp;"/"&amp;MID($E452,6,2))</f>
        <v/>
      </c>
      <c r="G452">
        <f>IF(OR($E452="",$E452="نامعتبر",Sync!$X448=""),"",IF(AND(LEFT(UPPER(TRIM(Sync!$X448)),2)="SL",IFERROR(VLOOKUP(Sync!$W448,OpTbl,3,0),"")="فروش"),UPPER(TRIM(Sync!$X448)),""))</f>
        <v/>
      </c>
      <c r="H452">
        <f>IF($G452="","",IF(Sync!$W448="","",Sync!$W448))</f>
        <v/>
      </c>
      <c r="I452">
        <f>IF(OR($G452="",Sync!$Y448=""),"",Sync!$Y448)</f>
        <v/>
      </c>
      <c r="J452">
        <f>IF(OR($G452="",Sync!$Z448=""),"",Sync!$Z448)</f>
        <v/>
      </c>
      <c r="K452">
        <f>IF($G452="",0,IF(Sync!$AA448="",0,Sync!$AA448))</f>
        <v/>
      </c>
      <c r="L452">
        <f>IF($G452="",0,IF(Sync!$AB448="",0,Sync!$AB448))</f>
        <v/>
      </c>
      <c r="M452">
        <f>IF($G452="","",IF($H452="مرجوعی فروش",-1,1)*($K452-$L452*IFERROR(VLOOKUP("P01",ParamTbl,3,0),1.5)))</f>
        <v/>
      </c>
      <c r="N452">
        <f>IF($G452="",0,IF($H452="مرجوعی فروش",-1,1)*IF(Sync!$AC448="",0,Sync!$AC448))</f>
        <v/>
      </c>
      <c r="O452">
        <f>IF(OR($G452="",Sync!$V448=""),"",Sync!$V448)</f>
        <v/>
      </c>
      <c r="P452">
        <f>IF(OR($G452="",Sync!$AD448=""),"",Sync!$AD448)</f>
        <v/>
      </c>
      <c r="Q452">
        <f>IF($G452="","",IF(Sync!$U448="","0000",IF(AND(ISNUMBER(Sync!$U448),Sync!$U448&gt;=0,Sync!$U448&lt;1),RIGHT("00"&amp;HOUR(Sync!$U448),2)&amp;RIGHT("00"&amp;MINUTE(Sync!$U448),2),IFERROR(RIGHT("00"&amp;VALUE(LEFT(Sync!$U448,FIND(":",Sync!$U448)-1)),2)&amp;RIGHT("00"&amp;VALUE(MID(Sync!$U448,FIND(":",Sync!$U448)+1,2)),2),"0000"))))</f>
        <v/>
      </c>
    </row>
    <row r="453">
      <c r="A453">
        <f>IF(Sync!$T449="","",Sync!$T449)</f>
        <v/>
      </c>
      <c r="B453">
        <f>IF($A453="","",IF(ISNUMBER($A453),IF(AND($A453&gt;=10000101,$A453&lt;=99991231),INT($A453/10000),""),IFERROR(VALUE(TRIM(LEFT($A453,FIND("/",$A453)-1))),"")))</f>
        <v/>
      </c>
      <c r="C453">
        <f>IF(OR($A453="",$B453=""),"",IF(ISNUMBER($A453),INT(MOD($A453,10000)/100),IFERROR(VALUE(TRIM(LEFT(MID($A453,FIND("/",$A453)+1,20),FIND("/",MID($A453,FIND("/",$A453)+1,20))-1))),"")))</f>
        <v/>
      </c>
      <c r="D453">
        <f>IF(OR($A453="",$B453=""),"",IF(ISNUMBER($A453),MOD($A453,100),IFERROR(VALUE(TRIM(MID(MID($A453,FIND("/",$A453)+1,20),FIND("/",MID($A453,FIND("/",$A453)+1,20))+1,20))),"")))</f>
        <v/>
      </c>
      <c r="E453">
        <f>IF($A453="","",IF(OR($B453="",$C453="",$D453="",$B453&lt;1300,$B453&gt;1500,$C453&lt;1,$C453&gt;12,$D453&lt;1,$D453&gt;31),"نامعتبر",RIGHT("0000"&amp;$B453,4)&amp;"/"&amp;RIGHT("00"&amp;$C453,2)&amp;"/"&amp;RIGHT("00"&amp;$D453,2)))</f>
        <v/>
      </c>
      <c r="F453">
        <f>IF(OR($E453="",$E453="نامعتبر"),"",LEFT($E453,4)&amp;"/"&amp;MID($E453,6,2))</f>
        <v/>
      </c>
      <c r="G453">
        <f>IF(OR($E453="",$E453="نامعتبر",Sync!$X449=""),"",IF(AND(LEFT(UPPER(TRIM(Sync!$X449)),2)="SL",IFERROR(VLOOKUP(Sync!$W449,OpTbl,3,0),"")="فروش"),UPPER(TRIM(Sync!$X449)),""))</f>
        <v/>
      </c>
      <c r="H453">
        <f>IF($G453="","",IF(Sync!$W449="","",Sync!$W449))</f>
        <v/>
      </c>
      <c r="I453">
        <f>IF(OR($G453="",Sync!$Y449=""),"",Sync!$Y449)</f>
        <v/>
      </c>
      <c r="J453">
        <f>IF(OR($G453="",Sync!$Z449=""),"",Sync!$Z449)</f>
        <v/>
      </c>
      <c r="K453">
        <f>IF($G453="",0,IF(Sync!$AA449="",0,Sync!$AA449))</f>
        <v/>
      </c>
      <c r="L453">
        <f>IF($G453="",0,IF(Sync!$AB449="",0,Sync!$AB449))</f>
        <v/>
      </c>
      <c r="M453">
        <f>IF($G453="","",IF($H453="مرجوعی فروش",-1,1)*($K453-$L453*IFERROR(VLOOKUP("P01",ParamTbl,3,0),1.5)))</f>
        <v/>
      </c>
      <c r="N453">
        <f>IF($G453="",0,IF($H453="مرجوعی فروش",-1,1)*IF(Sync!$AC449="",0,Sync!$AC449))</f>
        <v/>
      </c>
      <c r="O453">
        <f>IF(OR($G453="",Sync!$V449=""),"",Sync!$V449)</f>
        <v/>
      </c>
      <c r="P453">
        <f>IF(OR($G453="",Sync!$AD449=""),"",Sync!$AD449)</f>
        <v/>
      </c>
      <c r="Q453">
        <f>IF($G453="","",IF(Sync!$U449="","0000",IF(AND(ISNUMBER(Sync!$U449),Sync!$U449&gt;=0,Sync!$U449&lt;1),RIGHT("00"&amp;HOUR(Sync!$U449),2)&amp;RIGHT("00"&amp;MINUTE(Sync!$U449),2),IFERROR(RIGHT("00"&amp;VALUE(LEFT(Sync!$U449,FIND(":",Sync!$U449)-1)),2)&amp;RIGHT("00"&amp;VALUE(MID(Sync!$U449,FIND(":",Sync!$U449)+1,2)),2),"0000"))))</f>
        <v/>
      </c>
    </row>
    <row r="454">
      <c r="A454">
        <f>IF(Sync!$T450="","",Sync!$T450)</f>
        <v/>
      </c>
      <c r="B454">
        <f>IF($A454="","",IF(ISNUMBER($A454),IF(AND($A454&gt;=10000101,$A454&lt;=99991231),INT($A454/10000),""),IFERROR(VALUE(TRIM(LEFT($A454,FIND("/",$A454)-1))),"")))</f>
        <v/>
      </c>
      <c r="C454">
        <f>IF(OR($A454="",$B454=""),"",IF(ISNUMBER($A454),INT(MOD($A454,10000)/100),IFERROR(VALUE(TRIM(LEFT(MID($A454,FIND("/",$A454)+1,20),FIND("/",MID($A454,FIND("/",$A454)+1,20))-1))),"")))</f>
        <v/>
      </c>
      <c r="D454">
        <f>IF(OR($A454="",$B454=""),"",IF(ISNUMBER($A454),MOD($A454,100),IFERROR(VALUE(TRIM(MID(MID($A454,FIND("/",$A454)+1,20),FIND("/",MID($A454,FIND("/",$A454)+1,20))+1,20))),"")))</f>
        <v/>
      </c>
      <c r="E454">
        <f>IF($A454="","",IF(OR($B454="",$C454="",$D454="",$B454&lt;1300,$B454&gt;1500,$C454&lt;1,$C454&gt;12,$D454&lt;1,$D454&gt;31),"نامعتبر",RIGHT("0000"&amp;$B454,4)&amp;"/"&amp;RIGHT("00"&amp;$C454,2)&amp;"/"&amp;RIGHT("00"&amp;$D454,2)))</f>
        <v/>
      </c>
      <c r="F454">
        <f>IF(OR($E454="",$E454="نامعتبر"),"",LEFT($E454,4)&amp;"/"&amp;MID($E454,6,2))</f>
        <v/>
      </c>
      <c r="G454">
        <f>IF(OR($E454="",$E454="نامعتبر",Sync!$X450=""),"",IF(AND(LEFT(UPPER(TRIM(Sync!$X450)),2)="SL",IFERROR(VLOOKUP(Sync!$W450,OpTbl,3,0),"")="فروش"),UPPER(TRIM(Sync!$X450)),""))</f>
        <v/>
      </c>
      <c r="H454">
        <f>IF($G454="","",IF(Sync!$W450="","",Sync!$W450))</f>
        <v/>
      </c>
      <c r="I454">
        <f>IF(OR($G454="",Sync!$Y450=""),"",Sync!$Y450)</f>
        <v/>
      </c>
      <c r="J454">
        <f>IF(OR($G454="",Sync!$Z450=""),"",Sync!$Z450)</f>
        <v/>
      </c>
      <c r="K454">
        <f>IF($G454="",0,IF(Sync!$AA450="",0,Sync!$AA450))</f>
        <v/>
      </c>
      <c r="L454">
        <f>IF($G454="",0,IF(Sync!$AB450="",0,Sync!$AB450))</f>
        <v/>
      </c>
      <c r="M454">
        <f>IF($G454="","",IF($H454="مرجوعی فروش",-1,1)*($K454-$L454*IFERROR(VLOOKUP("P01",ParamTbl,3,0),1.5)))</f>
        <v/>
      </c>
      <c r="N454">
        <f>IF($G454="",0,IF($H454="مرجوعی فروش",-1,1)*IF(Sync!$AC450="",0,Sync!$AC450))</f>
        <v/>
      </c>
      <c r="O454">
        <f>IF(OR($G454="",Sync!$V450=""),"",Sync!$V450)</f>
        <v/>
      </c>
      <c r="P454">
        <f>IF(OR($G454="",Sync!$AD450=""),"",Sync!$AD450)</f>
        <v/>
      </c>
      <c r="Q454">
        <f>IF($G454="","",IF(Sync!$U450="","0000",IF(AND(ISNUMBER(Sync!$U450),Sync!$U450&gt;=0,Sync!$U450&lt;1),RIGHT("00"&amp;HOUR(Sync!$U450),2)&amp;RIGHT("00"&amp;MINUTE(Sync!$U450),2),IFERROR(RIGHT("00"&amp;VALUE(LEFT(Sync!$U450,FIND(":",Sync!$U450)-1)),2)&amp;RIGHT("00"&amp;VALUE(MID(Sync!$U450,FIND(":",Sync!$U450)+1,2)),2),"0000"))))</f>
        <v/>
      </c>
    </row>
    <row r="455">
      <c r="A455">
        <f>IF(Sync!$T451="","",Sync!$T451)</f>
        <v/>
      </c>
      <c r="B455">
        <f>IF($A455="","",IF(ISNUMBER($A455),IF(AND($A455&gt;=10000101,$A455&lt;=99991231),INT($A455/10000),""),IFERROR(VALUE(TRIM(LEFT($A455,FIND("/",$A455)-1))),"")))</f>
        <v/>
      </c>
      <c r="C455">
        <f>IF(OR($A455="",$B455=""),"",IF(ISNUMBER($A455),INT(MOD($A455,10000)/100),IFERROR(VALUE(TRIM(LEFT(MID($A455,FIND("/",$A455)+1,20),FIND("/",MID($A455,FIND("/",$A455)+1,20))-1))),"")))</f>
        <v/>
      </c>
      <c r="D455">
        <f>IF(OR($A455="",$B455=""),"",IF(ISNUMBER($A455),MOD($A455,100),IFERROR(VALUE(TRIM(MID(MID($A455,FIND("/",$A455)+1,20),FIND("/",MID($A455,FIND("/",$A455)+1,20))+1,20))),"")))</f>
        <v/>
      </c>
      <c r="E455">
        <f>IF($A455="","",IF(OR($B455="",$C455="",$D455="",$B455&lt;1300,$B455&gt;1500,$C455&lt;1,$C455&gt;12,$D455&lt;1,$D455&gt;31),"نامعتبر",RIGHT("0000"&amp;$B455,4)&amp;"/"&amp;RIGHT("00"&amp;$C455,2)&amp;"/"&amp;RIGHT("00"&amp;$D455,2)))</f>
        <v/>
      </c>
      <c r="F455">
        <f>IF(OR($E455="",$E455="نامعتبر"),"",LEFT($E455,4)&amp;"/"&amp;MID($E455,6,2))</f>
        <v/>
      </c>
      <c r="G455">
        <f>IF(OR($E455="",$E455="نامعتبر",Sync!$X451=""),"",IF(AND(LEFT(UPPER(TRIM(Sync!$X451)),2)="SL",IFERROR(VLOOKUP(Sync!$W451,OpTbl,3,0),"")="فروش"),UPPER(TRIM(Sync!$X451)),""))</f>
        <v/>
      </c>
      <c r="H455">
        <f>IF($G455="","",IF(Sync!$W451="","",Sync!$W451))</f>
        <v/>
      </c>
      <c r="I455">
        <f>IF(OR($G455="",Sync!$Y451=""),"",Sync!$Y451)</f>
        <v/>
      </c>
      <c r="J455">
        <f>IF(OR($G455="",Sync!$Z451=""),"",Sync!$Z451)</f>
        <v/>
      </c>
      <c r="K455">
        <f>IF($G455="",0,IF(Sync!$AA451="",0,Sync!$AA451))</f>
        <v/>
      </c>
      <c r="L455">
        <f>IF($G455="",0,IF(Sync!$AB451="",0,Sync!$AB451))</f>
        <v/>
      </c>
      <c r="M455">
        <f>IF($G455="","",IF($H455="مرجوعی فروش",-1,1)*($K455-$L455*IFERROR(VLOOKUP("P01",ParamTbl,3,0),1.5)))</f>
        <v/>
      </c>
      <c r="N455">
        <f>IF($G455="",0,IF($H455="مرجوعی فروش",-1,1)*IF(Sync!$AC451="",0,Sync!$AC451))</f>
        <v/>
      </c>
      <c r="O455">
        <f>IF(OR($G455="",Sync!$V451=""),"",Sync!$V451)</f>
        <v/>
      </c>
      <c r="P455">
        <f>IF(OR($G455="",Sync!$AD451=""),"",Sync!$AD451)</f>
        <v/>
      </c>
      <c r="Q455">
        <f>IF($G455="","",IF(Sync!$U451="","0000",IF(AND(ISNUMBER(Sync!$U451),Sync!$U451&gt;=0,Sync!$U451&lt;1),RIGHT("00"&amp;HOUR(Sync!$U451),2)&amp;RIGHT("00"&amp;MINUTE(Sync!$U451),2),IFERROR(RIGHT("00"&amp;VALUE(LEFT(Sync!$U451,FIND(":",Sync!$U451)-1)),2)&amp;RIGHT("00"&amp;VALUE(MID(Sync!$U451,FIND(":",Sync!$U451)+1,2)),2),"0000"))))</f>
        <v/>
      </c>
    </row>
    <row r="456">
      <c r="A456">
        <f>IF(Sync!$T452="","",Sync!$T452)</f>
        <v/>
      </c>
      <c r="B456">
        <f>IF($A456="","",IF(ISNUMBER($A456),IF(AND($A456&gt;=10000101,$A456&lt;=99991231),INT($A456/10000),""),IFERROR(VALUE(TRIM(LEFT($A456,FIND("/",$A456)-1))),"")))</f>
        <v/>
      </c>
      <c r="C456">
        <f>IF(OR($A456="",$B456=""),"",IF(ISNUMBER($A456),INT(MOD($A456,10000)/100),IFERROR(VALUE(TRIM(LEFT(MID($A456,FIND("/",$A456)+1,20),FIND("/",MID($A456,FIND("/",$A456)+1,20))-1))),"")))</f>
        <v/>
      </c>
      <c r="D456">
        <f>IF(OR($A456="",$B456=""),"",IF(ISNUMBER($A456),MOD($A456,100),IFERROR(VALUE(TRIM(MID(MID($A456,FIND("/",$A456)+1,20),FIND("/",MID($A456,FIND("/",$A456)+1,20))+1,20))),"")))</f>
        <v/>
      </c>
      <c r="E456">
        <f>IF($A456="","",IF(OR($B456="",$C456="",$D456="",$B456&lt;1300,$B456&gt;1500,$C456&lt;1,$C456&gt;12,$D456&lt;1,$D456&gt;31),"نامعتبر",RIGHT("0000"&amp;$B456,4)&amp;"/"&amp;RIGHT("00"&amp;$C456,2)&amp;"/"&amp;RIGHT("00"&amp;$D456,2)))</f>
        <v/>
      </c>
      <c r="F456">
        <f>IF(OR($E456="",$E456="نامعتبر"),"",LEFT($E456,4)&amp;"/"&amp;MID($E456,6,2))</f>
        <v/>
      </c>
      <c r="G456">
        <f>IF(OR($E456="",$E456="نامعتبر",Sync!$X452=""),"",IF(AND(LEFT(UPPER(TRIM(Sync!$X452)),2)="SL",IFERROR(VLOOKUP(Sync!$W452,OpTbl,3,0),"")="فروش"),UPPER(TRIM(Sync!$X452)),""))</f>
        <v/>
      </c>
      <c r="H456">
        <f>IF($G456="","",IF(Sync!$W452="","",Sync!$W452))</f>
        <v/>
      </c>
      <c r="I456">
        <f>IF(OR($G456="",Sync!$Y452=""),"",Sync!$Y452)</f>
        <v/>
      </c>
      <c r="J456">
        <f>IF(OR($G456="",Sync!$Z452=""),"",Sync!$Z452)</f>
        <v/>
      </c>
      <c r="K456">
        <f>IF($G456="",0,IF(Sync!$AA452="",0,Sync!$AA452))</f>
        <v/>
      </c>
      <c r="L456">
        <f>IF($G456="",0,IF(Sync!$AB452="",0,Sync!$AB452))</f>
        <v/>
      </c>
      <c r="M456">
        <f>IF($G456="","",IF($H456="مرجوعی فروش",-1,1)*($K456-$L456*IFERROR(VLOOKUP("P01",ParamTbl,3,0),1.5)))</f>
        <v/>
      </c>
      <c r="N456">
        <f>IF($G456="",0,IF($H456="مرجوعی فروش",-1,1)*IF(Sync!$AC452="",0,Sync!$AC452))</f>
        <v/>
      </c>
      <c r="O456">
        <f>IF(OR($G456="",Sync!$V452=""),"",Sync!$V452)</f>
        <v/>
      </c>
      <c r="P456">
        <f>IF(OR($G456="",Sync!$AD452=""),"",Sync!$AD452)</f>
        <v/>
      </c>
      <c r="Q456">
        <f>IF($G456="","",IF(Sync!$U452="","0000",IF(AND(ISNUMBER(Sync!$U452),Sync!$U452&gt;=0,Sync!$U452&lt;1),RIGHT("00"&amp;HOUR(Sync!$U452),2)&amp;RIGHT("00"&amp;MINUTE(Sync!$U452),2),IFERROR(RIGHT("00"&amp;VALUE(LEFT(Sync!$U452,FIND(":",Sync!$U452)-1)),2)&amp;RIGHT("00"&amp;VALUE(MID(Sync!$U452,FIND(":",Sync!$U452)+1,2)),2),"0000"))))</f>
        <v/>
      </c>
    </row>
    <row r="457">
      <c r="A457">
        <f>IF(Sync!$T453="","",Sync!$T453)</f>
        <v/>
      </c>
      <c r="B457">
        <f>IF($A457="","",IF(ISNUMBER($A457),IF(AND($A457&gt;=10000101,$A457&lt;=99991231),INT($A457/10000),""),IFERROR(VALUE(TRIM(LEFT($A457,FIND("/",$A457)-1))),"")))</f>
        <v/>
      </c>
      <c r="C457">
        <f>IF(OR($A457="",$B457=""),"",IF(ISNUMBER($A457),INT(MOD($A457,10000)/100),IFERROR(VALUE(TRIM(LEFT(MID($A457,FIND("/",$A457)+1,20),FIND("/",MID($A457,FIND("/",$A457)+1,20))-1))),"")))</f>
        <v/>
      </c>
      <c r="D457">
        <f>IF(OR($A457="",$B457=""),"",IF(ISNUMBER($A457),MOD($A457,100),IFERROR(VALUE(TRIM(MID(MID($A457,FIND("/",$A457)+1,20),FIND("/",MID($A457,FIND("/",$A457)+1,20))+1,20))),"")))</f>
        <v/>
      </c>
      <c r="E457">
        <f>IF($A457="","",IF(OR($B457="",$C457="",$D457="",$B457&lt;1300,$B457&gt;1500,$C457&lt;1,$C457&gt;12,$D457&lt;1,$D457&gt;31),"نامعتبر",RIGHT("0000"&amp;$B457,4)&amp;"/"&amp;RIGHT("00"&amp;$C457,2)&amp;"/"&amp;RIGHT("00"&amp;$D457,2)))</f>
        <v/>
      </c>
      <c r="F457">
        <f>IF(OR($E457="",$E457="نامعتبر"),"",LEFT($E457,4)&amp;"/"&amp;MID($E457,6,2))</f>
        <v/>
      </c>
      <c r="G457">
        <f>IF(OR($E457="",$E457="نامعتبر",Sync!$X453=""),"",IF(AND(LEFT(UPPER(TRIM(Sync!$X453)),2)="SL",IFERROR(VLOOKUP(Sync!$W453,OpTbl,3,0),"")="فروش"),UPPER(TRIM(Sync!$X453)),""))</f>
        <v/>
      </c>
      <c r="H457">
        <f>IF($G457="","",IF(Sync!$W453="","",Sync!$W453))</f>
        <v/>
      </c>
      <c r="I457">
        <f>IF(OR($G457="",Sync!$Y453=""),"",Sync!$Y453)</f>
        <v/>
      </c>
      <c r="J457">
        <f>IF(OR($G457="",Sync!$Z453=""),"",Sync!$Z453)</f>
        <v/>
      </c>
      <c r="K457">
        <f>IF($G457="",0,IF(Sync!$AA453="",0,Sync!$AA453))</f>
        <v/>
      </c>
      <c r="L457">
        <f>IF($G457="",0,IF(Sync!$AB453="",0,Sync!$AB453))</f>
        <v/>
      </c>
      <c r="M457">
        <f>IF($G457="","",IF($H457="مرجوعی فروش",-1,1)*($K457-$L457*IFERROR(VLOOKUP("P01",ParamTbl,3,0),1.5)))</f>
        <v/>
      </c>
      <c r="N457">
        <f>IF($G457="",0,IF($H457="مرجوعی فروش",-1,1)*IF(Sync!$AC453="",0,Sync!$AC453))</f>
        <v/>
      </c>
      <c r="O457">
        <f>IF(OR($G457="",Sync!$V453=""),"",Sync!$V453)</f>
        <v/>
      </c>
      <c r="P457">
        <f>IF(OR($G457="",Sync!$AD453=""),"",Sync!$AD453)</f>
        <v/>
      </c>
      <c r="Q457">
        <f>IF($G457="","",IF(Sync!$U453="","0000",IF(AND(ISNUMBER(Sync!$U453),Sync!$U453&gt;=0,Sync!$U453&lt;1),RIGHT("00"&amp;HOUR(Sync!$U453),2)&amp;RIGHT("00"&amp;MINUTE(Sync!$U453),2),IFERROR(RIGHT("00"&amp;VALUE(LEFT(Sync!$U453,FIND(":",Sync!$U453)-1)),2)&amp;RIGHT("00"&amp;VALUE(MID(Sync!$U453,FIND(":",Sync!$U453)+1,2)),2),"0000"))))</f>
        <v/>
      </c>
    </row>
    <row r="458">
      <c r="A458">
        <f>IF(Sync!$T454="","",Sync!$T454)</f>
        <v/>
      </c>
      <c r="B458">
        <f>IF($A458="","",IF(ISNUMBER($A458),IF(AND($A458&gt;=10000101,$A458&lt;=99991231),INT($A458/10000),""),IFERROR(VALUE(TRIM(LEFT($A458,FIND("/",$A458)-1))),"")))</f>
        <v/>
      </c>
      <c r="C458">
        <f>IF(OR($A458="",$B458=""),"",IF(ISNUMBER($A458),INT(MOD($A458,10000)/100),IFERROR(VALUE(TRIM(LEFT(MID($A458,FIND("/",$A458)+1,20),FIND("/",MID($A458,FIND("/",$A458)+1,20))-1))),"")))</f>
        <v/>
      </c>
      <c r="D458">
        <f>IF(OR($A458="",$B458=""),"",IF(ISNUMBER($A458),MOD($A458,100),IFERROR(VALUE(TRIM(MID(MID($A458,FIND("/",$A458)+1,20),FIND("/",MID($A458,FIND("/",$A458)+1,20))+1,20))),"")))</f>
        <v/>
      </c>
      <c r="E458">
        <f>IF($A458="","",IF(OR($B458="",$C458="",$D458="",$B458&lt;1300,$B458&gt;1500,$C458&lt;1,$C458&gt;12,$D458&lt;1,$D458&gt;31),"نامعتبر",RIGHT("0000"&amp;$B458,4)&amp;"/"&amp;RIGHT("00"&amp;$C458,2)&amp;"/"&amp;RIGHT("00"&amp;$D458,2)))</f>
        <v/>
      </c>
      <c r="F458">
        <f>IF(OR($E458="",$E458="نامعتبر"),"",LEFT($E458,4)&amp;"/"&amp;MID($E458,6,2))</f>
        <v/>
      </c>
      <c r="G458">
        <f>IF(OR($E458="",$E458="نامعتبر",Sync!$X454=""),"",IF(AND(LEFT(UPPER(TRIM(Sync!$X454)),2)="SL",IFERROR(VLOOKUP(Sync!$W454,OpTbl,3,0),"")="فروش"),UPPER(TRIM(Sync!$X454)),""))</f>
        <v/>
      </c>
      <c r="H458">
        <f>IF($G458="","",IF(Sync!$W454="","",Sync!$W454))</f>
        <v/>
      </c>
      <c r="I458">
        <f>IF(OR($G458="",Sync!$Y454=""),"",Sync!$Y454)</f>
        <v/>
      </c>
      <c r="J458">
        <f>IF(OR($G458="",Sync!$Z454=""),"",Sync!$Z454)</f>
        <v/>
      </c>
      <c r="K458">
        <f>IF($G458="",0,IF(Sync!$AA454="",0,Sync!$AA454))</f>
        <v/>
      </c>
      <c r="L458">
        <f>IF($G458="",0,IF(Sync!$AB454="",0,Sync!$AB454))</f>
        <v/>
      </c>
      <c r="M458">
        <f>IF($G458="","",IF($H458="مرجوعی فروش",-1,1)*($K458-$L458*IFERROR(VLOOKUP("P01",ParamTbl,3,0),1.5)))</f>
        <v/>
      </c>
      <c r="N458">
        <f>IF($G458="",0,IF($H458="مرجوعی فروش",-1,1)*IF(Sync!$AC454="",0,Sync!$AC454))</f>
        <v/>
      </c>
      <c r="O458">
        <f>IF(OR($G458="",Sync!$V454=""),"",Sync!$V454)</f>
        <v/>
      </c>
      <c r="P458">
        <f>IF(OR($G458="",Sync!$AD454=""),"",Sync!$AD454)</f>
        <v/>
      </c>
      <c r="Q458">
        <f>IF($G458="","",IF(Sync!$U454="","0000",IF(AND(ISNUMBER(Sync!$U454),Sync!$U454&gt;=0,Sync!$U454&lt;1),RIGHT("00"&amp;HOUR(Sync!$U454),2)&amp;RIGHT("00"&amp;MINUTE(Sync!$U454),2),IFERROR(RIGHT("00"&amp;VALUE(LEFT(Sync!$U454,FIND(":",Sync!$U454)-1)),2)&amp;RIGHT("00"&amp;VALUE(MID(Sync!$U454,FIND(":",Sync!$U454)+1,2)),2),"0000"))))</f>
        <v/>
      </c>
    </row>
    <row r="459">
      <c r="A459">
        <f>IF(Sync!$T455="","",Sync!$T455)</f>
        <v/>
      </c>
      <c r="B459">
        <f>IF($A459="","",IF(ISNUMBER($A459),IF(AND($A459&gt;=10000101,$A459&lt;=99991231),INT($A459/10000),""),IFERROR(VALUE(TRIM(LEFT($A459,FIND("/",$A459)-1))),"")))</f>
        <v/>
      </c>
      <c r="C459">
        <f>IF(OR($A459="",$B459=""),"",IF(ISNUMBER($A459),INT(MOD($A459,10000)/100),IFERROR(VALUE(TRIM(LEFT(MID($A459,FIND("/",$A459)+1,20),FIND("/",MID($A459,FIND("/",$A459)+1,20))-1))),"")))</f>
        <v/>
      </c>
      <c r="D459">
        <f>IF(OR($A459="",$B459=""),"",IF(ISNUMBER($A459),MOD($A459,100),IFERROR(VALUE(TRIM(MID(MID($A459,FIND("/",$A459)+1,20),FIND("/",MID($A459,FIND("/",$A459)+1,20))+1,20))),"")))</f>
        <v/>
      </c>
      <c r="E459">
        <f>IF($A459="","",IF(OR($B459="",$C459="",$D459="",$B459&lt;1300,$B459&gt;1500,$C459&lt;1,$C459&gt;12,$D459&lt;1,$D459&gt;31),"نامعتبر",RIGHT("0000"&amp;$B459,4)&amp;"/"&amp;RIGHT("00"&amp;$C459,2)&amp;"/"&amp;RIGHT("00"&amp;$D459,2)))</f>
        <v/>
      </c>
      <c r="F459">
        <f>IF(OR($E459="",$E459="نامعتبر"),"",LEFT($E459,4)&amp;"/"&amp;MID($E459,6,2))</f>
        <v/>
      </c>
      <c r="G459">
        <f>IF(OR($E459="",$E459="نامعتبر",Sync!$X455=""),"",IF(AND(LEFT(UPPER(TRIM(Sync!$X455)),2)="SL",IFERROR(VLOOKUP(Sync!$W455,OpTbl,3,0),"")="فروش"),UPPER(TRIM(Sync!$X455)),""))</f>
        <v/>
      </c>
      <c r="H459">
        <f>IF($G459="","",IF(Sync!$W455="","",Sync!$W455))</f>
        <v/>
      </c>
      <c r="I459">
        <f>IF(OR($G459="",Sync!$Y455=""),"",Sync!$Y455)</f>
        <v/>
      </c>
      <c r="J459">
        <f>IF(OR($G459="",Sync!$Z455=""),"",Sync!$Z455)</f>
        <v/>
      </c>
      <c r="K459">
        <f>IF($G459="",0,IF(Sync!$AA455="",0,Sync!$AA455))</f>
        <v/>
      </c>
      <c r="L459">
        <f>IF($G459="",0,IF(Sync!$AB455="",0,Sync!$AB455))</f>
        <v/>
      </c>
      <c r="M459">
        <f>IF($G459="","",IF($H459="مرجوعی فروش",-1,1)*($K459-$L459*IFERROR(VLOOKUP("P01",ParamTbl,3,0),1.5)))</f>
        <v/>
      </c>
      <c r="N459">
        <f>IF($G459="",0,IF($H459="مرجوعی فروش",-1,1)*IF(Sync!$AC455="",0,Sync!$AC455))</f>
        <v/>
      </c>
      <c r="O459">
        <f>IF(OR($G459="",Sync!$V455=""),"",Sync!$V455)</f>
        <v/>
      </c>
      <c r="P459">
        <f>IF(OR($G459="",Sync!$AD455=""),"",Sync!$AD455)</f>
        <v/>
      </c>
      <c r="Q459">
        <f>IF($G459="","",IF(Sync!$U455="","0000",IF(AND(ISNUMBER(Sync!$U455),Sync!$U455&gt;=0,Sync!$U455&lt;1),RIGHT("00"&amp;HOUR(Sync!$U455),2)&amp;RIGHT("00"&amp;MINUTE(Sync!$U455),2),IFERROR(RIGHT("00"&amp;VALUE(LEFT(Sync!$U455,FIND(":",Sync!$U455)-1)),2)&amp;RIGHT("00"&amp;VALUE(MID(Sync!$U455,FIND(":",Sync!$U455)+1,2)),2),"0000"))))</f>
        <v/>
      </c>
    </row>
    <row r="460">
      <c r="A460">
        <f>IF(Sync!$T456="","",Sync!$T456)</f>
        <v/>
      </c>
      <c r="B460">
        <f>IF($A460="","",IF(ISNUMBER($A460),IF(AND($A460&gt;=10000101,$A460&lt;=99991231),INT($A460/10000),""),IFERROR(VALUE(TRIM(LEFT($A460,FIND("/",$A460)-1))),"")))</f>
        <v/>
      </c>
      <c r="C460">
        <f>IF(OR($A460="",$B460=""),"",IF(ISNUMBER($A460),INT(MOD($A460,10000)/100),IFERROR(VALUE(TRIM(LEFT(MID($A460,FIND("/",$A460)+1,20),FIND("/",MID($A460,FIND("/",$A460)+1,20))-1))),"")))</f>
        <v/>
      </c>
      <c r="D460">
        <f>IF(OR($A460="",$B460=""),"",IF(ISNUMBER($A460),MOD($A460,100),IFERROR(VALUE(TRIM(MID(MID($A460,FIND("/",$A460)+1,20),FIND("/",MID($A460,FIND("/",$A460)+1,20))+1,20))),"")))</f>
        <v/>
      </c>
      <c r="E460">
        <f>IF($A460="","",IF(OR($B460="",$C460="",$D460="",$B460&lt;1300,$B460&gt;1500,$C460&lt;1,$C460&gt;12,$D460&lt;1,$D460&gt;31),"نامعتبر",RIGHT("0000"&amp;$B460,4)&amp;"/"&amp;RIGHT("00"&amp;$C460,2)&amp;"/"&amp;RIGHT("00"&amp;$D460,2)))</f>
        <v/>
      </c>
      <c r="F460">
        <f>IF(OR($E460="",$E460="نامعتبر"),"",LEFT($E460,4)&amp;"/"&amp;MID($E460,6,2))</f>
        <v/>
      </c>
      <c r="G460">
        <f>IF(OR($E460="",$E460="نامعتبر",Sync!$X456=""),"",IF(AND(LEFT(UPPER(TRIM(Sync!$X456)),2)="SL",IFERROR(VLOOKUP(Sync!$W456,OpTbl,3,0),"")="فروش"),UPPER(TRIM(Sync!$X456)),""))</f>
        <v/>
      </c>
      <c r="H460">
        <f>IF($G460="","",IF(Sync!$W456="","",Sync!$W456))</f>
        <v/>
      </c>
      <c r="I460">
        <f>IF(OR($G460="",Sync!$Y456=""),"",Sync!$Y456)</f>
        <v/>
      </c>
      <c r="J460">
        <f>IF(OR($G460="",Sync!$Z456=""),"",Sync!$Z456)</f>
        <v/>
      </c>
      <c r="K460">
        <f>IF($G460="",0,IF(Sync!$AA456="",0,Sync!$AA456))</f>
        <v/>
      </c>
      <c r="L460">
        <f>IF($G460="",0,IF(Sync!$AB456="",0,Sync!$AB456))</f>
        <v/>
      </c>
      <c r="M460">
        <f>IF($G460="","",IF($H460="مرجوعی فروش",-1,1)*($K460-$L460*IFERROR(VLOOKUP("P01",ParamTbl,3,0),1.5)))</f>
        <v/>
      </c>
      <c r="N460">
        <f>IF($G460="",0,IF($H460="مرجوعی فروش",-1,1)*IF(Sync!$AC456="",0,Sync!$AC456))</f>
        <v/>
      </c>
      <c r="O460">
        <f>IF(OR($G460="",Sync!$V456=""),"",Sync!$V456)</f>
        <v/>
      </c>
      <c r="P460">
        <f>IF(OR($G460="",Sync!$AD456=""),"",Sync!$AD456)</f>
        <v/>
      </c>
      <c r="Q460">
        <f>IF($G460="","",IF(Sync!$U456="","0000",IF(AND(ISNUMBER(Sync!$U456),Sync!$U456&gt;=0,Sync!$U456&lt;1),RIGHT("00"&amp;HOUR(Sync!$U456),2)&amp;RIGHT("00"&amp;MINUTE(Sync!$U456),2),IFERROR(RIGHT("00"&amp;VALUE(LEFT(Sync!$U456,FIND(":",Sync!$U456)-1)),2)&amp;RIGHT("00"&amp;VALUE(MID(Sync!$U456,FIND(":",Sync!$U456)+1,2)),2),"0000"))))</f>
        <v/>
      </c>
    </row>
    <row r="461">
      <c r="A461">
        <f>IF(Sync!$T457="","",Sync!$T457)</f>
        <v/>
      </c>
      <c r="B461">
        <f>IF($A461="","",IF(ISNUMBER($A461),IF(AND($A461&gt;=10000101,$A461&lt;=99991231),INT($A461/10000),""),IFERROR(VALUE(TRIM(LEFT($A461,FIND("/",$A461)-1))),"")))</f>
        <v/>
      </c>
      <c r="C461">
        <f>IF(OR($A461="",$B461=""),"",IF(ISNUMBER($A461),INT(MOD($A461,10000)/100),IFERROR(VALUE(TRIM(LEFT(MID($A461,FIND("/",$A461)+1,20),FIND("/",MID($A461,FIND("/",$A461)+1,20))-1))),"")))</f>
        <v/>
      </c>
      <c r="D461">
        <f>IF(OR($A461="",$B461=""),"",IF(ISNUMBER($A461),MOD($A461,100),IFERROR(VALUE(TRIM(MID(MID($A461,FIND("/",$A461)+1,20),FIND("/",MID($A461,FIND("/",$A461)+1,20))+1,20))),"")))</f>
        <v/>
      </c>
      <c r="E461">
        <f>IF($A461="","",IF(OR($B461="",$C461="",$D461="",$B461&lt;1300,$B461&gt;1500,$C461&lt;1,$C461&gt;12,$D461&lt;1,$D461&gt;31),"نامعتبر",RIGHT("0000"&amp;$B461,4)&amp;"/"&amp;RIGHT("00"&amp;$C461,2)&amp;"/"&amp;RIGHT("00"&amp;$D461,2)))</f>
        <v/>
      </c>
      <c r="F461">
        <f>IF(OR($E461="",$E461="نامعتبر"),"",LEFT($E461,4)&amp;"/"&amp;MID($E461,6,2))</f>
        <v/>
      </c>
      <c r="G461">
        <f>IF(OR($E461="",$E461="نامعتبر",Sync!$X457=""),"",IF(AND(LEFT(UPPER(TRIM(Sync!$X457)),2)="SL",IFERROR(VLOOKUP(Sync!$W457,OpTbl,3,0),"")="فروش"),UPPER(TRIM(Sync!$X457)),""))</f>
        <v/>
      </c>
      <c r="H461">
        <f>IF($G461="","",IF(Sync!$W457="","",Sync!$W457))</f>
        <v/>
      </c>
      <c r="I461">
        <f>IF(OR($G461="",Sync!$Y457=""),"",Sync!$Y457)</f>
        <v/>
      </c>
      <c r="J461">
        <f>IF(OR($G461="",Sync!$Z457=""),"",Sync!$Z457)</f>
        <v/>
      </c>
      <c r="K461">
        <f>IF($G461="",0,IF(Sync!$AA457="",0,Sync!$AA457))</f>
        <v/>
      </c>
      <c r="L461">
        <f>IF($G461="",0,IF(Sync!$AB457="",0,Sync!$AB457))</f>
        <v/>
      </c>
      <c r="M461">
        <f>IF($G461="","",IF($H461="مرجوعی فروش",-1,1)*($K461-$L461*IFERROR(VLOOKUP("P01",ParamTbl,3,0),1.5)))</f>
        <v/>
      </c>
      <c r="N461">
        <f>IF($G461="",0,IF($H461="مرجوعی فروش",-1,1)*IF(Sync!$AC457="",0,Sync!$AC457))</f>
        <v/>
      </c>
      <c r="O461">
        <f>IF(OR($G461="",Sync!$V457=""),"",Sync!$V457)</f>
        <v/>
      </c>
      <c r="P461">
        <f>IF(OR($G461="",Sync!$AD457=""),"",Sync!$AD457)</f>
        <v/>
      </c>
      <c r="Q461">
        <f>IF($G461="","",IF(Sync!$U457="","0000",IF(AND(ISNUMBER(Sync!$U457),Sync!$U457&gt;=0,Sync!$U457&lt;1),RIGHT("00"&amp;HOUR(Sync!$U457),2)&amp;RIGHT("00"&amp;MINUTE(Sync!$U457),2),IFERROR(RIGHT("00"&amp;VALUE(LEFT(Sync!$U457,FIND(":",Sync!$U457)-1)),2)&amp;RIGHT("00"&amp;VALUE(MID(Sync!$U457,FIND(":",Sync!$U457)+1,2)),2),"0000"))))</f>
        <v/>
      </c>
    </row>
    <row r="462">
      <c r="A462">
        <f>IF(Sync!$T458="","",Sync!$T458)</f>
        <v/>
      </c>
      <c r="B462">
        <f>IF($A462="","",IF(ISNUMBER($A462),IF(AND($A462&gt;=10000101,$A462&lt;=99991231),INT($A462/10000),""),IFERROR(VALUE(TRIM(LEFT($A462,FIND("/",$A462)-1))),"")))</f>
        <v/>
      </c>
      <c r="C462">
        <f>IF(OR($A462="",$B462=""),"",IF(ISNUMBER($A462),INT(MOD($A462,10000)/100),IFERROR(VALUE(TRIM(LEFT(MID($A462,FIND("/",$A462)+1,20),FIND("/",MID($A462,FIND("/",$A462)+1,20))-1))),"")))</f>
        <v/>
      </c>
      <c r="D462">
        <f>IF(OR($A462="",$B462=""),"",IF(ISNUMBER($A462),MOD($A462,100),IFERROR(VALUE(TRIM(MID(MID($A462,FIND("/",$A462)+1,20),FIND("/",MID($A462,FIND("/",$A462)+1,20))+1,20))),"")))</f>
        <v/>
      </c>
      <c r="E462">
        <f>IF($A462="","",IF(OR($B462="",$C462="",$D462="",$B462&lt;1300,$B462&gt;1500,$C462&lt;1,$C462&gt;12,$D462&lt;1,$D462&gt;31),"نامعتبر",RIGHT("0000"&amp;$B462,4)&amp;"/"&amp;RIGHT("00"&amp;$C462,2)&amp;"/"&amp;RIGHT("00"&amp;$D462,2)))</f>
        <v/>
      </c>
      <c r="F462">
        <f>IF(OR($E462="",$E462="نامعتبر"),"",LEFT($E462,4)&amp;"/"&amp;MID($E462,6,2))</f>
        <v/>
      </c>
      <c r="G462">
        <f>IF(OR($E462="",$E462="نامعتبر",Sync!$X458=""),"",IF(AND(LEFT(UPPER(TRIM(Sync!$X458)),2)="SL",IFERROR(VLOOKUP(Sync!$W458,OpTbl,3,0),"")="فروش"),UPPER(TRIM(Sync!$X458)),""))</f>
        <v/>
      </c>
      <c r="H462">
        <f>IF($G462="","",IF(Sync!$W458="","",Sync!$W458))</f>
        <v/>
      </c>
      <c r="I462">
        <f>IF(OR($G462="",Sync!$Y458=""),"",Sync!$Y458)</f>
        <v/>
      </c>
      <c r="J462">
        <f>IF(OR($G462="",Sync!$Z458=""),"",Sync!$Z458)</f>
        <v/>
      </c>
      <c r="K462">
        <f>IF($G462="",0,IF(Sync!$AA458="",0,Sync!$AA458))</f>
        <v/>
      </c>
      <c r="L462">
        <f>IF($G462="",0,IF(Sync!$AB458="",0,Sync!$AB458))</f>
        <v/>
      </c>
      <c r="M462">
        <f>IF($G462="","",IF($H462="مرجوعی فروش",-1,1)*($K462-$L462*IFERROR(VLOOKUP("P01",ParamTbl,3,0),1.5)))</f>
        <v/>
      </c>
      <c r="N462">
        <f>IF($G462="",0,IF($H462="مرجوعی فروش",-1,1)*IF(Sync!$AC458="",0,Sync!$AC458))</f>
        <v/>
      </c>
      <c r="O462">
        <f>IF(OR($G462="",Sync!$V458=""),"",Sync!$V458)</f>
        <v/>
      </c>
      <c r="P462">
        <f>IF(OR($G462="",Sync!$AD458=""),"",Sync!$AD458)</f>
        <v/>
      </c>
      <c r="Q462">
        <f>IF($G462="","",IF(Sync!$U458="","0000",IF(AND(ISNUMBER(Sync!$U458),Sync!$U458&gt;=0,Sync!$U458&lt;1),RIGHT("00"&amp;HOUR(Sync!$U458),2)&amp;RIGHT("00"&amp;MINUTE(Sync!$U458),2),IFERROR(RIGHT("00"&amp;VALUE(LEFT(Sync!$U458,FIND(":",Sync!$U458)-1)),2)&amp;RIGHT("00"&amp;VALUE(MID(Sync!$U458,FIND(":",Sync!$U458)+1,2)),2),"0000"))))</f>
        <v/>
      </c>
    </row>
    <row r="463">
      <c r="A463">
        <f>IF(Sync!$T459="","",Sync!$T459)</f>
        <v/>
      </c>
      <c r="B463">
        <f>IF($A463="","",IF(ISNUMBER($A463),IF(AND($A463&gt;=10000101,$A463&lt;=99991231),INT($A463/10000),""),IFERROR(VALUE(TRIM(LEFT($A463,FIND("/",$A463)-1))),"")))</f>
        <v/>
      </c>
      <c r="C463">
        <f>IF(OR($A463="",$B463=""),"",IF(ISNUMBER($A463),INT(MOD($A463,10000)/100),IFERROR(VALUE(TRIM(LEFT(MID($A463,FIND("/",$A463)+1,20),FIND("/",MID($A463,FIND("/",$A463)+1,20))-1))),"")))</f>
        <v/>
      </c>
      <c r="D463">
        <f>IF(OR($A463="",$B463=""),"",IF(ISNUMBER($A463),MOD($A463,100),IFERROR(VALUE(TRIM(MID(MID($A463,FIND("/",$A463)+1,20),FIND("/",MID($A463,FIND("/",$A463)+1,20))+1,20))),"")))</f>
        <v/>
      </c>
      <c r="E463">
        <f>IF($A463="","",IF(OR($B463="",$C463="",$D463="",$B463&lt;1300,$B463&gt;1500,$C463&lt;1,$C463&gt;12,$D463&lt;1,$D463&gt;31),"نامعتبر",RIGHT("0000"&amp;$B463,4)&amp;"/"&amp;RIGHT("00"&amp;$C463,2)&amp;"/"&amp;RIGHT("00"&amp;$D463,2)))</f>
        <v/>
      </c>
      <c r="F463">
        <f>IF(OR($E463="",$E463="نامعتبر"),"",LEFT($E463,4)&amp;"/"&amp;MID($E463,6,2))</f>
        <v/>
      </c>
      <c r="G463">
        <f>IF(OR($E463="",$E463="نامعتبر",Sync!$X459=""),"",IF(AND(LEFT(UPPER(TRIM(Sync!$X459)),2)="SL",IFERROR(VLOOKUP(Sync!$W459,OpTbl,3,0),"")="فروش"),UPPER(TRIM(Sync!$X459)),""))</f>
        <v/>
      </c>
      <c r="H463">
        <f>IF($G463="","",IF(Sync!$W459="","",Sync!$W459))</f>
        <v/>
      </c>
      <c r="I463">
        <f>IF(OR($G463="",Sync!$Y459=""),"",Sync!$Y459)</f>
        <v/>
      </c>
      <c r="J463">
        <f>IF(OR($G463="",Sync!$Z459=""),"",Sync!$Z459)</f>
        <v/>
      </c>
      <c r="K463">
        <f>IF($G463="",0,IF(Sync!$AA459="",0,Sync!$AA459))</f>
        <v/>
      </c>
      <c r="L463">
        <f>IF($G463="",0,IF(Sync!$AB459="",0,Sync!$AB459))</f>
        <v/>
      </c>
      <c r="M463">
        <f>IF($G463="","",IF($H463="مرجوعی فروش",-1,1)*($K463-$L463*IFERROR(VLOOKUP("P01",ParamTbl,3,0),1.5)))</f>
        <v/>
      </c>
      <c r="N463">
        <f>IF($G463="",0,IF($H463="مرجوعی فروش",-1,1)*IF(Sync!$AC459="",0,Sync!$AC459))</f>
        <v/>
      </c>
      <c r="O463">
        <f>IF(OR($G463="",Sync!$V459=""),"",Sync!$V459)</f>
        <v/>
      </c>
      <c r="P463">
        <f>IF(OR($G463="",Sync!$AD459=""),"",Sync!$AD459)</f>
        <v/>
      </c>
      <c r="Q463">
        <f>IF($G463="","",IF(Sync!$U459="","0000",IF(AND(ISNUMBER(Sync!$U459),Sync!$U459&gt;=0,Sync!$U459&lt;1),RIGHT("00"&amp;HOUR(Sync!$U459),2)&amp;RIGHT("00"&amp;MINUTE(Sync!$U459),2),IFERROR(RIGHT("00"&amp;VALUE(LEFT(Sync!$U459,FIND(":",Sync!$U459)-1)),2)&amp;RIGHT("00"&amp;VALUE(MID(Sync!$U459,FIND(":",Sync!$U459)+1,2)),2),"0000"))))</f>
        <v/>
      </c>
    </row>
    <row r="464">
      <c r="A464">
        <f>IF(Sync!$T460="","",Sync!$T460)</f>
        <v/>
      </c>
      <c r="B464">
        <f>IF($A464="","",IF(ISNUMBER($A464),IF(AND($A464&gt;=10000101,$A464&lt;=99991231),INT($A464/10000),""),IFERROR(VALUE(TRIM(LEFT($A464,FIND("/",$A464)-1))),"")))</f>
        <v/>
      </c>
      <c r="C464">
        <f>IF(OR($A464="",$B464=""),"",IF(ISNUMBER($A464),INT(MOD($A464,10000)/100),IFERROR(VALUE(TRIM(LEFT(MID($A464,FIND("/",$A464)+1,20),FIND("/",MID($A464,FIND("/",$A464)+1,20))-1))),"")))</f>
        <v/>
      </c>
      <c r="D464">
        <f>IF(OR($A464="",$B464=""),"",IF(ISNUMBER($A464),MOD($A464,100),IFERROR(VALUE(TRIM(MID(MID($A464,FIND("/",$A464)+1,20),FIND("/",MID($A464,FIND("/",$A464)+1,20))+1,20))),"")))</f>
        <v/>
      </c>
      <c r="E464">
        <f>IF($A464="","",IF(OR($B464="",$C464="",$D464="",$B464&lt;1300,$B464&gt;1500,$C464&lt;1,$C464&gt;12,$D464&lt;1,$D464&gt;31),"نامعتبر",RIGHT("0000"&amp;$B464,4)&amp;"/"&amp;RIGHT("00"&amp;$C464,2)&amp;"/"&amp;RIGHT("00"&amp;$D464,2)))</f>
        <v/>
      </c>
      <c r="F464">
        <f>IF(OR($E464="",$E464="نامعتبر"),"",LEFT($E464,4)&amp;"/"&amp;MID($E464,6,2))</f>
        <v/>
      </c>
      <c r="G464">
        <f>IF(OR($E464="",$E464="نامعتبر",Sync!$X460=""),"",IF(AND(LEFT(UPPER(TRIM(Sync!$X460)),2)="SL",IFERROR(VLOOKUP(Sync!$W460,OpTbl,3,0),"")="فروش"),UPPER(TRIM(Sync!$X460)),""))</f>
        <v/>
      </c>
      <c r="H464">
        <f>IF($G464="","",IF(Sync!$W460="","",Sync!$W460))</f>
        <v/>
      </c>
      <c r="I464">
        <f>IF(OR($G464="",Sync!$Y460=""),"",Sync!$Y460)</f>
        <v/>
      </c>
      <c r="J464">
        <f>IF(OR($G464="",Sync!$Z460=""),"",Sync!$Z460)</f>
        <v/>
      </c>
      <c r="K464">
        <f>IF($G464="",0,IF(Sync!$AA460="",0,Sync!$AA460))</f>
        <v/>
      </c>
      <c r="L464">
        <f>IF($G464="",0,IF(Sync!$AB460="",0,Sync!$AB460))</f>
        <v/>
      </c>
      <c r="M464">
        <f>IF($G464="","",IF($H464="مرجوعی فروش",-1,1)*($K464-$L464*IFERROR(VLOOKUP("P01",ParamTbl,3,0),1.5)))</f>
        <v/>
      </c>
      <c r="N464">
        <f>IF($G464="",0,IF($H464="مرجوعی فروش",-1,1)*IF(Sync!$AC460="",0,Sync!$AC460))</f>
        <v/>
      </c>
      <c r="O464">
        <f>IF(OR($G464="",Sync!$V460=""),"",Sync!$V460)</f>
        <v/>
      </c>
      <c r="P464">
        <f>IF(OR($G464="",Sync!$AD460=""),"",Sync!$AD460)</f>
        <v/>
      </c>
      <c r="Q464">
        <f>IF($G464="","",IF(Sync!$U460="","0000",IF(AND(ISNUMBER(Sync!$U460),Sync!$U460&gt;=0,Sync!$U460&lt;1),RIGHT("00"&amp;HOUR(Sync!$U460),2)&amp;RIGHT("00"&amp;MINUTE(Sync!$U460),2),IFERROR(RIGHT("00"&amp;VALUE(LEFT(Sync!$U460,FIND(":",Sync!$U460)-1)),2)&amp;RIGHT("00"&amp;VALUE(MID(Sync!$U460,FIND(":",Sync!$U460)+1,2)),2),"0000"))))</f>
        <v/>
      </c>
    </row>
    <row r="465">
      <c r="A465">
        <f>IF(Sync!$T461="","",Sync!$T461)</f>
        <v/>
      </c>
      <c r="B465">
        <f>IF($A465="","",IF(ISNUMBER($A465),IF(AND($A465&gt;=10000101,$A465&lt;=99991231),INT($A465/10000),""),IFERROR(VALUE(TRIM(LEFT($A465,FIND("/",$A465)-1))),"")))</f>
        <v/>
      </c>
      <c r="C465">
        <f>IF(OR($A465="",$B465=""),"",IF(ISNUMBER($A465),INT(MOD($A465,10000)/100),IFERROR(VALUE(TRIM(LEFT(MID($A465,FIND("/",$A465)+1,20),FIND("/",MID($A465,FIND("/",$A465)+1,20))-1))),"")))</f>
        <v/>
      </c>
      <c r="D465">
        <f>IF(OR($A465="",$B465=""),"",IF(ISNUMBER($A465),MOD($A465,100),IFERROR(VALUE(TRIM(MID(MID($A465,FIND("/",$A465)+1,20),FIND("/",MID($A465,FIND("/",$A465)+1,20))+1,20))),"")))</f>
        <v/>
      </c>
      <c r="E465">
        <f>IF($A465="","",IF(OR($B465="",$C465="",$D465="",$B465&lt;1300,$B465&gt;1500,$C465&lt;1,$C465&gt;12,$D465&lt;1,$D465&gt;31),"نامعتبر",RIGHT("0000"&amp;$B465,4)&amp;"/"&amp;RIGHT("00"&amp;$C465,2)&amp;"/"&amp;RIGHT("00"&amp;$D465,2)))</f>
        <v/>
      </c>
      <c r="F465">
        <f>IF(OR($E465="",$E465="نامعتبر"),"",LEFT($E465,4)&amp;"/"&amp;MID($E465,6,2))</f>
        <v/>
      </c>
      <c r="G465">
        <f>IF(OR($E465="",$E465="نامعتبر",Sync!$X461=""),"",IF(AND(LEFT(UPPER(TRIM(Sync!$X461)),2)="SL",IFERROR(VLOOKUP(Sync!$W461,OpTbl,3,0),"")="فروش"),UPPER(TRIM(Sync!$X461)),""))</f>
        <v/>
      </c>
      <c r="H465">
        <f>IF($G465="","",IF(Sync!$W461="","",Sync!$W461))</f>
        <v/>
      </c>
      <c r="I465">
        <f>IF(OR($G465="",Sync!$Y461=""),"",Sync!$Y461)</f>
        <v/>
      </c>
      <c r="J465">
        <f>IF(OR($G465="",Sync!$Z461=""),"",Sync!$Z461)</f>
        <v/>
      </c>
      <c r="K465">
        <f>IF($G465="",0,IF(Sync!$AA461="",0,Sync!$AA461))</f>
        <v/>
      </c>
      <c r="L465">
        <f>IF($G465="",0,IF(Sync!$AB461="",0,Sync!$AB461))</f>
        <v/>
      </c>
      <c r="M465">
        <f>IF($G465="","",IF($H465="مرجوعی فروش",-1,1)*($K465-$L465*IFERROR(VLOOKUP("P01",ParamTbl,3,0),1.5)))</f>
        <v/>
      </c>
      <c r="N465">
        <f>IF($G465="",0,IF($H465="مرجوعی فروش",-1,1)*IF(Sync!$AC461="",0,Sync!$AC461))</f>
        <v/>
      </c>
      <c r="O465">
        <f>IF(OR($G465="",Sync!$V461=""),"",Sync!$V461)</f>
        <v/>
      </c>
      <c r="P465">
        <f>IF(OR($G465="",Sync!$AD461=""),"",Sync!$AD461)</f>
        <v/>
      </c>
      <c r="Q465">
        <f>IF($G465="","",IF(Sync!$U461="","0000",IF(AND(ISNUMBER(Sync!$U461),Sync!$U461&gt;=0,Sync!$U461&lt;1),RIGHT("00"&amp;HOUR(Sync!$U461),2)&amp;RIGHT("00"&amp;MINUTE(Sync!$U461),2),IFERROR(RIGHT("00"&amp;VALUE(LEFT(Sync!$U461,FIND(":",Sync!$U461)-1)),2)&amp;RIGHT("00"&amp;VALUE(MID(Sync!$U461,FIND(":",Sync!$U461)+1,2)),2),"0000"))))</f>
        <v/>
      </c>
    </row>
    <row r="466">
      <c r="A466">
        <f>IF(Sync!$T462="","",Sync!$T462)</f>
        <v/>
      </c>
      <c r="B466">
        <f>IF($A466="","",IF(ISNUMBER($A466),IF(AND($A466&gt;=10000101,$A466&lt;=99991231),INT($A466/10000),""),IFERROR(VALUE(TRIM(LEFT($A466,FIND("/",$A466)-1))),"")))</f>
        <v/>
      </c>
      <c r="C466">
        <f>IF(OR($A466="",$B466=""),"",IF(ISNUMBER($A466),INT(MOD($A466,10000)/100),IFERROR(VALUE(TRIM(LEFT(MID($A466,FIND("/",$A466)+1,20),FIND("/",MID($A466,FIND("/",$A466)+1,20))-1))),"")))</f>
        <v/>
      </c>
      <c r="D466">
        <f>IF(OR($A466="",$B466=""),"",IF(ISNUMBER($A466),MOD($A466,100),IFERROR(VALUE(TRIM(MID(MID($A466,FIND("/",$A466)+1,20),FIND("/",MID($A466,FIND("/",$A466)+1,20))+1,20))),"")))</f>
        <v/>
      </c>
      <c r="E466">
        <f>IF($A466="","",IF(OR($B466="",$C466="",$D466="",$B466&lt;1300,$B466&gt;1500,$C466&lt;1,$C466&gt;12,$D466&lt;1,$D466&gt;31),"نامعتبر",RIGHT("0000"&amp;$B466,4)&amp;"/"&amp;RIGHT("00"&amp;$C466,2)&amp;"/"&amp;RIGHT("00"&amp;$D466,2)))</f>
        <v/>
      </c>
      <c r="F466">
        <f>IF(OR($E466="",$E466="نامعتبر"),"",LEFT($E466,4)&amp;"/"&amp;MID($E466,6,2))</f>
        <v/>
      </c>
      <c r="G466">
        <f>IF(OR($E466="",$E466="نامعتبر",Sync!$X462=""),"",IF(AND(LEFT(UPPER(TRIM(Sync!$X462)),2)="SL",IFERROR(VLOOKUP(Sync!$W462,OpTbl,3,0),"")="فروش"),UPPER(TRIM(Sync!$X462)),""))</f>
        <v/>
      </c>
      <c r="H466">
        <f>IF($G466="","",IF(Sync!$W462="","",Sync!$W462))</f>
        <v/>
      </c>
      <c r="I466">
        <f>IF(OR($G466="",Sync!$Y462=""),"",Sync!$Y462)</f>
        <v/>
      </c>
      <c r="J466">
        <f>IF(OR($G466="",Sync!$Z462=""),"",Sync!$Z462)</f>
        <v/>
      </c>
      <c r="K466">
        <f>IF($G466="",0,IF(Sync!$AA462="",0,Sync!$AA462))</f>
        <v/>
      </c>
      <c r="L466">
        <f>IF($G466="",0,IF(Sync!$AB462="",0,Sync!$AB462))</f>
        <v/>
      </c>
      <c r="M466">
        <f>IF($G466="","",IF($H466="مرجوعی فروش",-1,1)*($K466-$L466*IFERROR(VLOOKUP("P01",ParamTbl,3,0),1.5)))</f>
        <v/>
      </c>
      <c r="N466">
        <f>IF($G466="",0,IF($H466="مرجوعی فروش",-1,1)*IF(Sync!$AC462="",0,Sync!$AC462))</f>
        <v/>
      </c>
      <c r="O466">
        <f>IF(OR($G466="",Sync!$V462=""),"",Sync!$V462)</f>
        <v/>
      </c>
      <c r="P466">
        <f>IF(OR($G466="",Sync!$AD462=""),"",Sync!$AD462)</f>
        <v/>
      </c>
      <c r="Q466">
        <f>IF($G466="","",IF(Sync!$U462="","0000",IF(AND(ISNUMBER(Sync!$U462),Sync!$U462&gt;=0,Sync!$U462&lt;1),RIGHT("00"&amp;HOUR(Sync!$U462),2)&amp;RIGHT("00"&amp;MINUTE(Sync!$U462),2),IFERROR(RIGHT("00"&amp;VALUE(LEFT(Sync!$U462,FIND(":",Sync!$U462)-1)),2)&amp;RIGHT("00"&amp;VALUE(MID(Sync!$U462,FIND(":",Sync!$U462)+1,2)),2),"0000"))))</f>
        <v/>
      </c>
    </row>
    <row r="467">
      <c r="A467">
        <f>IF(Sync!$T463="","",Sync!$T463)</f>
        <v/>
      </c>
      <c r="B467">
        <f>IF($A467="","",IF(ISNUMBER($A467),IF(AND($A467&gt;=10000101,$A467&lt;=99991231),INT($A467/10000),""),IFERROR(VALUE(TRIM(LEFT($A467,FIND("/",$A467)-1))),"")))</f>
        <v/>
      </c>
      <c r="C467">
        <f>IF(OR($A467="",$B467=""),"",IF(ISNUMBER($A467),INT(MOD($A467,10000)/100),IFERROR(VALUE(TRIM(LEFT(MID($A467,FIND("/",$A467)+1,20),FIND("/",MID($A467,FIND("/",$A467)+1,20))-1))),"")))</f>
        <v/>
      </c>
      <c r="D467">
        <f>IF(OR($A467="",$B467=""),"",IF(ISNUMBER($A467),MOD($A467,100),IFERROR(VALUE(TRIM(MID(MID($A467,FIND("/",$A467)+1,20),FIND("/",MID($A467,FIND("/",$A467)+1,20))+1,20))),"")))</f>
        <v/>
      </c>
      <c r="E467">
        <f>IF($A467="","",IF(OR($B467="",$C467="",$D467="",$B467&lt;1300,$B467&gt;1500,$C467&lt;1,$C467&gt;12,$D467&lt;1,$D467&gt;31),"نامعتبر",RIGHT("0000"&amp;$B467,4)&amp;"/"&amp;RIGHT("00"&amp;$C467,2)&amp;"/"&amp;RIGHT("00"&amp;$D467,2)))</f>
        <v/>
      </c>
      <c r="F467">
        <f>IF(OR($E467="",$E467="نامعتبر"),"",LEFT($E467,4)&amp;"/"&amp;MID($E467,6,2))</f>
        <v/>
      </c>
      <c r="G467">
        <f>IF(OR($E467="",$E467="نامعتبر",Sync!$X463=""),"",IF(AND(LEFT(UPPER(TRIM(Sync!$X463)),2)="SL",IFERROR(VLOOKUP(Sync!$W463,OpTbl,3,0),"")="فروش"),UPPER(TRIM(Sync!$X463)),""))</f>
        <v/>
      </c>
      <c r="H467">
        <f>IF($G467="","",IF(Sync!$W463="","",Sync!$W463))</f>
        <v/>
      </c>
      <c r="I467">
        <f>IF(OR($G467="",Sync!$Y463=""),"",Sync!$Y463)</f>
        <v/>
      </c>
      <c r="J467">
        <f>IF(OR($G467="",Sync!$Z463=""),"",Sync!$Z463)</f>
        <v/>
      </c>
      <c r="K467">
        <f>IF($G467="",0,IF(Sync!$AA463="",0,Sync!$AA463))</f>
        <v/>
      </c>
      <c r="L467">
        <f>IF($G467="",0,IF(Sync!$AB463="",0,Sync!$AB463))</f>
        <v/>
      </c>
      <c r="M467">
        <f>IF($G467="","",IF($H467="مرجوعی فروش",-1,1)*($K467-$L467*IFERROR(VLOOKUP("P01",ParamTbl,3,0),1.5)))</f>
        <v/>
      </c>
      <c r="N467">
        <f>IF($G467="",0,IF($H467="مرجوعی فروش",-1,1)*IF(Sync!$AC463="",0,Sync!$AC463))</f>
        <v/>
      </c>
      <c r="O467">
        <f>IF(OR($G467="",Sync!$V463=""),"",Sync!$V463)</f>
        <v/>
      </c>
      <c r="P467">
        <f>IF(OR($G467="",Sync!$AD463=""),"",Sync!$AD463)</f>
        <v/>
      </c>
      <c r="Q467">
        <f>IF($G467="","",IF(Sync!$U463="","0000",IF(AND(ISNUMBER(Sync!$U463),Sync!$U463&gt;=0,Sync!$U463&lt;1),RIGHT("00"&amp;HOUR(Sync!$U463),2)&amp;RIGHT("00"&amp;MINUTE(Sync!$U463),2),IFERROR(RIGHT("00"&amp;VALUE(LEFT(Sync!$U463,FIND(":",Sync!$U463)-1)),2)&amp;RIGHT("00"&amp;VALUE(MID(Sync!$U463,FIND(":",Sync!$U463)+1,2)),2),"0000"))))</f>
        <v/>
      </c>
    </row>
    <row r="468">
      <c r="A468">
        <f>IF(Sync!$T464="","",Sync!$T464)</f>
        <v/>
      </c>
      <c r="B468">
        <f>IF($A468="","",IF(ISNUMBER($A468),IF(AND($A468&gt;=10000101,$A468&lt;=99991231),INT($A468/10000),""),IFERROR(VALUE(TRIM(LEFT($A468,FIND("/",$A468)-1))),"")))</f>
        <v/>
      </c>
      <c r="C468">
        <f>IF(OR($A468="",$B468=""),"",IF(ISNUMBER($A468),INT(MOD($A468,10000)/100),IFERROR(VALUE(TRIM(LEFT(MID($A468,FIND("/",$A468)+1,20),FIND("/",MID($A468,FIND("/",$A468)+1,20))-1))),"")))</f>
        <v/>
      </c>
      <c r="D468">
        <f>IF(OR($A468="",$B468=""),"",IF(ISNUMBER($A468),MOD($A468,100),IFERROR(VALUE(TRIM(MID(MID($A468,FIND("/",$A468)+1,20),FIND("/",MID($A468,FIND("/",$A468)+1,20))+1,20))),"")))</f>
        <v/>
      </c>
      <c r="E468">
        <f>IF($A468="","",IF(OR($B468="",$C468="",$D468="",$B468&lt;1300,$B468&gt;1500,$C468&lt;1,$C468&gt;12,$D468&lt;1,$D468&gt;31),"نامعتبر",RIGHT("0000"&amp;$B468,4)&amp;"/"&amp;RIGHT("00"&amp;$C468,2)&amp;"/"&amp;RIGHT("00"&amp;$D468,2)))</f>
        <v/>
      </c>
      <c r="F468">
        <f>IF(OR($E468="",$E468="نامعتبر"),"",LEFT($E468,4)&amp;"/"&amp;MID($E468,6,2))</f>
        <v/>
      </c>
      <c r="G468">
        <f>IF(OR($E468="",$E468="نامعتبر",Sync!$X464=""),"",IF(AND(LEFT(UPPER(TRIM(Sync!$X464)),2)="SL",IFERROR(VLOOKUP(Sync!$W464,OpTbl,3,0),"")="فروش"),UPPER(TRIM(Sync!$X464)),""))</f>
        <v/>
      </c>
      <c r="H468">
        <f>IF($G468="","",IF(Sync!$W464="","",Sync!$W464))</f>
        <v/>
      </c>
      <c r="I468">
        <f>IF(OR($G468="",Sync!$Y464=""),"",Sync!$Y464)</f>
        <v/>
      </c>
      <c r="J468">
        <f>IF(OR($G468="",Sync!$Z464=""),"",Sync!$Z464)</f>
        <v/>
      </c>
      <c r="K468">
        <f>IF($G468="",0,IF(Sync!$AA464="",0,Sync!$AA464))</f>
        <v/>
      </c>
      <c r="L468">
        <f>IF($G468="",0,IF(Sync!$AB464="",0,Sync!$AB464))</f>
        <v/>
      </c>
      <c r="M468">
        <f>IF($G468="","",IF($H468="مرجوعی فروش",-1,1)*($K468-$L468*IFERROR(VLOOKUP("P01",ParamTbl,3,0),1.5)))</f>
        <v/>
      </c>
      <c r="N468">
        <f>IF($G468="",0,IF($H468="مرجوعی فروش",-1,1)*IF(Sync!$AC464="",0,Sync!$AC464))</f>
        <v/>
      </c>
      <c r="O468">
        <f>IF(OR($G468="",Sync!$V464=""),"",Sync!$V464)</f>
        <v/>
      </c>
      <c r="P468">
        <f>IF(OR($G468="",Sync!$AD464=""),"",Sync!$AD464)</f>
        <v/>
      </c>
      <c r="Q468">
        <f>IF($G468="","",IF(Sync!$U464="","0000",IF(AND(ISNUMBER(Sync!$U464),Sync!$U464&gt;=0,Sync!$U464&lt;1),RIGHT("00"&amp;HOUR(Sync!$U464),2)&amp;RIGHT("00"&amp;MINUTE(Sync!$U464),2),IFERROR(RIGHT("00"&amp;VALUE(LEFT(Sync!$U464,FIND(":",Sync!$U464)-1)),2)&amp;RIGHT("00"&amp;VALUE(MID(Sync!$U464,FIND(":",Sync!$U464)+1,2)),2),"0000"))))</f>
        <v/>
      </c>
    </row>
    <row r="469">
      <c r="A469">
        <f>IF(Sync!$T465="","",Sync!$T465)</f>
        <v/>
      </c>
      <c r="B469">
        <f>IF($A469="","",IF(ISNUMBER($A469),IF(AND($A469&gt;=10000101,$A469&lt;=99991231),INT($A469/10000),""),IFERROR(VALUE(TRIM(LEFT($A469,FIND("/",$A469)-1))),"")))</f>
        <v/>
      </c>
      <c r="C469">
        <f>IF(OR($A469="",$B469=""),"",IF(ISNUMBER($A469),INT(MOD($A469,10000)/100),IFERROR(VALUE(TRIM(LEFT(MID($A469,FIND("/",$A469)+1,20),FIND("/",MID($A469,FIND("/",$A469)+1,20))-1))),"")))</f>
        <v/>
      </c>
      <c r="D469">
        <f>IF(OR($A469="",$B469=""),"",IF(ISNUMBER($A469),MOD($A469,100),IFERROR(VALUE(TRIM(MID(MID($A469,FIND("/",$A469)+1,20),FIND("/",MID($A469,FIND("/",$A469)+1,20))+1,20))),"")))</f>
        <v/>
      </c>
      <c r="E469">
        <f>IF($A469="","",IF(OR($B469="",$C469="",$D469="",$B469&lt;1300,$B469&gt;1500,$C469&lt;1,$C469&gt;12,$D469&lt;1,$D469&gt;31),"نامعتبر",RIGHT("0000"&amp;$B469,4)&amp;"/"&amp;RIGHT("00"&amp;$C469,2)&amp;"/"&amp;RIGHT("00"&amp;$D469,2)))</f>
        <v/>
      </c>
      <c r="F469">
        <f>IF(OR($E469="",$E469="نامعتبر"),"",LEFT($E469,4)&amp;"/"&amp;MID($E469,6,2))</f>
        <v/>
      </c>
      <c r="G469">
        <f>IF(OR($E469="",$E469="نامعتبر",Sync!$X465=""),"",IF(AND(LEFT(UPPER(TRIM(Sync!$X465)),2)="SL",IFERROR(VLOOKUP(Sync!$W465,OpTbl,3,0),"")="فروش"),UPPER(TRIM(Sync!$X465)),""))</f>
        <v/>
      </c>
      <c r="H469">
        <f>IF($G469="","",IF(Sync!$W465="","",Sync!$W465))</f>
        <v/>
      </c>
      <c r="I469">
        <f>IF(OR($G469="",Sync!$Y465=""),"",Sync!$Y465)</f>
        <v/>
      </c>
      <c r="J469">
        <f>IF(OR($G469="",Sync!$Z465=""),"",Sync!$Z465)</f>
        <v/>
      </c>
      <c r="K469">
        <f>IF($G469="",0,IF(Sync!$AA465="",0,Sync!$AA465))</f>
        <v/>
      </c>
      <c r="L469">
        <f>IF($G469="",0,IF(Sync!$AB465="",0,Sync!$AB465))</f>
        <v/>
      </c>
      <c r="M469">
        <f>IF($G469="","",IF($H469="مرجوعی فروش",-1,1)*($K469-$L469*IFERROR(VLOOKUP("P01",ParamTbl,3,0),1.5)))</f>
        <v/>
      </c>
      <c r="N469">
        <f>IF($G469="",0,IF($H469="مرجوعی فروش",-1,1)*IF(Sync!$AC465="",0,Sync!$AC465))</f>
        <v/>
      </c>
      <c r="O469">
        <f>IF(OR($G469="",Sync!$V465=""),"",Sync!$V465)</f>
        <v/>
      </c>
      <c r="P469">
        <f>IF(OR($G469="",Sync!$AD465=""),"",Sync!$AD465)</f>
        <v/>
      </c>
      <c r="Q469">
        <f>IF($G469="","",IF(Sync!$U465="","0000",IF(AND(ISNUMBER(Sync!$U465),Sync!$U465&gt;=0,Sync!$U465&lt;1),RIGHT("00"&amp;HOUR(Sync!$U465),2)&amp;RIGHT("00"&amp;MINUTE(Sync!$U465),2),IFERROR(RIGHT("00"&amp;VALUE(LEFT(Sync!$U465,FIND(":",Sync!$U465)-1)),2)&amp;RIGHT("00"&amp;VALUE(MID(Sync!$U465,FIND(":",Sync!$U465)+1,2)),2),"0000"))))</f>
        <v/>
      </c>
    </row>
    <row r="470">
      <c r="A470">
        <f>IF(Sync!$T466="","",Sync!$T466)</f>
        <v/>
      </c>
      <c r="B470">
        <f>IF($A470="","",IF(ISNUMBER($A470),IF(AND($A470&gt;=10000101,$A470&lt;=99991231),INT($A470/10000),""),IFERROR(VALUE(TRIM(LEFT($A470,FIND("/",$A470)-1))),"")))</f>
        <v/>
      </c>
      <c r="C470">
        <f>IF(OR($A470="",$B470=""),"",IF(ISNUMBER($A470),INT(MOD($A470,10000)/100),IFERROR(VALUE(TRIM(LEFT(MID($A470,FIND("/",$A470)+1,20),FIND("/",MID($A470,FIND("/",$A470)+1,20))-1))),"")))</f>
        <v/>
      </c>
      <c r="D470">
        <f>IF(OR($A470="",$B470=""),"",IF(ISNUMBER($A470),MOD($A470,100),IFERROR(VALUE(TRIM(MID(MID($A470,FIND("/",$A470)+1,20),FIND("/",MID($A470,FIND("/",$A470)+1,20))+1,20))),"")))</f>
        <v/>
      </c>
      <c r="E470">
        <f>IF($A470="","",IF(OR($B470="",$C470="",$D470="",$B470&lt;1300,$B470&gt;1500,$C470&lt;1,$C470&gt;12,$D470&lt;1,$D470&gt;31),"نامعتبر",RIGHT("0000"&amp;$B470,4)&amp;"/"&amp;RIGHT("00"&amp;$C470,2)&amp;"/"&amp;RIGHT("00"&amp;$D470,2)))</f>
        <v/>
      </c>
      <c r="F470">
        <f>IF(OR($E470="",$E470="نامعتبر"),"",LEFT($E470,4)&amp;"/"&amp;MID($E470,6,2))</f>
        <v/>
      </c>
      <c r="G470">
        <f>IF(OR($E470="",$E470="نامعتبر",Sync!$X466=""),"",IF(AND(LEFT(UPPER(TRIM(Sync!$X466)),2)="SL",IFERROR(VLOOKUP(Sync!$W466,OpTbl,3,0),"")="فروش"),UPPER(TRIM(Sync!$X466)),""))</f>
        <v/>
      </c>
      <c r="H470">
        <f>IF($G470="","",IF(Sync!$W466="","",Sync!$W466))</f>
        <v/>
      </c>
      <c r="I470">
        <f>IF(OR($G470="",Sync!$Y466=""),"",Sync!$Y466)</f>
        <v/>
      </c>
      <c r="J470">
        <f>IF(OR($G470="",Sync!$Z466=""),"",Sync!$Z466)</f>
        <v/>
      </c>
      <c r="K470">
        <f>IF($G470="",0,IF(Sync!$AA466="",0,Sync!$AA466))</f>
        <v/>
      </c>
      <c r="L470">
        <f>IF($G470="",0,IF(Sync!$AB466="",0,Sync!$AB466))</f>
        <v/>
      </c>
      <c r="M470">
        <f>IF($G470="","",IF($H470="مرجوعی فروش",-1,1)*($K470-$L470*IFERROR(VLOOKUP("P01",ParamTbl,3,0),1.5)))</f>
        <v/>
      </c>
      <c r="N470">
        <f>IF($G470="",0,IF($H470="مرجوعی فروش",-1,1)*IF(Sync!$AC466="",0,Sync!$AC466))</f>
        <v/>
      </c>
      <c r="O470">
        <f>IF(OR($G470="",Sync!$V466=""),"",Sync!$V466)</f>
        <v/>
      </c>
      <c r="P470">
        <f>IF(OR($G470="",Sync!$AD466=""),"",Sync!$AD466)</f>
        <v/>
      </c>
      <c r="Q470">
        <f>IF($G470="","",IF(Sync!$U466="","0000",IF(AND(ISNUMBER(Sync!$U466),Sync!$U466&gt;=0,Sync!$U466&lt;1),RIGHT("00"&amp;HOUR(Sync!$U466),2)&amp;RIGHT("00"&amp;MINUTE(Sync!$U466),2),IFERROR(RIGHT("00"&amp;VALUE(LEFT(Sync!$U466,FIND(":",Sync!$U466)-1)),2)&amp;RIGHT("00"&amp;VALUE(MID(Sync!$U466,FIND(":",Sync!$U466)+1,2)),2),"0000"))))</f>
        <v/>
      </c>
    </row>
    <row r="471">
      <c r="A471">
        <f>IF(Sync!$T467="","",Sync!$T467)</f>
        <v/>
      </c>
      <c r="B471">
        <f>IF($A471="","",IF(ISNUMBER($A471),IF(AND($A471&gt;=10000101,$A471&lt;=99991231),INT($A471/10000),""),IFERROR(VALUE(TRIM(LEFT($A471,FIND("/",$A471)-1))),"")))</f>
        <v/>
      </c>
      <c r="C471">
        <f>IF(OR($A471="",$B471=""),"",IF(ISNUMBER($A471),INT(MOD($A471,10000)/100),IFERROR(VALUE(TRIM(LEFT(MID($A471,FIND("/",$A471)+1,20),FIND("/",MID($A471,FIND("/",$A471)+1,20))-1))),"")))</f>
        <v/>
      </c>
      <c r="D471">
        <f>IF(OR($A471="",$B471=""),"",IF(ISNUMBER($A471),MOD($A471,100),IFERROR(VALUE(TRIM(MID(MID($A471,FIND("/",$A471)+1,20),FIND("/",MID($A471,FIND("/",$A471)+1,20))+1,20))),"")))</f>
        <v/>
      </c>
      <c r="E471">
        <f>IF($A471="","",IF(OR($B471="",$C471="",$D471="",$B471&lt;1300,$B471&gt;1500,$C471&lt;1,$C471&gt;12,$D471&lt;1,$D471&gt;31),"نامعتبر",RIGHT("0000"&amp;$B471,4)&amp;"/"&amp;RIGHT("00"&amp;$C471,2)&amp;"/"&amp;RIGHT("00"&amp;$D471,2)))</f>
        <v/>
      </c>
      <c r="F471">
        <f>IF(OR($E471="",$E471="نامعتبر"),"",LEFT($E471,4)&amp;"/"&amp;MID($E471,6,2))</f>
        <v/>
      </c>
      <c r="G471">
        <f>IF(OR($E471="",$E471="نامعتبر",Sync!$X467=""),"",IF(AND(LEFT(UPPER(TRIM(Sync!$X467)),2)="SL",IFERROR(VLOOKUP(Sync!$W467,OpTbl,3,0),"")="فروش"),UPPER(TRIM(Sync!$X467)),""))</f>
        <v/>
      </c>
      <c r="H471">
        <f>IF($G471="","",IF(Sync!$W467="","",Sync!$W467))</f>
        <v/>
      </c>
      <c r="I471">
        <f>IF(OR($G471="",Sync!$Y467=""),"",Sync!$Y467)</f>
        <v/>
      </c>
      <c r="J471">
        <f>IF(OR($G471="",Sync!$Z467=""),"",Sync!$Z467)</f>
        <v/>
      </c>
      <c r="K471">
        <f>IF($G471="",0,IF(Sync!$AA467="",0,Sync!$AA467))</f>
        <v/>
      </c>
      <c r="L471">
        <f>IF($G471="",0,IF(Sync!$AB467="",0,Sync!$AB467))</f>
        <v/>
      </c>
      <c r="M471">
        <f>IF($G471="","",IF($H471="مرجوعی فروش",-1,1)*($K471-$L471*IFERROR(VLOOKUP("P01",ParamTbl,3,0),1.5)))</f>
        <v/>
      </c>
      <c r="N471">
        <f>IF($G471="",0,IF($H471="مرجوعی فروش",-1,1)*IF(Sync!$AC467="",0,Sync!$AC467))</f>
        <v/>
      </c>
      <c r="O471">
        <f>IF(OR($G471="",Sync!$V467=""),"",Sync!$V467)</f>
        <v/>
      </c>
      <c r="P471">
        <f>IF(OR($G471="",Sync!$AD467=""),"",Sync!$AD467)</f>
        <v/>
      </c>
      <c r="Q471">
        <f>IF($G471="","",IF(Sync!$U467="","0000",IF(AND(ISNUMBER(Sync!$U467),Sync!$U467&gt;=0,Sync!$U467&lt;1),RIGHT("00"&amp;HOUR(Sync!$U467),2)&amp;RIGHT("00"&amp;MINUTE(Sync!$U467),2),IFERROR(RIGHT("00"&amp;VALUE(LEFT(Sync!$U467,FIND(":",Sync!$U467)-1)),2)&amp;RIGHT("00"&amp;VALUE(MID(Sync!$U467,FIND(":",Sync!$U467)+1,2)),2),"0000"))))</f>
        <v/>
      </c>
    </row>
    <row r="472">
      <c r="A472">
        <f>IF(Sync!$T468="","",Sync!$T468)</f>
        <v/>
      </c>
      <c r="B472">
        <f>IF($A472="","",IF(ISNUMBER($A472),IF(AND($A472&gt;=10000101,$A472&lt;=99991231),INT($A472/10000),""),IFERROR(VALUE(TRIM(LEFT($A472,FIND("/",$A472)-1))),"")))</f>
        <v/>
      </c>
      <c r="C472">
        <f>IF(OR($A472="",$B472=""),"",IF(ISNUMBER($A472),INT(MOD($A472,10000)/100),IFERROR(VALUE(TRIM(LEFT(MID($A472,FIND("/",$A472)+1,20),FIND("/",MID($A472,FIND("/",$A472)+1,20))-1))),"")))</f>
        <v/>
      </c>
      <c r="D472">
        <f>IF(OR($A472="",$B472=""),"",IF(ISNUMBER($A472),MOD($A472,100),IFERROR(VALUE(TRIM(MID(MID($A472,FIND("/",$A472)+1,20),FIND("/",MID($A472,FIND("/",$A472)+1,20))+1,20))),"")))</f>
        <v/>
      </c>
      <c r="E472">
        <f>IF($A472="","",IF(OR($B472="",$C472="",$D472="",$B472&lt;1300,$B472&gt;1500,$C472&lt;1,$C472&gt;12,$D472&lt;1,$D472&gt;31),"نامعتبر",RIGHT("0000"&amp;$B472,4)&amp;"/"&amp;RIGHT("00"&amp;$C472,2)&amp;"/"&amp;RIGHT("00"&amp;$D472,2)))</f>
        <v/>
      </c>
      <c r="F472">
        <f>IF(OR($E472="",$E472="نامعتبر"),"",LEFT($E472,4)&amp;"/"&amp;MID($E472,6,2))</f>
        <v/>
      </c>
      <c r="G472">
        <f>IF(OR($E472="",$E472="نامعتبر",Sync!$X468=""),"",IF(AND(LEFT(UPPER(TRIM(Sync!$X468)),2)="SL",IFERROR(VLOOKUP(Sync!$W468,OpTbl,3,0),"")="فروش"),UPPER(TRIM(Sync!$X468)),""))</f>
        <v/>
      </c>
      <c r="H472">
        <f>IF($G472="","",IF(Sync!$W468="","",Sync!$W468))</f>
        <v/>
      </c>
      <c r="I472">
        <f>IF(OR($G472="",Sync!$Y468=""),"",Sync!$Y468)</f>
        <v/>
      </c>
      <c r="J472">
        <f>IF(OR($G472="",Sync!$Z468=""),"",Sync!$Z468)</f>
        <v/>
      </c>
      <c r="K472">
        <f>IF($G472="",0,IF(Sync!$AA468="",0,Sync!$AA468))</f>
        <v/>
      </c>
      <c r="L472">
        <f>IF($G472="",0,IF(Sync!$AB468="",0,Sync!$AB468))</f>
        <v/>
      </c>
      <c r="M472">
        <f>IF($G472="","",IF($H472="مرجوعی فروش",-1,1)*($K472-$L472*IFERROR(VLOOKUP("P01",ParamTbl,3,0),1.5)))</f>
        <v/>
      </c>
      <c r="N472">
        <f>IF($G472="",0,IF($H472="مرجوعی فروش",-1,1)*IF(Sync!$AC468="",0,Sync!$AC468))</f>
        <v/>
      </c>
      <c r="O472">
        <f>IF(OR($G472="",Sync!$V468=""),"",Sync!$V468)</f>
        <v/>
      </c>
      <c r="P472">
        <f>IF(OR($G472="",Sync!$AD468=""),"",Sync!$AD468)</f>
        <v/>
      </c>
      <c r="Q472">
        <f>IF($G472="","",IF(Sync!$U468="","0000",IF(AND(ISNUMBER(Sync!$U468),Sync!$U468&gt;=0,Sync!$U468&lt;1),RIGHT("00"&amp;HOUR(Sync!$U468),2)&amp;RIGHT("00"&amp;MINUTE(Sync!$U468),2),IFERROR(RIGHT("00"&amp;VALUE(LEFT(Sync!$U468,FIND(":",Sync!$U468)-1)),2)&amp;RIGHT("00"&amp;VALUE(MID(Sync!$U468,FIND(":",Sync!$U468)+1,2)),2),"0000"))))</f>
        <v/>
      </c>
    </row>
    <row r="473">
      <c r="A473">
        <f>IF(Sync!$T469="","",Sync!$T469)</f>
        <v/>
      </c>
      <c r="B473">
        <f>IF($A473="","",IF(ISNUMBER($A473),IF(AND($A473&gt;=10000101,$A473&lt;=99991231),INT($A473/10000),""),IFERROR(VALUE(TRIM(LEFT($A473,FIND("/",$A473)-1))),"")))</f>
        <v/>
      </c>
      <c r="C473">
        <f>IF(OR($A473="",$B473=""),"",IF(ISNUMBER($A473),INT(MOD($A473,10000)/100),IFERROR(VALUE(TRIM(LEFT(MID($A473,FIND("/",$A473)+1,20),FIND("/",MID($A473,FIND("/",$A473)+1,20))-1))),"")))</f>
        <v/>
      </c>
      <c r="D473">
        <f>IF(OR($A473="",$B473=""),"",IF(ISNUMBER($A473),MOD($A473,100),IFERROR(VALUE(TRIM(MID(MID($A473,FIND("/",$A473)+1,20),FIND("/",MID($A473,FIND("/",$A473)+1,20))+1,20))),"")))</f>
        <v/>
      </c>
      <c r="E473">
        <f>IF($A473="","",IF(OR($B473="",$C473="",$D473="",$B473&lt;1300,$B473&gt;1500,$C473&lt;1,$C473&gt;12,$D473&lt;1,$D473&gt;31),"نامعتبر",RIGHT("0000"&amp;$B473,4)&amp;"/"&amp;RIGHT("00"&amp;$C473,2)&amp;"/"&amp;RIGHT("00"&amp;$D473,2)))</f>
        <v/>
      </c>
      <c r="F473">
        <f>IF(OR($E473="",$E473="نامعتبر"),"",LEFT($E473,4)&amp;"/"&amp;MID($E473,6,2))</f>
        <v/>
      </c>
      <c r="G473">
        <f>IF(OR($E473="",$E473="نامعتبر",Sync!$X469=""),"",IF(AND(LEFT(UPPER(TRIM(Sync!$X469)),2)="SL",IFERROR(VLOOKUP(Sync!$W469,OpTbl,3,0),"")="فروش"),UPPER(TRIM(Sync!$X469)),""))</f>
        <v/>
      </c>
      <c r="H473">
        <f>IF($G473="","",IF(Sync!$W469="","",Sync!$W469))</f>
        <v/>
      </c>
      <c r="I473">
        <f>IF(OR($G473="",Sync!$Y469=""),"",Sync!$Y469)</f>
        <v/>
      </c>
      <c r="J473">
        <f>IF(OR($G473="",Sync!$Z469=""),"",Sync!$Z469)</f>
        <v/>
      </c>
      <c r="K473">
        <f>IF($G473="",0,IF(Sync!$AA469="",0,Sync!$AA469))</f>
        <v/>
      </c>
      <c r="L473">
        <f>IF($G473="",0,IF(Sync!$AB469="",0,Sync!$AB469))</f>
        <v/>
      </c>
      <c r="M473">
        <f>IF($G473="","",IF($H473="مرجوعی فروش",-1,1)*($K473-$L473*IFERROR(VLOOKUP("P01",ParamTbl,3,0),1.5)))</f>
        <v/>
      </c>
      <c r="N473">
        <f>IF($G473="",0,IF($H473="مرجوعی فروش",-1,1)*IF(Sync!$AC469="",0,Sync!$AC469))</f>
        <v/>
      </c>
      <c r="O473">
        <f>IF(OR($G473="",Sync!$V469=""),"",Sync!$V469)</f>
        <v/>
      </c>
      <c r="P473">
        <f>IF(OR($G473="",Sync!$AD469=""),"",Sync!$AD469)</f>
        <v/>
      </c>
      <c r="Q473">
        <f>IF($G473="","",IF(Sync!$U469="","0000",IF(AND(ISNUMBER(Sync!$U469),Sync!$U469&gt;=0,Sync!$U469&lt;1),RIGHT("00"&amp;HOUR(Sync!$U469),2)&amp;RIGHT("00"&amp;MINUTE(Sync!$U469),2),IFERROR(RIGHT("00"&amp;VALUE(LEFT(Sync!$U469,FIND(":",Sync!$U469)-1)),2)&amp;RIGHT("00"&amp;VALUE(MID(Sync!$U469,FIND(":",Sync!$U469)+1,2)),2),"0000"))))</f>
        <v/>
      </c>
    </row>
    <row r="474">
      <c r="A474">
        <f>IF(Sync!$T470="","",Sync!$T470)</f>
        <v/>
      </c>
      <c r="B474">
        <f>IF($A474="","",IF(ISNUMBER($A474),IF(AND($A474&gt;=10000101,$A474&lt;=99991231),INT($A474/10000),""),IFERROR(VALUE(TRIM(LEFT($A474,FIND("/",$A474)-1))),"")))</f>
        <v/>
      </c>
      <c r="C474">
        <f>IF(OR($A474="",$B474=""),"",IF(ISNUMBER($A474),INT(MOD($A474,10000)/100),IFERROR(VALUE(TRIM(LEFT(MID($A474,FIND("/",$A474)+1,20),FIND("/",MID($A474,FIND("/",$A474)+1,20))-1))),"")))</f>
        <v/>
      </c>
      <c r="D474">
        <f>IF(OR($A474="",$B474=""),"",IF(ISNUMBER($A474),MOD($A474,100),IFERROR(VALUE(TRIM(MID(MID($A474,FIND("/",$A474)+1,20),FIND("/",MID($A474,FIND("/",$A474)+1,20))+1,20))),"")))</f>
        <v/>
      </c>
      <c r="E474">
        <f>IF($A474="","",IF(OR($B474="",$C474="",$D474="",$B474&lt;1300,$B474&gt;1500,$C474&lt;1,$C474&gt;12,$D474&lt;1,$D474&gt;31),"نامعتبر",RIGHT("0000"&amp;$B474,4)&amp;"/"&amp;RIGHT("00"&amp;$C474,2)&amp;"/"&amp;RIGHT("00"&amp;$D474,2)))</f>
        <v/>
      </c>
      <c r="F474">
        <f>IF(OR($E474="",$E474="نامعتبر"),"",LEFT($E474,4)&amp;"/"&amp;MID($E474,6,2))</f>
        <v/>
      </c>
      <c r="G474">
        <f>IF(OR($E474="",$E474="نامعتبر",Sync!$X470=""),"",IF(AND(LEFT(UPPER(TRIM(Sync!$X470)),2)="SL",IFERROR(VLOOKUP(Sync!$W470,OpTbl,3,0),"")="فروش"),UPPER(TRIM(Sync!$X470)),""))</f>
        <v/>
      </c>
      <c r="H474">
        <f>IF($G474="","",IF(Sync!$W470="","",Sync!$W470))</f>
        <v/>
      </c>
      <c r="I474">
        <f>IF(OR($G474="",Sync!$Y470=""),"",Sync!$Y470)</f>
        <v/>
      </c>
      <c r="J474">
        <f>IF(OR($G474="",Sync!$Z470=""),"",Sync!$Z470)</f>
        <v/>
      </c>
      <c r="K474">
        <f>IF($G474="",0,IF(Sync!$AA470="",0,Sync!$AA470))</f>
        <v/>
      </c>
      <c r="L474">
        <f>IF($G474="",0,IF(Sync!$AB470="",0,Sync!$AB470))</f>
        <v/>
      </c>
      <c r="M474">
        <f>IF($G474="","",IF($H474="مرجوعی فروش",-1,1)*($K474-$L474*IFERROR(VLOOKUP("P01",ParamTbl,3,0),1.5)))</f>
        <v/>
      </c>
      <c r="N474">
        <f>IF($G474="",0,IF($H474="مرجوعی فروش",-1,1)*IF(Sync!$AC470="",0,Sync!$AC470))</f>
        <v/>
      </c>
      <c r="O474">
        <f>IF(OR($G474="",Sync!$V470=""),"",Sync!$V470)</f>
        <v/>
      </c>
      <c r="P474">
        <f>IF(OR($G474="",Sync!$AD470=""),"",Sync!$AD470)</f>
        <v/>
      </c>
      <c r="Q474">
        <f>IF($G474="","",IF(Sync!$U470="","0000",IF(AND(ISNUMBER(Sync!$U470),Sync!$U470&gt;=0,Sync!$U470&lt;1),RIGHT("00"&amp;HOUR(Sync!$U470),2)&amp;RIGHT("00"&amp;MINUTE(Sync!$U470),2),IFERROR(RIGHT("00"&amp;VALUE(LEFT(Sync!$U470,FIND(":",Sync!$U470)-1)),2)&amp;RIGHT("00"&amp;VALUE(MID(Sync!$U470,FIND(":",Sync!$U470)+1,2)),2),"0000"))))</f>
        <v/>
      </c>
    </row>
    <row r="475">
      <c r="A475">
        <f>IF(Sync!$T471="","",Sync!$T471)</f>
        <v/>
      </c>
      <c r="B475">
        <f>IF($A475="","",IF(ISNUMBER($A475),IF(AND($A475&gt;=10000101,$A475&lt;=99991231),INT($A475/10000),""),IFERROR(VALUE(TRIM(LEFT($A475,FIND("/",$A475)-1))),"")))</f>
        <v/>
      </c>
      <c r="C475">
        <f>IF(OR($A475="",$B475=""),"",IF(ISNUMBER($A475),INT(MOD($A475,10000)/100),IFERROR(VALUE(TRIM(LEFT(MID($A475,FIND("/",$A475)+1,20),FIND("/",MID($A475,FIND("/",$A475)+1,20))-1))),"")))</f>
        <v/>
      </c>
      <c r="D475">
        <f>IF(OR($A475="",$B475=""),"",IF(ISNUMBER($A475),MOD($A475,100),IFERROR(VALUE(TRIM(MID(MID($A475,FIND("/",$A475)+1,20),FIND("/",MID($A475,FIND("/",$A475)+1,20))+1,20))),"")))</f>
        <v/>
      </c>
      <c r="E475">
        <f>IF($A475="","",IF(OR($B475="",$C475="",$D475="",$B475&lt;1300,$B475&gt;1500,$C475&lt;1,$C475&gt;12,$D475&lt;1,$D475&gt;31),"نامعتبر",RIGHT("0000"&amp;$B475,4)&amp;"/"&amp;RIGHT("00"&amp;$C475,2)&amp;"/"&amp;RIGHT("00"&amp;$D475,2)))</f>
        <v/>
      </c>
      <c r="F475">
        <f>IF(OR($E475="",$E475="نامعتبر"),"",LEFT($E475,4)&amp;"/"&amp;MID($E475,6,2))</f>
        <v/>
      </c>
      <c r="G475">
        <f>IF(OR($E475="",$E475="نامعتبر",Sync!$X471=""),"",IF(AND(LEFT(UPPER(TRIM(Sync!$X471)),2)="SL",IFERROR(VLOOKUP(Sync!$W471,OpTbl,3,0),"")="فروش"),UPPER(TRIM(Sync!$X471)),""))</f>
        <v/>
      </c>
      <c r="H475">
        <f>IF($G475="","",IF(Sync!$W471="","",Sync!$W471))</f>
        <v/>
      </c>
      <c r="I475">
        <f>IF(OR($G475="",Sync!$Y471=""),"",Sync!$Y471)</f>
        <v/>
      </c>
      <c r="J475">
        <f>IF(OR($G475="",Sync!$Z471=""),"",Sync!$Z471)</f>
        <v/>
      </c>
      <c r="K475">
        <f>IF($G475="",0,IF(Sync!$AA471="",0,Sync!$AA471))</f>
        <v/>
      </c>
      <c r="L475">
        <f>IF($G475="",0,IF(Sync!$AB471="",0,Sync!$AB471))</f>
        <v/>
      </c>
      <c r="M475">
        <f>IF($G475="","",IF($H475="مرجوعی فروش",-1,1)*($K475-$L475*IFERROR(VLOOKUP("P01",ParamTbl,3,0),1.5)))</f>
        <v/>
      </c>
      <c r="N475">
        <f>IF($G475="",0,IF($H475="مرجوعی فروش",-1,1)*IF(Sync!$AC471="",0,Sync!$AC471))</f>
        <v/>
      </c>
      <c r="O475">
        <f>IF(OR($G475="",Sync!$V471=""),"",Sync!$V471)</f>
        <v/>
      </c>
      <c r="P475">
        <f>IF(OR($G475="",Sync!$AD471=""),"",Sync!$AD471)</f>
        <v/>
      </c>
      <c r="Q475">
        <f>IF($G475="","",IF(Sync!$U471="","0000",IF(AND(ISNUMBER(Sync!$U471),Sync!$U471&gt;=0,Sync!$U471&lt;1),RIGHT("00"&amp;HOUR(Sync!$U471),2)&amp;RIGHT("00"&amp;MINUTE(Sync!$U471),2),IFERROR(RIGHT("00"&amp;VALUE(LEFT(Sync!$U471,FIND(":",Sync!$U471)-1)),2)&amp;RIGHT("00"&amp;VALUE(MID(Sync!$U471,FIND(":",Sync!$U471)+1,2)),2),"0000"))))</f>
        <v/>
      </c>
    </row>
    <row r="476">
      <c r="A476">
        <f>IF(Sync!$T472="","",Sync!$T472)</f>
        <v/>
      </c>
      <c r="B476">
        <f>IF($A476="","",IF(ISNUMBER($A476),IF(AND($A476&gt;=10000101,$A476&lt;=99991231),INT($A476/10000),""),IFERROR(VALUE(TRIM(LEFT($A476,FIND("/",$A476)-1))),"")))</f>
        <v/>
      </c>
      <c r="C476">
        <f>IF(OR($A476="",$B476=""),"",IF(ISNUMBER($A476),INT(MOD($A476,10000)/100),IFERROR(VALUE(TRIM(LEFT(MID($A476,FIND("/",$A476)+1,20),FIND("/",MID($A476,FIND("/",$A476)+1,20))-1))),"")))</f>
        <v/>
      </c>
      <c r="D476">
        <f>IF(OR($A476="",$B476=""),"",IF(ISNUMBER($A476),MOD($A476,100),IFERROR(VALUE(TRIM(MID(MID($A476,FIND("/",$A476)+1,20),FIND("/",MID($A476,FIND("/",$A476)+1,20))+1,20))),"")))</f>
        <v/>
      </c>
      <c r="E476">
        <f>IF($A476="","",IF(OR($B476="",$C476="",$D476="",$B476&lt;1300,$B476&gt;1500,$C476&lt;1,$C476&gt;12,$D476&lt;1,$D476&gt;31),"نامعتبر",RIGHT("0000"&amp;$B476,4)&amp;"/"&amp;RIGHT("00"&amp;$C476,2)&amp;"/"&amp;RIGHT("00"&amp;$D476,2)))</f>
        <v/>
      </c>
      <c r="F476">
        <f>IF(OR($E476="",$E476="نامعتبر"),"",LEFT($E476,4)&amp;"/"&amp;MID($E476,6,2))</f>
        <v/>
      </c>
      <c r="G476">
        <f>IF(OR($E476="",$E476="نامعتبر",Sync!$X472=""),"",IF(AND(LEFT(UPPER(TRIM(Sync!$X472)),2)="SL",IFERROR(VLOOKUP(Sync!$W472,OpTbl,3,0),"")="فروش"),UPPER(TRIM(Sync!$X472)),""))</f>
        <v/>
      </c>
      <c r="H476">
        <f>IF($G476="","",IF(Sync!$W472="","",Sync!$W472))</f>
        <v/>
      </c>
      <c r="I476">
        <f>IF(OR($G476="",Sync!$Y472=""),"",Sync!$Y472)</f>
        <v/>
      </c>
      <c r="J476">
        <f>IF(OR($G476="",Sync!$Z472=""),"",Sync!$Z472)</f>
        <v/>
      </c>
      <c r="K476">
        <f>IF($G476="",0,IF(Sync!$AA472="",0,Sync!$AA472))</f>
        <v/>
      </c>
      <c r="L476">
        <f>IF($G476="",0,IF(Sync!$AB472="",0,Sync!$AB472))</f>
        <v/>
      </c>
      <c r="M476">
        <f>IF($G476="","",IF($H476="مرجوعی فروش",-1,1)*($K476-$L476*IFERROR(VLOOKUP("P01",ParamTbl,3,0),1.5)))</f>
        <v/>
      </c>
      <c r="N476">
        <f>IF($G476="",0,IF($H476="مرجوعی فروش",-1,1)*IF(Sync!$AC472="",0,Sync!$AC472))</f>
        <v/>
      </c>
      <c r="O476">
        <f>IF(OR($G476="",Sync!$V472=""),"",Sync!$V472)</f>
        <v/>
      </c>
      <c r="P476">
        <f>IF(OR($G476="",Sync!$AD472=""),"",Sync!$AD472)</f>
        <v/>
      </c>
      <c r="Q476">
        <f>IF($G476="","",IF(Sync!$U472="","0000",IF(AND(ISNUMBER(Sync!$U472),Sync!$U472&gt;=0,Sync!$U472&lt;1),RIGHT("00"&amp;HOUR(Sync!$U472),2)&amp;RIGHT("00"&amp;MINUTE(Sync!$U472),2),IFERROR(RIGHT("00"&amp;VALUE(LEFT(Sync!$U472,FIND(":",Sync!$U472)-1)),2)&amp;RIGHT("00"&amp;VALUE(MID(Sync!$U472,FIND(":",Sync!$U472)+1,2)),2),"0000"))))</f>
        <v/>
      </c>
    </row>
    <row r="477">
      <c r="A477">
        <f>IF(Sync!$T473="","",Sync!$T473)</f>
        <v/>
      </c>
      <c r="B477">
        <f>IF($A477="","",IF(ISNUMBER($A477),IF(AND($A477&gt;=10000101,$A477&lt;=99991231),INT($A477/10000),""),IFERROR(VALUE(TRIM(LEFT($A477,FIND("/",$A477)-1))),"")))</f>
        <v/>
      </c>
      <c r="C477">
        <f>IF(OR($A477="",$B477=""),"",IF(ISNUMBER($A477),INT(MOD($A477,10000)/100),IFERROR(VALUE(TRIM(LEFT(MID($A477,FIND("/",$A477)+1,20),FIND("/",MID($A477,FIND("/",$A477)+1,20))-1))),"")))</f>
        <v/>
      </c>
      <c r="D477">
        <f>IF(OR($A477="",$B477=""),"",IF(ISNUMBER($A477),MOD($A477,100),IFERROR(VALUE(TRIM(MID(MID($A477,FIND("/",$A477)+1,20),FIND("/",MID($A477,FIND("/",$A477)+1,20))+1,20))),"")))</f>
        <v/>
      </c>
      <c r="E477">
        <f>IF($A477="","",IF(OR($B477="",$C477="",$D477="",$B477&lt;1300,$B477&gt;1500,$C477&lt;1,$C477&gt;12,$D477&lt;1,$D477&gt;31),"نامعتبر",RIGHT("0000"&amp;$B477,4)&amp;"/"&amp;RIGHT("00"&amp;$C477,2)&amp;"/"&amp;RIGHT("00"&amp;$D477,2)))</f>
        <v/>
      </c>
      <c r="F477">
        <f>IF(OR($E477="",$E477="نامعتبر"),"",LEFT($E477,4)&amp;"/"&amp;MID($E477,6,2))</f>
        <v/>
      </c>
      <c r="G477">
        <f>IF(OR($E477="",$E477="نامعتبر",Sync!$X473=""),"",IF(AND(LEFT(UPPER(TRIM(Sync!$X473)),2)="SL",IFERROR(VLOOKUP(Sync!$W473,OpTbl,3,0),"")="فروش"),UPPER(TRIM(Sync!$X473)),""))</f>
        <v/>
      </c>
      <c r="H477">
        <f>IF($G477="","",IF(Sync!$W473="","",Sync!$W473))</f>
        <v/>
      </c>
      <c r="I477">
        <f>IF(OR($G477="",Sync!$Y473=""),"",Sync!$Y473)</f>
        <v/>
      </c>
      <c r="J477">
        <f>IF(OR($G477="",Sync!$Z473=""),"",Sync!$Z473)</f>
        <v/>
      </c>
      <c r="K477">
        <f>IF($G477="",0,IF(Sync!$AA473="",0,Sync!$AA473))</f>
        <v/>
      </c>
      <c r="L477">
        <f>IF($G477="",0,IF(Sync!$AB473="",0,Sync!$AB473))</f>
        <v/>
      </c>
      <c r="M477">
        <f>IF($G477="","",IF($H477="مرجوعی فروش",-1,1)*($K477-$L477*IFERROR(VLOOKUP("P01",ParamTbl,3,0),1.5)))</f>
        <v/>
      </c>
      <c r="N477">
        <f>IF($G477="",0,IF($H477="مرجوعی فروش",-1,1)*IF(Sync!$AC473="",0,Sync!$AC473))</f>
        <v/>
      </c>
      <c r="O477">
        <f>IF(OR($G477="",Sync!$V473=""),"",Sync!$V473)</f>
        <v/>
      </c>
      <c r="P477">
        <f>IF(OR($G477="",Sync!$AD473=""),"",Sync!$AD473)</f>
        <v/>
      </c>
      <c r="Q477">
        <f>IF($G477="","",IF(Sync!$U473="","0000",IF(AND(ISNUMBER(Sync!$U473),Sync!$U473&gt;=0,Sync!$U473&lt;1),RIGHT("00"&amp;HOUR(Sync!$U473),2)&amp;RIGHT("00"&amp;MINUTE(Sync!$U473),2),IFERROR(RIGHT("00"&amp;VALUE(LEFT(Sync!$U473,FIND(":",Sync!$U473)-1)),2)&amp;RIGHT("00"&amp;VALUE(MID(Sync!$U473,FIND(":",Sync!$U473)+1,2)),2),"0000"))))</f>
        <v/>
      </c>
    </row>
    <row r="478">
      <c r="A478">
        <f>IF(Sync!$T474="","",Sync!$T474)</f>
        <v/>
      </c>
      <c r="B478">
        <f>IF($A478="","",IF(ISNUMBER($A478),IF(AND($A478&gt;=10000101,$A478&lt;=99991231),INT($A478/10000),""),IFERROR(VALUE(TRIM(LEFT($A478,FIND("/",$A478)-1))),"")))</f>
        <v/>
      </c>
      <c r="C478">
        <f>IF(OR($A478="",$B478=""),"",IF(ISNUMBER($A478),INT(MOD($A478,10000)/100),IFERROR(VALUE(TRIM(LEFT(MID($A478,FIND("/",$A478)+1,20),FIND("/",MID($A478,FIND("/",$A478)+1,20))-1))),"")))</f>
        <v/>
      </c>
      <c r="D478">
        <f>IF(OR($A478="",$B478=""),"",IF(ISNUMBER($A478),MOD($A478,100),IFERROR(VALUE(TRIM(MID(MID($A478,FIND("/",$A478)+1,20),FIND("/",MID($A478,FIND("/",$A478)+1,20))+1,20))),"")))</f>
        <v/>
      </c>
      <c r="E478">
        <f>IF($A478="","",IF(OR($B478="",$C478="",$D478="",$B478&lt;1300,$B478&gt;1500,$C478&lt;1,$C478&gt;12,$D478&lt;1,$D478&gt;31),"نامعتبر",RIGHT("0000"&amp;$B478,4)&amp;"/"&amp;RIGHT("00"&amp;$C478,2)&amp;"/"&amp;RIGHT("00"&amp;$D478,2)))</f>
        <v/>
      </c>
      <c r="F478">
        <f>IF(OR($E478="",$E478="نامعتبر"),"",LEFT($E478,4)&amp;"/"&amp;MID($E478,6,2))</f>
        <v/>
      </c>
      <c r="G478">
        <f>IF(OR($E478="",$E478="نامعتبر",Sync!$X474=""),"",IF(AND(LEFT(UPPER(TRIM(Sync!$X474)),2)="SL",IFERROR(VLOOKUP(Sync!$W474,OpTbl,3,0),"")="فروش"),UPPER(TRIM(Sync!$X474)),""))</f>
        <v/>
      </c>
      <c r="H478">
        <f>IF($G478="","",IF(Sync!$W474="","",Sync!$W474))</f>
        <v/>
      </c>
      <c r="I478">
        <f>IF(OR($G478="",Sync!$Y474=""),"",Sync!$Y474)</f>
        <v/>
      </c>
      <c r="J478">
        <f>IF(OR($G478="",Sync!$Z474=""),"",Sync!$Z474)</f>
        <v/>
      </c>
      <c r="K478">
        <f>IF($G478="",0,IF(Sync!$AA474="",0,Sync!$AA474))</f>
        <v/>
      </c>
      <c r="L478">
        <f>IF($G478="",0,IF(Sync!$AB474="",0,Sync!$AB474))</f>
        <v/>
      </c>
      <c r="M478">
        <f>IF($G478="","",IF($H478="مرجوعی فروش",-1,1)*($K478-$L478*IFERROR(VLOOKUP("P01",ParamTbl,3,0),1.5)))</f>
        <v/>
      </c>
      <c r="N478">
        <f>IF($G478="",0,IF($H478="مرجوعی فروش",-1,1)*IF(Sync!$AC474="",0,Sync!$AC474))</f>
        <v/>
      </c>
      <c r="O478">
        <f>IF(OR($G478="",Sync!$V474=""),"",Sync!$V474)</f>
        <v/>
      </c>
      <c r="P478">
        <f>IF(OR($G478="",Sync!$AD474=""),"",Sync!$AD474)</f>
        <v/>
      </c>
      <c r="Q478">
        <f>IF($G478="","",IF(Sync!$U474="","0000",IF(AND(ISNUMBER(Sync!$U474),Sync!$U474&gt;=0,Sync!$U474&lt;1),RIGHT("00"&amp;HOUR(Sync!$U474),2)&amp;RIGHT("00"&amp;MINUTE(Sync!$U474),2),IFERROR(RIGHT("00"&amp;VALUE(LEFT(Sync!$U474,FIND(":",Sync!$U474)-1)),2)&amp;RIGHT("00"&amp;VALUE(MID(Sync!$U474,FIND(":",Sync!$U474)+1,2)),2),"0000"))))</f>
        <v/>
      </c>
    </row>
    <row r="479">
      <c r="A479">
        <f>IF(Sync!$T475="","",Sync!$T475)</f>
        <v/>
      </c>
      <c r="B479">
        <f>IF($A479="","",IF(ISNUMBER($A479),IF(AND($A479&gt;=10000101,$A479&lt;=99991231),INT($A479/10000),""),IFERROR(VALUE(TRIM(LEFT($A479,FIND("/",$A479)-1))),"")))</f>
        <v/>
      </c>
      <c r="C479">
        <f>IF(OR($A479="",$B479=""),"",IF(ISNUMBER($A479),INT(MOD($A479,10000)/100),IFERROR(VALUE(TRIM(LEFT(MID($A479,FIND("/",$A479)+1,20),FIND("/",MID($A479,FIND("/",$A479)+1,20))-1))),"")))</f>
        <v/>
      </c>
      <c r="D479">
        <f>IF(OR($A479="",$B479=""),"",IF(ISNUMBER($A479),MOD($A479,100),IFERROR(VALUE(TRIM(MID(MID($A479,FIND("/",$A479)+1,20),FIND("/",MID($A479,FIND("/",$A479)+1,20))+1,20))),"")))</f>
        <v/>
      </c>
      <c r="E479">
        <f>IF($A479="","",IF(OR($B479="",$C479="",$D479="",$B479&lt;1300,$B479&gt;1500,$C479&lt;1,$C479&gt;12,$D479&lt;1,$D479&gt;31),"نامعتبر",RIGHT("0000"&amp;$B479,4)&amp;"/"&amp;RIGHT("00"&amp;$C479,2)&amp;"/"&amp;RIGHT("00"&amp;$D479,2)))</f>
        <v/>
      </c>
      <c r="F479">
        <f>IF(OR($E479="",$E479="نامعتبر"),"",LEFT($E479,4)&amp;"/"&amp;MID($E479,6,2))</f>
        <v/>
      </c>
      <c r="G479">
        <f>IF(OR($E479="",$E479="نامعتبر",Sync!$X475=""),"",IF(AND(LEFT(UPPER(TRIM(Sync!$X475)),2)="SL",IFERROR(VLOOKUP(Sync!$W475,OpTbl,3,0),"")="فروش"),UPPER(TRIM(Sync!$X475)),""))</f>
        <v/>
      </c>
      <c r="H479">
        <f>IF($G479="","",IF(Sync!$W475="","",Sync!$W475))</f>
        <v/>
      </c>
      <c r="I479">
        <f>IF(OR($G479="",Sync!$Y475=""),"",Sync!$Y475)</f>
        <v/>
      </c>
      <c r="J479">
        <f>IF(OR($G479="",Sync!$Z475=""),"",Sync!$Z475)</f>
        <v/>
      </c>
      <c r="K479">
        <f>IF($G479="",0,IF(Sync!$AA475="",0,Sync!$AA475))</f>
        <v/>
      </c>
      <c r="L479">
        <f>IF($G479="",0,IF(Sync!$AB475="",0,Sync!$AB475))</f>
        <v/>
      </c>
      <c r="M479">
        <f>IF($G479="","",IF($H479="مرجوعی فروش",-1,1)*($K479-$L479*IFERROR(VLOOKUP("P01",ParamTbl,3,0),1.5)))</f>
        <v/>
      </c>
      <c r="N479">
        <f>IF($G479="",0,IF($H479="مرجوعی فروش",-1,1)*IF(Sync!$AC475="",0,Sync!$AC475))</f>
        <v/>
      </c>
      <c r="O479">
        <f>IF(OR($G479="",Sync!$V475=""),"",Sync!$V475)</f>
        <v/>
      </c>
      <c r="P479">
        <f>IF(OR($G479="",Sync!$AD475=""),"",Sync!$AD475)</f>
        <v/>
      </c>
      <c r="Q479">
        <f>IF($G479="","",IF(Sync!$U475="","0000",IF(AND(ISNUMBER(Sync!$U475),Sync!$U475&gt;=0,Sync!$U475&lt;1),RIGHT("00"&amp;HOUR(Sync!$U475),2)&amp;RIGHT("00"&amp;MINUTE(Sync!$U475),2),IFERROR(RIGHT("00"&amp;VALUE(LEFT(Sync!$U475,FIND(":",Sync!$U475)-1)),2)&amp;RIGHT("00"&amp;VALUE(MID(Sync!$U475,FIND(":",Sync!$U475)+1,2)),2),"0000"))))</f>
        <v/>
      </c>
    </row>
    <row r="480">
      <c r="A480">
        <f>IF(Sync!$T476="","",Sync!$T476)</f>
        <v/>
      </c>
      <c r="B480">
        <f>IF($A480="","",IF(ISNUMBER($A480),IF(AND($A480&gt;=10000101,$A480&lt;=99991231),INT($A480/10000),""),IFERROR(VALUE(TRIM(LEFT($A480,FIND("/",$A480)-1))),"")))</f>
        <v/>
      </c>
      <c r="C480">
        <f>IF(OR($A480="",$B480=""),"",IF(ISNUMBER($A480),INT(MOD($A480,10000)/100),IFERROR(VALUE(TRIM(LEFT(MID($A480,FIND("/",$A480)+1,20),FIND("/",MID($A480,FIND("/",$A480)+1,20))-1))),"")))</f>
        <v/>
      </c>
      <c r="D480">
        <f>IF(OR($A480="",$B480=""),"",IF(ISNUMBER($A480),MOD($A480,100),IFERROR(VALUE(TRIM(MID(MID($A480,FIND("/",$A480)+1,20),FIND("/",MID($A480,FIND("/",$A480)+1,20))+1,20))),"")))</f>
        <v/>
      </c>
      <c r="E480">
        <f>IF($A480="","",IF(OR($B480="",$C480="",$D480="",$B480&lt;1300,$B480&gt;1500,$C480&lt;1,$C480&gt;12,$D480&lt;1,$D480&gt;31),"نامعتبر",RIGHT("0000"&amp;$B480,4)&amp;"/"&amp;RIGHT("00"&amp;$C480,2)&amp;"/"&amp;RIGHT("00"&amp;$D480,2)))</f>
        <v/>
      </c>
      <c r="F480">
        <f>IF(OR($E480="",$E480="نامعتبر"),"",LEFT($E480,4)&amp;"/"&amp;MID($E480,6,2))</f>
        <v/>
      </c>
      <c r="G480">
        <f>IF(OR($E480="",$E480="نامعتبر",Sync!$X476=""),"",IF(AND(LEFT(UPPER(TRIM(Sync!$X476)),2)="SL",IFERROR(VLOOKUP(Sync!$W476,OpTbl,3,0),"")="فروش"),UPPER(TRIM(Sync!$X476)),""))</f>
        <v/>
      </c>
      <c r="H480">
        <f>IF($G480="","",IF(Sync!$W476="","",Sync!$W476))</f>
        <v/>
      </c>
      <c r="I480">
        <f>IF(OR($G480="",Sync!$Y476=""),"",Sync!$Y476)</f>
        <v/>
      </c>
      <c r="J480">
        <f>IF(OR($G480="",Sync!$Z476=""),"",Sync!$Z476)</f>
        <v/>
      </c>
      <c r="K480">
        <f>IF($G480="",0,IF(Sync!$AA476="",0,Sync!$AA476))</f>
        <v/>
      </c>
      <c r="L480">
        <f>IF($G480="",0,IF(Sync!$AB476="",0,Sync!$AB476))</f>
        <v/>
      </c>
      <c r="M480">
        <f>IF($G480="","",IF($H480="مرجوعی فروش",-1,1)*($K480-$L480*IFERROR(VLOOKUP("P01",ParamTbl,3,0),1.5)))</f>
        <v/>
      </c>
      <c r="N480">
        <f>IF($G480="",0,IF($H480="مرجوعی فروش",-1,1)*IF(Sync!$AC476="",0,Sync!$AC476))</f>
        <v/>
      </c>
      <c r="O480">
        <f>IF(OR($G480="",Sync!$V476=""),"",Sync!$V476)</f>
        <v/>
      </c>
      <c r="P480">
        <f>IF(OR($G480="",Sync!$AD476=""),"",Sync!$AD476)</f>
        <v/>
      </c>
      <c r="Q480">
        <f>IF($G480="","",IF(Sync!$U476="","0000",IF(AND(ISNUMBER(Sync!$U476),Sync!$U476&gt;=0,Sync!$U476&lt;1),RIGHT("00"&amp;HOUR(Sync!$U476),2)&amp;RIGHT("00"&amp;MINUTE(Sync!$U476),2),IFERROR(RIGHT("00"&amp;VALUE(LEFT(Sync!$U476,FIND(":",Sync!$U476)-1)),2)&amp;RIGHT("00"&amp;VALUE(MID(Sync!$U476,FIND(":",Sync!$U476)+1,2)),2),"0000"))))</f>
        <v/>
      </c>
    </row>
    <row r="481">
      <c r="A481">
        <f>IF(Sync!$T477="","",Sync!$T477)</f>
        <v/>
      </c>
      <c r="B481">
        <f>IF($A481="","",IF(ISNUMBER($A481),IF(AND($A481&gt;=10000101,$A481&lt;=99991231),INT($A481/10000),""),IFERROR(VALUE(TRIM(LEFT($A481,FIND("/",$A481)-1))),"")))</f>
        <v/>
      </c>
      <c r="C481">
        <f>IF(OR($A481="",$B481=""),"",IF(ISNUMBER($A481),INT(MOD($A481,10000)/100),IFERROR(VALUE(TRIM(LEFT(MID($A481,FIND("/",$A481)+1,20),FIND("/",MID($A481,FIND("/",$A481)+1,20))-1))),"")))</f>
        <v/>
      </c>
      <c r="D481">
        <f>IF(OR($A481="",$B481=""),"",IF(ISNUMBER($A481),MOD($A481,100),IFERROR(VALUE(TRIM(MID(MID($A481,FIND("/",$A481)+1,20),FIND("/",MID($A481,FIND("/",$A481)+1,20))+1,20))),"")))</f>
        <v/>
      </c>
      <c r="E481">
        <f>IF($A481="","",IF(OR($B481="",$C481="",$D481="",$B481&lt;1300,$B481&gt;1500,$C481&lt;1,$C481&gt;12,$D481&lt;1,$D481&gt;31),"نامعتبر",RIGHT("0000"&amp;$B481,4)&amp;"/"&amp;RIGHT("00"&amp;$C481,2)&amp;"/"&amp;RIGHT("00"&amp;$D481,2)))</f>
        <v/>
      </c>
      <c r="F481">
        <f>IF(OR($E481="",$E481="نامعتبر"),"",LEFT($E481,4)&amp;"/"&amp;MID($E481,6,2))</f>
        <v/>
      </c>
      <c r="G481">
        <f>IF(OR($E481="",$E481="نامعتبر",Sync!$X477=""),"",IF(AND(LEFT(UPPER(TRIM(Sync!$X477)),2)="SL",IFERROR(VLOOKUP(Sync!$W477,OpTbl,3,0),"")="فروش"),UPPER(TRIM(Sync!$X477)),""))</f>
        <v/>
      </c>
      <c r="H481">
        <f>IF($G481="","",IF(Sync!$W477="","",Sync!$W477))</f>
        <v/>
      </c>
      <c r="I481">
        <f>IF(OR($G481="",Sync!$Y477=""),"",Sync!$Y477)</f>
        <v/>
      </c>
      <c r="J481">
        <f>IF(OR($G481="",Sync!$Z477=""),"",Sync!$Z477)</f>
        <v/>
      </c>
      <c r="K481">
        <f>IF($G481="",0,IF(Sync!$AA477="",0,Sync!$AA477))</f>
        <v/>
      </c>
      <c r="L481">
        <f>IF($G481="",0,IF(Sync!$AB477="",0,Sync!$AB477))</f>
        <v/>
      </c>
      <c r="M481">
        <f>IF($G481="","",IF($H481="مرجوعی فروش",-1,1)*($K481-$L481*IFERROR(VLOOKUP("P01",ParamTbl,3,0),1.5)))</f>
        <v/>
      </c>
      <c r="N481">
        <f>IF($G481="",0,IF($H481="مرجوعی فروش",-1,1)*IF(Sync!$AC477="",0,Sync!$AC477))</f>
        <v/>
      </c>
      <c r="O481">
        <f>IF(OR($G481="",Sync!$V477=""),"",Sync!$V477)</f>
        <v/>
      </c>
      <c r="P481">
        <f>IF(OR($G481="",Sync!$AD477=""),"",Sync!$AD477)</f>
        <v/>
      </c>
      <c r="Q481">
        <f>IF($G481="","",IF(Sync!$U477="","0000",IF(AND(ISNUMBER(Sync!$U477),Sync!$U477&gt;=0,Sync!$U477&lt;1),RIGHT("00"&amp;HOUR(Sync!$U477),2)&amp;RIGHT("00"&amp;MINUTE(Sync!$U477),2),IFERROR(RIGHT("00"&amp;VALUE(LEFT(Sync!$U477,FIND(":",Sync!$U477)-1)),2)&amp;RIGHT("00"&amp;VALUE(MID(Sync!$U477,FIND(":",Sync!$U477)+1,2)),2),"0000"))))</f>
        <v/>
      </c>
    </row>
    <row r="482">
      <c r="A482">
        <f>IF(Sync!$T478="","",Sync!$T478)</f>
        <v/>
      </c>
      <c r="B482">
        <f>IF($A482="","",IF(ISNUMBER($A482),IF(AND($A482&gt;=10000101,$A482&lt;=99991231),INT($A482/10000),""),IFERROR(VALUE(TRIM(LEFT($A482,FIND("/",$A482)-1))),"")))</f>
        <v/>
      </c>
      <c r="C482">
        <f>IF(OR($A482="",$B482=""),"",IF(ISNUMBER($A482),INT(MOD($A482,10000)/100),IFERROR(VALUE(TRIM(LEFT(MID($A482,FIND("/",$A482)+1,20),FIND("/",MID($A482,FIND("/",$A482)+1,20))-1))),"")))</f>
        <v/>
      </c>
      <c r="D482">
        <f>IF(OR($A482="",$B482=""),"",IF(ISNUMBER($A482),MOD($A482,100),IFERROR(VALUE(TRIM(MID(MID($A482,FIND("/",$A482)+1,20),FIND("/",MID($A482,FIND("/",$A482)+1,20))+1,20))),"")))</f>
        <v/>
      </c>
      <c r="E482">
        <f>IF($A482="","",IF(OR($B482="",$C482="",$D482="",$B482&lt;1300,$B482&gt;1500,$C482&lt;1,$C482&gt;12,$D482&lt;1,$D482&gt;31),"نامعتبر",RIGHT("0000"&amp;$B482,4)&amp;"/"&amp;RIGHT("00"&amp;$C482,2)&amp;"/"&amp;RIGHT("00"&amp;$D482,2)))</f>
        <v/>
      </c>
      <c r="F482">
        <f>IF(OR($E482="",$E482="نامعتبر"),"",LEFT($E482,4)&amp;"/"&amp;MID($E482,6,2))</f>
        <v/>
      </c>
      <c r="G482">
        <f>IF(OR($E482="",$E482="نامعتبر",Sync!$X478=""),"",IF(AND(LEFT(UPPER(TRIM(Sync!$X478)),2)="SL",IFERROR(VLOOKUP(Sync!$W478,OpTbl,3,0),"")="فروش"),UPPER(TRIM(Sync!$X478)),""))</f>
        <v/>
      </c>
      <c r="H482">
        <f>IF($G482="","",IF(Sync!$W478="","",Sync!$W478))</f>
        <v/>
      </c>
      <c r="I482">
        <f>IF(OR($G482="",Sync!$Y478=""),"",Sync!$Y478)</f>
        <v/>
      </c>
      <c r="J482">
        <f>IF(OR($G482="",Sync!$Z478=""),"",Sync!$Z478)</f>
        <v/>
      </c>
      <c r="K482">
        <f>IF($G482="",0,IF(Sync!$AA478="",0,Sync!$AA478))</f>
        <v/>
      </c>
      <c r="L482">
        <f>IF($G482="",0,IF(Sync!$AB478="",0,Sync!$AB478))</f>
        <v/>
      </c>
      <c r="M482">
        <f>IF($G482="","",IF($H482="مرجوعی فروش",-1,1)*($K482-$L482*IFERROR(VLOOKUP("P01",ParamTbl,3,0),1.5)))</f>
        <v/>
      </c>
      <c r="N482">
        <f>IF($G482="",0,IF($H482="مرجوعی فروش",-1,1)*IF(Sync!$AC478="",0,Sync!$AC478))</f>
        <v/>
      </c>
      <c r="O482">
        <f>IF(OR($G482="",Sync!$V478=""),"",Sync!$V478)</f>
        <v/>
      </c>
      <c r="P482">
        <f>IF(OR($G482="",Sync!$AD478=""),"",Sync!$AD478)</f>
        <v/>
      </c>
      <c r="Q482">
        <f>IF($G482="","",IF(Sync!$U478="","0000",IF(AND(ISNUMBER(Sync!$U478),Sync!$U478&gt;=0,Sync!$U478&lt;1),RIGHT("00"&amp;HOUR(Sync!$U478),2)&amp;RIGHT("00"&amp;MINUTE(Sync!$U478),2),IFERROR(RIGHT("00"&amp;VALUE(LEFT(Sync!$U478,FIND(":",Sync!$U478)-1)),2)&amp;RIGHT("00"&amp;VALUE(MID(Sync!$U478,FIND(":",Sync!$U478)+1,2)),2),"0000"))))</f>
        <v/>
      </c>
    </row>
    <row r="483">
      <c r="A483">
        <f>IF(Sync!$T479="","",Sync!$T479)</f>
        <v/>
      </c>
      <c r="B483">
        <f>IF($A483="","",IF(ISNUMBER($A483),IF(AND($A483&gt;=10000101,$A483&lt;=99991231),INT($A483/10000),""),IFERROR(VALUE(TRIM(LEFT($A483,FIND("/",$A483)-1))),"")))</f>
        <v/>
      </c>
      <c r="C483">
        <f>IF(OR($A483="",$B483=""),"",IF(ISNUMBER($A483),INT(MOD($A483,10000)/100),IFERROR(VALUE(TRIM(LEFT(MID($A483,FIND("/",$A483)+1,20),FIND("/",MID($A483,FIND("/",$A483)+1,20))-1))),"")))</f>
        <v/>
      </c>
      <c r="D483">
        <f>IF(OR($A483="",$B483=""),"",IF(ISNUMBER($A483),MOD($A483,100),IFERROR(VALUE(TRIM(MID(MID($A483,FIND("/",$A483)+1,20),FIND("/",MID($A483,FIND("/",$A483)+1,20))+1,20))),"")))</f>
        <v/>
      </c>
      <c r="E483">
        <f>IF($A483="","",IF(OR($B483="",$C483="",$D483="",$B483&lt;1300,$B483&gt;1500,$C483&lt;1,$C483&gt;12,$D483&lt;1,$D483&gt;31),"نامعتبر",RIGHT("0000"&amp;$B483,4)&amp;"/"&amp;RIGHT("00"&amp;$C483,2)&amp;"/"&amp;RIGHT("00"&amp;$D483,2)))</f>
        <v/>
      </c>
      <c r="F483">
        <f>IF(OR($E483="",$E483="نامعتبر"),"",LEFT($E483,4)&amp;"/"&amp;MID($E483,6,2))</f>
        <v/>
      </c>
      <c r="G483">
        <f>IF(OR($E483="",$E483="نامعتبر",Sync!$X479=""),"",IF(AND(LEFT(UPPER(TRIM(Sync!$X479)),2)="SL",IFERROR(VLOOKUP(Sync!$W479,OpTbl,3,0),"")="فروش"),UPPER(TRIM(Sync!$X479)),""))</f>
        <v/>
      </c>
      <c r="H483">
        <f>IF($G483="","",IF(Sync!$W479="","",Sync!$W479))</f>
        <v/>
      </c>
      <c r="I483">
        <f>IF(OR($G483="",Sync!$Y479=""),"",Sync!$Y479)</f>
        <v/>
      </c>
      <c r="J483">
        <f>IF(OR($G483="",Sync!$Z479=""),"",Sync!$Z479)</f>
        <v/>
      </c>
      <c r="K483">
        <f>IF($G483="",0,IF(Sync!$AA479="",0,Sync!$AA479))</f>
        <v/>
      </c>
      <c r="L483">
        <f>IF($G483="",0,IF(Sync!$AB479="",0,Sync!$AB479))</f>
        <v/>
      </c>
      <c r="M483">
        <f>IF($G483="","",IF($H483="مرجوعی فروش",-1,1)*($K483-$L483*IFERROR(VLOOKUP("P01",ParamTbl,3,0),1.5)))</f>
        <v/>
      </c>
      <c r="N483">
        <f>IF($G483="",0,IF($H483="مرجوعی فروش",-1,1)*IF(Sync!$AC479="",0,Sync!$AC479))</f>
        <v/>
      </c>
      <c r="O483">
        <f>IF(OR($G483="",Sync!$V479=""),"",Sync!$V479)</f>
        <v/>
      </c>
      <c r="P483">
        <f>IF(OR($G483="",Sync!$AD479=""),"",Sync!$AD479)</f>
        <v/>
      </c>
      <c r="Q483">
        <f>IF($G483="","",IF(Sync!$U479="","0000",IF(AND(ISNUMBER(Sync!$U479),Sync!$U479&gt;=0,Sync!$U479&lt;1),RIGHT("00"&amp;HOUR(Sync!$U479),2)&amp;RIGHT("00"&amp;MINUTE(Sync!$U479),2),IFERROR(RIGHT("00"&amp;VALUE(LEFT(Sync!$U479,FIND(":",Sync!$U479)-1)),2)&amp;RIGHT("00"&amp;VALUE(MID(Sync!$U479,FIND(":",Sync!$U479)+1,2)),2),"0000"))))</f>
        <v/>
      </c>
    </row>
    <row r="484">
      <c r="A484">
        <f>IF(Sync!$T480="","",Sync!$T480)</f>
        <v/>
      </c>
      <c r="B484">
        <f>IF($A484="","",IF(ISNUMBER($A484),IF(AND($A484&gt;=10000101,$A484&lt;=99991231),INT($A484/10000),""),IFERROR(VALUE(TRIM(LEFT($A484,FIND("/",$A484)-1))),"")))</f>
        <v/>
      </c>
      <c r="C484">
        <f>IF(OR($A484="",$B484=""),"",IF(ISNUMBER($A484),INT(MOD($A484,10000)/100),IFERROR(VALUE(TRIM(LEFT(MID($A484,FIND("/",$A484)+1,20),FIND("/",MID($A484,FIND("/",$A484)+1,20))-1))),"")))</f>
        <v/>
      </c>
      <c r="D484">
        <f>IF(OR($A484="",$B484=""),"",IF(ISNUMBER($A484),MOD($A484,100),IFERROR(VALUE(TRIM(MID(MID($A484,FIND("/",$A484)+1,20),FIND("/",MID($A484,FIND("/",$A484)+1,20))+1,20))),"")))</f>
        <v/>
      </c>
      <c r="E484">
        <f>IF($A484="","",IF(OR($B484="",$C484="",$D484="",$B484&lt;1300,$B484&gt;1500,$C484&lt;1,$C484&gt;12,$D484&lt;1,$D484&gt;31),"نامعتبر",RIGHT("0000"&amp;$B484,4)&amp;"/"&amp;RIGHT("00"&amp;$C484,2)&amp;"/"&amp;RIGHT("00"&amp;$D484,2)))</f>
        <v/>
      </c>
      <c r="F484">
        <f>IF(OR($E484="",$E484="نامعتبر"),"",LEFT($E484,4)&amp;"/"&amp;MID($E484,6,2))</f>
        <v/>
      </c>
      <c r="G484">
        <f>IF(OR($E484="",$E484="نامعتبر",Sync!$X480=""),"",IF(AND(LEFT(UPPER(TRIM(Sync!$X480)),2)="SL",IFERROR(VLOOKUP(Sync!$W480,OpTbl,3,0),"")="فروش"),UPPER(TRIM(Sync!$X480)),""))</f>
        <v/>
      </c>
      <c r="H484">
        <f>IF($G484="","",IF(Sync!$W480="","",Sync!$W480))</f>
        <v/>
      </c>
      <c r="I484">
        <f>IF(OR($G484="",Sync!$Y480=""),"",Sync!$Y480)</f>
        <v/>
      </c>
      <c r="J484">
        <f>IF(OR($G484="",Sync!$Z480=""),"",Sync!$Z480)</f>
        <v/>
      </c>
      <c r="K484">
        <f>IF($G484="",0,IF(Sync!$AA480="",0,Sync!$AA480))</f>
        <v/>
      </c>
      <c r="L484">
        <f>IF($G484="",0,IF(Sync!$AB480="",0,Sync!$AB480))</f>
        <v/>
      </c>
      <c r="M484">
        <f>IF($G484="","",IF($H484="مرجوعی فروش",-1,1)*($K484-$L484*IFERROR(VLOOKUP("P01",ParamTbl,3,0),1.5)))</f>
        <v/>
      </c>
      <c r="N484">
        <f>IF($G484="",0,IF($H484="مرجوعی فروش",-1,1)*IF(Sync!$AC480="",0,Sync!$AC480))</f>
        <v/>
      </c>
      <c r="O484">
        <f>IF(OR($G484="",Sync!$V480=""),"",Sync!$V480)</f>
        <v/>
      </c>
      <c r="P484">
        <f>IF(OR($G484="",Sync!$AD480=""),"",Sync!$AD480)</f>
        <v/>
      </c>
      <c r="Q484">
        <f>IF($G484="","",IF(Sync!$U480="","0000",IF(AND(ISNUMBER(Sync!$U480),Sync!$U480&gt;=0,Sync!$U480&lt;1),RIGHT("00"&amp;HOUR(Sync!$U480),2)&amp;RIGHT("00"&amp;MINUTE(Sync!$U480),2),IFERROR(RIGHT("00"&amp;VALUE(LEFT(Sync!$U480,FIND(":",Sync!$U480)-1)),2)&amp;RIGHT("00"&amp;VALUE(MID(Sync!$U480,FIND(":",Sync!$U480)+1,2)),2),"0000"))))</f>
        <v/>
      </c>
    </row>
    <row r="485">
      <c r="A485">
        <f>IF(Sync!$T481="","",Sync!$T481)</f>
        <v/>
      </c>
      <c r="B485">
        <f>IF($A485="","",IF(ISNUMBER($A485),IF(AND($A485&gt;=10000101,$A485&lt;=99991231),INT($A485/10000),""),IFERROR(VALUE(TRIM(LEFT($A485,FIND("/",$A485)-1))),"")))</f>
        <v/>
      </c>
      <c r="C485">
        <f>IF(OR($A485="",$B485=""),"",IF(ISNUMBER($A485),INT(MOD($A485,10000)/100),IFERROR(VALUE(TRIM(LEFT(MID($A485,FIND("/",$A485)+1,20),FIND("/",MID($A485,FIND("/",$A485)+1,20))-1))),"")))</f>
        <v/>
      </c>
      <c r="D485">
        <f>IF(OR($A485="",$B485=""),"",IF(ISNUMBER($A485),MOD($A485,100),IFERROR(VALUE(TRIM(MID(MID($A485,FIND("/",$A485)+1,20),FIND("/",MID($A485,FIND("/",$A485)+1,20))+1,20))),"")))</f>
        <v/>
      </c>
      <c r="E485">
        <f>IF($A485="","",IF(OR($B485="",$C485="",$D485="",$B485&lt;1300,$B485&gt;1500,$C485&lt;1,$C485&gt;12,$D485&lt;1,$D485&gt;31),"نامعتبر",RIGHT("0000"&amp;$B485,4)&amp;"/"&amp;RIGHT("00"&amp;$C485,2)&amp;"/"&amp;RIGHT("00"&amp;$D485,2)))</f>
        <v/>
      </c>
      <c r="F485">
        <f>IF(OR($E485="",$E485="نامعتبر"),"",LEFT($E485,4)&amp;"/"&amp;MID($E485,6,2))</f>
        <v/>
      </c>
      <c r="G485">
        <f>IF(OR($E485="",$E485="نامعتبر",Sync!$X481=""),"",IF(AND(LEFT(UPPER(TRIM(Sync!$X481)),2)="SL",IFERROR(VLOOKUP(Sync!$W481,OpTbl,3,0),"")="فروش"),UPPER(TRIM(Sync!$X481)),""))</f>
        <v/>
      </c>
      <c r="H485">
        <f>IF($G485="","",IF(Sync!$W481="","",Sync!$W481))</f>
        <v/>
      </c>
      <c r="I485">
        <f>IF(OR($G485="",Sync!$Y481=""),"",Sync!$Y481)</f>
        <v/>
      </c>
      <c r="J485">
        <f>IF(OR($G485="",Sync!$Z481=""),"",Sync!$Z481)</f>
        <v/>
      </c>
      <c r="K485">
        <f>IF($G485="",0,IF(Sync!$AA481="",0,Sync!$AA481))</f>
        <v/>
      </c>
      <c r="L485">
        <f>IF($G485="",0,IF(Sync!$AB481="",0,Sync!$AB481))</f>
        <v/>
      </c>
      <c r="M485">
        <f>IF($G485="","",IF($H485="مرجوعی فروش",-1,1)*($K485-$L485*IFERROR(VLOOKUP("P01",ParamTbl,3,0),1.5)))</f>
        <v/>
      </c>
      <c r="N485">
        <f>IF($G485="",0,IF($H485="مرجوعی فروش",-1,1)*IF(Sync!$AC481="",0,Sync!$AC481))</f>
        <v/>
      </c>
      <c r="O485">
        <f>IF(OR($G485="",Sync!$V481=""),"",Sync!$V481)</f>
        <v/>
      </c>
      <c r="P485">
        <f>IF(OR($G485="",Sync!$AD481=""),"",Sync!$AD481)</f>
        <v/>
      </c>
      <c r="Q485">
        <f>IF($G485="","",IF(Sync!$U481="","0000",IF(AND(ISNUMBER(Sync!$U481),Sync!$U481&gt;=0,Sync!$U481&lt;1),RIGHT("00"&amp;HOUR(Sync!$U481),2)&amp;RIGHT("00"&amp;MINUTE(Sync!$U481),2),IFERROR(RIGHT("00"&amp;VALUE(LEFT(Sync!$U481,FIND(":",Sync!$U481)-1)),2)&amp;RIGHT("00"&amp;VALUE(MID(Sync!$U481,FIND(":",Sync!$U481)+1,2)),2),"0000"))))</f>
        <v/>
      </c>
    </row>
    <row r="486">
      <c r="A486">
        <f>IF(Sync!$T482="","",Sync!$T482)</f>
        <v/>
      </c>
      <c r="B486">
        <f>IF($A486="","",IF(ISNUMBER($A486),IF(AND($A486&gt;=10000101,$A486&lt;=99991231),INT($A486/10000),""),IFERROR(VALUE(TRIM(LEFT($A486,FIND("/",$A486)-1))),"")))</f>
        <v/>
      </c>
      <c r="C486">
        <f>IF(OR($A486="",$B486=""),"",IF(ISNUMBER($A486),INT(MOD($A486,10000)/100),IFERROR(VALUE(TRIM(LEFT(MID($A486,FIND("/",$A486)+1,20),FIND("/",MID($A486,FIND("/",$A486)+1,20))-1))),"")))</f>
        <v/>
      </c>
      <c r="D486">
        <f>IF(OR($A486="",$B486=""),"",IF(ISNUMBER($A486),MOD($A486,100),IFERROR(VALUE(TRIM(MID(MID($A486,FIND("/",$A486)+1,20),FIND("/",MID($A486,FIND("/",$A486)+1,20))+1,20))),"")))</f>
        <v/>
      </c>
      <c r="E486">
        <f>IF($A486="","",IF(OR($B486="",$C486="",$D486="",$B486&lt;1300,$B486&gt;1500,$C486&lt;1,$C486&gt;12,$D486&lt;1,$D486&gt;31),"نامعتبر",RIGHT("0000"&amp;$B486,4)&amp;"/"&amp;RIGHT("00"&amp;$C486,2)&amp;"/"&amp;RIGHT("00"&amp;$D486,2)))</f>
        <v/>
      </c>
      <c r="F486">
        <f>IF(OR($E486="",$E486="نامعتبر"),"",LEFT($E486,4)&amp;"/"&amp;MID($E486,6,2))</f>
        <v/>
      </c>
      <c r="G486">
        <f>IF(OR($E486="",$E486="نامعتبر",Sync!$X482=""),"",IF(AND(LEFT(UPPER(TRIM(Sync!$X482)),2)="SL",IFERROR(VLOOKUP(Sync!$W482,OpTbl,3,0),"")="فروش"),UPPER(TRIM(Sync!$X482)),""))</f>
        <v/>
      </c>
      <c r="H486">
        <f>IF($G486="","",IF(Sync!$W482="","",Sync!$W482))</f>
        <v/>
      </c>
      <c r="I486">
        <f>IF(OR($G486="",Sync!$Y482=""),"",Sync!$Y482)</f>
        <v/>
      </c>
      <c r="J486">
        <f>IF(OR($G486="",Sync!$Z482=""),"",Sync!$Z482)</f>
        <v/>
      </c>
      <c r="K486">
        <f>IF($G486="",0,IF(Sync!$AA482="",0,Sync!$AA482))</f>
        <v/>
      </c>
      <c r="L486">
        <f>IF($G486="",0,IF(Sync!$AB482="",0,Sync!$AB482))</f>
        <v/>
      </c>
      <c r="M486">
        <f>IF($G486="","",IF($H486="مرجوعی فروش",-1,1)*($K486-$L486*IFERROR(VLOOKUP("P01",ParamTbl,3,0),1.5)))</f>
        <v/>
      </c>
      <c r="N486">
        <f>IF($G486="",0,IF($H486="مرجوعی فروش",-1,1)*IF(Sync!$AC482="",0,Sync!$AC482))</f>
        <v/>
      </c>
      <c r="O486">
        <f>IF(OR($G486="",Sync!$V482=""),"",Sync!$V482)</f>
        <v/>
      </c>
      <c r="P486">
        <f>IF(OR($G486="",Sync!$AD482=""),"",Sync!$AD482)</f>
        <v/>
      </c>
      <c r="Q486">
        <f>IF($G486="","",IF(Sync!$U482="","0000",IF(AND(ISNUMBER(Sync!$U482),Sync!$U482&gt;=0,Sync!$U482&lt;1),RIGHT("00"&amp;HOUR(Sync!$U482),2)&amp;RIGHT("00"&amp;MINUTE(Sync!$U482),2),IFERROR(RIGHT("00"&amp;VALUE(LEFT(Sync!$U482,FIND(":",Sync!$U482)-1)),2)&amp;RIGHT("00"&amp;VALUE(MID(Sync!$U482,FIND(":",Sync!$U482)+1,2)),2),"0000"))))</f>
        <v/>
      </c>
    </row>
    <row r="487">
      <c r="A487">
        <f>IF(Sync!$T483="","",Sync!$T483)</f>
        <v/>
      </c>
      <c r="B487">
        <f>IF($A487="","",IF(ISNUMBER($A487),IF(AND($A487&gt;=10000101,$A487&lt;=99991231),INT($A487/10000),""),IFERROR(VALUE(TRIM(LEFT($A487,FIND("/",$A487)-1))),"")))</f>
        <v/>
      </c>
      <c r="C487">
        <f>IF(OR($A487="",$B487=""),"",IF(ISNUMBER($A487),INT(MOD($A487,10000)/100),IFERROR(VALUE(TRIM(LEFT(MID($A487,FIND("/",$A487)+1,20),FIND("/",MID($A487,FIND("/",$A487)+1,20))-1))),"")))</f>
        <v/>
      </c>
      <c r="D487">
        <f>IF(OR($A487="",$B487=""),"",IF(ISNUMBER($A487),MOD($A487,100),IFERROR(VALUE(TRIM(MID(MID($A487,FIND("/",$A487)+1,20),FIND("/",MID($A487,FIND("/",$A487)+1,20))+1,20))),"")))</f>
        <v/>
      </c>
      <c r="E487">
        <f>IF($A487="","",IF(OR($B487="",$C487="",$D487="",$B487&lt;1300,$B487&gt;1500,$C487&lt;1,$C487&gt;12,$D487&lt;1,$D487&gt;31),"نامعتبر",RIGHT("0000"&amp;$B487,4)&amp;"/"&amp;RIGHT("00"&amp;$C487,2)&amp;"/"&amp;RIGHT("00"&amp;$D487,2)))</f>
        <v/>
      </c>
      <c r="F487">
        <f>IF(OR($E487="",$E487="نامعتبر"),"",LEFT($E487,4)&amp;"/"&amp;MID($E487,6,2))</f>
        <v/>
      </c>
      <c r="G487">
        <f>IF(OR($E487="",$E487="نامعتبر",Sync!$X483=""),"",IF(AND(LEFT(UPPER(TRIM(Sync!$X483)),2)="SL",IFERROR(VLOOKUP(Sync!$W483,OpTbl,3,0),"")="فروش"),UPPER(TRIM(Sync!$X483)),""))</f>
        <v/>
      </c>
      <c r="H487">
        <f>IF($G487="","",IF(Sync!$W483="","",Sync!$W483))</f>
        <v/>
      </c>
      <c r="I487">
        <f>IF(OR($G487="",Sync!$Y483=""),"",Sync!$Y483)</f>
        <v/>
      </c>
      <c r="J487">
        <f>IF(OR($G487="",Sync!$Z483=""),"",Sync!$Z483)</f>
        <v/>
      </c>
      <c r="K487">
        <f>IF($G487="",0,IF(Sync!$AA483="",0,Sync!$AA483))</f>
        <v/>
      </c>
      <c r="L487">
        <f>IF($G487="",0,IF(Sync!$AB483="",0,Sync!$AB483))</f>
        <v/>
      </c>
      <c r="M487">
        <f>IF($G487="","",IF($H487="مرجوعی فروش",-1,1)*($K487-$L487*IFERROR(VLOOKUP("P01",ParamTbl,3,0),1.5)))</f>
        <v/>
      </c>
      <c r="N487">
        <f>IF($G487="",0,IF($H487="مرجوعی فروش",-1,1)*IF(Sync!$AC483="",0,Sync!$AC483))</f>
        <v/>
      </c>
      <c r="O487">
        <f>IF(OR($G487="",Sync!$V483=""),"",Sync!$V483)</f>
        <v/>
      </c>
      <c r="P487">
        <f>IF(OR($G487="",Sync!$AD483=""),"",Sync!$AD483)</f>
        <v/>
      </c>
      <c r="Q487">
        <f>IF($G487="","",IF(Sync!$U483="","0000",IF(AND(ISNUMBER(Sync!$U483),Sync!$U483&gt;=0,Sync!$U483&lt;1),RIGHT("00"&amp;HOUR(Sync!$U483),2)&amp;RIGHT("00"&amp;MINUTE(Sync!$U483),2),IFERROR(RIGHT("00"&amp;VALUE(LEFT(Sync!$U483,FIND(":",Sync!$U483)-1)),2)&amp;RIGHT("00"&amp;VALUE(MID(Sync!$U483,FIND(":",Sync!$U483)+1,2)),2),"0000"))))</f>
        <v/>
      </c>
    </row>
    <row r="488">
      <c r="A488">
        <f>IF(Sync!$T484="","",Sync!$T484)</f>
        <v/>
      </c>
      <c r="B488">
        <f>IF($A488="","",IF(ISNUMBER($A488),IF(AND($A488&gt;=10000101,$A488&lt;=99991231),INT($A488/10000),""),IFERROR(VALUE(TRIM(LEFT($A488,FIND("/",$A488)-1))),"")))</f>
        <v/>
      </c>
      <c r="C488">
        <f>IF(OR($A488="",$B488=""),"",IF(ISNUMBER($A488),INT(MOD($A488,10000)/100),IFERROR(VALUE(TRIM(LEFT(MID($A488,FIND("/",$A488)+1,20),FIND("/",MID($A488,FIND("/",$A488)+1,20))-1))),"")))</f>
        <v/>
      </c>
      <c r="D488">
        <f>IF(OR($A488="",$B488=""),"",IF(ISNUMBER($A488),MOD($A488,100),IFERROR(VALUE(TRIM(MID(MID($A488,FIND("/",$A488)+1,20),FIND("/",MID($A488,FIND("/",$A488)+1,20))+1,20))),"")))</f>
        <v/>
      </c>
      <c r="E488">
        <f>IF($A488="","",IF(OR($B488="",$C488="",$D488="",$B488&lt;1300,$B488&gt;1500,$C488&lt;1,$C488&gt;12,$D488&lt;1,$D488&gt;31),"نامعتبر",RIGHT("0000"&amp;$B488,4)&amp;"/"&amp;RIGHT("00"&amp;$C488,2)&amp;"/"&amp;RIGHT("00"&amp;$D488,2)))</f>
        <v/>
      </c>
      <c r="F488">
        <f>IF(OR($E488="",$E488="نامعتبر"),"",LEFT($E488,4)&amp;"/"&amp;MID($E488,6,2))</f>
        <v/>
      </c>
      <c r="G488">
        <f>IF(OR($E488="",$E488="نامعتبر",Sync!$X484=""),"",IF(AND(LEFT(UPPER(TRIM(Sync!$X484)),2)="SL",IFERROR(VLOOKUP(Sync!$W484,OpTbl,3,0),"")="فروش"),UPPER(TRIM(Sync!$X484)),""))</f>
        <v/>
      </c>
      <c r="H488">
        <f>IF($G488="","",IF(Sync!$W484="","",Sync!$W484))</f>
        <v/>
      </c>
      <c r="I488">
        <f>IF(OR($G488="",Sync!$Y484=""),"",Sync!$Y484)</f>
        <v/>
      </c>
      <c r="J488">
        <f>IF(OR($G488="",Sync!$Z484=""),"",Sync!$Z484)</f>
        <v/>
      </c>
      <c r="K488">
        <f>IF($G488="",0,IF(Sync!$AA484="",0,Sync!$AA484))</f>
        <v/>
      </c>
      <c r="L488">
        <f>IF($G488="",0,IF(Sync!$AB484="",0,Sync!$AB484))</f>
        <v/>
      </c>
      <c r="M488">
        <f>IF($G488="","",IF($H488="مرجوعی فروش",-1,1)*($K488-$L488*IFERROR(VLOOKUP("P01",ParamTbl,3,0),1.5)))</f>
        <v/>
      </c>
      <c r="N488">
        <f>IF($G488="",0,IF($H488="مرجوعی فروش",-1,1)*IF(Sync!$AC484="",0,Sync!$AC484))</f>
        <v/>
      </c>
      <c r="O488">
        <f>IF(OR($G488="",Sync!$V484=""),"",Sync!$V484)</f>
        <v/>
      </c>
      <c r="P488">
        <f>IF(OR($G488="",Sync!$AD484=""),"",Sync!$AD484)</f>
        <v/>
      </c>
      <c r="Q488">
        <f>IF($G488="","",IF(Sync!$U484="","0000",IF(AND(ISNUMBER(Sync!$U484),Sync!$U484&gt;=0,Sync!$U484&lt;1),RIGHT("00"&amp;HOUR(Sync!$U484),2)&amp;RIGHT("00"&amp;MINUTE(Sync!$U484),2),IFERROR(RIGHT("00"&amp;VALUE(LEFT(Sync!$U484,FIND(":",Sync!$U484)-1)),2)&amp;RIGHT("00"&amp;VALUE(MID(Sync!$U484,FIND(":",Sync!$U484)+1,2)),2),"0000"))))</f>
        <v/>
      </c>
    </row>
    <row r="489">
      <c r="A489">
        <f>IF(Sync!$T485="","",Sync!$T485)</f>
        <v/>
      </c>
      <c r="B489">
        <f>IF($A489="","",IF(ISNUMBER($A489),IF(AND($A489&gt;=10000101,$A489&lt;=99991231),INT($A489/10000),""),IFERROR(VALUE(TRIM(LEFT($A489,FIND("/",$A489)-1))),"")))</f>
        <v/>
      </c>
      <c r="C489">
        <f>IF(OR($A489="",$B489=""),"",IF(ISNUMBER($A489),INT(MOD($A489,10000)/100),IFERROR(VALUE(TRIM(LEFT(MID($A489,FIND("/",$A489)+1,20),FIND("/",MID($A489,FIND("/",$A489)+1,20))-1))),"")))</f>
        <v/>
      </c>
      <c r="D489">
        <f>IF(OR($A489="",$B489=""),"",IF(ISNUMBER($A489),MOD($A489,100),IFERROR(VALUE(TRIM(MID(MID($A489,FIND("/",$A489)+1,20),FIND("/",MID($A489,FIND("/",$A489)+1,20))+1,20))),"")))</f>
        <v/>
      </c>
      <c r="E489">
        <f>IF($A489="","",IF(OR($B489="",$C489="",$D489="",$B489&lt;1300,$B489&gt;1500,$C489&lt;1,$C489&gt;12,$D489&lt;1,$D489&gt;31),"نامعتبر",RIGHT("0000"&amp;$B489,4)&amp;"/"&amp;RIGHT("00"&amp;$C489,2)&amp;"/"&amp;RIGHT("00"&amp;$D489,2)))</f>
        <v/>
      </c>
      <c r="F489">
        <f>IF(OR($E489="",$E489="نامعتبر"),"",LEFT($E489,4)&amp;"/"&amp;MID($E489,6,2))</f>
        <v/>
      </c>
      <c r="G489">
        <f>IF(OR($E489="",$E489="نامعتبر",Sync!$X485=""),"",IF(AND(LEFT(UPPER(TRIM(Sync!$X485)),2)="SL",IFERROR(VLOOKUP(Sync!$W485,OpTbl,3,0),"")="فروش"),UPPER(TRIM(Sync!$X485)),""))</f>
        <v/>
      </c>
      <c r="H489">
        <f>IF($G489="","",IF(Sync!$W485="","",Sync!$W485))</f>
        <v/>
      </c>
      <c r="I489">
        <f>IF(OR($G489="",Sync!$Y485=""),"",Sync!$Y485)</f>
        <v/>
      </c>
      <c r="J489">
        <f>IF(OR($G489="",Sync!$Z485=""),"",Sync!$Z485)</f>
        <v/>
      </c>
      <c r="K489">
        <f>IF($G489="",0,IF(Sync!$AA485="",0,Sync!$AA485))</f>
        <v/>
      </c>
      <c r="L489">
        <f>IF($G489="",0,IF(Sync!$AB485="",0,Sync!$AB485))</f>
        <v/>
      </c>
      <c r="M489">
        <f>IF($G489="","",IF($H489="مرجوعی فروش",-1,1)*($K489-$L489*IFERROR(VLOOKUP("P01",ParamTbl,3,0),1.5)))</f>
        <v/>
      </c>
      <c r="N489">
        <f>IF($G489="",0,IF($H489="مرجوعی فروش",-1,1)*IF(Sync!$AC485="",0,Sync!$AC485))</f>
        <v/>
      </c>
      <c r="O489">
        <f>IF(OR($G489="",Sync!$V485=""),"",Sync!$V485)</f>
        <v/>
      </c>
      <c r="P489">
        <f>IF(OR($G489="",Sync!$AD485=""),"",Sync!$AD485)</f>
        <v/>
      </c>
      <c r="Q489">
        <f>IF($G489="","",IF(Sync!$U485="","0000",IF(AND(ISNUMBER(Sync!$U485),Sync!$U485&gt;=0,Sync!$U485&lt;1),RIGHT("00"&amp;HOUR(Sync!$U485),2)&amp;RIGHT("00"&amp;MINUTE(Sync!$U485),2),IFERROR(RIGHT("00"&amp;VALUE(LEFT(Sync!$U485,FIND(":",Sync!$U485)-1)),2)&amp;RIGHT("00"&amp;VALUE(MID(Sync!$U485,FIND(":",Sync!$U485)+1,2)),2),"0000"))))</f>
        <v/>
      </c>
    </row>
    <row r="490">
      <c r="A490">
        <f>IF(Sync!$T486="","",Sync!$T486)</f>
        <v/>
      </c>
      <c r="B490">
        <f>IF($A490="","",IF(ISNUMBER($A490),IF(AND($A490&gt;=10000101,$A490&lt;=99991231),INT($A490/10000),""),IFERROR(VALUE(TRIM(LEFT($A490,FIND("/",$A490)-1))),"")))</f>
        <v/>
      </c>
      <c r="C490">
        <f>IF(OR($A490="",$B490=""),"",IF(ISNUMBER($A490),INT(MOD($A490,10000)/100),IFERROR(VALUE(TRIM(LEFT(MID($A490,FIND("/",$A490)+1,20),FIND("/",MID($A490,FIND("/",$A490)+1,20))-1))),"")))</f>
        <v/>
      </c>
      <c r="D490">
        <f>IF(OR($A490="",$B490=""),"",IF(ISNUMBER($A490),MOD($A490,100),IFERROR(VALUE(TRIM(MID(MID($A490,FIND("/",$A490)+1,20),FIND("/",MID($A490,FIND("/",$A490)+1,20))+1,20))),"")))</f>
        <v/>
      </c>
      <c r="E490">
        <f>IF($A490="","",IF(OR($B490="",$C490="",$D490="",$B490&lt;1300,$B490&gt;1500,$C490&lt;1,$C490&gt;12,$D490&lt;1,$D490&gt;31),"نامعتبر",RIGHT("0000"&amp;$B490,4)&amp;"/"&amp;RIGHT("00"&amp;$C490,2)&amp;"/"&amp;RIGHT("00"&amp;$D490,2)))</f>
        <v/>
      </c>
      <c r="F490">
        <f>IF(OR($E490="",$E490="نامعتبر"),"",LEFT($E490,4)&amp;"/"&amp;MID($E490,6,2))</f>
        <v/>
      </c>
      <c r="G490">
        <f>IF(OR($E490="",$E490="نامعتبر",Sync!$X486=""),"",IF(AND(LEFT(UPPER(TRIM(Sync!$X486)),2)="SL",IFERROR(VLOOKUP(Sync!$W486,OpTbl,3,0),"")="فروش"),UPPER(TRIM(Sync!$X486)),""))</f>
        <v/>
      </c>
      <c r="H490">
        <f>IF($G490="","",IF(Sync!$W486="","",Sync!$W486))</f>
        <v/>
      </c>
      <c r="I490">
        <f>IF(OR($G490="",Sync!$Y486=""),"",Sync!$Y486)</f>
        <v/>
      </c>
      <c r="J490">
        <f>IF(OR($G490="",Sync!$Z486=""),"",Sync!$Z486)</f>
        <v/>
      </c>
      <c r="K490">
        <f>IF($G490="",0,IF(Sync!$AA486="",0,Sync!$AA486))</f>
        <v/>
      </c>
      <c r="L490">
        <f>IF($G490="",0,IF(Sync!$AB486="",0,Sync!$AB486))</f>
        <v/>
      </c>
      <c r="M490">
        <f>IF($G490="","",IF($H490="مرجوعی فروش",-1,1)*($K490-$L490*IFERROR(VLOOKUP("P01",ParamTbl,3,0),1.5)))</f>
        <v/>
      </c>
      <c r="N490">
        <f>IF($G490="",0,IF($H490="مرجوعی فروش",-1,1)*IF(Sync!$AC486="",0,Sync!$AC486))</f>
        <v/>
      </c>
      <c r="O490">
        <f>IF(OR($G490="",Sync!$V486=""),"",Sync!$V486)</f>
        <v/>
      </c>
      <c r="P490">
        <f>IF(OR($G490="",Sync!$AD486=""),"",Sync!$AD486)</f>
        <v/>
      </c>
      <c r="Q490">
        <f>IF($G490="","",IF(Sync!$U486="","0000",IF(AND(ISNUMBER(Sync!$U486),Sync!$U486&gt;=0,Sync!$U486&lt;1),RIGHT("00"&amp;HOUR(Sync!$U486),2)&amp;RIGHT("00"&amp;MINUTE(Sync!$U486),2),IFERROR(RIGHT("00"&amp;VALUE(LEFT(Sync!$U486,FIND(":",Sync!$U486)-1)),2)&amp;RIGHT("00"&amp;VALUE(MID(Sync!$U486,FIND(":",Sync!$U486)+1,2)),2),"0000"))))</f>
        <v/>
      </c>
    </row>
    <row r="491">
      <c r="A491">
        <f>IF(Sync!$T487="","",Sync!$T487)</f>
        <v/>
      </c>
      <c r="B491">
        <f>IF($A491="","",IF(ISNUMBER($A491),IF(AND($A491&gt;=10000101,$A491&lt;=99991231),INT($A491/10000),""),IFERROR(VALUE(TRIM(LEFT($A491,FIND("/",$A491)-1))),"")))</f>
        <v/>
      </c>
      <c r="C491">
        <f>IF(OR($A491="",$B491=""),"",IF(ISNUMBER($A491),INT(MOD($A491,10000)/100),IFERROR(VALUE(TRIM(LEFT(MID($A491,FIND("/",$A491)+1,20),FIND("/",MID($A491,FIND("/",$A491)+1,20))-1))),"")))</f>
        <v/>
      </c>
      <c r="D491">
        <f>IF(OR($A491="",$B491=""),"",IF(ISNUMBER($A491),MOD($A491,100),IFERROR(VALUE(TRIM(MID(MID($A491,FIND("/",$A491)+1,20),FIND("/",MID($A491,FIND("/",$A491)+1,20))+1,20))),"")))</f>
        <v/>
      </c>
      <c r="E491">
        <f>IF($A491="","",IF(OR($B491="",$C491="",$D491="",$B491&lt;1300,$B491&gt;1500,$C491&lt;1,$C491&gt;12,$D491&lt;1,$D491&gt;31),"نامعتبر",RIGHT("0000"&amp;$B491,4)&amp;"/"&amp;RIGHT("00"&amp;$C491,2)&amp;"/"&amp;RIGHT("00"&amp;$D491,2)))</f>
        <v/>
      </c>
      <c r="F491">
        <f>IF(OR($E491="",$E491="نامعتبر"),"",LEFT($E491,4)&amp;"/"&amp;MID($E491,6,2))</f>
        <v/>
      </c>
      <c r="G491">
        <f>IF(OR($E491="",$E491="نامعتبر",Sync!$X487=""),"",IF(AND(LEFT(UPPER(TRIM(Sync!$X487)),2)="SL",IFERROR(VLOOKUP(Sync!$W487,OpTbl,3,0),"")="فروش"),UPPER(TRIM(Sync!$X487)),""))</f>
        <v/>
      </c>
      <c r="H491">
        <f>IF($G491="","",IF(Sync!$W487="","",Sync!$W487))</f>
        <v/>
      </c>
      <c r="I491">
        <f>IF(OR($G491="",Sync!$Y487=""),"",Sync!$Y487)</f>
        <v/>
      </c>
      <c r="J491">
        <f>IF(OR($G491="",Sync!$Z487=""),"",Sync!$Z487)</f>
        <v/>
      </c>
      <c r="K491">
        <f>IF($G491="",0,IF(Sync!$AA487="",0,Sync!$AA487))</f>
        <v/>
      </c>
      <c r="L491">
        <f>IF($G491="",0,IF(Sync!$AB487="",0,Sync!$AB487))</f>
        <v/>
      </c>
      <c r="M491">
        <f>IF($G491="","",IF($H491="مرجوعی فروش",-1,1)*($K491-$L491*IFERROR(VLOOKUP("P01",ParamTbl,3,0),1.5)))</f>
        <v/>
      </c>
      <c r="N491">
        <f>IF($G491="",0,IF($H491="مرجوعی فروش",-1,1)*IF(Sync!$AC487="",0,Sync!$AC487))</f>
        <v/>
      </c>
      <c r="O491">
        <f>IF(OR($G491="",Sync!$V487=""),"",Sync!$V487)</f>
        <v/>
      </c>
      <c r="P491">
        <f>IF(OR($G491="",Sync!$AD487=""),"",Sync!$AD487)</f>
        <v/>
      </c>
      <c r="Q491">
        <f>IF($G491="","",IF(Sync!$U487="","0000",IF(AND(ISNUMBER(Sync!$U487),Sync!$U487&gt;=0,Sync!$U487&lt;1),RIGHT("00"&amp;HOUR(Sync!$U487),2)&amp;RIGHT("00"&amp;MINUTE(Sync!$U487),2),IFERROR(RIGHT("00"&amp;VALUE(LEFT(Sync!$U487,FIND(":",Sync!$U487)-1)),2)&amp;RIGHT("00"&amp;VALUE(MID(Sync!$U487,FIND(":",Sync!$U487)+1,2)),2),"0000"))))</f>
        <v/>
      </c>
    </row>
    <row r="492">
      <c r="A492">
        <f>IF(Sync!$T488="","",Sync!$T488)</f>
        <v/>
      </c>
      <c r="B492">
        <f>IF($A492="","",IF(ISNUMBER($A492),IF(AND($A492&gt;=10000101,$A492&lt;=99991231),INT($A492/10000),""),IFERROR(VALUE(TRIM(LEFT($A492,FIND("/",$A492)-1))),"")))</f>
        <v/>
      </c>
      <c r="C492">
        <f>IF(OR($A492="",$B492=""),"",IF(ISNUMBER($A492),INT(MOD($A492,10000)/100),IFERROR(VALUE(TRIM(LEFT(MID($A492,FIND("/",$A492)+1,20),FIND("/",MID($A492,FIND("/",$A492)+1,20))-1))),"")))</f>
        <v/>
      </c>
      <c r="D492">
        <f>IF(OR($A492="",$B492=""),"",IF(ISNUMBER($A492),MOD($A492,100),IFERROR(VALUE(TRIM(MID(MID($A492,FIND("/",$A492)+1,20),FIND("/",MID($A492,FIND("/",$A492)+1,20))+1,20))),"")))</f>
        <v/>
      </c>
      <c r="E492">
        <f>IF($A492="","",IF(OR($B492="",$C492="",$D492="",$B492&lt;1300,$B492&gt;1500,$C492&lt;1,$C492&gt;12,$D492&lt;1,$D492&gt;31),"نامعتبر",RIGHT("0000"&amp;$B492,4)&amp;"/"&amp;RIGHT("00"&amp;$C492,2)&amp;"/"&amp;RIGHT("00"&amp;$D492,2)))</f>
        <v/>
      </c>
      <c r="F492">
        <f>IF(OR($E492="",$E492="نامعتبر"),"",LEFT($E492,4)&amp;"/"&amp;MID($E492,6,2))</f>
        <v/>
      </c>
      <c r="G492">
        <f>IF(OR($E492="",$E492="نامعتبر",Sync!$X488=""),"",IF(AND(LEFT(UPPER(TRIM(Sync!$X488)),2)="SL",IFERROR(VLOOKUP(Sync!$W488,OpTbl,3,0),"")="فروش"),UPPER(TRIM(Sync!$X488)),""))</f>
        <v/>
      </c>
      <c r="H492">
        <f>IF($G492="","",IF(Sync!$W488="","",Sync!$W488))</f>
        <v/>
      </c>
      <c r="I492">
        <f>IF(OR($G492="",Sync!$Y488=""),"",Sync!$Y488)</f>
        <v/>
      </c>
      <c r="J492">
        <f>IF(OR($G492="",Sync!$Z488=""),"",Sync!$Z488)</f>
        <v/>
      </c>
      <c r="K492">
        <f>IF($G492="",0,IF(Sync!$AA488="",0,Sync!$AA488))</f>
        <v/>
      </c>
      <c r="L492">
        <f>IF($G492="",0,IF(Sync!$AB488="",0,Sync!$AB488))</f>
        <v/>
      </c>
      <c r="M492">
        <f>IF($G492="","",IF($H492="مرجوعی فروش",-1,1)*($K492-$L492*IFERROR(VLOOKUP("P01",ParamTbl,3,0),1.5)))</f>
        <v/>
      </c>
      <c r="N492">
        <f>IF($G492="",0,IF($H492="مرجوعی فروش",-1,1)*IF(Sync!$AC488="",0,Sync!$AC488))</f>
        <v/>
      </c>
      <c r="O492">
        <f>IF(OR($G492="",Sync!$V488=""),"",Sync!$V488)</f>
        <v/>
      </c>
      <c r="P492">
        <f>IF(OR($G492="",Sync!$AD488=""),"",Sync!$AD488)</f>
        <v/>
      </c>
      <c r="Q492">
        <f>IF($G492="","",IF(Sync!$U488="","0000",IF(AND(ISNUMBER(Sync!$U488),Sync!$U488&gt;=0,Sync!$U488&lt;1),RIGHT("00"&amp;HOUR(Sync!$U488),2)&amp;RIGHT("00"&amp;MINUTE(Sync!$U488),2),IFERROR(RIGHT("00"&amp;VALUE(LEFT(Sync!$U488,FIND(":",Sync!$U488)-1)),2)&amp;RIGHT("00"&amp;VALUE(MID(Sync!$U488,FIND(":",Sync!$U488)+1,2)),2),"0000"))))</f>
        <v/>
      </c>
    </row>
    <row r="493">
      <c r="A493">
        <f>IF(Sync!$T489="","",Sync!$T489)</f>
        <v/>
      </c>
      <c r="B493">
        <f>IF($A493="","",IF(ISNUMBER($A493),IF(AND($A493&gt;=10000101,$A493&lt;=99991231),INT($A493/10000),""),IFERROR(VALUE(TRIM(LEFT($A493,FIND("/",$A493)-1))),"")))</f>
        <v/>
      </c>
      <c r="C493">
        <f>IF(OR($A493="",$B493=""),"",IF(ISNUMBER($A493),INT(MOD($A493,10000)/100),IFERROR(VALUE(TRIM(LEFT(MID($A493,FIND("/",$A493)+1,20),FIND("/",MID($A493,FIND("/",$A493)+1,20))-1))),"")))</f>
        <v/>
      </c>
      <c r="D493">
        <f>IF(OR($A493="",$B493=""),"",IF(ISNUMBER($A493),MOD($A493,100),IFERROR(VALUE(TRIM(MID(MID($A493,FIND("/",$A493)+1,20),FIND("/",MID($A493,FIND("/",$A493)+1,20))+1,20))),"")))</f>
        <v/>
      </c>
      <c r="E493">
        <f>IF($A493="","",IF(OR($B493="",$C493="",$D493="",$B493&lt;1300,$B493&gt;1500,$C493&lt;1,$C493&gt;12,$D493&lt;1,$D493&gt;31),"نامعتبر",RIGHT("0000"&amp;$B493,4)&amp;"/"&amp;RIGHT("00"&amp;$C493,2)&amp;"/"&amp;RIGHT("00"&amp;$D493,2)))</f>
        <v/>
      </c>
      <c r="F493">
        <f>IF(OR($E493="",$E493="نامعتبر"),"",LEFT($E493,4)&amp;"/"&amp;MID($E493,6,2))</f>
        <v/>
      </c>
      <c r="G493">
        <f>IF(OR($E493="",$E493="نامعتبر",Sync!$X489=""),"",IF(AND(LEFT(UPPER(TRIM(Sync!$X489)),2)="SL",IFERROR(VLOOKUP(Sync!$W489,OpTbl,3,0),"")="فروش"),UPPER(TRIM(Sync!$X489)),""))</f>
        <v/>
      </c>
      <c r="H493">
        <f>IF($G493="","",IF(Sync!$W489="","",Sync!$W489))</f>
        <v/>
      </c>
      <c r="I493">
        <f>IF(OR($G493="",Sync!$Y489=""),"",Sync!$Y489)</f>
        <v/>
      </c>
      <c r="J493">
        <f>IF(OR($G493="",Sync!$Z489=""),"",Sync!$Z489)</f>
        <v/>
      </c>
      <c r="K493">
        <f>IF($G493="",0,IF(Sync!$AA489="",0,Sync!$AA489))</f>
        <v/>
      </c>
      <c r="L493">
        <f>IF($G493="",0,IF(Sync!$AB489="",0,Sync!$AB489))</f>
        <v/>
      </c>
      <c r="M493">
        <f>IF($G493="","",IF($H493="مرجوعی فروش",-1,1)*($K493-$L493*IFERROR(VLOOKUP("P01",ParamTbl,3,0),1.5)))</f>
        <v/>
      </c>
      <c r="N493">
        <f>IF($G493="",0,IF($H493="مرجوعی فروش",-1,1)*IF(Sync!$AC489="",0,Sync!$AC489))</f>
        <v/>
      </c>
      <c r="O493">
        <f>IF(OR($G493="",Sync!$V489=""),"",Sync!$V489)</f>
        <v/>
      </c>
      <c r="P493">
        <f>IF(OR($G493="",Sync!$AD489=""),"",Sync!$AD489)</f>
        <v/>
      </c>
      <c r="Q493">
        <f>IF($G493="","",IF(Sync!$U489="","0000",IF(AND(ISNUMBER(Sync!$U489),Sync!$U489&gt;=0,Sync!$U489&lt;1),RIGHT("00"&amp;HOUR(Sync!$U489),2)&amp;RIGHT("00"&amp;MINUTE(Sync!$U489),2),IFERROR(RIGHT("00"&amp;VALUE(LEFT(Sync!$U489,FIND(":",Sync!$U489)-1)),2)&amp;RIGHT("00"&amp;VALUE(MID(Sync!$U489,FIND(":",Sync!$U489)+1,2)),2),"0000"))))</f>
        <v/>
      </c>
    </row>
    <row r="494">
      <c r="A494">
        <f>IF(Sync!$T490="","",Sync!$T490)</f>
        <v/>
      </c>
      <c r="B494">
        <f>IF($A494="","",IF(ISNUMBER($A494),IF(AND($A494&gt;=10000101,$A494&lt;=99991231),INT($A494/10000),""),IFERROR(VALUE(TRIM(LEFT($A494,FIND("/",$A494)-1))),"")))</f>
        <v/>
      </c>
      <c r="C494">
        <f>IF(OR($A494="",$B494=""),"",IF(ISNUMBER($A494),INT(MOD($A494,10000)/100),IFERROR(VALUE(TRIM(LEFT(MID($A494,FIND("/",$A494)+1,20),FIND("/",MID($A494,FIND("/",$A494)+1,20))-1))),"")))</f>
        <v/>
      </c>
      <c r="D494">
        <f>IF(OR($A494="",$B494=""),"",IF(ISNUMBER($A494),MOD($A494,100),IFERROR(VALUE(TRIM(MID(MID($A494,FIND("/",$A494)+1,20),FIND("/",MID($A494,FIND("/",$A494)+1,20))+1,20))),"")))</f>
        <v/>
      </c>
      <c r="E494">
        <f>IF($A494="","",IF(OR($B494="",$C494="",$D494="",$B494&lt;1300,$B494&gt;1500,$C494&lt;1,$C494&gt;12,$D494&lt;1,$D494&gt;31),"نامعتبر",RIGHT("0000"&amp;$B494,4)&amp;"/"&amp;RIGHT("00"&amp;$C494,2)&amp;"/"&amp;RIGHT("00"&amp;$D494,2)))</f>
        <v/>
      </c>
      <c r="F494">
        <f>IF(OR($E494="",$E494="نامعتبر"),"",LEFT($E494,4)&amp;"/"&amp;MID($E494,6,2))</f>
        <v/>
      </c>
      <c r="G494">
        <f>IF(OR($E494="",$E494="نامعتبر",Sync!$X490=""),"",IF(AND(LEFT(UPPER(TRIM(Sync!$X490)),2)="SL",IFERROR(VLOOKUP(Sync!$W490,OpTbl,3,0),"")="فروش"),UPPER(TRIM(Sync!$X490)),""))</f>
        <v/>
      </c>
      <c r="H494">
        <f>IF($G494="","",IF(Sync!$W490="","",Sync!$W490))</f>
        <v/>
      </c>
      <c r="I494">
        <f>IF(OR($G494="",Sync!$Y490=""),"",Sync!$Y490)</f>
        <v/>
      </c>
      <c r="J494">
        <f>IF(OR($G494="",Sync!$Z490=""),"",Sync!$Z490)</f>
        <v/>
      </c>
      <c r="K494">
        <f>IF($G494="",0,IF(Sync!$AA490="",0,Sync!$AA490))</f>
        <v/>
      </c>
      <c r="L494">
        <f>IF($G494="",0,IF(Sync!$AB490="",0,Sync!$AB490))</f>
        <v/>
      </c>
      <c r="M494">
        <f>IF($G494="","",IF($H494="مرجوعی فروش",-1,1)*($K494-$L494*IFERROR(VLOOKUP("P01",ParamTbl,3,0),1.5)))</f>
        <v/>
      </c>
      <c r="N494">
        <f>IF($G494="",0,IF($H494="مرجوعی فروش",-1,1)*IF(Sync!$AC490="",0,Sync!$AC490))</f>
        <v/>
      </c>
      <c r="O494">
        <f>IF(OR($G494="",Sync!$V490=""),"",Sync!$V490)</f>
        <v/>
      </c>
      <c r="P494">
        <f>IF(OR($G494="",Sync!$AD490=""),"",Sync!$AD490)</f>
        <v/>
      </c>
      <c r="Q494">
        <f>IF($G494="","",IF(Sync!$U490="","0000",IF(AND(ISNUMBER(Sync!$U490),Sync!$U490&gt;=0,Sync!$U490&lt;1),RIGHT("00"&amp;HOUR(Sync!$U490),2)&amp;RIGHT("00"&amp;MINUTE(Sync!$U490),2),IFERROR(RIGHT("00"&amp;VALUE(LEFT(Sync!$U490,FIND(":",Sync!$U490)-1)),2)&amp;RIGHT("00"&amp;VALUE(MID(Sync!$U490,FIND(":",Sync!$U490)+1,2)),2),"0000"))))</f>
        <v/>
      </c>
    </row>
    <row r="495">
      <c r="A495">
        <f>IF(Sync!$T491="","",Sync!$T491)</f>
        <v/>
      </c>
      <c r="B495">
        <f>IF($A495="","",IF(ISNUMBER($A495),IF(AND($A495&gt;=10000101,$A495&lt;=99991231),INT($A495/10000),""),IFERROR(VALUE(TRIM(LEFT($A495,FIND("/",$A495)-1))),"")))</f>
        <v/>
      </c>
      <c r="C495">
        <f>IF(OR($A495="",$B495=""),"",IF(ISNUMBER($A495),INT(MOD($A495,10000)/100),IFERROR(VALUE(TRIM(LEFT(MID($A495,FIND("/",$A495)+1,20),FIND("/",MID($A495,FIND("/",$A495)+1,20))-1))),"")))</f>
        <v/>
      </c>
      <c r="D495">
        <f>IF(OR($A495="",$B495=""),"",IF(ISNUMBER($A495),MOD($A495,100),IFERROR(VALUE(TRIM(MID(MID($A495,FIND("/",$A495)+1,20),FIND("/",MID($A495,FIND("/",$A495)+1,20))+1,20))),"")))</f>
        <v/>
      </c>
      <c r="E495">
        <f>IF($A495="","",IF(OR($B495="",$C495="",$D495="",$B495&lt;1300,$B495&gt;1500,$C495&lt;1,$C495&gt;12,$D495&lt;1,$D495&gt;31),"نامعتبر",RIGHT("0000"&amp;$B495,4)&amp;"/"&amp;RIGHT("00"&amp;$C495,2)&amp;"/"&amp;RIGHT("00"&amp;$D495,2)))</f>
        <v/>
      </c>
      <c r="F495">
        <f>IF(OR($E495="",$E495="نامعتبر"),"",LEFT($E495,4)&amp;"/"&amp;MID($E495,6,2))</f>
        <v/>
      </c>
      <c r="G495">
        <f>IF(OR($E495="",$E495="نامعتبر",Sync!$X491=""),"",IF(AND(LEFT(UPPER(TRIM(Sync!$X491)),2)="SL",IFERROR(VLOOKUP(Sync!$W491,OpTbl,3,0),"")="فروش"),UPPER(TRIM(Sync!$X491)),""))</f>
        <v/>
      </c>
      <c r="H495">
        <f>IF($G495="","",IF(Sync!$W491="","",Sync!$W491))</f>
        <v/>
      </c>
      <c r="I495">
        <f>IF(OR($G495="",Sync!$Y491=""),"",Sync!$Y491)</f>
        <v/>
      </c>
      <c r="J495">
        <f>IF(OR($G495="",Sync!$Z491=""),"",Sync!$Z491)</f>
        <v/>
      </c>
      <c r="K495">
        <f>IF($G495="",0,IF(Sync!$AA491="",0,Sync!$AA491))</f>
        <v/>
      </c>
      <c r="L495">
        <f>IF($G495="",0,IF(Sync!$AB491="",0,Sync!$AB491))</f>
        <v/>
      </c>
      <c r="M495">
        <f>IF($G495="","",IF($H495="مرجوعی فروش",-1,1)*($K495-$L495*IFERROR(VLOOKUP("P01",ParamTbl,3,0),1.5)))</f>
        <v/>
      </c>
      <c r="N495">
        <f>IF($G495="",0,IF($H495="مرجوعی فروش",-1,1)*IF(Sync!$AC491="",0,Sync!$AC491))</f>
        <v/>
      </c>
      <c r="O495">
        <f>IF(OR($G495="",Sync!$V491=""),"",Sync!$V491)</f>
        <v/>
      </c>
      <c r="P495">
        <f>IF(OR($G495="",Sync!$AD491=""),"",Sync!$AD491)</f>
        <v/>
      </c>
      <c r="Q495">
        <f>IF($G495="","",IF(Sync!$U491="","0000",IF(AND(ISNUMBER(Sync!$U491),Sync!$U491&gt;=0,Sync!$U491&lt;1),RIGHT("00"&amp;HOUR(Sync!$U491),2)&amp;RIGHT("00"&amp;MINUTE(Sync!$U491),2),IFERROR(RIGHT("00"&amp;VALUE(LEFT(Sync!$U491,FIND(":",Sync!$U491)-1)),2)&amp;RIGHT("00"&amp;VALUE(MID(Sync!$U491,FIND(":",Sync!$U491)+1,2)),2),"0000"))))</f>
        <v/>
      </c>
    </row>
    <row r="496">
      <c r="A496">
        <f>IF(Sync!$T492="","",Sync!$T492)</f>
        <v/>
      </c>
      <c r="B496">
        <f>IF($A496="","",IF(ISNUMBER($A496),IF(AND($A496&gt;=10000101,$A496&lt;=99991231),INT($A496/10000),""),IFERROR(VALUE(TRIM(LEFT($A496,FIND("/",$A496)-1))),"")))</f>
        <v/>
      </c>
      <c r="C496">
        <f>IF(OR($A496="",$B496=""),"",IF(ISNUMBER($A496),INT(MOD($A496,10000)/100),IFERROR(VALUE(TRIM(LEFT(MID($A496,FIND("/",$A496)+1,20),FIND("/",MID($A496,FIND("/",$A496)+1,20))-1))),"")))</f>
        <v/>
      </c>
      <c r="D496">
        <f>IF(OR($A496="",$B496=""),"",IF(ISNUMBER($A496),MOD($A496,100),IFERROR(VALUE(TRIM(MID(MID($A496,FIND("/",$A496)+1,20),FIND("/",MID($A496,FIND("/",$A496)+1,20))+1,20))),"")))</f>
        <v/>
      </c>
      <c r="E496">
        <f>IF($A496="","",IF(OR($B496="",$C496="",$D496="",$B496&lt;1300,$B496&gt;1500,$C496&lt;1,$C496&gt;12,$D496&lt;1,$D496&gt;31),"نامعتبر",RIGHT("0000"&amp;$B496,4)&amp;"/"&amp;RIGHT("00"&amp;$C496,2)&amp;"/"&amp;RIGHT("00"&amp;$D496,2)))</f>
        <v/>
      </c>
      <c r="F496">
        <f>IF(OR($E496="",$E496="نامعتبر"),"",LEFT($E496,4)&amp;"/"&amp;MID($E496,6,2))</f>
        <v/>
      </c>
      <c r="G496">
        <f>IF(OR($E496="",$E496="نامعتبر",Sync!$X492=""),"",IF(AND(LEFT(UPPER(TRIM(Sync!$X492)),2)="SL",IFERROR(VLOOKUP(Sync!$W492,OpTbl,3,0),"")="فروش"),UPPER(TRIM(Sync!$X492)),""))</f>
        <v/>
      </c>
      <c r="H496">
        <f>IF($G496="","",IF(Sync!$W492="","",Sync!$W492))</f>
        <v/>
      </c>
      <c r="I496">
        <f>IF(OR($G496="",Sync!$Y492=""),"",Sync!$Y492)</f>
        <v/>
      </c>
      <c r="J496">
        <f>IF(OR($G496="",Sync!$Z492=""),"",Sync!$Z492)</f>
        <v/>
      </c>
      <c r="K496">
        <f>IF($G496="",0,IF(Sync!$AA492="",0,Sync!$AA492))</f>
        <v/>
      </c>
      <c r="L496">
        <f>IF($G496="",0,IF(Sync!$AB492="",0,Sync!$AB492))</f>
        <v/>
      </c>
      <c r="M496">
        <f>IF($G496="","",IF($H496="مرجوعی فروش",-1,1)*($K496-$L496*IFERROR(VLOOKUP("P01",ParamTbl,3,0),1.5)))</f>
        <v/>
      </c>
      <c r="N496">
        <f>IF($G496="",0,IF($H496="مرجوعی فروش",-1,1)*IF(Sync!$AC492="",0,Sync!$AC492))</f>
        <v/>
      </c>
      <c r="O496">
        <f>IF(OR($G496="",Sync!$V492=""),"",Sync!$V492)</f>
        <v/>
      </c>
      <c r="P496">
        <f>IF(OR($G496="",Sync!$AD492=""),"",Sync!$AD492)</f>
        <v/>
      </c>
      <c r="Q496">
        <f>IF($G496="","",IF(Sync!$U492="","0000",IF(AND(ISNUMBER(Sync!$U492),Sync!$U492&gt;=0,Sync!$U492&lt;1),RIGHT("00"&amp;HOUR(Sync!$U492),2)&amp;RIGHT("00"&amp;MINUTE(Sync!$U492),2),IFERROR(RIGHT("00"&amp;VALUE(LEFT(Sync!$U492,FIND(":",Sync!$U492)-1)),2)&amp;RIGHT("00"&amp;VALUE(MID(Sync!$U492,FIND(":",Sync!$U492)+1,2)),2),"0000"))))</f>
        <v/>
      </c>
    </row>
    <row r="497">
      <c r="A497">
        <f>IF(Sync!$T493="","",Sync!$T493)</f>
        <v/>
      </c>
      <c r="B497">
        <f>IF($A497="","",IF(ISNUMBER($A497),IF(AND($A497&gt;=10000101,$A497&lt;=99991231),INT($A497/10000),""),IFERROR(VALUE(TRIM(LEFT($A497,FIND("/",$A497)-1))),"")))</f>
        <v/>
      </c>
      <c r="C497">
        <f>IF(OR($A497="",$B497=""),"",IF(ISNUMBER($A497),INT(MOD($A497,10000)/100),IFERROR(VALUE(TRIM(LEFT(MID($A497,FIND("/",$A497)+1,20),FIND("/",MID($A497,FIND("/",$A497)+1,20))-1))),"")))</f>
        <v/>
      </c>
      <c r="D497">
        <f>IF(OR($A497="",$B497=""),"",IF(ISNUMBER($A497),MOD($A497,100),IFERROR(VALUE(TRIM(MID(MID($A497,FIND("/",$A497)+1,20),FIND("/",MID($A497,FIND("/",$A497)+1,20))+1,20))),"")))</f>
        <v/>
      </c>
      <c r="E497">
        <f>IF($A497="","",IF(OR($B497="",$C497="",$D497="",$B497&lt;1300,$B497&gt;1500,$C497&lt;1,$C497&gt;12,$D497&lt;1,$D497&gt;31),"نامعتبر",RIGHT("0000"&amp;$B497,4)&amp;"/"&amp;RIGHT("00"&amp;$C497,2)&amp;"/"&amp;RIGHT("00"&amp;$D497,2)))</f>
        <v/>
      </c>
      <c r="F497">
        <f>IF(OR($E497="",$E497="نامعتبر"),"",LEFT($E497,4)&amp;"/"&amp;MID($E497,6,2))</f>
        <v/>
      </c>
      <c r="G497">
        <f>IF(OR($E497="",$E497="نامعتبر",Sync!$X493=""),"",IF(AND(LEFT(UPPER(TRIM(Sync!$X493)),2)="SL",IFERROR(VLOOKUP(Sync!$W493,OpTbl,3,0),"")="فروش"),UPPER(TRIM(Sync!$X493)),""))</f>
        <v/>
      </c>
      <c r="H497">
        <f>IF($G497="","",IF(Sync!$W493="","",Sync!$W493))</f>
        <v/>
      </c>
      <c r="I497">
        <f>IF(OR($G497="",Sync!$Y493=""),"",Sync!$Y493)</f>
        <v/>
      </c>
      <c r="J497">
        <f>IF(OR($G497="",Sync!$Z493=""),"",Sync!$Z493)</f>
        <v/>
      </c>
      <c r="K497">
        <f>IF($G497="",0,IF(Sync!$AA493="",0,Sync!$AA493))</f>
        <v/>
      </c>
      <c r="L497">
        <f>IF($G497="",0,IF(Sync!$AB493="",0,Sync!$AB493))</f>
        <v/>
      </c>
      <c r="M497">
        <f>IF($G497="","",IF($H497="مرجوعی فروش",-1,1)*($K497-$L497*IFERROR(VLOOKUP("P01",ParamTbl,3,0),1.5)))</f>
        <v/>
      </c>
      <c r="N497">
        <f>IF($G497="",0,IF($H497="مرجوعی فروش",-1,1)*IF(Sync!$AC493="",0,Sync!$AC493))</f>
        <v/>
      </c>
      <c r="O497">
        <f>IF(OR($G497="",Sync!$V493=""),"",Sync!$V493)</f>
        <v/>
      </c>
      <c r="P497">
        <f>IF(OR($G497="",Sync!$AD493=""),"",Sync!$AD493)</f>
        <v/>
      </c>
      <c r="Q497">
        <f>IF($G497="","",IF(Sync!$U493="","0000",IF(AND(ISNUMBER(Sync!$U493),Sync!$U493&gt;=0,Sync!$U493&lt;1),RIGHT("00"&amp;HOUR(Sync!$U493),2)&amp;RIGHT("00"&amp;MINUTE(Sync!$U493),2),IFERROR(RIGHT("00"&amp;VALUE(LEFT(Sync!$U493,FIND(":",Sync!$U493)-1)),2)&amp;RIGHT("00"&amp;VALUE(MID(Sync!$U493,FIND(":",Sync!$U493)+1,2)),2),"0000"))))</f>
        <v/>
      </c>
    </row>
    <row r="498">
      <c r="A498">
        <f>IF(Sync!$T494="","",Sync!$T494)</f>
        <v/>
      </c>
      <c r="B498">
        <f>IF($A498="","",IF(ISNUMBER($A498),IF(AND($A498&gt;=10000101,$A498&lt;=99991231),INT($A498/10000),""),IFERROR(VALUE(TRIM(LEFT($A498,FIND("/",$A498)-1))),"")))</f>
        <v/>
      </c>
      <c r="C498">
        <f>IF(OR($A498="",$B498=""),"",IF(ISNUMBER($A498),INT(MOD($A498,10000)/100),IFERROR(VALUE(TRIM(LEFT(MID($A498,FIND("/",$A498)+1,20),FIND("/",MID($A498,FIND("/",$A498)+1,20))-1))),"")))</f>
        <v/>
      </c>
      <c r="D498">
        <f>IF(OR($A498="",$B498=""),"",IF(ISNUMBER($A498),MOD($A498,100),IFERROR(VALUE(TRIM(MID(MID($A498,FIND("/",$A498)+1,20),FIND("/",MID($A498,FIND("/",$A498)+1,20))+1,20))),"")))</f>
        <v/>
      </c>
      <c r="E498">
        <f>IF($A498="","",IF(OR($B498="",$C498="",$D498="",$B498&lt;1300,$B498&gt;1500,$C498&lt;1,$C498&gt;12,$D498&lt;1,$D498&gt;31),"نامعتبر",RIGHT("0000"&amp;$B498,4)&amp;"/"&amp;RIGHT("00"&amp;$C498,2)&amp;"/"&amp;RIGHT("00"&amp;$D498,2)))</f>
        <v/>
      </c>
      <c r="F498">
        <f>IF(OR($E498="",$E498="نامعتبر"),"",LEFT($E498,4)&amp;"/"&amp;MID($E498,6,2))</f>
        <v/>
      </c>
      <c r="G498">
        <f>IF(OR($E498="",$E498="نامعتبر",Sync!$X494=""),"",IF(AND(LEFT(UPPER(TRIM(Sync!$X494)),2)="SL",IFERROR(VLOOKUP(Sync!$W494,OpTbl,3,0),"")="فروش"),UPPER(TRIM(Sync!$X494)),""))</f>
        <v/>
      </c>
      <c r="H498">
        <f>IF($G498="","",IF(Sync!$W494="","",Sync!$W494))</f>
        <v/>
      </c>
      <c r="I498">
        <f>IF(OR($G498="",Sync!$Y494=""),"",Sync!$Y494)</f>
        <v/>
      </c>
      <c r="J498">
        <f>IF(OR($G498="",Sync!$Z494=""),"",Sync!$Z494)</f>
        <v/>
      </c>
      <c r="K498">
        <f>IF($G498="",0,IF(Sync!$AA494="",0,Sync!$AA494))</f>
        <v/>
      </c>
      <c r="L498">
        <f>IF($G498="",0,IF(Sync!$AB494="",0,Sync!$AB494))</f>
        <v/>
      </c>
      <c r="M498">
        <f>IF($G498="","",IF($H498="مرجوعی فروش",-1,1)*($K498-$L498*IFERROR(VLOOKUP("P01",ParamTbl,3,0),1.5)))</f>
        <v/>
      </c>
      <c r="N498">
        <f>IF($G498="",0,IF($H498="مرجوعی فروش",-1,1)*IF(Sync!$AC494="",0,Sync!$AC494))</f>
        <v/>
      </c>
      <c r="O498">
        <f>IF(OR($G498="",Sync!$V494=""),"",Sync!$V494)</f>
        <v/>
      </c>
      <c r="P498">
        <f>IF(OR($G498="",Sync!$AD494=""),"",Sync!$AD494)</f>
        <v/>
      </c>
      <c r="Q498">
        <f>IF($G498="","",IF(Sync!$U494="","0000",IF(AND(ISNUMBER(Sync!$U494),Sync!$U494&gt;=0,Sync!$U494&lt;1),RIGHT("00"&amp;HOUR(Sync!$U494),2)&amp;RIGHT("00"&amp;MINUTE(Sync!$U494),2),IFERROR(RIGHT("00"&amp;VALUE(LEFT(Sync!$U494,FIND(":",Sync!$U494)-1)),2)&amp;RIGHT("00"&amp;VALUE(MID(Sync!$U494,FIND(":",Sync!$U494)+1,2)),2),"0000"))))</f>
        <v/>
      </c>
    </row>
    <row r="499">
      <c r="A499">
        <f>IF(Sync!$T495="","",Sync!$T495)</f>
        <v/>
      </c>
      <c r="B499">
        <f>IF($A499="","",IF(ISNUMBER($A499),IF(AND($A499&gt;=10000101,$A499&lt;=99991231),INT($A499/10000),""),IFERROR(VALUE(TRIM(LEFT($A499,FIND("/",$A499)-1))),"")))</f>
        <v/>
      </c>
      <c r="C499">
        <f>IF(OR($A499="",$B499=""),"",IF(ISNUMBER($A499),INT(MOD($A499,10000)/100),IFERROR(VALUE(TRIM(LEFT(MID($A499,FIND("/",$A499)+1,20),FIND("/",MID($A499,FIND("/",$A499)+1,20))-1))),"")))</f>
        <v/>
      </c>
      <c r="D499">
        <f>IF(OR($A499="",$B499=""),"",IF(ISNUMBER($A499),MOD($A499,100),IFERROR(VALUE(TRIM(MID(MID($A499,FIND("/",$A499)+1,20),FIND("/",MID($A499,FIND("/",$A499)+1,20))+1,20))),"")))</f>
        <v/>
      </c>
      <c r="E499">
        <f>IF($A499="","",IF(OR($B499="",$C499="",$D499="",$B499&lt;1300,$B499&gt;1500,$C499&lt;1,$C499&gt;12,$D499&lt;1,$D499&gt;31),"نامعتبر",RIGHT("0000"&amp;$B499,4)&amp;"/"&amp;RIGHT("00"&amp;$C499,2)&amp;"/"&amp;RIGHT("00"&amp;$D499,2)))</f>
        <v/>
      </c>
      <c r="F499">
        <f>IF(OR($E499="",$E499="نامعتبر"),"",LEFT($E499,4)&amp;"/"&amp;MID($E499,6,2))</f>
        <v/>
      </c>
      <c r="G499">
        <f>IF(OR($E499="",$E499="نامعتبر",Sync!$X495=""),"",IF(AND(LEFT(UPPER(TRIM(Sync!$X495)),2)="SL",IFERROR(VLOOKUP(Sync!$W495,OpTbl,3,0),"")="فروش"),UPPER(TRIM(Sync!$X495)),""))</f>
        <v/>
      </c>
      <c r="H499">
        <f>IF($G499="","",IF(Sync!$W495="","",Sync!$W495))</f>
        <v/>
      </c>
      <c r="I499">
        <f>IF(OR($G499="",Sync!$Y495=""),"",Sync!$Y495)</f>
        <v/>
      </c>
      <c r="J499">
        <f>IF(OR($G499="",Sync!$Z495=""),"",Sync!$Z495)</f>
        <v/>
      </c>
      <c r="K499">
        <f>IF($G499="",0,IF(Sync!$AA495="",0,Sync!$AA495))</f>
        <v/>
      </c>
      <c r="L499">
        <f>IF($G499="",0,IF(Sync!$AB495="",0,Sync!$AB495))</f>
        <v/>
      </c>
      <c r="M499">
        <f>IF($G499="","",IF($H499="مرجوعی فروش",-1,1)*($K499-$L499*IFERROR(VLOOKUP("P01",ParamTbl,3,0),1.5)))</f>
        <v/>
      </c>
      <c r="N499">
        <f>IF($G499="",0,IF($H499="مرجوعی فروش",-1,1)*IF(Sync!$AC495="",0,Sync!$AC495))</f>
        <v/>
      </c>
      <c r="O499">
        <f>IF(OR($G499="",Sync!$V495=""),"",Sync!$V495)</f>
        <v/>
      </c>
      <c r="P499">
        <f>IF(OR($G499="",Sync!$AD495=""),"",Sync!$AD495)</f>
        <v/>
      </c>
      <c r="Q499">
        <f>IF($G499="","",IF(Sync!$U495="","0000",IF(AND(ISNUMBER(Sync!$U495),Sync!$U495&gt;=0,Sync!$U495&lt;1),RIGHT("00"&amp;HOUR(Sync!$U495),2)&amp;RIGHT("00"&amp;MINUTE(Sync!$U495),2),IFERROR(RIGHT("00"&amp;VALUE(LEFT(Sync!$U495,FIND(":",Sync!$U495)-1)),2)&amp;RIGHT("00"&amp;VALUE(MID(Sync!$U495,FIND(":",Sync!$U495)+1,2)),2),"0000"))))</f>
        <v/>
      </c>
    </row>
    <row r="500">
      <c r="A500">
        <f>IF(Sync!$T496="","",Sync!$T496)</f>
        <v/>
      </c>
      <c r="B500">
        <f>IF($A500="","",IF(ISNUMBER($A500),IF(AND($A500&gt;=10000101,$A500&lt;=99991231),INT($A500/10000),""),IFERROR(VALUE(TRIM(LEFT($A500,FIND("/",$A500)-1))),"")))</f>
        <v/>
      </c>
      <c r="C500">
        <f>IF(OR($A500="",$B500=""),"",IF(ISNUMBER($A500),INT(MOD($A500,10000)/100),IFERROR(VALUE(TRIM(LEFT(MID($A500,FIND("/",$A500)+1,20),FIND("/",MID($A500,FIND("/",$A500)+1,20))-1))),"")))</f>
        <v/>
      </c>
      <c r="D500">
        <f>IF(OR($A500="",$B500=""),"",IF(ISNUMBER($A500),MOD($A500,100),IFERROR(VALUE(TRIM(MID(MID($A500,FIND("/",$A500)+1,20),FIND("/",MID($A500,FIND("/",$A500)+1,20))+1,20))),"")))</f>
        <v/>
      </c>
      <c r="E500">
        <f>IF($A500="","",IF(OR($B500="",$C500="",$D500="",$B500&lt;1300,$B500&gt;1500,$C500&lt;1,$C500&gt;12,$D500&lt;1,$D500&gt;31),"نامعتبر",RIGHT("0000"&amp;$B500,4)&amp;"/"&amp;RIGHT("00"&amp;$C500,2)&amp;"/"&amp;RIGHT("00"&amp;$D500,2)))</f>
        <v/>
      </c>
      <c r="F500">
        <f>IF(OR($E500="",$E500="نامعتبر"),"",LEFT($E500,4)&amp;"/"&amp;MID($E500,6,2))</f>
        <v/>
      </c>
      <c r="G500">
        <f>IF(OR($E500="",$E500="نامعتبر",Sync!$X496=""),"",IF(AND(LEFT(UPPER(TRIM(Sync!$X496)),2)="SL",IFERROR(VLOOKUP(Sync!$W496,OpTbl,3,0),"")="فروش"),UPPER(TRIM(Sync!$X496)),""))</f>
        <v/>
      </c>
      <c r="H500">
        <f>IF($G500="","",IF(Sync!$W496="","",Sync!$W496))</f>
        <v/>
      </c>
      <c r="I500">
        <f>IF(OR($G500="",Sync!$Y496=""),"",Sync!$Y496)</f>
        <v/>
      </c>
      <c r="J500">
        <f>IF(OR($G500="",Sync!$Z496=""),"",Sync!$Z496)</f>
        <v/>
      </c>
      <c r="K500">
        <f>IF($G500="",0,IF(Sync!$AA496="",0,Sync!$AA496))</f>
        <v/>
      </c>
      <c r="L500">
        <f>IF($G500="",0,IF(Sync!$AB496="",0,Sync!$AB496))</f>
        <v/>
      </c>
      <c r="M500">
        <f>IF($G500="","",IF($H500="مرجوعی فروش",-1,1)*($K500-$L500*IFERROR(VLOOKUP("P01",ParamTbl,3,0),1.5)))</f>
        <v/>
      </c>
      <c r="N500">
        <f>IF($G500="",0,IF($H500="مرجوعی فروش",-1,1)*IF(Sync!$AC496="",0,Sync!$AC496))</f>
        <v/>
      </c>
      <c r="O500">
        <f>IF(OR($G500="",Sync!$V496=""),"",Sync!$V496)</f>
        <v/>
      </c>
      <c r="P500">
        <f>IF(OR($G500="",Sync!$AD496=""),"",Sync!$AD496)</f>
        <v/>
      </c>
      <c r="Q500">
        <f>IF($G500="","",IF(Sync!$U496="","0000",IF(AND(ISNUMBER(Sync!$U496),Sync!$U496&gt;=0,Sync!$U496&lt;1),RIGHT("00"&amp;HOUR(Sync!$U496),2)&amp;RIGHT("00"&amp;MINUTE(Sync!$U496),2),IFERROR(RIGHT("00"&amp;VALUE(LEFT(Sync!$U496,FIND(":",Sync!$U496)-1)),2)&amp;RIGHT("00"&amp;VALUE(MID(Sync!$U496,FIND(":",Sync!$U496)+1,2)),2),"0000"))))</f>
        <v/>
      </c>
    </row>
    <row r="501">
      <c r="A501">
        <f>IF(Sync!$T497="","",Sync!$T497)</f>
        <v/>
      </c>
      <c r="B501">
        <f>IF($A501="","",IF(ISNUMBER($A501),IF(AND($A501&gt;=10000101,$A501&lt;=99991231),INT($A501/10000),""),IFERROR(VALUE(TRIM(LEFT($A501,FIND("/",$A501)-1))),"")))</f>
        <v/>
      </c>
      <c r="C501">
        <f>IF(OR($A501="",$B501=""),"",IF(ISNUMBER($A501),INT(MOD($A501,10000)/100),IFERROR(VALUE(TRIM(LEFT(MID($A501,FIND("/",$A501)+1,20),FIND("/",MID($A501,FIND("/",$A501)+1,20))-1))),"")))</f>
        <v/>
      </c>
      <c r="D501">
        <f>IF(OR($A501="",$B501=""),"",IF(ISNUMBER($A501),MOD($A501,100),IFERROR(VALUE(TRIM(MID(MID($A501,FIND("/",$A501)+1,20),FIND("/",MID($A501,FIND("/",$A501)+1,20))+1,20))),"")))</f>
        <v/>
      </c>
      <c r="E501">
        <f>IF($A501="","",IF(OR($B501="",$C501="",$D501="",$B501&lt;1300,$B501&gt;1500,$C501&lt;1,$C501&gt;12,$D501&lt;1,$D501&gt;31),"نامعتبر",RIGHT("0000"&amp;$B501,4)&amp;"/"&amp;RIGHT("00"&amp;$C501,2)&amp;"/"&amp;RIGHT("00"&amp;$D501,2)))</f>
        <v/>
      </c>
      <c r="F501">
        <f>IF(OR($E501="",$E501="نامعتبر"),"",LEFT($E501,4)&amp;"/"&amp;MID($E501,6,2))</f>
        <v/>
      </c>
      <c r="G501">
        <f>IF(OR($E501="",$E501="نامعتبر",Sync!$X497=""),"",IF(AND(LEFT(UPPER(TRIM(Sync!$X497)),2)="SL",IFERROR(VLOOKUP(Sync!$W497,OpTbl,3,0),"")="فروش"),UPPER(TRIM(Sync!$X497)),""))</f>
        <v/>
      </c>
      <c r="H501">
        <f>IF($G501="","",IF(Sync!$W497="","",Sync!$W497))</f>
        <v/>
      </c>
      <c r="I501">
        <f>IF(OR($G501="",Sync!$Y497=""),"",Sync!$Y497)</f>
        <v/>
      </c>
      <c r="J501">
        <f>IF(OR($G501="",Sync!$Z497=""),"",Sync!$Z497)</f>
        <v/>
      </c>
      <c r="K501">
        <f>IF($G501="",0,IF(Sync!$AA497="",0,Sync!$AA497))</f>
        <v/>
      </c>
      <c r="L501">
        <f>IF($G501="",0,IF(Sync!$AB497="",0,Sync!$AB497))</f>
        <v/>
      </c>
      <c r="M501">
        <f>IF($G501="","",IF($H501="مرجوعی فروش",-1,1)*($K501-$L501*IFERROR(VLOOKUP("P01",ParamTbl,3,0),1.5)))</f>
        <v/>
      </c>
      <c r="N501">
        <f>IF($G501="",0,IF($H501="مرجوعی فروش",-1,1)*IF(Sync!$AC497="",0,Sync!$AC497))</f>
        <v/>
      </c>
      <c r="O501">
        <f>IF(OR($G501="",Sync!$V497=""),"",Sync!$V497)</f>
        <v/>
      </c>
      <c r="P501">
        <f>IF(OR($G501="",Sync!$AD497=""),"",Sync!$AD497)</f>
        <v/>
      </c>
      <c r="Q501">
        <f>IF($G501="","",IF(Sync!$U497="","0000",IF(AND(ISNUMBER(Sync!$U497),Sync!$U497&gt;=0,Sync!$U497&lt;1),RIGHT("00"&amp;HOUR(Sync!$U497),2)&amp;RIGHT("00"&amp;MINUTE(Sync!$U497),2),IFERROR(RIGHT("00"&amp;VALUE(LEFT(Sync!$U497,FIND(":",Sync!$U497)-1)),2)&amp;RIGHT("00"&amp;VALUE(MID(Sync!$U497,FIND(":",Sync!$U497)+1,2)),2),"0000"))))</f>
        <v/>
      </c>
    </row>
    <row r="502">
      <c r="A502">
        <f>IF(Sync!$T498="","",Sync!$T498)</f>
        <v/>
      </c>
      <c r="B502">
        <f>IF($A502="","",IF(ISNUMBER($A502),IF(AND($A502&gt;=10000101,$A502&lt;=99991231),INT($A502/10000),""),IFERROR(VALUE(TRIM(LEFT($A502,FIND("/",$A502)-1))),"")))</f>
        <v/>
      </c>
      <c r="C502">
        <f>IF(OR($A502="",$B502=""),"",IF(ISNUMBER($A502),INT(MOD($A502,10000)/100),IFERROR(VALUE(TRIM(LEFT(MID($A502,FIND("/",$A502)+1,20),FIND("/",MID($A502,FIND("/",$A502)+1,20))-1))),"")))</f>
        <v/>
      </c>
      <c r="D502">
        <f>IF(OR($A502="",$B502=""),"",IF(ISNUMBER($A502),MOD($A502,100),IFERROR(VALUE(TRIM(MID(MID($A502,FIND("/",$A502)+1,20),FIND("/",MID($A502,FIND("/",$A502)+1,20))+1,20))),"")))</f>
        <v/>
      </c>
      <c r="E502">
        <f>IF($A502="","",IF(OR($B502="",$C502="",$D502="",$B502&lt;1300,$B502&gt;1500,$C502&lt;1,$C502&gt;12,$D502&lt;1,$D502&gt;31),"نامعتبر",RIGHT("0000"&amp;$B502,4)&amp;"/"&amp;RIGHT("00"&amp;$C502,2)&amp;"/"&amp;RIGHT("00"&amp;$D502,2)))</f>
        <v/>
      </c>
      <c r="F502">
        <f>IF(OR($E502="",$E502="نامعتبر"),"",LEFT($E502,4)&amp;"/"&amp;MID($E502,6,2))</f>
        <v/>
      </c>
      <c r="G502">
        <f>IF(OR($E502="",$E502="نامعتبر",Sync!$X498=""),"",IF(AND(LEFT(UPPER(TRIM(Sync!$X498)),2)="SL",IFERROR(VLOOKUP(Sync!$W498,OpTbl,3,0),"")="فروش"),UPPER(TRIM(Sync!$X498)),""))</f>
        <v/>
      </c>
      <c r="H502">
        <f>IF($G502="","",IF(Sync!$W498="","",Sync!$W498))</f>
        <v/>
      </c>
      <c r="I502">
        <f>IF(OR($G502="",Sync!$Y498=""),"",Sync!$Y498)</f>
        <v/>
      </c>
      <c r="J502">
        <f>IF(OR($G502="",Sync!$Z498=""),"",Sync!$Z498)</f>
        <v/>
      </c>
      <c r="K502">
        <f>IF($G502="",0,IF(Sync!$AA498="",0,Sync!$AA498))</f>
        <v/>
      </c>
      <c r="L502">
        <f>IF($G502="",0,IF(Sync!$AB498="",0,Sync!$AB498))</f>
        <v/>
      </c>
      <c r="M502">
        <f>IF($G502="","",IF($H502="مرجوعی فروش",-1,1)*($K502-$L502*IFERROR(VLOOKUP("P01",ParamTbl,3,0),1.5)))</f>
        <v/>
      </c>
      <c r="N502">
        <f>IF($G502="",0,IF($H502="مرجوعی فروش",-1,1)*IF(Sync!$AC498="",0,Sync!$AC498))</f>
        <v/>
      </c>
      <c r="O502">
        <f>IF(OR($G502="",Sync!$V498=""),"",Sync!$V498)</f>
        <v/>
      </c>
      <c r="P502">
        <f>IF(OR($G502="",Sync!$AD498=""),"",Sync!$AD498)</f>
        <v/>
      </c>
      <c r="Q502">
        <f>IF($G502="","",IF(Sync!$U498="","0000",IF(AND(ISNUMBER(Sync!$U498),Sync!$U498&gt;=0,Sync!$U498&lt;1),RIGHT("00"&amp;HOUR(Sync!$U498),2)&amp;RIGHT("00"&amp;MINUTE(Sync!$U498),2),IFERROR(RIGHT("00"&amp;VALUE(LEFT(Sync!$U498,FIND(":",Sync!$U498)-1)),2)&amp;RIGHT("00"&amp;VALUE(MID(Sync!$U498,FIND(":",Sync!$U498)+1,2)),2),"0000"))))</f>
        <v/>
      </c>
    </row>
    <row r="503">
      <c r="A503">
        <f>IF(Sync!$T499="","",Sync!$T499)</f>
        <v/>
      </c>
      <c r="B503">
        <f>IF($A503="","",IF(ISNUMBER($A503),IF(AND($A503&gt;=10000101,$A503&lt;=99991231),INT($A503/10000),""),IFERROR(VALUE(TRIM(LEFT($A503,FIND("/",$A503)-1))),"")))</f>
        <v/>
      </c>
      <c r="C503">
        <f>IF(OR($A503="",$B503=""),"",IF(ISNUMBER($A503),INT(MOD($A503,10000)/100),IFERROR(VALUE(TRIM(LEFT(MID($A503,FIND("/",$A503)+1,20),FIND("/",MID($A503,FIND("/",$A503)+1,20))-1))),"")))</f>
        <v/>
      </c>
      <c r="D503">
        <f>IF(OR($A503="",$B503=""),"",IF(ISNUMBER($A503),MOD($A503,100),IFERROR(VALUE(TRIM(MID(MID($A503,FIND("/",$A503)+1,20),FIND("/",MID($A503,FIND("/",$A503)+1,20))+1,20))),"")))</f>
        <v/>
      </c>
      <c r="E503">
        <f>IF($A503="","",IF(OR($B503="",$C503="",$D503="",$B503&lt;1300,$B503&gt;1500,$C503&lt;1,$C503&gt;12,$D503&lt;1,$D503&gt;31),"نامعتبر",RIGHT("0000"&amp;$B503,4)&amp;"/"&amp;RIGHT("00"&amp;$C503,2)&amp;"/"&amp;RIGHT("00"&amp;$D503,2)))</f>
        <v/>
      </c>
      <c r="F503">
        <f>IF(OR($E503="",$E503="نامعتبر"),"",LEFT($E503,4)&amp;"/"&amp;MID($E503,6,2))</f>
        <v/>
      </c>
      <c r="G503">
        <f>IF(OR($E503="",$E503="نامعتبر",Sync!$X499=""),"",IF(AND(LEFT(UPPER(TRIM(Sync!$X499)),2)="SL",IFERROR(VLOOKUP(Sync!$W499,OpTbl,3,0),"")="فروش"),UPPER(TRIM(Sync!$X499)),""))</f>
        <v/>
      </c>
      <c r="H503">
        <f>IF($G503="","",IF(Sync!$W499="","",Sync!$W499))</f>
        <v/>
      </c>
      <c r="I503">
        <f>IF(OR($G503="",Sync!$Y499=""),"",Sync!$Y499)</f>
        <v/>
      </c>
      <c r="J503">
        <f>IF(OR($G503="",Sync!$Z499=""),"",Sync!$Z499)</f>
        <v/>
      </c>
      <c r="K503">
        <f>IF($G503="",0,IF(Sync!$AA499="",0,Sync!$AA499))</f>
        <v/>
      </c>
      <c r="L503">
        <f>IF($G503="",0,IF(Sync!$AB499="",0,Sync!$AB499))</f>
        <v/>
      </c>
      <c r="M503">
        <f>IF($G503="","",IF($H503="مرجوعی فروش",-1,1)*($K503-$L503*IFERROR(VLOOKUP("P01",ParamTbl,3,0),1.5)))</f>
        <v/>
      </c>
      <c r="N503">
        <f>IF($G503="",0,IF($H503="مرجوعی فروش",-1,1)*IF(Sync!$AC499="",0,Sync!$AC499))</f>
        <v/>
      </c>
      <c r="O503">
        <f>IF(OR($G503="",Sync!$V499=""),"",Sync!$V499)</f>
        <v/>
      </c>
      <c r="P503">
        <f>IF(OR($G503="",Sync!$AD499=""),"",Sync!$AD499)</f>
        <v/>
      </c>
      <c r="Q503">
        <f>IF($G503="","",IF(Sync!$U499="","0000",IF(AND(ISNUMBER(Sync!$U499),Sync!$U499&gt;=0,Sync!$U499&lt;1),RIGHT("00"&amp;HOUR(Sync!$U499),2)&amp;RIGHT("00"&amp;MINUTE(Sync!$U499),2),IFERROR(RIGHT("00"&amp;VALUE(LEFT(Sync!$U499,FIND(":",Sync!$U499)-1)),2)&amp;RIGHT("00"&amp;VALUE(MID(Sync!$U499,FIND(":",Sync!$U499)+1,2)),2),"0000"))))</f>
        <v/>
      </c>
    </row>
    <row r="504">
      <c r="A504">
        <f>IF(Sync!$T500="","",Sync!$T500)</f>
        <v/>
      </c>
      <c r="B504">
        <f>IF($A504="","",IF(ISNUMBER($A504),IF(AND($A504&gt;=10000101,$A504&lt;=99991231),INT($A504/10000),""),IFERROR(VALUE(TRIM(LEFT($A504,FIND("/",$A504)-1))),"")))</f>
        <v/>
      </c>
      <c r="C504">
        <f>IF(OR($A504="",$B504=""),"",IF(ISNUMBER($A504),INT(MOD($A504,10000)/100),IFERROR(VALUE(TRIM(LEFT(MID($A504,FIND("/",$A504)+1,20),FIND("/",MID($A504,FIND("/",$A504)+1,20))-1))),"")))</f>
        <v/>
      </c>
      <c r="D504">
        <f>IF(OR($A504="",$B504=""),"",IF(ISNUMBER($A504),MOD($A504,100),IFERROR(VALUE(TRIM(MID(MID($A504,FIND("/",$A504)+1,20),FIND("/",MID($A504,FIND("/",$A504)+1,20))+1,20))),"")))</f>
        <v/>
      </c>
      <c r="E504">
        <f>IF($A504="","",IF(OR($B504="",$C504="",$D504="",$B504&lt;1300,$B504&gt;1500,$C504&lt;1,$C504&gt;12,$D504&lt;1,$D504&gt;31),"نامعتبر",RIGHT("0000"&amp;$B504,4)&amp;"/"&amp;RIGHT("00"&amp;$C504,2)&amp;"/"&amp;RIGHT("00"&amp;$D504,2)))</f>
        <v/>
      </c>
      <c r="F504">
        <f>IF(OR($E504="",$E504="نامعتبر"),"",LEFT($E504,4)&amp;"/"&amp;MID($E504,6,2))</f>
        <v/>
      </c>
      <c r="G504">
        <f>IF(OR($E504="",$E504="نامعتبر",Sync!$X500=""),"",IF(AND(LEFT(UPPER(TRIM(Sync!$X500)),2)="SL",IFERROR(VLOOKUP(Sync!$W500,OpTbl,3,0),"")="فروش"),UPPER(TRIM(Sync!$X500)),""))</f>
        <v/>
      </c>
      <c r="H504">
        <f>IF($G504="","",IF(Sync!$W500="","",Sync!$W500))</f>
        <v/>
      </c>
      <c r="I504">
        <f>IF(OR($G504="",Sync!$Y500=""),"",Sync!$Y500)</f>
        <v/>
      </c>
      <c r="J504">
        <f>IF(OR($G504="",Sync!$Z500=""),"",Sync!$Z500)</f>
        <v/>
      </c>
      <c r="K504">
        <f>IF($G504="",0,IF(Sync!$AA500="",0,Sync!$AA500))</f>
        <v/>
      </c>
      <c r="L504">
        <f>IF($G504="",0,IF(Sync!$AB500="",0,Sync!$AB500))</f>
        <v/>
      </c>
      <c r="M504">
        <f>IF($G504="","",IF($H504="مرجوعی فروش",-1,1)*($K504-$L504*IFERROR(VLOOKUP("P01",ParamTbl,3,0),1.5)))</f>
        <v/>
      </c>
      <c r="N504">
        <f>IF($G504="",0,IF($H504="مرجوعی فروش",-1,1)*IF(Sync!$AC500="",0,Sync!$AC500))</f>
        <v/>
      </c>
      <c r="O504">
        <f>IF(OR($G504="",Sync!$V500=""),"",Sync!$V500)</f>
        <v/>
      </c>
      <c r="P504">
        <f>IF(OR($G504="",Sync!$AD500=""),"",Sync!$AD500)</f>
        <v/>
      </c>
      <c r="Q504">
        <f>IF($G504="","",IF(Sync!$U500="","0000",IF(AND(ISNUMBER(Sync!$U500),Sync!$U500&gt;=0,Sync!$U500&lt;1),RIGHT("00"&amp;HOUR(Sync!$U500),2)&amp;RIGHT("00"&amp;MINUTE(Sync!$U500),2),IFERROR(RIGHT("00"&amp;VALUE(LEFT(Sync!$U500,FIND(":",Sync!$U500)-1)),2)&amp;RIGHT("00"&amp;VALUE(MID(Sync!$U500,FIND(":",Sync!$U500)+1,2)),2),"0000"))))</f>
        <v/>
      </c>
    </row>
    <row r="505">
      <c r="A505">
        <f>IF(Sync!$T501="","",Sync!$T501)</f>
        <v/>
      </c>
      <c r="B505">
        <f>IF($A505="","",IF(ISNUMBER($A505),IF(AND($A505&gt;=10000101,$A505&lt;=99991231),INT($A505/10000),""),IFERROR(VALUE(TRIM(LEFT($A505,FIND("/",$A505)-1))),"")))</f>
        <v/>
      </c>
      <c r="C505">
        <f>IF(OR($A505="",$B505=""),"",IF(ISNUMBER($A505),INT(MOD($A505,10000)/100),IFERROR(VALUE(TRIM(LEFT(MID($A505,FIND("/",$A505)+1,20),FIND("/",MID($A505,FIND("/",$A505)+1,20))-1))),"")))</f>
        <v/>
      </c>
      <c r="D505">
        <f>IF(OR($A505="",$B505=""),"",IF(ISNUMBER($A505),MOD($A505,100),IFERROR(VALUE(TRIM(MID(MID($A505,FIND("/",$A505)+1,20),FIND("/",MID($A505,FIND("/",$A505)+1,20))+1,20))),"")))</f>
        <v/>
      </c>
      <c r="E505">
        <f>IF($A505="","",IF(OR($B505="",$C505="",$D505="",$B505&lt;1300,$B505&gt;1500,$C505&lt;1,$C505&gt;12,$D505&lt;1,$D505&gt;31),"نامعتبر",RIGHT("0000"&amp;$B505,4)&amp;"/"&amp;RIGHT("00"&amp;$C505,2)&amp;"/"&amp;RIGHT("00"&amp;$D505,2)))</f>
        <v/>
      </c>
      <c r="F505">
        <f>IF(OR($E505="",$E505="نامعتبر"),"",LEFT($E505,4)&amp;"/"&amp;MID($E505,6,2))</f>
        <v/>
      </c>
      <c r="G505">
        <f>IF(OR($E505="",$E505="نامعتبر",Sync!$X501=""),"",IF(AND(LEFT(UPPER(TRIM(Sync!$X501)),2)="SL",IFERROR(VLOOKUP(Sync!$W501,OpTbl,3,0),"")="فروش"),UPPER(TRIM(Sync!$X501)),""))</f>
        <v/>
      </c>
      <c r="H505">
        <f>IF($G505="","",IF(Sync!$W501="","",Sync!$W501))</f>
        <v/>
      </c>
      <c r="I505">
        <f>IF(OR($G505="",Sync!$Y501=""),"",Sync!$Y501)</f>
        <v/>
      </c>
      <c r="J505">
        <f>IF(OR($G505="",Sync!$Z501=""),"",Sync!$Z501)</f>
        <v/>
      </c>
      <c r="K505">
        <f>IF($G505="",0,IF(Sync!$AA501="",0,Sync!$AA501))</f>
        <v/>
      </c>
      <c r="L505">
        <f>IF($G505="",0,IF(Sync!$AB501="",0,Sync!$AB501))</f>
        <v/>
      </c>
      <c r="M505">
        <f>IF($G505="","",IF($H505="مرجوعی فروش",-1,1)*($K505-$L505*IFERROR(VLOOKUP("P01",ParamTbl,3,0),1.5)))</f>
        <v/>
      </c>
      <c r="N505">
        <f>IF($G505="",0,IF($H505="مرجوعی فروش",-1,1)*IF(Sync!$AC501="",0,Sync!$AC501))</f>
        <v/>
      </c>
      <c r="O505">
        <f>IF(OR($G505="",Sync!$V501=""),"",Sync!$V501)</f>
        <v/>
      </c>
      <c r="P505">
        <f>IF(OR($G505="",Sync!$AD501=""),"",Sync!$AD501)</f>
        <v/>
      </c>
      <c r="Q505">
        <f>IF($G505="","",IF(Sync!$U501="","0000",IF(AND(ISNUMBER(Sync!$U501),Sync!$U501&gt;=0,Sync!$U501&lt;1),RIGHT("00"&amp;HOUR(Sync!$U501),2)&amp;RIGHT("00"&amp;MINUTE(Sync!$U501),2),IFERROR(RIGHT("00"&amp;VALUE(LEFT(Sync!$U501,FIND(":",Sync!$U501)-1)),2)&amp;RIGHT("00"&amp;VALUE(MID(Sync!$U501,FIND(":",Sync!$U501)+1,2)),2),"0000"))))</f>
        <v/>
      </c>
    </row>
    <row r="506">
      <c r="A506">
        <f>IF(Sync!$T502="","",Sync!$T502)</f>
        <v/>
      </c>
      <c r="B506">
        <f>IF($A506="","",IF(ISNUMBER($A506),IF(AND($A506&gt;=10000101,$A506&lt;=99991231),INT($A506/10000),""),IFERROR(VALUE(TRIM(LEFT($A506,FIND("/",$A506)-1))),"")))</f>
        <v/>
      </c>
      <c r="C506">
        <f>IF(OR($A506="",$B506=""),"",IF(ISNUMBER($A506),INT(MOD($A506,10000)/100),IFERROR(VALUE(TRIM(LEFT(MID($A506,FIND("/",$A506)+1,20),FIND("/",MID($A506,FIND("/",$A506)+1,20))-1))),"")))</f>
        <v/>
      </c>
      <c r="D506">
        <f>IF(OR($A506="",$B506=""),"",IF(ISNUMBER($A506),MOD($A506,100),IFERROR(VALUE(TRIM(MID(MID($A506,FIND("/",$A506)+1,20),FIND("/",MID($A506,FIND("/",$A506)+1,20))+1,20))),"")))</f>
        <v/>
      </c>
      <c r="E506">
        <f>IF($A506="","",IF(OR($B506="",$C506="",$D506="",$B506&lt;1300,$B506&gt;1500,$C506&lt;1,$C506&gt;12,$D506&lt;1,$D506&gt;31),"نامعتبر",RIGHT("0000"&amp;$B506,4)&amp;"/"&amp;RIGHT("00"&amp;$C506,2)&amp;"/"&amp;RIGHT("00"&amp;$D506,2)))</f>
        <v/>
      </c>
      <c r="F506">
        <f>IF(OR($E506="",$E506="نامعتبر"),"",LEFT($E506,4)&amp;"/"&amp;MID($E506,6,2))</f>
        <v/>
      </c>
      <c r="G506">
        <f>IF(OR($E506="",$E506="نامعتبر",Sync!$X502=""),"",IF(AND(LEFT(UPPER(TRIM(Sync!$X502)),2)="SL",IFERROR(VLOOKUP(Sync!$W502,OpTbl,3,0),"")="فروش"),UPPER(TRIM(Sync!$X502)),""))</f>
        <v/>
      </c>
      <c r="H506">
        <f>IF($G506="","",IF(Sync!$W502="","",Sync!$W502))</f>
        <v/>
      </c>
      <c r="I506">
        <f>IF(OR($G506="",Sync!$Y502=""),"",Sync!$Y502)</f>
        <v/>
      </c>
      <c r="J506">
        <f>IF(OR($G506="",Sync!$Z502=""),"",Sync!$Z502)</f>
        <v/>
      </c>
      <c r="K506">
        <f>IF($G506="",0,IF(Sync!$AA502="",0,Sync!$AA502))</f>
        <v/>
      </c>
      <c r="L506">
        <f>IF($G506="",0,IF(Sync!$AB502="",0,Sync!$AB502))</f>
        <v/>
      </c>
      <c r="M506">
        <f>IF($G506="","",IF($H506="مرجوعی فروش",-1,1)*($K506-$L506*IFERROR(VLOOKUP("P01",ParamTbl,3,0),1.5)))</f>
        <v/>
      </c>
      <c r="N506">
        <f>IF($G506="",0,IF($H506="مرجوعی فروش",-1,1)*IF(Sync!$AC502="",0,Sync!$AC502))</f>
        <v/>
      </c>
      <c r="O506">
        <f>IF(OR($G506="",Sync!$V502=""),"",Sync!$V502)</f>
        <v/>
      </c>
      <c r="P506">
        <f>IF(OR($G506="",Sync!$AD502=""),"",Sync!$AD502)</f>
        <v/>
      </c>
      <c r="Q506">
        <f>IF($G506="","",IF(Sync!$U502="","0000",IF(AND(ISNUMBER(Sync!$U502),Sync!$U502&gt;=0,Sync!$U502&lt;1),RIGHT("00"&amp;HOUR(Sync!$U502),2)&amp;RIGHT("00"&amp;MINUTE(Sync!$U502),2),IFERROR(RIGHT("00"&amp;VALUE(LEFT(Sync!$U502,FIND(":",Sync!$U502)-1)),2)&amp;RIGHT("00"&amp;VALUE(MID(Sync!$U502,FIND(":",Sync!$U502)+1,2)),2),"0000"))))</f>
        <v/>
      </c>
    </row>
    <row r="507">
      <c r="A507">
        <f>IF(Sync!$T503="","",Sync!$T503)</f>
        <v/>
      </c>
      <c r="B507">
        <f>IF($A507="","",IF(ISNUMBER($A507),IF(AND($A507&gt;=10000101,$A507&lt;=99991231),INT($A507/10000),""),IFERROR(VALUE(TRIM(LEFT($A507,FIND("/",$A507)-1))),"")))</f>
        <v/>
      </c>
      <c r="C507">
        <f>IF(OR($A507="",$B507=""),"",IF(ISNUMBER($A507),INT(MOD($A507,10000)/100),IFERROR(VALUE(TRIM(LEFT(MID($A507,FIND("/",$A507)+1,20),FIND("/",MID($A507,FIND("/",$A507)+1,20))-1))),"")))</f>
        <v/>
      </c>
      <c r="D507">
        <f>IF(OR($A507="",$B507=""),"",IF(ISNUMBER($A507),MOD($A507,100),IFERROR(VALUE(TRIM(MID(MID($A507,FIND("/",$A507)+1,20),FIND("/",MID($A507,FIND("/",$A507)+1,20))+1,20))),"")))</f>
        <v/>
      </c>
      <c r="E507">
        <f>IF($A507="","",IF(OR($B507="",$C507="",$D507="",$B507&lt;1300,$B507&gt;1500,$C507&lt;1,$C507&gt;12,$D507&lt;1,$D507&gt;31),"نامعتبر",RIGHT("0000"&amp;$B507,4)&amp;"/"&amp;RIGHT("00"&amp;$C507,2)&amp;"/"&amp;RIGHT("00"&amp;$D507,2)))</f>
        <v/>
      </c>
      <c r="F507">
        <f>IF(OR($E507="",$E507="نامعتبر"),"",LEFT($E507,4)&amp;"/"&amp;MID($E507,6,2))</f>
        <v/>
      </c>
      <c r="G507">
        <f>IF(OR($E507="",$E507="نامعتبر",Sync!$X503=""),"",IF(AND(LEFT(UPPER(TRIM(Sync!$X503)),2)="SL",IFERROR(VLOOKUP(Sync!$W503,OpTbl,3,0),"")="فروش"),UPPER(TRIM(Sync!$X503)),""))</f>
        <v/>
      </c>
      <c r="H507">
        <f>IF($G507="","",IF(Sync!$W503="","",Sync!$W503))</f>
        <v/>
      </c>
      <c r="I507">
        <f>IF(OR($G507="",Sync!$Y503=""),"",Sync!$Y503)</f>
        <v/>
      </c>
      <c r="J507">
        <f>IF(OR($G507="",Sync!$Z503=""),"",Sync!$Z503)</f>
        <v/>
      </c>
      <c r="K507">
        <f>IF($G507="",0,IF(Sync!$AA503="",0,Sync!$AA503))</f>
        <v/>
      </c>
      <c r="L507">
        <f>IF($G507="",0,IF(Sync!$AB503="",0,Sync!$AB503))</f>
        <v/>
      </c>
      <c r="M507">
        <f>IF($G507="","",IF($H507="مرجوعی فروش",-1,1)*($K507-$L507*IFERROR(VLOOKUP("P01",ParamTbl,3,0),1.5)))</f>
        <v/>
      </c>
      <c r="N507">
        <f>IF($G507="",0,IF($H507="مرجوعی فروش",-1,1)*IF(Sync!$AC503="",0,Sync!$AC503))</f>
        <v/>
      </c>
      <c r="O507">
        <f>IF(OR($G507="",Sync!$V503=""),"",Sync!$V503)</f>
        <v/>
      </c>
      <c r="P507">
        <f>IF(OR($G507="",Sync!$AD503=""),"",Sync!$AD503)</f>
        <v/>
      </c>
      <c r="Q507">
        <f>IF($G507="","",IF(Sync!$U503="","0000",IF(AND(ISNUMBER(Sync!$U503),Sync!$U503&gt;=0,Sync!$U503&lt;1),RIGHT("00"&amp;HOUR(Sync!$U503),2)&amp;RIGHT("00"&amp;MINUTE(Sync!$U503),2),IFERROR(RIGHT("00"&amp;VALUE(LEFT(Sync!$U503,FIND(":",Sync!$U503)-1)),2)&amp;RIGHT("00"&amp;VALUE(MID(Sync!$U503,FIND(":",Sync!$U503)+1,2)),2),"0000"))))</f>
        <v/>
      </c>
    </row>
    <row r="508">
      <c r="A508">
        <f>IF(Sync!$T504="","",Sync!$T504)</f>
        <v/>
      </c>
      <c r="B508">
        <f>IF($A508="","",IF(ISNUMBER($A508),IF(AND($A508&gt;=10000101,$A508&lt;=99991231),INT($A508/10000),""),IFERROR(VALUE(TRIM(LEFT($A508,FIND("/",$A508)-1))),"")))</f>
        <v/>
      </c>
      <c r="C508">
        <f>IF(OR($A508="",$B508=""),"",IF(ISNUMBER($A508),INT(MOD($A508,10000)/100),IFERROR(VALUE(TRIM(LEFT(MID($A508,FIND("/",$A508)+1,20),FIND("/",MID($A508,FIND("/",$A508)+1,20))-1))),"")))</f>
        <v/>
      </c>
      <c r="D508">
        <f>IF(OR($A508="",$B508=""),"",IF(ISNUMBER($A508),MOD($A508,100),IFERROR(VALUE(TRIM(MID(MID($A508,FIND("/",$A508)+1,20),FIND("/",MID($A508,FIND("/",$A508)+1,20))+1,20))),"")))</f>
        <v/>
      </c>
      <c r="E508">
        <f>IF($A508="","",IF(OR($B508="",$C508="",$D508="",$B508&lt;1300,$B508&gt;1500,$C508&lt;1,$C508&gt;12,$D508&lt;1,$D508&gt;31),"نامعتبر",RIGHT("0000"&amp;$B508,4)&amp;"/"&amp;RIGHT("00"&amp;$C508,2)&amp;"/"&amp;RIGHT("00"&amp;$D508,2)))</f>
        <v/>
      </c>
      <c r="F508">
        <f>IF(OR($E508="",$E508="نامعتبر"),"",LEFT($E508,4)&amp;"/"&amp;MID($E508,6,2))</f>
        <v/>
      </c>
      <c r="G508">
        <f>IF(OR($E508="",$E508="نامعتبر",Sync!$X504=""),"",IF(AND(LEFT(UPPER(TRIM(Sync!$X504)),2)="SL",IFERROR(VLOOKUP(Sync!$W504,OpTbl,3,0),"")="فروش"),UPPER(TRIM(Sync!$X504)),""))</f>
        <v/>
      </c>
      <c r="H508">
        <f>IF($G508="","",IF(Sync!$W504="","",Sync!$W504))</f>
        <v/>
      </c>
      <c r="I508">
        <f>IF(OR($G508="",Sync!$Y504=""),"",Sync!$Y504)</f>
        <v/>
      </c>
      <c r="J508">
        <f>IF(OR($G508="",Sync!$Z504=""),"",Sync!$Z504)</f>
        <v/>
      </c>
      <c r="K508">
        <f>IF($G508="",0,IF(Sync!$AA504="",0,Sync!$AA504))</f>
        <v/>
      </c>
      <c r="L508">
        <f>IF($G508="",0,IF(Sync!$AB504="",0,Sync!$AB504))</f>
        <v/>
      </c>
      <c r="M508">
        <f>IF($G508="","",IF($H508="مرجوعی فروش",-1,1)*($K508-$L508*IFERROR(VLOOKUP("P01",ParamTbl,3,0),1.5)))</f>
        <v/>
      </c>
      <c r="N508">
        <f>IF($G508="",0,IF($H508="مرجوعی فروش",-1,1)*IF(Sync!$AC504="",0,Sync!$AC504))</f>
        <v/>
      </c>
      <c r="O508">
        <f>IF(OR($G508="",Sync!$V504=""),"",Sync!$V504)</f>
        <v/>
      </c>
      <c r="P508">
        <f>IF(OR($G508="",Sync!$AD504=""),"",Sync!$AD504)</f>
        <v/>
      </c>
      <c r="Q508">
        <f>IF($G508="","",IF(Sync!$U504="","0000",IF(AND(ISNUMBER(Sync!$U504),Sync!$U504&gt;=0,Sync!$U504&lt;1),RIGHT("00"&amp;HOUR(Sync!$U504),2)&amp;RIGHT("00"&amp;MINUTE(Sync!$U504),2),IFERROR(RIGHT("00"&amp;VALUE(LEFT(Sync!$U504,FIND(":",Sync!$U504)-1)),2)&amp;RIGHT("00"&amp;VALUE(MID(Sync!$U504,FIND(":",Sync!$U504)+1,2)),2),"0000"))))</f>
        <v/>
      </c>
    </row>
    <row r="509">
      <c r="A509">
        <f>IF(Sync!$T505="","",Sync!$T505)</f>
        <v/>
      </c>
      <c r="B509">
        <f>IF($A509="","",IF(ISNUMBER($A509),IF(AND($A509&gt;=10000101,$A509&lt;=99991231),INT($A509/10000),""),IFERROR(VALUE(TRIM(LEFT($A509,FIND("/",$A509)-1))),"")))</f>
        <v/>
      </c>
      <c r="C509">
        <f>IF(OR($A509="",$B509=""),"",IF(ISNUMBER($A509),INT(MOD($A509,10000)/100),IFERROR(VALUE(TRIM(LEFT(MID($A509,FIND("/",$A509)+1,20),FIND("/",MID($A509,FIND("/",$A509)+1,20))-1))),"")))</f>
        <v/>
      </c>
      <c r="D509">
        <f>IF(OR($A509="",$B509=""),"",IF(ISNUMBER($A509),MOD($A509,100),IFERROR(VALUE(TRIM(MID(MID($A509,FIND("/",$A509)+1,20),FIND("/",MID($A509,FIND("/",$A509)+1,20))+1,20))),"")))</f>
        <v/>
      </c>
      <c r="E509">
        <f>IF($A509="","",IF(OR($B509="",$C509="",$D509="",$B509&lt;1300,$B509&gt;1500,$C509&lt;1,$C509&gt;12,$D509&lt;1,$D509&gt;31),"نامعتبر",RIGHT("0000"&amp;$B509,4)&amp;"/"&amp;RIGHT("00"&amp;$C509,2)&amp;"/"&amp;RIGHT("00"&amp;$D509,2)))</f>
        <v/>
      </c>
      <c r="F509">
        <f>IF(OR($E509="",$E509="نامعتبر"),"",LEFT($E509,4)&amp;"/"&amp;MID($E509,6,2))</f>
        <v/>
      </c>
      <c r="G509">
        <f>IF(OR($E509="",$E509="نامعتبر",Sync!$X505=""),"",IF(AND(LEFT(UPPER(TRIM(Sync!$X505)),2)="SL",IFERROR(VLOOKUP(Sync!$W505,OpTbl,3,0),"")="فروش"),UPPER(TRIM(Sync!$X505)),""))</f>
        <v/>
      </c>
      <c r="H509">
        <f>IF($G509="","",IF(Sync!$W505="","",Sync!$W505))</f>
        <v/>
      </c>
      <c r="I509">
        <f>IF(OR($G509="",Sync!$Y505=""),"",Sync!$Y505)</f>
        <v/>
      </c>
      <c r="J509">
        <f>IF(OR($G509="",Sync!$Z505=""),"",Sync!$Z505)</f>
        <v/>
      </c>
      <c r="K509">
        <f>IF($G509="",0,IF(Sync!$AA505="",0,Sync!$AA505))</f>
        <v/>
      </c>
      <c r="L509">
        <f>IF($G509="",0,IF(Sync!$AB505="",0,Sync!$AB505))</f>
        <v/>
      </c>
      <c r="M509">
        <f>IF($G509="","",IF($H509="مرجوعی فروش",-1,1)*($K509-$L509*IFERROR(VLOOKUP("P01",ParamTbl,3,0),1.5)))</f>
        <v/>
      </c>
      <c r="N509">
        <f>IF($G509="",0,IF($H509="مرجوعی فروش",-1,1)*IF(Sync!$AC505="",0,Sync!$AC505))</f>
        <v/>
      </c>
      <c r="O509">
        <f>IF(OR($G509="",Sync!$V505=""),"",Sync!$V505)</f>
        <v/>
      </c>
      <c r="P509">
        <f>IF(OR($G509="",Sync!$AD505=""),"",Sync!$AD505)</f>
        <v/>
      </c>
      <c r="Q509">
        <f>IF($G509="","",IF(Sync!$U505="","0000",IF(AND(ISNUMBER(Sync!$U505),Sync!$U505&gt;=0,Sync!$U505&lt;1),RIGHT("00"&amp;HOUR(Sync!$U505),2)&amp;RIGHT("00"&amp;MINUTE(Sync!$U505),2),IFERROR(RIGHT("00"&amp;VALUE(LEFT(Sync!$U505,FIND(":",Sync!$U505)-1)),2)&amp;RIGHT("00"&amp;VALUE(MID(Sync!$U505,FIND(":",Sync!$U505)+1,2)),2),"0000"))))</f>
        <v/>
      </c>
    </row>
    <row r="510">
      <c r="A510">
        <f>IF(Sync!$T506="","",Sync!$T506)</f>
        <v/>
      </c>
      <c r="B510">
        <f>IF($A510="","",IF(ISNUMBER($A510),IF(AND($A510&gt;=10000101,$A510&lt;=99991231),INT($A510/10000),""),IFERROR(VALUE(TRIM(LEFT($A510,FIND("/",$A510)-1))),"")))</f>
        <v/>
      </c>
      <c r="C510">
        <f>IF(OR($A510="",$B510=""),"",IF(ISNUMBER($A510),INT(MOD($A510,10000)/100),IFERROR(VALUE(TRIM(LEFT(MID($A510,FIND("/",$A510)+1,20),FIND("/",MID($A510,FIND("/",$A510)+1,20))-1))),"")))</f>
        <v/>
      </c>
      <c r="D510">
        <f>IF(OR($A510="",$B510=""),"",IF(ISNUMBER($A510),MOD($A510,100),IFERROR(VALUE(TRIM(MID(MID($A510,FIND("/",$A510)+1,20),FIND("/",MID($A510,FIND("/",$A510)+1,20))+1,20))),"")))</f>
        <v/>
      </c>
      <c r="E510">
        <f>IF($A510="","",IF(OR($B510="",$C510="",$D510="",$B510&lt;1300,$B510&gt;1500,$C510&lt;1,$C510&gt;12,$D510&lt;1,$D510&gt;31),"نامعتبر",RIGHT("0000"&amp;$B510,4)&amp;"/"&amp;RIGHT("00"&amp;$C510,2)&amp;"/"&amp;RIGHT("00"&amp;$D510,2)))</f>
        <v/>
      </c>
      <c r="F510">
        <f>IF(OR($E510="",$E510="نامعتبر"),"",LEFT($E510,4)&amp;"/"&amp;MID($E510,6,2))</f>
        <v/>
      </c>
      <c r="G510">
        <f>IF(OR($E510="",$E510="نامعتبر",Sync!$X506=""),"",IF(AND(LEFT(UPPER(TRIM(Sync!$X506)),2)="SL",IFERROR(VLOOKUP(Sync!$W506,OpTbl,3,0),"")="فروش"),UPPER(TRIM(Sync!$X506)),""))</f>
        <v/>
      </c>
      <c r="H510">
        <f>IF($G510="","",IF(Sync!$W506="","",Sync!$W506))</f>
        <v/>
      </c>
      <c r="I510">
        <f>IF(OR($G510="",Sync!$Y506=""),"",Sync!$Y506)</f>
        <v/>
      </c>
      <c r="J510">
        <f>IF(OR($G510="",Sync!$Z506=""),"",Sync!$Z506)</f>
        <v/>
      </c>
      <c r="K510">
        <f>IF($G510="",0,IF(Sync!$AA506="",0,Sync!$AA506))</f>
        <v/>
      </c>
      <c r="L510">
        <f>IF($G510="",0,IF(Sync!$AB506="",0,Sync!$AB506))</f>
        <v/>
      </c>
      <c r="M510">
        <f>IF($G510="","",IF($H510="مرجوعی فروش",-1,1)*($K510-$L510*IFERROR(VLOOKUP("P01",ParamTbl,3,0),1.5)))</f>
        <v/>
      </c>
      <c r="N510">
        <f>IF($G510="",0,IF($H510="مرجوعی فروش",-1,1)*IF(Sync!$AC506="",0,Sync!$AC506))</f>
        <v/>
      </c>
      <c r="O510">
        <f>IF(OR($G510="",Sync!$V506=""),"",Sync!$V506)</f>
        <v/>
      </c>
      <c r="P510">
        <f>IF(OR($G510="",Sync!$AD506=""),"",Sync!$AD506)</f>
        <v/>
      </c>
      <c r="Q510">
        <f>IF($G510="","",IF(Sync!$U506="","0000",IF(AND(ISNUMBER(Sync!$U506),Sync!$U506&gt;=0,Sync!$U506&lt;1),RIGHT("00"&amp;HOUR(Sync!$U506),2)&amp;RIGHT("00"&amp;MINUTE(Sync!$U506),2),IFERROR(RIGHT("00"&amp;VALUE(LEFT(Sync!$U506,FIND(":",Sync!$U506)-1)),2)&amp;RIGHT("00"&amp;VALUE(MID(Sync!$U506,FIND(":",Sync!$U506)+1,2)),2),"0000"))))</f>
        <v/>
      </c>
    </row>
    <row r="511">
      <c r="A511">
        <f>IF(Sync!$T507="","",Sync!$T507)</f>
        <v/>
      </c>
      <c r="B511">
        <f>IF($A511="","",IF(ISNUMBER($A511),IF(AND($A511&gt;=10000101,$A511&lt;=99991231),INT($A511/10000),""),IFERROR(VALUE(TRIM(LEFT($A511,FIND("/",$A511)-1))),"")))</f>
        <v/>
      </c>
      <c r="C511">
        <f>IF(OR($A511="",$B511=""),"",IF(ISNUMBER($A511),INT(MOD($A511,10000)/100),IFERROR(VALUE(TRIM(LEFT(MID($A511,FIND("/",$A511)+1,20),FIND("/",MID($A511,FIND("/",$A511)+1,20))-1))),"")))</f>
        <v/>
      </c>
      <c r="D511">
        <f>IF(OR($A511="",$B511=""),"",IF(ISNUMBER($A511),MOD($A511,100),IFERROR(VALUE(TRIM(MID(MID($A511,FIND("/",$A511)+1,20),FIND("/",MID($A511,FIND("/",$A511)+1,20))+1,20))),"")))</f>
        <v/>
      </c>
      <c r="E511">
        <f>IF($A511="","",IF(OR($B511="",$C511="",$D511="",$B511&lt;1300,$B511&gt;1500,$C511&lt;1,$C511&gt;12,$D511&lt;1,$D511&gt;31),"نامعتبر",RIGHT("0000"&amp;$B511,4)&amp;"/"&amp;RIGHT("00"&amp;$C511,2)&amp;"/"&amp;RIGHT("00"&amp;$D511,2)))</f>
        <v/>
      </c>
      <c r="F511">
        <f>IF(OR($E511="",$E511="نامعتبر"),"",LEFT($E511,4)&amp;"/"&amp;MID($E511,6,2))</f>
        <v/>
      </c>
      <c r="G511">
        <f>IF(OR($E511="",$E511="نامعتبر",Sync!$X507=""),"",IF(AND(LEFT(UPPER(TRIM(Sync!$X507)),2)="SL",IFERROR(VLOOKUP(Sync!$W507,OpTbl,3,0),"")="فروش"),UPPER(TRIM(Sync!$X507)),""))</f>
        <v/>
      </c>
      <c r="H511">
        <f>IF($G511="","",IF(Sync!$W507="","",Sync!$W507))</f>
        <v/>
      </c>
      <c r="I511">
        <f>IF(OR($G511="",Sync!$Y507=""),"",Sync!$Y507)</f>
        <v/>
      </c>
      <c r="J511">
        <f>IF(OR($G511="",Sync!$Z507=""),"",Sync!$Z507)</f>
        <v/>
      </c>
      <c r="K511">
        <f>IF($G511="",0,IF(Sync!$AA507="",0,Sync!$AA507))</f>
        <v/>
      </c>
      <c r="L511">
        <f>IF($G511="",0,IF(Sync!$AB507="",0,Sync!$AB507))</f>
        <v/>
      </c>
      <c r="M511">
        <f>IF($G511="","",IF($H511="مرجوعی فروش",-1,1)*($K511-$L511*IFERROR(VLOOKUP("P01",ParamTbl,3,0),1.5)))</f>
        <v/>
      </c>
      <c r="N511">
        <f>IF($G511="",0,IF($H511="مرجوعی فروش",-1,1)*IF(Sync!$AC507="",0,Sync!$AC507))</f>
        <v/>
      </c>
      <c r="O511">
        <f>IF(OR($G511="",Sync!$V507=""),"",Sync!$V507)</f>
        <v/>
      </c>
      <c r="P511">
        <f>IF(OR($G511="",Sync!$AD507=""),"",Sync!$AD507)</f>
        <v/>
      </c>
      <c r="Q511">
        <f>IF($G511="","",IF(Sync!$U507="","0000",IF(AND(ISNUMBER(Sync!$U507),Sync!$U507&gt;=0,Sync!$U507&lt;1),RIGHT("00"&amp;HOUR(Sync!$U507),2)&amp;RIGHT("00"&amp;MINUTE(Sync!$U507),2),IFERROR(RIGHT("00"&amp;VALUE(LEFT(Sync!$U507,FIND(":",Sync!$U507)-1)),2)&amp;RIGHT("00"&amp;VALUE(MID(Sync!$U507,FIND(":",Sync!$U507)+1,2)),2),"0000"))))</f>
        <v/>
      </c>
    </row>
    <row r="512">
      <c r="A512">
        <f>IF(Sync!$T508="","",Sync!$T508)</f>
        <v/>
      </c>
      <c r="B512">
        <f>IF($A512="","",IF(ISNUMBER($A512),IF(AND($A512&gt;=10000101,$A512&lt;=99991231),INT($A512/10000),""),IFERROR(VALUE(TRIM(LEFT($A512,FIND("/",$A512)-1))),"")))</f>
        <v/>
      </c>
      <c r="C512">
        <f>IF(OR($A512="",$B512=""),"",IF(ISNUMBER($A512),INT(MOD($A512,10000)/100),IFERROR(VALUE(TRIM(LEFT(MID($A512,FIND("/",$A512)+1,20),FIND("/",MID($A512,FIND("/",$A512)+1,20))-1))),"")))</f>
        <v/>
      </c>
      <c r="D512">
        <f>IF(OR($A512="",$B512=""),"",IF(ISNUMBER($A512),MOD($A512,100),IFERROR(VALUE(TRIM(MID(MID($A512,FIND("/",$A512)+1,20),FIND("/",MID($A512,FIND("/",$A512)+1,20))+1,20))),"")))</f>
        <v/>
      </c>
      <c r="E512">
        <f>IF($A512="","",IF(OR($B512="",$C512="",$D512="",$B512&lt;1300,$B512&gt;1500,$C512&lt;1,$C512&gt;12,$D512&lt;1,$D512&gt;31),"نامعتبر",RIGHT("0000"&amp;$B512,4)&amp;"/"&amp;RIGHT("00"&amp;$C512,2)&amp;"/"&amp;RIGHT("00"&amp;$D512,2)))</f>
        <v/>
      </c>
      <c r="F512">
        <f>IF(OR($E512="",$E512="نامعتبر"),"",LEFT($E512,4)&amp;"/"&amp;MID($E512,6,2))</f>
        <v/>
      </c>
      <c r="G512">
        <f>IF(OR($E512="",$E512="نامعتبر",Sync!$X508=""),"",IF(AND(LEFT(UPPER(TRIM(Sync!$X508)),2)="SL",IFERROR(VLOOKUP(Sync!$W508,OpTbl,3,0),"")="فروش"),UPPER(TRIM(Sync!$X508)),""))</f>
        <v/>
      </c>
      <c r="H512">
        <f>IF($G512="","",IF(Sync!$W508="","",Sync!$W508))</f>
        <v/>
      </c>
      <c r="I512">
        <f>IF(OR($G512="",Sync!$Y508=""),"",Sync!$Y508)</f>
        <v/>
      </c>
      <c r="J512">
        <f>IF(OR($G512="",Sync!$Z508=""),"",Sync!$Z508)</f>
        <v/>
      </c>
      <c r="K512">
        <f>IF($G512="",0,IF(Sync!$AA508="",0,Sync!$AA508))</f>
        <v/>
      </c>
      <c r="L512">
        <f>IF($G512="",0,IF(Sync!$AB508="",0,Sync!$AB508))</f>
        <v/>
      </c>
      <c r="M512">
        <f>IF($G512="","",IF($H512="مرجوعی فروش",-1,1)*($K512-$L512*IFERROR(VLOOKUP("P01",ParamTbl,3,0),1.5)))</f>
        <v/>
      </c>
      <c r="N512">
        <f>IF($G512="",0,IF($H512="مرجوعی فروش",-1,1)*IF(Sync!$AC508="",0,Sync!$AC508))</f>
        <v/>
      </c>
      <c r="O512">
        <f>IF(OR($G512="",Sync!$V508=""),"",Sync!$V508)</f>
        <v/>
      </c>
      <c r="P512">
        <f>IF(OR($G512="",Sync!$AD508=""),"",Sync!$AD508)</f>
        <v/>
      </c>
      <c r="Q512">
        <f>IF($G512="","",IF(Sync!$U508="","0000",IF(AND(ISNUMBER(Sync!$U508),Sync!$U508&gt;=0,Sync!$U508&lt;1),RIGHT("00"&amp;HOUR(Sync!$U508),2)&amp;RIGHT("00"&amp;MINUTE(Sync!$U508),2),IFERROR(RIGHT("00"&amp;VALUE(LEFT(Sync!$U508,FIND(":",Sync!$U508)-1)),2)&amp;RIGHT("00"&amp;VALUE(MID(Sync!$U508,FIND(":",Sync!$U508)+1,2)),2),"0000"))))</f>
        <v/>
      </c>
    </row>
    <row r="513">
      <c r="A513">
        <f>IF(Sync!$T509="","",Sync!$T509)</f>
        <v/>
      </c>
      <c r="B513">
        <f>IF($A513="","",IF(ISNUMBER($A513),IF(AND($A513&gt;=10000101,$A513&lt;=99991231),INT($A513/10000),""),IFERROR(VALUE(TRIM(LEFT($A513,FIND("/",$A513)-1))),"")))</f>
        <v/>
      </c>
      <c r="C513">
        <f>IF(OR($A513="",$B513=""),"",IF(ISNUMBER($A513),INT(MOD($A513,10000)/100),IFERROR(VALUE(TRIM(LEFT(MID($A513,FIND("/",$A513)+1,20),FIND("/",MID($A513,FIND("/",$A513)+1,20))-1))),"")))</f>
        <v/>
      </c>
      <c r="D513">
        <f>IF(OR($A513="",$B513=""),"",IF(ISNUMBER($A513),MOD($A513,100),IFERROR(VALUE(TRIM(MID(MID($A513,FIND("/",$A513)+1,20),FIND("/",MID($A513,FIND("/",$A513)+1,20))+1,20))),"")))</f>
        <v/>
      </c>
      <c r="E513">
        <f>IF($A513="","",IF(OR($B513="",$C513="",$D513="",$B513&lt;1300,$B513&gt;1500,$C513&lt;1,$C513&gt;12,$D513&lt;1,$D513&gt;31),"نامعتبر",RIGHT("0000"&amp;$B513,4)&amp;"/"&amp;RIGHT("00"&amp;$C513,2)&amp;"/"&amp;RIGHT("00"&amp;$D513,2)))</f>
        <v/>
      </c>
      <c r="F513">
        <f>IF(OR($E513="",$E513="نامعتبر"),"",LEFT($E513,4)&amp;"/"&amp;MID($E513,6,2))</f>
        <v/>
      </c>
      <c r="G513">
        <f>IF(OR($E513="",$E513="نامعتبر",Sync!$X509=""),"",IF(AND(LEFT(UPPER(TRIM(Sync!$X509)),2)="SL",IFERROR(VLOOKUP(Sync!$W509,OpTbl,3,0),"")="فروش"),UPPER(TRIM(Sync!$X509)),""))</f>
        <v/>
      </c>
      <c r="H513">
        <f>IF($G513="","",IF(Sync!$W509="","",Sync!$W509))</f>
        <v/>
      </c>
      <c r="I513">
        <f>IF(OR($G513="",Sync!$Y509=""),"",Sync!$Y509)</f>
        <v/>
      </c>
      <c r="J513">
        <f>IF(OR($G513="",Sync!$Z509=""),"",Sync!$Z509)</f>
        <v/>
      </c>
      <c r="K513">
        <f>IF($G513="",0,IF(Sync!$AA509="",0,Sync!$AA509))</f>
        <v/>
      </c>
      <c r="L513">
        <f>IF($G513="",0,IF(Sync!$AB509="",0,Sync!$AB509))</f>
        <v/>
      </c>
      <c r="M513">
        <f>IF($G513="","",IF($H513="مرجوعی فروش",-1,1)*($K513-$L513*IFERROR(VLOOKUP("P01",ParamTbl,3,0),1.5)))</f>
        <v/>
      </c>
      <c r="N513">
        <f>IF($G513="",0,IF($H513="مرجوعی فروش",-1,1)*IF(Sync!$AC509="",0,Sync!$AC509))</f>
        <v/>
      </c>
      <c r="O513">
        <f>IF(OR($G513="",Sync!$V509=""),"",Sync!$V509)</f>
        <v/>
      </c>
      <c r="P513">
        <f>IF(OR($G513="",Sync!$AD509=""),"",Sync!$AD509)</f>
        <v/>
      </c>
      <c r="Q513">
        <f>IF($G513="","",IF(Sync!$U509="","0000",IF(AND(ISNUMBER(Sync!$U509),Sync!$U509&gt;=0,Sync!$U509&lt;1),RIGHT("00"&amp;HOUR(Sync!$U509),2)&amp;RIGHT("00"&amp;MINUTE(Sync!$U509),2),IFERROR(RIGHT("00"&amp;VALUE(LEFT(Sync!$U509,FIND(":",Sync!$U509)-1)),2)&amp;RIGHT("00"&amp;VALUE(MID(Sync!$U509,FIND(":",Sync!$U509)+1,2)),2),"0000"))))</f>
        <v/>
      </c>
    </row>
    <row r="514">
      <c r="A514">
        <f>IF(Sync!$T510="","",Sync!$T510)</f>
        <v/>
      </c>
      <c r="B514">
        <f>IF($A514="","",IF(ISNUMBER($A514),IF(AND($A514&gt;=10000101,$A514&lt;=99991231),INT($A514/10000),""),IFERROR(VALUE(TRIM(LEFT($A514,FIND("/",$A514)-1))),"")))</f>
        <v/>
      </c>
      <c r="C514">
        <f>IF(OR($A514="",$B514=""),"",IF(ISNUMBER($A514),INT(MOD($A514,10000)/100),IFERROR(VALUE(TRIM(LEFT(MID($A514,FIND("/",$A514)+1,20),FIND("/",MID($A514,FIND("/",$A514)+1,20))-1))),"")))</f>
        <v/>
      </c>
      <c r="D514">
        <f>IF(OR($A514="",$B514=""),"",IF(ISNUMBER($A514),MOD($A514,100),IFERROR(VALUE(TRIM(MID(MID($A514,FIND("/",$A514)+1,20),FIND("/",MID($A514,FIND("/",$A514)+1,20))+1,20))),"")))</f>
        <v/>
      </c>
      <c r="E514">
        <f>IF($A514="","",IF(OR($B514="",$C514="",$D514="",$B514&lt;1300,$B514&gt;1500,$C514&lt;1,$C514&gt;12,$D514&lt;1,$D514&gt;31),"نامعتبر",RIGHT("0000"&amp;$B514,4)&amp;"/"&amp;RIGHT("00"&amp;$C514,2)&amp;"/"&amp;RIGHT("00"&amp;$D514,2)))</f>
        <v/>
      </c>
      <c r="F514">
        <f>IF(OR($E514="",$E514="نامعتبر"),"",LEFT($E514,4)&amp;"/"&amp;MID($E514,6,2))</f>
        <v/>
      </c>
      <c r="G514">
        <f>IF(OR($E514="",$E514="نامعتبر",Sync!$X510=""),"",IF(AND(LEFT(UPPER(TRIM(Sync!$X510)),2)="SL",IFERROR(VLOOKUP(Sync!$W510,OpTbl,3,0),"")="فروش"),UPPER(TRIM(Sync!$X510)),""))</f>
        <v/>
      </c>
      <c r="H514">
        <f>IF($G514="","",IF(Sync!$W510="","",Sync!$W510))</f>
        <v/>
      </c>
      <c r="I514">
        <f>IF(OR($G514="",Sync!$Y510=""),"",Sync!$Y510)</f>
        <v/>
      </c>
      <c r="J514">
        <f>IF(OR($G514="",Sync!$Z510=""),"",Sync!$Z510)</f>
        <v/>
      </c>
      <c r="K514">
        <f>IF($G514="",0,IF(Sync!$AA510="",0,Sync!$AA510))</f>
        <v/>
      </c>
      <c r="L514">
        <f>IF($G514="",0,IF(Sync!$AB510="",0,Sync!$AB510))</f>
        <v/>
      </c>
      <c r="M514">
        <f>IF($G514="","",IF($H514="مرجوعی فروش",-1,1)*($K514-$L514*IFERROR(VLOOKUP("P01",ParamTbl,3,0),1.5)))</f>
        <v/>
      </c>
      <c r="N514">
        <f>IF($G514="",0,IF($H514="مرجوعی فروش",-1,1)*IF(Sync!$AC510="",0,Sync!$AC510))</f>
        <v/>
      </c>
      <c r="O514">
        <f>IF(OR($G514="",Sync!$V510=""),"",Sync!$V510)</f>
        <v/>
      </c>
      <c r="P514">
        <f>IF(OR($G514="",Sync!$AD510=""),"",Sync!$AD510)</f>
        <v/>
      </c>
      <c r="Q514">
        <f>IF($G514="","",IF(Sync!$U510="","0000",IF(AND(ISNUMBER(Sync!$U510),Sync!$U510&gt;=0,Sync!$U510&lt;1),RIGHT("00"&amp;HOUR(Sync!$U510),2)&amp;RIGHT("00"&amp;MINUTE(Sync!$U510),2),IFERROR(RIGHT("00"&amp;VALUE(LEFT(Sync!$U510,FIND(":",Sync!$U510)-1)),2)&amp;RIGHT("00"&amp;VALUE(MID(Sync!$U510,FIND(":",Sync!$U510)+1,2)),2),"0000"))))</f>
        <v/>
      </c>
    </row>
    <row r="515">
      <c r="A515">
        <f>IF(Sync!$T511="","",Sync!$T511)</f>
        <v/>
      </c>
      <c r="B515">
        <f>IF($A515="","",IF(ISNUMBER($A515),IF(AND($A515&gt;=10000101,$A515&lt;=99991231),INT($A515/10000),""),IFERROR(VALUE(TRIM(LEFT($A515,FIND("/",$A515)-1))),"")))</f>
        <v/>
      </c>
      <c r="C515">
        <f>IF(OR($A515="",$B515=""),"",IF(ISNUMBER($A515),INT(MOD($A515,10000)/100),IFERROR(VALUE(TRIM(LEFT(MID($A515,FIND("/",$A515)+1,20),FIND("/",MID($A515,FIND("/",$A515)+1,20))-1))),"")))</f>
        <v/>
      </c>
      <c r="D515">
        <f>IF(OR($A515="",$B515=""),"",IF(ISNUMBER($A515),MOD($A515,100),IFERROR(VALUE(TRIM(MID(MID($A515,FIND("/",$A515)+1,20),FIND("/",MID($A515,FIND("/",$A515)+1,20))+1,20))),"")))</f>
        <v/>
      </c>
      <c r="E515">
        <f>IF($A515="","",IF(OR($B515="",$C515="",$D515="",$B515&lt;1300,$B515&gt;1500,$C515&lt;1,$C515&gt;12,$D515&lt;1,$D515&gt;31),"نامعتبر",RIGHT("0000"&amp;$B515,4)&amp;"/"&amp;RIGHT("00"&amp;$C515,2)&amp;"/"&amp;RIGHT("00"&amp;$D515,2)))</f>
        <v/>
      </c>
      <c r="F515">
        <f>IF(OR($E515="",$E515="نامعتبر"),"",LEFT($E515,4)&amp;"/"&amp;MID($E515,6,2))</f>
        <v/>
      </c>
      <c r="G515">
        <f>IF(OR($E515="",$E515="نامعتبر",Sync!$X511=""),"",IF(AND(LEFT(UPPER(TRIM(Sync!$X511)),2)="SL",IFERROR(VLOOKUP(Sync!$W511,OpTbl,3,0),"")="فروش"),UPPER(TRIM(Sync!$X511)),""))</f>
        <v/>
      </c>
      <c r="H515">
        <f>IF($G515="","",IF(Sync!$W511="","",Sync!$W511))</f>
        <v/>
      </c>
      <c r="I515">
        <f>IF(OR($G515="",Sync!$Y511=""),"",Sync!$Y511)</f>
        <v/>
      </c>
      <c r="J515">
        <f>IF(OR($G515="",Sync!$Z511=""),"",Sync!$Z511)</f>
        <v/>
      </c>
      <c r="K515">
        <f>IF($G515="",0,IF(Sync!$AA511="",0,Sync!$AA511))</f>
        <v/>
      </c>
      <c r="L515">
        <f>IF($G515="",0,IF(Sync!$AB511="",0,Sync!$AB511))</f>
        <v/>
      </c>
      <c r="M515">
        <f>IF($G515="","",IF($H515="مرجوعی فروش",-1,1)*($K515-$L515*IFERROR(VLOOKUP("P01",ParamTbl,3,0),1.5)))</f>
        <v/>
      </c>
      <c r="N515">
        <f>IF($G515="",0,IF($H515="مرجوعی فروش",-1,1)*IF(Sync!$AC511="",0,Sync!$AC511))</f>
        <v/>
      </c>
      <c r="O515">
        <f>IF(OR($G515="",Sync!$V511=""),"",Sync!$V511)</f>
        <v/>
      </c>
      <c r="P515">
        <f>IF(OR($G515="",Sync!$AD511=""),"",Sync!$AD511)</f>
        <v/>
      </c>
      <c r="Q515">
        <f>IF($G515="","",IF(Sync!$U511="","0000",IF(AND(ISNUMBER(Sync!$U511),Sync!$U511&gt;=0,Sync!$U511&lt;1),RIGHT("00"&amp;HOUR(Sync!$U511),2)&amp;RIGHT("00"&amp;MINUTE(Sync!$U511),2),IFERROR(RIGHT("00"&amp;VALUE(LEFT(Sync!$U511,FIND(":",Sync!$U511)-1)),2)&amp;RIGHT("00"&amp;VALUE(MID(Sync!$U511,FIND(":",Sync!$U511)+1,2)),2),"0000"))))</f>
        <v/>
      </c>
    </row>
    <row r="516">
      <c r="A516">
        <f>IF(Sync!$T512="","",Sync!$T512)</f>
        <v/>
      </c>
      <c r="B516">
        <f>IF($A516="","",IF(ISNUMBER($A516),IF(AND($A516&gt;=10000101,$A516&lt;=99991231),INT($A516/10000),""),IFERROR(VALUE(TRIM(LEFT($A516,FIND("/",$A516)-1))),"")))</f>
        <v/>
      </c>
      <c r="C516">
        <f>IF(OR($A516="",$B516=""),"",IF(ISNUMBER($A516),INT(MOD($A516,10000)/100),IFERROR(VALUE(TRIM(LEFT(MID($A516,FIND("/",$A516)+1,20),FIND("/",MID($A516,FIND("/",$A516)+1,20))-1))),"")))</f>
        <v/>
      </c>
      <c r="D516">
        <f>IF(OR($A516="",$B516=""),"",IF(ISNUMBER($A516),MOD($A516,100),IFERROR(VALUE(TRIM(MID(MID($A516,FIND("/",$A516)+1,20),FIND("/",MID($A516,FIND("/",$A516)+1,20))+1,20))),"")))</f>
        <v/>
      </c>
      <c r="E516">
        <f>IF($A516="","",IF(OR($B516="",$C516="",$D516="",$B516&lt;1300,$B516&gt;1500,$C516&lt;1,$C516&gt;12,$D516&lt;1,$D516&gt;31),"نامعتبر",RIGHT("0000"&amp;$B516,4)&amp;"/"&amp;RIGHT("00"&amp;$C516,2)&amp;"/"&amp;RIGHT("00"&amp;$D516,2)))</f>
        <v/>
      </c>
      <c r="F516">
        <f>IF(OR($E516="",$E516="نامعتبر"),"",LEFT($E516,4)&amp;"/"&amp;MID($E516,6,2))</f>
        <v/>
      </c>
      <c r="G516">
        <f>IF(OR($E516="",$E516="نامعتبر",Sync!$X512=""),"",IF(AND(LEFT(UPPER(TRIM(Sync!$X512)),2)="SL",IFERROR(VLOOKUP(Sync!$W512,OpTbl,3,0),"")="فروش"),UPPER(TRIM(Sync!$X512)),""))</f>
        <v/>
      </c>
      <c r="H516">
        <f>IF($G516="","",IF(Sync!$W512="","",Sync!$W512))</f>
        <v/>
      </c>
      <c r="I516">
        <f>IF(OR($G516="",Sync!$Y512=""),"",Sync!$Y512)</f>
        <v/>
      </c>
      <c r="J516">
        <f>IF(OR($G516="",Sync!$Z512=""),"",Sync!$Z512)</f>
        <v/>
      </c>
      <c r="K516">
        <f>IF($G516="",0,IF(Sync!$AA512="",0,Sync!$AA512))</f>
        <v/>
      </c>
      <c r="L516">
        <f>IF($G516="",0,IF(Sync!$AB512="",0,Sync!$AB512))</f>
        <v/>
      </c>
      <c r="M516">
        <f>IF($G516="","",IF($H516="مرجوعی فروش",-1,1)*($K516-$L516*IFERROR(VLOOKUP("P01",ParamTbl,3,0),1.5)))</f>
        <v/>
      </c>
      <c r="N516">
        <f>IF($G516="",0,IF($H516="مرجوعی فروش",-1,1)*IF(Sync!$AC512="",0,Sync!$AC512))</f>
        <v/>
      </c>
      <c r="O516">
        <f>IF(OR($G516="",Sync!$V512=""),"",Sync!$V512)</f>
        <v/>
      </c>
      <c r="P516">
        <f>IF(OR($G516="",Sync!$AD512=""),"",Sync!$AD512)</f>
        <v/>
      </c>
      <c r="Q516">
        <f>IF($G516="","",IF(Sync!$U512="","0000",IF(AND(ISNUMBER(Sync!$U512),Sync!$U512&gt;=0,Sync!$U512&lt;1),RIGHT("00"&amp;HOUR(Sync!$U512),2)&amp;RIGHT("00"&amp;MINUTE(Sync!$U512),2),IFERROR(RIGHT("00"&amp;VALUE(LEFT(Sync!$U512,FIND(":",Sync!$U512)-1)),2)&amp;RIGHT("00"&amp;VALUE(MID(Sync!$U512,FIND(":",Sync!$U512)+1,2)),2),"0000"))))</f>
        <v/>
      </c>
    </row>
    <row r="517">
      <c r="A517">
        <f>IF(Sync!$T513="","",Sync!$T513)</f>
        <v/>
      </c>
      <c r="B517">
        <f>IF($A517="","",IF(ISNUMBER($A517),IF(AND($A517&gt;=10000101,$A517&lt;=99991231),INT($A517/10000),""),IFERROR(VALUE(TRIM(LEFT($A517,FIND("/",$A517)-1))),"")))</f>
        <v/>
      </c>
      <c r="C517">
        <f>IF(OR($A517="",$B517=""),"",IF(ISNUMBER($A517),INT(MOD($A517,10000)/100),IFERROR(VALUE(TRIM(LEFT(MID($A517,FIND("/",$A517)+1,20),FIND("/",MID($A517,FIND("/",$A517)+1,20))-1))),"")))</f>
        <v/>
      </c>
      <c r="D517">
        <f>IF(OR($A517="",$B517=""),"",IF(ISNUMBER($A517),MOD($A517,100),IFERROR(VALUE(TRIM(MID(MID($A517,FIND("/",$A517)+1,20),FIND("/",MID($A517,FIND("/",$A517)+1,20))+1,20))),"")))</f>
        <v/>
      </c>
      <c r="E517">
        <f>IF($A517="","",IF(OR($B517="",$C517="",$D517="",$B517&lt;1300,$B517&gt;1500,$C517&lt;1,$C517&gt;12,$D517&lt;1,$D517&gt;31),"نامعتبر",RIGHT("0000"&amp;$B517,4)&amp;"/"&amp;RIGHT("00"&amp;$C517,2)&amp;"/"&amp;RIGHT("00"&amp;$D517,2)))</f>
        <v/>
      </c>
      <c r="F517">
        <f>IF(OR($E517="",$E517="نامعتبر"),"",LEFT($E517,4)&amp;"/"&amp;MID($E517,6,2))</f>
        <v/>
      </c>
      <c r="G517">
        <f>IF(OR($E517="",$E517="نامعتبر",Sync!$X513=""),"",IF(AND(LEFT(UPPER(TRIM(Sync!$X513)),2)="SL",IFERROR(VLOOKUP(Sync!$W513,OpTbl,3,0),"")="فروش"),UPPER(TRIM(Sync!$X513)),""))</f>
        <v/>
      </c>
      <c r="H517">
        <f>IF($G517="","",IF(Sync!$W513="","",Sync!$W513))</f>
        <v/>
      </c>
      <c r="I517">
        <f>IF(OR($G517="",Sync!$Y513=""),"",Sync!$Y513)</f>
        <v/>
      </c>
      <c r="J517">
        <f>IF(OR($G517="",Sync!$Z513=""),"",Sync!$Z513)</f>
        <v/>
      </c>
      <c r="K517">
        <f>IF($G517="",0,IF(Sync!$AA513="",0,Sync!$AA513))</f>
        <v/>
      </c>
      <c r="L517">
        <f>IF($G517="",0,IF(Sync!$AB513="",0,Sync!$AB513))</f>
        <v/>
      </c>
      <c r="M517">
        <f>IF($G517="","",IF($H517="مرجوعی فروش",-1,1)*($K517-$L517*IFERROR(VLOOKUP("P01",ParamTbl,3,0),1.5)))</f>
        <v/>
      </c>
      <c r="N517">
        <f>IF($G517="",0,IF($H517="مرجوعی فروش",-1,1)*IF(Sync!$AC513="",0,Sync!$AC513))</f>
        <v/>
      </c>
      <c r="O517">
        <f>IF(OR($G517="",Sync!$V513=""),"",Sync!$V513)</f>
        <v/>
      </c>
      <c r="P517">
        <f>IF(OR($G517="",Sync!$AD513=""),"",Sync!$AD513)</f>
        <v/>
      </c>
      <c r="Q517">
        <f>IF($G517="","",IF(Sync!$U513="","0000",IF(AND(ISNUMBER(Sync!$U513),Sync!$U513&gt;=0,Sync!$U513&lt;1),RIGHT("00"&amp;HOUR(Sync!$U513),2)&amp;RIGHT("00"&amp;MINUTE(Sync!$U513),2),IFERROR(RIGHT("00"&amp;VALUE(LEFT(Sync!$U513,FIND(":",Sync!$U513)-1)),2)&amp;RIGHT("00"&amp;VALUE(MID(Sync!$U513,FIND(":",Sync!$U513)+1,2)),2),"0000"))))</f>
        <v/>
      </c>
    </row>
    <row r="518">
      <c r="A518">
        <f>IF(Sync!$T514="","",Sync!$T514)</f>
        <v/>
      </c>
      <c r="B518">
        <f>IF($A518="","",IF(ISNUMBER($A518),IF(AND($A518&gt;=10000101,$A518&lt;=99991231),INT($A518/10000),""),IFERROR(VALUE(TRIM(LEFT($A518,FIND("/",$A518)-1))),"")))</f>
        <v/>
      </c>
      <c r="C518">
        <f>IF(OR($A518="",$B518=""),"",IF(ISNUMBER($A518),INT(MOD($A518,10000)/100),IFERROR(VALUE(TRIM(LEFT(MID($A518,FIND("/",$A518)+1,20),FIND("/",MID($A518,FIND("/",$A518)+1,20))-1))),"")))</f>
        <v/>
      </c>
      <c r="D518">
        <f>IF(OR($A518="",$B518=""),"",IF(ISNUMBER($A518),MOD($A518,100),IFERROR(VALUE(TRIM(MID(MID($A518,FIND("/",$A518)+1,20),FIND("/",MID($A518,FIND("/",$A518)+1,20))+1,20))),"")))</f>
        <v/>
      </c>
      <c r="E518">
        <f>IF($A518="","",IF(OR($B518="",$C518="",$D518="",$B518&lt;1300,$B518&gt;1500,$C518&lt;1,$C518&gt;12,$D518&lt;1,$D518&gt;31),"نامعتبر",RIGHT("0000"&amp;$B518,4)&amp;"/"&amp;RIGHT("00"&amp;$C518,2)&amp;"/"&amp;RIGHT("00"&amp;$D518,2)))</f>
        <v/>
      </c>
      <c r="F518">
        <f>IF(OR($E518="",$E518="نامعتبر"),"",LEFT($E518,4)&amp;"/"&amp;MID($E518,6,2))</f>
        <v/>
      </c>
      <c r="G518">
        <f>IF(OR($E518="",$E518="نامعتبر",Sync!$X514=""),"",IF(AND(LEFT(UPPER(TRIM(Sync!$X514)),2)="SL",IFERROR(VLOOKUP(Sync!$W514,OpTbl,3,0),"")="فروش"),UPPER(TRIM(Sync!$X514)),""))</f>
        <v/>
      </c>
      <c r="H518">
        <f>IF($G518="","",IF(Sync!$W514="","",Sync!$W514))</f>
        <v/>
      </c>
      <c r="I518">
        <f>IF(OR($G518="",Sync!$Y514=""),"",Sync!$Y514)</f>
        <v/>
      </c>
      <c r="J518">
        <f>IF(OR($G518="",Sync!$Z514=""),"",Sync!$Z514)</f>
        <v/>
      </c>
      <c r="K518">
        <f>IF($G518="",0,IF(Sync!$AA514="",0,Sync!$AA514))</f>
        <v/>
      </c>
      <c r="L518">
        <f>IF($G518="",0,IF(Sync!$AB514="",0,Sync!$AB514))</f>
        <v/>
      </c>
      <c r="M518">
        <f>IF($G518="","",IF($H518="مرجوعی فروش",-1,1)*($K518-$L518*IFERROR(VLOOKUP("P01",ParamTbl,3,0),1.5)))</f>
        <v/>
      </c>
      <c r="N518">
        <f>IF($G518="",0,IF($H518="مرجوعی فروش",-1,1)*IF(Sync!$AC514="",0,Sync!$AC514))</f>
        <v/>
      </c>
      <c r="O518">
        <f>IF(OR($G518="",Sync!$V514=""),"",Sync!$V514)</f>
        <v/>
      </c>
      <c r="P518">
        <f>IF(OR($G518="",Sync!$AD514=""),"",Sync!$AD514)</f>
        <v/>
      </c>
      <c r="Q518">
        <f>IF($G518="","",IF(Sync!$U514="","0000",IF(AND(ISNUMBER(Sync!$U514),Sync!$U514&gt;=0,Sync!$U514&lt;1),RIGHT("00"&amp;HOUR(Sync!$U514),2)&amp;RIGHT("00"&amp;MINUTE(Sync!$U514),2),IFERROR(RIGHT("00"&amp;VALUE(LEFT(Sync!$U514,FIND(":",Sync!$U514)-1)),2)&amp;RIGHT("00"&amp;VALUE(MID(Sync!$U514,FIND(":",Sync!$U514)+1,2)),2),"0000"))))</f>
        <v/>
      </c>
    </row>
    <row r="519">
      <c r="A519">
        <f>IF(Sync!$T515="","",Sync!$T515)</f>
        <v/>
      </c>
      <c r="B519">
        <f>IF($A519="","",IF(ISNUMBER($A519),IF(AND($A519&gt;=10000101,$A519&lt;=99991231),INT($A519/10000),""),IFERROR(VALUE(TRIM(LEFT($A519,FIND("/",$A519)-1))),"")))</f>
        <v/>
      </c>
      <c r="C519">
        <f>IF(OR($A519="",$B519=""),"",IF(ISNUMBER($A519),INT(MOD($A519,10000)/100),IFERROR(VALUE(TRIM(LEFT(MID($A519,FIND("/",$A519)+1,20),FIND("/",MID($A519,FIND("/",$A519)+1,20))-1))),"")))</f>
        <v/>
      </c>
      <c r="D519">
        <f>IF(OR($A519="",$B519=""),"",IF(ISNUMBER($A519),MOD($A519,100),IFERROR(VALUE(TRIM(MID(MID($A519,FIND("/",$A519)+1,20),FIND("/",MID($A519,FIND("/",$A519)+1,20))+1,20))),"")))</f>
        <v/>
      </c>
      <c r="E519">
        <f>IF($A519="","",IF(OR($B519="",$C519="",$D519="",$B519&lt;1300,$B519&gt;1500,$C519&lt;1,$C519&gt;12,$D519&lt;1,$D519&gt;31),"نامعتبر",RIGHT("0000"&amp;$B519,4)&amp;"/"&amp;RIGHT("00"&amp;$C519,2)&amp;"/"&amp;RIGHT("00"&amp;$D519,2)))</f>
        <v/>
      </c>
      <c r="F519">
        <f>IF(OR($E519="",$E519="نامعتبر"),"",LEFT($E519,4)&amp;"/"&amp;MID($E519,6,2))</f>
        <v/>
      </c>
      <c r="G519">
        <f>IF(OR($E519="",$E519="نامعتبر",Sync!$X515=""),"",IF(AND(LEFT(UPPER(TRIM(Sync!$X515)),2)="SL",IFERROR(VLOOKUP(Sync!$W515,OpTbl,3,0),"")="فروش"),UPPER(TRIM(Sync!$X515)),""))</f>
        <v/>
      </c>
      <c r="H519">
        <f>IF($G519="","",IF(Sync!$W515="","",Sync!$W515))</f>
        <v/>
      </c>
      <c r="I519">
        <f>IF(OR($G519="",Sync!$Y515=""),"",Sync!$Y515)</f>
        <v/>
      </c>
      <c r="J519">
        <f>IF(OR($G519="",Sync!$Z515=""),"",Sync!$Z515)</f>
        <v/>
      </c>
      <c r="K519">
        <f>IF($G519="",0,IF(Sync!$AA515="",0,Sync!$AA515))</f>
        <v/>
      </c>
      <c r="L519">
        <f>IF($G519="",0,IF(Sync!$AB515="",0,Sync!$AB515))</f>
        <v/>
      </c>
      <c r="M519">
        <f>IF($G519="","",IF($H519="مرجوعی فروش",-1,1)*($K519-$L519*IFERROR(VLOOKUP("P01",ParamTbl,3,0),1.5)))</f>
        <v/>
      </c>
      <c r="N519">
        <f>IF($G519="",0,IF($H519="مرجوعی فروش",-1,1)*IF(Sync!$AC515="",0,Sync!$AC515))</f>
        <v/>
      </c>
      <c r="O519">
        <f>IF(OR($G519="",Sync!$V515=""),"",Sync!$V515)</f>
        <v/>
      </c>
      <c r="P519">
        <f>IF(OR($G519="",Sync!$AD515=""),"",Sync!$AD515)</f>
        <v/>
      </c>
      <c r="Q519">
        <f>IF($G519="","",IF(Sync!$U515="","0000",IF(AND(ISNUMBER(Sync!$U515),Sync!$U515&gt;=0,Sync!$U515&lt;1),RIGHT("00"&amp;HOUR(Sync!$U515),2)&amp;RIGHT("00"&amp;MINUTE(Sync!$U515),2),IFERROR(RIGHT("00"&amp;VALUE(LEFT(Sync!$U515,FIND(":",Sync!$U515)-1)),2)&amp;RIGHT("00"&amp;VALUE(MID(Sync!$U515,FIND(":",Sync!$U515)+1,2)),2),"0000"))))</f>
        <v/>
      </c>
    </row>
    <row r="520">
      <c r="A520">
        <f>IF(Sync!$T516="","",Sync!$T516)</f>
        <v/>
      </c>
      <c r="B520">
        <f>IF($A520="","",IF(ISNUMBER($A520),IF(AND($A520&gt;=10000101,$A520&lt;=99991231),INT($A520/10000),""),IFERROR(VALUE(TRIM(LEFT($A520,FIND("/",$A520)-1))),"")))</f>
        <v/>
      </c>
      <c r="C520">
        <f>IF(OR($A520="",$B520=""),"",IF(ISNUMBER($A520),INT(MOD($A520,10000)/100),IFERROR(VALUE(TRIM(LEFT(MID($A520,FIND("/",$A520)+1,20),FIND("/",MID($A520,FIND("/",$A520)+1,20))-1))),"")))</f>
        <v/>
      </c>
      <c r="D520">
        <f>IF(OR($A520="",$B520=""),"",IF(ISNUMBER($A520),MOD($A520,100),IFERROR(VALUE(TRIM(MID(MID($A520,FIND("/",$A520)+1,20),FIND("/",MID($A520,FIND("/",$A520)+1,20))+1,20))),"")))</f>
        <v/>
      </c>
      <c r="E520">
        <f>IF($A520="","",IF(OR($B520="",$C520="",$D520="",$B520&lt;1300,$B520&gt;1500,$C520&lt;1,$C520&gt;12,$D520&lt;1,$D520&gt;31),"نامعتبر",RIGHT("0000"&amp;$B520,4)&amp;"/"&amp;RIGHT("00"&amp;$C520,2)&amp;"/"&amp;RIGHT("00"&amp;$D520,2)))</f>
        <v/>
      </c>
      <c r="F520">
        <f>IF(OR($E520="",$E520="نامعتبر"),"",LEFT($E520,4)&amp;"/"&amp;MID($E520,6,2))</f>
        <v/>
      </c>
      <c r="G520">
        <f>IF(OR($E520="",$E520="نامعتبر",Sync!$X516=""),"",IF(AND(LEFT(UPPER(TRIM(Sync!$X516)),2)="SL",IFERROR(VLOOKUP(Sync!$W516,OpTbl,3,0),"")="فروش"),UPPER(TRIM(Sync!$X516)),""))</f>
        <v/>
      </c>
      <c r="H520">
        <f>IF($G520="","",IF(Sync!$W516="","",Sync!$W516))</f>
        <v/>
      </c>
      <c r="I520">
        <f>IF(OR($G520="",Sync!$Y516=""),"",Sync!$Y516)</f>
        <v/>
      </c>
      <c r="J520">
        <f>IF(OR($G520="",Sync!$Z516=""),"",Sync!$Z516)</f>
        <v/>
      </c>
      <c r="K520">
        <f>IF($G520="",0,IF(Sync!$AA516="",0,Sync!$AA516))</f>
        <v/>
      </c>
      <c r="L520">
        <f>IF($G520="",0,IF(Sync!$AB516="",0,Sync!$AB516))</f>
        <v/>
      </c>
      <c r="M520">
        <f>IF($G520="","",IF($H520="مرجوعی فروش",-1,1)*($K520-$L520*IFERROR(VLOOKUP("P01",ParamTbl,3,0),1.5)))</f>
        <v/>
      </c>
      <c r="N520">
        <f>IF($G520="",0,IF($H520="مرجوعی فروش",-1,1)*IF(Sync!$AC516="",0,Sync!$AC516))</f>
        <v/>
      </c>
      <c r="O520">
        <f>IF(OR($G520="",Sync!$V516=""),"",Sync!$V516)</f>
        <v/>
      </c>
      <c r="P520">
        <f>IF(OR($G520="",Sync!$AD516=""),"",Sync!$AD516)</f>
        <v/>
      </c>
      <c r="Q520">
        <f>IF($G520="","",IF(Sync!$U516="","0000",IF(AND(ISNUMBER(Sync!$U516),Sync!$U516&gt;=0,Sync!$U516&lt;1),RIGHT("00"&amp;HOUR(Sync!$U516),2)&amp;RIGHT("00"&amp;MINUTE(Sync!$U516),2),IFERROR(RIGHT("00"&amp;VALUE(LEFT(Sync!$U516,FIND(":",Sync!$U516)-1)),2)&amp;RIGHT("00"&amp;VALUE(MID(Sync!$U516,FIND(":",Sync!$U516)+1,2)),2),"0000"))))</f>
        <v/>
      </c>
    </row>
    <row r="521">
      <c r="A521">
        <f>IF(Sync!$T517="","",Sync!$T517)</f>
        <v/>
      </c>
      <c r="B521">
        <f>IF($A521="","",IF(ISNUMBER($A521),IF(AND($A521&gt;=10000101,$A521&lt;=99991231),INT($A521/10000),""),IFERROR(VALUE(TRIM(LEFT($A521,FIND("/",$A521)-1))),"")))</f>
        <v/>
      </c>
      <c r="C521">
        <f>IF(OR($A521="",$B521=""),"",IF(ISNUMBER($A521),INT(MOD($A521,10000)/100),IFERROR(VALUE(TRIM(LEFT(MID($A521,FIND("/",$A521)+1,20),FIND("/",MID($A521,FIND("/",$A521)+1,20))-1))),"")))</f>
        <v/>
      </c>
      <c r="D521">
        <f>IF(OR($A521="",$B521=""),"",IF(ISNUMBER($A521),MOD($A521,100),IFERROR(VALUE(TRIM(MID(MID($A521,FIND("/",$A521)+1,20),FIND("/",MID($A521,FIND("/",$A521)+1,20))+1,20))),"")))</f>
        <v/>
      </c>
      <c r="E521">
        <f>IF($A521="","",IF(OR($B521="",$C521="",$D521="",$B521&lt;1300,$B521&gt;1500,$C521&lt;1,$C521&gt;12,$D521&lt;1,$D521&gt;31),"نامعتبر",RIGHT("0000"&amp;$B521,4)&amp;"/"&amp;RIGHT("00"&amp;$C521,2)&amp;"/"&amp;RIGHT("00"&amp;$D521,2)))</f>
        <v/>
      </c>
      <c r="F521">
        <f>IF(OR($E521="",$E521="نامعتبر"),"",LEFT($E521,4)&amp;"/"&amp;MID($E521,6,2))</f>
        <v/>
      </c>
      <c r="G521">
        <f>IF(OR($E521="",$E521="نامعتبر",Sync!$X517=""),"",IF(AND(LEFT(UPPER(TRIM(Sync!$X517)),2)="SL",IFERROR(VLOOKUP(Sync!$W517,OpTbl,3,0),"")="فروش"),UPPER(TRIM(Sync!$X517)),""))</f>
        <v/>
      </c>
      <c r="H521">
        <f>IF($G521="","",IF(Sync!$W517="","",Sync!$W517))</f>
        <v/>
      </c>
      <c r="I521">
        <f>IF(OR($G521="",Sync!$Y517=""),"",Sync!$Y517)</f>
        <v/>
      </c>
      <c r="J521">
        <f>IF(OR($G521="",Sync!$Z517=""),"",Sync!$Z517)</f>
        <v/>
      </c>
      <c r="K521">
        <f>IF($G521="",0,IF(Sync!$AA517="",0,Sync!$AA517))</f>
        <v/>
      </c>
      <c r="L521">
        <f>IF($G521="",0,IF(Sync!$AB517="",0,Sync!$AB517))</f>
        <v/>
      </c>
      <c r="M521">
        <f>IF($G521="","",IF($H521="مرجوعی فروش",-1,1)*($K521-$L521*IFERROR(VLOOKUP("P01",ParamTbl,3,0),1.5)))</f>
        <v/>
      </c>
      <c r="N521">
        <f>IF($G521="",0,IF($H521="مرجوعی فروش",-1,1)*IF(Sync!$AC517="",0,Sync!$AC517))</f>
        <v/>
      </c>
      <c r="O521">
        <f>IF(OR($G521="",Sync!$V517=""),"",Sync!$V517)</f>
        <v/>
      </c>
      <c r="P521">
        <f>IF(OR($G521="",Sync!$AD517=""),"",Sync!$AD517)</f>
        <v/>
      </c>
      <c r="Q521">
        <f>IF($G521="","",IF(Sync!$U517="","0000",IF(AND(ISNUMBER(Sync!$U517),Sync!$U517&gt;=0,Sync!$U517&lt;1),RIGHT("00"&amp;HOUR(Sync!$U517),2)&amp;RIGHT("00"&amp;MINUTE(Sync!$U517),2),IFERROR(RIGHT("00"&amp;VALUE(LEFT(Sync!$U517,FIND(":",Sync!$U517)-1)),2)&amp;RIGHT("00"&amp;VALUE(MID(Sync!$U517,FIND(":",Sync!$U517)+1,2)),2),"0000"))))</f>
        <v/>
      </c>
    </row>
    <row r="522">
      <c r="A522">
        <f>IF(Sync!$T518="","",Sync!$T518)</f>
        <v/>
      </c>
      <c r="B522">
        <f>IF($A522="","",IF(ISNUMBER($A522),IF(AND($A522&gt;=10000101,$A522&lt;=99991231),INT($A522/10000),""),IFERROR(VALUE(TRIM(LEFT($A522,FIND("/",$A522)-1))),"")))</f>
        <v/>
      </c>
      <c r="C522">
        <f>IF(OR($A522="",$B522=""),"",IF(ISNUMBER($A522),INT(MOD($A522,10000)/100),IFERROR(VALUE(TRIM(LEFT(MID($A522,FIND("/",$A522)+1,20),FIND("/",MID($A522,FIND("/",$A522)+1,20))-1))),"")))</f>
        <v/>
      </c>
      <c r="D522">
        <f>IF(OR($A522="",$B522=""),"",IF(ISNUMBER($A522),MOD($A522,100),IFERROR(VALUE(TRIM(MID(MID($A522,FIND("/",$A522)+1,20),FIND("/",MID($A522,FIND("/",$A522)+1,20))+1,20))),"")))</f>
        <v/>
      </c>
      <c r="E522">
        <f>IF($A522="","",IF(OR($B522="",$C522="",$D522="",$B522&lt;1300,$B522&gt;1500,$C522&lt;1,$C522&gt;12,$D522&lt;1,$D522&gt;31),"نامعتبر",RIGHT("0000"&amp;$B522,4)&amp;"/"&amp;RIGHT("00"&amp;$C522,2)&amp;"/"&amp;RIGHT("00"&amp;$D522,2)))</f>
        <v/>
      </c>
      <c r="F522">
        <f>IF(OR($E522="",$E522="نامعتبر"),"",LEFT($E522,4)&amp;"/"&amp;MID($E522,6,2))</f>
        <v/>
      </c>
      <c r="G522">
        <f>IF(OR($E522="",$E522="نامعتبر",Sync!$X518=""),"",IF(AND(LEFT(UPPER(TRIM(Sync!$X518)),2)="SL",IFERROR(VLOOKUP(Sync!$W518,OpTbl,3,0),"")="فروش"),UPPER(TRIM(Sync!$X518)),""))</f>
        <v/>
      </c>
      <c r="H522">
        <f>IF($G522="","",IF(Sync!$W518="","",Sync!$W518))</f>
        <v/>
      </c>
      <c r="I522">
        <f>IF(OR($G522="",Sync!$Y518=""),"",Sync!$Y518)</f>
        <v/>
      </c>
      <c r="J522">
        <f>IF(OR($G522="",Sync!$Z518=""),"",Sync!$Z518)</f>
        <v/>
      </c>
      <c r="K522">
        <f>IF($G522="",0,IF(Sync!$AA518="",0,Sync!$AA518))</f>
        <v/>
      </c>
      <c r="L522">
        <f>IF($G522="",0,IF(Sync!$AB518="",0,Sync!$AB518))</f>
        <v/>
      </c>
      <c r="M522">
        <f>IF($G522="","",IF($H522="مرجوعی فروش",-1,1)*($K522-$L522*IFERROR(VLOOKUP("P01",ParamTbl,3,0),1.5)))</f>
        <v/>
      </c>
      <c r="N522">
        <f>IF($G522="",0,IF($H522="مرجوعی فروش",-1,1)*IF(Sync!$AC518="",0,Sync!$AC518))</f>
        <v/>
      </c>
      <c r="O522">
        <f>IF(OR($G522="",Sync!$V518=""),"",Sync!$V518)</f>
        <v/>
      </c>
      <c r="P522">
        <f>IF(OR($G522="",Sync!$AD518=""),"",Sync!$AD518)</f>
        <v/>
      </c>
      <c r="Q522">
        <f>IF($G522="","",IF(Sync!$U518="","0000",IF(AND(ISNUMBER(Sync!$U518),Sync!$U518&gt;=0,Sync!$U518&lt;1),RIGHT("00"&amp;HOUR(Sync!$U518),2)&amp;RIGHT("00"&amp;MINUTE(Sync!$U518),2),IFERROR(RIGHT("00"&amp;VALUE(LEFT(Sync!$U518,FIND(":",Sync!$U518)-1)),2)&amp;RIGHT("00"&amp;VALUE(MID(Sync!$U518,FIND(":",Sync!$U518)+1,2)),2),"0000"))))</f>
        <v/>
      </c>
    </row>
    <row r="523">
      <c r="A523">
        <f>IF(Sync!$T519="","",Sync!$T519)</f>
        <v/>
      </c>
      <c r="B523">
        <f>IF($A523="","",IF(ISNUMBER($A523),IF(AND($A523&gt;=10000101,$A523&lt;=99991231),INT($A523/10000),""),IFERROR(VALUE(TRIM(LEFT($A523,FIND("/",$A523)-1))),"")))</f>
        <v/>
      </c>
      <c r="C523">
        <f>IF(OR($A523="",$B523=""),"",IF(ISNUMBER($A523),INT(MOD($A523,10000)/100),IFERROR(VALUE(TRIM(LEFT(MID($A523,FIND("/",$A523)+1,20),FIND("/",MID($A523,FIND("/",$A523)+1,20))-1))),"")))</f>
        <v/>
      </c>
      <c r="D523">
        <f>IF(OR($A523="",$B523=""),"",IF(ISNUMBER($A523),MOD($A523,100),IFERROR(VALUE(TRIM(MID(MID($A523,FIND("/",$A523)+1,20),FIND("/",MID($A523,FIND("/",$A523)+1,20))+1,20))),"")))</f>
        <v/>
      </c>
      <c r="E523">
        <f>IF($A523="","",IF(OR($B523="",$C523="",$D523="",$B523&lt;1300,$B523&gt;1500,$C523&lt;1,$C523&gt;12,$D523&lt;1,$D523&gt;31),"نامعتبر",RIGHT("0000"&amp;$B523,4)&amp;"/"&amp;RIGHT("00"&amp;$C523,2)&amp;"/"&amp;RIGHT("00"&amp;$D523,2)))</f>
        <v/>
      </c>
      <c r="F523">
        <f>IF(OR($E523="",$E523="نامعتبر"),"",LEFT($E523,4)&amp;"/"&amp;MID($E523,6,2))</f>
        <v/>
      </c>
      <c r="G523">
        <f>IF(OR($E523="",$E523="نامعتبر",Sync!$X519=""),"",IF(AND(LEFT(UPPER(TRIM(Sync!$X519)),2)="SL",IFERROR(VLOOKUP(Sync!$W519,OpTbl,3,0),"")="فروش"),UPPER(TRIM(Sync!$X519)),""))</f>
        <v/>
      </c>
      <c r="H523">
        <f>IF($G523="","",IF(Sync!$W519="","",Sync!$W519))</f>
        <v/>
      </c>
      <c r="I523">
        <f>IF(OR($G523="",Sync!$Y519=""),"",Sync!$Y519)</f>
        <v/>
      </c>
      <c r="J523">
        <f>IF(OR($G523="",Sync!$Z519=""),"",Sync!$Z519)</f>
        <v/>
      </c>
      <c r="K523">
        <f>IF($G523="",0,IF(Sync!$AA519="",0,Sync!$AA519))</f>
        <v/>
      </c>
      <c r="L523">
        <f>IF($G523="",0,IF(Sync!$AB519="",0,Sync!$AB519))</f>
        <v/>
      </c>
      <c r="M523">
        <f>IF($G523="","",IF($H523="مرجوعی فروش",-1,1)*($K523-$L523*IFERROR(VLOOKUP("P01",ParamTbl,3,0),1.5)))</f>
        <v/>
      </c>
      <c r="N523">
        <f>IF($G523="",0,IF($H523="مرجوعی فروش",-1,1)*IF(Sync!$AC519="",0,Sync!$AC519))</f>
        <v/>
      </c>
      <c r="O523">
        <f>IF(OR($G523="",Sync!$V519=""),"",Sync!$V519)</f>
        <v/>
      </c>
      <c r="P523">
        <f>IF(OR($G523="",Sync!$AD519=""),"",Sync!$AD519)</f>
        <v/>
      </c>
      <c r="Q523">
        <f>IF($G523="","",IF(Sync!$U519="","0000",IF(AND(ISNUMBER(Sync!$U519),Sync!$U519&gt;=0,Sync!$U519&lt;1),RIGHT("00"&amp;HOUR(Sync!$U519),2)&amp;RIGHT("00"&amp;MINUTE(Sync!$U519),2),IFERROR(RIGHT("00"&amp;VALUE(LEFT(Sync!$U519,FIND(":",Sync!$U519)-1)),2)&amp;RIGHT("00"&amp;VALUE(MID(Sync!$U519,FIND(":",Sync!$U519)+1,2)),2),"0000"))))</f>
        <v/>
      </c>
    </row>
    <row r="524">
      <c r="A524">
        <f>IF(Sync!$T520="","",Sync!$T520)</f>
        <v/>
      </c>
      <c r="B524">
        <f>IF($A524="","",IF(ISNUMBER($A524),IF(AND($A524&gt;=10000101,$A524&lt;=99991231),INT($A524/10000),""),IFERROR(VALUE(TRIM(LEFT($A524,FIND("/",$A524)-1))),"")))</f>
        <v/>
      </c>
      <c r="C524">
        <f>IF(OR($A524="",$B524=""),"",IF(ISNUMBER($A524),INT(MOD($A524,10000)/100),IFERROR(VALUE(TRIM(LEFT(MID($A524,FIND("/",$A524)+1,20),FIND("/",MID($A524,FIND("/",$A524)+1,20))-1))),"")))</f>
        <v/>
      </c>
      <c r="D524">
        <f>IF(OR($A524="",$B524=""),"",IF(ISNUMBER($A524),MOD($A524,100),IFERROR(VALUE(TRIM(MID(MID($A524,FIND("/",$A524)+1,20),FIND("/",MID($A524,FIND("/",$A524)+1,20))+1,20))),"")))</f>
        <v/>
      </c>
      <c r="E524">
        <f>IF($A524="","",IF(OR($B524="",$C524="",$D524="",$B524&lt;1300,$B524&gt;1500,$C524&lt;1,$C524&gt;12,$D524&lt;1,$D524&gt;31),"نامعتبر",RIGHT("0000"&amp;$B524,4)&amp;"/"&amp;RIGHT("00"&amp;$C524,2)&amp;"/"&amp;RIGHT("00"&amp;$D524,2)))</f>
        <v/>
      </c>
      <c r="F524">
        <f>IF(OR($E524="",$E524="نامعتبر"),"",LEFT($E524,4)&amp;"/"&amp;MID($E524,6,2))</f>
        <v/>
      </c>
      <c r="G524">
        <f>IF(OR($E524="",$E524="نامعتبر",Sync!$X520=""),"",IF(AND(LEFT(UPPER(TRIM(Sync!$X520)),2)="SL",IFERROR(VLOOKUP(Sync!$W520,OpTbl,3,0),"")="فروش"),UPPER(TRIM(Sync!$X520)),""))</f>
        <v/>
      </c>
      <c r="H524">
        <f>IF($G524="","",IF(Sync!$W520="","",Sync!$W520))</f>
        <v/>
      </c>
      <c r="I524">
        <f>IF(OR($G524="",Sync!$Y520=""),"",Sync!$Y520)</f>
        <v/>
      </c>
      <c r="J524">
        <f>IF(OR($G524="",Sync!$Z520=""),"",Sync!$Z520)</f>
        <v/>
      </c>
      <c r="K524">
        <f>IF($G524="",0,IF(Sync!$AA520="",0,Sync!$AA520))</f>
        <v/>
      </c>
      <c r="L524">
        <f>IF($G524="",0,IF(Sync!$AB520="",0,Sync!$AB520))</f>
        <v/>
      </c>
      <c r="M524">
        <f>IF($G524="","",IF($H524="مرجوعی فروش",-1,1)*($K524-$L524*IFERROR(VLOOKUP("P01",ParamTbl,3,0),1.5)))</f>
        <v/>
      </c>
      <c r="N524">
        <f>IF($G524="",0,IF($H524="مرجوعی فروش",-1,1)*IF(Sync!$AC520="",0,Sync!$AC520))</f>
        <v/>
      </c>
      <c r="O524">
        <f>IF(OR($G524="",Sync!$V520=""),"",Sync!$V520)</f>
        <v/>
      </c>
      <c r="P524">
        <f>IF(OR($G524="",Sync!$AD520=""),"",Sync!$AD520)</f>
        <v/>
      </c>
      <c r="Q524">
        <f>IF($G524="","",IF(Sync!$U520="","0000",IF(AND(ISNUMBER(Sync!$U520),Sync!$U520&gt;=0,Sync!$U520&lt;1),RIGHT("00"&amp;HOUR(Sync!$U520),2)&amp;RIGHT("00"&amp;MINUTE(Sync!$U520),2),IFERROR(RIGHT("00"&amp;VALUE(LEFT(Sync!$U520,FIND(":",Sync!$U520)-1)),2)&amp;RIGHT("00"&amp;VALUE(MID(Sync!$U520,FIND(":",Sync!$U520)+1,2)),2),"0000"))))</f>
        <v/>
      </c>
    </row>
    <row r="525">
      <c r="A525">
        <f>IF(Sync!$T521="","",Sync!$T521)</f>
        <v/>
      </c>
      <c r="B525">
        <f>IF($A525="","",IF(ISNUMBER($A525),IF(AND($A525&gt;=10000101,$A525&lt;=99991231),INT($A525/10000),""),IFERROR(VALUE(TRIM(LEFT($A525,FIND("/",$A525)-1))),"")))</f>
        <v/>
      </c>
      <c r="C525">
        <f>IF(OR($A525="",$B525=""),"",IF(ISNUMBER($A525),INT(MOD($A525,10000)/100),IFERROR(VALUE(TRIM(LEFT(MID($A525,FIND("/",$A525)+1,20),FIND("/",MID($A525,FIND("/",$A525)+1,20))-1))),"")))</f>
        <v/>
      </c>
      <c r="D525">
        <f>IF(OR($A525="",$B525=""),"",IF(ISNUMBER($A525),MOD($A525,100),IFERROR(VALUE(TRIM(MID(MID($A525,FIND("/",$A525)+1,20),FIND("/",MID($A525,FIND("/",$A525)+1,20))+1,20))),"")))</f>
        <v/>
      </c>
      <c r="E525">
        <f>IF($A525="","",IF(OR($B525="",$C525="",$D525="",$B525&lt;1300,$B525&gt;1500,$C525&lt;1,$C525&gt;12,$D525&lt;1,$D525&gt;31),"نامعتبر",RIGHT("0000"&amp;$B525,4)&amp;"/"&amp;RIGHT("00"&amp;$C525,2)&amp;"/"&amp;RIGHT("00"&amp;$D525,2)))</f>
        <v/>
      </c>
      <c r="F525">
        <f>IF(OR($E525="",$E525="نامعتبر"),"",LEFT($E525,4)&amp;"/"&amp;MID($E525,6,2))</f>
        <v/>
      </c>
      <c r="G525">
        <f>IF(OR($E525="",$E525="نامعتبر",Sync!$X521=""),"",IF(AND(LEFT(UPPER(TRIM(Sync!$X521)),2)="SL",IFERROR(VLOOKUP(Sync!$W521,OpTbl,3,0),"")="فروش"),UPPER(TRIM(Sync!$X521)),""))</f>
        <v/>
      </c>
      <c r="H525">
        <f>IF($G525="","",IF(Sync!$W521="","",Sync!$W521))</f>
        <v/>
      </c>
      <c r="I525">
        <f>IF(OR($G525="",Sync!$Y521=""),"",Sync!$Y521)</f>
        <v/>
      </c>
      <c r="J525">
        <f>IF(OR($G525="",Sync!$Z521=""),"",Sync!$Z521)</f>
        <v/>
      </c>
      <c r="K525">
        <f>IF($G525="",0,IF(Sync!$AA521="",0,Sync!$AA521))</f>
        <v/>
      </c>
      <c r="L525">
        <f>IF($G525="",0,IF(Sync!$AB521="",0,Sync!$AB521))</f>
        <v/>
      </c>
      <c r="M525">
        <f>IF($G525="","",IF($H525="مرجوعی فروش",-1,1)*($K525-$L525*IFERROR(VLOOKUP("P01",ParamTbl,3,0),1.5)))</f>
        <v/>
      </c>
      <c r="N525">
        <f>IF($G525="",0,IF($H525="مرجوعی فروش",-1,1)*IF(Sync!$AC521="",0,Sync!$AC521))</f>
        <v/>
      </c>
      <c r="O525">
        <f>IF(OR($G525="",Sync!$V521=""),"",Sync!$V521)</f>
        <v/>
      </c>
      <c r="P525">
        <f>IF(OR($G525="",Sync!$AD521=""),"",Sync!$AD521)</f>
        <v/>
      </c>
      <c r="Q525">
        <f>IF($G525="","",IF(Sync!$U521="","0000",IF(AND(ISNUMBER(Sync!$U521),Sync!$U521&gt;=0,Sync!$U521&lt;1),RIGHT("00"&amp;HOUR(Sync!$U521),2)&amp;RIGHT("00"&amp;MINUTE(Sync!$U521),2),IFERROR(RIGHT("00"&amp;VALUE(LEFT(Sync!$U521,FIND(":",Sync!$U521)-1)),2)&amp;RIGHT("00"&amp;VALUE(MID(Sync!$U521,FIND(":",Sync!$U521)+1,2)),2),"0000"))))</f>
        <v/>
      </c>
    </row>
    <row r="526">
      <c r="A526">
        <f>IF(Sync!$T522="","",Sync!$T522)</f>
        <v/>
      </c>
      <c r="B526">
        <f>IF($A526="","",IF(ISNUMBER($A526),IF(AND($A526&gt;=10000101,$A526&lt;=99991231),INT($A526/10000),""),IFERROR(VALUE(TRIM(LEFT($A526,FIND("/",$A526)-1))),"")))</f>
        <v/>
      </c>
      <c r="C526">
        <f>IF(OR($A526="",$B526=""),"",IF(ISNUMBER($A526),INT(MOD($A526,10000)/100),IFERROR(VALUE(TRIM(LEFT(MID($A526,FIND("/",$A526)+1,20),FIND("/",MID($A526,FIND("/",$A526)+1,20))-1))),"")))</f>
        <v/>
      </c>
      <c r="D526">
        <f>IF(OR($A526="",$B526=""),"",IF(ISNUMBER($A526),MOD($A526,100),IFERROR(VALUE(TRIM(MID(MID($A526,FIND("/",$A526)+1,20),FIND("/",MID($A526,FIND("/",$A526)+1,20))+1,20))),"")))</f>
        <v/>
      </c>
      <c r="E526">
        <f>IF($A526="","",IF(OR($B526="",$C526="",$D526="",$B526&lt;1300,$B526&gt;1500,$C526&lt;1,$C526&gt;12,$D526&lt;1,$D526&gt;31),"نامعتبر",RIGHT("0000"&amp;$B526,4)&amp;"/"&amp;RIGHT("00"&amp;$C526,2)&amp;"/"&amp;RIGHT("00"&amp;$D526,2)))</f>
        <v/>
      </c>
      <c r="F526">
        <f>IF(OR($E526="",$E526="نامعتبر"),"",LEFT($E526,4)&amp;"/"&amp;MID($E526,6,2))</f>
        <v/>
      </c>
      <c r="G526">
        <f>IF(OR($E526="",$E526="نامعتبر",Sync!$X522=""),"",IF(AND(LEFT(UPPER(TRIM(Sync!$X522)),2)="SL",IFERROR(VLOOKUP(Sync!$W522,OpTbl,3,0),"")="فروش"),UPPER(TRIM(Sync!$X522)),""))</f>
        <v/>
      </c>
      <c r="H526">
        <f>IF($G526="","",IF(Sync!$W522="","",Sync!$W522))</f>
        <v/>
      </c>
      <c r="I526">
        <f>IF(OR($G526="",Sync!$Y522=""),"",Sync!$Y522)</f>
        <v/>
      </c>
      <c r="J526">
        <f>IF(OR($G526="",Sync!$Z522=""),"",Sync!$Z522)</f>
        <v/>
      </c>
      <c r="K526">
        <f>IF($G526="",0,IF(Sync!$AA522="",0,Sync!$AA522))</f>
        <v/>
      </c>
      <c r="L526">
        <f>IF($G526="",0,IF(Sync!$AB522="",0,Sync!$AB522))</f>
        <v/>
      </c>
      <c r="M526">
        <f>IF($G526="","",IF($H526="مرجوعی فروش",-1,1)*($K526-$L526*IFERROR(VLOOKUP("P01",ParamTbl,3,0),1.5)))</f>
        <v/>
      </c>
      <c r="N526">
        <f>IF($G526="",0,IF($H526="مرجوعی فروش",-1,1)*IF(Sync!$AC522="",0,Sync!$AC522))</f>
        <v/>
      </c>
      <c r="O526">
        <f>IF(OR($G526="",Sync!$V522=""),"",Sync!$V522)</f>
        <v/>
      </c>
      <c r="P526">
        <f>IF(OR($G526="",Sync!$AD522=""),"",Sync!$AD522)</f>
        <v/>
      </c>
      <c r="Q526">
        <f>IF($G526="","",IF(Sync!$U522="","0000",IF(AND(ISNUMBER(Sync!$U522),Sync!$U522&gt;=0,Sync!$U522&lt;1),RIGHT("00"&amp;HOUR(Sync!$U522),2)&amp;RIGHT("00"&amp;MINUTE(Sync!$U522),2),IFERROR(RIGHT("00"&amp;VALUE(LEFT(Sync!$U522,FIND(":",Sync!$U522)-1)),2)&amp;RIGHT("00"&amp;VALUE(MID(Sync!$U522,FIND(":",Sync!$U522)+1,2)),2),"0000"))))</f>
        <v/>
      </c>
    </row>
    <row r="527">
      <c r="A527">
        <f>IF(Sync!$T523="","",Sync!$T523)</f>
        <v/>
      </c>
      <c r="B527">
        <f>IF($A527="","",IF(ISNUMBER($A527),IF(AND($A527&gt;=10000101,$A527&lt;=99991231),INT($A527/10000),""),IFERROR(VALUE(TRIM(LEFT($A527,FIND("/",$A527)-1))),"")))</f>
        <v/>
      </c>
      <c r="C527">
        <f>IF(OR($A527="",$B527=""),"",IF(ISNUMBER($A527),INT(MOD($A527,10000)/100),IFERROR(VALUE(TRIM(LEFT(MID($A527,FIND("/",$A527)+1,20),FIND("/",MID($A527,FIND("/",$A527)+1,20))-1))),"")))</f>
        <v/>
      </c>
      <c r="D527">
        <f>IF(OR($A527="",$B527=""),"",IF(ISNUMBER($A527),MOD($A527,100),IFERROR(VALUE(TRIM(MID(MID($A527,FIND("/",$A527)+1,20),FIND("/",MID($A527,FIND("/",$A527)+1,20))+1,20))),"")))</f>
        <v/>
      </c>
      <c r="E527">
        <f>IF($A527="","",IF(OR($B527="",$C527="",$D527="",$B527&lt;1300,$B527&gt;1500,$C527&lt;1,$C527&gt;12,$D527&lt;1,$D527&gt;31),"نامعتبر",RIGHT("0000"&amp;$B527,4)&amp;"/"&amp;RIGHT("00"&amp;$C527,2)&amp;"/"&amp;RIGHT("00"&amp;$D527,2)))</f>
        <v/>
      </c>
      <c r="F527">
        <f>IF(OR($E527="",$E527="نامعتبر"),"",LEFT($E527,4)&amp;"/"&amp;MID($E527,6,2))</f>
        <v/>
      </c>
      <c r="G527">
        <f>IF(OR($E527="",$E527="نامعتبر",Sync!$X523=""),"",IF(AND(LEFT(UPPER(TRIM(Sync!$X523)),2)="SL",IFERROR(VLOOKUP(Sync!$W523,OpTbl,3,0),"")="فروش"),UPPER(TRIM(Sync!$X523)),""))</f>
        <v/>
      </c>
      <c r="H527">
        <f>IF($G527="","",IF(Sync!$W523="","",Sync!$W523))</f>
        <v/>
      </c>
      <c r="I527">
        <f>IF(OR($G527="",Sync!$Y523=""),"",Sync!$Y523)</f>
        <v/>
      </c>
      <c r="J527">
        <f>IF(OR($G527="",Sync!$Z523=""),"",Sync!$Z523)</f>
        <v/>
      </c>
      <c r="K527">
        <f>IF($G527="",0,IF(Sync!$AA523="",0,Sync!$AA523))</f>
        <v/>
      </c>
      <c r="L527">
        <f>IF($G527="",0,IF(Sync!$AB523="",0,Sync!$AB523))</f>
        <v/>
      </c>
      <c r="M527">
        <f>IF($G527="","",IF($H527="مرجوعی فروش",-1,1)*($K527-$L527*IFERROR(VLOOKUP("P01",ParamTbl,3,0),1.5)))</f>
        <v/>
      </c>
      <c r="N527">
        <f>IF($G527="",0,IF($H527="مرجوعی فروش",-1,1)*IF(Sync!$AC523="",0,Sync!$AC523))</f>
        <v/>
      </c>
      <c r="O527">
        <f>IF(OR($G527="",Sync!$V523=""),"",Sync!$V523)</f>
        <v/>
      </c>
      <c r="P527">
        <f>IF(OR($G527="",Sync!$AD523=""),"",Sync!$AD523)</f>
        <v/>
      </c>
      <c r="Q527">
        <f>IF($G527="","",IF(Sync!$U523="","0000",IF(AND(ISNUMBER(Sync!$U523),Sync!$U523&gt;=0,Sync!$U523&lt;1),RIGHT("00"&amp;HOUR(Sync!$U523),2)&amp;RIGHT("00"&amp;MINUTE(Sync!$U523),2),IFERROR(RIGHT("00"&amp;VALUE(LEFT(Sync!$U523,FIND(":",Sync!$U523)-1)),2)&amp;RIGHT("00"&amp;VALUE(MID(Sync!$U523,FIND(":",Sync!$U523)+1,2)),2),"0000"))))</f>
        <v/>
      </c>
    </row>
    <row r="528">
      <c r="A528">
        <f>IF(Sync!$T524="","",Sync!$T524)</f>
        <v/>
      </c>
      <c r="B528">
        <f>IF($A528="","",IF(ISNUMBER($A528),IF(AND($A528&gt;=10000101,$A528&lt;=99991231),INT($A528/10000),""),IFERROR(VALUE(TRIM(LEFT($A528,FIND("/",$A528)-1))),"")))</f>
        <v/>
      </c>
      <c r="C528">
        <f>IF(OR($A528="",$B528=""),"",IF(ISNUMBER($A528),INT(MOD($A528,10000)/100),IFERROR(VALUE(TRIM(LEFT(MID($A528,FIND("/",$A528)+1,20),FIND("/",MID($A528,FIND("/",$A528)+1,20))-1))),"")))</f>
        <v/>
      </c>
      <c r="D528">
        <f>IF(OR($A528="",$B528=""),"",IF(ISNUMBER($A528),MOD($A528,100),IFERROR(VALUE(TRIM(MID(MID($A528,FIND("/",$A528)+1,20),FIND("/",MID($A528,FIND("/",$A528)+1,20))+1,20))),"")))</f>
        <v/>
      </c>
      <c r="E528">
        <f>IF($A528="","",IF(OR($B528="",$C528="",$D528="",$B528&lt;1300,$B528&gt;1500,$C528&lt;1,$C528&gt;12,$D528&lt;1,$D528&gt;31),"نامعتبر",RIGHT("0000"&amp;$B528,4)&amp;"/"&amp;RIGHT("00"&amp;$C528,2)&amp;"/"&amp;RIGHT("00"&amp;$D528,2)))</f>
        <v/>
      </c>
      <c r="F528">
        <f>IF(OR($E528="",$E528="نامعتبر"),"",LEFT($E528,4)&amp;"/"&amp;MID($E528,6,2))</f>
        <v/>
      </c>
      <c r="G528">
        <f>IF(OR($E528="",$E528="نامعتبر",Sync!$X524=""),"",IF(AND(LEFT(UPPER(TRIM(Sync!$X524)),2)="SL",IFERROR(VLOOKUP(Sync!$W524,OpTbl,3,0),"")="فروش"),UPPER(TRIM(Sync!$X524)),""))</f>
        <v/>
      </c>
      <c r="H528">
        <f>IF($G528="","",IF(Sync!$W524="","",Sync!$W524))</f>
        <v/>
      </c>
      <c r="I528">
        <f>IF(OR($G528="",Sync!$Y524=""),"",Sync!$Y524)</f>
        <v/>
      </c>
      <c r="J528">
        <f>IF(OR($G528="",Sync!$Z524=""),"",Sync!$Z524)</f>
        <v/>
      </c>
      <c r="K528">
        <f>IF($G528="",0,IF(Sync!$AA524="",0,Sync!$AA524))</f>
        <v/>
      </c>
      <c r="L528">
        <f>IF($G528="",0,IF(Sync!$AB524="",0,Sync!$AB524))</f>
        <v/>
      </c>
      <c r="M528">
        <f>IF($G528="","",IF($H528="مرجوعی فروش",-1,1)*($K528-$L528*IFERROR(VLOOKUP("P01",ParamTbl,3,0),1.5)))</f>
        <v/>
      </c>
      <c r="N528">
        <f>IF($G528="",0,IF($H528="مرجوعی فروش",-1,1)*IF(Sync!$AC524="",0,Sync!$AC524))</f>
        <v/>
      </c>
      <c r="O528">
        <f>IF(OR($G528="",Sync!$V524=""),"",Sync!$V524)</f>
        <v/>
      </c>
      <c r="P528">
        <f>IF(OR($G528="",Sync!$AD524=""),"",Sync!$AD524)</f>
        <v/>
      </c>
      <c r="Q528">
        <f>IF($G528="","",IF(Sync!$U524="","0000",IF(AND(ISNUMBER(Sync!$U524),Sync!$U524&gt;=0,Sync!$U524&lt;1),RIGHT("00"&amp;HOUR(Sync!$U524),2)&amp;RIGHT("00"&amp;MINUTE(Sync!$U524),2),IFERROR(RIGHT("00"&amp;VALUE(LEFT(Sync!$U524,FIND(":",Sync!$U524)-1)),2)&amp;RIGHT("00"&amp;VALUE(MID(Sync!$U524,FIND(":",Sync!$U524)+1,2)),2),"0000"))))</f>
        <v/>
      </c>
    </row>
    <row r="529">
      <c r="A529">
        <f>IF(Sync!$T525="","",Sync!$T525)</f>
        <v/>
      </c>
      <c r="B529">
        <f>IF($A529="","",IF(ISNUMBER($A529),IF(AND($A529&gt;=10000101,$A529&lt;=99991231),INT($A529/10000),""),IFERROR(VALUE(TRIM(LEFT($A529,FIND("/",$A529)-1))),"")))</f>
        <v/>
      </c>
      <c r="C529">
        <f>IF(OR($A529="",$B529=""),"",IF(ISNUMBER($A529),INT(MOD($A529,10000)/100),IFERROR(VALUE(TRIM(LEFT(MID($A529,FIND("/",$A529)+1,20),FIND("/",MID($A529,FIND("/",$A529)+1,20))-1))),"")))</f>
        <v/>
      </c>
      <c r="D529">
        <f>IF(OR($A529="",$B529=""),"",IF(ISNUMBER($A529),MOD($A529,100),IFERROR(VALUE(TRIM(MID(MID($A529,FIND("/",$A529)+1,20),FIND("/",MID($A529,FIND("/",$A529)+1,20))+1,20))),"")))</f>
        <v/>
      </c>
      <c r="E529">
        <f>IF($A529="","",IF(OR($B529="",$C529="",$D529="",$B529&lt;1300,$B529&gt;1500,$C529&lt;1,$C529&gt;12,$D529&lt;1,$D529&gt;31),"نامعتبر",RIGHT("0000"&amp;$B529,4)&amp;"/"&amp;RIGHT("00"&amp;$C529,2)&amp;"/"&amp;RIGHT("00"&amp;$D529,2)))</f>
        <v/>
      </c>
      <c r="F529">
        <f>IF(OR($E529="",$E529="نامعتبر"),"",LEFT($E529,4)&amp;"/"&amp;MID($E529,6,2))</f>
        <v/>
      </c>
      <c r="G529">
        <f>IF(OR($E529="",$E529="نامعتبر",Sync!$X525=""),"",IF(AND(LEFT(UPPER(TRIM(Sync!$X525)),2)="SL",IFERROR(VLOOKUP(Sync!$W525,OpTbl,3,0),"")="فروش"),UPPER(TRIM(Sync!$X525)),""))</f>
        <v/>
      </c>
      <c r="H529">
        <f>IF($G529="","",IF(Sync!$W525="","",Sync!$W525))</f>
        <v/>
      </c>
      <c r="I529">
        <f>IF(OR($G529="",Sync!$Y525=""),"",Sync!$Y525)</f>
        <v/>
      </c>
      <c r="J529">
        <f>IF(OR($G529="",Sync!$Z525=""),"",Sync!$Z525)</f>
        <v/>
      </c>
      <c r="K529">
        <f>IF($G529="",0,IF(Sync!$AA525="",0,Sync!$AA525))</f>
        <v/>
      </c>
      <c r="L529">
        <f>IF($G529="",0,IF(Sync!$AB525="",0,Sync!$AB525))</f>
        <v/>
      </c>
      <c r="M529">
        <f>IF($G529="","",IF($H529="مرجوعی فروش",-1,1)*($K529-$L529*IFERROR(VLOOKUP("P01",ParamTbl,3,0),1.5)))</f>
        <v/>
      </c>
      <c r="N529">
        <f>IF($G529="",0,IF($H529="مرجوعی فروش",-1,1)*IF(Sync!$AC525="",0,Sync!$AC525))</f>
        <v/>
      </c>
      <c r="O529">
        <f>IF(OR($G529="",Sync!$V525=""),"",Sync!$V525)</f>
        <v/>
      </c>
      <c r="P529">
        <f>IF(OR($G529="",Sync!$AD525=""),"",Sync!$AD525)</f>
        <v/>
      </c>
      <c r="Q529">
        <f>IF($G529="","",IF(Sync!$U525="","0000",IF(AND(ISNUMBER(Sync!$U525),Sync!$U525&gt;=0,Sync!$U525&lt;1),RIGHT("00"&amp;HOUR(Sync!$U525),2)&amp;RIGHT("00"&amp;MINUTE(Sync!$U525),2),IFERROR(RIGHT("00"&amp;VALUE(LEFT(Sync!$U525,FIND(":",Sync!$U525)-1)),2)&amp;RIGHT("00"&amp;VALUE(MID(Sync!$U525,FIND(":",Sync!$U525)+1,2)),2),"0000"))))</f>
        <v/>
      </c>
    </row>
    <row r="530">
      <c r="A530">
        <f>IF(Sync!$T526="","",Sync!$T526)</f>
        <v/>
      </c>
      <c r="B530">
        <f>IF($A530="","",IF(ISNUMBER($A530),IF(AND($A530&gt;=10000101,$A530&lt;=99991231),INT($A530/10000),""),IFERROR(VALUE(TRIM(LEFT($A530,FIND("/",$A530)-1))),"")))</f>
        <v/>
      </c>
      <c r="C530">
        <f>IF(OR($A530="",$B530=""),"",IF(ISNUMBER($A530),INT(MOD($A530,10000)/100),IFERROR(VALUE(TRIM(LEFT(MID($A530,FIND("/",$A530)+1,20),FIND("/",MID($A530,FIND("/",$A530)+1,20))-1))),"")))</f>
        <v/>
      </c>
      <c r="D530">
        <f>IF(OR($A530="",$B530=""),"",IF(ISNUMBER($A530),MOD($A530,100),IFERROR(VALUE(TRIM(MID(MID($A530,FIND("/",$A530)+1,20),FIND("/",MID($A530,FIND("/",$A530)+1,20))+1,20))),"")))</f>
        <v/>
      </c>
      <c r="E530">
        <f>IF($A530="","",IF(OR($B530="",$C530="",$D530="",$B530&lt;1300,$B530&gt;1500,$C530&lt;1,$C530&gt;12,$D530&lt;1,$D530&gt;31),"نامعتبر",RIGHT("0000"&amp;$B530,4)&amp;"/"&amp;RIGHT("00"&amp;$C530,2)&amp;"/"&amp;RIGHT("00"&amp;$D530,2)))</f>
        <v/>
      </c>
      <c r="F530">
        <f>IF(OR($E530="",$E530="نامعتبر"),"",LEFT($E530,4)&amp;"/"&amp;MID($E530,6,2))</f>
        <v/>
      </c>
      <c r="G530">
        <f>IF(OR($E530="",$E530="نامعتبر",Sync!$X526=""),"",IF(AND(LEFT(UPPER(TRIM(Sync!$X526)),2)="SL",IFERROR(VLOOKUP(Sync!$W526,OpTbl,3,0),"")="فروش"),UPPER(TRIM(Sync!$X526)),""))</f>
        <v/>
      </c>
      <c r="H530">
        <f>IF($G530="","",IF(Sync!$W526="","",Sync!$W526))</f>
        <v/>
      </c>
      <c r="I530">
        <f>IF(OR($G530="",Sync!$Y526=""),"",Sync!$Y526)</f>
        <v/>
      </c>
      <c r="J530">
        <f>IF(OR($G530="",Sync!$Z526=""),"",Sync!$Z526)</f>
        <v/>
      </c>
      <c r="K530">
        <f>IF($G530="",0,IF(Sync!$AA526="",0,Sync!$AA526))</f>
        <v/>
      </c>
      <c r="L530">
        <f>IF($G530="",0,IF(Sync!$AB526="",0,Sync!$AB526))</f>
        <v/>
      </c>
      <c r="M530">
        <f>IF($G530="","",IF($H530="مرجوعی فروش",-1,1)*($K530-$L530*IFERROR(VLOOKUP("P01",ParamTbl,3,0),1.5)))</f>
        <v/>
      </c>
      <c r="N530">
        <f>IF($G530="",0,IF($H530="مرجوعی فروش",-1,1)*IF(Sync!$AC526="",0,Sync!$AC526))</f>
        <v/>
      </c>
      <c r="O530">
        <f>IF(OR($G530="",Sync!$V526=""),"",Sync!$V526)</f>
        <v/>
      </c>
      <c r="P530">
        <f>IF(OR($G530="",Sync!$AD526=""),"",Sync!$AD526)</f>
        <v/>
      </c>
      <c r="Q530">
        <f>IF($G530="","",IF(Sync!$U526="","0000",IF(AND(ISNUMBER(Sync!$U526),Sync!$U526&gt;=0,Sync!$U526&lt;1),RIGHT("00"&amp;HOUR(Sync!$U526),2)&amp;RIGHT("00"&amp;MINUTE(Sync!$U526),2),IFERROR(RIGHT("00"&amp;VALUE(LEFT(Sync!$U526,FIND(":",Sync!$U526)-1)),2)&amp;RIGHT("00"&amp;VALUE(MID(Sync!$U526,FIND(":",Sync!$U526)+1,2)),2),"0000"))))</f>
        <v/>
      </c>
    </row>
    <row r="531">
      <c r="A531">
        <f>IF(Sync!$T527="","",Sync!$T527)</f>
        <v/>
      </c>
      <c r="B531">
        <f>IF($A531="","",IF(ISNUMBER($A531),IF(AND($A531&gt;=10000101,$A531&lt;=99991231),INT($A531/10000),""),IFERROR(VALUE(TRIM(LEFT($A531,FIND("/",$A531)-1))),"")))</f>
        <v/>
      </c>
      <c r="C531">
        <f>IF(OR($A531="",$B531=""),"",IF(ISNUMBER($A531),INT(MOD($A531,10000)/100),IFERROR(VALUE(TRIM(LEFT(MID($A531,FIND("/",$A531)+1,20),FIND("/",MID($A531,FIND("/",$A531)+1,20))-1))),"")))</f>
        <v/>
      </c>
      <c r="D531">
        <f>IF(OR($A531="",$B531=""),"",IF(ISNUMBER($A531),MOD($A531,100),IFERROR(VALUE(TRIM(MID(MID($A531,FIND("/",$A531)+1,20),FIND("/",MID($A531,FIND("/",$A531)+1,20))+1,20))),"")))</f>
        <v/>
      </c>
      <c r="E531">
        <f>IF($A531="","",IF(OR($B531="",$C531="",$D531="",$B531&lt;1300,$B531&gt;1500,$C531&lt;1,$C531&gt;12,$D531&lt;1,$D531&gt;31),"نامعتبر",RIGHT("0000"&amp;$B531,4)&amp;"/"&amp;RIGHT("00"&amp;$C531,2)&amp;"/"&amp;RIGHT("00"&amp;$D531,2)))</f>
        <v/>
      </c>
      <c r="F531">
        <f>IF(OR($E531="",$E531="نامعتبر"),"",LEFT($E531,4)&amp;"/"&amp;MID($E531,6,2))</f>
        <v/>
      </c>
      <c r="G531">
        <f>IF(OR($E531="",$E531="نامعتبر",Sync!$X527=""),"",IF(AND(LEFT(UPPER(TRIM(Sync!$X527)),2)="SL",IFERROR(VLOOKUP(Sync!$W527,OpTbl,3,0),"")="فروش"),UPPER(TRIM(Sync!$X527)),""))</f>
        <v/>
      </c>
      <c r="H531">
        <f>IF($G531="","",IF(Sync!$W527="","",Sync!$W527))</f>
        <v/>
      </c>
      <c r="I531">
        <f>IF(OR($G531="",Sync!$Y527=""),"",Sync!$Y527)</f>
        <v/>
      </c>
      <c r="J531">
        <f>IF(OR($G531="",Sync!$Z527=""),"",Sync!$Z527)</f>
        <v/>
      </c>
      <c r="K531">
        <f>IF($G531="",0,IF(Sync!$AA527="",0,Sync!$AA527))</f>
        <v/>
      </c>
      <c r="L531">
        <f>IF($G531="",0,IF(Sync!$AB527="",0,Sync!$AB527))</f>
        <v/>
      </c>
      <c r="M531">
        <f>IF($G531="","",IF($H531="مرجوعی فروش",-1,1)*($K531-$L531*IFERROR(VLOOKUP("P01",ParamTbl,3,0),1.5)))</f>
        <v/>
      </c>
      <c r="N531">
        <f>IF($G531="",0,IF($H531="مرجوعی فروش",-1,1)*IF(Sync!$AC527="",0,Sync!$AC527))</f>
        <v/>
      </c>
      <c r="O531">
        <f>IF(OR($G531="",Sync!$V527=""),"",Sync!$V527)</f>
        <v/>
      </c>
      <c r="P531">
        <f>IF(OR($G531="",Sync!$AD527=""),"",Sync!$AD527)</f>
        <v/>
      </c>
      <c r="Q531">
        <f>IF($G531="","",IF(Sync!$U527="","0000",IF(AND(ISNUMBER(Sync!$U527),Sync!$U527&gt;=0,Sync!$U527&lt;1),RIGHT("00"&amp;HOUR(Sync!$U527),2)&amp;RIGHT("00"&amp;MINUTE(Sync!$U527),2),IFERROR(RIGHT("00"&amp;VALUE(LEFT(Sync!$U527,FIND(":",Sync!$U527)-1)),2)&amp;RIGHT("00"&amp;VALUE(MID(Sync!$U527,FIND(":",Sync!$U527)+1,2)),2),"0000"))))</f>
        <v/>
      </c>
    </row>
    <row r="532">
      <c r="A532">
        <f>IF(Sync!$T528="","",Sync!$T528)</f>
        <v/>
      </c>
      <c r="B532">
        <f>IF($A532="","",IF(ISNUMBER($A532),IF(AND($A532&gt;=10000101,$A532&lt;=99991231),INT($A532/10000),""),IFERROR(VALUE(TRIM(LEFT($A532,FIND("/",$A532)-1))),"")))</f>
        <v/>
      </c>
      <c r="C532">
        <f>IF(OR($A532="",$B532=""),"",IF(ISNUMBER($A532),INT(MOD($A532,10000)/100),IFERROR(VALUE(TRIM(LEFT(MID($A532,FIND("/",$A532)+1,20),FIND("/",MID($A532,FIND("/",$A532)+1,20))-1))),"")))</f>
        <v/>
      </c>
      <c r="D532">
        <f>IF(OR($A532="",$B532=""),"",IF(ISNUMBER($A532),MOD($A532,100),IFERROR(VALUE(TRIM(MID(MID($A532,FIND("/",$A532)+1,20),FIND("/",MID($A532,FIND("/",$A532)+1,20))+1,20))),"")))</f>
        <v/>
      </c>
      <c r="E532">
        <f>IF($A532="","",IF(OR($B532="",$C532="",$D532="",$B532&lt;1300,$B532&gt;1500,$C532&lt;1,$C532&gt;12,$D532&lt;1,$D532&gt;31),"نامعتبر",RIGHT("0000"&amp;$B532,4)&amp;"/"&amp;RIGHT("00"&amp;$C532,2)&amp;"/"&amp;RIGHT("00"&amp;$D532,2)))</f>
        <v/>
      </c>
      <c r="F532">
        <f>IF(OR($E532="",$E532="نامعتبر"),"",LEFT($E532,4)&amp;"/"&amp;MID($E532,6,2))</f>
        <v/>
      </c>
      <c r="G532">
        <f>IF(OR($E532="",$E532="نامعتبر",Sync!$X528=""),"",IF(AND(LEFT(UPPER(TRIM(Sync!$X528)),2)="SL",IFERROR(VLOOKUP(Sync!$W528,OpTbl,3,0),"")="فروش"),UPPER(TRIM(Sync!$X528)),""))</f>
        <v/>
      </c>
      <c r="H532">
        <f>IF($G532="","",IF(Sync!$W528="","",Sync!$W528))</f>
        <v/>
      </c>
      <c r="I532">
        <f>IF(OR($G532="",Sync!$Y528=""),"",Sync!$Y528)</f>
        <v/>
      </c>
      <c r="J532">
        <f>IF(OR($G532="",Sync!$Z528=""),"",Sync!$Z528)</f>
        <v/>
      </c>
      <c r="K532">
        <f>IF($G532="",0,IF(Sync!$AA528="",0,Sync!$AA528))</f>
        <v/>
      </c>
      <c r="L532">
        <f>IF($G532="",0,IF(Sync!$AB528="",0,Sync!$AB528))</f>
        <v/>
      </c>
      <c r="M532">
        <f>IF($G532="","",IF($H532="مرجوعی فروش",-1,1)*($K532-$L532*IFERROR(VLOOKUP("P01",ParamTbl,3,0),1.5)))</f>
        <v/>
      </c>
      <c r="N532">
        <f>IF($G532="",0,IF($H532="مرجوعی فروش",-1,1)*IF(Sync!$AC528="",0,Sync!$AC528))</f>
        <v/>
      </c>
      <c r="O532">
        <f>IF(OR($G532="",Sync!$V528=""),"",Sync!$V528)</f>
        <v/>
      </c>
      <c r="P532">
        <f>IF(OR($G532="",Sync!$AD528=""),"",Sync!$AD528)</f>
        <v/>
      </c>
      <c r="Q532">
        <f>IF($G532="","",IF(Sync!$U528="","0000",IF(AND(ISNUMBER(Sync!$U528),Sync!$U528&gt;=0,Sync!$U528&lt;1),RIGHT("00"&amp;HOUR(Sync!$U528),2)&amp;RIGHT("00"&amp;MINUTE(Sync!$U528),2),IFERROR(RIGHT("00"&amp;VALUE(LEFT(Sync!$U528,FIND(":",Sync!$U528)-1)),2)&amp;RIGHT("00"&amp;VALUE(MID(Sync!$U528,FIND(":",Sync!$U528)+1,2)),2),"0000"))))</f>
        <v/>
      </c>
    </row>
    <row r="533">
      <c r="A533">
        <f>IF(Sync!$T529="","",Sync!$T529)</f>
        <v/>
      </c>
      <c r="B533">
        <f>IF($A533="","",IF(ISNUMBER($A533),IF(AND($A533&gt;=10000101,$A533&lt;=99991231),INT($A533/10000),""),IFERROR(VALUE(TRIM(LEFT($A533,FIND("/",$A533)-1))),"")))</f>
        <v/>
      </c>
      <c r="C533">
        <f>IF(OR($A533="",$B533=""),"",IF(ISNUMBER($A533),INT(MOD($A533,10000)/100),IFERROR(VALUE(TRIM(LEFT(MID($A533,FIND("/",$A533)+1,20),FIND("/",MID($A533,FIND("/",$A533)+1,20))-1))),"")))</f>
        <v/>
      </c>
      <c r="D533">
        <f>IF(OR($A533="",$B533=""),"",IF(ISNUMBER($A533),MOD($A533,100),IFERROR(VALUE(TRIM(MID(MID($A533,FIND("/",$A533)+1,20),FIND("/",MID($A533,FIND("/",$A533)+1,20))+1,20))),"")))</f>
        <v/>
      </c>
      <c r="E533">
        <f>IF($A533="","",IF(OR($B533="",$C533="",$D533="",$B533&lt;1300,$B533&gt;1500,$C533&lt;1,$C533&gt;12,$D533&lt;1,$D533&gt;31),"نامعتبر",RIGHT("0000"&amp;$B533,4)&amp;"/"&amp;RIGHT("00"&amp;$C533,2)&amp;"/"&amp;RIGHT("00"&amp;$D533,2)))</f>
        <v/>
      </c>
      <c r="F533">
        <f>IF(OR($E533="",$E533="نامعتبر"),"",LEFT($E533,4)&amp;"/"&amp;MID($E533,6,2))</f>
        <v/>
      </c>
      <c r="G533">
        <f>IF(OR($E533="",$E533="نامعتبر",Sync!$X529=""),"",IF(AND(LEFT(UPPER(TRIM(Sync!$X529)),2)="SL",IFERROR(VLOOKUP(Sync!$W529,OpTbl,3,0),"")="فروش"),UPPER(TRIM(Sync!$X529)),""))</f>
        <v/>
      </c>
      <c r="H533">
        <f>IF($G533="","",IF(Sync!$W529="","",Sync!$W529))</f>
        <v/>
      </c>
      <c r="I533">
        <f>IF(OR($G533="",Sync!$Y529=""),"",Sync!$Y529)</f>
        <v/>
      </c>
      <c r="J533">
        <f>IF(OR($G533="",Sync!$Z529=""),"",Sync!$Z529)</f>
        <v/>
      </c>
      <c r="K533">
        <f>IF($G533="",0,IF(Sync!$AA529="",0,Sync!$AA529))</f>
        <v/>
      </c>
      <c r="L533">
        <f>IF($G533="",0,IF(Sync!$AB529="",0,Sync!$AB529))</f>
        <v/>
      </c>
      <c r="M533">
        <f>IF($G533="","",IF($H533="مرجوعی فروش",-1,1)*($K533-$L533*IFERROR(VLOOKUP("P01",ParamTbl,3,0),1.5)))</f>
        <v/>
      </c>
      <c r="N533">
        <f>IF($G533="",0,IF($H533="مرجوعی فروش",-1,1)*IF(Sync!$AC529="",0,Sync!$AC529))</f>
        <v/>
      </c>
      <c r="O533">
        <f>IF(OR($G533="",Sync!$V529=""),"",Sync!$V529)</f>
        <v/>
      </c>
      <c r="P533">
        <f>IF(OR($G533="",Sync!$AD529=""),"",Sync!$AD529)</f>
        <v/>
      </c>
      <c r="Q533">
        <f>IF($G533="","",IF(Sync!$U529="","0000",IF(AND(ISNUMBER(Sync!$U529),Sync!$U529&gt;=0,Sync!$U529&lt;1),RIGHT("00"&amp;HOUR(Sync!$U529),2)&amp;RIGHT("00"&amp;MINUTE(Sync!$U529),2),IFERROR(RIGHT("00"&amp;VALUE(LEFT(Sync!$U529,FIND(":",Sync!$U529)-1)),2)&amp;RIGHT("00"&amp;VALUE(MID(Sync!$U529,FIND(":",Sync!$U529)+1,2)),2),"0000"))))</f>
        <v/>
      </c>
    </row>
    <row r="534">
      <c r="A534">
        <f>IF(Sync!$T530="","",Sync!$T530)</f>
        <v/>
      </c>
      <c r="B534">
        <f>IF($A534="","",IF(ISNUMBER($A534),IF(AND($A534&gt;=10000101,$A534&lt;=99991231),INT($A534/10000),""),IFERROR(VALUE(TRIM(LEFT($A534,FIND("/",$A534)-1))),"")))</f>
        <v/>
      </c>
      <c r="C534">
        <f>IF(OR($A534="",$B534=""),"",IF(ISNUMBER($A534),INT(MOD($A534,10000)/100),IFERROR(VALUE(TRIM(LEFT(MID($A534,FIND("/",$A534)+1,20),FIND("/",MID($A534,FIND("/",$A534)+1,20))-1))),"")))</f>
        <v/>
      </c>
      <c r="D534">
        <f>IF(OR($A534="",$B534=""),"",IF(ISNUMBER($A534),MOD($A534,100),IFERROR(VALUE(TRIM(MID(MID($A534,FIND("/",$A534)+1,20),FIND("/",MID($A534,FIND("/",$A534)+1,20))+1,20))),"")))</f>
        <v/>
      </c>
      <c r="E534">
        <f>IF($A534="","",IF(OR($B534="",$C534="",$D534="",$B534&lt;1300,$B534&gt;1500,$C534&lt;1,$C534&gt;12,$D534&lt;1,$D534&gt;31),"نامعتبر",RIGHT("0000"&amp;$B534,4)&amp;"/"&amp;RIGHT("00"&amp;$C534,2)&amp;"/"&amp;RIGHT("00"&amp;$D534,2)))</f>
        <v/>
      </c>
      <c r="F534">
        <f>IF(OR($E534="",$E534="نامعتبر"),"",LEFT($E534,4)&amp;"/"&amp;MID($E534,6,2))</f>
        <v/>
      </c>
      <c r="G534">
        <f>IF(OR($E534="",$E534="نامعتبر",Sync!$X530=""),"",IF(AND(LEFT(UPPER(TRIM(Sync!$X530)),2)="SL",IFERROR(VLOOKUP(Sync!$W530,OpTbl,3,0),"")="فروش"),UPPER(TRIM(Sync!$X530)),""))</f>
        <v/>
      </c>
      <c r="H534">
        <f>IF($G534="","",IF(Sync!$W530="","",Sync!$W530))</f>
        <v/>
      </c>
      <c r="I534">
        <f>IF(OR($G534="",Sync!$Y530=""),"",Sync!$Y530)</f>
        <v/>
      </c>
      <c r="J534">
        <f>IF(OR($G534="",Sync!$Z530=""),"",Sync!$Z530)</f>
        <v/>
      </c>
      <c r="K534">
        <f>IF($G534="",0,IF(Sync!$AA530="",0,Sync!$AA530))</f>
        <v/>
      </c>
      <c r="L534">
        <f>IF($G534="",0,IF(Sync!$AB530="",0,Sync!$AB530))</f>
        <v/>
      </c>
      <c r="M534">
        <f>IF($G534="","",IF($H534="مرجوعی فروش",-1,1)*($K534-$L534*IFERROR(VLOOKUP("P01",ParamTbl,3,0),1.5)))</f>
        <v/>
      </c>
      <c r="N534">
        <f>IF($G534="",0,IF($H534="مرجوعی فروش",-1,1)*IF(Sync!$AC530="",0,Sync!$AC530))</f>
        <v/>
      </c>
      <c r="O534">
        <f>IF(OR($G534="",Sync!$V530=""),"",Sync!$V530)</f>
        <v/>
      </c>
      <c r="P534">
        <f>IF(OR($G534="",Sync!$AD530=""),"",Sync!$AD530)</f>
        <v/>
      </c>
      <c r="Q534">
        <f>IF($G534="","",IF(Sync!$U530="","0000",IF(AND(ISNUMBER(Sync!$U530),Sync!$U530&gt;=0,Sync!$U530&lt;1),RIGHT("00"&amp;HOUR(Sync!$U530),2)&amp;RIGHT("00"&amp;MINUTE(Sync!$U530),2),IFERROR(RIGHT("00"&amp;VALUE(LEFT(Sync!$U530,FIND(":",Sync!$U530)-1)),2)&amp;RIGHT("00"&amp;VALUE(MID(Sync!$U530,FIND(":",Sync!$U530)+1,2)),2),"0000"))))</f>
        <v/>
      </c>
    </row>
    <row r="535">
      <c r="A535">
        <f>IF(Sync!$T531="","",Sync!$T531)</f>
        <v/>
      </c>
      <c r="B535">
        <f>IF($A535="","",IF(ISNUMBER($A535),IF(AND($A535&gt;=10000101,$A535&lt;=99991231),INT($A535/10000),""),IFERROR(VALUE(TRIM(LEFT($A535,FIND("/",$A535)-1))),"")))</f>
        <v/>
      </c>
      <c r="C535">
        <f>IF(OR($A535="",$B535=""),"",IF(ISNUMBER($A535),INT(MOD($A535,10000)/100),IFERROR(VALUE(TRIM(LEFT(MID($A535,FIND("/",$A535)+1,20),FIND("/",MID($A535,FIND("/",$A535)+1,20))-1))),"")))</f>
        <v/>
      </c>
      <c r="D535">
        <f>IF(OR($A535="",$B535=""),"",IF(ISNUMBER($A535),MOD($A535,100),IFERROR(VALUE(TRIM(MID(MID($A535,FIND("/",$A535)+1,20),FIND("/",MID($A535,FIND("/",$A535)+1,20))+1,20))),"")))</f>
        <v/>
      </c>
      <c r="E535">
        <f>IF($A535="","",IF(OR($B535="",$C535="",$D535="",$B535&lt;1300,$B535&gt;1500,$C535&lt;1,$C535&gt;12,$D535&lt;1,$D535&gt;31),"نامعتبر",RIGHT("0000"&amp;$B535,4)&amp;"/"&amp;RIGHT("00"&amp;$C535,2)&amp;"/"&amp;RIGHT("00"&amp;$D535,2)))</f>
        <v/>
      </c>
      <c r="F535">
        <f>IF(OR($E535="",$E535="نامعتبر"),"",LEFT($E535,4)&amp;"/"&amp;MID($E535,6,2))</f>
        <v/>
      </c>
      <c r="G535">
        <f>IF(OR($E535="",$E535="نامعتبر",Sync!$X531=""),"",IF(AND(LEFT(UPPER(TRIM(Sync!$X531)),2)="SL",IFERROR(VLOOKUP(Sync!$W531,OpTbl,3,0),"")="فروش"),UPPER(TRIM(Sync!$X531)),""))</f>
        <v/>
      </c>
      <c r="H535">
        <f>IF($G535="","",IF(Sync!$W531="","",Sync!$W531))</f>
        <v/>
      </c>
      <c r="I535">
        <f>IF(OR($G535="",Sync!$Y531=""),"",Sync!$Y531)</f>
        <v/>
      </c>
      <c r="J535">
        <f>IF(OR($G535="",Sync!$Z531=""),"",Sync!$Z531)</f>
        <v/>
      </c>
      <c r="K535">
        <f>IF($G535="",0,IF(Sync!$AA531="",0,Sync!$AA531))</f>
        <v/>
      </c>
      <c r="L535">
        <f>IF($G535="",0,IF(Sync!$AB531="",0,Sync!$AB531))</f>
        <v/>
      </c>
      <c r="M535">
        <f>IF($G535="","",IF($H535="مرجوعی فروش",-1,1)*($K535-$L535*IFERROR(VLOOKUP("P01",ParamTbl,3,0),1.5)))</f>
        <v/>
      </c>
      <c r="N535">
        <f>IF($G535="",0,IF($H535="مرجوعی فروش",-1,1)*IF(Sync!$AC531="",0,Sync!$AC531))</f>
        <v/>
      </c>
      <c r="O535">
        <f>IF(OR($G535="",Sync!$V531=""),"",Sync!$V531)</f>
        <v/>
      </c>
      <c r="P535">
        <f>IF(OR($G535="",Sync!$AD531=""),"",Sync!$AD531)</f>
        <v/>
      </c>
      <c r="Q535">
        <f>IF($G535="","",IF(Sync!$U531="","0000",IF(AND(ISNUMBER(Sync!$U531),Sync!$U531&gt;=0,Sync!$U531&lt;1),RIGHT("00"&amp;HOUR(Sync!$U531),2)&amp;RIGHT("00"&amp;MINUTE(Sync!$U531),2),IFERROR(RIGHT("00"&amp;VALUE(LEFT(Sync!$U531,FIND(":",Sync!$U531)-1)),2)&amp;RIGHT("00"&amp;VALUE(MID(Sync!$U531,FIND(":",Sync!$U531)+1,2)),2),"0000"))))</f>
        <v/>
      </c>
    </row>
    <row r="536">
      <c r="A536">
        <f>IF(Sync!$T532="","",Sync!$T532)</f>
        <v/>
      </c>
      <c r="B536">
        <f>IF($A536="","",IF(ISNUMBER($A536),IF(AND($A536&gt;=10000101,$A536&lt;=99991231),INT($A536/10000),""),IFERROR(VALUE(TRIM(LEFT($A536,FIND("/",$A536)-1))),"")))</f>
        <v/>
      </c>
      <c r="C536">
        <f>IF(OR($A536="",$B536=""),"",IF(ISNUMBER($A536),INT(MOD($A536,10000)/100),IFERROR(VALUE(TRIM(LEFT(MID($A536,FIND("/",$A536)+1,20),FIND("/",MID($A536,FIND("/",$A536)+1,20))-1))),"")))</f>
        <v/>
      </c>
      <c r="D536">
        <f>IF(OR($A536="",$B536=""),"",IF(ISNUMBER($A536),MOD($A536,100),IFERROR(VALUE(TRIM(MID(MID($A536,FIND("/",$A536)+1,20),FIND("/",MID($A536,FIND("/",$A536)+1,20))+1,20))),"")))</f>
        <v/>
      </c>
      <c r="E536">
        <f>IF($A536="","",IF(OR($B536="",$C536="",$D536="",$B536&lt;1300,$B536&gt;1500,$C536&lt;1,$C536&gt;12,$D536&lt;1,$D536&gt;31),"نامعتبر",RIGHT("0000"&amp;$B536,4)&amp;"/"&amp;RIGHT("00"&amp;$C536,2)&amp;"/"&amp;RIGHT("00"&amp;$D536,2)))</f>
        <v/>
      </c>
      <c r="F536">
        <f>IF(OR($E536="",$E536="نامعتبر"),"",LEFT($E536,4)&amp;"/"&amp;MID($E536,6,2))</f>
        <v/>
      </c>
      <c r="G536">
        <f>IF(OR($E536="",$E536="نامعتبر",Sync!$X532=""),"",IF(AND(LEFT(UPPER(TRIM(Sync!$X532)),2)="SL",IFERROR(VLOOKUP(Sync!$W532,OpTbl,3,0),"")="فروش"),UPPER(TRIM(Sync!$X532)),""))</f>
        <v/>
      </c>
      <c r="H536">
        <f>IF($G536="","",IF(Sync!$W532="","",Sync!$W532))</f>
        <v/>
      </c>
      <c r="I536">
        <f>IF(OR($G536="",Sync!$Y532=""),"",Sync!$Y532)</f>
        <v/>
      </c>
      <c r="J536">
        <f>IF(OR($G536="",Sync!$Z532=""),"",Sync!$Z532)</f>
        <v/>
      </c>
      <c r="K536">
        <f>IF($G536="",0,IF(Sync!$AA532="",0,Sync!$AA532))</f>
        <v/>
      </c>
      <c r="L536">
        <f>IF($G536="",0,IF(Sync!$AB532="",0,Sync!$AB532))</f>
        <v/>
      </c>
      <c r="M536">
        <f>IF($G536="","",IF($H536="مرجوعی فروش",-1,1)*($K536-$L536*IFERROR(VLOOKUP("P01",ParamTbl,3,0),1.5)))</f>
        <v/>
      </c>
      <c r="N536">
        <f>IF($G536="",0,IF($H536="مرجوعی فروش",-1,1)*IF(Sync!$AC532="",0,Sync!$AC532))</f>
        <v/>
      </c>
      <c r="O536">
        <f>IF(OR($G536="",Sync!$V532=""),"",Sync!$V532)</f>
        <v/>
      </c>
      <c r="P536">
        <f>IF(OR($G536="",Sync!$AD532=""),"",Sync!$AD532)</f>
        <v/>
      </c>
      <c r="Q536">
        <f>IF($G536="","",IF(Sync!$U532="","0000",IF(AND(ISNUMBER(Sync!$U532),Sync!$U532&gt;=0,Sync!$U532&lt;1),RIGHT("00"&amp;HOUR(Sync!$U532),2)&amp;RIGHT("00"&amp;MINUTE(Sync!$U532),2),IFERROR(RIGHT("00"&amp;VALUE(LEFT(Sync!$U532,FIND(":",Sync!$U532)-1)),2)&amp;RIGHT("00"&amp;VALUE(MID(Sync!$U532,FIND(":",Sync!$U532)+1,2)),2),"0000"))))</f>
        <v/>
      </c>
    </row>
    <row r="537">
      <c r="A537">
        <f>IF(Sync!$T533="","",Sync!$T533)</f>
        <v/>
      </c>
      <c r="B537">
        <f>IF($A537="","",IF(ISNUMBER($A537),IF(AND($A537&gt;=10000101,$A537&lt;=99991231),INT($A537/10000),""),IFERROR(VALUE(TRIM(LEFT($A537,FIND("/",$A537)-1))),"")))</f>
        <v/>
      </c>
      <c r="C537">
        <f>IF(OR($A537="",$B537=""),"",IF(ISNUMBER($A537),INT(MOD($A537,10000)/100),IFERROR(VALUE(TRIM(LEFT(MID($A537,FIND("/",$A537)+1,20),FIND("/",MID($A537,FIND("/",$A537)+1,20))-1))),"")))</f>
        <v/>
      </c>
      <c r="D537">
        <f>IF(OR($A537="",$B537=""),"",IF(ISNUMBER($A537),MOD($A537,100),IFERROR(VALUE(TRIM(MID(MID($A537,FIND("/",$A537)+1,20),FIND("/",MID($A537,FIND("/",$A537)+1,20))+1,20))),"")))</f>
        <v/>
      </c>
      <c r="E537">
        <f>IF($A537="","",IF(OR($B537="",$C537="",$D537="",$B537&lt;1300,$B537&gt;1500,$C537&lt;1,$C537&gt;12,$D537&lt;1,$D537&gt;31),"نامعتبر",RIGHT("0000"&amp;$B537,4)&amp;"/"&amp;RIGHT("00"&amp;$C537,2)&amp;"/"&amp;RIGHT("00"&amp;$D537,2)))</f>
        <v/>
      </c>
      <c r="F537">
        <f>IF(OR($E537="",$E537="نامعتبر"),"",LEFT($E537,4)&amp;"/"&amp;MID($E537,6,2))</f>
        <v/>
      </c>
      <c r="G537">
        <f>IF(OR($E537="",$E537="نامعتبر",Sync!$X533=""),"",IF(AND(LEFT(UPPER(TRIM(Sync!$X533)),2)="SL",IFERROR(VLOOKUP(Sync!$W533,OpTbl,3,0),"")="فروش"),UPPER(TRIM(Sync!$X533)),""))</f>
        <v/>
      </c>
      <c r="H537">
        <f>IF($G537="","",IF(Sync!$W533="","",Sync!$W533))</f>
        <v/>
      </c>
      <c r="I537">
        <f>IF(OR($G537="",Sync!$Y533=""),"",Sync!$Y533)</f>
        <v/>
      </c>
      <c r="J537">
        <f>IF(OR($G537="",Sync!$Z533=""),"",Sync!$Z533)</f>
        <v/>
      </c>
      <c r="K537">
        <f>IF($G537="",0,IF(Sync!$AA533="",0,Sync!$AA533))</f>
        <v/>
      </c>
      <c r="L537">
        <f>IF($G537="",0,IF(Sync!$AB533="",0,Sync!$AB533))</f>
        <v/>
      </c>
      <c r="M537">
        <f>IF($G537="","",IF($H537="مرجوعی فروش",-1,1)*($K537-$L537*IFERROR(VLOOKUP("P01",ParamTbl,3,0),1.5)))</f>
        <v/>
      </c>
      <c r="N537">
        <f>IF($G537="",0,IF($H537="مرجوعی فروش",-1,1)*IF(Sync!$AC533="",0,Sync!$AC533))</f>
        <v/>
      </c>
      <c r="O537">
        <f>IF(OR($G537="",Sync!$V533=""),"",Sync!$V533)</f>
        <v/>
      </c>
      <c r="P537">
        <f>IF(OR($G537="",Sync!$AD533=""),"",Sync!$AD533)</f>
        <v/>
      </c>
      <c r="Q537">
        <f>IF($G537="","",IF(Sync!$U533="","0000",IF(AND(ISNUMBER(Sync!$U533),Sync!$U533&gt;=0,Sync!$U533&lt;1),RIGHT("00"&amp;HOUR(Sync!$U533),2)&amp;RIGHT("00"&amp;MINUTE(Sync!$U533),2),IFERROR(RIGHT("00"&amp;VALUE(LEFT(Sync!$U533,FIND(":",Sync!$U533)-1)),2)&amp;RIGHT("00"&amp;VALUE(MID(Sync!$U533,FIND(":",Sync!$U533)+1,2)),2),"0000"))))</f>
        <v/>
      </c>
    </row>
    <row r="538">
      <c r="A538">
        <f>IF(Sync!$T534="","",Sync!$T534)</f>
        <v/>
      </c>
      <c r="B538">
        <f>IF($A538="","",IF(ISNUMBER($A538),IF(AND($A538&gt;=10000101,$A538&lt;=99991231),INT($A538/10000),""),IFERROR(VALUE(TRIM(LEFT($A538,FIND("/",$A538)-1))),"")))</f>
        <v/>
      </c>
      <c r="C538">
        <f>IF(OR($A538="",$B538=""),"",IF(ISNUMBER($A538),INT(MOD($A538,10000)/100),IFERROR(VALUE(TRIM(LEFT(MID($A538,FIND("/",$A538)+1,20),FIND("/",MID($A538,FIND("/",$A538)+1,20))-1))),"")))</f>
        <v/>
      </c>
      <c r="D538">
        <f>IF(OR($A538="",$B538=""),"",IF(ISNUMBER($A538),MOD($A538,100),IFERROR(VALUE(TRIM(MID(MID($A538,FIND("/",$A538)+1,20),FIND("/",MID($A538,FIND("/",$A538)+1,20))+1,20))),"")))</f>
        <v/>
      </c>
      <c r="E538">
        <f>IF($A538="","",IF(OR($B538="",$C538="",$D538="",$B538&lt;1300,$B538&gt;1500,$C538&lt;1,$C538&gt;12,$D538&lt;1,$D538&gt;31),"نامعتبر",RIGHT("0000"&amp;$B538,4)&amp;"/"&amp;RIGHT("00"&amp;$C538,2)&amp;"/"&amp;RIGHT("00"&amp;$D538,2)))</f>
        <v/>
      </c>
      <c r="F538">
        <f>IF(OR($E538="",$E538="نامعتبر"),"",LEFT($E538,4)&amp;"/"&amp;MID($E538,6,2))</f>
        <v/>
      </c>
      <c r="G538">
        <f>IF(OR($E538="",$E538="نامعتبر",Sync!$X534=""),"",IF(AND(LEFT(UPPER(TRIM(Sync!$X534)),2)="SL",IFERROR(VLOOKUP(Sync!$W534,OpTbl,3,0),"")="فروش"),UPPER(TRIM(Sync!$X534)),""))</f>
        <v/>
      </c>
      <c r="H538">
        <f>IF($G538="","",IF(Sync!$W534="","",Sync!$W534))</f>
        <v/>
      </c>
      <c r="I538">
        <f>IF(OR($G538="",Sync!$Y534=""),"",Sync!$Y534)</f>
        <v/>
      </c>
      <c r="J538">
        <f>IF(OR($G538="",Sync!$Z534=""),"",Sync!$Z534)</f>
        <v/>
      </c>
      <c r="K538">
        <f>IF($G538="",0,IF(Sync!$AA534="",0,Sync!$AA534))</f>
        <v/>
      </c>
      <c r="L538">
        <f>IF($G538="",0,IF(Sync!$AB534="",0,Sync!$AB534))</f>
        <v/>
      </c>
      <c r="M538">
        <f>IF($G538="","",IF($H538="مرجوعی فروش",-1,1)*($K538-$L538*IFERROR(VLOOKUP("P01",ParamTbl,3,0),1.5)))</f>
        <v/>
      </c>
      <c r="N538">
        <f>IF($G538="",0,IF($H538="مرجوعی فروش",-1,1)*IF(Sync!$AC534="",0,Sync!$AC534))</f>
        <v/>
      </c>
      <c r="O538">
        <f>IF(OR($G538="",Sync!$V534=""),"",Sync!$V534)</f>
        <v/>
      </c>
      <c r="P538">
        <f>IF(OR($G538="",Sync!$AD534=""),"",Sync!$AD534)</f>
        <v/>
      </c>
      <c r="Q538">
        <f>IF($G538="","",IF(Sync!$U534="","0000",IF(AND(ISNUMBER(Sync!$U534),Sync!$U534&gt;=0,Sync!$U534&lt;1),RIGHT("00"&amp;HOUR(Sync!$U534),2)&amp;RIGHT("00"&amp;MINUTE(Sync!$U534),2),IFERROR(RIGHT("00"&amp;VALUE(LEFT(Sync!$U534,FIND(":",Sync!$U534)-1)),2)&amp;RIGHT("00"&amp;VALUE(MID(Sync!$U534,FIND(":",Sync!$U534)+1,2)),2),"0000"))))</f>
        <v/>
      </c>
    </row>
    <row r="539">
      <c r="A539">
        <f>IF(Sync!$T535="","",Sync!$T535)</f>
        <v/>
      </c>
      <c r="B539">
        <f>IF($A539="","",IF(ISNUMBER($A539),IF(AND($A539&gt;=10000101,$A539&lt;=99991231),INT($A539/10000),""),IFERROR(VALUE(TRIM(LEFT($A539,FIND("/",$A539)-1))),"")))</f>
        <v/>
      </c>
      <c r="C539">
        <f>IF(OR($A539="",$B539=""),"",IF(ISNUMBER($A539),INT(MOD($A539,10000)/100),IFERROR(VALUE(TRIM(LEFT(MID($A539,FIND("/",$A539)+1,20),FIND("/",MID($A539,FIND("/",$A539)+1,20))-1))),"")))</f>
        <v/>
      </c>
      <c r="D539">
        <f>IF(OR($A539="",$B539=""),"",IF(ISNUMBER($A539),MOD($A539,100),IFERROR(VALUE(TRIM(MID(MID($A539,FIND("/",$A539)+1,20),FIND("/",MID($A539,FIND("/",$A539)+1,20))+1,20))),"")))</f>
        <v/>
      </c>
      <c r="E539">
        <f>IF($A539="","",IF(OR($B539="",$C539="",$D539="",$B539&lt;1300,$B539&gt;1500,$C539&lt;1,$C539&gt;12,$D539&lt;1,$D539&gt;31),"نامعتبر",RIGHT("0000"&amp;$B539,4)&amp;"/"&amp;RIGHT("00"&amp;$C539,2)&amp;"/"&amp;RIGHT("00"&amp;$D539,2)))</f>
        <v/>
      </c>
      <c r="F539">
        <f>IF(OR($E539="",$E539="نامعتبر"),"",LEFT($E539,4)&amp;"/"&amp;MID($E539,6,2))</f>
        <v/>
      </c>
      <c r="G539">
        <f>IF(OR($E539="",$E539="نامعتبر",Sync!$X535=""),"",IF(AND(LEFT(UPPER(TRIM(Sync!$X535)),2)="SL",IFERROR(VLOOKUP(Sync!$W535,OpTbl,3,0),"")="فروش"),UPPER(TRIM(Sync!$X535)),""))</f>
        <v/>
      </c>
      <c r="H539">
        <f>IF($G539="","",IF(Sync!$W535="","",Sync!$W535))</f>
        <v/>
      </c>
      <c r="I539">
        <f>IF(OR($G539="",Sync!$Y535=""),"",Sync!$Y535)</f>
        <v/>
      </c>
      <c r="J539">
        <f>IF(OR($G539="",Sync!$Z535=""),"",Sync!$Z535)</f>
        <v/>
      </c>
      <c r="K539">
        <f>IF($G539="",0,IF(Sync!$AA535="",0,Sync!$AA535))</f>
        <v/>
      </c>
      <c r="L539">
        <f>IF($G539="",0,IF(Sync!$AB535="",0,Sync!$AB535))</f>
        <v/>
      </c>
      <c r="M539">
        <f>IF($G539="","",IF($H539="مرجوعی فروش",-1,1)*($K539-$L539*IFERROR(VLOOKUP("P01",ParamTbl,3,0),1.5)))</f>
        <v/>
      </c>
      <c r="N539">
        <f>IF($G539="",0,IF($H539="مرجوعی فروش",-1,1)*IF(Sync!$AC535="",0,Sync!$AC535))</f>
        <v/>
      </c>
      <c r="O539">
        <f>IF(OR($G539="",Sync!$V535=""),"",Sync!$V535)</f>
        <v/>
      </c>
      <c r="P539">
        <f>IF(OR($G539="",Sync!$AD535=""),"",Sync!$AD535)</f>
        <v/>
      </c>
      <c r="Q539">
        <f>IF($G539="","",IF(Sync!$U535="","0000",IF(AND(ISNUMBER(Sync!$U535),Sync!$U535&gt;=0,Sync!$U535&lt;1),RIGHT("00"&amp;HOUR(Sync!$U535),2)&amp;RIGHT("00"&amp;MINUTE(Sync!$U535),2),IFERROR(RIGHT("00"&amp;VALUE(LEFT(Sync!$U535,FIND(":",Sync!$U535)-1)),2)&amp;RIGHT("00"&amp;VALUE(MID(Sync!$U535,FIND(":",Sync!$U535)+1,2)),2),"0000"))))</f>
        <v/>
      </c>
    </row>
    <row r="540">
      <c r="A540">
        <f>IF(Sync!$T536="","",Sync!$T536)</f>
        <v/>
      </c>
      <c r="B540">
        <f>IF($A540="","",IF(ISNUMBER($A540),IF(AND($A540&gt;=10000101,$A540&lt;=99991231),INT($A540/10000),""),IFERROR(VALUE(TRIM(LEFT($A540,FIND("/",$A540)-1))),"")))</f>
        <v/>
      </c>
      <c r="C540">
        <f>IF(OR($A540="",$B540=""),"",IF(ISNUMBER($A540),INT(MOD($A540,10000)/100),IFERROR(VALUE(TRIM(LEFT(MID($A540,FIND("/",$A540)+1,20),FIND("/",MID($A540,FIND("/",$A540)+1,20))-1))),"")))</f>
        <v/>
      </c>
      <c r="D540">
        <f>IF(OR($A540="",$B540=""),"",IF(ISNUMBER($A540),MOD($A540,100),IFERROR(VALUE(TRIM(MID(MID($A540,FIND("/",$A540)+1,20),FIND("/",MID($A540,FIND("/",$A540)+1,20))+1,20))),"")))</f>
        <v/>
      </c>
      <c r="E540">
        <f>IF($A540="","",IF(OR($B540="",$C540="",$D540="",$B540&lt;1300,$B540&gt;1500,$C540&lt;1,$C540&gt;12,$D540&lt;1,$D540&gt;31),"نامعتبر",RIGHT("0000"&amp;$B540,4)&amp;"/"&amp;RIGHT("00"&amp;$C540,2)&amp;"/"&amp;RIGHT("00"&amp;$D540,2)))</f>
        <v/>
      </c>
      <c r="F540">
        <f>IF(OR($E540="",$E540="نامعتبر"),"",LEFT($E540,4)&amp;"/"&amp;MID($E540,6,2))</f>
        <v/>
      </c>
      <c r="G540">
        <f>IF(OR($E540="",$E540="نامعتبر",Sync!$X536=""),"",IF(AND(LEFT(UPPER(TRIM(Sync!$X536)),2)="SL",IFERROR(VLOOKUP(Sync!$W536,OpTbl,3,0),"")="فروش"),UPPER(TRIM(Sync!$X536)),""))</f>
        <v/>
      </c>
      <c r="H540">
        <f>IF($G540="","",IF(Sync!$W536="","",Sync!$W536))</f>
        <v/>
      </c>
      <c r="I540">
        <f>IF(OR($G540="",Sync!$Y536=""),"",Sync!$Y536)</f>
        <v/>
      </c>
      <c r="J540">
        <f>IF(OR($G540="",Sync!$Z536=""),"",Sync!$Z536)</f>
        <v/>
      </c>
      <c r="K540">
        <f>IF($G540="",0,IF(Sync!$AA536="",0,Sync!$AA536))</f>
        <v/>
      </c>
      <c r="L540">
        <f>IF($G540="",0,IF(Sync!$AB536="",0,Sync!$AB536))</f>
        <v/>
      </c>
      <c r="M540">
        <f>IF($G540="","",IF($H540="مرجوعی فروش",-1,1)*($K540-$L540*IFERROR(VLOOKUP("P01",ParamTbl,3,0),1.5)))</f>
        <v/>
      </c>
      <c r="N540">
        <f>IF($G540="",0,IF($H540="مرجوعی فروش",-1,1)*IF(Sync!$AC536="",0,Sync!$AC536))</f>
        <v/>
      </c>
      <c r="O540">
        <f>IF(OR($G540="",Sync!$V536=""),"",Sync!$V536)</f>
        <v/>
      </c>
      <c r="P540">
        <f>IF(OR($G540="",Sync!$AD536=""),"",Sync!$AD536)</f>
        <v/>
      </c>
      <c r="Q540">
        <f>IF($G540="","",IF(Sync!$U536="","0000",IF(AND(ISNUMBER(Sync!$U536),Sync!$U536&gt;=0,Sync!$U536&lt;1),RIGHT("00"&amp;HOUR(Sync!$U536),2)&amp;RIGHT("00"&amp;MINUTE(Sync!$U536),2),IFERROR(RIGHT("00"&amp;VALUE(LEFT(Sync!$U536,FIND(":",Sync!$U536)-1)),2)&amp;RIGHT("00"&amp;VALUE(MID(Sync!$U536,FIND(":",Sync!$U536)+1,2)),2),"0000"))))</f>
        <v/>
      </c>
    </row>
    <row r="541">
      <c r="A541">
        <f>IF(Sync!$T537="","",Sync!$T537)</f>
        <v/>
      </c>
      <c r="B541">
        <f>IF($A541="","",IF(ISNUMBER($A541),IF(AND($A541&gt;=10000101,$A541&lt;=99991231),INT($A541/10000),""),IFERROR(VALUE(TRIM(LEFT($A541,FIND("/",$A541)-1))),"")))</f>
        <v/>
      </c>
      <c r="C541">
        <f>IF(OR($A541="",$B541=""),"",IF(ISNUMBER($A541),INT(MOD($A541,10000)/100),IFERROR(VALUE(TRIM(LEFT(MID($A541,FIND("/",$A541)+1,20),FIND("/",MID($A541,FIND("/",$A541)+1,20))-1))),"")))</f>
        <v/>
      </c>
      <c r="D541">
        <f>IF(OR($A541="",$B541=""),"",IF(ISNUMBER($A541),MOD($A541,100),IFERROR(VALUE(TRIM(MID(MID($A541,FIND("/",$A541)+1,20),FIND("/",MID($A541,FIND("/",$A541)+1,20))+1,20))),"")))</f>
        <v/>
      </c>
      <c r="E541">
        <f>IF($A541="","",IF(OR($B541="",$C541="",$D541="",$B541&lt;1300,$B541&gt;1500,$C541&lt;1,$C541&gt;12,$D541&lt;1,$D541&gt;31),"نامعتبر",RIGHT("0000"&amp;$B541,4)&amp;"/"&amp;RIGHT("00"&amp;$C541,2)&amp;"/"&amp;RIGHT("00"&amp;$D541,2)))</f>
        <v/>
      </c>
      <c r="F541">
        <f>IF(OR($E541="",$E541="نامعتبر"),"",LEFT($E541,4)&amp;"/"&amp;MID($E541,6,2))</f>
        <v/>
      </c>
      <c r="G541">
        <f>IF(OR($E541="",$E541="نامعتبر",Sync!$X537=""),"",IF(AND(LEFT(UPPER(TRIM(Sync!$X537)),2)="SL",IFERROR(VLOOKUP(Sync!$W537,OpTbl,3,0),"")="فروش"),UPPER(TRIM(Sync!$X537)),""))</f>
        <v/>
      </c>
      <c r="H541">
        <f>IF($G541="","",IF(Sync!$W537="","",Sync!$W537))</f>
        <v/>
      </c>
      <c r="I541">
        <f>IF(OR($G541="",Sync!$Y537=""),"",Sync!$Y537)</f>
        <v/>
      </c>
      <c r="J541">
        <f>IF(OR($G541="",Sync!$Z537=""),"",Sync!$Z537)</f>
        <v/>
      </c>
      <c r="K541">
        <f>IF($G541="",0,IF(Sync!$AA537="",0,Sync!$AA537))</f>
        <v/>
      </c>
      <c r="L541">
        <f>IF($G541="",0,IF(Sync!$AB537="",0,Sync!$AB537))</f>
        <v/>
      </c>
      <c r="M541">
        <f>IF($G541="","",IF($H541="مرجوعی فروش",-1,1)*($K541-$L541*IFERROR(VLOOKUP("P01",ParamTbl,3,0),1.5)))</f>
        <v/>
      </c>
      <c r="N541">
        <f>IF($G541="",0,IF($H541="مرجوعی فروش",-1,1)*IF(Sync!$AC537="",0,Sync!$AC537))</f>
        <v/>
      </c>
      <c r="O541">
        <f>IF(OR($G541="",Sync!$V537=""),"",Sync!$V537)</f>
        <v/>
      </c>
      <c r="P541">
        <f>IF(OR($G541="",Sync!$AD537=""),"",Sync!$AD537)</f>
        <v/>
      </c>
      <c r="Q541">
        <f>IF($G541="","",IF(Sync!$U537="","0000",IF(AND(ISNUMBER(Sync!$U537),Sync!$U537&gt;=0,Sync!$U537&lt;1),RIGHT("00"&amp;HOUR(Sync!$U537),2)&amp;RIGHT("00"&amp;MINUTE(Sync!$U537),2),IFERROR(RIGHT("00"&amp;VALUE(LEFT(Sync!$U537,FIND(":",Sync!$U537)-1)),2)&amp;RIGHT("00"&amp;VALUE(MID(Sync!$U537,FIND(":",Sync!$U537)+1,2)),2),"0000"))))</f>
        <v/>
      </c>
    </row>
    <row r="542">
      <c r="A542">
        <f>IF(Sync!$T538="","",Sync!$T538)</f>
        <v/>
      </c>
      <c r="B542">
        <f>IF($A542="","",IF(ISNUMBER($A542),IF(AND($A542&gt;=10000101,$A542&lt;=99991231),INT($A542/10000),""),IFERROR(VALUE(TRIM(LEFT($A542,FIND("/",$A542)-1))),"")))</f>
        <v/>
      </c>
      <c r="C542">
        <f>IF(OR($A542="",$B542=""),"",IF(ISNUMBER($A542),INT(MOD($A542,10000)/100),IFERROR(VALUE(TRIM(LEFT(MID($A542,FIND("/",$A542)+1,20),FIND("/",MID($A542,FIND("/",$A542)+1,20))-1))),"")))</f>
        <v/>
      </c>
      <c r="D542">
        <f>IF(OR($A542="",$B542=""),"",IF(ISNUMBER($A542),MOD($A542,100),IFERROR(VALUE(TRIM(MID(MID($A542,FIND("/",$A542)+1,20),FIND("/",MID($A542,FIND("/",$A542)+1,20))+1,20))),"")))</f>
        <v/>
      </c>
      <c r="E542">
        <f>IF($A542="","",IF(OR($B542="",$C542="",$D542="",$B542&lt;1300,$B542&gt;1500,$C542&lt;1,$C542&gt;12,$D542&lt;1,$D542&gt;31),"نامعتبر",RIGHT("0000"&amp;$B542,4)&amp;"/"&amp;RIGHT("00"&amp;$C542,2)&amp;"/"&amp;RIGHT("00"&amp;$D542,2)))</f>
        <v/>
      </c>
      <c r="F542">
        <f>IF(OR($E542="",$E542="نامعتبر"),"",LEFT($E542,4)&amp;"/"&amp;MID($E542,6,2))</f>
        <v/>
      </c>
      <c r="G542">
        <f>IF(OR($E542="",$E542="نامعتبر",Sync!$X538=""),"",IF(AND(LEFT(UPPER(TRIM(Sync!$X538)),2)="SL",IFERROR(VLOOKUP(Sync!$W538,OpTbl,3,0),"")="فروش"),UPPER(TRIM(Sync!$X538)),""))</f>
        <v/>
      </c>
      <c r="H542">
        <f>IF($G542="","",IF(Sync!$W538="","",Sync!$W538))</f>
        <v/>
      </c>
      <c r="I542">
        <f>IF(OR($G542="",Sync!$Y538=""),"",Sync!$Y538)</f>
        <v/>
      </c>
      <c r="J542">
        <f>IF(OR($G542="",Sync!$Z538=""),"",Sync!$Z538)</f>
        <v/>
      </c>
      <c r="K542">
        <f>IF($G542="",0,IF(Sync!$AA538="",0,Sync!$AA538))</f>
        <v/>
      </c>
      <c r="L542">
        <f>IF($G542="",0,IF(Sync!$AB538="",0,Sync!$AB538))</f>
        <v/>
      </c>
      <c r="M542">
        <f>IF($G542="","",IF($H542="مرجوعی فروش",-1,1)*($K542-$L542*IFERROR(VLOOKUP("P01",ParamTbl,3,0),1.5)))</f>
        <v/>
      </c>
      <c r="N542">
        <f>IF($G542="",0,IF($H542="مرجوعی فروش",-1,1)*IF(Sync!$AC538="",0,Sync!$AC538))</f>
        <v/>
      </c>
      <c r="O542">
        <f>IF(OR($G542="",Sync!$V538=""),"",Sync!$V538)</f>
        <v/>
      </c>
      <c r="P542">
        <f>IF(OR($G542="",Sync!$AD538=""),"",Sync!$AD538)</f>
        <v/>
      </c>
      <c r="Q542">
        <f>IF($G542="","",IF(Sync!$U538="","0000",IF(AND(ISNUMBER(Sync!$U538),Sync!$U538&gt;=0,Sync!$U538&lt;1),RIGHT("00"&amp;HOUR(Sync!$U538),2)&amp;RIGHT("00"&amp;MINUTE(Sync!$U538),2),IFERROR(RIGHT("00"&amp;VALUE(LEFT(Sync!$U538,FIND(":",Sync!$U538)-1)),2)&amp;RIGHT("00"&amp;VALUE(MID(Sync!$U538,FIND(":",Sync!$U538)+1,2)),2),"0000"))))</f>
        <v/>
      </c>
    </row>
    <row r="543">
      <c r="A543">
        <f>IF(Sync!$T539="","",Sync!$T539)</f>
        <v/>
      </c>
      <c r="B543">
        <f>IF($A543="","",IF(ISNUMBER($A543),IF(AND($A543&gt;=10000101,$A543&lt;=99991231),INT($A543/10000),""),IFERROR(VALUE(TRIM(LEFT($A543,FIND("/",$A543)-1))),"")))</f>
        <v/>
      </c>
      <c r="C543">
        <f>IF(OR($A543="",$B543=""),"",IF(ISNUMBER($A543),INT(MOD($A543,10000)/100),IFERROR(VALUE(TRIM(LEFT(MID($A543,FIND("/",$A543)+1,20),FIND("/",MID($A543,FIND("/",$A543)+1,20))-1))),"")))</f>
        <v/>
      </c>
      <c r="D543">
        <f>IF(OR($A543="",$B543=""),"",IF(ISNUMBER($A543),MOD($A543,100),IFERROR(VALUE(TRIM(MID(MID($A543,FIND("/",$A543)+1,20),FIND("/",MID($A543,FIND("/",$A543)+1,20))+1,20))),"")))</f>
        <v/>
      </c>
      <c r="E543">
        <f>IF($A543="","",IF(OR($B543="",$C543="",$D543="",$B543&lt;1300,$B543&gt;1500,$C543&lt;1,$C543&gt;12,$D543&lt;1,$D543&gt;31),"نامعتبر",RIGHT("0000"&amp;$B543,4)&amp;"/"&amp;RIGHT("00"&amp;$C543,2)&amp;"/"&amp;RIGHT("00"&amp;$D543,2)))</f>
        <v/>
      </c>
      <c r="F543">
        <f>IF(OR($E543="",$E543="نامعتبر"),"",LEFT($E543,4)&amp;"/"&amp;MID($E543,6,2))</f>
        <v/>
      </c>
      <c r="G543">
        <f>IF(OR($E543="",$E543="نامعتبر",Sync!$X539=""),"",IF(AND(LEFT(UPPER(TRIM(Sync!$X539)),2)="SL",IFERROR(VLOOKUP(Sync!$W539,OpTbl,3,0),"")="فروش"),UPPER(TRIM(Sync!$X539)),""))</f>
        <v/>
      </c>
      <c r="H543">
        <f>IF($G543="","",IF(Sync!$W539="","",Sync!$W539))</f>
        <v/>
      </c>
      <c r="I543">
        <f>IF(OR($G543="",Sync!$Y539=""),"",Sync!$Y539)</f>
        <v/>
      </c>
      <c r="J543">
        <f>IF(OR($G543="",Sync!$Z539=""),"",Sync!$Z539)</f>
        <v/>
      </c>
      <c r="K543">
        <f>IF($G543="",0,IF(Sync!$AA539="",0,Sync!$AA539))</f>
        <v/>
      </c>
      <c r="L543">
        <f>IF($G543="",0,IF(Sync!$AB539="",0,Sync!$AB539))</f>
        <v/>
      </c>
      <c r="M543">
        <f>IF($G543="","",IF($H543="مرجوعی فروش",-1,1)*($K543-$L543*IFERROR(VLOOKUP("P01",ParamTbl,3,0),1.5)))</f>
        <v/>
      </c>
      <c r="N543">
        <f>IF($G543="",0,IF($H543="مرجوعی فروش",-1,1)*IF(Sync!$AC539="",0,Sync!$AC539))</f>
        <v/>
      </c>
      <c r="O543">
        <f>IF(OR($G543="",Sync!$V539=""),"",Sync!$V539)</f>
        <v/>
      </c>
      <c r="P543">
        <f>IF(OR($G543="",Sync!$AD539=""),"",Sync!$AD539)</f>
        <v/>
      </c>
      <c r="Q543">
        <f>IF($G543="","",IF(Sync!$U539="","0000",IF(AND(ISNUMBER(Sync!$U539),Sync!$U539&gt;=0,Sync!$U539&lt;1),RIGHT("00"&amp;HOUR(Sync!$U539),2)&amp;RIGHT("00"&amp;MINUTE(Sync!$U539),2),IFERROR(RIGHT("00"&amp;VALUE(LEFT(Sync!$U539,FIND(":",Sync!$U539)-1)),2)&amp;RIGHT("00"&amp;VALUE(MID(Sync!$U539,FIND(":",Sync!$U539)+1,2)),2),"0000"))))</f>
        <v/>
      </c>
    </row>
    <row r="544">
      <c r="A544">
        <f>IF(Sync!$T540="","",Sync!$T540)</f>
        <v/>
      </c>
      <c r="B544">
        <f>IF($A544="","",IF(ISNUMBER($A544),IF(AND($A544&gt;=10000101,$A544&lt;=99991231),INT($A544/10000),""),IFERROR(VALUE(TRIM(LEFT($A544,FIND("/",$A544)-1))),"")))</f>
        <v/>
      </c>
      <c r="C544">
        <f>IF(OR($A544="",$B544=""),"",IF(ISNUMBER($A544),INT(MOD($A544,10000)/100),IFERROR(VALUE(TRIM(LEFT(MID($A544,FIND("/",$A544)+1,20),FIND("/",MID($A544,FIND("/",$A544)+1,20))-1))),"")))</f>
        <v/>
      </c>
      <c r="D544">
        <f>IF(OR($A544="",$B544=""),"",IF(ISNUMBER($A544),MOD($A544,100),IFERROR(VALUE(TRIM(MID(MID($A544,FIND("/",$A544)+1,20),FIND("/",MID($A544,FIND("/",$A544)+1,20))+1,20))),"")))</f>
        <v/>
      </c>
      <c r="E544">
        <f>IF($A544="","",IF(OR($B544="",$C544="",$D544="",$B544&lt;1300,$B544&gt;1500,$C544&lt;1,$C544&gt;12,$D544&lt;1,$D544&gt;31),"نامعتبر",RIGHT("0000"&amp;$B544,4)&amp;"/"&amp;RIGHT("00"&amp;$C544,2)&amp;"/"&amp;RIGHT("00"&amp;$D544,2)))</f>
        <v/>
      </c>
      <c r="F544">
        <f>IF(OR($E544="",$E544="نامعتبر"),"",LEFT($E544,4)&amp;"/"&amp;MID($E544,6,2))</f>
        <v/>
      </c>
      <c r="G544">
        <f>IF(OR($E544="",$E544="نامعتبر",Sync!$X540=""),"",IF(AND(LEFT(UPPER(TRIM(Sync!$X540)),2)="SL",IFERROR(VLOOKUP(Sync!$W540,OpTbl,3,0),"")="فروش"),UPPER(TRIM(Sync!$X540)),""))</f>
        <v/>
      </c>
      <c r="H544">
        <f>IF($G544="","",IF(Sync!$W540="","",Sync!$W540))</f>
        <v/>
      </c>
      <c r="I544">
        <f>IF(OR($G544="",Sync!$Y540=""),"",Sync!$Y540)</f>
        <v/>
      </c>
      <c r="J544">
        <f>IF(OR($G544="",Sync!$Z540=""),"",Sync!$Z540)</f>
        <v/>
      </c>
      <c r="K544">
        <f>IF($G544="",0,IF(Sync!$AA540="",0,Sync!$AA540))</f>
        <v/>
      </c>
      <c r="L544">
        <f>IF($G544="",0,IF(Sync!$AB540="",0,Sync!$AB540))</f>
        <v/>
      </c>
      <c r="M544">
        <f>IF($G544="","",IF($H544="مرجوعی فروش",-1,1)*($K544-$L544*IFERROR(VLOOKUP("P01",ParamTbl,3,0),1.5)))</f>
        <v/>
      </c>
      <c r="N544">
        <f>IF($G544="",0,IF($H544="مرجوعی فروش",-1,1)*IF(Sync!$AC540="",0,Sync!$AC540))</f>
        <v/>
      </c>
      <c r="O544">
        <f>IF(OR($G544="",Sync!$V540=""),"",Sync!$V540)</f>
        <v/>
      </c>
      <c r="P544">
        <f>IF(OR($G544="",Sync!$AD540=""),"",Sync!$AD540)</f>
        <v/>
      </c>
      <c r="Q544">
        <f>IF($G544="","",IF(Sync!$U540="","0000",IF(AND(ISNUMBER(Sync!$U540),Sync!$U540&gt;=0,Sync!$U540&lt;1),RIGHT("00"&amp;HOUR(Sync!$U540),2)&amp;RIGHT("00"&amp;MINUTE(Sync!$U540),2),IFERROR(RIGHT("00"&amp;VALUE(LEFT(Sync!$U540,FIND(":",Sync!$U540)-1)),2)&amp;RIGHT("00"&amp;VALUE(MID(Sync!$U540,FIND(":",Sync!$U540)+1,2)),2),"0000"))))</f>
        <v/>
      </c>
    </row>
    <row r="545">
      <c r="A545">
        <f>IF(Sync!$T541="","",Sync!$T541)</f>
        <v/>
      </c>
      <c r="B545">
        <f>IF($A545="","",IF(ISNUMBER($A545),IF(AND($A545&gt;=10000101,$A545&lt;=99991231),INT($A545/10000),""),IFERROR(VALUE(TRIM(LEFT($A545,FIND("/",$A545)-1))),"")))</f>
        <v/>
      </c>
      <c r="C545">
        <f>IF(OR($A545="",$B545=""),"",IF(ISNUMBER($A545),INT(MOD($A545,10000)/100),IFERROR(VALUE(TRIM(LEFT(MID($A545,FIND("/",$A545)+1,20),FIND("/",MID($A545,FIND("/",$A545)+1,20))-1))),"")))</f>
        <v/>
      </c>
      <c r="D545">
        <f>IF(OR($A545="",$B545=""),"",IF(ISNUMBER($A545),MOD($A545,100),IFERROR(VALUE(TRIM(MID(MID($A545,FIND("/",$A545)+1,20),FIND("/",MID($A545,FIND("/",$A545)+1,20))+1,20))),"")))</f>
        <v/>
      </c>
      <c r="E545">
        <f>IF($A545="","",IF(OR($B545="",$C545="",$D545="",$B545&lt;1300,$B545&gt;1500,$C545&lt;1,$C545&gt;12,$D545&lt;1,$D545&gt;31),"نامعتبر",RIGHT("0000"&amp;$B545,4)&amp;"/"&amp;RIGHT("00"&amp;$C545,2)&amp;"/"&amp;RIGHT("00"&amp;$D545,2)))</f>
        <v/>
      </c>
      <c r="F545">
        <f>IF(OR($E545="",$E545="نامعتبر"),"",LEFT($E545,4)&amp;"/"&amp;MID($E545,6,2))</f>
        <v/>
      </c>
      <c r="G545">
        <f>IF(OR($E545="",$E545="نامعتبر",Sync!$X541=""),"",IF(AND(LEFT(UPPER(TRIM(Sync!$X541)),2)="SL",IFERROR(VLOOKUP(Sync!$W541,OpTbl,3,0),"")="فروش"),UPPER(TRIM(Sync!$X541)),""))</f>
        <v/>
      </c>
      <c r="H545">
        <f>IF($G545="","",IF(Sync!$W541="","",Sync!$W541))</f>
        <v/>
      </c>
      <c r="I545">
        <f>IF(OR($G545="",Sync!$Y541=""),"",Sync!$Y541)</f>
        <v/>
      </c>
      <c r="J545">
        <f>IF(OR($G545="",Sync!$Z541=""),"",Sync!$Z541)</f>
        <v/>
      </c>
      <c r="K545">
        <f>IF($G545="",0,IF(Sync!$AA541="",0,Sync!$AA541))</f>
        <v/>
      </c>
      <c r="L545">
        <f>IF($G545="",0,IF(Sync!$AB541="",0,Sync!$AB541))</f>
        <v/>
      </c>
      <c r="M545">
        <f>IF($G545="","",IF($H545="مرجوعی فروش",-1,1)*($K545-$L545*IFERROR(VLOOKUP("P01",ParamTbl,3,0),1.5)))</f>
        <v/>
      </c>
      <c r="N545">
        <f>IF($G545="",0,IF($H545="مرجوعی فروش",-1,1)*IF(Sync!$AC541="",0,Sync!$AC541))</f>
        <v/>
      </c>
      <c r="O545">
        <f>IF(OR($G545="",Sync!$V541=""),"",Sync!$V541)</f>
        <v/>
      </c>
      <c r="P545">
        <f>IF(OR($G545="",Sync!$AD541=""),"",Sync!$AD541)</f>
        <v/>
      </c>
      <c r="Q545">
        <f>IF($G545="","",IF(Sync!$U541="","0000",IF(AND(ISNUMBER(Sync!$U541),Sync!$U541&gt;=0,Sync!$U541&lt;1),RIGHT("00"&amp;HOUR(Sync!$U541),2)&amp;RIGHT("00"&amp;MINUTE(Sync!$U541),2),IFERROR(RIGHT("00"&amp;VALUE(LEFT(Sync!$U541,FIND(":",Sync!$U541)-1)),2)&amp;RIGHT("00"&amp;VALUE(MID(Sync!$U541,FIND(":",Sync!$U541)+1,2)),2),"0000"))))</f>
        <v/>
      </c>
    </row>
    <row r="546">
      <c r="A546">
        <f>IF(Sync!$T542="","",Sync!$T542)</f>
        <v/>
      </c>
      <c r="B546">
        <f>IF($A546="","",IF(ISNUMBER($A546),IF(AND($A546&gt;=10000101,$A546&lt;=99991231),INT($A546/10000),""),IFERROR(VALUE(TRIM(LEFT($A546,FIND("/",$A546)-1))),"")))</f>
        <v/>
      </c>
      <c r="C546">
        <f>IF(OR($A546="",$B546=""),"",IF(ISNUMBER($A546),INT(MOD($A546,10000)/100),IFERROR(VALUE(TRIM(LEFT(MID($A546,FIND("/",$A546)+1,20),FIND("/",MID($A546,FIND("/",$A546)+1,20))-1))),"")))</f>
        <v/>
      </c>
      <c r="D546">
        <f>IF(OR($A546="",$B546=""),"",IF(ISNUMBER($A546),MOD($A546,100),IFERROR(VALUE(TRIM(MID(MID($A546,FIND("/",$A546)+1,20),FIND("/",MID($A546,FIND("/",$A546)+1,20))+1,20))),"")))</f>
        <v/>
      </c>
      <c r="E546">
        <f>IF($A546="","",IF(OR($B546="",$C546="",$D546="",$B546&lt;1300,$B546&gt;1500,$C546&lt;1,$C546&gt;12,$D546&lt;1,$D546&gt;31),"نامعتبر",RIGHT("0000"&amp;$B546,4)&amp;"/"&amp;RIGHT("00"&amp;$C546,2)&amp;"/"&amp;RIGHT("00"&amp;$D546,2)))</f>
        <v/>
      </c>
      <c r="F546">
        <f>IF(OR($E546="",$E546="نامعتبر"),"",LEFT($E546,4)&amp;"/"&amp;MID($E546,6,2))</f>
        <v/>
      </c>
      <c r="G546">
        <f>IF(OR($E546="",$E546="نامعتبر",Sync!$X542=""),"",IF(AND(LEFT(UPPER(TRIM(Sync!$X542)),2)="SL",IFERROR(VLOOKUP(Sync!$W542,OpTbl,3,0),"")="فروش"),UPPER(TRIM(Sync!$X542)),""))</f>
        <v/>
      </c>
      <c r="H546">
        <f>IF($G546="","",IF(Sync!$W542="","",Sync!$W542))</f>
        <v/>
      </c>
      <c r="I546">
        <f>IF(OR($G546="",Sync!$Y542=""),"",Sync!$Y542)</f>
        <v/>
      </c>
      <c r="J546">
        <f>IF(OR($G546="",Sync!$Z542=""),"",Sync!$Z542)</f>
        <v/>
      </c>
      <c r="K546">
        <f>IF($G546="",0,IF(Sync!$AA542="",0,Sync!$AA542))</f>
        <v/>
      </c>
      <c r="L546">
        <f>IF($G546="",0,IF(Sync!$AB542="",0,Sync!$AB542))</f>
        <v/>
      </c>
      <c r="M546">
        <f>IF($G546="","",IF($H546="مرجوعی فروش",-1,1)*($K546-$L546*IFERROR(VLOOKUP("P01",ParamTbl,3,0),1.5)))</f>
        <v/>
      </c>
      <c r="N546">
        <f>IF($G546="",0,IF($H546="مرجوعی فروش",-1,1)*IF(Sync!$AC542="",0,Sync!$AC542))</f>
        <v/>
      </c>
      <c r="O546">
        <f>IF(OR($G546="",Sync!$V542=""),"",Sync!$V542)</f>
        <v/>
      </c>
      <c r="P546">
        <f>IF(OR($G546="",Sync!$AD542=""),"",Sync!$AD542)</f>
        <v/>
      </c>
      <c r="Q546">
        <f>IF($G546="","",IF(Sync!$U542="","0000",IF(AND(ISNUMBER(Sync!$U542),Sync!$U542&gt;=0,Sync!$U542&lt;1),RIGHT("00"&amp;HOUR(Sync!$U542),2)&amp;RIGHT("00"&amp;MINUTE(Sync!$U542),2),IFERROR(RIGHT("00"&amp;VALUE(LEFT(Sync!$U542,FIND(":",Sync!$U542)-1)),2)&amp;RIGHT("00"&amp;VALUE(MID(Sync!$U542,FIND(":",Sync!$U542)+1,2)),2),"0000"))))</f>
        <v/>
      </c>
    </row>
    <row r="547">
      <c r="A547">
        <f>IF(Sync!$T543="","",Sync!$T543)</f>
        <v/>
      </c>
      <c r="B547">
        <f>IF($A547="","",IF(ISNUMBER($A547),IF(AND($A547&gt;=10000101,$A547&lt;=99991231),INT($A547/10000),""),IFERROR(VALUE(TRIM(LEFT($A547,FIND("/",$A547)-1))),"")))</f>
        <v/>
      </c>
      <c r="C547">
        <f>IF(OR($A547="",$B547=""),"",IF(ISNUMBER($A547),INT(MOD($A547,10000)/100),IFERROR(VALUE(TRIM(LEFT(MID($A547,FIND("/",$A547)+1,20),FIND("/",MID($A547,FIND("/",$A547)+1,20))-1))),"")))</f>
        <v/>
      </c>
      <c r="D547">
        <f>IF(OR($A547="",$B547=""),"",IF(ISNUMBER($A547),MOD($A547,100),IFERROR(VALUE(TRIM(MID(MID($A547,FIND("/",$A547)+1,20),FIND("/",MID($A547,FIND("/",$A547)+1,20))+1,20))),"")))</f>
        <v/>
      </c>
      <c r="E547">
        <f>IF($A547="","",IF(OR($B547="",$C547="",$D547="",$B547&lt;1300,$B547&gt;1500,$C547&lt;1,$C547&gt;12,$D547&lt;1,$D547&gt;31),"نامعتبر",RIGHT("0000"&amp;$B547,4)&amp;"/"&amp;RIGHT("00"&amp;$C547,2)&amp;"/"&amp;RIGHT("00"&amp;$D547,2)))</f>
        <v/>
      </c>
      <c r="F547">
        <f>IF(OR($E547="",$E547="نامعتبر"),"",LEFT($E547,4)&amp;"/"&amp;MID($E547,6,2))</f>
        <v/>
      </c>
      <c r="G547">
        <f>IF(OR($E547="",$E547="نامعتبر",Sync!$X543=""),"",IF(AND(LEFT(UPPER(TRIM(Sync!$X543)),2)="SL",IFERROR(VLOOKUP(Sync!$W543,OpTbl,3,0),"")="فروش"),UPPER(TRIM(Sync!$X543)),""))</f>
        <v/>
      </c>
      <c r="H547">
        <f>IF($G547="","",IF(Sync!$W543="","",Sync!$W543))</f>
        <v/>
      </c>
      <c r="I547">
        <f>IF(OR($G547="",Sync!$Y543=""),"",Sync!$Y543)</f>
        <v/>
      </c>
      <c r="J547">
        <f>IF(OR($G547="",Sync!$Z543=""),"",Sync!$Z543)</f>
        <v/>
      </c>
      <c r="K547">
        <f>IF($G547="",0,IF(Sync!$AA543="",0,Sync!$AA543))</f>
        <v/>
      </c>
      <c r="L547">
        <f>IF($G547="",0,IF(Sync!$AB543="",0,Sync!$AB543))</f>
        <v/>
      </c>
      <c r="M547">
        <f>IF($G547="","",IF($H547="مرجوعی فروش",-1,1)*($K547-$L547*IFERROR(VLOOKUP("P01",ParamTbl,3,0),1.5)))</f>
        <v/>
      </c>
      <c r="N547">
        <f>IF($G547="",0,IF($H547="مرجوعی فروش",-1,1)*IF(Sync!$AC543="",0,Sync!$AC543))</f>
        <v/>
      </c>
      <c r="O547">
        <f>IF(OR($G547="",Sync!$V543=""),"",Sync!$V543)</f>
        <v/>
      </c>
      <c r="P547">
        <f>IF(OR($G547="",Sync!$AD543=""),"",Sync!$AD543)</f>
        <v/>
      </c>
      <c r="Q547">
        <f>IF($G547="","",IF(Sync!$U543="","0000",IF(AND(ISNUMBER(Sync!$U543),Sync!$U543&gt;=0,Sync!$U543&lt;1),RIGHT("00"&amp;HOUR(Sync!$U543),2)&amp;RIGHT("00"&amp;MINUTE(Sync!$U543),2),IFERROR(RIGHT("00"&amp;VALUE(LEFT(Sync!$U543,FIND(":",Sync!$U543)-1)),2)&amp;RIGHT("00"&amp;VALUE(MID(Sync!$U543,FIND(":",Sync!$U543)+1,2)),2),"0000"))))</f>
        <v/>
      </c>
    </row>
    <row r="548">
      <c r="A548">
        <f>IF(Sync!$T544="","",Sync!$T544)</f>
        <v/>
      </c>
      <c r="B548">
        <f>IF($A548="","",IF(ISNUMBER($A548),IF(AND($A548&gt;=10000101,$A548&lt;=99991231),INT($A548/10000),""),IFERROR(VALUE(TRIM(LEFT($A548,FIND("/",$A548)-1))),"")))</f>
        <v/>
      </c>
      <c r="C548">
        <f>IF(OR($A548="",$B548=""),"",IF(ISNUMBER($A548),INT(MOD($A548,10000)/100),IFERROR(VALUE(TRIM(LEFT(MID($A548,FIND("/",$A548)+1,20),FIND("/",MID($A548,FIND("/",$A548)+1,20))-1))),"")))</f>
        <v/>
      </c>
      <c r="D548">
        <f>IF(OR($A548="",$B548=""),"",IF(ISNUMBER($A548),MOD($A548,100),IFERROR(VALUE(TRIM(MID(MID($A548,FIND("/",$A548)+1,20),FIND("/",MID($A548,FIND("/",$A548)+1,20))+1,20))),"")))</f>
        <v/>
      </c>
      <c r="E548">
        <f>IF($A548="","",IF(OR($B548="",$C548="",$D548="",$B548&lt;1300,$B548&gt;1500,$C548&lt;1,$C548&gt;12,$D548&lt;1,$D548&gt;31),"نامعتبر",RIGHT("0000"&amp;$B548,4)&amp;"/"&amp;RIGHT("00"&amp;$C548,2)&amp;"/"&amp;RIGHT("00"&amp;$D548,2)))</f>
        <v/>
      </c>
      <c r="F548">
        <f>IF(OR($E548="",$E548="نامعتبر"),"",LEFT($E548,4)&amp;"/"&amp;MID($E548,6,2))</f>
        <v/>
      </c>
      <c r="G548">
        <f>IF(OR($E548="",$E548="نامعتبر",Sync!$X544=""),"",IF(AND(LEFT(UPPER(TRIM(Sync!$X544)),2)="SL",IFERROR(VLOOKUP(Sync!$W544,OpTbl,3,0),"")="فروش"),UPPER(TRIM(Sync!$X544)),""))</f>
        <v/>
      </c>
      <c r="H548">
        <f>IF($G548="","",IF(Sync!$W544="","",Sync!$W544))</f>
        <v/>
      </c>
      <c r="I548">
        <f>IF(OR($G548="",Sync!$Y544=""),"",Sync!$Y544)</f>
        <v/>
      </c>
      <c r="J548">
        <f>IF(OR($G548="",Sync!$Z544=""),"",Sync!$Z544)</f>
        <v/>
      </c>
      <c r="K548">
        <f>IF($G548="",0,IF(Sync!$AA544="",0,Sync!$AA544))</f>
        <v/>
      </c>
      <c r="L548">
        <f>IF($G548="",0,IF(Sync!$AB544="",0,Sync!$AB544))</f>
        <v/>
      </c>
      <c r="M548">
        <f>IF($G548="","",IF($H548="مرجوعی فروش",-1,1)*($K548-$L548*IFERROR(VLOOKUP("P01",ParamTbl,3,0),1.5)))</f>
        <v/>
      </c>
      <c r="N548">
        <f>IF($G548="",0,IF($H548="مرجوعی فروش",-1,1)*IF(Sync!$AC544="",0,Sync!$AC544))</f>
        <v/>
      </c>
      <c r="O548">
        <f>IF(OR($G548="",Sync!$V544=""),"",Sync!$V544)</f>
        <v/>
      </c>
      <c r="P548">
        <f>IF(OR($G548="",Sync!$AD544=""),"",Sync!$AD544)</f>
        <v/>
      </c>
      <c r="Q548">
        <f>IF($G548="","",IF(Sync!$U544="","0000",IF(AND(ISNUMBER(Sync!$U544),Sync!$U544&gt;=0,Sync!$U544&lt;1),RIGHT("00"&amp;HOUR(Sync!$U544),2)&amp;RIGHT("00"&amp;MINUTE(Sync!$U544),2),IFERROR(RIGHT("00"&amp;VALUE(LEFT(Sync!$U544,FIND(":",Sync!$U544)-1)),2)&amp;RIGHT("00"&amp;VALUE(MID(Sync!$U544,FIND(":",Sync!$U544)+1,2)),2),"0000"))))</f>
        <v/>
      </c>
    </row>
    <row r="549">
      <c r="A549">
        <f>IF(Sync!$T545="","",Sync!$T545)</f>
        <v/>
      </c>
      <c r="B549">
        <f>IF($A549="","",IF(ISNUMBER($A549),IF(AND($A549&gt;=10000101,$A549&lt;=99991231),INT($A549/10000),""),IFERROR(VALUE(TRIM(LEFT($A549,FIND("/",$A549)-1))),"")))</f>
        <v/>
      </c>
      <c r="C549">
        <f>IF(OR($A549="",$B549=""),"",IF(ISNUMBER($A549),INT(MOD($A549,10000)/100),IFERROR(VALUE(TRIM(LEFT(MID($A549,FIND("/",$A549)+1,20),FIND("/",MID($A549,FIND("/",$A549)+1,20))-1))),"")))</f>
        <v/>
      </c>
      <c r="D549">
        <f>IF(OR($A549="",$B549=""),"",IF(ISNUMBER($A549),MOD($A549,100),IFERROR(VALUE(TRIM(MID(MID($A549,FIND("/",$A549)+1,20),FIND("/",MID($A549,FIND("/",$A549)+1,20))+1,20))),"")))</f>
        <v/>
      </c>
      <c r="E549">
        <f>IF($A549="","",IF(OR($B549="",$C549="",$D549="",$B549&lt;1300,$B549&gt;1500,$C549&lt;1,$C549&gt;12,$D549&lt;1,$D549&gt;31),"نامعتبر",RIGHT("0000"&amp;$B549,4)&amp;"/"&amp;RIGHT("00"&amp;$C549,2)&amp;"/"&amp;RIGHT("00"&amp;$D549,2)))</f>
        <v/>
      </c>
      <c r="F549">
        <f>IF(OR($E549="",$E549="نامعتبر"),"",LEFT($E549,4)&amp;"/"&amp;MID($E549,6,2))</f>
        <v/>
      </c>
      <c r="G549">
        <f>IF(OR($E549="",$E549="نامعتبر",Sync!$X545=""),"",IF(AND(LEFT(UPPER(TRIM(Sync!$X545)),2)="SL",IFERROR(VLOOKUP(Sync!$W545,OpTbl,3,0),"")="فروش"),UPPER(TRIM(Sync!$X545)),""))</f>
        <v/>
      </c>
      <c r="H549">
        <f>IF($G549="","",IF(Sync!$W545="","",Sync!$W545))</f>
        <v/>
      </c>
      <c r="I549">
        <f>IF(OR($G549="",Sync!$Y545=""),"",Sync!$Y545)</f>
        <v/>
      </c>
      <c r="J549">
        <f>IF(OR($G549="",Sync!$Z545=""),"",Sync!$Z545)</f>
        <v/>
      </c>
      <c r="K549">
        <f>IF($G549="",0,IF(Sync!$AA545="",0,Sync!$AA545))</f>
        <v/>
      </c>
      <c r="L549">
        <f>IF($G549="",0,IF(Sync!$AB545="",0,Sync!$AB545))</f>
        <v/>
      </c>
      <c r="M549">
        <f>IF($G549="","",IF($H549="مرجوعی فروش",-1,1)*($K549-$L549*IFERROR(VLOOKUP("P01",ParamTbl,3,0),1.5)))</f>
        <v/>
      </c>
      <c r="N549">
        <f>IF($G549="",0,IF($H549="مرجوعی فروش",-1,1)*IF(Sync!$AC545="",0,Sync!$AC545))</f>
        <v/>
      </c>
      <c r="O549">
        <f>IF(OR($G549="",Sync!$V545=""),"",Sync!$V545)</f>
        <v/>
      </c>
      <c r="P549">
        <f>IF(OR($G549="",Sync!$AD545=""),"",Sync!$AD545)</f>
        <v/>
      </c>
      <c r="Q549">
        <f>IF($G549="","",IF(Sync!$U545="","0000",IF(AND(ISNUMBER(Sync!$U545),Sync!$U545&gt;=0,Sync!$U545&lt;1),RIGHT("00"&amp;HOUR(Sync!$U545),2)&amp;RIGHT("00"&amp;MINUTE(Sync!$U545),2),IFERROR(RIGHT("00"&amp;VALUE(LEFT(Sync!$U545,FIND(":",Sync!$U545)-1)),2)&amp;RIGHT("00"&amp;VALUE(MID(Sync!$U545,FIND(":",Sync!$U545)+1,2)),2),"0000"))))</f>
        <v/>
      </c>
    </row>
    <row r="550">
      <c r="A550">
        <f>IF(Sync!$T546="","",Sync!$T546)</f>
        <v/>
      </c>
      <c r="B550">
        <f>IF($A550="","",IF(ISNUMBER($A550),IF(AND($A550&gt;=10000101,$A550&lt;=99991231),INT($A550/10000),""),IFERROR(VALUE(TRIM(LEFT($A550,FIND("/",$A550)-1))),"")))</f>
        <v/>
      </c>
      <c r="C550">
        <f>IF(OR($A550="",$B550=""),"",IF(ISNUMBER($A550),INT(MOD($A550,10000)/100),IFERROR(VALUE(TRIM(LEFT(MID($A550,FIND("/",$A550)+1,20),FIND("/",MID($A550,FIND("/",$A550)+1,20))-1))),"")))</f>
        <v/>
      </c>
      <c r="D550">
        <f>IF(OR($A550="",$B550=""),"",IF(ISNUMBER($A550),MOD($A550,100),IFERROR(VALUE(TRIM(MID(MID($A550,FIND("/",$A550)+1,20),FIND("/",MID($A550,FIND("/",$A550)+1,20))+1,20))),"")))</f>
        <v/>
      </c>
      <c r="E550">
        <f>IF($A550="","",IF(OR($B550="",$C550="",$D550="",$B550&lt;1300,$B550&gt;1500,$C550&lt;1,$C550&gt;12,$D550&lt;1,$D550&gt;31),"نامعتبر",RIGHT("0000"&amp;$B550,4)&amp;"/"&amp;RIGHT("00"&amp;$C550,2)&amp;"/"&amp;RIGHT("00"&amp;$D550,2)))</f>
        <v/>
      </c>
      <c r="F550">
        <f>IF(OR($E550="",$E550="نامعتبر"),"",LEFT($E550,4)&amp;"/"&amp;MID($E550,6,2))</f>
        <v/>
      </c>
      <c r="G550">
        <f>IF(OR($E550="",$E550="نامعتبر",Sync!$X546=""),"",IF(AND(LEFT(UPPER(TRIM(Sync!$X546)),2)="SL",IFERROR(VLOOKUP(Sync!$W546,OpTbl,3,0),"")="فروش"),UPPER(TRIM(Sync!$X546)),""))</f>
        <v/>
      </c>
      <c r="H550">
        <f>IF($G550="","",IF(Sync!$W546="","",Sync!$W546))</f>
        <v/>
      </c>
      <c r="I550">
        <f>IF(OR($G550="",Sync!$Y546=""),"",Sync!$Y546)</f>
        <v/>
      </c>
      <c r="J550">
        <f>IF(OR($G550="",Sync!$Z546=""),"",Sync!$Z546)</f>
        <v/>
      </c>
      <c r="K550">
        <f>IF($G550="",0,IF(Sync!$AA546="",0,Sync!$AA546))</f>
        <v/>
      </c>
      <c r="L550">
        <f>IF($G550="",0,IF(Sync!$AB546="",0,Sync!$AB546))</f>
        <v/>
      </c>
      <c r="M550">
        <f>IF($G550="","",IF($H550="مرجوعی فروش",-1,1)*($K550-$L550*IFERROR(VLOOKUP("P01",ParamTbl,3,0),1.5)))</f>
        <v/>
      </c>
      <c r="N550">
        <f>IF($G550="",0,IF($H550="مرجوعی فروش",-1,1)*IF(Sync!$AC546="",0,Sync!$AC546))</f>
        <v/>
      </c>
      <c r="O550">
        <f>IF(OR($G550="",Sync!$V546=""),"",Sync!$V546)</f>
        <v/>
      </c>
      <c r="P550">
        <f>IF(OR($G550="",Sync!$AD546=""),"",Sync!$AD546)</f>
        <v/>
      </c>
      <c r="Q550">
        <f>IF($G550="","",IF(Sync!$U546="","0000",IF(AND(ISNUMBER(Sync!$U546),Sync!$U546&gt;=0,Sync!$U546&lt;1),RIGHT("00"&amp;HOUR(Sync!$U546),2)&amp;RIGHT("00"&amp;MINUTE(Sync!$U546),2),IFERROR(RIGHT("00"&amp;VALUE(LEFT(Sync!$U546,FIND(":",Sync!$U546)-1)),2)&amp;RIGHT("00"&amp;VALUE(MID(Sync!$U546,FIND(":",Sync!$U546)+1,2)),2),"0000"))))</f>
        <v/>
      </c>
    </row>
    <row r="551">
      <c r="A551">
        <f>IF(Sync!$T547="","",Sync!$T547)</f>
        <v/>
      </c>
      <c r="B551">
        <f>IF($A551="","",IF(ISNUMBER($A551),IF(AND($A551&gt;=10000101,$A551&lt;=99991231),INT($A551/10000),""),IFERROR(VALUE(TRIM(LEFT($A551,FIND("/",$A551)-1))),"")))</f>
        <v/>
      </c>
      <c r="C551">
        <f>IF(OR($A551="",$B551=""),"",IF(ISNUMBER($A551),INT(MOD($A551,10000)/100),IFERROR(VALUE(TRIM(LEFT(MID($A551,FIND("/",$A551)+1,20),FIND("/",MID($A551,FIND("/",$A551)+1,20))-1))),"")))</f>
        <v/>
      </c>
      <c r="D551">
        <f>IF(OR($A551="",$B551=""),"",IF(ISNUMBER($A551),MOD($A551,100),IFERROR(VALUE(TRIM(MID(MID($A551,FIND("/",$A551)+1,20),FIND("/",MID($A551,FIND("/",$A551)+1,20))+1,20))),"")))</f>
        <v/>
      </c>
      <c r="E551">
        <f>IF($A551="","",IF(OR($B551="",$C551="",$D551="",$B551&lt;1300,$B551&gt;1500,$C551&lt;1,$C551&gt;12,$D551&lt;1,$D551&gt;31),"نامعتبر",RIGHT("0000"&amp;$B551,4)&amp;"/"&amp;RIGHT("00"&amp;$C551,2)&amp;"/"&amp;RIGHT("00"&amp;$D551,2)))</f>
        <v/>
      </c>
      <c r="F551">
        <f>IF(OR($E551="",$E551="نامعتبر"),"",LEFT($E551,4)&amp;"/"&amp;MID($E551,6,2))</f>
        <v/>
      </c>
      <c r="G551">
        <f>IF(OR($E551="",$E551="نامعتبر",Sync!$X547=""),"",IF(AND(LEFT(UPPER(TRIM(Sync!$X547)),2)="SL",IFERROR(VLOOKUP(Sync!$W547,OpTbl,3,0),"")="فروش"),UPPER(TRIM(Sync!$X547)),""))</f>
        <v/>
      </c>
      <c r="H551">
        <f>IF($G551="","",IF(Sync!$W547="","",Sync!$W547))</f>
        <v/>
      </c>
      <c r="I551">
        <f>IF(OR($G551="",Sync!$Y547=""),"",Sync!$Y547)</f>
        <v/>
      </c>
      <c r="J551">
        <f>IF(OR($G551="",Sync!$Z547=""),"",Sync!$Z547)</f>
        <v/>
      </c>
      <c r="K551">
        <f>IF($G551="",0,IF(Sync!$AA547="",0,Sync!$AA547))</f>
        <v/>
      </c>
      <c r="L551">
        <f>IF($G551="",0,IF(Sync!$AB547="",0,Sync!$AB547))</f>
        <v/>
      </c>
      <c r="M551">
        <f>IF($G551="","",IF($H551="مرجوعی فروش",-1,1)*($K551-$L551*IFERROR(VLOOKUP("P01",ParamTbl,3,0),1.5)))</f>
        <v/>
      </c>
      <c r="N551">
        <f>IF($G551="",0,IF($H551="مرجوعی فروش",-1,1)*IF(Sync!$AC547="",0,Sync!$AC547))</f>
        <v/>
      </c>
      <c r="O551">
        <f>IF(OR($G551="",Sync!$V547=""),"",Sync!$V547)</f>
        <v/>
      </c>
      <c r="P551">
        <f>IF(OR($G551="",Sync!$AD547=""),"",Sync!$AD547)</f>
        <v/>
      </c>
      <c r="Q551">
        <f>IF($G551="","",IF(Sync!$U547="","0000",IF(AND(ISNUMBER(Sync!$U547),Sync!$U547&gt;=0,Sync!$U547&lt;1),RIGHT("00"&amp;HOUR(Sync!$U547),2)&amp;RIGHT("00"&amp;MINUTE(Sync!$U547),2),IFERROR(RIGHT("00"&amp;VALUE(LEFT(Sync!$U547,FIND(":",Sync!$U547)-1)),2)&amp;RIGHT("00"&amp;VALUE(MID(Sync!$U547,FIND(":",Sync!$U547)+1,2)),2),"0000"))))</f>
        <v/>
      </c>
    </row>
    <row r="552">
      <c r="A552">
        <f>IF(Sync!$T548="","",Sync!$T548)</f>
        <v/>
      </c>
      <c r="B552">
        <f>IF($A552="","",IF(ISNUMBER($A552),IF(AND($A552&gt;=10000101,$A552&lt;=99991231),INT($A552/10000),""),IFERROR(VALUE(TRIM(LEFT($A552,FIND("/",$A552)-1))),"")))</f>
        <v/>
      </c>
      <c r="C552">
        <f>IF(OR($A552="",$B552=""),"",IF(ISNUMBER($A552),INT(MOD($A552,10000)/100),IFERROR(VALUE(TRIM(LEFT(MID($A552,FIND("/",$A552)+1,20),FIND("/",MID($A552,FIND("/",$A552)+1,20))-1))),"")))</f>
        <v/>
      </c>
      <c r="D552">
        <f>IF(OR($A552="",$B552=""),"",IF(ISNUMBER($A552),MOD($A552,100),IFERROR(VALUE(TRIM(MID(MID($A552,FIND("/",$A552)+1,20),FIND("/",MID($A552,FIND("/",$A552)+1,20))+1,20))),"")))</f>
        <v/>
      </c>
      <c r="E552">
        <f>IF($A552="","",IF(OR($B552="",$C552="",$D552="",$B552&lt;1300,$B552&gt;1500,$C552&lt;1,$C552&gt;12,$D552&lt;1,$D552&gt;31),"نامعتبر",RIGHT("0000"&amp;$B552,4)&amp;"/"&amp;RIGHT("00"&amp;$C552,2)&amp;"/"&amp;RIGHT("00"&amp;$D552,2)))</f>
        <v/>
      </c>
      <c r="F552">
        <f>IF(OR($E552="",$E552="نامعتبر"),"",LEFT($E552,4)&amp;"/"&amp;MID($E552,6,2))</f>
        <v/>
      </c>
      <c r="G552">
        <f>IF(OR($E552="",$E552="نامعتبر",Sync!$X548=""),"",IF(AND(LEFT(UPPER(TRIM(Sync!$X548)),2)="SL",IFERROR(VLOOKUP(Sync!$W548,OpTbl,3,0),"")="فروش"),UPPER(TRIM(Sync!$X548)),""))</f>
        <v/>
      </c>
      <c r="H552">
        <f>IF($G552="","",IF(Sync!$W548="","",Sync!$W548))</f>
        <v/>
      </c>
      <c r="I552">
        <f>IF(OR($G552="",Sync!$Y548=""),"",Sync!$Y548)</f>
        <v/>
      </c>
      <c r="J552">
        <f>IF(OR($G552="",Sync!$Z548=""),"",Sync!$Z548)</f>
        <v/>
      </c>
      <c r="K552">
        <f>IF($G552="",0,IF(Sync!$AA548="",0,Sync!$AA548))</f>
        <v/>
      </c>
      <c r="L552">
        <f>IF($G552="",0,IF(Sync!$AB548="",0,Sync!$AB548))</f>
        <v/>
      </c>
      <c r="M552">
        <f>IF($G552="","",IF($H552="مرجوعی فروش",-1,1)*($K552-$L552*IFERROR(VLOOKUP("P01",ParamTbl,3,0),1.5)))</f>
        <v/>
      </c>
      <c r="N552">
        <f>IF($G552="",0,IF($H552="مرجوعی فروش",-1,1)*IF(Sync!$AC548="",0,Sync!$AC548))</f>
        <v/>
      </c>
      <c r="O552">
        <f>IF(OR($G552="",Sync!$V548=""),"",Sync!$V548)</f>
        <v/>
      </c>
      <c r="P552">
        <f>IF(OR($G552="",Sync!$AD548=""),"",Sync!$AD548)</f>
        <v/>
      </c>
      <c r="Q552">
        <f>IF($G552="","",IF(Sync!$U548="","0000",IF(AND(ISNUMBER(Sync!$U548),Sync!$U548&gt;=0,Sync!$U548&lt;1),RIGHT("00"&amp;HOUR(Sync!$U548),2)&amp;RIGHT("00"&amp;MINUTE(Sync!$U548),2),IFERROR(RIGHT("00"&amp;VALUE(LEFT(Sync!$U548,FIND(":",Sync!$U548)-1)),2)&amp;RIGHT("00"&amp;VALUE(MID(Sync!$U548,FIND(":",Sync!$U548)+1,2)),2),"0000"))))</f>
        <v/>
      </c>
    </row>
    <row r="553">
      <c r="A553">
        <f>IF(Sync!$T549="","",Sync!$T549)</f>
        <v/>
      </c>
      <c r="B553">
        <f>IF($A553="","",IF(ISNUMBER($A553),IF(AND($A553&gt;=10000101,$A553&lt;=99991231),INT($A553/10000),""),IFERROR(VALUE(TRIM(LEFT($A553,FIND("/",$A553)-1))),"")))</f>
        <v/>
      </c>
      <c r="C553">
        <f>IF(OR($A553="",$B553=""),"",IF(ISNUMBER($A553),INT(MOD($A553,10000)/100),IFERROR(VALUE(TRIM(LEFT(MID($A553,FIND("/",$A553)+1,20),FIND("/",MID($A553,FIND("/",$A553)+1,20))-1))),"")))</f>
        <v/>
      </c>
      <c r="D553">
        <f>IF(OR($A553="",$B553=""),"",IF(ISNUMBER($A553),MOD($A553,100),IFERROR(VALUE(TRIM(MID(MID($A553,FIND("/",$A553)+1,20),FIND("/",MID($A553,FIND("/",$A553)+1,20))+1,20))),"")))</f>
        <v/>
      </c>
      <c r="E553">
        <f>IF($A553="","",IF(OR($B553="",$C553="",$D553="",$B553&lt;1300,$B553&gt;1500,$C553&lt;1,$C553&gt;12,$D553&lt;1,$D553&gt;31),"نامعتبر",RIGHT("0000"&amp;$B553,4)&amp;"/"&amp;RIGHT("00"&amp;$C553,2)&amp;"/"&amp;RIGHT("00"&amp;$D553,2)))</f>
        <v/>
      </c>
      <c r="F553">
        <f>IF(OR($E553="",$E553="نامعتبر"),"",LEFT($E553,4)&amp;"/"&amp;MID($E553,6,2))</f>
        <v/>
      </c>
      <c r="G553">
        <f>IF(OR($E553="",$E553="نامعتبر",Sync!$X549=""),"",IF(AND(LEFT(UPPER(TRIM(Sync!$X549)),2)="SL",IFERROR(VLOOKUP(Sync!$W549,OpTbl,3,0),"")="فروش"),UPPER(TRIM(Sync!$X549)),""))</f>
        <v/>
      </c>
      <c r="H553">
        <f>IF($G553="","",IF(Sync!$W549="","",Sync!$W549))</f>
        <v/>
      </c>
      <c r="I553">
        <f>IF(OR($G553="",Sync!$Y549=""),"",Sync!$Y549)</f>
        <v/>
      </c>
      <c r="J553">
        <f>IF(OR($G553="",Sync!$Z549=""),"",Sync!$Z549)</f>
        <v/>
      </c>
      <c r="K553">
        <f>IF($G553="",0,IF(Sync!$AA549="",0,Sync!$AA549))</f>
        <v/>
      </c>
      <c r="L553">
        <f>IF($G553="",0,IF(Sync!$AB549="",0,Sync!$AB549))</f>
        <v/>
      </c>
      <c r="M553">
        <f>IF($G553="","",IF($H553="مرجوعی فروش",-1,1)*($K553-$L553*IFERROR(VLOOKUP("P01",ParamTbl,3,0),1.5)))</f>
        <v/>
      </c>
      <c r="N553">
        <f>IF($G553="",0,IF($H553="مرجوعی فروش",-1,1)*IF(Sync!$AC549="",0,Sync!$AC549))</f>
        <v/>
      </c>
      <c r="O553">
        <f>IF(OR($G553="",Sync!$V549=""),"",Sync!$V549)</f>
        <v/>
      </c>
      <c r="P553">
        <f>IF(OR($G553="",Sync!$AD549=""),"",Sync!$AD549)</f>
        <v/>
      </c>
      <c r="Q553">
        <f>IF($G553="","",IF(Sync!$U549="","0000",IF(AND(ISNUMBER(Sync!$U549),Sync!$U549&gt;=0,Sync!$U549&lt;1),RIGHT("00"&amp;HOUR(Sync!$U549),2)&amp;RIGHT("00"&amp;MINUTE(Sync!$U549),2),IFERROR(RIGHT("00"&amp;VALUE(LEFT(Sync!$U549,FIND(":",Sync!$U549)-1)),2)&amp;RIGHT("00"&amp;VALUE(MID(Sync!$U549,FIND(":",Sync!$U549)+1,2)),2),"0000"))))</f>
        <v/>
      </c>
    </row>
    <row r="554">
      <c r="A554">
        <f>IF(Sync!$T550="","",Sync!$T550)</f>
        <v/>
      </c>
      <c r="B554">
        <f>IF($A554="","",IF(ISNUMBER($A554),IF(AND($A554&gt;=10000101,$A554&lt;=99991231),INT($A554/10000),""),IFERROR(VALUE(TRIM(LEFT($A554,FIND("/",$A554)-1))),"")))</f>
        <v/>
      </c>
      <c r="C554">
        <f>IF(OR($A554="",$B554=""),"",IF(ISNUMBER($A554),INT(MOD($A554,10000)/100),IFERROR(VALUE(TRIM(LEFT(MID($A554,FIND("/",$A554)+1,20),FIND("/",MID($A554,FIND("/",$A554)+1,20))-1))),"")))</f>
        <v/>
      </c>
      <c r="D554">
        <f>IF(OR($A554="",$B554=""),"",IF(ISNUMBER($A554),MOD($A554,100),IFERROR(VALUE(TRIM(MID(MID($A554,FIND("/",$A554)+1,20),FIND("/",MID($A554,FIND("/",$A554)+1,20))+1,20))),"")))</f>
        <v/>
      </c>
      <c r="E554">
        <f>IF($A554="","",IF(OR($B554="",$C554="",$D554="",$B554&lt;1300,$B554&gt;1500,$C554&lt;1,$C554&gt;12,$D554&lt;1,$D554&gt;31),"نامعتبر",RIGHT("0000"&amp;$B554,4)&amp;"/"&amp;RIGHT("00"&amp;$C554,2)&amp;"/"&amp;RIGHT("00"&amp;$D554,2)))</f>
        <v/>
      </c>
      <c r="F554">
        <f>IF(OR($E554="",$E554="نامعتبر"),"",LEFT($E554,4)&amp;"/"&amp;MID($E554,6,2))</f>
        <v/>
      </c>
      <c r="G554">
        <f>IF(OR($E554="",$E554="نامعتبر",Sync!$X550=""),"",IF(AND(LEFT(UPPER(TRIM(Sync!$X550)),2)="SL",IFERROR(VLOOKUP(Sync!$W550,OpTbl,3,0),"")="فروش"),UPPER(TRIM(Sync!$X550)),""))</f>
        <v/>
      </c>
      <c r="H554">
        <f>IF($G554="","",IF(Sync!$W550="","",Sync!$W550))</f>
        <v/>
      </c>
      <c r="I554">
        <f>IF(OR($G554="",Sync!$Y550=""),"",Sync!$Y550)</f>
        <v/>
      </c>
      <c r="J554">
        <f>IF(OR($G554="",Sync!$Z550=""),"",Sync!$Z550)</f>
        <v/>
      </c>
      <c r="K554">
        <f>IF($G554="",0,IF(Sync!$AA550="",0,Sync!$AA550))</f>
        <v/>
      </c>
      <c r="L554">
        <f>IF($G554="",0,IF(Sync!$AB550="",0,Sync!$AB550))</f>
        <v/>
      </c>
      <c r="M554">
        <f>IF($G554="","",IF($H554="مرجوعی فروش",-1,1)*($K554-$L554*IFERROR(VLOOKUP("P01",ParamTbl,3,0),1.5)))</f>
        <v/>
      </c>
      <c r="N554">
        <f>IF($G554="",0,IF($H554="مرجوعی فروش",-1,1)*IF(Sync!$AC550="",0,Sync!$AC550))</f>
        <v/>
      </c>
      <c r="O554">
        <f>IF(OR($G554="",Sync!$V550=""),"",Sync!$V550)</f>
        <v/>
      </c>
      <c r="P554">
        <f>IF(OR($G554="",Sync!$AD550=""),"",Sync!$AD550)</f>
        <v/>
      </c>
      <c r="Q554">
        <f>IF($G554="","",IF(Sync!$U550="","0000",IF(AND(ISNUMBER(Sync!$U550),Sync!$U550&gt;=0,Sync!$U550&lt;1),RIGHT("00"&amp;HOUR(Sync!$U550),2)&amp;RIGHT("00"&amp;MINUTE(Sync!$U550),2),IFERROR(RIGHT("00"&amp;VALUE(LEFT(Sync!$U550,FIND(":",Sync!$U550)-1)),2)&amp;RIGHT("00"&amp;VALUE(MID(Sync!$U550,FIND(":",Sync!$U550)+1,2)),2),"0000"))))</f>
        <v/>
      </c>
    </row>
    <row r="555">
      <c r="A555">
        <f>IF(Sync!$T551="","",Sync!$T551)</f>
        <v/>
      </c>
      <c r="B555">
        <f>IF($A555="","",IF(ISNUMBER($A555),IF(AND($A555&gt;=10000101,$A555&lt;=99991231),INT($A555/10000),""),IFERROR(VALUE(TRIM(LEFT($A555,FIND("/",$A555)-1))),"")))</f>
        <v/>
      </c>
      <c r="C555">
        <f>IF(OR($A555="",$B555=""),"",IF(ISNUMBER($A555),INT(MOD($A555,10000)/100),IFERROR(VALUE(TRIM(LEFT(MID($A555,FIND("/",$A555)+1,20),FIND("/",MID($A555,FIND("/",$A555)+1,20))-1))),"")))</f>
        <v/>
      </c>
      <c r="D555">
        <f>IF(OR($A555="",$B555=""),"",IF(ISNUMBER($A555),MOD($A555,100),IFERROR(VALUE(TRIM(MID(MID($A555,FIND("/",$A555)+1,20),FIND("/",MID($A555,FIND("/",$A555)+1,20))+1,20))),"")))</f>
        <v/>
      </c>
      <c r="E555">
        <f>IF($A555="","",IF(OR($B555="",$C555="",$D555="",$B555&lt;1300,$B555&gt;1500,$C555&lt;1,$C555&gt;12,$D555&lt;1,$D555&gt;31),"نامعتبر",RIGHT("0000"&amp;$B555,4)&amp;"/"&amp;RIGHT("00"&amp;$C555,2)&amp;"/"&amp;RIGHT("00"&amp;$D555,2)))</f>
        <v/>
      </c>
      <c r="F555">
        <f>IF(OR($E555="",$E555="نامعتبر"),"",LEFT($E555,4)&amp;"/"&amp;MID($E555,6,2))</f>
        <v/>
      </c>
      <c r="G555">
        <f>IF(OR($E555="",$E555="نامعتبر",Sync!$X551=""),"",IF(AND(LEFT(UPPER(TRIM(Sync!$X551)),2)="SL",IFERROR(VLOOKUP(Sync!$W551,OpTbl,3,0),"")="فروش"),UPPER(TRIM(Sync!$X551)),""))</f>
        <v/>
      </c>
      <c r="H555">
        <f>IF($G555="","",IF(Sync!$W551="","",Sync!$W551))</f>
        <v/>
      </c>
      <c r="I555">
        <f>IF(OR($G555="",Sync!$Y551=""),"",Sync!$Y551)</f>
        <v/>
      </c>
      <c r="J555">
        <f>IF(OR($G555="",Sync!$Z551=""),"",Sync!$Z551)</f>
        <v/>
      </c>
      <c r="K555">
        <f>IF($G555="",0,IF(Sync!$AA551="",0,Sync!$AA551))</f>
        <v/>
      </c>
      <c r="L555">
        <f>IF($G555="",0,IF(Sync!$AB551="",0,Sync!$AB551))</f>
        <v/>
      </c>
      <c r="M555">
        <f>IF($G555="","",IF($H555="مرجوعی فروش",-1,1)*($K555-$L555*IFERROR(VLOOKUP("P01",ParamTbl,3,0),1.5)))</f>
        <v/>
      </c>
      <c r="N555">
        <f>IF($G555="",0,IF($H555="مرجوعی فروش",-1,1)*IF(Sync!$AC551="",0,Sync!$AC551))</f>
        <v/>
      </c>
      <c r="O555">
        <f>IF(OR($G555="",Sync!$V551=""),"",Sync!$V551)</f>
        <v/>
      </c>
      <c r="P555">
        <f>IF(OR($G555="",Sync!$AD551=""),"",Sync!$AD551)</f>
        <v/>
      </c>
      <c r="Q555">
        <f>IF($G555="","",IF(Sync!$U551="","0000",IF(AND(ISNUMBER(Sync!$U551),Sync!$U551&gt;=0,Sync!$U551&lt;1),RIGHT("00"&amp;HOUR(Sync!$U551),2)&amp;RIGHT("00"&amp;MINUTE(Sync!$U551),2),IFERROR(RIGHT("00"&amp;VALUE(LEFT(Sync!$U551,FIND(":",Sync!$U551)-1)),2)&amp;RIGHT("00"&amp;VALUE(MID(Sync!$U551,FIND(":",Sync!$U551)+1,2)),2),"0000"))))</f>
        <v/>
      </c>
    </row>
    <row r="556">
      <c r="A556">
        <f>IF(Sync!$T552="","",Sync!$T552)</f>
        <v/>
      </c>
      <c r="B556">
        <f>IF($A556="","",IF(ISNUMBER($A556),IF(AND($A556&gt;=10000101,$A556&lt;=99991231),INT($A556/10000),""),IFERROR(VALUE(TRIM(LEFT($A556,FIND("/",$A556)-1))),"")))</f>
        <v/>
      </c>
      <c r="C556">
        <f>IF(OR($A556="",$B556=""),"",IF(ISNUMBER($A556),INT(MOD($A556,10000)/100),IFERROR(VALUE(TRIM(LEFT(MID($A556,FIND("/",$A556)+1,20),FIND("/",MID($A556,FIND("/",$A556)+1,20))-1))),"")))</f>
        <v/>
      </c>
      <c r="D556">
        <f>IF(OR($A556="",$B556=""),"",IF(ISNUMBER($A556),MOD($A556,100),IFERROR(VALUE(TRIM(MID(MID($A556,FIND("/",$A556)+1,20),FIND("/",MID($A556,FIND("/",$A556)+1,20))+1,20))),"")))</f>
        <v/>
      </c>
      <c r="E556">
        <f>IF($A556="","",IF(OR($B556="",$C556="",$D556="",$B556&lt;1300,$B556&gt;1500,$C556&lt;1,$C556&gt;12,$D556&lt;1,$D556&gt;31),"نامعتبر",RIGHT("0000"&amp;$B556,4)&amp;"/"&amp;RIGHT("00"&amp;$C556,2)&amp;"/"&amp;RIGHT("00"&amp;$D556,2)))</f>
        <v/>
      </c>
      <c r="F556">
        <f>IF(OR($E556="",$E556="نامعتبر"),"",LEFT($E556,4)&amp;"/"&amp;MID($E556,6,2))</f>
        <v/>
      </c>
      <c r="G556">
        <f>IF(OR($E556="",$E556="نامعتبر",Sync!$X552=""),"",IF(AND(LEFT(UPPER(TRIM(Sync!$X552)),2)="SL",IFERROR(VLOOKUP(Sync!$W552,OpTbl,3,0),"")="فروش"),UPPER(TRIM(Sync!$X552)),""))</f>
        <v/>
      </c>
      <c r="H556">
        <f>IF($G556="","",IF(Sync!$W552="","",Sync!$W552))</f>
        <v/>
      </c>
      <c r="I556">
        <f>IF(OR($G556="",Sync!$Y552=""),"",Sync!$Y552)</f>
        <v/>
      </c>
      <c r="J556">
        <f>IF(OR($G556="",Sync!$Z552=""),"",Sync!$Z552)</f>
        <v/>
      </c>
      <c r="K556">
        <f>IF($G556="",0,IF(Sync!$AA552="",0,Sync!$AA552))</f>
        <v/>
      </c>
      <c r="L556">
        <f>IF($G556="",0,IF(Sync!$AB552="",0,Sync!$AB552))</f>
        <v/>
      </c>
      <c r="M556">
        <f>IF($G556="","",IF($H556="مرجوعی فروش",-1,1)*($K556-$L556*IFERROR(VLOOKUP("P01",ParamTbl,3,0),1.5)))</f>
        <v/>
      </c>
      <c r="N556">
        <f>IF($G556="",0,IF($H556="مرجوعی فروش",-1,1)*IF(Sync!$AC552="",0,Sync!$AC552))</f>
        <v/>
      </c>
      <c r="O556">
        <f>IF(OR($G556="",Sync!$V552=""),"",Sync!$V552)</f>
        <v/>
      </c>
      <c r="P556">
        <f>IF(OR($G556="",Sync!$AD552=""),"",Sync!$AD552)</f>
        <v/>
      </c>
      <c r="Q556">
        <f>IF($G556="","",IF(Sync!$U552="","0000",IF(AND(ISNUMBER(Sync!$U552),Sync!$U552&gt;=0,Sync!$U552&lt;1),RIGHT("00"&amp;HOUR(Sync!$U552),2)&amp;RIGHT("00"&amp;MINUTE(Sync!$U552),2),IFERROR(RIGHT("00"&amp;VALUE(LEFT(Sync!$U552,FIND(":",Sync!$U552)-1)),2)&amp;RIGHT("00"&amp;VALUE(MID(Sync!$U552,FIND(":",Sync!$U552)+1,2)),2),"0000"))))</f>
        <v/>
      </c>
    </row>
    <row r="557">
      <c r="A557">
        <f>IF(Sync!$T553="","",Sync!$T553)</f>
        <v/>
      </c>
      <c r="B557">
        <f>IF($A557="","",IF(ISNUMBER($A557),IF(AND($A557&gt;=10000101,$A557&lt;=99991231),INT($A557/10000),""),IFERROR(VALUE(TRIM(LEFT($A557,FIND("/",$A557)-1))),"")))</f>
        <v/>
      </c>
      <c r="C557">
        <f>IF(OR($A557="",$B557=""),"",IF(ISNUMBER($A557),INT(MOD($A557,10000)/100),IFERROR(VALUE(TRIM(LEFT(MID($A557,FIND("/",$A557)+1,20),FIND("/",MID($A557,FIND("/",$A557)+1,20))-1))),"")))</f>
        <v/>
      </c>
      <c r="D557">
        <f>IF(OR($A557="",$B557=""),"",IF(ISNUMBER($A557),MOD($A557,100),IFERROR(VALUE(TRIM(MID(MID($A557,FIND("/",$A557)+1,20),FIND("/",MID($A557,FIND("/",$A557)+1,20))+1,20))),"")))</f>
        <v/>
      </c>
      <c r="E557">
        <f>IF($A557="","",IF(OR($B557="",$C557="",$D557="",$B557&lt;1300,$B557&gt;1500,$C557&lt;1,$C557&gt;12,$D557&lt;1,$D557&gt;31),"نامعتبر",RIGHT("0000"&amp;$B557,4)&amp;"/"&amp;RIGHT("00"&amp;$C557,2)&amp;"/"&amp;RIGHT("00"&amp;$D557,2)))</f>
        <v/>
      </c>
      <c r="F557">
        <f>IF(OR($E557="",$E557="نامعتبر"),"",LEFT($E557,4)&amp;"/"&amp;MID($E557,6,2))</f>
        <v/>
      </c>
      <c r="G557">
        <f>IF(OR($E557="",$E557="نامعتبر",Sync!$X553=""),"",IF(AND(LEFT(UPPER(TRIM(Sync!$X553)),2)="SL",IFERROR(VLOOKUP(Sync!$W553,OpTbl,3,0),"")="فروش"),UPPER(TRIM(Sync!$X553)),""))</f>
        <v/>
      </c>
      <c r="H557">
        <f>IF($G557="","",IF(Sync!$W553="","",Sync!$W553))</f>
        <v/>
      </c>
      <c r="I557">
        <f>IF(OR($G557="",Sync!$Y553=""),"",Sync!$Y553)</f>
        <v/>
      </c>
      <c r="J557">
        <f>IF(OR($G557="",Sync!$Z553=""),"",Sync!$Z553)</f>
        <v/>
      </c>
      <c r="K557">
        <f>IF($G557="",0,IF(Sync!$AA553="",0,Sync!$AA553))</f>
        <v/>
      </c>
      <c r="L557">
        <f>IF($G557="",0,IF(Sync!$AB553="",0,Sync!$AB553))</f>
        <v/>
      </c>
      <c r="M557">
        <f>IF($G557="","",IF($H557="مرجوعی فروش",-1,1)*($K557-$L557*IFERROR(VLOOKUP("P01",ParamTbl,3,0),1.5)))</f>
        <v/>
      </c>
      <c r="N557">
        <f>IF($G557="",0,IF($H557="مرجوعی فروش",-1,1)*IF(Sync!$AC553="",0,Sync!$AC553))</f>
        <v/>
      </c>
      <c r="O557">
        <f>IF(OR($G557="",Sync!$V553=""),"",Sync!$V553)</f>
        <v/>
      </c>
      <c r="P557">
        <f>IF(OR($G557="",Sync!$AD553=""),"",Sync!$AD553)</f>
        <v/>
      </c>
      <c r="Q557">
        <f>IF($G557="","",IF(Sync!$U553="","0000",IF(AND(ISNUMBER(Sync!$U553),Sync!$U553&gt;=0,Sync!$U553&lt;1),RIGHT("00"&amp;HOUR(Sync!$U553),2)&amp;RIGHT("00"&amp;MINUTE(Sync!$U553),2),IFERROR(RIGHT("00"&amp;VALUE(LEFT(Sync!$U553,FIND(":",Sync!$U553)-1)),2)&amp;RIGHT("00"&amp;VALUE(MID(Sync!$U553,FIND(":",Sync!$U553)+1,2)),2),"0000"))))</f>
        <v/>
      </c>
    </row>
    <row r="558">
      <c r="A558">
        <f>IF(Sync!$T554="","",Sync!$T554)</f>
        <v/>
      </c>
      <c r="B558">
        <f>IF($A558="","",IF(ISNUMBER($A558),IF(AND($A558&gt;=10000101,$A558&lt;=99991231),INT($A558/10000),""),IFERROR(VALUE(TRIM(LEFT($A558,FIND("/",$A558)-1))),"")))</f>
        <v/>
      </c>
      <c r="C558">
        <f>IF(OR($A558="",$B558=""),"",IF(ISNUMBER($A558),INT(MOD($A558,10000)/100),IFERROR(VALUE(TRIM(LEFT(MID($A558,FIND("/",$A558)+1,20),FIND("/",MID($A558,FIND("/",$A558)+1,20))-1))),"")))</f>
        <v/>
      </c>
      <c r="D558">
        <f>IF(OR($A558="",$B558=""),"",IF(ISNUMBER($A558),MOD($A558,100),IFERROR(VALUE(TRIM(MID(MID($A558,FIND("/",$A558)+1,20),FIND("/",MID($A558,FIND("/",$A558)+1,20))+1,20))),"")))</f>
        <v/>
      </c>
      <c r="E558">
        <f>IF($A558="","",IF(OR($B558="",$C558="",$D558="",$B558&lt;1300,$B558&gt;1500,$C558&lt;1,$C558&gt;12,$D558&lt;1,$D558&gt;31),"نامعتبر",RIGHT("0000"&amp;$B558,4)&amp;"/"&amp;RIGHT("00"&amp;$C558,2)&amp;"/"&amp;RIGHT("00"&amp;$D558,2)))</f>
        <v/>
      </c>
      <c r="F558">
        <f>IF(OR($E558="",$E558="نامعتبر"),"",LEFT($E558,4)&amp;"/"&amp;MID($E558,6,2))</f>
        <v/>
      </c>
      <c r="G558">
        <f>IF(OR($E558="",$E558="نامعتبر",Sync!$X554=""),"",IF(AND(LEFT(UPPER(TRIM(Sync!$X554)),2)="SL",IFERROR(VLOOKUP(Sync!$W554,OpTbl,3,0),"")="فروش"),UPPER(TRIM(Sync!$X554)),""))</f>
        <v/>
      </c>
      <c r="H558">
        <f>IF($G558="","",IF(Sync!$W554="","",Sync!$W554))</f>
        <v/>
      </c>
      <c r="I558">
        <f>IF(OR($G558="",Sync!$Y554=""),"",Sync!$Y554)</f>
        <v/>
      </c>
      <c r="J558">
        <f>IF(OR($G558="",Sync!$Z554=""),"",Sync!$Z554)</f>
        <v/>
      </c>
      <c r="K558">
        <f>IF($G558="",0,IF(Sync!$AA554="",0,Sync!$AA554))</f>
        <v/>
      </c>
      <c r="L558">
        <f>IF($G558="",0,IF(Sync!$AB554="",0,Sync!$AB554))</f>
        <v/>
      </c>
      <c r="M558">
        <f>IF($G558="","",IF($H558="مرجوعی فروش",-1,1)*($K558-$L558*IFERROR(VLOOKUP("P01",ParamTbl,3,0),1.5)))</f>
        <v/>
      </c>
      <c r="N558">
        <f>IF($G558="",0,IF($H558="مرجوعی فروش",-1,1)*IF(Sync!$AC554="",0,Sync!$AC554))</f>
        <v/>
      </c>
      <c r="O558">
        <f>IF(OR($G558="",Sync!$V554=""),"",Sync!$V554)</f>
        <v/>
      </c>
      <c r="P558">
        <f>IF(OR($G558="",Sync!$AD554=""),"",Sync!$AD554)</f>
        <v/>
      </c>
      <c r="Q558">
        <f>IF($G558="","",IF(Sync!$U554="","0000",IF(AND(ISNUMBER(Sync!$U554),Sync!$U554&gt;=0,Sync!$U554&lt;1),RIGHT("00"&amp;HOUR(Sync!$U554),2)&amp;RIGHT("00"&amp;MINUTE(Sync!$U554),2),IFERROR(RIGHT("00"&amp;VALUE(LEFT(Sync!$U554,FIND(":",Sync!$U554)-1)),2)&amp;RIGHT("00"&amp;VALUE(MID(Sync!$U554,FIND(":",Sync!$U554)+1,2)),2),"0000"))))</f>
        <v/>
      </c>
    </row>
    <row r="559">
      <c r="A559">
        <f>IF(Sync!$T555="","",Sync!$T555)</f>
        <v/>
      </c>
      <c r="B559">
        <f>IF($A559="","",IF(ISNUMBER($A559),IF(AND($A559&gt;=10000101,$A559&lt;=99991231),INT($A559/10000),""),IFERROR(VALUE(TRIM(LEFT($A559,FIND("/",$A559)-1))),"")))</f>
        <v/>
      </c>
      <c r="C559">
        <f>IF(OR($A559="",$B559=""),"",IF(ISNUMBER($A559),INT(MOD($A559,10000)/100),IFERROR(VALUE(TRIM(LEFT(MID($A559,FIND("/",$A559)+1,20),FIND("/",MID($A559,FIND("/",$A559)+1,20))-1))),"")))</f>
        <v/>
      </c>
      <c r="D559">
        <f>IF(OR($A559="",$B559=""),"",IF(ISNUMBER($A559),MOD($A559,100),IFERROR(VALUE(TRIM(MID(MID($A559,FIND("/",$A559)+1,20),FIND("/",MID($A559,FIND("/",$A559)+1,20))+1,20))),"")))</f>
        <v/>
      </c>
      <c r="E559">
        <f>IF($A559="","",IF(OR($B559="",$C559="",$D559="",$B559&lt;1300,$B559&gt;1500,$C559&lt;1,$C559&gt;12,$D559&lt;1,$D559&gt;31),"نامعتبر",RIGHT("0000"&amp;$B559,4)&amp;"/"&amp;RIGHT("00"&amp;$C559,2)&amp;"/"&amp;RIGHT("00"&amp;$D559,2)))</f>
        <v/>
      </c>
      <c r="F559">
        <f>IF(OR($E559="",$E559="نامعتبر"),"",LEFT($E559,4)&amp;"/"&amp;MID($E559,6,2))</f>
        <v/>
      </c>
      <c r="G559">
        <f>IF(OR($E559="",$E559="نامعتبر",Sync!$X555=""),"",IF(AND(LEFT(UPPER(TRIM(Sync!$X555)),2)="SL",IFERROR(VLOOKUP(Sync!$W555,OpTbl,3,0),"")="فروش"),UPPER(TRIM(Sync!$X555)),""))</f>
        <v/>
      </c>
      <c r="H559">
        <f>IF($G559="","",IF(Sync!$W555="","",Sync!$W555))</f>
        <v/>
      </c>
      <c r="I559">
        <f>IF(OR($G559="",Sync!$Y555=""),"",Sync!$Y555)</f>
        <v/>
      </c>
      <c r="J559">
        <f>IF(OR($G559="",Sync!$Z555=""),"",Sync!$Z555)</f>
        <v/>
      </c>
      <c r="K559">
        <f>IF($G559="",0,IF(Sync!$AA555="",0,Sync!$AA555))</f>
        <v/>
      </c>
      <c r="L559">
        <f>IF($G559="",0,IF(Sync!$AB555="",0,Sync!$AB555))</f>
        <v/>
      </c>
      <c r="M559">
        <f>IF($G559="","",IF($H559="مرجوعی فروش",-1,1)*($K559-$L559*IFERROR(VLOOKUP("P01",ParamTbl,3,0),1.5)))</f>
        <v/>
      </c>
      <c r="N559">
        <f>IF($G559="",0,IF($H559="مرجوعی فروش",-1,1)*IF(Sync!$AC555="",0,Sync!$AC555))</f>
        <v/>
      </c>
      <c r="O559">
        <f>IF(OR($G559="",Sync!$V555=""),"",Sync!$V555)</f>
        <v/>
      </c>
      <c r="P559">
        <f>IF(OR($G559="",Sync!$AD555=""),"",Sync!$AD555)</f>
        <v/>
      </c>
      <c r="Q559">
        <f>IF($G559="","",IF(Sync!$U555="","0000",IF(AND(ISNUMBER(Sync!$U555),Sync!$U555&gt;=0,Sync!$U555&lt;1),RIGHT("00"&amp;HOUR(Sync!$U555),2)&amp;RIGHT("00"&amp;MINUTE(Sync!$U555),2),IFERROR(RIGHT("00"&amp;VALUE(LEFT(Sync!$U555,FIND(":",Sync!$U555)-1)),2)&amp;RIGHT("00"&amp;VALUE(MID(Sync!$U555,FIND(":",Sync!$U555)+1,2)),2),"0000"))))</f>
        <v/>
      </c>
    </row>
    <row r="560">
      <c r="A560">
        <f>IF(Sync!$T556="","",Sync!$T556)</f>
        <v/>
      </c>
      <c r="B560">
        <f>IF($A560="","",IF(ISNUMBER($A560),IF(AND($A560&gt;=10000101,$A560&lt;=99991231),INT($A560/10000),""),IFERROR(VALUE(TRIM(LEFT($A560,FIND("/",$A560)-1))),"")))</f>
        <v/>
      </c>
      <c r="C560">
        <f>IF(OR($A560="",$B560=""),"",IF(ISNUMBER($A560),INT(MOD($A560,10000)/100),IFERROR(VALUE(TRIM(LEFT(MID($A560,FIND("/",$A560)+1,20),FIND("/",MID($A560,FIND("/",$A560)+1,20))-1))),"")))</f>
        <v/>
      </c>
      <c r="D560">
        <f>IF(OR($A560="",$B560=""),"",IF(ISNUMBER($A560),MOD($A560,100),IFERROR(VALUE(TRIM(MID(MID($A560,FIND("/",$A560)+1,20),FIND("/",MID($A560,FIND("/",$A560)+1,20))+1,20))),"")))</f>
        <v/>
      </c>
      <c r="E560">
        <f>IF($A560="","",IF(OR($B560="",$C560="",$D560="",$B560&lt;1300,$B560&gt;1500,$C560&lt;1,$C560&gt;12,$D560&lt;1,$D560&gt;31),"نامعتبر",RIGHT("0000"&amp;$B560,4)&amp;"/"&amp;RIGHT("00"&amp;$C560,2)&amp;"/"&amp;RIGHT("00"&amp;$D560,2)))</f>
        <v/>
      </c>
      <c r="F560">
        <f>IF(OR($E560="",$E560="نامعتبر"),"",LEFT($E560,4)&amp;"/"&amp;MID($E560,6,2))</f>
        <v/>
      </c>
      <c r="G560">
        <f>IF(OR($E560="",$E560="نامعتبر",Sync!$X556=""),"",IF(AND(LEFT(UPPER(TRIM(Sync!$X556)),2)="SL",IFERROR(VLOOKUP(Sync!$W556,OpTbl,3,0),"")="فروش"),UPPER(TRIM(Sync!$X556)),""))</f>
        <v/>
      </c>
      <c r="H560">
        <f>IF($G560="","",IF(Sync!$W556="","",Sync!$W556))</f>
        <v/>
      </c>
      <c r="I560">
        <f>IF(OR($G560="",Sync!$Y556=""),"",Sync!$Y556)</f>
        <v/>
      </c>
      <c r="J560">
        <f>IF(OR($G560="",Sync!$Z556=""),"",Sync!$Z556)</f>
        <v/>
      </c>
      <c r="K560">
        <f>IF($G560="",0,IF(Sync!$AA556="",0,Sync!$AA556))</f>
        <v/>
      </c>
      <c r="L560">
        <f>IF($G560="",0,IF(Sync!$AB556="",0,Sync!$AB556))</f>
        <v/>
      </c>
      <c r="M560">
        <f>IF($G560="","",IF($H560="مرجوعی فروش",-1,1)*($K560-$L560*IFERROR(VLOOKUP("P01",ParamTbl,3,0),1.5)))</f>
        <v/>
      </c>
      <c r="N560">
        <f>IF($G560="",0,IF($H560="مرجوعی فروش",-1,1)*IF(Sync!$AC556="",0,Sync!$AC556))</f>
        <v/>
      </c>
      <c r="O560">
        <f>IF(OR($G560="",Sync!$V556=""),"",Sync!$V556)</f>
        <v/>
      </c>
      <c r="P560">
        <f>IF(OR($G560="",Sync!$AD556=""),"",Sync!$AD556)</f>
        <v/>
      </c>
      <c r="Q560">
        <f>IF($G560="","",IF(Sync!$U556="","0000",IF(AND(ISNUMBER(Sync!$U556),Sync!$U556&gt;=0,Sync!$U556&lt;1),RIGHT("00"&amp;HOUR(Sync!$U556),2)&amp;RIGHT("00"&amp;MINUTE(Sync!$U556),2),IFERROR(RIGHT("00"&amp;VALUE(LEFT(Sync!$U556,FIND(":",Sync!$U556)-1)),2)&amp;RIGHT("00"&amp;VALUE(MID(Sync!$U556,FIND(":",Sync!$U556)+1,2)),2),"0000"))))</f>
        <v/>
      </c>
    </row>
    <row r="561">
      <c r="A561">
        <f>IF(Sync!$T557="","",Sync!$T557)</f>
        <v/>
      </c>
      <c r="B561">
        <f>IF($A561="","",IF(ISNUMBER($A561),IF(AND($A561&gt;=10000101,$A561&lt;=99991231),INT($A561/10000),""),IFERROR(VALUE(TRIM(LEFT($A561,FIND("/",$A561)-1))),"")))</f>
        <v/>
      </c>
      <c r="C561">
        <f>IF(OR($A561="",$B561=""),"",IF(ISNUMBER($A561),INT(MOD($A561,10000)/100),IFERROR(VALUE(TRIM(LEFT(MID($A561,FIND("/",$A561)+1,20),FIND("/",MID($A561,FIND("/",$A561)+1,20))-1))),"")))</f>
        <v/>
      </c>
      <c r="D561">
        <f>IF(OR($A561="",$B561=""),"",IF(ISNUMBER($A561),MOD($A561,100),IFERROR(VALUE(TRIM(MID(MID($A561,FIND("/",$A561)+1,20),FIND("/",MID($A561,FIND("/",$A561)+1,20))+1,20))),"")))</f>
        <v/>
      </c>
      <c r="E561">
        <f>IF($A561="","",IF(OR($B561="",$C561="",$D561="",$B561&lt;1300,$B561&gt;1500,$C561&lt;1,$C561&gt;12,$D561&lt;1,$D561&gt;31),"نامعتبر",RIGHT("0000"&amp;$B561,4)&amp;"/"&amp;RIGHT("00"&amp;$C561,2)&amp;"/"&amp;RIGHT("00"&amp;$D561,2)))</f>
        <v/>
      </c>
      <c r="F561">
        <f>IF(OR($E561="",$E561="نامعتبر"),"",LEFT($E561,4)&amp;"/"&amp;MID($E561,6,2))</f>
        <v/>
      </c>
      <c r="G561">
        <f>IF(OR($E561="",$E561="نامعتبر",Sync!$X557=""),"",IF(AND(LEFT(UPPER(TRIM(Sync!$X557)),2)="SL",IFERROR(VLOOKUP(Sync!$W557,OpTbl,3,0),"")="فروش"),UPPER(TRIM(Sync!$X557)),""))</f>
        <v/>
      </c>
      <c r="H561">
        <f>IF($G561="","",IF(Sync!$W557="","",Sync!$W557))</f>
        <v/>
      </c>
      <c r="I561">
        <f>IF(OR($G561="",Sync!$Y557=""),"",Sync!$Y557)</f>
        <v/>
      </c>
      <c r="J561">
        <f>IF(OR($G561="",Sync!$Z557=""),"",Sync!$Z557)</f>
        <v/>
      </c>
      <c r="K561">
        <f>IF($G561="",0,IF(Sync!$AA557="",0,Sync!$AA557))</f>
        <v/>
      </c>
      <c r="L561">
        <f>IF($G561="",0,IF(Sync!$AB557="",0,Sync!$AB557))</f>
        <v/>
      </c>
      <c r="M561">
        <f>IF($G561="","",IF($H561="مرجوعی فروش",-1,1)*($K561-$L561*IFERROR(VLOOKUP("P01",ParamTbl,3,0),1.5)))</f>
        <v/>
      </c>
      <c r="N561">
        <f>IF($G561="",0,IF($H561="مرجوعی فروش",-1,1)*IF(Sync!$AC557="",0,Sync!$AC557))</f>
        <v/>
      </c>
      <c r="O561">
        <f>IF(OR($G561="",Sync!$V557=""),"",Sync!$V557)</f>
        <v/>
      </c>
      <c r="P561">
        <f>IF(OR($G561="",Sync!$AD557=""),"",Sync!$AD557)</f>
        <v/>
      </c>
      <c r="Q561">
        <f>IF($G561="","",IF(Sync!$U557="","0000",IF(AND(ISNUMBER(Sync!$U557),Sync!$U557&gt;=0,Sync!$U557&lt;1),RIGHT("00"&amp;HOUR(Sync!$U557),2)&amp;RIGHT("00"&amp;MINUTE(Sync!$U557),2),IFERROR(RIGHT("00"&amp;VALUE(LEFT(Sync!$U557,FIND(":",Sync!$U557)-1)),2)&amp;RIGHT("00"&amp;VALUE(MID(Sync!$U557,FIND(":",Sync!$U557)+1,2)),2),"0000"))))</f>
        <v/>
      </c>
    </row>
    <row r="562">
      <c r="A562">
        <f>IF(Sync!$T558="","",Sync!$T558)</f>
        <v/>
      </c>
      <c r="B562">
        <f>IF($A562="","",IF(ISNUMBER($A562),IF(AND($A562&gt;=10000101,$A562&lt;=99991231),INT($A562/10000),""),IFERROR(VALUE(TRIM(LEFT($A562,FIND("/",$A562)-1))),"")))</f>
        <v/>
      </c>
      <c r="C562">
        <f>IF(OR($A562="",$B562=""),"",IF(ISNUMBER($A562),INT(MOD($A562,10000)/100),IFERROR(VALUE(TRIM(LEFT(MID($A562,FIND("/",$A562)+1,20),FIND("/",MID($A562,FIND("/",$A562)+1,20))-1))),"")))</f>
        <v/>
      </c>
      <c r="D562">
        <f>IF(OR($A562="",$B562=""),"",IF(ISNUMBER($A562),MOD($A562,100),IFERROR(VALUE(TRIM(MID(MID($A562,FIND("/",$A562)+1,20),FIND("/",MID($A562,FIND("/",$A562)+1,20))+1,20))),"")))</f>
        <v/>
      </c>
      <c r="E562">
        <f>IF($A562="","",IF(OR($B562="",$C562="",$D562="",$B562&lt;1300,$B562&gt;1500,$C562&lt;1,$C562&gt;12,$D562&lt;1,$D562&gt;31),"نامعتبر",RIGHT("0000"&amp;$B562,4)&amp;"/"&amp;RIGHT("00"&amp;$C562,2)&amp;"/"&amp;RIGHT("00"&amp;$D562,2)))</f>
        <v/>
      </c>
      <c r="F562">
        <f>IF(OR($E562="",$E562="نامعتبر"),"",LEFT($E562,4)&amp;"/"&amp;MID($E562,6,2))</f>
        <v/>
      </c>
      <c r="G562">
        <f>IF(OR($E562="",$E562="نامعتبر",Sync!$X558=""),"",IF(AND(LEFT(UPPER(TRIM(Sync!$X558)),2)="SL",IFERROR(VLOOKUP(Sync!$W558,OpTbl,3,0),"")="فروش"),UPPER(TRIM(Sync!$X558)),""))</f>
        <v/>
      </c>
      <c r="H562">
        <f>IF($G562="","",IF(Sync!$W558="","",Sync!$W558))</f>
        <v/>
      </c>
      <c r="I562">
        <f>IF(OR($G562="",Sync!$Y558=""),"",Sync!$Y558)</f>
        <v/>
      </c>
      <c r="J562">
        <f>IF(OR($G562="",Sync!$Z558=""),"",Sync!$Z558)</f>
        <v/>
      </c>
      <c r="K562">
        <f>IF($G562="",0,IF(Sync!$AA558="",0,Sync!$AA558))</f>
        <v/>
      </c>
      <c r="L562">
        <f>IF($G562="",0,IF(Sync!$AB558="",0,Sync!$AB558))</f>
        <v/>
      </c>
      <c r="M562">
        <f>IF($G562="","",IF($H562="مرجوعی فروش",-1,1)*($K562-$L562*IFERROR(VLOOKUP("P01",ParamTbl,3,0),1.5)))</f>
        <v/>
      </c>
      <c r="N562">
        <f>IF($G562="",0,IF($H562="مرجوعی فروش",-1,1)*IF(Sync!$AC558="",0,Sync!$AC558))</f>
        <v/>
      </c>
      <c r="O562">
        <f>IF(OR($G562="",Sync!$V558=""),"",Sync!$V558)</f>
        <v/>
      </c>
      <c r="P562">
        <f>IF(OR($G562="",Sync!$AD558=""),"",Sync!$AD558)</f>
        <v/>
      </c>
      <c r="Q562">
        <f>IF($G562="","",IF(Sync!$U558="","0000",IF(AND(ISNUMBER(Sync!$U558),Sync!$U558&gt;=0,Sync!$U558&lt;1),RIGHT("00"&amp;HOUR(Sync!$U558),2)&amp;RIGHT("00"&amp;MINUTE(Sync!$U558),2),IFERROR(RIGHT("00"&amp;VALUE(LEFT(Sync!$U558,FIND(":",Sync!$U558)-1)),2)&amp;RIGHT("00"&amp;VALUE(MID(Sync!$U558,FIND(":",Sync!$U558)+1,2)),2),"0000"))))</f>
        <v/>
      </c>
    </row>
    <row r="563">
      <c r="A563">
        <f>IF(Sync!$T559="","",Sync!$T559)</f>
        <v/>
      </c>
      <c r="B563">
        <f>IF($A563="","",IF(ISNUMBER($A563),IF(AND($A563&gt;=10000101,$A563&lt;=99991231),INT($A563/10000),""),IFERROR(VALUE(TRIM(LEFT($A563,FIND("/",$A563)-1))),"")))</f>
        <v/>
      </c>
      <c r="C563">
        <f>IF(OR($A563="",$B563=""),"",IF(ISNUMBER($A563),INT(MOD($A563,10000)/100),IFERROR(VALUE(TRIM(LEFT(MID($A563,FIND("/",$A563)+1,20),FIND("/",MID($A563,FIND("/",$A563)+1,20))-1))),"")))</f>
        <v/>
      </c>
      <c r="D563">
        <f>IF(OR($A563="",$B563=""),"",IF(ISNUMBER($A563),MOD($A563,100),IFERROR(VALUE(TRIM(MID(MID($A563,FIND("/",$A563)+1,20),FIND("/",MID($A563,FIND("/",$A563)+1,20))+1,20))),"")))</f>
        <v/>
      </c>
      <c r="E563">
        <f>IF($A563="","",IF(OR($B563="",$C563="",$D563="",$B563&lt;1300,$B563&gt;1500,$C563&lt;1,$C563&gt;12,$D563&lt;1,$D563&gt;31),"نامعتبر",RIGHT("0000"&amp;$B563,4)&amp;"/"&amp;RIGHT("00"&amp;$C563,2)&amp;"/"&amp;RIGHT("00"&amp;$D563,2)))</f>
        <v/>
      </c>
      <c r="F563">
        <f>IF(OR($E563="",$E563="نامعتبر"),"",LEFT($E563,4)&amp;"/"&amp;MID($E563,6,2))</f>
        <v/>
      </c>
      <c r="G563">
        <f>IF(OR($E563="",$E563="نامعتبر",Sync!$X559=""),"",IF(AND(LEFT(UPPER(TRIM(Sync!$X559)),2)="SL",IFERROR(VLOOKUP(Sync!$W559,OpTbl,3,0),"")="فروش"),UPPER(TRIM(Sync!$X559)),""))</f>
        <v/>
      </c>
      <c r="H563">
        <f>IF($G563="","",IF(Sync!$W559="","",Sync!$W559))</f>
        <v/>
      </c>
      <c r="I563">
        <f>IF(OR($G563="",Sync!$Y559=""),"",Sync!$Y559)</f>
        <v/>
      </c>
      <c r="J563">
        <f>IF(OR($G563="",Sync!$Z559=""),"",Sync!$Z559)</f>
        <v/>
      </c>
      <c r="K563">
        <f>IF($G563="",0,IF(Sync!$AA559="",0,Sync!$AA559))</f>
        <v/>
      </c>
      <c r="L563">
        <f>IF($G563="",0,IF(Sync!$AB559="",0,Sync!$AB559))</f>
        <v/>
      </c>
      <c r="M563">
        <f>IF($G563="","",IF($H563="مرجوعی فروش",-1,1)*($K563-$L563*IFERROR(VLOOKUP("P01",ParamTbl,3,0),1.5)))</f>
        <v/>
      </c>
      <c r="N563">
        <f>IF($G563="",0,IF($H563="مرجوعی فروش",-1,1)*IF(Sync!$AC559="",0,Sync!$AC559))</f>
        <v/>
      </c>
      <c r="O563">
        <f>IF(OR($G563="",Sync!$V559=""),"",Sync!$V559)</f>
        <v/>
      </c>
      <c r="P563">
        <f>IF(OR($G563="",Sync!$AD559=""),"",Sync!$AD559)</f>
        <v/>
      </c>
      <c r="Q563">
        <f>IF($G563="","",IF(Sync!$U559="","0000",IF(AND(ISNUMBER(Sync!$U559),Sync!$U559&gt;=0,Sync!$U559&lt;1),RIGHT("00"&amp;HOUR(Sync!$U559),2)&amp;RIGHT("00"&amp;MINUTE(Sync!$U559),2),IFERROR(RIGHT("00"&amp;VALUE(LEFT(Sync!$U559,FIND(":",Sync!$U559)-1)),2)&amp;RIGHT("00"&amp;VALUE(MID(Sync!$U559,FIND(":",Sync!$U559)+1,2)),2),"0000"))))</f>
        <v/>
      </c>
    </row>
    <row r="564">
      <c r="A564">
        <f>IF(Sync!$T560="","",Sync!$T560)</f>
        <v/>
      </c>
      <c r="B564">
        <f>IF($A564="","",IF(ISNUMBER($A564),IF(AND($A564&gt;=10000101,$A564&lt;=99991231),INT($A564/10000),""),IFERROR(VALUE(TRIM(LEFT($A564,FIND("/",$A564)-1))),"")))</f>
        <v/>
      </c>
      <c r="C564">
        <f>IF(OR($A564="",$B564=""),"",IF(ISNUMBER($A564),INT(MOD($A564,10000)/100),IFERROR(VALUE(TRIM(LEFT(MID($A564,FIND("/",$A564)+1,20),FIND("/",MID($A564,FIND("/",$A564)+1,20))-1))),"")))</f>
        <v/>
      </c>
      <c r="D564">
        <f>IF(OR($A564="",$B564=""),"",IF(ISNUMBER($A564),MOD($A564,100),IFERROR(VALUE(TRIM(MID(MID($A564,FIND("/",$A564)+1,20),FIND("/",MID($A564,FIND("/",$A564)+1,20))+1,20))),"")))</f>
        <v/>
      </c>
      <c r="E564">
        <f>IF($A564="","",IF(OR($B564="",$C564="",$D564="",$B564&lt;1300,$B564&gt;1500,$C564&lt;1,$C564&gt;12,$D564&lt;1,$D564&gt;31),"نامعتبر",RIGHT("0000"&amp;$B564,4)&amp;"/"&amp;RIGHT("00"&amp;$C564,2)&amp;"/"&amp;RIGHT("00"&amp;$D564,2)))</f>
        <v/>
      </c>
      <c r="F564">
        <f>IF(OR($E564="",$E564="نامعتبر"),"",LEFT($E564,4)&amp;"/"&amp;MID($E564,6,2))</f>
        <v/>
      </c>
      <c r="G564">
        <f>IF(OR($E564="",$E564="نامعتبر",Sync!$X560=""),"",IF(AND(LEFT(UPPER(TRIM(Sync!$X560)),2)="SL",IFERROR(VLOOKUP(Sync!$W560,OpTbl,3,0),"")="فروش"),UPPER(TRIM(Sync!$X560)),""))</f>
        <v/>
      </c>
      <c r="H564">
        <f>IF($G564="","",IF(Sync!$W560="","",Sync!$W560))</f>
        <v/>
      </c>
      <c r="I564">
        <f>IF(OR($G564="",Sync!$Y560=""),"",Sync!$Y560)</f>
        <v/>
      </c>
      <c r="J564">
        <f>IF(OR($G564="",Sync!$Z560=""),"",Sync!$Z560)</f>
        <v/>
      </c>
      <c r="K564">
        <f>IF($G564="",0,IF(Sync!$AA560="",0,Sync!$AA560))</f>
        <v/>
      </c>
      <c r="L564">
        <f>IF($G564="",0,IF(Sync!$AB560="",0,Sync!$AB560))</f>
        <v/>
      </c>
      <c r="M564">
        <f>IF($G564="","",IF($H564="مرجوعی فروش",-1,1)*($K564-$L564*IFERROR(VLOOKUP("P01",ParamTbl,3,0),1.5)))</f>
        <v/>
      </c>
      <c r="N564">
        <f>IF($G564="",0,IF($H564="مرجوعی فروش",-1,1)*IF(Sync!$AC560="",0,Sync!$AC560))</f>
        <v/>
      </c>
      <c r="O564">
        <f>IF(OR($G564="",Sync!$V560=""),"",Sync!$V560)</f>
        <v/>
      </c>
      <c r="P564">
        <f>IF(OR($G564="",Sync!$AD560=""),"",Sync!$AD560)</f>
        <v/>
      </c>
      <c r="Q564">
        <f>IF($G564="","",IF(Sync!$U560="","0000",IF(AND(ISNUMBER(Sync!$U560),Sync!$U560&gt;=0,Sync!$U560&lt;1),RIGHT("00"&amp;HOUR(Sync!$U560),2)&amp;RIGHT("00"&amp;MINUTE(Sync!$U560),2),IFERROR(RIGHT("00"&amp;VALUE(LEFT(Sync!$U560,FIND(":",Sync!$U560)-1)),2)&amp;RIGHT("00"&amp;VALUE(MID(Sync!$U560,FIND(":",Sync!$U560)+1,2)),2),"0000"))))</f>
        <v/>
      </c>
    </row>
    <row r="565">
      <c r="A565">
        <f>IF(Sync!$T561="","",Sync!$T561)</f>
        <v/>
      </c>
      <c r="B565">
        <f>IF($A565="","",IF(ISNUMBER($A565),IF(AND($A565&gt;=10000101,$A565&lt;=99991231),INT($A565/10000),""),IFERROR(VALUE(TRIM(LEFT($A565,FIND("/",$A565)-1))),"")))</f>
        <v/>
      </c>
      <c r="C565">
        <f>IF(OR($A565="",$B565=""),"",IF(ISNUMBER($A565),INT(MOD($A565,10000)/100),IFERROR(VALUE(TRIM(LEFT(MID($A565,FIND("/",$A565)+1,20),FIND("/",MID($A565,FIND("/",$A565)+1,20))-1))),"")))</f>
        <v/>
      </c>
      <c r="D565">
        <f>IF(OR($A565="",$B565=""),"",IF(ISNUMBER($A565),MOD($A565,100),IFERROR(VALUE(TRIM(MID(MID($A565,FIND("/",$A565)+1,20),FIND("/",MID($A565,FIND("/",$A565)+1,20))+1,20))),"")))</f>
        <v/>
      </c>
      <c r="E565">
        <f>IF($A565="","",IF(OR($B565="",$C565="",$D565="",$B565&lt;1300,$B565&gt;1500,$C565&lt;1,$C565&gt;12,$D565&lt;1,$D565&gt;31),"نامعتبر",RIGHT("0000"&amp;$B565,4)&amp;"/"&amp;RIGHT("00"&amp;$C565,2)&amp;"/"&amp;RIGHT("00"&amp;$D565,2)))</f>
        <v/>
      </c>
      <c r="F565">
        <f>IF(OR($E565="",$E565="نامعتبر"),"",LEFT($E565,4)&amp;"/"&amp;MID($E565,6,2))</f>
        <v/>
      </c>
      <c r="G565">
        <f>IF(OR($E565="",$E565="نامعتبر",Sync!$X561=""),"",IF(AND(LEFT(UPPER(TRIM(Sync!$X561)),2)="SL",IFERROR(VLOOKUP(Sync!$W561,OpTbl,3,0),"")="فروش"),UPPER(TRIM(Sync!$X561)),""))</f>
        <v/>
      </c>
      <c r="H565">
        <f>IF($G565="","",IF(Sync!$W561="","",Sync!$W561))</f>
        <v/>
      </c>
      <c r="I565">
        <f>IF(OR($G565="",Sync!$Y561=""),"",Sync!$Y561)</f>
        <v/>
      </c>
      <c r="J565">
        <f>IF(OR($G565="",Sync!$Z561=""),"",Sync!$Z561)</f>
        <v/>
      </c>
      <c r="K565">
        <f>IF($G565="",0,IF(Sync!$AA561="",0,Sync!$AA561))</f>
        <v/>
      </c>
      <c r="L565">
        <f>IF($G565="",0,IF(Sync!$AB561="",0,Sync!$AB561))</f>
        <v/>
      </c>
      <c r="M565">
        <f>IF($G565="","",IF($H565="مرجوعی فروش",-1,1)*($K565-$L565*IFERROR(VLOOKUP("P01",ParamTbl,3,0),1.5)))</f>
        <v/>
      </c>
      <c r="N565">
        <f>IF($G565="",0,IF($H565="مرجوعی فروش",-1,1)*IF(Sync!$AC561="",0,Sync!$AC561))</f>
        <v/>
      </c>
      <c r="O565">
        <f>IF(OR($G565="",Sync!$V561=""),"",Sync!$V561)</f>
        <v/>
      </c>
      <c r="P565">
        <f>IF(OR($G565="",Sync!$AD561=""),"",Sync!$AD561)</f>
        <v/>
      </c>
      <c r="Q565">
        <f>IF($G565="","",IF(Sync!$U561="","0000",IF(AND(ISNUMBER(Sync!$U561),Sync!$U561&gt;=0,Sync!$U561&lt;1),RIGHT("00"&amp;HOUR(Sync!$U561),2)&amp;RIGHT("00"&amp;MINUTE(Sync!$U561),2),IFERROR(RIGHT("00"&amp;VALUE(LEFT(Sync!$U561,FIND(":",Sync!$U561)-1)),2)&amp;RIGHT("00"&amp;VALUE(MID(Sync!$U561,FIND(":",Sync!$U561)+1,2)),2),"0000"))))</f>
        <v/>
      </c>
    </row>
    <row r="566">
      <c r="A566">
        <f>IF(Sync!$T562="","",Sync!$T562)</f>
        <v/>
      </c>
      <c r="B566">
        <f>IF($A566="","",IF(ISNUMBER($A566),IF(AND($A566&gt;=10000101,$A566&lt;=99991231),INT($A566/10000),""),IFERROR(VALUE(TRIM(LEFT($A566,FIND("/",$A566)-1))),"")))</f>
        <v/>
      </c>
      <c r="C566">
        <f>IF(OR($A566="",$B566=""),"",IF(ISNUMBER($A566),INT(MOD($A566,10000)/100),IFERROR(VALUE(TRIM(LEFT(MID($A566,FIND("/",$A566)+1,20),FIND("/",MID($A566,FIND("/",$A566)+1,20))-1))),"")))</f>
        <v/>
      </c>
      <c r="D566">
        <f>IF(OR($A566="",$B566=""),"",IF(ISNUMBER($A566),MOD($A566,100),IFERROR(VALUE(TRIM(MID(MID($A566,FIND("/",$A566)+1,20),FIND("/",MID($A566,FIND("/",$A566)+1,20))+1,20))),"")))</f>
        <v/>
      </c>
      <c r="E566">
        <f>IF($A566="","",IF(OR($B566="",$C566="",$D566="",$B566&lt;1300,$B566&gt;1500,$C566&lt;1,$C566&gt;12,$D566&lt;1,$D566&gt;31),"نامعتبر",RIGHT("0000"&amp;$B566,4)&amp;"/"&amp;RIGHT("00"&amp;$C566,2)&amp;"/"&amp;RIGHT("00"&amp;$D566,2)))</f>
        <v/>
      </c>
      <c r="F566">
        <f>IF(OR($E566="",$E566="نامعتبر"),"",LEFT($E566,4)&amp;"/"&amp;MID($E566,6,2))</f>
        <v/>
      </c>
      <c r="G566">
        <f>IF(OR($E566="",$E566="نامعتبر",Sync!$X562=""),"",IF(AND(LEFT(UPPER(TRIM(Sync!$X562)),2)="SL",IFERROR(VLOOKUP(Sync!$W562,OpTbl,3,0),"")="فروش"),UPPER(TRIM(Sync!$X562)),""))</f>
        <v/>
      </c>
      <c r="H566">
        <f>IF($G566="","",IF(Sync!$W562="","",Sync!$W562))</f>
        <v/>
      </c>
      <c r="I566">
        <f>IF(OR($G566="",Sync!$Y562=""),"",Sync!$Y562)</f>
        <v/>
      </c>
      <c r="J566">
        <f>IF(OR($G566="",Sync!$Z562=""),"",Sync!$Z562)</f>
        <v/>
      </c>
      <c r="K566">
        <f>IF($G566="",0,IF(Sync!$AA562="",0,Sync!$AA562))</f>
        <v/>
      </c>
      <c r="L566">
        <f>IF($G566="",0,IF(Sync!$AB562="",0,Sync!$AB562))</f>
        <v/>
      </c>
      <c r="M566">
        <f>IF($G566="","",IF($H566="مرجوعی فروش",-1,1)*($K566-$L566*IFERROR(VLOOKUP("P01",ParamTbl,3,0),1.5)))</f>
        <v/>
      </c>
      <c r="N566">
        <f>IF($G566="",0,IF($H566="مرجوعی فروش",-1,1)*IF(Sync!$AC562="",0,Sync!$AC562))</f>
        <v/>
      </c>
      <c r="O566">
        <f>IF(OR($G566="",Sync!$V562=""),"",Sync!$V562)</f>
        <v/>
      </c>
      <c r="P566">
        <f>IF(OR($G566="",Sync!$AD562=""),"",Sync!$AD562)</f>
        <v/>
      </c>
      <c r="Q566">
        <f>IF($G566="","",IF(Sync!$U562="","0000",IF(AND(ISNUMBER(Sync!$U562),Sync!$U562&gt;=0,Sync!$U562&lt;1),RIGHT("00"&amp;HOUR(Sync!$U562),2)&amp;RIGHT("00"&amp;MINUTE(Sync!$U562),2),IFERROR(RIGHT("00"&amp;VALUE(LEFT(Sync!$U562,FIND(":",Sync!$U562)-1)),2)&amp;RIGHT("00"&amp;VALUE(MID(Sync!$U562,FIND(":",Sync!$U562)+1,2)),2),"0000"))))</f>
        <v/>
      </c>
    </row>
    <row r="567">
      <c r="A567">
        <f>IF(Sync!$T563="","",Sync!$T563)</f>
        <v/>
      </c>
      <c r="B567">
        <f>IF($A567="","",IF(ISNUMBER($A567),IF(AND($A567&gt;=10000101,$A567&lt;=99991231),INT($A567/10000),""),IFERROR(VALUE(TRIM(LEFT($A567,FIND("/",$A567)-1))),"")))</f>
        <v/>
      </c>
      <c r="C567">
        <f>IF(OR($A567="",$B567=""),"",IF(ISNUMBER($A567),INT(MOD($A567,10000)/100),IFERROR(VALUE(TRIM(LEFT(MID($A567,FIND("/",$A567)+1,20),FIND("/",MID($A567,FIND("/",$A567)+1,20))-1))),"")))</f>
        <v/>
      </c>
      <c r="D567">
        <f>IF(OR($A567="",$B567=""),"",IF(ISNUMBER($A567),MOD($A567,100),IFERROR(VALUE(TRIM(MID(MID($A567,FIND("/",$A567)+1,20),FIND("/",MID($A567,FIND("/",$A567)+1,20))+1,20))),"")))</f>
        <v/>
      </c>
      <c r="E567">
        <f>IF($A567="","",IF(OR($B567="",$C567="",$D567="",$B567&lt;1300,$B567&gt;1500,$C567&lt;1,$C567&gt;12,$D567&lt;1,$D567&gt;31),"نامعتبر",RIGHT("0000"&amp;$B567,4)&amp;"/"&amp;RIGHT("00"&amp;$C567,2)&amp;"/"&amp;RIGHT("00"&amp;$D567,2)))</f>
        <v/>
      </c>
      <c r="F567">
        <f>IF(OR($E567="",$E567="نامعتبر"),"",LEFT($E567,4)&amp;"/"&amp;MID($E567,6,2))</f>
        <v/>
      </c>
      <c r="G567">
        <f>IF(OR($E567="",$E567="نامعتبر",Sync!$X563=""),"",IF(AND(LEFT(UPPER(TRIM(Sync!$X563)),2)="SL",IFERROR(VLOOKUP(Sync!$W563,OpTbl,3,0),"")="فروش"),UPPER(TRIM(Sync!$X563)),""))</f>
        <v/>
      </c>
      <c r="H567">
        <f>IF($G567="","",IF(Sync!$W563="","",Sync!$W563))</f>
        <v/>
      </c>
      <c r="I567">
        <f>IF(OR($G567="",Sync!$Y563=""),"",Sync!$Y563)</f>
        <v/>
      </c>
      <c r="J567">
        <f>IF(OR($G567="",Sync!$Z563=""),"",Sync!$Z563)</f>
        <v/>
      </c>
      <c r="K567">
        <f>IF($G567="",0,IF(Sync!$AA563="",0,Sync!$AA563))</f>
        <v/>
      </c>
      <c r="L567">
        <f>IF($G567="",0,IF(Sync!$AB563="",0,Sync!$AB563))</f>
        <v/>
      </c>
      <c r="M567">
        <f>IF($G567="","",IF($H567="مرجوعی فروش",-1,1)*($K567-$L567*IFERROR(VLOOKUP("P01",ParamTbl,3,0),1.5)))</f>
        <v/>
      </c>
      <c r="N567">
        <f>IF($G567="",0,IF($H567="مرجوعی فروش",-1,1)*IF(Sync!$AC563="",0,Sync!$AC563))</f>
        <v/>
      </c>
      <c r="O567">
        <f>IF(OR($G567="",Sync!$V563=""),"",Sync!$V563)</f>
        <v/>
      </c>
      <c r="P567">
        <f>IF(OR($G567="",Sync!$AD563=""),"",Sync!$AD563)</f>
        <v/>
      </c>
      <c r="Q567">
        <f>IF($G567="","",IF(Sync!$U563="","0000",IF(AND(ISNUMBER(Sync!$U563),Sync!$U563&gt;=0,Sync!$U563&lt;1),RIGHT("00"&amp;HOUR(Sync!$U563),2)&amp;RIGHT("00"&amp;MINUTE(Sync!$U563),2),IFERROR(RIGHT("00"&amp;VALUE(LEFT(Sync!$U563,FIND(":",Sync!$U563)-1)),2)&amp;RIGHT("00"&amp;VALUE(MID(Sync!$U563,FIND(":",Sync!$U563)+1,2)),2),"0000"))))</f>
        <v/>
      </c>
    </row>
    <row r="568">
      <c r="A568">
        <f>IF(Sync!$T564="","",Sync!$T564)</f>
        <v/>
      </c>
      <c r="B568">
        <f>IF($A568="","",IF(ISNUMBER($A568),IF(AND($A568&gt;=10000101,$A568&lt;=99991231),INT($A568/10000),""),IFERROR(VALUE(TRIM(LEFT($A568,FIND("/",$A568)-1))),"")))</f>
        <v/>
      </c>
      <c r="C568">
        <f>IF(OR($A568="",$B568=""),"",IF(ISNUMBER($A568),INT(MOD($A568,10000)/100),IFERROR(VALUE(TRIM(LEFT(MID($A568,FIND("/",$A568)+1,20),FIND("/",MID($A568,FIND("/",$A568)+1,20))-1))),"")))</f>
        <v/>
      </c>
      <c r="D568">
        <f>IF(OR($A568="",$B568=""),"",IF(ISNUMBER($A568),MOD($A568,100),IFERROR(VALUE(TRIM(MID(MID($A568,FIND("/",$A568)+1,20),FIND("/",MID($A568,FIND("/",$A568)+1,20))+1,20))),"")))</f>
        <v/>
      </c>
      <c r="E568">
        <f>IF($A568="","",IF(OR($B568="",$C568="",$D568="",$B568&lt;1300,$B568&gt;1500,$C568&lt;1,$C568&gt;12,$D568&lt;1,$D568&gt;31),"نامعتبر",RIGHT("0000"&amp;$B568,4)&amp;"/"&amp;RIGHT("00"&amp;$C568,2)&amp;"/"&amp;RIGHT("00"&amp;$D568,2)))</f>
        <v/>
      </c>
      <c r="F568">
        <f>IF(OR($E568="",$E568="نامعتبر"),"",LEFT($E568,4)&amp;"/"&amp;MID($E568,6,2))</f>
        <v/>
      </c>
      <c r="G568">
        <f>IF(OR($E568="",$E568="نامعتبر",Sync!$X564=""),"",IF(AND(LEFT(UPPER(TRIM(Sync!$X564)),2)="SL",IFERROR(VLOOKUP(Sync!$W564,OpTbl,3,0),"")="فروش"),UPPER(TRIM(Sync!$X564)),""))</f>
        <v/>
      </c>
      <c r="H568">
        <f>IF($G568="","",IF(Sync!$W564="","",Sync!$W564))</f>
        <v/>
      </c>
      <c r="I568">
        <f>IF(OR($G568="",Sync!$Y564=""),"",Sync!$Y564)</f>
        <v/>
      </c>
      <c r="J568">
        <f>IF(OR($G568="",Sync!$Z564=""),"",Sync!$Z564)</f>
        <v/>
      </c>
      <c r="K568">
        <f>IF($G568="",0,IF(Sync!$AA564="",0,Sync!$AA564))</f>
        <v/>
      </c>
      <c r="L568">
        <f>IF($G568="",0,IF(Sync!$AB564="",0,Sync!$AB564))</f>
        <v/>
      </c>
      <c r="M568">
        <f>IF($G568="","",IF($H568="مرجوعی فروش",-1,1)*($K568-$L568*IFERROR(VLOOKUP("P01",ParamTbl,3,0),1.5)))</f>
        <v/>
      </c>
      <c r="N568">
        <f>IF($G568="",0,IF($H568="مرجوعی فروش",-1,1)*IF(Sync!$AC564="",0,Sync!$AC564))</f>
        <v/>
      </c>
      <c r="O568">
        <f>IF(OR($G568="",Sync!$V564=""),"",Sync!$V564)</f>
        <v/>
      </c>
      <c r="P568">
        <f>IF(OR($G568="",Sync!$AD564=""),"",Sync!$AD564)</f>
        <v/>
      </c>
      <c r="Q568">
        <f>IF($G568="","",IF(Sync!$U564="","0000",IF(AND(ISNUMBER(Sync!$U564),Sync!$U564&gt;=0,Sync!$U564&lt;1),RIGHT("00"&amp;HOUR(Sync!$U564),2)&amp;RIGHT("00"&amp;MINUTE(Sync!$U564),2),IFERROR(RIGHT("00"&amp;VALUE(LEFT(Sync!$U564,FIND(":",Sync!$U564)-1)),2)&amp;RIGHT("00"&amp;VALUE(MID(Sync!$U564,FIND(":",Sync!$U564)+1,2)),2),"0000"))))</f>
        <v/>
      </c>
    </row>
    <row r="569">
      <c r="A569">
        <f>IF(Sync!$T565="","",Sync!$T565)</f>
        <v/>
      </c>
      <c r="B569">
        <f>IF($A569="","",IF(ISNUMBER($A569),IF(AND($A569&gt;=10000101,$A569&lt;=99991231),INT($A569/10000),""),IFERROR(VALUE(TRIM(LEFT($A569,FIND("/",$A569)-1))),"")))</f>
        <v/>
      </c>
      <c r="C569">
        <f>IF(OR($A569="",$B569=""),"",IF(ISNUMBER($A569),INT(MOD($A569,10000)/100),IFERROR(VALUE(TRIM(LEFT(MID($A569,FIND("/",$A569)+1,20),FIND("/",MID($A569,FIND("/",$A569)+1,20))-1))),"")))</f>
        <v/>
      </c>
      <c r="D569">
        <f>IF(OR($A569="",$B569=""),"",IF(ISNUMBER($A569),MOD($A569,100),IFERROR(VALUE(TRIM(MID(MID($A569,FIND("/",$A569)+1,20),FIND("/",MID($A569,FIND("/",$A569)+1,20))+1,20))),"")))</f>
        <v/>
      </c>
      <c r="E569">
        <f>IF($A569="","",IF(OR($B569="",$C569="",$D569="",$B569&lt;1300,$B569&gt;1500,$C569&lt;1,$C569&gt;12,$D569&lt;1,$D569&gt;31),"نامعتبر",RIGHT("0000"&amp;$B569,4)&amp;"/"&amp;RIGHT("00"&amp;$C569,2)&amp;"/"&amp;RIGHT("00"&amp;$D569,2)))</f>
        <v/>
      </c>
      <c r="F569">
        <f>IF(OR($E569="",$E569="نامعتبر"),"",LEFT($E569,4)&amp;"/"&amp;MID($E569,6,2))</f>
        <v/>
      </c>
      <c r="G569">
        <f>IF(OR($E569="",$E569="نامعتبر",Sync!$X565=""),"",IF(AND(LEFT(UPPER(TRIM(Sync!$X565)),2)="SL",IFERROR(VLOOKUP(Sync!$W565,OpTbl,3,0),"")="فروش"),UPPER(TRIM(Sync!$X565)),""))</f>
        <v/>
      </c>
      <c r="H569">
        <f>IF($G569="","",IF(Sync!$W565="","",Sync!$W565))</f>
        <v/>
      </c>
      <c r="I569">
        <f>IF(OR($G569="",Sync!$Y565=""),"",Sync!$Y565)</f>
        <v/>
      </c>
      <c r="J569">
        <f>IF(OR($G569="",Sync!$Z565=""),"",Sync!$Z565)</f>
        <v/>
      </c>
      <c r="K569">
        <f>IF($G569="",0,IF(Sync!$AA565="",0,Sync!$AA565))</f>
        <v/>
      </c>
      <c r="L569">
        <f>IF($G569="",0,IF(Sync!$AB565="",0,Sync!$AB565))</f>
        <v/>
      </c>
      <c r="M569">
        <f>IF($G569="","",IF($H569="مرجوعی فروش",-1,1)*($K569-$L569*IFERROR(VLOOKUP("P01",ParamTbl,3,0),1.5)))</f>
        <v/>
      </c>
      <c r="N569">
        <f>IF($G569="",0,IF($H569="مرجوعی فروش",-1,1)*IF(Sync!$AC565="",0,Sync!$AC565))</f>
        <v/>
      </c>
      <c r="O569">
        <f>IF(OR($G569="",Sync!$V565=""),"",Sync!$V565)</f>
        <v/>
      </c>
      <c r="P569">
        <f>IF(OR($G569="",Sync!$AD565=""),"",Sync!$AD565)</f>
        <v/>
      </c>
      <c r="Q569">
        <f>IF($G569="","",IF(Sync!$U565="","0000",IF(AND(ISNUMBER(Sync!$U565),Sync!$U565&gt;=0,Sync!$U565&lt;1),RIGHT("00"&amp;HOUR(Sync!$U565),2)&amp;RIGHT("00"&amp;MINUTE(Sync!$U565),2),IFERROR(RIGHT("00"&amp;VALUE(LEFT(Sync!$U565,FIND(":",Sync!$U565)-1)),2)&amp;RIGHT("00"&amp;VALUE(MID(Sync!$U565,FIND(":",Sync!$U565)+1,2)),2),"0000"))))</f>
        <v/>
      </c>
    </row>
    <row r="570">
      <c r="A570">
        <f>IF(Sync!$T566="","",Sync!$T566)</f>
        <v/>
      </c>
      <c r="B570">
        <f>IF($A570="","",IF(ISNUMBER($A570),IF(AND($A570&gt;=10000101,$A570&lt;=99991231),INT($A570/10000),""),IFERROR(VALUE(TRIM(LEFT($A570,FIND("/",$A570)-1))),"")))</f>
        <v/>
      </c>
      <c r="C570">
        <f>IF(OR($A570="",$B570=""),"",IF(ISNUMBER($A570),INT(MOD($A570,10000)/100),IFERROR(VALUE(TRIM(LEFT(MID($A570,FIND("/",$A570)+1,20),FIND("/",MID($A570,FIND("/",$A570)+1,20))-1))),"")))</f>
        <v/>
      </c>
      <c r="D570">
        <f>IF(OR($A570="",$B570=""),"",IF(ISNUMBER($A570),MOD($A570,100),IFERROR(VALUE(TRIM(MID(MID($A570,FIND("/",$A570)+1,20),FIND("/",MID($A570,FIND("/",$A570)+1,20))+1,20))),"")))</f>
        <v/>
      </c>
      <c r="E570">
        <f>IF($A570="","",IF(OR($B570="",$C570="",$D570="",$B570&lt;1300,$B570&gt;1500,$C570&lt;1,$C570&gt;12,$D570&lt;1,$D570&gt;31),"نامعتبر",RIGHT("0000"&amp;$B570,4)&amp;"/"&amp;RIGHT("00"&amp;$C570,2)&amp;"/"&amp;RIGHT("00"&amp;$D570,2)))</f>
        <v/>
      </c>
      <c r="F570">
        <f>IF(OR($E570="",$E570="نامعتبر"),"",LEFT($E570,4)&amp;"/"&amp;MID($E570,6,2))</f>
        <v/>
      </c>
      <c r="G570">
        <f>IF(OR($E570="",$E570="نامعتبر",Sync!$X566=""),"",IF(AND(LEFT(UPPER(TRIM(Sync!$X566)),2)="SL",IFERROR(VLOOKUP(Sync!$W566,OpTbl,3,0),"")="فروش"),UPPER(TRIM(Sync!$X566)),""))</f>
        <v/>
      </c>
      <c r="H570">
        <f>IF($G570="","",IF(Sync!$W566="","",Sync!$W566))</f>
        <v/>
      </c>
      <c r="I570">
        <f>IF(OR($G570="",Sync!$Y566=""),"",Sync!$Y566)</f>
        <v/>
      </c>
      <c r="J570">
        <f>IF(OR($G570="",Sync!$Z566=""),"",Sync!$Z566)</f>
        <v/>
      </c>
      <c r="K570">
        <f>IF($G570="",0,IF(Sync!$AA566="",0,Sync!$AA566))</f>
        <v/>
      </c>
      <c r="L570">
        <f>IF($G570="",0,IF(Sync!$AB566="",0,Sync!$AB566))</f>
        <v/>
      </c>
      <c r="M570">
        <f>IF($G570="","",IF($H570="مرجوعی فروش",-1,1)*($K570-$L570*IFERROR(VLOOKUP("P01",ParamTbl,3,0),1.5)))</f>
        <v/>
      </c>
      <c r="N570">
        <f>IF($G570="",0,IF($H570="مرجوعی فروش",-1,1)*IF(Sync!$AC566="",0,Sync!$AC566))</f>
        <v/>
      </c>
      <c r="O570">
        <f>IF(OR($G570="",Sync!$V566=""),"",Sync!$V566)</f>
        <v/>
      </c>
      <c r="P570">
        <f>IF(OR($G570="",Sync!$AD566=""),"",Sync!$AD566)</f>
        <v/>
      </c>
      <c r="Q570">
        <f>IF($G570="","",IF(Sync!$U566="","0000",IF(AND(ISNUMBER(Sync!$U566),Sync!$U566&gt;=0,Sync!$U566&lt;1),RIGHT("00"&amp;HOUR(Sync!$U566),2)&amp;RIGHT("00"&amp;MINUTE(Sync!$U566),2),IFERROR(RIGHT("00"&amp;VALUE(LEFT(Sync!$U566,FIND(":",Sync!$U566)-1)),2)&amp;RIGHT("00"&amp;VALUE(MID(Sync!$U566,FIND(":",Sync!$U566)+1,2)),2),"0000"))))</f>
        <v/>
      </c>
    </row>
    <row r="571">
      <c r="A571">
        <f>IF(Sync!$T567="","",Sync!$T567)</f>
        <v/>
      </c>
      <c r="B571">
        <f>IF($A571="","",IF(ISNUMBER($A571),IF(AND($A571&gt;=10000101,$A571&lt;=99991231),INT($A571/10000),""),IFERROR(VALUE(TRIM(LEFT($A571,FIND("/",$A571)-1))),"")))</f>
        <v/>
      </c>
      <c r="C571">
        <f>IF(OR($A571="",$B571=""),"",IF(ISNUMBER($A571),INT(MOD($A571,10000)/100),IFERROR(VALUE(TRIM(LEFT(MID($A571,FIND("/",$A571)+1,20),FIND("/",MID($A571,FIND("/",$A571)+1,20))-1))),"")))</f>
        <v/>
      </c>
      <c r="D571">
        <f>IF(OR($A571="",$B571=""),"",IF(ISNUMBER($A571),MOD($A571,100),IFERROR(VALUE(TRIM(MID(MID($A571,FIND("/",$A571)+1,20),FIND("/",MID($A571,FIND("/",$A571)+1,20))+1,20))),"")))</f>
        <v/>
      </c>
      <c r="E571">
        <f>IF($A571="","",IF(OR($B571="",$C571="",$D571="",$B571&lt;1300,$B571&gt;1500,$C571&lt;1,$C571&gt;12,$D571&lt;1,$D571&gt;31),"نامعتبر",RIGHT("0000"&amp;$B571,4)&amp;"/"&amp;RIGHT("00"&amp;$C571,2)&amp;"/"&amp;RIGHT("00"&amp;$D571,2)))</f>
        <v/>
      </c>
      <c r="F571">
        <f>IF(OR($E571="",$E571="نامعتبر"),"",LEFT($E571,4)&amp;"/"&amp;MID($E571,6,2))</f>
        <v/>
      </c>
      <c r="G571">
        <f>IF(OR($E571="",$E571="نامعتبر",Sync!$X567=""),"",IF(AND(LEFT(UPPER(TRIM(Sync!$X567)),2)="SL",IFERROR(VLOOKUP(Sync!$W567,OpTbl,3,0),"")="فروش"),UPPER(TRIM(Sync!$X567)),""))</f>
        <v/>
      </c>
      <c r="H571">
        <f>IF($G571="","",IF(Sync!$W567="","",Sync!$W567))</f>
        <v/>
      </c>
      <c r="I571">
        <f>IF(OR($G571="",Sync!$Y567=""),"",Sync!$Y567)</f>
        <v/>
      </c>
      <c r="J571">
        <f>IF(OR($G571="",Sync!$Z567=""),"",Sync!$Z567)</f>
        <v/>
      </c>
      <c r="K571">
        <f>IF($G571="",0,IF(Sync!$AA567="",0,Sync!$AA567))</f>
        <v/>
      </c>
      <c r="L571">
        <f>IF($G571="",0,IF(Sync!$AB567="",0,Sync!$AB567))</f>
        <v/>
      </c>
      <c r="M571">
        <f>IF($G571="","",IF($H571="مرجوعی فروش",-1,1)*($K571-$L571*IFERROR(VLOOKUP("P01",ParamTbl,3,0),1.5)))</f>
        <v/>
      </c>
      <c r="N571">
        <f>IF($G571="",0,IF($H571="مرجوعی فروش",-1,1)*IF(Sync!$AC567="",0,Sync!$AC567))</f>
        <v/>
      </c>
      <c r="O571">
        <f>IF(OR($G571="",Sync!$V567=""),"",Sync!$V567)</f>
        <v/>
      </c>
      <c r="P571">
        <f>IF(OR($G571="",Sync!$AD567=""),"",Sync!$AD567)</f>
        <v/>
      </c>
      <c r="Q571">
        <f>IF($G571="","",IF(Sync!$U567="","0000",IF(AND(ISNUMBER(Sync!$U567),Sync!$U567&gt;=0,Sync!$U567&lt;1),RIGHT("00"&amp;HOUR(Sync!$U567),2)&amp;RIGHT("00"&amp;MINUTE(Sync!$U567),2),IFERROR(RIGHT("00"&amp;VALUE(LEFT(Sync!$U567,FIND(":",Sync!$U567)-1)),2)&amp;RIGHT("00"&amp;VALUE(MID(Sync!$U567,FIND(":",Sync!$U567)+1,2)),2),"0000"))))</f>
        <v/>
      </c>
    </row>
    <row r="572">
      <c r="A572">
        <f>IF(Sync!$T568="","",Sync!$T568)</f>
        <v/>
      </c>
      <c r="B572">
        <f>IF($A572="","",IF(ISNUMBER($A572),IF(AND($A572&gt;=10000101,$A572&lt;=99991231),INT($A572/10000),""),IFERROR(VALUE(TRIM(LEFT($A572,FIND("/",$A572)-1))),"")))</f>
        <v/>
      </c>
      <c r="C572">
        <f>IF(OR($A572="",$B572=""),"",IF(ISNUMBER($A572),INT(MOD($A572,10000)/100),IFERROR(VALUE(TRIM(LEFT(MID($A572,FIND("/",$A572)+1,20),FIND("/",MID($A572,FIND("/",$A572)+1,20))-1))),"")))</f>
        <v/>
      </c>
      <c r="D572">
        <f>IF(OR($A572="",$B572=""),"",IF(ISNUMBER($A572),MOD($A572,100),IFERROR(VALUE(TRIM(MID(MID($A572,FIND("/",$A572)+1,20),FIND("/",MID($A572,FIND("/",$A572)+1,20))+1,20))),"")))</f>
        <v/>
      </c>
      <c r="E572">
        <f>IF($A572="","",IF(OR($B572="",$C572="",$D572="",$B572&lt;1300,$B572&gt;1500,$C572&lt;1,$C572&gt;12,$D572&lt;1,$D572&gt;31),"نامعتبر",RIGHT("0000"&amp;$B572,4)&amp;"/"&amp;RIGHT("00"&amp;$C572,2)&amp;"/"&amp;RIGHT("00"&amp;$D572,2)))</f>
        <v/>
      </c>
      <c r="F572">
        <f>IF(OR($E572="",$E572="نامعتبر"),"",LEFT($E572,4)&amp;"/"&amp;MID($E572,6,2))</f>
        <v/>
      </c>
      <c r="G572">
        <f>IF(OR($E572="",$E572="نامعتبر",Sync!$X568=""),"",IF(AND(LEFT(UPPER(TRIM(Sync!$X568)),2)="SL",IFERROR(VLOOKUP(Sync!$W568,OpTbl,3,0),"")="فروش"),UPPER(TRIM(Sync!$X568)),""))</f>
        <v/>
      </c>
      <c r="H572">
        <f>IF($G572="","",IF(Sync!$W568="","",Sync!$W568))</f>
        <v/>
      </c>
      <c r="I572">
        <f>IF(OR($G572="",Sync!$Y568=""),"",Sync!$Y568)</f>
        <v/>
      </c>
      <c r="J572">
        <f>IF(OR($G572="",Sync!$Z568=""),"",Sync!$Z568)</f>
        <v/>
      </c>
      <c r="K572">
        <f>IF($G572="",0,IF(Sync!$AA568="",0,Sync!$AA568))</f>
        <v/>
      </c>
      <c r="L572">
        <f>IF($G572="",0,IF(Sync!$AB568="",0,Sync!$AB568))</f>
        <v/>
      </c>
      <c r="M572">
        <f>IF($G572="","",IF($H572="مرجوعی فروش",-1,1)*($K572-$L572*IFERROR(VLOOKUP("P01",ParamTbl,3,0),1.5)))</f>
        <v/>
      </c>
      <c r="N572">
        <f>IF($G572="",0,IF($H572="مرجوعی فروش",-1,1)*IF(Sync!$AC568="",0,Sync!$AC568))</f>
        <v/>
      </c>
      <c r="O572">
        <f>IF(OR($G572="",Sync!$V568=""),"",Sync!$V568)</f>
        <v/>
      </c>
      <c r="P572">
        <f>IF(OR($G572="",Sync!$AD568=""),"",Sync!$AD568)</f>
        <v/>
      </c>
      <c r="Q572">
        <f>IF($G572="","",IF(Sync!$U568="","0000",IF(AND(ISNUMBER(Sync!$U568),Sync!$U568&gt;=0,Sync!$U568&lt;1),RIGHT("00"&amp;HOUR(Sync!$U568),2)&amp;RIGHT("00"&amp;MINUTE(Sync!$U568),2),IFERROR(RIGHT("00"&amp;VALUE(LEFT(Sync!$U568,FIND(":",Sync!$U568)-1)),2)&amp;RIGHT("00"&amp;VALUE(MID(Sync!$U568,FIND(":",Sync!$U568)+1,2)),2),"0000"))))</f>
        <v/>
      </c>
    </row>
    <row r="573">
      <c r="A573">
        <f>IF(Sync!$T569="","",Sync!$T569)</f>
        <v/>
      </c>
      <c r="B573">
        <f>IF($A573="","",IF(ISNUMBER($A573),IF(AND($A573&gt;=10000101,$A573&lt;=99991231),INT($A573/10000),""),IFERROR(VALUE(TRIM(LEFT($A573,FIND("/",$A573)-1))),"")))</f>
        <v/>
      </c>
      <c r="C573">
        <f>IF(OR($A573="",$B573=""),"",IF(ISNUMBER($A573),INT(MOD($A573,10000)/100),IFERROR(VALUE(TRIM(LEFT(MID($A573,FIND("/",$A573)+1,20),FIND("/",MID($A573,FIND("/",$A573)+1,20))-1))),"")))</f>
        <v/>
      </c>
      <c r="D573">
        <f>IF(OR($A573="",$B573=""),"",IF(ISNUMBER($A573),MOD($A573,100),IFERROR(VALUE(TRIM(MID(MID($A573,FIND("/",$A573)+1,20),FIND("/",MID($A573,FIND("/",$A573)+1,20))+1,20))),"")))</f>
        <v/>
      </c>
      <c r="E573">
        <f>IF($A573="","",IF(OR($B573="",$C573="",$D573="",$B573&lt;1300,$B573&gt;1500,$C573&lt;1,$C573&gt;12,$D573&lt;1,$D573&gt;31),"نامعتبر",RIGHT("0000"&amp;$B573,4)&amp;"/"&amp;RIGHT("00"&amp;$C573,2)&amp;"/"&amp;RIGHT("00"&amp;$D573,2)))</f>
        <v/>
      </c>
      <c r="F573">
        <f>IF(OR($E573="",$E573="نامعتبر"),"",LEFT($E573,4)&amp;"/"&amp;MID($E573,6,2))</f>
        <v/>
      </c>
      <c r="G573">
        <f>IF(OR($E573="",$E573="نامعتبر",Sync!$X569=""),"",IF(AND(LEFT(UPPER(TRIM(Sync!$X569)),2)="SL",IFERROR(VLOOKUP(Sync!$W569,OpTbl,3,0),"")="فروش"),UPPER(TRIM(Sync!$X569)),""))</f>
        <v/>
      </c>
      <c r="H573">
        <f>IF($G573="","",IF(Sync!$W569="","",Sync!$W569))</f>
        <v/>
      </c>
      <c r="I573">
        <f>IF(OR($G573="",Sync!$Y569=""),"",Sync!$Y569)</f>
        <v/>
      </c>
      <c r="J573">
        <f>IF(OR($G573="",Sync!$Z569=""),"",Sync!$Z569)</f>
        <v/>
      </c>
      <c r="K573">
        <f>IF($G573="",0,IF(Sync!$AA569="",0,Sync!$AA569))</f>
        <v/>
      </c>
      <c r="L573">
        <f>IF($G573="",0,IF(Sync!$AB569="",0,Sync!$AB569))</f>
        <v/>
      </c>
      <c r="M573">
        <f>IF($G573="","",IF($H573="مرجوعی فروش",-1,1)*($K573-$L573*IFERROR(VLOOKUP("P01",ParamTbl,3,0),1.5)))</f>
        <v/>
      </c>
      <c r="N573">
        <f>IF($G573="",0,IF($H573="مرجوعی فروش",-1,1)*IF(Sync!$AC569="",0,Sync!$AC569))</f>
        <v/>
      </c>
      <c r="O573">
        <f>IF(OR($G573="",Sync!$V569=""),"",Sync!$V569)</f>
        <v/>
      </c>
      <c r="P573">
        <f>IF(OR($G573="",Sync!$AD569=""),"",Sync!$AD569)</f>
        <v/>
      </c>
      <c r="Q573">
        <f>IF($G573="","",IF(Sync!$U569="","0000",IF(AND(ISNUMBER(Sync!$U569),Sync!$U569&gt;=0,Sync!$U569&lt;1),RIGHT("00"&amp;HOUR(Sync!$U569),2)&amp;RIGHT("00"&amp;MINUTE(Sync!$U569),2),IFERROR(RIGHT("00"&amp;VALUE(LEFT(Sync!$U569,FIND(":",Sync!$U569)-1)),2)&amp;RIGHT("00"&amp;VALUE(MID(Sync!$U569,FIND(":",Sync!$U569)+1,2)),2),"0000"))))</f>
        <v/>
      </c>
    </row>
    <row r="574">
      <c r="A574">
        <f>IF(Sync!$T570="","",Sync!$T570)</f>
        <v/>
      </c>
      <c r="B574">
        <f>IF($A574="","",IF(ISNUMBER($A574),IF(AND($A574&gt;=10000101,$A574&lt;=99991231),INT($A574/10000),""),IFERROR(VALUE(TRIM(LEFT($A574,FIND("/",$A574)-1))),"")))</f>
        <v/>
      </c>
      <c r="C574">
        <f>IF(OR($A574="",$B574=""),"",IF(ISNUMBER($A574),INT(MOD($A574,10000)/100),IFERROR(VALUE(TRIM(LEFT(MID($A574,FIND("/",$A574)+1,20),FIND("/",MID($A574,FIND("/",$A574)+1,20))-1))),"")))</f>
        <v/>
      </c>
      <c r="D574">
        <f>IF(OR($A574="",$B574=""),"",IF(ISNUMBER($A574),MOD($A574,100),IFERROR(VALUE(TRIM(MID(MID($A574,FIND("/",$A574)+1,20),FIND("/",MID($A574,FIND("/",$A574)+1,20))+1,20))),"")))</f>
        <v/>
      </c>
      <c r="E574">
        <f>IF($A574="","",IF(OR($B574="",$C574="",$D574="",$B574&lt;1300,$B574&gt;1500,$C574&lt;1,$C574&gt;12,$D574&lt;1,$D574&gt;31),"نامعتبر",RIGHT("0000"&amp;$B574,4)&amp;"/"&amp;RIGHT("00"&amp;$C574,2)&amp;"/"&amp;RIGHT("00"&amp;$D574,2)))</f>
        <v/>
      </c>
      <c r="F574">
        <f>IF(OR($E574="",$E574="نامعتبر"),"",LEFT($E574,4)&amp;"/"&amp;MID($E574,6,2))</f>
        <v/>
      </c>
      <c r="G574">
        <f>IF(OR($E574="",$E574="نامعتبر",Sync!$X570=""),"",IF(AND(LEFT(UPPER(TRIM(Sync!$X570)),2)="SL",IFERROR(VLOOKUP(Sync!$W570,OpTbl,3,0),"")="فروش"),UPPER(TRIM(Sync!$X570)),""))</f>
        <v/>
      </c>
      <c r="H574">
        <f>IF($G574="","",IF(Sync!$W570="","",Sync!$W570))</f>
        <v/>
      </c>
      <c r="I574">
        <f>IF(OR($G574="",Sync!$Y570=""),"",Sync!$Y570)</f>
        <v/>
      </c>
      <c r="J574">
        <f>IF(OR($G574="",Sync!$Z570=""),"",Sync!$Z570)</f>
        <v/>
      </c>
      <c r="K574">
        <f>IF($G574="",0,IF(Sync!$AA570="",0,Sync!$AA570))</f>
        <v/>
      </c>
      <c r="L574">
        <f>IF($G574="",0,IF(Sync!$AB570="",0,Sync!$AB570))</f>
        <v/>
      </c>
      <c r="M574">
        <f>IF($G574="","",IF($H574="مرجوعی فروش",-1,1)*($K574-$L574*IFERROR(VLOOKUP("P01",ParamTbl,3,0),1.5)))</f>
        <v/>
      </c>
      <c r="N574">
        <f>IF($G574="",0,IF($H574="مرجوعی فروش",-1,1)*IF(Sync!$AC570="",0,Sync!$AC570))</f>
        <v/>
      </c>
      <c r="O574">
        <f>IF(OR($G574="",Sync!$V570=""),"",Sync!$V570)</f>
        <v/>
      </c>
      <c r="P574">
        <f>IF(OR($G574="",Sync!$AD570=""),"",Sync!$AD570)</f>
        <v/>
      </c>
      <c r="Q574">
        <f>IF($G574="","",IF(Sync!$U570="","0000",IF(AND(ISNUMBER(Sync!$U570),Sync!$U570&gt;=0,Sync!$U570&lt;1),RIGHT("00"&amp;HOUR(Sync!$U570),2)&amp;RIGHT("00"&amp;MINUTE(Sync!$U570),2),IFERROR(RIGHT("00"&amp;VALUE(LEFT(Sync!$U570,FIND(":",Sync!$U570)-1)),2)&amp;RIGHT("00"&amp;VALUE(MID(Sync!$U570,FIND(":",Sync!$U570)+1,2)),2),"0000"))))</f>
        <v/>
      </c>
    </row>
    <row r="575">
      <c r="A575">
        <f>IF(Sync!$T571="","",Sync!$T571)</f>
        <v/>
      </c>
      <c r="B575">
        <f>IF($A575="","",IF(ISNUMBER($A575),IF(AND($A575&gt;=10000101,$A575&lt;=99991231),INT($A575/10000),""),IFERROR(VALUE(TRIM(LEFT($A575,FIND("/",$A575)-1))),"")))</f>
        <v/>
      </c>
      <c r="C575">
        <f>IF(OR($A575="",$B575=""),"",IF(ISNUMBER($A575),INT(MOD($A575,10000)/100),IFERROR(VALUE(TRIM(LEFT(MID($A575,FIND("/",$A575)+1,20),FIND("/",MID($A575,FIND("/",$A575)+1,20))-1))),"")))</f>
        <v/>
      </c>
      <c r="D575">
        <f>IF(OR($A575="",$B575=""),"",IF(ISNUMBER($A575),MOD($A575,100),IFERROR(VALUE(TRIM(MID(MID($A575,FIND("/",$A575)+1,20),FIND("/",MID($A575,FIND("/",$A575)+1,20))+1,20))),"")))</f>
        <v/>
      </c>
      <c r="E575">
        <f>IF($A575="","",IF(OR($B575="",$C575="",$D575="",$B575&lt;1300,$B575&gt;1500,$C575&lt;1,$C575&gt;12,$D575&lt;1,$D575&gt;31),"نامعتبر",RIGHT("0000"&amp;$B575,4)&amp;"/"&amp;RIGHT("00"&amp;$C575,2)&amp;"/"&amp;RIGHT("00"&amp;$D575,2)))</f>
        <v/>
      </c>
      <c r="F575">
        <f>IF(OR($E575="",$E575="نامعتبر"),"",LEFT($E575,4)&amp;"/"&amp;MID($E575,6,2))</f>
        <v/>
      </c>
      <c r="G575">
        <f>IF(OR($E575="",$E575="نامعتبر",Sync!$X571=""),"",IF(AND(LEFT(UPPER(TRIM(Sync!$X571)),2)="SL",IFERROR(VLOOKUP(Sync!$W571,OpTbl,3,0),"")="فروش"),UPPER(TRIM(Sync!$X571)),""))</f>
        <v/>
      </c>
      <c r="H575">
        <f>IF($G575="","",IF(Sync!$W571="","",Sync!$W571))</f>
        <v/>
      </c>
      <c r="I575">
        <f>IF(OR($G575="",Sync!$Y571=""),"",Sync!$Y571)</f>
        <v/>
      </c>
      <c r="J575">
        <f>IF(OR($G575="",Sync!$Z571=""),"",Sync!$Z571)</f>
        <v/>
      </c>
      <c r="K575">
        <f>IF($G575="",0,IF(Sync!$AA571="",0,Sync!$AA571))</f>
        <v/>
      </c>
      <c r="L575">
        <f>IF($G575="",0,IF(Sync!$AB571="",0,Sync!$AB571))</f>
        <v/>
      </c>
      <c r="M575">
        <f>IF($G575="","",IF($H575="مرجوعی فروش",-1,1)*($K575-$L575*IFERROR(VLOOKUP("P01",ParamTbl,3,0),1.5)))</f>
        <v/>
      </c>
      <c r="N575">
        <f>IF($G575="",0,IF($H575="مرجوعی فروش",-1,1)*IF(Sync!$AC571="",0,Sync!$AC571))</f>
        <v/>
      </c>
      <c r="O575">
        <f>IF(OR($G575="",Sync!$V571=""),"",Sync!$V571)</f>
        <v/>
      </c>
      <c r="P575">
        <f>IF(OR($G575="",Sync!$AD571=""),"",Sync!$AD571)</f>
        <v/>
      </c>
      <c r="Q575">
        <f>IF($G575="","",IF(Sync!$U571="","0000",IF(AND(ISNUMBER(Sync!$U571),Sync!$U571&gt;=0,Sync!$U571&lt;1),RIGHT("00"&amp;HOUR(Sync!$U571),2)&amp;RIGHT("00"&amp;MINUTE(Sync!$U571),2),IFERROR(RIGHT("00"&amp;VALUE(LEFT(Sync!$U571,FIND(":",Sync!$U571)-1)),2)&amp;RIGHT("00"&amp;VALUE(MID(Sync!$U571,FIND(":",Sync!$U571)+1,2)),2),"0000"))))</f>
        <v/>
      </c>
    </row>
    <row r="576">
      <c r="A576">
        <f>IF(Sync!$T572="","",Sync!$T572)</f>
        <v/>
      </c>
      <c r="B576">
        <f>IF($A576="","",IF(ISNUMBER($A576),IF(AND($A576&gt;=10000101,$A576&lt;=99991231),INT($A576/10000),""),IFERROR(VALUE(TRIM(LEFT($A576,FIND("/",$A576)-1))),"")))</f>
        <v/>
      </c>
      <c r="C576">
        <f>IF(OR($A576="",$B576=""),"",IF(ISNUMBER($A576),INT(MOD($A576,10000)/100),IFERROR(VALUE(TRIM(LEFT(MID($A576,FIND("/",$A576)+1,20),FIND("/",MID($A576,FIND("/",$A576)+1,20))-1))),"")))</f>
        <v/>
      </c>
      <c r="D576">
        <f>IF(OR($A576="",$B576=""),"",IF(ISNUMBER($A576),MOD($A576,100),IFERROR(VALUE(TRIM(MID(MID($A576,FIND("/",$A576)+1,20),FIND("/",MID($A576,FIND("/",$A576)+1,20))+1,20))),"")))</f>
        <v/>
      </c>
      <c r="E576">
        <f>IF($A576="","",IF(OR($B576="",$C576="",$D576="",$B576&lt;1300,$B576&gt;1500,$C576&lt;1,$C576&gt;12,$D576&lt;1,$D576&gt;31),"نامعتبر",RIGHT("0000"&amp;$B576,4)&amp;"/"&amp;RIGHT("00"&amp;$C576,2)&amp;"/"&amp;RIGHT("00"&amp;$D576,2)))</f>
        <v/>
      </c>
      <c r="F576">
        <f>IF(OR($E576="",$E576="نامعتبر"),"",LEFT($E576,4)&amp;"/"&amp;MID($E576,6,2))</f>
        <v/>
      </c>
      <c r="G576">
        <f>IF(OR($E576="",$E576="نامعتبر",Sync!$X572=""),"",IF(AND(LEFT(UPPER(TRIM(Sync!$X572)),2)="SL",IFERROR(VLOOKUP(Sync!$W572,OpTbl,3,0),"")="فروش"),UPPER(TRIM(Sync!$X572)),""))</f>
        <v/>
      </c>
      <c r="H576">
        <f>IF($G576="","",IF(Sync!$W572="","",Sync!$W572))</f>
        <v/>
      </c>
      <c r="I576">
        <f>IF(OR($G576="",Sync!$Y572=""),"",Sync!$Y572)</f>
        <v/>
      </c>
      <c r="J576">
        <f>IF(OR($G576="",Sync!$Z572=""),"",Sync!$Z572)</f>
        <v/>
      </c>
      <c r="K576">
        <f>IF($G576="",0,IF(Sync!$AA572="",0,Sync!$AA572))</f>
        <v/>
      </c>
      <c r="L576">
        <f>IF($G576="",0,IF(Sync!$AB572="",0,Sync!$AB572))</f>
        <v/>
      </c>
      <c r="M576">
        <f>IF($G576="","",IF($H576="مرجوعی فروش",-1,1)*($K576-$L576*IFERROR(VLOOKUP("P01",ParamTbl,3,0),1.5)))</f>
        <v/>
      </c>
      <c r="N576">
        <f>IF($G576="",0,IF($H576="مرجوعی فروش",-1,1)*IF(Sync!$AC572="",0,Sync!$AC572))</f>
        <v/>
      </c>
      <c r="O576">
        <f>IF(OR($G576="",Sync!$V572=""),"",Sync!$V572)</f>
        <v/>
      </c>
      <c r="P576">
        <f>IF(OR($G576="",Sync!$AD572=""),"",Sync!$AD572)</f>
        <v/>
      </c>
      <c r="Q576">
        <f>IF($G576="","",IF(Sync!$U572="","0000",IF(AND(ISNUMBER(Sync!$U572),Sync!$U572&gt;=0,Sync!$U572&lt;1),RIGHT("00"&amp;HOUR(Sync!$U572),2)&amp;RIGHT("00"&amp;MINUTE(Sync!$U572),2),IFERROR(RIGHT("00"&amp;VALUE(LEFT(Sync!$U572,FIND(":",Sync!$U572)-1)),2)&amp;RIGHT("00"&amp;VALUE(MID(Sync!$U572,FIND(":",Sync!$U572)+1,2)),2),"0000"))))</f>
        <v/>
      </c>
    </row>
    <row r="577">
      <c r="A577">
        <f>IF(Sync!$T573="","",Sync!$T573)</f>
        <v/>
      </c>
      <c r="B577">
        <f>IF($A577="","",IF(ISNUMBER($A577),IF(AND($A577&gt;=10000101,$A577&lt;=99991231),INT($A577/10000),""),IFERROR(VALUE(TRIM(LEFT($A577,FIND("/",$A577)-1))),"")))</f>
        <v/>
      </c>
      <c r="C577">
        <f>IF(OR($A577="",$B577=""),"",IF(ISNUMBER($A577),INT(MOD($A577,10000)/100),IFERROR(VALUE(TRIM(LEFT(MID($A577,FIND("/",$A577)+1,20),FIND("/",MID($A577,FIND("/",$A577)+1,20))-1))),"")))</f>
        <v/>
      </c>
      <c r="D577">
        <f>IF(OR($A577="",$B577=""),"",IF(ISNUMBER($A577),MOD($A577,100),IFERROR(VALUE(TRIM(MID(MID($A577,FIND("/",$A577)+1,20),FIND("/",MID($A577,FIND("/",$A577)+1,20))+1,20))),"")))</f>
        <v/>
      </c>
      <c r="E577">
        <f>IF($A577="","",IF(OR($B577="",$C577="",$D577="",$B577&lt;1300,$B577&gt;1500,$C577&lt;1,$C577&gt;12,$D577&lt;1,$D577&gt;31),"نامعتبر",RIGHT("0000"&amp;$B577,4)&amp;"/"&amp;RIGHT("00"&amp;$C577,2)&amp;"/"&amp;RIGHT("00"&amp;$D577,2)))</f>
        <v/>
      </c>
      <c r="F577">
        <f>IF(OR($E577="",$E577="نامعتبر"),"",LEFT($E577,4)&amp;"/"&amp;MID($E577,6,2))</f>
        <v/>
      </c>
      <c r="G577">
        <f>IF(OR($E577="",$E577="نامعتبر",Sync!$X573=""),"",IF(AND(LEFT(UPPER(TRIM(Sync!$X573)),2)="SL",IFERROR(VLOOKUP(Sync!$W573,OpTbl,3,0),"")="فروش"),UPPER(TRIM(Sync!$X573)),""))</f>
        <v/>
      </c>
      <c r="H577">
        <f>IF($G577="","",IF(Sync!$W573="","",Sync!$W573))</f>
        <v/>
      </c>
      <c r="I577">
        <f>IF(OR($G577="",Sync!$Y573=""),"",Sync!$Y573)</f>
        <v/>
      </c>
      <c r="J577">
        <f>IF(OR($G577="",Sync!$Z573=""),"",Sync!$Z573)</f>
        <v/>
      </c>
      <c r="K577">
        <f>IF($G577="",0,IF(Sync!$AA573="",0,Sync!$AA573))</f>
        <v/>
      </c>
      <c r="L577">
        <f>IF($G577="",0,IF(Sync!$AB573="",0,Sync!$AB573))</f>
        <v/>
      </c>
      <c r="M577">
        <f>IF($G577="","",IF($H577="مرجوعی فروش",-1,1)*($K577-$L577*IFERROR(VLOOKUP("P01",ParamTbl,3,0),1.5)))</f>
        <v/>
      </c>
      <c r="N577">
        <f>IF($G577="",0,IF($H577="مرجوعی فروش",-1,1)*IF(Sync!$AC573="",0,Sync!$AC573))</f>
        <v/>
      </c>
      <c r="O577">
        <f>IF(OR($G577="",Sync!$V573=""),"",Sync!$V573)</f>
        <v/>
      </c>
      <c r="P577">
        <f>IF(OR($G577="",Sync!$AD573=""),"",Sync!$AD573)</f>
        <v/>
      </c>
      <c r="Q577">
        <f>IF($G577="","",IF(Sync!$U573="","0000",IF(AND(ISNUMBER(Sync!$U573),Sync!$U573&gt;=0,Sync!$U573&lt;1),RIGHT("00"&amp;HOUR(Sync!$U573),2)&amp;RIGHT("00"&amp;MINUTE(Sync!$U573),2),IFERROR(RIGHT("00"&amp;VALUE(LEFT(Sync!$U573,FIND(":",Sync!$U573)-1)),2)&amp;RIGHT("00"&amp;VALUE(MID(Sync!$U573,FIND(":",Sync!$U573)+1,2)),2),"0000"))))</f>
        <v/>
      </c>
    </row>
    <row r="578">
      <c r="A578">
        <f>IF(Sync!$T574="","",Sync!$T574)</f>
        <v/>
      </c>
      <c r="B578">
        <f>IF($A578="","",IF(ISNUMBER($A578),IF(AND($A578&gt;=10000101,$A578&lt;=99991231),INT($A578/10000),""),IFERROR(VALUE(TRIM(LEFT($A578,FIND("/",$A578)-1))),"")))</f>
        <v/>
      </c>
      <c r="C578">
        <f>IF(OR($A578="",$B578=""),"",IF(ISNUMBER($A578),INT(MOD($A578,10000)/100),IFERROR(VALUE(TRIM(LEFT(MID($A578,FIND("/",$A578)+1,20),FIND("/",MID($A578,FIND("/",$A578)+1,20))-1))),"")))</f>
        <v/>
      </c>
      <c r="D578">
        <f>IF(OR($A578="",$B578=""),"",IF(ISNUMBER($A578),MOD($A578,100),IFERROR(VALUE(TRIM(MID(MID($A578,FIND("/",$A578)+1,20),FIND("/",MID($A578,FIND("/",$A578)+1,20))+1,20))),"")))</f>
        <v/>
      </c>
      <c r="E578">
        <f>IF($A578="","",IF(OR($B578="",$C578="",$D578="",$B578&lt;1300,$B578&gt;1500,$C578&lt;1,$C578&gt;12,$D578&lt;1,$D578&gt;31),"نامعتبر",RIGHT("0000"&amp;$B578,4)&amp;"/"&amp;RIGHT("00"&amp;$C578,2)&amp;"/"&amp;RIGHT("00"&amp;$D578,2)))</f>
        <v/>
      </c>
      <c r="F578">
        <f>IF(OR($E578="",$E578="نامعتبر"),"",LEFT($E578,4)&amp;"/"&amp;MID($E578,6,2))</f>
        <v/>
      </c>
      <c r="G578">
        <f>IF(OR($E578="",$E578="نامعتبر",Sync!$X574=""),"",IF(AND(LEFT(UPPER(TRIM(Sync!$X574)),2)="SL",IFERROR(VLOOKUP(Sync!$W574,OpTbl,3,0),"")="فروش"),UPPER(TRIM(Sync!$X574)),""))</f>
        <v/>
      </c>
      <c r="H578">
        <f>IF($G578="","",IF(Sync!$W574="","",Sync!$W574))</f>
        <v/>
      </c>
      <c r="I578">
        <f>IF(OR($G578="",Sync!$Y574=""),"",Sync!$Y574)</f>
        <v/>
      </c>
      <c r="J578">
        <f>IF(OR($G578="",Sync!$Z574=""),"",Sync!$Z574)</f>
        <v/>
      </c>
      <c r="K578">
        <f>IF($G578="",0,IF(Sync!$AA574="",0,Sync!$AA574))</f>
        <v/>
      </c>
      <c r="L578">
        <f>IF($G578="",0,IF(Sync!$AB574="",0,Sync!$AB574))</f>
        <v/>
      </c>
      <c r="M578">
        <f>IF($G578="","",IF($H578="مرجوعی فروش",-1,1)*($K578-$L578*IFERROR(VLOOKUP("P01",ParamTbl,3,0),1.5)))</f>
        <v/>
      </c>
      <c r="N578">
        <f>IF($G578="",0,IF($H578="مرجوعی فروش",-1,1)*IF(Sync!$AC574="",0,Sync!$AC574))</f>
        <v/>
      </c>
      <c r="O578">
        <f>IF(OR($G578="",Sync!$V574=""),"",Sync!$V574)</f>
        <v/>
      </c>
      <c r="P578">
        <f>IF(OR($G578="",Sync!$AD574=""),"",Sync!$AD574)</f>
        <v/>
      </c>
      <c r="Q578">
        <f>IF($G578="","",IF(Sync!$U574="","0000",IF(AND(ISNUMBER(Sync!$U574),Sync!$U574&gt;=0,Sync!$U574&lt;1),RIGHT("00"&amp;HOUR(Sync!$U574),2)&amp;RIGHT("00"&amp;MINUTE(Sync!$U574),2),IFERROR(RIGHT("00"&amp;VALUE(LEFT(Sync!$U574,FIND(":",Sync!$U574)-1)),2)&amp;RIGHT("00"&amp;VALUE(MID(Sync!$U574,FIND(":",Sync!$U574)+1,2)),2),"0000"))))</f>
        <v/>
      </c>
    </row>
    <row r="579">
      <c r="A579">
        <f>IF(Sync!$T575="","",Sync!$T575)</f>
        <v/>
      </c>
      <c r="B579">
        <f>IF($A579="","",IF(ISNUMBER($A579),IF(AND($A579&gt;=10000101,$A579&lt;=99991231),INT($A579/10000),""),IFERROR(VALUE(TRIM(LEFT($A579,FIND("/",$A579)-1))),"")))</f>
        <v/>
      </c>
      <c r="C579">
        <f>IF(OR($A579="",$B579=""),"",IF(ISNUMBER($A579),INT(MOD($A579,10000)/100),IFERROR(VALUE(TRIM(LEFT(MID($A579,FIND("/",$A579)+1,20),FIND("/",MID($A579,FIND("/",$A579)+1,20))-1))),"")))</f>
        <v/>
      </c>
      <c r="D579">
        <f>IF(OR($A579="",$B579=""),"",IF(ISNUMBER($A579),MOD($A579,100),IFERROR(VALUE(TRIM(MID(MID($A579,FIND("/",$A579)+1,20),FIND("/",MID($A579,FIND("/",$A579)+1,20))+1,20))),"")))</f>
        <v/>
      </c>
      <c r="E579">
        <f>IF($A579="","",IF(OR($B579="",$C579="",$D579="",$B579&lt;1300,$B579&gt;1500,$C579&lt;1,$C579&gt;12,$D579&lt;1,$D579&gt;31),"نامعتبر",RIGHT("0000"&amp;$B579,4)&amp;"/"&amp;RIGHT("00"&amp;$C579,2)&amp;"/"&amp;RIGHT("00"&amp;$D579,2)))</f>
        <v/>
      </c>
      <c r="F579">
        <f>IF(OR($E579="",$E579="نامعتبر"),"",LEFT($E579,4)&amp;"/"&amp;MID($E579,6,2))</f>
        <v/>
      </c>
      <c r="G579">
        <f>IF(OR($E579="",$E579="نامعتبر",Sync!$X575=""),"",IF(AND(LEFT(UPPER(TRIM(Sync!$X575)),2)="SL",IFERROR(VLOOKUP(Sync!$W575,OpTbl,3,0),"")="فروش"),UPPER(TRIM(Sync!$X575)),""))</f>
        <v/>
      </c>
      <c r="H579">
        <f>IF($G579="","",IF(Sync!$W575="","",Sync!$W575))</f>
        <v/>
      </c>
      <c r="I579">
        <f>IF(OR($G579="",Sync!$Y575=""),"",Sync!$Y575)</f>
        <v/>
      </c>
      <c r="J579">
        <f>IF(OR($G579="",Sync!$Z575=""),"",Sync!$Z575)</f>
        <v/>
      </c>
      <c r="K579">
        <f>IF($G579="",0,IF(Sync!$AA575="",0,Sync!$AA575))</f>
        <v/>
      </c>
      <c r="L579">
        <f>IF($G579="",0,IF(Sync!$AB575="",0,Sync!$AB575))</f>
        <v/>
      </c>
      <c r="M579">
        <f>IF($G579="","",IF($H579="مرجوعی فروش",-1,1)*($K579-$L579*IFERROR(VLOOKUP("P01",ParamTbl,3,0),1.5)))</f>
        <v/>
      </c>
      <c r="N579">
        <f>IF($G579="",0,IF($H579="مرجوعی فروش",-1,1)*IF(Sync!$AC575="",0,Sync!$AC575))</f>
        <v/>
      </c>
      <c r="O579">
        <f>IF(OR($G579="",Sync!$V575=""),"",Sync!$V575)</f>
        <v/>
      </c>
      <c r="P579">
        <f>IF(OR($G579="",Sync!$AD575=""),"",Sync!$AD575)</f>
        <v/>
      </c>
      <c r="Q579">
        <f>IF($G579="","",IF(Sync!$U575="","0000",IF(AND(ISNUMBER(Sync!$U575),Sync!$U575&gt;=0,Sync!$U575&lt;1),RIGHT("00"&amp;HOUR(Sync!$U575),2)&amp;RIGHT("00"&amp;MINUTE(Sync!$U575),2),IFERROR(RIGHT("00"&amp;VALUE(LEFT(Sync!$U575,FIND(":",Sync!$U575)-1)),2)&amp;RIGHT("00"&amp;VALUE(MID(Sync!$U575,FIND(":",Sync!$U575)+1,2)),2),"0000"))))</f>
        <v/>
      </c>
    </row>
    <row r="580">
      <c r="A580">
        <f>IF(Sync!$T576="","",Sync!$T576)</f>
        <v/>
      </c>
      <c r="B580">
        <f>IF($A580="","",IF(ISNUMBER($A580),IF(AND($A580&gt;=10000101,$A580&lt;=99991231),INT($A580/10000),""),IFERROR(VALUE(TRIM(LEFT($A580,FIND("/",$A580)-1))),"")))</f>
        <v/>
      </c>
      <c r="C580">
        <f>IF(OR($A580="",$B580=""),"",IF(ISNUMBER($A580),INT(MOD($A580,10000)/100),IFERROR(VALUE(TRIM(LEFT(MID($A580,FIND("/",$A580)+1,20),FIND("/",MID($A580,FIND("/",$A580)+1,20))-1))),"")))</f>
        <v/>
      </c>
      <c r="D580">
        <f>IF(OR($A580="",$B580=""),"",IF(ISNUMBER($A580),MOD($A580,100),IFERROR(VALUE(TRIM(MID(MID($A580,FIND("/",$A580)+1,20),FIND("/",MID($A580,FIND("/",$A580)+1,20))+1,20))),"")))</f>
        <v/>
      </c>
      <c r="E580">
        <f>IF($A580="","",IF(OR($B580="",$C580="",$D580="",$B580&lt;1300,$B580&gt;1500,$C580&lt;1,$C580&gt;12,$D580&lt;1,$D580&gt;31),"نامعتبر",RIGHT("0000"&amp;$B580,4)&amp;"/"&amp;RIGHT("00"&amp;$C580,2)&amp;"/"&amp;RIGHT("00"&amp;$D580,2)))</f>
        <v/>
      </c>
      <c r="F580">
        <f>IF(OR($E580="",$E580="نامعتبر"),"",LEFT($E580,4)&amp;"/"&amp;MID($E580,6,2))</f>
        <v/>
      </c>
      <c r="G580">
        <f>IF(OR($E580="",$E580="نامعتبر",Sync!$X576=""),"",IF(AND(LEFT(UPPER(TRIM(Sync!$X576)),2)="SL",IFERROR(VLOOKUP(Sync!$W576,OpTbl,3,0),"")="فروش"),UPPER(TRIM(Sync!$X576)),""))</f>
        <v/>
      </c>
      <c r="H580">
        <f>IF($G580="","",IF(Sync!$W576="","",Sync!$W576))</f>
        <v/>
      </c>
      <c r="I580">
        <f>IF(OR($G580="",Sync!$Y576=""),"",Sync!$Y576)</f>
        <v/>
      </c>
      <c r="J580">
        <f>IF(OR($G580="",Sync!$Z576=""),"",Sync!$Z576)</f>
        <v/>
      </c>
      <c r="K580">
        <f>IF($G580="",0,IF(Sync!$AA576="",0,Sync!$AA576))</f>
        <v/>
      </c>
      <c r="L580">
        <f>IF($G580="",0,IF(Sync!$AB576="",0,Sync!$AB576))</f>
        <v/>
      </c>
      <c r="M580">
        <f>IF($G580="","",IF($H580="مرجوعی فروش",-1,1)*($K580-$L580*IFERROR(VLOOKUP("P01",ParamTbl,3,0),1.5)))</f>
        <v/>
      </c>
      <c r="N580">
        <f>IF($G580="",0,IF($H580="مرجوعی فروش",-1,1)*IF(Sync!$AC576="",0,Sync!$AC576))</f>
        <v/>
      </c>
      <c r="O580">
        <f>IF(OR($G580="",Sync!$V576=""),"",Sync!$V576)</f>
        <v/>
      </c>
      <c r="P580">
        <f>IF(OR($G580="",Sync!$AD576=""),"",Sync!$AD576)</f>
        <v/>
      </c>
      <c r="Q580">
        <f>IF($G580="","",IF(Sync!$U576="","0000",IF(AND(ISNUMBER(Sync!$U576),Sync!$U576&gt;=0,Sync!$U576&lt;1),RIGHT("00"&amp;HOUR(Sync!$U576),2)&amp;RIGHT("00"&amp;MINUTE(Sync!$U576),2),IFERROR(RIGHT("00"&amp;VALUE(LEFT(Sync!$U576,FIND(":",Sync!$U576)-1)),2)&amp;RIGHT("00"&amp;VALUE(MID(Sync!$U576,FIND(":",Sync!$U576)+1,2)),2),"0000"))))</f>
        <v/>
      </c>
    </row>
    <row r="581">
      <c r="A581">
        <f>IF(Sync!$T577="","",Sync!$T577)</f>
        <v/>
      </c>
      <c r="B581">
        <f>IF($A581="","",IF(ISNUMBER($A581),IF(AND($A581&gt;=10000101,$A581&lt;=99991231),INT($A581/10000),""),IFERROR(VALUE(TRIM(LEFT($A581,FIND("/",$A581)-1))),"")))</f>
        <v/>
      </c>
      <c r="C581">
        <f>IF(OR($A581="",$B581=""),"",IF(ISNUMBER($A581),INT(MOD($A581,10000)/100),IFERROR(VALUE(TRIM(LEFT(MID($A581,FIND("/",$A581)+1,20),FIND("/",MID($A581,FIND("/",$A581)+1,20))-1))),"")))</f>
        <v/>
      </c>
      <c r="D581">
        <f>IF(OR($A581="",$B581=""),"",IF(ISNUMBER($A581),MOD($A581,100),IFERROR(VALUE(TRIM(MID(MID($A581,FIND("/",$A581)+1,20),FIND("/",MID($A581,FIND("/",$A581)+1,20))+1,20))),"")))</f>
        <v/>
      </c>
      <c r="E581">
        <f>IF($A581="","",IF(OR($B581="",$C581="",$D581="",$B581&lt;1300,$B581&gt;1500,$C581&lt;1,$C581&gt;12,$D581&lt;1,$D581&gt;31),"نامعتبر",RIGHT("0000"&amp;$B581,4)&amp;"/"&amp;RIGHT("00"&amp;$C581,2)&amp;"/"&amp;RIGHT("00"&amp;$D581,2)))</f>
        <v/>
      </c>
      <c r="F581">
        <f>IF(OR($E581="",$E581="نامعتبر"),"",LEFT($E581,4)&amp;"/"&amp;MID($E581,6,2))</f>
        <v/>
      </c>
      <c r="G581">
        <f>IF(OR($E581="",$E581="نامعتبر",Sync!$X577=""),"",IF(AND(LEFT(UPPER(TRIM(Sync!$X577)),2)="SL",IFERROR(VLOOKUP(Sync!$W577,OpTbl,3,0),"")="فروش"),UPPER(TRIM(Sync!$X577)),""))</f>
        <v/>
      </c>
      <c r="H581">
        <f>IF($G581="","",IF(Sync!$W577="","",Sync!$W577))</f>
        <v/>
      </c>
      <c r="I581">
        <f>IF(OR($G581="",Sync!$Y577=""),"",Sync!$Y577)</f>
        <v/>
      </c>
      <c r="J581">
        <f>IF(OR($G581="",Sync!$Z577=""),"",Sync!$Z577)</f>
        <v/>
      </c>
      <c r="K581">
        <f>IF($G581="",0,IF(Sync!$AA577="",0,Sync!$AA577))</f>
        <v/>
      </c>
      <c r="L581">
        <f>IF($G581="",0,IF(Sync!$AB577="",0,Sync!$AB577))</f>
        <v/>
      </c>
      <c r="M581">
        <f>IF($G581="","",IF($H581="مرجوعی فروش",-1,1)*($K581-$L581*IFERROR(VLOOKUP("P01",ParamTbl,3,0),1.5)))</f>
        <v/>
      </c>
      <c r="N581">
        <f>IF($G581="",0,IF($H581="مرجوعی فروش",-1,1)*IF(Sync!$AC577="",0,Sync!$AC577))</f>
        <v/>
      </c>
      <c r="O581">
        <f>IF(OR($G581="",Sync!$V577=""),"",Sync!$V577)</f>
        <v/>
      </c>
      <c r="P581">
        <f>IF(OR($G581="",Sync!$AD577=""),"",Sync!$AD577)</f>
        <v/>
      </c>
      <c r="Q581">
        <f>IF($G581="","",IF(Sync!$U577="","0000",IF(AND(ISNUMBER(Sync!$U577),Sync!$U577&gt;=0,Sync!$U577&lt;1),RIGHT("00"&amp;HOUR(Sync!$U577),2)&amp;RIGHT("00"&amp;MINUTE(Sync!$U577),2),IFERROR(RIGHT("00"&amp;VALUE(LEFT(Sync!$U577,FIND(":",Sync!$U577)-1)),2)&amp;RIGHT("00"&amp;VALUE(MID(Sync!$U577,FIND(":",Sync!$U577)+1,2)),2),"0000"))))</f>
        <v/>
      </c>
    </row>
    <row r="582">
      <c r="A582">
        <f>IF(Sync!$T578="","",Sync!$T578)</f>
        <v/>
      </c>
      <c r="B582">
        <f>IF($A582="","",IF(ISNUMBER($A582),IF(AND($A582&gt;=10000101,$A582&lt;=99991231),INT($A582/10000),""),IFERROR(VALUE(TRIM(LEFT($A582,FIND("/",$A582)-1))),"")))</f>
        <v/>
      </c>
      <c r="C582">
        <f>IF(OR($A582="",$B582=""),"",IF(ISNUMBER($A582),INT(MOD($A582,10000)/100),IFERROR(VALUE(TRIM(LEFT(MID($A582,FIND("/",$A582)+1,20),FIND("/",MID($A582,FIND("/",$A582)+1,20))-1))),"")))</f>
        <v/>
      </c>
      <c r="D582">
        <f>IF(OR($A582="",$B582=""),"",IF(ISNUMBER($A582),MOD($A582,100),IFERROR(VALUE(TRIM(MID(MID($A582,FIND("/",$A582)+1,20),FIND("/",MID($A582,FIND("/",$A582)+1,20))+1,20))),"")))</f>
        <v/>
      </c>
      <c r="E582">
        <f>IF($A582="","",IF(OR($B582="",$C582="",$D582="",$B582&lt;1300,$B582&gt;1500,$C582&lt;1,$C582&gt;12,$D582&lt;1,$D582&gt;31),"نامعتبر",RIGHT("0000"&amp;$B582,4)&amp;"/"&amp;RIGHT("00"&amp;$C582,2)&amp;"/"&amp;RIGHT("00"&amp;$D582,2)))</f>
        <v/>
      </c>
      <c r="F582">
        <f>IF(OR($E582="",$E582="نامعتبر"),"",LEFT($E582,4)&amp;"/"&amp;MID($E582,6,2))</f>
        <v/>
      </c>
      <c r="G582">
        <f>IF(OR($E582="",$E582="نامعتبر",Sync!$X578=""),"",IF(AND(LEFT(UPPER(TRIM(Sync!$X578)),2)="SL",IFERROR(VLOOKUP(Sync!$W578,OpTbl,3,0),"")="فروش"),UPPER(TRIM(Sync!$X578)),""))</f>
        <v/>
      </c>
      <c r="H582">
        <f>IF($G582="","",IF(Sync!$W578="","",Sync!$W578))</f>
        <v/>
      </c>
      <c r="I582">
        <f>IF(OR($G582="",Sync!$Y578=""),"",Sync!$Y578)</f>
        <v/>
      </c>
      <c r="J582">
        <f>IF(OR($G582="",Sync!$Z578=""),"",Sync!$Z578)</f>
        <v/>
      </c>
      <c r="K582">
        <f>IF($G582="",0,IF(Sync!$AA578="",0,Sync!$AA578))</f>
        <v/>
      </c>
      <c r="L582">
        <f>IF($G582="",0,IF(Sync!$AB578="",0,Sync!$AB578))</f>
        <v/>
      </c>
      <c r="M582">
        <f>IF($G582="","",IF($H582="مرجوعی فروش",-1,1)*($K582-$L582*IFERROR(VLOOKUP("P01",ParamTbl,3,0),1.5)))</f>
        <v/>
      </c>
      <c r="N582">
        <f>IF($G582="",0,IF($H582="مرجوعی فروش",-1,1)*IF(Sync!$AC578="",0,Sync!$AC578))</f>
        <v/>
      </c>
      <c r="O582">
        <f>IF(OR($G582="",Sync!$V578=""),"",Sync!$V578)</f>
        <v/>
      </c>
      <c r="P582">
        <f>IF(OR($G582="",Sync!$AD578=""),"",Sync!$AD578)</f>
        <v/>
      </c>
      <c r="Q582">
        <f>IF($G582="","",IF(Sync!$U578="","0000",IF(AND(ISNUMBER(Sync!$U578),Sync!$U578&gt;=0,Sync!$U578&lt;1),RIGHT("00"&amp;HOUR(Sync!$U578),2)&amp;RIGHT("00"&amp;MINUTE(Sync!$U578),2),IFERROR(RIGHT("00"&amp;VALUE(LEFT(Sync!$U578,FIND(":",Sync!$U578)-1)),2)&amp;RIGHT("00"&amp;VALUE(MID(Sync!$U578,FIND(":",Sync!$U578)+1,2)),2),"0000"))))</f>
        <v/>
      </c>
    </row>
    <row r="583">
      <c r="A583">
        <f>IF(Sync!$T579="","",Sync!$T579)</f>
        <v/>
      </c>
      <c r="B583">
        <f>IF($A583="","",IF(ISNUMBER($A583),IF(AND($A583&gt;=10000101,$A583&lt;=99991231),INT($A583/10000),""),IFERROR(VALUE(TRIM(LEFT($A583,FIND("/",$A583)-1))),"")))</f>
        <v/>
      </c>
      <c r="C583">
        <f>IF(OR($A583="",$B583=""),"",IF(ISNUMBER($A583),INT(MOD($A583,10000)/100),IFERROR(VALUE(TRIM(LEFT(MID($A583,FIND("/",$A583)+1,20),FIND("/",MID($A583,FIND("/",$A583)+1,20))-1))),"")))</f>
        <v/>
      </c>
      <c r="D583">
        <f>IF(OR($A583="",$B583=""),"",IF(ISNUMBER($A583),MOD($A583,100),IFERROR(VALUE(TRIM(MID(MID($A583,FIND("/",$A583)+1,20),FIND("/",MID($A583,FIND("/",$A583)+1,20))+1,20))),"")))</f>
        <v/>
      </c>
      <c r="E583">
        <f>IF($A583="","",IF(OR($B583="",$C583="",$D583="",$B583&lt;1300,$B583&gt;1500,$C583&lt;1,$C583&gt;12,$D583&lt;1,$D583&gt;31),"نامعتبر",RIGHT("0000"&amp;$B583,4)&amp;"/"&amp;RIGHT("00"&amp;$C583,2)&amp;"/"&amp;RIGHT("00"&amp;$D583,2)))</f>
        <v/>
      </c>
      <c r="F583">
        <f>IF(OR($E583="",$E583="نامعتبر"),"",LEFT($E583,4)&amp;"/"&amp;MID($E583,6,2))</f>
        <v/>
      </c>
      <c r="G583">
        <f>IF(OR($E583="",$E583="نامعتبر",Sync!$X579=""),"",IF(AND(LEFT(UPPER(TRIM(Sync!$X579)),2)="SL",IFERROR(VLOOKUP(Sync!$W579,OpTbl,3,0),"")="فروش"),UPPER(TRIM(Sync!$X579)),""))</f>
        <v/>
      </c>
      <c r="H583">
        <f>IF($G583="","",IF(Sync!$W579="","",Sync!$W579))</f>
        <v/>
      </c>
      <c r="I583">
        <f>IF(OR($G583="",Sync!$Y579=""),"",Sync!$Y579)</f>
        <v/>
      </c>
      <c r="J583">
        <f>IF(OR($G583="",Sync!$Z579=""),"",Sync!$Z579)</f>
        <v/>
      </c>
      <c r="K583">
        <f>IF($G583="",0,IF(Sync!$AA579="",0,Sync!$AA579))</f>
        <v/>
      </c>
      <c r="L583">
        <f>IF($G583="",0,IF(Sync!$AB579="",0,Sync!$AB579))</f>
        <v/>
      </c>
      <c r="M583">
        <f>IF($G583="","",IF($H583="مرجوعی فروش",-1,1)*($K583-$L583*IFERROR(VLOOKUP("P01",ParamTbl,3,0),1.5)))</f>
        <v/>
      </c>
      <c r="N583">
        <f>IF($G583="",0,IF($H583="مرجوعی فروش",-1,1)*IF(Sync!$AC579="",0,Sync!$AC579))</f>
        <v/>
      </c>
      <c r="O583">
        <f>IF(OR($G583="",Sync!$V579=""),"",Sync!$V579)</f>
        <v/>
      </c>
      <c r="P583">
        <f>IF(OR($G583="",Sync!$AD579=""),"",Sync!$AD579)</f>
        <v/>
      </c>
      <c r="Q583">
        <f>IF($G583="","",IF(Sync!$U579="","0000",IF(AND(ISNUMBER(Sync!$U579),Sync!$U579&gt;=0,Sync!$U579&lt;1),RIGHT("00"&amp;HOUR(Sync!$U579),2)&amp;RIGHT("00"&amp;MINUTE(Sync!$U579),2),IFERROR(RIGHT("00"&amp;VALUE(LEFT(Sync!$U579,FIND(":",Sync!$U579)-1)),2)&amp;RIGHT("00"&amp;VALUE(MID(Sync!$U579,FIND(":",Sync!$U579)+1,2)),2),"0000"))))</f>
        <v/>
      </c>
    </row>
    <row r="584">
      <c r="A584">
        <f>IF(Sync!$T580="","",Sync!$T580)</f>
        <v/>
      </c>
      <c r="B584">
        <f>IF($A584="","",IF(ISNUMBER($A584),IF(AND($A584&gt;=10000101,$A584&lt;=99991231),INT($A584/10000),""),IFERROR(VALUE(TRIM(LEFT($A584,FIND("/",$A584)-1))),"")))</f>
        <v/>
      </c>
      <c r="C584">
        <f>IF(OR($A584="",$B584=""),"",IF(ISNUMBER($A584),INT(MOD($A584,10000)/100),IFERROR(VALUE(TRIM(LEFT(MID($A584,FIND("/",$A584)+1,20),FIND("/",MID($A584,FIND("/",$A584)+1,20))-1))),"")))</f>
        <v/>
      </c>
      <c r="D584">
        <f>IF(OR($A584="",$B584=""),"",IF(ISNUMBER($A584),MOD($A584,100),IFERROR(VALUE(TRIM(MID(MID($A584,FIND("/",$A584)+1,20),FIND("/",MID($A584,FIND("/",$A584)+1,20))+1,20))),"")))</f>
        <v/>
      </c>
      <c r="E584">
        <f>IF($A584="","",IF(OR($B584="",$C584="",$D584="",$B584&lt;1300,$B584&gt;1500,$C584&lt;1,$C584&gt;12,$D584&lt;1,$D584&gt;31),"نامعتبر",RIGHT("0000"&amp;$B584,4)&amp;"/"&amp;RIGHT("00"&amp;$C584,2)&amp;"/"&amp;RIGHT("00"&amp;$D584,2)))</f>
        <v/>
      </c>
      <c r="F584">
        <f>IF(OR($E584="",$E584="نامعتبر"),"",LEFT($E584,4)&amp;"/"&amp;MID($E584,6,2))</f>
        <v/>
      </c>
      <c r="G584">
        <f>IF(OR($E584="",$E584="نامعتبر",Sync!$X580=""),"",IF(AND(LEFT(UPPER(TRIM(Sync!$X580)),2)="SL",IFERROR(VLOOKUP(Sync!$W580,OpTbl,3,0),"")="فروش"),UPPER(TRIM(Sync!$X580)),""))</f>
        <v/>
      </c>
      <c r="H584">
        <f>IF($G584="","",IF(Sync!$W580="","",Sync!$W580))</f>
        <v/>
      </c>
      <c r="I584">
        <f>IF(OR($G584="",Sync!$Y580=""),"",Sync!$Y580)</f>
        <v/>
      </c>
      <c r="J584">
        <f>IF(OR($G584="",Sync!$Z580=""),"",Sync!$Z580)</f>
        <v/>
      </c>
      <c r="K584">
        <f>IF($G584="",0,IF(Sync!$AA580="",0,Sync!$AA580))</f>
        <v/>
      </c>
      <c r="L584">
        <f>IF($G584="",0,IF(Sync!$AB580="",0,Sync!$AB580))</f>
        <v/>
      </c>
      <c r="M584">
        <f>IF($G584="","",IF($H584="مرجوعی فروش",-1,1)*($K584-$L584*IFERROR(VLOOKUP("P01",ParamTbl,3,0),1.5)))</f>
        <v/>
      </c>
      <c r="N584">
        <f>IF($G584="",0,IF($H584="مرجوعی فروش",-1,1)*IF(Sync!$AC580="",0,Sync!$AC580))</f>
        <v/>
      </c>
      <c r="O584">
        <f>IF(OR($G584="",Sync!$V580=""),"",Sync!$V580)</f>
        <v/>
      </c>
      <c r="P584">
        <f>IF(OR($G584="",Sync!$AD580=""),"",Sync!$AD580)</f>
        <v/>
      </c>
      <c r="Q584">
        <f>IF($G584="","",IF(Sync!$U580="","0000",IF(AND(ISNUMBER(Sync!$U580),Sync!$U580&gt;=0,Sync!$U580&lt;1),RIGHT("00"&amp;HOUR(Sync!$U580),2)&amp;RIGHT("00"&amp;MINUTE(Sync!$U580),2),IFERROR(RIGHT("00"&amp;VALUE(LEFT(Sync!$U580,FIND(":",Sync!$U580)-1)),2)&amp;RIGHT("00"&amp;VALUE(MID(Sync!$U580,FIND(":",Sync!$U580)+1,2)),2),"0000"))))</f>
        <v/>
      </c>
    </row>
    <row r="585">
      <c r="A585">
        <f>IF(Sync!$T581="","",Sync!$T581)</f>
        <v/>
      </c>
      <c r="B585">
        <f>IF($A585="","",IF(ISNUMBER($A585),IF(AND($A585&gt;=10000101,$A585&lt;=99991231),INT($A585/10000),""),IFERROR(VALUE(TRIM(LEFT($A585,FIND("/",$A585)-1))),"")))</f>
        <v/>
      </c>
      <c r="C585">
        <f>IF(OR($A585="",$B585=""),"",IF(ISNUMBER($A585),INT(MOD($A585,10000)/100),IFERROR(VALUE(TRIM(LEFT(MID($A585,FIND("/",$A585)+1,20),FIND("/",MID($A585,FIND("/",$A585)+1,20))-1))),"")))</f>
        <v/>
      </c>
      <c r="D585">
        <f>IF(OR($A585="",$B585=""),"",IF(ISNUMBER($A585),MOD($A585,100),IFERROR(VALUE(TRIM(MID(MID($A585,FIND("/",$A585)+1,20),FIND("/",MID($A585,FIND("/",$A585)+1,20))+1,20))),"")))</f>
        <v/>
      </c>
      <c r="E585">
        <f>IF($A585="","",IF(OR($B585="",$C585="",$D585="",$B585&lt;1300,$B585&gt;1500,$C585&lt;1,$C585&gt;12,$D585&lt;1,$D585&gt;31),"نامعتبر",RIGHT("0000"&amp;$B585,4)&amp;"/"&amp;RIGHT("00"&amp;$C585,2)&amp;"/"&amp;RIGHT("00"&amp;$D585,2)))</f>
        <v/>
      </c>
      <c r="F585">
        <f>IF(OR($E585="",$E585="نامعتبر"),"",LEFT($E585,4)&amp;"/"&amp;MID($E585,6,2))</f>
        <v/>
      </c>
      <c r="G585">
        <f>IF(OR($E585="",$E585="نامعتبر",Sync!$X581=""),"",IF(AND(LEFT(UPPER(TRIM(Sync!$X581)),2)="SL",IFERROR(VLOOKUP(Sync!$W581,OpTbl,3,0),"")="فروش"),UPPER(TRIM(Sync!$X581)),""))</f>
        <v/>
      </c>
      <c r="H585">
        <f>IF($G585="","",IF(Sync!$W581="","",Sync!$W581))</f>
        <v/>
      </c>
      <c r="I585">
        <f>IF(OR($G585="",Sync!$Y581=""),"",Sync!$Y581)</f>
        <v/>
      </c>
      <c r="J585">
        <f>IF(OR($G585="",Sync!$Z581=""),"",Sync!$Z581)</f>
        <v/>
      </c>
      <c r="K585">
        <f>IF($G585="",0,IF(Sync!$AA581="",0,Sync!$AA581))</f>
        <v/>
      </c>
      <c r="L585">
        <f>IF($G585="",0,IF(Sync!$AB581="",0,Sync!$AB581))</f>
        <v/>
      </c>
      <c r="M585">
        <f>IF($G585="","",IF($H585="مرجوعی فروش",-1,1)*($K585-$L585*IFERROR(VLOOKUP("P01",ParamTbl,3,0),1.5)))</f>
        <v/>
      </c>
      <c r="N585">
        <f>IF($G585="",0,IF($H585="مرجوعی فروش",-1,1)*IF(Sync!$AC581="",0,Sync!$AC581))</f>
        <v/>
      </c>
      <c r="O585">
        <f>IF(OR($G585="",Sync!$V581=""),"",Sync!$V581)</f>
        <v/>
      </c>
      <c r="P585">
        <f>IF(OR($G585="",Sync!$AD581=""),"",Sync!$AD581)</f>
        <v/>
      </c>
      <c r="Q585">
        <f>IF($G585="","",IF(Sync!$U581="","0000",IF(AND(ISNUMBER(Sync!$U581),Sync!$U581&gt;=0,Sync!$U581&lt;1),RIGHT("00"&amp;HOUR(Sync!$U581),2)&amp;RIGHT("00"&amp;MINUTE(Sync!$U581),2),IFERROR(RIGHT("00"&amp;VALUE(LEFT(Sync!$U581,FIND(":",Sync!$U581)-1)),2)&amp;RIGHT("00"&amp;VALUE(MID(Sync!$U581,FIND(":",Sync!$U581)+1,2)),2),"0000"))))</f>
        <v/>
      </c>
    </row>
    <row r="586">
      <c r="A586">
        <f>IF(Sync!$T582="","",Sync!$T582)</f>
        <v/>
      </c>
      <c r="B586">
        <f>IF($A586="","",IF(ISNUMBER($A586),IF(AND($A586&gt;=10000101,$A586&lt;=99991231),INT($A586/10000),""),IFERROR(VALUE(TRIM(LEFT($A586,FIND("/",$A586)-1))),"")))</f>
        <v/>
      </c>
      <c r="C586">
        <f>IF(OR($A586="",$B586=""),"",IF(ISNUMBER($A586),INT(MOD($A586,10000)/100),IFERROR(VALUE(TRIM(LEFT(MID($A586,FIND("/",$A586)+1,20),FIND("/",MID($A586,FIND("/",$A586)+1,20))-1))),"")))</f>
        <v/>
      </c>
      <c r="D586">
        <f>IF(OR($A586="",$B586=""),"",IF(ISNUMBER($A586),MOD($A586,100),IFERROR(VALUE(TRIM(MID(MID($A586,FIND("/",$A586)+1,20),FIND("/",MID($A586,FIND("/",$A586)+1,20))+1,20))),"")))</f>
        <v/>
      </c>
      <c r="E586">
        <f>IF($A586="","",IF(OR($B586="",$C586="",$D586="",$B586&lt;1300,$B586&gt;1500,$C586&lt;1,$C586&gt;12,$D586&lt;1,$D586&gt;31),"نامعتبر",RIGHT("0000"&amp;$B586,4)&amp;"/"&amp;RIGHT("00"&amp;$C586,2)&amp;"/"&amp;RIGHT("00"&amp;$D586,2)))</f>
        <v/>
      </c>
      <c r="F586">
        <f>IF(OR($E586="",$E586="نامعتبر"),"",LEFT($E586,4)&amp;"/"&amp;MID($E586,6,2))</f>
        <v/>
      </c>
      <c r="G586">
        <f>IF(OR($E586="",$E586="نامعتبر",Sync!$X582=""),"",IF(AND(LEFT(UPPER(TRIM(Sync!$X582)),2)="SL",IFERROR(VLOOKUP(Sync!$W582,OpTbl,3,0),"")="فروش"),UPPER(TRIM(Sync!$X582)),""))</f>
        <v/>
      </c>
      <c r="H586">
        <f>IF($G586="","",IF(Sync!$W582="","",Sync!$W582))</f>
        <v/>
      </c>
      <c r="I586">
        <f>IF(OR($G586="",Sync!$Y582=""),"",Sync!$Y582)</f>
        <v/>
      </c>
      <c r="J586">
        <f>IF(OR($G586="",Sync!$Z582=""),"",Sync!$Z582)</f>
        <v/>
      </c>
      <c r="K586">
        <f>IF($G586="",0,IF(Sync!$AA582="",0,Sync!$AA582))</f>
        <v/>
      </c>
      <c r="L586">
        <f>IF($G586="",0,IF(Sync!$AB582="",0,Sync!$AB582))</f>
        <v/>
      </c>
      <c r="M586">
        <f>IF($G586="","",IF($H586="مرجوعی فروش",-1,1)*($K586-$L586*IFERROR(VLOOKUP("P01",ParamTbl,3,0),1.5)))</f>
        <v/>
      </c>
      <c r="N586">
        <f>IF($G586="",0,IF($H586="مرجوعی فروش",-1,1)*IF(Sync!$AC582="",0,Sync!$AC582))</f>
        <v/>
      </c>
      <c r="O586">
        <f>IF(OR($G586="",Sync!$V582=""),"",Sync!$V582)</f>
        <v/>
      </c>
      <c r="P586">
        <f>IF(OR($G586="",Sync!$AD582=""),"",Sync!$AD582)</f>
        <v/>
      </c>
      <c r="Q586">
        <f>IF($G586="","",IF(Sync!$U582="","0000",IF(AND(ISNUMBER(Sync!$U582),Sync!$U582&gt;=0,Sync!$U582&lt;1),RIGHT("00"&amp;HOUR(Sync!$U582),2)&amp;RIGHT("00"&amp;MINUTE(Sync!$U582),2),IFERROR(RIGHT("00"&amp;VALUE(LEFT(Sync!$U582,FIND(":",Sync!$U582)-1)),2)&amp;RIGHT("00"&amp;VALUE(MID(Sync!$U582,FIND(":",Sync!$U582)+1,2)),2),"0000"))))</f>
        <v/>
      </c>
    </row>
    <row r="587">
      <c r="A587">
        <f>IF(Sync!$T583="","",Sync!$T583)</f>
        <v/>
      </c>
      <c r="B587">
        <f>IF($A587="","",IF(ISNUMBER($A587),IF(AND($A587&gt;=10000101,$A587&lt;=99991231),INT($A587/10000),""),IFERROR(VALUE(TRIM(LEFT($A587,FIND("/",$A587)-1))),"")))</f>
        <v/>
      </c>
      <c r="C587">
        <f>IF(OR($A587="",$B587=""),"",IF(ISNUMBER($A587),INT(MOD($A587,10000)/100),IFERROR(VALUE(TRIM(LEFT(MID($A587,FIND("/",$A587)+1,20),FIND("/",MID($A587,FIND("/",$A587)+1,20))-1))),"")))</f>
        <v/>
      </c>
      <c r="D587">
        <f>IF(OR($A587="",$B587=""),"",IF(ISNUMBER($A587),MOD($A587,100),IFERROR(VALUE(TRIM(MID(MID($A587,FIND("/",$A587)+1,20),FIND("/",MID($A587,FIND("/",$A587)+1,20))+1,20))),"")))</f>
        <v/>
      </c>
      <c r="E587">
        <f>IF($A587="","",IF(OR($B587="",$C587="",$D587="",$B587&lt;1300,$B587&gt;1500,$C587&lt;1,$C587&gt;12,$D587&lt;1,$D587&gt;31),"نامعتبر",RIGHT("0000"&amp;$B587,4)&amp;"/"&amp;RIGHT("00"&amp;$C587,2)&amp;"/"&amp;RIGHT("00"&amp;$D587,2)))</f>
        <v/>
      </c>
      <c r="F587">
        <f>IF(OR($E587="",$E587="نامعتبر"),"",LEFT($E587,4)&amp;"/"&amp;MID($E587,6,2))</f>
        <v/>
      </c>
      <c r="G587">
        <f>IF(OR($E587="",$E587="نامعتبر",Sync!$X583=""),"",IF(AND(LEFT(UPPER(TRIM(Sync!$X583)),2)="SL",IFERROR(VLOOKUP(Sync!$W583,OpTbl,3,0),"")="فروش"),UPPER(TRIM(Sync!$X583)),""))</f>
        <v/>
      </c>
      <c r="H587">
        <f>IF($G587="","",IF(Sync!$W583="","",Sync!$W583))</f>
        <v/>
      </c>
      <c r="I587">
        <f>IF(OR($G587="",Sync!$Y583=""),"",Sync!$Y583)</f>
        <v/>
      </c>
      <c r="J587">
        <f>IF(OR($G587="",Sync!$Z583=""),"",Sync!$Z583)</f>
        <v/>
      </c>
      <c r="K587">
        <f>IF($G587="",0,IF(Sync!$AA583="",0,Sync!$AA583))</f>
        <v/>
      </c>
      <c r="L587">
        <f>IF($G587="",0,IF(Sync!$AB583="",0,Sync!$AB583))</f>
        <v/>
      </c>
      <c r="M587">
        <f>IF($G587="","",IF($H587="مرجوعی فروش",-1,1)*($K587-$L587*IFERROR(VLOOKUP("P01",ParamTbl,3,0),1.5)))</f>
        <v/>
      </c>
      <c r="N587">
        <f>IF($G587="",0,IF($H587="مرجوعی فروش",-1,1)*IF(Sync!$AC583="",0,Sync!$AC583))</f>
        <v/>
      </c>
      <c r="O587">
        <f>IF(OR($G587="",Sync!$V583=""),"",Sync!$V583)</f>
        <v/>
      </c>
      <c r="P587">
        <f>IF(OR($G587="",Sync!$AD583=""),"",Sync!$AD583)</f>
        <v/>
      </c>
      <c r="Q587">
        <f>IF($G587="","",IF(Sync!$U583="","0000",IF(AND(ISNUMBER(Sync!$U583),Sync!$U583&gt;=0,Sync!$U583&lt;1),RIGHT("00"&amp;HOUR(Sync!$U583),2)&amp;RIGHT("00"&amp;MINUTE(Sync!$U583),2),IFERROR(RIGHT("00"&amp;VALUE(LEFT(Sync!$U583,FIND(":",Sync!$U583)-1)),2)&amp;RIGHT("00"&amp;VALUE(MID(Sync!$U583,FIND(":",Sync!$U583)+1,2)),2),"0000"))))</f>
        <v/>
      </c>
    </row>
    <row r="588">
      <c r="A588">
        <f>IF(Sync!$T584="","",Sync!$T584)</f>
        <v/>
      </c>
      <c r="B588">
        <f>IF($A588="","",IF(ISNUMBER($A588),IF(AND($A588&gt;=10000101,$A588&lt;=99991231),INT($A588/10000),""),IFERROR(VALUE(TRIM(LEFT($A588,FIND("/",$A588)-1))),"")))</f>
        <v/>
      </c>
      <c r="C588">
        <f>IF(OR($A588="",$B588=""),"",IF(ISNUMBER($A588),INT(MOD($A588,10000)/100),IFERROR(VALUE(TRIM(LEFT(MID($A588,FIND("/",$A588)+1,20),FIND("/",MID($A588,FIND("/",$A588)+1,20))-1))),"")))</f>
        <v/>
      </c>
      <c r="D588">
        <f>IF(OR($A588="",$B588=""),"",IF(ISNUMBER($A588),MOD($A588,100),IFERROR(VALUE(TRIM(MID(MID($A588,FIND("/",$A588)+1,20),FIND("/",MID($A588,FIND("/",$A588)+1,20))+1,20))),"")))</f>
        <v/>
      </c>
      <c r="E588">
        <f>IF($A588="","",IF(OR($B588="",$C588="",$D588="",$B588&lt;1300,$B588&gt;1500,$C588&lt;1,$C588&gt;12,$D588&lt;1,$D588&gt;31),"نامعتبر",RIGHT("0000"&amp;$B588,4)&amp;"/"&amp;RIGHT("00"&amp;$C588,2)&amp;"/"&amp;RIGHT("00"&amp;$D588,2)))</f>
        <v/>
      </c>
      <c r="F588">
        <f>IF(OR($E588="",$E588="نامعتبر"),"",LEFT($E588,4)&amp;"/"&amp;MID($E588,6,2))</f>
        <v/>
      </c>
      <c r="G588">
        <f>IF(OR($E588="",$E588="نامعتبر",Sync!$X584=""),"",IF(AND(LEFT(UPPER(TRIM(Sync!$X584)),2)="SL",IFERROR(VLOOKUP(Sync!$W584,OpTbl,3,0),"")="فروش"),UPPER(TRIM(Sync!$X584)),""))</f>
        <v/>
      </c>
      <c r="H588">
        <f>IF($G588="","",IF(Sync!$W584="","",Sync!$W584))</f>
        <v/>
      </c>
      <c r="I588">
        <f>IF(OR($G588="",Sync!$Y584=""),"",Sync!$Y584)</f>
        <v/>
      </c>
      <c r="J588">
        <f>IF(OR($G588="",Sync!$Z584=""),"",Sync!$Z584)</f>
        <v/>
      </c>
      <c r="K588">
        <f>IF($G588="",0,IF(Sync!$AA584="",0,Sync!$AA584))</f>
        <v/>
      </c>
      <c r="L588">
        <f>IF($G588="",0,IF(Sync!$AB584="",0,Sync!$AB584))</f>
        <v/>
      </c>
      <c r="M588">
        <f>IF($G588="","",IF($H588="مرجوعی فروش",-1,1)*($K588-$L588*IFERROR(VLOOKUP("P01",ParamTbl,3,0),1.5)))</f>
        <v/>
      </c>
      <c r="N588">
        <f>IF($G588="",0,IF($H588="مرجوعی فروش",-1,1)*IF(Sync!$AC584="",0,Sync!$AC584))</f>
        <v/>
      </c>
      <c r="O588">
        <f>IF(OR($G588="",Sync!$V584=""),"",Sync!$V584)</f>
        <v/>
      </c>
      <c r="P588">
        <f>IF(OR($G588="",Sync!$AD584=""),"",Sync!$AD584)</f>
        <v/>
      </c>
      <c r="Q588">
        <f>IF($G588="","",IF(Sync!$U584="","0000",IF(AND(ISNUMBER(Sync!$U584),Sync!$U584&gt;=0,Sync!$U584&lt;1),RIGHT("00"&amp;HOUR(Sync!$U584),2)&amp;RIGHT("00"&amp;MINUTE(Sync!$U584),2),IFERROR(RIGHT("00"&amp;VALUE(LEFT(Sync!$U584,FIND(":",Sync!$U584)-1)),2)&amp;RIGHT("00"&amp;VALUE(MID(Sync!$U584,FIND(":",Sync!$U584)+1,2)),2),"0000"))))</f>
        <v/>
      </c>
    </row>
    <row r="589">
      <c r="A589">
        <f>IF(Sync!$T585="","",Sync!$T585)</f>
        <v/>
      </c>
      <c r="B589">
        <f>IF($A589="","",IF(ISNUMBER($A589),IF(AND($A589&gt;=10000101,$A589&lt;=99991231),INT($A589/10000),""),IFERROR(VALUE(TRIM(LEFT($A589,FIND("/",$A589)-1))),"")))</f>
        <v/>
      </c>
      <c r="C589">
        <f>IF(OR($A589="",$B589=""),"",IF(ISNUMBER($A589),INT(MOD($A589,10000)/100),IFERROR(VALUE(TRIM(LEFT(MID($A589,FIND("/",$A589)+1,20),FIND("/",MID($A589,FIND("/",$A589)+1,20))-1))),"")))</f>
        <v/>
      </c>
      <c r="D589">
        <f>IF(OR($A589="",$B589=""),"",IF(ISNUMBER($A589),MOD($A589,100),IFERROR(VALUE(TRIM(MID(MID($A589,FIND("/",$A589)+1,20),FIND("/",MID($A589,FIND("/",$A589)+1,20))+1,20))),"")))</f>
        <v/>
      </c>
      <c r="E589">
        <f>IF($A589="","",IF(OR($B589="",$C589="",$D589="",$B589&lt;1300,$B589&gt;1500,$C589&lt;1,$C589&gt;12,$D589&lt;1,$D589&gt;31),"نامعتبر",RIGHT("0000"&amp;$B589,4)&amp;"/"&amp;RIGHT("00"&amp;$C589,2)&amp;"/"&amp;RIGHT("00"&amp;$D589,2)))</f>
        <v/>
      </c>
      <c r="F589">
        <f>IF(OR($E589="",$E589="نامعتبر"),"",LEFT($E589,4)&amp;"/"&amp;MID($E589,6,2))</f>
        <v/>
      </c>
      <c r="G589">
        <f>IF(OR($E589="",$E589="نامعتبر",Sync!$X585=""),"",IF(AND(LEFT(UPPER(TRIM(Sync!$X585)),2)="SL",IFERROR(VLOOKUP(Sync!$W585,OpTbl,3,0),"")="فروش"),UPPER(TRIM(Sync!$X585)),""))</f>
        <v/>
      </c>
      <c r="H589">
        <f>IF($G589="","",IF(Sync!$W585="","",Sync!$W585))</f>
        <v/>
      </c>
      <c r="I589">
        <f>IF(OR($G589="",Sync!$Y585=""),"",Sync!$Y585)</f>
        <v/>
      </c>
      <c r="J589">
        <f>IF(OR($G589="",Sync!$Z585=""),"",Sync!$Z585)</f>
        <v/>
      </c>
      <c r="K589">
        <f>IF($G589="",0,IF(Sync!$AA585="",0,Sync!$AA585))</f>
        <v/>
      </c>
      <c r="L589">
        <f>IF($G589="",0,IF(Sync!$AB585="",0,Sync!$AB585))</f>
        <v/>
      </c>
      <c r="M589">
        <f>IF($G589="","",IF($H589="مرجوعی فروش",-1,1)*($K589-$L589*IFERROR(VLOOKUP("P01",ParamTbl,3,0),1.5)))</f>
        <v/>
      </c>
      <c r="N589">
        <f>IF($G589="",0,IF($H589="مرجوعی فروش",-1,1)*IF(Sync!$AC585="",0,Sync!$AC585))</f>
        <v/>
      </c>
      <c r="O589">
        <f>IF(OR($G589="",Sync!$V585=""),"",Sync!$V585)</f>
        <v/>
      </c>
      <c r="P589">
        <f>IF(OR($G589="",Sync!$AD585=""),"",Sync!$AD585)</f>
        <v/>
      </c>
      <c r="Q589">
        <f>IF($G589="","",IF(Sync!$U585="","0000",IF(AND(ISNUMBER(Sync!$U585),Sync!$U585&gt;=0,Sync!$U585&lt;1),RIGHT("00"&amp;HOUR(Sync!$U585),2)&amp;RIGHT("00"&amp;MINUTE(Sync!$U585),2),IFERROR(RIGHT("00"&amp;VALUE(LEFT(Sync!$U585,FIND(":",Sync!$U585)-1)),2)&amp;RIGHT("00"&amp;VALUE(MID(Sync!$U585,FIND(":",Sync!$U585)+1,2)),2),"0000"))))</f>
        <v/>
      </c>
    </row>
    <row r="590">
      <c r="A590">
        <f>IF(Sync!$T586="","",Sync!$T586)</f>
        <v/>
      </c>
      <c r="B590">
        <f>IF($A590="","",IF(ISNUMBER($A590),IF(AND($A590&gt;=10000101,$A590&lt;=99991231),INT($A590/10000),""),IFERROR(VALUE(TRIM(LEFT($A590,FIND("/",$A590)-1))),"")))</f>
        <v/>
      </c>
      <c r="C590">
        <f>IF(OR($A590="",$B590=""),"",IF(ISNUMBER($A590),INT(MOD($A590,10000)/100),IFERROR(VALUE(TRIM(LEFT(MID($A590,FIND("/",$A590)+1,20),FIND("/",MID($A590,FIND("/",$A590)+1,20))-1))),"")))</f>
        <v/>
      </c>
      <c r="D590">
        <f>IF(OR($A590="",$B590=""),"",IF(ISNUMBER($A590),MOD($A590,100),IFERROR(VALUE(TRIM(MID(MID($A590,FIND("/",$A590)+1,20),FIND("/",MID($A590,FIND("/",$A590)+1,20))+1,20))),"")))</f>
        <v/>
      </c>
      <c r="E590">
        <f>IF($A590="","",IF(OR($B590="",$C590="",$D590="",$B590&lt;1300,$B590&gt;1500,$C590&lt;1,$C590&gt;12,$D590&lt;1,$D590&gt;31),"نامعتبر",RIGHT("0000"&amp;$B590,4)&amp;"/"&amp;RIGHT("00"&amp;$C590,2)&amp;"/"&amp;RIGHT("00"&amp;$D590,2)))</f>
        <v/>
      </c>
      <c r="F590">
        <f>IF(OR($E590="",$E590="نامعتبر"),"",LEFT($E590,4)&amp;"/"&amp;MID($E590,6,2))</f>
        <v/>
      </c>
      <c r="G590">
        <f>IF(OR($E590="",$E590="نامعتبر",Sync!$X586=""),"",IF(AND(LEFT(UPPER(TRIM(Sync!$X586)),2)="SL",IFERROR(VLOOKUP(Sync!$W586,OpTbl,3,0),"")="فروش"),UPPER(TRIM(Sync!$X586)),""))</f>
        <v/>
      </c>
      <c r="H590">
        <f>IF($G590="","",IF(Sync!$W586="","",Sync!$W586))</f>
        <v/>
      </c>
      <c r="I590">
        <f>IF(OR($G590="",Sync!$Y586=""),"",Sync!$Y586)</f>
        <v/>
      </c>
      <c r="J590">
        <f>IF(OR($G590="",Sync!$Z586=""),"",Sync!$Z586)</f>
        <v/>
      </c>
      <c r="K590">
        <f>IF($G590="",0,IF(Sync!$AA586="",0,Sync!$AA586))</f>
        <v/>
      </c>
      <c r="L590">
        <f>IF($G590="",0,IF(Sync!$AB586="",0,Sync!$AB586))</f>
        <v/>
      </c>
      <c r="M590">
        <f>IF($G590="","",IF($H590="مرجوعی فروش",-1,1)*($K590-$L590*IFERROR(VLOOKUP("P01",ParamTbl,3,0),1.5)))</f>
        <v/>
      </c>
      <c r="N590">
        <f>IF($G590="",0,IF($H590="مرجوعی فروش",-1,1)*IF(Sync!$AC586="",0,Sync!$AC586))</f>
        <v/>
      </c>
      <c r="O590">
        <f>IF(OR($G590="",Sync!$V586=""),"",Sync!$V586)</f>
        <v/>
      </c>
      <c r="P590">
        <f>IF(OR($G590="",Sync!$AD586=""),"",Sync!$AD586)</f>
        <v/>
      </c>
      <c r="Q590">
        <f>IF($G590="","",IF(Sync!$U586="","0000",IF(AND(ISNUMBER(Sync!$U586),Sync!$U586&gt;=0,Sync!$U586&lt;1),RIGHT("00"&amp;HOUR(Sync!$U586),2)&amp;RIGHT("00"&amp;MINUTE(Sync!$U586),2),IFERROR(RIGHT("00"&amp;VALUE(LEFT(Sync!$U586,FIND(":",Sync!$U586)-1)),2)&amp;RIGHT("00"&amp;VALUE(MID(Sync!$U586,FIND(":",Sync!$U586)+1,2)),2),"0000"))))</f>
        <v/>
      </c>
    </row>
    <row r="591">
      <c r="A591">
        <f>IF(Sync!$T587="","",Sync!$T587)</f>
        <v/>
      </c>
      <c r="B591">
        <f>IF($A591="","",IF(ISNUMBER($A591),IF(AND($A591&gt;=10000101,$A591&lt;=99991231),INT($A591/10000),""),IFERROR(VALUE(TRIM(LEFT($A591,FIND("/",$A591)-1))),"")))</f>
        <v/>
      </c>
      <c r="C591">
        <f>IF(OR($A591="",$B591=""),"",IF(ISNUMBER($A591),INT(MOD($A591,10000)/100),IFERROR(VALUE(TRIM(LEFT(MID($A591,FIND("/",$A591)+1,20),FIND("/",MID($A591,FIND("/",$A591)+1,20))-1))),"")))</f>
        <v/>
      </c>
      <c r="D591">
        <f>IF(OR($A591="",$B591=""),"",IF(ISNUMBER($A591),MOD($A591,100),IFERROR(VALUE(TRIM(MID(MID($A591,FIND("/",$A591)+1,20),FIND("/",MID($A591,FIND("/",$A591)+1,20))+1,20))),"")))</f>
        <v/>
      </c>
      <c r="E591">
        <f>IF($A591="","",IF(OR($B591="",$C591="",$D591="",$B591&lt;1300,$B591&gt;1500,$C591&lt;1,$C591&gt;12,$D591&lt;1,$D591&gt;31),"نامعتبر",RIGHT("0000"&amp;$B591,4)&amp;"/"&amp;RIGHT("00"&amp;$C591,2)&amp;"/"&amp;RIGHT("00"&amp;$D591,2)))</f>
        <v/>
      </c>
      <c r="F591">
        <f>IF(OR($E591="",$E591="نامعتبر"),"",LEFT($E591,4)&amp;"/"&amp;MID($E591,6,2))</f>
        <v/>
      </c>
      <c r="G591">
        <f>IF(OR($E591="",$E591="نامعتبر",Sync!$X587=""),"",IF(AND(LEFT(UPPER(TRIM(Sync!$X587)),2)="SL",IFERROR(VLOOKUP(Sync!$W587,OpTbl,3,0),"")="فروش"),UPPER(TRIM(Sync!$X587)),""))</f>
        <v/>
      </c>
      <c r="H591">
        <f>IF($G591="","",IF(Sync!$W587="","",Sync!$W587))</f>
        <v/>
      </c>
      <c r="I591">
        <f>IF(OR($G591="",Sync!$Y587=""),"",Sync!$Y587)</f>
        <v/>
      </c>
      <c r="J591">
        <f>IF(OR($G591="",Sync!$Z587=""),"",Sync!$Z587)</f>
        <v/>
      </c>
      <c r="K591">
        <f>IF($G591="",0,IF(Sync!$AA587="",0,Sync!$AA587))</f>
        <v/>
      </c>
      <c r="L591">
        <f>IF($G591="",0,IF(Sync!$AB587="",0,Sync!$AB587))</f>
        <v/>
      </c>
      <c r="M591">
        <f>IF($G591="","",IF($H591="مرجوعی فروش",-1,1)*($K591-$L591*IFERROR(VLOOKUP("P01",ParamTbl,3,0),1.5)))</f>
        <v/>
      </c>
      <c r="N591">
        <f>IF($G591="",0,IF($H591="مرجوعی فروش",-1,1)*IF(Sync!$AC587="",0,Sync!$AC587))</f>
        <v/>
      </c>
      <c r="O591">
        <f>IF(OR($G591="",Sync!$V587=""),"",Sync!$V587)</f>
        <v/>
      </c>
      <c r="P591">
        <f>IF(OR($G591="",Sync!$AD587=""),"",Sync!$AD587)</f>
        <v/>
      </c>
      <c r="Q591">
        <f>IF($G591="","",IF(Sync!$U587="","0000",IF(AND(ISNUMBER(Sync!$U587),Sync!$U587&gt;=0,Sync!$U587&lt;1),RIGHT("00"&amp;HOUR(Sync!$U587),2)&amp;RIGHT("00"&amp;MINUTE(Sync!$U587),2),IFERROR(RIGHT("00"&amp;VALUE(LEFT(Sync!$U587,FIND(":",Sync!$U587)-1)),2)&amp;RIGHT("00"&amp;VALUE(MID(Sync!$U587,FIND(":",Sync!$U587)+1,2)),2),"0000"))))</f>
        <v/>
      </c>
    </row>
    <row r="592">
      <c r="A592">
        <f>IF(Sync!$T588="","",Sync!$T588)</f>
        <v/>
      </c>
      <c r="B592">
        <f>IF($A592="","",IF(ISNUMBER($A592),IF(AND($A592&gt;=10000101,$A592&lt;=99991231),INT($A592/10000),""),IFERROR(VALUE(TRIM(LEFT($A592,FIND("/",$A592)-1))),"")))</f>
        <v/>
      </c>
      <c r="C592">
        <f>IF(OR($A592="",$B592=""),"",IF(ISNUMBER($A592),INT(MOD($A592,10000)/100),IFERROR(VALUE(TRIM(LEFT(MID($A592,FIND("/",$A592)+1,20),FIND("/",MID($A592,FIND("/",$A592)+1,20))-1))),"")))</f>
        <v/>
      </c>
      <c r="D592">
        <f>IF(OR($A592="",$B592=""),"",IF(ISNUMBER($A592),MOD($A592,100),IFERROR(VALUE(TRIM(MID(MID($A592,FIND("/",$A592)+1,20),FIND("/",MID($A592,FIND("/",$A592)+1,20))+1,20))),"")))</f>
        <v/>
      </c>
      <c r="E592">
        <f>IF($A592="","",IF(OR($B592="",$C592="",$D592="",$B592&lt;1300,$B592&gt;1500,$C592&lt;1,$C592&gt;12,$D592&lt;1,$D592&gt;31),"نامعتبر",RIGHT("0000"&amp;$B592,4)&amp;"/"&amp;RIGHT("00"&amp;$C592,2)&amp;"/"&amp;RIGHT("00"&amp;$D592,2)))</f>
        <v/>
      </c>
      <c r="F592">
        <f>IF(OR($E592="",$E592="نامعتبر"),"",LEFT($E592,4)&amp;"/"&amp;MID($E592,6,2))</f>
        <v/>
      </c>
      <c r="G592">
        <f>IF(OR($E592="",$E592="نامعتبر",Sync!$X588=""),"",IF(AND(LEFT(UPPER(TRIM(Sync!$X588)),2)="SL",IFERROR(VLOOKUP(Sync!$W588,OpTbl,3,0),"")="فروش"),UPPER(TRIM(Sync!$X588)),""))</f>
        <v/>
      </c>
      <c r="H592">
        <f>IF($G592="","",IF(Sync!$W588="","",Sync!$W588))</f>
        <v/>
      </c>
      <c r="I592">
        <f>IF(OR($G592="",Sync!$Y588=""),"",Sync!$Y588)</f>
        <v/>
      </c>
      <c r="J592">
        <f>IF(OR($G592="",Sync!$Z588=""),"",Sync!$Z588)</f>
        <v/>
      </c>
      <c r="K592">
        <f>IF($G592="",0,IF(Sync!$AA588="",0,Sync!$AA588))</f>
        <v/>
      </c>
      <c r="L592">
        <f>IF($G592="",0,IF(Sync!$AB588="",0,Sync!$AB588))</f>
        <v/>
      </c>
      <c r="M592">
        <f>IF($G592="","",IF($H592="مرجوعی فروش",-1,1)*($K592-$L592*IFERROR(VLOOKUP("P01",ParamTbl,3,0),1.5)))</f>
        <v/>
      </c>
      <c r="N592">
        <f>IF($G592="",0,IF($H592="مرجوعی فروش",-1,1)*IF(Sync!$AC588="",0,Sync!$AC588))</f>
        <v/>
      </c>
      <c r="O592">
        <f>IF(OR($G592="",Sync!$V588=""),"",Sync!$V588)</f>
        <v/>
      </c>
      <c r="P592">
        <f>IF(OR($G592="",Sync!$AD588=""),"",Sync!$AD588)</f>
        <v/>
      </c>
      <c r="Q592">
        <f>IF($G592="","",IF(Sync!$U588="","0000",IF(AND(ISNUMBER(Sync!$U588),Sync!$U588&gt;=0,Sync!$U588&lt;1),RIGHT("00"&amp;HOUR(Sync!$U588),2)&amp;RIGHT("00"&amp;MINUTE(Sync!$U588),2),IFERROR(RIGHT("00"&amp;VALUE(LEFT(Sync!$U588,FIND(":",Sync!$U588)-1)),2)&amp;RIGHT("00"&amp;VALUE(MID(Sync!$U588,FIND(":",Sync!$U588)+1,2)),2),"0000"))))</f>
        <v/>
      </c>
    </row>
    <row r="593">
      <c r="A593">
        <f>IF(Sync!$T589="","",Sync!$T589)</f>
        <v/>
      </c>
      <c r="B593">
        <f>IF($A593="","",IF(ISNUMBER($A593),IF(AND($A593&gt;=10000101,$A593&lt;=99991231),INT($A593/10000),""),IFERROR(VALUE(TRIM(LEFT($A593,FIND("/",$A593)-1))),"")))</f>
        <v/>
      </c>
      <c r="C593">
        <f>IF(OR($A593="",$B593=""),"",IF(ISNUMBER($A593),INT(MOD($A593,10000)/100),IFERROR(VALUE(TRIM(LEFT(MID($A593,FIND("/",$A593)+1,20),FIND("/",MID($A593,FIND("/",$A593)+1,20))-1))),"")))</f>
        <v/>
      </c>
      <c r="D593">
        <f>IF(OR($A593="",$B593=""),"",IF(ISNUMBER($A593),MOD($A593,100),IFERROR(VALUE(TRIM(MID(MID($A593,FIND("/",$A593)+1,20),FIND("/",MID($A593,FIND("/",$A593)+1,20))+1,20))),"")))</f>
        <v/>
      </c>
      <c r="E593">
        <f>IF($A593="","",IF(OR($B593="",$C593="",$D593="",$B593&lt;1300,$B593&gt;1500,$C593&lt;1,$C593&gt;12,$D593&lt;1,$D593&gt;31),"نامعتبر",RIGHT("0000"&amp;$B593,4)&amp;"/"&amp;RIGHT("00"&amp;$C593,2)&amp;"/"&amp;RIGHT("00"&amp;$D593,2)))</f>
        <v/>
      </c>
      <c r="F593">
        <f>IF(OR($E593="",$E593="نامعتبر"),"",LEFT($E593,4)&amp;"/"&amp;MID($E593,6,2))</f>
        <v/>
      </c>
      <c r="G593">
        <f>IF(OR($E593="",$E593="نامعتبر",Sync!$X589=""),"",IF(AND(LEFT(UPPER(TRIM(Sync!$X589)),2)="SL",IFERROR(VLOOKUP(Sync!$W589,OpTbl,3,0),"")="فروش"),UPPER(TRIM(Sync!$X589)),""))</f>
        <v/>
      </c>
      <c r="H593">
        <f>IF($G593="","",IF(Sync!$W589="","",Sync!$W589))</f>
        <v/>
      </c>
      <c r="I593">
        <f>IF(OR($G593="",Sync!$Y589=""),"",Sync!$Y589)</f>
        <v/>
      </c>
      <c r="J593">
        <f>IF(OR($G593="",Sync!$Z589=""),"",Sync!$Z589)</f>
        <v/>
      </c>
      <c r="K593">
        <f>IF($G593="",0,IF(Sync!$AA589="",0,Sync!$AA589))</f>
        <v/>
      </c>
      <c r="L593">
        <f>IF($G593="",0,IF(Sync!$AB589="",0,Sync!$AB589))</f>
        <v/>
      </c>
      <c r="M593">
        <f>IF($G593="","",IF($H593="مرجوعی فروش",-1,1)*($K593-$L593*IFERROR(VLOOKUP("P01",ParamTbl,3,0),1.5)))</f>
        <v/>
      </c>
      <c r="N593">
        <f>IF($G593="",0,IF($H593="مرجوعی فروش",-1,1)*IF(Sync!$AC589="",0,Sync!$AC589))</f>
        <v/>
      </c>
      <c r="O593">
        <f>IF(OR($G593="",Sync!$V589=""),"",Sync!$V589)</f>
        <v/>
      </c>
      <c r="P593">
        <f>IF(OR($G593="",Sync!$AD589=""),"",Sync!$AD589)</f>
        <v/>
      </c>
      <c r="Q593">
        <f>IF($G593="","",IF(Sync!$U589="","0000",IF(AND(ISNUMBER(Sync!$U589),Sync!$U589&gt;=0,Sync!$U589&lt;1),RIGHT("00"&amp;HOUR(Sync!$U589),2)&amp;RIGHT("00"&amp;MINUTE(Sync!$U589),2),IFERROR(RIGHT("00"&amp;VALUE(LEFT(Sync!$U589,FIND(":",Sync!$U589)-1)),2)&amp;RIGHT("00"&amp;VALUE(MID(Sync!$U589,FIND(":",Sync!$U589)+1,2)),2),"0000"))))</f>
        <v/>
      </c>
    </row>
    <row r="594">
      <c r="A594">
        <f>IF(Sync!$T590="","",Sync!$T590)</f>
        <v/>
      </c>
      <c r="B594">
        <f>IF($A594="","",IF(ISNUMBER($A594),IF(AND($A594&gt;=10000101,$A594&lt;=99991231),INT($A594/10000),""),IFERROR(VALUE(TRIM(LEFT($A594,FIND("/",$A594)-1))),"")))</f>
        <v/>
      </c>
      <c r="C594">
        <f>IF(OR($A594="",$B594=""),"",IF(ISNUMBER($A594),INT(MOD($A594,10000)/100),IFERROR(VALUE(TRIM(LEFT(MID($A594,FIND("/",$A594)+1,20),FIND("/",MID($A594,FIND("/",$A594)+1,20))-1))),"")))</f>
        <v/>
      </c>
      <c r="D594">
        <f>IF(OR($A594="",$B594=""),"",IF(ISNUMBER($A594),MOD($A594,100),IFERROR(VALUE(TRIM(MID(MID($A594,FIND("/",$A594)+1,20),FIND("/",MID($A594,FIND("/",$A594)+1,20))+1,20))),"")))</f>
        <v/>
      </c>
      <c r="E594">
        <f>IF($A594="","",IF(OR($B594="",$C594="",$D594="",$B594&lt;1300,$B594&gt;1500,$C594&lt;1,$C594&gt;12,$D594&lt;1,$D594&gt;31),"نامعتبر",RIGHT("0000"&amp;$B594,4)&amp;"/"&amp;RIGHT("00"&amp;$C594,2)&amp;"/"&amp;RIGHT("00"&amp;$D594,2)))</f>
        <v/>
      </c>
      <c r="F594">
        <f>IF(OR($E594="",$E594="نامعتبر"),"",LEFT($E594,4)&amp;"/"&amp;MID($E594,6,2))</f>
        <v/>
      </c>
      <c r="G594">
        <f>IF(OR($E594="",$E594="نامعتبر",Sync!$X590=""),"",IF(AND(LEFT(UPPER(TRIM(Sync!$X590)),2)="SL",IFERROR(VLOOKUP(Sync!$W590,OpTbl,3,0),"")="فروش"),UPPER(TRIM(Sync!$X590)),""))</f>
        <v/>
      </c>
      <c r="H594">
        <f>IF($G594="","",IF(Sync!$W590="","",Sync!$W590))</f>
        <v/>
      </c>
      <c r="I594">
        <f>IF(OR($G594="",Sync!$Y590=""),"",Sync!$Y590)</f>
        <v/>
      </c>
      <c r="J594">
        <f>IF(OR($G594="",Sync!$Z590=""),"",Sync!$Z590)</f>
        <v/>
      </c>
      <c r="K594">
        <f>IF($G594="",0,IF(Sync!$AA590="",0,Sync!$AA590))</f>
        <v/>
      </c>
      <c r="L594">
        <f>IF($G594="",0,IF(Sync!$AB590="",0,Sync!$AB590))</f>
        <v/>
      </c>
      <c r="M594">
        <f>IF($G594="","",IF($H594="مرجوعی فروش",-1,1)*($K594-$L594*IFERROR(VLOOKUP("P01",ParamTbl,3,0),1.5)))</f>
        <v/>
      </c>
      <c r="N594">
        <f>IF($G594="",0,IF($H594="مرجوعی فروش",-1,1)*IF(Sync!$AC590="",0,Sync!$AC590))</f>
        <v/>
      </c>
      <c r="O594">
        <f>IF(OR($G594="",Sync!$V590=""),"",Sync!$V590)</f>
        <v/>
      </c>
      <c r="P594">
        <f>IF(OR($G594="",Sync!$AD590=""),"",Sync!$AD590)</f>
        <v/>
      </c>
      <c r="Q594">
        <f>IF($G594="","",IF(Sync!$U590="","0000",IF(AND(ISNUMBER(Sync!$U590),Sync!$U590&gt;=0,Sync!$U590&lt;1),RIGHT("00"&amp;HOUR(Sync!$U590),2)&amp;RIGHT("00"&amp;MINUTE(Sync!$U590),2),IFERROR(RIGHT("00"&amp;VALUE(LEFT(Sync!$U590,FIND(":",Sync!$U590)-1)),2)&amp;RIGHT("00"&amp;VALUE(MID(Sync!$U590,FIND(":",Sync!$U590)+1,2)),2),"0000"))))</f>
        <v/>
      </c>
    </row>
    <row r="595">
      <c r="A595">
        <f>IF(Sync!$T591="","",Sync!$T591)</f>
        <v/>
      </c>
      <c r="B595">
        <f>IF($A595="","",IF(ISNUMBER($A595),IF(AND($A595&gt;=10000101,$A595&lt;=99991231),INT($A595/10000),""),IFERROR(VALUE(TRIM(LEFT($A595,FIND("/",$A595)-1))),"")))</f>
        <v/>
      </c>
      <c r="C595">
        <f>IF(OR($A595="",$B595=""),"",IF(ISNUMBER($A595),INT(MOD($A595,10000)/100),IFERROR(VALUE(TRIM(LEFT(MID($A595,FIND("/",$A595)+1,20),FIND("/",MID($A595,FIND("/",$A595)+1,20))-1))),"")))</f>
        <v/>
      </c>
      <c r="D595">
        <f>IF(OR($A595="",$B595=""),"",IF(ISNUMBER($A595),MOD($A595,100),IFERROR(VALUE(TRIM(MID(MID($A595,FIND("/",$A595)+1,20),FIND("/",MID($A595,FIND("/",$A595)+1,20))+1,20))),"")))</f>
        <v/>
      </c>
      <c r="E595">
        <f>IF($A595="","",IF(OR($B595="",$C595="",$D595="",$B595&lt;1300,$B595&gt;1500,$C595&lt;1,$C595&gt;12,$D595&lt;1,$D595&gt;31),"نامعتبر",RIGHT("0000"&amp;$B595,4)&amp;"/"&amp;RIGHT("00"&amp;$C595,2)&amp;"/"&amp;RIGHT("00"&amp;$D595,2)))</f>
        <v/>
      </c>
      <c r="F595">
        <f>IF(OR($E595="",$E595="نامعتبر"),"",LEFT($E595,4)&amp;"/"&amp;MID($E595,6,2))</f>
        <v/>
      </c>
      <c r="G595">
        <f>IF(OR($E595="",$E595="نامعتبر",Sync!$X591=""),"",IF(AND(LEFT(UPPER(TRIM(Sync!$X591)),2)="SL",IFERROR(VLOOKUP(Sync!$W591,OpTbl,3,0),"")="فروش"),UPPER(TRIM(Sync!$X591)),""))</f>
        <v/>
      </c>
      <c r="H595">
        <f>IF($G595="","",IF(Sync!$W591="","",Sync!$W591))</f>
        <v/>
      </c>
      <c r="I595">
        <f>IF(OR($G595="",Sync!$Y591=""),"",Sync!$Y591)</f>
        <v/>
      </c>
      <c r="J595">
        <f>IF(OR($G595="",Sync!$Z591=""),"",Sync!$Z591)</f>
        <v/>
      </c>
      <c r="K595">
        <f>IF($G595="",0,IF(Sync!$AA591="",0,Sync!$AA591))</f>
        <v/>
      </c>
      <c r="L595">
        <f>IF($G595="",0,IF(Sync!$AB591="",0,Sync!$AB591))</f>
        <v/>
      </c>
      <c r="M595">
        <f>IF($G595="","",IF($H595="مرجوعی فروش",-1,1)*($K595-$L595*IFERROR(VLOOKUP("P01",ParamTbl,3,0),1.5)))</f>
        <v/>
      </c>
      <c r="N595">
        <f>IF($G595="",0,IF($H595="مرجوعی فروش",-1,1)*IF(Sync!$AC591="",0,Sync!$AC591))</f>
        <v/>
      </c>
      <c r="O595">
        <f>IF(OR($G595="",Sync!$V591=""),"",Sync!$V591)</f>
        <v/>
      </c>
      <c r="P595">
        <f>IF(OR($G595="",Sync!$AD591=""),"",Sync!$AD591)</f>
        <v/>
      </c>
      <c r="Q595">
        <f>IF($G595="","",IF(Sync!$U591="","0000",IF(AND(ISNUMBER(Sync!$U591),Sync!$U591&gt;=0,Sync!$U591&lt;1),RIGHT("00"&amp;HOUR(Sync!$U591),2)&amp;RIGHT("00"&amp;MINUTE(Sync!$U591),2),IFERROR(RIGHT("00"&amp;VALUE(LEFT(Sync!$U591,FIND(":",Sync!$U591)-1)),2)&amp;RIGHT("00"&amp;VALUE(MID(Sync!$U591,FIND(":",Sync!$U591)+1,2)),2),"0000"))))</f>
        <v/>
      </c>
    </row>
    <row r="596">
      <c r="A596">
        <f>IF(Sync!$T592="","",Sync!$T592)</f>
        <v/>
      </c>
      <c r="B596">
        <f>IF($A596="","",IF(ISNUMBER($A596),IF(AND($A596&gt;=10000101,$A596&lt;=99991231),INT($A596/10000),""),IFERROR(VALUE(TRIM(LEFT($A596,FIND("/",$A596)-1))),"")))</f>
        <v/>
      </c>
      <c r="C596">
        <f>IF(OR($A596="",$B596=""),"",IF(ISNUMBER($A596),INT(MOD($A596,10000)/100),IFERROR(VALUE(TRIM(LEFT(MID($A596,FIND("/",$A596)+1,20),FIND("/",MID($A596,FIND("/",$A596)+1,20))-1))),"")))</f>
        <v/>
      </c>
      <c r="D596">
        <f>IF(OR($A596="",$B596=""),"",IF(ISNUMBER($A596),MOD($A596,100),IFERROR(VALUE(TRIM(MID(MID($A596,FIND("/",$A596)+1,20),FIND("/",MID($A596,FIND("/",$A596)+1,20))+1,20))),"")))</f>
        <v/>
      </c>
      <c r="E596">
        <f>IF($A596="","",IF(OR($B596="",$C596="",$D596="",$B596&lt;1300,$B596&gt;1500,$C596&lt;1,$C596&gt;12,$D596&lt;1,$D596&gt;31),"نامعتبر",RIGHT("0000"&amp;$B596,4)&amp;"/"&amp;RIGHT("00"&amp;$C596,2)&amp;"/"&amp;RIGHT("00"&amp;$D596,2)))</f>
        <v/>
      </c>
      <c r="F596">
        <f>IF(OR($E596="",$E596="نامعتبر"),"",LEFT($E596,4)&amp;"/"&amp;MID($E596,6,2))</f>
        <v/>
      </c>
      <c r="G596">
        <f>IF(OR($E596="",$E596="نامعتبر",Sync!$X592=""),"",IF(AND(LEFT(UPPER(TRIM(Sync!$X592)),2)="SL",IFERROR(VLOOKUP(Sync!$W592,OpTbl,3,0),"")="فروش"),UPPER(TRIM(Sync!$X592)),""))</f>
        <v/>
      </c>
      <c r="H596">
        <f>IF($G596="","",IF(Sync!$W592="","",Sync!$W592))</f>
        <v/>
      </c>
      <c r="I596">
        <f>IF(OR($G596="",Sync!$Y592=""),"",Sync!$Y592)</f>
        <v/>
      </c>
      <c r="J596">
        <f>IF(OR($G596="",Sync!$Z592=""),"",Sync!$Z592)</f>
        <v/>
      </c>
      <c r="K596">
        <f>IF($G596="",0,IF(Sync!$AA592="",0,Sync!$AA592))</f>
        <v/>
      </c>
      <c r="L596">
        <f>IF($G596="",0,IF(Sync!$AB592="",0,Sync!$AB592))</f>
        <v/>
      </c>
      <c r="M596">
        <f>IF($G596="","",IF($H596="مرجوعی فروش",-1,1)*($K596-$L596*IFERROR(VLOOKUP("P01",ParamTbl,3,0),1.5)))</f>
        <v/>
      </c>
      <c r="N596">
        <f>IF($G596="",0,IF($H596="مرجوعی فروش",-1,1)*IF(Sync!$AC592="",0,Sync!$AC592))</f>
        <v/>
      </c>
      <c r="O596">
        <f>IF(OR($G596="",Sync!$V592=""),"",Sync!$V592)</f>
        <v/>
      </c>
      <c r="P596">
        <f>IF(OR($G596="",Sync!$AD592=""),"",Sync!$AD592)</f>
        <v/>
      </c>
      <c r="Q596">
        <f>IF($G596="","",IF(Sync!$U592="","0000",IF(AND(ISNUMBER(Sync!$U592),Sync!$U592&gt;=0,Sync!$U592&lt;1),RIGHT("00"&amp;HOUR(Sync!$U592),2)&amp;RIGHT("00"&amp;MINUTE(Sync!$U592),2),IFERROR(RIGHT("00"&amp;VALUE(LEFT(Sync!$U592,FIND(":",Sync!$U592)-1)),2)&amp;RIGHT("00"&amp;VALUE(MID(Sync!$U592,FIND(":",Sync!$U592)+1,2)),2),"0000"))))</f>
        <v/>
      </c>
    </row>
    <row r="597">
      <c r="A597">
        <f>IF(Sync!$T593="","",Sync!$T593)</f>
        <v/>
      </c>
      <c r="B597">
        <f>IF($A597="","",IF(ISNUMBER($A597),IF(AND($A597&gt;=10000101,$A597&lt;=99991231),INT($A597/10000),""),IFERROR(VALUE(TRIM(LEFT($A597,FIND("/",$A597)-1))),"")))</f>
        <v/>
      </c>
      <c r="C597">
        <f>IF(OR($A597="",$B597=""),"",IF(ISNUMBER($A597),INT(MOD($A597,10000)/100),IFERROR(VALUE(TRIM(LEFT(MID($A597,FIND("/",$A597)+1,20),FIND("/",MID($A597,FIND("/",$A597)+1,20))-1))),"")))</f>
        <v/>
      </c>
      <c r="D597">
        <f>IF(OR($A597="",$B597=""),"",IF(ISNUMBER($A597),MOD($A597,100),IFERROR(VALUE(TRIM(MID(MID($A597,FIND("/",$A597)+1,20),FIND("/",MID($A597,FIND("/",$A597)+1,20))+1,20))),"")))</f>
        <v/>
      </c>
      <c r="E597">
        <f>IF($A597="","",IF(OR($B597="",$C597="",$D597="",$B597&lt;1300,$B597&gt;1500,$C597&lt;1,$C597&gt;12,$D597&lt;1,$D597&gt;31),"نامعتبر",RIGHT("0000"&amp;$B597,4)&amp;"/"&amp;RIGHT("00"&amp;$C597,2)&amp;"/"&amp;RIGHT("00"&amp;$D597,2)))</f>
        <v/>
      </c>
      <c r="F597">
        <f>IF(OR($E597="",$E597="نامعتبر"),"",LEFT($E597,4)&amp;"/"&amp;MID($E597,6,2))</f>
        <v/>
      </c>
      <c r="G597">
        <f>IF(OR($E597="",$E597="نامعتبر",Sync!$X593=""),"",IF(AND(LEFT(UPPER(TRIM(Sync!$X593)),2)="SL",IFERROR(VLOOKUP(Sync!$W593,OpTbl,3,0),"")="فروش"),UPPER(TRIM(Sync!$X593)),""))</f>
        <v/>
      </c>
      <c r="H597">
        <f>IF($G597="","",IF(Sync!$W593="","",Sync!$W593))</f>
        <v/>
      </c>
      <c r="I597">
        <f>IF(OR($G597="",Sync!$Y593=""),"",Sync!$Y593)</f>
        <v/>
      </c>
      <c r="J597">
        <f>IF(OR($G597="",Sync!$Z593=""),"",Sync!$Z593)</f>
        <v/>
      </c>
      <c r="K597">
        <f>IF($G597="",0,IF(Sync!$AA593="",0,Sync!$AA593))</f>
        <v/>
      </c>
      <c r="L597">
        <f>IF($G597="",0,IF(Sync!$AB593="",0,Sync!$AB593))</f>
        <v/>
      </c>
      <c r="M597">
        <f>IF($G597="","",IF($H597="مرجوعی فروش",-1,1)*($K597-$L597*IFERROR(VLOOKUP("P01",ParamTbl,3,0),1.5)))</f>
        <v/>
      </c>
      <c r="N597">
        <f>IF($G597="",0,IF($H597="مرجوعی فروش",-1,1)*IF(Sync!$AC593="",0,Sync!$AC593))</f>
        <v/>
      </c>
      <c r="O597">
        <f>IF(OR($G597="",Sync!$V593=""),"",Sync!$V593)</f>
        <v/>
      </c>
      <c r="P597">
        <f>IF(OR($G597="",Sync!$AD593=""),"",Sync!$AD593)</f>
        <v/>
      </c>
      <c r="Q597">
        <f>IF($G597="","",IF(Sync!$U593="","0000",IF(AND(ISNUMBER(Sync!$U593),Sync!$U593&gt;=0,Sync!$U593&lt;1),RIGHT("00"&amp;HOUR(Sync!$U593),2)&amp;RIGHT("00"&amp;MINUTE(Sync!$U593),2),IFERROR(RIGHT("00"&amp;VALUE(LEFT(Sync!$U593,FIND(":",Sync!$U593)-1)),2)&amp;RIGHT("00"&amp;VALUE(MID(Sync!$U593,FIND(":",Sync!$U593)+1,2)),2),"0000"))))</f>
        <v/>
      </c>
    </row>
    <row r="598">
      <c r="A598">
        <f>IF(Sync!$T594="","",Sync!$T594)</f>
        <v/>
      </c>
      <c r="B598">
        <f>IF($A598="","",IF(ISNUMBER($A598),IF(AND($A598&gt;=10000101,$A598&lt;=99991231),INT($A598/10000),""),IFERROR(VALUE(TRIM(LEFT($A598,FIND("/",$A598)-1))),"")))</f>
        <v/>
      </c>
      <c r="C598">
        <f>IF(OR($A598="",$B598=""),"",IF(ISNUMBER($A598),INT(MOD($A598,10000)/100),IFERROR(VALUE(TRIM(LEFT(MID($A598,FIND("/",$A598)+1,20),FIND("/",MID($A598,FIND("/",$A598)+1,20))-1))),"")))</f>
        <v/>
      </c>
      <c r="D598">
        <f>IF(OR($A598="",$B598=""),"",IF(ISNUMBER($A598),MOD($A598,100),IFERROR(VALUE(TRIM(MID(MID($A598,FIND("/",$A598)+1,20),FIND("/",MID($A598,FIND("/",$A598)+1,20))+1,20))),"")))</f>
        <v/>
      </c>
      <c r="E598">
        <f>IF($A598="","",IF(OR($B598="",$C598="",$D598="",$B598&lt;1300,$B598&gt;1500,$C598&lt;1,$C598&gt;12,$D598&lt;1,$D598&gt;31),"نامعتبر",RIGHT("0000"&amp;$B598,4)&amp;"/"&amp;RIGHT("00"&amp;$C598,2)&amp;"/"&amp;RIGHT("00"&amp;$D598,2)))</f>
        <v/>
      </c>
      <c r="F598">
        <f>IF(OR($E598="",$E598="نامعتبر"),"",LEFT($E598,4)&amp;"/"&amp;MID($E598,6,2))</f>
        <v/>
      </c>
      <c r="G598">
        <f>IF(OR($E598="",$E598="نامعتبر",Sync!$X594=""),"",IF(AND(LEFT(UPPER(TRIM(Sync!$X594)),2)="SL",IFERROR(VLOOKUP(Sync!$W594,OpTbl,3,0),"")="فروش"),UPPER(TRIM(Sync!$X594)),""))</f>
        <v/>
      </c>
      <c r="H598">
        <f>IF($G598="","",IF(Sync!$W594="","",Sync!$W594))</f>
        <v/>
      </c>
      <c r="I598">
        <f>IF(OR($G598="",Sync!$Y594=""),"",Sync!$Y594)</f>
        <v/>
      </c>
      <c r="J598">
        <f>IF(OR($G598="",Sync!$Z594=""),"",Sync!$Z594)</f>
        <v/>
      </c>
      <c r="K598">
        <f>IF($G598="",0,IF(Sync!$AA594="",0,Sync!$AA594))</f>
        <v/>
      </c>
      <c r="L598">
        <f>IF($G598="",0,IF(Sync!$AB594="",0,Sync!$AB594))</f>
        <v/>
      </c>
      <c r="M598">
        <f>IF($G598="","",IF($H598="مرجوعی فروش",-1,1)*($K598-$L598*IFERROR(VLOOKUP("P01",ParamTbl,3,0),1.5)))</f>
        <v/>
      </c>
      <c r="N598">
        <f>IF($G598="",0,IF($H598="مرجوعی فروش",-1,1)*IF(Sync!$AC594="",0,Sync!$AC594))</f>
        <v/>
      </c>
      <c r="O598">
        <f>IF(OR($G598="",Sync!$V594=""),"",Sync!$V594)</f>
        <v/>
      </c>
      <c r="P598">
        <f>IF(OR($G598="",Sync!$AD594=""),"",Sync!$AD594)</f>
        <v/>
      </c>
      <c r="Q598">
        <f>IF($G598="","",IF(Sync!$U594="","0000",IF(AND(ISNUMBER(Sync!$U594),Sync!$U594&gt;=0,Sync!$U594&lt;1),RIGHT("00"&amp;HOUR(Sync!$U594),2)&amp;RIGHT("00"&amp;MINUTE(Sync!$U594),2),IFERROR(RIGHT("00"&amp;VALUE(LEFT(Sync!$U594,FIND(":",Sync!$U594)-1)),2)&amp;RIGHT("00"&amp;VALUE(MID(Sync!$U594,FIND(":",Sync!$U594)+1,2)),2),"0000"))))</f>
        <v/>
      </c>
    </row>
    <row r="599">
      <c r="A599">
        <f>IF(Sync!$T595="","",Sync!$T595)</f>
        <v/>
      </c>
      <c r="B599">
        <f>IF($A599="","",IF(ISNUMBER($A599),IF(AND($A599&gt;=10000101,$A599&lt;=99991231),INT($A599/10000),""),IFERROR(VALUE(TRIM(LEFT($A599,FIND("/",$A599)-1))),"")))</f>
        <v/>
      </c>
      <c r="C599">
        <f>IF(OR($A599="",$B599=""),"",IF(ISNUMBER($A599),INT(MOD($A599,10000)/100),IFERROR(VALUE(TRIM(LEFT(MID($A599,FIND("/",$A599)+1,20),FIND("/",MID($A599,FIND("/",$A599)+1,20))-1))),"")))</f>
        <v/>
      </c>
      <c r="D599">
        <f>IF(OR($A599="",$B599=""),"",IF(ISNUMBER($A599),MOD($A599,100),IFERROR(VALUE(TRIM(MID(MID($A599,FIND("/",$A599)+1,20),FIND("/",MID($A599,FIND("/",$A599)+1,20))+1,20))),"")))</f>
        <v/>
      </c>
      <c r="E599">
        <f>IF($A599="","",IF(OR($B599="",$C599="",$D599="",$B599&lt;1300,$B599&gt;1500,$C599&lt;1,$C599&gt;12,$D599&lt;1,$D599&gt;31),"نامعتبر",RIGHT("0000"&amp;$B599,4)&amp;"/"&amp;RIGHT("00"&amp;$C599,2)&amp;"/"&amp;RIGHT("00"&amp;$D599,2)))</f>
        <v/>
      </c>
      <c r="F599">
        <f>IF(OR($E599="",$E599="نامعتبر"),"",LEFT($E599,4)&amp;"/"&amp;MID($E599,6,2))</f>
        <v/>
      </c>
      <c r="G599">
        <f>IF(OR($E599="",$E599="نامعتبر",Sync!$X595=""),"",IF(AND(LEFT(UPPER(TRIM(Sync!$X595)),2)="SL",IFERROR(VLOOKUP(Sync!$W595,OpTbl,3,0),"")="فروش"),UPPER(TRIM(Sync!$X595)),""))</f>
        <v/>
      </c>
      <c r="H599">
        <f>IF($G599="","",IF(Sync!$W595="","",Sync!$W595))</f>
        <v/>
      </c>
      <c r="I599">
        <f>IF(OR($G599="",Sync!$Y595=""),"",Sync!$Y595)</f>
        <v/>
      </c>
      <c r="J599">
        <f>IF(OR($G599="",Sync!$Z595=""),"",Sync!$Z595)</f>
        <v/>
      </c>
      <c r="K599">
        <f>IF($G599="",0,IF(Sync!$AA595="",0,Sync!$AA595))</f>
        <v/>
      </c>
      <c r="L599">
        <f>IF($G599="",0,IF(Sync!$AB595="",0,Sync!$AB595))</f>
        <v/>
      </c>
      <c r="M599">
        <f>IF($G599="","",IF($H599="مرجوعی فروش",-1,1)*($K599-$L599*IFERROR(VLOOKUP("P01",ParamTbl,3,0),1.5)))</f>
        <v/>
      </c>
      <c r="N599">
        <f>IF($G599="",0,IF($H599="مرجوعی فروش",-1,1)*IF(Sync!$AC595="",0,Sync!$AC595))</f>
        <v/>
      </c>
      <c r="O599">
        <f>IF(OR($G599="",Sync!$V595=""),"",Sync!$V595)</f>
        <v/>
      </c>
      <c r="P599">
        <f>IF(OR($G599="",Sync!$AD595=""),"",Sync!$AD595)</f>
        <v/>
      </c>
      <c r="Q599">
        <f>IF($G599="","",IF(Sync!$U595="","0000",IF(AND(ISNUMBER(Sync!$U595),Sync!$U595&gt;=0,Sync!$U595&lt;1),RIGHT("00"&amp;HOUR(Sync!$U595),2)&amp;RIGHT("00"&amp;MINUTE(Sync!$U595),2),IFERROR(RIGHT("00"&amp;VALUE(LEFT(Sync!$U595,FIND(":",Sync!$U595)-1)),2)&amp;RIGHT("00"&amp;VALUE(MID(Sync!$U595,FIND(":",Sync!$U595)+1,2)),2),"0000"))))</f>
        <v/>
      </c>
    </row>
    <row r="600">
      <c r="A600">
        <f>IF(Sync!$T596="","",Sync!$T596)</f>
        <v/>
      </c>
      <c r="B600">
        <f>IF($A600="","",IF(ISNUMBER($A600),IF(AND($A600&gt;=10000101,$A600&lt;=99991231),INT($A600/10000),""),IFERROR(VALUE(TRIM(LEFT($A600,FIND("/",$A600)-1))),"")))</f>
        <v/>
      </c>
      <c r="C600">
        <f>IF(OR($A600="",$B600=""),"",IF(ISNUMBER($A600),INT(MOD($A600,10000)/100),IFERROR(VALUE(TRIM(LEFT(MID($A600,FIND("/",$A600)+1,20),FIND("/",MID($A600,FIND("/",$A600)+1,20))-1))),"")))</f>
        <v/>
      </c>
      <c r="D600">
        <f>IF(OR($A600="",$B600=""),"",IF(ISNUMBER($A600),MOD($A600,100),IFERROR(VALUE(TRIM(MID(MID($A600,FIND("/",$A600)+1,20),FIND("/",MID($A600,FIND("/",$A600)+1,20))+1,20))),"")))</f>
        <v/>
      </c>
      <c r="E600">
        <f>IF($A600="","",IF(OR($B600="",$C600="",$D600="",$B600&lt;1300,$B600&gt;1500,$C600&lt;1,$C600&gt;12,$D600&lt;1,$D600&gt;31),"نامعتبر",RIGHT("0000"&amp;$B600,4)&amp;"/"&amp;RIGHT("00"&amp;$C600,2)&amp;"/"&amp;RIGHT("00"&amp;$D600,2)))</f>
        <v/>
      </c>
      <c r="F600">
        <f>IF(OR($E600="",$E600="نامعتبر"),"",LEFT($E600,4)&amp;"/"&amp;MID($E600,6,2))</f>
        <v/>
      </c>
      <c r="G600">
        <f>IF(OR($E600="",$E600="نامعتبر",Sync!$X596=""),"",IF(AND(LEFT(UPPER(TRIM(Sync!$X596)),2)="SL",IFERROR(VLOOKUP(Sync!$W596,OpTbl,3,0),"")="فروش"),UPPER(TRIM(Sync!$X596)),""))</f>
        <v/>
      </c>
      <c r="H600">
        <f>IF($G600="","",IF(Sync!$W596="","",Sync!$W596))</f>
        <v/>
      </c>
      <c r="I600">
        <f>IF(OR($G600="",Sync!$Y596=""),"",Sync!$Y596)</f>
        <v/>
      </c>
      <c r="J600">
        <f>IF(OR($G600="",Sync!$Z596=""),"",Sync!$Z596)</f>
        <v/>
      </c>
      <c r="K600">
        <f>IF($G600="",0,IF(Sync!$AA596="",0,Sync!$AA596))</f>
        <v/>
      </c>
      <c r="L600">
        <f>IF($G600="",0,IF(Sync!$AB596="",0,Sync!$AB596))</f>
        <v/>
      </c>
      <c r="M600">
        <f>IF($G600="","",IF($H600="مرجوعی فروش",-1,1)*($K600-$L600*IFERROR(VLOOKUP("P01",ParamTbl,3,0),1.5)))</f>
        <v/>
      </c>
      <c r="N600">
        <f>IF($G600="",0,IF($H600="مرجوعی فروش",-1,1)*IF(Sync!$AC596="",0,Sync!$AC596))</f>
        <v/>
      </c>
      <c r="O600">
        <f>IF(OR($G600="",Sync!$V596=""),"",Sync!$V596)</f>
        <v/>
      </c>
      <c r="P600">
        <f>IF(OR($G600="",Sync!$AD596=""),"",Sync!$AD596)</f>
        <v/>
      </c>
      <c r="Q600">
        <f>IF($G600="","",IF(Sync!$U596="","0000",IF(AND(ISNUMBER(Sync!$U596),Sync!$U596&gt;=0,Sync!$U596&lt;1),RIGHT("00"&amp;HOUR(Sync!$U596),2)&amp;RIGHT("00"&amp;MINUTE(Sync!$U596),2),IFERROR(RIGHT("00"&amp;VALUE(LEFT(Sync!$U596,FIND(":",Sync!$U596)-1)),2)&amp;RIGHT("00"&amp;VALUE(MID(Sync!$U596,FIND(":",Sync!$U596)+1,2)),2),"0000"))))</f>
        <v/>
      </c>
    </row>
    <row r="601">
      <c r="A601">
        <f>IF(Sync!$T597="","",Sync!$T597)</f>
        <v/>
      </c>
      <c r="B601">
        <f>IF($A601="","",IF(ISNUMBER($A601),IF(AND($A601&gt;=10000101,$A601&lt;=99991231),INT($A601/10000),""),IFERROR(VALUE(TRIM(LEFT($A601,FIND("/",$A601)-1))),"")))</f>
        <v/>
      </c>
      <c r="C601">
        <f>IF(OR($A601="",$B601=""),"",IF(ISNUMBER($A601),INT(MOD($A601,10000)/100),IFERROR(VALUE(TRIM(LEFT(MID($A601,FIND("/",$A601)+1,20),FIND("/",MID($A601,FIND("/",$A601)+1,20))-1))),"")))</f>
        <v/>
      </c>
      <c r="D601">
        <f>IF(OR($A601="",$B601=""),"",IF(ISNUMBER($A601),MOD($A601,100),IFERROR(VALUE(TRIM(MID(MID($A601,FIND("/",$A601)+1,20),FIND("/",MID($A601,FIND("/",$A601)+1,20))+1,20))),"")))</f>
        <v/>
      </c>
      <c r="E601">
        <f>IF($A601="","",IF(OR($B601="",$C601="",$D601="",$B601&lt;1300,$B601&gt;1500,$C601&lt;1,$C601&gt;12,$D601&lt;1,$D601&gt;31),"نامعتبر",RIGHT("0000"&amp;$B601,4)&amp;"/"&amp;RIGHT("00"&amp;$C601,2)&amp;"/"&amp;RIGHT("00"&amp;$D601,2)))</f>
        <v/>
      </c>
      <c r="F601">
        <f>IF(OR($E601="",$E601="نامعتبر"),"",LEFT($E601,4)&amp;"/"&amp;MID($E601,6,2))</f>
        <v/>
      </c>
      <c r="G601">
        <f>IF(OR($E601="",$E601="نامعتبر",Sync!$X597=""),"",IF(AND(LEFT(UPPER(TRIM(Sync!$X597)),2)="SL",IFERROR(VLOOKUP(Sync!$W597,OpTbl,3,0),"")="فروش"),UPPER(TRIM(Sync!$X597)),""))</f>
        <v/>
      </c>
      <c r="H601">
        <f>IF($G601="","",IF(Sync!$W597="","",Sync!$W597))</f>
        <v/>
      </c>
      <c r="I601">
        <f>IF(OR($G601="",Sync!$Y597=""),"",Sync!$Y597)</f>
        <v/>
      </c>
      <c r="J601">
        <f>IF(OR($G601="",Sync!$Z597=""),"",Sync!$Z597)</f>
        <v/>
      </c>
      <c r="K601">
        <f>IF($G601="",0,IF(Sync!$AA597="",0,Sync!$AA597))</f>
        <v/>
      </c>
      <c r="L601">
        <f>IF($G601="",0,IF(Sync!$AB597="",0,Sync!$AB597))</f>
        <v/>
      </c>
      <c r="M601">
        <f>IF($G601="","",IF($H601="مرجوعی فروش",-1,1)*($K601-$L601*IFERROR(VLOOKUP("P01",ParamTbl,3,0),1.5)))</f>
        <v/>
      </c>
      <c r="N601">
        <f>IF($G601="",0,IF($H601="مرجوعی فروش",-1,1)*IF(Sync!$AC597="",0,Sync!$AC597))</f>
        <v/>
      </c>
      <c r="O601">
        <f>IF(OR($G601="",Sync!$V597=""),"",Sync!$V597)</f>
        <v/>
      </c>
      <c r="P601">
        <f>IF(OR($G601="",Sync!$AD597=""),"",Sync!$AD597)</f>
        <v/>
      </c>
      <c r="Q601">
        <f>IF($G601="","",IF(Sync!$U597="","0000",IF(AND(ISNUMBER(Sync!$U597),Sync!$U597&gt;=0,Sync!$U597&lt;1),RIGHT("00"&amp;HOUR(Sync!$U597),2)&amp;RIGHT("00"&amp;MINUTE(Sync!$U597),2),IFERROR(RIGHT("00"&amp;VALUE(LEFT(Sync!$U597,FIND(":",Sync!$U597)-1)),2)&amp;RIGHT("00"&amp;VALUE(MID(Sync!$U597,FIND(":",Sync!$U597)+1,2)),2),"0000"))))</f>
        <v/>
      </c>
    </row>
    <row r="602">
      <c r="A602">
        <f>IF(Sync!$T598="","",Sync!$T598)</f>
        <v/>
      </c>
      <c r="B602">
        <f>IF($A602="","",IF(ISNUMBER($A602),IF(AND($A602&gt;=10000101,$A602&lt;=99991231),INT($A602/10000),""),IFERROR(VALUE(TRIM(LEFT($A602,FIND("/",$A602)-1))),"")))</f>
        <v/>
      </c>
      <c r="C602">
        <f>IF(OR($A602="",$B602=""),"",IF(ISNUMBER($A602),INT(MOD($A602,10000)/100),IFERROR(VALUE(TRIM(LEFT(MID($A602,FIND("/",$A602)+1,20),FIND("/",MID($A602,FIND("/",$A602)+1,20))-1))),"")))</f>
        <v/>
      </c>
      <c r="D602">
        <f>IF(OR($A602="",$B602=""),"",IF(ISNUMBER($A602),MOD($A602,100),IFERROR(VALUE(TRIM(MID(MID($A602,FIND("/",$A602)+1,20),FIND("/",MID($A602,FIND("/",$A602)+1,20))+1,20))),"")))</f>
        <v/>
      </c>
      <c r="E602">
        <f>IF($A602="","",IF(OR($B602="",$C602="",$D602="",$B602&lt;1300,$B602&gt;1500,$C602&lt;1,$C602&gt;12,$D602&lt;1,$D602&gt;31),"نامعتبر",RIGHT("0000"&amp;$B602,4)&amp;"/"&amp;RIGHT("00"&amp;$C602,2)&amp;"/"&amp;RIGHT("00"&amp;$D602,2)))</f>
        <v/>
      </c>
      <c r="F602">
        <f>IF(OR($E602="",$E602="نامعتبر"),"",LEFT($E602,4)&amp;"/"&amp;MID($E602,6,2))</f>
        <v/>
      </c>
      <c r="G602">
        <f>IF(OR($E602="",$E602="نامعتبر",Sync!$X598=""),"",IF(AND(LEFT(UPPER(TRIM(Sync!$X598)),2)="SL",IFERROR(VLOOKUP(Sync!$W598,OpTbl,3,0),"")="فروش"),UPPER(TRIM(Sync!$X598)),""))</f>
        <v/>
      </c>
      <c r="H602">
        <f>IF($G602="","",IF(Sync!$W598="","",Sync!$W598))</f>
        <v/>
      </c>
      <c r="I602">
        <f>IF(OR($G602="",Sync!$Y598=""),"",Sync!$Y598)</f>
        <v/>
      </c>
      <c r="J602">
        <f>IF(OR($G602="",Sync!$Z598=""),"",Sync!$Z598)</f>
        <v/>
      </c>
      <c r="K602">
        <f>IF($G602="",0,IF(Sync!$AA598="",0,Sync!$AA598))</f>
        <v/>
      </c>
      <c r="L602">
        <f>IF($G602="",0,IF(Sync!$AB598="",0,Sync!$AB598))</f>
        <v/>
      </c>
      <c r="M602">
        <f>IF($G602="","",IF($H602="مرجوعی فروش",-1,1)*($K602-$L602*IFERROR(VLOOKUP("P01",ParamTbl,3,0),1.5)))</f>
        <v/>
      </c>
      <c r="N602">
        <f>IF($G602="",0,IF($H602="مرجوعی فروش",-1,1)*IF(Sync!$AC598="",0,Sync!$AC598))</f>
        <v/>
      </c>
      <c r="O602">
        <f>IF(OR($G602="",Sync!$V598=""),"",Sync!$V598)</f>
        <v/>
      </c>
      <c r="P602">
        <f>IF(OR($G602="",Sync!$AD598=""),"",Sync!$AD598)</f>
        <v/>
      </c>
      <c r="Q602">
        <f>IF($G602="","",IF(Sync!$U598="","0000",IF(AND(ISNUMBER(Sync!$U598),Sync!$U598&gt;=0,Sync!$U598&lt;1),RIGHT("00"&amp;HOUR(Sync!$U598),2)&amp;RIGHT("00"&amp;MINUTE(Sync!$U598),2),IFERROR(RIGHT("00"&amp;VALUE(LEFT(Sync!$U598,FIND(":",Sync!$U598)-1)),2)&amp;RIGHT("00"&amp;VALUE(MID(Sync!$U598,FIND(":",Sync!$U598)+1,2)),2),"0000"))))</f>
        <v/>
      </c>
    </row>
    <row r="603">
      <c r="A603">
        <f>IF(Sync!$T599="","",Sync!$T599)</f>
        <v/>
      </c>
      <c r="B603">
        <f>IF($A603="","",IF(ISNUMBER($A603),IF(AND($A603&gt;=10000101,$A603&lt;=99991231),INT($A603/10000),""),IFERROR(VALUE(TRIM(LEFT($A603,FIND("/",$A603)-1))),"")))</f>
        <v/>
      </c>
      <c r="C603">
        <f>IF(OR($A603="",$B603=""),"",IF(ISNUMBER($A603),INT(MOD($A603,10000)/100),IFERROR(VALUE(TRIM(LEFT(MID($A603,FIND("/",$A603)+1,20),FIND("/",MID($A603,FIND("/",$A603)+1,20))-1))),"")))</f>
        <v/>
      </c>
      <c r="D603">
        <f>IF(OR($A603="",$B603=""),"",IF(ISNUMBER($A603),MOD($A603,100),IFERROR(VALUE(TRIM(MID(MID($A603,FIND("/",$A603)+1,20),FIND("/",MID($A603,FIND("/",$A603)+1,20))+1,20))),"")))</f>
        <v/>
      </c>
      <c r="E603">
        <f>IF($A603="","",IF(OR($B603="",$C603="",$D603="",$B603&lt;1300,$B603&gt;1500,$C603&lt;1,$C603&gt;12,$D603&lt;1,$D603&gt;31),"نامعتبر",RIGHT("0000"&amp;$B603,4)&amp;"/"&amp;RIGHT("00"&amp;$C603,2)&amp;"/"&amp;RIGHT("00"&amp;$D603,2)))</f>
        <v/>
      </c>
      <c r="F603">
        <f>IF(OR($E603="",$E603="نامعتبر"),"",LEFT($E603,4)&amp;"/"&amp;MID($E603,6,2))</f>
        <v/>
      </c>
      <c r="G603">
        <f>IF(OR($E603="",$E603="نامعتبر",Sync!$X599=""),"",IF(AND(LEFT(UPPER(TRIM(Sync!$X599)),2)="SL",IFERROR(VLOOKUP(Sync!$W599,OpTbl,3,0),"")="فروش"),UPPER(TRIM(Sync!$X599)),""))</f>
        <v/>
      </c>
      <c r="H603">
        <f>IF($G603="","",IF(Sync!$W599="","",Sync!$W599))</f>
        <v/>
      </c>
      <c r="I603">
        <f>IF(OR($G603="",Sync!$Y599=""),"",Sync!$Y599)</f>
        <v/>
      </c>
      <c r="J603">
        <f>IF(OR($G603="",Sync!$Z599=""),"",Sync!$Z599)</f>
        <v/>
      </c>
      <c r="K603">
        <f>IF($G603="",0,IF(Sync!$AA599="",0,Sync!$AA599))</f>
        <v/>
      </c>
      <c r="L603">
        <f>IF($G603="",0,IF(Sync!$AB599="",0,Sync!$AB599))</f>
        <v/>
      </c>
      <c r="M603">
        <f>IF($G603="","",IF($H603="مرجوعی فروش",-1,1)*($K603-$L603*IFERROR(VLOOKUP("P01",ParamTbl,3,0),1.5)))</f>
        <v/>
      </c>
      <c r="N603">
        <f>IF($G603="",0,IF($H603="مرجوعی فروش",-1,1)*IF(Sync!$AC599="",0,Sync!$AC599))</f>
        <v/>
      </c>
      <c r="O603">
        <f>IF(OR($G603="",Sync!$V599=""),"",Sync!$V599)</f>
        <v/>
      </c>
      <c r="P603">
        <f>IF(OR($G603="",Sync!$AD599=""),"",Sync!$AD599)</f>
        <v/>
      </c>
      <c r="Q603">
        <f>IF($G603="","",IF(Sync!$U599="","0000",IF(AND(ISNUMBER(Sync!$U599),Sync!$U599&gt;=0,Sync!$U599&lt;1),RIGHT("00"&amp;HOUR(Sync!$U599),2)&amp;RIGHT("00"&amp;MINUTE(Sync!$U599),2),IFERROR(RIGHT("00"&amp;VALUE(LEFT(Sync!$U599,FIND(":",Sync!$U599)-1)),2)&amp;RIGHT("00"&amp;VALUE(MID(Sync!$U599,FIND(":",Sync!$U599)+1,2)),2),"0000"))))</f>
        <v/>
      </c>
    </row>
    <row r="604">
      <c r="A604">
        <f>IF(Sync!$T600="","",Sync!$T600)</f>
        <v/>
      </c>
      <c r="B604">
        <f>IF($A604="","",IF(ISNUMBER($A604),IF(AND($A604&gt;=10000101,$A604&lt;=99991231),INT($A604/10000),""),IFERROR(VALUE(TRIM(LEFT($A604,FIND("/",$A604)-1))),"")))</f>
        <v/>
      </c>
      <c r="C604">
        <f>IF(OR($A604="",$B604=""),"",IF(ISNUMBER($A604),INT(MOD($A604,10000)/100),IFERROR(VALUE(TRIM(LEFT(MID($A604,FIND("/",$A604)+1,20),FIND("/",MID($A604,FIND("/",$A604)+1,20))-1))),"")))</f>
        <v/>
      </c>
      <c r="D604">
        <f>IF(OR($A604="",$B604=""),"",IF(ISNUMBER($A604),MOD($A604,100),IFERROR(VALUE(TRIM(MID(MID($A604,FIND("/",$A604)+1,20),FIND("/",MID($A604,FIND("/",$A604)+1,20))+1,20))),"")))</f>
        <v/>
      </c>
      <c r="E604">
        <f>IF($A604="","",IF(OR($B604="",$C604="",$D604="",$B604&lt;1300,$B604&gt;1500,$C604&lt;1,$C604&gt;12,$D604&lt;1,$D604&gt;31),"نامعتبر",RIGHT("0000"&amp;$B604,4)&amp;"/"&amp;RIGHT("00"&amp;$C604,2)&amp;"/"&amp;RIGHT("00"&amp;$D604,2)))</f>
        <v/>
      </c>
      <c r="F604">
        <f>IF(OR($E604="",$E604="نامعتبر"),"",LEFT($E604,4)&amp;"/"&amp;MID($E604,6,2))</f>
        <v/>
      </c>
      <c r="G604">
        <f>IF(OR($E604="",$E604="نامعتبر",Sync!$X600=""),"",IF(AND(LEFT(UPPER(TRIM(Sync!$X600)),2)="SL",IFERROR(VLOOKUP(Sync!$W600,OpTbl,3,0),"")="فروش"),UPPER(TRIM(Sync!$X600)),""))</f>
        <v/>
      </c>
      <c r="H604">
        <f>IF($G604="","",IF(Sync!$W600="","",Sync!$W600))</f>
        <v/>
      </c>
      <c r="I604">
        <f>IF(OR($G604="",Sync!$Y600=""),"",Sync!$Y600)</f>
        <v/>
      </c>
      <c r="J604">
        <f>IF(OR($G604="",Sync!$Z600=""),"",Sync!$Z600)</f>
        <v/>
      </c>
      <c r="K604">
        <f>IF($G604="",0,IF(Sync!$AA600="",0,Sync!$AA600))</f>
        <v/>
      </c>
      <c r="L604">
        <f>IF($G604="",0,IF(Sync!$AB600="",0,Sync!$AB600))</f>
        <v/>
      </c>
      <c r="M604">
        <f>IF($G604="","",IF($H604="مرجوعی فروش",-1,1)*($K604-$L604*IFERROR(VLOOKUP("P01",ParamTbl,3,0),1.5)))</f>
        <v/>
      </c>
      <c r="N604">
        <f>IF($G604="",0,IF($H604="مرجوعی فروش",-1,1)*IF(Sync!$AC600="",0,Sync!$AC600))</f>
        <v/>
      </c>
      <c r="O604">
        <f>IF(OR($G604="",Sync!$V600=""),"",Sync!$V600)</f>
        <v/>
      </c>
      <c r="P604">
        <f>IF(OR($G604="",Sync!$AD600=""),"",Sync!$AD600)</f>
        <v/>
      </c>
      <c r="Q604">
        <f>IF($G604="","",IF(Sync!$U600="","0000",IF(AND(ISNUMBER(Sync!$U600),Sync!$U600&gt;=0,Sync!$U600&lt;1),RIGHT("00"&amp;HOUR(Sync!$U600),2)&amp;RIGHT("00"&amp;MINUTE(Sync!$U600),2),IFERROR(RIGHT("00"&amp;VALUE(LEFT(Sync!$U600,FIND(":",Sync!$U600)-1)),2)&amp;RIGHT("00"&amp;VALUE(MID(Sync!$U600,FIND(":",Sync!$U600)+1,2)),2),"0000"))))</f>
        <v/>
      </c>
    </row>
    <row r="605">
      <c r="A605">
        <f>IF(Sync!$T601="","",Sync!$T601)</f>
        <v/>
      </c>
      <c r="B605">
        <f>IF($A605="","",IF(ISNUMBER($A605),IF(AND($A605&gt;=10000101,$A605&lt;=99991231),INT($A605/10000),""),IFERROR(VALUE(TRIM(LEFT($A605,FIND("/",$A605)-1))),"")))</f>
        <v/>
      </c>
      <c r="C605">
        <f>IF(OR($A605="",$B605=""),"",IF(ISNUMBER($A605),INT(MOD($A605,10000)/100),IFERROR(VALUE(TRIM(LEFT(MID($A605,FIND("/",$A605)+1,20),FIND("/",MID($A605,FIND("/",$A605)+1,20))-1))),"")))</f>
        <v/>
      </c>
      <c r="D605">
        <f>IF(OR($A605="",$B605=""),"",IF(ISNUMBER($A605),MOD($A605,100),IFERROR(VALUE(TRIM(MID(MID($A605,FIND("/",$A605)+1,20),FIND("/",MID($A605,FIND("/",$A605)+1,20))+1,20))),"")))</f>
        <v/>
      </c>
      <c r="E605">
        <f>IF($A605="","",IF(OR($B605="",$C605="",$D605="",$B605&lt;1300,$B605&gt;1500,$C605&lt;1,$C605&gt;12,$D605&lt;1,$D605&gt;31),"نامعتبر",RIGHT("0000"&amp;$B605,4)&amp;"/"&amp;RIGHT("00"&amp;$C605,2)&amp;"/"&amp;RIGHT("00"&amp;$D605,2)))</f>
        <v/>
      </c>
      <c r="F605">
        <f>IF(OR($E605="",$E605="نامعتبر"),"",LEFT($E605,4)&amp;"/"&amp;MID($E605,6,2))</f>
        <v/>
      </c>
      <c r="G605">
        <f>IF(OR($E605="",$E605="نامعتبر",Sync!$X601=""),"",IF(AND(LEFT(UPPER(TRIM(Sync!$X601)),2)="SL",IFERROR(VLOOKUP(Sync!$W601,OpTbl,3,0),"")="فروش"),UPPER(TRIM(Sync!$X601)),""))</f>
        <v/>
      </c>
      <c r="H605">
        <f>IF($G605="","",IF(Sync!$W601="","",Sync!$W601))</f>
        <v/>
      </c>
      <c r="I605">
        <f>IF(OR($G605="",Sync!$Y601=""),"",Sync!$Y601)</f>
        <v/>
      </c>
      <c r="J605">
        <f>IF(OR($G605="",Sync!$Z601=""),"",Sync!$Z601)</f>
        <v/>
      </c>
      <c r="K605">
        <f>IF($G605="",0,IF(Sync!$AA601="",0,Sync!$AA601))</f>
        <v/>
      </c>
      <c r="L605">
        <f>IF($G605="",0,IF(Sync!$AB601="",0,Sync!$AB601))</f>
        <v/>
      </c>
      <c r="M605">
        <f>IF($G605="","",IF($H605="مرجوعی فروش",-1,1)*($K605-$L605*IFERROR(VLOOKUP("P01",ParamTbl,3,0),1.5)))</f>
        <v/>
      </c>
      <c r="N605">
        <f>IF($G605="",0,IF($H605="مرجوعی فروش",-1,1)*IF(Sync!$AC601="",0,Sync!$AC601))</f>
        <v/>
      </c>
      <c r="O605">
        <f>IF(OR($G605="",Sync!$V601=""),"",Sync!$V601)</f>
        <v/>
      </c>
      <c r="P605">
        <f>IF(OR($G605="",Sync!$AD601=""),"",Sync!$AD601)</f>
        <v/>
      </c>
      <c r="Q605">
        <f>IF($G605="","",IF(Sync!$U601="","0000",IF(AND(ISNUMBER(Sync!$U601),Sync!$U601&gt;=0,Sync!$U601&lt;1),RIGHT("00"&amp;HOUR(Sync!$U601),2)&amp;RIGHT("00"&amp;MINUTE(Sync!$U601),2),IFERROR(RIGHT("00"&amp;VALUE(LEFT(Sync!$U601,FIND(":",Sync!$U601)-1)),2)&amp;RIGHT("00"&amp;VALUE(MID(Sync!$U601,FIND(":",Sync!$U601)+1,2)),2),"0000"))))</f>
        <v/>
      </c>
    </row>
    <row r="606">
      <c r="A606">
        <f>IF(Sync!$T602="","",Sync!$T602)</f>
        <v/>
      </c>
      <c r="B606">
        <f>IF($A606="","",IF(ISNUMBER($A606),IF(AND($A606&gt;=10000101,$A606&lt;=99991231),INT($A606/10000),""),IFERROR(VALUE(TRIM(LEFT($A606,FIND("/",$A606)-1))),"")))</f>
        <v/>
      </c>
      <c r="C606">
        <f>IF(OR($A606="",$B606=""),"",IF(ISNUMBER($A606),INT(MOD($A606,10000)/100),IFERROR(VALUE(TRIM(LEFT(MID($A606,FIND("/",$A606)+1,20),FIND("/",MID($A606,FIND("/",$A606)+1,20))-1))),"")))</f>
        <v/>
      </c>
      <c r="D606">
        <f>IF(OR($A606="",$B606=""),"",IF(ISNUMBER($A606),MOD($A606,100),IFERROR(VALUE(TRIM(MID(MID($A606,FIND("/",$A606)+1,20),FIND("/",MID($A606,FIND("/",$A606)+1,20))+1,20))),"")))</f>
        <v/>
      </c>
      <c r="E606">
        <f>IF($A606="","",IF(OR($B606="",$C606="",$D606="",$B606&lt;1300,$B606&gt;1500,$C606&lt;1,$C606&gt;12,$D606&lt;1,$D606&gt;31),"نامعتبر",RIGHT("0000"&amp;$B606,4)&amp;"/"&amp;RIGHT("00"&amp;$C606,2)&amp;"/"&amp;RIGHT("00"&amp;$D606,2)))</f>
        <v/>
      </c>
      <c r="F606">
        <f>IF(OR($E606="",$E606="نامعتبر"),"",LEFT($E606,4)&amp;"/"&amp;MID($E606,6,2))</f>
        <v/>
      </c>
      <c r="G606">
        <f>IF(OR($E606="",$E606="نامعتبر",Sync!$X602=""),"",IF(AND(LEFT(UPPER(TRIM(Sync!$X602)),2)="SL",IFERROR(VLOOKUP(Sync!$W602,OpTbl,3,0),"")="فروش"),UPPER(TRIM(Sync!$X602)),""))</f>
        <v/>
      </c>
      <c r="H606">
        <f>IF($G606="","",IF(Sync!$W602="","",Sync!$W602))</f>
        <v/>
      </c>
      <c r="I606">
        <f>IF(OR($G606="",Sync!$Y602=""),"",Sync!$Y602)</f>
        <v/>
      </c>
      <c r="J606">
        <f>IF(OR($G606="",Sync!$Z602=""),"",Sync!$Z602)</f>
        <v/>
      </c>
      <c r="K606">
        <f>IF($G606="",0,IF(Sync!$AA602="",0,Sync!$AA602))</f>
        <v/>
      </c>
      <c r="L606">
        <f>IF($G606="",0,IF(Sync!$AB602="",0,Sync!$AB602))</f>
        <v/>
      </c>
      <c r="M606">
        <f>IF($G606="","",IF($H606="مرجوعی فروش",-1,1)*($K606-$L606*IFERROR(VLOOKUP("P01",ParamTbl,3,0),1.5)))</f>
        <v/>
      </c>
      <c r="N606">
        <f>IF($G606="",0,IF($H606="مرجوعی فروش",-1,1)*IF(Sync!$AC602="",0,Sync!$AC602))</f>
        <v/>
      </c>
      <c r="O606">
        <f>IF(OR($G606="",Sync!$V602=""),"",Sync!$V602)</f>
        <v/>
      </c>
      <c r="P606">
        <f>IF(OR($G606="",Sync!$AD602=""),"",Sync!$AD602)</f>
        <v/>
      </c>
      <c r="Q606">
        <f>IF($G606="","",IF(Sync!$U602="","0000",IF(AND(ISNUMBER(Sync!$U602),Sync!$U602&gt;=0,Sync!$U602&lt;1),RIGHT("00"&amp;HOUR(Sync!$U602),2)&amp;RIGHT("00"&amp;MINUTE(Sync!$U602),2),IFERROR(RIGHT("00"&amp;VALUE(LEFT(Sync!$U602,FIND(":",Sync!$U602)-1)),2)&amp;RIGHT("00"&amp;VALUE(MID(Sync!$U602,FIND(":",Sync!$U602)+1,2)),2),"0000"))))</f>
        <v/>
      </c>
    </row>
    <row r="607">
      <c r="A607">
        <f>IF(Sync!$T603="","",Sync!$T603)</f>
        <v/>
      </c>
      <c r="B607">
        <f>IF($A607="","",IF(ISNUMBER($A607),IF(AND($A607&gt;=10000101,$A607&lt;=99991231),INT($A607/10000),""),IFERROR(VALUE(TRIM(LEFT($A607,FIND("/",$A607)-1))),"")))</f>
        <v/>
      </c>
      <c r="C607">
        <f>IF(OR($A607="",$B607=""),"",IF(ISNUMBER($A607),INT(MOD($A607,10000)/100),IFERROR(VALUE(TRIM(LEFT(MID($A607,FIND("/",$A607)+1,20),FIND("/",MID($A607,FIND("/",$A607)+1,20))-1))),"")))</f>
        <v/>
      </c>
      <c r="D607">
        <f>IF(OR($A607="",$B607=""),"",IF(ISNUMBER($A607),MOD($A607,100),IFERROR(VALUE(TRIM(MID(MID($A607,FIND("/",$A607)+1,20),FIND("/",MID($A607,FIND("/",$A607)+1,20))+1,20))),"")))</f>
        <v/>
      </c>
      <c r="E607">
        <f>IF($A607="","",IF(OR($B607="",$C607="",$D607="",$B607&lt;1300,$B607&gt;1500,$C607&lt;1,$C607&gt;12,$D607&lt;1,$D607&gt;31),"نامعتبر",RIGHT("0000"&amp;$B607,4)&amp;"/"&amp;RIGHT("00"&amp;$C607,2)&amp;"/"&amp;RIGHT("00"&amp;$D607,2)))</f>
        <v/>
      </c>
      <c r="F607">
        <f>IF(OR($E607="",$E607="نامعتبر"),"",LEFT($E607,4)&amp;"/"&amp;MID($E607,6,2))</f>
        <v/>
      </c>
      <c r="G607">
        <f>IF(OR($E607="",$E607="نامعتبر",Sync!$X603=""),"",IF(AND(LEFT(UPPER(TRIM(Sync!$X603)),2)="SL",IFERROR(VLOOKUP(Sync!$W603,OpTbl,3,0),"")="فروش"),UPPER(TRIM(Sync!$X603)),""))</f>
        <v/>
      </c>
      <c r="H607">
        <f>IF($G607="","",IF(Sync!$W603="","",Sync!$W603))</f>
        <v/>
      </c>
      <c r="I607">
        <f>IF(OR($G607="",Sync!$Y603=""),"",Sync!$Y603)</f>
        <v/>
      </c>
      <c r="J607">
        <f>IF(OR($G607="",Sync!$Z603=""),"",Sync!$Z603)</f>
        <v/>
      </c>
      <c r="K607">
        <f>IF($G607="",0,IF(Sync!$AA603="",0,Sync!$AA603))</f>
        <v/>
      </c>
      <c r="L607">
        <f>IF($G607="",0,IF(Sync!$AB603="",0,Sync!$AB603))</f>
        <v/>
      </c>
      <c r="M607">
        <f>IF($G607="","",IF($H607="مرجوعی فروش",-1,1)*($K607-$L607*IFERROR(VLOOKUP("P01",ParamTbl,3,0),1.5)))</f>
        <v/>
      </c>
      <c r="N607">
        <f>IF($G607="",0,IF($H607="مرجوعی فروش",-1,1)*IF(Sync!$AC603="",0,Sync!$AC603))</f>
        <v/>
      </c>
      <c r="O607">
        <f>IF(OR($G607="",Sync!$V603=""),"",Sync!$V603)</f>
        <v/>
      </c>
      <c r="P607">
        <f>IF(OR($G607="",Sync!$AD603=""),"",Sync!$AD603)</f>
        <v/>
      </c>
      <c r="Q607">
        <f>IF($G607="","",IF(Sync!$U603="","0000",IF(AND(ISNUMBER(Sync!$U603),Sync!$U603&gt;=0,Sync!$U603&lt;1),RIGHT("00"&amp;HOUR(Sync!$U603),2)&amp;RIGHT("00"&amp;MINUTE(Sync!$U603),2),IFERROR(RIGHT("00"&amp;VALUE(LEFT(Sync!$U603,FIND(":",Sync!$U603)-1)),2)&amp;RIGHT("00"&amp;VALUE(MID(Sync!$U603,FIND(":",Sync!$U603)+1,2)),2),"0000"))))</f>
        <v/>
      </c>
    </row>
    <row r="608">
      <c r="A608">
        <f>IF(Sync!$T604="","",Sync!$T604)</f>
        <v/>
      </c>
      <c r="B608">
        <f>IF($A608="","",IF(ISNUMBER($A608),IF(AND($A608&gt;=10000101,$A608&lt;=99991231),INT($A608/10000),""),IFERROR(VALUE(TRIM(LEFT($A608,FIND("/",$A608)-1))),"")))</f>
        <v/>
      </c>
      <c r="C608">
        <f>IF(OR($A608="",$B608=""),"",IF(ISNUMBER($A608),INT(MOD($A608,10000)/100),IFERROR(VALUE(TRIM(LEFT(MID($A608,FIND("/",$A608)+1,20),FIND("/",MID($A608,FIND("/",$A608)+1,20))-1))),"")))</f>
        <v/>
      </c>
      <c r="D608">
        <f>IF(OR($A608="",$B608=""),"",IF(ISNUMBER($A608),MOD($A608,100),IFERROR(VALUE(TRIM(MID(MID($A608,FIND("/",$A608)+1,20),FIND("/",MID($A608,FIND("/",$A608)+1,20))+1,20))),"")))</f>
        <v/>
      </c>
      <c r="E608">
        <f>IF($A608="","",IF(OR($B608="",$C608="",$D608="",$B608&lt;1300,$B608&gt;1500,$C608&lt;1,$C608&gt;12,$D608&lt;1,$D608&gt;31),"نامعتبر",RIGHT("0000"&amp;$B608,4)&amp;"/"&amp;RIGHT("00"&amp;$C608,2)&amp;"/"&amp;RIGHT("00"&amp;$D608,2)))</f>
        <v/>
      </c>
      <c r="F608">
        <f>IF(OR($E608="",$E608="نامعتبر"),"",LEFT($E608,4)&amp;"/"&amp;MID($E608,6,2))</f>
        <v/>
      </c>
      <c r="G608">
        <f>IF(OR($E608="",$E608="نامعتبر",Sync!$X604=""),"",IF(AND(LEFT(UPPER(TRIM(Sync!$X604)),2)="SL",IFERROR(VLOOKUP(Sync!$W604,OpTbl,3,0),"")="فروش"),UPPER(TRIM(Sync!$X604)),""))</f>
        <v/>
      </c>
      <c r="H608">
        <f>IF($G608="","",IF(Sync!$W604="","",Sync!$W604))</f>
        <v/>
      </c>
      <c r="I608">
        <f>IF(OR($G608="",Sync!$Y604=""),"",Sync!$Y604)</f>
        <v/>
      </c>
      <c r="J608">
        <f>IF(OR($G608="",Sync!$Z604=""),"",Sync!$Z604)</f>
        <v/>
      </c>
      <c r="K608">
        <f>IF($G608="",0,IF(Sync!$AA604="",0,Sync!$AA604))</f>
        <v/>
      </c>
      <c r="L608">
        <f>IF($G608="",0,IF(Sync!$AB604="",0,Sync!$AB604))</f>
        <v/>
      </c>
      <c r="M608">
        <f>IF($G608="","",IF($H608="مرجوعی فروش",-1,1)*($K608-$L608*IFERROR(VLOOKUP("P01",ParamTbl,3,0),1.5)))</f>
        <v/>
      </c>
      <c r="N608">
        <f>IF($G608="",0,IF($H608="مرجوعی فروش",-1,1)*IF(Sync!$AC604="",0,Sync!$AC604))</f>
        <v/>
      </c>
      <c r="O608">
        <f>IF(OR($G608="",Sync!$V604=""),"",Sync!$V604)</f>
        <v/>
      </c>
      <c r="P608">
        <f>IF(OR($G608="",Sync!$AD604=""),"",Sync!$AD604)</f>
        <v/>
      </c>
      <c r="Q608">
        <f>IF($G608="","",IF(Sync!$U604="","0000",IF(AND(ISNUMBER(Sync!$U604),Sync!$U604&gt;=0,Sync!$U604&lt;1),RIGHT("00"&amp;HOUR(Sync!$U604),2)&amp;RIGHT("00"&amp;MINUTE(Sync!$U604),2),IFERROR(RIGHT("00"&amp;VALUE(LEFT(Sync!$U604,FIND(":",Sync!$U604)-1)),2)&amp;RIGHT("00"&amp;VALUE(MID(Sync!$U604,FIND(":",Sync!$U604)+1,2)),2),"0000"))))</f>
        <v/>
      </c>
    </row>
    <row r="609">
      <c r="A609">
        <f>IF(Sync!$T605="","",Sync!$T605)</f>
        <v/>
      </c>
      <c r="B609">
        <f>IF($A609="","",IF(ISNUMBER($A609),IF(AND($A609&gt;=10000101,$A609&lt;=99991231),INT($A609/10000),""),IFERROR(VALUE(TRIM(LEFT($A609,FIND("/",$A609)-1))),"")))</f>
        <v/>
      </c>
      <c r="C609">
        <f>IF(OR($A609="",$B609=""),"",IF(ISNUMBER($A609),INT(MOD($A609,10000)/100),IFERROR(VALUE(TRIM(LEFT(MID($A609,FIND("/",$A609)+1,20),FIND("/",MID($A609,FIND("/",$A609)+1,20))-1))),"")))</f>
        <v/>
      </c>
      <c r="D609">
        <f>IF(OR($A609="",$B609=""),"",IF(ISNUMBER($A609),MOD($A609,100),IFERROR(VALUE(TRIM(MID(MID($A609,FIND("/",$A609)+1,20),FIND("/",MID($A609,FIND("/",$A609)+1,20))+1,20))),"")))</f>
        <v/>
      </c>
      <c r="E609">
        <f>IF($A609="","",IF(OR($B609="",$C609="",$D609="",$B609&lt;1300,$B609&gt;1500,$C609&lt;1,$C609&gt;12,$D609&lt;1,$D609&gt;31),"نامعتبر",RIGHT("0000"&amp;$B609,4)&amp;"/"&amp;RIGHT("00"&amp;$C609,2)&amp;"/"&amp;RIGHT("00"&amp;$D609,2)))</f>
        <v/>
      </c>
      <c r="F609">
        <f>IF(OR($E609="",$E609="نامعتبر"),"",LEFT($E609,4)&amp;"/"&amp;MID($E609,6,2))</f>
        <v/>
      </c>
      <c r="G609">
        <f>IF(OR($E609="",$E609="نامعتبر",Sync!$X605=""),"",IF(AND(LEFT(UPPER(TRIM(Sync!$X605)),2)="SL",IFERROR(VLOOKUP(Sync!$W605,OpTbl,3,0),"")="فروش"),UPPER(TRIM(Sync!$X605)),""))</f>
        <v/>
      </c>
      <c r="H609">
        <f>IF($G609="","",IF(Sync!$W605="","",Sync!$W605))</f>
        <v/>
      </c>
      <c r="I609">
        <f>IF(OR($G609="",Sync!$Y605=""),"",Sync!$Y605)</f>
        <v/>
      </c>
      <c r="J609">
        <f>IF(OR($G609="",Sync!$Z605=""),"",Sync!$Z605)</f>
        <v/>
      </c>
      <c r="K609">
        <f>IF($G609="",0,IF(Sync!$AA605="",0,Sync!$AA605))</f>
        <v/>
      </c>
      <c r="L609">
        <f>IF($G609="",0,IF(Sync!$AB605="",0,Sync!$AB605))</f>
        <v/>
      </c>
      <c r="M609">
        <f>IF($G609="","",IF($H609="مرجوعی فروش",-1,1)*($K609-$L609*IFERROR(VLOOKUP("P01",ParamTbl,3,0),1.5)))</f>
        <v/>
      </c>
      <c r="N609">
        <f>IF($G609="",0,IF($H609="مرجوعی فروش",-1,1)*IF(Sync!$AC605="",0,Sync!$AC605))</f>
        <v/>
      </c>
      <c r="O609">
        <f>IF(OR($G609="",Sync!$V605=""),"",Sync!$V605)</f>
        <v/>
      </c>
      <c r="P609">
        <f>IF(OR($G609="",Sync!$AD605=""),"",Sync!$AD605)</f>
        <v/>
      </c>
      <c r="Q609">
        <f>IF($G609="","",IF(Sync!$U605="","0000",IF(AND(ISNUMBER(Sync!$U605),Sync!$U605&gt;=0,Sync!$U605&lt;1),RIGHT("00"&amp;HOUR(Sync!$U605),2)&amp;RIGHT("00"&amp;MINUTE(Sync!$U605),2),IFERROR(RIGHT("00"&amp;VALUE(LEFT(Sync!$U605,FIND(":",Sync!$U605)-1)),2)&amp;RIGHT("00"&amp;VALUE(MID(Sync!$U605,FIND(":",Sync!$U605)+1,2)),2),"0000"))))</f>
        <v/>
      </c>
    </row>
    <row r="610">
      <c r="A610">
        <f>IF(Sync!$T606="","",Sync!$T606)</f>
        <v/>
      </c>
      <c r="B610">
        <f>IF($A610="","",IF(ISNUMBER($A610),IF(AND($A610&gt;=10000101,$A610&lt;=99991231),INT($A610/10000),""),IFERROR(VALUE(TRIM(LEFT($A610,FIND("/",$A610)-1))),"")))</f>
        <v/>
      </c>
      <c r="C610">
        <f>IF(OR($A610="",$B610=""),"",IF(ISNUMBER($A610),INT(MOD($A610,10000)/100),IFERROR(VALUE(TRIM(LEFT(MID($A610,FIND("/",$A610)+1,20),FIND("/",MID($A610,FIND("/",$A610)+1,20))-1))),"")))</f>
        <v/>
      </c>
      <c r="D610">
        <f>IF(OR($A610="",$B610=""),"",IF(ISNUMBER($A610),MOD($A610,100),IFERROR(VALUE(TRIM(MID(MID($A610,FIND("/",$A610)+1,20),FIND("/",MID($A610,FIND("/",$A610)+1,20))+1,20))),"")))</f>
        <v/>
      </c>
      <c r="E610">
        <f>IF($A610="","",IF(OR($B610="",$C610="",$D610="",$B610&lt;1300,$B610&gt;1500,$C610&lt;1,$C610&gt;12,$D610&lt;1,$D610&gt;31),"نامعتبر",RIGHT("0000"&amp;$B610,4)&amp;"/"&amp;RIGHT("00"&amp;$C610,2)&amp;"/"&amp;RIGHT("00"&amp;$D610,2)))</f>
        <v/>
      </c>
      <c r="F610">
        <f>IF(OR($E610="",$E610="نامعتبر"),"",LEFT($E610,4)&amp;"/"&amp;MID($E610,6,2))</f>
        <v/>
      </c>
      <c r="G610">
        <f>IF(OR($E610="",$E610="نامعتبر",Sync!$X606=""),"",IF(AND(LEFT(UPPER(TRIM(Sync!$X606)),2)="SL",IFERROR(VLOOKUP(Sync!$W606,OpTbl,3,0),"")="فروش"),UPPER(TRIM(Sync!$X606)),""))</f>
        <v/>
      </c>
      <c r="H610">
        <f>IF($G610="","",IF(Sync!$W606="","",Sync!$W606))</f>
        <v/>
      </c>
      <c r="I610">
        <f>IF(OR($G610="",Sync!$Y606=""),"",Sync!$Y606)</f>
        <v/>
      </c>
      <c r="J610">
        <f>IF(OR($G610="",Sync!$Z606=""),"",Sync!$Z606)</f>
        <v/>
      </c>
      <c r="K610">
        <f>IF($G610="",0,IF(Sync!$AA606="",0,Sync!$AA606))</f>
        <v/>
      </c>
      <c r="L610">
        <f>IF($G610="",0,IF(Sync!$AB606="",0,Sync!$AB606))</f>
        <v/>
      </c>
      <c r="M610">
        <f>IF($G610="","",IF($H610="مرجوعی فروش",-1,1)*($K610-$L610*IFERROR(VLOOKUP("P01",ParamTbl,3,0),1.5)))</f>
        <v/>
      </c>
      <c r="N610">
        <f>IF($G610="",0,IF($H610="مرجوعی فروش",-1,1)*IF(Sync!$AC606="",0,Sync!$AC606))</f>
        <v/>
      </c>
      <c r="O610">
        <f>IF(OR($G610="",Sync!$V606=""),"",Sync!$V606)</f>
        <v/>
      </c>
      <c r="P610">
        <f>IF(OR($G610="",Sync!$AD606=""),"",Sync!$AD606)</f>
        <v/>
      </c>
      <c r="Q610">
        <f>IF($G610="","",IF(Sync!$U606="","0000",IF(AND(ISNUMBER(Sync!$U606),Sync!$U606&gt;=0,Sync!$U606&lt;1),RIGHT("00"&amp;HOUR(Sync!$U606),2)&amp;RIGHT("00"&amp;MINUTE(Sync!$U606),2),IFERROR(RIGHT("00"&amp;VALUE(LEFT(Sync!$U606,FIND(":",Sync!$U606)-1)),2)&amp;RIGHT("00"&amp;VALUE(MID(Sync!$U606,FIND(":",Sync!$U606)+1,2)),2),"0000"))))</f>
        <v/>
      </c>
    </row>
    <row r="611">
      <c r="A611">
        <f>IF(Sync!$T607="","",Sync!$T607)</f>
        <v/>
      </c>
      <c r="B611">
        <f>IF($A611="","",IF(ISNUMBER($A611),IF(AND($A611&gt;=10000101,$A611&lt;=99991231),INT($A611/10000),""),IFERROR(VALUE(TRIM(LEFT($A611,FIND("/",$A611)-1))),"")))</f>
        <v/>
      </c>
      <c r="C611">
        <f>IF(OR($A611="",$B611=""),"",IF(ISNUMBER($A611),INT(MOD($A611,10000)/100),IFERROR(VALUE(TRIM(LEFT(MID($A611,FIND("/",$A611)+1,20),FIND("/",MID($A611,FIND("/",$A611)+1,20))-1))),"")))</f>
        <v/>
      </c>
      <c r="D611">
        <f>IF(OR($A611="",$B611=""),"",IF(ISNUMBER($A611),MOD($A611,100),IFERROR(VALUE(TRIM(MID(MID($A611,FIND("/",$A611)+1,20),FIND("/",MID($A611,FIND("/",$A611)+1,20))+1,20))),"")))</f>
        <v/>
      </c>
      <c r="E611">
        <f>IF($A611="","",IF(OR($B611="",$C611="",$D611="",$B611&lt;1300,$B611&gt;1500,$C611&lt;1,$C611&gt;12,$D611&lt;1,$D611&gt;31),"نامعتبر",RIGHT("0000"&amp;$B611,4)&amp;"/"&amp;RIGHT("00"&amp;$C611,2)&amp;"/"&amp;RIGHT("00"&amp;$D611,2)))</f>
        <v/>
      </c>
      <c r="F611">
        <f>IF(OR($E611="",$E611="نامعتبر"),"",LEFT($E611,4)&amp;"/"&amp;MID($E611,6,2))</f>
        <v/>
      </c>
      <c r="G611">
        <f>IF(OR($E611="",$E611="نامعتبر",Sync!$X607=""),"",IF(AND(LEFT(UPPER(TRIM(Sync!$X607)),2)="SL",IFERROR(VLOOKUP(Sync!$W607,OpTbl,3,0),"")="فروش"),UPPER(TRIM(Sync!$X607)),""))</f>
        <v/>
      </c>
      <c r="H611">
        <f>IF($G611="","",IF(Sync!$W607="","",Sync!$W607))</f>
        <v/>
      </c>
      <c r="I611">
        <f>IF(OR($G611="",Sync!$Y607=""),"",Sync!$Y607)</f>
        <v/>
      </c>
      <c r="J611">
        <f>IF(OR($G611="",Sync!$Z607=""),"",Sync!$Z607)</f>
        <v/>
      </c>
      <c r="K611">
        <f>IF($G611="",0,IF(Sync!$AA607="",0,Sync!$AA607))</f>
        <v/>
      </c>
      <c r="L611">
        <f>IF($G611="",0,IF(Sync!$AB607="",0,Sync!$AB607))</f>
        <v/>
      </c>
      <c r="M611">
        <f>IF($G611="","",IF($H611="مرجوعی فروش",-1,1)*($K611-$L611*IFERROR(VLOOKUP("P01",ParamTbl,3,0),1.5)))</f>
        <v/>
      </c>
      <c r="N611">
        <f>IF($G611="",0,IF($H611="مرجوعی فروش",-1,1)*IF(Sync!$AC607="",0,Sync!$AC607))</f>
        <v/>
      </c>
      <c r="O611">
        <f>IF(OR($G611="",Sync!$V607=""),"",Sync!$V607)</f>
        <v/>
      </c>
      <c r="P611">
        <f>IF(OR($G611="",Sync!$AD607=""),"",Sync!$AD607)</f>
        <v/>
      </c>
      <c r="Q611">
        <f>IF($G611="","",IF(Sync!$U607="","0000",IF(AND(ISNUMBER(Sync!$U607),Sync!$U607&gt;=0,Sync!$U607&lt;1),RIGHT("00"&amp;HOUR(Sync!$U607),2)&amp;RIGHT("00"&amp;MINUTE(Sync!$U607),2),IFERROR(RIGHT("00"&amp;VALUE(LEFT(Sync!$U607,FIND(":",Sync!$U607)-1)),2)&amp;RIGHT("00"&amp;VALUE(MID(Sync!$U607,FIND(":",Sync!$U607)+1,2)),2),"0000"))))</f>
        <v/>
      </c>
    </row>
    <row r="612">
      <c r="A612">
        <f>IF(Sync!$T608="","",Sync!$T608)</f>
        <v/>
      </c>
      <c r="B612">
        <f>IF($A612="","",IF(ISNUMBER($A612),IF(AND($A612&gt;=10000101,$A612&lt;=99991231),INT($A612/10000),""),IFERROR(VALUE(TRIM(LEFT($A612,FIND("/",$A612)-1))),"")))</f>
        <v/>
      </c>
      <c r="C612">
        <f>IF(OR($A612="",$B612=""),"",IF(ISNUMBER($A612),INT(MOD($A612,10000)/100),IFERROR(VALUE(TRIM(LEFT(MID($A612,FIND("/",$A612)+1,20),FIND("/",MID($A612,FIND("/",$A612)+1,20))-1))),"")))</f>
        <v/>
      </c>
      <c r="D612">
        <f>IF(OR($A612="",$B612=""),"",IF(ISNUMBER($A612),MOD($A612,100),IFERROR(VALUE(TRIM(MID(MID($A612,FIND("/",$A612)+1,20),FIND("/",MID($A612,FIND("/",$A612)+1,20))+1,20))),"")))</f>
        <v/>
      </c>
      <c r="E612">
        <f>IF($A612="","",IF(OR($B612="",$C612="",$D612="",$B612&lt;1300,$B612&gt;1500,$C612&lt;1,$C612&gt;12,$D612&lt;1,$D612&gt;31),"نامعتبر",RIGHT("0000"&amp;$B612,4)&amp;"/"&amp;RIGHT("00"&amp;$C612,2)&amp;"/"&amp;RIGHT("00"&amp;$D612,2)))</f>
        <v/>
      </c>
      <c r="F612">
        <f>IF(OR($E612="",$E612="نامعتبر"),"",LEFT($E612,4)&amp;"/"&amp;MID($E612,6,2))</f>
        <v/>
      </c>
      <c r="G612">
        <f>IF(OR($E612="",$E612="نامعتبر",Sync!$X608=""),"",IF(AND(LEFT(UPPER(TRIM(Sync!$X608)),2)="SL",IFERROR(VLOOKUP(Sync!$W608,OpTbl,3,0),"")="فروش"),UPPER(TRIM(Sync!$X608)),""))</f>
        <v/>
      </c>
      <c r="H612">
        <f>IF($G612="","",IF(Sync!$W608="","",Sync!$W608))</f>
        <v/>
      </c>
      <c r="I612">
        <f>IF(OR($G612="",Sync!$Y608=""),"",Sync!$Y608)</f>
        <v/>
      </c>
      <c r="J612">
        <f>IF(OR($G612="",Sync!$Z608=""),"",Sync!$Z608)</f>
        <v/>
      </c>
      <c r="K612">
        <f>IF($G612="",0,IF(Sync!$AA608="",0,Sync!$AA608))</f>
        <v/>
      </c>
      <c r="L612">
        <f>IF($G612="",0,IF(Sync!$AB608="",0,Sync!$AB608))</f>
        <v/>
      </c>
      <c r="M612">
        <f>IF($G612="","",IF($H612="مرجوعی فروش",-1,1)*($K612-$L612*IFERROR(VLOOKUP("P01",ParamTbl,3,0),1.5)))</f>
        <v/>
      </c>
      <c r="N612">
        <f>IF($G612="",0,IF($H612="مرجوعی فروش",-1,1)*IF(Sync!$AC608="",0,Sync!$AC608))</f>
        <v/>
      </c>
      <c r="O612">
        <f>IF(OR($G612="",Sync!$V608=""),"",Sync!$V608)</f>
        <v/>
      </c>
      <c r="P612">
        <f>IF(OR($G612="",Sync!$AD608=""),"",Sync!$AD608)</f>
        <v/>
      </c>
      <c r="Q612">
        <f>IF($G612="","",IF(Sync!$U608="","0000",IF(AND(ISNUMBER(Sync!$U608),Sync!$U608&gt;=0,Sync!$U608&lt;1),RIGHT("00"&amp;HOUR(Sync!$U608),2)&amp;RIGHT("00"&amp;MINUTE(Sync!$U608),2),IFERROR(RIGHT("00"&amp;VALUE(LEFT(Sync!$U608,FIND(":",Sync!$U608)-1)),2)&amp;RIGHT("00"&amp;VALUE(MID(Sync!$U608,FIND(":",Sync!$U608)+1,2)),2),"0000"))))</f>
        <v/>
      </c>
    </row>
    <row r="613">
      <c r="A613">
        <f>IF(Sync!$T609="","",Sync!$T609)</f>
        <v/>
      </c>
      <c r="B613">
        <f>IF($A613="","",IF(ISNUMBER($A613),IF(AND($A613&gt;=10000101,$A613&lt;=99991231),INT($A613/10000),""),IFERROR(VALUE(TRIM(LEFT($A613,FIND("/",$A613)-1))),"")))</f>
        <v/>
      </c>
      <c r="C613">
        <f>IF(OR($A613="",$B613=""),"",IF(ISNUMBER($A613),INT(MOD($A613,10000)/100),IFERROR(VALUE(TRIM(LEFT(MID($A613,FIND("/",$A613)+1,20),FIND("/",MID($A613,FIND("/",$A613)+1,20))-1))),"")))</f>
        <v/>
      </c>
      <c r="D613">
        <f>IF(OR($A613="",$B613=""),"",IF(ISNUMBER($A613),MOD($A613,100),IFERROR(VALUE(TRIM(MID(MID($A613,FIND("/",$A613)+1,20),FIND("/",MID($A613,FIND("/",$A613)+1,20))+1,20))),"")))</f>
        <v/>
      </c>
      <c r="E613">
        <f>IF($A613="","",IF(OR($B613="",$C613="",$D613="",$B613&lt;1300,$B613&gt;1500,$C613&lt;1,$C613&gt;12,$D613&lt;1,$D613&gt;31),"نامعتبر",RIGHT("0000"&amp;$B613,4)&amp;"/"&amp;RIGHT("00"&amp;$C613,2)&amp;"/"&amp;RIGHT("00"&amp;$D613,2)))</f>
        <v/>
      </c>
      <c r="F613">
        <f>IF(OR($E613="",$E613="نامعتبر"),"",LEFT($E613,4)&amp;"/"&amp;MID($E613,6,2))</f>
        <v/>
      </c>
      <c r="G613">
        <f>IF(OR($E613="",$E613="نامعتبر",Sync!$X609=""),"",IF(AND(LEFT(UPPER(TRIM(Sync!$X609)),2)="SL",IFERROR(VLOOKUP(Sync!$W609,OpTbl,3,0),"")="فروش"),UPPER(TRIM(Sync!$X609)),""))</f>
        <v/>
      </c>
      <c r="H613">
        <f>IF($G613="","",IF(Sync!$W609="","",Sync!$W609))</f>
        <v/>
      </c>
      <c r="I613">
        <f>IF(OR($G613="",Sync!$Y609=""),"",Sync!$Y609)</f>
        <v/>
      </c>
      <c r="J613">
        <f>IF(OR($G613="",Sync!$Z609=""),"",Sync!$Z609)</f>
        <v/>
      </c>
      <c r="K613">
        <f>IF($G613="",0,IF(Sync!$AA609="",0,Sync!$AA609))</f>
        <v/>
      </c>
      <c r="L613">
        <f>IF($G613="",0,IF(Sync!$AB609="",0,Sync!$AB609))</f>
        <v/>
      </c>
      <c r="M613">
        <f>IF($G613="","",IF($H613="مرجوعی فروش",-1,1)*($K613-$L613*IFERROR(VLOOKUP("P01",ParamTbl,3,0),1.5)))</f>
        <v/>
      </c>
      <c r="N613">
        <f>IF($G613="",0,IF($H613="مرجوعی فروش",-1,1)*IF(Sync!$AC609="",0,Sync!$AC609))</f>
        <v/>
      </c>
      <c r="O613">
        <f>IF(OR($G613="",Sync!$V609=""),"",Sync!$V609)</f>
        <v/>
      </c>
      <c r="P613">
        <f>IF(OR($G613="",Sync!$AD609=""),"",Sync!$AD609)</f>
        <v/>
      </c>
      <c r="Q613">
        <f>IF($G613="","",IF(Sync!$U609="","0000",IF(AND(ISNUMBER(Sync!$U609),Sync!$U609&gt;=0,Sync!$U609&lt;1),RIGHT("00"&amp;HOUR(Sync!$U609),2)&amp;RIGHT("00"&amp;MINUTE(Sync!$U609),2),IFERROR(RIGHT("00"&amp;VALUE(LEFT(Sync!$U609,FIND(":",Sync!$U609)-1)),2)&amp;RIGHT("00"&amp;VALUE(MID(Sync!$U609,FIND(":",Sync!$U609)+1,2)),2),"0000"))))</f>
        <v/>
      </c>
    </row>
    <row r="614">
      <c r="A614">
        <f>IF(Sync!$T610="","",Sync!$T610)</f>
        <v/>
      </c>
      <c r="B614">
        <f>IF($A614="","",IF(ISNUMBER($A614),IF(AND($A614&gt;=10000101,$A614&lt;=99991231),INT($A614/10000),""),IFERROR(VALUE(TRIM(LEFT($A614,FIND("/",$A614)-1))),"")))</f>
        <v/>
      </c>
      <c r="C614">
        <f>IF(OR($A614="",$B614=""),"",IF(ISNUMBER($A614),INT(MOD($A614,10000)/100),IFERROR(VALUE(TRIM(LEFT(MID($A614,FIND("/",$A614)+1,20),FIND("/",MID($A614,FIND("/",$A614)+1,20))-1))),"")))</f>
        <v/>
      </c>
      <c r="D614">
        <f>IF(OR($A614="",$B614=""),"",IF(ISNUMBER($A614),MOD($A614,100),IFERROR(VALUE(TRIM(MID(MID($A614,FIND("/",$A614)+1,20),FIND("/",MID($A614,FIND("/",$A614)+1,20))+1,20))),"")))</f>
        <v/>
      </c>
      <c r="E614">
        <f>IF($A614="","",IF(OR($B614="",$C614="",$D614="",$B614&lt;1300,$B614&gt;1500,$C614&lt;1,$C614&gt;12,$D614&lt;1,$D614&gt;31),"نامعتبر",RIGHT("0000"&amp;$B614,4)&amp;"/"&amp;RIGHT("00"&amp;$C614,2)&amp;"/"&amp;RIGHT("00"&amp;$D614,2)))</f>
        <v/>
      </c>
      <c r="F614">
        <f>IF(OR($E614="",$E614="نامعتبر"),"",LEFT($E614,4)&amp;"/"&amp;MID($E614,6,2))</f>
        <v/>
      </c>
      <c r="G614">
        <f>IF(OR($E614="",$E614="نامعتبر",Sync!$X610=""),"",IF(AND(LEFT(UPPER(TRIM(Sync!$X610)),2)="SL",IFERROR(VLOOKUP(Sync!$W610,OpTbl,3,0),"")="فروش"),UPPER(TRIM(Sync!$X610)),""))</f>
        <v/>
      </c>
      <c r="H614">
        <f>IF($G614="","",IF(Sync!$W610="","",Sync!$W610))</f>
        <v/>
      </c>
      <c r="I614">
        <f>IF(OR($G614="",Sync!$Y610=""),"",Sync!$Y610)</f>
        <v/>
      </c>
      <c r="J614">
        <f>IF(OR($G614="",Sync!$Z610=""),"",Sync!$Z610)</f>
        <v/>
      </c>
      <c r="K614">
        <f>IF($G614="",0,IF(Sync!$AA610="",0,Sync!$AA610))</f>
        <v/>
      </c>
      <c r="L614">
        <f>IF($G614="",0,IF(Sync!$AB610="",0,Sync!$AB610))</f>
        <v/>
      </c>
      <c r="M614">
        <f>IF($G614="","",IF($H614="مرجوعی فروش",-1,1)*($K614-$L614*IFERROR(VLOOKUP("P01",ParamTbl,3,0),1.5)))</f>
        <v/>
      </c>
      <c r="N614">
        <f>IF($G614="",0,IF($H614="مرجوعی فروش",-1,1)*IF(Sync!$AC610="",0,Sync!$AC610))</f>
        <v/>
      </c>
      <c r="O614">
        <f>IF(OR($G614="",Sync!$V610=""),"",Sync!$V610)</f>
        <v/>
      </c>
      <c r="P614">
        <f>IF(OR($G614="",Sync!$AD610=""),"",Sync!$AD610)</f>
        <v/>
      </c>
      <c r="Q614">
        <f>IF($G614="","",IF(Sync!$U610="","0000",IF(AND(ISNUMBER(Sync!$U610),Sync!$U610&gt;=0,Sync!$U610&lt;1),RIGHT("00"&amp;HOUR(Sync!$U610),2)&amp;RIGHT("00"&amp;MINUTE(Sync!$U610),2),IFERROR(RIGHT("00"&amp;VALUE(LEFT(Sync!$U610,FIND(":",Sync!$U610)-1)),2)&amp;RIGHT("00"&amp;VALUE(MID(Sync!$U610,FIND(":",Sync!$U610)+1,2)),2),"0000"))))</f>
        <v/>
      </c>
    </row>
    <row r="615">
      <c r="A615">
        <f>IF(Sync!$T611="","",Sync!$T611)</f>
        <v/>
      </c>
      <c r="B615">
        <f>IF($A615="","",IF(ISNUMBER($A615),IF(AND($A615&gt;=10000101,$A615&lt;=99991231),INT($A615/10000),""),IFERROR(VALUE(TRIM(LEFT($A615,FIND("/",$A615)-1))),"")))</f>
        <v/>
      </c>
      <c r="C615">
        <f>IF(OR($A615="",$B615=""),"",IF(ISNUMBER($A615),INT(MOD($A615,10000)/100),IFERROR(VALUE(TRIM(LEFT(MID($A615,FIND("/",$A615)+1,20),FIND("/",MID($A615,FIND("/",$A615)+1,20))-1))),"")))</f>
        <v/>
      </c>
      <c r="D615">
        <f>IF(OR($A615="",$B615=""),"",IF(ISNUMBER($A615),MOD($A615,100),IFERROR(VALUE(TRIM(MID(MID($A615,FIND("/",$A615)+1,20),FIND("/",MID($A615,FIND("/",$A615)+1,20))+1,20))),"")))</f>
        <v/>
      </c>
      <c r="E615">
        <f>IF($A615="","",IF(OR($B615="",$C615="",$D615="",$B615&lt;1300,$B615&gt;1500,$C615&lt;1,$C615&gt;12,$D615&lt;1,$D615&gt;31),"نامعتبر",RIGHT("0000"&amp;$B615,4)&amp;"/"&amp;RIGHT("00"&amp;$C615,2)&amp;"/"&amp;RIGHT("00"&amp;$D615,2)))</f>
        <v/>
      </c>
      <c r="F615">
        <f>IF(OR($E615="",$E615="نامعتبر"),"",LEFT($E615,4)&amp;"/"&amp;MID($E615,6,2))</f>
        <v/>
      </c>
      <c r="G615">
        <f>IF(OR($E615="",$E615="نامعتبر",Sync!$X611=""),"",IF(AND(LEFT(UPPER(TRIM(Sync!$X611)),2)="SL",IFERROR(VLOOKUP(Sync!$W611,OpTbl,3,0),"")="فروش"),UPPER(TRIM(Sync!$X611)),""))</f>
        <v/>
      </c>
      <c r="H615">
        <f>IF($G615="","",IF(Sync!$W611="","",Sync!$W611))</f>
        <v/>
      </c>
      <c r="I615">
        <f>IF(OR($G615="",Sync!$Y611=""),"",Sync!$Y611)</f>
        <v/>
      </c>
      <c r="J615">
        <f>IF(OR($G615="",Sync!$Z611=""),"",Sync!$Z611)</f>
        <v/>
      </c>
      <c r="K615">
        <f>IF($G615="",0,IF(Sync!$AA611="",0,Sync!$AA611))</f>
        <v/>
      </c>
      <c r="L615">
        <f>IF($G615="",0,IF(Sync!$AB611="",0,Sync!$AB611))</f>
        <v/>
      </c>
      <c r="M615">
        <f>IF($G615="","",IF($H615="مرجوعی فروش",-1,1)*($K615-$L615*IFERROR(VLOOKUP("P01",ParamTbl,3,0),1.5)))</f>
        <v/>
      </c>
      <c r="N615">
        <f>IF($G615="",0,IF($H615="مرجوعی فروش",-1,1)*IF(Sync!$AC611="",0,Sync!$AC611))</f>
        <v/>
      </c>
      <c r="O615">
        <f>IF(OR($G615="",Sync!$V611=""),"",Sync!$V611)</f>
        <v/>
      </c>
      <c r="P615">
        <f>IF(OR($G615="",Sync!$AD611=""),"",Sync!$AD611)</f>
        <v/>
      </c>
      <c r="Q615">
        <f>IF($G615="","",IF(Sync!$U611="","0000",IF(AND(ISNUMBER(Sync!$U611),Sync!$U611&gt;=0,Sync!$U611&lt;1),RIGHT("00"&amp;HOUR(Sync!$U611),2)&amp;RIGHT("00"&amp;MINUTE(Sync!$U611),2),IFERROR(RIGHT("00"&amp;VALUE(LEFT(Sync!$U611,FIND(":",Sync!$U611)-1)),2)&amp;RIGHT("00"&amp;VALUE(MID(Sync!$U611,FIND(":",Sync!$U611)+1,2)),2),"0000"))))</f>
        <v/>
      </c>
    </row>
    <row r="616">
      <c r="A616">
        <f>IF(Sync!$T612="","",Sync!$T612)</f>
        <v/>
      </c>
      <c r="B616">
        <f>IF($A616="","",IF(ISNUMBER($A616),IF(AND($A616&gt;=10000101,$A616&lt;=99991231),INT($A616/10000),""),IFERROR(VALUE(TRIM(LEFT($A616,FIND("/",$A616)-1))),"")))</f>
        <v/>
      </c>
      <c r="C616">
        <f>IF(OR($A616="",$B616=""),"",IF(ISNUMBER($A616),INT(MOD($A616,10000)/100),IFERROR(VALUE(TRIM(LEFT(MID($A616,FIND("/",$A616)+1,20),FIND("/",MID($A616,FIND("/",$A616)+1,20))-1))),"")))</f>
        <v/>
      </c>
      <c r="D616">
        <f>IF(OR($A616="",$B616=""),"",IF(ISNUMBER($A616),MOD($A616,100),IFERROR(VALUE(TRIM(MID(MID($A616,FIND("/",$A616)+1,20),FIND("/",MID($A616,FIND("/",$A616)+1,20))+1,20))),"")))</f>
        <v/>
      </c>
      <c r="E616">
        <f>IF($A616="","",IF(OR($B616="",$C616="",$D616="",$B616&lt;1300,$B616&gt;1500,$C616&lt;1,$C616&gt;12,$D616&lt;1,$D616&gt;31),"نامعتبر",RIGHT("0000"&amp;$B616,4)&amp;"/"&amp;RIGHT("00"&amp;$C616,2)&amp;"/"&amp;RIGHT("00"&amp;$D616,2)))</f>
        <v/>
      </c>
      <c r="F616">
        <f>IF(OR($E616="",$E616="نامعتبر"),"",LEFT($E616,4)&amp;"/"&amp;MID($E616,6,2))</f>
        <v/>
      </c>
      <c r="G616">
        <f>IF(OR($E616="",$E616="نامعتبر",Sync!$X612=""),"",IF(AND(LEFT(UPPER(TRIM(Sync!$X612)),2)="SL",IFERROR(VLOOKUP(Sync!$W612,OpTbl,3,0),"")="فروش"),UPPER(TRIM(Sync!$X612)),""))</f>
        <v/>
      </c>
      <c r="H616">
        <f>IF($G616="","",IF(Sync!$W612="","",Sync!$W612))</f>
        <v/>
      </c>
      <c r="I616">
        <f>IF(OR($G616="",Sync!$Y612=""),"",Sync!$Y612)</f>
        <v/>
      </c>
      <c r="J616">
        <f>IF(OR($G616="",Sync!$Z612=""),"",Sync!$Z612)</f>
        <v/>
      </c>
      <c r="K616">
        <f>IF($G616="",0,IF(Sync!$AA612="",0,Sync!$AA612))</f>
        <v/>
      </c>
      <c r="L616">
        <f>IF($G616="",0,IF(Sync!$AB612="",0,Sync!$AB612))</f>
        <v/>
      </c>
      <c r="M616">
        <f>IF($G616="","",IF($H616="مرجوعی فروش",-1,1)*($K616-$L616*IFERROR(VLOOKUP("P01",ParamTbl,3,0),1.5)))</f>
        <v/>
      </c>
      <c r="N616">
        <f>IF($G616="",0,IF($H616="مرجوعی فروش",-1,1)*IF(Sync!$AC612="",0,Sync!$AC612))</f>
        <v/>
      </c>
      <c r="O616">
        <f>IF(OR($G616="",Sync!$V612=""),"",Sync!$V612)</f>
        <v/>
      </c>
      <c r="P616">
        <f>IF(OR($G616="",Sync!$AD612=""),"",Sync!$AD612)</f>
        <v/>
      </c>
      <c r="Q616">
        <f>IF($G616="","",IF(Sync!$U612="","0000",IF(AND(ISNUMBER(Sync!$U612),Sync!$U612&gt;=0,Sync!$U612&lt;1),RIGHT("00"&amp;HOUR(Sync!$U612),2)&amp;RIGHT("00"&amp;MINUTE(Sync!$U612),2),IFERROR(RIGHT("00"&amp;VALUE(LEFT(Sync!$U612,FIND(":",Sync!$U612)-1)),2)&amp;RIGHT("00"&amp;VALUE(MID(Sync!$U612,FIND(":",Sync!$U612)+1,2)),2),"0000"))))</f>
        <v/>
      </c>
    </row>
    <row r="617">
      <c r="A617">
        <f>IF(Sync!$T613="","",Sync!$T613)</f>
        <v/>
      </c>
      <c r="B617">
        <f>IF($A617="","",IF(ISNUMBER($A617),IF(AND($A617&gt;=10000101,$A617&lt;=99991231),INT($A617/10000),""),IFERROR(VALUE(TRIM(LEFT($A617,FIND("/",$A617)-1))),"")))</f>
        <v/>
      </c>
      <c r="C617">
        <f>IF(OR($A617="",$B617=""),"",IF(ISNUMBER($A617),INT(MOD($A617,10000)/100),IFERROR(VALUE(TRIM(LEFT(MID($A617,FIND("/",$A617)+1,20),FIND("/",MID($A617,FIND("/",$A617)+1,20))-1))),"")))</f>
        <v/>
      </c>
      <c r="D617">
        <f>IF(OR($A617="",$B617=""),"",IF(ISNUMBER($A617),MOD($A617,100),IFERROR(VALUE(TRIM(MID(MID($A617,FIND("/",$A617)+1,20),FIND("/",MID($A617,FIND("/",$A617)+1,20))+1,20))),"")))</f>
        <v/>
      </c>
      <c r="E617">
        <f>IF($A617="","",IF(OR($B617="",$C617="",$D617="",$B617&lt;1300,$B617&gt;1500,$C617&lt;1,$C617&gt;12,$D617&lt;1,$D617&gt;31),"نامعتبر",RIGHT("0000"&amp;$B617,4)&amp;"/"&amp;RIGHT("00"&amp;$C617,2)&amp;"/"&amp;RIGHT("00"&amp;$D617,2)))</f>
        <v/>
      </c>
      <c r="F617">
        <f>IF(OR($E617="",$E617="نامعتبر"),"",LEFT($E617,4)&amp;"/"&amp;MID($E617,6,2))</f>
        <v/>
      </c>
      <c r="G617">
        <f>IF(OR($E617="",$E617="نامعتبر",Sync!$X613=""),"",IF(AND(LEFT(UPPER(TRIM(Sync!$X613)),2)="SL",IFERROR(VLOOKUP(Sync!$W613,OpTbl,3,0),"")="فروش"),UPPER(TRIM(Sync!$X613)),""))</f>
        <v/>
      </c>
      <c r="H617">
        <f>IF($G617="","",IF(Sync!$W613="","",Sync!$W613))</f>
        <v/>
      </c>
      <c r="I617">
        <f>IF(OR($G617="",Sync!$Y613=""),"",Sync!$Y613)</f>
        <v/>
      </c>
      <c r="J617">
        <f>IF(OR($G617="",Sync!$Z613=""),"",Sync!$Z613)</f>
        <v/>
      </c>
      <c r="K617">
        <f>IF($G617="",0,IF(Sync!$AA613="",0,Sync!$AA613))</f>
        <v/>
      </c>
      <c r="L617">
        <f>IF($G617="",0,IF(Sync!$AB613="",0,Sync!$AB613))</f>
        <v/>
      </c>
      <c r="M617">
        <f>IF($G617="","",IF($H617="مرجوعی فروش",-1,1)*($K617-$L617*IFERROR(VLOOKUP("P01",ParamTbl,3,0),1.5)))</f>
        <v/>
      </c>
      <c r="N617">
        <f>IF($G617="",0,IF($H617="مرجوعی فروش",-1,1)*IF(Sync!$AC613="",0,Sync!$AC613))</f>
        <v/>
      </c>
      <c r="O617">
        <f>IF(OR($G617="",Sync!$V613=""),"",Sync!$V613)</f>
        <v/>
      </c>
      <c r="P617">
        <f>IF(OR($G617="",Sync!$AD613=""),"",Sync!$AD613)</f>
        <v/>
      </c>
      <c r="Q617">
        <f>IF($G617="","",IF(Sync!$U613="","0000",IF(AND(ISNUMBER(Sync!$U613),Sync!$U613&gt;=0,Sync!$U613&lt;1),RIGHT("00"&amp;HOUR(Sync!$U613),2)&amp;RIGHT("00"&amp;MINUTE(Sync!$U613),2),IFERROR(RIGHT("00"&amp;VALUE(LEFT(Sync!$U613,FIND(":",Sync!$U613)-1)),2)&amp;RIGHT("00"&amp;VALUE(MID(Sync!$U613,FIND(":",Sync!$U613)+1,2)),2),"0000"))))</f>
        <v/>
      </c>
    </row>
    <row r="618">
      <c r="A618">
        <f>IF(Sync!$T614="","",Sync!$T614)</f>
        <v/>
      </c>
      <c r="B618">
        <f>IF($A618="","",IF(ISNUMBER($A618),IF(AND($A618&gt;=10000101,$A618&lt;=99991231),INT($A618/10000),""),IFERROR(VALUE(TRIM(LEFT($A618,FIND("/",$A618)-1))),"")))</f>
        <v/>
      </c>
      <c r="C618">
        <f>IF(OR($A618="",$B618=""),"",IF(ISNUMBER($A618),INT(MOD($A618,10000)/100),IFERROR(VALUE(TRIM(LEFT(MID($A618,FIND("/",$A618)+1,20),FIND("/",MID($A618,FIND("/",$A618)+1,20))-1))),"")))</f>
        <v/>
      </c>
      <c r="D618">
        <f>IF(OR($A618="",$B618=""),"",IF(ISNUMBER($A618),MOD($A618,100),IFERROR(VALUE(TRIM(MID(MID($A618,FIND("/",$A618)+1,20),FIND("/",MID($A618,FIND("/",$A618)+1,20))+1,20))),"")))</f>
        <v/>
      </c>
      <c r="E618">
        <f>IF($A618="","",IF(OR($B618="",$C618="",$D618="",$B618&lt;1300,$B618&gt;1500,$C618&lt;1,$C618&gt;12,$D618&lt;1,$D618&gt;31),"نامعتبر",RIGHT("0000"&amp;$B618,4)&amp;"/"&amp;RIGHT("00"&amp;$C618,2)&amp;"/"&amp;RIGHT("00"&amp;$D618,2)))</f>
        <v/>
      </c>
      <c r="F618">
        <f>IF(OR($E618="",$E618="نامعتبر"),"",LEFT($E618,4)&amp;"/"&amp;MID($E618,6,2))</f>
        <v/>
      </c>
      <c r="G618">
        <f>IF(OR($E618="",$E618="نامعتبر",Sync!$X614=""),"",IF(AND(LEFT(UPPER(TRIM(Sync!$X614)),2)="SL",IFERROR(VLOOKUP(Sync!$W614,OpTbl,3,0),"")="فروش"),UPPER(TRIM(Sync!$X614)),""))</f>
        <v/>
      </c>
      <c r="H618">
        <f>IF($G618="","",IF(Sync!$W614="","",Sync!$W614))</f>
        <v/>
      </c>
      <c r="I618">
        <f>IF(OR($G618="",Sync!$Y614=""),"",Sync!$Y614)</f>
        <v/>
      </c>
      <c r="J618">
        <f>IF(OR($G618="",Sync!$Z614=""),"",Sync!$Z614)</f>
        <v/>
      </c>
      <c r="K618">
        <f>IF($G618="",0,IF(Sync!$AA614="",0,Sync!$AA614))</f>
        <v/>
      </c>
      <c r="L618">
        <f>IF($G618="",0,IF(Sync!$AB614="",0,Sync!$AB614))</f>
        <v/>
      </c>
      <c r="M618">
        <f>IF($G618="","",IF($H618="مرجوعی فروش",-1,1)*($K618-$L618*IFERROR(VLOOKUP("P01",ParamTbl,3,0),1.5)))</f>
        <v/>
      </c>
      <c r="N618">
        <f>IF($G618="",0,IF($H618="مرجوعی فروش",-1,1)*IF(Sync!$AC614="",0,Sync!$AC614))</f>
        <v/>
      </c>
      <c r="O618">
        <f>IF(OR($G618="",Sync!$V614=""),"",Sync!$V614)</f>
        <v/>
      </c>
      <c r="P618">
        <f>IF(OR($G618="",Sync!$AD614=""),"",Sync!$AD614)</f>
        <v/>
      </c>
      <c r="Q618">
        <f>IF($G618="","",IF(Sync!$U614="","0000",IF(AND(ISNUMBER(Sync!$U614),Sync!$U614&gt;=0,Sync!$U614&lt;1),RIGHT("00"&amp;HOUR(Sync!$U614),2)&amp;RIGHT("00"&amp;MINUTE(Sync!$U614),2),IFERROR(RIGHT("00"&amp;VALUE(LEFT(Sync!$U614,FIND(":",Sync!$U614)-1)),2)&amp;RIGHT("00"&amp;VALUE(MID(Sync!$U614,FIND(":",Sync!$U614)+1,2)),2),"0000"))))</f>
        <v/>
      </c>
    </row>
    <row r="619">
      <c r="A619">
        <f>IF(Sync!$T615="","",Sync!$T615)</f>
        <v/>
      </c>
      <c r="B619">
        <f>IF($A619="","",IF(ISNUMBER($A619),IF(AND($A619&gt;=10000101,$A619&lt;=99991231),INT($A619/10000),""),IFERROR(VALUE(TRIM(LEFT($A619,FIND("/",$A619)-1))),"")))</f>
        <v/>
      </c>
      <c r="C619">
        <f>IF(OR($A619="",$B619=""),"",IF(ISNUMBER($A619),INT(MOD($A619,10000)/100),IFERROR(VALUE(TRIM(LEFT(MID($A619,FIND("/",$A619)+1,20),FIND("/",MID($A619,FIND("/",$A619)+1,20))-1))),"")))</f>
        <v/>
      </c>
      <c r="D619">
        <f>IF(OR($A619="",$B619=""),"",IF(ISNUMBER($A619),MOD($A619,100),IFERROR(VALUE(TRIM(MID(MID($A619,FIND("/",$A619)+1,20),FIND("/",MID($A619,FIND("/",$A619)+1,20))+1,20))),"")))</f>
        <v/>
      </c>
      <c r="E619">
        <f>IF($A619="","",IF(OR($B619="",$C619="",$D619="",$B619&lt;1300,$B619&gt;1500,$C619&lt;1,$C619&gt;12,$D619&lt;1,$D619&gt;31),"نامعتبر",RIGHT("0000"&amp;$B619,4)&amp;"/"&amp;RIGHT("00"&amp;$C619,2)&amp;"/"&amp;RIGHT("00"&amp;$D619,2)))</f>
        <v/>
      </c>
      <c r="F619">
        <f>IF(OR($E619="",$E619="نامعتبر"),"",LEFT($E619,4)&amp;"/"&amp;MID($E619,6,2))</f>
        <v/>
      </c>
      <c r="G619">
        <f>IF(OR($E619="",$E619="نامعتبر",Sync!$X615=""),"",IF(AND(LEFT(UPPER(TRIM(Sync!$X615)),2)="SL",IFERROR(VLOOKUP(Sync!$W615,OpTbl,3,0),"")="فروش"),UPPER(TRIM(Sync!$X615)),""))</f>
        <v/>
      </c>
      <c r="H619">
        <f>IF($G619="","",IF(Sync!$W615="","",Sync!$W615))</f>
        <v/>
      </c>
      <c r="I619">
        <f>IF(OR($G619="",Sync!$Y615=""),"",Sync!$Y615)</f>
        <v/>
      </c>
      <c r="J619">
        <f>IF(OR($G619="",Sync!$Z615=""),"",Sync!$Z615)</f>
        <v/>
      </c>
      <c r="K619">
        <f>IF($G619="",0,IF(Sync!$AA615="",0,Sync!$AA615))</f>
        <v/>
      </c>
      <c r="L619">
        <f>IF($G619="",0,IF(Sync!$AB615="",0,Sync!$AB615))</f>
        <v/>
      </c>
      <c r="M619">
        <f>IF($G619="","",IF($H619="مرجوعی فروش",-1,1)*($K619-$L619*IFERROR(VLOOKUP("P01",ParamTbl,3,0),1.5)))</f>
        <v/>
      </c>
      <c r="N619">
        <f>IF($G619="",0,IF($H619="مرجوعی فروش",-1,1)*IF(Sync!$AC615="",0,Sync!$AC615))</f>
        <v/>
      </c>
      <c r="O619">
        <f>IF(OR($G619="",Sync!$V615=""),"",Sync!$V615)</f>
        <v/>
      </c>
      <c r="P619">
        <f>IF(OR($G619="",Sync!$AD615=""),"",Sync!$AD615)</f>
        <v/>
      </c>
      <c r="Q619">
        <f>IF($G619="","",IF(Sync!$U615="","0000",IF(AND(ISNUMBER(Sync!$U615),Sync!$U615&gt;=0,Sync!$U615&lt;1),RIGHT("00"&amp;HOUR(Sync!$U615),2)&amp;RIGHT("00"&amp;MINUTE(Sync!$U615),2),IFERROR(RIGHT("00"&amp;VALUE(LEFT(Sync!$U615,FIND(":",Sync!$U615)-1)),2)&amp;RIGHT("00"&amp;VALUE(MID(Sync!$U615,FIND(":",Sync!$U615)+1,2)),2),"0000"))))</f>
        <v/>
      </c>
    </row>
    <row r="620">
      <c r="A620">
        <f>IF(Sync!$T616="","",Sync!$T616)</f>
        <v/>
      </c>
      <c r="B620">
        <f>IF($A620="","",IF(ISNUMBER($A620),IF(AND($A620&gt;=10000101,$A620&lt;=99991231),INT($A620/10000),""),IFERROR(VALUE(TRIM(LEFT($A620,FIND("/",$A620)-1))),"")))</f>
        <v/>
      </c>
      <c r="C620">
        <f>IF(OR($A620="",$B620=""),"",IF(ISNUMBER($A620),INT(MOD($A620,10000)/100),IFERROR(VALUE(TRIM(LEFT(MID($A620,FIND("/",$A620)+1,20),FIND("/",MID($A620,FIND("/",$A620)+1,20))-1))),"")))</f>
        <v/>
      </c>
      <c r="D620">
        <f>IF(OR($A620="",$B620=""),"",IF(ISNUMBER($A620),MOD($A620,100),IFERROR(VALUE(TRIM(MID(MID($A620,FIND("/",$A620)+1,20),FIND("/",MID($A620,FIND("/",$A620)+1,20))+1,20))),"")))</f>
        <v/>
      </c>
      <c r="E620">
        <f>IF($A620="","",IF(OR($B620="",$C620="",$D620="",$B620&lt;1300,$B620&gt;1500,$C620&lt;1,$C620&gt;12,$D620&lt;1,$D620&gt;31),"نامعتبر",RIGHT("0000"&amp;$B620,4)&amp;"/"&amp;RIGHT("00"&amp;$C620,2)&amp;"/"&amp;RIGHT("00"&amp;$D620,2)))</f>
        <v/>
      </c>
      <c r="F620">
        <f>IF(OR($E620="",$E620="نامعتبر"),"",LEFT($E620,4)&amp;"/"&amp;MID($E620,6,2))</f>
        <v/>
      </c>
      <c r="G620">
        <f>IF(OR($E620="",$E620="نامعتبر",Sync!$X616=""),"",IF(AND(LEFT(UPPER(TRIM(Sync!$X616)),2)="SL",IFERROR(VLOOKUP(Sync!$W616,OpTbl,3,0),"")="فروش"),UPPER(TRIM(Sync!$X616)),""))</f>
        <v/>
      </c>
      <c r="H620">
        <f>IF($G620="","",IF(Sync!$W616="","",Sync!$W616))</f>
        <v/>
      </c>
      <c r="I620">
        <f>IF(OR($G620="",Sync!$Y616=""),"",Sync!$Y616)</f>
        <v/>
      </c>
      <c r="J620">
        <f>IF(OR($G620="",Sync!$Z616=""),"",Sync!$Z616)</f>
        <v/>
      </c>
      <c r="K620">
        <f>IF($G620="",0,IF(Sync!$AA616="",0,Sync!$AA616))</f>
        <v/>
      </c>
      <c r="L620">
        <f>IF($G620="",0,IF(Sync!$AB616="",0,Sync!$AB616))</f>
        <v/>
      </c>
      <c r="M620">
        <f>IF($G620="","",IF($H620="مرجوعی فروش",-1,1)*($K620-$L620*IFERROR(VLOOKUP("P01",ParamTbl,3,0),1.5)))</f>
        <v/>
      </c>
      <c r="N620">
        <f>IF($G620="",0,IF($H620="مرجوعی فروش",-1,1)*IF(Sync!$AC616="",0,Sync!$AC616))</f>
        <v/>
      </c>
      <c r="O620">
        <f>IF(OR($G620="",Sync!$V616=""),"",Sync!$V616)</f>
        <v/>
      </c>
      <c r="P620">
        <f>IF(OR($G620="",Sync!$AD616=""),"",Sync!$AD616)</f>
        <v/>
      </c>
      <c r="Q620">
        <f>IF($G620="","",IF(Sync!$U616="","0000",IF(AND(ISNUMBER(Sync!$U616),Sync!$U616&gt;=0,Sync!$U616&lt;1),RIGHT("00"&amp;HOUR(Sync!$U616),2)&amp;RIGHT("00"&amp;MINUTE(Sync!$U616),2),IFERROR(RIGHT("00"&amp;VALUE(LEFT(Sync!$U616,FIND(":",Sync!$U616)-1)),2)&amp;RIGHT("00"&amp;VALUE(MID(Sync!$U616,FIND(":",Sync!$U616)+1,2)),2),"0000"))))</f>
        <v/>
      </c>
    </row>
    <row r="621">
      <c r="A621">
        <f>IF(Sync!$T617="","",Sync!$T617)</f>
        <v/>
      </c>
      <c r="B621">
        <f>IF($A621="","",IF(ISNUMBER($A621),IF(AND($A621&gt;=10000101,$A621&lt;=99991231),INT($A621/10000),""),IFERROR(VALUE(TRIM(LEFT($A621,FIND("/",$A621)-1))),"")))</f>
        <v/>
      </c>
      <c r="C621">
        <f>IF(OR($A621="",$B621=""),"",IF(ISNUMBER($A621),INT(MOD($A621,10000)/100),IFERROR(VALUE(TRIM(LEFT(MID($A621,FIND("/",$A621)+1,20),FIND("/",MID($A621,FIND("/",$A621)+1,20))-1))),"")))</f>
        <v/>
      </c>
      <c r="D621">
        <f>IF(OR($A621="",$B621=""),"",IF(ISNUMBER($A621),MOD($A621,100),IFERROR(VALUE(TRIM(MID(MID($A621,FIND("/",$A621)+1,20),FIND("/",MID($A621,FIND("/",$A621)+1,20))+1,20))),"")))</f>
        <v/>
      </c>
      <c r="E621">
        <f>IF($A621="","",IF(OR($B621="",$C621="",$D621="",$B621&lt;1300,$B621&gt;1500,$C621&lt;1,$C621&gt;12,$D621&lt;1,$D621&gt;31),"نامعتبر",RIGHT("0000"&amp;$B621,4)&amp;"/"&amp;RIGHT("00"&amp;$C621,2)&amp;"/"&amp;RIGHT("00"&amp;$D621,2)))</f>
        <v/>
      </c>
      <c r="F621">
        <f>IF(OR($E621="",$E621="نامعتبر"),"",LEFT($E621,4)&amp;"/"&amp;MID($E621,6,2))</f>
        <v/>
      </c>
      <c r="G621">
        <f>IF(OR($E621="",$E621="نامعتبر",Sync!$X617=""),"",IF(AND(LEFT(UPPER(TRIM(Sync!$X617)),2)="SL",IFERROR(VLOOKUP(Sync!$W617,OpTbl,3,0),"")="فروش"),UPPER(TRIM(Sync!$X617)),""))</f>
        <v/>
      </c>
      <c r="H621">
        <f>IF($G621="","",IF(Sync!$W617="","",Sync!$W617))</f>
        <v/>
      </c>
      <c r="I621">
        <f>IF(OR($G621="",Sync!$Y617=""),"",Sync!$Y617)</f>
        <v/>
      </c>
      <c r="J621">
        <f>IF(OR($G621="",Sync!$Z617=""),"",Sync!$Z617)</f>
        <v/>
      </c>
      <c r="K621">
        <f>IF($G621="",0,IF(Sync!$AA617="",0,Sync!$AA617))</f>
        <v/>
      </c>
      <c r="L621">
        <f>IF($G621="",0,IF(Sync!$AB617="",0,Sync!$AB617))</f>
        <v/>
      </c>
      <c r="M621">
        <f>IF($G621="","",IF($H621="مرجوعی فروش",-1,1)*($K621-$L621*IFERROR(VLOOKUP("P01",ParamTbl,3,0),1.5)))</f>
        <v/>
      </c>
      <c r="N621">
        <f>IF($G621="",0,IF($H621="مرجوعی فروش",-1,1)*IF(Sync!$AC617="",0,Sync!$AC617))</f>
        <v/>
      </c>
      <c r="O621">
        <f>IF(OR($G621="",Sync!$V617=""),"",Sync!$V617)</f>
        <v/>
      </c>
      <c r="P621">
        <f>IF(OR($G621="",Sync!$AD617=""),"",Sync!$AD617)</f>
        <v/>
      </c>
      <c r="Q621">
        <f>IF($G621="","",IF(Sync!$U617="","0000",IF(AND(ISNUMBER(Sync!$U617),Sync!$U617&gt;=0,Sync!$U617&lt;1),RIGHT("00"&amp;HOUR(Sync!$U617),2)&amp;RIGHT("00"&amp;MINUTE(Sync!$U617),2),IFERROR(RIGHT("00"&amp;VALUE(LEFT(Sync!$U617,FIND(":",Sync!$U617)-1)),2)&amp;RIGHT("00"&amp;VALUE(MID(Sync!$U617,FIND(":",Sync!$U617)+1,2)),2),"0000"))))</f>
        <v/>
      </c>
    </row>
    <row r="622">
      <c r="A622">
        <f>IF(Sync!$T618="","",Sync!$T618)</f>
        <v/>
      </c>
      <c r="B622">
        <f>IF($A622="","",IF(ISNUMBER($A622),IF(AND($A622&gt;=10000101,$A622&lt;=99991231),INT($A622/10000),""),IFERROR(VALUE(TRIM(LEFT($A622,FIND("/",$A622)-1))),"")))</f>
        <v/>
      </c>
      <c r="C622">
        <f>IF(OR($A622="",$B622=""),"",IF(ISNUMBER($A622),INT(MOD($A622,10000)/100),IFERROR(VALUE(TRIM(LEFT(MID($A622,FIND("/",$A622)+1,20),FIND("/",MID($A622,FIND("/",$A622)+1,20))-1))),"")))</f>
        <v/>
      </c>
      <c r="D622">
        <f>IF(OR($A622="",$B622=""),"",IF(ISNUMBER($A622),MOD($A622,100),IFERROR(VALUE(TRIM(MID(MID($A622,FIND("/",$A622)+1,20),FIND("/",MID($A622,FIND("/",$A622)+1,20))+1,20))),"")))</f>
        <v/>
      </c>
      <c r="E622">
        <f>IF($A622="","",IF(OR($B622="",$C622="",$D622="",$B622&lt;1300,$B622&gt;1500,$C622&lt;1,$C622&gt;12,$D622&lt;1,$D622&gt;31),"نامعتبر",RIGHT("0000"&amp;$B622,4)&amp;"/"&amp;RIGHT("00"&amp;$C622,2)&amp;"/"&amp;RIGHT("00"&amp;$D622,2)))</f>
        <v/>
      </c>
      <c r="F622">
        <f>IF(OR($E622="",$E622="نامعتبر"),"",LEFT($E622,4)&amp;"/"&amp;MID($E622,6,2))</f>
        <v/>
      </c>
      <c r="G622">
        <f>IF(OR($E622="",$E622="نامعتبر",Sync!$X618=""),"",IF(AND(LEFT(UPPER(TRIM(Sync!$X618)),2)="SL",IFERROR(VLOOKUP(Sync!$W618,OpTbl,3,0),"")="فروش"),UPPER(TRIM(Sync!$X618)),""))</f>
        <v/>
      </c>
      <c r="H622">
        <f>IF($G622="","",IF(Sync!$W618="","",Sync!$W618))</f>
        <v/>
      </c>
      <c r="I622">
        <f>IF(OR($G622="",Sync!$Y618=""),"",Sync!$Y618)</f>
        <v/>
      </c>
      <c r="J622">
        <f>IF(OR($G622="",Sync!$Z618=""),"",Sync!$Z618)</f>
        <v/>
      </c>
      <c r="K622">
        <f>IF($G622="",0,IF(Sync!$AA618="",0,Sync!$AA618))</f>
        <v/>
      </c>
      <c r="L622">
        <f>IF($G622="",0,IF(Sync!$AB618="",0,Sync!$AB618))</f>
        <v/>
      </c>
      <c r="M622">
        <f>IF($G622="","",IF($H622="مرجوعی فروش",-1,1)*($K622-$L622*IFERROR(VLOOKUP("P01",ParamTbl,3,0),1.5)))</f>
        <v/>
      </c>
      <c r="N622">
        <f>IF($G622="",0,IF($H622="مرجوعی فروش",-1,1)*IF(Sync!$AC618="",0,Sync!$AC618))</f>
        <v/>
      </c>
      <c r="O622">
        <f>IF(OR($G622="",Sync!$V618=""),"",Sync!$V618)</f>
        <v/>
      </c>
      <c r="P622">
        <f>IF(OR($G622="",Sync!$AD618=""),"",Sync!$AD618)</f>
        <v/>
      </c>
      <c r="Q622">
        <f>IF($G622="","",IF(Sync!$U618="","0000",IF(AND(ISNUMBER(Sync!$U618),Sync!$U618&gt;=0,Sync!$U618&lt;1),RIGHT("00"&amp;HOUR(Sync!$U618),2)&amp;RIGHT("00"&amp;MINUTE(Sync!$U618),2),IFERROR(RIGHT("00"&amp;VALUE(LEFT(Sync!$U618,FIND(":",Sync!$U618)-1)),2)&amp;RIGHT("00"&amp;VALUE(MID(Sync!$U618,FIND(":",Sync!$U618)+1,2)),2),"0000"))))</f>
        <v/>
      </c>
    </row>
    <row r="623">
      <c r="A623">
        <f>IF(Sync!$T619="","",Sync!$T619)</f>
        <v/>
      </c>
      <c r="B623">
        <f>IF($A623="","",IF(ISNUMBER($A623),IF(AND($A623&gt;=10000101,$A623&lt;=99991231),INT($A623/10000),""),IFERROR(VALUE(TRIM(LEFT($A623,FIND("/",$A623)-1))),"")))</f>
        <v/>
      </c>
      <c r="C623">
        <f>IF(OR($A623="",$B623=""),"",IF(ISNUMBER($A623),INT(MOD($A623,10000)/100),IFERROR(VALUE(TRIM(LEFT(MID($A623,FIND("/",$A623)+1,20),FIND("/",MID($A623,FIND("/",$A623)+1,20))-1))),"")))</f>
        <v/>
      </c>
      <c r="D623">
        <f>IF(OR($A623="",$B623=""),"",IF(ISNUMBER($A623),MOD($A623,100),IFERROR(VALUE(TRIM(MID(MID($A623,FIND("/",$A623)+1,20),FIND("/",MID($A623,FIND("/",$A623)+1,20))+1,20))),"")))</f>
        <v/>
      </c>
      <c r="E623">
        <f>IF($A623="","",IF(OR($B623="",$C623="",$D623="",$B623&lt;1300,$B623&gt;1500,$C623&lt;1,$C623&gt;12,$D623&lt;1,$D623&gt;31),"نامعتبر",RIGHT("0000"&amp;$B623,4)&amp;"/"&amp;RIGHT("00"&amp;$C623,2)&amp;"/"&amp;RIGHT("00"&amp;$D623,2)))</f>
        <v/>
      </c>
      <c r="F623">
        <f>IF(OR($E623="",$E623="نامعتبر"),"",LEFT($E623,4)&amp;"/"&amp;MID($E623,6,2))</f>
        <v/>
      </c>
      <c r="G623">
        <f>IF(OR($E623="",$E623="نامعتبر",Sync!$X619=""),"",IF(AND(LEFT(UPPER(TRIM(Sync!$X619)),2)="SL",IFERROR(VLOOKUP(Sync!$W619,OpTbl,3,0),"")="فروش"),UPPER(TRIM(Sync!$X619)),""))</f>
        <v/>
      </c>
      <c r="H623">
        <f>IF($G623="","",IF(Sync!$W619="","",Sync!$W619))</f>
        <v/>
      </c>
      <c r="I623">
        <f>IF(OR($G623="",Sync!$Y619=""),"",Sync!$Y619)</f>
        <v/>
      </c>
      <c r="J623">
        <f>IF(OR($G623="",Sync!$Z619=""),"",Sync!$Z619)</f>
        <v/>
      </c>
      <c r="K623">
        <f>IF($G623="",0,IF(Sync!$AA619="",0,Sync!$AA619))</f>
        <v/>
      </c>
      <c r="L623">
        <f>IF($G623="",0,IF(Sync!$AB619="",0,Sync!$AB619))</f>
        <v/>
      </c>
      <c r="M623">
        <f>IF($G623="","",IF($H623="مرجوعی فروش",-1,1)*($K623-$L623*IFERROR(VLOOKUP("P01",ParamTbl,3,0),1.5)))</f>
        <v/>
      </c>
      <c r="N623">
        <f>IF($G623="",0,IF($H623="مرجوعی فروش",-1,1)*IF(Sync!$AC619="",0,Sync!$AC619))</f>
        <v/>
      </c>
      <c r="O623">
        <f>IF(OR($G623="",Sync!$V619=""),"",Sync!$V619)</f>
        <v/>
      </c>
      <c r="P623">
        <f>IF(OR($G623="",Sync!$AD619=""),"",Sync!$AD619)</f>
        <v/>
      </c>
      <c r="Q623">
        <f>IF($G623="","",IF(Sync!$U619="","0000",IF(AND(ISNUMBER(Sync!$U619),Sync!$U619&gt;=0,Sync!$U619&lt;1),RIGHT("00"&amp;HOUR(Sync!$U619),2)&amp;RIGHT("00"&amp;MINUTE(Sync!$U619),2),IFERROR(RIGHT("00"&amp;VALUE(LEFT(Sync!$U619,FIND(":",Sync!$U619)-1)),2)&amp;RIGHT("00"&amp;VALUE(MID(Sync!$U619,FIND(":",Sync!$U619)+1,2)),2),"0000"))))</f>
        <v/>
      </c>
    </row>
    <row r="624">
      <c r="A624">
        <f>IF(Sync!$T620="","",Sync!$T620)</f>
        <v/>
      </c>
      <c r="B624">
        <f>IF($A624="","",IF(ISNUMBER($A624),IF(AND($A624&gt;=10000101,$A624&lt;=99991231),INT($A624/10000),""),IFERROR(VALUE(TRIM(LEFT($A624,FIND("/",$A624)-1))),"")))</f>
        <v/>
      </c>
      <c r="C624">
        <f>IF(OR($A624="",$B624=""),"",IF(ISNUMBER($A624),INT(MOD($A624,10000)/100),IFERROR(VALUE(TRIM(LEFT(MID($A624,FIND("/",$A624)+1,20),FIND("/",MID($A624,FIND("/",$A624)+1,20))-1))),"")))</f>
        <v/>
      </c>
      <c r="D624">
        <f>IF(OR($A624="",$B624=""),"",IF(ISNUMBER($A624),MOD($A624,100),IFERROR(VALUE(TRIM(MID(MID($A624,FIND("/",$A624)+1,20),FIND("/",MID($A624,FIND("/",$A624)+1,20))+1,20))),"")))</f>
        <v/>
      </c>
      <c r="E624">
        <f>IF($A624="","",IF(OR($B624="",$C624="",$D624="",$B624&lt;1300,$B624&gt;1500,$C624&lt;1,$C624&gt;12,$D624&lt;1,$D624&gt;31),"نامعتبر",RIGHT("0000"&amp;$B624,4)&amp;"/"&amp;RIGHT("00"&amp;$C624,2)&amp;"/"&amp;RIGHT("00"&amp;$D624,2)))</f>
        <v/>
      </c>
      <c r="F624">
        <f>IF(OR($E624="",$E624="نامعتبر"),"",LEFT($E624,4)&amp;"/"&amp;MID($E624,6,2))</f>
        <v/>
      </c>
      <c r="G624">
        <f>IF(OR($E624="",$E624="نامعتبر",Sync!$X620=""),"",IF(AND(LEFT(UPPER(TRIM(Sync!$X620)),2)="SL",IFERROR(VLOOKUP(Sync!$W620,OpTbl,3,0),"")="فروش"),UPPER(TRIM(Sync!$X620)),""))</f>
        <v/>
      </c>
      <c r="H624">
        <f>IF($G624="","",IF(Sync!$W620="","",Sync!$W620))</f>
        <v/>
      </c>
      <c r="I624">
        <f>IF(OR($G624="",Sync!$Y620=""),"",Sync!$Y620)</f>
        <v/>
      </c>
      <c r="J624">
        <f>IF(OR($G624="",Sync!$Z620=""),"",Sync!$Z620)</f>
        <v/>
      </c>
      <c r="K624">
        <f>IF($G624="",0,IF(Sync!$AA620="",0,Sync!$AA620))</f>
        <v/>
      </c>
      <c r="L624">
        <f>IF($G624="",0,IF(Sync!$AB620="",0,Sync!$AB620))</f>
        <v/>
      </c>
      <c r="M624">
        <f>IF($G624="","",IF($H624="مرجوعی فروش",-1,1)*($K624-$L624*IFERROR(VLOOKUP("P01",ParamTbl,3,0),1.5)))</f>
        <v/>
      </c>
      <c r="N624">
        <f>IF($G624="",0,IF($H624="مرجوعی فروش",-1,1)*IF(Sync!$AC620="",0,Sync!$AC620))</f>
        <v/>
      </c>
      <c r="O624">
        <f>IF(OR($G624="",Sync!$V620=""),"",Sync!$V620)</f>
        <v/>
      </c>
      <c r="P624">
        <f>IF(OR($G624="",Sync!$AD620=""),"",Sync!$AD620)</f>
        <v/>
      </c>
      <c r="Q624">
        <f>IF($G624="","",IF(Sync!$U620="","0000",IF(AND(ISNUMBER(Sync!$U620),Sync!$U620&gt;=0,Sync!$U620&lt;1),RIGHT("00"&amp;HOUR(Sync!$U620),2)&amp;RIGHT("00"&amp;MINUTE(Sync!$U620),2),IFERROR(RIGHT("00"&amp;VALUE(LEFT(Sync!$U620,FIND(":",Sync!$U620)-1)),2)&amp;RIGHT("00"&amp;VALUE(MID(Sync!$U620,FIND(":",Sync!$U620)+1,2)),2),"0000"))))</f>
        <v/>
      </c>
    </row>
    <row r="625">
      <c r="A625">
        <f>IF(Sync!$T621="","",Sync!$T621)</f>
        <v/>
      </c>
      <c r="B625">
        <f>IF($A625="","",IF(ISNUMBER($A625),IF(AND($A625&gt;=10000101,$A625&lt;=99991231),INT($A625/10000),""),IFERROR(VALUE(TRIM(LEFT($A625,FIND("/",$A625)-1))),"")))</f>
        <v/>
      </c>
      <c r="C625">
        <f>IF(OR($A625="",$B625=""),"",IF(ISNUMBER($A625),INT(MOD($A625,10000)/100),IFERROR(VALUE(TRIM(LEFT(MID($A625,FIND("/",$A625)+1,20),FIND("/",MID($A625,FIND("/",$A625)+1,20))-1))),"")))</f>
        <v/>
      </c>
      <c r="D625">
        <f>IF(OR($A625="",$B625=""),"",IF(ISNUMBER($A625),MOD($A625,100),IFERROR(VALUE(TRIM(MID(MID($A625,FIND("/",$A625)+1,20),FIND("/",MID($A625,FIND("/",$A625)+1,20))+1,20))),"")))</f>
        <v/>
      </c>
      <c r="E625">
        <f>IF($A625="","",IF(OR($B625="",$C625="",$D625="",$B625&lt;1300,$B625&gt;1500,$C625&lt;1,$C625&gt;12,$D625&lt;1,$D625&gt;31),"نامعتبر",RIGHT("0000"&amp;$B625,4)&amp;"/"&amp;RIGHT("00"&amp;$C625,2)&amp;"/"&amp;RIGHT("00"&amp;$D625,2)))</f>
        <v/>
      </c>
      <c r="F625">
        <f>IF(OR($E625="",$E625="نامعتبر"),"",LEFT($E625,4)&amp;"/"&amp;MID($E625,6,2))</f>
        <v/>
      </c>
      <c r="G625">
        <f>IF(OR($E625="",$E625="نامعتبر",Sync!$X621=""),"",IF(AND(LEFT(UPPER(TRIM(Sync!$X621)),2)="SL",IFERROR(VLOOKUP(Sync!$W621,OpTbl,3,0),"")="فروش"),UPPER(TRIM(Sync!$X621)),""))</f>
        <v/>
      </c>
      <c r="H625">
        <f>IF($G625="","",IF(Sync!$W621="","",Sync!$W621))</f>
        <v/>
      </c>
      <c r="I625">
        <f>IF(OR($G625="",Sync!$Y621=""),"",Sync!$Y621)</f>
        <v/>
      </c>
      <c r="J625">
        <f>IF(OR($G625="",Sync!$Z621=""),"",Sync!$Z621)</f>
        <v/>
      </c>
      <c r="K625">
        <f>IF($G625="",0,IF(Sync!$AA621="",0,Sync!$AA621))</f>
        <v/>
      </c>
      <c r="L625">
        <f>IF($G625="",0,IF(Sync!$AB621="",0,Sync!$AB621))</f>
        <v/>
      </c>
      <c r="M625">
        <f>IF($G625="","",IF($H625="مرجوعی فروش",-1,1)*($K625-$L625*IFERROR(VLOOKUP("P01",ParamTbl,3,0),1.5)))</f>
        <v/>
      </c>
      <c r="N625">
        <f>IF($G625="",0,IF($H625="مرجوعی فروش",-1,1)*IF(Sync!$AC621="",0,Sync!$AC621))</f>
        <v/>
      </c>
      <c r="O625">
        <f>IF(OR($G625="",Sync!$V621=""),"",Sync!$V621)</f>
        <v/>
      </c>
      <c r="P625">
        <f>IF(OR($G625="",Sync!$AD621=""),"",Sync!$AD621)</f>
        <v/>
      </c>
      <c r="Q625">
        <f>IF($G625="","",IF(Sync!$U621="","0000",IF(AND(ISNUMBER(Sync!$U621),Sync!$U621&gt;=0,Sync!$U621&lt;1),RIGHT("00"&amp;HOUR(Sync!$U621),2)&amp;RIGHT("00"&amp;MINUTE(Sync!$U621),2),IFERROR(RIGHT("00"&amp;VALUE(LEFT(Sync!$U621,FIND(":",Sync!$U621)-1)),2)&amp;RIGHT("00"&amp;VALUE(MID(Sync!$U621,FIND(":",Sync!$U621)+1,2)),2),"0000"))))</f>
        <v/>
      </c>
    </row>
    <row r="626">
      <c r="A626">
        <f>IF(Sync!$T622="","",Sync!$T622)</f>
        <v/>
      </c>
      <c r="B626">
        <f>IF($A626="","",IF(ISNUMBER($A626),IF(AND($A626&gt;=10000101,$A626&lt;=99991231),INT($A626/10000),""),IFERROR(VALUE(TRIM(LEFT($A626,FIND("/",$A626)-1))),"")))</f>
        <v/>
      </c>
      <c r="C626">
        <f>IF(OR($A626="",$B626=""),"",IF(ISNUMBER($A626),INT(MOD($A626,10000)/100),IFERROR(VALUE(TRIM(LEFT(MID($A626,FIND("/",$A626)+1,20),FIND("/",MID($A626,FIND("/",$A626)+1,20))-1))),"")))</f>
        <v/>
      </c>
      <c r="D626">
        <f>IF(OR($A626="",$B626=""),"",IF(ISNUMBER($A626),MOD($A626,100),IFERROR(VALUE(TRIM(MID(MID($A626,FIND("/",$A626)+1,20),FIND("/",MID($A626,FIND("/",$A626)+1,20))+1,20))),"")))</f>
        <v/>
      </c>
      <c r="E626">
        <f>IF($A626="","",IF(OR($B626="",$C626="",$D626="",$B626&lt;1300,$B626&gt;1500,$C626&lt;1,$C626&gt;12,$D626&lt;1,$D626&gt;31),"نامعتبر",RIGHT("0000"&amp;$B626,4)&amp;"/"&amp;RIGHT("00"&amp;$C626,2)&amp;"/"&amp;RIGHT("00"&amp;$D626,2)))</f>
        <v/>
      </c>
      <c r="F626">
        <f>IF(OR($E626="",$E626="نامعتبر"),"",LEFT($E626,4)&amp;"/"&amp;MID($E626,6,2))</f>
        <v/>
      </c>
      <c r="G626">
        <f>IF(OR($E626="",$E626="نامعتبر",Sync!$X622=""),"",IF(AND(LEFT(UPPER(TRIM(Sync!$X622)),2)="SL",IFERROR(VLOOKUP(Sync!$W622,OpTbl,3,0),"")="فروش"),UPPER(TRIM(Sync!$X622)),""))</f>
        <v/>
      </c>
      <c r="H626">
        <f>IF($G626="","",IF(Sync!$W622="","",Sync!$W622))</f>
        <v/>
      </c>
      <c r="I626">
        <f>IF(OR($G626="",Sync!$Y622=""),"",Sync!$Y622)</f>
        <v/>
      </c>
      <c r="J626">
        <f>IF(OR($G626="",Sync!$Z622=""),"",Sync!$Z622)</f>
        <v/>
      </c>
      <c r="K626">
        <f>IF($G626="",0,IF(Sync!$AA622="",0,Sync!$AA622))</f>
        <v/>
      </c>
      <c r="L626">
        <f>IF($G626="",0,IF(Sync!$AB622="",0,Sync!$AB622))</f>
        <v/>
      </c>
      <c r="M626">
        <f>IF($G626="","",IF($H626="مرجوعی فروش",-1,1)*($K626-$L626*IFERROR(VLOOKUP("P01",ParamTbl,3,0),1.5)))</f>
        <v/>
      </c>
      <c r="N626">
        <f>IF($G626="",0,IF($H626="مرجوعی فروش",-1,1)*IF(Sync!$AC622="",0,Sync!$AC622))</f>
        <v/>
      </c>
      <c r="O626">
        <f>IF(OR($G626="",Sync!$V622=""),"",Sync!$V622)</f>
        <v/>
      </c>
      <c r="P626">
        <f>IF(OR($G626="",Sync!$AD622=""),"",Sync!$AD622)</f>
        <v/>
      </c>
      <c r="Q626">
        <f>IF($G626="","",IF(Sync!$U622="","0000",IF(AND(ISNUMBER(Sync!$U622),Sync!$U622&gt;=0,Sync!$U622&lt;1),RIGHT("00"&amp;HOUR(Sync!$U622),2)&amp;RIGHT("00"&amp;MINUTE(Sync!$U622),2),IFERROR(RIGHT("00"&amp;VALUE(LEFT(Sync!$U622,FIND(":",Sync!$U622)-1)),2)&amp;RIGHT("00"&amp;VALUE(MID(Sync!$U622,FIND(":",Sync!$U622)+1,2)),2),"0000"))))</f>
        <v/>
      </c>
    </row>
    <row r="627">
      <c r="A627">
        <f>IF(Sync!$T623="","",Sync!$T623)</f>
        <v/>
      </c>
      <c r="B627">
        <f>IF($A627="","",IF(ISNUMBER($A627),IF(AND($A627&gt;=10000101,$A627&lt;=99991231),INT($A627/10000),""),IFERROR(VALUE(TRIM(LEFT($A627,FIND("/",$A627)-1))),"")))</f>
        <v/>
      </c>
      <c r="C627">
        <f>IF(OR($A627="",$B627=""),"",IF(ISNUMBER($A627),INT(MOD($A627,10000)/100),IFERROR(VALUE(TRIM(LEFT(MID($A627,FIND("/",$A627)+1,20),FIND("/",MID($A627,FIND("/",$A627)+1,20))-1))),"")))</f>
        <v/>
      </c>
      <c r="D627">
        <f>IF(OR($A627="",$B627=""),"",IF(ISNUMBER($A627),MOD($A627,100),IFERROR(VALUE(TRIM(MID(MID($A627,FIND("/",$A627)+1,20),FIND("/",MID($A627,FIND("/",$A627)+1,20))+1,20))),"")))</f>
        <v/>
      </c>
      <c r="E627">
        <f>IF($A627="","",IF(OR($B627="",$C627="",$D627="",$B627&lt;1300,$B627&gt;1500,$C627&lt;1,$C627&gt;12,$D627&lt;1,$D627&gt;31),"نامعتبر",RIGHT("0000"&amp;$B627,4)&amp;"/"&amp;RIGHT("00"&amp;$C627,2)&amp;"/"&amp;RIGHT("00"&amp;$D627,2)))</f>
        <v/>
      </c>
      <c r="F627">
        <f>IF(OR($E627="",$E627="نامعتبر"),"",LEFT($E627,4)&amp;"/"&amp;MID($E627,6,2))</f>
        <v/>
      </c>
      <c r="G627">
        <f>IF(OR($E627="",$E627="نامعتبر",Sync!$X623=""),"",IF(AND(LEFT(UPPER(TRIM(Sync!$X623)),2)="SL",IFERROR(VLOOKUP(Sync!$W623,OpTbl,3,0),"")="فروش"),UPPER(TRIM(Sync!$X623)),""))</f>
        <v/>
      </c>
      <c r="H627">
        <f>IF($G627="","",IF(Sync!$W623="","",Sync!$W623))</f>
        <v/>
      </c>
      <c r="I627">
        <f>IF(OR($G627="",Sync!$Y623=""),"",Sync!$Y623)</f>
        <v/>
      </c>
      <c r="J627">
        <f>IF(OR($G627="",Sync!$Z623=""),"",Sync!$Z623)</f>
        <v/>
      </c>
      <c r="K627">
        <f>IF($G627="",0,IF(Sync!$AA623="",0,Sync!$AA623))</f>
        <v/>
      </c>
      <c r="L627">
        <f>IF($G627="",0,IF(Sync!$AB623="",0,Sync!$AB623))</f>
        <v/>
      </c>
      <c r="M627">
        <f>IF($G627="","",IF($H627="مرجوعی فروش",-1,1)*($K627-$L627*IFERROR(VLOOKUP("P01",ParamTbl,3,0),1.5)))</f>
        <v/>
      </c>
      <c r="N627">
        <f>IF($G627="",0,IF($H627="مرجوعی فروش",-1,1)*IF(Sync!$AC623="",0,Sync!$AC623))</f>
        <v/>
      </c>
      <c r="O627">
        <f>IF(OR($G627="",Sync!$V623=""),"",Sync!$V623)</f>
        <v/>
      </c>
      <c r="P627">
        <f>IF(OR($G627="",Sync!$AD623=""),"",Sync!$AD623)</f>
        <v/>
      </c>
      <c r="Q627">
        <f>IF($G627="","",IF(Sync!$U623="","0000",IF(AND(ISNUMBER(Sync!$U623),Sync!$U623&gt;=0,Sync!$U623&lt;1),RIGHT("00"&amp;HOUR(Sync!$U623),2)&amp;RIGHT("00"&amp;MINUTE(Sync!$U623),2),IFERROR(RIGHT("00"&amp;VALUE(LEFT(Sync!$U623,FIND(":",Sync!$U623)-1)),2)&amp;RIGHT("00"&amp;VALUE(MID(Sync!$U623,FIND(":",Sync!$U623)+1,2)),2),"0000"))))</f>
        <v/>
      </c>
    </row>
    <row r="628">
      <c r="A628">
        <f>IF(Sync!$T624="","",Sync!$T624)</f>
        <v/>
      </c>
      <c r="B628">
        <f>IF($A628="","",IF(ISNUMBER($A628),IF(AND($A628&gt;=10000101,$A628&lt;=99991231),INT($A628/10000),""),IFERROR(VALUE(TRIM(LEFT($A628,FIND("/",$A628)-1))),"")))</f>
        <v/>
      </c>
      <c r="C628">
        <f>IF(OR($A628="",$B628=""),"",IF(ISNUMBER($A628),INT(MOD($A628,10000)/100),IFERROR(VALUE(TRIM(LEFT(MID($A628,FIND("/",$A628)+1,20),FIND("/",MID($A628,FIND("/",$A628)+1,20))-1))),"")))</f>
        <v/>
      </c>
      <c r="D628">
        <f>IF(OR($A628="",$B628=""),"",IF(ISNUMBER($A628),MOD($A628,100),IFERROR(VALUE(TRIM(MID(MID($A628,FIND("/",$A628)+1,20),FIND("/",MID($A628,FIND("/",$A628)+1,20))+1,20))),"")))</f>
        <v/>
      </c>
      <c r="E628">
        <f>IF($A628="","",IF(OR($B628="",$C628="",$D628="",$B628&lt;1300,$B628&gt;1500,$C628&lt;1,$C628&gt;12,$D628&lt;1,$D628&gt;31),"نامعتبر",RIGHT("0000"&amp;$B628,4)&amp;"/"&amp;RIGHT("00"&amp;$C628,2)&amp;"/"&amp;RIGHT("00"&amp;$D628,2)))</f>
        <v/>
      </c>
      <c r="F628">
        <f>IF(OR($E628="",$E628="نامعتبر"),"",LEFT($E628,4)&amp;"/"&amp;MID($E628,6,2))</f>
        <v/>
      </c>
      <c r="G628">
        <f>IF(OR($E628="",$E628="نامعتبر",Sync!$X624=""),"",IF(AND(LEFT(UPPER(TRIM(Sync!$X624)),2)="SL",IFERROR(VLOOKUP(Sync!$W624,OpTbl,3,0),"")="فروش"),UPPER(TRIM(Sync!$X624)),""))</f>
        <v/>
      </c>
      <c r="H628">
        <f>IF($G628="","",IF(Sync!$W624="","",Sync!$W624))</f>
        <v/>
      </c>
      <c r="I628">
        <f>IF(OR($G628="",Sync!$Y624=""),"",Sync!$Y624)</f>
        <v/>
      </c>
      <c r="J628">
        <f>IF(OR($G628="",Sync!$Z624=""),"",Sync!$Z624)</f>
        <v/>
      </c>
      <c r="K628">
        <f>IF($G628="",0,IF(Sync!$AA624="",0,Sync!$AA624))</f>
        <v/>
      </c>
      <c r="L628">
        <f>IF($G628="",0,IF(Sync!$AB624="",0,Sync!$AB624))</f>
        <v/>
      </c>
      <c r="M628">
        <f>IF($G628="","",IF($H628="مرجوعی فروش",-1,1)*($K628-$L628*IFERROR(VLOOKUP("P01",ParamTbl,3,0),1.5)))</f>
        <v/>
      </c>
      <c r="N628">
        <f>IF($G628="",0,IF($H628="مرجوعی فروش",-1,1)*IF(Sync!$AC624="",0,Sync!$AC624))</f>
        <v/>
      </c>
      <c r="O628">
        <f>IF(OR($G628="",Sync!$V624=""),"",Sync!$V624)</f>
        <v/>
      </c>
      <c r="P628">
        <f>IF(OR($G628="",Sync!$AD624=""),"",Sync!$AD624)</f>
        <v/>
      </c>
      <c r="Q628">
        <f>IF($G628="","",IF(Sync!$U624="","0000",IF(AND(ISNUMBER(Sync!$U624),Sync!$U624&gt;=0,Sync!$U624&lt;1),RIGHT("00"&amp;HOUR(Sync!$U624),2)&amp;RIGHT("00"&amp;MINUTE(Sync!$U624),2),IFERROR(RIGHT("00"&amp;VALUE(LEFT(Sync!$U624,FIND(":",Sync!$U624)-1)),2)&amp;RIGHT("00"&amp;VALUE(MID(Sync!$U624,FIND(":",Sync!$U624)+1,2)),2),"0000"))))</f>
        <v/>
      </c>
    </row>
    <row r="629">
      <c r="A629">
        <f>IF(Sync!$T625="","",Sync!$T625)</f>
        <v/>
      </c>
      <c r="B629">
        <f>IF($A629="","",IF(ISNUMBER($A629),IF(AND($A629&gt;=10000101,$A629&lt;=99991231),INT($A629/10000),""),IFERROR(VALUE(TRIM(LEFT($A629,FIND("/",$A629)-1))),"")))</f>
        <v/>
      </c>
      <c r="C629">
        <f>IF(OR($A629="",$B629=""),"",IF(ISNUMBER($A629),INT(MOD($A629,10000)/100),IFERROR(VALUE(TRIM(LEFT(MID($A629,FIND("/",$A629)+1,20),FIND("/",MID($A629,FIND("/",$A629)+1,20))-1))),"")))</f>
        <v/>
      </c>
      <c r="D629">
        <f>IF(OR($A629="",$B629=""),"",IF(ISNUMBER($A629),MOD($A629,100),IFERROR(VALUE(TRIM(MID(MID($A629,FIND("/",$A629)+1,20),FIND("/",MID($A629,FIND("/",$A629)+1,20))+1,20))),"")))</f>
        <v/>
      </c>
      <c r="E629">
        <f>IF($A629="","",IF(OR($B629="",$C629="",$D629="",$B629&lt;1300,$B629&gt;1500,$C629&lt;1,$C629&gt;12,$D629&lt;1,$D629&gt;31),"نامعتبر",RIGHT("0000"&amp;$B629,4)&amp;"/"&amp;RIGHT("00"&amp;$C629,2)&amp;"/"&amp;RIGHT("00"&amp;$D629,2)))</f>
        <v/>
      </c>
      <c r="F629">
        <f>IF(OR($E629="",$E629="نامعتبر"),"",LEFT($E629,4)&amp;"/"&amp;MID($E629,6,2))</f>
        <v/>
      </c>
      <c r="G629">
        <f>IF(OR($E629="",$E629="نامعتبر",Sync!$X625=""),"",IF(AND(LEFT(UPPER(TRIM(Sync!$X625)),2)="SL",IFERROR(VLOOKUP(Sync!$W625,OpTbl,3,0),"")="فروش"),UPPER(TRIM(Sync!$X625)),""))</f>
        <v/>
      </c>
      <c r="H629">
        <f>IF($G629="","",IF(Sync!$W625="","",Sync!$W625))</f>
        <v/>
      </c>
      <c r="I629">
        <f>IF(OR($G629="",Sync!$Y625=""),"",Sync!$Y625)</f>
        <v/>
      </c>
      <c r="J629">
        <f>IF(OR($G629="",Sync!$Z625=""),"",Sync!$Z625)</f>
        <v/>
      </c>
      <c r="K629">
        <f>IF($G629="",0,IF(Sync!$AA625="",0,Sync!$AA625))</f>
        <v/>
      </c>
      <c r="L629">
        <f>IF($G629="",0,IF(Sync!$AB625="",0,Sync!$AB625))</f>
        <v/>
      </c>
      <c r="M629">
        <f>IF($G629="","",IF($H629="مرجوعی فروش",-1,1)*($K629-$L629*IFERROR(VLOOKUP("P01",ParamTbl,3,0),1.5)))</f>
        <v/>
      </c>
      <c r="N629">
        <f>IF($G629="",0,IF($H629="مرجوعی فروش",-1,1)*IF(Sync!$AC625="",0,Sync!$AC625))</f>
        <v/>
      </c>
      <c r="O629">
        <f>IF(OR($G629="",Sync!$V625=""),"",Sync!$V625)</f>
        <v/>
      </c>
      <c r="P629">
        <f>IF(OR($G629="",Sync!$AD625=""),"",Sync!$AD625)</f>
        <v/>
      </c>
      <c r="Q629">
        <f>IF($G629="","",IF(Sync!$U625="","0000",IF(AND(ISNUMBER(Sync!$U625),Sync!$U625&gt;=0,Sync!$U625&lt;1),RIGHT("00"&amp;HOUR(Sync!$U625),2)&amp;RIGHT("00"&amp;MINUTE(Sync!$U625),2),IFERROR(RIGHT("00"&amp;VALUE(LEFT(Sync!$U625,FIND(":",Sync!$U625)-1)),2)&amp;RIGHT("00"&amp;VALUE(MID(Sync!$U625,FIND(":",Sync!$U625)+1,2)),2),"0000"))))</f>
        <v/>
      </c>
    </row>
    <row r="630">
      <c r="A630">
        <f>IF(Sync!$T626="","",Sync!$T626)</f>
        <v/>
      </c>
      <c r="B630">
        <f>IF($A630="","",IF(ISNUMBER($A630),IF(AND($A630&gt;=10000101,$A630&lt;=99991231),INT($A630/10000),""),IFERROR(VALUE(TRIM(LEFT($A630,FIND("/",$A630)-1))),"")))</f>
        <v/>
      </c>
      <c r="C630">
        <f>IF(OR($A630="",$B630=""),"",IF(ISNUMBER($A630),INT(MOD($A630,10000)/100),IFERROR(VALUE(TRIM(LEFT(MID($A630,FIND("/",$A630)+1,20),FIND("/",MID($A630,FIND("/",$A630)+1,20))-1))),"")))</f>
        <v/>
      </c>
      <c r="D630">
        <f>IF(OR($A630="",$B630=""),"",IF(ISNUMBER($A630),MOD($A630,100),IFERROR(VALUE(TRIM(MID(MID($A630,FIND("/",$A630)+1,20),FIND("/",MID($A630,FIND("/",$A630)+1,20))+1,20))),"")))</f>
        <v/>
      </c>
      <c r="E630">
        <f>IF($A630="","",IF(OR($B630="",$C630="",$D630="",$B630&lt;1300,$B630&gt;1500,$C630&lt;1,$C630&gt;12,$D630&lt;1,$D630&gt;31),"نامعتبر",RIGHT("0000"&amp;$B630,4)&amp;"/"&amp;RIGHT("00"&amp;$C630,2)&amp;"/"&amp;RIGHT("00"&amp;$D630,2)))</f>
        <v/>
      </c>
      <c r="F630">
        <f>IF(OR($E630="",$E630="نامعتبر"),"",LEFT($E630,4)&amp;"/"&amp;MID($E630,6,2))</f>
        <v/>
      </c>
      <c r="G630">
        <f>IF(OR($E630="",$E630="نامعتبر",Sync!$X626=""),"",IF(AND(LEFT(UPPER(TRIM(Sync!$X626)),2)="SL",IFERROR(VLOOKUP(Sync!$W626,OpTbl,3,0),"")="فروش"),UPPER(TRIM(Sync!$X626)),""))</f>
        <v/>
      </c>
      <c r="H630">
        <f>IF($G630="","",IF(Sync!$W626="","",Sync!$W626))</f>
        <v/>
      </c>
      <c r="I630">
        <f>IF(OR($G630="",Sync!$Y626=""),"",Sync!$Y626)</f>
        <v/>
      </c>
      <c r="J630">
        <f>IF(OR($G630="",Sync!$Z626=""),"",Sync!$Z626)</f>
        <v/>
      </c>
      <c r="K630">
        <f>IF($G630="",0,IF(Sync!$AA626="",0,Sync!$AA626))</f>
        <v/>
      </c>
      <c r="L630">
        <f>IF($G630="",0,IF(Sync!$AB626="",0,Sync!$AB626))</f>
        <v/>
      </c>
      <c r="M630">
        <f>IF($G630="","",IF($H630="مرجوعی فروش",-1,1)*($K630-$L630*IFERROR(VLOOKUP("P01",ParamTbl,3,0),1.5)))</f>
        <v/>
      </c>
      <c r="N630">
        <f>IF($G630="",0,IF($H630="مرجوعی فروش",-1,1)*IF(Sync!$AC626="",0,Sync!$AC626))</f>
        <v/>
      </c>
      <c r="O630">
        <f>IF(OR($G630="",Sync!$V626=""),"",Sync!$V626)</f>
        <v/>
      </c>
      <c r="P630">
        <f>IF(OR($G630="",Sync!$AD626=""),"",Sync!$AD626)</f>
        <v/>
      </c>
      <c r="Q630">
        <f>IF($G630="","",IF(Sync!$U626="","0000",IF(AND(ISNUMBER(Sync!$U626),Sync!$U626&gt;=0,Sync!$U626&lt;1),RIGHT("00"&amp;HOUR(Sync!$U626),2)&amp;RIGHT("00"&amp;MINUTE(Sync!$U626),2),IFERROR(RIGHT("00"&amp;VALUE(LEFT(Sync!$U626,FIND(":",Sync!$U626)-1)),2)&amp;RIGHT("00"&amp;VALUE(MID(Sync!$U626,FIND(":",Sync!$U626)+1,2)),2),"0000"))))</f>
        <v/>
      </c>
    </row>
    <row r="631">
      <c r="A631">
        <f>IF(Sync!$T627="","",Sync!$T627)</f>
        <v/>
      </c>
      <c r="B631">
        <f>IF($A631="","",IF(ISNUMBER($A631),IF(AND($A631&gt;=10000101,$A631&lt;=99991231),INT($A631/10000),""),IFERROR(VALUE(TRIM(LEFT($A631,FIND("/",$A631)-1))),"")))</f>
        <v/>
      </c>
      <c r="C631">
        <f>IF(OR($A631="",$B631=""),"",IF(ISNUMBER($A631),INT(MOD($A631,10000)/100),IFERROR(VALUE(TRIM(LEFT(MID($A631,FIND("/",$A631)+1,20),FIND("/",MID($A631,FIND("/",$A631)+1,20))-1))),"")))</f>
        <v/>
      </c>
      <c r="D631">
        <f>IF(OR($A631="",$B631=""),"",IF(ISNUMBER($A631),MOD($A631,100),IFERROR(VALUE(TRIM(MID(MID($A631,FIND("/",$A631)+1,20),FIND("/",MID($A631,FIND("/",$A631)+1,20))+1,20))),"")))</f>
        <v/>
      </c>
      <c r="E631">
        <f>IF($A631="","",IF(OR($B631="",$C631="",$D631="",$B631&lt;1300,$B631&gt;1500,$C631&lt;1,$C631&gt;12,$D631&lt;1,$D631&gt;31),"نامعتبر",RIGHT("0000"&amp;$B631,4)&amp;"/"&amp;RIGHT("00"&amp;$C631,2)&amp;"/"&amp;RIGHT("00"&amp;$D631,2)))</f>
        <v/>
      </c>
      <c r="F631">
        <f>IF(OR($E631="",$E631="نامعتبر"),"",LEFT($E631,4)&amp;"/"&amp;MID($E631,6,2))</f>
        <v/>
      </c>
      <c r="G631">
        <f>IF(OR($E631="",$E631="نامعتبر",Sync!$X627=""),"",IF(AND(LEFT(UPPER(TRIM(Sync!$X627)),2)="SL",IFERROR(VLOOKUP(Sync!$W627,OpTbl,3,0),"")="فروش"),UPPER(TRIM(Sync!$X627)),""))</f>
        <v/>
      </c>
      <c r="H631">
        <f>IF($G631="","",IF(Sync!$W627="","",Sync!$W627))</f>
        <v/>
      </c>
      <c r="I631">
        <f>IF(OR($G631="",Sync!$Y627=""),"",Sync!$Y627)</f>
        <v/>
      </c>
      <c r="J631">
        <f>IF(OR($G631="",Sync!$Z627=""),"",Sync!$Z627)</f>
        <v/>
      </c>
      <c r="K631">
        <f>IF($G631="",0,IF(Sync!$AA627="",0,Sync!$AA627))</f>
        <v/>
      </c>
      <c r="L631">
        <f>IF($G631="",0,IF(Sync!$AB627="",0,Sync!$AB627))</f>
        <v/>
      </c>
      <c r="M631">
        <f>IF($G631="","",IF($H631="مرجوعی فروش",-1,1)*($K631-$L631*IFERROR(VLOOKUP("P01",ParamTbl,3,0),1.5)))</f>
        <v/>
      </c>
      <c r="N631">
        <f>IF($G631="",0,IF($H631="مرجوعی فروش",-1,1)*IF(Sync!$AC627="",0,Sync!$AC627))</f>
        <v/>
      </c>
      <c r="O631">
        <f>IF(OR($G631="",Sync!$V627=""),"",Sync!$V627)</f>
        <v/>
      </c>
      <c r="P631">
        <f>IF(OR($G631="",Sync!$AD627=""),"",Sync!$AD627)</f>
        <v/>
      </c>
      <c r="Q631">
        <f>IF($G631="","",IF(Sync!$U627="","0000",IF(AND(ISNUMBER(Sync!$U627),Sync!$U627&gt;=0,Sync!$U627&lt;1),RIGHT("00"&amp;HOUR(Sync!$U627),2)&amp;RIGHT("00"&amp;MINUTE(Sync!$U627),2),IFERROR(RIGHT("00"&amp;VALUE(LEFT(Sync!$U627,FIND(":",Sync!$U627)-1)),2)&amp;RIGHT("00"&amp;VALUE(MID(Sync!$U627,FIND(":",Sync!$U627)+1,2)),2),"0000"))))</f>
        <v/>
      </c>
    </row>
    <row r="632">
      <c r="A632">
        <f>IF(Sync!$T628="","",Sync!$T628)</f>
        <v/>
      </c>
      <c r="B632">
        <f>IF($A632="","",IF(ISNUMBER($A632),IF(AND($A632&gt;=10000101,$A632&lt;=99991231),INT($A632/10000),""),IFERROR(VALUE(TRIM(LEFT($A632,FIND("/",$A632)-1))),"")))</f>
        <v/>
      </c>
      <c r="C632">
        <f>IF(OR($A632="",$B632=""),"",IF(ISNUMBER($A632),INT(MOD($A632,10000)/100),IFERROR(VALUE(TRIM(LEFT(MID($A632,FIND("/",$A632)+1,20),FIND("/",MID($A632,FIND("/",$A632)+1,20))-1))),"")))</f>
        <v/>
      </c>
      <c r="D632">
        <f>IF(OR($A632="",$B632=""),"",IF(ISNUMBER($A632),MOD($A632,100),IFERROR(VALUE(TRIM(MID(MID($A632,FIND("/",$A632)+1,20),FIND("/",MID($A632,FIND("/",$A632)+1,20))+1,20))),"")))</f>
        <v/>
      </c>
      <c r="E632">
        <f>IF($A632="","",IF(OR($B632="",$C632="",$D632="",$B632&lt;1300,$B632&gt;1500,$C632&lt;1,$C632&gt;12,$D632&lt;1,$D632&gt;31),"نامعتبر",RIGHT("0000"&amp;$B632,4)&amp;"/"&amp;RIGHT("00"&amp;$C632,2)&amp;"/"&amp;RIGHT("00"&amp;$D632,2)))</f>
        <v/>
      </c>
      <c r="F632">
        <f>IF(OR($E632="",$E632="نامعتبر"),"",LEFT($E632,4)&amp;"/"&amp;MID($E632,6,2))</f>
        <v/>
      </c>
      <c r="G632">
        <f>IF(OR($E632="",$E632="نامعتبر",Sync!$X628=""),"",IF(AND(LEFT(UPPER(TRIM(Sync!$X628)),2)="SL",IFERROR(VLOOKUP(Sync!$W628,OpTbl,3,0),"")="فروش"),UPPER(TRIM(Sync!$X628)),""))</f>
        <v/>
      </c>
      <c r="H632">
        <f>IF($G632="","",IF(Sync!$W628="","",Sync!$W628))</f>
        <v/>
      </c>
      <c r="I632">
        <f>IF(OR($G632="",Sync!$Y628=""),"",Sync!$Y628)</f>
        <v/>
      </c>
      <c r="J632">
        <f>IF(OR($G632="",Sync!$Z628=""),"",Sync!$Z628)</f>
        <v/>
      </c>
      <c r="K632">
        <f>IF($G632="",0,IF(Sync!$AA628="",0,Sync!$AA628))</f>
        <v/>
      </c>
      <c r="L632">
        <f>IF($G632="",0,IF(Sync!$AB628="",0,Sync!$AB628))</f>
        <v/>
      </c>
      <c r="M632">
        <f>IF($G632="","",IF($H632="مرجوعی فروش",-1,1)*($K632-$L632*IFERROR(VLOOKUP("P01",ParamTbl,3,0),1.5)))</f>
        <v/>
      </c>
      <c r="N632">
        <f>IF($G632="",0,IF($H632="مرجوعی فروش",-1,1)*IF(Sync!$AC628="",0,Sync!$AC628))</f>
        <v/>
      </c>
      <c r="O632">
        <f>IF(OR($G632="",Sync!$V628=""),"",Sync!$V628)</f>
        <v/>
      </c>
      <c r="P632">
        <f>IF(OR($G632="",Sync!$AD628=""),"",Sync!$AD628)</f>
        <v/>
      </c>
      <c r="Q632">
        <f>IF($G632="","",IF(Sync!$U628="","0000",IF(AND(ISNUMBER(Sync!$U628),Sync!$U628&gt;=0,Sync!$U628&lt;1),RIGHT("00"&amp;HOUR(Sync!$U628),2)&amp;RIGHT("00"&amp;MINUTE(Sync!$U628),2),IFERROR(RIGHT("00"&amp;VALUE(LEFT(Sync!$U628,FIND(":",Sync!$U628)-1)),2)&amp;RIGHT("00"&amp;VALUE(MID(Sync!$U628,FIND(":",Sync!$U628)+1,2)),2),"0000"))))</f>
        <v/>
      </c>
    </row>
    <row r="633">
      <c r="A633">
        <f>IF(Sync!$T629="","",Sync!$T629)</f>
        <v/>
      </c>
      <c r="B633">
        <f>IF($A633="","",IF(ISNUMBER($A633),IF(AND($A633&gt;=10000101,$A633&lt;=99991231),INT($A633/10000),""),IFERROR(VALUE(TRIM(LEFT($A633,FIND("/",$A633)-1))),"")))</f>
        <v/>
      </c>
      <c r="C633">
        <f>IF(OR($A633="",$B633=""),"",IF(ISNUMBER($A633),INT(MOD($A633,10000)/100),IFERROR(VALUE(TRIM(LEFT(MID($A633,FIND("/",$A633)+1,20),FIND("/",MID($A633,FIND("/",$A633)+1,20))-1))),"")))</f>
        <v/>
      </c>
      <c r="D633">
        <f>IF(OR($A633="",$B633=""),"",IF(ISNUMBER($A633),MOD($A633,100),IFERROR(VALUE(TRIM(MID(MID($A633,FIND("/",$A633)+1,20),FIND("/",MID($A633,FIND("/",$A633)+1,20))+1,20))),"")))</f>
        <v/>
      </c>
      <c r="E633">
        <f>IF($A633="","",IF(OR($B633="",$C633="",$D633="",$B633&lt;1300,$B633&gt;1500,$C633&lt;1,$C633&gt;12,$D633&lt;1,$D633&gt;31),"نامعتبر",RIGHT("0000"&amp;$B633,4)&amp;"/"&amp;RIGHT("00"&amp;$C633,2)&amp;"/"&amp;RIGHT("00"&amp;$D633,2)))</f>
        <v/>
      </c>
      <c r="F633">
        <f>IF(OR($E633="",$E633="نامعتبر"),"",LEFT($E633,4)&amp;"/"&amp;MID($E633,6,2))</f>
        <v/>
      </c>
      <c r="G633">
        <f>IF(OR($E633="",$E633="نامعتبر",Sync!$X629=""),"",IF(AND(LEFT(UPPER(TRIM(Sync!$X629)),2)="SL",IFERROR(VLOOKUP(Sync!$W629,OpTbl,3,0),"")="فروش"),UPPER(TRIM(Sync!$X629)),""))</f>
        <v/>
      </c>
      <c r="H633">
        <f>IF($G633="","",IF(Sync!$W629="","",Sync!$W629))</f>
        <v/>
      </c>
      <c r="I633">
        <f>IF(OR($G633="",Sync!$Y629=""),"",Sync!$Y629)</f>
        <v/>
      </c>
      <c r="J633">
        <f>IF(OR($G633="",Sync!$Z629=""),"",Sync!$Z629)</f>
        <v/>
      </c>
      <c r="K633">
        <f>IF($G633="",0,IF(Sync!$AA629="",0,Sync!$AA629))</f>
        <v/>
      </c>
      <c r="L633">
        <f>IF($G633="",0,IF(Sync!$AB629="",0,Sync!$AB629))</f>
        <v/>
      </c>
      <c r="M633">
        <f>IF($G633="","",IF($H633="مرجوعی فروش",-1,1)*($K633-$L633*IFERROR(VLOOKUP("P01",ParamTbl,3,0),1.5)))</f>
        <v/>
      </c>
      <c r="N633">
        <f>IF($G633="",0,IF($H633="مرجوعی فروش",-1,1)*IF(Sync!$AC629="",0,Sync!$AC629))</f>
        <v/>
      </c>
      <c r="O633">
        <f>IF(OR($G633="",Sync!$V629=""),"",Sync!$V629)</f>
        <v/>
      </c>
      <c r="P633">
        <f>IF(OR($G633="",Sync!$AD629=""),"",Sync!$AD629)</f>
        <v/>
      </c>
      <c r="Q633">
        <f>IF($G633="","",IF(Sync!$U629="","0000",IF(AND(ISNUMBER(Sync!$U629),Sync!$U629&gt;=0,Sync!$U629&lt;1),RIGHT("00"&amp;HOUR(Sync!$U629),2)&amp;RIGHT("00"&amp;MINUTE(Sync!$U629),2),IFERROR(RIGHT("00"&amp;VALUE(LEFT(Sync!$U629,FIND(":",Sync!$U629)-1)),2)&amp;RIGHT("00"&amp;VALUE(MID(Sync!$U629,FIND(":",Sync!$U629)+1,2)),2),"0000"))))</f>
        <v/>
      </c>
    </row>
    <row r="634">
      <c r="A634">
        <f>IF(Sync!$T630="","",Sync!$T630)</f>
        <v/>
      </c>
      <c r="B634">
        <f>IF($A634="","",IF(ISNUMBER($A634),IF(AND($A634&gt;=10000101,$A634&lt;=99991231),INT($A634/10000),""),IFERROR(VALUE(TRIM(LEFT($A634,FIND("/",$A634)-1))),"")))</f>
        <v/>
      </c>
      <c r="C634">
        <f>IF(OR($A634="",$B634=""),"",IF(ISNUMBER($A634),INT(MOD($A634,10000)/100),IFERROR(VALUE(TRIM(LEFT(MID($A634,FIND("/",$A634)+1,20),FIND("/",MID($A634,FIND("/",$A634)+1,20))-1))),"")))</f>
        <v/>
      </c>
      <c r="D634">
        <f>IF(OR($A634="",$B634=""),"",IF(ISNUMBER($A634),MOD($A634,100),IFERROR(VALUE(TRIM(MID(MID($A634,FIND("/",$A634)+1,20),FIND("/",MID($A634,FIND("/",$A634)+1,20))+1,20))),"")))</f>
        <v/>
      </c>
      <c r="E634">
        <f>IF($A634="","",IF(OR($B634="",$C634="",$D634="",$B634&lt;1300,$B634&gt;1500,$C634&lt;1,$C634&gt;12,$D634&lt;1,$D634&gt;31),"نامعتبر",RIGHT("0000"&amp;$B634,4)&amp;"/"&amp;RIGHT("00"&amp;$C634,2)&amp;"/"&amp;RIGHT("00"&amp;$D634,2)))</f>
        <v/>
      </c>
      <c r="F634">
        <f>IF(OR($E634="",$E634="نامعتبر"),"",LEFT($E634,4)&amp;"/"&amp;MID($E634,6,2))</f>
        <v/>
      </c>
      <c r="G634">
        <f>IF(OR($E634="",$E634="نامعتبر",Sync!$X630=""),"",IF(AND(LEFT(UPPER(TRIM(Sync!$X630)),2)="SL",IFERROR(VLOOKUP(Sync!$W630,OpTbl,3,0),"")="فروش"),UPPER(TRIM(Sync!$X630)),""))</f>
        <v/>
      </c>
      <c r="H634">
        <f>IF($G634="","",IF(Sync!$W630="","",Sync!$W630))</f>
        <v/>
      </c>
      <c r="I634">
        <f>IF(OR($G634="",Sync!$Y630=""),"",Sync!$Y630)</f>
        <v/>
      </c>
      <c r="J634">
        <f>IF(OR($G634="",Sync!$Z630=""),"",Sync!$Z630)</f>
        <v/>
      </c>
      <c r="K634">
        <f>IF($G634="",0,IF(Sync!$AA630="",0,Sync!$AA630))</f>
        <v/>
      </c>
      <c r="L634">
        <f>IF($G634="",0,IF(Sync!$AB630="",0,Sync!$AB630))</f>
        <v/>
      </c>
      <c r="M634">
        <f>IF($G634="","",IF($H634="مرجوعی فروش",-1,1)*($K634-$L634*IFERROR(VLOOKUP("P01",ParamTbl,3,0),1.5)))</f>
        <v/>
      </c>
      <c r="N634">
        <f>IF($G634="",0,IF($H634="مرجوعی فروش",-1,1)*IF(Sync!$AC630="",0,Sync!$AC630))</f>
        <v/>
      </c>
      <c r="O634">
        <f>IF(OR($G634="",Sync!$V630=""),"",Sync!$V630)</f>
        <v/>
      </c>
      <c r="P634">
        <f>IF(OR($G634="",Sync!$AD630=""),"",Sync!$AD630)</f>
        <v/>
      </c>
      <c r="Q634">
        <f>IF($G634="","",IF(Sync!$U630="","0000",IF(AND(ISNUMBER(Sync!$U630),Sync!$U630&gt;=0,Sync!$U630&lt;1),RIGHT("00"&amp;HOUR(Sync!$U630),2)&amp;RIGHT("00"&amp;MINUTE(Sync!$U630),2),IFERROR(RIGHT("00"&amp;VALUE(LEFT(Sync!$U630,FIND(":",Sync!$U630)-1)),2)&amp;RIGHT("00"&amp;VALUE(MID(Sync!$U630,FIND(":",Sync!$U630)+1,2)),2),"0000"))))</f>
        <v/>
      </c>
    </row>
    <row r="635">
      <c r="A635">
        <f>IF(Sync!$T631="","",Sync!$T631)</f>
        <v/>
      </c>
      <c r="B635">
        <f>IF($A635="","",IF(ISNUMBER($A635),IF(AND($A635&gt;=10000101,$A635&lt;=99991231),INT($A635/10000),""),IFERROR(VALUE(TRIM(LEFT($A635,FIND("/",$A635)-1))),"")))</f>
        <v/>
      </c>
      <c r="C635">
        <f>IF(OR($A635="",$B635=""),"",IF(ISNUMBER($A635),INT(MOD($A635,10000)/100),IFERROR(VALUE(TRIM(LEFT(MID($A635,FIND("/",$A635)+1,20),FIND("/",MID($A635,FIND("/",$A635)+1,20))-1))),"")))</f>
        <v/>
      </c>
      <c r="D635">
        <f>IF(OR($A635="",$B635=""),"",IF(ISNUMBER($A635),MOD($A635,100),IFERROR(VALUE(TRIM(MID(MID($A635,FIND("/",$A635)+1,20),FIND("/",MID($A635,FIND("/",$A635)+1,20))+1,20))),"")))</f>
        <v/>
      </c>
      <c r="E635">
        <f>IF($A635="","",IF(OR($B635="",$C635="",$D635="",$B635&lt;1300,$B635&gt;1500,$C635&lt;1,$C635&gt;12,$D635&lt;1,$D635&gt;31),"نامعتبر",RIGHT("0000"&amp;$B635,4)&amp;"/"&amp;RIGHT("00"&amp;$C635,2)&amp;"/"&amp;RIGHT("00"&amp;$D635,2)))</f>
        <v/>
      </c>
      <c r="F635">
        <f>IF(OR($E635="",$E635="نامعتبر"),"",LEFT($E635,4)&amp;"/"&amp;MID($E635,6,2))</f>
        <v/>
      </c>
      <c r="G635">
        <f>IF(OR($E635="",$E635="نامعتبر",Sync!$X631=""),"",IF(AND(LEFT(UPPER(TRIM(Sync!$X631)),2)="SL",IFERROR(VLOOKUP(Sync!$W631,OpTbl,3,0),"")="فروش"),UPPER(TRIM(Sync!$X631)),""))</f>
        <v/>
      </c>
      <c r="H635">
        <f>IF($G635="","",IF(Sync!$W631="","",Sync!$W631))</f>
        <v/>
      </c>
      <c r="I635">
        <f>IF(OR($G635="",Sync!$Y631=""),"",Sync!$Y631)</f>
        <v/>
      </c>
      <c r="J635">
        <f>IF(OR($G635="",Sync!$Z631=""),"",Sync!$Z631)</f>
        <v/>
      </c>
      <c r="K635">
        <f>IF($G635="",0,IF(Sync!$AA631="",0,Sync!$AA631))</f>
        <v/>
      </c>
      <c r="L635">
        <f>IF($G635="",0,IF(Sync!$AB631="",0,Sync!$AB631))</f>
        <v/>
      </c>
      <c r="M635">
        <f>IF($G635="","",IF($H635="مرجوعی فروش",-1,1)*($K635-$L635*IFERROR(VLOOKUP("P01",ParamTbl,3,0),1.5)))</f>
        <v/>
      </c>
      <c r="N635">
        <f>IF($G635="",0,IF($H635="مرجوعی فروش",-1,1)*IF(Sync!$AC631="",0,Sync!$AC631))</f>
        <v/>
      </c>
      <c r="O635">
        <f>IF(OR($G635="",Sync!$V631=""),"",Sync!$V631)</f>
        <v/>
      </c>
      <c r="P635">
        <f>IF(OR($G635="",Sync!$AD631=""),"",Sync!$AD631)</f>
        <v/>
      </c>
      <c r="Q635">
        <f>IF($G635="","",IF(Sync!$U631="","0000",IF(AND(ISNUMBER(Sync!$U631),Sync!$U631&gt;=0,Sync!$U631&lt;1),RIGHT("00"&amp;HOUR(Sync!$U631),2)&amp;RIGHT("00"&amp;MINUTE(Sync!$U631),2),IFERROR(RIGHT("00"&amp;VALUE(LEFT(Sync!$U631,FIND(":",Sync!$U631)-1)),2)&amp;RIGHT("00"&amp;VALUE(MID(Sync!$U631,FIND(":",Sync!$U631)+1,2)),2),"0000"))))</f>
        <v/>
      </c>
    </row>
    <row r="636">
      <c r="A636">
        <f>IF(Sync!$T632="","",Sync!$T632)</f>
        <v/>
      </c>
      <c r="B636">
        <f>IF($A636="","",IF(ISNUMBER($A636),IF(AND($A636&gt;=10000101,$A636&lt;=99991231),INT($A636/10000),""),IFERROR(VALUE(TRIM(LEFT($A636,FIND("/",$A636)-1))),"")))</f>
        <v/>
      </c>
      <c r="C636">
        <f>IF(OR($A636="",$B636=""),"",IF(ISNUMBER($A636),INT(MOD($A636,10000)/100),IFERROR(VALUE(TRIM(LEFT(MID($A636,FIND("/",$A636)+1,20),FIND("/",MID($A636,FIND("/",$A636)+1,20))-1))),"")))</f>
        <v/>
      </c>
      <c r="D636">
        <f>IF(OR($A636="",$B636=""),"",IF(ISNUMBER($A636),MOD($A636,100),IFERROR(VALUE(TRIM(MID(MID($A636,FIND("/",$A636)+1,20),FIND("/",MID($A636,FIND("/",$A636)+1,20))+1,20))),"")))</f>
        <v/>
      </c>
      <c r="E636">
        <f>IF($A636="","",IF(OR($B636="",$C636="",$D636="",$B636&lt;1300,$B636&gt;1500,$C636&lt;1,$C636&gt;12,$D636&lt;1,$D636&gt;31),"نامعتبر",RIGHT("0000"&amp;$B636,4)&amp;"/"&amp;RIGHT("00"&amp;$C636,2)&amp;"/"&amp;RIGHT("00"&amp;$D636,2)))</f>
        <v/>
      </c>
      <c r="F636">
        <f>IF(OR($E636="",$E636="نامعتبر"),"",LEFT($E636,4)&amp;"/"&amp;MID($E636,6,2))</f>
        <v/>
      </c>
      <c r="G636">
        <f>IF(OR($E636="",$E636="نامعتبر",Sync!$X632=""),"",IF(AND(LEFT(UPPER(TRIM(Sync!$X632)),2)="SL",IFERROR(VLOOKUP(Sync!$W632,OpTbl,3,0),"")="فروش"),UPPER(TRIM(Sync!$X632)),""))</f>
        <v/>
      </c>
      <c r="H636">
        <f>IF($G636="","",IF(Sync!$W632="","",Sync!$W632))</f>
        <v/>
      </c>
      <c r="I636">
        <f>IF(OR($G636="",Sync!$Y632=""),"",Sync!$Y632)</f>
        <v/>
      </c>
      <c r="J636">
        <f>IF(OR($G636="",Sync!$Z632=""),"",Sync!$Z632)</f>
        <v/>
      </c>
      <c r="K636">
        <f>IF($G636="",0,IF(Sync!$AA632="",0,Sync!$AA632))</f>
        <v/>
      </c>
      <c r="L636">
        <f>IF($G636="",0,IF(Sync!$AB632="",0,Sync!$AB632))</f>
        <v/>
      </c>
      <c r="M636">
        <f>IF($G636="","",IF($H636="مرجوعی فروش",-1,1)*($K636-$L636*IFERROR(VLOOKUP("P01",ParamTbl,3,0),1.5)))</f>
        <v/>
      </c>
      <c r="N636">
        <f>IF($G636="",0,IF($H636="مرجوعی فروش",-1,1)*IF(Sync!$AC632="",0,Sync!$AC632))</f>
        <v/>
      </c>
      <c r="O636">
        <f>IF(OR($G636="",Sync!$V632=""),"",Sync!$V632)</f>
        <v/>
      </c>
      <c r="P636">
        <f>IF(OR($G636="",Sync!$AD632=""),"",Sync!$AD632)</f>
        <v/>
      </c>
      <c r="Q636">
        <f>IF($G636="","",IF(Sync!$U632="","0000",IF(AND(ISNUMBER(Sync!$U632),Sync!$U632&gt;=0,Sync!$U632&lt;1),RIGHT("00"&amp;HOUR(Sync!$U632),2)&amp;RIGHT("00"&amp;MINUTE(Sync!$U632),2),IFERROR(RIGHT("00"&amp;VALUE(LEFT(Sync!$U632,FIND(":",Sync!$U632)-1)),2)&amp;RIGHT("00"&amp;VALUE(MID(Sync!$U632,FIND(":",Sync!$U632)+1,2)),2),"0000"))))</f>
        <v/>
      </c>
    </row>
    <row r="637">
      <c r="A637">
        <f>IF(Sync!$T633="","",Sync!$T633)</f>
        <v/>
      </c>
      <c r="B637">
        <f>IF($A637="","",IF(ISNUMBER($A637),IF(AND($A637&gt;=10000101,$A637&lt;=99991231),INT($A637/10000),""),IFERROR(VALUE(TRIM(LEFT($A637,FIND("/",$A637)-1))),"")))</f>
        <v/>
      </c>
      <c r="C637">
        <f>IF(OR($A637="",$B637=""),"",IF(ISNUMBER($A637),INT(MOD($A637,10000)/100),IFERROR(VALUE(TRIM(LEFT(MID($A637,FIND("/",$A637)+1,20),FIND("/",MID($A637,FIND("/",$A637)+1,20))-1))),"")))</f>
        <v/>
      </c>
      <c r="D637">
        <f>IF(OR($A637="",$B637=""),"",IF(ISNUMBER($A637),MOD($A637,100),IFERROR(VALUE(TRIM(MID(MID($A637,FIND("/",$A637)+1,20),FIND("/",MID($A637,FIND("/",$A637)+1,20))+1,20))),"")))</f>
        <v/>
      </c>
      <c r="E637">
        <f>IF($A637="","",IF(OR($B637="",$C637="",$D637="",$B637&lt;1300,$B637&gt;1500,$C637&lt;1,$C637&gt;12,$D637&lt;1,$D637&gt;31),"نامعتبر",RIGHT("0000"&amp;$B637,4)&amp;"/"&amp;RIGHT("00"&amp;$C637,2)&amp;"/"&amp;RIGHT("00"&amp;$D637,2)))</f>
        <v/>
      </c>
      <c r="F637">
        <f>IF(OR($E637="",$E637="نامعتبر"),"",LEFT($E637,4)&amp;"/"&amp;MID($E637,6,2))</f>
        <v/>
      </c>
      <c r="G637">
        <f>IF(OR($E637="",$E637="نامعتبر",Sync!$X633=""),"",IF(AND(LEFT(UPPER(TRIM(Sync!$X633)),2)="SL",IFERROR(VLOOKUP(Sync!$W633,OpTbl,3,0),"")="فروش"),UPPER(TRIM(Sync!$X633)),""))</f>
        <v/>
      </c>
      <c r="H637">
        <f>IF($G637="","",IF(Sync!$W633="","",Sync!$W633))</f>
        <v/>
      </c>
      <c r="I637">
        <f>IF(OR($G637="",Sync!$Y633=""),"",Sync!$Y633)</f>
        <v/>
      </c>
      <c r="J637">
        <f>IF(OR($G637="",Sync!$Z633=""),"",Sync!$Z633)</f>
        <v/>
      </c>
      <c r="K637">
        <f>IF($G637="",0,IF(Sync!$AA633="",0,Sync!$AA633))</f>
        <v/>
      </c>
      <c r="L637">
        <f>IF($G637="",0,IF(Sync!$AB633="",0,Sync!$AB633))</f>
        <v/>
      </c>
      <c r="M637">
        <f>IF($G637="","",IF($H637="مرجوعی فروش",-1,1)*($K637-$L637*IFERROR(VLOOKUP("P01",ParamTbl,3,0),1.5)))</f>
        <v/>
      </c>
      <c r="N637">
        <f>IF($G637="",0,IF($H637="مرجوعی فروش",-1,1)*IF(Sync!$AC633="",0,Sync!$AC633))</f>
        <v/>
      </c>
      <c r="O637">
        <f>IF(OR($G637="",Sync!$V633=""),"",Sync!$V633)</f>
        <v/>
      </c>
      <c r="P637">
        <f>IF(OR($G637="",Sync!$AD633=""),"",Sync!$AD633)</f>
        <v/>
      </c>
      <c r="Q637">
        <f>IF($G637="","",IF(Sync!$U633="","0000",IF(AND(ISNUMBER(Sync!$U633),Sync!$U633&gt;=0,Sync!$U633&lt;1),RIGHT("00"&amp;HOUR(Sync!$U633),2)&amp;RIGHT("00"&amp;MINUTE(Sync!$U633),2),IFERROR(RIGHT("00"&amp;VALUE(LEFT(Sync!$U633,FIND(":",Sync!$U633)-1)),2)&amp;RIGHT("00"&amp;VALUE(MID(Sync!$U633,FIND(":",Sync!$U633)+1,2)),2),"0000"))))</f>
        <v/>
      </c>
    </row>
    <row r="638">
      <c r="A638">
        <f>IF(Sync!$T634="","",Sync!$T634)</f>
        <v/>
      </c>
      <c r="B638">
        <f>IF($A638="","",IF(ISNUMBER($A638),IF(AND($A638&gt;=10000101,$A638&lt;=99991231),INT($A638/10000),""),IFERROR(VALUE(TRIM(LEFT($A638,FIND("/",$A638)-1))),"")))</f>
        <v/>
      </c>
      <c r="C638">
        <f>IF(OR($A638="",$B638=""),"",IF(ISNUMBER($A638),INT(MOD($A638,10000)/100),IFERROR(VALUE(TRIM(LEFT(MID($A638,FIND("/",$A638)+1,20),FIND("/",MID($A638,FIND("/",$A638)+1,20))-1))),"")))</f>
        <v/>
      </c>
      <c r="D638">
        <f>IF(OR($A638="",$B638=""),"",IF(ISNUMBER($A638),MOD($A638,100),IFERROR(VALUE(TRIM(MID(MID($A638,FIND("/",$A638)+1,20),FIND("/",MID($A638,FIND("/",$A638)+1,20))+1,20))),"")))</f>
        <v/>
      </c>
      <c r="E638">
        <f>IF($A638="","",IF(OR($B638="",$C638="",$D638="",$B638&lt;1300,$B638&gt;1500,$C638&lt;1,$C638&gt;12,$D638&lt;1,$D638&gt;31),"نامعتبر",RIGHT("0000"&amp;$B638,4)&amp;"/"&amp;RIGHT("00"&amp;$C638,2)&amp;"/"&amp;RIGHT("00"&amp;$D638,2)))</f>
        <v/>
      </c>
      <c r="F638">
        <f>IF(OR($E638="",$E638="نامعتبر"),"",LEFT($E638,4)&amp;"/"&amp;MID($E638,6,2))</f>
        <v/>
      </c>
      <c r="G638">
        <f>IF(OR($E638="",$E638="نامعتبر",Sync!$X634=""),"",IF(AND(LEFT(UPPER(TRIM(Sync!$X634)),2)="SL",IFERROR(VLOOKUP(Sync!$W634,OpTbl,3,0),"")="فروش"),UPPER(TRIM(Sync!$X634)),""))</f>
        <v/>
      </c>
      <c r="H638">
        <f>IF($G638="","",IF(Sync!$W634="","",Sync!$W634))</f>
        <v/>
      </c>
      <c r="I638">
        <f>IF(OR($G638="",Sync!$Y634=""),"",Sync!$Y634)</f>
        <v/>
      </c>
      <c r="J638">
        <f>IF(OR($G638="",Sync!$Z634=""),"",Sync!$Z634)</f>
        <v/>
      </c>
      <c r="K638">
        <f>IF($G638="",0,IF(Sync!$AA634="",0,Sync!$AA634))</f>
        <v/>
      </c>
      <c r="L638">
        <f>IF($G638="",0,IF(Sync!$AB634="",0,Sync!$AB634))</f>
        <v/>
      </c>
      <c r="M638">
        <f>IF($G638="","",IF($H638="مرجوعی فروش",-1,1)*($K638-$L638*IFERROR(VLOOKUP("P01",ParamTbl,3,0),1.5)))</f>
        <v/>
      </c>
      <c r="N638">
        <f>IF($G638="",0,IF($H638="مرجوعی فروش",-1,1)*IF(Sync!$AC634="",0,Sync!$AC634))</f>
        <v/>
      </c>
      <c r="O638">
        <f>IF(OR($G638="",Sync!$V634=""),"",Sync!$V634)</f>
        <v/>
      </c>
      <c r="P638">
        <f>IF(OR($G638="",Sync!$AD634=""),"",Sync!$AD634)</f>
        <v/>
      </c>
      <c r="Q638">
        <f>IF($G638="","",IF(Sync!$U634="","0000",IF(AND(ISNUMBER(Sync!$U634),Sync!$U634&gt;=0,Sync!$U634&lt;1),RIGHT("00"&amp;HOUR(Sync!$U634),2)&amp;RIGHT("00"&amp;MINUTE(Sync!$U634),2),IFERROR(RIGHT("00"&amp;VALUE(LEFT(Sync!$U634,FIND(":",Sync!$U634)-1)),2)&amp;RIGHT("00"&amp;VALUE(MID(Sync!$U634,FIND(":",Sync!$U634)+1,2)),2),"0000"))))</f>
        <v/>
      </c>
    </row>
    <row r="639">
      <c r="A639">
        <f>IF(Sync!$T635="","",Sync!$T635)</f>
        <v/>
      </c>
      <c r="B639">
        <f>IF($A639="","",IF(ISNUMBER($A639),IF(AND($A639&gt;=10000101,$A639&lt;=99991231),INT($A639/10000),""),IFERROR(VALUE(TRIM(LEFT($A639,FIND("/",$A639)-1))),"")))</f>
        <v/>
      </c>
      <c r="C639">
        <f>IF(OR($A639="",$B639=""),"",IF(ISNUMBER($A639),INT(MOD($A639,10000)/100),IFERROR(VALUE(TRIM(LEFT(MID($A639,FIND("/",$A639)+1,20),FIND("/",MID($A639,FIND("/",$A639)+1,20))-1))),"")))</f>
        <v/>
      </c>
      <c r="D639">
        <f>IF(OR($A639="",$B639=""),"",IF(ISNUMBER($A639),MOD($A639,100),IFERROR(VALUE(TRIM(MID(MID($A639,FIND("/",$A639)+1,20),FIND("/",MID($A639,FIND("/",$A639)+1,20))+1,20))),"")))</f>
        <v/>
      </c>
      <c r="E639">
        <f>IF($A639="","",IF(OR($B639="",$C639="",$D639="",$B639&lt;1300,$B639&gt;1500,$C639&lt;1,$C639&gt;12,$D639&lt;1,$D639&gt;31),"نامعتبر",RIGHT("0000"&amp;$B639,4)&amp;"/"&amp;RIGHT("00"&amp;$C639,2)&amp;"/"&amp;RIGHT("00"&amp;$D639,2)))</f>
        <v/>
      </c>
      <c r="F639">
        <f>IF(OR($E639="",$E639="نامعتبر"),"",LEFT($E639,4)&amp;"/"&amp;MID($E639,6,2))</f>
        <v/>
      </c>
      <c r="G639">
        <f>IF(OR($E639="",$E639="نامعتبر",Sync!$X635=""),"",IF(AND(LEFT(UPPER(TRIM(Sync!$X635)),2)="SL",IFERROR(VLOOKUP(Sync!$W635,OpTbl,3,0),"")="فروش"),UPPER(TRIM(Sync!$X635)),""))</f>
        <v/>
      </c>
      <c r="H639">
        <f>IF($G639="","",IF(Sync!$W635="","",Sync!$W635))</f>
        <v/>
      </c>
      <c r="I639">
        <f>IF(OR($G639="",Sync!$Y635=""),"",Sync!$Y635)</f>
        <v/>
      </c>
      <c r="J639">
        <f>IF(OR($G639="",Sync!$Z635=""),"",Sync!$Z635)</f>
        <v/>
      </c>
      <c r="K639">
        <f>IF($G639="",0,IF(Sync!$AA635="",0,Sync!$AA635))</f>
        <v/>
      </c>
      <c r="L639">
        <f>IF($G639="",0,IF(Sync!$AB635="",0,Sync!$AB635))</f>
        <v/>
      </c>
      <c r="M639">
        <f>IF($G639="","",IF($H639="مرجوعی فروش",-1,1)*($K639-$L639*IFERROR(VLOOKUP("P01",ParamTbl,3,0),1.5)))</f>
        <v/>
      </c>
      <c r="N639">
        <f>IF($G639="",0,IF($H639="مرجوعی فروش",-1,1)*IF(Sync!$AC635="",0,Sync!$AC635))</f>
        <v/>
      </c>
      <c r="O639">
        <f>IF(OR($G639="",Sync!$V635=""),"",Sync!$V635)</f>
        <v/>
      </c>
      <c r="P639">
        <f>IF(OR($G639="",Sync!$AD635=""),"",Sync!$AD635)</f>
        <v/>
      </c>
      <c r="Q639">
        <f>IF($G639="","",IF(Sync!$U635="","0000",IF(AND(ISNUMBER(Sync!$U635),Sync!$U635&gt;=0,Sync!$U635&lt;1),RIGHT("00"&amp;HOUR(Sync!$U635),2)&amp;RIGHT("00"&amp;MINUTE(Sync!$U635),2),IFERROR(RIGHT("00"&amp;VALUE(LEFT(Sync!$U635,FIND(":",Sync!$U635)-1)),2)&amp;RIGHT("00"&amp;VALUE(MID(Sync!$U635,FIND(":",Sync!$U635)+1,2)),2),"0000"))))</f>
        <v/>
      </c>
    </row>
    <row r="640">
      <c r="A640">
        <f>IF(Sync!$T636="","",Sync!$T636)</f>
        <v/>
      </c>
      <c r="B640">
        <f>IF($A640="","",IF(ISNUMBER($A640),IF(AND($A640&gt;=10000101,$A640&lt;=99991231),INT($A640/10000),""),IFERROR(VALUE(TRIM(LEFT($A640,FIND("/",$A640)-1))),"")))</f>
        <v/>
      </c>
      <c r="C640">
        <f>IF(OR($A640="",$B640=""),"",IF(ISNUMBER($A640),INT(MOD($A640,10000)/100),IFERROR(VALUE(TRIM(LEFT(MID($A640,FIND("/",$A640)+1,20),FIND("/",MID($A640,FIND("/",$A640)+1,20))-1))),"")))</f>
        <v/>
      </c>
      <c r="D640">
        <f>IF(OR($A640="",$B640=""),"",IF(ISNUMBER($A640),MOD($A640,100),IFERROR(VALUE(TRIM(MID(MID($A640,FIND("/",$A640)+1,20),FIND("/",MID($A640,FIND("/",$A640)+1,20))+1,20))),"")))</f>
        <v/>
      </c>
      <c r="E640">
        <f>IF($A640="","",IF(OR($B640="",$C640="",$D640="",$B640&lt;1300,$B640&gt;1500,$C640&lt;1,$C640&gt;12,$D640&lt;1,$D640&gt;31),"نامعتبر",RIGHT("0000"&amp;$B640,4)&amp;"/"&amp;RIGHT("00"&amp;$C640,2)&amp;"/"&amp;RIGHT("00"&amp;$D640,2)))</f>
        <v/>
      </c>
      <c r="F640">
        <f>IF(OR($E640="",$E640="نامعتبر"),"",LEFT($E640,4)&amp;"/"&amp;MID($E640,6,2))</f>
        <v/>
      </c>
      <c r="G640">
        <f>IF(OR($E640="",$E640="نامعتبر",Sync!$X636=""),"",IF(AND(LEFT(UPPER(TRIM(Sync!$X636)),2)="SL",IFERROR(VLOOKUP(Sync!$W636,OpTbl,3,0),"")="فروش"),UPPER(TRIM(Sync!$X636)),""))</f>
        <v/>
      </c>
      <c r="H640">
        <f>IF($G640="","",IF(Sync!$W636="","",Sync!$W636))</f>
        <v/>
      </c>
      <c r="I640">
        <f>IF(OR($G640="",Sync!$Y636=""),"",Sync!$Y636)</f>
        <v/>
      </c>
      <c r="J640">
        <f>IF(OR($G640="",Sync!$Z636=""),"",Sync!$Z636)</f>
        <v/>
      </c>
      <c r="K640">
        <f>IF($G640="",0,IF(Sync!$AA636="",0,Sync!$AA636))</f>
        <v/>
      </c>
      <c r="L640">
        <f>IF($G640="",0,IF(Sync!$AB636="",0,Sync!$AB636))</f>
        <v/>
      </c>
      <c r="M640">
        <f>IF($G640="","",IF($H640="مرجوعی فروش",-1,1)*($K640-$L640*IFERROR(VLOOKUP("P01",ParamTbl,3,0),1.5)))</f>
        <v/>
      </c>
      <c r="N640">
        <f>IF($G640="",0,IF($H640="مرجوعی فروش",-1,1)*IF(Sync!$AC636="",0,Sync!$AC636))</f>
        <v/>
      </c>
      <c r="O640">
        <f>IF(OR($G640="",Sync!$V636=""),"",Sync!$V636)</f>
        <v/>
      </c>
      <c r="P640">
        <f>IF(OR($G640="",Sync!$AD636=""),"",Sync!$AD636)</f>
        <v/>
      </c>
      <c r="Q640">
        <f>IF($G640="","",IF(Sync!$U636="","0000",IF(AND(ISNUMBER(Sync!$U636),Sync!$U636&gt;=0,Sync!$U636&lt;1),RIGHT("00"&amp;HOUR(Sync!$U636),2)&amp;RIGHT("00"&amp;MINUTE(Sync!$U636),2),IFERROR(RIGHT("00"&amp;VALUE(LEFT(Sync!$U636,FIND(":",Sync!$U636)-1)),2)&amp;RIGHT("00"&amp;VALUE(MID(Sync!$U636,FIND(":",Sync!$U636)+1,2)),2),"0000"))))</f>
        <v/>
      </c>
    </row>
    <row r="641">
      <c r="A641">
        <f>IF(Sync!$T637="","",Sync!$T637)</f>
        <v/>
      </c>
      <c r="B641">
        <f>IF($A641="","",IF(ISNUMBER($A641),IF(AND($A641&gt;=10000101,$A641&lt;=99991231),INT($A641/10000),""),IFERROR(VALUE(TRIM(LEFT($A641,FIND("/",$A641)-1))),"")))</f>
        <v/>
      </c>
      <c r="C641">
        <f>IF(OR($A641="",$B641=""),"",IF(ISNUMBER($A641),INT(MOD($A641,10000)/100),IFERROR(VALUE(TRIM(LEFT(MID($A641,FIND("/",$A641)+1,20),FIND("/",MID($A641,FIND("/",$A641)+1,20))-1))),"")))</f>
        <v/>
      </c>
      <c r="D641">
        <f>IF(OR($A641="",$B641=""),"",IF(ISNUMBER($A641),MOD($A641,100),IFERROR(VALUE(TRIM(MID(MID($A641,FIND("/",$A641)+1,20),FIND("/",MID($A641,FIND("/",$A641)+1,20))+1,20))),"")))</f>
        <v/>
      </c>
      <c r="E641">
        <f>IF($A641="","",IF(OR($B641="",$C641="",$D641="",$B641&lt;1300,$B641&gt;1500,$C641&lt;1,$C641&gt;12,$D641&lt;1,$D641&gt;31),"نامعتبر",RIGHT("0000"&amp;$B641,4)&amp;"/"&amp;RIGHT("00"&amp;$C641,2)&amp;"/"&amp;RIGHT("00"&amp;$D641,2)))</f>
        <v/>
      </c>
      <c r="F641">
        <f>IF(OR($E641="",$E641="نامعتبر"),"",LEFT($E641,4)&amp;"/"&amp;MID($E641,6,2))</f>
        <v/>
      </c>
      <c r="G641">
        <f>IF(OR($E641="",$E641="نامعتبر",Sync!$X637=""),"",IF(AND(LEFT(UPPER(TRIM(Sync!$X637)),2)="SL",IFERROR(VLOOKUP(Sync!$W637,OpTbl,3,0),"")="فروش"),UPPER(TRIM(Sync!$X637)),""))</f>
        <v/>
      </c>
      <c r="H641">
        <f>IF($G641="","",IF(Sync!$W637="","",Sync!$W637))</f>
        <v/>
      </c>
      <c r="I641">
        <f>IF(OR($G641="",Sync!$Y637=""),"",Sync!$Y637)</f>
        <v/>
      </c>
      <c r="J641">
        <f>IF(OR($G641="",Sync!$Z637=""),"",Sync!$Z637)</f>
        <v/>
      </c>
      <c r="K641">
        <f>IF($G641="",0,IF(Sync!$AA637="",0,Sync!$AA637))</f>
        <v/>
      </c>
      <c r="L641">
        <f>IF($G641="",0,IF(Sync!$AB637="",0,Sync!$AB637))</f>
        <v/>
      </c>
      <c r="M641">
        <f>IF($G641="","",IF($H641="مرجوعی فروش",-1,1)*($K641-$L641*IFERROR(VLOOKUP("P01",ParamTbl,3,0),1.5)))</f>
        <v/>
      </c>
      <c r="N641">
        <f>IF($G641="",0,IF($H641="مرجوعی فروش",-1,1)*IF(Sync!$AC637="",0,Sync!$AC637))</f>
        <v/>
      </c>
      <c r="O641">
        <f>IF(OR($G641="",Sync!$V637=""),"",Sync!$V637)</f>
        <v/>
      </c>
      <c r="P641">
        <f>IF(OR($G641="",Sync!$AD637=""),"",Sync!$AD637)</f>
        <v/>
      </c>
      <c r="Q641">
        <f>IF($G641="","",IF(Sync!$U637="","0000",IF(AND(ISNUMBER(Sync!$U637),Sync!$U637&gt;=0,Sync!$U637&lt;1),RIGHT("00"&amp;HOUR(Sync!$U637),2)&amp;RIGHT("00"&amp;MINUTE(Sync!$U637),2),IFERROR(RIGHT("00"&amp;VALUE(LEFT(Sync!$U637,FIND(":",Sync!$U637)-1)),2)&amp;RIGHT("00"&amp;VALUE(MID(Sync!$U637,FIND(":",Sync!$U637)+1,2)),2),"0000"))))</f>
        <v/>
      </c>
    </row>
    <row r="642">
      <c r="A642">
        <f>IF(Sync!$T638="","",Sync!$T638)</f>
        <v/>
      </c>
      <c r="B642">
        <f>IF($A642="","",IF(ISNUMBER($A642),IF(AND($A642&gt;=10000101,$A642&lt;=99991231),INT($A642/10000),""),IFERROR(VALUE(TRIM(LEFT($A642,FIND("/",$A642)-1))),"")))</f>
        <v/>
      </c>
      <c r="C642">
        <f>IF(OR($A642="",$B642=""),"",IF(ISNUMBER($A642),INT(MOD($A642,10000)/100),IFERROR(VALUE(TRIM(LEFT(MID($A642,FIND("/",$A642)+1,20),FIND("/",MID($A642,FIND("/",$A642)+1,20))-1))),"")))</f>
        <v/>
      </c>
      <c r="D642">
        <f>IF(OR($A642="",$B642=""),"",IF(ISNUMBER($A642),MOD($A642,100),IFERROR(VALUE(TRIM(MID(MID($A642,FIND("/",$A642)+1,20),FIND("/",MID($A642,FIND("/",$A642)+1,20))+1,20))),"")))</f>
        <v/>
      </c>
      <c r="E642">
        <f>IF($A642="","",IF(OR($B642="",$C642="",$D642="",$B642&lt;1300,$B642&gt;1500,$C642&lt;1,$C642&gt;12,$D642&lt;1,$D642&gt;31),"نامعتبر",RIGHT("0000"&amp;$B642,4)&amp;"/"&amp;RIGHT("00"&amp;$C642,2)&amp;"/"&amp;RIGHT("00"&amp;$D642,2)))</f>
        <v/>
      </c>
      <c r="F642">
        <f>IF(OR($E642="",$E642="نامعتبر"),"",LEFT($E642,4)&amp;"/"&amp;MID($E642,6,2))</f>
        <v/>
      </c>
      <c r="G642">
        <f>IF(OR($E642="",$E642="نامعتبر",Sync!$X638=""),"",IF(AND(LEFT(UPPER(TRIM(Sync!$X638)),2)="SL",IFERROR(VLOOKUP(Sync!$W638,OpTbl,3,0),"")="فروش"),UPPER(TRIM(Sync!$X638)),""))</f>
        <v/>
      </c>
      <c r="H642">
        <f>IF($G642="","",IF(Sync!$W638="","",Sync!$W638))</f>
        <v/>
      </c>
      <c r="I642">
        <f>IF(OR($G642="",Sync!$Y638=""),"",Sync!$Y638)</f>
        <v/>
      </c>
      <c r="J642">
        <f>IF(OR($G642="",Sync!$Z638=""),"",Sync!$Z638)</f>
        <v/>
      </c>
      <c r="K642">
        <f>IF($G642="",0,IF(Sync!$AA638="",0,Sync!$AA638))</f>
        <v/>
      </c>
      <c r="L642">
        <f>IF($G642="",0,IF(Sync!$AB638="",0,Sync!$AB638))</f>
        <v/>
      </c>
      <c r="M642">
        <f>IF($G642="","",IF($H642="مرجوعی فروش",-1,1)*($K642-$L642*IFERROR(VLOOKUP("P01",ParamTbl,3,0),1.5)))</f>
        <v/>
      </c>
      <c r="N642">
        <f>IF($G642="",0,IF($H642="مرجوعی فروش",-1,1)*IF(Sync!$AC638="",0,Sync!$AC638))</f>
        <v/>
      </c>
      <c r="O642">
        <f>IF(OR($G642="",Sync!$V638=""),"",Sync!$V638)</f>
        <v/>
      </c>
      <c r="P642">
        <f>IF(OR($G642="",Sync!$AD638=""),"",Sync!$AD638)</f>
        <v/>
      </c>
      <c r="Q642">
        <f>IF($G642="","",IF(Sync!$U638="","0000",IF(AND(ISNUMBER(Sync!$U638),Sync!$U638&gt;=0,Sync!$U638&lt;1),RIGHT("00"&amp;HOUR(Sync!$U638),2)&amp;RIGHT("00"&amp;MINUTE(Sync!$U638),2),IFERROR(RIGHT("00"&amp;VALUE(LEFT(Sync!$U638,FIND(":",Sync!$U638)-1)),2)&amp;RIGHT("00"&amp;VALUE(MID(Sync!$U638,FIND(":",Sync!$U638)+1,2)),2),"0000"))))</f>
        <v/>
      </c>
    </row>
    <row r="643">
      <c r="A643">
        <f>IF(Sync!$T639="","",Sync!$T639)</f>
        <v/>
      </c>
      <c r="B643">
        <f>IF($A643="","",IF(ISNUMBER($A643),IF(AND($A643&gt;=10000101,$A643&lt;=99991231),INT($A643/10000),""),IFERROR(VALUE(TRIM(LEFT($A643,FIND("/",$A643)-1))),"")))</f>
        <v/>
      </c>
      <c r="C643">
        <f>IF(OR($A643="",$B643=""),"",IF(ISNUMBER($A643),INT(MOD($A643,10000)/100),IFERROR(VALUE(TRIM(LEFT(MID($A643,FIND("/",$A643)+1,20),FIND("/",MID($A643,FIND("/",$A643)+1,20))-1))),"")))</f>
        <v/>
      </c>
      <c r="D643">
        <f>IF(OR($A643="",$B643=""),"",IF(ISNUMBER($A643),MOD($A643,100),IFERROR(VALUE(TRIM(MID(MID($A643,FIND("/",$A643)+1,20),FIND("/",MID($A643,FIND("/",$A643)+1,20))+1,20))),"")))</f>
        <v/>
      </c>
      <c r="E643">
        <f>IF($A643="","",IF(OR($B643="",$C643="",$D643="",$B643&lt;1300,$B643&gt;1500,$C643&lt;1,$C643&gt;12,$D643&lt;1,$D643&gt;31),"نامعتبر",RIGHT("0000"&amp;$B643,4)&amp;"/"&amp;RIGHT("00"&amp;$C643,2)&amp;"/"&amp;RIGHT("00"&amp;$D643,2)))</f>
        <v/>
      </c>
      <c r="F643">
        <f>IF(OR($E643="",$E643="نامعتبر"),"",LEFT($E643,4)&amp;"/"&amp;MID($E643,6,2))</f>
        <v/>
      </c>
      <c r="G643">
        <f>IF(OR($E643="",$E643="نامعتبر",Sync!$X639=""),"",IF(AND(LEFT(UPPER(TRIM(Sync!$X639)),2)="SL",IFERROR(VLOOKUP(Sync!$W639,OpTbl,3,0),"")="فروش"),UPPER(TRIM(Sync!$X639)),""))</f>
        <v/>
      </c>
      <c r="H643">
        <f>IF($G643="","",IF(Sync!$W639="","",Sync!$W639))</f>
        <v/>
      </c>
      <c r="I643">
        <f>IF(OR($G643="",Sync!$Y639=""),"",Sync!$Y639)</f>
        <v/>
      </c>
      <c r="J643">
        <f>IF(OR($G643="",Sync!$Z639=""),"",Sync!$Z639)</f>
        <v/>
      </c>
      <c r="K643">
        <f>IF($G643="",0,IF(Sync!$AA639="",0,Sync!$AA639))</f>
        <v/>
      </c>
      <c r="L643">
        <f>IF($G643="",0,IF(Sync!$AB639="",0,Sync!$AB639))</f>
        <v/>
      </c>
      <c r="M643">
        <f>IF($G643="","",IF($H643="مرجوعی فروش",-1,1)*($K643-$L643*IFERROR(VLOOKUP("P01",ParamTbl,3,0),1.5)))</f>
        <v/>
      </c>
      <c r="N643">
        <f>IF($G643="",0,IF($H643="مرجوعی فروش",-1,1)*IF(Sync!$AC639="",0,Sync!$AC639))</f>
        <v/>
      </c>
      <c r="O643">
        <f>IF(OR($G643="",Sync!$V639=""),"",Sync!$V639)</f>
        <v/>
      </c>
      <c r="P643">
        <f>IF(OR($G643="",Sync!$AD639=""),"",Sync!$AD639)</f>
        <v/>
      </c>
      <c r="Q643">
        <f>IF($G643="","",IF(Sync!$U639="","0000",IF(AND(ISNUMBER(Sync!$U639),Sync!$U639&gt;=0,Sync!$U639&lt;1),RIGHT("00"&amp;HOUR(Sync!$U639),2)&amp;RIGHT("00"&amp;MINUTE(Sync!$U639),2),IFERROR(RIGHT("00"&amp;VALUE(LEFT(Sync!$U639,FIND(":",Sync!$U639)-1)),2)&amp;RIGHT("00"&amp;VALUE(MID(Sync!$U639,FIND(":",Sync!$U639)+1,2)),2),"0000"))))</f>
        <v/>
      </c>
    </row>
    <row r="644">
      <c r="A644">
        <f>IF(Sync!$T640="","",Sync!$T640)</f>
        <v/>
      </c>
      <c r="B644">
        <f>IF($A644="","",IF(ISNUMBER($A644),IF(AND($A644&gt;=10000101,$A644&lt;=99991231),INT($A644/10000),""),IFERROR(VALUE(TRIM(LEFT($A644,FIND("/",$A644)-1))),"")))</f>
        <v/>
      </c>
      <c r="C644">
        <f>IF(OR($A644="",$B644=""),"",IF(ISNUMBER($A644),INT(MOD($A644,10000)/100),IFERROR(VALUE(TRIM(LEFT(MID($A644,FIND("/",$A644)+1,20),FIND("/",MID($A644,FIND("/",$A644)+1,20))-1))),"")))</f>
        <v/>
      </c>
      <c r="D644">
        <f>IF(OR($A644="",$B644=""),"",IF(ISNUMBER($A644),MOD($A644,100),IFERROR(VALUE(TRIM(MID(MID($A644,FIND("/",$A644)+1,20),FIND("/",MID($A644,FIND("/",$A644)+1,20))+1,20))),"")))</f>
        <v/>
      </c>
      <c r="E644">
        <f>IF($A644="","",IF(OR($B644="",$C644="",$D644="",$B644&lt;1300,$B644&gt;1500,$C644&lt;1,$C644&gt;12,$D644&lt;1,$D644&gt;31),"نامعتبر",RIGHT("0000"&amp;$B644,4)&amp;"/"&amp;RIGHT("00"&amp;$C644,2)&amp;"/"&amp;RIGHT("00"&amp;$D644,2)))</f>
        <v/>
      </c>
      <c r="F644">
        <f>IF(OR($E644="",$E644="نامعتبر"),"",LEFT($E644,4)&amp;"/"&amp;MID($E644,6,2))</f>
        <v/>
      </c>
      <c r="G644">
        <f>IF(OR($E644="",$E644="نامعتبر",Sync!$X640=""),"",IF(AND(LEFT(UPPER(TRIM(Sync!$X640)),2)="SL",IFERROR(VLOOKUP(Sync!$W640,OpTbl,3,0),"")="فروش"),UPPER(TRIM(Sync!$X640)),""))</f>
        <v/>
      </c>
      <c r="H644">
        <f>IF($G644="","",IF(Sync!$W640="","",Sync!$W640))</f>
        <v/>
      </c>
      <c r="I644">
        <f>IF(OR($G644="",Sync!$Y640=""),"",Sync!$Y640)</f>
        <v/>
      </c>
      <c r="J644">
        <f>IF(OR($G644="",Sync!$Z640=""),"",Sync!$Z640)</f>
        <v/>
      </c>
      <c r="K644">
        <f>IF($G644="",0,IF(Sync!$AA640="",0,Sync!$AA640))</f>
        <v/>
      </c>
      <c r="L644">
        <f>IF($G644="",0,IF(Sync!$AB640="",0,Sync!$AB640))</f>
        <v/>
      </c>
      <c r="M644">
        <f>IF($G644="","",IF($H644="مرجوعی فروش",-1,1)*($K644-$L644*IFERROR(VLOOKUP("P01",ParamTbl,3,0),1.5)))</f>
        <v/>
      </c>
      <c r="N644">
        <f>IF($G644="",0,IF($H644="مرجوعی فروش",-1,1)*IF(Sync!$AC640="",0,Sync!$AC640))</f>
        <v/>
      </c>
      <c r="O644">
        <f>IF(OR($G644="",Sync!$V640=""),"",Sync!$V640)</f>
        <v/>
      </c>
      <c r="P644">
        <f>IF(OR($G644="",Sync!$AD640=""),"",Sync!$AD640)</f>
        <v/>
      </c>
      <c r="Q644">
        <f>IF($G644="","",IF(Sync!$U640="","0000",IF(AND(ISNUMBER(Sync!$U640),Sync!$U640&gt;=0,Sync!$U640&lt;1),RIGHT("00"&amp;HOUR(Sync!$U640),2)&amp;RIGHT("00"&amp;MINUTE(Sync!$U640),2),IFERROR(RIGHT("00"&amp;VALUE(LEFT(Sync!$U640,FIND(":",Sync!$U640)-1)),2)&amp;RIGHT("00"&amp;VALUE(MID(Sync!$U640,FIND(":",Sync!$U640)+1,2)),2),"0000"))))</f>
        <v/>
      </c>
    </row>
    <row r="645">
      <c r="A645">
        <f>IF(Sync!$T641="","",Sync!$T641)</f>
        <v/>
      </c>
      <c r="B645">
        <f>IF($A645="","",IF(ISNUMBER($A645),IF(AND($A645&gt;=10000101,$A645&lt;=99991231),INT($A645/10000),""),IFERROR(VALUE(TRIM(LEFT($A645,FIND("/",$A645)-1))),"")))</f>
        <v/>
      </c>
      <c r="C645">
        <f>IF(OR($A645="",$B645=""),"",IF(ISNUMBER($A645),INT(MOD($A645,10000)/100),IFERROR(VALUE(TRIM(LEFT(MID($A645,FIND("/",$A645)+1,20),FIND("/",MID($A645,FIND("/",$A645)+1,20))-1))),"")))</f>
        <v/>
      </c>
      <c r="D645">
        <f>IF(OR($A645="",$B645=""),"",IF(ISNUMBER($A645),MOD($A645,100),IFERROR(VALUE(TRIM(MID(MID($A645,FIND("/",$A645)+1,20),FIND("/",MID($A645,FIND("/",$A645)+1,20))+1,20))),"")))</f>
        <v/>
      </c>
      <c r="E645">
        <f>IF($A645="","",IF(OR($B645="",$C645="",$D645="",$B645&lt;1300,$B645&gt;1500,$C645&lt;1,$C645&gt;12,$D645&lt;1,$D645&gt;31),"نامعتبر",RIGHT("0000"&amp;$B645,4)&amp;"/"&amp;RIGHT("00"&amp;$C645,2)&amp;"/"&amp;RIGHT("00"&amp;$D645,2)))</f>
        <v/>
      </c>
      <c r="F645">
        <f>IF(OR($E645="",$E645="نامعتبر"),"",LEFT($E645,4)&amp;"/"&amp;MID($E645,6,2))</f>
        <v/>
      </c>
      <c r="G645">
        <f>IF(OR($E645="",$E645="نامعتبر",Sync!$X641=""),"",IF(AND(LEFT(UPPER(TRIM(Sync!$X641)),2)="SL",IFERROR(VLOOKUP(Sync!$W641,OpTbl,3,0),"")="فروش"),UPPER(TRIM(Sync!$X641)),""))</f>
        <v/>
      </c>
      <c r="H645">
        <f>IF($G645="","",IF(Sync!$W641="","",Sync!$W641))</f>
        <v/>
      </c>
      <c r="I645">
        <f>IF(OR($G645="",Sync!$Y641=""),"",Sync!$Y641)</f>
        <v/>
      </c>
      <c r="J645">
        <f>IF(OR($G645="",Sync!$Z641=""),"",Sync!$Z641)</f>
        <v/>
      </c>
      <c r="K645">
        <f>IF($G645="",0,IF(Sync!$AA641="",0,Sync!$AA641))</f>
        <v/>
      </c>
      <c r="L645">
        <f>IF($G645="",0,IF(Sync!$AB641="",0,Sync!$AB641))</f>
        <v/>
      </c>
      <c r="M645">
        <f>IF($G645="","",IF($H645="مرجوعی فروش",-1,1)*($K645-$L645*IFERROR(VLOOKUP("P01",ParamTbl,3,0),1.5)))</f>
        <v/>
      </c>
      <c r="N645">
        <f>IF($G645="",0,IF($H645="مرجوعی فروش",-1,1)*IF(Sync!$AC641="",0,Sync!$AC641))</f>
        <v/>
      </c>
      <c r="O645">
        <f>IF(OR($G645="",Sync!$V641=""),"",Sync!$V641)</f>
        <v/>
      </c>
      <c r="P645">
        <f>IF(OR($G645="",Sync!$AD641=""),"",Sync!$AD641)</f>
        <v/>
      </c>
      <c r="Q645">
        <f>IF($G645="","",IF(Sync!$U641="","0000",IF(AND(ISNUMBER(Sync!$U641),Sync!$U641&gt;=0,Sync!$U641&lt;1),RIGHT("00"&amp;HOUR(Sync!$U641),2)&amp;RIGHT("00"&amp;MINUTE(Sync!$U641),2),IFERROR(RIGHT("00"&amp;VALUE(LEFT(Sync!$U641,FIND(":",Sync!$U641)-1)),2)&amp;RIGHT("00"&amp;VALUE(MID(Sync!$U641,FIND(":",Sync!$U641)+1,2)),2),"0000"))))</f>
        <v/>
      </c>
    </row>
    <row r="646">
      <c r="A646">
        <f>IF(Sync!$T642="","",Sync!$T642)</f>
        <v/>
      </c>
      <c r="B646">
        <f>IF($A646="","",IF(ISNUMBER($A646),IF(AND($A646&gt;=10000101,$A646&lt;=99991231),INT($A646/10000),""),IFERROR(VALUE(TRIM(LEFT($A646,FIND("/",$A646)-1))),"")))</f>
        <v/>
      </c>
      <c r="C646">
        <f>IF(OR($A646="",$B646=""),"",IF(ISNUMBER($A646),INT(MOD($A646,10000)/100),IFERROR(VALUE(TRIM(LEFT(MID($A646,FIND("/",$A646)+1,20),FIND("/",MID($A646,FIND("/",$A646)+1,20))-1))),"")))</f>
        <v/>
      </c>
      <c r="D646">
        <f>IF(OR($A646="",$B646=""),"",IF(ISNUMBER($A646),MOD($A646,100),IFERROR(VALUE(TRIM(MID(MID($A646,FIND("/",$A646)+1,20),FIND("/",MID($A646,FIND("/",$A646)+1,20))+1,20))),"")))</f>
        <v/>
      </c>
      <c r="E646">
        <f>IF($A646="","",IF(OR($B646="",$C646="",$D646="",$B646&lt;1300,$B646&gt;1500,$C646&lt;1,$C646&gt;12,$D646&lt;1,$D646&gt;31),"نامعتبر",RIGHT("0000"&amp;$B646,4)&amp;"/"&amp;RIGHT("00"&amp;$C646,2)&amp;"/"&amp;RIGHT("00"&amp;$D646,2)))</f>
        <v/>
      </c>
      <c r="F646">
        <f>IF(OR($E646="",$E646="نامعتبر"),"",LEFT($E646,4)&amp;"/"&amp;MID($E646,6,2))</f>
        <v/>
      </c>
      <c r="G646">
        <f>IF(OR($E646="",$E646="نامعتبر",Sync!$X642=""),"",IF(AND(LEFT(UPPER(TRIM(Sync!$X642)),2)="SL",IFERROR(VLOOKUP(Sync!$W642,OpTbl,3,0),"")="فروش"),UPPER(TRIM(Sync!$X642)),""))</f>
        <v/>
      </c>
      <c r="H646">
        <f>IF($G646="","",IF(Sync!$W642="","",Sync!$W642))</f>
        <v/>
      </c>
      <c r="I646">
        <f>IF(OR($G646="",Sync!$Y642=""),"",Sync!$Y642)</f>
        <v/>
      </c>
      <c r="J646">
        <f>IF(OR($G646="",Sync!$Z642=""),"",Sync!$Z642)</f>
        <v/>
      </c>
      <c r="K646">
        <f>IF($G646="",0,IF(Sync!$AA642="",0,Sync!$AA642))</f>
        <v/>
      </c>
      <c r="L646">
        <f>IF($G646="",0,IF(Sync!$AB642="",0,Sync!$AB642))</f>
        <v/>
      </c>
      <c r="M646">
        <f>IF($G646="","",IF($H646="مرجوعی فروش",-1,1)*($K646-$L646*IFERROR(VLOOKUP("P01",ParamTbl,3,0),1.5)))</f>
        <v/>
      </c>
      <c r="N646">
        <f>IF($G646="",0,IF($H646="مرجوعی فروش",-1,1)*IF(Sync!$AC642="",0,Sync!$AC642))</f>
        <v/>
      </c>
      <c r="O646">
        <f>IF(OR($G646="",Sync!$V642=""),"",Sync!$V642)</f>
        <v/>
      </c>
      <c r="P646">
        <f>IF(OR($G646="",Sync!$AD642=""),"",Sync!$AD642)</f>
        <v/>
      </c>
      <c r="Q646">
        <f>IF($G646="","",IF(Sync!$U642="","0000",IF(AND(ISNUMBER(Sync!$U642),Sync!$U642&gt;=0,Sync!$U642&lt;1),RIGHT("00"&amp;HOUR(Sync!$U642),2)&amp;RIGHT("00"&amp;MINUTE(Sync!$U642),2),IFERROR(RIGHT("00"&amp;VALUE(LEFT(Sync!$U642,FIND(":",Sync!$U642)-1)),2)&amp;RIGHT("00"&amp;VALUE(MID(Sync!$U642,FIND(":",Sync!$U642)+1,2)),2),"0000"))))</f>
        <v/>
      </c>
    </row>
    <row r="647">
      <c r="A647">
        <f>IF(Sync!$T643="","",Sync!$T643)</f>
        <v/>
      </c>
      <c r="B647">
        <f>IF($A647="","",IF(ISNUMBER($A647),IF(AND($A647&gt;=10000101,$A647&lt;=99991231),INT($A647/10000),""),IFERROR(VALUE(TRIM(LEFT($A647,FIND("/",$A647)-1))),"")))</f>
        <v/>
      </c>
      <c r="C647">
        <f>IF(OR($A647="",$B647=""),"",IF(ISNUMBER($A647),INT(MOD($A647,10000)/100),IFERROR(VALUE(TRIM(LEFT(MID($A647,FIND("/",$A647)+1,20),FIND("/",MID($A647,FIND("/",$A647)+1,20))-1))),"")))</f>
        <v/>
      </c>
      <c r="D647">
        <f>IF(OR($A647="",$B647=""),"",IF(ISNUMBER($A647),MOD($A647,100),IFERROR(VALUE(TRIM(MID(MID($A647,FIND("/",$A647)+1,20),FIND("/",MID($A647,FIND("/",$A647)+1,20))+1,20))),"")))</f>
        <v/>
      </c>
      <c r="E647">
        <f>IF($A647="","",IF(OR($B647="",$C647="",$D647="",$B647&lt;1300,$B647&gt;1500,$C647&lt;1,$C647&gt;12,$D647&lt;1,$D647&gt;31),"نامعتبر",RIGHT("0000"&amp;$B647,4)&amp;"/"&amp;RIGHT("00"&amp;$C647,2)&amp;"/"&amp;RIGHT("00"&amp;$D647,2)))</f>
        <v/>
      </c>
      <c r="F647">
        <f>IF(OR($E647="",$E647="نامعتبر"),"",LEFT($E647,4)&amp;"/"&amp;MID($E647,6,2))</f>
        <v/>
      </c>
      <c r="G647">
        <f>IF(OR($E647="",$E647="نامعتبر",Sync!$X643=""),"",IF(AND(LEFT(UPPER(TRIM(Sync!$X643)),2)="SL",IFERROR(VLOOKUP(Sync!$W643,OpTbl,3,0),"")="فروش"),UPPER(TRIM(Sync!$X643)),""))</f>
        <v/>
      </c>
      <c r="H647">
        <f>IF($G647="","",IF(Sync!$W643="","",Sync!$W643))</f>
        <v/>
      </c>
      <c r="I647">
        <f>IF(OR($G647="",Sync!$Y643=""),"",Sync!$Y643)</f>
        <v/>
      </c>
      <c r="J647">
        <f>IF(OR($G647="",Sync!$Z643=""),"",Sync!$Z643)</f>
        <v/>
      </c>
      <c r="K647">
        <f>IF($G647="",0,IF(Sync!$AA643="",0,Sync!$AA643))</f>
        <v/>
      </c>
      <c r="L647">
        <f>IF($G647="",0,IF(Sync!$AB643="",0,Sync!$AB643))</f>
        <v/>
      </c>
      <c r="M647">
        <f>IF($G647="","",IF($H647="مرجوعی فروش",-1,1)*($K647-$L647*IFERROR(VLOOKUP("P01",ParamTbl,3,0),1.5)))</f>
        <v/>
      </c>
      <c r="N647">
        <f>IF($G647="",0,IF($H647="مرجوعی فروش",-1,1)*IF(Sync!$AC643="",0,Sync!$AC643))</f>
        <v/>
      </c>
      <c r="O647">
        <f>IF(OR($G647="",Sync!$V643=""),"",Sync!$V643)</f>
        <v/>
      </c>
      <c r="P647">
        <f>IF(OR($G647="",Sync!$AD643=""),"",Sync!$AD643)</f>
        <v/>
      </c>
      <c r="Q647">
        <f>IF($G647="","",IF(Sync!$U643="","0000",IF(AND(ISNUMBER(Sync!$U643),Sync!$U643&gt;=0,Sync!$U643&lt;1),RIGHT("00"&amp;HOUR(Sync!$U643),2)&amp;RIGHT("00"&amp;MINUTE(Sync!$U643),2),IFERROR(RIGHT("00"&amp;VALUE(LEFT(Sync!$U643,FIND(":",Sync!$U643)-1)),2)&amp;RIGHT("00"&amp;VALUE(MID(Sync!$U643,FIND(":",Sync!$U643)+1,2)),2),"0000"))))</f>
        <v/>
      </c>
    </row>
    <row r="648">
      <c r="A648">
        <f>IF(Sync!$T644="","",Sync!$T644)</f>
        <v/>
      </c>
      <c r="B648">
        <f>IF($A648="","",IF(ISNUMBER($A648),IF(AND($A648&gt;=10000101,$A648&lt;=99991231),INT($A648/10000),""),IFERROR(VALUE(TRIM(LEFT($A648,FIND("/",$A648)-1))),"")))</f>
        <v/>
      </c>
      <c r="C648">
        <f>IF(OR($A648="",$B648=""),"",IF(ISNUMBER($A648),INT(MOD($A648,10000)/100),IFERROR(VALUE(TRIM(LEFT(MID($A648,FIND("/",$A648)+1,20),FIND("/",MID($A648,FIND("/",$A648)+1,20))-1))),"")))</f>
        <v/>
      </c>
      <c r="D648">
        <f>IF(OR($A648="",$B648=""),"",IF(ISNUMBER($A648),MOD($A648,100),IFERROR(VALUE(TRIM(MID(MID($A648,FIND("/",$A648)+1,20),FIND("/",MID($A648,FIND("/",$A648)+1,20))+1,20))),"")))</f>
        <v/>
      </c>
      <c r="E648">
        <f>IF($A648="","",IF(OR($B648="",$C648="",$D648="",$B648&lt;1300,$B648&gt;1500,$C648&lt;1,$C648&gt;12,$D648&lt;1,$D648&gt;31),"نامعتبر",RIGHT("0000"&amp;$B648,4)&amp;"/"&amp;RIGHT("00"&amp;$C648,2)&amp;"/"&amp;RIGHT("00"&amp;$D648,2)))</f>
        <v/>
      </c>
      <c r="F648">
        <f>IF(OR($E648="",$E648="نامعتبر"),"",LEFT($E648,4)&amp;"/"&amp;MID($E648,6,2))</f>
        <v/>
      </c>
      <c r="G648">
        <f>IF(OR($E648="",$E648="نامعتبر",Sync!$X644=""),"",IF(AND(LEFT(UPPER(TRIM(Sync!$X644)),2)="SL",IFERROR(VLOOKUP(Sync!$W644,OpTbl,3,0),"")="فروش"),UPPER(TRIM(Sync!$X644)),""))</f>
        <v/>
      </c>
      <c r="H648">
        <f>IF($G648="","",IF(Sync!$W644="","",Sync!$W644))</f>
        <v/>
      </c>
      <c r="I648">
        <f>IF(OR($G648="",Sync!$Y644=""),"",Sync!$Y644)</f>
        <v/>
      </c>
      <c r="J648">
        <f>IF(OR($G648="",Sync!$Z644=""),"",Sync!$Z644)</f>
        <v/>
      </c>
      <c r="K648">
        <f>IF($G648="",0,IF(Sync!$AA644="",0,Sync!$AA644))</f>
        <v/>
      </c>
      <c r="L648">
        <f>IF($G648="",0,IF(Sync!$AB644="",0,Sync!$AB644))</f>
        <v/>
      </c>
      <c r="M648">
        <f>IF($G648="","",IF($H648="مرجوعی فروش",-1,1)*($K648-$L648*IFERROR(VLOOKUP("P01",ParamTbl,3,0),1.5)))</f>
        <v/>
      </c>
      <c r="N648">
        <f>IF($G648="",0,IF($H648="مرجوعی فروش",-1,1)*IF(Sync!$AC644="",0,Sync!$AC644))</f>
        <v/>
      </c>
      <c r="O648">
        <f>IF(OR($G648="",Sync!$V644=""),"",Sync!$V644)</f>
        <v/>
      </c>
      <c r="P648">
        <f>IF(OR($G648="",Sync!$AD644=""),"",Sync!$AD644)</f>
        <v/>
      </c>
      <c r="Q648">
        <f>IF($G648="","",IF(Sync!$U644="","0000",IF(AND(ISNUMBER(Sync!$U644),Sync!$U644&gt;=0,Sync!$U644&lt;1),RIGHT("00"&amp;HOUR(Sync!$U644),2)&amp;RIGHT("00"&amp;MINUTE(Sync!$U644),2),IFERROR(RIGHT("00"&amp;VALUE(LEFT(Sync!$U644,FIND(":",Sync!$U644)-1)),2)&amp;RIGHT("00"&amp;VALUE(MID(Sync!$U644,FIND(":",Sync!$U644)+1,2)),2),"0000"))))</f>
        <v/>
      </c>
    </row>
    <row r="649">
      <c r="A649">
        <f>IF(Sync!$T645="","",Sync!$T645)</f>
        <v/>
      </c>
      <c r="B649">
        <f>IF($A649="","",IF(ISNUMBER($A649),IF(AND($A649&gt;=10000101,$A649&lt;=99991231),INT($A649/10000),""),IFERROR(VALUE(TRIM(LEFT($A649,FIND("/",$A649)-1))),"")))</f>
        <v/>
      </c>
      <c r="C649">
        <f>IF(OR($A649="",$B649=""),"",IF(ISNUMBER($A649),INT(MOD($A649,10000)/100),IFERROR(VALUE(TRIM(LEFT(MID($A649,FIND("/",$A649)+1,20),FIND("/",MID($A649,FIND("/",$A649)+1,20))-1))),"")))</f>
        <v/>
      </c>
      <c r="D649">
        <f>IF(OR($A649="",$B649=""),"",IF(ISNUMBER($A649),MOD($A649,100),IFERROR(VALUE(TRIM(MID(MID($A649,FIND("/",$A649)+1,20),FIND("/",MID($A649,FIND("/",$A649)+1,20))+1,20))),"")))</f>
        <v/>
      </c>
      <c r="E649">
        <f>IF($A649="","",IF(OR($B649="",$C649="",$D649="",$B649&lt;1300,$B649&gt;1500,$C649&lt;1,$C649&gt;12,$D649&lt;1,$D649&gt;31),"نامعتبر",RIGHT("0000"&amp;$B649,4)&amp;"/"&amp;RIGHT("00"&amp;$C649,2)&amp;"/"&amp;RIGHT("00"&amp;$D649,2)))</f>
        <v/>
      </c>
      <c r="F649">
        <f>IF(OR($E649="",$E649="نامعتبر"),"",LEFT($E649,4)&amp;"/"&amp;MID($E649,6,2))</f>
        <v/>
      </c>
      <c r="G649">
        <f>IF(OR($E649="",$E649="نامعتبر",Sync!$X645=""),"",IF(AND(LEFT(UPPER(TRIM(Sync!$X645)),2)="SL",IFERROR(VLOOKUP(Sync!$W645,OpTbl,3,0),"")="فروش"),UPPER(TRIM(Sync!$X645)),""))</f>
        <v/>
      </c>
      <c r="H649">
        <f>IF($G649="","",IF(Sync!$W645="","",Sync!$W645))</f>
        <v/>
      </c>
      <c r="I649">
        <f>IF(OR($G649="",Sync!$Y645=""),"",Sync!$Y645)</f>
        <v/>
      </c>
      <c r="J649">
        <f>IF(OR($G649="",Sync!$Z645=""),"",Sync!$Z645)</f>
        <v/>
      </c>
      <c r="K649">
        <f>IF($G649="",0,IF(Sync!$AA645="",0,Sync!$AA645))</f>
        <v/>
      </c>
      <c r="L649">
        <f>IF($G649="",0,IF(Sync!$AB645="",0,Sync!$AB645))</f>
        <v/>
      </c>
      <c r="M649">
        <f>IF($G649="","",IF($H649="مرجوعی فروش",-1,1)*($K649-$L649*IFERROR(VLOOKUP("P01",ParamTbl,3,0),1.5)))</f>
        <v/>
      </c>
      <c r="N649">
        <f>IF($G649="",0,IF($H649="مرجوعی فروش",-1,1)*IF(Sync!$AC645="",0,Sync!$AC645))</f>
        <v/>
      </c>
      <c r="O649">
        <f>IF(OR($G649="",Sync!$V645=""),"",Sync!$V645)</f>
        <v/>
      </c>
      <c r="P649">
        <f>IF(OR($G649="",Sync!$AD645=""),"",Sync!$AD645)</f>
        <v/>
      </c>
      <c r="Q649">
        <f>IF($G649="","",IF(Sync!$U645="","0000",IF(AND(ISNUMBER(Sync!$U645),Sync!$U645&gt;=0,Sync!$U645&lt;1),RIGHT("00"&amp;HOUR(Sync!$U645),2)&amp;RIGHT("00"&amp;MINUTE(Sync!$U645),2),IFERROR(RIGHT("00"&amp;VALUE(LEFT(Sync!$U645,FIND(":",Sync!$U645)-1)),2)&amp;RIGHT("00"&amp;VALUE(MID(Sync!$U645,FIND(":",Sync!$U645)+1,2)),2),"0000"))))</f>
        <v/>
      </c>
    </row>
    <row r="650">
      <c r="A650">
        <f>IF(Sync!$T646="","",Sync!$T646)</f>
        <v/>
      </c>
      <c r="B650">
        <f>IF($A650="","",IF(ISNUMBER($A650),IF(AND($A650&gt;=10000101,$A650&lt;=99991231),INT($A650/10000),""),IFERROR(VALUE(TRIM(LEFT($A650,FIND("/",$A650)-1))),"")))</f>
        <v/>
      </c>
      <c r="C650">
        <f>IF(OR($A650="",$B650=""),"",IF(ISNUMBER($A650),INT(MOD($A650,10000)/100),IFERROR(VALUE(TRIM(LEFT(MID($A650,FIND("/",$A650)+1,20),FIND("/",MID($A650,FIND("/",$A650)+1,20))-1))),"")))</f>
        <v/>
      </c>
      <c r="D650">
        <f>IF(OR($A650="",$B650=""),"",IF(ISNUMBER($A650),MOD($A650,100),IFERROR(VALUE(TRIM(MID(MID($A650,FIND("/",$A650)+1,20),FIND("/",MID($A650,FIND("/",$A650)+1,20))+1,20))),"")))</f>
        <v/>
      </c>
      <c r="E650">
        <f>IF($A650="","",IF(OR($B650="",$C650="",$D650="",$B650&lt;1300,$B650&gt;1500,$C650&lt;1,$C650&gt;12,$D650&lt;1,$D650&gt;31),"نامعتبر",RIGHT("0000"&amp;$B650,4)&amp;"/"&amp;RIGHT("00"&amp;$C650,2)&amp;"/"&amp;RIGHT("00"&amp;$D650,2)))</f>
        <v/>
      </c>
      <c r="F650">
        <f>IF(OR($E650="",$E650="نامعتبر"),"",LEFT($E650,4)&amp;"/"&amp;MID($E650,6,2))</f>
        <v/>
      </c>
      <c r="G650">
        <f>IF(OR($E650="",$E650="نامعتبر",Sync!$X646=""),"",IF(AND(LEFT(UPPER(TRIM(Sync!$X646)),2)="SL",IFERROR(VLOOKUP(Sync!$W646,OpTbl,3,0),"")="فروش"),UPPER(TRIM(Sync!$X646)),""))</f>
        <v/>
      </c>
      <c r="H650">
        <f>IF($G650="","",IF(Sync!$W646="","",Sync!$W646))</f>
        <v/>
      </c>
      <c r="I650">
        <f>IF(OR($G650="",Sync!$Y646=""),"",Sync!$Y646)</f>
        <v/>
      </c>
      <c r="J650">
        <f>IF(OR($G650="",Sync!$Z646=""),"",Sync!$Z646)</f>
        <v/>
      </c>
      <c r="K650">
        <f>IF($G650="",0,IF(Sync!$AA646="",0,Sync!$AA646))</f>
        <v/>
      </c>
      <c r="L650">
        <f>IF($G650="",0,IF(Sync!$AB646="",0,Sync!$AB646))</f>
        <v/>
      </c>
      <c r="M650">
        <f>IF($G650="","",IF($H650="مرجوعی فروش",-1,1)*($K650-$L650*IFERROR(VLOOKUP("P01",ParamTbl,3,0),1.5)))</f>
        <v/>
      </c>
      <c r="N650">
        <f>IF($G650="",0,IF($H650="مرجوعی فروش",-1,1)*IF(Sync!$AC646="",0,Sync!$AC646))</f>
        <v/>
      </c>
      <c r="O650">
        <f>IF(OR($G650="",Sync!$V646=""),"",Sync!$V646)</f>
        <v/>
      </c>
      <c r="P650">
        <f>IF(OR($G650="",Sync!$AD646=""),"",Sync!$AD646)</f>
        <v/>
      </c>
      <c r="Q650">
        <f>IF($G650="","",IF(Sync!$U646="","0000",IF(AND(ISNUMBER(Sync!$U646),Sync!$U646&gt;=0,Sync!$U646&lt;1),RIGHT("00"&amp;HOUR(Sync!$U646),2)&amp;RIGHT("00"&amp;MINUTE(Sync!$U646),2),IFERROR(RIGHT("00"&amp;VALUE(LEFT(Sync!$U646,FIND(":",Sync!$U646)-1)),2)&amp;RIGHT("00"&amp;VALUE(MID(Sync!$U646,FIND(":",Sync!$U646)+1,2)),2),"0000"))))</f>
        <v/>
      </c>
    </row>
    <row r="651">
      <c r="A651">
        <f>IF(Sync!$T647="","",Sync!$T647)</f>
        <v/>
      </c>
      <c r="B651">
        <f>IF($A651="","",IF(ISNUMBER($A651),IF(AND($A651&gt;=10000101,$A651&lt;=99991231),INT($A651/10000),""),IFERROR(VALUE(TRIM(LEFT($A651,FIND("/",$A651)-1))),"")))</f>
        <v/>
      </c>
      <c r="C651">
        <f>IF(OR($A651="",$B651=""),"",IF(ISNUMBER($A651),INT(MOD($A651,10000)/100),IFERROR(VALUE(TRIM(LEFT(MID($A651,FIND("/",$A651)+1,20),FIND("/",MID($A651,FIND("/",$A651)+1,20))-1))),"")))</f>
        <v/>
      </c>
      <c r="D651">
        <f>IF(OR($A651="",$B651=""),"",IF(ISNUMBER($A651),MOD($A651,100),IFERROR(VALUE(TRIM(MID(MID($A651,FIND("/",$A651)+1,20),FIND("/",MID($A651,FIND("/",$A651)+1,20))+1,20))),"")))</f>
        <v/>
      </c>
      <c r="E651">
        <f>IF($A651="","",IF(OR($B651="",$C651="",$D651="",$B651&lt;1300,$B651&gt;1500,$C651&lt;1,$C651&gt;12,$D651&lt;1,$D651&gt;31),"نامعتبر",RIGHT("0000"&amp;$B651,4)&amp;"/"&amp;RIGHT("00"&amp;$C651,2)&amp;"/"&amp;RIGHT("00"&amp;$D651,2)))</f>
        <v/>
      </c>
      <c r="F651">
        <f>IF(OR($E651="",$E651="نامعتبر"),"",LEFT($E651,4)&amp;"/"&amp;MID($E651,6,2))</f>
        <v/>
      </c>
      <c r="G651">
        <f>IF(OR($E651="",$E651="نامعتبر",Sync!$X647=""),"",IF(AND(LEFT(UPPER(TRIM(Sync!$X647)),2)="SL",IFERROR(VLOOKUP(Sync!$W647,OpTbl,3,0),"")="فروش"),UPPER(TRIM(Sync!$X647)),""))</f>
        <v/>
      </c>
      <c r="H651">
        <f>IF($G651="","",IF(Sync!$W647="","",Sync!$W647))</f>
        <v/>
      </c>
      <c r="I651">
        <f>IF(OR($G651="",Sync!$Y647=""),"",Sync!$Y647)</f>
        <v/>
      </c>
      <c r="J651">
        <f>IF(OR($G651="",Sync!$Z647=""),"",Sync!$Z647)</f>
        <v/>
      </c>
      <c r="K651">
        <f>IF($G651="",0,IF(Sync!$AA647="",0,Sync!$AA647))</f>
        <v/>
      </c>
      <c r="L651">
        <f>IF($G651="",0,IF(Sync!$AB647="",0,Sync!$AB647))</f>
        <v/>
      </c>
      <c r="M651">
        <f>IF($G651="","",IF($H651="مرجوعی فروش",-1,1)*($K651-$L651*IFERROR(VLOOKUP("P01",ParamTbl,3,0),1.5)))</f>
        <v/>
      </c>
      <c r="N651">
        <f>IF($G651="",0,IF($H651="مرجوعی فروش",-1,1)*IF(Sync!$AC647="",0,Sync!$AC647))</f>
        <v/>
      </c>
      <c r="O651">
        <f>IF(OR($G651="",Sync!$V647=""),"",Sync!$V647)</f>
        <v/>
      </c>
      <c r="P651">
        <f>IF(OR($G651="",Sync!$AD647=""),"",Sync!$AD647)</f>
        <v/>
      </c>
      <c r="Q651">
        <f>IF($G651="","",IF(Sync!$U647="","0000",IF(AND(ISNUMBER(Sync!$U647),Sync!$U647&gt;=0,Sync!$U647&lt;1),RIGHT("00"&amp;HOUR(Sync!$U647),2)&amp;RIGHT("00"&amp;MINUTE(Sync!$U647),2),IFERROR(RIGHT("00"&amp;VALUE(LEFT(Sync!$U647,FIND(":",Sync!$U647)-1)),2)&amp;RIGHT("00"&amp;VALUE(MID(Sync!$U647,FIND(":",Sync!$U647)+1,2)),2),"0000"))))</f>
        <v/>
      </c>
    </row>
    <row r="652">
      <c r="A652">
        <f>IF(Sync!$T648="","",Sync!$T648)</f>
        <v/>
      </c>
      <c r="B652">
        <f>IF($A652="","",IF(ISNUMBER($A652),IF(AND($A652&gt;=10000101,$A652&lt;=99991231),INT($A652/10000),""),IFERROR(VALUE(TRIM(LEFT($A652,FIND("/",$A652)-1))),"")))</f>
        <v/>
      </c>
      <c r="C652">
        <f>IF(OR($A652="",$B652=""),"",IF(ISNUMBER($A652),INT(MOD($A652,10000)/100),IFERROR(VALUE(TRIM(LEFT(MID($A652,FIND("/",$A652)+1,20),FIND("/",MID($A652,FIND("/",$A652)+1,20))-1))),"")))</f>
        <v/>
      </c>
      <c r="D652">
        <f>IF(OR($A652="",$B652=""),"",IF(ISNUMBER($A652),MOD($A652,100),IFERROR(VALUE(TRIM(MID(MID($A652,FIND("/",$A652)+1,20),FIND("/",MID($A652,FIND("/",$A652)+1,20))+1,20))),"")))</f>
        <v/>
      </c>
      <c r="E652">
        <f>IF($A652="","",IF(OR($B652="",$C652="",$D652="",$B652&lt;1300,$B652&gt;1500,$C652&lt;1,$C652&gt;12,$D652&lt;1,$D652&gt;31),"نامعتبر",RIGHT("0000"&amp;$B652,4)&amp;"/"&amp;RIGHT("00"&amp;$C652,2)&amp;"/"&amp;RIGHT("00"&amp;$D652,2)))</f>
        <v/>
      </c>
      <c r="F652">
        <f>IF(OR($E652="",$E652="نامعتبر"),"",LEFT($E652,4)&amp;"/"&amp;MID($E652,6,2))</f>
        <v/>
      </c>
      <c r="G652">
        <f>IF(OR($E652="",$E652="نامعتبر",Sync!$X648=""),"",IF(AND(LEFT(UPPER(TRIM(Sync!$X648)),2)="SL",IFERROR(VLOOKUP(Sync!$W648,OpTbl,3,0),"")="فروش"),UPPER(TRIM(Sync!$X648)),""))</f>
        <v/>
      </c>
      <c r="H652">
        <f>IF($G652="","",IF(Sync!$W648="","",Sync!$W648))</f>
        <v/>
      </c>
      <c r="I652">
        <f>IF(OR($G652="",Sync!$Y648=""),"",Sync!$Y648)</f>
        <v/>
      </c>
      <c r="J652">
        <f>IF(OR($G652="",Sync!$Z648=""),"",Sync!$Z648)</f>
        <v/>
      </c>
      <c r="K652">
        <f>IF($G652="",0,IF(Sync!$AA648="",0,Sync!$AA648))</f>
        <v/>
      </c>
      <c r="L652">
        <f>IF($G652="",0,IF(Sync!$AB648="",0,Sync!$AB648))</f>
        <v/>
      </c>
      <c r="M652">
        <f>IF($G652="","",IF($H652="مرجوعی فروش",-1,1)*($K652-$L652*IFERROR(VLOOKUP("P01",ParamTbl,3,0),1.5)))</f>
        <v/>
      </c>
      <c r="N652">
        <f>IF($G652="",0,IF($H652="مرجوعی فروش",-1,1)*IF(Sync!$AC648="",0,Sync!$AC648))</f>
        <v/>
      </c>
      <c r="O652">
        <f>IF(OR($G652="",Sync!$V648=""),"",Sync!$V648)</f>
        <v/>
      </c>
      <c r="P652">
        <f>IF(OR($G652="",Sync!$AD648=""),"",Sync!$AD648)</f>
        <v/>
      </c>
      <c r="Q652">
        <f>IF($G652="","",IF(Sync!$U648="","0000",IF(AND(ISNUMBER(Sync!$U648),Sync!$U648&gt;=0,Sync!$U648&lt;1),RIGHT("00"&amp;HOUR(Sync!$U648),2)&amp;RIGHT("00"&amp;MINUTE(Sync!$U648),2),IFERROR(RIGHT("00"&amp;VALUE(LEFT(Sync!$U648,FIND(":",Sync!$U648)-1)),2)&amp;RIGHT("00"&amp;VALUE(MID(Sync!$U648,FIND(":",Sync!$U648)+1,2)),2),"0000"))))</f>
        <v/>
      </c>
    </row>
    <row r="653">
      <c r="A653">
        <f>IF(Sync!$T649="","",Sync!$T649)</f>
        <v/>
      </c>
      <c r="B653">
        <f>IF($A653="","",IF(ISNUMBER($A653),IF(AND($A653&gt;=10000101,$A653&lt;=99991231),INT($A653/10000),""),IFERROR(VALUE(TRIM(LEFT($A653,FIND("/",$A653)-1))),"")))</f>
        <v/>
      </c>
      <c r="C653">
        <f>IF(OR($A653="",$B653=""),"",IF(ISNUMBER($A653),INT(MOD($A653,10000)/100),IFERROR(VALUE(TRIM(LEFT(MID($A653,FIND("/",$A653)+1,20),FIND("/",MID($A653,FIND("/",$A653)+1,20))-1))),"")))</f>
        <v/>
      </c>
      <c r="D653">
        <f>IF(OR($A653="",$B653=""),"",IF(ISNUMBER($A653),MOD($A653,100),IFERROR(VALUE(TRIM(MID(MID($A653,FIND("/",$A653)+1,20),FIND("/",MID($A653,FIND("/",$A653)+1,20))+1,20))),"")))</f>
        <v/>
      </c>
      <c r="E653">
        <f>IF($A653="","",IF(OR($B653="",$C653="",$D653="",$B653&lt;1300,$B653&gt;1500,$C653&lt;1,$C653&gt;12,$D653&lt;1,$D653&gt;31),"نامعتبر",RIGHT("0000"&amp;$B653,4)&amp;"/"&amp;RIGHT("00"&amp;$C653,2)&amp;"/"&amp;RIGHT("00"&amp;$D653,2)))</f>
        <v/>
      </c>
      <c r="F653">
        <f>IF(OR($E653="",$E653="نامعتبر"),"",LEFT($E653,4)&amp;"/"&amp;MID($E653,6,2))</f>
        <v/>
      </c>
      <c r="G653">
        <f>IF(OR($E653="",$E653="نامعتبر",Sync!$X649=""),"",IF(AND(LEFT(UPPER(TRIM(Sync!$X649)),2)="SL",IFERROR(VLOOKUP(Sync!$W649,OpTbl,3,0),"")="فروش"),UPPER(TRIM(Sync!$X649)),""))</f>
        <v/>
      </c>
      <c r="H653">
        <f>IF($G653="","",IF(Sync!$W649="","",Sync!$W649))</f>
        <v/>
      </c>
      <c r="I653">
        <f>IF(OR($G653="",Sync!$Y649=""),"",Sync!$Y649)</f>
        <v/>
      </c>
      <c r="J653">
        <f>IF(OR($G653="",Sync!$Z649=""),"",Sync!$Z649)</f>
        <v/>
      </c>
      <c r="K653">
        <f>IF($G653="",0,IF(Sync!$AA649="",0,Sync!$AA649))</f>
        <v/>
      </c>
      <c r="L653">
        <f>IF($G653="",0,IF(Sync!$AB649="",0,Sync!$AB649))</f>
        <v/>
      </c>
      <c r="M653">
        <f>IF($G653="","",IF($H653="مرجوعی فروش",-1,1)*($K653-$L653*IFERROR(VLOOKUP("P01",ParamTbl,3,0),1.5)))</f>
        <v/>
      </c>
      <c r="N653">
        <f>IF($G653="",0,IF($H653="مرجوعی فروش",-1,1)*IF(Sync!$AC649="",0,Sync!$AC649))</f>
        <v/>
      </c>
      <c r="O653">
        <f>IF(OR($G653="",Sync!$V649=""),"",Sync!$V649)</f>
        <v/>
      </c>
      <c r="P653">
        <f>IF(OR($G653="",Sync!$AD649=""),"",Sync!$AD649)</f>
        <v/>
      </c>
      <c r="Q653">
        <f>IF($G653="","",IF(Sync!$U649="","0000",IF(AND(ISNUMBER(Sync!$U649),Sync!$U649&gt;=0,Sync!$U649&lt;1),RIGHT("00"&amp;HOUR(Sync!$U649),2)&amp;RIGHT("00"&amp;MINUTE(Sync!$U649),2),IFERROR(RIGHT("00"&amp;VALUE(LEFT(Sync!$U649,FIND(":",Sync!$U649)-1)),2)&amp;RIGHT("00"&amp;VALUE(MID(Sync!$U649,FIND(":",Sync!$U649)+1,2)),2),"0000"))))</f>
        <v/>
      </c>
    </row>
    <row r="654">
      <c r="A654">
        <f>IF(Sync!$T650="","",Sync!$T650)</f>
        <v/>
      </c>
      <c r="B654">
        <f>IF($A654="","",IF(ISNUMBER($A654),IF(AND($A654&gt;=10000101,$A654&lt;=99991231),INT($A654/10000),""),IFERROR(VALUE(TRIM(LEFT($A654,FIND("/",$A654)-1))),"")))</f>
        <v/>
      </c>
      <c r="C654">
        <f>IF(OR($A654="",$B654=""),"",IF(ISNUMBER($A654),INT(MOD($A654,10000)/100),IFERROR(VALUE(TRIM(LEFT(MID($A654,FIND("/",$A654)+1,20),FIND("/",MID($A654,FIND("/",$A654)+1,20))-1))),"")))</f>
        <v/>
      </c>
      <c r="D654">
        <f>IF(OR($A654="",$B654=""),"",IF(ISNUMBER($A654),MOD($A654,100),IFERROR(VALUE(TRIM(MID(MID($A654,FIND("/",$A654)+1,20),FIND("/",MID($A654,FIND("/",$A654)+1,20))+1,20))),"")))</f>
        <v/>
      </c>
      <c r="E654">
        <f>IF($A654="","",IF(OR($B654="",$C654="",$D654="",$B654&lt;1300,$B654&gt;1500,$C654&lt;1,$C654&gt;12,$D654&lt;1,$D654&gt;31),"نامعتبر",RIGHT("0000"&amp;$B654,4)&amp;"/"&amp;RIGHT("00"&amp;$C654,2)&amp;"/"&amp;RIGHT("00"&amp;$D654,2)))</f>
        <v/>
      </c>
      <c r="F654">
        <f>IF(OR($E654="",$E654="نامعتبر"),"",LEFT($E654,4)&amp;"/"&amp;MID($E654,6,2))</f>
        <v/>
      </c>
      <c r="G654">
        <f>IF(OR($E654="",$E654="نامعتبر",Sync!$X650=""),"",IF(AND(LEFT(UPPER(TRIM(Sync!$X650)),2)="SL",IFERROR(VLOOKUP(Sync!$W650,OpTbl,3,0),"")="فروش"),UPPER(TRIM(Sync!$X650)),""))</f>
        <v/>
      </c>
      <c r="H654">
        <f>IF($G654="","",IF(Sync!$W650="","",Sync!$W650))</f>
        <v/>
      </c>
      <c r="I654">
        <f>IF(OR($G654="",Sync!$Y650=""),"",Sync!$Y650)</f>
        <v/>
      </c>
      <c r="J654">
        <f>IF(OR($G654="",Sync!$Z650=""),"",Sync!$Z650)</f>
        <v/>
      </c>
      <c r="K654">
        <f>IF($G654="",0,IF(Sync!$AA650="",0,Sync!$AA650))</f>
        <v/>
      </c>
      <c r="L654">
        <f>IF($G654="",0,IF(Sync!$AB650="",0,Sync!$AB650))</f>
        <v/>
      </c>
      <c r="M654">
        <f>IF($G654="","",IF($H654="مرجوعی فروش",-1,1)*($K654-$L654*IFERROR(VLOOKUP("P01",ParamTbl,3,0),1.5)))</f>
        <v/>
      </c>
      <c r="N654">
        <f>IF($G654="",0,IF($H654="مرجوعی فروش",-1,1)*IF(Sync!$AC650="",0,Sync!$AC650))</f>
        <v/>
      </c>
      <c r="O654">
        <f>IF(OR($G654="",Sync!$V650=""),"",Sync!$V650)</f>
        <v/>
      </c>
      <c r="P654">
        <f>IF(OR($G654="",Sync!$AD650=""),"",Sync!$AD650)</f>
        <v/>
      </c>
      <c r="Q654">
        <f>IF($G654="","",IF(Sync!$U650="","0000",IF(AND(ISNUMBER(Sync!$U650),Sync!$U650&gt;=0,Sync!$U650&lt;1),RIGHT("00"&amp;HOUR(Sync!$U650),2)&amp;RIGHT("00"&amp;MINUTE(Sync!$U650),2),IFERROR(RIGHT("00"&amp;VALUE(LEFT(Sync!$U650,FIND(":",Sync!$U650)-1)),2)&amp;RIGHT("00"&amp;VALUE(MID(Sync!$U650,FIND(":",Sync!$U650)+1,2)),2),"0000"))))</f>
        <v/>
      </c>
    </row>
    <row r="655">
      <c r="A655">
        <f>IF(Sync!$T651="","",Sync!$T651)</f>
        <v/>
      </c>
      <c r="B655">
        <f>IF($A655="","",IF(ISNUMBER($A655),IF(AND($A655&gt;=10000101,$A655&lt;=99991231),INT($A655/10000),""),IFERROR(VALUE(TRIM(LEFT($A655,FIND("/",$A655)-1))),"")))</f>
        <v/>
      </c>
      <c r="C655">
        <f>IF(OR($A655="",$B655=""),"",IF(ISNUMBER($A655),INT(MOD($A655,10000)/100),IFERROR(VALUE(TRIM(LEFT(MID($A655,FIND("/",$A655)+1,20),FIND("/",MID($A655,FIND("/",$A655)+1,20))-1))),"")))</f>
        <v/>
      </c>
      <c r="D655">
        <f>IF(OR($A655="",$B655=""),"",IF(ISNUMBER($A655),MOD($A655,100),IFERROR(VALUE(TRIM(MID(MID($A655,FIND("/",$A655)+1,20),FIND("/",MID($A655,FIND("/",$A655)+1,20))+1,20))),"")))</f>
        <v/>
      </c>
      <c r="E655">
        <f>IF($A655="","",IF(OR($B655="",$C655="",$D655="",$B655&lt;1300,$B655&gt;1500,$C655&lt;1,$C655&gt;12,$D655&lt;1,$D655&gt;31),"نامعتبر",RIGHT("0000"&amp;$B655,4)&amp;"/"&amp;RIGHT("00"&amp;$C655,2)&amp;"/"&amp;RIGHT("00"&amp;$D655,2)))</f>
        <v/>
      </c>
      <c r="F655">
        <f>IF(OR($E655="",$E655="نامعتبر"),"",LEFT($E655,4)&amp;"/"&amp;MID($E655,6,2))</f>
        <v/>
      </c>
      <c r="G655">
        <f>IF(OR($E655="",$E655="نامعتبر",Sync!$X651=""),"",IF(AND(LEFT(UPPER(TRIM(Sync!$X651)),2)="SL",IFERROR(VLOOKUP(Sync!$W651,OpTbl,3,0),"")="فروش"),UPPER(TRIM(Sync!$X651)),""))</f>
        <v/>
      </c>
      <c r="H655">
        <f>IF($G655="","",IF(Sync!$W651="","",Sync!$W651))</f>
        <v/>
      </c>
      <c r="I655">
        <f>IF(OR($G655="",Sync!$Y651=""),"",Sync!$Y651)</f>
        <v/>
      </c>
      <c r="J655">
        <f>IF(OR($G655="",Sync!$Z651=""),"",Sync!$Z651)</f>
        <v/>
      </c>
      <c r="K655">
        <f>IF($G655="",0,IF(Sync!$AA651="",0,Sync!$AA651))</f>
        <v/>
      </c>
      <c r="L655">
        <f>IF($G655="",0,IF(Sync!$AB651="",0,Sync!$AB651))</f>
        <v/>
      </c>
      <c r="M655">
        <f>IF($G655="","",IF($H655="مرجوعی فروش",-1,1)*($K655-$L655*IFERROR(VLOOKUP("P01",ParamTbl,3,0),1.5)))</f>
        <v/>
      </c>
      <c r="N655">
        <f>IF($G655="",0,IF($H655="مرجوعی فروش",-1,1)*IF(Sync!$AC651="",0,Sync!$AC651))</f>
        <v/>
      </c>
      <c r="O655">
        <f>IF(OR($G655="",Sync!$V651=""),"",Sync!$V651)</f>
        <v/>
      </c>
      <c r="P655">
        <f>IF(OR($G655="",Sync!$AD651=""),"",Sync!$AD651)</f>
        <v/>
      </c>
      <c r="Q655">
        <f>IF($G655="","",IF(Sync!$U651="","0000",IF(AND(ISNUMBER(Sync!$U651),Sync!$U651&gt;=0,Sync!$U651&lt;1),RIGHT("00"&amp;HOUR(Sync!$U651),2)&amp;RIGHT("00"&amp;MINUTE(Sync!$U651),2),IFERROR(RIGHT("00"&amp;VALUE(LEFT(Sync!$U651,FIND(":",Sync!$U651)-1)),2)&amp;RIGHT("00"&amp;VALUE(MID(Sync!$U651,FIND(":",Sync!$U651)+1,2)),2),"0000"))))</f>
        <v/>
      </c>
    </row>
    <row r="656">
      <c r="A656">
        <f>IF(Sync!$T652="","",Sync!$T652)</f>
        <v/>
      </c>
      <c r="B656">
        <f>IF($A656="","",IF(ISNUMBER($A656),IF(AND($A656&gt;=10000101,$A656&lt;=99991231),INT($A656/10000),""),IFERROR(VALUE(TRIM(LEFT($A656,FIND("/",$A656)-1))),"")))</f>
        <v/>
      </c>
      <c r="C656">
        <f>IF(OR($A656="",$B656=""),"",IF(ISNUMBER($A656),INT(MOD($A656,10000)/100),IFERROR(VALUE(TRIM(LEFT(MID($A656,FIND("/",$A656)+1,20),FIND("/",MID($A656,FIND("/",$A656)+1,20))-1))),"")))</f>
        <v/>
      </c>
      <c r="D656">
        <f>IF(OR($A656="",$B656=""),"",IF(ISNUMBER($A656),MOD($A656,100),IFERROR(VALUE(TRIM(MID(MID($A656,FIND("/",$A656)+1,20),FIND("/",MID($A656,FIND("/",$A656)+1,20))+1,20))),"")))</f>
        <v/>
      </c>
      <c r="E656">
        <f>IF($A656="","",IF(OR($B656="",$C656="",$D656="",$B656&lt;1300,$B656&gt;1500,$C656&lt;1,$C656&gt;12,$D656&lt;1,$D656&gt;31),"نامعتبر",RIGHT("0000"&amp;$B656,4)&amp;"/"&amp;RIGHT("00"&amp;$C656,2)&amp;"/"&amp;RIGHT("00"&amp;$D656,2)))</f>
        <v/>
      </c>
      <c r="F656">
        <f>IF(OR($E656="",$E656="نامعتبر"),"",LEFT($E656,4)&amp;"/"&amp;MID($E656,6,2))</f>
        <v/>
      </c>
      <c r="G656">
        <f>IF(OR($E656="",$E656="نامعتبر",Sync!$X652=""),"",IF(AND(LEFT(UPPER(TRIM(Sync!$X652)),2)="SL",IFERROR(VLOOKUP(Sync!$W652,OpTbl,3,0),"")="فروش"),UPPER(TRIM(Sync!$X652)),""))</f>
        <v/>
      </c>
      <c r="H656">
        <f>IF($G656="","",IF(Sync!$W652="","",Sync!$W652))</f>
        <v/>
      </c>
      <c r="I656">
        <f>IF(OR($G656="",Sync!$Y652=""),"",Sync!$Y652)</f>
        <v/>
      </c>
      <c r="J656">
        <f>IF(OR($G656="",Sync!$Z652=""),"",Sync!$Z652)</f>
        <v/>
      </c>
      <c r="K656">
        <f>IF($G656="",0,IF(Sync!$AA652="",0,Sync!$AA652))</f>
        <v/>
      </c>
      <c r="L656">
        <f>IF($G656="",0,IF(Sync!$AB652="",0,Sync!$AB652))</f>
        <v/>
      </c>
      <c r="M656">
        <f>IF($G656="","",IF($H656="مرجوعی فروش",-1,1)*($K656-$L656*IFERROR(VLOOKUP("P01",ParamTbl,3,0),1.5)))</f>
        <v/>
      </c>
      <c r="N656">
        <f>IF($G656="",0,IF($H656="مرجوعی فروش",-1,1)*IF(Sync!$AC652="",0,Sync!$AC652))</f>
        <v/>
      </c>
      <c r="O656">
        <f>IF(OR($G656="",Sync!$V652=""),"",Sync!$V652)</f>
        <v/>
      </c>
      <c r="P656">
        <f>IF(OR($G656="",Sync!$AD652=""),"",Sync!$AD652)</f>
        <v/>
      </c>
      <c r="Q656">
        <f>IF($G656="","",IF(Sync!$U652="","0000",IF(AND(ISNUMBER(Sync!$U652),Sync!$U652&gt;=0,Sync!$U652&lt;1),RIGHT("00"&amp;HOUR(Sync!$U652),2)&amp;RIGHT("00"&amp;MINUTE(Sync!$U652),2),IFERROR(RIGHT("00"&amp;VALUE(LEFT(Sync!$U652,FIND(":",Sync!$U652)-1)),2)&amp;RIGHT("00"&amp;VALUE(MID(Sync!$U652,FIND(":",Sync!$U652)+1,2)),2),"0000"))))</f>
        <v/>
      </c>
    </row>
    <row r="657">
      <c r="A657">
        <f>IF(Sync!$T653="","",Sync!$T653)</f>
        <v/>
      </c>
      <c r="B657">
        <f>IF($A657="","",IF(ISNUMBER($A657),IF(AND($A657&gt;=10000101,$A657&lt;=99991231),INT($A657/10000),""),IFERROR(VALUE(TRIM(LEFT($A657,FIND("/",$A657)-1))),"")))</f>
        <v/>
      </c>
      <c r="C657">
        <f>IF(OR($A657="",$B657=""),"",IF(ISNUMBER($A657),INT(MOD($A657,10000)/100),IFERROR(VALUE(TRIM(LEFT(MID($A657,FIND("/",$A657)+1,20),FIND("/",MID($A657,FIND("/",$A657)+1,20))-1))),"")))</f>
        <v/>
      </c>
      <c r="D657">
        <f>IF(OR($A657="",$B657=""),"",IF(ISNUMBER($A657),MOD($A657,100),IFERROR(VALUE(TRIM(MID(MID($A657,FIND("/",$A657)+1,20),FIND("/",MID($A657,FIND("/",$A657)+1,20))+1,20))),"")))</f>
        <v/>
      </c>
      <c r="E657">
        <f>IF($A657="","",IF(OR($B657="",$C657="",$D657="",$B657&lt;1300,$B657&gt;1500,$C657&lt;1,$C657&gt;12,$D657&lt;1,$D657&gt;31),"نامعتبر",RIGHT("0000"&amp;$B657,4)&amp;"/"&amp;RIGHT("00"&amp;$C657,2)&amp;"/"&amp;RIGHT("00"&amp;$D657,2)))</f>
        <v/>
      </c>
      <c r="F657">
        <f>IF(OR($E657="",$E657="نامعتبر"),"",LEFT($E657,4)&amp;"/"&amp;MID($E657,6,2))</f>
        <v/>
      </c>
      <c r="G657">
        <f>IF(OR($E657="",$E657="نامعتبر",Sync!$X653=""),"",IF(AND(LEFT(UPPER(TRIM(Sync!$X653)),2)="SL",IFERROR(VLOOKUP(Sync!$W653,OpTbl,3,0),"")="فروش"),UPPER(TRIM(Sync!$X653)),""))</f>
        <v/>
      </c>
      <c r="H657">
        <f>IF($G657="","",IF(Sync!$W653="","",Sync!$W653))</f>
        <v/>
      </c>
      <c r="I657">
        <f>IF(OR($G657="",Sync!$Y653=""),"",Sync!$Y653)</f>
        <v/>
      </c>
      <c r="J657">
        <f>IF(OR($G657="",Sync!$Z653=""),"",Sync!$Z653)</f>
        <v/>
      </c>
      <c r="K657">
        <f>IF($G657="",0,IF(Sync!$AA653="",0,Sync!$AA653))</f>
        <v/>
      </c>
      <c r="L657">
        <f>IF($G657="",0,IF(Sync!$AB653="",0,Sync!$AB653))</f>
        <v/>
      </c>
      <c r="M657">
        <f>IF($G657="","",IF($H657="مرجوعی فروش",-1,1)*($K657-$L657*IFERROR(VLOOKUP("P01",ParamTbl,3,0),1.5)))</f>
        <v/>
      </c>
      <c r="N657">
        <f>IF($G657="",0,IF($H657="مرجوعی فروش",-1,1)*IF(Sync!$AC653="",0,Sync!$AC653))</f>
        <v/>
      </c>
      <c r="O657">
        <f>IF(OR($G657="",Sync!$V653=""),"",Sync!$V653)</f>
        <v/>
      </c>
      <c r="P657">
        <f>IF(OR($G657="",Sync!$AD653=""),"",Sync!$AD653)</f>
        <v/>
      </c>
      <c r="Q657">
        <f>IF($G657="","",IF(Sync!$U653="","0000",IF(AND(ISNUMBER(Sync!$U653),Sync!$U653&gt;=0,Sync!$U653&lt;1),RIGHT("00"&amp;HOUR(Sync!$U653),2)&amp;RIGHT("00"&amp;MINUTE(Sync!$U653),2),IFERROR(RIGHT("00"&amp;VALUE(LEFT(Sync!$U653,FIND(":",Sync!$U653)-1)),2)&amp;RIGHT("00"&amp;VALUE(MID(Sync!$U653,FIND(":",Sync!$U653)+1,2)),2),"0000"))))</f>
        <v/>
      </c>
    </row>
    <row r="658">
      <c r="A658">
        <f>IF(Sync!$T654="","",Sync!$T654)</f>
        <v/>
      </c>
      <c r="B658">
        <f>IF($A658="","",IF(ISNUMBER($A658),IF(AND($A658&gt;=10000101,$A658&lt;=99991231),INT($A658/10000),""),IFERROR(VALUE(TRIM(LEFT($A658,FIND("/",$A658)-1))),"")))</f>
        <v/>
      </c>
      <c r="C658">
        <f>IF(OR($A658="",$B658=""),"",IF(ISNUMBER($A658),INT(MOD($A658,10000)/100),IFERROR(VALUE(TRIM(LEFT(MID($A658,FIND("/",$A658)+1,20),FIND("/",MID($A658,FIND("/",$A658)+1,20))-1))),"")))</f>
        <v/>
      </c>
      <c r="D658">
        <f>IF(OR($A658="",$B658=""),"",IF(ISNUMBER($A658),MOD($A658,100),IFERROR(VALUE(TRIM(MID(MID($A658,FIND("/",$A658)+1,20),FIND("/",MID($A658,FIND("/",$A658)+1,20))+1,20))),"")))</f>
        <v/>
      </c>
      <c r="E658">
        <f>IF($A658="","",IF(OR($B658="",$C658="",$D658="",$B658&lt;1300,$B658&gt;1500,$C658&lt;1,$C658&gt;12,$D658&lt;1,$D658&gt;31),"نامعتبر",RIGHT("0000"&amp;$B658,4)&amp;"/"&amp;RIGHT("00"&amp;$C658,2)&amp;"/"&amp;RIGHT("00"&amp;$D658,2)))</f>
        <v/>
      </c>
      <c r="F658">
        <f>IF(OR($E658="",$E658="نامعتبر"),"",LEFT($E658,4)&amp;"/"&amp;MID($E658,6,2))</f>
        <v/>
      </c>
      <c r="G658">
        <f>IF(OR($E658="",$E658="نامعتبر",Sync!$X654=""),"",IF(AND(LEFT(UPPER(TRIM(Sync!$X654)),2)="SL",IFERROR(VLOOKUP(Sync!$W654,OpTbl,3,0),"")="فروش"),UPPER(TRIM(Sync!$X654)),""))</f>
        <v/>
      </c>
      <c r="H658">
        <f>IF($G658="","",IF(Sync!$W654="","",Sync!$W654))</f>
        <v/>
      </c>
      <c r="I658">
        <f>IF(OR($G658="",Sync!$Y654=""),"",Sync!$Y654)</f>
        <v/>
      </c>
      <c r="J658">
        <f>IF(OR($G658="",Sync!$Z654=""),"",Sync!$Z654)</f>
        <v/>
      </c>
      <c r="K658">
        <f>IF($G658="",0,IF(Sync!$AA654="",0,Sync!$AA654))</f>
        <v/>
      </c>
      <c r="L658">
        <f>IF($G658="",0,IF(Sync!$AB654="",0,Sync!$AB654))</f>
        <v/>
      </c>
      <c r="M658">
        <f>IF($G658="","",IF($H658="مرجوعی فروش",-1,1)*($K658-$L658*IFERROR(VLOOKUP("P01",ParamTbl,3,0),1.5)))</f>
        <v/>
      </c>
      <c r="N658">
        <f>IF($G658="",0,IF($H658="مرجوعی فروش",-1,1)*IF(Sync!$AC654="",0,Sync!$AC654))</f>
        <v/>
      </c>
      <c r="O658">
        <f>IF(OR($G658="",Sync!$V654=""),"",Sync!$V654)</f>
        <v/>
      </c>
      <c r="P658">
        <f>IF(OR($G658="",Sync!$AD654=""),"",Sync!$AD654)</f>
        <v/>
      </c>
      <c r="Q658">
        <f>IF($G658="","",IF(Sync!$U654="","0000",IF(AND(ISNUMBER(Sync!$U654),Sync!$U654&gt;=0,Sync!$U654&lt;1),RIGHT("00"&amp;HOUR(Sync!$U654),2)&amp;RIGHT("00"&amp;MINUTE(Sync!$U654),2),IFERROR(RIGHT("00"&amp;VALUE(LEFT(Sync!$U654,FIND(":",Sync!$U654)-1)),2)&amp;RIGHT("00"&amp;VALUE(MID(Sync!$U654,FIND(":",Sync!$U654)+1,2)),2),"0000"))))</f>
        <v/>
      </c>
    </row>
    <row r="659">
      <c r="A659">
        <f>IF(Sync!$T655="","",Sync!$T655)</f>
        <v/>
      </c>
      <c r="B659">
        <f>IF($A659="","",IF(ISNUMBER($A659),IF(AND($A659&gt;=10000101,$A659&lt;=99991231),INT($A659/10000),""),IFERROR(VALUE(TRIM(LEFT($A659,FIND("/",$A659)-1))),"")))</f>
        <v/>
      </c>
      <c r="C659">
        <f>IF(OR($A659="",$B659=""),"",IF(ISNUMBER($A659),INT(MOD($A659,10000)/100),IFERROR(VALUE(TRIM(LEFT(MID($A659,FIND("/",$A659)+1,20),FIND("/",MID($A659,FIND("/",$A659)+1,20))-1))),"")))</f>
        <v/>
      </c>
      <c r="D659">
        <f>IF(OR($A659="",$B659=""),"",IF(ISNUMBER($A659),MOD($A659,100),IFERROR(VALUE(TRIM(MID(MID($A659,FIND("/",$A659)+1,20),FIND("/",MID($A659,FIND("/",$A659)+1,20))+1,20))),"")))</f>
        <v/>
      </c>
      <c r="E659">
        <f>IF($A659="","",IF(OR($B659="",$C659="",$D659="",$B659&lt;1300,$B659&gt;1500,$C659&lt;1,$C659&gt;12,$D659&lt;1,$D659&gt;31),"نامعتبر",RIGHT("0000"&amp;$B659,4)&amp;"/"&amp;RIGHT("00"&amp;$C659,2)&amp;"/"&amp;RIGHT("00"&amp;$D659,2)))</f>
        <v/>
      </c>
      <c r="F659">
        <f>IF(OR($E659="",$E659="نامعتبر"),"",LEFT($E659,4)&amp;"/"&amp;MID($E659,6,2))</f>
        <v/>
      </c>
      <c r="G659">
        <f>IF(OR($E659="",$E659="نامعتبر",Sync!$X655=""),"",IF(AND(LEFT(UPPER(TRIM(Sync!$X655)),2)="SL",IFERROR(VLOOKUP(Sync!$W655,OpTbl,3,0),"")="فروش"),UPPER(TRIM(Sync!$X655)),""))</f>
        <v/>
      </c>
      <c r="H659">
        <f>IF($G659="","",IF(Sync!$W655="","",Sync!$W655))</f>
        <v/>
      </c>
      <c r="I659">
        <f>IF(OR($G659="",Sync!$Y655=""),"",Sync!$Y655)</f>
        <v/>
      </c>
      <c r="J659">
        <f>IF(OR($G659="",Sync!$Z655=""),"",Sync!$Z655)</f>
        <v/>
      </c>
      <c r="K659">
        <f>IF($G659="",0,IF(Sync!$AA655="",0,Sync!$AA655))</f>
        <v/>
      </c>
      <c r="L659">
        <f>IF($G659="",0,IF(Sync!$AB655="",0,Sync!$AB655))</f>
        <v/>
      </c>
      <c r="M659">
        <f>IF($G659="","",IF($H659="مرجوعی فروش",-1,1)*($K659-$L659*IFERROR(VLOOKUP("P01",ParamTbl,3,0),1.5)))</f>
        <v/>
      </c>
      <c r="N659">
        <f>IF($G659="",0,IF($H659="مرجوعی فروش",-1,1)*IF(Sync!$AC655="",0,Sync!$AC655))</f>
        <v/>
      </c>
      <c r="O659">
        <f>IF(OR($G659="",Sync!$V655=""),"",Sync!$V655)</f>
        <v/>
      </c>
      <c r="P659">
        <f>IF(OR($G659="",Sync!$AD655=""),"",Sync!$AD655)</f>
        <v/>
      </c>
      <c r="Q659">
        <f>IF($G659="","",IF(Sync!$U655="","0000",IF(AND(ISNUMBER(Sync!$U655),Sync!$U655&gt;=0,Sync!$U655&lt;1),RIGHT("00"&amp;HOUR(Sync!$U655),2)&amp;RIGHT("00"&amp;MINUTE(Sync!$U655),2),IFERROR(RIGHT("00"&amp;VALUE(LEFT(Sync!$U655,FIND(":",Sync!$U655)-1)),2)&amp;RIGHT("00"&amp;VALUE(MID(Sync!$U655,FIND(":",Sync!$U655)+1,2)),2),"0000"))))</f>
        <v/>
      </c>
    </row>
    <row r="660">
      <c r="A660">
        <f>IF(Sync!$T656="","",Sync!$T656)</f>
        <v/>
      </c>
      <c r="B660">
        <f>IF($A660="","",IF(ISNUMBER($A660),IF(AND($A660&gt;=10000101,$A660&lt;=99991231),INT($A660/10000),""),IFERROR(VALUE(TRIM(LEFT($A660,FIND("/",$A660)-1))),"")))</f>
        <v/>
      </c>
      <c r="C660">
        <f>IF(OR($A660="",$B660=""),"",IF(ISNUMBER($A660),INT(MOD($A660,10000)/100),IFERROR(VALUE(TRIM(LEFT(MID($A660,FIND("/",$A660)+1,20),FIND("/",MID($A660,FIND("/",$A660)+1,20))-1))),"")))</f>
        <v/>
      </c>
      <c r="D660">
        <f>IF(OR($A660="",$B660=""),"",IF(ISNUMBER($A660),MOD($A660,100),IFERROR(VALUE(TRIM(MID(MID($A660,FIND("/",$A660)+1,20),FIND("/",MID($A660,FIND("/",$A660)+1,20))+1,20))),"")))</f>
        <v/>
      </c>
      <c r="E660">
        <f>IF($A660="","",IF(OR($B660="",$C660="",$D660="",$B660&lt;1300,$B660&gt;1500,$C660&lt;1,$C660&gt;12,$D660&lt;1,$D660&gt;31),"نامعتبر",RIGHT("0000"&amp;$B660,4)&amp;"/"&amp;RIGHT("00"&amp;$C660,2)&amp;"/"&amp;RIGHT("00"&amp;$D660,2)))</f>
        <v/>
      </c>
      <c r="F660">
        <f>IF(OR($E660="",$E660="نامعتبر"),"",LEFT($E660,4)&amp;"/"&amp;MID($E660,6,2))</f>
        <v/>
      </c>
      <c r="G660">
        <f>IF(OR($E660="",$E660="نامعتبر",Sync!$X656=""),"",IF(AND(LEFT(UPPER(TRIM(Sync!$X656)),2)="SL",IFERROR(VLOOKUP(Sync!$W656,OpTbl,3,0),"")="فروش"),UPPER(TRIM(Sync!$X656)),""))</f>
        <v/>
      </c>
      <c r="H660">
        <f>IF($G660="","",IF(Sync!$W656="","",Sync!$W656))</f>
        <v/>
      </c>
      <c r="I660">
        <f>IF(OR($G660="",Sync!$Y656=""),"",Sync!$Y656)</f>
        <v/>
      </c>
      <c r="J660">
        <f>IF(OR($G660="",Sync!$Z656=""),"",Sync!$Z656)</f>
        <v/>
      </c>
      <c r="K660">
        <f>IF($G660="",0,IF(Sync!$AA656="",0,Sync!$AA656))</f>
        <v/>
      </c>
      <c r="L660">
        <f>IF($G660="",0,IF(Sync!$AB656="",0,Sync!$AB656))</f>
        <v/>
      </c>
      <c r="M660">
        <f>IF($G660="","",IF($H660="مرجوعی فروش",-1,1)*($K660-$L660*IFERROR(VLOOKUP("P01",ParamTbl,3,0),1.5)))</f>
        <v/>
      </c>
      <c r="N660">
        <f>IF($G660="",0,IF($H660="مرجوعی فروش",-1,1)*IF(Sync!$AC656="",0,Sync!$AC656))</f>
        <v/>
      </c>
      <c r="O660">
        <f>IF(OR($G660="",Sync!$V656=""),"",Sync!$V656)</f>
        <v/>
      </c>
      <c r="P660">
        <f>IF(OR($G660="",Sync!$AD656=""),"",Sync!$AD656)</f>
        <v/>
      </c>
      <c r="Q660">
        <f>IF($G660="","",IF(Sync!$U656="","0000",IF(AND(ISNUMBER(Sync!$U656),Sync!$U656&gt;=0,Sync!$U656&lt;1),RIGHT("00"&amp;HOUR(Sync!$U656),2)&amp;RIGHT("00"&amp;MINUTE(Sync!$U656),2),IFERROR(RIGHT("00"&amp;VALUE(LEFT(Sync!$U656,FIND(":",Sync!$U656)-1)),2)&amp;RIGHT("00"&amp;VALUE(MID(Sync!$U656,FIND(":",Sync!$U656)+1,2)),2),"0000"))))</f>
        <v/>
      </c>
    </row>
    <row r="661">
      <c r="A661">
        <f>IF(Sync!$T657="","",Sync!$T657)</f>
        <v/>
      </c>
      <c r="B661">
        <f>IF($A661="","",IF(ISNUMBER($A661),IF(AND($A661&gt;=10000101,$A661&lt;=99991231),INT($A661/10000),""),IFERROR(VALUE(TRIM(LEFT($A661,FIND("/",$A661)-1))),"")))</f>
        <v/>
      </c>
      <c r="C661">
        <f>IF(OR($A661="",$B661=""),"",IF(ISNUMBER($A661),INT(MOD($A661,10000)/100),IFERROR(VALUE(TRIM(LEFT(MID($A661,FIND("/",$A661)+1,20),FIND("/",MID($A661,FIND("/",$A661)+1,20))-1))),"")))</f>
        <v/>
      </c>
      <c r="D661">
        <f>IF(OR($A661="",$B661=""),"",IF(ISNUMBER($A661),MOD($A661,100),IFERROR(VALUE(TRIM(MID(MID($A661,FIND("/",$A661)+1,20),FIND("/",MID($A661,FIND("/",$A661)+1,20))+1,20))),"")))</f>
        <v/>
      </c>
      <c r="E661">
        <f>IF($A661="","",IF(OR($B661="",$C661="",$D661="",$B661&lt;1300,$B661&gt;1500,$C661&lt;1,$C661&gt;12,$D661&lt;1,$D661&gt;31),"نامعتبر",RIGHT("0000"&amp;$B661,4)&amp;"/"&amp;RIGHT("00"&amp;$C661,2)&amp;"/"&amp;RIGHT("00"&amp;$D661,2)))</f>
        <v/>
      </c>
      <c r="F661">
        <f>IF(OR($E661="",$E661="نامعتبر"),"",LEFT($E661,4)&amp;"/"&amp;MID($E661,6,2))</f>
        <v/>
      </c>
      <c r="G661">
        <f>IF(OR($E661="",$E661="نامعتبر",Sync!$X657=""),"",IF(AND(LEFT(UPPER(TRIM(Sync!$X657)),2)="SL",IFERROR(VLOOKUP(Sync!$W657,OpTbl,3,0),"")="فروش"),UPPER(TRIM(Sync!$X657)),""))</f>
        <v/>
      </c>
      <c r="H661">
        <f>IF($G661="","",IF(Sync!$W657="","",Sync!$W657))</f>
        <v/>
      </c>
      <c r="I661">
        <f>IF(OR($G661="",Sync!$Y657=""),"",Sync!$Y657)</f>
        <v/>
      </c>
      <c r="J661">
        <f>IF(OR($G661="",Sync!$Z657=""),"",Sync!$Z657)</f>
        <v/>
      </c>
      <c r="K661">
        <f>IF($G661="",0,IF(Sync!$AA657="",0,Sync!$AA657))</f>
        <v/>
      </c>
      <c r="L661">
        <f>IF($G661="",0,IF(Sync!$AB657="",0,Sync!$AB657))</f>
        <v/>
      </c>
      <c r="M661">
        <f>IF($G661="","",IF($H661="مرجوعی فروش",-1,1)*($K661-$L661*IFERROR(VLOOKUP("P01",ParamTbl,3,0),1.5)))</f>
        <v/>
      </c>
      <c r="N661">
        <f>IF($G661="",0,IF($H661="مرجوعی فروش",-1,1)*IF(Sync!$AC657="",0,Sync!$AC657))</f>
        <v/>
      </c>
      <c r="O661">
        <f>IF(OR($G661="",Sync!$V657=""),"",Sync!$V657)</f>
        <v/>
      </c>
      <c r="P661">
        <f>IF(OR($G661="",Sync!$AD657=""),"",Sync!$AD657)</f>
        <v/>
      </c>
      <c r="Q661">
        <f>IF($G661="","",IF(Sync!$U657="","0000",IF(AND(ISNUMBER(Sync!$U657),Sync!$U657&gt;=0,Sync!$U657&lt;1),RIGHT("00"&amp;HOUR(Sync!$U657),2)&amp;RIGHT("00"&amp;MINUTE(Sync!$U657),2),IFERROR(RIGHT("00"&amp;VALUE(LEFT(Sync!$U657,FIND(":",Sync!$U657)-1)),2)&amp;RIGHT("00"&amp;VALUE(MID(Sync!$U657,FIND(":",Sync!$U657)+1,2)),2),"0000"))))</f>
        <v/>
      </c>
    </row>
    <row r="662">
      <c r="A662">
        <f>IF(Sync!$T658="","",Sync!$T658)</f>
        <v/>
      </c>
      <c r="B662">
        <f>IF($A662="","",IF(ISNUMBER($A662),IF(AND($A662&gt;=10000101,$A662&lt;=99991231),INT($A662/10000),""),IFERROR(VALUE(TRIM(LEFT($A662,FIND("/",$A662)-1))),"")))</f>
        <v/>
      </c>
      <c r="C662">
        <f>IF(OR($A662="",$B662=""),"",IF(ISNUMBER($A662),INT(MOD($A662,10000)/100),IFERROR(VALUE(TRIM(LEFT(MID($A662,FIND("/",$A662)+1,20),FIND("/",MID($A662,FIND("/",$A662)+1,20))-1))),"")))</f>
        <v/>
      </c>
      <c r="D662">
        <f>IF(OR($A662="",$B662=""),"",IF(ISNUMBER($A662),MOD($A662,100),IFERROR(VALUE(TRIM(MID(MID($A662,FIND("/",$A662)+1,20),FIND("/",MID($A662,FIND("/",$A662)+1,20))+1,20))),"")))</f>
        <v/>
      </c>
      <c r="E662">
        <f>IF($A662="","",IF(OR($B662="",$C662="",$D662="",$B662&lt;1300,$B662&gt;1500,$C662&lt;1,$C662&gt;12,$D662&lt;1,$D662&gt;31),"نامعتبر",RIGHT("0000"&amp;$B662,4)&amp;"/"&amp;RIGHT("00"&amp;$C662,2)&amp;"/"&amp;RIGHT("00"&amp;$D662,2)))</f>
        <v/>
      </c>
      <c r="F662">
        <f>IF(OR($E662="",$E662="نامعتبر"),"",LEFT($E662,4)&amp;"/"&amp;MID($E662,6,2))</f>
        <v/>
      </c>
      <c r="G662">
        <f>IF(OR($E662="",$E662="نامعتبر",Sync!$X658=""),"",IF(AND(LEFT(UPPER(TRIM(Sync!$X658)),2)="SL",IFERROR(VLOOKUP(Sync!$W658,OpTbl,3,0),"")="فروش"),UPPER(TRIM(Sync!$X658)),""))</f>
        <v/>
      </c>
      <c r="H662">
        <f>IF($G662="","",IF(Sync!$W658="","",Sync!$W658))</f>
        <v/>
      </c>
      <c r="I662">
        <f>IF(OR($G662="",Sync!$Y658=""),"",Sync!$Y658)</f>
        <v/>
      </c>
      <c r="J662">
        <f>IF(OR($G662="",Sync!$Z658=""),"",Sync!$Z658)</f>
        <v/>
      </c>
      <c r="K662">
        <f>IF($G662="",0,IF(Sync!$AA658="",0,Sync!$AA658))</f>
        <v/>
      </c>
      <c r="L662">
        <f>IF($G662="",0,IF(Sync!$AB658="",0,Sync!$AB658))</f>
        <v/>
      </c>
      <c r="M662">
        <f>IF($G662="","",IF($H662="مرجوعی فروش",-1,1)*($K662-$L662*IFERROR(VLOOKUP("P01",ParamTbl,3,0),1.5)))</f>
        <v/>
      </c>
      <c r="N662">
        <f>IF($G662="",0,IF($H662="مرجوعی فروش",-1,1)*IF(Sync!$AC658="",0,Sync!$AC658))</f>
        <v/>
      </c>
      <c r="O662">
        <f>IF(OR($G662="",Sync!$V658=""),"",Sync!$V658)</f>
        <v/>
      </c>
      <c r="P662">
        <f>IF(OR($G662="",Sync!$AD658=""),"",Sync!$AD658)</f>
        <v/>
      </c>
      <c r="Q662">
        <f>IF($G662="","",IF(Sync!$U658="","0000",IF(AND(ISNUMBER(Sync!$U658),Sync!$U658&gt;=0,Sync!$U658&lt;1),RIGHT("00"&amp;HOUR(Sync!$U658),2)&amp;RIGHT("00"&amp;MINUTE(Sync!$U658),2),IFERROR(RIGHT("00"&amp;VALUE(LEFT(Sync!$U658,FIND(":",Sync!$U658)-1)),2)&amp;RIGHT("00"&amp;VALUE(MID(Sync!$U658,FIND(":",Sync!$U658)+1,2)),2),"0000"))))</f>
        <v/>
      </c>
    </row>
    <row r="663">
      <c r="A663">
        <f>IF(Sync!$T659="","",Sync!$T659)</f>
        <v/>
      </c>
      <c r="B663">
        <f>IF($A663="","",IF(ISNUMBER($A663),IF(AND($A663&gt;=10000101,$A663&lt;=99991231),INT($A663/10000),""),IFERROR(VALUE(TRIM(LEFT($A663,FIND("/",$A663)-1))),"")))</f>
        <v/>
      </c>
      <c r="C663">
        <f>IF(OR($A663="",$B663=""),"",IF(ISNUMBER($A663),INT(MOD($A663,10000)/100),IFERROR(VALUE(TRIM(LEFT(MID($A663,FIND("/",$A663)+1,20),FIND("/",MID($A663,FIND("/",$A663)+1,20))-1))),"")))</f>
        <v/>
      </c>
      <c r="D663">
        <f>IF(OR($A663="",$B663=""),"",IF(ISNUMBER($A663),MOD($A663,100),IFERROR(VALUE(TRIM(MID(MID($A663,FIND("/",$A663)+1,20),FIND("/",MID($A663,FIND("/",$A663)+1,20))+1,20))),"")))</f>
        <v/>
      </c>
      <c r="E663">
        <f>IF($A663="","",IF(OR($B663="",$C663="",$D663="",$B663&lt;1300,$B663&gt;1500,$C663&lt;1,$C663&gt;12,$D663&lt;1,$D663&gt;31),"نامعتبر",RIGHT("0000"&amp;$B663,4)&amp;"/"&amp;RIGHT("00"&amp;$C663,2)&amp;"/"&amp;RIGHT("00"&amp;$D663,2)))</f>
        <v/>
      </c>
      <c r="F663">
        <f>IF(OR($E663="",$E663="نامعتبر"),"",LEFT($E663,4)&amp;"/"&amp;MID($E663,6,2))</f>
        <v/>
      </c>
      <c r="G663">
        <f>IF(OR($E663="",$E663="نامعتبر",Sync!$X659=""),"",IF(AND(LEFT(UPPER(TRIM(Sync!$X659)),2)="SL",IFERROR(VLOOKUP(Sync!$W659,OpTbl,3,0),"")="فروش"),UPPER(TRIM(Sync!$X659)),""))</f>
        <v/>
      </c>
      <c r="H663">
        <f>IF($G663="","",IF(Sync!$W659="","",Sync!$W659))</f>
        <v/>
      </c>
      <c r="I663">
        <f>IF(OR($G663="",Sync!$Y659=""),"",Sync!$Y659)</f>
        <v/>
      </c>
      <c r="J663">
        <f>IF(OR($G663="",Sync!$Z659=""),"",Sync!$Z659)</f>
        <v/>
      </c>
      <c r="K663">
        <f>IF($G663="",0,IF(Sync!$AA659="",0,Sync!$AA659))</f>
        <v/>
      </c>
      <c r="L663">
        <f>IF($G663="",0,IF(Sync!$AB659="",0,Sync!$AB659))</f>
        <v/>
      </c>
      <c r="M663">
        <f>IF($G663="","",IF($H663="مرجوعی فروش",-1,1)*($K663-$L663*IFERROR(VLOOKUP("P01",ParamTbl,3,0),1.5)))</f>
        <v/>
      </c>
      <c r="N663">
        <f>IF($G663="",0,IF($H663="مرجوعی فروش",-1,1)*IF(Sync!$AC659="",0,Sync!$AC659))</f>
        <v/>
      </c>
      <c r="O663">
        <f>IF(OR($G663="",Sync!$V659=""),"",Sync!$V659)</f>
        <v/>
      </c>
      <c r="P663">
        <f>IF(OR($G663="",Sync!$AD659=""),"",Sync!$AD659)</f>
        <v/>
      </c>
      <c r="Q663">
        <f>IF($G663="","",IF(Sync!$U659="","0000",IF(AND(ISNUMBER(Sync!$U659),Sync!$U659&gt;=0,Sync!$U659&lt;1),RIGHT("00"&amp;HOUR(Sync!$U659),2)&amp;RIGHT("00"&amp;MINUTE(Sync!$U659),2),IFERROR(RIGHT("00"&amp;VALUE(LEFT(Sync!$U659,FIND(":",Sync!$U659)-1)),2)&amp;RIGHT("00"&amp;VALUE(MID(Sync!$U659,FIND(":",Sync!$U659)+1,2)),2),"0000"))))</f>
        <v/>
      </c>
    </row>
    <row r="664">
      <c r="A664">
        <f>IF(Sync!$T660="","",Sync!$T660)</f>
        <v/>
      </c>
      <c r="B664">
        <f>IF($A664="","",IF(ISNUMBER($A664),IF(AND($A664&gt;=10000101,$A664&lt;=99991231),INT($A664/10000),""),IFERROR(VALUE(TRIM(LEFT($A664,FIND("/",$A664)-1))),"")))</f>
        <v/>
      </c>
      <c r="C664">
        <f>IF(OR($A664="",$B664=""),"",IF(ISNUMBER($A664),INT(MOD($A664,10000)/100),IFERROR(VALUE(TRIM(LEFT(MID($A664,FIND("/",$A664)+1,20),FIND("/",MID($A664,FIND("/",$A664)+1,20))-1))),"")))</f>
        <v/>
      </c>
      <c r="D664">
        <f>IF(OR($A664="",$B664=""),"",IF(ISNUMBER($A664),MOD($A664,100),IFERROR(VALUE(TRIM(MID(MID($A664,FIND("/",$A664)+1,20),FIND("/",MID($A664,FIND("/",$A664)+1,20))+1,20))),"")))</f>
        <v/>
      </c>
      <c r="E664">
        <f>IF($A664="","",IF(OR($B664="",$C664="",$D664="",$B664&lt;1300,$B664&gt;1500,$C664&lt;1,$C664&gt;12,$D664&lt;1,$D664&gt;31),"نامعتبر",RIGHT("0000"&amp;$B664,4)&amp;"/"&amp;RIGHT("00"&amp;$C664,2)&amp;"/"&amp;RIGHT("00"&amp;$D664,2)))</f>
        <v/>
      </c>
      <c r="F664">
        <f>IF(OR($E664="",$E664="نامعتبر"),"",LEFT($E664,4)&amp;"/"&amp;MID($E664,6,2))</f>
        <v/>
      </c>
      <c r="G664">
        <f>IF(OR($E664="",$E664="نامعتبر",Sync!$X660=""),"",IF(AND(LEFT(UPPER(TRIM(Sync!$X660)),2)="SL",IFERROR(VLOOKUP(Sync!$W660,OpTbl,3,0),"")="فروش"),UPPER(TRIM(Sync!$X660)),""))</f>
        <v/>
      </c>
      <c r="H664">
        <f>IF($G664="","",IF(Sync!$W660="","",Sync!$W660))</f>
        <v/>
      </c>
      <c r="I664">
        <f>IF(OR($G664="",Sync!$Y660=""),"",Sync!$Y660)</f>
        <v/>
      </c>
      <c r="J664">
        <f>IF(OR($G664="",Sync!$Z660=""),"",Sync!$Z660)</f>
        <v/>
      </c>
      <c r="K664">
        <f>IF($G664="",0,IF(Sync!$AA660="",0,Sync!$AA660))</f>
        <v/>
      </c>
      <c r="L664">
        <f>IF($G664="",0,IF(Sync!$AB660="",0,Sync!$AB660))</f>
        <v/>
      </c>
      <c r="M664">
        <f>IF($G664="","",IF($H664="مرجوعی فروش",-1,1)*($K664-$L664*IFERROR(VLOOKUP("P01",ParamTbl,3,0),1.5)))</f>
        <v/>
      </c>
      <c r="N664">
        <f>IF($G664="",0,IF($H664="مرجوعی فروش",-1,1)*IF(Sync!$AC660="",0,Sync!$AC660))</f>
        <v/>
      </c>
      <c r="O664">
        <f>IF(OR($G664="",Sync!$V660=""),"",Sync!$V660)</f>
        <v/>
      </c>
      <c r="P664">
        <f>IF(OR($G664="",Sync!$AD660=""),"",Sync!$AD660)</f>
        <v/>
      </c>
      <c r="Q664">
        <f>IF($G664="","",IF(Sync!$U660="","0000",IF(AND(ISNUMBER(Sync!$U660),Sync!$U660&gt;=0,Sync!$U660&lt;1),RIGHT("00"&amp;HOUR(Sync!$U660),2)&amp;RIGHT("00"&amp;MINUTE(Sync!$U660),2),IFERROR(RIGHT("00"&amp;VALUE(LEFT(Sync!$U660,FIND(":",Sync!$U660)-1)),2)&amp;RIGHT("00"&amp;VALUE(MID(Sync!$U660,FIND(":",Sync!$U660)+1,2)),2),"0000"))))</f>
        <v/>
      </c>
    </row>
    <row r="665">
      <c r="A665">
        <f>IF(Sync!$T661="","",Sync!$T661)</f>
        <v/>
      </c>
      <c r="B665">
        <f>IF($A665="","",IF(ISNUMBER($A665),IF(AND($A665&gt;=10000101,$A665&lt;=99991231),INT($A665/10000),""),IFERROR(VALUE(TRIM(LEFT($A665,FIND("/",$A665)-1))),"")))</f>
        <v/>
      </c>
      <c r="C665">
        <f>IF(OR($A665="",$B665=""),"",IF(ISNUMBER($A665),INT(MOD($A665,10000)/100),IFERROR(VALUE(TRIM(LEFT(MID($A665,FIND("/",$A665)+1,20),FIND("/",MID($A665,FIND("/",$A665)+1,20))-1))),"")))</f>
        <v/>
      </c>
      <c r="D665">
        <f>IF(OR($A665="",$B665=""),"",IF(ISNUMBER($A665),MOD($A665,100),IFERROR(VALUE(TRIM(MID(MID($A665,FIND("/",$A665)+1,20),FIND("/",MID($A665,FIND("/",$A665)+1,20))+1,20))),"")))</f>
        <v/>
      </c>
      <c r="E665">
        <f>IF($A665="","",IF(OR($B665="",$C665="",$D665="",$B665&lt;1300,$B665&gt;1500,$C665&lt;1,$C665&gt;12,$D665&lt;1,$D665&gt;31),"نامعتبر",RIGHT("0000"&amp;$B665,4)&amp;"/"&amp;RIGHT("00"&amp;$C665,2)&amp;"/"&amp;RIGHT("00"&amp;$D665,2)))</f>
        <v/>
      </c>
      <c r="F665">
        <f>IF(OR($E665="",$E665="نامعتبر"),"",LEFT($E665,4)&amp;"/"&amp;MID($E665,6,2))</f>
        <v/>
      </c>
      <c r="G665">
        <f>IF(OR($E665="",$E665="نامعتبر",Sync!$X661=""),"",IF(AND(LEFT(UPPER(TRIM(Sync!$X661)),2)="SL",IFERROR(VLOOKUP(Sync!$W661,OpTbl,3,0),"")="فروش"),UPPER(TRIM(Sync!$X661)),""))</f>
        <v/>
      </c>
      <c r="H665">
        <f>IF($G665="","",IF(Sync!$W661="","",Sync!$W661))</f>
        <v/>
      </c>
      <c r="I665">
        <f>IF(OR($G665="",Sync!$Y661=""),"",Sync!$Y661)</f>
        <v/>
      </c>
      <c r="J665">
        <f>IF(OR($G665="",Sync!$Z661=""),"",Sync!$Z661)</f>
        <v/>
      </c>
      <c r="K665">
        <f>IF($G665="",0,IF(Sync!$AA661="",0,Sync!$AA661))</f>
        <v/>
      </c>
      <c r="L665">
        <f>IF($G665="",0,IF(Sync!$AB661="",0,Sync!$AB661))</f>
        <v/>
      </c>
      <c r="M665">
        <f>IF($G665="","",IF($H665="مرجوعی فروش",-1,1)*($K665-$L665*IFERROR(VLOOKUP("P01",ParamTbl,3,0),1.5)))</f>
        <v/>
      </c>
      <c r="N665">
        <f>IF($G665="",0,IF($H665="مرجوعی فروش",-1,1)*IF(Sync!$AC661="",0,Sync!$AC661))</f>
        <v/>
      </c>
      <c r="O665">
        <f>IF(OR($G665="",Sync!$V661=""),"",Sync!$V661)</f>
        <v/>
      </c>
      <c r="P665">
        <f>IF(OR($G665="",Sync!$AD661=""),"",Sync!$AD661)</f>
        <v/>
      </c>
      <c r="Q665">
        <f>IF($G665="","",IF(Sync!$U661="","0000",IF(AND(ISNUMBER(Sync!$U661),Sync!$U661&gt;=0,Sync!$U661&lt;1),RIGHT("00"&amp;HOUR(Sync!$U661),2)&amp;RIGHT("00"&amp;MINUTE(Sync!$U661),2),IFERROR(RIGHT("00"&amp;VALUE(LEFT(Sync!$U661,FIND(":",Sync!$U661)-1)),2)&amp;RIGHT("00"&amp;VALUE(MID(Sync!$U661,FIND(":",Sync!$U661)+1,2)),2),"0000"))))</f>
        <v/>
      </c>
    </row>
    <row r="666">
      <c r="A666">
        <f>IF(Sync!$T662="","",Sync!$T662)</f>
        <v/>
      </c>
      <c r="B666">
        <f>IF($A666="","",IF(ISNUMBER($A666),IF(AND($A666&gt;=10000101,$A666&lt;=99991231),INT($A666/10000),""),IFERROR(VALUE(TRIM(LEFT($A666,FIND("/",$A666)-1))),"")))</f>
        <v/>
      </c>
      <c r="C666">
        <f>IF(OR($A666="",$B666=""),"",IF(ISNUMBER($A666),INT(MOD($A666,10000)/100),IFERROR(VALUE(TRIM(LEFT(MID($A666,FIND("/",$A666)+1,20),FIND("/",MID($A666,FIND("/",$A666)+1,20))-1))),"")))</f>
        <v/>
      </c>
      <c r="D666">
        <f>IF(OR($A666="",$B666=""),"",IF(ISNUMBER($A666),MOD($A666,100),IFERROR(VALUE(TRIM(MID(MID($A666,FIND("/",$A666)+1,20),FIND("/",MID($A666,FIND("/",$A666)+1,20))+1,20))),"")))</f>
        <v/>
      </c>
      <c r="E666">
        <f>IF($A666="","",IF(OR($B666="",$C666="",$D666="",$B666&lt;1300,$B666&gt;1500,$C666&lt;1,$C666&gt;12,$D666&lt;1,$D666&gt;31),"نامعتبر",RIGHT("0000"&amp;$B666,4)&amp;"/"&amp;RIGHT("00"&amp;$C666,2)&amp;"/"&amp;RIGHT("00"&amp;$D666,2)))</f>
        <v/>
      </c>
      <c r="F666">
        <f>IF(OR($E666="",$E666="نامعتبر"),"",LEFT($E666,4)&amp;"/"&amp;MID($E666,6,2))</f>
        <v/>
      </c>
      <c r="G666">
        <f>IF(OR($E666="",$E666="نامعتبر",Sync!$X662=""),"",IF(AND(LEFT(UPPER(TRIM(Sync!$X662)),2)="SL",IFERROR(VLOOKUP(Sync!$W662,OpTbl,3,0),"")="فروش"),UPPER(TRIM(Sync!$X662)),""))</f>
        <v/>
      </c>
      <c r="H666">
        <f>IF($G666="","",IF(Sync!$W662="","",Sync!$W662))</f>
        <v/>
      </c>
      <c r="I666">
        <f>IF(OR($G666="",Sync!$Y662=""),"",Sync!$Y662)</f>
        <v/>
      </c>
      <c r="J666">
        <f>IF(OR($G666="",Sync!$Z662=""),"",Sync!$Z662)</f>
        <v/>
      </c>
      <c r="K666">
        <f>IF($G666="",0,IF(Sync!$AA662="",0,Sync!$AA662))</f>
        <v/>
      </c>
      <c r="L666">
        <f>IF($G666="",0,IF(Sync!$AB662="",0,Sync!$AB662))</f>
        <v/>
      </c>
      <c r="M666">
        <f>IF($G666="","",IF($H666="مرجوعی فروش",-1,1)*($K666-$L666*IFERROR(VLOOKUP("P01",ParamTbl,3,0),1.5)))</f>
        <v/>
      </c>
      <c r="N666">
        <f>IF($G666="",0,IF($H666="مرجوعی فروش",-1,1)*IF(Sync!$AC662="",0,Sync!$AC662))</f>
        <v/>
      </c>
      <c r="O666">
        <f>IF(OR($G666="",Sync!$V662=""),"",Sync!$V662)</f>
        <v/>
      </c>
      <c r="P666">
        <f>IF(OR($G666="",Sync!$AD662=""),"",Sync!$AD662)</f>
        <v/>
      </c>
      <c r="Q666">
        <f>IF($G666="","",IF(Sync!$U662="","0000",IF(AND(ISNUMBER(Sync!$U662),Sync!$U662&gt;=0,Sync!$U662&lt;1),RIGHT("00"&amp;HOUR(Sync!$U662),2)&amp;RIGHT("00"&amp;MINUTE(Sync!$U662),2),IFERROR(RIGHT("00"&amp;VALUE(LEFT(Sync!$U662,FIND(":",Sync!$U662)-1)),2)&amp;RIGHT("00"&amp;VALUE(MID(Sync!$U662,FIND(":",Sync!$U662)+1,2)),2),"0000"))))</f>
        <v/>
      </c>
    </row>
    <row r="667">
      <c r="A667">
        <f>IF(Sync!$T663="","",Sync!$T663)</f>
        <v/>
      </c>
      <c r="B667">
        <f>IF($A667="","",IF(ISNUMBER($A667),IF(AND($A667&gt;=10000101,$A667&lt;=99991231),INT($A667/10000),""),IFERROR(VALUE(TRIM(LEFT($A667,FIND("/",$A667)-1))),"")))</f>
        <v/>
      </c>
      <c r="C667">
        <f>IF(OR($A667="",$B667=""),"",IF(ISNUMBER($A667),INT(MOD($A667,10000)/100),IFERROR(VALUE(TRIM(LEFT(MID($A667,FIND("/",$A667)+1,20),FIND("/",MID($A667,FIND("/",$A667)+1,20))-1))),"")))</f>
        <v/>
      </c>
      <c r="D667">
        <f>IF(OR($A667="",$B667=""),"",IF(ISNUMBER($A667),MOD($A667,100),IFERROR(VALUE(TRIM(MID(MID($A667,FIND("/",$A667)+1,20),FIND("/",MID($A667,FIND("/",$A667)+1,20))+1,20))),"")))</f>
        <v/>
      </c>
      <c r="E667">
        <f>IF($A667="","",IF(OR($B667="",$C667="",$D667="",$B667&lt;1300,$B667&gt;1500,$C667&lt;1,$C667&gt;12,$D667&lt;1,$D667&gt;31),"نامعتبر",RIGHT("0000"&amp;$B667,4)&amp;"/"&amp;RIGHT("00"&amp;$C667,2)&amp;"/"&amp;RIGHT("00"&amp;$D667,2)))</f>
        <v/>
      </c>
      <c r="F667">
        <f>IF(OR($E667="",$E667="نامعتبر"),"",LEFT($E667,4)&amp;"/"&amp;MID($E667,6,2))</f>
        <v/>
      </c>
      <c r="G667">
        <f>IF(OR($E667="",$E667="نامعتبر",Sync!$X663=""),"",IF(AND(LEFT(UPPER(TRIM(Sync!$X663)),2)="SL",IFERROR(VLOOKUP(Sync!$W663,OpTbl,3,0),"")="فروش"),UPPER(TRIM(Sync!$X663)),""))</f>
        <v/>
      </c>
      <c r="H667">
        <f>IF($G667="","",IF(Sync!$W663="","",Sync!$W663))</f>
        <v/>
      </c>
      <c r="I667">
        <f>IF(OR($G667="",Sync!$Y663=""),"",Sync!$Y663)</f>
        <v/>
      </c>
      <c r="J667">
        <f>IF(OR($G667="",Sync!$Z663=""),"",Sync!$Z663)</f>
        <v/>
      </c>
      <c r="K667">
        <f>IF($G667="",0,IF(Sync!$AA663="",0,Sync!$AA663))</f>
        <v/>
      </c>
      <c r="L667">
        <f>IF($G667="",0,IF(Sync!$AB663="",0,Sync!$AB663))</f>
        <v/>
      </c>
      <c r="M667">
        <f>IF($G667="","",IF($H667="مرجوعی فروش",-1,1)*($K667-$L667*IFERROR(VLOOKUP("P01",ParamTbl,3,0),1.5)))</f>
        <v/>
      </c>
      <c r="N667">
        <f>IF($G667="",0,IF($H667="مرجوعی فروش",-1,1)*IF(Sync!$AC663="",0,Sync!$AC663))</f>
        <v/>
      </c>
      <c r="O667">
        <f>IF(OR($G667="",Sync!$V663=""),"",Sync!$V663)</f>
        <v/>
      </c>
      <c r="P667">
        <f>IF(OR($G667="",Sync!$AD663=""),"",Sync!$AD663)</f>
        <v/>
      </c>
      <c r="Q667">
        <f>IF($G667="","",IF(Sync!$U663="","0000",IF(AND(ISNUMBER(Sync!$U663),Sync!$U663&gt;=0,Sync!$U663&lt;1),RIGHT("00"&amp;HOUR(Sync!$U663),2)&amp;RIGHT("00"&amp;MINUTE(Sync!$U663),2),IFERROR(RIGHT("00"&amp;VALUE(LEFT(Sync!$U663,FIND(":",Sync!$U663)-1)),2)&amp;RIGHT("00"&amp;VALUE(MID(Sync!$U663,FIND(":",Sync!$U663)+1,2)),2),"0000"))))</f>
        <v/>
      </c>
    </row>
    <row r="668">
      <c r="A668">
        <f>IF(Sync!$T664="","",Sync!$T664)</f>
        <v/>
      </c>
      <c r="B668">
        <f>IF($A668="","",IF(ISNUMBER($A668),IF(AND($A668&gt;=10000101,$A668&lt;=99991231),INT($A668/10000),""),IFERROR(VALUE(TRIM(LEFT($A668,FIND("/",$A668)-1))),"")))</f>
        <v/>
      </c>
      <c r="C668">
        <f>IF(OR($A668="",$B668=""),"",IF(ISNUMBER($A668),INT(MOD($A668,10000)/100),IFERROR(VALUE(TRIM(LEFT(MID($A668,FIND("/",$A668)+1,20),FIND("/",MID($A668,FIND("/",$A668)+1,20))-1))),"")))</f>
        <v/>
      </c>
      <c r="D668">
        <f>IF(OR($A668="",$B668=""),"",IF(ISNUMBER($A668),MOD($A668,100),IFERROR(VALUE(TRIM(MID(MID($A668,FIND("/",$A668)+1,20),FIND("/",MID($A668,FIND("/",$A668)+1,20))+1,20))),"")))</f>
        <v/>
      </c>
      <c r="E668">
        <f>IF($A668="","",IF(OR($B668="",$C668="",$D668="",$B668&lt;1300,$B668&gt;1500,$C668&lt;1,$C668&gt;12,$D668&lt;1,$D668&gt;31),"نامعتبر",RIGHT("0000"&amp;$B668,4)&amp;"/"&amp;RIGHT("00"&amp;$C668,2)&amp;"/"&amp;RIGHT("00"&amp;$D668,2)))</f>
        <v/>
      </c>
      <c r="F668">
        <f>IF(OR($E668="",$E668="نامعتبر"),"",LEFT($E668,4)&amp;"/"&amp;MID($E668,6,2))</f>
        <v/>
      </c>
      <c r="G668">
        <f>IF(OR($E668="",$E668="نامعتبر",Sync!$X664=""),"",IF(AND(LEFT(UPPER(TRIM(Sync!$X664)),2)="SL",IFERROR(VLOOKUP(Sync!$W664,OpTbl,3,0),"")="فروش"),UPPER(TRIM(Sync!$X664)),""))</f>
        <v/>
      </c>
      <c r="H668">
        <f>IF($G668="","",IF(Sync!$W664="","",Sync!$W664))</f>
        <v/>
      </c>
      <c r="I668">
        <f>IF(OR($G668="",Sync!$Y664=""),"",Sync!$Y664)</f>
        <v/>
      </c>
      <c r="J668">
        <f>IF(OR($G668="",Sync!$Z664=""),"",Sync!$Z664)</f>
        <v/>
      </c>
      <c r="K668">
        <f>IF($G668="",0,IF(Sync!$AA664="",0,Sync!$AA664))</f>
        <v/>
      </c>
      <c r="L668">
        <f>IF($G668="",0,IF(Sync!$AB664="",0,Sync!$AB664))</f>
        <v/>
      </c>
      <c r="M668">
        <f>IF($G668="","",IF($H668="مرجوعی فروش",-1,1)*($K668-$L668*IFERROR(VLOOKUP("P01",ParamTbl,3,0),1.5)))</f>
        <v/>
      </c>
      <c r="N668">
        <f>IF($G668="",0,IF($H668="مرجوعی فروش",-1,1)*IF(Sync!$AC664="",0,Sync!$AC664))</f>
        <v/>
      </c>
      <c r="O668">
        <f>IF(OR($G668="",Sync!$V664=""),"",Sync!$V664)</f>
        <v/>
      </c>
      <c r="P668">
        <f>IF(OR($G668="",Sync!$AD664=""),"",Sync!$AD664)</f>
        <v/>
      </c>
      <c r="Q668">
        <f>IF($G668="","",IF(Sync!$U664="","0000",IF(AND(ISNUMBER(Sync!$U664),Sync!$U664&gt;=0,Sync!$U664&lt;1),RIGHT("00"&amp;HOUR(Sync!$U664),2)&amp;RIGHT("00"&amp;MINUTE(Sync!$U664),2),IFERROR(RIGHT("00"&amp;VALUE(LEFT(Sync!$U664,FIND(":",Sync!$U664)-1)),2)&amp;RIGHT("00"&amp;VALUE(MID(Sync!$U664,FIND(":",Sync!$U664)+1,2)),2),"0000"))))</f>
        <v/>
      </c>
    </row>
    <row r="669">
      <c r="A669">
        <f>IF(Sync!$T665="","",Sync!$T665)</f>
        <v/>
      </c>
      <c r="B669">
        <f>IF($A669="","",IF(ISNUMBER($A669),IF(AND($A669&gt;=10000101,$A669&lt;=99991231),INT($A669/10000),""),IFERROR(VALUE(TRIM(LEFT($A669,FIND("/",$A669)-1))),"")))</f>
        <v/>
      </c>
      <c r="C669">
        <f>IF(OR($A669="",$B669=""),"",IF(ISNUMBER($A669),INT(MOD($A669,10000)/100),IFERROR(VALUE(TRIM(LEFT(MID($A669,FIND("/",$A669)+1,20),FIND("/",MID($A669,FIND("/",$A669)+1,20))-1))),"")))</f>
        <v/>
      </c>
      <c r="D669">
        <f>IF(OR($A669="",$B669=""),"",IF(ISNUMBER($A669),MOD($A669,100),IFERROR(VALUE(TRIM(MID(MID($A669,FIND("/",$A669)+1,20),FIND("/",MID($A669,FIND("/",$A669)+1,20))+1,20))),"")))</f>
        <v/>
      </c>
      <c r="E669">
        <f>IF($A669="","",IF(OR($B669="",$C669="",$D669="",$B669&lt;1300,$B669&gt;1500,$C669&lt;1,$C669&gt;12,$D669&lt;1,$D669&gt;31),"نامعتبر",RIGHT("0000"&amp;$B669,4)&amp;"/"&amp;RIGHT("00"&amp;$C669,2)&amp;"/"&amp;RIGHT("00"&amp;$D669,2)))</f>
        <v/>
      </c>
      <c r="F669">
        <f>IF(OR($E669="",$E669="نامعتبر"),"",LEFT($E669,4)&amp;"/"&amp;MID($E669,6,2))</f>
        <v/>
      </c>
      <c r="G669">
        <f>IF(OR($E669="",$E669="نامعتبر",Sync!$X665=""),"",IF(AND(LEFT(UPPER(TRIM(Sync!$X665)),2)="SL",IFERROR(VLOOKUP(Sync!$W665,OpTbl,3,0),"")="فروش"),UPPER(TRIM(Sync!$X665)),""))</f>
        <v/>
      </c>
      <c r="H669">
        <f>IF($G669="","",IF(Sync!$W665="","",Sync!$W665))</f>
        <v/>
      </c>
      <c r="I669">
        <f>IF(OR($G669="",Sync!$Y665=""),"",Sync!$Y665)</f>
        <v/>
      </c>
      <c r="J669">
        <f>IF(OR($G669="",Sync!$Z665=""),"",Sync!$Z665)</f>
        <v/>
      </c>
      <c r="K669">
        <f>IF($G669="",0,IF(Sync!$AA665="",0,Sync!$AA665))</f>
        <v/>
      </c>
      <c r="L669">
        <f>IF($G669="",0,IF(Sync!$AB665="",0,Sync!$AB665))</f>
        <v/>
      </c>
      <c r="M669">
        <f>IF($G669="","",IF($H669="مرجوعی فروش",-1,1)*($K669-$L669*IFERROR(VLOOKUP("P01",ParamTbl,3,0),1.5)))</f>
        <v/>
      </c>
      <c r="N669">
        <f>IF($G669="",0,IF($H669="مرجوعی فروش",-1,1)*IF(Sync!$AC665="",0,Sync!$AC665))</f>
        <v/>
      </c>
      <c r="O669">
        <f>IF(OR($G669="",Sync!$V665=""),"",Sync!$V665)</f>
        <v/>
      </c>
      <c r="P669">
        <f>IF(OR($G669="",Sync!$AD665=""),"",Sync!$AD665)</f>
        <v/>
      </c>
      <c r="Q669">
        <f>IF($G669="","",IF(Sync!$U665="","0000",IF(AND(ISNUMBER(Sync!$U665),Sync!$U665&gt;=0,Sync!$U665&lt;1),RIGHT("00"&amp;HOUR(Sync!$U665),2)&amp;RIGHT("00"&amp;MINUTE(Sync!$U665),2),IFERROR(RIGHT("00"&amp;VALUE(LEFT(Sync!$U665,FIND(":",Sync!$U665)-1)),2)&amp;RIGHT("00"&amp;VALUE(MID(Sync!$U665,FIND(":",Sync!$U665)+1,2)),2),"0000"))))</f>
        <v/>
      </c>
    </row>
    <row r="670">
      <c r="A670">
        <f>IF(Sync!$T666="","",Sync!$T666)</f>
        <v/>
      </c>
      <c r="B670">
        <f>IF($A670="","",IF(ISNUMBER($A670),IF(AND($A670&gt;=10000101,$A670&lt;=99991231),INT($A670/10000),""),IFERROR(VALUE(TRIM(LEFT($A670,FIND("/",$A670)-1))),"")))</f>
        <v/>
      </c>
      <c r="C670">
        <f>IF(OR($A670="",$B670=""),"",IF(ISNUMBER($A670),INT(MOD($A670,10000)/100),IFERROR(VALUE(TRIM(LEFT(MID($A670,FIND("/",$A670)+1,20),FIND("/",MID($A670,FIND("/",$A670)+1,20))-1))),"")))</f>
        <v/>
      </c>
      <c r="D670">
        <f>IF(OR($A670="",$B670=""),"",IF(ISNUMBER($A670),MOD($A670,100),IFERROR(VALUE(TRIM(MID(MID($A670,FIND("/",$A670)+1,20),FIND("/",MID($A670,FIND("/",$A670)+1,20))+1,20))),"")))</f>
        <v/>
      </c>
      <c r="E670">
        <f>IF($A670="","",IF(OR($B670="",$C670="",$D670="",$B670&lt;1300,$B670&gt;1500,$C670&lt;1,$C670&gt;12,$D670&lt;1,$D670&gt;31),"نامعتبر",RIGHT("0000"&amp;$B670,4)&amp;"/"&amp;RIGHT("00"&amp;$C670,2)&amp;"/"&amp;RIGHT("00"&amp;$D670,2)))</f>
        <v/>
      </c>
      <c r="F670">
        <f>IF(OR($E670="",$E670="نامعتبر"),"",LEFT($E670,4)&amp;"/"&amp;MID($E670,6,2))</f>
        <v/>
      </c>
      <c r="G670">
        <f>IF(OR($E670="",$E670="نامعتبر",Sync!$X666=""),"",IF(AND(LEFT(UPPER(TRIM(Sync!$X666)),2)="SL",IFERROR(VLOOKUP(Sync!$W666,OpTbl,3,0),"")="فروش"),UPPER(TRIM(Sync!$X666)),""))</f>
        <v/>
      </c>
      <c r="H670">
        <f>IF($G670="","",IF(Sync!$W666="","",Sync!$W666))</f>
        <v/>
      </c>
      <c r="I670">
        <f>IF(OR($G670="",Sync!$Y666=""),"",Sync!$Y666)</f>
        <v/>
      </c>
      <c r="J670">
        <f>IF(OR($G670="",Sync!$Z666=""),"",Sync!$Z666)</f>
        <v/>
      </c>
      <c r="K670">
        <f>IF($G670="",0,IF(Sync!$AA666="",0,Sync!$AA666))</f>
        <v/>
      </c>
      <c r="L670">
        <f>IF($G670="",0,IF(Sync!$AB666="",0,Sync!$AB666))</f>
        <v/>
      </c>
      <c r="M670">
        <f>IF($G670="","",IF($H670="مرجوعی فروش",-1,1)*($K670-$L670*IFERROR(VLOOKUP("P01",ParamTbl,3,0),1.5)))</f>
        <v/>
      </c>
      <c r="N670">
        <f>IF($G670="",0,IF($H670="مرجوعی فروش",-1,1)*IF(Sync!$AC666="",0,Sync!$AC666))</f>
        <v/>
      </c>
      <c r="O670">
        <f>IF(OR($G670="",Sync!$V666=""),"",Sync!$V666)</f>
        <v/>
      </c>
      <c r="P670">
        <f>IF(OR($G670="",Sync!$AD666=""),"",Sync!$AD666)</f>
        <v/>
      </c>
      <c r="Q670">
        <f>IF($G670="","",IF(Sync!$U666="","0000",IF(AND(ISNUMBER(Sync!$U666),Sync!$U666&gt;=0,Sync!$U666&lt;1),RIGHT("00"&amp;HOUR(Sync!$U666),2)&amp;RIGHT("00"&amp;MINUTE(Sync!$U666),2),IFERROR(RIGHT("00"&amp;VALUE(LEFT(Sync!$U666,FIND(":",Sync!$U666)-1)),2)&amp;RIGHT("00"&amp;VALUE(MID(Sync!$U666,FIND(":",Sync!$U666)+1,2)),2),"0000"))))</f>
        <v/>
      </c>
    </row>
    <row r="671">
      <c r="A671">
        <f>IF(Sync!$T667="","",Sync!$T667)</f>
        <v/>
      </c>
      <c r="B671">
        <f>IF($A671="","",IF(ISNUMBER($A671),IF(AND($A671&gt;=10000101,$A671&lt;=99991231),INT($A671/10000),""),IFERROR(VALUE(TRIM(LEFT($A671,FIND("/",$A671)-1))),"")))</f>
        <v/>
      </c>
      <c r="C671">
        <f>IF(OR($A671="",$B671=""),"",IF(ISNUMBER($A671),INT(MOD($A671,10000)/100),IFERROR(VALUE(TRIM(LEFT(MID($A671,FIND("/",$A671)+1,20),FIND("/",MID($A671,FIND("/",$A671)+1,20))-1))),"")))</f>
        <v/>
      </c>
      <c r="D671">
        <f>IF(OR($A671="",$B671=""),"",IF(ISNUMBER($A671),MOD($A671,100),IFERROR(VALUE(TRIM(MID(MID($A671,FIND("/",$A671)+1,20),FIND("/",MID($A671,FIND("/",$A671)+1,20))+1,20))),"")))</f>
        <v/>
      </c>
      <c r="E671">
        <f>IF($A671="","",IF(OR($B671="",$C671="",$D671="",$B671&lt;1300,$B671&gt;1500,$C671&lt;1,$C671&gt;12,$D671&lt;1,$D671&gt;31),"نامعتبر",RIGHT("0000"&amp;$B671,4)&amp;"/"&amp;RIGHT("00"&amp;$C671,2)&amp;"/"&amp;RIGHT("00"&amp;$D671,2)))</f>
        <v/>
      </c>
      <c r="F671">
        <f>IF(OR($E671="",$E671="نامعتبر"),"",LEFT($E671,4)&amp;"/"&amp;MID($E671,6,2))</f>
        <v/>
      </c>
      <c r="G671">
        <f>IF(OR($E671="",$E671="نامعتبر",Sync!$X667=""),"",IF(AND(LEFT(UPPER(TRIM(Sync!$X667)),2)="SL",IFERROR(VLOOKUP(Sync!$W667,OpTbl,3,0),"")="فروش"),UPPER(TRIM(Sync!$X667)),""))</f>
        <v/>
      </c>
      <c r="H671">
        <f>IF($G671="","",IF(Sync!$W667="","",Sync!$W667))</f>
        <v/>
      </c>
      <c r="I671">
        <f>IF(OR($G671="",Sync!$Y667=""),"",Sync!$Y667)</f>
        <v/>
      </c>
      <c r="J671">
        <f>IF(OR($G671="",Sync!$Z667=""),"",Sync!$Z667)</f>
        <v/>
      </c>
      <c r="K671">
        <f>IF($G671="",0,IF(Sync!$AA667="",0,Sync!$AA667))</f>
        <v/>
      </c>
      <c r="L671">
        <f>IF($G671="",0,IF(Sync!$AB667="",0,Sync!$AB667))</f>
        <v/>
      </c>
      <c r="M671">
        <f>IF($G671="","",IF($H671="مرجوعی فروش",-1,1)*($K671-$L671*IFERROR(VLOOKUP("P01",ParamTbl,3,0),1.5)))</f>
        <v/>
      </c>
      <c r="N671">
        <f>IF($G671="",0,IF($H671="مرجوعی فروش",-1,1)*IF(Sync!$AC667="",0,Sync!$AC667))</f>
        <v/>
      </c>
      <c r="O671">
        <f>IF(OR($G671="",Sync!$V667=""),"",Sync!$V667)</f>
        <v/>
      </c>
      <c r="P671">
        <f>IF(OR($G671="",Sync!$AD667=""),"",Sync!$AD667)</f>
        <v/>
      </c>
      <c r="Q671">
        <f>IF($G671="","",IF(Sync!$U667="","0000",IF(AND(ISNUMBER(Sync!$U667),Sync!$U667&gt;=0,Sync!$U667&lt;1),RIGHT("00"&amp;HOUR(Sync!$U667),2)&amp;RIGHT("00"&amp;MINUTE(Sync!$U667),2),IFERROR(RIGHT("00"&amp;VALUE(LEFT(Sync!$U667,FIND(":",Sync!$U667)-1)),2)&amp;RIGHT("00"&amp;VALUE(MID(Sync!$U667,FIND(":",Sync!$U667)+1,2)),2),"0000"))))</f>
        <v/>
      </c>
    </row>
    <row r="672">
      <c r="A672">
        <f>IF(Sync!$T668="","",Sync!$T668)</f>
        <v/>
      </c>
      <c r="B672">
        <f>IF($A672="","",IF(ISNUMBER($A672),IF(AND($A672&gt;=10000101,$A672&lt;=99991231),INT($A672/10000),""),IFERROR(VALUE(TRIM(LEFT($A672,FIND("/",$A672)-1))),"")))</f>
        <v/>
      </c>
      <c r="C672">
        <f>IF(OR($A672="",$B672=""),"",IF(ISNUMBER($A672),INT(MOD($A672,10000)/100),IFERROR(VALUE(TRIM(LEFT(MID($A672,FIND("/",$A672)+1,20),FIND("/",MID($A672,FIND("/",$A672)+1,20))-1))),"")))</f>
        <v/>
      </c>
      <c r="D672">
        <f>IF(OR($A672="",$B672=""),"",IF(ISNUMBER($A672),MOD($A672,100),IFERROR(VALUE(TRIM(MID(MID($A672,FIND("/",$A672)+1,20),FIND("/",MID($A672,FIND("/",$A672)+1,20))+1,20))),"")))</f>
        <v/>
      </c>
      <c r="E672">
        <f>IF($A672="","",IF(OR($B672="",$C672="",$D672="",$B672&lt;1300,$B672&gt;1500,$C672&lt;1,$C672&gt;12,$D672&lt;1,$D672&gt;31),"نامعتبر",RIGHT("0000"&amp;$B672,4)&amp;"/"&amp;RIGHT("00"&amp;$C672,2)&amp;"/"&amp;RIGHT("00"&amp;$D672,2)))</f>
        <v/>
      </c>
      <c r="F672">
        <f>IF(OR($E672="",$E672="نامعتبر"),"",LEFT($E672,4)&amp;"/"&amp;MID($E672,6,2))</f>
        <v/>
      </c>
      <c r="G672">
        <f>IF(OR($E672="",$E672="نامعتبر",Sync!$X668=""),"",IF(AND(LEFT(UPPER(TRIM(Sync!$X668)),2)="SL",IFERROR(VLOOKUP(Sync!$W668,OpTbl,3,0),"")="فروش"),UPPER(TRIM(Sync!$X668)),""))</f>
        <v/>
      </c>
      <c r="H672">
        <f>IF($G672="","",IF(Sync!$W668="","",Sync!$W668))</f>
        <v/>
      </c>
      <c r="I672">
        <f>IF(OR($G672="",Sync!$Y668=""),"",Sync!$Y668)</f>
        <v/>
      </c>
      <c r="J672">
        <f>IF(OR($G672="",Sync!$Z668=""),"",Sync!$Z668)</f>
        <v/>
      </c>
      <c r="K672">
        <f>IF($G672="",0,IF(Sync!$AA668="",0,Sync!$AA668))</f>
        <v/>
      </c>
      <c r="L672">
        <f>IF($G672="",0,IF(Sync!$AB668="",0,Sync!$AB668))</f>
        <v/>
      </c>
      <c r="M672">
        <f>IF($G672="","",IF($H672="مرجوعی فروش",-1,1)*($K672-$L672*IFERROR(VLOOKUP("P01",ParamTbl,3,0),1.5)))</f>
        <v/>
      </c>
      <c r="N672">
        <f>IF($G672="",0,IF($H672="مرجوعی فروش",-1,1)*IF(Sync!$AC668="",0,Sync!$AC668))</f>
        <v/>
      </c>
      <c r="O672">
        <f>IF(OR($G672="",Sync!$V668=""),"",Sync!$V668)</f>
        <v/>
      </c>
      <c r="P672">
        <f>IF(OR($G672="",Sync!$AD668=""),"",Sync!$AD668)</f>
        <v/>
      </c>
      <c r="Q672">
        <f>IF($G672="","",IF(Sync!$U668="","0000",IF(AND(ISNUMBER(Sync!$U668),Sync!$U668&gt;=0,Sync!$U668&lt;1),RIGHT("00"&amp;HOUR(Sync!$U668),2)&amp;RIGHT("00"&amp;MINUTE(Sync!$U668),2),IFERROR(RIGHT("00"&amp;VALUE(LEFT(Sync!$U668,FIND(":",Sync!$U668)-1)),2)&amp;RIGHT("00"&amp;VALUE(MID(Sync!$U668,FIND(":",Sync!$U668)+1,2)),2),"0000"))))</f>
        <v/>
      </c>
    </row>
    <row r="673">
      <c r="A673">
        <f>IF(Sync!$T669="","",Sync!$T669)</f>
        <v/>
      </c>
      <c r="B673">
        <f>IF($A673="","",IF(ISNUMBER($A673),IF(AND($A673&gt;=10000101,$A673&lt;=99991231),INT($A673/10000),""),IFERROR(VALUE(TRIM(LEFT($A673,FIND("/",$A673)-1))),"")))</f>
        <v/>
      </c>
      <c r="C673">
        <f>IF(OR($A673="",$B673=""),"",IF(ISNUMBER($A673),INT(MOD($A673,10000)/100),IFERROR(VALUE(TRIM(LEFT(MID($A673,FIND("/",$A673)+1,20),FIND("/",MID($A673,FIND("/",$A673)+1,20))-1))),"")))</f>
        <v/>
      </c>
      <c r="D673">
        <f>IF(OR($A673="",$B673=""),"",IF(ISNUMBER($A673),MOD($A673,100),IFERROR(VALUE(TRIM(MID(MID($A673,FIND("/",$A673)+1,20),FIND("/",MID($A673,FIND("/",$A673)+1,20))+1,20))),"")))</f>
        <v/>
      </c>
      <c r="E673">
        <f>IF($A673="","",IF(OR($B673="",$C673="",$D673="",$B673&lt;1300,$B673&gt;1500,$C673&lt;1,$C673&gt;12,$D673&lt;1,$D673&gt;31),"نامعتبر",RIGHT("0000"&amp;$B673,4)&amp;"/"&amp;RIGHT("00"&amp;$C673,2)&amp;"/"&amp;RIGHT("00"&amp;$D673,2)))</f>
        <v/>
      </c>
      <c r="F673">
        <f>IF(OR($E673="",$E673="نامعتبر"),"",LEFT($E673,4)&amp;"/"&amp;MID($E673,6,2))</f>
        <v/>
      </c>
      <c r="G673">
        <f>IF(OR($E673="",$E673="نامعتبر",Sync!$X669=""),"",IF(AND(LEFT(UPPER(TRIM(Sync!$X669)),2)="SL",IFERROR(VLOOKUP(Sync!$W669,OpTbl,3,0),"")="فروش"),UPPER(TRIM(Sync!$X669)),""))</f>
        <v/>
      </c>
      <c r="H673">
        <f>IF($G673="","",IF(Sync!$W669="","",Sync!$W669))</f>
        <v/>
      </c>
      <c r="I673">
        <f>IF(OR($G673="",Sync!$Y669=""),"",Sync!$Y669)</f>
        <v/>
      </c>
      <c r="J673">
        <f>IF(OR($G673="",Sync!$Z669=""),"",Sync!$Z669)</f>
        <v/>
      </c>
      <c r="K673">
        <f>IF($G673="",0,IF(Sync!$AA669="",0,Sync!$AA669))</f>
        <v/>
      </c>
      <c r="L673">
        <f>IF($G673="",0,IF(Sync!$AB669="",0,Sync!$AB669))</f>
        <v/>
      </c>
      <c r="M673">
        <f>IF($G673="","",IF($H673="مرجوعی فروش",-1,1)*($K673-$L673*IFERROR(VLOOKUP("P01",ParamTbl,3,0),1.5)))</f>
        <v/>
      </c>
      <c r="N673">
        <f>IF($G673="",0,IF($H673="مرجوعی فروش",-1,1)*IF(Sync!$AC669="",0,Sync!$AC669))</f>
        <v/>
      </c>
      <c r="O673">
        <f>IF(OR($G673="",Sync!$V669=""),"",Sync!$V669)</f>
        <v/>
      </c>
      <c r="P673">
        <f>IF(OR($G673="",Sync!$AD669=""),"",Sync!$AD669)</f>
        <v/>
      </c>
      <c r="Q673">
        <f>IF($G673="","",IF(Sync!$U669="","0000",IF(AND(ISNUMBER(Sync!$U669),Sync!$U669&gt;=0,Sync!$U669&lt;1),RIGHT("00"&amp;HOUR(Sync!$U669),2)&amp;RIGHT("00"&amp;MINUTE(Sync!$U669),2),IFERROR(RIGHT("00"&amp;VALUE(LEFT(Sync!$U669,FIND(":",Sync!$U669)-1)),2)&amp;RIGHT("00"&amp;VALUE(MID(Sync!$U669,FIND(":",Sync!$U669)+1,2)),2),"0000"))))</f>
        <v/>
      </c>
    </row>
    <row r="674">
      <c r="A674">
        <f>IF(Sync!$T670="","",Sync!$T670)</f>
        <v/>
      </c>
      <c r="B674">
        <f>IF($A674="","",IF(ISNUMBER($A674),IF(AND($A674&gt;=10000101,$A674&lt;=99991231),INT($A674/10000),""),IFERROR(VALUE(TRIM(LEFT($A674,FIND("/",$A674)-1))),"")))</f>
        <v/>
      </c>
      <c r="C674">
        <f>IF(OR($A674="",$B674=""),"",IF(ISNUMBER($A674),INT(MOD($A674,10000)/100),IFERROR(VALUE(TRIM(LEFT(MID($A674,FIND("/",$A674)+1,20),FIND("/",MID($A674,FIND("/",$A674)+1,20))-1))),"")))</f>
        <v/>
      </c>
      <c r="D674">
        <f>IF(OR($A674="",$B674=""),"",IF(ISNUMBER($A674),MOD($A674,100),IFERROR(VALUE(TRIM(MID(MID($A674,FIND("/",$A674)+1,20),FIND("/",MID($A674,FIND("/",$A674)+1,20))+1,20))),"")))</f>
        <v/>
      </c>
      <c r="E674">
        <f>IF($A674="","",IF(OR($B674="",$C674="",$D674="",$B674&lt;1300,$B674&gt;1500,$C674&lt;1,$C674&gt;12,$D674&lt;1,$D674&gt;31),"نامعتبر",RIGHT("0000"&amp;$B674,4)&amp;"/"&amp;RIGHT("00"&amp;$C674,2)&amp;"/"&amp;RIGHT("00"&amp;$D674,2)))</f>
        <v/>
      </c>
      <c r="F674">
        <f>IF(OR($E674="",$E674="نامعتبر"),"",LEFT($E674,4)&amp;"/"&amp;MID($E674,6,2))</f>
        <v/>
      </c>
      <c r="G674">
        <f>IF(OR($E674="",$E674="نامعتبر",Sync!$X670=""),"",IF(AND(LEFT(UPPER(TRIM(Sync!$X670)),2)="SL",IFERROR(VLOOKUP(Sync!$W670,OpTbl,3,0),"")="فروش"),UPPER(TRIM(Sync!$X670)),""))</f>
        <v/>
      </c>
      <c r="H674">
        <f>IF($G674="","",IF(Sync!$W670="","",Sync!$W670))</f>
        <v/>
      </c>
      <c r="I674">
        <f>IF(OR($G674="",Sync!$Y670=""),"",Sync!$Y670)</f>
        <v/>
      </c>
      <c r="J674">
        <f>IF(OR($G674="",Sync!$Z670=""),"",Sync!$Z670)</f>
        <v/>
      </c>
      <c r="K674">
        <f>IF($G674="",0,IF(Sync!$AA670="",0,Sync!$AA670))</f>
        <v/>
      </c>
      <c r="L674">
        <f>IF($G674="",0,IF(Sync!$AB670="",0,Sync!$AB670))</f>
        <v/>
      </c>
      <c r="M674">
        <f>IF($G674="","",IF($H674="مرجوعی فروش",-1,1)*($K674-$L674*IFERROR(VLOOKUP("P01",ParamTbl,3,0),1.5)))</f>
        <v/>
      </c>
      <c r="N674">
        <f>IF($G674="",0,IF($H674="مرجوعی فروش",-1,1)*IF(Sync!$AC670="",0,Sync!$AC670))</f>
        <v/>
      </c>
      <c r="O674">
        <f>IF(OR($G674="",Sync!$V670=""),"",Sync!$V670)</f>
        <v/>
      </c>
      <c r="P674">
        <f>IF(OR($G674="",Sync!$AD670=""),"",Sync!$AD670)</f>
        <v/>
      </c>
      <c r="Q674">
        <f>IF($G674="","",IF(Sync!$U670="","0000",IF(AND(ISNUMBER(Sync!$U670),Sync!$U670&gt;=0,Sync!$U670&lt;1),RIGHT("00"&amp;HOUR(Sync!$U670),2)&amp;RIGHT("00"&amp;MINUTE(Sync!$U670),2),IFERROR(RIGHT("00"&amp;VALUE(LEFT(Sync!$U670,FIND(":",Sync!$U670)-1)),2)&amp;RIGHT("00"&amp;VALUE(MID(Sync!$U670,FIND(":",Sync!$U670)+1,2)),2),"0000"))))</f>
        <v/>
      </c>
    </row>
    <row r="675">
      <c r="A675">
        <f>IF(Sync!$T671="","",Sync!$T671)</f>
        <v/>
      </c>
      <c r="B675">
        <f>IF($A675="","",IF(ISNUMBER($A675),IF(AND($A675&gt;=10000101,$A675&lt;=99991231),INT($A675/10000),""),IFERROR(VALUE(TRIM(LEFT($A675,FIND("/",$A675)-1))),"")))</f>
        <v/>
      </c>
      <c r="C675">
        <f>IF(OR($A675="",$B675=""),"",IF(ISNUMBER($A675),INT(MOD($A675,10000)/100),IFERROR(VALUE(TRIM(LEFT(MID($A675,FIND("/",$A675)+1,20),FIND("/",MID($A675,FIND("/",$A675)+1,20))-1))),"")))</f>
        <v/>
      </c>
      <c r="D675">
        <f>IF(OR($A675="",$B675=""),"",IF(ISNUMBER($A675),MOD($A675,100),IFERROR(VALUE(TRIM(MID(MID($A675,FIND("/",$A675)+1,20),FIND("/",MID($A675,FIND("/",$A675)+1,20))+1,20))),"")))</f>
        <v/>
      </c>
      <c r="E675">
        <f>IF($A675="","",IF(OR($B675="",$C675="",$D675="",$B675&lt;1300,$B675&gt;1500,$C675&lt;1,$C675&gt;12,$D675&lt;1,$D675&gt;31),"نامعتبر",RIGHT("0000"&amp;$B675,4)&amp;"/"&amp;RIGHT("00"&amp;$C675,2)&amp;"/"&amp;RIGHT("00"&amp;$D675,2)))</f>
        <v/>
      </c>
      <c r="F675">
        <f>IF(OR($E675="",$E675="نامعتبر"),"",LEFT($E675,4)&amp;"/"&amp;MID($E675,6,2))</f>
        <v/>
      </c>
      <c r="G675">
        <f>IF(OR($E675="",$E675="نامعتبر",Sync!$X671=""),"",IF(AND(LEFT(UPPER(TRIM(Sync!$X671)),2)="SL",IFERROR(VLOOKUP(Sync!$W671,OpTbl,3,0),"")="فروش"),UPPER(TRIM(Sync!$X671)),""))</f>
        <v/>
      </c>
      <c r="H675">
        <f>IF($G675="","",IF(Sync!$W671="","",Sync!$W671))</f>
        <v/>
      </c>
      <c r="I675">
        <f>IF(OR($G675="",Sync!$Y671=""),"",Sync!$Y671)</f>
        <v/>
      </c>
      <c r="J675">
        <f>IF(OR($G675="",Sync!$Z671=""),"",Sync!$Z671)</f>
        <v/>
      </c>
      <c r="K675">
        <f>IF($G675="",0,IF(Sync!$AA671="",0,Sync!$AA671))</f>
        <v/>
      </c>
      <c r="L675">
        <f>IF($G675="",0,IF(Sync!$AB671="",0,Sync!$AB671))</f>
        <v/>
      </c>
      <c r="M675">
        <f>IF($G675="","",IF($H675="مرجوعی فروش",-1,1)*($K675-$L675*IFERROR(VLOOKUP("P01",ParamTbl,3,0),1.5)))</f>
        <v/>
      </c>
      <c r="N675">
        <f>IF($G675="",0,IF($H675="مرجوعی فروش",-1,1)*IF(Sync!$AC671="",0,Sync!$AC671))</f>
        <v/>
      </c>
      <c r="O675">
        <f>IF(OR($G675="",Sync!$V671=""),"",Sync!$V671)</f>
        <v/>
      </c>
      <c r="P675">
        <f>IF(OR($G675="",Sync!$AD671=""),"",Sync!$AD671)</f>
        <v/>
      </c>
      <c r="Q675">
        <f>IF($G675="","",IF(Sync!$U671="","0000",IF(AND(ISNUMBER(Sync!$U671),Sync!$U671&gt;=0,Sync!$U671&lt;1),RIGHT("00"&amp;HOUR(Sync!$U671),2)&amp;RIGHT("00"&amp;MINUTE(Sync!$U671),2),IFERROR(RIGHT("00"&amp;VALUE(LEFT(Sync!$U671,FIND(":",Sync!$U671)-1)),2)&amp;RIGHT("00"&amp;VALUE(MID(Sync!$U671,FIND(":",Sync!$U671)+1,2)),2),"0000"))))</f>
        <v/>
      </c>
    </row>
    <row r="676">
      <c r="A676">
        <f>IF(Sync!$T672="","",Sync!$T672)</f>
        <v/>
      </c>
      <c r="B676">
        <f>IF($A676="","",IF(ISNUMBER($A676),IF(AND($A676&gt;=10000101,$A676&lt;=99991231),INT($A676/10000),""),IFERROR(VALUE(TRIM(LEFT($A676,FIND("/",$A676)-1))),"")))</f>
        <v/>
      </c>
      <c r="C676">
        <f>IF(OR($A676="",$B676=""),"",IF(ISNUMBER($A676),INT(MOD($A676,10000)/100),IFERROR(VALUE(TRIM(LEFT(MID($A676,FIND("/",$A676)+1,20),FIND("/",MID($A676,FIND("/",$A676)+1,20))-1))),"")))</f>
        <v/>
      </c>
      <c r="D676">
        <f>IF(OR($A676="",$B676=""),"",IF(ISNUMBER($A676),MOD($A676,100),IFERROR(VALUE(TRIM(MID(MID($A676,FIND("/",$A676)+1,20),FIND("/",MID($A676,FIND("/",$A676)+1,20))+1,20))),"")))</f>
        <v/>
      </c>
      <c r="E676">
        <f>IF($A676="","",IF(OR($B676="",$C676="",$D676="",$B676&lt;1300,$B676&gt;1500,$C676&lt;1,$C676&gt;12,$D676&lt;1,$D676&gt;31),"نامعتبر",RIGHT("0000"&amp;$B676,4)&amp;"/"&amp;RIGHT("00"&amp;$C676,2)&amp;"/"&amp;RIGHT("00"&amp;$D676,2)))</f>
        <v/>
      </c>
      <c r="F676">
        <f>IF(OR($E676="",$E676="نامعتبر"),"",LEFT($E676,4)&amp;"/"&amp;MID($E676,6,2))</f>
        <v/>
      </c>
      <c r="G676">
        <f>IF(OR($E676="",$E676="نامعتبر",Sync!$X672=""),"",IF(AND(LEFT(UPPER(TRIM(Sync!$X672)),2)="SL",IFERROR(VLOOKUP(Sync!$W672,OpTbl,3,0),"")="فروش"),UPPER(TRIM(Sync!$X672)),""))</f>
        <v/>
      </c>
      <c r="H676">
        <f>IF($G676="","",IF(Sync!$W672="","",Sync!$W672))</f>
        <v/>
      </c>
      <c r="I676">
        <f>IF(OR($G676="",Sync!$Y672=""),"",Sync!$Y672)</f>
        <v/>
      </c>
      <c r="J676">
        <f>IF(OR($G676="",Sync!$Z672=""),"",Sync!$Z672)</f>
        <v/>
      </c>
      <c r="K676">
        <f>IF($G676="",0,IF(Sync!$AA672="",0,Sync!$AA672))</f>
        <v/>
      </c>
      <c r="L676">
        <f>IF($G676="",0,IF(Sync!$AB672="",0,Sync!$AB672))</f>
        <v/>
      </c>
      <c r="M676">
        <f>IF($G676="","",IF($H676="مرجوعی فروش",-1,1)*($K676-$L676*IFERROR(VLOOKUP("P01",ParamTbl,3,0),1.5)))</f>
        <v/>
      </c>
      <c r="N676">
        <f>IF($G676="",0,IF($H676="مرجوعی فروش",-1,1)*IF(Sync!$AC672="",0,Sync!$AC672))</f>
        <v/>
      </c>
      <c r="O676">
        <f>IF(OR($G676="",Sync!$V672=""),"",Sync!$V672)</f>
        <v/>
      </c>
      <c r="P676">
        <f>IF(OR($G676="",Sync!$AD672=""),"",Sync!$AD672)</f>
        <v/>
      </c>
      <c r="Q676">
        <f>IF($G676="","",IF(Sync!$U672="","0000",IF(AND(ISNUMBER(Sync!$U672),Sync!$U672&gt;=0,Sync!$U672&lt;1),RIGHT("00"&amp;HOUR(Sync!$U672),2)&amp;RIGHT("00"&amp;MINUTE(Sync!$U672),2),IFERROR(RIGHT("00"&amp;VALUE(LEFT(Sync!$U672,FIND(":",Sync!$U672)-1)),2)&amp;RIGHT("00"&amp;VALUE(MID(Sync!$U672,FIND(":",Sync!$U672)+1,2)),2),"0000"))))</f>
        <v/>
      </c>
    </row>
    <row r="677">
      <c r="A677">
        <f>IF(Sync!$T673="","",Sync!$T673)</f>
        <v/>
      </c>
      <c r="B677">
        <f>IF($A677="","",IF(ISNUMBER($A677),IF(AND($A677&gt;=10000101,$A677&lt;=99991231),INT($A677/10000),""),IFERROR(VALUE(TRIM(LEFT($A677,FIND("/",$A677)-1))),"")))</f>
        <v/>
      </c>
      <c r="C677">
        <f>IF(OR($A677="",$B677=""),"",IF(ISNUMBER($A677),INT(MOD($A677,10000)/100),IFERROR(VALUE(TRIM(LEFT(MID($A677,FIND("/",$A677)+1,20),FIND("/",MID($A677,FIND("/",$A677)+1,20))-1))),"")))</f>
        <v/>
      </c>
      <c r="D677">
        <f>IF(OR($A677="",$B677=""),"",IF(ISNUMBER($A677),MOD($A677,100),IFERROR(VALUE(TRIM(MID(MID($A677,FIND("/",$A677)+1,20),FIND("/",MID($A677,FIND("/",$A677)+1,20))+1,20))),"")))</f>
        <v/>
      </c>
      <c r="E677">
        <f>IF($A677="","",IF(OR($B677="",$C677="",$D677="",$B677&lt;1300,$B677&gt;1500,$C677&lt;1,$C677&gt;12,$D677&lt;1,$D677&gt;31),"نامعتبر",RIGHT("0000"&amp;$B677,4)&amp;"/"&amp;RIGHT("00"&amp;$C677,2)&amp;"/"&amp;RIGHT("00"&amp;$D677,2)))</f>
        <v/>
      </c>
      <c r="F677">
        <f>IF(OR($E677="",$E677="نامعتبر"),"",LEFT($E677,4)&amp;"/"&amp;MID($E677,6,2))</f>
        <v/>
      </c>
      <c r="G677">
        <f>IF(OR($E677="",$E677="نامعتبر",Sync!$X673=""),"",IF(AND(LEFT(UPPER(TRIM(Sync!$X673)),2)="SL",IFERROR(VLOOKUP(Sync!$W673,OpTbl,3,0),"")="فروش"),UPPER(TRIM(Sync!$X673)),""))</f>
        <v/>
      </c>
      <c r="H677">
        <f>IF($G677="","",IF(Sync!$W673="","",Sync!$W673))</f>
        <v/>
      </c>
      <c r="I677">
        <f>IF(OR($G677="",Sync!$Y673=""),"",Sync!$Y673)</f>
        <v/>
      </c>
      <c r="J677">
        <f>IF(OR($G677="",Sync!$Z673=""),"",Sync!$Z673)</f>
        <v/>
      </c>
      <c r="K677">
        <f>IF($G677="",0,IF(Sync!$AA673="",0,Sync!$AA673))</f>
        <v/>
      </c>
      <c r="L677">
        <f>IF($G677="",0,IF(Sync!$AB673="",0,Sync!$AB673))</f>
        <v/>
      </c>
      <c r="M677">
        <f>IF($G677="","",IF($H677="مرجوعی فروش",-1,1)*($K677-$L677*IFERROR(VLOOKUP("P01",ParamTbl,3,0),1.5)))</f>
        <v/>
      </c>
      <c r="N677">
        <f>IF($G677="",0,IF($H677="مرجوعی فروش",-1,1)*IF(Sync!$AC673="",0,Sync!$AC673))</f>
        <v/>
      </c>
      <c r="O677">
        <f>IF(OR($G677="",Sync!$V673=""),"",Sync!$V673)</f>
        <v/>
      </c>
      <c r="P677">
        <f>IF(OR($G677="",Sync!$AD673=""),"",Sync!$AD673)</f>
        <v/>
      </c>
      <c r="Q677">
        <f>IF($G677="","",IF(Sync!$U673="","0000",IF(AND(ISNUMBER(Sync!$U673),Sync!$U673&gt;=0,Sync!$U673&lt;1),RIGHT("00"&amp;HOUR(Sync!$U673),2)&amp;RIGHT("00"&amp;MINUTE(Sync!$U673),2),IFERROR(RIGHT("00"&amp;VALUE(LEFT(Sync!$U673,FIND(":",Sync!$U673)-1)),2)&amp;RIGHT("00"&amp;VALUE(MID(Sync!$U673,FIND(":",Sync!$U673)+1,2)),2),"0000"))))</f>
        <v/>
      </c>
    </row>
    <row r="678">
      <c r="A678">
        <f>IF(Sync!$T674="","",Sync!$T674)</f>
        <v/>
      </c>
      <c r="B678">
        <f>IF($A678="","",IF(ISNUMBER($A678),IF(AND($A678&gt;=10000101,$A678&lt;=99991231),INT($A678/10000),""),IFERROR(VALUE(TRIM(LEFT($A678,FIND("/",$A678)-1))),"")))</f>
        <v/>
      </c>
      <c r="C678">
        <f>IF(OR($A678="",$B678=""),"",IF(ISNUMBER($A678),INT(MOD($A678,10000)/100),IFERROR(VALUE(TRIM(LEFT(MID($A678,FIND("/",$A678)+1,20),FIND("/",MID($A678,FIND("/",$A678)+1,20))-1))),"")))</f>
        <v/>
      </c>
      <c r="D678">
        <f>IF(OR($A678="",$B678=""),"",IF(ISNUMBER($A678),MOD($A678,100),IFERROR(VALUE(TRIM(MID(MID($A678,FIND("/",$A678)+1,20),FIND("/",MID($A678,FIND("/",$A678)+1,20))+1,20))),"")))</f>
        <v/>
      </c>
      <c r="E678">
        <f>IF($A678="","",IF(OR($B678="",$C678="",$D678="",$B678&lt;1300,$B678&gt;1500,$C678&lt;1,$C678&gt;12,$D678&lt;1,$D678&gt;31),"نامعتبر",RIGHT("0000"&amp;$B678,4)&amp;"/"&amp;RIGHT("00"&amp;$C678,2)&amp;"/"&amp;RIGHT("00"&amp;$D678,2)))</f>
        <v/>
      </c>
      <c r="F678">
        <f>IF(OR($E678="",$E678="نامعتبر"),"",LEFT($E678,4)&amp;"/"&amp;MID($E678,6,2))</f>
        <v/>
      </c>
      <c r="G678">
        <f>IF(OR($E678="",$E678="نامعتبر",Sync!$X674=""),"",IF(AND(LEFT(UPPER(TRIM(Sync!$X674)),2)="SL",IFERROR(VLOOKUP(Sync!$W674,OpTbl,3,0),"")="فروش"),UPPER(TRIM(Sync!$X674)),""))</f>
        <v/>
      </c>
      <c r="H678">
        <f>IF($G678="","",IF(Sync!$W674="","",Sync!$W674))</f>
        <v/>
      </c>
      <c r="I678">
        <f>IF(OR($G678="",Sync!$Y674=""),"",Sync!$Y674)</f>
        <v/>
      </c>
      <c r="J678">
        <f>IF(OR($G678="",Sync!$Z674=""),"",Sync!$Z674)</f>
        <v/>
      </c>
      <c r="K678">
        <f>IF($G678="",0,IF(Sync!$AA674="",0,Sync!$AA674))</f>
        <v/>
      </c>
      <c r="L678">
        <f>IF($G678="",0,IF(Sync!$AB674="",0,Sync!$AB674))</f>
        <v/>
      </c>
      <c r="M678">
        <f>IF($G678="","",IF($H678="مرجوعی فروش",-1,1)*($K678-$L678*IFERROR(VLOOKUP("P01",ParamTbl,3,0),1.5)))</f>
        <v/>
      </c>
      <c r="N678">
        <f>IF($G678="",0,IF($H678="مرجوعی فروش",-1,1)*IF(Sync!$AC674="",0,Sync!$AC674))</f>
        <v/>
      </c>
      <c r="O678">
        <f>IF(OR($G678="",Sync!$V674=""),"",Sync!$V674)</f>
        <v/>
      </c>
      <c r="P678">
        <f>IF(OR($G678="",Sync!$AD674=""),"",Sync!$AD674)</f>
        <v/>
      </c>
      <c r="Q678">
        <f>IF($G678="","",IF(Sync!$U674="","0000",IF(AND(ISNUMBER(Sync!$U674),Sync!$U674&gt;=0,Sync!$U674&lt;1),RIGHT("00"&amp;HOUR(Sync!$U674),2)&amp;RIGHT("00"&amp;MINUTE(Sync!$U674),2),IFERROR(RIGHT("00"&amp;VALUE(LEFT(Sync!$U674,FIND(":",Sync!$U674)-1)),2)&amp;RIGHT("00"&amp;VALUE(MID(Sync!$U674,FIND(":",Sync!$U674)+1,2)),2),"0000"))))</f>
        <v/>
      </c>
    </row>
    <row r="679">
      <c r="A679">
        <f>IF(Sync!$T675="","",Sync!$T675)</f>
        <v/>
      </c>
      <c r="B679">
        <f>IF($A679="","",IF(ISNUMBER($A679),IF(AND($A679&gt;=10000101,$A679&lt;=99991231),INT($A679/10000),""),IFERROR(VALUE(TRIM(LEFT($A679,FIND("/",$A679)-1))),"")))</f>
        <v/>
      </c>
      <c r="C679">
        <f>IF(OR($A679="",$B679=""),"",IF(ISNUMBER($A679),INT(MOD($A679,10000)/100),IFERROR(VALUE(TRIM(LEFT(MID($A679,FIND("/",$A679)+1,20),FIND("/",MID($A679,FIND("/",$A679)+1,20))-1))),"")))</f>
        <v/>
      </c>
      <c r="D679">
        <f>IF(OR($A679="",$B679=""),"",IF(ISNUMBER($A679),MOD($A679,100),IFERROR(VALUE(TRIM(MID(MID($A679,FIND("/",$A679)+1,20),FIND("/",MID($A679,FIND("/",$A679)+1,20))+1,20))),"")))</f>
        <v/>
      </c>
      <c r="E679">
        <f>IF($A679="","",IF(OR($B679="",$C679="",$D679="",$B679&lt;1300,$B679&gt;1500,$C679&lt;1,$C679&gt;12,$D679&lt;1,$D679&gt;31),"نامعتبر",RIGHT("0000"&amp;$B679,4)&amp;"/"&amp;RIGHT("00"&amp;$C679,2)&amp;"/"&amp;RIGHT("00"&amp;$D679,2)))</f>
        <v/>
      </c>
      <c r="F679">
        <f>IF(OR($E679="",$E679="نامعتبر"),"",LEFT($E679,4)&amp;"/"&amp;MID($E679,6,2))</f>
        <v/>
      </c>
      <c r="G679">
        <f>IF(OR($E679="",$E679="نامعتبر",Sync!$X675=""),"",IF(AND(LEFT(UPPER(TRIM(Sync!$X675)),2)="SL",IFERROR(VLOOKUP(Sync!$W675,OpTbl,3,0),"")="فروش"),UPPER(TRIM(Sync!$X675)),""))</f>
        <v/>
      </c>
      <c r="H679">
        <f>IF($G679="","",IF(Sync!$W675="","",Sync!$W675))</f>
        <v/>
      </c>
      <c r="I679">
        <f>IF(OR($G679="",Sync!$Y675=""),"",Sync!$Y675)</f>
        <v/>
      </c>
      <c r="J679">
        <f>IF(OR($G679="",Sync!$Z675=""),"",Sync!$Z675)</f>
        <v/>
      </c>
      <c r="K679">
        <f>IF($G679="",0,IF(Sync!$AA675="",0,Sync!$AA675))</f>
        <v/>
      </c>
      <c r="L679">
        <f>IF($G679="",0,IF(Sync!$AB675="",0,Sync!$AB675))</f>
        <v/>
      </c>
      <c r="M679">
        <f>IF($G679="","",IF($H679="مرجوعی فروش",-1,1)*($K679-$L679*IFERROR(VLOOKUP("P01",ParamTbl,3,0),1.5)))</f>
        <v/>
      </c>
      <c r="N679">
        <f>IF($G679="",0,IF($H679="مرجوعی فروش",-1,1)*IF(Sync!$AC675="",0,Sync!$AC675))</f>
        <v/>
      </c>
      <c r="O679">
        <f>IF(OR($G679="",Sync!$V675=""),"",Sync!$V675)</f>
        <v/>
      </c>
      <c r="P679">
        <f>IF(OR($G679="",Sync!$AD675=""),"",Sync!$AD675)</f>
        <v/>
      </c>
      <c r="Q679">
        <f>IF($G679="","",IF(Sync!$U675="","0000",IF(AND(ISNUMBER(Sync!$U675),Sync!$U675&gt;=0,Sync!$U675&lt;1),RIGHT("00"&amp;HOUR(Sync!$U675),2)&amp;RIGHT("00"&amp;MINUTE(Sync!$U675),2),IFERROR(RIGHT("00"&amp;VALUE(LEFT(Sync!$U675,FIND(":",Sync!$U675)-1)),2)&amp;RIGHT("00"&amp;VALUE(MID(Sync!$U675,FIND(":",Sync!$U675)+1,2)),2),"0000"))))</f>
        <v/>
      </c>
    </row>
    <row r="680">
      <c r="A680">
        <f>IF(Sync!$T676="","",Sync!$T676)</f>
        <v/>
      </c>
      <c r="B680">
        <f>IF($A680="","",IF(ISNUMBER($A680),IF(AND($A680&gt;=10000101,$A680&lt;=99991231),INT($A680/10000),""),IFERROR(VALUE(TRIM(LEFT($A680,FIND("/",$A680)-1))),"")))</f>
        <v/>
      </c>
      <c r="C680">
        <f>IF(OR($A680="",$B680=""),"",IF(ISNUMBER($A680),INT(MOD($A680,10000)/100),IFERROR(VALUE(TRIM(LEFT(MID($A680,FIND("/",$A680)+1,20),FIND("/",MID($A680,FIND("/",$A680)+1,20))-1))),"")))</f>
        <v/>
      </c>
      <c r="D680">
        <f>IF(OR($A680="",$B680=""),"",IF(ISNUMBER($A680),MOD($A680,100),IFERROR(VALUE(TRIM(MID(MID($A680,FIND("/",$A680)+1,20),FIND("/",MID($A680,FIND("/",$A680)+1,20))+1,20))),"")))</f>
        <v/>
      </c>
      <c r="E680">
        <f>IF($A680="","",IF(OR($B680="",$C680="",$D680="",$B680&lt;1300,$B680&gt;1500,$C680&lt;1,$C680&gt;12,$D680&lt;1,$D680&gt;31),"نامعتبر",RIGHT("0000"&amp;$B680,4)&amp;"/"&amp;RIGHT("00"&amp;$C680,2)&amp;"/"&amp;RIGHT("00"&amp;$D680,2)))</f>
        <v/>
      </c>
      <c r="F680">
        <f>IF(OR($E680="",$E680="نامعتبر"),"",LEFT($E680,4)&amp;"/"&amp;MID($E680,6,2))</f>
        <v/>
      </c>
      <c r="G680">
        <f>IF(OR($E680="",$E680="نامعتبر",Sync!$X676=""),"",IF(AND(LEFT(UPPER(TRIM(Sync!$X676)),2)="SL",IFERROR(VLOOKUP(Sync!$W676,OpTbl,3,0),"")="فروش"),UPPER(TRIM(Sync!$X676)),""))</f>
        <v/>
      </c>
      <c r="H680">
        <f>IF($G680="","",IF(Sync!$W676="","",Sync!$W676))</f>
        <v/>
      </c>
      <c r="I680">
        <f>IF(OR($G680="",Sync!$Y676=""),"",Sync!$Y676)</f>
        <v/>
      </c>
      <c r="J680">
        <f>IF(OR($G680="",Sync!$Z676=""),"",Sync!$Z676)</f>
        <v/>
      </c>
      <c r="K680">
        <f>IF($G680="",0,IF(Sync!$AA676="",0,Sync!$AA676))</f>
        <v/>
      </c>
      <c r="L680">
        <f>IF($G680="",0,IF(Sync!$AB676="",0,Sync!$AB676))</f>
        <v/>
      </c>
      <c r="M680">
        <f>IF($G680="","",IF($H680="مرجوعی فروش",-1,1)*($K680-$L680*IFERROR(VLOOKUP("P01",ParamTbl,3,0),1.5)))</f>
        <v/>
      </c>
      <c r="N680">
        <f>IF($G680="",0,IF($H680="مرجوعی فروش",-1,1)*IF(Sync!$AC676="",0,Sync!$AC676))</f>
        <v/>
      </c>
      <c r="O680">
        <f>IF(OR($G680="",Sync!$V676=""),"",Sync!$V676)</f>
        <v/>
      </c>
      <c r="P680">
        <f>IF(OR($G680="",Sync!$AD676=""),"",Sync!$AD676)</f>
        <v/>
      </c>
      <c r="Q680">
        <f>IF($G680="","",IF(Sync!$U676="","0000",IF(AND(ISNUMBER(Sync!$U676),Sync!$U676&gt;=0,Sync!$U676&lt;1),RIGHT("00"&amp;HOUR(Sync!$U676),2)&amp;RIGHT("00"&amp;MINUTE(Sync!$U676),2),IFERROR(RIGHT("00"&amp;VALUE(LEFT(Sync!$U676,FIND(":",Sync!$U676)-1)),2)&amp;RIGHT("00"&amp;VALUE(MID(Sync!$U676,FIND(":",Sync!$U676)+1,2)),2),"0000"))))</f>
        <v/>
      </c>
    </row>
    <row r="681">
      <c r="A681">
        <f>IF(Sync!$T677="","",Sync!$T677)</f>
        <v/>
      </c>
      <c r="B681">
        <f>IF($A681="","",IF(ISNUMBER($A681),IF(AND($A681&gt;=10000101,$A681&lt;=99991231),INT($A681/10000),""),IFERROR(VALUE(TRIM(LEFT($A681,FIND("/",$A681)-1))),"")))</f>
        <v/>
      </c>
      <c r="C681">
        <f>IF(OR($A681="",$B681=""),"",IF(ISNUMBER($A681),INT(MOD($A681,10000)/100),IFERROR(VALUE(TRIM(LEFT(MID($A681,FIND("/",$A681)+1,20),FIND("/",MID($A681,FIND("/",$A681)+1,20))-1))),"")))</f>
        <v/>
      </c>
      <c r="D681">
        <f>IF(OR($A681="",$B681=""),"",IF(ISNUMBER($A681),MOD($A681,100),IFERROR(VALUE(TRIM(MID(MID($A681,FIND("/",$A681)+1,20),FIND("/",MID($A681,FIND("/",$A681)+1,20))+1,20))),"")))</f>
        <v/>
      </c>
      <c r="E681">
        <f>IF($A681="","",IF(OR($B681="",$C681="",$D681="",$B681&lt;1300,$B681&gt;1500,$C681&lt;1,$C681&gt;12,$D681&lt;1,$D681&gt;31),"نامعتبر",RIGHT("0000"&amp;$B681,4)&amp;"/"&amp;RIGHT("00"&amp;$C681,2)&amp;"/"&amp;RIGHT("00"&amp;$D681,2)))</f>
        <v/>
      </c>
      <c r="F681">
        <f>IF(OR($E681="",$E681="نامعتبر"),"",LEFT($E681,4)&amp;"/"&amp;MID($E681,6,2))</f>
        <v/>
      </c>
      <c r="G681">
        <f>IF(OR($E681="",$E681="نامعتبر",Sync!$X677=""),"",IF(AND(LEFT(UPPER(TRIM(Sync!$X677)),2)="SL",IFERROR(VLOOKUP(Sync!$W677,OpTbl,3,0),"")="فروش"),UPPER(TRIM(Sync!$X677)),""))</f>
        <v/>
      </c>
      <c r="H681">
        <f>IF($G681="","",IF(Sync!$W677="","",Sync!$W677))</f>
        <v/>
      </c>
      <c r="I681">
        <f>IF(OR($G681="",Sync!$Y677=""),"",Sync!$Y677)</f>
        <v/>
      </c>
      <c r="J681">
        <f>IF(OR($G681="",Sync!$Z677=""),"",Sync!$Z677)</f>
        <v/>
      </c>
      <c r="K681">
        <f>IF($G681="",0,IF(Sync!$AA677="",0,Sync!$AA677))</f>
        <v/>
      </c>
      <c r="L681">
        <f>IF($G681="",0,IF(Sync!$AB677="",0,Sync!$AB677))</f>
        <v/>
      </c>
      <c r="M681">
        <f>IF($G681="","",IF($H681="مرجوعی فروش",-1,1)*($K681-$L681*IFERROR(VLOOKUP("P01",ParamTbl,3,0),1.5)))</f>
        <v/>
      </c>
      <c r="N681">
        <f>IF($G681="",0,IF($H681="مرجوعی فروش",-1,1)*IF(Sync!$AC677="",0,Sync!$AC677))</f>
        <v/>
      </c>
      <c r="O681">
        <f>IF(OR($G681="",Sync!$V677=""),"",Sync!$V677)</f>
        <v/>
      </c>
      <c r="P681">
        <f>IF(OR($G681="",Sync!$AD677=""),"",Sync!$AD677)</f>
        <v/>
      </c>
      <c r="Q681">
        <f>IF($G681="","",IF(Sync!$U677="","0000",IF(AND(ISNUMBER(Sync!$U677),Sync!$U677&gt;=0,Sync!$U677&lt;1),RIGHT("00"&amp;HOUR(Sync!$U677),2)&amp;RIGHT("00"&amp;MINUTE(Sync!$U677),2),IFERROR(RIGHT("00"&amp;VALUE(LEFT(Sync!$U677,FIND(":",Sync!$U677)-1)),2)&amp;RIGHT("00"&amp;VALUE(MID(Sync!$U677,FIND(":",Sync!$U677)+1,2)),2),"0000"))))</f>
        <v/>
      </c>
    </row>
    <row r="682">
      <c r="A682">
        <f>IF(Sync!$T678="","",Sync!$T678)</f>
        <v/>
      </c>
      <c r="B682">
        <f>IF($A682="","",IF(ISNUMBER($A682),IF(AND($A682&gt;=10000101,$A682&lt;=99991231),INT($A682/10000),""),IFERROR(VALUE(TRIM(LEFT($A682,FIND("/",$A682)-1))),"")))</f>
        <v/>
      </c>
      <c r="C682">
        <f>IF(OR($A682="",$B682=""),"",IF(ISNUMBER($A682),INT(MOD($A682,10000)/100),IFERROR(VALUE(TRIM(LEFT(MID($A682,FIND("/",$A682)+1,20),FIND("/",MID($A682,FIND("/",$A682)+1,20))-1))),"")))</f>
        <v/>
      </c>
      <c r="D682">
        <f>IF(OR($A682="",$B682=""),"",IF(ISNUMBER($A682),MOD($A682,100),IFERROR(VALUE(TRIM(MID(MID($A682,FIND("/",$A682)+1,20),FIND("/",MID($A682,FIND("/",$A682)+1,20))+1,20))),"")))</f>
        <v/>
      </c>
      <c r="E682">
        <f>IF($A682="","",IF(OR($B682="",$C682="",$D682="",$B682&lt;1300,$B682&gt;1500,$C682&lt;1,$C682&gt;12,$D682&lt;1,$D682&gt;31),"نامعتبر",RIGHT("0000"&amp;$B682,4)&amp;"/"&amp;RIGHT("00"&amp;$C682,2)&amp;"/"&amp;RIGHT("00"&amp;$D682,2)))</f>
        <v/>
      </c>
      <c r="F682">
        <f>IF(OR($E682="",$E682="نامعتبر"),"",LEFT($E682,4)&amp;"/"&amp;MID($E682,6,2))</f>
        <v/>
      </c>
      <c r="G682">
        <f>IF(OR($E682="",$E682="نامعتبر",Sync!$X678=""),"",IF(AND(LEFT(UPPER(TRIM(Sync!$X678)),2)="SL",IFERROR(VLOOKUP(Sync!$W678,OpTbl,3,0),"")="فروش"),UPPER(TRIM(Sync!$X678)),""))</f>
        <v/>
      </c>
      <c r="H682">
        <f>IF($G682="","",IF(Sync!$W678="","",Sync!$W678))</f>
        <v/>
      </c>
      <c r="I682">
        <f>IF(OR($G682="",Sync!$Y678=""),"",Sync!$Y678)</f>
        <v/>
      </c>
      <c r="J682">
        <f>IF(OR($G682="",Sync!$Z678=""),"",Sync!$Z678)</f>
        <v/>
      </c>
      <c r="K682">
        <f>IF($G682="",0,IF(Sync!$AA678="",0,Sync!$AA678))</f>
        <v/>
      </c>
      <c r="L682">
        <f>IF($G682="",0,IF(Sync!$AB678="",0,Sync!$AB678))</f>
        <v/>
      </c>
      <c r="M682">
        <f>IF($G682="","",IF($H682="مرجوعی فروش",-1,1)*($K682-$L682*IFERROR(VLOOKUP("P01",ParamTbl,3,0),1.5)))</f>
        <v/>
      </c>
      <c r="N682">
        <f>IF($G682="",0,IF($H682="مرجوعی فروش",-1,1)*IF(Sync!$AC678="",0,Sync!$AC678))</f>
        <v/>
      </c>
      <c r="O682">
        <f>IF(OR($G682="",Sync!$V678=""),"",Sync!$V678)</f>
        <v/>
      </c>
      <c r="P682">
        <f>IF(OR($G682="",Sync!$AD678=""),"",Sync!$AD678)</f>
        <v/>
      </c>
      <c r="Q682">
        <f>IF($G682="","",IF(Sync!$U678="","0000",IF(AND(ISNUMBER(Sync!$U678),Sync!$U678&gt;=0,Sync!$U678&lt;1),RIGHT("00"&amp;HOUR(Sync!$U678),2)&amp;RIGHT("00"&amp;MINUTE(Sync!$U678),2),IFERROR(RIGHT("00"&amp;VALUE(LEFT(Sync!$U678,FIND(":",Sync!$U678)-1)),2)&amp;RIGHT("00"&amp;VALUE(MID(Sync!$U678,FIND(":",Sync!$U678)+1,2)),2),"0000"))))</f>
        <v/>
      </c>
    </row>
    <row r="683">
      <c r="A683">
        <f>IF(Sync!$T679="","",Sync!$T679)</f>
        <v/>
      </c>
      <c r="B683">
        <f>IF($A683="","",IF(ISNUMBER($A683),IF(AND($A683&gt;=10000101,$A683&lt;=99991231),INT($A683/10000),""),IFERROR(VALUE(TRIM(LEFT($A683,FIND("/",$A683)-1))),"")))</f>
        <v/>
      </c>
      <c r="C683">
        <f>IF(OR($A683="",$B683=""),"",IF(ISNUMBER($A683),INT(MOD($A683,10000)/100),IFERROR(VALUE(TRIM(LEFT(MID($A683,FIND("/",$A683)+1,20),FIND("/",MID($A683,FIND("/",$A683)+1,20))-1))),"")))</f>
        <v/>
      </c>
      <c r="D683">
        <f>IF(OR($A683="",$B683=""),"",IF(ISNUMBER($A683),MOD($A683,100),IFERROR(VALUE(TRIM(MID(MID($A683,FIND("/",$A683)+1,20),FIND("/",MID($A683,FIND("/",$A683)+1,20))+1,20))),"")))</f>
        <v/>
      </c>
      <c r="E683">
        <f>IF($A683="","",IF(OR($B683="",$C683="",$D683="",$B683&lt;1300,$B683&gt;1500,$C683&lt;1,$C683&gt;12,$D683&lt;1,$D683&gt;31),"نامعتبر",RIGHT("0000"&amp;$B683,4)&amp;"/"&amp;RIGHT("00"&amp;$C683,2)&amp;"/"&amp;RIGHT("00"&amp;$D683,2)))</f>
        <v/>
      </c>
      <c r="F683">
        <f>IF(OR($E683="",$E683="نامعتبر"),"",LEFT($E683,4)&amp;"/"&amp;MID($E683,6,2))</f>
        <v/>
      </c>
      <c r="G683">
        <f>IF(OR($E683="",$E683="نامعتبر",Sync!$X679=""),"",IF(AND(LEFT(UPPER(TRIM(Sync!$X679)),2)="SL",IFERROR(VLOOKUP(Sync!$W679,OpTbl,3,0),"")="فروش"),UPPER(TRIM(Sync!$X679)),""))</f>
        <v/>
      </c>
      <c r="H683">
        <f>IF($G683="","",IF(Sync!$W679="","",Sync!$W679))</f>
        <v/>
      </c>
      <c r="I683">
        <f>IF(OR($G683="",Sync!$Y679=""),"",Sync!$Y679)</f>
        <v/>
      </c>
      <c r="J683">
        <f>IF(OR($G683="",Sync!$Z679=""),"",Sync!$Z679)</f>
        <v/>
      </c>
      <c r="K683">
        <f>IF($G683="",0,IF(Sync!$AA679="",0,Sync!$AA679))</f>
        <v/>
      </c>
      <c r="L683">
        <f>IF($G683="",0,IF(Sync!$AB679="",0,Sync!$AB679))</f>
        <v/>
      </c>
      <c r="M683">
        <f>IF($G683="","",IF($H683="مرجوعی فروش",-1,1)*($K683-$L683*IFERROR(VLOOKUP("P01",ParamTbl,3,0),1.5)))</f>
        <v/>
      </c>
      <c r="N683">
        <f>IF($G683="",0,IF($H683="مرجوعی فروش",-1,1)*IF(Sync!$AC679="",0,Sync!$AC679))</f>
        <v/>
      </c>
      <c r="O683">
        <f>IF(OR($G683="",Sync!$V679=""),"",Sync!$V679)</f>
        <v/>
      </c>
      <c r="P683">
        <f>IF(OR($G683="",Sync!$AD679=""),"",Sync!$AD679)</f>
        <v/>
      </c>
      <c r="Q683">
        <f>IF($G683="","",IF(Sync!$U679="","0000",IF(AND(ISNUMBER(Sync!$U679),Sync!$U679&gt;=0,Sync!$U679&lt;1),RIGHT("00"&amp;HOUR(Sync!$U679),2)&amp;RIGHT("00"&amp;MINUTE(Sync!$U679),2),IFERROR(RIGHT("00"&amp;VALUE(LEFT(Sync!$U679,FIND(":",Sync!$U679)-1)),2)&amp;RIGHT("00"&amp;VALUE(MID(Sync!$U679,FIND(":",Sync!$U679)+1,2)),2),"0000"))))</f>
        <v/>
      </c>
    </row>
    <row r="684">
      <c r="A684">
        <f>IF(Sync!$T680="","",Sync!$T680)</f>
        <v/>
      </c>
      <c r="B684">
        <f>IF($A684="","",IF(ISNUMBER($A684),IF(AND($A684&gt;=10000101,$A684&lt;=99991231),INT($A684/10000),""),IFERROR(VALUE(TRIM(LEFT($A684,FIND("/",$A684)-1))),"")))</f>
        <v/>
      </c>
      <c r="C684">
        <f>IF(OR($A684="",$B684=""),"",IF(ISNUMBER($A684),INT(MOD($A684,10000)/100),IFERROR(VALUE(TRIM(LEFT(MID($A684,FIND("/",$A684)+1,20),FIND("/",MID($A684,FIND("/",$A684)+1,20))-1))),"")))</f>
        <v/>
      </c>
      <c r="D684">
        <f>IF(OR($A684="",$B684=""),"",IF(ISNUMBER($A684),MOD($A684,100),IFERROR(VALUE(TRIM(MID(MID($A684,FIND("/",$A684)+1,20),FIND("/",MID($A684,FIND("/",$A684)+1,20))+1,20))),"")))</f>
        <v/>
      </c>
      <c r="E684">
        <f>IF($A684="","",IF(OR($B684="",$C684="",$D684="",$B684&lt;1300,$B684&gt;1500,$C684&lt;1,$C684&gt;12,$D684&lt;1,$D684&gt;31),"نامعتبر",RIGHT("0000"&amp;$B684,4)&amp;"/"&amp;RIGHT("00"&amp;$C684,2)&amp;"/"&amp;RIGHT("00"&amp;$D684,2)))</f>
        <v/>
      </c>
      <c r="F684">
        <f>IF(OR($E684="",$E684="نامعتبر"),"",LEFT($E684,4)&amp;"/"&amp;MID($E684,6,2))</f>
        <v/>
      </c>
      <c r="G684">
        <f>IF(OR($E684="",$E684="نامعتبر",Sync!$X680=""),"",IF(AND(LEFT(UPPER(TRIM(Sync!$X680)),2)="SL",IFERROR(VLOOKUP(Sync!$W680,OpTbl,3,0),"")="فروش"),UPPER(TRIM(Sync!$X680)),""))</f>
        <v/>
      </c>
      <c r="H684">
        <f>IF($G684="","",IF(Sync!$W680="","",Sync!$W680))</f>
        <v/>
      </c>
      <c r="I684">
        <f>IF(OR($G684="",Sync!$Y680=""),"",Sync!$Y680)</f>
        <v/>
      </c>
      <c r="J684">
        <f>IF(OR($G684="",Sync!$Z680=""),"",Sync!$Z680)</f>
        <v/>
      </c>
      <c r="K684">
        <f>IF($G684="",0,IF(Sync!$AA680="",0,Sync!$AA680))</f>
        <v/>
      </c>
      <c r="L684">
        <f>IF($G684="",0,IF(Sync!$AB680="",0,Sync!$AB680))</f>
        <v/>
      </c>
      <c r="M684">
        <f>IF($G684="","",IF($H684="مرجوعی فروش",-1,1)*($K684-$L684*IFERROR(VLOOKUP("P01",ParamTbl,3,0),1.5)))</f>
        <v/>
      </c>
      <c r="N684">
        <f>IF($G684="",0,IF($H684="مرجوعی فروش",-1,1)*IF(Sync!$AC680="",0,Sync!$AC680))</f>
        <v/>
      </c>
      <c r="O684">
        <f>IF(OR($G684="",Sync!$V680=""),"",Sync!$V680)</f>
        <v/>
      </c>
      <c r="P684">
        <f>IF(OR($G684="",Sync!$AD680=""),"",Sync!$AD680)</f>
        <v/>
      </c>
      <c r="Q684">
        <f>IF($G684="","",IF(Sync!$U680="","0000",IF(AND(ISNUMBER(Sync!$U680),Sync!$U680&gt;=0,Sync!$U680&lt;1),RIGHT("00"&amp;HOUR(Sync!$U680),2)&amp;RIGHT("00"&amp;MINUTE(Sync!$U680),2),IFERROR(RIGHT("00"&amp;VALUE(LEFT(Sync!$U680,FIND(":",Sync!$U680)-1)),2)&amp;RIGHT("00"&amp;VALUE(MID(Sync!$U680,FIND(":",Sync!$U680)+1,2)),2),"0000"))))</f>
        <v/>
      </c>
    </row>
    <row r="685">
      <c r="A685">
        <f>IF(Sync!$T681="","",Sync!$T681)</f>
        <v/>
      </c>
      <c r="B685">
        <f>IF($A685="","",IF(ISNUMBER($A685),IF(AND($A685&gt;=10000101,$A685&lt;=99991231),INT($A685/10000),""),IFERROR(VALUE(TRIM(LEFT($A685,FIND("/",$A685)-1))),"")))</f>
        <v/>
      </c>
      <c r="C685">
        <f>IF(OR($A685="",$B685=""),"",IF(ISNUMBER($A685),INT(MOD($A685,10000)/100),IFERROR(VALUE(TRIM(LEFT(MID($A685,FIND("/",$A685)+1,20),FIND("/",MID($A685,FIND("/",$A685)+1,20))-1))),"")))</f>
        <v/>
      </c>
      <c r="D685">
        <f>IF(OR($A685="",$B685=""),"",IF(ISNUMBER($A685),MOD($A685,100),IFERROR(VALUE(TRIM(MID(MID($A685,FIND("/",$A685)+1,20),FIND("/",MID($A685,FIND("/",$A685)+1,20))+1,20))),"")))</f>
        <v/>
      </c>
      <c r="E685">
        <f>IF($A685="","",IF(OR($B685="",$C685="",$D685="",$B685&lt;1300,$B685&gt;1500,$C685&lt;1,$C685&gt;12,$D685&lt;1,$D685&gt;31),"نامعتبر",RIGHT("0000"&amp;$B685,4)&amp;"/"&amp;RIGHT("00"&amp;$C685,2)&amp;"/"&amp;RIGHT("00"&amp;$D685,2)))</f>
        <v/>
      </c>
      <c r="F685">
        <f>IF(OR($E685="",$E685="نامعتبر"),"",LEFT($E685,4)&amp;"/"&amp;MID($E685,6,2))</f>
        <v/>
      </c>
      <c r="G685">
        <f>IF(OR($E685="",$E685="نامعتبر",Sync!$X681=""),"",IF(AND(LEFT(UPPER(TRIM(Sync!$X681)),2)="SL",IFERROR(VLOOKUP(Sync!$W681,OpTbl,3,0),"")="فروش"),UPPER(TRIM(Sync!$X681)),""))</f>
        <v/>
      </c>
      <c r="H685">
        <f>IF($G685="","",IF(Sync!$W681="","",Sync!$W681))</f>
        <v/>
      </c>
      <c r="I685">
        <f>IF(OR($G685="",Sync!$Y681=""),"",Sync!$Y681)</f>
        <v/>
      </c>
      <c r="J685">
        <f>IF(OR($G685="",Sync!$Z681=""),"",Sync!$Z681)</f>
        <v/>
      </c>
      <c r="K685">
        <f>IF($G685="",0,IF(Sync!$AA681="",0,Sync!$AA681))</f>
        <v/>
      </c>
      <c r="L685">
        <f>IF($G685="",0,IF(Sync!$AB681="",0,Sync!$AB681))</f>
        <v/>
      </c>
      <c r="M685">
        <f>IF($G685="","",IF($H685="مرجوعی فروش",-1,1)*($K685-$L685*IFERROR(VLOOKUP("P01",ParamTbl,3,0),1.5)))</f>
        <v/>
      </c>
      <c r="N685">
        <f>IF($G685="",0,IF($H685="مرجوعی فروش",-1,1)*IF(Sync!$AC681="",0,Sync!$AC681))</f>
        <v/>
      </c>
      <c r="O685">
        <f>IF(OR($G685="",Sync!$V681=""),"",Sync!$V681)</f>
        <v/>
      </c>
      <c r="P685">
        <f>IF(OR($G685="",Sync!$AD681=""),"",Sync!$AD681)</f>
        <v/>
      </c>
      <c r="Q685">
        <f>IF($G685="","",IF(Sync!$U681="","0000",IF(AND(ISNUMBER(Sync!$U681),Sync!$U681&gt;=0,Sync!$U681&lt;1),RIGHT("00"&amp;HOUR(Sync!$U681),2)&amp;RIGHT("00"&amp;MINUTE(Sync!$U681),2),IFERROR(RIGHT("00"&amp;VALUE(LEFT(Sync!$U681,FIND(":",Sync!$U681)-1)),2)&amp;RIGHT("00"&amp;VALUE(MID(Sync!$U681,FIND(":",Sync!$U681)+1,2)),2),"0000"))))</f>
        <v/>
      </c>
    </row>
    <row r="686">
      <c r="A686">
        <f>IF(Sync!$T682="","",Sync!$T682)</f>
        <v/>
      </c>
      <c r="B686">
        <f>IF($A686="","",IF(ISNUMBER($A686),IF(AND($A686&gt;=10000101,$A686&lt;=99991231),INT($A686/10000),""),IFERROR(VALUE(TRIM(LEFT($A686,FIND("/",$A686)-1))),"")))</f>
        <v/>
      </c>
      <c r="C686">
        <f>IF(OR($A686="",$B686=""),"",IF(ISNUMBER($A686),INT(MOD($A686,10000)/100),IFERROR(VALUE(TRIM(LEFT(MID($A686,FIND("/",$A686)+1,20),FIND("/",MID($A686,FIND("/",$A686)+1,20))-1))),"")))</f>
        <v/>
      </c>
      <c r="D686">
        <f>IF(OR($A686="",$B686=""),"",IF(ISNUMBER($A686),MOD($A686,100),IFERROR(VALUE(TRIM(MID(MID($A686,FIND("/",$A686)+1,20),FIND("/",MID($A686,FIND("/",$A686)+1,20))+1,20))),"")))</f>
        <v/>
      </c>
      <c r="E686">
        <f>IF($A686="","",IF(OR($B686="",$C686="",$D686="",$B686&lt;1300,$B686&gt;1500,$C686&lt;1,$C686&gt;12,$D686&lt;1,$D686&gt;31),"نامعتبر",RIGHT("0000"&amp;$B686,4)&amp;"/"&amp;RIGHT("00"&amp;$C686,2)&amp;"/"&amp;RIGHT("00"&amp;$D686,2)))</f>
        <v/>
      </c>
      <c r="F686">
        <f>IF(OR($E686="",$E686="نامعتبر"),"",LEFT($E686,4)&amp;"/"&amp;MID($E686,6,2))</f>
        <v/>
      </c>
      <c r="G686">
        <f>IF(OR($E686="",$E686="نامعتبر",Sync!$X682=""),"",IF(AND(LEFT(UPPER(TRIM(Sync!$X682)),2)="SL",IFERROR(VLOOKUP(Sync!$W682,OpTbl,3,0),"")="فروش"),UPPER(TRIM(Sync!$X682)),""))</f>
        <v/>
      </c>
      <c r="H686">
        <f>IF($G686="","",IF(Sync!$W682="","",Sync!$W682))</f>
        <v/>
      </c>
      <c r="I686">
        <f>IF(OR($G686="",Sync!$Y682=""),"",Sync!$Y682)</f>
        <v/>
      </c>
      <c r="J686">
        <f>IF(OR($G686="",Sync!$Z682=""),"",Sync!$Z682)</f>
        <v/>
      </c>
      <c r="K686">
        <f>IF($G686="",0,IF(Sync!$AA682="",0,Sync!$AA682))</f>
        <v/>
      </c>
      <c r="L686">
        <f>IF($G686="",0,IF(Sync!$AB682="",0,Sync!$AB682))</f>
        <v/>
      </c>
      <c r="M686">
        <f>IF($G686="","",IF($H686="مرجوعی فروش",-1,1)*($K686-$L686*IFERROR(VLOOKUP("P01",ParamTbl,3,0),1.5)))</f>
        <v/>
      </c>
      <c r="N686">
        <f>IF($G686="",0,IF($H686="مرجوعی فروش",-1,1)*IF(Sync!$AC682="",0,Sync!$AC682))</f>
        <v/>
      </c>
      <c r="O686">
        <f>IF(OR($G686="",Sync!$V682=""),"",Sync!$V682)</f>
        <v/>
      </c>
      <c r="P686">
        <f>IF(OR($G686="",Sync!$AD682=""),"",Sync!$AD682)</f>
        <v/>
      </c>
      <c r="Q686">
        <f>IF($G686="","",IF(Sync!$U682="","0000",IF(AND(ISNUMBER(Sync!$U682),Sync!$U682&gt;=0,Sync!$U682&lt;1),RIGHT("00"&amp;HOUR(Sync!$U682),2)&amp;RIGHT("00"&amp;MINUTE(Sync!$U682),2),IFERROR(RIGHT("00"&amp;VALUE(LEFT(Sync!$U682,FIND(":",Sync!$U682)-1)),2)&amp;RIGHT("00"&amp;VALUE(MID(Sync!$U682,FIND(":",Sync!$U682)+1,2)),2),"0000"))))</f>
        <v/>
      </c>
    </row>
    <row r="687">
      <c r="A687">
        <f>IF(Sync!$T683="","",Sync!$T683)</f>
        <v/>
      </c>
      <c r="B687">
        <f>IF($A687="","",IF(ISNUMBER($A687),IF(AND($A687&gt;=10000101,$A687&lt;=99991231),INT($A687/10000),""),IFERROR(VALUE(TRIM(LEFT($A687,FIND("/",$A687)-1))),"")))</f>
        <v/>
      </c>
      <c r="C687">
        <f>IF(OR($A687="",$B687=""),"",IF(ISNUMBER($A687),INT(MOD($A687,10000)/100),IFERROR(VALUE(TRIM(LEFT(MID($A687,FIND("/",$A687)+1,20),FIND("/",MID($A687,FIND("/",$A687)+1,20))-1))),"")))</f>
        <v/>
      </c>
      <c r="D687">
        <f>IF(OR($A687="",$B687=""),"",IF(ISNUMBER($A687),MOD($A687,100),IFERROR(VALUE(TRIM(MID(MID($A687,FIND("/",$A687)+1,20),FIND("/",MID($A687,FIND("/",$A687)+1,20))+1,20))),"")))</f>
        <v/>
      </c>
      <c r="E687">
        <f>IF($A687="","",IF(OR($B687="",$C687="",$D687="",$B687&lt;1300,$B687&gt;1500,$C687&lt;1,$C687&gt;12,$D687&lt;1,$D687&gt;31),"نامعتبر",RIGHT("0000"&amp;$B687,4)&amp;"/"&amp;RIGHT("00"&amp;$C687,2)&amp;"/"&amp;RIGHT("00"&amp;$D687,2)))</f>
        <v/>
      </c>
      <c r="F687">
        <f>IF(OR($E687="",$E687="نامعتبر"),"",LEFT($E687,4)&amp;"/"&amp;MID($E687,6,2))</f>
        <v/>
      </c>
      <c r="G687">
        <f>IF(OR($E687="",$E687="نامعتبر",Sync!$X683=""),"",IF(AND(LEFT(UPPER(TRIM(Sync!$X683)),2)="SL",IFERROR(VLOOKUP(Sync!$W683,OpTbl,3,0),"")="فروش"),UPPER(TRIM(Sync!$X683)),""))</f>
        <v/>
      </c>
      <c r="H687">
        <f>IF($G687="","",IF(Sync!$W683="","",Sync!$W683))</f>
        <v/>
      </c>
      <c r="I687">
        <f>IF(OR($G687="",Sync!$Y683=""),"",Sync!$Y683)</f>
        <v/>
      </c>
      <c r="J687">
        <f>IF(OR($G687="",Sync!$Z683=""),"",Sync!$Z683)</f>
        <v/>
      </c>
      <c r="K687">
        <f>IF($G687="",0,IF(Sync!$AA683="",0,Sync!$AA683))</f>
        <v/>
      </c>
      <c r="L687">
        <f>IF($G687="",0,IF(Sync!$AB683="",0,Sync!$AB683))</f>
        <v/>
      </c>
      <c r="M687">
        <f>IF($G687="","",IF($H687="مرجوعی فروش",-1,1)*($K687-$L687*IFERROR(VLOOKUP("P01",ParamTbl,3,0),1.5)))</f>
        <v/>
      </c>
      <c r="N687">
        <f>IF($G687="",0,IF($H687="مرجوعی فروش",-1,1)*IF(Sync!$AC683="",0,Sync!$AC683))</f>
        <v/>
      </c>
      <c r="O687">
        <f>IF(OR($G687="",Sync!$V683=""),"",Sync!$V683)</f>
        <v/>
      </c>
      <c r="P687">
        <f>IF(OR($G687="",Sync!$AD683=""),"",Sync!$AD683)</f>
        <v/>
      </c>
      <c r="Q687">
        <f>IF($G687="","",IF(Sync!$U683="","0000",IF(AND(ISNUMBER(Sync!$U683),Sync!$U683&gt;=0,Sync!$U683&lt;1),RIGHT("00"&amp;HOUR(Sync!$U683),2)&amp;RIGHT("00"&amp;MINUTE(Sync!$U683),2),IFERROR(RIGHT("00"&amp;VALUE(LEFT(Sync!$U683,FIND(":",Sync!$U683)-1)),2)&amp;RIGHT("00"&amp;VALUE(MID(Sync!$U683,FIND(":",Sync!$U683)+1,2)),2),"0000"))))</f>
        <v/>
      </c>
    </row>
    <row r="688">
      <c r="A688">
        <f>IF(Sync!$T684="","",Sync!$T684)</f>
        <v/>
      </c>
      <c r="B688">
        <f>IF($A688="","",IF(ISNUMBER($A688),IF(AND($A688&gt;=10000101,$A688&lt;=99991231),INT($A688/10000),""),IFERROR(VALUE(TRIM(LEFT($A688,FIND("/",$A688)-1))),"")))</f>
        <v/>
      </c>
      <c r="C688">
        <f>IF(OR($A688="",$B688=""),"",IF(ISNUMBER($A688),INT(MOD($A688,10000)/100),IFERROR(VALUE(TRIM(LEFT(MID($A688,FIND("/",$A688)+1,20),FIND("/",MID($A688,FIND("/",$A688)+1,20))-1))),"")))</f>
        <v/>
      </c>
      <c r="D688">
        <f>IF(OR($A688="",$B688=""),"",IF(ISNUMBER($A688),MOD($A688,100),IFERROR(VALUE(TRIM(MID(MID($A688,FIND("/",$A688)+1,20),FIND("/",MID($A688,FIND("/",$A688)+1,20))+1,20))),"")))</f>
        <v/>
      </c>
      <c r="E688">
        <f>IF($A688="","",IF(OR($B688="",$C688="",$D688="",$B688&lt;1300,$B688&gt;1500,$C688&lt;1,$C688&gt;12,$D688&lt;1,$D688&gt;31),"نامعتبر",RIGHT("0000"&amp;$B688,4)&amp;"/"&amp;RIGHT("00"&amp;$C688,2)&amp;"/"&amp;RIGHT("00"&amp;$D688,2)))</f>
        <v/>
      </c>
      <c r="F688">
        <f>IF(OR($E688="",$E688="نامعتبر"),"",LEFT($E688,4)&amp;"/"&amp;MID($E688,6,2))</f>
        <v/>
      </c>
      <c r="G688">
        <f>IF(OR($E688="",$E688="نامعتبر",Sync!$X684=""),"",IF(AND(LEFT(UPPER(TRIM(Sync!$X684)),2)="SL",IFERROR(VLOOKUP(Sync!$W684,OpTbl,3,0),"")="فروش"),UPPER(TRIM(Sync!$X684)),""))</f>
        <v/>
      </c>
      <c r="H688">
        <f>IF($G688="","",IF(Sync!$W684="","",Sync!$W684))</f>
        <v/>
      </c>
      <c r="I688">
        <f>IF(OR($G688="",Sync!$Y684=""),"",Sync!$Y684)</f>
        <v/>
      </c>
      <c r="J688">
        <f>IF(OR($G688="",Sync!$Z684=""),"",Sync!$Z684)</f>
        <v/>
      </c>
      <c r="K688">
        <f>IF($G688="",0,IF(Sync!$AA684="",0,Sync!$AA684))</f>
        <v/>
      </c>
      <c r="L688">
        <f>IF($G688="",0,IF(Sync!$AB684="",0,Sync!$AB684))</f>
        <v/>
      </c>
      <c r="M688">
        <f>IF($G688="","",IF($H688="مرجوعی فروش",-1,1)*($K688-$L688*IFERROR(VLOOKUP("P01",ParamTbl,3,0),1.5)))</f>
        <v/>
      </c>
      <c r="N688">
        <f>IF($G688="",0,IF($H688="مرجوعی فروش",-1,1)*IF(Sync!$AC684="",0,Sync!$AC684))</f>
        <v/>
      </c>
      <c r="O688">
        <f>IF(OR($G688="",Sync!$V684=""),"",Sync!$V684)</f>
        <v/>
      </c>
      <c r="P688">
        <f>IF(OR($G688="",Sync!$AD684=""),"",Sync!$AD684)</f>
        <v/>
      </c>
      <c r="Q688">
        <f>IF($G688="","",IF(Sync!$U684="","0000",IF(AND(ISNUMBER(Sync!$U684),Sync!$U684&gt;=0,Sync!$U684&lt;1),RIGHT("00"&amp;HOUR(Sync!$U684),2)&amp;RIGHT("00"&amp;MINUTE(Sync!$U684),2),IFERROR(RIGHT("00"&amp;VALUE(LEFT(Sync!$U684,FIND(":",Sync!$U684)-1)),2)&amp;RIGHT("00"&amp;VALUE(MID(Sync!$U684,FIND(":",Sync!$U684)+1,2)),2),"0000"))))</f>
        <v/>
      </c>
    </row>
    <row r="689">
      <c r="A689">
        <f>IF(Sync!$T685="","",Sync!$T685)</f>
        <v/>
      </c>
      <c r="B689">
        <f>IF($A689="","",IF(ISNUMBER($A689),IF(AND($A689&gt;=10000101,$A689&lt;=99991231),INT($A689/10000),""),IFERROR(VALUE(TRIM(LEFT($A689,FIND("/",$A689)-1))),"")))</f>
        <v/>
      </c>
      <c r="C689">
        <f>IF(OR($A689="",$B689=""),"",IF(ISNUMBER($A689),INT(MOD($A689,10000)/100),IFERROR(VALUE(TRIM(LEFT(MID($A689,FIND("/",$A689)+1,20),FIND("/",MID($A689,FIND("/",$A689)+1,20))-1))),"")))</f>
        <v/>
      </c>
      <c r="D689">
        <f>IF(OR($A689="",$B689=""),"",IF(ISNUMBER($A689),MOD($A689,100),IFERROR(VALUE(TRIM(MID(MID($A689,FIND("/",$A689)+1,20),FIND("/",MID($A689,FIND("/",$A689)+1,20))+1,20))),"")))</f>
        <v/>
      </c>
      <c r="E689">
        <f>IF($A689="","",IF(OR($B689="",$C689="",$D689="",$B689&lt;1300,$B689&gt;1500,$C689&lt;1,$C689&gt;12,$D689&lt;1,$D689&gt;31),"نامعتبر",RIGHT("0000"&amp;$B689,4)&amp;"/"&amp;RIGHT("00"&amp;$C689,2)&amp;"/"&amp;RIGHT("00"&amp;$D689,2)))</f>
        <v/>
      </c>
      <c r="F689">
        <f>IF(OR($E689="",$E689="نامعتبر"),"",LEFT($E689,4)&amp;"/"&amp;MID($E689,6,2))</f>
        <v/>
      </c>
      <c r="G689">
        <f>IF(OR($E689="",$E689="نامعتبر",Sync!$X685=""),"",IF(AND(LEFT(UPPER(TRIM(Sync!$X685)),2)="SL",IFERROR(VLOOKUP(Sync!$W685,OpTbl,3,0),"")="فروش"),UPPER(TRIM(Sync!$X685)),""))</f>
        <v/>
      </c>
      <c r="H689">
        <f>IF($G689="","",IF(Sync!$W685="","",Sync!$W685))</f>
        <v/>
      </c>
      <c r="I689">
        <f>IF(OR($G689="",Sync!$Y685=""),"",Sync!$Y685)</f>
        <v/>
      </c>
      <c r="J689">
        <f>IF(OR($G689="",Sync!$Z685=""),"",Sync!$Z685)</f>
        <v/>
      </c>
      <c r="K689">
        <f>IF($G689="",0,IF(Sync!$AA685="",0,Sync!$AA685))</f>
        <v/>
      </c>
      <c r="L689">
        <f>IF($G689="",0,IF(Sync!$AB685="",0,Sync!$AB685))</f>
        <v/>
      </c>
      <c r="M689">
        <f>IF($G689="","",IF($H689="مرجوعی فروش",-1,1)*($K689-$L689*IFERROR(VLOOKUP("P01",ParamTbl,3,0),1.5)))</f>
        <v/>
      </c>
      <c r="N689">
        <f>IF($G689="",0,IF($H689="مرجوعی فروش",-1,1)*IF(Sync!$AC685="",0,Sync!$AC685))</f>
        <v/>
      </c>
      <c r="O689">
        <f>IF(OR($G689="",Sync!$V685=""),"",Sync!$V685)</f>
        <v/>
      </c>
      <c r="P689">
        <f>IF(OR($G689="",Sync!$AD685=""),"",Sync!$AD685)</f>
        <v/>
      </c>
      <c r="Q689">
        <f>IF($G689="","",IF(Sync!$U685="","0000",IF(AND(ISNUMBER(Sync!$U685),Sync!$U685&gt;=0,Sync!$U685&lt;1),RIGHT("00"&amp;HOUR(Sync!$U685),2)&amp;RIGHT("00"&amp;MINUTE(Sync!$U685),2),IFERROR(RIGHT("00"&amp;VALUE(LEFT(Sync!$U685,FIND(":",Sync!$U685)-1)),2)&amp;RIGHT("00"&amp;VALUE(MID(Sync!$U685,FIND(":",Sync!$U685)+1,2)),2),"0000"))))</f>
        <v/>
      </c>
    </row>
    <row r="690">
      <c r="A690">
        <f>IF(Sync!$T686="","",Sync!$T686)</f>
        <v/>
      </c>
      <c r="B690">
        <f>IF($A690="","",IF(ISNUMBER($A690),IF(AND($A690&gt;=10000101,$A690&lt;=99991231),INT($A690/10000),""),IFERROR(VALUE(TRIM(LEFT($A690,FIND("/",$A690)-1))),"")))</f>
        <v/>
      </c>
      <c r="C690">
        <f>IF(OR($A690="",$B690=""),"",IF(ISNUMBER($A690),INT(MOD($A690,10000)/100),IFERROR(VALUE(TRIM(LEFT(MID($A690,FIND("/",$A690)+1,20),FIND("/",MID($A690,FIND("/",$A690)+1,20))-1))),"")))</f>
        <v/>
      </c>
      <c r="D690">
        <f>IF(OR($A690="",$B690=""),"",IF(ISNUMBER($A690),MOD($A690,100),IFERROR(VALUE(TRIM(MID(MID($A690,FIND("/",$A690)+1,20),FIND("/",MID($A690,FIND("/",$A690)+1,20))+1,20))),"")))</f>
        <v/>
      </c>
      <c r="E690">
        <f>IF($A690="","",IF(OR($B690="",$C690="",$D690="",$B690&lt;1300,$B690&gt;1500,$C690&lt;1,$C690&gt;12,$D690&lt;1,$D690&gt;31),"نامعتبر",RIGHT("0000"&amp;$B690,4)&amp;"/"&amp;RIGHT("00"&amp;$C690,2)&amp;"/"&amp;RIGHT("00"&amp;$D690,2)))</f>
        <v/>
      </c>
      <c r="F690">
        <f>IF(OR($E690="",$E690="نامعتبر"),"",LEFT($E690,4)&amp;"/"&amp;MID($E690,6,2))</f>
        <v/>
      </c>
      <c r="G690">
        <f>IF(OR($E690="",$E690="نامعتبر",Sync!$X686=""),"",IF(AND(LEFT(UPPER(TRIM(Sync!$X686)),2)="SL",IFERROR(VLOOKUP(Sync!$W686,OpTbl,3,0),"")="فروش"),UPPER(TRIM(Sync!$X686)),""))</f>
        <v/>
      </c>
      <c r="H690">
        <f>IF($G690="","",IF(Sync!$W686="","",Sync!$W686))</f>
        <v/>
      </c>
      <c r="I690">
        <f>IF(OR($G690="",Sync!$Y686=""),"",Sync!$Y686)</f>
        <v/>
      </c>
      <c r="J690">
        <f>IF(OR($G690="",Sync!$Z686=""),"",Sync!$Z686)</f>
        <v/>
      </c>
      <c r="K690">
        <f>IF($G690="",0,IF(Sync!$AA686="",0,Sync!$AA686))</f>
        <v/>
      </c>
      <c r="L690">
        <f>IF($G690="",0,IF(Sync!$AB686="",0,Sync!$AB686))</f>
        <v/>
      </c>
      <c r="M690">
        <f>IF($G690="","",IF($H690="مرجوعی فروش",-1,1)*($K690-$L690*IFERROR(VLOOKUP("P01",ParamTbl,3,0),1.5)))</f>
        <v/>
      </c>
      <c r="N690">
        <f>IF($G690="",0,IF($H690="مرجوعی فروش",-1,1)*IF(Sync!$AC686="",0,Sync!$AC686))</f>
        <v/>
      </c>
      <c r="O690">
        <f>IF(OR($G690="",Sync!$V686=""),"",Sync!$V686)</f>
        <v/>
      </c>
      <c r="P690">
        <f>IF(OR($G690="",Sync!$AD686=""),"",Sync!$AD686)</f>
        <v/>
      </c>
      <c r="Q690">
        <f>IF($G690="","",IF(Sync!$U686="","0000",IF(AND(ISNUMBER(Sync!$U686),Sync!$U686&gt;=0,Sync!$U686&lt;1),RIGHT("00"&amp;HOUR(Sync!$U686),2)&amp;RIGHT("00"&amp;MINUTE(Sync!$U686),2),IFERROR(RIGHT("00"&amp;VALUE(LEFT(Sync!$U686,FIND(":",Sync!$U686)-1)),2)&amp;RIGHT("00"&amp;VALUE(MID(Sync!$U686,FIND(":",Sync!$U686)+1,2)),2),"0000"))))</f>
        <v/>
      </c>
    </row>
    <row r="691">
      <c r="A691">
        <f>IF(Sync!$T687="","",Sync!$T687)</f>
        <v/>
      </c>
      <c r="B691">
        <f>IF($A691="","",IF(ISNUMBER($A691),IF(AND($A691&gt;=10000101,$A691&lt;=99991231),INT($A691/10000),""),IFERROR(VALUE(TRIM(LEFT($A691,FIND("/",$A691)-1))),"")))</f>
        <v/>
      </c>
      <c r="C691">
        <f>IF(OR($A691="",$B691=""),"",IF(ISNUMBER($A691),INT(MOD($A691,10000)/100),IFERROR(VALUE(TRIM(LEFT(MID($A691,FIND("/",$A691)+1,20),FIND("/",MID($A691,FIND("/",$A691)+1,20))-1))),"")))</f>
        <v/>
      </c>
      <c r="D691">
        <f>IF(OR($A691="",$B691=""),"",IF(ISNUMBER($A691),MOD($A691,100),IFERROR(VALUE(TRIM(MID(MID($A691,FIND("/",$A691)+1,20),FIND("/",MID($A691,FIND("/",$A691)+1,20))+1,20))),"")))</f>
        <v/>
      </c>
      <c r="E691">
        <f>IF($A691="","",IF(OR($B691="",$C691="",$D691="",$B691&lt;1300,$B691&gt;1500,$C691&lt;1,$C691&gt;12,$D691&lt;1,$D691&gt;31),"نامعتبر",RIGHT("0000"&amp;$B691,4)&amp;"/"&amp;RIGHT("00"&amp;$C691,2)&amp;"/"&amp;RIGHT("00"&amp;$D691,2)))</f>
        <v/>
      </c>
      <c r="F691">
        <f>IF(OR($E691="",$E691="نامعتبر"),"",LEFT($E691,4)&amp;"/"&amp;MID($E691,6,2))</f>
        <v/>
      </c>
      <c r="G691">
        <f>IF(OR($E691="",$E691="نامعتبر",Sync!$X687=""),"",IF(AND(LEFT(UPPER(TRIM(Sync!$X687)),2)="SL",IFERROR(VLOOKUP(Sync!$W687,OpTbl,3,0),"")="فروش"),UPPER(TRIM(Sync!$X687)),""))</f>
        <v/>
      </c>
      <c r="H691">
        <f>IF($G691="","",IF(Sync!$W687="","",Sync!$W687))</f>
        <v/>
      </c>
      <c r="I691">
        <f>IF(OR($G691="",Sync!$Y687=""),"",Sync!$Y687)</f>
        <v/>
      </c>
      <c r="J691">
        <f>IF(OR($G691="",Sync!$Z687=""),"",Sync!$Z687)</f>
        <v/>
      </c>
      <c r="K691">
        <f>IF($G691="",0,IF(Sync!$AA687="",0,Sync!$AA687))</f>
        <v/>
      </c>
      <c r="L691">
        <f>IF($G691="",0,IF(Sync!$AB687="",0,Sync!$AB687))</f>
        <v/>
      </c>
      <c r="M691">
        <f>IF($G691="","",IF($H691="مرجوعی فروش",-1,1)*($K691-$L691*IFERROR(VLOOKUP("P01",ParamTbl,3,0),1.5)))</f>
        <v/>
      </c>
      <c r="N691">
        <f>IF($G691="",0,IF($H691="مرجوعی فروش",-1,1)*IF(Sync!$AC687="",0,Sync!$AC687))</f>
        <v/>
      </c>
      <c r="O691">
        <f>IF(OR($G691="",Sync!$V687=""),"",Sync!$V687)</f>
        <v/>
      </c>
      <c r="P691">
        <f>IF(OR($G691="",Sync!$AD687=""),"",Sync!$AD687)</f>
        <v/>
      </c>
      <c r="Q691">
        <f>IF($G691="","",IF(Sync!$U687="","0000",IF(AND(ISNUMBER(Sync!$U687),Sync!$U687&gt;=0,Sync!$U687&lt;1),RIGHT("00"&amp;HOUR(Sync!$U687),2)&amp;RIGHT("00"&amp;MINUTE(Sync!$U687),2),IFERROR(RIGHT("00"&amp;VALUE(LEFT(Sync!$U687,FIND(":",Sync!$U687)-1)),2)&amp;RIGHT("00"&amp;VALUE(MID(Sync!$U687,FIND(":",Sync!$U687)+1,2)),2),"0000"))))</f>
        <v/>
      </c>
    </row>
    <row r="692">
      <c r="A692">
        <f>IF(Sync!$T688="","",Sync!$T688)</f>
        <v/>
      </c>
      <c r="B692">
        <f>IF($A692="","",IF(ISNUMBER($A692),IF(AND($A692&gt;=10000101,$A692&lt;=99991231),INT($A692/10000),""),IFERROR(VALUE(TRIM(LEFT($A692,FIND("/",$A692)-1))),"")))</f>
        <v/>
      </c>
      <c r="C692">
        <f>IF(OR($A692="",$B692=""),"",IF(ISNUMBER($A692),INT(MOD($A692,10000)/100),IFERROR(VALUE(TRIM(LEFT(MID($A692,FIND("/",$A692)+1,20),FIND("/",MID($A692,FIND("/",$A692)+1,20))-1))),"")))</f>
        <v/>
      </c>
      <c r="D692">
        <f>IF(OR($A692="",$B692=""),"",IF(ISNUMBER($A692),MOD($A692,100),IFERROR(VALUE(TRIM(MID(MID($A692,FIND("/",$A692)+1,20),FIND("/",MID($A692,FIND("/",$A692)+1,20))+1,20))),"")))</f>
        <v/>
      </c>
      <c r="E692">
        <f>IF($A692="","",IF(OR($B692="",$C692="",$D692="",$B692&lt;1300,$B692&gt;1500,$C692&lt;1,$C692&gt;12,$D692&lt;1,$D692&gt;31),"نامعتبر",RIGHT("0000"&amp;$B692,4)&amp;"/"&amp;RIGHT("00"&amp;$C692,2)&amp;"/"&amp;RIGHT("00"&amp;$D692,2)))</f>
        <v/>
      </c>
      <c r="F692">
        <f>IF(OR($E692="",$E692="نامعتبر"),"",LEFT($E692,4)&amp;"/"&amp;MID($E692,6,2))</f>
        <v/>
      </c>
      <c r="G692">
        <f>IF(OR($E692="",$E692="نامعتبر",Sync!$X688=""),"",IF(AND(LEFT(UPPER(TRIM(Sync!$X688)),2)="SL",IFERROR(VLOOKUP(Sync!$W688,OpTbl,3,0),"")="فروش"),UPPER(TRIM(Sync!$X688)),""))</f>
        <v/>
      </c>
      <c r="H692">
        <f>IF($G692="","",IF(Sync!$W688="","",Sync!$W688))</f>
        <v/>
      </c>
      <c r="I692">
        <f>IF(OR($G692="",Sync!$Y688=""),"",Sync!$Y688)</f>
        <v/>
      </c>
      <c r="J692">
        <f>IF(OR($G692="",Sync!$Z688=""),"",Sync!$Z688)</f>
        <v/>
      </c>
      <c r="K692">
        <f>IF($G692="",0,IF(Sync!$AA688="",0,Sync!$AA688))</f>
        <v/>
      </c>
      <c r="L692">
        <f>IF($G692="",0,IF(Sync!$AB688="",0,Sync!$AB688))</f>
        <v/>
      </c>
      <c r="M692">
        <f>IF($G692="","",IF($H692="مرجوعی فروش",-1,1)*($K692-$L692*IFERROR(VLOOKUP("P01",ParamTbl,3,0),1.5)))</f>
        <v/>
      </c>
      <c r="N692">
        <f>IF($G692="",0,IF($H692="مرجوعی فروش",-1,1)*IF(Sync!$AC688="",0,Sync!$AC688))</f>
        <v/>
      </c>
      <c r="O692">
        <f>IF(OR($G692="",Sync!$V688=""),"",Sync!$V688)</f>
        <v/>
      </c>
      <c r="P692">
        <f>IF(OR($G692="",Sync!$AD688=""),"",Sync!$AD688)</f>
        <v/>
      </c>
      <c r="Q692">
        <f>IF($G692="","",IF(Sync!$U688="","0000",IF(AND(ISNUMBER(Sync!$U688),Sync!$U688&gt;=0,Sync!$U688&lt;1),RIGHT("00"&amp;HOUR(Sync!$U688),2)&amp;RIGHT("00"&amp;MINUTE(Sync!$U688),2),IFERROR(RIGHT("00"&amp;VALUE(LEFT(Sync!$U688,FIND(":",Sync!$U688)-1)),2)&amp;RIGHT("00"&amp;VALUE(MID(Sync!$U688,FIND(":",Sync!$U688)+1,2)),2),"0000"))))</f>
        <v/>
      </c>
    </row>
    <row r="693">
      <c r="A693">
        <f>IF(Sync!$T689="","",Sync!$T689)</f>
        <v/>
      </c>
      <c r="B693">
        <f>IF($A693="","",IF(ISNUMBER($A693),IF(AND($A693&gt;=10000101,$A693&lt;=99991231),INT($A693/10000),""),IFERROR(VALUE(TRIM(LEFT($A693,FIND("/",$A693)-1))),"")))</f>
        <v/>
      </c>
      <c r="C693">
        <f>IF(OR($A693="",$B693=""),"",IF(ISNUMBER($A693),INT(MOD($A693,10000)/100),IFERROR(VALUE(TRIM(LEFT(MID($A693,FIND("/",$A693)+1,20),FIND("/",MID($A693,FIND("/",$A693)+1,20))-1))),"")))</f>
        <v/>
      </c>
      <c r="D693">
        <f>IF(OR($A693="",$B693=""),"",IF(ISNUMBER($A693),MOD($A693,100),IFERROR(VALUE(TRIM(MID(MID($A693,FIND("/",$A693)+1,20),FIND("/",MID($A693,FIND("/",$A693)+1,20))+1,20))),"")))</f>
        <v/>
      </c>
      <c r="E693">
        <f>IF($A693="","",IF(OR($B693="",$C693="",$D693="",$B693&lt;1300,$B693&gt;1500,$C693&lt;1,$C693&gt;12,$D693&lt;1,$D693&gt;31),"نامعتبر",RIGHT("0000"&amp;$B693,4)&amp;"/"&amp;RIGHT("00"&amp;$C693,2)&amp;"/"&amp;RIGHT("00"&amp;$D693,2)))</f>
        <v/>
      </c>
      <c r="F693">
        <f>IF(OR($E693="",$E693="نامعتبر"),"",LEFT($E693,4)&amp;"/"&amp;MID($E693,6,2))</f>
        <v/>
      </c>
      <c r="G693">
        <f>IF(OR($E693="",$E693="نامعتبر",Sync!$X689=""),"",IF(AND(LEFT(UPPER(TRIM(Sync!$X689)),2)="SL",IFERROR(VLOOKUP(Sync!$W689,OpTbl,3,0),"")="فروش"),UPPER(TRIM(Sync!$X689)),""))</f>
        <v/>
      </c>
      <c r="H693">
        <f>IF($G693="","",IF(Sync!$W689="","",Sync!$W689))</f>
        <v/>
      </c>
      <c r="I693">
        <f>IF(OR($G693="",Sync!$Y689=""),"",Sync!$Y689)</f>
        <v/>
      </c>
      <c r="J693">
        <f>IF(OR($G693="",Sync!$Z689=""),"",Sync!$Z689)</f>
        <v/>
      </c>
      <c r="K693">
        <f>IF($G693="",0,IF(Sync!$AA689="",0,Sync!$AA689))</f>
        <v/>
      </c>
      <c r="L693">
        <f>IF($G693="",0,IF(Sync!$AB689="",0,Sync!$AB689))</f>
        <v/>
      </c>
      <c r="M693">
        <f>IF($G693="","",IF($H693="مرجوعی فروش",-1,1)*($K693-$L693*IFERROR(VLOOKUP("P01",ParamTbl,3,0),1.5)))</f>
        <v/>
      </c>
      <c r="N693">
        <f>IF($G693="",0,IF($H693="مرجوعی فروش",-1,1)*IF(Sync!$AC689="",0,Sync!$AC689))</f>
        <v/>
      </c>
      <c r="O693">
        <f>IF(OR($G693="",Sync!$V689=""),"",Sync!$V689)</f>
        <v/>
      </c>
      <c r="P693">
        <f>IF(OR($G693="",Sync!$AD689=""),"",Sync!$AD689)</f>
        <v/>
      </c>
      <c r="Q693">
        <f>IF($G693="","",IF(Sync!$U689="","0000",IF(AND(ISNUMBER(Sync!$U689),Sync!$U689&gt;=0,Sync!$U689&lt;1),RIGHT("00"&amp;HOUR(Sync!$U689),2)&amp;RIGHT("00"&amp;MINUTE(Sync!$U689),2),IFERROR(RIGHT("00"&amp;VALUE(LEFT(Sync!$U689,FIND(":",Sync!$U689)-1)),2)&amp;RIGHT("00"&amp;VALUE(MID(Sync!$U689,FIND(":",Sync!$U689)+1,2)),2),"0000"))))</f>
        <v/>
      </c>
    </row>
    <row r="694">
      <c r="A694">
        <f>IF(Sync!$T690="","",Sync!$T690)</f>
        <v/>
      </c>
      <c r="B694">
        <f>IF($A694="","",IF(ISNUMBER($A694),IF(AND($A694&gt;=10000101,$A694&lt;=99991231),INT($A694/10000),""),IFERROR(VALUE(TRIM(LEFT($A694,FIND("/",$A694)-1))),"")))</f>
        <v/>
      </c>
      <c r="C694">
        <f>IF(OR($A694="",$B694=""),"",IF(ISNUMBER($A694),INT(MOD($A694,10000)/100),IFERROR(VALUE(TRIM(LEFT(MID($A694,FIND("/",$A694)+1,20),FIND("/",MID($A694,FIND("/",$A694)+1,20))-1))),"")))</f>
        <v/>
      </c>
      <c r="D694">
        <f>IF(OR($A694="",$B694=""),"",IF(ISNUMBER($A694),MOD($A694,100),IFERROR(VALUE(TRIM(MID(MID($A694,FIND("/",$A694)+1,20),FIND("/",MID($A694,FIND("/",$A694)+1,20))+1,20))),"")))</f>
        <v/>
      </c>
      <c r="E694">
        <f>IF($A694="","",IF(OR($B694="",$C694="",$D694="",$B694&lt;1300,$B694&gt;1500,$C694&lt;1,$C694&gt;12,$D694&lt;1,$D694&gt;31),"نامعتبر",RIGHT("0000"&amp;$B694,4)&amp;"/"&amp;RIGHT("00"&amp;$C694,2)&amp;"/"&amp;RIGHT("00"&amp;$D694,2)))</f>
        <v/>
      </c>
      <c r="F694">
        <f>IF(OR($E694="",$E694="نامعتبر"),"",LEFT($E694,4)&amp;"/"&amp;MID($E694,6,2))</f>
        <v/>
      </c>
      <c r="G694">
        <f>IF(OR($E694="",$E694="نامعتبر",Sync!$X690=""),"",IF(AND(LEFT(UPPER(TRIM(Sync!$X690)),2)="SL",IFERROR(VLOOKUP(Sync!$W690,OpTbl,3,0),"")="فروش"),UPPER(TRIM(Sync!$X690)),""))</f>
        <v/>
      </c>
      <c r="H694">
        <f>IF($G694="","",IF(Sync!$W690="","",Sync!$W690))</f>
        <v/>
      </c>
      <c r="I694">
        <f>IF(OR($G694="",Sync!$Y690=""),"",Sync!$Y690)</f>
        <v/>
      </c>
      <c r="J694">
        <f>IF(OR($G694="",Sync!$Z690=""),"",Sync!$Z690)</f>
        <v/>
      </c>
      <c r="K694">
        <f>IF($G694="",0,IF(Sync!$AA690="",0,Sync!$AA690))</f>
        <v/>
      </c>
      <c r="L694">
        <f>IF($G694="",0,IF(Sync!$AB690="",0,Sync!$AB690))</f>
        <v/>
      </c>
      <c r="M694">
        <f>IF($G694="","",IF($H694="مرجوعی فروش",-1,1)*($K694-$L694*IFERROR(VLOOKUP("P01",ParamTbl,3,0),1.5)))</f>
        <v/>
      </c>
      <c r="N694">
        <f>IF($G694="",0,IF($H694="مرجوعی فروش",-1,1)*IF(Sync!$AC690="",0,Sync!$AC690))</f>
        <v/>
      </c>
      <c r="O694">
        <f>IF(OR($G694="",Sync!$V690=""),"",Sync!$V690)</f>
        <v/>
      </c>
      <c r="P694">
        <f>IF(OR($G694="",Sync!$AD690=""),"",Sync!$AD690)</f>
        <v/>
      </c>
      <c r="Q694">
        <f>IF($G694="","",IF(Sync!$U690="","0000",IF(AND(ISNUMBER(Sync!$U690),Sync!$U690&gt;=0,Sync!$U690&lt;1),RIGHT("00"&amp;HOUR(Sync!$U690),2)&amp;RIGHT("00"&amp;MINUTE(Sync!$U690),2),IFERROR(RIGHT("00"&amp;VALUE(LEFT(Sync!$U690,FIND(":",Sync!$U690)-1)),2)&amp;RIGHT("00"&amp;VALUE(MID(Sync!$U690,FIND(":",Sync!$U690)+1,2)),2),"0000"))))</f>
        <v/>
      </c>
    </row>
    <row r="695">
      <c r="A695">
        <f>IF(Sync!$T691="","",Sync!$T691)</f>
        <v/>
      </c>
      <c r="B695">
        <f>IF($A695="","",IF(ISNUMBER($A695),IF(AND($A695&gt;=10000101,$A695&lt;=99991231),INT($A695/10000),""),IFERROR(VALUE(TRIM(LEFT($A695,FIND("/",$A695)-1))),"")))</f>
        <v/>
      </c>
      <c r="C695">
        <f>IF(OR($A695="",$B695=""),"",IF(ISNUMBER($A695),INT(MOD($A695,10000)/100),IFERROR(VALUE(TRIM(LEFT(MID($A695,FIND("/",$A695)+1,20),FIND("/",MID($A695,FIND("/",$A695)+1,20))-1))),"")))</f>
        <v/>
      </c>
      <c r="D695">
        <f>IF(OR($A695="",$B695=""),"",IF(ISNUMBER($A695),MOD($A695,100),IFERROR(VALUE(TRIM(MID(MID($A695,FIND("/",$A695)+1,20),FIND("/",MID($A695,FIND("/",$A695)+1,20))+1,20))),"")))</f>
        <v/>
      </c>
      <c r="E695">
        <f>IF($A695="","",IF(OR($B695="",$C695="",$D695="",$B695&lt;1300,$B695&gt;1500,$C695&lt;1,$C695&gt;12,$D695&lt;1,$D695&gt;31),"نامعتبر",RIGHT("0000"&amp;$B695,4)&amp;"/"&amp;RIGHT("00"&amp;$C695,2)&amp;"/"&amp;RIGHT("00"&amp;$D695,2)))</f>
        <v/>
      </c>
      <c r="F695">
        <f>IF(OR($E695="",$E695="نامعتبر"),"",LEFT($E695,4)&amp;"/"&amp;MID($E695,6,2))</f>
        <v/>
      </c>
      <c r="G695">
        <f>IF(OR($E695="",$E695="نامعتبر",Sync!$X691=""),"",IF(AND(LEFT(UPPER(TRIM(Sync!$X691)),2)="SL",IFERROR(VLOOKUP(Sync!$W691,OpTbl,3,0),"")="فروش"),UPPER(TRIM(Sync!$X691)),""))</f>
        <v/>
      </c>
      <c r="H695">
        <f>IF($G695="","",IF(Sync!$W691="","",Sync!$W691))</f>
        <v/>
      </c>
      <c r="I695">
        <f>IF(OR($G695="",Sync!$Y691=""),"",Sync!$Y691)</f>
        <v/>
      </c>
      <c r="J695">
        <f>IF(OR($G695="",Sync!$Z691=""),"",Sync!$Z691)</f>
        <v/>
      </c>
      <c r="K695">
        <f>IF($G695="",0,IF(Sync!$AA691="",0,Sync!$AA691))</f>
        <v/>
      </c>
      <c r="L695">
        <f>IF($G695="",0,IF(Sync!$AB691="",0,Sync!$AB691))</f>
        <v/>
      </c>
      <c r="M695">
        <f>IF($G695="","",IF($H695="مرجوعی فروش",-1,1)*($K695-$L695*IFERROR(VLOOKUP("P01",ParamTbl,3,0),1.5)))</f>
        <v/>
      </c>
      <c r="N695">
        <f>IF($G695="",0,IF($H695="مرجوعی فروش",-1,1)*IF(Sync!$AC691="",0,Sync!$AC691))</f>
        <v/>
      </c>
      <c r="O695">
        <f>IF(OR($G695="",Sync!$V691=""),"",Sync!$V691)</f>
        <v/>
      </c>
      <c r="P695">
        <f>IF(OR($G695="",Sync!$AD691=""),"",Sync!$AD691)</f>
        <v/>
      </c>
      <c r="Q695">
        <f>IF($G695="","",IF(Sync!$U691="","0000",IF(AND(ISNUMBER(Sync!$U691),Sync!$U691&gt;=0,Sync!$U691&lt;1),RIGHT("00"&amp;HOUR(Sync!$U691),2)&amp;RIGHT("00"&amp;MINUTE(Sync!$U691),2),IFERROR(RIGHT("00"&amp;VALUE(LEFT(Sync!$U691,FIND(":",Sync!$U691)-1)),2)&amp;RIGHT("00"&amp;VALUE(MID(Sync!$U691,FIND(":",Sync!$U691)+1,2)),2),"0000"))))</f>
        <v/>
      </c>
    </row>
    <row r="696">
      <c r="A696">
        <f>IF(Sync!$T692="","",Sync!$T692)</f>
        <v/>
      </c>
      <c r="B696">
        <f>IF($A696="","",IF(ISNUMBER($A696),IF(AND($A696&gt;=10000101,$A696&lt;=99991231),INT($A696/10000),""),IFERROR(VALUE(TRIM(LEFT($A696,FIND("/",$A696)-1))),"")))</f>
        <v/>
      </c>
      <c r="C696">
        <f>IF(OR($A696="",$B696=""),"",IF(ISNUMBER($A696),INT(MOD($A696,10000)/100),IFERROR(VALUE(TRIM(LEFT(MID($A696,FIND("/",$A696)+1,20),FIND("/",MID($A696,FIND("/",$A696)+1,20))-1))),"")))</f>
        <v/>
      </c>
      <c r="D696">
        <f>IF(OR($A696="",$B696=""),"",IF(ISNUMBER($A696),MOD($A696,100),IFERROR(VALUE(TRIM(MID(MID($A696,FIND("/",$A696)+1,20),FIND("/",MID($A696,FIND("/",$A696)+1,20))+1,20))),"")))</f>
        <v/>
      </c>
      <c r="E696">
        <f>IF($A696="","",IF(OR($B696="",$C696="",$D696="",$B696&lt;1300,$B696&gt;1500,$C696&lt;1,$C696&gt;12,$D696&lt;1,$D696&gt;31),"نامعتبر",RIGHT("0000"&amp;$B696,4)&amp;"/"&amp;RIGHT("00"&amp;$C696,2)&amp;"/"&amp;RIGHT("00"&amp;$D696,2)))</f>
        <v/>
      </c>
      <c r="F696">
        <f>IF(OR($E696="",$E696="نامعتبر"),"",LEFT($E696,4)&amp;"/"&amp;MID($E696,6,2))</f>
        <v/>
      </c>
      <c r="G696">
        <f>IF(OR($E696="",$E696="نامعتبر",Sync!$X692=""),"",IF(AND(LEFT(UPPER(TRIM(Sync!$X692)),2)="SL",IFERROR(VLOOKUP(Sync!$W692,OpTbl,3,0),"")="فروش"),UPPER(TRIM(Sync!$X692)),""))</f>
        <v/>
      </c>
      <c r="H696">
        <f>IF($G696="","",IF(Sync!$W692="","",Sync!$W692))</f>
        <v/>
      </c>
      <c r="I696">
        <f>IF(OR($G696="",Sync!$Y692=""),"",Sync!$Y692)</f>
        <v/>
      </c>
      <c r="J696">
        <f>IF(OR($G696="",Sync!$Z692=""),"",Sync!$Z692)</f>
        <v/>
      </c>
      <c r="K696">
        <f>IF($G696="",0,IF(Sync!$AA692="",0,Sync!$AA692))</f>
        <v/>
      </c>
      <c r="L696">
        <f>IF($G696="",0,IF(Sync!$AB692="",0,Sync!$AB692))</f>
        <v/>
      </c>
      <c r="M696">
        <f>IF($G696="","",IF($H696="مرجوعی فروش",-1,1)*($K696-$L696*IFERROR(VLOOKUP("P01",ParamTbl,3,0),1.5)))</f>
        <v/>
      </c>
      <c r="N696">
        <f>IF($G696="",0,IF($H696="مرجوعی فروش",-1,1)*IF(Sync!$AC692="",0,Sync!$AC692))</f>
        <v/>
      </c>
      <c r="O696">
        <f>IF(OR($G696="",Sync!$V692=""),"",Sync!$V692)</f>
        <v/>
      </c>
      <c r="P696">
        <f>IF(OR($G696="",Sync!$AD692=""),"",Sync!$AD692)</f>
        <v/>
      </c>
      <c r="Q696">
        <f>IF($G696="","",IF(Sync!$U692="","0000",IF(AND(ISNUMBER(Sync!$U692),Sync!$U692&gt;=0,Sync!$U692&lt;1),RIGHT("00"&amp;HOUR(Sync!$U692),2)&amp;RIGHT("00"&amp;MINUTE(Sync!$U692),2),IFERROR(RIGHT("00"&amp;VALUE(LEFT(Sync!$U692,FIND(":",Sync!$U692)-1)),2)&amp;RIGHT("00"&amp;VALUE(MID(Sync!$U692,FIND(":",Sync!$U692)+1,2)),2),"0000"))))</f>
        <v/>
      </c>
    </row>
    <row r="697">
      <c r="A697">
        <f>IF(Sync!$T693="","",Sync!$T693)</f>
        <v/>
      </c>
      <c r="B697">
        <f>IF($A697="","",IF(ISNUMBER($A697),IF(AND($A697&gt;=10000101,$A697&lt;=99991231),INT($A697/10000),""),IFERROR(VALUE(TRIM(LEFT($A697,FIND("/",$A697)-1))),"")))</f>
        <v/>
      </c>
      <c r="C697">
        <f>IF(OR($A697="",$B697=""),"",IF(ISNUMBER($A697),INT(MOD($A697,10000)/100),IFERROR(VALUE(TRIM(LEFT(MID($A697,FIND("/",$A697)+1,20),FIND("/",MID($A697,FIND("/",$A697)+1,20))-1))),"")))</f>
        <v/>
      </c>
      <c r="D697">
        <f>IF(OR($A697="",$B697=""),"",IF(ISNUMBER($A697),MOD($A697,100),IFERROR(VALUE(TRIM(MID(MID($A697,FIND("/",$A697)+1,20),FIND("/",MID($A697,FIND("/",$A697)+1,20))+1,20))),"")))</f>
        <v/>
      </c>
      <c r="E697">
        <f>IF($A697="","",IF(OR($B697="",$C697="",$D697="",$B697&lt;1300,$B697&gt;1500,$C697&lt;1,$C697&gt;12,$D697&lt;1,$D697&gt;31),"نامعتبر",RIGHT("0000"&amp;$B697,4)&amp;"/"&amp;RIGHT("00"&amp;$C697,2)&amp;"/"&amp;RIGHT("00"&amp;$D697,2)))</f>
        <v/>
      </c>
      <c r="F697">
        <f>IF(OR($E697="",$E697="نامعتبر"),"",LEFT($E697,4)&amp;"/"&amp;MID($E697,6,2))</f>
        <v/>
      </c>
      <c r="G697">
        <f>IF(OR($E697="",$E697="نامعتبر",Sync!$X693=""),"",IF(AND(LEFT(UPPER(TRIM(Sync!$X693)),2)="SL",IFERROR(VLOOKUP(Sync!$W693,OpTbl,3,0),"")="فروش"),UPPER(TRIM(Sync!$X693)),""))</f>
        <v/>
      </c>
      <c r="H697">
        <f>IF($G697="","",IF(Sync!$W693="","",Sync!$W693))</f>
        <v/>
      </c>
      <c r="I697">
        <f>IF(OR($G697="",Sync!$Y693=""),"",Sync!$Y693)</f>
        <v/>
      </c>
      <c r="J697">
        <f>IF(OR($G697="",Sync!$Z693=""),"",Sync!$Z693)</f>
        <v/>
      </c>
      <c r="K697">
        <f>IF($G697="",0,IF(Sync!$AA693="",0,Sync!$AA693))</f>
        <v/>
      </c>
      <c r="L697">
        <f>IF($G697="",0,IF(Sync!$AB693="",0,Sync!$AB693))</f>
        <v/>
      </c>
      <c r="M697">
        <f>IF($G697="","",IF($H697="مرجوعی فروش",-1,1)*($K697-$L697*IFERROR(VLOOKUP("P01",ParamTbl,3,0),1.5)))</f>
        <v/>
      </c>
      <c r="N697">
        <f>IF($G697="",0,IF($H697="مرجوعی فروش",-1,1)*IF(Sync!$AC693="",0,Sync!$AC693))</f>
        <v/>
      </c>
      <c r="O697">
        <f>IF(OR($G697="",Sync!$V693=""),"",Sync!$V693)</f>
        <v/>
      </c>
      <c r="P697">
        <f>IF(OR($G697="",Sync!$AD693=""),"",Sync!$AD693)</f>
        <v/>
      </c>
      <c r="Q697">
        <f>IF($G697="","",IF(Sync!$U693="","0000",IF(AND(ISNUMBER(Sync!$U693),Sync!$U693&gt;=0,Sync!$U693&lt;1),RIGHT("00"&amp;HOUR(Sync!$U693),2)&amp;RIGHT("00"&amp;MINUTE(Sync!$U693),2),IFERROR(RIGHT("00"&amp;VALUE(LEFT(Sync!$U693,FIND(":",Sync!$U693)-1)),2)&amp;RIGHT("00"&amp;VALUE(MID(Sync!$U693,FIND(":",Sync!$U693)+1,2)),2),"0000"))))</f>
        <v/>
      </c>
    </row>
    <row r="698">
      <c r="A698">
        <f>IF(Sync!$T694="","",Sync!$T694)</f>
        <v/>
      </c>
      <c r="B698">
        <f>IF($A698="","",IF(ISNUMBER($A698),IF(AND($A698&gt;=10000101,$A698&lt;=99991231),INT($A698/10000),""),IFERROR(VALUE(TRIM(LEFT($A698,FIND("/",$A698)-1))),"")))</f>
        <v/>
      </c>
      <c r="C698">
        <f>IF(OR($A698="",$B698=""),"",IF(ISNUMBER($A698),INT(MOD($A698,10000)/100),IFERROR(VALUE(TRIM(LEFT(MID($A698,FIND("/",$A698)+1,20),FIND("/",MID($A698,FIND("/",$A698)+1,20))-1))),"")))</f>
        <v/>
      </c>
      <c r="D698">
        <f>IF(OR($A698="",$B698=""),"",IF(ISNUMBER($A698),MOD($A698,100),IFERROR(VALUE(TRIM(MID(MID($A698,FIND("/",$A698)+1,20),FIND("/",MID($A698,FIND("/",$A698)+1,20))+1,20))),"")))</f>
        <v/>
      </c>
      <c r="E698">
        <f>IF($A698="","",IF(OR($B698="",$C698="",$D698="",$B698&lt;1300,$B698&gt;1500,$C698&lt;1,$C698&gt;12,$D698&lt;1,$D698&gt;31),"نامعتبر",RIGHT("0000"&amp;$B698,4)&amp;"/"&amp;RIGHT("00"&amp;$C698,2)&amp;"/"&amp;RIGHT("00"&amp;$D698,2)))</f>
        <v/>
      </c>
      <c r="F698">
        <f>IF(OR($E698="",$E698="نامعتبر"),"",LEFT($E698,4)&amp;"/"&amp;MID($E698,6,2))</f>
        <v/>
      </c>
      <c r="G698">
        <f>IF(OR($E698="",$E698="نامعتبر",Sync!$X694=""),"",IF(AND(LEFT(UPPER(TRIM(Sync!$X694)),2)="SL",IFERROR(VLOOKUP(Sync!$W694,OpTbl,3,0),"")="فروش"),UPPER(TRIM(Sync!$X694)),""))</f>
        <v/>
      </c>
      <c r="H698">
        <f>IF($G698="","",IF(Sync!$W694="","",Sync!$W694))</f>
        <v/>
      </c>
      <c r="I698">
        <f>IF(OR($G698="",Sync!$Y694=""),"",Sync!$Y694)</f>
        <v/>
      </c>
      <c r="J698">
        <f>IF(OR($G698="",Sync!$Z694=""),"",Sync!$Z694)</f>
        <v/>
      </c>
      <c r="K698">
        <f>IF($G698="",0,IF(Sync!$AA694="",0,Sync!$AA694))</f>
        <v/>
      </c>
      <c r="L698">
        <f>IF($G698="",0,IF(Sync!$AB694="",0,Sync!$AB694))</f>
        <v/>
      </c>
      <c r="M698">
        <f>IF($G698="","",IF($H698="مرجوعی فروش",-1,1)*($K698-$L698*IFERROR(VLOOKUP("P01",ParamTbl,3,0),1.5)))</f>
        <v/>
      </c>
      <c r="N698">
        <f>IF($G698="",0,IF($H698="مرجوعی فروش",-1,1)*IF(Sync!$AC694="",0,Sync!$AC694))</f>
        <v/>
      </c>
      <c r="O698">
        <f>IF(OR($G698="",Sync!$V694=""),"",Sync!$V694)</f>
        <v/>
      </c>
      <c r="P698">
        <f>IF(OR($G698="",Sync!$AD694=""),"",Sync!$AD694)</f>
        <v/>
      </c>
      <c r="Q698">
        <f>IF($G698="","",IF(Sync!$U694="","0000",IF(AND(ISNUMBER(Sync!$U694),Sync!$U694&gt;=0,Sync!$U694&lt;1),RIGHT("00"&amp;HOUR(Sync!$U694),2)&amp;RIGHT("00"&amp;MINUTE(Sync!$U694),2),IFERROR(RIGHT("00"&amp;VALUE(LEFT(Sync!$U694,FIND(":",Sync!$U694)-1)),2)&amp;RIGHT("00"&amp;VALUE(MID(Sync!$U694,FIND(":",Sync!$U694)+1,2)),2),"0000"))))</f>
        <v/>
      </c>
    </row>
    <row r="699">
      <c r="A699">
        <f>IF(Sync!$T695="","",Sync!$T695)</f>
        <v/>
      </c>
      <c r="B699">
        <f>IF($A699="","",IF(ISNUMBER($A699),IF(AND($A699&gt;=10000101,$A699&lt;=99991231),INT($A699/10000),""),IFERROR(VALUE(TRIM(LEFT($A699,FIND("/",$A699)-1))),"")))</f>
        <v/>
      </c>
      <c r="C699">
        <f>IF(OR($A699="",$B699=""),"",IF(ISNUMBER($A699),INT(MOD($A699,10000)/100),IFERROR(VALUE(TRIM(LEFT(MID($A699,FIND("/",$A699)+1,20),FIND("/",MID($A699,FIND("/",$A699)+1,20))-1))),"")))</f>
        <v/>
      </c>
      <c r="D699">
        <f>IF(OR($A699="",$B699=""),"",IF(ISNUMBER($A699),MOD($A699,100),IFERROR(VALUE(TRIM(MID(MID($A699,FIND("/",$A699)+1,20),FIND("/",MID($A699,FIND("/",$A699)+1,20))+1,20))),"")))</f>
        <v/>
      </c>
      <c r="E699">
        <f>IF($A699="","",IF(OR($B699="",$C699="",$D699="",$B699&lt;1300,$B699&gt;1500,$C699&lt;1,$C699&gt;12,$D699&lt;1,$D699&gt;31),"نامعتبر",RIGHT("0000"&amp;$B699,4)&amp;"/"&amp;RIGHT("00"&amp;$C699,2)&amp;"/"&amp;RIGHT("00"&amp;$D699,2)))</f>
        <v/>
      </c>
      <c r="F699">
        <f>IF(OR($E699="",$E699="نامعتبر"),"",LEFT($E699,4)&amp;"/"&amp;MID($E699,6,2))</f>
        <v/>
      </c>
      <c r="G699">
        <f>IF(OR($E699="",$E699="نامعتبر",Sync!$X695=""),"",IF(AND(LEFT(UPPER(TRIM(Sync!$X695)),2)="SL",IFERROR(VLOOKUP(Sync!$W695,OpTbl,3,0),"")="فروش"),UPPER(TRIM(Sync!$X695)),""))</f>
        <v/>
      </c>
      <c r="H699">
        <f>IF($G699="","",IF(Sync!$W695="","",Sync!$W695))</f>
        <v/>
      </c>
      <c r="I699">
        <f>IF(OR($G699="",Sync!$Y695=""),"",Sync!$Y695)</f>
        <v/>
      </c>
      <c r="J699">
        <f>IF(OR($G699="",Sync!$Z695=""),"",Sync!$Z695)</f>
        <v/>
      </c>
      <c r="K699">
        <f>IF($G699="",0,IF(Sync!$AA695="",0,Sync!$AA695))</f>
        <v/>
      </c>
      <c r="L699">
        <f>IF($G699="",0,IF(Sync!$AB695="",0,Sync!$AB695))</f>
        <v/>
      </c>
      <c r="M699">
        <f>IF($G699="","",IF($H699="مرجوعی فروش",-1,1)*($K699-$L699*IFERROR(VLOOKUP("P01",ParamTbl,3,0),1.5)))</f>
        <v/>
      </c>
      <c r="N699">
        <f>IF($G699="",0,IF($H699="مرجوعی فروش",-1,1)*IF(Sync!$AC695="",0,Sync!$AC695))</f>
        <v/>
      </c>
      <c r="O699">
        <f>IF(OR($G699="",Sync!$V695=""),"",Sync!$V695)</f>
        <v/>
      </c>
      <c r="P699">
        <f>IF(OR($G699="",Sync!$AD695=""),"",Sync!$AD695)</f>
        <v/>
      </c>
      <c r="Q699">
        <f>IF($G699="","",IF(Sync!$U695="","0000",IF(AND(ISNUMBER(Sync!$U695),Sync!$U695&gt;=0,Sync!$U695&lt;1),RIGHT("00"&amp;HOUR(Sync!$U695),2)&amp;RIGHT("00"&amp;MINUTE(Sync!$U695),2),IFERROR(RIGHT("00"&amp;VALUE(LEFT(Sync!$U695,FIND(":",Sync!$U695)-1)),2)&amp;RIGHT("00"&amp;VALUE(MID(Sync!$U695,FIND(":",Sync!$U695)+1,2)),2),"0000"))))</f>
        <v/>
      </c>
    </row>
    <row r="700">
      <c r="A700">
        <f>IF(Sync!$T696="","",Sync!$T696)</f>
        <v/>
      </c>
      <c r="B700">
        <f>IF($A700="","",IF(ISNUMBER($A700),IF(AND($A700&gt;=10000101,$A700&lt;=99991231),INT($A700/10000),""),IFERROR(VALUE(TRIM(LEFT($A700,FIND("/",$A700)-1))),"")))</f>
        <v/>
      </c>
      <c r="C700">
        <f>IF(OR($A700="",$B700=""),"",IF(ISNUMBER($A700),INT(MOD($A700,10000)/100),IFERROR(VALUE(TRIM(LEFT(MID($A700,FIND("/",$A700)+1,20),FIND("/",MID($A700,FIND("/",$A700)+1,20))-1))),"")))</f>
        <v/>
      </c>
      <c r="D700">
        <f>IF(OR($A700="",$B700=""),"",IF(ISNUMBER($A700),MOD($A700,100),IFERROR(VALUE(TRIM(MID(MID($A700,FIND("/",$A700)+1,20),FIND("/",MID($A700,FIND("/",$A700)+1,20))+1,20))),"")))</f>
        <v/>
      </c>
      <c r="E700">
        <f>IF($A700="","",IF(OR($B700="",$C700="",$D700="",$B700&lt;1300,$B700&gt;1500,$C700&lt;1,$C700&gt;12,$D700&lt;1,$D700&gt;31),"نامعتبر",RIGHT("0000"&amp;$B700,4)&amp;"/"&amp;RIGHT("00"&amp;$C700,2)&amp;"/"&amp;RIGHT("00"&amp;$D700,2)))</f>
        <v/>
      </c>
      <c r="F700">
        <f>IF(OR($E700="",$E700="نامعتبر"),"",LEFT($E700,4)&amp;"/"&amp;MID($E700,6,2))</f>
        <v/>
      </c>
      <c r="G700">
        <f>IF(OR($E700="",$E700="نامعتبر",Sync!$X696=""),"",IF(AND(LEFT(UPPER(TRIM(Sync!$X696)),2)="SL",IFERROR(VLOOKUP(Sync!$W696,OpTbl,3,0),"")="فروش"),UPPER(TRIM(Sync!$X696)),""))</f>
        <v/>
      </c>
      <c r="H700">
        <f>IF($G700="","",IF(Sync!$W696="","",Sync!$W696))</f>
        <v/>
      </c>
      <c r="I700">
        <f>IF(OR($G700="",Sync!$Y696=""),"",Sync!$Y696)</f>
        <v/>
      </c>
      <c r="J700">
        <f>IF(OR($G700="",Sync!$Z696=""),"",Sync!$Z696)</f>
        <v/>
      </c>
      <c r="K700">
        <f>IF($G700="",0,IF(Sync!$AA696="",0,Sync!$AA696))</f>
        <v/>
      </c>
      <c r="L700">
        <f>IF($G700="",0,IF(Sync!$AB696="",0,Sync!$AB696))</f>
        <v/>
      </c>
      <c r="M700">
        <f>IF($G700="","",IF($H700="مرجوعی فروش",-1,1)*($K700-$L700*IFERROR(VLOOKUP("P01",ParamTbl,3,0),1.5)))</f>
        <v/>
      </c>
      <c r="N700">
        <f>IF($G700="",0,IF($H700="مرجوعی فروش",-1,1)*IF(Sync!$AC696="",0,Sync!$AC696))</f>
        <v/>
      </c>
      <c r="O700">
        <f>IF(OR($G700="",Sync!$V696=""),"",Sync!$V696)</f>
        <v/>
      </c>
      <c r="P700">
        <f>IF(OR($G700="",Sync!$AD696=""),"",Sync!$AD696)</f>
        <v/>
      </c>
      <c r="Q700">
        <f>IF($G700="","",IF(Sync!$U696="","0000",IF(AND(ISNUMBER(Sync!$U696),Sync!$U696&gt;=0,Sync!$U696&lt;1),RIGHT("00"&amp;HOUR(Sync!$U696),2)&amp;RIGHT("00"&amp;MINUTE(Sync!$U696),2),IFERROR(RIGHT("00"&amp;VALUE(LEFT(Sync!$U696,FIND(":",Sync!$U696)-1)),2)&amp;RIGHT("00"&amp;VALUE(MID(Sync!$U696,FIND(":",Sync!$U696)+1,2)),2),"0000"))))</f>
        <v/>
      </c>
    </row>
    <row r="701">
      <c r="A701">
        <f>IF(Sync!$T697="","",Sync!$T697)</f>
        <v/>
      </c>
      <c r="B701">
        <f>IF($A701="","",IF(ISNUMBER($A701),IF(AND($A701&gt;=10000101,$A701&lt;=99991231),INT($A701/10000),""),IFERROR(VALUE(TRIM(LEFT($A701,FIND("/",$A701)-1))),"")))</f>
        <v/>
      </c>
      <c r="C701">
        <f>IF(OR($A701="",$B701=""),"",IF(ISNUMBER($A701),INT(MOD($A701,10000)/100),IFERROR(VALUE(TRIM(LEFT(MID($A701,FIND("/",$A701)+1,20),FIND("/",MID($A701,FIND("/",$A701)+1,20))-1))),"")))</f>
        <v/>
      </c>
      <c r="D701">
        <f>IF(OR($A701="",$B701=""),"",IF(ISNUMBER($A701),MOD($A701,100),IFERROR(VALUE(TRIM(MID(MID($A701,FIND("/",$A701)+1,20),FIND("/",MID($A701,FIND("/",$A701)+1,20))+1,20))),"")))</f>
        <v/>
      </c>
      <c r="E701">
        <f>IF($A701="","",IF(OR($B701="",$C701="",$D701="",$B701&lt;1300,$B701&gt;1500,$C701&lt;1,$C701&gt;12,$D701&lt;1,$D701&gt;31),"نامعتبر",RIGHT("0000"&amp;$B701,4)&amp;"/"&amp;RIGHT("00"&amp;$C701,2)&amp;"/"&amp;RIGHT("00"&amp;$D701,2)))</f>
        <v/>
      </c>
      <c r="F701">
        <f>IF(OR($E701="",$E701="نامعتبر"),"",LEFT($E701,4)&amp;"/"&amp;MID($E701,6,2))</f>
        <v/>
      </c>
      <c r="G701">
        <f>IF(OR($E701="",$E701="نامعتبر",Sync!$X697=""),"",IF(AND(LEFT(UPPER(TRIM(Sync!$X697)),2)="SL",IFERROR(VLOOKUP(Sync!$W697,OpTbl,3,0),"")="فروش"),UPPER(TRIM(Sync!$X697)),""))</f>
        <v/>
      </c>
      <c r="H701">
        <f>IF($G701="","",IF(Sync!$W697="","",Sync!$W697))</f>
        <v/>
      </c>
      <c r="I701">
        <f>IF(OR($G701="",Sync!$Y697=""),"",Sync!$Y697)</f>
        <v/>
      </c>
      <c r="J701">
        <f>IF(OR($G701="",Sync!$Z697=""),"",Sync!$Z697)</f>
        <v/>
      </c>
      <c r="K701">
        <f>IF($G701="",0,IF(Sync!$AA697="",0,Sync!$AA697))</f>
        <v/>
      </c>
      <c r="L701">
        <f>IF($G701="",0,IF(Sync!$AB697="",0,Sync!$AB697))</f>
        <v/>
      </c>
      <c r="M701">
        <f>IF($G701="","",IF($H701="مرجوعی فروش",-1,1)*($K701-$L701*IFERROR(VLOOKUP("P01",ParamTbl,3,0),1.5)))</f>
        <v/>
      </c>
      <c r="N701">
        <f>IF($G701="",0,IF($H701="مرجوعی فروش",-1,1)*IF(Sync!$AC697="",0,Sync!$AC697))</f>
        <v/>
      </c>
      <c r="O701">
        <f>IF(OR($G701="",Sync!$V697=""),"",Sync!$V697)</f>
        <v/>
      </c>
      <c r="P701">
        <f>IF(OR($G701="",Sync!$AD697=""),"",Sync!$AD697)</f>
        <v/>
      </c>
      <c r="Q701">
        <f>IF($G701="","",IF(Sync!$U697="","0000",IF(AND(ISNUMBER(Sync!$U697),Sync!$U697&gt;=0,Sync!$U697&lt;1),RIGHT("00"&amp;HOUR(Sync!$U697),2)&amp;RIGHT("00"&amp;MINUTE(Sync!$U697),2),IFERROR(RIGHT("00"&amp;VALUE(LEFT(Sync!$U697,FIND(":",Sync!$U697)-1)),2)&amp;RIGHT("00"&amp;VALUE(MID(Sync!$U697,FIND(":",Sync!$U697)+1,2)),2),"0000"))))</f>
        <v/>
      </c>
    </row>
    <row r="702">
      <c r="A702">
        <f>IF(Sync!$T698="","",Sync!$T698)</f>
        <v/>
      </c>
      <c r="B702">
        <f>IF($A702="","",IF(ISNUMBER($A702),IF(AND($A702&gt;=10000101,$A702&lt;=99991231),INT($A702/10000),""),IFERROR(VALUE(TRIM(LEFT($A702,FIND("/",$A702)-1))),"")))</f>
        <v/>
      </c>
      <c r="C702">
        <f>IF(OR($A702="",$B702=""),"",IF(ISNUMBER($A702),INT(MOD($A702,10000)/100),IFERROR(VALUE(TRIM(LEFT(MID($A702,FIND("/",$A702)+1,20),FIND("/",MID($A702,FIND("/",$A702)+1,20))-1))),"")))</f>
        <v/>
      </c>
      <c r="D702">
        <f>IF(OR($A702="",$B702=""),"",IF(ISNUMBER($A702),MOD($A702,100),IFERROR(VALUE(TRIM(MID(MID($A702,FIND("/",$A702)+1,20),FIND("/",MID($A702,FIND("/",$A702)+1,20))+1,20))),"")))</f>
        <v/>
      </c>
      <c r="E702">
        <f>IF($A702="","",IF(OR($B702="",$C702="",$D702="",$B702&lt;1300,$B702&gt;1500,$C702&lt;1,$C702&gt;12,$D702&lt;1,$D702&gt;31),"نامعتبر",RIGHT("0000"&amp;$B702,4)&amp;"/"&amp;RIGHT("00"&amp;$C702,2)&amp;"/"&amp;RIGHT("00"&amp;$D702,2)))</f>
        <v/>
      </c>
      <c r="F702">
        <f>IF(OR($E702="",$E702="نامعتبر"),"",LEFT($E702,4)&amp;"/"&amp;MID($E702,6,2))</f>
        <v/>
      </c>
      <c r="G702">
        <f>IF(OR($E702="",$E702="نامعتبر",Sync!$X698=""),"",IF(AND(LEFT(UPPER(TRIM(Sync!$X698)),2)="SL",IFERROR(VLOOKUP(Sync!$W698,OpTbl,3,0),"")="فروش"),UPPER(TRIM(Sync!$X698)),""))</f>
        <v/>
      </c>
      <c r="H702">
        <f>IF($G702="","",IF(Sync!$W698="","",Sync!$W698))</f>
        <v/>
      </c>
      <c r="I702">
        <f>IF(OR($G702="",Sync!$Y698=""),"",Sync!$Y698)</f>
        <v/>
      </c>
      <c r="J702">
        <f>IF(OR($G702="",Sync!$Z698=""),"",Sync!$Z698)</f>
        <v/>
      </c>
      <c r="K702">
        <f>IF($G702="",0,IF(Sync!$AA698="",0,Sync!$AA698))</f>
        <v/>
      </c>
      <c r="L702">
        <f>IF($G702="",0,IF(Sync!$AB698="",0,Sync!$AB698))</f>
        <v/>
      </c>
      <c r="M702">
        <f>IF($G702="","",IF($H702="مرجوعی فروش",-1,1)*($K702-$L702*IFERROR(VLOOKUP("P01",ParamTbl,3,0),1.5)))</f>
        <v/>
      </c>
      <c r="N702">
        <f>IF($G702="",0,IF($H702="مرجوعی فروش",-1,1)*IF(Sync!$AC698="",0,Sync!$AC698))</f>
        <v/>
      </c>
      <c r="O702">
        <f>IF(OR($G702="",Sync!$V698=""),"",Sync!$V698)</f>
        <v/>
      </c>
      <c r="P702">
        <f>IF(OR($G702="",Sync!$AD698=""),"",Sync!$AD698)</f>
        <v/>
      </c>
      <c r="Q702">
        <f>IF($G702="","",IF(Sync!$U698="","0000",IF(AND(ISNUMBER(Sync!$U698),Sync!$U698&gt;=0,Sync!$U698&lt;1),RIGHT("00"&amp;HOUR(Sync!$U698),2)&amp;RIGHT("00"&amp;MINUTE(Sync!$U698),2),IFERROR(RIGHT("00"&amp;VALUE(LEFT(Sync!$U698,FIND(":",Sync!$U698)-1)),2)&amp;RIGHT("00"&amp;VALUE(MID(Sync!$U698,FIND(":",Sync!$U698)+1,2)),2),"0000"))))</f>
        <v/>
      </c>
    </row>
    <row r="703">
      <c r="A703">
        <f>IF(Sync!$T699="","",Sync!$T699)</f>
        <v/>
      </c>
      <c r="B703">
        <f>IF($A703="","",IF(ISNUMBER($A703),IF(AND($A703&gt;=10000101,$A703&lt;=99991231),INT($A703/10000),""),IFERROR(VALUE(TRIM(LEFT($A703,FIND("/",$A703)-1))),"")))</f>
        <v/>
      </c>
      <c r="C703">
        <f>IF(OR($A703="",$B703=""),"",IF(ISNUMBER($A703),INT(MOD($A703,10000)/100),IFERROR(VALUE(TRIM(LEFT(MID($A703,FIND("/",$A703)+1,20),FIND("/",MID($A703,FIND("/",$A703)+1,20))-1))),"")))</f>
        <v/>
      </c>
      <c r="D703">
        <f>IF(OR($A703="",$B703=""),"",IF(ISNUMBER($A703),MOD($A703,100),IFERROR(VALUE(TRIM(MID(MID($A703,FIND("/",$A703)+1,20),FIND("/",MID($A703,FIND("/",$A703)+1,20))+1,20))),"")))</f>
        <v/>
      </c>
      <c r="E703">
        <f>IF($A703="","",IF(OR($B703="",$C703="",$D703="",$B703&lt;1300,$B703&gt;1500,$C703&lt;1,$C703&gt;12,$D703&lt;1,$D703&gt;31),"نامعتبر",RIGHT("0000"&amp;$B703,4)&amp;"/"&amp;RIGHT("00"&amp;$C703,2)&amp;"/"&amp;RIGHT("00"&amp;$D703,2)))</f>
        <v/>
      </c>
      <c r="F703">
        <f>IF(OR($E703="",$E703="نامعتبر"),"",LEFT($E703,4)&amp;"/"&amp;MID($E703,6,2))</f>
        <v/>
      </c>
      <c r="G703">
        <f>IF(OR($E703="",$E703="نامعتبر",Sync!$X699=""),"",IF(AND(LEFT(UPPER(TRIM(Sync!$X699)),2)="SL",IFERROR(VLOOKUP(Sync!$W699,OpTbl,3,0),"")="فروش"),UPPER(TRIM(Sync!$X699)),""))</f>
        <v/>
      </c>
      <c r="H703">
        <f>IF($G703="","",IF(Sync!$W699="","",Sync!$W699))</f>
        <v/>
      </c>
      <c r="I703">
        <f>IF(OR($G703="",Sync!$Y699=""),"",Sync!$Y699)</f>
        <v/>
      </c>
      <c r="J703">
        <f>IF(OR($G703="",Sync!$Z699=""),"",Sync!$Z699)</f>
        <v/>
      </c>
      <c r="K703">
        <f>IF($G703="",0,IF(Sync!$AA699="",0,Sync!$AA699))</f>
        <v/>
      </c>
      <c r="L703">
        <f>IF($G703="",0,IF(Sync!$AB699="",0,Sync!$AB699))</f>
        <v/>
      </c>
      <c r="M703">
        <f>IF($G703="","",IF($H703="مرجوعی فروش",-1,1)*($K703-$L703*IFERROR(VLOOKUP("P01",ParamTbl,3,0),1.5)))</f>
        <v/>
      </c>
      <c r="N703">
        <f>IF($G703="",0,IF($H703="مرجوعی فروش",-1,1)*IF(Sync!$AC699="",0,Sync!$AC699))</f>
        <v/>
      </c>
      <c r="O703">
        <f>IF(OR($G703="",Sync!$V699=""),"",Sync!$V699)</f>
        <v/>
      </c>
      <c r="P703">
        <f>IF(OR($G703="",Sync!$AD699=""),"",Sync!$AD699)</f>
        <v/>
      </c>
      <c r="Q703">
        <f>IF($G703="","",IF(Sync!$U699="","0000",IF(AND(ISNUMBER(Sync!$U699),Sync!$U699&gt;=0,Sync!$U699&lt;1),RIGHT("00"&amp;HOUR(Sync!$U699),2)&amp;RIGHT("00"&amp;MINUTE(Sync!$U699),2),IFERROR(RIGHT("00"&amp;VALUE(LEFT(Sync!$U699,FIND(":",Sync!$U699)-1)),2)&amp;RIGHT("00"&amp;VALUE(MID(Sync!$U699,FIND(":",Sync!$U699)+1,2)),2),"0000"))))</f>
        <v/>
      </c>
    </row>
    <row r="704">
      <c r="A704">
        <f>IF(Sync!$T700="","",Sync!$T700)</f>
        <v/>
      </c>
      <c r="B704">
        <f>IF($A704="","",IF(ISNUMBER($A704),IF(AND($A704&gt;=10000101,$A704&lt;=99991231),INT($A704/10000),""),IFERROR(VALUE(TRIM(LEFT($A704,FIND("/",$A704)-1))),"")))</f>
        <v/>
      </c>
      <c r="C704">
        <f>IF(OR($A704="",$B704=""),"",IF(ISNUMBER($A704),INT(MOD($A704,10000)/100),IFERROR(VALUE(TRIM(LEFT(MID($A704,FIND("/",$A704)+1,20),FIND("/",MID($A704,FIND("/",$A704)+1,20))-1))),"")))</f>
        <v/>
      </c>
      <c r="D704">
        <f>IF(OR($A704="",$B704=""),"",IF(ISNUMBER($A704),MOD($A704,100),IFERROR(VALUE(TRIM(MID(MID($A704,FIND("/",$A704)+1,20),FIND("/",MID($A704,FIND("/",$A704)+1,20))+1,20))),"")))</f>
        <v/>
      </c>
      <c r="E704">
        <f>IF($A704="","",IF(OR($B704="",$C704="",$D704="",$B704&lt;1300,$B704&gt;1500,$C704&lt;1,$C704&gt;12,$D704&lt;1,$D704&gt;31),"نامعتبر",RIGHT("0000"&amp;$B704,4)&amp;"/"&amp;RIGHT("00"&amp;$C704,2)&amp;"/"&amp;RIGHT("00"&amp;$D704,2)))</f>
        <v/>
      </c>
      <c r="F704">
        <f>IF(OR($E704="",$E704="نامعتبر"),"",LEFT($E704,4)&amp;"/"&amp;MID($E704,6,2))</f>
        <v/>
      </c>
      <c r="G704">
        <f>IF(OR($E704="",$E704="نامعتبر",Sync!$X700=""),"",IF(AND(LEFT(UPPER(TRIM(Sync!$X700)),2)="SL",IFERROR(VLOOKUP(Sync!$W700,OpTbl,3,0),"")="فروش"),UPPER(TRIM(Sync!$X700)),""))</f>
        <v/>
      </c>
      <c r="H704">
        <f>IF($G704="","",IF(Sync!$W700="","",Sync!$W700))</f>
        <v/>
      </c>
      <c r="I704">
        <f>IF(OR($G704="",Sync!$Y700=""),"",Sync!$Y700)</f>
        <v/>
      </c>
      <c r="J704">
        <f>IF(OR($G704="",Sync!$Z700=""),"",Sync!$Z700)</f>
        <v/>
      </c>
      <c r="K704">
        <f>IF($G704="",0,IF(Sync!$AA700="",0,Sync!$AA700))</f>
        <v/>
      </c>
      <c r="L704">
        <f>IF($G704="",0,IF(Sync!$AB700="",0,Sync!$AB700))</f>
        <v/>
      </c>
      <c r="M704">
        <f>IF($G704="","",IF($H704="مرجوعی فروش",-1,1)*($K704-$L704*IFERROR(VLOOKUP("P01",ParamTbl,3,0),1.5)))</f>
        <v/>
      </c>
      <c r="N704">
        <f>IF($G704="",0,IF($H704="مرجوعی فروش",-1,1)*IF(Sync!$AC700="",0,Sync!$AC700))</f>
        <v/>
      </c>
      <c r="O704">
        <f>IF(OR($G704="",Sync!$V700=""),"",Sync!$V700)</f>
        <v/>
      </c>
      <c r="P704">
        <f>IF(OR($G704="",Sync!$AD700=""),"",Sync!$AD700)</f>
        <v/>
      </c>
      <c r="Q704">
        <f>IF($G704="","",IF(Sync!$U700="","0000",IF(AND(ISNUMBER(Sync!$U700),Sync!$U700&gt;=0,Sync!$U700&lt;1),RIGHT("00"&amp;HOUR(Sync!$U700),2)&amp;RIGHT("00"&amp;MINUTE(Sync!$U700),2),IFERROR(RIGHT("00"&amp;VALUE(LEFT(Sync!$U700,FIND(":",Sync!$U700)-1)),2)&amp;RIGHT("00"&amp;VALUE(MID(Sync!$U700,FIND(":",Sync!$U700)+1,2)),2),"0000"))))</f>
        <v/>
      </c>
    </row>
    <row r="705">
      <c r="A705">
        <f>IF(Sync!$T701="","",Sync!$T701)</f>
        <v/>
      </c>
      <c r="B705">
        <f>IF($A705="","",IF(ISNUMBER($A705),IF(AND($A705&gt;=10000101,$A705&lt;=99991231),INT($A705/10000),""),IFERROR(VALUE(TRIM(LEFT($A705,FIND("/",$A705)-1))),"")))</f>
        <v/>
      </c>
      <c r="C705">
        <f>IF(OR($A705="",$B705=""),"",IF(ISNUMBER($A705),INT(MOD($A705,10000)/100),IFERROR(VALUE(TRIM(LEFT(MID($A705,FIND("/",$A705)+1,20),FIND("/",MID($A705,FIND("/",$A705)+1,20))-1))),"")))</f>
        <v/>
      </c>
      <c r="D705">
        <f>IF(OR($A705="",$B705=""),"",IF(ISNUMBER($A705),MOD($A705,100),IFERROR(VALUE(TRIM(MID(MID($A705,FIND("/",$A705)+1,20),FIND("/",MID($A705,FIND("/",$A705)+1,20))+1,20))),"")))</f>
        <v/>
      </c>
      <c r="E705">
        <f>IF($A705="","",IF(OR($B705="",$C705="",$D705="",$B705&lt;1300,$B705&gt;1500,$C705&lt;1,$C705&gt;12,$D705&lt;1,$D705&gt;31),"نامعتبر",RIGHT("0000"&amp;$B705,4)&amp;"/"&amp;RIGHT("00"&amp;$C705,2)&amp;"/"&amp;RIGHT("00"&amp;$D705,2)))</f>
        <v/>
      </c>
      <c r="F705">
        <f>IF(OR($E705="",$E705="نامعتبر"),"",LEFT($E705,4)&amp;"/"&amp;MID($E705,6,2))</f>
        <v/>
      </c>
      <c r="G705">
        <f>IF(OR($E705="",$E705="نامعتبر",Sync!$X701=""),"",IF(AND(LEFT(UPPER(TRIM(Sync!$X701)),2)="SL",IFERROR(VLOOKUP(Sync!$W701,OpTbl,3,0),"")="فروش"),UPPER(TRIM(Sync!$X701)),""))</f>
        <v/>
      </c>
      <c r="H705">
        <f>IF($G705="","",IF(Sync!$W701="","",Sync!$W701))</f>
        <v/>
      </c>
      <c r="I705">
        <f>IF(OR($G705="",Sync!$Y701=""),"",Sync!$Y701)</f>
        <v/>
      </c>
      <c r="J705">
        <f>IF(OR($G705="",Sync!$Z701=""),"",Sync!$Z701)</f>
        <v/>
      </c>
      <c r="K705">
        <f>IF($G705="",0,IF(Sync!$AA701="",0,Sync!$AA701))</f>
        <v/>
      </c>
      <c r="L705">
        <f>IF($G705="",0,IF(Sync!$AB701="",0,Sync!$AB701))</f>
        <v/>
      </c>
      <c r="M705">
        <f>IF($G705="","",IF($H705="مرجوعی فروش",-1,1)*($K705-$L705*IFERROR(VLOOKUP("P01",ParamTbl,3,0),1.5)))</f>
        <v/>
      </c>
      <c r="N705">
        <f>IF($G705="",0,IF($H705="مرجوعی فروش",-1,1)*IF(Sync!$AC701="",0,Sync!$AC701))</f>
        <v/>
      </c>
      <c r="O705">
        <f>IF(OR($G705="",Sync!$V701=""),"",Sync!$V701)</f>
        <v/>
      </c>
      <c r="P705">
        <f>IF(OR($G705="",Sync!$AD701=""),"",Sync!$AD701)</f>
        <v/>
      </c>
      <c r="Q705">
        <f>IF($G705="","",IF(Sync!$U701="","0000",IF(AND(ISNUMBER(Sync!$U701),Sync!$U701&gt;=0,Sync!$U701&lt;1),RIGHT("00"&amp;HOUR(Sync!$U701),2)&amp;RIGHT("00"&amp;MINUTE(Sync!$U701),2),IFERROR(RIGHT("00"&amp;VALUE(LEFT(Sync!$U701,FIND(":",Sync!$U701)-1)),2)&amp;RIGHT("00"&amp;VALUE(MID(Sync!$U701,FIND(":",Sync!$U701)+1,2)),2),"0000"))))</f>
        <v/>
      </c>
    </row>
    <row r="706">
      <c r="A706">
        <f>IF(Sync!$T702="","",Sync!$T702)</f>
        <v/>
      </c>
      <c r="B706">
        <f>IF($A706="","",IF(ISNUMBER($A706),IF(AND($A706&gt;=10000101,$A706&lt;=99991231),INT($A706/10000),""),IFERROR(VALUE(TRIM(LEFT($A706,FIND("/",$A706)-1))),"")))</f>
        <v/>
      </c>
      <c r="C706">
        <f>IF(OR($A706="",$B706=""),"",IF(ISNUMBER($A706),INT(MOD($A706,10000)/100),IFERROR(VALUE(TRIM(LEFT(MID($A706,FIND("/",$A706)+1,20),FIND("/",MID($A706,FIND("/",$A706)+1,20))-1))),"")))</f>
        <v/>
      </c>
      <c r="D706">
        <f>IF(OR($A706="",$B706=""),"",IF(ISNUMBER($A706),MOD($A706,100),IFERROR(VALUE(TRIM(MID(MID($A706,FIND("/",$A706)+1,20),FIND("/",MID($A706,FIND("/",$A706)+1,20))+1,20))),"")))</f>
        <v/>
      </c>
      <c r="E706">
        <f>IF($A706="","",IF(OR($B706="",$C706="",$D706="",$B706&lt;1300,$B706&gt;1500,$C706&lt;1,$C706&gt;12,$D706&lt;1,$D706&gt;31),"نامعتبر",RIGHT("0000"&amp;$B706,4)&amp;"/"&amp;RIGHT("00"&amp;$C706,2)&amp;"/"&amp;RIGHT("00"&amp;$D706,2)))</f>
        <v/>
      </c>
      <c r="F706">
        <f>IF(OR($E706="",$E706="نامعتبر"),"",LEFT($E706,4)&amp;"/"&amp;MID($E706,6,2))</f>
        <v/>
      </c>
      <c r="G706">
        <f>IF(OR($E706="",$E706="نامعتبر",Sync!$X702=""),"",IF(AND(LEFT(UPPER(TRIM(Sync!$X702)),2)="SL",IFERROR(VLOOKUP(Sync!$W702,OpTbl,3,0),"")="فروش"),UPPER(TRIM(Sync!$X702)),""))</f>
        <v/>
      </c>
      <c r="H706">
        <f>IF($G706="","",IF(Sync!$W702="","",Sync!$W702))</f>
        <v/>
      </c>
      <c r="I706">
        <f>IF(OR($G706="",Sync!$Y702=""),"",Sync!$Y702)</f>
        <v/>
      </c>
      <c r="J706">
        <f>IF(OR($G706="",Sync!$Z702=""),"",Sync!$Z702)</f>
        <v/>
      </c>
      <c r="K706">
        <f>IF($G706="",0,IF(Sync!$AA702="",0,Sync!$AA702))</f>
        <v/>
      </c>
      <c r="L706">
        <f>IF($G706="",0,IF(Sync!$AB702="",0,Sync!$AB702))</f>
        <v/>
      </c>
      <c r="M706">
        <f>IF($G706="","",IF($H706="مرجوعی فروش",-1,1)*($K706-$L706*IFERROR(VLOOKUP("P01",ParamTbl,3,0),1.5)))</f>
        <v/>
      </c>
      <c r="N706">
        <f>IF($G706="",0,IF($H706="مرجوعی فروش",-1,1)*IF(Sync!$AC702="",0,Sync!$AC702))</f>
        <v/>
      </c>
      <c r="O706">
        <f>IF(OR($G706="",Sync!$V702=""),"",Sync!$V702)</f>
        <v/>
      </c>
      <c r="P706">
        <f>IF(OR($G706="",Sync!$AD702=""),"",Sync!$AD702)</f>
        <v/>
      </c>
      <c r="Q706">
        <f>IF($G706="","",IF(Sync!$U702="","0000",IF(AND(ISNUMBER(Sync!$U702),Sync!$U702&gt;=0,Sync!$U702&lt;1),RIGHT("00"&amp;HOUR(Sync!$U702),2)&amp;RIGHT("00"&amp;MINUTE(Sync!$U702),2),IFERROR(RIGHT("00"&amp;VALUE(LEFT(Sync!$U702,FIND(":",Sync!$U702)-1)),2)&amp;RIGHT("00"&amp;VALUE(MID(Sync!$U702,FIND(":",Sync!$U702)+1,2)),2),"0000"))))</f>
        <v/>
      </c>
    </row>
    <row r="707">
      <c r="A707">
        <f>IF(Sync!$T703="","",Sync!$T703)</f>
        <v/>
      </c>
      <c r="B707">
        <f>IF($A707="","",IF(ISNUMBER($A707),IF(AND($A707&gt;=10000101,$A707&lt;=99991231),INT($A707/10000),""),IFERROR(VALUE(TRIM(LEFT($A707,FIND("/",$A707)-1))),"")))</f>
        <v/>
      </c>
      <c r="C707">
        <f>IF(OR($A707="",$B707=""),"",IF(ISNUMBER($A707),INT(MOD($A707,10000)/100),IFERROR(VALUE(TRIM(LEFT(MID($A707,FIND("/",$A707)+1,20),FIND("/",MID($A707,FIND("/",$A707)+1,20))-1))),"")))</f>
        <v/>
      </c>
      <c r="D707">
        <f>IF(OR($A707="",$B707=""),"",IF(ISNUMBER($A707),MOD($A707,100),IFERROR(VALUE(TRIM(MID(MID($A707,FIND("/",$A707)+1,20),FIND("/",MID($A707,FIND("/",$A707)+1,20))+1,20))),"")))</f>
        <v/>
      </c>
      <c r="E707">
        <f>IF($A707="","",IF(OR($B707="",$C707="",$D707="",$B707&lt;1300,$B707&gt;1500,$C707&lt;1,$C707&gt;12,$D707&lt;1,$D707&gt;31),"نامعتبر",RIGHT("0000"&amp;$B707,4)&amp;"/"&amp;RIGHT("00"&amp;$C707,2)&amp;"/"&amp;RIGHT("00"&amp;$D707,2)))</f>
        <v/>
      </c>
      <c r="F707">
        <f>IF(OR($E707="",$E707="نامعتبر"),"",LEFT($E707,4)&amp;"/"&amp;MID($E707,6,2))</f>
        <v/>
      </c>
      <c r="G707">
        <f>IF(OR($E707="",$E707="نامعتبر",Sync!$X703=""),"",IF(AND(LEFT(UPPER(TRIM(Sync!$X703)),2)="SL",IFERROR(VLOOKUP(Sync!$W703,OpTbl,3,0),"")="فروش"),UPPER(TRIM(Sync!$X703)),""))</f>
        <v/>
      </c>
      <c r="H707">
        <f>IF($G707="","",IF(Sync!$W703="","",Sync!$W703))</f>
        <v/>
      </c>
      <c r="I707">
        <f>IF(OR($G707="",Sync!$Y703=""),"",Sync!$Y703)</f>
        <v/>
      </c>
      <c r="J707">
        <f>IF(OR($G707="",Sync!$Z703=""),"",Sync!$Z703)</f>
        <v/>
      </c>
      <c r="K707">
        <f>IF($G707="",0,IF(Sync!$AA703="",0,Sync!$AA703))</f>
        <v/>
      </c>
      <c r="L707">
        <f>IF($G707="",0,IF(Sync!$AB703="",0,Sync!$AB703))</f>
        <v/>
      </c>
      <c r="M707">
        <f>IF($G707="","",IF($H707="مرجوعی فروش",-1,1)*($K707-$L707*IFERROR(VLOOKUP("P01",ParamTbl,3,0),1.5)))</f>
        <v/>
      </c>
      <c r="N707">
        <f>IF($G707="",0,IF($H707="مرجوعی فروش",-1,1)*IF(Sync!$AC703="",0,Sync!$AC703))</f>
        <v/>
      </c>
      <c r="O707">
        <f>IF(OR($G707="",Sync!$V703=""),"",Sync!$V703)</f>
        <v/>
      </c>
      <c r="P707">
        <f>IF(OR($G707="",Sync!$AD703=""),"",Sync!$AD703)</f>
        <v/>
      </c>
      <c r="Q707">
        <f>IF($G707="","",IF(Sync!$U703="","0000",IF(AND(ISNUMBER(Sync!$U703),Sync!$U703&gt;=0,Sync!$U703&lt;1),RIGHT("00"&amp;HOUR(Sync!$U703),2)&amp;RIGHT("00"&amp;MINUTE(Sync!$U703),2),IFERROR(RIGHT("00"&amp;VALUE(LEFT(Sync!$U703,FIND(":",Sync!$U703)-1)),2)&amp;RIGHT("00"&amp;VALUE(MID(Sync!$U703,FIND(":",Sync!$U703)+1,2)),2),"0000"))))</f>
        <v/>
      </c>
    </row>
    <row r="708">
      <c r="A708">
        <f>IF(Sync!$T704="","",Sync!$T704)</f>
        <v/>
      </c>
      <c r="B708">
        <f>IF($A708="","",IF(ISNUMBER($A708),IF(AND($A708&gt;=10000101,$A708&lt;=99991231),INT($A708/10000),""),IFERROR(VALUE(TRIM(LEFT($A708,FIND("/",$A708)-1))),"")))</f>
        <v/>
      </c>
      <c r="C708">
        <f>IF(OR($A708="",$B708=""),"",IF(ISNUMBER($A708),INT(MOD($A708,10000)/100),IFERROR(VALUE(TRIM(LEFT(MID($A708,FIND("/",$A708)+1,20),FIND("/",MID($A708,FIND("/",$A708)+1,20))-1))),"")))</f>
        <v/>
      </c>
      <c r="D708">
        <f>IF(OR($A708="",$B708=""),"",IF(ISNUMBER($A708),MOD($A708,100),IFERROR(VALUE(TRIM(MID(MID($A708,FIND("/",$A708)+1,20),FIND("/",MID($A708,FIND("/",$A708)+1,20))+1,20))),"")))</f>
        <v/>
      </c>
      <c r="E708">
        <f>IF($A708="","",IF(OR($B708="",$C708="",$D708="",$B708&lt;1300,$B708&gt;1500,$C708&lt;1,$C708&gt;12,$D708&lt;1,$D708&gt;31),"نامعتبر",RIGHT("0000"&amp;$B708,4)&amp;"/"&amp;RIGHT("00"&amp;$C708,2)&amp;"/"&amp;RIGHT("00"&amp;$D708,2)))</f>
        <v/>
      </c>
      <c r="F708">
        <f>IF(OR($E708="",$E708="نامعتبر"),"",LEFT($E708,4)&amp;"/"&amp;MID($E708,6,2))</f>
        <v/>
      </c>
      <c r="G708">
        <f>IF(OR($E708="",$E708="نامعتبر",Sync!$X704=""),"",IF(AND(LEFT(UPPER(TRIM(Sync!$X704)),2)="SL",IFERROR(VLOOKUP(Sync!$W704,OpTbl,3,0),"")="فروش"),UPPER(TRIM(Sync!$X704)),""))</f>
        <v/>
      </c>
      <c r="H708">
        <f>IF($G708="","",IF(Sync!$W704="","",Sync!$W704))</f>
        <v/>
      </c>
      <c r="I708">
        <f>IF(OR($G708="",Sync!$Y704=""),"",Sync!$Y704)</f>
        <v/>
      </c>
      <c r="J708">
        <f>IF(OR($G708="",Sync!$Z704=""),"",Sync!$Z704)</f>
        <v/>
      </c>
      <c r="K708">
        <f>IF($G708="",0,IF(Sync!$AA704="",0,Sync!$AA704))</f>
        <v/>
      </c>
      <c r="L708">
        <f>IF($G708="",0,IF(Sync!$AB704="",0,Sync!$AB704))</f>
        <v/>
      </c>
      <c r="M708">
        <f>IF($G708="","",IF($H708="مرجوعی فروش",-1,1)*($K708-$L708*IFERROR(VLOOKUP("P01",ParamTbl,3,0),1.5)))</f>
        <v/>
      </c>
      <c r="N708">
        <f>IF($G708="",0,IF($H708="مرجوعی فروش",-1,1)*IF(Sync!$AC704="",0,Sync!$AC704))</f>
        <v/>
      </c>
      <c r="O708">
        <f>IF(OR($G708="",Sync!$V704=""),"",Sync!$V704)</f>
        <v/>
      </c>
      <c r="P708">
        <f>IF(OR($G708="",Sync!$AD704=""),"",Sync!$AD704)</f>
        <v/>
      </c>
      <c r="Q708">
        <f>IF($G708="","",IF(Sync!$U704="","0000",IF(AND(ISNUMBER(Sync!$U704),Sync!$U704&gt;=0,Sync!$U704&lt;1),RIGHT("00"&amp;HOUR(Sync!$U704),2)&amp;RIGHT("00"&amp;MINUTE(Sync!$U704),2),IFERROR(RIGHT("00"&amp;VALUE(LEFT(Sync!$U704,FIND(":",Sync!$U704)-1)),2)&amp;RIGHT("00"&amp;VALUE(MID(Sync!$U704,FIND(":",Sync!$U704)+1,2)),2),"0000"))))</f>
        <v/>
      </c>
    </row>
    <row r="709">
      <c r="A709">
        <f>IF(Sync!$T705="","",Sync!$T705)</f>
        <v/>
      </c>
      <c r="B709">
        <f>IF($A709="","",IF(ISNUMBER($A709),IF(AND($A709&gt;=10000101,$A709&lt;=99991231),INT($A709/10000),""),IFERROR(VALUE(TRIM(LEFT($A709,FIND("/",$A709)-1))),"")))</f>
        <v/>
      </c>
      <c r="C709">
        <f>IF(OR($A709="",$B709=""),"",IF(ISNUMBER($A709),INT(MOD($A709,10000)/100),IFERROR(VALUE(TRIM(LEFT(MID($A709,FIND("/",$A709)+1,20),FIND("/",MID($A709,FIND("/",$A709)+1,20))-1))),"")))</f>
        <v/>
      </c>
      <c r="D709">
        <f>IF(OR($A709="",$B709=""),"",IF(ISNUMBER($A709),MOD($A709,100),IFERROR(VALUE(TRIM(MID(MID($A709,FIND("/",$A709)+1,20),FIND("/",MID($A709,FIND("/",$A709)+1,20))+1,20))),"")))</f>
        <v/>
      </c>
      <c r="E709">
        <f>IF($A709="","",IF(OR($B709="",$C709="",$D709="",$B709&lt;1300,$B709&gt;1500,$C709&lt;1,$C709&gt;12,$D709&lt;1,$D709&gt;31),"نامعتبر",RIGHT("0000"&amp;$B709,4)&amp;"/"&amp;RIGHT("00"&amp;$C709,2)&amp;"/"&amp;RIGHT("00"&amp;$D709,2)))</f>
        <v/>
      </c>
      <c r="F709">
        <f>IF(OR($E709="",$E709="نامعتبر"),"",LEFT($E709,4)&amp;"/"&amp;MID($E709,6,2))</f>
        <v/>
      </c>
      <c r="G709">
        <f>IF(OR($E709="",$E709="نامعتبر",Sync!$X705=""),"",IF(AND(LEFT(UPPER(TRIM(Sync!$X705)),2)="SL",IFERROR(VLOOKUP(Sync!$W705,OpTbl,3,0),"")="فروش"),UPPER(TRIM(Sync!$X705)),""))</f>
        <v/>
      </c>
      <c r="H709">
        <f>IF($G709="","",IF(Sync!$W705="","",Sync!$W705))</f>
        <v/>
      </c>
      <c r="I709">
        <f>IF(OR($G709="",Sync!$Y705=""),"",Sync!$Y705)</f>
        <v/>
      </c>
      <c r="J709">
        <f>IF(OR($G709="",Sync!$Z705=""),"",Sync!$Z705)</f>
        <v/>
      </c>
      <c r="K709">
        <f>IF($G709="",0,IF(Sync!$AA705="",0,Sync!$AA705))</f>
        <v/>
      </c>
      <c r="L709">
        <f>IF($G709="",0,IF(Sync!$AB705="",0,Sync!$AB705))</f>
        <v/>
      </c>
      <c r="M709">
        <f>IF($G709="","",IF($H709="مرجوعی فروش",-1,1)*($K709-$L709*IFERROR(VLOOKUP("P01",ParamTbl,3,0),1.5)))</f>
        <v/>
      </c>
      <c r="N709">
        <f>IF($G709="",0,IF($H709="مرجوعی فروش",-1,1)*IF(Sync!$AC705="",0,Sync!$AC705))</f>
        <v/>
      </c>
      <c r="O709">
        <f>IF(OR($G709="",Sync!$V705=""),"",Sync!$V705)</f>
        <v/>
      </c>
      <c r="P709">
        <f>IF(OR($G709="",Sync!$AD705=""),"",Sync!$AD705)</f>
        <v/>
      </c>
      <c r="Q709">
        <f>IF($G709="","",IF(Sync!$U705="","0000",IF(AND(ISNUMBER(Sync!$U705),Sync!$U705&gt;=0,Sync!$U705&lt;1),RIGHT("00"&amp;HOUR(Sync!$U705),2)&amp;RIGHT("00"&amp;MINUTE(Sync!$U705),2),IFERROR(RIGHT("00"&amp;VALUE(LEFT(Sync!$U705,FIND(":",Sync!$U705)-1)),2)&amp;RIGHT("00"&amp;VALUE(MID(Sync!$U705,FIND(":",Sync!$U705)+1,2)),2),"0000"))))</f>
        <v/>
      </c>
    </row>
    <row r="710">
      <c r="A710">
        <f>IF(Sync!$T706="","",Sync!$T706)</f>
        <v/>
      </c>
      <c r="B710">
        <f>IF($A710="","",IF(ISNUMBER($A710),IF(AND($A710&gt;=10000101,$A710&lt;=99991231),INT($A710/10000),""),IFERROR(VALUE(TRIM(LEFT($A710,FIND("/",$A710)-1))),"")))</f>
        <v/>
      </c>
      <c r="C710">
        <f>IF(OR($A710="",$B710=""),"",IF(ISNUMBER($A710),INT(MOD($A710,10000)/100),IFERROR(VALUE(TRIM(LEFT(MID($A710,FIND("/",$A710)+1,20),FIND("/",MID($A710,FIND("/",$A710)+1,20))-1))),"")))</f>
        <v/>
      </c>
      <c r="D710">
        <f>IF(OR($A710="",$B710=""),"",IF(ISNUMBER($A710),MOD($A710,100),IFERROR(VALUE(TRIM(MID(MID($A710,FIND("/",$A710)+1,20),FIND("/",MID($A710,FIND("/",$A710)+1,20))+1,20))),"")))</f>
        <v/>
      </c>
      <c r="E710">
        <f>IF($A710="","",IF(OR($B710="",$C710="",$D710="",$B710&lt;1300,$B710&gt;1500,$C710&lt;1,$C710&gt;12,$D710&lt;1,$D710&gt;31),"نامعتبر",RIGHT("0000"&amp;$B710,4)&amp;"/"&amp;RIGHT("00"&amp;$C710,2)&amp;"/"&amp;RIGHT("00"&amp;$D710,2)))</f>
        <v/>
      </c>
      <c r="F710">
        <f>IF(OR($E710="",$E710="نامعتبر"),"",LEFT($E710,4)&amp;"/"&amp;MID($E710,6,2))</f>
        <v/>
      </c>
      <c r="G710">
        <f>IF(OR($E710="",$E710="نامعتبر",Sync!$X706=""),"",IF(AND(LEFT(UPPER(TRIM(Sync!$X706)),2)="SL",IFERROR(VLOOKUP(Sync!$W706,OpTbl,3,0),"")="فروش"),UPPER(TRIM(Sync!$X706)),""))</f>
        <v/>
      </c>
      <c r="H710">
        <f>IF($G710="","",IF(Sync!$W706="","",Sync!$W706))</f>
        <v/>
      </c>
      <c r="I710">
        <f>IF(OR($G710="",Sync!$Y706=""),"",Sync!$Y706)</f>
        <v/>
      </c>
      <c r="J710">
        <f>IF(OR($G710="",Sync!$Z706=""),"",Sync!$Z706)</f>
        <v/>
      </c>
      <c r="K710">
        <f>IF($G710="",0,IF(Sync!$AA706="",0,Sync!$AA706))</f>
        <v/>
      </c>
      <c r="L710">
        <f>IF($G710="",0,IF(Sync!$AB706="",0,Sync!$AB706))</f>
        <v/>
      </c>
      <c r="M710">
        <f>IF($G710="","",IF($H710="مرجوعی فروش",-1,1)*($K710-$L710*IFERROR(VLOOKUP("P01",ParamTbl,3,0),1.5)))</f>
        <v/>
      </c>
      <c r="N710">
        <f>IF($G710="",0,IF($H710="مرجوعی فروش",-1,1)*IF(Sync!$AC706="",0,Sync!$AC706))</f>
        <v/>
      </c>
      <c r="O710">
        <f>IF(OR($G710="",Sync!$V706=""),"",Sync!$V706)</f>
        <v/>
      </c>
      <c r="P710">
        <f>IF(OR($G710="",Sync!$AD706=""),"",Sync!$AD706)</f>
        <v/>
      </c>
      <c r="Q710">
        <f>IF($G710="","",IF(Sync!$U706="","0000",IF(AND(ISNUMBER(Sync!$U706),Sync!$U706&gt;=0,Sync!$U706&lt;1),RIGHT("00"&amp;HOUR(Sync!$U706),2)&amp;RIGHT("00"&amp;MINUTE(Sync!$U706),2),IFERROR(RIGHT("00"&amp;VALUE(LEFT(Sync!$U706,FIND(":",Sync!$U706)-1)),2)&amp;RIGHT("00"&amp;VALUE(MID(Sync!$U706,FIND(":",Sync!$U706)+1,2)),2),"0000"))))</f>
        <v/>
      </c>
    </row>
    <row r="711">
      <c r="A711">
        <f>IF(Sync!$T707="","",Sync!$T707)</f>
        <v/>
      </c>
      <c r="B711">
        <f>IF($A711="","",IF(ISNUMBER($A711),IF(AND($A711&gt;=10000101,$A711&lt;=99991231),INT($A711/10000),""),IFERROR(VALUE(TRIM(LEFT($A711,FIND("/",$A711)-1))),"")))</f>
        <v/>
      </c>
      <c r="C711">
        <f>IF(OR($A711="",$B711=""),"",IF(ISNUMBER($A711),INT(MOD($A711,10000)/100),IFERROR(VALUE(TRIM(LEFT(MID($A711,FIND("/",$A711)+1,20),FIND("/",MID($A711,FIND("/",$A711)+1,20))-1))),"")))</f>
        <v/>
      </c>
      <c r="D711">
        <f>IF(OR($A711="",$B711=""),"",IF(ISNUMBER($A711),MOD($A711,100),IFERROR(VALUE(TRIM(MID(MID($A711,FIND("/",$A711)+1,20),FIND("/",MID($A711,FIND("/",$A711)+1,20))+1,20))),"")))</f>
        <v/>
      </c>
      <c r="E711">
        <f>IF($A711="","",IF(OR($B711="",$C711="",$D711="",$B711&lt;1300,$B711&gt;1500,$C711&lt;1,$C711&gt;12,$D711&lt;1,$D711&gt;31),"نامعتبر",RIGHT("0000"&amp;$B711,4)&amp;"/"&amp;RIGHT("00"&amp;$C711,2)&amp;"/"&amp;RIGHT("00"&amp;$D711,2)))</f>
        <v/>
      </c>
      <c r="F711">
        <f>IF(OR($E711="",$E711="نامعتبر"),"",LEFT($E711,4)&amp;"/"&amp;MID($E711,6,2))</f>
        <v/>
      </c>
      <c r="G711">
        <f>IF(OR($E711="",$E711="نامعتبر",Sync!$X707=""),"",IF(AND(LEFT(UPPER(TRIM(Sync!$X707)),2)="SL",IFERROR(VLOOKUP(Sync!$W707,OpTbl,3,0),"")="فروش"),UPPER(TRIM(Sync!$X707)),""))</f>
        <v/>
      </c>
      <c r="H711">
        <f>IF($G711="","",IF(Sync!$W707="","",Sync!$W707))</f>
        <v/>
      </c>
      <c r="I711">
        <f>IF(OR($G711="",Sync!$Y707=""),"",Sync!$Y707)</f>
        <v/>
      </c>
      <c r="J711">
        <f>IF(OR($G711="",Sync!$Z707=""),"",Sync!$Z707)</f>
        <v/>
      </c>
      <c r="K711">
        <f>IF($G711="",0,IF(Sync!$AA707="",0,Sync!$AA707))</f>
        <v/>
      </c>
      <c r="L711">
        <f>IF($G711="",0,IF(Sync!$AB707="",0,Sync!$AB707))</f>
        <v/>
      </c>
      <c r="M711">
        <f>IF($G711="","",IF($H711="مرجوعی فروش",-1,1)*($K711-$L711*IFERROR(VLOOKUP("P01",ParamTbl,3,0),1.5)))</f>
        <v/>
      </c>
      <c r="N711">
        <f>IF($G711="",0,IF($H711="مرجوعی فروش",-1,1)*IF(Sync!$AC707="",0,Sync!$AC707))</f>
        <v/>
      </c>
      <c r="O711">
        <f>IF(OR($G711="",Sync!$V707=""),"",Sync!$V707)</f>
        <v/>
      </c>
      <c r="P711">
        <f>IF(OR($G711="",Sync!$AD707=""),"",Sync!$AD707)</f>
        <v/>
      </c>
      <c r="Q711">
        <f>IF($G711="","",IF(Sync!$U707="","0000",IF(AND(ISNUMBER(Sync!$U707),Sync!$U707&gt;=0,Sync!$U707&lt;1),RIGHT("00"&amp;HOUR(Sync!$U707),2)&amp;RIGHT("00"&amp;MINUTE(Sync!$U707),2),IFERROR(RIGHT("00"&amp;VALUE(LEFT(Sync!$U707,FIND(":",Sync!$U707)-1)),2)&amp;RIGHT("00"&amp;VALUE(MID(Sync!$U707,FIND(":",Sync!$U707)+1,2)),2),"0000"))))</f>
        <v/>
      </c>
    </row>
    <row r="712">
      <c r="A712">
        <f>IF(Sync!$T708="","",Sync!$T708)</f>
        <v/>
      </c>
      <c r="B712">
        <f>IF($A712="","",IF(ISNUMBER($A712),IF(AND($A712&gt;=10000101,$A712&lt;=99991231),INT($A712/10000),""),IFERROR(VALUE(TRIM(LEFT($A712,FIND("/",$A712)-1))),"")))</f>
        <v/>
      </c>
      <c r="C712">
        <f>IF(OR($A712="",$B712=""),"",IF(ISNUMBER($A712),INT(MOD($A712,10000)/100),IFERROR(VALUE(TRIM(LEFT(MID($A712,FIND("/",$A712)+1,20),FIND("/",MID($A712,FIND("/",$A712)+1,20))-1))),"")))</f>
        <v/>
      </c>
      <c r="D712">
        <f>IF(OR($A712="",$B712=""),"",IF(ISNUMBER($A712),MOD($A712,100),IFERROR(VALUE(TRIM(MID(MID($A712,FIND("/",$A712)+1,20),FIND("/",MID($A712,FIND("/",$A712)+1,20))+1,20))),"")))</f>
        <v/>
      </c>
      <c r="E712">
        <f>IF($A712="","",IF(OR($B712="",$C712="",$D712="",$B712&lt;1300,$B712&gt;1500,$C712&lt;1,$C712&gt;12,$D712&lt;1,$D712&gt;31),"نامعتبر",RIGHT("0000"&amp;$B712,4)&amp;"/"&amp;RIGHT("00"&amp;$C712,2)&amp;"/"&amp;RIGHT("00"&amp;$D712,2)))</f>
        <v/>
      </c>
      <c r="F712">
        <f>IF(OR($E712="",$E712="نامعتبر"),"",LEFT($E712,4)&amp;"/"&amp;MID($E712,6,2))</f>
        <v/>
      </c>
      <c r="G712">
        <f>IF(OR($E712="",$E712="نامعتبر",Sync!$X708=""),"",IF(AND(LEFT(UPPER(TRIM(Sync!$X708)),2)="SL",IFERROR(VLOOKUP(Sync!$W708,OpTbl,3,0),"")="فروش"),UPPER(TRIM(Sync!$X708)),""))</f>
        <v/>
      </c>
      <c r="H712">
        <f>IF($G712="","",IF(Sync!$W708="","",Sync!$W708))</f>
        <v/>
      </c>
      <c r="I712">
        <f>IF(OR($G712="",Sync!$Y708=""),"",Sync!$Y708)</f>
        <v/>
      </c>
      <c r="J712">
        <f>IF(OR($G712="",Sync!$Z708=""),"",Sync!$Z708)</f>
        <v/>
      </c>
      <c r="K712">
        <f>IF($G712="",0,IF(Sync!$AA708="",0,Sync!$AA708))</f>
        <v/>
      </c>
      <c r="L712">
        <f>IF($G712="",0,IF(Sync!$AB708="",0,Sync!$AB708))</f>
        <v/>
      </c>
      <c r="M712">
        <f>IF($G712="","",IF($H712="مرجوعی فروش",-1,1)*($K712-$L712*IFERROR(VLOOKUP("P01",ParamTbl,3,0),1.5)))</f>
        <v/>
      </c>
      <c r="N712">
        <f>IF($G712="",0,IF($H712="مرجوعی فروش",-1,1)*IF(Sync!$AC708="",0,Sync!$AC708))</f>
        <v/>
      </c>
      <c r="O712">
        <f>IF(OR($G712="",Sync!$V708=""),"",Sync!$V708)</f>
        <v/>
      </c>
      <c r="P712">
        <f>IF(OR($G712="",Sync!$AD708=""),"",Sync!$AD708)</f>
        <v/>
      </c>
      <c r="Q712">
        <f>IF($G712="","",IF(Sync!$U708="","0000",IF(AND(ISNUMBER(Sync!$U708),Sync!$U708&gt;=0,Sync!$U708&lt;1),RIGHT("00"&amp;HOUR(Sync!$U708),2)&amp;RIGHT("00"&amp;MINUTE(Sync!$U708),2),IFERROR(RIGHT("00"&amp;VALUE(LEFT(Sync!$U708,FIND(":",Sync!$U708)-1)),2)&amp;RIGHT("00"&amp;VALUE(MID(Sync!$U708,FIND(":",Sync!$U708)+1,2)),2),"0000"))))</f>
        <v/>
      </c>
    </row>
    <row r="713">
      <c r="A713">
        <f>IF(Sync!$T709="","",Sync!$T709)</f>
        <v/>
      </c>
      <c r="B713">
        <f>IF($A713="","",IF(ISNUMBER($A713),IF(AND($A713&gt;=10000101,$A713&lt;=99991231),INT($A713/10000),""),IFERROR(VALUE(TRIM(LEFT($A713,FIND("/",$A713)-1))),"")))</f>
        <v/>
      </c>
      <c r="C713">
        <f>IF(OR($A713="",$B713=""),"",IF(ISNUMBER($A713),INT(MOD($A713,10000)/100),IFERROR(VALUE(TRIM(LEFT(MID($A713,FIND("/",$A713)+1,20),FIND("/",MID($A713,FIND("/",$A713)+1,20))-1))),"")))</f>
        <v/>
      </c>
      <c r="D713">
        <f>IF(OR($A713="",$B713=""),"",IF(ISNUMBER($A713),MOD($A713,100),IFERROR(VALUE(TRIM(MID(MID($A713,FIND("/",$A713)+1,20),FIND("/",MID($A713,FIND("/",$A713)+1,20))+1,20))),"")))</f>
        <v/>
      </c>
      <c r="E713">
        <f>IF($A713="","",IF(OR($B713="",$C713="",$D713="",$B713&lt;1300,$B713&gt;1500,$C713&lt;1,$C713&gt;12,$D713&lt;1,$D713&gt;31),"نامعتبر",RIGHT("0000"&amp;$B713,4)&amp;"/"&amp;RIGHT("00"&amp;$C713,2)&amp;"/"&amp;RIGHT("00"&amp;$D713,2)))</f>
        <v/>
      </c>
      <c r="F713">
        <f>IF(OR($E713="",$E713="نامعتبر"),"",LEFT($E713,4)&amp;"/"&amp;MID($E713,6,2))</f>
        <v/>
      </c>
      <c r="G713">
        <f>IF(OR($E713="",$E713="نامعتبر",Sync!$X709=""),"",IF(AND(LEFT(UPPER(TRIM(Sync!$X709)),2)="SL",IFERROR(VLOOKUP(Sync!$W709,OpTbl,3,0),"")="فروش"),UPPER(TRIM(Sync!$X709)),""))</f>
        <v/>
      </c>
      <c r="H713">
        <f>IF($G713="","",IF(Sync!$W709="","",Sync!$W709))</f>
        <v/>
      </c>
      <c r="I713">
        <f>IF(OR($G713="",Sync!$Y709=""),"",Sync!$Y709)</f>
        <v/>
      </c>
      <c r="J713">
        <f>IF(OR($G713="",Sync!$Z709=""),"",Sync!$Z709)</f>
        <v/>
      </c>
      <c r="K713">
        <f>IF($G713="",0,IF(Sync!$AA709="",0,Sync!$AA709))</f>
        <v/>
      </c>
      <c r="L713">
        <f>IF($G713="",0,IF(Sync!$AB709="",0,Sync!$AB709))</f>
        <v/>
      </c>
      <c r="M713">
        <f>IF($G713="","",IF($H713="مرجوعی فروش",-1,1)*($K713-$L713*IFERROR(VLOOKUP("P01",ParamTbl,3,0),1.5)))</f>
        <v/>
      </c>
      <c r="N713">
        <f>IF($G713="",0,IF($H713="مرجوعی فروش",-1,1)*IF(Sync!$AC709="",0,Sync!$AC709))</f>
        <v/>
      </c>
      <c r="O713">
        <f>IF(OR($G713="",Sync!$V709=""),"",Sync!$V709)</f>
        <v/>
      </c>
      <c r="P713">
        <f>IF(OR($G713="",Sync!$AD709=""),"",Sync!$AD709)</f>
        <v/>
      </c>
      <c r="Q713">
        <f>IF($G713="","",IF(Sync!$U709="","0000",IF(AND(ISNUMBER(Sync!$U709),Sync!$U709&gt;=0,Sync!$U709&lt;1),RIGHT("00"&amp;HOUR(Sync!$U709),2)&amp;RIGHT("00"&amp;MINUTE(Sync!$U709),2),IFERROR(RIGHT("00"&amp;VALUE(LEFT(Sync!$U709,FIND(":",Sync!$U709)-1)),2)&amp;RIGHT("00"&amp;VALUE(MID(Sync!$U709,FIND(":",Sync!$U709)+1,2)),2),"0000"))))</f>
        <v/>
      </c>
    </row>
    <row r="714">
      <c r="A714">
        <f>IF(Sync!$T710="","",Sync!$T710)</f>
        <v/>
      </c>
      <c r="B714">
        <f>IF($A714="","",IF(ISNUMBER($A714),IF(AND($A714&gt;=10000101,$A714&lt;=99991231),INT($A714/10000),""),IFERROR(VALUE(TRIM(LEFT($A714,FIND("/",$A714)-1))),"")))</f>
        <v/>
      </c>
      <c r="C714">
        <f>IF(OR($A714="",$B714=""),"",IF(ISNUMBER($A714),INT(MOD($A714,10000)/100),IFERROR(VALUE(TRIM(LEFT(MID($A714,FIND("/",$A714)+1,20),FIND("/",MID($A714,FIND("/",$A714)+1,20))-1))),"")))</f>
        <v/>
      </c>
      <c r="D714">
        <f>IF(OR($A714="",$B714=""),"",IF(ISNUMBER($A714),MOD($A714,100),IFERROR(VALUE(TRIM(MID(MID($A714,FIND("/",$A714)+1,20),FIND("/",MID($A714,FIND("/",$A714)+1,20))+1,20))),"")))</f>
        <v/>
      </c>
      <c r="E714">
        <f>IF($A714="","",IF(OR($B714="",$C714="",$D714="",$B714&lt;1300,$B714&gt;1500,$C714&lt;1,$C714&gt;12,$D714&lt;1,$D714&gt;31),"نامعتبر",RIGHT("0000"&amp;$B714,4)&amp;"/"&amp;RIGHT("00"&amp;$C714,2)&amp;"/"&amp;RIGHT("00"&amp;$D714,2)))</f>
        <v/>
      </c>
      <c r="F714">
        <f>IF(OR($E714="",$E714="نامعتبر"),"",LEFT($E714,4)&amp;"/"&amp;MID($E714,6,2))</f>
        <v/>
      </c>
      <c r="G714">
        <f>IF(OR($E714="",$E714="نامعتبر",Sync!$X710=""),"",IF(AND(LEFT(UPPER(TRIM(Sync!$X710)),2)="SL",IFERROR(VLOOKUP(Sync!$W710,OpTbl,3,0),"")="فروش"),UPPER(TRIM(Sync!$X710)),""))</f>
        <v/>
      </c>
      <c r="H714">
        <f>IF($G714="","",IF(Sync!$W710="","",Sync!$W710))</f>
        <v/>
      </c>
      <c r="I714">
        <f>IF(OR($G714="",Sync!$Y710=""),"",Sync!$Y710)</f>
        <v/>
      </c>
      <c r="J714">
        <f>IF(OR($G714="",Sync!$Z710=""),"",Sync!$Z710)</f>
        <v/>
      </c>
      <c r="K714">
        <f>IF($G714="",0,IF(Sync!$AA710="",0,Sync!$AA710))</f>
        <v/>
      </c>
      <c r="L714">
        <f>IF($G714="",0,IF(Sync!$AB710="",0,Sync!$AB710))</f>
        <v/>
      </c>
      <c r="M714">
        <f>IF($G714="","",IF($H714="مرجوعی فروش",-1,1)*($K714-$L714*IFERROR(VLOOKUP("P01",ParamTbl,3,0),1.5)))</f>
        <v/>
      </c>
      <c r="N714">
        <f>IF($G714="",0,IF($H714="مرجوعی فروش",-1,1)*IF(Sync!$AC710="",0,Sync!$AC710))</f>
        <v/>
      </c>
      <c r="O714">
        <f>IF(OR($G714="",Sync!$V710=""),"",Sync!$V710)</f>
        <v/>
      </c>
      <c r="P714">
        <f>IF(OR($G714="",Sync!$AD710=""),"",Sync!$AD710)</f>
        <v/>
      </c>
      <c r="Q714">
        <f>IF($G714="","",IF(Sync!$U710="","0000",IF(AND(ISNUMBER(Sync!$U710),Sync!$U710&gt;=0,Sync!$U710&lt;1),RIGHT("00"&amp;HOUR(Sync!$U710),2)&amp;RIGHT("00"&amp;MINUTE(Sync!$U710),2),IFERROR(RIGHT("00"&amp;VALUE(LEFT(Sync!$U710,FIND(":",Sync!$U710)-1)),2)&amp;RIGHT("00"&amp;VALUE(MID(Sync!$U710,FIND(":",Sync!$U710)+1,2)),2),"0000"))))</f>
        <v/>
      </c>
    </row>
    <row r="715">
      <c r="A715">
        <f>IF(Sync!$T711="","",Sync!$T711)</f>
        <v/>
      </c>
      <c r="B715">
        <f>IF($A715="","",IF(ISNUMBER($A715),IF(AND($A715&gt;=10000101,$A715&lt;=99991231),INT($A715/10000),""),IFERROR(VALUE(TRIM(LEFT($A715,FIND("/",$A715)-1))),"")))</f>
        <v/>
      </c>
      <c r="C715">
        <f>IF(OR($A715="",$B715=""),"",IF(ISNUMBER($A715),INT(MOD($A715,10000)/100),IFERROR(VALUE(TRIM(LEFT(MID($A715,FIND("/",$A715)+1,20),FIND("/",MID($A715,FIND("/",$A715)+1,20))-1))),"")))</f>
        <v/>
      </c>
      <c r="D715">
        <f>IF(OR($A715="",$B715=""),"",IF(ISNUMBER($A715),MOD($A715,100),IFERROR(VALUE(TRIM(MID(MID($A715,FIND("/",$A715)+1,20),FIND("/",MID($A715,FIND("/",$A715)+1,20))+1,20))),"")))</f>
        <v/>
      </c>
      <c r="E715">
        <f>IF($A715="","",IF(OR($B715="",$C715="",$D715="",$B715&lt;1300,$B715&gt;1500,$C715&lt;1,$C715&gt;12,$D715&lt;1,$D715&gt;31),"نامعتبر",RIGHT("0000"&amp;$B715,4)&amp;"/"&amp;RIGHT("00"&amp;$C715,2)&amp;"/"&amp;RIGHT("00"&amp;$D715,2)))</f>
        <v/>
      </c>
      <c r="F715">
        <f>IF(OR($E715="",$E715="نامعتبر"),"",LEFT($E715,4)&amp;"/"&amp;MID($E715,6,2))</f>
        <v/>
      </c>
      <c r="G715">
        <f>IF(OR($E715="",$E715="نامعتبر",Sync!$X711=""),"",IF(AND(LEFT(UPPER(TRIM(Sync!$X711)),2)="SL",IFERROR(VLOOKUP(Sync!$W711,OpTbl,3,0),"")="فروش"),UPPER(TRIM(Sync!$X711)),""))</f>
        <v/>
      </c>
      <c r="H715">
        <f>IF($G715="","",IF(Sync!$W711="","",Sync!$W711))</f>
        <v/>
      </c>
      <c r="I715">
        <f>IF(OR($G715="",Sync!$Y711=""),"",Sync!$Y711)</f>
        <v/>
      </c>
      <c r="J715">
        <f>IF(OR($G715="",Sync!$Z711=""),"",Sync!$Z711)</f>
        <v/>
      </c>
      <c r="K715">
        <f>IF($G715="",0,IF(Sync!$AA711="",0,Sync!$AA711))</f>
        <v/>
      </c>
      <c r="L715">
        <f>IF($G715="",0,IF(Sync!$AB711="",0,Sync!$AB711))</f>
        <v/>
      </c>
      <c r="M715">
        <f>IF($G715="","",IF($H715="مرجوعی فروش",-1,1)*($K715-$L715*IFERROR(VLOOKUP("P01",ParamTbl,3,0),1.5)))</f>
        <v/>
      </c>
      <c r="N715">
        <f>IF($G715="",0,IF($H715="مرجوعی فروش",-1,1)*IF(Sync!$AC711="",0,Sync!$AC711))</f>
        <v/>
      </c>
      <c r="O715">
        <f>IF(OR($G715="",Sync!$V711=""),"",Sync!$V711)</f>
        <v/>
      </c>
      <c r="P715">
        <f>IF(OR($G715="",Sync!$AD711=""),"",Sync!$AD711)</f>
        <v/>
      </c>
      <c r="Q715">
        <f>IF($G715="","",IF(Sync!$U711="","0000",IF(AND(ISNUMBER(Sync!$U711),Sync!$U711&gt;=0,Sync!$U711&lt;1),RIGHT("00"&amp;HOUR(Sync!$U711),2)&amp;RIGHT("00"&amp;MINUTE(Sync!$U711),2),IFERROR(RIGHT("00"&amp;VALUE(LEFT(Sync!$U711,FIND(":",Sync!$U711)-1)),2)&amp;RIGHT("00"&amp;VALUE(MID(Sync!$U711,FIND(":",Sync!$U711)+1,2)),2),"0000"))))</f>
        <v/>
      </c>
    </row>
    <row r="716">
      <c r="A716">
        <f>IF(Sync!$T712="","",Sync!$T712)</f>
        <v/>
      </c>
      <c r="B716">
        <f>IF($A716="","",IF(ISNUMBER($A716),IF(AND($A716&gt;=10000101,$A716&lt;=99991231),INT($A716/10000),""),IFERROR(VALUE(TRIM(LEFT($A716,FIND("/",$A716)-1))),"")))</f>
        <v/>
      </c>
      <c r="C716">
        <f>IF(OR($A716="",$B716=""),"",IF(ISNUMBER($A716),INT(MOD($A716,10000)/100),IFERROR(VALUE(TRIM(LEFT(MID($A716,FIND("/",$A716)+1,20),FIND("/",MID($A716,FIND("/",$A716)+1,20))-1))),"")))</f>
        <v/>
      </c>
      <c r="D716">
        <f>IF(OR($A716="",$B716=""),"",IF(ISNUMBER($A716),MOD($A716,100),IFERROR(VALUE(TRIM(MID(MID($A716,FIND("/",$A716)+1,20),FIND("/",MID($A716,FIND("/",$A716)+1,20))+1,20))),"")))</f>
        <v/>
      </c>
      <c r="E716">
        <f>IF($A716="","",IF(OR($B716="",$C716="",$D716="",$B716&lt;1300,$B716&gt;1500,$C716&lt;1,$C716&gt;12,$D716&lt;1,$D716&gt;31),"نامعتبر",RIGHT("0000"&amp;$B716,4)&amp;"/"&amp;RIGHT("00"&amp;$C716,2)&amp;"/"&amp;RIGHT("00"&amp;$D716,2)))</f>
        <v/>
      </c>
      <c r="F716">
        <f>IF(OR($E716="",$E716="نامعتبر"),"",LEFT($E716,4)&amp;"/"&amp;MID($E716,6,2))</f>
        <v/>
      </c>
      <c r="G716">
        <f>IF(OR($E716="",$E716="نامعتبر",Sync!$X712=""),"",IF(AND(LEFT(UPPER(TRIM(Sync!$X712)),2)="SL",IFERROR(VLOOKUP(Sync!$W712,OpTbl,3,0),"")="فروش"),UPPER(TRIM(Sync!$X712)),""))</f>
        <v/>
      </c>
      <c r="H716">
        <f>IF($G716="","",IF(Sync!$W712="","",Sync!$W712))</f>
        <v/>
      </c>
      <c r="I716">
        <f>IF(OR($G716="",Sync!$Y712=""),"",Sync!$Y712)</f>
        <v/>
      </c>
      <c r="J716">
        <f>IF(OR($G716="",Sync!$Z712=""),"",Sync!$Z712)</f>
        <v/>
      </c>
      <c r="K716">
        <f>IF($G716="",0,IF(Sync!$AA712="",0,Sync!$AA712))</f>
        <v/>
      </c>
      <c r="L716">
        <f>IF($G716="",0,IF(Sync!$AB712="",0,Sync!$AB712))</f>
        <v/>
      </c>
      <c r="M716">
        <f>IF($G716="","",IF($H716="مرجوعی فروش",-1,1)*($K716-$L716*IFERROR(VLOOKUP("P01",ParamTbl,3,0),1.5)))</f>
        <v/>
      </c>
      <c r="N716">
        <f>IF($G716="",0,IF($H716="مرجوعی فروش",-1,1)*IF(Sync!$AC712="",0,Sync!$AC712))</f>
        <v/>
      </c>
      <c r="O716">
        <f>IF(OR($G716="",Sync!$V712=""),"",Sync!$V712)</f>
        <v/>
      </c>
      <c r="P716">
        <f>IF(OR($G716="",Sync!$AD712=""),"",Sync!$AD712)</f>
        <v/>
      </c>
      <c r="Q716">
        <f>IF($G716="","",IF(Sync!$U712="","0000",IF(AND(ISNUMBER(Sync!$U712),Sync!$U712&gt;=0,Sync!$U712&lt;1),RIGHT("00"&amp;HOUR(Sync!$U712),2)&amp;RIGHT("00"&amp;MINUTE(Sync!$U712),2),IFERROR(RIGHT("00"&amp;VALUE(LEFT(Sync!$U712,FIND(":",Sync!$U712)-1)),2)&amp;RIGHT("00"&amp;VALUE(MID(Sync!$U712,FIND(":",Sync!$U712)+1,2)),2),"0000"))))</f>
        <v/>
      </c>
    </row>
    <row r="717">
      <c r="A717">
        <f>IF(Sync!$T713="","",Sync!$T713)</f>
        <v/>
      </c>
      <c r="B717">
        <f>IF($A717="","",IF(ISNUMBER($A717),IF(AND($A717&gt;=10000101,$A717&lt;=99991231),INT($A717/10000),""),IFERROR(VALUE(TRIM(LEFT($A717,FIND("/",$A717)-1))),"")))</f>
        <v/>
      </c>
      <c r="C717">
        <f>IF(OR($A717="",$B717=""),"",IF(ISNUMBER($A717),INT(MOD($A717,10000)/100),IFERROR(VALUE(TRIM(LEFT(MID($A717,FIND("/",$A717)+1,20),FIND("/",MID($A717,FIND("/",$A717)+1,20))-1))),"")))</f>
        <v/>
      </c>
      <c r="D717">
        <f>IF(OR($A717="",$B717=""),"",IF(ISNUMBER($A717),MOD($A717,100),IFERROR(VALUE(TRIM(MID(MID($A717,FIND("/",$A717)+1,20),FIND("/",MID($A717,FIND("/",$A717)+1,20))+1,20))),"")))</f>
        <v/>
      </c>
      <c r="E717">
        <f>IF($A717="","",IF(OR($B717="",$C717="",$D717="",$B717&lt;1300,$B717&gt;1500,$C717&lt;1,$C717&gt;12,$D717&lt;1,$D717&gt;31),"نامعتبر",RIGHT("0000"&amp;$B717,4)&amp;"/"&amp;RIGHT("00"&amp;$C717,2)&amp;"/"&amp;RIGHT("00"&amp;$D717,2)))</f>
        <v/>
      </c>
      <c r="F717">
        <f>IF(OR($E717="",$E717="نامعتبر"),"",LEFT($E717,4)&amp;"/"&amp;MID($E717,6,2))</f>
        <v/>
      </c>
      <c r="G717">
        <f>IF(OR($E717="",$E717="نامعتبر",Sync!$X713=""),"",IF(AND(LEFT(UPPER(TRIM(Sync!$X713)),2)="SL",IFERROR(VLOOKUP(Sync!$W713,OpTbl,3,0),"")="فروش"),UPPER(TRIM(Sync!$X713)),""))</f>
        <v/>
      </c>
      <c r="H717">
        <f>IF($G717="","",IF(Sync!$W713="","",Sync!$W713))</f>
        <v/>
      </c>
      <c r="I717">
        <f>IF(OR($G717="",Sync!$Y713=""),"",Sync!$Y713)</f>
        <v/>
      </c>
      <c r="J717">
        <f>IF(OR($G717="",Sync!$Z713=""),"",Sync!$Z713)</f>
        <v/>
      </c>
      <c r="K717">
        <f>IF($G717="",0,IF(Sync!$AA713="",0,Sync!$AA713))</f>
        <v/>
      </c>
      <c r="L717">
        <f>IF($G717="",0,IF(Sync!$AB713="",0,Sync!$AB713))</f>
        <v/>
      </c>
      <c r="M717">
        <f>IF($G717="","",IF($H717="مرجوعی فروش",-1,1)*($K717-$L717*IFERROR(VLOOKUP("P01",ParamTbl,3,0),1.5)))</f>
        <v/>
      </c>
      <c r="N717">
        <f>IF($G717="",0,IF($H717="مرجوعی فروش",-1,1)*IF(Sync!$AC713="",0,Sync!$AC713))</f>
        <v/>
      </c>
      <c r="O717">
        <f>IF(OR($G717="",Sync!$V713=""),"",Sync!$V713)</f>
        <v/>
      </c>
      <c r="P717">
        <f>IF(OR($G717="",Sync!$AD713=""),"",Sync!$AD713)</f>
        <v/>
      </c>
      <c r="Q717">
        <f>IF($G717="","",IF(Sync!$U713="","0000",IF(AND(ISNUMBER(Sync!$U713),Sync!$U713&gt;=0,Sync!$U713&lt;1),RIGHT("00"&amp;HOUR(Sync!$U713),2)&amp;RIGHT("00"&amp;MINUTE(Sync!$U713),2),IFERROR(RIGHT("00"&amp;VALUE(LEFT(Sync!$U713,FIND(":",Sync!$U713)-1)),2)&amp;RIGHT("00"&amp;VALUE(MID(Sync!$U713,FIND(":",Sync!$U713)+1,2)),2),"0000"))))</f>
        <v/>
      </c>
    </row>
    <row r="718">
      <c r="A718">
        <f>IF(Sync!$T714="","",Sync!$T714)</f>
        <v/>
      </c>
      <c r="B718">
        <f>IF($A718="","",IF(ISNUMBER($A718),IF(AND($A718&gt;=10000101,$A718&lt;=99991231),INT($A718/10000),""),IFERROR(VALUE(TRIM(LEFT($A718,FIND("/",$A718)-1))),"")))</f>
        <v/>
      </c>
      <c r="C718">
        <f>IF(OR($A718="",$B718=""),"",IF(ISNUMBER($A718),INT(MOD($A718,10000)/100),IFERROR(VALUE(TRIM(LEFT(MID($A718,FIND("/",$A718)+1,20),FIND("/",MID($A718,FIND("/",$A718)+1,20))-1))),"")))</f>
        <v/>
      </c>
      <c r="D718">
        <f>IF(OR($A718="",$B718=""),"",IF(ISNUMBER($A718),MOD($A718,100),IFERROR(VALUE(TRIM(MID(MID($A718,FIND("/",$A718)+1,20),FIND("/",MID($A718,FIND("/",$A718)+1,20))+1,20))),"")))</f>
        <v/>
      </c>
      <c r="E718">
        <f>IF($A718="","",IF(OR($B718="",$C718="",$D718="",$B718&lt;1300,$B718&gt;1500,$C718&lt;1,$C718&gt;12,$D718&lt;1,$D718&gt;31),"نامعتبر",RIGHT("0000"&amp;$B718,4)&amp;"/"&amp;RIGHT("00"&amp;$C718,2)&amp;"/"&amp;RIGHT("00"&amp;$D718,2)))</f>
        <v/>
      </c>
      <c r="F718">
        <f>IF(OR($E718="",$E718="نامعتبر"),"",LEFT($E718,4)&amp;"/"&amp;MID($E718,6,2))</f>
        <v/>
      </c>
      <c r="G718">
        <f>IF(OR($E718="",$E718="نامعتبر",Sync!$X714=""),"",IF(AND(LEFT(UPPER(TRIM(Sync!$X714)),2)="SL",IFERROR(VLOOKUP(Sync!$W714,OpTbl,3,0),"")="فروش"),UPPER(TRIM(Sync!$X714)),""))</f>
        <v/>
      </c>
      <c r="H718">
        <f>IF($G718="","",IF(Sync!$W714="","",Sync!$W714))</f>
        <v/>
      </c>
      <c r="I718">
        <f>IF(OR($G718="",Sync!$Y714=""),"",Sync!$Y714)</f>
        <v/>
      </c>
      <c r="J718">
        <f>IF(OR($G718="",Sync!$Z714=""),"",Sync!$Z714)</f>
        <v/>
      </c>
      <c r="K718">
        <f>IF($G718="",0,IF(Sync!$AA714="",0,Sync!$AA714))</f>
        <v/>
      </c>
      <c r="L718">
        <f>IF($G718="",0,IF(Sync!$AB714="",0,Sync!$AB714))</f>
        <v/>
      </c>
      <c r="M718">
        <f>IF($G718="","",IF($H718="مرجوعی فروش",-1,1)*($K718-$L718*IFERROR(VLOOKUP("P01",ParamTbl,3,0),1.5)))</f>
        <v/>
      </c>
      <c r="N718">
        <f>IF($G718="",0,IF($H718="مرجوعی فروش",-1,1)*IF(Sync!$AC714="",0,Sync!$AC714))</f>
        <v/>
      </c>
      <c r="O718">
        <f>IF(OR($G718="",Sync!$V714=""),"",Sync!$V714)</f>
        <v/>
      </c>
      <c r="P718">
        <f>IF(OR($G718="",Sync!$AD714=""),"",Sync!$AD714)</f>
        <v/>
      </c>
      <c r="Q718">
        <f>IF($G718="","",IF(Sync!$U714="","0000",IF(AND(ISNUMBER(Sync!$U714),Sync!$U714&gt;=0,Sync!$U714&lt;1),RIGHT("00"&amp;HOUR(Sync!$U714),2)&amp;RIGHT("00"&amp;MINUTE(Sync!$U714),2),IFERROR(RIGHT("00"&amp;VALUE(LEFT(Sync!$U714,FIND(":",Sync!$U714)-1)),2)&amp;RIGHT("00"&amp;VALUE(MID(Sync!$U714,FIND(":",Sync!$U714)+1,2)),2),"0000"))))</f>
        <v/>
      </c>
    </row>
    <row r="719">
      <c r="A719">
        <f>IF(Sync!$T715="","",Sync!$T715)</f>
        <v/>
      </c>
      <c r="B719">
        <f>IF($A719="","",IF(ISNUMBER($A719),IF(AND($A719&gt;=10000101,$A719&lt;=99991231),INT($A719/10000),""),IFERROR(VALUE(TRIM(LEFT($A719,FIND("/",$A719)-1))),"")))</f>
        <v/>
      </c>
      <c r="C719">
        <f>IF(OR($A719="",$B719=""),"",IF(ISNUMBER($A719),INT(MOD($A719,10000)/100),IFERROR(VALUE(TRIM(LEFT(MID($A719,FIND("/",$A719)+1,20),FIND("/",MID($A719,FIND("/",$A719)+1,20))-1))),"")))</f>
        <v/>
      </c>
      <c r="D719">
        <f>IF(OR($A719="",$B719=""),"",IF(ISNUMBER($A719),MOD($A719,100),IFERROR(VALUE(TRIM(MID(MID($A719,FIND("/",$A719)+1,20),FIND("/",MID($A719,FIND("/",$A719)+1,20))+1,20))),"")))</f>
        <v/>
      </c>
      <c r="E719">
        <f>IF($A719="","",IF(OR($B719="",$C719="",$D719="",$B719&lt;1300,$B719&gt;1500,$C719&lt;1,$C719&gt;12,$D719&lt;1,$D719&gt;31),"نامعتبر",RIGHT("0000"&amp;$B719,4)&amp;"/"&amp;RIGHT("00"&amp;$C719,2)&amp;"/"&amp;RIGHT("00"&amp;$D719,2)))</f>
        <v/>
      </c>
      <c r="F719">
        <f>IF(OR($E719="",$E719="نامعتبر"),"",LEFT($E719,4)&amp;"/"&amp;MID($E719,6,2))</f>
        <v/>
      </c>
      <c r="G719">
        <f>IF(OR($E719="",$E719="نامعتبر",Sync!$X715=""),"",IF(AND(LEFT(UPPER(TRIM(Sync!$X715)),2)="SL",IFERROR(VLOOKUP(Sync!$W715,OpTbl,3,0),"")="فروش"),UPPER(TRIM(Sync!$X715)),""))</f>
        <v/>
      </c>
      <c r="H719">
        <f>IF($G719="","",IF(Sync!$W715="","",Sync!$W715))</f>
        <v/>
      </c>
      <c r="I719">
        <f>IF(OR($G719="",Sync!$Y715=""),"",Sync!$Y715)</f>
        <v/>
      </c>
      <c r="J719">
        <f>IF(OR($G719="",Sync!$Z715=""),"",Sync!$Z715)</f>
        <v/>
      </c>
      <c r="K719">
        <f>IF($G719="",0,IF(Sync!$AA715="",0,Sync!$AA715))</f>
        <v/>
      </c>
      <c r="L719">
        <f>IF($G719="",0,IF(Sync!$AB715="",0,Sync!$AB715))</f>
        <v/>
      </c>
      <c r="M719">
        <f>IF($G719="","",IF($H719="مرجوعی فروش",-1,1)*($K719-$L719*IFERROR(VLOOKUP("P01",ParamTbl,3,0),1.5)))</f>
        <v/>
      </c>
      <c r="N719">
        <f>IF($G719="",0,IF($H719="مرجوعی فروش",-1,1)*IF(Sync!$AC715="",0,Sync!$AC715))</f>
        <v/>
      </c>
      <c r="O719">
        <f>IF(OR($G719="",Sync!$V715=""),"",Sync!$V715)</f>
        <v/>
      </c>
      <c r="P719">
        <f>IF(OR($G719="",Sync!$AD715=""),"",Sync!$AD715)</f>
        <v/>
      </c>
      <c r="Q719">
        <f>IF($G719="","",IF(Sync!$U715="","0000",IF(AND(ISNUMBER(Sync!$U715),Sync!$U715&gt;=0,Sync!$U715&lt;1),RIGHT("00"&amp;HOUR(Sync!$U715),2)&amp;RIGHT("00"&amp;MINUTE(Sync!$U715),2),IFERROR(RIGHT("00"&amp;VALUE(LEFT(Sync!$U715,FIND(":",Sync!$U715)-1)),2)&amp;RIGHT("00"&amp;VALUE(MID(Sync!$U715,FIND(":",Sync!$U715)+1,2)),2),"0000"))))</f>
        <v/>
      </c>
    </row>
    <row r="720">
      <c r="A720">
        <f>IF(Sync!$T716="","",Sync!$T716)</f>
        <v/>
      </c>
      <c r="B720">
        <f>IF($A720="","",IF(ISNUMBER($A720),IF(AND($A720&gt;=10000101,$A720&lt;=99991231),INT($A720/10000),""),IFERROR(VALUE(TRIM(LEFT($A720,FIND("/",$A720)-1))),"")))</f>
        <v/>
      </c>
      <c r="C720">
        <f>IF(OR($A720="",$B720=""),"",IF(ISNUMBER($A720),INT(MOD($A720,10000)/100),IFERROR(VALUE(TRIM(LEFT(MID($A720,FIND("/",$A720)+1,20),FIND("/",MID($A720,FIND("/",$A720)+1,20))-1))),"")))</f>
        <v/>
      </c>
      <c r="D720">
        <f>IF(OR($A720="",$B720=""),"",IF(ISNUMBER($A720),MOD($A720,100),IFERROR(VALUE(TRIM(MID(MID($A720,FIND("/",$A720)+1,20),FIND("/",MID($A720,FIND("/",$A720)+1,20))+1,20))),"")))</f>
        <v/>
      </c>
      <c r="E720">
        <f>IF($A720="","",IF(OR($B720="",$C720="",$D720="",$B720&lt;1300,$B720&gt;1500,$C720&lt;1,$C720&gt;12,$D720&lt;1,$D720&gt;31),"نامعتبر",RIGHT("0000"&amp;$B720,4)&amp;"/"&amp;RIGHT("00"&amp;$C720,2)&amp;"/"&amp;RIGHT("00"&amp;$D720,2)))</f>
        <v/>
      </c>
      <c r="F720">
        <f>IF(OR($E720="",$E720="نامعتبر"),"",LEFT($E720,4)&amp;"/"&amp;MID($E720,6,2))</f>
        <v/>
      </c>
      <c r="G720">
        <f>IF(OR($E720="",$E720="نامعتبر",Sync!$X716=""),"",IF(AND(LEFT(UPPER(TRIM(Sync!$X716)),2)="SL",IFERROR(VLOOKUP(Sync!$W716,OpTbl,3,0),"")="فروش"),UPPER(TRIM(Sync!$X716)),""))</f>
        <v/>
      </c>
      <c r="H720">
        <f>IF($G720="","",IF(Sync!$W716="","",Sync!$W716))</f>
        <v/>
      </c>
      <c r="I720">
        <f>IF(OR($G720="",Sync!$Y716=""),"",Sync!$Y716)</f>
        <v/>
      </c>
      <c r="J720">
        <f>IF(OR($G720="",Sync!$Z716=""),"",Sync!$Z716)</f>
        <v/>
      </c>
      <c r="K720">
        <f>IF($G720="",0,IF(Sync!$AA716="",0,Sync!$AA716))</f>
        <v/>
      </c>
      <c r="L720">
        <f>IF($G720="",0,IF(Sync!$AB716="",0,Sync!$AB716))</f>
        <v/>
      </c>
      <c r="M720">
        <f>IF($G720="","",IF($H720="مرجوعی فروش",-1,1)*($K720-$L720*IFERROR(VLOOKUP("P01",ParamTbl,3,0),1.5)))</f>
        <v/>
      </c>
      <c r="N720">
        <f>IF($G720="",0,IF($H720="مرجوعی فروش",-1,1)*IF(Sync!$AC716="",0,Sync!$AC716))</f>
        <v/>
      </c>
      <c r="O720">
        <f>IF(OR($G720="",Sync!$V716=""),"",Sync!$V716)</f>
        <v/>
      </c>
      <c r="P720">
        <f>IF(OR($G720="",Sync!$AD716=""),"",Sync!$AD716)</f>
        <v/>
      </c>
      <c r="Q720">
        <f>IF($G720="","",IF(Sync!$U716="","0000",IF(AND(ISNUMBER(Sync!$U716),Sync!$U716&gt;=0,Sync!$U716&lt;1),RIGHT("00"&amp;HOUR(Sync!$U716),2)&amp;RIGHT("00"&amp;MINUTE(Sync!$U716),2),IFERROR(RIGHT("00"&amp;VALUE(LEFT(Sync!$U716,FIND(":",Sync!$U716)-1)),2)&amp;RIGHT("00"&amp;VALUE(MID(Sync!$U716,FIND(":",Sync!$U716)+1,2)),2),"0000"))))</f>
        <v/>
      </c>
    </row>
    <row r="721">
      <c r="A721">
        <f>IF(Sync!$T717="","",Sync!$T717)</f>
        <v/>
      </c>
      <c r="B721">
        <f>IF($A721="","",IF(ISNUMBER($A721),IF(AND($A721&gt;=10000101,$A721&lt;=99991231),INT($A721/10000),""),IFERROR(VALUE(TRIM(LEFT($A721,FIND("/",$A721)-1))),"")))</f>
        <v/>
      </c>
      <c r="C721">
        <f>IF(OR($A721="",$B721=""),"",IF(ISNUMBER($A721),INT(MOD($A721,10000)/100),IFERROR(VALUE(TRIM(LEFT(MID($A721,FIND("/",$A721)+1,20),FIND("/",MID($A721,FIND("/",$A721)+1,20))-1))),"")))</f>
        <v/>
      </c>
      <c r="D721">
        <f>IF(OR($A721="",$B721=""),"",IF(ISNUMBER($A721),MOD($A721,100),IFERROR(VALUE(TRIM(MID(MID($A721,FIND("/",$A721)+1,20),FIND("/",MID($A721,FIND("/",$A721)+1,20))+1,20))),"")))</f>
        <v/>
      </c>
      <c r="E721">
        <f>IF($A721="","",IF(OR($B721="",$C721="",$D721="",$B721&lt;1300,$B721&gt;1500,$C721&lt;1,$C721&gt;12,$D721&lt;1,$D721&gt;31),"نامعتبر",RIGHT("0000"&amp;$B721,4)&amp;"/"&amp;RIGHT("00"&amp;$C721,2)&amp;"/"&amp;RIGHT("00"&amp;$D721,2)))</f>
        <v/>
      </c>
      <c r="F721">
        <f>IF(OR($E721="",$E721="نامعتبر"),"",LEFT($E721,4)&amp;"/"&amp;MID($E721,6,2))</f>
        <v/>
      </c>
      <c r="G721">
        <f>IF(OR($E721="",$E721="نامعتبر",Sync!$X717=""),"",IF(AND(LEFT(UPPER(TRIM(Sync!$X717)),2)="SL",IFERROR(VLOOKUP(Sync!$W717,OpTbl,3,0),"")="فروش"),UPPER(TRIM(Sync!$X717)),""))</f>
        <v/>
      </c>
      <c r="H721">
        <f>IF($G721="","",IF(Sync!$W717="","",Sync!$W717))</f>
        <v/>
      </c>
      <c r="I721">
        <f>IF(OR($G721="",Sync!$Y717=""),"",Sync!$Y717)</f>
        <v/>
      </c>
      <c r="J721">
        <f>IF(OR($G721="",Sync!$Z717=""),"",Sync!$Z717)</f>
        <v/>
      </c>
      <c r="K721">
        <f>IF($G721="",0,IF(Sync!$AA717="",0,Sync!$AA717))</f>
        <v/>
      </c>
      <c r="L721">
        <f>IF($G721="",0,IF(Sync!$AB717="",0,Sync!$AB717))</f>
        <v/>
      </c>
      <c r="M721">
        <f>IF($G721="","",IF($H721="مرجوعی فروش",-1,1)*($K721-$L721*IFERROR(VLOOKUP("P01",ParamTbl,3,0),1.5)))</f>
        <v/>
      </c>
      <c r="N721">
        <f>IF($G721="",0,IF($H721="مرجوعی فروش",-1,1)*IF(Sync!$AC717="",0,Sync!$AC717))</f>
        <v/>
      </c>
      <c r="O721">
        <f>IF(OR($G721="",Sync!$V717=""),"",Sync!$V717)</f>
        <v/>
      </c>
      <c r="P721">
        <f>IF(OR($G721="",Sync!$AD717=""),"",Sync!$AD717)</f>
        <v/>
      </c>
      <c r="Q721">
        <f>IF($G721="","",IF(Sync!$U717="","0000",IF(AND(ISNUMBER(Sync!$U717),Sync!$U717&gt;=0,Sync!$U717&lt;1),RIGHT("00"&amp;HOUR(Sync!$U717),2)&amp;RIGHT("00"&amp;MINUTE(Sync!$U717),2),IFERROR(RIGHT("00"&amp;VALUE(LEFT(Sync!$U717,FIND(":",Sync!$U717)-1)),2)&amp;RIGHT("00"&amp;VALUE(MID(Sync!$U717,FIND(":",Sync!$U717)+1,2)),2),"0000"))))</f>
        <v/>
      </c>
    </row>
    <row r="722">
      <c r="A722">
        <f>IF(Sync!$T718="","",Sync!$T718)</f>
        <v/>
      </c>
      <c r="B722">
        <f>IF($A722="","",IF(ISNUMBER($A722),IF(AND($A722&gt;=10000101,$A722&lt;=99991231),INT($A722/10000),""),IFERROR(VALUE(TRIM(LEFT($A722,FIND("/",$A722)-1))),"")))</f>
        <v/>
      </c>
      <c r="C722">
        <f>IF(OR($A722="",$B722=""),"",IF(ISNUMBER($A722),INT(MOD($A722,10000)/100),IFERROR(VALUE(TRIM(LEFT(MID($A722,FIND("/",$A722)+1,20),FIND("/",MID($A722,FIND("/",$A722)+1,20))-1))),"")))</f>
        <v/>
      </c>
      <c r="D722">
        <f>IF(OR($A722="",$B722=""),"",IF(ISNUMBER($A722),MOD($A722,100),IFERROR(VALUE(TRIM(MID(MID($A722,FIND("/",$A722)+1,20),FIND("/",MID($A722,FIND("/",$A722)+1,20))+1,20))),"")))</f>
        <v/>
      </c>
      <c r="E722">
        <f>IF($A722="","",IF(OR($B722="",$C722="",$D722="",$B722&lt;1300,$B722&gt;1500,$C722&lt;1,$C722&gt;12,$D722&lt;1,$D722&gt;31),"نامعتبر",RIGHT("0000"&amp;$B722,4)&amp;"/"&amp;RIGHT("00"&amp;$C722,2)&amp;"/"&amp;RIGHT("00"&amp;$D722,2)))</f>
        <v/>
      </c>
      <c r="F722">
        <f>IF(OR($E722="",$E722="نامعتبر"),"",LEFT($E722,4)&amp;"/"&amp;MID($E722,6,2))</f>
        <v/>
      </c>
      <c r="G722">
        <f>IF(OR($E722="",$E722="نامعتبر",Sync!$X718=""),"",IF(AND(LEFT(UPPER(TRIM(Sync!$X718)),2)="SL",IFERROR(VLOOKUP(Sync!$W718,OpTbl,3,0),"")="فروش"),UPPER(TRIM(Sync!$X718)),""))</f>
        <v/>
      </c>
      <c r="H722">
        <f>IF($G722="","",IF(Sync!$W718="","",Sync!$W718))</f>
        <v/>
      </c>
      <c r="I722">
        <f>IF(OR($G722="",Sync!$Y718=""),"",Sync!$Y718)</f>
        <v/>
      </c>
      <c r="J722">
        <f>IF(OR($G722="",Sync!$Z718=""),"",Sync!$Z718)</f>
        <v/>
      </c>
      <c r="K722">
        <f>IF($G722="",0,IF(Sync!$AA718="",0,Sync!$AA718))</f>
        <v/>
      </c>
      <c r="L722">
        <f>IF($G722="",0,IF(Sync!$AB718="",0,Sync!$AB718))</f>
        <v/>
      </c>
      <c r="M722">
        <f>IF($G722="","",IF($H722="مرجوعی فروش",-1,1)*($K722-$L722*IFERROR(VLOOKUP("P01",ParamTbl,3,0),1.5)))</f>
        <v/>
      </c>
      <c r="N722">
        <f>IF($G722="",0,IF($H722="مرجوعی فروش",-1,1)*IF(Sync!$AC718="",0,Sync!$AC718))</f>
        <v/>
      </c>
      <c r="O722">
        <f>IF(OR($G722="",Sync!$V718=""),"",Sync!$V718)</f>
        <v/>
      </c>
      <c r="P722">
        <f>IF(OR($G722="",Sync!$AD718=""),"",Sync!$AD718)</f>
        <v/>
      </c>
      <c r="Q722">
        <f>IF($G722="","",IF(Sync!$U718="","0000",IF(AND(ISNUMBER(Sync!$U718),Sync!$U718&gt;=0,Sync!$U718&lt;1),RIGHT("00"&amp;HOUR(Sync!$U718),2)&amp;RIGHT("00"&amp;MINUTE(Sync!$U718),2),IFERROR(RIGHT("00"&amp;VALUE(LEFT(Sync!$U718,FIND(":",Sync!$U718)-1)),2)&amp;RIGHT("00"&amp;VALUE(MID(Sync!$U718,FIND(":",Sync!$U718)+1,2)),2),"0000"))))</f>
        <v/>
      </c>
    </row>
    <row r="723">
      <c r="A723">
        <f>IF(Sync!$T719="","",Sync!$T719)</f>
        <v/>
      </c>
      <c r="B723">
        <f>IF($A723="","",IF(ISNUMBER($A723),IF(AND($A723&gt;=10000101,$A723&lt;=99991231),INT($A723/10000),""),IFERROR(VALUE(TRIM(LEFT($A723,FIND("/",$A723)-1))),"")))</f>
        <v/>
      </c>
      <c r="C723">
        <f>IF(OR($A723="",$B723=""),"",IF(ISNUMBER($A723),INT(MOD($A723,10000)/100),IFERROR(VALUE(TRIM(LEFT(MID($A723,FIND("/",$A723)+1,20),FIND("/",MID($A723,FIND("/",$A723)+1,20))-1))),"")))</f>
        <v/>
      </c>
      <c r="D723">
        <f>IF(OR($A723="",$B723=""),"",IF(ISNUMBER($A723),MOD($A723,100),IFERROR(VALUE(TRIM(MID(MID($A723,FIND("/",$A723)+1,20),FIND("/",MID($A723,FIND("/",$A723)+1,20))+1,20))),"")))</f>
        <v/>
      </c>
      <c r="E723">
        <f>IF($A723="","",IF(OR($B723="",$C723="",$D723="",$B723&lt;1300,$B723&gt;1500,$C723&lt;1,$C723&gt;12,$D723&lt;1,$D723&gt;31),"نامعتبر",RIGHT("0000"&amp;$B723,4)&amp;"/"&amp;RIGHT("00"&amp;$C723,2)&amp;"/"&amp;RIGHT("00"&amp;$D723,2)))</f>
        <v/>
      </c>
      <c r="F723">
        <f>IF(OR($E723="",$E723="نامعتبر"),"",LEFT($E723,4)&amp;"/"&amp;MID($E723,6,2))</f>
        <v/>
      </c>
      <c r="G723">
        <f>IF(OR($E723="",$E723="نامعتبر",Sync!$X719=""),"",IF(AND(LEFT(UPPER(TRIM(Sync!$X719)),2)="SL",IFERROR(VLOOKUP(Sync!$W719,OpTbl,3,0),"")="فروش"),UPPER(TRIM(Sync!$X719)),""))</f>
        <v/>
      </c>
      <c r="H723">
        <f>IF($G723="","",IF(Sync!$W719="","",Sync!$W719))</f>
        <v/>
      </c>
      <c r="I723">
        <f>IF(OR($G723="",Sync!$Y719=""),"",Sync!$Y719)</f>
        <v/>
      </c>
      <c r="J723">
        <f>IF(OR($G723="",Sync!$Z719=""),"",Sync!$Z719)</f>
        <v/>
      </c>
      <c r="K723">
        <f>IF($G723="",0,IF(Sync!$AA719="",0,Sync!$AA719))</f>
        <v/>
      </c>
      <c r="L723">
        <f>IF($G723="",0,IF(Sync!$AB719="",0,Sync!$AB719))</f>
        <v/>
      </c>
      <c r="M723">
        <f>IF($G723="","",IF($H723="مرجوعی فروش",-1,1)*($K723-$L723*IFERROR(VLOOKUP("P01",ParamTbl,3,0),1.5)))</f>
        <v/>
      </c>
      <c r="N723">
        <f>IF($G723="",0,IF($H723="مرجوعی فروش",-1,1)*IF(Sync!$AC719="",0,Sync!$AC719))</f>
        <v/>
      </c>
      <c r="O723">
        <f>IF(OR($G723="",Sync!$V719=""),"",Sync!$V719)</f>
        <v/>
      </c>
      <c r="P723">
        <f>IF(OR($G723="",Sync!$AD719=""),"",Sync!$AD719)</f>
        <v/>
      </c>
      <c r="Q723">
        <f>IF($G723="","",IF(Sync!$U719="","0000",IF(AND(ISNUMBER(Sync!$U719),Sync!$U719&gt;=0,Sync!$U719&lt;1),RIGHT("00"&amp;HOUR(Sync!$U719),2)&amp;RIGHT("00"&amp;MINUTE(Sync!$U719),2),IFERROR(RIGHT("00"&amp;VALUE(LEFT(Sync!$U719,FIND(":",Sync!$U719)-1)),2)&amp;RIGHT("00"&amp;VALUE(MID(Sync!$U719,FIND(":",Sync!$U719)+1,2)),2),"0000"))))</f>
        <v/>
      </c>
    </row>
    <row r="724">
      <c r="A724">
        <f>IF(Sync!$T720="","",Sync!$T720)</f>
        <v/>
      </c>
      <c r="B724">
        <f>IF($A724="","",IF(ISNUMBER($A724),IF(AND($A724&gt;=10000101,$A724&lt;=99991231),INT($A724/10000),""),IFERROR(VALUE(TRIM(LEFT($A724,FIND("/",$A724)-1))),"")))</f>
        <v/>
      </c>
      <c r="C724">
        <f>IF(OR($A724="",$B724=""),"",IF(ISNUMBER($A724),INT(MOD($A724,10000)/100),IFERROR(VALUE(TRIM(LEFT(MID($A724,FIND("/",$A724)+1,20),FIND("/",MID($A724,FIND("/",$A724)+1,20))-1))),"")))</f>
        <v/>
      </c>
      <c r="D724">
        <f>IF(OR($A724="",$B724=""),"",IF(ISNUMBER($A724),MOD($A724,100),IFERROR(VALUE(TRIM(MID(MID($A724,FIND("/",$A724)+1,20),FIND("/",MID($A724,FIND("/",$A724)+1,20))+1,20))),"")))</f>
        <v/>
      </c>
      <c r="E724">
        <f>IF($A724="","",IF(OR($B724="",$C724="",$D724="",$B724&lt;1300,$B724&gt;1500,$C724&lt;1,$C724&gt;12,$D724&lt;1,$D724&gt;31),"نامعتبر",RIGHT("0000"&amp;$B724,4)&amp;"/"&amp;RIGHT("00"&amp;$C724,2)&amp;"/"&amp;RIGHT("00"&amp;$D724,2)))</f>
        <v/>
      </c>
      <c r="F724">
        <f>IF(OR($E724="",$E724="نامعتبر"),"",LEFT($E724,4)&amp;"/"&amp;MID($E724,6,2))</f>
        <v/>
      </c>
      <c r="G724">
        <f>IF(OR($E724="",$E724="نامعتبر",Sync!$X720=""),"",IF(AND(LEFT(UPPER(TRIM(Sync!$X720)),2)="SL",IFERROR(VLOOKUP(Sync!$W720,OpTbl,3,0),"")="فروش"),UPPER(TRIM(Sync!$X720)),""))</f>
        <v/>
      </c>
      <c r="H724">
        <f>IF($G724="","",IF(Sync!$W720="","",Sync!$W720))</f>
        <v/>
      </c>
      <c r="I724">
        <f>IF(OR($G724="",Sync!$Y720=""),"",Sync!$Y720)</f>
        <v/>
      </c>
      <c r="J724">
        <f>IF(OR($G724="",Sync!$Z720=""),"",Sync!$Z720)</f>
        <v/>
      </c>
      <c r="K724">
        <f>IF($G724="",0,IF(Sync!$AA720="",0,Sync!$AA720))</f>
        <v/>
      </c>
      <c r="L724">
        <f>IF($G724="",0,IF(Sync!$AB720="",0,Sync!$AB720))</f>
        <v/>
      </c>
      <c r="M724">
        <f>IF($G724="","",IF($H724="مرجوعی فروش",-1,1)*($K724-$L724*IFERROR(VLOOKUP("P01",ParamTbl,3,0),1.5)))</f>
        <v/>
      </c>
      <c r="N724">
        <f>IF($G724="",0,IF($H724="مرجوعی فروش",-1,1)*IF(Sync!$AC720="",0,Sync!$AC720))</f>
        <v/>
      </c>
      <c r="O724">
        <f>IF(OR($G724="",Sync!$V720=""),"",Sync!$V720)</f>
        <v/>
      </c>
      <c r="P724">
        <f>IF(OR($G724="",Sync!$AD720=""),"",Sync!$AD720)</f>
        <v/>
      </c>
      <c r="Q724">
        <f>IF($G724="","",IF(Sync!$U720="","0000",IF(AND(ISNUMBER(Sync!$U720),Sync!$U720&gt;=0,Sync!$U720&lt;1),RIGHT("00"&amp;HOUR(Sync!$U720),2)&amp;RIGHT("00"&amp;MINUTE(Sync!$U720),2),IFERROR(RIGHT("00"&amp;VALUE(LEFT(Sync!$U720,FIND(":",Sync!$U720)-1)),2)&amp;RIGHT("00"&amp;VALUE(MID(Sync!$U720,FIND(":",Sync!$U720)+1,2)),2),"0000"))))</f>
        <v/>
      </c>
    </row>
    <row r="725">
      <c r="A725">
        <f>IF(Sync!$T721="","",Sync!$T721)</f>
        <v/>
      </c>
      <c r="B725">
        <f>IF($A725="","",IF(ISNUMBER($A725),IF(AND($A725&gt;=10000101,$A725&lt;=99991231),INT($A725/10000),""),IFERROR(VALUE(TRIM(LEFT($A725,FIND("/",$A725)-1))),"")))</f>
        <v/>
      </c>
      <c r="C725">
        <f>IF(OR($A725="",$B725=""),"",IF(ISNUMBER($A725),INT(MOD($A725,10000)/100),IFERROR(VALUE(TRIM(LEFT(MID($A725,FIND("/",$A725)+1,20),FIND("/",MID($A725,FIND("/",$A725)+1,20))-1))),"")))</f>
        <v/>
      </c>
      <c r="D725">
        <f>IF(OR($A725="",$B725=""),"",IF(ISNUMBER($A725),MOD($A725,100),IFERROR(VALUE(TRIM(MID(MID($A725,FIND("/",$A725)+1,20),FIND("/",MID($A725,FIND("/",$A725)+1,20))+1,20))),"")))</f>
        <v/>
      </c>
      <c r="E725">
        <f>IF($A725="","",IF(OR($B725="",$C725="",$D725="",$B725&lt;1300,$B725&gt;1500,$C725&lt;1,$C725&gt;12,$D725&lt;1,$D725&gt;31),"نامعتبر",RIGHT("0000"&amp;$B725,4)&amp;"/"&amp;RIGHT("00"&amp;$C725,2)&amp;"/"&amp;RIGHT("00"&amp;$D725,2)))</f>
        <v/>
      </c>
      <c r="F725">
        <f>IF(OR($E725="",$E725="نامعتبر"),"",LEFT($E725,4)&amp;"/"&amp;MID($E725,6,2))</f>
        <v/>
      </c>
      <c r="G725">
        <f>IF(OR($E725="",$E725="نامعتبر",Sync!$X721=""),"",IF(AND(LEFT(UPPER(TRIM(Sync!$X721)),2)="SL",IFERROR(VLOOKUP(Sync!$W721,OpTbl,3,0),"")="فروش"),UPPER(TRIM(Sync!$X721)),""))</f>
        <v/>
      </c>
      <c r="H725">
        <f>IF($G725="","",IF(Sync!$W721="","",Sync!$W721))</f>
        <v/>
      </c>
      <c r="I725">
        <f>IF(OR($G725="",Sync!$Y721=""),"",Sync!$Y721)</f>
        <v/>
      </c>
      <c r="J725">
        <f>IF(OR($G725="",Sync!$Z721=""),"",Sync!$Z721)</f>
        <v/>
      </c>
      <c r="K725">
        <f>IF($G725="",0,IF(Sync!$AA721="",0,Sync!$AA721))</f>
        <v/>
      </c>
      <c r="L725">
        <f>IF($G725="",0,IF(Sync!$AB721="",0,Sync!$AB721))</f>
        <v/>
      </c>
      <c r="M725">
        <f>IF($G725="","",IF($H725="مرجوعی فروش",-1,1)*($K725-$L725*IFERROR(VLOOKUP("P01",ParamTbl,3,0),1.5)))</f>
        <v/>
      </c>
      <c r="N725">
        <f>IF($G725="",0,IF($H725="مرجوعی فروش",-1,1)*IF(Sync!$AC721="",0,Sync!$AC721))</f>
        <v/>
      </c>
      <c r="O725">
        <f>IF(OR($G725="",Sync!$V721=""),"",Sync!$V721)</f>
        <v/>
      </c>
      <c r="P725">
        <f>IF(OR($G725="",Sync!$AD721=""),"",Sync!$AD721)</f>
        <v/>
      </c>
      <c r="Q725">
        <f>IF($G725="","",IF(Sync!$U721="","0000",IF(AND(ISNUMBER(Sync!$U721),Sync!$U721&gt;=0,Sync!$U721&lt;1),RIGHT("00"&amp;HOUR(Sync!$U721),2)&amp;RIGHT("00"&amp;MINUTE(Sync!$U721),2),IFERROR(RIGHT("00"&amp;VALUE(LEFT(Sync!$U721,FIND(":",Sync!$U721)-1)),2)&amp;RIGHT("00"&amp;VALUE(MID(Sync!$U721,FIND(":",Sync!$U721)+1,2)),2),"0000"))))</f>
        <v/>
      </c>
    </row>
    <row r="726">
      <c r="A726">
        <f>IF(Sync!$T722="","",Sync!$T722)</f>
        <v/>
      </c>
      <c r="B726">
        <f>IF($A726="","",IF(ISNUMBER($A726),IF(AND($A726&gt;=10000101,$A726&lt;=99991231),INT($A726/10000),""),IFERROR(VALUE(TRIM(LEFT($A726,FIND("/",$A726)-1))),"")))</f>
        <v/>
      </c>
      <c r="C726">
        <f>IF(OR($A726="",$B726=""),"",IF(ISNUMBER($A726),INT(MOD($A726,10000)/100),IFERROR(VALUE(TRIM(LEFT(MID($A726,FIND("/",$A726)+1,20),FIND("/",MID($A726,FIND("/",$A726)+1,20))-1))),"")))</f>
        <v/>
      </c>
      <c r="D726">
        <f>IF(OR($A726="",$B726=""),"",IF(ISNUMBER($A726),MOD($A726,100),IFERROR(VALUE(TRIM(MID(MID($A726,FIND("/",$A726)+1,20),FIND("/",MID($A726,FIND("/",$A726)+1,20))+1,20))),"")))</f>
        <v/>
      </c>
      <c r="E726">
        <f>IF($A726="","",IF(OR($B726="",$C726="",$D726="",$B726&lt;1300,$B726&gt;1500,$C726&lt;1,$C726&gt;12,$D726&lt;1,$D726&gt;31),"نامعتبر",RIGHT("0000"&amp;$B726,4)&amp;"/"&amp;RIGHT("00"&amp;$C726,2)&amp;"/"&amp;RIGHT("00"&amp;$D726,2)))</f>
        <v/>
      </c>
      <c r="F726">
        <f>IF(OR($E726="",$E726="نامعتبر"),"",LEFT($E726,4)&amp;"/"&amp;MID($E726,6,2))</f>
        <v/>
      </c>
      <c r="G726">
        <f>IF(OR($E726="",$E726="نامعتبر",Sync!$X722=""),"",IF(AND(LEFT(UPPER(TRIM(Sync!$X722)),2)="SL",IFERROR(VLOOKUP(Sync!$W722,OpTbl,3,0),"")="فروش"),UPPER(TRIM(Sync!$X722)),""))</f>
        <v/>
      </c>
      <c r="H726">
        <f>IF($G726="","",IF(Sync!$W722="","",Sync!$W722))</f>
        <v/>
      </c>
      <c r="I726">
        <f>IF(OR($G726="",Sync!$Y722=""),"",Sync!$Y722)</f>
        <v/>
      </c>
      <c r="J726">
        <f>IF(OR($G726="",Sync!$Z722=""),"",Sync!$Z722)</f>
        <v/>
      </c>
      <c r="K726">
        <f>IF($G726="",0,IF(Sync!$AA722="",0,Sync!$AA722))</f>
        <v/>
      </c>
      <c r="L726">
        <f>IF($G726="",0,IF(Sync!$AB722="",0,Sync!$AB722))</f>
        <v/>
      </c>
      <c r="M726">
        <f>IF($G726="","",IF($H726="مرجوعی فروش",-1,1)*($K726-$L726*IFERROR(VLOOKUP("P01",ParamTbl,3,0),1.5)))</f>
        <v/>
      </c>
      <c r="N726">
        <f>IF($G726="",0,IF($H726="مرجوعی فروش",-1,1)*IF(Sync!$AC722="",0,Sync!$AC722))</f>
        <v/>
      </c>
      <c r="O726">
        <f>IF(OR($G726="",Sync!$V722=""),"",Sync!$V722)</f>
        <v/>
      </c>
      <c r="P726">
        <f>IF(OR($G726="",Sync!$AD722=""),"",Sync!$AD722)</f>
        <v/>
      </c>
      <c r="Q726">
        <f>IF($G726="","",IF(Sync!$U722="","0000",IF(AND(ISNUMBER(Sync!$U722),Sync!$U722&gt;=0,Sync!$U722&lt;1),RIGHT("00"&amp;HOUR(Sync!$U722),2)&amp;RIGHT("00"&amp;MINUTE(Sync!$U722),2),IFERROR(RIGHT("00"&amp;VALUE(LEFT(Sync!$U722,FIND(":",Sync!$U722)-1)),2)&amp;RIGHT("00"&amp;VALUE(MID(Sync!$U722,FIND(":",Sync!$U722)+1,2)),2),"0000"))))</f>
        <v/>
      </c>
    </row>
    <row r="727">
      <c r="A727">
        <f>IF(Sync!$T723="","",Sync!$T723)</f>
        <v/>
      </c>
      <c r="B727">
        <f>IF($A727="","",IF(ISNUMBER($A727),IF(AND($A727&gt;=10000101,$A727&lt;=99991231),INT($A727/10000),""),IFERROR(VALUE(TRIM(LEFT($A727,FIND("/",$A727)-1))),"")))</f>
        <v/>
      </c>
      <c r="C727">
        <f>IF(OR($A727="",$B727=""),"",IF(ISNUMBER($A727),INT(MOD($A727,10000)/100),IFERROR(VALUE(TRIM(LEFT(MID($A727,FIND("/",$A727)+1,20),FIND("/",MID($A727,FIND("/",$A727)+1,20))-1))),"")))</f>
        <v/>
      </c>
      <c r="D727">
        <f>IF(OR($A727="",$B727=""),"",IF(ISNUMBER($A727),MOD($A727,100),IFERROR(VALUE(TRIM(MID(MID($A727,FIND("/",$A727)+1,20),FIND("/",MID($A727,FIND("/",$A727)+1,20))+1,20))),"")))</f>
        <v/>
      </c>
      <c r="E727">
        <f>IF($A727="","",IF(OR($B727="",$C727="",$D727="",$B727&lt;1300,$B727&gt;1500,$C727&lt;1,$C727&gt;12,$D727&lt;1,$D727&gt;31),"نامعتبر",RIGHT("0000"&amp;$B727,4)&amp;"/"&amp;RIGHT("00"&amp;$C727,2)&amp;"/"&amp;RIGHT("00"&amp;$D727,2)))</f>
        <v/>
      </c>
      <c r="F727">
        <f>IF(OR($E727="",$E727="نامعتبر"),"",LEFT($E727,4)&amp;"/"&amp;MID($E727,6,2))</f>
        <v/>
      </c>
      <c r="G727">
        <f>IF(OR($E727="",$E727="نامعتبر",Sync!$X723=""),"",IF(AND(LEFT(UPPER(TRIM(Sync!$X723)),2)="SL",IFERROR(VLOOKUP(Sync!$W723,OpTbl,3,0),"")="فروش"),UPPER(TRIM(Sync!$X723)),""))</f>
        <v/>
      </c>
      <c r="H727">
        <f>IF($G727="","",IF(Sync!$W723="","",Sync!$W723))</f>
        <v/>
      </c>
      <c r="I727">
        <f>IF(OR($G727="",Sync!$Y723=""),"",Sync!$Y723)</f>
        <v/>
      </c>
      <c r="J727">
        <f>IF(OR($G727="",Sync!$Z723=""),"",Sync!$Z723)</f>
        <v/>
      </c>
      <c r="K727">
        <f>IF($G727="",0,IF(Sync!$AA723="",0,Sync!$AA723))</f>
        <v/>
      </c>
      <c r="L727">
        <f>IF($G727="",0,IF(Sync!$AB723="",0,Sync!$AB723))</f>
        <v/>
      </c>
      <c r="M727">
        <f>IF($G727="","",IF($H727="مرجوعی فروش",-1,1)*($K727-$L727*IFERROR(VLOOKUP("P01",ParamTbl,3,0),1.5)))</f>
        <v/>
      </c>
      <c r="N727">
        <f>IF($G727="",0,IF($H727="مرجوعی فروش",-1,1)*IF(Sync!$AC723="",0,Sync!$AC723))</f>
        <v/>
      </c>
      <c r="O727">
        <f>IF(OR($G727="",Sync!$V723=""),"",Sync!$V723)</f>
        <v/>
      </c>
      <c r="P727">
        <f>IF(OR($G727="",Sync!$AD723=""),"",Sync!$AD723)</f>
        <v/>
      </c>
      <c r="Q727">
        <f>IF($G727="","",IF(Sync!$U723="","0000",IF(AND(ISNUMBER(Sync!$U723),Sync!$U723&gt;=0,Sync!$U723&lt;1),RIGHT("00"&amp;HOUR(Sync!$U723),2)&amp;RIGHT("00"&amp;MINUTE(Sync!$U723),2),IFERROR(RIGHT("00"&amp;VALUE(LEFT(Sync!$U723,FIND(":",Sync!$U723)-1)),2)&amp;RIGHT("00"&amp;VALUE(MID(Sync!$U723,FIND(":",Sync!$U723)+1,2)),2),"0000"))))</f>
        <v/>
      </c>
    </row>
    <row r="728">
      <c r="A728">
        <f>IF(Sync!$T724="","",Sync!$T724)</f>
        <v/>
      </c>
      <c r="B728">
        <f>IF($A728="","",IF(ISNUMBER($A728),IF(AND($A728&gt;=10000101,$A728&lt;=99991231),INT($A728/10000),""),IFERROR(VALUE(TRIM(LEFT($A728,FIND("/",$A728)-1))),"")))</f>
        <v/>
      </c>
      <c r="C728">
        <f>IF(OR($A728="",$B728=""),"",IF(ISNUMBER($A728),INT(MOD($A728,10000)/100),IFERROR(VALUE(TRIM(LEFT(MID($A728,FIND("/",$A728)+1,20),FIND("/",MID($A728,FIND("/",$A728)+1,20))-1))),"")))</f>
        <v/>
      </c>
      <c r="D728">
        <f>IF(OR($A728="",$B728=""),"",IF(ISNUMBER($A728),MOD($A728,100),IFERROR(VALUE(TRIM(MID(MID($A728,FIND("/",$A728)+1,20),FIND("/",MID($A728,FIND("/",$A728)+1,20))+1,20))),"")))</f>
        <v/>
      </c>
      <c r="E728">
        <f>IF($A728="","",IF(OR($B728="",$C728="",$D728="",$B728&lt;1300,$B728&gt;1500,$C728&lt;1,$C728&gt;12,$D728&lt;1,$D728&gt;31),"نامعتبر",RIGHT("0000"&amp;$B728,4)&amp;"/"&amp;RIGHT("00"&amp;$C728,2)&amp;"/"&amp;RIGHT("00"&amp;$D728,2)))</f>
        <v/>
      </c>
      <c r="F728">
        <f>IF(OR($E728="",$E728="نامعتبر"),"",LEFT($E728,4)&amp;"/"&amp;MID($E728,6,2))</f>
        <v/>
      </c>
      <c r="G728">
        <f>IF(OR($E728="",$E728="نامعتبر",Sync!$X724=""),"",IF(AND(LEFT(UPPER(TRIM(Sync!$X724)),2)="SL",IFERROR(VLOOKUP(Sync!$W724,OpTbl,3,0),"")="فروش"),UPPER(TRIM(Sync!$X724)),""))</f>
        <v/>
      </c>
      <c r="H728">
        <f>IF($G728="","",IF(Sync!$W724="","",Sync!$W724))</f>
        <v/>
      </c>
      <c r="I728">
        <f>IF(OR($G728="",Sync!$Y724=""),"",Sync!$Y724)</f>
        <v/>
      </c>
      <c r="J728">
        <f>IF(OR($G728="",Sync!$Z724=""),"",Sync!$Z724)</f>
        <v/>
      </c>
      <c r="K728">
        <f>IF($G728="",0,IF(Sync!$AA724="",0,Sync!$AA724))</f>
        <v/>
      </c>
      <c r="L728">
        <f>IF($G728="",0,IF(Sync!$AB724="",0,Sync!$AB724))</f>
        <v/>
      </c>
      <c r="M728">
        <f>IF($G728="","",IF($H728="مرجوعی فروش",-1,1)*($K728-$L728*IFERROR(VLOOKUP("P01",ParamTbl,3,0),1.5)))</f>
        <v/>
      </c>
      <c r="N728">
        <f>IF($G728="",0,IF($H728="مرجوعی فروش",-1,1)*IF(Sync!$AC724="",0,Sync!$AC724))</f>
        <v/>
      </c>
      <c r="O728">
        <f>IF(OR($G728="",Sync!$V724=""),"",Sync!$V724)</f>
        <v/>
      </c>
      <c r="P728">
        <f>IF(OR($G728="",Sync!$AD724=""),"",Sync!$AD724)</f>
        <v/>
      </c>
      <c r="Q728">
        <f>IF($G728="","",IF(Sync!$U724="","0000",IF(AND(ISNUMBER(Sync!$U724),Sync!$U724&gt;=0,Sync!$U724&lt;1),RIGHT("00"&amp;HOUR(Sync!$U724),2)&amp;RIGHT("00"&amp;MINUTE(Sync!$U724),2),IFERROR(RIGHT("00"&amp;VALUE(LEFT(Sync!$U724,FIND(":",Sync!$U724)-1)),2)&amp;RIGHT("00"&amp;VALUE(MID(Sync!$U724,FIND(":",Sync!$U724)+1,2)),2),"0000"))))</f>
        <v/>
      </c>
    </row>
    <row r="729">
      <c r="A729">
        <f>IF(Sync!$T725="","",Sync!$T725)</f>
        <v/>
      </c>
      <c r="B729">
        <f>IF($A729="","",IF(ISNUMBER($A729),IF(AND($A729&gt;=10000101,$A729&lt;=99991231),INT($A729/10000),""),IFERROR(VALUE(TRIM(LEFT($A729,FIND("/",$A729)-1))),"")))</f>
        <v/>
      </c>
      <c r="C729">
        <f>IF(OR($A729="",$B729=""),"",IF(ISNUMBER($A729),INT(MOD($A729,10000)/100),IFERROR(VALUE(TRIM(LEFT(MID($A729,FIND("/",$A729)+1,20),FIND("/",MID($A729,FIND("/",$A729)+1,20))-1))),"")))</f>
        <v/>
      </c>
      <c r="D729">
        <f>IF(OR($A729="",$B729=""),"",IF(ISNUMBER($A729),MOD($A729,100),IFERROR(VALUE(TRIM(MID(MID($A729,FIND("/",$A729)+1,20),FIND("/",MID($A729,FIND("/",$A729)+1,20))+1,20))),"")))</f>
        <v/>
      </c>
      <c r="E729">
        <f>IF($A729="","",IF(OR($B729="",$C729="",$D729="",$B729&lt;1300,$B729&gt;1500,$C729&lt;1,$C729&gt;12,$D729&lt;1,$D729&gt;31),"نامعتبر",RIGHT("0000"&amp;$B729,4)&amp;"/"&amp;RIGHT("00"&amp;$C729,2)&amp;"/"&amp;RIGHT("00"&amp;$D729,2)))</f>
        <v/>
      </c>
      <c r="F729">
        <f>IF(OR($E729="",$E729="نامعتبر"),"",LEFT($E729,4)&amp;"/"&amp;MID($E729,6,2))</f>
        <v/>
      </c>
      <c r="G729">
        <f>IF(OR($E729="",$E729="نامعتبر",Sync!$X725=""),"",IF(AND(LEFT(UPPER(TRIM(Sync!$X725)),2)="SL",IFERROR(VLOOKUP(Sync!$W725,OpTbl,3,0),"")="فروش"),UPPER(TRIM(Sync!$X725)),""))</f>
        <v/>
      </c>
      <c r="H729">
        <f>IF($G729="","",IF(Sync!$W725="","",Sync!$W725))</f>
        <v/>
      </c>
      <c r="I729">
        <f>IF(OR($G729="",Sync!$Y725=""),"",Sync!$Y725)</f>
        <v/>
      </c>
      <c r="J729">
        <f>IF(OR($G729="",Sync!$Z725=""),"",Sync!$Z725)</f>
        <v/>
      </c>
      <c r="K729">
        <f>IF($G729="",0,IF(Sync!$AA725="",0,Sync!$AA725))</f>
        <v/>
      </c>
      <c r="L729">
        <f>IF($G729="",0,IF(Sync!$AB725="",0,Sync!$AB725))</f>
        <v/>
      </c>
      <c r="M729">
        <f>IF($G729="","",IF($H729="مرجوعی فروش",-1,1)*($K729-$L729*IFERROR(VLOOKUP("P01",ParamTbl,3,0),1.5)))</f>
        <v/>
      </c>
      <c r="N729">
        <f>IF($G729="",0,IF($H729="مرجوعی فروش",-1,1)*IF(Sync!$AC725="",0,Sync!$AC725))</f>
        <v/>
      </c>
      <c r="O729">
        <f>IF(OR($G729="",Sync!$V725=""),"",Sync!$V725)</f>
        <v/>
      </c>
      <c r="P729">
        <f>IF(OR($G729="",Sync!$AD725=""),"",Sync!$AD725)</f>
        <v/>
      </c>
      <c r="Q729">
        <f>IF($G729="","",IF(Sync!$U725="","0000",IF(AND(ISNUMBER(Sync!$U725),Sync!$U725&gt;=0,Sync!$U725&lt;1),RIGHT("00"&amp;HOUR(Sync!$U725),2)&amp;RIGHT("00"&amp;MINUTE(Sync!$U725),2),IFERROR(RIGHT("00"&amp;VALUE(LEFT(Sync!$U725,FIND(":",Sync!$U725)-1)),2)&amp;RIGHT("00"&amp;VALUE(MID(Sync!$U725,FIND(":",Sync!$U725)+1,2)),2),"0000"))))</f>
        <v/>
      </c>
    </row>
    <row r="730">
      <c r="A730">
        <f>IF(Sync!$T726="","",Sync!$T726)</f>
        <v/>
      </c>
      <c r="B730">
        <f>IF($A730="","",IF(ISNUMBER($A730),IF(AND($A730&gt;=10000101,$A730&lt;=99991231),INT($A730/10000),""),IFERROR(VALUE(TRIM(LEFT($A730,FIND("/",$A730)-1))),"")))</f>
        <v/>
      </c>
      <c r="C730">
        <f>IF(OR($A730="",$B730=""),"",IF(ISNUMBER($A730),INT(MOD($A730,10000)/100),IFERROR(VALUE(TRIM(LEFT(MID($A730,FIND("/",$A730)+1,20),FIND("/",MID($A730,FIND("/",$A730)+1,20))-1))),"")))</f>
        <v/>
      </c>
      <c r="D730">
        <f>IF(OR($A730="",$B730=""),"",IF(ISNUMBER($A730),MOD($A730,100),IFERROR(VALUE(TRIM(MID(MID($A730,FIND("/",$A730)+1,20),FIND("/",MID($A730,FIND("/",$A730)+1,20))+1,20))),"")))</f>
        <v/>
      </c>
      <c r="E730">
        <f>IF($A730="","",IF(OR($B730="",$C730="",$D730="",$B730&lt;1300,$B730&gt;1500,$C730&lt;1,$C730&gt;12,$D730&lt;1,$D730&gt;31),"نامعتبر",RIGHT("0000"&amp;$B730,4)&amp;"/"&amp;RIGHT("00"&amp;$C730,2)&amp;"/"&amp;RIGHT("00"&amp;$D730,2)))</f>
        <v/>
      </c>
      <c r="F730">
        <f>IF(OR($E730="",$E730="نامعتبر"),"",LEFT($E730,4)&amp;"/"&amp;MID($E730,6,2))</f>
        <v/>
      </c>
      <c r="G730">
        <f>IF(OR($E730="",$E730="نامعتبر",Sync!$X726=""),"",IF(AND(LEFT(UPPER(TRIM(Sync!$X726)),2)="SL",IFERROR(VLOOKUP(Sync!$W726,OpTbl,3,0),"")="فروش"),UPPER(TRIM(Sync!$X726)),""))</f>
        <v/>
      </c>
      <c r="H730">
        <f>IF($G730="","",IF(Sync!$W726="","",Sync!$W726))</f>
        <v/>
      </c>
      <c r="I730">
        <f>IF(OR($G730="",Sync!$Y726=""),"",Sync!$Y726)</f>
        <v/>
      </c>
      <c r="J730">
        <f>IF(OR($G730="",Sync!$Z726=""),"",Sync!$Z726)</f>
        <v/>
      </c>
      <c r="K730">
        <f>IF($G730="",0,IF(Sync!$AA726="",0,Sync!$AA726))</f>
        <v/>
      </c>
      <c r="L730">
        <f>IF($G730="",0,IF(Sync!$AB726="",0,Sync!$AB726))</f>
        <v/>
      </c>
      <c r="M730">
        <f>IF($G730="","",IF($H730="مرجوعی فروش",-1,1)*($K730-$L730*IFERROR(VLOOKUP("P01",ParamTbl,3,0),1.5)))</f>
        <v/>
      </c>
      <c r="N730">
        <f>IF($G730="",0,IF($H730="مرجوعی فروش",-1,1)*IF(Sync!$AC726="",0,Sync!$AC726))</f>
        <v/>
      </c>
      <c r="O730">
        <f>IF(OR($G730="",Sync!$V726=""),"",Sync!$V726)</f>
        <v/>
      </c>
      <c r="P730">
        <f>IF(OR($G730="",Sync!$AD726=""),"",Sync!$AD726)</f>
        <v/>
      </c>
      <c r="Q730">
        <f>IF($G730="","",IF(Sync!$U726="","0000",IF(AND(ISNUMBER(Sync!$U726),Sync!$U726&gt;=0,Sync!$U726&lt;1),RIGHT("00"&amp;HOUR(Sync!$U726),2)&amp;RIGHT("00"&amp;MINUTE(Sync!$U726),2),IFERROR(RIGHT("00"&amp;VALUE(LEFT(Sync!$U726,FIND(":",Sync!$U726)-1)),2)&amp;RIGHT("00"&amp;VALUE(MID(Sync!$U726,FIND(":",Sync!$U726)+1,2)),2),"0000"))))</f>
        <v/>
      </c>
    </row>
    <row r="731">
      <c r="A731">
        <f>IF(Sync!$T727="","",Sync!$T727)</f>
        <v/>
      </c>
      <c r="B731">
        <f>IF($A731="","",IF(ISNUMBER($A731),IF(AND($A731&gt;=10000101,$A731&lt;=99991231),INT($A731/10000),""),IFERROR(VALUE(TRIM(LEFT($A731,FIND("/",$A731)-1))),"")))</f>
        <v/>
      </c>
      <c r="C731">
        <f>IF(OR($A731="",$B731=""),"",IF(ISNUMBER($A731),INT(MOD($A731,10000)/100),IFERROR(VALUE(TRIM(LEFT(MID($A731,FIND("/",$A731)+1,20),FIND("/",MID($A731,FIND("/",$A731)+1,20))-1))),"")))</f>
        <v/>
      </c>
      <c r="D731">
        <f>IF(OR($A731="",$B731=""),"",IF(ISNUMBER($A731),MOD($A731,100),IFERROR(VALUE(TRIM(MID(MID($A731,FIND("/",$A731)+1,20),FIND("/",MID($A731,FIND("/",$A731)+1,20))+1,20))),"")))</f>
        <v/>
      </c>
      <c r="E731">
        <f>IF($A731="","",IF(OR($B731="",$C731="",$D731="",$B731&lt;1300,$B731&gt;1500,$C731&lt;1,$C731&gt;12,$D731&lt;1,$D731&gt;31),"نامعتبر",RIGHT("0000"&amp;$B731,4)&amp;"/"&amp;RIGHT("00"&amp;$C731,2)&amp;"/"&amp;RIGHT("00"&amp;$D731,2)))</f>
        <v/>
      </c>
      <c r="F731">
        <f>IF(OR($E731="",$E731="نامعتبر"),"",LEFT($E731,4)&amp;"/"&amp;MID($E731,6,2))</f>
        <v/>
      </c>
      <c r="G731">
        <f>IF(OR($E731="",$E731="نامعتبر",Sync!$X727=""),"",IF(AND(LEFT(UPPER(TRIM(Sync!$X727)),2)="SL",IFERROR(VLOOKUP(Sync!$W727,OpTbl,3,0),"")="فروش"),UPPER(TRIM(Sync!$X727)),""))</f>
        <v/>
      </c>
      <c r="H731">
        <f>IF($G731="","",IF(Sync!$W727="","",Sync!$W727))</f>
        <v/>
      </c>
      <c r="I731">
        <f>IF(OR($G731="",Sync!$Y727=""),"",Sync!$Y727)</f>
        <v/>
      </c>
      <c r="J731">
        <f>IF(OR($G731="",Sync!$Z727=""),"",Sync!$Z727)</f>
        <v/>
      </c>
      <c r="K731">
        <f>IF($G731="",0,IF(Sync!$AA727="",0,Sync!$AA727))</f>
        <v/>
      </c>
      <c r="L731">
        <f>IF($G731="",0,IF(Sync!$AB727="",0,Sync!$AB727))</f>
        <v/>
      </c>
      <c r="M731">
        <f>IF($G731="","",IF($H731="مرجوعی فروش",-1,1)*($K731-$L731*IFERROR(VLOOKUP("P01",ParamTbl,3,0),1.5)))</f>
        <v/>
      </c>
      <c r="N731">
        <f>IF($G731="",0,IF($H731="مرجوعی فروش",-1,1)*IF(Sync!$AC727="",0,Sync!$AC727))</f>
        <v/>
      </c>
      <c r="O731">
        <f>IF(OR($G731="",Sync!$V727=""),"",Sync!$V727)</f>
        <v/>
      </c>
      <c r="P731">
        <f>IF(OR($G731="",Sync!$AD727=""),"",Sync!$AD727)</f>
        <v/>
      </c>
      <c r="Q731">
        <f>IF($G731="","",IF(Sync!$U727="","0000",IF(AND(ISNUMBER(Sync!$U727),Sync!$U727&gt;=0,Sync!$U727&lt;1),RIGHT("00"&amp;HOUR(Sync!$U727),2)&amp;RIGHT("00"&amp;MINUTE(Sync!$U727),2),IFERROR(RIGHT("00"&amp;VALUE(LEFT(Sync!$U727,FIND(":",Sync!$U727)-1)),2)&amp;RIGHT("00"&amp;VALUE(MID(Sync!$U727,FIND(":",Sync!$U727)+1,2)),2),"0000"))))</f>
        <v/>
      </c>
    </row>
    <row r="732">
      <c r="A732">
        <f>IF(Sync!$T728="","",Sync!$T728)</f>
        <v/>
      </c>
      <c r="B732">
        <f>IF($A732="","",IF(ISNUMBER($A732),IF(AND($A732&gt;=10000101,$A732&lt;=99991231),INT($A732/10000),""),IFERROR(VALUE(TRIM(LEFT($A732,FIND("/",$A732)-1))),"")))</f>
        <v/>
      </c>
      <c r="C732">
        <f>IF(OR($A732="",$B732=""),"",IF(ISNUMBER($A732),INT(MOD($A732,10000)/100),IFERROR(VALUE(TRIM(LEFT(MID($A732,FIND("/",$A732)+1,20),FIND("/",MID($A732,FIND("/",$A732)+1,20))-1))),"")))</f>
        <v/>
      </c>
      <c r="D732">
        <f>IF(OR($A732="",$B732=""),"",IF(ISNUMBER($A732),MOD($A732,100),IFERROR(VALUE(TRIM(MID(MID($A732,FIND("/",$A732)+1,20),FIND("/",MID($A732,FIND("/",$A732)+1,20))+1,20))),"")))</f>
        <v/>
      </c>
      <c r="E732">
        <f>IF($A732="","",IF(OR($B732="",$C732="",$D732="",$B732&lt;1300,$B732&gt;1500,$C732&lt;1,$C732&gt;12,$D732&lt;1,$D732&gt;31),"نامعتبر",RIGHT("0000"&amp;$B732,4)&amp;"/"&amp;RIGHT("00"&amp;$C732,2)&amp;"/"&amp;RIGHT("00"&amp;$D732,2)))</f>
        <v/>
      </c>
      <c r="F732">
        <f>IF(OR($E732="",$E732="نامعتبر"),"",LEFT($E732,4)&amp;"/"&amp;MID($E732,6,2))</f>
        <v/>
      </c>
      <c r="G732">
        <f>IF(OR($E732="",$E732="نامعتبر",Sync!$X728=""),"",IF(AND(LEFT(UPPER(TRIM(Sync!$X728)),2)="SL",IFERROR(VLOOKUP(Sync!$W728,OpTbl,3,0),"")="فروش"),UPPER(TRIM(Sync!$X728)),""))</f>
        <v/>
      </c>
      <c r="H732">
        <f>IF($G732="","",IF(Sync!$W728="","",Sync!$W728))</f>
        <v/>
      </c>
      <c r="I732">
        <f>IF(OR($G732="",Sync!$Y728=""),"",Sync!$Y728)</f>
        <v/>
      </c>
      <c r="J732">
        <f>IF(OR($G732="",Sync!$Z728=""),"",Sync!$Z728)</f>
        <v/>
      </c>
      <c r="K732">
        <f>IF($G732="",0,IF(Sync!$AA728="",0,Sync!$AA728))</f>
        <v/>
      </c>
      <c r="L732">
        <f>IF($G732="",0,IF(Sync!$AB728="",0,Sync!$AB728))</f>
        <v/>
      </c>
      <c r="M732">
        <f>IF($G732="","",IF($H732="مرجوعی فروش",-1,1)*($K732-$L732*IFERROR(VLOOKUP("P01",ParamTbl,3,0),1.5)))</f>
        <v/>
      </c>
      <c r="N732">
        <f>IF($G732="",0,IF($H732="مرجوعی فروش",-1,1)*IF(Sync!$AC728="",0,Sync!$AC728))</f>
        <v/>
      </c>
      <c r="O732">
        <f>IF(OR($G732="",Sync!$V728=""),"",Sync!$V728)</f>
        <v/>
      </c>
      <c r="P732">
        <f>IF(OR($G732="",Sync!$AD728=""),"",Sync!$AD728)</f>
        <v/>
      </c>
      <c r="Q732">
        <f>IF($G732="","",IF(Sync!$U728="","0000",IF(AND(ISNUMBER(Sync!$U728),Sync!$U728&gt;=0,Sync!$U728&lt;1),RIGHT("00"&amp;HOUR(Sync!$U728),2)&amp;RIGHT("00"&amp;MINUTE(Sync!$U728),2),IFERROR(RIGHT("00"&amp;VALUE(LEFT(Sync!$U728,FIND(":",Sync!$U728)-1)),2)&amp;RIGHT("00"&amp;VALUE(MID(Sync!$U728,FIND(":",Sync!$U728)+1,2)),2),"0000"))))</f>
        <v/>
      </c>
    </row>
    <row r="733">
      <c r="A733">
        <f>IF(Sync!$T729="","",Sync!$T729)</f>
        <v/>
      </c>
      <c r="B733">
        <f>IF($A733="","",IF(ISNUMBER($A733),IF(AND($A733&gt;=10000101,$A733&lt;=99991231),INT($A733/10000),""),IFERROR(VALUE(TRIM(LEFT($A733,FIND("/",$A733)-1))),"")))</f>
        <v/>
      </c>
      <c r="C733">
        <f>IF(OR($A733="",$B733=""),"",IF(ISNUMBER($A733),INT(MOD($A733,10000)/100),IFERROR(VALUE(TRIM(LEFT(MID($A733,FIND("/",$A733)+1,20),FIND("/",MID($A733,FIND("/",$A733)+1,20))-1))),"")))</f>
        <v/>
      </c>
      <c r="D733">
        <f>IF(OR($A733="",$B733=""),"",IF(ISNUMBER($A733),MOD($A733,100),IFERROR(VALUE(TRIM(MID(MID($A733,FIND("/",$A733)+1,20),FIND("/",MID($A733,FIND("/",$A733)+1,20))+1,20))),"")))</f>
        <v/>
      </c>
      <c r="E733">
        <f>IF($A733="","",IF(OR($B733="",$C733="",$D733="",$B733&lt;1300,$B733&gt;1500,$C733&lt;1,$C733&gt;12,$D733&lt;1,$D733&gt;31),"نامعتبر",RIGHT("0000"&amp;$B733,4)&amp;"/"&amp;RIGHT("00"&amp;$C733,2)&amp;"/"&amp;RIGHT("00"&amp;$D733,2)))</f>
        <v/>
      </c>
      <c r="F733">
        <f>IF(OR($E733="",$E733="نامعتبر"),"",LEFT($E733,4)&amp;"/"&amp;MID($E733,6,2))</f>
        <v/>
      </c>
      <c r="G733">
        <f>IF(OR($E733="",$E733="نامعتبر",Sync!$X729=""),"",IF(AND(LEFT(UPPER(TRIM(Sync!$X729)),2)="SL",IFERROR(VLOOKUP(Sync!$W729,OpTbl,3,0),"")="فروش"),UPPER(TRIM(Sync!$X729)),""))</f>
        <v/>
      </c>
      <c r="H733">
        <f>IF($G733="","",IF(Sync!$W729="","",Sync!$W729))</f>
        <v/>
      </c>
      <c r="I733">
        <f>IF(OR($G733="",Sync!$Y729=""),"",Sync!$Y729)</f>
        <v/>
      </c>
      <c r="J733">
        <f>IF(OR($G733="",Sync!$Z729=""),"",Sync!$Z729)</f>
        <v/>
      </c>
      <c r="K733">
        <f>IF($G733="",0,IF(Sync!$AA729="",0,Sync!$AA729))</f>
        <v/>
      </c>
      <c r="L733">
        <f>IF($G733="",0,IF(Sync!$AB729="",0,Sync!$AB729))</f>
        <v/>
      </c>
      <c r="M733">
        <f>IF($G733="","",IF($H733="مرجوعی فروش",-1,1)*($K733-$L733*IFERROR(VLOOKUP("P01",ParamTbl,3,0),1.5)))</f>
        <v/>
      </c>
      <c r="N733">
        <f>IF($G733="",0,IF($H733="مرجوعی فروش",-1,1)*IF(Sync!$AC729="",0,Sync!$AC729))</f>
        <v/>
      </c>
      <c r="O733">
        <f>IF(OR($G733="",Sync!$V729=""),"",Sync!$V729)</f>
        <v/>
      </c>
      <c r="P733">
        <f>IF(OR($G733="",Sync!$AD729=""),"",Sync!$AD729)</f>
        <v/>
      </c>
      <c r="Q733">
        <f>IF($G733="","",IF(Sync!$U729="","0000",IF(AND(ISNUMBER(Sync!$U729),Sync!$U729&gt;=0,Sync!$U729&lt;1),RIGHT("00"&amp;HOUR(Sync!$U729),2)&amp;RIGHT("00"&amp;MINUTE(Sync!$U729),2),IFERROR(RIGHT("00"&amp;VALUE(LEFT(Sync!$U729,FIND(":",Sync!$U729)-1)),2)&amp;RIGHT("00"&amp;VALUE(MID(Sync!$U729,FIND(":",Sync!$U729)+1,2)),2),"0000"))))</f>
        <v/>
      </c>
    </row>
    <row r="734">
      <c r="A734">
        <f>IF(Sync!$T730="","",Sync!$T730)</f>
        <v/>
      </c>
      <c r="B734">
        <f>IF($A734="","",IF(ISNUMBER($A734),IF(AND($A734&gt;=10000101,$A734&lt;=99991231),INT($A734/10000),""),IFERROR(VALUE(TRIM(LEFT($A734,FIND("/",$A734)-1))),"")))</f>
        <v/>
      </c>
      <c r="C734">
        <f>IF(OR($A734="",$B734=""),"",IF(ISNUMBER($A734),INT(MOD($A734,10000)/100),IFERROR(VALUE(TRIM(LEFT(MID($A734,FIND("/",$A734)+1,20),FIND("/",MID($A734,FIND("/",$A734)+1,20))-1))),"")))</f>
        <v/>
      </c>
      <c r="D734">
        <f>IF(OR($A734="",$B734=""),"",IF(ISNUMBER($A734),MOD($A734,100),IFERROR(VALUE(TRIM(MID(MID($A734,FIND("/",$A734)+1,20),FIND("/",MID($A734,FIND("/",$A734)+1,20))+1,20))),"")))</f>
        <v/>
      </c>
      <c r="E734">
        <f>IF($A734="","",IF(OR($B734="",$C734="",$D734="",$B734&lt;1300,$B734&gt;1500,$C734&lt;1,$C734&gt;12,$D734&lt;1,$D734&gt;31),"نامعتبر",RIGHT("0000"&amp;$B734,4)&amp;"/"&amp;RIGHT("00"&amp;$C734,2)&amp;"/"&amp;RIGHT("00"&amp;$D734,2)))</f>
        <v/>
      </c>
      <c r="F734">
        <f>IF(OR($E734="",$E734="نامعتبر"),"",LEFT($E734,4)&amp;"/"&amp;MID($E734,6,2))</f>
        <v/>
      </c>
      <c r="G734">
        <f>IF(OR($E734="",$E734="نامعتبر",Sync!$X730=""),"",IF(AND(LEFT(UPPER(TRIM(Sync!$X730)),2)="SL",IFERROR(VLOOKUP(Sync!$W730,OpTbl,3,0),"")="فروش"),UPPER(TRIM(Sync!$X730)),""))</f>
        <v/>
      </c>
      <c r="H734">
        <f>IF($G734="","",IF(Sync!$W730="","",Sync!$W730))</f>
        <v/>
      </c>
      <c r="I734">
        <f>IF(OR($G734="",Sync!$Y730=""),"",Sync!$Y730)</f>
        <v/>
      </c>
      <c r="J734">
        <f>IF(OR($G734="",Sync!$Z730=""),"",Sync!$Z730)</f>
        <v/>
      </c>
      <c r="K734">
        <f>IF($G734="",0,IF(Sync!$AA730="",0,Sync!$AA730))</f>
        <v/>
      </c>
      <c r="L734">
        <f>IF($G734="",0,IF(Sync!$AB730="",0,Sync!$AB730))</f>
        <v/>
      </c>
      <c r="M734">
        <f>IF($G734="","",IF($H734="مرجوعی فروش",-1,1)*($K734-$L734*IFERROR(VLOOKUP("P01",ParamTbl,3,0),1.5)))</f>
        <v/>
      </c>
      <c r="N734">
        <f>IF($G734="",0,IF($H734="مرجوعی فروش",-1,1)*IF(Sync!$AC730="",0,Sync!$AC730))</f>
        <v/>
      </c>
      <c r="O734">
        <f>IF(OR($G734="",Sync!$V730=""),"",Sync!$V730)</f>
        <v/>
      </c>
      <c r="P734">
        <f>IF(OR($G734="",Sync!$AD730=""),"",Sync!$AD730)</f>
        <v/>
      </c>
      <c r="Q734">
        <f>IF($G734="","",IF(Sync!$U730="","0000",IF(AND(ISNUMBER(Sync!$U730),Sync!$U730&gt;=0,Sync!$U730&lt;1),RIGHT("00"&amp;HOUR(Sync!$U730),2)&amp;RIGHT("00"&amp;MINUTE(Sync!$U730),2),IFERROR(RIGHT("00"&amp;VALUE(LEFT(Sync!$U730,FIND(":",Sync!$U730)-1)),2)&amp;RIGHT("00"&amp;VALUE(MID(Sync!$U730,FIND(":",Sync!$U730)+1,2)),2),"0000"))))</f>
        <v/>
      </c>
    </row>
    <row r="735">
      <c r="A735">
        <f>IF(Sync!$T731="","",Sync!$T731)</f>
        <v/>
      </c>
      <c r="B735">
        <f>IF($A735="","",IF(ISNUMBER($A735),IF(AND($A735&gt;=10000101,$A735&lt;=99991231),INT($A735/10000),""),IFERROR(VALUE(TRIM(LEFT($A735,FIND("/",$A735)-1))),"")))</f>
        <v/>
      </c>
      <c r="C735">
        <f>IF(OR($A735="",$B735=""),"",IF(ISNUMBER($A735),INT(MOD($A735,10000)/100),IFERROR(VALUE(TRIM(LEFT(MID($A735,FIND("/",$A735)+1,20),FIND("/",MID($A735,FIND("/",$A735)+1,20))-1))),"")))</f>
        <v/>
      </c>
      <c r="D735">
        <f>IF(OR($A735="",$B735=""),"",IF(ISNUMBER($A735),MOD($A735,100),IFERROR(VALUE(TRIM(MID(MID($A735,FIND("/",$A735)+1,20),FIND("/",MID($A735,FIND("/",$A735)+1,20))+1,20))),"")))</f>
        <v/>
      </c>
      <c r="E735">
        <f>IF($A735="","",IF(OR($B735="",$C735="",$D735="",$B735&lt;1300,$B735&gt;1500,$C735&lt;1,$C735&gt;12,$D735&lt;1,$D735&gt;31),"نامعتبر",RIGHT("0000"&amp;$B735,4)&amp;"/"&amp;RIGHT("00"&amp;$C735,2)&amp;"/"&amp;RIGHT("00"&amp;$D735,2)))</f>
        <v/>
      </c>
      <c r="F735">
        <f>IF(OR($E735="",$E735="نامعتبر"),"",LEFT($E735,4)&amp;"/"&amp;MID($E735,6,2))</f>
        <v/>
      </c>
      <c r="G735">
        <f>IF(OR($E735="",$E735="نامعتبر",Sync!$X731=""),"",IF(AND(LEFT(UPPER(TRIM(Sync!$X731)),2)="SL",IFERROR(VLOOKUP(Sync!$W731,OpTbl,3,0),"")="فروش"),UPPER(TRIM(Sync!$X731)),""))</f>
        <v/>
      </c>
      <c r="H735">
        <f>IF($G735="","",IF(Sync!$W731="","",Sync!$W731))</f>
        <v/>
      </c>
      <c r="I735">
        <f>IF(OR($G735="",Sync!$Y731=""),"",Sync!$Y731)</f>
        <v/>
      </c>
      <c r="J735">
        <f>IF(OR($G735="",Sync!$Z731=""),"",Sync!$Z731)</f>
        <v/>
      </c>
      <c r="K735">
        <f>IF($G735="",0,IF(Sync!$AA731="",0,Sync!$AA731))</f>
        <v/>
      </c>
      <c r="L735">
        <f>IF($G735="",0,IF(Sync!$AB731="",0,Sync!$AB731))</f>
        <v/>
      </c>
      <c r="M735">
        <f>IF($G735="","",IF($H735="مرجوعی فروش",-1,1)*($K735-$L735*IFERROR(VLOOKUP("P01",ParamTbl,3,0),1.5)))</f>
        <v/>
      </c>
      <c r="N735">
        <f>IF($G735="",0,IF($H735="مرجوعی فروش",-1,1)*IF(Sync!$AC731="",0,Sync!$AC731))</f>
        <v/>
      </c>
      <c r="O735">
        <f>IF(OR($G735="",Sync!$V731=""),"",Sync!$V731)</f>
        <v/>
      </c>
      <c r="P735">
        <f>IF(OR($G735="",Sync!$AD731=""),"",Sync!$AD731)</f>
        <v/>
      </c>
      <c r="Q735">
        <f>IF($G735="","",IF(Sync!$U731="","0000",IF(AND(ISNUMBER(Sync!$U731),Sync!$U731&gt;=0,Sync!$U731&lt;1),RIGHT("00"&amp;HOUR(Sync!$U731),2)&amp;RIGHT("00"&amp;MINUTE(Sync!$U731),2),IFERROR(RIGHT("00"&amp;VALUE(LEFT(Sync!$U731,FIND(":",Sync!$U731)-1)),2)&amp;RIGHT("00"&amp;VALUE(MID(Sync!$U731,FIND(":",Sync!$U731)+1,2)),2),"0000"))))</f>
        <v/>
      </c>
    </row>
    <row r="736">
      <c r="A736">
        <f>IF(Sync!$T732="","",Sync!$T732)</f>
        <v/>
      </c>
      <c r="B736">
        <f>IF($A736="","",IF(ISNUMBER($A736),IF(AND($A736&gt;=10000101,$A736&lt;=99991231),INT($A736/10000),""),IFERROR(VALUE(TRIM(LEFT($A736,FIND("/",$A736)-1))),"")))</f>
        <v/>
      </c>
      <c r="C736">
        <f>IF(OR($A736="",$B736=""),"",IF(ISNUMBER($A736),INT(MOD($A736,10000)/100),IFERROR(VALUE(TRIM(LEFT(MID($A736,FIND("/",$A736)+1,20),FIND("/",MID($A736,FIND("/",$A736)+1,20))-1))),"")))</f>
        <v/>
      </c>
      <c r="D736">
        <f>IF(OR($A736="",$B736=""),"",IF(ISNUMBER($A736),MOD($A736,100),IFERROR(VALUE(TRIM(MID(MID($A736,FIND("/",$A736)+1,20),FIND("/",MID($A736,FIND("/",$A736)+1,20))+1,20))),"")))</f>
        <v/>
      </c>
      <c r="E736">
        <f>IF($A736="","",IF(OR($B736="",$C736="",$D736="",$B736&lt;1300,$B736&gt;1500,$C736&lt;1,$C736&gt;12,$D736&lt;1,$D736&gt;31),"نامعتبر",RIGHT("0000"&amp;$B736,4)&amp;"/"&amp;RIGHT("00"&amp;$C736,2)&amp;"/"&amp;RIGHT("00"&amp;$D736,2)))</f>
        <v/>
      </c>
      <c r="F736">
        <f>IF(OR($E736="",$E736="نامعتبر"),"",LEFT($E736,4)&amp;"/"&amp;MID($E736,6,2))</f>
        <v/>
      </c>
      <c r="G736">
        <f>IF(OR($E736="",$E736="نامعتبر",Sync!$X732=""),"",IF(AND(LEFT(UPPER(TRIM(Sync!$X732)),2)="SL",IFERROR(VLOOKUP(Sync!$W732,OpTbl,3,0),"")="فروش"),UPPER(TRIM(Sync!$X732)),""))</f>
        <v/>
      </c>
      <c r="H736">
        <f>IF($G736="","",IF(Sync!$W732="","",Sync!$W732))</f>
        <v/>
      </c>
      <c r="I736">
        <f>IF(OR($G736="",Sync!$Y732=""),"",Sync!$Y732)</f>
        <v/>
      </c>
      <c r="J736">
        <f>IF(OR($G736="",Sync!$Z732=""),"",Sync!$Z732)</f>
        <v/>
      </c>
      <c r="K736">
        <f>IF($G736="",0,IF(Sync!$AA732="",0,Sync!$AA732))</f>
        <v/>
      </c>
      <c r="L736">
        <f>IF($G736="",0,IF(Sync!$AB732="",0,Sync!$AB732))</f>
        <v/>
      </c>
      <c r="M736">
        <f>IF($G736="","",IF($H736="مرجوعی فروش",-1,1)*($K736-$L736*IFERROR(VLOOKUP("P01",ParamTbl,3,0),1.5)))</f>
        <v/>
      </c>
      <c r="N736">
        <f>IF($G736="",0,IF($H736="مرجوعی فروش",-1,1)*IF(Sync!$AC732="",0,Sync!$AC732))</f>
        <v/>
      </c>
      <c r="O736">
        <f>IF(OR($G736="",Sync!$V732=""),"",Sync!$V732)</f>
        <v/>
      </c>
      <c r="P736">
        <f>IF(OR($G736="",Sync!$AD732=""),"",Sync!$AD732)</f>
        <v/>
      </c>
      <c r="Q736">
        <f>IF($G736="","",IF(Sync!$U732="","0000",IF(AND(ISNUMBER(Sync!$U732),Sync!$U732&gt;=0,Sync!$U732&lt;1),RIGHT("00"&amp;HOUR(Sync!$U732),2)&amp;RIGHT("00"&amp;MINUTE(Sync!$U732),2),IFERROR(RIGHT("00"&amp;VALUE(LEFT(Sync!$U732,FIND(":",Sync!$U732)-1)),2)&amp;RIGHT("00"&amp;VALUE(MID(Sync!$U732,FIND(":",Sync!$U732)+1,2)),2),"0000"))))</f>
        <v/>
      </c>
    </row>
    <row r="737">
      <c r="A737">
        <f>IF(Sync!$T733="","",Sync!$T733)</f>
        <v/>
      </c>
      <c r="B737">
        <f>IF($A737="","",IF(ISNUMBER($A737),IF(AND($A737&gt;=10000101,$A737&lt;=99991231),INT($A737/10000),""),IFERROR(VALUE(TRIM(LEFT($A737,FIND("/",$A737)-1))),"")))</f>
        <v/>
      </c>
      <c r="C737">
        <f>IF(OR($A737="",$B737=""),"",IF(ISNUMBER($A737),INT(MOD($A737,10000)/100),IFERROR(VALUE(TRIM(LEFT(MID($A737,FIND("/",$A737)+1,20),FIND("/",MID($A737,FIND("/",$A737)+1,20))-1))),"")))</f>
        <v/>
      </c>
      <c r="D737">
        <f>IF(OR($A737="",$B737=""),"",IF(ISNUMBER($A737),MOD($A737,100),IFERROR(VALUE(TRIM(MID(MID($A737,FIND("/",$A737)+1,20),FIND("/",MID($A737,FIND("/",$A737)+1,20))+1,20))),"")))</f>
        <v/>
      </c>
      <c r="E737">
        <f>IF($A737="","",IF(OR($B737="",$C737="",$D737="",$B737&lt;1300,$B737&gt;1500,$C737&lt;1,$C737&gt;12,$D737&lt;1,$D737&gt;31),"نامعتبر",RIGHT("0000"&amp;$B737,4)&amp;"/"&amp;RIGHT("00"&amp;$C737,2)&amp;"/"&amp;RIGHT("00"&amp;$D737,2)))</f>
        <v/>
      </c>
      <c r="F737">
        <f>IF(OR($E737="",$E737="نامعتبر"),"",LEFT($E737,4)&amp;"/"&amp;MID($E737,6,2))</f>
        <v/>
      </c>
      <c r="G737">
        <f>IF(OR($E737="",$E737="نامعتبر",Sync!$X733=""),"",IF(AND(LEFT(UPPER(TRIM(Sync!$X733)),2)="SL",IFERROR(VLOOKUP(Sync!$W733,OpTbl,3,0),"")="فروش"),UPPER(TRIM(Sync!$X733)),""))</f>
        <v/>
      </c>
      <c r="H737">
        <f>IF($G737="","",IF(Sync!$W733="","",Sync!$W733))</f>
        <v/>
      </c>
      <c r="I737">
        <f>IF(OR($G737="",Sync!$Y733=""),"",Sync!$Y733)</f>
        <v/>
      </c>
      <c r="J737">
        <f>IF(OR($G737="",Sync!$Z733=""),"",Sync!$Z733)</f>
        <v/>
      </c>
      <c r="K737">
        <f>IF($G737="",0,IF(Sync!$AA733="",0,Sync!$AA733))</f>
        <v/>
      </c>
      <c r="L737">
        <f>IF($G737="",0,IF(Sync!$AB733="",0,Sync!$AB733))</f>
        <v/>
      </c>
      <c r="M737">
        <f>IF($G737="","",IF($H737="مرجوعی فروش",-1,1)*($K737-$L737*IFERROR(VLOOKUP("P01",ParamTbl,3,0),1.5)))</f>
        <v/>
      </c>
      <c r="N737">
        <f>IF($G737="",0,IF($H737="مرجوعی فروش",-1,1)*IF(Sync!$AC733="",0,Sync!$AC733))</f>
        <v/>
      </c>
      <c r="O737">
        <f>IF(OR($G737="",Sync!$V733=""),"",Sync!$V733)</f>
        <v/>
      </c>
      <c r="P737">
        <f>IF(OR($G737="",Sync!$AD733=""),"",Sync!$AD733)</f>
        <v/>
      </c>
      <c r="Q737">
        <f>IF($G737="","",IF(Sync!$U733="","0000",IF(AND(ISNUMBER(Sync!$U733),Sync!$U733&gt;=0,Sync!$U733&lt;1),RIGHT("00"&amp;HOUR(Sync!$U733),2)&amp;RIGHT("00"&amp;MINUTE(Sync!$U733),2),IFERROR(RIGHT("00"&amp;VALUE(LEFT(Sync!$U733,FIND(":",Sync!$U733)-1)),2)&amp;RIGHT("00"&amp;VALUE(MID(Sync!$U733,FIND(":",Sync!$U733)+1,2)),2),"0000"))))</f>
        <v/>
      </c>
    </row>
    <row r="738">
      <c r="A738">
        <f>IF(Sync!$T734="","",Sync!$T734)</f>
        <v/>
      </c>
      <c r="B738">
        <f>IF($A738="","",IF(ISNUMBER($A738),IF(AND($A738&gt;=10000101,$A738&lt;=99991231),INT($A738/10000),""),IFERROR(VALUE(TRIM(LEFT($A738,FIND("/",$A738)-1))),"")))</f>
        <v/>
      </c>
      <c r="C738">
        <f>IF(OR($A738="",$B738=""),"",IF(ISNUMBER($A738),INT(MOD($A738,10000)/100),IFERROR(VALUE(TRIM(LEFT(MID($A738,FIND("/",$A738)+1,20),FIND("/",MID($A738,FIND("/",$A738)+1,20))-1))),"")))</f>
        <v/>
      </c>
      <c r="D738">
        <f>IF(OR($A738="",$B738=""),"",IF(ISNUMBER($A738),MOD($A738,100),IFERROR(VALUE(TRIM(MID(MID($A738,FIND("/",$A738)+1,20),FIND("/",MID($A738,FIND("/",$A738)+1,20))+1,20))),"")))</f>
        <v/>
      </c>
      <c r="E738">
        <f>IF($A738="","",IF(OR($B738="",$C738="",$D738="",$B738&lt;1300,$B738&gt;1500,$C738&lt;1,$C738&gt;12,$D738&lt;1,$D738&gt;31),"نامعتبر",RIGHT("0000"&amp;$B738,4)&amp;"/"&amp;RIGHT("00"&amp;$C738,2)&amp;"/"&amp;RIGHT("00"&amp;$D738,2)))</f>
        <v/>
      </c>
      <c r="F738">
        <f>IF(OR($E738="",$E738="نامعتبر"),"",LEFT($E738,4)&amp;"/"&amp;MID($E738,6,2))</f>
        <v/>
      </c>
      <c r="G738">
        <f>IF(OR($E738="",$E738="نامعتبر",Sync!$X734=""),"",IF(AND(LEFT(UPPER(TRIM(Sync!$X734)),2)="SL",IFERROR(VLOOKUP(Sync!$W734,OpTbl,3,0),"")="فروش"),UPPER(TRIM(Sync!$X734)),""))</f>
        <v/>
      </c>
      <c r="H738">
        <f>IF($G738="","",IF(Sync!$W734="","",Sync!$W734))</f>
        <v/>
      </c>
      <c r="I738">
        <f>IF(OR($G738="",Sync!$Y734=""),"",Sync!$Y734)</f>
        <v/>
      </c>
      <c r="J738">
        <f>IF(OR($G738="",Sync!$Z734=""),"",Sync!$Z734)</f>
        <v/>
      </c>
      <c r="K738">
        <f>IF($G738="",0,IF(Sync!$AA734="",0,Sync!$AA734))</f>
        <v/>
      </c>
      <c r="L738">
        <f>IF($G738="",0,IF(Sync!$AB734="",0,Sync!$AB734))</f>
        <v/>
      </c>
      <c r="M738">
        <f>IF($G738="","",IF($H738="مرجوعی فروش",-1,1)*($K738-$L738*IFERROR(VLOOKUP("P01",ParamTbl,3,0),1.5)))</f>
        <v/>
      </c>
      <c r="N738">
        <f>IF($G738="",0,IF($H738="مرجوعی فروش",-1,1)*IF(Sync!$AC734="",0,Sync!$AC734))</f>
        <v/>
      </c>
      <c r="O738">
        <f>IF(OR($G738="",Sync!$V734=""),"",Sync!$V734)</f>
        <v/>
      </c>
      <c r="P738">
        <f>IF(OR($G738="",Sync!$AD734=""),"",Sync!$AD734)</f>
        <v/>
      </c>
      <c r="Q738">
        <f>IF($G738="","",IF(Sync!$U734="","0000",IF(AND(ISNUMBER(Sync!$U734),Sync!$U734&gt;=0,Sync!$U734&lt;1),RIGHT("00"&amp;HOUR(Sync!$U734),2)&amp;RIGHT("00"&amp;MINUTE(Sync!$U734),2),IFERROR(RIGHT("00"&amp;VALUE(LEFT(Sync!$U734,FIND(":",Sync!$U734)-1)),2)&amp;RIGHT("00"&amp;VALUE(MID(Sync!$U734,FIND(":",Sync!$U734)+1,2)),2),"0000"))))</f>
        <v/>
      </c>
    </row>
    <row r="739">
      <c r="A739">
        <f>IF(Sync!$T735="","",Sync!$T735)</f>
        <v/>
      </c>
      <c r="B739">
        <f>IF($A739="","",IF(ISNUMBER($A739),IF(AND($A739&gt;=10000101,$A739&lt;=99991231),INT($A739/10000),""),IFERROR(VALUE(TRIM(LEFT($A739,FIND("/",$A739)-1))),"")))</f>
        <v/>
      </c>
      <c r="C739">
        <f>IF(OR($A739="",$B739=""),"",IF(ISNUMBER($A739),INT(MOD($A739,10000)/100),IFERROR(VALUE(TRIM(LEFT(MID($A739,FIND("/",$A739)+1,20),FIND("/",MID($A739,FIND("/",$A739)+1,20))-1))),"")))</f>
        <v/>
      </c>
      <c r="D739">
        <f>IF(OR($A739="",$B739=""),"",IF(ISNUMBER($A739),MOD($A739,100),IFERROR(VALUE(TRIM(MID(MID($A739,FIND("/",$A739)+1,20),FIND("/",MID($A739,FIND("/",$A739)+1,20))+1,20))),"")))</f>
        <v/>
      </c>
      <c r="E739">
        <f>IF($A739="","",IF(OR($B739="",$C739="",$D739="",$B739&lt;1300,$B739&gt;1500,$C739&lt;1,$C739&gt;12,$D739&lt;1,$D739&gt;31),"نامعتبر",RIGHT("0000"&amp;$B739,4)&amp;"/"&amp;RIGHT("00"&amp;$C739,2)&amp;"/"&amp;RIGHT("00"&amp;$D739,2)))</f>
        <v/>
      </c>
      <c r="F739">
        <f>IF(OR($E739="",$E739="نامعتبر"),"",LEFT($E739,4)&amp;"/"&amp;MID($E739,6,2))</f>
        <v/>
      </c>
      <c r="G739">
        <f>IF(OR($E739="",$E739="نامعتبر",Sync!$X735=""),"",IF(AND(LEFT(UPPER(TRIM(Sync!$X735)),2)="SL",IFERROR(VLOOKUP(Sync!$W735,OpTbl,3,0),"")="فروش"),UPPER(TRIM(Sync!$X735)),""))</f>
        <v/>
      </c>
      <c r="H739">
        <f>IF($G739="","",IF(Sync!$W735="","",Sync!$W735))</f>
        <v/>
      </c>
      <c r="I739">
        <f>IF(OR($G739="",Sync!$Y735=""),"",Sync!$Y735)</f>
        <v/>
      </c>
      <c r="J739">
        <f>IF(OR($G739="",Sync!$Z735=""),"",Sync!$Z735)</f>
        <v/>
      </c>
      <c r="K739">
        <f>IF($G739="",0,IF(Sync!$AA735="",0,Sync!$AA735))</f>
        <v/>
      </c>
      <c r="L739">
        <f>IF($G739="",0,IF(Sync!$AB735="",0,Sync!$AB735))</f>
        <v/>
      </c>
      <c r="M739">
        <f>IF($G739="","",IF($H739="مرجوعی فروش",-1,1)*($K739-$L739*IFERROR(VLOOKUP("P01",ParamTbl,3,0),1.5)))</f>
        <v/>
      </c>
      <c r="N739">
        <f>IF($G739="",0,IF($H739="مرجوعی فروش",-1,1)*IF(Sync!$AC735="",0,Sync!$AC735))</f>
        <v/>
      </c>
      <c r="O739">
        <f>IF(OR($G739="",Sync!$V735=""),"",Sync!$V735)</f>
        <v/>
      </c>
      <c r="P739">
        <f>IF(OR($G739="",Sync!$AD735=""),"",Sync!$AD735)</f>
        <v/>
      </c>
      <c r="Q739">
        <f>IF($G739="","",IF(Sync!$U735="","0000",IF(AND(ISNUMBER(Sync!$U735),Sync!$U735&gt;=0,Sync!$U735&lt;1),RIGHT("00"&amp;HOUR(Sync!$U735),2)&amp;RIGHT("00"&amp;MINUTE(Sync!$U735),2),IFERROR(RIGHT("00"&amp;VALUE(LEFT(Sync!$U735,FIND(":",Sync!$U735)-1)),2)&amp;RIGHT("00"&amp;VALUE(MID(Sync!$U735,FIND(":",Sync!$U735)+1,2)),2),"0000"))))</f>
        <v/>
      </c>
    </row>
    <row r="740">
      <c r="A740">
        <f>IF(Sync!$T736="","",Sync!$T736)</f>
        <v/>
      </c>
      <c r="B740">
        <f>IF($A740="","",IF(ISNUMBER($A740),IF(AND($A740&gt;=10000101,$A740&lt;=99991231),INT($A740/10000),""),IFERROR(VALUE(TRIM(LEFT($A740,FIND("/",$A740)-1))),"")))</f>
        <v/>
      </c>
      <c r="C740">
        <f>IF(OR($A740="",$B740=""),"",IF(ISNUMBER($A740),INT(MOD($A740,10000)/100),IFERROR(VALUE(TRIM(LEFT(MID($A740,FIND("/",$A740)+1,20),FIND("/",MID($A740,FIND("/",$A740)+1,20))-1))),"")))</f>
        <v/>
      </c>
      <c r="D740">
        <f>IF(OR($A740="",$B740=""),"",IF(ISNUMBER($A740),MOD($A740,100),IFERROR(VALUE(TRIM(MID(MID($A740,FIND("/",$A740)+1,20),FIND("/",MID($A740,FIND("/",$A740)+1,20))+1,20))),"")))</f>
        <v/>
      </c>
      <c r="E740">
        <f>IF($A740="","",IF(OR($B740="",$C740="",$D740="",$B740&lt;1300,$B740&gt;1500,$C740&lt;1,$C740&gt;12,$D740&lt;1,$D740&gt;31),"نامعتبر",RIGHT("0000"&amp;$B740,4)&amp;"/"&amp;RIGHT("00"&amp;$C740,2)&amp;"/"&amp;RIGHT("00"&amp;$D740,2)))</f>
        <v/>
      </c>
      <c r="F740">
        <f>IF(OR($E740="",$E740="نامعتبر"),"",LEFT($E740,4)&amp;"/"&amp;MID($E740,6,2))</f>
        <v/>
      </c>
      <c r="G740">
        <f>IF(OR($E740="",$E740="نامعتبر",Sync!$X736=""),"",IF(AND(LEFT(UPPER(TRIM(Sync!$X736)),2)="SL",IFERROR(VLOOKUP(Sync!$W736,OpTbl,3,0),"")="فروش"),UPPER(TRIM(Sync!$X736)),""))</f>
        <v/>
      </c>
      <c r="H740">
        <f>IF($G740="","",IF(Sync!$W736="","",Sync!$W736))</f>
        <v/>
      </c>
      <c r="I740">
        <f>IF(OR($G740="",Sync!$Y736=""),"",Sync!$Y736)</f>
        <v/>
      </c>
      <c r="J740">
        <f>IF(OR($G740="",Sync!$Z736=""),"",Sync!$Z736)</f>
        <v/>
      </c>
      <c r="K740">
        <f>IF($G740="",0,IF(Sync!$AA736="",0,Sync!$AA736))</f>
        <v/>
      </c>
      <c r="L740">
        <f>IF($G740="",0,IF(Sync!$AB736="",0,Sync!$AB736))</f>
        <v/>
      </c>
      <c r="M740">
        <f>IF($G740="","",IF($H740="مرجوعی فروش",-1,1)*($K740-$L740*IFERROR(VLOOKUP("P01",ParamTbl,3,0),1.5)))</f>
        <v/>
      </c>
      <c r="N740">
        <f>IF($G740="",0,IF($H740="مرجوعی فروش",-1,1)*IF(Sync!$AC736="",0,Sync!$AC736))</f>
        <v/>
      </c>
      <c r="O740">
        <f>IF(OR($G740="",Sync!$V736=""),"",Sync!$V736)</f>
        <v/>
      </c>
      <c r="P740">
        <f>IF(OR($G740="",Sync!$AD736=""),"",Sync!$AD736)</f>
        <v/>
      </c>
      <c r="Q740">
        <f>IF($G740="","",IF(Sync!$U736="","0000",IF(AND(ISNUMBER(Sync!$U736),Sync!$U736&gt;=0,Sync!$U736&lt;1),RIGHT("00"&amp;HOUR(Sync!$U736),2)&amp;RIGHT("00"&amp;MINUTE(Sync!$U736),2),IFERROR(RIGHT("00"&amp;VALUE(LEFT(Sync!$U736,FIND(":",Sync!$U736)-1)),2)&amp;RIGHT("00"&amp;VALUE(MID(Sync!$U736,FIND(":",Sync!$U736)+1,2)),2),"0000"))))</f>
        <v/>
      </c>
    </row>
    <row r="741">
      <c r="A741">
        <f>IF(Sync!$T737="","",Sync!$T737)</f>
        <v/>
      </c>
      <c r="B741">
        <f>IF($A741="","",IF(ISNUMBER($A741),IF(AND($A741&gt;=10000101,$A741&lt;=99991231),INT($A741/10000),""),IFERROR(VALUE(TRIM(LEFT($A741,FIND("/",$A741)-1))),"")))</f>
        <v/>
      </c>
      <c r="C741">
        <f>IF(OR($A741="",$B741=""),"",IF(ISNUMBER($A741),INT(MOD($A741,10000)/100),IFERROR(VALUE(TRIM(LEFT(MID($A741,FIND("/",$A741)+1,20),FIND("/",MID($A741,FIND("/",$A741)+1,20))-1))),"")))</f>
        <v/>
      </c>
      <c r="D741">
        <f>IF(OR($A741="",$B741=""),"",IF(ISNUMBER($A741),MOD($A741,100),IFERROR(VALUE(TRIM(MID(MID($A741,FIND("/",$A741)+1,20),FIND("/",MID($A741,FIND("/",$A741)+1,20))+1,20))),"")))</f>
        <v/>
      </c>
      <c r="E741">
        <f>IF($A741="","",IF(OR($B741="",$C741="",$D741="",$B741&lt;1300,$B741&gt;1500,$C741&lt;1,$C741&gt;12,$D741&lt;1,$D741&gt;31),"نامعتبر",RIGHT("0000"&amp;$B741,4)&amp;"/"&amp;RIGHT("00"&amp;$C741,2)&amp;"/"&amp;RIGHT("00"&amp;$D741,2)))</f>
        <v/>
      </c>
      <c r="F741">
        <f>IF(OR($E741="",$E741="نامعتبر"),"",LEFT($E741,4)&amp;"/"&amp;MID($E741,6,2))</f>
        <v/>
      </c>
      <c r="G741">
        <f>IF(OR($E741="",$E741="نامعتبر",Sync!$X737=""),"",IF(AND(LEFT(UPPER(TRIM(Sync!$X737)),2)="SL",IFERROR(VLOOKUP(Sync!$W737,OpTbl,3,0),"")="فروش"),UPPER(TRIM(Sync!$X737)),""))</f>
        <v/>
      </c>
      <c r="H741">
        <f>IF($G741="","",IF(Sync!$W737="","",Sync!$W737))</f>
        <v/>
      </c>
      <c r="I741">
        <f>IF(OR($G741="",Sync!$Y737=""),"",Sync!$Y737)</f>
        <v/>
      </c>
      <c r="J741">
        <f>IF(OR($G741="",Sync!$Z737=""),"",Sync!$Z737)</f>
        <v/>
      </c>
      <c r="K741">
        <f>IF($G741="",0,IF(Sync!$AA737="",0,Sync!$AA737))</f>
        <v/>
      </c>
      <c r="L741">
        <f>IF($G741="",0,IF(Sync!$AB737="",0,Sync!$AB737))</f>
        <v/>
      </c>
      <c r="M741">
        <f>IF($G741="","",IF($H741="مرجوعی فروش",-1,1)*($K741-$L741*IFERROR(VLOOKUP("P01",ParamTbl,3,0),1.5)))</f>
        <v/>
      </c>
      <c r="N741">
        <f>IF($G741="",0,IF($H741="مرجوعی فروش",-1,1)*IF(Sync!$AC737="",0,Sync!$AC737))</f>
        <v/>
      </c>
      <c r="O741">
        <f>IF(OR($G741="",Sync!$V737=""),"",Sync!$V737)</f>
        <v/>
      </c>
      <c r="P741">
        <f>IF(OR($G741="",Sync!$AD737=""),"",Sync!$AD737)</f>
        <v/>
      </c>
      <c r="Q741">
        <f>IF($G741="","",IF(Sync!$U737="","0000",IF(AND(ISNUMBER(Sync!$U737),Sync!$U737&gt;=0,Sync!$U737&lt;1),RIGHT("00"&amp;HOUR(Sync!$U737),2)&amp;RIGHT("00"&amp;MINUTE(Sync!$U737),2),IFERROR(RIGHT("00"&amp;VALUE(LEFT(Sync!$U737,FIND(":",Sync!$U737)-1)),2)&amp;RIGHT("00"&amp;VALUE(MID(Sync!$U737,FIND(":",Sync!$U737)+1,2)),2),"0000"))))</f>
        <v/>
      </c>
    </row>
    <row r="742">
      <c r="A742">
        <f>IF(Sync!$T738="","",Sync!$T738)</f>
        <v/>
      </c>
      <c r="B742">
        <f>IF($A742="","",IF(ISNUMBER($A742),IF(AND($A742&gt;=10000101,$A742&lt;=99991231),INT($A742/10000),""),IFERROR(VALUE(TRIM(LEFT($A742,FIND("/",$A742)-1))),"")))</f>
        <v/>
      </c>
      <c r="C742">
        <f>IF(OR($A742="",$B742=""),"",IF(ISNUMBER($A742),INT(MOD($A742,10000)/100),IFERROR(VALUE(TRIM(LEFT(MID($A742,FIND("/",$A742)+1,20),FIND("/",MID($A742,FIND("/",$A742)+1,20))-1))),"")))</f>
        <v/>
      </c>
      <c r="D742">
        <f>IF(OR($A742="",$B742=""),"",IF(ISNUMBER($A742),MOD($A742,100),IFERROR(VALUE(TRIM(MID(MID($A742,FIND("/",$A742)+1,20),FIND("/",MID($A742,FIND("/",$A742)+1,20))+1,20))),"")))</f>
        <v/>
      </c>
      <c r="E742">
        <f>IF($A742="","",IF(OR($B742="",$C742="",$D742="",$B742&lt;1300,$B742&gt;1500,$C742&lt;1,$C742&gt;12,$D742&lt;1,$D742&gt;31),"نامعتبر",RIGHT("0000"&amp;$B742,4)&amp;"/"&amp;RIGHT("00"&amp;$C742,2)&amp;"/"&amp;RIGHT("00"&amp;$D742,2)))</f>
        <v/>
      </c>
      <c r="F742">
        <f>IF(OR($E742="",$E742="نامعتبر"),"",LEFT($E742,4)&amp;"/"&amp;MID($E742,6,2))</f>
        <v/>
      </c>
      <c r="G742">
        <f>IF(OR($E742="",$E742="نامعتبر",Sync!$X738=""),"",IF(AND(LEFT(UPPER(TRIM(Sync!$X738)),2)="SL",IFERROR(VLOOKUP(Sync!$W738,OpTbl,3,0),"")="فروش"),UPPER(TRIM(Sync!$X738)),""))</f>
        <v/>
      </c>
      <c r="H742">
        <f>IF($G742="","",IF(Sync!$W738="","",Sync!$W738))</f>
        <v/>
      </c>
      <c r="I742">
        <f>IF(OR($G742="",Sync!$Y738=""),"",Sync!$Y738)</f>
        <v/>
      </c>
      <c r="J742">
        <f>IF(OR($G742="",Sync!$Z738=""),"",Sync!$Z738)</f>
        <v/>
      </c>
      <c r="K742">
        <f>IF($G742="",0,IF(Sync!$AA738="",0,Sync!$AA738))</f>
        <v/>
      </c>
      <c r="L742">
        <f>IF($G742="",0,IF(Sync!$AB738="",0,Sync!$AB738))</f>
        <v/>
      </c>
      <c r="M742">
        <f>IF($G742="","",IF($H742="مرجوعی فروش",-1,1)*($K742-$L742*IFERROR(VLOOKUP("P01",ParamTbl,3,0),1.5)))</f>
        <v/>
      </c>
      <c r="N742">
        <f>IF($G742="",0,IF($H742="مرجوعی فروش",-1,1)*IF(Sync!$AC738="",0,Sync!$AC738))</f>
        <v/>
      </c>
      <c r="O742">
        <f>IF(OR($G742="",Sync!$V738=""),"",Sync!$V738)</f>
        <v/>
      </c>
      <c r="P742">
        <f>IF(OR($G742="",Sync!$AD738=""),"",Sync!$AD738)</f>
        <v/>
      </c>
      <c r="Q742">
        <f>IF($G742="","",IF(Sync!$U738="","0000",IF(AND(ISNUMBER(Sync!$U738),Sync!$U738&gt;=0,Sync!$U738&lt;1),RIGHT("00"&amp;HOUR(Sync!$U738),2)&amp;RIGHT("00"&amp;MINUTE(Sync!$U738),2),IFERROR(RIGHT("00"&amp;VALUE(LEFT(Sync!$U738,FIND(":",Sync!$U738)-1)),2)&amp;RIGHT("00"&amp;VALUE(MID(Sync!$U738,FIND(":",Sync!$U738)+1,2)),2),"0000"))))</f>
        <v/>
      </c>
    </row>
    <row r="743">
      <c r="A743">
        <f>IF(Sync!$T739="","",Sync!$T739)</f>
        <v/>
      </c>
      <c r="B743">
        <f>IF($A743="","",IF(ISNUMBER($A743),IF(AND($A743&gt;=10000101,$A743&lt;=99991231),INT($A743/10000),""),IFERROR(VALUE(TRIM(LEFT($A743,FIND("/",$A743)-1))),"")))</f>
        <v/>
      </c>
      <c r="C743">
        <f>IF(OR($A743="",$B743=""),"",IF(ISNUMBER($A743),INT(MOD($A743,10000)/100),IFERROR(VALUE(TRIM(LEFT(MID($A743,FIND("/",$A743)+1,20),FIND("/",MID($A743,FIND("/",$A743)+1,20))-1))),"")))</f>
        <v/>
      </c>
      <c r="D743">
        <f>IF(OR($A743="",$B743=""),"",IF(ISNUMBER($A743),MOD($A743,100),IFERROR(VALUE(TRIM(MID(MID($A743,FIND("/",$A743)+1,20),FIND("/",MID($A743,FIND("/",$A743)+1,20))+1,20))),"")))</f>
        <v/>
      </c>
      <c r="E743">
        <f>IF($A743="","",IF(OR($B743="",$C743="",$D743="",$B743&lt;1300,$B743&gt;1500,$C743&lt;1,$C743&gt;12,$D743&lt;1,$D743&gt;31),"نامعتبر",RIGHT("0000"&amp;$B743,4)&amp;"/"&amp;RIGHT("00"&amp;$C743,2)&amp;"/"&amp;RIGHT("00"&amp;$D743,2)))</f>
        <v/>
      </c>
      <c r="F743">
        <f>IF(OR($E743="",$E743="نامعتبر"),"",LEFT($E743,4)&amp;"/"&amp;MID($E743,6,2))</f>
        <v/>
      </c>
      <c r="G743">
        <f>IF(OR($E743="",$E743="نامعتبر",Sync!$X739=""),"",IF(AND(LEFT(UPPER(TRIM(Sync!$X739)),2)="SL",IFERROR(VLOOKUP(Sync!$W739,OpTbl,3,0),"")="فروش"),UPPER(TRIM(Sync!$X739)),""))</f>
        <v/>
      </c>
      <c r="H743">
        <f>IF($G743="","",IF(Sync!$W739="","",Sync!$W739))</f>
        <v/>
      </c>
      <c r="I743">
        <f>IF(OR($G743="",Sync!$Y739=""),"",Sync!$Y739)</f>
        <v/>
      </c>
      <c r="J743">
        <f>IF(OR($G743="",Sync!$Z739=""),"",Sync!$Z739)</f>
        <v/>
      </c>
      <c r="K743">
        <f>IF($G743="",0,IF(Sync!$AA739="",0,Sync!$AA739))</f>
        <v/>
      </c>
      <c r="L743">
        <f>IF($G743="",0,IF(Sync!$AB739="",0,Sync!$AB739))</f>
        <v/>
      </c>
      <c r="M743">
        <f>IF($G743="","",IF($H743="مرجوعی فروش",-1,1)*($K743-$L743*IFERROR(VLOOKUP("P01",ParamTbl,3,0),1.5)))</f>
        <v/>
      </c>
      <c r="N743">
        <f>IF($G743="",0,IF($H743="مرجوعی فروش",-1,1)*IF(Sync!$AC739="",0,Sync!$AC739))</f>
        <v/>
      </c>
      <c r="O743">
        <f>IF(OR($G743="",Sync!$V739=""),"",Sync!$V739)</f>
        <v/>
      </c>
      <c r="P743">
        <f>IF(OR($G743="",Sync!$AD739=""),"",Sync!$AD739)</f>
        <v/>
      </c>
      <c r="Q743">
        <f>IF($G743="","",IF(Sync!$U739="","0000",IF(AND(ISNUMBER(Sync!$U739),Sync!$U739&gt;=0,Sync!$U739&lt;1),RIGHT("00"&amp;HOUR(Sync!$U739),2)&amp;RIGHT("00"&amp;MINUTE(Sync!$U739),2),IFERROR(RIGHT("00"&amp;VALUE(LEFT(Sync!$U739,FIND(":",Sync!$U739)-1)),2)&amp;RIGHT("00"&amp;VALUE(MID(Sync!$U739,FIND(":",Sync!$U739)+1,2)),2),"0000"))))</f>
        <v/>
      </c>
    </row>
    <row r="744">
      <c r="A744">
        <f>IF(Sync!$T740="","",Sync!$T740)</f>
        <v/>
      </c>
      <c r="B744">
        <f>IF($A744="","",IF(ISNUMBER($A744),IF(AND($A744&gt;=10000101,$A744&lt;=99991231),INT($A744/10000),""),IFERROR(VALUE(TRIM(LEFT($A744,FIND("/",$A744)-1))),"")))</f>
        <v/>
      </c>
      <c r="C744">
        <f>IF(OR($A744="",$B744=""),"",IF(ISNUMBER($A744),INT(MOD($A744,10000)/100),IFERROR(VALUE(TRIM(LEFT(MID($A744,FIND("/",$A744)+1,20),FIND("/",MID($A744,FIND("/",$A744)+1,20))-1))),"")))</f>
        <v/>
      </c>
      <c r="D744">
        <f>IF(OR($A744="",$B744=""),"",IF(ISNUMBER($A744),MOD($A744,100),IFERROR(VALUE(TRIM(MID(MID($A744,FIND("/",$A744)+1,20),FIND("/",MID($A744,FIND("/",$A744)+1,20))+1,20))),"")))</f>
        <v/>
      </c>
      <c r="E744">
        <f>IF($A744="","",IF(OR($B744="",$C744="",$D744="",$B744&lt;1300,$B744&gt;1500,$C744&lt;1,$C744&gt;12,$D744&lt;1,$D744&gt;31),"نامعتبر",RIGHT("0000"&amp;$B744,4)&amp;"/"&amp;RIGHT("00"&amp;$C744,2)&amp;"/"&amp;RIGHT("00"&amp;$D744,2)))</f>
        <v/>
      </c>
      <c r="F744">
        <f>IF(OR($E744="",$E744="نامعتبر"),"",LEFT($E744,4)&amp;"/"&amp;MID($E744,6,2))</f>
        <v/>
      </c>
      <c r="G744">
        <f>IF(OR($E744="",$E744="نامعتبر",Sync!$X740=""),"",IF(AND(LEFT(UPPER(TRIM(Sync!$X740)),2)="SL",IFERROR(VLOOKUP(Sync!$W740,OpTbl,3,0),"")="فروش"),UPPER(TRIM(Sync!$X740)),""))</f>
        <v/>
      </c>
      <c r="H744">
        <f>IF($G744="","",IF(Sync!$W740="","",Sync!$W740))</f>
        <v/>
      </c>
      <c r="I744">
        <f>IF(OR($G744="",Sync!$Y740=""),"",Sync!$Y740)</f>
        <v/>
      </c>
      <c r="J744">
        <f>IF(OR($G744="",Sync!$Z740=""),"",Sync!$Z740)</f>
        <v/>
      </c>
      <c r="K744">
        <f>IF($G744="",0,IF(Sync!$AA740="",0,Sync!$AA740))</f>
        <v/>
      </c>
      <c r="L744">
        <f>IF($G744="",0,IF(Sync!$AB740="",0,Sync!$AB740))</f>
        <v/>
      </c>
      <c r="M744">
        <f>IF($G744="","",IF($H744="مرجوعی فروش",-1,1)*($K744-$L744*IFERROR(VLOOKUP("P01",ParamTbl,3,0),1.5)))</f>
        <v/>
      </c>
      <c r="N744">
        <f>IF($G744="",0,IF($H744="مرجوعی فروش",-1,1)*IF(Sync!$AC740="",0,Sync!$AC740))</f>
        <v/>
      </c>
      <c r="O744">
        <f>IF(OR($G744="",Sync!$V740=""),"",Sync!$V740)</f>
        <v/>
      </c>
      <c r="P744">
        <f>IF(OR($G744="",Sync!$AD740=""),"",Sync!$AD740)</f>
        <v/>
      </c>
      <c r="Q744">
        <f>IF($G744="","",IF(Sync!$U740="","0000",IF(AND(ISNUMBER(Sync!$U740),Sync!$U740&gt;=0,Sync!$U740&lt;1),RIGHT("00"&amp;HOUR(Sync!$U740),2)&amp;RIGHT("00"&amp;MINUTE(Sync!$U740),2),IFERROR(RIGHT("00"&amp;VALUE(LEFT(Sync!$U740,FIND(":",Sync!$U740)-1)),2)&amp;RIGHT("00"&amp;VALUE(MID(Sync!$U740,FIND(":",Sync!$U740)+1,2)),2),"0000"))))</f>
        <v/>
      </c>
    </row>
    <row r="745">
      <c r="A745">
        <f>IF(Sync!$T741="","",Sync!$T741)</f>
        <v/>
      </c>
      <c r="B745">
        <f>IF($A745="","",IF(ISNUMBER($A745),IF(AND($A745&gt;=10000101,$A745&lt;=99991231),INT($A745/10000),""),IFERROR(VALUE(TRIM(LEFT($A745,FIND("/",$A745)-1))),"")))</f>
        <v/>
      </c>
      <c r="C745">
        <f>IF(OR($A745="",$B745=""),"",IF(ISNUMBER($A745),INT(MOD($A745,10000)/100),IFERROR(VALUE(TRIM(LEFT(MID($A745,FIND("/",$A745)+1,20),FIND("/",MID($A745,FIND("/",$A745)+1,20))-1))),"")))</f>
        <v/>
      </c>
      <c r="D745">
        <f>IF(OR($A745="",$B745=""),"",IF(ISNUMBER($A745),MOD($A745,100),IFERROR(VALUE(TRIM(MID(MID($A745,FIND("/",$A745)+1,20),FIND("/",MID($A745,FIND("/",$A745)+1,20))+1,20))),"")))</f>
        <v/>
      </c>
      <c r="E745">
        <f>IF($A745="","",IF(OR($B745="",$C745="",$D745="",$B745&lt;1300,$B745&gt;1500,$C745&lt;1,$C745&gt;12,$D745&lt;1,$D745&gt;31),"نامعتبر",RIGHT("0000"&amp;$B745,4)&amp;"/"&amp;RIGHT("00"&amp;$C745,2)&amp;"/"&amp;RIGHT("00"&amp;$D745,2)))</f>
        <v/>
      </c>
      <c r="F745">
        <f>IF(OR($E745="",$E745="نامعتبر"),"",LEFT($E745,4)&amp;"/"&amp;MID($E745,6,2))</f>
        <v/>
      </c>
      <c r="G745">
        <f>IF(OR($E745="",$E745="نامعتبر",Sync!$X741=""),"",IF(AND(LEFT(UPPER(TRIM(Sync!$X741)),2)="SL",IFERROR(VLOOKUP(Sync!$W741,OpTbl,3,0),"")="فروش"),UPPER(TRIM(Sync!$X741)),""))</f>
        <v/>
      </c>
      <c r="H745">
        <f>IF($G745="","",IF(Sync!$W741="","",Sync!$W741))</f>
        <v/>
      </c>
      <c r="I745">
        <f>IF(OR($G745="",Sync!$Y741=""),"",Sync!$Y741)</f>
        <v/>
      </c>
      <c r="J745">
        <f>IF(OR($G745="",Sync!$Z741=""),"",Sync!$Z741)</f>
        <v/>
      </c>
      <c r="K745">
        <f>IF($G745="",0,IF(Sync!$AA741="",0,Sync!$AA741))</f>
        <v/>
      </c>
      <c r="L745">
        <f>IF($G745="",0,IF(Sync!$AB741="",0,Sync!$AB741))</f>
        <v/>
      </c>
      <c r="M745">
        <f>IF($G745="","",IF($H745="مرجوعی فروش",-1,1)*($K745-$L745*IFERROR(VLOOKUP("P01",ParamTbl,3,0),1.5)))</f>
        <v/>
      </c>
      <c r="N745">
        <f>IF($G745="",0,IF($H745="مرجوعی فروش",-1,1)*IF(Sync!$AC741="",0,Sync!$AC741))</f>
        <v/>
      </c>
      <c r="O745">
        <f>IF(OR($G745="",Sync!$V741=""),"",Sync!$V741)</f>
        <v/>
      </c>
      <c r="P745">
        <f>IF(OR($G745="",Sync!$AD741=""),"",Sync!$AD741)</f>
        <v/>
      </c>
      <c r="Q745">
        <f>IF($G745="","",IF(Sync!$U741="","0000",IF(AND(ISNUMBER(Sync!$U741),Sync!$U741&gt;=0,Sync!$U741&lt;1),RIGHT("00"&amp;HOUR(Sync!$U741),2)&amp;RIGHT("00"&amp;MINUTE(Sync!$U741),2),IFERROR(RIGHT("00"&amp;VALUE(LEFT(Sync!$U741,FIND(":",Sync!$U741)-1)),2)&amp;RIGHT("00"&amp;VALUE(MID(Sync!$U741,FIND(":",Sync!$U741)+1,2)),2),"0000"))))</f>
        <v/>
      </c>
    </row>
    <row r="746">
      <c r="A746">
        <f>IF(Sync!$T742="","",Sync!$T742)</f>
        <v/>
      </c>
      <c r="B746">
        <f>IF($A746="","",IF(ISNUMBER($A746),IF(AND($A746&gt;=10000101,$A746&lt;=99991231),INT($A746/10000),""),IFERROR(VALUE(TRIM(LEFT($A746,FIND("/",$A746)-1))),"")))</f>
        <v/>
      </c>
      <c r="C746">
        <f>IF(OR($A746="",$B746=""),"",IF(ISNUMBER($A746),INT(MOD($A746,10000)/100),IFERROR(VALUE(TRIM(LEFT(MID($A746,FIND("/",$A746)+1,20),FIND("/",MID($A746,FIND("/",$A746)+1,20))-1))),"")))</f>
        <v/>
      </c>
      <c r="D746">
        <f>IF(OR($A746="",$B746=""),"",IF(ISNUMBER($A746),MOD($A746,100),IFERROR(VALUE(TRIM(MID(MID($A746,FIND("/",$A746)+1,20),FIND("/",MID($A746,FIND("/",$A746)+1,20))+1,20))),"")))</f>
        <v/>
      </c>
      <c r="E746">
        <f>IF($A746="","",IF(OR($B746="",$C746="",$D746="",$B746&lt;1300,$B746&gt;1500,$C746&lt;1,$C746&gt;12,$D746&lt;1,$D746&gt;31),"نامعتبر",RIGHT("0000"&amp;$B746,4)&amp;"/"&amp;RIGHT("00"&amp;$C746,2)&amp;"/"&amp;RIGHT("00"&amp;$D746,2)))</f>
        <v/>
      </c>
      <c r="F746">
        <f>IF(OR($E746="",$E746="نامعتبر"),"",LEFT($E746,4)&amp;"/"&amp;MID($E746,6,2))</f>
        <v/>
      </c>
      <c r="G746">
        <f>IF(OR($E746="",$E746="نامعتبر",Sync!$X742=""),"",IF(AND(LEFT(UPPER(TRIM(Sync!$X742)),2)="SL",IFERROR(VLOOKUP(Sync!$W742,OpTbl,3,0),"")="فروش"),UPPER(TRIM(Sync!$X742)),""))</f>
        <v/>
      </c>
      <c r="H746">
        <f>IF($G746="","",IF(Sync!$W742="","",Sync!$W742))</f>
        <v/>
      </c>
      <c r="I746">
        <f>IF(OR($G746="",Sync!$Y742=""),"",Sync!$Y742)</f>
        <v/>
      </c>
      <c r="J746">
        <f>IF(OR($G746="",Sync!$Z742=""),"",Sync!$Z742)</f>
        <v/>
      </c>
      <c r="K746">
        <f>IF($G746="",0,IF(Sync!$AA742="",0,Sync!$AA742))</f>
        <v/>
      </c>
      <c r="L746">
        <f>IF($G746="",0,IF(Sync!$AB742="",0,Sync!$AB742))</f>
        <v/>
      </c>
      <c r="M746">
        <f>IF($G746="","",IF($H746="مرجوعی فروش",-1,1)*($K746-$L746*IFERROR(VLOOKUP("P01",ParamTbl,3,0),1.5)))</f>
        <v/>
      </c>
      <c r="N746">
        <f>IF($G746="",0,IF($H746="مرجوعی فروش",-1,1)*IF(Sync!$AC742="",0,Sync!$AC742))</f>
        <v/>
      </c>
      <c r="O746">
        <f>IF(OR($G746="",Sync!$V742=""),"",Sync!$V742)</f>
        <v/>
      </c>
      <c r="P746">
        <f>IF(OR($G746="",Sync!$AD742=""),"",Sync!$AD742)</f>
        <v/>
      </c>
      <c r="Q746">
        <f>IF($G746="","",IF(Sync!$U742="","0000",IF(AND(ISNUMBER(Sync!$U742),Sync!$U742&gt;=0,Sync!$U742&lt;1),RIGHT("00"&amp;HOUR(Sync!$U742),2)&amp;RIGHT("00"&amp;MINUTE(Sync!$U742),2),IFERROR(RIGHT("00"&amp;VALUE(LEFT(Sync!$U742,FIND(":",Sync!$U742)-1)),2)&amp;RIGHT("00"&amp;VALUE(MID(Sync!$U742,FIND(":",Sync!$U742)+1,2)),2),"0000"))))</f>
        <v/>
      </c>
    </row>
    <row r="747">
      <c r="A747">
        <f>IF(Sync!$T743="","",Sync!$T743)</f>
        <v/>
      </c>
      <c r="B747">
        <f>IF($A747="","",IF(ISNUMBER($A747),IF(AND($A747&gt;=10000101,$A747&lt;=99991231),INT($A747/10000),""),IFERROR(VALUE(TRIM(LEFT($A747,FIND("/",$A747)-1))),"")))</f>
        <v/>
      </c>
      <c r="C747">
        <f>IF(OR($A747="",$B747=""),"",IF(ISNUMBER($A747),INT(MOD($A747,10000)/100),IFERROR(VALUE(TRIM(LEFT(MID($A747,FIND("/",$A747)+1,20),FIND("/",MID($A747,FIND("/",$A747)+1,20))-1))),"")))</f>
        <v/>
      </c>
      <c r="D747">
        <f>IF(OR($A747="",$B747=""),"",IF(ISNUMBER($A747),MOD($A747,100),IFERROR(VALUE(TRIM(MID(MID($A747,FIND("/",$A747)+1,20),FIND("/",MID($A747,FIND("/",$A747)+1,20))+1,20))),"")))</f>
        <v/>
      </c>
      <c r="E747">
        <f>IF($A747="","",IF(OR($B747="",$C747="",$D747="",$B747&lt;1300,$B747&gt;1500,$C747&lt;1,$C747&gt;12,$D747&lt;1,$D747&gt;31),"نامعتبر",RIGHT("0000"&amp;$B747,4)&amp;"/"&amp;RIGHT("00"&amp;$C747,2)&amp;"/"&amp;RIGHT("00"&amp;$D747,2)))</f>
        <v/>
      </c>
      <c r="F747">
        <f>IF(OR($E747="",$E747="نامعتبر"),"",LEFT($E747,4)&amp;"/"&amp;MID($E747,6,2))</f>
        <v/>
      </c>
      <c r="G747">
        <f>IF(OR($E747="",$E747="نامعتبر",Sync!$X743=""),"",IF(AND(LEFT(UPPER(TRIM(Sync!$X743)),2)="SL",IFERROR(VLOOKUP(Sync!$W743,OpTbl,3,0),"")="فروش"),UPPER(TRIM(Sync!$X743)),""))</f>
        <v/>
      </c>
      <c r="H747">
        <f>IF($G747="","",IF(Sync!$W743="","",Sync!$W743))</f>
        <v/>
      </c>
      <c r="I747">
        <f>IF(OR($G747="",Sync!$Y743=""),"",Sync!$Y743)</f>
        <v/>
      </c>
      <c r="J747">
        <f>IF(OR($G747="",Sync!$Z743=""),"",Sync!$Z743)</f>
        <v/>
      </c>
      <c r="K747">
        <f>IF($G747="",0,IF(Sync!$AA743="",0,Sync!$AA743))</f>
        <v/>
      </c>
      <c r="L747">
        <f>IF($G747="",0,IF(Sync!$AB743="",0,Sync!$AB743))</f>
        <v/>
      </c>
      <c r="M747">
        <f>IF($G747="","",IF($H747="مرجوعی فروش",-1,1)*($K747-$L747*IFERROR(VLOOKUP("P01",ParamTbl,3,0),1.5)))</f>
        <v/>
      </c>
      <c r="N747">
        <f>IF($G747="",0,IF($H747="مرجوعی فروش",-1,1)*IF(Sync!$AC743="",0,Sync!$AC743))</f>
        <v/>
      </c>
      <c r="O747">
        <f>IF(OR($G747="",Sync!$V743=""),"",Sync!$V743)</f>
        <v/>
      </c>
      <c r="P747">
        <f>IF(OR($G747="",Sync!$AD743=""),"",Sync!$AD743)</f>
        <v/>
      </c>
      <c r="Q747">
        <f>IF($G747="","",IF(Sync!$U743="","0000",IF(AND(ISNUMBER(Sync!$U743),Sync!$U743&gt;=0,Sync!$U743&lt;1),RIGHT("00"&amp;HOUR(Sync!$U743),2)&amp;RIGHT("00"&amp;MINUTE(Sync!$U743),2),IFERROR(RIGHT("00"&amp;VALUE(LEFT(Sync!$U743,FIND(":",Sync!$U743)-1)),2)&amp;RIGHT("00"&amp;VALUE(MID(Sync!$U743,FIND(":",Sync!$U743)+1,2)),2),"0000"))))</f>
        <v/>
      </c>
    </row>
    <row r="748">
      <c r="A748">
        <f>IF(Sync!$T744="","",Sync!$T744)</f>
        <v/>
      </c>
      <c r="B748">
        <f>IF($A748="","",IF(ISNUMBER($A748),IF(AND($A748&gt;=10000101,$A748&lt;=99991231),INT($A748/10000),""),IFERROR(VALUE(TRIM(LEFT($A748,FIND("/",$A748)-1))),"")))</f>
        <v/>
      </c>
      <c r="C748">
        <f>IF(OR($A748="",$B748=""),"",IF(ISNUMBER($A748),INT(MOD($A748,10000)/100),IFERROR(VALUE(TRIM(LEFT(MID($A748,FIND("/",$A748)+1,20),FIND("/",MID($A748,FIND("/",$A748)+1,20))-1))),"")))</f>
        <v/>
      </c>
      <c r="D748">
        <f>IF(OR($A748="",$B748=""),"",IF(ISNUMBER($A748),MOD($A748,100),IFERROR(VALUE(TRIM(MID(MID($A748,FIND("/",$A748)+1,20),FIND("/",MID($A748,FIND("/",$A748)+1,20))+1,20))),"")))</f>
        <v/>
      </c>
      <c r="E748">
        <f>IF($A748="","",IF(OR($B748="",$C748="",$D748="",$B748&lt;1300,$B748&gt;1500,$C748&lt;1,$C748&gt;12,$D748&lt;1,$D748&gt;31),"نامعتبر",RIGHT("0000"&amp;$B748,4)&amp;"/"&amp;RIGHT("00"&amp;$C748,2)&amp;"/"&amp;RIGHT("00"&amp;$D748,2)))</f>
        <v/>
      </c>
      <c r="F748">
        <f>IF(OR($E748="",$E748="نامعتبر"),"",LEFT($E748,4)&amp;"/"&amp;MID($E748,6,2))</f>
        <v/>
      </c>
      <c r="G748">
        <f>IF(OR($E748="",$E748="نامعتبر",Sync!$X744=""),"",IF(AND(LEFT(UPPER(TRIM(Sync!$X744)),2)="SL",IFERROR(VLOOKUP(Sync!$W744,OpTbl,3,0),"")="فروش"),UPPER(TRIM(Sync!$X744)),""))</f>
        <v/>
      </c>
      <c r="H748">
        <f>IF($G748="","",IF(Sync!$W744="","",Sync!$W744))</f>
        <v/>
      </c>
      <c r="I748">
        <f>IF(OR($G748="",Sync!$Y744=""),"",Sync!$Y744)</f>
        <v/>
      </c>
      <c r="J748">
        <f>IF(OR($G748="",Sync!$Z744=""),"",Sync!$Z744)</f>
        <v/>
      </c>
      <c r="K748">
        <f>IF($G748="",0,IF(Sync!$AA744="",0,Sync!$AA744))</f>
        <v/>
      </c>
      <c r="L748">
        <f>IF($G748="",0,IF(Sync!$AB744="",0,Sync!$AB744))</f>
        <v/>
      </c>
      <c r="M748">
        <f>IF($G748="","",IF($H748="مرجوعی فروش",-1,1)*($K748-$L748*IFERROR(VLOOKUP("P01",ParamTbl,3,0),1.5)))</f>
        <v/>
      </c>
      <c r="N748">
        <f>IF($G748="",0,IF($H748="مرجوعی فروش",-1,1)*IF(Sync!$AC744="",0,Sync!$AC744))</f>
        <v/>
      </c>
      <c r="O748">
        <f>IF(OR($G748="",Sync!$V744=""),"",Sync!$V744)</f>
        <v/>
      </c>
      <c r="P748">
        <f>IF(OR($G748="",Sync!$AD744=""),"",Sync!$AD744)</f>
        <v/>
      </c>
      <c r="Q748">
        <f>IF($G748="","",IF(Sync!$U744="","0000",IF(AND(ISNUMBER(Sync!$U744),Sync!$U744&gt;=0,Sync!$U744&lt;1),RIGHT("00"&amp;HOUR(Sync!$U744),2)&amp;RIGHT("00"&amp;MINUTE(Sync!$U744),2),IFERROR(RIGHT("00"&amp;VALUE(LEFT(Sync!$U744,FIND(":",Sync!$U744)-1)),2)&amp;RIGHT("00"&amp;VALUE(MID(Sync!$U744,FIND(":",Sync!$U744)+1,2)),2),"0000"))))</f>
        <v/>
      </c>
    </row>
    <row r="749">
      <c r="A749">
        <f>IF(Sync!$T745="","",Sync!$T745)</f>
        <v/>
      </c>
      <c r="B749">
        <f>IF($A749="","",IF(ISNUMBER($A749),IF(AND($A749&gt;=10000101,$A749&lt;=99991231),INT($A749/10000),""),IFERROR(VALUE(TRIM(LEFT($A749,FIND("/",$A749)-1))),"")))</f>
        <v/>
      </c>
      <c r="C749">
        <f>IF(OR($A749="",$B749=""),"",IF(ISNUMBER($A749),INT(MOD($A749,10000)/100),IFERROR(VALUE(TRIM(LEFT(MID($A749,FIND("/",$A749)+1,20),FIND("/",MID($A749,FIND("/",$A749)+1,20))-1))),"")))</f>
        <v/>
      </c>
      <c r="D749">
        <f>IF(OR($A749="",$B749=""),"",IF(ISNUMBER($A749),MOD($A749,100),IFERROR(VALUE(TRIM(MID(MID($A749,FIND("/",$A749)+1,20),FIND("/",MID($A749,FIND("/",$A749)+1,20))+1,20))),"")))</f>
        <v/>
      </c>
      <c r="E749">
        <f>IF($A749="","",IF(OR($B749="",$C749="",$D749="",$B749&lt;1300,$B749&gt;1500,$C749&lt;1,$C749&gt;12,$D749&lt;1,$D749&gt;31),"نامعتبر",RIGHT("0000"&amp;$B749,4)&amp;"/"&amp;RIGHT("00"&amp;$C749,2)&amp;"/"&amp;RIGHT("00"&amp;$D749,2)))</f>
        <v/>
      </c>
      <c r="F749">
        <f>IF(OR($E749="",$E749="نامعتبر"),"",LEFT($E749,4)&amp;"/"&amp;MID($E749,6,2))</f>
        <v/>
      </c>
      <c r="G749">
        <f>IF(OR($E749="",$E749="نامعتبر",Sync!$X745=""),"",IF(AND(LEFT(UPPER(TRIM(Sync!$X745)),2)="SL",IFERROR(VLOOKUP(Sync!$W745,OpTbl,3,0),"")="فروش"),UPPER(TRIM(Sync!$X745)),""))</f>
        <v/>
      </c>
      <c r="H749">
        <f>IF($G749="","",IF(Sync!$W745="","",Sync!$W745))</f>
        <v/>
      </c>
      <c r="I749">
        <f>IF(OR($G749="",Sync!$Y745=""),"",Sync!$Y745)</f>
        <v/>
      </c>
      <c r="J749">
        <f>IF(OR($G749="",Sync!$Z745=""),"",Sync!$Z745)</f>
        <v/>
      </c>
      <c r="K749">
        <f>IF($G749="",0,IF(Sync!$AA745="",0,Sync!$AA745))</f>
        <v/>
      </c>
      <c r="L749">
        <f>IF($G749="",0,IF(Sync!$AB745="",0,Sync!$AB745))</f>
        <v/>
      </c>
      <c r="M749">
        <f>IF($G749="","",IF($H749="مرجوعی فروش",-1,1)*($K749-$L749*IFERROR(VLOOKUP("P01",ParamTbl,3,0),1.5)))</f>
        <v/>
      </c>
      <c r="N749">
        <f>IF($G749="",0,IF($H749="مرجوعی فروش",-1,1)*IF(Sync!$AC745="",0,Sync!$AC745))</f>
        <v/>
      </c>
      <c r="O749">
        <f>IF(OR($G749="",Sync!$V745=""),"",Sync!$V745)</f>
        <v/>
      </c>
      <c r="P749">
        <f>IF(OR($G749="",Sync!$AD745=""),"",Sync!$AD745)</f>
        <v/>
      </c>
      <c r="Q749">
        <f>IF($G749="","",IF(Sync!$U745="","0000",IF(AND(ISNUMBER(Sync!$U745),Sync!$U745&gt;=0,Sync!$U745&lt;1),RIGHT("00"&amp;HOUR(Sync!$U745),2)&amp;RIGHT("00"&amp;MINUTE(Sync!$U745),2),IFERROR(RIGHT("00"&amp;VALUE(LEFT(Sync!$U745,FIND(":",Sync!$U745)-1)),2)&amp;RIGHT("00"&amp;VALUE(MID(Sync!$U745,FIND(":",Sync!$U745)+1,2)),2),"0000"))))</f>
        <v/>
      </c>
    </row>
    <row r="750">
      <c r="A750">
        <f>IF(Sync!$T746="","",Sync!$T746)</f>
        <v/>
      </c>
      <c r="B750">
        <f>IF($A750="","",IF(ISNUMBER($A750),IF(AND($A750&gt;=10000101,$A750&lt;=99991231),INT($A750/10000),""),IFERROR(VALUE(TRIM(LEFT($A750,FIND("/",$A750)-1))),"")))</f>
        <v/>
      </c>
      <c r="C750">
        <f>IF(OR($A750="",$B750=""),"",IF(ISNUMBER($A750),INT(MOD($A750,10000)/100),IFERROR(VALUE(TRIM(LEFT(MID($A750,FIND("/",$A750)+1,20),FIND("/",MID($A750,FIND("/",$A750)+1,20))-1))),"")))</f>
        <v/>
      </c>
      <c r="D750">
        <f>IF(OR($A750="",$B750=""),"",IF(ISNUMBER($A750),MOD($A750,100),IFERROR(VALUE(TRIM(MID(MID($A750,FIND("/",$A750)+1,20),FIND("/",MID($A750,FIND("/",$A750)+1,20))+1,20))),"")))</f>
        <v/>
      </c>
      <c r="E750">
        <f>IF($A750="","",IF(OR($B750="",$C750="",$D750="",$B750&lt;1300,$B750&gt;1500,$C750&lt;1,$C750&gt;12,$D750&lt;1,$D750&gt;31),"نامعتبر",RIGHT("0000"&amp;$B750,4)&amp;"/"&amp;RIGHT("00"&amp;$C750,2)&amp;"/"&amp;RIGHT("00"&amp;$D750,2)))</f>
        <v/>
      </c>
      <c r="F750">
        <f>IF(OR($E750="",$E750="نامعتبر"),"",LEFT($E750,4)&amp;"/"&amp;MID($E750,6,2))</f>
        <v/>
      </c>
      <c r="G750">
        <f>IF(OR($E750="",$E750="نامعتبر",Sync!$X746=""),"",IF(AND(LEFT(UPPER(TRIM(Sync!$X746)),2)="SL",IFERROR(VLOOKUP(Sync!$W746,OpTbl,3,0),"")="فروش"),UPPER(TRIM(Sync!$X746)),""))</f>
        <v/>
      </c>
      <c r="H750">
        <f>IF($G750="","",IF(Sync!$W746="","",Sync!$W746))</f>
        <v/>
      </c>
      <c r="I750">
        <f>IF(OR($G750="",Sync!$Y746=""),"",Sync!$Y746)</f>
        <v/>
      </c>
      <c r="J750">
        <f>IF(OR($G750="",Sync!$Z746=""),"",Sync!$Z746)</f>
        <v/>
      </c>
      <c r="K750">
        <f>IF($G750="",0,IF(Sync!$AA746="",0,Sync!$AA746))</f>
        <v/>
      </c>
      <c r="L750">
        <f>IF($G750="",0,IF(Sync!$AB746="",0,Sync!$AB746))</f>
        <v/>
      </c>
      <c r="M750">
        <f>IF($G750="","",IF($H750="مرجوعی فروش",-1,1)*($K750-$L750*IFERROR(VLOOKUP("P01",ParamTbl,3,0),1.5)))</f>
        <v/>
      </c>
      <c r="N750">
        <f>IF($G750="",0,IF($H750="مرجوعی فروش",-1,1)*IF(Sync!$AC746="",0,Sync!$AC746))</f>
        <v/>
      </c>
      <c r="O750">
        <f>IF(OR($G750="",Sync!$V746=""),"",Sync!$V746)</f>
        <v/>
      </c>
      <c r="P750">
        <f>IF(OR($G750="",Sync!$AD746=""),"",Sync!$AD746)</f>
        <v/>
      </c>
      <c r="Q750">
        <f>IF($G750="","",IF(Sync!$U746="","0000",IF(AND(ISNUMBER(Sync!$U746),Sync!$U746&gt;=0,Sync!$U746&lt;1),RIGHT("00"&amp;HOUR(Sync!$U746),2)&amp;RIGHT("00"&amp;MINUTE(Sync!$U746),2),IFERROR(RIGHT("00"&amp;VALUE(LEFT(Sync!$U746,FIND(":",Sync!$U746)-1)),2)&amp;RIGHT("00"&amp;VALUE(MID(Sync!$U746,FIND(":",Sync!$U746)+1,2)),2),"0000"))))</f>
        <v/>
      </c>
    </row>
    <row r="751">
      <c r="A751">
        <f>IF(Sync!$T747="","",Sync!$T747)</f>
        <v/>
      </c>
      <c r="B751">
        <f>IF($A751="","",IF(ISNUMBER($A751),IF(AND($A751&gt;=10000101,$A751&lt;=99991231),INT($A751/10000),""),IFERROR(VALUE(TRIM(LEFT($A751,FIND("/",$A751)-1))),"")))</f>
        <v/>
      </c>
      <c r="C751">
        <f>IF(OR($A751="",$B751=""),"",IF(ISNUMBER($A751),INT(MOD($A751,10000)/100),IFERROR(VALUE(TRIM(LEFT(MID($A751,FIND("/",$A751)+1,20),FIND("/",MID($A751,FIND("/",$A751)+1,20))-1))),"")))</f>
        <v/>
      </c>
      <c r="D751">
        <f>IF(OR($A751="",$B751=""),"",IF(ISNUMBER($A751),MOD($A751,100),IFERROR(VALUE(TRIM(MID(MID($A751,FIND("/",$A751)+1,20),FIND("/",MID($A751,FIND("/",$A751)+1,20))+1,20))),"")))</f>
        <v/>
      </c>
      <c r="E751">
        <f>IF($A751="","",IF(OR($B751="",$C751="",$D751="",$B751&lt;1300,$B751&gt;1500,$C751&lt;1,$C751&gt;12,$D751&lt;1,$D751&gt;31),"نامعتبر",RIGHT("0000"&amp;$B751,4)&amp;"/"&amp;RIGHT("00"&amp;$C751,2)&amp;"/"&amp;RIGHT("00"&amp;$D751,2)))</f>
        <v/>
      </c>
      <c r="F751">
        <f>IF(OR($E751="",$E751="نامعتبر"),"",LEFT($E751,4)&amp;"/"&amp;MID($E751,6,2))</f>
        <v/>
      </c>
      <c r="G751">
        <f>IF(OR($E751="",$E751="نامعتبر",Sync!$X747=""),"",IF(AND(LEFT(UPPER(TRIM(Sync!$X747)),2)="SL",IFERROR(VLOOKUP(Sync!$W747,OpTbl,3,0),"")="فروش"),UPPER(TRIM(Sync!$X747)),""))</f>
        <v/>
      </c>
      <c r="H751">
        <f>IF($G751="","",IF(Sync!$W747="","",Sync!$W747))</f>
        <v/>
      </c>
      <c r="I751">
        <f>IF(OR($G751="",Sync!$Y747=""),"",Sync!$Y747)</f>
        <v/>
      </c>
      <c r="J751">
        <f>IF(OR($G751="",Sync!$Z747=""),"",Sync!$Z747)</f>
        <v/>
      </c>
      <c r="K751">
        <f>IF($G751="",0,IF(Sync!$AA747="",0,Sync!$AA747))</f>
        <v/>
      </c>
      <c r="L751">
        <f>IF($G751="",0,IF(Sync!$AB747="",0,Sync!$AB747))</f>
        <v/>
      </c>
      <c r="M751">
        <f>IF($G751="","",IF($H751="مرجوعی فروش",-1,1)*($K751-$L751*IFERROR(VLOOKUP("P01",ParamTbl,3,0),1.5)))</f>
        <v/>
      </c>
      <c r="N751">
        <f>IF($G751="",0,IF($H751="مرجوعی فروش",-1,1)*IF(Sync!$AC747="",0,Sync!$AC747))</f>
        <v/>
      </c>
      <c r="O751">
        <f>IF(OR($G751="",Sync!$V747=""),"",Sync!$V747)</f>
        <v/>
      </c>
      <c r="P751">
        <f>IF(OR($G751="",Sync!$AD747=""),"",Sync!$AD747)</f>
        <v/>
      </c>
      <c r="Q751">
        <f>IF($G751="","",IF(Sync!$U747="","0000",IF(AND(ISNUMBER(Sync!$U747),Sync!$U747&gt;=0,Sync!$U747&lt;1),RIGHT("00"&amp;HOUR(Sync!$U747),2)&amp;RIGHT("00"&amp;MINUTE(Sync!$U747),2),IFERROR(RIGHT("00"&amp;VALUE(LEFT(Sync!$U747,FIND(":",Sync!$U747)-1)),2)&amp;RIGHT("00"&amp;VALUE(MID(Sync!$U747,FIND(":",Sync!$U747)+1,2)),2),"0000"))))</f>
        <v/>
      </c>
    </row>
    <row r="752">
      <c r="A752">
        <f>IF(Sync!$T748="","",Sync!$T748)</f>
        <v/>
      </c>
      <c r="B752">
        <f>IF($A752="","",IF(ISNUMBER($A752),IF(AND($A752&gt;=10000101,$A752&lt;=99991231),INT($A752/10000),""),IFERROR(VALUE(TRIM(LEFT($A752,FIND("/",$A752)-1))),"")))</f>
        <v/>
      </c>
      <c r="C752">
        <f>IF(OR($A752="",$B752=""),"",IF(ISNUMBER($A752),INT(MOD($A752,10000)/100),IFERROR(VALUE(TRIM(LEFT(MID($A752,FIND("/",$A752)+1,20),FIND("/",MID($A752,FIND("/",$A752)+1,20))-1))),"")))</f>
        <v/>
      </c>
      <c r="D752">
        <f>IF(OR($A752="",$B752=""),"",IF(ISNUMBER($A752),MOD($A752,100),IFERROR(VALUE(TRIM(MID(MID($A752,FIND("/",$A752)+1,20),FIND("/",MID($A752,FIND("/",$A752)+1,20))+1,20))),"")))</f>
        <v/>
      </c>
      <c r="E752">
        <f>IF($A752="","",IF(OR($B752="",$C752="",$D752="",$B752&lt;1300,$B752&gt;1500,$C752&lt;1,$C752&gt;12,$D752&lt;1,$D752&gt;31),"نامعتبر",RIGHT("0000"&amp;$B752,4)&amp;"/"&amp;RIGHT("00"&amp;$C752,2)&amp;"/"&amp;RIGHT("00"&amp;$D752,2)))</f>
        <v/>
      </c>
      <c r="F752">
        <f>IF(OR($E752="",$E752="نامعتبر"),"",LEFT($E752,4)&amp;"/"&amp;MID($E752,6,2))</f>
        <v/>
      </c>
      <c r="G752">
        <f>IF(OR($E752="",$E752="نامعتبر",Sync!$X748=""),"",IF(AND(LEFT(UPPER(TRIM(Sync!$X748)),2)="SL",IFERROR(VLOOKUP(Sync!$W748,OpTbl,3,0),"")="فروش"),UPPER(TRIM(Sync!$X748)),""))</f>
        <v/>
      </c>
      <c r="H752">
        <f>IF($G752="","",IF(Sync!$W748="","",Sync!$W748))</f>
        <v/>
      </c>
      <c r="I752">
        <f>IF(OR($G752="",Sync!$Y748=""),"",Sync!$Y748)</f>
        <v/>
      </c>
      <c r="J752">
        <f>IF(OR($G752="",Sync!$Z748=""),"",Sync!$Z748)</f>
        <v/>
      </c>
      <c r="K752">
        <f>IF($G752="",0,IF(Sync!$AA748="",0,Sync!$AA748))</f>
        <v/>
      </c>
      <c r="L752">
        <f>IF($G752="",0,IF(Sync!$AB748="",0,Sync!$AB748))</f>
        <v/>
      </c>
      <c r="M752">
        <f>IF($G752="","",IF($H752="مرجوعی فروش",-1,1)*($K752-$L752*IFERROR(VLOOKUP("P01",ParamTbl,3,0),1.5)))</f>
        <v/>
      </c>
      <c r="N752">
        <f>IF($G752="",0,IF($H752="مرجوعی فروش",-1,1)*IF(Sync!$AC748="",0,Sync!$AC748))</f>
        <v/>
      </c>
      <c r="O752">
        <f>IF(OR($G752="",Sync!$V748=""),"",Sync!$V748)</f>
        <v/>
      </c>
      <c r="P752">
        <f>IF(OR($G752="",Sync!$AD748=""),"",Sync!$AD748)</f>
        <v/>
      </c>
      <c r="Q752">
        <f>IF($G752="","",IF(Sync!$U748="","0000",IF(AND(ISNUMBER(Sync!$U748),Sync!$U748&gt;=0,Sync!$U748&lt;1),RIGHT("00"&amp;HOUR(Sync!$U748),2)&amp;RIGHT("00"&amp;MINUTE(Sync!$U748),2),IFERROR(RIGHT("00"&amp;VALUE(LEFT(Sync!$U748,FIND(":",Sync!$U748)-1)),2)&amp;RIGHT("00"&amp;VALUE(MID(Sync!$U748,FIND(":",Sync!$U748)+1,2)),2),"0000"))))</f>
        <v/>
      </c>
    </row>
    <row r="753">
      <c r="A753">
        <f>IF(Sync!$T749="","",Sync!$T749)</f>
        <v/>
      </c>
      <c r="B753">
        <f>IF($A753="","",IF(ISNUMBER($A753),IF(AND($A753&gt;=10000101,$A753&lt;=99991231),INT($A753/10000),""),IFERROR(VALUE(TRIM(LEFT($A753,FIND("/",$A753)-1))),"")))</f>
        <v/>
      </c>
      <c r="C753">
        <f>IF(OR($A753="",$B753=""),"",IF(ISNUMBER($A753),INT(MOD($A753,10000)/100),IFERROR(VALUE(TRIM(LEFT(MID($A753,FIND("/",$A753)+1,20),FIND("/",MID($A753,FIND("/",$A753)+1,20))-1))),"")))</f>
        <v/>
      </c>
      <c r="D753">
        <f>IF(OR($A753="",$B753=""),"",IF(ISNUMBER($A753),MOD($A753,100),IFERROR(VALUE(TRIM(MID(MID($A753,FIND("/",$A753)+1,20),FIND("/",MID($A753,FIND("/",$A753)+1,20))+1,20))),"")))</f>
        <v/>
      </c>
      <c r="E753">
        <f>IF($A753="","",IF(OR($B753="",$C753="",$D753="",$B753&lt;1300,$B753&gt;1500,$C753&lt;1,$C753&gt;12,$D753&lt;1,$D753&gt;31),"نامعتبر",RIGHT("0000"&amp;$B753,4)&amp;"/"&amp;RIGHT("00"&amp;$C753,2)&amp;"/"&amp;RIGHT("00"&amp;$D753,2)))</f>
        <v/>
      </c>
      <c r="F753">
        <f>IF(OR($E753="",$E753="نامعتبر"),"",LEFT($E753,4)&amp;"/"&amp;MID($E753,6,2))</f>
        <v/>
      </c>
      <c r="G753">
        <f>IF(OR($E753="",$E753="نامعتبر",Sync!$X749=""),"",IF(AND(LEFT(UPPER(TRIM(Sync!$X749)),2)="SL",IFERROR(VLOOKUP(Sync!$W749,OpTbl,3,0),"")="فروش"),UPPER(TRIM(Sync!$X749)),""))</f>
        <v/>
      </c>
      <c r="H753">
        <f>IF($G753="","",IF(Sync!$W749="","",Sync!$W749))</f>
        <v/>
      </c>
      <c r="I753">
        <f>IF(OR($G753="",Sync!$Y749=""),"",Sync!$Y749)</f>
        <v/>
      </c>
      <c r="J753">
        <f>IF(OR($G753="",Sync!$Z749=""),"",Sync!$Z749)</f>
        <v/>
      </c>
      <c r="K753">
        <f>IF($G753="",0,IF(Sync!$AA749="",0,Sync!$AA749))</f>
        <v/>
      </c>
      <c r="L753">
        <f>IF($G753="",0,IF(Sync!$AB749="",0,Sync!$AB749))</f>
        <v/>
      </c>
      <c r="M753">
        <f>IF($G753="","",IF($H753="مرجوعی فروش",-1,1)*($K753-$L753*IFERROR(VLOOKUP("P01",ParamTbl,3,0),1.5)))</f>
        <v/>
      </c>
      <c r="N753">
        <f>IF($G753="",0,IF($H753="مرجوعی فروش",-1,1)*IF(Sync!$AC749="",0,Sync!$AC749))</f>
        <v/>
      </c>
      <c r="O753">
        <f>IF(OR($G753="",Sync!$V749=""),"",Sync!$V749)</f>
        <v/>
      </c>
      <c r="P753">
        <f>IF(OR($G753="",Sync!$AD749=""),"",Sync!$AD749)</f>
        <v/>
      </c>
      <c r="Q753">
        <f>IF($G753="","",IF(Sync!$U749="","0000",IF(AND(ISNUMBER(Sync!$U749),Sync!$U749&gt;=0,Sync!$U749&lt;1),RIGHT("00"&amp;HOUR(Sync!$U749),2)&amp;RIGHT("00"&amp;MINUTE(Sync!$U749),2),IFERROR(RIGHT("00"&amp;VALUE(LEFT(Sync!$U749,FIND(":",Sync!$U749)-1)),2)&amp;RIGHT("00"&amp;VALUE(MID(Sync!$U749,FIND(":",Sync!$U749)+1,2)),2),"0000"))))</f>
        <v/>
      </c>
    </row>
    <row r="754">
      <c r="A754">
        <f>IF(Sync!$T750="","",Sync!$T750)</f>
        <v/>
      </c>
      <c r="B754">
        <f>IF($A754="","",IF(ISNUMBER($A754),IF(AND($A754&gt;=10000101,$A754&lt;=99991231),INT($A754/10000),""),IFERROR(VALUE(TRIM(LEFT($A754,FIND("/",$A754)-1))),"")))</f>
        <v/>
      </c>
      <c r="C754">
        <f>IF(OR($A754="",$B754=""),"",IF(ISNUMBER($A754),INT(MOD($A754,10000)/100),IFERROR(VALUE(TRIM(LEFT(MID($A754,FIND("/",$A754)+1,20),FIND("/",MID($A754,FIND("/",$A754)+1,20))-1))),"")))</f>
        <v/>
      </c>
      <c r="D754">
        <f>IF(OR($A754="",$B754=""),"",IF(ISNUMBER($A754),MOD($A754,100),IFERROR(VALUE(TRIM(MID(MID($A754,FIND("/",$A754)+1,20),FIND("/",MID($A754,FIND("/",$A754)+1,20))+1,20))),"")))</f>
        <v/>
      </c>
      <c r="E754">
        <f>IF($A754="","",IF(OR($B754="",$C754="",$D754="",$B754&lt;1300,$B754&gt;1500,$C754&lt;1,$C754&gt;12,$D754&lt;1,$D754&gt;31),"نامعتبر",RIGHT("0000"&amp;$B754,4)&amp;"/"&amp;RIGHT("00"&amp;$C754,2)&amp;"/"&amp;RIGHT("00"&amp;$D754,2)))</f>
        <v/>
      </c>
      <c r="F754">
        <f>IF(OR($E754="",$E754="نامعتبر"),"",LEFT($E754,4)&amp;"/"&amp;MID($E754,6,2))</f>
        <v/>
      </c>
      <c r="G754">
        <f>IF(OR($E754="",$E754="نامعتبر",Sync!$X750=""),"",IF(AND(LEFT(UPPER(TRIM(Sync!$X750)),2)="SL",IFERROR(VLOOKUP(Sync!$W750,OpTbl,3,0),"")="فروش"),UPPER(TRIM(Sync!$X750)),""))</f>
        <v/>
      </c>
      <c r="H754">
        <f>IF($G754="","",IF(Sync!$W750="","",Sync!$W750))</f>
        <v/>
      </c>
      <c r="I754">
        <f>IF(OR($G754="",Sync!$Y750=""),"",Sync!$Y750)</f>
        <v/>
      </c>
      <c r="J754">
        <f>IF(OR($G754="",Sync!$Z750=""),"",Sync!$Z750)</f>
        <v/>
      </c>
      <c r="K754">
        <f>IF($G754="",0,IF(Sync!$AA750="",0,Sync!$AA750))</f>
        <v/>
      </c>
      <c r="L754">
        <f>IF($G754="",0,IF(Sync!$AB750="",0,Sync!$AB750))</f>
        <v/>
      </c>
      <c r="M754">
        <f>IF($G754="","",IF($H754="مرجوعی فروش",-1,1)*($K754-$L754*IFERROR(VLOOKUP("P01",ParamTbl,3,0),1.5)))</f>
        <v/>
      </c>
      <c r="N754">
        <f>IF($G754="",0,IF($H754="مرجوعی فروش",-1,1)*IF(Sync!$AC750="",0,Sync!$AC750))</f>
        <v/>
      </c>
      <c r="O754">
        <f>IF(OR($G754="",Sync!$V750=""),"",Sync!$V750)</f>
        <v/>
      </c>
      <c r="P754">
        <f>IF(OR($G754="",Sync!$AD750=""),"",Sync!$AD750)</f>
        <v/>
      </c>
      <c r="Q754">
        <f>IF($G754="","",IF(Sync!$U750="","0000",IF(AND(ISNUMBER(Sync!$U750),Sync!$U750&gt;=0,Sync!$U750&lt;1),RIGHT("00"&amp;HOUR(Sync!$U750),2)&amp;RIGHT("00"&amp;MINUTE(Sync!$U750),2),IFERROR(RIGHT("00"&amp;VALUE(LEFT(Sync!$U750,FIND(":",Sync!$U750)-1)),2)&amp;RIGHT("00"&amp;VALUE(MID(Sync!$U750,FIND(":",Sync!$U750)+1,2)),2),"0000"))))</f>
        <v/>
      </c>
    </row>
    <row r="755">
      <c r="A755">
        <f>IF(Sync!$T751="","",Sync!$T751)</f>
        <v/>
      </c>
      <c r="B755">
        <f>IF($A755="","",IF(ISNUMBER($A755),IF(AND($A755&gt;=10000101,$A755&lt;=99991231),INT($A755/10000),""),IFERROR(VALUE(TRIM(LEFT($A755,FIND("/",$A755)-1))),"")))</f>
        <v/>
      </c>
      <c r="C755">
        <f>IF(OR($A755="",$B755=""),"",IF(ISNUMBER($A755),INT(MOD($A755,10000)/100),IFERROR(VALUE(TRIM(LEFT(MID($A755,FIND("/",$A755)+1,20),FIND("/",MID($A755,FIND("/",$A755)+1,20))-1))),"")))</f>
        <v/>
      </c>
      <c r="D755">
        <f>IF(OR($A755="",$B755=""),"",IF(ISNUMBER($A755),MOD($A755,100),IFERROR(VALUE(TRIM(MID(MID($A755,FIND("/",$A755)+1,20),FIND("/",MID($A755,FIND("/",$A755)+1,20))+1,20))),"")))</f>
        <v/>
      </c>
      <c r="E755">
        <f>IF($A755="","",IF(OR($B755="",$C755="",$D755="",$B755&lt;1300,$B755&gt;1500,$C755&lt;1,$C755&gt;12,$D755&lt;1,$D755&gt;31),"نامعتبر",RIGHT("0000"&amp;$B755,4)&amp;"/"&amp;RIGHT("00"&amp;$C755,2)&amp;"/"&amp;RIGHT("00"&amp;$D755,2)))</f>
        <v/>
      </c>
      <c r="F755">
        <f>IF(OR($E755="",$E755="نامعتبر"),"",LEFT($E755,4)&amp;"/"&amp;MID($E755,6,2))</f>
        <v/>
      </c>
      <c r="G755">
        <f>IF(OR($E755="",$E755="نامعتبر",Sync!$X751=""),"",IF(AND(LEFT(UPPER(TRIM(Sync!$X751)),2)="SL",IFERROR(VLOOKUP(Sync!$W751,OpTbl,3,0),"")="فروش"),UPPER(TRIM(Sync!$X751)),""))</f>
        <v/>
      </c>
      <c r="H755">
        <f>IF($G755="","",IF(Sync!$W751="","",Sync!$W751))</f>
        <v/>
      </c>
      <c r="I755">
        <f>IF(OR($G755="",Sync!$Y751=""),"",Sync!$Y751)</f>
        <v/>
      </c>
      <c r="J755">
        <f>IF(OR($G755="",Sync!$Z751=""),"",Sync!$Z751)</f>
        <v/>
      </c>
      <c r="K755">
        <f>IF($G755="",0,IF(Sync!$AA751="",0,Sync!$AA751))</f>
        <v/>
      </c>
      <c r="L755">
        <f>IF($G755="",0,IF(Sync!$AB751="",0,Sync!$AB751))</f>
        <v/>
      </c>
      <c r="M755">
        <f>IF($G755="","",IF($H755="مرجوعی فروش",-1,1)*($K755-$L755*IFERROR(VLOOKUP("P01",ParamTbl,3,0),1.5)))</f>
        <v/>
      </c>
      <c r="N755">
        <f>IF($G755="",0,IF($H755="مرجوعی فروش",-1,1)*IF(Sync!$AC751="",0,Sync!$AC751))</f>
        <v/>
      </c>
      <c r="O755">
        <f>IF(OR($G755="",Sync!$V751=""),"",Sync!$V751)</f>
        <v/>
      </c>
      <c r="P755">
        <f>IF(OR($G755="",Sync!$AD751=""),"",Sync!$AD751)</f>
        <v/>
      </c>
      <c r="Q755">
        <f>IF($G755="","",IF(Sync!$U751="","0000",IF(AND(ISNUMBER(Sync!$U751),Sync!$U751&gt;=0,Sync!$U751&lt;1),RIGHT("00"&amp;HOUR(Sync!$U751),2)&amp;RIGHT("00"&amp;MINUTE(Sync!$U751),2),IFERROR(RIGHT("00"&amp;VALUE(LEFT(Sync!$U751,FIND(":",Sync!$U751)-1)),2)&amp;RIGHT("00"&amp;VALUE(MID(Sync!$U751,FIND(":",Sync!$U751)+1,2)),2),"0000"))))</f>
        <v/>
      </c>
    </row>
    <row r="756">
      <c r="A756">
        <f>IF(Sync!$T752="","",Sync!$T752)</f>
        <v/>
      </c>
      <c r="B756">
        <f>IF($A756="","",IF(ISNUMBER($A756),IF(AND($A756&gt;=10000101,$A756&lt;=99991231),INT($A756/10000),""),IFERROR(VALUE(TRIM(LEFT($A756,FIND("/",$A756)-1))),"")))</f>
        <v/>
      </c>
      <c r="C756">
        <f>IF(OR($A756="",$B756=""),"",IF(ISNUMBER($A756),INT(MOD($A756,10000)/100),IFERROR(VALUE(TRIM(LEFT(MID($A756,FIND("/",$A756)+1,20),FIND("/",MID($A756,FIND("/",$A756)+1,20))-1))),"")))</f>
        <v/>
      </c>
      <c r="D756">
        <f>IF(OR($A756="",$B756=""),"",IF(ISNUMBER($A756),MOD($A756,100),IFERROR(VALUE(TRIM(MID(MID($A756,FIND("/",$A756)+1,20),FIND("/",MID($A756,FIND("/",$A756)+1,20))+1,20))),"")))</f>
        <v/>
      </c>
      <c r="E756">
        <f>IF($A756="","",IF(OR($B756="",$C756="",$D756="",$B756&lt;1300,$B756&gt;1500,$C756&lt;1,$C756&gt;12,$D756&lt;1,$D756&gt;31),"نامعتبر",RIGHT("0000"&amp;$B756,4)&amp;"/"&amp;RIGHT("00"&amp;$C756,2)&amp;"/"&amp;RIGHT("00"&amp;$D756,2)))</f>
        <v/>
      </c>
      <c r="F756">
        <f>IF(OR($E756="",$E756="نامعتبر"),"",LEFT($E756,4)&amp;"/"&amp;MID($E756,6,2))</f>
        <v/>
      </c>
      <c r="G756">
        <f>IF(OR($E756="",$E756="نامعتبر",Sync!$X752=""),"",IF(AND(LEFT(UPPER(TRIM(Sync!$X752)),2)="SL",IFERROR(VLOOKUP(Sync!$W752,OpTbl,3,0),"")="فروش"),UPPER(TRIM(Sync!$X752)),""))</f>
        <v/>
      </c>
      <c r="H756">
        <f>IF($G756="","",IF(Sync!$W752="","",Sync!$W752))</f>
        <v/>
      </c>
      <c r="I756">
        <f>IF(OR($G756="",Sync!$Y752=""),"",Sync!$Y752)</f>
        <v/>
      </c>
      <c r="J756">
        <f>IF(OR($G756="",Sync!$Z752=""),"",Sync!$Z752)</f>
        <v/>
      </c>
      <c r="K756">
        <f>IF($G756="",0,IF(Sync!$AA752="",0,Sync!$AA752))</f>
        <v/>
      </c>
      <c r="L756">
        <f>IF($G756="",0,IF(Sync!$AB752="",0,Sync!$AB752))</f>
        <v/>
      </c>
      <c r="M756">
        <f>IF($G756="","",IF($H756="مرجوعی فروش",-1,1)*($K756-$L756*IFERROR(VLOOKUP("P01",ParamTbl,3,0),1.5)))</f>
        <v/>
      </c>
      <c r="N756">
        <f>IF($G756="",0,IF($H756="مرجوعی فروش",-1,1)*IF(Sync!$AC752="",0,Sync!$AC752))</f>
        <v/>
      </c>
      <c r="O756">
        <f>IF(OR($G756="",Sync!$V752=""),"",Sync!$V752)</f>
        <v/>
      </c>
      <c r="P756">
        <f>IF(OR($G756="",Sync!$AD752=""),"",Sync!$AD752)</f>
        <v/>
      </c>
      <c r="Q756">
        <f>IF($G756="","",IF(Sync!$U752="","0000",IF(AND(ISNUMBER(Sync!$U752),Sync!$U752&gt;=0,Sync!$U752&lt;1),RIGHT("00"&amp;HOUR(Sync!$U752),2)&amp;RIGHT("00"&amp;MINUTE(Sync!$U752),2),IFERROR(RIGHT("00"&amp;VALUE(LEFT(Sync!$U752,FIND(":",Sync!$U752)-1)),2)&amp;RIGHT("00"&amp;VALUE(MID(Sync!$U752,FIND(":",Sync!$U752)+1,2)),2),"0000"))))</f>
        <v/>
      </c>
    </row>
    <row r="757">
      <c r="A757">
        <f>IF(Sync!$T753="","",Sync!$T753)</f>
        <v/>
      </c>
      <c r="B757">
        <f>IF($A757="","",IF(ISNUMBER($A757),IF(AND($A757&gt;=10000101,$A757&lt;=99991231),INT($A757/10000),""),IFERROR(VALUE(TRIM(LEFT($A757,FIND("/",$A757)-1))),"")))</f>
        <v/>
      </c>
      <c r="C757">
        <f>IF(OR($A757="",$B757=""),"",IF(ISNUMBER($A757),INT(MOD($A757,10000)/100),IFERROR(VALUE(TRIM(LEFT(MID($A757,FIND("/",$A757)+1,20),FIND("/",MID($A757,FIND("/",$A757)+1,20))-1))),"")))</f>
        <v/>
      </c>
      <c r="D757">
        <f>IF(OR($A757="",$B757=""),"",IF(ISNUMBER($A757),MOD($A757,100),IFERROR(VALUE(TRIM(MID(MID($A757,FIND("/",$A757)+1,20),FIND("/",MID($A757,FIND("/",$A757)+1,20))+1,20))),"")))</f>
        <v/>
      </c>
      <c r="E757">
        <f>IF($A757="","",IF(OR($B757="",$C757="",$D757="",$B757&lt;1300,$B757&gt;1500,$C757&lt;1,$C757&gt;12,$D757&lt;1,$D757&gt;31),"نامعتبر",RIGHT("0000"&amp;$B757,4)&amp;"/"&amp;RIGHT("00"&amp;$C757,2)&amp;"/"&amp;RIGHT("00"&amp;$D757,2)))</f>
        <v/>
      </c>
      <c r="F757">
        <f>IF(OR($E757="",$E757="نامعتبر"),"",LEFT($E757,4)&amp;"/"&amp;MID($E757,6,2))</f>
        <v/>
      </c>
      <c r="G757">
        <f>IF(OR($E757="",$E757="نامعتبر",Sync!$X753=""),"",IF(AND(LEFT(UPPER(TRIM(Sync!$X753)),2)="SL",IFERROR(VLOOKUP(Sync!$W753,OpTbl,3,0),"")="فروش"),UPPER(TRIM(Sync!$X753)),""))</f>
        <v/>
      </c>
      <c r="H757">
        <f>IF($G757="","",IF(Sync!$W753="","",Sync!$W753))</f>
        <v/>
      </c>
      <c r="I757">
        <f>IF(OR($G757="",Sync!$Y753=""),"",Sync!$Y753)</f>
        <v/>
      </c>
      <c r="J757">
        <f>IF(OR($G757="",Sync!$Z753=""),"",Sync!$Z753)</f>
        <v/>
      </c>
      <c r="K757">
        <f>IF($G757="",0,IF(Sync!$AA753="",0,Sync!$AA753))</f>
        <v/>
      </c>
      <c r="L757">
        <f>IF($G757="",0,IF(Sync!$AB753="",0,Sync!$AB753))</f>
        <v/>
      </c>
      <c r="M757">
        <f>IF($G757="","",IF($H757="مرجوعی فروش",-1,1)*($K757-$L757*IFERROR(VLOOKUP("P01",ParamTbl,3,0),1.5)))</f>
        <v/>
      </c>
      <c r="N757">
        <f>IF($G757="",0,IF($H757="مرجوعی فروش",-1,1)*IF(Sync!$AC753="",0,Sync!$AC753))</f>
        <v/>
      </c>
      <c r="O757">
        <f>IF(OR($G757="",Sync!$V753=""),"",Sync!$V753)</f>
        <v/>
      </c>
      <c r="P757">
        <f>IF(OR($G757="",Sync!$AD753=""),"",Sync!$AD753)</f>
        <v/>
      </c>
      <c r="Q757">
        <f>IF($G757="","",IF(Sync!$U753="","0000",IF(AND(ISNUMBER(Sync!$U753),Sync!$U753&gt;=0,Sync!$U753&lt;1),RIGHT("00"&amp;HOUR(Sync!$U753),2)&amp;RIGHT("00"&amp;MINUTE(Sync!$U753),2),IFERROR(RIGHT("00"&amp;VALUE(LEFT(Sync!$U753,FIND(":",Sync!$U753)-1)),2)&amp;RIGHT("00"&amp;VALUE(MID(Sync!$U753,FIND(":",Sync!$U753)+1,2)),2),"0000"))))</f>
        <v/>
      </c>
    </row>
    <row r="758">
      <c r="A758">
        <f>IF(Sync!$T754="","",Sync!$T754)</f>
        <v/>
      </c>
      <c r="B758">
        <f>IF($A758="","",IF(ISNUMBER($A758),IF(AND($A758&gt;=10000101,$A758&lt;=99991231),INT($A758/10000),""),IFERROR(VALUE(TRIM(LEFT($A758,FIND("/",$A758)-1))),"")))</f>
        <v/>
      </c>
      <c r="C758">
        <f>IF(OR($A758="",$B758=""),"",IF(ISNUMBER($A758),INT(MOD($A758,10000)/100),IFERROR(VALUE(TRIM(LEFT(MID($A758,FIND("/",$A758)+1,20),FIND("/",MID($A758,FIND("/",$A758)+1,20))-1))),"")))</f>
        <v/>
      </c>
      <c r="D758">
        <f>IF(OR($A758="",$B758=""),"",IF(ISNUMBER($A758),MOD($A758,100),IFERROR(VALUE(TRIM(MID(MID($A758,FIND("/",$A758)+1,20),FIND("/",MID($A758,FIND("/",$A758)+1,20))+1,20))),"")))</f>
        <v/>
      </c>
      <c r="E758">
        <f>IF($A758="","",IF(OR($B758="",$C758="",$D758="",$B758&lt;1300,$B758&gt;1500,$C758&lt;1,$C758&gt;12,$D758&lt;1,$D758&gt;31),"نامعتبر",RIGHT("0000"&amp;$B758,4)&amp;"/"&amp;RIGHT("00"&amp;$C758,2)&amp;"/"&amp;RIGHT("00"&amp;$D758,2)))</f>
        <v/>
      </c>
      <c r="F758">
        <f>IF(OR($E758="",$E758="نامعتبر"),"",LEFT($E758,4)&amp;"/"&amp;MID($E758,6,2))</f>
        <v/>
      </c>
      <c r="G758">
        <f>IF(OR($E758="",$E758="نامعتبر",Sync!$X754=""),"",IF(AND(LEFT(UPPER(TRIM(Sync!$X754)),2)="SL",IFERROR(VLOOKUP(Sync!$W754,OpTbl,3,0),"")="فروش"),UPPER(TRIM(Sync!$X754)),""))</f>
        <v/>
      </c>
      <c r="H758">
        <f>IF($G758="","",IF(Sync!$W754="","",Sync!$W754))</f>
        <v/>
      </c>
      <c r="I758">
        <f>IF(OR($G758="",Sync!$Y754=""),"",Sync!$Y754)</f>
        <v/>
      </c>
      <c r="J758">
        <f>IF(OR($G758="",Sync!$Z754=""),"",Sync!$Z754)</f>
        <v/>
      </c>
      <c r="K758">
        <f>IF($G758="",0,IF(Sync!$AA754="",0,Sync!$AA754))</f>
        <v/>
      </c>
      <c r="L758">
        <f>IF($G758="",0,IF(Sync!$AB754="",0,Sync!$AB754))</f>
        <v/>
      </c>
      <c r="M758">
        <f>IF($G758="","",IF($H758="مرجوعی فروش",-1,1)*($K758-$L758*IFERROR(VLOOKUP("P01",ParamTbl,3,0),1.5)))</f>
        <v/>
      </c>
      <c r="N758">
        <f>IF($G758="",0,IF($H758="مرجوعی فروش",-1,1)*IF(Sync!$AC754="",0,Sync!$AC754))</f>
        <v/>
      </c>
      <c r="O758">
        <f>IF(OR($G758="",Sync!$V754=""),"",Sync!$V754)</f>
        <v/>
      </c>
      <c r="P758">
        <f>IF(OR($G758="",Sync!$AD754=""),"",Sync!$AD754)</f>
        <v/>
      </c>
      <c r="Q758">
        <f>IF($G758="","",IF(Sync!$U754="","0000",IF(AND(ISNUMBER(Sync!$U754),Sync!$U754&gt;=0,Sync!$U754&lt;1),RIGHT("00"&amp;HOUR(Sync!$U754),2)&amp;RIGHT("00"&amp;MINUTE(Sync!$U754),2),IFERROR(RIGHT("00"&amp;VALUE(LEFT(Sync!$U754,FIND(":",Sync!$U754)-1)),2)&amp;RIGHT("00"&amp;VALUE(MID(Sync!$U754,FIND(":",Sync!$U754)+1,2)),2),"0000"))))</f>
        <v/>
      </c>
    </row>
    <row r="759">
      <c r="A759">
        <f>IF(Sync!$T755="","",Sync!$T755)</f>
        <v/>
      </c>
      <c r="B759">
        <f>IF($A759="","",IF(ISNUMBER($A759),IF(AND($A759&gt;=10000101,$A759&lt;=99991231),INT($A759/10000),""),IFERROR(VALUE(TRIM(LEFT($A759,FIND("/",$A759)-1))),"")))</f>
        <v/>
      </c>
      <c r="C759">
        <f>IF(OR($A759="",$B759=""),"",IF(ISNUMBER($A759),INT(MOD($A759,10000)/100),IFERROR(VALUE(TRIM(LEFT(MID($A759,FIND("/",$A759)+1,20),FIND("/",MID($A759,FIND("/",$A759)+1,20))-1))),"")))</f>
        <v/>
      </c>
      <c r="D759">
        <f>IF(OR($A759="",$B759=""),"",IF(ISNUMBER($A759),MOD($A759,100),IFERROR(VALUE(TRIM(MID(MID($A759,FIND("/",$A759)+1,20),FIND("/",MID($A759,FIND("/",$A759)+1,20))+1,20))),"")))</f>
        <v/>
      </c>
      <c r="E759">
        <f>IF($A759="","",IF(OR($B759="",$C759="",$D759="",$B759&lt;1300,$B759&gt;1500,$C759&lt;1,$C759&gt;12,$D759&lt;1,$D759&gt;31),"نامعتبر",RIGHT("0000"&amp;$B759,4)&amp;"/"&amp;RIGHT("00"&amp;$C759,2)&amp;"/"&amp;RIGHT("00"&amp;$D759,2)))</f>
        <v/>
      </c>
      <c r="F759">
        <f>IF(OR($E759="",$E759="نامعتبر"),"",LEFT($E759,4)&amp;"/"&amp;MID($E759,6,2))</f>
        <v/>
      </c>
      <c r="G759">
        <f>IF(OR($E759="",$E759="نامعتبر",Sync!$X755=""),"",IF(AND(LEFT(UPPER(TRIM(Sync!$X755)),2)="SL",IFERROR(VLOOKUP(Sync!$W755,OpTbl,3,0),"")="فروش"),UPPER(TRIM(Sync!$X755)),""))</f>
        <v/>
      </c>
      <c r="H759">
        <f>IF($G759="","",IF(Sync!$W755="","",Sync!$W755))</f>
        <v/>
      </c>
      <c r="I759">
        <f>IF(OR($G759="",Sync!$Y755=""),"",Sync!$Y755)</f>
        <v/>
      </c>
      <c r="J759">
        <f>IF(OR($G759="",Sync!$Z755=""),"",Sync!$Z755)</f>
        <v/>
      </c>
      <c r="K759">
        <f>IF($G759="",0,IF(Sync!$AA755="",0,Sync!$AA755))</f>
        <v/>
      </c>
      <c r="L759">
        <f>IF($G759="",0,IF(Sync!$AB755="",0,Sync!$AB755))</f>
        <v/>
      </c>
      <c r="M759">
        <f>IF($G759="","",IF($H759="مرجوعی فروش",-1,1)*($K759-$L759*IFERROR(VLOOKUP("P01",ParamTbl,3,0),1.5)))</f>
        <v/>
      </c>
      <c r="N759">
        <f>IF($G759="",0,IF($H759="مرجوعی فروش",-1,1)*IF(Sync!$AC755="",0,Sync!$AC755))</f>
        <v/>
      </c>
      <c r="O759">
        <f>IF(OR($G759="",Sync!$V755=""),"",Sync!$V755)</f>
        <v/>
      </c>
      <c r="P759">
        <f>IF(OR($G759="",Sync!$AD755=""),"",Sync!$AD755)</f>
        <v/>
      </c>
      <c r="Q759">
        <f>IF($G759="","",IF(Sync!$U755="","0000",IF(AND(ISNUMBER(Sync!$U755),Sync!$U755&gt;=0,Sync!$U755&lt;1),RIGHT("00"&amp;HOUR(Sync!$U755),2)&amp;RIGHT("00"&amp;MINUTE(Sync!$U755),2),IFERROR(RIGHT("00"&amp;VALUE(LEFT(Sync!$U755,FIND(":",Sync!$U755)-1)),2)&amp;RIGHT("00"&amp;VALUE(MID(Sync!$U755,FIND(":",Sync!$U755)+1,2)),2),"0000"))))</f>
        <v/>
      </c>
    </row>
    <row r="760">
      <c r="A760">
        <f>IF(Sync!$T756="","",Sync!$T756)</f>
        <v/>
      </c>
      <c r="B760">
        <f>IF($A760="","",IF(ISNUMBER($A760),IF(AND($A760&gt;=10000101,$A760&lt;=99991231),INT($A760/10000),""),IFERROR(VALUE(TRIM(LEFT($A760,FIND("/",$A760)-1))),"")))</f>
        <v/>
      </c>
      <c r="C760">
        <f>IF(OR($A760="",$B760=""),"",IF(ISNUMBER($A760),INT(MOD($A760,10000)/100),IFERROR(VALUE(TRIM(LEFT(MID($A760,FIND("/",$A760)+1,20),FIND("/",MID($A760,FIND("/",$A760)+1,20))-1))),"")))</f>
        <v/>
      </c>
      <c r="D760">
        <f>IF(OR($A760="",$B760=""),"",IF(ISNUMBER($A760),MOD($A760,100),IFERROR(VALUE(TRIM(MID(MID($A760,FIND("/",$A760)+1,20),FIND("/",MID($A760,FIND("/",$A760)+1,20))+1,20))),"")))</f>
        <v/>
      </c>
      <c r="E760">
        <f>IF($A760="","",IF(OR($B760="",$C760="",$D760="",$B760&lt;1300,$B760&gt;1500,$C760&lt;1,$C760&gt;12,$D760&lt;1,$D760&gt;31),"نامعتبر",RIGHT("0000"&amp;$B760,4)&amp;"/"&amp;RIGHT("00"&amp;$C760,2)&amp;"/"&amp;RIGHT("00"&amp;$D760,2)))</f>
        <v/>
      </c>
      <c r="F760">
        <f>IF(OR($E760="",$E760="نامعتبر"),"",LEFT($E760,4)&amp;"/"&amp;MID($E760,6,2))</f>
        <v/>
      </c>
      <c r="G760">
        <f>IF(OR($E760="",$E760="نامعتبر",Sync!$X756=""),"",IF(AND(LEFT(UPPER(TRIM(Sync!$X756)),2)="SL",IFERROR(VLOOKUP(Sync!$W756,OpTbl,3,0),"")="فروش"),UPPER(TRIM(Sync!$X756)),""))</f>
        <v/>
      </c>
      <c r="H760">
        <f>IF($G760="","",IF(Sync!$W756="","",Sync!$W756))</f>
        <v/>
      </c>
      <c r="I760">
        <f>IF(OR($G760="",Sync!$Y756=""),"",Sync!$Y756)</f>
        <v/>
      </c>
      <c r="J760">
        <f>IF(OR($G760="",Sync!$Z756=""),"",Sync!$Z756)</f>
        <v/>
      </c>
      <c r="K760">
        <f>IF($G760="",0,IF(Sync!$AA756="",0,Sync!$AA756))</f>
        <v/>
      </c>
      <c r="L760">
        <f>IF($G760="",0,IF(Sync!$AB756="",0,Sync!$AB756))</f>
        <v/>
      </c>
      <c r="M760">
        <f>IF($G760="","",IF($H760="مرجوعی فروش",-1,1)*($K760-$L760*IFERROR(VLOOKUP("P01",ParamTbl,3,0),1.5)))</f>
        <v/>
      </c>
      <c r="N760">
        <f>IF($G760="",0,IF($H760="مرجوعی فروش",-1,1)*IF(Sync!$AC756="",0,Sync!$AC756))</f>
        <v/>
      </c>
      <c r="O760">
        <f>IF(OR($G760="",Sync!$V756=""),"",Sync!$V756)</f>
        <v/>
      </c>
      <c r="P760">
        <f>IF(OR($G760="",Sync!$AD756=""),"",Sync!$AD756)</f>
        <v/>
      </c>
      <c r="Q760">
        <f>IF($G760="","",IF(Sync!$U756="","0000",IF(AND(ISNUMBER(Sync!$U756),Sync!$U756&gt;=0,Sync!$U756&lt;1),RIGHT("00"&amp;HOUR(Sync!$U756),2)&amp;RIGHT("00"&amp;MINUTE(Sync!$U756),2),IFERROR(RIGHT("00"&amp;VALUE(LEFT(Sync!$U756,FIND(":",Sync!$U756)-1)),2)&amp;RIGHT("00"&amp;VALUE(MID(Sync!$U756,FIND(":",Sync!$U756)+1,2)),2),"0000"))))</f>
        <v/>
      </c>
    </row>
    <row r="761">
      <c r="A761">
        <f>IF(Sync!$T757="","",Sync!$T757)</f>
        <v/>
      </c>
      <c r="B761">
        <f>IF($A761="","",IF(ISNUMBER($A761),IF(AND($A761&gt;=10000101,$A761&lt;=99991231),INT($A761/10000),""),IFERROR(VALUE(TRIM(LEFT($A761,FIND("/",$A761)-1))),"")))</f>
        <v/>
      </c>
      <c r="C761">
        <f>IF(OR($A761="",$B761=""),"",IF(ISNUMBER($A761),INT(MOD($A761,10000)/100),IFERROR(VALUE(TRIM(LEFT(MID($A761,FIND("/",$A761)+1,20),FIND("/",MID($A761,FIND("/",$A761)+1,20))-1))),"")))</f>
        <v/>
      </c>
      <c r="D761">
        <f>IF(OR($A761="",$B761=""),"",IF(ISNUMBER($A761),MOD($A761,100),IFERROR(VALUE(TRIM(MID(MID($A761,FIND("/",$A761)+1,20),FIND("/",MID($A761,FIND("/",$A761)+1,20))+1,20))),"")))</f>
        <v/>
      </c>
      <c r="E761">
        <f>IF($A761="","",IF(OR($B761="",$C761="",$D761="",$B761&lt;1300,$B761&gt;1500,$C761&lt;1,$C761&gt;12,$D761&lt;1,$D761&gt;31),"نامعتبر",RIGHT("0000"&amp;$B761,4)&amp;"/"&amp;RIGHT("00"&amp;$C761,2)&amp;"/"&amp;RIGHT("00"&amp;$D761,2)))</f>
        <v/>
      </c>
      <c r="F761">
        <f>IF(OR($E761="",$E761="نامعتبر"),"",LEFT($E761,4)&amp;"/"&amp;MID($E761,6,2))</f>
        <v/>
      </c>
      <c r="G761">
        <f>IF(OR($E761="",$E761="نامعتبر",Sync!$X757=""),"",IF(AND(LEFT(UPPER(TRIM(Sync!$X757)),2)="SL",IFERROR(VLOOKUP(Sync!$W757,OpTbl,3,0),"")="فروش"),UPPER(TRIM(Sync!$X757)),""))</f>
        <v/>
      </c>
      <c r="H761">
        <f>IF($G761="","",IF(Sync!$W757="","",Sync!$W757))</f>
        <v/>
      </c>
      <c r="I761">
        <f>IF(OR($G761="",Sync!$Y757=""),"",Sync!$Y757)</f>
        <v/>
      </c>
      <c r="J761">
        <f>IF(OR($G761="",Sync!$Z757=""),"",Sync!$Z757)</f>
        <v/>
      </c>
      <c r="K761">
        <f>IF($G761="",0,IF(Sync!$AA757="",0,Sync!$AA757))</f>
        <v/>
      </c>
      <c r="L761">
        <f>IF($G761="",0,IF(Sync!$AB757="",0,Sync!$AB757))</f>
        <v/>
      </c>
      <c r="M761">
        <f>IF($G761="","",IF($H761="مرجوعی فروش",-1,1)*($K761-$L761*IFERROR(VLOOKUP("P01",ParamTbl,3,0),1.5)))</f>
        <v/>
      </c>
      <c r="N761">
        <f>IF($G761="",0,IF($H761="مرجوعی فروش",-1,1)*IF(Sync!$AC757="",0,Sync!$AC757))</f>
        <v/>
      </c>
      <c r="O761">
        <f>IF(OR($G761="",Sync!$V757=""),"",Sync!$V757)</f>
        <v/>
      </c>
      <c r="P761">
        <f>IF(OR($G761="",Sync!$AD757=""),"",Sync!$AD757)</f>
        <v/>
      </c>
      <c r="Q761">
        <f>IF($G761="","",IF(Sync!$U757="","0000",IF(AND(ISNUMBER(Sync!$U757),Sync!$U757&gt;=0,Sync!$U757&lt;1),RIGHT("00"&amp;HOUR(Sync!$U757),2)&amp;RIGHT("00"&amp;MINUTE(Sync!$U757),2),IFERROR(RIGHT("00"&amp;VALUE(LEFT(Sync!$U757,FIND(":",Sync!$U757)-1)),2)&amp;RIGHT("00"&amp;VALUE(MID(Sync!$U757,FIND(":",Sync!$U757)+1,2)),2),"0000"))))</f>
        <v/>
      </c>
    </row>
    <row r="762">
      <c r="A762">
        <f>IF(Sync!$T758="","",Sync!$T758)</f>
        <v/>
      </c>
      <c r="B762">
        <f>IF($A762="","",IF(ISNUMBER($A762),IF(AND($A762&gt;=10000101,$A762&lt;=99991231),INT($A762/10000),""),IFERROR(VALUE(TRIM(LEFT($A762,FIND("/",$A762)-1))),"")))</f>
        <v/>
      </c>
      <c r="C762">
        <f>IF(OR($A762="",$B762=""),"",IF(ISNUMBER($A762),INT(MOD($A762,10000)/100),IFERROR(VALUE(TRIM(LEFT(MID($A762,FIND("/",$A762)+1,20),FIND("/",MID($A762,FIND("/",$A762)+1,20))-1))),"")))</f>
        <v/>
      </c>
      <c r="D762">
        <f>IF(OR($A762="",$B762=""),"",IF(ISNUMBER($A762),MOD($A762,100),IFERROR(VALUE(TRIM(MID(MID($A762,FIND("/",$A762)+1,20),FIND("/",MID($A762,FIND("/",$A762)+1,20))+1,20))),"")))</f>
        <v/>
      </c>
      <c r="E762">
        <f>IF($A762="","",IF(OR($B762="",$C762="",$D762="",$B762&lt;1300,$B762&gt;1500,$C762&lt;1,$C762&gt;12,$D762&lt;1,$D762&gt;31),"نامعتبر",RIGHT("0000"&amp;$B762,4)&amp;"/"&amp;RIGHT("00"&amp;$C762,2)&amp;"/"&amp;RIGHT("00"&amp;$D762,2)))</f>
        <v/>
      </c>
      <c r="F762">
        <f>IF(OR($E762="",$E762="نامعتبر"),"",LEFT($E762,4)&amp;"/"&amp;MID($E762,6,2))</f>
        <v/>
      </c>
      <c r="G762">
        <f>IF(OR($E762="",$E762="نامعتبر",Sync!$X758=""),"",IF(AND(LEFT(UPPER(TRIM(Sync!$X758)),2)="SL",IFERROR(VLOOKUP(Sync!$W758,OpTbl,3,0),"")="فروش"),UPPER(TRIM(Sync!$X758)),""))</f>
        <v/>
      </c>
      <c r="H762">
        <f>IF($G762="","",IF(Sync!$W758="","",Sync!$W758))</f>
        <v/>
      </c>
      <c r="I762">
        <f>IF(OR($G762="",Sync!$Y758=""),"",Sync!$Y758)</f>
        <v/>
      </c>
      <c r="J762">
        <f>IF(OR($G762="",Sync!$Z758=""),"",Sync!$Z758)</f>
        <v/>
      </c>
      <c r="K762">
        <f>IF($G762="",0,IF(Sync!$AA758="",0,Sync!$AA758))</f>
        <v/>
      </c>
      <c r="L762">
        <f>IF($G762="",0,IF(Sync!$AB758="",0,Sync!$AB758))</f>
        <v/>
      </c>
      <c r="M762">
        <f>IF($G762="","",IF($H762="مرجوعی فروش",-1,1)*($K762-$L762*IFERROR(VLOOKUP("P01",ParamTbl,3,0),1.5)))</f>
        <v/>
      </c>
      <c r="N762">
        <f>IF($G762="",0,IF($H762="مرجوعی فروش",-1,1)*IF(Sync!$AC758="",0,Sync!$AC758))</f>
        <v/>
      </c>
      <c r="O762">
        <f>IF(OR($G762="",Sync!$V758=""),"",Sync!$V758)</f>
        <v/>
      </c>
      <c r="P762">
        <f>IF(OR($G762="",Sync!$AD758=""),"",Sync!$AD758)</f>
        <v/>
      </c>
      <c r="Q762">
        <f>IF($G762="","",IF(Sync!$U758="","0000",IF(AND(ISNUMBER(Sync!$U758),Sync!$U758&gt;=0,Sync!$U758&lt;1),RIGHT("00"&amp;HOUR(Sync!$U758),2)&amp;RIGHT("00"&amp;MINUTE(Sync!$U758),2),IFERROR(RIGHT("00"&amp;VALUE(LEFT(Sync!$U758,FIND(":",Sync!$U758)-1)),2)&amp;RIGHT("00"&amp;VALUE(MID(Sync!$U758,FIND(":",Sync!$U758)+1,2)),2),"0000"))))</f>
        <v/>
      </c>
    </row>
    <row r="763">
      <c r="A763">
        <f>IF(Sync!$T759="","",Sync!$T759)</f>
        <v/>
      </c>
      <c r="B763">
        <f>IF($A763="","",IF(ISNUMBER($A763),IF(AND($A763&gt;=10000101,$A763&lt;=99991231),INT($A763/10000),""),IFERROR(VALUE(TRIM(LEFT($A763,FIND("/",$A763)-1))),"")))</f>
        <v/>
      </c>
      <c r="C763">
        <f>IF(OR($A763="",$B763=""),"",IF(ISNUMBER($A763),INT(MOD($A763,10000)/100),IFERROR(VALUE(TRIM(LEFT(MID($A763,FIND("/",$A763)+1,20),FIND("/",MID($A763,FIND("/",$A763)+1,20))-1))),"")))</f>
        <v/>
      </c>
      <c r="D763">
        <f>IF(OR($A763="",$B763=""),"",IF(ISNUMBER($A763),MOD($A763,100),IFERROR(VALUE(TRIM(MID(MID($A763,FIND("/",$A763)+1,20),FIND("/",MID($A763,FIND("/",$A763)+1,20))+1,20))),"")))</f>
        <v/>
      </c>
      <c r="E763">
        <f>IF($A763="","",IF(OR($B763="",$C763="",$D763="",$B763&lt;1300,$B763&gt;1500,$C763&lt;1,$C763&gt;12,$D763&lt;1,$D763&gt;31),"نامعتبر",RIGHT("0000"&amp;$B763,4)&amp;"/"&amp;RIGHT("00"&amp;$C763,2)&amp;"/"&amp;RIGHT("00"&amp;$D763,2)))</f>
        <v/>
      </c>
      <c r="F763">
        <f>IF(OR($E763="",$E763="نامعتبر"),"",LEFT($E763,4)&amp;"/"&amp;MID($E763,6,2))</f>
        <v/>
      </c>
      <c r="G763">
        <f>IF(OR($E763="",$E763="نامعتبر",Sync!$X759=""),"",IF(AND(LEFT(UPPER(TRIM(Sync!$X759)),2)="SL",IFERROR(VLOOKUP(Sync!$W759,OpTbl,3,0),"")="فروش"),UPPER(TRIM(Sync!$X759)),""))</f>
        <v/>
      </c>
      <c r="H763">
        <f>IF($G763="","",IF(Sync!$W759="","",Sync!$W759))</f>
        <v/>
      </c>
      <c r="I763">
        <f>IF(OR($G763="",Sync!$Y759=""),"",Sync!$Y759)</f>
        <v/>
      </c>
      <c r="J763">
        <f>IF(OR($G763="",Sync!$Z759=""),"",Sync!$Z759)</f>
        <v/>
      </c>
      <c r="K763">
        <f>IF($G763="",0,IF(Sync!$AA759="",0,Sync!$AA759))</f>
        <v/>
      </c>
      <c r="L763">
        <f>IF($G763="",0,IF(Sync!$AB759="",0,Sync!$AB759))</f>
        <v/>
      </c>
      <c r="M763">
        <f>IF($G763="","",IF($H763="مرجوعی فروش",-1,1)*($K763-$L763*IFERROR(VLOOKUP("P01",ParamTbl,3,0),1.5)))</f>
        <v/>
      </c>
      <c r="N763">
        <f>IF($G763="",0,IF($H763="مرجوعی فروش",-1,1)*IF(Sync!$AC759="",0,Sync!$AC759))</f>
        <v/>
      </c>
      <c r="O763">
        <f>IF(OR($G763="",Sync!$V759=""),"",Sync!$V759)</f>
        <v/>
      </c>
      <c r="P763">
        <f>IF(OR($G763="",Sync!$AD759=""),"",Sync!$AD759)</f>
        <v/>
      </c>
      <c r="Q763">
        <f>IF($G763="","",IF(Sync!$U759="","0000",IF(AND(ISNUMBER(Sync!$U759),Sync!$U759&gt;=0,Sync!$U759&lt;1),RIGHT("00"&amp;HOUR(Sync!$U759),2)&amp;RIGHT("00"&amp;MINUTE(Sync!$U759),2),IFERROR(RIGHT("00"&amp;VALUE(LEFT(Sync!$U759,FIND(":",Sync!$U759)-1)),2)&amp;RIGHT("00"&amp;VALUE(MID(Sync!$U759,FIND(":",Sync!$U759)+1,2)),2),"0000"))))</f>
        <v/>
      </c>
    </row>
    <row r="764">
      <c r="A764">
        <f>IF(Sync!$T760="","",Sync!$T760)</f>
        <v/>
      </c>
      <c r="B764">
        <f>IF($A764="","",IF(ISNUMBER($A764),IF(AND($A764&gt;=10000101,$A764&lt;=99991231),INT($A764/10000),""),IFERROR(VALUE(TRIM(LEFT($A764,FIND("/",$A764)-1))),"")))</f>
        <v/>
      </c>
      <c r="C764">
        <f>IF(OR($A764="",$B764=""),"",IF(ISNUMBER($A764),INT(MOD($A764,10000)/100),IFERROR(VALUE(TRIM(LEFT(MID($A764,FIND("/",$A764)+1,20),FIND("/",MID($A764,FIND("/",$A764)+1,20))-1))),"")))</f>
        <v/>
      </c>
      <c r="D764">
        <f>IF(OR($A764="",$B764=""),"",IF(ISNUMBER($A764),MOD($A764,100),IFERROR(VALUE(TRIM(MID(MID($A764,FIND("/",$A764)+1,20),FIND("/",MID($A764,FIND("/",$A764)+1,20))+1,20))),"")))</f>
        <v/>
      </c>
      <c r="E764">
        <f>IF($A764="","",IF(OR($B764="",$C764="",$D764="",$B764&lt;1300,$B764&gt;1500,$C764&lt;1,$C764&gt;12,$D764&lt;1,$D764&gt;31),"نامعتبر",RIGHT("0000"&amp;$B764,4)&amp;"/"&amp;RIGHT("00"&amp;$C764,2)&amp;"/"&amp;RIGHT("00"&amp;$D764,2)))</f>
        <v/>
      </c>
      <c r="F764">
        <f>IF(OR($E764="",$E764="نامعتبر"),"",LEFT($E764,4)&amp;"/"&amp;MID($E764,6,2))</f>
        <v/>
      </c>
      <c r="G764">
        <f>IF(OR($E764="",$E764="نامعتبر",Sync!$X760=""),"",IF(AND(LEFT(UPPER(TRIM(Sync!$X760)),2)="SL",IFERROR(VLOOKUP(Sync!$W760,OpTbl,3,0),"")="فروش"),UPPER(TRIM(Sync!$X760)),""))</f>
        <v/>
      </c>
      <c r="H764">
        <f>IF($G764="","",IF(Sync!$W760="","",Sync!$W760))</f>
        <v/>
      </c>
      <c r="I764">
        <f>IF(OR($G764="",Sync!$Y760=""),"",Sync!$Y760)</f>
        <v/>
      </c>
      <c r="J764">
        <f>IF(OR($G764="",Sync!$Z760=""),"",Sync!$Z760)</f>
        <v/>
      </c>
      <c r="K764">
        <f>IF($G764="",0,IF(Sync!$AA760="",0,Sync!$AA760))</f>
        <v/>
      </c>
      <c r="L764">
        <f>IF($G764="",0,IF(Sync!$AB760="",0,Sync!$AB760))</f>
        <v/>
      </c>
      <c r="M764">
        <f>IF($G764="","",IF($H764="مرجوعی فروش",-1,1)*($K764-$L764*IFERROR(VLOOKUP("P01",ParamTbl,3,0),1.5)))</f>
        <v/>
      </c>
      <c r="N764">
        <f>IF($G764="",0,IF($H764="مرجوعی فروش",-1,1)*IF(Sync!$AC760="",0,Sync!$AC760))</f>
        <v/>
      </c>
      <c r="O764">
        <f>IF(OR($G764="",Sync!$V760=""),"",Sync!$V760)</f>
        <v/>
      </c>
      <c r="P764">
        <f>IF(OR($G764="",Sync!$AD760=""),"",Sync!$AD760)</f>
        <v/>
      </c>
      <c r="Q764">
        <f>IF($G764="","",IF(Sync!$U760="","0000",IF(AND(ISNUMBER(Sync!$U760),Sync!$U760&gt;=0,Sync!$U760&lt;1),RIGHT("00"&amp;HOUR(Sync!$U760),2)&amp;RIGHT("00"&amp;MINUTE(Sync!$U760),2),IFERROR(RIGHT("00"&amp;VALUE(LEFT(Sync!$U760,FIND(":",Sync!$U760)-1)),2)&amp;RIGHT("00"&amp;VALUE(MID(Sync!$U760,FIND(":",Sync!$U760)+1,2)),2),"0000"))))</f>
        <v/>
      </c>
    </row>
    <row r="765">
      <c r="A765">
        <f>IF(Sync!$T761="","",Sync!$T761)</f>
        <v/>
      </c>
      <c r="B765">
        <f>IF($A765="","",IF(ISNUMBER($A765),IF(AND($A765&gt;=10000101,$A765&lt;=99991231),INT($A765/10000),""),IFERROR(VALUE(TRIM(LEFT($A765,FIND("/",$A765)-1))),"")))</f>
        <v/>
      </c>
      <c r="C765">
        <f>IF(OR($A765="",$B765=""),"",IF(ISNUMBER($A765),INT(MOD($A765,10000)/100),IFERROR(VALUE(TRIM(LEFT(MID($A765,FIND("/",$A765)+1,20),FIND("/",MID($A765,FIND("/",$A765)+1,20))-1))),"")))</f>
        <v/>
      </c>
      <c r="D765">
        <f>IF(OR($A765="",$B765=""),"",IF(ISNUMBER($A765),MOD($A765,100),IFERROR(VALUE(TRIM(MID(MID($A765,FIND("/",$A765)+1,20),FIND("/",MID($A765,FIND("/",$A765)+1,20))+1,20))),"")))</f>
        <v/>
      </c>
      <c r="E765">
        <f>IF($A765="","",IF(OR($B765="",$C765="",$D765="",$B765&lt;1300,$B765&gt;1500,$C765&lt;1,$C765&gt;12,$D765&lt;1,$D765&gt;31),"نامعتبر",RIGHT("0000"&amp;$B765,4)&amp;"/"&amp;RIGHT("00"&amp;$C765,2)&amp;"/"&amp;RIGHT("00"&amp;$D765,2)))</f>
        <v/>
      </c>
      <c r="F765">
        <f>IF(OR($E765="",$E765="نامعتبر"),"",LEFT($E765,4)&amp;"/"&amp;MID($E765,6,2))</f>
        <v/>
      </c>
      <c r="G765">
        <f>IF(OR($E765="",$E765="نامعتبر",Sync!$X761=""),"",IF(AND(LEFT(UPPER(TRIM(Sync!$X761)),2)="SL",IFERROR(VLOOKUP(Sync!$W761,OpTbl,3,0),"")="فروش"),UPPER(TRIM(Sync!$X761)),""))</f>
        <v/>
      </c>
      <c r="H765">
        <f>IF($G765="","",IF(Sync!$W761="","",Sync!$W761))</f>
        <v/>
      </c>
      <c r="I765">
        <f>IF(OR($G765="",Sync!$Y761=""),"",Sync!$Y761)</f>
        <v/>
      </c>
      <c r="J765">
        <f>IF(OR($G765="",Sync!$Z761=""),"",Sync!$Z761)</f>
        <v/>
      </c>
      <c r="K765">
        <f>IF($G765="",0,IF(Sync!$AA761="",0,Sync!$AA761))</f>
        <v/>
      </c>
      <c r="L765">
        <f>IF($G765="",0,IF(Sync!$AB761="",0,Sync!$AB761))</f>
        <v/>
      </c>
      <c r="M765">
        <f>IF($G765="","",IF($H765="مرجوعی فروش",-1,1)*($K765-$L765*IFERROR(VLOOKUP("P01",ParamTbl,3,0),1.5)))</f>
        <v/>
      </c>
      <c r="N765">
        <f>IF($G765="",0,IF($H765="مرجوعی فروش",-1,1)*IF(Sync!$AC761="",0,Sync!$AC761))</f>
        <v/>
      </c>
      <c r="O765">
        <f>IF(OR($G765="",Sync!$V761=""),"",Sync!$V761)</f>
        <v/>
      </c>
      <c r="P765">
        <f>IF(OR($G765="",Sync!$AD761=""),"",Sync!$AD761)</f>
        <v/>
      </c>
      <c r="Q765">
        <f>IF($G765="","",IF(Sync!$U761="","0000",IF(AND(ISNUMBER(Sync!$U761),Sync!$U761&gt;=0,Sync!$U761&lt;1),RIGHT("00"&amp;HOUR(Sync!$U761),2)&amp;RIGHT("00"&amp;MINUTE(Sync!$U761),2),IFERROR(RIGHT("00"&amp;VALUE(LEFT(Sync!$U761,FIND(":",Sync!$U761)-1)),2)&amp;RIGHT("00"&amp;VALUE(MID(Sync!$U761,FIND(":",Sync!$U761)+1,2)),2),"0000"))))</f>
        <v/>
      </c>
    </row>
    <row r="766">
      <c r="A766">
        <f>IF(Sync!$T762="","",Sync!$T762)</f>
        <v/>
      </c>
      <c r="B766">
        <f>IF($A766="","",IF(ISNUMBER($A766),IF(AND($A766&gt;=10000101,$A766&lt;=99991231),INT($A766/10000),""),IFERROR(VALUE(TRIM(LEFT($A766,FIND("/",$A766)-1))),"")))</f>
        <v/>
      </c>
      <c r="C766">
        <f>IF(OR($A766="",$B766=""),"",IF(ISNUMBER($A766),INT(MOD($A766,10000)/100),IFERROR(VALUE(TRIM(LEFT(MID($A766,FIND("/",$A766)+1,20),FIND("/",MID($A766,FIND("/",$A766)+1,20))-1))),"")))</f>
        <v/>
      </c>
      <c r="D766">
        <f>IF(OR($A766="",$B766=""),"",IF(ISNUMBER($A766),MOD($A766,100),IFERROR(VALUE(TRIM(MID(MID($A766,FIND("/",$A766)+1,20),FIND("/",MID($A766,FIND("/",$A766)+1,20))+1,20))),"")))</f>
        <v/>
      </c>
      <c r="E766">
        <f>IF($A766="","",IF(OR($B766="",$C766="",$D766="",$B766&lt;1300,$B766&gt;1500,$C766&lt;1,$C766&gt;12,$D766&lt;1,$D766&gt;31),"نامعتبر",RIGHT("0000"&amp;$B766,4)&amp;"/"&amp;RIGHT("00"&amp;$C766,2)&amp;"/"&amp;RIGHT("00"&amp;$D766,2)))</f>
        <v/>
      </c>
      <c r="F766">
        <f>IF(OR($E766="",$E766="نامعتبر"),"",LEFT($E766,4)&amp;"/"&amp;MID($E766,6,2))</f>
        <v/>
      </c>
      <c r="G766">
        <f>IF(OR($E766="",$E766="نامعتبر",Sync!$X762=""),"",IF(AND(LEFT(UPPER(TRIM(Sync!$X762)),2)="SL",IFERROR(VLOOKUP(Sync!$W762,OpTbl,3,0),"")="فروش"),UPPER(TRIM(Sync!$X762)),""))</f>
        <v/>
      </c>
      <c r="H766">
        <f>IF($G766="","",IF(Sync!$W762="","",Sync!$W762))</f>
        <v/>
      </c>
      <c r="I766">
        <f>IF(OR($G766="",Sync!$Y762=""),"",Sync!$Y762)</f>
        <v/>
      </c>
      <c r="J766">
        <f>IF(OR($G766="",Sync!$Z762=""),"",Sync!$Z762)</f>
        <v/>
      </c>
      <c r="K766">
        <f>IF($G766="",0,IF(Sync!$AA762="",0,Sync!$AA762))</f>
        <v/>
      </c>
      <c r="L766">
        <f>IF($G766="",0,IF(Sync!$AB762="",0,Sync!$AB762))</f>
        <v/>
      </c>
      <c r="M766">
        <f>IF($G766="","",IF($H766="مرجوعی فروش",-1,1)*($K766-$L766*IFERROR(VLOOKUP("P01",ParamTbl,3,0),1.5)))</f>
        <v/>
      </c>
      <c r="N766">
        <f>IF($G766="",0,IF($H766="مرجوعی فروش",-1,1)*IF(Sync!$AC762="",0,Sync!$AC762))</f>
        <v/>
      </c>
      <c r="O766">
        <f>IF(OR($G766="",Sync!$V762=""),"",Sync!$V762)</f>
        <v/>
      </c>
      <c r="P766">
        <f>IF(OR($G766="",Sync!$AD762=""),"",Sync!$AD762)</f>
        <v/>
      </c>
      <c r="Q766">
        <f>IF($G766="","",IF(Sync!$U762="","0000",IF(AND(ISNUMBER(Sync!$U762),Sync!$U762&gt;=0,Sync!$U762&lt;1),RIGHT("00"&amp;HOUR(Sync!$U762),2)&amp;RIGHT("00"&amp;MINUTE(Sync!$U762),2),IFERROR(RIGHT("00"&amp;VALUE(LEFT(Sync!$U762,FIND(":",Sync!$U762)-1)),2)&amp;RIGHT("00"&amp;VALUE(MID(Sync!$U762,FIND(":",Sync!$U762)+1,2)),2),"0000"))))</f>
        <v/>
      </c>
    </row>
    <row r="767">
      <c r="A767">
        <f>IF(Sync!$T763="","",Sync!$T763)</f>
        <v/>
      </c>
      <c r="B767">
        <f>IF($A767="","",IF(ISNUMBER($A767),IF(AND($A767&gt;=10000101,$A767&lt;=99991231),INT($A767/10000),""),IFERROR(VALUE(TRIM(LEFT($A767,FIND("/",$A767)-1))),"")))</f>
        <v/>
      </c>
      <c r="C767">
        <f>IF(OR($A767="",$B767=""),"",IF(ISNUMBER($A767),INT(MOD($A767,10000)/100),IFERROR(VALUE(TRIM(LEFT(MID($A767,FIND("/",$A767)+1,20),FIND("/",MID($A767,FIND("/",$A767)+1,20))-1))),"")))</f>
        <v/>
      </c>
      <c r="D767">
        <f>IF(OR($A767="",$B767=""),"",IF(ISNUMBER($A767),MOD($A767,100),IFERROR(VALUE(TRIM(MID(MID($A767,FIND("/",$A767)+1,20),FIND("/",MID($A767,FIND("/",$A767)+1,20))+1,20))),"")))</f>
        <v/>
      </c>
      <c r="E767">
        <f>IF($A767="","",IF(OR($B767="",$C767="",$D767="",$B767&lt;1300,$B767&gt;1500,$C767&lt;1,$C767&gt;12,$D767&lt;1,$D767&gt;31),"نامعتبر",RIGHT("0000"&amp;$B767,4)&amp;"/"&amp;RIGHT("00"&amp;$C767,2)&amp;"/"&amp;RIGHT("00"&amp;$D767,2)))</f>
        <v/>
      </c>
      <c r="F767">
        <f>IF(OR($E767="",$E767="نامعتبر"),"",LEFT($E767,4)&amp;"/"&amp;MID($E767,6,2))</f>
        <v/>
      </c>
      <c r="G767">
        <f>IF(OR($E767="",$E767="نامعتبر",Sync!$X763=""),"",IF(AND(LEFT(UPPER(TRIM(Sync!$X763)),2)="SL",IFERROR(VLOOKUP(Sync!$W763,OpTbl,3,0),"")="فروش"),UPPER(TRIM(Sync!$X763)),""))</f>
        <v/>
      </c>
      <c r="H767">
        <f>IF($G767="","",IF(Sync!$W763="","",Sync!$W763))</f>
        <v/>
      </c>
      <c r="I767">
        <f>IF(OR($G767="",Sync!$Y763=""),"",Sync!$Y763)</f>
        <v/>
      </c>
      <c r="J767">
        <f>IF(OR($G767="",Sync!$Z763=""),"",Sync!$Z763)</f>
        <v/>
      </c>
      <c r="K767">
        <f>IF($G767="",0,IF(Sync!$AA763="",0,Sync!$AA763))</f>
        <v/>
      </c>
      <c r="L767">
        <f>IF($G767="",0,IF(Sync!$AB763="",0,Sync!$AB763))</f>
        <v/>
      </c>
      <c r="M767">
        <f>IF($G767="","",IF($H767="مرجوعی فروش",-1,1)*($K767-$L767*IFERROR(VLOOKUP("P01",ParamTbl,3,0),1.5)))</f>
        <v/>
      </c>
      <c r="N767">
        <f>IF($G767="",0,IF($H767="مرجوعی فروش",-1,1)*IF(Sync!$AC763="",0,Sync!$AC763))</f>
        <v/>
      </c>
      <c r="O767">
        <f>IF(OR($G767="",Sync!$V763=""),"",Sync!$V763)</f>
        <v/>
      </c>
      <c r="P767">
        <f>IF(OR($G767="",Sync!$AD763=""),"",Sync!$AD763)</f>
        <v/>
      </c>
      <c r="Q767">
        <f>IF($G767="","",IF(Sync!$U763="","0000",IF(AND(ISNUMBER(Sync!$U763),Sync!$U763&gt;=0,Sync!$U763&lt;1),RIGHT("00"&amp;HOUR(Sync!$U763),2)&amp;RIGHT("00"&amp;MINUTE(Sync!$U763),2),IFERROR(RIGHT("00"&amp;VALUE(LEFT(Sync!$U763,FIND(":",Sync!$U763)-1)),2)&amp;RIGHT("00"&amp;VALUE(MID(Sync!$U763,FIND(":",Sync!$U763)+1,2)),2),"0000"))))</f>
        <v/>
      </c>
    </row>
    <row r="768">
      <c r="A768">
        <f>IF(Sync!$T764="","",Sync!$T764)</f>
        <v/>
      </c>
      <c r="B768">
        <f>IF($A768="","",IF(ISNUMBER($A768),IF(AND($A768&gt;=10000101,$A768&lt;=99991231),INT($A768/10000),""),IFERROR(VALUE(TRIM(LEFT($A768,FIND("/",$A768)-1))),"")))</f>
        <v/>
      </c>
      <c r="C768">
        <f>IF(OR($A768="",$B768=""),"",IF(ISNUMBER($A768),INT(MOD($A768,10000)/100),IFERROR(VALUE(TRIM(LEFT(MID($A768,FIND("/",$A768)+1,20),FIND("/",MID($A768,FIND("/",$A768)+1,20))-1))),"")))</f>
        <v/>
      </c>
      <c r="D768">
        <f>IF(OR($A768="",$B768=""),"",IF(ISNUMBER($A768),MOD($A768,100),IFERROR(VALUE(TRIM(MID(MID($A768,FIND("/",$A768)+1,20),FIND("/",MID($A768,FIND("/",$A768)+1,20))+1,20))),"")))</f>
        <v/>
      </c>
      <c r="E768">
        <f>IF($A768="","",IF(OR($B768="",$C768="",$D768="",$B768&lt;1300,$B768&gt;1500,$C768&lt;1,$C768&gt;12,$D768&lt;1,$D768&gt;31),"نامعتبر",RIGHT("0000"&amp;$B768,4)&amp;"/"&amp;RIGHT("00"&amp;$C768,2)&amp;"/"&amp;RIGHT("00"&amp;$D768,2)))</f>
        <v/>
      </c>
      <c r="F768">
        <f>IF(OR($E768="",$E768="نامعتبر"),"",LEFT($E768,4)&amp;"/"&amp;MID($E768,6,2))</f>
        <v/>
      </c>
      <c r="G768">
        <f>IF(OR($E768="",$E768="نامعتبر",Sync!$X764=""),"",IF(AND(LEFT(UPPER(TRIM(Sync!$X764)),2)="SL",IFERROR(VLOOKUP(Sync!$W764,OpTbl,3,0),"")="فروش"),UPPER(TRIM(Sync!$X764)),""))</f>
        <v/>
      </c>
      <c r="H768">
        <f>IF($G768="","",IF(Sync!$W764="","",Sync!$W764))</f>
        <v/>
      </c>
      <c r="I768">
        <f>IF(OR($G768="",Sync!$Y764=""),"",Sync!$Y764)</f>
        <v/>
      </c>
      <c r="J768">
        <f>IF(OR($G768="",Sync!$Z764=""),"",Sync!$Z764)</f>
        <v/>
      </c>
      <c r="K768">
        <f>IF($G768="",0,IF(Sync!$AA764="",0,Sync!$AA764))</f>
        <v/>
      </c>
      <c r="L768">
        <f>IF($G768="",0,IF(Sync!$AB764="",0,Sync!$AB764))</f>
        <v/>
      </c>
      <c r="M768">
        <f>IF($G768="","",IF($H768="مرجوعی فروش",-1,1)*($K768-$L768*IFERROR(VLOOKUP("P01",ParamTbl,3,0),1.5)))</f>
        <v/>
      </c>
      <c r="N768">
        <f>IF($G768="",0,IF($H768="مرجوعی فروش",-1,1)*IF(Sync!$AC764="",0,Sync!$AC764))</f>
        <v/>
      </c>
      <c r="O768">
        <f>IF(OR($G768="",Sync!$V764=""),"",Sync!$V764)</f>
        <v/>
      </c>
      <c r="P768">
        <f>IF(OR($G768="",Sync!$AD764=""),"",Sync!$AD764)</f>
        <v/>
      </c>
      <c r="Q768">
        <f>IF($G768="","",IF(Sync!$U764="","0000",IF(AND(ISNUMBER(Sync!$U764),Sync!$U764&gt;=0,Sync!$U764&lt;1),RIGHT("00"&amp;HOUR(Sync!$U764),2)&amp;RIGHT("00"&amp;MINUTE(Sync!$U764),2),IFERROR(RIGHT("00"&amp;VALUE(LEFT(Sync!$U764,FIND(":",Sync!$U764)-1)),2)&amp;RIGHT("00"&amp;VALUE(MID(Sync!$U764,FIND(":",Sync!$U764)+1,2)),2),"0000"))))</f>
        <v/>
      </c>
    </row>
    <row r="769">
      <c r="A769">
        <f>IF(Sync!$T765="","",Sync!$T765)</f>
        <v/>
      </c>
      <c r="B769">
        <f>IF($A769="","",IF(ISNUMBER($A769),IF(AND($A769&gt;=10000101,$A769&lt;=99991231),INT($A769/10000),""),IFERROR(VALUE(TRIM(LEFT($A769,FIND("/",$A769)-1))),"")))</f>
        <v/>
      </c>
      <c r="C769">
        <f>IF(OR($A769="",$B769=""),"",IF(ISNUMBER($A769),INT(MOD($A769,10000)/100),IFERROR(VALUE(TRIM(LEFT(MID($A769,FIND("/",$A769)+1,20),FIND("/",MID($A769,FIND("/",$A769)+1,20))-1))),"")))</f>
        <v/>
      </c>
      <c r="D769">
        <f>IF(OR($A769="",$B769=""),"",IF(ISNUMBER($A769),MOD($A769,100),IFERROR(VALUE(TRIM(MID(MID($A769,FIND("/",$A769)+1,20),FIND("/",MID($A769,FIND("/",$A769)+1,20))+1,20))),"")))</f>
        <v/>
      </c>
      <c r="E769">
        <f>IF($A769="","",IF(OR($B769="",$C769="",$D769="",$B769&lt;1300,$B769&gt;1500,$C769&lt;1,$C769&gt;12,$D769&lt;1,$D769&gt;31),"نامعتبر",RIGHT("0000"&amp;$B769,4)&amp;"/"&amp;RIGHT("00"&amp;$C769,2)&amp;"/"&amp;RIGHT("00"&amp;$D769,2)))</f>
        <v/>
      </c>
      <c r="F769">
        <f>IF(OR($E769="",$E769="نامعتبر"),"",LEFT($E769,4)&amp;"/"&amp;MID($E769,6,2))</f>
        <v/>
      </c>
      <c r="G769">
        <f>IF(OR($E769="",$E769="نامعتبر",Sync!$X765=""),"",IF(AND(LEFT(UPPER(TRIM(Sync!$X765)),2)="SL",IFERROR(VLOOKUP(Sync!$W765,OpTbl,3,0),"")="فروش"),UPPER(TRIM(Sync!$X765)),""))</f>
        <v/>
      </c>
      <c r="H769">
        <f>IF($G769="","",IF(Sync!$W765="","",Sync!$W765))</f>
        <v/>
      </c>
      <c r="I769">
        <f>IF(OR($G769="",Sync!$Y765=""),"",Sync!$Y765)</f>
        <v/>
      </c>
      <c r="J769">
        <f>IF(OR($G769="",Sync!$Z765=""),"",Sync!$Z765)</f>
        <v/>
      </c>
      <c r="K769">
        <f>IF($G769="",0,IF(Sync!$AA765="",0,Sync!$AA765))</f>
        <v/>
      </c>
      <c r="L769">
        <f>IF($G769="",0,IF(Sync!$AB765="",0,Sync!$AB765))</f>
        <v/>
      </c>
      <c r="M769">
        <f>IF($G769="","",IF($H769="مرجوعی فروش",-1,1)*($K769-$L769*IFERROR(VLOOKUP("P01",ParamTbl,3,0),1.5)))</f>
        <v/>
      </c>
      <c r="N769">
        <f>IF($G769="",0,IF($H769="مرجوعی فروش",-1,1)*IF(Sync!$AC765="",0,Sync!$AC765))</f>
        <v/>
      </c>
      <c r="O769">
        <f>IF(OR($G769="",Sync!$V765=""),"",Sync!$V765)</f>
        <v/>
      </c>
      <c r="P769">
        <f>IF(OR($G769="",Sync!$AD765=""),"",Sync!$AD765)</f>
        <v/>
      </c>
      <c r="Q769">
        <f>IF($G769="","",IF(Sync!$U765="","0000",IF(AND(ISNUMBER(Sync!$U765),Sync!$U765&gt;=0,Sync!$U765&lt;1),RIGHT("00"&amp;HOUR(Sync!$U765),2)&amp;RIGHT("00"&amp;MINUTE(Sync!$U765),2),IFERROR(RIGHT("00"&amp;VALUE(LEFT(Sync!$U765,FIND(":",Sync!$U765)-1)),2)&amp;RIGHT("00"&amp;VALUE(MID(Sync!$U765,FIND(":",Sync!$U765)+1,2)),2),"0000"))))</f>
        <v/>
      </c>
    </row>
    <row r="770">
      <c r="A770">
        <f>IF(Sync!$T766="","",Sync!$T766)</f>
        <v/>
      </c>
      <c r="B770">
        <f>IF($A770="","",IF(ISNUMBER($A770),IF(AND($A770&gt;=10000101,$A770&lt;=99991231),INT($A770/10000),""),IFERROR(VALUE(TRIM(LEFT($A770,FIND("/",$A770)-1))),"")))</f>
        <v/>
      </c>
      <c r="C770">
        <f>IF(OR($A770="",$B770=""),"",IF(ISNUMBER($A770),INT(MOD($A770,10000)/100),IFERROR(VALUE(TRIM(LEFT(MID($A770,FIND("/",$A770)+1,20),FIND("/",MID($A770,FIND("/",$A770)+1,20))-1))),"")))</f>
        <v/>
      </c>
      <c r="D770">
        <f>IF(OR($A770="",$B770=""),"",IF(ISNUMBER($A770),MOD($A770,100),IFERROR(VALUE(TRIM(MID(MID($A770,FIND("/",$A770)+1,20),FIND("/",MID($A770,FIND("/",$A770)+1,20))+1,20))),"")))</f>
        <v/>
      </c>
      <c r="E770">
        <f>IF($A770="","",IF(OR($B770="",$C770="",$D770="",$B770&lt;1300,$B770&gt;1500,$C770&lt;1,$C770&gt;12,$D770&lt;1,$D770&gt;31),"نامعتبر",RIGHT("0000"&amp;$B770,4)&amp;"/"&amp;RIGHT("00"&amp;$C770,2)&amp;"/"&amp;RIGHT("00"&amp;$D770,2)))</f>
        <v/>
      </c>
      <c r="F770">
        <f>IF(OR($E770="",$E770="نامعتبر"),"",LEFT($E770,4)&amp;"/"&amp;MID($E770,6,2))</f>
        <v/>
      </c>
      <c r="G770">
        <f>IF(OR($E770="",$E770="نامعتبر",Sync!$X766=""),"",IF(AND(LEFT(UPPER(TRIM(Sync!$X766)),2)="SL",IFERROR(VLOOKUP(Sync!$W766,OpTbl,3,0),"")="فروش"),UPPER(TRIM(Sync!$X766)),""))</f>
        <v/>
      </c>
      <c r="H770">
        <f>IF($G770="","",IF(Sync!$W766="","",Sync!$W766))</f>
        <v/>
      </c>
      <c r="I770">
        <f>IF(OR($G770="",Sync!$Y766=""),"",Sync!$Y766)</f>
        <v/>
      </c>
      <c r="J770">
        <f>IF(OR($G770="",Sync!$Z766=""),"",Sync!$Z766)</f>
        <v/>
      </c>
      <c r="K770">
        <f>IF($G770="",0,IF(Sync!$AA766="",0,Sync!$AA766))</f>
        <v/>
      </c>
      <c r="L770">
        <f>IF($G770="",0,IF(Sync!$AB766="",0,Sync!$AB766))</f>
        <v/>
      </c>
      <c r="M770">
        <f>IF($G770="","",IF($H770="مرجوعی فروش",-1,1)*($K770-$L770*IFERROR(VLOOKUP("P01",ParamTbl,3,0),1.5)))</f>
        <v/>
      </c>
      <c r="N770">
        <f>IF($G770="",0,IF($H770="مرجوعی فروش",-1,1)*IF(Sync!$AC766="",0,Sync!$AC766))</f>
        <v/>
      </c>
      <c r="O770">
        <f>IF(OR($G770="",Sync!$V766=""),"",Sync!$V766)</f>
        <v/>
      </c>
      <c r="P770">
        <f>IF(OR($G770="",Sync!$AD766=""),"",Sync!$AD766)</f>
        <v/>
      </c>
      <c r="Q770">
        <f>IF($G770="","",IF(Sync!$U766="","0000",IF(AND(ISNUMBER(Sync!$U766),Sync!$U766&gt;=0,Sync!$U766&lt;1),RIGHT("00"&amp;HOUR(Sync!$U766),2)&amp;RIGHT("00"&amp;MINUTE(Sync!$U766),2),IFERROR(RIGHT("00"&amp;VALUE(LEFT(Sync!$U766,FIND(":",Sync!$U766)-1)),2)&amp;RIGHT("00"&amp;VALUE(MID(Sync!$U766,FIND(":",Sync!$U766)+1,2)),2),"0000"))))</f>
        <v/>
      </c>
    </row>
    <row r="771">
      <c r="A771">
        <f>IF(Sync!$T767="","",Sync!$T767)</f>
        <v/>
      </c>
      <c r="B771">
        <f>IF($A771="","",IF(ISNUMBER($A771),IF(AND($A771&gt;=10000101,$A771&lt;=99991231),INT($A771/10000),""),IFERROR(VALUE(TRIM(LEFT($A771,FIND("/",$A771)-1))),"")))</f>
        <v/>
      </c>
      <c r="C771">
        <f>IF(OR($A771="",$B771=""),"",IF(ISNUMBER($A771),INT(MOD($A771,10000)/100),IFERROR(VALUE(TRIM(LEFT(MID($A771,FIND("/",$A771)+1,20),FIND("/",MID($A771,FIND("/",$A771)+1,20))-1))),"")))</f>
        <v/>
      </c>
      <c r="D771">
        <f>IF(OR($A771="",$B771=""),"",IF(ISNUMBER($A771),MOD($A771,100),IFERROR(VALUE(TRIM(MID(MID($A771,FIND("/",$A771)+1,20),FIND("/",MID($A771,FIND("/",$A771)+1,20))+1,20))),"")))</f>
        <v/>
      </c>
      <c r="E771">
        <f>IF($A771="","",IF(OR($B771="",$C771="",$D771="",$B771&lt;1300,$B771&gt;1500,$C771&lt;1,$C771&gt;12,$D771&lt;1,$D771&gt;31),"نامعتبر",RIGHT("0000"&amp;$B771,4)&amp;"/"&amp;RIGHT("00"&amp;$C771,2)&amp;"/"&amp;RIGHT("00"&amp;$D771,2)))</f>
        <v/>
      </c>
      <c r="F771">
        <f>IF(OR($E771="",$E771="نامعتبر"),"",LEFT($E771,4)&amp;"/"&amp;MID($E771,6,2))</f>
        <v/>
      </c>
      <c r="G771">
        <f>IF(OR($E771="",$E771="نامعتبر",Sync!$X767=""),"",IF(AND(LEFT(UPPER(TRIM(Sync!$X767)),2)="SL",IFERROR(VLOOKUP(Sync!$W767,OpTbl,3,0),"")="فروش"),UPPER(TRIM(Sync!$X767)),""))</f>
        <v/>
      </c>
      <c r="H771">
        <f>IF($G771="","",IF(Sync!$W767="","",Sync!$W767))</f>
        <v/>
      </c>
      <c r="I771">
        <f>IF(OR($G771="",Sync!$Y767=""),"",Sync!$Y767)</f>
        <v/>
      </c>
      <c r="J771">
        <f>IF(OR($G771="",Sync!$Z767=""),"",Sync!$Z767)</f>
        <v/>
      </c>
      <c r="K771">
        <f>IF($G771="",0,IF(Sync!$AA767="",0,Sync!$AA767))</f>
        <v/>
      </c>
      <c r="L771">
        <f>IF($G771="",0,IF(Sync!$AB767="",0,Sync!$AB767))</f>
        <v/>
      </c>
      <c r="M771">
        <f>IF($G771="","",IF($H771="مرجوعی فروش",-1,1)*($K771-$L771*IFERROR(VLOOKUP("P01",ParamTbl,3,0),1.5)))</f>
        <v/>
      </c>
      <c r="N771">
        <f>IF($G771="",0,IF($H771="مرجوعی فروش",-1,1)*IF(Sync!$AC767="",0,Sync!$AC767))</f>
        <v/>
      </c>
      <c r="O771">
        <f>IF(OR($G771="",Sync!$V767=""),"",Sync!$V767)</f>
        <v/>
      </c>
      <c r="P771">
        <f>IF(OR($G771="",Sync!$AD767=""),"",Sync!$AD767)</f>
        <v/>
      </c>
      <c r="Q771">
        <f>IF($G771="","",IF(Sync!$U767="","0000",IF(AND(ISNUMBER(Sync!$U767),Sync!$U767&gt;=0,Sync!$U767&lt;1),RIGHT("00"&amp;HOUR(Sync!$U767),2)&amp;RIGHT("00"&amp;MINUTE(Sync!$U767),2),IFERROR(RIGHT("00"&amp;VALUE(LEFT(Sync!$U767,FIND(":",Sync!$U767)-1)),2)&amp;RIGHT("00"&amp;VALUE(MID(Sync!$U767,FIND(":",Sync!$U767)+1,2)),2),"0000"))))</f>
        <v/>
      </c>
    </row>
    <row r="772">
      <c r="A772">
        <f>IF(Sync!$T768="","",Sync!$T768)</f>
        <v/>
      </c>
      <c r="B772">
        <f>IF($A772="","",IF(ISNUMBER($A772),IF(AND($A772&gt;=10000101,$A772&lt;=99991231),INT($A772/10000),""),IFERROR(VALUE(TRIM(LEFT($A772,FIND("/",$A772)-1))),"")))</f>
        <v/>
      </c>
      <c r="C772">
        <f>IF(OR($A772="",$B772=""),"",IF(ISNUMBER($A772),INT(MOD($A772,10000)/100),IFERROR(VALUE(TRIM(LEFT(MID($A772,FIND("/",$A772)+1,20),FIND("/",MID($A772,FIND("/",$A772)+1,20))-1))),"")))</f>
        <v/>
      </c>
      <c r="D772">
        <f>IF(OR($A772="",$B772=""),"",IF(ISNUMBER($A772),MOD($A772,100),IFERROR(VALUE(TRIM(MID(MID($A772,FIND("/",$A772)+1,20),FIND("/",MID($A772,FIND("/",$A772)+1,20))+1,20))),"")))</f>
        <v/>
      </c>
      <c r="E772">
        <f>IF($A772="","",IF(OR($B772="",$C772="",$D772="",$B772&lt;1300,$B772&gt;1500,$C772&lt;1,$C772&gt;12,$D772&lt;1,$D772&gt;31),"نامعتبر",RIGHT("0000"&amp;$B772,4)&amp;"/"&amp;RIGHT("00"&amp;$C772,2)&amp;"/"&amp;RIGHT("00"&amp;$D772,2)))</f>
        <v/>
      </c>
      <c r="F772">
        <f>IF(OR($E772="",$E772="نامعتبر"),"",LEFT($E772,4)&amp;"/"&amp;MID($E772,6,2))</f>
        <v/>
      </c>
      <c r="G772">
        <f>IF(OR($E772="",$E772="نامعتبر",Sync!$X768=""),"",IF(AND(LEFT(UPPER(TRIM(Sync!$X768)),2)="SL",IFERROR(VLOOKUP(Sync!$W768,OpTbl,3,0),"")="فروش"),UPPER(TRIM(Sync!$X768)),""))</f>
        <v/>
      </c>
      <c r="H772">
        <f>IF($G772="","",IF(Sync!$W768="","",Sync!$W768))</f>
        <v/>
      </c>
      <c r="I772">
        <f>IF(OR($G772="",Sync!$Y768=""),"",Sync!$Y768)</f>
        <v/>
      </c>
      <c r="J772">
        <f>IF(OR($G772="",Sync!$Z768=""),"",Sync!$Z768)</f>
        <v/>
      </c>
      <c r="K772">
        <f>IF($G772="",0,IF(Sync!$AA768="",0,Sync!$AA768))</f>
        <v/>
      </c>
      <c r="L772">
        <f>IF($G772="",0,IF(Sync!$AB768="",0,Sync!$AB768))</f>
        <v/>
      </c>
      <c r="M772">
        <f>IF($G772="","",IF($H772="مرجوعی فروش",-1,1)*($K772-$L772*IFERROR(VLOOKUP("P01",ParamTbl,3,0),1.5)))</f>
        <v/>
      </c>
      <c r="N772">
        <f>IF($G772="",0,IF($H772="مرجوعی فروش",-1,1)*IF(Sync!$AC768="",0,Sync!$AC768))</f>
        <v/>
      </c>
      <c r="O772">
        <f>IF(OR($G772="",Sync!$V768=""),"",Sync!$V768)</f>
        <v/>
      </c>
      <c r="P772">
        <f>IF(OR($G772="",Sync!$AD768=""),"",Sync!$AD768)</f>
        <v/>
      </c>
      <c r="Q772">
        <f>IF($G772="","",IF(Sync!$U768="","0000",IF(AND(ISNUMBER(Sync!$U768),Sync!$U768&gt;=0,Sync!$U768&lt;1),RIGHT("00"&amp;HOUR(Sync!$U768),2)&amp;RIGHT("00"&amp;MINUTE(Sync!$U768),2),IFERROR(RIGHT("00"&amp;VALUE(LEFT(Sync!$U768,FIND(":",Sync!$U768)-1)),2)&amp;RIGHT("00"&amp;VALUE(MID(Sync!$U768,FIND(":",Sync!$U768)+1,2)),2),"0000"))))</f>
        <v/>
      </c>
    </row>
    <row r="773">
      <c r="A773">
        <f>IF(Sync!$T769="","",Sync!$T769)</f>
        <v/>
      </c>
      <c r="B773">
        <f>IF($A773="","",IF(ISNUMBER($A773),IF(AND($A773&gt;=10000101,$A773&lt;=99991231),INT($A773/10000),""),IFERROR(VALUE(TRIM(LEFT($A773,FIND("/",$A773)-1))),"")))</f>
        <v/>
      </c>
      <c r="C773">
        <f>IF(OR($A773="",$B773=""),"",IF(ISNUMBER($A773),INT(MOD($A773,10000)/100),IFERROR(VALUE(TRIM(LEFT(MID($A773,FIND("/",$A773)+1,20),FIND("/",MID($A773,FIND("/",$A773)+1,20))-1))),"")))</f>
        <v/>
      </c>
      <c r="D773">
        <f>IF(OR($A773="",$B773=""),"",IF(ISNUMBER($A773),MOD($A773,100),IFERROR(VALUE(TRIM(MID(MID($A773,FIND("/",$A773)+1,20),FIND("/",MID($A773,FIND("/",$A773)+1,20))+1,20))),"")))</f>
        <v/>
      </c>
      <c r="E773">
        <f>IF($A773="","",IF(OR($B773="",$C773="",$D773="",$B773&lt;1300,$B773&gt;1500,$C773&lt;1,$C773&gt;12,$D773&lt;1,$D773&gt;31),"نامعتبر",RIGHT("0000"&amp;$B773,4)&amp;"/"&amp;RIGHT("00"&amp;$C773,2)&amp;"/"&amp;RIGHT("00"&amp;$D773,2)))</f>
        <v/>
      </c>
      <c r="F773">
        <f>IF(OR($E773="",$E773="نامعتبر"),"",LEFT($E773,4)&amp;"/"&amp;MID($E773,6,2))</f>
        <v/>
      </c>
      <c r="G773">
        <f>IF(OR($E773="",$E773="نامعتبر",Sync!$X769=""),"",IF(AND(LEFT(UPPER(TRIM(Sync!$X769)),2)="SL",IFERROR(VLOOKUP(Sync!$W769,OpTbl,3,0),"")="فروش"),UPPER(TRIM(Sync!$X769)),""))</f>
        <v/>
      </c>
      <c r="H773">
        <f>IF($G773="","",IF(Sync!$W769="","",Sync!$W769))</f>
        <v/>
      </c>
      <c r="I773">
        <f>IF(OR($G773="",Sync!$Y769=""),"",Sync!$Y769)</f>
        <v/>
      </c>
      <c r="J773">
        <f>IF(OR($G773="",Sync!$Z769=""),"",Sync!$Z769)</f>
        <v/>
      </c>
      <c r="K773">
        <f>IF($G773="",0,IF(Sync!$AA769="",0,Sync!$AA769))</f>
        <v/>
      </c>
      <c r="L773">
        <f>IF($G773="",0,IF(Sync!$AB769="",0,Sync!$AB769))</f>
        <v/>
      </c>
      <c r="M773">
        <f>IF($G773="","",IF($H773="مرجوعی فروش",-1,1)*($K773-$L773*IFERROR(VLOOKUP("P01",ParamTbl,3,0),1.5)))</f>
        <v/>
      </c>
      <c r="N773">
        <f>IF($G773="",0,IF($H773="مرجوعی فروش",-1,1)*IF(Sync!$AC769="",0,Sync!$AC769))</f>
        <v/>
      </c>
      <c r="O773">
        <f>IF(OR($G773="",Sync!$V769=""),"",Sync!$V769)</f>
        <v/>
      </c>
      <c r="P773">
        <f>IF(OR($G773="",Sync!$AD769=""),"",Sync!$AD769)</f>
        <v/>
      </c>
      <c r="Q773">
        <f>IF($G773="","",IF(Sync!$U769="","0000",IF(AND(ISNUMBER(Sync!$U769),Sync!$U769&gt;=0,Sync!$U769&lt;1),RIGHT("00"&amp;HOUR(Sync!$U769),2)&amp;RIGHT("00"&amp;MINUTE(Sync!$U769),2),IFERROR(RIGHT("00"&amp;VALUE(LEFT(Sync!$U769,FIND(":",Sync!$U769)-1)),2)&amp;RIGHT("00"&amp;VALUE(MID(Sync!$U769,FIND(":",Sync!$U769)+1,2)),2),"0000"))))</f>
        <v/>
      </c>
    </row>
    <row r="774">
      <c r="A774">
        <f>IF(Sync!$T770="","",Sync!$T770)</f>
        <v/>
      </c>
      <c r="B774">
        <f>IF($A774="","",IF(ISNUMBER($A774),IF(AND($A774&gt;=10000101,$A774&lt;=99991231),INT($A774/10000),""),IFERROR(VALUE(TRIM(LEFT($A774,FIND("/",$A774)-1))),"")))</f>
        <v/>
      </c>
      <c r="C774">
        <f>IF(OR($A774="",$B774=""),"",IF(ISNUMBER($A774),INT(MOD($A774,10000)/100),IFERROR(VALUE(TRIM(LEFT(MID($A774,FIND("/",$A774)+1,20),FIND("/",MID($A774,FIND("/",$A774)+1,20))-1))),"")))</f>
        <v/>
      </c>
      <c r="D774">
        <f>IF(OR($A774="",$B774=""),"",IF(ISNUMBER($A774),MOD($A774,100),IFERROR(VALUE(TRIM(MID(MID($A774,FIND("/",$A774)+1,20),FIND("/",MID($A774,FIND("/",$A774)+1,20))+1,20))),"")))</f>
        <v/>
      </c>
      <c r="E774">
        <f>IF($A774="","",IF(OR($B774="",$C774="",$D774="",$B774&lt;1300,$B774&gt;1500,$C774&lt;1,$C774&gt;12,$D774&lt;1,$D774&gt;31),"نامعتبر",RIGHT("0000"&amp;$B774,4)&amp;"/"&amp;RIGHT("00"&amp;$C774,2)&amp;"/"&amp;RIGHT("00"&amp;$D774,2)))</f>
        <v/>
      </c>
      <c r="F774">
        <f>IF(OR($E774="",$E774="نامعتبر"),"",LEFT($E774,4)&amp;"/"&amp;MID($E774,6,2))</f>
        <v/>
      </c>
      <c r="G774">
        <f>IF(OR($E774="",$E774="نامعتبر",Sync!$X770=""),"",IF(AND(LEFT(UPPER(TRIM(Sync!$X770)),2)="SL",IFERROR(VLOOKUP(Sync!$W770,OpTbl,3,0),"")="فروش"),UPPER(TRIM(Sync!$X770)),""))</f>
        <v/>
      </c>
      <c r="H774">
        <f>IF($G774="","",IF(Sync!$W770="","",Sync!$W770))</f>
        <v/>
      </c>
      <c r="I774">
        <f>IF(OR($G774="",Sync!$Y770=""),"",Sync!$Y770)</f>
        <v/>
      </c>
      <c r="J774">
        <f>IF(OR($G774="",Sync!$Z770=""),"",Sync!$Z770)</f>
        <v/>
      </c>
      <c r="K774">
        <f>IF($G774="",0,IF(Sync!$AA770="",0,Sync!$AA770))</f>
        <v/>
      </c>
      <c r="L774">
        <f>IF($G774="",0,IF(Sync!$AB770="",0,Sync!$AB770))</f>
        <v/>
      </c>
      <c r="M774">
        <f>IF($G774="","",IF($H774="مرجوعی فروش",-1,1)*($K774-$L774*IFERROR(VLOOKUP("P01",ParamTbl,3,0),1.5)))</f>
        <v/>
      </c>
      <c r="N774">
        <f>IF($G774="",0,IF($H774="مرجوعی فروش",-1,1)*IF(Sync!$AC770="",0,Sync!$AC770))</f>
        <v/>
      </c>
      <c r="O774">
        <f>IF(OR($G774="",Sync!$V770=""),"",Sync!$V770)</f>
        <v/>
      </c>
      <c r="P774">
        <f>IF(OR($G774="",Sync!$AD770=""),"",Sync!$AD770)</f>
        <v/>
      </c>
      <c r="Q774">
        <f>IF($G774="","",IF(Sync!$U770="","0000",IF(AND(ISNUMBER(Sync!$U770),Sync!$U770&gt;=0,Sync!$U770&lt;1),RIGHT("00"&amp;HOUR(Sync!$U770),2)&amp;RIGHT("00"&amp;MINUTE(Sync!$U770),2),IFERROR(RIGHT("00"&amp;VALUE(LEFT(Sync!$U770,FIND(":",Sync!$U770)-1)),2)&amp;RIGHT("00"&amp;VALUE(MID(Sync!$U770,FIND(":",Sync!$U770)+1,2)),2),"0000"))))</f>
        <v/>
      </c>
    </row>
    <row r="775">
      <c r="A775">
        <f>IF(Sync!$T771="","",Sync!$T771)</f>
        <v/>
      </c>
      <c r="B775">
        <f>IF($A775="","",IF(ISNUMBER($A775),IF(AND($A775&gt;=10000101,$A775&lt;=99991231),INT($A775/10000),""),IFERROR(VALUE(TRIM(LEFT($A775,FIND("/",$A775)-1))),"")))</f>
        <v/>
      </c>
      <c r="C775">
        <f>IF(OR($A775="",$B775=""),"",IF(ISNUMBER($A775),INT(MOD($A775,10000)/100),IFERROR(VALUE(TRIM(LEFT(MID($A775,FIND("/",$A775)+1,20),FIND("/",MID($A775,FIND("/",$A775)+1,20))-1))),"")))</f>
        <v/>
      </c>
      <c r="D775">
        <f>IF(OR($A775="",$B775=""),"",IF(ISNUMBER($A775),MOD($A775,100),IFERROR(VALUE(TRIM(MID(MID($A775,FIND("/",$A775)+1,20),FIND("/",MID($A775,FIND("/",$A775)+1,20))+1,20))),"")))</f>
        <v/>
      </c>
      <c r="E775">
        <f>IF($A775="","",IF(OR($B775="",$C775="",$D775="",$B775&lt;1300,$B775&gt;1500,$C775&lt;1,$C775&gt;12,$D775&lt;1,$D775&gt;31),"نامعتبر",RIGHT("0000"&amp;$B775,4)&amp;"/"&amp;RIGHT("00"&amp;$C775,2)&amp;"/"&amp;RIGHT("00"&amp;$D775,2)))</f>
        <v/>
      </c>
      <c r="F775">
        <f>IF(OR($E775="",$E775="نامعتبر"),"",LEFT($E775,4)&amp;"/"&amp;MID($E775,6,2))</f>
        <v/>
      </c>
      <c r="G775">
        <f>IF(OR($E775="",$E775="نامعتبر",Sync!$X771=""),"",IF(AND(LEFT(UPPER(TRIM(Sync!$X771)),2)="SL",IFERROR(VLOOKUP(Sync!$W771,OpTbl,3,0),"")="فروش"),UPPER(TRIM(Sync!$X771)),""))</f>
        <v/>
      </c>
      <c r="H775">
        <f>IF($G775="","",IF(Sync!$W771="","",Sync!$W771))</f>
        <v/>
      </c>
      <c r="I775">
        <f>IF(OR($G775="",Sync!$Y771=""),"",Sync!$Y771)</f>
        <v/>
      </c>
      <c r="J775">
        <f>IF(OR($G775="",Sync!$Z771=""),"",Sync!$Z771)</f>
        <v/>
      </c>
      <c r="K775">
        <f>IF($G775="",0,IF(Sync!$AA771="",0,Sync!$AA771))</f>
        <v/>
      </c>
      <c r="L775">
        <f>IF($G775="",0,IF(Sync!$AB771="",0,Sync!$AB771))</f>
        <v/>
      </c>
      <c r="M775">
        <f>IF($G775="","",IF($H775="مرجوعی فروش",-1,1)*($K775-$L775*IFERROR(VLOOKUP("P01",ParamTbl,3,0),1.5)))</f>
        <v/>
      </c>
      <c r="N775">
        <f>IF($G775="",0,IF($H775="مرجوعی فروش",-1,1)*IF(Sync!$AC771="",0,Sync!$AC771))</f>
        <v/>
      </c>
      <c r="O775">
        <f>IF(OR($G775="",Sync!$V771=""),"",Sync!$V771)</f>
        <v/>
      </c>
      <c r="P775">
        <f>IF(OR($G775="",Sync!$AD771=""),"",Sync!$AD771)</f>
        <v/>
      </c>
      <c r="Q775">
        <f>IF($G775="","",IF(Sync!$U771="","0000",IF(AND(ISNUMBER(Sync!$U771),Sync!$U771&gt;=0,Sync!$U771&lt;1),RIGHT("00"&amp;HOUR(Sync!$U771),2)&amp;RIGHT("00"&amp;MINUTE(Sync!$U771),2),IFERROR(RIGHT("00"&amp;VALUE(LEFT(Sync!$U771,FIND(":",Sync!$U771)-1)),2)&amp;RIGHT("00"&amp;VALUE(MID(Sync!$U771,FIND(":",Sync!$U771)+1,2)),2),"0000"))))</f>
        <v/>
      </c>
    </row>
    <row r="776">
      <c r="A776">
        <f>IF(Sync!$T772="","",Sync!$T772)</f>
        <v/>
      </c>
      <c r="B776">
        <f>IF($A776="","",IF(ISNUMBER($A776),IF(AND($A776&gt;=10000101,$A776&lt;=99991231),INT($A776/10000),""),IFERROR(VALUE(TRIM(LEFT($A776,FIND("/",$A776)-1))),"")))</f>
        <v/>
      </c>
      <c r="C776">
        <f>IF(OR($A776="",$B776=""),"",IF(ISNUMBER($A776),INT(MOD($A776,10000)/100),IFERROR(VALUE(TRIM(LEFT(MID($A776,FIND("/",$A776)+1,20),FIND("/",MID($A776,FIND("/",$A776)+1,20))-1))),"")))</f>
        <v/>
      </c>
      <c r="D776">
        <f>IF(OR($A776="",$B776=""),"",IF(ISNUMBER($A776),MOD($A776,100),IFERROR(VALUE(TRIM(MID(MID($A776,FIND("/",$A776)+1,20),FIND("/",MID($A776,FIND("/",$A776)+1,20))+1,20))),"")))</f>
        <v/>
      </c>
      <c r="E776">
        <f>IF($A776="","",IF(OR($B776="",$C776="",$D776="",$B776&lt;1300,$B776&gt;1500,$C776&lt;1,$C776&gt;12,$D776&lt;1,$D776&gt;31),"نامعتبر",RIGHT("0000"&amp;$B776,4)&amp;"/"&amp;RIGHT("00"&amp;$C776,2)&amp;"/"&amp;RIGHT("00"&amp;$D776,2)))</f>
        <v/>
      </c>
      <c r="F776">
        <f>IF(OR($E776="",$E776="نامعتبر"),"",LEFT($E776,4)&amp;"/"&amp;MID($E776,6,2))</f>
        <v/>
      </c>
      <c r="G776">
        <f>IF(OR($E776="",$E776="نامعتبر",Sync!$X772=""),"",IF(AND(LEFT(UPPER(TRIM(Sync!$X772)),2)="SL",IFERROR(VLOOKUP(Sync!$W772,OpTbl,3,0),"")="فروش"),UPPER(TRIM(Sync!$X772)),""))</f>
        <v/>
      </c>
      <c r="H776">
        <f>IF($G776="","",IF(Sync!$W772="","",Sync!$W772))</f>
        <v/>
      </c>
      <c r="I776">
        <f>IF(OR($G776="",Sync!$Y772=""),"",Sync!$Y772)</f>
        <v/>
      </c>
      <c r="J776">
        <f>IF(OR($G776="",Sync!$Z772=""),"",Sync!$Z772)</f>
        <v/>
      </c>
      <c r="K776">
        <f>IF($G776="",0,IF(Sync!$AA772="",0,Sync!$AA772))</f>
        <v/>
      </c>
      <c r="L776">
        <f>IF($G776="",0,IF(Sync!$AB772="",0,Sync!$AB772))</f>
        <v/>
      </c>
      <c r="M776">
        <f>IF($G776="","",IF($H776="مرجوعی فروش",-1,1)*($K776-$L776*IFERROR(VLOOKUP("P01",ParamTbl,3,0),1.5)))</f>
        <v/>
      </c>
      <c r="N776">
        <f>IF($G776="",0,IF($H776="مرجوعی فروش",-1,1)*IF(Sync!$AC772="",0,Sync!$AC772))</f>
        <v/>
      </c>
      <c r="O776">
        <f>IF(OR($G776="",Sync!$V772=""),"",Sync!$V772)</f>
        <v/>
      </c>
      <c r="P776">
        <f>IF(OR($G776="",Sync!$AD772=""),"",Sync!$AD772)</f>
        <v/>
      </c>
      <c r="Q776">
        <f>IF($G776="","",IF(Sync!$U772="","0000",IF(AND(ISNUMBER(Sync!$U772),Sync!$U772&gt;=0,Sync!$U772&lt;1),RIGHT("00"&amp;HOUR(Sync!$U772),2)&amp;RIGHT("00"&amp;MINUTE(Sync!$U772),2),IFERROR(RIGHT("00"&amp;VALUE(LEFT(Sync!$U772,FIND(":",Sync!$U772)-1)),2)&amp;RIGHT("00"&amp;VALUE(MID(Sync!$U772,FIND(":",Sync!$U772)+1,2)),2),"0000"))))</f>
        <v/>
      </c>
    </row>
    <row r="777">
      <c r="A777">
        <f>IF(Sync!$T773="","",Sync!$T773)</f>
        <v/>
      </c>
      <c r="B777">
        <f>IF($A777="","",IF(ISNUMBER($A777),IF(AND($A777&gt;=10000101,$A777&lt;=99991231),INT($A777/10000),""),IFERROR(VALUE(TRIM(LEFT($A777,FIND("/",$A777)-1))),"")))</f>
        <v/>
      </c>
      <c r="C777">
        <f>IF(OR($A777="",$B777=""),"",IF(ISNUMBER($A777),INT(MOD($A777,10000)/100),IFERROR(VALUE(TRIM(LEFT(MID($A777,FIND("/",$A777)+1,20),FIND("/",MID($A777,FIND("/",$A777)+1,20))-1))),"")))</f>
        <v/>
      </c>
      <c r="D777">
        <f>IF(OR($A777="",$B777=""),"",IF(ISNUMBER($A777),MOD($A777,100),IFERROR(VALUE(TRIM(MID(MID($A777,FIND("/",$A777)+1,20),FIND("/",MID($A777,FIND("/",$A777)+1,20))+1,20))),"")))</f>
        <v/>
      </c>
      <c r="E777">
        <f>IF($A777="","",IF(OR($B777="",$C777="",$D777="",$B777&lt;1300,$B777&gt;1500,$C777&lt;1,$C777&gt;12,$D777&lt;1,$D777&gt;31),"نامعتبر",RIGHT("0000"&amp;$B777,4)&amp;"/"&amp;RIGHT("00"&amp;$C777,2)&amp;"/"&amp;RIGHT("00"&amp;$D777,2)))</f>
        <v/>
      </c>
      <c r="F777">
        <f>IF(OR($E777="",$E777="نامعتبر"),"",LEFT($E777,4)&amp;"/"&amp;MID($E777,6,2))</f>
        <v/>
      </c>
      <c r="G777">
        <f>IF(OR($E777="",$E777="نامعتبر",Sync!$X773=""),"",IF(AND(LEFT(UPPER(TRIM(Sync!$X773)),2)="SL",IFERROR(VLOOKUP(Sync!$W773,OpTbl,3,0),"")="فروش"),UPPER(TRIM(Sync!$X773)),""))</f>
        <v/>
      </c>
      <c r="H777">
        <f>IF($G777="","",IF(Sync!$W773="","",Sync!$W773))</f>
        <v/>
      </c>
      <c r="I777">
        <f>IF(OR($G777="",Sync!$Y773=""),"",Sync!$Y773)</f>
        <v/>
      </c>
      <c r="J777">
        <f>IF(OR($G777="",Sync!$Z773=""),"",Sync!$Z773)</f>
        <v/>
      </c>
      <c r="K777">
        <f>IF($G777="",0,IF(Sync!$AA773="",0,Sync!$AA773))</f>
        <v/>
      </c>
      <c r="L777">
        <f>IF($G777="",0,IF(Sync!$AB773="",0,Sync!$AB773))</f>
        <v/>
      </c>
      <c r="M777">
        <f>IF($G777="","",IF($H777="مرجوعی فروش",-1,1)*($K777-$L777*IFERROR(VLOOKUP("P01",ParamTbl,3,0),1.5)))</f>
        <v/>
      </c>
      <c r="N777">
        <f>IF($G777="",0,IF($H777="مرجوعی فروش",-1,1)*IF(Sync!$AC773="",0,Sync!$AC773))</f>
        <v/>
      </c>
      <c r="O777">
        <f>IF(OR($G777="",Sync!$V773=""),"",Sync!$V773)</f>
        <v/>
      </c>
      <c r="P777">
        <f>IF(OR($G777="",Sync!$AD773=""),"",Sync!$AD773)</f>
        <v/>
      </c>
      <c r="Q777">
        <f>IF($G777="","",IF(Sync!$U773="","0000",IF(AND(ISNUMBER(Sync!$U773),Sync!$U773&gt;=0,Sync!$U773&lt;1),RIGHT("00"&amp;HOUR(Sync!$U773),2)&amp;RIGHT("00"&amp;MINUTE(Sync!$U773),2),IFERROR(RIGHT("00"&amp;VALUE(LEFT(Sync!$U773,FIND(":",Sync!$U773)-1)),2)&amp;RIGHT("00"&amp;VALUE(MID(Sync!$U773,FIND(":",Sync!$U773)+1,2)),2),"0000"))))</f>
        <v/>
      </c>
    </row>
    <row r="778">
      <c r="A778">
        <f>IF(Sync!$T774="","",Sync!$T774)</f>
        <v/>
      </c>
      <c r="B778">
        <f>IF($A778="","",IF(ISNUMBER($A778),IF(AND($A778&gt;=10000101,$A778&lt;=99991231),INT($A778/10000),""),IFERROR(VALUE(TRIM(LEFT($A778,FIND("/",$A778)-1))),"")))</f>
        <v/>
      </c>
      <c r="C778">
        <f>IF(OR($A778="",$B778=""),"",IF(ISNUMBER($A778),INT(MOD($A778,10000)/100),IFERROR(VALUE(TRIM(LEFT(MID($A778,FIND("/",$A778)+1,20),FIND("/",MID($A778,FIND("/",$A778)+1,20))-1))),"")))</f>
        <v/>
      </c>
      <c r="D778">
        <f>IF(OR($A778="",$B778=""),"",IF(ISNUMBER($A778),MOD($A778,100),IFERROR(VALUE(TRIM(MID(MID($A778,FIND("/",$A778)+1,20),FIND("/",MID($A778,FIND("/",$A778)+1,20))+1,20))),"")))</f>
        <v/>
      </c>
      <c r="E778">
        <f>IF($A778="","",IF(OR($B778="",$C778="",$D778="",$B778&lt;1300,$B778&gt;1500,$C778&lt;1,$C778&gt;12,$D778&lt;1,$D778&gt;31),"نامعتبر",RIGHT("0000"&amp;$B778,4)&amp;"/"&amp;RIGHT("00"&amp;$C778,2)&amp;"/"&amp;RIGHT("00"&amp;$D778,2)))</f>
        <v/>
      </c>
      <c r="F778">
        <f>IF(OR($E778="",$E778="نامعتبر"),"",LEFT($E778,4)&amp;"/"&amp;MID($E778,6,2))</f>
        <v/>
      </c>
      <c r="G778">
        <f>IF(OR($E778="",$E778="نامعتبر",Sync!$X774=""),"",IF(AND(LEFT(UPPER(TRIM(Sync!$X774)),2)="SL",IFERROR(VLOOKUP(Sync!$W774,OpTbl,3,0),"")="فروش"),UPPER(TRIM(Sync!$X774)),""))</f>
        <v/>
      </c>
      <c r="H778">
        <f>IF($G778="","",IF(Sync!$W774="","",Sync!$W774))</f>
        <v/>
      </c>
      <c r="I778">
        <f>IF(OR($G778="",Sync!$Y774=""),"",Sync!$Y774)</f>
        <v/>
      </c>
      <c r="J778">
        <f>IF(OR($G778="",Sync!$Z774=""),"",Sync!$Z774)</f>
        <v/>
      </c>
      <c r="K778">
        <f>IF($G778="",0,IF(Sync!$AA774="",0,Sync!$AA774))</f>
        <v/>
      </c>
      <c r="L778">
        <f>IF($G778="",0,IF(Sync!$AB774="",0,Sync!$AB774))</f>
        <v/>
      </c>
      <c r="M778">
        <f>IF($G778="","",IF($H778="مرجوعی فروش",-1,1)*($K778-$L778*IFERROR(VLOOKUP("P01",ParamTbl,3,0),1.5)))</f>
        <v/>
      </c>
      <c r="N778">
        <f>IF($G778="",0,IF($H778="مرجوعی فروش",-1,1)*IF(Sync!$AC774="",0,Sync!$AC774))</f>
        <v/>
      </c>
      <c r="O778">
        <f>IF(OR($G778="",Sync!$V774=""),"",Sync!$V774)</f>
        <v/>
      </c>
      <c r="P778">
        <f>IF(OR($G778="",Sync!$AD774=""),"",Sync!$AD774)</f>
        <v/>
      </c>
      <c r="Q778">
        <f>IF($G778="","",IF(Sync!$U774="","0000",IF(AND(ISNUMBER(Sync!$U774),Sync!$U774&gt;=0,Sync!$U774&lt;1),RIGHT("00"&amp;HOUR(Sync!$U774),2)&amp;RIGHT("00"&amp;MINUTE(Sync!$U774),2),IFERROR(RIGHT("00"&amp;VALUE(LEFT(Sync!$U774,FIND(":",Sync!$U774)-1)),2)&amp;RIGHT("00"&amp;VALUE(MID(Sync!$U774,FIND(":",Sync!$U774)+1,2)),2),"0000"))))</f>
        <v/>
      </c>
    </row>
    <row r="779">
      <c r="A779">
        <f>IF(Sync!$T775="","",Sync!$T775)</f>
        <v/>
      </c>
      <c r="B779">
        <f>IF($A779="","",IF(ISNUMBER($A779),IF(AND($A779&gt;=10000101,$A779&lt;=99991231),INT($A779/10000),""),IFERROR(VALUE(TRIM(LEFT($A779,FIND("/",$A779)-1))),"")))</f>
        <v/>
      </c>
      <c r="C779">
        <f>IF(OR($A779="",$B779=""),"",IF(ISNUMBER($A779),INT(MOD($A779,10000)/100),IFERROR(VALUE(TRIM(LEFT(MID($A779,FIND("/",$A779)+1,20),FIND("/",MID($A779,FIND("/",$A779)+1,20))-1))),"")))</f>
        <v/>
      </c>
      <c r="D779">
        <f>IF(OR($A779="",$B779=""),"",IF(ISNUMBER($A779),MOD($A779,100),IFERROR(VALUE(TRIM(MID(MID($A779,FIND("/",$A779)+1,20),FIND("/",MID($A779,FIND("/",$A779)+1,20))+1,20))),"")))</f>
        <v/>
      </c>
      <c r="E779">
        <f>IF($A779="","",IF(OR($B779="",$C779="",$D779="",$B779&lt;1300,$B779&gt;1500,$C779&lt;1,$C779&gt;12,$D779&lt;1,$D779&gt;31),"نامعتبر",RIGHT("0000"&amp;$B779,4)&amp;"/"&amp;RIGHT("00"&amp;$C779,2)&amp;"/"&amp;RIGHT("00"&amp;$D779,2)))</f>
        <v/>
      </c>
      <c r="F779">
        <f>IF(OR($E779="",$E779="نامعتبر"),"",LEFT($E779,4)&amp;"/"&amp;MID($E779,6,2))</f>
        <v/>
      </c>
      <c r="G779">
        <f>IF(OR($E779="",$E779="نامعتبر",Sync!$X775=""),"",IF(AND(LEFT(UPPER(TRIM(Sync!$X775)),2)="SL",IFERROR(VLOOKUP(Sync!$W775,OpTbl,3,0),"")="فروش"),UPPER(TRIM(Sync!$X775)),""))</f>
        <v/>
      </c>
      <c r="H779">
        <f>IF($G779="","",IF(Sync!$W775="","",Sync!$W775))</f>
        <v/>
      </c>
      <c r="I779">
        <f>IF(OR($G779="",Sync!$Y775=""),"",Sync!$Y775)</f>
        <v/>
      </c>
      <c r="J779">
        <f>IF(OR($G779="",Sync!$Z775=""),"",Sync!$Z775)</f>
        <v/>
      </c>
      <c r="K779">
        <f>IF($G779="",0,IF(Sync!$AA775="",0,Sync!$AA775))</f>
        <v/>
      </c>
      <c r="L779">
        <f>IF($G779="",0,IF(Sync!$AB775="",0,Sync!$AB775))</f>
        <v/>
      </c>
      <c r="M779">
        <f>IF($G779="","",IF($H779="مرجوعی فروش",-1,1)*($K779-$L779*IFERROR(VLOOKUP("P01",ParamTbl,3,0),1.5)))</f>
        <v/>
      </c>
      <c r="N779">
        <f>IF($G779="",0,IF($H779="مرجوعی فروش",-1,1)*IF(Sync!$AC775="",0,Sync!$AC775))</f>
        <v/>
      </c>
      <c r="O779">
        <f>IF(OR($G779="",Sync!$V775=""),"",Sync!$V775)</f>
        <v/>
      </c>
      <c r="P779">
        <f>IF(OR($G779="",Sync!$AD775=""),"",Sync!$AD775)</f>
        <v/>
      </c>
      <c r="Q779">
        <f>IF($G779="","",IF(Sync!$U775="","0000",IF(AND(ISNUMBER(Sync!$U775),Sync!$U775&gt;=0,Sync!$U775&lt;1),RIGHT("00"&amp;HOUR(Sync!$U775),2)&amp;RIGHT("00"&amp;MINUTE(Sync!$U775),2),IFERROR(RIGHT("00"&amp;VALUE(LEFT(Sync!$U775,FIND(":",Sync!$U775)-1)),2)&amp;RIGHT("00"&amp;VALUE(MID(Sync!$U775,FIND(":",Sync!$U775)+1,2)),2),"0000"))))</f>
        <v/>
      </c>
    </row>
    <row r="780">
      <c r="A780">
        <f>IF(Sync!$T776="","",Sync!$T776)</f>
        <v/>
      </c>
      <c r="B780">
        <f>IF($A780="","",IF(ISNUMBER($A780),IF(AND($A780&gt;=10000101,$A780&lt;=99991231),INT($A780/10000),""),IFERROR(VALUE(TRIM(LEFT($A780,FIND("/",$A780)-1))),"")))</f>
        <v/>
      </c>
      <c r="C780">
        <f>IF(OR($A780="",$B780=""),"",IF(ISNUMBER($A780),INT(MOD($A780,10000)/100),IFERROR(VALUE(TRIM(LEFT(MID($A780,FIND("/",$A780)+1,20),FIND("/",MID($A780,FIND("/",$A780)+1,20))-1))),"")))</f>
        <v/>
      </c>
      <c r="D780">
        <f>IF(OR($A780="",$B780=""),"",IF(ISNUMBER($A780),MOD($A780,100),IFERROR(VALUE(TRIM(MID(MID($A780,FIND("/",$A780)+1,20),FIND("/",MID($A780,FIND("/",$A780)+1,20))+1,20))),"")))</f>
        <v/>
      </c>
      <c r="E780">
        <f>IF($A780="","",IF(OR($B780="",$C780="",$D780="",$B780&lt;1300,$B780&gt;1500,$C780&lt;1,$C780&gt;12,$D780&lt;1,$D780&gt;31),"نامعتبر",RIGHT("0000"&amp;$B780,4)&amp;"/"&amp;RIGHT("00"&amp;$C780,2)&amp;"/"&amp;RIGHT("00"&amp;$D780,2)))</f>
        <v/>
      </c>
      <c r="F780">
        <f>IF(OR($E780="",$E780="نامعتبر"),"",LEFT($E780,4)&amp;"/"&amp;MID($E780,6,2))</f>
        <v/>
      </c>
      <c r="G780">
        <f>IF(OR($E780="",$E780="نامعتبر",Sync!$X776=""),"",IF(AND(LEFT(UPPER(TRIM(Sync!$X776)),2)="SL",IFERROR(VLOOKUP(Sync!$W776,OpTbl,3,0),"")="فروش"),UPPER(TRIM(Sync!$X776)),""))</f>
        <v/>
      </c>
      <c r="H780">
        <f>IF($G780="","",IF(Sync!$W776="","",Sync!$W776))</f>
        <v/>
      </c>
      <c r="I780">
        <f>IF(OR($G780="",Sync!$Y776=""),"",Sync!$Y776)</f>
        <v/>
      </c>
      <c r="J780">
        <f>IF(OR($G780="",Sync!$Z776=""),"",Sync!$Z776)</f>
        <v/>
      </c>
      <c r="K780">
        <f>IF($G780="",0,IF(Sync!$AA776="",0,Sync!$AA776))</f>
        <v/>
      </c>
      <c r="L780">
        <f>IF($G780="",0,IF(Sync!$AB776="",0,Sync!$AB776))</f>
        <v/>
      </c>
      <c r="M780">
        <f>IF($G780="","",IF($H780="مرجوعی فروش",-1,1)*($K780-$L780*IFERROR(VLOOKUP("P01",ParamTbl,3,0),1.5)))</f>
        <v/>
      </c>
      <c r="N780">
        <f>IF($G780="",0,IF($H780="مرجوعی فروش",-1,1)*IF(Sync!$AC776="",0,Sync!$AC776))</f>
        <v/>
      </c>
      <c r="O780">
        <f>IF(OR($G780="",Sync!$V776=""),"",Sync!$V776)</f>
        <v/>
      </c>
      <c r="P780">
        <f>IF(OR($G780="",Sync!$AD776=""),"",Sync!$AD776)</f>
        <v/>
      </c>
      <c r="Q780">
        <f>IF($G780="","",IF(Sync!$U776="","0000",IF(AND(ISNUMBER(Sync!$U776),Sync!$U776&gt;=0,Sync!$U776&lt;1),RIGHT("00"&amp;HOUR(Sync!$U776),2)&amp;RIGHT("00"&amp;MINUTE(Sync!$U776),2),IFERROR(RIGHT("00"&amp;VALUE(LEFT(Sync!$U776,FIND(":",Sync!$U776)-1)),2)&amp;RIGHT("00"&amp;VALUE(MID(Sync!$U776,FIND(":",Sync!$U776)+1,2)),2),"0000"))))</f>
        <v/>
      </c>
    </row>
    <row r="781">
      <c r="A781">
        <f>IF(Sync!$T777="","",Sync!$T777)</f>
        <v/>
      </c>
      <c r="B781">
        <f>IF($A781="","",IF(ISNUMBER($A781),IF(AND($A781&gt;=10000101,$A781&lt;=99991231),INT($A781/10000),""),IFERROR(VALUE(TRIM(LEFT($A781,FIND("/",$A781)-1))),"")))</f>
        <v/>
      </c>
      <c r="C781">
        <f>IF(OR($A781="",$B781=""),"",IF(ISNUMBER($A781),INT(MOD($A781,10000)/100),IFERROR(VALUE(TRIM(LEFT(MID($A781,FIND("/",$A781)+1,20),FIND("/",MID($A781,FIND("/",$A781)+1,20))-1))),"")))</f>
        <v/>
      </c>
      <c r="D781">
        <f>IF(OR($A781="",$B781=""),"",IF(ISNUMBER($A781),MOD($A781,100),IFERROR(VALUE(TRIM(MID(MID($A781,FIND("/",$A781)+1,20),FIND("/",MID($A781,FIND("/",$A781)+1,20))+1,20))),"")))</f>
        <v/>
      </c>
      <c r="E781">
        <f>IF($A781="","",IF(OR($B781="",$C781="",$D781="",$B781&lt;1300,$B781&gt;1500,$C781&lt;1,$C781&gt;12,$D781&lt;1,$D781&gt;31),"نامعتبر",RIGHT("0000"&amp;$B781,4)&amp;"/"&amp;RIGHT("00"&amp;$C781,2)&amp;"/"&amp;RIGHT("00"&amp;$D781,2)))</f>
        <v/>
      </c>
      <c r="F781">
        <f>IF(OR($E781="",$E781="نامعتبر"),"",LEFT($E781,4)&amp;"/"&amp;MID($E781,6,2))</f>
        <v/>
      </c>
      <c r="G781">
        <f>IF(OR($E781="",$E781="نامعتبر",Sync!$X777=""),"",IF(AND(LEFT(UPPER(TRIM(Sync!$X777)),2)="SL",IFERROR(VLOOKUP(Sync!$W777,OpTbl,3,0),"")="فروش"),UPPER(TRIM(Sync!$X777)),""))</f>
        <v/>
      </c>
      <c r="H781">
        <f>IF($G781="","",IF(Sync!$W777="","",Sync!$W777))</f>
        <v/>
      </c>
      <c r="I781">
        <f>IF(OR($G781="",Sync!$Y777=""),"",Sync!$Y777)</f>
        <v/>
      </c>
      <c r="J781">
        <f>IF(OR($G781="",Sync!$Z777=""),"",Sync!$Z777)</f>
        <v/>
      </c>
      <c r="K781">
        <f>IF($G781="",0,IF(Sync!$AA777="",0,Sync!$AA777))</f>
        <v/>
      </c>
      <c r="L781">
        <f>IF($G781="",0,IF(Sync!$AB777="",0,Sync!$AB777))</f>
        <v/>
      </c>
      <c r="M781">
        <f>IF($G781="","",IF($H781="مرجوعی فروش",-1,1)*($K781-$L781*IFERROR(VLOOKUP("P01",ParamTbl,3,0),1.5)))</f>
        <v/>
      </c>
      <c r="N781">
        <f>IF($G781="",0,IF($H781="مرجوعی فروش",-1,1)*IF(Sync!$AC777="",0,Sync!$AC777))</f>
        <v/>
      </c>
      <c r="O781">
        <f>IF(OR($G781="",Sync!$V777=""),"",Sync!$V777)</f>
        <v/>
      </c>
      <c r="P781">
        <f>IF(OR($G781="",Sync!$AD777=""),"",Sync!$AD777)</f>
        <v/>
      </c>
      <c r="Q781">
        <f>IF($G781="","",IF(Sync!$U777="","0000",IF(AND(ISNUMBER(Sync!$U777),Sync!$U777&gt;=0,Sync!$U777&lt;1),RIGHT("00"&amp;HOUR(Sync!$U777),2)&amp;RIGHT("00"&amp;MINUTE(Sync!$U777),2),IFERROR(RIGHT("00"&amp;VALUE(LEFT(Sync!$U777,FIND(":",Sync!$U777)-1)),2)&amp;RIGHT("00"&amp;VALUE(MID(Sync!$U777,FIND(":",Sync!$U777)+1,2)),2),"0000"))))</f>
        <v/>
      </c>
    </row>
    <row r="782">
      <c r="A782">
        <f>IF(Sync!$T778="","",Sync!$T778)</f>
        <v/>
      </c>
      <c r="B782">
        <f>IF($A782="","",IF(ISNUMBER($A782),IF(AND($A782&gt;=10000101,$A782&lt;=99991231),INT($A782/10000),""),IFERROR(VALUE(TRIM(LEFT($A782,FIND("/",$A782)-1))),"")))</f>
        <v/>
      </c>
      <c r="C782">
        <f>IF(OR($A782="",$B782=""),"",IF(ISNUMBER($A782),INT(MOD($A782,10000)/100),IFERROR(VALUE(TRIM(LEFT(MID($A782,FIND("/",$A782)+1,20),FIND("/",MID($A782,FIND("/",$A782)+1,20))-1))),"")))</f>
        <v/>
      </c>
      <c r="D782">
        <f>IF(OR($A782="",$B782=""),"",IF(ISNUMBER($A782),MOD($A782,100),IFERROR(VALUE(TRIM(MID(MID($A782,FIND("/",$A782)+1,20),FIND("/",MID($A782,FIND("/",$A782)+1,20))+1,20))),"")))</f>
        <v/>
      </c>
      <c r="E782">
        <f>IF($A782="","",IF(OR($B782="",$C782="",$D782="",$B782&lt;1300,$B782&gt;1500,$C782&lt;1,$C782&gt;12,$D782&lt;1,$D782&gt;31),"نامعتبر",RIGHT("0000"&amp;$B782,4)&amp;"/"&amp;RIGHT("00"&amp;$C782,2)&amp;"/"&amp;RIGHT("00"&amp;$D782,2)))</f>
        <v/>
      </c>
      <c r="F782">
        <f>IF(OR($E782="",$E782="نامعتبر"),"",LEFT($E782,4)&amp;"/"&amp;MID($E782,6,2))</f>
        <v/>
      </c>
      <c r="G782">
        <f>IF(OR($E782="",$E782="نامعتبر",Sync!$X778=""),"",IF(AND(LEFT(UPPER(TRIM(Sync!$X778)),2)="SL",IFERROR(VLOOKUP(Sync!$W778,OpTbl,3,0),"")="فروش"),UPPER(TRIM(Sync!$X778)),""))</f>
        <v/>
      </c>
      <c r="H782">
        <f>IF($G782="","",IF(Sync!$W778="","",Sync!$W778))</f>
        <v/>
      </c>
      <c r="I782">
        <f>IF(OR($G782="",Sync!$Y778=""),"",Sync!$Y778)</f>
        <v/>
      </c>
      <c r="J782">
        <f>IF(OR($G782="",Sync!$Z778=""),"",Sync!$Z778)</f>
        <v/>
      </c>
      <c r="K782">
        <f>IF($G782="",0,IF(Sync!$AA778="",0,Sync!$AA778))</f>
        <v/>
      </c>
      <c r="L782">
        <f>IF($G782="",0,IF(Sync!$AB778="",0,Sync!$AB778))</f>
        <v/>
      </c>
      <c r="M782">
        <f>IF($G782="","",IF($H782="مرجوعی فروش",-1,1)*($K782-$L782*IFERROR(VLOOKUP("P01",ParamTbl,3,0),1.5)))</f>
        <v/>
      </c>
      <c r="N782">
        <f>IF($G782="",0,IF($H782="مرجوعی فروش",-1,1)*IF(Sync!$AC778="",0,Sync!$AC778))</f>
        <v/>
      </c>
      <c r="O782">
        <f>IF(OR($G782="",Sync!$V778=""),"",Sync!$V778)</f>
        <v/>
      </c>
      <c r="P782">
        <f>IF(OR($G782="",Sync!$AD778=""),"",Sync!$AD778)</f>
        <v/>
      </c>
      <c r="Q782">
        <f>IF($G782="","",IF(Sync!$U778="","0000",IF(AND(ISNUMBER(Sync!$U778),Sync!$U778&gt;=0,Sync!$U778&lt;1),RIGHT("00"&amp;HOUR(Sync!$U778),2)&amp;RIGHT("00"&amp;MINUTE(Sync!$U778),2),IFERROR(RIGHT("00"&amp;VALUE(LEFT(Sync!$U778,FIND(":",Sync!$U778)-1)),2)&amp;RIGHT("00"&amp;VALUE(MID(Sync!$U778,FIND(":",Sync!$U778)+1,2)),2),"0000"))))</f>
        <v/>
      </c>
    </row>
    <row r="783">
      <c r="A783">
        <f>IF(Sync!$T779="","",Sync!$T779)</f>
        <v/>
      </c>
      <c r="B783">
        <f>IF($A783="","",IF(ISNUMBER($A783),IF(AND($A783&gt;=10000101,$A783&lt;=99991231),INT($A783/10000),""),IFERROR(VALUE(TRIM(LEFT($A783,FIND("/",$A783)-1))),"")))</f>
        <v/>
      </c>
      <c r="C783">
        <f>IF(OR($A783="",$B783=""),"",IF(ISNUMBER($A783),INT(MOD($A783,10000)/100),IFERROR(VALUE(TRIM(LEFT(MID($A783,FIND("/",$A783)+1,20),FIND("/",MID($A783,FIND("/",$A783)+1,20))-1))),"")))</f>
        <v/>
      </c>
      <c r="D783">
        <f>IF(OR($A783="",$B783=""),"",IF(ISNUMBER($A783),MOD($A783,100),IFERROR(VALUE(TRIM(MID(MID($A783,FIND("/",$A783)+1,20),FIND("/",MID($A783,FIND("/",$A783)+1,20))+1,20))),"")))</f>
        <v/>
      </c>
      <c r="E783">
        <f>IF($A783="","",IF(OR($B783="",$C783="",$D783="",$B783&lt;1300,$B783&gt;1500,$C783&lt;1,$C783&gt;12,$D783&lt;1,$D783&gt;31),"نامعتبر",RIGHT("0000"&amp;$B783,4)&amp;"/"&amp;RIGHT("00"&amp;$C783,2)&amp;"/"&amp;RIGHT("00"&amp;$D783,2)))</f>
        <v/>
      </c>
      <c r="F783">
        <f>IF(OR($E783="",$E783="نامعتبر"),"",LEFT($E783,4)&amp;"/"&amp;MID($E783,6,2))</f>
        <v/>
      </c>
      <c r="G783">
        <f>IF(OR($E783="",$E783="نامعتبر",Sync!$X779=""),"",IF(AND(LEFT(UPPER(TRIM(Sync!$X779)),2)="SL",IFERROR(VLOOKUP(Sync!$W779,OpTbl,3,0),"")="فروش"),UPPER(TRIM(Sync!$X779)),""))</f>
        <v/>
      </c>
      <c r="H783">
        <f>IF($G783="","",IF(Sync!$W779="","",Sync!$W779))</f>
        <v/>
      </c>
      <c r="I783">
        <f>IF(OR($G783="",Sync!$Y779=""),"",Sync!$Y779)</f>
        <v/>
      </c>
      <c r="J783">
        <f>IF(OR($G783="",Sync!$Z779=""),"",Sync!$Z779)</f>
        <v/>
      </c>
      <c r="K783">
        <f>IF($G783="",0,IF(Sync!$AA779="",0,Sync!$AA779))</f>
        <v/>
      </c>
      <c r="L783">
        <f>IF($G783="",0,IF(Sync!$AB779="",0,Sync!$AB779))</f>
        <v/>
      </c>
      <c r="M783">
        <f>IF($G783="","",IF($H783="مرجوعی فروش",-1,1)*($K783-$L783*IFERROR(VLOOKUP("P01",ParamTbl,3,0),1.5)))</f>
        <v/>
      </c>
      <c r="N783">
        <f>IF($G783="",0,IF($H783="مرجوعی فروش",-1,1)*IF(Sync!$AC779="",0,Sync!$AC779))</f>
        <v/>
      </c>
      <c r="O783">
        <f>IF(OR($G783="",Sync!$V779=""),"",Sync!$V779)</f>
        <v/>
      </c>
      <c r="P783">
        <f>IF(OR($G783="",Sync!$AD779=""),"",Sync!$AD779)</f>
        <v/>
      </c>
      <c r="Q783">
        <f>IF($G783="","",IF(Sync!$U779="","0000",IF(AND(ISNUMBER(Sync!$U779),Sync!$U779&gt;=0,Sync!$U779&lt;1),RIGHT("00"&amp;HOUR(Sync!$U779),2)&amp;RIGHT("00"&amp;MINUTE(Sync!$U779),2),IFERROR(RIGHT("00"&amp;VALUE(LEFT(Sync!$U779,FIND(":",Sync!$U779)-1)),2)&amp;RIGHT("00"&amp;VALUE(MID(Sync!$U779,FIND(":",Sync!$U779)+1,2)),2),"0000"))))</f>
        <v/>
      </c>
    </row>
    <row r="784">
      <c r="A784">
        <f>IF(Sync!$T780="","",Sync!$T780)</f>
        <v/>
      </c>
      <c r="B784">
        <f>IF($A784="","",IF(ISNUMBER($A784),IF(AND($A784&gt;=10000101,$A784&lt;=99991231),INT($A784/10000),""),IFERROR(VALUE(TRIM(LEFT($A784,FIND("/",$A784)-1))),"")))</f>
        <v/>
      </c>
      <c r="C784">
        <f>IF(OR($A784="",$B784=""),"",IF(ISNUMBER($A784),INT(MOD($A784,10000)/100),IFERROR(VALUE(TRIM(LEFT(MID($A784,FIND("/",$A784)+1,20),FIND("/",MID($A784,FIND("/",$A784)+1,20))-1))),"")))</f>
        <v/>
      </c>
      <c r="D784">
        <f>IF(OR($A784="",$B784=""),"",IF(ISNUMBER($A784),MOD($A784,100),IFERROR(VALUE(TRIM(MID(MID($A784,FIND("/",$A784)+1,20),FIND("/",MID($A784,FIND("/",$A784)+1,20))+1,20))),"")))</f>
        <v/>
      </c>
      <c r="E784">
        <f>IF($A784="","",IF(OR($B784="",$C784="",$D784="",$B784&lt;1300,$B784&gt;1500,$C784&lt;1,$C784&gt;12,$D784&lt;1,$D784&gt;31),"نامعتبر",RIGHT("0000"&amp;$B784,4)&amp;"/"&amp;RIGHT("00"&amp;$C784,2)&amp;"/"&amp;RIGHT("00"&amp;$D784,2)))</f>
        <v/>
      </c>
      <c r="F784">
        <f>IF(OR($E784="",$E784="نامعتبر"),"",LEFT($E784,4)&amp;"/"&amp;MID($E784,6,2))</f>
        <v/>
      </c>
      <c r="G784">
        <f>IF(OR($E784="",$E784="نامعتبر",Sync!$X780=""),"",IF(AND(LEFT(UPPER(TRIM(Sync!$X780)),2)="SL",IFERROR(VLOOKUP(Sync!$W780,OpTbl,3,0),"")="فروش"),UPPER(TRIM(Sync!$X780)),""))</f>
        <v/>
      </c>
      <c r="H784">
        <f>IF($G784="","",IF(Sync!$W780="","",Sync!$W780))</f>
        <v/>
      </c>
      <c r="I784">
        <f>IF(OR($G784="",Sync!$Y780=""),"",Sync!$Y780)</f>
        <v/>
      </c>
      <c r="J784">
        <f>IF(OR($G784="",Sync!$Z780=""),"",Sync!$Z780)</f>
        <v/>
      </c>
      <c r="K784">
        <f>IF($G784="",0,IF(Sync!$AA780="",0,Sync!$AA780))</f>
        <v/>
      </c>
      <c r="L784">
        <f>IF($G784="",0,IF(Sync!$AB780="",0,Sync!$AB780))</f>
        <v/>
      </c>
      <c r="M784">
        <f>IF($G784="","",IF($H784="مرجوعی فروش",-1,1)*($K784-$L784*IFERROR(VLOOKUP("P01",ParamTbl,3,0),1.5)))</f>
        <v/>
      </c>
      <c r="N784">
        <f>IF($G784="",0,IF($H784="مرجوعی فروش",-1,1)*IF(Sync!$AC780="",0,Sync!$AC780))</f>
        <v/>
      </c>
      <c r="O784">
        <f>IF(OR($G784="",Sync!$V780=""),"",Sync!$V780)</f>
        <v/>
      </c>
      <c r="P784">
        <f>IF(OR($G784="",Sync!$AD780=""),"",Sync!$AD780)</f>
        <v/>
      </c>
      <c r="Q784">
        <f>IF($G784="","",IF(Sync!$U780="","0000",IF(AND(ISNUMBER(Sync!$U780),Sync!$U780&gt;=0,Sync!$U780&lt;1),RIGHT("00"&amp;HOUR(Sync!$U780),2)&amp;RIGHT("00"&amp;MINUTE(Sync!$U780),2),IFERROR(RIGHT("00"&amp;VALUE(LEFT(Sync!$U780,FIND(":",Sync!$U780)-1)),2)&amp;RIGHT("00"&amp;VALUE(MID(Sync!$U780,FIND(":",Sync!$U780)+1,2)),2),"0000"))))</f>
        <v/>
      </c>
    </row>
    <row r="785">
      <c r="A785">
        <f>IF(Sync!$T781="","",Sync!$T781)</f>
        <v/>
      </c>
      <c r="B785">
        <f>IF($A785="","",IF(ISNUMBER($A785),IF(AND($A785&gt;=10000101,$A785&lt;=99991231),INT($A785/10000),""),IFERROR(VALUE(TRIM(LEFT($A785,FIND("/",$A785)-1))),"")))</f>
        <v/>
      </c>
      <c r="C785">
        <f>IF(OR($A785="",$B785=""),"",IF(ISNUMBER($A785),INT(MOD($A785,10000)/100),IFERROR(VALUE(TRIM(LEFT(MID($A785,FIND("/",$A785)+1,20),FIND("/",MID($A785,FIND("/",$A785)+1,20))-1))),"")))</f>
        <v/>
      </c>
      <c r="D785">
        <f>IF(OR($A785="",$B785=""),"",IF(ISNUMBER($A785),MOD($A785,100),IFERROR(VALUE(TRIM(MID(MID($A785,FIND("/",$A785)+1,20),FIND("/",MID($A785,FIND("/",$A785)+1,20))+1,20))),"")))</f>
        <v/>
      </c>
      <c r="E785">
        <f>IF($A785="","",IF(OR($B785="",$C785="",$D785="",$B785&lt;1300,$B785&gt;1500,$C785&lt;1,$C785&gt;12,$D785&lt;1,$D785&gt;31),"نامعتبر",RIGHT("0000"&amp;$B785,4)&amp;"/"&amp;RIGHT("00"&amp;$C785,2)&amp;"/"&amp;RIGHT("00"&amp;$D785,2)))</f>
        <v/>
      </c>
      <c r="F785">
        <f>IF(OR($E785="",$E785="نامعتبر"),"",LEFT($E785,4)&amp;"/"&amp;MID($E785,6,2))</f>
        <v/>
      </c>
      <c r="G785">
        <f>IF(OR($E785="",$E785="نامعتبر",Sync!$X781=""),"",IF(AND(LEFT(UPPER(TRIM(Sync!$X781)),2)="SL",IFERROR(VLOOKUP(Sync!$W781,OpTbl,3,0),"")="فروش"),UPPER(TRIM(Sync!$X781)),""))</f>
        <v/>
      </c>
      <c r="H785">
        <f>IF($G785="","",IF(Sync!$W781="","",Sync!$W781))</f>
        <v/>
      </c>
      <c r="I785">
        <f>IF(OR($G785="",Sync!$Y781=""),"",Sync!$Y781)</f>
        <v/>
      </c>
      <c r="J785">
        <f>IF(OR($G785="",Sync!$Z781=""),"",Sync!$Z781)</f>
        <v/>
      </c>
      <c r="K785">
        <f>IF($G785="",0,IF(Sync!$AA781="",0,Sync!$AA781))</f>
        <v/>
      </c>
      <c r="L785">
        <f>IF($G785="",0,IF(Sync!$AB781="",0,Sync!$AB781))</f>
        <v/>
      </c>
      <c r="M785">
        <f>IF($G785="","",IF($H785="مرجوعی فروش",-1,1)*($K785-$L785*IFERROR(VLOOKUP("P01",ParamTbl,3,0),1.5)))</f>
        <v/>
      </c>
      <c r="N785">
        <f>IF($G785="",0,IF($H785="مرجوعی فروش",-1,1)*IF(Sync!$AC781="",0,Sync!$AC781))</f>
        <v/>
      </c>
      <c r="O785">
        <f>IF(OR($G785="",Sync!$V781=""),"",Sync!$V781)</f>
        <v/>
      </c>
      <c r="P785">
        <f>IF(OR($G785="",Sync!$AD781=""),"",Sync!$AD781)</f>
        <v/>
      </c>
      <c r="Q785">
        <f>IF($G785="","",IF(Sync!$U781="","0000",IF(AND(ISNUMBER(Sync!$U781),Sync!$U781&gt;=0,Sync!$U781&lt;1),RIGHT("00"&amp;HOUR(Sync!$U781),2)&amp;RIGHT("00"&amp;MINUTE(Sync!$U781),2),IFERROR(RIGHT("00"&amp;VALUE(LEFT(Sync!$U781,FIND(":",Sync!$U781)-1)),2)&amp;RIGHT("00"&amp;VALUE(MID(Sync!$U781,FIND(":",Sync!$U781)+1,2)),2),"0000"))))</f>
        <v/>
      </c>
    </row>
    <row r="786">
      <c r="A786">
        <f>IF(Sync!$T782="","",Sync!$T782)</f>
        <v/>
      </c>
      <c r="B786">
        <f>IF($A786="","",IF(ISNUMBER($A786),IF(AND($A786&gt;=10000101,$A786&lt;=99991231),INT($A786/10000),""),IFERROR(VALUE(TRIM(LEFT($A786,FIND("/",$A786)-1))),"")))</f>
        <v/>
      </c>
      <c r="C786">
        <f>IF(OR($A786="",$B786=""),"",IF(ISNUMBER($A786),INT(MOD($A786,10000)/100),IFERROR(VALUE(TRIM(LEFT(MID($A786,FIND("/",$A786)+1,20),FIND("/",MID($A786,FIND("/",$A786)+1,20))-1))),"")))</f>
        <v/>
      </c>
      <c r="D786">
        <f>IF(OR($A786="",$B786=""),"",IF(ISNUMBER($A786),MOD($A786,100),IFERROR(VALUE(TRIM(MID(MID($A786,FIND("/",$A786)+1,20),FIND("/",MID($A786,FIND("/",$A786)+1,20))+1,20))),"")))</f>
        <v/>
      </c>
      <c r="E786">
        <f>IF($A786="","",IF(OR($B786="",$C786="",$D786="",$B786&lt;1300,$B786&gt;1500,$C786&lt;1,$C786&gt;12,$D786&lt;1,$D786&gt;31),"نامعتبر",RIGHT("0000"&amp;$B786,4)&amp;"/"&amp;RIGHT("00"&amp;$C786,2)&amp;"/"&amp;RIGHT("00"&amp;$D786,2)))</f>
        <v/>
      </c>
      <c r="F786">
        <f>IF(OR($E786="",$E786="نامعتبر"),"",LEFT($E786,4)&amp;"/"&amp;MID($E786,6,2))</f>
        <v/>
      </c>
      <c r="G786">
        <f>IF(OR($E786="",$E786="نامعتبر",Sync!$X782=""),"",IF(AND(LEFT(UPPER(TRIM(Sync!$X782)),2)="SL",IFERROR(VLOOKUP(Sync!$W782,OpTbl,3,0),"")="فروش"),UPPER(TRIM(Sync!$X782)),""))</f>
        <v/>
      </c>
      <c r="H786">
        <f>IF($G786="","",IF(Sync!$W782="","",Sync!$W782))</f>
        <v/>
      </c>
      <c r="I786">
        <f>IF(OR($G786="",Sync!$Y782=""),"",Sync!$Y782)</f>
        <v/>
      </c>
      <c r="J786">
        <f>IF(OR($G786="",Sync!$Z782=""),"",Sync!$Z782)</f>
        <v/>
      </c>
      <c r="K786">
        <f>IF($G786="",0,IF(Sync!$AA782="",0,Sync!$AA782))</f>
        <v/>
      </c>
      <c r="L786">
        <f>IF($G786="",0,IF(Sync!$AB782="",0,Sync!$AB782))</f>
        <v/>
      </c>
      <c r="M786">
        <f>IF($G786="","",IF($H786="مرجوعی فروش",-1,1)*($K786-$L786*IFERROR(VLOOKUP("P01",ParamTbl,3,0),1.5)))</f>
        <v/>
      </c>
      <c r="N786">
        <f>IF($G786="",0,IF($H786="مرجوعی فروش",-1,1)*IF(Sync!$AC782="",0,Sync!$AC782))</f>
        <v/>
      </c>
      <c r="O786">
        <f>IF(OR($G786="",Sync!$V782=""),"",Sync!$V782)</f>
        <v/>
      </c>
      <c r="P786">
        <f>IF(OR($G786="",Sync!$AD782=""),"",Sync!$AD782)</f>
        <v/>
      </c>
      <c r="Q786">
        <f>IF($G786="","",IF(Sync!$U782="","0000",IF(AND(ISNUMBER(Sync!$U782),Sync!$U782&gt;=0,Sync!$U782&lt;1),RIGHT("00"&amp;HOUR(Sync!$U782),2)&amp;RIGHT("00"&amp;MINUTE(Sync!$U782),2),IFERROR(RIGHT("00"&amp;VALUE(LEFT(Sync!$U782,FIND(":",Sync!$U782)-1)),2)&amp;RIGHT("00"&amp;VALUE(MID(Sync!$U782,FIND(":",Sync!$U782)+1,2)),2),"0000"))))</f>
        <v/>
      </c>
    </row>
    <row r="787">
      <c r="A787">
        <f>IF(Sync!$T783="","",Sync!$T783)</f>
        <v/>
      </c>
      <c r="B787">
        <f>IF($A787="","",IF(ISNUMBER($A787),IF(AND($A787&gt;=10000101,$A787&lt;=99991231),INT($A787/10000),""),IFERROR(VALUE(TRIM(LEFT($A787,FIND("/",$A787)-1))),"")))</f>
        <v/>
      </c>
      <c r="C787">
        <f>IF(OR($A787="",$B787=""),"",IF(ISNUMBER($A787),INT(MOD($A787,10000)/100),IFERROR(VALUE(TRIM(LEFT(MID($A787,FIND("/",$A787)+1,20),FIND("/",MID($A787,FIND("/",$A787)+1,20))-1))),"")))</f>
        <v/>
      </c>
      <c r="D787">
        <f>IF(OR($A787="",$B787=""),"",IF(ISNUMBER($A787),MOD($A787,100),IFERROR(VALUE(TRIM(MID(MID($A787,FIND("/",$A787)+1,20),FIND("/",MID($A787,FIND("/",$A787)+1,20))+1,20))),"")))</f>
        <v/>
      </c>
      <c r="E787">
        <f>IF($A787="","",IF(OR($B787="",$C787="",$D787="",$B787&lt;1300,$B787&gt;1500,$C787&lt;1,$C787&gt;12,$D787&lt;1,$D787&gt;31),"نامعتبر",RIGHT("0000"&amp;$B787,4)&amp;"/"&amp;RIGHT("00"&amp;$C787,2)&amp;"/"&amp;RIGHT("00"&amp;$D787,2)))</f>
        <v/>
      </c>
      <c r="F787">
        <f>IF(OR($E787="",$E787="نامعتبر"),"",LEFT($E787,4)&amp;"/"&amp;MID($E787,6,2))</f>
        <v/>
      </c>
      <c r="G787">
        <f>IF(OR($E787="",$E787="نامعتبر",Sync!$X783=""),"",IF(AND(LEFT(UPPER(TRIM(Sync!$X783)),2)="SL",IFERROR(VLOOKUP(Sync!$W783,OpTbl,3,0),"")="فروش"),UPPER(TRIM(Sync!$X783)),""))</f>
        <v/>
      </c>
      <c r="H787">
        <f>IF($G787="","",IF(Sync!$W783="","",Sync!$W783))</f>
        <v/>
      </c>
      <c r="I787">
        <f>IF(OR($G787="",Sync!$Y783=""),"",Sync!$Y783)</f>
        <v/>
      </c>
      <c r="J787">
        <f>IF(OR($G787="",Sync!$Z783=""),"",Sync!$Z783)</f>
        <v/>
      </c>
      <c r="K787">
        <f>IF($G787="",0,IF(Sync!$AA783="",0,Sync!$AA783))</f>
        <v/>
      </c>
      <c r="L787">
        <f>IF($G787="",0,IF(Sync!$AB783="",0,Sync!$AB783))</f>
        <v/>
      </c>
      <c r="M787">
        <f>IF($G787="","",IF($H787="مرجوعی فروش",-1,1)*($K787-$L787*IFERROR(VLOOKUP("P01",ParamTbl,3,0),1.5)))</f>
        <v/>
      </c>
      <c r="N787">
        <f>IF($G787="",0,IF($H787="مرجوعی فروش",-1,1)*IF(Sync!$AC783="",0,Sync!$AC783))</f>
        <v/>
      </c>
      <c r="O787">
        <f>IF(OR($G787="",Sync!$V783=""),"",Sync!$V783)</f>
        <v/>
      </c>
      <c r="P787">
        <f>IF(OR($G787="",Sync!$AD783=""),"",Sync!$AD783)</f>
        <v/>
      </c>
      <c r="Q787">
        <f>IF($G787="","",IF(Sync!$U783="","0000",IF(AND(ISNUMBER(Sync!$U783),Sync!$U783&gt;=0,Sync!$U783&lt;1),RIGHT("00"&amp;HOUR(Sync!$U783),2)&amp;RIGHT("00"&amp;MINUTE(Sync!$U783),2),IFERROR(RIGHT("00"&amp;VALUE(LEFT(Sync!$U783,FIND(":",Sync!$U783)-1)),2)&amp;RIGHT("00"&amp;VALUE(MID(Sync!$U783,FIND(":",Sync!$U783)+1,2)),2),"0000"))))</f>
        <v/>
      </c>
    </row>
    <row r="788">
      <c r="A788">
        <f>IF(Sync!$T784="","",Sync!$T784)</f>
        <v/>
      </c>
      <c r="B788">
        <f>IF($A788="","",IF(ISNUMBER($A788),IF(AND($A788&gt;=10000101,$A788&lt;=99991231),INT($A788/10000),""),IFERROR(VALUE(TRIM(LEFT($A788,FIND("/",$A788)-1))),"")))</f>
        <v/>
      </c>
      <c r="C788">
        <f>IF(OR($A788="",$B788=""),"",IF(ISNUMBER($A788),INT(MOD($A788,10000)/100),IFERROR(VALUE(TRIM(LEFT(MID($A788,FIND("/",$A788)+1,20),FIND("/",MID($A788,FIND("/",$A788)+1,20))-1))),"")))</f>
        <v/>
      </c>
      <c r="D788">
        <f>IF(OR($A788="",$B788=""),"",IF(ISNUMBER($A788),MOD($A788,100),IFERROR(VALUE(TRIM(MID(MID($A788,FIND("/",$A788)+1,20),FIND("/",MID($A788,FIND("/",$A788)+1,20))+1,20))),"")))</f>
        <v/>
      </c>
      <c r="E788">
        <f>IF($A788="","",IF(OR($B788="",$C788="",$D788="",$B788&lt;1300,$B788&gt;1500,$C788&lt;1,$C788&gt;12,$D788&lt;1,$D788&gt;31),"نامعتبر",RIGHT("0000"&amp;$B788,4)&amp;"/"&amp;RIGHT("00"&amp;$C788,2)&amp;"/"&amp;RIGHT("00"&amp;$D788,2)))</f>
        <v/>
      </c>
      <c r="F788">
        <f>IF(OR($E788="",$E788="نامعتبر"),"",LEFT($E788,4)&amp;"/"&amp;MID($E788,6,2))</f>
        <v/>
      </c>
      <c r="G788">
        <f>IF(OR($E788="",$E788="نامعتبر",Sync!$X784=""),"",IF(AND(LEFT(UPPER(TRIM(Sync!$X784)),2)="SL",IFERROR(VLOOKUP(Sync!$W784,OpTbl,3,0),"")="فروش"),UPPER(TRIM(Sync!$X784)),""))</f>
        <v/>
      </c>
      <c r="H788">
        <f>IF($G788="","",IF(Sync!$W784="","",Sync!$W784))</f>
        <v/>
      </c>
      <c r="I788">
        <f>IF(OR($G788="",Sync!$Y784=""),"",Sync!$Y784)</f>
        <v/>
      </c>
      <c r="J788">
        <f>IF(OR($G788="",Sync!$Z784=""),"",Sync!$Z784)</f>
        <v/>
      </c>
      <c r="K788">
        <f>IF($G788="",0,IF(Sync!$AA784="",0,Sync!$AA784))</f>
        <v/>
      </c>
      <c r="L788">
        <f>IF($G788="",0,IF(Sync!$AB784="",0,Sync!$AB784))</f>
        <v/>
      </c>
      <c r="M788">
        <f>IF($G788="","",IF($H788="مرجوعی فروش",-1,1)*($K788-$L788*IFERROR(VLOOKUP("P01",ParamTbl,3,0),1.5)))</f>
        <v/>
      </c>
      <c r="N788">
        <f>IF($G788="",0,IF($H788="مرجوعی فروش",-1,1)*IF(Sync!$AC784="",0,Sync!$AC784))</f>
        <v/>
      </c>
      <c r="O788">
        <f>IF(OR($G788="",Sync!$V784=""),"",Sync!$V784)</f>
        <v/>
      </c>
      <c r="P788">
        <f>IF(OR($G788="",Sync!$AD784=""),"",Sync!$AD784)</f>
        <v/>
      </c>
      <c r="Q788">
        <f>IF($G788="","",IF(Sync!$U784="","0000",IF(AND(ISNUMBER(Sync!$U784),Sync!$U784&gt;=0,Sync!$U784&lt;1),RIGHT("00"&amp;HOUR(Sync!$U784),2)&amp;RIGHT("00"&amp;MINUTE(Sync!$U784),2),IFERROR(RIGHT("00"&amp;VALUE(LEFT(Sync!$U784,FIND(":",Sync!$U784)-1)),2)&amp;RIGHT("00"&amp;VALUE(MID(Sync!$U784,FIND(":",Sync!$U784)+1,2)),2),"0000"))))</f>
        <v/>
      </c>
    </row>
    <row r="789">
      <c r="A789">
        <f>IF(Sync!$T785="","",Sync!$T785)</f>
        <v/>
      </c>
      <c r="B789">
        <f>IF($A789="","",IF(ISNUMBER($A789),IF(AND($A789&gt;=10000101,$A789&lt;=99991231),INT($A789/10000),""),IFERROR(VALUE(TRIM(LEFT($A789,FIND("/",$A789)-1))),"")))</f>
        <v/>
      </c>
      <c r="C789">
        <f>IF(OR($A789="",$B789=""),"",IF(ISNUMBER($A789),INT(MOD($A789,10000)/100),IFERROR(VALUE(TRIM(LEFT(MID($A789,FIND("/",$A789)+1,20),FIND("/",MID($A789,FIND("/",$A789)+1,20))-1))),"")))</f>
        <v/>
      </c>
      <c r="D789">
        <f>IF(OR($A789="",$B789=""),"",IF(ISNUMBER($A789),MOD($A789,100),IFERROR(VALUE(TRIM(MID(MID($A789,FIND("/",$A789)+1,20),FIND("/",MID($A789,FIND("/",$A789)+1,20))+1,20))),"")))</f>
        <v/>
      </c>
      <c r="E789">
        <f>IF($A789="","",IF(OR($B789="",$C789="",$D789="",$B789&lt;1300,$B789&gt;1500,$C789&lt;1,$C789&gt;12,$D789&lt;1,$D789&gt;31),"نامعتبر",RIGHT("0000"&amp;$B789,4)&amp;"/"&amp;RIGHT("00"&amp;$C789,2)&amp;"/"&amp;RIGHT("00"&amp;$D789,2)))</f>
        <v/>
      </c>
      <c r="F789">
        <f>IF(OR($E789="",$E789="نامعتبر"),"",LEFT($E789,4)&amp;"/"&amp;MID($E789,6,2))</f>
        <v/>
      </c>
      <c r="G789">
        <f>IF(OR($E789="",$E789="نامعتبر",Sync!$X785=""),"",IF(AND(LEFT(UPPER(TRIM(Sync!$X785)),2)="SL",IFERROR(VLOOKUP(Sync!$W785,OpTbl,3,0),"")="فروش"),UPPER(TRIM(Sync!$X785)),""))</f>
        <v/>
      </c>
      <c r="H789">
        <f>IF($G789="","",IF(Sync!$W785="","",Sync!$W785))</f>
        <v/>
      </c>
      <c r="I789">
        <f>IF(OR($G789="",Sync!$Y785=""),"",Sync!$Y785)</f>
        <v/>
      </c>
      <c r="J789">
        <f>IF(OR($G789="",Sync!$Z785=""),"",Sync!$Z785)</f>
        <v/>
      </c>
      <c r="K789">
        <f>IF($G789="",0,IF(Sync!$AA785="",0,Sync!$AA785))</f>
        <v/>
      </c>
      <c r="L789">
        <f>IF($G789="",0,IF(Sync!$AB785="",0,Sync!$AB785))</f>
        <v/>
      </c>
      <c r="M789">
        <f>IF($G789="","",IF($H789="مرجوعی فروش",-1,1)*($K789-$L789*IFERROR(VLOOKUP("P01",ParamTbl,3,0),1.5)))</f>
        <v/>
      </c>
      <c r="N789">
        <f>IF($G789="",0,IF($H789="مرجوعی فروش",-1,1)*IF(Sync!$AC785="",0,Sync!$AC785))</f>
        <v/>
      </c>
      <c r="O789">
        <f>IF(OR($G789="",Sync!$V785=""),"",Sync!$V785)</f>
        <v/>
      </c>
      <c r="P789">
        <f>IF(OR($G789="",Sync!$AD785=""),"",Sync!$AD785)</f>
        <v/>
      </c>
      <c r="Q789">
        <f>IF($G789="","",IF(Sync!$U785="","0000",IF(AND(ISNUMBER(Sync!$U785),Sync!$U785&gt;=0,Sync!$U785&lt;1),RIGHT("00"&amp;HOUR(Sync!$U785),2)&amp;RIGHT("00"&amp;MINUTE(Sync!$U785),2),IFERROR(RIGHT("00"&amp;VALUE(LEFT(Sync!$U785,FIND(":",Sync!$U785)-1)),2)&amp;RIGHT("00"&amp;VALUE(MID(Sync!$U785,FIND(":",Sync!$U785)+1,2)),2),"0000"))))</f>
        <v/>
      </c>
    </row>
    <row r="790">
      <c r="A790">
        <f>IF(Sync!$T786="","",Sync!$T786)</f>
        <v/>
      </c>
      <c r="B790">
        <f>IF($A790="","",IF(ISNUMBER($A790),IF(AND($A790&gt;=10000101,$A790&lt;=99991231),INT($A790/10000),""),IFERROR(VALUE(TRIM(LEFT($A790,FIND("/",$A790)-1))),"")))</f>
        <v/>
      </c>
      <c r="C790">
        <f>IF(OR($A790="",$B790=""),"",IF(ISNUMBER($A790),INT(MOD($A790,10000)/100),IFERROR(VALUE(TRIM(LEFT(MID($A790,FIND("/",$A790)+1,20),FIND("/",MID($A790,FIND("/",$A790)+1,20))-1))),"")))</f>
        <v/>
      </c>
      <c r="D790">
        <f>IF(OR($A790="",$B790=""),"",IF(ISNUMBER($A790),MOD($A790,100),IFERROR(VALUE(TRIM(MID(MID($A790,FIND("/",$A790)+1,20),FIND("/",MID($A790,FIND("/",$A790)+1,20))+1,20))),"")))</f>
        <v/>
      </c>
      <c r="E790">
        <f>IF($A790="","",IF(OR($B790="",$C790="",$D790="",$B790&lt;1300,$B790&gt;1500,$C790&lt;1,$C790&gt;12,$D790&lt;1,$D790&gt;31),"نامعتبر",RIGHT("0000"&amp;$B790,4)&amp;"/"&amp;RIGHT("00"&amp;$C790,2)&amp;"/"&amp;RIGHT("00"&amp;$D790,2)))</f>
        <v/>
      </c>
      <c r="F790">
        <f>IF(OR($E790="",$E790="نامعتبر"),"",LEFT($E790,4)&amp;"/"&amp;MID($E790,6,2))</f>
        <v/>
      </c>
      <c r="G790">
        <f>IF(OR($E790="",$E790="نامعتبر",Sync!$X786=""),"",IF(AND(LEFT(UPPER(TRIM(Sync!$X786)),2)="SL",IFERROR(VLOOKUP(Sync!$W786,OpTbl,3,0),"")="فروش"),UPPER(TRIM(Sync!$X786)),""))</f>
        <v/>
      </c>
      <c r="H790">
        <f>IF($G790="","",IF(Sync!$W786="","",Sync!$W786))</f>
        <v/>
      </c>
      <c r="I790">
        <f>IF(OR($G790="",Sync!$Y786=""),"",Sync!$Y786)</f>
        <v/>
      </c>
      <c r="J790">
        <f>IF(OR($G790="",Sync!$Z786=""),"",Sync!$Z786)</f>
        <v/>
      </c>
      <c r="K790">
        <f>IF($G790="",0,IF(Sync!$AA786="",0,Sync!$AA786))</f>
        <v/>
      </c>
      <c r="L790">
        <f>IF($G790="",0,IF(Sync!$AB786="",0,Sync!$AB786))</f>
        <v/>
      </c>
      <c r="M790">
        <f>IF($G790="","",IF($H790="مرجوعی فروش",-1,1)*($K790-$L790*IFERROR(VLOOKUP("P01",ParamTbl,3,0),1.5)))</f>
        <v/>
      </c>
      <c r="N790">
        <f>IF($G790="",0,IF($H790="مرجوعی فروش",-1,1)*IF(Sync!$AC786="",0,Sync!$AC786))</f>
        <v/>
      </c>
      <c r="O790">
        <f>IF(OR($G790="",Sync!$V786=""),"",Sync!$V786)</f>
        <v/>
      </c>
      <c r="P790">
        <f>IF(OR($G790="",Sync!$AD786=""),"",Sync!$AD786)</f>
        <v/>
      </c>
      <c r="Q790">
        <f>IF($G790="","",IF(Sync!$U786="","0000",IF(AND(ISNUMBER(Sync!$U786),Sync!$U786&gt;=0,Sync!$U786&lt;1),RIGHT("00"&amp;HOUR(Sync!$U786),2)&amp;RIGHT("00"&amp;MINUTE(Sync!$U786),2),IFERROR(RIGHT("00"&amp;VALUE(LEFT(Sync!$U786,FIND(":",Sync!$U786)-1)),2)&amp;RIGHT("00"&amp;VALUE(MID(Sync!$U786,FIND(":",Sync!$U786)+1,2)),2),"0000"))))</f>
        <v/>
      </c>
    </row>
    <row r="791">
      <c r="A791">
        <f>IF(Sync!$T787="","",Sync!$T787)</f>
        <v/>
      </c>
      <c r="B791">
        <f>IF($A791="","",IF(ISNUMBER($A791),IF(AND($A791&gt;=10000101,$A791&lt;=99991231),INT($A791/10000),""),IFERROR(VALUE(TRIM(LEFT($A791,FIND("/",$A791)-1))),"")))</f>
        <v/>
      </c>
      <c r="C791">
        <f>IF(OR($A791="",$B791=""),"",IF(ISNUMBER($A791),INT(MOD($A791,10000)/100),IFERROR(VALUE(TRIM(LEFT(MID($A791,FIND("/",$A791)+1,20),FIND("/",MID($A791,FIND("/",$A791)+1,20))-1))),"")))</f>
        <v/>
      </c>
      <c r="D791">
        <f>IF(OR($A791="",$B791=""),"",IF(ISNUMBER($A791),MOD($A791,100),IFERROR(VALUE(TRIM(MID(MID($A791,FIND("/",$A791)+1,20),FIND("/",MID($A791,FIND("/",$A791)+1,20))+1,20))),"")))</f>
        <v/>
      </c>
      <c r="E791">
        <f>IF($A791="","",IF(OR($B791="",$C791="",$D791="",$B791&lt;1300,$B791&gt;1500,$C791&lt;1,$C791&gt;12,$D791&lt;1,$D791&gt;31),"نامعتبر",RIGHT("0000"&amp;$B791,4)&amp;"/"&amp;RIGHT("00"&amp;$C791,2)&amp;"/"&amp;RIGHT("00"&amp;$D791,2)))</f>
        <v/>
      </c>
      <c r="F791">
        <f>IF(OR($E791="",$E791="نامعتبر"),"",LEFT($E791,4)&amp;"/"&amp;MID($E791,6,2))</f>
        <v/>
      </c>
      <c r="G791">
        <f>IF(OR($E791="",$E791="نامعتبر",Sync!$X787=""),"",IF(AND(LEFT(UPPER(TRIM(Sync!$X787)),2)="SL",IFERROR(VLOOKUP(Sync!$W787,OpTbl,3,0),"")="فروش"),UPPER(TRIM(Sync!$X787)),""))</f>
        <v/>
      </c>
      <c r="H791">
        <f>IF($G791="","",IF(Sync!$W787="","",Sync!$W787))</f>
        <v/>
      </c>
      <c r="I791">
        <f>IF(OR($G791="",Sync!$Y787=""),"",Sync!$Y787)</f>
        <v/>
      </c>
      <c r="J791">
        <f>IF(OR($G791="",Sync!$Z787=""),"",Sync!$Z787)</f>
        <v/>
      </c>
      <c r="K791">
        <f>IF($G791="",0,IF(Sync!$AA787="",0,Sync!$AA787))</f>
        <v/>
      </c>
      <c r="L791">
        <f>IF($G791="",0,IF(Sync!$AB787="",0,Sync!$AB787))</f>
        <v/>
      </c>
      <c r="M791">
        <f>IF($G791="","",IF($H791="مرجوعی فروش",-1,1)*($K791-$L791*IFERROR(VLOOKUP("P01",ParamTbl,3,0),1.5)))</f>
        <v/>
      </c>
      <c r="N791">
        <f>IF($G791="",0,IF($H791="مرجوعی فروش",-1,1)*IF(Sync!$AC787="",0,Sync!$AC787))</f>
        <v/>
      </c>
      <c r="O791">
        <f>IF(OR($G791="",Sync!$V787=""),"",Sync!$V787)</f>
        <v/>
      </c>
      <c r="P791">
        <f>IF(OR($G791="",Sync!$AD787=""),"",Sync!$AD787)</f>
        <v/>
      </c>
      <c r="Q791">
        <f>IF($G791="","",IF(Sync!$U787="","0000",IF(AND(ISNUMBER(Sync!$U787),Sync!$U787&gt;=0,Sync!$U787&lt;1),RIGHT("00"&amp;HOUR(Sync!$U787),2)&amp;RIGHT("00"&amp;MINUTE(Sync!$U787),2),IFERROR(RIGHT("00"&amp;VALUE(LEFT(Sync!$U787,FIND(":",Sync!$U787)-1)),2)&amp;RIGHT("00"&amp;VALUE(MID(Sync!$U787,FIND(":",Sync!$U787)+1,2)),2),"0000"))))</f>
        <v/>
      </c>
    </row>
    <row r="792">
      <c r="A792">
        <f>IF(Sync!$T788="","",Sync!$T788)</f>
        <v/>
      </c>
      <c r="B792">
        <f>IF($A792="","",IF(ISNUMBER($A792),IF(AND($A792&gt;=10000101,$A792&lt;=99991231),INT($A792/10000),""),IFERROR(VALUE(TRIM(LEFT($A792,FIND("/",$A792)-1))),"")))</f>
        <v/>
      </c>
      <c r="C792">
        <f>IF(OR($A792="",$B792=""),"",IF(ISNUMBER($A792),INT(MOD($A792,10000)/100),IFERROR(VALUE(TRIM(LEFT(MID($A792,FIND("/",$A792)+1,20),FIND("/",MID($A792,FIND("/",$A792)+1,20))-1))),"")))</f>
        <v/>
      </c>
      <c r="D792">
        <f>IF(OR($A792="",$B792=""),"",IF(ISNUMBER($A792),MOD($A792,100),IFERROR(VALUE(TRIM(MID(MID($A792,FIND("/",$A792)+1,20),FIND("/",MID($A792,FIND("/",$A792)+1,20))+1,20))),"")))</f>
        <v/>
      </c>
      <c r="E792">
        <f>IF($A792="","",IF(OR($B792="",$C792="",$D792="",$B792&lt;1300,$B792&gt;1500,$C792&lt;1,$C792&gt;12,$D792&lt;1,$D792&gt;31),"نامعتبر",RIGHT("0000"&amp;$B792,4)&amp;"/"&amp;RIGHT("00"&amp;$C792,2)&amp;"/"&amp;RIGHT("00"&amp;$D792,2)))</f>
        <v/>
      </c>
      <c r="F792">
        <f>IF(OR($E792="",$E792="نامعتبر"),"",LEFT($E792,4)&amp;"/"&amp;MID($E792,6,2))</f>
        <v/>
      </c>
      <c r="G792">
        <f>IF(OR($E792="",$E792="نامعتبر",Sync!$X788=""),"",IF(AND(LEFT(UPPER(TRIM(Sync!$X788)),2)="SL",IFERROR(VLOOKUP(Sync!$W788,OpTbl,3,0),"")="فروش"),UPPER(TRIM(Sync!$X788)),""))</f>
        <v/>
      </c>
      <c r="H792">
        <f>IF($G792="","",IF(Sync!$W788="","",Sync!$W788))</f>
        <v/>
      </c>
      <c r="I792">
        <f>IF(OR($G792="",Sync!$Y788=""),"",Sync!$Y788)</f>
        <v/>
      </c>
      <c r="J792">
        <f>IF(OR($G792="",Sync!$Z788=""),"",Sync!$Z788)</f>
        <v/>
      </c>
      <c r="K792">
        <f>IF($G792="",0,IF(Sync!$AA788="",0,Sync!$AA788))</f>
        <v/>
      </c>
      <c r="L792">
        <f>IF($G792="",0,IF(Sync!$AB788="",0,Sync!$AB788))</f>
        <v/>
      </c>
      <c r="M792">
        <f>IF($G792="","",IF($H792="مرجوعی فروش",-1,1)*($K792-$L792*IFERROR(VLOOKUP("P01",ParamTbl,3,0),1.5)))</f>
        <v/>
      </c>
      <c r="N792">
        <f>IF($G792="",0,IF($H792="مرجوعی فروش",-1,1)*IF(Sync!$AC788="",0,Sync!$AC788))</f>
        <v/>
      </c>
      <c r="O792">
        <f>IF(OR($G792="",Sync!$V788=""),"",Sync!$V788)</f>
        <v/>
      </c>
      <c r="P792">
        <f>IF(OR($G792="",Sync!$AD788=""),"",Sync!$AD788)</f>
        <v/>
      </c>
      <c r="Q792">
        <f>IF($G792="","",IF(Sync!$U788="","0000",IF(AND(ISNUMBER(Sync!$U788),Sync!$U788&gt;=0,Sync!$U788&lt;1),RIGHT("00"&amp;HOUR(Sync!$U788),2)&amp;RIGHT("00"&amp;MINUTE(Sync!$U788),2),IFERROR(RIGHT("00"&amp;VALUE(LEFT(Sync!$U788,FIND(":",Sync!$U788)-1)),2)&amp;RIGHT("00"&amp;VALUE(MID(Sync!$U788,FIND(":",Sync!$U788)+1,2)),2),"0000"))))</f>
        <v/>
      </c>
    </row>
    <row r="793">
      <c r="A793">
        <f>IF(Sync!$T789="","",Sync!$T789)</f>
        <v/>
      </c>
      <c r="B793">
        <f>IF($A793="","",IF(ISNUMBER($A793),IF(AND($A793&gt;=10000101,$A793&lt;=99991231),INT($A793/10000),""),IFERROR(VALUE(TRIM(LEFT($A793,FIND("/",$A793)-1))),"")))</f>
        <v/>
      </c>
      <c r="C793">
        <f>IF(OR($A793="",$B793=""),"",IF(ISNUMBER($A793),INT(MOD($A793,10000)/100),IFERROR(VALUE(TRIM(LEFT(MID($A793,FIND("/",$A793)+1,20),FIND("/",MID($A793,FIND("/",$A793)+1,20))-1))),"")))</f>
        <v/>
      </c>
      <c r="D793">
        <f>IF(OR($A793="",$B793=""),"",IF(ISNUMBER($A793),MOD($A793,100),IFERROR(VALUE(TRIM(MID(MID($A793,FIND("/",$A793)+1,20),FIND("/",MID($A793,FIND("/",$A793)+1,20))+1,20))),"")))</f>
        <v/>
      </c>
      <c r="E793">
        <f>IF($A793="","",IF(OR($B793="",$C793="",$D793="",$B793&lt;1300,$B793&gt;1500,$C793&lt;1,$C793&gt;12,$D793&lt;1,$D793&gt;31),"نامعتبر",RIGHT("0000"&amp;$B793,4)&amp;"/"&amp;RIGHT("00"&amp;$C793,2)&amp;"/"&amp;RIGHT("00"&amp;$D793,2)))</f>
        <v/>
      </c>
      <c r="F793">
        <f>IF(OR($E793="",$E793="نامعتبر"),"",LEFT($E793,4)&amp;"/"&amp;MID($E793,6,2))</f>
        <v/>
      </c>
      <c r="G793">
        <f>IF(OR($E793="",$E793="نامعتبر",Sync!$X789=""),"",IF(AND(LEFT(UPPER(TRIM(Sync!$X789)),2)="SL",IFERROR(VLOOKUP(Sync!$W789,OpTbl,3,0),"")="فروش"),UPPER(TRIM(Sync!$X789)),""))</f>
        <v/>
      </c>
      <c r="H793">
        <f>IF($G793="","",IF(Sync!$W789="","",Sync!$W789))</f>
        <v/>
      </c>
      <c r="I793">
        <f>IF(OR($G793="",Sync!$Y789=""),"",Sync!$Y789)</f>
        <v/>
      </c>
      <c r="J793">
        <f>IF(OR($G793="",Sync!$Z789=""),"",Sync!$Z789)</f>
        <v/>
      </c>
      <c r="K793">
        <f>IF($G793="",0,IF(Sync!$AA789="",0,Sync!$AA789))</f>
        <v/>
      </c>
      <c r="L793">
        <f>IF($G793="",0,IF(Sync!$AB789="",0,Sync!$AB789))</f>
        <v/>
      </c>
      <c r="M793">
        <f>IF($G793="","",IF($H793="مرجوعی فروش",-1,1)*($K793-$L793*IFERROR(VLOOKUP("P01",ParamTbl,3,0),1.5)))</f>
        <v/>
      </c>
      <c r="N793">
        <f>IF($G793="",0,IF($H793="مرجوعی فروش",-1,1)*IF(Sync!$AC789="",0,Sync!$AC789))</f>
        <v/>
      </c>
      <c r="O793">
        <f>IF(OR($G793="",Sync!$V789=""),"",Sync!$V789)</f>
        <v/>
      </c>
      <c r="P793">
        <f>IF(OR($G793="",Sync!$AD789=""),"",Sync!$AD789)</f>
        <v/>
      </c>
      <c r="Q793">
        <f>IF($G793="","",IF(Sync!$U789="","0000",IF(AND(ISNUMBER(Sync!$U789),Sync!$U789&gt;=0,Sync!$U789&lt;1),RIGHT("00"&amp;HOUR(Sync!$U789),2)&amp;RIGHT("00"&amp;MINUTE(Sync!$U789),2),IFERROR(RIGHT("00"&amp;VALUE(LEFT(Sync!$U789,FIND(":",Sync!$U789)-1)),2)&amp;RIGHT("00"&amp;VALUE(MID(Sync!$U789,FIND(":",Sync!$U789)+1,2)),2),"0000"))))</f>
        <v/>
      </c>
    </row>
    <row r="794">
      <c r="A794">
        <f>IF(Sync!$T790="","",Sync!$T790)</f>
        <v/>
      </c>
      <c r="B794">
        <f>IF($A794="","",IF(ISNUMBER($A794),IF(AND($A794&gt;=10000101,$A794&lt;=99991231),INT($A794/10000),""),IFERROR(VALUE(TRIM(LEFT($A794,FIND("/",$A794)-1))),"")))</f>
        <v/>
      </c>
      <c r="C794">
        <f>IF(OR($A794="",$B794=""),"",IF(ISNUMBER($A794),INT(MOD($A794,10000)/100),IFERROR(VALUE(TRIM(LEFT(MID($A794,FIND("/",$A794)+1,20),FIND("/",MID($A794,FIND("/",$A794)+1,20))-1))),"")))</f>
        <v/>
      </c>
      <c r="D794">
        <f>IF(OR($A794="",$B794=""),"",IF(ISNUMBER($A794),MOD($A794,100),IFERROR(VALUE(TRIM(MID(MID($A794,FIND("/",$A794)+1,20),FIND("/",MID($A794,FIND("/",$A794)+1,20))+1,20))),"")))</f>
        <v/>
      </c>
      <c r="E794">
        <f>IF($A794="","",IF(OR($B794="",$C794="",$D794="",$B794&lt;1300,$B794&gt;1500,$C794&lt;1,$C794&gt;12,$D794&lt;1,$D794&gt;31),"نامعتبر",RIGHT("0000"&amp;$B794,4)&amp;"/"&amp;RIGHT("00"&amp;$C794,2)&amp;"/"&amp;RIGHT("00"&amp;$D794,2)))</f>
        <v/>
      </c>
      <c r="F794">
        <f>IF(OR($E794="",$E794="نامعتبر"),"",LEFT($E794,4)&amp;"/"&amp;MID($E794,6,2))</f>
        <v/>
      </c>
      <c r="G794">
        <f>IF(OR($E794="",$E794="نامعتبر",Sync!$X790=""),"",IF(AND(LEFT(UPPER(TRIM(Sync!$X790)),2)="SL",IFERROR(VLOOKUP(Sync!$W790,OpTbl,3,0),"")="فروش"),UPPER(TRIM(Sync!$X790)),""))</f>
        <v/>
      </c>
      <c r="H794">
        <f>IF($G794="","",IF(Sync!$W790="","",Sync!$W790))</f>
        <v/>
      </c>
      <c r="I794">
        <f>IF(OR($G794="",Sync!$Y790=""),"",Sync!$Y790)</f>
        <v/>
      </c>
      <c r="J794">
        <f>IF(OR($G794="",Sync!$Z790=""),"",Sync!$Z790)</f>
        <v/>
      </c>
      <c r="K794">
        <f>IF($G794="",0,IF(Sync!$AA790="",0,Sync!$AA790))</f>
        <v/>
      </c>
      <c r="L794">
        <f>IF($G794="",0,IF(Sync!$AB790="",0,Sync!$AB790))</f>
        <v/>
      </c>
      <c r="M794">
        <f>IF($G794="","",IF($H794="مرجوعی فروش",-1,1)*($K794-$L794*IFERROR(VLOOKUP("P01",ParamTbl,3,0),1.5)))</f>
        <v/>
      </c>
      <c r="N794">
        <f>IF($G794="",0,IF($H794="مرجوعی فروش",-1,1)*IF(Sync!$AC790="",0,Sync!$AC790))</f>
        <v/>
      </c>
      <c r="O794">
        <f>IF(OR($G794="",Sync!$V790=""),"",Sync!$V790)</f>
        <v/>
      </c>
      <c r="P794">
        <f>IF(OR($G794="",Sync!$AD790=""),"",Sync!$AD790)</f>
        <v/>
      </c>
      <c r="Q794">
        <f>IF($G794="","",IF(Sync!$U790="","0000",IF(AND(ISNUMBER(Sync!$U790),Sync!$U790&gt;=0,Sync!$U790&lt;1),RIGHT("00"&amp;HOUR(Sync!$U790),2)&amp;RIGHT("00"&amp;MINUTE(Sync!$U790),2),IFERROR(RIGHT("00"&amp;VALUE(LEFT(Sync!$U790,FIND(":",Sync!$U790)-1)),2)&amp;RIGHT("00"&amp;VALUE(MID(Sync!$U790,FIND(":",Sync!$U790)+1,2)),2),"0000"))))</f>
        <v/>
      </c>
    </row>
    <row r="795">
      <c r="A795">
        <f>IF(Sync!$T791="","",Sync!$T791)</f>
        <v/>
      </c>
      <c r="B795">
        <f>IF($A795="","",IF(ISNUMBER($A795),IF(AND($A795&gt;=10000101,$A795&lt;=99991231),INT($A795/10000),""),IFERROR(VALUE(TRIM(LEFT($A795,FIND("/",$A795)-1))),"")))</f>
        <v/>
      </c>
      <c r="C795">
        <f>IF(OR($A795="",$B795=""),"",IF(ISNUMBER($A795),INT(MOD($A795,10000)/100),IFERROR(VALUE(TRIM(LEFT(MID($A795,FIND("/",$A795)+1,20),FIND("/",MID($A795,FIND("/",$A795)+1,20))-1))),"")))</f>
        <v/>
      </c>
      <c r="D795">
        <f>IF(OR($A795="",$B795=""),"",IF(ISNUMBER($A795),MOD($A795,100),IFERROR(VALUE(TRIM(MID(MID($A795,FIND("/",$A795)+1,20),FIND("/",MID($A795,FIND("/",$A795)+1,20))+1,20))),"")))</f>
        <v/>
      </c>
      <c r="E795">
        <f>IF($A795="","",IF(OR($B795="",$C795="",$D795="",$B795&lt;1300,$B795&gt;1500,$C795&lt;1,$C795&gt;12,$D795&lt;1,$D795&gt;31),"نامعتبر",RIGHT("0000"&amp;$B795,4)&amp;"/"&amp;RIGHT("00"&amp;$C795,2)&amp;"/"&amp;RIGHT("00"&amp;$D795,2)))</f>
        <v/>
      </c>
      <c r="F795">
        <f>IF(OR($E795="",$E795="نامعتبر"),"",LEFT($E795,4)&amp;"/"&amp;MID($E795,6,2))</f>
        <v/>
      </c>
      <c r="G795">
        <f>IF(OR($E795="",$E795="نامعتبر",Sync!$X791=""),"",IF(AND(LEFT(UPPER(TRIM(Sync!$X791)),2)="SL",IFERROR(VLOOKUP(Sync!$W791,OpTbl,3,0),"")="فروش"),UPPER(TRIM(Sync!$X791)),""))</f>
        <v/>
      </c>
      <c r="H795">
        <f>IF($G795="","",IF(Sync!$W791="","",Sync!$W791))</f>
        <v/>
      </c>
      <c r="I795">
        <f>IF(OR($G795="",Sync!$Y791=""),"",Sync!$Y791)</f>
        <v/>
      </c>
      <c r="J795">
        <f>IF(OR($G795="",Sync!$Z791=""),"",Sync!$Z791)</f>
        <v/>
      </c>
      <c r="K795">
        <f>IF($G795="",0,IF(Sync!$AA791="",0,Sync!$AA791))</f>
        <v/>
      </c>
      <c r="L795">
        <f>IF($G795="",0,IF(Sync!$AB791="",0,Sync!$AB791))</f>
        <v/>
      </c>
      <c r="M795">
        <f>IF($G795="","",IF($H795="مرجوعی فروش",-1,1)*($K795-$L795*IFERROR(VLOOKUP("P01",ParamTbl,3,0),1.5)))</f>
        <v/>
      </c>
      <c r="N795">
        <f>IF($G795="",0,IF($H795="مرجوعی فروش",-1,1)*IF(Sync!$AC791="",0,Sync!$AC791))</f>
        <v/>
      </c>
      <c r="O795">
        <f>IF(OR($G795="",Sync!$V791=""),"",Sync!$V791)</f>
        <v/>
      </c>
      <c r="P795">
        <f>IF(OR($G795="",Sync!$AD791=""),"",Sync!$AD791)</f>
        <v/>
      </c>
      <c r="Q795">
        <f>IF($G795="","",IF(Sync!$U791="","0000",IF(AND(ISNUMBER(Sync!$U791),Sync!$U791&gt;=0,Sync!$U791&lt;1),RIGHT("00"&amp;HOUR(Sync!$U791),2)&amp;RIGHT("00"&amp;MINUTE(Sync!$U791),2),IFERROR(RIGHT("00"&amp;VALUE(LEFT(Sync!$U791,FIND(":",Sync!$U791)-1)),2)&amp;RIGHT("00"&amp;VALUE(MID(Sync!$U791,FIND(":",Sync!$U791)+1,2)),2),"0000"))))</f>
        <v/>
      </c>
    </row>
    <row r="796">
      <c r="A796">
        <f>IF(Sync!$T792="","",Sync!$T792)</f>
        <v/>
      </c>
      <c r="B796">
        <f>IF($A796="","",IF(ISNUMBER($A796),IF(AND($A796&gt;=10000101,$A796&lt;=99991231),INT($A796/10000),""),IFERROR(VALUE(TRIM(LEFT($A796,FIND("/",$A796)-1))),"")))</f>
        <v/>
      </c>
      <c r="C796">
        <f>IF(OR($A796="",$B796=""),"",IF(ISNUMBER($A796),INT(MOD($A796,10000)/100),IFERROR(VALUE(TRIM(LEFT(MID($A796,FIND("/",$A796)+1,20),FIND("/",MID($A796,FIND("/",$A796)+1,20))-1))),"")))</f>
        <v/>
      </c>
      <c r="D796">
        <f>IF(OR($A796="",$B796=""),"",IF(ISNUMBER($A796),MOD($A796,100),IFERROR(VALUE(TRIM(MID(MID($A796,FIND("/",$A796)+1,20),FIND("/",MID($A796,FIND("/",$A796)+1,20))+1,20))),"")))</f>
        <v/>
      </c>
      <c r="E796">
        <f>IF($A796="","",IF(OR($B796="",$C796="",$D796="",$B796&lt;1300,$B796&gt;1500,$C796&lt;1,$C796&gt;12,$D796&lt;1,$D796&gt;31),"نامعتبر",RIGHT("0000"&amp;$B796,4)&amp;"/"&amp;RIGHT("00"&amp;$C796,2)&amp;"/"&amp;RIGHT("00"&amp;$D796,2)))</f>
        <v/>
      </c>
      <c r="F796">
        <f>IF(OR($E796="",$E796="نامعتبر"),"",LEFT($E796,4)&amp;"/"&amp;MID($E796,6,2))</f>
        <v/>
      </c>
      <c r="G796">
        <f>IF(OR($E796="",$E796="نامعتبر",Sync!$X792=""),"",IF(AND(LEFT(UPPER(TRIM(Sync!$X792)),2)="SL",IFERROR(VLOOKUP(Sync!$W792,OpTbl,3,0),"")="فروش"),UPPER(TRIM(Sync!$X792)),""))</f>
        <v/>
      </c>
      <c r="H796">
        <f>IF($G796="","",IF(Sync!$W792="","",Sync!$W792))</f>
        <v/>
      </c>
      <c r="I796">
        <f>IF(OR($G796="",Sync!$Y792=""),"",Sync!$Y792)</f>
        <v/>
      </c>
      <c r="J796">
        <f>IF(OR($G796="",Sync!$Z792=""),"",Sync!$Z792)</f>
        <v/>
      </c>
      <c r="K796">
        <f>IF($G796="",0,IF(Sync!$AA792="",0,Sync!$AA792))</f>
        <v/>
      </c>
      <c r="L796">
        <f>IF($G796="",0,IF(Sync!$AB792="",0,Sync!$AB792))</f>
        <v/>
      </c>
      <c r="M796">
        <f>IF($G796="","",IF($H796="مرجوعی فروش",-1,1)*($K796-$L796*IFERROR(VLOOKUP("P01",ParamTbl,3,0),1.5)))</f>
        <v/>
      </c>
      <c r="N796">
        <f>IF($G796="",0,IF($H796="مرجوعی فروش",-1,1)*IF(Sync!$AC792="",0,Sync!$AC792))</f>
        <v/>
      </c>
      <c r="O796">
        <f>IF(OR($G796="",Sync!$V792=""),"",Sync!$V792)</f>
        <v/>
      </c>
      <c r="P796">
        <f>IF(OR($G796="",Sync!$AD792=""),"",Sync!$AD792)</f>
        <v/>
      </c>
      <c r="Q796">
        <f>IF($G796="","",IF(Sync!$U792="","0000",IF(AND(ISNUMBER(Sync!$U792),Sync!$U792&gt;=0,Sync!$U792&lt;1),RIGHT("00"&amp;HOUR(Sync!$U792),2)&amp;RIGHT("00"&amp;MINUTE(Sync!$U792),2),IFERROR(RIGHT("00"&amp;VALUE(LEFT(Sync!$U792,FIND(":",Sync!$U792)-1)),2)&amp;RIGHT("00"&amp;VALUE(MID(Sync!$U792,FIND(":",Sync!$U792)+1,2)),2),"0000"))))</f>
        <v/>
      </c>
    </row>
    <row r="797">
      <c r="A797">
        <f>IF(Sync!$T793="","",Sync!$T793)</f>
        <v/>
      </c>
      <c r="B797">
        <f>IF($A797="","",IF(ISNUMBER($A797),IF(AND($A797&gt;=10000101,$A797&lt;=99991231),INT($A797/10000),""),IFERROR(VALUE(TRIM(LEFT($A797,FIND("/",$A797)-1))),"")))</f>
        <v/>
      </c>
      <c r="C797">
        <f>IF(OR($A797="",$B797=""),"",IF(ISNUMBER($A797),INT(MOD($A797,10000)/100),IFERROR(VALUE(TRIM(LEFT(MID($A797,FIND("/",$A797)+1,20),FIND("/",MID($A797,FIND("/",$A797)+1,20))-1))),"")))</f>
        <v/>
      </c>
      <c r="D797">
        <f>IF(OR($A797="",$B797=""),"",IF(ISNUMBER($A797),MOD($A797,100),IFERROR(VALUE(TRIM(MID(MID($A797,FIND("/",$A797)+1,20),FIND("/",MID($A797,FIND("/",$A797)+1,20))+1,20))),"")))</f>
        <v/>
      </c>
      <c r="E797">
        <f>IF($A797="","",IF(OR($B797="",$C797="",$D797="",$B797&lt;1300,$B797&gt;1500,$C797&lt;1,$C797&gt;12,$D797&lt;1,$D797&gt;31),"نامعتبر",RIGHT("0000"&amp;$B797,4)&amp;"/"&amp;RIGHT("00"&amp;$C797,2)&amp;"/"&amp;RIGHT("00"&amp;$D797,2)))</f>
        <v/>
      </c>
      <c r="F797">
        <f>IF(OR($E797="",$E797="نامعتبر"),"",LEFT($E797,4)&amp;"/"&amp;MID($E797,6,2))</f>
        <v/>
      </c>
      <c r="G797">
        <f>IF(OR($E797="",$E797="نامعتبر",Sync!$X793=""),"",IF(AND(LEFT(UPPER(TRIM(Sync!$X793)),2)="SL",IFERROR(VLOOKUP(Sync!$W793,OpTbl,3,0),"")="فروش"),UPPER(TRIM(Sync!$X793)),""))</f>
        <v/>
      </c>
      <c r="H797">
        <f>IF($G797="","",IF(Sync!$W793="","",Sync!$W793))</f>
        <v/>
      </c>
      <c r="I797">
        <f>IF(OR($G797="",Sync!$Y793=""),"",Sync!$Y793)</f>
        <v/>
      </c>
      <c r="J797">
        <f>IF(OR($G797="",Sync!$Z793=""),"",Sync!$Z793)</f>
        <v/>
      </c>
      <c r="K797">
        <f>IF($G797="",0,IF(Sync!$AA793="",0,Sync!$AA793))</f>
        <v/>
      </c>
      <c r="L797">
        <f>IF($G797="",0,IF(Sync!$AB793="",0,Sync!$AB793))</f>
        <v/>
      </c>
      <c r="M797">
        <f>IF($G797="","",IF($H797="مرجوعی فروش",-1,1)*($K797-$L797*IFERROR(VLOOKUP("P01",ParamTbl,3,0),1.5)))</f>
        <v/>
      </c>
      <c r="N797">
        <f>IF($G797="",0,IF($H797="مرجوعی فروش",-1,1)*IF(Sync!$AC793="",0,Sync!$AC793))</f>
        <v/>
      </c>
      <c r="O797">
        <f>IF(OR($G797="",Sync!$V793=""),"",Sync!$V793)</f>
        <v/>
      </c>
      <c r="P797">
        <f>IF(OR($G797="",Sync!$AD793=""),"",Sync!$AD793)</f>
        <v/>
      </c>
      <c r="Q797">
        <f>IF($G797="","",IF(Sync!$U793="","0000",IF(AND(ISNUMBER(Sync!$U793),Sync!$U793&gt;=0,Sync!$U793&lt;1),RIGHT("00"&amp;HOUR(Sync!$U793),2)&amp;RIGHT("00"&amp;MINUTE(Sync!$U793),2),IFERROR(RIGHT("00"&amp;VALUE(LEFT(Sync!$U793,FIND(":",Sync!$U793)-1)),2)&amp;RIGHT("00"&amp;VALUE(MID(Sync!$U793,FIND(":",Sync!$U793)+1,2)),2),"0000"))))</f>
        <v/>
      </c>
    </row>
    <row r="798">
      <c r="A798">
        <f>IF(Sync!$T794="","",Sync!$T794)</f>
        <v/>
      </c>
      <c r="B798">
        <f>IF($A798="","",IF(ISNUMBER($A798),IF(AND($A798&gt;=10000101,$A798&lt;=99991231),INT($A798/10000),""),IFERROR(VALUE(TRIM(LEFT($A798,FIND("/",$A798)-1))),"")))</f>
        <v/>
      </c>
      <c r="C798">
        <f>IF(OR($A798="",$B798=""),"",IF(ISNUMBER($A798),INT(MOD($A798,10000)/100),IFERROR(VALUE(TRIM(LEFT(MID($A798,FIND("/",$A798)+1,20),FIND("/",MID($A798,FIND("/",$A798)+1,20))-1))),"")))</f>
        <v/>
      </c>
      <c r="D798">
        <f>IF(OR($A798="",$B798=""),"",IF(ISNUMBER($A798),MOD($A798,100),IFERROR(VALUE(TRIM(MID(MID($A798,FIND("/",$A798)+1,20),FIND("/",MID($A798,FIND("/",$A798)+1,20))+1,20))),"")))</f>
        <v/>
      </c>
      <c r="E798">
        <f>IF($A798="","",IF(OR($B798="",$C798="",$D798="",$B798&lt;1300,$B798&gt;1500,$C798&lt;1,$C798&gt;12,$D798&lt;1,$D798&gt;31),"نامعتبر",RIGHT("0000"&amp;$B798,4)&amp;"/"&amp;RIGHT("00"&amp;$C798,2)&amp;"/"&amp;RIGHT("00"&amp;$D798,2)))</f>
        <v/>
      </c>
      <c r="F798">
        <f>IF(OR($E798="",$E798="نامعتبر"),"",LEFT($E798,4)&amp;"/"&amp;MID($E798,6,2))</f>
        <v/>
      </c>
      <c r="G798">
        <f>IF(OR($E798="",$E798="نامعتبر",Sync!$X794=""),"",IF(AND(LEFT(UPPER(TRIM(Sync!$X794)),2)="SL",IFERROR(VLOOKUP(Sync!$W794,OpTbl,3,0),"")="فروش"),UPPER(TRIM(Sync!$X794)),""))</f>
        <v/>
      </c>
      <c r="H798">
        <f>IF($G798="","",IF(Sync!$W794="","",Sync!$W794))</f>
        <v/>
      </c>
      <c r="I798">
        <f>IF(OR($G798="",Sync!$Y794=""),"",Sync!$Y794)</f>
        <v/>
      </c>
      <c r="J798">
        <f>IF(OR($G798="",Sync!$Z794=""),"",Sync!$Z794)</f>
        <v/>
      </c>
      <c r="K798">
        <f>IF($G798="",0,IF(Sync!$AA794="",0,Sync!$AA794))</f>
        <v/>
      </c>
      <c r="L798">
        <f>IF($G798="",0,IF(Sync!$AB794="",0,Sync!$AB794))</f>
        <v/>
      </c>
      <c r="M798">
        <f>IF($G798="","",IF($H798="مرجوعی فروش",-1,1)*($K798-$L798*IFERROR(VLOOKUP("P01",ParamTbl,3,0),1.5)))</f>
        <v/>
      </c>
      <c r="N798">
        <f>IF($G798="",0,IF($H798="مرجوعی فروش",-1,1)*IF(Sync!$AC794="",0,Sync!$AC794))</f>
        <v/>
      </c>
      <c r="O798">
        <f>IF(OR($G798="",Sync!$V794=""),"",Sync!$V794)</f>
        <v/>
      </c>
      <c r="P798">
        <f>IF(OR($G798="",Sync!$AD794=""),"",Sync!$AD794)</f>
        <v/>
      </c>
      <c r="Q798">
        <f>IF($G798="","",IF(Sync!$U794="","0000",IF(AND(ISNUMBER(Sync!$U794),Sync!$U794&gt;=0,Sync!$U794&lt;1),RIGHT("00"&amp;HOUR(Sync!$U794),2)&amp;RIGHT("00"&amp;MINUTE(Sync!$U794),2),IFERROR(RIGHT("00"&amp;VALUE(LEFT(Sync!$U794,FIND(":",Sync!$U794)-1)),2)&amp;RIGHT("00"&amp;VALUE(MID(Sync!$U794,FIND(":",Sync!$U794)+1,2)),2),"0000"))))</f>
        <v/>
      </c>
    </row>
    <row r="799">
      <c r="A799">
        <f>IF(Sync!$T795="","",Sync!$T795)</f>
        <v/>
      </c>
      <c r="B799">
        <f>IF($A799="","",IF(ISNUMBER($A799),IF(AND($A799&gt;=10000101,$A799&lt;=99991231),INT($A799/10000),""),IFERROR(VALUE(TRIM(LEFT($A799,FIND("/",$A799)-1))),"")))</f>
        <v/>
      </c>
      <c r="C799">
        <f>IF(OR($A799="",$B799=""),"",IF(ISNUMBER($A799),INT(MOD($A799,10000)/100),IFERROR(VALUE(TRIM(LEFT(MID($A799,FIND("/",$A799)+1,20),FIND("/",MID($A799,FIND("/",$A799)+1,20))-1))),"")))</f>
        <v/>
      </c>
      <c r="D799">
        <f>IF(OR($A799="",$B799=""),"",IF(ISNUMBER($A799),MOD($A799,100),IFERROR(VALUE(TRIM(MID(MID($A799,FIND("/",$A799)+1,20),FIND("/",MID($A799,FIND("/",$A799)+1,20))+1,20))),"")))</f>
        <v/>
      </c>
      <c r="E799">
        <f>IF($A799="","",IF(OR($B799="",$C799="",$D799="",$B799&lt;1300,$B799&gt;1500,$C799&lt;1,$C799&gt;12,$D799&lt;1,$D799&gt;31),"نامعتبر",RIGHT("0000"&amp;$B799,4)&amp;"/"&amp;RIGHT("00"&amp;$C799,2)&amp;"/"&amp;RIGHT("00"&amp;$D799,2)))</f>
        <v/>
      </c>
      <c r="F799">
        <f>IF(OR($E799="",$E799="نامعتبر"),"",LEFT($E799,4)&amp;"/"&amp;MID($E799,6,2))</f>
        <v/>
      </c>
      <c r="G799">
        <f>IF(OR($E799="",$E799="نامعتبر",Sync!$X795=""),"",IF(AND(LEFT(UPPER(TRIM(Sync!$X795)),2)="SL",IFERROR(VLOOKUP(Sync!$W795,OpTbl,3,0),"")="فروش"),UPPER(TRIM(Sync!$X795)),""))</f>
        <v/>
      </c>
      <c r="H799">
        <f>IF($G799="","",IF(Sync!$W795="","",Sync!$W795))</f>
        <v/>
      </c>
      <c r="I799">
        <f>IF(OR($G799="",Sync!$Y795=""),"",Sync!$Y795)</f>
        <v/>
      </c>
      <c r="J799">
        <f>IF(OR($G799="",Sync!$Z795=""),"",Sync!$Z795)</f>
        <v/>
      </c>
      <c r="K799">
        <f>IF($G799="",0,IF(Sync!$AA795="",0,Sync!$AA795))</f>
        <v/>
      </c>
      <c r="L799">
        <f>IF($G799="",0,IF(Sync!$AB795="",0,Sync!$AB795))</f>
        <v/>
      </c>
      <c r="M799">
        <f>IF($G799="","",IF($H799="مرجوعی فروش",-1,1)*($K799-$L799*IFERROR(VLOOKUP("P01",ParamTbl,3,0),1.5)))</f>
        <v/>
      </c>
      <c r="N799">
        <f>IF($G799="",0,IF($H799="مرجوعی فروش",-1,1)*IF(Sync!$AC795="",0,Sync!$AC795))</f>
        <v/>
      </c>
      <c r="O799">
        <f>IF(OR($G799="",Sync!$V795=""),"",Sync!$V795)</f>
        <v/>
      </c>
      <c r="P799">
        <f>IF(OR($G799="",Sync!$AD795=""),"",Sync!$AD795)</f>
        <v/>
      </c>
      <c r="Q799">
        <f>IF($G799="","",IF(Sync!$U795="","0000",IF(AND(ISNUMBER(Sync!$U795),Sync!$U795&gt;=0,Sync!$U795&lt;1),RIGHT("00"&amp;HOUR(Sync!$U795),2)&amp;RIGHT("00"&amp;MINUTE(Sync!$U795),2),IFERROR(RIGHT("00"&amp;VALUE(LEFT(Sync!$U795,FIND(":",Sync!$U795)-1)),2)&amp;RIGHT("00"&amp;VALUE(MID(Sync!$U795,FIND(":",Sync!$U795)+1,2)),2),"0000"))))</f>
        <v/>
      </c>
    </row>
    <row r="800">
      <c r="A800">
        <f>IF(Sync!$T796="","",Sync!$T796)</f>
        <v/>
      </c>
      <c r="B800">
        <f>IF($A800="","",IF(ISNUMBER($A800),IF(AND($A800&gt;=10000101,$A800&lt;=99991231),INT($A800/10000),""),IFERROR(VALUE(TRIM(LEFT($A800,FIND("/",$A800)-1))),"")))</f>
        <v/>
      </c>
      <c r="C800">
        <f>IF(OR($A800="",$B800=""),"",IF(ISNUMBER($A800),INT(MOD($A800,10000)/100),IFERROR(VALUE(TRIM(LEFT(MID($A800,FIND("/",$A800)+1,20),FIND("/",MID($A800,FIND("/",$A800)+1,20))-1))),"")))</f>
        <v/>
      </c>
      <c r="D800">
        <f>IF(OR($A800="",$B800=""),"",IF(ISNUMBER($A800),MOD($A800,100),IFERROR(VALUE(TRIM(MID(MID($A800,FIND("/",$A800)+1,20),FIND("/",MID($A800,FIND("/",$A800)+1,20))+1,20))),"")))</f>
        <v/>
      </c>
      <c r="E800">
        <f>IF($A800="","",IF(OR($B800="",$C800="",$D800="",$B800&lt;1300,$B800&gt;1500,$C800&lt;1,$C800&gt;12,$D800&lt;1,$D800&gt;31),"نامعتبر",RIGHT("0000"&amp;$B800,4)&amp;"/"&amp;RIGHT("00"&amp;$C800,2)&amp;"/"&amp;RIGHT("00"&amp;$D800,2)))</f>
        <v/>
      </c>
      <c r="F800">
        <f>IF(OR($E800="",$E800="نامعتبر"),"",LEFT($E800,4)&amp;"/"&amp;MID($E800,6,2))</f>
        <v/>
      </c>
      <c r="G800">
        <f>IF(OR($E800="",$E800="نامعتبر",Sync!$X796=""),"",IF(AND(LEFT(UPPER(TRIM(Sync!$X796)),2)="SL",IFERROR(VLOOKUP(Sync!$W796,OpTbl,3,0),"")="فروش"),UPPER(TRIM(Sync!$X796)),""))</f>
        <v/>
      </c>
      <c r="H800">
        <f>IF($G800="","",IF(Sync!$W796="","",Sync!$W796))</f>
        <v/>
      </c>
      <c r="I800">
        <f>IF(OR($G800="",Sync!$Y796=""),"",Sync!$Y796)</f>
        <v/>
      </c>
      <c r="J800">
        <f>IF(OR($G800="",Sync!$Z796=""),"",Sync!$Z796)</f>
        <v/>
      </c>
      <c r="K800">
        <f>IF($G800="",0,IF(Sync!$AA796="",0,Sync!$AA796))</f>
        <v/>
      </c>
      <c r="L800">
        <f>IF($G800="",0,IF(Sync!$AB796="",0,Sync!$AB796))</f>
        <v/>
      </c>
      <c r="M800">
        <f>IF($G800="","",IF($H800="مرجوعی فروش",-1,1)*($K800-$L800*IFERROR(VLOOKUP("P01",ParamTbl,3,0),1.5)))</f>
        <v/>
      </c>
      <c r="N800">
        <f>IF($G800="",0,IF($H800="مرجوعی فروش",-1,1)*IF(Sync!$AC796="",0,Sync!$AC796))</f>
        <v/>
      </c>
      <c r="O800">
        <f>IF(OR($G800="",Sync!$V796=""),"",Sync!$V796)</f>
        <v/>
      </c>
      <c r="P800">
        <f>IF(OR($G800="",Sync!$AD796=""),"",Sync!$AD796)</f>
        <v/>
      </c>
      <c r="Q800">
        <f>IF($G800="","",IF(Sync!$U796="","0000",IF(AND(ISNUMBER(Sync!$U796),Sync!$U796&gt;=0,Sync!$U796&lt;1),RIGHT("00"&amp;HOUR(Sync!$U796),2)&amp;RIGHT("00"&amp;MINUTE(Sync!$U796),2),IFERROR(RIGHT("00"&amp;VALUE(LEFT(Sync!$U796,FIND(":",Sync!$U796)-1)),2)&amp;RIGHT("00"&amp;VALUE(MID(Sync!$U796,FIND(":",Sync!$U796)+1,2)),2),"0000"))))</f>
        <v/>
      </c>
    </row>
    <row r="801">
      <c r="A801">
        <f>IF(Sync!$T797="","",Sync!$T797)</f>
        <v/>
      </c>
      <c r="B801">
        <f>IF($A801="","",IF(ISNUMBER($A801),IF(AND($A801&gt;=10000101,$A801&lt;=99991231),INT($A801/10000),""),IFERROR(VALUE(TRIM(LEFT($A801,FIND("/",$A801)-1))),"")))</f>
        <v/>
      </c>
      <c r="C801">
        <f>IF(OR($A801="",$B801=""),"",IF(ISNUMBER($A801),INT(MOD($A801,10000)/100),IFERROR(VALUE(TRIM(LEFT(MID($A801,FIND("/",$A801)+1,20),FIND("/",MID($A801,FIND("/",$A801)+1,20))-1))),"")))</f>
        <v/>
      </c>
      <c r="D801">
        <f>IF(OR($A801="",$B801=""),"",IF(ISNUMBER($A801),MOD($A801,100),IFERROR(VALUE(TRIM(MID(MID($A801,FIND("/",$A801)+1,20),FIND("/",MID($A801,FIND("/",$A801)+1,20))+1,20))),"")))</f>
        <v/>
      </c>
      <c r="E801">
        <f>IF($A801="","",IF(OR($B801="",$C801="",$D801="",$B801&lt;1300,$B801&gt;1500,$C801&lt;1,$C801&gt;12,$D801&lt;1,$D801&gt;31),"نامعتبر",RIGHT("0000"&amp;$B801,4)&amp;"/"&amp;RIGHT("00"&amp;$C801,2)&amp;"/"&amp;RIGHT("00"&amp;$D801,2)))</f>
        <v/>
      </c>
      <c r="F801">
        <f>IF(OR($E801="",$E801="نامعتبر"),"",LEFT($E801,4)&amp;"/"&amp;MID($E801,6,2))</f>
        <v/>
      </c>
      <c r="G801">
        <f>IF(OR($E801="",$E801="نامعتبر",Sync!$X797=""),"",IF(AND(LEFT(UPPER(TRIM(Sync!$X797)),2)="SL",IFERROR(VLOOKUP(Sync!$W797,OpTbl,3,0),"")="فروش"),UPPER(TRIM(Sync!$X797)),""))</f>
        <v/>
      </c>
      <c r="H801">
        <f>IF($G801="","",IF(Sync!$W797="","",Sync!$W797))</f>
        <v/>
      </c>
      <c r="I801">
        <f>IF(OR($G801="",Sync!$Y797=""),"",Sync!$Y797)</f>
        <v/>
      </c>
      <c r="J801">
        <f>IF(OR($G801="",Sync!$Z797=""),"",Sync!$Z797)</f>
        <v/>
      </c>
      <c r="K801">
        <f>IF($G801="",0,IF(Sync!$AA797="",0,Sync!$AA797))</f>
        <v/>
      </c>
      <c r="L801">
        <f>IF($G801="",0,IF(Sync!$AB797="",0,Sync!$AB797))</f>
        <v/>
      </c>
      <c r="M801">
        <f>IF($G801="","",IF($H801="مرجوعی فروش",-1,1)*($K801-$L801*IFERROR(VLOOKUP("P01",ParamTbl,3,0),1.5)))</f>
        <v/>
      </c>
      <c r="N801">
        <f>IF($G801="",0,IF($H801="مرجوعی فروش",-1,1)*IF(Sync!$AC797="",0,Sync!$AC797))</f>
        <v/>
      </c>
      <c r="O801">
        <f>IF(OR($G801="",Sync!$V797=""),"",Sync!$V797)</f>
        <v/>
      </c>
      <c r="P801">
        <f>IF(OR($G801="",Sync!$AD797=""),"",Sync!$AD797)</f>
        <v/>
      </c>
      <c r="Q801">
        <f>IF($G801="","",IF(Sync!$U797="","0000",IF(AND(ISNUMBER(Sync!$U797),Sync!$U797&gt;=0,Sync!$U797&lt;1),RIGHT("00"&amp;HOUR(Sync!$U797),2)&amp;RIGHT("00"&amp;MINUTE(Sync!$U797),2),IFERROR(RIGHT("00"&amp;VALUE(LEFT(Sync!$U797,FIND(":",Sync!$U797)-1)),2)&amp;RIGHT("00"&amp;VALUE(MID(Sync!$U797,FIND(":",Sync!$U797)+1,2)),2),"0000"))))</f>
        <v/>
      </c>
    </row>
    <row r="802">
      <c r="A802">
        <f>IF(Sync!$T798="","",Sync!$T798)</f>
        <v/>
      </c>
      <c r="B802">
        <f>IF($A802="","",IF(ISNUMBER($A802),IF(AND($A802&gt;=10000101,$A802&lt;=99991231),INT($A802/10000),""),IFERROR(VALUE(TRIM(LEFT($A802,FIND("/",$A802)-1))),"")))</f>
        <v/>
      </c>
      <c r="C802">
        <f>IF(OR($A802="",$B802=""),"",IF(ISNUMBER($A802),INT(MOD($A802,10000)/100),IFERROR(VALUE(TRIM(LEFT(MID($A802,FIND("/",$A802)+1,20),FIND("/",MID($A802,FIND("/",$A802)+1,20))-1))),"")))</f>
        <v/>
      </c>
      <c r="D802">
        <f>IF(OR($A802="",$B802=""),"",IF(ISNUMBER($A802),MOD($A802,100),IFERROR(VALUE(TRIM(MID(MID($A802,FIND("/",$A802)+1,20),FIND("/",MID($A802,FIND("/",$A802)+1,20))+1,20))),"")))</f>
        <v/>
      </c>
      <c r="E802">
        <f>IF($A802="","",IF(OR($B802="",$C802="",$D802="",$B802&lt;1300,$B802&gt;1500,$C802&lt;1,$C802&gt;12,$D802&lt;1,$D802&gt;31),"نامعتبر",RIGHT("0000"&amp;$B802,4)&amp;"/"&amp;RIGHT("00"&amp;$C802,2)&amp;"/"&amp;RIGHT("00"&amp;$D802,2)))</f>
        <v/>
      </c>
      <c r="F802">
        <f>IF(OR($E802="",$E802="نامعتبر"),"",LEFT($E802,4)&amp;"/"&amp;MID($E802,6,2))</f>
        <v/>
      </c>
      <c r="G802">
        <f>IF(OR($E802="",$E802="نامعتبر",Sync!$X798=""),"",IF(AND(LEFT(UPPER(TRIM(Sync!$X798)),2)="SL",IFERROR(VLOOKUP(Sync!$W798,OpTbl,3,0),"")="فروش"),UPPER(TRIM(Sync!$X798)),""))</f>
        <v/>
      </c>
      <c r="H802">
        <f>IF($G802="","",IF(Sync!$W798="","",Sync!$W798))</f>
        <v/>
      </c>
      <c r="I802">
        <f>IF(OR($G802="",Sync!$Y798=""),"",Sync!$Y798)</f>
        <v/>
      </c>
      <c r="J802">
        <f>IF(OR($G802="",Sync!$Z798=""),"",Sync!$Z798)</f>
        <v/>
      </c>
      <c r="K802">
        <f>IF($G802="",0,IF(Sync!$AA798="",0,Sync!$AA798))</f>
        <v/>
      </c>
      <c r="L802">
        <f>IF($G802="",0,IF(Sync!$AB798="",0,Sync!$AB798))</f>
        <v/>
      </c>
      <c r="M802">
        <f>IF($G802="","",IF($H802="مرجوعی فروش",-1,1)*($K802-$L802*IFERROR(VLOOKUP("P01",ParamTbl,3,0),1.5)))</f>
        <v/>
      </c>
      <c r="N802">
        <f>IF($G802="",0,IF($H802="مرجوعی فروش",-1,1)*IF(Sync!$AC798="",0,Sync!$AC798))</f>
        <v/>
      </c>
      <c r="O802">
        <f>IF(OR($G802="",Sync!$V798=""),"",Sync!$V798)</f>
        <v/>
      </c>
      <c r="P802">
        <f>IF(OR($G802="",Sync!$AD798=""),"",Sync!$AD798)</f>
        <v/>
      </c>
      <c r="Q802">
        <f>IF($G802="","",IF(Sync!$U798="","0000",IF(AND(ISNUMBER(Sync!$U798),Sync!$U798&gt;=0,Sync!$U798&lt;1),RIGHT("00"&amp;HOUR(Sync!$U798),2)&amp;RIGHT("00"&amp;MINUTE(Sync!$U798),2),IFERROR(RIGHT("00"&amp;VALUE(LEFT(Sync!$U798,FIND(":",Sync!$U798)-1)),2)&amp;RIGHT("00"&amp;VALUE(MID(Sync!$U798,FIND(":",Sync!$U798)+1,2)),2),"0000"))))</f>
        <v/>
      </c>
    </row>
    <row r="803">
      <c r="A803">
        <f>IF(Sync!$T799="","",Sync!$T799)</f>
        <v/>
      </c>
      <c r="B803">
        <f>IF($A803="","",IF(ISNUMBER($A803),IF(AND($A803&gt;=10000101,$A803&lt;=99991231),INT($A803/10000),""),IFERROR(VALUE(TRIM(LEFT($A803,FIND("/",$A803)-1))),"")))</f>
        <v/>
      </c>
      <c r="C803">
        <f>IF(OR($A803="",$B803=""),"",IF(ISNUMBER($A803),INT(MOD($A803,10000)/100),IFERROR(VALUE(TRIM(LEFT(MID($A803,FIND("/",$A803)+1,20),FIND("/",MID($A803,FIND("/",$A803)+1,20))-1))),"")))</f>
        <v/>
      </c>
      <c r="D803">
        <f>IF(OR($A803="",$B803=""),"",IF(ISNUMBER($A803),MOD($A803,100),IFERROR(VALUE(TRIM(MID(MID($A803,FIND("/",$A803)+1,20),FIND("/",MID($A803,FIND("/",$A803)+1,20))+1,20))),"")))</f>
        <v/>
      </c>
      <c r="E803">
        <f>IF($A803="","",IF(OR($B803="",$C803="",$D803="",$B803&lt;1300,$B803&gt;1500,$C803&lt;1,$C803&gt;12,$D803&lt;1,$D803&gt;31),"نامعتبر",RIGHT("0000"&amp;$B803,4)&amp;"/"&amp;RIGHT("00"&amp;$C803,2)&amp;"/"&amp;RIGHT("00"&amp;$D803,2)))</f>
        <v/>
      </c>
      <c r="F803">
        <f>IF(OR($E803="",$E803="نامعتبر"),"",LEFT($E803,4)&amp;"/"&amp;MID($E803,6,2))</f>
        <v/>
      </c>
      <c r="G803">
        <f>IF(OR($E803="",$E803="نامعتبر",Sync!$X799=""),"",IF(AND(LEFT(UPPER(TRIM(Sync!$X799)),2)="SL",IFERROR(VLOOKUP(Sync!$W799,OpTbl,3,0),"")="فروش"),UPPER(TRIM(Sync!$X799)),""))</f>
        <v/>
      </c>
      <c r="H803">
        <f>IF($G803="","",IF(Sync!$W799="","",Sync!$W799))</f>
        <v/>
      </c>
      <c r="I803">
        <f>IF(OR($G803="",Sync!$Y799=""),"",Sync!$Y799)</f>
        <v/>
      </c>
      <c r="J803">
        <f>IF(OR($G803="",Sync!$Z799=""),"",Sync!$Z799)</f>
        <v/>
      </c>
      <c r="K803">
        <f>IF($G803="",0,IF(Sync!$AA799="",0,Sync!$AA799))</f>
        <v/>
      </c>
      <c r="L803">
        <f>IF($G803="",0,IF(Sync!$AB799="",0,Sync!$AB799))</f>
        <v/>
      </c>
      <c r="M803">
        <f>IF($G803="","",IF($H803="مرجوعی فروش",-1,1)*($K803-$L803*IFERROR(VLOOKUP("P01",ParamTbl,3,0),1.5)))</f>
        <v/>
      </c>
      <c r="N803">
        <f>IF($G803="",0,IF($H803="مرجوعی فروش",-1,1)*IF(Sync!$AC799="",0,Sync!$AC799))</f>
        <v/>
      </c>
      <c r="O803">
        <f>IF(OR($G803="",Sync!$V799=""),"",Sync!$V799)</f>
        <v/>
      </c>
      <c r="P803">
        <f>IF(OR($G803="",Sync!$AD799=""),"",Sync!$AD799)</f>
        <v/>
      </c>
      <c r="Q803">
        <f>IF($G803="","",IF(Sync!$U799="","0000",IF(AND(ISNUMBER(Sync!$U799),Sync!$U799&gt;=0,Sync!$U799&lt;1),RIGHT("00"&amp;HOUR(Sync!$U799),2)&amp;RIGHT("00"&amp;MINUTE(Sync!$U799),2),IFERROR(RIGHT("00"&amp;VALUE(LEFT(Sync!$U799,FIND(":",Sync!$U799)-1)),2)&amp;RIGHT("00"&amp;VALUE(MID(Sync!$U799,FIND(":",Sync!$U799)+1,2)),2),"0000"))))</f>
        <v/>
      </c>
    </row>
    <row r="804">
      <c r="A804">
        <f>IF(Sync!$T800="","",Sync!$T800)</f>
        <v/>
      </c>
      <c r="B804">
        <f>IF($A804="","",IF(ISNUMBER($A804),IF(AND($A804&gt;=10000101,$A804&lt;=99991231),INT($A804/10000),""),IFERROR(VALUE(TRIM(LEFT($A804,FIND("/",$A804)-1))),"")))</f>
        <v/>
      </c>
      <c r="C804">
        <f>IF(OR($A804="",$B804=""),"",IF(ISNUMBER($A804),INT(MOD($A804,10000)/100),IFERROR(VALUE(TRIM(LEFT(MID($A804,FIND("/",$A804)+1,20),FIND("/",MID($A804,FIND("/",$A804)+1,20))-1))),"")))</f>
        <v/>
      </c>
      <c r="D804">
        <f>IF(OR($A804="",$B804=""),"",IF(ISNUMBER($A804),MOD($A804,100),IFERROR(VALUE(TRIM(MID(MID($A804,FIND("/",$A804)+1,20),FIND("/",MID($A804,FIND("/",$A804)+1,20))+1,20))),"")))</f>
        <v/>
      </c>
      <c r="E804">
        <f>IF($A804="","",IF(OR($B804="",$C804="",$D804="",$B804&lt;1300,$B804&gt;1500,$C804&lt;1,$C804&gt;12,$D804&lt;1,$D804&gt;31),"نامعتبر",RIGHT("0000"&amp;$B804,4)&amp;"/"&amp;RIGHT("00"&amp;$C804,2)&amp;"/"&amp;RIGHT("00"&amp;$D804,2)))</f>
        <v/>
      </c>
      <c r="F804">
        <f>IF(OR($E804="",$E804="نامعتبر"),"",LEFT($E804,4)&amp;"/"&amp;MID($E804,6,2))</f>
        <v/>
      </c>
      <c r="G804">
        <f>IF(OR($E804="",$E804="نامعتبر",Sync!$X800=""),"",IF(AND(LEFT(UPPER(TRIM(Sync!$X800)),2)="SL",IFERROR(VLOOKUP(Sync!$W800,OpTbl,3,0),"")="فروش"),UPPER(TRIM(Sync!$X800)),""))</f>
        <v/>
      </c>
      <c r="H804">
        <f>IF($G804="","",IF(Sync!$W800="","",Sync!$W800))</f>
        <v/>
      </c>
      <c r="I804">
        <f>IF(OR($G804="",Sync!$Y800=""),"",Sync!$Y800)</f>
        <v/>
      </c>
      <c r="J804">
        <f>IF(OR($G804="",Sync!$Z800=""),"",Sync!$Z800)</f>
        <v/>
      </c>
      <c r="K804">
        <f>IF($G804="",0,IF(Sync!$AA800="",0,Sync!$AA800))</f>
        <v/>
      </c>
      <c r="L804">
        <f>IF($G804="",0,IF(Sync!$AB800="",0,Sync!$AB800))</f>
        <v/>
      </c>
      <c r="M804">
        <f>IF($G804="","",IF($H804="مرجوعی فروش",-1,1)*($K804-$L804*IFERROR(VLOOKUP("P01",ParamTbl,3,0),1.5)))</f>
        <v/>
      </c>
      <c r="N804">
        <f>IF($G804="",0,IF($H804="مرجوعی فروش",-1,1)*IF(Sync!$AC800="",0,Sync!$AC800))</f>
        <v/>
      </c>
      <c r="O804">
        <f>IF(OR($G804="",Sync!$V800=""),"",Sync!$V800)</f>
        <v/>
      </c>
      <c r="P804">
        <f>IF(OR($G804="",Sync!$AD800=""),"",Sync!$AD800)</f>
        <v/>
      </c>
      <c r="Q804">
        <f>IF($G804="","",IF(Sync!$U800="","0000",IF(AND(ISNUMBER(Sync!$U800),Sync!$U800&gt;=0,Sync!$U800&lt;1),RIGHT("00"&amp;HOUR(Sync!$U800),2)&amp;RIGHT("00"&amp;MINUTE(Sync!$U800),2),IFERROR(RIGHT("00"&amp;VALUE(LEFT(Sync!$U800,FIND(":",Sync!$U800)-1)),2)&amp;RIGHT("00"&amp;VALUE(MID(Sync!$U800,FIND(":",Sync!$U800)+1,2)),2),"0000"))))</f>
        <v/>
      </c>
    </row>
    <row r="805">
      <c r="A805">
        <f>IF(Sync!$T801="","",Sync!$T801)</f>
        <v/>
      </c>
      <c r="B805">
        <f>IF($A805="","",IF(ISNUMBER($A805),IF(AND($A805&gt;=10000101,$A805&lt;=99991231),INT($A805/10000),""),IFERROR(VALUE(TRIM(LEFT($A805,FIND("/",$A805)-1))),"")))</f>
        <v/>
      </c>
      <c r="C805">
        <f>IF(OR($A805="",$B805=""),"",IF(ISNUMBER($A805),INT(MOD($A805,10000)/100),IFERROR(VALUE(TRIM(LEFT(MID($A805,FIND("/",$A805)+1,20),FIND("/",MID($A805,FIND("/",$A805)+1,20))-1))),"")))</f>
        <v/>
      </c>
      <c r="D805">
        <f>IF(OR($A805="",$B805=""),"",IF(ISNUMBER($A805),MOD($A805,100),IFERROR(VALUE(TRIM(MID(MID($A805,FIND("/",$A805)+1,20),FIND("/",MID($A805,FIND("/",$A805)+1,20))+1,20))),"")))</f>
        <v/>
      </c>
      <c r="E805">
        <f>IF($A805="","",IF(OR($B805="",$C805="",$D805="",$B805&lt;1300,$B805&gt;1500,$C805&lt;1,$C805&gt;12,$D805&lt;1,$D805&gt;31),"نامعتبر",RIGHT("0000"&amp;$B805,4)&amp;"/"&amp;RIGHT("00"&amp;$C805,2)&amp;"/"&amp;RIGHT("00"&amp;$D805,2)))</f>
        <v/>
      </c>
      <c r="F805">
        <f>IF(OR($E805="",$E805="نامعتبر"),"",LEFT($E805,4)&amp;"/"&amp;MID($E805,6,2))</f>
        <v/>
      </c>
      <c r="G805">
        <f>IF(OR($E805="",$E805="نامعتبر",Sync!$X801=""),"",IF(AND(LEFT(UPPER(TRIM(Sync!$X801)),2)="SL",IFERROR(VLOOKUP(Sync!$W801,OpTbl,3,0),"")="فروش"),UPPER(TRIM(Sync!$X801)),""))</f>
        <v/>
      </c>
      <c r="H805">
        <f>IF($G805="","",IF(Sync!$W801="","",Sync!$W801))</f>
        <v/>
      </c>
      <c r="I805">
        <f>IF(OR($G805="",Sync!$Y801=""),"",Sync!$Y801)</f>
        <v/>
      </c>
      <c r="J805">
        <f>IF(OR($G805="",Sync!$Z801=""),"",Sync!$Z801)</f>
        <v/>
      </c>
      <c r="K805">
        <f>IF($G805="",0,IF(Sync!$AA801="",0,Sync!$AA801))</f>
        <v/>
      </c>
      <c r="L805">
        <f>IF($G805="",0,IF(Sync!$AB801="",0,Sync!$AB801))</f>
        <v/>
      </c>
      <c r="M805">
        <f>IF($G805="","",IF($H805="مرجوعی فروش",-1,1)*($K805-$L805*IFERROR(VLOOKUP("P01",ParamTbl,3,0),1.5)))</f>
        <v/>
      </c>
      <c r="N805">
        <f>IF($G805="",0,IF($H805="مرجوعی فروش",-1,1)*IF(Sync!$AC801="",0,Sync!$AC801))</f>
        <v/>
      </c>
      <c r="O805">
        <f>IF(OR($G805="",Sync!$V801=""),"",Sync!$V801)</f>
        <v/>
      </c>
      <c r="P805">
        <f>IF(OR($G805="",Sync!$AD801=""),"",Sync!$AD801)</f>
        <v/>
      </c>
      <c r="Q805">
        <f>IF($G805="","",IF(Sync!$U801="","0000",IF(AND(ISNUMBER(Sync!$U801),Sync!$U801&gt;=0,Sync!$U801&lt;1),RIGHT("00"&amp;HOUR(Sync!$U801),2)&amp;RIGHT("00"&amp;MINUTE(Sync!$U801),2),IFERROR(RIGHT("00"&amp;VALUE(LEFT(Sync!$U801,FIND(":",Sync!$U801)-1)),2)&amp;RIGHT("00"&amp;VALUE(MID(Sync!$U801,FIND(":",Sync!$U801)+1,2)),2),"0000"))))</f>
        <v/>
      </c>
    </row>
    <row r="806">
      <c r="A806">
        <f>IF(Sync!$T802="","",Sync!$T802)</f>
        <v/>
      </c>
      <c r="B806">
        <f>IF($A806="","",IF(ISNUMBER($A806),IF(AND($A806&gt;=10000101,$A806&lt;=99991231),INT($A806/10000),""),IFERROR(VALUE(TRIM(LEFT($A806,FIND("/",$A806)-1))),"")))</f>
        <v/>
      </c>
      <c r="C806">
        <f>IF(OR($A806="",$B806=""),"",IF(ISNUMBER($A806),INT(MOD($A806,10000)/100),IFERROR(VALUE(TRIM(LEFT(MID($A806,FIND("/",$A806)+1,20),FIND("/",MID($A806,FIND("/",$A806)+1,20))-1))),"")))</f>
        <v/>
      </c>
      <c r="D806">
        <f>IF(OR($A806="",$B806=""),"",IF(ISNUMBER($A806),MOD($A806,100),IFERROR(VALUE(TRIM(MID(MID($A806,FIND("/",$A806)+1,20),FIND("/",MID($A806,FIND("/",$A806)+1,20))+1,20))),"")))</f>
        <v/>
      </c>
      <c r="E806">
        <f>IF($A806="","",IF(OR($B806="",$C806="",$D806="",$B806&lt;1300,$B806&gt;1500,$C806&lt;1,$C806&gt;12,$D806&lt;1,$D806&gt;31),"نامعتبر",RIGHT("0000"&amp;$B806,4)&amp;"/"&amp;RIGHT("00"&amp;$C806,2)&amp;"/"&amp;RIGHT("00"&amp;$D806,2)))</f>
        <v/>
      </c>
      <c r="F806">
        <f>IF(OR($E806="",$E806="نامعتبر"),"",LEFT($E806,4)&amp;"/"&amp;MID($E806,6,2))</f>
        <v/>
      </c>
      <c r="G806">
        <f>IF(OR($E806="",$E806="نامعتبر",Sync!$X802=""),"",IF(AND(LEFT(UPPER(TRIM(Sync!$X802)),2)="SL",IFERROR(VLOOKUP(Sync!$W802,OpTbl,3,0),"")="فروش"),UPPER(TRIM(Sync!$X802)),""))</f>
        <v/>
      </c>
      <c r="H806">
        <f>IF($G806="","",IF(Sync!$W802="","",Sync!$W802))</f>
        <v/>
      </c>
      <c r="I806">
        <f>IF(OR($G806="",Sync!$Y802=""),"",Sync!$Y802)</f>
        <v/>
      </c>
      <c r="J806">
        <f>IF(OR($G806="",Sync!$Z802=""),"",Sync!$Z802)</f>
        <v/>
      </c>
      <c r="K806">
        <f>IF($G806="",0,IF(Sync!$AA802="",0,Sync!$AA802))</f>
        <v/>
      </c>
      <c r="L806">
        <f>IF($G806="",0,IF(Sync!$AB802="",0,Sync!$AB802))</f>
        <v/>
      </c>
      <c r="M806">
        <f>IF($G806="","",IF($H806="مرجوعی فروش",-1,1)*($K806-$L806*IFERROR(VLOOKUP("P01",ParamTbl,3,0),1.5)))</f>
        <v/>
      </c>
      <c r="N806">
        <f>IF($G806="",0,IF($H806="مرجوعی فروش",-1,1)*IF(Sync!$AC802="",0,Sync!$AC802))</f>
        <v/>
      </c>
      <c r="O806">
        <f>IF(OR($G806="",Sync!$V802=""),"",Sync!$V802)</f>
        <v/>
      </c>
      <c r="P806">
        <f>IF(OR($G806="",Sync!$AD802=""),"",Sync!$AD802)</f>
        <v/>
      </c>
      <c r="Q806">
        <f>IF($G806="","",IF(Sync!$U802="","0000",IF(AND(ISNUMBER(Sync!$U802),Sync!$U802&gt;=0,Sync!$U802&lt;1),RIGHT("00"&amp;HOUR(Sync!$U802),2)&amp;RIGHT("00"&amp;MINUTE(Sync!$U802),2),IFERROR(RIGHT("00"&amp;VALUE(LEFT(Sync!$U802,FIND(":",Sync!$U802)-1)),2)&amp;RIGHT("00"&amp;VALUE(MID(Sync!$U802,FIND(":",Sync!$U802)+1,2)),2),"0000"))))</f>
        <v/>
      </c>
    </row>
    <row r="807">
      <c r="A807">
        <f>IF(Sync!$T803="","",Sync!$T803)</f>
        <v/>
      </c>
      <c r="B807">
        <f>IF($A807="","",IF(ISNUMBER($A807),IF(AND($A807&gt;=10000101,$A807&lt;=99991231),INT($A807/10000),""),IFERROR(VALUE(TRIM(LEFT($A807,FIND("/",$A807)-1))),"")))</f>
        <v/>
      </c>
      <c r="C807">
        <f>IF(OR($A807="",$B807=""),"",IF(ISNUMBER($A807),INT(MOD($A807,10000)/100),IFERROR(VALUE(TRIM(LEFT(MID($A807,FIND("/",$A807)+1,20),FIND("/",MID($A807,FIND("/",$A807)+1,20))-1))),"")))</f>
        <v/>
      </c>
      <c r="D807">
        <f>IF(OR($A807="",$B807=""),"",IF(ISNUMBER($A807),MOD($A807,100),IFERROR(VALUE(TRIM(MID(MID($A807,FIND("/",$A807)+1,20),FIND("/",MID($A807,FIND("/",$A807)+1,20))+1,20))),"")))</f>
        <v/>
      </c>
      <c r="E807">
        <f>IF($A807="","",IF(OR($B807="",$C807="",$D807="",$B807&lt;1300,$B807&gt;1500,$C807&lt;1,$C807&gt;12,$D807&lt;1,$D807&gt;31),"نامعتبر",RIGHT("0000"&amp;$B807,4)&amp;"/"&amp;RIGHT("00"&amp;$C807,2)&amp;"/"&amp;RIGHT("00"&amp;$D807,2)))</f>
        <v/>
      </c>
      <c r="F807">
        <f>IF(OR($E807="",$E807="نامعتبر"),"",LEFT($E807,4)&amp;"/"&amp;MID($E807,6,2))</f>
        <v/>
      </c>
      <c r="G807">
        <f>IF(OR($E807="",$E807="نامعتبر",Sync!$X803=""),"",IF(AND(LEFT(UPPER(TRIM(Sync!$X803)),2)="SL",IFERROR(VLOOKUP(Sync!$W803,OpTbl,3,0),"")="فروش"),UPPER(TRIM(Sync!$X803)),""))</f>
        <v/>
      </c>
      <c r="H807">
        <f>IF($G807="","",IF(Sync!$W803="","",Sync!$W803))</f>
        <v/>
      </c>
      <c r="I807">
        <f>IF(OR($G807="",Sync!$Y803=""),"",Sync!$Y803)</f>
        <v/>
      </c>
      <c r="J807">
        <f>IF(OR($G807="",Sync!$Z803=""),"",Sync!$Z803)</f>
        <v/>
      </c>
      <c r="K807">
        <f>IF($G807="",0,IF(Sync!$AA803="",0,Sync!$AA803))</f>
        <v/>
      </c>
      <c r="L807">
        <f>IF($G807="",0,IF(Sync!$AB803="",0,Sync!$AB803))</f>
        <v/>
      </c>
      <c r="M807">
        <f>IF($G807="","",IF($H807="مرجوعی فروش",-1,1)*($K807-$L807*IFERROR(VLOOKUP("P01",ParamTbl,3,0),1.5)))</f>
        <v/>
      </c>
      <c r="N807">
        <f>IF($G807="",0,IF($H807="مرجوعی فروش",-1,1)*IF(Sync!$AC803="",0,Sync!$AC803))</f>
        <v/>
      </c>
      <c r="O807">
        <f>IF(OR($G807="",Sync!$V803=""),"",Sync!$V803)</f>
        <v/>
      </c>
      <c r="P807">
        <f>IF(OR($G807="",Sync!$AD803=""),"",Sync!$AD803)</f>
        <v/>
      </c>
      <c r="Q807">
        <f>IF($G807="","",IF(Sync!$U803="","0000",IF(AND(ISNUMBER(Sync!$U803),Sync!$U803&gt;=0,Sync!$U803&lt;1),RIGHT("00"&amp;HOUR(Sync!$U803),2)&amp;RIGHT("00"&amp;MINUTE(Sync!$U803),2),IFERROR(RIGHT("00"&amp;VALUE(LEFT(Sync!$U803,FIND(":",Sync!$U803)-1)),2)&amp;RIGHT("00"&amp;VALUE(MID(Sync!$U803,FIND(":",Sync!$U803)+1,2)),2),"0000"))))</f>
        <v/>
      </c>
    </row>
    <row r="808">
      <c r="A808">
        <f>IF(Sync!$T804="","",Sync!$T804)</f>
        <v/>
      </c>
      <c r="B808">
        <f>IF($A808="","",IF(ISNUMBER($A808),IF(AND($A808&gt;=10000101,$A808&lt;=99991231),INT($A808/10000),""),IFERROR(VALUE(TRIM(LEFT($A808,FIND("/",$A808)-1))),"")))</f>
        <v/>
      </c>
      <c r="C808">
        <f>IF(OR($A808="",$B808=""),"",IF(ISNUMBER($A808),INT(MOD($A808,10000)/100),IFERROR(VALUE(TRIM(LEFT(MID($A808,FIND("/",$A808)+1,20),FIND("/",MID($A808,FIND("/",$A808)+1,20))-1))),"")))</f>
        <v/>
      </c>
      <c r="D808">
        <f>IF(OR($A808="",$B808=""),"",IF(ISNUMBER($A808),MOD($A808,100),IFERROR(VALUE(TRIM(MID(MID($A808,FIND("/",$A808)+1,20),FIND("/",MID($A808,FIND("/",$A808)+1,20))+1,20))),"")))</f>
        <v/>
      </c>
      <c r="E808">
        <f>IF($A808="","",IF(OR($B808="",$C808="",$D808="",$B808&lt;1300,$B808&gt;1500,$C808&lt;1,$C808&gt;12,$D808&lt;1,$D808&gt;31),"نامعتبر",RIGHT("0000"&amp;$B808,4)&amp;"/"&amp;RIGHT("00"&amp;$C808,2)&amp;"/"&amp;RIGHT("00"&amp;$D808,2)))</f>
        <v/>
      </c>
      <c r="F808">
        <f>IF(OR($E808="",$E808="نامعتبر"),"",LEFT($E808,4)&amp;"/"&amp;MID($E808,6,2))</f>
        <v/>
      </c>
      <c r="G808">
        <f>IF(OR($E808="",$E808="نامعتبر",Sync!$X804=""),"",IF(AND(LEFT(UPPER(TRIM(Sync!$X804)),2)="SL",IFERROR(VLOOKUP(Sync!$W804,OpTbl,3,0),"")="فروش"),UPPER(TRIM(Sync!$X804)),""))</f>
        <v/>
      </c>
      <c r="H808">
        <f>IF($G808="","",IF(Sync!$W804="","",Sync!$W804))</f>
        <v/>
      </c>
      <c r="I808">
        <f>IF(OR($G808="",Sync!$Y804=""),"",Sync!$Y804)</f>
        <v/>
      </c>
      <c r="J808">
        <f>IF(OR($G808="",Sync!$Z804=""),"",Sync!$Z804)</f>
        <v/>
      </c>
      <c r="K808">
        <f>IF($G808="",0,IF(Sync!$AA804="",0,Sync!$AA804))</f>
        <v/>
      </c>
      <c r="L808">
        <f>IF($G808="",0,IF(Sync!$AB804="",0,Sync!$AB804))</f>
        <v/>
      </c>
      <c r="M808">
        <f>IF($G808="","",IF($H808="مرجوعی فروش",-1,1)*($K808-$L808*IFERROR(VLOOKUP("P01",ParamTbl,3,0),1.5)))</f>
        <v/>
      </c>
      <c r="N808">
        <f>IF($G808="",0,IF($H808="مرجوعی فروش",-1,1)*IF(Sync!$AC804="",0,Sync!$AC804))</f>
        <v/>
      </c>
      <c r="O808">
        <f>IF(OR($G808="",Sync!$V804=""),"",Sync!$V804)</f>
        <v/>
      </c>
      <c r="P808">
        <f>IF(OR($G808="",Sync!$AD804=""),"",Sync!$AD804)</f>
        <v/>
      </c>
      <c r="Q808">
        <f>IF($G808="","",IF(Sync!$U804="","0000",IF(AND(ISNUMBER(Sync!$U804),Sync!$U804&gt;=0,Sync!$U804&lt;1),RIGHT("00"&amp;HOUR(Sync!$U804),2)&amp;RIGHT("00"&amp;MINUTE(Sync!$U804),2),IFERROR(RIGHT("00"&amp;VALUE(LEFT(Sync!$U804,FIND(":",Sync!$U804)-1)),2)&amp;RIGHT("00"&amp;VALUE(MID(Sync!$U804,FIND(":",Sync!$U804)+1,2)),2),"0000"))))</f>
        <v/>
      </c>
    </row>
    <row r="809">
      <c r="A809">
        <f>IF(Sync!$T805="","",Sync!$T805)</f>
        <v/>
      </c>
      <c r="B809">
        <f>IF($A809="","",IF(ISNUMBER($A809),IF(AND($A809&gt;=10000101,$A809&lt;=99991231),INT($A809/10000),""),IFERROR(VALUE(TRIM(LEFT($A809,FIND("/",$A809)-1))),"")))</f>
        <v/>
      </c>
      <c r="C809">
        <f>IF(OR($A809="",$B809=""),"",IF(ISNUMBER($A809),INT(MOD($A809,10000)/100),IFERROR(VALUE(TRIM(LEFT(MID($A809,FIND("/",$A809)+1,20),FIND("/",MID($A809,FIND("/",$A809)+1,20))-1))),"")))</f>
        <v/>
      </c>
      <c r="D809">
        <f>IF(OR($A809="",$B809=""),"",IF(ISNUMBER($A809),MOD($A809,100),IFERROR(VALUE(TRIM(MID(MID($A809,FIND("/",$A809)+1,20),FIND("/",MID($A809,FIND("/",$A809)+1,20))+1,20))),"")))</f>
        <v/>
      </c>
      <c r="E809">
        <f>IF($A809="","",IF(OR($B809="",$C809="",$D809="",$B809&lt;1300,$B809&gt;1500,$C809&lt;1,$C809&gt;12,$D809&lt;1,$D809&gt;31),"نامعتبر",RIGHT("0000"&amp;$B809,4)&amp;"/"&amp;RIGHT("00"&amp;$C809,2)&amp;"/"&amp;RIGHT("00"&amp;$D809,2)))</f>
        <v/>
      </c>
      <c r="F809">
        <f>IF(OR($E809="",$E809="نامعتبر"),"",LEFT($E809,4)&amp;"/"&amp;MID($E809,6,2))</f>
        <v/>
      </c>
      <c r="G809">
        <f>IF(OR($E809="",$E809="نامعتبر",Sync!$X805=""),"",IF(AND(LEFT(UPPER(TRIM(Sync!$X805)),2)="SL",IFERROR(VLOOKUP(Sync!$W805,OpTbl,3,0),"")="فروش"),UPPER(TRIM(Sync!$X805)),""))</f>
        <v/>
      </c>
      <c r="H809">
        <f>IF($G809="","",IF(Sync!$W805="","",Sync!$W805))</f>
        <v/>
      </c>
      <c r="I809">
        <f>IF(OR($G809="",Sync!$Y805=""),"",Sync!$Y805)</f>
        <v/>
      </c>
      <c r="J809">
        <f>IF(OR($G809="",Sync!$Z805=""),"",Sync!$Z805)</f>
        <v/>
      </c>
      <c r="K809">
        <f>IF($G809="",0,IF(Sync!$AA805="",0,Sync!$AA805))</f>
        <v/>
      </c>
      <c r="L809">
        <f>IF($G809="",0,IF(Sync!$AB805="",0,Sync!$AB805))</f>
        <v/>
      </c>
      <c r="M809">
        <f>IF($G809="","",IF($H809="مرجوعی فروش",-1,1)*($K809-$L809*IFERROR(VLOOKUP("P01",ParamTbl,3,0),1.5)))</f>
        <v/>
      </c>
      <c r="N809">
        <f>IF($G809="",0,IF($H809="مرجوعی فروش",-1,1)*IF(Sync!$AC805="",0,Sync!$AC805))</f>
        <v/>
      </c>
      <c r="O809">
        <f>IF(OR($G809="",Sync!$V805=""),"",Sync!$V805)</f>
        <v/>
      </c>
      <c r="P809">
        <f>IF(OR($G809="",Sync!$AD805=""),"",Sync!$AD805)</f>
        <v/>
      </c>
      <c r="Q809">
        <f>IF($G809="","",IF(Sync!$U805="","0000",IF(AND(ISNUMBER(Sync!$U805),Sync!$U805&gt;=0,Sync!$U805&lt;1),RIGHT("00"&amp;HOUR(Sync!$U805),2)&amp;RIGHT("00"&amp;MINUTE(Sync!$U805),2),IFERROR(RIGHT("00"&amp;VALUE(LEFT(Sync!$U805,FIND(":",Sync!$U805)-1)),2)&amp;RIGHT("00"&amp;VALUE(MID(Sync!$U805,FIND(":",Sync!$U805)+1,2)),2),"0000"))))</f>
        <v/>
      </c>
    </row>
    <row r="810">
      <c r="A810">
        <f>IF(Sync!$T806="","",Sync!$T806)</f>
        <v/>
      </c>
      <c r="B810">
        <f>IF($A810="","",IF(ISNUMBER($A810),IF(AND($A810&gt;=10000101,$A810&lt;=99991231),INT($A810/10000),""),IFERROR(VALUE(TRIM(LEFT($A810,FIND("/",$A810)-1))),"")))</f>
        <v/>
      </c>
      <c r="C810">
        <f>IF(OR($A810="",$B810=""),"",IF(ISNUMBER($A810),INT(MOD($A810,10000)/100),IFERROR(VALUE(TRIM(LEFT(MID($A810,FIND("/",$A810)+1,20),FIND("/",MID($A810,FIND("/",$A810)+1,20))-1))),"")))</f>
        <v/>
      </c>
      <c r="D810">
        <f>IF(OR($A810="",$B810=""),"",IF(ISNUMBER($A810),MOD($A810,100),IFERROR(VALUE(TRIM(MID(MID($A810,FIND("/",$A810)+1,20),FIND("/",MID($A810,FIND("/",$A810)+1,20))+1,20))),"")))</f>
        <v/>
      </c>
      <c r="E810">
        <f>IF($A810="","",IF(OR($B810="",$C810="",$D810="",$B810&lt;1300,$B810&gt;1500,$C810&lt;1,$C810&gt;12,$D810&lt;1,$D810&gt;31),"نامعتبر",RIGHT("0000"&amp;$B810,4)&amp;"/"&amp;RIGHT("00"&amp;$C810,2)&amp;"/"&amp;RIGHT("00"&amp;$D810,2)))</f>
        <v/>
      </c>
      <c r="F810">
        <f>IF(OR($E810="",$E810="نامعتبر"),"",LEFT($E810,4)&amp;"/"&amp;MID($E810,6,2))</f>
        <v/>
      </c>
      <c r="G810">
        <f>IF(OR($E810="",$E810="نامعتبر",Sync!$X806=""),"",IF(AND(LEFT(UPPER(TRIM(Sync!$X806)),2)="SL",IFERROR(VLOOKUP(Sync!$W806,OpTbl,3,0),"")="فروش"),UPPER(TRIM(Sync!$X806)),""))</f>
        <v/>
      </c>
      <c r="H810">
        <f>IF($G810="","",IF(Sync!$W806="","",Sync!$W806))</f>
        <v/>
      </c>
      <c r="I810">
        <f>IF(OR($G810="",Sync!$Y806=""),"",Sync!$Y806)</f>
        <v/>
      </c>
      <c r="J810">
        <f>IF(OR($G810="",Sync!$Z806=""),"",Sync!$Z806)</f>
        <v/>
      </c>
      <c r="K810">
        <f>IF($G810="",0,IF(Sync!$AA806="",0,Sync!$AA806))</f>
        <v/>
      </c>
      <c r="L810">
        <f>IF($G810="",0,IF(Sync!$AB806="",0,Sync!$AB806))</f>
        <v/>
      </c>
      <c r="M810">
        <f>IF($G810="","",IF($H810="مرجوعی فروش",-1,1)*($K810-$L810*IFERROR(VLOOKUP("P01",ParamTbl,3,0),1.5)))</f>
        <v/>
      </c>
      <c r="N810">
        <f>IF($G810="",0,IF($H810="مرجوعی فروش",-1,1)*IF(Sync!$AC806="",0,Sync!$AC806))</f>
        <v/>
      </c>
      <c r="O810">
        <f>IF(OR($G810="",Sync!$V806=""),"",Sync!$V806)</f>
        <v/>
      </c>
      <c r="P810">
        <f>IF(OR($G810="",Sync!$AD806=""),"",Sync!$AD806)</f>
        <v/>
      </c>
      <c r="Q810">
        <f>IF($G810="","",IF(Sync!$U806="","0000",IF(AND(ISNUMBER(Sync!$U806),Sync!$U806&gt;=0,Sync!$U806&lt;1),RIGHT("00"&amp;HOUR(Sync!$U806),2)&amp;RIGHT("00"&amp;MINUTE(Sync!$U806),2),IFERROR(RIGHT("00"&amp;VALUE(LEFT(Sync!$U806,FIND(":",Sync!$U806)-1)),2)&amp;RIGHT("00"&amp;VALUE(MID(Sync!$U806,FIND(":",Sync!$U806)+1,2)),2),"0000"))))</f>
        <v/>
      </c>
    </row>
    <row r="811">
      <c r="A811">
        <f>IF(Sync!$T807="","",Sync!$T807)</f>
        <v/>
      </c>
      <c r="B811">
        <f>IF($A811="","",IF(ISNUMBER($A811),IF(AND($A811&gt;=10000101,$A811&lt;=99991231),INT($A811/10000),""),IFERROR(VALUE(TRIM(LEFT($A811,FIND("/",$A811)-1))),"")))</f>
        <v/>
      </c>
      <c r="C811">
        <f>IF(OR($A811="",$B811=""),"",IF(ISNUMBER($A811),INT(MOD($A811,10000)/100),IFERROR(VALUE(TRIM(LEFT(MID($A811,FIND("/",$A811)+1,20),FIND("/",MID($A811,FIND("/",$A811)+1,20))-1))),"")))</f>
        <v/>
      </c>
      <c r="D811">
        <f>IF(OR($A811="",$B811=""),"",IF(ISNUMBER($A811),MOD($A811,100),IFERROR(VALUE(TRIM(MID(MID($A811,FIND("/",$A811)+1,20),FIND("/",MID($A811,FIND("/",$A811)+1,20))+1,20))),"")))</f>
        <v/>
      </c>
      <c r="E811">
        <f>IF($A811="","",IF(OR($B811="",$C811="",$D811="",$B811&lt;1300,$B811&gt;1500,$C811&lt;1,$C811&gt;12,$D811&lt;1,$D811&gt;31),"نامعتبر",RIGHT("0000"&amp;$B811,4)&amp;"/"&amp;RIGHT("00"&amp;$C811,2)&amp;"/"&amp;RIGHT("00"&amp;$D811,2)))</f>
        <v/>
      </c>
      <c r="F811">
        <f>IF(OR($E811="",$E811="نامعتبر"),"",LEFT($E811,4)&amp;"/"&amp;MID($E811,6,2))</f>
        <v/>
      </c>
      <c r="G811">
        <f>IF(OR($E811="",$E811="نامعتبر",Sync!$X807=""),"",IF(AND(LEFT(UPPER(TRIM(Sync!$X807)),2)="SL",IFERROR(VLOOKUP(Sync!$W807,OpTbl,3,0),"")="فروش"),UPPER(TRIM(Sync!$X807)),""))</f>
        <v/>
      </c>
      <c r="H811">
        <f>IF($G811="","",IF(Sync!$W807="","",Sync!$W807))</f>
        <v/>
      </c>
      <c r="I811">
        <f>IF(OR($G811="",Sync!$Y807=""),"",Sync!$Y807)</f>
        <v/>
      </c>
      <c r="J811">
        <f>IF(OR($G811="",Sync!$Z807=""),"",Sync!$Z807)</f>
        <v/>
      </c>
      <c r="K811">
        <f>IF($G811="",0,IF(Sync!$AA807="",0,Sync!$AA807))</f>
        <v/>
      </c>
      <c r="L811">
        <f>IF($G811="",0,IF(Sync!$AB807="",0,Sync!$AB807))</f>
        <v/>
      </c>
      <c r="M811">
        <f>IF($G811="","",IF($H811="مرجوعی فروش",-1,1)*($K811-$L811*IFERROR(VLOOKUP("P01",ParamTbl,3,0),1.5)))</f>
        <v/>
      </c>
      <c r="N811">
        <f>IF($G811="",0,IF($H811="مرجوعی فروش",-1,1)*IF(Sync!$AC807="",0,Sync!$AC807))</f>
        <v/>
      </c>
      <c r="O811">
        <f>IF(OR($G811="",Sync!$V807=""),"",Sync!$V807)</f>
        <v/>
      </c>
      <c r="P811">
        <f>IF(OR($G811="",Sync!$AD807=""),"",Sync!$AD807)</f>
        <v/>
      </c>
      <c r="Q811">
        <f>IF($G811="","",IF(Sync!$U807="","0000",IF(AND(ISNUMBER(Sync!$U807),Sync!$U807&gt;=0,Sync!$U807&lt;1),RIGHT("00"&amp;HOUR(Sync!$U807),2)&amp;RIGHT("00"&amp;MINUTE(Sync!$U807),2),IFERROR(RIGHT("00"&amp;VALUE(LEFT(Sync!$U807,FIND(":",Sync!$U807)-1)),2)&amp;RIGHT("00"&amp;VALUE(MID(Sync!$U807,FIND(":",Sync!$U807)+1,2)),2),"0000"))))</f>
        <v/>
      </c>
    </row>
    <row r="812">
      <c r="A812">
        <f>IF(Sync!$T808="","",Sync!$T808)</f>
        <v/>
      </c>
      <c r="B812">
        <f>IF($A812="","",IF(ISNUMBER($A812),IF(AND($A812&gt;=10000101,$A812&lt;=99991231),INT($A812/10000),""),IFERROR(VALUE(TRIM(LEFT($A812,FIND("/",$A812)-1))),"")))</f>
        <v/>
      </c>
      <c r="C812">
        <f>IF(OR($A812="",$B812=""),"",IF(ISNUMBER($A812),INT(MOD($A812,10000)/100),IFERROR(VALUE(TRIM(LEFT(MID($A812,FIND("/",$A812)+1,20),FIND("/",MID($A812,FIND("/",$A812)+1,20))-1))),"")))</f>
        <v/>
      </c>
      <c r="D812">
        <f>IF(OR($A812="",$B812=""),"",IF(ISNUMBER($A812),MOD($A812,100),IFERROR(VALUE(TRIM(MID(MID($A812,FIND("/",$A812)+1,20),FIND("/",MID($A812,FIND("/",$A812)+1,20))+1,20))),"")))</f>
        <v/>
      </c>
      <c r="E812">
        <f>IF($A812="","",IF(OR($B812="",$C812="",$D812="",$B812&lt;1300,$B812&gt;1500,$C812&lt;1,$C812&gt;12,$D812&lt;1,$D812&gt;31),"نامعتبر",RIGHT("0000"&amp;$B812,4)&amp;"/"&amp;RIGHT("00"&amp;$C812,2)&amp;"/"&amp;RIGHT("00"&amp;$D812,2)))</f>
        <v/>
      </c>
      <c r="F812">
        <f>IF(OR($E812="",$E812="نامعتبر"),"",LEFT($E812,4)&amp;"/"&amp;MID($E812,6,2))</f>
        <v/>
      </c>
      <c r="G812">
        <f>IF(OR($E812="",$E812="نامعتبر",Sync!$X808=""),"",IF(AND(LEFT(UPPER(TRIM(Sync!$X808)),2)="SL",IFERROR(VLOOKUP(Sync!$W808,OpTbl,3,0),"")="فروش"),UPPER(TRIM(Sync!$X808)),""))</f>
        <v/>
      </c>
      <c r="H812">
        <f>IF($G812="","",IF(Sync!$W808="","",Sync!$W808))</f>
        <v/>
      </c>
      <c r="I812">
        <f>IF(OR($G812="",Sync!$Y808=""),"",Sync!$Y808)</f>
        <v/>
      </c>
      <c r="J812">
        <f>IF(OR($G812="",Sync!$Z808=""),"",Sync!$Z808)</f>
        <v/>
      </c>
      <c r="K812">
        <f>IF($G812="",0,IF(Sync!$AA808="",0,Sync!$AA808))</f>
        <v/>
      </c>
      <c r="L812">
        <f>IF($G812="",0,IF(Sync!$AB808="",0,Sync!$AB808))</f>
        <v/>
      </c>
      <c r="M812">
        <f>IF($G812="","",IF($H812="مرجوعی فروش",-1,1)*($K812-$L812*IFERROR(VLOOKUP("P01",ParamTbl,3,0),1.5)))</f>
        <v/>
      </c>
      <c r="N812">
        <f>IF($G812="",0,IF($H812="مرجوعی فروش",-1,1)*IF(Sync!$AC808="",0,Sync!$AC808))</f>
        <v/>
      </c>
      <c r="O812">
        <f>IF(OR($G812="",Sync!$V808=""),"",Sync!$V808)</f>
        <v/>
      </c>
      <c r="P812">
        <f>IF(OR($G812="",Sync!$AD808=""),"",Sync!$AD808)</f>
        <v/>
      </c>
      <c r="Q812">
        <f>IF($G812="","",IF(Sync!$U808="","0000",IF(AND(ISNUMBER(Sync!$U808),Sync!$U808&gt;=0,Sync!$U808&lt;1),RIGHT("00"&amp;HOUR(Sync!$U808),2)&amp;RIGHT("00"&amp;MINUTE(Sync!$U808),2),IFERROR(RIGHT("00"&amp;VALUE(LEFT(Sync!$U808,FIND(":",Sync!$U808)-1)),2)&amp;RIGHT("00"&amp;VALUE(MID(Sync!$U808,FIND(":",Sync!$U808)+1,2)),2),"0000"))))</f>
        <v/>
      </c>
    </row>
    <row r="813">
      <c r="A813">
        <f>IF(Sync!$T809="","",Sync!$T809)</f>
        <v/>
      </c>
      <c r="B813">
        <f>IF($A813="","",IF(ISNUMBER($A813),IF(AND($A813&gt;=10000101,$A813&lt;=99991231),INT($A813/10000),""),IFERROR(VALUE(TRIM(LEFT($A813,FIND("/",$A813)-1))),"")))</f>
        <v/>
      </c>
      <c r="C813">
        <f>IF(OR($A813="",$B813=""),"",IF(ISNUMBER($A813),INT(MOD($A813,10000)/100),IFERROR(VALUE(TRIM(LEFT(MID($A813,FIND("/",$A813)+1,20),FIND("/",MID($A813,FIND("/",$A813)+1,20))-1))),"")))</f>
        <v/>
      </c>
      <c r="D813">
        <f>IF(OR($A813="",$B813=""),"",IF(ISNUMBER($A813),MOD($A813,100),IFERROR(VALUE(TRIM(MID(MID($A813,FIND("/",$A813)+1,20),FIND("/",MID($A813,FIND("/",$A813)+1,20))+1,20))),"")))</f>
        <v/>
      </c>
      <c r="E813">
        <f>IF($A813="","",IF(OR($B813="",$C813="",$D813="",$B813&lt;1300,$B813&gt;1500,$C813&lt;1,$C813&gt;12,$D813&lt;1,$D813&gt;31),"نامعتبر",RIGHT("0000"&amp;$B813,4)&amp;"/"&amp;RIGHT("00"&amp;$C813,2)&amp;"/"&amp;RIGHT("00"&amp;$D813,2)))</f>
        <v/>
      </c>
      <c r="F813">
        <f>IF(OR($E813="",$E813="نامعتبر"),"",LEFT($E813,4)&amp;"/"&amp;MID($E813,6,2))</f>
        <v/>
      </c>
      <c r="G813">
        <f>IF(OR($E813="",$E813="نامعتبر",Sync!$X809=""),"",IF(AND(LEFT(UPPER(TRIM(Sync!$X809)),2)="SL",IFERROR(VLOOKUP(Sync!$W809,OpTbl,3,0),"")="فروش"),UPPER(TRIM(Sync!$X809)),""))</f>
        <v/>
      </c>
      <c r="H813">
        <f>IF($G813="","",IF(Sync!$W809="","",Sync!$W809))</f>
        <v/>
      </c>
      <c r="I813">
        <f>IF(OR($G813="",Sync!$Y809=""),"",Sync!$Y809)</f>
        <v/>
      </c>
      <c r="J813">
        <f>IF(OR($G813="",Sync!$Z809=""),"",Sync!$Z809)</f>
        <v/>
      </c>
      <c r="K813">
        <f>IF($G813="",0,IF(Sync!$AA809="",0,Sync!$AA809))</f>
        <v/>
      </c>
      <c r="L813">
        <f>IF($G813="",0,IF(Sync!$AB809="",0,Sync!$AB809))</f>
        <v/>
      </c>
      <c r="M813">
        <f>IF($G813="","",IF($H813="مرجوعی فروش",-1,1)*($K813-$L813*IFERROR(VLOOKUP("P01",ParamTbl,3,0),1.5)))</f>
        <v/>
      </c>
      <c r="N813">
        <f>IF($G813="",0,IF($H813="مرجوعی فروش",-1,1)*IF(Sync!$AC809="",0,Sync!$AC809))</f>
        <v/>
      </c>
      <c r="O813">
        <f>IF(OR($G813="",Sync!$V809=""),"",Sync!$V809)</f>
        <v/>
      </c>
      <c r="P813">
        <f>IF(OR($G813="",Sync!$AD809=""),"",Sync!$AD809)</f>
        <v/>
      </c>
      <c r="Q813">
        <f>IF($G813="","",IF(Sync!$U809="","0000",IF(AND(ISNUMBER(Sync!$U809),Sync!$U809&gt;=0,Sync!$U809&lt;1),RIGHT("00"&amp;HOUR(Sync!$U809),2)&amp;RIGHT("00"&amp;MINUTE(Sync!$U809),2),IFERROR(RIGHT("00"&amp;VALUE(LEFT(Sync!$U809,FIND(":",Sync!$U809)-1)),2)&amp;RIGHT("00"&amp;VALUE(MID(Sync!$U809,FIND(":",Sync!$U809)+1,2)),2),"0000"))))</f>
        <v/>
      </c>
    </row>
    <row r="814">
      <c r="A814">
        <f>IF(Sync!$T810="","",Sync!$T810)</f>
        <v/>
      </c>
      <c r="B814">
        <f>IF($A814="","",IF(ISNUMBER($A814),IF(AND($A814&gt;=10000101,$A814&lt;=99991231),INT($A814/10000),""),IFERROR(VALUE(TRIM(LEFT($A814,FIND("/",$A814)-1))),"")))</f>
        <v/>
      </c>
      <c r="C814">
        <f>IF(OR($A814="",$B814=""),"",IF(ISNUMBER($A814),INT(MOD($A814,10000)/100),IFERROR(VALUE(TRIM(LEFT(MID($A814,FIND("/",$A814)+1,20),FIND("/",MID($A814,FIND("/",$A814)+1,20))-1))),"")))</f>
        <v/>
      </c>
      <c r="D814">
        <f>IF(OR($A814="",$B814=""),"",IF(ISNUMBER($A814),MOD($A814,100),IFERROR(VALUE(TRIM(MID(MID($A814,FIND("/",$A814)+1,20),FIND("/",MID($A814,FIND("/",$A814)+1,20))+1,20))),"")))</f>
        <v/>
      </c>
      <c r="E814">
        <f>IF($A814="","",IF(OR($B814="",$C814="",$D814="",$B814&lt;1300,$B814&gt;1500,$C814&lt;1,$C814&gt;12,$D814&lt;1,$D814&gt;31),"نامعتبر",RIGHT("0000"&amp;$B814,4)&amp;"/"&amp;RIGHT("00"&amp;$C814,2)&amp;"/"&amp;RIGHT("00"&amp;$D814,2)))</f>
        <v/>
      </c>
      <c r="F814">
        <f>IF(OR($E814="",$E814="نامعتبر"),"",LEFT($E814,4)&amp;"/"&amp;MID($E814,6,2))</f>
        <v/>
      </c>
      <c r="G814">
        <f>IF(OR($E814="",$E814="نامعتبر",Sync!$X810=""),"",IF(AND(LEFT(UPPER(TRIM(Sync!$X810)),2)="SL",IFERROR(VLOOKUP(Sync!$W810,OpTbl,3,0),"")="فروش"),UPPER(TRIM(Sync!$X810)),""))</f>
        <v/>
      </c>
      <c r="H814">
        <f>IF($G814="","",IF(Sync!$W810="","",Sync!$W810))</f>
        <v/>
      </c>
      <c r="I814">
        <f>IF(OR($G814="",Sync!$Y810=""),"",Sync!$Y810)</f>
        <v/>
      </c>
      <c r="J814">
        <f>IF(OR($G814="",Sync!$Z810=""),"",Sync!$Z810)</f>
        <v/>
      </c>
      <c r="K814">
        <f>IF($G814="",0,IF(Sync!$AA810="",0,Sync!$AA810))</f>
        <v/>
      </c>
      <c r="L814">
        <f>IF($G814="",0,IF(Sync!$AB810="",0,Sync!$AB810))</f>
        <v/>
      </c>
      <c r="M814">
        <f>IF($G814="","",IF($H814="مرجوعی فروش",-1,1)*($K814-$L814*IFERROR(VLOOKUP("P01",ParamTbl,3,0),1.5)))</f>
        <v/>
      </c>
      <c r="N814">
        <f>IF($G814="",0,IF($H814="مرجوعی فروش",-1,1)*IF(Sync!$AC810="",0,Sync!$AC810))</f>
        <v/>
      </c>
      <c r="O814">
        <f>IF(OR($G814="",Sync!$V810=""),"",Sync!$V810)</f>
        <v/>
      </c>
      <c r="P814">
        <f>IF(OR($G814="",Sync!$AD810=""),"",Sync!$AD810)</f>
        <v/>
      </c>
      <c r="Q814">
        <f>IF($G814="","",IF(Sync!$U810="","0000",IF(AND(ISNUMBER(Sync!$U810),Sync!$U810&gt;=0,Sync!$U810&lt;1),RIGHT("00"&amp;HOUR(Sync!$U810),2)&amp;RIGHT("00"&amp;MINUTE(Sync!$U810),2),IFERROR(RIGHT("00"&amp;VALUE(LEFT(Sync!$U810,FIND(":",Sync!$U810)-1)),2)&amp;RIGHT("00"&amp;VALUE(MID(Sync!$U810,FIND(":",Sync!$U810)+1,2)),2),"0000"))))</f>
        <v/>
      </c>
    </row>
    <row r="815">
      <c r="A815">
        <f>IF(Sync!$T811="","",Sync!$T811)</f>
        <v/>
      </c>
      <c r="B815">
        <f>IF($A815="","",IF(ISNUMBER($A815),IF(AND($A815&gt;=10000101,$A815&lt;=99991231),INT($A815/10000),""),IFERROR(VALUE(TRIM(LEFT($A815,FIND("/",$A815)-1))),"")))</f>
        <v/>
      </c>
      <c r="C815">
        <f>IF(OR($A815="",$B815=""),"",IF(ISNUMBER($A815),INT(MOD($A815,10000)/100),IFERROR(VALUE(TRIM(LEFT(MID($A815,FIND("/",$A815)+1,20),FIND("/",MID($A815,FIND("/",$A815)+1,20))-1))),"")))</f>
        <v/>
      </c>
      <c r="D815">
        <f>IF(OR($A815="",$B815=""),"",IF(ISNUMBER($A815),MOD($A815,100),IFERROR(VALUE(TRIM(MID(MID($A815,FIND("/",$A815)+1,20),FIND("/",MID($A815,FIND("/",$A815)+1,20))+1,20))),"")))</f>
        <v/>
      </c>
      <c r="E815">
        <f>IF($A815="","",IF(OR($B815="",$C815="",$D815="",$B815&lt;1300,$B815&gt;1500,$C815&lt;1,$C815&gt;12,$D815&lt;1,$D815&gt;31),"نامعتبر",RIGHT("0000"&amp;$B815,4)&amp;"/"&amp;RIGHT("00"&amp;$C815,2)&amp;"/"&amp;RIGHT("00"&amp;$D815,2)))</f>
        <v/>
      </c>
      <c r="F815">
        <f>IF(OR($E815="",$E815="نامعتبر"),"",LEFT($E815,4)&amp;"/"&amp;MID($E815,6,2))</f>
        <v/>
      </c>
      <c r="G815">
        <f>IF(OR($E815="",$E815="نامعتبر",Sync!$X811=""),"",IF(AND(LEFT(UPPER(TRIM(Sync!$X811)),2)="SL",IFERROR(VLOOKUP(Sync!$W811,OpTbl,3,0),"")="فروش"),UPPER(TRIM(Sync!$X811)),""))</f>
        <v/>
      </c>
      <c r="H815">
        <f>IF($G815="","",IF(Sync!$W811="","",Sync!$W811))</f>
        <v/>
      </c>
      <c r="I815">
        <f>IF(OR($G815="",Sync!$Y811=""),"",Sync!$Y811)</f>
        <v/>
      </c>
      <c r="J815">
        <f>IF(OR($G815="",Sync!$Z811=""),"",Sync!$Z811)</f>
        <v/>
      </c>
      <c r="K815">
        <f>IF($G815="",0,IF(Sync!$AA811="",0,Sync!$AA811))</f>
        <v/>
      </c>
      <c r="L815">
        <f>IF($G815="",0,IF(Sync!$AB811="",0,Sync!$AB811))</f>
        <v/>
      </c>
      <c r="M815">
        <f>IF($G815="","",IF($H815="مرجوعی فروش",-1,1)*($K815-$L815*IFERROR(VLOOKUP("P01",ParamTbl,3,0),1.5)))</f>
        <v/>
      </c>
      <c r="N815">
        <f>IF($G815="",0,IF($H815="مرجوعی فروش",-1,1)*IF(Sync!$AC811="",0,Sync!$AC811))</f>
        <v/>
      </c>
      <c r="O815">
        <f>IF(OR($G815="",Sync!$V811=""),"",Sync!$V811)</f>
        <v/>
      </c>
      <c r="P815">
        <f>IF(OR($G815="",Sync!$AD811=""),"",Sync!$AD811)</f>
        <v/>
      </c>
      <c r="Q815">
        <f>IF($G815="","",IF(Sync!$U811="","0000",IF(AND(ISNUMBER(Sync!$U811),Sync!$U811&gt;=0,Sync!$U811&lt;1),RIGHT("00"&amp;HOUR(Sync!$U811),2)&amp;RIGHT("00"&amp;MINUTE(Sync!$U811),2),IFERROR(RIGHT("00"&amp;VALUE(LEFT(Sync!$U811,FIND(":",Sync!$U811)-1)),2)&amp;RIGHT("00"&amp;VALUE(MID(Sync!$U811,FIND(":",Sync!$U811)+1,2)),2),"0000"))))</f>
        <v/>
      </c>
    </row>
    <row r="816">
      <c r="A816">
        <f>IF(Sync!$T812="","",Sync!$T812)</f>
        <v/>
      </c>
      <c r="B816">
        <f>IF($A816="","",IF(ISNUMBER($A816),IF(AND($A816&gt;=10000101,$A816&lt;=99991231),INT($A816/10000),""),IFERROR(VALUE(TRIM(LEFT($A816,FIND("/",$A816)-1))),"")))</f>
        <v/>
      </c>
      <c r="C816">
        <f>IF(OR($A816="",$B816=""),"",IF(ISNUMBER($A816),INT(MOD($A816,10000)/100),IFERROR(VALUE(TRIM(LEFT(MID($A816,FIND("/",$A816)+1,20),FIND("/",MID($A816,FIND("/",$A816)+1,20))-1))),"")))</f>
        <v/>
      </c>
      <c r="D816">
        <f>IF(OR($A816="",$B816=""),"",IF(ISNUMBER($A816),MOD($A816,100),IFERROR(VALUE(TRIM(MID(MID($A816,FIND("/",$A816)+1,20),FIND("/",MID($A816,FIND("/",$A816)+1,20))+1,20))),"")))</f>
        <v/>
      </c>
      <c r="E816">
        <f>IF($A816="","",IF(OR($B816="",$C816="",$D816="",$B816&lt;1300,$B816&gt;1500,$C816&lt;1,$C816&gt;12,$D816&lt;1,$D816&gt;31),"نامعتبر",RIGHT("0000"&amp;$B816,4)&amp;"/"&amp;RIGHT("00"&amp;$C816,2)&amp;"/"&amp;RIGHT("00"&amp;$D816,2)))</f>
        <v/>
      </c>
      <c r="F816">
        <f>IF(OR($E816="",$E816="نامعتبر"),"",LEFT($E816,4)&amp;"/"&amp;MID($E816,6,2))</f>
        <v/>
      </c>
      <c r="G816">
        <f>IF(OR($E816="",$E816="نامعتبر",Sync!$X812=""),"",IF(AND(LEFT(UPPER(TRIM(Sync!$X812)),2)="SL",IFERROR(VLOOKUP(Sync!$W812,OpTbl,3,0),"")="فروش"),UPPER(TRIM(Sync!$X812)),""))</f>
        <v/>
      </c>
      <c r="H816">
        <f>IF($G816="","",IF(Sync!$W812="","",Sync!$W812))</f>
        <v/>
      </c>
      <c r="I816">
        <f>IF(OR($G816="",Sync!$Y812=""),"",Sync!$Y812)</f>
        <v/>
      </c>
      <c r="J816">
        <f>IF(OR($G816="",Sync!$Z812=""),"",Sync!$Z812)</f>
        <v/>
      </c>
      <c r="K816">
        <f>IF($G816="",0,IF(Sync!$AA812="",0,Sync!$AA812))</f>
        <v/>
      </c>
      <c r="L816">
        <f>IF($G816="",0,IF(Sync!$AB812="",0,Sync!$AB812))</f>
        <v/>
      </c>
      <c r="M816">
        <f>IF($G816="","",IF($H816="مرجوعی فروش",-1,1)*($K816-$L816*IFERROR(VLOOKUP("P01",ParamTbl,3,0),1.5)))</f>
        <v/>
      </c>
      <c r="N816">
        <f>IF($G816="",0,IF($H816="مرجوعی فروش",-1,1)*IF(Sync!$AC812="",0,Sync!$AC812))</f>
        <v/>
      </c>
      <c r="O816">
        <f>IF(OR($G816="",Sync!$V812=""),"",Sync!$V812)</f>
        <v/>
      </c>
      <c r="P816">
        <f>IF(OR($G816="",Sync!$AD812=""),"",Sync!$AD812)</f>
        <v/>
      </c>
      <c r="Q816">
        <f>IF($G816="","",IF(Sync!$U812="","0000",IF(AND(ISNUMBER(Sync!$U812),Sync!$U812&gt;=0,Sync!$U812&lt;1),RIGHT("00"&amp;HOUR(Sync!$U812),2)&amp;RIGHT("00"&amp;MINUTE(Sync!$U812),2),IFERROR(RIGHT("00"&amp;VALUE(LEFT(Sync!$U812,FIND(":",Sync!$U812)-1)),2)&amp;RIGHT("00"&amp;VALUE(MID(Sync!$U812,FIND(":",Sync!$U812)+1,2)),2),"0000"))))</f>
        <v/>
      </c>
    </row>
    <row r="817">
      <c r="A817">
        <f>IF(Sync!$T813="","",Sync!$T813)</f>
        <v/>
      </c>
      <c r="B817">
        <f>IF($A817="","",IF(ISNUMBER($A817),IF(AND($A817&gt;=10000101,$A817&lt;=99991231),INT($A817/10000),""),IFERROR(VALUE(TRIM(LEFT($A817,FIND("/",$A817)-1))),"")))</f>
        <v/>
      </c>
      <c r="C817">
        <f>IF(OR($A817="",$B817=""),"",IF(ISNUMBER($A817),INT(MOD($A817,10000)/100),IFERROR(VALUE(TRIM(LEFT(MID($A817,FIND("/",$A817)+1,20),FIND("/",MID($A817,FIND("/",$A817)+1,20))-1))),"")))</f>
        <v/>
      </c>
      <c r="D817">
        <f>IF(OR($A817="",$B817=""),"",IF(ISNUMBER($A817),MOD($A817,100),IFERROR(VALUE(TRIM(MID(MID($A817,FIND("/",$A817)+1,20),FIND("/",MID($A817,FIND("/",$A817)+1,20))+1,20))),"")))</f>
        <v/>
      </c>
      <c r="E817">
        <f>IF($A817="","",IF(OR($B817="",$C817="",$D817="",$B817&lt;1300,$B817&gt;1500,$C817&lt;1,$C817&gt;12,$D817&lt;1,$D817&gt;31),"نامعتبر",RIGHT("0000"&amp;$B817,4)&amp;"/"&amp;RIGHT("00"&amp;$C817,2)&amp;"/"&amp;RIGHT("00"&amp;$D817,2)))</f>
        <v/>
      </c>
      <c r="F817">
        <f>IF(OR($E817="",$E817="نامعتبر"),"",LEFT($E817,4)&amp;"/"&amp;MID($E817,6,2))</f>
        <v/>
      </c>
      <c r="G817">
        <f>IF(OR($E817="",$E817="نامعتبر",Sync!$X813=""),"",IF(AND(LEFT(UPPER(TRIM(Sync!$X813)),2)="SL",IFERROR(VLOOKUP(Sync!$W813,OpTbl,3,0),"")="فروش"),UPPER(TRIM(Sync!$X813)),""))</f>
        <v/>
      </c>
      <c r="H817">
        <f>IF($G817="","",IF(Sync!$W813="","",Sync!$W813))</f>
        <v/>
      </c>
      <c r="I817">
        <f>IF(OR($G817="",Sync!$Y813=""),"",Sync!$Y813)</f>
        <v/>
      </c>
      <c r="J817">
        <f>IF(OR($G817="",Sync!$Z813=""),"",Sync!$Z813)</f>
        <v/>
      </c>
      <c r="K817">
        <f>IF($G817="",0,IF(Sync!$AA813="",0,Sync!$AA813))</f>
        <v/>
      </c>
      <c r="L817">
        <f>IF($G817="",0,IF(Sync!$AB813="",0,Sync!$AB813))</f>
        <v/>
      </c>
      <c r="M817">
        <f>IF($G817="","",IF($H817="مرجوعی فروش",-1,1)*($K817-$L817*IFERROR(VLOOKUP("P01",ParamTbl,3,0),1.5)))</f>
        <v/>
      </c>
      <c r="N817">
        <f>IF($G817="",0,IF($H817="مرجوعی فروش",-1,1)*IF(Sync!$AC813="",0,Sync!$AC813))</f>
        <v/>
      </c>
      <c r="O817">
        <f>IF(OR($G817="",Sync!$V813=""),"",Sync!$V813)</f>
        <v/>
      </c>
      <c r="P817">
        <f>IF(OR($G817="",Sync!$AD813=""),"",Sync!$AD813)</f>
        <v/>
      </c>
      <c r="Q817">
        <f>IF($G817="","",IF(Sync!$U813="","0000",IF(AND(ISNUMBER(Sync!$U813),Sync!$U813&gt;=0,Sync!$U813&lt;1),RIGHT("00"&amp;HOUR(Sync!$U813),2)&amp;RIGHT("00"&amp;MINUTE(Sync!$U813),2),IFERROR(RIGHT("00"&amp;VALUE(LEFT(Sync!$U813,FIND(":",Sync!$U813)-1)),2)&amp;RIGHT("00"&amp;VALUE(MID(Sync!$U813,FIND(":",Sync!$U813)+1,2)),2),"0000"))))</f>
        <v/>
      </c>
    </row>
    <row r="818">
      <c r="A818">
        <f>IF(Sync!$T814="","",Sync!$T814)</f>
        <v/>
      </c>
      <c r="B818">
        <f>IF($A818="","",IF(ISNUMBER($A818),IF(AND($A818&gt;=10000101,$A818&lt;=99991231),INT($A818/10000),""),IFERROR(VALUE(TRIM(LEFT($A818,FIND("/",$A818)-1))),"")))</f>
        <v/>
      </c>
      <c r="C818">
        <f>IF(OR($A818="",$B818=""),"",IF(ISNUMBER($A818),INT(MOD($A818,10000)/100),IFERROR(VALUE(TRIM(LEFT(MID($A818,FIND("/",$A818)+1,20),FIND("/",MID($A818,FIND("/",$A818)+1,20))-1))),"")))</f>
        <v/>
      </c>
      <c r="D818">
        <f>IF(OR($A818="",$B818=""),"",IF(ISNUMBER($A818),MOD($A818,100),IFERROR(VALUE(TRIM(MID(MID($A818,FIND("/",$A818)+1,20),FIND("/",MID($A818,FIND("/",$A818)+1,20))+1,20))),"")))</f>
        <v/>
      </c>
      <c r="E818">
        <f>IF($A818="","",IF(OR($B818="",$C818="",$D818="",$B818&lt;1300,$B818&gt;1500,$C818&lt;1,$C818&gt;12,$D818&lt;1,$D818&gt;31),"نامعتبر",RIGHT("0000"&amp;$B818,4)&amp;"/"&amp;RIGHT("00"&amp;$C818,2)&amp;"/"&amp;RIGHT("00"&amp;$D818,2)))</f>
        <v/>
      </c>
      <c r="F818">
        <f>IF(OR($E818="",$E818="نامعتبر"),"",LEFT($E818,4)&amp;"/"&amp;MID($E818,6,2))</f>
        <v/>
      </c>
      <c r="G818">
        <f>IF(OR($E818="",$E818="نامعتبر",Sync!$X814=""),"",IF(AND(LEFT(UPPER(TRIM(Sync!$X814)),2)="SL",IFERROR(VLOOKUP(Sync!$W814,OpTbl,3,0),"")="فروش"),UPPER(TRIM(Sync!$X814)),""))</f>
        <v/>
      </c>
      <c r="H818">
        <f>IF($G818="","",IF(Sync!$W814="","",Sync!$W814))</f>
        <v/>
      </c>
      <c r="I818">
        <f>IF(OR($G818="",Sync!$Y814=""),"",Sync!$Y814)</f>
        <v/>
      </c>
      <c r="J818">
        <f>IF(OR($G818="",Sync!$Z814=""),"",Sync!$Z814)</f>
        <v/>
      </c>
      <c r="K818">
        <f>IF($G818="",0,IF(Sync!$AA814="",0,Sync!$AA814))</f>
        <v/>
      </c>
      <c r="L818">
        <f>IF($G818="",0,IF(Sync!$AB814="",0,Sync!$AB814))</f>
        <v/>
      </c>
      <c r="M818">
        <f>IF($G818="","",IF($H818="مرجوعی فروش",-1,1)*($K818-$L818*IFERROR(VLOOKUP("P01",ParamTbl,3,0),1.5)))</f>
        <v/>
      </c>
      <c r="N818">
        <f>IF($G818="",0,IF($H818="مرجوعی فروش",-1,1)*IF(Sync!$AC814="",0,Sync!$AC814))</f>
        <v/>
      </c>
      <c r="O818">
        <f>IF(OR($G818="",Sync!$V814=""),"",Sync!$V814)</f>
        <v/>
      </c>
      <c r="P818">
        <f>IF(OR($G818="",Sync!$AD814=""),"",Sync!$AD814)</f>
        <v/>
      </c>
      <c r="Q818">
        <f>IF($G818="","",IF(Sync!$U814="","0000",IF(AND(ISNUMBER(Sync!$U814),Sync!$U814&gt;=0,Sync!$U814&lt;1),RIGHT("00"&amp;HOUR(Sync!$U814),2)&amp;RIGHT("00"&amp;MINUTE(Sync!$U814),2),IFERROR(RIGHT("00"&amp;VALUE(LEFT(Sync!$U814,FIND(":",Sync!$U814)-1)),2)&amp;RIGHT("00"&amp;VALUE(MID(Sync!$U814,FIND(":",Sync!$U814)+1,2)),2),"0000"))))</f>
        <v/>
      </c>
    </row>
    <row r="819">
      <c r="A819">
        <f>IF(Sync!$T815="","",Sync!$T815)</f>
        <v/>
      </c>
      <c r="B819">
        <f>IF($A819="","",IF(ISNUMBER($A819),IF(AND($A819&gt;=10000101,$A819&lt;=99991231),INT($A819/10000),""),IFERROR(VALUE(TRIM(LEFT($A819,FIND("/",$A819)-1))),"")))</f>
        <v/>
      </c>
      <c r="C819">
        <f>IF(OR($A819="",$B819=""),"",IF(ISNUMBER($A819),INT(MOD($A819,10000)/100),IFERROR(VALUE(TRIM(LEFT(MID($A819,FIND("/",$A819)+1,20),FIND("/",MID($A819,FIND("/",$A819)+1,20))-1))),"")))</f>
        <v/>
      </c>
      <c r="D819">
        <f>IF(OR($A819="",$B819=""),"",IF(ISNUMBER($A819),MOD($A819,100),IFERROR(VALUE(TRIM(MID(MID($A819,FIND("/",$A819)+1,20),FIND("/",MID($A819,FIND("/",$A819)+1,20))+1,20))),"")))</f>
        <v/>
      </c>
      <c r="E819">
        <f>IF($A819="","",IF(OR($B819="",$C819="",$D819="",$B819&lt;1300,$B819&gt;1500,$C819&lt;1,$C819&gt;12,$D819&lt;1,$D819&gt;31),"نامعتبر",RIGHT("0000"&amp;$B819,4)&amp;"/"&amp;RIGHT("00"&amp;$C819,2)&amp;"/"&amp;RIGHT("00"&amp;$D819,2)))</f>
        <v/>
      </c>
      <c r="F819">
        <f>IF(OR($E819="",$E819="نامعتبر"),"",LEFT($E819,4)&amp;"/"&amp;MID($E819,6,2))</f>
        <v/>
      </c>
      <c r="G819">
        <f>IF(OR($E819="",$E819="نامعتبر",Sync!$X815=""),"",IF(AND(LEFT(UPPER(TRIM(Sync!$X815)),2)="SL",IFERROR(VLOOKUP(Sync!$W815,OpTbl,3,0),"")="فروش"),UPPER(TRIM(Sync!$X815)),""))</f>
        <v/>
      </c>
      <c r="H819">
        <f>IF($G819="","",IF(Sync!$W815="","",Sync!$W815))</f>
        <v/>
      </c>
      <c r="I819">
        <f>IF(OR($G819="",Sync!$Y815=""),"",Sync!$Y815)</f>
        <v/>
      </c>
      <c r="J819">
        <f>IF(OR($G819="",Sync!$Z815=""),"",Sync!$Z815)</f>
        <v/>
      </c>
      <c r="K819">
        <f>IF($G819="",0,IF(Sync!$AA815="",0,Sync!$AA815))</f>
        <v/>
      </c>
      <c r="L819">
        <f>IF($G819="",0,IF(Sync!$AB815="",0,Sync!$AB815))</f>
        <v/>
      </c>
      <c r="M819">
        <f>IF($G819="","",IF($H819="مرجوعی فروش",-1,1)*($K819-$L819*IFERROR(VLOOKUP("P01",ParamTbl,3,0),1.5)))</f>
        <v/>
      </c>
      <c r="N819">
        <f>IF($G819="",0,IF($H819="مرجوعی فروش",-1,1)*IF(Sync!$AC815="",0,Sync!$AC815))</f>
        <v/>
      </c>
      <c r="O819">
        <f>IF(OR($G819="",Sync!$V815=""),"",Sync!$V815)</f>
        <v/>
      </c>
      <c r="P819">
        <f>IF(OR($G819="",Sync!$AD815=""),"",Sync!$AD815)</f>
        <v/>
      </c>
      <c r="Q819">
        <f>IF($G819="","",IF(Sync!$U815="","0000",IF(AND(ISNUMBER(Sync!$U815),Sync!$U815&gt;=0,Sync!$U815&lt;1),RIGHT("00"&amp;HOUR(Sync!$U815),2)&amp;RIGHT("00"&amp;MINUTE(Sync!$U815),2),IFERROR(RIGHT("00"&amp;VALUE(LEFT(Sync!$U815,FIND(":",Sync!$U815)-1)),2)&amp;RIGHT("00"&amp;VALUE(MID(Sync!$U815,FIND(":",Sync!$U815)+1,2)),2),"0000"))))</f>
        <v/>
      </c>
    </row>
    <row r="820">
      <c r="A820">
        <f>IF(Sync!$T816="","",Sync!$T816)</f>
        <v/>
      </c>
      <c r="B820">
        <f>IF($A820="","",IF(ISNUMBER($A820),IF(AND($A820&gt;=10000101,$A820&lt;=99991231),INT($A820/10000),""),IFERROR(VALUE(TRIM(LEFT($A820,FIND("/",$A820)-1))),"")))</f>
        <v/>
      </c>
      <c r="C820">
        <f>IF(OR($A820="",$B820=""),"",IF(ISNUMBER($A820),INT(MOD($A820,10000)/100),IFERROR(VALUE(TRIM(LEFT(MID($A820,FIND("/",$A820)+1,20),FIND("/",MID($A820,FIND("/",$A820)+1,20))-1))),"")))</f>
        <v/>
      </c>
      <c r="D820">
        <f>IF(OR($A820="",$B820=""),"",IF(ISNUMBER($A820),MOD($A820,100),IFERROR(VALUE(TRIM(MID(MID($A820,FIND("/",$A820)+1,20),FIND("/",MID($A820,FIND("/",$A820)+1,20))+1,20))),"")))</f>
        <v/>
      </c>
      <c r="E820">
        <f>IF($A820="","",IF(OR($B820="",$C820="",$D820="",$B820&lt;1300,$B820&gt;1500,$C820&lt;1,$C820&gt;12,$D820&lt;1,$D820&gt;31),"نامعتبر",RIGHT("0000"&amp;$B820,4)&amp;"/"&amp;RIGHT("00"&amp;$C820,2)&amp;"/"&amp;RIGHT("00"&amp;$D820,2)))</f>
        <v/>
      </c>
      <c r="F820">
        <f>IF(OR($E820="",$E820="نامعتبر"),"",LEFT($E820,4)&amp;"/"&amp;MID($E820,6,2))</f>
        <v/>
      </c>
      <c r="G820">
        <f>IF(OR($E820="",$E820="نامعتبر",Sync!$X816=""),"",IF(AND(LEFT(UPPER(TRIM(Sync!$X816)),2)="SL",IFERROR(VLOOKUP(Sync!$W816,OpTbl,3,0),"")="فروش"),UPPER(TRIM(Sync!$X816)),""))</f>
        <v/>
      </c>
      <c r="H820">
        <f>IF($G820="","",IF(Sync!$W816="","",Sync!$W816))</f>
        <v/>
      </c>
      <c r="I820">
        <f>IF(OR($G820="",Sync!$Y816=""),"",Sync!$Y816)</f>
        <v/>
      </c>
      <c r="J820">
        <f>IF(OR($G820="",Sync!$Z816=""),"",Sync!$Z816)</f>
        <v/>
      </c>
      <c r="K820">
        <f>IF($G820="",0,IF(Sync!$AA816="",0,Sync!$AA816))</f>
        <v/>
      </c>
      <c r="L820">
        <f>IF($G820="",0,IF(Sync!$AB816="",0,Sync!$AB816))</f>
        <v/>
      </c>
      <c r="M820">
        <f>IF($G820="","",IF($H820="مرجوعی فروش",-1,1)*($K820-$L820*IFERROR(VLOOKUP("P01",ParamTbl,3,0),1.5)))</f>
        <v/>
      </c>
      <c r="N820">
        <f>IF($G820="",0,IF($H820="مرجوعی فروش",-1,1)*IF(Sync!$AC816="",0,Sync!$AC816))</f>
        <v/>
      </c>
      <c r="O820">
        <f>IF(OR($G820="",Sync!$V816=""),"",Sync!$V816)</f>
        <v/>
      </c>
      <c r="P820">
        <f>IF(OR($G820="",Sync!$AD816=""),"",Sync!$AD816)</f>
        <v/>
      </c>
      <c r="Q820">
        <f>IF($G820="","",IF(Sync!$U816="","0000",IF(AND(ISNUMBER(Sync!$U816),Sync!$U816&gt;=0,Sync!$U816&lt;1),RIGHT("00"&amp;HOUR(Sync!$U816),2)&amp;RIGHT("00"&amp;MINUTE(Sync!$U816),2),IFERROR(RIGHT("00"&amp;VALUE(LEFT(Sync!$U816,FIND(":",Sync!$U816)-1)),2)&amp;RIGHT("00"&amp;VALUE(MID(Sync!$U816,FIND(":",Sync!$U816)+1,2)),2),"0000"))))</f>
        <v/>
      </c>
    </row>
    <row r="821">
      <c r="A821">
        <f>IF(Sync!$T817="","",Sync!$T817)</f>
        <v/>
      </c>
      <c r="B821">
        <f>IF($A821="","",IF(ISNUMBER($A821),IF(AND($A821&gt;=10000101,$A821&lt;=99991231),INT($A821/10000),""),IFERROR(VALUE(TRIM(LEFT($A821,FIND("/",$A821)-1))),"")))</f>
        <v/>
      </c>
      <c r="C821">
        <f>IF(OR($A821="",$B821=""),"",IF(ISNUMBER($A821),INT(MOD($A821,10000)/100),IFERROR(VALUE(TRIM(LEFT(MID($A821,FIND("/",$A821)+1,20),FIND("/",MID($A821,FIND("/",$A821)+1,20))-1))),"")))</f>
        <v/>
      </c>
      <c r="D821">
        <f>IF(OR($A821="",$B821=""),"",IF(ISNUMBER($A821),MOD($A821,100),IFERROR(VALUE(TRIM(MID(MID($A821,FIND("/",$A821)+1,20),FIND("/",MID($A821,FIND("/",$A821)+1,20))+1,20))),"")))</f>
        <v/>
      </c>
      <c r="E821">
        <f>IF($A821="","",IF(OR($B821="",$C821="",$D821="",$B821&lt;1300,$B821&gt;1500,$C821&lt;1,$C821&gt;12,$D821&lt;1,$D821&gt;31),"نامعتبر",RIGHT("0000"&amp;$B821,4)&amp;"/"&amp;RIGHT("00"&amp;$C821,2)&amp;"/"&amp;RIGHT("00"&amp;$D821,2)))</f>
        <v/>
      </c>
      <c r="F821">
        <f>IF(OR($E821="",$E821="نامعتبر"),"",LEFT($E821,4)&amp;"/"&amp;MID($E821,6,2))</f>
        <v/>
      </c>
      <c r="G821">
        <f>IF(OR($E821="",$E821="نامعتبر",Sync!$X817=""),"",IF(AND(LEFT(UPPER(TRIM(Sync!$X817)),2)="SL",IFERROR(VLOOKUP(Sync!$W817,OpTbl,3,0),"")="فروش"),UPPER(TRIM(Sync!$X817)),""))</f>
        <v/>
      </c>
      <c r="H821">
        <f>IF($G821="","",IF(Sync!$W817="","",Sync!$W817))</f>
        <v/>
      </c>
      <c r="I821">
        <f>IF(OR($G821="",Sync!$Y817=""),"",Sync!$Y817)</f>
        <v/>
      </c>
      <c r="J821">
        <f>IF(OR($G821="",Sync!$Z817=""),"",Sync!$Z817)</f>
        <v/>
      </c>
      <c r="K821">
        <f>IF($G821="",0,IF(Sync!$AA817="",0,Sync!$AA817))</f>
        <v/>
      </c>
      <c r="L821">
        <f>IF($G821="",0,IF(Sync!$AB817="",0,Sync!$AB817))</f>
        <v/>
      </c>
      <c r="M821">
        <f>IF($G821="","",IF($H821="مرجوعی فروش",-1,1)*($K821-$L821*IFERROR(VLOOKUP("P01",ParamTbl,3,0),1.5)))</f>
        <v/>
      </c>
      <c r="N821">
        <f>IF($G821="",0,IF($H821="مرجوعی فروش",-1,1)*IF(Sync!$AC817="",0,Sync!$AC817))</f>
        <v/>
      </c>
      <c r="O821">
        <f>IF(OR($G821="",Sync!$V817=""),"",Sync!$V817)</f>
        <v/>
      </c>
      <c r="P821">
        <f>IF(OR($G821="",Sync!$AD817=""),"",Sync!$AD817)</f>
        <v/>
      </c>
      <c r="Q821">
        <f>IF($G821="","",IF(Sync!$U817="","0000",IF(AND(ISNUMBER(Sync!$U817),Sync!$U817&gt;=0,Sync!$U817&lt;1),RIGHT("00"&amp;HOUR(Sync!$U817),2)&amp;RIGHT("00"&amp;MINUTE(Sync!$U817),2),IFERROR(RIGHT("00"&amp;VALUE(LEFT(Sync!$U817,FIND(":",Sync!$U817)-1)),2)&amp;RIGHT("00"&amp;VALUE(MID(Sync!$U817,FIND(":",Sync!$U817)+1,2)),2),"0000"))))</f>
        <v/>
      </c>
    </row>
    <row r="822">
      <c r="A822">
        <f>IF(Sync!$T818="","",Sync!$T818)</f>
        <v/>
      </c>
      <c r="B822">
        <f>IF($A822="","",IF(ISNUMBER($A822),IF(AND($A822&gt;=10000101,$A822&lt;=99991231),INT($A822/10000),""),IFERROR(VALUE(TRIM(LEFT($A822,FIND("/",$A822)-1))),"")))</f>
        <v/>
      </c>
      <c r="C822">
        <f>IF(OR($A822="",$B822=""),"",IF(ISNUMBER($A822),INT(MOD($A822,10000)/100),IFERROR(VALUE(TRIM(LEFT(MID($A822,FIND("/",$A822)+1,20),FIND("/",MID($A822,FIND("/",$A822)+1,20))-1))),"")))</f>
        <v/>
      </c>
      <c r="D822">
        <f>IF(OR($A822="",$B822=""),"",IF(ISNUMBER($A822),MOD($A822,100),IFERROR(VALUE(TRIM(MID(MID($A822,FIND("/",$A822)+1,20),FIND("/",MID($A822,FIND("/",$A822)+1,20))+1,20))),"")))</f>
        <v/>
      </c>
      <c r="E822">
        <f>IF($A822="","",IF(OR($B822="",$C822="",$D822="",$B822&lt;1300,$B822&gt;1500,$C822&lt;1,$C822&gt;12,$D822&lt;1,$D822&gt;31),"نامعتبر",RIGHT("0000"&amp;$B822,4)&amp;"/"&amp;RIGHT("00"&amp;$C822,2)&amp;"/"&amp;RIGHT("00"&amp;$D822,2)))</f>
        <v/>
      </c>
      <c r="F822">
        <f>IF(OR($E822="",$E822="نامعتبر"),"",LEFT($E822,4)&amp;"/"&amp;MID($E822,6,2))</f>
        <v/>
      </c>
      <c r="G822">
        <f>IF(OR($E822="",$E822="نامعتبر",Sync!$X818=""),"",IF(AND(LEFT(UPPER(TRIM(Sync!$X818)),2)="SL",IFERROR(VLOOKUP(Sync!$W818,OpTbl,3,0),"")="فروش"),UPPER(TRIM(Sync!$X818)),""))</f>
        <v/>
      </c>
      <c r="H822">
        <f>IF($G822="","",IF(Sync!$W818="","",Sync!$W818))</f>
        <v/>
      </c>
      <c r="I822">
        <f>IF(OR($G822="",Sync!$Y818=""),"",Sync!$Y818)</f>
        <v/>
      </c>
      <c r="J822">
        <f>IF(OR($G822="",Sync!$Z818=""),"",Sync!$Z818)</f>
        <v/>
      </c>
      <c r="K822">
        <f>IF($G822="",0,IF(Sync!$AA818="",0,Sync!$AA818))</f>
        <v/>
      </c>
      <c r="L822">
        <f>IF($G822="",0,IF(Sync!$AB818="",0,Sync!$AB818))</f>
        <v/>
      </c>
      <c r="M822">
        <f>IF($G822="","",IF($H822="مرجوعی فروش",-1,1)*($K822-$L822*IFERROR(VLOOKUP("P01",ParamTbl,3,0),1.5)))</f>
        <v/>
      </c>
      <c r="N822">
        <f>IF($G822="",0,IF($H822="مرجوعی فروش",-1,1)*IF(Sync!$AC818="",0,Sync!$AC818))</f>
        <v/>
      </c>
      <c r="O822">
        <f>IF(OR($G822="",Sync!$V818=""),"",Sync!$V818)</f>
        <v/>
      </c>
      <c r="P822">
        <f>IF(OR($G822="",Sync!$AD818=""),"",Sync!$AD818)</f>
        <v/>
      </c>
      <c r="Q822">
        <f>IF($G822="","",IF(Sync!$U818="","0000",IF(AND(ISNUMBER(Sync!$U818),Sync!$U818&gt;=0,Sync!$U818&lt;1),RIGHT("00"&amp;HOUR(Sync!$U818),2)&amp;RIGHT("00"&amp;MINUTE(Sync!$U818),2),IFERROR(RIGHT("00"&amp;VALUE(LEFT(Sync!$U818,FIND(":",Sync!$U818)-1)),2)&amp;RIGHT("00"&amp;VALUE(MID(Sync!$U818,FIND(":",Sync!$U818)+1,2)),2),"0000"))))</f>
        <v/>
      </c>
    </row>
    <row r="823">
      <c r="A823">
        <f>IF(Sync!$T819="","",Sync!$T819)</f>
        <v/>
      </c>
      <c r="B823">
        <f>IF($A823="","",IF(ISNUMBER($A823),IF(AND($A823&gt;=10000101,$A823&lt;=99991231),INT($A823/10000),""),IFERROR(VALUE(TRIM(LEFT($A823,FIND("/",$A823)-1))),"")))</f>
        <v/>
      </c>
      <c r="C823">
        <f>IF(OR($A823="",$B823=""),"",IF(ISNUMBER($A823),INT(MOD($A823,10000)/100),IFERROR(VALUE(TRIM(LEFT(MID($A823,FIND("/",$A823)+1,20),FIND("/",MID($A823,FIND("/",$A823)+1,20))-1))),"")))</f>
        <v/>
      </c>
      <c r="D823">
        <f>IF(OR($A823="",$B823=""),"",IF(ISNUMBER($A823),MOD($A823,100),IFERROR(VALUE(TRIM(MID(MID($A823,FIND("/",$A823)+1,20),FIND("/",MID($A823,FIND("/",$A823)+1,20))+1,20))),"")))</f>
        <v/>
      </c>
      <c r="E823">
        <f>IF($A823="","",IF(OR($B823="",$C823="",$D823="",$B823&lt;1300,$B823&gt;1500,$C823&lt;1,$C823&gt;12,$D823&lt;1,$D823&gt;31),"نامعتبر",RIGHT("0000"&amp;$B823,4)&amp;"/"&amp;RIGHT("00"&amp;$C823,2)&amp;"/"&amp;RIGHT("00"&amp;$D823,2)))</f>
        <v/>
      </c>
      <c r="F823">
        <f>IF(OR($E823="",$E823="نامعتبر"),"",LEFT($E823,4)&amp;"/"&amp;MID($E823,6,2))</f>
        <v/>
      </c>
      <c r="G823">
        <f>IF(OR($E823="",$E823="نامعتبر",Sync!$X819=""),"",IF(AND(LEFT(UPPER(TRIM(Sync!$X819)),2)="SL",IFERROR(VLOOKUP(Sync!$W819,OpTbl,3,0),"")="فروش"),UPPER(TRIM(Sync!$X819)),""))</f>
        <v/>
      </c>
      <c r="H823">
        <f>IF($G823="","",IF(Sync!$W819="","",Sync!$W819))</f>
        <v/>
      </c>
      <c r="I823">
        <f>IF(OR($G823="",Sync!$Y819=""),"",Sync!$Y819)</f>
        <v/>
      </c>
      <c r="J823">
        <f>IF(OR($G823="",Sync!$Z819=""),"",Sync!$Z819)</f>
        <v/>
      </c>
      <c r="K823">
        <f>IF($G823="",0,IF(Sync!$AA819="",0,Sync!$AA819))</f>
        <v/>
      </c>
      <c r="L823">
        <f>IF($G823="",0,IF(Sync!$AB819="",0,Sync!$AB819))</f>
        <v/>
      </c>
      <c r="M823">
        <f>IF($G823="","",IF($H823="مرجوعی فروش",-1,1)*($K823-$L823*IFERROR(VLOOKUP("P01",ParamTbl,3,0),1.5)))</f>
        <v/>
      </c>
      <c r="N823">
        <f>IF($G823="",0,IF($H823="مرجوعی فروش",-1,1)*IF(Sync!$AC819="",0,Sync!$AC819))</f>
        <v/>
      </c>
      <c r="O823">
        <f>IF(OR($G823="",Sync!$V819=""),"",Sync!$V819)</f>
        <v/>
      </c>
      <c r="P823">
        <f>IF(OR($G823="",Sync!$AD819=""),"",Sync!$AD819)</f>
        <v/>
      </c>
      <c r="Q823">
        <f>IF($G823="","",IF(Sync!$U819="","0000",IF(AND(ISNUMBER(Sync!$U819),Sync!$U819&gt;=0,Sync!$U819&lt;1),RIGHT("00"&amp;HOUR(Sync!$U819),2)&amp;RIGHT("00"&amp;MINUTE(Sync!$U819),2),IFERROR(RIGHT("00"&amp;VALUE(LEFT(Sync!$U819,FIND(":",Sync!$U819)-1)),2)&amp;RIGHT("00"&amp;VALUE(MID(Sync!$U819,FIND(":",Sync!$U819)+1,2)),2),"0000"))))</f>
        <v/>
      </c>
    </row>
    <row r="824">
      <c r="A824">
        <f>IF(Sync!$T820="","",Sync!$T820)</f>
        <v/>
      </c>
      <c r="B824">
        <f>IF($A824="","",IF(ISNUMBER($A824),IF(AND($A824&gt;=10000101,$A824&lt;=99991231),INT($A824/10000),""),IFERROR(VALUE(TRIM(LEFT($A824,FIND("/",$A824)-1))),"")))</f>
        <v/>
      </c>
      <c r="C824">
        <f>IF(OR($A824="",$B824=""),"",IF(ISNUMBER($A824),INT(MOD($A824,10000)/100),IFERROR(VALUE(TRIM(LEFT(MID($A824,FIND("/",$A824)+1,20),FIND("/",MID($A824,FIND("/",$A824)+1,20))-1))),"")))</f>
        <v/>
      </c>
      <c r="D824">
        <f>IF(OR($A824="",$B824=""),"",IF(ISNUMBER($A824),MOD($A824,100),IFERROR(VALUE(TRIM(MID(MID($A824,FIND("/",$A824)+1,20),FIND("/",MID($A824,FIND("/",$A824)+1,20))+1,20))),"")))</f>
        <v/>
      </c>
      <c r="E824">
        <f>IF($A824="","",IF(OR($B824="",$C824="",$D824="",$B824&lt;1300,$B824&gt;1500,$C824&lt;1,$C824&gt;12,$D824&lt;1,$D824&gt;31),"نامعتبر",RIGHT("0000"&amp;$B824,4)&amp;"/"&amp;RIGHT("00"&amp;$C824,2)&amp;"/"&amp;RIGHT("00"&amp;$D824,2)))</f>
        <v/>
      </c>
      <c r="F824">
        <f>IF(OR($E824="",$E824="نامعتبر"),"",LEFT($E824,4)&amp;"/"&amp;MID($E824,6,2))</f>
        <v/>
      </c>
      <c r="G824">
        <f>IF(OR($E824="",$E824="نامعتبر",Sync!$X820=""),"",IF(AND(LEFT(UPPER(TRIM(Sync!$X820)),2)="SL",IFERROR(VLOOKUP(Sync!$W820,OpTbl,3,0),"")="فروش"),UPPER(TRIM(Sync!$X820)),""))</f>
        <v/>
      </c>
      <c r="H824">
        <f>IF($G824="","",IF(Sync!$W820="","",Sync!$W820))</f>
        <v/>
      </c>
      <c r="I824">
        <f>IF(OR($G824="",Sync!$Y820=""),"",Sync!$Y820)</f>
        <v/>
      </c>
      <c r="J824">
        <f>IF(OR($G824="",Sync!$Z820=""),"",Sync!$Z820)</f>
        <v/>
      </c>
      <c r="K824">
        <f>IF($G824="",0,IF(Sync!$AA820="",0,Sync!$AA820))</f>
        <v/>
      </c>
      <c r="L824">
        <f>IF($G824="",0,IF(Sync!$AB820="",0,Sync!$AB820))</f>
        <v/>
      </c>
      <c r="M824">
        <f>IF($G824="","",IF($H824="مرجوعی فروش",-1,1)*($K824-$L824*IFERROR(VLOOKUP("P01",ParamTbl,3,0),1.5)))</f>
        <v/>
      </c>
      <c r="N824">
        <f>IF($G824="",0,IF($H824="مرجوعی فروش",-1,1)*IF(Sync!$AC820="",0,Sync!$AC820))</f>
        <v/>
      </c>
      <c r="O824">
        <f>IF(OR($G824="",Sync!$V820=""),"",Sync!$V820)</f>
        <v/>
      </c>
      <c r="P824">
        <f>IF(OR($G824="",Sync!$AD820=""),"",Sync!$AD820)</f>
        <v/>
      </c>
      <c r="Q824">
        <f>IF($G824="","",IF(Sync!$U820="","0000",IF(AND(ISNUMBER(Sync!$U820),Sync!$U820&gt;=0,Sync!$U820&lt;1),RIGHT("00"&amp;HOUR(Sync!$U820),2)&amp;RIGHT("00"&amp;MINUTE(Sync!$U820),2),IFERROR(RIGHT("00"&amp;VALUE(LEFT(Sync!$U820,FIND(":",Sync!$U820)-1)),2)&amp;RIGHT("00"&amp;VALUE(MID(Sync!$U820,FIND(":",Sync!$U820)+1,2)),2),"0000"))))</f>
        <v/>
      </c>
    </row>
    <row r="825">
      <c r="A825">
        <f>IF(Sync!$T821="","",Sync!$T821)</f>
        <v/>
      </c>
      <c r="B825">
        <f>IF($A825="","",IF(ISNUMBER($A825),IF(AND($A825&gt;=10000101,$A825&lt;=99991231),INT($A825/10000),""),IFERROR(VALUE(TRIM(LEFT($A825,FIND("/",$A825)-1))),"")))</f>
        <v/>
      </c>
      <c r="C825">
        <f>IF(OR($A825="",$B825=""),"",IF(ISNUMBER($A825),INT(MOD($A825,10000)/100),IFERROR(VALUE(TRIM(LEFT(MID($A825,FIND("/",$A825)+1,20),FIND("/",MID($A825,FIND("/",$A825)+1,20))-1))),"")))</f>
        <v/>
      </c>
      <c r="D825">
        <f>IF(OR($A825="",$B825=""),"",IF(ISNUMBER($A825),MOD($A825,100),IFERROR(VALUE(TRIM(MID(MID($A825,FIND("/",$A825)+1,20),FIND("/",MID($A825,FIND("/",$A825)+1,20))+1,20))),"")))</f>
        <v/>
      </c>
      <c r="E825">
        <f>IF($A825="","",IF(OR($B825="",$C825="",$D825="",$B825&lt;1300,$B825&gt;1500,$C825&lt;1,$C825&gt;12,$D825&lt;1,$D825&gt;31),"نامعتبر",RIGHT("0000"&amp;$B825,4)&amp;"/"&amp;RIGHT("00"&amp;$C825,2)&amp;"/"&amp;RIGHT("00"&amp;$D825,2)))</f>
        <v/>
      </c>
      <c r="F825">
        <f>IF(OR($E825="",$E825="نامعتبر"),"",LEFT($E825,4)&amp;"/"&amp;MID($E825,6,2))</f>
        <v/>
      </c>
      <c r="G825">
        <f>IF(OR($E825="",$E825="نامعتبر",Sync!$X821=""),"",IF(AND(LEFT(UPPER(TRIM(Sync!$X821)),2)="SL",IFERROR(VLOOKUP(Sync!$W821,OpTbl,3,0),"")="فروش"),UPPER(TRIM(Sync!$X821)),""))</f>
        <v/>
      </c>
      <c r="H825">
        <f>IF($G825="","",IF(Sync!$W821="","",Sync!$W821))</f>
        <v/>
      </c>
      <c r="I825">
        <f>IF(OR($G825="",Sync!$Y821=""),"",Sync!$Y821)</f>
        <v/>
      </c>
      <c r="J825">
        <f>IF(OR($G825="",Sync!$Z821=""),"",Sync!$Z821)</f>
        <v/>
      </c>
      <c r="K825">
        <f>IF($G825="",0,IF(Sync!$AA821="",0,Sync!$AA821))</f>
        <v/>
      </c>
      <c r="L825">
        <f>IF($G825="",0,IF(Sync!$AB821="",0,Sync!$AB821))</f>
        <v/>
      </c>
      <c r="M825">
        <f>IF($G825="","",IF($H825="مرجوعی فروش",-1,1)*($K825-$L825*IFERROR(VLOOKUP("P01",ParamTbl,3,0),1.5)))</f>
        <v/>
      </c>
      <c r="N825">
        <f>IF($G825="",0,IF($H825="مرجوعی فروش",-1,1)*IF(Sync!$AC821="",0,Sync!$AC821))</f>
        <v/>
      </c>
      <c r="O825">
        <f>IF(OR($G825="",Sync!$V821=""),"",Sync!$V821)</f>
        <v/>
      </c>
      <c r="P825">
        <f>IF(OR($G825="",Sync!$AD821=""),"",Sync!$AD821)</f>
        <v/>
      </c>
      <c r="Q825">
        <f>IF($G825="","",IF(Sync!$U821="","0000",IF(AND(ISNUMBER(Sync!$U821),Sync!$U821&gt;=0,Sync!$U821&lt;1),RIGHT("00"&amp;HOUR(Sync!$U821),2)&amp;RIGHT("00"&amp;MINUTE(Sync!$U821),2),IFERROR(RIGHT("00"&amp;VALUE(LEFT(Sync!$U821,FIND(":",Sync!$U821)-1)),2)&amp;RIGHT("00"&amp;VALUE(MID(Sync!$U821,FIND(":",Sync!$U821)+1,2)),2),"0000"))))</f>
        <v/>
      </c>
    </row>
    <row r="826">
      <c r="A826">
        <f>IF(Sync!$T822="","",Sync!$T822)</f>
        <v/>
      </c>
      <c r="B826">
        <f>IF($A826="","",IF(ISNUMBER($A826),IF(AND($A826&gt;=10000101,$A826&lt;=99991231),INT($A826/10000),""),IFERROR(VALUE(TRIM(LEFT($A826,FIND("/",$A826)-1))),"")))</f>
        <v/>
      </c>
      <c r="C826">
        <f>IF(OR($A826="",$B826=""),"",IF(ISNUMBER($A826),INT(MOD($A826,10000)/100),IFERROR(VALUE(TRIM(LEFT(MID($A826,FIND("/",$A826)+1,20),FIND("/",MID($A826,FIND("/",$A826)+1,20))-1))),"")))</f>
        <v/>
      </c>
      <c r="D826">
        <f>IF(OR($A826="",$B826=""),"",IF(ISNUMBER($A826),MOD($A826,100),IFERROR(VALUE(TRIM(MID(MID($A826,FIND("/",$A826)+1,20),FIND("/",MID($A826,FIND("/",$A826)+1,20))+1,20))),"")))</f>
        <v/>
      </c>
      <c r="E826">
        <f>IF($A826="","",IF(OR($B826="",$C826="",$D826="",$B826&lt;1300,$B826&gt;1500,$C826&lt;1,$C826&gt;12,$D826&lt;1,$D826&gt;31),"نامعتبر",RIGHT("0000"&amp;$B826,4)&amp;"/"&amp;RIGHT("00"&amp;$C826,2)&amp;"/"&amp;RIGHT("00"&amp;$D826,2)))</f>
        <v/>
      </c>
      <c r="F826">
        <f>IF(OR($E826="",$E826="نامعتبر"),"",LEFT($E826,4)&amp;"/"&amp;MID($E826,6,2))</f>
        <v/>
      </c>
      <c r="G826">
        <f>IF(OR($E826="",$E826="نامعتبر",Sync!$X822=""),"",IF(AND(LEFT(UPPER(TRIM(Sync!$X822)),2)="SL",IFERROR(VLOOKUP(Sync!$W822,OpTbl,3,0),"")="فروش"),UPPER(TRIM(Sync!$X822)),""))</f>
        <v/>
      </c>
      <c r="H826">
        <f>IF($G826="","",IF(Sync!$W822="","",Sync!$W822))</f>
        <v/>
      </c>
      <c r="I826">
        <f>IF(OR($G826="",Sync!$Y822=""),"",Sync!$Y822)</f>
        <v/>
      </c>
      <c r="J826">
        <f>IF(OR($G826="",Sync!$Z822=""),"",Sync!$Z822)</f>
        <v/>
      </c>
      <c r="K826">
        <f>IF($G826="",0,IF(Sync!$AA822="",0,Sync!$AA822))</f>
        <v/>
      </c>
      <c r="L826">
        <f>IF($G826="",0,IF(Sync!$AB822="",0,Sync!$AB822))</f>
        <v/>
      </c>
      <c r="M826">
        <f>IF($G826="","",IF($H826="مرجوعی فروش",-1,1)*($K826-$L826*IFERROR(VLOOKUP("P01",ParamTbl,3,0),1.5)))</f>
        <v/>
      </c>
      <c r="N826">
        <f>IF($G826="",0,IF($H826="مرجوعی فروش",-1,1)*IF(Sync!$AC822="",0,Sync!$AC822))</f>
        <v/>
      </c>
      <c r="O826">
        <f>IF(OR($G826="",Sync!$V822=""),"",Sync!$V822)</f>
        <v/>
      </c>
      <c r="P826">
        <f>IF(OR($G826="",Sync!$AD822=""),"",Sync!$AD822)</f>
        <v/>
      </c>
      <c r="Q826">
        <f>IF($G826="","",IF(Sync!$U822="","0000",IF(AND(ISNUMBER(Sync!$U822),Sync!$U822&gt;=0,Sync!$U822&lt;1),RIGHT("00"&amp;HOUR(Sync!$U822),2)&amp;RIGHT("00"&amp;MINUTE(Sync!$U822),2),IFERROR(RIGHT("00"&amp;VALUE(LEFT(Sync!$U822,FIND(":",Sync!$U822)-1)),2)&amp;RIGHT("00"&amp;VALUE(MID(Sync!$U822,FIND(":",Sync!$U822)+1,2)),2),"0000"))))</f>
        <v/>
      </c>
    </row>
    <row r="827">
      <c r="A827">
        <f>IF(Sync!$T823="","",Sync!$T823)</f>
        <v/>
      </c>
      <c r="B827">
        <f>IF($A827="","",IF(ISNUMBER($A827),IF(AND($A827&gt;=10000101,$A827&lt;=99991231),INT($A827/10000),""),IFERROR(VALUE(TRIM(LEFT($A827,FIND("/",$A827)-1))),"")))</f>
        <v/>
      </c>
      <c r="C827">
        <f>IF(OR($A827="",$B827=""),"",IF(ISNUMBER($A827),INT(MOD($A827,10000)/100),IFERROR(VALUE(TRIM(LEFT(MID($A827,FIND("/",$A827)+1,20),FIND("/",MID($A827,FIND("/",$A827)+1,20))-1))),"")))</f>
        <v/>
      </c>
      <c r="D827">
        <f>IF(OR($A827="",$B827=""),"",IF(ISNUMBER($A827),MOD($A827,100),IFERROR(VALUE(TRIM(MID(MID($A827,FIND("/",$A827)+1,20),FIND("/",MID($A827,FIND("/",$A827)+1,20))+1,20))),"")))</f>
        <v/>
      </c>
      <c r="E827">
        <f>IF($A827="","",IF(OR($B827="",$C827="",$D827="",$B827&lt;1300,$B827&gt;1500,$C827&lt;1,$C827&gt;12,$D827&lt;1,$D827&gt;31),"نامعتبر",RIGHT("0000"&amp;$B827,4)&amp;"/"&amp;RIGHT("00"&amp;$C827,2)&amp;"/"&amp;RIGHT("00"&amp;$D827,2)))</f>
        <v/>
      </c>
      <c r="F827">
        <f>IF(OR($E827="",$E827="نامعتبر"),"",LEFT($E827,4)&amp;"/"&amp;MID($E827,6,2))</f>
        <v/>
      </c>
      <c r="G827">
        <f>IF(OR($E827="",$E827="نامعتبر",Sync!$X823=""),"",IF(AND(LEFT(UPPER(TRIM(Sync!$X823)),2)="SL",IFERROR(VLOOKUP(Sync!$W823,OpTbl,3,0),"")="فروش"),UPPER(TRIM(Sync!$X823)),""))</f>
        <v/>
      </c>
      <c r="H827">
        <f>IF($G827="","",IF(Sync!$W823="","",Sync!$W823))</f>
        <v/>
      </c>
      <c r="I827">
        <f>IF(OR($G827="",Sync!$Y823=""),"",Sync!$Y823)</f>
        <v/>
      </c>
      <c r="J827">
        <f>IF(OR($G827="",Sync!$Z823=""),"",Sync!$Z823)</f>
        <v/>
      </c>
      <c r="K827">
        <f>IF($G827="",0,IF(Sync!$AA823="",0,Sync!$AA823))</f>
        <v/>
      </c>
      <c r="L827">
        <f>IF($G827="",0,IF(Sync!$AB823="",0,Sync!$AB823))</f>
        <v/>
      </c>
      <c r="M827">
        <f>IF($G827="","",IF($H827="مرجوعی فروش",-1,1)*($K827-$L827*IFERROR(VLOOKUP("P01",ParamTbl,3,0),1.5)))</f>
        <v/>
      </c>
      <c r="N827">
        <f>IF($G827="",0,IF($H827="مرجوعی فروش",-1,1)*IF(Sync!$AC823="",0,Sync!$AC823))</f>
        <v/>
      </c>
      <c r="O827">
        <f>IF(OR($G827="",Sync!$V823=""),"",Sync!$V823)</f>
        <v/>
      </c>
      <c r="P827">
        <f>IF(OR($G827="",Sync!$AD823=""),"",Sync!$AD823)</f>
        <v/>
      </c>
      <c r="Q827">
        <f>IF($G827="","",IF(Sync!$U823="","0000",IF(AND(ISNUMBER(Sync!$U823),Sync!$U823&gt;=0,Sync!$U823&lt;1),RIGHT("00"&amp;HOUR(Sync!$U823),2)&amp;RIGHT("00"&amp;MINUTE(Sync!$U823),2),IFERROR(RIGHT("00"&amp;VALUE(LEFT(Sync!$U823,FIND(":",Sync!$U823)-1)),2)&amp;RIGHT("00"&amp;VALUE(MID(Sync!$U823,FIND(":",Sync!$U823)+1,2)),2),"0000"))))</f>
        <v/>
      </c>
    </row>
    <row r="828">
      <c r="A828">
        <f>IF(Sync!$T824="","",Sync!$T824)</f>
        <v/>
      </c>
      <c r="B828">
        <f>IF($A828="","",IF(ISNUMBER($A828),IF(AND($A828&gt;=10000101,$A828&lt;=99991231),INT($A828/10000),""),IFERROR(VALUE(TRIM(LEFT($A828,FIND("/",$A828)-1))),"")))</f>
        <v/>
      </c>
      <c r="C828">
        <f>IF(OR($A828="",$B828=""),"",IF(ISNUMBER($A828),INT(MOD($A828,10000)/100),IFERROR(VALUE(TRIM(LEFT(MID($A828,FIND("/",$A828)+1,20),FIND("/",MID($A828,FIND("/",$A828)+1,20))-1))),"")))</f>
        <v/>
      </c>
      <c r="D828">
        <f>IF(OR($A828="",$B828=""),"",IF(ISNUMBER($A828),MOD($A828,100),IFERROR(VALUE(TRIM(MID(MID($A828,FIND("/",$A828)+1,20),FIND("/",MID($A828,FIND("/",$A828)+1,20))+1,20))),"")))</f>
        <v/>
      </c>
      <c r="E828">
        <f>IF($A828="","",IF(OR($B828="",$C828="",$D828="",$B828&lt;1300,$B828&gt;1500,$C828&lt;1,$C828&gt;12,$D828&lt;1,$D828&gt;31),"نامعتبر",RIGHT("0000"&amp;$B828,4)&amp;"/"&amp;RIGHT("00"&amp;$C828,2)&amp;"/"&amp;RIGHT("00"&amp;$D828,2)))</f>
        <v/>
      </c>
      <c r="F828">
        <f>IF(OR($E828="",$E828="نامعتبر"),"",LEFT($E828,4)&amp;"/"&amp;MID($E828,6,2))</f>
        <v/>
      </c>
      <c r="G828">
        <f>IF(OR($E828="",$E828="نامعتبر",Sync!$X824=""),"",IF(AND(LEFT(UPPER(TRIM(Sync!$X824)),2)="SL",IFERROR(VLOOKUP(Sync!$W824,OpTbl,3,0),"")="فروش"),UPPER(TRIM(Sync!$X824)),""))</f>
        <v/>
      </c>
      <c r="H828">
        <f>IF($G828="","",IF(Sync!$W824="","",Sync!$W824))</f>
        <v/>
      </c>
      <c r="I828">
        <f>IF(OR($G828="",Sync!$Y824=""),"",Sync!$Y824)</f>
        <v/>
      </c>
      <c r="J828">
        <f>IF(OR($G828="",Sync!$Z824=""),"",Sync!$Z824)</f>
        <v/>
      </c>
      <c r="K828">
        <f>IF($G828="",0,IF(Sync!$AA824="",0,Sync!$AA824))</f>
        <v/>
      </c>
      <c r="L828">
        <f>IF($G828="",0,IF(Sync!$AB824="",0,Sync!$AB824))</f>
        <v/>
      </c>
      <c r="M828">
        <f>IF($G828="","",IF($H828="مرجوعی فروش",-1,1)*($K828-$L828*IFERROR(VLOOKUP("P01",ParamTbl,3,0),1.5)))</f>
        <v/>
      </c>
      <c r="N828">
        <f>IF($G828="",0,IF($H828="مرجوعی فروش",-1,1)*IF(Sync!$AC824="",0,Sync!$AC824))</f>
        <v/>
      </c>
      <c r="O828">
        <f>IF(OR($G828="",Sync!$V824=""),"",Sync!$V824)</f>
        <v/>
      </c>
      <c r="P828">
        <f>IF(OR($G828="",Sync!$AD824=""),"",Sync!$AD824)</f>
        <v/>
      </c>
      <c r="Q828">
        <f>IF($G828="","",IF(Sync!$U824="","0000",IF(AND(ISNUMBER(Sync!$U824),Sync!$U824&gt;=0,Sync!$U824&lt;1),RIGHT("00"&amp;HOUR(Sync!$U824),2)&amp;RIGHT("00"&amp;MINUTE(Sync!$U824),2),IFERROR(RIGHT("00"&amp;VALUE(LEFT(Sync!$U824,FIND(":",Sync!$U824)-1)),2)&amp;RIGHT("00"&amp;VALUE(MID(Sync!$U824,FIND(":",Sync!$U824)+1,2)),2),"0000"))))</f>
        <v/>
      </c>
    </row>
    <row r="829">
      <c r="A829">
        <f>IF(Sync!$T825="","",Sync!$T825)</f>
        <v/>
      </c>
      <c r="B829">
        <f>IF($A829="","",IF(ISNUMBER($A829),IF(AND($A829&gt;=10000101,$A829&lt;=99991231),INT($A829/10000),""),IFERROR(VALUE(TRIM(LEFT($A829,FIND("/",$A829)-1))),"")))</f>
        <v/>
      </c>
      <c r="C829">
        <f>IF(OR($A829="",$B829=""),"",IF(ISNUMBER($A829),INT(MOD($A829,10000)/100),IFERROR(VALUE(TRIM(LEFT(MID($A829,FIND("/",$A829)+1,20),FIND("/",MID($A829,FIND("/",$A829)+1,20))-1))),"")))</f>
        <v/>
      </c>
      <c r="D829">
        <f>IF(OR($A829="",$B829=""),"",IF(ISNUMBER($A829),MOD($A829,100),IFERROR(VALUE(TRIM(MID(MID($A829,FIND("/",$A829)+1,20),FIND("/",MID($A829,FIND("/",$A829)+1,20))+1,20))),"")))</f>
        <v/>
      </c>
      <c r="E829">
        <f>IF($A829="","",IF(OR($B829="",$C829="",$D829="",$B829&lt;1300,$B829&gt;1500,$C829&lt;1,$C829&gt;12,$D829&lt;1,$D829&gt;31),"نامعتبر",RIGHT("0000"&amp;$B829,4)&amp;"/"&amp;RIGHT("00"&amp;$C829,2)&amp;"/"&amp;RIGHT("00"&amp;$D829,2)))</f>
        <v/>
      </c>
      <c r="F829">
        <f>IF(OR($E829="",$E829="نامعتبر"),"",LEFT($E829,4)&amp;"/"&amp;MID($E829,6,2))</f>
        <v/>
      </c>
      <c r="G829">
        <f>IF(OR($E829="",$E829="نامعتبر",Sync!$X825=""),"",IF(AND(LEFT(UPPER(TRIM(Sync!$X825)),2)="SL",IFERROR(VLOOKUP(Sync!$W825,OpTbl,3,0),"")="فروش"),UPPER(TRIM(Sync!$X825)),""))</f>
        <v/>
      </c>
      <c r="H829">
        <f>IF($G829="","",IF(Sync!$W825="","",Sync!$W825))</f>
        <v/>
      </c>
      <c r="I829">
        <f>IF(OR($G829="",Sync!$Y825=""),"",Sync!$Y825)</f>
        <v/>
      </c>
      <c r="J829">
        <f>IF(OR($G829="",Sync!$Z825=""),"",Sync!$Z825)</f>
        <v/>
      </c>
      <c r="K829">
        <f>IF($G829="",0,IF(Sync!$AA825="",0,Sync!$AA825))</f>
        <v/>
      </c>
      <c r="L829">
        <f>IF($G829="",0,IF(Sync!$AB825="",0,Sync!$AB825))</f>
        <v/>
      </c>
      <c r="M829">
        <f>IF($G829="","",IF($H829="مرجوعی فروش",-1,1)*($K829-$L829*IFERROR(VLOOKUP("P01",ParamTbl,3,0),1.5)))</f>
        <v/>
      </c>
      <c r="N829">
        <f>IF($G829="",0,IF($H829="مرجوعی فروش",-1,1)*IF(Sync!$AC825="",0,Sync!$AC825))</f>
        <v/>
      </c>
      <c r="O829">
        <f>IF(OR($G829="",Sync!$V825=""),"",Sync!$V825)</f>
        <v/>
      </c>
      <c r="P829">
        <f>IF(OR($G829="",Sync!$AD825=""),"",Sync!$AD825)</f>
        <v/>
      </c>
      <c r="Q829">
        <f>IF($G829="","",IF(Sync!$U825="","0000",IF(AND(ISNUMBER(Sync!$U825),Sync!$U825&gt;=0,Sync!$U825&lt;1),RIGHT("00"&amp;HOUR(Sync!$U825),2)&amp;RIGHT("00"&amp;MINUTE(Sync!$U825),2),IFERROR(RIGHT("00"&amp;VALUE(LEFT(Sync!$U825,FIND(":",Sync!$U825)-1)),2)&amp;RIGHT("00"&amp;VALUE(MID(Sync!$U825,FIND(":",Sync!$U825)+1,2)),2),"0000"))))</f>
        <v/>
      </c>
    </row>
    <row r="830">
      <c r="A830">
        <f>IF(Sync!$T826="","",Sync!$T826)</f>
        <v/>
      </c>
      <c r="B830">
        <f>IF($A830="","",IF(ISNUMBER($A830),IF(AND($A830&gt;=10000101,$A830&lt;=99991231),INT($A830/10000),""),IFERROR(VALUE(TRIM(LEFT($A830,FIND("/",$A830)-1))),"")))</f>
        <v/>
      </c>
      <c r="C830">
        <f>IF(OR($A830="",$B830=""),"",IF(ISNUMBER($A830),INT(MOD($A830,10000)/100),IFERROR(VALUE(TRIM(LEFT(MID($A830,FIND("/",$A830)+1,20),FIND("/",MID($A830,FIND("/",$A830)+1,20))-1))),"")))</f>
        <v/>
      </c>
      <c r="D830">
        <f>IF(OR($A830="",$B830=""),"",IF(ISNUMBER($A830),MOD($A830,100),IFERROR(VALUE(TRIM(MID(MID($A830,FIND("/",$A830)+1,20),FIND("/",MID($A830,FIND("/",$A830)+1,20))+1,20))),"")))</f>
        <v/>
      </c>
      <c r="E830">
        <f>IF($A830="","",IF(OR($B830="",$C830="",$D830="",$B830&lt;1300,$B830&gt;1500,$C830&lt;1,$C830&gt;12,$D830&lt;1,$D830&gt;31),"نامعتبر",RIGHT("0000"&amp;$B830,4)&amp;"/"&amp;RIGHT("00"&amp;$C830,2)&amp;"/"&amp;RIGHT("00"&amp;$D830,2)))</f>
        <v/>
      </c>
      <c r="F830">
        <f>IF(OR($E830="",$E830="نامعتبر"),"",LEFT($E830,4)&amp;"/"&amp;MID($E830,6,2))</f>
        <v/>
      </c>
      <c r="G830">
        <f>IF(OR($E830="",$E830="نامعتبر",Sync!$X826=""),"",IF(AND(LEFT(UPPER(TRIM(Sync!$X826)),2)="SL",IFERROR(VLOOKUP(Sync!$W826,OpTbl,3,0),"")="فروش"),UPPER(TRIM(Sync!$X826)),""))</f>
        <v/>
      </c>
      <c r="H830">
        <f>IF($G830="","",IF(Sync!$W826="","",Sync!$W826))</f>
        <v/>
      </c>
      <c r="I830">
        <f>IF(OR($G830="",Sync!$Y826=""),"",Sync!$Y826)</f>
        <v/>
      </c>
      <c r="J830">
        <f>IF(OR($G830="",Sync!$Z826=""),"",Sync!$Z826)</f>
        <v/>
      </c>
      <c r="K830">
        <f>IF($G830="",0,IF(Sync!$AA826="",0,Sync!$AA826))</f>
        <v/>
      </c>
      <c r="L830">
        <f>IF($G830="",0,IF(Sync!$AB826="",0,Sync!$AB826))</f>
        <v/>
      </c>
      <c r="M830">
        <f>IF($G830="","",IF($H830="مرجوعی فروش",-1,1)*($K830-$L830*IFERROR(VLOOKUP("P01",ParamTbl,3,0),1.5)))</f>
        <v/>
      </c>
      <c r="N830">
        <f>IF($G830="",0,IF($H830="مرجوعی فروش",-1,1)*IF(Sync!$AC826="",0,Sync!$AC826))</f>
        <v/>
      </c>
      <c r="O830">
        <f>IF(OR($G830="",Sync!$V826=""),"",Sync!$V826)</f>
        <v/>
      </c>
      <c r="P830">
        <f>IF(OR($G830="",Sync!$AD826=""),"",Sync!$AD826)</f>
        <v/>
      </c>
      <c r="Q830">
        <f>IF($G830="","",IF(Sync!$U826="","0000",IF(AND(ISNUMBER(Sync!$U826),Sync!$U826&gt;=0,Sync!$U826&lt;1),RIGHT("00"&amp;HOUR(Sync!$U826),2)&amp;RIGHT("00"&amp;MINUTE(Sync!$U826),2),IFERROR(RIGHT("00"&amp;VALUE(LEFT(Sync!$U826,FIND(":",Sync!$U826)-1)),2)&amp;RIGHT("00"&amp;VALUE(MID(Sync!$U826,FIND(":",Sync!$U826)+1,2)),2),"0000"))))</f>
        <v/>
      </c>
    </row>
    <row r="831">
      <c r="A831">
        <f>IF(Sync!$T827="","",Sync!$T827)</f>
        <v/>
      </c>
      <c r="B831">
        <f>IF($A831="","",IF(ISNUMBER($A831),IF(AND($A831&gt;=10000101,$A831&lt;=99991231),INT($A831/10000),""),IFERROR(VALUE(TRIM(LEFT($A831,FIND("/",$A831)-1))),"")))</f>
        <v/>
      </c>
      <c r="C831">
        <f>IF(OR($A831="",$B831=""),"",IF(ISNUMBER($A831),INT(MOD($A831,10000)/100),IFERROR(VALUE(TRIM(LEFT(MID($A831,FIND("/",$A831)+1,20),FIND("/",MID($A831,FIND("/",$A831)+1,20))-1))),"")))</f>
        <v/>
      </c>
      <c r="D831">
        <f>IF(OR($A831="",$B831=""),"",IF(ISNUMBER($A831),MOD($A831,100),IFERROR(VALUE(TRIM(MID(MID($A831,FIND("/",$A831)+1,20),FIND("/",MID($A831,FIND("/",$A831)+1,20))+1,20))),"")))</f>
        <v/>
      </c>
      <c r="E831">
        <f>IF($A831="","",IF(OR($B831="",$C831="",$D831="",$B831&lt;1300,$B831&gt;1500,$C831&lt;1,$C831&gt;12,$D831&lt;1,$D831&gt;31),"نامعتبر",RIGHT("0000"&amp;$B831,4)&amp;"/"&amp;RIGHT("00"&amp;$C831,2)&amp;"/"&amp;RIGHT("00"&amp;$D831,2)))</f>
        <v/>
      </c>
      <c r="F831">
        <f>IF(OR($E831="",$E831="نامعتبر"),"",LEFT($E831,4)&amp;"/"&amp;MID($E831,6,2))</f>
        <v/>
      </c>
      <c r="G831">
        <f>IF(OR($E831="",$E831="نامعتبر",Sync!$X827=""),"",IF(AND(LEFT(UPPER(TRIM(Sync!$X827)),2)="SL",IFERROR(VLOOKUP(Sync!$W827,OpTbl,3,0),"")="فروش"),UPPER(TRIM(Sync!$X827)),""))</f>
        <v/>
      </c>
      <c r="H831">
        <f>IF($G831="","",IF(Sync!$W827="","",Sync!$W827))</f>
        <v/>
      </c>
      <c r="I831">
        <f>IF(OR($G831="",Sync!$Y827=""),"",Sync!$Y827)</f>
        <v/>
      </c>
      <c r="J831">
        <f>IF(OR($G831="",Sync!$Z827=""),"",Sync!$Z827)</f>
        <v/>
      </c>
      <c r="K831">
        <f>IF($G831="",0,IF(Sync!$AA827="",0,Sync!$AA827))</f>
        <v/>
      </c>
      <c r="L831">
        <f>IF($G831="",0,IF(Sync!$AB827="",0,Sync!$AB827))</f>
        <v/>
      </c>
      <c r="M831">
        <f>IF($G831="","",IF($H831="مرجوعی فروش",-1,1)*($K831-$L831*IFERROR(VLOOKUP("P01",ParamTbl,3,0),1.5)))</f>
        <v/>
      </c>
      <c r="N831">
        <f>IF($G831="",0,IF($H831="مرجوعی فروش",-1,1)*IF(Sync!$AC827="",0,Sync!$AC827))</f>
        <v/>
      </c>
      <c r="O831">
        <f>IF(OR($G831="",Sync!$V827=""),"",Sync!$V827)</f>
        <v/>
      </c>
      <c r="P831">
        <f>IF(OR($G831="",Sync!$AD827=""),"",Sync!$AD827)</f>
        <v/>
      </c>
      <c r="Q831">
        <f>IF($G831="","",IF(Sync!$U827="","0000",IF(AND(ISNUMBER(Sync!$U827),Sync!$U827&gt;=0,Sync!$U827&lt;1),RIGHT("00"&amp;HOUR(Sync!$U827),2)&amp;RIGHT("00"&amp;MINUTE(Sync!$U827),2),IFERROR(RIGHT("00"&amp;VALUE(LEFT(Sync!$U827,FIND(":",Sync!$U827)-1)),2)&amp;RIGHT("00"&amp;VALUE(MID(Sync!$U827,FIND(":",Sync!$U827)+1,2)),2),"0000"))))</f>
        <v/>
      </c>
    </row>
    <row r="832">
      <c r="A832">
        <f>IF(Sync!$T828="","",Sync!$T828)</f>
        <v/>
      </c>
      <c r="B832">
        <f>IF($A832="","",IF(ISNUMBER($A832),IF(AND($A832&gt;=10000101,$A832&lt;=99991231),INT($A832/10000),""),IFERROR(VALUE(TRIM(LEFT($A832,FIND("/",$A832)-1))),"")))</f>
        <v/>
      </c>
      <c r="C832">
        <f>IF(OR($A832="",$B832=""),"",IF(ISNUMBER($A832),INT(MOD($A832,10000)/100),IFERROR(VALUE(TRIM(LEFT(MID($A832,FIND("/",$A832)+1,20),FIND("/",MID($A832,FIND("/",$A832)+1,20))-1))),"")))</f>
        <v/>
      </c>
      <c r="D832">
        <f>IF(OR($A832="",$B832=""),"",IF(ISNUMBER($A832),MOD($A832,100),IFERROR(VALUE(TRIM(MID(MID($A832,FIND("/",$A832)+1,20),FIND("/",MID($A832,FIND("/",$A832)+1,20))+1,20))),"")))</f>
        <v/>
      </c>
      <c r="E832">
        <f>IF($A832="","",IF(OR($B832="",$C832="",$D832="",$B832&lt;1300,$B832&gt;1500,$C832&lt;1,$C832&gt;12,$D832&lt;1,$D832&gt;31),"نامعتبر",RIGHT("0000"&amp;$B832,4)&amp;"/"&amp;RIGHT("00"&amp;$C832,2)&amp;"/"&amp;RIGHT("00"&amp;$D832,2)))</f>
        <v/>
      </c>
      <c r="F832">
        <f>IF(OR($E832="",$E832="نامعتبر"),"",LEFT($E832,4)&amp;"/"&amp;MID($E832,6,2))</f>
        <v/>
      </c>
      <c r="G832">
        <f>IF(OR($E832="",$E832="نامعتبر",Sync!$X828=""),"",IF(AND(LEFT(UPPER(TRIM(Sync!$X828)),2)="SL",IFERROR(VLOOKUP(Sync!$W828,OpTbl,3,0),"")="فروش"),UPPER(TRIM(Sync!$X828)),""))</f>
        <v/>
      </c>
      <c r="H832">
        <f>IF($G832="","",IF(Sync!$W828="","",Sync!$W828))</f>
        <v/>
      </c>
      <c r="I832">
        <f>IF(OR($G832="",Sync!$Y828=""),"",Sync!$Y828)</f>
        <v/>
      </c>
      <c r="J832">
        <f>IF(OR($G832="",Sync!$Z828=""),"",Sync!$Z828)</f>
        <v/>
      </c>
      <c r="K832">
        <f>IF($G832="",0,IF(Sync!$AA828="",0,Sync!$AA828))</f>
        <v/>
      </c>
      <c r="L832">
        <f>IF($G832="",0,IF(Sync!$AB828="",0,Sync!$AB828))</f>
        <v/>
      </c>
      <c r="M832">
        <f>IF($G832="","",IF($H832="مرجوعی فروش",-1,1)*($K832-$L832*IFERROR(VLOOKUP("P01",ParamTbl,3,0),1.5)))</f>
        <v/>
      </c>
      <c r="N832">
        <f>IF($G832="",0,IF($H832="مرجوعی فروش",-1,1)*IF(Sync!$AC828="",0,Sync!$AC828))</f>
        <v/>
      </c>
      <c r="O832">
        <f>IF(OR($G832="",Sync!$V828=""),"",Sync!$V828)</f>
        <v/>
      </c>
      <c r="P832">
        <f>IF(OR($G832="",Sync!$AD828=""),"",Sync!$AD828)</f>
        <v/>
      </c>
      <c r="Q832">
        <f>IF($G832="","",IF(Sync!$U828="","0000",IF(AND(ISNUMBER(Sync!$U828),Sync!$U828&gt;=0,Sync!$U828&lt;1),RIGHT("00"&amp;HOUR(Sync!$U828),2)&amp;RIGHT("00"&amp;MINUTE(Sync!$U828),2),IFERROR(RIGHT("00"&amp;VALUE(LEFT(Sync!$U828,FIND(":",Sync!$U828)-1)),2)&amp;RIGHT("00"&amp;VALUE(MID(Sync!$U828,FIND(":",Sync!$U828)+1,2)),2),"0000"))))</f>
        <v/>
      </c>
    </row>
    <row r="833">
      <c r="A833">
        <f>IF(Sync!$T829="","",Sync!$T829)</f>
        <v/>
      </c>
      <c r="B833">
        <f>IF($A833="","",IF(ISNUMBER($A833),IF(AND($A833&gt;=10000101,$A833&lt;=99991231),INT($A833/10000),""),IFERROR(VALUE(TRIM(LEFT($A833,FIND("/",$A833)-1))),"")))</f>
        <v/>
      </c>
      <c r="C833">
        <f>IF(OR($A833="",$B833=""),"",IF(ISNUMBER($A833),INT(MOD($A833,10000)/100),IFERROR(VALUE(TRIM(LEFT(MID($A833,FIND("/",$A833)+1,20),FIND("/",MID($A833,FIND("/",$A833)+1,20))-1))),"")))</f>
        <v/>
      </c>
      <c r="D833">
        <f>IF(OR($A833="",$B833=""),"",IF(ISNUMBER($A833),MOD($A833,100),IFERROR(VALUE(TRIM(MID(MID($A833,FIND("/",$A833)+1,20),FIND("/",MID($A833,FIND("/",$A833)+1,20))+1,20))),"")))</f>
        <v/>
      </c>
      <c r="E833">
        <f>IF($A833="","",IF(OR($B833="",$C833="",$D833="",$B833&lt;1300,$B833&gt;1500,$C833&lt;1,$C833&gt;12,$D833&lt;1,$D833&gt;31),"نامعتبر",RIGHT("0000"&amp;$B833,4)&amp;"/"&amp;RIGHT("00"&amp;$C833,2)&amp;"/"&amp;RIGHT("00"&amp;$D833,2)))</f>
        <v/>
      </c>
      <c r="F833">
        <f>IF(OR($E833="",$E833="نامعتبر"),"",LEFT($E833,4)&amp;"/"&amp;MID($E833,6,2))</f>
        <v/>
      </c>
      <c r="G833">
        <f>IF(OR($E833="",$E833="نامعتبر",Sync!$X829=""),"",IF(AND(LEFT(UPPER(TRIM(Sync!$X829)),2)="SL",IFERROR(VLOOKUP(Sync!$W829,OpTbl,3,0),"")="فروش"),UPPER(TRIM(Sync!$X829)),""))</f>
        <v/>
      </c>
      <c r="H833">
        <f>IF($G833="","",IF(Sync!$W829="","",Sync!$W829))</f>
        <v/>
      </c>
      <c r="I833">
        <f>IF(OR($G833="",Sync!$Y829=""),"",Sync!$Y829)</f>
        <v/>
      </c>
      <c r="J833">
        <f>IF(OR($G833="",Sync!$Z829=""),"",Sync!$Z829)</f>
        <v/>
      </c>
      <c r="K833">
        <f>IF($G833="",0,IF(Sync!$AA829="",0,Sync!$AA829))</f>
        <v/>
      </c>
      <c r="L833">
        <f>IF($G833="",0,IF(Sync!$AB829="",0,Sync!$AB829))</f>
        <v/>
      </c>
      <c r="M833">
        <f>IF($G833="","",IF($H833="مرجوعی فروش",-1,1)*($K833-$L833*IFERROR(VLOOKUP("P01",ParamTbl,3,0),1.5)))</f>
        <v/>
      </c>
      <c r="N833">
        <f>IF($G833="",0,IF($H833="مرجوعی فروش",-1,1)*IF(Sync!$AC829="",0,Sync!$AC829))</f>
        <v/>
      </c>
      <c r="O833">
        <f>IF(OR($G833="",Sync!$V829=""),"",Sync!$V829)</f>
        <v/>
      </c>
      <c r="P833">
        <f>IF(OR($G833="",Sync!$AD829=""),"",Sync!$AD829)</f>
        <v/>
      </c>
      <c r="Q833">
        <f>IF($G833="","",IF(Sync!$U829="","0000",IF(AND(ISNUMBER(Sync!$U829),Sync!$U829&gt;=0,Sync!$U829&lt;1),RIGHT("00"&amp;HOUR(Sync!$U829),2)&amp;RIGHT("00"&amp;MINUTE(Sync!$U829),2),IFERROR(RIGHT("00"&amp;VALUE(LEFT(Sync!$U829,FIND(":",Sync!$U829)-1)),2)&amp;RIGHT("00"&amp;VALUE(MID(Sync!$U829,FIND(":",Sync!$U829)+1,2)),2),"0000"))))</f>
        <v/>
      </c>
    </row>
    <row r="834">
      <c r="A834">
        <f>IF(Sync!$T830="","",Sync!$T830)</f>
        <v/>
      </c>
      <c r="B834">
        <f>IF($A834="","",IF(ISNUMBER($A834),IF(AND($A834&gt;=10000101,$A834&lt;=99991231),INT($A834/10000),""),IFERROR(VALUE(TRIM(LEFT($A834,FIND("/",$A834)-1))),"")))</f>
        <v/>
      </c>
      <c r="C834">
        <f>IF(OR($A834="",$B834=""),"",IF(ISNUMBER($A834),INT(MOD($A834,10000)/100),IFERROR(VALUE(TRIM(LEFT(MID($A834,FIND("/",$A834)+1,20),FIND("/",MID($A834,FIND("/",$A834)+1,20))-1))),"")))</f>
        <v/>
      </c>
      <c r="D834">
        <f>IF(OR($A834="",$B834=""),"",IF(ISNUMBER($A834),MOD($A834,100),IFERROR(VALUE(TRIM(MID(MID($A834,FIND("/",$A834)+1,20),FIND("/",MID($A834,FIND("/",$A834)+1,20))+1,20))),"")))</f>
        <v/>
      </c>
      <c r="E834">
        <f>IF($A834="","",IF(OR($B834="",$C834="",$D834="",$B834&lt;1300,$B834&gt;1500,$C834&lt;1,$C834&gt;12,$D834&lt;1,$D834&gt;31),"نامعتبر",RIGHT("0000"&amp;$B834,4)&amp;"/"&amp;RIGHT("00"&amp;$C834,2)&amp;"/"&amp;RIGHT("00"&amp;$D834,2)))</f>
        <v/>
      </c>
      <c r="F834">
        <f>IF(OR($E834="",$E834="نامعتبر"),"",LEFT($E834,4)&amp;"/"&amp;MID($E834,6,2))</f>
        <v/>
      </c>
      <c r="G834">
        <f>IF(OR($E834="",$E834="نامعتبر",Sync!$X830=""),"",IF(AND(LEFT(UPPER(TRIM(Sync!$X830)),2)="SL",IFERROR(VLOOKUP(Sync!$W830,OpTbl,3,0),"")="فروش"),UPPER(TRIM(Sync!$X830)),""))</f>
        <v/>
      </c>
      <c r="H834">
        <f>IF($G834="","",IF(Sync!$W830="","",Sync!$W830))</f>
        <v/>
      </c>
      <c r="I834">
        <f>IF(OR($G834="",Sync!$Y830=""),"",Sync!$Y830)</f>
        <v/>
      </c>
      <c r="J834">
        <f>IF(OR($G834="",Sync!$Z830=""),"",Sync!$Z830)</f>
        <v/>
      </c>
      <c r="K834">
        <f>IF($G834="",0,IF(Sync!$AA830="",0,Sync!$AA830))</f>
        <v/>
      </c>
      <c r="L834">
        <f>IF($G834="",0,IF(Sync!$AB830="",0,Sync!$AB830))</f>
        <v/>
      </c>
      <c r="M834">
        <f>IF($G834="","",IF($H834="مرجوعی فروش",-1,1)*($K834-$L834*IFERROR(VLOOKUP("P01",ParamTbl,3,0),1.5)))</f>
        <v/>
      </c>
      <c r="N834">
        <f>IF($G834="",0,IF($H834="مرجوعی فروش",-1,1)*IF(Sync!$AC830="",0,Sync!$AC830))</f>
        <v/>
      </c>
      <c r="O834">
        <f>IF(OR($G834="",Sync!$V830=""),"",Sync!$V830)</f>
        <v/>
      </c>
      <c r="P834">
        <f>IF(OR($G834="",Sync!$AD830=""),"",Sync!$AD830)</f>
        <v/>
      </c>
      <c r="Q834">
        <f>IF($G834="","",IF(Sync!$U830="","0000",IF(AND(ISNUMBER(Sync!$U830),Sync!$U830&gt;=0,Sync!$U830&lt;1),RIGHT("00"&amp;HOUR(Sync!$U830),2)&amp;RIGHT("00"&amp;MINUTE(Sync!$U830),2),IFERROR(RIGHT("00"&amp;VALUE(LEFT(Sync!$U830,FIND(":",Sync!$U830)-1)),2)&amp;RIGHT("00"&amp;VALUE(MID(Sync!$U830,FIND(":",Sync!$U830)+1,2)),2),"0000"))))</f>
        <v/>
      </c>
    </row>
    <row r="835">
      <c r="A835">
        <f>IF(Sync!$T831="","",Sync!$T831)</f>
        <v/>
      </c>
      <c r="B835">
        <f>IF($A835="","",IF(ISNUMBER($A835),IF(AND($A835&gt;=10000101,$A835&lt;=99991231),INT($A835/10000),""),IFERROR(VALUE(TRIM(LEFT($A835,FIND("/",$A835)-1))),"")))</f>
        <v/>
      </c>
      <c r="C835">
        <f>IF(OR($A835="",$B835=""),"",IF(ISNUMBER($A835),INT(MOD($A835,10000)/100),IFERROR(VALUE(TRIM(LEFT(MID($A835,FIND("/",$A835)+1,20),FIND("/",MID($A835,FIND("/",$A835)+1,20))-1))),"")))</f>
        <v/>
      </c>
      <c r="D835">
        <f>IF(OR($A835="",$B835=""),"",IF(ISNUMBER($A835),MOD($A835,100),IFERROR(VALUE(TRIM(MID(MID($A835,FIND("/",$A835)+1,20),FIND("/",MID($A835,FIND("/",$A835)+1,20))+1,20))),"")))</f>
        <v/>
      </c>
      <c r="E835">
        <f>IF($A835="","",IF(OR($B835="",$C835="",$D835="",$B835&lt;1300,$B835&gt;1500,$C835&lt;1,$C835&gt;12,$D835&lt;1,$D835&gt;31),"نامعتبر",RIGHT("0000"&amp;$B835,4)&amp;"/"&amp;RIGHT("00"&amp;$C835,2)&amp;"/"&amp;RIGHT("00"&amp;$D835,2)))</f>
        <v/>
      </c>
      <c r="F835">
        <f>IF(OR($E835="",$E835="نامعتبر"),"",LEFT($E835,4)&amp;"/"&amp;MID($E835,6,2))</f>
        <v/>
      </c>
      <c r="G835">
        <f>IF(OR($E835="",$E835="نامعتبر",Sync!$X831=""),"",IF(AND(LEFT(UPPER(TRIM(Sync!$X831)),2)="SL",IFERROR(VLOOKUP(Sync!$W831,OpTbl,3,0),"")="فروش"),UPPER(TRIM(Sync!$X831)),""))</f>
        <v/>
      </c>
      <c r="H835">
        <f>IF($G835="","",IF(Sync!$W831="","",Sync!$W831))</f>
        <v/>
      </c>
      <c r="I835">
        <f>IF(OR($G835="",Sync!$Y831=""),"",Sync!$Y831)</f>
        <v/>
      </c>
      <c r="J835">
        <f>IF(OR($G835="",Sync!$Z831=""),"",Sync!$Z831)</f>
        <v/>
      </c>
      <c r="K835">
        <f>IF($G835="",0,IF(Sync!$AA831="",0,Sync!$AA831))</f>
        <v/>
      </c>
      <c r="L835">
        <f>IF($G835="",0,IF(Sync!$AB831="",0,Sync!$AB831))</f>
        <v/>
      </c>
      <c r="M835">
        <f>IF($G835="","",IF($H835="مرجوعی فروش",-1,1)*($K835-$L835*IFERROR(VLOOKUP("P01",ParamTbl,3,0),1.5)))</f>
        <v/>
      </c>
      <c r="N835">
        <f>IF($G835="",0,IF($H835="مرجوعی فروش",-1,1)*IF(Sync!$AC831="",0,Sync!$AC831))</f>
        <v/>
      </c>
      <c r="O835">
        <f>IF(OR($G835="",Sync!$V831=""),"",Sync!$V831)</f>
        <v/>
      </c>
      <c r="P835">
        <f>IF(OR($G835="",Sync!$AD831=""),"",Sync!$AD831)</f>
        <v/>
      </c>
      <c r="Q835">
        <f>IF($G835="","",IF(Sync!$U831="","0000",IF(AND(ISNUMBER(Sync!$U831),Sync!$U831&gt;=0,Sync!$U831&lt;1),RIGHT("00"&amp;HOUR(Sync!$U831),2)&amp;RIGHT("00"&amp;MINUTE(Sync!$U831),2),IFERROR(RIGHT("00"&amp;VALUE(LEFT(Sync!$U831,FIND(":",Sync!$U831)-1)),2)&amp;RIGHT("00"&amp;VALUE(MID(Sync!$U831,FIND(":",Sync!$U831)+1,2)),2),"0000"))))</f>
        <v/>
      </c>
    </row>
    <row r="836">
      <c r="A836">
        <f>IF(Sync!$T832="","",Sync!$T832)</f>
        <v/>
      </c>
      <c r="B836">
        <f>IF($A836="","",IF(ISNUMBER($A836),IF(AND($A836&gt;=10000101,$A836&lt;=99991231),INT($A836/10000),""),IFERROR(VALUE(TRIM(LEFT($A836,FIND("/",$A836)-1))),"")))</f>
        <v/>
      </c>
      <c r="C836">
        <f>IF(OR($A836="",$B836=""),"",IF(ISNUMBER($A836),INT(MOD($A836,10000)/100),IFERROR(VALUE(TRIM(LEFT(MID($A836,FIND("/",$A836)+1,20),FIND("/",MID($A836,FIND("/",$A836)+1,20))-1))),"")))</f>
        <v/>
      </c>
      <c r="D836">
        <f>IF(OR($A836="",$B836=""),"",IF(ISNUMBER($A836),MOD($A836,100),IFERROR(VALUE(TRIM(MID(MID($A836,FIND("/",$A836)+1,20),FIND("/",MID($A836,FIND("/",$A836)+1,20))+1,20))),"")))</f>
        <v/>
      </c>
      <c r="E836">
        <f>IF($A836="","",IF(OR($B836="",$C836="",$D836="",$B836&lt;1300,$B836&gt;1500,$C836&lt;1,$C836&gt;12,$D836&lt;1,$D836&gt;31),"نامعتبر",RIGHT("0000"&amp;$B836,4)&amp;"/"&amp;RIGHT("00"&amp;$C836,2)&amp;"/"&amp;RIGHT("00"&amp;$D836,2)))</f>
        <v/>
      </c>
      <c r="F836">
        <f>IF(OR($E836="",$E836="نامعتبر"),"",LEFT($E836,4)&amp;"/"&amp;MID($E836,6,2))</f>
        <v/>
      </c>
      <c r="G836">
        <f>IF(OR($E836="",$E836="نامعتبر",Sync!$X832=""),"",IF(AND(LEFT(UPPER(TRIM(Sync!$X832)),2)="SL",IFERROR(VLOOKUP(Sync!$W832,OpTbl,3,0),"")="فروش"),UPPER(TRIM(Sync!$X832)),""))</f>
        <v/>
      </c>
      <c r="H836">
        <f>IF($G836="","",IF(Sync!$W832="","",Sync!$W832))</f>
        <v/>
      </c>
      <c r="I836">
        <f>IF(OR($G836="",Sync!$Y832=""),"",Sync!$Y832)</f>
        <v/>
      </c>
      <c r="J836">
        <f>IF(OR($G836="",Sync!$Z832=""),"",Sync!$Z832)</f>
        <v/>
      </c>
      <c r="K836">
        <f>IF($G836="",0,IF(Sync!$AA832="",0,Sync!$AA832))</f>
        <v/>
      </c>
      <c r="L836">
        <f>IF($G836="",0,IF(Sync!$AB832="",0,Sync!$AB832))</f>
        <v/>
      </c>
      <c r="M836">
        <f>IF($G836="","",IF($H836="مرجوعی فروش",-1,1)*($K836-$L836*IFERROR(VLOOKUP("P01",ParamTbl,3,0),1.5)))</f>
        <v/>
      </c>
      <c r="N836">
        <f>IF($G836="",0,IF($H836="مرجوعی فروش",-1,1)*IF(Sync!$AC832="",0,Sync!$AC832))</f>
        <v/>
      </c>
      <c r="O836">
        <f>IF(OR($G836="",Sync!$V832=""),"",Sync!$V832)</f>
        <v/>
      </c>
      <c r="P836">
        <f>IF(OR($G836="",Sync!$AD832=""),"",Sync!$AD832)</f>
        <v/>
      </c>
      <c r="Q836">
        <f>IF($G836="","",IF(Sync!$U832="","0000",IF(AND(ISNUMBER(Sync!$U832),Sync!$U832&gt;=0,Sync!$U832&lt;1),RIGHT("00"&amp;HOUR(Sync!$U832),2)&amp;RIGHT("00"&amp;MINUTE(Sync!$U832),2),IFERROR(RIGHT("00"&amp;VALUE(LEFT(Sync!$U832,FIND(":",Sync!$U832)-1)),2)&amp;RIGHT("00"&amp;VALUE(MID(Sync!$U832,FIND(":",Sync!$U832)+1,2)),2),"0000"))))</f>
        <v/>
      </c>
    </row>
    <row r="837">
      <c r="A837">
        <f>IF(Sync!$T833="","",Sync!$T833)</f>
        <v/>
      </c>
      <c r="B837">
        <f>IF($A837="","",IF(ISNUMBER($A837),IF(AND($A837&gt;=10000101,$A837&lt;=99991231),INT($A837/10000),""),IFERROR(VALUE(TRIM(LEFT($A837,FIND("/",$A837)-1))),"")))</f>
        <v/>
      </c>
      <c r="C837">
        <f>IF(OR($A837="",$B837=""),"",IF(ISNUMBER($A837),INT(MOD($A837,10000)/100),IFERROR(VALUE(TRIM(LEFT(MID($A837,FIND("/",$A837)+1,20),FIND("/",MID($A837,FIND("/",$A837)+1,20))-1))),"")))</f>
        <v/>
      </c>
      <c r="D837">
        <f>IF(OR($A837="",$B837=""),"",IF(ISNUMBER($A837),MOD($A837,100),IFERROR(VALUE(TRIM(MID(MID($A837,FIND("/",$A837)+1,20),FIND("/",MID($A837,FIND("/",$A837)+1,20))+1,20))),"")))</f>
        <v/>
      </c>
      <c r="E837">
        <f>IF($A837="","",IF(OR($B837="",$C837="",$D837="",$B837&lt;1300,$B837&gt;1500,$C837&lt;1,$C837&gt;12,$D837&lt;1,$D837&gt;31),"نامعتبر",RIGHT("0000"&amp;$B837,4)&amp;"/"&amp;RIGHT("00"&amp;$C837,2)&amp;"/"&amp;RIGHT("00"&amp;$D837,2)))</f>
        <v/>
      </c>
      <c r="F837">
        <f>IF(OR($E837="",$E837="نامعتبر"),"",LEFT($E837,4)&amp;"/"&amp;MID($E837,6,2))</f>
        <v/>
      </c>
      <c r="G837">
        <f>IF(OR($E837="",$E837="نامعتبر",Sync!$X833=""),"",IF(AND(LEFT(UPPER(TRIM(Sync!$X833)),2)="SL",IFERROR(VLOOKUP(Sync!$W833,OpTbl,3,0),"")="فروش"),UPPER(TRIM(Sync!$X833)),""))</f>
        <v/>
      </c>
      <c r="H837">
        <f>IF($G837="","",IF(Sync!$W833="","",Sync!$W833))</f>
        <v/>
      </c>
      <c r="I837">
        <f>IF(OR($G837="",Sync!$Y833=""),"",Sync!$Y833)</f>
        <v/>
      </c>
      <c r="J837">
        <f>IF(OR($G837="",Sync!$Z833=""),"",Sync!$Z833)</f>
        <v/>
      </c>
      <c r="K837">
        <f>IF($G837="",0,IF(Sync!$AA833="",0,Sync!$AA833))</f>
        <v/>
      </c>
      <c r="L837">
        <f>IF($G837="",0,IF(Sync!$AB833="",0,Sync!$AB833))</f>
        <v/>
      </c>
      <c r="M837">
        <f>IF($G837="","",IF($H837="مرجوعی فروش",-1,1)*($K837-$L837*IFERROR(VLOOKUP("P01",ParamTbl,3,0),1.5)))</f>
        <v/>
      </c>
      <c r="N837">
        <f>IF($G837="",0,IF($H837="مرجوعی فروش",-1,1)*IF(Sync!$AC833="",0,Sync!$AC833))</f>
        <v/>
      </c>
      <c r="O837">
        <f>IF(OR($G837="",Sync!$V833=""),"",Sync!$V833)</f>
        <v/>
      </c>
      <c r="P837">
        <f>IF(OR($G837="",Sync!$AD833=""),"",Sync!$AD833)</f>
        <v/>
      </c>
      <c r="Q837">
        <f>IF($G837="","",IF(Sync!$U833="","0000",IF(AND(ISNUMBER(Sync!$U833),Sync!$U833&gt;=0,Sync!$U833&lt;1),RIGHT("00"&amp;HOUR(Sync!$U833),2)&amp;RIGHT("00"&amp;MINUTE(Sync!$U833),2),IFERROR(RIGHT("00"&amp;VALUE(LEFT(Sync!$U833,FIND(":",Sync!$U833)-1)),2)&amp;RIGHT("00"&amp;VALUE(MID(Sync!$U833,FIND(":",Sync!$U833)+1,2)),2),"0000"))))</f>
        <v/>
      </c>
    </row>
    <row r="838">
      <c r="A838">
        <f>IF(Sync!$T834="","",Sync!$T834)</f>
        <v/>
      </c>
      <c r="B838">
        <f>IF($A838="","",IF(ISNUMBER($A838),IF(AND($A838&gt;=10000101,$A838&lt;=99991231),INT($A838/10000),""),IFERROR(VALUE(TRIM(LEFT($A838,FIND("/",$A838)-1))),"")))</f>
        <v/>
      </c>
      <c r="C838">
        <f>IF(OR($A838="",$B838=""),"",IF(ISNUMBER($A838),INT(MOD($A838,10000)/100),IFERROR(VALUE(TRIM(LEFT(MID($A838,FIND("/",$A838)+1,20),FIND("/",MID($A838,FIND("/",$A838)+1,20))-1))),"")))</f>
        <v/>
      </c>
      <c r="D838">
        <f>IF(OR($A838="",$B838=""),"",IF(ISNUMBER($A838),MOD($A838,100),IFERROR(VALUE(TRIM(MID(MID($A838,FIND("/",$A838)+1,20),FIND("/",MID($A838,FIND("/",$A838)+1,20))+1,20))),"")))</f>
        <v/>
      </c>
      <c r="E838">
        <f>IF($A838="","",IF(OR($B838="",$C838="",$D838="",$B838&lt;1300,$B838&gt;1500,$C838&lt;1,$C838&gt;12,$D838&lt;1,$D838&gt;31),"نامعتبر",RIGHT("0000"&amp;$B838,4)&amp;"/"&amp;RIGHT("00"&amp;$C838,2)&amp;"/"&amp;RIGHT("00"&amp;$D838,2)))</f>
        <v/>
      </c>
      <c r="F838">
        <f>IF(OR($E838="",$E838="نامعتبر"),"",LEFT($E838,4)&amp;"/"&amp;MID($E838,6,2))</f>
        <v/>
      </c>
      <c r="G838">
        <f>IF(OR($E838="",$E838="نامعتبر",Sync!$X834=""),"",IF(AND(LEFT(UPPER(TRIM(Sync!$X834)),2)="SL",IFERROR(VLOOKUP(Sync!$W834,OpTbl,3,0),"")="فروش"),UPPER(TRIM(Sync!$X834)),""))</f>
        <v/>
      </c>
      <c r="H838">
        <f>IF($G838="","",IF(Sync!$W834="","",Sync!$W834))</f>
        <v/>
      </c>
      <c r="I838">
        <f>IF(OR($G838="",Sync!$Y834=""),"",Sync!$Y834)</f>
        <v/>
      </c>
      <c r="J838">
        <f>IF(OR($G838="",Sync!$Z834=""),"",Sync!$Z834)</f>
        <v/>
      </c>
      <c r="K838">
        <f>IF($G838="",0,IF(Sync!$AA834="",0,Sync!$AA834))</f>
        <v/>
      </c>
      <c r="L838">
        <f>IF($G838="",0,IF(Sync!$AB834="",0,Sync!$AB834))</f>
        <v/>
      </c>
      <c r="M838">
        <f>IF($G838="","",IF($H838="مرجوعی فروش",-1,1)*($K838-$L838*IFERROR(VLOOKUP("P01",ParamTbl,3,0),1.5)))</f>
        <v/>
      </c>
      <c r="N838">
        <f>IF($G838="",0,IF($H838="مرجوعی فروش",-1,1)*IF(Sync!$AC834="",0,Sync!$AC834))</f>
        <v/>
      </c>
      <c r="O838">
        <f>IF(OR($G838="",Sync!$V834=""),"",Sync!$V834)</f>
        <v/>
      </c>
      <c r="P838">
        <f>IF(OR($G838="",Sync!$AD834=""),"",Sync!$AD834)</f>
        <v/>
      </c>
      <c r="Q838">
        <f>IF($G838="","",IF(Sync!$U834="","0000",IF(AND(ISNUMBER(Sync!$U834),Sync!$U834&gt;=0,Sync!$U834&lt;1),RIGHT("00"&amp;HOUR(Sync!$U834),2)&amp;RIGHT("00"&amp;MINUTE(Sync!$U834),2),IFERROR(RIGHT("00"&amp;VALUE(LEFT(Sync!$U834,FIND(":",Sync!$U834)-1)),2)&amp;RIGHT("00"&amp;VALUE(MID(Sync!$U834,FIND(":",Sync!$U834)+1,2)),2),"0000"))))</f>
        <v/>
      </c>
    </row>
    <row r="839">
      <c r="A839">
        <f>IF(Sync!$T835="","",Sync!$T835)</f>
        <v/>
      </c>
      <c r="B839">
        <f>IF($A839="","",IF(ISNUMBER($A839),IF(AND($A839&gt;=10000101,$A839&lt;=99991231),INT($A839/10000),""),IFERROR(VALUE(TRIM(LEFT($A839,FIND("/",$A839)-1))),"")))</f>
        <v/>
      </c>
      <c r="C839">
        <f>IF(OR($A839="",$B839=""),"",IF(ISNUMBER($A839),INT(MOD($A839,10000)/100),IFERROR(VALUE(TRIM(LEFT(MID($A839,FIND("/",$A839)+1,20),FIND("/",MID($A839,FIND("/",$A839)+1,20))-1))),"")))</f>
        <v/>
      </c>
      <c r="D839">
        <f>IF(OR($A839="",$B839=""),"",IF(ISNUMBER($A839),MOD($A839,100),IFERROR(VALUE(TRIM(MID(MID($A839,FIND("/",$A839)+1,20),FIND("/",MID($A839,FIND("/",$A839)+1,20))+1,20))),"")))</f>
        <v/>
      </c>
      <c r="E839">
        <f>IF($A839="","",IF(OR($B839="",$C839="",$D839="",$B839&lt;1300,$B839&gt;1500,$C839&lt;1,$C839&gt;12,$D839&lt;1,$D839&gt;31),"نامعتبر",RIGHT("0000"&amp;$B839,4)&amp;"/"&amp;RIGHT("00"&amp;$C839,2)&amp;"/"&amp;RIGHT("00"&amp;$D839,2)))</f>
        <v/>
      </c>
      <c r="F839">
        <f>IF(OR($E839="",$E839="نامعتبر"),"",LEFT($E839,4)&amp;"/"&amp;MID($E839,6,2))</f>
        <v/>
      </c>
      <c r="G839">
        <f>IF(OR($E839="",$E839="نامعتبر",Sync!$X835=""),"",IF(AND(LEFT(UPPER(TRIM(Sync!$X835)),2)="SL",IFERROR(VLOOKUP(Sync!$W835,OpTbl,3,0),"")="فروش"),UPPER(TRIM(Sync!$X835)),""))</f>
        <v/>
      </c>
      <c r="H839">
        <f>IF($G839="","",IF(Sync!$W835="","",Sync!$W835))</f>
        <v/>
      </c>
      <c r="I839">
        <f>IF(OR($G839="",Sync!$Y835=""),"",Sync!$Y835)</f>
        <v/>
      </c>
      <c r="J839">
        <f>IF(OR($G839="",Sync!$Z835=""),"",Sync!$Z835)</f>
        <v/>
      </c>
      <c r="K839">
        <f>IF($G839="",0,IF(Sync!$AA835="",0,Sync!$AA835))</f>
        <v/>
      </c>
      <c r="L839">
        <f>IF($G839="",0,IF(Sync!$AB835="",0,Sync!$AB835))</f>
        <v/>
      </c>
      <c r="M839">
        <f>IF($G839="","",IF($H839="مرجوعی فروش",-1,1)*($K839-$L839*IFERROR(VLOOKUP("P01",ParamTbl,3,0),1.5)))</f>
        <v/>
      </c>
      <c r="N839">
        <f>IF($G839="",0,IF($H839="مرجوعی فروش",-1,1)*IF(Sync!$AC835="",0,Sync!$AC835))</f>
        <v/>
      </c>
      <c r="O839">
        <f>IF(OR($G839="",Sync!$V835=""),"",Sync!$V835)</f>
        <v/>
      </c>
      <c r="P839">
        <f>IF(OR($G839="",Sync!$AD835=""),"",Sync!$AD835)</f>
        <v/>
      </c>
      <c r="Q839">
        <f>IF($G839="","",IF(Sync!$U835="","0000",IF(AND(ISNUMBER(Sync!$U835),Sync!$U835&gt;=0,Sync!$U835&lt;1),RIGHT("00"&amp;HOUR(Sync!$U835),2)&amp;RIGHT("00"&amp;MINUTE(Sync!$U835),2),IFERROR(RIGHT("00"&amp;VALUE(LEFT(Sync!$U835,FIND(":",Sync!$U835)-1)),2)&amp;RIGHT("00"&amp;VALUE(MID(Sync!$U835,FIND(":",Sync!$U835)+1,2)),2),"0000"))))</f>
        <v/>
      </c>
    </row>
    <row r="840">
      <c r="A840">
        <f>IF(Sync!$T836="","",Sync!$T836)</f>
        <v/>
      </c>
      <c r="B840">
        <f>IF($A840="","",IF(ISNUMBER($A840),IF(AND($A840&gt;=10000101,$A840&lt;=99991231),INT($A840/10000),""),IFERROR(VALUE(TRIM(LEFT($A840,FIND("/",$A840)-1))),"")))</f>
        <v/>
      </c>
      <c r="C840">
        <f>IF(OR($A840="",$B840=""),"",IF(ISNUMBER($A840),INT(MOD($A840,10000)/100),IFERROR(VALUE(TRIM(LEFT(MID($A840,FIND("/",$A840)+1,20),FIND("/",MID($A840,FIND("/",$A840)+1,20))-1))),"")))</f>
        <v/>
      </c>
      <c r="D840">
        <f>IF(OR($A840="",$B840=""),"",IF(ISNUMBER($A840),MOD($A840,100),IFERROR(VALUE(TRIM(MID(MID($A840,FIND("/",$A840)+1,20),FIND("/",MID($A840,FIND("/",$A840)+1,20))+1,20))),"")))</f>
        <v/>
      </c>
      <c r="E840">
        <f>IF($A840="","",IF(OR($B840="",$C840="",$D840="",$B840&lt;1300,$B840&gt;1500,$C840&lt;1,$C840&gt;12,$D840&lt;1,$D840&gt;31),"نامعتبر",RIGHT("0000"&amp;$B840,4)&amp;"/"&amp;RIGHT("00"&amp;$C840,2)&amp;"/"&amp;RIGHT("00"&amp;$D840,2)))</f>
        <v/>
      </c>
      <c r="F840">
        <f>IF(OR($E840="",$E840="نامعتبر"),"",LEFT($E840,4)&amp;"/"&amp;MID($E840,6,2))</f>
        <v/>
      </c>
      <c r="G840">
        <f>IF(OR($E840="",$E840="نامعتبر",Sync!$X836=""),"",IF(AND(LEFT(UPPER(TRIM(Sync!$X836)),2)="SL",IFERROR(VLOOKUP(Sync!$W836,OpTbl,3,0),"")="فروش"),UPPER(TRIM(Sync!$X836)),""))</f>
        <v/>
      </c>
      <c r="H840">
        <f>IF($G840="","",IF(Sync!$W836="","",Sync!$W836))</f>
        <v/>
      </c>
      <c r="I840">
        <f>IF(OR($G840="",Sync!$Y836=""),"",Sync!$Y836)</f>
        <v/>
      </c>
      <c r="J840">
        <f>IF(OR($G840="",Sync!$Z836=""),"",Sync!$Z836)</f>
        <v/>
      </c>
      <c r="K840">
        <f>IF($G840="",0,IF(Sync!$AA836="",0,Sync!$AA836))</f>
        <v/>
      </c>
      <c r="L840">
        <f>IF($G840="",0,IF(Sync!$AB836="",0,Sync!$AB836))</f>
        <v/>
      </c>
      <c r="M840">
        <f>IF($G840="","",IF($H840="مرجوعی فروش",-1,1)*($K840-$L840*IFERROR(VLOOKUP("P01",ParamTbl,3,0),1.5)))</f>
        <v/>
      </c>
      <c r="N840">
        <f>IF($G840="",0,IF($H840="مرجوعی فروش",-1,1)*IF(Sync!$AC836="",0,Sync!$AC836))</f>
        <v/>
      </c>
      <c r="O840">
        <f>IF(OR($G840="",Sync!$V836=""),"",Sync!$V836)</f>
        <v/>
      </c>
      <c r="P840">
        <f>IF(OR($G840="",Sync!$AD836=""),"",Sync!$AD836)</f>
        <v/>
      </c>
      <c r="Q840">
        <f>IF($G840="","",IF(Sync!$U836="","0000",IF(AND(ISNUMBER(Sync!$U836),Sync!$U836&gt;=0,Sync!$U836&lt;1),RIGHT("00"&amp;HOUR(Sync!$U836),2)&amp;RIGHT("00"&amp;MINUTE(Sync!$U836),2),IFERROR(RIGHT("00"&amp;VALUE(LEFT(Sync!$U836,FIND(":",Sync!$U836)-1)),2)&amp;RIGHT("00"&amp;VALUE(MID(Sync!$U836,FIND(":",Sync!$U836)+1,2)),2),"0000"))))</f>
        <v/>
      </c>
    </row>
    <row r="841">
      <c r="A841">
        <f>IF(Sync!$T837="","",Sync!$T837)</f>
        <v/>
      </c>
      <c r="B841">
        <f>IF($A841="","",IF(ISNUMBER($A841),IF(AND($A841&gt;=10000101,$A841&lt;=99991231),INT($A841/10000),""),IFERROR(VALUE(TRIM(LEFT($A841,FIND("/",$A841)-1))),"")))</f>
        <v/>
      </c>
      <c r="C841">
        <f>IF(OR($A841="",$B841=""),"",IF(ISNUMBER($A841),INT(MOD($A841,10000)/100),IFERROR(VALUE(TRIM(LEFT(MID($A841,FIND("/",$A841)+1,20),FIND("/",MID($A841,FIND("/",$A841)+1,20))-1))),"")))</f>
        <v/>
      </c>
      <c r="D841">
        <f>IF(OR($A841="",$B841=""),"",IF(ISNUMBER($A841),MOD($A841,100),IFERROR(VALUE(TRIM(MID(MID($A841,FIND("/",$A841)+1,20),FIND("/",MID($A841,FIND("/",$A841)+1,20))+1,20))),"")))</f>
        <v/>
      </c>
      <c r="E841">
        <f>IF($A841="","",IF(OR($B841="",$C841="",$D841="",$B841&lt;1300,$B841&gt;1500,$C841&lt;1,$C841&gt;12,$D841&lt;1,$D841&gt;31),"نامعتبر",RIGHT("0000"&amp;$B841,4)&amp;"/"&amp;RIGHT("00"&amp;$C841,2)&amp;"/"&amp;RIGHT("00"&amp;$D841,2)))</f>
        <v/>
      </c>
      <c r="F841">
        <f>IF(OR($E841="",$E841="نامعتبر"),"",LEFT($E841,4)&amp;"/"&amp;MID($E841,6,2))</f>
        <v/>
      </c>
      <c r="G841">
        <f>IF(OR($E841="",$E841="نامعتبر",Sync!$X837=""),"",IF(AND(LEFT(UPPER(TRIM(Sync!$X837)),2)="SL",IFERROR(VLOOKUP(Sync!$W837,OpTbl,3,0),"")="فروش"),UPPER(TRIM(Sync!$X837)),""))</f>
        <v/>
      </c>
      <c r="H841">
        <f>IF($G841="","",IF(Sync!$W837="","",Sync!$W837))</f>
        <v/>
      </c>
      <c r="I841">
        <f>IF(OR($G841="",Sync!$Y837=""),"",Sync!$Y837)</f>
        <v/>
      </c>
      <c r="J841">
        <f>IF(OR($G841="",Sync!$Z837=""),"",Sync!$Z837)</f>
        <v/>
      </c>
      <c r="K841">
        <f>IF($G841="",0,IF(Sync!$AA837="",0,Sync!$AA837))</f>
        <v/>
      </c>
      <c r="L841">
        <f>IF($G841="",0,IF(Sync!$AB837="",0,Sync!$AB837))</f>
        <v/>
      </c>
      <c r="M841">
        <f>IF($G841="","",IF($H841="مرجوعی فروش",-1,1)*($K841-$L841*IFERROR(VLOOKUP("P01",ParamTbl,3,0),1.5)))</f>
        <v/>
      </c>
      <c r="N841">
        <f>IF($G841="",0,IF($H841="مرجوعی فروش",-1,1)*IF(Sync!$AC837="",0,Sync!$AC837))</f>
        <v/>
      </c>
      <c r="O841">
        <f>IF(OR($G841="",Sync!$V837=""),"",Sync!$V837)</f>
        <v/>
      </c>
      <c r="P841">
        <f>IF(OR($G841="",Sync!$AD837=""),"",Sync!$AD837)</f>
        <v/>
      </c>
      <c r="Q841">
        <f>IF($G841="","",IF(Sync!$U837="","0000",IF(AND(ISNUMBER(Sync!$U837),Sync!$U837&gt;=0,Sync!$U837&lt;1),RIGHT("00"&amp;HOUR(Sync!$U837),2)&amp;RIGHT("00"&amp;MINUTE(Sync!$U837),2),IFERROR(RIGHT("00"&amp;VALUE(LEFT(Sync!$U837,FIND(":",Sync!$U837)-1)),2)&amp;RIGHT("00"&amp;VALUE(MID(Sync!$U837,FIND(":",Sync!$U837)+1,2)),2),"0000"))))</f>
        <v/>
      </c>
    </row>
    <row r="842">
      <c r="A842">
        <f>IF(Sync!$T838="","",Sync!$T838)</f>
        <v/>
      </c>
      <c r="B842">
        <f>IF($A842="","",IF(ISNUMBER($A842),IF(AND($A842&gt;=10000101,$A842&lt;=99991231),INT($A842/10000),""),IFERROR(VALUE(TRIM(LEFT($A842,FIND("/",$A842)-1))),"")))</f>
        <v/>
      </c>
      <c r="C842">
        <f>IF(OR($A842="",$B842=""),"",IF(ISNUMBER($A842),INT(MOD($A842,10000)/100),IFERROR(VALUE(TRIM(LEFT(MID($A842,FIND("/",$A842)+1,20),FIND("/",MID($A842,FIND("/",$A842)+1,20))-1))),"")))</f>
        <v/>
      </c>
      <c r="D842">
        <f>IF(OR($A842="",$B842=""),"",IF(ISNUMBER($A842),MOD($A842,100),IFERROR(VALUE(TRIM(MID(MID($A842,FIND("/",$A842)+1,20),FIND("/",MID($A842,FIND("/",$A842)+1,20))+1,20))),"")))</f>
        <v/>
      </c>
      <c r="E842">
        <f>IF($A842="","",IF(OR($B842="",$C842="",$D842="",$B842&lt;1300,$B842&gt;1500,$C842&lt;1,$C842&gt;12,$D842&lt;1,$D842&gt;31),"نامعتبر",RIGHT("0000"&amp;$B842,4)&amp;"/"&amp;RIGHT("00"&amp;$C842,2)&amp;"/"&amp;RIGHT("00"&amp;$D842,2)))</f>
        <v/>
      </c>
      <c r="F842">
        <f>IF(OR($E842="",$E842="نامعتبر"),"",LEFT($E842,4)&amp;"/"&amp;MID($E842,6,2))</f>
        <v/>
      </c>
      <c r="G842">
        <f>IF(OR($E842="",$E842="نامعتبر",Sync!$X838=""),"",IF(AND(LEFT(UPPER(TRIM(Sync!$X838)),2)="SL",IFERROR(VLOOKUP(Sync!$W838,OpTbl,3,0),"")="فروش"),UPPER(TRIM(Sync!$X838)),""))</f>
        <v/>
      </c>
      <c r="H842">
        <f>IF($G842="","",IF(Sync!$W838="","",Sync!$W838))</f>
        <v/>
      </c>
      <c r="I842">
        <f>IF(OR($G842="",Sync!$Y838=""),"",Sync!$Y838)</f>
        <v/>
      </c>
      <c r="J842">
        <f>IF(OR($G842="",Sync!$Z838=""),"",Sync!$Z838)</f>
        <v/>
      </c>
      <c r="K842">
        <f>IF($G842="",0,IF(Sync!$AA838="",0,Sync!$AA838))</f>
        <v/>
      </c>
      <c r="L842">
        <f>IF($G842="",0,IF(Sync!$AB838="",0,Sync!$AB838))</f>
        <v/>
      </c>
      <c r="M842">
        <f>IF($G842="","",IF($H842="مرجوعی فروش",-1,1)*($K842-$L842*IFERROR(VLOOKUP("P01",ParamTbl,3,0),1.5)))</f>
        <v/>
      </c>
      <c r="N842">
        <f>IF($G842="",0,IF($H842="مرجوعی فروش",-1,1)*IF(Sync!$AC838="",0,Sync!$AC838))</f>
        <v/>
      </c>
      <c r="O842">
        <f>IF(OR($G842="",Sync!$V838=""),"",Sync!$V838)</f>
        <v/>
      </c>
      <c r="P842">
        <f>IF(OR($G842="",Sync!$AD838=""),"",Sync!$AD838)</f>
        <v/>
      </c>
      <c r="Q842">
        <f>IF($G842="","",IF(Sync!$U838="","0000",IF(AND(ISNUMBER(Sync!$U838),Sync!$U838&gt;=0,Sync!$U838&lt;1),RIGHT("00"&amp;HOUR(Sync!$U838),2)&amp;RIGHT("00"&amp;MINUTE(Sync!$U838),2),IFERROR(RIGHT("00"&amp;VALUE(LEFT(Sync!$U838,FIND(":",Sync!$U838)-1)),2)&amp;RIGHT("00"&amp;VALUE(MID(Sync!$U838,FIND(":",Sync!$U838)+1,2)),2),"0000"))))</f>
        <v/>
      </c>
    </row>
    <row r="843">
      <c r="A843">
        <f>IF(Sync!$T839="","",Sync!$T839)</f>
        <v/>
      </c>
      <c r="B843">
        <f>IF($A843="","",IF(ISNUMBER($A843),IF(AND($A843&gt;=10000101,$A843&lt;=99991231),INT($A843/10000),""),IFERROR(VALUE(TRIM(LEFT($A843,FIND("/",$A843)-1))),"")))</f>
        <v/>
      </c>
      <c r="C843">
        <f>IF(OR($A843="",$B843=""),"",IF(ISNUMBER($A843),INT(MOD($A843,10000)/100),IFERROR(VALUE(TRIM(LEFT(MID($A843,FIND("/",$A843)+1,20),FIND("/",MID($A843,FIND("/",$A843)+1,20))-1))),"")))</f>
        <v/>
      </c>
      <c r="D843">
        <f>IF(OR($A843="",$B843=""),"",IF(ISNUMBER($A843),MOD($A843,100),IFERROR(VALUE(TRIM(MID(MID($A843,FIND("/",$A843)+1,20),FIND("/",MID($A843,FIND("/",$A843)+1,20))+1,20))),"")))</f>
        <v/>
      </c>
      <c r="E843">
        <f>IF($A843="","",IF(OR($B843="",$C843="",$D843="",$B843&lt;1300,$B843&gt;1500,$C843&lt;1,$C843&gt;12,$D843&lt;1,$D843&gt;31),"نامعتبر",RIGHT("0000"&amp;$B843,4)&amp;"/"&amp;RIGHT("00"&amp;$C843,2)&amp;"/"&amp;RIGHT("00"&amp;$D843,2)))</f>
        <v/>
      </c>
      <c r="F843">
        <f>IF(OR($E843="",$E843="نامعتبر"),"",LEFT($E843,4)&amp;"/"&amp;MID($E843,6,2))</f>
        <v/>
      </c>
      <c r="G843">
        <f>IF(OR($E843="",$E843="نامعتبر",Sync!$X839=""),"",IF(AND(LEFT(UPPER(TRIM(Sync!$X839)),2)="SL",IFERROR(VLOOKUP(Sync!$W839,OpTbl,3,0),"")="فروش"),UPPER(TRIM(Sync!$X839)),""))</f>
        <v/>
      </c>
      <c r="H843">
        <f>IF($G843="","",IF(Sync!$W839="","",Sync!$W839))</f>
        <v/>
      </c>
      <c r="I843">
        <f>IF(OR($G843="",Sync!$Y839=""),"",Sync!$Y839)</f>
        <v/>
      </c>
      <c r="J843">
        <f>IF(OR($G843="",Sync!$Z839=""),"",Sync!$Z839)</f>
        <v/>
      </c>
      <c r="K843">
        <f>IF($G843="",0,IF(Sync!$AA839="",0,Sync!$AA839))</f>
        <v/>
      </c>
      <c r="L843">
        <f>IF($G843="",0,IF(Sync!$AB839="",0,Sync!$AB839))</f>
        <v/>
      </c>
      <c r="M843">
        <f>IF($G843="","",IF($H843="مرجوعی فروش",-1,1)*($K843-$L843*IFERROR(VLOOKUP("P01",ParamTbl,3,0),1.5)))</f>
        <v/>
      </c>
      <c r="N843">
        <f>IF($G843="",0,IF($H843="مرجوعی فروش",-1,1)*IF(Sync!$AC839="",0,Sync!$AC839))</f>
        <v/>
      </c>
      <c r="O843">
        <f>IF(OR($G843="",Sync!$V839=""),"",Sync!$V839)</f>
        <v/>
      </c>
      <c r="P843">
        <f>IF(OR($G843="",Sync!$AD839=""),"",Sync!$AD839)</f>
        <v/>
      </c>
      <c r="Q843">
        <f>IF($G843="","",IF(Sync!$U839="","0000",IF(AND(ISNUMBER(Sync!$U839),Sync!$U839&gt;=0,Sync!$U839&lt;1),RIGHT("00"&amp;HOUR(Sync!$U839),2)&amp;RIGHT("00"&amp;MINUTE(Sync!$U839),2),IFERROR(RIGHT("00"&amp;VALUE(LEFT(Sync!$U839,FIND(":",Sync!$U839)-1)),2)&amp;RIGHT("00"&amp;VALUE(MID(Sync!$U839,FIND(":",Sync!$U839)+1,2)),2),"0000"))))</f>
        <v/>
      </c>
    </row>
    <row r="844">
      <c r="A844">
        <f>IF(Sync!$T840="","",Sync!$T840)</f>
        <v/>
      </c>
      <c r="B844">
        <f>IF($A844="","",IF(ISNUMBER($A844),IF(AND($A844&gt;=10000101,$A844&lt;=99991231),INT($A844/10000),""),IFERROR(VALUE(TRIM(LEFT($A844,FIND("/",$A844)-1))),"")))</f>
        <v/>
      </c>
      <c r="C844">
        <f>IF(OR($A844="",$B844=""),"",IF(ISNUMBER($A844),INT(MOD($A844,10000)/100),IFERROR(VALUE(TRIM(LEFT(MID($A844,FIND("/",$A844)+1,20),FIND("/",MID($A844,FIND("/",$A844)+1,20))-1))),"")))</f>
        <v/>
      </c>
      <c r="D844">
        <f>IF(OR($A844="",$B844=""),"",IF(ISNUMBER($A844),MOD($A844,100),IFERROR(VALUE(TRIM(MID(MID($A844,FIND("/",$A844)+1,20),FIND("/",MID($A844,FIND("/",$A844)+1,20))+1,20))),"")))</f>
        <v/>
      </c>
      <c r="E844">
        <f>IF($A844="","",IF(OR($B844="",$C844="",$D844="",$B844&lt;1300,$B844&gt;1500,$C844&lt;1,$C844&gt;12,$D844&lt;1,$D844&gt;31),"نامعتبر",RIGHT("0000"&amp;$B844,4)&amp;"/"&amp;RIGHT("00"&amp;$C844,2)&amp;"/"&amp;RIGHT("00"&amp;$D844,2)))</f>
        <v/>
      </c>
      <c r="F844">
        <f>IF(OR($E844="",$E844="نامعتبر"),"",LEFT($E844,4)&amp;"/"&amp;MID($E844,6,2))</f>
        <v/>
      </c>
      <c r="G844">
        <f>IF(OR($E844="",$E844="نامعتبر",Sync!$X840=""),"",IF(AND(LEFT(UPPER(TRIM(Sync!$X840)),2)="SL",IFERROR(VLOOKUP(Sync!$W840,OpTbl,3,0),"")="فروش"),UPPER(TRIM(Sync!$X840)),""))</f>
        <v/>
      </c>
      <c r="H844">
        <f>IF($G844="","",IF(Sync!$W840="","",Sync!$W840))</f>
        <v/>
      </c>
      <c r="I844">
        <f>IF(OR($G844="",Sync!$Y840=""),"",Sync!$Y840)</f>
        <v/>
      </c>
      <c r="J844">
        <f>IF(OR($G844="",Sync!$Z840=""),"",Sync!$Z840)</f>
        <v/>
      </c>
      <c r="K844">
        <f>IF($G844="",0,IF(Sync!$AA840="",0,Sync!$AA840))</f>
        <v/>
      </c>
      <c r="L844">
        <f>IF($G844="",0,IF(Sync!$AB840="",0,Sync!$AB840))</f>
        <v/>
      </c>
      <c r="M844">
        <f>IF($G844="","",IF($H844="مرجوعی فروش",-1,1)*($K844-$L844*IFERROR(VLOOKUP("P01",ParamTbl,3,0),1.5)))</f>
        <v/>
      </c>
      <c r="N844">
        <f>IF($G844="",0,IF($H844="مرجوعی فروش",-1,1)*IF(Sync!$AC840="",0,Sync!$AC840))</f>
        <v/>
      </c>
      <c r="O844">
        <f>IF(OR($G844="",Sync!$V840=""),"",Sync!$V840)</f>
        <v/>
      </c>
      <c r="P844">
        <f>IF(OR($G844="",Sync!$AD840=""),"",Sync!$AD840)</f>
        <v/>
      </c>
      <c r="Q844">
        <f>IF($G844="","",IF(Sync!$U840="","0000",IF(AND(ISNUMBER(Sync!$U840),Sync!$U840&gt;=0,Sync!$U840&lt;1),RIGHT("00"&amp;HOUR(Sync!$U840),2)&amp;RIGHT("00"&amp;MINUTE(Sync!$U840),2),IFERROR(RIGHT("00"&amp;VALUE(LEFT(Sync!$U840,FIND(":",Sync!$U840)-1)),2)&amp;RIGHT("00"&amp;VALUE(MID(Sync!$U840,FIND(":",Sync!$U840)+1,2)),2),"0000"))))</f>
        <v/>
      </c>
    </row>
    <row r="845">
      <c r="A845">
        <f>IF(Sync!$T841="","",Sync!$T841)</f>
        <v/>
      </c>
      <c r="B845">
        <f>IF($A845="","",IF(ISNUMBER($A845),IF(AND($A845&gt;=10000101,$A845&lt;=99991231),INT($A845/10000),""),IFERROR(VALUE(TRIM(LEFT($A845,FIND("/",$A845)-1))),"")))</f>
        <v/>
      </c>
      <c r="C845">
        <f>IF(OR($A845="",$B845=""),"",IF(ISNUMBER($A845),INT(MOD($A845,10000)/100),IFERROR(VALUE(TRIM(LEFT(MID($A845,FIND("/",$A845)+1,20),FIND("/",MID($A845,FIND("/",$A845)+1,20))-1))),"")))</f>
        <v/>
      </c>
      <c r="D845">
        <f>IF(OR($A845="",$B845=""),"",IF(ISNUMBER($A845),MOD($A845,100),IFERROR(VALUE(TRIM(MID(MID($A845,FIND("/",$A845)+1,20),FIND("/",MID($A845,FIND("/",$A845)+1,20))+1,20))),"")))</f>
        <v/>
      </c>
      <c r="E845">
        <f>IF($A845="","",IF(OR($B845="",$C845="",$D845="",$B845&lt;1300,$B845&gt;1500,$C845&lt;1,$C845&gt;12,$D845&lt;1,$D845&gt;31),"نامعتبر",RIGHT("0000"&amp;$B845,4)&amp;"/"&amp;RIGHT("00"&amp;$C845,2)&amp;"/"&amp;RIGHT("00"&amp;$D845,2)))</f>
        <v/>
      </c>
      <c r="F845">
        <f>IF(OR($E845="",$E845="نامعتبر"),"",LEFT($E845,4)&amp;"/"&amp;MID($E845,6,2))</f>
        <v/>
      </c>
      <c r="G845">
        <f>IF(OR($E845="",$E845="نامعتبر",Sync!$X841=""),"",IF(AND(LEFT(UPPER(TRIM(Sync!$X841)),2)="SL",IFERROR(VLOOKUP(Sync!$W841,OpTbl,3,0),"")="فروش"),UPPER(TRIM(Sync!$X841)),""))</f>
        <v/>
      </c>
      <c r="H845">
        <f>IF($G845="","",IF(Sync!$W841="","",Sync!$W841))</f>
        <v/>
      </c>
      <c r="I845">
        <f>IF(OR($G845="",Sync!$Y841=""),"",Sync!$Y841)</f>
        <v/>
      </c>
      <c r="J845">
        <f>IF(OR($G845="",Sync!$Z841=""),"",Sync!$Z841)</f>
        <v/>
      </c>
      <c r="K845">
        <f>IF($G845="",0,IF(Sync!$AA841="",0,Sync!$AA841))</f>
        <v/>
      </c>
      <c r="L845">
        <f>IF($G845="",0,IF(Sync!$AB841="",0,Sync!$AB841))</f>
        <v/>
      </c>
      <c r="M845">
        <f>IF($G845="","",IF($H845="مرجوعی فروش",-1,1)*($K845-$L845*IFERROR(VLOOKUP("P01",ParamTbl,3,0),1.5)))</f>
        <v/>
      </c>
      <c r="N845">
        <f>IF($G845="",0,IF($H845="مرجوعی فروش",-1,1)*IF(Sync!$AC841="",0,Sync!$AC841))</f>
        <v/>
      </c>
      <c r="O845">
        <f>IF(OR($G845="",Sync!$V841=""),"",Sync!$V841)</f>
        <v/>
      </c>
      <c r="P845">
        <f>IF(OR($G845="",Sync!$AD841=""),"",Sync!$AD841)</f>
        <v/>
      </c>
      <c r="Q845">
        <f>IF($G845="","",IF(Sync!$U841="","0000",IF(AND(ISNUMBER(Sync!$U841),Sync!$U841&gt;=0,Sync!$U841&lt;1),RIGHT("00"&amp;HOUR(Sync!$U841),2)&amp;RIGHT("00"&amp;MINUTE(Sync!$U841),2),IFERROR(RIGHT("00"&amp;VALUE(LEFT(Sync!$U841,FIND(":",Sync!$U841)-1)),2)&amp;RIGHT("00"&amp;VALUE(MID(Sync!$U841,FIND(":",Sync!$U841)+1,2)),2),"0000"))))</f>
        <v/>
      </c>
    </row>
    <row r="846">
      <c r="A846">
        <f>IF(Sync!$T842="","",Sync!$T842)</f>
        <v/>
      </c>
      <c r="B846">
        <f>IF($A846="","",IF(ISNUMBER($A846),IF(AND($A846&gt;=10000101,$A846&lt;=99991231),INT($A846/10000),""),IFERROR(VALUE(TRIM(LEFT($A846,FIND("/",$A846)-1))),"")))</f>
        <v/>
      </c>
      <c r="C846">
        <f>IF(OR($A846="",$B846=""),"",IF(ISNUMBER($A846),INT(MOD($A846,10000)/100),IFERROR(VALUE(TRIM(LEFT(MID($A846,FIND("/",$A846)+1,20),FIND("/",MID($A846,FIND("/",$A846)+1,20))-1))),"")))</f>
        <v/>
      </c>
      <c r="D846">
        <f>IF(OR($A846="",$B846=""),"",IF(ISNUMBER($A846),MOD($A846,100),IFERROR(VALUE(TRIM(MID(MID($A846,FIND("/",$A846)+1,20),FIND("/",MID($A846,FIND("/",$A846)+1,20))+1,20))),"")))</f>
        <v/>
      </c>
      <c r="E846">
        <f>IF($A846="","",IF(OR($B846="",$C846="",$D846="",$B846&lt;1300,$B846&gt;1500,$C846&lt;1,$C846&gt;12,$D846&lt;1,$D846&gt;31),"نامعتبر",RIGHT("0000"&amp;$B846,4)&amp;"/"&amp;RIGHT("00"&amp;$C846,2)&amp;"/"&amp;RIGHT("00"&amp;$D846,2)))</f>
        <v/>
      </c>
      <c r="F846">
        <f>IF(OR($E846="",$E846="نامعتبر"),"",LEFT($E846,4)&amp;"/"&amp;MID($E846,6,2))</f>
        <v/>
      </c>
      <c r="G846">
        <f>IF(OR($E846="",$E846="نامعتبر",Sync!$X842=""),"",IF(AND(LEFT(UPPER(TRIM(Sync!$X842)),2)="SL",IFERROR(VLOOKUP(Sync!$W842,OpTbl,3,0),"")="فروش"),UPPER(TRIM(Sync!$X842)),""))</f>
        <v/>
      </c>
      <c r="H846">
        <f>IF($G846="","",IF(Sync!$W842="","",Sync!$W842))</f>
        <v/>
      </c>
      <c r="I846">
        <f>IF(OR($G846="",Sync!$Y842=""),"",Sync!$Y842)</f>
        <v/>
      </c>
      <c r="J846">
        <f>IF(OR($G846="",Sync!$Z842=""),"",Sync!$Z842)</f>
        <v/>
      </c>
      <c r="K846">
        <f>IF($G846="",0,IF(Sync!$AA842="",0,Sync!$AA842))</f>
        <v/>
      </c>
      <c r="L846">
        <f>IF($G846="",0,IF(Sync!$AB842="",0,Sync!$AB842))</f>
        <v/>
      </c>
      <c r="M846">
        <f>IF($G846="","",IF($H846="مرجوعی فروش",-1,1)*($K846-$L846*IFERROR(VLOOKUP("P01",ParamTbl,3,0),1.5)))</f>
        <v/>
      </c>
      <c r="N846">
        <f>IF($G846="",0,IF($H846="مرجوعی فروش",-1,1)*IF(Sync!$AC842="",0,Sync!$AC842))</f>
        <v/>
      </c>
      <c r="O846">
        <f>IF(OR($G846="",Sync!$V842=""),"",Sync!$V842)</f>
        <v/>
      </c>
      <c r="P846">
        <f>IF(OR($G846="",Sync!$AD842=""),"",Sync!$AD842)</f>
        <v/>
      </c>
      <c r="Q846">
        <f>IF($G846="","",IF(Sync!$U842="","0000",IF(AND(ISNUMBER(Sync!$U842),Sync!$U842&gt;=0,Sync!$U842&lt;1),RIGHT("00"&amp;HOUR(Sync!$U842),2)&amp;RIGHT("00"&amp;MINUTE(Sync!$U842),2),IFERROR(RIGHT("00"&amp;VALUE(LEFT(Sync!$U842,FIND(":",Sync!$U842)-1)),2)&amp;RIGHT("00"&amp;VALUE(MID(Sync!$U842,FIND(":",Sync!$U842)+1,2)),2),"0000"))))</f>
        <v/>
      </c>
    </row>
    <row r="847">
      <c r="A847">
        <f>IF(Sync!$T843="","",Sync!$T843)</f>
        <v/>
      </c>
      <c r="B847">
        <f>IF($A847="","",IF(ISNUMBER($A847),IF(AND($A847&gt;=10000101,$A847&lt;=99991231),INT($A847/10000),""),IFERROR(VALUE(TRIM(LEFT($A847,FIND("/",$A847)-1))),"")))</f>
        <v/>
      </c>
      <c r="C847">
        <f>IF(OR($A847="",$B847=""),"",IF(ISNUMBER($A847),INT(MOD($A847,10000)/100),IFERROR(VALUE(TRIM(LEFT(MID($A847,FIND("/",$A847)+1,20),FIND("/",MID($A847,FIND("/",$A847)+1,20))-1))),"")))</f>
        <v/>
      </c>
      <c r="D847">
        <f>IF(OR($A847="",$B847=""),"",IF(ISNUMBER($A847),MOD($A847,100),IFERROR(VALUE(TRIM(MID(MID($A847,FIND("/",$A847)+1,20),FIND("/",MID($A847,FIND("/",$A847)+1,20))+1,20))),"")))</f>
        <v/>
      </c>
      <c r="E847">
        <f>IF($A847="","",IF(OR($B847="",$C847="",$D847="",$B847&lt;1300,$B847&gt;1500,$C847&lt;1,$C847&gt;12,$D847&lt;1,$D847&gt;31),"نامعتبر",RIGHT("0000"&amp;$B847,4)&amp;"/"&amp;RIGHT("00"&amp;$C847,2)&amp;"/"&amp;RIGHT("00"&amp;$D847,2)))</f>
        <v/>
      </c>
      <c r="F847">
        <f>IF(OR($E847="",$E847="نامعتبر"),"",LEFT($E847,4)&amp;"/"&amp;MID($E847,6,2))</f>
        <v/>
      </c>
      <c r="G847">
        <f>IF(OR($E847="",$E847="نامعتبر",Sync!$X843=""),"",IF(AND(LEFT(UPPER(TRIM(Sync!$X843)),2)="SL",IFERROR(VLOOKUP(Sync!$W843,OpTbl,3,0),"")="فروش"),UPPER(TRIM(Sync!$X843)),""))</f>
        <v/>
      </c>
      <c r="H847">
        <f>IF($G847="","",IF(Sync!$W843="","",Sync!$W843))</f>
        <v/>
      </c>
      <c r="I847">
        <f>IF(OR($G847="",Sync!$Y843=""),"",Sync!$Y843)</f>
        <v/>
      </c>
      <c r="J847">
        <f>IF(OR($G847="",Sync!$Z843=""),"",Sync!$Z843)</f>
        <v/>
      </c>
      <c r="K847">
        <f>IF($G847="",0,IF(Sync!$AA843="",0,Sync!$AA843))</f>
        <v/>
      </c>
      <c r="L847">
        <f>IF($G847="",0,IF(Sync!$AB843="",0,Sync!$AB843))</f>
        <v/>
      </c>
      <c r="M847">
        <f>IF($G847="","",IF($H847="مرجوعی فروش",-1,1)*($K847-$L847*IFERROR(VLOOKUP("P01",ParamTbl,3,0),1.5)))</f>
        <v/>
      </c>
      <c r="N847">
        <f>IF($G847="",0,IF($H847="مرجوعی فروش",-1,1)*IF(Sync!$AC843="",0,Sync!$AC843))</f>
        <v/>
      </c>
      <c r="O847">
        <f>IF(OR($G847="",Sync!$V843=""),"",Sync!$V843)</f>
        <v/>
      </c>
      <c r="P847">
        <f>IF(OR($G847="",Sync!$AD843=""),"",Sync!$AD843)</f>
        <v/>
      </c>
      <c r="Q847">
        <f>IF($G847="","",IF(Sync!$U843="","0000",IF(AND(ISNUMBER(Sync!$U843),Sync!$U843&gt;=0,Sync!$U843&lt;1),RIGHT("00"&amp;HOUR(Sync!$U843),2)&amp;RIGHT("00"&amp;MINUTE(Sync!$U843),2),IFERROR(RIGHT("00"&amp;VALUE(LEFT(Sync!$U843,FIND(":",Sync!$U843)-1)),2)&amp;RIGHT("00"&amp;VALUE(MID(Sync!$U843,FIND(":",Sync!$U843)+1,2)),2),"0000"))))</f>
        <v/>
      </c>
    </row>
    <row r="848">
      <c r="A848">
        <f>IF(Sync!$T844="","",Sync!$T844)</f>
        <v/>
      </c>
      <c r="B848">
        <f>IF($A848="","",IF(ISNUMBER($A848),IF(AND($A848&gt;=10000101,$A848&lt;=99991231),INT($A848/10000),""),IFERROR(VALUE(TRIM(LEFT($A848,FIND("/",$A848)-1))),"")))</f>
        <v/>
      </c>
      <c r="C848">
        <f>IF(OR($A848="",$B848=""),"",IF(ISNUMBER($A848),INT(MOD($A848,10000)/100),IFERROR(VALUE(TRIM(LEFT(MID($A848,FIND("/",$A848)+1,20),FIND("/",MID($A848,FIND("/",$A848)+1,20))-1))),"")))</f>
        <v/>
      </c>
      <c r="D848">
        <f>IF(OR($A848="",$B848=""),"",IF(ISNUMBER($A848),MOD($A848,100),IFERROR(VALUE(TRIM(MID(MID($A848,FIND("/",$A848)+1,20),FIND("/",MID($A848,FIND("/",$A848)+1,20))+1,20))),"")))</f>
        <v/>
      </c>
      <c r="E848">
        <f>IF($A848="","",IF(OR($B848="",$C848="",$D848="",$B848&lt;1300,$B848&gt;1500,$C848&lt;1,$C848&gt;12,$D848&lt;1,$D848&gt;31),"نامعتبر",RIGHT("0000"&amp;$B848,4)&amp;"/"&amp;RIGHT("00"&amp;$C848,2)&amp;"/"&amp;RIGHT("00"&amp;$D848,2)))</f>
        <v/>
      </c>
      <c r="F848">
        <f>IF(OR($E848="",$E848="نامعتبر"),"",LEFT($E848,4)&amp;"/"&amp;MID($E848,6,2))</f>
        <v/>
      </c>
      <c r="G848">
        <f>IF(OR($E848="",$E848="نامعتبر",Sync!$X844=""),"",IF(AND(LEFT(UPPER(TRIM(Sync!$X844)),2)="SL",IFERROR(VLOOKUP(Sync!$W844,OpTbl,3,0),"")="فروش"),UPPER(TRIM(Sync!$X844)),""))</f>
        <v/>
      </c>
      <c r="H848">
        <f>IF($G848="","",IF(Sync!$W844="","",Sync!$W844))</f>
        <v/>
      </c>
      <c r="I848">
        <f>IF(OR($G848="",Sync!$Y844=""),"",Sync!$Y844)</f>
        <v/>
      </c>
      <c r="J848">
        <f>IF(OR($G848="",Sync!$Z844=""),"",Sync!$Z844)</f>
        <v/>
      </c>
      <c r="K848">
        <f>IF($G848="",0,IF(Sync!$AA844="",0,Sync!$AA844))</f>
        <v/>
      </c>
      <c r="L848">
        <f>IF($G848="",0,IF(Sync!$AB844="",0,Sync!$AB844))</f>
        <v/>
      </c>
      <c r="M848">
        <f>IF($G848="","",IF($H848="مرجوعی فروش",-1,1)*($K848-$L848*IFERROR(VLOOKUP("P01",ParamTbl,3,0),1.5)))</f>
        <v/>
      </c>
      <c r="N848">
        <f>IF($G848="",0,IF($H848="مرجوعی فروش",-1,1)*IF(Sync!$AC844="",0,Sync!$AC844))</f>
        <v/>
      </c>
      <c r="O848">
        <f>IF(OR($G848="",Sync!$V844=""),"",Sync!$V844)</f>
        <v/>
      </c>
      <c r="P848">
        <f>IF(OR($G848="",Sync!$AD844=""),"",Sync!$AD844)</f>
        <v/>
      </c>
      <c r="Q848">
        <f>IF($G848="","",IF(Sync!$U844="","0000",IF(AND(ISNUMBER(Sync!$U844),Sync!$U844&gt;=0,Sync!$U844&lt;1),RIGHT("00"&amp;HOUR(Sync!$U844),2)&amp;RIGHT("00"&amp;MINUTE(Sync!$U844),2),IFERROR(RIGHT("00"&amp;VALUE(LEFT(Sync!$U844,FIND(":",Sync!$U844)-1)),2)&amp;RIGHT("00"&amp;VALUE(MID(Sync!$U844,FIND(":",Sync!$U844)+1,2)),2),"0000"))))</f>
        <v/>
      </c>
    </row>
    <row r="849">
      <c r="A849">
        <f>IF(Sync!$T845="","",Sync!$T845)</f>
        <v/>
      </c>
      <c r="B849">
        <f>IF($A849="","",IF(ISNUMBER($A849),IF(AND($A849&gt;=10000101,$A849&lt;=99991231),INT($A849/10000),""),IFERROR(VALUE(TRIM(LEFT($A849,FIND("/",$A849)-1))),"")))</f>
        <v/>
      </c>
      <c r="C849">
        <f>IF(OR($A849="",$B849=""),"",IF(ISNUMBER($A849),INT(MOD($A849,10000)/100),IFERROR(VALUE(TRIM(LEFT(MID($A849,FIND("/",$A849)+1,20),FIND("/",MID($A849,FIND("/",$A849)+1,20))-1))),"")))</f>
        <v/>
      </c>
      <c r="D849">
        <f>IF(OR($A849="",$B849=""),"",IF(ISNUMBER($A849),MOD($A849,100),IFERROR(VALUE(TRIM(MID(MID($A849,FIND("/",$A849)+1,20),FIND("/",MID($A849,FIND("/",$A849)+1,20))+1,20))),"")))</f>
        <v/>
      </c>
      <c r="E849">
        <f>IF($A849="","",IF(OR($B849="",$C849="",$D849="",$B849&lt;1300,$B849&gt;1500,$C849&lt;1,$C849&gt;12,$D849&lt;1,$D849&gt;31),"نامعتبر",RIGHT("0000"&amp;$B849,4)&amp;"/"&amp;RIGHT("00"&amp;$C849,2)&amp;"/"&amp;RIGHT("00"&amp;$D849,2)))</f>
        <v/>
      </c>
      <c r="F849">
        <f>IF(OR($E849="",$E849="نامعتبر"),"",LEFT($E849,4)&amp;"/"&amp;MID($E849,6,2))</f>
        <v/>
      </c>
      <c r="G849">
        <f>IF(OR($E849="",$E849="نامعتبر",Sync!$X845=""),"",IF(AND(LEFT(UPPER(TRIM(Sync!$X845)),2)="SL",IFERROR(VLOOKUP(Sync!$W845,OpTbl,3,0),"")="فروش"),UPPER(TRIM(Sync!$X845)),""))</f>
        <v/>
      </c>
      <c r="H849">
        <f>IF($G849="","",IF(Sync!$W845="","",Sync!$W845))</f>
        <v/>
      </c>
      <c r="I849">
        <f>IF(OR($G849="",Sync!$Y845=""),"",Sync!$Y845)</f>
        <v/>
      </c>
      <c r="J849">
        <f>IF(OR($G849="",Sync!$Z845=""),"",Sync!$Z845)</f>
        <v/>
      </c>
      <c r="K849">
        <f>IF($G849="",0,IF(Sync!$AA845="",0,Sync!$AA845))</f>
        <v/>
      </c>
      <c r="L849">
        <f>IF($G849="",0,IF(Sync!$AB845="",0,Sync!$AB845))</f>
        <v/>
      </c>
      <c r="M849">
        <f>IF($G849="","",IF($H849="مرجوعی فروش",-1,1)*($K849-$L849*IFERROR(VLOOKUP("P01",ParamTbl,3,0),1.5)))</f>
        <v/>
      </c>
      <c r="N849">
        <f>IF($G849="",0,IF($H849="مرجوعی فروش",-1,1)*IF(Sync!$AC845="",0,Sync!$AC845))</f>
        <v/>
      </c>
      <c r="O849">
        <f>IF(OR($G849="",Sync!$V845=""),"",Sync!$V845)</f>
        <v/>
      </c>
      <c r="P849">
        <f>IF(OR($G849="",Sync!$AD845=""),"",Sync!$AD845)</f>
        <v/>
      </c>
      <c r="Q849">
        <f>IF($G849="","",IF(Sync!$U845="","0000",IF(AND(ISNUMBER(Sync!$U845),Sync!$U845&gt;=0,Sync!$U845&lt;1),RIGHT("00"&amp;HOUR(Sync!$U845),2)&amp;RIGHT("00"&amp;MINUTE(Sync!$U845),2),IFERROR(RIGHT("00"&amp;VALUE(LEFT(Sync!$U845,FIND(":",Sync!$U845)-1)),2)&amp;RIGHT("00"&amp;VALUE(MID(Sync!$U845,FIND(":",Sync!$U845)+1,2)),2),"0000"))))</f>
        <v/>
      </c>
    </row>
    <row r="850">
      <c r="A850">
        <f>IF(Sync!$T846="","",Sync!$T846)</f>
        <v/>
      </c>
      <c r="B850">
        <f>IF($A850="","",IF(ISNUMBER($A850),IF(AND($A850&gt;=10000101,$A850&lt;=99991231),INT($A850/10000),""),IFERROR(VALUE(TRIM(LEFT($A850,FIND("/",$A850)-1))),"")))</f>
        <v/>
      </c>
      <c r="C850">
        <f>IF(OR($A850="",$B850=""),"",IF(ISNUMBER($A850),INT(MOD($A850,10000)/100),IFERROR(VALUE(TRIM(LEFT(MID($A850,FIND("/",$A850)+1,20),FIND("/",MID($A850,FIND("/",$A850)+1,20))-1))),"")))</f>
        <v/>
      </c>
      <c r="D850">
        <f>IF(OR($A850="",$B850=""),"",IF(ISNUMBER($A850),MOD($A850,100),IFERROR(VALUE(TRIM(MID(MID($A850,FIND("/",$A850)+1,20),FIND("/",MID($A850,FIND("/",$A850)+1,20))+1,20))),"")))</f>
        <v/>
      </c>
      <c r="E850">
        <f>IF($A850="","",IF(OR($B850="",$C850="",$D850="",$B850&lt;1300,$B850&gt;1500,$C850&lt;1,$C850&gt;12,$D850&lt;1,$D850&gt;31),"نامعتبر",RIGHT("0000"&amp;$B850,4)&amp;"/"&amp;RIGHT("00"&amp;$C850,2)&amp;"/"&amp;RIGHT("00"&amp;$D850,2)))</f>
        <v/>
      </c>
      <c r="F850">
        <f>IF(OR($E850="",$E850="نامعتبر"),"",LEFT($E850,4)&amp;"/"&amp;MID($E850,6,2))</f>
        <v/>
      </c>
      <c r="G850">
        <f>IF(OR($E850="",$E850="نامعتبر",Sync!$X846=""),"",IF(AND(LEFT(UPPER(TRIM(Sync!$X846)),2)="SL",IFERROR(VLOOKUP(Sync!$W846,OpTbl,3,0),"")="فروش"),UPPER(TRIM(Sync!$X846)),""))</f>
        <v/>
      </c>
      <c r="H850">
        <f>IF($G850="","",IF(Sync!$W846="","",Sync!$W846))</f>
        <v/>
      </c>
      <c r="I850">
        <f>IF(OR($G850="",Sync!$Y846=""),"",Sync!$Y846)</f>
        <v/>
      </c>
      <c r="J850">
        <f>IF(OR($G850="",Sync!$Z846=""),"",Sync!$Z846)</f>
        <v/>
      </c>
      <c r="K850">
        <f>IF($G850="",0,IF(Sync!$AA846="",0,Sync!$AA846))</f>
        <v/>
      </c>
      <c r="L850">
        <f>IF($G850="",0,IF(Sync!$AB846="",0,Sync!$AB846))</f>
        <v/>
      </c>
      <c r="M850">
        <f>IF($G850="","",IF($H850="مرجوعی فروش",-1,1)*($K850-$L850*IFERROR(VLOOKUP("P01",ParamTbl,3,0),1.5)))</f>
        <v/>
      </c>
      <c r="N850">
        <f>IF($G850="",0,IF($H850="مرجوعی فروش",-1,1)*IF(Sync!$AC846="",0,Sync!$AC846))</f>
        <v/>
      </c>
      <c r="O850">
        <f>IF(OR($G850="",Sync!$V846=""),"",Sync!$V846)</f>
        <v/>
      </c>
      <c r="P850">
        <f>IF(OR($G850="",Sync!$AD846=""),"",Sync!$AD846)</f>
        <v/>
      </c>
      <c r="Q850">
        <f>IF($G850="","",IF(Sync!$U846="","0000",IF(AND(ISNUMBER(Sync!$U846),Sync!$U846&gt;=0,Sync!$U846&lt;1),RIGHT("00"&amp;HOUR(Sync!$U846),2)&amp;RIGHT("00"&amp;MINUTE(Sync!$U846),2),IFERROR(RIGHT("00"&amp;VALUE(LEFT(Sync!$U846,FIND(":",Sync!$U846)-1)),2)&amp;RIGHT("00"&amp;VALUE(MID(Sync!$U846,FIND(":",Sync!$U846)+1,2)),2),"0000"))))</f>
        <v/>
      </c>
    </row>
    <row r="851">
      <c r="A851">
        <f>IF(Sync!$T847="","",Sync!$T847)</f>
        <v/>
      </c>
      <c r="B851">
        <f>IF($A851="","",IF(ISNUMBER($A851),IF(AND($A851&gt;=10000101,$A851&lt;=99991231),INT($A851/10000),""),IFERROR(VALUE(TRIM(LEFT($A851,FIND("/",$A851)-1))),"")))</f>
        <v/>
      </c>
      <c r="C851">
        <f>IF(OR($A851="",$B851=""),"",IF(ISNUMBER($A851),INT(MOD($A851,10000)/100),IFERROR(VALUE(TRIM(LEFT(MID($A851,FIND("/",$A851)+1,20),FIND("/",MID($A851,FIND("/",$A851)+1,20))-1))),"")))</f>
        <v/>
      </c>
      <c r="D851">
        <f>IF(OR($A851="",$B851=""),"",IF(ISNUMBER($A851),MOD($A851,100),IFERROR(VALUE(TRIM(MID(MID($A851,FIND("/",$A851)+1,20),FIND("/",MID($A851,FIND("/",$A851)+1,20))+1,20))),"")))</f>
        <v/>
      </c>
      <c r="E851">
        <f>IF($A851="","",IF(OR($B851="",$C851="",$D851="",$B851&lt;1300,$B851&gt;1500,$C851&lt;1,$C851&gt;12,$D851&lt;1,$D851&gt;31),"نامعتبر",RIGHT("0000"&amp;$B851,4)&amp;"/"&amp;RIGHT("00"&amp;$C851,2)&amp;"/"&amp;RIGHT("00"&amp;$D851,2)))</f>
        <v/>
      </c>
      <c r="F851">
        <f>IF(OR($E851="",$E851="نامعتبر"),"",LEFT($E851,4)&amp;"/"&amp;MID($E851,6,2))</f>
        <v/>
      </c>
      <c r="G851">
        <f>IF(OR($E851="",$E851="نامعتبر",Sync!$X847=""),"",IF(AND(LEFT(UPPER(TRIM(Sync!$X847)),2)="SL",IFERROR(VLOOKUP(Sync!$W847,OpTbl,3,0),"")="فروش"),UPPER(TRIM(Sync!$X847)),""))</f>
        <v/>
      </c>
      <c r="H851">
        <f>IF($G851="","",IF(Sync!$W847="","",Sync!$W847))</f>
        <v/>
      </c>
      <c r="I851">
        <f>IF(OR($G851="",Sync!$Y847=""),"",Sync!$Y847)</f>
        <v/>
      </c>
      <c r="J851">
        <f>IF(OR($G851="",Sync!$Z847=""),"",Sync!$Z847)</f>
        <v/>
      </c>
      <c r="K851">
        <f>IF($G851="",0,IF(Sync!$AA847="",0,Sync!$AA847))</f>
        <v/>
      </c>
      <c r="L851">
        <f>IF($G851="",0,IF(Sync!$AB847="",0,Sync!$AB847))</f>
        <v/>
      </c>
      <c r="M851">
        <f>IF($G851="","",IF($H851="مرجوعی فروش",-1,1)*($K851-$L851*IFERROR(VLOOKUP("P01",ParamTbl,3,0),1.5)))</f>
        <v/>
      </c>
      <c r="N851">
        <f>IF($G851="",0,IF($H851="مرجوعی فروش",-1,1)*IF(Sync!$AC847="",0,Sync!$AC847))</f>
        <v/>
      </c>
      <c r="O851">
        <f>IF(OR($G851="",Sync!$V847=""),"",Sync!$V847)</f>
        <v/>
      </c>
      <c r="P851">
        <f>IF(OR($G851="",Sync!$AD847=""),"",Sync!$AD847)</f>
        <v/>
      </c>
      <c r="Q851">
        <f>IF($G851="","",IF(Sync!$U847="","0000",IF(AND(ISNUMBER(Sync!$U847),Sync!$U847&gt;=0,Sync!$U847&lt;1),RIGHT("00"&amp;HOUR(Sync!$U847),2)&amp;RIGHT("00"&amp;MINUTE(Sync!$U847),2),IFERROR(RIGHT("00"&amp;VALUE(LEFT(Sync!$U847,FIND(":",Sync!$U847)-1)),2)&amp;RIGHT("00"&amp;VALUE(MID(Sync!$U847,FIND(":",Sync!$U847)+1,2)),2),"0000"))))</f>
        <v/>
      </c>
    </row>
    <row r="852">
      <c r="A852">
        <f>IF(Sync!$T848="","",Sync!$T848)</f>
        <v/>
      </c>
      <c r="B852">
        <f>IF($A852="","",IF(ISNUMBER($A852),IF(AND($A852&gt;=10000101,$A852&lt;=99991231),INT($A852/10000),""),IFERROR(VALUE(TRIM(LEFT($A852,FIND("/",$A852)-1))),"")))</f>
        <v/>
      </c>
      <c r="C852">
        <f>IF(OR($A852="",$B852=""),"",IF(ISNUMBER($A852),INT(MOD($A852,10000)/100),IFERROR(VALUE(TRIM(LEFT(MID($A852,FIND("/",$A852)+1,20),FIND("/",MID($A852,FIND("/",$A852)+1,20))-1))),"")))</f>
        <v/>
      </c>
      <c r="D852">
        <f>IF(OR($A852="",$B852=""),"",IF(ISNUMBER($A852),MOD($A852,100),IFERROR(VALUE(TRIM(MID(MID($A852,FIND("/",$A852)+1,20),FIND("/",MID($A852,FIND("/",$A852)+1,20))+1,20))),"")))</f>
        <v/>
      </c>
      <c r="E852">
        <f>IF($A852="","",IF(OR($B852="",$C852="",$D852="",$B852&lt;1300,$B852&gt;1500,$C852&lt;1,$C852&gt;12,$D852&lt;1,$D852&gt;31),"نامعتبر",RIGHT("0000"&amp;$B852,4)&amp;"/"&amp;RIGHT("00"&amp;$C852,2)&amp;"/"&amp;RIGHT("00"&amp;$D852,2)))</f>
        <v/>
      </c>
      <c r="F852">
        <f>IF(OR($E852="",$E852="نامعتبر"),"",LEFT($E852,4)&amp;"/"&amp;MID($E852,6,2))</f>
        <v/>
      </c>
      <c r="G852">
        <f>IF(OR($E852="",$E852="نامعتبر",Sync!$X848=""),"",IF(AND(LEFT(UPPER(TRIM(Sync!$X848)),2)="SL",IFERROR(VLOOKUP(Sync!$W848,OpTbl,3,0),"")="فروش"),UPPER(TRIM(Sync!$X848)),""))</f>
        <v/>
      </c>
      <c r="H852">
        <f>IF($G852="","",IF(Sync!$W848="","",Sync!$W848))</f>
        <v/>
      </c>
      <c r="I852">
        <f>IF(OR($G852="",Sync!$Y848=""),"",Sync!$Y848)</f>
        <v/>
      </c>
      <c r="J852">
        <f>IF(OR($G852="",Sync!$Z848=""),"",Sync!$Z848)</f>
        <v/>
      </c>
      <c r="K852">
        <f>IF($G852="",0,IF(Sync!$AA848="",0,Sync!$AA848))</f>
        <v/>
      </c>
      <c r="L852">
        <f>IF($G852="",0,IF(Sync!$AB848="",0,Sync!$AB848))</f>
        <v/>
      </c>
      <c r="M852">
        <f>IF($G852="","",IF($H852="مرجوعی فروش",-1,1)*($K852-$L852*IFERROR(VLOOKUP("P01",ParamTbl,3,0),1.5)))</f>
        <v/>
      </c>
      <c r="N852">
        <f>IF($G852="",0,IF($H852="مرجوعی فروش",-1,1)*IF(Sync!$AC848="",0,Sync!$AC848))</f>
        <v/>
      </c>
      <c r="O852">
        <f>IF(OR($G852="",Sync!$V848=""),"",Sync!$V848)</f>
        <v/>
      </c>
      <c r="P852">
        <f>IF(OR($G852="",Sync!$AD848=""),"",Sync!$AD848)</f>
        <v/>
      </c>
      <c r="Q852">
        <f>IF($G852="","",IF(Sync!$U848="","0000",IF(AND(ISNUMBER(Sync!$U848),Sync!$U848&gt;=0,Sync!$U848&lt;1),RIGHT("00"&amp;HOUR(Sync!$U848),2)&amp;RIGHT("00"&amp;MINUTE(Sync!$U848),2),IFERROR(RIGHT("00"&amp;VALUE(LEFT(Sync!$U848,FIND(":",Sync!$U848)-1)),2)&amp;RIGHT("00"&amp;VALUE(MID(Sync!$U848,FIND(":",Sync!$U848)+1,2)),2),"0000"))))</f>
        <v/>
      </c>
    </row>
    <row r="853">
      <c r="A853">
        <f>IF(Sync!$T849="","",Sync!$T849)</f>
        <v/>
      </c>
      <c r="B853">
        <f>IF($A853="","",IF(ISNUMBER($A853),IF(AND($A853&gt;=10000101,$A853&lt;=99991231),INT($A853/10000),""),IFERROR(VALUE(TRIM(LEFT($A853,FIND("/",$A853)-1))),"")))</f>
        <v/>
      </c>
      <c r="C853">
        <f>IF(OR($A853="",$B853=""),"",IF(ISNUMBER($A853),INT(MOD($A853,10000)/100),IFERROR(VALUE(TRIM(LEFT(MID($A853,FIND("/",$A853)+1,20),FIND("/",MID($A853,FIND("/",$A853)+1,20))-1))),"")))</f>
        <v/>
      </c>
      <c r="D853">
        <f>IF(OR($A853="",$B853=""),"",IF(ISNUMBER($A853),MOD($A853,100),IFERROR(VALUE(TRIM(MID(MID($A853,FIND("/",$A853)+1,20),FIND("/",MID($A853,FIND("/",$A853)+1,20))+1,20))),"")))</f>
        <v/>
      </c>
      <c r="E853">
        <f>IF($A853="","",IF(OR($B853="",$C853="",$D853="",$B853&lt;1300,$B853&gt;1500,$C853&lt;1,$C853&gt;12,$D853&lt;1,$D853&gt;31),"نامعتبر",RIGHT("0000"&amp;$B853,4)&amp;"/"&amp;RIGHT("00"&amp;$C853,2)&amp;"/"&amp;RIGHT("00"&amp;$D853,2)))</f>
        <v/>
      </c>
      <c r="F853">
        <f>IF(OR($E853="",$E853="نامعتبر"),"",LEFT($E853,4)&amp;"/"&amp;MID($E853,6,2))</f>
        <v/>
      </c>
      <c r="G853">
        <f>IF(OR($E853="",$E853="نامعتبر",Sync!$X849=""),"",IF(AND(LEFT(UPPER(TRIM(Sync!$X849)),2)="SL",IFERROR(VLOOKUP(Sync!$W849,OpTbl,3,0),"")="فروش"),UPPER(TRIM(Sync!$X849)),""))</f>
        <v/>
      </c>
      <c r="H853">
        <f>IF($G853="","",IF(Sync!$W849="","",Sync!$W849))</f>
        <v/>
      </c>
      <c r="I853">
        <f>IF(OR($G853="",Sync!$Y849=""),"",Sync!$Y849)</f>
        <v/>
      </c>
      <c r="J853">
        <f>IF(OR($G853="",Sync!$Z849=""),"",Sync!$Z849)</f>
        <v/>
      </c>
      <c r="K853">
        <f>IF($G853="",0,IF(Sync!$AA849="",0,Sync!$AA849))</f>
        <v/>
      </c>
      <c r="L853">
        <f>IF($G853="",0,IF(Sync!$AB849="",0,Sync!$AB849))</f>
        <v/>
      </c>
      <c r="M853">
        <f>IF($G853="","",IF($H853="مرجوعی فروش",-1,1)*($K853-$L853*IFERROR(VLOOKUP("P01",ParamTbl,3,0),1.5)))</f>
        <v/>
      </c>
      <c r="N853">
        <f>IF($G853="",0,IF($H853="مرجوعی فروش",-1,1)*IF(Sync!$AC849="",0,Sync!$AC849))</f>
        <v/>
      </c>
      <c r="O853">
        <f>IF(OR($G853="",Sync!$V849=""),"",Sync!$V849)</f>
        <v/>
      </c>
      <c r="P853">
        <f>IF(OR($G853="",Sync!$AD849=""),"",Sync!$AD849)</f>
        <v/>
      </c>
      <c r="Q853">
        <f>IF($G853="","",IF(Sync!$U849="","0000",IF(AND(ISNUMBER(Sync!$U849),Sync!$U849&gt;=0,Sync!$U849&lt;1),RIGHT("00"&amp;HOUR(Sync!$U849),2)&amp;RIGHT("00"&amp;MINUTE(Sync!$U849),2),IFERROR(RIGHT("00"&amp;VALUE(LEFT(Sync!$U849,FIND(":",Sync!$U849)-1)),2)&amp;RIGHT("00"&amp;VALUE(MID(Sync!$U849,FIND(":",Sync!$U849)+1,2)),2),"0000"))))</f>
        <v/>
      </c>
    </row>
    <row r="854">
      <c r="A854">
        <f>IF(Sync!$T850="","",Sync!$T850)</f>
        <v/>
      </c>
      <c r="B854">
        <f>IF($A854="","",IF(ISNUMBER($A854),IF(AND($A854&gt;=10000101,$A854&lt;=99991231),INT($A854/10000),""),IFERROR(VALUE(TRIM(LEFT($A854,FIND("/",$A854)-1))),"")))</f>
        <v/>
      </c>
      <c r="C854">
        <f>IF(OR($A854="",$B854=""),"",IF(ISNUMBER($A854),INT(MOD($A854,10000)/100),IFERROR(VALUE(TRIM(LEFT(MID($A854,FIND("/",$A854)+1,20),FIND("/",MID($A854,FIND("/",$A854)+1,20))-1))),"")))</f>
        <v/>
      </c>
      <c r="D854">
        <f>IF(OR($A854="",$B854=""),"",IF(ISNUMBER($A854),MOD($A854,100),IFERROR(VALUE(TRIM(MID(MID($A854,FIND("/",$A854)+1,20),FIND("/",MID($A854,FIND("/",$A854)+1,20))+1,20))),"")))</f>
        <v/>
      </c>
      <c r="E854">
        <f>IF($A854="","",IF(OR($B854="",$C854="",$D854="",$B854&lt;1300,$B854&gt;1500,$C854&lt;1,$C854&gt;12,$D854&lt;1,$D854&gt;31),"نامعتبر",RIGHT("0000"&amp;$B854,4)&amp;"/"&amp;RIGHT("00"&amp;$C854,2)&amp;"/"&amp;RIGHT("00"&amp;$D854,2)))</f>
        <v/>
      </c>
      <c r="F854">
        <f>IF(OR($E854="",$E854="نامعتبر"),"",LEFT($E854,4)&amp;"/"&amp;MID($E854,6,2))</f>
        <v/>
      </c>
      <c r="G854">
        <f>IF(OR($E854="",$E854="نامعتبر",Sync!$X850=""),"",IF(AND(LEFT(UPPER(TRIM(Sync!$X850)),2)="SL",IFERROR(VLOOKUP(Sync!$W850,OpTbl,3,0),"")="فروش"),UPPER(TRIM(Sync!$X850)),""))</f>
        <v/>
      </c>
      <c r="H854">
        <f>IF($G854="","",IF(Sync!$W850="","",Sync!$W850))</f>
        <v/>
      </c>
      <c r="I854">
        <f>IF(OR($G854="",Sync!$Y850=""),"",Sync!$Y850)</f>
        <v/>
      </c>
      <c r="J854">
        <f>IF(OR($G854="",Sync!$Z850=""),"",Sync!$Z850)</f>
        <v/>
      </c>
      <c r="K854">
        <f>IF($G854="",0,IF(Sync!$AA850="",0,Sync!$AA850))</f>
        <v/>
      </c>
      <c r="L854">
        <f>IF($G854="",0,IF(Sync!$AB850="",0,Sync!$AB850))</f>
        <v/>
      </c>
      <c r="M854">
        <f>IF($G854="","",IF($H854="مرجوعی فروش",-1,1)*($K854-$L854*IFERROR(VLOOKUP("P01",ParamTbl,3,0),1.5)))</f>
        <v/>
      </c>
      <c r="N854">
        <f>IF($G854="",0,IF($H854="مرجوعی فروش",-1,1)*IF(Sync!$AC850="",0,Sync!$AC850))</f>
        <v/>
      </c>
      <c r="O854">
        <f>IF(OR($G854="",Sync!$V850=""),"",Sync!$V850)</f>
        <v/>
      </c>
      <c r="P854">
        <f>IF(OR($G854="",Sync!$AD850=""),"",Sync!$AD850)</f>
        <v/>
      </c>
      <c r="Q854">
        <f>IF($G854="","",IF(Sync!$U850="","0000",IF(AND(ISNUMBER(Sync!$U850),Sync!$U850&gt;=0,Sync!$U850&lt;1),RIGHT("00"&amp;HOUR(Sync!$U850),2)&amp;RIGHT("00"&amp;MINUTE(Sync!$U850),2),IFERROR(RIGHT("00"&amp;VALUE(LEFT(Sync!$U850,FIND(":",Sync!$U850)-1)),2)&amp;RIGHT("00"&amp;VALUE(MID(Sync!$U850,FIND(":",Sync!$U850)+1,2)),2),"0000"))))</f>
        <v/>
      </c>
    </row>
    <row r="855">
      <c r="A855">
        <f>IF(Sync!$T851="","",Sync!$T851)</f>
        <v/>
      </c>
      <c r="B855">
        <f>IF($A855="","",IF(ISNUMBER($A855),IF(AND($A855&gt;=10000101,$A855&lt;=99991231),INT($A855/10000),""),IFERROR(VALUE(TRIM(LEFT($A855,FIND("/",$A855)-1))),"")))</f>
        <v/>
      </c>
      <c r="C855">
        <f>IF(OR($A855="",$B855=""),"",IF(ISNUMBER($A855),INT(MOD($A855,10000)/100),IFERROR(VALUE(TRIM(LEFT(MID($A855,FIND("/",$A855)+1,20),FIND("/",MID($A855,FIND("/",$A855)+1,20))-1))),"")))</f>
        <v/>
      </c>
      <c r="D855">
        <f>IF(OR($A855="",$B855=""),"",IF(ISNUMBER($A855),MOD($A855,100),IFERROR(VALUE(TRIM(MID(MID($A855,FIND("/",$A855)+1,20),FIND("/",MID($A855,FIND("/",$A855)+1,20))+1,20))),"")))</f>
        <v/>
      </c>
      <c r="E855">
        <f>IF($A855="","",IF(OR($B855="",$C855="",$D855="",$B855&lt;1300,$B855&gt;1500,$C855&lt;1,$C855&gt;12,$D855&lt;1,$D855&gt;31),"نامعتبر",RIGHT("0000"&amp;$B855,4)&amp;"/"&amp;RIGHT("00"&amp;$C855,2)&amp;"/"&amp;RIGHT("00"&amp;$D855,2)))</f>
        <v/>
      </c>
      <c r="F855">
        <f>IF(OR($E855="",$E855="نامعتبر"),"",LEFT($E855,4)&amp;"/"&amp;MID($E855,6,2))</f>
        <v/>
      </c>
      <c r="G855">
        <f>IF(OR($E855="",$E855="نامعتبر",Sync!$X851=""),"",IF(AND(LEFT(UPPER(TRIM(Sync!$X851)),2)="SL",IFERROR(VLOOKUP(Sync!$W851,OpTbl,3,0),"")="فروش"),UPPER(TRIM(Sync!$X851)),""))</f>
        <v/>
      </c>
      <c r="H855">
        <f>IF($G855="","",IF(Sync!$W851="","",Sync!$W851))</f>
        <v/>
      </c>
      <c r="I855">
        <f>IF(OR($G855="",Sync!$Y851=""),"",Sync!$Y851)</f>
        <v/>
      </c>
      <c r="J855">
        <f>IF(OR($G855="",Sync!$Z851=""),"",Sync!$Z851)</f>
        <v/>
      </c>
      <c r="K855">
        <f>IF($G855="",0,IF(Sync!$AA851="",0,Sync!$AA851))</f>
        <v/>
      </c>
      <c r="L855">
        <f>IF($G855="",0,IF(Sync!$AB851="",0,Sync!$AB851))</f>
        <v/>
      </c>
      <c r="M855">
        <f>IF($G855="","",IF($H855="مرجوعی فروش",-1,1)*($K855-$L855*IFERROR(VLOOKUP("P01",ParamTbl,3,0),1.5)))</f>
        <v/>
      </c>
      <c r="N855">
        <f>IF($G855="",0,IF($H855="مرجوعی فروش",-1,1)*IF(Sync!$AC851="",0,Sync!$AC851))</f>
        <v/>
      </c>
      <c r="O855">
        <f>IF(OR($G855="",Sync!$V851=""),"",Sync!$V851)</f>
        <v/>
      </c>
      <c r="P855">
        <f>IF(OR($G855="",Sync!$AD851=""),"",Sync!$AD851)</f>
        <v/>
      </c>
      <c r="Q855">
        <f>IF($G855="","",IF(Sync!$U851="","0000",IF(AND(ISNUMBER(Sync!$U851),Sync!$U851&gt;=0,Sync!$U851&lt;1),RIGHT("00"&amp;HOUR(Sync!$U851),2)&amp;RIGHT("00"&amp;MINUTE(Sync!$U851),2),IFERROR(RIGHT("00"&amp;VALUE(LEFT(Sync!$U851,FIND(":",Sync!$U851)-1)),2)&amp;RIGHT("00"&amp;VALUE(MID(Sync!$U851,FIND(":",Sync!$U851)+1,2)),2),"0000"))))</f>
        <v/>
      </c>
    </row>
    <row r="856">
      <c r="A856">
        <f>IF(Sync!$T852="","",Sync!$T852)</f>
        <v/>
      </c>
      <c r="B856">
        <f>IF($A856="","",IF(ISNUMBER($A856),IF(AND($A856&gt;=10000101,$A856&lt;=99991231),INT($A856/10000),""),IFERROR(VALUE(TRIM(LEFT($A856,FIND("/",$A856)-1))),"")))</f>
        <v/>
      </c>
      <c r="C856">
        <f>IF(OR($A856="",$B856=""),"",IF(ISNUMBER($A856),INT(MOD($A856,10000)/100),IFERROR(VALUE(TRIM(LEFT(MID($A856,FIND("/",$A856)+1,20),FIND("/",MID($A856,FIND("/",$A856)+1,20))-1))),"")))</f>
        <v/>
      </c>
      <c r="D856">
        <f>IF(OR($A856="",$B856=""),"",IF(ISNUMBER($A856),MOD($A856,100),IFERROR(VALUE(TRIM(MID(MID($A856,FIND("/",$A856)+1,20),FIND("/",MID($A856,FIND("/",$A856)+1,20))+1,20))),"")))</f>
        <v/>
      </c>
      <c r="E856">
        <f>IF($A856="","",IF(OR($B856="",$C856="",$D856="",$B856&lt;1300,$B856&gt;1500,$C856&lt;1,$C856&gt;12,$D856&lt;1,$D856&gt;31),"نامعتبر",RIGHT("0000"&amp;$B856,4)&amp;"/"&amp;RIGHT("00"&amp;$C856,2)&amp;"/"&amp;RIGHT("00"&amp;$D856,2)))</f>
        <v/>
      </c>
      <c r="F856">
        <f>IF(OR($E856="",$E856="نامعتبر"),"",LEFT($E856,4)&amp;"/"&amp;MID($E856,6,2))</f>
        <v/>
      </c>
      <c r="G856">
        <f>IF(OR($E856="",$E856="نامعتبر",Sync!$X852=""),"",IF(AND(LEFT(UPPER(TRIM(Sync!$X852)),2)="SL",IFERROR(VLOOKUP(Sync!$W852,OpTbl,3,0),"")="فروش"),UPPER(TRIM(Sync!$X852)),""))</f>
        <v/>
      </c>
      <c r="H856">
        <f>IF($G856="","",IF(Sync!$W852="","",Sync!$W852))</f>
        <v/>
      </c>
      <c r="I856">
        <f>IF(OR($G856="",Sync!$Y852=""),"",Sync!$Y852)</f>
        <v/>
      </c>
      <c r="J856">
        <f>IF(OR($G856="",Sync!$Z852=""),"",Sync!$Z852)</f>
        <v/>
      </c>
      <c r="K856">
        <f>IF($G856="",0,IF(Sync!$AA852="",0,Sync!$AA852))</f>
        <v/>
      </c>
      <c r="L856">
        <f>IF($G856="",0,IF(Sync!$AB852="",0,Sync!$AB852))</f>
        <v/>
      </c>
      <c r="M856">
        <f>IF($G856="","",IF($H856="مرجوعی فروش",-1,1)*($K856-$L856*IFERROR(VLOOKUP("P01",ParamTbl,3,0),1.5)))</f>
        <v/>
      </c>
      <c r="N856">
        <f>IF($G856="",0,IF($H856="مرجوعی فروش",-1,1)*IF(Sync!$AC852="",0,Sync!$AC852))</f>
        <v/>
      </c>
      <c r="O856">
        <f>IF(OR($G856="",Sync!$V852=""),"",Sync!$V852)</f>
        <v/>
      </c>
      <c r="P856">
        <f>IF(OR($G856="",Sync!$AD852=""),"",Sync!$AD852)</f>
        <v/>
      </c>
      <c r="Q856">
        <f>IF($G856="","",IF(Sync!$U852="","0000",IF(AND(ISNUMBER(Sync!$U852),Sync!$U852&gt;=0,Sync!$U852&lt;1),RIGHT("00"&amp;HOUR(Sync!$U852),2)&amp;RIGHT("00"&amp;MINUTE(Sync!$U852),2),IFERROR(RIGHT("00"&amp;VALUE(LEFT(Sync!$U852,FIND(":",Sync!$U852)-1)),2)&amp;RIGHT("00"&amp;VALUE(MID(Sync!$U852,FIND(":",Sync!$U852)+1,2)),2),"0000"))))</f>
        <v/>
      </c>
    </row>
    <row r="857">
      <c r="A857">
        <f>IF(Sync!$T853="","",Sync!$T853)</f>
        <v/>
      </c>
      <c r="B857">
        <f>IF($A857="","",IF(ISNUMBER($A857),IF(AND($A857&gt;=10000101,$A857&lt;=99991231),INT($A857/10000),""),IFERROR(VALUE(TRIM(LEFT($A857,FIND("/",$A857)-1))),"")))</f>
        <v/>
      </c>
      <c r="C857">
        <f>IF(OR($A857="",$B857=""),"",IF(ISNUMBER($A857),INT(MOD($A857,10000)/100),IFERROR(VALUE(TRIM(LEFT(MID($A857,FIND("/",$A857)+1,20),FIND("/",MID($A857,FIND("/",$A857)+1,20))-1))),"")))</f>
        <v/>
      </c>
      <c r="D857">
        <f>IF(OR($A857="",$B857=""),"",IF(ISNUMBER($A857),MOD($A857,100),IFERROR(VALUE(TRIM(MID(MID($A857,FIND("/",$A857)+1,20),FIND("/",MID($A857,FIND("/",$A857)+1,20))+1,20))),"")))</f>
        <v/>
      </c>
      <c r="E857">
        <f>IF($A857="","",IF(OR($B857="",$C857="",$D857="",$B857&lt;1300,$B857&gt;1500,$C857&lt;1,$C857&gt;12,$D857&lt;1,$D857&gt;31),"نامعتبر",RIGHT("0000"&amp;$B857,4)&amp;"/"&amp;RIGHT("00"&amp;$C857,2)&amp;"/"&amp;RIGHT("00"&amp;$D857,2)))</f>
        <v/>
      </c>
      <c r="F857">
        <f>IF(OR($E857="",$E857="نامعتبر"),"",LEFT($E857,4)&amp;"/"&amp;MID($E857,6,2))</f>
        <v/>
      </c>
      <c r="G857">
        <f>IF(OR($E857="",$E857="نامعتبر",Sync!$X853=""),"",IF(AND(LEFT(UPPER(TRIM(Sync!$X853)),2)="SL",IFERROR(VLOOKUP(Sync!$W853,OpTbl,3,0),"")="فروش"),UPPER(TRIM(Sync!$X853)),""))</f>
        <v/>
      </c>
      <c r="H857">
        <f>IF($G857="","",IF(Sync!$W853="","",Sync!$W853))</f>
        <v/>
      </c>
      <c r="I857">
        <f>IF(OR($G857="",Sync!$Y853=""),"",Sync!$Y853)</f>
        <v/>
      </c>
      <c r="J857">
        <f>IF(OR($G857="",Sync!$Z853=""),"",Sync!$Z853)</f>
        <v/>
      </c>
      <c r="K857">
        <f>IF($G857="",0,IF(Sync!$AA853="",0,Sync!$AA853))</f>
        <v/>
      </c>
      <c r="L857">
        <f>IF($G857="",0,IF(Sync!$AB853="",0,Sync!$AB853))</f>
        <v/>
      </c>
      <c r="M857">
        <f>IF($G857="","",IF($H857="مرجوعی فروش",-1,1)*($K857-$L857*IFERROR(VLOOKUP("P01",ParamTbl,3,0),1.5)))</f>
        <v/>
      </c>
      <c r="N857">
        <f>IF($G857="",0,IF($H857="مرجوعی فروش",-1,1)*IF(Sync!$AC853="",0,Sync!$AC853))</f>
        <v/>
      </c>
      <c r="O857">
        <f>IF(OR($G857="",Sync!$V853=""),"",Sync!$V853)</f>
        <v/>
      </c>
      <c r="P857">
        <f>IF(OR($G857="",Sync!$AD853=""),"",Sync!$AD853)</f>
        <v/>
      </c>
      <c r="Q857">
        <f>IF($G857="","",IF(Sync!$U853="","0000",IF(AND(ISNUMBER(Sync!$U853),Sync!$U853&gt;=0,Sync!$U853&lt;1),RIGHT("00"&amp;HOUR(Sync!$U853),2)&amp;RIGHT("00"&amp;MINUTE(Sync!$U853),2),IFERROR(RIGHT("00"&amp;VALUE(LEFT(Sync!$U853,FIND(":",Sync!$U853)-1)),2)&amp;RIGHT("00"&amp;VALUE(MID(Sync!$U853,FIND(":",Sync!$U853)+1,2)),2),"0000"))))</f>
        <v/>
      </c>
    </row>
    <row r="858">
      <c r="A858">
        <f>IF(Sync!$T854="","",Sync!$T854)</f>
        <v/>
      </c>
      <c r="B858">
        <f>IF($A858="","",IF(ISNUMBER($A858),IF(AND($A858&gt;=10000101,$A858&lt;=99991231),INT($A858/10000),""),IFERROR(VALUE(TRIM(LEFT($A858,FIND("/",$A858)-1))),"")))</f>
        <v/>
      </c>
      <c r="C858">
        <f>IF(OR($A858="",$B858=""),"",IF(ISNUMBER($A858),INT(MOD($A858,10000)/100),IFERROR(VALUE(TRIM(LEFT(MID($A858,FIND("/",$A858)+1,20),FIND("/",MID($A858,FIND("/",$A858)+1,20))-1))),"")))</f>
        <v/>
      </c>
      <c r="D858">
        <f>IF(OR($A858="",$B858=""),"",IF(ISNUMBER($A858),MOD($A858,100),IFERROR(VALUE(TRIM(MID(MID($A858,FIND("/",$A858)+1,20),FIND("/",MID($A858,FIND("/",$A858)+1,20))+1,20))),"")))</f>
        <v/>
      </c>
      <c r="E858">
        <f>IF($A858="","",IF(OR($B858="",$C858="",$D858="",$B858&lt;1300,$B858&gt;1500,$C858&lt;1,$C858&gt;12,$D858&lt;1,$D858&gt;31),"نامعتبر",RIGHT("0000"&amp;$B858,4)&amp;"/"&amp;RIGHT("00"&amp;$C858,2)&amp;"/"&amp;RIGHT("00"&amp;$D858,2)))</f>
        <v/>
      </c>
      <c r="F858">
        <f>IF(OR($E858="",$E858="نامعتبر"),"",LEFT($E858,4)&amp;"/"&amp;MID($E858,6,2))</f>
        <v/>
      </c>
      <c r="G858">
        <f>IF(OR($E858="",$E858="نامعتبر",Sync!$X854=""),"",IF(AND(LEFT(UPPER(TRIM(Sync!$X854)),2)="SL",IFERROR(VLOOKUP(Sync!$W854,OpTbl,3,0),"")="فروش"),UPPER(TRIM(Sync!$X854)),""))</f>
        <v/>
      </c>
      <c r="H858">
        <f>IF($G858="","",IF(Sync!$W854="","",Sync!$W854))</f>
        <v/>
      </c>
      <c r="I858">
        <f>IF(OR($G858="",Sync!$Y854=""),"",Sync!$Y854)</f>
        <v/>
      </c>
      <c r="J858">
        <f>IF(OR($G858="",Sync!$Z854=""),"",Sync!$Z854)</f>
        <v/>
      </c>
      <c r="K858">
        <f>IF($G858="",0,IF(Sync!$AA854="",0,Sync!$AA854))</f>
        <v/>
      </c>
      <c r="L858">
        <f>IF($G858="",0,IF(Sync!$AB854="",0,Sync!$AB854))</f>
        <v/>
      </c>
      <c r="M858">
        <f>IF($G858="","",IF($H858="مرجوعی فروش",-1,1)*($K858-$L858*IFERROR(VLOOKUP("P01",ParamTbl,3,0),1.5)))</f>
        <v/>
      </c>
      <c r="N858">
        <f>IF($G858="",0,IF($H858="مرجوعی فروش",-1,1)*IF(Sync!$AC854="",0,Sync!$AC854))</f>
        <v/>
      </c>
      <c r="O858">
        <f>IF(OR($G858="",Sync!$V854=""),"",Sync!$V854)</f>
        <v/>
      </c>
      <c r="P858">
        <f>IF(OR($G858="",Sync!$AD854=""),"",Sync!$AD854)</f>
        <v/>
      </c>
      <c r="Q858">
        <f>IF($G858="","",IF(Sync!$U854="","0000",IF(AND(ISNUMBER(Sync!$U854),Sync!$U854&gt;=0,Sync!$U854&lt;1),RIGHT("00"&amp;HOUR(Sync!$U854),2)&amp;RIGHT("00"&amp;MINUTE(Sync!$U854),2),IFERROR(RIGHT("00"&amp;VALUE(LEFT(Sync!$U854,FIND(":",Sync!$U854)-1)),2)&amp;RIGHT("00"&amp;VALUE(MID(Sync!$U854,FIND(":",Sync!$U854)+1,2)),2),"0000"))))</f>
        <v/>
      </c>
    </row>
    <row r="859">
      <c r="A859">
        <f>IF(Sync!$T855="","",Sync!$T855)</f>
        <v/>
      </c>
      <c r="B859">
        <f>IF($A859="","",IF(ISNUMBER($A859),IF(AND($A859&gt;=10000101,$A859&lt;=99991231),INT($A859/10000),""),IFERROR(VALUE(TRIM(LEFT($A859,FIND("/",$A859)-1))),"")))</f>
        <v/>
      </c>
      <c r="C859">
        <f>IF(OR($A859="",$B859=""),"",IF(ISNUMBER($A859),INT(MOD($A859,10000)/100),IFERROR(VALUE(TRIM(LEFT(MID($A859,FIND("/",$A859)+1,20),FIND("/",MID($A859,FIND("/",$A859)+1,20))-1))),"")))</f>
        <v/>
      </c>
      <c r="D859">
        <f>IF(OR($A859="",$B859=""),"",IF(ISNUMBER($A859),MOD($A859,100),IFERROR(VALUE(TRIM(MID(MID($A859,FIND("/",$A859)+1,20),FIND("/",MID($A859,FIND("/",$A859)+1,20))+1,20))),"")))</f>
        <v/>
      </c>
      <c r="E859">
        <f>IF($A859="","",IF(OR($B859="",$C859="",$D859="",$B859&lt;1300,$B859&gt;1500,$C859&lt;1,$C859&gt;12,$D859&lt;1,$D859&gt;31),"نامعتبر",RIGHT("0000"&amp;$B859,4)&amp;"/"&amp;RIGHT("00"&amp;$C859,2)&amp;"/"&amp;RIGHT("00"&amp;$D859,2)))</f>
        <v/>
      </c>
      <c r="F859">
        <f>IF(OR($E859="",$E859="نامعتبر"),"",LEFT($E859,4)&amp;"/"&amp;MID($E859,6,2))</f>
        <v/>
      </c>
      <c r="G859">
        <f>IF(OR($E859="",$E859="نامعتبر",Sync!$X855=""),"",IF(AND(LEFT(UPPER(TRIM(Sync!$X855)),2)="SL",IFERROR(VLOOKUP(Sync!$W855,OpTbl,3,0),"")="فروش"),UPPER(TRIM(Sync!$X855)),""))</f>
        <v/>
      </c>
      <c r="H859">
        <f>IF($G859="","",IF(Sync!$W855="","",Sync!$W855))</f>
        <v/>
      </c>
      <c r="I859">
        <f>IF(OR($G859="",Sync!$Y855=""),"",Sync!$Y855)</f>
        <v/>
      </c>
      <c r="J859">
        <f>IF(OR($G859="",Sync!$Z855=""),"",Sync!$Z855)</f>
        <v/>
      </c>
      <c r="K859">
        <f>IF($G859="",0,IF(Sync!$AA855="",0,Sync!$AA855))</f>
        <v/>
      </c>
      <c r="L859">
        <f>IF($G859="",0,IF(Sync!$AB855="",0,Sync!$AB855))</f>
        <v/>
      </c>
      <c r="M859">
        <f>IF($G859="","",IF($H859="مرجوعی فروش",-1,1)*($K859-$L859*IFERROR(VLOOKUP("P01",ParamTbl,3,0),1.5)))</f>
        <v/>
      </c>
      <c r="N859">
        <f>IF($G859="",0,IF($H859="مرجوعی فروش",-1,1)*IF(Sync!$AC855="",0,Sync!$AC855))</f>
        <v/>
      </c>
      <c r="O859">
        <f>IF(OR($G859="",Sync!$V855=""),"",Sync!$V855)</f>
        <v/>
      </c>
      <c r="P859">
        <f>IF(OR($G859="",Sync!$AD855=""),"",Sync!$AD855)</f>
        <v/>
      </c>
      <c r="Q859">
        <f>IF($G859="","",IF(Sync!$U855="","0000",IF(AND(ISNUMBER(Sync!$U855),Sync!$U855&gt;=0,Sync!$U855&lt;1),RIGHT("00"&amp;HOUR(Sync!$U855),2)&amp;RIGHT("00"&amp;MINUTE(Sync!$U855),2),IFERROR(RIGHT("00"&amp;VALUE(LEFT(Sync!$U855,FIND(":",Sync!$U855)-1)),2)&amp;RIGHT("00"&amp;VALUE(MID(Sync!$U855,FIND(":",Sync!$U855)+1,2)),2),"0000"))))</f>
        <v/>
      </c>
    </row>
    <row r="860">
      <c r="A860">
        <f>IF(Sync!$T856="","",Sync!$T856)</f>
        <v/>
      </c>
      <c r="B860">
        <f>IF($A860="","",IF(ISNUMBER($A860),IF(AND($A860&gt;=10000101,$A860&lt;=99991231),INT($A860/10000),""),IFERROR(VALUE(TRIM(LEFT($A860,FIND("/",$A860)-1))),"")))</f>
        <v/>
      </c>
      <c r="C860">
        <f>IF(OR($A860="",$B860=""),"",IF(ISNUMBER($A860),INT(MOD($A860,10000)/100),IFERROR(VALUE(TRIM(LEFT(MID($A860,FIND("/",$A860)+1,20),FIND("/",MID($A860,FIND("/",$A860)+1,20))-1))),"")))</f>
        <v/>
      </c>
      <c r="D860">
        <f>IF(OR($A860="",$B860=""),"",IF(ISNUMBER($A860),MOD($A860,100),IFERROR(VALUE(TRIM(MID(MID($A860,FIND("/",$A860)+1,20),FIND("/",MID($A860,FIND("/",$A860)+1,20))+1,20))),"")))</f>
        <v/>
      </c>
      <c r="E860">
        <f>IF($A860="","",IF(OR($B860="",$C860="",$D860="",$B860&lt;1300,$B860&gt;1500,$C860&lt;1,$C860&gt;12,$D860&lt;1,$D860&gt;31),"نامعتبر",RIGHT("0000"&amp;$B860,4)&amp;"/"&amp;RIGHT("00"&amp;$C860,2)&amp;"/"&amp;RIGHT("00"&amp;$D860,2)))</f>
        <v/>
      </c>
      <c r="F860">
        <f>IF(OR($E860="",$E860="نامعتبر"),"",LEFT($E860,4)&amp;"/"&amp;MID($E860,6,2))</f>
        <v/>
      </c>
      <c r="G860">
        <f>IF(OR($E860="",$E860="نامعتبر",Sync!$X856=""),"",IF(AND(LEFT(UPPER(TRIM(Sync!$X856)),2)="SL",IFERROR(VLOOKUP(Sync!$W856,OpTbl,3,0),"")="فروش"),UPPER(TRIM(Sync!$X856)),""))</f>
        <v/>
      </c>
      <c r="H860">
        <f>IF($G860="","",IF(Sync!$W856="","",Sync!$W856))</f>
        <v/>
      </c>
      <c r="I860">
        <f>IF(OR($G860="",Sync!$Y856=""),"",Sync!$Y856)</f>
        <v/>
      </c>
      <c r="J860">
        <f>IF(OR($G860="",Sync!$Z856=""),"",Sync!$Z856)</f>
        <v/>
      </c>
      <c r="K860">
        <f>IF($G860="",0,IF(Sync!$AA856="",0,Sync!$AA856))</f>
        <v/>
      </c>
      <c r="L860">
        <f>IF($G860="",0,IF(Sync!$AB856="",0,Sync!$AB856))</f>
        <v/>
      </c>
      <c r="M860">
        <f>IF($G860="","",IF($H860="مرجوعی فروش",-1,1)*($K860-$L860*IFERROR(VLOOKUP("P01",ParamTbl,3,0),1.5)))</f>
        <v/>
      </c>
      <c r="N860">
        <f>IF($G860="",0,IF($H860="مرجوعی فروش",-1,1)*IF(Sync!$AC856="",0,Sync!$AC856))</f>
        <v/>
      </c>
      <c r="O860">
        <f>IF(OR($G860="",Sync!$V856=""),"",Sync!$V856)</f>
        <v/>
      </c>
      <c r="P860">
        <f>IF(OR($G860="",Sync!$AD856=""),"",Sync!$AD856)</f>
        <v/>
      </c>
      <c r="Q860">
        <f>IF($G860="","",IF(Sync!$U856="","0000",IF(AND(ISNUMBER(Sync!$U856),Sync!$U856&gt;=0,Sync!$U856&lt;1),RIGHT("00"&amp;HOUR(Sync!$U856),2)&amp;RIGHT("00"&amp;MINUTE(Sync!$U856),2),IFERROR(RIGHT("00"&amp;VALUE(LEFT(Sync!$U856,FIND(":",Sync!$U856)-1)),2)&amp;RIGHT("00"&amp;VALUE(MID(Sync!$U856,FIND(":",Sync!$U856)+1,2)),2),"0000"))))</f>
        <v/>
      </c>
    </row>
    <row r="861">
      <c r="A861">
        <f>IF(Sync!$T857="","",Sync!$T857)</f>
        <v/>
      </c>
      <c r="B861">
        <f>IF($A861="","",IF(ISNUMBER($A861),IF(AND($A861&gt;=10000101,$A861&lt;=99991231),INT($A861/10000),""),IFERROR(VALUE(TRIM(LEFT($A861,FIND("/",$A861)-1))),"")))</f>
        <v/>
      </c>
      <c r="C861">
        <f>IF(OR($A861="",$B861=""),"",IF(ISNUMBER($A861),INT(MOD($A861,10000)/100),IFERROR(VALUE(TRIM(LEFT(MID($A861,FIND("/",$A861)+1,20),FIND("/",MID($A861,FIND("/",$A861)+1,20))-1))),"")))</f>
        <v/>
      </c>
      <c r="D861">
        <f>IF(OR($A861="",$B861=""),"",IF(ISNUMBER($A861),MOD($A861,100),IFERROR(VALUE(TRIM(MID(MID($A861,FIND("/",$A861)+1,20),FIND("/",MID($A861,FIND("/",$A861)+1,20))+1,20))),"")))</f>
        <v/>
      </c>
      <c r="E861">
        <f>IF($A861="","",IF(OR($B861="",$C861="",$D861="",$B861&lt;1300,$B861&gt;1500,$C861&lt;1,$C861&gt;12,$D861&lt;1,$D861&gt;31),"نامعتبر",RIGHT("0000"&amp;$B861,4)&amp;"/"&amp;RIGHT("00"&amp;$C861,2)&amp;"/"&amp;RIGHT("00"&amp;$D861,2)))</f>
        <v/>
      </c>
      <c r="F861">
        <f>IF(OR($E861="",$E861="نامعتبر"),"",LEFT($E861,4)&amp;"/"&amp;MID($E861,6,2))</f>
        <v/>
      </c>
      <c r="G861">
        <f>IF(OR($E861="",$E861="نامعتبر",Sync!$X857=""),"",IF(AND(LEFT(UPPER(TRIM(Sync!$X857)),2)="SL",IFERROR(VLOOKUP(Sync!$W857,OpTbl,3,0),"")="فروش"),UPPER(TRIM(Sync!$X857)),""))</f>
        <v/>
      </c>
      <c r="H861">
        <f>IF($G861="","",IF(Sync!$W857="","",Sync!$W857))</f>
        <v/>
      </c>
      <c r="I861">
        <f>IF(OR($G861="",Sync!$Y857=""),"",Sync!$Y857)</f>
        <v/>
      </c>
      <c r="J861">
        <f>IF(OR($G861="",Sync!$Z857=""),"",Sync!$Z857)</f>
        <v/>
      </c>
      <c r="K861">
        <f>IF($G861="",0,IF(Sync!$AA857="",0,Sync!$AA857))</f>
        <v/>
      </c>
      <c r="L861">
        <f>IF($G861="",0,IF(Sync!$AB857="",0,Sync!$AB857))</f>
        <v/>
      </c>
      <c r="M861">
        <f>IF($G861="","",IF($H861="مرجوعی فروش",-1,1)*($K861-$L861*IFERROR(VLOOKUP("P01",ParamTbl,3,0),1.5)))</f>
        <v/>
      </c>
      <c r="N861">
        <f>IF($G861="",0,IF($H861="مرجوعی فروش",-1,1)*IF(Sync!$AC857="",0,Sync!$AC857))</f>
        <v/>
      </c>
      <c r="O861">
        <f>IF(OR($G861="",Sync!$V857=""),"",Sync!$V857)</f>
        <v/>
      </c>
      <c r="P861">
        <f>IF(OR($G861="",Sync!$AD857=""),"",Sync!$AD857)</f>
        <v/>
      </c>
      <c r="Q861">
        <f>IF($G861="","",IF(Sync!$U857="","0000",IF(AND(ISNUMBER(Sync!$U857),Sync!$U857&gt;=0,Sync!$U857&lt;1),RIGHT("00"&amp;HOUR(Sync!$U857),2)&amp;RIGHT("00"&amp;MINUTE(Sync!$U857),2),IFERROR(RIGHT("00"&amp;VALUE(LEFT(Sync!$U857,FIND(":",Sync!$U857)-1)),2)&amp;RIGHT("00"&amp;VALUE(MID(Sync!$U857,FIND(":",Sync!$U857)+1,2)),2),"0000"))))</f>
        <v/>
      </c>
    </row>
    <row r="862">
      <c r="A862">
        <f>IF(Sync!$T858="","",Sync!$T858)</f>
        <v/>
      </c>
      <c r="B862">
        <f>IF($A862="","",IF(ISNUMBER($A862),IF(AND($A862&gt;=10000101,$A862&lt;=99991231),INT($A862/10000),""),IFERROR(VALUE(TRIM(LEFT($A862,FIND("/",$A862)-1))),"")))</f>
        <v/>
      </c>
      <c r="C862">
        <f>IF(OR($A862="",$B862=""),"",IF(ISNUMBER($A862),INT(MOD($A862,10000)/100),IFERROR(VALUE(TRIM(LEFT(MID($A862,FIND("/",$A862)+1,20),FIND("/",MID($A862,FIND("/",$A862)+1,20))-1))),"")))</f>
        <v/>
      </c>
      <c r="D862">
        <f>IF(OR($A862="",$B862=""),"",IF(ISNUMBER($A862),MOD($A862,100),IFERROR(VALUE(TRIM(MID(MID($A862,FIND("/",$A862)+1,20),FIND("/",MID($A862,FIND("/",$A862)+1,20))+1,20))),"")))</f>
        <v/>
      </c>
      <c r="E862">
        <f>IF($A862="","",IF(OR($B862="",$C862="",$D862="",$B862&lt;1300,$B862&gt;1500,$C862&lt;1,$C862&gt;12,$D862&lt;1,$D862&gt;31),"نامعتبر",RIGHT("0000"&amp;$B862,4)&amp;"/"&amp;RIGHT("00"&amp;$C862,2)&amp;"/"&amp;RIGHT("00"&amp;$D862,2)))</f>
        <v/>
      </c>
      <c r="F862">
        <f>IF(OR($E862="",$E862="نامعتبر"),"",LEFT($E862,4)&amp;"/"&amp;MID($E862,6,2))</f>
        <v/>
      </c>
      <c r="G862">
        <f>IF(OR($E862="",$E862="نامعتبر",Sync!$X858=""),"",IF(AND(LEFT(UPPER(TRIM(Sync!$X858)),2)="SL",IFERROR(VLOOKUP(Sync!$W858,OpTbl,3,0),"")="فروش"),UPPER(TRIM(Sync!$X858)),""))</f>
        <v/>
      </c>
      <c r="H862">
        <f>IF($G862="","",IF(Sync!$W858="","",Sync!$W858))</f>
        <v/>
      </c>
      <c r="I862">
        <f>IF(OR($G862="",Sync!$Y858=""),"",Sync!$Y858)</f>
        <v/>
      </c>
      <c r="J862">
        <f>IF(OR($G862="",Sync!$Z858=""),"",Sync!$Z858)</f>
        <v/>
      </c>
      <c r="K862">
        <f>IF($G862="",0,IF(Sync!$AA858="",0,Sync!$AA858))</f>
        <v/>
      </c>
      <c r="L862">
        <f>IF($G862="",0,IF(Sync!$AB858="",0,Sync!$AB858))</f>
        <v/>
      </c>
      <c r="M862">
        <f>IF($G862="","",IF($H862="مرجوعی فروش",-1,1)*($K862-$L862*IFERROR(VLOOKUP("P01",ParamTbl,3,0),1.5)))</f>
        <v/>
      </c>
      <c r="N862">
        <f>IF($G862="",0,IF($H862="مرجوعی فروش",-1,1)*IF(Sync!$AC858="",0,Sync!$AC858))</f>
        <v/>
      </c>
      <c r="O862">
        <f>IF(OR($G862="",Sync!$V858=""),"",Sync!$V858)</f>
        <v/>
      </c>
      <c r="P862">
        <f>IF(OR($G862="",Sync!$AD858=""),"",Sync!$AD858)</f>
        <v/>
      </c>
      <c r="Q862">
        <f>IF($G862="","",IF(Sync!$U858="","0000",IF(AND(ISNUMBER(Sync!$U858),Sync!$U858&gt;=0,Sync!$U858&lt;1),RIGHT("00"&amp;HOUR(Sync!$U858),2)&amp;RIGHT("00"&amp;MINUTE(Sync!$U858),2),IFERROR(RIGHT("00"&amp;VALUE(LEFT(Sync!$U858,FIND(":",Sync!$U858)-1)),2)&amp;RIGHT("00"&amp;VALUE(MID(Sync!$U858,FIND(":",Sync!$U858)+1,2)),2),"0000"))))</f>
        <v/>
      </c>
    </row>
    <row r="863">
      <c r="A863">
        <f>IF(Sync!$T859="","",Sync!$T859)</f>
        <v/>
      </c>
      <c r="B863">
        <f>IF($A863="","",IF(ISNUMBER($A863),IF(AND($A863&gt;=10000101,$A863&lt;=99991231),INT($A863/10000),""),IFERROR(VALUE(TRIM(LEFT($A863,FIND("/",$A863)-1))),"")))</f>
        <v/>
      </c>
      <c r="C863">
        <f>IF(OR($A863="",$B863=""),"",IF(ISNUMBER($A863),INT(MOD($A863,10000)/100),IFERROR(VALUE(TRIM(LEFT(MID($A863,FIND("/",$A863)+1,20),FIND("/",MID($A863,FIND("/",$A863)+1,20))-1))),"")))</f>
        <v/>
      </c>
      <c r="D863">
        <f>IF(OR($A863="",$B863=""),"",IF(ISNUMBER($A863),MOD($A863,100),IFERROR(VALUE(TRIM(MID(MID($A863,FIND("/",$A863)+1,20),FIND("/",MID($A863,FIND("/",$A863)+1,20))+1,20))),"")))</f>
        <v/>
      </c>
      <c r="E863">
        <f>IF($A863="","",IF(OR($B863="",$C863="",$D863="",$B863&lt;1300,$B863&gt;1500,$C863&lt;1,$C863&gt;12,$D863&lt;1,$D863&gt;31),"نامعتبر",RIGHT("0000"&amp;$B863,4)&amp;"/"&amp;RIGHT("00"&amp;$C863,2)&amp;"/"&amp;RIGHT("00"&amp;$D863,2)))</f>
        <v/>
      </c>
      <c r="F863">
        <f>IF(OR($E863="",$E863="نامعتبر"),"",LEFT($E863,4)&amp;"/"&amp;MID($E863,6,2))</f>
        <v/>
      </c>
      <c r="G863">
        <f>IF(OR($E863="",$E863="نامعتبر",Sync!$X859=""),"",IF(AND(LEFT(UPPER(TRIM(Sync!$X859)),2)="SL",IFERROR(VLOOKUP(Sync!$W859,OpTbl,3,0),"")="فروش"),UPPER(TRIM(Sync!$X859)),""))</f>
        <v/>
      </c>
      <c r="H863">
        <f>IF($G863="","",IF(Sync!$W859="","",Sync!$W859))</f>
        <v/>
      </c>
      <c r="I863">
        <f>IF(OR($G863="",Sync!$Y859=""),"",Sync!$Y859)</f>
        <v/>
      </c>
      <c r="J863">
        <f>IF(OR($G863="",Sync!$Z859=""),"",Sync!$Z859)</f>
        <v/>
      </c>
      <c r="K863">
        <f>IF($G863="",0,IF(Sync!$AA859="",0,Sync!$AA859))</f>
        <v/>
      </c>
      <c r="L863">
        <f>IF($G863="",0,IF(Sync!$AB859="",0,Sync!$AB859))</f>
        <v/>
      </c>
      <c r="M863">
        <f>IF($G863="","",IF($H863="مرجوعی فروش",-1,1)*($K863-$L863*IFERROR(VLOOKUP("P01",ParamTbl,3,0),1.5)))</f>
        <v/>
      </c>
      <c r="N863">
        <f>IF($G863="",0,IF($H863="مرجوعی فروش",-1,1)*IF(Sync!$AC859="",0,Sync!$AC859))</f>
        <v/>
      </c>
      <c r="O863">
        <f>IF(OR($G863="",Sync!$V859=""),"",Sync!$V859)</f>
        <v/>
      </c>
      <c r="P863">
        <f>IF(OR($G863="",Sync!$AD859=""),"",Sync!$AD859)</f>
        <v/>
      </c>
      <c r="Q863">
        <f>IF($G863="","",IF(Sync!$U859="","0000",IF(AND(ISNUMBER(Sync!$U859),Sync!$U859&gt;=0,Sync!$U859&lt;1),RIGHT("00"&amp;HOUR(Sync!$U859),2)&amp;RIGHT("00"&amp;MINUTE(Sync!$U859),2),IFERROR(RIGHT("00"&amp;VALUE(LEFT(Sync!$U859,FIND(":",Sync!$U859)-1)),2)&amp;RIGHT("00"&amp;VALUE(MID(Sync!$U859,FIND(":",Sync!$U859)+1,2)),2),"0000"))))</f>
        <v/>
      </c>
    </row>
    <row r="864">
      <c r="A864">
        <f>IF(Sync!$T860="","",Sync!$T860)</f>
        <v/>
      </c>
      <c r="B864">
        <f>IF($A864="","",IF(ISNUMBER($A864),IF(AND($A864&gt;=10000101,$A864&lt;=99991231),INT($A864/10000),""),IFERROR(VALUE(TRIM(LEFT($A864,FIND("/",$A864)-1))),"")))</f>
        <v/>
      </c>
      <c r="C864">
        <f>IF(OR($A864="",$B864=""),"",IF(ISNUMBER($A864),INT(MOD($A864,10000)/100),IFERROR(VALUE(TRIM(LEFT(MID($A864,FIND("/",$A864)+1,20),FIND("/",MID($A864,FIND("/",$A864)+1,20))-1))),"")))</f>
        <v/>
      </c>
      <c r="D864">
        <f>IF(OR($A864="",$B864=""),"",IF(ISNUMBER($A864),MOD($A864,100),IFERROR(VALUE(TRIM(MID(MID($A864,FIND("/",$A864)+1,20),FIND("/",MID($A864,FIND("/",$A864)+1,20))+1,20))),"")))</f>
        <v/>
      </c>
      <c r="E864">
        <f>IF($A864="","",IF(OR($B864="",$C864="",$D864="",$B864&lt;1300,$B864&gt;1500,$C864&lt;1,$C864&gt;12,$D864&lt;1,$D864&gt;31),"نامعتبر",RIGHT("0000"&amp;$B864,4)&amp;"/"&amp;RIGHT("00"&amp;$C864,2)&amp;"/"&amp;RIGHT("00"&amp;$D864,2)))</f>
        <v/>
      </c>
      <c r="F864">
        <f>IF(OR($E864="",$E864="نامعتبر"),"",LEFT($E864,4)&amp;"/"&amp;MID($E864,6,2))</f>
        <v/>
      </c>
      <c r="G864">
        <f>IF(OR($E864="",$E864="نامعتبر",Sync!$X860=""),"",IF(AND(LEFT(UPPER(TRIM(Sync!$X860)),2)="SL",IFERROR(VLOOKUP(Sync!$W860,OpTbl,3,0),"")="فروش"),UPPER(TRIM(Sync!$X860)),""))</f>
        <v/>
      </c>
      <c r="H864">
        <f>IF($G864="","",IF(Sync!$W860="","",Sync!$W860))</f>
        <v/>
      </c>
      <c r="I864">
        <f>IF(OR($G864="",Sync!$Y860=""),"",Sync!$Y860)</f>
        <v/>
      </c>
      <c r="J864">
        <f>IF(OR($G864="",Sync!$Z860=""),"",Sync!$Z860)</f>
        <v/>
      </c>
      <c r="K864">
        <f>IF($G864="",0,IF(Sync!$AA860="",0,Sync!$AA860))</f>
        <v/>
      </c>
      <c r="L864">
        <f>IF($G864="",0,IF(Sync!$AB860="",0,Sync!$AB860))</f>
        <v/>
      </c>
      <c r="M864">
        <f>IF($G864="","",IF($H864="مرجوعی فروش",-1,1)*($K864-$L864*IFERROR(VLOOKUP("P01",ParamTbl,3,0),1.5)))</f>
        <v/>
      </c>
      <c r="N864">
        <f>IF($G864="",0,IF($H864="مرجوعی فروش",-1,1)*IF(Sync!$AC860="",0,Sync!$AC860))</f>
        <v/>
      </c>
      <c r="O864">
        <f>IF(OR($G864="",Sync!$V860=""),"",Sync!$V860)</f>
        <v/>
      </c>
      <c r="P864">
        <f>IF(OR($G864="",Sync!$AD860=""),"",Sync!$AD860)</f>
        <v/>
      </c>
      <c r="Q864">
        <f>IF($G864="","",IF(Sync!$U860="","0000",IF(AND(ISNUMBER(Sync!$U860),Sync!$U860&gt;=0,Sync!$U860&lt;1),RIGHT("00"&amp;HOUR(Sync!$U860),2)&amp;RIGHT("00"&amp;MINUTE(Sync!$U860),2),IFERROR(RIGHT("00"&amp;VALUE(LEFT(Sync!$U860,FIND(":",Sync!$U860)-1)),2)&amp;RIGHT("00"&amp;VALUE(MID(Sync!$U860,FIND(":",Sync!$U860)+1,2)),2),"0000"))))</f>
        <v/>
      </c>
    </row>
    <row r="865">
      <c r="A865">
        <f>IF(Sync!$T861="","",Sync!$T861)</f>
        <v/>
      </c>
      <c r="B865">
        <f>IF($A865="","",IF(ISNUMBER($A865),IF(AND($A865&gt;=10000101,$A865&lt;=99991231),INT($A865/10000),""),IFERROR(VALUE(TRIM(LEFT($A865,FIND("/",$A865)-1))),"")))</f>
        <v/>
      </c>
      <c r="C865">
        <f>IF(OR($A865="",$B865=""),"",IF(ISNUMBER($A865),INT(MOD($A865,10000)/100),IFERROR(VALUE(TRIM(LEFT(MID($A865,FIND("/",$A865)+1,20),FIND("/",MID($A865,FIND("/",$A865)+1,20))-1))),"")))</f>
        <v/>
      </c>
      <c r="D865">
        <f>IF(OR($A865="",$B865=""),"",IF(ISNUMBER($A865),MOD($A865,100),IFERROR(VALUE(TRIM(MID(MID($A865,FIND("/",$A865)+1,20),FIND("/",MID($A865,FIND("/",$A865)+1,20))+1,20))),"")))</f>
        <v/>
      </c>
      <c r="E865">
        <f>IF($A865="","",IF(OR($B865="",$C865="",$D865="",$B865&lt;1300,$B865&gt;1500,$C865&lt;1,$C865&gt;12,$D865&lt;1,$D865&gt;31),"نامعتبر",RIGHT("0000"&amp;$B865,4)&amp;"/"&amp;RIGHT("00"&amp;$C865,2)&amp;"/"&amp;RIGHT("00"&amp;$D865,2)))</f>
        <v/>
      </c>
      <c r="F865">
        <f>IF(OR($E865="",$E865="نامعتبر"),"",LEFT($E865,4)&amp;"/"&amp;MID($E865,6,2))</f>
        <v/>
      </c>
      <c r="G865">
        <f>IF(OR($E865="",$E865="نامعتبر",Sync!$X861=""),"",IF(AND(LEFT(UPPER(TRIM(Sync!$X861)),2)="SL",IFERROR(VLOOKUP(Sync!$W861,OpTbl,3,0),"")="فروش"),UPPER(TRIM(Sync!$X861)),""))</f>
        <v/>
      </c>
      <c r="H865">
        <f>IF($G865="","",IF(Sync!$W861="","",Sync!$W861))</f>
        <v/>
      </c>
      <c r="I865">
        <f>IF(OR($G865="",Sync!$Y861=""),"",Sync!$Y861)</f>
        <v/>
      </c>
      <c r="J865">
        <f>IF(OR($G865="",Sync!$Z861=""),"",Sync!$Z861)</f>
        <v/>
      </c>
      <c r="K865">
        <f>IF($G865="",0,IF(Sync!$AA861="",0,Sync!$AA861))</f>
        <v/>
      </c>
      <c r="L865">
        <f>IF($G865="",0,IF(Sync!$AB861="",0,Sync!$AB861))</f>
        <v/>
      </c>
      <c r="M865">
        <f>IF($G865="","",IF($H865="مرجوعی فروش",-1,1)*($K865-$L865*IFERROR(VLOOKUP("P01",ParamTbl,3,0),1.5)))</f>
        <v/>
      </c>
      <c r="N865">
        <f>IF($G865="",0,IF($H865="مرجوعی فروش",-1,1)*IF(Sync!$AC861="",0,Sync!$AC861))</f>
        <v/>
      </c>
      <c r="O865">
        <f>IF(OR($G865="",Sync!$V861=""),"",Sync!$V861)</f>
        <v/>
      </c>
      <c r="P865">
        <f>IF(OR($G865="",Sync!$AD861=""),"",Sync!$AD861)</f>
        <v/>
      </c>
      <c r="Q865">
        <f>IF($G865="","",IF(Sync!$U861="","0000",IF(AND(ISNUMBER(Sync!$U861),Sync!$U861&gt;=0,Sync!$U861&lt;1),RIGHT("00"&amp;HOUR(Sync!$U861),2)&amp;RIGHT("00"&amp;MINUTE(Sync!$U861),2),IFERROR(RIGHT("00"&amp;VALUE(LEFT(Sync!$U861,FIND(":",Sync!$U861)-1)),2)&amp;RIGHT("00"&amp;VALUE(MID(Sync!$U861,FIND(":",Sync!$U861)+1,2)),2),"0000"))))</f>
        <v/>
      </c>
    </row>
    <row r="866">
      <c r="A866">
        <f>IF(Sync!$T862="","",Sync!$T862)</f>
        <v/>
      </c>
      <c r="B866">
        <f>IF($A866="","",IF(ISNUMBER($A866),IF(AND($A866&gt;=10000101,$A866&lt;=99991231),INT($A866/10000),""),IFERROR(VALUE(TRIM(LEFT($A866,FIND("/",$A866)-1))),"")))</f>
        <v/>
      </c>
      <c r="C866">
        <f>IF(OR($A866="",$B866=""),"",IF(ISNUMBER($A866),INT(MOD($A866,10000)/100),IFERROR(VALUE(TRIM(LEFT(MID($A866,FIND("/",$A866)+1,20),FIND("/",MID($A866,FIND("/",$A866)+1,20))-1))),"")))</f>
        <v/>
      </c>
      <c r="D866">
        <f>IF(OR($A866="",$B866=""),"",IF(ISNUMBER($A866),MOD($A866,100),IFERROR(VALUE(TRIM(MID(MID($A866,FIND("/",$A866)+1,20),FIND("/",MID($A866,FIND("/",$A866)+1,20))+1,20))),"")))</f>
        <v/>
      </c>
      <c r="E866">
        <f>IF($A866="","",IF(OR($B866="",$C866="",$D866="",$B866&lt;1300,$B866&gt;1500,$C866&lt;1,$C866&gt;12,$D866&lt;1,$D866&gt;31),"نامعتبر",RIGHT("0000"&amp;$B866,4)&amp;"/"&amp;RIGHT("00"&amp;$C866,2)&amp;"/"&amp;RIGHT("00"&amp;$D866,2)))</f>
        <v/>
      </c>
      <c r="F866">
        <f>IF(OR($E866="",$E866="نامعتبر"),"",LEFT($E866,4)&amp;"/"&amp;MID($E866,6,2))</f>
        <v/>
      </c>
      <c r="G866">
        <f>IF(OR($E866="",$E866="نامعتبر",Sync!$X862=""),"",IF(AND(LEFT(UPPER(TRIM(Sync!$X862)),2)="SL",IFERROR(VLOOKUP(Sync!$W862,OpTbl,3,0),"")="فروش"),UPPER(TRIM(Sync!$X862)),""))</f>
        <v/>
      </c>
      <c r="H866">
        <f>IF($G866="","",IF(Sync!$W862="","",Sync!$W862))</f>
        <v/>
      </c>
      <c r="I866">
        <f>IF(OR($G866="",Sync!$Y862=""),"",Sync!$Y862)</f>
        <v/>
      </c>
      <c r="J866">
        <f>IF(OR($G866="",Sync!$Z862=""),"",Sync!$Z862)</f>
        <v/>
      </c>
      <c r="K866">
        <f>IF($G866="",0,IF(Sync!$AA862="",0,Sync!$AA862))</f>
        <v/>
      </c>
      <c r="L866">
        <f>IF($G866="",0,IF(Sync!$AB862="",0,Sync!$AB862))</f>
        <v/>
      </c>
      <c r="M866">
        <f>IF($G866="","",IF($H866="مرجوعی فروش",-1,1)*($K866-$L866*IFERROR(VLOOKUP("P01",ParamTbl,3,0),1.5)))</f>
        <v/>
      </c>
      <c r="N866">
        <f>IF($G866="",0,IF($H866="مرجوعی فروش",-1,1)*IF(Sync!$AC862="",0,Sync!$AC862))</f>
        <v/>
      </c>
      <c r="O866">
        <f>IF(OR($G866="",Sync!$V862=""),"",Sync!$V862)</f>
        <v/>
      </c>
      <c r="P866">
        <f>IF(OR($G866="",Sync!$AD862=""),"",Sync!$AD862)</f>
        <v/>
      </c>
      <c r="Q866">
        <f>IF($G866="","",IF(Sync!$U862="","0000",IF(AND(ISNUMBER(Sync!$U862),Sync!$U862&gt;=0,Sync!$U862&lt;1),RIGHT("00"&amp;HOUR(Sync!$U862),2)&amp;RIGHT("00"&amp;MINUTE(Sync!$U862),2),IFERROR(RIGHT("00"&amp;VALUE(LEFT(Sync!$U862,FIND(":",Sync!$U862)-1)),2)&amp;RIGHT("00"&amp;VALUE(MID(Sync!$U862,FIND(":",Sync!$U862)+1,2)),2),"0000"))))</f>
        <v/>
      </c>
    </row>
    <row r="867">
      <c r="A867">
        <f>IF(Sync!$T863="","",Sync!$T863)</f>
        <v/>
      </c>
      <c r="B867">
        <f>IF($A867="","",IF(ISNUMBER($A867),IF(AND($A867&gt;=10000101,$A867&lt;=99991231),INT($A867/10000),""),IFERROR(VALUE(TRIM(LEFT($A867,FIND("/",$A867)-1))),"")))</f>
        <v/>
      </c>
      <c r="C867">
        <f>IF(OR($A867="",$B867=""),"",IF(ISNUMBER($A867),INT(MOD($A867,10000)/100),IFERROR(VALUE(TRIM(LEFT(MID($A867,FIND("/",$A867)+1,20),FIND("/",MID($A867,FIND("/",$A867)+1,20))-1))),"")))</f>
        <v/>
      </c>
      <c r="D867">
        <f>IF(OR($A867="",$B867=""),"",IF(ISNUMBER($A867),MOD($A867,100),IFERROR(VALUE(TRIM(MID(MID($A867,FIND("/",$A867)+1,20),FIND("/",MID($A867,FIND("/",$A867)+1,20))+1,20))),"")))</f>
        <v/>
      </c>
      <c r="E867">
        <f>IF($A867="","",IF(OR($B867="",$C867="",$D867="",$B867&lt;1300,$B867&gt;1500,$C867&lt;1,$C867&gt;12,$D867&lt;1,$D867&gt;31),"نامعتبر",RIGHT("0000"&amp;$B867,4)&amp;"/"&amp;RIGHT("00"&amp;$C867,2)&amp;"/"&amp;RIGHT("00"&amp;$D867,2)))</f>
        <v/>
      </c>
      <c r="F867">
        <f>IF(OR($E867="",$E867="نامعتبر"),"",LEFT($E867,4)&amp;"/"&amp;MID($E867,6,2))</f>
        <v/>
      </c>
      <c r="G867">
        <f>IF(OR($E867="",$E867="نامعتبر",Sync!$X863=""),"",IF(AND(LEFT(UPPER(TRIM(Sync!$X863)),2)="SL",IFERROR(VLOOKUP(Sync!$W863,OpTbl,3,0),"")="فروش"),UPPER(TRIM(Sync!$X863)),""))</f>
        <v/>
      </c>
      <c r="H867">
        <f>IF($G867="","",IF(Sync!$W863="","",Sync!$W863))</f>
        <v/>
      </c>
      <c r="I867">
        <f>IF(OR($G867="",Sync!$Y863=""),"",Sync!$Y863)</f>
        <v/>
      </c>
      <c r="J867">
        <f>IF(OR($G867="",Sync!$Z863=""),"",Sync!$Z863)</f>
        <v/>
      </c>
      <c r="K867">
        <f>IF($G867="",0,IF(Sync!$AA863="",0,Sync!$AA863))</f>
        <v/>
      </c>
      <c r="L867">
        <f>IF($G867="",0,IF(Sync!$AB863="",0,Sync!$AB863))</f>
        <v/>
      </c>
      <c r="M867">
        <f>IF($G867="","",IF($H867="مرجوعی فروش",-1,1)*($K867-$L867*IFERROR(VLOOKUP("P01",ParamTbl,3,0),1.5)))</f>
        <v/>
      </c>
      <c r="N867">
        <f>IF($G867="",0,IF($H867="مرجوعی فروش",-1,1)*IF(Sync!$AC863="",0,Sync!$AC863))</f>
        <v/>
      </c>
      <c r="O867">
        <f>IF(OR($G867="",Sync!$V863=""),"",Sync!$V863)</f>
        <v/>
      </c>
      <c r="P867">
        <f>IF(OR($G867="",Sync!$AD863=""),"",Sync!$AD863)</f>
        <v/>
      </c>
      <c r="Q867">
        <f>IF($G867="","",IF(Sync!$U863="","0000",IF(AND(ISNUMBER(Sync!$U863),Sync!$U863&gt;=0,Sync!$U863&lt;1),RIGHT("00"&amp;HOUR(Sync!$U863),2)&amp;RIGHT("00"&amp;MINUTE(Sync!$U863),2),IFERROR(RIGHT("00"&amp;VALUE(LEFT(Sync!$U863,FIND(":",Sync!$U863)-1)),2)&amp;RIGHT("00"&amp;VALUE(MID(Sync!$U863,FIND(":",Sync!$U863)+1,2)),2),"0000"))))</f>
        <v/>
      </c>
    </row>
    <row r="868">
      <c r="A868">
        <f>IF(Sync!$T864="","",Sync!$T864)</f>
        <v/>
      </c>
      <c r="B868">
        <f>IF($A868="","",IF(ISNUMBER($A868),IF(AND($A868&gt;=10000101,$A868&lt;=99991231),INT($A868/10000),""),IFERROR(VALUE(TRIM(LEFT($A868,FIND("/",$A868)-1))),"")))</f>
        <v/>
      </c>
      <c r="C868">
        <f>IF(OR($A868="",$B868=""),"",IF(ISNUMBER($A868),INT(MOD($A868,10000)/100),IFERROR(VALUE(TRIM(LEFT(MID($A868,FIND("/",$A868)+1,20),FIND("/",MID($A868,FIND("/",$A868)+1,20))-1))),"")))</f>
        <v/>
      </c>
      <c r="D868">
        <f>IF(OR($A868="",$B868=""),"",IF(ISNUMBER($A868),MOD($A868,100),IFERROR(VALUE(TRIM(MID(MID($A868,FIND("/",$A868)+1,20),FIND("/",MID($A868,FIND("/",$A868)+1,20))+1,20))),"")))</f>
        <v/>
      </c>
      <c r="E868">
        <f>IF($A868="","",IF(OR($B868="",$C868="",$D868="",$B868&lt;1300,$B868&gt;1500,$C868&lt;1,$C868&gt;12,$D868&lt;1,$D868&gt;31),"نامعتبر",RIGHT("0000"&amp;$B868,4)&amp;"/"&amp;RIGHT("00"&amp;$C868,2)&amp;"/"&amp;RIGHT("00"&amp;$D868,2)))</f>
        <v/>
      </c>
      <c r="F868">
        <f>IF(OR($E868="",$E868="نامعتبر"),"",LEFT($E868,4)&amp;"/"&amp;MID($E868,6,2))</f>
        <v/>
      </c>
      <c r="G868">
        <f>IF(OR($E868="",$E868="نامعتبر",Sync!$X864=""),"",IF(AND(LEFT(UPPER(TRIM(Sync!$X864)),2)="SL",IFERROR(VLOOKUP(Sync!$W864,OpTbl,3,0),"")="فروش"),UPPER(TRIM(Sync!$X864)),""))</f>
        <v/>
      </c>
      <c r="H868">
        <f>IF($G868="","",IF(Sync!$W864="","",Sync!$W864))</f>
        <v/>
      </c>
      <c r="I868">
        <f>IF(OR($G868="",Sync!$Y864=""),"",Sync!$Y864)</f>
        <v/>
      </c>
      <c r="J868">
        <f>IF(OR($G868="",Sync!$Z864=""),"",Sync!$Z864)</f>
        <v/>
      </c>
      <c r="K868">
        <f>IF($G868="",0,IF(Sync!$AA864="",0,Sync!$AA864))</f>
        <v/>
      </c>
      <c r="L868">
        <f>IF($G868="",0,IF(Sync!$AB864="",0,Sync!$AB864))</f>
        <v/>
      </c>
      <c r="M868">
        <f>IF($G868="","",IF($H868="مرجوعی فروش",-1,1)*($K868-$L868*IFERROR(VLOOKUP("P01",ParamTbl,3,0),1.5)))</f>
        <v/>
      </c>
      <c r="N868">
        <f>IF($G868="",0,IF($H868="مرجوعی فروش",-1,1)*IF(Sync!$AC864="",0,Sync!$AC864))</f>
        <v/>
      </c>
      <c r="O868">
        <f>IF(OR($G868="",Sync!$V864=""),"",Sync!$V864)</f>
        <v/>
      </c>
      <c r="P868">
        <f>IF(OR($G868="",Sync!$AD864=""),"",Sync!$AD864)</f>
        <v/>
      </c>
      <c r="Q868">
        <f>IF($G868="","",IF(Sync!$U864="","0000",IF(AND(ISNUMBER(Sync!$U864),Sync!$U864&gt;=0,Sync!$U864&lt;1),RIGHT("00"&amp;HOUR(Sync!$U864),2)&amp;RIGHT("00"&amp;MINUTE(Sync!$U864),2),IFERROR(RIGHT("00"&amp;VALUE(LEFT(Sync!$U864,FIND(":",Sync!$U864)-1)),2)&amp;RIGHT("00"&amp;VALUE(MID(Sync!$U864,FIND(":",Sync!$U864)+1,2)),2),"0000"))))</f>
        <v/>
      </c>
    </row>
    <row r="869">
      <c r="A869">
        <f>IF(Sync!$T865="","",Sync!$T865)</f>
        <v/>
      </c>
      <c r="B869">
        <f>IF($A869="","",IF(ISNUMBER($A869),IF(AND($A869&gt;=10000101,$A869&lt;=99991231),INT($A869/10000),""),IFERROR(VALUE(TRIM(LEFT($A869,FIND("/",$A869)-1))),"")))</f>
        <v/>
      </c>
      <c r="C869">
        <f>IF(OR($A869="",$B869=""),"",IF(ISNUMBER($A869),INT(MOD($A869,10000)/100),IFERROR(VALUE(TRIM(LEFT(MID($A869,FIND("/",$A869)+1,20),FIND("/",MID($A869,FIND("/",$A869)+1,20))-1))),"")))</f>
        <v/>
      </c>
      <c r="D869">
        <f>IF(OR($A869="",$B869=""),"",IF(ISNUMBER($A869),MOD($A869,100),IFERROR(VALUE(TRIM(MID(MID($A869,FIND("/",$A869)+1,20),FIND("/",MID($A869,FIND("/",$A869)+1,20))+1,20))),"")))</f>
        <v/>
      </c>
      <c r="E869">
        <f>IF($A869="","",IF(OR($B869="",$C869="",$D869="",$B869&lt;1300,$B869&gt;1500,$C869&lt;1,$C869&gt;12,$D869&lt;1,$D869&gt;31),"نامعتبر",RIGHT("0000"&amp;$B869,4)&amp;"/"&amp;RIGHT("00"&amp;$C869,2)&amp;"/"&amp;RIGHT("00"&amp;$D869,2)))</f>
        <v/>
      </c>
      <c r="F869">
        <f>IF(OR($E869="",$E869="نامعتبر"),"",LEFT($E869,4)&amp;"/"&amp;MID($E869,6,2))</f>
        <v/>
      </c>
      <c r="G869">
        <f>IF(OR($E869="",$E869="نامعتبر",Sync!$X865=""),"",IF(AND(LEFT(UPPER(TRIM(Sync!$X865)),2)="SL",IFERROR(VLOOKUP(Sync!$W865,OpTbl,3,0),"")="فروش"),UPPER(TRIM(Sync!$X865)),""))</f>
        <v/>
      </c>
      <c r="H869">
        <f>IF($G869="","",IF(Sync!$W865="","",Sync!$W865))</f>
        <v/>
      </c>
      <c r="I869">
        <f>IF(OR($G869="",Sync!$Y865=""),"",Sync!$Y865)</f>
        <v/>
      </c>
      <c r="J869">
        <f>IF(OR($G869="",Sync!$Z865=""),"",Sync!$Z865)</f>
        <v/>
      </c>
      <c r="K869">
        <f>IF($G869="",0,IF(Sync!$AA865="",0,Sync!$AA865))</f>
        <v/>
      </c>
      <c r="L869">
        <f>IF($G869="",0,IF(Sync!$AB865="",0,Sync!$AB865))</f>
        <v/>
      </c>
      <c r="M869">
        <f>IF($G869="","",IF($H869="مرجوعی فروش",-1,1)*($K869-$L869*IFERROR(VLOOKUP("P01",ParamTbl,3,0),1.5)))</f>
        <v/>
      </c>
      <c r="N869">
        <f>IF($G869="",0,IF($H869="مرجوعی فروش",-1,1)*IF(Sync!$AC865="",0,Sync!$AC865))</f>
        <v/>
      </c>
      <c r="O869">
        <f>IF(OR($G869="",Sync!$V865=""),"",Sync!$V865)</f>
        <v/>
      </c>
      <c r="P869">
        <f>IF(OR($G869="",Sync!$AD865=""),"",Sync!$AD865)</f>
        <v/>
      </c>
      <c r="Q869">
        <f>IF($G869="","",IF(Sync!$U865="","0000",IF(AND(ISNUMBER(Sync!$U865),Sync!$U865&gt;=0,Sync!$U865&lt;1),RIGHT("00"&amp;HOUR(Sync!$U865),2)&amp;RIGHT("00"&amp;MINUTE(Sync!$U865),2),IFERROR(RIGHT("00"&amp;VALUE(LEFT(Sync!$U865,FIND(":",Sync!$U865)-1)),2)&amp;RIGHT("00"&amp;VALUE(MID(Sync!$U865,FIND(":",Sync!$U865)+1,2)),2),"0000"))))</f>
        <v/>
      </c>
    </row>
    <row r="870">
      <c r="A870">
        <f>IF(Sync!$T866="","",Sync!$T866)</f>
        <v/>
      </c>
      <c r="B870">
        <f>IF($A870="","",IF(ISNUMBER($A870),IF(AND($A870&gt;=10000101,$A870&lt;=99991231),INT($A870/10000),""),IFERROR(VALUE(TRIM(LEFT($A870,FIND("/",$A870)-1))),"")))</f>
        <v/>
      </c>
      <c r="C870">
        <f>IF(OR($A870="",$B870=""),"",IF(ISNUMBER($A870),INT(MOD($A870,10000)/100),IFERROR(VALUE(TRIM(LEFT(MID($A870,FIND("/",$A870)+1,20),FIND("/",MID($A870,FIND("/",$A870)+1,20))-1))),"")))</f>
        <v/>
      </c>
      <c r="D870">
        <f>IF(OR($A870="",$B870=""),"",IF(ISNUMBER($A870),MOD($A870,100),IFERROR(VALUE(TRIM(MID(MID($A870,FIND("/",$A870)+1,20),FIND("/",MID($A870,FIND("/",$A870)+1,20))+1,20))),"")))</f>
        <v/>
      </c>
      <c r="E870">
        <f>IF($A870="","",IF(OR($B870="",$C870="",$D870="",$B870&lt;1300,$B870&gt;1500,$C870&lt;1,$C870&gt;12,$D870&lt;1,$D870&gt;31),"نامعتبر",RIGHT("0000"&amp;$B870,4)&amp;"/"&amp;RIGHT("00"&amp;$C870,2)&amp;"/"&amp;RIGHT("00"&amp;$D870,2)))</f>
        <v/>
      </c>
      <c r="F870">
        <f>IF(OR($E870="",$E870="نامعتبر"),"",LEFT($E870,4)&amp;"/"&amp;MID($E870,6,2))</f>
        <v/>
      </c>
      <c r="G870">
        <f>IF(OR($E870="",$E870="نامعتبر",Sync!$X866=""),"",IF(AND(LEFT(UPPER(TRIM(Sync!$X866)),2)="SL",IFERROR(VLOOKUP(Sync!$W866,OpTbl,3,0),"")="فروش"),UPPER(TRIM(Sync!$X866)),""))</f>
        <v/>
      </c>
      <c r="H870">
        <f>IF($G870="","",IF(Sync!$W866="","",Sync!$W866))</f>
        <v/>
      </c>
      <c r="I870">
        <f>IF(OR($G870="",Sync!$Y866=""),"",Sync!$Y866)</f>
        <v/>
      </c>
      <c r="J870">
        <f>IF(OR($G870="",Sync!$Z866=""),"",Sync!$Z866)</f>
        <v/>
      </c>
      <c r="K870">
        <f>IF($G870="",0,IF(Sync!$AA866="",0,Sync!$AA866))</f>
        <v/>
      </c>
      <c r="L870">
        <f>IF($G870="",0,IF(Sync!$AB866="",0,Sync!$AB866))</f>
        <v/>
      </c>
      <c r="M870">
        <f>IF($G870="","",IF($H870="مرجوعی فروش",-1,1)*($K870-$L870*IFERROR(VLOOKUP("P01",ParamTbl,3,0),1.5)))</f>
        <v/>
      </c>
      <c r="N870">
        <f>IF($G870="",0,IF($H870="مرجوعی فروش",-1,1)*IF(Sync!$AC866="",0,Sync!$AC866))</f>
        <v/>
      </c>
      <c r="O870">
        <f>IF(OR($G870="",Sync!$V866=""),"",Sync!$V866)</f>
        <v/>
      </c>
      <c r="P870">
        <f>IF(OR($G870="",Sync!$AD866=""),"",Sync!$AD866)</f>
        <v/>
      </c>
      <c r="Q870">
        <f>IF($G870="","",IF(Sync!$U866="","0000",IF(AND(ISNUMBER(Sync!$U866),Sync!$U866&gt;=0,Sync!$U866&lt;1),RIGHT("00"&amp;HOUR(Sync!$U866),2)&amp;RIGHT("00"&amp;MINUTE(Sync!$U866),2),IFERROR(RIGHT("00"&amp;VALUE(LEFT(Sync!$U866,FIND(":",Sync!$U866)-1)),2)&amp;RIGHT("00"&amp;VALUE(MID(Sync!$U866,FIND(":",Sync!$U866)+1,2)),2),"0000"))))</f>
        <v/>
      </c>
    </row>
    <row r="871">
      <c r="A871">
        <f>IF(Sync!$T867="","",Sync!$T867)</f>
        <v/>
      </c>
      <c r="B871">
        <f>IF($A871="","",IF(ISNUMBER($A871),IF(AND($A871&gt;=10000101,$A871&lt;=99991231),INT($A871/10000),""),IFERROR(VALUE(TRIM(LEFT($A871,FIND("/",$A871)-1))),"")))</f>
        <v/>
      </c>
      <c r="C871">
        <f>IF(OR($A871="",$B871=""),"",IF(ISNUMBER($A871),INT(MOD($A871,10000)/100),IFERROR(VALUE(TRIM(LEFT(MID($A871,FIND("/",$A871)+1,20),FIND("/",MID($A871,FIND("/",$A871)+1,20))-1))),"")))</f>
        <v/>
      </c>
      <c r="D871">
        <f>IF(OR($A871="",$B871=""),"",IF(ISNUMBER($A871),MOD($A871,100),IFERROR(VALUE(TRIM(MID(MID($A871,FIND("/",$A871)+1,20),FIND("/",MID($A871,FIND("/",$A871)+1,20))+1,20))),"")))</f>
        <v/>
      </c>
      <c r="E871">
        <f>IF($A871="","",IF(OR($B871="",$C871="",$D871="",$B871&lt;1300,$B871&gt;1500,$C871&lt;1,$C871&gt;12,$D871&lt;1,$D871&gt;31),"نامعتبر",RIGHT("0000"&amp;$B871,4)&amp;"/"&amp;RIGHT("00"&amp;$C871,2)&amp;"/"&amp;RIGHT("00"&amp;$D871,2)))</f>
        <v/>
      </c>
      <c r="F871">
        <f>IF(OR($E871="",$E871="نامعتبر"),"",LEFT($E871,4)&amp;"/"&amp;MID($E871,6,2))</f>
        <v/>
      </c>
      <c r="G871">
        <f>IF(OR($E871="",$E871="نامعتبر",Sync!$X867=""),"",IF(AND(LEFT(UPPER(TRIM(Sync!$X867)),2)="SL",IFERROR(VLOOKUP(Sync!$W867,OpTbl,3,0),"")="فروش"),UPPER(TRIM(Sync!$X867)),""))</f>
        <v/>
      </c>
      <c r="H871">
        <f>IF($G871="","",IF(Sync!$W867="","",Sync!$W867))</f>
        <v/>
      </c>
      <c r="I871">
        <f>IF(OR($G871="",Sync!$Y867=""),"",Sync!$Y867)</f>
        <v/>
      </c>
      <c r="J871">
        <f>IF(OR($G871="",Sync!$Z867=""),"",Sync!$Z867)</f>
        <v/>
      </c>
      <c r="K871">
        <f>IF($G871="",0,IF(Sync!$AA867="",0,Sync!$AA867))</f>
        <v/>
      </c>
      <c r="L871">
        <f>IF($G871="",0,IF(Sync!$AB867="",0,Sync!$AB867))</f>
        <v/>
      </c>
      <c r="M871">
        <f>IF($G871="","",IF($H871="مرجوعی فروش",-1,1)*($K871-$L871*IFERROR(VLOOKUP("P01",ParamTbl,3,0),1.5)))</f>
        <v/>
      </c>
      <c r="N871">
        <f>IF($G871="",0,IF($H871="مرجوعی فروش",-1,1)*IF(Sync!$AC867="",0,Sync!$AC867))</f>
        <v/>
      </c>
      <c r="O871">
        <f>IF(OR($G871="",Sync!$V867=""),"",Sync!$V867)</f>
        <v/>
      </c>
      <c r="P871">
        <f>IF(OR($G871="",Sync!$AD867=""),"",Sync!$AD867)</f>
        <v/>
      </c>
      <c r="Q871">
        <f>IF($G871="","",IF(Sync!$U867="","0000",IF(AND(ISNUMBER(Sync!$U867),Sync!$U867&gt;=0,Sync!$U867&lt;1),RIGHT("00"&amp;HOUR(Sync!$U867),2)&amp;RIGHT("00"&amp;MINUTE(Sync!$U867),2),IFERROR(RIGHT("00"&amp;VALUE(LEFT(Sync!$U867,FIND(":",Sync!$U867)-1)),2)&amp;RIGHT("00"&amp;VALUE(MID(Sync!$U867,FIND(":",Sync!$U867)+1,2)),2),"0000"))))</f>
        <v/>
      </c>
    </row>
    <row r="872">
      <c r="A872">
        <f>IF(Sync!$T868="","",Sync!$T868)</f>
        <v/>
      </c>
      <c r="B872">
        <f>IF($A872="","",IF(ISNUMBER($A872),IF(AND($A872&gt;=10000101,$A872&lt;=99991231),INT($A872/10000),""),IFERROR(VALUE(TRIM(LEFT($A872,FIND("/",$A872)-1))),"")))</f>
        <v/>
      </c>
      <c r="C872">
        <f>IF(OR($A872="",$B872=""),"",IF(ISNUMBER($A872),INT(MOD($A872,10000)/100),IFERROR(VALUE(TRIM(LEFT(MID($A872,FIND("/",$A872)+1,20),FIND("/",MID($A872,FIND("/",$A872)+1,20))-1))),"")))</f>
        <v/>
      </c>
      <c r="D872">
        <f>IF(OR($A872="",$B872=""),"",IF(ISNUMBER($A872),MOD($A872,100),IFERROR(VALUE(TRIM(MID(MID($A872,FIND("/",$A872)+1,20),FIND("/",MID($A872,FIND("/",$A872)+1,20))+1,20))),"")))</f>
        <v/>
      </c>
      <c r="E872">
        <f>IF($A872="","",IF(OR($B872="",$C872="",$D872="",$B872&lt;1300,$B872&gt;1500,$C872&lt;1,$C872&gt;12,$D872&lt;1,$D872&gt;31),"نامعتبر",RIGHT("0000"&amp;$B872,4)&amp;"/"&amp;RIGHT("00"&amp;$C872,2)&amp;"/"&amp;RIGHT("00"&amp;$D872,2)))</f>
        <v/>
      </c>
      <c r="F872">
        <f>IF(OR($E872="",$E872="نامعتبر"),"",LEFT($E872,4)&amp;"/"&amp;MID($E872,6,2))</f>
        <v/>
      </c>
      <c r="G872">
        <f>IF(OR($E872="",$E872="نامعتبر",Sync!$X868=""),"",IF(AND(LEFT(UPPER(TRIM(Sync!$X868)),2)="SL",IFERROR(VLOOKUP(Sync!$W868,OpTbl,3,0),"")="فروش"),UPPER(TRIM(Sync!$X868)),""))</f>
        <v/>
      </c>
      <c r="H872">
        <f>IF($G872="","",IF(Sync!$W868="","",Sync!$W868))</f>
        <v/>
      </c>
      <c r="I872">
        <f>IF(OR($G872="",Sync!$Y868=""),"",Sync!$Y868)</f>
        <v/>
      </c>
      <c r="J872">
        <f>IF(OR($G872="",Sync!$Z868=""),"",Sync!$Z868)</f>
        <v/>
      </c>
      <c r="K872">
        <f>IF($G872="",0,IF(Sync!$AA868="",0,Sync!$AA868))</f>
        <v/>
      </c>
      <c r="L872">
        <f>IF($G872="",0,IF(Sync!$AB868="",0,Sync!$AB868))</f>
        <v/>
      </c>
      <c r="M872">
        <f>IF($G872="","",IF($H872="مرجوعی فروش",-1,1)*($K872-$L872*IFERROR(VLOOKUP("P01",ParamTbl,3,0),1.5)))</f>
        <v/>
      </c>
      <c r="N872">
        <f>IF($G872="",0,IF($H872="مرجوعی فروش",-1,1)*IF(Sync!$AC868="",0,Sync!$AC868))</f>
        <v/>
      </c>
      <c r="O872">
        <f>IF(OR($G872="",Sync!$V868=""),"",Sync!$V868)</f>
        <v/>
      </c>
      <c r="P872">
        <f>IF(OR($G872="",Sync!$AD868=""),"",Sync!$AD868)</f>
        <v/>
      </c>
      <c r="Q872">
        <f>IF($G872="","",IF(Sync!$U868="","0000",IF(AND(ISNUMBER(Sync!$U868),Sync!$U868&gt;=0,Sync!$U868&lt;1),RIGHT("00"&amp;HOUR(Sync!$U868),2)&amp;RIGHT("00"&amp;MINUTE(Sync!$U868),2),IFERROR(RIGHT("00"&amp;VALUE(LEFT(Sync!$U868,FIND(":",Sync!$U868)-1)),2)&amp;RIGHT("00"&amp;VALUE(MID(Sync!$U868,FIND(":",Sync!$U868)+1,2)),2),"0000"))))</f>
        <v/>
      </c>
    </row>
    <row r="873">
      <c r="A873">
        <f>IF(Sync!$T869="","",Sync!$T869)</f>
        <v/>
      </c>
      <c r="B873">
        <f>IF($A873="","",IF(ISNUMBER($A873),IF(AND($A873&gt;=10000101,$A873&lt;=99991231),INT($A873/10000),""),IFERROR(VALUE(TRIM(LEFT($A873,FIND("/",$A873)-1))),"")))</f>
        <v/>
      </c>
      <c r="C873">
        <f>IF(OR($A873="",$B873=""),"",IF(ISNUMBER($A873),INT(MOD($A873,10000)/100),IFERROR(VALUE(TRIM(LEFT(MID($A873,FIND("/",$A873)+1,20),FIND("/",MID($A873,FIND("/",$A873)+1,20))-1))),"")))</f>
        <v/>
      </c>
      <c r="D873">
        <f>IF(OR($A873="",$B873=""),"",IF(ISNUMBER($A873),MOD($A873,100),IFERROR(VALUE(TRIM(MID(MID($A873,FIND("/",$A873)+1,20),FIND("/",MID($A873,FIND("/",$A873)+1,20))+1,20))),"")))</f>
        <v/>
      </c>
      <c r="E873">
        <f>IF($A873="","",IF(OR($B873="",$C873="",$D873="",$B873&lt;1300,$B873&gt;1500,$C873&lt;1,$C873&gt;12,$D873&lt;1,$D873&gt;31),"نامعتبر",RIGHT("0000"&amp;$B873,4)&amp;"/"&amp;RIGHT("00"&amp;$C873,2)&amp;"/"&amp;RIGHT("00"&amp;$D873,2)))</f>
        <v/>
      </c>
      <c r="F873">
        <f>IF(OR($E873="",$E873="نامعتبر"),"",LEFT($E873,4)&amp;"/"&amp;MID($E873,6,2))</f>
        <v/>
      </c>
      <c r="G873">
        <f>IF(OR($E873="",$E873="نامعتبر",Sync!$X869=""),"",IF(AND(LEFT(UPPER(TRIM(Sync!$X869)),2)="SL",IFERROR(VLOOKUP(Sync!$W869,OpTbl,3,0),"")="فروش"),UPPER(TRIM(Sync!$X869)),""))</f>
        <v/>
      </c>
      <c r="H873">
        <f>IF($G873="","",IF(Sync!$W869="","",Sync!$W869))</f>
        <v/>
      </c>
      <c r="I873">
        <f>IF(OR($G873="",Sync!$Y869=""),"",Sync!$Y869)</f>
        <v/>
      </c>
      <c r="J873">
        <f>IF(OR($G873="",Sync!$Z869=""),"",Sync!$Z869)</f>
        <v/>
      </c>
      <c r="K873">
        <f>IF($G873="",0,IF(Sync!$AA869="",0,Sync!$AA869))</f>
        <v/>
      </c>
      <c r="L873">
        <f>IF($G873="",0,IF(Sync!$AB869="",0,Sync!$AB869))</f>
        <v/>
      </c>
      <c r="M873">
        <f>IF($G873="","",IF($H873="مرجوعی فروش",-1,1)*($K873-$L873*IFERROR(VLOOKUP("P01",ParamTbl,3,0),1.5)))</f>
        <v/>
      </c>
      <c r="N873">
        <f>IF($G873="",0,IF($H873="مرجوعی فروش",-1,1)*IF(Sync!$AC869="",0,Sync!$AC869))</f>
        <v/>
      </c>
      <c r="O873">
        <f>IF(OR($G873="",Sync!$V869=""),"",Sync!$V869)</f>
        <v/>
      </c>
      <c r="P873">
        <f>IF(OR($G873="",Sync!$AD869=""),"",Sync!$AD869)</f>
        <v/>
      </c>
      <c r="Q873">
        <f>IF($G873="","",IF(Sync!$U869="","0000",IF(AND(ISNUMBER(Sync!$U869),Sync!$U869&gt;=0,Sync!$U869&lt;1),RIGHT("00"&amp;HOUR(Sync!$U869),2)&amp;RIGHT("00"&amp;MINUTE(Sync!$U869),2),IFERROR(RIGHT("00"&amp;VALUE(LEFT(Sync!$U869,FIND(":",Sync!$U869)-1)),2)&amp;RIGHT("00"&amp;VALUE(MID(Sync!$U869,FIND(":",Sync!$U869)+1,2)),2),"0000"))))</f>
        <v/>
      </c>
    </row>
    <row r="874">
      <c r="A874">
        <f>IF(Sync!$T870="","",Sync!$T870)</f>
        <v/>
      </c>
      <c r="B874">
        <f>IF($A874="","",IF(ISNUMBER($A874),IF(AND($A874&gt;=10000101,$A874&lt;=99991231),INT($A874/10000),""),IFERROR(VALUE(TRIM(LEFT($A874,FIND("/",$A874)-1))),"")))</f>
        <v/>
      </c>
      <c r="C874">
        <f>IF(OR($A874="",$B874=""),"",IF(ISNUMBER($A874),INT(MOD($A874,10000)/100),IFERROR(VALUE(TRIM(LEFT(MID($A874,FIND("/",$A874)+1,20),FIND("/",MID($A874,FIND("/",$A874)+1,20))-1))),"")))</f>
        <v/>
      </c>
      <c r="D874">
        <f>IF(OR($A874="",$B874=""),"",IF(ISNUMBER($A874),MOD($A874,100),IFERROR(VALUE(TRIM(MID(MID($A874,FIND("/",$A874)+1,20),FIND("/",MID($A874,FIND("/",$A874)+1,20))+1,20))),"")))</f>
        <v/>
      </c>
      <c r="E874">
        <f>IF($A874="","",IF(OR($B874="",$C874="",$D874="",$B874&lt;1300,$B874&gt;1500,$C874&lt;1,$C874&gt;12,$D874&lt;1,$D874&gt;31),"نامعتبر",RIGHT("0000"&amp;$B874,4)&amp;"/"&amp;RIGHT("00"&amp;$C874,2)&amp;"/"&amp;RIGHT("00"&amp;$D874,2)))</f>
        <v/>
      </c>
      <c r="F874">
        <f>IF(OR($E874="",$E874="نامعتبر"),"",LEFT($E874,4)&amp;"/"&amp;MID($E874,6,2))</f>
        <v/>
      </c>
      <c r="G874">
        <f>IF(OR($E874="",$E874="نامعتبر",Sync!$X870=""),"",IF(AND(LEFT(UPPER(TRIM(Sync!$X870)),2)="SL",IFERROR(VLOOKUP(Sync!$W870,OpTbl,3,0),"")="فروش"),UPPER(TRIM(Sync!$X870)),""))</f>
        <v/>
      </c>
      <c r="H874">
        <f>IF($G874="","",IF(Sync!$W870="","",Sync!$W870))</f>
        <v/>
      </c>
      <c r="I874">
        <f>IF(OR($G874="",Sync!$Y870=""),"",Sync!$Y870)</f>
        <v/>
      </c>
      <c r="J874">
        <f>IF(OR($G874="",Sync!$Z870=""),"",Sync!$Z870)</f>
        <v/>
      </c>
      <c r="K874">
        <f>IF($G874="",0,IF(Sync!$AA870="",0,Sync!$AA870))</f>
        <v/>
      </c>
      <c r="L874">
        <f>IF($G874="",0,IF(Sync!$AB870="",0,Sync!$AB870))</f>
        <v/>
      </c>
      <c r="M874">
        <f>IF($G874="","",IF($H874="مرجوعی فروش",-1,1)*($K874-$L874*IFERROR(VLOOKUP("P01",ParamTbl,3,0),1.5)))</f>
        <v/>
      </c>
      <c r="N874">
        <f>IF($G874="",0,IF($H874="مرجوعی فروش",-1,1)*IF(Sync!$AC870="",0,Sync!$AC870))</f>
        <v/>
      </c>
      <c r="O874">
        <f>IF(OR($G874="",Sync!$V870=""),"",Sync!$V870)</f>
        <v/>
      </c>
      <c r="P874">
        <f>IF(OR($G874="",Sync!$AD870=""),"",Sync!$AD870)</f>
        <v/>
      </c>
      <c r="Q874">
        <f>IF($G874="","",IF(Sync!$U870="","0000",IF(AND(ISNUMBER(Sync!$U870),Sync!$U870&gt;=0,Sync!$U870&lt;1),RIGHT("00"&amp;HOUR(Sync!$U870),2)&amp;RIGHT("00"&amp;MINUTE(Sync!$U870),2),IFERROR(RIGHT("00"&amp;VALUE(LEFT(Sync!$U870,FIND(":",Sync!$U870)-1)),2)&amp;RIGHT("00"&amp;VALUE(MID(Sync!$U870,FIND(":",Sync!$U870)+1,2)),2),"0000"))))</f>
        <v/>
      </c>
    </row>
    <row r="875">
      <c r="A875">
        <f>IF(Sync!$T871="","",Sync!$T871)</f>
        <v/>
      </c>
      <c r="B875">
        <f>IF($A875="","",IF(ISNUMBER($A875),IF(AND($A875&gt;=10000101,$A875&lt;=99991231),INT($A875/10000),""),IFERROR(VALUE(TRIM(LEFT($A875,FIND("/",$A875)-1))),"")))</f>
        <v/>
      </c>
      <c r="C875">
        <f>IF(OR($A875="",$B875=""),"",IF(ISNUMBER($A875),INT(MOD($A875,10000)/100),IFERROR(VALUE(TRIM(LEFT(MID($A875,FIND("/",$A875)+1,20),FIND("/",MID($A875,FIND("/",$A875)+1,20))-1))),"")))</f>
        <v/>
      </c>
      <c r="D875">
        <f>IF(OR($A875="",$B875=""),"",IF(ISNUMBER($A875),MOD($A875,100),IFERROR(VALUE(TRIM(MID(MID($A875,FIND("/",$A875)+1,20),FIND("/",MID($A875,FIND("/",$A875)+1,20))+1,20))),"")))</f>
        <v/>
      </c>
      <c r="E875">
        <f>IF($A875="","",IF(OR($B875="",$C875="",$D875="",$B875&lt;1300,$B875&gt;1500,$C875&lt;1,$C875&gt;12,$D875&lt;1,$D875&gt;31),"نامعتبر",RIGHT("0000"&amp;$B875,4)&amp;"/"&amp;RIGHT("00"&amp;$C875,2)&amp;"/"&amp;RIGHT("00"&amp;$D875,2)))</f>
        <v/>
      </c>
      <c r="F875">
        <f>IF(OR($E875="",$E875="نامعتبر"),"",LEFT($E875,4)&amp;"/"&amp;MID($E875,6,2))</f>
        <v/>
      </c>
      <c r="G875">
        <f>IF(OR($E875="",$E875="نامعتبر",Sync!$X871=""),"",IF(AND(LEFT(UPPER(TRIM(Sync!$X871)),2)="SL",IFERROR(VLOOKUP(Sync!$W871,OpTbl,3,0),"")="فروش"),UPPER(TRIM(Sync!$X871)),""))</f>
        <v/>
      </c>
      <c r="H875">
        <f>IF($G875="","",IF(Sync!$W871="","",Sync!$W871))</f>
        <v/>
      </c>
      <c r="I875">
        <f>IF(OR($G875="",Sync!$Y871=""),"",Sync!$Y871)</f>
        <v/>
      </c>
      <c r="J875">
        <f>IF(OR($G875="",Sync!$Z871=""),"",Sync!$Z871)</f>
        <v/>
      </c>
      <c r="K875">
        <f>IF($G875="",0,IF(Sync!$AA871="",0,Sync!$AA871))</f>
        <v/>
      </c>
      <c r="L875">
        <f>IF($G875="",0,IF(Sync!$AB871="",0,Sync!$AB871))</f>
        <v/>
      </c>
      <c r="M875">
        <f>IF($G875="","",IF($H875="مرجوعی فروش",-1,1)*($K875-$L875*IFERROR(VLOOKUP("P01",ParamTbl,3,0),1.5)))</f>
        <v/>
      </c>
      <c r="N875">
        <f>IF($G875="",0,IF($H875="مرجوعی فروش",-1,1)*IF(Sync!$AC871="",0,Sync!$AC871))</f>
        <v/>
      </c>
      <c r="O875">
        <f>IF(OR($G875="",Sync!$V871=""),"",Sync!$V871)</f>
        <v/>
      </c>
      <c r="P875">
        <f>IF(OR($G875="",Sync!$AD871=""),"",Sync!$AD871)</f>
        <v/>
      </c>
      <c r="Q875">
        <f>IF($G875="","",IF(Sync!$U871="","0000",IF(AND(ISNUMBER(Sync!$U871),Sync!$U871&gt;=0,Sync!$U871&lt;1),RIGHT("00"&amp;HOUR(Sync!$U871),2)&amp;RIGHT("00"&amp;MINUTE(Sync!$U871),2),IFERROR(RIGHT("00"&amp;VALUE(LEFT(Sync!$U871,FIND(":",Sync!$U871)-1)),2)&amp;RIGHT("00"&amp;VALUE(MID(Sync!$U871,FIND(":",Sync!$U871)+1,2)),2),"0000"))))</f>
        <v/>
      </c>
    </row>
    <row r="876">
      <c r="A876">
        <f>IF(Sync!$T872="","",Sync!$T872)</f>
        <v/>
      </c>
      <c r="B876">
        <f>IF($A876="","",IF(ISNUMBER($A876),IF(AND($A876&gt;=10000101,$A876&lt;=99991231),INT($A876/10000),""),IFERROR(VALUE(TRIM(LEFT($A876,FIND("/",$A876)-1))),"")))</f>
        <v/>
      </c>
      <c r="C876">
        <f>IF(OR($A876="",$B876=""),"",IF(ISNUMBER($A876),INT(MOD($A876,10000)/100),IFERROR(VALUE(TRIM(LEFT(MID($A876,FIND("/",$A876)+1,20),FIND("/",MID($A876,FIND("/",$A876)+1,20))-1))),"")))</f>
        <v/>
      </c>
      <c r="D876">
        <f>IF(OR($A876="",$B876=""),"",IF(ISNUMBER($A876),MOD($A876,100),IFERROR(VALUE(TRIM(MID(MID($A876,FIND("/",$A876)+1,20),FIND("/",MID($A876,FIND("/",$A876)+1,20))+1,20))),"")))</f>
        <v/>
      </c>
      <c r="E876">
        <f>IF($A876="","",IF(OR($B876="",$C876="",$D876="",$B876&lt;1300,$B876&gt;1500,$C876&lt;1,$C876&gt;12,$D876&lt;1,$D876&gt;31),"نامعتبر",RIGHT("0000"&amp;$B876,4)&amp;"/"&amp;RIGHT("00"&amp;$C876,2)&amp;"/"&amp;RIGHT("00"&amp;$D876,2)))</f>
        <v/>
      </c>
      <c r="F876">
        <f>IF(OR($E876="",$E876="نامعتبر"),"",LEFT($E876,4)&amp;"/"&amp;MID($E876,6,2))</f>
        <v/>
      </c>
      <c r="G876">
        <f>IF(OR($E876="",$E876="نامعتبر",Sync!$X872=""),"",IF(AND(LEFT(UPPER(TRIM(Sync!$X872)),2)="SL",IFERROR(VLOOKUP(Sync!$W872,OpTbl,3,0),"")="فروش"),UPPER(TRIM(Sync!$X872)),""))</f>
        <v/>
      </c>
      <c r="H876">
        <f>IF($G876="","",IF(Sync!$W872="","",Sync!$W872))</f>
        <v/>
      </c>
      <c r="I876">
        <f>IF(OR($G876="",Sync!$Y872=""),"",Sync!$Y872)</f>
        <v/>
      </c>
      <c r="J876">
        <f>IF(OR($G876="",Sync!$Z872=""),"",Sync!$Z872)</f>
        <v/>
      </c>
      <c r="K876">
        <f>IF($G876="",0,IF(Sync!$AA872="",0,Sync!$AA872))</f>
        <v/>
      </c>
      <c r="L876">
        <f>IF($G876="",0,IF(Sync!$AB872="",0,Sync!$AB872))</f>
        <v/>
      </c>
      <c r="M876">
        <f>IF($G876="","",IF($H876="مرجوعی فروش",-1,1)*($K876-$L876*IFERROR(VLOOKUP("P01",ParamTbl,3,0),1.5)))</f>
        <v/>
      </c>
      <c r="N876">
        <f>IF($G876="",0,IF($H876="مرجوعی فروش",-1,1)*IF(Sync!$AC872="",0,Sync!$AC872))</f>
        <v/>
      </c>
      <c r="O876">
        <f>IF(OR($G876="",Sync!$V872=""),"",Sync!$V872)</f>
        <v/>
      </c>
      <c r="P876">
        <f>IF(OR($G876="",Sync!$AD872=""),"",Sync!$AD872)</f>
        <v/>
      </c>
      <c r="Q876">
        <f>IF($G876="","",IF(Sync!$U872="","0000",IF(AND(ISNUMBER(Sync!$U872),Sync!$U872&gt;=0,Sync!$U872&lt;1),RIGHT("00"&amp;HOUR(Sync!$U872),2)&amp;RIGHT("00"&amp;MINUTE(Sync!$U872),2),IFERROR(RIGHT("00"&amp;VALUE(LEFT(Sync!$U872,FIND(":",Sync!$U872)-1)),2)&amp;RIGHT("00"&amp;VALUE(MID(Sync!$U872,FIND(":",Sync!$U872)+1,2)),2),"0000"))))</f>
        <v/>
      </c>
    </row>
    <row r="877">
      <c r="A877">
        <f>IF(Sync!$T873="","",Sync!$T873)</f>
        <v/>
      </c>
      <c r="B877">
        <f>IF($A877="","",IF(ISNUMBER($A877),IF(AND($A877&gt;=10000101,$A877&lt;=99991231),INT($A877/10000),""),IFERROR(VALUE(TRIM(LEFT($A877,FIND("/",$A877)-1))),"")))</f>
        <v/>
      </c>
      <c r="C877">
        <f>IF(OR($A877="",$B877=""),"",IF(ISNUMBER($A877),INT(MOD($A877,10000)/100),IFERROR(VALUE(TRIM(LEFT(MID($A877,FIND("/",$A877)+1,20),FIND("/",MID($A877,FIND("/",$A877)+1,20))-1))),"")))</f>
        <v/>
      </c>
      <c r="D877">
        <f>IF(OR($A877="",$B877=""),"",IF(ISNUMBER($A877),MOD($A877,100),IFERROR(VALUE(TRIM(MID(MID($A877,FIND("/",$A877)+1,20),FIND("/",MID($A877,FIND("/",$A877)+1,20))+1,20))),"")))</f>
        <v/>
      </c>
      <c r="E877">
        <f>IF($A877="","",IF(OR($B877="",$C877="",$D877="",$B877&lt;1300,$B877&gt;1500,$C877&lt;1,$C877&gt;12,$D877&lt;1,$D877&gt;31),"نامعتبر",RIGHT("0000"&amp;$B877,4)&amp;"/"&amp;RIGHT("00"&amp;$C877,2)&amp;"/"&amp;RIGHT("00"&amp;$D877,2)))</f>
        <v/>
      </c>
      <c r="F877">
        <f>IF(OR($E877="",$E877="نامعتبر"),"",LEFT($E877,4)&amp;"/"&amp;MID($E877,6,2))</f>
        <v/>
      </c>
      <c r="G877">
        <f>IF(OR($E877="",$E877="نامعتبر",Sync!$X873=""),"",IF(AND(LEFT(UPPER(TRIM(Sync!$X873)),2)="SL",IFERROR(VLOOKUP(Sync!$W873,OpTbl,3,0),"")="فروش"),UPPER(TRIM(Sync!$X873)),""))</f>
        <v/>
      </c>
      <c r="H877">
        <f>IF($G877="","",IF(Sync!$W873="","",Sync!$W873))</f>
        <v/>
      </c>
      <c r="I877">
        <f>IF(OR($G877="",Sync!$Y873=""),"",Sync!$Y873)</f>
        <v/>
      </c>
      <c r="J877">
        <f>IF(OR($G877="",Sync!$Z873=""),"",Sync!$Z873)</f>
        <v/>
      </c>
      <c r="K877">
        <f>IF($G877="",0,IF(Sync!$AA873="",0,Sync!$AA873))</f>
        <v/>
      </c>
      <c r="L877">
        <f>IF($G877="",0,IF(Sync!$AB873="",0,Sync!$AB873))</f>
        <v/>
      </c>
      <c r="M877">
        <f>IF($G877="","",IF($H877="مرجوعی فروش",-1,1)*($K877-$L877*IFERROR(VLOOKUP("P01",ParamTbl,3,0),1.5)))</f>
        <v/>
      </c>
      <c r="N877">
        <f>IF($G877="",0,IF($H877="مرجوعی فروش",-1,1)*IF(Sync!$AC873="",0,Sync!$AC873))</f>
        <v/>
      </c>
      <c r="O877">
        <f>IF(OR($G877="",Sync!$V873=""),"",Sync!$V873)</f>
        <v/>
      </c>
      <c r="P877">
        <f>IF(OR($G877="",Sync!$AD873=""),"",Sync!$AD873)</f>
        <v/>
      </c>
      <c r="Q877">
        <f>IF($G877="","",IF(Sync!$U873="","0000",IF(AND(ISNUMBER(Sync!$U873),Sync!$U873&gt;=0,Sync!$U873&lt;1),RIGHT("00"&amp;HOUR(Sync!$U873),2)&amp;RIGHT("00"&amp;MINUTE(Sync!$U873),2),IFERROR(RIGHT("00"&amp;VALUE(LEFT(Sync!$U873,FIND(":",Sync!$U873)-1)),2)&amp;RIGHT("00"&amp;VALUE(MID(Sync!$U873,FIND(":",Sync!$U873)+1,2)),2),"0000"))))</f>
        <v/>
      </c>
    </row>
    <row r="878">
      <c r="A878">
        <f>IF(Sync!$T874="","",Sync!$T874)</f>
        <v/>
      </c>
      <c r="B878">
        <f>IF($A878="","",IF(ISNUMBER($A878),IF(AND($A878&gt;=10000101,$A878&lt;=99991231),INT($A878/10000),""),IFERROR(VALUE(TRIM(LEFT($A878,FIND("/",$A878)-1))),"")))</f>
        <v/>
      </c>
      <c r="C878">
        <f>IF(OR($A878="",$B878=""),"",IF(ISNUMBER($A878),INT(MOD($A878,10000)/100),IFERROR(VALUE(TRIM(LEFT(MID($A878,FIND("/",$A878)+1,20),FIND("/",MID($A878,FIND("/",$A878)+1,20))-1))),"")))</f>
        <v/>
      </c>
      <c r="D878">
        <f>IF(OR($A878="",$B878=""),"",IF(ISNUMBER($A878),MOD($A878,100),IFERROR(VALUE(TRIM(MID(MID($A878,FIND("/",$A878)+1,20),FIND("/",MID($A878,FIND("/",$A878)+1,20))+1,20))),"")))</f>
        <v/>
      </c>
      <c r="E878">
        <f>IF($A878="","",IF(OR($B878="",$C878="",$D878="",$B878&lt;1300,$B878&gt;1500,$C878&lt;1,$C878&gt;12,$D878&lt;1,$D878&gt;31),"نامعتبر",RIGHT("0000"&amp;$B878,4)&amp;"/"&amp;RIGHT("00"&amp;$C878,2)&amp;"/"&amp;RIGHT("00"&amp;$D878,2)))</f>
        <v/>
      </c>
      <c r="F878">
        <f>IF(OR($E878="",$E878="نامعتبر"),"",LEFT($E878,4)&amp;"/"&amp;MID($E878,6,2))</f>
        <v/>
      </c>
      <c r="G878">
        <f>IF(OR($E878="",$E878="نامعتبر",Sync!$X874=""),"",IF(AND(LEFT(UPPER(TRIM(Sync!$X874)),2)="SL",IFERROR(VLOOKUP(Sync!$W874,OpTbl,3,0),"")="فروش"),UPPER(TRIM(Sync!$X874)),""))</f>
        <v/>
      </c>
      <c r="H878">
        <f>IF($G878="","",IF(Sync!$W874="","",Sync!$W874))</f>
        <v/>
      </c>
      <c r="I878">
        <f>IF(OR($G878="",Sync!$Y874=""),"",Sync!$Y874)</f>
        <v/>
      </c>
      <c r="J878">
        <f>IF(OR($G878="",Sync!$Z874=""),"",Sync!$Z874)</f>
        <v/>
      </c>
      <c r="K878">
        <f>IF($G878="",0,IF(Sync!$AA874="",0,Sync!$AA874))</f>
        <v/>
      </c>
      <c r="L878">
        <f>IF($G878="",0,IF(Sync!$AB874="",0,Sync!$AB874))</f>
        <v/>
      </c>
      <c r="M878">
        <f>IF($G878="","",IF($H878="مرجوعی فروش",-1,1)*($K878-$L878*IFERROR(VLOOKUP("P01",ParamTbl,3,0),1.5)))</f>
        <v/>
      </c>
      <c r="N878">
        <f>IF($G878="",0,IF($H878="مرجوعی فروش",-1,1)*IF(Sync!$AC874="",0,Sync!$AC874))</f>
        <v/>
      </c>
      <c r="O878">
        <f>IF(OR($G878="",Sync!$V874=""),"",Sync!$V874)</f>
        <v/>
      </c>
      <c r="P878">
        <f>IF(OR($G878="",Sync!$AD874=""),"",Sync!$AD874)</f>
        <v/>
      </c>
      <c r="Q878">
        <f>IF($G878="","",IF(Sync!$U874="","0000",IF(AND(ISNUMBER(Sync!$U874),Sync!$U874&gt;=0,Sync!$U874&lt;1),RIGHT("00"&amp;HOUR(Sync!$U874),2)&amp;RIGHT("00"&amp;MINUTE(Sync!$U874),2),IFERROR(RIGHT("00"&amp;VALUE(LEFT(Sync!$U874,FIND(":",Sync!$U874)-1)),2)&amp;RIGHT("00"&amp;VALUE(MID(Sync!$U874,FIND(":",Sync!$U874)+1,2)),2),"0000"))))</f>
        <v/>
      </c>
    </row>
    <row r="879">
      <c r="A879">
        <f>IF(Sync!$T875="","",Sync!$T875)</f>
        <v/>
      </c>
      <c r="B879">
        <f>IF($A879="","",IF(ISNUMBER($A879),IF(AND($A879&gt;=10000101,$A879&lt;=99991231),INT($A879/10000),""),IFERROR(VALUE(TRIM(LEFT($A879,FIND("/",$A879)-1))),"")))</f>
        <v/>
      </c>
      <c r="C879">
        <f>IF(OR($A879="",$B879=""),"",IF(ISNUMBER($A879),INT(MOD($A879,10000)/100),IFERROR(VALUE(TRIM(LEFT(MID($A879,FIND("/",$A879)+1,20),FIND("/",MID($A879,FIND("/",$A879)+1,20))-1))),"")))</f>
        <v/>
      </c>
      <c r="D879">
        <f>IF(OR($A879="",$B879=""),"",IF(ISNUMBER($A879),MOD($A879,100),IFERROR(VALUE(TRIM(MID(MID($A879,FIND("/",$A879)+1,20),FIND("/",MID($A879,FIND("/",$A879)+1,20))+1,20))),"")))</f>
        <v/>
      </c>
      <c r="E879">
        <f>IF($A879="","",IF(OR($B879="",$C879="",$D879="",$B879&lt;1300,$B879&gt;1500,$C879&lt;1,$C879&gt;12,$D879&lt;1,$D879&gt;31),"نامعتبر",RIGHT("0000"&amp;$B879,4)&amp;"/"&amp;RIGHT("00"&amp;$C879,2)&amp;"/"&amp;RIGHT("00"&amp;$D879,2)))</f>
        <v/>
      </c>
      <c r="F879">
        <f>IF(OR($E879="",$E879="نامعتبر"),"",LEFT($E879,4)&amp;"/"&amp;MID($E879,6,2))</f>
        <v/>
      </c>
      <c r="G879">
        <f>IF(OR($E879="",$E879="نامعتبر",Sync!$X875=""),"",IF(AND(LEFT(UPPER(TRIM(Sync!$X875)),2)="SL",IFERROR(VLOOKUP(Sync!$W875,OpTbl,3,0),"")="فروش"),UPPER(TRIM(Sync!$X875)),""))</f>
        <v/>
      </c>
      <c r="H879">
        <f>IF($G879="","",IF(Sync!$W875="","",Sync!$W875))</f>
        <v/>
      </c>
      <c r="I879">
        <f>IF(OR($G879="",Sync!$Y875=""),"",Sync!$Y875)</f>
        <v/>
      </c>
      <c r="J879">
        <f>IF(OR($G879="",Sync!$Z875=""),"",Sync!$Z875)</f>
        <v/>
      </c>
      <c r="K879">
        <f>IF($G879="",0,IF(Sync!$AA875="",0,Sync!$AA875))</f>
        <v/>
      </c>
      <c r="L879">
        <f>IF($G879="",0,IF(Sync!$AB875="",0,Sync!$AB875))</f>
        <v/>
      </c>
      <c r="M879">
        <f>IF($G879="","",IF($H879="مرجوعی فروش",-1,1)*($K879-$L879*IFERROR(VLOOKUP("P01",ParamTbl,3,0),1.5)))</f>
        <v/>
      </c>
      <c r="N879">
        <f>IF($G879="",0,IF($H879="مرجوعی فروش",-1,1)*IF(Sync!$AC875="",0,Sync!$AC875))</f>
        <v/>
      </c>
      <c r="O879">
        <f>IF(OR($G879="",Sync!$V875=""),"",Sync!$V875)</f>
        <v/>
      </c>
      <c r="P879">
        <f>IF(OR($G879="",Sync!$AD875=""),"",Sync!$AD875)</f>
        <v/>
      </c>
      <c r="Q879">
        <f>IF($G879="","",IF(Sync!$U875="","0000",IF(AND(ISNUMBER(Sync!$U875),Sync!$U875&gt;=0,Sync!$U875&lt;1),RIGHT("00"&amp;HOUR(Sync!$U875),2)&amp;RIGHT("00"&amp;MINUTE(Sync!$U875),2),IFERROR(RIGHT("00"&amp;VALUE(LEFT(Sync!$U875,FIND(":",Sync!$U875)-1)),2)&amp;RIGHT("00"&amp;VALUE(MID(Sync!$U875,FIND(":",Sync!$U875)+1,2)),2),"0000"))))</f>
        <v/>
      </c>
    </row>
    <row r="880">
      <c r="A880">
        <f>IF(Sync!$T876="","",Sync!$T876)</f>
        <v/>
      </c>
      <c r="B880">
        <f>IF($A880="","",IF(ISNUMBER($A880),IF(AND($A880&gt;=10000101,$A880&lt;=99991231),INT($A880/10000),""),IFERROR(VALUE(TRIM(LEFT($A880,FIND("/",$A880)-1))),"")))</f>
        <v/>
      </c>
      <c r="C880">
        <f>IF(OR($A880="",$B880=""),"",IF(ISNUMBER($A880),INT(MOD($A880,10000)/100),IFERROR(VALUE(TRIM(LEFT(MID($A880,FIND("/",$A880)+1,20),FIND("/",MID($A880,FIND("/",$A880)+1,20))-1))),"")))</f>
        <v/>
      </c>
      <c r="D880">
        <f>IF(OR($A880="",$B880=""),"",IF(ISNUMBER($A880),MOD($A880,100),IFERROR(VALUE(TRIM(MID(MID($A880,FIND("/",$A880)+1,20),FIND("/",MID($A880,FIND("/",$A880)+1,20))+1,20))),"")))</f>
        <v/>
      </c>
      <c r="E880">
        <f>IF($A880="","",IF(OR($B880="",$C880="",$D880="",$B880&lt;1300,$B880&gt;1500,$C880&lt;1,$C880&gt;12,$D880&lt;1,$D880&gt;31),"نامعتبر",RIGHT("0000"&amp;$B880,4)&amp;"/"&amp;RIGHT("00"&amp;$C880,2)&amp;"/"&amp;RIGHT("00"&amp;$D880,2)))</f>
        <v/>
      </c>
      <c r="F880">
        <f>IF(OR($E880="",$E880="نامعتبر"),"",LEFT($E880,4)&amp;"/"&amp;MID($E880,6,2))</f>
        <v/>
      </c>
      <c r="G880">
        <f>IF(OR($E880="",$E880="نامعتبر",Sync!$X876=""),"",IF(AND(LEFT(UPPER(TRIM(Sync!$X876)),2)="SL",IFERROR(VLOOKUP(Sync!$W876,OpTbl,3,0),"")="فروش"),UPPER(TRIM(Sync!$X876)),""))</f>
        <v/>
      </c>
      <c r="H880">
        <f>IF($G880="","",IF(Sync!$W876="","",Sync!$W876))</f>
        <v/>
      </c>
      <c r="I880">
        <f>IF(OR($G880="",Sync!$Y876=""),"",Sync!$Y876)</f>
        <v/>
      </c>
      <c r="J880">
        <f>IF(OR($G880="",Sync!$Z876=""),"",Sync!$Z876)</f>
        <v/>
      </c>
      <c r="K880">
        <f>IF($G880="",0,IF(Sync!$AA876="",0,Sync!$AA876))</f>
        <v/>
      </c>
      <c r="L880">
        <f>IF($G880="",0,IF(Sync!$AB876="",0,Sync!$AB876))</f>
        <v/>
      </c>
      <c r="M880">
        <f>IF($G880="","",IF($H880="مرجوعی فروش",-1,1)*($K880-$L880*IFERROR(VLOOKUP("P01",ParamTbl,3,0),1.5)))</f>
        <v/>
      </c>
      <c r="N880">
        <f>IF($G880="",0,IF($H880="مرجوعی فروش",-1,1)*IF(Sync!$AC876="",0,Sync!$AC876))</f>
        <v/>
      </c>
      <c r="O880">
        <f>IF(OR($G880="",Sync!$V876=""),"",Sync!$V876)</f>
        <v/>
      </c>
      <c r="P880">
        <f>IF(OR($G880="",Sync!$AD876=""),"",Sync!$AD876)</f>
        <v/>
      </c>
      <c r="Q880">
        <f>IF($G880="","",IF(Sync!$U876="","0000",IF(AND(ISNUMBER(Sync!$U876),Sync!$U876&gt;=0,Sync!$U876&lt;1),RIGHT("00"&amp;HOUR(Sync!$U876),2)&amp;RIGHT("00"&amp;MINUTE(Sync!$U876),2),IFERROR(RIGHT("00"&amp;VALUE(LEFT(Sync!$U876,FIND(":",Sync!$U876)-1)),2)&amp;RIGHT("00"&amp;VALUE(MID(Sync!$U876,FIND(":",Sync!$U876)+1,2)),2),"0000"))))</f>
        <v/>
      </c>
    </row>
    <row r="881">
      <c r="A881">
        <f>IF(Sync!$T877="","",Sync!$T877)</f>
        <v/>
      </c>
      <c r="B881">
        <f>IF($A881="","",IF(ISNUMBER($A881),IF(AND($A881&gt;=10000101,$A881&lt;=99991231),INT($A881/10000),""),IFERROR(VALUE(TRIM(LEFT($A881,FIND("/",$A881)-1))),"")))</f>
        <v/>
      </c>
      <c r="C881">
        <f>IF(OR($A881="",$B881=""),"",IF(ISNUMBER($A881),INT(MOD($A881,10000)/100),IFERROR(VALUE(TRIM(LEFT(MID($A881,FIND("/",$A881)+1,20),FIND("/",MID($A881,FIND("/",$A881)+1,20))-1))),"")))</f>
        <v/>
      </c>
      <c r="D881">
        <f>IF(OR($A881="",$B881=""),"",IF(ISNUMBER($A881),MOD($A881,100),IFERROR(VALUE(TRIM(MID(MID($A881,FIND("/",$A881)+1,20),FIND("/",MID($A881,FIND("/",$A881)+1,20))+1,20))),"")))</f>
        <v/>
      </c>
      <c r="E881">
        <f>IF($A881="","",IF(OR($B881="",$C881="",$D881="",$B881&lt;1300,$B881&gt;1500,$C881&lt;1,$C881&gt;12,$D881&lt;1,$D881&gt;31),"نامعتبر",RIGHT("0000"&amp;$B881,4)&amp;"/"&amp;RIGHT("00"&amp;$C881,2)&amp;"/"&amp;RIGHT("00"&amp;$D881,2)))</f>
        <v/>
      </c>
      <c r="F881">
        <f>IF(OR($E881="",$E881="نامعتبر"),"",LEFT($E881,4)&amp;"/"&amp;MID($E881,6,2))</f>
        <v/>
      </c>
      <c r="G881">
        <f>IF(OR($E881="",$E881="نامعتبر",Sync!$X877=""),"",IF(AND(LEFT(UPPER(TRIM(Sync!$X877)),2)="SL",IFERROR(VLOOKUP(Sync!$W877,OpTbl,3,0),"")="فروش"),UPPER(TRIM(Sync!$X877)),""))</f>
        <v/>
      </c>
      <c r="H881">
        <f>IF($G881="","",IF(Sync!$W877="","",Sync!$W877))</f>
        <v/>
      </c>
      <c r="I881">
        <f>IF(OR($G881="",Sync!$Y877=""),"",Sync!$Y877)</f>
        <v/>
      </c>
      <c r="J881">
        <f>IF(OR($G881="",Sync!$Z877=""),"",Sync!$Z877)</f>
        <v/>
      </c>
      <c r="K881">
        <f>IF($G881="",0,IF(Sync!$AA877="",0,Sync!$AA877))</f>
        <v/>
      </c>
      <c r="L881">
        <f>IF($G881="",0,IF(Sync!$AB877="",0,Sync!$AB877))</f>
        <v/>
      </c>
      <c r="M881">
        <f>IF($G881="","",IF($H881="مرجوعی فروش",-1,1)*($K881-$L881*IFERROR(VLOOKUP("P01",ParamTbl,3,0),1.5)))</f>
        <v/>
      </c>
      <c r="N881">
        <f>IF($G881="",0,IF($H881="مرجوعی فروش",-1,1)*IF(Sync!$AC877="",0,Sync!$AC877))</f>
        <v/>
      </c>
      <c r="O881">
        <f>IF(OR($G881="",Sync!$V877=""),"",Sync!$V877)</f>
        <v/>
      </c>
      <c r="P881">
        <f>IF(OR($G881="",Sync!$AD877=""),"",Sync!$AD877)</f>
        <v/>
      </c>
      <c r="Q881">
        <f>IF($G881="","",IF(Sync!$U877="","0000",IF(AND(ISNUMBER(Sync!$U877),Sync!$U877&gt;=0,Sync!$U877&lt;1),RIGHT("00"&amp;HOUR(Sync!$U877),2)&amp;RIGHT("00"&amp;MINUTE(Sync!$U877),2),IFERROR(RIGHT("00"&amp;VALUE(LEFT(Sync!$U877,FIND(":",Sync!$U877)-1)),2)&amp;RIGHT("00"&amp;VALUE(MID(Sync!$U877,FIND(":",Sync!$U877)+1,2)),2),"0000"))))</f>
        <v/>
      </c>
    </row>
    <row r="882">
      <c r="A882">
        <f>IF(Sync!$T878="","",Sync!$T878)</f>
        <v/>
      </c>
      <c r="B882">
        <f>IF($A882="","",IF(ISNUMBER($A882),IF(AND($A882&gt;=10000101,$A882&lt;=99991231),INT($A882/10000),""),IFERROR(VALUE(TRIM(LEFT($A882,FIND("/",$A882)-1))),"")))</f>
        <v/>
      </c>
      <c r="C882">
        <f>IF(OR($A882="",$B882=""),"",IF(ISNUMBER($A882),INT(MOD($A882,10000)/100),IFERROR(VALUE(TRIM(LEFT(MID($A882,FIND("/",$A882)+1,20),FIND("/",MID($A882,FIND("/",$A882)+1,20))-1))),"")))</f>
        <v/>
      </c>
      <c r="D882">
        <f>IF(OR($A882="",$B882=""),"",IF(ISNUMBER($A882),MOD($A882,100),IFERROR(VALUE(TRIM(MID(MID($A882,FIND("/",$A882)+1,20),FIND("/",MID($A882,FIND("/",$A882)+1,20))+1,20))),"")))</f>
        <v/>
      </c>
      <c r="E882">
        <f>IF($A882="","",IF(OR($B882="",$C882="",$D882="",$B882&lt;1300,$B882&gt;1500,$C882&lt;1,$C882&gt;12,$D882&lt;1,$D882&gt;31),"نامعتبر",RIGHT("0000"&amp;$B882,4)&amp;"/"&amp;RIGHT("00"&amp;$C882,2)&amp;"/"&amp;RIGHT("00"&amp;$D882,2)))</f>
        <v/>
      </c>
      <c r="F882">
        <f>IF(OR($E882="",$E882="نامعتبر"),"",LEFT($E882,4)&amp;"/"&amp;MID($E882,6,2))</f>
        <v/>
      </c>
      <c r="G882">
        <f>IF(OR($E882="",$E882="نامعتبر",Sync!$X878=""),"",IF(AND(LEFT(UPPER(TRIM(Sync!$X878)),2)="SL",IFERROR(VLOOKUP(Sync!$W878,OpTbl,3,0),"")="فروش"),UPPER(TRIM(Sync!$X878)),""))</f>
        <v/>
      </c>
      <c r="H882">
        <f>IF($G882="","",IF(Sync!$W878="","",Sync!$W878))</f>
        <v/>
      </c>
      <c r="I882">
        <f>IF(OR($G882="",Sync!$Y878=""),"",Sync!$Y878)</f>
        <v/>
      </c>
      <c r="J882">
        <f>IF(OR($G882="",Sync!$Z878=""),"",Sync!$Z878)</f>
        <v/>
      </c>
      <c r="K882">
        <f>IF($G882="",0,IF(Sync!$AA878="",0,Sync!$AA878))</f>
        <v/>
      </c>
      <c r="L882">
        <f>IF($G882="",0,IF(Sync!$AB878="",0,Sync!$AB878))</f>
        <v/>
      </c>
      <c r="M882">
        <f>IF($G882="","",IF($H882="مرجوعی فروش",-1,1)*($K882-$L882*IFERROR(VLOOKUP("P01",ParamTbl,3,0),1.5)))</f>
        <v/>
      </c>
      <c r="N882">
        <f>IF($G882="",0,IF($H882="مرجوعی فروش",-1,1)*IF(Sync!$AC878="",0,Sync!$AC878))</f>
        <v/>
      </c>
      <c r="O882">
        <f>IF(OR($G882="",Sync!$V878=""),"",Sync!$V878)</f>
        <v/>
      </c>
      <c r="P882">
        <f>IF(OR($G882="",Sync!$AD878=""),"",Sync!$AD878)</f>
        <v/>
      </c>
      <c r="Q882">
        <f>IF($G882="","",IF(Sync!$U878="","0000",IF(AND(ISNUMBER(Sync!$U878),Sync!$U878&gt;=0,Sync!$U878&lt;1),RIGHT("00"&amp;HOUR(Sync!$U878),2)&amp;RIGHT("00"&amp;MINUTE(Sync!$U878),2),IFERROR(RIGHT("00"&amp;VALUE(LEFT(Sync!$U878,FIND(":",Sync!$U878)-1)),2)&amp;RIGHT("00"&amp;VALUE(MID(Sync!$U878,FIND(":",Sync!$U878)+1,2)),2),"0000"))))</f>
        <v/>
      </c>
    </row>
    <row r="883">
      <c r="A883">
        <f>IF(Sync!$T879="","",Sync!$T879)</f>
        <v/>
      </c>
      <c r="B883">
        <f>IF($A883="","",IF(ISNUMBER($A883),IF(AND($A883&gt;=10000101,$A883&lt;=99991231),INT($A883/10000),""),IFERROR(VALUE(TRIM(LEFT($A883,FIND("/",$A883)-1))),"")))</f>
        <v/>
      </c>
      <c r="C883">
        <f>IF(OR($A883="",$B883=""),"",IF(ISNUMBER($A883),INT(MOD($A883,10000)/100),IFERROR(VALUE(TRIM(LEFT(MID($A883,FIND("/",$A883)+1,20),FIND("/",MID($A883,FIND("/",$A883)+1,20))-1))),"")))</f>
        <v/>
      </c>
      <c r="D883">
        <f>IF(OR($A883="",$B883=""),"",IF(ISNUMBER($A883),MOD($A883,100),IFERROR(VALUE(TRIM(MID(MID($A883,FIND("/",$A883)+1,20),FIND("/",MID($A883,FIND("/",$A883)+1,20))+1,20))),"")))</f>
        <v/>
      </c>
      <c r="E883">
        <f>IF($A883="","",IF(OR($B883="",$C883="",$D883="",$B883&lt;1300,$B883&gt;1500,$C883&lt;1,$C883&gt;12,$D883&lt;1,$D883&gt;31),"نامعتبر",RIGHT("0000"&amp;$B883,4)&amp;"/"&amp;RIGHT("00"&amp;$C883,2)&amp;"/"&amp;RIGHT("00"&amp;$D883,2)))</f>
        <v/>
      </c>
      <c r="F883">
        <f>IF(OR($E883="",$E883="نامعتبر"),"",LEFT($E883,4)&amp;"/"&amp;MID($E883,6,2))</f>
        <v/>
      </c>
      <c r="G883">
        <f>IF(OR($E883="",$E883="نامعتبر",Sync!$X879=""),"",IF(AND(LEFT(UPPER(TRIM(Sync!$X879)),2)="SL",IFERROR(VLOOKUP(Sync!$W879,OpTbl,3,0),"")="فروش"),UPPER(TRIM(Sync!$X879)),""))</f>
        <v/>
      </c>
      <c r="H883">
        <f>IF($G883="","",IF(Sync!$W879="","",Sync!$W879))</f>
        <v/>
      </c>
      <c r="I883">
        <f>IF(OR($G883="",Sync!$Y879=""),"",Sync!$Y879)</f>
        <v/>
      </c>
      <c r="J883">
        <f>IF(OR($G883="",Sync!$Z879=""),"",Sync!$Z879)</f>
        <v/>
      </c>
      <c r="K883">
        <f>IF($G883="",0,IF(Sync!$AA879="",0,Sync!$AA879))</f>
        <v/>
      </c>
      <c r="L883">
        <f>IF($G883="",0,IF(Sync!$AB879="",0,Sync!$AB879))</f>
        <v/>
      </c>
      <c r="M883">
        <f>IF($G883="","",IF($H883="مرجوعی فروش",-1,1)*($K883-$L883*IFERROR(VLOOKUP("P01",ParamTbl,3,0),1.5)))</f>
        <v/>
      </c>
      <c r="N883">
        <f>IF($G883="",0,IF($H883="مرجوعی فروش",-1,1)*IF(Sync!$AC879="",0,Sync!$AC879))</f>
        <v/>
      </c>
      <c r="O883">
        <f>IF(OR($G883="",Sync!$V879=""),"",Sync!$V879)</f>
        <v/>
      </c>
      <c r="P883">
        <f>IF(OR($G883="",Sync!$AD879=""),"",Sync!$AD879)</f>
        <v/>
      </c>
      <c r="Q883">
        <f>IF($G883="","",IF(Sync!$U879="","0000",IF(AND(ISNUMBER(Sync!$U879),Sync!$U879&gt;=0,Sync!$U879&lt;1),RIGHT("00"&amp;HOUR(Sync!$U879),2)&amp;RIGHT("00"&amp;MINUTE(Sync!$U879),2),IFERROR(RIGHT("00"&amp;VALUE(LEFT(Sync!$U879,FIND(":",Sync!$U879)-1)),2)&amp;RIGHT("00"&amp;VALUE(MID(Sync!$U879,FIND(":",Sync!$U879)+1,2)),2),"0000"))))</f>
        <v/>
      </c>
    </row>
    <row r="884">
      <c r="A884">
        <f>IF(Sync!$T880="","",Sync!$T880)</f>
        <v/>
      </c>
      <c r="B884">
        <f>IF($A884="","",IF(ISNUMBER($A884),IF(AND($A884&gt;=10000101,$A884&lt;=99991231),INT($A884/10000),""),IFERROR(VALUE(TRIM(LEFT($A884,FIND("/",$A884)-1))),"")))</f>
        <v/>
      </c>
      <c r="C884">
        <f>IF(OR($A884="",$B884=""),"",IF(ISNUMBER($A884),INT(MOD($A884,10000)/100),IFERROR(VALUE(TRIM(LEFT(MID($A884,FIND("/",$A884)+1,20),FIND("/",MID($A884,FIND("/",$A884)+1,20))-1))),"")))</f>
        <v/>
      </c>
      <c r="D884">
        <f>IF(OR($A884="",$B884=""),"",IF(ISNUMBER($A884),MOD($A884,100),IFERROR(VALUE(TRIM(MID(MID($A884,FIND("/",$A884)+1,20),FIND("/",MID($A884,FIND("/",$A884)+1,20))+1,20))),"")))</f>
        <v/>
      </c>
      <c r="E884">
        <f>IF($A884="","",IF(OR($B884="",$C884="",$D884="",$B884&lt;1300,$B884&gt;1500,$C884&lt;1,$C884&gt;12,$D884&lt;1,$D884&gt;31),"نامعتبر",RIGHT("0000"&amp;$B884,4)&amp;"/"&amp;RIGHT("00"&amp;$C884,2)&amp;"/"&amp;RIGHT("00"&amp;$D884,2)))</f>
        <v/>
      </c>
      <c r="F884">
        <f>IF(OR($E884="",$E884="نامعتبر"),"",LEFT($E884,4)&amp;"/"&amp;MID($E884,6,2))</f>
        <v/>
      </c>
      <c r="G884">
        <f>IF(OR($E884="",$E884="نامعتبر",Sync!$X880=""),"",IF(AND(LEFT(UPPER(TRIM(Sync!$X880)),2)="SL",IFERROR(VLOOKUP(Sync!$W880,OpTbl,3,0),"")="فروش"),UPPER(TRIM(Sync!$X880)),""))</f>
        <v/>
      </c>
      <c r="H884">
        <f>IF($G884="","",IF(Sync!$W880="","",Sync!$W880))</f>
        <v/>
      </c>
      <c r="I884">
        <f>IF(OR($G884="",Sync!$Y880=""),"",Sync!$Y880)</f>
        <v/>
      </c>
      <c r="J884">
        <f>IF(OR($G884="",Sync!$Z880=""),"",Sync!$Z880)</f>
        <v/>
      </c>
      <c r="K884">
        <f>IF($G884="",0,IF(Sync!$AA880="",0,Sync!$AA880))</f>
        <v/>
      </c>
      <c r="L884">
        <f>IF($G884="",0,IF(Sync!$AB880="",0,Sync!$AB880))</f>
        <v/>
      </c>
      <c r="M884">
        <f>IF($G884="","",IF($H884="مرجوعی فروش",-1,1)*($K884-$L884*IFERROR(VLOOKUP("P01",ParamTbl,3,0),1.5)))</f>
        <v/>
      </c>
      <c r="N884">
        <f>IF($G884="",0,IF($H884="مرجوعی فروش",-1,1)*IF(Sync!$AC880="",0,Sync!$AC880))</f>
        <v/>
      </c>
      <c r="O884">
        <f>IF(OR($G884="",Sync!$V880=""),"",Sync!$V880)</f>
        <v/>
      </c>
      <c r="P884">
        <f>IF(OR($G884="",Sync!$AD880=""),"",Sync!$AD880)</f>
        <v/>
      </c>
      <c r="Q884">
        <f>IF($G884="","",IF(Sync!$U880="","0000",IF(AND(ISNUMBER(Sync!$U880),Sync!$U880&gt;=0,Sync!$U880&lt;1),RIGHT("00"&amp;HOUR(Sync!$U880),2)&amp;RIGHT("00"&amp;MINUTE(Sync!$U880),2),IFERROR(RIGHT("00"&amp;VALUE(LEFT(Sync!$U880,FIND(":",Sync!$U880)-1)),2)&amp;RIGHT("00"&amp;VALUE(MID(Sync!$U880,FIND(":",Sync!$U880)+1,2)),2),"0000"))))</f>
        <v/>
      </c>
    </row>
    <row r="885">
      <c r="A885">
        <f>IF(Sync!$T881="","",Sync!$T881)</f>
        <v/>
      </c>
      <c r="B885">
        <f>IF($A885="","",IF(ISNUMBER($A885),IF(AND($A885&gt;=10000101,$A885&lt;=99991231),INT($A885/10000),""),IFERROR(VALUE(TRIM(LEFT($A885,FIND("/",$A885)-1))),"")))</f>
        <v/>
      </c>
      <c r="C885">
        <f>IF(OR($A885="",$B885=""),"",IF(ISNUMBER($A885),INT(MOD($A885,10000)/100),IFERROR(VALUE(TRIM(LEFT(MID($A885,FIND("/",$A885)+1,20),FIND("/",MID($A885,FIND("/",$A885)+1,20))-1))),"")))</f>
        <v/>
      </c>
      <c r="D885">
        <f>IF(OR($A885="",$B885=""),"",IF(ISNUMBER($A885),MOD($A885,100),IFERROR(VALUE(TRIM(MID(MID($A885,FIND("/",$A885)+1,20),FIND("/",MID($A885,FIND("/",$A885)+1,20))+1,20))),"")))</f>
        <v/>
      </c>
      <c r="E885">
        <f>IF($A885="","",IF(OR($B885="",$C885="",$D885="",$B885&lt;1300,$B885&gt;1500,$C885&lt;1,$C885&gt;12,$D885&lt;1,$D885&gt;31),"نامعتبر",RIGHT("0000"&amp;$B885,4)&amp;"/"&amp;RIGHT("00"&amp;$C885,2)&amp;"/"&amp;RIGHT("00"&amp;$D885,2)))</f>
        <v/>
      </c>
      <c r="F885">
        <f>IF(OR($E885="",$E885="نامعتبر"),"",LEFT($E885,4)&amp;"/"&amp;MID($E885,6,2))</f>
        <v/>
      </c>
      <c r="G885">
        <f>IF(OR($E885="",$E885="نامعتبر",Sync!$X881=""),"",IF(AND(LEFT(UPPER(TRIM(Sync!$X881)),2)="SL",IFERROR(VLOOKUP(Sync!$W881,OpTbl,3,0),"")="فروش"),UPPER(TRIM(Sync!$X881)),""))</f>
        <v/>
      </c>
      <c r="H885">
        <f>IF($G885="","",IF(Sync!$W881="","",Sync!$W881))</f>
        <v/>
      </c>
      <c r="I885">
        <f>IF(OR($G885="",Sync!$Y881=""),"",Sync!$Y881)</f>
        <v/>
      </c>
      <c r="J885">
        <f>IF(OR($G885="",Sync!$Z881=""),"",Sync!$Z881)</f>
        <v/>
      </c>
      <c r="K885">
        <f>IF($G885="",0,IF(Sync!$AA881="",0,Sync!$AA881))</f>
        <v/>
      </c>
      <c r="L885">
        <f>IF($G885="",0,IF(Sync!$AB881="",0,Sync!$AB881))</f>
        <v/>
      </c>
      <c r="M885">
        <f>IF($G885="","",IF($H885="مرجوعی فروش",-1,1)*($K885-$L885*IFERROR(VLOOKUP("P01",ParamTbl,3,0),1.5)))</f>
        <v/>
      </c>
      <c r="N885">
        <f>IF($G885="",0,IF($H885="مرجوعی فروش",-1,1)*IF(Sync!$AC881="",0,Sync!$AC881))</f>
        <v/>
      </c>
      <c r="O885">
        <f>IF(OR($G885="",Sync!$V881=""),"",Sync!$V881)</f>
        <v/>
      </c>
      <c r="P885">
        <f>IF(OR($G885="",Sync!$AD881=""),"",Sync!$AD881)</f>
        <v/>
      </c>
      <c r="Q885">
        <f>IF($G885="","",IF(Sync!$U881="","0000",IF(AND(ISNUMBER(Sync!$U881),Sync!$U881&gt;=0,Sync!$U881&lt;1),RIGHT("00"&amp;HOUR(Sync!$U881),2)&amp;RIGHT("00"&amp;MINUTE(Sync!$U881),2),IFERROR(RIGHT("00"&amp;VALUE(LEFT(Sync!$U881,FIND(":",Sync!$U881)-1)),2)&amp;RIGHT("00"&amp;VALUE(MID(Sync!$U881,FIND(":",Sync!$U881)+1,2)),2),"0000"))))</f>
        <v/>
      </c>
    </row>
    <row r="886">
      <c r="A886">
        <f>IF(Sync!$T882="","",Sync!$T882)</f>
        <v/>
      </c>
      <c r="B886">
        <f>IF($A886="","",IF(ISNUMBER($A886),IF(AND($A886&gt;=10000101,$A886&lt;=99991231),INT($A886/10000),""),IFERROR(VALUE(TRIM(LEFT($A886,FIND("/",$A886)-1))),"")))</f>
        <v/>
      </c>
      <c r="C886">
        <f>IF(OR($A886="",$B886=""),"",IF(ISNUMBER($A886),INT(MOD($A886,10000)/100),IFERROR(VALUE(TRIM(LEFT(MID($A886,FIND("/",$A886)+1,20),FIND("/",MID($A886,FIND("/",$A886)+1,20))-1))),"")))</f>
        <v/>
      </c>
      <c r="D886">
        <f>IF(OR($A886="",$B886=""),"",IF(ISNUMBER($A886),MOD($A886,100),IFERROR(VALUE(TRIM(MID(MID($A886,FIND("/",$A886)+1,20),FIND("/",MID($A886,FIND("/",$A886)+1,20))+1,20))),"")))</f>
        <v/>
      </c>
      <c r="E886">
        <f>IF($A886="","",IF(OR($B886="",$C886="",$D886="",$B886&lt;1300,$B886&gt;1500,$C886&lt;1,$C886&gt;12,$D886&lt;1,$D886&gt;31),"نامعتبر",RIGHT("0000"&amp;$B886,4)&amp;"/"&amp;RIGHT("00"&amp;$C886,2)&amp;"/"&amp;RIGHT("00"&amp;$D886,2)))</f>
        <v/>
      </c>
      <c r="F886">
        <f>IF(OR($E886="",$E886="نامعتبر"),"",LEFT($E886,4)&amp;"/"&amp;MID($E886,6,2))</f>
        <v/>
      </c>
      <c r="G886">
        <f>IF(OR($E886="",$E886="نامعتبر",Sync!$X882=""),"",IF(AND(LEFT(UPPER(TRIM(Sync!$X882)),2)="SL",IFERROR(VLOOKUP(Sync!$W882,OpTbl,3,0),"")="فروش"),UPPER(TRIM(Sync!$X882)),""))</f>
        <v/>
      </c>
      <c r="H886">
        <f>IF($G886="","",IF(Sync!$W882="","",Sync!$W882))</f>
        <v/>
      </c>
      <c r="I886">
        <f>IF(OR($G886="",Sync!$Y882=""),"",Sync!$Y882)</f>
        <v/>
      </c>
      <c r="J886">
        <f>IF(OR($G886="",Sync!$Z882=""),"",Sync!$Z882)</f>
        <v/>
      </c>
      <c r="K886">
        <f>IF($G886="",0,IF(Sync!$AA882="",0,Sync!$AA882))</f>
        <v/>
      </c>
      <c r="L886">
        <f>IF($G886="",0,IF(Sync!$AB882="",0,Sync!$AB882))</f>
        <v/>
      </c>
      <c r="M886">
        <f>IF($G886="","",IF($H886="مرجوعی فروش",-1,1)*($K886-$L886*IFERROR(VLOOKUP("P01",ParamTbl,3,0),1.5)))</f>
        <v/>
      </c>
      <c r="N886">
        <f>IF($G886="",0,IF($H886="مرجوعی فروش",-1,1)*IF(Sync!$AC882="",0,Sync!$AC882))</f>
        <v/>
      </c>
      <c r="O886">
        <f>IF(OR($G886="",Sync!$V882=""),"",Sync!$V882)</f>
        <v/>
      </c>
      <c r="P886">
        <f>IF(OR($G886="",Sync!$AD882=""),"",Sync!$AD882)</f>
        <v/>
      </c>
      <c r="Q886">
        <f>IF($G886="","",IF(Sync!$U882="","0000",IF(AND(ISNUMBER(Sync!$U882),Sync!$U882&gt;=0,Sync!$U882&lt;1),RIGHT("00"&amp;HOUR(Sync!$U882),2)&amp;RIGHT("00"&amp;MINUTE(Sync!$U882),2),IFERROR(RIGHT("00"&amp;VALUE(LEFT(Sync!$U882,FIND(":",Sync!$U882)-1)),2)&amp;RIGHT("00"&amp;VALUE(MID(Sync!$U882,FIND(":",Sync!$U882)+1,2)),2),"0000"))))</f>
        <v/>
      </c>
    </row>
    <row r="887">
      <c r="A887">
        <f>IF(Sync!$T883="","",Sync!$T883)</f>
        <v/>
      </c>
      <c r="B887">
        <f>IF($A887="","",IF(ISNUMBER($A887),IF(AND($A887&gt;=10000101,$A887&lt;=99991231),INT($A887/10000),""),IFERROR(VALUE(TRIM(LEFT($A887,FIND("/",$A887)-1))),"")))</f>
        <v/>
      </c>
      <c r="C887">
        <f>IF(OR($A887="",$B887=""),"",IF(ISNUMBER($A887),INT(MOD($A887,10000)/100),IFERROR(VALUE(TRIM(LEFT(MID($A887,FIND("/",$A887)+1,20),FIND("/",MID($A887,FIND("/",$A887)+1,20))-1))),"")))</f>
        <v/>
      </c>
      <c r="D887">
        <f>IF(OR($A887="",$B887=""),"",IF(ISNUMBER($A887),MOD($A887,100),IFERROR(VALUE(TRIM(MID(MID($A887,FIND("/",$A887)+1,20),FIND("/",MID($A887,FIND("/",$A887)+1,20))+1,20))),"")))</f>
        <v/>
      </c>
      <c r="E887">
        <f>IF($A887="","",IF(OR($B887="",$C887="",$D887="",$B887&lt;1300,$B887&gt;1500,$C887&lt;1,$C887&gt;12,$D887&lt;1,$D887&gt;31),"نامعتبر",RIGHT("0000"&amp;$B887,4)&amp;"/"&amp;RIGHT("00"&amp;$C887,2)&amp;"/"&amp;RIGHT("00"&amp;$D887,2)))</f>
        <v/>
      </c>
      <c r="F887">
        <f>IF(OR($E887="",$E887="نامعتبر"),"",LEFT($E887,4)&amp;"/"&amp;MID($E887,6,2))</f>
        <v/>
      </c>
      <c r="G887">
        <f>IF(OR($E887="",$E887="نامعتبر",Sync!$X883=""),"",IF(AND(LEFT(UPPER(TRIM(Sync!$X883)),2)="SL",IFERROR(VLOOKUP(Sync!$W883,OpTbl,3,0),"")="فروش"),UPPER(TRIM(Sync!$X883)),""))</f>
        <v/>
      </c>
      <c r="H887">
        <f>IF($G887="","",IF(Sync!$W883="","",Sync!$W883))</f>
        <v/>
      </c>
      <c r="I887">
        <f>IF(OR($G887="",Sync!$Y883=""),"",Sync!$Y883)</f>
        <v/>
      </c>
      <c r="J887">
        <f>IF(OR($G887="",Sync!$Z883=""),"",Sync!$Z883)</f>
        <v/>
      </c>
      <c r="K887">
        <f>IF($G887="",0,IF(Sync!$AA883="",0,Sync!$AA883))</f>
        <v/>
      </c>
      <c r="L887">
        <f>IF($G887="",0,IF(Sync!$AB883="",0,Sync!$AB883))</f>
        <v/>
      </c>
      <c r="M887">
        <f>IF($G887="","",IF($H887="مرجوعی فروش",-1,1)*($K887-$L887*IFERROR(VLOOKUP("P01",ParamTbl,3,0),1.5)))</f>
        <v/>
      </c>
      <c r="N887">
        <f>IF($G887="",0,IF($H887="مرجوعی فروش",-1,1)*IF(Sync!$AC883="",0,Sync!$AC883))</f>
        <v/>
      </c>
      <c r="O887">
        <f>IF(OR($G887="",Sync!$V883=""),"",Sync!$V883)</f>
        <v/>
      </c>
      <c r="P887">
        <f>IF(OR($G887="",Sync!$AD883=""),"",Sync!$AD883)</f>
        <v/>
      </c>
      <c r="Q887">
        <f>IF($G887="","",IF(Sync!$U883="","0000",IF(AND(ISNUMBER(Sync!$U883),Sync!$U883&gt;=0,Sync!$U883&lt;1),RIGHT("00"&amp;HOUR(Sync!$U883),2)&amp;RIGHT("00"&amp;MINUTE(Sync!$U883),2),IFERROR(RIGHT("00"&amp;VALUE(LEFT(Sync!$U883,FIND(":",Sync!$U883)-1)),2)&amp;RIGHT("00"&amp;VALUE(MID(Sync!$U883,FIND(":",Sync!$U883)+1,2)),2),"0000"))))</f>
        <v/>
      </c>
    </row>
    <row r="888">
      <c r="A888">
        <f>IF(Sync!$T884="","",Sync!$T884)</f>
        <v/>
      </c>
      <c r="B888">
        <f>IF($A888="","",IF(ISNUMBER($A888),IF(AND($A888&gt;=10000101,$A888&lt;=99991231),INT($A888/10000),""),IFERROR(VALUE(TRIM(LEFT($A888,FIND("/",$A888)-1))),"")))</f>
        <v/>
      </c>
      <c r="C888">
        <f>IF(OR($A888="",$B888=""),"",IF(ISNUMBER($A888),INT(MOD($A888,10000)/100),IFERROR(VALUE(TRIM(LEFT(MID($A888,FIND("/",$A888)+1,20),FIND("/",MID($A888,FIND("/",$A888)+1,20))-1))),"")))</f>
        <v/>
      </c>
      <c r="D888">
        <f>IF(OR($A888="",$B888=""),"",IF(ISNUMBER($A888),MOD($A888,100),IFERROR(VALUE(TRIM(MID(MID($A888,FIND("/",$A888)+1,20),FIND("/",MID($A888,FIND("/",$A888)+1,20))+1,20))),"")))</f>
        <v/>
      </c>
      <c r="E888">
        <f>IF($A888="","",IF(OR($B888="",$C888="",$D888="",$B888&lt;1300,$B888&gt;1500,$C888&lt;1,$C888&gt;12,$D888&lt;1,$D888&gt;31),"نامعتبر",RIGHT("0000"&amp;$B888,4)&amp;"/"&amp;RIGHT("00"&amp;$C888,2)&amp;"/"&amp;RIGHT("00"&amp;$D888,2)))</f>
        <v/>
      </c>
      <c r="F888">
        <f>IF(OR($E888="",$E888="نامعتبر"),"",LEFT($E888,4)&amp;"/"&amp;MID($E888,6,2))</f>
        <v/>
      </c>
      <c r="G888">
        <f>IF(OR($E888="",$E888="نامعتبر",Sync!$X884=""),"",IF(AND(LEFT(UPPER(TRIM(Sync!$X884)),2)="SL",IFERROR(VLOOKUP(Sync!$W884,OpTbl,3,0),"")="فروش"),UPPER(TRIM(Sync!$X884)),""))</f>
        <v/>
      </c>
      <c r="H888">
        <f>IF($G888="","",IF(Sync!$W884="","",Sync!$W884))</f>
        <v/>
      </c>
      <c r="I888">
        <f>IF(OR($G888="",Sync!$Y884=""),"",Sync!$Y884)</f>
        <v/>
      </c>
      <c r="J888">
        <f>IF(OR($G888="",Sync!$Z884=""),"",Sync!$Z884)</f>
        <v/>
      </c>
      <c r="K888">
        <f>IF($G888="",0,IF(Sync!$AA884="",0,Sync!$AA884))</f>
        <v/>
      </c>
      <c r="L888">
        <f>IF($G888="",0,IF(Sync!$AB884="",0,Sync!$AB884))</f>
        <v/>
      </c>
      <c r="M888">
        <f>IF($G888="","",IF($H888="مرجوعی فروش",-1,1)*($K888-$L888*IFERROR(VLOOKUP("P01",ParamTbl,3,0),1.5)))</f>
        <v/>
      </c>
      <c r="N888">
        <f>IF($G888="",0,IF($H888="مرجوعی فروش",-1,1)*IF(Sync!$AC884="",0,Sync!$AC884))</f>
        <v/>
      </c>
      <c r="O888">
        <f>IF(OR($G888="",Sync!$V884=""),"",Sync!$V884)</f>
        <v/>
      </c>
      <c r="P888">
        <f>IF(OR($G888="",Sync!$AD884=""),"",Sync!$AD884)</f>
        <v/>
      </c>
      <c r="Q888">
        <f>IF($G888="","",IF(Sync!$U884="","0000",IF(AND(ISNUMBER(Sync!$U884),Sync!$U884&gt;=0,Sync!$U884&lt;1),RIGHT("00"&amp;HOUR(Sync!$U884),2)&amp;RIGHT("00"&amp;MINUTE(Sync!$U884),2),IFERROR(RIGHT("00"&amp;VALUE(LEFT(Sync!$U884,FIND(":",Sync!$U884)-1)),2)&amp;RIGHT("00"&amp;VALUE(MID(Sync!$U884,FIND(":",Sync!$U884)+1,2)),2),"0000"))))</f>
        <v/>
      </c>
    </row>
    <row r="889">
      <c r="A889">
        <f>IF(Sync!$T885="","",Sync!$T885)</f>
        <v/>
      </c>
      <c r="B889">
        <f>IF($A889="","",IF(ISNUMBER($A889),IF(AND($A889&gt;=10000101,$A889&lt;=99991231),INT($A889/10000),""),IFERROR(VALUE(TRIM(LEFT($A889,FIND("/",$A889)-1))),"")))</f>
        <v/>
      </c>
      <c r="C889">
        <f>IF(OR($A889="",$B889=""),"",IF(ISNUMBER($A889),INT(MOD($A889,10000)/100),IFERROR(VALUE(TRIM(LEFT(MID($A889,FIND("/",$A889)+1,20),FIND("/",MID($A889,FIND("/",$A889)+1,20))-1))),"")))</f>
        <v/>
      </c>
      <c r="D889">
        <f>IF(OR($A889="",$B889=""),"",IF(ISNUMBER($A889),MOD($A889,100),IFERROR(VALUE(TRIM(MID(MID($A889,FIND("/",$A889)+1,20),FIND("/",MID($A889,FIND("/",$A889)+1,20))+1,20))),"")))</f>
        <v/>
      </c>
      <c r="E889">
        <f>IF($A889="","",IF(OR($B889="",$C889="",$D889="",$B889&lt;1300,$B889&gt;1500,$C889&lt;1,$C889&gt;12,$D889&lt;1,$D889&gt;31),"نامعتبر",RIGHT("0000"&amp;$B889,4)&amp;"/"&amp;RIGHT("00"&amp;$C889,2)&amp;"/"&amp;RIGHT("00"&amp;$D889,2)))</f>
        <v/>
      </c>
      <c r="F889">
        <f>IF(OR($E889="",$E889="نامعتبر"),"",LEFT($E889,4)&amp;"/"&amp;MID($E889,6,2))</f>
        <v/>
      </c>
      <c r="G889">
        <f>IF(OR($E889="",$E889="نامعتبر",Sync!$X885=""),"",IF(AND(LEFT(UPPER(TRIM(Sync!$X885)),2)="SL",IFERROR(VLOOKUP(Sync!$W885,OpTbl,3,0),"")="فروش"),UPPER(TRIM(Sync!$X885)),""))</f>
        <v/>
      </c>
      <c r="H889">
        <f>IF($G889="","",IF(Sync!$W885="","",Sync!$W885))</f>
        <v/>
      </c>
      <c r="I889">
        <f>IF(OR($G889="",Sync!$Y885=""),"",Sync!$Y885)</f>
        <v/>
      </c>
      <c r="J889">
        <f>IF(OR($G889="",Sync!$Z885=""),"",Sync!$Z885)</f>
        <v/>
      </c>
      <c r="K889">
        <f>IF($G889="",0,IF(Sync!$AA885="",0,Sync!$AA885))</f>
        <v/>
      </c>
      <c r="L889">
        <f>IF($G889="",0,IF(Sync!$AB885="",0,Sync!$AB885))</f>
        <v/>
      </c>
      <c r="M889">
        <f>IF($G889="","",IF($H889="مرجوعی فروش",-1,1)*($K889-$L889*IFERROR(VLOOKUP("P01",ParamTbl,3,0),1.5)))</f>
        <v/>
      </c>
      <c r="N889">
        <f>IF($G889="",0,IF($H889="مرجوعی فروش",-1,1)*IF(Sync!$AC885="",0,Sync!$AC885))</f>
        <v/>
      </c>
      <c r="O889">
        <f>IF(OR($G889="",Sync!$V885=""),"",Sync!$V885)</f>
        <v/>
      </c>
      <c r="P889">
        <f>IF(OR($G889="",Sync!$AD885=""),"",Sync!$AD885)</f>
        <v/>
      </c>
      <c r="Q889">
        <f>IF($G889="","",IF(Sync!$U885="","0000",IF(AND(ISNUMBER(Sync!$U885),Sync!$U885&gt;=0,Sync!$U885&lt;1),RIGHT("00"&amp;HOUR(Sync!$U885),2)&amp;RIGHT("00"&amp;MINUTE(Sync!$U885),2),IFERROR(RIGHT("00"&amp;VALUE(LEFT(Sync!$U885,FIND(":",Sync!$U885)-1)),2)&amp;RIGHT("00"&amp;VALUE(MID(Sync!$U885,FIND(":",Sync!$U885)+1,2)),2),"0000"))))</f>
        <v/>
      </c>
    </row>
    <row r="890">
      <c r="A890">
        <f>IF(Sync!$T886="","",Sync!$T886)</f>
        <v/>
      </c>
      <c r="B890">
        <f>IF($A890="","",IF(ISNUMBER($A890),IF(AND($A890&gt;=10000101,$A890&lt;=99991231),INT($A890/10000),""),IFERROR(VALUE(TRIM(LEFT($A890,FIND("/",$A890)-1))),"")))</f>
        <v/>
      </c>
      <c r="C890">
        <f>IF(OR($A890="",$B890=""),"",IF(ISNUMBER($A890),INT(MOD($A890,10000)/100),IFERROR(VALUE(TRIM(LEFT(MID($A890,FIND("/",$A890)+1,20),FIND("/",MID($A890,FIND("/",$A890)+1,20))-1))),"")))</f>
        <v/>
      </c>
      <c r="D890">
        <f>IF(OR($A890="",$B890=""),"",IF(ISNUMBER($A890),MOD($A890,100),IFERROR(VALUE(TRIM(MID(MID($A890,FIND("/",$A890)+1,20),FIND("/",MID($A890,FIND("/",$A890)+1,20))+1,20))),"")))</f>
        <v/>
      </c>
      <c r="E890">
        <f>IF($A890="","",IF(OR($B890="",$C890="",$D890="",$B890&lt;1300,$B890&gt;1500,$C890&lt;1,$C890&gt;12,$D890&lt;1,$D890&gt;31),"نامعتبر",RIGHT("0000"&amp;$B890,4)&amp;"/"&amp;RIGHT("00"&amp;$C890,2)&amp;"/"&amp;RIGHT("00"&amp;$D890,2)))</f>
        <v/>
      </c>
      <c r="F890">
        <f>IF(OR($E890="",$E890="نامعتبر"),"",LEFT($E890,4)&amp;"/"&amp;MID($E890,6,2))</f>
        <v/>
      </c>
      <c r="G890">
        <f>IF(OR($E890="",$E890="نامعتبر",Sync!$X886=""),"",IF(AND(LEFT(UPPER(TRIM(Sync!$X886)),2)="SL",IFERROR(VLOOKUP(Sync!$W886,OpTbl,3,0),"")="فروش"),UPPER(TRIM(Sync!$X886)),""))</f>
        <v/>
      </c>
      <c r="H890">
        <f>IF($G890="","",IF(Sync!$W886="","",Sync!$W886))</f>
        <v/>
      </c>
      <c r="I890">
        <f>IF(OR($G890="",Sync!$Y886=""),"",Sync!$Y886)</f>
        <v/>
      </c>
      <c r="J890">
        <f>IF(OR($G890="",Sync!$Z886=""),"",Sync!$Z886)</f>
        <v/>
      </c>
      <c r="K890">
        <f>IF($G890="",0,IF(Sync!$AA886="",0,Sync!$AA886))</f>
        <v/>
      </c>
      <c r="L890">
        <f>IF($G890="",0,IF(Sync!$AB886="",0,Sync!$AB886))</f>
        <v/>
      </c>
      <c r="M890">
        <f>IF($G890="","",IF($H890="مرجوعی فروش",-1,1)*($K890-$L890*IFERROR(VLOOKUP("P01",ParamTbl,3,0),1.5)))</f>
        <v/>
      </c>
      <c r="N890">
        <f>IF($G890="",0,IF($H890="مرجوعی فروش",-1,1)*IF(Sync!$AC886="",0,Sync!$AC886))</f>
        <v/>
      </c>
      <c r="O890">
        <f>IF(OR($G890="",Sync!$V886=""),"",Sync!$V886)</f>
        <v/>
      </c>
      <c r="P890">
        <f>IF(OR($G890="",Sync!$AD886=""),"",Sync!$AD886)</f>
        <v/>
      </c>
      <c r="Q890">
        <f>IF($G890="","",IF(Sync!$U886="","0000",IF(AND(ISNUMBER(Sync!$U886),Sync!$U886&gt;=0,Sync!$U886&lt;1),RIGHT("00"&amp;HOUR(Sync!$U886),2)&amp;RIGHT("00"&amp;MINUTE(Sync!$U886),2),IFERROR(RIGHT("00"&amp;VALUE(LEFT(Sync!$U886,FIND(":",Sync!$U886)-1)),2)&amp;RIGHT("00"&amp;VALUE(MID(Sync!$U886,FIND(":",Sync!$U886)+1,2)),2),"0000"))))</f>
        <v/>
      </c>
    </row>
    <row r="891">
      <c r="A891">
        <f>IF(Sync!$T887="","",Sync!$T887)</f>
        <v/>
      </c>
      <c r="B891">
        <f>IF($A891="","",IF(ISNUMBER($A891),IF(AND($A891&gt;=10000101,$A891&lt;=99991231),INT($A891/10000),""),IFERROR(VALUE(TRIM(LEFT($A891,FIND("/",$A891)-1))),"")))</f>
        <v/>
      </c>
      <c r="C891">
        <f>IF(OR($A891="",$B891=""),"",IF(ISNUMBER($A891),INT(MOD($A891,10000)/100),IFERROR(VALUE(TRIM(LEFT(MID($A891,FIND("/",$A891)+1,20),FIND("/",MID($A891,FIND("/",$A891)+1,20))-1))),"")))</f>
        <v/>
      </c>
      <c r="D891">
        <f>IF(OR($A891="",$B891=""),"",IF(ISNUMBER($A891),MOD($A891,100),IFERROR(VALUE(TRIM(MID(MID($A891,FIND("/",$A891)+1,20),FIND("/",MID($A891,FIND("/",$A891)+1,20))+1,20))),"")))</f>
        <v/>
      </c>
      <c r="E891">
        <f>IF($A891="","",IF(OR($B891="",$C891="",$D891="",$B891&lt;1300,$B891&gt;1500,$C891&lt;1,$C891&gt;12,$D891&lt;1,$D891&gt;31),"نامعتبر",RIGHT("0000"&amp;$B891,4)&amp;"/"&amp;RIGHT("00"&amp;$C891,2)&amp;"/"&amp;RIGHT("00"&amp;$D891,2)))</f>
        <v/>
      </c>
      <c r="F891">
        <f>IF(OR($E891="",$E891="نامعتبر"),"",LEFT($E891,4)&amp;"/"&amp;MID($E891,6,2))</f>
        <v/>
      </c>
      <c r="G891">
        <f>IF(OR($E891="",$E891="نامعتبر",Sync!$X887=""),"",IF(AND(LEFT(UPPER(TRIM(Sync!$X887)),2)="SL",IFERROR(VLOOKUP(Sync!$W887,OpTbl,3,0),"")="فروش"),UPPER(TRIM(Sync!$X887)),""))</f>
        <v/>
      </c>
      <c r="H891">
        <f>IF($G891="","",IF(Sync!$W887="","",Sync!$W887))</f>
        <v/>
      </c>
      <c r="I891">
        <f>IF(OR($G891="",Sync!$Y887=""),"",Sync!$Y887)</f>
        <v/>
      </c>
      <c r="J891">
        <f>IF(OR($G891="",Sync!$Z887=""),"",Sync!$Z887)</f>
        <v/>
      </c>
      <c r="K891">
        <f>IF($G891="",0,IF(Sync!$AA887="",0,Sync!$AA887))</f>
        <v/>
      </c>
      <c r="L891">
        <f>IF($G891="",0,IF(Sync!$AB887="",0,Sync!$AB887))</f>
        <v/>
      </c>
      <c r="M891">
        <f>IF($G891="","",IF($H891="مرجوعی فروش",-1,1)*($K891-$L891*IFERROR(VLOOKUP("P01",ParamTbl,3,0),1.5)))</f>
        <v/>
      </c>
      <c r="N891">
        <f>IF($G891="",0,IF($H891="مرجوعی فروش",-1,1)*IF(Sync!$AC887="",0,Sync!$AC887))</f>
        <v/>
      </c>
      <c r="O891">
        <f>IF(OR($G891="",Sync!$V887=""),"",Sync!$V887)</f>
        <v/>
      </c>
      <c r="P891">
        <f>IF(OR($G891="",Sync!$AD887=""),"",Sync!$AD887)</f>
        <v/>
      </c>
      <c r="Q891">
        <f>IF($G891="","",IF(Sync!$U887="","0000",IF(AND(ISNUMBER(Sync!$U887),Sync!$U887&gt;=0,Sync!$U887&lt;1),RIGHT("00"&amp;HOUR(Sync!$U887),2)&amp;RIGHT("00"&amp;MINUTE(Sync!$U887),2),IFERROR(RIGHT("00"&amp;VALUE(LEFT(Sync!$U887,FIND(":",Sync!$U887)-1)),2)&amp;RIGHT("00"&amp;VALUE(MID(Sync!$U887,FIND(":",Sync!$U887)+1,2)),2),"0000"))))</f>
        <v/>
      </c>
    </row>
    <row r="892">
      <c r="A892">
        <f>IF(Sync!$T888="","",Sync!$T888)</f>
        <v/>
      </c>
      <c r="B892">
        <f>IF($A892="","",IF(ISNUMBER($A892),IF(AND($A892&gt;=10000101,$A892&lt;=99991231),INT($A892/10000),""),IFERROR(VALUE(TRIM(LEFT($A892,FIND("/",$A892)-1))),"")))</f>
        <v/>
      </c>
      <c r="C892">
        <f>IF(OR($A892="",$B892=""),"",IF(ISNUMBER($A892),INT(MOD($A892,10000)/100),IFERROR(VALUE(TRIM(LEFT(MID($A892,FIND("/",$A892)+1,20),FIND("/",MID($A892,FIND("/",$A892)+1,20))-1))),"")))</f>
        <v/>
      </c>
      <c r="D892">
        <f>IF(OR($A892="",$B892=""),"",IF(ISNUMBER($A892),MOD($A892,100),IFERROR(VALUE(TRIM(MID(MID($A892,FIND("/",$A892)+1,20),FIND("/",MID($A892,FIND("/",$A892)+1,20))+1,20))),"")))</f>
        <v/>
      </c>
      <c r="E892">
        <f>IF($A892="","",IF(OR($B892="",$C892="",$D892="",$B892&lt;1300,$B892&gt;1500,$C892&lt;1,$C892&gt;12,$D892&lt;1,$D892&gt;31),"نامعتبر",RIGHT("0000"&amp;$B892,4)&amp;"/"&amp;RIGHT("00"&amp;$C892,2)&amp;"/"&amp;RIGHT("00"&amp;$D892,2)))</f>
        <v/>
      </c>
      <c r="F892">
        <f>IF(OR($E892="",$E892="نامعتبر"),"",LEFT($E892,4)&amp;"/"&amp;MID($E892,6,2))</f>
        <v/>
      </c>
      <c r="G892">
        <f>IF(OR($E892="",$E892="نامعتبر",Sync!$X888=""),"",IF(AND(LEFT(UPPER(TRIM(Sync!$X888)),2)="SL",IFERROR(VLOOKUP(Sync!$W888,OpTbl,3,0),"")="فروش"),UPPER(TRIM(Sync!$X888)),""))</f>
        <v/>
      </c>
      <c r="H892">
        <f>IF($G892="","",IF(Sync!$W888="","",Sync!$W888))</f>
        <v/>
      </c>
      <c r="I892">
        <f>IF(OR($G892="",Sync!$Y888=""),"",Sync!$Y888)</f>
        <v/>
      </c>
      <c r="J892">
        <f>IF(OR($G892="",Sync!$Z888=""),"",Sync!$Z888)</f>
        <v/>
      </c>
      <c r="K892">
        <f>IF($G892="",0,IF(Sync!$AA888="",0,Sync!$AA888))</f>
        <v/>
      </c>
      <c r="L892">
        <f>IF($G892="",0,IF(Sync!$AB888="",0,Sync!$AB888))</f>
        <v/>
      </c>
      <c r="M892">
        <f>IF($G892="","",IF($H892="مرجوعی فروش",-1,1)*($K892-$L892*IFERROR(VLOOKUP("P01",ParamTbl,3,0),1.5)))</f>
        <v/>
      </c>
      <c r="N892">
        <f>IF($G892="",0,IF($H892="مرجوعی فروش",-1,1)*IF(Sync!$AC888="",0,Sync!$AC888))</f>
        <v/>
      </c>
      <c r="O892">
        <f>IF(OR($G892="",Sync!$V888=""),"",Sync!$V888)</f>
        <v/>
      </c>
      <c r="P892">
        <f>IF(OR($G892="",Sync!$AD888=""),"",Sync!$AD888)</f>
        <v/>
      </c>
      <c r="Q892">
        <f>IF($G892="","",IF(Sync!$U888="","0000",IF(AND(ISNUMBER(Sync!$U888),Sync!$U888&gt;=0,Sync!$U888&lt;1),RIGHT("00"&amp;HOUR(Sync!$U888),2)&amp;RIGHT("00"&amp;MINUTE(Sync!$U888),2),IFERROR(RIGHT("00"&amp;VALUE(LEFT(Sync!$U888,FIND(":",Sync!$U888)-1)),2)&amp;RIGHT("00"&amp;VALUE(MID(Sync!$U888,FIND(":",Sync!$U888)+1,2)),2),"0000"))))</f>
        <v/>
      </c>
    </row>
    <row r="893">
      <c r="A893">
        <f>IF(Sync!$T889="","",Sync!$T889)</f>
        <v/>
      </c>
      <c r="B893">
        <f>IF($A893="","",IF(ISNUMBER($A893),IF(AND($A893&gt;=10000101,$A893&lt;=99991231),INT($A893/10000),""),IFERROR(VALUE(TRIM(LEFT($A893,FIND("/",$A893)-1))),"")))</f>
        <v/>
      </c>
      <c r="C893">
        <f>IF(OR($A893="",$B893=""),"",IF(ISNUMBER($A893),INT(MOD($A893,10000)/100),IFERROR(VALUE(TRIM(LEFT(MID($A893,FIND("/",$A893)+1,20),FIND("/",MID($A893,FIND("/",$A893)+1,20))-1))),"")))</f>
        <v/>
      </c>
      <c r="D893">
        <f>IF(OR($A893="",$B893=""),"",IF(ISNUMBER($A893),MOD($A893,100),IFERROR(VALUE(TRIM(MID(MID($A893,FIND("/",$A893)+1,20),FIND("/",MID($A893,FIND("/",$A893)+1,20))+1,20))),"")))</f>
        <v/>
      </c>
      <c r="E893">
        <f>IF($A893="","",IF(OR($B893="",$C893="",$D893="",$B893&lt;1300,$B893&gt;1500,$C893&lt;1,$C893&gt;12,$D893&lt;1,$D893&gt;31),"نامعتبر",RIGHT("0000"&amp;$B893,4)&amp;"/"&amp;RIGHT("00"&amp;$C893,2)&amp;"/"&amp;RIGHT("00"&amp;$D893,2)))</f>
        <v/>
      </c>
      <c r="F893">
        <f>IF(OR($E893="",$E893="نامعتبر"),"",LEFT($E893,4)&amp;"/"&amp;MID($E893,6,2))</f>
        <v/>
      </c>
      <c r="G893">
        <f>IF(OR($E893="",$E893="نامعتبر",Sync!$X889=""),"",IF(AND(LEFT(UPPER(TRIM(Sync!$X889)),2)="SL",IFERROR(VLOOKUP(Sync!$W889,OpTbl,3,0),"")="فروش"),UPPER(TRIM(Sync!$X889)),""))</f>
        <v/>
      </c>
      <c r="H893">
        <f>IF($G893="","",IF(Sync!$W889="","",Sync!$W889))</f>
        <v/>
      </c>
      <c r="I893">
        <f>IF(OR($G893="",Sync!$Y889=""),"",Sync!$Y889)</f>
        <v/>
      </c>
      <c r="J893">
        <f>IF(OR($G893="",Sync!$Z889=""),"",Sync!$Z889)</f>
        <v/>
      </c>
      <c r="K893">
        <f>IF($G893="",0,IF(Sync!$AA889="",0,Sync!$AA889))</f>
        <v/>
      </c>
      <c r="L893">
        <f>IF($G893="",0,IF(Sync!$AB889="",0,Sync!$AB889))</f>
        <v/>
      </c>
      <c r="M893">
        <f>IF($G893="","",IF($H893="مرجوعی فروش",-1,1)*($K893-$L893*IFERROR(VLOOKUP("P01",ParamTbl,3,0),1.5)))</f>
        <v/>
      </c>
      <c r="N893">
        <f>IF($G893="",0,IF($H893="مرجوعی فروش",-1,1)*IF(Sync!$AC889="",0,Sync!$AC889))</f>
        <v/>
      </c>
      <c r="O893">
        <f>IF(OR($G893="",Sync!$V889=""),"",Sync!$V889)</f>
        <v/>
      </c>
      <c r="P893">
        <f>IF(OR($G893="",Sync!$AD889=""),"",Sync!$AD889)</f>
        <v/>
      </c>
      <c r="Q893">
        <f>IF($G893="","",IF(Sync!$U889="","0000",IF(AND(ISNUMBER(Sync!$U889),Sync!$U889&gt;=0,Sync!$U889&lt;1),RIGHT("00"&amp;HOUR(Sync!$U889),2)&amp;RIGHT("00"&amp;MINUTE(Sync!$U889),2),IFERROR(RIGHT("00"&amp;VALUE(LEFT(Sync!$U889,FIND(":",Sync!$U889)-1)),2)&amp;RIGHT("00"&amp;VALUE(MID(Sync!$U889,FIND(":",Sync!$U889)+1,2)),2),"0000"))))</f>
        <v/>
      </c>
    </row>
    <row r="894">
      <c r="A894">
        <f>IF(Sync!$T890="","",Sync!$T890)</f>
        <v/>
      </c>
      <c r="B894">
        <f>IF($A894="","",IF(ISNUMBER($A894),IF(AND($A894&gt;=10000101,$A894&lt;=99991231),INT($A894/10000),""),IFERROR(VALUE(TRIM(LEFT($A894,FIND("/",$A894)-1))),"")))</f>
        <v/>
      </c>
      <c r="C894">
        <f>IF(OR($A894="",$B894=""),"",IF(ISNUMBER($A894),INT(MOD($A894,10000)/100),IFERROR(VALUE(TRIM(LEFT(MID($A894,FIND("/",$A894)+1,20),FIND("/",MID($A894,FIND("/",$A894)+1,20))-1))),"")))</f>
        <v/>
      </c>
      <c r="D894">
        <f>IF(OR($A894="",$B894=""),"",IF(ISNUMBER($A894),MOD($A894,100),IFERROR(VALUE(TRIM(MID(MID($A894,FIND("/",$A894)+1,20),FIND("/",MID($A894,FIND("/",$A894)+1,20))+1,20))),"")))</f>
        <v/>
      </c>
      <c r="E894">
        <f>IF($A894="","",IF(OR($B894="",$C894="",$D894="",$B894&lt;1300,$B894&gt;1500,$C894&lt;1,$C894&gt;12,$D894&lt;1,$D894&gt;31),"نامعتبر",RIGHT("0000"&amp;$B894,4)&amp;"/"&amp;RIGHT("00"&amp;$C894,2)&amp;"/"&amp;RIGHT("00"&amp;$D894,2)))</f>
        <v/>
      </c>
      <c r="F894">
        <f>IF(OR($E894="",$E894="نامعتبر"),"",LEFT($E894,4)&amp;"/"&amp;MID($E894,6,2))</f>
        <v/>
      </c>
      <c r="G894">
        <f>IF(OR($E894="",$E894="نامعتبر",Sync!$X890=""),"",IF(AND(LEFT(UPPER(TRIM(Sync!$X890)),2)="SL",IFERROR(VLOOKUP(Sync!$W890,OpTbl,3,0),"")="فروش"),UPPER(TRIM(Sync!$X890)),""))</f>
        <v/>
      </c>
      <c r="H894">
        <f>IF($G894="","",IF(Sync!$W890="","",Sync!$W890))</f>
        <v/>
      </c>
      <c r="I894">
        <f>IF(OR($G894="",Sync!$Y890=""),"",Sync!$Y890)</f>
        <v/>
      </c>
      <c r="J894">
        <f>IF(OR($G894="",Sync!$Z890=""),"",Sync!$Z890)</f>
        <v/>
      </c>
      <c r="K894">
        <f>IF($G894="",0,IF(Sync!$AA890="",0,Sync!$AA890))</f>
        <v/>
      </c>
      <c r="L894">
        <f>IF($G894="",0,IF(Sync!$AB890="",0,Sync!$AB890))</f>
        <v/>
      </c>
      <c r="M894">
        <f>IF($G894="","",IF($H894="مرجوعی فروش",-1,1)*($K894-$L894*IFERROR(VLOOKUP("P01",ParamTbl,3,0),1.5)))</f>
        <v/>
      </c>
      <c r="N894">
        <f>IF($G894="",0,IF($H894="مرجوعی فروش",-1,1)*IF(Sync!$AC890="",0,Sync!$AC890))</f>
        <v/>
      </c>
      <c r="O894">
        <f>IF(OR($G894="",Sync!$V890=""),"",Sync!$V890)</f>
        <v/>
      </c>
      <c r="P894">
        <f>IF(OR($G894="",Sync!$AD890=""),"",Sync!$AD890)</f>
        <v/>
      </c>
      <c r="Q894">
        <f>IF($G894="","",IF(Sync!$U890="","0000",IF(AND(ISNUMBER(Sync!$U890),Sync!$U890&gt;=0,Sync!$U890&lt;1),RIGHT("00"&amp;HOUR(Sync!$U890),2)&amp;RIGHT("00"&amp;MINUTE(Sync!$U890),2),IFERROR(RIGHT("00"&amp;VALUE(LEFT(Sync!$U890,FIND(":",Sync!$U890)-1)),2)&amp;RIGHT("00"&amp;VALUE(MID(Sync!$U890,FIND(":",Sync!$U890)+1,2)),2),"0000"))))</f>
        <v/>
      </c>
    </row>
    <row r="895">
      <c r="A895">
        <f>IF(Sync!$T891="","",Sync!$T891)</f>
        <v/>
      </c>
      <c r="B895">
        <f>IF($A895="","",IF(ISNUMBER($A895),IF(AND($A895&gt;=10000101,$A895&lt;=99991231),INT($A895/10000),""),IFERROR(VALUE(TRIM(LEFT($A895,FIND("/",$A895)-1))),"")))</f>
        <v/>
      </c>
      <c r="C895">
        <f>IF(OR($A895="",$B895=""),"",IF(ISNUMBER($A895),INT(MOD($A895,10000)/100),IFERROR(VALUE(TRIM(LEFT(MID($A895,FIND("/",$A895)+1,20),FIND("/",MID($A895,FIND("/",$A895)+1,20))-1))),"")))</f>
        <v/>
      </c>
      <c r="D895">
        <f>IF(OR($A895="",$B895=""),"",IF(ISNUMBER($A895),MOD($A895,100),IFERROR(VALUE(TRIM(MID(MID($A895,FIND("/",$A895)+1,20),FIND("/",MID($A895,FIND("/",$A895)+1,20))+1,20))),"")))</f>
        <v/>
      </c>
      <c r="E895">
        <f>IF($A895="","",IF(OR($B895="",$C895="",$D895="",$B895&lt;1300,$B895&gt;1500,$C895&lt;1,$C895&gt;12,$D895&lt;1,$D895&gt;31),"نامعتبر",RIGHT("0000"&amp;$B895,4)&amp;"/"&amp;RIGHT("00"&amp;$C895,2)&amp;"/"&amp;RIGHT("00"&amp;$D895,2)))</f>
        <v/>
      </c>
      <c r="F895">
        <f>IF(OR($E895="",$E895="نامعتبر"),"",LEFT($E895,4)&amp;"/"&amp;MID($E895,6,2))</f>
        <v/>
      </c>
      <c r="G895">
        <f>IF(OR($E895="",$E895="نامعتبر",Sync!$X891=""),"",IF(AND(LEFT(UPPER(TRIM(Sync!$X891)),2)="SL",IFERROR(VLOOKUP(Sync!$W891,OpTbl,3,0),"")="فروش"),UPPER(TRIM(Sync!$X891)),""))</f>
        <v/>
      </c>
      <c r="H895">
        <f>IF($G895="","",IF(Sync!$W891="","",Sync!$W891))</f>
        <v/>
      </c>
      <c r="I895">
        <f>IF(OR($G895="",Sync!$Y891=""),"",Sync!$Y891)</f>
        <v/>
      </c>
      <c r="J895">
        <f>IF(OR($G895="",Sync!$Z891=""),"",Sync!$Z891)</f>
        <v/>
      </c>
      <c r="K895">
        <f>IF($G895="",0,IF(Sync!$AA891="",0,Sync!$AA891))</f>
        <v/>
      </c>
      <c r="L895">
        <f>IF($G895="",0,IF(Sync!$AB891="",0,Sync!$AB891))</f>
        <v/>
      </c>
      <c r="M895">
        <f>IF($G895="","",IF($H895="مرجوعی فروش",-1,1)*($K895-$L895*IFERROR(VLOOKUP("P01",ParamTbl,3,0),1.5)))</f>
        <v/>
      </c>
      <c r="N895">
        <f>IF($G895="",0,IF($H895="مرجوعی فروش",-1,1)*IF(Sync!$AC891="",0,Sync!$AC891))</f>
        <v/>
      </c>
      <c r="O895">
        <f>IF(OR($G895="",Sync!$V891=""),"",Sync!$V891)</f>
        <v/>
      </c>
      <c r="P895">
        <f>IF(OR($G895="",Sync!$AD891=""),"",Sync!$AD891)</f>
        <v/>
      </c>
      <c r="Q895">
        <f>IF($G895="","",IF(Sync!$U891="","0000",IF(AND(ISNUMBER(Sync!$U891),Sync!$U891&gt;=0,Sync!$U891&lt;1),RIGHT("00"&amp;HOUR(Sync!$U891),2)&amp;RIGHT("00"&amp;MINUTE(Sync!$U891),2),IFERROR(RIGHT("00"&amp;VALUE(LEFT(Sync!$U891,FIND(":",Sync!$U891)-1)),2)&amp;RIGHT("00"&amp;VALUE(MID(Sync!$U891,FIND(":",Sync!$U891)+1,2)),2),"0000"))))</f>
        <v/>
      </c>
    </row>
    <row r="896">
      <c r="A896">
        <f>IF(Sync!$T892="","",Sync!$T892)</f>
        <v/>
      </c>
      <c r="B896">
        <f>IF($A896="","",IF(ISNUMBER($A896),IF(AND($A896&gt;=10000101,$A896&lt;=99991231),INT($A896/10000),""),IFERROR(VALUE(TRIM(LEFT($A896,FIND("/",$A896)-1))),"")))</f>
        <v/>
      </c>
      <c r="C896">
        <f>IF(OR($A896="",$B896=""),"",IF(ISNUMBER($A896),INT(MOD($A896,10000)/100),IFERROR(VALUE(TRIM(LEFT(MID($A896,FIND("/",$A896)+1,20),FIND("/",MID($A896,FIND("/",$A896)+1,20))-1))),"")))</f>
        <v/>
      </c>
      <c r="D896">
        <f>IF(OR($A896="",$B896=""),"",IF(ISNUMBER($A896),MOD($A896,100),IFERROR(VALUE(TRIM(MID(MID($A896,FIND("/",$A896)+1,20),FIND("/",MID($A896,FIND("/",$A896)+1,20))+1,20))),"")))</f>
        <v/>
      </c>
      <c r="E896">
        <f>IF($A896="","",IF(OR($B896="",$C896="",$D896="",$B896&lt;1300,$B896&gt;1500,$C896&lt;1,$C896&gt;12,$D896&lt;1,$D896&gt;31),"نامعتبر",RIGHT("0000"&amp;$B896,4)&amp;"/"&amp;RIGHT("00"&amp;$C896,2)&amp;"/"&amp;RIGHT("00"&amp;$D896,2)))</f>
        <v/>
      </c>
      <c r="F896">
        <f>IF(OR($E896="",$E896="نامعتبر"),"",LEFT($E896,4)&amp;"/"&amp;MID($E896,6,2))</f>
        <v/>
      </c>
      <c r="G896">
        <f>IF(OR($E896="",$E896="نامعتبر",Sync!$X892=""),"",IF(AND(LEFT(UPPER(TRIM(Sync!$X892)),2)="SL",IFERROR(VLOOKUP(Sync!$W892,OpTbl,3,0),"")="فروش"),UPPER(TRIM(Sync!$X892)),""))</f>
        <v/>
      </c>
      <c r="H896">
        <f>IF($G896="","",IF(Sync!$W892="","",Sync!$W892))</f>
        <v/>
      </c>
      <c r="I896">
        <f>IF(OR($G896="",Sync!$Y892=""),"",Sync!$Y892)</f>
        <v/>
      </c>
      <c r="J896">
        <f>IF(OR($G896="",Sync!$Z892=""),"",Sync!$Z892)</f>
        <v/>
      </c>
      <c r="K896">
        <f>IF($G896="",0,IF(Sync!$AA892="",0,Sync!$AA892))</f>
        <v/>
      </c>
      <c r="L896">
        <f>IF($G896="",0,IF(Sync!$AB892="",0,Sync!$AB892))</f>
        <v/>
      </c>
      <c r="M896">
        <f>IF($G896="","",IF($H896="مرجوعی فروش",-1,1)*($K896-$L896*IFERROR(VLOOKUP("P01",ParamTbl,3,0),1.5)))</f>
        <v/>
      </c>
      <c r="N896">
        <f>IF($G896="",0,IF($H896="مرجوعی فروش",-1,1)*IF(Sync!$AC892="",0,Sync!$AC892))</f>
        <v/>
      </c>
      <c r="O896">
        <f>IF(OR($G896="",Sync!$V892=""),"",Sync!$V892)</f>
        <v/>
      </c>
      <c r="P896">
        <f>IF(OR($G896="",Sync!$AD892=""),"",Sync!$AD892)</f>
        <v/>
      </c>
      <c r="Q896">
        <f>IF($G896="","",IF(Sync!$U892="","0000",IF(AND(ISNUMBER(Sync!$U892),Sync!$U892&gt;=0,Sync!$U892&lt;1),RIGHT("00"&amp;HOUR(Sync!$U892),2)&amp;RIGHT("00"&amp;MINUTE(Sync!$U892),2),IFERROR(RIGHT("00"&amp;VALUE(LEFT(Sync!$U892,FIND(":",Sync!$U892)-1)),2)&amp;RIGHT("00"&amp;VALUE(MID(Sync!$U892,FIND(":",Sync!$U892)+1,2)),2),"0000"))))</f>
        <v/>
      </c>
    </row>
    <row r="897">
      <c r="A897">
        <f>IF(Sync!$T893="","",Sync!$T893)</f>
        <v/>
      </c>
      <c r="B897">
        <f>IF($A897="","",IF(ISNUMBER($A897),IF(AND($A897&gt;=10000101,$A897&lt;=99991231),INT($A897/10000),""),IFERROR(VALUE(TRIM(LEFT($A897,FIND("/",$A897)-1))),"")))</f>
        <v/>
      </c>
      <c r="C897">
        <f>IF(OR($A897="",$B897=""),"",IF(ISNUMBER($A897),INT(MOD($A897,10000)/100),IFERROR(VALUE(TRIM(LEFT(MID($A897,FIND("/",$A897)+1,20),FIND("/",MID($A897,FIND("/",$A897)+1,20))-1))),"")))</f>
        <v/>
      </c>
      <c r="D897">
        <f>IF(OR($A897="",$B897=""),"",IF(ISNUMBER($A897),MOD($A897,100),IFERROR(VALUE(TRIM(MID(MID($A897,FIND("/",$A897)+1,20),FIND("/",MID($A897,FIND("/",$A897)+1,20))+1,20))),"")))</f>
        <v/>
      </c>
      <c r="E897">
        <f>IF($A897="","",IF(OR($B897="",$C897="",$D897="",$B897&lt;1300,$B897&gt;1500,$C897&lt;1,$C897&gt;12,$D897&lt;1,$D897&gt;31),"نامعتبر",RIGHT("0000"&amp;$B897,4)&amp;"/"&amp;RIGHT("00"&amp;$C897,2)&amp;"/"&amp;RIGHT("00"&amp;$D897,2)))</f>
        <v/>
      </c>
      <c r="F897">
        <f>IF(OR($E897="",$E897="نامعتبر"),"",LEFT($E897,4)&amp;"/"&amp;MID($E897,6,2))</f>
        <v/>
      </c>
      <c r="G897">
        <f>IF(OR($E897="",$E897="نامعتبر",Sync!$X893=""),"",IF(AND(LEFT(UPPER(TRIM(Sync!$X893)),2)="SL",IFERROR(VLOOKUP(Sync!$W893,OpTbl,3,0),"")="فروش"),UPPER(TRIM(Sync!$X893)),""))</f>
        <v/>
      </c>
      <c r="H897">
        <f>IF($G897="","",IF(Sync!$W893="","",Sync!$W893))</f>
        <v/>
      </c>
      <c r="I897">
        <f>IF(OR($G897="",Sync!$Y893=""),"",Sync!$Y893)</f>
        <v/>
      </c>
      <c r="J897">
        <f>IF(OR($G897="",Sync!$Z893=""),"",Sync!$Z893)</f>
        <v/>
      </c>
      <c r="K897">
        <f>IF($G897="",0,IF(Sync!$AA893="",0,Sync!$AA893))</f>
        <v/>
      </c>
      <c r="L897">
        <f>IF($G897="",0,IF(Sync!$AB893="",0,Sync!$AB893))</f>
        <v/>
      </c>
      <c r="M897">
        <f>IF($G897="","",IF($H897="مرجوعی فروش",-1,1)*($K897-$L897*IFERROR(VLOOKUP("P01",ParamTbl,3,0),1.5)))</f>
        <v/>
      </c>
      <c r="N897">
        <f>IF($G897="",0,IF($H897="مرجوعی فروش",-1,1)*IF(Sync!$AC893="",0,Sync!$AC893))</f>
        <v/>
      </c>
      <c r="O897">
        <f>IF(OR($G897="",Sync!$V893=""),"",Sync!$V893)</f>
        <v/>
      </c>
      <c r="P897">
        <f>IF(OR($G897="",Sync!$AD893=""),"",Sync!$AD893)</f>
        <v/>
      </c>
      <c r="Q897">
        <f>IF($G897="","",IF(Sync!$U893="","0000",IF(AND(ISNUMBER(Sync!$U893),Sync!$U893&gt;=0,Sync!$U893&lt;1),RIGHT("00"&amp;HOUR(Sync!$U893),2)&amp;RIGHT("00"&amp;MINUTE(Sync!$U893),2),IFERROR(RIGHT("00"&amp;VALUE(LEFT(Sync!$U893,FIND(":",Sync!$U893)-1)),2)&amp;RIGHT("00"&amp;VALUE(MID(Sync!$U893,FIND(":",Sync!$U893)+1,2)),2),"0000"))))</f>
        <v/>
      </c>
    </row>
    <row r="898">
      <c r="A898">
        <f>IF(Sync!$T894="","",Sync!$T894)</f>
        <v/>
      </c>
      <c r="B898">
        <f>IF($A898="","",IF(ISNUMBER($A898),IF(AND($A898&gt;=10000101,$A898&lt;=99991231),INT($A898/10000),""),IFERROR(VALUE(TRIM(LEFT($A898,FIND("/",$A898)-1))),"")))</f>
        <v/>
      </c>
      <c r="C898">
        <f>IF(OR($A898="",$B898=""),"",IF(ISNUMBER($A898),INT(MOD($A898,10000)/100),IFERROR(VALUE(TRIM(LEFT(MID($A898,FIND("/",$A898)+1,20),FIND("/",MID($A898,FIND("/",$A898)+1,20))-1))),"")))</f>
        <v/>
      </c>
      <c r="D898">
        <f>IF(OR($A898="",$B898=""),"",IF(ISNUMBER($A898),MOD($A898,100),IFERROR(VALUE(TRIM(MID(MID($A898,FIND("/",$A898)+1,20),FIND("/",MID($A898,FIND("/",$A898)+1,20))+1,20))),"")))</f>
        <v/>
      </c>
      <c r="E898">
        <f>IF($A898="","",IF(OR($B898="",$C898="",$D898="",$B898&lt;1300,$B898&gt;1500,$C898&lt;1,$C898&gt;12,$D898&lt;1,$D898&gt;31),"نامعتبر",RIGHT("0000"&amp;$B898,4)&amp;"/"&amp;RIGHT("00"&amp;$C898,2)&amp;"/"&amp;RIGHT("00"&amp;$D898,2)))</f>
        <v/>
      </c>
      <c r="F898">
        <f>IF(OR($E898="",$E898="نامعتبر"),"",LEFT($E898,4)&amp;"/"&amp;MID($E898,6,2))</f>
        <v/>
      </c>
      <c r="G898">
        <f>IF(OR($E898="",$E898="نامعتبر",Sync!$X894=""),"",IF(AND(LEFT(UPPER(TRIM(Sync!$X894)),2)="SL",IFERROR(VLOOKUP(Sync!$W894,OpTbl,3,0),"")="فروش"),UPPER(TRIM(Sync!$X894)),""))</f>
        <v/>
      </c>
      <c r="H898">
        <f>IF($G898="","",IF(Sync!$W894="","",Sync!$W894))</f>
        <v/>
      </c>
      <c r="I898">
        <f>IF(OR($G898="",Sync!$Y894=""),"",Sync!$Y894)</f>
        <v/>
      </c>
      <c r="J898">
        <f>IF(OR($G898="",Sync!$Z894=""),"",Sync!$Z894)</f>
        <v/>
      </c>
      <c r="K898">
        <f>IF($G898="",0,IF(Sync!$AA894="",0,Sync!$AA894))</f>
        <v/>
      </c>
      <c r="L898">
        <f>IF($G898="",0,IF(Sync!$AB894="",0,Sync!$AB894))</f>
        <v/>
      </c>
      <c r="M898">
        <f>IF($G898="","",IF($H898="مرجوعی فروش",-1,1)*($K898-$L898*IFERROR(VLOOKUP("P01",ParamTbl,3,0),1.5)))</f>
        <v/>
      </c>
      <c r="N898">
        <f>IF($G898="",0,IF($H898="مرجوعی فروش",-1,1)*IF(Sync!$AC894="",0,Sync!$AC894))</f>
        <v/>
      </c>
      <c r="O898">
        <f>IF(OR($G898="",Sync!$V894=""),"",Sync!$V894)</f>
        <v/>
      </c>
      <c r="P898">
        <f>IF(OR($G898="",Sync!$AD894=""),"",Sync!$AD894)</f>
        <v/>
      </c>
      <c r="Q898">
        <f>IF($G898="","",IF(Sync!$U894="","0000",IF(AND(ISNUMBER(Sync!$U894),Sync!$U894&gt;=0,Sync!$U894&lt;1),RIGHT("00"&amp;HOUR(Sync!$U894),2)&amp;RIGHT("00"&amp;MINUTE(Sync!$U894),2),IFERROR(RIGHT("00"&amp;VALUE(LEFT(Sync!$U894,FIND(":",Sync!$U894)-1)),2)&amp;RIGHT("00"&amp;VALUE(MID(Sync!$U894,FIND(":",Sync!$U894)+1,2)),2),"0000"))))</f>
        <v/>
      </c>
    </row>
    <row r="899">
      <c r="A899">
        <f>IF(Sync!$T895="","",Sync!$T895)</f>
        <v/>
      </c>
      <c r="B899">
        <f>IF($A899="","",IF(ISNUMBER($A899),IF(AND($A899&gt;=10000101,$A899&lt;=99991231),INT($A899/10000),""),IFERROR(VALUE(TRIM(LEFT($A899,FIND("/",$A899)-1))),"")))</f>
        <v/>
      </c>
      <c r="C899">
        <f>IF(OR($A899="",$B899=""),"",IF(ISNUMBER($A899),INT(MOD($A899,10000)/100),IFERROR(VALUE(TRIM(LEFT(MID($A899,FIND("/",$A899)+1,20),FIND("/",MID($A899,FIND("/",$A899)+1,20))-1))),"")))</f>
        <v/>
      </c>
      <c r="D899">
        <f>IF(OR($A899="",$B899=""),"",IF(ISNUMBER($A899),MOD($A899,100),IFERROR(VALUE(TRIM(MID(MID($A899,FIND("/",$A899)+1,20),FIND("/",MID($A899,FIND("/",$A899)+1,20))+1,20))),"")))</f>
        <v/>
      </c>
      <c r="E899">
        <f>IF($A899="","",IF(OR($B899="",$C899="",$D899="",$B899&lt;1300,$B899&gt;1500,$C899&lt;1,$C899&gt;12,$D899&lt;1,$D899&gt;31),"نامعتبر",RIGHT("0000"&amp;$B899,4)&amp;"/"&amp;RIGHT("00"&amp;$C899,2)&amp;"/"&amp;RIGHT("00"&amp;$D899,2)))</f>
        <v/>
      </c>
      <c r="F899">
        <f>IF(OR($E899="",$E899="نامعتبر"),"",LEFT($E899,4)&amp;"/"&amp;MID($E899,6,2))</f>
        <v/>
      </c>
      <c r="G899">
        <f>IF(OR($E899="",$E899="نامعتبر",Sync!$X895=""),"",IF(AND(LEFT(UPPER(TRIM(Sync!$X895)),2)="SL",IFERROR(VLOOKUP(Sync!$W895,OpTbl,3,0),"")="فروش"),UPPER(TRIM(Sync!$X895)),""))</f>
        <v/>
      </c>
      <c r="H899">
        <f>IF($G899="","",IF(Sync!$W895="","",Sync!$W895))</f>
        <v/>
      </c>
      <c r="I899">
        <f>IF(OR($G899="",Sync!$Y895=""),"",Sync!$Y895)</f>
        <v/>
      </c>
      <c r="J899">
        <f>IF(OR($G899="",Sync!$Z895=""),"",Sync!$Z895)</f>
        <v/>
      </c>
      <c r="K899">
        <f>IF($G899="",0,IF(Sync!$AA895="",0,Sync!$AA895))</f>
        <v/>
      </c>
      <c r="L899">
        <f>IF($G899="",0,IF(Sync!$AB895="",0,Sync!$AB895))</f>
        <v/>
      </c>
      <c r="M899">
        <f>IF($G899="","",IF($H899="مرجوعی فروش",-1,1)*($K899-$L899*IFERROR(VLOOKUP("P01",ParamTbl,3,0),1.5)))</f>
        <v/>
      </c>
      <c r="N899">
        <f>IF($G899="",0,IF($H899="مرجوعی فروش",-1,1)*IF(Sync!$AC895="",0,Sync!$AC895))</f>
        <v/>
      </c>
      <c r="O899">
        <f>IF(OR($G899="",Sync!$V895=""),"",Sync!$V895)</f>
        <v/>
      </c>
      <c r="P899">
        <f>IF(OR($G899="",Sync!$AD895=""),"",Sync!$AD895)</f>
        <v/>
      </c>
      <c r="Q899">
        <f>IF($G899="","",IF(Sync!$U895="","0000",IF(AND(ISNUMBER(Sync!$U895),Sync!$U895&gt;=0,Sync!$U895&lt;1),RIGHT("00"&amp;HOUR(Sync!$U895),2)&amp;RIGHT("00"&amp;MINUTE(Sync!$U895),2),IFERROR(RIGHT("00"&amp;VALUE(LEFT(Sync!$U895,FIND(":",Sync!$U895)-1)),2)&amp;RIGHT("00"&amp;VALUE(MID(Sync!$U895,FIND(":",Sync!$U895)+1,2)),2),"0000"))))</f>
        <v/>
      </c>
    </row>
    <row r="900">
      <c r="A900">
        <f>IF(Sync!$T896="","",Sync!$T896)</f>
        <v/>
      </c>
      <c r="B900">
        <f>IF($A900="","",IF(ISNUMBER($A900),IF(AND($A900&gt;=10000101,$A900&lt;=99991231),INT($A900/10000),""),IFERROR(VALUE(TRIM(LEFT($A900,FIND("/",$A900)-1))),"")))</f>
        <v/>
      </c>
      <c r="C900">
        <f>IF(OR($A900="",$B900=""),"",IF(ISNUMBER($A900),INT(MOD($A900,10000)/100),IFERROR(VALUE(TRIM(LEFT(MID($A900,FIND("/",$A900)+1,20),FIND("/",MID($A900,FIND("/",$A900)+1,20))-1))),"")))</f>
        <v/>
      </c>
      <c r="D900">
        <f>IF(OR($A900="",$B900=""),"",IF(ISNUMBER($A900),MOD($A900,100),IFERROR(VALUE(TRIM(MID(MID($A900,FIND("/",$A900)+1,20),FIND("/",MID($A900,FIND("/",$A900)+1,20))+1,20))),"")))</f>
        <v/>
      </c>
      <c r="E900">
        <f>IF($A900="","",IF(OR($B900="",$C900="",$D900="",$B900&lt;1300,$B900&gt;1500,$C900&lt;1,$C900&gt;12,$D900&lt;1,$D900&gt;31),"نامعتبر",RIGHT("0000"&amp;$B900,4)&amp;"/"&amp;RIGHT("00"&amp;$C900,2)&amp;"/"&amp;RIGHT("00"&amp;$D900,2)))</f>
        <v/>
      </c>
      <c r="F900">
        <f>IF(OR($E900="",$E900="نامعتبر"),"",LEFT($E900,4)&amp;"/"&amp;MID($E900,6,2))</f>
        <v/>
      </c>
      <c r="G900">
        <f>IF(OR($E900="",$E900="نامعتبر",Sync!$X896=""),"",IF(AND(LEFT(UPPER(TRIM(Sync!$X896)),2)="SL",IFERROR(VLOOKUP(Sync!$W896,OpTbl,3,0),"")="فروش"),UPPER(TRIM(Sync!$X896)),""))</f>
        <v/>
      </c>
      <c r="H900">
        <f>IF($G900="","",IF(Sync!$W896="","",Sync!$W896))</f>
        <v/>
      </c>
      <c r="I900">
        <f>IF(OR($G900="",Sync!$Y896=""),"",Sync!$Y896)</f>
        <v/>
      </c>
      <c r="J900">
        <f>IF(OR($G900="",Sync!$Z896=""),"",Sync!$Z896)</f>
        <v/>
      </c>
      <c r="K900">
        <f>IF($G900="",0,IF(Sync!$AA896="",0,Sync!$AA896))</f>
        <v/>
      </c>
      <c r="L900">
        <f>IF($G900="",0,IF(Sync!$AB896="",0,Sync!$AB896))</f>
        <v/>
      </c>
      <c r="M900">
        <f>IF($G900="","",IF($H900="مرجوعی فروش",-1,1)*($K900-$L900*IFERROR(VLOOKUP("P01",ParamTbl,3,0),1.5)))</f>
        <v/>
      </c>
      <c r="N900">
        <f>IF($G900="",0,IF($H900="مرجوعی فروش",-1,1)*IF(Sync!$AC896="",0,Sync!$AC896))</f>
        <v/>
      </c>
      <c r="O900">
        <f>IF(OR($G900="",Sync!$V896=""),"",Sync!$V896)</f>
        <v/>
      </c>
      <c r="P900">
        <f>IF(OR($G900="",Sync!$AD896=""),"",Sync!$AD896)</f>
        <v/>
      </c>
      <c r="Q900">
        <f>IF($G900="","",IF(Sync!$U896="","0000",IF(AND(ISNUMBER(Sync!$U896),Sync!$U896&gt;=0,Sync!$U896&lt;1),RIGHT("00"&amp;HOUR(Sync!$U896),2)&amp;RIGHT("00"&amp;MINUTE(Sync!$U896),2),IFERROR(RIGHT("00"&amp;VALUE(LEFT(Sync!$U896,FIND(":",Sync!$U896)-1)),2)&amp;RIGHT("00"&amp;VALUE(MID(Sync!$U896,FIND(":",Sync!$U896)+1,2)),2),"0000"))))</f>
        <v/>
      </c>
    </row>
    <row r="901">
      <c r="A901">
        <f>IF(Sync!$T897="","",Sync!$T897)</f>
        <v/>
      </c>
      <c r="B901">
        <f>IF($A901="","",IF(ISNUMBER($A901),IF(AND($A901&gt;=10000101,$A901&lt;=99991231),INT($A901/10000),""),IFERROR(VALUE(TRIM(LEFT($A901,FIND("/",$A901)-1))),"")))</f>
        <v/>
      </c>
      <c r="C901">
        <f>IF(OR($A901="",$B901=""),"",IF(ISNUMBER($A901),INT(MOD($A901,10000)/100),IFERROR(VALUE(TRIM(LEFT(MID($A901,FIND("/",$A901)+1,20),FIND("/",MID($A901,FIND("/",$A901)+1,20))-1))),"")))</f>
        <v/>
      </c>
      <c r="D901">
        <f>IF(OR($A901="",$B901=""),"",IF(ISNUMBER($A901),MOD($A901,100),IFERROR(VALUE(TRIM(MID(MID($A901,FIND("/",$A901)+1,20),FIND("/",MID($A901,FIND("/",$A901)+1,20))+1,20))),"")))</f>
        <v/>
      </c>
      <c r="E901">
        <f>IF($A901="","",IF(OR($B901="",$C901="",$D901="",$B901&lt;1300,$B901&gt;1500,$C901&lt;1,$C901&gt;12,$D901&lt;1,$D901&gt;31),"نامعتبر",RIGHT("0000"&amp;$B901,4)&amp;"/"&amp;RIGHT("00"&amp;$C901,2)&amp;"/"&amp;RIGHT("00"&amp;$D901,2)))</f>
        <v/>
      </c>
      <c r="F901">
        <f>IF(OR($E901="",$E901="نامعتبر"),"",LEFT($E901,4)&amp;"/"&amp;MID($E901,6,2))</f>
        <v/>
      </c>
      <c r="G901">
        <f>IF(OR($E901="",$E901="نامعتبر",Sync!$X897=""),"",IF(AND(LEFT(UPPER(TRIM(Sync!$X897)),2)="SL",IFERROR(VLOOKUP(Sync!$W897,OpTbl,3,0),"")="فروش"),UPPER(TRIM(Sync!$X897)),""))</f>
        <v/>
      </c>
      <c r="H901">
        <f>IF($G901="","",IF(Sync!$W897="","",Sync!$W897))</f>
        <v/>
      </c>
      <c r="I901">
        <f>IF(OR($G901="",Sync!$Y897=""),"",Sync!$Y897)</f>
        <v/>
      </c>
      <c r="J901">
        <f>IF(OR($G901="",Sync!$Z897=""),"",Sync!$Z897)</f>
        <v/>
      </c>
      <c r="K901">
        <f>IF($G901="",0,IF(Sync!$AA897="",0,Sync!$AA897))</f>
        <v/>
      </c>
      <c r="L901">
        <f>IF($G901="",0,IF(Sync!$AB897="",0,Sync!$AB897))</f>
        <v/>
      </c>
      <c r="M901">
        <f>IF($G901="","",IF($H901="مرجوعی فروش",-1,1)*($K901-$L901*IFERROR(VLOOKUP("P01",ParamTbl,3,0),1.5)))</f>
        <v/>
      </c>
      <c r="N901">
        <f>IF($G901="",0,IF($H901="مرجوعی فروش",-1,1)*IF(Sync!$AC897="",0,Sync!$AC897))</f>
        <v/>
      </c>
      <c r="O901">
        <f>IF(OR($G901="",Sync!$V897=""),"",Sync!$V897)</f>
        <v/>
      </c>
      <c r="P901">
        <f>IF(OR($G901="",Sync!$AD897=""),"",Sync!$AD897)</f>
        <v/>
      </c>
      <c r="Q901">
        <f>IF($G901="","",IF(Sync!$U897="","0000",IF(AND(ISNUMBER(Sync!$U897),Sync!$U897&gt;=0,Sync!$U897&lt;1),RIGHT("00"&amp;HOUR(Sync!$U897),2)&amp;RIGHT("00"&amp;MINUTE(Sync!$U897),2),IFERROR(RIGHT("00"&amp;VALUE(LEFT(Sync!$U897,FIND(":",Sync!$U897)-1)),2)&amp;RIGHT("00"&amp;VALUE(MID(Sync!$U897,FIND(":",Sync!$U897)+1,2)),2),"0000"))))</f>
        <v/>
      </c>
    </row>
    <row r="902">
      <c r="A902">
        <f>IF(Sync!$T898="","",Sync!$T898)</f>
        <v/>
      </c>
      <c r="B902">
        <f>IF($A902="","",IF(ISNUMBER($A902),IF(AND($A902&gt;=10000101,$A902&lt;=99991231),INT($A902/10000),""),IFERROR(VALUE(TRIM(LEFT($A902,FIND("/",$A902)-1))),"")))</f>
        <v/>
      </c>
      <c r="C902">
        <f>IF(OR($A902="",$B902=""),"",IF(ISNUMBER($A902),INT(MOD($A902,10000)/100),IFERROR(VALUE(TRIM(LEFT(MID($A902,FIND("/",$A902)+1,20),FIND("/",MID($A902,FIND("/",$A902)+1,20))-1))),"")))</f>
        <v/>
      </c>
      <c r="D902">
        <f>IF(OR($A902="",$B902=""),"",IF(ISNUMBER($A902),MOD($A902,100),IFERROR(VALUE(TRIM(MID(MID($A902,FIND("/",$A902)+1,20),FIND("/",MID($A902,FIND("/",$A902)+1,20))+1,20))),"")))</f>
        <v/>
      </c>
      <c r="E902">
        <f>IF($A902="","",IF(OR($B902="",$C902="",$D902="",$B902&lt;1300,$B902&gt;1500,$C902&lt;1,$C902&gt;12,$D902&lt;1,$D902&gt;31),"نامعتبر",RIGHT("0000"&amp;$B902,4)&amp;"/"&amp;RIGHT("00"&amp;$C902,2)&amp;"/"&amp;RIGHT("00"&amp;$D902,2)))</f>
        <v/>
      </c>
      <c r="F902">
        <f>IF(OR($E902="",$E902="نامعتبر"),"",LEFT($E902,4)&amp;"/"&amp;MID($E902,6,2))</f>
        <v/>
      </c>
      <c r="G902">
        <f>IF(OR($E902="",$E902="نامعتبر",Sync!$X898=""),"",IF(AND(LEFT(UPPER(TRIM(Sync!$X898)),2)="SL",IFERROR(VLOOKUP(Sync!$W898,OpTbl,3,0),"")="فروش"),UPPER(TRIM(Sync!$X898)),""))</f>
        <v/>
      </c>
      <c r="H902">
        <f>IF($G902="","",IF(Sync!$W898="","",Sync!$W898))</f>
        <v/>
      </c>
      <c r="I902">
        <f>IF(OR($G902="",Sync!$Y898=""),"",Sync!$Y898)</f>
        <v/>
      </c>
      <c r="J902">
        <f>IF(OR($G902="",Sync!$Z898=""),"",Sync!$Z898)</f>
        <v/>
      </c>
      <c r="K902">
        <f>IF($G902="",0,IF(Sync!$AA898="",0,Sync!$AA898))</f>
        <v/>
      </c>
      <c r="L902">
        <f>IF($G902="",0,IF(Sync!$AB898="",0,Sync!$AB898))</f>
        <v/>
      </c>
      <c r="M902">
        <f>IF($G902="","",IF($H902="مرجوعی فروش",-1,1)*($K902-$L902*IFERROR(VLOOKUP("P01",ParamTbl,3,0),1.5)))</f>
        <v/>
      </c>
      <c r="N902">
        <f>IF($G902="",0,IF($H902="مرجوعی فروش",-1,1)*IF(Sync!$AC898="",0,Sync!$AC898))</f>
        <v/>
      </c>
      <c r="O902">
        <f>IF(OR($G902="",Sync!$V898=""),"",Sync!$V898)</f>
        <v/>
      </c>
      <c r="P902">
        <f>IF(OR($G902="",Sync!$AD898=""),"",Sync!$AD898)</f>
        <v/>
      </c>
      <c r="Q902">
        <f>IF($G902="","",IF(Sync!$U898="","0000",IF(AND(ISNUMBER(Sync!$U898),Sync!$U898&gt;=0,Sync!$U898&lt;1),RIGHT("00"&amp;HOUR(Sync!$U898),2)&amp;RIGHT("00"&amp;MINUTE(Sync!$U898),2),IFERROR(RIGHT("00"&amp;VALUE(LEFT(Sync!$U898,FIND(":",Sync!$U898)-1)),2)&amp;RIGHT("00"&amp;VALUE(MID(Sync!$U898,FIND(":",Sync!$U898)+1,2)),2),"0000"))))</f>
        <v/>
      </c>
    </row>
    <row r="903">
      <c r="A903">
        <f>IF(Sync!$T899="","",Sync!$T899)</f>
        <v/>
      </c>
      <c r="B903">
        <f>IF($A903="","",IF(ISNUMBER($A903),IF(AND($A903&gt;=10000101,$A903&lt;=99991231),INT($A903/10000),""),IFERROR(VALUE(TRIM(LEFT($A903,FIND("/",$A903)-1))),"")))</f>
        <v/>
      </c>
      <c r="C903">
        <f>IF(OR($A903="",$B903=""),"",IF(ISNUMBER($A903),INT(MOD($A903,10000)/100),IFERROR(VALUE(TRIM(LEFT(MID($A903,FIND("/",$A903)+1,20),FIND("/",MID($A903,FIND("/",$A903)+1,20))-1))),"")))</f>
        <v/>
      </c>
      <c r="D903">
        <f>IF(OR($A903="",$B903=""),"",IF(ISNUMBER($A903),MOD($A903,100),IFERROR(VALUE(TRIM(MID(MID($A903,FIND("/",$A903)+1,20),FIND("/",MID($A903,FIND("/",$A903)+1,20))+1,20))),"")))</f>
        <v/>
      </c>
      <c r="E903">
        <f>IF($A903="","",IF(OR($B903="",$C903="",$D903="",$B903&lt;1300,$B903&gt;1500,$C903&lt;1,$C903&gt;12,$D903&lt;1,$D903&gt;31),"نامعتبر",RIGHT("0000"&amp;$B903,4)&amp;"/"&amp;RIGHT("00"&amp;$C903,2)&amp;"/"&amp;RIGHT("00"&amp;$D903,2)))</f>
        <v/>
      </c>
      <c r="F903">
        <f>IF(OR($E903="",$E903="نامعتبر"),"",LEFT($E903,4)&amp;"/"&amp;MID($E903,6,2))</f>
        <v/>
      </c>
      <c r="G903">
        <f>IF(OR($E903="",$E903="نامعتبر",Sync!$X899=""),"",IF(AND(LEFT(UPPER(TRIM(Sync!$X899)),2)="SL",IFERROR(VLOOKUP(Sync!$W899,OpTbl,3,0),"")="فروش"),UPPER(TRIM(Sync!$X899)),""))</f>
        <v/>
      </c>
      <c r="H903">
        <f>IF($G903="","",IF(Sync!$W899="","",Sync!$W899))</f>
        <v/>
      </c>
      <c r="I903">
        <f>IF(OR($G903="",Sync!$Y899=""),"",Sync!$Y899)</f>
        <v/>
      </c>
      <c r="J903">
        <f>IF(OR($G903="",Sync!$Z899=""),"",Sync!$Z899)</f>
        <v/>
      </c>
      <c r="K903">
        <f>IF($G903="",0,IF(Sync!$AA899="",0,Sync!$AA899))</f>
        <v/>
      </c>
      <c r="L903">
        <f>IF($G903="",0,IF(Sync!$AB899="",0,Sync!$AB899))</f>
        <v/>
      </c>
      <c r="M903">
        <f>IF($G903="","",IF($H903="مرجوعی فروش",-1,1)*($K903-$L903*IFERROR(VLOOKUP("P01",ParamTbl,3,0),1.5)))</f>
        <v/>
      </c>
      <c r="N903">
        <f>IF($G903="",0,IF($H903="مرجوعی فروش",-1,1)*IF(Sync!$AC899="",0,Sync!$AC899))</f>
        <v/>
      </c>
      <c r="O903">
        <f>IF(OR($G903="",Sync!$V899=""),"",Sync!$V899)</f>
        <v/>
      </c>
      <c r="P903">
        <f>IF(OR($G903="",Sync!$AD899=""),"",Sync!$AD899)</f>
        <v/>
      </c>
      <c r="Q903">
        <f>IF($G903="","",IF(Sync!$U899="","0000",IF(AND(ISNUMBER(Sync!$U899),Sync!$U899&gt;=0,Sync!$U899&lt;1),RIGHT("00"&amp;HOUR(Sync!$U899),2)&amp;RIGHT("00"&amp;MINUTE(Sync!$U899),2),IFERROR(RIGHT("00"&amp;VALUE(LEFT(Sync!$U899,FIND(":",Sync!$U899)-1)),2)&amp;RIGHT("00"&amp;VALUE(MID(Sync!$U899,FIND(":",Sync!$U899)+1,2)),2),"0000"))))</f>
        <v/>
      </c>
    </row>
    <row r="904">
      <c r="A904">
        <f>IF(Sync!$T900="","",Sync!$T900)</f>
        <v/>
      </c>
      <c r="B904">
        <f>IF($A904="","",IF(ISNUMBER($A904),IF(AND($A904&gt;=10000101,$A904&lt;=99991231),INT($A904/10000),""),IFERROR(VALUE(TRIM(LEFT($A904,FIND("/",$A904)-1))),"")))</f>
        <v/>
      </c>
      <c r="C904">
        <f>IF(OR($A904="",$B904=""),"",IF(ISNUMBER($A904),INT(MOD($A904,10000)/100),IFERROR(VALUE(TRIM(LEFT(MID($A904,FIND("/",$A904)+1,20),FIND("/",MID($A904,FIND("/",$A904)+1,20))-1))),"")))</f>
        <v/>
      </c>
      <c r="D904">
        <f>IF(OR($A904="",$B904=""),"",IF(ISNUMBER($A904),MOD($A904,100),IFERROR(VALUE(TRIM(MID(MID($A904,FIND("/",$A904)+1,20),FIND("/",MID($A904,FIND("/",$A904)+1,20))+1,20))),"")))</f>
        <v/>
      </c>
      <c r="E904">
        <f>IF($A904="","",IF(OR($B904="",$C904="",$D904="",$B904&lt;1300,$B904&gt;1500,$C904&lt;1,$C904&gt;12,$D904&lt;1,$D904&gt;31),"نامعتبر",RIGHT("0000"&amp;$B904,4)&amp;"/"&amp;RIGHT("00"&amp;$C904,2)&amp;"/"&amp;RIGHT("00"&amp;$D904,2)))</f>
        <v/>
      </c>
      <c r="F904">
        <f>IF(OR($E904="",$E904="نامعتبر"),"",LEFT($E904,4)&amp;"/"&amp;MID($E904,6,2))</f>
        <v/>
      </c>
      <c r="G904">
        <f>IF(OR($E904="",$E904="نامعتبر",Sync!$X900=""),"",IF(AND(LEFT(UPPER(TRIM(Sync!$X900)),2)="SL",IFERROR(VLOOKUP(Sync!$W900,OpTbl,3,0),"")="فروش"),UPPER(TRIM(Sync!$X900)),""))</f>
        <v/>
      </c>
      <c r="H904">
        <f>IF($G904="","",IF(Sync!$W900="","",Sync!$W900))</f>
        <v/>
      </c>
      <c r="I904">
        <f>IF(OR($G904="",Sync!$Y900=""),"",Sync!$Y900)</f>
        <v/>
      </c>
      <c r="J904">
        <f>IF(OR($G904="",Sync!$Z900=""),"",Sync!$Z900)</f>
        <v/>
      </c>
      <c r="K904">
        <f>IF($G904="",0,IF(Sync!$AA900="",0,Sync!$AA900))</f>
        <v/>
      </c>
      <c r="L904">
        <f>IF($G904="",0,IF(Sync!$AB900="",0,Sync!$AB900))</f>
        <v/>
      </c>
      <c r="M904">
        <f>IF($G904="","",IF($H904="مرجوعی فروش",-1,1)*($K904-$L904*IFERROR(VLOOKUP("P01",ParamTbl,3,0),1.5)))</f>
        <v/>
      </c>
      <c r="N904">
        <f>IF($G904="",0,IF($H904="مرجوعی فروش",-1,1)*IF(Sync!$AC900="",0,Sync!$AC900))</f>
        <v/>
      </c>
      <c r="O904">
        <f>IF(OR($G904="",Sync!$V900=""),"",Sync!$V900)</f>
        <v/>
      </c>
      <c r="P904">
        <f>IF(OR($G904="",Sync!$AD900=""),"",Sync!$AD900)</f>
        <v/>
      </c>
      <c r="Q904">
        <f>IF($G904="","",IF(Sync!$U900="","0000",IF(AND(ISNUMBER(Sync!$U900),Sync!$U900&gt;=0,Sync!$U900&lt;1),RIGHT("00"&amp;HOUR(Sync!$U900),2)&amp;RIGHT("00"&amp;MINUTE(Sync!$U900),2),IFERROR(RIGHT("00"&amp;VALUE(LEFT(Sync!$U900,FIND(":",Sync!$U900)-1)),2)&amp;RIGHT("00"&amp;VALUE(MID(Sync!$U900,FIND(":",Sync!$U900)+1,2)),2),"0000"))))</f>
        <v/>
      </c>
    </row>
    <row r="905">
      <c r="A905">
        <f>IF(Sync!$T901="","",Sync!$T901)</f>
        <v/>
      </c>
      <c r="B905">
        <f>IF($A905="","",IF(ISNUMBER($A905),IF(AND($A905&gt;=10000101,$A905&lt;=99991231),INT($A905/10000),""),IFERROR(VALUE(TRIM(LEFT($A905,FIND("/",$A905)-1))),"")))</f>
        <v/>
      </c>
      <c r="C905">
        <f>IF(OR($A905="",$B905=""),"",IF(ISNUMBER($A905),INT(MOD($A905,10000)/100),IFERROR(VALUE(TRIM(LEFT(MID($A905,FIND("/",$A905)+1,20),FIND("/",MID($A905,FIND("/",$A905)+1,20))-1))),"")))</f>
        <v/>
      </c>
      <c r="D905">
        <f>IF(OR($A905="",$B905=""),"",IF(ISNUMBER($A905),MOD($A905,100),IFERROR(VALUE(TRIM(MID(MID($A905,FIND("/",$A905)+1,20),FIND("/",MID($A905,FIND("/",$A905)+1,20))+1,20))),"")))</f>
        <v/>
      </c>
      <c r="E905">
        <f>IF($A905="","",IF(OR($B905="",$C905="",$D905="",$B905&lt;1300,$B905&gt;1500,$C905&lt;1,$C905&gt;12,$D905&lt;1,$D905&gt;31),"نامعتبر",RIGHT("0000"&amp;$B905,4)&amp;"/"&amp;RIGHT("00"&amp;$C905,2)&amp;"/"&amp;RIGHT("00"&amp;$D905,2)))</f>
        <v/>
      </c>
      <c r="F905">
        <f>IF(OR($E905="",$E905="نامعتبر"),"",LEFT($E905,4)&amp;"/"&amp;MID($E905,6,2))</f>
        <v/>
      </c>
      <c r="G905">
        <f>IF(OR($E905="",$E905="نامعتبر",Sync!$X901=""),"",IF(AND(LEFT(UPPER(TRIM(Sync!$X901)),2)="SL",IFERROR(VLOOKUP(Sync!$W901,OpTbl,3,0),"")="فروش"),UPPER(TRIM(Sync!$X901)),""))</f>
        <v/>
      </c>
      <c r="H905">
        <f>IF($G905="","",IF(Sync!$W901="","",Sync!$W901))</f>
        <v/>
      </c>
      <c r="I905">
        <f>IF(OR($G905="",Sync!$Y901=""),"",Sync!$Y901)</f>
        <v/>
      </c>
      <c r="J905">
        <f>IF(OR($G905="",Sync!$Z901=""),"",Sync!$Z901)</f>
        <v/>
      </c>
      <c r="K905">
        <f>IF($G905="",0,IF(Sync!$AA901="",0,Sync!$AA901))</f>
        <v/>
      </c>
      <c r="L905">
        <f>IF($G905="",0,IF(Sync!$AB901="",0,Sync!$AB901))</f>
        <v/>
      </c>
      <c r="M905">
        <f>IF($G905="","",IF($H905="مرجوعی فروش",-1,1)*($K905-$L905*IFERROR(VLOOKUP("P01",ParamTbl,3,0),1.5)))</f>
        <v/>
      </c>
      <c r="N905">
        <f>IF($G905="",0,IF($H905="مرجوعی فروش",-1,1)*IF(Sync!$AC901="",0,Sync!$AC901))</f>
        <v/>
      </c>
      <c r="O905">
        <f>IF(OR($G905="",Sync!$V901=""),"",Sync!$V901)</f>
        <v/>
      </c>
      <c r="P905">
        <f>IF(OR($G905="",Sync!$AD901=""),"",Sync!$AD901)</f>
        <v/>
      </c>
      <c r="Q905">
        <f>IF($G905="","",IF(Sync!$U901="","0000",IF(AND(ISNUMBER(Sync!$U901),Sync!$U901&gt;=0,Sync!$U901&lt;1),RIGHT("00"&amp;HOUR(Sync!$U901),2)&amp;RIGHT("00"&amp;MINUTE(Sync!$U901),2),IFERROR(RIGHT("00"&amp;VALUE(LEFT(Sync!$U901,FIND(":",Sync!$U901)-1)),2)&amp;RIGHT("00"&amp;VALUE(MID(Sync!$U901,FIND(":",Sync!$U901)+1,2)),2),"0000"))))</f>
        <v/>
      </c>
    </row>
    <row r="906">
      <c r="A906">
        <f>IF(Sync!$T902="","",Sync!$T902)</f>
        <v/>
      </c>
      <c r="B906">
        <f>IF($A906="","",IF(ISNUMBER($A906),IF(AND($A906&gt;=10000101,$A906&lt;=99991231),INT($A906/10000),""),IFERROR(VALUE(TRIM(LEFT($A906,FIND("/",$A906)-1))),"")))</f>
        <v/>
      </c>
      <c r="C906">
        <f>IF(OR($A906="",$B906=""),"",IF(ISNUMBER($A906),INT(MOD($A906,10000)/100),IFERROR(VALUE(TRIM(LEFT(MID($A906,FIND("/",$A906)+1,20),FIND("/",MID($A906,FIND("/",$A906)+1,20))-1))),"")))</f>
        <v/>
      </c>
      <c r="D906">
        <f>IF(OR($A906="",$B906=""),"",IF(ISNUMBER($A906),MOD($A906,100),IFERROR(VALUE(TRIM(MID(MID($A906,FIND("/",$A906)+1,20),FIND("/",MID($A906,FIND("/",$A906)+1,20))+1,20))),"")))</f>
        <v/>
      </c>
      <c r="E906">
        <f>IF($A906="","",IF(OR($B906="",$C906="",$D906="",$B906&lt;1300,$B906&gt;1500,$C906&lt;1,$C906&gt;12,$D906&lt;1,$D906&gt;31),"نامعتبر",RIGHT("0000"&amp;$B906,4)&amp;"/"&amp;RIGHT("00"&amp;$C906,2)&amp;"/"&amp;RIGHT("00"&amp;$D906,2)))</f>
        <v/>
      </c>
      <c r="F906">
        <f>IF(OR($E906="",$E906="نامعتبر"),"",LEFT($E906,4)&amp;"/"&amp;MID($E906,6,2))</f>
        <v/>
      </c>
      <c r="G906">
        <f>IF(OR($E906="",$E906="نامعتبر",Sync!$X902=""),"",IF(AND(LEFT(UPPER(TRIM(Sync!$X902)),2)="SL",IFERROR(VLOOKUP(Sync!$W902,OpTbl,3,0),"")="فروش"),UPPER(TRIM(Sync!$X902)),""))</f>
        <v/>
      </c>
      <c r="H906">
        <f>IF($G906="","",IF(Sync!$W902="","",Sync!$W902))</f>
        <v/>
      </c>
      <c r="I906">
        <f>IF(OR($G906="",Sync!$Y902=""),"",Sync!$Y902)</f>
        <v/>
      </c>
      <c r="J906">
        <f>IF(OR($G906="",Sync!$Z902=""),"",Sync!$Z902)</f>
        <v/>
      </c>
      <c r="K906">
        <f>IF($G906="",0,IF(Sync!$AA902="",0,Sync!$AA902))</f>
        <v/>
      </c>
      <c r="L906">
        <f>IF($G906="",0,IF(Sync!$AB902="",0,Sync!$AB902))</f>
        <v/>
      </c>
      <c r="M906">
        <f>IF($G906="","",IF($H906="مرجوعی فروش",-1,1)*($K906-$L906*IFERROR(VLOOKUP("P01",ParamTbl,3,0),1.5)))</f>
        <v/>
      </c>
      <c r="N906">
        <f>IF($G906="",0,IF($H906="مرجوعی فروش",-1,1)*IF(Sync!$AC902="",0,Sync!$AC902))</f>
        <v/>
      </c>
      <c r="O906">
        <f>IF(OR($G906="",Sync!$V902=""),"",Sync!$V902)</f>
        <v/>
      </c>
      <c r="P906">
        <f>IF(OR($G906="",Sync!$AD902=""),"",Sync!$AD902)</f>
        <v/>
      </c>
      <c r="Q906">
        <f>IF($G906="","",IF(Sync!$U902="","0000",IF(AND(ISNUMBER(Sync!$U902),Sync!$U902&gt;=0,Sync!$U902&lt;1),RIGHT("00"&amp;HOUR(Sync!$U902),2)&amp;RIGHT("00"&amp;MINUTE(Sync!$U902),2),IFERROR(RIGHT("00"&amp;VALUE(LEFT(Sync!$U902,FIND(":",Sync!$U902)-1)),2)&amp;RIGHT("00"&amp;VALUE(MID(Sync!$U902,FIND(":",Sync!$U902)+1,2)),2),"0000"))))</f>
        <v/>
      </c>
    </row>
    <row r="907">
      <c r="A907">
        <f>IF(Sync!$T903="","",Sync!$T903)</f>
        <v/>
      </c>
      <c r="B907">
        <f>IF($A907="","",IF(ISNUMBER($A907),IF(AND($A907&gt;=10000101,$A907&lt;=99991231),INT($A907/10000),""),IFERROR(VALUE(TRIM(LEFT($A907,FIND("/",$A907)-1))),"")))</f>
        <v/>
      </c>
      <c r="C907">
        <f>IF(OR($A907="",$B907=""),"",IF(ISNUMBER($A907),INT(MOD($A907,10000)/100),IFERROR(VALUE(TRIM(LEFT(MID($A907,FIND("/",$A907)+1,20),FIND("/",MID($A907,FIND("/",$A907)+1,20))-1))),"")))</f>
        <v/>
      </c>
      <c r="D907">
        <f>IF(OR($A907="",$B907=""),"",IF(ISNUMBER($A907),MOD($A907,100),IFERROR(VALUE(TRIM(MID(MID($A907,FIND("/",$A907)+1,20),FIND("/",MID($A907,FIND("/",$A907)+1,20))+1,20))),"")))</f>
        <v/>
      </c>
      <c r="E907">
        <f>IF($A907="","",IF(OR($B907="",$C907="",$D907="",$B907&lt;1300,$B907&gt;1500,$C907&lt;1,$C907&gt;12,$D907&lt;1,$D907&gt;31),"نامعتبر",RIGHT("0000"&amp;$B907,4)&amp;"/"&amp;RIGHT("00"&amp;$C907,2)&amp;"/"&amp;RIGHT("00"&amp;$D907,2)))</f>
        <v/>
      </c>
      <c r="F907">
        <f>IF(OR($E907="",$E907="نامعتبر"),"",LEFT($E907,4)&amp;"/"&amp;MID($E907,6,2))</f>
        <v/>
      </c>
      <c r="G907">
        <f>IF(OR($E907="",$E907="نامعتبر",Sync!$X903=""),"",IF(AND(LEFT(UPPER(TRIM(Sync!$X903)),2)="SL",IFERROR(VLOOKUP(Sync!$W903,OpTbl,3,0),"")="فروش"),UPPER(TRIM(Sync!$X903)),""))</f>
        <v/>
      </c>
      <c r="H907">
        <f>IF($G907="","",IF(Sync!$W903="","",Sync!$W903))</f>
        <v/>
      </c>
      <c r="I907">
        <f>IF(OR($G907="",Sync!$Y903=""),"",Sync!$Y903)</f>
        <v/>
      </c>
      <c r="J907">
        <f>IF(OR($G907="",Sync!$Z903=""),"",Sync!$Z903)</f>
        <v/>
      </c>
      <c r="K907">
        <f>IF($G907="",0,IF(Sync!$AA903="",0,Sync!$AA903))</f>
        <v/>
      </c>
      <c r="L907">
        <f>IF($G907="",0,IF(Sync!$AB903="",0,Sync!$AB903))</f>
        <v/>
      </c>
      <c r="M907">
        <f>IF($G907="","",IF($H907="مرجوعی فروش",-1,1)*($K907-$L907*IFERROR(VLOOKUP("P01",ParamTbl,3,0),1.5)))</f>
        <v/>
      </c>
      <c r="N907">
        <f>IF($G907="",0,IF($H907="مرجوعی فروش",-1,1)*IF(Sync!$AC903="",0,Sync!$AC903))</f>
        <v/>
      </c>
      <c r="O907">
        <f>IF(OR($G907="",Sync!$V903=""),"",Sync!$V903)</f>
        <v/>
      </c>
      <c r="P907">
        <f>IF(OR($G907="",Sync!$AD903=""),"",Sync!$AD903)</f>
        <v/>
      </c>
      <c r="Q907">
        <f>IF($G907="","",IF(Sync!$U903="","0000",IF(AND(ISNUMBER(Sync!$U903),Sync!$U903&gt;=0,Sync!$U903&lt;1),RIGHT("00"&amp;HOUR(Sync!$U903),2)&amp;RIGHT("00"&amp;MINUTE(Sync!$U903),2),IFERROR(RIGHT("00"&amp;VALUE(LEFT(Sync!$U903,FIND(":",Sync!$U903)-1)),2)&amp;RIGHT("00"&amp;VALUE(MID(Sync!$U903,FIND(":",Sync!$U903)+1,2)),2),"0000"))))</f>
        <v/>
      </c>
    </row>
    <row r="908">
      <c r="A908">
        <f>IF(Sync!$T904="","",Sync!$T904)</f>
        <v/>
      </c>
      <c r="B908">
        <f>IF($A908="","",IF(ISNUMBER($A908),IF(AND($A908&gt;=10000101,$A908&lt;=99991231),INT($A908/10000),""),IFERROR(VALUE(TRIM(LEFT($A908,FIND("/",$A908)-1))),"")))</f>
        <v/>
      </c>
      <c r="C908">
        <f>IF(OR($A908="",$B908=""),"",IF(ISNUMBER($A908),INT(MOD($A908,10000)/100),IFERROR(VALUE(TRIM(LEFT(MID($A908,FIND("/",$A908)+1,20),FIND("/",MID($A908,FIND("/",$A908)+1,20))-1))),"")))</f>
        <v/>
      </c>
      <c r="D908">
        <f>IF(OR($A908="",$B908=""),"",IF(ISNUMBER($A908),MOD($A908,100),IFERROR(VALUE(TRIM(MID(MID($A908,FIND("/",$A908)+1,20),FIND("/",MID($A908,FIND("/",$A908)+1,20))+1,20))),"")))</f>
        <v/>
      </c>
      <c r="E908">
        <f>IF($A908="","",IF(OR($B908="",$C908="",$D908="",$B908&lt;1300,$B908&gt;1500,$C908&lt;1,$C908&gt;12,$D908&lt;1,$D908&gt;31),"نامعتبر",RIGHT("0000"&amp;$B908,4)&amp;"/"&amp;RIGHT("00"&amp;$C908,2)&amp;"/"&amp;RIGHT("00"&amp;$D908,2)))</f>
        <v/>
      </c>
      <c r="F908">
        <f>IF(OR($E908="",$E908="نامعتبر"),"",LEFT($E908,4)&amp;"/"&amp;MID($E908,6,2))</f>
        <v/>
      </c>
      <c r="G908">
        <f>IF(OR($E908="",$E908="نامعتبر",Sync!$X904=""),"",IF(AND(LEFT(UPPER(TRIM(Sync!$X904)),2)="SL",IFERROR(VLOOKUP(Sync!$W904,OpTbl,3,0),"")="فروش"),UPPER(TRIM(Sync!$X904)),""))</f>
        <v/>
      </c>
      <c r="H908">
        <f>IF($G908="","",IF(Sync!$W904="","",Sync!$W904))</f>
        <v/>
      </c>
      <c r="I908">
        <f>IF(OR($G908="",Sync!$Y904=""),"",Sync!$Y904)</f>
        <v/>
      </c>
      <c r="J908">
        <f>IF(OR($G908="",Sync!$Z904=""),"",Sync!$Z904)</f>
        <v/>
      </c>
      <c r="K908">
        <f>IF($G908="",0,IF(Sync!$AA904="",0,Sync!$AA904))</f>
        <v/>
      </c>
      <c r="L908">
        <f>IF($G908="",0,IF(Sync!$AB904="",0,Sync!$AB904))</f>
        <v/>
      </c>
      <c r="M908">
        <f>IF($G908="","",IF($H908="مرجوعی فروش",-1,1)*($K908-$L908*IFERROR(VLOOKUP("P01",ParamTbl,3,0),1.5)))</f>
        <v/>
      </c>
      <c r="N908">
        <f>IF($G908="",0,IF($H908="مرجوعی فروش",-1,1)*IF(Sync!$AC904="",0,Sync!$AC904))</f>
        <v/>
      </c>
      <c r="O908">
        <f>IF(OR($G908="",Sync!$V904=""),"",Sync!$V904)</f>
        <v/>
      </c>
      <c r="P908">
        <f>IF(OR($G908="",Sync!$AD904=""),"",Sync!$AD904)</f>
        <v/>
      </c>
      <c r="Q908">
        <f>IF($G908="","",IF(Sync!$U904="","0000",IF(AND(ISNUMBER(Sync!$U904),Sync!$U904&gt;=0,Sync!$U904&lt;1),RIGHT("00"&amp;HOUR(Sync!$U904),2)&amp;RIGHT("00"&amp;MINUTE(Sync!$U904),2),IFERROR(RIGHT("00"&amp;VALUE(LEFT(Sync!$U904,FIND(":",Sync!$U904)-1)),2)&amp;RIGHT("00"&amp;VALUE(MID(Sync!$U904,FIND(":",Sync!$U904)+1,2)),2),"0000"))))</f>
        <v/>
      </c>
    </row>
    <row r="909">
      <c r="A909">
        <f>IF(Sync!$T905="","",Sync!$T905)</f>
        <v/>
      </c>
      <c r="B909">
        <f>IF($A909="","",IF(ISNUMBER($A909),IF(AND($A909&gt;=10000101,$A909&lt;=99991231),INT($A909/10000),""),IFERROR(VALUE(TRIM(LEFT($A909,FIND("/",$A909)-1))),"")))</f>
        <v/>
      </c>
      <c r="C909">
        <f>IF(OR($A909="",$B909=""),"",IF(ISNUMBER($A909),INT(MOD($A909,10000)/100),IFERROR(VALUE(TRIM(LEFT(MID($A909,FIND("/",$A909)+1,20),FIND("/",MID($A909,FIND("/",$A909)+1,20))-1))),"")))</f>
        <v/>
      </c>
      <c r="D909">
        <f>IF(OR($A909="",$B909=""),"",IF(ISNUMBER($A909),MOD($A909,100),IFERROR(VALUE(TRIM(MID(MID($A909,FIND("/",$A909)+1,20),FIND("/",MID($A909,FIND("/",$A909)+1,20))+1,20))),"")))</f>
        <v/>
      </c>
      <c r="E909">
        <f>IF($A909="","",IF(OR($B909="",$C909="",$D909="",$B909&lt;1300,$B909&gt;1500,$C909&lt;1,$C909&gt;12,$D909&lt;1,$D909&gt;31),"نامعتبر",RIGHT("0000"&amp;$B909,4)&amp;"/"&amp;RIGHT("00"&amp;$C909,2)&amp;"/"&amp;RIGHT("00"&amp;$D909,2)))</f>
        <v/>
      </c>
      <c r="F909">
        <f>IF(OR($E909="",$E909="نامعتبر"),"",LEFT($E909,4)&amp;"/"&amp;MID($E909,6,2))</f>
        <v/>
      </c>
      <c r="G909">
        <f>IF(OR($E909="",$E909="نامعتبر",Sync!$X905=""),"",IF(AND(LEFT(UPPER(TRIM(Sync!$X905)),2)="SL",IFERROR(VLOOKUP(Sync!$W905,OpTbl,3,0),"")="فروش"),UPPER(TRIM(Sync!$X905)),""))</f>
        <v/>
      </c>
      <c r="H909">
        <f>IF($G909="","",IF(Sync!$W905="","",Sync!$W905))</f>
        <v/>
      </c>
      <c r="I909">
        <f>IF(OR($G909="",Sync!$Y905=""),"",Sync!$Y905)</f>
        <v/>
      </c>
      <c r="J909">
        <f>IF(OR($G909="",Sync!$Z905=""),"",Sync!$Z905)</f>
        <v/>
      </c>
      <c r="K909">
        <f>IF($G909="",0,IF(Sync!$AA905="",0,Sync!$AA905))</f>
        <v/>
      </c>
      <c r="L909">
        <f>IF($G909="",0,IF(Sync!$AB905="",0,Sync!$AB905))</f>
        <v/>
      </c>
      <c r="M909">
        <f>IF($G909="","",IF($H909="مرجوعی فروش",-1,1)*($K909-$L909*IFERROR(VLOOKUP("P01",ParamTbl,3,0),1.5)))</f>
        <v/>
      </c>
      <c r="N909">
        <f>IF($G909="",0,IF($H909="مرجوعی فروش",-1,1)*IF(Sync!$AC905="",0,Sync!$AC905))</f>
        <v/>
      </c>
      <c r="O909">
        <f>IF(OR($G909="",Sync!$V905=""),"",Sync!$V905)</f>
        <v/>
      </c>
      <c r="P909">
        <f>IF(OR($G909="",Sync!$AD905=""),"",Sync!$AD905)</f>
        <v/>
      </c>
      <c r="Q909">
        <f>IF($G909="","",IF(Sync!$U905="","0000",IF(AND(ISNUMBER(Sync!$U905),Sync!$U905&gt;=0,Sync!$U905&lt;1),RIGHT("00"&amp;HOUR(Sync!$U905),2)&amp;RIGHT("00"&amp;MINUTE(Sync!$U905),2),IFERROR(RIGHT("00"&amp;VALUE(LEFT(Sync!$U905,FIND(":",Sync!$U905)-1)),2)&amp;RIGHT("00"&amp;VALUE(MID(Sync!$U905,FIND(":",Sync!$U905)+1,2)),2),"0000"))))</f>
        <v/>
      </c>
    </row>
    <row r="910">
      <c r="A910">
        <f>IF(Sync!$T906="","",Sync!$T906)</f>
        <v/>
      </c>
      <c r="B910">
        <f>IF($A910="","",IF(ISNUMBER($A910),IF(AND($A910&gt;=10000101,$A910&lt;=99991231),INT($A910/10000),""),IFERROR(VALUE(TRIM(LEFT($A910,FIND("/",$A910)-1))),"")))</f>
        <v/>
      </c>
      <c r="C910">
        <f>IF(OR($A910="",$B910=""),"",IF(ISNUMBER($A910),INT(MOD($A910,10000)/100),IFERROR(VALUE(TRIM(LEFT(MID($A910,FIND("/",$A910)+1,20),FIND("/",MID($A910,FIND("/",$A910)+1,20))-1))),"")))</f>
        <v/>
      </c>
      <c r="D910">
        <f>IF(OR($A910="",$B910=""),"",IF(ISNUMBER($A910),MOD($A910,100),IFERROR(VALUE(TRIM(MID(MID($A910,FIND("/",$A910)+1,20),FIND("/",MID($A910,FIND("/",$A910)+1,20))+1,20))),"")))</f>
        <v/>
      </c>
      <c r="E910">
        <f>IF($A910="","",IF(OR($B910="",$C910="",$D910="",$B910&lt;1300,$B910&gt;1500,$C910&lt;1,$C910&gt;12,$D910&lt;1,$D910&gt;31),"نامعتبر",RIGHT("0000"&amp;$B910,4)&amp;"/"&amp;RIGHT("00"&amp;$C910,2)&amp;"/"&amp;RIGHT("00"&amp;$D910,2)))</f>
        <v/>
      </c>
      <c r="F910">
        <f>IF(OR($E910="",$E910="نامعتبر"),"",LEFT($E910,4)&amp;"/"&amp;MID($E910,6,2))</f>
        <v/>
      </c>
      <c r="G910">
        <f>IF(OR($E910="",$E910="نامعتبر",Sync!$X906=""),"",IF(AND(LEFT(UPPER(TRIM(Sync!$X906)),2)="SL",IFERROR(VLOOKUP(Sync!$W906,OpTbl,3,0),"")="فروش"),UPPER(TRIM(Sync!$X906)),""))</f>
        <v/>
      </c>
      <c r="H910">
        <f>IF($G910="","",IF(Sync!$W906="","",Sync!$W906))</f>
        <v/>
      </c>
      <c r="I910">
        <f>IF(OR($G910="",Sync!$Y906=""),"",Sync!$Y906)</f>
        <v/>
      </c>
      <c r="J910">
        <f>IF(OR($G910="",Sync!$Z906=""),"",Sync!$Z906)</f>
        <v/>
      </c>
      <c r="K910">
        <f>IF($G910="",0,IF(Sync!$AA906="",0,Sync!$AA906))</f>
        <v/>
      </c>
      <c r="L910">
        <f>IF($G910="",0,IF(Sync!$AB906="",0,Sync!$AB906))</f>
        <v/>
      </c>
      <c r="M910">
        <f>IF($G910="","",IF($H910="مرجوعی فروش",-1,1)*($K910-$L910*IFERROR(VLOOKUP("P01",ParamTbl,3,0),1.5)))</f>
        <v/>
      </c>
      <c r="N910">
        <f>IF($G910="",0,IF($H910="مرجوعی فروش",-1,1)*IF(Sync!$AC906="",0,Sync!$AC906))</f>
        <v/>
      </c>
      <c r="O910">
        <f>IF(OR($G910="",Sync!$V906=""),"",Sync!$V906)</f>
        <v/>
      </c>
      <c r="P910">
        <f>IF(OR($G910="",Sync!$AD906=""),"",Sync!$AD906)</f>
        <v/>
      </c>
      <c r="Q910">
        <f>IF($G910="","",IF(Sync!$U906="","0000",IF(AND(ISNUMBER(Sync!$U906),Sync!$U906&gt;=0,Sync!$U906&lt;1),RIGHT("00"&amp;HOUR(Sync!$U906),2)&amp;RIGHT("00"&amp;MINUTE(Sync!$U906),2),IFERROR(RIGHT("00"&amp;VALUE(LEFT(Sync!$U906,FIND(":",Sync!$U906)-1)),2)&amp;RIGHT("00"&amp;VALUE(MID(Sync!$U906,FIND(":",Sync!$U906)+1,2)),2),"0000"))))</f>
        <v/>
      </c>
    </row>
    <row r="911">
      <c r="A911">
        <f>IF(Sync!$T907="","",Sync!$T907)</f>
        <v/>
      </c>
      <c r="B911">
        <f>IF($A911="","",IF(ISNUMBER($A911),IF(AND($A911&gt;=10000101,$A911&lt;=99991231),INT($A911/10000),""),IFERROR(VALUE(TRIM(LEFT($A911,FIND("/",$A911)-1))),"")))</f>
        <v/>
      </c>
      <c r="C911">
        <f>IF(OR($A911="",$B911=""),"",IF(ISNUMBER($A911),INT(MOD($A911,10000)/100),IFERROR(VALUE(TRIM(LEFT(MID($A911,FIND("/",$A911)+1,20),FIND("/",MID($A911,FIND("/",$A911)+1,20))-1))),"")))</f>
        <v/>
      </c>
      <c r="D911">
        <f>IF(OR($A911="",$B911=""),"",IF(ISNUMBER($A911),MOD($A911,100),IFERROR(VALUE(TRIM(MID(MID($A911,FIND("/",$A911)+1,20),FIND("/",MID($A911,FIND("/",$A911)+1,20))+1,20))),"")))</f>
        <v/>
      </c>
      <c r="E911">
        <f>IF($A911="","",IF(OR($B911="",$C911="",$D911="",$B911&lt;1300,$B911&gt;1500,$C911&lt;1,$C911&gt;12,$D911&lt;1,$D911&gt;31),"نامعتبر",RIGHT("0000"&amp;$B911,4)&amp;"/"&amp;RIGHT("00"&amp;$C911,2)&amp;"/"&amp;RIGHT("00"&amp;$D911,2)))</f>
        <v/>
      </c>
      <c r="F911">
        <f>IF(OR($E911="",$E911="نامعتبر"),"",LEFT($E911,4)&amp;"/"&amp;MID($E911,6,2))</f>
        <v/>
      </c>
      <c r="G911">
        <f>IF(OR($E911="",$E911="نامعتبر",Sync!$X907=""),"",IF(AND(LEFT(UPPER(TRIM(Sync!$X907)),2)="SL",IFERROR(VLOOKUP(Sync!$W907,OpTbl,3,0),"")="فروش"),UPPER(TRIM(Sync!$X907)),""))</f>
        <v/>
      </c>
      <c r="H911">
        <f>IF($G911="","",IF(Sync!$W907="","",Sync!$W907))</f>
        <v/>
      </c>
      <c r="I911">
        <f>IF(OR($G911="",Sync!$Y907=""),"",Sync!$Y907)</f>
        <v/>
      </c>
      <c r="J911">
        <f>IF(OR($G911="",Sync!$Z907=""),"",Sync!$Z907)</f>
        <v/>
      </c>
      <c r="K911">
        <f>IF($G911="",0,IF(Sync!$AA907="",0,Sync!$AA907))</f>
        <v/>
      </c>
      <c r="L911">
        <f>IF($G911="",0,IF(Sync!$AB907="",0,Sync!$AB907))</f>
        <v/>
      </c>
      <c r="M911">
        <f>IF($G911="","",IF($H911="مرجوعی فروش",-1,1)*($K911-$L911*IFERROR(VLOOKUP("P01",ParamTbl,3,0),1.5)))</f>
        <v/>
      </c>
      <c r="N911">
        <f>IF($G911="",0,IF($H911="مرجوعی فروش",-1,1)*IF(Sync!$AC907="",0,Sync!$AC907))</f>
        <v/>
      </c>
      <c r="O911">
        <f>IF(OR($G911="",Sync!$V907=""),"",Sync!$V907)</f>
        <v/>
      </c>
      <c r="P911">
        <f>IF(OR($G911="",Sync!$AD907=""),"",Sync!$AD907)</f>
        <v/>
      </c>
      <c r="Q911">
        <f>IF($G911="","",IF(Sync!$U907="","0000",IF(AND(ISNUMBER(Sync!$U907),Sync!$U907&gt;=0,Sync!$U907&lt;1),RIGHT("00"&amp;HOUR(Sync!$U907),2)&amp;RIGHT("00"&amp;MINUTE(Sync!$U907),2),IFERROR(RIGHT("00"&amp;VALUE(LEFT(Sync!$U907,FIND(":",Sync!$U907)-1)),2)&amp;RIGHT("00"&amp;VALUE(MID(Sync!$U907,FIND(":",Sync!$U907)+1,2)),2),"0000"))))</f>
        <v/>
      </c>
    </row>
    <row r="912">
      <c r="A912">
        <f>IF(Sync!$T908="","",Sync!$T908)</f>
        <v/>
      </c>
      <c r="B912">
        <f>IF($A912="","",IF(ISNUMBER($A912),IF(AND($A912&gt;=10000101,$A912&lt;=99991231),INT($A912/10000),""),IFERROR(VALUE(TRIM(LEFT($A912,FIND("/",$A912)-1))),"")))</f>
        <v/>
      </c>
      <c r="C912">
        <f>IF(OR($A912="",$B912=""),"",IF(ISNUMBER($A912),INT(MOD($A912,10000)/100),IFERROR(VALUE(TRIM(LEFT(MID($A912,FIND("/",$A912)+1,20),FIND("/",MID($A912,FIND("/",$A912)+1,20))-1))),"")))</f>
        <v/>
      </c>
      <c r="D912">
        <f>IF(OR($A912="",$B912=""),"",IF(ISNUMBER($A912),MOD($A912,100),IFERROR(VALUE(TRIM(MID(MID($A912,FIND("/",$A912)+1,20),FIND("/",MID($A912,FIND("/",$A912)+1,20))+1,20))),"")))</f>
        <v/>
      </c>
      <c r="E912">
        <f>IF($A912="","",IF(OR($B912="",$C912="",$D912="",$B912&lt;1300,$B912&gt;1500,$C912&lt;1,$C912&gt;12,$D912&lt;1,$D912&gt;31),"نامعتبر",RIGHT("0000"&amp;$B912,4)&amp;"/"&amp;RIGHT("00"&amp;$C912,2)&amp;"/"&amp;RIGHT("00"&amp;$D912,2)))</f>
        <v/>
      </c>
      <c r="F912">
        <f>IF(OR($E912="",$E912="نامعتبر"),"",LEFT($E912,4)&amp;"/"&amp;MID($E912,6,2))</f>
        <v/>
      </c>
      <c r="G912">
        <f>IF(OR($E912="",$E912="نامعتبر",Sync!$X908=""),"",IF(AND(LEFT(UPPER(TRIM(Sync!$X908)),2)="SL",IFERROR(VLOOKUP(Sync!$W908,OpTbl,3,0),"")="فروش"),UPPER(TRIM(Sync!$X908)),""))</f>
        <v/>
      </c>
      <c r="H912">
        <f>IF($G912="","",IF(Sync!$W908="","",Sync!$W908))</f>
        <v/>
      </c>
      <c r="I912">
        <f>IF(OR($G912="",Sync!$Y908=""),"",Sync!$Y908)</f>
        <v/>
      </c>
      <c r="J912">
        <f>IF(OR($G912="",Sync!$Z908=""),"",Sync!$Z908)</f>
        <v/>
      </c>
      <c r="K912">
        <f>IF($G912="",0,IF(Sync!$AA908="",0,Sync!$AA908))</f>
        <v/>
      </c>
      <c r="L912">
        <f>IF($G912="",0,IF(Sync!$AB908="",0,Sync!$AB908))</f>
        <v/>
      </c>
      <c r="M912">
        <f>IF($G912="","",IF($H912="مرجوعی فروش",-1,1)*($K912-$L912*IFERROR(VLOOKUP("P01",ParamTbl,3,0),1.5)))</f>
        <v/>
      </c>
      <c r="N912">
        <f>IF($G912="",0,IF($H912="مرجوعی فروش",-1,1)*IF(Sync!$AC908="",0,Sync!$AC908))</f>
        <v/>
      </c>
      <c r="O912">
        <f>IF(OR($G912="",Sync!$V908=""),"",Sync!$V908)</f>
        <v/>
      </c>
      <c r="P912">
        <f>IF(OR($G912="",Sync!$AD908=""),"",Sync!$AD908)</f>
        <v/>
      </c>
      <c r="Q912">
        <f>IF($G912="","",IF(Sync!$U908="","0000",IF(AND(ISNUMBER(Sync!$U908),Sync!$U908&gt;=0,Sync!$U908&lt;1),RIGHT("00"&amp;HOUR(Sync!$U908),2)&amp;RIGHT("00"&amp;MINUTE(Sync!$U908),2),IFERROR(RIGHT("00"&amp;VALUE(LEFT(Sync!$U908,FIND(":",Sync!$U908)-1)),2)&amp;RIGHT("00"&amp;VALUE(MID(Sync!$U908,FIND(":",Sync!$U908)+1,2)),2),"0000"))))</f>
        <v/>
      </c>
    </row>
    <row r="913">
      <c r="A913">
        <f>IF(Sync!$T909="","",Sync!$T909)</f>
        <v/>
      </c>
      <c r="B913">
        <f>IF($A913="","",IF(ISNUMBER($A913),IF(AND($A913&gt;=10000101,$A913&lt;=99991231),INT($A913/10000),""),IFERROR(VALUE(TRIM(LEFT($A913,FIND("/",$A913)-1))),"")))</f>
        <v/>
      </c>
      <c r="C913">
        <f>IF(OR($A913="",$B913=""),"",IF(ISNUMBER($A913),INT(MOD($A913,10000)/100),IFERROR(VALUE(TRIM(LEFT(MID($A913,FIND("/",$A913)+1,20),FIND("/",MID($A913,FIND("/",$A913)+1,20))-1))),"")))</f>
        <v/>
      </c>
      <c r="D913">
        <f>IF(OR($A913="",$B913=""),"",IF(ISNUMBER($A913),MOD($A913,100),IFERROR(VALUE(TRIM(MID(MID($A913,FIND("/",$A913)+1,20),FIND("/",MID($A913,FIND("/",$A913)+1,20))+1,20))),"")))</f>
        <v/>
      </c>
      <c r="E913">
        <f>IF($A913="","",IF(OR($B913="",$C913="",$D913="",$B913&lt;1300,$B913&gt;1500,$C913&lt;1,$C913&gt;12,$D913&lt;1,$D913&gt;31),"نامعتبر",RIGHT("0000"&amp;$B913,4)&amp;"/"&amp;RIGHT("00"&amp;$C913,2)&amp;"/"&amp;RIGHT("00"&amp;$D913,2)))</f>
        <v/>
      </c>
      <c r="F913">
        <f>IF(OR($E913="",$E913="نامعتبر"),"",LEFT($E913,4)&amp;"/"&amp;MID($E913,6,2))</f>
        <v/>
      </c>
      <c r="G913">
        <f>IF(OR($E913="",$E913="نامعتبر",Sync!$X909=""),"",IF(AND(LEFT(UPPER(TRIM(Sync!$X909)),2)="SL",IFERROR(VLOOKUP(Sync!$W909,OpTbl,3,0),"")="فروش"),UPPER(TRIM(Sync!$X909)),""))</f>
        <v/>
      </c>
      <c r="H913">
        <f>IF($G913="","",IF(Sync!$W909="","",Sync!$W909))</f>
        <v/>
      </c>
      <c r="I913">
        <f>IF(OR($G913="",Sync!$Y909=""),"",Sync!$Y909)</f>
        <v/>
      </c>
      <c r="J913">
        <f>IF(OR($G913="",Sync!$Z909=""),"",Sync!$Z909)</f>
        <v/>
      </c>
      <c r="K913">
        <f>IF($G913="",0,IF(Sync!$AA909="",0,Sync!$AA909))</f>
        <v/>
      </c>
      <c r="L913">
        <f>IF($G913="",0,IF(Sync!$AB909="",0,Sync!$AB909))</f>
        <v/>
      </c>
      <c r="M913">
        <f>IF($G913="","",IF($H913="مرجوعی فروش",-1,1)*($K913-$L913*IFERROR(VLOOKUP("P01",ParamTbl,3,0),1.5)))</f>
        <v/>
      </c>
      <c r="N913">
        <f>IF($G913="",0,IF($H913="مرجوعی فروش",-1,1)*IF(Sync!$AC909="",0,Sync!$AC909))</f>
        <v/>
      </c>
      <c r="O913">
        <f>IF(OR($G913="",Sync!$V909=""),"",Sync!$V909)</f>
        <v/>
      </c>
      <c r="P913">
        <f>IF(OR($G913="",Sync!$AD909=""),"",Sync!$AD909)</f>
        <v/>
      </c>
      <c r="Q913">
        <f>IF($G913="","",IF(Sync!$U909="","0000",IF(AND(ISNUMBER(Sync!$U909),Sync!$U909&gt;=0,Sync!$U909&lt;1),RIGHT("00"&amp;HOUR(Sync!$U909),2)&amp;RIGHT("00"&amp;MINUTE(Sync!$U909),2),IFERROR(RIGHT("00"&amp;VALUE(LEFT(Sync!$U909,FIND(":",Sync!$U909)-1)),2)&amp;RIGHT("00"&amp;VALUE(MID(Sync!$U909,FIND(":",Sync!$U909)+1,2)),2),"0000"))))</f>
        <v/>
      </c>
    </row>
    <row r="914">
      <c r="A914">
        <f>IF(Sync!$T910="","",Sync!$T910)</f>
        <v/>
      </c>
      <c r="B914">
        <f>IF($A914="","",IF(ISNUMBER($A914),IF(AND($A914&gt;=10000101,$A914&lt;=99991231),INT($A914/10000),""),IFERROR(VALUE(TRIM(LEFT($A914,FIND("/",$A914)-1))),"")))</f>
        <v/>
      </c>
      <c r="C914">
        <f>IF(OR($A914="",$B914=""),"",IF(ISNUMBER($A914),INT(MOD($A914,10000)/100),IFERROR(VALUE(TRIM(LEFT(MID($A914,FIND("/",$A914)+1,20),FIND("/",MID($A914,FIND("/",$A914)+1,20))-1))),"")))</f>
        <v/>
      </c>
      <c r="D914">
        <f>IF(OR($A914="",$B914=""),"",IF(ISNUMBER($A914),MOD($A914,100),IFERROR(VALUE(TRIM(MID(MID($A914,FIND("/",$A914)+1,20),FIND("/",MID($A914,FIND("/",$A914)+1,20))+1,20))),"")))</f>
        <v/>
      </c>
      <c r="E914">
        <f>IF($A914="","",IF(OR($B914="",$C914="",$D914="",$B914&lt;1300,$B914&gt;1500,$C914&lt;1,$C914&gt;12,$D914&lt;1,$D914&gt;31),"نامعتبر",RIGHT("0000"&amp;$B914,4)&amp;"/"&amp;RIGHT("00"&amp;$C914,2)&amp;"/"&amp;RIGHT("00"&amp;$D914,2)))</f>
        <v/>
      </c>
      <c r="F914">
        <f>IF(OR($E914="",$E914="نامعتبر"),"",LEFT($E914,4)&amp;"/"&amp;MID($E914,6,2))</f>
        <v/>
      </c>
      <c r="G914">
        <f>IF(OR($E914="",$E914="نامعتبر",Sync!$X910=""),"",IF(AND(LEFT(UPPER(TRIM(Sync!$X910)),2)="SL",IFERROR(VLOOKUP(Sync!$W910,OpTbl,3,0),"")="فروش"),UPPER(TRIM(Sync!$X910)),""))</f>
        <v/>
      </c>
      <c r="H914">
        <f>IF($G914="","",IF(Sync!$W910="","",Sync!$W910))</f>
        <v/>
      </c>
      <c r="I914">
        <f>IF(OR($G914="",Sync!$Y910=""),"",Sync!$Y910)</f>
        <v/>
      </c>
      <c r="J914">
        <f>IF(OR($G914="",Sync!$Z910=""),"",Sync!$Z910)</f>
        <v/>
      </c>
      <c r="K914">
        <f>IF($G914="",0,IF(Sync!$AA910="",0,Sync!$AA910))</f>
        <v/>
      </c>
      <c r="L914">
        <f>IF($G914="",0,IF(Sync!$AB910="",0,Sync!$AB910))</f>
        <v/>
      </c>
      <c r="M914">
        <f>IF($G914="","",IF($H914="مرجوعی فروش",-1,1)*($K914-$L914*IFERROR(VLOOKUP("P01",ParamTbl,3,0),1.5)))</f>
        <v/>
      </c>
      <c r="N914">
        <f>IF($G914="",0,IF($H914="مرجوعی فروش",-1,1)*IF(Sync!$AC910="",0,Sync!$AC910))</f>
        <v/>
      </c>
      <c r="O914">
        <f>IF(OR($G914="",Sync!$V910=""),"",Sync!$V910)</f>
        <v/>
      </c>
      <c r="P914">
        <f>IF(OR($G914="",Sync!$AD910=""),"",Sync!$AD910)</f>
        <v/>
      </c>
      <c r="Q914">
        <f>IF($G914="","",IF(Sync!$U910="","0000",IF(AND(ISNUMBER(Sync!$U910),Sync!$U910&gt;=0,Sync!$U910&lt;1),RIGHT("00"&amp;HOUR(Sync!$U910),2)&amp;RIGHT("00"&amp;MINUTE(Sync!$U910),2),IFERROR(RIGHT("00"&amp;VALUE(LEFT(Sync!$U910,FIND(":",Sync!$U910)-1)),2)&amp;RIGHT("00"&amp;VALUE(MID(Sync!$U910,FIND(":",Sync!$U910)+1,2)),2),"0000"))))</f>
        <v/>
      </c>
    </row>
    <row r="915">
      <c r="A915">
        <f>IF(Sync!$T911="","",Sync!$T911)</f>
        <v/>
      </c>
      <c r="B915">
        <f>IF($A915="","",IF(ISNUMBER($A915),IF(AND($A915&gt;=10000101,$A915&lt;=99991231),INT($A915/10000),""),IFERROR(VALUE(TRIM(LEFT($A915,FIND("/",$A915)-1))),"")))</f>
        <v/>
      </c>
      <c r="C915">
        <f>IF(OR($A915="",$B915=""),"",IF(ISNUMBER($A915),INT(MOD($A915,10000)/100),IFERROR(VALUE(TRIM(LEFT(MID($A915,FIND("/",$A915)+1,20),FIND("/",MID($A915,FIND("/",$A915)+1,20))-1))),"")))</f>
        <v/>
      </c>
      <c r="D915">
        <f>IF(OR($A915="",$B915=""),"",IF(ISNUMBER($A915),MOD($A915,100),IFERROR(VALUE(TRIM(MID(MID($A915,FIND("/",$A915)+1,20),FIND("/",MID($A915,FIND("/",$A915)+1,20))+1,20))),"")))</f>
        <v/>
      </c>
      <c r="E915">
        <f>IF($A915="","",IF(OR($B915="",$C915="",$D915="",$B915&lt;1300,$B915&gt;1500,$C915&lt;1,$C915&gt;12,$D915&lt;1,$D915&gt;31),"نامعتبر",RIGHT("0000"&amp;$B915,4)&amp;"/"&amp;RIGHT("00"&amp;$C915,2)&amp;"/"&amp;RIGHT("00"&amp;$D915,2)))</f>
        <v/>
      </c>
      <c r="F915">
        <f>IF(OR($E915="",$E915="نامعتبر"),"",LEFT($E915,4)&amp;"/"&amp;MID($E915,6,2))</f>
        <v/>
      </c>
      <c r="G915">
        <f>IF(OR($E915="",$E915="نامعتبر",Sync!$X911=""),"",IF(AND(LEFT(UPPER(TRIM(Sync!$X911)),2)="SL",IFERROR(VLOOKUP(Sync!$W911,OpTbl,3,0),"")="فروش"),UPPER(TRIM(Sync!$X911)),""))</f>
        <v/>
      </c>
      <c r="H915">
        <f>IF($G915="","",IF(Sync!$W911="","",Sync!$W911))</f>
        <v/>
      </c>
      <c r="I915">
        <f>IF(OR($G915="",Sync!$Y911=""),"",Sync!$Y911)</f>
        <v/>
      </c>
      <c r="J915">
        <f>IF(OR($G915="",Sync!$Z911=""),"",Sync!$Z911)</f>
        <v/>
      </c>
      <c r="K915">
        <f>IF($G915="",0,IF(Sync!$AA911="",0,Sync!$AA911))</f>
        <v/>
      </c>
      <c r="L915">
        <f>IF($G915="",0,IF(Sync!$AB911="",0,Sync!$AB911))</f>
        <v/>
      </c>
      <c r="M915">
        <f>IF($G915="","",IF($H915="مرجوعی فروش",-1,1)*($K915-$L915*IFERROR(VLOOKUP("P01",ParamTbl,3,0),1.5)))</f>
        <v/>
      </c>
      <c r="N915">
        <f>IF($G915="",0,IF($H915="مرجوعی فروش",-1,1)*IF(Sync!$AC911="",0,Sync!$AC911))</f>
        <v/>
      </c>
      <c r="O915">
        <f>IF(OR($G915="",Sync!$V911=""),"",Sync!$V911)</f>
        <v/>
      </c>
      <c r="P915">
        <f>IF(OR($G915="",Sync!$AD911=""),"",Sync!$AD911)</f>
        <v/>
      </c>
      <c r="Q915">
        <f>IF($G915="","",IF(Sync!$U911="","0000",IF(AND(ISNUMBER(Sync!$U911),Sync!$U911&gt;=0,Sync!$U911&lt;1),RIGHT("00"&amp;HOUR(Sync!$U911),2)&amp;RIGHT("00"&amp;MINUTE(Sync!$U911),2),IFERROR(RIGHT("00"&amp;VALUE(LEFT(Sync!$U911,FIND(":",Sync!$U911)-1)),2)&amp;RIGHT("00"&amp;VALUE(MID(Sync!$U911,FIND(":",Sync!$U911)+1,2)),2),"0000"))))</f>
        <v/>
      </c>
    </row>
    <row r="916">
      <c r="A916">
        <f>IF(Sync!$T912="","",Sync!$T912)</f>
        <v/>
      </c>
      <c r="B916">
        <f>IF($A916="","",IF(ISNUMBER($A916),IF(AND($A916&gt;=10000101,$A916&lt;=99991231),INT($A916/10000),""),IFERROR(VALUE(TRIM(LEFT($A916,FIND("/",$A916)-1))),"")))</f>
        <v/>
      </c>
      <c r="C916">
        <f>IF(OR($A916="",$B916=""),"",IF(ISNUMBER($A916),INT(MOD($A916,10000)/100),IFERROR(VALUE(TRIM(LEFT(MID($A916,FIND("/",$A916)+1,20),FIND("/",MID($A916,FIND("/",$A916)+1,20))-1))),"")))</f>
        <v/>
      </c>
      <c r="D916">
        <f>IF(OR($A916="",$B916=""),"",IF(ISNUMBER($A916),MOD($A916,100),IFERROR(VALUE(TRIM(MID(MID($A916,FIND("/",$A916)+1,20),FIND("/",MID($A916,FIND("/",$A916)+1,20))+1,20))),"")))</f>
        <v/>
      </c>
      <c r="E916">
        <f>IF($A916="","",IF(OR($B916="",$C916="",$D916="",$B916&lt;1300,$B916&gt;1500,$C916&lt;1,$C916&gt;12,$D916&lt;1,$D916&gt;31),"نامعتبر",RIGHT("0000"&amp;$B916,4)&amp;"/"&amp;RIGHT("00"&amp;$C916,2)&amp;"/"&amp;RIGHT("00"&amp;$D916,2)))</f>
        <v/>
      </c>
      <c r="F916">
        <f>IF(OR($E916="",$E916="نامعتبر"),"",LEFT($E916,4)&amp;"/"&amp;MID($E916,6,2))</f>
        <v/>
      </c>
      <c r="G916">
        <f>IF(OR($E916="",$E916="نامعتبر",Sync!$X912=""),"",IF(AND(LEFT(UPPER(TRIM(Sync!$X912)),2)="SL",IFERROR(VLOOKUP(Sync!$W912,OpTbl,3,0),"")="فروش"),UPPER(TRIM(Sync!$X912)),""))</f>
        <v/>
      </c>
      <c r="H916">
        <f>IF($G916="","",IF(Sync!$W912="","",Sync!$W912))</f>
        <v/>
      </c>
      <c r="I916">
        <f>IF(OR($G916="",Sync!$Y912=""),"",Sync!$Y912)</f>
        <v/>
      </c>
      <c r="J916">
        <f>IF(OR($G916="",Sync!$Z912=""),"",Sync!$Z912)</f>
        <v/>
      </c>
      <c r="K916">
        <f>IF($G916="",0,IF(Sync!$AA912="",0,Sync!$AA912))</f>
        <v/>
      </c>
      <c r="L916">
        <f>IF($G916="",0,IF(Sync!$AB912="",0,Sync!$AB912))</f>
        <v/>
      </c>
      <c r="M916">
        <f>IF($G916="","",IF($H916="مرجوعی فروش",-1,1)*($K916-$L916*IFERROR(VLOOKUP("P01",ParamTbl,3,0),1.5)))</f>
        <v/>
      </c>
      <c r="N916">
        <f>IF($G916="",0,IF($H916="مرجوعی فروش",-1,1)*IF(Sync!$AC912="",0,Sync!$AC912))</f>
        <v/>
      </c>
      <c r="O916">
        <f>IF(OR($G916="",Sync!$V912=""),"",Sync!$V912)</f>
        <v/>
      </c>
      <c r="P916">
        <f>IF(OR($G916="",Sync!$AD912=""),"",Sync!$AD912)</f>
        <v/>
      </c>
      <c r="Q916">
        <f>IF($G916="","",IF(Sync!$U912="","0000",IF(AND(ISNUMBER(Sync!$U912),Sync!$U912&gt;=0,Sync!$U912&lt;1),RIGHT("00"&amp;HOUR(Sync!$U912),2)&amp;RIGHT("00"&amp;MINUTE(Sync!$U912),2),IFERROR(RIGHT("00"&amp;VALUE(LEFT(Sync!$U912,FIND(":",Sync!$U912)-1)),2)&amp;RIGHT("00"&amp;VALUE(MID(Sync!$U912,FIND(":",Sync!$U912)+1,2)),2),"0000"))))</f>
        <v/>
      </c>
    </row>
    <row r="917">
      <c r="A917">
        <f>IF(Sync!$T913="","",Sync!$T913)</f>
        <v/>
      </c>
      <c r="B917">
        <f>IF($A917="","",IF(ISNUMBER($A917),IF(AND($A917&gt;=10000101,$A917&lt;=99991231),INT($A917/10000),""),IFERROR(VALUE(TRIM(LEFT($A917,FIND("/",$A917)-1))),"")))</f>
        <v/>
      </c>
      <c r="C917">
        <f>IF(OR($A917="",$B917=""),"",IF(ISNUMBER($A917),INT(MOD($A917,10000)/100),IFERROR(VALUE(TRIM(LEFT(MID($A917,FIND("/",$A917)+1,20),FIND("/",MID($A917,FIND("/",$A917)+1,20))-1))),"")))</f>
        <v/>
      </c>
      <c r="D917">
        <f>IF(OR($A917="",$B917=""),"",IF(ISNUMBER($A917),MOD($A917,100),IFERROR(VALUE(TRIM(MID(MID($A917,FIND("/",$A917)+1,20),FIND("/",MID($A917,FIND("/",$A917)+1,20))+1,20))),"")))</f>
        <v/>
      </c>
      <c r="E917">
        <f>IF($A917="","",IF(OR($B917="",$C917="",$D917="",$B917&lt;1300,$B917&gt;1500,$C917&lt;1,$C917&gt;12,$D917&lt;1,$D917&gt;31),"نامعتبر",RIGHT("0000"&amp;$B917,4)&amp;"/"&amp;RIGHT("00"&amp;$C917,2)&amp;"/"&amp;RIGHT("00"&amp;$D917,2)))</f>
        <v/>
      </c>
      <c r="F917">
        <f>IF(OR($E917="",$E917="نامعتبر"),"",LEFT($E917,4)&amp;"/"&amp;MID($E917,6,2))</f>
        <v/>
      </c>
      <c r="G917">
        <f>IF(OR($E917="",$E917="نامعتبر",Sync!$X913=""),"",IF(AND(LEFT(UPPER(TRIM(Sync!$X913)),2)="SL",IFERROR(VLOOKUP(Sync!$W913,OpTbl,3,0),"")="فروش"),UPPER(TRIM(Sync!$X913)),""))</f>
        <v/>
      </c>
      <c r="H917">
        <f>IF($G917="","",IF(Sync!$W913="","",Sync!$W913))</f>
        <v/>
      </c>
      <c r="I917">
        <f>IF(OR($G917="",Sync!$Y913=""),"",Sync!$Y913)</f>
        <v/>
      </c>
      <c r="J917">
        <f>IF(OR($G917="",Sync!$Z913=""),"",Sync!$Z913)</f>
        <v/>
      </c>
      <c r="K917">
        <f>IF($G917="",0,IF(Sync!$AA913="",0,Sync!$AA913))</f>
        <v/>
      </c>
      <c r="L917">
        <f>IF($G917="",0,IF(Sync!$AB913="",0,Sync!$AB913))</f>
        <v/>
      </c>
      <c r="M917">
        <f>IF($G917="","",IF($H917="مرجوعی فروش",-1,1)*($K917-$L917*IFERROR(VLOOKUP("P01",ParamTbl,3,0),1.5)))</f>
        <v/>
      </c>
      <c r="N917">
        <f>IF($G917="",0,IF($H917="مرجوعی فروش",-1,1)*IF(Sync!$AC913="",0,Sync!$AC913))</f>
        <v/>
      </c>
      <c r="O917">
        <f>IF(OR($G917="",Sync!$V913=""),"",Sync!$V913)</f>
        <v/>
      </c>
      <c r="P917">
        <f>IF(OR($G917="",Sync!$AD913=""),"",Sync!$AD913)</f>
        <v/>
      </c>
      <c r="Q917">
        <f>IF($G917="","",IF(Sync!$U913="","0000",IF(AND(ISNUMBER(Sync!$U913),Sync!$U913&gt;=0,Sync!$U913&lt;1),RIGHT("00"&amp;HOUR(Sync!$U913),2)&amp;RIGHT("00"&amp;MINUTE(Sync!$U913),2),IFERROR(RIGHT("00"&amp;VALUE(LEFT(Sync!$U913,FIND(":",Sync!$U913)-1)),2)&amp;RIGHT("00"&amp;VALUE(MID(Sync!$U913,FIND(":",Sync!$U913)+1,2)),2),"0000"))))</f>
        <v/>
      </c>
    </row>
    <row r="918">
      <c r="A918">
        <f>IF(Sync!$T914="","",Sync!$T914)</f>
        <v/>
      </c>
      <c r="B918">
        <f>IF($A918="","",IF(ISNUMBER($A918),IF(AND($A918&gt;=10000101,$A918&lt;=99991231),INT($A918/10000),""),IFERROR(VALUE(TRIM(LEFT($A918,FIND("/",$A918)-1))),"")))</f>
        <v/>
      </c>
      <c r="C918">
        <f>IF(OR($A918="",$B918=""),"",IF(ISNUMBER($A918),INT(MOD($A918,10000)/100),IFERROR(VALUE(TRIM(LEFT(MID($A918,FIND("/",$A918)+1,20),FIND("/",MID($A918,FIND("/",$A918)+1,20))-1))),"")))</f>
        <v/>
      </c>
      <c r="D918">
        <f>IF(OR($A918="",$B918=""),"",IF(ISNUMBER($A918),MOD($A918,100),IFERROR(VALUE(TRIM(MID(MID($A918,FIND("/",$A918)+1,20),FIND("/",MID($A918,FIND("/",$A918)+1,20))+1,20))),"")))</f>
        <v/>
      </c>
      <c r="E918">
        <f>IF($A918="","",IF(OR($B918="",$C918="",$D918="",$B918&lt;1300,$B918&gt;1500,$C918&lt;1,$C918&gt;12,$D918&lt;1,$D918&gt;31),"نامعتبر",RIGHT("0000"&amp;$B918,4)&amp;"/"&amp;RIGHT("00"&amp;$C918,2)&amp;"/"&amp;RIGHT("00"&amp;$D918,2)))</f>
        <v/>
      </c>
      <c r="F918">
        <f>IF(OR($E918="",$E918="نامعتبر"),"",LEFT($E918,4)&amp;"/"&amp;MID($E918,6,2))</f>
        <v/>
      </c>
      <c r="G918">
        <f>IF(OR($E918="",$E918="نامعتبر",Sync!$X914=""),"",IF(AND(LEFT(UPPER(TRIM(Sync!$X914)),2)="SL",IFERROR(VLOOKUP(Sync!$W914,OpTbl,3,0),"")="فروش"),UPPER(TRIM(Sync!$X914)),""))</f>
        <v/>
      </c>
      <c r="H918">
        <f>IF($G918="","",IF(Sync!$W914="","",Sync!$W914))</f>
        <v/>
      </c>
      <c r="I918">
        <f>IF(OR($G918="",Sync!$Y914=""),"",Sync!$Y914)</f>
        <v/>
      </c>
      <c r="J918">
        <f>IF(OR($G918="",Sync!$Z914=""),"",Sync!$Z914)</f>
        <v/>
      </c>
      <c r="K918">
        <f>IF($G918="",0,IF(Sync!$AA914="",0,Sync!$AA914))</f>
        <v/>
      </c>
      <c r="L918">
        <f>IF($G918="",0,IF(Sync!$AB914="",0,Sync!$AB914))</f>
        <v/>
      </c>
      <c r="M918">
        <f>IF($G918="","",IF($H918="مرجوعی فروش",-1,1)*($K918-$L918*IFERROR(VLOOKUP("P01",ParamTbl,3,0),1.5)))</f>
        <v/>
      </c>
      <c r="N918">
        <f>IF($G918="",0,IF($H918="مرجوعی فروش",-1,1)*IF(Sync!$AC914="",0,Sync!$AC914))</f>
        <v/>
      </c>
      <c r="O918">
        <f>IF(OR($G918="",Sync!$V914=""),"",Sync!$V914)</f>
        <v/>
      </c>
      <c r="P918">
        <f>IF(OR($G918="",Sync!$AD914=""),"",Sync!$AD914)</f>
        <v/>
      </c>
      <c r="Q918">
        <f>IF($G918="","",IF(Sync!$U914="","0000",IF(AND(ISNUMBER(Sync!$U914),Sync!$U914&gt;=0,Sync!$U914&lt;1),RIGHT("00"&amp;HOUR(Sync!$U914),2)&amp;RIGHT("00"&amp;MINUTE(Sync!$U914),2),IFERROR(RIGHT("00"&amp;VALUE(LEFT(Sync!$U914,FIND(":",Sync!$U914)-1)),2)&amp;RIGHT("00"&amp;VALUE(MID(Sync!$U914,FIND(":",Sync!$U914)+1,2)),2),"0000"))))</f>
        <v/>
      </c>
    </row>
    <row r="919">
      <c r="A919">
        <f>IF(Sync!$T915="","",Sync!$T915)</f>
        <v/>
      </c>
      <c r="B919">
        <f>IF($A919="","",IF(ISNUMBER($A919),IF(AND($A919&gt;=10000101,$A919&lt;=99991231),INT($A919/10000),""),IFERROR(VALUE(TRIM(LEFT($A919,FIND("/",$A919)-1))),"")))</f>
        <v/>
      </c>
      <c r="C919">
        <f>IF(OR($A919="",$B919=""),"",IF(ISNUMBER($A919),INT(MOD($A919,10000)/100),IFERROR(VALUE(TRIM(LEFT(MID($A919,FIND("/",$A919)+1,20),FIND("/",MID($A919,FIND("/",$A919)+1,20))-1))),"")))</f>
        <v/>
      </c>
      <c r="D919">
        <f>IF(OR($A919="",$B919=""),"",IF(ISNUMBER($A919),MOD($A919,100),IFERROR(VALUE(TRIM(MID(MID($A919,FIND("/",$A919)+1,20),FIND("/",MID($A919,FIND("/",$A919)+1,20))+1,20))),"")))</f>
        <v/>
      </c>
      <c r="E919">
        <f>IF($A919="","",IF(OR($B919="",$C919="",$D919="",$B919&lt;1300,$B919&gt;1500,$C919&lt;1,$C919&gt;12,$D919&lt;1,$D919&gt;31),"نامعتبر",RIGHT("0000"&amp;$B919,4)&amp;"/"&amp;RIGHT("00"&amp;$C919,2)&amp;"/"&amp;RIGHT("00"&amp;$D919,2)))</f>
        <v/>
      </c>
      <c r="F919">
        <f>IF(OR($E919="",$E919="نامعتبر"),"",LEFT($E919,4)&amp;"/"&amp;MID($E919,6,2))</f>
        <v/>
      </c>
      <c r="G919">
        <f>IF(OR($E919="",$E919="نامعتبر",Sync!$X915=""),"",IF(AND(LEFT(UPPER(TRIM(Sync!$X915)),2)="SL",IFERROR(VLOOKUP(Sync!$W915,OpTbl,3,0),"")="فروش"),UPPER(TRIM(Sync!$X915)),""))</f>
        <v/>
      </c>
      <c r="H919">
        <f>IF($G919="","",IF(Sync!$W915="","",Sync!$W915))</f>
        <v/>
      </c>
      <c r="I919">
        <f>IF(OR($G919="",Sync!$Y915=""),"",Sync!$Y915)</f>
        <v/>
      </c>
      <c r="J919">
        <f>IF(OR($G919="",Sync!$Z915=""),"",Sync!$Z915)</f>
        <v/>
      </c>
      <c r="K919">
        <f>IF($G919="",0,IF(Sync!$AA915="",0,Sync!$AA915))</f>
        <v/>
      </c>
      <c r="L919">
        <f>IF($G919="",0,IF(Sync!$AB915="",0,Sync!$AB915))</f>
        <v/>
      </c>
      <c r="M919">
        <f>IF($G919="","",IF($H919="مرجوعی فروش",-1,1)*($K919-$L919*IFERROR(VLOOKUP("P01",ParamTbl,3,0),1.5)))</f>
        <v/>
      </c>
      <c r="N919">
        <f>IF($G919="",0,IF($H919="مرجوعی فروش",-1,1)*IF(Sync!$AC915="",0,Sync!$AC915))</f>
        <v/>
      </c>
      <c r="O919">
        <f>IF(OR($G919="",Sync!$V915=""),"",Sync!$V915)</f>
        <v/>
      </c>
      <c r="P919">
        <f>IF(OR($G919="",Sync!$AD915=""),"",Sync!$AD915)</f>
        <v/>
      </c>
      <c r="Q919">
        <f>IF($G919="","",IF(Sync!$U915="","0000",IF(AND(ISNUMBER(Sync!$U915),Sync!$U915&gt;=0,Sync!$U915&lt;1),RIGHT("00"&amp;HOUR(Sync!$U915),2)&amp;RIGHT("00"&amp;MINUTE(Sync!$U915),2),IFERROR(RIGHT("00"&amp;VALUE(LEFT(Sync!$U915,FIND(":",Sync!$U915)-1)),2)&amp;RIGHT("00"&amp;VALUE(MID(Sync!$U915,FIND(":",Sync!$U915)+1,2)),2),"0000"))))</f>
        <v/>
      </c>
    </row>
    <row r="920">
      <c r="A920">
        <f>IF(Sync!$T916="","",Sync!$T916)</f>
        <v/>
      </c>
      <c r="B920">
        <f>IF($A920="","",IF(ISNUMBER($A920),IF(AND($A920&gt;=10000101,$A920&lt;=99991231),INT($A920/10000),""),IFERROR(VALUE(TRIM(LEFT($A920,FIND("/",$A920)-1))),"")))</f>
        <v/>
      </c>
      <c r="C920">
        <f>IF(OR($A920="",$B920=""),"",IF(ISNUMBER($A920),INT(MOD($A920,10000)/100),IFERROR(VALUE(TRIM(LEFT(MID($A920,FIND("/",$A920)+1,20),FIND("/",MID($A920,FIND("/",$A920)+1,20))-1))),"")))</f>
        <v/>
      </c>
      <c r="D920">
        <f>IF(OR($A920="",$B920=""),"",IF(ISNUMBER($A920),MOD($A920,100),IFERROR(VALUE(TRIM(MID(MID($A920,FIND("/",$A920)+1,20),FIND("/",MID($A920,FIND("/",$A920)+1,20))+1,20))),"")))</f>
        <v/>
      </c>
      <c r="E920">
        <f>IF($A920="","",IF(OR($B920="",$C920="",$D920="",$B920&lt;1300,$B920&gt;1500,$C920&lt;1,$C920&gt;12,$D920&lt;1,$D920&gt;31),"نامعتبر",RIGHT("0000"&amp;$B920,4)&amp;"/"&amp;RIGHT("00"&amp;$C920,2)&amp;"/"&amp;RIGHT("00"&amp;$D920,2)))</f>
        <v/>
      </c>
      <c r="F920">
        <f>IF(OR($E920="",$E920="نامعتبر"),"",LEFT($E920,4)&amp;"/"&amp;MID($E920,6,2))</f>
        <v/>
      </c>
      <c r="G920">
        <f>IF(OR($E920="",$E920="نامعتبر",Sync!$X916=""),"",IF(AND(LEFT(UPPER(TRIM(Sync!$X916)),2)="SL",IFERROR(VLOOKUP(Sync!$W916,OpTbl,3,0),"")="فروش"),UPPER(TRIM(Sync!$X916)),""))</f>
        <v/>
      </c>
      <c r="H920">
        <f>IF($G920="","",IF(Sync!$W916="","",Sync!$W916))</f>
        <v/>
      </c>
      <c r="I920">
        <f>IF(OR($G920="",Sync!$Y916=""),"",Sync!$Y916)</f>
        <v/>
      </c>
      <c r="J920">
        <f>IF(OR($G920="",Sync!$Z916=""),"",Sync!$Z916)</f>
        <v/>
      </c>
      <c r="K920">
        <f>IF($G920="",0,IF(Sync!$AA916="",0,Sync!$AA916))</f>
        <v/>
      </c>
      <c r="L920">
        <f>IF($G920="",0,IF(Sync!$AB916="",0,Sync!$AB916))</f>
        <v/>
      </c>
      <c r="M920">
        <f>IF($G920="","",IF($H920="مرجوعی فروش",-1,1)*($K920-$L920*IFERROR(VLOOKUP("P01",ParamTbl,3,0),1.5)))</f>
        <v/>
      </c>
      <c r="N920">
        <f>IF($G920="",0,IF($H920="مرجوعی فروش",-1,1)*IF(Sync!$AC916="",0,Sync!$AC916))</f>
        <v/>
      </c>
      <c r="O920">
        <f>IF(OR($G920="",Sync!$V916=""),"",Sync!$V916)</f>
        <v/>
      </c>
      <c r="P920">
        <f>IF(OR($G920="",Sync!$AD916=""),"",Sync!$AD916)</f>
        <v/>
      </c>
      <c r="Q920">
        <f>IF($G920="","",IF(Sync!$U916="","0000",IF(AND(ISNUMBER(Sync!$U916),Sync!$U916&gt;=0,Sync!$U916&lt;1),RIGHT("00"&amp;HOUR(Sync!$U916),2)&amp;RIGHT("00"&amp;MINUTE(Sync!$U916),2),IFERROR(RIGHT("00"&amp;VALUE(LEFT(Sync!$U916,FIND(":",Sync!$U916)-1)),2)&amp;RIGHT("00"&amp;VALUE(MID(Sync!$U916,FIND(":",Sync!$U916)+1,2)),2),"0000"))))</f>
        <v/>
      </c>
    </row>
    <row r="921">
      <c r="A921">
        <f>IF(Sync!$T917="","",Sync!$T917)</f>
        <v/>
      </c>
      <c r="B921">
        <f>IF($A921="","",IF(ISNUMBER($A921),IF(AND($A921&gt;=10000101,$A921&lt;=99991231),INT($A921/10000),""),IFERROR(VALUE(TRIM(LEFT($A921,FIND("/",$A921)-1))),"")))</f>
        <v/>
      </c>
      <c r="C921">
        <f>IF(OR($A921="",$B921=""),"",IF(ISNUMBER($A921),INT(MOD($A921,10000)/100),IFERROR(VALUE(TRIM(LEFT(MID($A921,FIND("/",$A921)+1,20),FIND("/",MID($A921,FIND("/",$A921)+1,20))-1))),"")))</f>
        <v/>
      </c>
      <c r="D921">
        <f>IF(OR($A921="",$B921=""),"",IF(ISNUMBER($A921),MOD($A921,100),IFERROR(VALUE(TRIM(MID(MID($A921,FIND("/",$A921)+1,20),FIND("/",MID($A921,FIND("/",$A921)+1,20))+1,20))),"")))</f>
        <v/>
      </c>
      <c r="E921">
        <f>IF($A921="","",IF(OR($B921="",$C921="",$D921="",$B921&lt;1300,$B921&gt;1500,$C921&lt;1,$C921&gt;12,$D921&lt;1,$D921&gt;31),"نامعتبر",RIGHT("0000"&amp;$B921,4)&amp;"/"&amp;RIGHT("00"&amp;$C921,2)&amp;"/"&amp;RIGHT("00"&amp;$D921,2)))</f>
        <v/>
      </c>
      <c r="F921">
        <f>IF(OR($E921="",$E921="نامعتبر"),"",LEFT($E921,4)&amp;"/"&amp;MID($E921,6,2))</f>
        <v/>
      </c>
      <c r="G921">
        <f>IF(OR($E921="",$E921="نامعتبر",Sync!$X917=""),"",IF(AND(LEFT(UPPER(TRIM(Sync!$X917)),2)="SL",IFERROR(VLOOKUP(Sync!$W917,OpTbl,3,0),"")="فروش"),UPPER(TRIM(Sync!$X917)),""))</f>
        <v/>
      </c>
      <c r="H921">
        <f>IF($G921="","",IF(Sync!$W917="","",Sync!$W917))</f>
        <v/>
      </c>
      <c r="I921">
        <f>IF(OR($G921="",Sync!$Y917=""),"",Sync!$Y917)</f>
        <v/>
      </c>
      <c r="J921">
        <f>IF(OR($G921="",Sync!$Z917=""),"",Sync!$Z917)</f>
        <v/>
      </c>
      <c r="K921">
        <f>IF($G921="",0,IF(Sync!$AA917="",0,Sync!$AA917))</f>
        <v/>
      </c>
      <c r="L921">
        <f>IF($G921="",0,IF(Sync!$AB917="",0,Sync!$AB917))</f>
        <v/>
      </c>
      <c r="M921">
        <f>IF($G921="","",IF($H921="مرجوعی فروش",-1,1)*($K921-$L921*IFERROR(VLOOKUP("P01",ParamTbl,3,0),1.5)))</f>
        <v/>
      </c>
      <c r="N921">
        <f>IF($G921="",0,IF($H921="مرجوعی فروش",-1,1)*IF(Sync!$AC917="",0,Sync!$AC917))</f>
        <v/>
      </c>
      <c r="O921">
        <f>IF(OR($G921="",Sync!$V917=""),"",Sync!$V917)</f>
        <v/>
      </c>
      <c r="P921">
        <f>IF(OR($G921="",Sync!$AD917=""),"",Sync!$AD917)</f>
        <v/>
      </c>
      <c r="Q921">
        <f>IF($G921="","",IF(Sync!$U917="","0000",IF(AND(ISNUMBER(Sync!$U917),Sync!$U917&gt;=0,Sync!$U917&lt;1),RIGHT("00"&amp;HOUR(Sync!$U917),2)&amp;RIGHT("00"&amp;MINUTE(Sync!$U917),2),IFERROR(RIGHT("00"&amp;VALUE(LEFT(Sync!$U917,FIND(":",Sync!$U917)-1)),2)&amp;RIGHT("00"&amp;VALUE(MID(Sync!$U917,FIND(":",Sync!$U917)+1,2)),2),"0000"))))</f>
        <v/>
      </c>
    </row>
    <row r="922">
      <c r="A922">
        <f>IF(Sync!$T918="","",Sync!$T918)</f>
        <v/>
      </c>
      <c r="B922">
        <f>IF($A922="","",IF(ISNUMBER($A922),IF(AND($A922&gt;=10000101,$A922&lt;=99991231),INT($A922/10000),""),IFERROR(VALUE(TRIM(LEFT($A922,FIND("/",$A922)-1))),"")))</f>
        <v/>
      </c>
      <c r="C922">
        <f>IF(OR($A922="",$B922=""),"",IF(ISNUMBER($A922),INT(MOD($A922,10000)/100),IFERROR(VALUE(TRIM(LEFT(MID($A922,FIND("/",$A922)+1,20),FIND("/",MID($A922,FIND("/",$A922)+1,20))-1))),"")))</f>
        <v/>
      </c>
      <c r="D922">
        <f>IF(OR($A922="",$B922=""),"",IF(ISNUMBER($A922),MOD($A922,100),IFERROR(VALUE(TRIM(MID(MID($A922,FIND("/",$A922)+1,20),FIND("/",MID($A922,FIND("/",$A922)+1,20))+1,20))),"")))</f>
        <v/>
      </c>
      <c r="E922">
        <f>IF($A922="","",IF(OR($B922="",$C922="",$D922="",$B922&lt;1300,$B922&gt;1500,$C922&lt;1,$C922&gt;12,$D922&lt;1,$D922&gt;31),"نامعتبر",RIGHT("0000"&amp;$B922,4)&amp;"/"&amp;RIGHT("00"&amp;$C922,2)&amp;"/"&amp;RIGHT("00"&amp;$D922,2)))</f>
        <v/>
      </c>
      <c r="F922">
        <f>IF(OR($E922="",$E922="نامعتبر"),"",LEFT($E922,4)&amp;"/"&amp;MID($E922,6,2))</f>
        <v/>
      </c>
      <c r="G922">
        <f>IF(OR($E922="",$E922="نامعتبر",Sync!$X918=""),"",IF(AND(LEFT(UPPER(TRIM(Sync!$X918)),2)="SL",IFERROR(VLOOKUP(Sync!$W918,OpTbl,3,0),"")="فروش"),UPPER(TRIM(Sync!$X918)),""))</f>
        <v/>
      </c>
      <c r="H922">
        <f>IF($G922="","",IF(Sync!$W918="","",Sync!$W918))</f>
        <v/>
      </c>
      <c r="I922">
        <f>IF(OR($G922="",Sync!$Y918=""),"",Sync!$Y918)</f>
        <v/>
      </c>
      <c r="J922">
        <f>IF(OR($G922="",Sync!$Z918=""),"",Sync!$Z918)</f>
        <v/>
      </c>
      <c r="K922">
        <f>IF($G922="",0,IF(Sync!$AA918="",0,Sync!$AA918))</f>
        <v/>
      </c>
      <c r="L922">
        <f>IF($G922="",0,IF(Sync!$AB918="",0,Sync!$AB918))</f>
        <v/>
      </c>
      <c r="M922">
        <f>IF($G922="","",IF($H922="مرجوعی فروش",-1,1)*($K922-$L922*IFERROR(VLOOKUP("P01",ParamTbl,3,0),1.5)))</f>
        <v/>
      </c>
      <c r="N922">
        <f>IF($G922="",0,IF($H922="مرجوعی فروش",-1,1)*IF(Sync!$AC918="",0,Sync!$AC918))</f>
        <v/>
      </c>
      <c r="O922">
        <f>IF(OR($G922="",Sync!$V918=""),"",Sync!$V918)</f>
        <v/>
      </c>
      <c r="P922">
        <f>IF(OR($G922="",Sync!$AD918=""),"",Sync!$AD918)</f>
        <v/>
      </c>
      <c r="Q922">
        <f>IF($G922="","",IF(Sync!$U918="","0000",IF(AND(ISNUMBER(Sync!$U918),Sync!$U918&gt;=0,Sync!$U918&lt;1),RIGHT("00"&amp;HOUR(Sync!$U918),2)&amp;RIGHT("00"&amp;MINUTE(Sync!$U918),2),IFERROR(RIGHT("00"&amp;VALUE(LEFT(Sync!$U918,FIND(":",Sync!$U918)-1)),2)&amp;RIGHT("00"&amp;VALUE(MID(Sync!$U918,FIND(":",Sync!$U918)+1,2)),2),"0000"))))</f>
        <v/>
      </c>
    </row>
    <row r="923">
      <c r="A923">
        <f>IF(Sync!$T919="","",Sync!$T919)</f>
        <v/>
      </c>
      <c r="B923">
        <f>IF($A923="","",IF(ISNUMBER($A923),IF(AND($A923&gt;=10000101,$A923&lt;=99991231),INT($A923/10000),""),IFERROR(VALUE(TRIM(LEFT($A923,FIND("/",$A923)-1))),"")))</f>
        <v/>
      </c>
      <c r="C923">
        <f>IF(OR($A923="",$B923=""),"",IF(ISNUMBER($A923),INT(MOD($A923,10000)/100),IFERROR(VALUE(TRIM(LEFT(MID($A923,FIND("/",$A923)+1,20),FIND("/",MID($A923,FIND("/",$A923)+1,20))-1))),"")))</f>
        <v/>
      </c>
      <c r="D923">
        <f>IF(OR($A923="",$B923=""),"",IF(ISNUMBER($A923),MOD($A923,100),IFERROR(VALUE(TRIM(MID(MID($A923,FIND("/",$A923)+1,20),FIND("/",MID($A923,FIND("/",$A923)+1,20))+1,20))),"")))</f>
        <v/>
      </c>
      <c r="E923">
        <f>IF($A923="","",IF(OR($B923="",$C923="",$D923="",$B923&lt;1300,$B923&gt;1500,$C923&lt;1,$C923&gt;12,$D923&lt;1,$D923&gt;31),"نامعتبر",RIGHT("0000"&amp;$B923,4)&amp;"/"&amp;RIGHT("00"&amp;$C923,2)&amp;"/"&amp;RIGHT("00"&amp;$D923,2)))</f>
        <v/>
      </c>
      <c r="F923">
        <f>IF(OR($E923="",$E923="نامعتبر"),"",LEFT($E923,4)&amp;"/"&amp;MID($E923,6,2))</f>
        <v/>
      </c>
      <c r="G923">
        <f>IF(OR($E923="",$E923="نامعتبر",Sync!$X919=""),"",IF(AND(LEFT(UPPER(TRIM(Sync!$X919)),2)="SL",IFERROR(VLOOKUP(Sync!$W919,OpTbl,3,0),"")="فروش"),UPPER(TRIM(Sync!$X919)),""))</f>
        <v/>
      </c>
      <c r="H923">
        <f>IF($G923="","",IF(Sync!$W919="","",Sync!$W919))</f>
        <v/>
      </c>
      <c r="I923">
        <f>IF(OR($G923="",Sync!$Y919=""),"",Sync!$Y919)</f>
        <v/>
      </c>
      <c r="J923">
        <f>IF(OR($G923="",Sync!$Z919=""),"",Sync!$Z919)</f>
        <v/>
      </c>
      <c r="K923">
        <f>IF($G923="",0,IF(Sync!$AA919="",0,Sync!$AA919))</f>
        <v/>
      </c>
      <c r="L923">
        <f>IF($G923="",0,IF(Sync!$AB919="",0,Sync!$AB919))</f>
        <v/>
      </c>
      <c r="M923">
        <f>IF($G923="","",IF($H923="مرجوعی فروش",-1,1)*($K923-$L923*IFERROR(VLOOKUP("P01",ParamTbl,3,0),1.5)))</f>
        <v/>
      </c>
      <c r="N923">
        <f>IF($G923="",0,IF($H923="مرجوعی فروش",-1,1)*IF(Sync!$AC919="",0,Sync!$AC919))</f>
        <v/>
      </c>
      <c r="O923">
        <f>IF(OR($G923="",Sync!$V919=""),"",Sync!$V919)</f>
        <v/>
      </c>
      <c r="P923">
        <f>IF(OR($G923="",Sync!$AD919=""),"",Sync!$AD919)</f>
        <v/>
      </c>
      <c r="Q923">
        <f>IF($G923="","",IF(Sync!$U919="","0000",IF(AND(ISNUMBER(Sync!$U919),Sync!$U919&gt;=0,Sync!$U919&lt;1),RIGHT("00"&amp;HOUR(Sync!$U919),2)&amp;RIGHT("00"&amp;MINUTE(Sync!$U919),2),IFERROR(RIGHT("00"&amp;VALUE(LEFT(Sync!$U919,FIND(":",Sync!$U919)-1)),2)&amp;RIGHT("00"&amp;VALUE(MID(Sync!$U919,FIND(":",Sync!$U919)+1,2)),2),"0000"))))</f>
        <v/>
      </c>
    </row>
    <row r="924">
      <c r="A924">
        <f>IF(Sync!$T920="","",Sync!$T920)</f>
        <v/>
      </c>
      <c r="B924">
        <f>IF($A924="","",IF(ISNUMBER($A924),IF(AND($A924&gt;=10000101,$A924&lt;=99991231),INT($A924/10000),""),IFERROR(VALUE(TRIM(LEFT($A924,FIND("/",$A924)-1))),"")))</f>
        <v/>
      </c>
      <c r="C924">
        <f>IF(OR($A924="",$B924=""),"",IF(ISNUMBER($A924),INT(MOD($A924,10000)/100),IFERROR(VALUE(TRIM(LEFT(MID($A924,FIND("/",$A924)+1,20),FIND("/",MID($A924,FIND("/",$A924)+1,20))-1))),"")))</f>
        <v/>
      </c>
      <c r="D924">
        <f>IF(OR($A924="",$B924=""),"",IF(ISNUMBER($A924),MOD($A924,100),IFERROR(VALUE(TRIM(MID(MID($A924,FIND("/",$A924)+1,20),FIND("/",MID($A924,FIND("/",$A924)+1,20))+1,20))),"")))</f>
        <v/>
      </c>
      <c r="E924">
        <f>IF($A924="","",IF(OR($B924="",$C924="",$D924="",$B924&lt;1300,$B924&gt;1500,$C924&lt;1,$C924&gt;12,$D924&lt;1,$D924&gt;31),"نامعتبر",RIGHT("0000"&amp;$B924,4)&amp;"/"&amp;RIGHT("00"&amp;$C924,2)&amp;"/"&amp;RIGHT("00"&amp;$D924,2)))</f>
        <v/>
      </c>
      <c r="F924">
        <f>IF(OR($E924="",$E924="نامعتبر"),"",LEFT($E924,4)&amp;"/"&amp;MID($E924,6,2))</f>
        <v/>
      </c>
      <c r="G924">
        <f>IF(OR($E924="",$E924="نامعتبر",Sync!$X920=""),"",IF(AND(LEFT(UPPER(TRIM(Sync!$X920)),2)="SL",IFERROR(VLOOKUP(Sync!$W920,OpTbl,3,0),"")="فروش"),UPPER(TRIM(Sync!$X920)),""))</f>
        <v/>
      </c>
      <c r="H924">
        <f>IF($G924="","",IF(Sync!$W920="","",Sync!$W920))</f>
        <v/>
      </c>
      <c r="I924">
        <f>IF(OR($G924="",Sync!$Y920=""),"",Sync!$Y920)</f>
        <v/>
      </c>
      <c r="J924">
        <f>IF(OR($G924="",Sync!$Z920=""),"",Sync!$Z920)</f>
        <v/>
      </c>
      <c r="K924">
        <f>IF($G924="",0,IF(Sync!$AA920="",0,Sync!$AA920))</f>
        <v/>
      </c>
      <c r="L924">
        <f>IF($G924="",0,IF(Sync!$AB920="",0,Sync!$AB920))</f>
        <v/>
      </c>
      <c r="M924">
        <f>IF($G924="","",IF($H924="مرجوعی فروش",-1,1)*($K924-$L924*IFERROR(VLOOKUP("P01",ParamTbl,3,0),1.5)))</f>
        <v/>
      </c>
      <c r="N924">
        <f>IF($G924="",0,IF($H924="مرجوعی فروش",-1,1)*IF(Sync!$AC920="",0,Sync!$AC920))</f>
        <v/>
      </c>
      <c r="O924">
        <f>IF(OR($G924="",Sync!$V920=""),"",Sync!$V920)</f>
        <v/>
      </c>
      <c r="P924">
        <f>IF(OR($G924="",Sync!$AD920=""),"",Sync!$AD920)</f>
        <v/>
      </c>
      <c r="Q924">
        <f>IF($G924="","",IF(Sync!$U920="","0000",IF(AND(ISNUMBER(Sync!$U920),Sync!$U920&gt;=0,Sync!$U920&lt;1),RIGHT("00"&amp;HOUR(Sync!$U920),2)&amp;RIGHT("00"&amp;MINUTE(Sync!$U920),2),IFERROR(RIGHT("00"&amp;VALUE(LEFT(Sync!$U920,FIND(":",Sync!$U920)-1)),2)&amp;RIGHT("00"&amp;VALUE(MID(Sync!$U920,FIND(":",Sync!$U920)+1,2)),2),"0000"))))</f>
        <v/>
      </c>
    </row>
    <row r="925">
      <c r="A925">
        <f>IF(Sync!$T921="","",Sync!$T921)</f>
        <v/>
      </c>
      <c r="B925">
        <f>IF($A925="","",IF(ISNUMBER($A925),IF(AND($A925&gt;=10000101,$A925&lt;=99991231),INT($A925/10000),""),IFERROR(VALUE(TRIM(LEFT($A925,FIND("/",$A925)-1))),"")))</f>
        <v/>
      </c>
      <c r="C925">
        <f>IF(OR($A925="",$B925=""),"",IF(ISNUMBER($A925),INT(MOD($A925,10000)/100),IFERROR(VALUE(TRIM(LEFT(MID($A925,FIND("/",$A925)+1,20),FIND("/",MID($A925,FIND("/",$A925)+1,20))-1))),"")))</f>
        <v/>
      </c>
      <c r="D925">
        <f>IF(OR($A925="",$B925=""),"",IF(ISNUMBER($A925),MOD($A925,100),IFERROR(VALUE(TRIM(MID(MID($A925,FIND("/",$A925)+1,20),FIND("/",MID($A925,FIND("/",$A925)+1,20))+1,20))),"")))</f>
        <v/>
      </c>
      <c r="E925">
        <f>IF($A925="","",IF(OR($B925="",$C925="",$D925="",$B925&lt;1300,$B925&gt;1500,$C925&lt;1,$C925&gt;12,$D925&lt;1,$D925&gt;31),"نامعتبر",RIGHT("0000"&amp;$B925,4)&amp;"/"&amp;RIGHT("00"&amp;$C925,2)&amp;"/"&amp;RIGHT("00"&amp;$D925,2)))</f>
        <v/>
      </c>
      <c r="F925">
        <f>IF(OR($E925="",$E925="نامعتبر"),"",LEFT($E925,4)&amp;"/"&amp;MID($E925,6,2))</f>
        <v/>
      </c>
      <c r="G925">
        <f>IF(OR($E925="",$E925="نامعتبر",Sync!$X921=""),"",IF(AND(LEFT(UPPER(TRIM(Sync!$X921)),2)="SL",IFERROR(VLOOKUP(Sync!$W921,OpTbl,3,0),"")="فروش"),UPPER(TRIM(Sync!$X921)),""))</f>
        <v/>
      </c>
      <c r="H925">
        <f>IF($G925="","",IF(Sync!$W921="","",Sync!$W921))</f>
        <v/>
      </c>
      <c r="I925">
        <f>IF(OR($G925="",Sync!$Y921=""),"",Sync!$Y921)</f>
        <v/>
      </c>
      <c r="J925">
        <f>IF(OR($G925="",Sync!$Z921=""),"",Sync!$Z921)</f>
        <v/>
      </c>
      <c r="K925">
        <f>IF($G925="",0,IF(Sync!$AA921="",0,Sync!$AA921))</f>
        <v/>
      </c>
      <c r="L925">
        <f>IF($G925="",0,IF(Sync!$AB921="",0,Sync!$AB921))</f>
        <v/>
      </c>
      <c r="M925">
        <f>IF($G925="","",IF($H925="مرجوعی فروش",-1,1)*($K925-$L925*IFERROR(VLOOKUP("P01",ParamTbl,3,0),1.5)))</f>
        <v/>
      </c>
      <c r="N925">
        <f>IF($G925="",0,IF($H925="مرجوعی فروش",-1,1)*IF(Sync!$AC921="",0,Sync!$AC921))</f>
        <v/>
      </c>
      <c r="O925">
        <f>IF(OR($G925="",Sync!$V921=""),"",Sync!$V921)</f>
        <v/>
      </c>
      <c r="P925">
        <f>IF(OR($G925="",Sync!$AD921=""),"",Sync!$AD921)</f>
        <v/>
      </c>
      <c r="Q925">
        <f>IF($G925="","",IF(Sync!$U921="","0000",IF(AND(ISNUMBER(Sync!$U921),Sync!$U921&gt;=0,Sync!$U921&lt;1),RIGHT("00"&amp;HOUR(Sync!$U921),2)&amp;RIGHT("00"&amp;MINUTE(Sync!$U921),2),IFERROR(RIGHT("00"&amp;VALUE(LEFT(Sync!$U921,FIND(":",Sync!$U921)-1)),2)&amp;RIGHT("00"&amp;VALUE(MID(Sync!$U921,FIND(":",Sync!$U921)+1,2)),2),"0000"))))</f>
        <v/>
      </c>
    </row>
    <row r="926">
      <c r="A926">
        <f>IF(Sync!$T922="","",Sync!$T922)</f>
        <v/>
      </c>
      <c r="B926">
        <f>IF($A926="","",IF(ISNUMBER($A926),IF(AND($A926&gt;=10000101,$A926&lt;=99991231),INT($A926/10000),""),IFERROR(VALUE(TRIM(LEFT($A926,FIND("/",$A926)-1))),"")))</f>
        <v/>
      </c>
      <c r="C926">
        <f>IF(OR($A926="",$B926=""),"",IF(ISNUMBER($A926),INT(MOD($A926,10000)/100),IFERROR(VALUE(TRIM(LEFT(MID($A926,FIND("/",$A926)+1,20),FIND("/",MID($A926,FIND("/",$A926)+1,20))-1))),"")))</f>
        <v/>
      </c>
      <c r="D926">
        <f>IF(OR($A926="",$B926=""),"",IF(ISNUMBER($A926),MOD($A926,100),IFERROR(VALUE(TRIM(MID(MID($A926,FIND("/",$A926)+1,20),FIND("/",MID($A926,FIND("/",$A926)+1,20))+1,20))),"")))</f>
        <v/>
      </c>
      <c r="E926">
        <f>IF($A926="","",IF(OR($B926="",$C926="",$D926="",$B926&lt;1300,$B926&gt;1500,$C926&lt;1,$C926&gt;12,$D926&lt;1,$D926&gt;31),"نامعتبر",RIGHT("0000"&amp;$B926,4)&amp;"/"&amp;RIGHT("00"&amp;$C926,2)&amp;"/"&amp;RIGHT("00"&amp;$D926,2)))</f>
        <v/>
      </c>
      <c r="F926">
        <f>IF(OR($E926="",$E926="نامعتبر"),"",LEFT($E926,4)&amp;"/"&amp;MID($E926,6,2))</f>
        <v/>
      </c>
      <c r="G926">
        <f>IF(OR($E926="",$E926="نامعتبر",Sync!$X922=""),"",IF(AND(LEFT(UPPER(TRIM(Sync!$X922)),2)="SL",IFERROR(VLOOKUP(Sync!$W922,OpTbl,3,0),"")="فروش"),UPPER(TRIM(Sync!$X922)),""))</f>
        <v/>
      </c>
      <c r="H926">
        <f>IF($G926="","",IF(Sync!$W922="","",Sync!$W922))</f>
        <v/>
      </c>
      <c r="I926">
        <f>IF(OR($G926="",Sync!$Y922=""),"",Sync!$Y922)</f>
        <v/>
      </c>
      <c r="J926">
        <f>IF(OR($G926="",Sync!$Z922=""),"",Sync!$Z922)</f>
        <v/>
      </c>
      <c r="K926">
        <f>IF($G926="",0,IF(Sync!$AA922="",0,Sync!$AA922))</f>
        <v/>
      </c>
      <c r="L926">
        <f>IF($G926="",0,IF(Sync!$AB922="",0,Sync!$AB922))</f>
        <v/>
      </c>
      <c r="M926">
        <f>IF($G926="","",IF($H926="مرجوعی فروش",-1,1)*($K926-$L926*IFERROR(VLOOKUP("P01",ParamTbl,3,0),1.5)))</f>
        <v/>
      </c>
      <c r="N926">
        <f>IF($G926="",0,IF($H926="مرجوعی فروش",-1,1)*IF(Sync!$AC922="",0,Sync!$AC922))</f>
        <v/>
      </c>
      <c r="O926">
        <f>IF(OR($G926="",Sync!$V922=""),"",Sync!$V922)</f>
        <v/>
      </c>
      <c r="P926">
        <f>IF(OR($G926="",Sync!$AD922=""),"",Sync!$AD922)</f>
        <v/>
      </c>
      <c r="Q926">
        <f>IF($G926="","",IF(Sync!$U922="","0000",IF(AND(ISNUMBER(Sync!$U922),Sync!$U922&gt;=0,Sync!$U922&lt;1),RIGHT("00"&amp;HOUR(Sync!$U922),2)&amp;RIGHT("00"&amp;MINUTE(Sync!$U922),2),IFERROR(RIGHT("00"&amp;VALUE(LEFT(Sync!$U922,FIND(":",Sync!$U922)-1)),2)&amp;RIGHT("00"&amp;VALUE(MID(Sync!$U922,FIND(":",Sync!$U922)+1,2)),2),"0000"))))</f>
        <v/>
      </c>
    </row>
    <row r="927">
      <c r="A927">
        <f>IF(Sync!$T923="","",Sync!$T923)</f>
        <v/>
      </c>
      <c r="B927">
        <f>IF($A927="","",IF(ISNUMBER($A927),IF(AND($A927&gt;=10000101,$A927&lt;=99991231),INT($A927/10000),""),IFERROR(VALUE(TRIM(LEFT($A927,FIND("/",$A927)-1))),"")))</f>
        <v/>
      </c>
      <c r="C927">
        <f>IF(OR($A927="",$B927=""),"",IF(ISNUMBER($A927),INT(MOD($A927,10000)/100),IFERROR(VALUE(TRIM(LEFT(MID($A927,FIND("/",$A927)+1,20),FIND("/",MID($A927,FIND("/",$A927)+1,20))-1))),"")))</f>
        <v/>
      </c>
      <c r="D927">
        <f>IF(OR($A927="",$B927=""),"",IF(ISNUMBER($A927),MOD($A927,100),IFERROR(VALUE(TRIM(MID(MID($A927,FIND("/",$A927)+1,20),FIND("/",MID($A927,FIND("/",$A927)+1,20))+1,20))),"")))</f>
        <v/>
      </c>
      <c r="E927">
        <f>IF($A927="","",IF(OR($B927="",$C927="",$D927="",$B927&lt;1300,$B927&gt;1500,$C927&lt;1,$C927&gt;12,$D927&lt;1,$D927&gt;31),"نامعتبر",RIGHT("0000"&amp;$B927,4)&amp;"/"&amp;RIGHT("00"&amp;$C927,2)&amp;"/"&amp;RIGHT("00"&amp;$D927,2)))</f>
        <v/>
      </c>
      <c r="F927">
        <f>IF(OR($E927="",$E927="نامعتبر"),"",LEFT($E927,4)&amp;"/"&amp;MID($E927,6,2))</f>
        <v/>
      </c>
      <c r="G927">
        <f>IF(OR($E927="",$E927="نامعتبر",Sync!$X923=""),"",IF(AND(LEFT(UPPER(TRIM(Sync!$X923)),2)="SL",IFERROR(VLOOKUP(Sync!$W923,OpTbl,3,0),"")="فروش"),UPPER(TRIM(Sync!$X923)),""))</f>
        <v/>
      </c>
      <c r="H927">
        <f>IF($G927="","",IF(Sync!$W923="","",Sync!$W923))</f>
        <v/>
      </c>
      <c r="I927">
        <f>IF(OR($G927="",Sync!$Y923=""),"",Sync!$Y923)</f>
        <v/>
      </c>
      <c r="J927">
        <f>IF(OR($G927="",Sync!$Z923=""),"",Sync!$Z923)</f>
        <v/>
      </c>
      <c r="K927">
        <f>IF($G927="",0,IF(Sync!$AA923="",0,Sync!$AA923))</f>
        <v/>
      </c>
      <c r="L927">
        <f>IF($G927="",0,IF(Sync!$AB923="",0,Sync!$AB923))</f>
        <v/>
      </c>
      <c r="M927">
        <f>IF($G927="","",IF($H927="مرجوعی فروش",-1,1)*($K927-$L927*IFERROR(VLOOKUP("P01",ParamTbl,3,0),1.5)))</f>
        <v/>
      </c>
      <c r="N927">
        <f>IF($G927="",0,IF($H927="مرجوعی فروش",-1,1)*IF(Sync!$AC923="",0,Sync!$AC923))</f>
        <v/>
      </c>
      <c r="O927">
        <f>IF(OR($G927="",Sync!$V923=""),"",Sync!$V923)</f>
        <v/>
      </c>
      <c r="P927">
        <f>IF(OR($G927="",Sync!$AD923=""),"",Sync!$AD923)</f>
        <v/>
      </c>
      <c r="Q927">
        <f>IF($G927="","",IF(Sync!$U923="","0000",IF(AND(ISNUMBER(Sync!$U923),Sync!$U923&gt;=0,Sync!$U923&lt;1),RIGHT("00"&amp;HOUR(Sync!$U923),2)&amp;RIGHT("00"&amp;MINUTE(Sync!$U923),2),IFERROR(RIGHT("00"&amp;VALUE(LEFT(Sync!$U923,FIND(":",Sync!$U923)-1)),2)&amp;RIGHT("00"&amp;VALUE(MID(Sync!$U923,FIND(":",Sync!$U923)+1,2)),2),"0000"))))</f>
        <v/>
      </c>
    </row>
    <row r="928">
      <c r="A928">
        <f>IF(Sync!$T924="","",Sync!$T924)</f>
        <v/>
      </c>
      <c r="B928">
        <f>IF($A928="","",IF(ISNUMBER($A928),IF(AND($A928&gt;=10000101,$A928&lt;=99991231),INT($A928/10000),""),IFERROR(VALUE(TRIM(LEFT($A928,FIND("/",$A928)-1))),"")))</f>
        <v/>
      </c>
      <c r="C928">
        <f>IF(OR($A928="",$B928=""),"",IF(ISNUMBER($A928),INT(MOD($A928,10000)/100),IFERROR(VALUE(TRIM(LEFT(MID($A928,FIND("/",$A928)+1,20),FIND("/",MID($A928,FIND("/",$A928)+1,20))-1))),"")))</f>
        <v/>
      </c>
      <c r="D928">
        <f>IF(OR($A928="",$B928=""),"",IF(ISNUMBER($A928),MOD($A928,100),IFERROR(VALUE(TRIM(MID(MID($A928,FIND("/",$A928)+1,20),FIND("/",MID($A928,FIND("/",$A928)+1,20))+1,20))),"")))</f>
        <v/>
      </c>
      <c r="E928">
        <f>IF($A928="","",IF(OR($B928="",$C928="",$D928="",$B928&lt;1300,$B928&gt;1500,$C928&lt;1,$C928&gt;12,$D928&lt;1,$D928&gt;31),"نامعتبر",RIGHT("0000"&amp;$B928,4)&amp;"/"&amp;RIGHT("00"&amp;$C928,2)&amp;"/"&amp;RIGHT("00"&amp;$D928,2)))</f>
        <v/>
      </c>
      <c r="F928">
        <f>IF(OR($E928="",$E928="نامعتبر"),"",LEFT($E928,4)&amp;"/"&amp;MID($E928,6,2))</f>
        <v/>
      </c>
      <c r="G928">
        <f>IF(OR($E928="",$E928="نامعتبر",Sync!$X924=""),"",IF(AND(LEFT(UPPER(TRIM(Sync!$X924)),2)="SL",IFERROR(VLOOKUP(Sync!$W924,OpTbl,3,0),"")="فروش"),UPPER(TRIM(Sync!$X924)),""))</f>
        <v/>
      </c>
      <c r="H928">
        <f>IF($G928="","",IF(Sync!$W924="","",Sync!$W924))</f>
        <v/>
      </c>
      <c r="I928">
        <f>IF(OR($G928="",Sync!$Y924=""),"",Sync!$Y924)</f>
        <v/>
      </c>
      <c r="J928">
        <f>IF(OR($G928="",Sync!$Z924=""),"",Sync!$Z924)</f>
        <v/>
      </c>
      <c r="K928">
        <f>IF($G928="",0,IF(Sync!$AA924="",0,Sync!$AA924))</f>
        <v/>
      </c>
      <c r="L928">
        <f>IF($G928="",0,IF(Sync!$AB924="",0,Sync!$AB924))</f>
        <v/>
      </c>
      <c r="M928">
        <f>IF($G928="","",IF($H928="مرجوعی فروش",-1,1)*($K928-$L928*IFERROR(VLOOKUP("P01",ParamTbl,3,0),1.5)))</f>
        <v/>
      </c>
      <c r="N928">
        <f>IF($G928="",0,IF($H928="مرجوعی فروش",-1,1)*IF(Sync!$AC924="",0,Sync!$AC924))</f>
        <v/>
      </c>
      <c r="O928">
        <f>IF(OR($G928="",Sync!$V924=""),"",Sync!$V924)</f>
        <v/>
      </c>
      <c r="P928">
        <f>IF(OR($G928="",Sync!$AD924=""),"",Sync!$AD924)</f>
        <v/>
      </c>
      <c r="Q928">
        <f>IF($G928="","",IF(Sync!$U924="","0000",IF(AND(ISNUMBER(Sync!$U924),Sync!$U924&gt;=0,Sync!$U924&lt;1),RIGHT("00"&amp;HOUR(Sync!$U924),2)&amp;RIGHT("00"&amp;MINUTE(Sync!$U924),2),IFERROR(RIGHT("00"&amp;VALUE(LEFT(Sync!$U924,FIND(":",Sync!$U924)-1)),2)&amp;RIGHT("00"&amp;VALUE(MID(Sync!$U924,FIND(":",Sync!$U924)+1,2)),2),"0000"))))</f>
        <v/>
      </c>
    </row>
    <row r="929">
      <c r="A929">
        <f>IF(Sync!$T925="","",Sync!$T925)</f>
        <v/>
      </c>
      <c r="B929">
        <f>IF($A929="","",IF(ISNUMBER($A929),IF(AND($A929&gt;=10000101,$A929&lt;=99991231),INT($A929/10000),""),IFERROR(VALUE(TRIM(LEFT($A929,FIND("/",$A929)-1))),"")))</f>
        <v/>
      </c>
      <c r="C929">
        <f>IF(OR($A929="",$B929=""),"",IF(ISNUMBER($A929),INT(MOD($A929,10000)/100),IFERROR(VALUE(TRIM(LEFT(MID($A929,FIND("/",$A929)+1,20),FIND("/",MID($A929,FIND("/",$A929)+1,20))-1))),"")))</f>
        <v/>
      </c>
      <c r="D929">
        <f>IF(OR($A929="",$B929=""),"",IF(ISNUMBER($A929),MOD($A929,100),IFERROR(VALUE(TRIM(MID(MID($A929,FIND("/",$A929)+1,20),FIND("/",MID($A929,FIND("/",$A929)+1,20))+1,20))),"")))</f>
        <v/>
      </c>
      <c r="E929">
        <f>IF($A929="","",IF(OR($B929="",$C929="",$D929="",$B929&lt;1300,$B929&gt;1500,$C929&lt;1,$C929&gt;12,$D929&lt;1,$D929&gt;31),"نامعتبر",RIGHT("0000"&amp;$B929,4)&amp;"/"&amp;RIGHT("00"&amp;$C929,2)&amp;"/"&amp;RIGHT("00"&amp;$D929,2)))</f>
        <v/>
      </c>
      <c r="F929">
        <f>IF(OR($E929="",$E929="نامعتبر"),"",LEFT($E929,4)&amp;"/"&amp;MID($E929,6,2))</f>
        <v/>
      </c>
      <c r="G929">
        <f>IF(OR($E929="",$E929="نامعتبر",Sync!$X925=""),"",IF(AND(LEFT(UPPER(TRIM(Sync!$X925)),2)="SL",IFERROR(VLOOKUP(Sync!$W925,OpTbl,3,0),"")="فروش"),UPPER(TRIM(Sync!$X925)),""))</f>
        <v/>
      </c>
      <c r="H929">
        <f>IF($G929="","",IF(Sync!$W925="","",Sync!$W925))</f>
        <v/>
      </c>
      <c r="I929">
        <f>IF(OR($G929="",Sync!$Y925=""),"",Sync!$Y925)</f>
        <v/>
      </c>
      <c r="J929">
        <f>IF(OR($G929="",Sync!$Z925=""),"",Sync!$Z925)</f>
        <v/>
      </c>
      <c r="K929">
        <f>IF($G929="",0,IF(Sync!$AA925="",0,Sync!$AA925))</f>
        <v/>
      </c>
      <c r="L929">
        <f>IF($G929="",0,IF(Sync!$AB925="",0,Sync!$AB925))</f>
        <v/>
      </c>
      <c r="M929">
        <f>IF($G929="","",IF($H929="مرجوعی فروش",-1,1)*($K929-$L929*IFERROR(VLOOKUP("P01",ParamTbl,3,0),1.5)))</f>
        <v/>
      </c>
      <c r="N929">
        <f>IF($G929="",0,IF($H929="مرجوعی فروش",-1,1)*IF(Sync!$AC925="",0,Sync!$AC925))</f>
        <v/>
      </c>
      <c r="O929">
        <f>IF(OR($G929="",Sync!$V925=""),"",Sync!$V925)</f>
        <v/>
      </c>
      <c r="P929">
        <f>IF(OR($G929="",Sync!$AD925=""),"",Sync!$AD925)</f>
        <v/>
      </c>
      <c r="Q929">
        <f>IF($G929="","",IF(Sync!$U925="","0000",IF(AND(ISNUMBER(Sync!$U925),Sync!$U925&gt;=0,Sync!$U925&lt;1),RIGHT("00"&amp;HOUR(Sync!$U925),2)&amp;RIGHT("00"&amp;MINUTE(Sync!$U925),2),IFERROR(RIGHT("00"&amp;VALUE(LEFT(Sync!$U925,FIND(":",Sync!$U925)-1)),2)&amp;RIGHT("00"&amp;VALUE(MID(Sync!$U925,FIND(":",Sync!$U925)+1,2)),2),"0000"))))</f>
        <v/>
      </c>
    </row>
    <row r="930">
      <c r="A930">
        <f>IF(Sync!$T926="","",Sync!$T926)</f>
        <v/>
      </c>
      <c r="B930">
        <f>IF($A930="","",IF(ISNUMBER($A930),IF(AND($A930&gt;=10000101,$A930&lt;=99991231),INT($A930/10000),""),IFERROR(VALUE(TRIM(LEFT($A930,FIND("/",$A930)-1))),"")))</f>
        <v/>
      </c>
      <c r="C930">
        <f>IF(OR($A930="",$B930=""),"",IF(ISNUMBER($A930),INT(MOD($A930,10000)/100),IFERROR(VALUE(TRIM(LEFT(MID($A930,FIND("/",$A930)+1,20),FIND("/",MID($A930,FIND("/",$A930)+1,20))-1))),"")))</f>
        <v/>
      </c>
      <c r="D930">
        <f>IF(OR($A930="",$B930=""),"",IF(ISNUMBER($A930),MOD($A930,100),IFERROR(VALUE(TRIM(MID(MID($A930,FIND("/",$A930)+1,20),FIND("/",MID($A930,FIND("/",$A930)+1,20))+1,20))),"")))</f>
        <v/>
      </c>
      <c r="E930">
        <f>IF($A930="","",IF(OR($B930="",$C930="",$D930="",$B930&lt;1300,$B930&gt;1500,$C930&lt;1,$C930&gt;12,$D930&lt;1,$D930&gt;31),"نامعتبر",RIGHT("0000"&amp;$B930,4)&amp;"/"&amp;RIGHT("00"&amp;$C930,2)&amp;"/"&amp;RIGHT("00"&amp;$D930,2)))</f>
        <v/>
      </c>
      <c r="F930">
        <f>IF(OR($E930="",$E930="نامعتبر"),"",LEFT($E930,4)&amp;"/"&amp;MID($E930,6,2))</f>
        <v/>
      </c>
      <c r="G930">
        <f>IF(OR($E930="",$E930="نامعتبر",Sync!$X926=""),"",IF(AND(LEFT(UPPER(TRIM(Sync!$X926)),2)="SL",IFERROR(VLOOKUP(Sync!$W926,OpTbl,3,0),"")="فروش"),UPPER(TRIM(Sync!$X926)),""))</f>
        <v/>
      </c>
      <c r="H930">
        <f>IF($G930="","",IF(Sync!$W926="","",Sync!$W926))</f>
        <v/>
      </c>
      <c r="I930">
        <f>IF(OR($G930="",Sync!$Y926=""),"",Sync!$Y926)</f>
        <v/>
      </c>
      <c r="J930">
        <f>IF(OR($G930="",Sync!$Z926=""),"",Sync!$Z926)</f>
        <v/>
      </c>
      <c r="K930">
        <f>IF($G930="",0,IF(Sync!$AA926="",0,Sync!$AA926))</f>
        <v/>
      </c>
      <c r="L930">
        <f>IF($G930="",0,IF(Sync!$AB926="",0,Sync!$AB926))</f>
        <v/>
      </c>
      <c r="M930">
        <f>IF($G930="","",IF($H930="مرجوعی فروش",-1,1)*($K930-$L930*IFERROR(VLOOKUP("P01",ParamTbl,3,0),1.5)))</f>
        <v/>
      </c>
      <c r="N930">
        <f>IF($G930="",0,IF($H930="مرجوعی فروش",-1,1)*IF(Sync!$AC926="",0,Sync!$AC926))</f>
        <v/>
      </c>
      <c r="O930">
        <f>IF(OR($G930="",Sync!$V926=""),"",Sync!$V926)</f>
        <v/>
      </c>
      <c r="P930">
        <f>IF(OR($G930="",Sync!$AD926=""),"",Sync!$AD926)</f>
        <v/>
      </c>
      <c r="Q930">
        <f>IF($G930="","",IF(Sync!$U926="","0000",IF(AND(ISNUMBER(Sync!$U926),Sync!$U926&gt;=0,Sync!$U926&lt;1),RIGHT("00"&amp;HOUR(Sync!$U926),2)&amp;RIGHT("00"&amp;MINUTE(Sync!$U926),2),IFERROR(RIGHT("00"&amp;VALUE(LEFT(Sync!$U926,FIND(":",Sync!$U926)-1)),2)&amp;RIGHT("00"&amp;VALUE(MID(Sync!$U926,FIND(":",Sync!$U926)+1,2)),2),"0000"))))</f>
        <v/>
      </c>
    </row>
    <row r="931">
      <c r="A931">
        <f>IF(Sync!$T927="","",Sync!$T927)</f>
        <v/>
      </c>
      <c r="B931">
        <f>IF($A931="","",IF(ISNUMBER($A931),IF(AND($A931&gt;=10000101,$A931&lt;=99991231),INT($A931/10000),""),IFERROR(VALUE(TRIM(LEFT($A931,FIND("/",$A931)-1))),"")))</f>
        <v/>
      </c>
      <c r="C931">
        <f>IF(OR($A931="",$B931=""),"",IF(ISNUMBER($A931),INT(MOD($A931,10000)/100),IFERROR(VALUE(TRIM(LEFT(MID($A931,FIND("/",$A931)+1,20),FIND("/",MID($A931,FIND("/",$A931)+1,20))-1))),"")))</f>
        <v/>
      </c>
      <c r="D931">
        <f>IF(OR($A931="",$B931=""),"",IF(ISNUMBER($A931),MOD($A931,100),IFERROR(VALUE(TRIM(MID(MID($A931,FIND("/",$A931)+1,20),FIND("/",MID($A931,FIND("/",$A931)+1,20))+1,20))),"")))</f>
        <v/>
      </c>
      <c r="E931">
        <f>IF($A931="","",IF(OR($B931="",$C931="",$D931="",$B931&lt;1300,$B931&gt;1500,$C931&lt;1,$C931&gt;12,$D931&lt;1,$D931&gt;31),"نامعتبر",RIGHT("0000"&amp;$B931,4)&amp;"/"&amp;RIGHT("00"&amp;$C931,2)&amp;"/"&amp;RIGHT("00"&amp;$D931,2)))</f>
        <v/>
      </c>
      <c r="F931">
        <f>IF(OR($E931="",$E931="نامعتبر"),"",LEFT($E931,4)&amp;"/"&amp;MID($E931,6,2))</f>
        <v/>
      </c>
      <c r="G931">
        <f>IF(OR($E931="",$E931="نامعتبر",Sync!$X927=""),"",IF(AND(LEFT(UPPER(TRIM(Sync!$X927)),2)="SL",IFERROR(VLOOKUP(Sync!$W927,OpTbl,3,0),"")="فروش"),UPPER(TRIM(Sync!$X927)),""))</f>
        <v/>
      </c>
      <c r="H931">
        <f>IF($G931="","",IF(Sync!$W927="","",Sync!$W927))</f>
        <v/>
      </c>
      <c r="I931">
        <f>IF(OR($G931="",Sync!$Y927=""),"",Sync!$Y927)</f>
        <v/>
      </c>
      <c r="J931">
        <f>IF(OR($G931="",Sync!$Z927=""),"",Sync!$Z927)</f>
        <v/>
      </c>
      <c r="K931">
        <f>IF($G931="",0,IF(Sync!$AA927="",0,Sync!$AA927))</f>
        <v/>
      </c>
      <c r="L931">
        <f>IF($G931="",0,IF(Sync!$AB927="",0,Sync!$AB927))</f>
        <v/>
      </c>
      <c r="M931">
        <f>IF($G931="","",IF($H931="مرجوعی فروش",-1,1)*($K931-$L931*IFERROR(VLOOKUP("P01",ParamTbl,3,0),1.5)))</f>
        <v/>
      </c>
      <c r="N931">
        <f>IF($G931="",0,IF($H931="مرجوعی فروش",-1,1)*IF(Sync!$AC927="",0,Sync!$AC927))</f>
        <v/>
      </c>
      <c r="O931">
        <f>IF(OR($G931="",Sync!$V927=""),"",Sync!$V927)</f>
        <v/>
      </c>
      <c r="P931">
        <f>IF(OR($G931="",Sync!$AD927=""),"",Sync!$AD927)</f>
        <v/>
      </c>
      <c r="Q931">
        <f>IF($G931="","",IF(Sync!$U927="","0000",IF(AND(ISNUMBER(Sync!$U927),Sync!$U927&gt;=0,Sync!$U927&lt;1),RIGHT("00"&amp;HOUR(Sync!$U927),2)&amp;RIGHT("00"&amp;MINUTE(Sync!$U927),2),IFERROR(RIGHT("00"&amp;VALUE(LEFT(Sync!$U927,FIND(":",Sync!$U927)-1)),2)&amp;RIGHT("00"&amp;VALUE(MID(Sync!$U927,FIND(":",Sync!$U927)+1,2)),2),"0000"))))</f>
        <v/>
      </c>
    </row>
    <row r="932">
      <c r="A932">
        <f>IF(Sync!$T928="","",Sync!$T928)</f>
        <v/>
      </c>
      <c r="B932">
        <f>IF($A932="","",IF(ISNUMBER($A932),IF(AND($A932&gt;=10000101,$A932&lt;=99991231),INT($A932/10000),""),IFERROR(VALUE(TRIM(LEFT($A932,FIND("/",$A932)-1))),"")))</f>
        <v/>
      </c>
      <c r="C932">
        <f>IF(OR($A932="",$B932=""),"",IF(ISNUMBER($A932),INT(MOD($A932,10000)/100),IFERROR(VALUE(TRIM(LEFT(MID($A932,FIND("/",$A932)+1,20),FIND("/",MID($A932,FIND("/",$A932)+1,20))-1))),"")))</f>
        <v/>
      </c>
      <c r="D932">
        <f>IF(OR($A932="",$B932=""),"",IF(ISNUMBER($A932),MOD($A932,100),IFERROR(VALUE(TRIM(MID(MID($A932,FIND("/",$A932)+1,20),FIND("/",MID($A932,FIND("/",$A932)+1,20))+1,20))),"")))</f>
        <v/>
      </c>
      <c r="E932">
        <f>IF($A932="","",IF(OR($B932="",$C932="",$D932="",$B932&lt;1300,$B932&gt;1500,$C932&lt;1,$C932&gt;12,$D932&lt;1,$D932&gt;31),"نامعتبر",RIGHT("0000"&amp;$B932,4)&amp;"/"&amp;RIGHT("00"&amp;$C932,2)&amp;"/"&amp;RIGHT("00"&amp;$D932,2)))</f>
        <v/>
      </c>
      <c r="F932">
        <f>IF(OR($E932="",$E932="نامعتبر"),"",LEFT($E932,4)&amp;"/"&amp;MID($E932,6,2))</f>
        <v/>
      </c>
      <c r="G932">
        <f>IF(OR($E932="",$E932="نامعتبر",Sync!$X928=""),"",IF(AND(LEFT(UPPER(TRIM(Sync!$X928)),2)="SL",IFERROR(VLOOKUP(Sync!$W928,OpTbl,3,0),"")="فروش"),UPPER(TRIM(Sync!$X928)),""))</f>
        <v/>
      </c>
      <c r="H932">
        <f>IF($G932="","",IF(Sync!$W928="","",Sync!$W928))</f>
        <v/>
      </c>
      <c r="I932">
        <f>IF(OR($G932="",Sync!$Y928=""),"",Sync!$Y928)</f>
        <v/>
      </c>
      <c r="J932">
        <f>IF(OR($G932="",Sync!$Z928=""),"",Sync!$Z928)</f>
        <v/>
      </c>
      <c r="K932">
        <f>IF($G932="",0,IF(Sync!$AA928="",0,Sync!$AA928))</f>
        <v/>
      </c>
      <c r="L932">
        <f>IF($G932="",0,IF(Sync!$AB928="",0,Sync!$AB928))</f>
        <v/>
      </c>
      <c r="M932">
        <f>IF($G932="","",IF($H932="مرجوعی فروش",-1,1)*($K932-$L932*IFERROR(VLOOKUP("P01",ParamTbl,3,0),1.5)))</f>
        <v/>
      </c>
      <c r="N932">
        <f>IF($G932="",0,IF($H932="مرجوعی فروش",-1,1)*IF(Sync!$AC928="",0,Sync!$AC928))</f>
        <v/>
      </c>
      <c r="O932">
        <f>IF(OR($G932="",Sync!$V928=""),"",Sync!$V928)</f>
        <v/>
      </c>
      <c r="P932">
        <f>IF(OR($G932="",Sync!$AD928=""),"",Sync!$AD928)</f>
        <v/>
      </c>
      <c r="Q932">
        <f>IF($G932="","",IF(Sync!$U928="","0000",IF(AND(ISNUMBER(Sync!$U928),Sync!$U928&gt;=0,Sync!$U928&lt;1),RIGHT("00"&amp;HOUR(Sync!$U928),2)&amp;RIGHT("00"&amp;MINUTE(Sync!$U928),2),IFERROR(RIGHT("00"&amp;VALUE(LEFT(Sync!$U928,FIND(":",Sync!$U928)-1)),2)&amp;RIGHT("00"&amp;VALUE(MID(Sync!$U928,FIND(":",Sync!$U928)+1,2)),2),"0000"))))</f>
        <v/>
      </c>
    </row>
    <row r="933">
      <c r="A933">
        <f>IF(Sync!$T929="","",Sync!$T929)</f>
        <v/>
      </c>
      <c r="B933">
        <f>IF($A933="","",IF(ISNUMBER($A933),IF(AND($A933&gt;=10000101,$A933&lt;=99991231),INT($A933/10000),""),IFERROR(VALUE(TRIM(LEFT($A933,FIND("/",$A933)-1))),"")))</f>
        <v/>
      </c>
      <c r="C933">
        <f>IF(OR($A933="",$B933=""),"",IF(ISNUMBER($A933),INT(MOD($A933,10000)/100),IFERROR(VALUE(TRIM(LEFT(MID($A933,FIND("/",$A933)+1,20),FIND("/",MID($A933,FIND("/",$A933)+1,20))-1))),"")))</f>
        <v/>
      </c>
      <c r="D933">
        <f>IF(OR($A933="",$B933=""),"",IF(ISNUMBER($A933),MOD($A933,100),IFERROR(VALUE(TRIM(MID(MID($A933,FIND("/",$A933)+1,20),FIND("/",MID($A933,FIND("/",$A933)+1,20))+1,20))),"")))</f>
        <v/>
      </c>
      <c r="E933">
        <f>IF($A933="","",IF(OR($B933="",$C933="",$D933="",$B933&lt;1300,$B933&gt;1500,$C933&lt;1,$C933&gt;12,$D933&lt;1,$D933&gt;31),"نامعتبر",RIGHT("0000"&amp;$B933,4)&amp;"/"&amp;RIGHT("00"&amp;$C933,2)&amp;"/"&amp;RIGHT("00"&amp;$D933,2)))</f>
        <v/>
      </c>
      <c r="F933">
        <f>IF(OR($E933="",$E933="نامعتبر"),"",LEFT($E933,4)&amp;"/"&amp;MID($E933,6,2))</f>
        <v/>
      </c>
      <c r="G933">
        <f>IF(OR($E933="",$E933="نامعتبر",Sync!$X929=""),"",IF(AND(LEFT(UPPER(TRIM(Sync!$X929)),2)="SL",IFERROR(VLOOKUP(Sync!$W929,OpTbl,3,0),"")="فروش"),UPPER(TRIM(Sync!$X929)),""))</f>
        <v/>
      </c>
      <c r="H933">
        <f>IF($G933="","",IF(Sync!$W929="","",Sync!$W929))</f>
        <v/>
      </c>
      <c r="I933">
        <f>IF(OR($G933="",Sync!$Y929=""),"",Sync!$Y929)</f>
        <v/>
      </c>
      <c r="J933">
        <f>IF(OR($G933="",Sync!$Z929=""),"",Sync!$Z929)</f>
        <v/>
      </c>
      <c r="K933">
        <f>IF($G933="",0,IF(Sync!$AA929="",0,Sync!$AA929))</f>
        <v/>
      </c>
      <c r="L933">
        <f>IF($G933="",0,IF(Sync!$AB929="",0,Sync!$AB929))</f>
        <v/>
      </c>
      <c r="M933">
        <f>IF($G933="","",IF($H933="مرجوعی فروش",-1,1)*($K933-$L933*IFERROR(VLOOKUP("P01",ParamTbl,3,0),1.5)))</f>
        <v/>
      </c>
      <c r="N933">
        <f>IF($G933="",0,IF($H933="مرجوعی فروش",-1,1)*IF(Sync!$AC929="",0,Sync!$AC929))</f>
        <v/>
      </c>
      <c r="O933">
        <f>IF(OR($G933="",Sync!$V929=""),"",Sync!$V929)</f>
        <v/>
      </c>
      <c r="P933">
        <f>IF(OR($G933="",Sync!$AD929=""),"",Sync!$AD929)</f>
        <v/>
      </c>
      <c r="Q933">
        <f>IF($G933="","",IF(Sync!$U929="","0000",IF(AND(ISNUMBER(Sync!$U929),Sync!$U929&gt;=0,Sync!$U929&lt;1),RIGHT("00"&amp;HOUR(Sync!$U929),2)&amp;RIGHT("00"&amp;MINUTE(Sync!$U929),2),IFERROR(RIGHT("00"&amp;VALUE(LEFT(Sync!$U929,FIND(":",Sync!$U929)-1)),2)&amp;RIGHT("00"&amp;VALUE(MID(Sync!$U929,FIND(":",Sync!$U929)+1,2)),2),"0000"))))</f>
        <v/>
      </c>
    </row>
    <row r="934">
      <c r="A934">
        <f>IF(Sync!$T930="","",Sync!$T930)</f>
        <v/>
      </c>
      <c r="B934">
        <f>IF($A934="","",IF(ISNUMBER($A934),IF(AND($A934&gt;=10000101,$A934&lt;=99991231),INT($A934/10000),""),IFERROR(VALUE(TRIM(LEFT($A934,FIND("/",$A934)-1))),"")))</f>
        <v/>
      </c>
      <c r="C934">
        <f>IF(OR($A934="",$B934=""),"",IF(ISNUMBER($A934),INT(MOD($A934,10000)/100),IFERROR(VALUE(TRIM(LEFT(MID($A934,FIND("/",$A934)+1,20),FIND("/",MID($A934,FIND("/",$A934)+1,20))-1))),"")))</f>
        <v/>
      </c>
      <c r="D934">
        <f>IF(OR($A934="",$B934=""),"",IF(ISNUMBER($A934),MOD($A934,100),IFERROR(VALUE(TRIM(MID(MID($A934,FIND("/",$A934)+1,20),FIND("/",MID($A934,FIND("/",$A934)+1,20))+1,20))),"")))</f>
        <v/>
      </c>
      <c r="E934">
        <f>IF($A934="","",IF(OR($B934="",$C934="",$D934="",$B934&lt;1300,$B934&gt;1500,$C934&lt;1,$C934&gt;12,$D934&lt;1,$D934&gt;31),"نامعتبر",RIGHT("0000"&amp;$B934,4)&amp;"/"&amp;RIGHT("00"&amp;$C934,2)&amp;"/"&amp;RIGHT("00"&amp;$D934,2)))</f>
        <v/>
      </c>
      <c r="F934">
        <f>IF(OR($E934="",$E934="نامعتبر"),"",LEFT($E934,4)&amp;"/"&amp;MID($E934,6,2))</f>
        <v/>
      </c>
      <c r="G934">
        <f>IF(OR($E934="",$E934="نامعتبر",Sync!$X930=""),"",IF(AND(LEFT(UPPER(TRIM(Sync!$X930)),2)="SL",IFERROR(VLOOKUP(Sync!$W930,OpTbl,3,0),"")="فروش"),UPPER(TRIM(Sync!$X930)),""))</f>
        <v/>
      </c>
      <c r="H934">
        <f>IF($G934="","",IF(Sync!$W930="","",Sync!$W930))</f>
        <v/>
      </c>
      <c r="I934">
        <f>IF(OR($G934="",Sync!$Y930=""),"",Sync!$Y930)</f>
        <v/>
      </c>
      <c r="J934">
        <f>IF(OR($G934="",Sync!$Z930=""),"",Sync!$Z930)</f>
        <v/>
      </c>
      <c r="K934">
        <f>IF($G934="",0,IF(Sync!$AA930="",0,Sync!$AA930))</f>
        <v/>
      </c>
      <c r="L934">
        <f>IF($G934="",0,IF(Sync!$AB930="",0,Sync!$AB930))</f>
        <v/>
      </c>
      <c r="M934">
        <f>IF($G934="","",IF($H934="مرجوعی فروش",-1,1)*($K934-$L934*IFERROR(VLOOKUP("P01",ParamTbl,3,0),1.5)))</f>
        <v/>
      </c>
      <c r="N934">
        <f>IF($G934="",0,IF($H934="مرجوعی فروش",-1,1)*IF(Sync!$AC930="",0,Sync!$AC930))</f>
        <v/>
      </c>
      <c r="O934">
        <f>IF(OR($G934="",Sync!$V930=""),"",Sync!$V930)</f>
        <v/>
      </c>
      <c r="P934">
        <f>IF(OR($G934="",Sync!$AD930=""),"",Sync!$AD930)</f>
        <v/>
      </c>
      <c r="Q934">
        <f>IF($G934="","",IF(Sync!$U930="","0000",IF(AND(ISNUMBER(Sync!$U930),Sync!$U930&gt;=0,Sync!$U930&lt;1),RIGHT("00"&amp;HOUR(Sync!$U930),2)&amp;RIGHT("00"&amp;MINUTE(Sync!$U930),2),IFERROR(RIGHT("00"&amp;VALUE(LEFT(Sync!$U930,FIND(":",Sync!$U930)-1)),2)&amp;RIGHT("00"&amp;VALUE(MID(Sync!$U930,FIND(":",Sync!$U930)+1,2)),2),"0000"))))</f>
        <v/>
      </c>
    </row>
    <row r="935">
      <c r="A935">
        <f>IF(Sync!$T931="","",Sync!$T931)</f>
        <v/>
      </c>
      <c r="B935">
        <f>IF($A935="","",IF(ISNUMBER($A935),IF(AND($A935&gt;=10000101,$A935&lt;=99991231),INT($A935/10000),""),IFERROR(VALUE(TRIM(LEFT($A935,FIND("/",$A935)-1))),"")))</f>
        <v/>
      </c>
      <c r="C935">
        <f>IF(OR($A935="",$B935=""),"",IF(ISNUMBER($A935),INT(MOD($A935,10000)/100),IFERROR(VALUE(TRIM(LEFT(MID($A935,FIND("/",$A935)+1,20),FIND("/",MID($A935,FIND("/",$A935)+1,20))-1))),"")))</f>
        <v/>
      </c>
      <c r="D935">
        <f>IF(OR($A935="",$B935=""),"",IF(ISNUMBER($A935),MOD($A935,100),IFERROR(VALUE(TRIM(MID(MID($A935,FIND("/",$A935)+1,20),FIND("/",MID($A935,FIND("/",$A935)+1,20))+1,20))),"")))</f>
        <v/>
      </c>
      <c r="E935">
        <f>IF($A935="","",IF(OR($B935="",$C935="",$D935="",$B935&lt;1300,$B935&gt;1500,$C935&lt;1,$C935&gt;12,$D935&lt;1,$D935&gt;31),"نامعتبر",RIGHT("0000"&amp;$B935,4)&amp;"/"&amp;RIGHT("00"&amp;$C935,2)&amp;"/"&amp;RIGHT("00"&amp;$D935,2)))</f>
        <v/>
      </c>
      <c r="F935">
        <f>IF(OR($E935="",$E935="نامعتبر"),"",LEFT($E935,4)&amp;"/"&amp;MID($E935,6,2))</f>
        <v/>
      </c>
      <c r="G935">
        <f>IF(OR($E935="",$E935="نامعتبر",Sync!$X931=""),"",IF(AND(LEFT(UPPER(TRIM(Sync!$X931)),2)="SL",IFERROR(VLOOKUP(Sync!$W931,OpTbl,3,0),"")="فروش"),UPPER(TRIM(Sync!$X931)),""))</f>
        <v/>
      </c>
      <c r="H935">
        <f>IF($G935="","",IF(Sync!$W931="","",Sync!$W931))</f>
        <v/>
      </c>
      <c r="I935">
        <f>IF(OR($G935="",Sync!$Y931=""),"",Sync!$Y931)</f>
        <v/>
      </c>
      <c r="J935">
        <f>IF(OR($G935="",Sync!$Z931=""),"",Sync!$Z931)</f>
        <v/>
      </c>
      <c r="K935">
        <f>IF($G935="",0,IF(Sync!$AA931="",0,Sync!$AA931))</f>
        <v/>
      </c>
      <c r="L935">
        <f>IF($G935="",0,IF(Sync!$AB931="",0,Sync!$AB931))</f>
        <v/>
      </c>
      <c r="M935">
        <f>IF($G935="","",IF($H935="مرجوعی فروش",-1,1)*($K935-$L935*IFERROR(VLOOKUP("P01",ParamTbl,3,0),1.5)))</f>
        <v/>
      </c>
      <c r="N935">
        <f>IF($G935="",0,IF($H935="مرجوعی فروش",-1,1)*IF(Sync!$AC931="",0,Sync!$AC931))</f>
        <v/>
      </c>
      <c r="O935">
        <f>IF(OR($G935="",Sync!$V931=""),"",Sync!$V931)</f>
        <v/>
      </c>
      <c r="P935">
        <f>IF(OR($G935="",Sync!$AD931=""),"",Sync!$AD931)</f>
        <v/>
      </c>
      <c r="Q935">
        <f>IF($G935="","",IF(Sync!$U931="","0000",IF(AND(ISNUMBER(Sync!$U931),Sync!$U931&gt;=0,Sync!$U931&lt;1),RIGHT("00"&amp;HOUR(Sync!$U931),2)&amp;RIGHT("00"&amp;MINUTE(Sync!$U931),2),IFERROR(RIGHT("00"&amp;VALUE(LEFT(Sync!$U931,FIND(":",Sync!$U931)-1)),2)&amp;RIGHT("00"&amp;VALUE(MID(Sync!$U931,FIND(":",Sync!$U931)+1,2)),2),"0000"))))</f>
        <v/>
      </c>
    </row>
    <row r="936">
      <c r="A936">
        <f>IF(Sync!$T932="","",Sync!$T932)</f>
        <v/>
      </c>
      <c r="B936">
        <f>IF($A936="","",IF(ISNUMBER($A936),IF(AND($A936&gt;=10000101,$A936&lt;=99991231),INT($A936/10000),""),IFERROR(VALUE(TRIM(LEFT($A936,FIND("/",$A936)-1))),"")))</f>
        <v/>
      </c>
      <c r="C936">
        <f>IF(OR($A936="",$B936=""),"",IF(ISNUMBER($A936),INT(MOD($A936,10000)/100),IFERROR(VALUE(TRIM(LEFT(MID($A936,FIND("/",$A936)+1,20),FIND("/",MID($A936,FIND("/",$A936)+1,20))-1))),"")))</f>
        <v/>
      </c>
      <c r="D936">
        <f>IF(OR($A936="",$B936=""),"",IF(ISNUMBER($A936),MOD($A936,100),IFERROR(VALUE(TRIM(MID(MID($A936,FIND("/",$A936)+1,20),FIND("/",MID($A936,FIND("/",$A936)+1,20))+1,20))),"")))</f>
        <v/>
      </c>
      <c r="E936">
        <f>IF($A936="","",IF(OR($B936="",$C936="",$D936="",$B936&lt;1300,$B936&gt;1500,$C936&lt;1,$C936&gt;12,$D936&lt;1,$D936&gt;31),"نامعتبر",RIGHT("0000"&amp;$B936,4)&amp;"/"&amp;RIGHT("00"&amp;$C936,2)&amp;"/"&amp;RIGHT("00"&amp;$D936,2)))</f>
        <v/>
      </c>
      <c r="F936">
        <f>IF(OR($E936="",$E936="نامعتبر"),"",LEFT($E936,4)&amp;"/"&amp;MID($E936,6,2))</f>
        <v/>
      </c>
      <c r="G936">
        <f>IF(OR($E936="",$E936="نامعتبر",Sync!$X932=""),"",IF(AND(LEFT(UPPER(TRIM(Sync!$X932)),2)="SL",IFERROR(VLOOKUP(Sync!$W932,OpTbl,3,0),"")="فروش"),UPPER(TRIM(Sync!$X932)),""))</f>
        <v/>
      </c>
      <c r="H936">
        <f>IF($G936="","",IF(Sync!$W932="","",Sync!$W932))</f>
        <v/>
      </c>
      <c r="I936">
        <f>IF(OR($G936="",Sync!$Y932=""),"",Sync!$Y932)</f>
        <v/>
      </c>
      <c r="J936">
        <f>IF(OR($G936="",Sync!$Z932=""),"",Sync!$Z932)</f>
        <v/>
      </c>
      <c r="K936">
        <f>IF($G936="",0,IF(Sync!$AA932="",0,Sync!$AA932))</f>
        <v/>
      </c>
      <c r="L936">
        <f>IF($G936="",0,IF(Sync!$AB932="",0,Sync!$AB932))</f>
        <v/>
      </c>
      <c r="M936">
        <f>IF($G936="","",IF($H936="مرجوعی فروش",-1,1)*($K936-$L936*IFERROR(VLOOKUP("P01",ParamTbl,3,0),1.5)))</f>
        <v/>
      </c>
      <c r="N936">
        <f>IF($G936="",0,IF($H936="مرجوعی فروش",-1,1)*IF(Sync!$AC932="",0,Sync!$AC932))</f>
        <v/>
      </c>
      <c r="O936">
        <f>IF(OR($G936="",Sync!$V932=""),"",Sync!$V932)</f>
        <v/>
      </c>
      <c r="P936">
        <f>IF(OR($G936="",Sync!$AD932=""),"",Sync!$AD932)</f>
        <v/>
      </c>
      <c r="Q936">
        <f>IF($G936="","",IF(Sync!$U932="","0000",IF(AND(ISNUMBER(Sync!$U932),Sync!$U932&gt;=0,Sync!$U932&lt;1),RIGHT("00"&amp;HOUR(Sync!$U932),2)&amp;RIGHT("00"&amp;MINUTE(Sync!$U932),2),IFERROR(RIGHT("00"&amp;VALUE(LEFT(Sync!$U932,FIND(":",Sync!$U932)-1)),2)&amp;RIGHT("00"&amp;VALUE(MID(Sync!$U932,FIND(":",Sync!$U932)+1,2)),2),"0000"))))</f>
        <v/>
      </c>
    </row>
    <row r="937">
      <c r="A937">
        <f>IF(Sync!$T933="","",Sync!$T933)</f>
        <v/>
      </c>
      <c r="B937">
        <f>IF($A937="","",IF(ISNUMBER($A937),IF(AND($A937&gt;=10000101,$A937&lt;=99991231),INT($A937/10000),""),IFERROR(VALUE(TRIM(LEFT($A937,FIND("/",$A937)-1))),"")))</f>
        <v/>
      </c>
      <c r="C937">
        <f>IF(OR($A937="",$B937=""),"",IF(ISNUMBER($A937),INT(MOD($A937,10000)/100),IFERROR(VALUE(TRIM(LEFT(MID($A937,FIND("/",$A937)+1,20),FIND("/",MID($A937,FIND("/",$A937)+1,20))-1))),"")))</f>
        <v/>
      </c>
      <c r="D937">
        <f>IF(OR($A937="",$B937=""),"",IF(ISNUMBER($A937),MOD($A937,100),IFERROR(VALUE(TRIM(MID(MID($A937,FIND("/",$A937)+1,20),FIND("/",MID($A937,FIND("/",$A937)+1,20))+1,20))),"")))</f>
        <v/>
      </c>
      <c r="E937">
        <f>IF($A937="","",IF(OR($B937="",$C937="",$D937="",$B937&lt;1300,$B937&gt;1500,$C937&lt;1,$C937&gt;12,$D937&lt;1,$D937&gt;31),"نامعتبر",RIGHT("0000"&amp;$B937,4)&amp;"/"&amp;RIGHT("00"&amp;$C937,2)&amp;"/"&amp;RIGHT("00"&amp;$D937,2)))</f>
        <v/>
      </c>
      <c r="F937">
        <f>IF(OR($E937="",$E937="نامعتبر"),"",LEFT($E937,4)&amp;"/"&amp;MID($E937,6,2))</f>
        <v/>
      </c>
      <c r="G937">
        <f>IF(OR($E937="",$E937="نامعتبر",Sync!$X933=""),"",IF(AND(LEFT(UPPER(TRIM(Sync!$X933)),2)="SL",IFERROR(VLOOKUP(Sync!$W933,OpTbl,3,0),"")="فروش"),UPPER(TRIM(Sync!$X933)),""))</f>
        <v/>
      </c>
      <c r="H937">
        <f>IF($G937="","",IF(Sync!$W933="","",Sync!$W933))</f>
        <v/>
      </c>
      <c r="I937">
        <f>IF(OR($G937="",Sync!$Y933=""),"",Sync!$Y933)</f>
        <v/>
      </c>
      <c r="J937">
        <f>IF(OR($G937="",Sync!$Z933=""),"",Sync!$Z933)</f>
        <v/>
      </c>
      <c r="K937">
        <f>IF($G937="",0,IF(Sync!$AA933="",0,Sync!$AA933))</f>
        <v/>
      </c>
      <c r="L937">
        <f>IF($G937="",0,IF(Sync!$AB933="",0,Sync!$AB933))</f>
        <v/>
      </c>
      <c r="M937">
        <f>IF($G937="","",IF($H937="مرجوعی فروش",-1,1)*($K937-$L937*IFERROR(VLOOKUP("P01",ParamTbl,3,0),1.5)))</f>
        <v/>
      </c>
      <c r="N937">
        <f>IF($G937="",0,IF($H937="مرجوعی فروش",-1,1)*IF(Sync!$AC933="",0,Sync!$AC933))</f>
        <v/>
      </c>
      <c r="O937">
        <f>IF(OR($G937="",Sync!$V933=""),"",Sync!$V933)</f>
        <v/>
      </c>
      <c r="P937">
        <f>IF(OR($G937="",Sync!$AD933=""),"",Sync!$AD933)</f>
        <v/>
      </c>
      <c r="Q937">
        <f>IF($G937="","",IF(Sync!$U933="","0000",IF(AND(ISNUMBER(Sync!$U933),Sync!$U933&gt;=0,Sync!$U933&lt;1),RIGHT("00"&amp;HOUR(Sync!$U933),2)&amp;RIGHT("00"&amp;MINUTE(Sync!$U933),2),IFERROR(RIGHT("00"&amp;VALUE(LEFT(Sync!$U933,FIND(":",Sync!$U933)-1)),2)&amp;RIGHT("00"&amp;VALUE(MID(Sync!$U933,FIND(":",Sync!$U933)+1,2)),2),"0000"))))</f>
        <v/>
      </c>
    </row>
    <row r="938">
      <c r="A938">
        <f>IF(Sync!$T934="","",Sync!$T934)</f>
        <v/>
      </c>
      <c r="B938">
        <f>IF($A938="","",IF(ISNUMBER($A938),IF(AND($A938&gt;=10000101,$A938&lt;=99991231),INT($A938/10000),""),IFERROR(VALUE(TRIM(LEFT($A938,FIND("/",$A938)-1))),"")))</f>
        <v/>
      </c>
      <c r="C938">
        <f>IF(OR($A938="",$B938=""),"",IF(ISNUMBER($A938),INT(MOD($A938,10000)/100),IFERROR(VALUE(TRIM(LEFT(MID($A938,FIND("/",$A938)+1,20),FIND("/",MID($A938,FIND("/",$A938)+1,20))-1))),"")))</f>
        <v/>
      </c>
      <c r="D938">
        <f>IF(OR($A938="",$B938=""),"",IF(ISNUMBER($A938),MOD($A938,100),IFERROR(VALUE(TRIM(MID(MID($A938,FIND("/",$A938)+1,20),FIND("/",MID($A938,FIND("/",$A938)+1,20))+1,20))),"")))</f>
        <v/>
      </c>
      <c r="E938">
        <f>IF($A938="","",IF(OR($B938="",$C938="",$D938="",$B938&lt;1300,$B938&gt;1500,$C938&lt;1,$C938&gt;12,$D938&lt;1,$D938&gt;31),"نامعتبر",RIGHT("0000"&amp;$B938,4)&amp;"/"&amp;RIGHT("00"&amp;$C938,2)&amp;"/"&amp;RIGHT("00"&amp;$D938,2)))</f>
        <v/>
      </c>
      <c r="F938">
        <f>IF(OR($E938="",$E938="نامعتبر"),"",LEFT($E938,4)&amp;"/"&amp;MID($E938,6,2))</f>
        <v/>
      </c>
      <c r="G938">
        <f>IF(OR($E938="",$E938="نامعتبر",Sync!$X934=""),"",IF(AND(LEFT(UPPER(TRIM(Sync!$X934)),2)="SL",IFERROR(VLOOKUP(Sync!$W934,OpTbl,3,0),"")="فروش"),UPPER(TRIM(Sync!$X934)),""))</f>
        <v/>
      </c>
      <c r="H938">
        <f>IF($G938="","",IF(Sync!$W934="","",Sync!$W934))</f>
        <v/>
      </c>
      <c r="I938">
        <f>IF(OR($G938="",Sync!$Y934=""),"",Sync!$Y934)</f>
        <v/>
      </c>
      <c r="J938">
        <f>IF(OR($G938="",Sync!$Z934=""),"",Sync!$Z934)</f>
        <v/>
      </c>
      <c r="K938">
        <f>IF($G938="",0,IF(Sync!$AA934="",0,Sync!$AA934))</f>
        <v/>
      </c>
      <c r="L938">
        <f>IF($G938="",0,IF(Sync!$AB934="",0,Sync!$AB934))</f>
        <v/>
      </c>
      <c r="M938">
        <f>IF($G938="","",IF($H938="مرجوعی فروش",-1,1)*($K938-$L938*IFERROR(VLOOKUP("P01",ParamTbl,3,0),1.5)))</f>
        <v/>
      </c>
      <c r="N938">
        <f>IF($G938="",0,IF($H938="مرجوعی فروش",-1,1)*IF(Sync!$AC934="",0,Sync!$AC934))</f>
        <v/>
      </c>
      <c r="O938">
        <f>IF(OR($G938="",Sync!$V934=""),"",Sync!$V934)</f>
        <v/>
      </c>
      <c r="P938">
        <f>IF(OR($G938="",Sync!$AD934=""),"",Sync!$AD934)</f>
        <v/>
      </c>
      <c r="Q938">
        <f>IF($G938="","",IF(Sync!$U934="","0000",IF(AND(ISNUMBER(Sync!$U934),Sync!$U934&gt;=0,Sync!$U934&lt;1),RIGHT("00"&amp;HOUR(Sync!$U934),2)&amp;RIGHT("00"&amp;MINUTE(Sync!$U934),2),IFERROR(RIGHT("00"&amp;VALUE(LEFT(Sync!$U934,FIND(":",Sync!$U934)-1)),2)&amp;RIGHT("00"&amp;VALUE(MID(Sync!$U934,FIND(":",Sync!$U934)+1,2)),2),"0000"))))</f>
        <v/>
      </c>
    </row>
    <row r="939">
      <c r="A939">
        <f>IF(Sync!$T935="","",Sync!$T935)</f>
        <v/>
      </c>
      <c r="B939">
        <f>IF($A939="","",IF(ISNUMBER($A939),IF(AND($A939&gt;=10000101,$A939&lt;=99991231),INT($A939/10000),""),IFERROR(VALUE(TRIM(LEFT($A939,FIND("/",$A939)-1))),"")))</f>
        <v/>
      </c>
      <c r="C939">
        <f>IF(OR($A939="",$B939=""),"",IF(ISNUMBER($A939),INT(MOD($A939,10000)/100),IFERROR(VALUE(TRIM(LEFT(MID($A939,FIND("/",$A939)+1,20),FIND("/",MID($A939,FIND("/",$A939)+1,20))-1))),"")))</f>
        <v/>
      </c>
      <c r="D939">
        <f>IF(OR($A939="",$B939=""),"",IF(ISNUMBER($A939),MOD($A939,100),IFERROR(VALUE(TRIM(MID(MID($A939,FIND("/",$A939)+1,20),FIND("/",MID($A939,FIND("/",$A939)+1,20))+1,20))),"")))</f>
        <v/>
      </c>
      <c r="E939">
        <f>IF($A939="","",IF(OR($B939="",$C939="",$D939="",$B939&lt;1300,$B939&gt;1500,$C939&lt;1,$C939&gt;12,$D939&lt;1,$D939&gt;31),"نامعتبر",RIGHT("0000"&amp;$B939,4)&amp;"/"&amp;RIGHT("00"&amp;$C939,2)&amp;"/"&amp;RIGHT("00"&amp;$D939,2)))</f>
        <v/>
      </c>
      <c r="F939">
        <f>IF(OR($E939="",$E939="نامعتبر"),"",LEFT($E939,4)&amp;"/"&amp;MID($E939,6,2))</f>
        <v/>
      </c>
      <c r="G939">
        <f>IF(OR($E939="",$E939="نامعتبر",Sync!$X935=""),"",IF(AND(LEFT(UPPER(TRIM(Sync!$X935)),2)="SL",IFERROR(VLOOKUP(Sync!$W935,OpTbl,3,0),"")="فروش"),UPPER(TRIM(Sync!$X935)),""))</f>
        <v/>
      </c>
      <c r="H939">
        <f>IF($G939="","",IF(Sync!$W935="","",Sync!$W935))</f>
        <v/>
      </c>
      <c r="I939">
        <f>IF(OR($G939="",Sync!$Y935=""),"",Sync!$Y935)</f>
        <v/>
      </c>
      <c r="J939">
        <f>IF(OR($G939="",Sync!$Z935=""),"",Sync!$Z935)</f>
        <v/>
      </c>
      <c r="K939">
        <f>IF($G939="",0,IF(Sync!$AA935="",0,Sync!$AA935))</f>
        <v/>
      </c>
      <c r="L939">
        <f>IF($G939="",0,IF(Sync!$AB935="",0,Sync!$AB935))</f>
        <v/>
      </c>
      <c r="M939">
        <f>IF($G939="","",IF($H939="مرجوعی فروش",-1,1)*($K939-$L939*IFERROR(VLOOKUP("P01",ParamTbl,3,0),1.5)))</f>
        <v/>
      </c>
      <c r="N939">
        <f>IF($G939="",0,IF($H939="مرجوعی فروش",-1,1)*IF(Sync!$AC935="",0,Sync!$AC935))</f>
        <v/>
      </c>
      <c r="O939">
        <f>IF(OR($G939="",Sync!$V935=""),"",Sync!$V935)</f>
        <v/>
      </c>
      <c r="P939">
        <f>IF(OR($G939="",Sync!$AD935=""),"",Sync!$AD935)</f>
        <v/>
      </c>
      <c r="Q939">
        <f>IF($G939="","",IF(Sync!$U935="","0000",IF(AND(ISNUMBER(Sync!$U935),Sync!$U935&gt;=0,Sync!$U935&lt;1),RIGHT("00"&amp;HOUR(Sync!$U935),2)&amp;RIGHT("00"&amp;MINUTE(Sync!$U935),2),IFERROR(RIGHT("00"&amp;VALUE(LEFT(Sync!$U935,FIND(":",Sync!$U935)-1)),2)&amp;RIGHT("00"&amp;VALUE(MID(Sync!$U935,FIND(":",Sync!$U935)+1,2)),2),"0000"))))</f>
        <v/>
      </c>
    </row>
    <row r="940">
      <c r="A940">
        <f>IF(Sync!$T936="","",Sync!$T936)</f>
        <v/>
      </c>
      <c r="B940">
        <f>IF($A940="","",IF(ISNUMBER($A940),IF(AND($A940&gt;=10000101,$A940&lt;=99991231),INT($A940/10000),""),IFERROR(VALUE(TRIM(LEFT($A940,FIND("/",$A940)-1))),"")))</f>
        <v/>
      </c>
      <c r="C940">
        <f>IF(OR($A940="",$B940=""),"",IF(ISNUMBER($A940),INT(MOD($A940,10000)/100),IFERROR(VALUE(TRIM(LEFT(MID($A940,FIND("/",$A940)+1,20),FIND("/",MID($A940,FIND("/",$A940)+1,20))-1))),"")))</f>
        <v/>
      </c>
      <c r="D940">
        <f>IF(OR($A940="",$B940=""),"",IF(ISNUMBER($A940),MOD($A940,100),IFERROR(VALUE(TRIM(MID(MID($A940,FIND("/",$A940)+1,20),FIND("/",MID($A940,FIND("/",$A940)+1,20))+1,20))),"")))</f>
        <v/>
      </c>
      <c r="E940">
        <f>IF($A940="","",IF(OR($B940="",$C940="",$D940="",$B940&lt;1300,$B940&gt;1500,$C940&lt;1,$C940&gt;12,$D940&lt;1,$D940&gt;31),"نامعتبر",RIGHT("0000"&amp;$B940,4)&amp;"/"&amp;RIGHT("00"&amp;$C940,2)&amp;"/"&amp;RIGHT("00"&amp;$D940,2)))</f>
        <v/>
      </c>
      <c r="F940">
        <f>IF(OR($E940="",$E940="نامعتبر"),"",LEFT($E940,4)&amp;"/"&amp;MID($E940,6,2))</f>
        <v/>
      </c>
      <c r="G940">
        <f>IF(OR($E940="",$E940="نامعتبر",Sync!$X936=""),"",IF(AND(LEFT(UPPER(TRIM(Sync!$X936)),2)="SL",IFERROR(VLOOKUP(Sync!$W936,OpTbl,3,0),"")="فروش"),UPPER(TRIM(Sync!$X936)),""))</f>
        <v/>
      </c>
      <c r="H940">
        <f>IF($G940="","",IF(Sync!$W936="","",Sync!$W936))</f>
        <v/>
      </c>
      <c r="I940">
        <f>IF(OR($G940="",Sync!$Y936=""),"",Sync!$Y936)</f>
        <v/>
      </c>
      <c r="J940">
        <f>IF(OR($G940="",Sync!$Z936=""),"",Sync!$Z936)</f>
        <v/>
      </c>
      <c r="K940">
        <f>IF($G940="",0,IF(Sync!$AA936="",0,Sync!$AA936))</f>
        <v/>
      </c>
      <c r="L940">
        <f>IF($G940="",0,IF(Sync!$AB936="",0,Sync!$AB936))</f>
        <v/>
      </c>
      <c r="M940">
        <f>IF($G940="","",IF($H940="مرجوعی فروش",-1,1)*($K940-$L940*IFERROR(VLOOKUP("P01",ParamTbl,3,0),1.5)))</f>
        <v/>
      </c>
      <c r="N940">
        <f>IF($G940="",0,IF($H940="مرجوعی فروش",-1,1)*IF(Sync!$AC936="",0,Sync!$AC936))</f>
        <v/>
      </c>
      <c r="O940">
        <f>IF(OR($G940="",Sync!$V936=""),"",Sync!$V936)</f>
        <v/>
      </c>
      <c r="P940">
        <f>IF(OR($G940="",Sync!$AD936=""),"",Sync!$AD936)</f>
        <v/>
      </c>
      <c r="Q940">
        <f>IF($G940="","",IF(Sync!$U936="","0000",IF(AND(ISNUMBER(Sync!$U936),Sync!$U936&gt;=0,Sync!$U936&lt;1),RIGHT("00"&amp;HOUR(Sync!$U936),2)&amp;RIGHT("00"&amp;MINUTE(Sync!$U936),2),IFERROR(RIGHT("00"&amp;VALUE(LEFT(Sync!$U936,FIND(":",Sync!$U936)-1)),2)&amp;RIGHT("00"&amp;VALUE(MID(Sync!$U936,FIND(":",Sync!$U936)+1,2)),2),"0000"))))</f>
        <v/>
      </c>
    </row>
    <row r="941">
      <c r="A941">
        <f>IF(Sync!$T937="","",Sync!$T937)</f>
        <v/>
      </c>
      <c r="B941">
        <f>IF($A941="","",IF(ISNUMBER($A941),IF(AND($A941&gt;=10000101,$A941&lt;=99991231),INT($A941/10000),""),IFERROR(VALUE(TRIM(LEFT($A941,FIND("/",$A941)-1))),"")))</f>
        <v/>
      </c>
      <c r="C941">
        <f>IF(OR($A941="",$B941=""),"",IF(ISNUMBER($A941),INT(MOD($A941,10000)/100),IFERROR(VALUE(TRIM(LEFT(MID($A941,FIND("/",$A941)+1,20),FIND("/",MID($A941,FIND("/",$A941)+1,20))-1))),"")))</f>
        <v/>
      </c>
      <c r="D941">
        <f>IF(OR($A941="",$B941=""),"",IF(ISNUMBER($A941),MOD($A941,100),IFERROR(VALUE(TRIM(MID(MID($A941,FIND("/",$A941)+1,20),FIND("/",MID($A941,FIND("/",$A941)+1,20))+1,20))),"")))</f>
        <v/>
      </c>
      <c r="E941">
        <f>IF($A941="","",IF(OR($B941="",$C941="",$D941="",$B941&lt;1300,$B941&gt;1500,$C941&lt;1,$C941&gt;12,$D941&lt;1,$D941&gt;31),"نامعتبر",RIGHT("0000"&amp;$B941,4)&amp;"/"&amp;RIGHT("00"&amp;$C941,2)&amp;"/"&amp;RIGHT("00"&amp;$D941,2)))</f>
        <v/>
      </c>
      <c r="F941">
        <f>IF(OR($E941="",$E941="نامعتبر"),"",LEFT($E941,4)&amp;"/"&amp;MID($E941,6,2))</f>
        <v/>
      </c>
      <c r="G941">
        <f>IF(OR($E941="",$E941="نامعتبر",Sync!$X937=""),"",IF(AND(LEFT(UPPER(TRIM(Sync!$X937)),2)="SL",IFERROR(VLOOKUP(Sync!$W937,OpTbl,3,0),"")="فروش"),UPPER(TRIM(Sync!$X937)),""))</f>
        <v/>
      </c>
      <c r="H941">
        <f>IF($G941="","",IF(Sync!$W937="","",Sync!$W937))</f>
        <v/>
      </c>
      <c r="I941">
        <f>IF(OR($G941="",Sync!$Y937=""),"",Sync!$Y937)</f>
        <v/>
      </c>
      <c r="J941">
        <f>IF(OR($G941="",Sync!$Z937=""),"",Sync!$Z937)</f>
        <v/>
      </c>
      <c r="K941">
        <f>IF($G941="",0,IF(Sync!$AA937="",0,Sync!$AA937))</f>
        <v/>
      </c>
      <c r="L941">
        <f>IF($G941="",0,IF(Sync!$AB937="",0,Sync!$AB937))</f>
        <v/>
      </c>
      <c r="M941">
        <f>IF($G941="","",IF($H941="مرجوعی فروش",-1,1)*($K941-$L941*IFERROR(VLOOKUP("P01",ParamTbl,3,0),1.5)))</f>
        <v/>
      </c>
      <c r="N941">
        <f>IF($G941="",0,IF($H941="مرجوعی فروش",-1,1)*IF(Sync!$AC937="",0,Sync!$AC937))</f>
        <v/>
      </c>
      <c r="O941">
        <f>IF(OR($G941="",Sync!$V937=""),"",Sync!$V937)</f>
        <v/>
      </c>
      <c r="P941">
        <f>IF(OR($G941="",Sync!$AD937=""),"",Sync!$AD937)</f>
        <v/>
      </c>
      <c r="Q941">
        <f>IF($G941="","",IF(Sync!$U937="","0000",IF(AND(ISNUMBER(Sync!$U937),Sync!$U937&gt;=0,Sync!$U937&lt;1),RIGHT("00"&amp;HOUR(Sync!$U937),2)&amp;RIGHT("00"&amp;MINUTE(Sync!$U937),2),IFERROR(RIGHT("00"&amp;VALUE(LEFT(Sync!$U937,FIND(":",Sync!$U937)-1)),2)&amp;RIGHT("00"&amp;VALUE(MID(Sync!$U937,FIND(":",Sync!$U937)+1,2)),2),"0000"))))</f>
        <v/>
      </c>
    </row>
    <row r="942">
      <c r="A942">
        <f>IF(Sync!$T938="","",Sync!$T938)</f>
        <v/>
      </c>
      <c r="B942">
        <f>IF($A942="","",IF(ISNUMBER($A942),IF(AND($A942&gt;=10000101,$A942&lt;=99991231),INT($A942/10000),""),IFERROR(VALUE(TRIM(LEFT($A942,FIND("/",$A942)-1))),"")))</f>
        <v/>
      </c>
      <c r="C942">
        <f>IF(OR($A942="",$B942=""),"",IF(ISNUMBER($A942),INT(MOD($A942,10000)/100),IFERROR(VALUE(TRIM(LEFT(MID($A942,FIND("/",$A942)+1,20),FIND("/",MID($A942,FIND("/",$A942)+1,20))-1))),"")))</f>
        <v/>
      </c>
      <c r="D942">
        <f>IF(OR($A942="",$B942=""),"",IF(ISNUMBER($A942),MOD($A942,100),IFERROR(VALUE(TRIM(MID(MID($A942,FIND("/",$A942)+1,20),FIND("/",MID($A942,FIND("/",$A942)+1,20))+1,20))),"")))</f>
        <v/>
      </c>
      <c r="E942">
        <f>IF($A942="","",IF(OR($B942="",$C942="",$D942="",$B942&lt;1300,$B942&gt;1500,$C942&lt;1,$C942&gt;12,$D942&lt;1,$D942&gt;31),"نامعتبر",RIGHT("0000"&amp;$B942,4)&amp;"/"&amp;RIGHT("00"&amp;$C942,2)&amp;"/"&amp;RIGHT("00"&amp;$D942,2)))</f>
        <v/>
      </c>
      <c r="F942">
        <f>IF(OR($E942="",$E942="نامعتبر"),"",LEFT($E942,4)&amp;"/"&amp;MID($E942,6,2))</f>
        <v/>
      </c>
      <c r="G942">
        <f>IF(OR($E942="",$E942="نامعتبر",Sync!$X938=""),"",IF(AND(LEFT(UPPER(TRIM(Sync!$X938)),2)="SL",IFERROR(VLOOKUP(Sync!$W938,OpTbl,3,0),"")="فروش"),UPPER(TRIM(Sync!$X938)),""))</f>
        <v/>
      </c>
      <c r="H942">
        <f>IF($G942="","",IF(Sync!$W938="","",Sync!$W938))</f>
        <v/>
      </c>
      <c r="I942">
        <f>IF(OR($G942="",Sync!$Y938=""),"",Sync!$Y938)</f>
        <v/>
      </c>
      <c r="J942">
        <f>IF(OR($G942="",Sync!$Z938=""),"",Sync!$Z938)</f>
        <v/>
      </c>
      <c r="K942">
        <f>IF($G942="",0,IF(Sync!$AA938="",0,Sync!$AA938))</f>
        <v/>
      </c>
      <c r="L942">
        <f>IF($G942="",0,IF(Sync!$AB938="",0,Sync!$AB938))</f>
        <v/>
      </c>
      <c r="M942">
        <f>IF($G942="","",IF($H942="مرجوعی فروش",-1,1)*($K942-$L942*IFERROR(VLOOKUP("P01",ParamTbl,3,0),1.5)))</f>
        <v/>
      </c>
      <c r="N942">
        <f>IF($G942="",0,IF($H942="مرجوعی فروش",-1,1)*IF(Sync!$AC938="",0,Sync!$AC938))</f>
        <v/>
      </c>
      <c r="O942">
        <f>IF(OR($G942="",Sync!$V938=""),"",Sync!$V938)</f>
        <v/>
      </c>
      <c r="P942">
        <f>IF(OR($G942="",Sync!$AD938=""),"",Sync!$AD938)</f>
        <v/>
      </c>
      <c r="Q942">
        <f>IF($G942="","",IF(Sync!$U938="","0000",IF(AND(ISNUMBER(Sync!$U938),Sync!$U938&gt;=0,Sync!$U938&lt;1),RIGHT("00"&amp;HOUR(Sync!$U938),2)&amp;RIGHT("00"&amp;MINUTE(Sync!$U938),2),IFERROR(RIGHT("00"&amp;VALUE(LEFT(Sync!$U938,FIND(":",Sync!$U938)-1)),2)&amp;RIGHT("00"&amp;VALUE(MID(Sync!$U938,FIND(":",Sync!$U938)+1,2)),2),"0000"))))</f>
        <v/>
      </c>
    </row>
    <row r="943">
      <c r="A943">
        <f>IF(Sync!$T939="","",Sync!$T939)</f>
        <v/>
      </c>
      <c r="B943">
        <f>IF($A943="","",IF(ISNUMBER($A943),IF(AND($A943&gt;=10000101,$A943&lt;=99991231),INT($A943/10000),""),IFERROR(VALUE(TRIM(LEFT($A943,FIND("/",$A943)-1))),"")))</f>
        <v/>
      </c>
      <c r="C943">
        <f>IF(OR($A943="",$B943=""),"",IF(ISNUMBER($A943),INT(MOD($A943,10000)/100),IFERROR(VALUE(TRIM(LEFT(MID($A943,FIND("/",$A943)+1,20),FIND("/",MID($A943,FIND("/",$A943)+1,20))-1))),"")))</f>
        <v/>
      </c>
      <c r="D943">
        <f>IF(OR($A943="",$B943=""),"",IF(ISNUMBER($A943),MOD($A943,100),IFERROR(VALUE(TRIM(MID(MID($A943,FIND("/",$A943)+1,20),FIND("/",MID($A943,FIND("/",$A943)+1,20))+1,20))),"")))</f>
        <v/>
      </c>
      <c r="E943">
        <f>IF($A943="","",IF(OR($B943="",$C943="",$D943="",$B943&lt;1300,$B943&gt;1500,$C943&lt;1,$C943&gt;12,$D943&lt;1,$D943&gt;31),"نامعتبر",RIGHT("0000"&amp;$B943,4)&amp;"/"&amp;RIGHT("00"&amp;$C943,2)&amp;"/"&amp;RIGHT("00"&amp;$D943,2)))</f>
        <v/>
      </c>
      <c r="F943">
        <f>IF(OR($E943="",$E943="نامعتبر"),"",LEFT($E943,4)&amp;"/"&amp;MID($E943,6,2))</f>
        <v/>
      </c>
      <c r="G943">
        <f>IF(OR($E943="",$E943="نامعتبر",Sync!$X939=""),"",IF(AND(LEFT(UPPER(TRIM(Sync!$X939)),2)="SL",IFERROR(VLOOKUP(Sync!$W939,OpTbl,3,0),"")="فروش"),UPPER(TRIM(Sync!$X939)),""))</f>
        <v/>
      </c>
      <c r="H943">
        <f>IF($G943="","",IF(Sync!$W939="","",Sync!$W939))</f>
        <v/>
      </c>
      <c r="I943">
        <f>IF(OR($G943="",Sync!$Y939=""),"",Sync!$Y939)</f>
        <v/>
      </c>
      <c r="J943">
        <f>IF(OR($G943="",Sync!$Z939=""),"",Sync!$Z939)</f>
        <v/>
      </c>
      <c r="K943">
        <f>IF($G943="",0,IF(Sync!$AA939="",0,Sync!$AA939))</f>
        <v/>
      </c>
      <c r="L943">
        <f>IF($G943="",0,IF(Sync!$AB939="",0,Sync!$AB939))</f>
        <v/>
      </c>
      <c r="M943">
        <f>IF($G943="","",IF($H943="مرجوعی فروش",-1,1)*($K943-$L943*IFERROR(VLOOKUP("P01",ParamTbl,3,0),1.5)))</f>
        <v/>
      </c>
      <c r="N943">
        <f>IF($G943="",0,IF($H943="مرجوعی فروش",-1,1)*IF(Sync!$AC939="",0,Sync!$AC939))</f>
        <v/>
      </c>
      <c r="O943">
        <f>IF(OR($G943="",Sync!$V939=""),"",Sync!$V939)</f>
        <v/>
      </c>
      <c r="P943">
        <f>IF(OR($G943="",Sync!$AD939=""),"",Sync!$AD939)</f>
        <v/>
      </c>
      <c r="Q943">
        <f>IF($G943="","",IF(Sync!$U939="","0000",IF(AND(ISNUMBER(Sync!$U939),Sync!$U939&gt;=0,Sync!$U939&lt;1),RIGHT("00"&amp;HOUR(Sync!$U939),2)&amp;RIGHT("00"&amp;MINUTE(Sync!$U939),2),IFERROR(RIGHT("00"&amp;VALUE(LEFT(Sync!$U939,FIND(":",Sync!$U939)-1)),2)&amp;RIGHT("00"&amp;VALUE(MID(Sync!$U939,FIND(":",Sync!$U939)+1,2)),2),"0000"))))</f>
        <v/>
      </c>
    </row>
    <row r="944">
      <c r="A944">
        <f>IF(Sync!$T940="","",Sync!$T940)</f>
        <v/>
      </c>
      <c r="B944">
        <f>IF($A944="","",IF(ISNUMBER($A944),IF(AND($A944&gt;=10000101,$A944&lt;=99991231),INT($A944/10000),""),IFERROR(VALUE(TRIM(LEFT($A944,FIND("/",$A944)-1))),"")))</f>
        <v/>
      </c>
      <c r="C944">
        <f>IF(OR($A944="",$B944=""),"",IF(ISNUMBER($A944),INT(MOD($A944,10000)/100),IFERROR(VALUE(TRIM(LEFT(MID($A944,FIND("/",$A944)+1,20),FIND("/",MID($A944,FIND("/",$A944)+1,20))-1))),"")))</f>
        <v/>
      </c>
      <c r="D944">
        <f>IF(OR($A944="",$B944=""),"",IF(ISNUMBER($A944),MOD($A944,100),IFERROR(VALUE(TRIM(MID(MID($A944,FIND("/",$A944)+1,20),FIND("/",MID($A944,FIND("/",$A944)+1,20))+1,20))),"")))</f>
        <v/>
      </c>
      <c r="E944">
        <f>IF($A944="","",IF(OR($B944="",$C944="",$D944="",$B944&lt;1300,$B944&gt;1500,$C944&lt;1,$C944&gt;12,$D944&lt;1,$D944&gt;31),"نامعتبر",RIGHT("0000"&amp;$B944,4)&amp;"/"&amp;RIGHT("00"&amp;$C944,2)&amp;"/"&amp;RIGHT("00"&amp;$D944,2)))</f>
        <v/>
      </c>
      <c r="F944">
        <f>IF(OR($E944="",$E944="نامعتبر"),"",LEFT($E944,4)&amp;"/"&amp;MID($E944,6,2))</f>
        <v/>
      </c>
      <c r="G944">
        <f>IF(OR($E944="",$E944="نامعتبر",Sync!$X940=""),"",IF(AND(LEFT(UPPER(TRIM(Sync!$X940)),2)="SL",IFERROR(VLOOKUP(Sync!$W940,OpTbl,3,0),"")="فروش"),UPPER(TRIM(Sync!$X940)),""))</f>
        <v/>
      </c>
      <c r="H944">
        <f>IF($G944="","",IF(Sync!$W940="","",Sync!$W940))</f>
        <v/>
      </c>
      <c r="I944">
        <f>IF(OR($G944="",Sync!$Y940=""),"",Sync!$Y940)</f>
        <v/>
      </c>
      <c r="J944">
        <f>IF(OR($G944="",Sync!$Z940=""),"",Sync!$Z940)</f>
        <v/>
      </c>
      <c r="K944">
        <f>IF($G944="",0,IF(Sync!$AA940="",0,Sync!$AA940))</f>
        <v/>
      </c>
      <c r="L944">
        <f>IF($G944="",0,IF(Sync!$AB940="",0,Sync!$AB940))</f>
        <v/>
      </c>
      <c r="M944">
        <f>IF($G944="","",IF($H944="مرجوعی فروش",-1,1)*($K944-$L944*IFERROR(VLOOKUP("P01",ParamTbl,3,0),1.5)))</f>
        <v/>
      </c>
      <c r="N944">
        <f>IF($G944="",0,IF($H944="مرجوعی فروش",-1,1)*IF(Sync!$AC940="",0,Sync!$AC940))</f>
        <v/>
      </c>
      <c r="O944">
        <f>IF(OR($G944="",Sync!$V940=""),"",Sync!$V940)</f>
        <v/>
      </c>
      <c r="P944">
        <f>IF(OR($G944="",Sync!$AD940=""),"",Sync!$AD940)</f>
        <v/>
      </c>
      <c r="Q944">
        <f>IF($G944="","",IF(Sync!$U940="","0000",IF(AND(ISNUMBER(Sync!$U940),Sync!$U940&gt;=0,Sync!$U940&lt;1),RIGHT("00"&amp;HOUR(Sync!$U940),2)&amp;RIGHT("00"&amp;MINUTE(Sync!$U940),2),IFERROR(RIGHT("00"&amp;VALUE(LEFT(Sync!$U940,FIND(":",Sync!$U940)-1)),2)&amp;RIGHT("00"&amp;VALUE(MID(Sync!$U940,FIND(":",Sync!$U940)+1,2)),2),"0000"))))</f>
        <v/>
      </c>
    </row>
    <row r="945">
      <c r="A945">
        <f>IF(Sync!$T941="","",Sync!$T941)</f>
        <v/>
      </c>
      <c r="B945">
        <f>IF($A945="","",IF(ISNUMBER($A945),IF(AND($A945&gt;=10000101,$A945&lt;=99991231),INT($A945/10000),""),IFERROR(VALUE(TRIM(LEFT($A945,FIND("/",$A945)-1))),"")))</f>
        <v/>
      </c>
      <c r="C945">
        <f>IF(OR($A945="",$B945=""),"",IF(ISNUMBER($A945),INT(MOD($A945,10000)/100),IFERROR(VALUE(TRIM(LEFT(MID($A945,FIND("/",$A945)+1,20),FIND("/",MID($A945,FIND("/",$A945)+1,20))-1))),"")))</f>
        <v/>
      </c>
      <c r="D945">
        <f>IF(OR($A945="",$B945=""),"",IF(ISNUMBER($A945),MOD($A945,100),IFERROR(VALUE(TRIM(MID(MID($A945,FIND("/",$A945)+1,20),FIND("/",MID($A945,FIND("/",$A945)+1,20))+1,20))),"")))</f>
        <v/>
      </c>
      <c r="E945">
        <f>IF($A945="","",IF(OR($B945="",$C945="",$D945="",$B945&lt;1300,$B945&gt;1500,$C945&lt;1,$C945&gt;12,$D945&lt;1,$D945&gt;31),"نامعتبر",RIGHT("0000"&amp;$B945,4)&amp;"/"&amp;RIGHT("00"&amp;$C945,2)&amp;"/"&amp;RIGHT("00"&amp;$D945,2)))</f>
        <v/>
      </c>
      <c r="F945">
        <f>IF(OR($E945="",$E945="نامعتبر"),"",LEFT($E945,4)&amp;"/"&amp;MID($E945,6,2))</f>
        <v/>
      </c>
      <c r="G945">
        <f>IF(OR($E945="",$E945="نامعتبر",Sync!$X941=""),"",IF(AND(LEFT(UPPER(TRIM(Sync!$X941)),2)="SL",IFERROR(VLOOKUP(Sync!$W941,OpTbl,3,0),"")="فروش"),UPPER(TRIM(Sync!$X941)),""))</f>
        <v/>
      </c>
      <c r="H945">
        <f>IF($G945="","",IF(Sync!$W941="","",Sync!$W941))</f>
        <v/>
      </c>
      <c r="I945">
        <f>IF(OR($G945="",Sync!$Y941=""),"",Sync!$Y941)</f>
        <v/>
      </c>
      <c r="J945">
        <f>IF(OR($G945="",Sync!$Z941=""),"",Sync!$Z941)</f>
        <v/>
      </c>
      <c r="K945">
        <f>IF($G945="",0,IF(Sync!$AA941="",0,Sync!$AA941))</f>
        <v/>
      </c>
      <c r="L945">
        <f>IF($G945="",0,IF(Sync!$AB941="",0,Sync!$AB941))</f>
        <v/>
      </c>
      <c r="M945">
        <f>IF($G945="","",IF($H945="مرجوعی فروش",-1,1)*($K945-$L945*IFERROR(VLOOKUP("P01",ParamTbl,3,0),1.5)))</f>
        <v/>
      </c>
      <c r="N945">
        <f>IF($G945="",0,IF($H945="مرجوعی فروش",-1,1)*IF(Sync!$AC941="",0,Sync!$AC941))</f>
        <v/>
      </c>
      <c r="O945">
        <f>IF(OR($G945="",Sync!$V941=""),"",Sync!$V941)</f>
        <v/>
      </c>
      <c r="P945">
        <f>IF(OR($G945="",Sync!$AD941=""),"",Sync!$AD941)</f>
        <v/>
      </c>
      <c r="Q945">
        <f>IF($G945="","",IF(Sync!$U941="","0000",IF(AND(ISNUMBER(Sync!$U941),Sync!$U941&gt;=0,Sync!$U941&lt;1),RIGHT("00"&amp;HOUR(Sync!$U941),2)&amp;RIGHT("00"&amp;MINUTE(Sync!$U941),2),IFERROR(RIGHT("00"&amp;VALUE(LEFT(Sync!$U941,FIND(":",Sync!$U941)-1)),2)&amp;RIGHT("00"&amp;VALUE(MID(Sync!$U941,FIND(":",Sync!$U941)+1,2)),2),"0000"))))</f>
        <v/>
      </c>
    </row>
    <row r="946">
      <c r="A946">
        <f>IF(Sync!$T942="","",Sync!$T942)</f>
        <v/>
      </c>
      <c r="B946">
        <f>IF($A946="","",IF(ISNUMBER($A946),IF(AND($A946&gt;=10000101,$A946&lt;=99991231),INT($A946/10000),""),IFERROR(VALUE(TRIM(LEFT($A946,FIND("/",$A946)-1))),"")))</f>
        <v/>
      </c>
      <c r="C946">
        <f>IF(OR($A946="",$B946=""),"",IF(ISNUMBER($A946),INT(MOD($A946,10000)/100),IFERROR(VALUE(TRIM(LEFT(MID($A946,FIND("/",$A946)+1,20),FIND("/",MID($A946,FIND("/",$A946)+1,20))-1))),"")))</f>
        <v/>
      </c>
      <c r="D946">
        <f>IF(OR($A946="",$B946=""),"",IF(ISNUMBER($A946),MOD($A946,100),IFERROR(VALUE(TRIM(MID(MID($A946,FIND("/",$A946)+1,20),FIND("/",MID($A946,FIND("/",$A946)+1,20))+1,20))),"")))</f>
        <v/>
      </c>
      <c r="E946">
        <f>IF($A946="","",IF(OR($B946="",$C946="",$D946="",$B946&lt;1300,$B946&gt;1500,$C946&lt;1,$C946&gt;12,$D946&lt;1,$D946&gt;31),"نامعتبر",RIGHT("0000"&amp;$B946,4)&amp;"/"&amp;RIGHT("00"&amp;$C946,2)&amp;"/"&amp;RIGHT("00"&amp;$D946,2)))</f>
        <v/>
      </c>
      <c r="F946">
        <f>IF(OR($E946="",$E946="نامعتبر"),"",LEFT($E946,4)&amp;"/"&amp;MID($E946,6,2))</f>
        <v/>
      </c>
      <c r="G946">
        <f>IF(OR($E946="",$E946="نامعتبر",Sync!$X942=""),"",IF(AND(LEFT(UPPER(TRIM(Sync!$X942)),2)="SL",IFERROR(VLOOKUP(Sync!$W942,OpTbl,3,0),"")="فروش"),UPPER(TRIM(Sync!$X942)),""))</f>
        <v/>
      </c>
      <c r="H946">
        <f>IF($G946="","",IF(Sync!$W942="","",Sync!$W942))</f>
        <v/>
      </c>
      <c r="I946">
        <f>IF(OR($G946="",Sync!$Y942=""),"",Sync!$Y942)</f>
        <v/>
      </c>
      <c r="J946">
        <f>IF(OR($G946="",Sync!$Z942=""),"",Sync!$Z942)</f>
        <v/>
      </c>
      <c r="K946">
        <f>IF($G946="",0,IF(Sync!$AA942="",0,Sync!$AA942))</f>
        <v/>
      </c>
      <c r="L946">
        <f>IF($G946="",0,IF(Sync!$AB942="",0,Sync!$AB942))</f>
        <v/>
      </c>
      <c r="M946">
        <f>IF($G946="","",IF($H946="مرجوعی فروش",-1,1)*($K946-$L946*IFERROR(VLOOKUP("P01",ParamTbl,3,0),1.5)))</f>
        <v/>
      </c>
      <c r="N946">
        <f>IF($G946="",0,IF($H946="مرجوعی فروش",-1,1)*IF(Sync!$AC942="",0,Sync!$AC942))</f>
        <v/>
      </c>
      <c r="O946">
        <f>IF(OR($G946="",Sync!$V942=""),"",Sync!$V942)</f>
        <v/>
      </c>
      <c r="P946">
        <f>IF(OR($G946="",Sync!$AD942=""),"",Sync!$AD942)</f>
        <v/>
      </c>
      <c r="Q946">
        <f>IF($G946="","",IF(Sync!$U942="","0000",IF(AND(ISNUMBER(Sync!$U942),Sync!$U942&gt;=0,Sync!$U942&lt;1),RIGHT("00"&amp;HOUR(Sync!$U942),2)&amp;RIGHT("00"&amp;MINUTE(Sync!$U942),2),IFERROR(RIGHT("00"&amp;VALUE(LEFT(Sync!$U942,FIND(":",Sync!$U942)-1)),2)&amp;RIGHT("00"&amp;VALUE(MID(Sync!$U942,FIND(":",Sync!$U942)+1,2)),2),"0000"))))</f>
        <v/>
      </c>
    </row>
    <row r="947">
      <c r="A947">
        <f>IF(Sync!$T943="","",Sync!$T943)</f>
        <v/>
      </c>
      <c r="B947">
        <f>IF($A947="","",IF(ISNUMBER($A947),IF(AND($A947&gt;=10000101,$A947&lt;=99991231),INT($A947/10000),""),IFERROR(VALUE(TRIM(LEFT($A947,FIND("/",$A947)-1))),"")))</f>
        <v/>
      </c>
      <c r="C947">
        <f>IF(OR($A947="",$B947=""),"",IF(ISNUMBER($A947),INT(MOD($A947,10000)/100),IFERROR(VALUE(TRIM(LEFT(MID($A947,FIND("/",$A947)+1,20),FIND("/",MID($A947,FIND("/",$A947)+1,20))-1))),"")))</f>
        <v/>
      </c>
      <c r="D947">
        <f>IF(OR($A947="",$B947=""),"",IF(ISNUMBER($A947),MOD($A947,100),IFERROR(VALUE(TRIM(MID(MID($A947,FIND("/",$A947)+1,20),FIND("/",MID($A947,FIND("/",$A947)+1,20))+1,20))),"")))</f>
        <v/>
      </c>
      <c r="E947">
        <f>IF($A947="","",IF(OR($B947="",$C947="",$D947="",$B947&lt;1300,$B947&gt;1500,$C947&lt;1,$C947&gt;12,$D947&lt;1,$D947&gt;31),"نامعتبر",RIGHT("0000"&amp;$B947,4)&amp;"/"&amp;RIGHT("00"&amp;$C947,2)&amp;"/"&amp;RIGHT("00"&amp;$D947,2)))</f>
        <v/>
      </c>
      <c r="F947">
        <f>IF(OR($E947="",$E947="نامعتبر"),"",LEFT($E947,4)&amp;"/"&amp;MID($E947,6,2))</f>
        <v/>
      </c>
      <c r="G947">
        <f>IF(OR($E947="",$E947="نامعتبر",Sync!$X943=""),"",IF(AND(LEFT(UPPER(TRIM(Sync!$X943)),2)="SL",IFERROR(VLOOKUP(Sync!$W943,OpTbl,3,0),"")="فروش"),UPPER(TRIM(Sync!$X943)),""))</f>
        <v/>
      </c>
      <c r="H947">
        <f>IF($G947="","",IF(Sync!$W943="","",Sync!$W943))</f>
        <v/>
      </c>
      <c r="I947">
        <f>IF(OR($G947="",Sync!$Y943=""),"",Sync!$Y943)</f>
        <v/>
      </c>
      <c r="J947">
        <f>IF(OR($G947="",Sync!$Z943=""),"",Sync!$Z943)</f>
        <v/>
      </c>
      <c r="K947">
        <f>IF($G947="",0,IF(Sync!$AA943="",0,Sync!$AA943))</f>
        <v/>
      </c>
      <c r="L947">
        <f>IF($G947="",0,IF(Sync!$AB943="",0,Sync!$AB943))</f>
        <v/>
      </c>
      <c r="M947">
        <f>IF($G947="","",IF($H947="مرجوعی فروش",-1,1)*($K947-$L947*IFERROR(VLOOKUP("P01",ParamTbl,3,0),1.5)))</f>
        <v/>
      </c>
      <c r="N947">
        <f>IF($G947="",0,IF($H947="مرجوعی فروش",-1,1)*IF(Sync!$AC943="",0,Sync!$AC943))</f>
        <v/>
      </c>
      <c r="O947">
        <f>IF(OR($G947="",Sync!$V943=""),"",Sync!$V943)</f>
        <v/>
      </c>
      <c r="P947">
        <f>IF(OR($G947="",Sync!$AD943=""),"",Sync!$AD943)</f>
        <v/>
      </c>
      <c r="Q947">
        <f>IF($G947="","",IF(Sync!$U943="","0000",IF(AND(ISNUMBER(Sync!$U943),Sync!$U943&gt;=0,Sync!$U943&lt;1),RIGHT("00"&amp;HOUR(Sync!$U943),2)&amp;RIGHT("00"&amp;MINUTE(Sync!$U943),2),IFERROR(RIGHT("00"&amp;VALUE(LEFT(Sync!$U943,FIND(":",Sync!$U943)-1)),2)&amp;RIGHT("00"&amp;VALUE(MID(Sync!$U943,FIND(":",Sync!$U943)+1,2)),2),"0000"))))</f>
        <v/>
      </c>
    </row>
    <row r="948">
      <c r="A948">
        <f>IF(Sync!$T944="","",Sync!$T944)</f>
        <v/>
      </c>
      <c r="B948">
        <f>IF($A948="","",IF(ISNUMBER($A948),IF(AND($A948&gt;=10000101,$A948&lt;=99991231),INT($A948/10000),""),IFERROR(VALUE(TRIM(LEFT($A948,FIND("/",$A948)-1))),"")))</f>
        <v/>
      </c>
      <c r="C948">
        <f>IF(OR($A948="",$B948=""),"",IF(ISNUMBER($A948),INT(MOD($A948,10000)/100),IFERROR(VALUE(TRIM(LEFT(MID($A948,FIND("/",$A948)+1,20),FIND("/",MID($A948,FIND("/",$A948)+1,20))-1))),"")))</f>
        <v/>
      </c>
      <c r="D948">
        <f>IF(OR($A948="",$B948=""),"",IF(ISNUMBER($A948),MOD($A948,100),IFERROR(VALUE(TRIM(MID(MID($A948,FIND("/",$A948)+1,20),FIND("/",MID($A948,FIND("/",$A948)+1,20))+1,20))),"")))</f>
        <v/>
      </c>
      <c r="E948">
        <f>IF($A948="","",IF(OR($B948="",$C948="",$D948="",$B948&lt;1300,$B948&gt;1500,$C948&lt;1,$C948&gt;12,$D948&lt;1,$D948&gt;31),"نامعتبر",RIGHT("0000"&amp;$B948,4)&amp;"/"&amp;RIGHT("00"&amp;$C948,2)&amp;"/"&amp;RIGHT("00"&amp;$D948,2)))</f>
        <v/>
      </c>
      <c r="F948">
        <f>IF(OR($E948="",$E948="نامعتبر"),"",LEFT($E948,4)&amp;"/"&amp;MID($E948,6,2))</f>
        <v/>
      </c>
      <c r="G948">
        <f>IF(OR($E948="",$E948="نامعتبر",Sync!$X944=""),"",IF(AND(LEFT(UPPER(TRIM(Sync!$X944)),2)="SL",IFERROR(VLOOKUP(Sync!$W944,OpTbl,3,0),"")="فروش"),UPPER(TRIM(Sync!$X944)),""))</f>
        <v/>
      </c>
      <c r="H948">
        <f>IF($G948="","",IF(Sync!$W944="","",Sync!$W944))</f>
        <v/>
      </c>
      <c r="I948">
        <f>IF(OR($G948="",Sync!$Y944=""),"",Sync!$Y944)</f>
        <v/>
      </c>
      <c r="J948">
        <f>IF(OR($G948="",Sync!$Z944=""),"",Sync!$Z944)</f>
        <v/>
      </c>
      <c r="K948">
        <f>IF($G948="",0,IF(Sync!$AA944="",0,Sync!$AA944))</f>
        <v/>
      </c>
      <c r="L948">
        <f>IF($G948="",0,IF(Sync!$AB944="",0,Sync!$AB944))</f>
        <v/>
      </c>
      <c r="M948">
        <f>IF($G948="","",IF($H948="مرجوعی فروش",-1,1)*($K948-$L948*IFERROR(VLOOKUP("P01",ParamTbl,3,0),1.5)))</f>
        <v/>
      </c>
      <c r="N948">
        <f>IF($G948="",0,IF($H948="مرجوعی فروش",-1,1)*IF(Sync!$AC944="",0,Sync!$AC944))</f>
        <v/>
      </c>
      <c r="O948">
        <f>IF(OR($G948="",Sync!$V944=""),"",Sync!$V944)</f>
        <v/>
      </c>
      <c r="P948">
        <f>IF(OR($G948="",Sync!$AD944=""),"",Sync!$AD944)</f>
        <v/>
      </c>
      <c r="Q948">
        <f>IF($G948="","",IF(Sync!$U944="","0000",IF(AND(ISNUMBER(Sync!$U944),Sync!$U944&gt;=0,Sync!$U944&lt;1),RIGHT("00"&amp;HOUR(Sync!$U944),2)&amp;RIGHT("00"&amp;MINUTE(Sync!$U944),2),IFERROR(RIGHT("00"&amp;VALUE(LEFT(Sync!$U944,FIND(":",Sync!$U944)-1)),2)&amp;RIGHT("00"&amp;VALUE(MID(Sync!$U944,FIND(":",Sync!$U944)+1,2)),2),"0000"))))</f>
        <v/>
      </c>
    </row>
    <row r="949">
      <c r="A949">
        <f>IF(Sync!$T945="","",Sync!$T945)</f>
        <v/>
      </c>
      <c r="B949">
        <f>IF($A949="","",IF(ISNUMBER($A949),IF(AND($A949&gt;=10000101,$A949&lt;=99991231),INT($A949/10000),""),IFERROR(VALUE(TRIM(LEFT($A949,FIND("/",$A949)-1))),"")))</f>
        <v/>
      </c>
      <c r="C949">
        <f>IF(OR($A949="",$B949=""),"",IF(ISNUMBER($A949),INT(MOD($A949,10000)/100),IFERROR(VALUE(TRIM(LEFT(MID($A949,FIND("/",$A949)+1,20),FIND("/",MID($A949,FIND("/",$A949)+1,20))-1))),"")))</f>
        <v/>
      </c>
      <c r="D949">
        <f>IF(OR($A949="",$B949=""),"",IF(ISNUMBER($A949),MOD($A949,100),IFERROR(VALUE(TRIM(MID(MID($A949,FIND("/",$A949)+1,20),FIND("/",MID($A949,FIND("/",$A949)+1,20))+1,20))),"")))</f>
        <v/>
      </c>
      <c r="E949">
        <f>IF($A949="","",IF(OR($B949="",$C949="",$D949="",$B949&lt;1300,$B949&gt;1500,$C949&lt;1,$C949&gt;12,$D949&lt;1,$D949&gt;31),"نامعتبر",RIGHT("0000"&amp;$B949,4)&amp;"/"&amp;RIGHT("00"&amp;$C949,2)&amp;"/"&amp;RIGHT("00"&amp;$D949,2)))</f>
        <v/>
      </c>
      <c r="F949">
        <f>IF(OR($E949="",$E949="نامعتبر"),"",LEFT($E949,4)&amp;"/"&amp;MID($E949,6,2))</f>
        <v/>
      </c>
      <c r="G949">
        <f>IF(OR($E949="",$E949="نامعتبر",Sync!$X945=""),"",IF(AND(LEFT(UPPER(TRIM(Sync!$X945)),2)="SL",IFERROR(VLOOKUP(Sync!$W945,OpTbl,3,0),"")="فروش"),UPPER(TRIM(Sync!$X945)),""))</f>
        <v/>
      </c>
      <c r="H949">
        <f>IF($G949="","",IF(Sync!$W945="","",Sync!$W945))</f>
        <v/>
      </c>
      <c r="I949">
        <f>IF(OR($G949="",Sync!$Y945=""),"",Sync!$Y945)</f>
        <v/>
      </c>
      <c r="J949">
        <f>IF(OR($G949="",Sync!$Z945=""),"",Sync!$Z945)</f>
        <v/>
      </c>
      <c r="K949">
        <f>IF($G949="",0,IF(Sync!$AA945="",0,Sync!$AA945))</f>
        <v/>
      </c>
      <c r="L949">
        <f>IF($G949="",0,IF(Sync!$AB945="",0,Sync!$AB945))</f>
        <v/>
      </c>
      <c r="M949">
        <f>IF($G949="","",IF($H949="مرجوعی فروش",-1,1)*($K949-$L949*IFERROR(VLOOKUP("P01",ParamTbl,3,0),1.5)))</f>
        <v/>
      </c>
      <c r="N949">
        <f>IF($G949="",0,IF($H949="مرجوعی فروش",-1,1)*IF(Sync!$AC945="",0,Sync!$AC945))</f>
        <v/>
      </c>
      <c r="O949">
        <f>IF(OR($G949="",Sync!$V945=""),"",Sync!$V945)</f>
        <v/>
      </c>
      <c r="P949">
        <f>IF(OR($G949="",Sync!$AD945=""),"",Sync!$AD945)</f>
        <v/>
      </c>
      <c r="Q949">
        <f>IF($G949="","",IF(Sync!$U945="","0000",IF(AND(ISNUMBER(Sync!$U945),Sync!$U945&gt;=0,Sync!$U945&lt;1),RIGHT("00"&amp;HOUR(Sync!$U945),2)&amp;RIGHT("00"&amp;MINUTE(Sync!$U945),2),IFERROR(RIGHT("00"&amp;VALUE(LEFT(Sync!$U945,FIND(":",Sync!$U945)-1)),2)&amp;RIGHT("00"&amp;VALUE(MID(Sync!$U945,FIND(":",Sync!$U945)+1,2)),2),"0000"))))</f>
        <v/>
      </c>
    </row>
    <row r="950">
      <c r="A950">
        <f>IF(Sync!$T946="","",Sync!$T946)</f>
        <v/>
      </c>
      <c r="B950">
        <f>IF($A950="","",IF(ISNUMBER($A950),IF(AND($A950&gt;=10000101,$A950&lt;=99991231),INT($A950/10000),""),IFERROR(VALUE(TRIM(LEFT($A950,FIND("/",$A950)-1))),"")))</f>
        <v/>
      </c>
      <c r="C950">
        <f>IF(OR($A950="",$B950=""),"",IF(ISNUMBER($A950),INT(MOD($A950,10000)/100),IFERROR(VALUE(TRIM(LEFT(MID($A950,FIND("/",$A950)+1,20),FIND("/",MID($A950,FIND("/",$A950)+1,20))-1))),"")))</f>
        <v/>
      </c>
      <c r="D950">
        <f>IF(OR($A950="",$B950=""),"",IF(ISNUMBER($A950),MOD($A950,100),IFERROR(VALUE(TRIM(MID(MID($A950,FIND("/",$A950)+1,20),FIND("/",MID($A950,FIND("/",$A950)+1,20))+1,20))),"")))</f>
        <v/>
      </c>
      <c r="E950">
        <f>IF($A950="","",IF(OR($B950="",$C950="",$D950="",$B950&lt;1300,$B950&gt;1500,$C950&lt;1,$C950&gt;12,$D950&lt;1,$D950&gt;31),"نامعتبر",RIGHT("0000"&amp;$B950,4)&amp;"/"&amp;RIGHT("00"&amp;$C950,2)&amp;"/"&amp;RIGHT("00"&amp;$D950,2)))</f>
        <v/>
      </c>
      <c r="F950">
        <f>IF(OR($E950="",$E950="نامعتبر"),"",LEFT($E950,4)&amp;"/"&amp;MID($E950,6,2))</f>
        <v/>
      </c>
      <c r="G950">
        <f>IF(OR($E950="",$E950="نامعتبر",Sync!$X946=""),"",IF(AND(LEFT(UPPER(TRIM(Sync!$X946)),2)="SL",IFERROR(VLOOKUP(Sync!$W946,OpTbl,3,0),"")="فروش"),UPPER(TRIM(Sync!$X946)),""))</f>
        <v/>
      </c>
      <c r="H950">
        <f>IF($G950="","",IF(Sync!$W946="","",Sync!$W946))</f>
        <v/>
      </c>
      <c r="I950">
        <f>IF(OR($G950="",Sync!$Y946=""),"",Sync!$Y946)</f>
        <v/>
      </c>
      <c r="J950">
        <f>IF(OR($G950="",Sync!$Z946=""),"",Sync!$Z946)</f>
        <v/>
      </c>
      <c r="K950">
        <f>IF($G950="",0,IF(Sync!$AA946="",0,Sync!$AA946))</f>
        <v/>
      </c>
      <c r="L950">
        <f>IF($G950="",0,IF(Sync!$AB946="",0,Sync!$AB946))</f>
        <v/>
      </c>
      <c r="M950">
        <f>IF($G950="","",IF($H950="مرجوعی فروش",-1,1)*($K950-$L950*IFERROR(VLOOKUP("P01",ParamTbl,3,0),1.5)))</f>
        <v/>
      </c>
      <c r="N950">
        <f>IF($G950="",0,IF($H950="مرجوعی فروش",-1,1)*IF(Sync!$AC946="",0,Sync!$AC946))</f>
        <v/>
      </c>
      <c r="O950">
        <f>IF(OR($G950="",Sync!$V946=""),"",Sync!$V946)</f>
        <v/>
      </c>
      <c r="P950">
        <f>IF(OR($G950="",Sync!$AD946=""),"",Sync!$AD946)</f>
        <v/>
      </c>
      <c r="Q950">
        <f>IF($G950="","",IF(Sync!$U946="","0000",IF(AND(ISNUMBER(Sync!$U946),Sync!$U946&gt;=0,Sync!$U946&lt;1),RIGHT("00"&amp;HOUR(Sync!$U946),2)&amp;RIGHT("00"&amp;MINUTE(Sync!$U946),2),IFERROR(RIGHT("00"&amp;VALUE(LEFT(Sync!$U946,FIND(":",Sync!$U946)-1)),2)&amp;RIGHT("00"&amp;VALUE(MID(Sync!$U946,FIND(":",Sync!$U946)+1,2)),2),"0000"))))</f>
        <v/>
      </c>
    </row>
    <row r="951">
      <c r="A951">
        <f>IF(Sync!$T947="","",Sync!$T947)</f>
        <v/>
      </c>
      <c r="B951">
        <f>IF($A951="","",IF(ISNUMBER($A951),IF(AND($A951&gt;=10000101,$A951&lt;=99991231),INT($A951/10000),""),IFERROR(VALUE(TRIM(LEFT($A951,FIND("/",$A951)-1))),"")))</f>
        <v/>
      </c>
      <c r="C951">
        <f>IF(OR($A951="",$B951=""),"",IF(ISNUMBER($A951),INT(MOD($A951,10000)/100),IFERROR(VALUE(TRIM(LEFT(MID($A951,FIND("/",$A951)+1,20),FIND("/",MID($A951,FIND("/",$A951)+1,20))-1))),"")))</f>
        <v/>
      </c>
      <c r="D951">
        <f>IF(OR($A951="",$B951=""),"",IF(ISNUMBER($A951),MOD($A951,100),IFERROR(VALUE(TRIM(MID(MID($A951,FIND("/",$A951)+1,20),FIND("/",MID($A951,FIND("/",$A951)+1,20))+1,20))),"")))</f>
        <v/>
      </c>
      <c r="E951">
        <f>IF($A951="","",IF(OR($B951="",$C951="",$D951="",$B951&lt;1300,$B951&gt;1500,$C951&lt;1,$C951&gt;12,$D951&lt;1,$D951&gt;31),"نامعتبر",RIGHT("0000"&amp;$B951,4)&amp;"/"&amp;RIGHT("00"&amp;$C951,2)&amp;"/"&amp;RIGHT("00"&amp;$D951,2)))</f>
        <v/>
      </c>
      <c r="F951">
        <f>IF(OR($E951="",$E951="نامعتبر"),"",LEFT($E951,4)&amp;"/"&amp;MID($E951,6,2))</f>
        <v/>
      </c>
      <c r="G951">
        <f>IF(OR($E951="",$E951="نامعتبر",Sync!$X947=""),"",IF(AND(LEFT(UPPER(TRIM(Sync!$X947)),2)="SL",IFERROR(VLOOKUP(Sync!$W947,OpTbl,3,0),"")="فروش"),UPPER(TRIM(Sync!$X947)),""))</f>
        <v/>
      </c>
      <c r="H951">
        <f>IF($G951="","",IF(Sync!$W947="","",Sync!$W947))</f>
        <v/>
      </c>
      <c r="I951">
        <f>IF(OR($G951="",Sync!$Y947=""),"",Sync!$Y947)</f>
        <v/>
      </c>
      <c r="J951">
        <f>IF(OR($G951="",Sync!$Z947=""),"",Sync!$Z947)</f>
        <v/>
      </c>
      <c r="K951">
        <f>IF($G951="",0,IF(Sync!$AA947="",0,Sync!$AA947))</f>
        <v/>
      </c>
      <c r="L951">
        <f>IF($G951="",0,IF(Sync!$AB947="",0,Sync!$AB947))</f>
        <v/>
      </c>
      <c r="M951">
        <f>IF($G951="","",IF($H951="مرجوعی فروش",-1,1)*($K951-$L951*IFERROR(VLOOKUP("P01",ParamTbl,3,0),1.5)))</f>
        <v/>
      </c>
      <c r="N951">
        <f>IF($G951="",0,IF($H951="مرجوعی فروش",-1,1)*IF(Sync!$AC947="",0,Sync!$AC947))</f>
        <v/>
      </c>
      <c r="O951">
        <f>IF(OR($G951="",Sync!$V947=""),"",Sync!$V947)</f>
        <v/>
      </c>
      <c r="P951">
        <f>IF(OR($G951="",Sync!$AD947=""),"",Sync!$AD947)</f>
        <v/>
      </c>
      <c r="Q951">
        <f>IF($G951="","",IF(Sync!$U947="","0000",IF(AND(ISNUMBER(Sync!$U947),Sync!$U947&gt;=0,Sync!$U947&lt;1),RIGHT("00"&amp;HOUR(Sync!$U947),2)&amp;RIGHT("00"&amp;MINUTE(Sync!$U947),2),IFERROR(RIGHT("00"&amp;VALUE(LEFT(Sync!$U947,FIND(":",Sync!$U947)-1)),2)&amp;RIGHT("00"&amp;VALUE(MID(Sync!$U947,FIND(":",Sync!$U947)+1,2)),2),"0000"))))</f>
        <v/>
      </c>
    </row>
    <row r="952">
      <c r="A952">
        <f>IF(Sync!$T948="","",Sync!$T948)</f>
        <v/>
      </c>
      <c r="B952">
        <f>IF($A952="","",IF(ISNUMBER($A952),IF(AND($A952&gt;=10000101,$A952&lt;=99991231),INT($A952/10000),""),IFERROR(VALUE(TRIM(LEFT($A952,FIND("/",$A952)-1))),"")))</f>
        <v/>
      </c>
      <c r="C952">
        <f>IF(OR($A952="",$B952=""),"",IF(ISNUMBER($A952),INT(MOD($A952,10000)/100),IFERROR(VALUE(TRIM(LEFT(MID($A952,FIND("/",$A952)+1,20),FIND("/",MID($A952,FIND("/",$A952)+1,20))-1))),"")))</f>
        <v/>
      </c>
      <c r="D952">
        <f>IF(OR($A952="",$B952=""),"",IF(ISNUMBER($A952),MOD($A952,100),IFERROR(VALUE(TRIM(MID(MID($A952,FIND("/",$A952)+1,20),FIND("/",MID($A952,FIND("/",$A952)+1,20))+1,20))),"")))</f>
        <v/>
      </c>
      <c r="E952">
        <f>IF($A952="","",IF(OR($B952="",$C952="",$D952="",$B952&lt;1300,$B952&gt;1500,$C952&lt;1,$C952&gt;12,$D952&lt;1,$D952&gt;31),"نامعتبر",RIGHT("0000"&amp;$B952,4)&amp;"/"&amp;RIGHT("00"&amp;$C952,2)&amp;"/"&amp;RIGHT("00"&amp;$D952,2)))</f>
        <v/>
      </c>
      <c r="F952">
        <f>IF(OR($E952="",$E952="نامعتبر"),"",LEFT($E952,4)&amp;"/"&amp;MID($E952,6,2))</f>
        <v/>
      </c>
      <c r="G952">
        <f>IF(OR($E952="",$E952="نامعتبر",Sync!$X948=""),"",IF(AND(LEFT(UPPER(TRIM(Sync!$X948)),2)="SL",IFERROR(VLOOKUP(Sync!$W948,OpTbl,3,0),"")="فروش"),UPPER(TRIM(Sync!$X948)),""))</f>
        <v/>
      </c>
      <c r="H952">
        <f>IF($G952="","",IF(Sync!$W948="","",Sync!$W948))</f>
        <v/>
      </c>
      <c r="I952">
        <f>IF(OR($G952="",Sync!$Y948=""),"",Sync!$Y948)</f>
        <v/>
      </c>
      <c r="J952">
        <f>IF(OR($G952="",Sync!$Z948=""),"",Sync!$Z948)</f>
        <v/>
      </c>
      <c r="K952">
        <f>IF($G952="",0,IF(Sync!$AA948="",0,Sync!$AA948))</f>
        <v/>
      </c>
      <c r="L952">
        <f>IF($G952="",0,IF(Sync!$AB948="",0,Sync!$AB948))</f>
        <v/>
      </c>
      <c r="M952">
        <f>IF($G952="","",IF($H952="مرجوعی فروش",-1,1)*($K952-$L952*IFERROR(VLOOKUP("P01",ParamTbl,3,0),1.5)))</f>
        <v/>
      </c>
      <c r="N952">
        <f>IF($G952="",0,IF($H952="مرجوعی فروش",-1,1)*IF(Sync!$AC948="",0,Sync!$AC948))</f>
        <v/>
      </c>
      <c r="O952">
        <f>IF(OR($G952="",Sync!$V948=""),"",Sync!$V948)</f>
        <v/>
      </c>
      <c r="P952">
        <f>IF(OR($G952="",Sync!$AD948=""),"",Sync!$AD948)</f>
        <v/>
      </c>
      <c r="Q952">
        <f>IF($G952="","",IF(Sync!$U948="","0000",IF(AND(ISNUMBER(Sync!$U948),Sync!$U948&gt;=0,Sync!$U948&lt;1),RIGHT("00"&amp;HOUR(Sync!$U948),2)&amp;RIGHT("00"&amp;MINUTE(Sync!$U948),2),IFERROR(RIGHT("00"&amp;VALUE(LEFT(Sync!$U948,FIND(":",Sync!$U948)-1)),2)&amp;RIGHT("00"&amp;VALUE(MID(Sync!$U948,FIND(":",Sync!$U948)+1,2)),2),"0000"))))</f>
        <v/>
      </c>
    </row>
    <row r="953">
      <c r="A953">
        <f>IF(Sync!$T949="","",Sync!$T949)</f>
        <v/>
      </c>
      <c r="B953">
        <f>IF($A953="","",IF(ISNUMBER($A953),IF(AND($A953&gt;=10000101,$A953&lt;=99991231),INT($A953/10000),""),IFERROR(VALUE(TRIM(LEFT($A953,FIND("/",$A953)-1))),"")))</f>
        <v/>
      </c>
      <c r="C953">
        <f>IF(OR($A953="",$B953=""),"",IF(ISNUMBER($A953),INT(MOD($A953,10000)/100),IFERROR(VALUE(TRIM(LEFT(MID($A953,FIND("/",$A953)+1,20),FIND("/",MID($A953,FIND("/",$A953)+1,20))-1))),"")))</f>
        <v/>
      </c>
      <c r="D953">
        <f>IF(OR($A953="",$B953=""),"",IF(ISNUMBER($A953),MOD($A953,100),IFERROR(VALUE(TRIM(MID(MID($A953,FIND("/",$A953)+1,20),FIND("/",MID($A953,FIND("/",$A953)+1,20))+1,20))),"")))</f>
        <v/>
      </c>
      <c r="E953">
        <f>IF($A953="","",IF(OR($B953="",$C953="",$D953="",$B953&lt;1300,$B953&gt;1500,$C953&lt;1,$C953&gt;12,$D953&lt;1,$D953&gt;31),"نامعتبر",RIGHT("0000"&amp;$B953,4)&amp;"/"&amp;RIGHT("00"&amp;$C953,2)&amp;"/"&amp;RIGHT("00"&amp;$D953,2)))</f>
        <v/>
      </c>
      <c r="F953">
        <f>IF(OR($E953="",$E953="نامعتبر"),"",LEFT($E953,4)&amp;"/"&amp;MID($E953,6,2))</f>
        <v/>
      </c>
      <c r="G953">
        <f>IF(OR($E953="",$E953="نامعتبر",Sync!$X949=""),"",IF(AND(LEFT(UPPER(TRIM(Sync!$X949)),2)="SL",IFERROR(VLOOKUP(Sync!$W949,OpTbl,3,0),"")="فروش"),UPPER(TRIM(Sync!$X949)),""))</f>
        <v/>
      </c>
      <c r="H953">
        <f>IF($G953="","",IF(Sync!$W949="","",Sync!$W949))</f>
        <v/>
      </c>
      <c r="I953">
        <f>IF(OR($G953="",Sync!$Y949=""),"",Sync!$Y949)</f>
        <v/>
      </c>
      <c r="J953">
        <f>IF(OR($G953="",Sync!$Z949=""),"",Sync!$Z949)</f>
        <v/>
      </c>
      <c r="K953">
        <f>IF($G953="",0,IF(Sync!$AA949="",0,Sync!$AA949))</f>
        <v/>
      </c>
      <c r="L953">
        <f>IF($G953="",0,IF(Sync!$AB949="",0,Sync!$AB949))</f>
        <v/>
      </c>
      <c r="M953">
        <f>IF($G953="","",IF($H953="مرجوعی فروش",-1,1)*($K953-$L953*IFERROR(VLOOKUP("P01",ParamTbl,3,0),1.5)))</f>
        <v/>
      </c>
      <c r="N953">
        <f>IF($G953="",0,IF($H953="مرجوعی فروش",-1,1)*IF(Sync!$AC949="",0,Sync!$AC949))</f>
        <v/>
      </c>
      <c r="O953">
        <f>IF(OR($G953="",Sync!$V949=""),"",Sync!$V949)</f>
        <v/>
      </c>
      <c r="P953">
        <f>IF(OR($G953="",Sync!$AD949=""),"",Sync!$AD949)</f>
        <v/>
      </c>
      <c r="Q953">
        <f>IF($G953="","",IF(Sync!$U949="","0000",IF(AND(ISNUMBER(Sync!$U949),Sync!$U949&gt;=0,Sync!$U949&lt;1),RIGHT("00"&amp;HOUR(Sync!$U949),2)&amp;RIGHT("00"&amp;MINUTE(Sync!$U949),2),IFERROR(RIGHT("00"&amp;VALUE(LEFT(Sync!$U949,FIND(":",Sync!$U949)-1)),2)&amp;RIGHT("00"&amp;VALUE(MID(Sync!$U949,FIND(":",Sync!$U949)+1,2)),2),"0000"))))</f>
        <v/>
      </c>
    </row>
    <row r="954">
      <c r="A954">
        <f>IF(Sync!$T950="","",Sync!$T950)</f>
        <v/>
      </c>
      <c r="B954">
        <f>IF($A954="","",IF(ISNUMBER($A954),IF(AND($A954&gt;=10000101,$A954&lt;=99991231),INT($A954/10000),""),IFERROR(VALUE(TRIM(LEFT($A954,FIND("/",$A954)-1))),"")))</f>
        <v/>
      </c>
      <c r="C954">
        <f>IF(OR($A954="",$B954=""),"",IF(ISNUMBER($A954),INT(MOD($A954,10000)/100),IFERROR(VALUE(TRIM(LEFT(MID($A954,FIND("/",$A954)+1,20),FIND("/",MID($A954,FIND("/",$A954)+1,20))-1))),"")))</f>
        <v/>
      </c>
      <c r="D954">
        <f>IF(OR($A954="",$B954=""),"",IF(ISNUMBER($A954),MOD($A954,100),IFERROR(VALUE(TRIM(MID(MID($A954,FIND("/",$A954)+1,20),FIND("/",MID($A954,FIND("/",$A954)+1,20))+1,20))),"")))</f>
        <v/>
      </c>
      <c r="E954">
        <f>IF($A954="","",IF(OR($B954="",$C954="",$D954="",$B954&lt;1300,$B954&gt;1500,$C954&lt;1,$C954&gt;12,$D954&lt;1,$D954&gt;31),"نامعتبر",RIGHT("0000"&amp;$B954,4)&amp;"/"&amp;RIGHT("00"&amp;$C954,2)&amp;"/"&amp;RIGHT("00"&amp;$D954,2)))</f>
        <v/>
      </c>
      <c r="F954">
        <f>IF(OR($E954="",$E954="نامعتبر"),"",LEFT($E954,4)&amp;"/"&amp;MID($E954,6,2))</f>
        <v/>
      </c>
      <c r="G954">
        <f>IF(OR($E954="",$E954="نامعتبر",Sync!$X950=""),"",IF(AND(LEFT(UPPER(TRIM(Sync!$X950)),2)="SL",IFERROR(VLOOKUP(Sync!$W950,OpTbl,3,0),"")="فروش"),UPPER(TRIM(Sync!$X950)),""))</f>
        <v/>
      </c>
      <c r="H954">
        <f>IF($G954="","",IF(Sync!$W950="","",Sync!$W950))</f>
        <v/>
      </c>
      <c r="I954">
        <f>IF(OR($G954="",Sync!$Y950=""),"",Sync!$Y950)</f>
        <v/>
      </c>
      <c r="J954">
        <f>IF(OR($G954="",Sync!$Z950=""),"",Sync!$Z950)</f>
        <v/>
      </c>
      <c r="K954">
        <f>IF($G954="",0,IF(Sync!$AA950="",0,Sync!$AA950))</f>
        <v/>
      </c>
      <c r="L954">
        <f>IF($G954="",0,IF(Sync!$AB950="",0,Sync!$AB950))</f>
        <v/>
      </c>
      <c r="M954">
        <f>IF($G954="","",IF($H954="مرجوعی فروش",-1,1)*($K954-$L954*IFERROR(VLOOKUP("P01",ParamTbl,3,0),1.5)))</f>
        <v/>
      </c>
      <c r="N954">
        <f>IF($G954="",0,IF($H954="مرجوعی فروش",-1,1)*IF(Sync!$AC950="",0,Sync!$AC950))</f>
        <v/>
      </c>
      <c r="O954">
        <f>IF(OR($G954="",Sync!$V950=""),"",Sync!$V950)</f>
        <v/>
      </c>
      <c r="P954">
        <f>IF(OR($G954="",Sync!$AD950=""),"",Sync!$AD950)</f>
        <v/>
      </c>
      <c r="Q954">
        <f>IF($G954="","",IF(Sync!$U950="","0000",IF(AND(ISNUMBER(Sync!$U950),Sync!$U950&gt;=0,Sync!$U950&lt;1),RIGHT("00"&amp;HOUR(Sync!$U950),2)&amp;RIGHT("00"&amp;MINUTE(Sync!$U950),2),IFERROR(RIGHT("00"&amp;VALUE(LEFT(Sync!$U950,FIND(":",Sync!$U950)-1)),2)&amp;RIGHT("00"&amp;VALUE(MID(Sync!$U950,FIND(":",Sync!$U950)+1,2)),2),"0000"))))</f>
        <v/>
      </c>
    </row>
    <row r="955">
      <c r="A955">
        <f>IF(Sync!$T951="","",Sync!$T951)</f>
        <v/>
      </c>
      <c r="B955">
        <f>IF($A955="","",IF(ISNUMBER($A955),IF(AND($A955&gt;=10000101,$A955&lt;=99991231),INT($A955/10000),""),IFERROR(VALUE(TRIM(LEFT($A955,FIND("/",$A955)-1))),"")))</f>
        <v/>
      </c>
      <c r="C955">
        <f>IF(OR($A955="",$B955=""),"",IF(ISNUMBER($A955),INT(MOD($A955,10000)/100),IFERROR(VALUE(TRIM(LEFT(MID($A955,FIND("/",$A955)+1,20),FIND("/",MID($A955,FIND("/",$A955)+1,20))-1))),"")))</f>
        <v/>
      </c>
      <c r="D955">
        <f>IF(OR($A955="",$B955=""),"",IF(ISNUMBER($A955),MOD($A955,100),IFERROR(VALUE(TRIM(MID(MID($A955,FIND("/",$A955)+1,20),FIND("/",MID($A955,FIND("/",$A955)+1,20))+1,20))),"")))</f>
        <v/>
      </c>
      <c r="E955">
        <f>IF($A955="","",IF(OR($B955="",$C955="",$D955="",$B955&lt;1300,$B955&gt;1500,$C955&lt;1,$C955&gt;12,$D955&lt;1,$D955&gt;31),"نامعتبر",RIGHT("0000"&amp;$B955,4)&amp;"/"&amp;RIGHT("00"&amp;$C955,2)&amp;"/"&amp;RIGHT("00"&amp;$D955,2)))</f>
        <v/>
      </c>
      <c r="F955">
        <f>IF(OR($E955="",$E955="نامعتبر"),"",LEFT($E955,4)&amp;"/"&amp;MID($E955,6,2))</f>
        <v/>
      </c>
      <c r="G955">
        <f>IF(OR($E955="",$E955="نامعتبر",Sync!$X951=""),"",IF(AND(LEFT(UPPER(TRIM(Sync!$X951)),2)="SL",IFERROR(VLOOKUP(Sync!$W951,OpTbl,3,0),"")="فروش"),UPPER(TRIM(Sync!$X951)),""))</f>
        <v/>
      </c>
      <c r="H955">
        <f>IF($G955="","",IF(Sync!$W951="","",Sync!$W951))</f>
        <v/>
      </c>
      <c r="I955">
        <f>IF(OR($G955="",Sync!$Y951=""),"",Sync!$Y951)</f>
        <v/>
      </c>
      <c r="J955">
        <f>IF(OR($G955="",Sync!$Z951=""),"",Sync!$Z951)</f>
        <v/>
      </c>
      <c r="K955">
        <f>IF($G955="",0,IF(Sync!$AA951="",0,Sync!$AA951))</f>
        <v/>
      </c>
      <c r="L955">
        <f>IF($G955="",0,IF(Sync!$AB951="",0,Sync!$AB951))</f>
        <v/>
      </c>
      <c r="M955">
        <f>IF($G955="","",IF($H955="مرجوعی فروش",-1,1)*($K955-$L955*IFERROR(VLOOKUP("P01",ParamTbl,3,0),1.5)))</f>
        <v/>
      </c>
      <c r="N955">
        <f>IF($G955="",0,IF($H955="مرجوعی فروش",-1,1)*IF(Sync!$AC951="",0,Sync!$AC951))</f>
        <v/>
      </c>
      <c r="O955">
        <f>IF(OR($G955="",Sync!$V951=""),"",Sync!$V951)</f>
        <v/>
      </c>
      <c r="P955">
        <f>IF(OR($G955="",Sync!$AD951=""),"",Sync!$AD951)</f>
        <v/>
      </c>
      <c r="Q955">
        <f>IF($G955="","",IF(Sync!$U951="","0000",IF(AND(ISNUMBER(Sync!$U951),Sync!$U951&gt;=0,Sync!$U951&lt;1),RIGHT("00"&amp;HOUR(Sync!$U951),2)&amp;RIGHT("00"&amp;MINUTE(Sync!$U951),2),IFERROR(RIGHT("00"&amp;VALUE(LEFT(Sync!$U951,FIND(":",Sync!$U951)-1)),2)&amp;RIGHT("00"&amp;VALUE(MID(Sync!$U951,FIND(":",Sync!$U951)+1,2)),2),"0000"))))</f>
        <v/>
      </c>
    </row>
    <row r="956">
      <c r="A956">
        <f>IF(Sync!$T952="","",Sync!$T952)</f>
        <v/>
      </c>
      <c r="B956">
        <f>IF($A956="","",IF(ISNUMBER($A956),IF(AND($A956&gt;=10000101,$A956&lt;=99991231),INT($A956/10000),""),IFERROR(VALUE(TRIM(LEFT($A956,FIND("/",$A956)-1))),"")))</f>
        <v/>
      </c>
      <c r="C956">
        <f>IF(OR($A956="",$B956=""),"",IF(ISNUMBER($A956),INT(MOD($A956,10000)/100),IFERROR(VALUE(TRIM(LEFT(MID($A956,FIND("/",$A956)+1,20),FIND("/",MID($A956,FIND("/",$A956)+1,20))-1))),"")))</f>
        <v/>
      </c>
      <c r="D956">
        <f>IF(OR($A956="",$B956=""),"",IF(ISNUMBER($A956),MOD($A956,100),IFERROR(VALUE(TRIM(MID(MID($A956,FIND("/",$A956)+1,20),FIND("/",MID($A956,FIND("/",$A956)+1,20))+1,20))),"")))</f>
        <v/>
      </c>
      <c r="E956">
        <f>IF($A956="","",IF(OR($B956="",$C956="",$D956="",$B956&lt;1300,$B956&gt;1500,$C956&lt;1,$C956&gt;12,$D956&lt;1,$D956&gt;31),"نامعتبر",RIGHT("0000"&amp;$B956,4)&amp;"/"&amp;RIGHT("00"&amp;$C956,2)&amp;"/"&amp;RIGHT("00"&amp;$D956,2)))</f>
        <v/>
      </c>
      <c r="F956">
        <f>IF(OR($E956="",$E956="نامعتبر"),"",LEFT($E956,4)&amp;"/"&amp;MID($E956,6,2))</f>
        <v/>
      </c>
      <c r="G956">
        <f>IF(OR($E956="",$E956="نامعتبر",Sync!$X952=""),"",IF(AND(LEFT(UPPER(TRIM(Sync!$X952)),2)="SL",IFERROR(VLOOKUP(Sync!$W952,OpTbl,3,0),"")="فروش"),UPPER(TRIM(Sync!$X952)),""))</f>
        <v/>
      </c>
      <c r="H956">
        <f>IF($G956="","",IF(Sync!$W952="","",Sync!$W952))</f>
        <v/>
      </c>
      <c r="I956">
        <f>IF(OR($G956="",Sync!$Y952=""),"",Sync!$Y952)</f>
        <v/>
      </c>
      <c r="J956">
        <f>IF(OR($G956="",Sync!$Z952=""),"",Sync!$Z952)</f>
        <v/>
      </c>
      <c r="K956">
        <f>IF($G956="",0,IF(Sync!$AA952="",0,Sync!$AA952))</f>
        <v/>
      </c>
      <c r="L956">
        <f>IF($G956="",0,IF(Sync!$AB952="",0,Sync!$AB952))</f>
        <v/>
      </c>
      <c r="M956">
        <f>IF($G956="","",IF($H956="مرجوعی فروش",-1,1)*($K956-$L956*IFERROR(VLOOKUP("P01",ParamTbl,3,0),1.5)))</f>
        <v/>
      </c>
      <c r="N956">
        <f>IF($G956="",0,IF($H956="مرجوعی فروش",-1,1)*IF(Sync!$AC952="",0,Sync!$AC952))</f>
        <v/>
      </c>
      <c r="O956">
        <f>IF(OR($G956="",Sync!$V952=""),"",Sync!$V952)</f>
        <v/>
      </c>
      <c r="P956">
        <f>IF(OR($G956="",Sync!$AD952=""),"",Sync!$AD952)</f>
        <v/>
      </c>
      <c r="Q956">
        <f>IF($G956="","",IF(Sync!$U952="","0000",IF(AND(ISNUMBER(Sync!$U952),Sync!$U952&gt;=0,Sync!$U952&lt;1),RIGHT("00"&amp;HOUR(Sync!$U952),2)&amp;RIGHT("00"&amp;MINUTE(Sync!$U952),2),IFERROR(RIGHT("00"&amp;VALUE(LEFT(Sync!$U952,FIND(":",Sync!$U952)-1)),2)&amp;RIGHT("00"&amp;VALUE(MID(Sync!$U952,FIND(":",Sync!$U952)+1,2)),2),"0000"))))</f>
        <v/>
      </c>
    </row>
    <row r="957">
      <c r="A957">
        <f>IF(Sync!$T953="","",Sync!$T953)</f>
        <v/>
      </c>
      <c r="B957">
        <f>IF($A957="","",IF(ISNUMBER($A957),IF(AND($A957&gt;=10000101,$A957&lt;=99991231),INT($A957/10000),""),IFERROR(VALUE(TRIM(LEFT($A957,FIND("/",$A957)-1))),"")))</f>
        <v/>
      </c>
      <c r="C957">
        <f>IF(OR($A957="",$B957=""),"",IF(ISNUMBER($A957),INT(MOD($A957,10000)/100),IFERROR(VALUE(TRIM(LEFT(MID($A957,FIND("/",$A957)+1,20),FIND("/",MID($A957,FIND("/",$A957)+1,20))-1))),"")))</f>
        <v/>
      </c>
      <c r="D957">
        <f>IF(OR($A957="",$B957=""),"",IF(ISNUMBER($A957),MOD($A957,100),IFERROR(VALUE(TRIM(MID(MID($A957,FIND("/",$A957)+1,20),FIND("/",MID($A957,FIND("/",$A957)+1,20))+1,20))),"")))</f>
        <v/>
      </c>
      <c r="E957">
        <f>IF($A957="","",IF(OR($B957="",$C957="",$D957="",$B957&lt;1300,$B957&gt;1500,$C957&lt;1,$C957&gt;12,$D957&lt;1,$D957&gt;31),"نامعتبر",RIGHT("0000"&amp;$B957,4)&amp;"/"&amp;RIGHT("00"&amp;$C957,2)&amp;"/"&amp;RIGHT("00"&amp;$D957,2)))</f>
        <v/>
      </c>
      <c r="F957">
        <f>IF(OR($E957="",$E957="نامعتبر"),"",LEFT($E957,4)&amp;"/"&amp;MID($E957,6,2))</f>
        <v/>
      </c>
      <c r="G957">
        <f>IF(OR($E957="",$E957="نامعتبر",Sync!$X953=""),"",IF(AND(LEFT(UPPER(TRIM(Sync!$X953)),2)="SL",IFERROR(VLOOKUP(Sync!$W953,OpTbl,3,0),"")="فروش"),UPPER(TRIM(Sync!$X953)),""))</f>
        <v/>
      </c>
      <c r="H957">
        <f>IF($G957="","",IF(Sync!$W953="","",Sync!$W953))</f>
        <v/>
      </c>
      <c r="I957">
        <f>IF(OR($G957="",Sync!$Y953=""),"",Sync!$Y953)</f>
        <v/>
      </c>
      <c r="J957">
        <f>IF(OR($G957="",Sync!$Z953=""),"",Sync!$Z953)</f>
        <v/>
      </c>
      <c r="K957">
        <f>IF($G957="",0,IF(Sync!$AA953="",0,Sync!$AA953))</f>
        <v/>
      </c>
      <c r="L957">
        <f>IF($G957="",0,IF(Sync!$AB953="",0,Sync!$AB953))</f>
        <v/>
      </c>
      <c r="M957">
        <f>IF($G957="","",IF($H957="مرجوعی فروش",-1,1)*($K957-$L957*IFERROR(VLOOKUP("P01",ParamTbl,3,0),1.5)))</f>
        <v/>
      </c>
      <c r="N957">
        <f>IF($G957="",0,IF($H957="مرجوعی فروش",-1,1)*IF(Sync!$AC953="",0,Sync!$AC953))</f>
        <v/>
      </c>
      <c r="O957">
        <f>IF(OR($G957="",Sync!$V953=""),"",Sync!$V953)</f>
        <v/>
      </c>
      <c r="P957">
        <f>IF(OR($G957="",Sync!$AD953=""),"",Sync!$AD953)</f>
        <v/>
      </c>
      <c r="Q957">
        <f>IF($G957="","",IF(Sync!$U953="","0000",IF(AND(ISNUMBER(Sync!$U953),Sync!$U953&gt;=0,Sync!$U953&lt;1),RIGHT("00"&amp;HOUR(Sync!$U953),2)&amp;RIGHT("00"&amp;MINUTE(Sync!$U953),2),IFERROR(RIGHT("00"&amp;VALUE(LEFT(Sync!$U953,FIND(":",Sync!$U953)-1)),2)&amp;RIGHT("00"&amp;VALUE(MID(Sync!$U953,FIND(":",Sync!$U953)+1,2)),2),"0000"))))</f>
        <v/>
      </c>
    </row>
    <row r="958">
      <c r="A958">
        <f>IF(Sync!$T954="","",Sync!$T954)</f>
        <v/>
      </c>
      <c r="B958">
        <f>IF($A958="","",IF(ISNUMBER($A958),IF(AND($A958&gt;=10000101,$A958&lt;=99991231),INT($A958/10000),""),IFERROR(VALUE(TRIM(LEFT($A958,FIND("/",$A958)-1))),"")))</f>
        <v/>
      </c>
      <c r="C958">
        <f>IF(OR($A958="",$B958=""),"",IF(ISNUMBER($A958),INT(MOD($A958,10000)/100),IFERROR(VALUE(TRIM(LEFT(MID($A958,FIND("/",$A958)+1,20),FIND("/",MID($A958,FIND("/",$A958)+1,20))-1))),"")))</f>
        <v/>
      </c>
      <c r="D958">
        <f>IF(OR($A958="",$B958=""),"",IF(ISNUMBER($A958),MOD($A958,100),IFERROR(VALUE(TRIM(MID(MID($A958,FIND("/",$A958)+1,20),FIND("/",MID($A958,FIND("/",$A958)+1,20))+1,20))),"")))</f>
        <v/>
      </c>
      <c r="E958">
        <f>IF($A958="","",IF(OR($B958="",$C958="",$D958="",$B958&lt;1300,$B958&gt;1500,$C958&lt;1,$C958&gt;12,$D958&lt;1,$D958&gt;31),"نامعتبر",RIGHT("0000"&amp;$B958,4)&amp;"/"&amp;RIGHT("00"&amp;$C958,2)&amp;"/"&amp;RIGHT("00"&amp;$D958,2)))</f>
        <v/>
      </c>
      <c r="F958">
        <f>IF(OR($E958="",$E958="نامعتبر"),"",LEFT($E958,4)&amp;"/"&amp;MID($E958,6,2))</f>
        <v/>
      </c>
      <c r="G958">
        <f>IF(OR($E958="",$E958="نامعتبر",Sync!$X954=""),"",IF(AND(LEFT(UPPER(TRIM(Sync!$X954)),2)="SL",IFERROR(VLOOKUP(Sync!$W954,OpTbl,3,0),"")="فروش"),UPPER(TRIM(Sync!$X954)),""))</f>
        <v/>
      </c>
      <c r="H958">
        <f>IF($G958="","",IF(Sync!$W954="","",Sync!$W954))</f>
        <v/>
      </c>
      <c r="I958">
        <f>IF(OR($G958="",Sync!$Y954=""),"",Sync!$Y954)</f>
        <v/>
      </c>
      <c r="J958">
        <f>IF(OR($G958="",Sync!$Z954=""),"",Sync!$Z954)</f>
        <v/>
      </c>
      <c r="K958">
        <f>IF($G958="",0,IF(Sync!$AA954="",0,Sync!$AA954))</f>
        <v/>
      </c>
      <c r="L958">
        <f>IF($G958="",0,IF(Sync!$AB954="",0,Sync!$AB954))</f>
        <v/>
      </c>
      <c r="M958">
        <f>IF($G958="","",IF($H958="مرجوعی فروش",-1,1)*($K958-$L958*IFERROR(VLOOKUP("P01",ParamTbl,3,0),1.5)))</f>
        <v/>
      </c>
      <c r="N958">
        <f>IF($G958="",0,IF($H958="مرجوعی فروش",-1,1)*IF(Sync!$AC954="",0,Sync!$AC954))</f>
        <v/>
      </c>
      <c r="O958">
        <f>IF(OR($G958="",Sync!$V954=""),"",Sync!$V954)</f>
        <v/>
      </c>
      <c r="P958">
        <f>IF(OR($G958="",Sync!$AD954=""),"",Sync!$AD954)</f>
        <v/>
      </c>
      <c r="Q958">
        <f>IF($G958="","",IF(Sync!$U954="","0000",IF(AND(ISNUMBER(Sync!$U954),Sync!$U954&gt;=0,Sync!$U954&lt;1),RIGHT("00"&amp;HOUR(Sync!$U954),2)&amp;RIGHT("00"&amp;MINUTE(Sync!$U954),2),IFERROR(RIGHT("00"&amp;VALUE(LEFT(Sync!$U954,FIND(":",Sync!$U954)-1)),2)&amp;RIGHT("00"&amp;VALUE(MID(Sync!$U954,FIND(":",Sync!$U954)+1,2)),2),"0000"))))</f>
        <v/>
      </c>
    </row>
    <row r="959">
      <c r="A959">
        <f>IF(Sync!$T955="","",Sync!$T955)</f>
        <v/>
      </c>
      <c r="B959">
        <f>IF($A959="","",IF(ISNUMBER($A959),IF(AND($A959&gt;=10000101,$A959&lt;=99991231),INT($A959/10000),""),IFERROR(VALUE(TRIM(LEFT($A959,FIND("/",$A959)-1))),"")))</f>
        <v/>
      </c>
      <c r="C959">
        <f>IF(OR($A959="",$B959=""),"",IF(ISNUMBER($A959),INT(MOD($A959,10000)/100),IFERROR(VALUE(TRIM(LEFT(MID($A959,FIND("/",$A959)+1,20),FIND("/",MID($A959,FIND("/",$A959)+1,20))-1))),"")))</f>
        <v/>
      </c>
      <c r="D959">
        <f>IF(OR($A959="",$B959=""),"",IF(ISNUMBER($A959),MOD($A959,100),IFERROR(VALUE(TRIM(MID(MID($A959,FIND("/",$A959)+1,20),FIND("/",MID($A959,FIND("/",$A959)+1,20))+1,20))),"")))</f>
        <v/>
      </c>
      <c r="E959">
        <f>IF($A959="","",IF(OR($B959="",$C959="",$D959="",$B959&lt;1300,$B959&gt;1500,$C959&lt;1,$C959&gt;12,$D959&lt;1,$D959&gt;31),"نامعتبر",RIGHT("0000"&amp;$B959,4)&amp;"/"&amp;RIGHT("00"&amp;$C959,2)&amp;"/"&amp;RIGHT("00"&amp;$D959,2)))</f>
        <v/>
      </c>
      <c r="F959">
        <f>IF(OR($E959="",$E959="نامعتبر"),"",LEFT($E959,4)&amp;"/"&amp;MID($E959,6,2))</f>
        <v/>
      </c>
      <c r="G959">
        <f>IF(OR($E959="",$E959="نامعتبر",Sync!$X955=""),"",IF(AND(LEFT(UPPER(TRIM(Sync!$X955)),2)="SL",IFERROR(VLOOKUP(Sync!$W955,OpTbl,3,0),"")="فروش"),UPPER(TRIM(Sync!$X955)),""))</f>
        <v/>
      </c>
      <c r="H959">
        <f>IF($G959="","",IF(Sync!$W955="","",Sync!$W955))</f>
        <v/>
      </c>
      <c r="I959">
        <f>IF(OR($G959="",Sync!$Y955=""),"",Sync!$Y955)</f>
        <v/>
      </c>
      <c r="J959">
        <f>IF(OR($G959="",Sync!$Z955=""),"",Sync!$Z955)</f>
        <v/>
      </c>
      <c r="K959">
        <f>IF($G959="",0,IF(Sync!$AA955="",0,Sync!$AA955))</f>
        <v/>
      </c>
      <c r="L959">
        <f>IF($G959="",0,IF(Sync!$AB955="",0,Sync!$AB955))</f>
        <v/>
      </c>
      <c r="M959">
        <f>IF($G959="","",IF($H959="مرجوعی فروش",-1,1)*($K959-$L959*IFERROR(VLOOKUP("P01",ParamTbl,3,0),1.5)))</f>
        <v/>
      </c>
      <c r="N959">
        <f>IF($G959="",0,IF($H959="مرجوعی فروش",-1,1)*IF(Sync!$AC955="",0,Sync!$AC955))</f>
        <v/>
      </c>
      <c r="O959">
        <f>IF(OR($G959="",Sync!$V955=""),"",Sync!$V955)</f>
        <v/>
      </c>
      <c r="P959">
        <f>IF(OR($G959="",Sync!$AD955=""),"",Sync!$AD955)</f>
        <v/>
      </c>
      <c r="Q959">
        <f>IF($G959="","",IF(Sync!$U955="","0000",IF(AND(ISNUMBER(Sync!$U955),Sync!$U955&gt;=0,Sync!$U955&lt;1),RIGHT("00"&amp;HOUR(Sync!$U955),2)&amp;RIGHT("00"&amp;MINUTE(Sync!$U955),2),IFERROR(RIGHT("00"&amp;VALUE(LEFT(Sync!$U955,FIND(":",Sync!$U955)-1)),2)&amp;RIGHT("00"&amp;VALUE(MID(Sync!$U955,FIND(":",Sync!$U955)+1,2)),2),"0000"))))</f>
        <v/>
      </c>
    </row>
    <row r="960">
      <c r="A960">
        <f>IF(Sync!$T956="","",Sync!$T956)</f>
        <v/>
      </c>
      <c r="B960">
        <f>IF($A960="","",IF(ISNUMBER($A960),IF(AND($A960&gt;=10000101,$A960&lt;=99991231),INT($A960/10000),""),IFERROR(VALUE(TRIM(LEFT($A960,FIND("/",$A960)-1))),"")))</f>
        <v/>
      </c>
      <c r="C960">
        <f>IF(OR($A960="",$B960=""),"",IF(ISNUMBER($A960),INT(MOD($A960,10000)/100),IFERROR(VALUE(TRIM(LEFT(MID($A960,FIND("/",$A960)+1,20),FIND("/",MID($A960,FIND("/",$A960)+1,20))-1))),"")))</f>
        <v/>
      </c>
      <c r="D960">
        <f>IF(OR($A960="",$B960=""),"",IF(ISNUMBER($A960),MOD($A960,100),IFERROR(VALUE(TRIM(MID(MID($A960,FIND("/",$A960)+1,20),FIND("/",MID($A960,FIND("/",$A960)+1,20))+1,20))),"")))</f>
        <v/>
      </c>
      <c r="E960">
        <f>IF($A960="","",IF(OR($B960="",$C960="",$D960="",$B960&lt;1300,$B960&gt;1500,$C960&lt;1,$C960&gt;12,$D960&lt;1,$D960&gt;31),"نامعتبر",RIGHT("0000"&amp;$B960,4)&amp;"/"&amp;RIGHT("00"&amp;$C960,2)&amp;"/"&amp;RIGHT("00"&amp;$D960,2)))</f>
        <v/>
      </c>
      <c r="F960">
        <f>IF(OR($E960="",$E960="نامعتبر"),"",LEFT($E960,4)&amp;"/"&amp;MID($E960,6,2))</f>
        <v/>
      </c>
      <c r="G960">
        <f>IF(OR($E960="",$E960="نامعتبر",Sync!$X956=""),"",IF(AND(LEFT(UPPER(TRIM(Sync!$X956)),2)="SL",IFERROR(VLOOKUP(Sync!$W956,OpTbl,3,0),"")="فروش"),UPPER(TRIM(Sync!$X956)),""))</f>
        <v/>
      </c>
      <c r="H960">
        <f>IF($G960="","",IF(Sync!$W956="","",Sync!$W956))</f>
        <v/>
      </c>
      <c r="I960">
        <f>IF(OR($G960="",Sync!$Y956=""),"",Sync!$Y956)</f>
        <v/>
      </c>
      <c r="J960">
        <f>IF(OR($G960="",Sync!$Z956=""),"",Sync!$Z956)</f>
        <v/>
      </c>
      <c r="K960">
        <f>IF($G960="",0,IF(Sync!$AA956="",0,Sync!$AA956))</f>
        <v/>
      </c>
      <c r="L960">
        <f>IF($G960="",0,IF(Sync!$AB956="",0,Sync!$AB956))</f>
        <v/>
      </c>
      <c r="M960">
        <f>IF($G960="","",IF($H960="مرجوعی فروش",-1,1)*($K960-$L960*IFERROR(VLOOKUP("P01",ParamTbl,3,0),1.5)))</f>
        <v/>
      </c>
      <c r="N960">
        <f>IF($G960="",0,IF($H960="مرجوعی فروش",-1,1)*IF(Sync!$AC956="",0,Sync!$AC956))</f>
        <v/>
      </c>
      <c r="O960">
        <f>IF(OR($G960="",Sync!$V956=""),"",Sync!$V956)</f>
        <v/>
      </c>
      <c r="P960">
        <f>IF(OR($G960="",Sync!$AD956=""),"",Sync!$AD956)</f>
        <v/>
      </c>
      <c r="Q960">
        <f>IF($G960="","",IF(Sync!$U956="","0000",IF(AND(ISNUMBER(Sync!$U956),Sync!$U956&gt;=0,Sync!$U956&lt;1),RIGHT("00"&amp;HOUR(Sync!$U956),2)&amp;RIGHT("00"&amp;MINUTE(Sync!$U956),2),IFERROR(RIGHT("00"&amp;VALUE(LEFT(Sync!$U956,FIND(":",Sync!$U956)-1)),2)&amp;RIGHT("00"&amp;VALUE(MID(Sync!$U956,FIND(":",Sync!$U956)+1,2)),2),"0000"))))</f>
        <v/>
      </c>
    </row>
    <row r="961">
      <c r="A961">
        <f>IF(Sync!$T957="","",Sync!$T957)</f>
        <v/>
      </c>
      <c r="B961">
        <f>IF($A961="","",IF(ISNUMBER($A961),IF(AND($A961&gt;=10000101,$A961&lt;=99991231),INT($A961/10000),""),IFERROR(VALUE(TRIM(LEFT($A961,FIND("/",$A961)-1))),"")))</f>
        <v/>
      </c>
      <c r="C961">
        <f>IF(OR($A961="",$B961=""),"",IF(ISNUMBER($A961),INT(MOD($A961,10000)/100),IFERROR(VALUE(TRIM(LEFT(MID($A961,FIND("/",$A961)+1,20),FIND("/",MID($A961,FIND("/",$A961)+1,20))-1))),"")))</f>
        <v/>
      </c>
      <c r="D961">
        <f>IF(OR($A961="",$B961=""),"",IF(ISNUMBER($A961),MOD($A961,100),IFERROR(VALUE(TRIM(MID(MID($A961,FIND("/",$A961)+1,20),FIND("/",MID($A961,FIND("/",$A961)+1,20))+1,20))),"")))</f>
        <v/>
      </c>
      <c r="E961">
        <f>IF($A961="","",IF(OR($B961="",$C961="",$D961="",$B961&lt;1300,$B961&gt;1500,$C961&lt;1,$C961&gt;12,$D961&lt;1,$D961&gt;31),"نامعتبر",RIGHT("0000"&amp;$B961,4)&amp;"/"&amp;RIGHT("00"&amp;$C961,2)&amp;"/"&amp;RIGHT("00"&amp;$D961,2)))</f>
        <v/>
      </c>
      <c r="F961">
        <f>IF(OR($E961="",$E961="نامعتبر"),"",LEFT($E961,4)&amp;"/"&amp;MID($E961,6,2))</f>
        <v/>
      </c>
      <c r="G961">
        <f>IF(OR($E961="",$E961="نامعتبر",Sync!$X957=""),"",IF(AND(LEFT(UPPER(TRIM(Sync!$X957)),2)="SL",IFERROR(VLOOKUP(Sync!$W957,OpTbl,3,0),"")="فروش"),UPPER(TRIM(Sync!$X957)),""))</f>
        <v/>
      </c>
      <c r="H961">
        <f>IF($G961="","",IF(Sync!$W957="","",Sync!$W957))</f>
        <v/>
      </c>
      <c r="I961">
        <f>IF(OR($G961="",Sync!$Y957=""),"",Sync!$Y957)</f>
        <v/>
      </c>
      <c r="J961">
        <f>IF(OR($G961="",Sync!$Z957=""),"",Sync!$Z957)</f>
        <v/>
      </c>
      <c r="K961">
        <f>IF($G961="",0,IF(Sync!$AA957="",0,Sync!$AA957))</f>
        <v/>
      </c>
      <c r="L961">
        <f>IF($G961="",0,IF(Sync!$AB957="",0,Sync!$AB957))</f>
        <v/>
      </c>
      <c r="M961">
        <f>IF($G961="","",IF($H961="مرجوعی فروش",-1,1)*($K961-$L961*IFERROR(VLOOKUP("P01",ParamTbl,3,0),1.5)))</f>
        <v/>
      </c>
      <c r="N961">
        <f>IF($G961="",0,IF($H961="مرجوعی فروش",-1,1)*IF(Sync!$AC957="",0,Sync!$AC957))</f>
        <v/>
      </c>
      <c r="O961">
        <f>IF(OR($G961="",Sync!$V957=""),"",Sync!$V957)</f>
        <v/>
      </c>
      <c r="P961">
        <f>IF(OR($G961="",Sync!$AD957=""),"",Sync!$AD957)</f>
        <v/>
      </c>
      <c r="Q961">
        <f>IF($G961="","",IF(Sync!$U957="","0000",IF(AND(ISNUMBER(Sync!$U957),Sync!$U957&gt;=0,Sync!$U957&lt;1),RIGHT("00"&amp;HOUR(Sync!$U957),2)&amp;RIGHT("00"&amp;MINUTE(Sync!$U957),2),IFERROR(RIGHT("00"&amp;VALUE(LEFT(Sync!$U957,FIND(":",Sync!$U957)-1)),2)&amp;RIGHT("00"&amp;VALUE(MID(Sync!$U957,FIND(":",Sync!$U957)+1,2)),2),"0000"))))</f>
        <v/>
      </c>
    </row>
    <row r="962">
      <c r="A962">
        <f>IF(Sync!$T958="","",Sync!$T958)</f>
        <v/>
      </c>
      <c r="B962">
        <f>IF($A962="","",IF(ISNUMBER($A962),IF(AND($A962&gt;=10000101,$A962&lt;=99991231),INT($A962/10000),""),IFERROR(VALUE(TRIM(LEFT($A962,FIND("/",$A962)-1))),"")))</f>
        <v/>
      </c>
      <c r="C962">
        <f>IF(OR($A962="",$B962=""),"",IF(ISNUMBER($A962),INT(MOD($A962,10000)/100),IFERROR(VALUE(TRIM(LEFT(MID($A962,FIND("/",$A962)+1,20),FIND("/",MID($A962,FIND("/",$A962)+1,20))-1))),"")))</f>
        <v/>
      </c>
      <c r="D962">
        <f>IF(OR($A962="",$B962=""),"",IF(ISNUMBER($A962),MOD($A962,100),IFERROR(VALUE(TRIM(MID(MID($A962,FIND("/",$A962)+1,20),FIND("/",MID($A962,FIND("/",$A962)+1,20))+1,20))),"")))</f>
        <v/>
      </c>
      <c r="E962">
        <f>IF($A962="","",IF(OR($B962="",$C962="",$D962="",$B962&lt;1300,$B962&gt;1500,$C962&lt;1,$C962&gt;12,$D962&lt;1,$D962&gt;31),"نامعتبر",RIGHT("0000"&amp;$B962,4)&amp;"/"&amp;RIGHT("00"&amp;$C962,2)&amp;"/"&amp;RIGHT("00"&amp;$D962,2)))</f>
        <v/>
      </c>
      <c r="F962">
        <f>IF(OR($E962="",$E962="نامعتبر"),"",LEFT($E962,4)&amp;"/"&amp;MID($E962,6,2))</f>
        <v/>
      </c>
      <c r="G962">
        <f>IF(OR($E962="",$E962="نامعتبر",Sync!$X958=""),"",IF(AND(LEFT(UPPER(TRIM(Sync!$X958)),2)="SL",IFERROR(VLOOKUP(Sync!$W958,OpTbl,3,0),"")="فروش"),UPPER(TRIM(Sync!$X958)),""))</f>
        <v/>
      </c>
      <c r="H962">
        <f>IF($G962="","",IF(Sync!$W958="","",Sync!$W958))</f>
        <v/>
      </c>
      <c r="I962">
        <f>IF(OR($G962="",Sync!$Y958=""),"",Sync!$Y958)</f>
        <v/>
      </c>
      <c r="J962">
        <f>IF(OR($G962="",Sync!$Z958=""),"",Sync!$Z958)</f>
        <v/>
      </c>
      <c r="K962">
        <f>IF($G962="",0,IF(Sync!$AA958="",0,Sync!$AA958))</f>
        <v/>
      </c>
      <c r="L962">
        <f>IF($G962="",0,IF(Sync!$AB958="",0,Sync!$AB958))</f>
        <v/>
      </c>
      <c r="M962">
        <f>IF($G962="","",IF($H962="مرجوعی فروش",-1,1)*($K962-$L962*IFERROR(VLOOKUP("P01",ParamTbl,3,0),1.5)))</f>
        <v/>
      </c>
      <c r="N962">
        <f>IF($G962="",0,IF($H962="مرجوعی فروش",-1,1)*IF(Sync!$AC958="",0,Sync!$AC958))</f>
        <v/>
      </c>
      <c r="O962">
        <f>IF(OR($G962="",Sync!$V958=""),"",Sync!$V958)</f>
        <v/>
      </c>
      <c r="P962">
        <f>IF(OR($G962="",Sync!$AD958=""),"",Sync!$AD958)</f>
        <v/>
      </c>
      <c r="Q962">
        <f>IF($G962="","",IF(Sync!$U958="","0000",IF(AND(ISNUMBER(Sync!$U958),Sync!$U958&gt;=0,Sync!$U958&lt;1),RIGHT("00"&amp;HOUR(Sync!$U958),2)&amp;RIGHT("00"&amp;MINUTE(Sync!$U958),2),IFERROR(RIGHT("00"&amp;VALUE(LEFT(Sync!$U958,FIND(":",Sync!$U958)-1)),2)&amp;RIGHT("00"&amp;VALUE(MID(Sync!$U958,FIND(":",Sync!$U958)+1,2)),2),"0000"))))</f>
        <v/>
      </c>
    </row>
    <row r="963">
      <c r="A963">
        <f>IF(Sync!$T959="","",Sync!$T959)</f>
        <v/>
      </c>
      <c r="B963">
        <f>IF($A963="","",IF(ISNUMBER($A963),IF(AND($A963&gt;=10000101,$A963&lt;=99991231),INT($A963/10000),""),IFERROR(VALUE(TRIM(LEFT($A963,FIND("/",$A963)-1))),"")))</f>
        <v/>
      </c>
      <c r="C963">
        <f>IF(OR($A963="",$B963=""),"",IF(ISNUMBER($A963),INT(MOD($A963,10000)/100),IFERROR(VALUE(TRIM(LEFT(MID($A963,FIND("/",$A963)+1,20),FIND("/",MID($A963,FIND("/",$A963)+1,20))-1))),"")))</f>
        <v/>
      </c>
      <c r="D963">
        <f>IF(OR($A963="",$B963=""),"",IF(ISNUMBER($A963),MOD($A963,100),IFERROR(VALUE(TRIM(MID(MID($A963,FIND("/",$A963)+1,20),FIND("/",MID($A963,FIND("/",$A963)+1,20))+1,20))),"")))</f>
        <v/>
      </c>
      <c r="E963">
        <f>IF($A963="","",IF(OR($B963="",$C963="",$D963="",$B963&lt;1300,$B963&gt;1500,$C963&lt;1,$C963&gt;12,$D963&lt;1,$D963&gt;31),"نامعتبر",RIGHT("0000"&amp;$B963,4)&amp;"/"&amp;RIGHT("00"&amp;$C963,2)&amp;"/"&amp;RIGHT("00"&amp;$D963,2)))</f>
        <v/>
      </c>
      <c r="F963">
        <f>IF(OR($E963="",$E963="نامعتبر"),"",LEFT($E963,4)&amp;"/"&amp;MID($E963,6,2))</f>
        <v/>
      </c>
      <c r="G963">
        <f>IF(OR($E963="",$E963="نامعتبر",Sync!$X959=""),"",IF(AND(LEFT(UPPER(TRIM(Sync!$X959)),2)="SL",IFERROR(VLOOKUP(Sync!$W959,OpTbl,3,0),"")="فروش"),UPPER(TRIM(Sync!$X959)),""))</f>
        <v/>
      </c>
      <c r="H963">
        <f>IF($G963="","",IF(Sync!$W959="","",Sync!$W959))</f>
        <v/>
      </c>
      <c r="I963">
        <f>IF(OR($G963="",Sync!$Y959=""),"",Sync!$Y959)</f>
        <v/>
      </c>
      <c r="J963">
        <f>IF(OR($G963="",Sync!$Z959=""),"",Sync!$Z959)</f>
        <v/>
      </c>
      <c r="K963">
        <f>IF($G963="",0,IF(Sync!$AA959="",0,Sync!$AA959))</f>
        <v/>
      </c>
      <c r="L963">
        <f>IF($G963="",0,IF(Sync!$AB959="",0,Sync!$AB959))</f>
        <v/>
      </c>
      <c r="M963">
        <f>IF($G963="","",IF($H963="مرجوعی فروش",-1,1)*($K963-$L963*IFERROR(VLOOKUP("P01",ParamTbl,3,0),1.5)))</f>
        <v/>
      </c>
      <c r="N963">
        <f>IF($G963="",0,IF($H963="مرجوعی فروش",-1,1)*IF(Sync!$AC959="",0,Sync!$AC959))</f>
        <v/>
      </c>
      <c r="O963">
        <f>IF(OR($G963="",Sync!$V959=""),"",Sync!$V959)</f>
        <v/>
      </c>
      <c r="P963">
        <f>IF(OR($G963="",Sync!$AD959=""),"",Sync!$AD959)</f>
        <v/>
      </c>
      <c r="Q963">
        <f>IF($G963="","",IF(Sync!$U959="","0000",IF(AND(ISNUMBER(Sync!$U959),Sync!$U959&gt;=0,Sync!$U959&lt;1),RIGHT("00"&amp;HOUR(Sync!$U959),2)&amp;RIGHT("00"&amp;MINUTE(Sync!$U959),2),IFERROR(RIGHT("00"&amp;VALUE(LEFT(Sync!$U959,FIND(":",Sync!$U959)-1)),2)&amp;RIGHT("00"&amp;VALUE(MID(Sync!$U959,FIND(":",Sync!$U959)+1,2)),2),"0000"))))</f>
        <v/>
      </c>
    </row>
    <row r="964">
      <c r="A964">
        <f>IF(Sync!$T960="","",Sync!$T960)</f>
        <v/>
      </c>
      <c r="B964">
        <f>IF($A964="","",IF(ISNUMBER($A964),IF(AND($A964&gt;=10000101,$A964&lt;=99991231),INT($A964/10000),""),IFERROR(VALUE(TRIM(LEFT($A964,FIND("/",$A964)-1))),"")))</f>
        <v/>
      </c>
      <c r="C964">
        <f>IF(OR($A964="",$B964=""),"",IF(ISNUMBER($A964),INT(MOD($A964,10000)/100),IFERROR(VALUE(TRIM(LEFT(MID($A964,FIND("/",$A964)+1,20),FIND("/",MID($A964,FIND("/",$A964)+1,20))-1))),"")))</f>
        <v/>
      </c>
      <c r="D964">
        <f>IF(OR($A964="",$B964=""),"",IF(ISNUMBER($A964),MOD($A964,100),IFERROR(VALUE(TRIM(MID(MID($A964,FIND("/",$A964)+1,20),FIND("/",MID($A964,FIND("/",$A964)+1,20))+1,20))),"")))</f>
        <v/>
      </c>
      <c r="E964">
        <f>IF($A964="","",IF(OR($B964="",$C964="",$D964="",$B964&lt;1300,$B964&gt;1500,$C964&lt;1,$C964&gt;12,$D964&lt;1,$D964&gt;31),"نامعتبر",RIGHT("0000"&amp;$B964,4)&amp;"/"&amp;RIGHT("00"&amp;$C964,2)&amp;"/"&amp;RIGHT("00"&amp;$D964,2)))</f>
        <v/>
      </c>
      <c r="F964">
        <f>IF(OR($E964="",$E964="نامعتبر"),"",LEFT($E964,4)&amp;"/"&amp;MID($E964,6,2))</f>
        <v/>
      </c>
      <c r="G964">
        <f>IF(OR($E964="",$E964="نامعتبر",Sync!$X960=""),"",IF(AND(LEFT(UPPER(TRIM(Sync!$X960)),2)="SL",IFERROR(VLOOKUP(Sync!$W960,OpTbl,3,0),"")="فروش"),UPPER(TRIM(Sync!$X960)),""))</f>
        <v/>
      </c>
      <c r="H964">
        <f>IF($G964="","",IF(Sync!$W960="","",Sync!$W960))</f>
        <v/>
      </c>
      <c r="I964">
        <f>IF(OR($G964="",Sync!$Y960=""),"",Sync!$Y960)</f>
        <v/>
      </c>
      <c r="J964">
        <f>IF(OR($G964="",Sync!$Z960=""),"",Sync!$Z960)</f>
        <v/>
      </c>
      <c r="K964">
        <f>IF($G964="",0,IF(Sync!$AA960="",0,Sync!$AA960))</f>
        <v/>
      </c>
      <c r="L964">
        <f>IF($G964="",0,IF(Sync!$AB960="",0,Sync!$AB960))</f>
        <v/>
      </c>
      <c r="M964">
        <f>IF($G964="","",IF($H964="مرجوعی فروش",-1,1)*($K964-$L964*IFERROR(VLOOKUP("P01",ParamTbl,3,0),1.5)))</f>
        <v/>
      </c>
      <c r="N964">
        <f>IF($G964="",0,IF($H964="مرجوعی فروش",-1,1)*IF(Sync!$AC960="",0,Sync!$AC960))</f>
        <v/>
      </c>
      <c r="O964">
        <f>IF(OR($G964="",Sync!$V960=""),"",Sync!$V960)</f>
        <v/>
      </c>
      <c r="P964">
        <f>IF(OR($G964="",Sync!$AD960=""),"",Sync!$AD960)</f>
        <v/>
      </c>
      <c r="Q964">
        <f>IF($G964="","",IF(Sync!$U960="","0000",IF(AND(ISNUMBER(Sync!$U960),Sync!$U960&gt;=0,Sync!$U960&lt;1),RIGHT("00"&amp;HOUR(Sync!$U960),2)&amp;RIGHT("00"&amp;MINUTE(Sync!$U960),2),IFERROR(RIGHT("00"&amp;VALUE(LEFT(Sync!$U960,FIND(":",Sync!$U960)-1)),2)&amp;RIGHT("00"&amp;VALUE(MID(Sync!$U960,FIND(":",Sync!$U960)+1,2)),2),"0000"))))</f>
        <v/>
      </c>
    </row>
    <row r="965">
      <c r="A965">
        <f>IF(Sync!$T961="","",Sync!$T961)</f>
        <v/>
      </c>
      <c r="B965">
        <f>IF($A965="","",IF(ISNUMBER($A965),IF(AND($A965&gt;=10000101,$A965&lt;=99991231),INT($A965/10000),""),IFERROR(VALUE(TRIM(LEFT($A965,FIND("/",$A965)-1))),"")))</f>
        <v/>
      </c>
      <c r="C965">
        <f>IF(OR($A965="",$B965=""),"",IF(ISNUMBER($A965),INT(MOD($A965,10000)/100),IFERROR(VALUE(TRIM(LEFT(MID($A965,FIND("/",$A965)+1,20),FIND("/",MID($A965,FIND("/",$A965)+1,20))-1))),"")))</f>
        <v/>
      </c>
      <c r="D965">
        <f>IF(OR($A965="",$B965=""),"",IF(ISNUMBER($A965),MOD($A965,100),IFERROR(VALUE(TRIM(MID(MID($A965,FIND("/",$A965)+1,20),FIND("/",MID($A965,FIND("/",$A965)+1,20))+1,20))),"")))</f>
        <v/>
      </c>
      <c r="E965">
        <f>IF($A965="","",IF(OR($B965="",$C965="",$D965="",$B965&lt;1300,$B965&gt;1500,$C965&lt;1,$C965&gt;12,$D965&lt;1,$D965&gt;31),"نامعتبر",RIGHT("0000"&amp;$B965,4)&amp;"/"&amp;RIGHT("00"&amp;$C965,2)&amp;"/"&amp;RIGHT("00"&amp;$D965,2)))</f>
        <v/>
      </c>
      <c r="F965">
        <f>IF(OR($E965="",$E965="نامعتبر"),"",LEFT($E965,4)&amp;"/"&amp;MID($E965,6,2))</f>
        <v/>
      </c>
      <c r="G965">
        <f>IF(OR($E965="",$E965="نامعتبر",Sync!$X961=""),"",IF(AND(LEFT(UPPER(TRIM(Sync!$X961)),2)="SL",IFERROR(VLOOKUP(Sync!$W961,OpTbl,3,0),"")="فروش"),UPPER(TRIM(Sync!$X961)),""))</f>
        <v/>
      </c>
      <c r="H965">
        <f>IF($G965="","",IF(Sync!$W961="","",Sync!$W961))</f>
        <v/>
      </c>
      <c r="I965">
        <f>IF(OR($G965="",Sync!$Y961=""),"",Sync!$Y961)</f>
        <v/>
      </c>
      <c r="J965">
        <f>IF(OR($G965="",Sync!$Z961=""),"",Sync!$Z961)</f>
        <v/>
      </c>
      <c r="K965">
        <f>IF($G965="",0,IF(Sync!$AA961="",0,Sync!$AA961))</f>
        <v/>
      </c>
      <c r="L965">
        <f>IF($G965="",0,IF(Sync!$AB961="",0,Sync!$AB961))</f>
        <v/>
      </c>
      <c r="M965">
        <f>IF($G965="","",IF($H965="مرجوعی فروش",-1,1)*($K965-$L965*IFERROR(VLOOKUP("P01",ParamTbl,3,0),1.5)))</f>
        <v/>
      </c>
      <c r="N965">
        <f>IF($G965="",0,IF($H965="مرجوعی فروش",-1,1)*IF(Sync!$AC961="",0,Sync!$AC961))</f>
        <v/>
      </c>
      <c r="O965">
        <f>IF(OR($G965="",Sync!$V961=""),"",Sync!$V961)</f>
        <v/>
      </c>
      <c r="P965">
        <f>IF(OR($G965="",Sync!$AD961=""),"",Sync!$AD961)</f>
        <v/>
      </c>
      <c r="Q965">
        <f>IF($G965="","",IF(Sync!$U961="","0000",IF(AND(ISNUMBER(Sync!$U961),Sync!$U961&gt;=0,Sync!$U961&lt;1),RIGHT("00"&amp;HOUR(Sync!$U961),2)&amp;RIGHT("00"&amp;MINUTE(Sync!$U961),2),IFERROR(RIGHT("00"&amp;VALUE(LEFT(Sync!$U961,FIND(":",Sync!$U961)-1)),2)&amp;RIGHT("00"&amp;VALUE(MID(Sync!$U961,FIND(":",Sync!$U961)+1,2)),2),"0000"))))</f>
        <v/>
      </c>
    </row>
    <row r="966">
      <c r="A966">
        <f>IF(Sync!$T962="","",Sync!$T962)</f>
        <v/>
      </c>
      <c r="B966">
        <f>IF($A966="","",IF(ISNUMBER($A966),IF(AND($A966&gt;=10000101,$A966&lt;=99991231),INT($A966/10000),""),IFERROR(VALUE(TRIM(LEFT($A966,FIND("/",$A966)-1))),"")))</f>
        <v/>
      </c>
      <c r="C966">
        <f>IF(OR($A966="",$B966=""),"",IF(ISNUMBER($A966),INT(MOD($A966,10000)/100),IFERROR(VALUE(TRIM(LEFT(MID($A966,FIND("/",$A966)+1,20),FIND("/",MID($A966,FIND("/",$A966)+1,20))-1))),"")))</f>
        <v/>
      </c>
      <c r="D966">
        <f>IF(OR($A966="",$B966=""),"",IF(ISNUMBER($A966),MOD($A966,100),IFERROR(VALUE(TRIM(MID(MID($A966,FIND("/",$A966)+1,20),FIND("/",MID($A966,FIND("/",$A966)+1,20))+1,20))),"")))</f>
        <v/>
      </c>
      <c r="E966">
        <f>IF($A966="","",IF(OR($B966="",$C966="",$D966="",$B966&lt;1300,$B966&gt;1500,$C966&lt;1,$C966&gt;12,$D966&lt;1,$D966&gt;31),"نامعتبر",RIGHT("0000"&amp;$B966,4)&amp;"/"&amp;RIGHT("00"&amp;$C966,2)&amp;"/"&amp;RIGHT("00"&amp;$D966,2)))</f>
        <v/>
      </c>
      <c r="F966">
        <f>IF(OR($E966="",$E966="نامعتبر"),"",LEFT($E966,4)&amp;"/"&amp;MID($E966,6,2))</f>
        <v/>
      </c>
      <c r="G966">
        <f>IF(OR($E966="",$E966="نامعتبر",Sync!$X962=""),"",IF(AND(LEFT(UPPER(TRIM(Sync!$X962)),2)="SL",IFERROR(VLOOKUP(Sync!$W962,OpTbl,3,0),"")="فروش"),UPPER(TRIM(Sync!$X962)),""))</f>
        <v/>
      </c>
      <c r="H966">
        <f>IF($G966="","",IF(Sync!$W962="","",Sync!$W962))</f>
        <v/>
      </c>
      <c r="I966">
        <f>IF(OR($G966="",Sync!$Y962=""),"",Sync!$Y962)</f>
        <v/>
      </c>
      <c r="J966">
        <f>IF(OR($G966="",Sync!$Z962=""),"",Sync!$Z962)</f>
        <v/>
      </c>
      <c r="K966">
        <f>IF($G966="",0,IF(Sync!$AA962="",0,Sync!$AA962))</f>
        <v/>
      </c>
      <c r="L966">
        <f>IF($G966="",0,IF(Sync!$AB962="",0,Sync!$AB962))</f>
        <v/>
      </c>
      <c r="M966">
        <f>IF($G966="","",IF($H966="مرجوعی فروش",-1,1)*($K966-$L966*IFERROR(VLOOKUP("P01",ParamTbl,3,0),1.5)))</f>
        <v/>
      </c>
      <c r="N966">
        <f>IF($G966="",0,IF($H966="مرجوعی فروش",-1,1)*IF(Sync!$AC962="",0,Sync!$AC962))</f>
        <v/>
      </c>
      <c r="O966">
        <f>IF(OR($G966="",Sync!$V962=""),"",Sync!$V962)</f>
        <v/>
      </c>
      <c r="P966">
        <f>IF(OR($G966="",Sync!$AD962=""),"",Sync!$AD962)</f>
        <v/>
      </c>
      <c r="Q966">
        <f>IF($G966="","",IF(Sync!$U962="","0000",IF(AND(ISNUMBER(Sync!$U962),Sync!$U962&gt;=0,Sync!$U962&lt;1),RIGHT("00"&amp;HOUR(Sync!$U962),2)&amp;RIGHT("00"&amp;MINUTE(Sync!$U962),2),IFERROR(RIGHT("00"&amp;VALUE(LEFT(Sync!$U962,FIND(":",Sync!$U962)-1)),2)&amp;RIGHT("00"&amp;VALUE(MID(Sync!$U962,FIND(":",Sync!$U962)+1,2)),2),"0000"))))</f>
        <v/>
      </c>
    </row>
    <row r="967">
      <c r="A967">
        <f>IF(Sync!$T963="","",Sync!$T963)</f>
        <v/>
      </c>
      <c r="B967">
        <f>IF($A967="","",IF(ISNUMBER($A967),IF(AND($A967&gt;=10000101,$A967&lt;=99991231),INT($A967/10000),""),IFERROR(VALUE(TRIM(LEFT($A967,FIND("/",$A967)-1))),"")))</f>
        <v/>
      </c>
      <c r="C967">
        <f>IF(OR($A967="",$B967=""),"",IF(ISNUMBER($A967),INT(MOD($A967,10000)/100),IFERROR(VALUE(TRIM(LEFT(MID($A967,FIND("/",$A967)+1,20),FIND("/",MID($A967,FIND("/",$A967)+1,20))-1))),"")))</f>
        <v/>
      </c>
      <c r="D967">
        <f>IF(OR($A967="",$B967=""),"",IF(ISNUMBER($A967),MOD($A967,100),IFERROR(VALUE(TRIM(MID(MID($A967,FIND("/",$A967)+1,20),FIND("/",MID($A967,FIND("/",$A967)+1,20))+1,20))),"")))</f>
        <v/>
      </c>
      <c r="E967">
        <f>IF($A967="","",IF(OR($B967="",$C967="",$D967="",$B967&lt;1300,$B967&gt;1500,$C967&lt;1,$C967&gt;12,$D967&lt;1,$D967&gt;31),"نامعتبر",RIGHT("0000"&amp;$B967,4)&amp;"/"&amp;RIGHT("00"&amp;$C967,2)&amp;"/"&amp;RIGHT("00"&amp;$D967,2)))</f>
        <v/>
      </c>
      <c r="F967">
        <f>IF(OR($E967="",$E967="نامعتبر"),"",LEFT($E967,4)&amp;"/"&amp;MID($E967,6,2))</f>
        <v/>
      </c>
      <c r="G967">
        <f>IF(OR($E967="",$E967="نامعتبر",Sync!$X963=""),"",IF(AND(LEFT(UPPER(TRIM(Sync!$X963)),2)="SL",IFERROR(VLOOKUP(Sync!$W963,OpTbl,3,0),"")="فروش"),UPPER(TRIM(Sync!$X963)),""))</f>
        <v/>
      </c>
      <c r="H967">
        <f>IF($G967="","",IF(Sync!$W963="","",Sync!$W963))</f>
        <v/>
      </c>
      <c r="I967">
        <f>IF(OR($G967="",Sync!$Y963=""),"",Sync!$Y963)</f>
        <v/>
      </c>
      <c r="J967">
        <f>IF(OR($G967="",Sync!$Z963=""),"",Sync!$Z963)</f>
        <v/>
      </c>
      <c r="K967">
        <f>IF($G967="",0,IF(Sync!$AA963="",0,Sync!$AA963))</f>
        <v/>
      </c>
      <c r="L967">
        <f>IF($G967="",0,IF(Sync!$AB963="",0,Sync!$AB963))</f>
        <v/>
      </c>
      <c r="M967">
        <f>IF($G967="","",IF($H967="مرجوعی فروش",-1,1)*($K967-$L967*IFERROR(VLOOKUP("P01",ParamTbl,3,0),1.5)))</f>
        <v/>
      </c>
      <c r="N967">
        <f>IF($G967="",0,IF($H967="مرجوعی فروش",-1,1)*IF(Sync!$AC963="",0,Sync!$AC963))</f>
        <v/>
      </c>
      <c r="O967">
        <f>IF(OR($G967="",Sync!$V963=""),"",Sync!$V963)</f>
        <v/>
      </c>
      <c r="P967">
        <f>IF(OR($G967="",Sync!$AD963=""),"",Sync!$AD963)</f>
        <v/>
      </c>
      <c r="Q967">
        <f>IF($G967="","",IF(Sync!$U963="","0000",IF(AND(ISNUMBER(Sync!$U963),Sync!$U963&gt;=0,Sync!$U963&lt;1),RIGHT("00"&amp;HOUR(Sync!$U963),2)&amp;RIGHT("00"&amp;MINUTE(Sync!$U963),2),IFERROR(RIGHT("00"&amp;VALUE(LEFT(Sync!$U963,FIND(":",Sync!$U963)-1)),2)&amp;RIGHT("00"&amp;VALUE(MID(Sync!$U963,FIND(":",Sync!$U963)+1,2)),2),"0000"))))</f>
        <v/>
      </c>
    </row>
    <row r="968">
      <c r="A968">
        <f>IF(Sync!$T964="","",Sync!$T964)</f>
        <v/>
      </c>
      <c r="B968">
        <f>IF($A968="","",IF(ISNUMBER($A968),IF(AND($A968&gt;=10000101,$A968&lt;=99991231),INT($A968/10000),""),IFERROR(VALUE(TRIM(LEFT($A968,FIND("/",$A968)-1))),"")))</f>
        <v/>
      </c>
      <c r="C968">
        <f>IF(OR($A968="",$B968=""),"",IF(ISNUMBER($A968),INT(MOD($A968,10000)/100),IFERROR(VALUE(TRIM(LEFT(MID($A968,FIND("/",$A968)+1,20),FIND("/",MID($A968,FIND("/",$A968)+1,20))-1))),"")))</f>
        <v/>
      </c>
      <c r="D968">
        <f>IF(OR($A968="",$B968=""),"",IF(ISNUMBER($A968),MOD($A968,100),IFERROR(VALUE(TRIM(MID(MID($A968,FIND("/",$A968)+1,20),FIND("/",MID($A968,FIND("/",$A968)+1,20))+1,20))),"")))</f>
        <v/>
      </c>
      <c r="E968">
        <f>IF($A968="","",IF(OR($B968="",$C968="",$D968="",$B968&lt;1300,$B968&gt;1500,$C968&lt;1,$C968&gt;12,$D968&lt;1,$D968&gt;31),"نامعتبر",RIGHT("0000"&amp;$B968,4)&amp;"/"&amp;RIGHT("00"&amp;$C968,2)&amp;"/"&amp;RIGHT("00"&amp;$D968,2)))</f>
        <v/>
      </c>
      <c r="F968">
        <f>IF(OR($E968="",$E968="نامعتبر"),"",LEFT($E968,4)&amp;"/"&amp;MID($E968,6,2))</f>
        <v/>
      </c>
      <c r="G968">
        <f>IF(OR($E968="",$E968="نامعتبر",Sync!$X964=""),"",IF(AND(LEFT(UPPER(TRIM(Sync!$X964)),2)="SL",IFERROR(VLOOKUP(Sync!$W964,OpTbl,3,0),"")="فروش"),UPPER(TRIM(Sync!$X964)),""))</f>
        <v/>
      </c>
      <c r="H968">
        <f>IF($G968="","",IF(Sync!$W964="","",Sync!$W964))</f>
        <v/>
      </c>
      <c r="I968">
        <f>IF(OR($G968="",Sync!$Y964=""),"",Sync!$Y964)</f>
        <v/>
      </c>
      <c r="J968">
        <f>IF(OR($G968="",Sync!$Z964=""),"",Sync!$Z964)</f>
        <v/>
      </c>
      <c r="K968">
        <f>IF($G968="",0,IF(Sync!$AA964="",0,Sync!$AA964))</f>
        <v/>
      </c>
      <c r="L968">
        <f>IF($G968="",0,IF(Sync!$AB964="",0,Sync!$AB964))</f>
        <v/>
      </c>
      <c r="M968">
        <f>IF($G968="","",IF($H968="مرجوعی فروش",-1,1)*($K968-$L968*IFERROR(VLOOKUP("P01",ParamTbl,3,0),1.5)))</f>
        <v/>
      </c>
      <c r="N968">
        <f>IF($G968="",0,IF($H968="مرجوعی فروش",-1,1)*IF(Sync!$AC964="",0,Sync!$AC964))</f>
        <v/>
      </c>
      <c r="O968">
        <f>IF(OR($G968="",Sync!$V964=""),"",Sync!$V964)</f>
        <v/>
      </c>
      <c r="P968">
        <f>IF(OR($G968="",Sync!$AD964=""),"",Sync!$AD964)</f>
        <v/>
      </c>
      <c r="Q968">
        <f>IF($G968="","",IF(Sync!$U964="","0000",IF(AND(ISNUMBER(Sync!$U964),Sync!$U964&gt;=0,Sync!$U964&lt;1),RIGHT("00"&amp;HOUR(Sync!$U964),2)&amp;RIGHT("00"&amp;MINUTE(Sync!$U964),2),IFERROR(RIGHT("00"&amp;VALUE(LEFT(Sync!$U964,FIND(":",Sync!$U964)-1)),2)&amp;RIGHT("00"&amp;VALUE(MID(Sync!$U964,FIND(":",Sync!$U964)+1,2)),2),"0000"))))</f>
        <v/>
      </c>
    </row>
    <row r="969">
      <c r="A969">
        <f>IF(Sync!$T965="","",Sync!$T965)</f>
        <v/>
      </c>
      <c r="B969">
        <f>IF($A969="","",IF(ISNUMBER($A969),IF(AND($A969&gt;=10000101,$A969&lt;=99991231),INT($A969/10000),""),IFERROR(VALUE(TRIM(LEFT($A969,FIND("/",$A969)-1))),"")))</f>
        <v/>
      </c>
      <c r="C969">
        <f>IF(OR($A969="",$B969=""),"",IF(ISNUMBER($A969),INT(MOD($A969,10000)/100),IFERROR(VALUE(TRIM(LEFT(MID($A969,FIND("/",$A969)+1,20),FIND("/",MID($A969,FIND("/",$A969)+1,20))-1))),"")))</f>
        <v/>
      </c>
      <c r="D969">
        <f>IF(OR($A969="",$B969=""),"",IF(ISNUMBER($A969),MOD($A969,100),IFERROR(VALUE(TRIM(MID(MID($A969,FIND("/",$A969)+1,20),FIND("/",MID($A969,FIND("/",$A969)+1,20))+1,20))),"")))</f>
        <v/>
      </c>
      <c r="E969">
        <f>IF($A969="","",IF(OR($B969="",$C969="",$D969="",$B969&lt;1300,$B969&gt;1500,$C969&lt;1,$C969&gt;12,$D969&lt;1,$D969&gt;31),"نامعتبر",RIGHT("0000"&amp;$B969,4)&amp;"/"&amp;RIGHT("00"&amp;$C969,2)&amp;"/"&amp;RIGHT("00"&amp;$D969,2)))</f>
        <v/>
      </c>
      <c r="F969">
        <f>IF(OR($E969="",$E969="نامعتبر"),"",LEFT($E969,4)&amp;"/"&amp;MID($E969,6,2))</f>
        <v/>
      </c>
      <c r="G969">
        <f>IF(OR($E969="",$E969="نامعتبر",Sync!$X965=""),"",IF(AND(LEFT(UPPER(TRIM(Sync!$X965)),2)="SL",IFERROR(VLOOKUP(Sync!$W965,OpTbl,3,0),"")="فروش"),UPPER(TRIM(Sync!$X965)),""))</f>
        <v/>
      </c>
      <c r="H969">
        <f>IF($G969="","",IF(Sync!$W965="","",Sync!$W965))</f>
        <v/>
      </c>
      <c r="I969">
        <f>IF(OR($G969="",Sync!$Y965=""),"",Sync!$Y965)</f>
        <v/>
      </c>
      <c r="J969">
        <f>IF(OR($G969="",Sync!$Z965=""),"",Sync!$Z965)</f>
        <v/>
      </c>
      <c r="K969">
        <f>IF($G969="",0,IF(Sync!$AA965="",0,Sync!$AA965))</f>
        <v/>
      </c>
      <c r="L969">
        <f>IF($G969="",0,IF(Sync!$AB965="",0,Sync!$AB965))</f>
        <v/>
      </c>
      <c r="M969">
        <f>IF($G969="","",IF($H969="مرجوعی فروش",-1,1)*($K969-$L969*IFERROR(VLOOKUP("P01",ParamTbl,3,0),1.5)))</f>
        <v/>
      </c>
      <c r="N969">
        <f>IF($G969="",0,IF($H969="مرجوعی فروش",-1,1)*IF(Sync!$AC965="",0,Sync!$AC965))</f>
        <v/>
      </c>
      <c r="O969">
        <f>IF(OR($G969="",Sync!$V965=""),"",Sync!$V965)</f>
        <v/>
      </c>
      <c r="P969">
        <f>IF(OR($G969="",Sync!$AD965=""),"",Sync!$AD965)</f>
        <v/>
      </c>
      <c r="Q969">
        <f>IF($G969="","",IF(Sync!$U965="","0000",IF(AND(ISNUMBER(Sync!$U965),Sync!$U965&gt;=0,Sync!$U965&lt;1),RIGHT("00"&amp;HOUR(Sync!$U965),2)&amp;RIGHT("00"&amp;MINUTE(Sync!$U965),2),IFERROR(RIGHT("00"&amp;VALUE(LEFT(Sync!$U965,FIND(":",Sync!$U965)-1)),2)&amp;RIGHT("00"&amp;VALUE(MID(Sync!$U965,FIND(":",Sync!$U965)+1,2)),2),"0000"))))</f>
        <v/>
      </c>
    </row>
    <row r="970">
      <c r="A970">
        <f>IF(Sync!$T966="","",Sync!$T966)</f>
        <v/>
      </c>
      <c r="B970">
        <f>IF($A970="","",IF(ISNUMBER($A970),IF(AND($A970&gt;=10000101,$A970&lt;=99991231),INT($A970/10000),""),IFERROR(VALUE(TRIM(LEFT($A970,FIND("/",$A970)-1))),"")))</f>
        <v/>
      </c>
      <c r="C970">
        <f>IF(OR($A970="",$B970=""),"",IF(ISNUMBER($A970),INT(MOD($A970,10000)/100),IFERROR(VALUE(TRIM(LEFT(MID($A970,FIND("/",$A970)+1,20),FIND("/",MID($A970,FIND("/",$A970)+1,20))-1))),"")))</f>
        <v/>
      </c>
      <c r="D970">
        <f>IF(OR($A970="",$B970=""),"",IF(ISNUMBER($A970),MOD($A970,100),IFERROR(VALUE(TRIM(MID(MID($A970,FIND("/",$A970)+1,20),FIND("/",MID($A970,FIND("/",$A970)+1,20))+1,20))),"")))</f>
        <v/>
      </c>
      <c r="E970">
        <f>IF($A970="","",IF(OR($B970="",$C970="",$D970="",$B970&lt;1300,$B970&gt;1500,$C970&lt;1,$C970&gt;12,$D970&lt;1,$D970&gt;31),"نامعتبر",RIGHT("0000"&amp;$B970,4)&amp;"/"&amp;RIGHT("00"&amp;$C970,2)&amp;"/"&amp;RIGHT("00"&amp;$D970,2)))</f>
        <v/>
      </c>
      <c r="F970">
        <f>IF(OR($E970="",$E970="نامعتبر"),"",LEFT($E970,4)&amp;"/"&amp;MID($E970,6,2))</f>
        <v/>
      </c>
      <c r="G970">
        <f>IF(OR($E970="",$E970="نامعتبر",Sync!$X966=""),"",IF(AND(LEFT(UPPER(TRIM(Sync!$X966)),2)="SL",IFERROR(VLOOKUP(Sync!$W966,OpTbl,3,0),"")="فروش"),UPPER(TRIM(Sync!$X966)),""))</f>
        <v/>
      </c>
      <c r="H970">
        <f>IF($G970="","",IF(Sync!$W966="","",Sync!$W966))</f>
        <v/>
      </c>
      <c r="I970">
        <f>IF(OR($G970="",Sync!$Y966=""),"",Sync!$Y966)</f>
        <v/>
      </c>
      <c r="J970">
        <f>IF(OR($G970="",Sync!$Z966=""),"",Sync!$Z966)</f>
        <v/>
      </c>
      <c r="K970">
        <f>IF($G970="",0,IF(Sync!$AA966="",0,Sync!$AA966))</f>
        <v/>
      </c>
      <c r="L970">
        <f>IF($G970="",0,IF(Sync!$AB966="",0,Sync!$AB966))</f>
        <v/>
      </c>
      <c r="M970">
        <f>IF($G970="","",IF($H970="مرجوعی فروش",-1,1)*($K970-$L970*IFERROR(VLOOKUP("P01",ParamTbl,3,0),1.5)))</f>
        <v/>
      </c>
      <c r="N970">
        <f>IF($G970="",0,IF($H970="مرجوعی فروش",-1,1)*IF(Sync!$AC966="",0,Sync!$AC966))</f>
        <v/>
      </c>
      <c r="O970">
        <f>IF(OR($G970="",Sync!$V966=""),"",Sync!$V966)</f>
        <v/>
      </c>
      <c r="P970">
        <f>IF(OR($G970="",Sync!$AD966=""),"",Sync!$AD966)</f>
        <v/>
      </c>
      <c r="Q970">
        <f>IF($G970="","",IF(Sync!$U966="","0000",IF(AND(ISNUMBER(Sync!$U966),Sync!$U966&gt;=0,Sync!$U966&lt;1),RIGHT("00"&amp;HOUR(Sync!$U966),2)&amp;RIGHT("00"&amp;MINUTE(Sync!$U966),2),IFERROR(RIGHT("00"&amp;VALUE(LEFT(Sync!$U966,FIND(":",Sync!$U966)-1)),2)&amp;RIGHT("00"&amp;VALUE(MID(Sync!$U966,FIND(":",Sync!$U966)+1,2)),2),"0000"))))</f>
        <v/>
      </c>
    </row>
    <row r="971">
      <c r="A971">
        <f>IF(Sync!$T967="","",Sync!$T967)</f>
        <v/>
      </c>
      <c r="B971">
        <f>IF($A971="","",IF(ISNUMBER($A971),IF(AND($A971&gt;=10000101,$A971&lt;=99991231),INT($A971/10000),""),IFERROR(VALUE(TRIM(LEFT($A971,FIND("/",$A971)-1))),"")))</f>
        <v/>
      </c>
      <c r="C971">
        <f>IF(OR($A971="",$B971=""),"",IF(ISNUMBER($A971),INT(MOD($A971,10000)/100),IFERROR(VALUE(TRIM(LEFT(MID($A971,FIND("/",$A971)+1,20),FIND("/",MID($A971,FIND("/",$A971)+1,20))-1))),"")))</f>
        <v/>
      </c>
      <c r="D971">
        <f>IF(OR($A971="",$B971=""),"",IF(ISNUMBER($A971),MOD($A971,100),IFERROR(VALUE(TRIM(MID(MID($A971,FIND("/",$A971)+1,20),FIND("/",MID($A971,FIND("/",$A971)+1,20))+1,20))),"")))</f>
        <v/>
      </c>
      <c r="E971">
        <f>IF($A971="","",IF(OR($B971="",$C971="",$D971="",$B971&lt;1300,$B971&gt;1500,$C971&lt;1,$C971&gt;12,$D971&lt;1,$D971&gt;31),"نامعتبر",RIGHT("0000"&amp;$B971,4)&amp;"/"&amp;RIGHT("00"&amp;$C971,2)&amp;"/"&amp;RIGHT("00"&amp;$D971,2)))</f>
        <v/>
      </c>
      <c r="F971">
        <f>IF(OR($E971="",$E971="نامعتبر"),"",LEFT($E971,4)&amp;"/"&amp;MID($E971,6,2))</f>
        <v/>
      </c>
      <c r="G971">
        <f>IF(OR($E971="",$E971="نامعتبر",Sync!$X967=""),"",IF(AND(LEFT(UPPER(TRIM(Sync!$X967)),2)="SL",IFERROR(VLOOKUP(Sync!$W967,OpTbl,3,0),"")="فروش"),UPPER(TRIM(Sync!$X967)),""))</f>
        <v/>
      </c>
      <c r="H971">
        <f>IF($G971="","",IF(Sync!$W967="","",Sync!$W967))</f>
        <v/>
      </c>
      <c r="I971">
        <f>IF(OR($G971="",Sync!$Y967=""),"",Sync!$Y967)</f>
        <v/>
      </c>
      <c r="J971">
        <f>IF(OR($G971="",Sync!$Z967=""),"",Sync!$Z967)</f>
        <v/>
      </c>
      <c r="K971">
        <f>IF($G971="",0,IF(Sync!$AA967="",0,Sync!$AA967))</f>
        <v/>
      </c>
      <c r="L971">
        <f>IF($G971="",0,IF(Sync!$AB967="",0,Sync!$AB967))</f>
        <v/>
      </c>
      <c r="M971">
        <f>IF($G971="","",IF($H971="مرجوعی فروش",-1,1)*($K971-$L971*IFERROR(VLOOKUP("P01",ParamTbl,3,0),1.5)))</f>
        <v/>
      </c>
      <c r="N971">
        <f>IF($G971="",0,IF($H971="مرجوعی فروش",-1,1)*IF(Sync!$AC967="",0,Sync!$AC967))</f>
        <v/>
      </c>
      <c r="O971">
        <f>IF(OR($G971="",Sync!$V967=""),"",Sync!$V967)</f>
        <v/>
      </c>
      <c r="P971">
        <f>IF(OR($G971="",Sync!$AD967=""),"",Sync!$AD967)</f>
        <v/>
      </c>
      <c r="Q971">
        <f>IF($G971="","",IF(Sync!$U967="","0000",IF(AND(ISNUMBER(Sync!$U967),Sync!$U967&gt;=0,Sync!$U967&lt;1),RIGHT("00"&amp;HOUR(Sync!$U967),2)&amp;RIGHT("00"&amp;MINUTE(Sync!$U967),2),IFERROR(RIGHT("00"&amp;VALUE(LEFT(Sync!$U967,FIND(":",Sync!$U967)-1)),2)&amp;RIGHT("00"&amp;VALUE(MID(Sync!$U967,FIND(":",Sync!$U967)+1,2)),2),"0000"))))</f>
        <v/>
      </c>
    </row>
    <row r="972">
      <c r="A972">
        <f>IF(Sync!$T968="","",Sync!$T968)</f>
        <v/>
      </c>
      <c r="B972">
        <f>IF($A972="","",IF(ISNUMBER($A972),IF(AND($A972&gt;=10000101,$A972&lt;=99991231),INT($A972/10000),""),IFERROR(VALUE(TRIM(LEFT($A972,FIND("/",$A972)-1))),"")))</f>
        <v/>
      </c>
      <c r="C972">
        <f>IF(OR($A972="",$B972=""),"",IF(ISNUMBER($A972),INT(MOD($A972,10000)/100),IFERROR(VALUE(TRIM(LEFT(MID($A972,FIND("/",$A972)+1,20),FIND("/",MID($A972,FIND("/",$A972)+1,20))-1))),"")))</f>
        <v/>
      </c>
      <c r="D972">
        <f>IF(OR($A972="",$B972=""),"",IF(ISNUMBER($A972),MOD($A972,100),IFERROR(VALUE(TRIM(MID(MID($A972,FIND("/",$A972)+1,20),FIND("/",MID($A972,FIND("/",$A972)+1,20))+1,20))),"")))</f>
        <v/>
      </c>
      <c r="E972">
        <f>IF($A972="","",IF(OR($B972="",$C972="",$D972="",$B972&lt;1300,$B972&gt;1500,$C972&lt;1,$C972&gt;12,$D972&lt;1,$D972&gt;31),"نامعتبر",RIGHT("0000"&amp;$B972,4)&amp;"/"&amp;RIGHT("00"&amp;$C972,2)&amp;"/"&amp;RIGHT("00"&amp;$D972,2)))</f>
        <v/>
      </c>
      <c r="F972">
        <f>IF(OR($E972="",$E972="نامعتبر"),"",LEFT($E972,4)&amp;"/"&amp;MID($E972,6,2))</f>
        <v/>
      </c>
      <c r="G972">
        <f>IF(OR($E972="",$E972="نامعتبر",Sync!$X968=""),"",IF(AND(LEFT(UPPER(TRIM(Sync!$X968)),2)="SL",IFERROR(VLOOKUP(Sync!$W968,OpTbl,3,0),"")="فروش"),UPPER(TRIM(Sync!$X968)),""))</f>
        <v/>
      </c>
      <c r="H972">
        <f>IF($G972="","",IF(Sync!$W968="","",Sync!$W968))</f>
        <v/>
      </c>
      <c r="I972">
        <f>IF(OR($G972="",Sync!$Y968=""),"",Sync!$Y968)</f>
        <v/>
      </c>
      <c r="J972">
        <f>IF(OR($G972="",Sync!$Z968=""),"",Sync!$Z968)</f>
        <v/>
      </c>
      <c r="K972">
        <f>IF($G972="",0,IF(Sync!$AA968="",0,Sync!$AA968))</f>
        <v/>
      </c>
      <c r="L972">
        <f>IF($G972="",0,IF(Sync!$AB968="",0,Sync!$AB968))</f>
        <v/>
      </c>
      <c r="M972">
        <f>IF($G972="","",IF($H972="مرجوعی فروش",-1,1)*($K972-$L972*IFERROR(VLOOKUP("P01",ParamTbl,3,0),1.5)))</f>
        <v/>
      </c>
      <c r="N972">
        <f>IF($G972="",0,IF($H972="مرجوعی فروش",-1,1)*IF(Sync!$AC968="",0,Sync!$AC968))</f>
        <v/>
      </c>
      <c r="O972">
        <f>IF(OR($G972="",Sync!$V968=""),"",Sync!$V968)</f>
        <v/>
      </c>
      <c r="P972">
        <f>IF(OR($G972="",Sync!$AD968=""),"",Sync!$AD968)</f>
        <v/>
      </c>
      <c r="Q972">
        <f>IF($G972="","",IF(Sync!$U968="","0000",IF(AND(ISNUMBER(Sync!$U968),Sync!$U968&gt;=0,Sync!$U968&lt;1),RIGHT("00"&amp;HOUR(Sync!$U968),2)&amp;RIGHT("00"&amp;MINUTE(Sync!$U968),2),IFERROR(RIGHT("00"&amp;VALUE(LEFT(Sync!$U968,FIND(":",Sync!$U968)-1)),2)&amp;RIGHT("00"&amp;VALUE(MID(Sync!$U968,FIND(":",Sync!$U968)+1,2)),2),"0000"))))</f>
        <v/>
      </c>
    </row>
    <row r="973">
      <c r="A973">
        <f>IF(Sync!$T969="","",Sync!$T969)</f>
        <v/>
      </c>
      <c r="B973">
        <f>IF($A973="","",IF(ISNUMBER($A973),IF(AND($A973&gt;=10000101,$A973&lt;=99991231),INT($A973/10000),""),IFERROR(VALUE(TRIM(LEFT($A973,FIND("/",$A973)-1))),"")))</f>
        <v/>
      </c>
      <c r="C973">
        <f>IF(OR($A973="",$B973=""),"",IF(ISNUMBER($A973),INT(MOD($A973,10000)/100),IFERROR(VALUE(TRIM(LEFT(MID($A973,FIND("/",$A973)+1,20),FIND("/",MID($A973,FIND("/",$A973)+1,20))-1))),"")))</f>
        <v/>
      </c>
      <c r="D973">
        <f>IF(OR($A973="",$B973=""),"",IF(ISNUMBER($A973),MOD($A973,100),IFERROR(VALUE(TRIM(MID(MID($A973,FIND("/",$A973)+1,20),FIND("/",MID($A973,FIND("/",$A973)+1,20))+1,20))),"")))</f>
        <v/>
      </c>
      <c r="E973">
        <f>IF($A973="","",IF(OR($B973="",$C973="",$D973="",$B973&lt;1300,$B973&gt;1500,$C973&lt;1,$C973&gt;12,$D973&lt;1,$D973&gt;31),"نامعتبر",RIGHT("0000"&amp;$B973,4)&amp;"/"&amp;RIGHT("00"&amp;$C973,2)&amp;"/"&amp;RIGHT("00"&amp;$D973,2)))</f>
        <v/>
      </c>
      <c r="F973">
        <f>IF(OR($E973="",$E973="نامعتبر"),"",LEFT($E973,4)&amp;"/"&amp;MID($E973,6,2))</f>
        <v/>
      </c>
      <c r="G973">
        <f>IF(OR($E973="",$E973="نامعتبر",Sync!$X969=""),"",IF(AND(LEFT(UPPER(TRIM(Sync!$X969)),2)="SL",IFERROR(VLOOKUP(Sync!$W969,OpTbl,3,0),"")="فروش"),UPPER(TRIM(Sync!$X969)),""))</f>
        <v/>
      </c>
      <c r="H973">
        <f>IF($G973="","",IF(Sync!$W969="","",Sync!$W969))</f>
        <v/>
      </c>
      <c r="I973">
        <f>IF(OR($G973="",Sync!$Y969=""),"",Sync!$Y969)</f>
        <v/>
      </c>
      <c r="J973">
        <f>IF(OR($G973="",Sync!$Z969=""),"",Sync!$Z969)</f>
        <v/>
      </c>
      <c r="K973">
        <f>IF($G973="",0,IF(Sync!$AA969="",0,Sync!$AA969))</f>
        <v/>
      </c>
      <c r="L973">
        <f>IF($G973="",0,IF(Sync!$AB969="",0,Sync!$AB969))</f>
        <v/>
      </c>
      <c r="M973">
        <f>IF($G973="","",IF($H973="مرجوعی فروش",-1,1)*($K973-$L973*IFERROR(VLOOKUP("P01",ParamTbl,3,0),1.5)))</f>
        <v/>
      </c>
      <c r="N973">
        <f>IF($G973="",0,IF($H973="مرجوعی فروش",-1,1)*IF(Sync!$AC969="",0,Sync!$AC969))</f>
        <v/>
      </c>
      <c r="O973">
        <f>IF(OR($G973="",Sync!$V969=""),"",Sync!$V969)</f>
        <v/>
      </c>
      <c r="P973">
        <f>IF(OR($G973="",Sync!$AD969=""),"",Sync!$AD969)</f>
        <v/>
      </c>
      <c r="Q973">
        <f>IF($G973="","",IF(Sync!$U969="","0000",IF(AND(ISNUMBER(Sync!$U969),Sync!$U969&gt;=0,Sync!$U969&lt;1),RIGHT("00"&amp;HOUR(Sync!$U969),2)&amp;RIGHT("00"&amp;MINUTE(Sync!$U969),2),IFERROR(RIGHT("00"&amp;VALUE(LEFT(Sync!$U969,FIND(":",Sync!$U969)-1)),2)&amp;RIGHT("00"&amp;VALUE(MID(Sync!$U969,FIND(":",Sync!$U969)+1,2)),2),"0000"))))</f>
        <v/>
      </c>
    </row>
    <row r="974">
      <c r="A974">
        <f>IF(Sync!$T970="","",Sync!$T970)</f>
        <v/>
      </c>
      <c r="B974">
        <f>IF($A974="","",IF(ISNUMBER($A974),IF(AND($A974&gt;=10000101,$A974&lt;=99991231),INT($A974/10000),""),IFERROR(VALUE(TRIM(LEFT($A974,FIND("/",$A974)-1))),"")))</f>
        <v/>
      </c>
      <c r="C974">
        <f>IF(OR($A974="",$B974=""),"",IF(ISNUMBER($A974),INT(MOD($A974,10000)/100),IFERROR(VALUE(TRIM(LEFT(MID($A974,FIND("/",$A974)+1,20),FIND("/",MID($A974,FIND("/",$A974)+1,20))-1))),"")))</f>
        <v/>
      </c>
      <c r="D974">
        <f>IF(OR($A974="",$B974=""),"",IF(ISNUMBER($A974),MOD($A974,100),IFERROR(VALUE(TRIM(MID(MID($A974,FIND("/",$A974)+1,20),FIND("/",MID($A974,FIND("/",$A974)+1,20))+1,20))),"")))</f>
        <v/>
      </c>
      <c r="E974">
        <f>IF($A974="","",IF(OR($B974="",$C974="",$D974="",$B974&lt;1300,$B974&gt;1500,$C974&lt;1,$C974&gt;12,$D974&lt;1,$D974&gt;31),"نامعتبر",RIGHT("0000"&amp;$B974,4)&amp;"/"&amp;RIGHT("00"&amp;$C974,2)&amp;"/"&amp;RIGHT("00"&amp;$D974,2)))</f>
        <v/>
      </c>
      <c r="F974">
        <f>IF(OR($E974="",$E974="نامعتبر"),"",LEFT($E974,4)&amp;"/"&amp;MID($E974,6,2))</f>
        <v/>
      </c>
      <c r="G974">
        <f>IF(OR($E974="",$E974="نامعتبر",Sync!$X970=""),"",IF(AND(LEFT(UPPER(TRIM(Sync!$X970)),2)="SL",IFERROR(VLOOKUP(Sync!$W970,OpTbl,3,0),"")="فروش"),UPPER(TRIM(Sync!$X970)),""))</f>
        <v/>
      </c>
      <c r="H974">
        <f>IF($G974="","",IF(Sync!$W970="","",Sync!$W970))</f>
        <v/>
      </c>
      <c r="I974">
        <f>IF(OR($G974="",Sync!$Y970=""),"",Sync!$Y970)</f>
        <v/>
      </c>
      <c r="J974">
        <f>IF(OR($G974="",Sync!$Z970=""),"",Sync!$Z970)</f>
        <v/>
      </c>
      <c r="K974">
        <f>IF($G974="",0,IF(Sync!$AA970="",0,Sync!$AA970))</f>
        <v/>
      </c>
      <c r="L974">
        <f>IF($G974="",0,IF(Sync!$AB970="",0,Sync!$AB970))</f>
        <v/>
      </c>
      <c r="M974">
        <f>IF($G974="","",IF($H974="مرجوعی فروش",-1,1)*($K974-$L974*IFERROR(VLOOKUP("P01",ParamTbl,3,0),1.5)))</f>
        <v/>
      </c>
      <c r="N974">
        <f>IF($G974="",0,IF($H974="مرجوعی فروش",-1,1)*IF(Sync!$AC970="",0,Sync!$AC970))</f>
        <v/>
      </c>
      <c r="O974">
        <f>IF(OR($G974="",Sync!$V970=""),"",Sync!$V970)</f>
        <v/>
      </c>
      <c r="P974">
        <f>IF(OR($G974="",Sync!$AD970=""),"",Sync!$AD970)</f>
        <v/>
      </c>
      <c r="Q974">
        <f>IF($G974="","",IF(Sync!$U970="","0000",IF(AND(ISNUMBER(Sync!$U970),Sync!$U970&gt;=0,Sync!$U970&lt;1),RIGHT("00"&amp;HOUR(Sync!$U970),2)&amp;RIGHT("00"&amp;MINUTE(Sync!$U970),2),IFERROR(RIGHT("00"&amp;VALUE(LEFT(Sync!$U970,FIND(":",Sync!$U970)-1)),2)&amp;RIGHT("00"&amp;VALUE(MID(Sync!$U970,FIND(":",Sync!$U970)+1,2)),2),"0000"))))</f>
        <v/>
      </c>
    </row>
    <row r="975">
      <c r="A975">
        <f>IF(Sync!$T971="","",Sync!$T971)</f>
        <v/>
      </c>
      <c r="B975">
        <f>IF($A975="","",IF(ISNUMBER($A975),IF(AND($A975&gt;=10000101,$A975&lt;=99991231),INT($A975/10000),""),IFERROR(VALUE(TRIM(LEFT($A975,FIND("/",$A975)-1))),"")))</f>
        <v/>
      </c>
      <c r="C975">
        <f>IF(OR($A975="",$B975=""),"",IF(ISNUMBER($A975),INT(MOD($A975,10000)/100),IFERROR(VALUE(TRIM(LEFT(MID($A975,FIND("/",$A975)+1,20),FIND("/",MID($A975,FIND("/",$A975)+1,20))-1))),"")))</f>
        <v/>
      </c>
      <c r="D975">
        <f>IF(OR($A975="",$B975=""),"",IF(ISNUMBER($A975),MOD($A975,100),IFERROR(VALUE(TRIM(MID(MID($A975,FIND("/",$A975)+1,20),FIND("/",MID($A975,FIND("/",$A975)+1,20))+1,20))),"")))</f>
        <v/>
      </c>
      <c r="E975">
        <f>IF($A975="","",IF(OR($B975="",$C975="",$D975="",$B975&lt;1300,$B975&gt;1500,$C975&lt;1,$C975&gt;12,$D975&lt;1,$D975&gt;31),"نامعتبر",RIGHT("0000"&amp;$B975,4)&amp;"/"&amp;RIGHT("00"&amp;$C975,2)&amp;"/"&amp;RIGHT("00"&amp;$D975,2)))</f>
        <v/>
      </c>
      <c r="F975">
        <f>IF(OR($E975="",$E975="نامعتبر"),"",LEFT($E975,4)&amp;"/"&amp;MID($E975,6,2))</f>
        <v/>
      </c>
      <c r="G975">
        <f>IF(OR($E975="",$E975="نامعتبر",Sync!$X971=""),"",IF(AND(LEFT(UPPER(TRIM(Sync!$X971)),2)="SL",IFERROR(VLOOKUP(Sync!$W971,OpTbl,3,0),"")="فروش"),UPPER(TRIM(Sync!$X971)),""))</f>
        <v/>
      </c>
      <c r="H975">
        <f>IF($G975="","",IF(Sync!$W971="","",Sync!$W971))</f>
        <v/>
      </c>
      <c r="I975">
        <f>IF(OR($G975="",Sync!$Y971=""),"",Sync!$Y971)</f>
        <v/>
      </c>
      <c r="J975">
        <f>IF(OR($G975="",Sync!$Z971=""),"",Sync!$Z971)</f>
        <v/>
      </c>
      <c r="K975">
        <f>IF($G975="",0,IF(Sync!$AA971="",0,Sync!$AA971))</f>
        <v/>
      </c>
      <c r="L975">
        <f>IF($G975="",0,IF(Sync!$AB971="",0,Sync!$AB971))</f>
        <v/>
      </c>
      <c r="M975">
        <f>IF($G975="","",IF($H975="مرجوعی فروش",-1,1)*($K975-$L975*IFERROR(VLOOKUP("P01",ParamTbl,3,0),1.5)))</f>
        <v/>
      </c>
      <c r="N975">
        <f>IF($G975="",0,IF($H975="مرجوعی فروش",-1,1)*IF(Sync!$AC971="",0,Sync!$AC971))</f>
        <v/>
      </c>
      <c r="O975">
        <f>IF(OR($G975="",Sync!$V971=""),"",Sync!$V971)</f>
        <v/>
      </c>
      <c r="P975">
        <f>IF(OR($G975="",Sync!$AD971=""),"",Sync!$AD971)</f>
        <v/>
      </c>
      <c r="Q975">
        <f>IF($G975="","",IF(Sync!$U971="","0000",IF(AND(ISNUMBER(Sync!$U971),Sync!$U971&gt;=0,Sync!$U971&lt;1),RIGHT("00"&amp;HOUR(Sync!$U971),2)&amp;RIGHT("00"&amp;MINUTE(Sync!$U971),2),IFERROR(RIGHT("00"&amp;VALUE(LEFT(Sync!$U971,FIND(":",Sync!$U971)-1)),2)&amp;RIGHT("00"&amp;VALUE(MID(Sync!$U971,FIND(":",Sync!$U971)+1,2)),2),"0000"))))</f>
        <v/>
      </c>
    </row>
    <row r="976">
      <c r="A976">
        <f>IF(Sync!$T972="","",Sync!$T972)</f>
        <v/>
      </c>
      <c r="B976">
        <f>IF($A976="","",IF(ISNUMBER($A976),IF(AND($A976&gt;=10000101,$A976&lt;=99991231),INT($A976/10000),""),IFERROR(VALUE(TRIM(LEFT($A976,FIND("/",$A976)-1))),"")))</f>
        <v/>
      </c>
      <c r="C976">
        <f>IF(OR($A976="",$B976=""),"",IF(ISNUMBER($A976),INT(MOD($A976,10000)/100),IFERROR(VALUE(TRIM(LEFT(MID($A976,FIND("/",$A976)+1,20),FIND("/",MID($A976,FIND("/",$A976)+1,20))-1))),"")))</f>
        <v/>
      </c>
      <c r="D976">
        <f>IF(OR($A976="",$B976=""),"",IF(ISNUMBER($A976),MOD($A976,100),IFERROR(VALUE(TRIM(MID(MID($A976,FIND("/",$A976)+1,20),FIND("/",MID($A976,FIND("/",$A976)+1,20))+1,20))),"")))</f>
        <v/>
      </c>
      <c r="E976">
        <f>IF($A976="","",IF(OR($B976="",$C976="",$D976="",$B976&lt;1300,$B976&gt;1500,$C976&lt;1,$C976&gt;12,$D976&lt;1,$D976&gt;31),"نامعتبر",RIGHT("0000"&amp;$B976,4)&amp;"/"&amp;RIGHT("00"&amp;$C976,2)&amp;"/"&amp;RIGHT("00"&amp;$D976,2)))</f>
        <v/>
      </c>
      <c r="F976">
        <f>IF(OR($E976="",$E976="نامعتبر"),"",LEFT($E976,4)&amp;"/"&amp;MID($E976,6,2))</f>
        <v/>
      </c>
      <c r="G976">
        <f>IF(OR($E976="",$E976="نامعتبر",Sync!$X972=""),"",IF(AND(LEFT(UPPER(TRIM(Sync!$X972)),2)="SL",IFERROR(VLOOKUP(Sync!$W972,OpTbl,3,0),"")="فروش"),UPPER(TRIM(Sync!$X972)),""))</f>
        <v/>
      </c>
      <c r="H976">
        <f>IF($G976="","",IF(Sync!$W972="","",Sync!$W972))</f>
        <v/>
      </c>
      <c r="I976">
        <f>IF(OR($G976="",Sync!$Y972=""),"",Sync!$Y972)</f>
        <v/>
      </c>
      <c r="J976">
        <f>IF(OR($G976="",Sync!$Z972=""),"",Sync!$Z972)</f>
        <v/>
      </c>
      <c r="K976">
        <f>IF($G976="",0,IF(Sync!$AA972="",0,Sync!$AA972))</f>
        <v/>
      </c>
      <c r="L976">
        <f>IF($G976="",0,IF(Sync!$AB972="",0,Sync!$AB972))</f>
        <v/>
      </c>
      <c r="M976">
        <f>IF($G976="","",IF($H976="مرجوعی فروش",-1,1)*($K976-$L976*IFERROR(VLOOKUP("P01",ParamTbl,3,0),1.5)))</f>
        <v/>
      </c>
      <c r="N976">
        <f>IF($G976="",0,IF($H976="مرجوعی فروش",-1,1)*IF(Sync!$AC972="",0,Sync!$AC972))</f>
        <v/>
      </c>
      <c r="O976">
        <f>IF(OR($G976="",Sync!$V972=""),"",Sync!$V972)</f>
        <v/>
      </c>
      <c r="P976">
        <f>IF(OR($G976="",Sync!$AD972=""),"",Sync!$AD972)</f>
        <v/>
      </c>
      <c r="Q976">
        <f>IF($G976="","",IF(Sync!$U972="","0000",IF(AND(ISNUMBER(Sync!$U972),Sync!$U972&gt;=0,Sync!$U972&lt;1),RIGHT("00"&amp;HOUR(Sync!$U972),2)&amp;RIGHT("00"&amp;MINUTE(Sync!$U972),2),IFERROR(RIGHT("00"&amp;VALUE(LEFT(Sync!$U972,FIND(":",Sync!$U972)-1)),2)&amp;RIGHT("00"&amp;VALUE(MID(Sync!$U972,FIND(":",Sync!$U972)+1,2)),2),"0000"))))</f>
        <v/>
      </c>
    </row>
    <row r="977">
      <c r="A977">
        <f>IF(Sync!$T973="","",Sync!$T973)</f>
        <v/>
      </c>
      <c r="B977">
        <f>IF($A977="","",IF(ISNUMBER($A977),IF(AND($A977&gt;=10000101,$A977&lt;=99991231),INT($A977/10000),""),IFERROR(VALUE(TRIM(LEFT($A977,FIND("/",$A977)-1))),"")))</f>
        <v/>
      </c>
      <c r="C977">
        <f>IF(OR($A977="",$B977=""),"",IF(ISNUMBER($A977),INT(MOD($A977,10000)/100),IFERROR(VALUE(TRIM(LEFT(MID($A977,FIND("/",$A977)+1,20),FIND("/",MID($A977,FIND("/",$A977)+1,20))-1))),"")))</f>
        <v/>
      </c>
      <c r="D977">
        <f>IF(OR($A977="",$B977=""),"",IF(ISNUMBER($A977),MOD($A977,100),IFERROR(VALUE(TRIM(MID(MID($A977,FIND("/",$A977)+1,20),FIND("/",MID($A977,FIND("/",$A977)+1,20))+1,20))),"")))</f>
        <v/>
      </c>
      <c r="E977">
        <f>IF($A977="","",IF(OR($B977="",$C977="",$D977="",$B977&lt;1300,$B977&gt;1500,$C977&lt;1,$C977&gt;12,$D977&lt;1,$D977&gt;31),"نامعتبر",RIGHT("0000"&amp;$B977,4)&amp;"/"&amp;RIGHT("00"&amp;$C977,2)&amp;"/"&amp;RIGHT("00"&amp;$D977,2)))</f>
        <v/>
      </c>
      <c r="F977">
        <f>IF(OR($E977="",$E977="نامعتبر"),"",LEFT($E977,4)&amp;"/"&amp;MID($E977,6,2))</f>
        <v/>
      </c>
      <c r="G977">
        <f>IF(OR($E977="",$E977="نامعتبر",Sync!$X973=""),"",IF(AND(LEFT(UPPER(TRIM(Sync!$X973)),2)="SL",IFERROR(VLOOKUP(Sync!$W973,OpTbl,3,0),"")="فروش"),UPPER(TRIM(Sync!$X973)),""))</f>
        <v/>
      </c>
      <c r="H977">
        <f>IF($G977="","",IF(Sync!$W973="","",Sync!$W973))</f>
        <v/>
      </c>
      <c r="I977">
        <f>IF(OR($G977="",Sync!$Y973=""),"",Sync!$Y973)</f>
        <v/>
      </c>
      <c r="J977">
        <f>IF(OR($G977="",Sync!$Z973=""),"",Sync!$Z973)</f>
        <v/>
      </c>
      <c r="K977">
        <f>IF($G977="",0,IF(Sync!$AA973="",0,Sync!$AA973))</f>
        <v/>
      </c>
      <c r="L977">
        <f>IF($G977="",0,IF(Sync!$AB973="",0,Sync!$AB973))</f>
        <v/>
      </c>
      <c r="M977">
        <f>IF($G977="","",IF($H977="مرجوعی فروش",-1,1)*($K977-$L977*IFERROR(VLOOKUP("P01",ParamTbl,3,0),1.5)))</f>
        <v/>
      </c>
      <c r="N977">
        <f>IF($G977="",0,IF($H977="مرجوعی فروش",-1,1)*IF(Sync!$AC973="",0,Sync!$AC973))</f>
        <v/>
      </c>
      <c r="O977">
        <f>IF(OR($G977="",Sync!$V973=""),"",Sync!$V973)</f>
        <v/>
      </c>
      <c r="P977">
        <f>IF(OR($G977="",Sync!$AD973=""),"",Sync!$AD973)</f>
        <v/>
      </c>
      <c r="Q977">
        <f>IF($G977="","",IF(Sync!$U973="","0000",IF(AND(ISNUMBER(Sync!$U973),Sync!$U973&gt;=0,Sync!$U973&lt;1),RIGHT("00"&amp;HOUR(Sync!$U973),2)&amp;RIGHT("00"&amp;MINUTE(Sync!$U973),2),IFERROR(RIGHT("00"&amp;VALUE(LEFT(Sync!$U973,FIND(":",Sync!$U973)-1)),2)&amp;RIGHT("00"&amp;VALUE(MID(Sync!$U973,FIND(":",Sync!$U973)+1,2)),2),"0000"))))</f>
        <v/>
      </c>
    </row>
    <row r="978">
      <c r="A978">
        <f>IF(Sync!$T974="","",Sync!$T974)</f>
        <v/>
      </c>
      <c r="B978">
        <f>IF($A978="","",IF(ISNUMBER($A978),IF(AND($A978&gt;=10000101,$A978&lt;=99991231),INT($A978/10000),""),IFERROR(VALUE(TRIM(LEFT($A978,FIND("/",$A978)-1))),"")))</f>
        <v/>
      </c>
      <c r="C978">
        <f>IF(OR($A978="",$B978=""),"",IF(ISNUMBER($A978),INT(MOD($A978,10000)/100),IFERROR(VALUE(TRIM(LEFT(MID($A978,FIND("/",$A978)+1,20),FIND("/",MID($A978,FIND("/",$A978)+1,20))-1))),"")))</f>
        <v/>
      </c>
      <c r="D978">
        <f>IF(OR($A978="",$B978=""),"",IF(ISNUMBER($A978),MOD($A978,100),IFERROR(VALUE(TRIM(MID(MID($A978,FIND("/",$A978)+1,20),FIND("/",MID($A978,FIND("/",$A978)+1,20))+1,20))),"")))</f>
        <v/>
      </c>
      <c r="E978">
        <f>IF($A978="","",IF(OR($B978="",$C978="",$D978="",$B978&lt;1300,$B978&gt;1500,$C978&lt;1,$C978&gt;12,$D978&lt;1,$D978&gt;31),"نامعتبر",RIGHT("0000"&amp;$B978,4)&amp;"/"&amp;RIGHT("00"&amp;$C978,2)&amp;"/"&amp;RIGHT("00"&amp;$D978,2)))</f>
        <v/>
      </c>
      <c r="F978">
        <f>IF(OR($E978="",$E978="نامعتبر"),"",LEFT($E978,4)&amp;"/"&amp;MID($E978,6,2))</f>
        <v/>
      </c>
      <c r="G978">
        <f>IF(OR($E978="",$E978="نامعتبر",Sync!$X974=""),"",IF(AND(LEFT(UPPER(TRIM(Sync!$X974)),2)="SL",IFERROR(VLOOKUP(Sync!$W974,OpTbl,3,0),"")="فروش"),UPPER(TRIM(Sync!$X974)),""))</f>
        <v/>
      </c>
      <c r="H978">
        <f>IF($G978="","",IF(Sync!$W974="","",Sync!$W974))</f>
        <v/>
      </c>
      <c r="I978">
        <f>IF(OR($G978="",Sync!$Y974=""),"",Sync!$Y974)</f>
        <v/>
      </c>
      <c r="J978">
        <f>IF(OR($G978="",Sync!$Z974=""),"",Sync!$Z974)</f>
        <v/>
      </c>
      <c r="K978">
        <f>IF($G978="",0,IF(Sync!$AA974="",0,Sync!$AA974))</f>
        <v/>
      </c>
      <c r="L978">
        <f>IF($G978="",0,IF(Sync!$AB974="",0,Sync!$AB974))</f>
        <v/>
      </c>
      <c r="M978">
        <f>IF($G978="","",IF($H978="مرجوعی فروش",-1,1)*($K978-$L978*IFERROR(VLOOKUP("P01",ParamTbl,3,0),1.5)))</f>
        <v/>
      </c>
      <c r="N978">
        <f>IF($G978="",0,IF($H978="مرجوعی فروش",-1,1)*IF(Sync!$AC974="",0,Sync!$AC974))</f>
        <v/>
      </c>
      <c r="O978">
        <f>IF(OR($G978="",Sync!$V974=""),"",Sync!$V974)</f>
        <v/>
      </c>
      <c r="P978">
        <f>IF(OR($G978="",Sync!$AD974=""),"",Sync!$AD974)</f>
        <v/>
      </c>
      <c r="Q978">
        <f>IF($G978="","",IF(Sync!$U974="","0000",IF(AND(ISNUMBER(Sync!$U974),Sync!$U974&gt;=0,Sync!$U974&lt;1),RIGHT("00"&amp;HOUR(Sync!$U974),2)&amp;RIGHT("00"&amp;MINUTE(Sync!$U974),2),IFERROR(RIGHT("00"&amp;VALUE(LEFT(Sync!$U974,FIND(":",Sync!$U974)-1)),2)&amp;RIGHT("00"&amp;VALUE(MID(Sync!$U974,FIND(":",Sync!$U974)+1,2)),2),"0000"))))</f>
        <v/>
      </c>
    </row>
    <row r="979">
      <c r="A979">
        <f>IF(Sync!$T975="","",Sync!$T975)</f>
        <v/>
      </c>
      <c r="B979">
        <f>IF($A979="","",IF(ISNUMBER($A979),IF(AND($A979&gt;=10000101,$A979&lt;=99991231),INT($A979/10000),""),IFERROR(VALUE(TRIM(LEFT($A979,FIND("/",$A979)-1))),"")))</f>
        <v/>
      </c>
      <c r="C979">
        <f>IF(OR($A979="",$B979=""),"",IF(ISNUMBER($A979),INT(MOD($A979,10000)/100),IFERROR(VALUE(TRIM(LEFT(MID($A979,FIND("/",$A979)+1,20),FIND("/",MID($A979,FIND("/",$A979)+1,20))-1))),"")))</f>
        <v/>
      </c>
      <c r="D979">
        <f>IF(OR($A979="",$B979=""),"",IF(ISNUMBER($A979),MOD($A979,100),IFERROR(VALUE(TRIM(MID(MID($A979,FIND("/",$A979)+1,20),FIND("/",MID($A979,FIND("/",$A979)+1,20))+1,20))),"")))</f>
        <v/>
      </c>
      <c r="E979">
        <f>IF($A979="","",IF(OR($B979="",$C979="",$D979="",$B979&lt;1300,$B979&gt;1500,$C979&lt;1,$C979&gt;12,$D979&lt;1,$D979&gt;31),"نامعتبر",RIGHT("0000"&amp;$B979,4)&amp;"/"&amp;RIGHT("00"&amp;$C979,2)&amp;"/"&amp;RIGHT("00"&amp;$D979,2)))</f>
        <v/>
      </c>
      <c r="F979">
        <f>IF(OR($E979="",$E979="نامعتبر"),"",LEFT($E979,4)&amp;"/"&amp;MID($E979,6,2))</f>
        <v/>
      </c>
      <c r="G979">
        <f>IF(OR($E979="",$E979="نامعتبر",Sync!$X975=""),"",IF(AND(LEFT(UPPER(TRIM(Sync!$X975)),2)="SL",IFERROR(VLOOKUP(Sync!$W975,OpTbl,3,0),"")="فروش"),UPPER(TRIM(Sync!$X975)),""))</f>
        <v/>
      </c>
      <c r="H979">
        <f>IF($G979="","",IF(Sync!$W975="","",Sync!$W975))</f>
        <v/>
      </c>
      <c r="I979">
        <f>IF(OR($G979="",Sync!$Y975=""),"",Sync!$Y975)</f>
        <v/>
      </c>
      <c r="J979">
        <f>IF(OR($G979="",Sync!$Z975=""),"",Sync!$Z975)</f>
        <v/>
      </c>
      <c r="K979">
        <f>IF($G979="",0,IF(Sync!$AA975="",0,Sync!$AA975))</f>
        <v/>
      </c>
      <c r="L979">
        <f>IF($G979="",0,IF(Sync!$AB975="",0,Sync!$AB975))</f>
        <v/>
      </c>
      <c r="M979">
        <f>IF($G979="","",IF($H979="مرجوعی فروش",-1,1)*($K979-$L979*IFERROR(VLOOKUP("P01",ParamTbl,3,0),1.5)))</f>
        <v/>
      </c>
      <c r="N979">
        <f>IF($G979="",0,IF($H979="مرجوعی فروش",-1,1)*IF(Sync!$AC975="",0,Sync!$AC975))</f>
        <v/>
      </c>
      <c r="O979">
        <f>IF(OR($G979="",Sync!$V975=""),"",Sync!$V975)</f>
        <v/>
      </c>
      <c r="P979">
        <f>IF(OR($G979="",Sync!$AD975=""),"",Sync!$AD975)</f>
        <v/>
      </c>
      <c r="Q979">
        <f>IF($G979="","",IF(Sync!$U975="","0000",IF(AND(ISNUMBER(Sync!$U975),Sync!$U975&gt;=0,Sync!$U975&lt;1),RIGHT("00"&amp;HOUR(Sync!$U975),2)&amp;RIGHT("00"&amp;MINUTE(Sync!$U975),2),IFERROR(RIGHT("00"&amp;VALUE(LEFT(Sync!$U975,FIND(":",Sync!$U975)-1)),2)&amp;RIGHT("00"&amp;VALUE(MID(Sync!$U975,FIND(":",Sync!$U975)+1,2)),2),"0000"))))</f>
        <v/>
      </c>
    </row>
    <row r="980">
      <c r="A980">
        <f>IF(Sync!$T976="","",Sync!$T976)</f>
        <v/>
      </c>
      <c r="B980">
        <f>IF($A980="","",IF(ISNUMBER($A980),IF(AND($A980&gt;=10000101,$A980&lt;=99991231),INT($A980/10000),""),IFERROR(VALUE(TRIM(LEFT($A980,FIND("/",$A980)-1))),"")))</f>
        <v/>
      </c>
      <c r="C980">
        <f>IF(OR($A980="",$B980=""),"",IF(ISNUMBER($A980),INT(MOD($A980,10000)/100),IFERROR(VALUE(TRIM(LEFT(MID($A980,FIND("/",$A980)+1,20),FIND("/",MID($A980,FIND("/",$A980)+1,20))-1))),"")))</f>
        <v/>
      </c>
      <c r="D980">
        <f>IF(OR($A980="",$B980=""),"",IF(ISNUMBER($A980),MOD($A980,100),IFERROR(VALUE(TRIM(MID(MID($A980,FIND("/",$A980)+1,20),FIND("/",MID($A980,FIND("/",$A980)+1,20))+1,20))),"")))</f>
        <v/>
      </c>
      <c r="E980">
        <f>IF($A980="","",IF(OR($B980="",$C980="",$D980="",$B980&lt;1300,$B980&gt;1500,$C980&lt;1,$C980&gt;12,$D980&lt;1,$D980&gt;31),"نامعتبر",RIGHT("0000"&amp;$B980,4)&amp;"/"&amp;RIGHT("00"&amp;$C980,2)&amp;"/"&amp;RIGHT("00"&amp;$D980,2)))</f>
        <v/>
      </c>
      <c r="F980">
        <f>IF(OR($E980="",$E980="نامعتبر"),"",LEFT($E980,4)&amp;"/"&amp;MID($E980,6,2))</f>
        <v/>
      </c>
      <c r="G980">
        <f>IF(OR($E980="",$E980="نامعتبر",Sync!$X976=""),"",IF(AND(LEFT(UPPER(TRIM(Sync!$X976)),2)="SL",IFERROR(VLOOKUP(Sync!$W976,OpTbl,3,0),"")="فروش"),UPPER(TRIM(Sync!$X976)),""))</f>
        <v/>
      </c>
      <c r="H980">
        <f>IF($G980="","",IF(Sync!$W976="","",Sync!$W976))</f>
        <v/>
      </c>
      <c r="I980">
        <f>IF(OR($G980="",Sync!$Y976=""),"",Sync!$Y976)</f>
        <v/>
      </c>
      <c r="J980">
        <f>IF(OR($G980="",Sync!$Z976=""),"",Sync!$Z976)</f>
        <v/>
      </c>
      <c r="K980">
        <f>IF($G980="",0,IF(Sync!$AA976="",0,Sync!$AA976))</f>
        <v/>
      </c>
      <c r="L980">
        <f>IF($G980="",0,IF(Sync!$AB976="",0,Sync!$AB976))</f>
        <v/>
      </c>
      <c r="M980">
        <f>IF($G980="","",IF($H980="مرجوعی فروش",-1,1)*($K980-$L980*IFERROR(VLOOKUP("P01",ParamTbl,3,0),1.5)))</f>
        <v/>
      </c>
      <c r="N980">
        <f>IF($G980="",0,IF($H980="مرجوعی فروش",-1,1)*IF(Sync!$AC976="",0,Sync!$AC976))</f>
        <v/>
      </c>
      <c r="O980">
        <f>IF(OR($G980="",Sync!$V976=""),"",Sync!$V976)</f>
        <v/>
      </c>
      <c r="P980">
        <f>IF(OR($G980="",Sync!$AD976=""),"",Sync!$AD976)</f>
        <v/>
      </c>
      <c r="Q980">
        <f>IF($G980="","",IF(Sync!$U976="","0000",IF(AND(ISNUMBER(Sync!$U976),Sync!$U976&gt;=0,Sync!$U976&lt;1),RIGHT("00"&amp;HOUR(Sync!$U976),2)&amp;RIGHT("00"&amp;MINUTE(Sync!$U976),2),IFERROR(RIGHT("00"&amp;VALUE(LEFT(Sync!$U976,FIND(":",Sync!$U976)-1)),2)&amp;RIGHT("00"&amp;VALUE(MID(Sync!$U976,FIND(":",Sync!$U976)+1,2)),2),"0000"))))</f>
        <v/>
      </c>
    </row>
    <row r="981">
      <c r="A981">
        <f>IF(Sync!$T977="","",Sync!$T977)</f>
        <v/>
      </c>
      <c r="B981">
        <f>IF($A981="","",IF(ISNUMBER($A981),IF(AND($A981&gt;=10000101,$A981&lt;=99991231),INT($A981/10000),""),IFERROR(VALUE(TRIM(LEFT($A981,FIND("/",$A981)-1))),"")))</f>
        <v/>
      </c>
      <c r="C981">
        <f>IF(OR($A981="",$B981=""),"",IF(ISNUMBER($A981),INT(MOD($A981,10000)/100),IFERROR(VALUE(TRIM(LEFT(MID($A981,FIND("/",$A981)+1,20),FIND("/",MID($A981,FIND("/",$A981)+1,20))-1))),"")))</f>
        <v/>
      </c>
      <c r="D981">
        <f>IF(OR($A981="",$B981=""),"",IF(ISNUMBER($A981),MOD($A981,100),IFERROR(VALUE(TRIM(MID(MID($A981,FIND("/",$A981)+1,20),FIND("/",MID($A981,FIND("/",$A981)+1,20))+1,20))),"")))</f>
        <v/>
      </c>
      <c r="E981">
        <f>IF($A981="","",IF(OR($B981="",$C981="",$D981="",$B981&lt;1300,$B981&gt;1500,$C981&lt;1,$C981&gt;12,$D981&lt;1,$D981&gt;31),"نامعتبر",RIGHT("0000"&amp;$B981,4)&amp;"/"&amp;RIGHT("00"&amp;$C981,2)&amp;"/"&amp;RIGHT("00"&amp;$D981,2)))</f>
        <v/>
      </c>
      <c r="F981">
        <f>IF(OR($E981="",$E981="نامعتبر"),"",LEFT($E981,4)&amp;"/"&amp;MID($E981,6,2))</f>
        <v/>
      </c>
      <c r="G981">
        <f>IF(OR($E981="",$E981="نامعتبر",Sync!$X977=""),"",IF(AND(LEFT(UPPER(TRIM(Sync!$X977)),2)="SL",IFERROR(VLOOKUP(Sync!$W977,OpTbl,3,0),"")="فروش"),UPPER(TRIM(Sync!$X977)),""))</f>
        <v/>
      </c>
      <c r="H981">
        <f>IF($G981="","",IF(Sync!$W977="","",Sync!$W977))</f>
        <v/>
      </c>
      <c r="I981">
        <f>IF(OR($G981="",Sync!$Y977=""),"",Sync!$Y977)</f>
        <v/>
      </c>
      <c r="J981">
        <f>IF(OR($G981="",Sync!$Z977=""),"",Sync!$Z977)</f>
        <v/>
      </c>
      <c r="K981">
        <f>IF($G981="",0,IF(Sync!$AA977="",0,Sync!$AA977))</f>
        <v/>
      </c>
      <c r="L981">
        <f>IF($G981="",0,IF(Sync!$AB977="",0,Sync!$AB977))</f>
        <v/>
      </c>
      <c r="M981">
        <f>IF($G981="","",IF($H981="مرجوعی فروش",-1,1)*($K981-$L981*IFERROR(VLOOKUP("P01",ParamTbl,3,0),1.5)))</f>
        <v/>
      </c>
      <c r="N981">
        <f>IF($G981="",0,IF($H981="مرجوعی فروش",-1,1)*IF(Sync!$AC977="",0,Sync!$AC977))</f>
        <v/>
      </c>
      <c r="O981">
        <f>IF(OR($G981="",Sync!$V977=""),"",Sync!$V977)</f>
        <v/>
      </c>
      <c r="P981">
        <f>IF(OR($G981="",Sync!$AD977=""),"",Sync!$AD977)</f>
        <v/>
      </c>
      <c r="Q981">
        <f>IF($G981="","",IF(Sync!$U977="","0000",IF(AND(ISNUMBER(Sync!$U977),Sync!$U977&gt;=0,Sync!$U977&lt;1),RIGHT("00"&amp;HOUR(Sync!$U977),2)&amp;RIGHT("00"&amp;MINUTE(Sync!$U977),2),IFERROR(RIGHT("00"&amp;VALUE(LEFT(Sync!$U977,FIND(":",Sync!$U977)-1)),2)&amp;RIGHT("00"&amp;VALUE(MID(Sync!$U977,FIND(":",Sync!$U977)+1,2)),2),"0000"))))</f>
        <v/>
      </c>
    </row>
    <row r="982">
      <c r="A982">
        <f>IF(Sync!$T978="","",Sync!$T978)</f>
        <v/>
      </c>
      <c r="B982">
        <f>IF($A982="","",IF(ISNUMBER($A982),IF(AND($A982&gt;=10000101,$A982&lt;=99991231),INT($A982/10000),""),IFERROR(VALUE(TRIM(LEFT($A982,FIND("/",$A982)-1))),"")))</f>
        <v/>
      </c>
      <c r="C982">
        <f>IF(OR($A982="",$B982=""),"",IF(ISNUMBER($A982),INT(MOD($A982,10000)/100),IFERROR(VALUE(TRIM(LEFT(MID($A982,FIND("/",$A982)+1,20),FIND("/",MID($A982,FIND("/",$A982)+1,20))-1))),"")))</f>
        <v/>
      </c>
      <c r="D982">
        <f>IF(OR($A982="",$B982=""),"",IF(ISNUMBER($A982),MOD($A982,100),IFERROR(VALUE(TRIM(MID(MID($A982,FIND("/",$A982)+1,20),FIND("/",MID($A982,FIND("/",$A982)+1,20))+1,20))),"")))</f>
        <v/>
      </c>
      <c r="E982">
        <f>IF($A982="","",IF(OR($B982="",$C982="",$D982="",$B982&lt;1300,$B982&gt;1500,$C982&lt;1,$C982&gt;12,$D982&lt;1,$D982&gt;31),"نامعتبر",RIGHT("0000"&amp;$B982,4)&amp;"/"&amp;RIGHT("00"&amp;$C982,2)&amp;"/"&amp;RIGHT("00"&amp;$D982,2)))</f>
        <v/>
      </c>
      <c r="F982">
        <f>IF(OR($E982="",$E982="نامعتبر"),"",LEFT($E982,4)&amp;"/"&amp;MID($E982,6,2))</f>
        <v/>
      </c>
      <c r="G982">
        <f>IF(OR($E982="",$E982="نامعتبر",Sync!$X978=""),"",IF(AND(LEFT(UPPER(TRIM(Sync!$X978)),2)="SL",IFERROR(VLOOKUP(Sync!$W978,OpTbl,3,0),"")="فروش"),UPPER(TRIM(Sync!$X978)),""))</f>
        <v/>
      </c>
      <c r="H982">
        <f>IF($G982="","",IF(Sync!$W978="","",Sync!$W978))</f>
        <v/>
      </c>
      <c r="I982">
        <f>IF(OR($G982="",Sync!$Y978=""),"",Sync!$Y978)</f>
        <v/>
      </c>
      <c r="J982">
        <f>IF(OR($G982="",Sync!$Z978=""),"",Sync!$Z978)</f>
        <v/>
      </c>
      <c r="K982">
        <f>IF($G982="",0,IF(Sync!$AA978="",0,Sync!$AA978))</f>
        <v/>
      </c>
      <c r="L982">
        <f>IF($G982="",0,IF(Sync!$AB978="",0,Sync!$AB978))</f>
        <v/>
      </c>
      <c r="M982">
        <f>IF($G982="","",IF($H982="مرجوعی فروش",-1,1)*($K982-$L982*IFERROR(VLOOKUP("P01",ParamTbl,3,0),1.5)))</f>
        <v/>
      </c>
      <c r="N982">
        <f>IF($G982="",0,IF($H982="مرجوعی فروش",-1,1)*IF(Sync!$AC978="",0,Sync!$AC978))</f>
        <v/>
      </c>
      <c r="O982">
        <f>IF(OR($G982="",Sync!$V978=""),"",Sync!$V978)</f>
        <v/>
      </c>
      <c r="P982">
        <f>IF(OR($G982="",Sync!$AD978=""),"",Sync!$AD978)</f>
        <v/>
      </c>
      <c r="Q982">
        <f>IF($G982="","",IF(Sync!$U978="","0000",IF(AND(ISNUMBER(Sync!$U978),Sync!$U978&gt;=0,Sync!$U978&lt;1),RIGHT("00"&amp;HOUR(Sync!$U978),2)&amp;RIGHT("00"&amp;MINUTE(Sync!$U978),2),IFERROR(RIGHT("00"&amp;VALUE(LEFT(Sync!$U978,FIND(":",Sync!$U978)-1)),2)&amp;RIGHT("00"&amp;VALUE(MID(Sync!$U978,FIND(":",Sync!$U978)+1,2)),2),"0000"))))</f>
        <v/>
      </c>
    </row>
    <row r="983">
      <c r="A983">
        <f>IF(Sync!$T979="","",Sync!$T979)</f>
        <v/>
      </c>
      <c r="B983">
        <f>IF($A983="","",IF(ISNUMBER($A983),IF(AND($A983&gt;=10000101,$A983&lt;=99991231),INT($A983/10000),""),IFERROR(VALUE(TRIM(LEFT($A983,FIND("/",$A983)-1))),"")))</f>
        <v/>
      </c>
      <c r="C983">
        <f>IF(OR($A983="",$B983=""),"",IF(ISNUMBER($A983),INT(MOD($A983,10000)/100),IFERROR(VALUE(TRIM(LEFT(MID($A983,FIND("/",$A983)+1,20),FIND("/",MID($A983,FIND("/",$A983)+1,20))-1))),"")))</f>
        <v/>
      </c>
      <c r="D983">
        <f>IF(OR($A983="",$B983=""),"",IF(ISNUMBER($A983),MOD($A983,100),IFERROR(VALUE(TRIM(MID(MID($A983,FIND("/",$A983)+1,20),FIND("/",MID($A983,FIND("/",$A983)+1,20))+1,20))),"")))</f>
        <v/>
      </c>
      <c r="E983">
        <f>IF($A983="","",IF(OR($B983="",$C983="",$D983="",$B983&lt;1300,$B983&gt;1500,$C983&lt;1,$C983&gt;12,$D983&lt;1,$D983&gt;31),"نامعتبر",RIGHT("0000"&amp;$B983,4)&amp;"/"&amp;RIGHT("00"&amp;$C983,2)&amp;"/"&amp;RIGHT("00"&amp;$D983,2)))</f>
        <v/>
      </c>
      <c r="F983">
        <f>IF(OR($E983="",$E983="نامعتبر"),"",LEFT($E983,4)&amp;"/"&amp;MID($E983,6,2))</f>
        <v/>
      </c>
      <c r="G983">
        <f>IF(OR($E983="",$E983="نامعتبر",Sync!$X979=""),"",IF(AND(LEFT(UPPER(TRIM(Sync!$X979)),2)="SL",IFERROR(VLOOKUP(Sync!$W979,OpTbl,3,0),"")="فروش"),UPPER(TRIM(Sync!$X979)),""))</f>
        <v/>
      </c>
      <c r="H983">
        <f>IF($G983="","",IF(Sync!$W979="","",Sync!$W979))</f>
        <v/>
      </c>
      <c r="I983">
        <f>IF(OR($G983="",Sync!$Y979=""),"",Sync!$Y979)</f>
        <v/>
      </c>
      <c r="J983">
        <f>IF(OR($G983="",Sync!$Z979=""),"",Sync!$Z979)</f>
        <v/>
      </c>
      <c r="K983">
        <f>IF($G983="",0,IF(Sync!$AA979="",0,Sync!$AA979))</f>
        <v/>
      </c>
      <c r="L983">
        <f>IF($G983="",0,IF(Sync!$AB979="",0,Sync!$AB979))</f>
        <v/>
      </c>
      <c r="M983">
        <f>IF($G983="","",IF($H983="مرجوعی فروش",-1,1)*($K983-$L983*IFERROR(VLOOKUP("P01",ParamTbl,3,0),1.5)))</f>
        <v/>
      </c>
      <c r="N983">
        <f>IF($G983="",0,IF($H983="مرجوعی فروش",-1,1)*IF(Sync!$AC979="",0,Sync!$AC979))</f>
        <v/>
      </c>
      <c r="O983">
        <f>IF(OR($G983="",Sync!$V979=""),"",Sync!$V979)</f>
        <v/>
      </c>
      <c r="P983">
        <f>IF(OR($G983="",Sync!$AD979=""),"",Sync!$AD979)</f>
        <v/>
      </c>
      <c r="Q983">
        <f>IF($G983="","",IF(Sync!$U979="","0000",IF(AND(ISNUMBER(Sync!$U979),Sync!$U979&gt;=0,Sync!$U979&lt;1),RIGHT("00"&amp;HOUR(Sync!$U979),2)&amp;RIGHT("00"&amp;MINUTE(Sync!$U979),2),IFERROR(RIGHT("00"&amp;VALUE(LEFT(Sync!$U979,FIND(":",Sync!$U979)-1)),2)&amp;RIGHT("00"&amp;VALUE(MID(Sync!$U979,FIND(":",Sync!$U979)+1,2)),2),"0000"))))</f>
        <v/>
      </c>
    </row>
    <row r="984">
      <c r="A984">
        <f>IF(Sync!$T980="","",Sync!$T980)</f>
        <v/>
      </c>
      <c r="B984">
        <f>IF($A984="","",IF(ISNUMBER($A984),IF(AND($A984&gt;=10000101,$A984&lt;=99991231),INT($A984/10000),""),IFERROR(VALUE(TRIM(LEFT($A984,FIND("/",$A984)-1))),"")))</f>
        <v/>
      </c>
      <c r="C984">
        <f>IF(OR($A984="",$B984=""),"",IF(ISNUMBER($A984),INT(MOD($A984,10000)/100),IFERROR(VALUE(TRIM(LEFT(MID($A984,FIND("/",$A984)+1,20),FIND("/",MID($A984,FIND("/",$A984)+1,20))-1))),"")))</f>
        <v/>
      </c>
      <c r="D984">
        <f>IF(OR($A984="",$B984=""),"",IF(ISNUMBER($A984),MOD($A984,100),IFERROR(VALUE(TRIM(MID(MID($A984,FIND("/",$A984)+1,20),FIND("/",MID($A984,FIND("/",$A984)+1,20))+1,20))),"")))</f>
        <v/>
      </c>
      <c r="E984">
        <f>IF($A984="","",IF(OR($B984="",$C984="",$D984="",$B984&lt;1300,$B984&gt;1500,$C984&lt;1,$C984&gt;12,$D984&lt;1,$D984&gt;31),"نامعتبر",RIGHT("0000"&amp;$B984,4)&amp;"/"&amp;RIGHT("00"&amp;$C984,2)&amp;"/"&amp;RIGHT("00"&amp;$D984,2)))</f>
        <v/>
      </c>
      <c r="F984">
        <f>IF(OR($E984="",$E984="نامعتبر"),"",LEFT($E984,4)&amp;"/"&amp;MID($E984,6,2))</f>
        <v/>
      </c>
      <c r="G984">
        <f>IF(OR($E984="",$E984="نامعتبر",Sync!$X980=""),"",IF(AND(LEFT(UPPER(TRIM(Sync!$X980)),2)="SL",IFERROR(VLOOKUP(Sync!$W980,OpTbl,3,0),"")="فروش"),UPPER(TRIM(Sync!$X980)),""))</f>
        <v/>
      </c>
      <c r="H984">
        <f>IF($G984="","",IF(Sync!$W980="","",Sync!$W980))</f>
        <v/>
      </c>
      <c r="I984">
        <f>IF(OR($G984="",Sync!$Y980=""),"",Sync!$Y980)</f>
        <v/>
      </c>
      <c r="J984">
        <f>IF(OR($G984="",Sync!$Z980=""),"",Sync!$Z980)</f>
        <v/>
      </c>
      <c r="K984">
        <f>IF($G984="",0,IF(Sync!$AA980="",0,Sync!$AA980))</f>
        <v/>
      </c>
      <c r="L984">
        <f>IF($G984="",0,IF(Sync!$AB980="",0,Sync!$AB980))</f>
        <v/>
      </c>
      <c r="M984">
        <f>IF($G984="","",IF($H984="مرجوعی فروش",-1,1)*($K984-$L984*IFERROR(VLOOKUP("P01",ParamTbl,3,0),1.5)))</f>
        <v/>
      </c>
      <c r="N984">
        <f>IF($G984="",0,IF($H984="مرجوعی فروش",-1,1)*IF(Sync!$AC980="",0,Sync!$AC980))</f>
        <v/>
      </c>
      <c r="O984">
        <f>IF(OR($G984="",Sync!$V980=""),"",Sync!$V980)</f>
        <v/>
      </c>
      <c r="P984">
        <f>IF(OR($G984="",Sync!$AD980=""),"",Sync!$AD980)</f>
        <v/>
      </c>
      <c r="Q984">
        <f>IF($G984="","",IF(Sync!$U980="","0000",IF(AND(ISNUMBER(Sync!$U980),Sync!$U980&gt;=0,Sync!$U980&lt;1),RIGHT("00"&amp;HOUR(Sync!$U980),2)&amp;RIGHT("00"&amp;MINUTE(Sync!$U980),2),IFERROR(RIGHT("00"&amp;VALUE(LEFT(Sync!$U980,FIND(":",Sync!$U980)-1)),2)&amp;RIGHT("00"&amp;VALUE(MID(Sync!$U980,FIND(":",Sync!$U980)+1,2)),2),"0000"))))</f>
        <v/>
      </c>
    </row>
    <row r="985">
      <c r="A985">
        <f>IF(Sync!$T981="","",Sync!$T981)</f>
        <v/>
      </c>
      <c r="B985">
        <f>IF($A985="","",IF(ISNUMBER($A985),IF(AND($A985&gt;=10000101,$A985&lt;=99991231),INT($A985/10000),""),IFERROR(VALUE(TRIM(LEFT($A985,FIND("/",$A985)-1))),"")))</f>
        <v/>
      </c>
      <c r="C985">
        <f>IF(OR($A985="",$B985=""),"",IF(ISNUMBER($A985),INT(MOD($A985,10000)/100),IFERROR(VALUE(TRIM(LEFT(MID($A985,FIND("/",$A985)+1,20),FIND("/",MID($A985,FIND("/",$A985)+1,20))-1))),"")))</f>
        <v/>
      </c>
      <c r="D985">
        <f>IF(OR($A985="",$B985=""),"",IF(ISNUMBER($A985),MOD($A985,100),IFERROR(VALUE(TRIM(MID(MID($A985,FIND("/",$A985)+1,20),FIND("/",MID($A985,FIND("/",$A985)+1,20))+1,20))),"")))</f>
        <v/>
      </c>
      <c r="E985">
        <f>IF($A985="","",IF(OR($B985="",$C985="",$D985="",$B985&lt;1300,$B985&gt;1500,$C985&lt;1,$C985&gt;12,$D985&lt;1,$D985&gt;31),"نامعتبر",RIGHT("0000"&amp;$B985,4)&amp;"/"&amp;RIGHT("00"&amp;$C985,2)&amp;"/"&amp;RIGHT("00"&amp;$D985,2)))</f>
        <v/>
      </c>
      <c r="F985">
        <f>IF(OR($E985="",$E985="نامعتبر"),"",LEFT($E985,4)&amp;"/"&amp;MID($E985,6,2))</f>
        <v/>
      </c>
      <c r="G985">
        <f>IF(OR($E985="",$E985="نامعتبر",Sync!$X981=""),"",IF(AND(LEFT(UPPER(TRIM(Sync!$X981)),2)="SL",IFERROR(VLOOKUP(Sync!$W981,OpTbl,3,0),"")="فروش"),UPPER(TRIM(Sync!$X981)),""))</f>
        <v/>
      </c>
      <c r="H985">
        <f>IF($G985="","",IF(Sync!$W981="","",Sync!$W981))</f>
        <v/>
      </c>
      <c r="I985">
        <f>IF(OR($G985="",Sync!$Y981=""),"",Sync!$Y981)</f>
        <v/>
      </c>
      <c r="J985">
        <f>IF(OR($G985="",Sync!$Z981=""),"",Sync!$Z981)</f>
        <v/>
      </c>
      <c r="K985">
        <f>IF($G985="",0,IF(Sync!$AA981="",0,Sync!$AA981))</f>
        <v/>
      </c>
      <c r="L985">
        <f>IF($G985="",0,IF(Sync!$AB981="",0,Sync!$AB981))</f>
        <v/>
      </c>
      <c r="M985">
        <f>IF($G985="","",IF($H985="مرجوعی فروش",-1,1)*($K985-$L985*IFERROR(VLOOKUP("P01",ParamTbl,3,0),1.5)))</f>
        <v/>
      </c>
      <c r="N985">
        <f>IF($G985="",0,IF($H985="مرجوعی فروش",-1,1)*IF(Sync!$AC981="",0,Sync!$AC981))</f>
        <v/>
      </c>
      <c r="O985">
        <f>IF(OR($G985="",Sync!$V981=""),"",Sync!$V981)</f>
        <v/>
      </c>
      <c r="P985">
        <f>IF(OR($G985="",Sync!$AD981=""),"",Sync!$AD981)</f>
        <v/>
      </c>
      <c r="Q985">
        <f>IF($G985="","",IF(Sync!$U981="","0000",IF(AND(ISNUMBER(Sync!$U981),Sync!$U981&gt;=0,Sync!$U981&lt;1),RIGHT("00"&amp;HOUR(Sync!$U981),2)&amp;RIGHT("00"&amp;MINUTE(Sync!$U981),2),IFERROR(RIGHT("00"&amp;VALUE(LEFT(Sync!$U981,FIND(":",Sync!$U981)-1)),2)&amp;RIGHT("00"&amp;VALUE(MID(Sync!$U981,FIND(":",Sync!$U981)+1,2)),2),"0000"))))</f>
        <v/>
      </c>
    </row>
    <row r="986">
      <c r="A986">
        <f>IF(Sync!$T982="","",Sync!$T982)</f>
        <v/>
      </c>
      <c r="B986">
        <f>IF($A986="","",IF(ISNUMBER($A986),IF(AND($A986&gt;=10000101,$A986&lt;=99991231),INT($A986/10000),""),IFERROR(VALUE(TRIM(LEFT($A986,FIND("/",$A986)-1))),"")))</f>
        <v/>
      </c>
      <c r="C986">
        <f>IF(OR($A986="",$B986=""),"",IF(ISNUMBER($A986),INT(MOD($A986,10000)/100),IFERROR(VALUE(TRIM(LEFT(MID($A986,FIND("/",$A986)+1,20),FIND("/",MID($A986,FIND("/",$A986)+1,20))-1))),"")))</f>
        <v/>
      </c>
      <c r="D986">
        <f>IF(OR($A986="",$B986=""),"",IF(ISNUMBER($A986),MOD($A986,100),IFERROR(VALUE(TRIM(MID(MID($A986,FIND("/",$A986)+1,20),FIND("/",MID($A986,FIND("/",$A986)+1,20))+1,20))),"")))</f>
        <v/>
      </c>
      <c r="E986">
        <f>IF($A986="","",IF(OR($B986="",$C986="",$D986="",$B986&lt;1300,$B986&gt;1500,$C986&lt;1,$C986&gt;12,$D986&lt;1,$D986&gt;31),"نامعتبر",RIGHT("0000"&amp;$B986,4)&amp;"/"&amp;RIGHT("00"&amp;$C986,2)&amp;"/"&amp;RIGHT("00"&amp;$D986,2)))</f>
        <v/>
      </c>
      <c r="F986">
        <f>IF(OR($E986="",$E986="نامعتبر"),"",LEFT($E986,4)&amp;"/"&amp;MID($E986,6,2))</f>
        <v/>
      </c>
      <c r="G986">
        <f>IF(OR($E986="",$E986="نامعتبر",Sync!$X982=""),"",IF(AND(LEFT(UPPER(TRIM(Sync!$X982)),2)="SL",IFERROR(VLOOKUP(Sync!$W982,OpTbl,3,0),"")="فروش"),UPPER(TRIM(Sync!$X982)),""))</f>
        <v/>
      </c>
      <c r="H986">
        <f>IF($G986="","",IF(Sync!$W982="","",Sync!$W982))</f>
        <v/>
      </c>
      <c r="I986">
        <f>IF(OR($G986="",Sync!$Y982=""),"",Sync!$Y982)</f>
        <v/>
      </c>
      <c r="J986">
        <f>IF(OR($G986="",Sync!$Z982=""),"",Sync!$Z982)</f>
        <v/>
      </c>
      <c r="K986">
        <f>IF($G986="",0,IF(Sync!$AA982="",0,Sync!$AA982))</f>
        <v/>
      </c>
      <c r="L986">
        <f>IF($G986="",0,IF(Sync!$AB982="",0,Sync!$AB982))</f>
        <v/>
      </c>
      <c r="M986">
        <f>IF($G986="","",IF($H986="مرجوعی فروش",-1,1)*($K986-$L986*IFERROR(VLOOKUP("P01",ParamTbl,3,0),1.5)))</f>
        <v/>
      </c>
      <c r="N986">
        <f>IF($G986="",0,IF($H986="مرجوعی فروش",-1,1)*IF(Sync!$AC982="",0,Sync!$AC982))</f>
        <v/>
      </c>
      <c r="O986">
        <f>IF(OR($G986="",Sync!$V982=""),"",Sync!$V982)</f>
        <v/>
      </c>
      <c r="P986">
        <f>IF(OR($G986="",Sync!$AD982=""),"",Sync!$AD982)</f>
        <v/>
      </c>
      <c r="Q986">
        <f>IF($G986="","",IF(Sync!$U982="","0000",IF(AND(ISNUMBER(Sync!$U982),Sync!$U982&gt;=0,Sync!$U982&lt;1),RIGHT("00"&amp;HOUR(Sync!$U982),2)&amp;RIGHT("00"&amp;MINUTE(Sync!$U982),2),IFERROR(RIGHT("00"&amp;VALUE(LEFT(Sync!$U982,FIND(":",Sync!$U982)-1)),2)&amp;RIGHT("00"&amp;VALUE(MID(Sync!$U982,FIND(":",Sync!$U982)+1,2)),2),"0000"))))</f>
        <v/>
      </c>
    </row>
    <row r="987">
      <c r="A987">
        <f>IF(Sync!$T983="","",Sync!$T983)</f>
        <v/>
      </c>
      <c r="B987">
        <f>IF($A987="","",IF(ISNUMBER($A987),IF(AND($A987&gt;=10000101,$A987&lt;=99991231),INT($A987/10000),""),IFERROR(VALUE(TRIM(LEFT($A987,FIND("/",$A987)-1))),"")))</f>
        <v/>
      </c>
      <c r="C987">
        <f>IF(OR($A987="",$B987=""),"",IF(ISNUMBER($A987),INT(MOD($A987,10000)/100),IFERROR(VALUE(TRIM(LEFT(MID($A987,FIND("/",$A987)+1,20),FIND("/",MID($A987,FIND("/",$A987)+1,20))-1))),"")))</f>
        <v/>
      </c>
      <c r="D987">
        <f>IF(OR($A987="",$B987=""),"",IF(ISNUMBER($A987),MOD($A987,100),IFERROR(VALUE(TRIM(MID(MID($A987,FIND("/",$A987)+1,20),FIND("/",MID($A987,FIND("/",$A987)+1,20))+1,20))),"")))</f>
        <v/>
      </c>
      <c r="E987">
        <f>IF($A987="","",IF(OR($B987="",$C987="",$D987="",$B987&lt;1300,$B987&gt;1500,$C987&lt;1,$C987&gt;12,$D987&lt;1,$D987&gt;31),"نامعتبر",RIGHT("0000"&amp;$B987,4)&amp;"/"&amp;RIGHT("00"&amp;$C987,2)&amp;"/"&amp;RIGHT("00"&amp;$D987,2)))</f>
        <v/>
      </c>
      <c r="F987">
        <f>IF(OR($E987="",$E987="نامعتبر"),"",LEFT($E987,4)&amp;"/"&amp;MID($E987,6,2))</f>
        <v/>
      </c>
      <c r="G987">
        <f>IF(OR($E987="",$E987="نامعتبر",Sync!$X983=""),"",IF(AND(LEFT(UPPER(TRIM(Sync!$X983)),2)="SL",IFERROR(VLOOKUP(Sync!$W983,OpTbl,3,0),"")="فروش"),UPPER(TRIM(Sync!$X983)),""))</f>
        <v/>
      </c>
      <c r="H987">
        <f>IF($G987="","",IF(Sync!$W983="","",Sync!$W983))</f>
        <v/>
      </c>
      <c r="I987">
        <f>IF(OR($G987="",Sync!$Y983=""),"",Sync!$Y983)</f>
        <v/>
      </c>
      <c r="J987">
        <f>IF(OR($G987="",Sync!$Z983=""),"",Sync!$Z983)</f>
        <v/>
      </c>
      <c r="K987">
        <f>IF($G987="",0,IF(Sync!$AA983="",0,Sync!$AA983))</f>
        <v/>
      </c>
      <c r="L987">
        <f>IF($G987="",0,IF(Sync!$AB983="",0,Sync!$AB983))</f>
        <v/>
      </c>
      <c r="M987">
        <f>IF($G987="","",IF($H987="مرجوعی فروش",-1,1)*($K987-$L987*IFERROR(VLOOKUP("P01",ParamTbl,3,0),1.5)))</f>
        <v/>
      </c>
      <c r="N987">
        <f>IF($G987="",0,IF($H987="مرجوعی فروش",-1,1)*IF(Sync!$AC983="",0,Sync!$AC983))</f>
        <v/>
      </c>
      <c r="O987">
        <f>IF(OR($G987="",Sync!$V983=""),"",Sync!$V983)</f>
        <v/>
      </c>
      <c r="P987">
        <f>IF(OR($G987="",Sync!$AD983=""),"",Sync!$AD983)</f>
        <v/>
      </c>
      <c r="Q987">
        <f>IF($G987="","",IF(Sync!$U983="","0000",IF(AND(ISNUMBER(Sync!$U983),Sync!$U983&gt;=0,Sync!$U983&lt;1),RIGHT("00"&amp;HOUR(Sync!$U983),2)&amp;RIGHT("00"&amp;MINUTE(Sync!$U983),2),IFERROR(RIGHT("00"&amp;VALUE(LEFT(Sync!$U983,FIND(":",Sync!$U983)-1)),2)&amp;RIGHT("00"&amp;VALUE(MID(Sync!$U983,FIND(":",Sync!$U983)+1,2)),2),"0000"))))</f>
        <v/>
      </c>
    </row>
    <row r="988">
      <c r="A988">
        <f>IF(Sync!$T984="","",Sync!$T984)</f>
        <v/>
      </c>
      <c r="B988">
        <f>IF($A988="","",IF(ISNUMBER($A988),IF(AND($A988&gt;=10000101,$A988&lt;=99991231),INT($A988/10000),""),IFERROR(VALUE(TRIM(LEFT($A988,FIND("/",$A988)-1))),"")))</f>
        <v/>
      </c>
      <c r="C988">
        <f>IF(OR($A988="",$B988=""),"",IF(ISNUMBER($A988),INT(MOD($A988,10000)/100),IFERROR(VALUE(TRIM(LEFT(MID($A988,FIND("/",$A988)+1,20),FIND("/",MID($A988,FIND("/",$A988)+1,20))-1))),"")))</f>
        <v/>
      </c>
      <c r="D988">
        <f>IF(OR($A988="",$B988=""),"",IF(ISNUMBER($A988),MOD($A988,100),IFERROR(VALUE(TRIM(MID(MID($A988,FIND("/",$A988)+1,20),FIND("/",MID($A988,FIND("/",$A988)+1,20))+1,20))),"")))</f>
        <v/>
      </c>
      <c r="E988">
        <f>IF($A988="","",IF(OR($B988="",$C988="",$D988="",$B988&lt;1300,$B988&gt;1500,$C988&lt;1,$C988&gt;12,$D988&lt;1,$D988&gt;31),"نامعتبر",RIGHT("0000"&amp;$B988,4)&amp;"/"&amp;RIGHT("00"&amp;$C988,2)&amp;"/"&amp;RIGHT("00"&amp;$D988,2)))</f>
        <v/>
      </c>
      <c r="F988">
        <f>IF(OR($E988="",$E988="نامعتبر"),"",LEFT($E988,4)&amp;"/"&amp;MID($E988,6,2))</f>
        <v/>
      </c>
      <c r="G988">
        <f>IF(OR($E988="",$E988="نامعتبر",Sync!$X984=""),"",IF(AND(LEFT(UPPER(TRIM(Sync!$X984)),2)="SL",IFERROR(VLOOKUP(Sync!$W984,OpTbl,3,0),"")="فروش"),UPPER(TRIM(Sync!$X984)),""))</f>
        <v/>
      </c>
      <c r="H988">
        <f>IF($G988="","",IF(Sync!$W984="","",Sync!$W984))</f>
        <v/>
      </c>
      <c r="I988">
        <f>IF(OR($G988="",Sync!$Y984=""),"",Sync!$Y984)</f>
        <v/>
      </c>
      <c r="J988">
        <f>IF(OR($G988="",Sync!$Z984=""),"",Sync!$Z984)</f>
        <v/>
      </c>
      <c r="K988">
        <f>IF($G988="",0,IF(Sync!$AA984="",0,Sync!$AA984))</f>
        <v/>
      </c>
      <c r="L988">
        <f>IF($G988="",0,IF(Sync!$AB984="",0,Sync!$AB984))</f>
        <v/>
      </c>
      <c r="M988">
        <f>IF($G988="","",IF($H988="مرجوعی فروش",-1,1)*($K988-$L988*IFERROR(VLOOKUP("P01",ParamTbl,3,0),1.5)))</f>
        <v/>
      </c>
      <c r="N988">
        <f>IF($G988="",0,IF($H988="مرجوعی فروش",-1,1)*IF(Sync!$AC984="",0,Sync!$AC984))</f>
        <v/>
      </c>
      <c r="O988">
        <f>IF(OR($G988="",Sync!$V984=""),"",Sync!$V984)</f>
        <v/>
      </c>
      <c r="P988">
        <f>IF(OR($G988="",Sync!$AD984=""),"",Sync!$AD984)</f>
        <v/>
      </c>
      <c r="Q988">
        <f>IF($G988="","",IF(Sync!$U984="","0000",IF(AND(ISNUMBER(Sync!$U984),Sync!$U984&gt;=0,Sync!$U984&lt;1),RIGHT("00"&amp;HOUR(Sync!$U984),2)&amp;RIGHT("00"&amp;MINUTE(Sync!$U984),2),IFERROR(RIGHT("00"&amp;VALUE(LEFT(Sync!$U984,FIND(":",Sync!$U984)-1)),2)&amp;RIGHT("00"&amp;VALUE(MID(Sync!$U984,FIND(":",Sync!$U984)+1,2)),2),"0000"))))</f>
        <v/>
      </c>
    </row>
    <row r="989">
      <c r="A989">
        <f>IF(Sync!$T985="","",Sync!$T985)</f>
        <v/>
      </c>
      <c r="B989">
        <f>IF($A989="","",IF(ISNUMBER($A989),IF(AND($A989&gt;=10000101,$A989&lt;=99991231),INT($A989/10000),""),IFERROR(VALUE(TRIM(LEFT($A989,FIND("/",$A989)-1))),"")))</f>
        <v/>
      </c>
      <c r="C989">
        <f>IF(OR($A989="",$B989=""),"",IF(ISNUMBER($A989),INT(MOD($A989,10000)/100),IFERROR(VALUE(TRIM(LEFT(MID($A989,FIND("/",$A989)+1,20),FIND("/",MID($A989,FIND("/",$A989)+1,20))-1))),"")))</f>
        <v/>
      </c>
      <c r="D989">
        <f>IF(OR($A989="",$B989=""),"",IF(ISNUMBER($A989),MOD($A989,100),IFERROR(VALUE(TRIM(MID(MID($A989,FIND("/",$A989)+1,20),FIND("/",MID($A989,FIND("/",$A989)+1,20))+1,20))),"")))</f>
        <v/>
      </c>
      <c r="E989">
        <f>IF($A989="","",IF(OR($B989="",$C989="",$D989="",$B989&lt;1300,$B989&gt;1500,$C989&lt;1,$C989&gt;12,$D989&lt;1,$D989&gt;31),"نامعتبر",RIGHT("0000"&amp;$B989,4)&amp;"/"&amp;RIGHT("00"&amp;$C989,2)&amp;"/"&amp;RIGHT("00"&amp;$D989,2)))</f>
        <v/>
      </c>
      <c r="F989">
        <f>IF(OR($E989="",$E989="نامعتبر"),"",LEFT($E989,4)&amp;"/"&amp;MID($E989,6,2))</f>
        <v/>
      </c>
      <c r="G989">
        <f>IF(OR($E989="",$E989="نامعتبر",Sync!$X985=""),"",IF(AND(LEFT(UPPER(TRIM(Sync!$X985)),2)="SL",IFERROR(VLOOKUP(Sync!$W985,OpTbl,3,0),"")="فروش"),UPPER(TRIM(Sync!$X985)),""))</f>
        <v/>
      </c>
      <c r="H989">
        <f>IF($G989="","",IF(Sync!$W985="","",Sync!$W985))</f>
        <v/>
      </c>
      <c r="I989">
        <f>IF(OR($G989="",Sync!$Y985=""),"",Sync!$Y985)</f>
        <v/>
      </c>
      <c r="J989">
        <f>IF(OR($G989="",Sync!$Z985=""),"",Sync!$Z985)</f>
        <v/>
      </c>
      <c r="K989">
        <f>IF($G989="",0,IF(Sync!$AA985="",0,Sync!$AA985))</f>
        <v/>
      </c>
      <c r="L989">
        <f>IF($G989="",0,IF(Sync!$AB985="",0,Sync!$AB985))</f>
        <v/>
      </c>
      <c r="M989">
        <f>IF($G989="","",IF($H989="مرجوعی فروش",-1,1)*($K989-$L989*IFERROR(VLOOKUP("P01",ParamTbl,3,0),1.5)))</f>
        <v/>
      </c>
      <c r="N989">
        <f>IF($G989="",0,IF($H989="مرجوعی فروش",-1,1)*IF(Sync!$AC985="",0,Sync!$AC985))</f>
        <v/>
      </c>
      <c r="O989">
        <f>IF(OR($G989="",Sync!$V985=""),"",Sync!$V985)</f>
        <v/>
      </c>
      <c r="P989">
        <f>IF(OR($G989="",Sync!$AD985=""),"",Sync!$AD985)</f>
        <v/>
      </c>
      <c r="Q989">
        <f>IF($G989="","",IF(Sync!$U985="","0000",IF(AND(ISNUMBER(Sync!$U985),Sync!$U985&gt;=0,Sync!$U985&lt;1),RIGHT("00"&amp;HOUR(Sync!$U985),2)&amp;RIGHT("00"&amp;MINUTE(Sync!$U985),2),IFERROR(RIGHT("00"&amp;VALUE(LEFT(Sync!$U985,FIND(":",Sync!$U985)-1)),2)&amp;RIGHT("00"&amp;VALUE(MID(Sync!$U985,FIND(":",Sync!$U985)+1,2)),2),"0000"))))</f>
        <v/>
      </c>
    </row>
    <row r="990">
      <c r="A990">
        <f>IF(Sync!$T986="","",Sync!$T986)</f>
        <v/>
      </c>
      <c r="B990">
        <f>IF($A990="","",IF(ISNUMBER($A990),IF(AND($A990&gt;=10000101,$A990&lt;=99991231),INT($A990/10000),""),IFERROR(VALUE(TRIM(LEFT($A990,FIND("/",$A990)-1))),"")))</f>
        <v/>
      </c>
      <c r="C990">
        <f>IF(OR($A990="",$B990=""),"",IF(ISNUMBER($A990),INT(MOD($A990,10000)/100),IFERROR(VALUE(TRIM(LEFT(MID($A990,FIND("/",$A990)+1,20),FIND("/",MID($A990,FIND("/",$A990)+1,20))-1))),"")))</f>
        <v/>
      </c>
      <c r="D990">
        <f>IF(OR($A990="",$B990=""),"",IF(ISNUMBER($A990),MOD($A990,100),IFERROR(VALUE(TRIM(MID(MID($A990,FIND("/",$A990)+1,20),FIND("/",MID($A990,FIND("/",$A990)+1,20))+1,20))),"")))</f>
        <v/>
      </c>
      <c r="E990">
        <f>IF($A990="","",IF(OR($B990="",$C990="",$D990="",$B990&lt;1300,$B990&gt;1500,$C990&lt;1,$C990&gt;12,$D990&lt;1,$D990&gt;31),"نامعتبر",RIGHT("0000"&amp;$B990,4)&amp;"/"&amp;RIGHT("00"&amp;$C990,2)&amp;"/"&amp;RIGHT("00"&amp;$D990,2)))</f>
        <v/>
      </c>
      <c r="F990">
        <f>IF(OR($E990="",$E990="نامعتبر"),"",LEFT($E990,4)&amp;"/"&amp;MID($E990,6,2))</f>
        <v/>
      </c>
      <c r="G990">
        <f>IF(OR($E990="",$E990="نامعتبر",Sync!$X986=""),"",IF(AND(LEFT(UPPER(TRIM(Sync!$X986)),2)="SL",IFERROR(VLOOKUP(Sync!$W986,OpTbl,3,0),"")="فروش"),UPPER(TRIM(Sync!$X986)),""))</f>
        <v/>
      </c>
      <c r="H990">
        <f>IF($G990="","",IF(Sync!$W986="","",Sync!$W986))</f>
        <v/>
      </c>
      <c r="I990">
        <f>IF(OR($G990="",Sync!$Y986=""),"",Sync!$Y986)</f>
        <v/>
      </c>
      <c r="J990">
        <f>IF(OR($G990="",Sync!$Z986=""),"",Sync!$Z986)</f>
        <v/>
      </c>
      <c r="K990">
        <f>IF($G990="",0,IF(Sync!$AA986="",0,Sync!$AA986))</f>
        <v/>
      </c>
      <c r="L990">
        <f>IF($G990="",0,IF(Sync!$AB986="",0,Sync!$AB986))</f>
        <v/>
      </c>
      <c r="M990">
        <f>IF($G990="","",IF($H990="مرجوعی فروش",-1,1)*($K990-$L990*IFERROR(VLOOKUP("P01",ParamTbl,3,0),1.5)))</f>
        <v/>
      </c>
      <c r="N990">
        <f>IF($G990="",0,IF($H990="مرجوعی فروش",-1,1)*IF(Sync!$AC986="",0,Sync!$AC986))</f>
        <v/>
      </c>
      <c r="O990">
        <f>IF(OR($G990="",Sync!$V986=""),"",Sync!$V986)</f>
        <v/>
      </c>
      <c r="P990">
        <f>IF(OR($G990="",Sync!$AD986=""),"",Sync!$AD986)</f>
        <v/>
      </c>
      <c r="Q990">
        <f>IF($G990="","",IF(Sync!$U986="","0000",IF(AND(ISNUMBER(Sync!$U986),Sync!$U986&gt;=0,Sync!$U986&lt;1),RIGHT("00"&amp;HOUR(Sync!$U986),2)&amp;RIGHT("00"&amp;MINUTE(Sync!$U986),2),IFERROR(RIGHT("00"&amp;VALUE(LEFT(Sync!$U986,FIND(":",Sync!$U986)-1)),2)&amp;RIGHT("00"&amp;VALUE(MID(Sync!$U986,FIND(":",Sync!$U986)+1,2)),2),"0000"))))</f>
        <v/>
      </c>
    </row>
    <row r="991">
      <c r="A991">
        <f>IF(Sync!$T987="","",Sync!$T987)</f>
        <v/>
      </c>
      <c r="B991">
        <f>IF($A991="","",IF(ISNUMBER($A991),IF(AND($A991&gt;=10000101,$A991&lt;=99991231),INT($A991/10000),""),IFERROR(VALUE(TRIM(LEFT($A991,FIND("/",$A991)-1))),"")))</f>
        <v/>
      </c>
      <c r="C991">
        <f>IF(OR($A991="",$B991=""),"",IF(ISNUMBER($A991),INT(MOD($A991,10000)/100),IFERROR(VALUE(TRIM(LEFT(MID($A991,FIND("/",$A991)+1,20),FIND("/",MID($A991,FIND("/",$A991)+1,20))-1))),"")))</f>
        <v/>
      </c>
      <c r="D991">
        <f>IF(OR($A991="",$B991=""),"",IF(ISNUMBER($A991),MOD($A991,100),IFERROR(VALUE(TRIM(MID(MID($A991,FIND("/",$A991)+1,20),FIND("/",MID($A991,FIND("/",$A991)+1,20))+1,20))),"")))</f>
        <v/>
      </c>
      <c r="E991">
        <f>IF($A991="","",IF(OR($B991="",$C991="",$D991="",$B991&lt;1300,$B991&gt;1500,$C991&lt;1,$C991&gt;12,$D991&lt;1,$D991&gt;31),"نامعتبر",RIGHT("0000"&amp;$B991,4)&amp;"/"&amp;RIGHT("00"&amp;$C991,2)&amp;"/"&amp;RIGHT("00"&amp;$D991,2)))</f>
        <v/>
      </c>
      <c r="F991">
        <f>IF(OR($E991="",$E991="نامعتبر"),"",LEFT($E991,4)&amp;"/"&amp;MID($E991,6,2))</f>
        <v/>
      </c>
      <c r="G991">
        <f>IF(OR($E991="",$E991="نامعتبر",Sync!$X987=""),"",IF(AND(LEFT(UPPER(TRIM(Sync!$X987)),2)="SL",IFERROR(VLOOKUP(Sync!$W987,OpTbl,3,0),"")="فروش"),UPPER(TRIM(Sync!$X987)),""))</f>
        <v/>
      </c>
      <c r="H991">
        <f>IF($G991="","",IF(Sync!$W987="","",Sync!$W987))</f>
        <v/>
      </c>
      <c r="I991">
        <f>IF(OR($G991="",Sync!$Y987=""),"",Sync!$Y987)</f>
        <v/>
      </c>
      <c r="J991">
        <f>IF(OR($G991="",Sync!$Z987=""),"",Sync!$Z987)</f>
        <v/>
      </c>
      <c r="K991">
        <f>IF($G991="",0,IF(Sync!$AA987="",0,Sync!$AA987))</f>
        <v/>
      </c>
      <c r="L991">
        <f>IF($G991="",0,IF(Sync!$AB987="",0,Sync!$AB987))</f>
        <v/>
      </c>
      <c r="M991">
        <f>IF($G991="","",IF($H991="مرجوعی فروش",-1,1)*($K991-$L991*IFERROR(VLOOKUP("P01",ParamTbl,3,0),1.5)))</f>
        <v/>
      </c>
      <c r="N991">
        <f>IF($G991="",0,IF($H991="مرجوعی فروش",-1,1)*IF(Sync!$AC987="",0,Sync!$AC987))</f>
        <v/>
      </c>
      <c r="O991">
        <f>IF(OR($G991="",Sync!$V987=""),"",Sync!$V987)</f>
        <v/>
      </c>
      <c r="P991">
        <f>IF(OR($G991="",Sync!$AD987=""),"",Sync!$AD987)</f>
        <v/>
      </c>
      <c r="Q991">
        <f>IF($G991="","",IF(Sync!$U987="","0000",IF(AND(ISNUMBER(Sync!$U987),Sync!$U987&gt;=0,Sync!$U987&lt;1),RIGHT("00"&amp;HOUR(Sync!$U987),2)&amp;RIGHT("00"&amp;MINUTE(Sync!$U987),2),IFERROR(RIGHT("00"&amp;VALUE(LEFT(Sync!$U987,FIND(":",Sync!$U987)-1)),2)&amp;RIGHT("00"&amp;VALUE(MID(Sync!$U987,FIND(":",Sync!$U987)+1,2)),2),"0000"))))</f>
        <v/>
      </c>
    </row>
    <row r="992">
      <c r="A992">
        <f>IF(Sync!$T988="","",Sync!$T988)</f>
        <v/>
      </c>
      <c r="B992">
        <f>IF($A992="","",IF(ISNUMBER($A992),IF(AND($A992&gt;=10000101,$A992&lt;=99991231),INT($A992/10000),""),IFERROR(VALUE(TRIM(LEFT($A992,FIND("/",$A992)-1))),"")))</f>
        <v/>
      </c>
      <c r="C992">
        <f>IF(OR($A992="",$B992=""),"",IF(ISNUMBER($A992),INT(MOD($A992,10000)/100),IFERROR(VALUE(TRIM(LEFT(MID($A992,FIND("/",$A992)+1,20),FIND("/",MID($A992,FIND("/",$A992)+1,20))-1))),"")))</f>
        <v/>
      </c>
      <c r="D992">
        <f>IF(OR($A992="",$B992=""),"",IF(ISNUMBER($A992),MOD($A992,100),IFERROR(VALUE(TRIM(MID(MID($A992,FIND("/",$A992)+1,20),FIND("/",MID($A992,FIND("/",$A992)+1,20))+1,20))),"")))</f>
        <v/>
      </c>
      <c r="E992">
        <f>IF($A992="","",IF(OR($B992="",$C992="",$D992="",$B992&lt;1300,$B992&gt;1500,$C992&lt;1,$C992&gt;12,$D992&lt;1,$D992&gt;31),"نامعتبر",RIGHT("0000"&amp;$B992,4)&amp;"/"&amp;RIGHT("00"&amp;$C992,2)&amp;"/"&amp;RIGHT("00"&amp;$D992,2)))</f>
        <v/>
      </c>
      <c r="F992">
        <f>IF(OR($E992="",$E992="نامعتبر"),"",LEFT($E992,4)&amp;"/"&amp;MID($E992,6,2))</f>
        <v/>
      </c>
      <c r="G992">
        <f>IF(OR($E992="",$E992="نامعتبر",Sync!$X988=""),"",IF(AND(LEFT(UPPER(TRIM(Sync!$X988)),2)="SL",IFERROR(VLOOKUP(Sync!$W988,OpTbl,3,0),"")="فروش"),UPPER(TRIM(Sync!$X988)),""))</f>
        <v/>
      </c>
      <c r="H992">
        <f>IF($G992="","",IF(Sync!$W988="","",Sync!$W988))</f>
        <v/>
      </c>
      <c r="I992">
        <f>IF(OR($G992="",Sync!$Y988=""),"",Sync!$Y988)</f>
        <v/>
      </c>
      <c r="J992">
        <f>IF(OR($G992="",Sync!$Z988=""),"",Sync!$Z988)</f>
        <v/>
      </c>
      <c r="K992">
        <f>IF($G992="",0,IF(Sync!$AA988="",0,Sync!$AA988))</f>
        <v/>
      </c>
      <c r="L992">
        <f>IF($G992="",0,IF(Sync!$AB988="",0,Sync!$AB988))</f>
        <v/>
      </c>
      <c r="M992">
        <f>IF($G992="","",IF($H992="مرجوعی فروش",-1,1)*($K992-$L992*IFERROR(VLOOKUP("P01",ParamTbl,3,0),1.5)))</f>
        <v/>
      </c>
      <c r="N992">
        <f>IF($G992="",0,IF($H992="مرجوعی فروش",-1,1)*IF(Sync!$AC988="",0,Sync!$AC988))</f>
        <v/>
      </c>
      <c r="O992">
        <f>IF(OR($G992="",Sync!$V988=""),"",Sync!$V988)</f>
        <v/>
      </c>
      <c r="P992">
        <f>IF(OR($G992="",Sync!$AD988=""),"",Sync!$AD988)</f>
        <v/>
      </c>
      <c r="Q992">
        <f>IF($G992="","",IF(Sync!$U988="","0000",IF(AND(ISNUMBER(Sync!$U988),Sync!$U988&gt;=0,Sync!$U988&lt;1),RIGHT("00"&amp;HOUR(Sync!$U988),2)&amp;RIGHT("00"&amp;MINUTE(Sync!$U988),2),IFERROR(RIGHT("00"&amp;VALUE(LEFT(Sync!$U988,FIND(":",Sync!$U988)-1)),2)&amp;RIGHT("00"&amp;VALUE(MID(Sync!$U988,FIND(":",Sync!$U988)+1,2)),2),"0000"))))</f>
        <v/>
      </c>
    </row>
    <row r="993">
      <c r="A993">
        <f>IF(Sync!$T989="","",Sync!$T989)</f>
        <v/>
      </c>
      <c r="B993">
        <f>IF($A993="","",IF(ISNUMBER($A993),IF(AND($A993&gt;=10000101,$A993&lt;=99991231),INT($A993/10000),""),IFERROR(VALUE(TRIM(LEFT($A993,FIND("/",$A993)-1))),"")))</f>
        <v/>
      </c>
      <c r="C993">
        <f>IF(OR($A993="",$B993=""),"",IF(ISNUMBER($A993),INT(MOD($A993,10000)/100),IFERROR(VALUE(TRIM(LEFT(MID($A993,FIND("/",$A993)+1,20),FIND("/",MID($A993,FIND("/",$A993)+1,20))-1))),"")))</f>
        <v/>
      </c>
      <c r="D993">
        <f>IF(OR($A993="",$B993=""),"",IF(ISNUMBER($A993),MOD($A993,100),IFERROR(VALUE(TRIM(MID(MID($A993,FIND("/",$A993)+1,20),FIND("/",MID($A993,FIND("/",$A993)+1,20))+1,20))),"")))</f>
        <v/>
      </c>
      <c r="E993">
        <f>IF($A993="","",IF(OR($B993="",$C993="",$D993="",$B993&lt;1300,$B993&gt;1500,$C993&lt;1,$C993&gt;12,$D993&lt;1,$D993&gt;31),"نامعتبر",RIGHT("0000"&amp;$B993,4)&amp;"/"&amp;RIGHT("00"&amp;$C993,2)&amp;"/"&amp;RIGHT("00"&amp;$D993,2)))</f>
        <v/>
      </c>
      <c r="F993">
        <f>IF(OR($E993="",$E993="نامعتبر"),"",LEFT($E993,4)&amp;"/"&amp;MID($E993,6,2))</f>
        <v/>
      </c>
      <c r="G993">
        <f>IF(OR($E993="",$E993="نامعتبر",Sync!$X989=""),"",IF(AND(LEFT(UPPER(TRIM(Sync!$X989)),2)="SL",IFERROR(VLOOKUP(Sync!$W989,OpTbl,3,0),"")="فروش"),UPPER(TRIM(Sync!$X989)),""))</f>
        <v/>
      </c>
      <c r="H993">
        <f>IF($G993="","",IF(Sync!$W989="","",Sync!$W989))</f>
        <v/>
      </c>
      <c r="I993">
        <f>IF(OR($G993="",Sync!$Y989=""),"",Sync!$Y989)</f>
        <v/>
      </c>
      <c r="J993">
        <f>IF(OR($G993="",Sync!$Z989=""),"",Sync!$Z989)</f>
        <v/>
      </c>
      <c r="K993">
        <f>IF($G993="",0,IF(Sync!$AA989="",0,Sync!$AA989))</f>
        <v/>
      </c>
      <c r="L993">
        <f>IF($G993="",0,IF(Sync!$AB989="",0,Sync!$AB989))</f>
        <v/>
      </c>
      <c r="M993">
        <f>IF($G993="","",IF($H993="مرجوعی فروش",-1,1)*($K993-$L993*IFERROR(VLOOKUP("P01",ParamTbl,3,0),1.5)))</f>
        <v/>
      </c>
      <c r="N993">
        <f>IF($G993="",0,IF($H993="مرجوعی فروش",-1,1)*IF(Sync!$AC989="",0,Sync!$AC989))</f>
        <v/>
      </c>
      <c r="O993">
        <f>IF(OR($G993="",Sync!$V989=""),"",Sync!$V989)</f>
        <v/>
      </c>
      <c r="P993">
        <f>IF(OR($G993="",Sync!$AD989=""),"",Sync!$AD989)</f>
        <v/>
      </c>
      <c r="Q993">
        <f>IF($G993="","",IF(Sync!$U989="","0000",IF(AND(ISNUMBER(Sync!$U989),Sync!$U989&gt;=0,Sync!$U989&lt;1),RIGHT("00"&amp;HOUR(Sync!$U989),2)&amp;RIGHT("00"&amp;MINUTE(Sync!$U989),2),IFERROR(RIGHT("00"&amp;VALUE(LEFT(Sync!$U989,FIND(":",Sync!$U989)-1)),2)&amp;RIGHT("00"&amp;VALUE(MID(Sync!$U989,FIND(":",Sync!$U989)+1,2)),2),"0000"))))</f>
        <v/>
      </c>
    </row>
    <row r="994">
      <c r="A994">
        <f>IF(Sync!$T990="","",Sync!$T990)</f>
        <v/>
      </c>
      <c r="B994">
        <f>IF($A994="","",IF(ISNUMBER($A994),IF(AND($A994&gt;=10000101,$A994&lt;=99991231),INT($A994/10000),""),IFERROR(VALUE(TRIM(LEFT($A994,FIND("/",$A994)-1))),"")))</f>
        <v/>
      </c>
      <c r="C994">
        <f>IF(OR($A994="",$B994=""),"",IF(ISNUMBER($A994),INT(MOD($A994,10000)/100),IFERROR(VALUE(TRIM(LEFT(MID($A994,FIND("/",$A994)+1,20),FIND("/",MID($A994,FIND("/",$A994)+1,20))-1))),"")))</f>
        <v/>
      </c>
      <c r="D994">
        <f>IF(OR($A994="",$B994=""),"",IF(ISNUMBER($A994),MOD($A994,100),IFERROR(VALUE(TRIM(MID(MID($A994,FIND("/",$A994)+1,20),FIND("/",MID($A994,FIND("/",$A994)+1,20))+1,20))),"")))</f>
        <v/>
      </c>
      <c r="E994">
        <f>IF($A994="","",IF(OR($B994="",$C994="",$D994="",$B994&lt;1300,$B994&gt;1500,$C994&lt;1,$C994&gt;12,$D994&lt;1,$D994&gt;31),"نامعتبر",RIGHT("0000"&amp;$B994,4)&amp;"/"&amp;RIGHT("00"&amp;$C994,2)&amp;"/"&amp;RIGHT("00"&amp;$D994,2)))</f>
        <v/>
      </c>
      <c r="F994">
        <f>IF(OR($E994="",$E994="نامعتبر"),"",LEFT($E994,4)&amp;"/"&amp;MID($E994,6,2))</f>
        <v/>
      </c>
      <c r="G994">
        <f>IF(OR($E994="",$E994="نامعتبر",Sync!$X990=""),"",IF(AND(LEFT(UPPER(TRIM(Sync!$X990)),2)="SL",IFERROR(VLOOKUP(Sync!$W990,OpTbl,3,0),"")="فروش"),UPPER(TRIM(Sync!$X990)),""))</f>
        <v/>
      </c>
      <c r="H994">
        <f>IF($G994="","",IF(Sync!$W990="","",Sync!$W990))</f>
        <v/>
      </c>
      <c r="I994">
        <f>IF(OR($G994="",Sync!$Y990=""),"",Sync!$Y990)</f>
        <v/>
      </c>
      <c r="J994">
        <f>IF(OR($G994="",Sync!$Z990=""),"",Sync!$Z990)</f>
        <v/>
      </c>
      <c r="K994">
        <f>IF($G994="",0,IF(Sync!$AA990="",0,Sync!$AA990))</f>
        <v/>
      </c>
      <c r="L994">
        <f>IF($G994="",0,IF(Sync!$AB990="",0,Sync!$AB990))</f>
        <v/>
      </c>
      <c r="M994">
        <f>IF($G994="","",IF($H994="مرجوعی فروش",-1,1)*($K994-$L994*IFERROR(VLOOKUP("P01",ParamTbl,3,0),1.5)))</f>
        <v/>
      </c>
      <c r="N994">
        <f>IF($G994="",0,IF($H994="مرجوعی فروش",-1,1)*IF(Sync!$AC990="",0,Sync!$AC990))</f>
        <v/>
      </c>
      <c r="O994">
        <f>IF(OR($G994="",Sync!$V990=""),"",Sync!$V990)</f>
        <v/>
      </c>
      <c r="P994">
        <f>IF(OR($G994="",Sync!$AD990=""),"",Sync!$AD990)</f>
        <v/>
      </c>
      <c r="Q994">
        <f>IF($G994="","",IF(Sync!$U990="","0000",IF(AND(ISNUMBER(Sync!$U990),Sync!$U990&gt;=0,Sync!$U990&lt;1),RIGHT("00"&amp;HOUR(Sync!$U990),2)&amp;RIGHT("00"&amp;MINUTE(Sync!$U990),2),IFERROR(RIGHT("00"&amp;VALUE(LEFT(Sync!$U990,FIND(":",Sync!$U990)-1)),2)&amp;RIGHT("00"&amp;VALUE(MID(Sync!$U990,FIND(":",Sync!$U990)+1,2)),2),"0000"))))</f>
        <v/>
      </c>
    </row>
    <row r="995">
      <c r="A995">
        <f>IF(Sync!$T991="","",Sync!$T991)</f>
        <v/>
      </c>
      <c r="B995">
        <f>IF($A995="","",IF(ISNUMBER($A995),IF(AND($A995&gt;=10000101,$A995&lt;=99991231),INT($A995/10000),""),IFERROR(VALUE(TRIM(LEFT($A995,FIND("/",$A995)-1))),"")))</f>
        <v/>
      </c>
      <c r="C995">
        <f>IF(OR($A995="",$B995=""),"",IF(ISNUMBER($A995),INT(MOD($A995,10000)/100),IFERROR(VALUE(TRIM(LEFT(MID($A995,FIND("/",$A995)+1,20),FIND("/",MID($A995,FIND("/",$A995)+1,20))-1))),"")))</f>
        <v/>
      </c>
      <c r="D995">
        <f>IF(OR($A995="",$B995=""),"",IF(ISNUMBER($A995),MOD($A995,100),IFERROR(VALUE(TRIM(MID(MID($A995,FIND("/",$A995)+1,20),FIND("/",MID($A995,FIND("/",$A995)+1,20))+1,20))),"")))</f>
        <v/>
      </c>
      <c r="E995">
        <f>IF($A995="","",IF(OR($B995="",$C995="",$D995="",$B995&lt;1300,$B995&gt;1500,$C995&lt;1,$C995&gt;12,$D995&lt;1,$D995&gt;31),"نامعتبر",RIGHT("0000"&amp;$B995,4)&amp;"/"&amp;RIGHT("00"&amp;$C995,2)&amp;"/"&amp;RIGHT("00"&amp;$D995,2)))</f>
        <v/>
      </c>
      <c r="F995">
        <f>IF(OR($E995="",$E995="نامعتبر"),"",LEFT($E995,4)&amp;"/"&amp;MID($E995,6,2))</f>
        <v/>
      </c>
      <c r="G995">
        <f>IF(OR($E995="",$E995="نامعتبر",Sync!$X991=""),"",IF(AND(LEFT(UPPER(TRIM(Sync!$X991)),2)="SL",IFERROR(VLOOKUP(Sync!$W991,OpTbl,3,0),"")="فروش"),UPPER(TRIM(Sync!$X991)),""))</f>
        <v/>
      </c>
      <c r="H995">
        <f>IF($G995="","",IF(Sync!$W991="","",Sync!$W991))</f>
        <v/>
      </c>
      <c r="I995">
        <f>IF(OR($G995="",Sync!$Y991=""),"",Sync!$Y991)</f>
        <v/>
      </c>
      <c r="J995">
        <f>IF(OR($G995="",Sync!$Z991=""),"",Sync!$Z991)</f>
        <v/>
      </c>
      <c r="K995">
        <f>IF($G995="",0,IF(Sync!$AA991="",0,Sync!$AA991))</f>
        <v/>
      </c>
      <c r="L995">
        <f>IF($G995="",0,IF(Sync!$AB991="",0,Sync!$AB991))</f>
        <v/>
      </c>
      <c r="M995">
        <f>IF($G995="","",IF($H995="مرجوعی فروش",-1,1)*($K995-$L995*IFERROR(VLOOKUP("P01",ParamTbl,3,0),1.5)))</f>
        <v/>
      </c>
      <c r="N995">
        <f>IF($G995="",0,IF($H995="مرجوعی فروش",-1,1)*IF(Sync!$AC991="",0,Sync!$AC991))</f>
        <v/>
      </c>
      <c r="O995">
        <f>IF(OR($G995="",Sync!$V991=""),"",Sync!$V991)</f>
        <v/>
      </c>
      <c r="P995">
        <f>IF(OR($G995="",Sync!$AD991=""),"",Sync!$AD991)</f>
        <v/>
      </c>
      <c r="Q995">
        <f>IF($G995="","",IF(Sync!$U991="","0000",IF(AND(ISNUMBER(Sync!$U991),Sync!$U991&gt;=0,Sync!$U991&lt;1),RIGHT("00"&amp;HOUR(Sync!$U991),2)&amp;RIGHT("00"&amp;MINUTE(Sync!$U991),2),IFERROR(RIGHT("00"&amp;VALUE(LEFT(Sync!$U991,FIND(":",Sync!$U991)-1)),2)&amp;RIGHT("00"&amp;VALUE(MID(Sync!$U991,FIND(":",Sync!$U991)+1,2)),2),"0000"))))</f>
        <v/>
      </c>
    </row>
    <row r="996">
      <c r="A996">
        <f>IF(Sync!$T992="","",Sync!$T992)</f>
        <v/>
      </c>
      <c r="B996">
        <f>IF($A996="","",IF(ISNUMBER($A996),IF(AND($A996&gt;=10000101,$A996&lt;=99991231),INT($A996/10000),""),IFERROR(VALUE(TRIM(LEFT($A996,FIND("/",$A996)-1))),"")))</f>
        <v/>
      </c>
      <c r="C996">
        <f>IF(OR($A996="",$B996=""),"",IF(ISNUMBER($A996),INT(MOD($A996,10000)/100),IFERROR(VALUE(TRIM(LEFT(MID($A996,FIND("/",$A996)+1,20),FIND("/",MID($A996,FIND("/",$A996)+1,20))-1))),"")))</f>
        <v/>
      </c>
      <c r="D996">
        <f>IF(OR($A996="",$B996=""),"",IF(ISNUMBER($A996),MOD($A996,100),IFERROR(VALUE(TRIM(MID(MID($A996,FIND("/",$A996)+1,20),FIND("/",MID($A996,FIND("/",$A996)+1,20))+1,20))),"")))</f>
        <v/>
      </c>
      <c r="E996">
        <f>IF($A996="","",IF(OR($B996="",$C996="",$D996="",$B996&lt;1300,$B996&gt;1500,$C996&lt;1,$C996&gt;12,$D996&lt;1,$D996&gt;31),"نامعتبر",RIGHT("0000"&amp;$B996,4)&amp;"/"&amp;RIGHT("00"&amp;$C996,2)&amp;"/"&amp;RIGHT("00"&amp;$D996,2)))</f>
        <v/>
      </c>
      <c r="F996">
        <f>IF(OR($E996="",$E996="نامعتبر"),"",LEFT($E996,4)&amp;"/"&amp;MID($E996,6,2))</f>
        <v/>
      </c>
      <c r="G996">
        <f>IF(OR($E996="",$E996="نامعتبر",Sync!$X992=""),"",IF(AND(LEFT(UPPER(TRIM(Sync!$X992)),2)="SL",IFERROR(VLOOKUP(Sync!$W992,OpTbl,3,0),"")="فروش"),UPPER(TRIM(Sync!$X992)),""))</f>
        <v/>
      </c>
      <c r="H996">
        <f>IF($G996="","",IF(Sync!$W992="","",Sync!$W992))</f>
        <v/>
      </c>
      <c r="I996">
        <f>IF(OR($G996="",Sync!$Y992=""),"",Sync!$Y992)</f>
        <v/>
      </c>
      <c r="J996">
        <f>IF(OR($G996="",Sync!$Z992=""),"",Sync!$Z992)</f>
        <v/>
      </c>
      <c r="K996">
        <f>IF($G996="",0,IF(Sync!$AA992="",0,Sync!$AA992))</f>
        <v/>
      </c>
      <c r="L996">
        <f>IF($G996="",0,IF(Sync!$AB992="",0,Sync!$AB992))</f>
        <v/>
      </c>
      <c r="M996">
        <f>IF($G996="","",IF($H996="مرجوعی فروش",-1,1)*($K996-$L996*IFERROR(VLOOKUP("P01",ParamTbl,3,0),1.5)))</f>
        <v/>
      </c>
      <c r="N996">
        <f>IF($G996="",0,IF($H996="مرجوعی فروش",-1,1)*IF(Sync!$AC992="",0,Sync!$AC992))</f>
        <v/>
      </c>
      <c r="O996">
        <f>IF(OR($G996="",Sync!$V992=""),"",Sync!$V992)</f>
        <v/>
      </c>
      <c r="P996">
        <f>IF(OR($G996="",Sync!$AD992=""),"",Sync!$AD992)</f>
        <v/>
      </c>
      <c r="Q996">
        <f>IF($G996="","",IF(Sync!$U992="","0000",IF(AND(ISNUMBER(Sync!$U992),Sync!$U992&gt;=0,Sync!$U992&lt;1),RIGHT("00"&amp;HOUR(Sync!$U992),2)&amp;RIGHT("00"&amp;MINUTE(Sync!$U992),2),IFERROR(RIGHT("00"&amp;VALUE(LEFT(Sync!$U992,FIND(":",Sync!$U992)-1)),2)&amp;RIGHT("00"&amp;VALUE(MID(Sync!$U992,FIND(":",Sync!$U992)+1,2)),2),"0000"))))</f>
        <v/>
      </c>
    </row>
    <row r="997">
      <c r="A997">
        <f>IF(Sync!$T993="","",Sync!$T993)</f>
        <v/>
      </c>
      <c r="B997">
        <f>IF($A997="","",IF(ISNUMBER($A997),IF(AND($A997&gt;=10000101,$A997&lt;=99991231),INT($A997/10000),""),IFERROR(VALUE(TRIM(LEFT($A997,FIND("/",$A997)-1))),"")))</f>
        <v/>
      </c>
      <c r="C997">
        <f>IF(OR($A997="",$B997=""),"",IF(ISNUMBER($A997),INT(MOD($A997,10000)/100),IFERROR(VALUE(TRIM(LEFT(MID($A997,FIND("/",$A997)+1,20),FIND("/",MID($A997,FIND("/",$A997)+1,20))-1))),"")))</f>
        <v/>
      </c>
      <c r="D997">
        <f>IF(OR($A997="",$B997=""),"",IF(ISNUMBER($A997),MOD($A997,100),IFERROR(VALUE(TRIM(MID(MID($A997,FIND("/",$A997)+1,20),FIND("/",MID($A997,FIND("/",$A997)+1,20))+1,20))),"")))</f>
        <v/>
      </c>
      <c r="E997">
        <f>IF($A997="","",IF(OR($B997="",$C997="",$D997="",$B997&lt;1300,$B997&gt;1500,$C997&lt;1,$C997&gt;12,$D997&lt;1,$D997&gt;31),"نامعتبر",RIGHT("0000"&amp;$B997,4)&amp;"/"&amp;RIGHT("00"&amp;$C997,2)&amp;"/"&amp;RIGHT("00"&amp;$D997,2)))</f>
        <v/>
      </c>
      <c r="F997">
        <f>IF(OR($E997="",$E997="نامعتبر"),"",LEFT($E997,4)&amp;"/"&amp;MID($E997,6,2))</f>
        <v/>
      </c>
      <c r="G997">
        <f>IF(OR($E997="",$E997="نامعتبر",Sync!$X993=""),"",IF(AND(LEFT(UPPER(TRIM(Sync!$X993)),2)="SL",IFERROR(VLOOKUP(Sync!$W993,OpTbl,3,0),"")="فروش"),UPPER(TRIM(Sync!$X993)),""))</f>
        <v/>
      </c>
      <c r="H997">
        <f>IF($G997="","",IF(Sync!$W993="","",Sync!$W993))</f>
        <v/>
      </c>
      <c r="I997">
        <f>IF(OR($G997="",Sync!$Y993=""),"",Sync!$Y993)</f>
        <v/>
      </c>
      <c r="J997">
        <f>IF(OR($G997="",Sync!$Z993=""),"",Sync!$Z993)</f>
        <v/>
      </c>
      <c r="K997">
        <f>IF($G997="",0,IF(Sync!$AA993="",0,Sync!$AA993))</f>
        <v/>
      </c>
      <c r="L997">
        <f>IF($G997="",0,IF(Sync!$AB993="",0,Sync!$AB993))</f>
        <v/>
      </c>
      <c r="M997">
        <f>IF($G997="","",IF($H997="مرجوعی فروش",-1,1)*($K997-$L997*IFERROR(VLOOKUP("P01",ParamTbl,3,0),1.5)))</f>
        <v/>
      </c>
      <c r="N997">
        <f>IF($G997="",0,IF($H997="مرجوعی فروش",-1,1)*IF(Sync!$AC993="",0,Sync!$AC993))</f>
        <v/>
      </c>
      <c r="O997">
        <f>IF(OR($G997="",Sync!$V993=""),"",Sync!$V993)</f>
        <v/>
      </c>
      <c r="P997">
        <f>IF(OR($G997="",Sync!$AD993=""),"",Sync!$AD993)</f>
        <v/>
      </c>
      <c r="Q997">
        <f>IF($G997="","",IF(Sync!$U993="","0000",IF(AND(ISNUMBER(Sync!$U993),Sync!$U993&gt;=0,Sync!$U993&lt;1),RIGHT("00"&amp;HOUR(Sync!$U993),2)&amp;RIGHT("00"&amp;MINUTE(Sync!$U993),2),IFERROR(RIGHT("00"&amp;VALUE(LEFT(Sync!$U993,FIND(":",Sync!$U993)-1)),2)&amp;RIGHT("00"&amp;VALUE(MID(Sync!$U993,FIND(":",Sync!$U993)+1,2)),2),"0000"))))</f>
        <v/>
      </c>
    </row>
    <row r="998">
      <c r="A998">
        <f>IF(Sync!$T994="","",Sync!$T994)</f>
        <v/>
      </c>
      <c r="B998">
        <f>IF($A998="","",IF(ISNUMBER($A998),IF(AND($A998&gt;=10000101,$A998&lt;=99991231),INT($A998/10000),""),IFERROR(VALUE(TRIM(LEFT($A998,FIND("/",$A998)-1))),"")))</f>
        <v/>
      </c>
      <c r="C998">
        <f>IF(OR($A998="",$B998=""),"",IF(ISNUMBER($A998),INT(MOD($A998,10000)/100),IFERROR(VALUE(TRIM(LEFT(MID($A998,FIND("/",$A998)+1,20),FIND("/",MID($A998,FIND("/",$A998)+1,20))-1))),"")))</f>
        <v/>
      </c>
      <c r="D998">
        <f>IF(OR($A998="",$B998=""),"",IF(ISNUMBER($A998),MOD($A998,100),IFERROR(VALUE(TRIM(MID(MID($A998,FIND("/",$A998)+1,20),FIND("/",MID($A998,FIND("/",$A998)+1,20))+1,20))),"")))</f>
        <v/>
      </c>
      <c r="E998">
        <f>IF($A998="","",IF(OR($B998="",$C998="",$D998="",$B998&lt;1300,$B998&gt;1500,$C998&lt;1,$C998&gt;12,$D998&lt;1,$D998&gt;31),"نامعتبر",RIGHT("0000"&amp;$B998,4)&amp;"/"&amp;RIGHT("00"&amp;$C998,2)&amp;"/"&amp;RIGHT("00"&amp;$D998,2)))</f>
        <v/>
      </c>
      <c r="F998">
        <f>IF(OR($E998="",$E998="نامعتبر"),"",LEFT($E998,4)&amp;"/"&amp;MID($E998,6,2))</f>
        <v/>
      </c>
      <c r="G998">
        <f>IF(OR($E998="",$E998="نامعتبر",Sync!$X994=""),"",IF(AND(LEFT(UPPER(TRIM(Sync!$X994)),2)="SL",IFERROR(VLOOKUP(Sync!$W994,OpTbl,3,0),"")="فروش"),UPPER(TRIM(Sync!$X994)),""))</f>
        <v/>
      </c>
      <c r="H998">
        <f>IF($G998="","",IF(Sync!$W994="","",Sync!$W994))</f>
        <v/>
      </c>
      <c r="I998">
        <f>IF(OR($G998="",Sync!$Y994=""),"",Sync!$Y994)</f>
        <v/>
      </c>
      <c r="J998">
        <f>IF(OR($G998="",Sync!$Z994=""),"",Sync!$Z994)</f>
        <v/>
      </c>
      <c r="K998">
        <f>IF($G998="",0,IF(Sync!$AA994="",0,Sync!$AA994))</f>
        <v/>
      </c>
      <c r="L998">
        <f>IF($G998="",0,IF(Sync!$AB994="",0,Sync!$AB994))</f>
        <v/>
      </c>
      <c r="M998">
        <f>IF($G998="","",IF($H998="مرجوعی فروش",-1,1)*($K998-$L998*IFERROR(VLOOKUP("P01",ParamTbl,3,0),1.5)))</f>
        <v/>
      </c>
      <c r="N998">
        <f>IF($G998="",0,IF($H998="مرجوعی فروش",-1,1)*IF(Sync!$AC994="",0,Sync!$AC994))</f>
        <v/>
      </c>
      <c r="O998">
        <f>IF(OR($G998="",Sync!$V994=""),"",Sync!$V994)</f>
        <v/>
      </c>
      <c r="P998">
        <f>IF(OR($G998="",Sync!$AD994=""),"",Sync!$AD994)</f>
        <v/>
      </c>
      <c r="Q998">
        <f>IF($G998="","",IF(Sync!$U994="","0000",IF(AND(ISNUMBER(Sync!$U994),Sync!$U994&gt;=0,Sync!$U994&lt;1),RIGHT("00"&amp;HOUR(Sync!$U994),2)&amp;RIGHT("00"&amp;MINUTE(Sync!$U994),2),IFERROR(RIGHT("00"&amp;VALUE(LEFT(Sync!$U994,FIND(":",Sync!$U994)-1)),2)&amp;RIGHT("00"&amp;VALUE(MID(Sync!$U994,FIND(":",Sync!$U994)+1,2)),2),"0000"))))</f>
        <v/>
      </c>
    </row>
    <row r="999">
      <c r="A999">
        <f>IF(Sync!$T995="","",Sync!$T995)</f>
        <v/>
      </c>
      <c r="B999">
        <f>IF($A999="","",IF(ISNUMBER($A999),IF(AND($A999&gt;=10000101,$A999&lt;=99991231),INT($A999/10000),""),IFERROR(VALUE(TRIM(LEFT($A999,FIND("/",$A999)-1))),"")))</f>
        <v/>
      </c>
      <c r="C999">
        <f>IF(OR($A999="",$B999=""),"",IF(ISNUMBER($A999),INT(MOD($A999,10000)/100),IFERROR(VALUE(TRIM(LEFT(MID($A999,FIND("/",$A999)+1,20),FIND("/",MID($A999,FIND("/",$A999)+1,20))-1))),"")))</f>
        <v/>
      </c>
      <c r="D999">
        <f>IF(OR($A999="",$B999=""),"",IF(ISNUMBER($A999),MOD($A999,100),IFERROR(VALUE(TRIM(MID(MID($A999,FIND("/",$A999)+1,20),FIND("/",MID($A999,FIND("/",$A999)+1,20))+1,20))),"")))</f>
        <v/>
      </c>
      <c r="E999">
        <f>IF($A999="","",IF(OR($B999="",$C999="",$D999="",$B999&lt;1300,$B999&gt;1500,$C999&lt;1,$C999&gt;12,$D999&lt;1,$D999&gt;31),"نامعتبر",RIGHT("0000"&amp;$B999,4)&amp;"/"&amp;RIGHT("00"&amp;$C999,2)&amp;"/"&amp;RIGHT("00"&amp;$D999,2)))</f>
        <v/>
      </c>
      <c r="F999">
        <f>IF(OR($E999="",$E999="نامعتبر"),"",LEFT($E999,4)&amp;"/"&amp;MID($E999,6,2))</f>
        <v/>
      </c>
      <c r="G999">
        <f>IF(OR($E999="",$E999="نامعتبر",Sync!$X995=""),"",IF(AND(LEFT(UPPER(TRIM(Sync!$X995)),2)="SL",IFERROR(VLOOKUP(Sync!$W995,OpTbl,3,0),"")="فروش"),UPPER(TRIM(Sync!$X995)),""))</f>
        <v/>
      </c>
      <c r="H999">
        <f>IF($G999="","",IF(Sync!$W995="","",Sync!$W995))</f>
        <v/>
      </c>
      <c r="I999">
        <f>IF(OR($G999="",Sync!$Y995=""),"",Sync!$Y995)</f>
        <v/>
      </c>
      <c r="J999">
        <f>IF(OR($G999="",Sync!$Z995=""),"",Sync!$Z995)</f>
        <v/>
      </c>
      <c r="K999">
        <f>IF($G999="",0,IF(Sync!$AA995="",0,Sync!$AA995))</f>
        <v/>
      </c>
      <c r="L999">
        <f>IF($G999="",0,IF(Sync!$AB995="",0,Sync!$AB995))</f>
        <v/>
      </c>
      <c r="M999">
        <f>IF($G999="","",IF($H999="مرجوعی فروش",-1,1)*($K999-$L999*IFERROR(VLOOKUP("P01",ParamTbl,3,0),1.5)))</f>
        <v/>
      </c>
      <c r="N999">
        <f>IF($G999="",0,IF($H999="مرجوعی فروش",-1,1)*IF(Sync!$AC995="",0,Sync!$AC995))</f>
        <v/>
      </c>
      <c r="O999">
        <f>IF(OR($G999="",Sync!$V995=""),"",Sync!$V995)</f>
        <v/>
      </c>
      <c r="P999">
        <f>IF(OR($G999="",Sync!$AD995=""),"",Sync!$AD995)</f>
        <v/>
      </c>
      <c r="Q999">
        <f>IF($G999="","",IF(Sync!$U995="","0000",IF(AND(ISNUMBER(Sync!$U995),Sync!$U995&gt;=0,Sync!$U995&lt;1),RIGHT("00"&amp;HOUR(Sync!$U995),2)&amp;RIGHT("00"&amp;MINUTE(Sync!$U995),2),IFERROR(RIGHT("00"&amp;VALUE(LEFT(Sync!$U995,FIND(":",Sync!$U995)-1)),2)&amp;RIGHT("00"&amp;VALUE(MID(Sync!$U995,FIND(":",Sync!$U995)+1,2)),2),"0000"))))</f>
        <v/>
      </c>
    </row>
    <row r="1000">
      <c r="A1000">
        <f>IF(Sync!$T996="","",Sync!$T996)</f>
        <v/>
      </c>
      <c r="B1000">
        <f>IF($A1000="","",IF(ISNUMBER($A1000),IF(AND($A1000&gt;=10000101,$A1000&lt;=99991231),INT($A1000/10000),""),IFERROR(VALUE(TRIM(LEFT($A1000,FIND("/",$A1000)-1))),"")))</f>
        <v/>
      </c>
      <c r="C1000">
        <f>IF(OR($A1000="",$B1000=""),"",IF(ISNUMBER($A1000),INT(MOD($A1000,10000)/100),IFERROR(VALUE(TRIM(LEFT(MID($A1000,FIND("/",$A1000)+1,20),FIND("/",MID($A1000,FIND("/",$A1000)+1,20))-1))),"")))</f>
        <v/>
      </c>
      <c r="D1000">
        <f>IF(OR($A1000="",$B1000=""),"",IF(ISNUMBER($A1000),MOD($A1000,100),IFERROR(VALUE(TRIM(MID(MID($A1000,FIND("/",$A1000)+1,20),FIND("/",MID($A1000,FIND("/",$A1000)+1,20))+1,20))),"")))</f>
        <v/>
      </c>
      <c r="E1000">
        <f>IF($A1000="","",IF(OR($B1000="",$C1000="",$D1000="",$B1000&lt;1300,$B1000&gt;1500,$C1000&lt;1,$C1000&gt;12,$D1000&lt;1,$D1000&gt;31),"نامعتبر",RIGHT("0000"&amp;$B1000,4)&amp;"/"&amp;RIGHT("00"&amp;$C1000,2)&amp;"/"&amp;RIGHT("00"&amp;$D1000,2)))</f>
        <v/>
      </c>
      <c r="F1000">
        <f>IF(OR($E1000="",$E1000="نامعتبر"),"",LEFT($E1000,4)&amp;"/"&amp;MID($E1000,6,2))</f>
        <v/>
      </c>
      <c r="G1000">
        <f>IF(OR($E1000="",$E1000="نامعتبر",Sync!$X996=""),"",IF(AND(LEFT(UPPER(TRIM(Sync!$X996)),2)="SL",IFERROR(VLOOKUP(Sync!$W996,OpTbl,3,0),"")="فروش"),UPPER(TRIM(Sync!$X996)),""))</f>
        <v/>
      </c>
      <c r="H1000">
        <f>IF($G1000="","",IF(Sync!$W996="","",Sync!$W996))</f>
        <v/>
      </c>
      <c r="I1000">
        <f>IF(OR($G1000="",Sync!$Y996=""),"",Sync!$Y996)</f>
        <v/>
      </c>
      <c r="J1000">
        <f>IF(OR($G1000="",Sync!$Z996=""),"",Sync!$Z996)</f>
        <v/>
      </c>
      <c r="K1000">
        <f>IF($G1000="",0,IF(Sync!$AA996="",0,Sync!$AA996))</f>
        <v/>
      </c>
      <c r="L1000">
        <f>IF($G1000="",0,IF(Sync!$AB996="",0,Sync!$AB996))</f>
        <v/>
      </c>
      <c r="M1000">
        <f>IF($G1000="","",IF($H1000="مرجوعی فروش",-1,1)*($K1000-$L1000*IFERROR(VLOOKUP("P01",ParamTbl,3,0),1.5)))</f>
        <v/>
      </c>
      <c r="N1000">
        <f>IF($G1000="",0,IF($H1000="مرجوعی فروش",-1,1)*IF(Sync!$AC996="",0,Sync!$AC996))</f>
        <v/>
      </c>
      <c r="O1000">
        <f>IF(OR($G1000="",Sync!$V996=""),"",Sync!$V996)</f>
        <v/>
      </c>
      <c r="P1000">
        <f>IF(OR($G1000="",Sync!$AD996=""),"",Sync!$AD996)</f>
        <v/>
      </c>
      <c r="Q1000">
        <f>IF($G1000="","",IF(Sync!$U996="","0000",IF(AND(ISNUMBER(Sync!$U996),Sync!$U996&gt;=0,Sync!$U996&lt;1),RIGHT("00"&amp;HOUR(Sync!$U996),2)&amp;RIGHT("00"&amp;MINUTE(Sync!$U996),2),IFERROR(RIGHT("00"&amp;VALUE(LEFT(Sync!$U996,FIND(":",Sync!$U996)-1)),2)&amp;RIGHT("00"&amp;VALUE(MID(Sync!$U996,FIND(":",Sync!$U996)+1,2)),2),"0000"))))</f>
        <v/>
      </c>
    </row>
    <row r="1001">
      <c r="A1001">
        <f>IF(Sync!$T997="","",Sync!$T997)</f>
        <v/>
      </c>
      <c r="B1001">
        <f>IF($A1001="","",IF(ISNUMBER($A1001),IF(AND($A1001&gt;=10000101,$A1001&lt;=99991231),INT($A1001/10000),""),IFERROR(VALUE(TRIM(LEFT($A1001,FIND("/",$A1001)-1))),"")))</f>
        <v/>
      </c>
      <c r="C1001">
        <f>IF(OR($A1001="",$B1001=""),"",IF(ISNUMBER($A1001),INT(MOD($A1001,10000)/100),IFERROR(VALUE(TRIM(LEFT(MID($A1001,FIND("/",$A1001)+1,20),FIND("/",MID($A1001,FIND("/",$A1001)+1,20))-1))),"")))</f>
        <v/>
      </c>
      <c r="D1001">
        <f>IF(OR($A1001="",$B1001=""),"",IF(ISNUMBER($A1001),MOD($A1001,100),IFERROR(VALUE(TRIM(MID(MID($A1001,FIND("/",$A1001)+1,20),FIND("/",MID($A1001,FIND("/",$A1001)+1,20))+1,20))),"")))</f>
        <v/>
      </c>
      <c r="E1001">
        <f>IF($A1001="","",IF(OR($B1001="",$C1001="",$D1001="",$B1001&lt;1300,$B1001&gt;1500,$C1001&lt;1,$C1001&gt;12,$D1001&lt;1,$D1001&gt;31),"نامعتبر",RIGHT("0000"&amp;$B1001,4)&amp;"/"&amp;RIGHT("00"&amp;$C1001,2)&amp;"/"&amp;RIGHT("00"&amp;$D1001,2)))</f>
        <v/>
      </c>
      <c r="F1001">
        <f>IF(OR($E1001="",$E1001="نامعتبر"),"",LEFT($E1001,4)&amp;"/"&amp;MID($E1001,6,2))</f>
        <v/>
      </c>
      <c r="G1001">
        <f>IF(OR($E1001="",$E1001="نامعتبر",Sync!$X997=""),"",IF(AND(LEFT(UPPER(TRIM(Sync!$X997)),2)="SL",IFERROR(VLOOKUP(Sync!$W997,OpTbl,3,0),"")="فروش"),UPPER(TRIM(Sync!$X997)),""))</f>
        <v/>
      </c>
      <c r="H1001">
        <f>IF($G1001="","",IF(Sync!$W997="","",Sync!$W997))</f>
        <v/>
      </c>
      <c r="I1001">
        <f>IF(OR($G1001="",Sync!$Y997=""),"",Sync!$Y997)</f>
        <v/>
      </c>
      <c r="J1001">
        <f>IF(OR($G1001="",Sync!$Z997=""),"",Sync!$Z997)</f>
        <v/>
      </c>
      <c r="K1001">
        <f>IF($G1001="",0,IF(Sync!$AA997="",0,Sync!$AA997))</f>
        <v/>
      </c>
      <c r="L1001">
        <f>IF($G1001="",0,IF(Sync!$AB997="",0,Sync!$AB997))</f>
        <v/>
      </c>
      <c r="M1001">
        <f>IF($G1001="","",IF($H1001="مرجوعی فروش",-1,1)*($K1001-$L1001*IFERROR(VLOOKUP("P01",ParamTbl,3,0),1.5)))</f>
        <v/>
      </c>
      <c r="N1001">
        <f>IF($G1001="",0,IF($H1001="مرجوعی فروش",-1,1)*IF(Sync!$AC997="",0,Sync!$AC997))</f>
        <v/>
      </c>
      <c r="O1001">
        <f>IF(OR($G1001="",Sync!$V997=""),"",Sync!$V997)</f>
        <v/>
      </c>
      <c r="P1001">
        <f>IF(OR($G1001="",Sync!$AD997=""),"",Sync!$AD997)</f>
        <v/>
      </c>
      <c r="Q1001">
        <f>IF($G1001="","",IF(Sync!$U997="","0000",IF(AND(ISNUMBER(Sync!$U997),Sync!$U997&gt;=0,Sync!$U997&lt;1),RIGHT("00"&amp;HOUR(Sync!$U997),2)&amp;RIGHT("00"&amp;MINUTE(Sync!$U997),2),IFERROR(RIGHT("00"&amp;VALUE(LEFT(Sync!$U997,FIND(":",Sync!$U997)-1)),2)&amp;RIGHT("00"&amp;VALUE(MID(Sync!$U997,FIND(":",Sync!$U997)+1,2)),2),"0000"))))</f>
        <v/>
      </c>
    </row>
    <row r="1002">
      <c r="A1002">
        <f>IF(Sync!$T998="","",Sync!$T998)</f>
        <v/>
      </c>
      <c r="B1002">
        <f>IF($A1002="","",IF(ISNUMBER($A1002),IF(AND($A1002&gt;=10000101,$A1002&lt;=99991231),INT($A1002/10000),""),IFERROR(VALUE(TRIM(LEFT($A1002,FIND("/",$A1002)-1))),"")))</f>
        <v/>
      </c>
      <c r="C1002">
        <f>IF(OR($A1002="",$B1002=""),"",IF(ISNUMBER($A1002),INT(MOD($A1002,10000)/100),IFERROR(VALUE(TRIM(LEFT(MID($A1002,FIND("/",$A1002)+1,20),FIND("/",MID($A1002,FIND("/",$A1002)+1,20))-1))),"")))</f>
        <v/>
      </c>
      <c r="D1002">
        <f>IF(OR($A1002="",$B1002=""),"",IF(ISNUMBER($A1002),MOD($A1002,100),IFERROR(VALUE(TRIM(MID(MID($A1002,FIND("/",$A1002)+1,20),FIND("/",MID($A1002,FIND("/",$A1002)+1,20))+1,20))),"")))</f>
        <v/>
      </c>
      <c r="E1002">
        <f>IF($A1002="","",IF(OR($B1002="",$C1002="",$D1002="",$B1002&lt;1300,$B1002&gt;1500,$C1002&lt;1,$C1002&gt;12,$D1002&lt;1,$D1002&gt;31),"نامعتبر",RIGHT("0000"&amp;$B1002,4)&amp;"/"&amp;RIGHT("00"&amp;$C1002,2)&amp;"/"&amp;RIGHT("00"&amp;$D1002,2)))</f>
        <v/>
      </c>
      <c r="F1002">
        <f>IF(OR($E1002="",$E1002="نامعتبر"),"",LEFT($E1002,4)&amp;"/"&amp;MID($E1002,6,2))</f>
        <v/>
      </c>
      <c r="G1002">
        <f>IF(OR($E1002="",$E1002="نامعتبر",Sync!$X998=""),"",IF(AND(LEFT(UPPER(TRIM(Sync!$X998)),2)="SL",IFERROR(VLOOKUP(Sync!$W998,OpTbl,3,0),"")="فروش"),UPPER(TRIM(Sync!$X998)),""))</f>
        <v/>
      </c>
      <c r="H1002">
        <f>IF($G1002="","",IF(Sync!$W998="","",Sync!$W998))</f>
        <v/>
      </c>
      <c r="I1002">
        <f>IF(OR($G1002="",Sync!$Y998=""),"",Sync!$Y998)</f>
        <v/>
      </c>
      <c r="J1002">
        <f>IF(OR($G1002="",Sync!$Z998=""),"",Sync!$Z998)</f>
        <v/>
      </c>
      <c r="K1002">
        <f>IF($G1002="",0,IF(Sync!$AA998="",0,Sync!$AA998))</f>
        <v/>
      </c>
      <c r="L1002">
        <f>IF($G1002="",0,IF(Sync!$AB998="",0,Sync!$AB998))</f>
        <v/>
      </c>
      <c r="M1002">
        <f>IF($G1002="","",IF($H1002="مرجوعی فروش",-1,1)*($K1002-$L1002*IFERROR(VLOOKUP("P01",ParamTbl,3,0),1.5)))</f>
        <v/>
      </c>
      <c r="N1002">
        <f>IF($G1002="",0,IF($H1002="مرجوعی فروش",-1,1)*IF(Sync!$AC998="",0,Sync!$AC998))</f>
        <v/>
      </c>
      <c r="O1002">
        <f>IF(OR($G1002="",Sync!$V998=""),"",Sync!$V998)</f>
        <v/>
      </c>
      <c r="P1002">
        <f>IF(OR($G1002="",Sync!$AD998=""),"",Sync!$AD998)</f>
        <v/>
      </c>
      <c r="Q1002">
        <f>IF($G1002="","",IF(Sync!$U998="","0000",IF(AND(ISNUMBER(Sync!$U998),Sync!$U998&gt;=0,Sync!$U998&lt;1),RIGHT("00"&amp;HOUR(Sync!$U998),2)&amp;RIGHT("00"&amp;MINUTE(Sync!$U998),2),IFERROR(RIGHT("00"&amp;VALUE(LEFT(Sync!$U998,FIND(":",Sync!$U998)-1)),2)&amp;RIGHT("00"&amp;VALUE(MID(Sync!$U998,FIND(":",Sync!$U998)+1,2)),2),"0000"))))</f>
        <v/>
      </c>
    </row>
    <row r="1003">
      <c r="A1003">
        <f>IF(Sync!$T999="","",Sync!$T999)</f>
        <v/>
      </c>
      <c r="B1003">
        <f>IF($A1003="","",IF(ISNUMBER($A1003),IF(AND($A1003&gt;=10000101,$A1003&lt;=99991231),INT($A1003/10000),""),IFERROR(VALUE(TRIM(LEFT($A1003,FIND("/",$A1003)-1))),"")))</f>
        <v/>
      </c>
      <c r="C1003">
        <f>IF(OR($A1003="",$B1003=""),"",IF(ISNUMBER($A1003),INT(MOD($A1003,10000)/100),IFERROR(VALUE(TRIM(LEFT(MID($A1003,FIND("/",$A1003)+1,20),FIND("/",MID($A1003,FIND("/",$A1003)+1,20))-1))),"")))</f>
        <v/>
      </c>
      <c r="D1003">
        <f>IF(OR($A1003="",$B1003=""),"",IF(ISNUMBER($A1003),MOD($A1003,100),IFERROR(VALUE(TRIM(MID(MID($A1003,FIND("/",$A1003)+1,20),FIND("/",MID($A1003,FIND("/",$A1003)+1,20))+1,20))),"")))</f>
        <v/>
      </c>
      <c r="E1003">
        <f>IF($A1003="","",IF(OR($B1003="",$C1003="",$D1003="",$B1003&lt;1300,$B1003&gt;1500,$C1003&lt;1,$C1003&gt;12,$D1003&lt;1,$D1003&gt;31),"نامعتبر",RIGHT("0000"&amp;$B1003,4)&amp;"/"&amp;RIGHT("00"&amp;$C1003,2)&amp;"/"&amp;RIGHT("00"&amp;$D1003,2)))</f>
        <v/>
      </c>
      <c r="F1003">
        <f>IF(OR($E1003="",$E1003="نامعتبر"),"",LEFT($E1003,4)&amp;"/"&amp;MID($E1003,6,2))</f>
        <v/>
      </c>
      <c r="G1003">
        <f>IF(OR($E1003="",$E1003="نامعتبر",Sync!$X999=""),"",IF(AND(LEFT(UPPER(TRIM(Sync!$X999)),2)="SL",IFERROR(VLOOKUP(Sync!$W999,OpTbl,3,0),"")="فروش"),UPPER(TRIM(Sync!$X999)),""))</f>
        <v/>
      </c>
      <c r="H1003">
        <f>IF($G1003="","",IF(Sync!$W999="","",Sync!$W999))</f>
        <v/>
      </c>
      <c r="I1003">
        <f>IF(OR($G1003="",Sync!$Y999=""),"",Sync!$Y999)</f>
        <v/>
      </c>
      <c r="J1003">
        <f>IF(OR($G1003="",Sync!$Z999=""),"",Sync!$Z999)</f>
        <v/>
      </c>
      <c r="K1003">
        <f>IF($G1003="",0,IF(Sync!$AA999="",0,Sync!$AA999))</f>
        <v/>
      </c>
      <c r="L1003">
        <f>IF($G1003="",0,IF(Sync!$AB999="",0,Sync!$AB999))</f>
        <v/>
      </c>
      <c r="M1003">
        <f>IF($G1003="","",IF($H1003="مرجوعی فروش",-1,1)*($K1003-$L1003*IFERROR(VLOOKUP("P01",ParamTbl,3,0),1.5)))</f>
        <v/>
      </c>
      <c r="N1003">
        <f>IF($G1003="",0,IF($H1003="مرجوعی فروش",-1,1)*IF(Sync!$AC999="",0,Sync!$AC999))</f>
        <v/>
      </c>
      <c r="O1003">
        <f>IF(OR($G1003="",Sync!$V999=""),"",Sync!$V999)</f>
        <v/>
      </c>
      <c r="P1003">
        <f>IF(OR($G1003="",Sync!$AD999=""),"",Sync!$AD999)</f>
        <v/>
      </c>
      <c r="Q1003">
        <f>IF($G1003="","",IF(Sync!$U999="","0000",IF(AND(ISNUMBER(Sync!$U999),Sync!$U999&gt;=0,Sync!$U999&lt;1),RIGHT("00"&amp;HOUR(Sync!$U999),2)&amp;RIGHT("00"&amp;MINUTE(Sync!$U999),2),IFERROR(RIGHT("00"&amp;VALUE(LEFT(Sync!$U999,FIND(":",Sync!$U999)-1)),2)&amp;RIGHT("00"&amp;VALUE(MID(Sync!$U999,FIND(":",Sync!$U999)+1,2)),2),"0000"))))</f>
        <v/>
      </c>
    </row>
    <row r="1004">
      <c r="A1004">
        <f>IF(Sync!$T1000="","",Sync!$T1000)</f>
        <v/>
      </c>
      <c r="B1004">
        <f>IF($A1004="","",IF(ISNUMBER($A1004),IF(AND($A1004&gt;=10000101,$A1004&lt;=99991231),INT($A1004/10000),""),IFERROR(VALUE(TRIM(LEFT($A1004,FIND("/",$A1004)-1))),"")))</f>
        <v/>
      </c>
      <c r="C1004">
        <f>IF(OR($A1004="",$B1004=""),"",IF(ISNUMBER($A1004),INT(MOD($A1004,10000)/100),IFERROR(VALUE(TRIM(LEFT(MID($A1004,FIND("/",$A1004)+1,20),FIND("/",MID($A1004,FIND("/",$A1004)+1,20))-1))),"")))</f>
        <v/>
      </c>
      <c r="D1004">
        <f>IF(OR($A1004="",$B1004=""),"",IF(ISNUMBER($A1004),MOD($A1004,100),IFERROR(VALUE(TRIM(MID(MID($A1004,FIND("/",$A1004)+1,20),FIND("/",MID($A1004,FIND("/",$A1004)+1,20))+1,20))),"")))</f>
        <v/>
      </c>
      <c r="E1004">
        <f>IF($A1004="","",IF(OR($B1004="",$C1004="",$D1004="",$B1004&lt;1300,$B1004&gt;1500,$C1004&lt;1,$C1004&gt;12,$D1004&lt;1,$D1004&gt;31),"نامعتبر",RIGHT("0000"&amp;$B1004,4)&amp;"/"&amp;RIGHT("00"&amp;$C1004,2)&amp;"/"&amp;RIGHT("00"&amp;$D1004,2)))</f>
        <v/>
      </c>
      <c r="F1004">
        <f>IF(OR($E1004="",$E1004="نامعتبر"),"",LEFT($E1004,4)&amp;"/"&amp;MID($E1004,6,2))</f>
        <v/>
      </c>
      <c r="G1004">
        <f>IF(OR($E1004="",$E1004="نامعتبر",Sync!$X1000=""),"",IF(AND(LEFT(UPPER(TRIM(Sync!$X1000)),2)="SL",IFERROR(VLOOKUP(Sync!$W1000,OpTbl,3,0),"")="فروش"),UPPER(TRIM(Sync!$X1000)),""))</f>
        <v/>
      </c>
      <c r="H1004">
        <f>IF($G1004="","",IF(Sync!$W1000="","",Sync!$W1000))</f>
        <v/>
      </c>
      <c r="I1004">
        <f>IF(OR($G1004="",Sync!$Y1000=""),"",Sync!$Y1000)</f>
        <v/>
      </c>
      <c r="J1004">
        <f>IF(OR($G1004="",Sync!$Z1000=""),"",Sync!$Z1000)</f>
        <v/>
      </c>
      <c r="K1004">
        <f>IF($G1004="",0,IF(Sync!$AA1000="",0,Sync!$AA1000))</f>
        <v/>
      </c>
      <c r="L1004">
        <f>IF($G1004="",0,IF(Sync!$AB1000="",0,Sync!$AB1000))</f>
        <v/>
      </c>
      <c r="M1004">
        <f>IF($G1004="","",IF($H1004="مرجوعی فروش",-1,1)*($K1004-$L1004*IFERROR(VLOOKUP("P01",ParamTbl,3,0),1.5)))</f>
        <v/>
      </c>
      <c r="N1004">
        <f>IF($G1004="",0,IF($H1004="مرجوعی فروش",-1,1)*IF(Sync!$AC1000="",0,Sync!$AC1000))</f>
        <v/>
      </c>
      <c r="O1004">
        <f>IF(OR($G1004="",Sync!$V1000=""),"",Sync!$V1000)</f>
        <v/>
      </c>
      <c r="P1004">
        <f>IF(OR($G1004="",Sync!$AD1000=""),"",Sync!$AD1000)</f>
        <v/>
      </c>
      <c r="Q1004">
        <f>IF($G1004="","",IF(Sync!$U1000="","0000",IF(AND(ISNUMBER(Sync!$U1000),Sync!$U1000&gt;=0,Sync!$U1000&lt;1),RIGHT("00"&amp;HOUR(Sync!$U1000),2)&amp;RIGHT("00"&amp;MINUTE(Sync!$U1000),2),IFERROR(RIGHT("00"&amp;VALUE(LEFT(Sync!$U1000,FIND(":",Sync!$U1000)-1)),2)&amp;RIGHT("00"&amp;VALUE(MID(Sync!$U1000,FIND(":",Sync!$U1000)+1,2)),2),"0000"))))</f>
        <v/>
      </c>
    </row>
    <row r="1005">
      <c r="A1005">
        <f>IF(Sync!$T1001="","",Sync!$T1001)</f>
        <v/>
      </c>
      <c r="B1005">
        <f>IF($A1005="","",IF(ISNUMBER($A1005),IF(AND($A1005&gt;=10000101,$A1005&lt;=99991231),INT($A1005/10000),""),IFERROR(VALUE(TRIM(LEFT($A1005,FIND("/",$A1005)-1))),"")))</f>
        <v/>
      </c>
      <c r="C1005">
        <f>IF(OR($A1005="",$B1005=""),"",IF(ISNUMBER($A1005),INT(MOD($A1005,10000)/100),IFERROR(VALUE(TRIM(LEFT(MID($A1005,FIND("/",$A1005)+1,20),FIND("/",MID($A1005,FIND("/",$A1005)+1,20))-1))),"")))</f>
        <v/>
      </c>
      <c r="D1005">
        <f>IF(OR($A1005="",$B1005=""),"",IF(ISNUMBER($A1005),MOD($A1005,100),IFERROR(VALUE(TRIM(MID(MID($A1005,FIND("/",$A1005)+1,20),FIND("/",MID($A1005,FIND("/",$A1005)+1,20))+1,20))),"")))</f>
        <v/>
      </c>
      <c r="E1005">
        <f>IF($A1005="","",IF(OR($B1005="",$C1005="",$D1005="",$B1005&lt;1300,$B1005&gt;1500,$C1005&lt;1,$C1005&gt;12,$D1005&lt;1,$D1005&gt;31),"نامعتبر",RIGHT("0000"&amp;$B1005,4)&amp;"/"&amp;RIGHT("00"&amp;$C1005,2)&amp;"/"&amp;RIGHT("00"&amp;$D1005,2)))</f>
        <v/>
      </c>
      <c r="F1005">
        <f>IF(OR($E1005="",$E1005="نامعتبر"),"",LEFT($E1005,4)&amp;"/"&amp;MID($E1005,6,2))</f>
        <v/>
      </c>
      <c r="G1005">
        <f>IF(OR($E1005="",$E1005="نامعتبر",Sync!$X1001=""),"",IF(AND(LEFT(UPPER(TRIM(Sync!$X1001)),2)="SL",IFERROR(VLOOKUP(Sync!$W1001,OpTbl,3,0),"")="فروش"),UPPER(TRIM(Sync!$X1001)),""))</f>
        <v/>
      </c>
      <c r="H1005">
        <f>IF($G1005="","",IF(Sync!$W1001="","",Sync!$W1001))</f>
        <v/>
      </c>
      <c r="I1005">
        <f>IF(OR($G1005="",Sync!$Y1001=""),"",Sync!$Y1001)</f>
        <v/>
      </c>
      <c r="J1005">
        <f>IF(OR($G1005="",Sync!$Z1001=""),"",Sync!$Z1001)</f>
        <v/>
      </c>
      <c r="K1005">
        <f>IF($G1005="",0,IF(Sync!$AA1001="",0,Sync!$AA1001))</f>
        <v/>
      </c>
      <c r="L1005">
        <f>IF($G1005="",0,IF(Sync!$AB1001="",0,Sync!$AB1001))</f>
        <v/>
      </c>
      <c r="M1005">
        <f>IF($G1005="","",IF($H1005="مرجوعی فروش",-1,1)*($K1005-$L1005*IFERROR(VLOOKUP("P01",ParamTbl,3,0),1.5)))</f>
        <v/>
      </c>
      <c r="N1005">
        <f>IF($G1005="",0,IF($H1005="مرجوعی فروش",-1,1)*IF(Sync!$AC1001="",0,Sync!$AC1001))</f>
        <v/>
      </c>
      <c r="O1005">
        <f>IF(OR($G1005="",Sync!$V1001=""),"",Sync!$V1001)</f>
        <v/>
      </c>
      <c r="P1005">
        <f>IF(OR($G1005="",Sync!$AD1001=""),"",Sync!$AD1001)</f>
        <v/>
      </c>
      <c r="Q1005">
        <f>IF($G1005="","",IF(Sync!$U1001="","0000",IF(AND(ISNUMBER(Sync!$U1001),Sync!$U1001&gt;=0,Sync!$U1001&lt;1),RIGHT("00"&amp;HOUR(Sync!$U1001),2)&amp;RIGHT("00"&amp;MINUTE(Sync!$U1001),2),IFERROR(RIGHT("00"&amp;VALUE(LEFT(Sync!$U1001,FIND(":",Sync!$U1001)-1)),2)&amp;RIGHT("00"&amp;VALUE(MID(Sync!$U1001,FIND(":",Sync!$U1001)+1,2)),2),"0000"))))</f>
        <v/>
      </c>
    </row>
    <row r="1006">
      <c r="A1006">
        <f>IF(Sync!$T1002="","",Sync!$T1002)</f>
        <v/>
      </c>
      <c r="B1006">
        <f>IF($A1006="","",IF(ISNUMBER($A1006),IF(AND($A1006&gt;=10000101,$A1006&lt;=99991231),INT($A1006/10000),""),IFERROR(VALUE(TRIM(LEFT($A1006,FIND("/",$A1006)-1))),"")))</f>
        <v/>
      </c>
      <c r="C1006">
        <f>IF(OR($A1006="",$B1006=""),"",IF(ISNUMBER($A1006),INT(MOD($A1006,10000)/100),IFERROR(VALUE(TRIM(LEFT(MID($A1006,FIND("/",$A1006)+1,20),FIND("/",MID($A1006,FIND("/",$A1006)+1,20))-1))),"")))</f>
        <v/>
      </c>
      <c r="D1006">
        <f>IF(OR($A1006="",$B1006=""),"",IF(ISNUMBER($A1006),MOD($A1006,100),IFERROR(VALUE(TRIM(MID(MID($A1006,FIND("/",$A1006)+1,20),FIND("/",MID($A1006,FIND("/",$A1006)+1,20))+1,20))),"")))</f>
        <v/>
      </c>
      <c r="E1006">
        <f>IF($A1006="","",IF(OR($B1006="",$C1006="",$D1006="",$B1006&lt;1300,$B1006&gt;1500,$C1006&lt;1,$C1006&gt;12,$D1006&lt;1,$D1006&gt;31),"نامعتبر",RIGHT("0000"&amp;$B1006,4)&amp;"/"&amp;RIGHT("00"&amp;$C1006,2)&amp;"/"&amp;RIGHT("00"&amp;$D1006,2)))</f>
        <v/>
      </c>
      <c r="F1006">
        <f>IF(OR($E1006="",$E1006="نامعتبر"),"",LEFT($E1006,4)&amp;"/"&amp;MID($E1006,6,2))</f>
        <v/>
      </c>
      <c r="G1006">
        <f>IF(OR($E1006="",$E1006="نامعتبر",Sync!$X1002=""),"",IF(AND(LEFT(UPPER(TRIM(Sync!$X1002)),2)="SL",IFERROR(VLOOKUP(Sync!$W1002,OpTbl,3,0),"")="فروش"),UPPER(TRIM(Sync!$X1002)),""))</f>
        <v/>
      </c>
      <c r="H1006">
        <f>IF($G1006="","",IF(Sync!$W1002="","",Sync!$W1002))</f>
        <v/>
      </c>
      <c r="I1006">
        <f>IF(OR($G1006="",Sync!$Y1002=""),"",Sync!$Y1002)</f>
        <v/>
      </c>
      <c r="J1006">
        <f>IF(OR($G1006="",Sync!$Z1002=""),"",Sync!$Z1002)</f>
        <v/>
      </c>
      <c r="K1006">
        <f>IF($G1006="",0,IF(Sync!$AA1002="",0,Sync!$AA1002))</f>
        <v/>
      </c>
      <c r="L1006">
        <f>IF($G1006="",0,IF(Sync!$AB1002="",0,Sync!$AB1002))</f>
        <v/>
      </c>
      <c r="M1006">
        <f>IF($G1006="","",IF($H1006="مرجوعی فروش",-1,1)*($K1006-$L1006*IFERROR(VLOOKUP("P01",ParamTbl,3,0),1.5)))</f>
        <v/>
      </c>
      <c r="N1006">
        <f>IF($G1006="",0,IF($H1006="مرجوعی فروش",-1,1)*IF(Sync!$AC1002="",0,Sync!$AC1002))</f>
        <v/>
      </c>
      <c r="O1006">
        <f>IF(OR($G1006="",Sync!$V1002=""),"",Sync!$V1002)</f>
        <v/>
      </c>
      <c r="P1006">
        <f>IF(OR($G1006="",Sync!$AD1002=""),"",Sync!$AD1002)</f>
        <v/>
      </c>
      <c r="Q1006">
        <f>IF($G1006="","",IF(Sync!$U1002="","0000",IF(AND(ISNUMBER(Sync!$U1002),Sync!$U1002&gt;=0,Sync!$U1002&lt;1),RIGHT("00"&amp;HOUR(Sync!$U1002),2)&amp;RIGHT("00"&amp;MINUTE(Sync!$U1002),2),IFERROR(RIGHT("00"&amp;VALUE(LEFT(Sync!$U1002,FIND(":",Sync!$U1002)-1)),2)&amp;RIGHT("00"&amp;VALUE(MID(Sync!$U1002,FIND(":",Sync!$U1002)+1,2)),2),"0000"))))</f>
        <v/>
      </c>
    </row>
    <row r="1007">
      <c r="A1007">
        <f>IF(Sync!$T1003="","",Sync!$T1003)</f>
        <v/>
      </c>
      <c r="B1007">
        <f>IF($A1007="","",IF(ISNUMBER($A1007),IF(AND($A1007&gt;=10000101,$A1007&lt;=99991231),INT($A1007/10000),""),IFERROR(VALUE(TRIM(LEFT($A1007,FIND("/",$A1007)-1))),"")))</f>
        <v/>
      </c>
      <c r="C1007">
        <f>IF(OR($A1007="",$B1007=""),"",IF(ISNUMBER($A1007),INT(MOD($A1007,10000)/100),IFERROR(VALUE(TRIM(LEFT(MID($A1007,FIND("/",$A1007)+1,20),FIND("/",MID($A1007,FIND("/",$A1007)+1,20))-1))),"")))</f>
        <v/>
      </c>
      <c r="D1007">
        <f>IF(OR($A1007="",$B1007=""),"",IF(ISNUMBER($A1007),MOD($A1007,100),IFERROR(VALUE(TRIM(MID(MID($A1007,FIND("/",$A1007)+1,20),FIND("/",MID($A1007,FIND("/",$A1007)+1,20))+1,20))),"")))</f>
        <v/>
      </c>
      <c r="E1007">
        <f>IF($A1007="","",IF(OR($B1007="",$C1007="",$D1007="",$B1007&lt;1300,$B1007&gt;1500,$C1007&lt;1,$C1007&gt;12,$D1007&lt;1,$D1007&gt;31),"نامعتبر",RIGHT("0000"&amp;$B1007,4)&amp;"/"&amp;RIGHT("00"&amp;$C1007,2)&amp;"/"&amp;RIGHT("00"&amp;$D1007,2)))</f>
        <v/>
      </c>
      <c r="F1007">
        <f>IF(OR($E1007="",$E1007="نامعتبر"),"",LEFT($E1007,4)&amp;"/"&amp;MID($E1007,6,2))</f>
        <v/>
      </c>
      <c r="G1007">
        <f>IF(OR($E1007="",$E1007="نامعتبر",Sync!$X1003=""),"",IF(AND(LEFT(UPPER(TRIM(Sync!$X1003)),2)="SL",IFERROR(VLOOKUP(Sync!$W1003,OpTbl,3,0),"")="فروش"),UPPER(TRIM(Sync!$X1003)),""))</f>
        <v/>
      </c>
      <c r="H1007">
        <f>IF($G1007="","",IF(Sync!$W1003="","",Sync!$W1003))</f>
        <v/>
      </c>
      <c r="I1007">
        <f>IF(OR($G1007="",Sync!$Y1003=""),"",Sync!$Y1003)</f>
        <v/>
      </c>
      <c r="J1007">
        <f>IF(OR($G1007="",Sync!$Z1003=""),"",Sync!$Z1003)</f>
        <v/>
      </c>
      <c r="K1007">
        <f>IF($G1007="",0,IF(Sync!$AA1003="",0,Sync!$AA1003))</f>
        <v/>
      </c>
      <c r="L1007">
        <f>IF($G1007="",0,IF(Sync!$AB1003="",0,Sync!$AB1003))</f>
        <v/>
      </c>
      <c r="M1007">
        <f>IF($G1007="","",IF($H1007="مرجوعی فروش",-1,1)*($K1007-$L1007*IFERROR(VLOOKUP("P01",ParamTbl,3,0),1.5)))</f>
        <v/>
      </c>
      <c r="N1007">
        <f>IF($G1007="",0,IF($H1007="مرجوعی فروش",-1,1)*IF(Sync!$AC1003="",0,Sync!$AC1003))</f>
        <v/>
      </c>
      <c r="O1007">
        <f>IF(OR($G1007="",Sync!$V1003=""),"",Sync!$V1003)</f>
        <v/>
      </c>
      <c r="P1007">
        <f>IF(OR($G1007="",Sync!$AD1003=""),"",Sync!$AD1003)</f>
        <v/>
      </c>
      <c r="Q1007">
        <f>IF($G1007="","",IF(Sync!$U1003="","0000",IF(AND(ISNUMBER(Sync!$U1003),Sync!$U1003&gt;=0,Sync!$U1003&lt;1),RIGHT("00"&amp;HOUR(Sync!$U1003),2)&amp;RIGHT("00"&amp;MINUTE(Sync!$U1003),2),IFERROR(RIGHT("00"&amp;VALUE(LEFT(Sync!$U1003,FIND(":",Sync!$U1003)-1)),2)&amp;RIGHT("00"&amp;VALUE(MID(Sync!$U1003,FIND(":",Sync!$U1003)+1,2)),2),"0000"))))</f>
        <v/>
      </c>
    </row>
    <row r="1008">
      <c r="A1008">
        <f>IF(Sync!$T1004="","",Sync!$T1004)</f>
        <v/>
      </c>
      <c r="B1008">
        <f>IF($A1008="","",IF(ISNUMBER($A1008),IF(AND($A1008&gt;=10000101,$A1008&lt;=99991231),INT($A1008/10000),""),IFERROR(VALUE(TRIM(LEFT($A1008,FIND("/",$A1008)-1))),"")))</f>
        <v/>
      </c>
      <c r="C1008">
        <f>IF(OR($A1008="",$B1008=""),"",IF(ISNUMBER($A1008),INT(MOD($A1008,10000)/100),IFERROR(VALUE(TRIM(LEFT(MID($A1008,FIND("/",$A1008)+1,20),FIND("/",MID($A1008,FIND("/",$A1008)+1,20))-1))),"")))</f>
        <v/>
      </c>
      <c r="D1008">
        <f>IF(OR($A1008="",$B1008=""),"",IF(ISNUMBER($A1008),MOD($A1008,100),IFERROR(VALUE(TRIM(MID(MID($A1008,FIND("/",$A1008)+1,20),FIND("/",MID($A1008,FIND("/",$A1008)+1,20))+1,20))),"")))</f>
        <v/>
      </c>
      <c r="E1008">
        <f>IF($A1008="","",IF(OR($B1008="",$C1008="",$D1008="",$B1008&lt;1300,$B1008&gt;1500,$C1008&lt;1,$C1008&gt;12,$D1008&lt;1,$D1008&gt;31),"نامعتبر",RIGHT("0000"&amp;$B1008,4)&amp;"/"&amp;RIGHT("00"&amp;$C1008,2)&amp;"/"&amp;RIGHT("00"&amp;$D1008,2)))</f>
        <v/>
      </c>
      <c r="F1008">
        <f>IF(OR($E1008="",$E1008="نامعتبر"),"",LEFT($E1008,4)&amp;"/"&amp;MID($E1008,6,2))</f>
        <v/>
      </c>
      <c r="G1008">
        <f>IF(OR($E1008="",$E1008="نامعتبر",Sync!$X1004=""),"",IF(AND(LEFT(UPPER(TRIM(Sync!$X1004)),2)="SL",IFERROR(VLOOKUP(Sync!$W1004,OpTbl,3,0),"")="فروش"),UPPER(TRIM(Sync!$X1004)),""))</f>
        <v/>
      </c>
      <c r="H1008">
        <f>IF($G1008="","",IF(Sync!$W1004="","",Sync!$W1004))</f>
        <v/>
      </c>
      <c r="I1008">
        <f>IF(OR($G1008="",Sync!$Y1004=""),"",Sync!$Y1004)</f>
        <v/>
      </c>
      <c r="J1008">
        <f>IF(OR($G1008="",Sync!$Z1004=""),"",Sync!$Z1004)</f>
        <v/>
      </c>
      <c r="K1008">
        <f>IF($G1008="",0,IF(Sync!$AA1004="",0,Sync!$AA1004))</f>
        <v/>
      </c>
      <c r="L1008">
        <f>IF($G1008="",0,IF(Sync!$AB1004="",0,Sync!$AB1004))</f>
        <v/>
      </c>
      <c r="M1008">
        <f>IF($G1008="","",IF($H1008="مرجوعی فروش",-1,1)*($K1008-$L1008*IFERROR(VLOOKUP("P01",ParamTbl,3,0),1.5)))</f>
        <v/>
      </c>
      <c r="N1008">
        <f>IF($G1008="",0,IF($H1008="مرجوعی فروش",-1,1)*IF(Sync!$AC1004="",0,Sync!$AC1004))</f>
        <v/>
      </c>
      <c r="O1008">
        <f>IF(OR($G1008="",Sync!$V1004=""),"",Sync!$V1004)</f>
        <v/>
      </c>
      <c r="P1008">
        <f>IF(OR($G1008="",Sync!$AD1004=""),"",Sync!$AD1004)</f>
        <v/>
      </c>
      <c r="Q1008">
        <f>IF($G1008="","",IF(Sync!$U1004="","0000",IF(AND(ISNUMBER(Sync!$U1004),Sync!$U1004&gt;=0,Sync!$U1004&lt;1),RIGHT("00"&amp;HOUR(Sync!$U1004),2)&amp;RIGHT("00"&amp;MINUTE(Sync!$U1004),2),IFERROR(RIGHT("00"&amp;VALUE(LEFT(Sync!$U1004,FIND(":",Sync!$U1004)-1)),2)&amp;RIGHT("00"&amp;VALUE(MID(Sync!$U1004,FIND(":",Sync!$U1004)+1,2)),2),"0000"))))</f>
        <v/>
      </c>
    </row>
    <row r="1009">
      <c r="A1009">
        <f>IF(Sync!$T1005="","",Sync!$T1005)</f>
        <v/>
      </c>
      <c r="B1009">
        <f>IF($A1009="","",IF(ISNUMBER($A1009),IF(AND($A1009&gt;=10000101,$A1009&lt;=99991231),INT($A1009/10000),""),IFERROR(VALUE(TRIM(LEFT($A1009,FIND("/",$A1009)-1))),"")))</f>
        <v/>
      </c>
      <c r="C1009">
        <f>IF(OR($A1009="",$B1009=""),"",IF(ISNUMBER($A1009),INT(MOD($A1009,10000)/100),IFERROR(VALUE(TRIM(LEFT(MID($A1009,FIND("/",$A1009)+1,20),FIND("/",MID($A1009,FIND("/",$A1009)+1,20))-1))),"")))</f>
        <v/>
      </c>
      <c r="D1009">
        <f>IF(OR($A1009="",$B1009=""),"",IF(ISNUMBER($A1009),MOD($A1009,100),IFERROR(VALUE(TRIM(MID(MID($A1009,FIND("/",$A1009)+1,20),FIND("/",MID($A1009,FIND("/",$A1009)+1,20))+1,20))),"")))</f>
        <v/>
      </c>
      <c r="E1009">
        <f>IF($A1009="","",IF(OR($B1009="",$C1009="",$D1009="",$B1009&lt;1300,$B1009&gt;1500,$C1009&lt;1,$C1009&gt;12,$D1009&lt;1,$D1009&gt;31),"نامعتبر",RIGHT("0000"&amp;$B1009,4)&amp;"/"&amp;RIGHT("00"&amp;$C1009,2)&amp;"/"&amp;RIGHT("00"&amp;$D1009,2)))</f>
        <v/>
      </c>
      <c r="F1009">
        <f>IF(OR($E1009="",$E1009="نامعتبر"),"",LEFT($E1009,4)&amp;"/"&amp;MID($E1009,6,2))</f>
        <v/>
      </c>
      <c r="G1009">
        <f>IF(OR($E1009="",$E1009="نامعتبر",Sync!$X1005=""),"",IF(AND(LEFT(UPPER(TRIM(Sync!$X1005)),2)="SL",IFERROR(VLOOKUP(Sync!$W1005,OpTbl,3,0),"")="فروش"),UPPER(TRIM(Sync!$X1005)),""))</f>
        <v/>
      </c>
      <c r="H1009">
        <f>IF($G1009="","",IF(Sync!$W1005="","",Sync!$W1005))</f>
        <v/>
      </c>
      <c r="I1009">
        <f>IF(OR($G1009="",Sync!$Y1005=""),"",Sync!$Y1005)</f>
        <v/>
      </c>
      <c r="J1009">
        <f>IF(OR($G1009="",Sync!$Z1005=""),"",Sync!$Z1005)</f>
        <v/>
      </c>
      <c r="K1009">
        <f>IF($G1009="",0,IF(Sync!$AA1005="",0,Sync!$AA1005))</f>
        <v/>
      </c>
      <c r="L1009">
        <f>IF($G1009="",0,IF(Sync!$AB1005="",0,Sync!$AB1005))</f>
        <v/>
      </c>
      <c r="M1009">
        <f>IF($G1009="","",IF($H1009="مرجوعی فروش",-1,1)*($K1009-$L1009*IFERROR(VLOOKUP("P01",ParamTbl,3,0),1.5)))</f>
        <v/>
      </c>
      <c r="N1009">
        <f>IF($G1009="",0,IF($H1009="مرجوعی فروش",-1,1)*IF(Sync!$AC1005="",0,Sync!$AC1005))</f>
        <v/>
      </c>
      <c r="O1009">
        <f>IF(OR($G1009="",Sync!$V1005=""),"",Sync!$V1005)</f>
        <v/>
      </c>
      <c r="P1009">
        <f>IF(OR($G1009="",Sync!$AD1005=""),"",Sync!$AD1005)</f>
        <v/>
      </c>
      <c r="Q1009">
        <f>IF($G1009="","",IF(Sync!$U1005="","0000",IF(AND(ISNUMBER(Sync!$U1005),Sync!$U1005&gt;=0,Sync!$U1005&lt;1),RIGHT("00"&amp;HOUR(Sync!$U1005),2)&amp;RIGHT("00"&amp;MINUTE(Sync!$U1005),2),IFERROR(RIGHT("00"&amp;VALUE(LEFT(Sync!$U1005,FIND(":",Sync!$U1005)-1)),2)&amp;RIGHT("00"&amp;VALUE(MID(Sync!$U1005,FIND(":",Sync!$U1005)+1,2)),2),"0000"))))</f>
        <v/>
      </c>
    </row>
    <row r="1010">
      <c r="A1010">
        <f>IF(Sync!$T1006="","",Sync!$T1006)</f>
        <v/>
      </c>
      <c r="B1010">
        <f>IF($A1010="","",IF(ISNUMBER($A1010),IF(AND($A1010&gt;=10000101,$A1010&lt;=99991231),INT($A1010/10000),""),IFERROR(VALUE(TRIM(LEFT($A1010,FIND("/",$A1010)-1))),"")))</f>
        <v/>
      </c>
      <c r="C1010">
        <f>IF(OR($A1010="",$B1010=""),"",IF(ISNUMBER($A1010),INT(MOD($A1010,10000)/100),IFERROR(VALUE(TRIM(LEFT(MID($A1010,FIND("/",$A1010)+1,20),FIND("/",MID($A1010,FIND("/",$A1010)+1,20))-1))),"")))</f>
        <v/>
      </c>
      <c r="D1010">
        <f>IF(OR($A1010="",$B1010=""),"",IF(ISNUMBER($A1010),MOD($A1010,100),IFERROR(VALUE(TRIM(MID(MID($A1010,FIND("/",$A1010)+1,20),FIND("/",MID($A1010,FIND("/",$A1010)+1,20))+1,20))),"")))</f>
        <v/>
      </c>
      <c r="E1010">
        <f>IF($A1010="","",IF(OR($B1010="",$C1010="",$D1010="",$B1010&lt;1300,$B1010&gt;1500,$C1010&lt;1,$C1010&gt;12,$D1010&lt;1,$D1010&gt;31),"نامعتبر",RIGHT("0000"&amp;$B1010,4)&amp;"/"&amp;RIGHT("00"&amp;$C1010,2)&amp;"/"&amp;RIGHT("00"&amp;$D1010,2)))</f>
        <v/>
      </c>
      <c r="F1010">
        <f>IF(OR($E1010="",$E1010="نامعتبر"),"",LEFT($E1010,4)&amp;"/"&amp;MID($E1010,6,2))</f>
        <v/>
      </c>
      <c r="G1010">
        <f>IF(OR($E1010="",$E1010="نامعتبر",Sync!$X1006=""),"",IF(AND(LEFT(UPPER(TRIM(Sync!$X1006)),2)="SL",IFERROR(VLOOKUP(Sync!$W1006,OpTbl,3,0),"")="فروش"),UPPER(TRIM(Sync!$X1006)),""))</f>
        <v/>
      </c>
      <c r="H1010">
        <f>IF($G1010="","",IF(Sync!$W1006="","",Sync!$W1006))</f>
        <v/>
      </c>
      <c r="I1010">
        <f>IF(OR($G1010="",Sync!$Y1006=""),"",Sync!$Y1006)</f>
        <v/>
      </c>
      <c r="J1010">
        <f>IF(OR($G1010="",Sync!$Z1006=""),"",Sync!$Z1006)</f>
        <v/>
      </c>
      <c r="K1010">
        <f>IF($G1010="",0,IF(Sync!$AA1006="",0,Sync!$AA1006))</f>
        <v/>
      </c>
      <c r="L1010">
        <f>IF($G1010="",0,IF(Sync!$AB1006="",0,Sync!$AB1006))</f>
        <v/>
      </c>
      <c r="M1010">
        <f>IF($G1010="","",IF($H1010="مرجوعی فروش",-1,1)*($K1010-$L1010*IFERROR(VLOOKUP("P01",ParamTbl,3,0),1.5)))</f>
        <v/>
      </c>
      <c r="N1010">
        <f>IF($G1010="",0,IF($H1010="مرجوعی فروش",-1,1)*IF(Sync!$AC1006="",0,Sync!$AC1006))</f>
        <v/>
      </c>
      <c r="O1010">
        <f>IF(OR($G1010="",Sync!$V1006=""),"",Sync!$V1006)</f>
        <v/>
      </c>
      <c r="P1010">
        <f>IF(OR($G1010="",Sync!$AD1006=""),"",Sync!$AD1006)</f>
        <v/>
      </c>
      <c r="Q1010">
        <f>IF($G1010="","",IF(Sync!$U1006="","0000",IF(AND(ISNUMBER(Sync!$U1006),Sync!$U1006&gt;=0,Sync!$U1006&lt;1),RIGHT("00"&amp;HOUR(Sync!$U1006),2)&amp;RIGHT("00"&amp;MINUTE(Sync!$U1006),2),IFERROR(RIGHT("00"&amp;VALUE(LEFT(Sync!$U1006,FIND(":",Sync!$U1006)-1)),2)&amp;RIGHT("00"&amp;VALUE(MID(Sync!$U1006,FIND(":",Sync!$U1006)+1,2)),2),"0000"))))</f>
        <v/>
      </c>
    </row>
    <row r="1011">
      <c r="A1011">
        <f>IF(Sync!$T1007="","",Sync!$T1007)</f>
        <v/>
      </c>
      <c r="B1011">
        <f>IF($A1011="","",IF(ISNUMBER($A1011),IF(AND($A1011&gt;=10000101,$A1011&lt;=99991231),INT($A1011/10000),""),IFERROR(VALUE(TRIM(LEFT($A1011,FIND("/",$A1011)-1))),"")))</f>
        <v/>
      </c>
      <c r="C1011">
        <f>IF(OR($A1011="",$B1011=""),"",IF(ISNUMBER($A1011),INT(MOD($A1011,10000)/100),IFERROR(VALUE(TRIM(LEFT(MID($A1011,FIND("/",$A1011)+1,20),FIND("/",MID($A1011,FIND("/",$A1011)+1,20))-1))),"")))</f>
        <v/>
      </c>
      <c r="D1011">
        <f>IF(OR($A1011="",$B1011=""),"",IF(ISNUMBER($A1011),MOD($A1011,100),IFERROR(VALUE(TRIM(MID(MID($A1011,FIND("/",$A1011)+1,20),FIND("/",MID($A1011,FIND("/",$A1011)+1,20))+1,20))),"")))</f>
        <v/>
      </c>
      <c r="E1011">
        <f>IF($A1011="","",IF(OR($B1011="",$C1011="",$D1011="",$B1011&lt;1300,$B1011&gt;1500,$C1011&lt;1,$C1011&gt;12,$D1011&lt;1,$D1011&gt;31),"نامعتبر",RIGHT("0000"&amp;$B1011,4)&amp;"/"&amp;RIGHT("00"&amp;$C1011,2)&amp;"/"&amp;RIGHT("00"&amp;$D1011,2)))</f>
        <v/>
      </c>
      <c r="F1011">
        <f>IF(OR($E1011="",$E1011="نامعتبر"),"",LEFT($E1011,4)&amp;"/"&amp;MID($E1011,6,2))</f>
        <v/>
      </c>
      <c r="G1011">
        <f>IF(OR($E1011="",$E1011="نامعتبر",Sync!$X1007=""),"",IF(AND(LEFT(UPPER(TRIM(Sync!$X1007)),2)="SL",IFERROR(VLOOKUP(Sync!$W1007,OpTbl,3,0),"")="فروش"),UPPER(TRIM(Sync!$X1007)),""))</f>
        <v/>
      </c>
      <c r="H1011">
        <f>IF($G1011="","",IF(Sync!$W1007="","",Sync!$W1007))</f>
        <v/>
      </c>
      <c r="I1011">
        <f>IF(OR($G1011="",Sync!$Y1007=""),"",Sync!$Y1007)</f>
        <v/>
      </c>
      <c r="J1011">
        <f>IF(OR($G1011="",Sync!$Z1007=""),"",Sync!$Z1007)</f>
        <v/>
      </c>
      <c r="K1011">
        <f>IF($G1011="",0,IF(Sync!$AA1007="",0,Sync!$AA1007))</f>
        <v/>
      </c>
      <c r="L1011">
        <f>IF($G1011="",0,IF(Sync!$AB1007="",0,Sync!$AB1007))</f>
        <v/>
      </c>
      <c r="M1011">
        <f>IF($G1011="","",IF($H1011="مرجوعی فروش",-1,1)*($K1011-$L1011*IFERROR(VLOOKUP("P01",ParamTbl,3,0),1.5)))</f>
        <v/>
      </c>
      <c r="N1011">
        <f>IF($G1011="",0,IF($H1011="مرجوعی فروش",-1,1)*IF(Sync!$AC1007="",0,Sync!$AC1007))</f>
        <v/>
      </c>
      <c r="O1011">
        <f>IF(OR($G1011="",Sync!$V1007=""),"",Sync!$V1007)</f>
        <v/>
      </c>
      <c r="P1011">
        <f>IF(OR($G1011="",Sync!$AD1007=""),"",Sync!$AD1007)</f>
        <v/>
      </c>
      <c r="Q1011">
        <f>IF($G1011="","",IF(Sync!$U1007="","0000",IF(AND(ISNUMBER(Sync!$U1007),Sync!$U1007&gt;=0,Sync!$U1007&lt;1),RIGHT("00"&amp;HOUR(Sync!$U1007),2)&amp;RIGHT("00"&amp;MINUTE(Sync!$U1007),2),IFERROR(RIGHT("00"&amp;VALUE(LEFT(Sync!$U1007,FIND(":",Sync!$U1007)-1)),2)&amp;RIGHT("00"&amp;VALUE(MID(Sync!$U1007,FIND(":",Sync!$U1007)+1,2)),2),"0000"))))</f>
        <v/>
      </c>
    </row>
    <row r="1012">
      <c r="A1012">
        <f>IF(Sync!$T1008="","",Sync!$T1008)</f>
        <v/>
      </c>
      <c r="B1012">
        <f>IF($A1012="","",IF(ISNUMBER($A1012),IF(AND($A1012&gt;=10000101,$A1012&lt;=99991231),INT($A1012/10000),""),IFERROR(VALUE(TRIM(LEFT($A1012,FIND("/",$A1012)-1))),"")))</f>
        <v/>
      </c>
      <c r="C1012">
        <f>IF(OR($A1012="",$B1012=""),"",IF(ISNUMBER($A1012),INT(MOD($A1012,10000)/100),IFERROR(VALUE(TRIM(LEFT(MID($A1012,FIND("/",$A1012)+1,20),FIND("/",MID($A1012,FIND("/",$A1012)+1,20))-1))),"")))</f>
        <v/>
      </c>
      <c r="D1012">
        <f>IF(OR($A1012="",$B1012=""),"",IF(ISNUMBER($A1012),MOD($A1012,100),IFERROR(VALUE(TRIM(MID(MID($A1012,FIND("/",$A1012)+1,20),FIND("/",MID($A1012,FIND("/",$A1012)+1,20))+1,20))),"")))</f>
        <v/>
      </c>
      <c r="E1012">
        <f>IF($A1012="","",IF(OR($B1012="",$C1012="",$D1012="",$B1012&lt;1300,$B1012&gt;1500,$C1012&lt;1,$C1012&gt;12,$D1012&lt;1,$D1012&gt;31),"نامعتبر",RIGHT("0000"&amp;$B1012,4)&amp;"/"&amp;RIGHT("00"&amp;$C1012,2)&amp;"/"&amp;RIGHT("00"&amp;$D1012,2)))</f>
        <v/>
      </c>
      <c r="F1012">
        <f>IF(OR($E1012="",$E1012="نامعتبر"),"",LEFT($E1012,4)&amp;"/"&amp;MID($E1012,6,2))</f>
        <v/>
      </c>
      <c r="G1012">
        <f>IF(OR($E1012="",$E1012="نامعتبر",Sync!$X1008=""),"",IF(AND(LEFT(UPPER(TRIM(Sync!$X1008)),2)="SL",IFERROR(VLOOKUP(Sync!$W1008,OpTbl,3,0),"")="فروش"),UPPER(TRIM(Sync!$X1008)),""))</f>
        <v/>
      </c>
      <c r="H1012">
        <f>IF($G1012="","",IF(Sync!$W1008="","",Sync!$W1008))</f>
        <v/>
      </c>
      <c r="I1012">
        <f>IF(OR($G1012="",Sync!$Y1008=""),"",Sync!$Y1008)</f>
        <v/>
      </c>
      <c r="J1012">
        <f>IF(OR($G1012="",Sync!$Z1008=""),"",Sync!$Z1008)</f>
        <v/>
      </c>
      <c r="K1012">
        <f>IF($G1012="",0,IF(Sync!$AA1008="",0,Sync!$AA1008))</f>
        <v/>
      </c>
      <c r="L1012">
        <f>IF($G1012="",0,IF(Sync!$AB1008="",0,Sync!$AB1008))</f>
        <v/>
      </c>
      <c r="M1012">
        <f>IF($G1012="","",IF($H1012="مرجوعی فروش",-1,1)*($K1012-$L1012*IFERROR(VLOOKUP("P01",ParamTbl,3,0),1.5)))</f>
        <v/>
      </c>
      <c r="N1012">
        <f>IF($G1012="",0,IF($H1012="مرجوعی فروش",-1,1)*IF(Sync!$AC1008="",0,Sync!$AC1008))</f>
        <v/>
      </c>
      <c r="O1012">
        <f>IF(OR($G1012="",Sync!$V1008=""),"",Sync!$V1008)</f>
        <v/>
      </c>
      <c r="P1012">
        <f>IF(OR($G1012="",Sync!$AD1008=""),"",Sync!$AD1008)</f>
        <v/>
      </c>
      <c r="Q1012">
        <f>IF($G1012="","",IF(Sync!$U1008="","0000",IF(AND(ISNUMBER(Sync!$U1008),Sync!$U1008&gt;=0,Sync!$U1008&lt;1),RIGHT("00"&amp;HOUR(Sync!$U1008),2)&amp;RIGHT("00"&amp;MINUTE(Sync!$U1008),2),IFERROR(RIGHT("00"&amp;VALUE(LEFT(Sync!$U1008,FIND(":",Sync!$U1008)-1)),2)&amp;RIGHT("00"&amp;VALUE(MID(Sync!$U1008,FIND(":",Sync!$U1008)+1,2)),2),"0000"))))</f>
        <v/>
      </c>
    </row>
    <row r="1013">
      <c r="A1013">
        <f>IF(Sync!$T1009="","",Sync!$T1009)</f>
        <v/>
      </c>
      <c r="B1013">
        <f>IF($A1013="","",IF(ISNUMBER($A1013),IF(AND($A1013&gt;=10000101,$A1013&lt;=99991231),INT($A1013/10000),""),IFERROR(VALUE(TRIM(LEFT($A1013,FIND("/",$A1013)-1))),"")))</f>
        <v/>
      </c>
      <c r="C1013">
        <f>IF(OR($A1013="",$B1013=""),"",IF(ISNUMBER($A1013),INT(MOD($A1013,10000)/100),IFERROR(VALUE(TRIM(LEFT(MID($A1013,FIND("/",$A1013)+1,20),FIND("/",MID($A1013,FIND("/",$A1013)+1,20))-1))),"")))</f>
        <v/>
      </c>
      <c r="D1013">
        <f>IF(OR($A1013="",$B1013=""),"",IF(ISNUMBER($A1013),MOD($A1013,100),IFERROR(VALUE(TRIM(MID(MID($A1013,FIND("/",$A1013)+1,20),FIND("/",MID($A1013,FIND("/",$A1013)+1,20))+1,20))),"")))</f>
        <v/>
      </c>
      <c r="E1013">
        <f>IF($A1013="","",IF(OR($B1013="",$C1013="",$D1013="",$B1013&lt;1300,$B1013&gt;1500,$C1013&lt;1,$C1013&gt;12,$D1013&lt;1,$D1013&gt;31),"نامعتبر",RIGHT("0000"&amp;$B1013,4)&amp;"/"&amp;RIGHT("00"&amp;$C1013,2)&amp;"/"&amp;RIGHT("00"&amp;$D1013,2)))</f>
        <v/>
      </c>
      <c r="F1013">
        <f>IF(OR($E1013="",$E1013="نامعتبر"),"",LEFT($E1013,4)&amp;"/"&amp;MID($E1013,6,2))</f>
        <v/>
      </c>
      <c r="G1013">
        <f>IF(OR($E1013="",$E1013="نامعتبر",Sync!$X1009=""),"",IF(AND(LEFT(UPPER(TRIM(Sync!$X1009)),2)="SL",IFERROR(VLOOKUP(Sync!$W1009,OpTbl,3,0),"")="فروش"),UPPER(TRIM(Sync!$X1009)),""))</f>
        <v/>
      </c>
      <c r="H1013">
        <f>IF($G1013="","",IF(Sync!$W1009="","",Sync!$W1009))</f>
        <v/>
      </c>
      <c r="I1013">
        <f>IF(OR($G1013="",Sync!$Y1009=""),"",Sync!$Y1009)</f>
        <v/>
      </c>
      <c r="J1013">
        <f>IF(OR($G1013="",Sync!$Z1009=""),"",Sync!$Z1009)</f>
        <v/>
      </c>
      <c r="K1013">
        <f>IF($G1013="",0,IF(Sync!$AA1009="",0,Sync!$AA1009))</f>
        <v/>
      </c>
      <c r="L1013">
        <f>IF($G1013="",0,IF(Sync!$AB1009="",0,Sync!$AB1009))</f>
        <v/>
      </c>
      <c r="M1013">
        <f>IF($G1013="","",IF($H1013="مرجوعی فروش",-1,1)*($K1013-$L1013*IFERROR(VLOOKUP("P01",ParamTbl,3,0),1.5)))</f>
        <v/>
      </c>
      <c r="N1013">
        <f>IF($G1013="",0,IF($H1013="مرجوعی فروش",-1,1)*IF(Sync!$AC1009="",0,Sync!$AC1009))</f>
        <v/>
      </c>
      <c r="O1013">
        <f>IF(OR($G1013="",Sync!$V1009=""),"",Sync!$V1009)</f>
        <v/>
      </c>
      <c r="P1013">
        <f>IF(OR($G1013="",Sync!$AD1009=""),"",Sync!$AD1009)</f>
        <v/>
      </c>
      <c r="Q1013">
        <f>IF($G1013="","",IF(Sync!$U1009="","0000",IF(AND(ISNUMBER(Sync!$U1009),Sync!$U1009&gt;=0,Sync!$U1009&lt;1),RIGHT("00"&amp;HOUR(Sync!$U1009),2)&amp;RIGHT("00"&amp;MINUTE(Sync!$U1009),2),IFERROR(RIGHT("00"&amp;VALUE(LEFT(Sync!$U1009,FIND(":",Sync!$U1009)-1)),2)&amp;RIGHT("00"&amp;VALUE(MID(Sync!$U1009,FIND(":",Sync!$U1009)+1,2)),2),"0000"))))</f>
        <v/>
      </c>
    </row>
    <row r="1014">
      <c r="A1014">
        <f>IF(Sync!$T1010="","",Sync!$T1010)</f>
        <v/>
      </c>
      <c r="B1014">
        <f>IF($A1014="","",IF(ISNUMBER($A1014),IF(AND($A1014&gt;=10000101,$A1014&lt;=99991231),INT($A1014/10000),""),IFERROR(VALUE(TRIM(LEFT($A1014,FIND("/",$A1014)-1))),"")))</f>
        <v/>
      </c>
      <c r="C1014">
        <f>IF(OR($A1014="",$B1014=""),"",IF(ISNUMBER($A1014),INT(MOD($A1014,10000)/100),IFERROR(VALUE(TRIM(LEFT(MID($A1014,FIND("/",$A1014)+1,20),FIND("/",MID($A1014,FIND("/",$A1014)+1,20))-1))),"")))</f>
        <v/>
      </c>
      <c r="D1014">
        <f>IF(OR($A1014="",$B1014=""),"",IF(ISNUMBER($A1014),MOD($A1014,100),IFERROR(VALUE(TRIM(MID(MID($A1014,FIND("/",$A1014)+1,20),FIND("/",MID($A1014,FIND("/",$A1014)+1,20))+1,20))),"")))</f>
        <v/>
      </c>
      <c r="E1014">
        <f>IF($A1014="","",IF(OR($B1014="",$C1014="",$D1014="",$B1014&lt;1300,$B1014&gt;1500,$C1014&lt;1,$C1014&gt;12,$D1014&lt;1,$D1014&gt;31),"نامعتبر",RIGHT("0000"&amp;$B1014,4)&amp;"/"&amp;RIGHT("00"&amp;$C1014,2)&amp;"/"&amp;RIGHT("00"&amp;$D1014,2)))</f>
        <v/>
      </c>
      <c r="F1014">
        <f>IF(OR($E1014="",$E1014="نامعتبر"),"",LEFT($E1014,4)&amp;"/"&amp;MID($E1014,6,2))</f>
        <v/>
      </c>
      <c r="G1014">
        <f>IF(OR($E1014="",$E1014="نامعتبر",Sync!$X1010=""),"",IF(AND(LEFT(UPPER(TRIM(Sync!$X1010)),2)="SL",IFERROR(VLOOKUP(Sync!$W1010,OpTbl,3,0),"")="فروش"),UPPER(TRIM(Sync!$X1010)),""))</f>
        <v/>
      </c>
      <c r="H1014">
        <f>IF($G1014="","",IF(Sync!$W1010="","",Sync!$W1010))</f>
        <v/>
      </c>
      <c r="I1014">
        <f>IF(OR($G1014="",Sync!$Y1010=""),"",Sync!$Y1010)</f>
        <v/>
      </c>
      <c r="J1014">
        <f>IF(OR($G1014="",Sync!$Z1010=""),"",Sync!$Z1010)</f>
        <v/>
      </c>
      <c r="K1014">
        <f>IF($G1014="",0,IF(Sync!$AA1010="",0,Sync!$AA1010))</f>
        <v/>
      </c>
      <c r="L1014">
        <f>IF($G1014="",0,IF(Sync!$AB1010="",0,Sync!$AB1010))</f>
        <v/>
      </c>
      <c r="M1014">
        <f>IF($G1014="","",IF($H1014="مرجوعی فروش",-1,1)*($K1014-$L1014*IFERROR(VLOOKUP("P01",ParamTbl,3,0),1.5)))</f>
        <v/>
      </c>
      <c r="N1014">
        <f>IF($G1014="",0,IF($H1014="مرجوعی فروش",-1,1)*IF(Sync!$AC1010="",0,Sync!$AC1010))</f>
        <v/>
      </c>
      <c r="O1014">
        <f>IF(OR($G1014="",Sync!$V1010=""),"",Sync!$V1010)</f>
        <v/>
      </c>
      <c r="P1014">
        <f>IF(OR($G1014="",Sync!$AD1010=""),"",Sync!$AD1010)</f>
        <v/>
      </c>
      <c r="Q1014">
        <f>IF($G1014="","",IF(Sync!$U1010="","0000",IF(AND(ISNUMBER(Sync!$U1010),Sync!$U1010&gt;=0,Sync!$U1010&lt;1),RIGHT("00"&amp;HOUR(Sync!$U1010),2)&amp;RIGHT("00"&amp;MINUTE(Sync!$U1010),2),IFERROR(RIGHT("00"&amp;VALUE(LEFT(Sync!$U1010,FIND(":",Sync!$U1010)-1)),2)&amp;RIGHT("00"&amp;VALUE(MID(Sync!$U1010,FIND(":",Sync!$U1010)+1,2)),2),"0000"))))</f>
        <v/>
      </c>
    </row>
    <row r="1015">
      <c r="A1015">
        <f>IF(Sync!$T1011="","",Sync!$T1011)</f>
        <v/>
      </c>
      <c r="B1015">
        <f>IF($A1015="","",IF(ISNUMBER($A1015),IF(AND($A1015&gt;=10000101,$A1015&lt;=99991231),INT($A1015/10000),""),IFERROR(VALUE(TRIM(LEFT($A1015,FIND("/",$A1015)-1))),"")))</f>
        <v/>
      </c>
      <c r="C1015">
        <f>IF(OR($A1015="",$B1015=""),"",IF(ISNUMBER($A1015),INT(MOD($A1015,10000)/100),IFERROR(VALUE(TRIM(LEFT(MID($A1015,FIND("/",$A1015)+1,20),FIND("/",MID($A1015,FIND("/",$A1015)+1,20))-1))),"")))</f>
        <v/>
      </c>
      <c r="D1015">
        <f>IF(OR($A1015="",$B1015=""),"",IF(ISNUMBER($A1015),MOD($A1015,100),IFERROR(VALUE(TRIM(MID(MID($A1015,FIND("/",$A1015)+1,20),FIND("/",MID($A1015,FIND("/",$A1015)+1,20))+1,20))),"")))</f>
        <v/>
      </c>
      <c r="E1015">
        <f>IF($A1015="","",IF(OR($B1015="",$C1015="",$D1015="",$B1015&lt;1300,$B1015&gt;1500,$C1015&lt;1,$C1015&gt;12,$D1015&lt;1,$D1015&gt;31),"نامعتبر",RIGHT("0000"&amp;$B1015,4)&amp;"/"&amp;RIGHT("00"&amp;$C1015,2)&amp;"/"&amp;RIGHT("00"&amp;$D1015,2)))</f>
        <v/>
      </c>
      <c r="F1015">
        <f>IF(OR($E1015="",$E1015="نامعتبر"),"",LEFT($E1015,4)&amp;"/"&amp;MID($E1015,6,2))</f>
        <v/>
      </c>
      <c r="G1015">
        <f>IF(OR($E1015="",$E1015="نامعتبر",Sync!$X1011=""),"",IF(AND(LEFT(UPPER(TRIM(Sync!$X1011)),2)="SL",IFERROR(VLOOKUP(Sync!$W1011,OpTbl,3,0),"")="فروش"),UPPER(TRIM(Sync!$X1011)),""))</f>
        <v/>
      </c>
      <c r="H1015">
        <f>IF($G1015="","",IF(Sync!$W1011="","",Sync!$W1011))</f>
        <v/>
      </c>
      <c r="I1015">
        <f>IF(OR($G1015="",Sync!$Y1011=""),"",Sync!$Y1011)</f>
        <v/>
      </c>
      <c r="J1015">
        <f>IF(OR($G1015="",Sync!$Z1011=""),"",Sync!$Z1011)</f>
        <v/>
      </c>
      <c r="K1015">
        <f>IF($G1015="",0,IF(Sync!$AA1011="",0,Sync!$AA1011))</f>
        <v/>
      </c>
      <c r="L1015">
        <f>IF($G1015="",0,IF(Sync!$AB1011="",0,Sync!$AB1011))</f>
        <v/>
      </c>
      <c r="M1015">
        <f>IF($G1015="","",IF($H1015="مرجوعی فروش",-1,1)*($K1015-$L1015*IFERROR(VLOOKUP("P01",ParamTbl,3,0),1.5)))</f>
        <v/>
      </c>
      <c r="N1015">
        <f>IF($G1015="",0,IF($H1015="مرجوعی فروش",-1,1)*IF(Sync!$AC1011="",0,Sync!$AC1011))</f>
        <v/>
      </c>
      <c r="O1015">
        <f>IF(OR($G1015="",Sync!$V1011=""),"",Sync!$V1011)</f>
        <v/>
      </c>
      <c r="P1015">
        <f>IF(OR($G1015="",Sync!$AD1011=""),"",Sync!$AD1011)</f>
        <v/>
      </c>
      <c r="Q1015">
        <f>IF($G1015="","",IF(Sync!$U1011="","0000",IF(AND(ISNUMBER(Sync!$U1011),Sync!$U1011&gt;=0,Sync!$U1011&lt;1),RIGHT("00"&amp;HOUR(Sync!$U1011),2)&amp;RIGHT("00"&amp;MINUTE(Sync!$U1011),2),IFERROR(RIGHT("00"&amp;VALUE(LEFT(Sync!$U1011,FIND(":",Sync!$U1011)-1)),2)&amp;RIGHT("00"&amp;VALUE(MID(Sync!$U1011,FIND(":",Sync!$U1011)+1,2)),2),"0000"))))</f>
        <v/>
      </c>
    </row>
    <row r="1016">
      <c r="A1016">
        <f>IF(Sync!$T1012="","",Sync!$T1012)</f>
        <v/>
      </c>
      <c r="B1016">
        <f>IF($A1016="","",IF(ISNUMBER($A1016),IF(AND($A1016&gt;=10000101,$A1016&lt;=99991231),INT($A1016/10000),""),IFERROR(VALUE(TRIM(LEFT($A1016,FIND("/",$A1016)-1))),"")))</f>
        <v/>
      </c>
      <c r="C1016">
        <f>IF(OR($A1016="",$B1016=""),"",IF(ISNUMBER($A1016),INT(MOD($A1016,10000)/100),IFERROR(VALUE(TRIM(LEFT(MID($A1016,FIND("/",$A1016)+1,20),FIND("/",MID($A1016,FIND("/",$A1016)+1,20))-1))),"")))</f>
        <v/>
      </c>
      <c r="D1016">
        <f>IF(OR($A1016="",$B1016=""),"",IF(ISNUMBER($A1016),MOD($A1016,100),IFERROR(VALUE(TRIM(MID(MID($A1016,FIND("/",$A1016)+1,20),FIND("/",MID($A1016,FIND("/",$A1016)+1,20))+1,20))),"")))</f>
        <v/>
      </c>
      <c r="E1016">
        <f>IF($A1016="","",IF(OR($B1016="",$C1016="",$D1016="",$B1016&lt;1300,$B1016&gt;1500,$C1016&lt;1,$C1016&gt;12,$D1016&lt;1,$D1016&gt;31),"نامعتبر",RIGHT("0000"&amp;$B1016,4)&amp;"/"&amp;RIGHT("00"&amp;$C1016,2)&amp;"/"&amp;RIGHT("00"&amp;$D1016,2)))</f>
        <v/>
      </c>
      <c r="F1016">
        <f>IF(OR($E1016="",$E1016="نامعتبر"),"",LEFT($E1016,4)&amp;"/"&amp;MID($E1016,6,2))</f>
        <v/>
      </c>
      <c r="G1016">
        <f>IF(OR($E1016="",$E1016="نامعتبر",Sync!$X1012=""),"",IF(AND(LEFT(UPPER(TRIM(Sync!$X1012)),2)="SL",IFERROR(VLOOKUP(Sync!$W1012,OpTbl,3,0),"")="فروش"),UPPER(TRIM(Sync!$X1012)),""))</f>
        <v/>
      </c>
      <c r="H1016">
        <f>IF($G1016="","",IF(Sync!$W1012="","",Sync!$W1012))</f>
        <v/>
      </c>
      <c r="I1016">
        <f>IF(OR($G1016="",Sync!$Y1012=""),"",Sync!$Y1012)</f>
        <v/>
      </c>
      <c r="J1016">
        <f>IF(OR($G1016="",Sync!$Z1012=""),"",Sync!$Z1012)</f>
        <v/>
      </c>
      <c r="K1016">
        <f>IF($G1016="",0,IF(Sync!$AA1012="",0,Sync!$AA1012))</f>
        <v/>
      </c>
      <c r="L1016">
        <f>IF($G1016="",0,IF(Sync!$AB1012="",0,Sync!$AB1012))</f>
        <v/>
      </c>
      <c r="M1016">
        <f>IF($G1016="","",IF($H1016="مرجوعی فروش",-1,1)*($K1016-$L1016*IFERROR(VLOOKUP("P01",ParamTbl,3,0),1.5)))</f>
        <v/>
      </c>
      <c r="N1016">
        <f>IF($G1016="",0,IF($H1016="مرجوعی فروش",-1,1)*IF(Sync!$AC1012="",0,Sync!$AC1012))</f>
        <v/>
      </c>
      <c r="O1016">
        <f>IF(OR($G1016="",Sync!$V1012=""),"",Sync!$V1012)</f>
        <v/>
      </c>
      <c r="P1016">
        <f>IF(OR($G1016="",Sync!$AD1012=""),"",Sync!$AD1012)</f>
        <v/>
      </c>
      <c r="Q1016">
        <f>IF($G1016="","",IF(Sync!$U1012="","0000",IF(AND(ISNUMBER(Sync!$U1012),Sync!$U1012&gt;=0,Sync!$U1012&lt;1),RIGHT("00"&amp;HOUR(Sync!$U1012),2)&amp;RIGHT("00"&amp;MINUTE(Sync!$U1012),2),IFERROR(RIGHT("00"&amp;VALUE(LEFT(Sync!$U1012,FIND(":",Sync!$U1012)-1)),2)&amp;RIGHT("00"&amp;VALUE(MID(Sync!$U1012,FIND(":",Sync!$U1012)+1,2)),2),"0000"))))</f>
        <v/>
      </c>
    </row>
    <row r="1017">
      <c r="A1017">
        <f>IF(Sync!$T1013="","",Sync!$T1013)</f>
        <v/>
      </c>
      <c r="B1017">
        <f>IF($A1017="","",IF(ISNUMBER($A1017),IF(AND($A1017&gt;=10000101,$A1017&lt;=99991231),INT($A1017/10000),""),IFERROR(VALUE(TRIM(LEFT($A1017,FIND("/",$A1017)-1))),"")))</f>
        <v/>
      </c>
      <c r="C1017">
        <f>IF(OR($A1017="",$B1017=""),"",IF(ISNUMBER($A1017),INT(MOD($A1017,10000)/100),IFERROR(VALUE(TRIM(LEFT(MID($A1017,FIND("/",$A1017)+1,20),FIND("/",MID($A1017,FIND("/",$A1017)+1,20))-1))),"")))</f>
        <v/>
      </c>
      <c r="D1017">
        <f>IF(OR($A1017="",$B1017=""),"",IF(ISNUMBER($A1017),MOD($A1017,100),IFERROR(VALUE(TRIM(MID(MID($A1017,FIND("/",$A1017)+1,20),FIND("/",MID($A1017,FIND("/",$A1017)+1,20))+1,20))),"")))</f>
        <v/>
      </c>
      <c r="E1017">
        <f>IF($A1017="","",IF(OR($B1017="",$C1017="",$D1017="",$B1017&lt;1300,$B1017&gt;1500,$C1017&lt;1,$C1017&gt;12,$D1017&lt;1,$D1017&gt;31),"نامعتبر",RIGHT("0000"&amp;$B1017,4)&amp;"/"&amp;RIGHT("00"&amp;$C1017,2)&amp;"/"&amp;RIGHT("00"&amp;$D1017,2)))</f>
        <v/>
      </c>
      <c r="F1017">
        <f>IF(OR($E1017="",$E1017="نامعتبر"),"",LEFT($E1017,4)&amp;"/"&amp;MID($E1017,6,2))</f>
        <v/>
      </c>
      <c r="G1017">
        <f>IF(OR($E1017="",$E1017="نامعتبر",Sync!$X1013=""),"",IF(AND(LEFT(UPPER(TRIM(Sync!$X1013)),2)="SL",IFERROR(VLOOKUP(Sync!$W1013,OpTbl,3,0),"")="فروش"),UPPER(TRIM(Sync!$X1013)),""))</f>
        <v/>
      </c>
      <c r="H1017">
        <f>IF($G1017="","",IF(Sync!$W1013="","",Sync!$W1013))</f>
        <v/>
      </c>
      <c r="I1017">
        <f>IF(OR($G1017="",Sync!$Y1013=""),"",Sync!$Y1013)</f>
        <v/>
      </c>
      <c r="J1017">
        <f>IF(OR($G1017="",Sync!$Z1013=""),"",Sync!$Z1013)</f>
        <v/>
      </c>
      <c r="K1017">
        <f>IF($G1017="",0,IF(Sync!$AA1013="",0,Sync!$AA1013))</f>
        <v/>
      </c>
      <c r="L1017">
        <f>IF($G1017="",0,IF(Sync!$AB1013="",0,Sync!$AB1013))</f>
        <v/>
      </c>
      <c r="M1017">
        <f>IF($G1017="","",IF($H1017="مرجوعی فروش",-1,1)*($K1017-$L1017*IFERROR(VLOOKUP("P01",ParamTbl,3,0),1.5)))</f>
        <v/>
      </c>
      <c r="N1017">
        <f>IF($G1017="",0,IF($H1017="مرجوعی فروش",-1,1)*IF(Sync!$AC1013="",0,Sync!$AC1013))</f>
        <v/>
      </c>
      <c r="O1017">
        <f>IF(OR($G1017="",Sync!$V1013=""),"",Sync!$V1013)</f>
        <v/>
      </c>
      <c r="P1017">
        <f>IF(OR($G1017="",Sync!$AD1013=""),"",Sync!$AD1013)</f>
        <v/>
      </c>
      <c r="Q1017">
        <f>IF($G1017="","",IF(Sync!$U1013="","0000",IF(AND(ISNUMBER(Sync!$U1013),Sync!$U1013&gt;=0,Sync!$U1013&lt;1),RIGHT("00"&amp;HOUR(Sync!$U1013),2)&amp;RIGHT("00"&amp;MINUTE(Sync!$U1013),2),IFERROR(RIGHT("00"&amp;VALUE(LEFT(Sync!$U1013,FIND(":",Sync!$U1013)-1)),2)&amp;RIGHT("00"&amp;VALUE(MID(Sync!$U1013,FIND(":",Sync!$U1013)+1,2)),2),"0000"))))</f>
        <v/>
      </c>
    </row>
    <row r="1018">
      <c r="A1018">
        <f>IF(Sync!$T1014="","",Sync!$T1014)</f>
        <v/>
      </c>
      <c r="B1018">
        <f>IF($A1018="","",IF(ISNUMBER($A1018),IF(AND($A1018&gt;=10000101,$A1018&lt;=99991231),INT($A1018/10000),""),IFERROR(VALUE(TRIM(LEFT($A1018,FIND("/",$A1018)-1))),"")))</f>
        <v/>
      </c>
      <c r="C1018">
        <f>IF(OR($A1018="",$B1018=""),"",IF(ISNUMBER($A1018),INT(MOD($A1018,10000)/100),IFERROR(VALUE(TRIM(LEFT(MID($A1018,FIND("/",$A1018)+1,20),FIND("/",MID($A1018,FIND("/",$A1018)+1,20))-1))),"")))</f>
        <v/>
      </c>
      <c r="D1018">
        <f>IF(OR($A1018="",$B1018=""),"",IF(ISNUMBER($A1018),MOD($A1018,100),IFERROR(VALUE(TRIM(MID(MID($A1018,FIND("/",$A1018)+1,20),FIND("/",MID($A1018,FIND("/",$A1018)+1,20))+1,20))),"")))</f>
        <v/>
      </c>
      <c r="E1018">
        <f>IF($A1018="","",IF(OR($B1018="",$C1018="",$D1018="",$B1018&lt;1300,$B1018&gt;1500,$C1018&lt;1,$C1018&gt;12,$D1018&lt;1,$D1018&gt;31),"نامعتبر",RIGHT("0000"&amp;$B1018,4)&amp;"/"&amp;RIGHT("00"&amp;$C1018,2)&amp;"/"&amp;RIGHT("00"&amp;$D1018,2)))</f>
        <v/>
      </c>
      <c r="F1018">
        <f>IF(OR($E1018="",$E1018="نامعتبر"),"",LEFT($E1018,4)&amp;"/"&amp;MID($E1018,6,2))</f>
        <v/>
      </c>
      <c r="G1018">
        <f>IF(OR($E1018="",$E1018="نامعتبر",Sync!$X1014=""),"",IF(AND(LEFT(UPPER(TRIM(Sync!$X1014)),2)="SL",IFERROR(VLOOKUP(Sync!$W1014,OpTbl,3,0),"")="فروش"),UPPER(TRIM(Sync!$X1014)),""))</f>
        <v/>
      </c>
      <c r="H1018">
        <f>IF($G1018="","",IF(Sync!$W1014="","",Sync!$W1014))</f>
        <v/>
      </c>
      <c r="I1018">
        <f>IF(OR($G1018="",Sync!$Y1014=""),"",Sync!$Y1014)</f>
        <v/>
      </c>
      <c r="J1018">
        <f>IF(OR($G1018="",Sync!$Z1014=""),"",Sync!$Z1014)</f>
        <v/>
      </c>
      <c r="K1018">
        <f>IF($G1018="",0,IF(Sync!$AA1014="",0,Sync!$AA1014))</f>
        <v/>
      </c>
      <c r="L1018">
        <f>IF($G1018="",0,IF(Sync!$AB1014="",0,Sync!$AB1014))</f>
        <v/>
      </c>
      <c r="M1018">
        <f>IF($G1018="","",IF($H1018="مرجوعی فروش",-1,1)*($K1018-$L1018*IFERROR(VLOOKUP("P01",ParamTbl,3,0),1.5)))</f>
        <v/>
      </c>
      <c r="N1018">
        <f>IF($G1018="",0,IF($H1018="مرجوعی فروش",-1,1)*IF(Sync!$AC1014="",0,Sync!$AC1014))</f>
        <v/>
      </c>
      <c r="O1018">
        <f>IF(OR($G1018="",Sync!$V1014=""),"",Sync!$V1014)</f>
        <v/>
      </c>
      <c r="P1018">
        <f>IF(OR($G1018="",Sync!$AD1014=""),"",Sync!$AD1014)</f>
        <v/>
      </c>
      <c r="Q1018">
        <f>IF($G1018="","",IF(Sync!$U1014="","0000",IF(AND(ISNUMBER(Sync!$U1014),Sync!$U1014&gt;=0,Sync!$U1014&lt;1),RIGHT("00"&amp;HOUR(Sync!$U1014),2)&amp;RIGHT("00"&amp;MINUTE(Sync!$U1014),2),IFERROR(RIGHT("00"&amp;VALUE(LEFT(Sync!$U1014,FIND(":",Sync!$U1014)-1)),2)&amp;RIGHT("00"&amp;VALUE(MID(Sync!$U1014,FIND(":",Sync!$U1014)+1,2)),2),"0000"))))</f>
        <v/>
      </c>
    </row>
    <row r="1019">
      <c r="A1019">
        <f>IF(Sync!$T1015="","",Sync!$T1015)</f>
        <v/>
      </c>
      <c r="B1019">
        <f>IF($A1019="","",IF(ISNUMBER($A1019),IF(AND($A1019&gt;=10000101,$A1019&lt;=99991231),INT($A1019/10000),""),IFERROR(VALUE(TRIM(LEFT($A1019,FIND("/",$A1019)-1))),"")))</f>
        <v/>
      </c>
      <c r="C1019">
        <f>IF(OR($A1019="",$B1019=""),"",IF(ISNUMBER($A1019),INT(MOD($A1019,10000)/100),IFERROR(VALUE(TRIM(LEFT(MID($A1019,FIND("/",$A1019)+1,20),FIND("/",MID($A1019,FIND("/",$A1019)+1,20))-1))),"")))</f>
        <v/>
      </c>
      <c r="D1019">
        <f>IF(OR($A1019="",$B1019=""),"",IF(ISNUMBER($A1019),MOD($A1019,100),IFERROR(VALUE(TRIM(MID(MID($A1019,FIND("/",$A1019)+1,20),FIND("/",MID($A1019,FIND("/",$A1019)+1,20))+1,20))),"")))</f>
        <v/>
      </c>
      <c r="E1019">
        <f>IF($A1019="","",IF(OR($B1019="",$C1019="",$D1019="",$B1019&lt;1300,$B1019&gt;1500,$C1019&lt;1,$C1019&gt;12,$D1019&lt;1,$D1019&gt;31),"نامعتبر",RIGHT("0000"&amp;$B1019,4)&amp;"/"&amp;RIGHT("00"&amp;$C1019,2)&amp;"/"&amp;RIGHT("00"&amp;$D1019,2)))</f>
        <v/>
      </c>
      <c r="F1019">
        <f>IF(OR($E1019="",$E1019="نامعتبر"),"",LEFT($E1019,4)&amp;"/"&amp;MID($E1019,6,2))</f>
        <v/>
      </c>
      <c r="G1019">
        <f>IF(OR($E1019="",$E1019="نامعتبر",Sync!$X1015=""),"",IF(AND(LEFT(UPPER(TRIM(Sync!$X1015)),2)="SL",IFERROR(VLOOKUP(Sync!$W1015,OpTbl,3,0),"")="فروش"),UPPER(TRIM(Sync!$X1015)),""))</f>
        <v/>
      </c>
      <c r="H1019">
        <f>IF($G1019="","",IF(Sync!$W1015="","",Sync!$W1015))</f>
        <v/>
      </c>
      <c r="I1019">
        <f>IF(OR($G1019="",Sync!$Y1015=""),"",Sync!$Y1015)</f>
        <v/>
      </c>
      <c r="J1019">
        <f>IF(OR($G1019="",Sync!$Z1015=""),"",Sync!$Z1015)</f>
        <v/>
      </c>
      <c r="K1019">
        <f>IF($G1019="",0,IF(Sync!$AA1015="",0,Sync!$AA1015))</f>
        <v/>
      </c>
      <c r="L1019">
        <f>IF($G1019="",0,IF(Sync!$AB1015="",0,Sync!$AB1015))</f>
        <v/>
      </c>
      <c r="M1019">
        <f>IF($G1019="","",IF($H1019="مرجوعی فروش",-1,1)*($K1019-$L1019*IFERROR(VLOOKUP("P01",ParamTbl,3,0),1.5)))</f>
        <v/>
      </c>
      <c r="N1019">
        <f>IF($G1019="",0,IF($H1019="مرجوعی فروش",-1,1)*IF(Sync!$AC1015="",0,Sync!$AC1015))</f>
        <v/>
      </c>
      <c r="O1019">
        <f>IF(OR($G1019="",Sync!$V1015=""),"",Sync!$V1015)</f>
        <v/>
      </c>
      <c r="P1019">
        <f>IF(OR($G1019="",Sync!$AD1015=""),"",Sync!$AD1015)</f>
        <v/>
      </c>
      <c r="Q1019">
        <f>IF($G1019="","",IF(Sync!$U1015="","0000",IF(AND(ISNUMBER(Sync!$U1015),Sync!$U1015&gt;=0,Sync!$U1015&lt;1),RIGHT("00"&amp;HOUR(Sync!$U1015),2)&amp;RIGHT("00"&amp;MINUTE(Sync!$U1015),2),IFERROR(RIGHT("00"&amp;VALUE(LEFT(Sync!$U1015,FIND(":",Sync!$U1015)-1)),2)&amp;RIGHT("00"&amp;VALUE(MID(Sync!$U1015,FIND(":",Sync!$U1015)+1,2)),2),"0000"))))</f>
        <v/>
      </c>
    </row>
    <row r="1020">
      <c r="A1020">
        <f>IF(Sync!$T1016="","",Sync!$T1016)</f>
        <v/>
      </c>
      <c r="B1020">
        <f>IF($A1020="","",IF(ISNUMBER($A1020),IF(AND($A1020&gt;=10000101,$A1020&lt;=99991231),INT($A1020/10000),""),IFERROR(VALUE(TRIM(LEFT($A1020,FIND("/",$A1020)-1))),"")))</f>
        <v/>
      </c>
      <c r="C1020">
        <f>IF(OR($A1020="",$B1020=""),"",IF(ISNUMBER($A1020),INT(MOD($A1020,10000)/100),IFERROR(VALUE(TRIM(LEFT(MID($A1020,FIND("/",$A1020)+1,20),FIND("/",MID($A1020,FIND("/",$A1020)+1,20))-1))),"")))</f>
        <v/>
      </c>
      <c r="D1020">
        <f>IF(OR($A1020="",$B1020=""),"",IF(ISNUMBER($A1020),MOD($A1020,100),IFERROR(VALUE(TRIM(MID(MID($A1020,FIND("/",$A1020)+1,20),FIND("/",MID($A1020,FIND("/",$A1020)+1,20))+1,20))),"")))</f>
        <v/>
      </c>
      <c r="E1020">
        <f>IF($A1020="","",IF(OR($B1020="",$C1020="",$D1020="",$B1020&lt;1300,$B1020&gt;1500,$C1020&lt;1,$C1020&gt;12,$D1020&lt;1,$D1020&gt;31),"نامعتبر",RIGHT("0000"&amp;$B1020,4)&amp;"/"&amp;RIGHT("00"&amp;$C1020,2)&amp;"/"&amp;RIGHT("00"&amp;$D1020,2)))</f>
        <v/>
      </c>
      <c r="F1020">
        <f>IF(OR($E1020="",$E1020="نامعتبر"),"",LEFT($E1020,4)&amp;"/"&amp;MID($E1020,6,2))</f>
        <v/>
      </c>
      <c r="G1020">
        <f>IF(OR($E1020="",$E1020="نامعتبر",Sync!$X1016=""),"",IF(AND(LEFT(UPPER(TRIM(Sync!$X1016)),2)="SL",IFERROR(VLOOKUP(Sync!$W1016,OpTbl,3,0),"")="فروش"),UPPER(TRIM(Sync!$X1016)),""))</f>
        <v/>
      </c>
      <c r="H1020">
        <f>IF($G1020="","",IF(Sync!$W1016="","",Sync!$W1016))</f>
        <v/>
      </c>
      <c r="I1020">
        <f>IF(OR($G1020="",Sync!$Y1016=""),"",Sync!$Y1016)</f>
        <v/>
      </c>
      <c r="J1020">
        <f>IF(OR($G1020="",Sync!$Z1016=""),"",Sync!$Z1016)</f>
        <v/>
      </c>
      <c r="K1020">
        <f>IF($G1020="",0,IF(Sync!$AA1016="",0,Sync!$AA1016))</f>
        <v/>
      </c>
      <c r="L1020">
        <f>IF($G1020="",0,IF(Sync!$AB1016="",0,Sync!$AB1016))</f>
        <v/>
      </c>
      <c r="M1020">
        <f>IF($G1020="","",IF($H1020="مرجوعی فروش",-1,1)*($K1020-$L1020*IFERROR(VLOOKUP("P01",ParamTbl,3,0),1.5)))</f>
        <v/>
      </c>
      <c r="N1020">
        <f>IF($G1020="",0,IF($H1020="مرجوعی فروش",-1,1)*IF(Sync!$AC1016="",0,Sync!$AC1016))</f>
        <v/>
      </c>
      <c r="O1020">
        <f>IF(OR($G1020="",Sync!$V1016=""),"",Sync!$V1016)</f>
        <v/>
      </c>
      <c r="P1020">
        <f>IF(OR($G1020="",Sync!$AD1016=""),"",Sync!$AD1016)</f>
        <v/>
      </c>
      <c r="Q1020">
        <f>IF($G1020="","",IF(Sync!$U1016="","0000",IF(AND(ISNUMBER(Sync!$U1016),Sync!$U1016&gt;=0,Sync!$U1016&lt;1),RIGHT("00"&amp;HOUR(Sync!$U1016),2)&amp;RIGHT("00"&amp;MINUTE(Sync!$U1016),2),IFERROR(RIGHT("00"&amp;VALUE(LEFT(Sync!$U1016,FIND(":",Sync!$U1016)-1)),2)&amp;RIGHT("00"&amp;VALUE(MID(Sync!$U1016,FIND(":",Sync!$U1016)+1,2)),2),"0000"))))</f>
        <v/>
      </c>
    </row>
    <row r="1021">
      <c r="A1021">
        <f>IF(Sync!$T1017="","",Sync!$T1017)</f>
        <v/>
      </c>
      <c r="B1021">
        <f>IF($A1021="","",IF(ISNUMBER($A1021),IF(AND($A1021&gt;=10000101,$A1021&lt;=99991231),INT($A1021/10000),""),IFERROR(VALUE(TRIM(LEFT($A1021,FIND("/",$A1021)-1))),"")))</f>
        <v/>
      </c>
      <c r="C1021">
        <f>IF(OR($A1021="",$B1021=""),"",IF(ISNUMBER($A1021),INT(MOD($A1021,10000)/100),IFERROR(VALUE(TRIM(LEFT(MID($A1021,FIND("/",$A1021)+1,20),FIND("/",MID($A1021,FIND("/",$A1021)+1,20))-1))),"")))</f>
        <v/>
      </c>
      <c r="D1021">
        <f>IF(OR($A1021="",$B1021=""),"",IF(ISNUMBER($A1021),MOD($A1021,100),IFERROR(VALUE(TRIM(MID(MID($A1021,FIND("/",$A1021)+1,20),FIND("/",MID($A1021,FIND("/",$A1021)+1,20))+1,20))),"")))</f>
        <v/>
      </c>
      <c r="E1021">
        <f>IF($A1021="","",IF(OR($B1021="",$C1021="",$D1021="",$B1021&lt;1300,$B1021&gt;1500,$C1021&lt;1,$C1021&gt;12,$D1021&lt;1,$D1021&gt;31),"نامعتبر",RIGHT("0000"&amp;$B1021,4)&amp;"/"&amp;RIGHT("00"&amp;$C1021,2)&amp;"/"&amp;RIGHT("00"&amp;$D1021,2)))</f>
        <v/>
      </c>
      <c r="F1021">
        <f>IF(OR($E1021="",$E1021="نامعتبر"),"",LEFT($E1021,4)&amp;"/"&amp;MID($E1021,6,2))</f>
        <v/>
      </c>
      <c r="G1021">
        <f>IF(OR($E1021="",$E1021="نامعتبر",Sync!$X1017=""),"",IF(AND(LEFT(UPPER(TRIM(Sync!$X1017)),2)="SL",IFERROR(VLOOKUP(Sync!$W1017,OpTbl,3,0),"")="فروش"),UPPER(TRIM(Sync!$X1017)),""))</f>
        <v/>
      </c>
      <c r="H1021">
        <f>IF($G1021="","",IF(Sync!$W1017="","",Sync!$W1017))</f>
        <v/>
      </c>
      <c r="I1021">
        <f>IF(OR($G1021="",Sync!$Y1017=""),"",Sync!$Y1017)</f>
        <v/>
      </c>
      <c r="J1021">
        <f>IF(OR($G1021="",Sync!$Z1017=""),"",Sync!$Z1017)</f>
        <v/>
      </c>
      <c r="K1021">
        <f>IF($G1021="",0,IF(Sync!$AA1017="",0,Sync!$AA1017))</f>
        <v/>
      </c>
      <c r="L1021">
        <f>IF($G1021="",0,IF(Sync!$AB1017="",0,Sync!$AB1017))</f>
        <v/>
      </c>
      <c r="M1021">
        <f>IF($G1021="","",IF($H1021="مرجوعی فروش",-1,1)*($K1021-$L1021*IFERROR(VLOOKUP("P01",ParamTbl,3,0),1.5)))</f>
        <v/>
      </c>
      <c r="N1021">
        <f>IF($G1021="",0,IF($H1021="مرجوعی فروش",-1,1)*IF(Sync!$AC1017="",0,Sync!$AC1017))</f>
        <v/>
      </c>
      <c r="O1021">
        <f>IF(OR($G1021="",Sync!$V1017=""),"",Sync!$V1017)</f>
        <v/>
      </c>
      <c r="P1021">
        <f>IF(OR($G1021="",Sync!$AD1017=""),"",Sync!$AD1017)</f>
        <v/>
      </c>
      <c r="Q1021">
        <f>IF($G1021="","",IF(Sync!$U1017="","0000",IF(AND(ISNUMBER(Sync!$U1017),Sync!$U1017&gt;=0,Sync!$U1017&lt;1),RIGHT("00"&amp;HOUR(Sync!$U1017),2)&amp;RIGHT("00"&amp;MINUTE(Sync!$U1017),2),IFERROR(RIGHT("00"&amp;VALUE(LEFT(Sync!$U1017,FIND(":",Sync!$U1017)-1)),2)&amp;RIGHT("00"&amp;VALUE(MID(Sync!$U1017,FIND(":",Sync!$U1017)+1,2)),2),"0000"))))</f>
        <v/>
      </c>
    </row>
    <row r="1022">
      <c r="A1022">
        <f>IF(Sync!$T1018="","",Sync!$T1018)</f>
        <v/>
      </c>
      <c r="B1022">
        <f>IF($A1022="","",IF(ISNUMBER($A1022),IF(AND($A1022&gt;=10000101,$A1022&lt;=99991231),INT($A1022/10000),""),IFERROR(VALUE(TRIM(LEFT($A1022,FIND("/",$A1022)-1))),"")))</f>
        <v/>
      </c>
      <c r="C1022">
        <f>IF(OR($A1022="",$B1022=""),"",IF(ISNUMBER($A1022),INT(MOD($A1022,10000)/100),IFERROR(VALUE(TRIM(LEFT(MID($A1022,FIND("/",$A1022)+1,20),FIND("/",MID($A1022,FIND("/",$A1022)+1,20))-1))),"")))</f>
        <v/>
      </c>
      <c r="D1022">
        <f>IF(OR($A1022="",$B1022=""),"",IF(ISNUMBER($A1022),MOD($A1022,100),IFERROR(VALUE(TRIM(MID(MID($A1022,FIND("/",$A1022)+1,20),FIND("/",MID($A1022,FIND("/",$A1022)+1,20))+1,20))),"")))</f>
        <v/>
      </c>
      <c r="E1022">
        <f>IF($A1022="","",IF(OR($B1022="",$C1022="",$D1022="",$B1022&lt;1300,$B1022&gt;1500,$C1022&lt;1,$C1022&gt;12,$D1022&lt;1,$D1022&gt;31),"نامعتبر",RIGHT("0000"&amp;$B1022,4)&amp;"/"&amp;RIGHT("00"&amp;$C1022,2)&amp;"/"&amp;RIGHT("00"&amp;$D1022,2)))</f>
        <v/>
      </c>
      <c r="F1022">
        <f>IF(OR($E1022="",$E1022="نامعتبر"),"",LEFT($E1022,4)&amp;"/"&amp;MID($E1022,6,2))</f>
        <v/>
      </c>
      <c r="G1022">
        <f>IF(OR($E1022="",$E1022="نامعتبر",Sync!$X1018=""),"",IF(AND(LEFT(UPPER(TRIM(Sync!$X1018)),2)="SL",IFERROR(VLOOKUP(Sync!$W1018,OpTbl,3,0),"")="فروش"),UPPER(TRIM(Sync!$X1018)),""))</f>
        <v/>
      </c>
      <c r="H1022">
        <f>IF($G1022="","",IF(Sync!$W1018="","",Sync!$W1018))</f>
        <v/>
      </c>
      <c r="I1022">
        <f>IF(OR($G1022="",Sync!$Y1018=""),"",Sync!$Y1018)</f>
        <v/>
      </c>
      <c r="J1022">
        <f>IF(OR($G1022="",Sync!$Z1018=""),"",Sync!$Z1018)</f>
        <v/>
      </c>
      <c r="K1022">
        <f>IF($G1022="",0,IF(Sync!$AA1018="",0,Sync!$AA1018))</f>
        <v/>
      </c>
      <c r="L1022">
        <f>IF($G1022="",0,IF(Sync!$AB1018="",0,Sync!$AB1018))</f>
        <v/>
      </c>
      <c r="M1022">
        <f>IF($G1022="","",IF($H1022="مرجوعی فروش",-1,1)*($K1022-$L1022*IFERROR(VLOOKUP("P01",ParamTbl,3,0),1.5)))</f>
        <v/>
      </c>
      <c r="N1022">
        <f>IF($G1022="",0,IF($H1022="مرجوعی فروش",-1,1)*IF(Sync!$AC1018="",0,Sync!$AC1018))</f>
        <v/>
      </c>
      <c r="O1022">
        <f>IF(OR($G1022="",Sync!$V1018=""),"",Sync!$V1018)</f>
        <v/>
      </c>
      <c r="P1022">
        <f>IF(OR($G1022="",Sync!$AD1018=""),"",Sync!$AD1018)</f>
        <v/>
      </c>
      <c r="Q1022">
        <f>IF($G1022="","",IF(Sync!$U1018="","0000",IF(AND(ISNUMBER(Sync!$U1018),Sync!$U1018&gt;=0,Sync!$U1018&lt;1),RIGHT("00"&amp;HOUR(Sync!$U1018),2)&amp;RIGHT("00"&amp;MINUTE(Sync!$U1018),2),IFERROR(RIGHT("00"&amp;VALUE(LEFT(Sync!$U1018,FIND(":",Sync!$U1018)-1)),2)&amp;RIGHT("00"&amp;VALUE(MID(Sync!$U1018,FIND(":",Sync!$U1018)+1,2)),2),"0000"))))</f>
        <v/>
      </c>
    </row>
    <row r="1023">
      <c r="A1023">
        <f>IF(Sync!$T1019="","",Sync!$T1019)</f>
        <v/>
      </c>
      <c r="B1023">
        <f>IF($A1023="","",IF(ISNUMBER($A1023),IF(AND($A1023&gt;=10000101,$A1023&lt;=99991231),INT($A1023/10000),""),IFERROR(VALUE(TRIM(LEFT($A1023,FIND("/",$A1023)-1))),"")))</f>
        <v/>
      </c>
      <c r="C1023">
        <f>IF(OR($A1023="",$B1023=""),"",IF(ISNUMBER($A1023),INT(MOD($A1023,10000)/100),IFERROR(VALUE(TRIM(LEFT(MID($A1023,FIND("/",$A1023)+1,20),FIND("/",MID($A1023,FIND("/",$A1023)+1,20))-1))),"")))</f>
        <v/>
      </c>
      <c r="D1023">
        <f>IF(OR($A1023="",$B1023=""),"",IF(ISNUMBER($A1023),MOD($A1023,100),IFERROR(VALUE(TRIM(MID(MID($A1023,FIND("/",$A1023)+1,20),FIND("/",MID($A1023,FIND("/",$A1023)+1,20))+1,20))),"")))</f>
        <v/>
      </c>
      <c r="E1023">
        <f>IF($A1023="","",IF(OR($B1023="",$C1023="",$D1023="",$B1023&lt;1300,$B1023&gt;1500,$C1023&lt;1,$C1023&gt;12,$D1023&lt;1,$D1023&gt;31),"نامعتبر",RIGHT("0000"&amp;$B1023,4)&amp;"/"&amp;RIGHT("00"&amp;$C1023,2)&amp;"/"&amp;RIGHT("00"&amp;$D1023,2)))</f>
        <v/>
      </c>
      <c r="F1023">
        <f>IF(OR($E1023="",$E1023="نامعتبر"),"",LEFT($E1023,4)&amp;"/"&amp;MID($E1023,6,2))</f>
        <v/>
      </c>
      <c r="G1023">
        <f>IF(OR($E1023="",$E1023="نامعتبر",Sync!$X1019=""),"",IF(AND(LEFT(UPPER(TRIM(Sync!$X1019)),2)="SL",IFERROR(VLOOKUP(Sync!$W1019,OpTbl,3,0),"")="فروش"),UPPER(TRIM(Sync!$X1019)),""))</f>
        <v/>
      </c>
      <c r="H1023">
        <f>IF($G1023="","",IF(Sync!$W1019="","",Sync!$W1019))</f>
        <v/>
      </c>
      <c r="I1023">
        <f>IF(OR($G1023="",Sync!$Y1019=""),"",Sync!$Y1019)</f>
        <v/>
      </c>
      <c r="J1023">
        <f>IF(OR($G1023="",Sync!$Z1019=""),"",Sync!$Z1019)</f>
        <v/>
      </c>
      <c r="K1023">
        <f>IF($G1023="",0,IF(Sync!$AA1019="",0,Sync!$AA1019))</f>
        <v/>
      </c>
      <c r="L1023">
        <f>IF($G1023="",0,IF(Sync!$AB1019="",0,Sync!$AB1019))</f>
        <v/>
      </c>
      <c r="M1023">
        <f>IF($G1023="","",IF($H1023="مرجوعی فروش",-1,1)*($K1023-$L1023*IFERROR(VLOOKUP("P01",ParamTbl,3,0),1.5)))</f>
        <v/>
      </c>
      <c r="N1023">
        <f>IF($G1023="",0,IF($H1023="مرجوعی فروش",-1,1)*IF(Sync!$AC1019="",0,Sync!$AC1019))</f>
        <v/>
      </c>
      <c r="O1023">
        <f>IF(OR($G1023="",Sync!$V1019=""),"",Sync!$V1019)</f>
        <v/>
      </c>
      <c r="P1023">
        <f>IF(OR($G1023="",Sync!$AD1019=""),"",Sync!$AD1019)</f>
        <v/>
      </c>
      <c r="Q1023">
        <f>IF($G1023="","",IF(Sync!$U1019="","0000",IF(AND(ISNUMBER(Sync!$U1019),Sync!$U1019&gt;=0,Sync!$U1019&lt;1),RIGHT("00"&amp;HOUR(Sync!$U1019),2)&amp;RIGHT("00"&amp;MINUTE(Sync!$U1019),2),IFERROR(RIGHT("00"&amp;VALUE(LEFT(Sync!$U1019,FIND(":",Sync!$U1019)-1)),2)&amp;RIGHT("00"&amp;VALUE(MID(Sync!$U1019,FIND(":",Sync!$U1019)+1,2)),2),"0000"))))</f>
        <v/>
      </c>
    </row>
    <row r="1024">
      <c r="A1024">
        <f>IF(Sync!$T1020="","",Sync!$T1020)</f>
        <v/>
      </c>
      <c r="B1024">
        <f>IF($A1024="","",IF(ISNUMBER($A1024),IF(AND($A1024&gt;=10000101,$A1024&lt;=99991231),INT($A1024/10000),""),IFERROR(VALUE(TRIM(LEFT($A1024,FIND("/",$A1024)-1))),"")))</f>
        <v/>
      </c>
      <c r="C1024">
        <f>IF(OR($A1024="",$B1024=""),"",IF(ISNUMBER($A1024),INT(MOD($A1024,10000)/100),IFERROR(VALUE(TRIM(LEFT(MID($A1024,FIND("/",$A1024)+1,20),FIND("/",MID($A1024,FIND("/",$A1024)+1,20))-1))),"")))</f>
        <v/>
      </c>
      <c r="D1024">
        <f>IF(OR($A1024="",$B1024=""),"",IF(ISNUMBER($A1024),MOD($A1024,100),IFERROR(VALUE(TRIM(MID(MID($A1024,FIND("/",$A1024)+1,20),FIND("/",MID($A1024,FIND("/",$A1024)+1,20))+1,20))),"")))</f>
        <v/>
      </c>
      <c r="E1024">
        <f>IF($A1024="","",IF(OR($B1024="",$C1024="",$D1024="",$B1024&lt;1300,$B1024&gt;1500,$C1024&lt;1,$C1024&gt;12,$D1024&lt;1,$D1024&gt;31),"نامعتبر",RIGHT("0000"&amp;$B1024,4)&amp;"/"&amp;RIGHT("00"&amp;$C1024,2)&amp;"/"&amp;RIGHT("00"&amp;$D1024,2)))</f>
        <v/>
      </c>
      <c r="F1024">
        <f>IF(OR($E1024="",$E1024="نامعتبر"),"",LEFT($E1024,4)&amp;"/"&amp;MID($E1024,6,2))</f>
        <v/>
      </c>
      <c r="G1024">
        <f>IF(OR($E1024="",$E1024="نامعتبر",Sync!$X1020=""),"",IF(AND(LEFT(UPPER(TRIM(Sync!$X1020)),2)="SL",IFERROR(VLOOKUP(Sync!$W1020,OpTbl,3,0),"")="فروش"),UPPER(TRIM(Sync!$X1020)),""))</f>
        <v/>
      </c>
      <c r="H1024">
        <f>IF($G1024="","",IF(Sync!$W1020="","",Sync!$W1020))</f>
        <v/>
      </c>
      <c r="I1024">
        <f>IF(OR($G1024="",Sync!$Y1020=""),"",Sync!$Y1020)</f>
        <v/>
      </c>
      <c r="J1024">
        <f>IF(OR($G1024="",Sync!$Z1020=""),"",Sync!$Z1020)</f>
        <v/>
      </c>
      <c r="K1024">
        <f>IF($G1024="",0,IF(Sync!$AA1020="",0,Sync!$AA1020))</f>
        <v/>
      </c>
      <c r="L1024">
        <f>IF($G1024="",0,IF(Sync!$AB1020="",0,Sync!$AB1020))</f>
        <v/>
      </c>
      <c r="M1024">
        <f>IF($G1024="","",IF($H1024="مرجوعی فروش",-1,1)*($K1024-$L1024*IFERROR(VLOOKUP("P01",ParamTbl,3,0),1.5)))</f>
        <v/>
      </c>
      <c r="N1024">
        <f>IF($G1024="",0,IF($H1024="مرجوعی فروش",-1,1)*IF(Sync!$AC1020="",0,Sync!$AC1020))</f>
        <v/>
      </c>
      <c r="O1024">
        <f>IF(OR($G1024="",Sync!$V1020=""),"",Sync!$V1020)</f>
        <v/>
      </c>
      <c r="P1024">
        <f>IF(OR($G1024="",Sync!$AD1020=""),"",Sync!$AD1020)</f>
        <v/>
      </c>
      <c r="Q1024">
        <f>IF($G1024="","",IF(Sync!$U1020="","0000",IF(AND(ISNUMBER(Sync!$U1020),Sync!$U1020&gt;=0,Sync!$U1020&lt;1),RIGHT("00"&amp;HOUR(Sync!$U1020),2)&amp;RIGHT("00"&amp;MINUTE(Sync!$U1020),2),IFERROR(RIGHT("00"&amp;VALUE(LEFT(Sync!$U1020,FIND(":",Sync!$U1020)-1)),2)&amp;RIGHT("00"&amp;VALUE(MID(Sync!$U1020,FIND(":",Sync!$U1020)+1,2)),2),"0000"))))</f>
        <v/>
      </c>
    </row>
    <row r="1025">
      <c r="A1025">
        <f>IF(Sync!$T1021="","",Sync!$T1021)</f>
        <v/>
      </c>
      <c r="B1025">
        <f>IF($A1025="","",IF(ISNUMBER($A1025),IF(AND($A1025&gt;=10000101,$A1025&lt;=99991231),INT($A1025/10000),""),IFERROR(VALUE(TRIM(LEFT($A1025,FIND("/",$A1025)-1))),"")))</f>
        <v/>
      </c>
      <c r="C1025">
        <f>IF(OR($A1025="",$B1025=""),"",IF(ISNUMBER($A1025),INT(MOD($A1025,10000)/100),IFERROR(VALUE(TRIM(LEFT(MID($A1025,FIND("/",$A1025)+1,20),FIND("/",MID($A1025,FIND("/",$A1025)+1,20))-1))),"")))</f>
        <v/>
      </c>
      <c r="D1025">
        <f>IF(OR($A1025="",$B1025=""),"",IF(ISNUMBER($A1025),MOD($A1025,100),IFERROR(VALUE(TRIM(MID(MID($A1025,FIND("/",$A1025)+1,20),FIND("/",MID($A1025,FIND("/",$A1025)+1,20))+1,20))),"")))</f>
        <v/>
      </c>
      <c r="E1025">
        <f>IF($A1025="","",IF(OR($B1025="",$C1025="",$D1025="",$B1025&lt;1300,$B1025&gt;1500,$C1025&lt;1,$C1025&gt;12,$D1025&lt;1,$D1025&gt;31),"نامعتبر",RIGHT("0000"&amp;$B1025,4)&amp;"/"&amp;RIGHT("00"&amp;$C1025,2)&amp;"/"&amp;RIGHT("00"&amp;$D1025,2)))</f>
        <v/>
      </c>
      <c r="F1025">
        <f>IF(OR($E1025="",$E1025="نامعتبر"),"",LEFT($E1025,4)&amp;"/"&amp;MID($E1025,6,2))</f>
        <v/>
      </c>
      <c r="G1025">
        <f>IF(OR($E1025="",$E1025="نامعتبر",Sync!$X1021=""),"",IF(AND(LEFT(UPPER(TRIM(Sync!$X1021)),2)="SL",IFERROR(VLOOKUP(Sync!$W1021,OpTbl,3,0),"")="فروش"),UPPER(TRIM(Sync!$X1021)),""))</f>
        <v/>
      </c>
      <c r="H1025">
        <f>IF($G1025="","",IF(Sync!$W1021="","",Sync!$W1021))</f>
        <v/>
      </c>
      <c r="I1025">
        <f>IF(OR($G1025="",Sync!$Y1021=""),"",Sync!$Y1021)</f>
        <v/>
      </c>
      <c r="J1025">
        <f>IF(OR($G1025="",Sync!$Z1021=""),"",Sync!$Z1021)</f>
        <v/>
      </c>
      <c r="K1025">
        <f>IF($G1025="",0,IF(Sync!$AA1021="",0,Sync!$AA1021))</f>
        <v/>
      </c>
      <c r="L1025">
        <f>IF($G1025="",0,IF(Sync!$AB1021="",0,Sync!$AB1021))</f>
        <v/>
      </c>
      <c r="M1025">
        <f>IF($G1025="","",IF($H1025="مرجوعی فروش",-1,1)*($K1025-$L1025*IFERROR(VLOOKUP("P01",ParamTbl,3,0),1.5)))</f>
        <v/>
      </c>
      <c r="N1025">
        <f>IF($G1025="",0,IF($H1025="مرجوعی فروش",-1,1)*IF(Sync!$AC1021="",0,Sync!$AC1021))</f>
        <v/>
      </c>
      <c r="O1025">
        <f>IF(OR($G1025="",Sync!$V1021=""),"",Sync!$V1021)</f>
        <v/>
      </c>
      <c r="P1025">
        <f>IF(OR($G1025="",Sync!$AD1021=""),"",Sync!$AD1021)</f>
        <v/>
      </c>
      <c r="Q1025">
        <f>IF($G1025="","",IF(Sync!$U1021="","0000",IF(AND(ISNUMBER(Sync!$U1021),Sync!$U1021&gt;=0,Sync!$U1021&lt;1),RIGHT("00"&amp;HOUR(Sync!$U1021),2)&amp;RIGHT("00"&amp;MINUTE(Sync!$U1021),2),IFERROR(RIGHT("00"&amp;VALUE(LEFT(Sync!$U1021,FIND(":",Sync!$U1021)-1)),2)&amp;RIGHT("00"&amp;VALUE(MID(Sync!$U1021,FIND(":",Sync!$U1021)+1,2)),2),"0000"))))</f>
        <v/>
      </c>
    </row>
    <row r="1026">
      <c r="A1026">
        <f>IF(Sync!$T1022="","",Sync!$T1022)</f>
        <v/>
      </c>
      <c r="B1026">
        <f>IF($A1026="","",IF(ISNUMBER($A1026),IF(AND($A1026&gt;=10000101,$A1026&lt;=99991231),INT($A1026/10000),""),IFERROR(VALUE(TRIM(LEFT($A1026,FIND("/",$A1026)-1))),"")))</f>
        <v/>
      </c>
      <c r="C1026">
        <f>IF(OR($A1026="",$B1026=""),"",IF(ISNUMBER($A1026),INT(MOD($A1026,10000)/100),IFERROR(VALUE(TRIM(LEFT(MID($A1026,FIND("/",$A1026)+1,20),FIND("/",MID($A1026,FIND("/",$A1026)+1,20))-1))),"")))</f>
        <v/>
      </c>
      <c r="D1026">
        <f>IF(OR($A1026="",$B1026=""),"",IF(ISNUMBER($A1026),MOD($A1026,100),IFERROR(VALUE(TRIM(MID(MID($A1026,FIND("/",$A1026)+1,20),FIND("/",MID($A1026,FIND("/",$A1026)+1,20))+1,20))),"")))</f>
        <v/>
      </c>
      <c r="E1026">
        <f>IF($A1026="","",IF(OR($B1026="",$C1026="",$D1026="",$B1026&lt;1300,$B1026&gt;1500,$C1026&lt;1,$C1026&gt;12,$D1026&lt;1,$D1026&gt;31),"نامعتبر",RIGHT("0000"&amp;$B1026,4)&amp;"/"&amp;RIGHT("00"&amp;$C1026,2)&amp;"/"&amp;RIGHT("00"&amp;$D1026,2)))</f>
        <v/>
      </c>
      <c r="F1026">
        <f>IF(OR($E1026="",$E1026="نامعتبر"),"",LEFT($E1026,4)&amp;"/"&amp;MID($E1026,6,2))</f>
        <v/>
      </c>
      <c r="G1026">
        <f>IF(OR($E1026="",$E1026="نامعتبر",Sync!$X1022=""),"",IF(AND(LEFT(UPPER(TRIM(Sync!$X1022)),2)="SL",IFERROR(VLOOKUP(Sync!$W1022,OpTbl,3,0),"")="فروش"),UPPER(TRIM(Sync!$X1022)),""))</f>
        <v/>
      </c>
      <c r="H1026">
        <f>IF($G1026="","",IF(Sync!$W1022="","",Sync!$W1022))</f>
        <v/>
      </c>
      <c r="I1026">
        <f>IF(OR($G1026="",Sync!$Y1022=""),"",Sync!$Y1022)</f>
        <v/>
      </c>
      <c r="J1026">
        <f>IF(OR($G1026="",Sync!$Z1022=""),"",Sync!$Z1022)</f>
        <v/>
      </c>
      <c r="K1026">
        <f>IF($G1026="",0,IF(Sync!$AA1022="",0,Sync!$AA1022))</f>
        <v/>
      </c>
      <c r="L1026">
        <f>IF($G1026="",0,IF(Sync!$AB1022="",0,Sync!$AB1022))</f>
        <v/>
      </c>
      <c r="M1026">
        <f>IF($G1026="","",IF($H1026="مرجوعی فروش",-1,1)*($K1026-$L1026*IFERROR(VLOOKUP("P01",ParamTbl,3,0),1.5)))</f>
        <v/>
      </c>
      <c r="N1026">
        <f>IF($G1026="",0,IF($H1026="مرجوعی فروش",-1,1)*IF(Sync!$AC1022="",0,Sync!$AC1022))</f>
        <v/>
      </c>
      <c r="O1026">
        <f>IF(OR($G1026="",Sync!$V1022=""),"",Sync!$V1022)</f>
        <v/>
      </c>
      <c r="P1026">
        <f>IF(OR($G1026="",Sync!$AD1022=""),"",Sync!$AD1022)</f>
        <v/>
      </c>
      <c r="Q1026">
        <f>IF($G1026="","",IF(Sync!$U1022="","0000",IF(AND(ISNUMBER(Sync!$U1022),Sync!$U1022&gt;=0,Sync!$U1022&lt;1),RIGHT("00"&amp;HOUR(Sync!$U1022),2)&amp;RIGHT("00"&amp;MINUTE(Sync!$U1022),2),IFERROR(RIGHT("00"&amp;VALUE(LEFT(Sync!$U1022,FIND(":",Sync!$U1022)-1)),2)&amp;RIGHT("00"&amp;VALUE(MID(Sync!$U1022,FIND(":",Sync!$U1022)+1,2)),2),"0000"))))</f>
        <v/>
      </c>
    </row>
    <row r="1027">
      <c r="A1027">
        <f>IF(Sync!$T1023="","",Sync!$T1023)</f>
        <v/>
      </c>
      <c r="B1027">
        <f>IF($A1027="","",IF(ISNUMBER($A1027),IF(AND($A1027&gt;=10000101,$A1027&lt;=99991231),INT($A1027/10000),""),IFERROR(VALUE(TRIM(LEFT($A1027,FIND("/",$A1027)-1))),"")))</f>
        <v/>
      </c>
      <c r="C1027">
        <f>IF(OR($A1027="",$B1027=""),"",IF(ISNUMBER($A1027),INT(MOD($A1027,10000)/100),IFERROR(VALUE(TRIM(LEFT(MID($A1027,FIND("/",$A1027)+1,20),FIND("/",MID($A1027,FIND("/",$A1027)+1,20))-1))),"")))</f>
        <v/>
      </c>
      <c r="D1027">
        <f>IF(OR($A1027="",$B1027=""),"",IF(ISNUMBER($A1027),MOD($A1027,100),IFERROR(VALUE(TRIM(MID(MID($A1027,FIND("/",$A1027)+1,20),FIND("/",MID($A1027,FIND("/",$A1027)+1,20))+1,20))),"")))</f>
        <v/>
      </c>
      <c r="E1027">
        <f>IF($A1027="","",IF(OR($B1027="",$C1027="",$D1027="",$B1027&lt;1300,$B1027&gt;1500,$C1027&lt;1,$C1027&gt;12,$D1027&lt;1,$D1027&gt;31),"نامعتبر",RIGHT("0000"&amp;$B1027,4)&amp;"/"&amp;RIGHT("00"&amp;$C1027,2)&amp;"/"&amp;RIGHT("00"&amp;$D1027,2)))</f>
        <v/>
      </c>
      <c r="F1027">
        <f>IF(OR($E1027="",$E1027="نامعتبر"),"",LEFT($E1027,4)&amp;"/"&amp;MID($E1027,6,2))</f>
        <v/>
      </c>
      <c r="G1027">
        <f>IF(OR($E1027="",$E1027="نامعتبر",Sync!$X1023=""),"",IF(AND(LEFT(UPPER(TRIM(Sync!$X1023)),2)="SL",IFERROR(VLOOKUP(Sync!$W1023,OpTbl,3,0),"")="فروش"),UPPER(TRIM(Sync!$X1023)),""))</f>
        <v/>
      </c>
      <c r="H1027">
        <f>IF($G1027="","",IF(Sync!$W1023="","",Sync!$W1023))</f>
        <v/>
      </c>
      <c r="I1027">
        <f>IF(OR($G1027="",Sync!$Y1023=""),"",Sync!$Y1023)</f>
        <v/>
      </c>
      <c r="J1027">
        <f>IF(OR($G1027="",Sync!$Z1023=""),"",Sync!$Z1023)</f>
        <v/>
      </c>
      <c r="K1027">
        <f>IF($G1027="",0,IF(Sync!$AA1023="",0,Sync!$AA1023))</f>
        <v/>
      </c>
      <c r="L1027">
        <f>IF($G1027="",0,IF(Sync!$AB1023="",0,Sync!$AB1023))</f>
        <v/>
      </c>
      <c r="M1027">
        <f>IF($G1027="","",IF($H1027="مرجوعی فروش",-1,1)*($K1027-$L1027*IFERROR(VLOOKUP("P01",ParamTbl,3,0),1.5)))</f>
        <v/>
      </c>
      <c r="N1027">
        <f>IF($G1027="",0,IF($H1027="مرجوعی فروش",-1,1)*IF(Sync!$AC1023="",0,Sync!$AC1023))</f>
        <v/>
      </c>
      <c r="O1027">
        <f>IF(OR($G1027="",Sync!$V1023=""),"",Sync!$V1023)</f>
        <v/>
      </c>
      <c r="P1027">
        <f>IF(OR($G1027="",Sync!$AD1023=""),"",Sync!$AD1023)</f>
        <v/>
      </c>
      <c r="Q1027">
        <f>IF($G1027="","",IF(Sync!$U1023="","0000",IF(AND(ISNUMBER(Sync!$U1023),Sync!$U1023&gt;=0,Sync!$U1023&lt;1),RIGHT("00"&amp;HOUR(Sync!$U1023),2)&amp;RIGHT("00"&amp;MINUTE(Sync!$U1023),2),IFERROR(RIGHT("00"&amp;VALUE(LEFT(Sync!$U1023,FIND(":",Sync!$U1023)-1)),2)&amp;RIGHT("00"&amp;VALUE(MID(Sync!$U1023,FIND(":",Sync!$U1023)+1,2)),2),"0000"))))</f>
        <v/>
      </c>
    </row>
    <row r="1028">
      <c r="A1028">
        <f>IF(Sync!$T1024="","",Sync!$T1024)</f>
        <v/>
      </c>
      <c r="B1028">
        <f>IF($A1028="","",IF(ISNUMBER($A1028),IF(AND($A1028&gt;=10000101,$A1028&lt;=99991231),INT($A1028/10000),""),IFERROR(VALUE(TRIM(LEFT($A1028,FIND("/",$A1028)-1))),"")))</f>
        <v/>
      </c>
      <c r="C1028">
        <f>IF(OR($A1028="",$B1028=""),"",IF(ISNUMBER($A1028),INT(MOD($A1028,10000)/100),IFERROR(VALUE(TRIM(LEFT(MID($A1028,FIND("/",$A1028)+1,20),FIND("/",MID($A1028,FIND("/",$A1028)+1,20))-1))),"")))</f>
        <v/>
      </c>
      <c r="D1028">
        <f>IF(OR($A1028="",$B1028=""),"",IF(ISNUMBER($A1028),MOD($A1028,100),IFERROR(VALUE(TRIM(MID(MID($A1028,FIND("/",$A1028)+1,20),FIND("/",MID($A1028,FIND("/",$A1028)+1,20))+1,20))),"")))</f>
        <v/>
      </c>
      <c r="E1028">
        <f>IF($A1028="","",IF(OR($B1028="",$C1028="",$D1028="",$B1028&lt;1300,$B1028&gt;1500,$C1028&lt;1,$C1028&gt;12,$D1028&lt;1,$D1028&gt;31),"نامعتبر",RIGHT("0000"&amp;$B1028,4)&amp;"/"&amp;RIGHT("00"&amp;$C1028,2)&amp;"/"&amp;RIGHT("00"&amp;$D1028,2)))</f>
        <v/>
      </c>
      <c r="F1028">
        <f>IF(OR($E1028="",$E1028="نامعتبر"),"",LEFT($E1028,4)&amp;"/"&amp;MID($E1028,6,2))</f>
        <v/>
      </c>
      <c r="G1028">
        <f>IF(OR($E1028="",$E1028="نامعتبر",Sync!$X1024=""),"",IF(AND(LEFT(UPPER(TRIM(Sync!$X1024)),2)="SL",IFERROR(VLOOKUP(Sync!$W1024,OpTbl,3,0),"")="فروش"),UPPER(TRIM(Sync!$X1024)),""))</f>
        <v/>
      </c>
      <c r="H1028">
        <f>IF($G1028="","",IF(Sync!$W1024="","",Sync!$W1024))</f>
        <v/>
      </c>
      <c r="I1028">
        <f>IF(OR($G1028="",Sync!$Y1024=""),"",Sync!$Y1024)</f>
        <v/>
      </c>
      <c r="J1028">
        <f>IF(OR($G1028="",Sync!$Z1024=""),"",Sync!$Z1024)</f>
        <v/>
      </c>
      <c r="K1028">
        <f>IF($G1028="",0,IF(Sync!$AA1024="",0,Sync!$AA1024))</f>
        <v/>
      </c>
      <c r="L1028">
        <f>IF($G1028="",0,IF(Sync!$AB1024="",0,Sync!$AB1024))</f>
        <v/>
      </c>
      <c r="M1028">
        <f>IF($G1028="","",IF($H1028="مرجوعی فروش",-1,1)*($K1028-$L1028*IFERROR(VLOOKUP("P01",ParamTbl,3,0),1.5)))</f>
        <v/>
      </c>
      <c r="N1028">
        <f>IF($G1028="",0,IF($H1028="مرجوعی فروش",-1,1)*IF(Sync!$AC1024="",0,Sync!$AC1024))</f>
        <v/>
      </c>
      <c r="O1028">
        <f>IF(OR($G1028="",Sync!$V1024=""),"",Sync!$V1024)</f>
        <v/>
      </c>
      <c r="P1028">
        <f>IF(OR($G1028="",Sync!$AD1024=""),"",Sync!$AD1024)</f>
        <v/>
      </c>
      <c r="Q1028">
        <f>IF($G1028="","",IF(Sync!$U1024="","0000",IF(AND(ISNUMBER(Sync!$U1024),Sync!$U1024&gt;=0,Sync!$U1024&lt;1),RIGHT("00"&amp;HOUR(Sync!$U1024),2)&amp;RIGHT("00"&amp;MINUTE(Sync!$U1024),2),IFERROR(RIGHT("00"&amp;VALUE(LEFT(Sync!$U1024,FIND(":",Sync!$U1024)-1)),2)&amp;RIGHT("00"&amp;VALUE(MID(Sync!$U1024,FIND(":",Sync!$U1024)+1,2)),2),"0000"))))</f>
        <v/>
      </c>
    </row>
    <row r="1029">
      <c r="A1029">
        <f>IF(Sync!$T1025="","",Sync!$T1025)</f>
        <v/>
      </c>
      <c r="B1029">
        <f>IF($A1029="","",IF(ISNUMBER($A1029),IF(AND($A1029&gt;=10000101,$A1029&lt;=99991231),INT($A1029/10000),""),IFERROR(VALUE(TRIM(LEFT($A1029,FIND("/",$A1029)-1))),"")))</f>
        <v/>
      </c>
      <c r="C1029">
        <f>IF(OR($A1029="",$B1029=""),"",IF(ISNUMBER($A1029),INT(MOD($A1029,10000)/100),IFERROR(VALUE(TRIM(LEFT(MID($A1029,FIND("/",$A1029)+1,20),FIND("/",MID($A1029,FIND("/",$A1029)+1,20))-1))),"")))</f>
        <v/>
      </c>
      <c r="D1029">
        <f>IF(OR($A1029="",$B1029=""),"",IF(ISNUMBER($A1029),MOD($A1029,100),IFERROR(VALUE(TRIM(MID(MID($A1029,FIND("/",$A1029)+1,20),FIND("/",MID($A1029,FIND("/",$A1029)+1,20))+1,20))),"")))</f>
        <v/>
      </c>
      <c r="E1029">
        <f>IF($A1029="","",IF(OR($B1029="",$C1029="",$D1029="",$B1029&lt;1300,$B1029&gt;1500,$C1029&lt;1,$C1029&gt;12,$D1029&lt;1,$D1029&gt;31),"نامعتبر",RIGHT("0000"&amp;$B1029,4)&amp;"/"&amp;RIGHT("00"&amp;$C1029,2)&amp;"/"&amp;RIGHT("00"&amp;$D1029,2)))</f>
        <v/>
      </c>
      <c r="F1029">
        <f>IF(OR($E1029="",$E1029="نامعتبر"),"",LEFT($E1029,4)&amp;"/"&amp;MID($E1029,6,2))</f>
        <v/>
      </c>
      <c r="G1029">
        <f>IF(OR($E1029="",$E1029="نامعتبر",Sync!$X1025=""),"",IF(AND(LEFT(UPPER(TRIM(Sync!$X1025)),2)="SL",IFERROR(VLOOKUP(Sync!$W1025,OpTbl,3,0),"")="فروش"),UPPER(TRIM(Sync!$X1025)),""))</f>
        <v/>
      </c>
      <c r="H1029">
        <f>IF($G1029="","",IF(Sync!$W1025="","",Sync!$W1025))</f>
        <v/>
      </c>
      <c r="I1029">
        <f>IF(OR($G1029="",Sync!$Y1025=""),"",Sync!$Y1025)</f>
        <v/>
      </c>
      <c r="J1029">
        <f>IF(OR($G1029="",Sync!$Z1025=""),"",Sync!$Z1025)</f>
        <v/>
      </c>
      <c r="K1029">
        <f>IF($G1029="",0,IF(Sync!$AA1025="",0,Sync!$AA1025))</f>
        <v/>
      </c>
      <c r="L1029">
        <f>IF($G1029="",0,IF(Sync!$AB1025="",0,Sync!$AB1025))</f>
        <v/>
      </c>
      <c r="M1029">
        <f>IF($G1029="","",IF($H1029="مرجوعی فروش",-1,1)*($K1029-$L1029*IFERROR(VLOOKUP("P01",ParamTbl,3,0),1.5)))</f>
        <v/>
      </c>
      <c r="N1029">
        <f>IF($G1029="",0,IF($H1029="مرجوعی فروش",-1,1)*IF(Sync!$AC1025="",0,Sync!$AC1025))</f>
        <v/>
      </c>
      <c r="O1029">
        <f>IF(OR($G1029="",Sync!$V1025=""),"",Sync!$V1025)</f>
        <v/>
      </c>
      <c r="P1029">
        <f>IF(OR($G1029="",Sync!$AD1025=""),"",Sync!$AD1025)</f>
        <v/>
      </c>
      <c r="Q1029">
        <f>IF($G1029="","",IF(Sync!$U1025="","0000",IF(AND(ISNUMBER(Sync!$U1025),Sync!$U1025&gt;=0,Sync!$U1025&lt;1),RIGHT("00"&amp;HOUR(Sync!$U1025),2)&amp;RIGHT("00"&amp;MINUTE(Sync!$U1025),2),IFERROR(RIGHT("00"&amp;VALUE(LEFT(Sync!$U1025,FIND(":",Sync!$U1025)-1)),2)&amp;RIGHT("00"&amp;VALUE(MID(Sync!$U1025,FIND(":",Sync!$U1025)+1,2)),2),"0000"))))</f>
        <v/>
      </c>
    </row>
    <row r="1030">
      <c r="A1030">
        <f>IF(Sync!$T1026="","",Sync!$T1026)</f>
        <v/>
      </c>
      <c r="B1030">
        <f>IF($A1030="","",IF(ISNUMBER($A1030),IF(AND($A1030&gt;=10000101,$A1030&lt;=99991231),INT($A1030/10000),""),IFERROR(VALUE(TRIM(LEFT($A1030,FIND("/",$A1030)-1))),"")))</f>
        <v/>
      </c>
      <c r="C1030">
        <f>IF(OR($A1030="",$B1030=""),"",IF(ISNUMBER($A1030),INT(MOD($A1030,10000)/100),IFERROR(VALUE(TRIM(LEFT(MID($A1030,FIND("/",$A1030)+1,20),FIND("/",MID($A1030,FIND("/",$A1030)+1,20))-1))),"")))</f>
        <v/>
      </c>
      <c r="D1030">
        <f>IF(OR($A1030="",$B1030=""),"",IF(ISNUMBER($A1030),MOD($A1030,100),IFERROR(VALUE(TRIM(MID(MID($A1030,FIND("/",$A1030)+1,20),FIND("/",MID($A1030,FIND("/",$A1030)+1,20))+1,20))),"")))</f>
        <v/>
      </c>
      <c r="E1030">
        <f>IF($A1030="","",IF(OR($B1030="",$C1030="",$D1030="",$B1030&lt;1300,$B1030&gt;1500,$C1030&lt;1,$C1030&gt;12,$D1030&lt;1,$D1030&gt;31),"نامعتبر",RIGHT("0000"&amp;$B1030,4)&amp;"/"&amp;RIGHT("00"&amp;$C1030,2)&amp;"/"&amp;RIGHT("00"&amp;$D1030,2)))</f>
        <v/>
      </c>
      <c r="F1030">
        <f>IF(OR($E1030="",$E1030="نامعتبر"),"",LEFT($E1030,4)&amp;"/"&amp;MID($E1030,6,2))</f>
        <v/>
      </c>
      <c r="G1030">
        <f>IF(OR($E1030="",$E1030="نامعتبر",Sync!$X1026=""),"",IF(AND(LEFT(UPPER(TRIM(Sync!$X1026)),2)="SL",IFERROR(VLOOKUP(Sync!$W1026,OpTbl,3,0),"")="فروش"),UPPER(TRIM(Sync!$X1026)),""))</f>
        <v/>
      </c>
      <c r="H1030">
        <f>IF($G1030="","",IF(Sync!$W1026="","",Sync!$W1026))</f>
        <v/>
      </c>
      <c r="I1030">
        <f>IF(OR($G1030="",Sync!$Y1026=""),"",Sync!$Y1026)</f>
        <v/>
      </c>
      <c r="J1030">
        <f>IF(OR($G1030="",Sync!$Z1026=""),"",Sync!$Z1026)</f>
        <v/>
      </c>
      <c r="K1030">
        <f>IF($G1030="",0,IF(Sync!$AA1026="",0,Sync!$AA1026))</f>
        <v/>
      </c>
      <c r="L1030">
        <f>IF($G1030="",0,IF(Sync!$AB1026="",0,Sync!$AB1026))</f>
        <v/>
      </c>
      <c r="M1030">
        <f>IF($G1030="","",IF($H1030="مرجوعی فروش",-1,1)*($K1030-$L1030*IFERROR(VLOOKUP("P01",ParamTbl,3,0),1.5)))</f>
        <v/>
      </c>
      <c r="N1030">
        <f>IF($G1030="",0,IF($H1030="مرجوعی فروش",-1,1)*IF(Sync!$AC1026="",0,Sync!$AC1026))</f>
        <v/>
      </c>
      <c r="O1030">
        <f>IF(OR($G1030="",Sync!$V1026=""),"",Sync!$V1026)</f>
        <v/>
      </c>
      <c r="P1030">
        <f>IF(OR($G1030="",Sync!$AD1026=""),"",Sync!$AD1026)</f>
        <v/>
      </c>
      <c r="Q1030">
        <f>IF($G1030="","",IF(Sync!$U1026="","0000",IF(AND(ISNUMBER(Sync!$U1026),Sync!$U1026&gt;=0,Sync!$U1026&lt;1),RIGHT("00"&amp;HOUR(Sync!$U1026),2)&amp;RIGHT("00"&amp;MINUTE(Sync!$U1026),2),IFERROR(RIGHT("00"&amp;VALUE(LEFT(Sync!$U1026,FIND(":",Sync!$U1026)-1)),2)&amp;RIGHT("00"&amp;VALUE(MID(Sync!$U1026,FIND(":",Sync!$U1026)+1,2)),2),"0000"))))</f>
        <v/>
      </c>
    </row>
    <row r="1031">
      <c r="A1031">
        <f>IF(Sync!$T1027="","",Sync!$T1027)</f>
        <v/>
      </c>
      <c r="B1031">
        <f>IF($A1031="","",IF(ISNUMBER($A1031),IF(AND($A1031&gt;=10000101,$A1031&lt;=99991231),INT($A1031/10000),""),IFERROR(VALUE(TRIM(LEFT($A1031,FIND("/",$A1031)-1))),"")))</f>
        <v/>
      </c>
      <c r="C1031">
        <f>IF(OR($A1031="",$B1031=""),"",IF(ISNUMBER($A1031),INT(MOD($A1031,10000)/100),IFERROR(VALUE(TRIM(LEFT(MID($A1031,FIND("/",$A1031)+1,20),FIND("/",MID($A1031,FIND("/",$A1031)+1,20))-1))),"")))</f>
        <v/>
      </c>
      <c r="D1031">
        <f>IF(OR($A1031="",$B1031=""),"",IF(ISNUMBER($A1031),MOD($A1031,100),IFERROR(VALUE(TRIM(MID(MID($A1031,FIND("/",$A1031)+1,20),FIND("/",MID($A1031,FIND("/",$A1031)+1,20))+1,20))),"")))</f>
        <v/>
      </c>
      <c r="E1031">
        <f>IF($A1031="","",IF(OR($B1031="",$C1031="",$D1031="",$B1031&lt;1300,$B1031&gt;1500,$C1031&lt;1,$C1031&gt;12,$D1031&lt;1,$D1031&gt;31),"نامعتبر",RIGHT("0000"&amp;$B1031,4)&amp;"/"&amp;RIGHT("00"&amp;$C1031,2)&amp;"/"&amp;RIGHT("00"&amp;$D1031,2)))</f>
        <v/>
      </c>
      <c r="F1031">
        <f>IF(OR($E1031="",$E1031="نامعتبر"),"",LEFT($E1031,4)&amp;"/"&amp;MID($E1031,6,2))</f>
        <v/>
      </c>
      <c r="G1031">
        <f>IF(OR($E1031="",$E1031="نامعتبر",Sync!$X1027=""),"",IF(AND(LEFT(UPPER(TRIM(Sync!$X1027)),2)="SL",IFERROR(VLOOKUP(Sync!$W1027,OpTbl,3,0),"")="فروش"),UPPER(TRIM(Sync!$X1027)),""))</f>
        <v/>
      </c>
      <c r="H1031">
        <f>IF($G1031="","",IF(Sync!$W1027="","",Sync!$W1027))</f>
        <v/>
      </c>
      <c r="I1031">
        <f>IF(OR($G1031="",Sync!$Y1027=""),"",Sync!$Y1027)</f>
        <v/>
      </c>
      <c r="J1031">
        <f>IF(OR($G1031="",Sync!$Z1027=""),"",Sync!$Z1027)</f>
        <v/>
      </c>
      <c r="K1031">
        <f>IF($G1031="",0,IF(Sync!$AA1027="",0,Sync!$AA1027))</f>
        <v/>
      </c>
      <c r="L1031">
        <f>IF($G1031="",0,IF(Sync!$AB1027="",0,Sync!$AB1027))</f>
        <v/>
      </c>
      <c r="M1031">
        <f>IF($G1031="","",IF($H1031="مرجوعی فروش",-1,1)*($K1031-$L1031*IFERROR(VLOOKUP("P01",ParamTbl,3,0),1.5)))</f>
        <v/>
      </c>
      <c r="N1031">
        <f>IF($G1031="",0,IF($H1031="مرجوعی فروش",-1,1)*IF(Sync!$AC1027="",0,Sync!$AC1027))</f>
        <v/>
      </c>
      <c r="O1031">
        <f>IF(OR($G1031="",Sync!$V1027=""),"",Sync!$V1027)</f>
        <v/>
      </c>
      <c r="P1031">
        <f>IF(OR($G1031="",Sync!$AD1027=""),"",Sync!$AD1027)</f>
        <v/>
      </c>
      <c r="Q1031">
        <f>IF($G1031="","",IF(Sync!$U1027="","0000",IF(AND(ISNUMBER(Sync!$U1027),Sync!$U1027&gt;=0,Sync!$U1027&lt;1),RIGHT("00"&amp;HOUR(Sync!$U1027),2)&amp;RIGHT("00"&amp;MINUTE(Sync!$U1027),2),IFERROR(RIGHT("00"&amp;VALUE(LEFT(Sync!$U1027,FIND(":",Sync!$U1027)-1)),2)&amp;RIGHT("00"&amp;VALUE(MID(Sync!$U1027,FIND(":",Sync!$U1027)+1,2)),2),"0000"))))</f>
        <v/>
      </c>
    </row>
    <row r="1032">
      <c r="A1032">
        <f>IF(Sync!$T1028="","",Sync!$T1028)</f>
        <v/>
      </c>
      <c r="B1032">
        <f>IF($A1032="","",IF(ISNUMBER($A1032),IF(AND($A1032&gt;=10000101,$A1032&lt;=99991231),INT($A1032/10000),""),IFERROR(VALUE(TRIM(LEFT($A1032,FIND("/",$A1032)-1))),"")))</f>
        <v/>
      </c>
      <c r="C1032">
        <f>IF(OR($A1032="",$B1032=""),"",IF(ISNUMBER($A1032),INT(MOD($A1032,10000)/100),IFERROR(VALUE(TRIM(LEFT(MID($A1032,FIND("/",$A1032)+1,20),FIND("/",MID($A1032,FIND("/",$A1032)+1,20))-1))),"")))</f>
        <v/>
      </c>
      <c r="D1032">
        <f>IF(OR($A1032="",$B1032=""),"",IF(ISNUMBER($A1032),MOD($A1032,100),IFERROR(VALUE(TRIM(MID(MID($A1032,FIND("/",$A1032)+1,20),FIND("/",MID($A1032,FIND("/",$A1032)+1,20))+1,20))),"")))</f>
        <v/>
      </c>
      <c r="E1032">
        <f>IF($A1032="","",IF(OR($B1032="",$C1032="",$D1032="",$B1032&lt;1300,$B1032&gt;1500,$C1032&lt;1,$C1032&gt;12,$D1032&lt;1,$D1032&gt;31),"نامعتبر",RIGHT("0000"&amp;$B1032,4)&amp;"/"&amp;RIGHT("00"&amp;$C1032,2)&amp;"/"&amp;RIGHT("00"&amp;$D1032,2)))</f>
        <v/>
      </c>
      <c r="F1032">
        <f>IF(OR($E1032="",$E1032="نامعتبر"),"",LEFT($E1032,4)&amp;"/"&amp;MID($E1032,6,2))</f>
        <v/>
      </c>
      <c r="G1032">
        <f>IF(OR($E1032="",$E1032="نامعتبر",Sync!$X1028=""),"",IF(AND(LEFT(UPPER(TRIM(Sync!$X1028)),2)="SL",IFERROR(VLOOKUP(Sync!$W1028,OpTbl,3,0),"")="فروش"),UPPER(TRIM(Sync!$X1028)),""))</f>
        <v/>
      </c>
      <c r="H1032">
        <f>IF($G1032="","",IF(Sync!$W1028="","",Sync!$W1028))</f>
        <v/>
      </c>
      <c r="I1032">
        <f>IF(OR($G1032="",Sync!$Y1028=""),"",Sync!$Y1028)</f>
        <v/>
      </c>
      <c r="J1032">
        <f>IF(OR($G1032="",Sync!$Z1028=""),"",Sync!$Z1028)</f>
        <v/>
      </c>
      <c r="K1032">
        <f>IF($G1032="",0,IF(Sync!$AA1028="",0,Sync!$AA1028))</f>
        <v/>
      </c>
      <c r="L1032">
        <f>IF($G1032="",0,IF(Sync!$AB1028="",0,Sync!$AB1028))</f>
        <v/>
      </c>
      <c r="M1032">
        <f>IF($G1032="","",IF($H1032="مرجوعی فروش",-1,1)*($K1032-$L1032*IFERROR(VLOOKUP("P01",ParamTbl,3,0),1.5)))</f>
        <v/>
      </c>
      <c r="N1032">
        <f>IF($G1032="",0,IF($H1032="مرجوعی فروش",-1,1)*IF(Sync!$AC1028="",0,Sync!$AC1028))</f>
        <v/>
      </c>
      <c r="O1032">
        <f>IF(OR($G1032="",Sync!$V1028=""),"",Sync!$V1028)</f>
        <v/>
      </c>
      <c r="P1032">
        <f>IF(OR($G1032="",Sync!$AD1028=""),"",Sync!$AD1028)</f>
        <v/>
      </c>
      <c r="Q1032">
        <f>IF($G1032="","",IF(Sync!$U1028="","0000",IF(AND(ISNUMBER(Sync!$U1028),Sync!$U1028&gt;=0,Sync!$U1028&lt;1),RIGHT("00"&amp;HOUR(Sync!$U1028),2)&amp;RIGHT("00"&amp;MINUTE(Sync!$U1028),2),IFERROR(RIGHT("00"&amp;VALUE(LEFT(Sync!$U1028,FIND(":",Sync!$U1028)-1)),2)&amp;RIGHT("00"&amp;VALUE(MID(Sync!$U1028,FIND(":",Sync!$U1028)+1,2)),2),"0000"))))</f>
        <v/>
      </c>
    </row>
    <row r="1033">
      <c r="A1033">
        <f>IF(Sync!$T1029="","",Sync!$T1029)</f>
        <v/>
      </c>
      <c r="B1033">
        <f>IF($A1033="","",IF(ISNUMBER($A1033),IF(AND($A1033&gt;=10000101,$A1033&lt;=99991231),INT($A1033/10000),""),IFERROR(VALUE(TRIM(LEFT($A1033,FIND("/",$A1033)-1))),"")))</f>
        <v/>
      </c>
      <c r="C1033">
        <f>IF(OR($A1033="",$B1033=""),"",IF(ISNUMBER($A1033),INT(MOD($A1033,10000)/100),IFERROR(VALUE(TRIM(LEFT(MID($A1033,FIND("/",$A1033)+1,20),FIND("/",MID($A1033,FIND("/",$A1033)+1,20))-1))),"")))</f>
        <v/>
      </c>
      <c r="D1033">
        <f>IF(OR($A1033="",$B1033=""),"",IF(ISNUMBER($A1033),MOD($A1033,100),IFERROR(VALUE(TRIM(MID(MID($A1033,FIND("/",$A1033)+1,20),FIND("/",MID($A1033,FIND("/",$A1033)+1,20))+1,20))),"")))</f>
        <v/>
      </c>
      <c r="E1033">
        <f>IF($A1033="","",IF(OR($B1033="",$C1033="",$D1033="",$B1033&lt;1300,$B1033&gt;1500,$C1033&lt;1,$C1033&gt;12,$D1033&lt;1,$D1033&gt;31),"نامعتبر",RIGHT("0000"&amp;$B1033,4)&amp;"/"&amp;RIGHT("00"&amp;$C1033,2)&amp;"/"&amp;RIGHT("00"&amp;$D1033,2)))</f>
        <v/>
      </c>
      <c r="F1033">
        <f>IF(OR($E1033="",$E1033="نامعتبر"),"",LEFT($E1033,4)&amp;"/"&amp;MID($E1033,6,2))</f>
        <v/>
      </c>
      <c r="G1033">
        <f>IF(OR($E1033="",$E1033="نامعتبر",Sync!$X1029=""),"",IF(AND(LEFT(UPPER(TRIM(Sync!$X1029)),2)="SL",IFERROR(VLOOKUP(Sync!$W1029,OpTbl,3,0),"")="فروش"),UPPER(TRIM(Sync!$X1029)),""))</f>
        <v/>
      </c>
      <c r="H1033">
        <f>IF($G1033="","",IF(Sync!$W1029="","",Sync!$W1029))</f>
        <v/>
      </c>
      <c r="I1033">
        <f>IF(OR($G1033="",Sync!$Y1029=""),"",Sync!$Y1029)</f>
        <v/>
      </c>
      <c r="J1033">
        <f>IF(OR($G1033="",Sync!$Z1029=""),"",Sync!$Z1029)</f>
        <v/>
      </c>
      <c r="K1033">
        <f>IF($G1033="",0,IF(Sync!$AA1029="",0,Sync!$AA1029))</f>
        <v/>
      </c>
      <c r="L1033">
        <f>IF($G1033="",0,IF(Sync!$AB1029="",0,Sync!$AB1029))</f>
        <v/>
      </c>
      <c r="M1033">
        <f>IF($G1033="","",IF($H1033="مرجوعی فروش",-1,1)*($K1033-$L1033*IFERROR(VLOOKUP("P01",ParamTbl,3,0),1.5)))</f>
        <v/>
      </c>
      <c r="N1033">
        <f>IF($G1033="",0,IF($H1033="مرجوعی فروش",-1,1)*IF(Sync!$AC1029="",0,Sync!$AC1029))</f>
        <v/>
      </c>
      <c r="O1033">
        <f>IF(OR($G1033="",Sync!$V1029=""),"",Sync!$V1029)</f>
        <v/>
      </c>
      <c r="P1033">
        <f>IF(OR($G1033="",Sync!$AD1029=""),"",Sync!$AD1029)</f>
        <v/>
      </c>
      <c r="Q1033">
        <f>IF($G1033="","",IF(Sync!$U1029="","0000",IF(AND(ISNUMBER(Sync!$U1029),Sync!$U1029&gt;=0,Sync!$U1029&lt;1),RIGHT("00"&amp;HOUR(Sync!$U1029),2)&amp;RIGHT("00"&amp;MINUTE(Sync!$U1029),2),IFERROR(RIGHT("00"&amp;VALUE(LEFT(Sync!$U1029,FIND(":",Sync!$U1029)-1)),2)&amp;RIGHT("00"&amp;VALUE(MID(Sync!$U1029,FIND(":",Sync!$U1029)+1,2)),2),"0000"))))</f>
        <v/>
      </c>
    </row>
    <row r="1034">
      <c r="A1034">
        <f>IF(Sync!$T1030="","",Sync!$T1030)</f>
        <v/>
      </c>
      <c r="B1034">
        <f>IF($A1034="","",IF(ISNUMBER($A1034),IF(AND($A1034&gt;=10000101,$A1034&lt;=99991231),INT($A1034/10000),""),IFERROR(VALUE(TRIM(LEFT($A1034,FIND("/",$A1034)-1))),"")))</f>
        <v/>
      </c>
      <c r="C1034">
        <f>IF(OR($A1034="",$B1034=""),"",IF(ISNUMBER($A1034),INT(MOD($A1034,10000)/100),IFERROR(VALUE(TRIM(LEFT(MID($A1034,FIND("/",$A1034)+1,20),FIND("/",MID($A1034,FIND("/",$A1034)+1,20))-1))),"")))</f>
        <v/>
      </c>
      <c r="D1034">
        <f>IF(OR($A1034="",$B1034=""),"",IF(ISNUMBER($A1034),MOD($A1034,100),IFERROR(VALUE(TRIM(MID(MID($A1034,FIND("/",$A1034)+1,20),FIND("/",MID($A1034,FIND("/",$A1034)+1,20))+1,20))),"")))</f>
        <v/>
      </c>
      <c r="E1034">
        <f>IF($A1034="","",IF(OR($B1034="",$C1034="",$D1034="",$B1034&lt;1300,$B1034&gt;1500,$C1034&lt;1,$C1034&gt;12,$D1034&lt;1,$D1034&gt;31),"نامعتبر",RIGHT("0000"&amp;$B1034,4)&amp;"/"&amp;RIGHT("00"&amp;$C1034,2)&amp;"/"&amp;RIGHT("00"&amp;$D1034,2)))</f>
        <v/>
      </c>
      <c r="F1034">
        <f>IF(OR($E1034="",$E1034="نامعتبر"),"",LEFT($E1034,4)&amp;"/"&amp;MID($E1034,6,2))</f>
        <v/>
      </c>
      <c r="G1034">
        <f>IF(OR($E1034="",$E1034="نامعتبر",Sync!$X1030=""),"",IF(AND(LEFT(UPPER(TRIM(Sync!$X1030)),2)="SL",IFERROR(VLOOKUP(Sync!$W1030,OpTbl,3,0),"")="فروش"),UPPER(TRIM(Sync!$X1030)),""))</f>
        <v/>
      </c>
      <c r="H1034">
        <f>IF($G1034="","",IF(Sync!$W1030="","",Sync!$W1030))</f>
        <v/>
      </c>
      <c r="I1034">
        <f>IF(OR($G1034="",Sync!$Y1030=""),"",Sync!$Y1030)</f>
        <v/>
      </c>
      <c r="J1034">
        <f>IF(OR($G1034="",Sync!$Z1030=""),"",Sync!$Z1030)</f>
        <v/>
      </c>
      <c r="K1034">
        <f>IF($G1034="",0,IF(Sync!$AA1030="",0,Sync!$AA1030))</f>
        <v/>
      </c>
      <c r="L1034">
        <f>IF($G1034="",0,IF(Sync!$AB1030="",0,Sync!$AB1030))</f>
        <v/>
      </c>
      <c r="M1034">
        <f>IF($G1034="","",IF($H1034="مرجوعی فروش",-1,1)*($K1034-$L1034*IFERROR(VLOOKUP("P01",ParamTbl,3,0),1.5)))</f>
        <v/>
      </c>
      <c r="N1034">
        <f>IF($G1034="",0,IF($H1034="مرجوعی فروش",-1,1)*IF(Sync!$AC1030="",0,Sync!$AC1030))</f>
        <v/>
      </c>
      <c r="O1034">
        <f>IF(OR($G1034="",Sync!$V1030=""),"",Sync!$V1030)</f>
        <v/>
      </c>
      <c r="P1034">
        <f>IF(OR($G1034="",Sync!$AD1030=""),"",Sync!$AD1030)</f>
        <v/>
      </c>
      <c r="Q1034">
        <f>IF($G1034="","",IF(Sync!$U1030="","0000",IF(AND(ISNUMBER(Sync!$U1030),Sync!$U1030&gt;=0,Sync!$U1030&lt;1),RIGHT("00"&amp;HOUR(Sync!$U1030),2)&amp;RIGHT("00"&amp;MINUTE(Sync!$U1030),2),IFERROR(RIGHT("00"&amp;VALUE(LEFT(Sync!$U1030,FIND(":",Sync!$U1030)-1)),2)&amp;RIGHT("00"&amp;VALUE(MID(Sync!$U1030,FIND(":",Sync!$U1030)+1,2)),2),"0000"))))</f>
        <v/>
      </c>
    </row>
    <row r="1035">
      <c r="A1035">
        <f>IF(Sync!$T1031="","",Sync!$T1031)</f>
        <v/>
      </c>
      <c r="B1035">
        <f>IF($A1035="","",IF(ISNUMBER($A1035),IF(AND($A1035&gt;=10000101,$A1035&lt;=99991231),INT($A1035/10000),""),IFERROR(VALUE(TRIM(LEFT($A1035,FIND("/",$A1035)-1))),"")))</f>
        <v/>
      </c>
      <c r="C1035">
        <f>IF(OR($A1035="",$B1035=""),"",IF(ISNUMBER($A1035),INT(MOD($A1035,10000)/100),IFERROR(VALUE(TRIM(LEFT(MID($A1035,FIND("/",$A1035)+1,20),FIND("/",MID($A1035,FIND("/",$A1035)+1,20))-1))),"")))</f>
        <v/>
      </c>
      <c r="D1035">
        <f>IF(OR($A1035="",$B1035=""),"",IF(ISNUMBER($A1035),MOD($A1035,100),IFERROR(VALUE(TRIM(MID(MID($A1035,FIND("/",$A1035)+1,20),FIND("/",MID($A1035,FIND("/",$A1035)+1,20))+1,20))),"")))</f>
        <v/>
      </c>
      <c r="E1035">
        <f>IF($A1035="","",IF(OR($B1035="",$C1035="",$D1035="",$B1035&lt;1300,$B1035&gt;1500,$C1035&lt;1,$C1035&gt;12,$D1035&lt;1,$D1035&gt;31),"نامعتبر",RIGHT("0000"&amp;$B1035,4)&amp;"/"&amp;RIGHT("00"&amp;$C1035,2)&amp;"/"&amp;RIGHT("00"&amp;$D1035,2)))</f>
        <v/>
      </c>
      <c r="F1035">
        <f>IF(OR($E1035="",$E1035="نامعتبر"),"",LEFT($E1035,4)&amp;"/"&amp;MID($E1035,6,2))</f>
        <v/>
      </c>
      <c r="G1035">
        <f>IF(OR($E1035="",$E1035="نامعتبر",Sync!$X1031=""),"",IF(AND(LEFT(UPPER(TRIM(Sync!$X1031)),2)="SL",IFERROR(VLOOKUP(Sync!$W1031,OpTbl,3,0),"")="فروش"),UPPER(TRIM(Sync!$X1031)),""))</f>
        <v/>
      </c>
      <c r="H1035">
        <f>IF($G1035="","",IF(Sync!$W1031="","",Sync!$W1031))</f>
        <v/>
      </c>
      <c r="I1035">
        <f>IF(OR($G1035="",Sync!$Y1031=""),"",Sync!$Y1031)</f>
        <v/>
      </c>
      <c r="J1035">
        <f>IF(OR($G1035="",Sync!$Z1031=""),"",Sync!$Z1031)</f>
        <v/>
      </c>
      <c r="K1035">
        <f>IF($G1035="",0,IF(Sync!$AA1031="",0,Sync!$AA1031))</f>
        <v/>
      </c>
      <c r="L1035">
        <f>IF($G1035="",0,IF(Sync!$AB1031="",0,Sync!$AB1031))</f>
        <v/>
      </c>
      <c r="M1035">
        <f>IF($G1035="","",IF($H1035="مرجوعی فروش",-1,1)*($K1035-$L1035*IFERROR(VLOOKUP("P01",ParamTbl,3,0),1.5)))</f>
        <v/>
      </c>
      <c r="N1035">
        <f>IF($G1035="",0,IF($H1035="مرجوعی فروش",-1,1)*IF(Sync!$AC1031="",0,Sync!$AC1031))</f>
        <v/>
      </c>
      <c r="O1035">
        <f>IF(OR($G1035="",Sync!$V1031=""),"",Sync!$V1031)</f>
        <v/>
      </c>
      <c r="P1035">
        <f>IF(OR($G1035="",Sync!$AD1031=""),"",Sync!$AD1031)</f>
        <v/>
      </c>
      <c r="Q1035">
        <f>IF($G1035="","",IF(Sync!$U1031="","0000",IF(AND(ISNUMBER(Sync!$U1031),Sync!$U1031&gt;=0,Sync!$U1031&lt;1),RIGHT("00"&amp;HOUR(Sync!$U1031),2)&amp;RIGHT("00"&amp;MINUTE(Sync!$U1031),2),IFERROR(RIGHT("00"&amp;VALUE(LEFT(Sync!$U1031,FIND(":",Sync!$U1031)-1)),2)&amp;RIGHT("00"&amp;VALUE(MID(Sync!$U1031,FIND(":",Sync!$U1031)+1,2)),2),"0000"))))</f>
        <v/>
      </c>
    </row>
    <row r="1036">
      <c r="A1036">
        <f>IF(Sync!$T1032="","",Sync!$T1032)</f>
        <v/>
      </c>
      <c r="B1036">
        <f>IF($A1036="","",IF(ISNUMBER($A1036),IF(AND($A1036&gt;=10000101,$A1036&lt;=99991231),INT($A1036/10000),""),IFERROR(VALUE(TRIM(LEFT($A1036,FIND("/",$A1036)-1))),"")))</f>
        <v/>
      </c>
      <c r="C1036">
        <f>IF(OR($A1036="",$B1036=""),"",IF(ISNUMBER($A1036),INT(MOD($A1036,10000)/100),IFERROR(VALUE(TRIM(LEFT(MID($A1036,FIND("/",$A1036)+1,20),FIND("/",MID($A1036,FIND("/",$A1036)+1,20))-1))),"")))</f>
        <v/>
      </c>
      <c r="D1036">
        <f>IF(OR($A1036="",$B1036=""),"",IF(ISNUMBER($A1036),MOD($A1036,100),IFERROR(VALUE(TRIM(MID(MID($A1036,FIND("/",$A1036)+1,20),FIND("/",MID($A1036,FIND("/",$A1036)+1,20))+1,20))),"")))</f>
        <v/>
      </c>
      <c r="E1036">
        <f>IF($A1036="","",IF(OR($B1036="",$C1036="",$D1036="",$B1036&lt;1300,$B1036&gt;1500,$C1036&lt;1,$C1036&gt;12,$D1036&lt;1,$D1036&gt;31),"نامعتبر",RIGHT("0000"&amp;$B1036,4)&amp;"/"&amp;RIGHT("00"&amp;$C1036,2)&amp;"/"&amp;RIGHT("00"&amp;$D1036,2)))</f>
        <v/>
      </c>
      <c r="F1036">
        <f>IF(OR($E1036="",$E1036="نامعتبر"),"",LEFT($E1036,4)&amp;"/"&amp;MID($E1036,6,2))</f>
        <v/>
      </c>
      <c r="G1036">
        <f>IF(OR($E1036="",$E1036="نامعتبر",Sync!$X1032=""),"",IF(AND(LEFT(UPPER(TRIM(Sync!$X1032)),2)="SL",IFERROR(VLOOKUP(Sync!$W1032,OpTbl,3,0),"")="فروش"),UPPER(TRIM(Sync!$X1032)),""))</f>
        <v/>
      </c>
      <c r="H1036">
        <f>IF($G1036="","",IF(Sync!$W1032="","",Sync!$W1032))</f>
        <v/>
      </c>
      <c r="I1036">
        <f>IF(OR($G1036="",Sync!$Y1032=""),"",Sync!$Y1032)</f>
        <v/>
      </c>
      <c r="J1036">
        <f>IF(OR($G1036="",Sync!$Z1032=""),"",Sync!$Z1032)</f>
        <v/>
      </c>
      <c r="K1036">
        <f>IF($G1036="",0,IF(Sync!$AA1032="",0,Sync!$AA1032))</f>
        <v/>
      </c>
      <c r="L1036">
        <f>IF($G1036="",0,IF(Sync!$AB1032="",0,Sync!$AB1032))</f>
        <v/>
      </c>
      <c r="M1036">
        <f>IF($G1036="","",IF($H1036="مرجوعی فروش",-1,1)*($K1036-$L1036*IFERROR(VLOOKUP("P01",ParamTbl,3,0),1.5)))</f>
        <v/>
      </c>
      <c r="N1036">
        <f>IF($G1036="",0,IF($H1036="مرجوعی فروش",-1,1)*IF(Sync!$AC1032="",0,Sync!$AC1032))</f>
        <v/>
      </c>
      <c r="O1036">
        <f>IF(OR($G1036="",Sync!$V1032=""),"",Sync!$V1032)</f>
        <v/>
      </c>
      <c r="P1036">
        <f>IF(OR($G1036="",Sync!$AD1032=""),"",Sync!$AD1032)</f>
        <v/>
      </c>
      <c r="Q1036">
        <f>IF($G1036="","",IF(Sync!$U1032="","0000",IF(AND(ISNUMBER(Sync!$U1032),Sync!$U1032&gt;=0,Sync!$U1032&lt;1),RIGHT("00"&amp;HOUR(Sync!$U1032),2)&amp;RIGHT("00"&amp;MINUTE(Sync!$U1032),2),IFERROR(RIGHT("00"&amp;VALUE(LEFT(Sync!$U1032,FIND(":",Sync!$U1032)-1)),2)&amp;RIGHT("00"&amp;VALUE(MID(Sync!$U1032,FIND(":",Sync!$U1032)+1,2)),2),"0000"))))</f>
        <v/>
      </c>
    </row>
    <row r="1037">
      <c r="A1037">
        <f>IF(Sync!$T1033="","",Sync!$T1033)</f>
        <v/>
      </c>
      <c r="B1037">
        <f>IF($A1037="","",IF(ISNUMBER($A1037),IF(AND($A1037&gt;=10000101,$A1037&lt;=99991231),INT($A1037/10000),""),IFERROR(VALUE(TRIM(LEFT($A1037,FIND("/",$A1037)-1))),"")))</f>
        <v/>
      </c>
      <c r="C1037">
        <f>IF(OR($A1037="",$B1037=""),"",IF(ISNUMBER($A1037),INT(MOD($A1037,10000)/100),IFERROR(VALUE(TRIM(LEFT(MID($A1037,FIND("/",$A1037)+1,20),FIND("/",MID($A1037,FIND("/",$A1037)+1,20))-1))),"")))</f>
        <v/>
      </c>
      <c r="D1037">
        <f>IF(OR($A1037="",$B1037=""),"",IF(ISNUMBER($A1037),MOD($A1037,100),IFERROR(VALUE(TRIM(MID(MID($A1037,FIND("/",$A1037)+1,20),FIND("/",MID($A1037,FIND("/",$A1037)+1,20))+1,20))),"")))</f>
        <v/>
      </c>
      <c r="E1037">
        <f>IF($A1037="","",IF(OR($B1037="",$C1037="",$D1037="",$B1037&lt;1300,$B1037&gt;1500,$C1037&lt;1,$C1037&gt;12,$D1037&lt;1,$D1037&gt;31),"نامعتبر",RIGHT("0000"&amp;$B1037,4)&amp;"/"&amp;RIGHT("00"&amp;$C1037,2)&amp;"/"&amp;RIGHT("00"&amp;$D1037,2)))</f>
        <v/>
      </c>
      <c r="F1037">
        <f>IF(OR($E1037="",$E1037="نامعتبر"),"",LEFT($E1037,4)&amp;"/"&amp;MID($E1037,6,2))</f>
        <v/>
      </c>
      <c r="G1037">
        <f>IF(OR($E1037="",$E1037="نامعتبر",Sync!$X1033=""),"",IF(AND(LEFT(UPPER(TRIM(Sync!$X1033)),2)="SL",IFERROR(VLOOKUP(Sync!$W1033,OpTbl,3,0),"")="فروش"),UPPER(TRIM(Sync!$X1033)),""))</f>
        <v/>
      </c>
      <c r="H1037">
        <f>IF($G1037="","",IF(Sync!$W1033="","",Sync!$W1033))</f>
        <v/>
      </c>
      <c r="I1037">
        <f>IF(OR($G1037="",Sync!$Y1033=""),"",Sync!$Y1033)</f>
        <v/>
      </c>
      <c r="J1037">
        <f>IF(OR($G1037="",Sync!$Z1033=""),"",Sync!$Z1033)</f>
        <v/>
      </c>
      <c r="K1037">
        <f>IF($G1037="",0,IF(Sync!$AA1033="",0,Sync!$AA1033))</f>
        <v/>
      </c>
      <c r="L1037">
        <f>IF($G1037="",0,IF(Sync!$AB1033="",0,Sync!$AB1033))</f>
        <v/>
      </c>
      <c r="M1037">
        <f>IF($G1037="","",IF($H1037="مرجوعی فروش",-1,1)*($K1037-$L1037*IFERROR(VLOOKUP("P01",ParamTbl,3,0),1.5)))</f>
        <v/>
      </c>
      <c r="N1037">
        <f>IF($G1037="",0,IF($H1037="مرجوعی فروش",-1,1)*IF(Sync!$AC1033="",0,Sync!$AC1033))</f>
        <v/>
      </c>
      <c r="O1037">
        <f>IF(OR($G1037="",Sync!$V1033=""),"",Sync!$V1033)</f>
        <v/>
      </c>
      <c r="P1037">
        <f>IF(OR($G1037="",Sync!$AD1033=""),"",Sync!$AD1033)</f>
        <v/>
      </c>
      <c r="Q1037">
        <f>IF($G1037="","",IF(Sync!$U1033="","0000",IF(AND(ISNUMBER(Sync!$U1033),Sync!$U1033&gt;=0,Sync!$U1033&lt;1),RIGHT("00"&amp;HOUR(Sync!$U1033),2)&amp;RIGHT("00"&amp;MINUTE(Sync!$U1033),2),IFERROR(RIGHT("00"&amp;VALUE(LEFT(Sync!$U1033,FIND(":",Sync!$U1033)-1)),2)&amp;RIGHT("00"&amp;VALUE(MID(Sync!$U1033,FIND(":",Sync!$U1033)+1,2)),2),"0000"))))</f>
        <v/>
      </c>
    </row>
    <row r="1038">
      <c r="A1038">
        <f>IF(Sync!$T1034="","",Sync!$T1034)</f>
        <v/>
      </c>
      <c r="B1038">
        <f>IF($A1038="","",IF(ISNUMBER($A1038),IF(AND($A1038&gt;=10000101,$A1038&lt;=99991231),INT($A1038/10000),""),IFERROR(VALUE(TRIM(LEFT($A1038,FIND("/",$A1038)-1))),"")))</f>
        <v/>
      </c>
      <c r="C1038">
        <f>IF(OR($A1038="",$B1038=""),"",IF(ISNUMBER($A1038),INT(MOD($A1038,10000)/100),IFERROR(VALUE(TRIM(LEFT(MID($A1038,FIND("/",$A1038)+1,20),FIND("/",MID($A1038,FIND("/",$A1038)+1,20))-1))),"")))</f>
        <v/>
      </c>
      <c r="D1038">
        <f>IF(OR($A1038="",$B1038=""),"",IF(ISNUMBER($A1038),MOD($A1038,100),IFERROR(VALUE(TRIM(MID(MID($A1038,FIND("/",$A1038)+1,20),FIND("/",MID($A1038,FIND("/",$A1038)+1,20))+1,20))),"")))</f>
        <v/>
      </c>
      <c r="E1038">
        <f>IF($A1038="","",IF(OR($B1038="",$C1038="",$D1038="",$B1038&lt;1300,$B1038&gt;1500,$C1038&lt;1,$C1038&gt;12,$D1038&lt;1,$D1038&gt;31),"نامعتبر",RIGHT("0000"&amp;$B1038,4)&amp;"/"&amp;RIGHT("00"&amp;$C1038,2)&amp;"/"&amp;RIGHT("00"&amp;$D1038,2)))</f>
        <v/>
      </c>
      <c r="F1038">
        <f>IF(OR($E1038="",$E1038="نامعتبر"),"",LEFT($E1038,4)&amp;"/"&amp;MID($E1038,6,2))</f>
        <v/>
      </c>
      <c r="G1038">
        <f>IF(OR($E1038="",$E1038="نامعتبر",Sync!$X1034=""),"",IF(AND(LEFT(UPPER(TRIM(Sync!$X1034)),2)="SL",IFERROR(VLOOKUP(Sync!$W1034,OpTbl,3,0),"")="فروش"),UPPER(TRIM(Sync!$X1034)),""))</f>
        <v/>
      </c>
      <c r="H1038">
        <f>IF($G1038="","",IF(Sync!$W1034="","",Sync!$W1034))</f>
        <v/>
      </c>
      <c r="I1038">
        <f>IF(OR($G1038="",Sync!$Y1034=""),"",Sync!$Y1034)</f>
        <v/>
      </c>
      <c r="J1038">
        <f>IF(OR($G1038="",Sync!$Z1034=""),"",Sync!$Z1034)</f>
        <v/>
      </c>
      <c r="K1038">
        <f>IF($G1038="",0,IF(Sync!$AA1034="",0,Sync!$AA1034))</f>
        <v/>
      </c>
      <c r="L1038">
        <f>IF($G1038="",0,IF(Sync!$AB1034="",0,Sync!$AB1034))</f>
        <v/>
      </c>
      <c r="M1038">
        <f>IF($G1038="","",IF($H1038="مرجوعی فروش",-1,1)*($K1038-$L1038*IFERROR(VLOOKUP("P01",ParamTbl,3,0),1.5)))</f>
        <v/>
      </c>
      <c r="N1038">
        <f>IF($G1038="",0,IF($H1038="مرجوعی فروش",-1,1)*IF(Sync!$AC1034="",0,Sync!$AC1034))</f>
        <v/>
      </c>
      <c r="O1038">
        <f>IF(OR($G1038="",Sync!$V1034=""),"",Sync!$V1034)</f>
        <v/>
      </c>
      <c r="P1038">
        <f>IF(OR($G1038="",Sync!$AD1034=""),"",Sync!$AD1034)</f>
        <v/>
      </c>
      <c r="Q1038">
        <f>IF($G1038="","",IF(Sync!$U1034="","0000",IF(AND(ISNUMBER(Sync!$U1034),Sync!$U1034&gt;=0,Sync!$U1034&lt;1),RIGHT("00"&amp;HOUR(Sync!$U1034),2)&amp;RIGHT("00"&amp;MINUTE(Sync!$U1034),2),IFERROR(RIGHT("00"&amp;VALUE(LEFT(Sync!$U1034,FIND(":",Sync!$U1034)-1)),2)&amp;RIGHT("00"&amp;VALUE(MID(Sync!$U1034,FIND(":",Sync!$U1034)+1,2)),2),"0000"))))</f>
        <v/>
      </c>
    </row>
    <row r="1039">
      <c r="A1039">
        <f>IF(Sync!$T1035="","",Sync!$T1035)</f>
        <v/>
      </c>
      <c r="B1039">
        <f>IF($A1039="","",IF(ISNUMBER($A1039),IF(AND($A1039&gt;=10000101,$A1039&lt;=99991231),INT($A1039/10000),""),IFERROR(VALUE(TRIM(LEFT($A1039,FIND("/",$A1039)-1))),"")))</f>
        <v/>
      </c>
      <c r="C1039">
        <f>IF(OR($A1039="",$B1039=""),"",IF(ISNUMBER($A1039),INT(MOD($A1039,10000)/100),IFERROR(VALUE(TRIM(LEFT(MID($A1039,FIND("/",$A1039)+1,20),FIND("/",MID($A1039,FIND("/",$A1039)+1,20))-1))),"")))</f>
        <v/>
      </c>
      <c r="D1039">
        <f>IF(OR($A1039="",$B1039=""),"",IF(ISNUMBER($A1039),MOD($A1039,100),IFERROR(VALUE(TRIM(MID(MID($A1039,FIND("/",$A1039)+1,20),FIND("/",MID($A1039,FIND("/",$A1039)+1,20))+1,20))),"")))</f>
        <v/>
      </c>
      <c r="E1039">
        <f>IF($A1039="","",IF(OR($B1039="",$C1039="",$D1039="",$B1039&lt;1300,$B1039&gt;1500,$C1039&lt;1,$C1039&gt;12,$D1039&lt;1,$D1039&gt;31),"نامعتبر",RIGHT("0000"&amp;$B1039,4)&amp;"/"&amp;RIGHT("00"&amp;$C1039,2)&amp;"/"&amp;RIGHT("00"&amp;$D1039,2)))</f>
        <v/>
      </c>
      <c r="F1039">
        <f>IF(OR($E1039="",$E1039="نامعتبر"),"",LEFT($E1039,4)&amp;"/"&amp;MID($E1039,6,2))</f>
        <v/>
      </c>
      <c r="G1039">
        <f>IF(OR($E1039="",$E1039="نامعتبر",Sync!$X1035=""),"",IF(AND(LEFT(UPPER(TRIM(Sync!$X1035)),2)="SL",IFERROR(VLOOKUP(Sync!$W1035,OpTbl,3,0),"")="فروش"),UPPER(TRIM(Sync!$X1035)),""))</f>
        <v/>
      </c>
      <c r="H1039">
        <f>IF($G1039="","",IF(Sync!$W1035="","",Sync!$W1035))</f>
        <v/>
      </c>
      <c r="I1039">
        <f>IF(OR($G1039="",Sync!$Y1035=""),"",Sync!$Y1035)</f>
        <v/>
      </c>
      <c r="J1039">
        <f>IF(OR($G1039="",Sync!$Z1035=""),"",Sync!$Z1035)</f>
        <v/>
      </c>
      <c r="K1039">
        <f>IF($G1039="",0,IF(Sync!$AA1035="",0,Sync!$AA1035))</f>
        <v/>
      </c>
      <c r="L1039">
        <f>IF($G1039="",0,IF(Sync!$AB1035="",0,Sync!$AB1035))</f>
        <v/>
      </c>
      <c r="M1039">
        <f>IF($G1039="","",IF($H1039="مرجوعی فروش",-1,1)*($K1039-$L1039*IFERROR(VLOOKUP("P01",ParamTbl,3,0),1.5)))</f>
        <v/>
      </c>
      <c r="N1039">
        <f>IF($G1039="",0,IF($H1039="مرجوعی فروش",-1,1)*IF(Sync!$AC1035="",0,Sync!$AC1035))</f>
        <v/>
      </c>
      <c r="O1039">
        <f>IF(OR($G1039="",Sync!$V1035=""),"",Sync!$V1035)</f>
        <v/>
      </c>
      <c r="P1039">
        <f>IF(OR($G1039="",Sync!$AD1035=""),"",Sync!$AD1035)</f>
        <v/>
      </c>
      <c r="Q1039">
        <f>IF($G1039="","",IF(Sync!$U1035="","0000",IF(AND(ISNUMBER(Sync!$U1035),Sync!$U1035&gt;=0,Sync!$U1035&lt;1),RIGHT("00"&amp;HOUR(Sync!$U1035),2)&amp;RIGHT("00"&amp;MINUTE(Sync!$U1035),2),IFERROR(RIGHT("00"&amp;VALUE(LEFT(Sync!$U1035,FIND(":",Sync!$U1035)-1)),2)&amp;RIGHT("00"&amp;VALUE(MID(Sync!$U1035,FIND(":",Sync!$U1035)+1,2)),2),"0000"))))</f>
        <v/>
      </c>
    </row>
    <row r="1040">
      <c r="A1040">
        <f>IF(Sync!$T1036="","",Sync!$T1036)</f>
        <v/>
      </c>
      <c r="B1040">
        <f>IF($A1040="","",IF(ISNUMBER($A1040),IF(AND($A1040&gt;=10000101,$A1040&lt;=99991231),INT($A1040/10000),""),IFERROR(VALUE(TRIM(LEFT($A1040,FIND("/",$A1040)-1))),"")))</f>
        <v/>
      </c>
      <c r="C1040">
        <f>IF(OR($A1040="",$B1040=""),"",IF(ISNUMBER($A1040),INT(MOD($A1040,10000)/100),IFERROR(VALUE(TRIM(LEFT(MID($A1040,FIND("/",$A1040)+1,20),FIND("/",MID($A1040,FIND("/",$A1040)+1,20))-1))),"")))</f>
        <v/>
      </c>
      <c r="D1040">
        <f>IF(OR($A1040="",$B1040=""),"",IF(ISNUMBER($A1040),MOD($A1040,100),IFERROR(VALUE(TRIM(MID(MID($A1040,FIND("/",$A1040)+1,20),FIND("/",MID($A1040,FIND("/",$A1040)+1,20))+1,20))),"")))</f>
        <v/>
      </c>
      <c r="E1040">
        <f>IF($A1040="","",IF(OR($B1040="",$C1040="",$D1040="",$B1040&lt;1300,$B1040&gt;1500,$C1040&lt;1,$C1040&gt;12,$D1040&lt;1,$D1040&gt;31),"نامعتبر",RIGHT("0000"&amp;$B1040,4)&amp;"/"&amp;RIGHT("00"&amp;$C1040,2)&amp;"/"&amp;RIGHT("00"&amp;$D1040,2)))</f>
        <v/>
      </c>
      <c r="F1040">
        <f>IF(OR($E1040="",$E1040="نامعتبر"),"",LEFT($E1040,4)&amp;"/"&amp;MID($E1040,6,2))</f>
        <v/>
      </c>
      <c r="G1040">
        <f>IF(OR($E1040="",$E1040="نامعتبر",Sync!$X1036=""),"",IF(AND(LEFT(UPPER(TRIM(Sync!$X1036)),2)="SL",IFERROR(VLOOKUP(Sync!$W1036,OpTbl,3,0),"")="فروش"),UPPER(TRIM(Sync!$X1036)),""))</f>
        <v/>
      </c>
      <c r="H1040">
        <f>IF($G1040="","",IF(Sync!$W1036="","",Sync!$W1036))</f>
        <v/>
      </c>
      <c r="I1040">
        <f>IF(OR($G1040="",Sync!$Y1036=""),"",Sync!$Y1036)</f>
        <v/>
      </c>
      <c r="J1040">
        <f>IF(OR($G1040="",Sync!$Z1036=""),"",Sync!$Z1036)</f>
        <v/>
      </c>
      <c r="K1040">
        <f>IF($G1040="",0,IF(Sync!$AA1036="",0,Sync!$AA1036))</f>
        <v/>
      </c>
      <c r="L1040">
        <f>IF($G1040="",0,IF(Sync!$AB1036="",0,Sync!$AB1036))</f>
        <v/>
      </c>
      <c r="M1040">
        <f>IF($G1040="","",IF($H1040="مرجوعی فروش",-1,1)*($K1040-$L1040*IFERROR(VLOOKUP("P01",ParamTbl,3,0),1.5)))</f>
        <v/>
      </c>
      <c r="N1040">
        <f>IF($G1040="",0,IF($H1040="مرجوعی فروش",-1,1)*IF(Sync!$AC1036="",0,Sync!$AC1036))</f>
        <v/>
      </c>
      <c r="O1040">
        <f>IF(OR($G1040="",Sync!$V1036=""),"",Sync!$V1036)</f>
        <v/>
      </c>
      <c r="P1040">
        <f>IF(OR($G1040="",Sync!$AD1036=""),"",Sync!$AD1036)</f>
        <v/>
      </c>
      <c r="Q1040">
        <f>IF($G1040="","",IF(Sync!$U1036="","0000",IF(AND(ISNUMBER(Sync!$U1036),Sync!$U1036&gt;=0,Sync!$U1036&lt;1),RIGHT("00"&amp;HOUR(Sync!$U1036),2)&amp;RIGHT("00"&amp;MINUTE(Sync!$U1036),2),IFERROR(RIGHT("00"&amp;VALUE(LEFT(Sync!$U1036,FIND(":",Sync!$U1036)-1)),2)&amp;RIGHT("00"&amp;VALUE(MID(Sync!$U1036,FIND(":",Sync!$U1036)+1,2)),2),"0000"))))</f>
        <v/>
      </c>
    </row>
    <row r="1041">
      <c r="A1041">
        <f>IF(Sync!$T1037="","",Sync!$T1037)</f>
        <v/>
      </c>
      <c r="B1041">
        <f>IF($A1041="","",IF(ISNUMBER($A1041),IF(AND($A1041&gt;=10000101,$A1041&lt;=99991231),INT($A1041/10000),""),IFERROR(VALUE(TRIM(LEFT($A1041,FIND("/",$A1041)-1))),"")))</f>
        <v/>
      </c>
      <c r="C1041">
        <f>IF(OR($A1041="",$B1041=""),"",IF(ISNUMBER($A1041),INT(MOD($A1041,10000)/100),IFERROR(VALUE(TRIM(LEFT(MID($A1041,FIND("/",$A1041)+1,20),FIND("/",MID($A1041,FIND("/",$A1041)+1,20))-1))),"")))</f>
        <v/>
      </c>
      <c r="D1041">
        <f>IF(OR($A1041="",$B1041=""),"",IF(ISNUMBER($A1041),MOD($A1041,100),IFERROR(VALUE(TRIM(MID(MID($A1041,FIND("/",$A1041)+1,20),FIND("/",MID($A1041,FIND("/",$A1041)+1,20))+1,20))),"")))</f>
        <v/>
      </c>
      <c r="E1041">
        <f>IF($A1041="","",IF(OR($B1041="",$C1041="",$D1041="",$B1041&lt;1300,$B1041&gt;1500,$C1041&lt;1,$C1041&gt;12,$D1041&lt;1,$D1041&gt;31),"نامعتبر",RIGHT("0000"&amp;$B1041,4)&amp;"/"&amp;RIGHT("00"&amp;$C1041,2)&amp;"/"&amp;RIGHT("00"&amp;$D1041,2)))</f>
        <v/>
      </c>
      <c r="F1041">
        <f>IF(OR($E1041="",$E1041="نامعتبر"),"",LEFT($E1041,4)&amp;"/"&amp;MID($E1041,6,2))</f>
        <v/>
      </c>
      <c r="G1041">
        <f>IF(OR($E1041="",$E1041="نامعتبر",Sync!$X1037=""),"",IF(AND(LEFT(UPPER(TRIM(Sync!$X1037)),2)="SL",IFERROR(VLOOKUP(Sync!$W1037,OpTbl,3,0),"")="فروش"),UPPER(TRIM(Sync!$X1037)),""))</f>
        <v/>
      </c>
      <c r="H1041">
        <f>IF($G1041="","",IF(Sync!$W1037="","",Sync!$W1037))</f>
        <v/>
      </c>
      <c r="I1041">
        <f>IF(OR($G1041="",Sync!$Y1037=""),"",Sync!$Y1037)</f>
        <v/>
      </c>
      <c r="J1041">
        <f>IF(OR($G1041="",Sync!$Z1037=""),"",Sync!$Z1037)</f>
        <v/>
      </c>
      <c r="K1041">
        <f>IF($G1041="",0,IF(Sync!$AA1037="",0,Sync!$AA1037))</f>
        <v/>
      </c>
      <c r="L1041">
        <f>IF($G1041="",0,IF(Sync!$AB1037="",0,Sync!$AB1037))</f>
        <v/>
      </c>
      <c r="M1041">
        <f>IF($G1041="","",IF($H1041="مرجوعی فروش",-1,1)*($K1041-$L1041*IFERROR(VLOOKUP("P01",ParamTbl,3,0),1.5)))</f>
        <v/>
      </c>
      <c r="N1041">
        <f>IF($G1041="",0,IF($H1041="مرجوعی فروش",-1,1)*IF(Sync!$AC1037="",0,Sync!$AC1037))</f>
        <v/>
      </c>
      <c r="O1041">
        <f>IF(OR($G1041="",Sync!$V1037=""),"",Sync!$V1037)</f>
        <v/>
      </c>
      <c r="P1041">
        <f>IF(OR($G1041="",Sync!$AD1037=""),"",Sync!$AD1037)</f>
        <v/>
      </c>
      <c r="Q1041">
        <f>IF($G1041="","",IF(Sync!$U1037="","0000",IF(AND(ISNUMBER(Sync!$U1037),Sync!$U1037&gt;=0,Sync!$U1037&lt;1),RIGHT("00"&amp;HOUR(Sync!$U1037),2)&amp;RIGHT("00"&amp;MINUTE(Sync!$U1037),2),IFERROR(RIGHT("00"&amp;VALUE(LEFT(Sync!$U1037,FIND(":",Sync!$U1037)-1)),2)&amp;RIGHT("00"&amp;VALUE(MID(Sync!$U1037,FIND(":",Sync!$U1037)+1,2)),2),"0000"))))</f>
        <v/>
      </c>
    </row>
    <row r="1042">
      <c r="A1042">
        <f>IF(Sync!$T1038="","",Sync!$T1038)</f>
        <v/>
      </c>
      <c r="B1042">
        <f>IF($A1042="","",IF(ISNUMBER($A1042),IF(AND($A1042&gt;=10000101,$A1042&lt;=99991231),INT($A1042/10000),""),IFERROR(VALUE(TRIM(LEFT($A1042,FIND("/",$A1042)-1))),"")))</f>
        <v/>
      </c>
      <c r="C1042">
        <f>IF(OR($A1042="",$B1042=""),"",IF(ISNUMBER($A1042),INT(MOD($A1042,10000)/100),IFERROR(VALUE(TRIM(LEFT(MID($A1042,FIND("/",$A1042)+1,20),FIND("/",MID($A1042,FIND("/",$A1042)+1,20))-1))),"")))</f>
        <v/>
      </c>
      <c r="D1042">
        <f>IF(OR($A1042="",$B1042=""),"",IF(ISNUMBER($A1042),MOD($A1042,100),IFERROR(VALUE(TRIM(MID(MID($A1042,FIND("/",$A1042)+1,20),FIND("/",MID($A1042,FIND("/",$A1042)+1,20))+1,20))),"")))</f>
        <v/>
      </c>
      <c r="E1042">
        <f>IF($A1042="","",IF(OR($B1042="",$C1042="",$D1042="",$B1042&lt;1300,$B1042&gt;1500,$C1042&lt;1,$C1042&gt;12,$D1042&lt;1,$D1042&gt;31),"نامعتبر",RIGHT("0000"&amp;$B1042,4)&amp;"/"&amp;RIGHT("00"&amp;$C1042,2)&amp;"/"&amp;RIGHT("00"&amp;$D1042,2)))</f>
        <v/>
      </c>
      <c r="F1042">
        <f>IF(OR($E1042="",$E1042="نامعتبر"),"",LEFT($E1042,4)&amp;"/"&amp;MID($E1042,6,2))</f>
        <v/>
      </c>
      <c r="G1042">
        <f>IF(OR($E1042="",$E1042="نامعتبر",Sync!$X1038=""),"",IF(AND(LEFT(UPPER(TRIM(Sync!$X1038)),2)="SL",IFERROR(VLOOKUP(Sync!$W1038,OpTbl,3,0),"")="فروش"),UPPER(TRIM(Sync!$X1038)),""))</f>
        <v/>
      </c>
      <c r="H1042">
        <f>IF($G1042="","",IF(Sync!$W1038="","",Sync!$W1038))</f>
        <v/>
      </c>
      <c r="I1042">
        <f>IF(OR($G1042="",Sync!$Y1038=""),"",Sync!$Y1038)</f>
        <v/>
      </c>
      <c r="J1042">
        <f>IF(OR($G1042="",Sync!$Z1038=""),"",Sync!$Z1038)</f>
        <v/>
      </c>
      <c r="K1042">
        <f>IF($G1042="",0,IF(Sync!$AA1038="",0,Sync!$AA1038))</f>
        <v/>
      </c>
      <c r="L1042">
        <f>IF($G1042="",0,IF(Sync!$AB1038="",0,Sync!$AB1038))</f>
        <v/>
      </c>
      <c r="M1042">
        <f>IF($G1042="","",IF($H1042="مرجوعی فروش",-1,1)*($K1042-$L1042*IFERROR(VLOOKUP("P01",ParamTbl,3,0),1.5)))</f>
        <v/>
      </c>
      <c r="N1042">
        <f>IF($G1042="",0,IF($H1042="مرجوعی فروش",-1,1)*IF(Sync!$AC1038="",0,Sync!$AC1038))</f>
        <v/>
      </c>
      <c r="O1042">
        <f>IF(OR($G1042="",Sync!$V1038=""),"",Sync!$V1038)</f>
        <v/>
      </c>
      <c r="P1042">
        <f>IF(OR($G1042="",Sync!$AD1038=""),"",Sync!$AD1038)</f>
        <v/>
      </c>
      <c r="Q1042">
        <f>IF($G1042="","",IF(Sync!$U1038="","0000",IF(AND(ISNUMBER(Sync!$U1038),Sync!$U1038&gt;=0,Sync!$U1038&lt;1),RIGHT("00"&amp;HOUR(Sync!$U1038),2)&amp;RIGHT("00"&amp;MINUTE(Sync!$U1038),2),IFERROR(RIGHT("00"&amp;VALUE(LEFT(Sync!$U1038,FIND(":",Sync!$U1038)-1)),2)&amp;RIGHT("00"&amp;VALUE(MID(Sync!$U1038,FIND(":",Sync!$U1038)+1,2)),2),"0000"))))</f>
        <v/>
      </c>
    </row>
    <row r="1043">
      <c r="A1043">
        <f>IF(Sync!$T1039="","",Sync!$T1039)</f>
        <v/>
      </c>
      <c r="B1043">
        <f>IF($A1043="","",IF(ISNUMBER($A1043),IF(AND($A1043&gt;=10000101,$A1043&lt;=99991231),INT($A1043/10000),""),IFERROR(VALUE(TRIM(LEFT($A1043,FIND("/",$A1043)-1))),"")))</f>
        <v/>
      </c>
      <c r="C1043">
        <f>IF(OR($A1043="",$B1043=""),"",IF(ISNUMBER($A1043),INT(MOD($A1043,10000)/100),IFERROR(VALUE(TRIM(LEFT(MID($A1043,FIND("/",$A1043)+1,20),FIND("/",MID($A1043,FIND("/",$A1043)+1,20))-1))),"")))</f>
        <v/>
      </c>
      <c r="D1043">
        <f>IF(OR($A1043="",$B1043=""),"",IF(ISNUMBER($A1043),MOD($A1043,100),IFERROR(VALUE(TRIM(MID(MID($A1043,FIND("/",$A1043)+1,20),FIND("/",MID($A1043,FIND("/",$A1043)+1,20))+1,20))),"")))</f>
        <v/>
      </c>
      <c r="E1043">
        <f>IF($A1043="","",IF(OR($B1043="",$C1043="",$D1043="",$B1043&lt;1300,$B1043&gt;1500,$C1043&lt;1,$C1043&gt;12,$D1043&lt;1,$D1043&gt;31),"نامعتبر",RIGHT("0000"&amp;$B1043,4)&amp;"/"&amp;RIGHT("00"&amp;$C1043,2)&amp;"/"&amp;RIGHT("00"&amp;$D1043,2)))</f>
        <v/>
      </c>
      <c r="F1043">
        <f>IF(OR($E1043="",$E1043="نامعتبر"),"",LEFT($E1043,4)&amp;"/"&amp;MID($E1043,6,2))</f>
        <v/>
      </c>
      <c r="G1043">
        <f>IF(OR($E1043="",$E1043="نامعتبر",Sync!$X1039=""),"",IF(AND(LEFT(UPPER(TRIM(Sync!$X1039)),2)="SL",IFERROR(VLOOKUP(Sync!$W1039,OpTbl,3,0),"")="فروش"),UPPER(TRIM(Sync!$X1039)),""))</f>
        <v/>
      </c>
      <c r="H1043">
        <f>IF($G1043="","",IF(Sync!$W1039="","",Sync!$W1039))</f>
        <v/>
      </c>
      <c r="I1043">
        <f>IF(OR($G1043="",Sync!$Y1039=""),"",Sync!$Y1039)</f>
        <v/>
      </c>
      <c r="J1043">
        <f>IF(OR($G1043="",Sync!$Z1039=""),"",Sync!$Z1039)</f>
        <v/>
      </c>
      <c r="K1043">
        <f>IF($G1043="",0,IF(Sync!$AA1039="",0,Sync!$AA1039))</f>
        <v/>
      </c>
      <c r="L1043">
        <f>IF($G1043="",0,IF(Sync!$AB1039="",0,Sync!$AB1039))</f>
        <v/>
      </c>
      <c r="M1043">
        <f>IF($G1043="","",IF($H1043="مرجوعی فروش",-1,1)*($K1043-$L1043*IFERROR(VLOOKUP("P01",ParamTbl,3,0),1.5)))</f>
        <v/>
      </c>
      <c r="N1043">
        <f>IF($G1043="",0,IF($H1043="مرجوعی فروش",-1,1)*IF(Sync!$AC1039="",0,Sync!$AC1039))</f>
        <v/>
      </c>
      <c r="O1043">
        <f>IF(OR($G1043="",Sync!$V1039=""),"",Sync!$V1039)</f>
        <v/>
      </c>
      <c r="P1043">
        <f>IF(OR($G1043="",Sync!$AD1039=""),"",Sync!$AD1039)</f>
        <v/>
      </c>
      <c r="Q1043">
        <f>IF($G1043="","",IF(Sync!$U1039="","0000",IF(AND(ISNUMBER(Sync!$U1039),Sync!$U1039&gt;=0,Sync!$U1039&lt;1),RIGHT("00"&amp;HOUR(Sync!$U1039),2)&amp;RIGHT("00"&amp;MINUTE(Sync!$U1039),2),IFERROR(RIGHT("00"&amp;VALUE(LEFT(Sync!$U1039,FIND(":",Sync!$U1039)-1)),2)&amp;RIGHT("00"&amp;VALUE(MID(Sync!$U1039,FIND(":",Sync!$U1039)+1,2)),2),"0000"))))</f>
        <v/>
      </c>
    </row>
    <row r="1044">
      <c r="A1044">
        <f>IF(Sync!$T1040="","",Sync!$T1040)</f>
        <v/>
      </c>
      <c r="B1044">
        <f>IF($A1044="","",IF(ISNUMBER($A1044),IF(AND($A1044&gt;=10000101,$A1044&lt;=99991231),INT($A1044/10000),""),IFERROR(VALUE(TRIM(LEFT($A1044,FIND("/",$A1044)-1))),"")))</f>
        <v/>
      </c>
      <c r="C1044">
        <f>IF(OR($A1044="",$B1044=""),"",IF(ISNUMBER($A1044),INT(MOD($A1044,10000)/100),IFERROR(VALUE(TRIM(LEFT(MID($A1044,FIND("/",$A1044)+1,20),FIND("/",MID($A1044,FIND("/",$A1044)+1,20))-1))),"")))</f>
        <v/>
      </c>
      <c r="D1044">
        <f>IF(OR($A1044="",$B1044=""),"",IF(ISNUMBER($A1044),MOD($A1044,100),IFERROR(VALUE(TRIM(MID(MID($A1044,FIND("/",$A1044)+1,20),FIND("/",MID($A1044,FIND("/",$A1044)+1,20))+1,20))),"")))</f>
        <v/>
      </c>
      <c r="E1044">
        <f>IF($A1044="","",IF(OR($B1044="",$C1044="",$D1044="",$B1044&lt;1300,$B1044&gt;1500,$C1044&lt;1,$C1044&gt;12,$D1044&lt;1,$D1044&gt;31),"نامعتبر",RIGHT("0000"&amp;$B1044,4)&amp;"/"&amp;RIGHT("00"&amp;$C1044,2)&amp;"/"&amp;RIGHT("00"&amp;$D1044,2)))</f>
        <v/>
      </c>
      <c r="F1044">
        <f>IF(OR($E1044="",$E1044="نامعتبر"),"",LEFT($E1044,4)&amp;"/"&amp;MID($E1044,6,2))</f>
        <v/>
      </c>
      <c r="G1044">
        <f>IF(OR($E1044="",$E1044="نامعتبر",Sync!$X1040=""),"",IF(AND(LEFT(UPPER(TRIM(Sync!$X1040)),2)="SL",IFERROR(VLOOKUP(Sync!$W1040,OpTbl,3,0),"")="فروش"),UPPER(TRIM(Sync!$X1040)),""))</f>
        <v/>
      </c>
      <c r="H1044">
        <f>IF($G1044="","",IF(Sync!$W1040="","",Sync!$W1040))</f>
        <v/>
      </c>
      <c r="I1044">
        <f>IF(OR($G1044="",Sync!$Y1040=""),"",Sync!$Y1040)</f>
        <v/>
      </c>
      <c r="J1044">
        <f>IF(OR($G1044="",Sync!$Z1040=""),"",Sync!$Z1040)</f>
        <v/>
      </c>
      <c r="K1044">
        <f>IF($G1044="",0,IF(Sync!$AA1040="",0,Sync!$AA1040))</f>
        <v/>
      </c>
      <c r="L1044">
        <f>IF($G1044="",0,IF(Sync!$AB1040="",0,Sync!$AB1040))</f>
        <v/>
      </c>
      <c r="M1044">
        <f>IF($G1044="","",IF($H1044="مرجوعی فروش",-1,1)*($K1044-$L1044*IFERROR(VLOOKUP("P01",ParamTbl,3,0),1.5)))</f>
        <v/>
      </c>
      <c r="N1044">
        <f>IF($G1044="",0,IF($H1044="مرجوعی فروش",-1,1)*IF(Sync!$AC1040="",0,Sync!$AC1040))</f>
        <v/>
      </c>
      <c r="O1044">
        <f>IF(OR($G1044="",Sync!$V1040=""),"",Sync!$V1040)</f>
        <v/>
      </c>
      <c r="P1044">
        <f>IF(OR($G1044="",Sync!$AD1040=""),"",Sync!$AD1040)</f>
        <v/>
      </c>
      <c r="Q1044">
        <f>IF($G1044="","",IF(Sync!$U1040="","0000",IF(AND(ISNUMBER(Sync!$U1040),Sync!$U1040&gt;=0,Sync!$U1040&lt;1),RIGHT("00"&amp;HOUR(Sync!$U1040),2)&amp;RIGHT("00"&amp;MINUTE(Sync!$U1040),2),IFERROR(RIGHT("00"&amp;VALUE(LEFT(Sync!$U1040,FIND(":",Sync!$U1040)-1)),2)&amp;RIGHT("00"&amp;VALUE(MID(Sync!$U1040,FIND(":",Sync!$U1040)+1,2)),2),"0000"))))</f>
        <v/>
      </c>
    </row>
    <row r="1045">
      <c r="A1045">
        <f>IF(Sync!$T1041="","",Sync!$T1041)</f>
        <v/>
      </c>
      <c r="B1045">
        <f>IF($A1045="","",IF(ISNUMBER($A1045),IF(AND($A1045&gt;=10000101,$A1045&lt;=99991231),INT($A1045/10000),""),IFERROR(VALUE(TRIM(LEFT($A1045,FIND("/",$A1045)-1))),"")))</f>
        <v/>
      </c>
      <c r="C1045">
        <f>IF(OR($A1045="",$B1045=""),"",IF(ISNUMBER($A1045),INT(MOD($A1045,10000)/100),IFERROR(VALUE(TRIM(LEFT(MID($A1045,FIND("/",$A1045)+1,20),FIND("/",MID($A1045,FIND("/",$A1045)+1,20))-1))),"")))</f>
        <v/>
      </c>
      <c r="D1045">
        <f>IF(OR($A1045="",$B1045=""),"",IF(ISNUMBER($A1045),MOD($A1045,100),IFERROR(VALUE(TRIM(MID(MID($A1045,FIND("/",$A1045)+1,20),FIND("/",MID($A1045,FIND("/",$A1045)+1,20))+1,20))),"")))</f>
        <v/>
      </c>
      <c r="E1045">
        <f>IF($A1045="","",IF(OR($B1045="",$C1045="",$D1045="",$B1045&lt;1300,$B1045&gt;1500,$C1045&lt;1,$C1045&gt;12,$D1045&lt;1,$D1045&gt;31),"نامعتبر",RIGHT("0000"&amp;$B1045,4)&amp;"/"&amp;RIGHT("00"&amp;$C1045,2)&amp;"/"&amp;RIGHT("00"&amp;$D1045,2)))</f>
        <v/>
      </c>
      <c r="F1045">
        <f>IF(OR($E1045="",$E1045="نامعتبر"),"",LEFT($E1045,4)&amp;"/"&amp;MID($E1045,6,2))</f>
        <v/>
      </c>
      <c r="G1045">
        <f>IF(OR($E1045="",$E1045="نامعتبر",Sync!$X1041=""),"",IF(AND(LEFT(UPPER(TRIM(Sync!$X1041)),2)="SL",IFERROR(VLOOKUP(Sync!$W1041,OpTbl,3,0),"")="فروش"),UPPER(TRIM(Sync!$X1041)),""))</f>
        <v/>
      </c>
      <c r="H1045">
        <f>IF($G1045="","",IF(Sync!$W1041="","",Sync!$W1041))</f>
        <v/>
      </c>
      <c r="I1045">
        <f>IF(OR($G1045="",Sync!$Y1041=""),"",Sync!$Y1041)</f>
        <v/>
      </c>
      <c r="J1045">
        <f>IF(OR($G1045="",Sync!$Z1041=""),"",Sync!$Z1041)</f>
        <v/>
      </c>
      <c r="K1045">
        <f>IF($G1045="",0,IF(Sync!$AA1041="",0,Sync!$AA1041))</f>
        <v/>
      </c>
      <c r="L1045">
        <f>IF($G1045="",0,IF(Sync!$AB1041="",0,Sync!$AB1041))</f>
        <v/>
      </c>
      <c r="M1045">
        <f>IF($G1045="","",IF($H1045="مرجوعی فروش",-1,1)*($K1045-$L1045*IFERROR(VLOOKUP("P01",ParamTbl,3,0),1.5)))</f>
        <v/>
      </c>
      <c r="N1045">
        <f>IF($G1045="",0,IF($H1045="مرجوعی فروش",-1,1)*IF(Sync!$AC1041="",0,Sync!$AC1041))</f>
        <v/>
      </c>
      <c r="O1045">
        <f>IF(OR($G1045="",Sync!$V1041=""),"",Sync!$V1041)</f>
        <v/>
      </c>
      <c r="P1045">
        <f>IF(OR($G1045="",Sync!$AD1041=""),"",Sync!$AD1041)</f>
        <v/>
      </c>
      <c r="Q1045">
        <f>IF($G1045="","",IF(Sync!$U1041="","0000",IF(AND(ISNUMBER(Sync!$U1041),Sync!$U1041&gt;=0,Sync!$U1041&lt;1),RIGHT("00"&amp;HOUR(Sync!$U1041),2)&amp;RIGHT("00"&amp;MINUTE(Sync!$U1041),2),IFERROR(RIGHT("00"&amp;VALUE(LEFT(Sync!$U1041,FIND(":",Sync!$U1041)-1)),2)&amp;RIGHT("00"&amp;VALUE(MID(Sync!$U1041,FIND(":",Sync!$U1041)+1,2)),2),"0000"))))</f>
        <v/>
      </c>
    </row>
    <row r="1046">
      <c r="A1046">
        <f>IF(Sync!$T1042="","",Sync!$T1042)</f>
        <v/>
      </c>
      <c r="B1046">
        <f>IF($A1046="","",IF(ISNUMBER($A1046),IF(AND($A1046&gt;=10000101,$A1046&lt;=99991231),INT($A1046/10000),""),IFERROR(VALUE(TRIM(LEFT($A1046,FIND("/",$A1046)-1))),"")))</f>
        <v/>
      </c>
      <c r="C1046">
        <f>IF(OR($A1046="",$B1046=""),"",IF(ISNUMBER($A1046),INT(MOD($A1046,10000)/100),IFERROR(VALUE(TRIM(LEFT(MID($A1046,FIND("/",$A1046)+1,20),FIND("/",MID($A1046,FIND("/",$A1046)+1,20))-1))),"")))</f>
        <v/>
      </c>
      <c r="D1046">
        <f>IF(OR($A1046="",$B1046=""),"",IF(ISNUMBER($A1046),MOD($A1046,100),IFERROR(VALUE(TRIM(MID(MID($A1046,FIND("/",$A1046)+1,20),FIND("/",MID($A1046,FIND("/",$A1046)+1,20))+1,20))),"")))</f>
        <v/>
      </c>
      <c r="E1046">
        <f>IF($A1046="","",IF(OR($B1046="",$C1046="",$D1046="",$B1046&lt;1300,$B1046&gt;1500,$C1046&lt;1,$C1046&gt;12,$D1046&lt;1,$D1046&gt;31),"نامعتبر",RIGHT("0000"&amp;$B1046,4)&amp;"/"&amp;RIGHT("00"&amp;$C1046,2)&amp;"/"&amp;RIGHT("00"&amp;$D1046,2)))</f>
        <v/>
      </c>
      <c r="F1046">
        <f>IF(OR($E1046="",$E1046="نامعتبر"),"",LEFT($E1046,4)&amp;"/"&amp;MID($E1046,6,2))</f>
        <v/>
      </c>
      <c r="G1046">
        <f>IF(OR($E1046="",$E1046="نامعتبر",Sync!$X1042=""),"",IF(AND(LEFT(UPPER(TRIM(Sync!$X1042)),2)="SL",IFERROR(VLOOKUP(Sync!$W1042,OpTbl,3,0),"")="فروش"),UPPER(TRIM(Sync!$X1042)),""))</f>
        <v/>
      </c>
      <c r="H1046">
        <f>IF($G1046="","",IF(Sync!$W1042="","",Sync!$W1042))</f>
        <v/>
      </c>
      <c r="I1046">
        <f>IF(OR($G1046="",Sync!$Y1042=""),"",Sync!$Y1042)</f>
        <v/>
      </c>
      <c r="J1046">
        <f>IF(OR($G1046="",Sync!$Z1042=""),"",Sync!$Z1042)</f>
        <v/>
      </c>
      <c r="K1046">
        <f>IF($G1046="",0,IF(Sync!$AA1042="",0,Sync!$AA1042))</f>
        <v/>
      </c>
      <c r="L1046">
        <f>IF($G1046="",0,IF(Sync!$AB1042="",0,Sync!$AB1042))</f>
        <v/>
      </c>
      <c r="M1046">
        <f>IF($G1046="","",IF($H1046="مرجوعی فروش",-1,1)*($K1046-$L1046*IFERROR(VLOOKUP("P01",ParamTbl,3,0),1.5)))</f>
        <v/>
      </c>
      <c r="N1046">
        <f>IF($G1046="",0,IF($H1046="مرجوعی فروش",-1,1)*IF(Sync!$AC1042="",0,Sync!$AC1042))</f>
        <v/>
      </c>
      <c r="O1046">
        <f>IF(OR($G1046="",Sync!$V1042=""),"",Sync!$V1042)</f>
        <v/>
      </c>
      <c r="P1046">
        <f>IF(OR($G1046="",Sync!$AD1042=""),"",Sync!$AD1042)</f>
        <v/>
      </c>
      <c r="Q1046">
        <f>IF($G1046="","",IF(Sync!$U1042="","0000",IF(AND(ISNUMBER(Sync!$U1042),Sync!$U1042&gt;=0,Sync!$U1042&lt;1),RIGHT("00"&amp;HOUR(Sync!$U1042),2)&amp;RIGHT("00"&amp;MINUTE(Sync!$U1042),2),IFERROR(RIGHT("00"&amp;VALUE(LEFT(Sync!$U1042,FIND(":",Sync!$U1042)-1)),2)&amp;RIGHT("00"&amp;VALUE(MID(Sync!$U1042,FIND(":",Sync!$U1042)+1,2)),2),"0000"))))</f>
        <v/>
      </c>
    </row>
    <row r="1047">
      <c r="A1047">
        <f>IF(Sync!$T1043="","",Sync!$T1043)</f>
        <v/>
      </c>
      <c r="B1047">
        <f>IF($A1047="","",IF(ISNUMBER($A1047),IF(AND($A1047&gt;=10000101,$A1047&lt;=99991231),INT($A1047/10000),""),IFERROR(VALUE(TRIM(LEFT($A1047,FIND("/",$A1047)-1))),"")))</f>
        <v/>
      </c>
      <c r="C1047">
        <f>IF(OR($A1047="",$B1047=""),"",IF(ISNUMBER($A1047),INT(MOD($A1047,10000)/100),IFERROR(VALUE(TRIM(LEFT(MID($A1047,FIND("/",$A1047)+1,20),FIND("/",MID($A1047,FIND("/",$A1047)+1,20))-1))),"")))</f>
        <v/>
      </c>
      <c r="D1047">
        <f>IF(OR($A1047="",$B1047=""),"",IF(ISNUMBER($A1047),MOD($A1047,100),IFERROR(VALUE(TRIM(MID(MID($A1047,FIND("/",$A1047)+1,20),FIND("/",MID($A1047,FIND("/",$A1047)+1,20))+1,20))),"")))</f>
        <v/>
      </c>
      <c r="E1047">
        <f>IF($A1047="","",IF(OR($B1047="",$C1047="",$D1047="",$B1047&lt;1300,$B1047&gt;1500,$C1047&lt;1,$C1047&gt;12,$D1047&lt;1,$D1047&gt;31),"نامعتبر",RIGHT("0000"&amp;$B1047,4)&amp;"/"&amp;RIGHT("00"&amp;$C1047,2)&amp;"/"&amp;RIGHT("00"&amp;$D1047,2)))</f>
        <v/>
      </c>
      <c r="F1047">
        <f>IF(OR($E1047="",$E1047="نامعتبر"),"",LEFT($E1047,4)&amp;"/"&amp;MID($E1047,6,2))</f>
        <v/>
      </c>
      <c r="G1047">
        <f>IF(OR($E1047="",$E1047="نامعتبر",Sync!$X1043=""),"",IF(AND(LEFT(UPPER(TRIM(Sync!$X1043)),2)="SL",IFERROR(VLOOKUP(Sync!$W1043,OpTbl,3,0),"")="فروش"),UPPER(TRIM(Sync!$X1043)),""))</f>
        <v/>
      </c>
      <c r="H1047">
        <f>IF($G1047="","",IF(Sync!$W1043="","",Sync!$W1043))</f>
        <v/>
      </c>
      <c r="I1047">
        <f>IF(OR($G1047="",Sync!$Y1043=""),"",Sync!$Y1043)</f>
        <v/>
      </c>
      <c r="J1047">
        <f>IF(OR($G1047="",Sync!$Z1043=""),"",Sync!$Z1043)</f>
        <v/>
      </c>
      <c r="K1047">
        <f>IF($G1047="",0,IF(Sync!$AA1043="",0,Sync!$AA1043))</f>
        <v/>
      </c>
      <c r="L1047">
        <f>IF($G1047="",0,IF(Sync!$AB1043="",0,Sync!$AB1043))</f>
        <v/>
      </c>
      <c r="M1047">
        <f>IF($G1047="","",IF($H1047="مرجوعی فروش",-1,1)*($K1047-$L1047*IFERROR(VLOOKUP("P01",ParamTbl,3,0),1.5)))</f>
        <v/>
      </c>
      <c r="N1047">
        <f>IF($G1047="",0,IF($H1047="مرجوعی فروش",-1,1)*IF(Sync!$AC1043="",0,Sync!$AC1043))</f>
        <v/>
      </c>
      <c r="O1047">
        <f>IF(OR($G1047="",Sync!$V1043=""),"",Sync!$V1043)</f>
        <v/>
      </c>
      <c r="P1047">
        <f>IF(OR($G1047="",Sync!$AD1043=""),"",Sync!$AD1043)</f>
        <v/>
      </c>
      <c r="Q1047">
        <f>IF($G1047="","",IF(Sync!$U1043="","0000",IF(AND(ISNUMBER(Sync!$U1043),Sync!$U1043&gt;=0,Sync!$U1043&lt;1),RIGHT("00"&amp;HOUR(Sync!$U1043),2)&amp;RIGHT("00"&amp;MINUTE(Sync!$U1043),2),IFERROR(RIGHT("00"&amp;VALUE(LEFT(Sync!$U1043,FIND(":",Sync!$U1043)-1)),2)&amp;RIGHT("00"&amp;VALUE(MID(Sync!$U1043,FIND(":",Sync!$U1043)+1,2)),2),"0000"))))</f>
        <v/>
      </c>
    </row>
    <row r="1048">
      <c r="A1048">
        <f>IF(Sync!$T1044="","",Sync!$T1044)</f>
        <v/>
      </c>
      <c r="B1048">
        <f>IF($A1048="","",IF(ISNUMBER($A1048),IF(AND($A1048&gt;=10000101,$A1048&lt;=99991231),INT($A1048/10000),""),IFERROR(VALUE(TRIM(LEFT($A1048,FIND("/",$A1048)-1))),"")))</f>
        <v/>
      </c>
      <c r="C1048">
        <f>IF(OR($A1048="",$B1048=""),"",IF(ISNUMBER($A1048),INT(MOD($A1048,10000)/100),IFERROR(VALUE(TRIM(LEFT(MID($A1048,FIND("/",$A1048)+1,20),FIND("/",MID($A1048,FIND("/",$A1048)+1,20))-1))),"")))</f>
        <v/>
      </c>
      <c r="D1048">
        <f>IF(OR($A1048="",$B1048=""),"",IF(ISNUMBER($A1048),MOD($A1048,100),IFERROR(VALUE(TRIM(MID(MID($A1048,FIND("/",$A1048)+1,20),FIND("/",MID($A1048,FIND("/",$A1048)+1,20))+1,20))),"")))</f>
        <v/>
      </c>
      <c r="E1048">
        <f>IF($A1048="","",IF(OR($B1048="",$C1048="",$D1048="",$B1048&lt;1300,$B1048&gt;1500,$C1048&lt;1,$C1048&gt;12,$D1048&lt;1,$D1048&gt;31),"نامعتبر",RIGHT("0000"&amp;$B1048,4)&amp;"/"&amp;RIGHT("00"&amp;$C1048,2)&amp;"/"&amp;RIGHT("00"&amp;$D1048,2)))</f>
        <v/>
      </c>
      <c r="F1048">
        <f>IF(OR($E1048="",$E1048="نامعتبر"),"",LEFT($E1048,4)&amp;"/"&amp;MID($E1048,6,2))</f>
        <v/>
      </c>
      <c r="G1048">
        <f>IF(OR($E1048="",$E1048="نامعتبر",Sync!$X1044=""),"",IF(AND(LEFT(UPPER(TRIM(Sync!$X1044)),2)="SL",IFERROR(VLOOKUP(Sync!$W1044,OpTbl,3,0),"")="فروش"),UPPER(TRIM(Sync!$X1044)),""))</f>
        <v/>
      </c>
      <c r="H1048">
        <f>IF($G1048="","",IF(Sync!$W1044="","",Sync!$W1044))</f>
        <v/>
      </c>
      <c r="I1048">
        <f>IF(OR($G1048="",Sync!$Y1044=""),"",Sync!$Y1044)</f>
        <v/>
      </c>
      <c r="J1048">
        <f>IF(OR($G1048="",Sync!$Z1044=""),"",Sync!$Z1044)</f>
        <v/>
      </c>
      <c r="K1048">
        <f>IF($G1048="",0,IF(Sync!$AA1044="",0,Sync!$AA1044))</f>
        <v/>
      </c>
      <c r="L1048">
        <f>IF($G1048="",0,IF(Sync!$AB1044="",0,Sync!$AB1044))</f>
        <v/>
      </c>
      <c r="M1048">
        <f>IF($G1048="","",IF($H1048="مرجوعی فروش",-1,1)*($K1048-$L1048*IFERROR(VLOOKUP("P01",ParamTbl,3,0),1.5)))</f>
        <v/>
      </c>
      <c r="N1048">
        <f>IF($G1048="",0,IF($H1048="مرجوعی فروش",-1,1)*IF(Sync!$AC1044="",0,Sync!$AC1044))</f>
        <v/>
      </c>
      <c r="O1048">
        <f>IF(OR($G1048="",Sync!$V1044=""),"",Sync!$V1044)</f>
        <v/>
      </c>
      <c r="P1048">
        <f>IF(OR($G1048="",Sync!$AD1044=""),"",Sync!$AD1044)</f>
        <v/>
      </c>
      <c r="Q1048">
        <f>IF($G1048="","",IF(Sync!$U1044="","0000",IF(AND(ISNUMBER(Sync!$U1044),Sync!$U1044&gt;=0,Sync!$U1044&lt;1),RIGHT("00"&amp;HOUR(Sync!$U1044),2)&amp;RIGHT("00"&amp;MINUTE(Sync!$U1044),2),IFERROR(RIGHT("00"&amp;VALUE(LEFT(Sync!$U1044,FIND(":",Sync!$U1044)-1)),2)&amp;RIGHT("00"&amp;VALUE(MID(Sync!$U1044,FIND(":",Sync!$U1044)+1,2)),2),"0000"))))</f>
        <v/>
      </c>
    </row>
    <row r="1049">
      <c r="A1049">
        <f>IF(Sync!$T1045="","",Sync!$T1045)</f>
        <v/>
      </c>
      <c r="B1049">
        <f>IF($A1049="","",IF(ISNUMBER($A1049),IF(AND($A1049&gt;=10000101,$A1049&lt;=99991231),INT($A1049/10000),""),IFERROR(VALUE(TRIM(LEFT($A1049,FIND("/",$A1049)-1))),"")))</f>
        <v/>
      </c>
      <c r="C1049">
        <f>IF(OR($A1049="",$B1049=""),"",IF(ISNUMBER($A1049),INT(MOD($A1049,10000)/100),IFERROR(VALUE(TRIM(LEFT(MID($A1049,FIND("/",$A1049)+1,20),FIND("/",MID($A1049,FIND("/",$A1049)+1,20))-1))),"")))</f>
        <v/>
      </c>
      <c r="D1049">
        <f>IF(OR($A1049="",$B1049=""),"",IF(ISNUMBER($A1049),MOD($A1049,100),IFERROR(VALUE(TRIM(MID(MID($A1049,FIND("/",$A1049)+1,20),FIND("/",MID($A1049,FIND("/",$A1049)+1,20))+1,20))),"")))</f>
        <v/>
      </c>
      <c r="E1049">
        <f>IF($A1049="","",IF(OR($B1049="",$C1049="",$D1049="",$B1049&lt;1300,$B1049&gt;1500,$C1049&lt;1,$C1049&gt;12,$D1049&lt;1,$D1049&gt;31),"نامعتبر",RIGHT("0000"&amp;$B1049,4)&amp;"/"&amp;RIGHT("00"&amp;$C1049,2)&amp;"/"&amp;RIGHT("00"&amp;$D1049,2)))</f>
        <v/>
      </c>
      <c r="F1049">
        <f>IF(OR($E1049="",$E1049="نامعتبر"),"",LEFT($E1049,4)&amp;"/"&amp;MID($E1049,6,2))</f>
        <v/>
      </c>
      <c r="G1049">
        <f>IF(OR($E1049="",$E1049="نامعتبر",Sync!$X1045=""),"",IF(AND(LEFT(UPPER(TRIM(Sync!$X1045)),2)="SL",IFERROR(VLOOKUP(Sync!$W1045,OpTbl,3,0),"")="فروش"),UPPER(TRIM(Sync!$X1045)),""))</f>
        <v/>
      </c>
      <c r="H1049">
        <f>IF($G1049="","",IF(Sync!$W1045="","",Sync!$W1045))</f>
        <v/>
      </c>
      <c r="I1049">
        <f>IF(OR($G1049="",Sync!$Y1045=""),"",Sync!$Y1045)</f>
        <v/>
      </c>
      <c r="J1049">
        <f>IF(OR($G1049="",Sync!$Z1045=""),"",Sync!$Z1045)</f>
        <v/>
      </c>
      <c r="K1049">
        <f>IF($G1049="",0,IF(Sync!$AA1045="",0,Sync!$AA1045))</f>
        <v/>
      </c>
      <c r="L1049">
        <f>IF($G1049="",0,IF(Sync!$AB1045="",0,Sync!$AB1045))</f>
        <v/>
      </c>
      <c r="M1049">
        <f>IF($G1049="","",IF($H1049="مرجوعی فروش",-1,1)*($K1049-$L1049*IFERROR(VLOOKUP("P01",ParamTbl,3,0),1.5)))</f>
        <v/>
      </c>
      <c r="N1049">
        <f>IF($G1049="",0,IF($H1049="مرجوعی فروش",-1,1)*IF(Sync!$AC1045="",0,Sync!$AC1045))</f>
        <v/>
      </c>
      <c r="O1049">
        <f>IF(OR($G1049="",Sync!$V1045=""),"",Sync!$V1045)</f>
        <v/>
      </c>
      <c r="P1049">
        <f>IF(OR($G1049="",Sync!$AD1045=""),"",Sync!$AD1045)</f>
        <v/>
      </c>
      <c r="Q1049">
        <f>IF($G1049="","",IF(Sync!$U1045="","0000",IF(AND(ISNUMBER(Sync!$U1045),Sync!$U1045&gt;=0,Sync!$U1045&lt;1),RIGHT("00"&amp;HOUR(Sync!$U1045),2)&amp;RIGHT("00"&amp;MINUTE(Sync!$U1045),2),IFERROR(RIGHT("00"&amp;VALUE(LEFT(Sync!$U1045,FIND(":",Sync!$U1045)-1)),2)&amp;RIGHT("00"&amp;VALUE(MID(Sync!$U1045,FIND(":",Sync!$U1045)+1,2)),2),"0000"))))</f>
        <v/>
      </c>
    </row>
    <row r="1050">
      <c r="A1050">
        <f>IF(Sync!$T1046="","",Sync!$T1046)</f>
        <v/>
      </c>
      <c r="B1050">
        <f>IF($A1050="","",IF(ISNUMBER($A1050),IF(AND($A1050&gt;=10000101,$A1050&lt;=99991231),INT($A1050/10000),""),IFERROR(VALUE(TRIM(LEFT($A1050,FIND("/",$A1050)-1))),"")))</f>
        <v/>
      </c>
      <c r="C1050">
        <f>IF(OR($A1050="",$B1050=""),"",IF(ISNUMBER($A1050),INT(MOD($A1050,10000)/100),IFERROR(VALUE(TRIM(LEFT(MID($A1050,FIND("/",$A1050)+1,20),FIND("/",MID($A1050,FIND("/",$A1050)+1,20))-1))),"")))</f>
        <v/>
      </c>
      <c r="D1050">
        <f>IF(OR($A1050="",$B1050=""),"",IF(ISNUMBER($A1050),MOD($A1050,100),IFERROR(VALUE(TRIM(MID(MID($A1050,FIND("/",$A1050)+1,20),FIND("/",MID($A1050,FIND("/",$A1050)+1,20))+1,20))),"")))</f>
        <v/>
      </c>
      <c r="E1050">
        <f>IF($A1050="","",IF(OR($B1050="",$C1050="",$D1050="",$B1050&lt;1300,$B1050&gt;1500,$C1050&lt;1,$C1050&gt;12,$D1050&lt;1,$D1050&gt;31),"نامعتبر",RIGHT("0000"&amp;$B1050,4)&amp;"/"&amp;RIGHT("00"&amp;$C1050,2)&amp;"/"&amp;RIGHT("00"&amp;$D1050,2)))</f>
        <v/>
      </c>
      <c r="F1050">
        <f>IF(OR($E1050="",$E1050="نامعتبر"),"",LEFT($E1050,4)&amp;"/"&amp;MID($E1050,6,2))</f>
        <v/>
      </c>
      <c r="G1050">
        <f>IF(OR($E1050="",$E1050="نامعتبر",Sync!$X1046=""),"",IF(AND(LEFT(UPPER(TRIM(Sync!$X1046)),2)="SL",IFERROR(VLOOKUP(Sync!$W1046,OpTbl,3,0),"")="فروش"),UPPER(TRIM(Sync!$X1046)),""))</f>
        <v/>
      </c>
      <c r="H1050">
        <f>IF($G1050="","",IF(Sync!$W1046="","",Sync!$W1046))</f>
        <v/>
      </c>
      <c r="I1050">
        <f>IF(OR($G1050="",Sync!$Y1046=""),"",Sync!$Y1046)</f>
        <v/>
      </c>
      <c r="J1050">
        <f>IF(OR($G1050="",Sync!$Z1046=""),"",Sync!$Z1046)</f>
        <v/>
      </c>
      <c r="K1050">
        <f>IF($G1050="",0,IF(Sync!$AA1046="",0,Sync!$AA1046))</f>
        <v/>
      </c>
      <c r="L1050">
        <f>IF($G1050="",0,IF(Sync!$AB1046="",0,Sync!$AB1046))</f>
        <v/>
      </c>
      <c r="M1050">
        <f>IF($G1050="","",IF($H1050="مرجوعی فروش",-1,1)*($K1050-$L1050*IFERROR(VLOOKUP("P01",ParamTbl,3,0),1.5)))</f>
        <v/>
      </c>
      <c r="N1050">
        <f>IF($G1050="",0,IF($H1050="مرجوعی فروش",-1,1)*IF(Sync!$AC1046="",0,Sync!$AC1046))</f>
        <v/>
      </c>
      <c r="O1050">
        <f>IF(OR($G1050="",Sync!$V1046=""),"",Sync!$V1046)</f>
        <v/>
      </c>
      <c r="P1050">
        <f>IF(OR($G1050="",Sync!$AD1046=""),"",Sync!$AD1046)</f>
        <v/>
      </c>
      <c r="Q1050">
        <f>IF($G1050="","",IF(Sync!$U1046="","0000",IF(AND(ISNUMBER(Sync!$U1046),Sync!$U1046&gt;=0,Sync!$U1046&lt;1),RIGHT("00"&amp;HOUR(Sync!$U1046),2)&amp;RIGHT("00"&amp;MINUTE(Sync!$U1046),2),IFERROR(RIGHT("00"&amp;VALUE(LEFT(Sync!$U1046,FIND(":",Sync!$U1046)-1)),2)&amp;RIGHT("00"&amp;VALUE(MID(Sync!$U1046,FIND(":",Sync!$U1046)+1,2)),2),"0000"))))</f>
        <v/>
      </c>
    </row>
    <row r="1051">
      <c r="A1051">
        <f>IF(Sync!$T1047="","",Sync!$T1047)</f>
        <v/>
      </c>
      <c r="B1051">
        <f>IF($A1051="","",IF(ISNUMBER($A1051),IF(AND($A1051&gt;=10000101,$A1051&lt;=99991231),INT($A1051/10000),""),IFERROR(VALUE(TRIM(LEFT($A1051,FIND("/",$A1051)-1))),"")))</f>
        <v/>
      </c>
      <c r="C1051">
        <f>IF(OR($A1051="",$B1051=""),"",IF(ISNUMBER($A1051),INT(MOD($A1051,10000)/100),IFERROR(VALUE(TRIM(LEFT(MID($A1051,FIND("/",$A1051)+1,20),FIND("/",MID($A1051,FIND("/",$A1051)+1,20))-1))),"")))</f>
        <v/>
      </c>
      <c r="D1051">
        <f>IF(OR($A1051="",$B1051=""),"",IF(ISNUMBER($A1051),MOD($A1051,100),IFERROR(VALUE(TRIM(MID(MID($A1051,FIND("/",$A1051)+1,20),FIND("/",MID($A1051,FIND("/",$A1051)+1,20))+1,20))),"")))</f>
        <v/>
      </c>
      <c r="E1051">
        <f>IF($A1051="","",IF(OR($B1051="",$C1051="",$D1051="",$B1051&lt;1300,$B1051&gt;1500,$C1051&lt;1,$C1051&gt;12,$D1051&lt;1,$D1051&gt;31),"نامعتبر",RIGHT("0000"&amp;$B1051,4)&amp;"/"&amp;RIGHT("00"&amp;$C1051,2)&amp;"/"&amp;RIGHT("00"&amp;$D1051,2)))</f>
        <v/>
      </c>
      <c r="F1051">
        <f>IF(OR($E1051="",$E1051="نامعتبر"),"",LEFT($E1051,4)&amp;"/"&amp;MID($E1051,6,2))</f>
        <v/>
      </c>
      <c r="G1051">
        <f>IF(OR($E1051="",$E1051="نامعتبر",Sync!$X1047=""),"",IF(AND(LEFT(UPPER(TRIM(Sync!$X1047)),2)="SL",IFERROR(VLOOKUP(Sync!$W1047,OpTbl,3,0),"")="فروش"),UPPER(TRIM(Sync!$X1047)),""))</f>
        <v/>
      </c>
      <c r="H1051">
        <f>IF($G1051="","",IF(Sync!$W1047="","",Sync!$W1047))</f>
        <v/>
      </c>
      <c r="I1051">
        <f>IF(OR($G1051="",Sync!$Y1047=""),"",Sync!$Y1047)</f>
        <v/>
      </c>
      <c r="J1051">
        <f>IF(OR($G1051="",Sync!$Z1047=""),"",Sync!$Z1047)</f>
        <v/>
      </c>
      <c r="K1051">
        <f>IF($G1051="",0,IF(Sync!$AA1047="",0,Sync!$AA1047))</f>
        <v/>
      </c>
      <c r="L1051">
        <f>IF($G1051="",0,IF(Sync!$AB1047="",0,Sync!$AB1047))</f>
        <v/>
      </c>
      <c r="M1051">
        <f>IF($G1051="","",IF($H1051="مرجوعی فروش",-1,1)*($K1051-$L1051*IFERROR(VLOOKUP("P01",ParamTbl,3,0),1.5)))</f>
        <v/>
      </c>
      <c r="N1051">
        <f>IF($G1051="",0,IF($H1051="مرجوعی فروش",-1,1)*IF(Sync!$AC1047="",0,Sync!$AC1047))</f>
        <v/>
      </c>
      <c r="O1051">
        <f>IF(OR($G1051="",Sync!$V1047=""),"",Sync!$V1047)</f>
        <v/>
      </c>
      <c r="P1051">
        <f>IF(OR($G1051="",Sync!$AD1047=""),"",Sync!$AD1047)</f>
        <v/>
      </c>
      <c r="Q1051">
        <f>IF($G1051="","",IF(Sync!$U1047="","0000",IF(AND(ISNUMBER(Sync!$U1047),Sync!$U1047&gt;=0,Sync!$U1047&lt;1),RIGHT("00"&amp;HOUR(Sync!$U1047),2)&amp;RIGHT("00"&amp;MINUTE(Sync!$U1047),2),IFERROR(RIGHT("00"&amp;VALUE(LEFT(Sync!$U1047,FIND(":",Sync!$U1047)-1)),2)&amp;RIGHT("00"&amp;VALUE(MID(Sync!$U1047,FIND(":",Sync!$U1047)+1,2)),2),"0000"))))</f>
        <v/>
      </c>
    </row>
    <row r="1052">
      <c r="A1052">
        <f>IF(Sync!$T1048="","",Sync!$T1048)</f>
        <v/>
      </c>
      <c r="B1052">
        <f>IF($A1052="","",IF(ISNUMBER($A1052),IF(AND($A1052&gt;=10000101,$A1052&lt;=99991231),INT($A1052/10000),""),IFERROR(VALUE(TRIM(LEFT($A1052,FIND("/",$A1052)-1))),"")))</f>
        <v/>
      </c>
      <c r="C1052">
        <f>IF(OR($A1052="",$B1052=""),"",IF(ISNUMBER($A1052),INT(MOD($A1052,10000)/100),IFERROR(VALUE(TRIM(LEFT(MID($A1052,FIND("/",$A1052)+1,20),FIND("/",MID($A1052,FIND("/",$A1052)+1,20))-1))),"")))</f>
        <v/>
      </c>
      <c r="D1052">
        <f>IF(OR($A1052="",$B1052=""),"",IF(ISNUMBER($A1052),MOD($A1052,100),IFERROR(VALUE(TRIM(MID(MID($A1052,FIND("/",$A1052)+1,20),FIND("/",MID($A1052,FIND("/",$A1052)+1,20))+1,20))),"")))</f>
        <v/>
      </c>
      <c r="E1052">
        <f>IF($A1052="","",IF(OR($B1052="",$C1052="",$D1052="",$B1052&lt;1300,$B1052&gt;1500,$C1052&lt;1,$C1052&gt;12,$D1052&lt;1,$D1052&gt;31),"نامعتبر",RIGHT("0000"&amp;$B1052,4)&amp;"/"&amp;RIGHT("00"&amp;$C1052,2)&amp;"/"&amp;RIGHT("00"&amp;$D1052,2)))</f>
        <v/>
      </c>
      <c r="F1052">
        <f>IF(OR($E1052="",$E1052="نامعتبر"),"",LEFT($E1052,4)&amp;"/"&amp;MID($E1052,6,2))</f>
        <v/>
      </c>
      <c r="G1052">
        <f>IF(OR($E1052="",$E1052="نامعتبر",Sync!$X1048=""),"",IF(AND(LEFT(UPPER(TRIM(Sync!$X1048)),2)="SL",IFERROR(VLOOKUP(Sync!$W1048,OpTbl,3,0),"")="فروش"),UPPER(TRIM(Sync!$X1048)),""))</f>
        <v/>
      </c>
      <c r="H1052">
        <f>IF($G1052="","",IF(Sync!$W1048="","",Sync!$W1048))</f>
        <v/>
      </c>
      <c r="I1052">
        <f>IF(OR($G1052="",Sync!$Y1048=""),"",Sync!$Y1048)</f>
        <v/>
      </c>
      <c r="J1052">
        <f>IF(OR($G1052="",Sync!$Z1048=""),"",Sync!$Z1048)</f>
        <v/>
      </c>
      <c r="K1052">
        <f>IF($G1052="",0,IF(Sync!$AA1048="",0,Sync!$AA1048))</f>
        <v/>
      </c>
      <c r="L1052">
        <f>IF($G1052="",0,IF(Sync!$AB1048="",0,Sync!$AB1048))</f>
        <v/>
      </c>
      <c r="M1052">
        <f>IF($G1052="","",IF($H1052="مرجوعی فروش",-1,1)*($K1052-$L1052*IFERROR(VLOOKUP("P01",ParamTbl,3,0),1.5)))</f>
        <v/>
      </c>
      <c r="N1052">
        <f>IF($G1052="",0,IF($H1052="مرجوعی فروش",-1,1)*IF(Sync!$AC1048="",0,Sync!$AC1048))</f>
        <v/>
      </c>
      <c r="O1052">
        <f>IF(OR($G1052="",Sync!$V1048=""),"",Sync!$V1048)</f>
        <v/>
      </c>
      <c r="P1052">
        <f>IF(OR($G1052="",Sync!$AD1048=""),"",Sync!$AD1048)</f>
        <v/>
      </c>
      <c r="Q1052">
        <f>IF($G1052="","",IF(Sync!$U1048="","0000",IF(AND(ISNUMBER(Sync!$U1048),Sync!$U1048&gt;=0,Sync!$U1048&lt;1),RIGHT("00"&amp;HOUR(Sync!$U1048),2)&amp;RIGHT("00"&amp;MINUTE(Sync!$U1048),2),IFERROR(RIGHT("00"&amp;VALUE(LEFT(Sync!$U1048,FIND(":",Sync!$U1048)-1)),2)&amp;RIGHT("00"&amp;VALUE(MID(Sync!$U1048,FIND(":",Sync!$U1048)+1,2)),2),"0000"))))</f>
        <v/>
      </c>
    </row>
    <row r="1053">
      <c r="A1053">
        <f>IF(Sync!$T1049="","",Sync!$T1049)</f>
        <v/>
      </c>
      <c r="B1053">
        <f>IF($A1053="","",IF(ISNUMBER($A1053),IF(AND($A1053&gt;=10000101,$A1053&lt;=99991231),INT($A1053/10000),""),IFERROR(VALUE(TRIM(LEFT($A1053,FIND("/",$A1053)-1))),"")))</f>
        <v/>
      </c>
      <c r="C1053">
        <f>IF(OR($A1053="",$B1053=""),"",IF(ISNUMBER($A1053),INT(MOD($A1053,10000)/100),IFERROR(VALUE(TRIM(LEFT(MID($A1053,FIND("/",$A1053)+1,20),FIND("/",MID($A1053,FIND("/",$A1053)+1,20))-1))),"")))</f>
        <v/>
      </c>
      <c r="D1053">
        <f>IF(OR($A1053="",$B1053=""),"",IF(ISNUMBER($A1053),MOD($A1053,100),IFERROR(VALUE(TRIM(MID(MID($A1053,FIND("/",$A1053)+1,20),FIND("/",MID($A1053,FIND("/",$A1053)+1,20))+1,20))),"")))</f>
        <v/>
      </c>
      <c r="E1053">
        <f>IF($A1053="","",IF(OR($B1053="",$C1053="",$D1053="",$B1053&lt;1300,$B1053&gt;1500,$C1053&lt;1,$C1053&gt;12,$D1053&lt;1,$D1053&gt;31),"نامعتبر",RIGHT("0000"&amp;$B1053,4)&amp;"/"&amp;RIGHT("00"&amp;$C1053,2)&amp;"/"&amp;RIGHT("00"&amp;$D1053,2)))</f>
        <v/>
      </c>
      <c r="F1053">
        <f>IF(OR($E1053="",$E1053="نامعتبر"),"",LEFT($E1053,4)&amp;"/"&amp;MID($E1053,6,2))</f>
        <v/>
      </c>
      <c r="G1053">
        <f>IF(OR($E1053="",$E1053="نامعتبر",Sync!$X1049=""),"",IF(AND(LEFT(UPPER(TRIM(Sync!$X1049)),2)="SL",IFERROR(VLOOKUP(Sync!$W1049,OpTbl,3,0),"")="فروش"),UPPER(TRIM(Sync!$X1049)),""))</f>
        <v/>
      </c>
      <c r="H1053">
        <f>IF($G1053="","",IF(Sync!$W1049="","",Sync!$W1049))</f>
        <v/>
      </c>
      <c r="I1053">
        <f>IF(OR($G1053="",Sync!$Y1049=""),"",Sync!$Y1049)</f>
        <v/>
      </c>
      <c r="J1053">
        <f>IF(OR($G1053="",Sync!$Z1049=""),"",Sync!$Z1049)</f>
        <v/>
      </c>
      <c r="K1053">
        <f>IF($G1053="",0,IF(Sync!$AA1049="",0,Sync!$AA1049))</f>
        <v/>
      </c>
      <c r="L1053">
        <f>IF($G1053="",0,IF(Sync!$AB1049="",0,Sync!$AB1049))</f>
        <v/>
      </c>
      <c r="M1053">
        <f>IF($G1053="","",IF($H1053="مرجوعی فروش",-1,1)*($K1053-$L1053*IFERROR(VLOOKUP("P01",ParamTbl,3,0),1.5)))</f>
        <v/>
      </c>
      <c r="N1053">
        <f>IF($G1053="",0,IF($H1053="مرجوعی فروش",-1,1)*IF(Sync!$AC1049="",0,Sync!$AC1049))</f>
        <v/>
      </c>
      <c r="O1053">
        <f>IF(OR($G1053="",Sync!$V1049=""),"",Sync!$V1049)</f>
        <v/>
      </c>
      <c r="P1053">
        <f>IF(OR($G1053="",Sync!$AD1049=""),"",Sync!$AD1049)</f>
        <v/>
      </c>
      <c r="Q1053">
        <f>IF($G1053="","",IF(Sync!$U1049="","0000",IF(AND(ISNUMBER(Sync!$U1049),Sync!$U1049&gt;=0,Sync!$U1049&lt;1),RIGHT("00"&amp;HOUR(Sync!$U1049),2)&amp;RIGHT("00"&amp;MINUTE(Sync!$U1049),2),IFERROR(RIGHT("00"&amp;VALUE(LEFT(Sync!$U1049,FIND(":",Sync!$U1049)-1)),2)&amp;RIGHT("00"&amp;VALUE(MID(Sync!$U1049,FIND(":",Sync!$U1049)+1,2)),2),"0000"))))</f>
        <v/>
      </c>
    </row>
    <row r="1054">
      <c r="A1054">
        <f>IF(Sync!$T1050="","",Sync!$T1050)</f>
        <v/>
      </c>
      <c r="B1054">
        <f>IF($A1054="","",IF(ISNUMBER($A1054),IF(AND($A1054&gt;=10000101,$A1054&lt;=99991231),INT($A1054/10000),""),IFERROR(VALUE(TRIM(LEFT($A1054,FIND("/",$A1054)-1))),"")))</f>
        <v/>
      </c>
      <c r="C1054">
        <f>IF(OR($A1054="",$B1054=""),"",IF(ISNUMBER($A1054),INT(MOD($A1054,10000)/100),IFERROR(VALUE(TRIM(LEFT(MID($A1054,FIND("/",$A1054)+1,20),FIND("/",MID($A1054,FIND("/",$A1054)+1,20))-1))),"")))</f>
        <v/>
      </c>
      <c r="D1054">
        <f>IF(OR($A1054="",$B1054=""),"",IF(ISNUMBER($A1054),MOD($A1054,100),IFERROR(VALUE(TRIM(MID(MID($A1054,FIND("/",$A1054)+1,20),FIND("/",MID($A1054,FIND("/",$A1054)+1,20))+1,20))),"")))</f>
        <v/>
      </c>
      <c r="E1054">
        <f>IF($A1054="","",IF(OR($B1054="",$C1054="",$D1054="",$B1054&lt;1300,$B1054&gt;1500,$C1054&lt;1,$C1054&gt;12,$D1054&lt;1,$D1054&gt;31),"نامعتبر",RIGHT("0000"&amp;$B1054,4)&amp;"/"&amp;RIGHT("00"&amp;$C1054,2)&amp;"/"&amp;RIGHT("00"&amp;$D1054,2)))</f>
        <v/>
      </c>
      <c r="F1054">
        <f>IF(OR($E1054="",$E1054="نامعتبر"),"",LEFT($E1054,4)&amp;"/"&amp;MID($E1054,6,2))</f>
        <v/>
      </c>
      <c r="G1054">
        <f>IF(OR($E1054="",$E1054="نامعتبر",Sync!$X1050=""),"",IF(AND(LEFT(UPPER(TRIM(Sync!$X1050)),2)="SL",IFERROR(VLOOKUP(Sync!$W1050,OpTbl,3,0),"")="فروش"),UPPER(TRIM(Sync!$X1050)),""))</f>
        <v/>
      </c>
      <c r="H1054">
        <f>IF($G1054="","",IF(Sync!$W1050="","",Sync!$W1050))</f>
        <v/>
      </c>
      <c r="I1054">
        <f>IF(OR($G1054="",Sync!$Y1050=""),"",Sync!$Y1050)</f>
        <v/>
      </c>
      <c r="J1054">
        <f>IF(OR($G1054="",Sync!$Z1050=""),"",Sync!$Z1050)</f>
        <v/>
      </c>
      <c r="K1054">
        <f>IF($G1054="",0,IF(Sync!$AA1050="",0,Sync!$AA1050))</f>
        <v/>
      </c>
      <c r="L1054">
        <f>IF($G1054="",0,IF(Sync!$AB1050="",0,Sync!$AB1050))</f>
        <v/>
      </c>
      <c r="M1054">
        <f>IF($G1054="","",IF($H1054="مرجوعی فروش",-1,1)*($K1054-$L1054*IFERROR(VLOOKUP("P01",ParamTbl,3,0),1.5)))</f>
        <v/>
      </c>
      <c r="N1054">
        <f>IF($G1054="",0,IF($H1054="مرجوعی فروش",-1,1)*IF(Sync!$AC1050="",0,Sync!$AC1050))</f>
        <v/>
      </c>
      <c r="O1054">
        <f>IF(OR($G1054="",Sync!$V1050=""),"",Sync!$V1050)</f>
        <v/>
      </c>
      <c r="P1054">
        <f>IF(OR($G1054="",Sync!$AD1050=""),"",Sync!$AD1050)</f>
        <v/>
      </c>
      <c r="Q1054">
        <f>IF($G1054="","",IF(Sync!$U1050="","0000",IF(AND(ISNUMBER(Sync!$U1050),Sync!$U1050&gt;=0,Sync!$U1050&lt;1),RIGHT("00"&amp;HOUR(Sync!$U1050),2)&amp;RIGHT("00"&amp;MINUTE(Sync!$U1050),2),IFERROR(RIGHT("00"&amp;VALUE(LEFT(Sync!$U1050,FIND(":",Sync!$U1050)-1)),2)&amp;RIGHT("00"&amp;VALUE(MID(Sync!$U1050,FIND(":",Sync!$U1050)+1,2)),2),"0000"))))</f>
        <v/>
      </c>
    </row>
    <row r="1055">
      <c r="A1055">
        <f>IF(Sync!$T1051="","",Sync!$T1051)</f>
        <v/>
      </c>
      <c r="B1055">
        <f>IF($A1055="","",IF(ISNUMBER($A1055),IF(AND($A1055&gt;=10000101,$A1055&lt;=99991231),INT($A1055/10000),""),IFERROR(VALUE(TRIM(LEFT($A1055,FIND("/",$A1055)-1))),"")))</f>
        <v/>
      </c>
      <c r="C1055">
        <f>IF(OR($A1055="",$B1055=""),"",IF(ISNUMBER($A1055),INT(MOD($A1055,10000)/100),IFERROR(VALUE(TRIM(LEFT(MID($A1055,FIND("/",$A1055)+1,20),FIND("/",MID($A1055,FIND("/",$A1055)+1,20))-1))),"")))</f>
        <v/>
      </c>
      <c r="D1055">
        <f>IF(OR($A1055="",$B1055=""),"",IF(ISNUMBER($A1055),MOD($A1055,100),IFERROR(VALUE(TRIM(MID(MID($A1055,FIND("/",$A1055)+1,20),FIND("/",MID($A1055,FIND("/",$A1055)+1,20))+1,20))),"")))</f>
        <v/>
      </c>
      <c r="E1055">
        <f>IF($A1055="","",IF(OR($B1055="",$C1055="",$D1055="",$B1055&lt;1300,$B1055&gt;1500,$C1055&lt;1,$C1055&gt;12,$D1055&lt;1,$D1055&gt;31),"نامعتبر",RIGHT("0000"&amp;$B1055,4)&amp;"/"&amp;RIGHT("00"&amp;$C1055,2)&amp;"/"&amp;RIGHT("00"&amp;$D1055,2)))</f>
        <v/>
      </c>
      <c r="F1055">
        <f>IF(OR($E1055="",$E1055="نامعتبر"),"",LEFT($E1055,4)&amp;"/"&amp;MID($E1055,6,2))</f>
        <v/>
      </c>
      <c r="G1055">
        <f>IF(OR($E1055="",$E1055="نامعتبر",Sync!$X1051=""),"",IF(AND(LEFT(UPPER(TRIM(Sync!$X1051)),2)="SL",IFERROR(VLOOKUP(Sync!$W1051,OpTbl,3,0),"")="فروش"),UPPER(TRIM(Sync!$X1051)),""))</f>
        <v/>
      </c>
      <c r="H1055">
        <f>IF($G1055="","",IF(Sync!$W1051="","",Sync!$W1051))</f>
        <v/>
      </c>
      <c r="I1055">
        <f>IF(OR($G1055="",Sync!$Y1051=""),"",Sync!$Y1051)</f>
        <v/>
      </c>
      <c r="J1055">
        <f>IF(OR($G1055="",Sync!$Z1051=""),"",Sync!$Z1051)</f>
        <v/>
      </c>
      <c r="K1055">
        <f>IF($G1055="",0,IF(Sync!$AA1051="",0,Sync!$AA1051))</f>
        <v/>
      </c>
      <c r="L1055">
        <f>IF($G1055="",0,IF(Sync!$AB1051="",0,Sync!$AB1051))</f>
        <v/>
      </c>
      <c r="M1055">
        <f>IF($G1055="","",IF($H1055="مرجوعی فروش",-1,1)*($K1055-$L1055*IFERROR(VLOOKUP("P01",ParamTbl,3,0),1.5)))</f>
        <v/>
      </c>
      <c r="N1055">
        <f>IF($G1055="",0,IF($H1055="مرجوعی فروش",-1,1)*IF(Sync!$AC1051="",0,Sync!$AC1051))</f>
        <v/>
      </c>
      <c r="O1055">
        <f>IF(OR($G1055="",Sync!$V1051=""),"",Sync!$V1051)</f>
        <v/>
      </c>
      <c r="P1055">
        <f>IF(OR($G1055="",Sync!$AD1051=""),"",Sync!$AD1051)</f>
        <v/>
      </c>
      <c r="Q1055">
        <f>IF($G1055="","",IF(Sync!$U1051="","0000",IF(AND(ISNUMBER(Sync!$U1051),Sync!$U1051&gt;=0,Sync!$U1051&lt;1),RIGHT("00"&amp;HOUR(Sync!$U1051),2)&amp;RIGHT("00"&amp;MINUTE(Sync!$U1051),2),IFERROR(RIGHT("00"&amp;VALUE(LEFT(Sync!$U1051,FIND(":",Sync!$U1051)-1)),2)&amp;RIGHT("00"&amp;VALUE(MID(Sync!$U1051,FIND(":",Sync!$U1051)+1,2)),2),"0000"))))</f>
        <v/>
      </c>
    </row>
    <row r="1056">
      <c r="A1056">
        <f>IF(Sync!$T1052="","",Sync!$T1052)</f>
        <v/>
      </c>
      <c r="B1056">
        <f>IF($A1056="","",IF(ISNUMBER($A1056),IF(AND($A1056&gt;=10000101,$A1056&lt;=99991231),INT($A1056/10000),""),IFERROR(VALUE(TRIM(LEFT($A1056,FIND("/",$A1056)-1))),"")))</f>
        <v/>
      </c>
      <c r="C1056">
        <f>IF(OR($A1056="",$B1056=""),"",IF(ISNUMBER($A1056),INT(MOD($A1056,10000)/100),IFERROR(VALUE(TRIM(LEFT(MID($A1056,FIND("/",$A1056)+1,20),FIND("/",MID($A1056,FIND("/",$A1056)+1,20))-1))),"")))</f>
        <v/>
      </c>
      <c r="D1056">
        <f>IF(OR($A1056="",$B1056=""),"",IF(ISNUMBER($A1056),MOD($A1056,100),IFERROR(VALUE(TRIM(MID(MID($A1056,FIND("/",$A1056)+1,20),FIND("/",MID($A1056,FIND("/",$A1056)+1,20))+1,20))),"")))</f>
        <v/>
      </c>
      <c r="E1056">
        <f>IF($A1056="","",IF(OR($B1056="",$C1056="",$D1056="",$B1056&lt;1300,$B1056&gt;1500,$C1056&lt;1,$C1056&gt;12,$D1056&lt;1,$D1056&gt;31),"نامعتبر",RIGHT("0000"&amp;$B1056,4)&amp;"/"&amp;RIGHT("00"&amp;$C1056,2)&amp;"/"&amp;RIGHT("00"&amp;$D1056,2)))</f>
        <v/>
      </c>
      <c r="F1056">
        <f>IF(OR($E1056="",$E1056="نامعتبر"),"",LEFT($E1056,4)&amp;"/"&amp;MID($E1056,6,2))</f>
        <v/>
      </c>
      <c r="G1056">
        <f>IF(OR($E1056="",$E1056="نامعتبر",Sync!$X1052=""),"",IF(AND(LEFT(UPPER(TRIM(Sync!$X1052)),2)="SL",IFERROR(VLOOKUP(Sync!$W1052,OpTbl,3,0),"")="فروش"),UPPER(TRIM(Sync!$X1052)),""))</f>
        <v/>
      </c>
      <c r="H1056">
        <f>IF($G1056="","",IF(Sync!$W1052="","",Sync!$W1052))</f>
        <v/>
      </c>
      <c r="I1056">
        <f>IF(OR($G1056="",Sync!$Y1052=""),"",Sync!$Y1052)</f>
        <v/>
      </c>
      <c r="J1056">
        <f>IF(OR($G1056="",Sync!$Z1052=""),"",Sync!$Z1052)</f>
        <v/>
      </c>
      <c r="K1056">
        <f>IF($G1056="",0,IF(Sync!$AA1052="",0,Sync!$AA1052))</f>
        <v/>
      </c>
      <c r="L1056">
        <f>IF($G1056="",0,IF(Sync!$AB1052="",0,Sync!$AB1052))</f>
        <v/>
      </c>
      <c r="M1056">
        <f>IF($G1056="","",IF($H1056="مرجوعی فروش",-1,1)*($K1056-$L1056*IFERROR(VLOOKUP("P01",ParamTbl,3,0),1.5)))</f>
        <v/>
      </c>
      <c r="N1056">
        <f>IF($G1056="",0,IF($H1056="مرجوعی فروش",-1,1)*IF(Sync!$AC1052="",0,Sync!$AC1052))</f>
        <v/>
      </c>
      <c r="O1056">
        <f>IF(OR($G1056="",Sync!$V1052=""),"",Sync!$V1052)</f>
        <v/>
      </c>
      <c r="P1056">
        <f>IF(OR($G1056="",Sync!$AD1052=""),"",Sync!$AD1052)</f>
        <v/>
      </c>
      <c r="Q1056">
        <f>IF($G1056="","",IF(Sync!$U1052="","0000",IF(AND(ISNUMBER(Sync!$U1052),Sync!$U1052&gt;=0,Sync!$U1052&lt;1),RIGHT("00"&amp;HOUR(Sync!$U1052),2)&amp;RIGHT("00"&amp;MINUTE(Sync!$U1052),2),IFERROR(RIGHT("00"&amp;VALUE(LEFT(Sync!$U1052,FIND(":",Sync!$U1052)-1)),2)&amp;RIGHT("00"&amp;VALUE(MID(Sync!$U1052,FIND(":",Sync!$U1052)+1,2)),2),"0000"))))</f>
        <v/>
      </c>
    </row>
    <row r="1057">
      <c r="A1057">
        <f>IF(Sync!$T1053="","",Sync!$T1053)</f>
        <v/>
      </c>
      <c r="B1057">
        <f>IF($A1057="","",IF(ISNUMBER($A1057),IF(AND($A1057&gt;=10000101,$A1057&lt;=99991231),INT($A1057/10000),""),IFERROR(VALUE(TRIM(LEFT($A1057,FIND("/",$A1057)-1))),"")))</f>
        <v/>
      </c>
      <c r="C1057">
        <f>IF(OR($A1057="",$B1057=""),"",IF(ISNUMBER($A1057),INT(MOD($A1057,10000)/100),IFERROR(VALUE(TRIM(LEFT(MID($A1057,FIND("/",$A1057)+1,20),FIND("/",MID($A1057,FIND("/",$A1057)+1,20))-1))),"")))</f>
        <v/>
      </c>
      <c r="D1057">
        <f>IF(OR($A1057="",$B1057=""),"",IF(ISNUMBER($A1057),MOD($A1057,100),IFERROR(VALUE(TRIM(MID(MID($A1057,FIND("/",$A1057)+1,20),FIND("/",MID($A1057,FIND("/",$A1057)+1,20))+1,20))),"")))</f>
        <v/>
      </c>
      <c r="E1057">
        <f>IF($A1057="","",IF(OR($B1057="",$C1057="",$D1057="",$B1057&lt;1300,$B1057&gt;1500,$C1057&lt;1,$C1057&gt;12,$D1057&lt;1,$D1057&gt;31),"نامعتبر",RIGHT("0000"&amp;$B1057,4)&amp;"/"&amp;RIGHT("00"&amp;$C1057,2)&amp;"/"&amp;RIGHT("00"&amp;$D1057,2)))</f>
        <v/>
      </c>
      <c r="F1057">
        <f>IF(OR($E1057="",$E1057="نامعتبر"),"",LEFT($E1057,4)&amp;"/"&amp;MID($E1057,6,2))</f>
        <v/>
      </c>
      <c r="G1057">
        <f>IF(OR($E1057="",$E1057="نامعتبر",Sync!$X1053=""),"",IF(AND(LEFT(UPPER(TRIM(Sync!$X1053)),2)="SL",IFERROR(VLOOKUP(Sync!$W1053,OpTbl,3,0),"")="فروش"),UPPER(TRIM(Sync!$X1053)),""))</f>
        <v/>
      </c>
      <c r="H1057">
        <f>IF($G1057="","",IF(Sync!$W1053="","",Sync!$W1053))</f>
        <v/>
      </c>
      <c r="I1057">
        <f>IF(OR($G1057="",Sync!$Y1053=""),"",Sync!$Y1053)</f>
        <v/>
      </c>
      <c r="J1057">
        <f>IF(OR($G1057="",Sync!$Z1053=""),"",Sync!$Z1053)</f>
        <v/>
      </c>
      <c r="K1057">
        <f>IF($G1057="",0,IF(Sync!$AA1053="",0,Sync!$AA1053))</f>
        <v/>
      </c>
      <c r="L1057">
        <f>IF($G1057="",0,IF(Sync!$AB1053="",0,Sync!$AB1053))</f>
        <v/>
      </c>
      <c r="M1057">
        <f>IF($G1057="","",IF($H1057="مرجوعی فروش",-1,1)*($K1057-$L1057*IFERROR(VLOOKUP("P01",ParamTbl,3,0),1.5)))</f>
        <v/>
      </c>
      <c r="N1057">
        <f>IF($G1057="",0,IF($H1057="مرجوعی فروش",-1,1)*IF(Sync!$AC1053="",0,Sync!$AC1053))</f>
        <v/>
      </c>
      <c r="O1057">
        <f>IF(OR($G1057="",Sync!$V1053=""),"",Sync!$V1053)</f>
        <v/>
      </c>
      <c r="P1057">
        <f>IF(OR($G1057="",Sync!$AD1053=""),"",Sync!$AD1053)</f>
        <v/>
      </c>
      <c r="Q1057">
        <f>IF($G1057="","",IF(Sync!$U1053="","0000",IF(AND(ISNUMBER(Sync!$U1053),Sync!$U1053&gt;=0,Sync!$U1053&lt;1),RIGHT("00"&amp;HOUR(Sync!$U1053),2)&amp;RIGHT("00"&amp;MINUTE(Sync!$U1053),2),IFERROR(RIGHT("00"&amp;VALUE(LEFT(Sync!$U1053,FIND(":",Sync!$U1053)-1)),2)&amp;RIGHT("00"&amp;VALUE(MID(Sync!$U1053,FIND(":",Sync!$U1053)+1,2)),2),"0000"))))</f>
        <v/>
      </c>
    </row>
    <row r="1058">
      <c r="A1058">
        <f>IF(Sync!$T1054="","",Sync!$T1054)</f>
        <v/>
      </c>
      <c r="B1058">
        <f>IF($A1058="","",IF(ISNUMBER($A1058),IF(AND($A1058&gt;=10000101,$A1058&lt;=99991231),INT($A1058/10000),""),IFERROR(VALUE(TRIM(LEFT($A1058,FIND("/",$A1058)-1))),"")))</f>
        <v/>
      </c>
      <c r="C1058">
        <f>IF(OR($A1058="",$B1058=""),"",IF(ISNUMBER($A1058),INT(MOD($A1058,10000)/100),IFERROR(VALUE(TRIM(LEFT(MID($A1058,FIND("/",$A1058)+1,20),FIND("/",MID($A1058,FIND("/",$A1058)+1,20))-1))),"")))</f>
        <v/>
      </c>
      <c r="D1058">
        <f>IF(OR($A1058="",$B1058=""),"",IF(ISNUMBER($A1058),MOD($A1058,100),IFERROR(VALUE(TRIM(MID(MID($A1058,FIND("/",$A1058)+1,20),FIND("/",MID($A1058,FIND("/",$A1058)+1,20))+1,20))),"")))</f>
        <v/>
      </c>
      <c r="E1058">
        <f>IF($A1058="","",IF(OR($B1058="",$C1058="",$D1058="",$B1058&lt;1300,$B1058&gt;1500,$C1058&lt;1,$C1058&gt;12,$D1058&lt;1,$D1058&gt;31),"نامعتبر",RIGHT("0000"&amp;$B1058,4)&amp;"/"&amp;RIGHT("00"&amp;$C1058,2)&amp;"/"&amp;RIGHT("00"&amp;$D1058,2)))</f>
        <v/>
      </c>
      <c r="F1058">
        <f>IF(OR($E1058="",$E1058="نامعتبر"),"",LEFT($E1058,4)&amp;"/"&amp;MID($E1058,6,2))</f>
        <v/>
      </c>
      <c r="G1058">
        <f>IF(OR($E1058="",$E1058="نامعتبر",Sync!$X1054=""),"",IF(AND(LEFT(UPPER(TRIM(Sync!$X1054)),2)="SL",IFERROR(VLOOKUP(Sync!$W1054,OpTbl,3,0),"")="فروش"),UPPER(TRIM(Sync!$X1054)),""))</f>
        <v/>
      </c>
      <c r="H1058">
        <f>IF($G1058="","",IF(Sync!$W1054="","",Sync!$W1054))</f>
        <v/>
      </c>
      <c r="I1058">
        <f>IF(OR($G1058="",Sync!$Y1054=""),"",Sync!$Y1054)</f>
        <v/>
      </c>
      <c r="J1058">
        <f>IF(OR($G1058="",Sync!$Z1054=""),"",Sync!$Z1054)</f>
        <v/>
      </c>
      <c r="K1058">
        <f>IF($G1058="",0,IF(Sync!$AA1054="",0,Sync!$AA1054))</f>
        <v/>
      </c>
      <c r="L1058">
        <f>IF($G1058="",0,IF(Sync!$AB1054="",0,Sync!$AB1054))</f>
        <v/>
      </c>
      <c r="M1058">
        <f>IF($G1058="","",IF($H1058="مرجوعی فروش",-1,1)*($K1058-$L1058*IFERROR(VLOOKUP("P01",ParamTbl,3,0),1.5)))</f>
        <v/>
      </c>
      <c r="N1058">
        <f>IF($G1058="",0,IF($H1058="مرجوعی فروش",-1,1)*IF(Sync!$AC1054="",0,Sync!$AC1054))</f>
        <v/>
      </c>
      <c r="O1058">
        <f>IF(OR($G1058="",Sync!$V1054=""),"",Sync!$V1054)</f>
        <v/>
      </c>
      <c r="P1058">
        <f>IF(OR($G1058="",Sync!$AD1054=""),"",Sync!$AD1054)</f>
        <v/>
      </c>
      <c r="Q1058">
        <f>IF($G1058="","",IF(Sync!$U1054="","0000",IF(AND(ISNUMBER(Sync!$U1054),Sync!$U1054&gt;=0,Sync!$U1054&lt;1),RIGHT("00"&amp;HOUR(Sync!$U1054),2)&amp;RIGHT("00"&amp;MINUTE(Sync!$U1054),2),IFERROR(RIGHT("00"&amp;VALUE(LEFT(Sync!$U1054,FIND(":",Sync!$U1054)-1)),2)&amp;RIGHT("00"&amp;VALUE(MID(Sync!$U1054,FIND(":",Sync!$U1054)+1,2)),2),"0000"))))</f>
        <v/>
      </c>
    </row>
    <row r="1059">
      <c r="A1059">
        <f>IF(Sync!$T1055="","",Sync!$T1055)</f>
        <v/>
      </c>
      <c r="B1059">
        <f>IF($A1059="","",IF(ISNUMBER($A1059),IF(AND($A1059&gt;=10000101,$A1059&lt;=99991231),INT($A1059/10000),""),IFERROR(VALUE(TRIM(LEFT($A1059,FIND("/",$A1059)-1))),"")))</f>
        <v/>
      </c>
      <c r="C1059">
        <f>IF(OR($A1059="",$B1059=""),"",IF(ISNUMBER($A1059),INT(MOD($A1059,10000)/100),IFERROR(VALUE(TRIM(LEFT(MID($A1059,FIND("/",$A1059)+1,20),FIND("/",MID($A1059,FIND("/",$A1059)+1,20))-1))),"")))</f>
        <v/>
      </c>
      <c r="D1059">
        <f>IF(OR($A1059="",$B1059=""),"",IF(ISNUMBER($A1059),MOD($A1059,100),IFERROR(VALUE(TRIM(MID(MID($A1059,FIND("/",$A1059)+1,20),FIND("/",MID($A1059,FIND("/",$A1059)+1,20))+1,20))),"")))</f>
        <v/>
      </c>
      <c r="E1059">
        <f>IF($A1059="","",IF(OR($B1059="",$C1059="",$D1059="",$B1059&lt;1300,$B1059&gt;1500,$C1059&lt;1,$C1059&gt;12,$D1059&lt;1,$D1059&gt;31),"نامعتبر",RIGHT("0000"&amp;$B1059,4)&amp;"/"&amp;RIGHT("00"&amp;$C1059,2)&amp;"/"&amp;RIGHT("00"&amp;$D1059,2)))</f>
        <v/>
      </c>
      <c r="F1059">
        <f>IF(OR($E1059="",$E1059="نامعتبر"),"",LEFT($E1059,4)&amp;"/"&amp;MID($E1059,6,2))</f>
        <v/>
      </c>
      <c r="G1059">
        <f>IF(OR($E1059="",$E1059="نامعتبر",Sync!$X1055=""),"",IF(AND(LEFT(UPPER(TRIM(Sync!$X1055)),2)="SL",IFERROR(VLOOKUP(Sync!$W1055,OpTbl,3,0),"")="فروش"),UPPER(TRIM(Sync!$X1055)),""))</f>
        <v/>
      </c>
      <c r="H1059">
        <f>IF($G1059="","",IF(Sync!$W1055="","",Sync!$W1055))</f>
        <v/>
      </c>
      <c r="I1059">
        <f>IF(OR($G1059="",Sync!$Y1055=""),"",Sync!$Y1055)</f>
        <v/>
      </c>
      <c r="J1059">
        <f>IF(OR($G1059="",Sync!$Z1055=""),"",Sync!$Z1055)</f>
        <v/>
      </c>
      <c r="K1059">
        <f>IF($G1059="",0,IF(Sync!$AA1055="",0,Sync!$AA1055))</f>
        <v/>
      </c>
      <c r="L1059">
        <f>IF($G1059="",0,IF(Sync!$AB1055="",0,Sync!$AB1055))</f>
        <v/>
      </c>
      <c r="M1059">
        <f>IF($G1059="","",IF($H1059="مرجوعی فروش",-1,1)*($K1059-$L1059*IFERROR(VLOOKUP("P01",ParamTbl,3,0),1.5)))</f>
        <v/>
      </c>
      <c r="N1059">
        <f>IF($G1059="",0,IF($H1059="مرجوعی فروش",-1,1)*IF(Sync!$AC1055="",0,Sync!$AC1055))</f>
        <v/>
      </c>
      <c r="O1059">
        <f>IF(OR($G1059="",Sync!$V1055=""),"",Sync!$V1055)</f>
        <v/>
      </c>
      <c r="P1059">
        <f>IF(OR($G1059="",Sync!$AD1055=""),"",Sync!$AD1055)</f>
        <v/>
      </c>
      <c r="Q1059">
        <f>IF($G1059="","",IF(Sync!$U1055="","0000",IF(AND(ISNUMBER(Sync!$U1055),Sync!$U1055&gt;=0,Sync!$U1055&lt;1),RIGHT("00"&amp;HOUR(Sync!$U1055),2)&amp;RIGHT("00"&amp;MINUTE(Sync!$U1055),2),IFERROR(RIGHT("00"&amp;VALUE(LEFT(Sync!$U1055,FIND(":",Sync!$U1055)-1)),2)&amp;RIGHT("00"&amp;VALUE(MID(Sync!$U1055,FIND(":",Sync!$U1055)+1,2)),2),"0000"))))</f>
        <v/>
      </c>
    </row>
    <row r="1060">
      <c r="A1060">
        <f>IF(Sync!$T1056="","",Sync!$T1056)</f>
        <v/>
      </c>
      <c r="B1060">
        <f>IF($A1060="","",IF(ISNUMBER($A1060),IF(AND($A1060&gt;=10000101,$A1060&lt;=99991231),INT($A1060/10000),""),IFERROR(VALUE(TRIM(LEFT($A1060,FIND("/",$A1060)-1))),"")))</f>
        <v/>
      </c>
      <c r="C1060">
        <f>IF(OR($A1060="",$B1060=""),"",IF(ISNUMBER($A1060),INT(MOD($A1060,10000)/100),IFERROR(VALUE(TRIM(LEFT(MID($A1060,FIND("/",$A1060)+1,20),FIND("/",MID($A1060,FIND("/",$A1060)+1,20))-1))),"")))</f>
        <v/>
      </c>
      <c r="D1060">
        <f>IF(OR($A1060="",$B1060=""),"",IF(ISNUMBER($A1060),MOD($A1060,100),IFERROR(VALUE(TRIM(MID(MID($A1060,FIND("/",$A1060)+1,20),FIND("/",MID($A1060,FIND("/",$A1060)+1,20))+1,20))),"")))</f>
        <v/>
      </c>
      <c r="E1060">
        <f>IF($A1060="","",IF(OR($B1060="",$C1060="",$D1060="",$B1060&lt;1300,$B1060&gt;1500,$C1060&lt;1,$C1060&gt;12,$D1060&lt;1,$D1060&gt;31),"نامعتبر",RIGHT("0000"&amp;$B1060,4)&amp;"/"&amp;RIGHT("00"&amp;$C1060,2)&amp;"/"&amp;RIGHT("00"&amp;$D1060,2)))</f>
        <v/>
      </c>
      <c r="F1060">
        <f>IF(OR($E1060="",$E1060="نامعتبر"),"",LEFT($E1060,4)&amp;"/"&amp;MID($E1060,6,2))</f>
        <v/>
      </c>
      <c r="G1060">
        <f>IF(OR($E1060="",$E1060="نامعتبر",Sync!$X1056=""),"",IF(AND(LEFT(UPPER(TRIM(Sync!$X1056)),2)="SL",IFERROR(VLOOKUP(Sync!$W1056,OpTbl,3,0),"")="فروش"),UPPER(TRIM(Sync!$X1056)),""))</f>
        <v/>
      </c>
      <c r="H1060">
        <f>IF($G1060="","",IF(Sync!$W1056="","",Sync!$W1056))</f>
        <v/>
      </c>
      <c r="I1060">
        <f>IF(OR($G1060="",Sync!$Y1056=""),"",Sync!$Y1056)</f>
        <v/>
      </c>
      <c r="J1060">
        <f>IF(OR($G1060="",Sync!$Z1056=""),"",Sync!$Z1056)</f>
        <v/>
      </c>
      <c r="K1060">
        <f>IF($G1060="",0,IF(Sync!$AA1056="",0,Sync!$AA1056))</f>
        <v/>
      </c>
      <c r="L1060">
        <f>IF($G1060="",0,IF(Sync!$AB1056="",0,Sync!$AB1056))</f>
        <v/>
      </c>
      <c r="M1060">
        <f>IF($G1060="","",IF($H1060="مرجوعی فروش",-1,1)*($K1060-$L1060*IFERROR(VLOOKUP("P01",ParamTbl,3,0),1.5)))</f>
        <v/>
      </c>
      <c r="N1060">
        <f>IF($G1060="",0,IF($H1060="مرجوعی فروش",-1,1)*IF(Sync!$AC1056="",0,Sync!$AC1056))</f>
        <v/>
      </c>
      <c r="O1060">
        <f>IF(OR($G1060="",Sync!$V1056=""),"",Sync!$V1056)</f>
        <v/>
      </c>
      <c r="P1060">
        <f>IF(OR($G1060="",Sync!$AD1056=""),"",Sync!$AD1056)</f>
        <v/>
      </c>
      <c r="Q1060">
        <f>IF($G1060="","",IF(Sync!$U1056="","0000",IF(AND(ISNUMBER(Sync!$U1056),Sync!$U1056&gt;=0,Sync!$U1056&lt;1),RIGHT("00"&amp;HOUR(Sync!$U1056),2)&amp;RIGHT("00"&amp;MINUTE(Sync!$U1056),2),IFERROR(RIGHT("00"&amp;VALUE(LEFT(Sync!$U1056,FIND(":",Sync!$U1056)-1)),2)&amp;RIGHT("00"&amp;VALUE(MID(Sync!$U1056,FIND(":",Sync!$U1056)+1,2)),2),"0000"))))</f>
        <v/>
      </c>
    </row>
    <row r="1061">
      <c r="A1061">
        <f>IF(Sync!$T1057="","",Sync!$T1057)</f>
        <v/>
      </c>
      <c r="B1061">
        <f>IF($A1061="","",IF(ISNUMBER($A1061),IF(AND($A1061&gt;=10000101,$A1061&lt;=99991231),INT($A1061/10000),""),IFERROR(VALUE(TRIM(LEFT($A1061,FIND("/",$A1061)-1))),"")))</f>
        <v/>
      </c>
      <c r="C1061">
        <f>IF(OR($A1061="",$B1061=""),"",IF(ISNUMBER($A1061),INT(MOD($A1061,10000)/100),IFERROR(VALUE(TRIM(LEFT(MID($A1061,FIND("/",$A1061)+1,20),FIND("/",MID($A1061,FIND("/",$A1061)+1,20))-1))),"")))</f>
        <v/>
      </c>
      <c r="D1061">
        <f>IF(OR($A1061="",$B1061=""),"",IF(ISNUMBER($A1061),MOD($A1061,100),IFERROR(VALUE(TRIM(MID(MID($A1061,FIND("/",$A1061)+1,20),FIND("/",MID($A1061,FIND("/",$A1061)+1,20))+1,20))),"")))</f>
        <v/>
      </c>
      <c r="E1061">
        <f>IF($A1061="","",IF(OR($B1061="",$C1061="",$D1061="",$B1061&lt;1300,$B1061&gt;1500,$C1061&lt;1,$C1061&gt;12,$D1061&lt;1,$D1061&gt;31),"نامعتبر",RIGHT("0000"&amp;$B1061,4)&amp;"/"&amp;RIGHT("00"&amp;$C1061,2)&amp;"/"&amp;RIGHT("00"&amp;$D1061,2)))</f>
        <v/>
      </c>
      <c r="F1061">
        <f>IF(OR($E1061="",$E1061="نامعتبر"),"",LEFT($E1061,4)&amp;"/"&amp;MID($E1061,6,2))</f>
        <v/>
      </c>
      <c r="G1061">
        <f>IF(OR($E1061="",$E1061="نامعتبر",Sync!$X1057=""),"",IF(AND(LEFT(UPPER(TRIM(Sync!$X1057)),2)="SL",IFERROR(VLOOKUP(Sync!$W1057,OpTbl,3,0),"")="فروش"),UPPER(TRIM(Sync!$X1057)),""))</f>
        <v/>
      </c>
      <c r="H1061">
        <f>IF($G1061="","",IF(Sync!$W1057="","",Sync!$W1057))</f>
        <v/>
      </c>
      <c r="I1061">
        <f>IF(OR($G1061="",Sync!$Y1057=""),"",Sync!$Y1057)</f>
        <v/>
      </c>
      <c r="J1061">
        <f>IF(OR($G1061="",Sync!$Z1057=""),"",Sync!$Z1057)</f>
        <v/>
      </c>
      <c r="K1061">
        <f>IF($G1061="",0,IF(Sync!$AA1057="",0,Sync!$AA1057))</f>
        <v/>
      </c>
      <c r="L1061">
        <f>IF($G1061="",0,IF(Sync!$AB1057="",0,Sync!$AB1057))</f>
        <v/>
      </c>
      <c r="M1061">
        <f>IF($G1061="","",IF($H1061="مرجوعی فروش",-1,1)*($K1061-$L1061*IFERROR(VLOOKUP("P01",ParamTbl,3,0),1.5)))</f>
        <v/>
      </c>
      <c r="N1061">
        <f>IF($G1061="",0,IF($H1061="مرجوعی فروش",-1,1)*IF(Sync!$AC1057="",0,Sync!$AC1057))</f>
        <v/>
      </c>
      <c r="O1061">
        <f>IF(OR($G1061="",Sync!$V1057=""),"",Sync!$V1057)</f>
        <v/>
      </c>
      <c r="P1061">
        <f>IF(OR($G1061="",Sync!$AD1057=""),"",Sync!$AD1057)</f>
        <v/>
      </c>
      <c r="Q1061">
        <f>IF($G1061="","",IF(Sync!$U1057="","0000",IF(AND(ISNUMBER(Sync!$U1057),Sync!$U1057&gt;=0,Sync!$U1057&lt;1),RIGHT("00"&amp;HOUR(Sync!$U1057),2)&amp;RIGHT("00"&amp;MINUTE(Sync!$U1057),2),IFERROR(RIGHT("00"&amp;VALUE(LEFT(Sync!$U1057,FIND(":",Sync!$U1057)-1)),2)&amp;RIGHT("00"&amp;VALUE(MID(Sync!$U1057,FIND(":",Sync!$U1057)+1,2)),2),"0000"))))</f>
        <v/>
      </c>
    </row>
    <row r="1062">
      <c r="A1062">
        <f>IF(Sync!$T1058="","",Sync!$T1058)</f>
        <v/>
      </c>
      <c r="B1062">
        <f>IF($A1062="","",IF(ISNUMBER($A1062),IF(AND($A1062&gt;=10000101,$A1062&lt;=99991231),INT($A1062/10000),""),IFERROR(VALUE(TRIM(LEFT($A1062,FIND("/",$A1062)-1))),"")))</f>
        <v/>
      </c>
      <c r="C1062">
        <f>IF(OR($A1062="",$B1062=""),"",IF(ISNUMBER($A1062),INT(MOD($A1062,10000)/100),IFERROR(VALUE(TRIM(LEFT(MID($A1062,FIND("/",$A1062)+1,20),FIND("/",MID($A1062,FIND("/",$A1062)+1,20))-1))),"")))</f>
        <v/>
      </c>
      <c r="D1062">
        <f>IF(OR($A1062="",$B1062=""),"",IF(ISNUMBER($A1062),MOD($A1062,100),IFERROR(VALUE(TRIM(MID(MID($A1062,FIND("/",$A1062)+1,20),FIND("/",MID($A1062,FIND("/",$A1062)+1,20))+1,20))),"")))</f>
        <v/>
      </c>
      <c r="E1062">
        <f>IF($A1062="","",IF(OR($B1062="",$C1062="",$D1062="",$B1062&lt;1300,$B1062&gt;1500,$C1062&lt;1,$C1062&gt;12,$D1062&lt;1,$D1062&gt;31),"نامعتبر",RIGHT("0000"&amp;$B1062,4)&amp;"/"&amp;RIGHT("00"&amp;$C1062,2)&amp;"/"&amp;RIGHT("00"&amp;$D1062,2)))</f>
        <v/>
      </c>
      <c r="F1062">
        <f>IF(OR($E1062="",$E1062="نامعتبر"),"",LEFT($E1062,4)&amp;"/"&amp;MID($E1062,6,2))</f>
        <v/>
      </c>
      <c r="G1062">
        <f>IF(OR($E1062="",$E1062="نامعتبر",Sync!$X1058=""),"",IF(AND(LEFT(UPPER(TRIM(Sync!$X1058)),2)="SL",IFERROR(VLOOKUP(Sync!$W1058,OpTbl,3,0),"")="فروش"),UPPER(TRIM(Sync!$X1058)),""))</f>
        <v/>
      </c>
      <c r="H1062">
        <f>IF($G1062="","",IF(Sync!$W1058="","",Sync!$W1058))</f>
        <v/>
      </c>
      <c r="I1062">
        <f>IF(OR($G1062="",Sync!$Y1058=""),"",Sync!$Y1058)</f>
        <v/>
      </c>
      <c r="J1062">
        <f>IF(OR($G1062="",Sync!$Z1058=""),"",Sync!$Z1058)</f>
        <v/>
      </c>
      <c r="K1062">
        <f>IF($G1062="",0,IF(Sync!$AA1058="",0,Sync!$AA1058))</f>
        <v/>
      </c>
      <c r="L1062">
        <f>IF($G1062="",0,IF(Sync!$AB1058="",0,Sync!$AB1058))</f>
        <v/>
      </c>
      <c r="M1062">
        <f>IF($G1062="","",IF($H1062="مرجوعی فروش",-1,1)*($K1062-$L1062*IFERROR(VLOOKUP("P01",ParamTbl,3,0),1.5)))</f>
        <v/>
      </c>
      <c r="N1062">
        <f>IF($G1062="",0,IF($H1062="مرجوعی فروش",-1,1)*IF(Sync!$AC1058="",0,Sync!$AC1058))</f>
        <v/>
      </c>
      <c r="O1062">
        <f>IF(OR($G1062="",Sync!$V1058=""),"",Sync!$V1058)</f>
        <v/>
      </c>
      <c r="P1062">
        <f>IF(OR($G1062="",Sync!$AD1058=""),"",Sync!$AD1058)</f>
        <v/>
      </c>
      <c r="Q1062">
        <f>IF($G1062="","",IF(Sync!$U1058="","0000",IF(AND(ISNUMBER(Sync!$U1058),Sync!$U1058&gt;=0,Sync!$U1058&lt;1),RIGHT("00"&amp;HOUR(Sync!$U1058),2)&amp;RIGHT("00"&amp;MINUTE(Sync!$U1058),2),IFERROR(RIGHT("00"&amp;VALUE(LEFT(Sync!$U1058,FIND(":",Sync!$U1058)-1)),2)&amp;RIGHT("00"&amp;VALUE(MID(Sync!$U1058,FIND(":",Sync!$U1058)+1,2)),2),"0000"))))</f>
        <v/>
      </c>
    </row>
    <row r="1063">
      <c r="A1063">
        <f>IF(Sync!$T1059="","",Sync!$T1059)</f>
        <v/>
      </c>
      <c r="B1063">
        <f>IF($A1063="","",IF(ISNUMBER($A1063),IF(AND($A1063&gt;=10000101,$A1063&lt;=99991231),INT($A1063/10000),""),IFERROR(VALUE(TRIM(LEFT($A1063,FIND("/",$A1063)-1))),"")))</f>
        <v/>
      </c>
      <c r="C1063">
        <f>IF(OR($A1063="",$B1063=""),"",IF(ISNUMBER($A1063),INT(MOD($A1063,10000)/100),IFERROR(VALUE(TRIM(LEFT(MID($A1063,FIND("/",$A1063)+1,20),FIND("/",MID($A1063,FIND("/",$A1063)+1,20))-1))),"")))</f>
        <v/>
      </c>
      <c r="D1063">
        <f>IF(OR($A1063="",$B1063=""),"",IF(ISNUMBER($A1063),MOD($A1063,100),IFERROR(VALUE(TRIM(MID(MID($A1063,FIND("/",$A1063)+1,20),FIND("/",MID($A1063,FIND("/",$A1063)+1,20))+1,20))),"")))</f>
        <v/>
      </c>
      <c r="E1063">
        <f>IF($A1063="","",IF(OR($B1063="",$C1063="",$D1063="",$B1063&lt;1300,$B1063&gt;1500,$C1063&lt;1,$C1063&gt;12,$D1063&lt;1,$D1063&gt;31),"نامعتبر",RIGHT("0000"&amp;$B1063,4)&amp;"/"&amp;RIGHT("00"&amp;$C1063,2)&amp;"/"&amp;RIGHT("00"&amp;$D1063,2)))</f>
        <v/>
      </c>
      <c r="F1063">
        <f>IF(OR($E1063="",$E1063="نامعتبر"),"",LEFT($E1063,4)&amp;"/"&amp;MID($E1063,6,2))</f>
        <v/>
      </c>
      <c r="G1063">
        <f>IF(OR($E1063="",$E1063="نامعتبر",Sync!$X1059=""),"",IF(AND(LEFT(UPPER(TRIM(Sync!$X1059)),2)="SL",IFERROR(VLOOKUP(Sync!$W1059,OpTbl,3,0),"")="فروش"),UPPER(TRIM(Sync!$X1059)),""))</f>
        <v/>
      </c>
      <c r="H1063">
        <f>IF($G1063="","",IF(Sync!$W1059="","",Sync!$W1059))</f>
        <v/>
      </c>
      <c r="I1063">
        <f>IF(OR($G1063="",Sync!$Y1059=""),"",Sync!$Y1059)</f>
        <v/>
      </c>
      <c r="J1063">
        <f>IF(OR($G1063="",Sync!$Z1059=""),"",Sync!$Z1059)</f>
        <v/>
      </c>
      <c r="K1063">
        <f>IF($G1063="",0,IF(Sync!$AA1059="",0,Sync!$AA1059))</f>
        <v/>
      </c>
      <c r="L1063">
        <f>IF($G1063="",0,IF(Sync!$AB1059="",0,Sync!$AB1059))</f>
        <v/>
      </c>
      <c r="M1063">
        <f>IF($G1063="","",IF($H1063="مرجوعی فروش",-1,1)*($K1063-$L1063*IFERROR(VLOOKUP("P01",ParamTbl,3,0),1.5)))</f>
        <v/>
      </c>
      <c r="N1063">
        <f>IF($G1063="",0,IF($H1063="مرجوعی فروش",-1,1)*IF(Sync!$AC1059="",0,Sync!$AC1059))</f>
        <v/>
      </c>
      <c r="O1063">
        <f>IF(OR($G1063="",Sync!$V1059=""),"",Sync!$V1059)</f>
        <v/>
      </c>
      <c r="P1063">
        <f>IF(OR($G1063="",Sync!$AD1059=""),"",Sync!$AD1059)</f>
        <v/>
      </c>
      <c r="Q1063">
        <f>IF($G1063="","",IF(Sync!$U1059="","0000",IF(AND(ISNUMBER(Sync!$U1059),Sync!$U1059&gt;=0,Sync!$U1059&lt;1),RIGHT("00"&amp;HOUR(Sync!$U1059),2)&amp;RIGHT("00"&amp;MINUTE(Sync!$U1059),2),IFERROR(RIGHT("00"&amp;VALUE(LEFT(Sync!$U1059,FIND(":",Sync!$U1059)-1)),2)&amp;RIGHT("00"&amp;VALUE(MID(Sync!$U1059,FIND(":",Sync!$U1059)+1,2)),2),"0000"))))</f>
        <v/>
      </c>
    </row>
    <row r="1064">
      <c r="A1064">
        <f>IF(Sync!$T1060="","",Sync!$T1060)</f>
        <v/>
      </c>
      <c r="B1064">
        <f>IF($A1064="","",IF(ISNUMBER($A1064),IF(AND($A1064&gt;=10000101,$A1064&lt;=99991231),INT($A1064/10000),""),IFERROR(VALUE(TRIM(LEFT($A1064,FIND("/",$A1064)-1))),"")))</f>
        <v/>
      </c>
      <c r="C1064">
        <f>IF(OR($A1064="",$B1064=""),"",IF(ISNUMBER($A1064),INT(MOD($A1064,10000)/100),IFERROR(VALUE(TRIM(LEFT(MID($A1064,FIND("/",$A1064)+1,20),FIND("/",MID($A1064,FIND("/",$A1064)+1,20))-1))),"")))</f>
        <v/>
      </c>
      <c r="D1064">
        <f>IF(OR($A1064="",$B1064=""),"",IF(ISNUMBER($A1064),MOD($A1064,100),IFERROR(VALUE(TRIM(MID(MID($A1064,FIND("/",$A1064)+1,20),FIND("/",MID($A1064,FIND("/",$A1064)+1,20))+1,20))),"")))</f>
        <v/>
      </c>
      <c r="E1064">
        <f>IF($A1064="","",IF(OR($B1064="",$C1064="",$D1064="",$B1064&lt;1300,$B1064&gt;1500,$C1064&lt;1,$C1064&gt;12,$D1064&lt;1,$D1064&gt;31),"نامعتبر",RIGHT("0000"&amp;$B1064,4)&amp;"/"&amp;RIGHT("00"&amp;$C1064,2)&amp;"/"&amp;RIGHT("00"&amp;$D1064,2)))</f>
        <v/>
      </c>
      <c r="F1064">
        <f>IF(OR($E1064="",$E1064="نامعتبر"),"",LEFT($E1064,4)&amp;"/"&amp;MID($E1064,6,2))</f>
        <v/>
      </c>
      <c r="G1064">
        <f>IF(OR($E1064="",$E1064="نامعتبر",Sync!$X1060=""),"",IF(AND(LEFT(UPPER(TRIM(Sync!$X1060)),2)="SL",IFERROR(VLOOKUP(Sync!$W1060,OpTbl,3,0),"")="فروش"),UPPER(TRIM(Sync!$X1060)),""))</f>
        <v/>
      </c>
      <c r="H1064">
        <f>IF($G1064="","",IF(Sync!$W1060="","",Sync!$W1060))</f>
        <v/>
      </c>
      <c r="I1064">
        <f>IF(OR($G1064="",Sync!$Y1060=""),"",Sync!$Y1060)</f>
        <v/>
      </c>
      <c r="J1064">
        <f>IF(OR($G1064="",Sync!$Z1060=""),"",Sync!$Z1060)</f>
        <v/>
      </c>
      <c r="K1064">
        <f>IF($G1064="",0,IF(Sync!$AA1060="",0,Sync!$AA1060))</f>
        <v/>
      </c>
      <c r="L1064">
        <f>IF($G1064="",0,IF(Sync!$AB1060="",0,Sync!$AB1060))</f>
        <v/>
      </c>
      <c r="M1064">
        <f>IF($G1064="","",IF($H1064="مرجوعی فروش",-1,1)*($K1064-$L1064*IFERROR(VLOOKUP("P01",ParamTbl,3,0),1.5)))</f>
        <v/>
      </c>
      <c r="N1064">
        <f>IF($G1064="",0,IF($H1064="مرجوعی فروش",-1,1)*IF(Sync!$AC1060="",0,Sync!$AC1060))</f>
        <v/>
      </c>
      <c r="O1064">
        <f>IF(OR($G1064="",Sync!$V1060=""),"",Sync!$V1060)</f>
        <v/>
      </c>
      <c r="P1064">
        <f>IF(OR($G1064="",Sync!$AD1060=""),"",Sync!$AD1060)</f>
        <v/>
      </c>
      <c r="Q1064">
        <f>IF($G1064="","",IF(Sync!$U1060="","0000",IF(AND(ISNUMBER(Sync!$U1060),Sync!$U1060&gt;=0,Sync!$U1060&lt;1),RIGHT("00"&amp;HOUR(Sync!$U1060),2)&amp;RIGHT("00"&amp;MINUTE(Sync!$U1060),2),IFERROR(RIGHT("00"&amp;VALUE(LEFT(Sync!$U1060,FIND(":",Sync!$U1060)-1)),2)&amp;RIGHT("00"&amp;VALUE(MID(Sync!$U1060,FIND(":",Sync!$U1060)+1,2)),2),"0000"))))</f>
        <v/>
      </c>
    </row>
    <row r="1065">
      <c r="A1065">
        <f>IF(Sync!$T1061="","",Sync!$T1061)</f>
        <v/>
      </c>
      <c r="B1065">
        <f>IF($A1065="","",IF(ISNUMBER($A1065),IF(AND($A1065&gt;=10000101,$A1065&lt;=99991231),INT($A1065/10000),""),IFERROR(VALUE(TRIM(LEFT($A1065,FIND("/",$A1065)-1))),"")))</f>
        <v/>
      </c>
      <c r="C1065">
        <f>IF(OR($A1065="",$B1065=""),"",IF(ISNUMBER($A1065),INT(MOD($A1065,10000)/100),IFERROR(VALUE(TRIM(LEFT(MID($A1065,FIND("/",$A1065)+1,20),FIND("/",MID($A1065,FIND("/",$A1065)+1,20))-1))),"")))</f>
        <v/>
      </c>
      <c r="D1065">
        <f>IF(OR($A1065="",$B1065=""),"",IF(ISNUMBER($A1065),MOD($A1065,100),IFERROR(VALUE(TRIM(MID(MID($A1065,FIND("/",$A1065)+1,20),FIND("/",MID($A1065,FIND("/",$A1065)+1,20))+1,20))),"")))</f>
        <v/>
      </c>
      <c r="E1065">
        <f>IF($A1065="","",IF(OR($B1065="",$C1065="",$D1065="",$B1065&lt;1300,$B1065&gt;1500,$C1065&lt;1,$C1065&gt;12,$D1065&lt;1,$D1065&gt;31),"نامعتبر",RIGHT("0000"&amp;$B1065,4)&amp;"/"&amp;RIGHT("00"&amp;$C1065,2)&amp;"/"&amp;RIGHT("00"&amp;$D1065,2)))</f>
        <v/>
      </c>
      <c r="F1065">
        <f>IF(OR($E1065="",$E1065="نامعتبر"),"",LEFT($E1065,4)&amp;"/"&amp;MID($E1065,6,2))</f>
        <v/>
      </c>
      <c r="G1065">
        <f>IF(OR($E1065="",$E1065="نامعتبر",Sync!$X1061=""),"",IF(AND(LEFT(UPPER(TRIM(Sync!$X1061)),2)="SL",IFERROR(VLOOKUP(Sync!$W1061,OpTbl,3,0),"")="فروش"),UPPER(TRIM(Sync!$X1061)),""))</f>
        <v/>
      </c>
      <c r="H1065">
        <f>IF($G1065="","",IF(Sync!$W1061="","",Sync!$W1061))</f>
        <v/>
      </c>
      <c r="I1065">
        <f>IF(OR($G1065="",Sync!$Y1061=""),"",Sync!$Y1061)</f>
        <v/>
      </c>
      <c r="J1065">
        <f>IF(OR($G1065="",Sync!$Z1061=""),"",Sync!$Z1061)</f>
        <v/>
      </c>
      <c r="K1065">
        <f>IF($G1065="",0,IF(Sync!$AA1061="",0,Sync!$AA1061))</f>
        <v/>
      </c>
      <c r="L1065">
        <f>IF($G1065="",0,IF(Sync!$AB1061="",0,Sync!$AB1061))</f>
        <v/>
      </c>
      <c r="M1065">
        <f>IF($G1065="","",IF($H1065="مرجوعی فروش",-1,1)*($K1065-$L1065*IFERROR(VLOOKUP("P01",ParamTbl,3,0),1.5)))</f>
        <v/>
      </c>
      <c r="N1065">
        <f>IF($G1065="",0,IF($H1065="مرجوعی فروش",-1,1)*IF(Sync!$AC1061="",0,Sync!$AC1061))</f>
        <v/>
      </c>
      <c r="O1065">
        <f>IF(OR($G1065="",Sync!$V1061=""),"",Sync!$V1061)</f>
        <v/>
      </c>
      <c r="P1065">
        <f>IF(OR($G1065="",Sync!$AD1061=""),"",Sync!$AD1061)</f>
        <v/>
      </c>
      <c r="Q1065">
        <f>IF($G1065="","",IF(Sync!$U1061="","0000",IF(AND(ISNUMBER(Sync!$U1061),Sync!$U1061&gt;=0,Sync!$U1061&lt;1),RIGHT("00"&amp;HOUR(Sync!$U1061),2)&amp;RIGHT("00"&amp;MINUTE(Sync!$U1061),2),IFERROR(RIGHT("00"&amp;VALUE(LEFT(Sync!$U1061,FIND(":",Sync!$U1061)-1)),2)&amp;RIGHT("00"&amp;VALUE(MID(Sync!$U1061,FIND(":",Sync!$U1061)+1,2)),2),"0000"))))</f>
        <v/>
      </c>
    </row>
    <row r="1066">
      <c r="A1066">
        <f>IF(Sync!$T1062="","",Sync!$T1062)</f>
        <v/>
      </c>
      <c r="B1066">
        <f>IF($A1066="","",IF(ISNUMBER($A1066),IF(AND($A1066&gt;=10000101,$A1066&lt;=99991231),INT($A1066/10000),""),IFERROR(VALUE(TRIM(LEFT($A1066,FIND("/",$A1066)-1))),"")))</f>
        <v/>
      </c>
      <c r="C1066">
        <f>IF(OR($A1066="",$B1066=""),"",IF(ISNUMBER($A1066),INT(MOD($A1066,10000)/100),IFERROR(VALUE(TRIM(LEFT(MID($A1066,FIND("/",$A1066)+1,20),FIND("/",MID($A1066,FIND("/",$A1066)+1,20))-1))),"")))</f>
        <v/>
      </c>
      <c r="D1066">
        <f>IF(OR($A1066="",$B1066=""),"",IF(ISNUMBER($A1066),MOD($A1066,100),IFERROR(VALUE(TRIM(MID(MID($A1066,FIND("/",$A1066)+1,20),FIND("/",MID($A1066,FIND("/",$A1066)+1,20))+1,20))),"")))</f>
        <v/>
      </c>
      <c r="E1066">
        <f>IF($A1066="","",IF(OR($B1066="",$C1066="",$D1066="",$B1066&lt;1300,$B1066&gt;1500,$C1066&lt;1,$C1066&gt;12,$D1066&lt;1,$D1066&gt;31),"نامعتبر",RIGHT("0000"&amp;$B1066,4)&amp;"/"&amp;RIGHT("00"&amp;$C1066,2)&amp;"/"&amp;RIGHT("00"&amp;$D1066,2)))</f>
        <v/>
      </c>
      <c r="F1066">
        <f>IF(OR($E1066="",$E1066="نامعتبر"),"",LEFT($E1066,4)&amp;"/"&amp;MID($E1066,6,2))</f>
        <v/>
      </c>
      <c r="G1066">
        <f>IF(OR($E1066="",$E1066="نامعتبر",Sync!$X1062=""),"",IF(AND(LEFT(UPPER(TRIM(Sync!$X1062)),2)="SL",IFERROR(VLOOKUP(Sync!$W1062,OpTbl,3,0),"")="فروش"),UPPER(TRIM(Sync!$X1062)),""))</f>
        <v/>
      </c>
      <c r="H1066">
        <f>IF($G1066="","",IF(Sync!$W1062="","",Sync!$W1062))</f>
        <v/>
      </c>
      <c r="I1066">
        <f>IF(OR($G1066="",Sync!$Y1062=""),"",Sync!$Y1062)</f>
        <v/>
      </c>
      <c r="J1066">
        <f>IF(OR($G1066="",Sync!$Z1062=""),"",Sync!$Z1062)</f>
        <v/>
      </c>
      <c r="K1066">
        <f>IF($G1066="",0,IF(Sync!$AA1062="",0,Sync!$AA1062))</f>
        <v/>
      </c>
      <c r="L1066">
        <f>IF($G1066="",0,IF(Sync!$AB1062="",0,Sync!$AB1062))</f>
        <v/>
      </c>
      <c r="M1066">
        <f>IF($G1066="","",IF($H1066="مرجوعی فروش",-1,1)*($K1066-$L1066*IFERROR(VLOOKUP("P01",ParamTbl,3,0),1.5)))</f>
        <v/>
      </c>
      <c r="N1066">
        <f>IF($G1066="",0,IF($H1066="مرجوعی فروش",-1,1)*IF(Sync!$AC1062="",0,Sync!$AC1062))</f>
        <v/>
      </c>
      <c r="O1066">
        <f>IF(OR($G1066="",Sync!$V1062=""),"",Sync!$V1062)</f>
        <v/>
      </c>
      <c r="P1066">
        <f>IF(OR($G1066="",Sync!$AD1062=""),"",Sync!$AD1062)</f>
        <v/>
      </c>
      <c r="Q1066">
        <f>IF($G1066="","",IF(Sync!$U1062="","0000",IF(AND(ISNUMBER(Sync!$U1062),Sync!$U1062&gt;=0,Sync!$U1062&lt;1),RIGHT("00"&amp;HOUR(Sync!$U1062),2)&amp;RIGHT("00"&amp;MINUTE(Sync!$U1062),2),IFERROR(RIGHT("00"&amp;VALUE(LEFT(Sync!$U1062,FIND(":",Sync!$U1062)-1)),2)&amp;RIGHT("00"&amp;VALUE(MID(Sync!$U1062,FIND(":",Sync!$U1062)+1,2)),2),"0000"))))</f>
        <v/>
      </c>
    </row>
    <row r="1067">
      <c r="A1067">
        <f>IF(Sync!$T1063="","",Sync!$T1063)</f>
        <v/>
      </c>
      <c r="B1067">
        <f>IF($A1067="","",IF(ISNUMBER($A1067),IF(AND($A1067&gt;=10000101,$A1067&lt;=99991231),INT($A1067/10000),""),IFERROR(VALUE(TRIM(LEFT($A1067,FIND("/",$A1067)-1))),"")))</f>
        <v/>
      </c>
      <c r="C1067">
        <f>IF(OR($A1067="",$B1067=""),"",IF(ISNUMBER($A1067),INT(MOD($A1067,10000)/100),IFERROR(VALUE(TRIM(LEFT(MID($A1067,FIND("/",$A1067)+1,20),FIND("/",MID($A1067,FIND("/",$A1067)+1,20))-1))),"")))</f>
        <v/>
      </c>
      <c r="D1067">
        <f>IF(OR($A1067="",$B1067=""),"",IF(ISNUMBER($A1067),MOD($A1067,100),IFERROR(VALUE(TRIM(MID(MID($A1067,FIND("/",$A1067)+1,20),FIND("/",MID($A1067,FIND("/",$A1067)+1,20))+1,20))),"")))</f>
        <v/>
      </c>
      <c r="E1067">
        <f>IF($A1067="","",IF(OR($B1067="",$C1067="",$D1067="",$B1067&lt;1300,$B1067&gt;1500,$C1067&lt;1,$C1067&gt;12,$D1067&lt;1,$D1067&gt;31),"نامعتبر",RIGHT("0000"&amp;$B1067,4)&amp;"/"&amp;RIGHT("00"&amp;$C1067,2)&amp;"/"&amp;RIGHT("00"&amp;$D1067,2)))</f>
        <v/>
      </c>
      <c r="F1067">
        <f>IF(OR($E1067="",$E1067="نامعتبر"),"",LEFT($E1067,4)&amp;"/"&amp;MID($E1067,6,2))</f>
        <v/>
      </c>
      <c r="G1067">
        <f>IF(OR($E1067="",$E1067="نامعتبر",Sync!$X1063=""),"",IF(AND(LEFT(UPPER(TRIM(Sync!$X1063)),2)="SL",IFERROR(VLOOKUP(Sync!$W1063,OpTbl,3,0),"")="فروش"),UPPER(TRIM(Sync!$X1063)),""))</f>
        <v/>
      </c>
      <c r="H1067">
        <f>IF($G1067="","",IF(Sync!$W1063="","",Sync!$W1063))</f>
        <v/>
      </c>
      <c r="I1067">
        <f>IF(OR($G1067="",Sync!$Y1063=""),"",Sync!$Y1063)</f>
        <v/>
      </c>
      <c r="J1067">
        <f>IF(OR($G1067="",Sync!$Z1063=""),"",Sync!$Z1063)</f>
        <v/>
      </c>
      <c r="K1067">
        <f>IF($G1067="",0,IF(Sync!$AA1063="",0,Sync!$AA1063))</f>
        <v/>
      </c>
      <c r="L1067">
        <f>IF($G1067="",0,IF(Sync!$AB1063="",0,Sync!$AB1063))</f>
        <v/>
      </c>
      <c r="M1067">
        <f>IF($G1067="","",IF($H1067="مرجوعی فروش",-1,1)*($K1067-$L1067*IFERROR(VLOOKUP("P01",ParamTbl,3,0),1.5)))</f>
        <v/>
      </c>
      <c r="N1067">
        <f>IF($G1067="",0,IF($H1067="مرجوعی فروش",-1,1)*IF(Sync!$AC1063="",0,Sync!$AC1063))</f>
        <v/>
      </c>
      <c r="O1067">
        <f>IF(OR($G1067="",Sync!$V1063=""),"",Sync!$V1063)</f>
        <v/>
      </c>
      <c r="P1067">
        <f>IF(OR($G1067="",Sync!$AD1063=""),"",Sync!$AD1063)</f>
        <v/>
      </c>
      <c r="Q1067">
        <f>IF($G1067="","",IF(Sync!$U1063="","0000",IF(AND(ISNUMBER(Sync!$U1063),Sync!$U1063&gt;=0,Sync!$U1063&lt;1),RIGHT("00"&amp;HOUR(Sync!$U1063),2)&amp;RIGHT("00"&amp;MINUTE(Sync!$U1063),2),IFERROR(RIGHT("00"&amp;VALUE(LEFT(Sync!$U1063,FIND(":",Sync!$U1063)-1)),2)&amp;RIGHT("00"&amp;VALUE(MID(Sync!$U1063,FIND(":",Sync!$U1063)+1,2)),2),"0000"))))</f>
        <v/>
      </c>
    </row>
    <row r="1068">
      <c r="A1068">
        <f>IF(Sync!$T1064="","",Sync!$T1064)</f>
        <v/>
      </c>
      <c r="B1068">
        <f>IF($A1068="","",IF(ISNUMBER($A1068),IF(AND($A1068&gt;=10000101,$A1068&lt;=99991231),INT($A1068/10000),""),IFERROR(VALUE(TRIM(LEFT($A1068,FIND("/",$A1068)-1))),"")))</f>
        <v/>
      </c>
      <c r="C1068">
        <f>IF(OR($A1068="",$B1068=""),"",IF(ISNUMBER($A1068),INT(MOD($A1068,10000)/100),IFERROR(VALUE(TRIM(LEFT(MID($A1068,FIND("/",$A1068)+1,20),FIND("/",MID($A1068,FIND("/",$A1068)+1,20))-1))),"")))</f>
        <v/>
      </c>
      <c r="D1068">
        <f>IF(OR($A1068="",$B1068=""),"",IF(ISNUMBER($A1068),MOD($A1068,100),IFERROR(VALUE(TRIM(MID(MID($A1068,FIND("/",$A1068)+1,20),FIND("/",MID($A1068,FIND("/",$A1068)+1,20))+1,20))),"")))</f>
        <v/>
      </c>
      <c r="E1068">
        <f>IF($A1068="","",IF(OR($B1068="",$C1068="",$D1068="",$B1068&lt;1300,$B1068&gt;1500,$C1068&lt;1,$C1068&gt;12,$D1068&lt;1,$D1068&gt;31),"نامعتبر",RIGHT("0000"&amp;$B1068,4)&amp;"/"&amp;RIGHT("00"&amp;$C1068,2)&amp;"/"&amp;RIGHT("00"&amp;$D1068,2)))</f>
        <v/>
      </c>
      <c r="F1068">
        <f>IF(OR($E1068="",$E1068="نامعتبر"),"",LEFT($E1068,4)&amp;"/"&amp;MID($E1068,6,2))</f>
        <v/>
      </c>
      <c r="G1068">
        <f>IF(OR($E1068="",$E1068="نامعتبر",Sync!$X1064=""),"",IF(AND(LEFT(UPPER(TRIM(Sync!$X1064)),2)="SL",IFERROR(VLOOKUP(Sync!$W1064,OpTbl,3,0),"")="فروش"),UPPER(TRIM(Sync!$X1064)),""))</f>
        <v/>
      </c>
      <c r="H1068">
        <f>IF($G1068="","",IF(Sync!$W1064="","",Sync!$W1064))</f>
        <v/>
      </c>
      <c r="I1068">
        <f>IF(OR($G1068="",Sync!$Y1064=""),"",Sync!$Y1064)</f>
        <v/>
      </c>
      <c r="J1068">
        <f>IF(OR($G1068="",Sync!$Z1064=""),"",Sync!$Z1064)</f>
        <v/>
      </c>
      <c r="K1068">
        <f>IF($G1068="",0,IF(Sync!$AA1064="",0,Sync!$AA1064))</f>
        <v/>
      </c>
      <c r="L1068">
        <f>IF($G1068="",0,IF(Sync!$AB1064="",0,Sync!$AB1064))</f>
        <v/>
      </c>
      <c r="M1068">
        <f>IF($G1068="","",IF($H1068="مرجوعی فروش",-1,1)*($K1068-$L1068*IFERROR(VLOOKUP("P01",ParamTbl,3,0),1.5)))</f>
        <v/>
      </c>
      <c r="N1068">
        <f>IF($G1068="",0,IF($H1068="مرجوعی فروش",-1,1)*IF(Sync!$AC1064="",0,Sync!$AC1064))</f>
        <v/>
      </c>
      <c r="O1068">
        <f>IF(OR($G1068="",Sync!$V1064=""),"",Sync!$V1064)</f>
        <v/>
      </c>
      <c r="P1068">
        <f>IF(OR($G1068="",Sync!$AD1064=""),"",Sync!$AD1064)</f>
        <v/>
      </c>
      <c r="Q1068">
        <f>IF($G1068="","",IF(Sync!$U1064="","0000",IF(AND(ISNUMBER(Sync!$U1064),Sync!$U1064&gt;=0,Sync!$U1064&lt;1),RIGHT("00"&amp;HOUR(Sync!$U1064),2)&amp;RIGHT("00"&amp;MINUTE(Sync!$U1064),2),IFERROR(RIGHT("00"&amp;VALUE(LEFT(Sync!$U1064,FIND(":",Sync!$U1064)-1)),2)&amp;RIGHT("00"&amp;VALUE(MID(Sync!$U1064,FIND(":",Sync!$U1064)+1,2)),2),"0000"))))</f>
        <v/>
      </c>
    </row>
    <row r="1069">
      <c r="A1069">
        <f>IF(Sync!$T1065="","",Sync!$T1065)</f>
        <v/>
      </c>
      <c r="B1069">
        <f>IF($A1069="","",IF(ISNUMBER($A1069),IF(AND($A1069&gt;=10000101,$A1069&lt;=99991231),INT($A1069/10000),""),IFERROR(VALUE(TRIM(LEFT($A1069,FIND("/",$A1069)-1))),"")))</f>
        <v/>
      </c>
      <c r="C1069">
        <f>IF(OR($A1069="",$B1069=""),"",IF(ISNUMBER($A1069),INT(MOD($A1069,10000)/100),IFERROR(VALUE(TRIM(LEFT(MID($A1069,FIND("/",$A1069)+1,20),FIND("/",MID($A1069,FIND("/",$A1069)+1,20))-1))),"")))</f>
        <v/>
      </c>
      <c r="D1069">
        <f>IF(OR($A1069="",$B1069=""),"",IF(ISNUMBER($A1069),MOD($A1069,100),IFERROR(VALUE(TRIM(MID(MID($A1069,FIND("/",$A1069)+1,20),FIND("/",MID($A1069,FIND("/",$A1069)+1,20))+1,20))),"")))</f>
        <v/>
      </c>
      <c r="E1069">
        <f>IF($A1069="","",IF(OR($B1069="",$C1069="",$D1069="",$B1069&lt;1300,$B1069&gt;1500,$C1069&lt;1,$C1069&gt;12,$D1069&lt;1,$D1069&gt;31),"نامعتبر",RIGHT("0000"&amp;$B1069,4)&amp;"/"&amp;RIGHT("00"&amp;$C1069,2)&amp;"/"&amp;RIGHT("00"&amp;$D1069,2)))</f>
        <v/>
      </c>
      <c r="F1069">
        <f>IF(OR($E1069="",$E1069="نامعتبر"),"",LEFT($E1069,4)&amp;"/"&amp;MID($E1069,6,2))</f>
        <v/>
      </c>
      <c r="G1069">
        <f>IF(OR($E1069="",$E1069="نامعتبر",Sync!$X1065=""),"",IF(AND(LEFT(UPPER(TRIM(Sync!$X1065)),2)="SL",IFERROR(VLOOKUP(Sync!$W1065,OpTbl,3,0),"")="فروش"),UPPER(TRIM(Sync!$X1065)),""))</f>
        <v/>
      </c>
      <c r="H1069">
        <f>IF($G1069="","",IF(Sync!$W1065="","",Sync!$W1065))</f>
        <v/>
      </c>
      <c r="I1069">
        <f>IF(OR($G1069="",Sync!$Y1065=""),"",Sync!$Y1065)</f>
        <v/>
      </c>
      <c r="J1069">
        <f>IF(OR($G1069="",Sync!$Z1065=""),"",Sync!$Z1065)</f>
        <v/>
      </c>
      <c r="K1069">
        <f>IF($G1069="",0,IF(Sync!$AA1065="",0,Sync!$AA1065))</f>
        <v/>
      </c>
      <c r="L1069">
        <f>IF($G1069="",0,IF(Sync!$AB1065="",0,Sync!$AB1065))</f>
        <v/>
      </c>
      <c r="M1069">
        <f>IF($G1069="","",IF($H1069="مرجوعی فروش",-1,1)*($K1069-$L1069*IFERROR(VLOOKUP("P01",ParamTbl,3,0),1.5)))</f>
        <v/>
      </c>
      <c r="N1069">
        <f>IF($G1069="",0,IF($H1069="مرجوعی فروش",-1,1)*IF(Sync!$AC1065="",0,Sync!$AC1065))</f>
        <v/>
      </c>
      <c r="O1069">
        <f>IF(OR($G1069="",Sync!$V1065=""),"",Sync!$V1065)</f>
        <v/>
      </c>
      <c r="P1069">
        <f>IF(OR($G1069="",Sync!$AD1065=""),"",Sync!$AD1065)</f>
        <v/>
      </c>
      <c r="Q1069">
        <f>IF($G1069="","",IF(Sync!$U1065="","0000",IF(AND(ISNUMBER(Sync!$U1065),Sync!$U1065&gt;=0,Sync!$U1065&lt;1),RIGHT("00"&amp;HOUR(Sync!$U1065),2)&amp;RIGHT("00"&amp;MINUTE(Sync!$U1065),2),IFERROR(RIGHT("00"&amp;VALUE(LEFT(Sync!$U1065,FIND(":",Sync!$U1065)-1)),2)&amp;RIGHT("00"&amp;VALUE(MID(Sync!$U1065,FIND(":",Sync!$U1065)+1,2)),2),"0000"))))</f>
        <v/>
      </c>
    </row>
    <row r="1070">
      <c r="A1070">
        <f>IF(Sync!$T1066="","",Sync!$T1066)</f>
        <v/>
      </c>
      <c r="B1070">
        <f>IF($A1070="","",IF(ISNUMBER($A1070),IF(AND($A1070&gt;=10000101,$A1070&lt;=99991231),INT($A1070/10000),""),IFERROR(VALUE(TRIM(LEFT($A1070,FIND("/",$A1070)-1))),"")))</f>
        <v/>
      </c>
      <c r="C1070">
        <f>IF(OR($A1070="",$B1070=""),"",IF(ISNUMBER($A1070),INT(MOD($A1070,10000)/100),IFERROR(VALUE(TRIM(LEFT(MID($A1070,FIND("/",$A1070)+1,20),FIND("/",MID($A1070,FIND("/",$A1070)+1,20))-1))),"")))</f>
        <v/>
      </c>
      <c r="D1070">
        <f>IF(OR($A1070="",$B1070=""),"",IF(ISNUMBER($A1070),MOD($A1070,100),IFERROR(VALUE(TRIM(MID(MID($A1070,FIND("/",$A1070)+1,20),FIND("/",MID($A1070,FIND("/",$A1070)+1,20))+1,20))),"")))</f>
        <v/>
      </c>
      <c r="E1070">
        <f>IF($A1070="","",IF(OR($B1070="",$C1070="",$D1070="",$B1070&lt;1300,$B1070&gt;1500,$C1070&lt;1,$C1070&gt;12,$D1070&lt;1,$D1070&gt;31),"نامعتبر",RIGHT("0000"&amp;$B1070,4)&amp;"/"&amp;RIGHT("00"&amp;$C1070,2)&amp;"/"&amp;RIGHT("00"&amp;$D1070,2)))</f>
        <v/>
      </c>
      <c r="F1070">
        <f>IF(OR($E1070="",$E1070="نامعتبر"),"",LEFT($E1070,4)&amp;"/"&amp;MID($E1070,6,2))</f>
        <v/>
      </c>
      <c r="G1070">
        <f>IF(OR($E1070="",$E1070="نامعتبر",Sync!$X1066=""),"",IF(AND(LEFT(UPPER(TRIM(Sync!$X1066)),2)="SL",IFERROR(VLOOKUP(Sync!$W1066,OpTbl,3,0),"")="فروش"),UPPER(TRIM(Sync!$X1066)),""))</f>
        <v/>
      </c>
      <c r="H1070">
        <f>IF($G1070="","",IF(Sync!$W1066="","",Sync!$W1066))</f>
        <v/>
      </c>
      <c r="I1070">
        <f>IF(OR($G1070="",Sync!$Y1066=""),"",Sync!$Y1066)</f>
        <v/>
      </c>
      <c r="J1070">
        <f>IF(OR($G1070="",Sync!$Z1066=""),"",Sync!$Z1066)</f>
        <v/>
      </c>
      <c r="K1070">
        <f>IF($G1070="",0,IF(Sync!$AA1066="",0,Sync!$AA1066))</f>
        <v/>
      </c>
      <c r="L1070">
        <f>IF($G1070="",0,IF(Sync!$AB1066="",0,Sync!$AB1066))</f>
        <v/>
      </c>
      <c r="M1070">
        <f>IF($G1070="","",IF($H1070="مرجوعی فروش",-1,1)*($K1070-$L1070*IFERROR(VLOOKUP("P01",ParamTbl,3,0),1.5)))</f>
        <v/>
      </c>
      <c r="N1070">
        <f>IF($G1070="",0,IF($H1070="مرجوعی فروش",-1,1)*IF(Sync!$AC1066="",0,Sync!$AC1066))</f>
        <v/>
      </c>
      <c r="O1070">
        <f>IF(OR($G1070="",Sync!$V1066=""),"",Sync!$V1066)</f>
        <v/>
      </c>
      <c r="P1070">
        <f>IF(OR($G1070="",Sync!$AD1066=""),"",Sync!$AD1066)</f>
        <v/>
      </c>
      <c r="Q1070">
        <f>IF($G1070="","",IF(Sync!$U1066="","0000",IF(AND(ISNUMBER(Sync!$U1066),Sync!$U1066&gt;=0,Sync!$U1066&lt;1),RIGHT("00"&amp;HOUR(Sync!$U1066),2)&amp;RIGHT("00"&amp;MINUTE(Sync!$U1066),2),IFERROR(RIGHT("00"&amp;VALUE(LEFT(Sync!$U1066,FIND(":",Sync!$U1066)-1)),2)&amp;RIGHT("00"&amp;VALUE(MID(Sync!$U1066,FIND(":",Sync!$U1066)+1,2)),2),"0000"))))</f>
        <v/>
      </c>
    </row>
    <row r="1071">
      <c r="A1071">
        <f>IF(Sync!$T1067="","",Sync!$T1067)</f>
        <v/>
      </c>
      <c r="B1071">
        <f>IF($A1071="","",IF(ISNUMBER($A1071),IF(AND($A1071&gt;=10000101,$A1071&lt;=99991231),INT($A1071/10000),""),IFERROR(VALUE(TRIM(LEFT($A1071,FIND("/",$A1071)-1))),"")))</f>
        <v/>
      </c>
      <c r="C1071">
        <f>IF(OR($A1071="",$B1071=""),"",IF(ISNUMBER($A1071),INT(MOD($A1071,10000)/100),IFERROR(VALUE(TRIM(LEFT(MID($A1071,FIND("/",$A1071)+1,20),FIND("/",MID($A1071,FIND("/",$A1071)+1,20))-1))),"")))</f>
        <v/>
      </c>
      <c r="D1071">
        <f>IF(OR($A1071="",$B1071=""),"",IF(ISNUMBER($A1071),MOD($A1071,100),IFERROR(VALUE(TRIM(MID(MID($A1071,FIND("/",$A1071)+1,20),FIND("/",MID($A1071,FIND("/",$A1071)+1,20))+1,20))),"")))</f>
        <v/>
      </c>
      <c r="E1071">
        <f>IF($A1071="","",IF(OR($B1071="",$C1071="",$D1071="",$B1071&lt;1300,$B1071&gt;1500,$C1071&lt;1,$C1071&gt;12,$D1071&lt;1,$D1071&gt;31),"نامعتبر",RIGHT("0000"&amp;$B1071,4)&amp;"/"&amp;RIGHT("00"&amp;$C1071,2)&amp;"/"&amp;RIGHT("00"&amp;$D1071,2)))</f>
        <v/>
      </c>
      <c r="F1071">
        <f>IF(OR($E1071="",$E1071="نامعتبر"),"",LEFT($E1071,4)&amp;"/"&amp;MID($E1071,6,2))</f>
        <v/>
      </c>
      <c r="G1071">
        <f>IF(OR($E1071="",$E1071="نامعتبر",Sync!$X1067=""),"",IF(AND(LEFT(UPPER(TRIM(Sync!$X1067)),2)="SL",IFERROR(VLOOKUP(Sync!$W1067,OpTbl,3,0),"")="فروش"),UPPER(TRIM(Sync!$X1067)),""))</f>
        <v/>
      </c>
      <c r="H1071">
        <f>IF($G1071="","",IF(Sync!$W1067="","",Sync!$W1067))</f>
        <v/>
      </c>
      <c r="I1071">
        <f>IF(OR($G1071="",Sync!$Y1067=""),"",Sync!$Y1067)</f>
        <v/>
      </c>
      <c r="J1071">
        <f>IF(OR($G1071="",Sync!$Z1067=""),"",Sync!$Z1067)</f>
        <v/>
      </c>
      <c r="K1071">
        <f>IF($G1071="",0,IF(Sync!$AA1067="",0,Sync!$AA1067))</f>
        <v/>
      </c>
      <c r="L1071">
        <f>IF($G1071="",0,IF(Sync!$AB1067="",0,Sync!$AB1067))</f>
        <v/>
      </c>
      <c r="M1071">
        <f>IF($G1071="","",IF($H1071="مرجوعی فروش",-1,1)*($K1071-$L1071*IFERROR(VLOOKUP("P01",ParamTbl,3,0),1.5)))</f>
        <v/>
      </c>
      <c r="N1071">
        <f>IF($G1071="",0,IF($H1071="مرجوعی فروش",-1,1)*IF(Sync!$AC1067="",0,Sync!$AC1067))</f>
        <v/>
      </c>
      <c r="O1071">
        <f>IF(OR($G1071="",Sync!$V1067=""),"",Sync!$V1067)</f>
        <v/>
      </c>
      <c r="P1071">
        <f>IF(OR($G1071="",Sync!$AD1067=""),"",Sync!$AD1067)</f>
        <v/>
      </c>
      <c r="Q1071">
        <f>IF($G1071="","",IF(Sync!$U1067="","0000",IF(AND(ISNUMBER(Sync!$U1067),Sync!$U1067&gt;=0,Sync!$U1067&lt;1),RIGHT("00"&amp;HOUR(Sync!$U1067),2)&amp;RIGHT("00"&amp;MINUTE(Sync!$U1067),2),IFERROR(RIGHT("00"&amp;VALUE(LEFT(Sync!$U1067,FIND(":",Sync!$U1067)-1)),2)&amp;RIGHT("00"&amp;VALUE(MID(Sync!$U1067,FIND(":",Sync!$U1067)+1,2)),2),"0000"))))</f>
        <v/>
      </c>
    </row>
    <row r="1072">
      <c r="A1072">
        <f>IF(Sync!$T1068="","",Sync!$T1068)</f>
        <v/>
      </c>
      <c r="B1072">
        <f>IF($A1072="","",IF(ISNUMBER($A1072),IF(AND($A1072&gt;=10000101,$A1072&lt;=99991231),INT($A1072/10000),""),IFERROR(VALUE(TRIM(LEFT($A1072,FIND("/",$A1072)-1))),"")))</f>
        <v/>
      </c>
      <c r="C1072">
        <f>IF(OR($A1072="",$B1072=""),"",IF(ISNUMBER($A1072),INT(MOD($A1072,10000)/100),IFERROR(VALUE(TRIM(LEFT(MID($A1072,FIND("/",$A1072)+1,20),FIND("/",MID($A1072,FIND("/",$A1072)+1,20))-1))),"")))</f>
        <v/>
      </c>
      <c r="D1072">
        <f>IF(OR($A1072="",$B1072=""),"",IF(ISNUMBER($A1072),MOD($A1072,100),IFERROR(VALUE(TRIM(MID(MID($A1072,FIND("/",$A1072)+1,20),FIND("/",MID($A1072,FIND("/",$A1072)+1,20))+1,20))),"")))</f>
        <v/>
      </c>
      <c r="E1072">
        <f>IF($A1072="","",IF(OR($B1072="",$C1072="",$D1072="",$B1072&lt;1300,$B1072&gt;1500,$C1072&lt;1,$C1072&gt;12,$D1072&lt;1,$D1072&gt;31),"نامعتبر",RIGHT("0000"&amp;$B1072,4)&amp;"/"&amp;RIGHT("00"&amp;$C1072,2)&amp;"/"&amp;RIGHT("00"&amp;$D1072,2)))</f>
        <v/>
      </c>
      <c r="F1072">
        <f>IF(OR($E1072="",$E1072="نامعتبر"),"",LEFT($E1072,4)&amp;"/"&amp;MID($E1072,6,2))</f>
        <v/>
      </c>
      <c r="G1072">
        <f>IF(OR($E1072="",$E1072="نامعتبر",Sync!$X1068=""),"",IF(AND(LEFT(UPPER(TRIM(Sync!$X1068)),2)="SL",IFERROR(VLOOKUP(Sync!$W1068,OpTbl,3,0),"")="فروش"),UPPER(TRIM(Sync!$X1068)),""))</f>
        <v/>
      </c>
      <c r="H1072">
        <f>IF($G1072="","",IF(Sync!$W1068="","",Sync!$W1068))</f>
        <v/>
      </c>
      <c r="I1072">
        <f>IF(OR($G1072="",Sync!$Y1068=""),"",Sync!$Y1068)</f>
        <v/>
      </c>
      <c r="J1072">
        <f>IF(OR($G1072="",Sync!$Z1068=""),"",Sync!$Z1068)</f>
        <v/>
      </c>
      <c r="K1072">
        <f>IF($G1072="",0,IF(Sync!$AA1068="",0,Sync!$AA1068))</f>
        <v/>
      </c>
      <c r="L1072">
        <f>IF($G1072="",0,IF(Sync!$AB1068="",0,Sync!$AB1068))</f>
        <v/>
      </c>
      <c r="M1072">
        <f>IF($G1072="","",IF($H1072="مرجوعی فروش",-1,1)*($K1072-$L1072*IFERROR(VLOOKUP("P01",ParamTbl,3,0),1.5)))</f>
        <v/>
      </c>
      <c r="N1072">
        <f>IF($G1072="",0,IF($H1072="مرجوعی فروش",-1,1)*IF(Sync!$AC1068="",0,Sync!$AC1068))</f>
        <v/>
      </c>
      <c r="O1072">
        <f>IF(OR($G1072="",Sync!$V1068=""),"",Sync!$V1068)</f>
        <v/>
      </c>
      <c r="P1072">
        <f>IF(OR($G1072="",Sync!$AD1068=""),"",Sync!$AD1068)</f>
        <v/>
      </c>
      <c r="Q1072">
        <f>IF($G1072="","",IF(Sync!$U1068="","0000",IF(AND(ISNUMBER(Sync!$U1068),Sync!$U1068&gt;=0,Sync!$U1068&lt;1),RIGHT("00"&amp;HOUR(Sync!$U1068),2)&amp;RIGHT("00"&amp;MINUTE(Sync!$U1068),2),IFERROR(RIGHT("00"&amp;VALUE(LEFT(Sync!$U1068,FIND(":",Sync!$U1068)-1)),2)&amp;RIGHT("00"&amp;VALUE(MID(Sync!$U1068,FIND(":",Sync!$U1068)+1,2)),2),"0000"))))</f>
        <v/>
      </c>
    </row>
    <row r="1073">
      <c r="A1073">
        <f>IF(Sync!$T1069="","",Sync!$T1069)</f>
        <v/>
      </c>
      <c r="B1073">
        <f>IF($A1073="","",IF(ISNUMBER($A1073),IF(AND($A1073&gt;=10000101,$A1073&lt;=99991231),INT($A1073/10000),""),IFERROR(VALUE(TRIM(LEFT($A1073,FIND("/",$A1073)-1))),"")))</f>
        <v/>
      </c>
      <c r="C1073">
        <f>IF(OR($A1073="",$B1073=""),"",IF(ISNUMBER($A1073),INT(MOD($A1073,10000)/100),IFERROR(VALUE(TRIM(LEFT(MID($A1073,FIND("/",$A1073)+1,20),FIND("/",MID($A1073,FIND("/",$A1073)+1,20))-1))),"")))</f>
        <v/>
      </c>
      <c r="D1073">
        <f>IF(OR($A1073="",$B1073=""),"",IF(ISNUMBER($A1073),MOD($A1073,100),IFERROR(VALUE(TRIM(MID(MID($A1073,FIND("/",$A1073)+1,20),FIND("/",MID($A1073,FIND("/",$A1073)+1,20))+1,20))),"")))</f>
        <v/>
      </c>
      <c r="E1073">
        <f>IF($A1073="","",IF(OR($B1073="",$C1073="",$D1073="",$B1073&lt;1300,$B1073&gt;1500,$C1073&lt;1,$C1073&gt;12,$D1073&lt;1,$D1073&gt;31),"نامعتبر",RIGHT("0000"&amp;$B1073,4)&amp;"/"&amp;RIGHT("00"&amp;$C1073,2)&amp;"/"&amp;RIGHT("00"&amp;$D1073,2)))</f>
        <v/>
      </c>
      <c r="F1073">
        <f>IF(OR($E1073="",$E1073="نامعتبر"),"",LEFT($E1073,4)&amp;"/"&amp;MID($E1073,6,2))</f>
        <v/>
      </c>
      <c r="G1073">
        <f>IF(OR($E1073="",$E1073="نامعتبر",Sync!$X1069=""),"",IF(AND(LEFT(UPPER(TRIM(Sync!$X1069)),2)="SL",IFERROR(VLOOKUP(Sync!$W1069,OpTbl,3,0),"")="فروش"),UPPER(TRIM(Sync!$X1069)),""))</f>
        <v/>
      </c>
      <c r="H1073">
        <f>IF($G1073="","",IF(Sync!$W1069="","",Sync!$W1069))</f>
        <v/>
      </c>
      <c r="I1073">
        <f>IF(OR($G1073="",Sync!$Y1069=""),"",Sync!$Y1069)</f>
        <v/>
      </c>
      <c r="J1073">
        <f>IF(OR($G1073="",Sync!$Z1069=""),"",Sync!$Z1069)</f>
        <v/>
      </c>
      <c r="K1073">
        <f>IF($G1073="",0,IF(Sync!$AA1069="",0,Sync!$AA1069))</f>
        <v/>
      </c>
      <c r="L1073">
        <f>IF($G1073="",0,IF(Sync!$AB1069="",0,Sync!$AB1069))</f>
        <v/>
      </c>
      <c r="M1073">
        <f>IF($G1073="","",IF($H1073="مرجوعی فروش",-1,1)*($K1073-$L1073*IFERROR(VLOOKUP("P01",ParamTbl,3,0),1.5)))</f>
        <v/>
      </c>
      <c r="N1073">
        <f>IF($G1073="",0,IF($H1073="مرجوعی فروش",-1,1)*IF(Sync!$AC1069="",0,Sync!$AC1069))</f>
        <v/>
      </c>
      <c r="O1073">
        <f>IF(OR($G1073="",Sync!$V1069=""),"",Sync!$V1069)</f>
        <v/>
      </c>
      <c r="P1073">
        <f>IF(OR($G1073="",Sync!$AD1069=""),"",Sync!$AD1069)</f>
        <v/>
      </c>
      <c r="Q1073">
        <f>IF($G1073="","",IF(Sync!$U1069="","0000",IF(AND(ISNUMBER(Sync!$U1069),Sync!$U1069&gt;=0,Sync!$U1069&lt;1),RIGHT("00"&amp;HOUR(Sync!$U1069),2)&amp;RIGHT("00"&amp;MINUTE(Sync!$U1069),2),IFERROR(RIGHT("00"&amp;VALUE(LEFT(Sync!$U1069,FIND(":",Sync!$U1069)-1)),2)&amp;RIGHT("00"&amp;VALUE(MID(Sync!$U1069,FIND(":",Sync!$U1069)+1,2)),2),"0000"))))</f>
        <v/>
      </c>
    </row>
    <row r="1074">
      <c r="A1074">
        <f>IF(Sync!$T1070="","",Sync!$T1070)</f>
        <v/>
      </c>
      <c r="B1074">
        <f>IF($A1074="","",IF(ISNUMBER($A1074),IF(AND($A1074&gt;=10000101,$A1074&lt;=99991231),INT($A1074/10000),""),IFERROR(VALUE(TRIM(LEFT($A1074,FIND("/",$A1074)-1))),"")))</f>
        <v/>
      </c>
      <c r="C1074">
        <f>IF(OR($A1074="",$B1074=""),"",IF(ISNUMBER($A1074),INT(MOD($A1074,10000)/100),IFERROR(VALUE(TRIM(LEFT(MID($A1074,FIND("/",$A1074)+1,20),FIND("/",MID($A1074,FIND("/",$A1074)+1,20))-1))),"")))</f>
        <v/>
      </c>
      <c r="D1074">
        <f>IF(OR($A1074="",$B1074=""),"",IF(ISNUMBER($A1074),MOD($A1074,100),IFERROR(VALUE(TRIM(MID(MID($A1074,FIND("/",$A1074)+1,20),FIND("/",MID($A1074,FIND("/",$A1074)+1,20))+1,20))),"")))</f>
        <v/>
      </c>
      <c r="E1074">
        <f>IF($A1074="","",IF(OR($B1074="",$C1074="",$D1074="",$B1074&lt;1300,$B1074&gt;1500,$C1074&lt;1,$C1074&gt;12,$D1074&lt;1,$D1074&gt;31),"نامعتبر",RIGHT("0000"&amp;$B1074,4)&amp;"/"&amp;RIGHT("00"&amp;$C1074,2)&amp;"/"&amp;RIGHT("00"&amp;$D1074,2)))</f>
        <v/>
      </c>
      <c r="F1074">
        <f>IF(OR($E1074="",$E1074="نامعتبر"),"",LEFT($E1074,4)&amp;"/"&amp;MID($E1074,6,2))</f>
        <v/>
      </c>
      <c r="G1074">
        <f>IF(OR($E1074="",$E1074="نامعتبر",Sync!$X1070=""),"",IF(AND(LEFT(UPPER(TRIM(Sync!$X1070)),2)="SL",IFERROR(VLOOKUP(Sync!$W1070,OpTbl,3,0),"")="فروش"),UPPER(TRIM(Sync!$X1070)),""))</f>
        <v/>
      </c>
      <c r="H1074">
        <f>IF($G1074="","",IF(Sync!$W1070="","",Sync!$W1070))</f>
        <v/>
      </c>
      <c r="I1074">
        <f>IF(OR($G1074="",Sync!$Y1070=""),"",Sync!$Y1070)</f>
        <v/>
      </c>
      <c r="J1074">
        <f>IF(OR($G1074="",Sync!$Z1070=""),"",Sync!$Z1070)</f>
        <v/>
      </c>
      <c r="K1074">
        <f>IF($G1074="",0,IF(Sync!$AA1070="",0,Sync!$AA1070))</f>
        <v/>
      </c>
      <c r="L1074">
        <f>IF($G1074="",0,IF(Sync!$AB1070="",0,Sync!$AB1070))</f>
        <v/>
      </c>
      <c r="M1074">
        <f>IF($G1074="","",IF($H1074="مرجوعی فروش",-1,1)*($K1074-$L1074*IFERROR(VLOOKUP("P01",ParamTbl,3,0),1.5)))</f>
        <v/>
      </c>
      <c r="N1074">
        <f>IF($G1074="",0,IF($H1074="مرجوعی فروش",-1,1)*IF(Sync!$AC1070="",0,Sync!$AC1070))</f>
        <v/>
      </c>
      <c r="O1074">
        <f>IF(OR($G1074="",Sync!$V1070=""),"",Sync!$V1070)</f>
        <v/>
      </c>
      <c r="P1074">
        <f>IF(OR($G1074="",Sync!$AD1070=""),"",Sync!$AD1070)</f>
        <v/>
      </c>
      <c r="Q1074">
        <f>IF($G1074="","",IF(Sync!$U1070="","0000",IF(AND(ISNUMBER(Sync!$U1070),Sync!$U1070&gt;=0,Sync!$U1070&lt;1),RIGHT("00"&amp;HOUR(Sync!$U1070),2)&amp;RIGHT("00"&amp;MINUTE(Sync!$U1070),2),IFERROR(RIGHT("00"&amp;VALUE(LEFT(Sync!$U1070,FIND(":",Sync!$U1070)-1)),2)&amp;RIGHT("00"&amp;VALUE(MID(Sync!$U1070,FIND(":",Sync!$U1070)+1,2)),2),"0000"))))</f>
        <v/>
      </c>
    </row>
    <row r="1075">
      <c r="A1075">
        <f>IF(Sync!$T1071="","",Sync!$T1071)</f>
        <v/>
      </c>
      <c r="B1075">
        <f>IF($A1075="","",IF(ISNUMBER($A1075),IF(AND($A1075&gt;=10000101,$A1075&lt;=99991231),INT($A1075/10000),""),IFERROR(VALUE(TRIM(LEFT($A1075,FIND("/",$A1075)-1))),"")))</f>
        <v/>
      </c>
      <c r="C1075">
        <f>IF(OR($A1075="",$B1075=""),"",IF(ISNUMBER($A1075),INT(MOD($A1075,10000)/100),IFERROR(VALUE(TRIM(LEFT(MID($A1075,FIND("/",$A1075)+1,20),FIND("/",MID($A1075,FIND("/",$A1075)+1,20))-1))),"")))</f>
        <v/>
      </c>
      <c r="D1075">
        <f>IF(OR($A1075="",$B1075=""),"",IF(ISNUMBER($A1075),MOD($A1075,100),IFERROR(VALUE(TRIM(MID(MID($A1075,FIND("/",$A1075)+1,20),FIND("/",MID($A1075,FIND("/",$A1075)+1,20))+1,20))),"")))</f>
        <v/>
      </c>
      <c r="E1075">
        <f>IF($A1075="","",IF(OR($B1075="",$C1075="",$D1075="",$B1075&lt;1300,$B1075&gt;1500,$C1075&lt;1,$C1075&gt;12,$D1075&lt;1,$D1075&gt;31),"نامعتبر",RIGHT("0000"&amp;$B1075,4)&amp;"/"&amp;RIGHT("00"&amp;$C1075,2)&amp;"/"&amp;RIGHT("00"&amp;$D1075,2)))</f>
        <v/>
      </c>
      <c r="F1075">
        <f>IF(OR($E1075="",$E1075="نامعتبر"),"",LEFT($E1075,4)&amp;"/"&amp;MID($E1075,6,2))</f>
        <v/>
      </c>
      <c r="G1075">
        <f>IF(OR($E1075="",$E1075="نامعتبر",Sync!$X1071=""),"",IF(AND(LEFT(UPPER(TRIM(Sync!$X1071)),2)="SL",IFERROR(VLOOKUP(Sync!$W1071,OpTbl,3,0),"")="فروش"),UPPER(TRIM(Sync!$X1071)),""))</f>
        <v/>
      </c>
      <c r="H1075">
        <f>IF($G1075="","",IF(Sync!$W1071="","",Sync!$W1071))</f>
        <v/>
      </c>
      <c r="I1075">
        <f>IF(OR($G1075="",Sync!$Y1071=""),"",Sync!$Y1071)</f>
        <v/>
      </c>
      <c r="J1075">
        <f>IF(OR($G1075="",Sync!$Z1071=""),"",Sync!$Z1071)</f>
        <v/>
      </c>
      <c r="K1075">
        <f>IF($G1075="",0,IF(Sync!$AA1071="",0,Sync!$AA1071))</f>
        <v/>
      </c>
      <c r="L1075">
        <f>IF($G1075="",0,IF(Sync!$AB1071="",0,Sync!$AB1071))</f>
        <v/>
      </c>
      <c r="M1075">
        <f>IF($G1075="","",IF($H1075="مرجوعی فروش",-1,1)*($K1075-$L1075*IFERROR(VLOOKUP("P01",ParamTbl,3,0),1.5)))</f>
        <v/>
      </c>
      <c r="N1075">
        <f>IF($G1075="",0,IF($H1075="مرجوعی فروش",-1,1)*IF(Sync!$AC1071="",0,Sync!$AC1071))</f>
        <v/>
      </c>
      <c r="O1075">
        <f>IF(OR($G1075="",Sync!$V1071=""),"",Sync!$V1071)</f>
        <v/>
      </c>
      <c r="P1075">
        <f>IF(OR($G1075="",Sync!$AD1071=""),"",Sync!$AD1071)</f>
        <v/>
      </c>
      <c r="Q1075">
        <f>IF($G1075="","",IF(Sync!$U1071="","0000",IF(AND(ISNUMBER(Sync!$U1071),Sync!$U1071&gt;=0,Sync!$U1071&lt;1),RIGHT("00"&amp;HOUR(Sync!$U1071),2)&amp;RIGHT("00"&amp;MINUTE(Sync!$U1071),2),IFERROR(RIGHT("00"&amp;VALUE(LEFT(Sync!$U1071,FIND(":",Sync!$U1071)-1)),2)&amp;RIGHT("00"&amp;VALUE(MID(Sync!$U1071,FIND(":",Sync!$U1071)+1,2)),2),"0000"))))</f>
        <v/>
      </c>
    </row>
    <row r="1076">
      <c r="A1076">
        <f>IF(Sync!$T1072="","",Sync!$T1072)</f>
        <v/>
      </c>
      <c r="B1076">
        <f>IF($A1076="","",IF(ISNUMBER($A1076),IF(AND($A1076&gt;=10000101,$A1076&lt;=99991231),INT($A1076/10000),""),IFERROR(VALUE(TRIM(LEFT($A1076,FIND("/",$A1076)-1))),"")))</f>
        <v/>
      </c>
      <c r="C1076">
        <f>IF(OR($A1076="",$B1076=""),"",IF(ISNUMBER($A1076),INT(MOD($A1076,10000)/100),IFERROR(VALUE(TRIM(LEFT(MID($A1076,FIND("/",$A1076)+1,20),FIND("/",MID($A1076,FIND("/",$A1076)+1,20))-1))),"")))</f>
        <v/>
      </c>
      <c r="D1076">
        <f>IF(OR($A1076="",$B1076=""),"",IF(ISNUMBER($A1076),MOD($A1076,100),IFERROR(VALUE(TRIM(MID(MID($A1076,FIND("/",$A1076)+1,20),FIND("/",MID($A1076,FIND("/",$A1076)+1,20))+1,20))),"")))</f>
        <v/>
      </c>
      <c r="E1076">
        <f>IF($A1076="","",IF(OR($B1076="",$C1076="",$D1076="",$B1076&lt;1300,$B1076&gt;1500,$C1076&lt;1,$C1076&gt;12,$D1076&lt;1,$D1076&gt;31),"نامعتبر",RIGHT("0000"&amp;$B1076,4)&amp;"/"&amp;RIGHT("00"&amp;$C1076,2)&amp;"/"&amp;RIGHT("00"&amp;$D1076,2)))</f>
        <v/>
      </c>
      <c r="F1076">
        <f>IF(OR($E1076="",$E1076="نامعتبر"),"",LEFT($E1076,4)&amp;"/"&amp;MID($E1076,6,2))</f>
        <v/>
      </c>
      <c r="G1076">
        <f>IF(OR($E1076="",$E1076="نامعتبر",Sync!$X1072=""),"",IF(AND(LEFT(UPPER(TRIM(Sync!$X1072)),2)="SL",IFERROR(VLOOKUP(Sync!$W1072,OpTbl,3,0),"")="فروش"),UPPER(TRIM(Sync!$X1072)),""))</f>
        <v/>
      </c>
      <c r="H1076">
        <f>IF($G1076="","",IF(Sync!$W1072="","",Sync!$W1072))</f>
        <v/>
      </c>
      <c r="I1076">
        <f>IF(OR($G1076="",Sync!$Y1072=""),"",Sync!$Y1072)</f>
        <v/>
      </c>
      <c r="J1076">
        <f>IF(OR($G1076="",Sync!$Z1072=""),"",Sync!$Z1072)</f>
        <v/>
      </c>
      <c r="K1076">
        <f>IF($G1076="",0,IF(Sync!$AA1072="",0,Sync!$AA1072))</f>
        <v/>
      </c>
      <c r="L1076">
        <f>IF($G1076="",0,IF(Sync!$AB1072="",0,Sync!$AB1072))</f>
        <v/>
      </c>
      <c r="M1076">
        <f>IF($G1076="","",IF($H1076="مرجوعی فروش",-1,1)*($K1076-$L1076*IFERROR(VLOOKUP("P01",ParamTbl,3,0),1.5)))</f>
        <v/>
      </c>
      <c r="N1076">
        <f>IF($G1076="",0,IF($H1076="مرجوعی فروش",-1,1)*IF(Sync!$AC1072="",0,Sync!$AC1072))</f>
        <v/>
      </c>
      <c r="O1076">
        <f>IF(OR($G1076="",Sync!$V1072=""),"",Sync!$V1072)</f>
        <v/>
      </c>
      <c r="P1076">
        <f>IF(OR($G1076="",Sync!$AD1072=""),"",Sync!$AD1072)</f>
        <v/>
      </c>
      <c r="Q1076">
        <f>IF($G1076="","",IF(Sync!$U1072="","0000",IF(AND(ISNUMBER(Sync!$U1072),Sync!$U1072&gt;=0,Sync!$U1072&lt;1),RIGHT("00"&amp;HOUR(Sync!$U1072),2)&amp;RIGHT("00"&amp;MINUTE(Sync!$U1072),2),IFERROR(RIGHT("00"&amp;VALUE(LEFT(Sync!$U1072,FIND(":",Sync!$U1072)-1)),2)&amp;RIGHT("00"&amp;VALUE(MID(Sync!$U1072,FIND(":",Sync!$U1072)+1,2)),2),"0000"))))</f>
        <v/>
      </c>
    </row>
    <row r="1077">
      <c r="A1077">
        <f>IF(Sync!$T1073="","",Sync!$T1073)</f>
        <v/>
      </c>
      <c r="B1077">
        <f>IF($A1077="","",IF(ISNUMBER($A1077),IF(AND($A1077&gt;=10000101,$A1077&lt;=99991231),INT($A1077/10000),""),IFERROR(VALUE(TRIM(LEFT($A1077,FIND("/",$A1077)-1))),"")))</f>
        <v/>
      </c>
      <c r="C1077">
        <f>IF(OR($A1077="",$B1077=""),"",IF(ISNUMBER($A1077),INT(MOD($A1077,10000)/100),IFERROR(VALUE(TRIM(LEFT(MID($A1077,FIND("/",$A1077)+1,20),FIND("/",MID($A1077,FIND("/",$A1077)+1,20))-1))),"")))</f>
        <v/>
      </c>
      <c r="D1077">
        <f>IF(OR($A1077="",$B1077=""),"",IF(ISNUMBER($A1077),MOD($A1077,100),IFERROR(VALUE(TRIM(MID(MID($A1077,FIND("/",$A1077)+1,20),FIND("/",MID($A1077,FIND("/",$A1077)+1,20))+1,20))),"")))</f>
        <v/>
      </c>
      <c r="E1077">
        <f>IF($A1077="","",IF(OR($B1077="",$C1077="",$D1077="",$B1077&lt;1300,$B1077&gt;1500,$C1077&lt;1,$C1077&gt;12,$D1077&lt;1,$D1077&gt;31),"نامعتبر",RIGHT("0000"&amp;$B1077,4)&amp;"/"&amp;RIGHT("00"&amp;$C1077,2)&amp;"/"&amp;RIGHT("00"&amp;$D1077,2)))</f>
        <v/>
      </c>
      <c r="F1077">
        <f>IF(OR($E1077="",$E1077="نامعتبر"),"",LEFT($E1077,4)&amp;"/"&amp;MID($E1077,6,2))</f>
        <v/>
      </c>
      <c r="G1077">
        <f>IF(OR($E1077="",$E1077="نامعتبر",Sync!$X1073=""),"",IF(AND(LEFT(UPPER(TRIM(Sync!$X1073)),2)="SL",IFERROR(VLOOKUP(Sync!$W1073,OpTbl,3,0),"")="فروش"),UPPER(TRIM(Sync!$X1073)),""))</f>
        <v/>
      </c>
      <c r="H1077">
        <f>IF($G1077="","",IF(Sync!$W1073="","",Sync!$W1073))</f>
        <v/>
      </c>
      <c r="I1077">
        <f>IF(OR($G1077="",Sync!$Y1073=""),"",Sync!$Y1073)</f>
        <v/>
      </c>
      <c r="J1077">
        <f>IF(OR($G1077="",Sync!$Z1073=""),"",Sync!$Z1073)</f>
        <v/>
      </c>
      <c r="K1077">
        <f>IF($G1077="",0,IF(Sync!$AA1073="",0,Sync!$AA1073))</f>
        <v/>
      </c>
      <c r="L1077">
        <f>IF($G1077="",0,IF(Sync!$AB1073="",0,Sync!$AB1073))</f>
        <v/>
      </c>
      <c r="M1077">
        <f>IF($G1077="","",IF($H1077="مرجوعی فروش",-1,1)*($K1077-$L1077*IFERROR(VLOOKUP("P01",ParamTbl,3,0),1.5)))</f>
        <v/>
      </c>
      <c r="N1077">
        <f>IF($G1077="",0,IF($H1077="مرجوعی فروش",-1,1)*IF(Sync!$AC1073="",0,Sync!$AC1073))</f>
        <v/>
      </c>
      <c r="O1077">
        <f>IF(OR($G1077="",Sync!$V1073=""),"",Sync!$V1073)</f>
        <v/>
      </c>
      <c r="P1077">
        <f>IF(OR($G1077="",Sync!$AD1073=""),"",Sync!$AD1073)</f>
        <v/>
      </c>
      <c r="Q1077">
        <f>IF($G1077="","",IF(Sync!$U1073="","0000",IF(AND(ISNUMBER(Sync!$U1073),Sync!$U1073&gt;=0,Sync!$U1073&lt;1),RIGHT("00"&amp;HOUR(Sync!$U1073),2)&amp;RIGHT("00"&amp;MINUTE(Sync!$U1073),2),IFERROR(RIGHT("00"&amp;VALUE(LEFT(Sync!$U1073,FIND(":",Sync!$U1073)-1)),2)&amp;RIGHT("00"&amp;VALUE(MID(Sync!$U1073,FIND(":",Sync!$U1073)+1,2)),2),"0000"))))</f>
        <v/>
      </c>
    </row>
    <row r="1078">
      <c r="A1078">
        <f>IF(Sync!$T1074="","",Sync!$T1074)</f>
        <v/>
      </c>
      <c r="B1078">
        <f>IF($A1078="","",IF(ISNUMBER($A1078),IF(AND($A1078&gt;=10000101,$A1078&lt;=99991231),INT($A1078/10000),""),IFERROR(VALUE(TRIM(LEFT($A1078,FIND("/",$A1078)-1))),"")))</f>
        <v/>
      </c>
      <c r="C1078">
        <f>IF(OR($A1078="",$B1078=""),"",IF(ISNUMBER($A1078),INT(MOD($A1078,10000)/100),IFERROR(VALUE(TRIM(LEFT(MID($A1078,FIND("/",$A1078)+1,20),FIND("/",MID($A1078,FIND("/",$A1078)+1,20))-1))),"")))</f>
        <v/>
      </c>
      <c r="D1078">
        <f>IF(OR($A1078="",$B1078=""),"",IF(ISNUMBER($A1078),MOD($A1078,100),IFERROR(VALUE(TRIM(MID(MID($A1078,FIND("/",$A1078)+1,20),FIND("/",MID($A1078,FIND("/",$A1078)+1,20))+1,20))),"")))</f>
        <v/>
      </c>
      <c r="E1078">
        <f>IF($A1078="","",IF(OR($B1078="",$C1078="",$D1078="",$B1078&lt;1300,$B1078&gt;1500,$C1078&lt;1,$C1078&gt;12,$D1078&lt;1,$D1078&gt;31),"نامعتبر",RIGHT("0000"&amp;$B1078,4)&amp;"/"&amp;RIGHT("00"&amp;$C1078,2)&amp;"/"&amp;RIGHT("00"&amp;$D1078,2)))</f>
        <v/>
      </c>
      <c r="F1078">
        <f>IF(OR($E1078="",$E1078="نامعتبر"),"",LEFT($E1078,4)&amp;"/"&amp;MID($E1078,6,2))</f>
        <v/>
      </c>
      <c r="G1078">
        <f>IF(OR($E1078="",$E1078="نامعتبر",Sync!$X1074=""),"",IF(AND(LEFT(UPPER(TRIM(Sync!$X1074)),2)="SL",IFERROR(VLOOKUP(Sync!$W1074,OpTbl,3,0),"")="فروش"),UPPER(TRIM(Sync!$X1074)),""))</f>
        <v/>
      </c>
      <c r="H1078">
        <f>IF($G1078="","",IF(Sync!$W1074="","",Sync!$W1074))</f>
        <v/>
      </c>
      <c r="I1078">
        <f>IF(OR($G1078="",Sync!$Y1074=""),"",Sync!$Y1074)</f>
        <v/>
      </c>
      <c r="J1078">
        <f>IF(OR($G1078="",Sync!$Z1074=""),"",Sync!$Z1074)</f>
        <v/>
      </c>
      <c r="K1078">
        <f>IF($G1078="",0,IF(Sync!$AA1074="",0,Sync!$AA1074))</f>
        <v/>
      </c>
      <c r="L1078">
        <f>IF($G1078="",0,IF(Sync!$AB1074="",0,Sync!$AB1074))</f>
        <v/>
      </c>
      <c r="M1078">
        <f>IF($G1078="","",IF($H1078="مرجوعی فروش",-1,1)*($K1078-$L1078*IFERROR(VLOOKUP("P01",ParamTbl,3,0),1.5)))</f>
        <v/>
      </c>
      <c r="N1078">
        <f>IF($G1078="",0,IF($H1078="مرجوعی فروش",-1,1)*IF(Sync!$AC1074="",0,Sync!$AC1074))</f>
        <v/>
      </c>
      <c r="O1078">
        <f>IF(OR($G1078="",Sync!$V1074=""),"",Sync!$V1074)</f>
        <v/>
      </c>
      <c r="P1078">
        <f>IF(OR($G1078="",Sync!$AD1074=""),"",Sync!$AD1074)</f>
        <v/>
      </c>
      <c r="Q1078">
        <f>IF($G1078="","",IF(Sync!$U1074="","0000",IF(AND(ISNUMBER(Sync!$U1074),Sync!$U1074&gt;=0,Sync!$U1074&lt;1),RIGHT("00"&amp;HOUR(Sync!$U1074),2)&amp;RIGHT("00"&amp;MINUTE(Sync!$U1074),2),IFERROR(RIGHT("00"&amp;VALUE(LEFT(Sync!$U1074,FIND(":",Sync!$U1074)-1)),2)&amp;RIGHT("00"&amp;VALUE(MID(Sync!$U1074,FIND(":",Sync!$U1074)+1,2)),2),"0000"))))</f>
        <v/>
      </c>
    </row>
    <row r="1079">
      <c r="A1079">
        <f>IF(Sync!$T1075="","",Sync!$T1075)</f>
        <v/>
      </c>
      <c r="B1079">
        <f>IF($A1079="","",IF(ISNUMBER($A1079),IF(AND($A1079&gt;=10000101,$A1079&lt;=99991231),INT($A1079/10000),""),IFERROR(VALUE(TRIM(LEFT($A1079,FIND("/",$A1079)-1))),"")))</f>
        <v/>
      </c>
      <c r="C1079">
        <f>IF(OR($A1079="",$B1079=""),"",IF(ISNUMBER($A1079),INT(MOD($A1079,10000)/100),IFERROR(VALUE(TRIM(LEFT(MID($A1079,FIND("/",$A1079)+1,20),FIND("/",MID($A1079,FIND("/",$A1079)+1,20))-1))),"")))</f>
        <v/>
      </c>
      <c r="D1079">
        <f>IF(OR($A1079="",$B1079=""),"",IF(ISNUMBER($A1079),MOD($A1079,100),IFERROR(VALUE(TRIM(MID(MID($A1079,FIND("/",$A1079)+1,20),FIND("/",MID($A1079,FIND("/",$A1079)+1,20))+1,20))),"")))</f>
        <v/>
      </c>
      <c r="E1079">
        <f>IF($A1079="","",IF(OR($B1079="",$C1079="",$D1079="",$B1079&lt;1300,$B1079&gt;1500,$C1079&lt;1,$C1079&gt;12,$D1079&lt;1,$D1079&gt;31),"نامعتبر",RIGHT("0000"&amp;$B1079,4)&amp;"/"&amp;RIGHT("00"&amp;$C1079,2)&amp;"/"&amp;RIGHT("00"&amp;$D1079,2)))</f>
        <v/>
      </c>
      <c r="F1079">
        <f>IF(OR($E1079="",$E1079="نامعتبر"),"",LEFT($E1079,4)&amp;"/"&amp;MID($E1079,6,2))</f>
        <v/>
      </c>
      <c r="G1079">
        <f>IF(OR($E1079="",$E1079="نامعتبر",Sync!$X1075=""),"",IF(AND(LEFT(UPPER(TRIM(Sync!$X1075)),2)="SL",IFERROR(VLOOKUP(Sync!$W1075,OpTbl,3,0),"")="فروش"),UPPER(TRIM(Sync!$X1075)),""))</f>
        <v/>
      </c>
      <c r="H1079">
        <f>IF($G1079="","",IF(Sync!$W1075="","",Sync!$W1075))</f>
        <v/>
      </c>
      <c r="I1079">
        <f>IF(OR($G1079="",Sync!$Y1075=""),"",Sync!$Y1075)</f>
        <v/>
      </c>
      <c r="J1079">
        <f>IF(OR($G1079="",Sync!$Z1075=""),"",Sync!$Z1075)</f>
        <v/>
      </c>
      <c r="K1079">
        <f>IF($G1079="",0,IF(Sync!$AA1075="",0,Sync!$AA1075))</f>
        <v/>
      </c>
      <c r="L1079">
        <f>IF($G1079="",0,IF(Sync!$AB1075="",0,Sync!$AB1075))</f>
        <v/>
      </c>
      <c r="M1079">
        <f>IF($G1079="","",IF($H1079="مرجوعی فروش",-1,1)*($K1079-$L1079*IFERROR(VLOOKUP("P01",ParamTbl,3,0),1.5)))</f>
        <v/>
      </c>
      <c r="N1079">
        <f>IF($G1079="",0,IF($H1079="مرجوعی فروش",-1,1)*IF(Sync!$AC1075="",0,Sync!$AC1075))</f>
        <v/>
      </c>
      <c r="O1079">
        <f>IF(OR($G1079="",Sync!$V1075=""),"",Sync!$V1075)</f>
        <v/>
      </c>
      <c r="P1079">
        <f>IF(OR($G1079="",Sync!$AD1075=""),"",Sync!$AD1075)</f>
        <v/>
      </c>
      <c r="Q1079">
        <f>IF($G1079="","",IF(Sync!$U1075="","0000",IF(AND(ISNUMBER(Sync!$U1075),Sync!$U1075&gt;=0,Sync!$U1075&lt;1),RIGHT("00"&amp;HOUR(Sync!$U1075),2)&amp;RIGHT("00"&amp;MINUTE(Sync!$U1075),2),IFERROR(RIGHT("00"&amp;VALUE(LEFT(Sync!$U1075,FIND(":",Sync!$U1075)-1)),2)&amp;RIGHT("00"&amp;VALUE(MID(Sync!$U1075,FIND(":",Sync!$U1075)+1,2)),2),"0000"))))</f>
        <v/>
      </c>
    </row>
    <row r="1080">
      <c r="A1080">
        <f>IF(Sync!$T1076="","",Sync!$T1076)</f>
        <v/>
      </c>
      <c r="B1080">
        <f>IF($A1080="","",IF(ISNUMBER($A1080),IF(AND($A1080&gt;=10000101,$A1080&lt;=99991231),INT($A1080/10000),""),IFERROR(VALUE(TRIM(LEFT($A1080,FIND("/",$A1080)-1))),"")))</f>
        <v/>
      </c>
      <c r="C1080">
        <f>IF(OR($A1080="",$B1080=""),"",IF(ISNUMBER($A1080),INT(MOD($A1080,10000)/100),IFERROR(VALUE(TRIM(LEFT(MID($A1080,FIND("/",$A1080)+1,20),FIND("/",MID($A1080,FIND("/",$A1080)+1,20))-1))),"")))</f>
        <v/>
      </c>
      <c r="D1080">
        <f>IF(OR($A1080="",$B1080=""),"",IF(ISNUMBER($A1080),MOD($A1080,100),IFERROR(VALUE(TRIM(MID(MID($A1080,FIND("/",$A1080)+1,20),FIND("/",MID($A1080,FIND("/",$A1080)+1,20))+1,20))),"")))</f>
        <v/>
      </c>
      <c r="E1080">
        <f>IF($A1080="","",IF(OR($B1080="",$C1080="",$D1080="",$B1080&lt;1300,$B1080&gt;1500,$C1080&lt;1,$C1080&gt;12,$D1080&lt;1,$D1080&gt;31),"نامعتبر",RIGHT("0000"&amp;$B1080,4)&amp;"/"&amp;RIGHT("00"&amp;$C1080,2)&amp;"/"&amp;RIGHT("00"&amp;$D1080,2)))</f>
        <v/>
      </c>
      <c r="F1080">
        <f>IF(OR($E1080="",$E1080="نامعتبر"),"",LEFT($E1080,4)&amp;"/"&amp;MID($E1080,6,2))</f>
        <v/>
      </c>
      <c r="G1080">
        <f>IF(OR($E1080="",$E1080="نامعتبر",Sync!$X1076=""),"",IF(AND(LEFT(UPPER(TRIM(Sync!$X1076)),2)="SL",IFERROR(VLOOKUP(Sync!$W1076,OpTbl,3,0),"")="فروش"),UPPER(TRIM(Sync!$X1076)),""))</f>
        <v/>
      </c>
      <c r="H1080">
        <f>IF($G1080="","",IF(Sync!$W1076="","",Sync!$W1076))</f>
        <v/>
      </c>
      <c r="I1080">
        <f>IF(OR($G1080="",Sync!$Y1076=""),"",Sync!$Y1076)</f>
        <v/>
      </c>
      <c r="J1080">
        <f>IF(OR($G1080="",Sync!$Z1076=""),"",Sync!$Z1076)</f>
        <v/>
      </c>
      <c r="K1080">
        <f>IF($G1080="",0,IF(Sync!$AA1076="",0,Sync!$AA1076))</f>
        <v/>
      </c>
      <c r="L1080">
        <f>IF($G1080="",0,IF(Sync!$AB1076="",0,Sync!$AB1076))</f>
        <v/>
      </c>
      <c r="M1080">
        <f>IF($G1080="","",IF($H1080="مرجوعی فروش",-1,1)*($K1080-$L1080*IFERROR(VLOOKUP("P01",ParamTbl,3,0),1.5)))</f>
        <v/>
      </c>
      <c r="N1080">
        <f>IF($G1080="",0,IF($H1080="مرجوعی فروش",-1,1)*IF(Sync!$AC1076="",0,Sync!$AC1076))</f>
        <v/>
      </c>
      <c r="O1080">
        <f>IF(OR($G1080="",Sync!$V1076=""),"",Sync!$V1076)</f>
        <v/>
      </c>
      <c r="P1080">
        <f>IF(OR($G1080="",Sync!$AD1076=""),"",Sync!$AD1076)</f>
        <v/>
      </c>
      <c r="Q1080">
        <f>IF($G1080="","",IF(Sync!$U1076="","0000",IF(AND(ISNUMBER(Sync!$U1076),Sync!$U1076&gt;=0,Sync!$U1076&lt;1),RIGHT("00"&amp;HOUR(Sync!$U1076),2)&amp;RIGHT("00"&amp;MINUTE(Sync!$U1076),2),IFERROR(RIGHT("00"&amp;VALUE(LEFT(Sync!$U1076,FIND(":",Sync!$U1076)-1)),2)&amp;RIGHT("00"&amp;VALUE(MID(Sync!$U1076,FIND(":",Sync!$U1076)+1,2)),2),"0000"))))</f>
        <v/>
      </c>
    </row>
    <row r="1081">
      <c r="A1081">
        <f>IF(Sync!$T1077="","",Sync!$T1077)</f>
        <v/>
      </c>
      <c r="B1081">
        <f>IF($A1081="","",IF(ISNUMBER($A1081),IF(AND($A1081&gt;=10000101,$A1081&lt;=99991231),INT($A1081/10000),""),IFERROR(VALUE(TRIM(LEFT($A1081,FIND("/",$A1081)-1))),"")))</f>
        <v/>
      </c>
      <c r="C1081">
        <f>IF(OR($A1081="",$B1081=""),"",IF(ISNUMBER($A1081),INT(MOD($A1081,10000)/100),IFERROR(VALUE(TRIM(LEFT(MID($A1081,FIND("/",$A1081)+1,20),FIND("/",MID($A1081,FIND("/",$A1081)+1,20))-1))),"")))</f>
        <v/>
      </c>
      <c r="D1081">
        <f>IF(OR($A1081="",$B1081=""),"",IF(ISNUMBER($A1081),MOD($A1081,100),IFERROR(VALUE(TRIM(MID(MID($A1081,FIND("/",$A1081)+1,20),FIND("/",MID($A1081,FIND("/",$A1081)+1,20))+1,20))),"")))</f>
        <v/>
      </c>
      <c r="E1081">
        <f>IF($A1081="","",IF(OR($B1081="",$C1081="",$D1081="",$B1081&lt;1300,$B1081&gt;1500,$C1081&lt;1,$C1081&gt;12,$D1081&lt;1,$D1081&gt;31),"نامعتبر",RIGHT("0000"&amp;$B1081,4)&amp;"/"&amp;RIGHT("00"&amp;$C1081,2)&amp;"/"&amp;RIGHT("00"&amp;$D1081,2)))</f>
        <v/>
      </c>
      <c r="F1081">
        <f>IF(OR($E1081="",$E1081="نامعتبر"),"",LEFT($E1081,4)&amp;"/"&amp;MID($E1081,6,2))</f>
        <v/>
      </c>
      <c r="G1081">
        <f>IF(OR($E1081="",$E1081="نامعتبر",Sync!$X1077=""),"",IF(AND(LEFT(UPPER(TRIM(Sync!$X1077)),2)="SL",IFERROR(VLOOKUP(Sync!$W1077,OpTbl,3,0),"")="فروش"),UPPER(TRIM(Sync!$X1077)),""))</f>
        <v/>
      </c>
      <c r="H1081">
        <f>IF($G1081="","",IF(Sync!$W1077="","",Sync!$W1077))</f>
        <v/>
      </c>
      <c r="I1081">
        <f>IF(OR($G1081="",Sync!$Y1077=""),"",Sync!$Y1077)</f>
        <v/>
      </c>
      <c r="J1081">
        <f>IF(OR($G1081="",Sync!$Z1077=""),"",Sync!$Z1077)</f>
        <v/>
      </c>
      <c r="K1081">
        <f>IF($G1081="",0,IF(Sync!$AA1077="",0,Sync!$AA1077))</f>
        <v/>
      </c>
      <c r="L1081">
        <f>IF($G1081="",0,IF(Sync!$AB1077="",0,Sync!$AB1077))</f>
        <v/>
      </c>
      <c r="M1081">
        <f>IF($G1081="","",IF($H1081="مرجوعی فروش",-1,1)*($K1081-$L1081*IFERROR(VLOOKUP("P01",ParamTbl,3,0),1.5)))</f>
        <v/>
      </c>
      <c r="N1081">
        <f>IF($G1081="",0,IF($H1081="مرجوعی فروش",-1,1)*IF(Sync!$AC1077="",0,Sync!$AC1077))</f>
        <v/>
      </c>
      <c r="O1081">
        <f>IF(OR($G1081="",Sync!$V1077=""),"",Sync!$V1077)</f>
        <v/>
      </c>
      <c r="P1081">
        <f>IF(OR($G1081="",Sync!$AD1077=""),"",Sync!$AD1077)</f>
        <v/>
      </c>
      <c r="Q1081">
        <f>IF($G1081="","",IF(Sync!$U1077="","0000",IF(AND(ISNUMBER(Sync!$U1077),Sync!$U1077&gt;=0,Sync!$U1077&lt;1),RIGHT("00"&amp;HOUR(Sync!$U1077),2)&amp;RIGHT("00"&amp;MINUTE(Sync!$U1077),2),IFERROR(RIGHT("00"&amp;VALUE(LEFT(Sync!$U1077,FIND(":",Sync!$U1077)-1)),2)&amp;RIGHT("00"&amp;VALUE(MID(Sync!$U1077,FIND(":",Sync!$U1077)+1,2)),2),"0000"))))</f>
        <v/>
      </c>
    </row>
    <row r="1082">
      <c r="A1082">
        <f>IF(Sync!$T1078="","",Sync!$T1078)</f>
        <v/>
      </c>
      <c r="B1082">
        <f>IF($A1082="","",IF(ISNUMBER($A1082),IF(AND($A1082&gt;=10000101,$A1082&lt;=99991231),INT($A1082/10000),""),IFERROR(VALUE(TRIM(LEFT($A1082,FIND("/",$A1082)-1))),"")))</f>
        <v/>
      </c>
      <c r="C1082">
        <f>IF(OR($A1082="",$B1082=""),"",IF(ISNUMBER($A1082),INT(MOD($A1082,10000)/100),IFERROR(VALUE(TRIM(LEFT(MID($A1082,FIND("/",$A1082)+1,20),FIND("/",MID($A1082,FIND("/",$A1082)+1,20))-1))),"")))</f>
        <v/>
      </c>
      <c r="D1082">
        <f>IF(OR($A1082="",$B1082=""),"",IF(ISNUMBER($A1082),MOD($A1082,100),IFERROR(VALUE(TRIM(MID(MID($A1082,FIND("/",$A1082)+1,20),FIND("/",MID($A1082,FIND("/",$A1082)+1,20))+1,20))),"")))</f>
        <v/>
      </c>
      <c r="E1082">
        <f>IF($A1082="","",IF(OR($B1082="",$C1082="",$D1082="",$B1082&lt;1300,$B1082&gt;1500,$C1082&lt;1,$C1082&gt;12,$D1082&lt;1,$D1082&gt;31),"نامعتبر",RIGHT("0000"&amp;$B1082,4)&amp;"/"&amp;RIGHT("00"&amp;$C1082,2)&amp;"/"&amp;RIGHT("00"&amp;$D1082,2)))</f>
        <v/>
      </c>
      <c r="F1082">
        <f>IF(OR($E1082="",$E1082="نامعتبر"),"",LEFT($E1082,4)&amp;"/"&amp;MID($E1082,6,2))</f>
        <v/>
      </c>
      <c r="G1082">
        <f>IF(OR($E1082="",$E1082="نامعتبر",Sync!$X1078=""),"",IF(AND(LEFT(UPPER(TRIM(Sync!$X1078)),2)="SL",IFERROR(VLOOKUP(Sync!$W1078,OpTbl,3,0),"")="فروش"),UPPER(TRIM(Sync!$X1078)),""))</f>
        <v/>
      </c>
      <c r="H1082">
        <f>IF($G1082="","",IF(Sync!$W1078="","",Sync!$W1078))</f>
        <v/>
      </c>
      <c r="I1082">
        <f>IF(OR($G1082="",Sync!$Y1078=""),"",Sync!$Y1078)</f>
        <v/>
      </c>
      <c r="J1082">
        <f>IF(OR($G1082="",Sync!$Z1078=""),"",Sync!$Z1078)</f>
        <v/>
      </c>
      <c r="K1082">
        <f>IF($G1082="",0,IF(Sync!$AA1078="",0,Sync!$AA1078))</f>
        <v/>
      </c>
      <c r="L1082">
        <f>IF($G1082="",0,IF(Sync!$AB1078="",0,Sync!$AB1078))</f>
        <v/>
      </c>
      <c r="M1082">
        <f>IF($G1082="","",IF($H1082="مرجوعی فروش",-1,1)*($K1082-$L1082*IFERROR(VLOOKUP("P01",ParamTbl,3,0),1.5)))</f>
        <v/>
      </c>
      <c r="N1082">
        <f>IF($G1082="",0,IF($H1082="مرجوعی فروش",-1,1)*IF(Sync!$AC1078="",0,Sync!$AC1078))</f>
        <v/>
      </c>
      <c r="O1082">
        <f>IF(OR($G1082="",Sync!$V1078=""),"",Sync!$V1078)</f>
        <v/>
      </c>
      <c r="P1082">
        <f>IF(OR($G1082="",Sync!$AD1078=""),"",Sync!$AD1078)</f>
        <v/>
      </c>
      <c r="Q1082">
        <f>IF($G1082="","",IF(Sync!$U1078="","0000",IF(AND(ISNUMBER(Sync!$U1078),Sync!$U1078&gt;=0,Sync!$U1078&lt;1),RIGHT("00"&amp;HOUR(Sync!$U1078),2)&amp;RIGHT("00"&amp;MINUTE(Sync!$U1078),2),IFERROR(RIGHT("00"&amp;VALUE(LEFT(Sync!$U1078,FIND(":",Sync!$U1078)-1)),2)&amp;RIGHT("00"&amp;VALUE(MID(Sync!$U1078,FIND(":",Sync!$U1078)+1,2)),2),"0000"))))</f>
        <v/>
      </c>
    </row>
    <row r="1083">
      <c r="A1083">
        <f>IF(Sync!$T1079="","",Sync!$T1079)</f>
        <v/>
      </c>
      <c r="B1083">
        <f>IF($A1083="","",IF(ISNUMBER($A1083),IF(AND($A1083&gt;=10000101,$A1083&lt;=99991231),INT($A1083/10000),""),IFERROR(VALUE(TRIM(LEFT($A1083,FIND("/",$A1083)-1))),"")))</f>
        <v/>
      </c>
      <c r="C1083">
        <f>IF(OR($A1083="",$B1083=""),"",IF(ISNUMBER($A1083),INT(MOD($A1083,10000)/100),IFERROR(VALUE(TRIM(LEFT(MID($A1083,FIND("/",$A1083)+1,20),FIND("/",MID($A1083,FIND("/",$A1083)+1,20))-1))),"")))</f>
        <v/>
      </c>
      <c r="D1083">
        <f>IF(OR($A1083="",$B1083=""),"",IF(ISNUMBER($A1083),MOD($A1083,100),IFERROR(VALUE(TRIM(MID(MID($A1083,FIND("/",$A1083)+1,20),FIND("/",MID($A1083,FIND("/",$A1083)+1,20))+1,20))),"")))</f>
        <v/>
      </c>
      <c r="E1083">
        <f>IF($A1083="","",IF(OR($B1083="",$C1083="",$D1083="",$B1083&lt;1300,$B1083&gt;1500,$C1083&lt;1,$C1083&gt;12,$D1083&lt;1,$D1083&gt;31),"نامعتبر",RIGHT("0000"&amp;$B1083,4)&amp;"/"&amp;RIGHT("00"&amp;$C1083,2)&amp;"/"&amp;RIGHT("00"&amp;$D1083,2)))</f>
        <v/>
      </c>
      <c r="F1083">
        <f>IF(OR($E1083="",$E1083="نامعتبر"),"",LEFT($E1083,4)&amp;"/"&amp;MID($E1083,6,2))</f>
        <v/>
      </c>
      <c r="G1083">
        <f>IF(OR($E1083="",$E1083="نامعتبر",Sync!$X1079=""),"",IF(AND(LEFT(UPPER(TRIM(Sync!$X1079)),2)="SL",IFERROR(VLOOKUP(Sync!$W1079,OpTbl,3,0),"")="فروش"),UPPER(TRIM(Sync!$X1079)),""))</f>
        <v/>
      </c>
      <c r="H1083">
        <f>IF($G1083="","",IF(Sync!$W1079="","",Sync!$W1079))</f>
        <v/>
      </c>
      <c r="I1083">
        <f>IF(OR($G1083="",Sync!$Y1079=""),"",Sync!$Y1079)</f>
        <v/>
      </c>
      <c r="J1083">
        <f>IF(OR($G1083="",Sync!$Z1079=""),"",Sync!$Z1079)</f>
        <v/>
      </c>
      <c r="K1083">
        <f>IF($G1083="",0,IF(Sync!$AA1079="",0,Sync!$AA1079))</f>
        <v/>
      </c>
      <c r="L1083">
        <f>IF($G1083="",0,IF(Sync!$AB1079="",0,Sync!$AB1079))</f>
        <v/>
      </c>
      <c r="M1083">
        <f>IF($G1083="","",IF($H1083="مرجوعی فروش",-1,1)*($K1083-$L1083*IFERROR(VLOOKUP("P01",ParamTbl,3,0),1.5)))</f>
        <v/>
      </c>
      <c r="N1083">
        <f>IF($G1083="",0,IF($H1083="مرجوعی فروش",-1,1)*IF(Sync!$AC1079="",0,Sync!$AC1079))</f>
        <v/>
      </c>
      <c r="O1083">
        <f>IF(OR($G1083="",Sync!$V1079=""),"",Sync!$V1079)</f>
        <v/>
      </c>
      <c r="P1083">
        <f>IF(OR($G1083="",Sync!$AD1079=""),"",Sync!$AD1079)</f>
        <v/>
      </c>
      <c r="Q1083">
        <f>IF($G1083="","",IF(Sync!$U1079="","0000",IF(AND(ISNUMBER(Sync!$U1079),Sync!$U1079&gt;=0,Sync!$U1079&lt;1),RIGHT("00"&amp;HOUR(Sync!$U1079),2)&amp;RIGHT("00"&amp;MINUTE(Sync!$U1079),2),IFERROR(RIGHT("00"&amp;VALUE(LEFT(Sync!$U1079,FIND(":",Sync!$U1079)-1)),2)&amp;RIGHT("00"&amp;VALUE(MID(Sync!$U1079,FIND(":",Sync!$U1079)+1,2)),2),"0000"))))</f>
        <v/>
      </c>
    </row>
    <row r="1084">
      <c r="A1084">
        <f>IF(Sync!$T1080="","",Sync!$T1080)</f>
        <v/>
      </c>
      <c r="B1084">
        <f>IF($A1084="","",IF(ISNUMBER($A1084),IF(AND($A1084&gt;=10000101,$A1084&lt;=99991231),INT($A1084/10000),""),IFERROR(VALUE(TRIM(LEFT($A1084,FIND("/",$A1084)-1))),"")))</f>
        <v/>
      </c>
      <c r="C1084">
        <f>IF(OR($A1084="",$B1084=""),"",IF(ISNUMBER($A1084),INT(MOD($A1084,10000)/100),IFERROR(VALUE(TRIM(LEFT(MID($A1084,FIND("/",$A1084)+1,20),FIND("/",MID($A1084,FIND("/",$A1084)+1,20))-1))),"")))</f>
        <v/>
      </c>
      <c r="D1084">
        <f>IF(OR($A1084="",$B1084=""),"",IF(ISNUMBER($A1084),MOD($A1084,100),IFERROR(VALUE(TRIM(MID(MID($A1084,FIND("/",$A1084)+1,20),FIND("/",MID($A1084,FIND("/",$A1084)+1,20))+1,20))),"")))</f>
        <v/>
      </c>
      <c r="E1084">
        <f>IF($A1084="","",IF(OR($B1084="",$C1084="",$D1084="",$B1084&lt;1300,$B1084&gt;1500,$C1084&lt;1,$C1084&gt;12,$D1084&lt;1,$D1084&gt;31),"نامعتبر",RIGHT("0000"&amp;$B1084,4)&amp;"/"&amp;RIGHT("00"&amp;$C1084,2)&amp;"/"&amp;RIGHT("00"&amp;$D1084,2)))</f>
        <v/>
      </c>
      <c r="F1084">
        <f>IF(OR($E1084="",$E1084="نامعتبر"),"",LEFT($E1084,4)&amp;"/"&amp;MID($E1084,6,2))</f>
        <v/>
      </c>
      <c r="G1084">
        <f>IF(OR($E1084="",$E1084="نامعتبر",Sync!$X1080=""),"",IF(AND(LEFT(UPPER(TRIM(Sync!$X1080)),2)="SL",IFERROR(VLOOKUP(Sync!$W1080,OpTbl,3,0),"")="فروش"),UPPER(TRIM(Sync!$X1080)),""))</f>
        <v/>
      </c>
      <c r="H1084">
        <f>IF($G1084="","",IF(Sync!$W1080="","",Sync!$W1080))</f>
        <v/>
      </c>
      <c r="I1084">
        <f>IF(OR($G1084="",Sync!$Y1080=""),"",Sync!$Y1080)</f>
        <v/>
      </c>
      <c r="J1084">
        <f>IF(OR($G1084="",Sync!$Z1080=""),"",Sync!$Z1080)</f>
        <v/>
      </c>
      <c r="K1084">
        <f>IF($G1084="",0,IF(Sync!$AA1080="",0,Sync!$AA1080))</f>
        <v/>
      </c>
      <c r="L1084">
        <f>IF($G1084="",0,IF(Sync!$AB1080="",0,Sync!$AB1080))</f>
        <v/>
      </c>
      <c r="M1084">
        <f>IF($G1084="","",IF($H1084="مرجوعی فروش",-1,1)*($K1084-$L1084*IFERROR(VLOOKUP("P01",ParamTbl,3,0),1.5)))</f>
        <v/>
      </c>
      <c r="N1084">
        <f>IF($G1084="",0,IF($H1084="مرجوعی فروش",-1,1)*IF(Sync!$AC1080="",0,Sync!$AC1080))</f>
        <v/>
      </c>
      <c r="O1084">
        <f>IF(OR($G1084="",Sync!$V1080=""),"",Sync!$V1080)</f>
        <v/>
      </c>
      <c r="P1084">
        <f>IF(OR($G1084="",Sync!$AD1080=""),"",Sync!$AD1080)</f>
        <v/>
      </c>
      <c r="Q1084">
        <f>IF($G1084="","",IF(Sync!$U1080="","0000",IF(AND(ISNUMBER(Sync!$U1080),Sync!$U1080&gt;=0,Sync!$U1080&lt;1),RIGHT("00"&amp;HOUR(Sync!$U1080),2)&amp;RIGHT("00"&amp;MINUTE(Sync!$U1080),2),IFERROR(RIGHT("00"&amp;VALUE(LEFT(Sync!$U1080,FIND(":",Sync!$U1080)-1)),2)&amp;RIGHT("00"&amp;VALUE(MID(Sync!$U1080,FIND(":",Sync!$U1080)+1,2)),2),"0000"))))</f>
        <v/>
      </c>
    </row>
    <row r="1085">
      <c r="A1085">
        <f>IF(Sync!$T1081="","",Sync!$T1081)</f>
        <v/>
      </c>
      <c r="B1085">
        <f>IF($A1085="","",IF(ISNUMBER($A1085),IF(AND($A1085&gt;=10000101,$A1085&lt;=99991231),INT($A1085/10000),""),IFERROR(VALUE(TRIM(LEFT($A1085,FIND("/",$A1085)-1))),"")))</f>
        <v/>
      </c>
      <c r="C1085">
        <f>IF(OR($A1085="",$B1085=""),"",IF(ISNUMBER($A1085),INT(MOD($A1085,10000)/100),IFERROR(VALUE(TRIM(LEFT(MID($A1085,FIND("/",$A1085)+1,20),FIND("/",MID($A1085,FIND("/",$A1085)+1,20))-1))),"")))</f>
        <v/>
      </c>
      <c r="D1085">
        <f>IF(OR($A1085="",$B1085=""),"",IF(ISNUMBER($A1085),MOD($A1085,100),IFERROR(VALUE(TRIM(MID(MID($A1085,FIND("/",$A1085)+1,20),FIND("/",MID($A1085,FIND("/",$A1085)+1,20))+1,20))),"")))</f>
        <v/>
      </c>
      <c r="E1085">
        <f>IF($A1085="","",IF(OR($B1085="",$C1085="",$D1085="",$B1085&lt;1300,$B1085&gt;1500,$C1085&lt;1,$C1085&gt;12,$D1085&lt;1,$D1085&gt;31),"نامعتبر",RIGHT("0000"&amp;$B1085,4)&amp;"/"&amp;RIGHT("00"&amp;$C1085,2)&amp;"/"&amp;RIGHT("00"&amp;$D1085,2)))</f>
        <v/>
      </c>
      <c r="F1085">
        <f>IF(OR($E1085="",$E1085="نامعتبر"),"",LEFT($E1085,4)&amp;"/"&amp;MID($E1085,6,2))</f>
        <v/>
      </c>
      <c r="G1085">
        <f>IF(OR($E1085="",$E1085="نامعتبر",Sync!$X1081=""),"",IF(AND(LEFT(UPPER(TRIM(Sync!$X1081)),2)="SL",IFERROR(VLOOKUP(Sync!$W1081,OpTbl,3,0),"")="فروش"),UPPER(TRIM(Sync!$X1081)),""))</f>
        <v/>
      </c>
      <c r="H1085">
        <f>IF($G1085="","",IF(Sync!$W1081="","",Sync!$W1081))</f>
        <v/>
      </c>
      <c r="I1085">
        <f>IF(OR($G1085="",Sync!$Y1081=""),"",Sync!$Y1081)</f>
        <v/>
      </c>
      <c r="J1085">
        <f>IF(OR($G1085="",Sync!$Z1081=""),"",Sync!$Z1081)</f>
        <v/>
      </c>
      <c r="K1085">
        <f>IF($G1085="",0,IF(Sync!$AA1081="",0,Sync!$AA1081))</f>
        <v/>
      </c>
      <c r="L1085">
        <f>IF($G1085="",0,IF(Sync!$AB1081="",0,Sync!$AB1081))</f>
        <v/>
      </c>
      <c r="M1085">
        <f>IF($G1085="","",IF($H1085="مرجوعی فروش",-1,1)*($K1085-$L1085*IFERROR(VLOOKUP("P01",ParamTbl,3,0),1.5)))</f>
        <v/>
      </c>
      <c r="N1085">
        <f>IF($G1085="",0,IF($H1085="مرجوعی فروش",-1,1)*IF(Sync!$AC1081="",0,Sync!$AC1081))</f>
        <v/>
      </c>
      <c r="O1085">
        <f>IF(OR($G1085="",Sync!$V1081=""),"",Sync!$V1081)</f>
        <v/>
      </c>
      <c r="P1085">
        <f>IF(OR($G1085="",Sync!$AD1081=""),"",Sync!$AD1081)</f>
        <v/>
      </c>
      <c r="Q1085">
        <f>IF($G1085="","",IF(Sync!$U1081="","0000",IF(AND(ISNUMBER(Sync!$U1081),Sync!$U1081&gt;=0,Sync!$U1081&lt;1),RIGHT("00"&amp;HOUR(Sync!$U1081),2)&amp;RIGHT("00"&amp;MINUTE(Sync!$U1081),2),IFERROR(RIGHT("00"&amp;VALUE(LEFT(Sync!$U1081,FIND(":",Sync!$U1081)-1)),2)&amp;RIGHT("00"&amp;VALUE(MID(Sync!$U1081,FIND(":",Sync!$U1081)+1,2)),2),"0000"))))</f>
        <v/>
      </c>
    </row>
    <row r="1086">
      <c r="A1086">
        <f>IF(Sync!$T1082="","",Sync!$T1082)</f>
        <v/>
      </c>
      <c r="B1086">
        <f>IF($A1086="","",IF(ISNUMBER($A1086),IF(AND($A1086&gt;=10000101,$A1086&lt;=99991231),INT($A1086/10000),""),IFERROR(VALUE(TRIM(LEFT($A1086,FIND("/",$A1086)-1))),"")))</f>
        <v/>
      </c>
      <c r="C1086">
        <f>IF(OR($A1086="",$B1086=""),"",IF(ISNUMBER($A1086),INT(MOD($A1086,10000)/100),IFERROR(VALUE(TRIM(LEFT(MID($A1086,FIND("/",$A1086)+1,20),FIND("/",MID($A1086,FIND("/",$A1086)+1,20))-1))),"")))</f>
        <v/>
      </c>
      <c r="D1086">
        <f>IF(OR($A1086="",$B1086=""),"",IF(ISNUMBER($A1086),MOD($A1086,100),IFERROR(VALUE(TRIM(MID(MID($A1086,FIND("/",$A1086)+1,20),FIND("/",MID($A1086,FIND("/",$A1086)+1,20))+1,20))),"")))</f>
        <v/>
      </c>
      <c r="E1086">
        <f>IF($A1086="","",IF(OR($B1086="",$C1086="",$D1086="",$B1086&lt;1300,$B1086&gt;1500,$C1086&lt;1,$C1086&gt;12,$D1086&lt;1,$D1086&gt;31),"نامعتبر",RIGHT("0000"&amp;$B1086,4)&amp;"/"&amp;RIGHT("00"&amp;$C1086,2)&amp;"/"&amp;RIGHT("00"&amp;$D1086,2)))</f>
        <v/>
      </c>
      <c r="F1086">
        <f>IF(OR($E1086="",$E1086="نامعتبر"),"",LEFT($E1086,4)&amp;"/"&amp;MID($E1086,6,2))</f>
        <v/>
      </c>
      <c r="G1086">
        <f>IF(OR($E1086="",$E1086="نامعتبر",Sync!$X1082=""),"",IF(AND(LEFT(UPPER(TRIM(Sync!$X1082)),2)="SL",IFERROR(VLOOKUP(Sync!$W1082,OpTbl,3,0),"")="فروش"),UPPER(TRIM(Sync!$X1082)),""))</f>
        <v/>
      </c>
      <c r="H1086">
        <f>IF($G1086="","",IF(Sync!$W1082="","",Sync!$W1082))</f>
        <v/>
      </c>
      <c r="I1086">
        <f>IF(OR($G1086="",Sync!$Y1082=""),"",Sync!$Y1082)</f>
        <v/>
      </c>
      <c r="J1086">
        <f>IF(OR($G1086="",Sync!$Z1082=""),"",Sync!$Z1082)</f>
        <v/>
      </c>
      <c r="K1086">
        <f>IF($G1086="",0,IF(Sync!$AA1082="",0,Sync!$AA1082))</f>
        <v/>
      </c>
      <c r="L1086">
        <f>IF($G1086="",0,IF(Sync!$AB1082="",0,Sync!$AB1082))</f>
        <v/>
      </c>
      <c r="M1086">
        <f>IF($G1086="","",IF($H1086="مرجوعی فروش",-1,1)*($K1086-$L1086*IFERROR(VLOOKUP("P01",ParamTbl,3,0),1.5)))</f>
        <v/>
      </c>
      <c r="N1086">
        <f>IF($G1086="",0,IF($H1086="مرجوعی فروش",-1,1)*IF(Sync!$AC1082="",0,Sync!$AC1082))</f>
        <v/>
      </c>
      <c r="O1086">
        <f>IF(OR($G1086="",Sync!$V1082=""),"",Sync!$V1082)</f>
        <v/>
      </c>
      <c r="P1086">
        <f>IF(OR($G1086="",Sync!$AD1082=""),"",Sync!$AD1082)</f>
        <v/>
      </c>
      <c r="Q1086">
        <f>IF($G1086="","",IF(Sync!$U1082="","0000",IF(AND(ISNUMBER(Sync!$U1082),Sync!$U1082&gt;=0,Sync!$U1082&lt;1),RIGHT("00"&amp;HOUR(Sync!$U1082),2)&amp;RIGHT("00"&amp;MINUTE(Sync!$U1082),2),IFERROR(RIGHT("00"&amp;VALUE(LEFT(Sync!$U1082,FIND(":",Sync!$U1082)-1)),2)&amp;RIGHT("00"&amp;VALUE(MID(Sync!$U1082,FIND(":",Sync!$U1082)+1,2)),2),"0000"))))</f>
        <v/>
      </c>
    </row>
    <row r="1087">
      <c r="A1087">
        <f>IF(Sync!$T1083="","",Sync!$T1083)</f>
        <v/>
      </c>
      <c r="B1087">
        <f>IF($A1087="","",IF(ISNUMBER($A1087),IF(AND($A1087&gt;=10000101,$A1087&lt;=99991231),INT($A1087/10000),""),IFERROR(VALUE(TRIM(LEFT($A1087,FIND("/",$A1087)-1))),"")))</f>
        <v/>
      </c>
      <c r="C1087">
        <f>IF(OR($A1087="",$B1087=""),"",IF(ISNUMBER($A1087),INT(MOD($A1087,10000)/100),IFERROR(VALUE(TRIM(LEFT(MID($A1087,FIND("/",$A1087)+1,20),FIND("/",MID($A1087,FIND("/",$A1087)+1,20))-1))),"")))</f>
        <v/>
      </c>
      <c r="D1087">
        <f>IF(OR($A1087="",$B1087=""),"",IF(ISNUMBER($A1087),MOD($A1087,100),IFERROR(VALUE(TRIM(MID(MID($A1087,FIND("/",$A1087)+1,20),FIND("/",MID($A1087,FIND("/",$A1087)+1,20))+1,20))),"")))</f>
        <v/>
      </c>
      <c r="E1087">
        <f>IF($A1087="","",IF(OR($B1087="",$C1087="",$D1087="",$B1087&lt;1300,$B1087&gt;1500,$C1087&lt;1,$C1087&gt;12,$D1087&lt;1,$D1087&gt;31),"نامعتبر",RIGHT("0000"&amp;$B1087,4)&amp;"/"&amp;RIGHT("00"&amp;$C1087,2)&amp;"/"&amp;RIGHT("00"&amp;$D1087,2)))</f>
        <v/>
      </c>
      <c r="F1087">
        <f>IF(OR($E1087="",$E1087="نامعتبر"),"",LEFT($E1087,4)&amp;"/"&amp;MID($E1087,6,2))</f>
        <v/>
      </c>
      <c r="G1087">
        <f>IF(OR($E1087="",$E1087="نامعتبر",Sync!$X1083=""),"",IF(AND(LEFT(UPPER(TRIM(Sync!$X1083)),2)="SL",IFERROR(VLOOKUP(Sync!$W1083,OpTbl,3,0),"")="فروش"),UPPER(TRIM(Sync!$X1083)),""))</f>
        <v/>
      </c>
      <c r="H1087">
        <f>IF($G1087="","",IF(Sync!$W1083="","",Sync!$W1083))</f>
        <v/>
      </c>
      <c r="I1087">
        <f>IF(OR($G1087="",Sync!$Y1083=""),"",Sync!$Y1083)</f>
        <v/>
      </c>
      <c r="J1087">
        <f>IF(OR($G1087="",Sync!$Z1083=""),"",Sync!$Z1083)</f>
        <v/>
      </c>
      <c r="K1087">
        <f>IF($G1087="",0,IF(Sync!$AA1083="",0,Sync!$AA1083))</f>
        <v/>
      </c>
      <c r="L1087">
        <f>IF($G1087="",0,IF(Sync!$AB1083="",0,Sync!$AB1083))</f>
        <v/>
      </c>
      <c r="M1087">
        <f>IF($G1087="","",IF($H1087="مرجوعی فروش",-1,1)*($K1087-$L1087*IFERROR(VLOOKUP("P01",ParamTbl,3,0),1.5)))</f>
        <v/>
      </c>
      <c r="N1087">
        <f>IF($G1087="",0,IF($H1087="مرجوعی فروش",-1,1)*IF(Sync!$AC1083="",0,Sync!$AC1083))</f>
        <v/>
      </c>
      <c r="O1087">
        <f>IF(OR($G1087="",Sync!$V1083=""),"",Sync!$V1083)</f>
        <v/>
      </c>
      <c r="P1087">
        <f>IF(OR($G1087="",Sync!$AD1083=""),"",Sync!$AD1083)</f>
        <v/>
      </c>
      <c r="Q1087">
        <f>IF($G1087="","",IF(Sync!$U1083="","0000",IF(AND(ISNUMBER(Sync!$U1083),Sync!$U1083&gt;=0,Sync!$U1083&lt;1),RIGHT("00"&amp;HOUR(Sync!$U1083),2)&amp;RIGHT("00"&amp;MINUTE(Sync!$U1083),2),IFERROR(RIGHT("00"&amp;VALUE(LEFT(Sync!$U1083,FIND(":",Sync!$U1083)-1)),2)&amp;RIGHT("00"&amp;VALUE(MID(Sync!$U1083,FIND(":",Sync!$U1083)+1,2)),2),"0000"))))</f>
        <v/>
      </c>
    </row>
    <row r="1088">
      <c r="A1088">
        <f>IF(Sync!$T1084="","",Sync!$T1084)</f>
        <v/>
      </c>
      <c r="B1088">
        <f>IF($A1088="","",IF(ISNUMBER($A1088),IF(AND($A1088&gt;=10000101,$A1088&lt;=99991231),INT($A1088/10000),""),IFERROR(VALUE(TRIM(LEFT($A1088,FIND("/",$A1088)-1))),"")))</f>
        <v/>
      </c>
      <c r="C1088">
        <f>IF(OR($A1088="",$B1088=""),"",IF(ISNUMBER($A1088),INT(MOD($A1088,10000)/100),IFERROR(VALUE(TRIM(LEFT(MID($A1088,FIND("/",$A1088)+1,20),FIND("/",MID($A1088,FIND("/",$A1088)+1,20))-1))),"")))</f>
        <v/>
      </c>
      <c r="D1088">
        <f>IF(OR($A1088="",$B1088=""),"",IF(ISNUMBER($A1088),MOD($A1088,100),IFERROR(VALUE(TRIM(MID(MID($A1088,FIND("/",$A1088)+1,20),FIND("/",MID($A1088,FIND("/",$A1088)+1,20))+1,20))),"")))</f>
        <v/>
      </c>
      <c r="E1088">
        <f>IF($A1088="","",IF(OR($B1088="",$C1088="",$D1088="",$B1088&lt;1300,$B1088&gt;1500,$C1088&lt;1,$C1088&gt;12,$D1088&lt;1,$D1088&gt;31),"نامعتبر",RIGHT("0000"&amp;$B1088,4)&amp;"/"&amp;RIGHT("00"&amp;$C1088,2)&amp;"/"&amp;RIGHT("00"&amp;$D1088,2)))</f>
        <v/>
      </c>
      <c r="F1088">
        <f>IF(OR($E1088="",$E1088="نامعتبر"),"",LEFT($E1088,4)&amp;"/"&amp;MID($E1088,6,2))</f>
        <v/>
      </c>
      <c r="G1088">
        <f>IF(OR($E1088="",$E1088="نامعتبر",Sync!$X1084=""),"",IF(AND(LEFT(UPPER(TRIM(Sync!$X1084)),2)="SL",IFERROR(VLOOKUP(Sync!$W1084,OpTbl,3,0),"")="فروش"),UPPER(TRIM(Sync!$X1084)),""))</f>
        <v/>
      </c>
      <c r="H1088">
        <f>IF($G1088="","",IF(Sync!$W1084="","",Sync!$W1084))</f>
        <v/>
      </c>
      <c r="I1088">
        <f>IF(OR($G1088="",Sync!$Y1084=""),"",Sync!$Y1084)</f>
        <v/>
      </c>
      <c r="J1088">
        <f>IF(OR($G1088="",Sync!$Z1084=""),"",Sync!$Z1084)</f>
        <v/>
      </c>
      <c r="K1088">
        <f>IF($G1088="",0,IF(Sync!$AA1084="",0,Sync!$AA1084))</f>
        <v/>
      </c>
      <c r="L1088">
        <f>IF($G1088="",0,IF(Sync!$AB1084="",0,Sync!$AB1084))</f>
        <v/>
      </c>
      <c r="M1088">
        <f>IF($G1088="","",IF($H1088="مرجوعی فروش",-1,1)*($K1088-$L1088*IFERROR(VLOOKUP("P01",ParamTbl,3,0),1.5)))</f>
        <v/>
      </c>
      <c r="N1088">
        <f>IF($G1088="",0,IF($H1088="مرجوعی فروش",-1,1)*IF(Sync!$AC1084="",0,Sync!$AC1084))</f>
        <v/>
      </c>
      <c r="O1088">
        <f>IF(OR($G1088="",Sync!$V1084=""),"",Sync!$V1084)</f>
        <v/>
      </c>
      <c r="P1088">
        <f>IF(OR($G1088="",Sync!$AD1084=""),"",Sync!$AD1084)</f>
        <v/>
      </c>
      <c r="Q1088">
        <f>IF($G1088="","",IF(Sync!$U1084="","0000",IF(AND(ISNUMBER(Sync!$U1084),Sync!$U1084&gt;=0,Sync!$U1084&lt;1),RIGHT("00"&amp;HOUR(Sync!$U1084),2)&amp;RIGHT("00"&amp;MINUTE(Sync!$U1084),2),IFERROR(RIGHT("00"&amp;VALUE(LEFT(Sync!$U1084,FIND(":",Sync!$U1084)-1)),2)&amp;RIGHT("00"&amp;VALUE(MID(Sync!$U1084,FIND(":",Sync!$U1084)+1,2)),2),"0000"))))</f>
        <v/>
      </c>
    </row>
    <row r="1089">
      <c r="A1089">
        <f>IF(Sync!$T1085="","",Sync!$T1085)</f>
        <v/>
      </c>
      <c r="B1089">
        <f>IF($A1089="","",IF(ISNUMBER($A1089),IF(AND($A1089&gt;=10000101,$A1089&lt;=99991231),INT($A1089/10000),""),IFERROR(VALUE(TRIM(LEFT($A1089,FIND("/",$A1089)-1))),"")))</f>
        <v/>
      </c>
      <c r="C1089">
        <f>IF(OR($A1089="",$B1089=""),"",IF(ISNUMBER($A1089),INT(MOD($A1089,10000)/100),IFERROR(VALUE(TRIM(LEFT(MID($A1089,FIND("/",$A1089)+1,20),FIND("/",MID($A1089,FIND("/",$A1089)+1,20))-1))),"")))</f>
        <v/>
      </c>
      <c r="D1089">
        <f>IF(OR($A1089="",$B1089=""),"",IF(ISNUMBER($A1089),MOD($A1089,100),IFERROR(VALUE(TRIM(MID(MID($A1089,FIND("/",$A1089)+1,20),FIND("/",MID($A1089,FIND("/",$A1089)+1,20))+1,20))),"")))</f>
        <v/>
      </c>
      <c r="E1089">
        <f>IF($A1089="","",IF(OR($B1089="",$C1089="",$D1089="",$B1089&lt;1300,$B1089&gt;1500,$C1089&lt;1,$C1089&gt;12,$D1089&lt;1,$D1089&gt;31),"نامعتبر",RIGHT("0000"&amp;$B1089,4)&amp;"/"&amp;RIGHT("00"&amp;$C1089,2)&amp;"/"&amp;RIGHT("00"&amp;$D1089,2)))</f>
        <v/>
      </c>
      <c r="F1089">
        <f>IF(OR($E1089="",$E1089="نامعتبر"),"",LEFT($E1089,4)&amp;"/"&amp;MID($E1089,6,2))</f>
        <v/>
      </c>
      <c r="G1089">
        <f>IF(OR($E1089="",$E1089="نامعتبر",Sync!$X1085=""),"",IF(AND(LEFT(UPPER(TRIM(Sync!$X1085)),2)="SL",IFERROR(VLOOKUP(Sync!$W1085,OpTbl,3,0),"")="فروش"),UPPER(TRIM(Sync!$X1085)),""))</f>
        <v/>
      </c>
      <c r="H1089">
        <f>IF($G1089="","",IF(Sync!$W1085="","",Sync!$W1085))</f>
        <v/>
      </c>
      <c r="I1089">
        <f>IF(OR($G1089="",Sync!$Y1085=""),"",Sync!$Y1085)</f>
        <v/>
      </c>
      <c r="J1089">
        <f>IF(OR($G1089="",Sync!$Z1085=""),"",Sync!$Z1085)</f>
        <v/>
      </c>
      <c r="K1089">
        <f>IF($G1089="",0,IF(Sync!$AA1085="",0,Sync!$AA1085))</f>
        <v/>
      </c>
      <c r="L1089">
        <f>IF($G1089="",0,IF(Sync!$AB1085="",0,Sync!$AB1085))</f>
        <v/>
      </c>
      <c r="M1089">
        <f>IF($G1089="","",IF($H1089="مرجوعی فروش",-1,1)*($K1089-$L1089*IFERROR(VLOOKUP("P01",ParamTbl,3,0),1.5)))</f>
        <v/>
      </c>
      <c r="N1089">
        <f>IF($G1089="",0,IF($H1089="مرجوعی فروش",-1,1)*IF(Sync!$AC1085="",0,Sync!$AC1085))</f>
        <v/>
      </c>
      <c r="O1089">
        <f>IF(OR($G1089="",Sync!$V1085=""),"",Sync!$V1085)</f>
        <v/>
      </c>
      <c r="P1089">
        <f>IF(OR($G1089="",Sync!$AD1085=""),"",Sync!$AD1085)</f>
        <v/>
      </c>
      <c r="Q1089">
        <f>IF($G1089="","",IF(Sync!$U1085="","0000",IF(AND(ISNUMBER(Sync!$U1085),Sync!$U1085&gt;=0,Sync!$U1085&lt;1),RIGHT("00"&amp;HOUR(Sync!$U1085),2)&amp;RIGHT("00"&amp;MINUTE(Sync!$U1085),2),IFERROR(RIGHT("00"&amp;VALUE(LEFT(Sync!$U1085,FIND(":",Sync!$U1085)-1)),2)&amp;RIGHT("00"&amp;VALUE(MID(Sync!$U1085,FIND(":",Sync!$U1085)+1,2)),2),"0000"))))</f>
        <v/>
      </c>
    </row>
    <row r="1090">
      <c r="A1090">
        <f>IF(Sync!$T1086="","",Sync!$T1086)</f>
        <v/>
      </c>
      <c r="B1090">
        <f>IF($A1090="","",IF(ISNUMBER($A1090),IF(AND($A1090&gt;=10000101,$A1090&lt;=99991231),INT($A1090/10000),""),IFERROR(VALUE(TRIM(LEFT($A1090,FIND("/",$A1090)-1))),"")))</f>
        <v/>
      </c>
      <c r="C1090">
        <f>IF(OR($A1090="",$B1090=""),"",IF(ISNUMBER($A1090),INT(MOD($A1090,10000)/100),IFERROR(VALUE(TRIM(LEFT(MID($A1090,FIND("/",$A1090)+1,20),FIND("/",MID($A1090,FIND("/",$A1090)+1,20))-1))),"")))</f>
        <v/>
      </c>
      <c r="D1090">
        <f>IF(OR($A1090="",$B1090=""),"",IF(ISNUMBER($A1090),MOD($A1090,100),IFERROR(VALUE(TRIM(MID(MID($A1090,FIND("/",$A1090)+1,20),FIND("/",MID($A1090,FIND("/",$A1090)+1,20))+1,20))),"")))</f>
        <v/>
      </c>
      <c r="E1090">
        <f>IF($A1090="","",IF(OR($B1090="",$C1090="",$D1090="",$B1090&lt;1300,$B1090&gt;1500,$C1090&lt;1,$C1090&gt;12,$D1090&lt;1,$D1090&gt;31),"نامعتبر",RIGHT("0000"&amp;$B1090,4)&amp;"/"&amp;RIGHT("00"&amp;$C1090,2)&amp;"/"&amp;RIGHT("00"&amp;$D1090,2)))</f>
        <v/>
      </c>
      <c r="F1090">
        <f>IF(OR($E1090="",$E1090="نامعتبر"),"",LEFT($E1090,4)&amp;"/"&amp;MID($E1090,6,2))</f>
        <v/>
      </c>
      <c r="G1090">
        <f>IF(OR($E1090="",$E1090="نامعتبر",Sync!$X1086=""),"",IF(AND(LEFT(UPPER(TRIM(Sync!$X1086)),2)="SL",IFERROR(VLOOKUP(Sync!$W1086,OpTbl,3,0),"")="فروش"),UPPER(TRIM(Sync!$X1086)),""))</f>
        <v/>
      </c>
      <c r="H1090">
        <f>IF($G1090="","",IF(Sync!$W1086="","",Sync!$W1086))</f>
        <v/>
      </c>
      <c r="I1090">
        <f>IF(OR($G1090="",Sync!$Y1086=""),"",Sync!$Y1086)</f>
        <v/>
      </c>
      <c r="J1090">
        <f>IF(OR($G1090="",Sync!$Z1086=""),"",Sync!$Z1086)</f>
        <v/>
      </c>
      <c r="K1090">
        <f>IF($G1090="",0,IF(Sync!$AA1086="",0,Sync!$AA1086))</f>
        <v/>
      </c>
      <c r="L1090">
        <f>IF($G1090="",0,IF(Sync!$AB1086="",0,Sync!$AB1086))</f>
        <v/>
      </c>
      <c r="M1090">
        <f>IF($G1090="","",IF($H1090="مرجوعی فروش",-1,1)*($K1090-$L1090*IFERROR(VLOOKUP("P01",ParamTbl,3,0),1.5)))</f>
        <v/>
      </c>
      <c r="N1090">
        <f>IF($G1090="",0,IF($H1090="مرجوعی فروش",-1,1)*IF(Sync!$AC1086="",0,Sync!$AC1086))</f>
        <v/>
      </c>
      <c r="O1090">
        <f>IF(OR($G1090="",Sync!$V1086=""),"",Sync!$V1086)</f>
        <v/>
      </c>
      <c r="P1090">
        <f>IF(OR($G1090="",Sync!$AD1086=""),"",Sync!$AD1086)</f>
        <v/>
      </c>
      <c r="Q1090">
        <f>IF($G1090="","",IF(Sync!$U1086="","0000",IF(AND(ISNUMBER(Sync!$U1086),Sync!$U1086&gt;=0,Sync!$U1086&lt;1),RIGHT("00"&amp;HOUR(Sync!$U1086),2)&amp;RIGHT("00"&amp;MINUTE(Sync!$U1086),2),IFERROR(RIGHT("00"&amp;VALUE(LEFT(Sync!$U1086,FIND(":",Sync!$U1086)-1)),2)&amp;RIGHT("00"&amp;VALUE(MID(Sync!$U1086,FIND(":",Sync!$U1086)+1,2)),2),"0000"))))</f>
        <v/>
      </c>
    </row>
    <row r="1091">
      <c r="A1091">
        <f>IF(Sync!$T1087="","",Sync!$T1087)</f>
        <v/>
      </c>
      <c r="B1091">
        <f>IF($A1091="","",IF(ISNUMBER($A1091),IF(AND($A1091&gt;=10000101,$A1091&lt;=99991231),INT($A1091/10000),""),IFERROR(VALUE(TRIM(LEFT($A1091,FIND("/",$A1091)-1))),"")))</f>
        <v/>
      </c>
      <c r="C1091">
        <f>IF(OR($A1091="",$B1091=""),"",IF(ISNUMBER($A1091),INT(MOD($A1091,10000)/100),IFERROR(VALUE(TRIM(LEFT(MID($A1091,FIND("/",$A1091)+1,20),FIND("/",MID($A1091,FIND("/",$A1091)+1,20))-1))),"")))</f>
        <v/>
      </c>
      <c r="D1091">
        <f>IF(OR($A1091="",$B1091=""),"",IF(ISNUMBER($A1091),MOD($A1091,100),IFERROR(VALUE(TRIM(MID(MID($A1091,FIND("/",$A1091)+1,20),FIND("/",MID($A1091,FIND("/",$A1091)+1,20))+1,20))),"")))</f>
        <v/>
      </c>
      <c r="E1091">
        <f>IF($A1091="","",IF(OR($B1091="",$C1091="",$D1091="",$B1091&lt;1300,$B1091&gt;1500,$C1091&lt;1,$C1091&gt;12,$D1091&lt;1,$D1091&gt;31),"نامعتبر",RIGHT("0000"&amp;$B1091,4)&amp;"/"&amp;RIGHT("00"&amp;$C1091,2)&amp;"/"&amp;RIGHT("00"&amp;$D1091,2)))</f>
        <v/>
      </c>
      <c r="F1091">
        <f>IF(OR($E1091="",$E1091="نامعتبر"),"",LEFT($E1091,4)&amp;"/"&amp;MID($E1091,6,2))</f>
        <v/>
      </c>
      <c r="G1091">
        <f>IF(OR($E1091="",$E1091="نامعتبر",Sync!$X1087=""),"",IF(AND(LEFT(UPPER(TRIM(Sync!$X1087)),2)="SL",IFERROR(VLOOKUP(Sync!$W1087,OpTbl,3,0),"")="فروش"),UPPER(TRIM(Sync!$X1087)),""))</f>
        <v/>
      </c>
      <c r="H1091">
        <f>IF($G1091="","",IF(Sync!$W1087="","",Sync!$W1087))</f>
        <v/>
      </c>
      <c r="I1091">
        <f>IF(OR($G1091="",Sync!$Y1087=""),"",Sync!$Y1087)</f>
        <v/>
      </c>
      <c r="J1091">
        <f>IF(OR($G1091="",Sync!$Z1087=""),"",Sync!$Z1087)</f>
        <v/>
      </c>
      <c r="K1091">
        <f>IF($G1091="",0,IF(Sync!$AA1087="",0,Sync!$AA1087))</f>
        <v/>
      </c>
      <c r="L1091">
        <f>IF($G1091="",0,IF(Sync!$AB1087="",0,Sync!$AB1087))</f>
        <v/>
      </c>
      <c r="M1091">
        <f>IF($G1091="","",IF($H1091="مرجوعی فروش",-1,1)*($K1091-$L1091*IFERROR(VLOOKUP("P01",ParamTbl,3,0),1.5)))</f>
        <v/>
      </c>
      <c r="N1091">
        <f>IF($G1091="",0,IF($H1091="مرجوعی فروش",-1,1)*IF(Sync!$AC1087="",0,Sync!$AC1087))</f>
        <v/>
      </c>
      <c r="O1091">
        <f>IF(OR($G1091="",Sync!$V1087=""),"",Sync!$V1087)</f>
        <v/>
      </c>
      <c r="P1091">
        <f>IF(OR($G1091="",Sync!$AD1087=""),"",Sync!$AD1087)</f>
        <v/>
      </c>
      <c r="Q1091">
        <f>IF($G1091="","",IF(Sync!$U1087="","0000",IF(AND(ISNUMBER(Sync!$U1087),Sync!$U1087&gt;=0,Sync!$U1087&lt;1),RIGHT("00"&amp;HOUR(Sync!$U1087),2)&amp;RIGHT("00"&amp;MINUTE(Sync!$U1087),2),IFERROR(RIGHT("00"&amp;VALUE(LEFT(Sync!$U1087,FIND(":",Sync!$U1087)-1)),2)&amp;RIGHT("00"&amp;VALUE(MID(Sync!$U1087,FIND(":",Sync!$U1087)+1,2)),2),"0000"))))</f>
        <v/>
      </c>
    </row>
    <row r="1092">
      <c r="A1092">
        <f>IF(Sync!$T1088="","",Sync!$T1088)</f>
        <v/>
      </c>
      <c r="B1092">
        <f>IF($A1092="","",IF(ISNUMBER($A1092),IF(AND($A1092&gt;=10000101,$A1092&lt;=99991231),INT($A1092/10000),""),IFERROR(VALUE(TRIM(LEFT($A1092,FIND("/",$A1092)-1))),"")))</f>
        <v/>
      </c>
      <c r="C1092">
        <f>IF(OR($A1092="",$B1092=""),"",IF(ISNUMBER($A1092),INT(MOD($A1092,10000)/100),IFERROR(VALUE(TRIM(LEFT(MID($A1092,FIND("/",$A1092)+1,20),FIND("/",MID($A1092,FIND("/",$A1092)+1,20))-1))),"")))</f>
        <v/>
      </c>
      <c r="D1092">
        <f>IF(OR($A1092="",$B1092=""),"",IF(ISNUMBER($A1092),MOD($A1092,100),IFERROR(VALUE(TRIM(MID(MID($A1092,FIND("/",$A1092)+1,20),FIND("/",MID($A1092,FIND("/",$A1092)+1,20))+1,20))),"")))</f>
        <v/>
      </c>
      <c r="E1092">
        <f>IF($A1092="","",IF(OR($B1092="",$C1092="",$D1092="",$B1092&lt;1300,$B1092&gt;1500,$C1092&lt;1,$C1092&gt;12,$D1092&lt;1,$D1092&gt;31),"نامعتبر",RIGHT("0000"&amp;$B1092,4)&amp;"/"&amp;RIGHT("00"&amp;$C1092,2)&amp;"/"&amp;RIGHT("00"&amp;$D1092,2)))</f>
        <v/>
      </c>
      <c r="F1092">
        <f>IF(OR($E1092="",$E1092="نامعتبر"),"",LEFT($E1092,4)&amp;"/"&amp;MID($E1092,6,2))</f>
        <v/>
      </c>
      <c r="G1092">
        <f>IF(OR($E1092="",$E1092="نامعتبر",Sync!$X1088=""),"",IF(AND(LEFT(UPPER(TRIM(Sync!$X1088)),2)="SL",IFERROR(VLOOKUP(Sync!$W1088,OpTbl,3,0),"")="فروش"),UPPER(TRIM(Sync!$X1088)),""))</f>
        <v/>
      </c>
      <c r="H1092">
        <f>IF($G1092="","",IF(Sync!$W1088="","",Sync!$W1088))</f>
        <v/>
      </c>
      <c r="I1092">
        <f>IF(OR($G1092="",Sync!$Y1088=""),"",Sync!$Y1088)</f>
        <v/>
      </c>
      <c r="J1092">
        <f>IF(OR($G1092="",Sync!$Z1088=""),"",Sync!$Z1088)</f>
        <v/>
      </c>
      <c r="K1092">
        <f>IF($G1092="",0,IF(Sync!$AA1088="",0,Sync!$AA1088))</f>
        <v/>
      </c>
      <c r="L1092">
        <f>IF($G1092="",0,IF(Sync!$AB1088="",0,Sync!$AB1088))</f>
        <v/>
      </c>
      <c r="M1092">
        <f>IF($G1092="","",IF($H1092="مرجوعی فروش",-1,1)*($K1092-$L1092*IFERROR(VLOOKUP("P01",ParamTbl,3,0),1.5)))</f>
        <v/>
      </c>
      <c r="N1092">
        <f>IF($G1092="",0,IF($H1092="مرجوعی فروش",-1,1)*IF(Sync!$AC1088="",0,Sync!$AC1088))</f>
        <v/>
      </c>
      <c r="O1092">
        <f>IF(OR($G1092="",Sync!$V1088=""),"",Sync!$V1088)</f>
        <v/>
      </c>
      <c r="P1092">
        <f>IF(OR($G1092="",Sync!$AD1088=""),"",Sync!$AD1088)</f>
        <v/>
      </c>
      <c r="Q1092">
        <f>IF($G1092="","",IF(Sync!$U1088="","0000",IF(AND(ISNUMBER(Sync!$U1088),Sync!$U1088&gt;=0,Sync!$U1088&lt;1),RIGHT("00"&amp;HOUR(Sync!$U1088),2)&amp;RIGHT("00"&amp;MINUTE(Sync!$U1088),2),IFERROR(RIGHT("00"&amp;VALUE(LEFT(Sync!$U1088,FIND(":",Sync!$U1088)-1)),2)&amp;RIGHT("00"&amp;VALUE(MID(Sync!$U1088,FIND(":",Sync!$U1088)+1,2)),2),"0000"))))</f>
        <v/>
      </c>
    </row>
    <row r="1093">
      <c r="A1093">
        <f>IF(Sync!$T1089="","",Sync!$T1089)</f>
        <v/>
      </c>
      <c r="B1093">
        <f>IF($A1093="","",IF(ISNUMBER($A1093),IF(AND($A1093&gt;=10000101,$A1093&lt;=99991231),INT($A1093/10000),""),IFERROR(VALUE(TRIM(LEFT($A1093,FIND("/",$A1093)-1))),"")))</f>
        <v/>
      </c>
      <c r="C1093">
        <f>IF(OR($A1093="",$B1093=""),"",IF(ISNUMBER($A1093),INT(MOD($A1093,10000)/100),IFERROR(VALUE(TRIM(LEFT(MID($A1093,FIND("/",$A1093)+1,20),FIND("/",MID($A1093,FIND("/",$A1093)+1,20))-1))),"")))</f>
        <v/>
      </c>
      <c r="D1093">
        <f>IF(OR($A1093="",$B1093=""),"",IF(ISNUMBER($A1093),MOD($A1093,100),IFERROR(VALUE(TRIM(MID(MID($A1093,FIND("/",$A1093)+1,20),FIND("/",MID($A1093,FIND("/",$A1093)+1,20))+1,20))),"")))</f>
        <v/>
      </c>
      <c r="E1093">
        <f>IF($A1093="","",IF(OR($B1093="",$C1093="",$D1093="",$B1093&lt;1300,$B1093&gt;1500,$C1093&lt;1,$C1093&gt;12,$D1093&lt;1,$D1093&gt;31),"نامعتبر",RIGHT("0000"&amp;$B1093,4)&amp;"/"&amp;RIGHT("00"&amp;$C1093,2)&amp;"/"&amp;RIGHT("00"&amp;$D1093,2)))</f>
        <v/>
      </c>
      <c r="F1093">
        <f>IF(OR($E1093="",$E1093="نامعتبر"),"",LEFT($E1093,4)&amp;"/"&amp;MID($E1093,6,2))</f>
        <v/>
      </c>
      <c r="G1093">
        <f>IF(OR($E1093="",$E1093="نامعتبر",Sync!$X1089=""),"",IF(AND(LEFT(UPPER(TRIM(Sync!$X1089)),2)="SL",IFERROR(VLOOKUP(Sync!$W1089,OpTbl,3,0),"")="فروش"),UPPER(TRIM(Sync!$X1089)),""))</f>
        <v/>
      </c>
      <c r="H1093">
        <f>IF($G1093="","",IF(Sync!$W1089="","",Sync!$W1089))</f>
        <v/>
      </c>
      <c r="I1093">
        <f>IF(OR($G1093="",Sync!$Y1089=""),"",Sync!$Y1089)</f>
        <v/>
      </c>
      <c r="J1093">
        <f>IF(OR($G1093="",Sync!$Z1089=""),"",Sync!$Z1089)</f>
        <v/>
      </c>
      <c r="K1093">
        <f>IF($G1093="",0,IF(Sync!$AA1089="",0,Sync!$AA1089))</f>
        <v/>
      </c>
      <c r="L1093">
        <f>IF($G1093="",0,IF(Sync!$AB1089="",0,Sync!$AB1089))</f>
        <v/>
      </c>
      <c r="M1093">
        <f>IF($G1093="","",IF($H1093="مرجوعی فروش",-1,1)*($K1093-$L1093*IFERROR(VLOOKUP("P01",ParamTbl,3,0),1.5)))</f>
        <v/>
      </c>
      <c r="N1093">
        <f>IF($G1093="",0,IF($H1093="مرجوعی فروش",-1,1)*IF(Sync!$AC1089="",0,Sync!$AC1089))</f>
        <v/>
      </c>
      <c r="O1093">
        <f>IF(OR($G1093="",Sync!$V1089=""),"",Sync!$V1089)</f>
        <v/>
      </c>
      <c r="P1093">
        <f>IF(OR($G1093="",Sync!$AD1089=""),"",Sync!$AD1089)</f>
        <v/>
      </c>
      <c r="Q1093">
        <f>IF($G1093="","",IF(Sync!$U1089="","0000",IF(AND(ISNUMBER(Sync!$U1089),Sync!$U1089&gt;=0,Sync!$U1089&lt;1),RIGHT("00"&amp;HOUR(Sync!$U1089),2)&amp;RIGHT("00"&amp;MINUTE(Sync!$U1089),2),IFERROR(RIGHT("00"&amp;VALUE(LEFT(Sync!$U1089,FIND(":",Sync!$U1089)-1)),2)&amp;RIGHT("00"&amp;VALUE(MID(Sync!$U1089,FIND(":",Sync!$U1089)+1,2)),2),"0000"))))</f>
        <v/>
      </c>
    </row>
    <row r="1094">
      <c r="A1094">
        <f>IF(Sync!$T1090="","",Sync!$T1090)</f>
        <v/>
      </c>
      <c r="B1094">
        <f>IF($A1094="","",IF(ISNUMBER($A1094),IF(AND($A1094&gt;=10000101,$A1094&lt;=99991231),INT($A1094/10000),""),IFERROR(VALUE(TRIM(LEFT($A1094,FIND("/",$A1094)-1))),"")))</f>
        <v/>
      </c>
      <c r="C1094">
        <f>IF(OR($A1094="",$B1094=""),"",IF(ISNUMBER($A1094),INT(MOD($A1094,10000)/100),IFERROR(VALUE(TRIM(LEFT(MID($A1094,FIND("/",$A1094)+1,20),FIND("/",MID($A1094,FIND("/",$A1094)+1,20))-1))),"")))</f>
        <v/>
      </c>
      <c r="D1094">
        <f>IF(OR($A1094="",$B1094=""),"",IF(ISNUMBER($A1094),MOD($A1094,100),IFERROR(VALUE(TRIM(MID(MID($A1094,FIND("/",$A1094)+1,20),FIND("/",MID($A1094,FIND("/",$A1094)+1,20))+1,20))),"")))</f>
        <v/>
      </c>
      <c r="E1094">
        <f>IF($A1094="","",IF(OR($B1094="",$C1094="",$D1094="",$B1094&lt;1300,$B1094&gt;1500,$C1094&lt;1,$C1094&gt;12,$D1094&lt;1,$D1094&gt;31),"نامعتبر",RIGHT("0000"&amp;$B1094,4)&amp;"/"&amp;RIGHT("00"&amp;$C1094,2)&amp;"/"&amp;RIGHT("00"&amp;$D1094,2)))</f>
        <v/>
      </c>
      <c r="F1094">
        <f>IF(OR($E1094="",$E1094="نامعتبر"),"",LEFT($E1094,4)&amp;"/"&amp;MID($E1094,6,2))</f>
        <v/>
      </c>
      <c r="G1094">
        <f>IF(OR($E1094="",$E1094="نامعتبر",Sync!$X1090=""),"",IF(AND(LEFT(UPPER(TRIM(Sync!$X1090)),2)="SL",IFERROR(VLOOKUP(Sync!$W1090,OpTbl,3,0),"")="فروش"),UPPER(TRIM(Sync!$X1090)),""))</f>
        <v/>
      </c>
      <c r="H1094">
        <f>IF($G1094="","",IF(Sync!$W1090="","",Sync!$W1090))</f>
        <v/>
      </c>
      <c r="I1094">
        <f>IF(OR($G1094="",Sync!$Y1090=""),"",Sync!$Y1090)</f>
        <v/>
      </c>
      <c r="J1094">
        <f>IF(OR($G1094="",Sync!$Z1090=""),"",Sync!$Z1090)</f>
        <v/>
      </c>
      <c r="K1094">
        <f>IF($G1094="",0,IF(Sync!$AA1090="",0,Sync!$AA1090))</f>
        <v/>
      </c>
      <c r="L1094">
        <f>IF($G1094="",0,IF(Sync!$AB1090="",0,Sync!$AB1090))</f>
        <v/>
      </c>
      <c r="M1094">
        <f>IF($G1094="","",IF($H1094="مرجوعی فروش",-1,1)*($K1094-$L1094*IFERROR(VLOOKUP("P01",ParamTbl,3,0),1.5)))</f>
        <v/>
      </c>
      <c r="N1094">
        <f>IF($G1094="",0,IF($H1094="مرجوعی فروش",-1,1)*IF(Sync!$AC1090="",0,Sync!$AC1090))</f>
        <v/>
      </c>
      <c r="O1094">
        <f>IF(OR($G1094="",Sync!$V1090=""),"",Sync!$V1090)</f>
        <v/>
      </c>
      <c r="P1094">
        <f>IF(OR($G1094="",Sync!$AD1090=""),"",Sync!$AD1090)</f>
        <v/>
      </c>
      <c r="Q1094">
        <f>IF($G1094="","",IF(Sync!$U1090="","0000",IF(AND(ISNUMBER(Sync!$U1090),Sync!$U1090&gt;=0,Sync!$U1090&lt;1),RIGHT("00"&amp;HOUR(Sync!$U1090),2)&amp;RIGHT("00"&amp;MINUTE(Sync!$U1090),2),IFERROR(RIGHT("00"&amp;VALUE(LEFT(Sync!$U1090,FIND(":",Sync!$U1090)-1)),2)&amp;RIGHT("00"&amp;VALUE(MID(Sync!$U1090,FIND(":",Sync!$U1090)+1,2)),2),"0000"))))</f>
        <v/>
      </c>
    </row>
    <row r="1095">
      <c r="A1095">
        <f>IF(Sync!$T1091="","",Sync!$T1091)</f>
        <v/>
      </c>
      <c r="B1095">
        <f>IF($A1095="","",IF(ISNUMBER($A1095),IF(AND($A1095&gt;=10000101,$A1095&lt;=99991231),INT($A1095/10000),""),IFERROR(VALUE(TRIM(LEFT($A1095,FIND("/",$A1095)-1))),"")))</f>
        <v/>
      </c>
      <c r="C1095">
        <f>IF(OR($A1095="",$B1095=""),"",IF(ISNUMBER($A1095),INT(MOD($A1095,10000)/100),IFERROR(VALUE(TRIM(LEFT(MID($A1095,FIND("/",$A1095)+1,20),FIND("/",MID($A1095,FIND("/",$A1095)+1,20))-1))),"")))</f>
        <v/>
      </c>
      <c r="D1095">
        <f>IF(OR($A1095="",$B1095=""),"",IF(ISNUMBER($A1095),MOD($A1095,100),IFERROR(VALUE(TRIM(MID(MID($A1095,FIND("/",$A1095)+1,20),FIND("/",MID($A1095,FIND("/",$A1095)+1,20))+1,20))),"")))</f>
        <v/>
      </c>
      <c r="E1095">
        <f>IF($A1095="","",IF(OR($B1095="",$C1095="",$D1095="",$B1095&lt;1300,$B1095&gt;1500,$C1095&lt;1,$C1095&gt;12,$D1095&lt;1,$D1095&gt;31),"نامعتبر",RIGHT("0000"&amp;$B1095,4)&amp;"/"&amp;RIGHT("00"&amp;$C1095,2)&amp;"/"&amp;RIGHT("00"&amp;$D1095,2)))</f>
        <v/>
      </c>
      <c r="F1095">
        <f>IF(OR($E1095="",$E1095="نامعتبر"),"",LEFT($E1095,4)&amp;"/"&amp;MID($E1095,6,2))</f>
        <v/>
      </c>
      <c r="G1095">
        <f>IF(OR($E1095="",$E1095="نامعتبر",Sync!$X1091=""),"",IF(AND(LEFT(UPPER(TRIM(Sync!$X1091)),2)="SL",IFERROR(VLOOKUP(Sync!$W1091,OpTbl,3,0),"")="فروش"),UPPER(TRIM(Sync!$X1091)),""))</f>
        <v/>
      </c>
      <c r="H1095">
        <f>IF($G1095="","",IF(Sync!$W1091="","",Sync!$W1091))</f>
        <v/>
      </c>
      <c r="I1095">
        <f>IF(OR($G1095="",Sync!$Y1091=""),"",Sync!$Y1091)</f>
        <v/>
      </c>
      <c r="J1095">
        <f>IF(OR($G1095="",Sync!$Z1091=""),"",Sync!$Z1091)</f>
        <v/>
      </c>
      <c r="K1095">
        <f>IF($G1095="",0,IF(Sync!$AA1091="",0,Sync!$AA1091))</f>
        <v/>
      </c>
      <c r="L1095">
        <f>IF($G1095="",0,IF(Sync!$AB1091="",0,Sync!$AB1091))</f>
        <v/>
      </c>
      <c r="M1095">
        <f>IF($G1095="","",IF($H1095="مرجوعی فروش",-1,1)*($K1095-$L1095*IFERROR(VLOOKUP("P01",ParamTbl,3,0),1.5)))</f>
        <v/>
      </c>
      <c r="N1095">
        <f>IF($G1095="",0,IF($H1095="مرجوعی فروش",-1,1)*IF(Sync!$AC1091="",0,Sync!$AC1091))</f>
        <v/>
      </c>
      <c r="O1095">
        <f>IF(OR($G1095="",Sync!$V1091=""),"",Sync!$V1091)</f>
        <v/>
      </c>
      <c r="P1095">
        <f>IF(OR($G1095="",Sync!$AD1091=""),"",Sync!$AD1091)</f>
        <v/>
      </c>
      <c r="Q1095">
        <f>IF($G1095="","",IF(Sync!$U1091="","0000",IF(AND(ISNUMBER(Sync!$U1091),Sync!$U1091&gt;=0,Sync!$U1091&lt;1),RIGHT("00"&amp;HOUR(Sync!$U1091),2)&amp;RIGHT("00"&amp;MINUTE(Sync!$U1091),2),IFERROR(RIGHT("00"&amp;VALUE(LEFT(Sync!$U1091,FIND(":",Sync!$U1091)-1)),2)&amp;RIGHT("00"&amp;VALUE(MID(Sync!$U1091,FIND(":",Sync!$U1091)+1,2)),2),"0000"))))</f>
        <v/>
      </c>
    </row>
    <row r="1096">
      <c r="A1096">
        <f>IF(Sync!$T1092="","",Sync!$T1092)</f>
        <v/>
      </c>
      <c r="B1096">
        <f>IF($A1096="","",IF(ISNUMBER($A1096),IF(AND($A1096&gt;=10000101,$A1096&lt;=99991231),INT($A1096/10000),""),IFERROR(VALUE(TRIM(LEFT($A1096,FIND("/",$A1096)-1))),"")))</f>
        <v/>
      </c>
      <c r="C1096">
        <f>IF(OR($A1096="",$B1096=""),"",IF(ISNUMBER($A1096),INT(MOD($A1096,10000)/100),IFERROR(VALUE(TRIM(LEFT(MID($A1096,FIND("/",$A1096)+1,20),FIND("/",MID($A1096,FIND("/",$A1096)+1,20))-1))),"")))</f>
        <v/>
      </c>
      <c r="D1096">
        <f>IF(OR($A1096="",$B1096=""),"",IF(ISNUMBER($A1096),MOD($A1096,100),IFERROR(VALUE(TRIM(MID(MID($A1096,FIND("/",$A1096)+1,20),FIND("/",MID($A1096,FIND("/",$A1096)+1,20))+1,20))),"")))</f>
        <v/>
      </c>
      <c r="E1096">
        <f>IF($A1096="","",IF(OR($B1096="",$C1096="",$D1096="",$B1096&lt;1300,$B1096&gt;1500,$C1096&lt;1,$C1096&gt;12,$D1096&lt;1,$D1096&gt;31),"نامعتبر",RIGHT("0000"&amp;$B1096,4)&amp;"/"&amp;RIGHT("00"&amp;$C1096,2)&amp;"/"&amp;RIGHT("00"&amp;$D1096,2)))</f>
        <v/>
      </c>
      <c r="F1096">
        <f>IF(OR($E1096="",$E1096="نامعتبر"),"",LEFT($E1096,4)&amp;"/"&amp;MID($E1096,6,2))</f>
        <v/>
      </c>
      <c r="G1096">
        <f>IF(OR($E1096="",$E1096="نامعتبر",Sync!$X1092=""),"",IF(AND(LEFT(UPPER(TRIM(Sync!$X1092)),2)="SL",IFERROR(VLOOKUP(Sync!$W1092,OpTbl,3,0),"")="فروش"),UPPER(TRIM(Sync!$X1092)),""))</f>
        <v/>
      </c>
      <c r="H1096">
        <f>IF($G1096="","",IF(Sync!$W1092="","",Sync!$W1092))</f>
        <v/>
      </c>
      <c r="I1096">
        <f>IF(OR($G1096="",Sync!$Y1092=""),"",Sync!$Y1092)</f>
        <v/>
      </c>
      <c r="J1096">
        <f>IF(OR($G1096="",Sync!$Z1092=""),"",Sync!$Z1092)</f>
        <v/>
      </c>
      <c r="K1096">
        <f>IF($G1096="",0,IF(Sync!$AA1092="",0,Sync!$AA1092))</f>
        <v/>
      </c>
      <c r="L1096">
        <f>IF($G1096="",0,IF(Sync!$AB1092="",0,Sync!$AB1092))</f>
        <v/>
      </c>
      <c r="M1096">
        <f>IF($G1096="","",IF($H1096="مرجوعی فروش",-1,1)*($K1096-$L1096*IFERROR(VLOOKUP("P01",ParamTbl,3,0),1.5)))</f>
        <v/>
      </c>
      <c r="N1096">
        <f>IF($G1096="",0,IF($H1096="مرجوعی فروش",-1,1)*IF(Sync!$AC1092="",0,Sync!$AC1092))</f>
        <v/>
      </c>
      <c r="O1096">
        <f>IF(OR($G1096="",Sync!$V1092=""),"",Sync!$V1092)</f>
        <v/>
      </c>
      <c r="P1096">
        <f>IF(OR($G1096="",Sync!$AD1092=""),"",Sync!$AD1092)</f>
        <v/>
      </c>
      <c r="Q1096">
        <f>IF($G1096="","",IF(Sync!$U1092="","0000",IF(AND(ISNUMBER(Sync!$U1092),Sync!$U1092&gt;=0,Sync!$U1092&lt;1),RIGHT("00"&amp;HOUR(Sync!$U1092),2)&amp;RIGHT("00"&amp;MINUTE(Sync!$U1092),2),IFERROR(RIGHT("00"&amp;VALUE(LEFT(Sync!$U1092,FIND(":",Sync!$U1092)-1)),2)&amp;RIGHT("00"&amp;VALUE(MID(Sync!$U1092,FIND(":",Sync!$U1092)+1,2)),2),"0000"))))</f>
        <v/>
      </c>
    </row>
    <row r="1097">
      <c r="A1097">
        <f>IF(Sync!$T1093="","",Sync!$T1093)</f>
        <v/>
      </c>
      <c r="B1097">
        <f>IF($A1097="","",IF(ISNUMBER($A1097),IF(AND($A1097&gt;=10000101,$A1097&lt;=99991231),INT($A1097/10000),""),IFERROR(VALUE(TRIM(LEFT($A1097,FIND("/",$A1097)-1))),"")))</f>
        <v/>
      </c>
      <c r="C1097">
        <f>IF(OR($A1097="",$B1097=""),"",IF(ISNUMBER($A1097),INT(MOD($A1097,10000)/100),IFERROR(VALUE(TRIM(LEFT(MID($A1097,FIND("/",$A1097)+1,20),FIND("/",MID($A1097,FIND("/",$A1097)+1,20))-1))),"")))</f>
        <v/>
      </c>
      <c r="D1097">
        <f>IF(OR($A1097="",$B1097=""),"",IF(ISNUMBER($A1097),MOD($A1097,100),IFERROR(VALUE(TRIM(MID(MID($A1097,FIND("/",$A1097)+1,20),FIND("/",MID($A1097,FIND("/",$A1097)+1,20))+1,20))),"")))</f>
        <v/>
      </c>
      <c r="E1097">
        <f>IF($A1097="","",IF(OR($B1097="",$C1097="",$D1097="",$B1097&lt;1300,$B1097&gt;1500,$C1097&lt;1,$C1097&gt;12,$D1097&lt;1,$D1097&gt;31),"نامعتبر",RIGHT("0000"&amp;$B1097,4)&amp;"/"&amp;RIGHT("00"&amp;$C1097,2)&amp;"/"&amp;RIGHT("00"&amp;$D1097,2)))</f>
        <v/>
      </c>
      <c r="F1097">
        <f>IF(OR($E1097="",$E1097="نامعتبر"),"",LEFT($E1097,4)&amp;"/"&amp;MID($E1097,6,2))</f>
        <v/>
      </c>
      <c r="G1097">
        <f>IF(OR($E1097="",$E1097="نامعتبر",Sync!$X1093=""),"",IF(AND(LEFT(UPPER(TRIM(Sync!$X1093)),2)="SL",IFERROR(VLOOKUP(Sync!$W1093,OpTbl,3,0),"")="فروش"),UPPER(TRIM(Sync!$X1093)),""))</f>
        <v/>
      </c>
      <c r="H1097">
        <f>IF($G1097="","",IF(Sync!$W1093="","",Sync!$W1093))</f>
        <v/>
      </c>
      <c r="I1097">
        <f>IF(OR($G1097="",Sync!$Y1093=""),"",Sync!$Y1093)</f>
        <v/>
      </c>
      <c r="J1097">
        <f>IF(OR($G1097="",Sync!$Z1093=""),"",Sync!$Z1093)</f>
        <v/>
      </c>
      <c r="K1097">
        <f>IF($G1097="",0,IF(Sync!$AA1093="",0,Sync!$AA1093))</f>
        <v/>
      </c>
      <c r="L1097">
        <f>IF($G1097="",0,IF(Sync!$AB1093="",0,Sync!$AB1093))</f>
        <v/>
      </c>
      <c r="M1097">
        <f>IF($G1097="","",IF($H1097="مرجوعی فروش",-1,1)*($K1097-$L1097*IFERROR(VLOOKUP("P01",ParamTbl,3,0),1.5)))</f>
        <v/>
      </c>
      <c r="N1097">
        <f>IF($G1097="",0,IF($H1097="مرجوعی فروش",-1,1)*IF(Sync!$AC1093="",0,Sync!$AC1093))</f>
        <v/>
      </c>
      <c r="O1097">
        <f>IF(OR($G1097="",Sync!$V1093=""),"",Sync!$V1093)</f>
        <v/>
      </c>
      <c r="P1097">
        <f>IF(OR($G1097="",Sync!$AD1093=""),"",Sync!$AD1093)</f>
        <v/>
      </c>
      <c r="Q1097">
        <f>IF($G1097="","",IF(Sync!$U1093="","0000",IF(AND(ISNUMBER(Sync!$U1093),Sync!$U1093&gt;=0,Sync!$U1093&lt;1),RIGHT("00"&amp;HOUR(Sync!$U1093),2)&amp;RIGHT("00"&amp;MINUTE(Sync!$U1093),2),IFERROR(RIGHT("00"&amp;VALUE(LEFT(Sync!$U1093,FIND(":",Sync!$U1093)-1)),2)&amp;RIGHT("00"&amp;VALUE(MID(Sync!$U1093,FIND(":",Sync!$U1093)+1,2)),2),"0000"))))</f>
        <v/>
      </c>
    </row>
    <row r="1098">
      <c r="A1098">
        <f>IF(Sync!$T1094="","",Sync!$T1094)</f>
        <v/>
      </c>
      <c r="B1098">
        <f>IF($A1098="","",IF(ISNUMBER($A1098),IF(AND($A1098&gt;=10000101,$A1098&lt;=99991231),INT($A1098/10000),""),IFERROR(VALUE(TRIM(LEFT($A1098,FIND("/",$A1098)-1))),"")))</f>
        <v/>
      </c>
      <c r="C1098">
        <f>IF(OR($A1098="",$B1098=""),"",IF(ISNUMBER($A1098),INT(MOD($A1098,10000)/100),IFERROR(VALUE(TRIM(LEFT(MID($A1098,FIND("/",$A1098)+1,20),FIND("/",MID($A1098,FIND("/",$A1098)+1,20))-1))),"")))</f>
        <v/>
      </c>
      <c r="D1098">
        <f>IF(OR($A1098="",$B1098=""),"",IF(ISNUMBER($A1098),MOD($A1098,100),IFERROR(VALUE(TRIM(MID(MID($A1098,FIND("/",$A1098)+1,20),FIND("/",MID($A1098,FIND("/",$A1098)+1,20))+1,20))),"")))</f>
        <v/>
      </c>
      <c r="E1098">
        <f>IF($A1098="","",IF(OR($B1098="",$C1098="",$D1098="",$B1098&lt;1300,$B1098&gt;1500,$C1098&lt;1,$C1098&gt;12,$D1098&lt;1,$D1098&gt;31),"نامعتبر",RIGHT("0000"&amp;$B1098,4)&amp;"/"&amp;RIGHT("00"&amp;$C1098,2)&amp;"/"&amp;RIGHT("00"&amp;$D1098,2)))</f>
        <v/>
      </c>
      <c r="F1098">
        <f>IF(OR($E1098="",$E1098="نامعتبر"),"",LEFT($E1098,4)&amp;"/"&amp;MID($E1098,6,2))</f>
        <v/>
      </c>
      <c r="G1098">
        <f>IF(OR($E1098="",$E1098="نامعتبر",Sync!$X1094=""),"",IF(AND(LEFT(UPPER(TRIM(Sync!$X1094)),2)="SL",IFERROR(VLOOKUP(Sync!$W1094,OpTbl,3,0),"")="فروش"),UPPER(TRIM(Sync!$X1094)),""))</f>
        <v/>
      </c>
      <c r="H1098">
        <f>IF($G1098="","",IF(Sync!$W1094="","",Sync!$W1094))</f>
        <v/>
      </c>
      <c r="I1098">
        <f>IF(OR($G1098="",Sync!$Y1094=""),"",Sync!$Y1094)</f>
        <v/>
      </c>
      <c r="J1098">
        <f>IF(OR($G1098="",Sync!$Z1094=""),"",Sync!$Z1094)</f>
        <v/>
      </c>
      <c r="K1098">
        <f>IF($G1098="",0,IF(Sync!$AA1094="",0,Sync!$AA1094))</f>
        <v/>
      </c>
      <c r="L1098">
        <f>IF($G1098="",0,IF(Sync!$AB1094="",0,Sync!$AB1094))</f>
        <v/>
      </c>
      <c r="M1098">
        <f>IF($G1098="","",IF($H1098="مرجوعی فروش",-1,1)*($K1098-$L1098*IFERROR(VLOOKUP("P01",ParamTbl,3,0),1.5)))</f>
        <v/>
      </c>
      <c r="N1098">
        <f>IF($G1098="",0,IF($H1098="مرجوعی فروش",-1,1)*IF(Sync!$AC1094="",0,Sync!$AC1094))</f>
        <v/>
      </c>
      <c r="O1098">
        <f>IF(OR($G1098="",Sync!$V1094=""),"",Sync!$V1094)</f>
        <v/>
      </c>
      <c r="P1098">
        <f>IF(OR($G1098="",Sync!$AD1094=""),"",Sync!$AD1094)</f>
        <v/>
      </c>
      <c r="Q1098">
        <f>IF($G1098="","",IF(Sync!$U1094="","0000",IF(AND(ISNUMBER(Sync!$U1094),Sync!$U1094&gt;=0,Sync!$U1094&lt;1),RIGHT("00"&amp;HOUR(Sync!$U1094),2)&amp;RIGHT("00"&amp;MINUTE(Sync!$U1094),2),IFERROR(RIGHT("00"&amp;VALUE(LEFT(Sync!$U1094,FIND(":",Sync!$U1094)-1)),2)&amp;RIGHT("00"&amp;VALUE(MID(Sync!$U1094,FIND(":",Sync!$U1094)+1,2)),2),"0000"))))</f>
        <v/>
      </c>
    </row>
    <row r="1099">
      <c r="A1099">
        <f>IF(Sync!$T1095="","",Sync!$T1095)</f>
        <v/>
      </c>
      <c r="B1099">
        <f>IF($A1099="","",IF(ISNUMBER($A1099),IF(AND($A1099&gt;=10000101,$A1099&lt;=99991231),INT($A1099/10000),""),IFERROR(VALUE(TRIM(LEFT($A1099,FIND("/",$A1099)-1))),"")))</f>
        <v/>
      </c>
      <c r="C1099">
        <f>IF(OR($A1099="",$B1099=""),"",IF(ISNUMBER($A1099),INT(MOD($A1099,10000)/100),IFERROR(VALUE(TRIM(LEFT(MID($A1099,FIND("/",$A1099)+1,20),FIND("/",MID($A1099,FIND("/",$A1099)+1,20))-1))),"")))</f>
        <v/>
      </c>
      <c r="D1099">
        <f>IF(OR($A1099="",$B1099=""),"",IF(ISNUMBER($A1099),MOD($A1099,100),IFERROR(VALUE(TRIM(MID(MID($A1099,FIND("/",$A1099)+1,20),FIND("/",MID($A1099,FIND("/",$A1099)+1,20))+1,20))),"")))</f>
        <v/>
      </c>
      <c r="E1099">
        <f>IF($A1099="","",IF(OR($B1099="",$C1099="",$D1099="",$B1099&lt;1300,$B1099&gt;1500,$C1099&lt;1,$C1099&gt;12,$D1099&lt;1,$D1099&gt;31),"نامعتبر",RIGHT("0000"&amp;$B1099,4)&amp;"/"&amp;RIGHT("00"&amp;$C1099,2)&amp;"/"&amp;RIGHT("00"&amp;$D1099,2)))</f>
        <v/>
      </c>
      <c r="F1099">
        <f>IF(OR($E1099="",$E1099="نامعتبر"),"",LEFT($E1099,4)&amp;"/"&amp;MID($E1099,6,2))</f>
        <v/>
      </c>
      <c r="G1099">
        <f>IF(OR($E1099="",$E1099="نامعتبر",Sync!$X1095=""),"",IF(AND(LEFT(UPPER(TRIM(Sync!$X1095)),2)="SL",IFERROR(VLOOKUP(Sync!$W1095,OpTbl,3,0),"")="فروش"),UPPER(TRIM(Sync!$X1095)),""))</f>
        <v/>
      </c>
      <c r="H1099">
        <f>IF($G1099="","",IF(Sync!$W1095="","",Sync!$W1095))</f>
        <v/>
      </c>
      <c r="I1099">
        <f>IF(OR($G1099="",Sync!$Y1095=""),"",Sync!$Y1095)</f>
        <v/>
      </c>
      <c r="J1099">
        <f>IF(OR($G1099="",Sync!$Z1095=""),"",Sync!$Z1095)</f>
        <v/>
      </c>
      <c r="K1099">
        <f>IF($G1099="",0,IF(Sync!$AA1095="",0,Sync!$AA1095))</f>
        <v/>
      </c>
      <c r="L1099">
        <f>IF($G1099="",0,IF(Sync!$AB1095="",0,Sync!$AB1095))</f>
        <v/>
      </c>
      <c r="M1099">
        <f>IF($G1099="","",IF($H1099="مرجوعی فروش",-1,1)*($K1099-$L1099*IFERROR(VLOOKUP("P01",ParamTbl,3,0),1.5)))</f>
        <v/>
      </c>
      <c r="N1099">
        <f>IF($G1099="",0,IF($H1099="مرجوعی فروش",-1,1)*IF(Sync!$AC1095="",0,Sync!$AC1095))</f>
        <v/>
      </c>
      <c r="O1099">
        <f>IF(OR($G1099="",Sync!$V1095=""),"",Sync!$V1095)</f>
        <v/>
      </c>
      <c r="P1099">
        <f>IF(OR($G1099="",Sync!$AD1095=""),"",Sync!$AD1095)</f>
        <v/>
      </c>
      <c r="Q1099">
        <f>IF($G1099="","",IF(Sync!$U1095="","0000",IF(AND(ISNUMBER(Sync!$U1095),Sync!$U1095&gt;=0,Sync!$U1095&lt;1),RIGHT("00"&amp;HOUR(Sync!$U1095),2)&amp;RIGHT("00"&amp;MINUTE(Sync!$U1095),2),IFERROR(RIGHT("00"&amp;VALUE(LEFT(Sync!$U1095,FIND(":",Sync!$U1095)-1)),2)&amp;RIGHT("00"&amp;VALUE(MID(Sync!$U1095,FIND(":",Sync!$U1095)+1,2)),2),"0000"))))</f>
        <v/>
      </c>
    </row>
    <row r="1100">
      <c r="A1100">
        <f>IF(Sync!$T1096="","",Sync!$T1096)</f>
        <v/>
      </c>
      <c r="B1100">
        <f>IF($A1100="","",IF(ISNUMBER($A1100),IF(AND($A1100&gt;=10000101,$A1100&lt;=99991231),INT($A1100/10000),""),IFERROR(VALUE(TRIM(LEFT($A1100,FIND("/",$A1100)-1))),"")))</f>
        <v/>
      </c>
      <c r="C1100">
        <f>IF(OR($A1100="",$B1100=""),"",IF(ISNUMBER($A1100),INT(MOD($A1100,10000)/100),IFERROR(VALUE(TRIM(LEFT(MID($A1100,FIND("/",$A1100)+1,20),FIND("/",MID($A1100,FIND("/",$A1100)+1,20))-1))),"")))</f>
        <v/>
      </c>
      <c r="D1100">
        <f>IF(OR($A1100="",$B1100=""),"",IF(ISNUMBER($A1100),MOD($A1100,100),IFERROR(VALUE(TRIM(MID(MID($A1100,FIND("/",$A1100)+1,20),FIND("/",MID($A1100,FIND("/",$A1100)+1,20))+1,20))),"")))</f>
        <v/>
      </c>
      <c r="E1100">
        <f>IF($A1100="","",IF(OR($B1100="",$C1100="",$D1100="",$B1100&lt;1300,$B1100&gt;1500,$C1100&lt;1,$C1100&gt;12,$D1100&lt;1,$D1100&gt;31),"نامعتبر",RIGHT("0000"&amp;$B1100,4)&amp;"/"&amp;RIGHT("00"&amp;$C1100,2)&amp;"/"&amp;RIGHT("00"&amp;$D1100,2)))</f>
        <v/>
      </c>
      <c r="F1100">
        <f>IF(OR($E1100="",$E1100="نامعتبر"),"",LEFT($E1100,4)&amp;"/"&amp;MID($E1100,6,2))</f>
        <v/>
      </c>
      <c r="G1100">
        <f>IF(OR($E1100="",$E1100="نامعتبر",Sync!$X1096=""),"",IF(AND(LEFT(UPPER(TRIM(Sync!$X1096)),2)="SL",IFERROR(VLOOKUP(Sync!$W1096,OpTbl,3,0),"")="فروش"),UPPER(TRIM(Sync!$X1096)),""))</f>
        <v/>
      </c>
      <c r="H1100">
        <f>IF($G1100="","",IF(Sync!$W1096="","",Sync!$W1096))</f>
        <v/>
      </c>
      <c r="I1100">
        <f>IF(OR($G1100="",Sync!$Y1096=""),"",Sync!$Y1096)</f>
        <v/>
      </c>
      <c r="J1100">
        <f>IF(OR($G1100="",Sync!$Z1096=""),"",Sync!$Z1096)</f>
        <v/>
      </c>
      <c r="K1100">
        <f>IF($G1100="",0,IF(Sync!$AA1096="",0,Sync!$AA1096))</f>
        <v/>
      </c>
      <c r="L1100">
        <f>IF($G1100="",0,IF(Sync!$AB1096="",0,Sync!$AB1096))</f>
        <v/>
      </c>
      <c r="M1100">
        <f>IF($G1100="","",IF($H1100="مرجوعی فروش",-1,1)*($K1100-$L1100*IFERROR(VLOOKUP("P01",ParamTbl,3,0),1.5)))</f>
        <v/>
      </c>
      <c r="N1100">
        <f>IF($G1100="",0,IF($H1100="مرجوعی فروش",-1,1)*IF(Sync!$AC1096="",0,Sync!$AC1096))</f>
        <v/>
      </c>
      <c r="O1100">
        <f>IF(OR($G1100="",Sync!$V1096=""),"",Sync!$V1096)</f>
        <v/>
      </c>
      <c r="P1100">
        <f>IF(OR($G1100="",Sync!$AD1096=""),"",Sync!$AD1096)</f>
        <v/>
      </c>
      <c r="Q1100">
        <f>IF($G1100="","",IF(Sync!$U1096="","0000",IF(AND(ISNUMBER(Sync!$U1096),Sync!$U1096&gt;=0,Sync!$U1096&lt;1),RIGHT("00"&amp;HOUR(Sync!$U1096),2)&amp;RIGHT("00"&amp;MINUTE(Sync!$U1096),2),IFERROR(RIGHT("00"&amp;VALUE(LEFT(Sync!$U1096,FIND(":",Sync!$U1096)-1)),2)&amp;RIGHT("00"&amp;VALUE(MID(Sync!$U1096,FIND(":",Sync!$U1096)+1,2)),2),"0000"))))</f>
        <v/>
      </c>
    </row>
    <row r="1101">
      <c r="A1101">
        <f>IF(Sync!$T1097="","",Sync!$T1097)</f>
        <v/>
      </c>
      <c r="B1101">
        <f>IF($A1101="","",IF(ISNUMBER($A1101),IF(AND($A1101&gt;=10000101,$A1101&lt;=99991231),INT($A1101/10000),""),IFERROR(VALUE(TRIM(LEFT($A1101,FIND("/",$A1101)-1))),"")))</f>
        <v/>
      </c>
      <c r="C1101">
        <f>IF(OR($A1101="",$B1101=""),"",IF(ISNUMBER($A1101),INT(MOD($A1101,10000)/100),IFERROR(VALUE(TRIM(LEFT(MID($A1101,FIND("/",$A1101)+1,20),FIND("/",MID($A1101,FIND("/",$A1101)+1,20))-1))),"")))</f>
        <v/>
      </c>
      <c r="D1101">
        <f>IF(OR($A1101="",$B1101=""),"",IF(ISNUMBER($A1101),MOD($A1101,100),IFERROR(VALUE(TRIM(MID(MID($A1101,FIND("/",$A1101)+1,20),FIND("/",MID($A1101,FIND("/",$A1101)+1,20))+1,20))),"")))</f>
        <v/>
      </c>
      <c r="E1101">
        <f>IF($A1101="","",IF(OR($B1101="",$C1101="",$D1101="",$B1101&lt;1300,$B1101&gt;1500,$C1101&lt;1,$C1101&gt;12,$D1101&lt;1,$D1101&gt;31),"نامعتبر",RIGHT("0000"&amp;$B1101,4)&amp;"/"&amp;RIGHT("00"&amp;$C1101,2)&amp;"/"&amp;RIGHT("00"&amp;$D1101,2)))</f>
        <v/>
      </c>
      <c r="F1101">
        <f>IF(OR($E1101="",$E1101="نامعتبر"),"",LEFT($E1101,4)&amp;"/"&amp;MID($E1101,6,2))</f>
        <v/>
      </c>
      <c r="G1101">
        <f>IF(OR($E1101="",$E1101="نامعتبر",Sync!$X1097=""),"",IF(AND(LEFT(UPPER(TRIM(Sync!$X1097)),2)="SL",IFERROR(VLOOKUP(Sync!$W1097,OpTbl,3,0),"")="فروش"),UPPER(TRIM(Sync!$X1097)),""))</f>
        <v/>
      </c>
      <c r="H1101">
        <f>IF($G1101="","",IF(Sync!$W1097="","",Sync!$W1097))</f>
        <v/>
      </c>
      <c r="I1101">
        <f>IF(OR($G1101="",Sync!$Y1097=""),"",Sync!$Y1097)</f>
        <v/>
      </c>
      <c r="J1101">
        <f>IF(OR($G1101="",Sync!$Z1097=""),"",Sync!$Z1097)</f>
        <v/>
      </c>
      <c r="K1101">
        <f>IF($G1101="",0,IF(Sync!$AA1097="",0,Sync!$AA1097))</f>
        <v/>
      </c>
      <c r="L1101">
        <f>IF($G1101="",0,IF(Sync!$AB1097="",0,Sync!$AB1097))</f>
        <v/>
      </c>
      <c r="M1101">
        <f>IF($G1101="","",IF($H1101="مرجوعی فروش",-1,1)*($K1101-$L1101*IFERROR(VLOOKUP("P01",ParamTbl,3,0),1.5)))</f>
        <v/>
      </c>
      <c r="N1101">
        <f>IF($G1101="",0,IF($H1101="مرجوعی فروش",-1,1)*IF(Sync!$AC1097="",0,Sync!$AC1097))</f>
        <v/>
      </c>
      <c r="O1101">
        <f>IF(OR($G1101="",Sync!$V1097=""),"",Sync!$V1097)</f>
        <v/>
      </c>
      <c r="P1101">
        <f>IF(OR($G1101="",Sync!$AD1097=""),"",Sync!$AD1097)</f>
        <v/>
      </c>
      <c r="Q1101">
        <f>IF($G1101="","",IF(Sync!$U1097="","0000",IF(AND(ISNUMBER(Sync!$U1097),Sync!$U1097&gt;=0,Sync!$U1097&lt;1),RIGHT("00"&amp;HOUR(Sync!$U1097),2)&amp;RIGHT("00"&amp;MINUTE(Sync!$U1097),2),IFERROR(RIGHT("00"&amp;VALUE(LEFT(Sync!$U1097,FIND(":",Sync!$U1097)-1)),2)&amp;RIGHT("00"&amp;VALUE(MID(Sync!$U1097,FIND(":",Sync!$U1097)+1,2)),2),"0000"))))</f>
        <v/>
      </c>
    </row>
    <row r="1102">
      <c r="A1102">
        <f>IF(Sync!$T1098="","",Sync!$T1098)</f>
        <v/>
      </c>
      <c r="B1102">
        <f>IF($A1102="","",IF(ISNUMBER($A1102),IF(AND($A1102&gt;=10000101,$A1102&lt;=99991231),INT($A1102/10000),""),IFERROR(VALUE(TRIM(LEFT($A1102,FIND("/",$A1102)-1))),"")))</f>
        <v/>
      </c>
      <c r="C1102">
        <f>IF(OR($A1102="",$B1102=""),"",IF(ISNUMBER($A1102),INT(MOD($A1102,10000)/100),IFERROR(VALUE(TRIM(LEFT(MID($A1102,FIND("/",$A1102)+1,20),FIND("/",MID($A1102,FIND("/",$A1102)+1,20))-1))),"")))</f>
        <v/>
      </c>
      <c r="D1102">
        <f>IF(OR($A1102="",$B1102=""),"",IF(ISNUMBER($A1102),MOD($A1102,100),IFERROR(VALUE(TRIM(MID(MID($A1102,FIND("/",$A1102)+1,20),FIND("/",MID($A1102,FIND("/",$A1102)+1,20))+1,20))),"")))</f>
        <v/>
      </c>
      <c r="E1102">
        <f>IF($A1102="","",IF(OR($B1102="",$C1102="",$D1102="",$B1102&lt;1300,$B1102&gt;1500,$C1102&lt;1,$C1102&gt;12,$D1102&lt;1,$D1102&gt;31),"نامعتبر",RIGHT("0000"&amp;$B1102,4)&amp;"/"&amp;RIGHT("00"&amp;$C1102,2)&amp;"/"&amp;RIGHT("00"&amp;$D1102,2)))</f>
        <v/>
      </c>
      <c r="F1102">
        <f>IF(OR($E1102="",$E1102="نامعتبر"),"",LEFT($E1102,4)&amp;"/"&amp;MID($E1102,6,2))</f>
        <v/>
      </c>
      <c r="G1102">
        <f>IF(OR($E1102="",$E1102="نامعتبر",Sync!$X1098=""),"",IF(AND(LEFT(UPPER(TRIM(Sync!$X1098)),2)="SL",IFERROR(VLOOKUP(Sync!$W1098,OpTbl,3,0),"")="فروش"),UPPER(TRIM(Sync!$X1098)),""))</f>
        <v/>
      </c>
      <c r="H1102">
        <f>IF($G1102="","",IF(Sync!$W1098="","",Sync!$W1098))</f>
        <v/>
      </c>
      <c r="I1102">
        <f>IF(OR($G1102="",Sync!$Y1098=""),"",Sync!$Y1098)</f>
        <v/>
      </c>
      <c r="J1102">
        <f>IF(OR($G1102="",Sync!$Z1098=""),"",Sync!$Z1098)</f>
        <v/>
      </c>
      <c r="K1102">
        <f>IF($G1102="",0,IF(Sync!$AA1098="",0,Sync!$AA1098))</f>
        <v/>
      </c>
      <c r="L1102">
        <f>IF($G1102="",0,IF(Sync!$AB1098="",0,Sync!$AB1098))</f>
        <v/>
      </c>
      <c r="M1102">
        <f>IF($G1102="","",IF($H1102="مرجوعی فروش",-1,1)*($K1102-$L1102*IFERROR(VLOOKUP("P01",ParamTbl,3,0),1.5)))</f>
        <v/>
      </c>
      <c r="N1102">
        <f>IF($G1102="",0,IF($H1102="مرجوعی فروش",-1,1)*IF(Sync!$AC1098="",0,Sync!$AC1098))</f>
        <v/>
      </c>
      <c r="O1102">
        <f>IF(OR($G1102="",Sync!$V1098=""),"",Sync!$V1098)</f>
        <v/>
      </c>
      <c r="P1102">
        <f>IF(OR($G1102="",Sync!$AD1098=""),"",Sync!$AD1098)</f>
        <v/>
      </c>
      <c r="Q1102">
        <f>IF($G1102="","",IF(Sync!$U1098="","0000",IF(AND(ISNUMBER(Sync!$U1098),Sync!$U1098&gt;=0,Sync!$U1098&lt;1),RIGHT("00"&amp;HOUR(Sync!$U1098),2)&amp;RIGHT("00"&amp;MINUTE(Sync!$U1098),2),IFERROR(RIGHT("00"&amp;VALUE(LEFT(Sync!$U1098,FIND(":",Sync!$U1098)-1)),2)&amp;RIGHT("00"&amp;VALUE(MID(Sync!$U1098,FIND(":",Sync!$U1098)+1,2)),2),"0000"))))</f>
        <v/>
      </c>
    </row>
    <row r="1103">
      <c r="A1103">
        <f>IF(Sync!$T1099="","",Sync!$T1099)</f>
        <v/>
      </c>
      <c r="B1103">
        <f>IF($A1103="","",IF(ISNUMBER($A1103),IF(AND($A1103&gt;=10000101,$A1103&lt;=99991231),INT($A1103/10000),""),IFERROR(VALUE(TRIM(LEFT($A1103,FIND("/",$A1103)-1))),"")))</f>
        <v/>
      </c>
      <c r="C1103">
        <f>IF(OR($A1103="",$B1103=""),"",IF(ISNUMBER($A1103),INT(MOD($A1103,10000)/100),IFERROR(VALUE(TRIM(LEFT(MID($A1103,FIND("/",$A1103)+1,20),FIND("/",MID($A1103,FIND("/",$A1103)+1,20))-1))),"")))</f>
        <v/>
      </c>
      <c r="D1103">
        <f>IF(OR($A1103="",$B1103=""),"",IF(ISNUMBER($A1103),MOD($A1103,100),IFERROR(VALUE(TRIM(MID(MID($A1103,FIND("/",$A1103)+1,20),FIND("/",MID($A1103,FIND("/",$A1103)+1,20))+1,20))),"")))</f>
        <v/>
      </c>
      <c r="E1103">
        <f>IF($A1103="","",IF(OR($B1103="",$C1103="",$D1103="",$B1103&lt;1300,$B1103&gt;1500,$C1103&lt;1,$C1103&gt;12,$D1103&lt;1,$D1103&gt;31),"نامعتبر",RIGHT("0000"&amp;$B1103,4)&amp;"/"&amp;RIGHT("00"&amp;$C1103,2)&amp;"/"&amp;RIGHT("00"&amp;$D1103,2)))</f>
        <v/>
      </c>
      <c r="F1103">
        <f>IF(OR($E1103="",$E1103="نامعتبر"),"",LEFT($E1103,4)&amp;"/"&amp;MID($E1103,6,2))</f>
        <v/>
      </c>
      <c r="G1103">
        <f>IF(OR($E1103="",$E1103="نامعتبر",Sync!$X1099=""),"",IF(AND(LEFT(UPPER(TRIM(Sync!$X1099)),2)="SL",IFERROR(VLOOKUP(Sync!$W1099,OpTbl,3,0),"")="فروش"),UPPER(TRIM(Sync!$X1099)),""))</f>
        <v/>
      </c>
      <c r="H1103">
        <f>IF($G1103="","",IF(Sync!$W1099="","",Sync!$W1099))</f>
        <v/>
      </c>
      <c r="I1103">
        <f>IF(OR($G1103="",Sync!$Y1099=""),"",Sync!$Y1099)</f>
        <v/>
      </c>
      <c r="J1103">
        <f>IF(OR($G1103="",Sync!$Z1099=""),"",Sync!$Z1099)</f>
        <v/>
      </c>
      <c r="K1103">
        <f>IF($G1103="",0,IF(Sync!$AA1099="",0,Sync!$AA1099))</f>
        <v/>
      </c>
      <c r="L1103">
        <f>IF($G1103="",0,IF(Sync!$AB1099="",0,Sync!$AB1099))</f>
        <v/>
      </c>
      <c r="M1103">
        <f>IF($G1103="","",IF($H1103="مرجوعی فروش",-1,1)*($K1103-$L1103*IFERROR(VLOOKUP("P01",ParamTbl,3,0),1.5)))</f>
        <v/>
      </c>
      <c r="N1103">
        <f>IF($G1103="",0,IF($H1103="مرجوعی فروش",-1,1)*IF(Sync!$AC1099="",0,Sync!$AC1099))</f>
        <v/>
      </c>
      <c r="O1103">
        <f>IF(OR($G1103="",Sync!$V1099=""),"",Sync!$V1099)</f>
        <v/>
      </c>
      <c r="P1103">
        <f>IF(OR($G1103="",Sync!$AD1099=""),"",Sync!$AD1099)</f>
        <v/>
      </c>
      <c r="Q1103">
        <f>IF($G1103="","",IF(Sync!$U1099="","0000",IF(AND(ISNUMBER(Sync!$U1099),Sync!$U1099&gt;=0,Sync!$U1099&lt;1),RIGHT("00"&amp;HOUR(Sync!$U1099),2)&amp;RIGHT("00"&amp;MINUTE(Sync!$U1099),2),IFERROR(RIGHT("00"&amp;VALUE(LEFT(Sync!$U1099,FIND(":",Sync!$U1099)-1)),2)&amp;RIGHT("00"&amp;VALUE(MID(Sync!$U1099,FIND(":",Sync!$U1099)+1,2)),2),"0000"))))</f>
        <v/>
      </c>
    </row>
    <row r="1104">
      <c r="A1104">
        <f>IF(Sync!$T1100="","",Sync!$T1100)</f>
        <v/>
      </c>
      <c r="B1104">
        <f>IF($A1104="","",IF(ISNUMBER($A1104),IF(AND($A1104&gt;=10000101,$A1104&lt;=99991231),INT($A1104/10000),""),IFERROR(VALUE(TRIM(LEFT($A1104,FIND("/",$A1104)-1))),"")))</f>
        <v/>
      </c>
      <c r="C1104">
        <f>IF(OR($A1104="",$B1104=""),"",IF(ISNUMBER($A1104),INT(MOD($A1104,10000)/100),IFERROR(VALUE(TRIM(LEFT(MID($A1104,FIND("/",$A1104)+1,20),FIND("/",MID($A1104,FIND("/",$A1104)+1,20))-1))),"")))</f>
        <v/>
      </c>
      <c r="D1104">
        <f>IF(OR($A1104="",$B1104=""),"",IF(ISNUMBER($A1104),MOD($A1104,100),IFERROR(VALUE(TRIM(MID(MID($A1104,FIND("/",$A1104)+1,20),FIND("/",MID($A1104,FIND("/",$A1104)+1,20))+1,20))),"")))</f>
        <v/>
      </c>
      <c r="E1104">
        <f>IF($A1104="","",IF(OR($B1104="",$C1104="",$D1104="",$B1104&lt;1300,$B1104&gt;1500,$C1104&lt;1,$C1104&gt;12,$D1104&lt;1,$D1104&gt;31),"نامعتبر",RIGHT("0000"&amp;$B1104,4)&amp;"/"&amp;RIGHT("00"&amp;$C1104,2)&amp;"/"&amp;RIGHT("00"&amp;$D1104,2)))</f>
        <v/>
      </c>
      <c r="F1104">
        <f>IF(OR($E1104="",$E1104="نامعتبر"),"",LEFT($E1104,4)&amp;"/"&amp;MID($E1104,6,2))</f>
        <v/>
      </c>
      <c r="G1104">
        <f>IF(OR($E1104="",$E1104="نامعتبر",Sync!$X1100=""),"",IF(AND(LEFT(UPPER(TRIM(Sync!$X1100)),2)="SL",IFERROR(VLOOKUP(Sync!$W1100,OpTbl,3,0),"")="فروش"),UPPER(TRIM(Sync!$X1100)),""))</f>
        <v/>
      </c>
      <c r="H1104">
        <f>IF($G1104="","",IF(Sync!$W1100="","",Sync!$W1100))</f>
        <v/>
      </c>
      <c r="I1104">
        <f>IF(OR($G1104="",Sync!$Y1100=""),"",Sync!$Y1100)</f>
        <v/>
      </c>
      <c r="J1104">
        <f>IF(OR($G1104="",Sync!$Z1100=""),"",Sync!$Z1100)</f>
        <v/>
      </c>
      <c r="K1104">
        <f>IF($G1104="",0,IF(Sync!$AA1100="",0,Sync!$AA1100))</f>
        <v/>
      </c>
      <c r="L1104">
        <f>IF($G1104="",0,IF(Sync!$AB1100="",0,Sync!$AB1100))</f>
        <v/>
      </c>
      <c r="M1104">
        <f>IF($G1104="","",IF($H1104="مرجوعی فروش",-1,1)*($K1104-$L1104*IFERROR(VLOOKUP("P01",ParamTbl,3,0),1.5)))</f>
        <v/>
      </c>
      <c r="N1104">
        <f>IF($G1104="",0,IF($H1104="مرجوعی فروش",-1,1)*IF(Sync!$AC1100="",0,Sync!$AC1100))</f>
        <v/>
      </c>
      <c r="O1104">
        <f>IF(OR($G1104="",Sync!$V1100=""),"",Sync!$V1100)</f>
        <v/>
      </c>
      <c r="P1104">
        <f>IF(OR($G1104="",Sync!$AD1100=""),"",Sync!$AD1100)</f>
        <v/>
      </c>
      <c r="Q1104">
        <f>IF($G1104="","",IF(Sync!$U1100="","0000",IF(AND(ISNUMBER(Sync!$U1100),Sync!$U1100&gt;=0,Sync!$U1100&lt;1),RIGHT("00"&amp;HOUR(Sync!$U1100),2)&amp;RIGHT("00"&amp;MINUTE(Sync!$U1100),2),IFERROR(RIGHT("00"&amp;VALUE(LEFT(Sync!$U1100,FIND(":",Sync!$U1100)-1)),2)&amp;RIGHT("00"&amp;VALUE(MID(Sync!$U1100,FIND(":",Sync!$U1100)+1,2)),2),"0000"))))</f>
        <v/>
      </c>
    </row>
    <row r="1105">
      <c r="A1105">
        <f>IF(Sync!$T1101="","",Sync!$T1101)</f>
        <v/>
      </c>
      <c r="B1105">
        <f>IF($A1105="","",IF(ISNUMBER($A1105),IF(AND($A1105&gt;=10000101,$A1105&lt;=99991231),INT($A1105/10000),""),IFERROR(VALUE(TRIM(LEFT($A1105,FIND("/",$A1105)-1))),"")))</f>
        <v/>
      </c>
      <c r="C1105">
        <f>IF(OR($A1105="",$B1105=""),"",IF(ISNUMBER($A1105),INT(MOD($A1105,10000)/100),IFERROR(VALUE(TRIM(LEFT(MID($A1105,FIND("/",$A1105)+1,20),FIND("/",MID($A1105,FIND("/",$A1105)+1,20))-1))),"")))</f>
        <v/>
      </c>
      <c r="D1105">
        <f>IF(OR($A1105="",$B1105=""),"",IF(ISNUMBER($A1105),MOD($A1105,100),IFERROR(VALUE(TRIM(MID(MID($A1105,FIND("/",$A1105)+1,20),FIND("/",MID($A1105,FIND("/",$A1105)+1,20))+1,20))),"")))</f>
        <v/>
      </c>
      <c r="E1105">
        <f>IF($A1105="","",IF(OR($B1105="",$C1105="",$D1105="",$B1105&lt;1300,$B1105&gt;1500,$C1105&lt;1,$C1105&gt;12,$D1105&lt;1,$D1105&gt;31),"نامعتبر",RIGHT("0000"&amp;$B1105,4)&amp;"/"&amp;RIGHT("00"&amp;$C1105,2)&amp;"/"&amp;RIGHT("00"&amp;$D1105,2)))</f>
        <v/>
      </c>
      <c r="F1105">
        <f>IF(OR($E1105="",$E1105="نامعتبر"),"",LEFT($E1105,4)&amp;"/"&amp;MID($E1105,6,2))</f>
        <v/>
      </c>
      <c r="G1105">
        <f>IF(OR($E1105="",$E1105="نامعتبر",Sync!$X1101=""),"",IF(AND(LEFT(UPPER(TRIM(Sync!$X1101)),2)="SL",IFERROR(VLOOKUP(Sync!$W1101,OpTbl,3,0),"")="فروش"),UPPER(TRIM(Sync!$X1101)),""))</f>
        <v/>
      </c>
      <c r="H1105">
        <f>IF($G1105="","",IF(Sync!$W1101="","",Sync!$W1101))</f>
        <v/>
      </c>
      <c r="I1105">
        <f>IF(OR($G1105="",Sync!$Y1101=""),"",Sync!$Y1101)</f>
        <v/>
      </c>
      <c r="J1105">
        <f>IF(OR($G1105="",Sync!$Z1101=""),"",Sync!$Z1101)</f>
        <v/>
      </c>
      <c r="K1105">
        <f>IF($G1105="",0,IF(Sync!$AA1101="",0,Sync!$AA1101))</f>
        <v/>
      </c>
      <c r="L1105">
        <f>IF($G1105="",0,IF(Sync!$AB1101="",0,Sync!$AB1101))</f>
        <v/>
      </c>
      <c r="M1105">
        <f>IF($G1105="","",IF($H1105="مرجوعی فروش",-1,1)*($K1105-$L1105*IFERROR(VLOOKUP("P01",ParamTbl,3,0),1.5)))</f>
        <v/>
      </c>
      <c r="N1105">
        <f>IF($G1105="",0,IF($H1105="مرجوعی فروش",-1,1)*IF(Sync!$AC1101="",0,Sync!$AC1101))</f>
        <v/>
      </c>
      <c r="O1105">
        <f>IF(OR($G1105="",Sync!$V1101=""),"",Sync!$V1101)</f>
        <v/>
      </c>
      <c r="P1105">
        <f>IF(OR($G1105="",Sync!$AD1101=""),"",Sync!$AD1101)</f>
        <v/>
      </c>
      <c r="Q1105">
        <f>IF($G1105="","",IF(Sync!$U1101="","0000",IF(AND(ISNUMBER(Sync!$U1101),Sync!$U1101&gt;=0,Sync!$U1101&lt;1),RIGHT("00"&amp;HOUR(Sync!$U1101),2)&amp;RIGHT("00"&amp;MINUTE(Sync!$U1101),2),IFERROR(RIGHT("00"&amp;VALUE(LEFT(Sync!$U1101,FIND(":",Sync!$U1101)-1)),2)&amp;RIGHT("00"&amp;VALUE(MID(Sync!$U1101,FIND(":",Sync!$U1101)+1,2)),2),"0000"))))</f>
        <v/>
      </c>
    </row>
    <row r="1106">
      <c r="A1106">
        <f>IF(Sync!$T1102="","",Sync!$T1102)</f>
        <v/>
      </c>
      <c r="B1106">
        <f>IF($A1106="","",IF(ISNUMBER($A1106),IF(AND($A1106&gt;=10000101,$A1106&lt;=99991231),INT($A1106/10000),""),IFERROR(VALUE(TRIM(LEFT($A1106,FIND("/",$A1106)-1))),"")))</f>
        <v/>
      </c>
      <c r="C1106">
        <f>IF(OR($A1106="",$B1106=""),"",IF(ISNUMBER($A1106),INT(MOD($A1106,10000)/100),IFERROR(VALUE(TRIM(LEFT(MID($A1106,FIND("/",$A1106)+1,20),FIND("/",MID($A1106,FIND("/",$A1106)+1,20))-1))),"")))</f>
        <v/>
      </c>
      <c r="D1106">
        <f>IF(OR($A1106="",$B1106=""),"",IF(ISNUMBER($A1106),MOD($A1106,100),IFERROR(VALUE(TRIM(MID(MID($A1106,FIND("/",$A1106)+1,20),FIND("/",MID($A1106,FIND("/",$A1106)+1,20))+1,20))),"")))</f>
        <v/>
      </c>
      <c r="E1106">
        <f>IF($A1106="","",IF(OR($B1106="",$C1106="",$D1106="",$B1106&lt;1300,$B1106&gt;1500,$C1106&lt;1,$C1106&gt;12,$D1106&lt;1,$D1106&gt;31),"نامعتبر",RIGHT("0000"&amp;$B1106,4)&amp;"/"&amp;RIGHT("00"&amp;$C1106,2)&amp;"/"&amp;RIGHT("00"&amp;$D1106,2)))</f>
        <v/>
      </c>
      <c r="F1106">
        <f>IF(OR($E1106="",$E1106="نامعتبر"),"",LEFT($E1106,4)&amp;"/"&amp;MID($E1106,6,2))</f>
        <v/>
      </c>
      <c r="G1106">
        <f>IF(OR($E1106="",$E1106="نامعتبر",Sync!$X1102=""),"",IF(AND(LEFT(UPPER(TRIM(Sync!$X1102)),2)="SL",IFERROR(VLOOKUP(Sync!$W1102,OpTbl,3,0),"")="فروش"),UPPER(TRIM(Sync!$X1102)),""))</f>
        <v/>
      </c>
      <c r="H1106">
        <f>IF($G1106="","",IF(Sync!$W1102="","",Sync!$W1102))</f>
        <v/>
      </c>
      <c r="I1106">
        <f>IF(OR($G1106="",Sync!$Y1102=""),"",Sync!$Y1102)</f>
        <v/>
      </c>
      <c r="J1106">
        <f>IF(OR($G1106="",Sync!$Z1102=""),"",Sync!$Z1102)</f>
        <v/>
      </c>
      <c r="K1106">
        <f>IF($G1106="",0,IF(Sync!$AA1102="",0,Sync!$AA1102))</f>
        <v/>
      </c>
      <c r="L1106">
        <f>IF($G1106="",0,IF(Sync!$AB1102="",0,Sync!$AB1102))</f>
        <v/>
      </c>
      <c r="M1106">
        <f>IF($G1106="","",IF($H1106="مرجوعی فروش",-1,1)*($K1106-$L1106*IFERROR(VLOOKUP("P01",ParamTbl,3,0),1.5)))</f>
        <v/>
      </c>
      <c r="N1106">
        <f>IF($G1106="",0,IF($H1106="مرجوعی فروش",-1,1)*IF(Sync!$AC1102="",0,Sync!$AC1102))</f>
        <v/>
      </c>
      <c r="O1106">
        <f>IF(OR($G1106="",Sync!$V1102=""),"",Sync!$V1102)</f>
        <v/>
      </c>
      <c r="P1106">
        <f>IF(OR($G1106="",Sync!$AD1102=""),"",Sync!$AD1102)</f>
        <v/>
      </c>
      <c r="Q1106">
        <f>IF($G1106="","",IF(Sync!$U1102="","0000",IF(AND(ISNUMBER(Sync!$U1102),Sync!$U1102&gt;=0,Sync!$U1102&lt;1),RIGHT("00"&amp;HOUR(Sync!$U1102),2)&amp;RIGHT("00"&amp;MINUTE(Sync!$U1102),2),IFERROR(RIGHT("00"&amp;VALUE(LEFT(Sync!$U1102,FIND(":",Sync!$U1102)-1)),2)&amp;RIGHT("00"&amp;VALUE(MID(Sync!$U1102,FIND(":",Sync!$U1102)+1,2)),2),"0000"))))</f>
        <v/>
      </c>
    </row>
    <row r="1107">
      <c r="A1107">
        <f>IF(Sync!$T1103="","",Sync!$T1103)</f>
        <v/>
      </c>
      <c r="B1107">
        <f>IF($A1107="","",IF(ISNUMBER($A1107),IF(AND($A1107&gt;=10000101,$A1107&lt;=99991231),INT($A1107/10000),""),IFERROR(VALUE(TRIM(LEFT($A1107,FIND("/",$A1107)-1))),"")))</f>
        <v/>
      </c>
      <c r="C1107">
        <f>IF(OR($A1107="",$B1107=""),"",IF(ISNUMBER($A1107),INT(MOD($A1107,10000)/100),IFERROR(VALUE(TRIM(LEFT(MID($A1107,FIND("/",$A1107)+1,20),FIND("/",MID($A1107,FIND("/",$A1107)+1,20))-1))),"")))</f>
        <v/>
      </c>
      <c r="D1107">
        <f>IF(OR($A1107="",$B1107=""),"",IF(ISNUMBER($A1107),MOD($A1107,100),IFERROR(VALUE(TRIM(MID(MID($A1107,FIND("/",$A1107)+1,20),FIND("/",MID($A1107,FIND("/",$A1107)+1,20))+1,20))),"")))</f>
        <v/>
      </c>
      <c r="E1107">
        <f>IF($A1107="","",IF(OR($B1107="",$C1107="",$D1107="",$B1107&lt;1300,$B1107&gt;1500,$C1107&lt;1,$C1107&gt;12,$D1107&lt;1,$D1107&gt;31),"نامعتبر",RIGHT("0000"&amp;$B1107,4)&amp;"/"&amp;RIGHT("00"&amp;$C1107,2)&amp;"/"&amp;RIGHT("00"&amp;$D1107,2)))</f>
        <v/>
      </c>
      <c r="F1107">
        <f>IF(OR($E1107="",$E1107="نامعتبر"),"",LEFT($E1107,4)&amp;"/"&amp;MID($E1107,6,2))</f>
        <v/>
      </c>
      <c r="G1107">
        <f>IF(OR($E1107="",$E1107="نامعتبر",Sync!$X1103=""),"",IF(AND(LEFT(UPPER(TRIM(Sync!$X1103)),2)="SL",IFERROR(VLOOKUP(Sync!$W1103,OpTbl,3,0),"")="فروش"),UPPER(TRIM(Sync!$X1103)),""))</f>
        <v/>
      </c>
      <c r="H1107">
        <f>IF($G1107="","",IF(Sync!$W1103="","",Sync!$W1103))</f>
        <v/>
      </c>
      <c r="I1107">
        <f>IF(OR($G1107="",Sync!$Y1103=""),"",Sync!$Y1103)</f>
        <v/>
      </c>
      <c r="J1107">
        <f>IF(OR($G1107="",Sync!$Z1103=""),"",Sync!$Z1103)</f>
        <v/>
      </c>
      <c r="K1107">
        <f>IF($G1107="",0,IF(Sync!$AA1103="",0,Sync!$AA1103))</f>
        <v/>
      </c>
      <c r="L1107">
        <f>IF($G1107="",0,IF(Sync!$AB1103="",0,Sync!$AB1103))</f>
        <v/>
      </c>
      <c r="M1107">
        <f>IF($G1107="","",IF($H1107="مرجوعی فروش",-1,1)*($K1107-$L1107*IFERROR(VLOOKUP("P01",ParamTbl,3,0),1.5)))</f>
        <v/>
      </c>
      <c r="N1107">
        <f>IF($G1107="",0,IF($H1107="مرجوعی فروش",-1,1)*IF(Sync!$AC1103="",0,Sync!$AC1103))</f>
        <v/>
      </c>
      <c r="O1107">
        <f>IF(OR($G1107="",Sync!$V1103=""),"",Sync!$V1103)</f>
        <v/>
      </c>
      <c r="P1107">
        <f>IF(OR($G1107="",Sync!$AD1103=""),"",Sync!$AD1103)</f>
        <v/>
      </c>
      <c r="Q1107">
        <f>IF($G1107="","",IF(Sync!$U1103="","0000",IF(AND(ISNUMBER(Sync!$U1103),Sync!$U1103&gt;=0,Sync!$U1103&lt;1),RIGHT("00"&amp;HOUR(Sync!$U1103),2)&amp;RIGHT("00"&amp;MINUTE(Sync!$U1103),2),IFERROR(RIGHT("00"&amp;VALUE(LEFT(Sync!$U1103,FIND(":",Sync!$U1103)-1)),2)&amp;RIGHT("00"&amp;VALUE(MID(Sync!$U1103,FIND(":",Sync!$U1103)+1,2)),2),"0000"))))</f>
        <v/>
      </c>
    </row>
    <row r="1108">
      <c r="A1108">
        <f>IF(Sync!$T1104="","",Sync!$T1104)</f>
        <v/>
      </c>
      <c r="B1108">
        <f>IF($A1108="","",IF(ISNUMBER($A1108),IF(AND($A1108&gt;=10000101,$A1108&lt;=99991231),INT($A1108/10000),""),IFERROR(VALUE(TRIM(LEFT($A1108,FIND("/",$A1108)-1))),"")))</f>
        <v/>
      </c>
      <c r="C1108">
        <f>IF(OR($A1108="",$B1108=""),"",IF(ISNUMBER($A1108),INT(MOD($A1108,10000)/100),IFERROR(VALUE(TRIM(LEFT(MID($A1108,FIND("/",$A1108)+1,20),FIND("/",MID($A1108,FIND("/",$A1108)+1,20))-1))),"")))</f>
        <v/>
      </c>
      <c r="D1108">
        <f>IF(OR($A1108="",$B1108=""),"",IF(ISNUMBER($A1108),MOD($A1108,100),IFERROR(VALUE(TRIM(MID(MID($A1108,FIND("/",$A1108)+1,20),FIND("/",MID($A1108,FIND("/",$A1108)+1,20))+1,20))),"")))</f>
        <v/>
      </c>
      <c r="E1108">
        <f>IF($A1108="","",IF(OR($B1108="",$C1108="",$D1108="",$B1108&lt;1300,$B1108&gt;1500,$C1108&lt;1,$C1108&gt;12,$D1108&lt;1,$D1108&gt;31),"نامعتبر",RIGHT("0000"&amp;$B1108,4)&amp;"/"&amp;RIGHT("00"&amp;$C1108,2)&amp;"/"&amp;RIGHT("00"&amp;$D1108,2)))</f>
        <v/>
      </c>
      <c r="F1108">
        <f>IF(OR($E1108="",$E1108="نامعتبر"),"",LEFT($E1108,4)&amp;"/"&amp;MID($E1108,6,2))</f>
        <v/>
      </c>
      <c r="G1108">
        <f>IF(OR($E1108="",$E1108="نامعتبر",Sync!$X1104=""),"",IF(AND(LEFT(UPPER(TRIM(Sync!$X1104)),2)="SL",IFERROR(VLOOKUP(Sync!$W1104,OpTbl,3,0),"")="فروش"),UPPER(TRIM(Sync!$X1104)),""))</f>
        <v/>
      </c>
      <c r="H1108">
        <f>IF($G1108="","",IF(Sync!$W1104="","",Sync!$W1104))</f>
        <v/>
      </c>
      <c r="I1108">
        <f>IF(OR($G1108="",Sync!$Y1104=""),"",Sync!$Y1104)</f>
        <v/>
      </c>
      <c r="J1108">
        <f>IF(OR($G1108="",Sync!$Z1104=""),"",Sync!$Z1104)</f>
        <v/>
      </c>
      <c r="K1108">
        <f>IF($G1108="",0,IF(Sync!$AA1104="",0,Sync!$AA1104))</f>
        <v/>
      </c>
      <c r="L1108">
        <f>IF($G1108="",0,IF(Sync!$AB1104="",0,Sync!$AB1104))</f>
        <v/>
      </c>
      <c r="M1108">
        <f>IF($G1108="","",IF($H1108="مرجوعی فروش",-1,1)*($K1108-$L1108*IFERROR(VLOOKUP("P01",ParamTbl,3,0),1.5)))</f>
        <v/>
      </c>
      <c r="N1108">
        <f>IF($G1108="",0,IF($H1108="مرجوعی فروش",-1,1)*IF(Sync!$AC1104="",0,Sync!$AC1104))</f>
        <v/>
      </c>
      <c r="O1108">
        <f>IF(OR($G1108="",Sync!$V1104=""),"",Sync!$V1104)</f>
        <v/>
      </c>
      <c r="P1108">
        <f>IF(OR($G1108="",Sync!$AD1104=""),"",Sync!$AD1104)</f>
        <v/>
      </c>
      <c r="Q1108">
        <f>IF($G1108="","",IF(Sync!$U1104="","0000",IF(AND(ISNUMBER(Sync!$U1104),Sync!$U1104&gt;=0,Sync!$U1104&lt;1),RIGHT("00"&amp;HOUR(Sync!$U1104),2)&amp;RIGHT("00"&amp;MINUTE(Sync!$U1104),2),IFERROR(RIGHT("00"&amp;VALUE(LEFT(Sync!$U1104,FIND(":",Sync!$U1104)-1)),2)&amp;RIGHT("00"&amp;VALUE(MID(Sync!$U1104,FIND(":",Sync!$U1104)+1,2)),2),"0000"))))</f>
        <v/>
      </c>
    </row>
    <row r="1109">
      <c r="A1109">
        <f>IF(Sync!$T1105="","",Sync!$T1105)</f>
        <v/>
      </c>
      <c r="B1109">
        <f>IF($A1109="","",IF(ISNUMBER($A1109),IF(AND($A1109&gt;=10000101,$A1109&lt;=99991231),INT($A1109/10000),""),IFERROR(VALUE(TRIM(LEFT($A1109,FIND("/",$A1109)-1))),"")))</f>
        <v/>
      </c>
      <c r="C1109">
        <f>IF(OR($A1109="",$B1109=""),"",IF(ISNUMBER($A1109),INT(MOD($A1109,10000)/100),IFERROR(VALUE(TRIM(LEFT(MID($A1109,FIND("/",$A1109)+1,20),FIND("/",MID($A1109,FIND("/",$A1109)+1,20))-1))),"")))</f>
        <v/>
      </c>
      <c r="D1109">
        <f>IF(OR($A1109="",$B1109=""),"",IF(ISNUMBER($A1109),MOD($A1109,100),IFERROR(VALUE(TRIM(MID(MID($A1109,FIND("/",$A1109)+1,20),FIND("/",MID($A1109,FIND("/",$A1109)+1,20))+1,20))),"")))</f>
        <v/>
      </c>
      <c r="E1109">
        <f>IF($A1109="","",IF(OR($B1109="",$C1109="",$D1109="",$B1109&lt;1300,$B1109&gt;1500,$C1109&lt;1,$C1109&gt;12,$D1109&lt;1,$D1109&gt;31),"نامعتبر",RIGHT("0000"&amp;$B1109,4)&amp;"/"&amp;RIGHT("00"&amp;$C1109,2)&amp;"/"&amp;RIGHT("00"&amp;$D1109,2)))</f>
        <v/>
      </c>
      <c r="F1109">
        <f>IF(OR($E1109="",$E1109="نامعتبر"),"",LEFT($E1109,4)&amp;"/"&amp;MID($E1109,6,2))</f>
        <v/>
      </c>
      <c r="G1109">
        <f>IF(OR($E1109="",$E1109="نامعتبر",Sync!$X1105=""),"",IF(AND(LEFT(UPPER(TRIM(Sync!$X1105)),2)="SL",IFERROR(VLOOKUP(Sync!$W1105,OpTbl,3,0),"")="فروش"),UPPER(TRIM(Sync!$X1105)),""))</f>
        <v/>
      </c>
      <c r="H1109">
        <f>IF($G1109="","",IF(Sync!$W1105="","",Sync!$W1105))</f>
        <v/>
      </c>
      <c r="I1109">
        <f>IF(OR($G1109="",Sync!$Y1105=""),"",Sync!$Y1105)</f>
        <v/>
      </c>
      <c r="J1109">
        <f>IF(OR($G1109="",Sync!$Z1105=""),"",Sync!$Z1105)</f>
        <v/>
      </c>
      <c r="K1109">
        <f>IF($G1109="",0,IF(Sync!$AA1105="",0,Sync!$AA1105))</f>
        <v/>
      </c>
      <c r="L1109">
        <f>IF($G1109="",0,IF(Sync!$AB1105="",0,Sync!$AB1105))</f>
        <v/>
      </c>
      <c r="M1109">
        <f>IF($G1109="","",IF($H1109="مرجوعی فروش",-1,1)*($K1109-$L1109*IFERROR(VLOOKUP("P01",ParamTbl,3,0),1.5)))</f>
        <v/>
      </c>
      <c r="N1109">
        <f>IF($G1109="",0,IF($H1109="مرجوعی فروش",-1,1)*IF(Sync!$AC1105="",0,Sync!$AC1105))</f>
        <v/>
      </c>
      <c r="O1109">
        <f>IF(OR($G1109="",Sync!$V1105=""),"",Sync!$V1105)</f>
        <v/>
      </c>
      <c r="P1109">
        <f>IF(OR($G1109="",Sync!$AD1105=""),"",Sync!$AD1105)</f>
        <v/>
      </c>
      <c r="Q1109">
        <f>IF($G1109="","",IF(Sync!$U1105="","0000",IF(AND(ISNUMBER(Sync!$U1105),Sync!$U1105&gt;=0,Sync!$U1105&lt;1),RIGHT("00"&amp;HOUR(Sync!$U1105),2)&amp;RIGHT("00"&amp;MINUTE(Sync!$U1105),2),IFERROR(RIGHT("00"&amp;VALUE(LEFT(Sync!$U1105,FIND(":",Sync!$U1105)-1)),2)&amp;RIGHT("00"&amp;VALUE(MID(Sync!$U1105,FIND(":",Sync!$U1105)+1,2)),2),"0000"))))</f>
        <v/>
      </c>
    </row>
    <row r="1110">
      <c r="A1110">
        <f>IF(Sync!$T1106="","",Sync!$T1106)</f>
        <v/>
      </c>
      <c r="B1110">
        <f>IF($A1110="","",IF(ISNUMBER($A1110),IF(AND($A1110&gt;=10000101,$A1110&lt;=99991231),INT($A1110/10000),""),IFERROR(VALUE(TRIM(LEFT($A1110,FIND("/",$A1110)-1))),"")))</f>
        <v/>
      </c>
      <c r="C1110">
        <f>IF(OR($A1110="",$B1110=""),"",IF(ISNUMBER($A1110),INT(MOD($A1110,10000)/100),IFERROR(VALUE(TRIM(LEFT(MID($A1110,FIND("/",$A1110)+1,20),FIND("/",MID($A1110,FIND("/",$A1110)+1,20))-1))),"")))</f>
        <v/>
      </c>
      <c r="D1110">
        <f>IF(OR($A1110="",$B1110=""),"",IF(ISNUMBER($A1110),MOD($A1110,100),IFERROR(VALUE(TRIM(MID(MID($A1110,FIND("/",$A1110)+1,20),FIND("/",MID($A1110,FIND("/",$A1110)+1,20))+1,20))),"")))</f>
        <v/>
      </c>
      <c r="E1110">
        <f>IF($A1110="","",IF(OR($B1110="",$C1110="",$D1110="",$B1110&lt;1300,$B1110&gt;1500,$C1110&lt;1,$C1110&gt;12,$D1110&lt;1,$D1110&gt;31),"نامعتبر",RIGHT("0000"&amp;$B1110,4)&amp;"/"&amp;RIGHT("00"&amp;$C1110,2)&amp;"/"&amp;RIGHT("00"&amp;$D1110,2)))</f>
        <v/>
      </c>
      <c r="F1110">
        <f>IF(OR($E1110="",$E1110="نامعتبر"),"",LEFT($E1110,4)&amp;"/"&amp;MID($E1110,6,2))</f>
        <v/>
      </c>
      <c r="G1110">
        <f>IF(OR($E1110="",$E1110="نامعتبر",Sync!$X1106=""),"",IF(AND(LEFT(UPPER(TRIM(Sync!$X1106)),2)="SL",IFERROR(VLOOKUP(Sync!$W1106,OpTbl,3,0),"")="فروش"),UPPER(TRIM(Sync!$X1106)),""))</f>
        <v/>
      </c>
      <c r="H1110">
        <f>IF($G1110="","",IF(Sync!$W1106="","",Sync!$W1106))</f>
        <v/>
      </c>
      <c r="I1110">
        <f>IF(OR($G1110="",Sync!$Y1106=""),"",Sync!$Y1106)</f>
        <v/>
      </c>
      <c r="J1110">
        <f>IF(OR($G1110="",Sync!$Z1106=""),"",Sync!$Z1106)</f>
        <v/>
      </c>
      <c r="K1110">
        <f>IF($G1110="",0,IF(Sync!$AA1106="",0,Sync!$AA1106))</f>
        <v/>
      </c>
      <c r="L1110">
        <f>IF($G1110="",0,IF(Sync!$AB1106="",0,Sync!$AB1106))</f>
        <v/>
      </c>
      <c r="M1110">
        <f>IF($G1110="","",IF($H1110="مرجوعی فروش",-1,1)*($K1110-$L1110*IFERROR(VLOOKUP("P01",ParamTbl,3,0),1.5)))</f>
        <v/>
      </c>
      <c r="N1110">
        <f>IF($G1110="",0,IF($H1110="مرجوعی فروش",-1,1)*IF(Sync!$AC1106="",0,Sync!$AC1106))</f>
        <v/>
      </c>
      <c r="O1110">
        <f>IF(OR($G1110="",Sync!$V1106=""),"",Sync!$V1106)</f>
        <v/>
      </c>
      <c r="P1110">
        <f>IF(OR($G1110="",Sync!$AD1106=""),"",Sync!$AD1106)</f>
        <v/>
      </c>
      <c r="Q1110">
        <f>IF($G1110="","",IF(Sync!$U1106="","0000",IF(AND(ISNUMBER(Sync!$U1106),Sync!$U1106&gt;=0,Sync!$U1106&lt;1),RIGHT("00"&amp;HOUR(Sync!$U1106),2)&amp;RIGHT("00"&amp;MINUTE(Sync!$U1106),2),IFERROR(RIGHT("00"&amp;VALUE(LEFT(Sync!$U1106,FIND(":",Sync!$U1106)-1)),2)&amp;RIGHT("00"&amp;VALUE(MID(Sync!$U1106,FIND(":",Sync!$U1106)+1,2)),2),"0000"))))</f>
        <v/>
      </c>
    </row>
    <row r="1111">
      <c r="A1111">
        <f>IF(Sync!$T1107="","",Sync!$T1107)</f>
        <v/>
      </c>
      <c r="B1111">
        <f>IF($A1111="","",IF(ISNUMBER($A1111),IF(AND($A1111&gt;=10000101,$A1111&lt;=99991231),INT($A1111/10000),""),IFERROR(VALUE(TRIM(LEFT($A1111,FIND("/",$A1111)-1))),"")))</f>
        <v/>
      </c>
      <c r="C1111">
        <f>IF(OR($A1111="",$B1111=""),"",IF(ISNUMBER($A1111),INT(MOD($A1111,10000)/100),IFERROR(VALUE(TRIM(LEFT(MID($A1111,FIND("/",$A1111)+1,20),FIND("/",MID($A1111,FIND("/",$A1111)+1,20))-1))),"")))</f>
        <v/>
      </c>
      <c r="D1111">
        <f>IF(OR($A1111="",$B1111=""),"",IF(ISNUMBER($A1111),MOD($A1111,100),IFERROR(VALUE(TRIM(MID(MID($A1111,FIND("/",$A1111)+1,20),FIND("/",MID($A1111,FIND("/",$A1111)+1,20))+1,20))),"")))</f>
        <v/>
      </c>
      <c r="E1111">
        <f>IF($A1111="","",IF(OR($B1111="",$C1111="",$D1111="",$B1111&lt;1300,$B1111&gt;1500,$C1111&lt;1,$C1111&gt;12,$D1111&lt;1,$D1111&gt;31),"نامعتبر",RIGHT("0000"&amp;$B1111,4)&amp;"/"&amp;RIGHT("00"&amp;$C1111,2)&amp;"/"&amp;RIGHT("00"&amp;$D1111,2)))</f>
        <v/>
      </c>
      <c r="F1111">
        <f>IF(OR($E1111="",$E1111="نامعتبر"),"",LEFT($E1111,4)&amp;"/"&amp;MID($E1111,6,2))</f>
        <v/>
      </c>
      <c r="G1111">
        <f>IF(OR($E1111="",$E1111="نامعتبر",Sync!$X1107=""),"",IF(AND(LEFT(UPPER(TRIM(Sync!$X1107)),2)="SL",IFERROR(VLOOKUP(Sync!$W1107,OpTbl,3,0),"")="فروش"),UPPER(TRIM(Sync!$X1107)),""))</f>
        <v/>
      </c>
      <c r="H1111">
        <f>IF($G1111="","",IF(Sync!$W1107="","",Sync!$W1107))</f>
        <v/>
      </c>
      <c r="I1111">
        <f>IF(OR($G1111="",Sync!$Y1107=""),"",Sync!$Y1107)</f>
        <v/>
      </c>
      <c r="J1111">
        <f>IF(OR($G1111="",Sync!$Z1107=""),"",Sync!$Z1107)</f>
        <v/>
      </c>
      <c r="K1111">
        <f>IF($G1111="",0,IF(Sync!$AA1107="",0,Sync!$AA1107))</f>
        <v/>
      </c>
      <c r="L1111">
        <f>IF($G1111="",0,IF(Sync!$AB1107="",0,Sync!$AB1107))</f>
        <v/>
      </c>
      <c r="M1111">
        <f>IF($G1111="","",IF($H1111="مرجوعی فروش",-1,1)*($K1111-$L1111*IFERROR(VLOOKUP("P01",ParamTbl,3,0),1.5)))</f>
        <v/>
      </c>
      <c r="N1111">
        <f>IF($G1111="",0,IF($H1111="مرجوعی فروش",-1,1)*IF(Sync!$AC1107="",0,Sync!$AC1107))</f>
        <v/>
      </c>
      <c r="O1111">
        <f>IF(OR($G1111="",Sync!$V1107=""),"",Sync!$V1107)</f>
        <v/>
      </c>
      <c r="P1111">
        <f>IF(OR($G1111="",Sync!$AD1107=""),"",Sync!$AD1107)</f>
        <v/>
      </c>
      <c r="Q1111">
        <f>IF($G1111="","",IF(Sync!$U1107="","0000",IF(AND(ISNUMBER(Sync!$U1107),Sync!$U1107&gt;=0,Sync!$U1107&lt;1),RIGHT("00"&amp;HOUR(Sync!$U1107),2)&amp;RIGHT("00"&amp;MINUTE(Sync!$U1107),2),IFERROR(RIGHT("00"&amp;VALUE(LEFT(Sync!$U1107,FIND(":",Sync!$U1107)-1)),2)&amp;RIGHT("00"&amp;VALUE(MID(Sync!$U1107,FIND(":",Sync!$U1107)+1,2)),2),"0000"))))</f>
        <v/>
      </c>
    </row>
    <row r="1112">
      <c r="A1112">
        <f>IF(Sync!$T1108="","",Sync!$T1108)</f>
        <v/>
      </c>
      <c r="B1112">
        <f>IF($A1112="","",IF(ISNUMBER($A1112),IF(AND($A1112&gt;=10000101,$A1112&lt;=99991231),INT($A1112/10000),""),IFERROR(VALUE(TRIM(LEFT($A1112,FIND("/",$A1112)-1))),"")))</f>
        <v/>
      </c>
      <c r="C1112">
        <f>IF(OR($A1112="",$B1112=""),"",IF(ISNUMBER($A1112),INT(MOD($A1112,10000)/100),IFERROR(VALUE(TRIM(LEFT(MID($A1112,FIND("/",$A1112)+1,20),FIND("/",MID($A1112,FIND("/",$A1112)+1,20))-1))),"")))</f>
        <v/>
      </c>
      <c r="D1112">
        <f>IF(OR($A1112="",$B1112=""),"",IF(ISNUMBER($A1112),MOD($A1112,100),IFERROR(VALUE(TRIM(MID(MID($A1112,FIND("/",$A1112)+1,20),FIND("/",MID($A1112,FIND("/",$A1112)+1,20))+1,20))),"")))</f>
        <v/>
      </c>
      <c r="E1112">
        <f>IF($A1112="","",IF(OR($B1112="",$C1112="",$D1112="",$B1112&lt;1300,$B1112&gt;1500,$C1112&lt;1,$C1112&gt;12,$D1112&lt;1,$D1112&gt;31),"نامعتبر",RIGHT("0000"&amp;$B1112,4)&amp;"/"&amp;RIGHT("00"&amp;$C1112,2)&amp;"/"&amp;RIGHT("00"&amp;$D1112,2)))</f>
        <v/>
      </c>
      <c r="F1112">
        <f>IF(OR($E1112="",$E1112="نامعتبر"),"",LEFT($E1112,4)&amp;"/"&amp;MID($E1112,6,2))</f>
        <v/>
      </c>
      <c r="G1112">
        <f>IF(OR($E1112="",$E1112="نامعتبر",Sync!$X1108=""),"",IF(AND(LEFT(UPPER(TRIM(Sync!$X1108)),2)="SL",IFERROR(VLOOKUP(Sync!$W1108,OpTbl,3,0),"")="فروش"),UPPER(TRIM(Sync!$X1108)),""))</f>
        <v/>
      </c>
      <c r="H1112">
        <f>IF($G1112="","",IF(Sync!$W1108="","",Sync!$W1108))</f>
        <v/>
      </c>
      <c r="I1112">
        <f>IF(OR($G1112="",Sync!$Y1108=""),"",Sync!$Y1108)</f>
        <v/>
      </c>
      <c r="J1112">
        <f>IF(OR($G1112="",Sync!$Z1108=""),"",Sync!$Z1108)</f>
        <v/>
      </c>
      <c r="K1112">
        <f>IF($G1112="",0,IF(Sync!$AA1108="",0,Sync!$AA1108))</f>
        <v/>
      </c>
      <c r="L1112">
        <f>IF($G1112="",0,IF(Sync!$AB1108="",0,Sync!$AB1108))</f>
        <v/>
      </c>
      <c r="M1112">
        <f>IF($G1112="","",IF($H1112="مرجوعی فروش",-1,1)*($K1112-$L1112*IFERROR(VLOOKUP("P01",ParamTbl,3,0),1.5)))</f>
        <v/>
      </c>
      <c r="N1112">
        <f>IF($G1112="",0,IF($H1112="مرجوعی فروش",-1,1)*IF(Sync!$AC1108="",0,Sync!$AC1108))</f>
        <v/>
      </c>
      <c r="O1112">
        <f>IF(OR($G1112="",Sync!$V1108=""),"",Sync!$V1108)</f>
        <v/>
      </c>
      <c r="P1112">
        <f>IF(OR($G1112="",Sync!$AD1108=""),"",Sync!$AD1108)</f>
        <v/>
      </c>
      <c r="Q1112">
        <f>IF($G1112="","",IF(Sync!$U1108="","0000",IF(AND(ISNUMBER(Sync!$U1108),Sync!$U1108&gt;=0,Sync!$U1108&lt;1),RIGHT("00"&amp;HOUR(Sync!$U1108),2)&amp;RIGHT("00"&amp;MINUTE(Sync!$U1108),2),IFERROR(RIGHT("00"&amp;VALUE(LEFT(Sync!$U1108,FIND(":",Sync!$U1108)-1)),2)&amp;RIGHT("00"&amp;VALUE(MID(Sync!$U1108,FIND(":",Sync!$U1108)+1,2)),2),"0000"))))</f>
        <v/>
      </c>
    </row>
    <row r="1113">
      <c r="A1113">
        <f>IF(Sync!$T1109="","",Sync!$T1109)</f>
        <v/>
      </c>
      <c r="B1113">
        <f>IF($A1113="","",IF(ISNUMBER($A1113),IF(AND($A1113&gt;=10000101,$A1113&lt;=99991231),INT($A1113/10000),""),IFERROR(VALUE(TRIM(LEFT($A1113,FIND("/",$A1113)-1))),"")))</f>
        <v/>
      </c>
      <c r="C1113">
        <f>IF(OR($A1113="",$B1113=""),"",IF(ISNUMBER($A1113),INT(MOD($A1113,10000)/100),IFERROR(VALUE(TRIM(LEFT(MID($A1113,FIND("/",$A1113)+1,20),FIND("/",MID($A1113,FIND("/",$A1113)+1,20))-1))),"")))</f>
        <v/>
      </c>
      <c r="D1113">
        <f>IF(OR($A1113="",$B1113=""),"",IF(ISNUMBER($A1113),MOD($A1113,100),IFERROR(VALUE(TRIM(MID(MID($A1113,FIND("/",$A1113)+1,20),FIND("/",MID($A1113,FIND("/",$A1113)+1,20))+1,20))),"")))</f>
        <v/>
      </c>
      <c r="E1113">
        <f>IF($A1113="","",IF(OR($B1113="",$C1113="",$D1113="",$B1113&lt;1300,$B1113&gt;1500,$C1113&lt;1,$C1113&gt;12,$D1113&lt;1,$D1113&gt;31),"نامعتبر",RIGHT("0000"&amp;$B1113,4)&amp;"/"&amp;RIGHT("00"&amp;$C1113,2)&amp;"/"&amp;RIGHT("00"&amp;$D1113,2)))</f>
        <v/>
      </c>
      <c r="F1113">
        <f>IF(OR($E1113="",$E1113="نامعتبر"),"",LEFT($E1113,4)&amp;"/"&amp;MID($E1113,6,2))</f>
        <v/>
      </c>
      <c r="G1113">
        <f>IF(OR($E1113="",$E1113="نامعتبر",Sync!$X1109=""),"",IF(AND(LEFT(UPPER(TRIM(Sync!$X1109)),2)="SL",IFERROR(VLOOKUP(Sync!$W1109,OpTbl,3,0),"")="فروش"),UPPER(TRIM(Sync!$X1109)),""))</f>
        <v/>
      </c>
      <c r="H1113">
        <f>IF($G1113="","",IF(Sync!$W1109="","",Sync!$W1109))</f>
        <v/>
      </c>
      <c r="I1113">
        <f>IF(OR($G1113="",Sync!$Y1109=""),"",Sync!$Y1109)</f>
        <v/>
      </c>
      <c r="J1113">
        <f>IF(OR($G1113="",Sync!$Z1109=""),"",Sync!$Z1109)</f>
        <v/>
      </c>
      <c r="K1113">
        <f>IF($G1113="",0,IF(Sync!$AA1109="",0,Sync!$AA1109))</f>
        <v/>
      </c>
      <c r="L1113">
        <f>IF($G1113="",0,IF(Sync!$AB1109="",0,Sync!$AB1109))</f>
        <v/>
      </c>
      <c r="M1113">
        <f>IF($G1113="","",IF($H1113="مرجوعی فروش",-1,1)*($K1113-$L1113*IFERROR(VLOOKUP("P01",ParamTbl,3,0),1.5)))</f>
        <v/>
      </c>
      <c r="N1113">
        <f>IF($G1113="",0,IF($H1113="مرجوعی فروش",-1,1)*IF(Sync!$AC1109="",0,Sync!$AC1109))</f>
        <v/>
      </c>
      <c r="O1113">
        <f>IF(OR($G1113="",Sync!$V1109=""),"",Sync!$V1109)</f>
        <v/>
      </c>
      <c r="P1113">
        <f>IF(OR($G1113="",Sync!$AD1109=""),"",Sync!$AD1109)</f>
        <v/>
      </c>
      <c r="Q1113">
        <f>IF($G1113="","",IF(Sync!$U1109="","0000",IF(AND(ISNUMBER(Sync!$U1109),Sync!$U1109&gt;=0,Sync!$U1109&lt;1),RIGHT("00"&amp;HOUR(Sync!$U1109),2)&amp;RIGHT("00"&amp;MINUTE(Sync!$U1109),2),IFERROR(RIGHT("00"&amp;VALUE(LEFT(Sync!$U1109,FIND(":",Sync!$U1109)-1)),2)&amp;RIGHT("00"&amp;VALUE(MID(Sync!$U1109,FIND(":",Sync!$U1109)+1,2)),2),"0000"))))</f>
        <v/>
      </c>
    </row>
    <row r="1114">
      <c r="A1114">
        <f>IF(Sync!$T1110="","",Sync!$T1110)</f>
        <v/>
      </c>
      <c r="B1114">
        <f>IF($A1114="","",IF(ISNUMBER($A1114),IF(AND($A1114&gt;=10000101,$A1114&lt;=99991231),INT($A1114/10000),""),IFERROR(VALUE(TRIM(LEFT($A1114,FIND("/",$A1114)-1))),"")))</f>
        <v/>
      </c>
      <c r="C1114">
        <f>IF(OR($A1114="",$B1114=""),"",IF(ISNUMBER($A1114),INT(MOD($A1114,10000)/100),IFERROR(VALUE(TRIM(LEFT(MID($A1114,FIND("/",$A1114)+1,20),FIND("/",MID($A1114,FIND("/",$A1114)+1,20))-1))),"")))</f>
        <v/>
      </c>
      <c r="D1114">
        <f>IF(OR($A1114="",$B1114=""),"",IF(ISNUMBER($A1114),MOD($A1114,100),IFERROR(VALUE(TRIM(MID(MID($A1114,FIND("/",$A1114)+1,20),FIND("/",MID($A1114,FIND("/",$A1114)+1,20))+1,20))),"")))</f>
        <v/>
      </c>
      <c r="E1114">
        <f>IF($A1114="","",IF(OR($B1114="",$C1114="",$D1114="",$B1114&lt;1300,$B1114&gt;1500,$C1114&lt;1,$C1114&gt;12,$D1114&lt;1,$D1114&gt;31),"نامعتبر",RIGHT("0000"&amp;$B1114,4)&amp;"/"&amp;RIGHT("00"&amp;$C1114,2)&amp;"/"&amp;RIGHT("00"&amp;$D1114,2)))</f>
        <v/>
      </c>
      <c r="F1114">
        <f>IF(OR($E1114="",$E1114="نامعتبر"),"",LEFT($E1114,4)&amp;"/"&amp;MID($E1114,6,2))</f>
        <v/>
      </c>
      <c r="G1114">
        <f>IF(OR($E1114="",$E1114="نامعتبر",Sync!$X1110=""),"",IF(AND(LEFT(UPPER(TRIM(Sync!$X1110)),2)="SL",IFERROR(VLOOKUP(Sync!$W1110,OpTbl,3,0),"")="فروش"),UPPER(TRIM(Sync!$X1110)),""))</f>
        <v/>
      </c>
      <c r="H1114">
        <f>IF($G1114="","",IF(Sync!$W1110="","",Sync!$W1110))</f>
        <v/>
      </c>
      <c r="I1114">
        <f>IF(OR($G1114="",Sync!$Y1110=""),"",Sync!$Y1110)</f>
        <v/>
      </c>
      <c r="J1114">
        <f>IF(OR($G1114="",Sync!$Z1110=""),"",Sync!$Z1110)</f>
        <v/>
      </c>
      <c r="K1114">
        <f>IF($G1114="",0,IF(Sync!$AA1110="",0,Sync!$AA1110))</f>
        <v/>
      </c>
      <c r="L1114">
        <f>IF($G1114="",0,IF(Sync!$AB1110="",0,Sync!$AB1110))</f>
        <v/>
      </c>
      <c r="M1114">
        <f>IF($G1114="","",IF($H1114="مرجوعی فروش",-1,1)*($K1114-$L1114*IFERROR(VLOOKUP("P01",ParamTbl,3,0),1.5)))</f>
        <v/>
      </c>
      <c r="N1114">
        <f>IF($G1114="",0,IF($H1114="مرجوعی فروش",-1,1)*IF(Sync!$AC1110="",0,Sync!$AC1110))</f>
        <v/>
      </c>
      <c r="O1114">
        <f>IF(OR($G1114="",Sync!$V1110=""),"",Sync!$V1110)</f>
        <v/>
      </c>
      <c r="P1114">
        <f>IF(OR($G1114="",Sync!$AD1110=""),"",Sync!$AD1110)</f>
        <v/>
      </c>
      <c r="Q1114">
        <f>IF($G1114="","",IF(Sync!$U1110="","0000",IF(AND(ISNUMBER(Sync!$U1110),Sync!$U1110&gt;=0,Sync!$U1110&lt;1),RIGHT("00"&amp;HOUR(Sync!$U1110),2)&amp;RIGHT("00"&amp;MINUTE(Sync!$U1110),2),IFERROR(RIGHT("00"&amp;VALUE(LEFT(Sync!$U1110,FIND(":",Sync!$U1110)-1)),2)&amp;RIGHT("00"&amp;VALUE(MID(Sync!$U1110,FIND(":",Sync!$U1110)+1,2)),2),"0000"))))</f>
        <v/>
      </c>
    </row>
    <row r="1115">
      <c r="A1115">
        <f>IF(Sync!$T1111="","",Sync!$T1111)</f>
        <v/>
      </c>
      <c r="B1115">
        <f>IF($A1115="","",IF(ISNUMBER($A1115),IF(AND($A1115&gt;=10000101,$A1115&lt;=99991231),INT($A1115/10000),""),IFERROR(VALUE(TRIM(LEFT($A1115,FIND("/",$A1115)-1))),"")))</f>
        <v/>
      </c>
      <c r="C1115">
        <f>IF(OR($A1115="",$B1115=""),"",IF(ISNUMBER($A1115),INT(MOD($A1115,10000)/100),IFERROR(VALUE(TRIM(LEFT(MID($A1115,FIND("/",$A1115)+1,20),FIND("/",MID($A1115,FIND("/",$A1115)+1,20))-1))),"")))</f>
        <v/>
      </c>
      <c r="D1115">
        <f>IF(OR($A1115="",$B1115=""),"",IF(ISNUMBER($A1115),MOD($A1115,100),IFERROR(VALUE(TRIM(MID(MID($A1115,FIND("/",$A1115)+1,20),FIND("/",MID($A1115,FIND("/",$A1115)+1,20))+1,20))),"")))</f>
        <v/>
      </c>
      <c r="E1115">
        <f>IF($A1115="","",IF(OR($B1115="",$C1115="",$D1115="",$B1115&lt;1300,$B1115&gt;1500,$C1115&lt;1,$C1115&gt;12,$D1115&lt;1,$D1115&gt;31),"نامعتبر",RIGHT("0000"&amp;$B1115,4)&amp;"/"&amp;RIGHT("00"&amp;$C1115,2)&amp;"/"&amp;RIGHT("00"&amp;$D1115,2)))</f>
        <v/>
      </c>
      <c r="F1115">
        <f>IF(OR($E1115="",$E1115="نامعتبر"),"",LEFT($E1115,4)&amp;"/"&amp;MID($E1115,6,2))</f>
        <v/>
      </c>
      <c r="G1115">
        <f>IF(OR($E1115="",$E1115="نامعتبر",Sync!$X1111=""),"",IF(AND(LEFT(UPPER(TRIM(Sync!$X1111)),2)="SL",IFERROR(VLOOKUP(Sync!$W1111,OpTbl,3,0),"")="فروش"),UPPER(TRIM(Sync!$X1111)),""))</f>
        <v/>
      </c>
      <c r="H1115">
        <f>IF($G1115="","",IF(Sync!$W1111="","",Sync!$W1111))</f>
        <v/>
      </c>
      <c r="I1115">
        <f>IF(OR($G1115="",Sync!$Y1111=""),"",Sync!$Y1111)</f>
        <v/>
      </c>
      <c r="J1115">
        <f>IF(OR($G1115="",Sync!$Z1111=""),"",Sync!$Z1111)</f>
        <v/>
      </c>
      <c r="K1115">
        <f>IF($G1115="",0,IF(Sync!$AA1111="",0,Sync!$AA1111))</f>
        <v/>
      </c>
      <c r="L1115">
        <f>IF($G1115="",0,IF(Sync!$AB1111="",0,Sync!$AB1111))</f>
        <v/>
      </c>
      <c r="M1115">
        <f>IF($G1115="","",IF($H1115="مرجوعی فروش",-1,1)*($K1115-$L1115*IFERROR(VLOOKUP("P01",ParamTbl,3,0),1.5)))</f>
        <v/>
      </c>
      <c r="N1115">
        <f>IF($G1115="",0,IF($H1115="مرجوعی فروش",-1,1)*IF(Sync!$AC1111="",0,Sync!$AC1111))</f>
        <v/>
      </c>
      <c r="O1115">
        <f>IF(OR($G1115="",Sync!$V1111=""),"",Sync!$V1111)</f>
        <v/>
      </c>
      <c r="P1115">
        <f>IF(OR($G1115="",Sync!$AD1111=""),"",Sync!$AD1111)</f>
        <v/>
      </c>
      <c r="Q1115">
        <f>IF($G1115="","",IF(Sync!$U1111="","0000",IF(AND(ISNUMBER(Sync!$U1111),Sync!$U1111&gt;=0,Sync!$U1111&lt;1),RIGHT("00"&amp;HOUR(Sync!$U1111),2)&amp;RIGHT("00"&amp;MINUTE(Sync!$U1111),2),IFERROR(RIGHT("00"&amp;VALUE(LEFT(Sync!$U1111,FIND(":",Sync!$U1111)-1)),2)&amp;RIGHT("00"&amp;VALUE(MID(Sync!$U1111,FIND(":",Sync!$U1111)+1,2)),2),"0000"))))</f>
        <v/>
      </c>
    </row>
    <row r="1116">
      <c r="A1116">
        <f>IF(Sync!$T1112="","",Sync!$T1112)</f>
        <v/>
      </c>
      <c r="B1116">
        <f>IF($A1116="","",IF(ISNUMBER($A1116),IF(AND($A1116&gt;=10000101,$A1116&lt;=99991231),INT($A1116/10000),""),IFERROR(VALUE(TRIM(LEFT($A1116,FIND("/",$A1116)-1))),"")))</f>
        <v/>
      </c>
      <c r="C1116">
        <f>IF(OR($A1116="",$B1116=""),"",IF(ISNUMBER($A1116),INT(MOD($A1116,10000)/100),IFERROR(VALUE(TRIM(LEFT(MID($A1116,FIND("/",$A1116)+1,20),FIND("/",MID($A1116,FIND("/",$A1116)+1,20))-1))),"")))</f>
        <v/>
      </c>
      <c r="D1116">
        <f>IF(OR($A1116="",$B1116=""),"",IF(ISNUMBER($A1116),MOD($A1116,100),IFERROR(VALUE(TRIM(MID(MID($A1116,FIND("/",$A1116)+1,20),FIND("/",MID($A1116,FIND("/",$A1116)+1,20))+1,20))),"")))</f>
        <v/>
      </c>
      <c r="E1116">
        <f>IF($A1116="","",IF(OR($B1116="",$C1116="",$D1116="",$B1116&lt;1300,$B1116&gt;1500,$C1116&lt;1,$C1116&gt;12,$D1116&lt;1,$D1116&gt;31),"نامعتبر",RIGHT("0000"&amp;$B1116,4)&amp;"/"&amp;RIGHT("00"&amp;$C1116,2)&amp;"/"&amp;RIGHT("00"&amp;$D1116,2)))</f>
        <v/>
      </c>
      <c r="F1116">
        <f>IF(OR($E1116="",$E1116="نامعتبر"),"",LEFT($E1116,4)&amp;"/"&amp;MID($E1116,6,2))</f>
        <v/>
      </c>
      <c r="G1116">
        <f>IF(OR($E1116="",$E1116="نامعتبر",Sync!$X1112=""),"",IF(AND(LEFT(UPPER(TRIM(Sync!$X1112)),2)="SL",IFERROR(VLOOKUP(Sync!$W1112,OpTbl,3,0),"")="فروش"),UPPER(TRIM(Sync!$X1112)),""))</f>
        <v/>
      </c>
      <c r="H1116">
        <f>IF($G1116="","",IF(Sync!$W1112="","",Sync!$W1112))</f>
        <v/>
      </c>
      <c r="I1116">
        <f>IF(OR($G1116="",Sync!$Y1112=""),"",Sync!$Y1112)</f>
        <v/>
      </c>
      <c r="J1116">
        <f>IF(OR($G1116="",Sync!$Z1112=""),"",Sync!$Z1112)</f>
        <v/>
      </c>
      <c r="K1116">
        <f>IF($G1116="",0,IF(Sync!$AA1112="",0,Sync!$AA1112))</f>
        <v/>
      </c>
      <c r="L1116">
        <f>IF($G1116="",0,IF(Sync!$AB1112="",0,Sync!$AB1112))</f>
        <v/>
      </c>
      <c r="M1116">
        <f>IF($G1116="","",IF($H1116="مرجوعی فروش",-1,1)*($K1116-$L1116*IFERROR(VLOOKUP("P01",ParamTbl,3,0),1.5)))</f>
        <v/>
      </c>
      <c r="N1116">
        <f>IF($G1116="",0,IF($H1116="مرجوعی فروش",-1,1)*IF(Sync!$AC1112="",0,Sync!$AC1112))</f>
        <v/>
      </c>
      <c r="O1116">
        <f>IF(OR($G1116="",Sync!$V1112=""),"",Sync!$V1112)</f>
        <v/>
      </c>
      <c r="P1116">
        <f>IF(OR($G1116="",Sync!$AD1112=""),"",Sync!$AD1112)</f>
        <v/>
      </c>
      <c r="Q1116">
        <f>IF($G1116="","",IF(Sync!$U1112="","0000",IF(AND(ISNUMBER(Sync!$U1112),Sync!$U1112&gt;=0,Sync!$U1112&lt;1),RIGHT("00"&amp;HOUR(Sync!$U1112),2)&amp;RIGHT("00"&amp;MINUTE(Sync!$U1112),2),IFERROR(RIGHT("00"&amp;VALUE(LEFT(Sync!$U1112,FIND(":",Sync!$U1112)-1)),2)&amp;RIGHT("00"&amp;VALUE(MID(Sync!$U1112,FIND(":",Sync!$U1112)+1,2)),2),"0000"))))</f>
        <v/>
      </c>
    </row>
    <row r="1117">
      <c r="A1117">
        <f>IF(Sync!$T1113="","",Sync!$T1113)</f>
        <v/>
      </c>
      <c r="B1117">
        <f>IF($A1117="","",IF(ISNUMBER($A1117),IF(AND($A1117&gt;=10000101,$A1117&lt;=99991231),INT($A1117/10000),""),IFERROR(VALUE(TRIM(LEFT($A1117,FIND("/",$A1117)-1))),"")))</f>
        <v/>
      </c>
      <c r="C1117">
        <f>IF(OR($A1117="",$B1117=""),"",IF(ISNUMBER($A1117),INT(MOD($A1117,10000)/100),IFERROR(VALUE(TRIM(LEFT(MID($A1117,FIND("/",$A1117)+1,20),FIND("/",MID($A1117,FIND("/",$A1117)+1,20))-1))),"")))</f>
        <v/>
      </c>
      <c r="D1117">
        <f>IF(OR($A1117="",$B1117=""),"",IF(ISNUMBER($A1117),MOD($A1117,100),IFERROR(VALUE(TRIM(MID(MID($A1117,FIND("/",$A1117)+1,20),FIND("/",MID($A1117,FIND("/",$A1117)+1,20))+1,20))),"")))</f>
        <v/>
      </c>
      <c r="E1117">
        <f>IF($A1117="","",IF(OR($B1117="",$C1117="",$D1117="",$B1117&lt;1300,$B1117&gt;1500,$C1117&lt;1,$C1117&gt;12,$D1117&lt;1,$D1117&gt;31),"نامعتبر",RIGHT("0000"&amp;$B1117,4)&amp;"/"&amp;RIGHT("00"&amp;$C1117,2)&amp;"/"&amp;RIGHT("00"&amp;$D1117,2)))</f>
        <v/>
      </c>
      <c r="F1117">
        <f>IF(OR($E1117="",$E1117="نامعتبر"),"",LEFT($E1117,4)&amp;"/"&amp;MID($E1117,6,2))</f>
        <v/>
      </c>
      <c r="G1117">
        <f>IF(OR($E1117="",$E1117="نامعتبر",Sync!$X1113=""),"",IF(AND(LEFT(UPPER(TRIM(Sync!$X1113)),2)="SL",IFERROR(VLOOKUP(Sync!$W1113,OpTbl,3,0),"")="فروش"),UPPER(TRIM(Sync!$X1113)),""))</f>
        <v/>
      </c>
      <c r="H1117">
        <f>IF($G1117="","",IF(Sync!$W1113="","",Sync!$W1113))</f>
        <v/>
      </c>
      <c r="I1117">
        <f>IF(OR($G1117="",Sync!$Y1113=""),"",Sync!$Y1113)</f>
        <v/>
      </c>
      <c r="J1117">
        <f>IF(OR($G1117="",Sync!$Z1113=""),"",Sync!$Z1113)</f>
        <v/>
      </c>
      <c r="K1117">
        <f>IF($G1117="",0,IF(Sync!$AA1113="",0,Sync!$AA1113))</f>
        <v/>
      </c>
      <c r="L1117">
        <f>IF($G1117="",0,IF(Sync!$AB1113="",0,Sync!$AB1113))</f>
        <v/>
      </c>
      <c r="M1117">
        <f>IF($G1117="","",IF($H1117="مرجوعی فروش",-1,1)*($K1117-$L1117*IFERROR(VLOOKUP("P01",ParamTbl,3,0),1.5)))</f>
        <v/>
      </c>
      <c r="N1117">
        <f>IF($G1117="",0,IF($H1117="مرجوعی فروش",-1,1)*IF(Sync!$AC1113="",0,Sync!$AC1113))</f>
        <v/>
      </c>
      <c r="O1117">
        <f>IF(OR($G1117="",Sync!$V1113=""),"",Sync!$V1113)</f>
        <v/>
      </c>
      <c r="P1117">
        <f>IF(OR($G1117="",Sync!$AD1113=""),"",Sync!$AD1113)</f>
        <v/>
      </c>
      <c r="Q1117">
        <f>IF($G1117="","",IF(Sync!$U1113="","0000",IF(AND(ISNUMBER(Sync!$U1113),Sync!$U1113&gt;=0,Sync!$U1113&lt;1),RIGHT("00"&amp;HOUR(Sync!$U1113),2)&amp;RIGHT("00"&amp;MINUTE(Sync!$U1113),2),IFERROR(RIGHT("00"&amp;VALUE(LEFT(Sync!$U1113,FIND(":",Sync!$U1113)-1)),2)&amp;RIGHT("00"&amp;VALUE(MID(Sync!$U1113,FIND(":",Sync!$U1113)+1,2)),2),"0000"))))</f>
        <v/>
      </c>
    </row>
    <row r="1118">
      <c r="A1118">
        <f>IF(Sync!$T1114="","",Sync!$T1114)</f>
        <v/>
      </c>
      <c r="B1118">
        <f>IF($A1118="","",IF(ISNUMBER($A1118),IF(AND($A1118&gt;=10000101,$A1118&lt;=99991231),INT($A1118/10000),""),IFERROR(VALUE(TRIM(LEFT($A1118,FIND("/",$A1118)-1))),"")))</f>
        <v/>
      </c>
      <c r="C1118">
        <f>IF(OR($A1118="",$B1118=""),"",IF(ISNUMBER($A1118),INT(MOD($A1118,10000)/100),IFERROR(VALUE(TRIM(LEFT(MID($A1118,FIND("/",$A1118)+1,20),FIND("/",MID($A1118,FIND("/",$A1118)+1,20))-1))),"")))</f>
        <v/>
      </c>
      <c r="D1118">
        <f>IF(OR($A1118="",$B1118=""),"",IF(ISNUMBER($A1118),MOD($A1118,100),IFERROR(VALUE(TRIM(MID(MID($A1118,FIND("/",$A1118)+1,20),FIND("/",MID($A1118,FIND("/",$A1118)+1,20))+1,20))),"")))</f>
        <v/>
      </c>
      <c r="E1118">
        <f>IF($A1118="","",IF(OR($B1118="",$C1118="",$D1118="",$B1118&lt;1300,$B1118&gt;1500,$C1118&lt;1,$C1118&gt;12,$D1118&lt;1,$D1118&gt;31),"نامعتبر",RIGHT("0000"&amp;$B1118,4)&amp;"/"&amp;RIGHT("00"&amp;$C1118,2)&amp;"/"&amp;RIGHT("00"&amp;$D1118,2)))</f>
        <v/>
      </c>
      <c r="F1118">
        <f>IF(OR($E1118="",$E1118="نامعتبر"),"",LEFT($E1118,4)&amp;"/"&amp;MID($E1118,6,2))</f>
        <v/>
      </c>
      <c r="G1118">
        <f>IF(OR($E1118="",$E1118="نامعتبر",Sync!$X1114=""),"",IF(AND(LEFT(UPPER(TRIM(Sync!$X1114)),2)="SL",IFERROR(VLOOKUP(Sync!$W1114,OpTbl,3,0),"")="فروش"),UPPER(TRIM(Sync!$X1114)),""))</f>
        <v/>
      </c>
      <c r="H1118">
        <f>IF($G1118="","",IF(Sync!$W1114="","",Sync!$W1114))</f>
        <v/>
      </c>
      <c r="I1118">
        <f>IF(OR($G1118="",Sync!$Y1114=""),"",Sync!$Y1114)</f>
        <v/>
      </c>
      <c r="J1118">
        <f>IF(OR($G1118="",Sync!$Z1114=""),"",Sync!$Z1114)</f>
        <v/>
      </c>
      <c r="K1118">
        <f>IF($G1118="",0,IF(Sync!$AA1114="",0,Sync!$AA1114))</f>
        <v/>
      </c>
      <c r="L1118">
        <f>IF($G1118="",0,IF(Sync!$AB1114="",0,Sync!$AB1114))</f>
        <v/>
      </c>
      <c r="M1118">
        <f>IF($G1118="","",IF($H1118="مرجوعی فروش",-1,1)*($K1118-$L1118*IFERROR(VLOOKUP("P01",ParamTbl,3,0),1.5)))</f>
        <v/>
      </c>
      <c r="N1118">
        <f>IF($G1118="",0,IF($H1118="مرجوعی فروش",-1,1)*IF(Sync!$AC1114="",0,Sync!$AC1114))</f>
        <v/>
      </c>
      <c r="O1118">
        <f>IF(OR($G1118="",Sync!$V1114=""),"",Sync!$V1114)</f>
        <v/>
      </c>
      <c r="P1118">
        <f>IF(OR($G1118="",Sync!$AD1114=""),"",Sync!$AD1114)</f>
        <v/>
      </c>
      <c r="Q1118">
        <f>IF($G1118="","",IF(Sync!$U1114="","0000",IF(AND(ISNUMBER(Sync!$U1114),Sync!$U1114&gt;=0,Sync!$U1114&lt;1),RIGHT("00"&amp;HOUR(Sync!$U1114),2)&amp;RIGHT("00"&amp;MINUTE(Sync!$U1114),2),IFERROR(RIGHT("00"&amp;VALUE(LEFT(Sync!$U1114,FIND(":",Sync!$U1114)-1)),2)&amp;RIGHT("00"&amp;VALUE(MID(Sync!$U1114,FIND(":",Sync!$U1114)+1,2)),2),"0000"))))</f>
        <v/>
      </c>
    </row>
    <row r="1119">
      <c r="A1119">
        <f>IF(Sync!$T1115="","",Sync!$T1115)</f>
        <v/>
      </c>
      <c r="B1119">
        <f>IF($A1119="","",IF(ISNUMBER($A1119),IF(AND($A1119&gt;=10000101,$A1119&lt;=99991231),INT($A1119/10000),""),IFERROR(VALUE(TRIM(LEFT($A1119,FIND("/",$A1119)-1))),"")))</f>
        <v/>
      </c>
      <c r="C1119">
        <f>IF(OR($A1119="",$B1119=""),"",IF(ISNUMBER($A1119),INT(MOD($A1119,10000)/100),IFERROR(VALUE(TRIM(LEFT(MID($A1119,FIND("/",$A1119)+1,20),FIND("/",MID($A1119,FIND("/",$A1119)+1,20))-1))),"")))</f>
        <v/>
      </c>
      <c r="D1119">
        <f>IF(OR($A1119="",$B1119=""),"",IF(ISNUMBER($A1119),MOD($A1119,100),IFERROR(VALUE(TRIM(MID(MID($A1119,FIND("/",$A1119)+1,20),FIND("/",MID($A1119,FIND("/",$A1119)+1,20))+1,20))),"")))</f>
        <v/>
      </c>
      <c r="E1119">
        <f>IF($A1119="","",IF(OR($B1119="",$C1119="",$D1119="",$B1119&lt;1300,$B1119&gt;1500,$C1119&lt;1,$C1119&gt;12,$D1119&lt;1,$D1119&gt;31),"نامعتبر",RIGHT("0000"&amp;$B1119,4)&amp;"/"&amp;RIGHT("00"&amp;$C1119,2)&amp;"/"&amp;RIGHT("00"&amp;$D1119,2)))</f>
        <v/>
      </c>
      <c r="F1119">
        <f>IF(OR($E1119="",$E1119="نامعتبر"),"",LEFT($E1119,4)&amp;"/"&amp;MID($E1119,6,2))</f>
        <v/>
      </c>
      <c r="G1119">
        <f>IF(OR($E1119="",$E1119="نامعتبر",Sync!$X1115=""),"",IF(AND(LEFT(UPPER(TRIM(Sync!$X1115)),2)="SL",IFERROR(VLOOKUP(Sync!$W1115,OpTbl,3,0),"")="فروش"),UPPER(TRIM(Sync!$X1115)),""))</f>
        <v/>
      </c>
      <c r="H1119">
        <f>IF($G1119="","",IF(Sync!$W1115="","",Sync!$W1115))</f>
        <v/>
      </c>
      <c r="I1119">
        <f>IF(OR($G1119="",Sync!$Y1115=""),"",Sync!$Y1115)</f>
        <v/>
      </c>
      <c r="J1119">
        <f>IF(OR($G1119="",Sync!$Z1115=""),"",Sync!$Z1115)</f>
        <v/>
      </c>
      <c r="K1119">
        <f>IF($G1119="",0,IF(Sync!$AA1115="",0,Sync!$AA1115))</f>
        <v/>
      </c>
      <c r="L1119">
        <f>IF($G1119="",0,IF(Sync!$AB1115="",0,Sync!$AB1115))</f>
        <v/>
      </c>
      <c r="M1119">
        <f>IF($G1119="","",IF($H1119="مرجوعی فروش",-1,1)*($K1119-$L1119*IFERROR(VLOOKUP("P01",ParamTbl,3,0),1.5)))</f>
        <v/>
      </c>
      <c r="N1119">
        <f>IF($G1119="",0,IF($H1119="مرجوعی فروش",-1,1)*IF(Sync!$AC1115="",0,Sync!$AC1115))</f>
        <v/>
      </c>
      <c r="O1119">
        <f>IF(OR($G1119="",Sync!$V1115=""),"",Sync!$V1115)</f>
        <v/>
      </c>
      <c r="P1119">
        <f>IF(OR($G1119="",Sync!$AD1115=""),"",Sync!$AD1115)</f>
        <v/>
      </c>
      <c r="Q1119">
        <f>IF($G1119="","",IF(Sync!$U1115="","0000",IF(AND(ISNUMBER(Sync!$U1115),Sync!$U1115&gt;=0,Sync!$U1115&lt;1),RIGHT("00"&amp;HOUR(Sync!$U1115),2)&amp;RIGHT("00"&amp;MINUTE(Sync!$U1115),2),IFERROR(RIGHT("00"&amp;VALUE(LEFT(Sync!$U1115,FIND(":",Sync!$U1115)-1)),2)&amp;RIGHT("00"&amp;VALUE(MID(Sync!$U1115,FIND(":",Sync!$U1115)+1,2)),2),"0000"))))</f>
        <v/>
      </c>
    </row>
    <row r="1120">
      <c r="A1120">
        <f>IF(Sync!$T1116="","",Sync!$T1116)</f>
        <v/>
      </c>
      <c r="B1120">
        <f>IF($A1120="","",IF(ISNUMBER($A1120),IF(AND($A1120&gt;=10000101,$A1120&lt;=99991231),INT($A1120/10000),""),IFERROR(VALUE(TRIM(LEFT($A1120,FIND("/",$A1120)-1))),"")))</f>
        <v/>
      </c>
      <c r="C1120">
        <f>IF(OR($A1120="",$B1120=""),"",IF(ISNUMBER($A1120),INT(MOD($A1120,10000)/100),IFERROR(VALUE(TRIM(LEFT(MID($A1120,FIND("/",$A1120)+1,20),FIND("/",MID($A1120,FIND("/",$A1120)+1,20))-1))),"")))</f>
        <v/>
      </c>
      <c r="D1120">
        <f>IF(OR($A1120="",$B1120=""),"",IF(ISNUMBER($A1120),MOD($A1120,100),IFERROR(VALUE(TRIM(MID(MID($A1120,FIND("/",$A1120)+1,20),FIND("/",MID($A1120,FIND("/",$A1120)+1,20))+1,20))),"")))</f>
        <v/>
      </c>
      <c r="E1120">
        <f>IF($A1120="","",IF(OR($B1120="",$C1120="",$D1120="",$B1120&lt;1300,$B1120&gt;1500,$C1120&lt;1,$C1120&gt;12,$D1120&lt;1,$D1120&gt;31),"نامعتبر",RIGHT("0000"&amp;$B1120,4)&amp;"/"&amp;RIGHT("00"&amp;$C1120,2)&amp;"/"&amp;RIGHT("00"&amp;$D1120,2)))</f>
        <v/>
      </c>
      <c r="F1120">
        <f>IF(OR($E1120="",$E1120="نامعتبر"),"",LEFT($E1120,4)&amp;"/"&amp;MID($E1120,6,2))</f>
        <v/>
      </c>
      <c r="G1120">
        <f>IF(OR($E1120="",$E1120="نامعتبر",Sync!$X1116=""),"",IF(AND(LEFT(UPPER(TRIM(Sync!$X1116)),2)="SL",IFERROR(VLOOKUP(Sync!$W1116,OpTbl,3,0),"")="فروش"),UPPER(TRIM(Sync!$X1116)),""))</f>
        <v/>
      </c>
      <c r="H1120">
        <f>IF($G1120="","",IF(Sync!$W1116="","",Sync!$W1116))</f>
        <v/>
      </c>
      <c r="I1120">
        <f>IF(OR($G1120="",Sync!$Y1116=""),"",Sync!$Y1116)</f>
        <v/>
      </c>
      <c r="J1120">
        <f>IF(OR($G1120="",Sync!$Z1116=""),"",Sync!$Z1116)</f>
        <v/>
      </c>
      <c r="K1120">
        <f>IF($G1120="",0,IF(Sync!$AA1116="",0,Sync!$AA1116))</f>
        <v/>
      </c>
      <c r="L1120">
        <f>IF($G1120="",0,IF(Sync!$AB1116="",0,Sync!$AB1116))</f>
        <v/>
      </c>
      <c r="M1120">
        <f>IF($G1120="","",IF($H1120="مرجوعی فروش",-1,1)*($K1120-$L1120*IFERROR(VLOOKUP("P01",ParamTbl,3,0),1.5)))</f>
        <v/>
      </c>
      <c r="N1120">
        <f>IF($G1120="",0,IF($H1120="مرجوعی فروش",-1,1)*IF(Sync!$AC1116="",0,Sync!$AC1116))</f>
        <v/>
      </c>
      <c r="O1120">
        <f>IF(OR($G1120="",Sync!$V1116=""),"",Sync!$V1116)</f>
        <v/>
      </c>
      <c r="P1120">
        <f>IF(OR($G1120="",Sync!$AD1116=""),"",Sync!$AD1116)</f>
        <v/>
      </c>
      <c r="Q1120">
        <f>IF($G1120="","",IF(Sync!$U1116="","0000",IF(AND(ISNUMBER(Sync!$U1116),Sync!$U1116&gt;=0,Sync!$U1116&lt;1),RIGHT("00"&amp;HOUR(Sync!$U1116),2)&amp;RIGHT("00"&amp;MINUTE(Sync!$U1116),2),IFERROR(RIGHT("00"&amp;VALUE(LEFT(Sync!$U1116,FIND(":",Sync!$U1116)-1)),2)&amp;RIGHT("00"&amp;VALUE(MID(Sync!$U1116,FIND(":",Sync!$U1116)+1,2)),2),"0000"))))</f>
        <v/>
      </c>
    </row>
    <row r="1121">
      <c r="A1121">
        <f>IF(Sync!$T1117="","",Sync!$T1117)</f>
        <v/>
      </c>
      <c r="B1121">
        <f>IF($A1121="","",IF(ISNUMBER($A1121),IF(AND($A1121&gt;=10000101,$A1121&lt;=99991231),INT($A1121/10000),""),IFERROR(VALUE(TRIM(LEFT($A1121,FIND("/",$A1121)-1))),"")))</f>
        <v/>
      </c>
      <c r="C1121">
        <f>IF(OR($A1121="",$B1121=""),"",IF(ISNUMBER($A1121),INT(MOD($A1121,10000)/100),IFERROR(VALUE(TRIM(LEFT(MID($A1121,FIND("/",$A1121)+1,20),FIND("/",MID($A1121,FIND("/",$A1121)+1,20))-1))),"")))</f>
        <v/>
      </c>
      <c r="D1121">
        <f>IF(OR($A1121="",$B1121=""),"",IF(ISNUMBER($A1121),MOD($A1121,100),IFERROR(VALUE(TRIM(MID(MID($A1121,FIND("/",$A1121)+1,20),FIND("/",MID($A1121,FIND("/",$A1121)+1,20))+1,20))),"")))</f>
        <v/>
      </c>
      <c r="E1121">
        <f>IF($A1121="","",IF(OR($B1121="",$C1121="",$D1121="",$B1121&lt;1300,$B1121&gt;1500,$C1121&lt;1,$C1121&gt;12,$D1121&lt;1,$D1121&gt;31),"نامعتبر",RIGHT("0000"&amp;$B1121,4)&amp;"/"&amp;RIGHT("00"&amp;$C1121,2)&amp;"/"&amp;RIGHT("00"&amp;$D1121,2)))</f>
        <v/>
      </c>
      <c r="F1121">
        <f>IF(OR($E1121="",$E1121="نامعتبر"),"",LEFT($E1121,4)&amp;"/"&amp;MID($E1121,6,2))</f>
        <v/>
      </c>
      <c r="G1121">
        <f>IF(OR($E1121="",$E1121="نامعتبر",Sync!$X1117=""),"",IF(AND(LEFT(UPPER(TRIM(Sync!$X1117)),2)="SL",IFERROR(VLOOKUP(Sync!$W1117,OpTbl,3,0),"")="فروش"),UPPER(TRIM(Sync!$X1117)),""))</f>
        <v/>
      </c>
      <c r="H1121">
        <f>IF($G1121="","",IF(Sync!$W1117="","",Sync!$W1117))</f>
        <v/>
      </c>
      <c r="I1121">
        <f>IF(OR($G1121="",Sync!$Y1117=""),"",Sync!$Y1117)</f>
        <v/>
      </c>
      <c r="J1121">
        <f>IF(OR($G1121="",Sync!$Z1117=""),"",Sync!$Z1117)</f>
        <v/>
      </c>
      <c r="K1121">
        <f>IF($G1121="",0,IF(Sync!$AA1117="",0,Sync!$AA1117))</f>
        <v/>
      </c>
      <c r="L1121">
        <f>IF($G1121="",0,IF(Sync!$AB1117="",0,Sync!$AB1117))</f>
        <v/>
      </c>
      <c r="M1121">
        <f>IF($G1121="","",IF($H1121="مرجوعی فروش",-1,1)*($K1121-$L1121*IFERROR(VLOOKUP("P01",ParamTbl,3,0),1.5)))</f>
        <v/>
      </c>
      <c r="N1121">
        <f>IF($G1121="",0,IF($H1121="مرجوعی فروش",-1,1)*IF(Sync!$AC1117="",0,Sync!$AC1117))</f>
        <v/>
      </c>
      <c r="O1121">
        <f>IF(OR($G1121="",Sync!$V1117=""),"",Sync!$V1117)</f>
        <v/>
      </c>
      <c r="P1121">
        <f>IF(OR($G1121="",Sync!$AD1117=""),"",Sync!$AD1117)</f>
        <v/>
      </c>
      <c r="Q1121">
        <f>IF($G1121="","",IF(Sync!$U1117="","0000",IF(AND(ISNUMBER(Sync!$U1117),Sync!$U1117&gt;=0,Sync!$U1117&lt;1),RIGHT("00"&amp;HOUR(Sync!$U1117),2)&amp;RIGHT("00"&amp;MINUTE(Sync!$U1117),2),IFERROR(RIGHT("00"&amp;VALUE(LEFT(Sync!$U1117,FIND(":",Sync!$U1117)-1)),2)&amp;RIGHT("00"&amp;VALUE(MID(Sync!$U1117,FIND(":",Sync!$U1117)+1,2)),2),"0000"))))</f>
        <v/>
      </c>
    </row>
    <row r="1122">
      <c r="A1122">
        <f>IF(Sync!$T1118="","",Sync!$T1118)</f>
        <v/>
      </c>
      <c r="B1122">
        <f>IF($A1122="","",IF(ISNUMBER($A1122),IF(AND($A1122&gt;=10000101,$A1122&lt;=99991231),INT($A1122/10000),""),IFERROR(VALUE(TRIM(LEFT($A1122,FIND("/",$A1122)-1))),"")))</f>
        <v/>
      </c>
      <c r="C1122">
        <f>IF(OR($A1122="",$B1122=""),"",IF(ISNUMBER($A1122),INT(MOD($A1122,10000)/100),IFERROR(VALUE(TRIM(LEFT(MID($A1122,FIND("/",$A1122)+1,20),FIND("/",MID($A1122,FIND("/",$A1122)+1,20))-1))),"")))</f>
        <v/>
      </c>
      <c r="D1122">
        <f>IF(OR($A1122="",$B1122=""),"",IF(ISNUMBER($A1122),MOD($A1122,100),IFERROR(VALUE(TRIM(MID(MID($A1122,FIND("/",$A1122)+1,20),FIND("/",MID($A1122,FIND("/",$A1122)+1,20))+1,20))),"")))</f>
        <v/>
      </c>
      <c r="E1122">
        <f>IF($A1122="","",IF(OR($B1122="",$C1122="",$D1122="",$B1122&lt;1300,$B1122&gt;1500,$C1122&lt;1,$C1122&gt;12,$D1122&lt;1,$D1122&gt;31),"نامعتبر",RIGHT("0000"&amp;$B1122,4)&amp;"/"&amp;RIGHT("00"&amp;$C1122,2)&amp;"/"&amp;RIGHT("00"&amp;$D1122,2)))</f>
        <v/>
      </c>
      <c r="F1122">
        <f>IF(OR($E1122="",$E1122="نامعتبر"),"",LEFT($E1122,4)&amp;"/"&amp;MID($E1122,6,2))</f>
        <v/>
      </c>
      <c r="G1122">
        <f>IF(OR($E1122="",$E1122="نامعتبر",Sync!$X1118=""),"",IF(AND(LEFT(UPPER(TRIM(Sync!$X1118)),2)="SL",IFERROR(VLOOKUP(Sync!$W1118,OpTbl,3,0),"")="فروش"),UPPER(TRIM(Sync!$X1118)),""))</f>
        <v/>
      </c>
      <c r="H1122">
        <f>IF($G1122="","",IF(Sync!$W1118="","",Sync!$W1118))</f>
        <v/>
      </c>
      <c r="I1122">
        <f>IF(OR($G1122="",Sync!$Y1118=""),"",Sync!$Y1118)</f>
        <v/>
      </c>
      <c r="J1122">
        <f>IF(OR($G1122="",Sync!$Z1118=""),"",Sync!$Z1118)</f>
        <v/>
      </c>
      <c r="K1122">
        <f>IF($G1122="",0,IF(Sync!$AA1118="",0,Sync!$AA1118))</f>
        <v/>
      </c>
      <c r="L1122">
        <f>IF($G1122="",0,IF(Sync!$AB1118="",0,Sync!$AB1118))</f>
        <v/>
      </c>
      <c r="M1122">
        <f>IF($G1122="","",IF($H1122="مرجوعی فروش",-1,1)*($K1122-$L1122*IFERROR(VLOOKUP("P01",ParamTbl,3,0),1.5)))</f>
        <v/>
      </c>
      <c r="N1122">
        <f>IF($G1122="",0,IF($H1122="مرجوعی فروش",-1,1)*IF(Sync!$AC1118="",0,Sync!$AC1118))</f>
        <v/>
      </c>
      <c r="O1122">
        <f>IF(OR($G1122="",Sync!$V1118=""),"",Sync!$V1118)</f>
        <v/>
      </c>
      <c r="P1122">
        <f>IF(OR($G1122="",Sync!$AD1118=""),"",Sync!$AD1118)</f>
        <v/>
      </c>
      <c r="Q1122">
        <f>IF($G1122="","",IF(Sync!$U1118="","0000",IF(AND(ISNUMBER(Sync!$U1118),Sync!$U1118&gt;=0,Sync!$U1118&lt;1),RIGHT("00"&amp;HOUR(Sync!$U1118),2)&amp;RIGHT("00"&amp;MINUTE(Sync!$U1118),2),IFERROR(RIGHT("00"&amp;VALUE(LEFT(Sync!$U1118,FIND(":",Sync!$U1118)-1)),2)&amp;RIGHT("00"&amp;VALUE(MID(Sync!$U1118,FIND(":",Sync!$U1118)+1,2)),2),"0000"))))</f>
        <v/>
      </c>
    </row>
    <row r="1123">
      <c r="A1123">
        <f>IF(Sync!$T1119="","",Sync!$T1119)</f>
        <v/>
      </c>
      <c r="B1123">
        <f>IF($A1123="","",IF(ISNUMBER($A1123),IF(AND($A1123&gt;=10000101,$A1123&lt;=99991231),INT($A1123/10000),""),IFERROR(VALUE(TRIM(LEFT($A1123,FIND("/",$A1123)-1))),"")))</f>
        <v/>
      </c>
      <c r="C1123">
        <f>IF(OR($A1123="",$B1123=""),"",IF(ISNUMBER($A1123),INT(MOD($A1123,10000)/100),IFERROR(VALUE(TRIM(LEFT(MID($A1123,FIND("/",$A1123)+1,20),FIND("/",MID($A1123,FIND("/",$A1123)+1,20))-1))),"")))</f>
        <v/>
      </c>
      <c r="D1123">
        <f>IF(OR($A1123="",$B1123=""),"",IF(ISNUMBER($A1123),MOD($A1123,100),IFERROR(VALUE(TRIM(MID(MID($A1123,FIND("/",$A1123)+1,20),FIND("/",MID($A1123,FIND("/",$A1123)+1,20))+1,20))),"")))</f>
        <v/>
      </c>
      <c r="E1123">
        <f>IF($A1123="","",IF(OR($B1123="",$C1123="",$D1123="",$B1123&lt;1300,$B1123&gt;1500,$C1123&lt;1,$C1123&gt;12,$D1123&lt;1,$D1123&gt;31),"نامعتبر",RIGHT("0000"&amp;$B1123,4)&amp;"/"&amp;RIGHT("00"&amp;$C1123,2)&amp;"/"&amp;RIGHT("00"&amp;$D1123,2)))</f>
        <v/>
      </c>
      <c r="F1123">
        <f>IF(OR($E1123="",$E1123="نامعتبر"),"",LEFT($E1123,4)&amp;"/"&amp;MID($E1123,6,2))</f>
        <v/>
      </c>
      <c r="G1123">
        <f>IF(OR($E1123="",$E1123="نامعتبر",Sync!$X1119=""),"",IF(AND(LEFT(UPPER(TRIM(Sync!$X1119)),2)="SL",IFERROR(VLOOKUP(Sync!$W1119,OpTbl,3,0),"")="فروش"),UPPER(TRIM(Sync!$X1119)),""))</f>
        <v/>
      </c>
      <c r="H1123">
        <f>IF($G1123="","",IF(Sync!$W1119="","",Sync!$W1119))</f>
        <v/>
      </c>
      <c r="I1123">
        <f>IF(OR($G1123="",Sync!$Y1119=""),"",Sync!$Y1119)</f>
        <v/>
      </c>
      <c r="J1123">
        <f>IF(OR($G1123="",Sync!$Z1119=""),"",Sync!$Z1119)</f>
        <v/>
      </c>
      <c r="K1123">
        <f>IF($G1123="",0,IF(Sync!$AA1119="",0,Sync!$AA1119))</f>
        <v/>
      </c>
      <c r="L1123">
        <f>IF($G1123="",0,IF(Sync!$AB1119="",0,Sync!$AB1119))</f>
        <v/>
      </c>
      <c r="M1123">
        <f>IF($G1123="","",IF($H1123="مرجوعی فروش",-1,1)*($K1123-$L1123*IFERROR(VLOOKUP("P01",ParamTbl,3,0),1.5)))</f>
        <v/>
      </c>
      <c r="N1123">
        <f>IF($G1123="",0,IF($H1123="مرجوعی فروش",-1,1)*IF(Sync!$AC1119="",0,Sync!$AC1119))</f>
        <v/>
      </c>
      <c r="O1123">
        <f>IF(OR($G1123="",Sync!$V1119=""),"",Sync!$V1119)</f>
        <v/>
      </c>
      <c r="P1123">
        <f>IF(OR($G1123="",Sync!$AD1119=""),"",Sync!$AD1119)</f>
        <v/>
      </c>
      <c r="Q1123">
        <f>IF($G1123="","",IF(Sync!$U1119="","0000",IF(AND(ISNUMBER(Sync!$U1119),Sync!$U1119&gt;=0,Sync!$U1119&lt;1),RIGHT("00"&amp;HOUR(Sync!$U1119),2)&amp;RIGHT("00"&amp;MINUTE(Sync!$U1119),2),IFERROR(RIGHT("00"&amp;VALUE(LEFT(Sync!$U1119,FIND(":",Sync!$U1119)-1)),2)&amp;RIGHT("00"&amp;VALUE(MID(Sync!$U1119,FIND(":",Sync!$U1119)+1,2)),2),"0000"))))</f>
        <v/>
      </c>
    </row>
    <row r="1124">
      <c r="A1124">
        <f>IF(Sync!$T1120="","",Sync!$T1120)</f>
        <v/>
      </c>
      <c r="B1124">
        <f>IF($A1124="","",IF(ISNUMBER($A1124),IF(AND($A1124&gt;=10000101,$A1124&lt;=99991231),INT($A1124/10000),""),IFERROR(VALUE(TRIM(LEFT($A1124,FIND("/",$A1124)-1))),"")))</f>
        <v/>
      </c>
      <c r="C1124">
        <f>IF(OR($A1124="",$B1124=""),"",IF(ISNUMBER($A1124),INT(MOD($A1124,10000)/100),IFERROR(VALUE(TRIM(LEFT(MID($A1124,FIND("/",$A1124)+1,20),FIND("/",MID($A1124,FIND("/",$A1124)+1,20))-1))),"")))</f>
        <v/>
      </c>
      <c r="D1124">
        <f>IF(OR($A1124="",$B1124=""),"",IF(ISNUMBER($A1124),MOD($A1124,100),IFERROR(VALUE(TRIM(MID(MID($A1124,FIND("/",$A1124)+1,20),FIND("/",MID($A1124,FIND("/",$A1124)+1,20))+1,20))),"")))</f>
        <v/>
      </c>
      <c r="E1124">
        <f>IF($A1124="","",IF(OR($B1124="",$C1124="",$D1124="",$B1124&lt;1300,$B1124&gt;1500,$C1124&lt;1,$C1124&gt;12,$D1124&lt;1,$D1124&gt;31),"نامعتبر",RIGHT("0000"&amp;$B1124,4)&amp;"/"&amp;RIGHT("00"&amp;$C1124,2)&amp;"/"&amp;RIGHT("00"&amp;$D1124,2)))</f>
        <v/>
      </c>
      <c r="F1124">
        <f>IF(OR($E1124="",$E1124="نامعتبر"),"",LEFT($E1124,4)&amp;"/"&amp;MID($E1124,6,2))</f>
        <v/>
      </c>
      <c r="G1124">
        <f>IF(OR($E1124="",$E1124="نامعتبر",Sync!$X1120=""),"",IF(AND(LEFT(UPPER(TRIM(Sync!$X1120)),2)="SL",IFERROR(VLOOKUP(Sync!$W1120,OpTbl,3,0),"")="فروش"),UPPER(TRIM(Sync!$X1120)),""))</f>
        <v/>
      </c>
      <c r="H1124">
        <f>IF($G1124="","",IF(Sync!$W1120="","",Sync!$W1120))</f>
        <v/>
      </c>
      <c r="I1124">
        <f>IF(OR($G1124="",Sync!$Y1120=""),"",Sync!$Y1120)</f>
        <v/>
      </c>
      <c r="J1124">
        <f>IF(OR($G1124="",Sync!$Z1120=""),"",Sync!$Z1120)</f>
        <v/>
      </c>
      <c r="K1124">
        <f>IF($G1124="",0,IF(Sync!$AA1120="",0,Sync!$AA1120))</f>
        <v/>
      </c>
      <c r="L1124">
        <f>IF($G1124="",0,IF(Sync!$AB1120="",0,Sync!$AB1120))</f>
        <v/>
      </c>
      <c r="M1124">
        <f>IF($G1124="","",IF($H1124="مرجوعی فروش",-1,1)*($K1124-$L1124*IFERROR(VLOOKUP("P01",ParamTbl,3,0),1.5)))</f>
        <v/>
      </c>
      <c r="N1124">
        <f>IF($G1124="",0,IF($H1124="مرجوعی فروش",-1,1)*IF(Sync!$AC1120="",0,Sync!$AC1120))</f>
        <v/>
      </c>
      <c r="O1124">
        <f>IF(OR($G1124="",Sync!$V1120=""),"",Sync!$V1120)</f>
        <v/>
      </c>
      <c r="P1124">
        <f>IF(OR($G1124="",Sync!$AD1120=""),"",Sync!$AD1120)</f>
        <v/>
      </c>
      <c r="Q1124">
        <f>IF($G1124="","",IF(Sync!$U1120="","0000",IF(AND(ISNUMBER(Sync!$U1120),Sync!$U1120&gt;=0,Sync!$U1120&lt;1),RIGHT("00"&amp;HOUR(Sync!$U1120),2)&amp;RIGHT("00"&amp;MINUTE(Sync!$U1120),2),IFERROR(RIGHT("00"&amp;VALUE(LEFT(Sync!$U1120,FIND(":",Sync!$U1120)-1)),2)&amp;RIGHT("00"&amp;VALUE(MID(Sync!$U1120,FIND(":",Sync!$U1120)+1,2)),2),"0000"))))</f>
        <v/>
      </c>
    </row>
    <row r="1125">
      <c r="A1125">
        <f>IF(Sync!$T1121="","",Sync!$T1121)</f>
        <v/>
      </c>
      <c r="B1125">
        <f>IF($A1125="","",IF(ISNUMBER($A1125),IF(AND($A1125&gt;=10000101,$A1125&lt;=99991231),INT($A1125/10000),""),IFERROR(VALUE(TRIM(LEFT($A1125,FIND("/",$A1125)-1))),"")))</f>
        <v/>
      </c>
      <c r="C1125">
        <f>IF(OR($A1125="",$B1125=""),"",IF(ISNUMBER($A1125),INT(MOD($A1125,10000)/100),IFERROR(VALUE(TRIM(LEFT(MID($A1125,FIND("/",$A1125)+1,20),FIND("/",MID($A1125,FIND("/",$A1125)+1,20))-1))),"")))</f>
        <v/>
      </c>
      <c r="D1125">
        <f>IF(OR($A1125="",$B1125=""),"",IF(ISNUMBER($A1125),MOD($A1125,100),IFERROR(VALUE(TRIM(MID(MID($A1125,FIND("/",$A1125)+1,20),FIND("/",MID($A1125,FIND("/",$A1125)+1,20))+1,20))),"")))</f>
        <v/>
      </c>
      <c r="E1125">
        <f>IF($A1125="","",IF(OR($B1125="",$C1125="",$D1125="",$B1125&lt;1300,$B1125&gt;1500,$C1125&lt;1,$C1125&gt;12,$D1125&lt;1,$D1125&gt;31),"نامعتبر",RIGHT("0000"&amp;$B1125,4)&amp;"/"&amp;RIGHT("00"&amp;$C1125,2)&amp;"/"&amp;RIGHT("00"&amp;$D1125,2)))</f>
        <v/>
      </c>
      <c r="F1125">
        <f>IF(OR($E1125="",$E1125="نامعتبر"),"",LEFT($E1125,4)&amp;"/"&amp;MID($E1125,6,2))</f>
        <v/>
      </c>
      <c r="G1125">
        <f>IF(OR($E1125="",$E1125="نامعتبر",Sync!$X1121=""),"",IF(AND(LEFT(UPPER(TRIM(Sync!$X1121)),2)="SL",IFERROR(VLOOKUP(Sync!$W1121,OpTbl,3,0),"")="فروش"),UPPER(TRIM(Sync!$X1121)),""))</f>
        <v/>
      </c>
      <c r="H1125">
        <f>IF($G1125="","",IF(Sync!$W1121="","",Sync!$W1121))</f>
        <v/>
      </c>
      <c r="I1125">
        <f>IF(OR($G1125="",Sync!$Y1121=""),"",Sync!$Y1121)</f>
        <v/>
      </c>
      <c r="J1125">
        <f>IF(OR($G1125="",Sync!$Z1121=""),"",Sync!$Z1121)</f>
        <v/>
      </c>
      <c r="K1125">
        <f>IF($G1125="",0,IF(Sync!$AA1121="",0,Sync!$AA1121))</f>
        <v/>
      </c>
      <c r="L1125">
        <f>IF($G1125="",0,IF(Sync!$AB1121="",0,Sync!$AB1121))</f>
        <v/>
      </c>
      <c r="M1125">
        <f>IF($G1125="","",IF($H1125="مرجوعی فروش",-1,1)*($K1125-$L1125*IFERROR(VLOOKUP("P01",ParamTbl,3,0),1.5)))</f>
        <v/>
      </c>
      <c r="N1125">
        <f>IF($G1125="",0,IF($H1125="مرجوعی فروش",-1,1)*IF(Sync!$AC1121="",0,Sync!$AC1121))</f>
        <v/>
      </c>
      <c r="O1125">
        <f>IF(OR($G1125="",Sync!$V1121=""),"",Sync!$V1121)</f>
        <v/>
      </c>
      <c r="P1125">
        <f>IF(OR($G1125="",Sync!$AD1121=""),"",Sync!$AD1121)</f>
        <v/>
      </c>
      <c r="Q1125">
        <f>IF($G1125="","",IF(Sync!$U1121="","0000",IF(AND(ISNUMBER(Sync!$U1121),Sync!$U1121&gt;=0,Sync!$U1121&lt;1),RIGHT("00"&amp;HOUR(Sync!$U1121),2)&amp;RIGHT("00"&amp;MINUTE(Sync!$U1121),2),IFERROR(RIGHT("00"&amp;VALUE(LEFT(Sync!$U1121,FIND(":",Sync!$U1121)-1)),2)&amp;RIGHT("00"&amp;VALUE(MID(Sync!$U1121,FIND(":",Sync!$U1121)+1,2)),2),"0000"))))</f>
        <v/>
      </c>
    </row>
    <row r="1126">
      <c r="A1126">
        <f>IF(Sync!$T1122="","",Sync!$T1122)</f>
        <v/>
      </c>
      <c r="B1126">
        <f>IF($A1126="","",IF(ISNUMBER($A1126),IF(AND($A1126&gt;=10000101,$A1126&lt;=99991231),INT($A1126/10000),""),IFERROR(VALUE(TRIM(LEFT($A1126,FIND("/",$A1126)-1))),"")))</f>
        <v/>
      </c>
      <c r="C1126">
        <f>IF(OR($A1126="",$B1126=""),"",IF(ISNUMBER($A1126),INT(MOD($A1126,10000)/100),IFERROR(VALUE(TRIM(LEFT(MID($A1126,FIND("/",$A1126)+1,20),FIND("/",MID($A1126,FIND("/",$A1126)+1,20))-1))),"")))</f>
        <v/>
      </c>
      <c r="D1126">
        <f>IF(OR($A1126="",$B1126=""),"",IF(ISNUMBER($A1126),MOD($A1126,100),IFERROR(VALUE(TRIM(MID(MID($A1126,FIND("/",$A1126)+1,20),FIND("/",MID($A1126,FIND("/",$A1126)+1,20))+1,20))),"")))</f>
        <v/>
      </c>
      <c r="E1126">
        <f>IF($A1126="","",IF(OR($B1126="",$C1126="",$D1126="",$B1126&lt;1300,$B1126&gt;1500,$C1126&lt;1,$C1126&gt;12,$D1126&lt;1,$D1126&gt;31),"نامعتبر",RIGHT("0000"&amp;$B1126,4)&amp;"/"&amp;RIGHT("00"&amp;$C1126,2)&amp;"/"&amp;RIGHT("00"&amp;$D1126,2)))</f>
        <v/>
      </c>
      <c r="F1126">
        <f>IF(OR($E1126="",$E1126="نامعتبر"),"",LEFT($E1126,4)&amp;"/"&amp;MID($E1126,6,2))</f>
        <v/>
      </c>
      <c r="G1126">
        <f>IF(OR($E1126="",$E1126="نامعتبر",Sync!$X1122=""),"",IF(AND(LEFT(UPPER(TRIM(Sync!$X1122)),2)="SL",IFERROR(VLOOKUP(Sync!$W1122,OpTbl,3,0),"")="فروش"),UPPER(TRIM(Sync!$X1122)),""))</f>
        <v/>
      </c>
      <c r="H1126">
        <f>IF($G1126="","",IF(Sync!$W1122="","",Sync!$W1122))</f>
        <v/>
      </c>
      <c r="I1126">
        <f>IF(OR($G1126="",Sync!$Y1122=""),"",Sync!$Y1122)</f>
        <v/>
      </c>
      <c r="J1126">
        <f>IF(OR($G1126="",Sync!$Z1122=""),"",Sync!$Z1122)</f>
        <v/>
      </c>
      <c r="K1126">
        <f>IF($G1126="",0,IF(Sync!$AA1122="",0,Sync!$AA1122))</f>
        <v/>
      </c>
      <c r="L1126">
        <f>IF($G1126="",0,IF(Sync!$AB1122="",0,Sync!$AB1122))</f>
        <v/>
      </c>
      <c r="M1126">
        <f>IF($G1126="","",IF($H1126="مرجوعی فروش",-1,1)*($K1126-$L1126*IFERROR(VLOOKUP("P01",ParamTbl,3,0),1.5)))</f>
        <v/>
      </c>
      <c r="N1126">
        <f>IF($G1126="",0,IF($H1126="مرجوعی فروش",-1,1)*IF(Sync!$AC1122="",0,Sync!$AC1122))</f>
        <v/>
      </c>
      <c r="O1126">
        <f>IF(OR($G1126="",Sync!$V1122=""),"",Sync!$V1122)</f>
        <v/>
      </c>
      <c r="P1126">
        <f>IF(OR($G1126="",Sync!$AD1122=""),"",Sync!$AD1122)</f>
        <v/>
      </c>
      <c r="Q1126">
        <f>IF($G1126="","",IF(Sync!$U1122="","0000",IF(AND(ISNUMBER(Sync!$U1122),Sync!$U1122&gt;=0,Sync!$U1122&lt;1),RIGHT("00"&amp;HOUR(Sync!$U1122),2)&amp;RIGHT("00"&amp;MINUTE(Sync!$U1122),2),IFERROR(RIGHT("00"&amp;VALUE(LEFT(Sync!$U1122,FIND(":",Sync!$U1122)-1)),2)&amp;RIGHT("00"&amp;VALUE(MID(Sync!$U1122,FIND(":",Sync!$U1122)+1,2)),2),"0000"))))</f>
        <v/>
      </c>
    </row>
    <row r="1127">
      <c r="A1127">
        <f>IF(Sync!$T1123="","",Sync!$T1123)</f>
        <v/>
      </c>
      <c r="B1127">
        <f>IF($A1127="","",IF(ISNUMBER($A1127),IF(AND($A1127&gt;=10000101,$A1127&lt;=99991231),INT($A1127/10000),""),IFERROR(VALUE(TRIM(LEFT($A1127,FIND("/",$A1127)-1))),"")))</f>
        <v/>
      </c>
      <c r="C1127">
        <f>IF(OR($A1127="",$B1127=""),"",IF(ISNUMBER($A1127),INT(MOD($A1127,10000)/100),IFERROR(VALUE(TRIM(LEFT(MID($A1127,FIND("/",$A1127)+1,20),FIND("/",MID($A1127,FIND("/",$A1127)+1,20))-1))),"")))</f>
        <v/>
      </c>
      <c r="D1127">
        <f>IF(OR($A1127="",$B1127=""),"",IF(ISNUMBER($A1127),MOD($A1127,100),IFERROR(VALUE(TRIM(MID(MID($A1127,FIND("/",$A1127)+1,20),FIND("/",MID($A1127,FIND("/",$A1127)+1,20))+1,20))),"")))</f>
        <v/>
      </c>
      <c r="E1127">
        <f>IF($A1127="","",IF(OR($B1127="",$C1127="",$D1127="",$B1127&lt;1300,$B1127&gt;1500,$C1127&lt;1,$C1127&gt;12,$D1127&lt;1,$D1127&gt;31),"نامعتبر",RIGHT("0000"&amp;$B1127,4)&amp;"/"&amp;RIGHT("00"&amp;$C1127,2)&amp;"/"&amp;RIGHT("00"&amp;$D1127,2)))</f>
        <v/>
      </c>
      <c r="F1127">
        <f>IF(OR($E1127="",$E1127="نامعتبر"),"",LEFT($E1127,4)&amp;"/"&amp;MID($E1127,6,2))</f>
        <v/>
      </c>
      <c r="G1127">
        <f>IF(OR($E1127="",$E1127="نامعتبر",Sync!$X1123=""),"",IF(AND(LEFT(UPPER(TRIM(Sync!$X1123)),2)="SL",IFERROR(VLOOKUP(Sync!$W1123,OpTbl,3,0),"")="فروش"),UPPER(TRIM(Sync!$X1123)),""))</f>
        <v/>
      </c>
      <c r="H1127">
        <f>IF($G1127="","",IF(Sync!$W1123="","",Sync!$W1123))</f>
        <v/>
      </c>
      <c r="I1127">
        <f>IF(OR($G1127="",Sync!$Y1123=""),"",Sync!$Y1123)</f>
        <v/>
      </c>
      <c r="J1127">
        <f>IF(OR($G1127="",Sync!$Z1123=""),"",Sync!$Z1123)</f>
        <v/>
      </c>
      <c r="K1127">
        <f>IF($G1127="",0,IF(Sync!$AA1123="",0,Sync!$AA1123))</f>
        <v/>
      </c>
      <c r="L1127">
        <f>IF($G1127="",0,IF(Sync!$AB1123="",0,Sync!$AB1123))</f>
        <v/>
      </c>
      <c r="M1127">
        <f>IF($G1127="","",IF($H1127="مرجوعی فروش",-1,1)*($K1127-$L1127*IFERROR(VLOOKUP("P01",ParamTbl,3,0),1.5)))</f>
        <v/>
      </c>
      <c r="N1127">
        <f>IF($G1127="",0,IF($H1127="مرجوعی فروش",-1,1)*IF(Sync!$AC1123="",0,Sync!$AC1123))</f>
        <v/>
      </c>
      <c r="O1127">
        <f>IF(OR($G1127="",Sync!$V1123=""),"",Sync!$V1123)</f>
        <v/>
      </c>
      <c r="P1127">
        <f>IF(OR($G1127="",Sync!$AD1123=""),"",Sync!$AD1123)</f>
        <v/>
      </c>
      <c r="Q1127">
        <f>IF($G1127="","",IF(Sync!$U1123="","0000",IF(AND(ISNUMBER(Sync!$U1123),Sync!$U1123&gt;=0,Sync!$U1123&lt;1),RIGHT("00"&amp;HOUR(Sync!$U1123),2)&amp;RIGHT("00"&amp;MINUTE(Sync!$U1123),2),IFERROR(RIGHT("00"&amp;VALUE(LEFT(Sync!$U1123,FIND(":",Sync!$U1123)-1)),2)&amp;RIGHT("00"&amp;VALUE(MID(Sync!$U1123,FIND(":",Sync!$U1123)+1,2)),2),"0000"))))</f>
        <v/>
      </c>
    </row>
    <row r="1128">
      <c r="A1128">
        <f>IF(Sync!$T1124="","",Sync!$T1124)</f>
        <v/>
      </c>
      <c r="B1128">
        <f>IF($A1128="","",IF(ISNUMBER($A1128),IF(AND($A1128&gt;=10000101,$A1128&lt;=99991231),INT($A1128/10000),""),IFERROR(VALUE(TRIM(LEFT($A1128,FIND("/",$A1128)-1))),"")))</f>
        <v/>
      </c>
      <c r="C1128">
        <f>IF(OR($A1128="",$B1128=""),"",IF(ISNUMBER($A1128),INT(MOD($A1128,10000)/100),IFERROR(VALUE(TRIM(LEFT(MID($A1128,FIND("/",$A1128)+1,20),FIND("/",MID($A1128,FIND("/",$A1128)+1,20))-1))),"")))</f>
        <v/>
      </c>
      <c r="D1128">
        <f>IF(OR($A1128="",$B1128=""),"",IF(ISNUMBER($A1128),MOD($A1128,100),IFERROR(VALUE(TRIM(MID(MID($A1128,FIND("/",$A1128)+1,20),FIND("/",MID($A1128,FIND("/",$A1128)+1,20))+1,20))),"")))</f>
        <v/>
      </c>
      <c r="E1128">
        <f>IF($A1128="","",IF(OR($B1128="",$C1128="",$D1128="",$B1128&lt;1300,$B1128&gt;1500,$C1128&lt;1,$C1128&gt;12,$D1128&lt;1,$D1128&gt;31),"نامعتبر",RIGHT("0000"&amp;$B1128,4)&amp;"/"&amp;RIGHT("00"&amp;$C1128,2)&amp;"/"&amp;RIGHT("00"&amp;$D1128,2)))</f>
        <v/>
      </c>
      <c r="F1128">
        <f>IF(OR($E1128="",$E1128="نامعتبر"),"",LEFT($E1128,4)&amp;"/"&amp;MID($E1128,6,2))</f>
        <v/>
      </c>
      <c r="G1128">
        <f>IF(OR($E1128="",$E1128="نامعتبر",Sync!$X1124=""),"",IF(AND(LEFT(UPPER(TRIM(Sync!$X1124)),2)="SL",IFERROR(VLOOKUP(Sync!$W1124,OpTbl,3,0),"")="فروش"),UPPER(TRIM(Sync!$X1124)),""))</f>
        <v/>
      </c>
      <c r="H1128">
        <f>IF($G1128="","",IF(Sync!$W1124="","",Sync!$W1124))</f>
        <v/>
      </c>
      <c r="I1128">
        <f>IF(OR($G1128="",Sync!$Y1124=""),"",Sync!$Y1124)</f>
        <v/>
      </c>
      <c r="J1128">
        <f>IF(OR($G1128="",Sync!$Z1124=""),"",Sync!$Z1124)</f>
        <v/>
      </c>
      <c r="K1128">
        <f>IF($G1128="",0,IF(Sync!$AA1124="",0,Sync!$AA1124))</f>
        <v/>
      </c>
      <c r="L1128">
        <f>IF($G1128="",0,IF(Sync!$AB1124="",0,Sync!$AB1124))</f>
        <v/>
      </c>
      <c r="M1128">
        <f>IF($G1128="","",IF($H1128="مرجوعی فروش",-1,1)*($K1128-$L1128*IFERROR(VLOOKUP("P01",ParamTbl,3,0),1.5)))</f>
        <v/>
      </c>
      <c r="N1128">
        <f>IF($G1128="",0,IF($H1128="مرجوعی فروش",-1,1)*IF(Sync!$AC1124="",0,Sync!$AC1124))</f>
        <v/>
      </c>
      <c r="O1128">
        <f>IF(OR($G1128="",Sync!$V1124=""),"",Sync!$V1124)</f>
        <v/>
      </c>
      <c r="P1128">
        <f>IF(OR($G1128="",Sync!$AD1124=""),"",Sync!$AD1124)</f>
        <v/>
      </c>
      <c r="Q1128">
        <f>IF($G1128="","",IF(Sync!$U1124="","0000",IF(AND(ISNUMBER(Sync!$U1124),Sync!$U1124&gt;=0,Sync!$U1124&lt;1),RIGHT("00"&amp;HOUR(Sync!$U1124),2)&amp;RIGHT("00"&amp;MINUTE(Sync!$U1124),2),IFERROR(RIGHT("00"&amp;VALUE(LEFT(Sync!$U1124,FIND(":",Sync!$U1124)-1)),2)&amp;RIGHT("00"&amp;VALUE(MID(Sync!$U1124,FIND(":",Sync!$U1124)+1,2)),2),"0000"))))</f>
        <v/>
      </c>
    </row>
    <row r="1129">
      <c r="A1129">
        <f>IF(Sync!$T1125="","",Sync!$T1125)</f>
        <v/>
      </c>
      <c r="B1129">
        <f>IF($A1129="","",IF(ISNUMBER($A1129),IF(AND($A1129&gt;=10000101,$A1129&lt;=99991231),INT($A1129/10000),""),IFERROR(VALUE(TRIM(LEFT($A1129,FIND("/",$A1129)-1))),"")))</f>
        <v/>
      </c>
      <c r="C1129">
        <f>IF(OR($A1129="",$B1129=""),"",IF(ISNUMBER($A1129),INT(MOD($A1129,10000)/100),IFERROR(VALUE(TRIM(LEFT(MID($A1129,FIND("/",$A1129)+1,20),FIND("/",MID($A1129,FIND("/",$A1129)+1,20))-1))),"")))</f>
        <v/>
      </c>
      <c r="D1129">
        <f>IF(OR($A1129="",$B1129=""),"",IF(ISNUMBER($A1129),MOD($A1129,100),IFERROR(VALUE(TRIM(MID(MID($A1129,FIND("/",$A1129)+1,20),FIND("/",MID($A1129,FIND("/",$A1129)+1,20))+1,20))),"")))</f>
        <v/>
      </c>
      <c r="E1129">
        <f>IF($A1129="","",IF(OR($B1129="",$C1129="",$D1129="",$B1129&lt;1300,$B1129&gt;1500,$C1129&lt;1,$C1129&gt;12,$D1129&lt;1,$D1129&gt;31),"نامعتبر",RIGHT("0000"&amp;$B1129,4)&amp;"/"&amp;RIGHT("00"&amp;$C1129,2)&amp;"/"&amp;RIGHT("00"&amp;$D1129,2)))</f>
        <v/>
      </c>
      <c r="F1129">
        <f>IF(OR($E1129="",$E1129="نامعتبر"),"",LEFT($E1129,4)&amp;"/"&amp;MID($E1129,6,2))</f>
        <v/>
      </c>
      <c r="G1129">
        <f>IF(OR($E1129="",$E1129="نامعتبر",Sync!$X1125=""),"",IF(AND(LEFT(UPPER(TRIM(Sync!$X1125)),2)="SL",IFERROR(VLOOKUP(Sync!$W1125,OpTbl,3,0),"")="فروش"),UPPER(TRIM(Sync!$X1125)),""))</f>
        <v/>
      </c>
      <c r="H1129">
        <f>IF($G1129="","",IF(Sync!$W1125="","",Sync!$W1125))</f>
        <v/>
      </c>
      <c r="I1129">
        <f>IF(OR($G1129="",Sync!$Y1125=""),"",Sync!$Y1125)</f>
        <v/>
      </c>
      <c r="J1129">
        <f>IF(OR($G1129="",Sync!$Z1125=""),"",Sync!$Z1125)</f>
        <v/>
      </c>
      <c r="K1129">
        <f>IF($G1129="",0,IF(Sync!$AA1125="",0,Sync!$AA1125))</f>
        <v/>
      </c>
      <c r="L1129">
        <f>IF($G1129="",0,IF(Sync!$AB1125="",0,Sync!$AB1125))</f>
        <v/>
      </c>
      <c r="M1129">
        <f>IF($G1129="","",IF($H1129="مرجوعی فروش",-1,1)*($K1129-$L1129*IFERROR(VLOOKUP("P01",ParamTbl,3,0),1.5)))</f>
        <v/>
      </c>
      <c r="N1129">
        <f>IF($G1129="",0,IF($H1129="مرجوعی فروش",-1,1)*IF(Sync!$AC1125="",0,Sync!$AC1125))</f>
        <v/>
      </c>
      <c r="O1129">
        <f>IF(OR($G1129="",Sync!$V1125=""),"",Sync!$V1125)</f>
        <v/>
      </c>
      <c r="P1129">
        <f>IF(OR($G1129="",Sync!$AD1125=""),"",Sync!$AD1125)</f>
        <v/>
      </c>
      <c r="Q1129">
        <f>IF($G1129="","",IF(Sync!$U1125="","0000",IF(AND(ISNUMBER(Sync!$U1125),Sync!$U1125&gt;=0,Sync!$U1125&lt;1),RIGHT("00"&amp;HOUR(Sync!$U1125),2)&amp;RIGHT("00"&amp;MINUTE(Sync!$U1125),2),IFERROR(RIGHT("00"&amp;VALUE(LEFT(Sync!$U1125,FIND(":",Sync!$U1125)-1)),2)&amp;RIGHT("00"&amp;VALUE(MID(Sync!$U1125,FIND(":",Sync!$U1125)+1,2)),2),"0000"))))</f>
        <v/>
      </c>
    </row>
    <row r="1130">
      <c r="A1130">
        <f>IF(Sync!$T1126="","",Sync!$T1126)</f>
        <v/>
      </c>
      <c r="B1130">
        <f>IF($A1130="","",IF(ISNUMBER($A1130),IF(AND($A1130&gt;=10000101,$A1130&lt;=99991231),INT($A1130/10000),""),IFERROR(VALUE(TRIM(LEFT($A1130,FIND("/",$A1130)-1))),"")))</f>
        <v/>
      </c>
      <c r="C1130">
        <f>IF(OR($A1130="",$B1130=""),"",IF(ISNUMBER($A1130),INT(MOD($A1130,10000)/100),IFERROR(VALUE(TRIM(LEFT(MID($A1130,FIND("/",$A1130)+1,20),FIND("/",MID($A1130,FIND("/",$A1130)+1,20))-1))),"")))</f>
        <v/>
      </c>
      <c r="D1130">
        <f>IF(OR($A1130="",$B1130=""),"",IF(ISNUMBER($A1130),MOD($A1130,100),IFERROR(VALUE(TRIM(MID(MID($A1130,FIND("/",$A1130)+1,20),FIND("/",MID($A1130,FIND("/",$A1130)+1,20))+1,20))),"")))</f>
        <v/>
      </c>
      <c r="E1130">
        <f>IF($A1130="","",IF(OR($B1130="",$C1130="",$D1130="",$B1130&lt;1300,$B1130&gt;1500,$C1130&lt;1,$C1130&gt;12,$D1130&lt;1,$D1130&gt;31),"نامعتبر",RIGHT("0000"&amp;$B1130,4)&amp;"/"&amp;RIGHT("00"&amp;$C1130,2)&amp;"/"&amp;RIGHT("00"&amp;$D1130,2)))</f>
        <v/>
      </c>
      <c r="F1130">
        <f>IF(OR($E1130="",$E1130="نامعتبر"),"",LEFT($E1130,4)&amp;"/"&amp;MID($E1130,6,2))</f>
        <v/>
      </c>
      <c r="G1130">
        <f>IF(OR($E1130="",$E1130="نامعتبر",Sync!$X1126=""),"",IF(AND(LEFT(UPPER(TRIM(Sync!$X1126)),2)="SL",IFERROR(VLOOKUP(Sync!$W1126,OpTbl,3,0),"")="فروش"),UPPER(TRIM(Sync!$X1126)),""))</f>
        <v/>
      </c>
      <c r="H1130">
        <f>IF($G1130="","",IF(Sync!$W1126="","",Sync!$W1126))</f>
        <v/>
      </c>
      <c r="I1130">
        <f>IF(OR($G1130="",Sync!$Y1126=""),"",Sync!$Y1126)</f>
        <v/>
      </c>
      <c r="J1130">
        <f>IF(OR($G1130="",Sync!$Z1126=""),"",Sync!$Z1126)</f>
        <v/>
      </c>
      <c r="K1130">
        <f>IF($G1130="",0,IF(Sync!$AA1126="",0,Sync!$AA1126))</f>
        <v/>
      </c>
      <c r="L1130">
        <f>IF($G1130="",0,IF(Sync!$AB1126="",0,Sync!$AB1126))</f>
        <v/>
      </c>
      <c r="M1130">
        <f>IF($G1130="","",IF($H1130="مرجوعی فروش",-1,1)*($K1130-$L1130*IFERROR(VLOOKUP("P01",ParamTbl,3,0),1.5)))</f>
        <v/>
      </c>
      <c r="N1130">
        <f>IF($G1130="",0,IF($H1130="مرجوعی فروش",-1,1)*IF(Sync!$AC1126="",0,Sync!$AC1126))</f>
        <v/>
      </c>
      <c r="O1130">
        <f>IF(OR($G1130="",Sync!$V1126=""),"",Sync!$V1126)</f>
        <v/>
      </c>
      <c r="P1130">
        <f>IF(OR($G1130="",Sync!$AD1126=""),"",Sync!$AD1126)</f>
        <v/>
      </c>
      <c r="Q1130">
        <f>IF($G1130="","",IF(Sync!$U1126="","0000",IF(AND(ISNUMBER(Sync!$U1126),Sync!$U1126&gt;=0,Sync!$U1126&lt;1),RIGHT("00"&amp;HOUR(Sync!$U1126),2)&amp;RIGHT("00"&amp;MINUTE(Sync!$U1126),2),IFERROR(RIGHT("00"&amp;VALUE(LEFT(Sync!$U1126,FIND(":",Sync!$U1126)-1)),2)&amp;RIGHT("00"&amp;VALUE(MID(Sync!$U1126,FIND(":",Sync!$U1126)+1,2)),2),"0000"))))</f>
        <v/>
      </c>
    </row>
    <row r="1131">
      <c r="A1131">
        <f>IF(Sync!$T1127="","",Sync!$T1127)</f>
        <v/>
      </c>
      <c r="B1131">
        <f>IF($A1131="","",IF(ISNUMBER($A1131),IF(AND($A1131&gt;=10000101,$A1131&lt;=99991231),INT($A1131/10000),""),IFERROR(VALUE(TRIM(LEFT($A1131,FIND("/",$A1131)-1))),"")))</f>
        <v/>
      </c>
      <c r="C1131">
        <f>IF(OR($A1131="",$B1131=""),"",IF(ISNUMBER($A1131),INT(MOD($A1131,10000)/100),IFERROR(VALUE(TRIM(LEFT(MID($A1131,FIND("/",$A1131)+1,20),FIND("/",MID($A1131,FIND("/",$A1131)+1,20))-1))),"")))</f>
        <v/>
      </c>
      <c r="D1131">
        <f>IF(OR($A1131="",$B1131=""),"",IF(ISNUMBER($A1131),MOD($A1131,100),IFERROR(VALUE(TRIM(MID(MID($A1131,FIND("/",$A1131)+1,20),FIND("/",MID($A1131,FIND("/",$A1131)+1,20))+1,20))),"")))</f>
        <v/>
      </c>
      <c r="E1131">
        <f>IF($A1131="","",IF(OR($B1131="",$C1131="",$D1131="",$B1131&lt;1300,$B1131&gt;1500,$C1131&lt;1,$C1131&gt;12,$D1131&lt;1,$D1131&gt;31),"نامعتبر",RIGHT("0000"&amp;$B1131,4)&amp;"/"&amp;RIGHT("00"&amp;$C1131,2)&amp;"/"&amp;RIGHT("00"&amp;$D1131,2)))</f>
        <v/>
      </c>
      <c r="F1131">
        <f>IF(OR($E1131="",$E1131="نامعتبر"),"",LEFT($E1131,4)&amp;"/"&amp;MID($E1131,6,2))</f>
        <v/>
      </c>
      <c r="G1131">
        <f>IF(OR($E1131="",$E1131="نامعتبر",Sync!$X1127=""),"",IF(AND(LEFT(UPPER(TRIM(Sync!$X1127)),2)="SL",IFERROR(VLOOKUP(Sync!$W1127,OpTbl,3,0),"")="فروش"),UPPER(TRIM(Sync!$X1127)),""))</f>
        <v/>
      </c>
      <c r="H1131">
        <f>IF($G1131="","",IF(Sync!$W1127="","",Sync!$W1127))</f>
        <v/>
      </c>
      <c r="I1131">
        <f>IF(OR($G1131="",Sync!$Y1127=""),"",Sync!$Y1127)</f>
        <v/>
      </c>
      <c r="J1131">
        <f>IF(OR($G1131="",Sync!$Z1127=""),"",Sync!$Z1127)</f>
        <v/>
      </c>
      <c r="K1131">
        <f>IF($G1131="",0,IF(Sync!$AA1127="",0,Sync!$AA1127))</f>
        <v/>
      </c>
      <c r="L1131">
        <f>IF($G1131="",0,IF(Sync!$AB1127="",0,Sync!$AB1127))</f>
        <v/>
      </c>
      <c r="M1131">
        <f>IF($G1131="","",IF($H1131="مرجوعی فروش",-1,1)*($K1131-$L1131*IFERROR(VLOOKUP("P01",ParamTbl,3,0),1.5)))</f>
        <v/>
      </c>
      <c r="N1131">
        <f>IF($G1131="",0,IF($H1131="مرجوعی فروش",-1,1)*IF(Sync!$AC1127="",0,Sync!$AC1127))</f>
        <v/>
      </c>
      <c r="O1131">
        <f>IF(OR($G1131="",Sync!$V1127=""),"",Sync!$V1127)</f>
        <v/>
      </c>
      <c r="P1131">
        <f>IF(OR($G1131="",Sync!$AD1127=""),"",Sync!$AD1127)</f>
        <v/>
      </c>
      <c r="Q1131">
        <f>IF($G1131="","",IF(Sync!$U1127="","0000",IF(AND(ISNUMBER(Sync!$U1127),Sync!$U1127&gt;=0,Sync!$U1127&lt;1),RIGHT("00"&amp;HOUR(Sync!$U1127),2)&amp;RIGHT("00"&amp;MINUTE(Sync!$U1127),2),IFERROR(RIGHT("00"&amp;VALUE(LEFT(Sync!$U1127,FIND(":",Sync!$U1127)-1)),2)&amp;RIGHT("00"&amp;VALUE(MID(Sync!$U1127,FIND(":",Sync!$U1127)+1,2)),2),"0000"))))</f>
        <v/>
      </c>
    </row>
    <row r="1132">
      <c r="A1132">
        <f>IF(Sync!$T1128="","",Sync!$T1128)</f>
        <v/>
      </c>
      <c r="B1132">
        <f>IF($A1132="","",IF(ISNUMBER($A1132),IF(AND($A1132&gt;=10000101,$A1132&lt;=99991231),INT($A1132/10000),""),IFERROR(VALUE(TRIM(LEFT($A1132,FIND("/",$A1132)-1))),"")))</f>
        <v/>
      </c>
      <c r="C1132">
        <f>IF(OR($A1132="",$B1132=""),"",IF(ISNUMBER($A1132),INT(MOD($A1132,10000)/100),IFERROR(VALUE(TRIM(LEFT(MID($A1132,FIND("/",$A1132)+1,20),FIND("/",MID($A1132,FIND("/",$A1132)+1,20))-1))),"")))</f>
        <v/>
      </c>
      <c r="D1132">
        <f>IF(OR($A1132="",$B1132=""),"",IF(ISNUMBER($A1132),MOD($A1132,100),IFERROR(VALUE(TRIM(MID(MID($A1132,FIND("/",$A1132)+1,20),FIND("/",MID($A1132,FIND("/",$A1132)+1,20))+1,20))),"")))</f>
        <v/>
      </c>
      <c r="E1132">
        <f>IF($A1132="","",IF(OR($B1132="",$C1132="",$D1132="",$B1132&lt;1300,$B1132&gt;1500,$C1132&lt;1,$C1132&gt;12,$D1132&lt;1,$D1132&gt;31),"نامعتبر",RIGHT("0000"&amp;$B1132,4)&amp;"/"&amp;RIGHT("00"&amp;$C1132,2)&amp;"/"&amp;RIGHT("00"&amp;$D1132,2)))</f>
        <v/>
      </c>
      <c r="F1132">
        <f>IF(OR($E1132="",$E1132="نامعتبر"),"",LEFT($E1132,4)&amp;"/"&amp;MID($E1132,6,2))</f>
        <v/>
      </c>
      <c r="G1132">
        <f>IF(OR($E1132="",$E1132="نامعتبر",Sync!$X1128=""),"",IF(AND(LEFT(UPPER(TRIM(Sync!$X1128)),2)="SL",IFERROR(VLOOKUP(Sync!$W1128,OpTbl,3,0),"")="فروش"),UPPER(TRIM(Sync!$X1128)),""))</f>
        <v/>
      </c>
      <c r="H1132">
        <f>IF($G1132="","",IF(Sync!$W1128="","",Sync!$W1128))</f>
        <v/>
      </c>
      <c r="I1132">
        <f>IF(OR($G1132="",Sync!$Y1128=""),"",Sync!$Y1128)</f>
        <v/>
      </c>
      <c r="J1132">
        <f>IF(OR($G1132="",Sync!$Z1128=""),"",Sync!$Z1128)</f>
        <v/>
      </c>
      <c r="K1132">
        <f>IF($G1132="",0,IF(Sync!$AA1128="",0,Sync!$AA1128))</f>
        <v/>
      </c>
      <c r="L1132">
        <f>IF($G1132="",0,IF(Sync!$AB1128="",0,Sync!$AB1128))</f>
        <v/>
      </c>
      <c r="M1132">
        <f>IF($G1132="","",IF($H1132="مرجوعی فروش",-1,1)*($K1132-$L1132*IFERROR(VLOOKUP("P01",ParamTbl,3,0),1.5)))</f>
        <v/>
      </c>
      <c r="N1132">
        <f>IF($G1132="",0,IF($H1132="مرجوعی فروش",-1,1)*IF(Sync!$AC1128="",0,Sync!$AC1128))</f>
        <v/>
      </c>
      <c r="O1132">
        <f>IF(OR($G1132="",Sync!$V1128=""),"",Sync!$V1128)</f>
        <v/>
      </c>
      <c r="P1132">
        <f>IF(OR($G1132="",Sync!$AD1128=""),"",Sync!$AD1128)</f>
        <v/>
      </c>
      <c r="Q1132">
        <f>IF($G1132="","",IF(Sync!$U1128="","0000",IF(AND(ISNUMBER(Sync!$U1128),Sync!$U1128&gt;=0,Sync!$U1128&lt;1),RIGHT("00"&amp;HOUR(Sync!$U1128),2)&amp;RIGHT("00"&amp;MINUTE(Sync!$U1128),2),IFERROR(RIGHT("00"&amp;VALUE(LEFT(Sync!$U1128,FIND(":",Sync!$U1128)-1)),2)&amp;RIGHT("00"&amp;VALUE(MID(Sync!$U1128,FIND(":",Sync!$U1128)+1,2)),2),"0000"))))</f>
        <v/>
      </c>
    </row>
    <row r="1133">
      <c r="A1133">
        <f>IF(Sync!$T1129="","",Sync!$T1129)</f>
        <v/>
      </c>
      <c r="B1133">
        <f>IF($A1133="","",IF(ISNUMBER($A1133),IF(AND($A1133&gt;=10000101,$A1133&lt;=99991231),INT($A1133/10000),""),IFERROR(VALUE(TRIM(LEFT($A1133,FIND("/",$A1133)-1))),"")))</f>
        <v/>
      </c>
      <c r="C1133">
        <f>IF(OR($A1133="",$B1133=""),"",IF(ISNUMBER($A1133),INT(MOD($A1133,10000)/100),IFERROR(VALUE(TRIM(LEFT(MID($A1133,FIND("/",$A1133)+1,20),FIND("/",MID($A1133,FIND("/",$A1133)+1,20))-1))),"")))</f>
        <v/>
      </c>
      <c r="D1133">
        <f>IF(OR($A1133="",$B1133=""),"",IF(ISNUMBER($A1133),MOD($A1133,100),IFERROR(VALUE(TRIM(MID(MID($A1133,FIND("/",$A1133)+1,20),FIND("/",MID($A1133,FIND("/",$A1133)+1,20))+1,20))),"")))</f>
        <v/>
      </c>
      <c r="E1133">
        <f>IF($A1133="","",IF(OR($B1133="",$C1133="",$D1133="",$B1133&lt;1300,$B1133&gt;1500,$C1133&lt;1,$C1133&gt;12,$D1133&lt;1,$D1133&gt;31),"نامعتبر",RIGHT("0000"&amp;$B1133,4)&amp;"/"&amp;RIGHT("00"&amp;$C1133,2)&amp;"/"&amp;RIGHT("00"&amp;$D1133,2)))</f>
        <v/>
      </c>
      <c r="F1133">
        <f>IF(OR($E1133="",$E1133="نامعتبر"),"",LEFT($E1133,4)&amp;"/"&amp;MID($E1133,6,2))</f>
        <v/>
      </c>
      <c r="G1133">
        <f>IF(OR($E1133="",$E1133="نامعتبر",Sync!$X1129=""),"",IF(AND(LEFT(UPPER(TRIM(Sync!$X1129)),2)="SL",IFERROR(VLOOKUP(Sync!$W1129,OpTbl,3,0),"")="فروش"),UPPER(TRIM(Sync!$X1129)),""))</f>
        <v/>
      </c>
      <c r="H1133">
        <f>IF($G1133="","",IF(Sync!$W1129="","",Sync!$W1129))</f>
        <v/>
      </c>
      <c r="I1133">
        <f>IF(OR($G1133="",Sync!$Y1129=""),"",Sync!$Y1129)</f>
        <v/>
      </c>
      <c r="J1133">
        <f>IF(OR($G1133="",Sync!$Z1129=""),"",Sync!$Z1129)</f>
        <v/>
      </c>
      <c r="K1133">
        <f>IF($G1133="",0,IF(Sync!$AA1129="",0,Sync!$AA1129))</f>
        <v/>
      </c>
      <c r="L1133">
        <f>IF($G1133="",0,IF(Sync!$AB1129="",0,Sync!$AB1129))</f>
        <v/>
      </c>
      <c r="M1133">
        <f>IF($G1133="","",IF($H1133="مرجوعی فروش",-1,1)*($K1133-$L1133*IFERROR(VLOOKUP("P01",ParamTbl,3,0),1.5)))</f>
        <v/>
      </c>
      <c r="N1133">
        <f>IF($G1133="",0,IF($H1133="مرجوعی فروش",-1,1)*IF(Sync!$AC1129="",0,Sync!$AC1129))</f>
        <v/>
      </c>
      <c r="O1133">
        <f>IF(OR($G1133="",Sync!$V1129=""),"",Sync!$V1129)</f>
        <v/>
      </c>
      <c r="P1133">
        <f>IF(OR($G1133="",Sync!$AD1129=""),"",Sync!$AD1129)</f>
        <v/>
      </c>
      <c r="Q1133">
        <f>IF($G1133="","",IF(Sync!$U1129="","0000",IF(AND(ISNUMBER(Sync!$U1129),Sync!$U1129&gt;=0,Sync!$U1129&lt;1),RIGHT("00"&amp;HOUR(Sync!$U1129),2)&amp;RIGHT("00"&amp;MINUTE(Sync!$U1129),2),IFERROR(RIGHT("00"&amp;VALUE(LEFT(Sync!$U1129,FIND(":",Sync!$U1129)-1)),2)&amp;RIGHT("00"&amp;VALUE(MID(Sync!$U1129,FIND(":",Sync!$U1129)+1,2)),2),"0000"))))</f>
        <v/>
      </c>
    </row>
    <row r="1134">
      <c r="A1134">
        <f>IF(Sync!$T1130="","",Sync!$T1130)</f>
        <v/>
      </c>
      <c r="B1134">
        <f>IF($A1134="","",IF(ISNUMBER($A1134),IF(AND($A1134&gt;=10000101,$A1134&lt;=99991231),INT($A1134/10000),""),IFERROR(VALUE(TRIM(LEFT($A1134,FIND("/",$A1134)-1))),"")))</f>
        <v/>
      </c>
      <c r="C1134">
        <f>IF(OR($A1134="",$B1134=""),"",IF(ISNUMBER($A1134),INT(MOD($A1134,10000)/100),IFERROR(VALUE(TRIM(LEFT(MID($A1134,FIND("/",$A1134)+1,20),FIND("/",MID($A1134,FIND("/",$A1134)+1,20))-1))),"")))</f>
        <v/>
      </c>
      <c r="D1134">
        <f>IF(OR($A1134="",$B1134=""),"",IF(ISNUMBER($A1134),MOD($A1134,100),IFERROR(VALUE(TRIM(MID(MID($A1134,FIND("/",$A1134)+1,20),FIND("/",MID($A1134,FIND("/",$A1134)+1,20))+1,20))),"")))</f>
        <v/>
      </c>
      <c r="E1134">
        <f>IF($A1134="","",IF(OR($B1134="",$C1134="",$D1134="",$B1134&lt;1300,$B1134&gt;1500,$C1134&lt;1,$C1134&gt;12,$D1134&lt;1,$D1134&gt;31),"نامعتبر",RIGHT("0000"&amp;$B1134,4)&amp;"/"&amp;RIGHT("00"&amp;$C1134,2)&amp;"/"&amp;RIGHT("00"&amp;$D1134,2)))</f>
        <v/>
      </c>
      <c r="F1134">
        <f>IF(OR($E1134="",$E1134="نامعتبر"),"",LEFT($E1134,4)&amp;"/"&amp;MID($E1134,6,2))</f>
        <v/>
      </c>
      <c r="G1134">
        <f>IF(OR($E1134="",$E1134="نامعتبر",Sync!$X1130=""),"",IF(AND(LEFT(UPPER(TRIM(Sync!$X1130)),2)="SL",IFERROR(VLOOKUP(Sync!$W1130,OpTbl,3,0),"")="فروش"),UPPER(TRIM(Sync!$X1130)),""))</f>
        <v/>
      </c>
      <c r="H1134">
        <f>IF($G1134="","",IF(Sync!$W1130="","",Sync!$W1130))</f>
        <v/>
      </c>
      <c r="I1134">
        <f>IF(OR($G1134="",Sync!$Y1130=""),"",Sync!$Y1130)</f>
        <v/>
      </c>
      <c r="J1134">
        <f>IF(OR($G1134="",Sync!$Z1130=""),"",Sync!$Z1130)</f>
        <v/>
      </c>
      <c r="K1134">
        <f>IF($G1134="",0,IF(Sync!$AA1130="",0,Sync!$AA1130))</f>
        <v/>
      </c>
      <c r="L1134">
        <f>IF($G1134="",0,IF(Sync!$AB1130="",0,Sync!$AB1130))</f>
        <v/>
      </c>
      <c r="M1134">
        <f>IF($G1134="","",IF($H1134="مرجوعی فروش",-1,1)*($K1134-$L1134*IFERROR(VLOOKUP("P01",ParamTbl,3,0),1.5)))</f>
        <v/>
      </c>
      <c r="N1134">
        <f>IF($G1134="",0,IF($H1134="مرجوعی فروش",-1,1)*IF(Sync!$AC1130="",0,Sync!$AC1130))</f>
        <v/>
      </c>
      <c r="O1134">
        <f>IF(OR($G1134="",Sync!$V1130=""),"",Sync!$V1130)</f>
        <v/>
      </c>
      <c r="P1134">
        <f>IF(OR($G1134="",Sync!$AD1130=""),"",Sync!$AD1130)</f>
        <v/>
      </c>
      <c r="Q1134">
        <f>IF($G1134="","",IF(Sync!$U1130="","0000",IF(AND(ISNUMBER(Sync!$U1130),Sync!$U1130&gt;=0,Sync!$U1130&lt;1),RIGHT("00"&amp;HOUR(Sync!$U1130),2)&amp;RIGHT("00"&amp;MINUTE(Sync!$U1130),2),IFERROR(RIGHT("00"&amp;VALUE(LEFT(Sync!$U1130,FIND(":",Sync!$U1130)-1)),2)&amp;RIGHT("00"&amp;VALUE(MID(Sync!$U1130,FIND(":",Sync!$U1130)+1,2)),2),"0000"))))</f>
        <v/>
      </c>
    </row>
    <row r="1135">
      <c r="A1135">
        <f>IF(Sync!$T1131="","",Sync!$T1131)</f>
        <v/>
      </c>
      <c r="B1135">
        <f>IF($A1135="","",IF(ISNUMBER($A1135),IF(AND($A1135&gt;=10000101,$A1135&lt;=99991231),INT($A1135/10000),""),IFERROR(VALUE(TRIM(LEFT($A1135,FIND("/",$A1135)-1))),"")))</f>
        <v/>
      </c>
      <c r="C1135">
        <f>IF(OR($A1135="",$B1135=""),"",IF(ISNUMBER($A1135),INT(MOD($A1135,10000)/100),IFERROR(VALUE(TRIM(LEFT(MID($A1135,FIND("/",$A1135)+1,20),FIND("/",MID($A1135,FIND("/",$A1135)+1,20))-1))),"")))</f>
        <v/>
      </c>
      <c r="D1135">
        <f>IF(OR($A1135="",$B1135=""),"",IF(ISNUMBER($A1135),MOD($A1135,100),IFERROR(VALUE(TRIM(MID(MID($A1135,FIND("/",$A1135)+1,20),FIND("/",MID($A1135,FIND("/",$A1135)+1,20))+1,20))),"")))</f>
        <v/>
      </c>
      <c r="E1135">
        <f>IF($A1135="","",IF(OR($B1135="",$C1135="",$D1135="",$B1135&lt;1300,$B1135&gt;1500,$C1135&lt;1,$C1135&gt;12,$D1135&lt;1,$D1135&gt;31),"نامعتبر",RIGHT("0000"&amp;$B1135,4)&amp;"/"&amp;RIGHT("00"&amp;$C1135,2)&amp;"/"&amp;RIGHT("00"&amp;$D1135,2)))</f>
        <v/>
      </c>
      <c r="F1135">
        <f>IF(OR($E1135="",$E1135="نامعتبر"),"",LEFT($E1135,4)&amp;"/"&amp;MID($E1135,6,2))</f>
        <v/>
      </c>
      <c r="G1135">
        <f>IF(OR($E1135="",$E1135="نامعتبر",Sync!$X1131=""),"",IF(AND(LEFT(UPPER(TRIM(Sync!$X1131)),2)="SL",IFERROR(VLOOKUP(Sync!$W1131,OpTbl,3,0),"")="فروش"),UPPER(TRIM(Sync!$X1131)),""))</f>
        <v/>
      </c>
      <c r="H1135">
        <f>IF($G1135="","",IF(Sync!$W1131="","",Sync!$W1131))</f>
        <v/>
      </c>
      <c r="I1135">
        <f>IF(OR($G1135="",Sync!$Y1131=""),"",Sync!$Y1131)</f>
        <v/>
      </c>
      <c r="J1135">
        <f>IF(OR($G1135="",Sync!$Z1131=""),"",Sync!$Z1131)</f>
        <v/>
      </c>
      <c r="K1135">
        <f>IF($G1135="",0,IF(Sync!$AA1131="",0,Sync!$AA1131))</f>
        <v/>
      </c>
      <c r="L1135">
        <f>IF($G1135="",0,IF(Sync!$AB1131="",0,Sync!$AB1131))</f>
        <v/>
      </c>
      <c r="M1135">
        <f>IF($G1135="","",IF($H1135="مرجوعی فروش",-1,1)*($K1135-$L1135*IFERROR(VLOOKUP("P01",ParamTbl,3,0),1.5)))</f>
        <v/>
      </c>
      <c r="N1135">
        <f>IF($G1135="",0,IF($H1135="مرجوعی فروش",-1,1)*IF(Sync!$AC1131="",0,Sync!$AC1131))</f>
        <v/>
      </c>
      <c r="O1135">
        <f>IF(OR($G1135="",Sync!$V1131=""),"",Sync!$V1131)</f>
        <v/>
      </c>
      <c r="P1135">
        <f>IF(OR($G1135="",Sync!$AD1131=""),"",Sync!$AD1131)</f>
        <v/>
      </c>
      <c r="Q1135">
        <f>IF($G1135="","",IF(Sync!$U1131="","0000",IF(AND(ISNUMBER(Sync!$U1131),Sync!$U1131&gt;=0,Sync!$U1131&lt;1),RIGHT("00"&amp;HOUR(Sync!$U1131),2)&amp;RIGHT("00"&amp;MINUTE(Sync!$U1131),2),IFERROR(RIGHT("00"&amp;VALUE(LEFT(Sync!$U1131,FIND(":",Sync!$U1131)-1)),2)&amp;RIGHT("00"&amp;VALUE(MID(Sync!$U1131,FIND(":",Sync!$U1131)+1,2)),2),"0000"))))</f>
        <v/>
      </c>
    </row>
    <row r="1136">
      <c r="A1136">
        <f>IF(Sync!$T1132="","",Sync!$T1132)</f>
        <v/>
      </c>
      <c r="B1136">
        <f>IF($A1136="","",IF(ISNUMBER($A1136),IF(AND($A1136&gt;=10000101,$A1136&lt;=99991231),INT($A1136/10000),""),IFERROR(VALUE(TRIM(LEFT($A1136,FIND("/",$A1136)-1))),"")))</f>
        <v/>
      </c>
      <c r="C1136">
        <f>IF(OR($A1136="",$B1136=""),"",IF(ISNUMBER($A1136),INT(MOD($A1136,10000)/100),IFERROR(VALUE(TRIM(LEFT(MID($A1136,FIND("/",$A1136)+1,20),FIND("/",MID($A1136,FIND("/",$A1136)+1,20))-1))),"")))</f>
        <v/>
      </c>
      <c r="D1136">
        <f>IF(OR($A1136="",$B1136=""),"",IF(ISNUMBER($A1136),MOD($A1136,100),IFERROR(VALUE(TRIM(MID(MID($A1136,FIND("/",$A1136)+1,20),FIND("/",MID($A1136,FIND("/",$A1136)+1,20))+1,20))),"")))</f>
        <v/>
      </c>
      <c r="E1136">
        <f>IF($A1136="","",IF(OR($B1136="",$C1136="",$D1136="",$B1136&lt;1300,$B1136&gt;1500,$C1136&lt;1,$C1136&gt;12,$D1136&lt;1,$D1136&gt;31),"نامعتبر",RIGHT("0000"&amp;$B1136,4)&amp;"/"&amp;RIGHT("00"&amp;$C1136,2)&amp;"/"&amp;RIGHT("00"&amp;$D1136,2)))</f>
        <v/>
      </c>
      <c r="F1136">
        <f>IF(OR($E1136="",$E1136="نامعتبر"),"",LEFT($E1136,4)&amp;"/"&amp;MID($E1136,6,2))</f>
        <v/>
      </c>
      <c r="G1136">
        <f>IF(OR($E1136="",$E1136="نامعتبر",Sync!$X1132=""),"",IF(AND(LEFT(UPPER(TRIM(Sync!$X1132)),2)="SL",IFERROR(VLOOKUP(Sync!$W1132,OpTbl,3,0),"")="فروش"),UPPER(TRIM(Sync!$X1132)),""))</f>
        <v/>
      </c>
      <c r="H1136">
        <f>IF($G1136="","",IF(Sync!$W1132="","",Sync!$W1132))</f>
        <v/>
      </c>
      <c r="I1136">
        <f>IF(OR($G1136="",Sync!$Y1132=""),"",Sync!$Y1132)</f>
        <v/>
      </c>
      <c r="J1136">
        <f>IF(OR($G1136="",Sync!$Z1132=""),"",Sync!$Z1132)</f>
        <v/>
      </c>
      <c r="K1136">
        <f>IF($G1136="",0,IF(Sync!$AA1132="",0,Sync!$AA1132))</f>
        <v/>
      </c>
      <c r="L1136">
        <f>IF($G1136="",0,IF(Sync!$AB1132="",0,Sync!$AB1132))</f>
        <v/>
      </c>
      <c r="M1136">
        <f>IF($G1136="","",IF($H1136="مرجوعی فروش",-1,1)*($K1136-$L1136*IFERROR(VLOOKUP("P01",ParamTbl,3,0),1.5)))</f>
        <v/>
      </c>
      <c r="N1136">
        <f>IF($G1136="",0,IF($H1136="مرجوعی فروش",-1,1)*IF(Sync!$AC1132="",0,Sync!$AC1132))</f>
        <v/>
      </c>
      <c r="O1136">
        <f>IF(OR($G1136="",Sync!$V1132=""),"",Sync!$V1132)</f>
        <v/>
      </c>
      <c r="P1136">
        <f>IF(OR($G1136="",Sync!$AD1132=""),"",Sync!$AD1132)</f>
        <v/>
      </c>
      <c r="Q1136">
        <f>IF($G1136="","",IF(Sync!$U1132="","0000",IF(AND(ISNUMBER(Sync!$U1132),Sync!$U1132&gt;=0,Sync!$U1132&lt;1),RIGHT("00"&amp;HOUR(Sync!$U1132),2)&amp;RIGHT("00"&amp;MINUTE(Sync!$U1132),2),IFERROR(RIGHT("00"&amp;VALUE(LEFT(Sync!$U1132,FIND(":",Sync!$U1132)-1)),2)&amp;RIGHT("00"&amp;VALUE(MID(Sync!$U1132,FIND(":",Sync!$U1132)+1,2)),2),"0000"))))</f>
        <v/>
      </c>
    </row>
    <row r="1137">
      <c r="A1137">
        <f>IF(Sync!$T1133="","",Sync!$T1133)</f>
        <v/>
      </c>
      <c r="B1137">
        <f>IF($A1137="","",IF(ISNUMBER($A1137),IF(AND($A1137&gt;=10000101,$A1137&lt;=99991231),INT($A1137/10000),""),IFERROR(VALUE(TRIM(LEFT($A1137,FIND("/",$A1137)-1))),"")))</f>
        <v/>
      </c>
      <c r="C1137">
        <f>IF(OR($A1137="",$B1137=""),"",IF(ISNUMBER($A1137),INT(MOD($A1137,10000)/100),IFERROR(VALUE(TRIM(LEFT(MID($A1137,FIND("/",$A1137)+1,20),FIND("/",MID($A1137,FIND("/",$A1137)+1,20))-1))),"")))</f>
        <v/>
      </c>
      <c r="D1137">
        <f>IF(OR($A1137="",$B1137=""),"",IF(ISNUMBER($A1137),MOD($A1137,100),IFERROR(VALUE(TRIM(MID(MID($A1137,FIND("/",$A1137)+1,20),FIND("/",MID($A1137,FIND("/",$A1137)+1,20))+1,20))),"")))</f>
        <v/>
      </c>
      <c r="E1137">
        <f>IF($A1137="","",IF(OR($B1137="",$C1137="",$D1137="",$B1137&lt;1300,$B1137&gt;1500,$C1137&lt;1,$C1137&gt;12,$D1137&lt;1,$D1137&gt;31),"نامعتبر",RIGHT("0000"&amp;$B1137,4)&amp;"/"&amp;RIGHT("00"&amp;$C1137,2)&amp;"/"&amp;RIGHT("00"&amp;$D1137,2)))</f>
        <v/>
      </c>
      <c r="F1137">
        <f>IF(OR($E1137="",$E1137="نامعتبر"),"",LEFT($E1137,4)&amp;"/"&amp;MID($E1137,6,2))</f>
        <v/>
      </c>
      <c r="G1137">
        <f>IF(OR($E1137="",$E1137="نامعتبر",Sync!$X1133=""),"",IF(AND(LEFT(UPPER(TRIM(Sync!$X1133)),2)="SL",IFERROR(VLOOKUP(Sync!$W1133,OpTbl,3,0),"")="فروش"),UPPER(TRIM(Sync!$X1133)),""))</f>
        <v/>
      </c>
      <c r="H1137">
        <f>IF($G1137="","",IF(Sync!$W1133="","",Sync!$W1133))</f>
        <v/>
      </c>
      <c r="I1137">
        <f>IF(OR($G1137="",Sync!$Y1133=""),"",Sync!$Y1133)</f>
        <v/>
      </c>
      <c r="J1137">
        <f>IF(OR($G1137="",Sync!$Z1133=""),"",Sync!$Z1133)</f>
        <v/>
      </c>
      <c r="K1137">
        <f>IF($G1137="",0,IF(Sync!$AA1133="",0,Sync!$AA1133))</f>
        <v/>
      </c>
      <c r="L1137">
        <f>IF($G1137="",0,IF(Sync!$AB1133="",0,Sync!$AB1133))</f>
        <v/>
      </c>
      <c r="M1137">
        <f>IF($G1137="","",IF($H1137="مرجوعی فروش",-1,1)*($K1137-$L1137*IFERROR(VLOOKUP("P01",ParamTbl,3,0),1.5)))</f>
        <v/>
      </c>
      <c r="N1137">
        <f>IF($G1137="",0,IF($H1137="مرجوعی فروش",-1,1)*IF(Sync!$AC1133="",0,Sync!$AC1133))</f>
        <v/>
      </c>
      <c r="O1137">
        <f>IF(OR($G1137="",Sync!$V1133=""),"",Sync!$V1133)</f>
        <v/>
      </c>
      <c r="P1137">
        <f>IF(OR($G1137="",Sync!$AD1133=""),"",Sync!$AD1133)</f>
        <v/>
      </c>
      <c r="Q1137">
        <f>IF($G1137="","",IF(Sync!$U1133="","0000",IF(AND(ISNUMBER(Sync!$U1133),Sync!$U1133&gt;=0,Sync!$U1133&lt;1),RIGHT("00"&amp;HOUR(Sync!$U1133),2)&amp;RIGHT("00"&amp;MINUTE(Sync!$U1133),2),IFERROR(RIGHT("00"&amp;VALUE(LEFT(Sync!$U1133,FIND(":",Sync!$U1133)-1)),2)&amp;RIGHT("00"&amp;VALUE(MID(Sync!$U1133,FIND(":",Sync!$U1133)+1,2)),2),"0000"))))</f>
        <v/>
      </c>
    </row>
    <row r="1138">
      <c r="A1138">
        <f>IF(Sync!$T1134="","",Sync!$T1134)</f>
        <v/>
      </c>
      <c r="B1138">
        <f>IF($A1138="","",IF(ISNUMBER($A1138),IF(AND($A1138&gt;=10000101,$A1138&lt;=99991231),INT($A1138/10000),""),IFERROR(VALUE(TRIM(LEFT($A1138,FIND("/",$A1138)-1))),"")))</f>
        <v/>
      </c>
      <c r="C1138">
        <f>IF(OR($A1138="",$B1138=""),"",IF(ISNUMBER($A1138),INT(MOD($A1138,10000)/100),IFERROR(VALUE(TRIM(LEFT(MID($A1138,FIND("/",$A1138)+1,20),FIND("/",MID($A1138,FIND("/",$A1138)+1,20))-1))),"")))</f>
        <v/>
      </c>
      <c r="D1138">
        <f>IF(OR($A1138="",$B1138=""),"",IF(ISNUMBER($A1138),MOD($A1138,100),IFERROR(VALUE(TRIM(MID(MID($A1138,FIND("/",$A1138)+1,20),FIND("/",MID($A1138,FIND("/",$A1138)+1,20))+1,20))),"")))</f>
        <v/>
      </c>
      <c r="E1138">
        <f>IF($A1138="","",IF(OR($B1138="",$C1138="",$D1138="",$B1138&lt;1300,$B1138&gt;1500,$C1138&lt;1,$C1138&gt;12,$D1138&lt;1,$D1138&gt;31),"نامعتبر",RIGHT("0000"&amp;$B1138,4)&amp;"/"&amp;RIGHT("00"&amp;$C1138,2)&amp;"/"&amp;RIGHT("00"&amp;$D1138,2)))</f>
        <v/>
      </c>
      <c r="F1138">
        <f>IF(OR($E1138="",$E1138="نامعتبر"),"",LEFT($E1138,4)&amp;"/"&amp;MID($E1138,6,2))</f>
        <v/>
      </c>
      <c r="G1138">
        <f>IF(OR($E1138="",$E1138="نامعتبر",Sync!$X1134=""),"",IF(AND(LEFT(UPPER(TRIM(Sync!$X1134)),2)="SL",IFERROR(VLOOKUP(Sync!$W1134,OpTbl,3,0),"")="فروش"),UPPER(TRIM(Sync!$X1134)),""))</f>
        <v/>
      </c>
      <c r="H1138">
        <f>IF($G1138="","",IF(Sync!$W1134="","",Sync!$W1134))</f>
        <v/>
      </c>
      <c r="I1138">
        <f>IF(OR($G1138="",Sync!$Y1134=""),"",Sync!$Y1134)</f>
        <v/>
      </c>
      <c r="J1138">
        <f>IF(OR($G1138="",Sync!$Z1134=""),"",Sync!$Z1134)</f>
        <v/>
      </c>
      <c r="K1138">
        <f>IF($G1138="",0,IF(Sync!$AA1134="",0,Sync!$AA1134))</f>
        <v/>
      </c>
      <c r="L1138">
        <f>IF($G1138="",0,IF(Sync!$AB1134="",0,Sync!$AB1134))</f>
        <v/>
      </c>
      <c r="M1138">
        <f>IF($G1138="","",IF($H1138="مرجوعی فروش",-1,1)*($K1138-$L1138*IFERROR(VLOOKUP("P01",ParamTbl,3,0),1.5)))</f>
        <v/>
      </c>
      <c r="N1138">
        <f>IF($G1138="",0,IF($H1138="مرجوعی فروش",-1,1)*IF(Sync!$AC1134="",0,Sync!$AC1134))</f>
        <v/>
      </c>
      <c r="O1138">
        <f>IF(OR($G1138="",Sync!$V1134=""),"",Sync!$V1134)</f>
        <v/>
      </c>
      <c r="P1138">
        <f>IF(OR($G1138="",Sync!$AD1134=""),"",Sync!$AD1134)</f>
        <v/>
      </c>
      <c r="Q1138">
        <f>IF($G1138="","",IF(Sync!$U1134="","0000",IF(AND(ISNUMBER(Sync!$U1134),Sync!$U1134&gt;=0,Sync!$U1134&lt;1),RIGHT("00"&amp;HOUR(Sync!$U1134),2)&amp;RIGHT("00"&amp;MINUTE(Sync!$U1134),2),IFERROR(RIGHT("00"&amp;VALUE(LEFT(Sync!$U1134,FIND(":",Sync!$U1134)-1)),2)&amp;RIGHT("00"&amp;VALUE(MID(Sync!$U1134,FIND(":",Sync!$U1134)+1,2)),2),"0000"))))</f>
        <v/>
      </c>
    </row>
    <row r="1139">
      <c r="A1139">
        <f>IF(Sync!$T1135="","",Sync!$T1135)</f>
        <v/>
      </c>
      <c r="B1139">
        <f>IF($A1139="","",IF(ISNUMBER($A1139),IF(AND($A1139&gt;=10000101,$A1139&lt;=99991231),INT($A1139/10000),""),IFERROR(VALUE(TRIM(LEFT($A1139,FIND("/",$A1139)-1))),"")))</f>
        <v/>
      </c>
      <c r="C1139">
        <f>IF(OR($A1139="",$B1139=""),"",IF(ISNUMBER($A1139),INT(MOD($A1139,10000)/100),IFERROR(VALUE(TRIM(LEFT(MID($A1139,FIND("/",$A1139)+1,20),FIND("/",MID($A1139,FIND("/",$A1139)+1,20))-1))),"")))</f>
        <v/>
      </c>
      <c r="D1139">
        <f>IF(OR($A1139="",$B1139=""),"",IF(ISNUMBER($A1139),MOD($A1139,100),IFERROR(VALUE(TRIM(MID(MID($A1139,FIND("/",$A1139)+1,20),FIND("/",MID($A1139,FIND("/",$A1139)+1,20))+1,20))),"")))</f>
        <v/>
      </c>
      <c r="E1139">
        <f>IF($A1139="","",IF(OR($B1139="",$C1139="",$D1139="",$B1139&lt;1300,$B1139&gt;1500,$C1139&lt;1,$C1139&gt;12,$D1139&lt;1,$D1139&gt;31),"نامعتبر",RIGHT("0000"&amp;$B1139,4)&amp;"/"&amp;RIGHT("00"&amp;$C1139,2)&amp;"/"&amp;RIGHT("00"&amp;$D1139,2)))</f>
        <v/>
      </c>
      <c r="F1139">
        <f>IF(OR($E1139="",$E1139="نامعتبر"),"",LEFT($E1139,4)&amp;"/"&amp;MID($E1139,6,2))</f>
        <v/>
      </c>
      <c r="G1139">
        <f>IF(OR($E1139="",$E1139="نامعتبر",Sync!$X1135=""),"",IF(AND(LEFT(UPPER(TRIM(Sync!$X1135)),2)="SL",IFERROR(VLOOKUP(Sync!$W1135,OpTbl,3,0),"")="فروش"),UPPER(TRIM(Sync!$X1135)),""))</f>
        <v/>
      </c>
      <c r="H1139">
        <f>IF($G1139="","",IF(Sync!$W1135="","",Sync!$W1135))</f>
        <v/>
      </c>
      <c r="I1139">
        <f>IF(OR($G1139="",Sync!$Y1135=""),"",Sync!$Y1135)</f>
        <v/>
      </c>
      <c r="J1139">
        <f>IF(OR($G1139="",Sync!$Z1135=""),"",Sync!$Z1135)</f>
        <v/>
      </c>
      <c r="K1139">
        <f>IF($G1139="",0,IF(Sync!$AA1135="",0,Sync!$AA1135))</f>
        <v/>
      </c>
      <c r="L1139">
        <f>IF($G1139="",0,IF(Sync!$AB1135="",0,Sync!$AB1135))</f>
        <v/>
      </c>
      <c r="M1139">
        <f>IF($G1139="","",IF($H1139="مرجوعی فروش",-1,1)*($K1139-$L1139*IFERROR(VLOOKUP("P01",ParamTbl,3,0),1.5)))</f>
        <v/>
      </c>
      <c r="N1139">
        <f>IF($G1139="",0,IF($H1139="مرجوعی فروش",-1,1)*IF(Sync!$AC1135="",0,Sync!$AC1135))</f>
        <v/>
      </c>
      <c r="O1139">
        <f>IF(OR($G1139="",Sync!$V1135=""),"",Sync!$V1135)</f>
        <v/>
      </c>
      <c r="P1139">
        <f>IF(OR($G1139="",Sync!$AD1135=""),"",Sync!$AD1135)</f>
        <v/>
      </c>
      <c r="Q1139">
        <f>IF($G1139="","",IF(Sync!$U1135="","0000",IF(AND(ISNUMBER(Sync!$U1135),Sync!$U1135&gt;=0,Sync!$U1135&lt;1),RIGHT("00"&amp;HOUR(Sync!$U1135),2)&amp;RIGHT("00"&amp;MINUTE(Sync!$U1135),2),IFERROR(RIGHT("00"&amp;VALUE(LEFT(Sync!$U1135,FIND(":",Sync!$U1135)-1)),2)&amp;RIGHT("00"&amp;VALUE(MID(Sync!$U1135,FIND(":",Sync!$U1135)+1,2)),2),"0000"))))</f>
        <v/>
      </c>
    </row>
    <row r="1140">
      <c r="A1140">
        <f>IF(Sync!$T1136="","",Sync!$T1136)</f>
        <v/>
      </c>
      <c r="B1140">
        <f>IF($A1140="","",IF(ISNUMBER($A1140),IF(AND($A1140&gt;=10000101,$A1140&lt;=99991231),INT($A1140/10000),""),IFERROR(VALUE(TRIM(LEFT($A1140,FIND("/",$A1140)-1))),"")))</f>
        <v/>
      </c>
      <c r="C1140">
        <f>IF(OR($A1140="",$B1140=""),"",IF(ISNUMBER($A1140),INT(MOD($A1140,10000)/100),IFERROR(VALUE(TRIM(LEFT(MID($A1140,FIND("/",$A1140)+1,20),FIND("/",MID($A1140,FIND("/",$A1140)+1,20))-1))),"")))</f>
        <v/>
      </c>
      <c r="D1140">
        <f>IF(OR($A1140="",$B1140=""),"",IF(ISNUMBER($A1140),MOD($A1140,100),IFERROR(VALUE(TRIM(MID(MID($A1140,FIND("/",$A1140)+1,20),FIND("/",MID($A1140,FIND("/",$A1140)+1,20))+1,20))),"")))</f>
        <v/>
      </c>
      <c r="E1140">
        <f>IF($A1140="","",IF(OR($B1140="",$C1140="",$D1140="",$B1140&lt;1300,$B1140&gt;1500,$C1140&lt;1,$C1140&gt;12,$D1140&lt;1,$D1140&gt;31),"نامعتبر",RIGHT("0000"&amp;$B1140,4)&amp;"/"&amp;RIGHT("00"&amp;$C1140,2)&amp;"/"&amp;RIGHT("00"&amp;$D1140,2)))</f>
        <v/>
      </c>
      <c r="F1140">
        <f>IF(OR($E1140="",$E1140="نامعتبر"),"",LEFT($E1140,4)&amp;"/"&amp;MID($E1140,6,2))</f>
        <v/>
      </c>
      <c r="G1140">
        <f>IF(OR($E1140="",$E1140="نامعتبر",Sync!$X1136=""),"",IF(AND(LEFT(UPPER(TRIM(Sync!$X1136)),2)="SL",IFERROR(VLOOKUP(Sync!$W1136,OpTbl,3,0),"")="فروش"),UPPER(TRIM(Sync!$X1136)),""))</f>
        <v/>
      </c>
      <c r="H1140">
        <f>IF($G1140="","",IF(Sync!$W1136="","",Sync!$W1136))</f>
        <v/>
      </c>
      <c r="I1140">
        <f>IF(OR($G1140="",Sync!$Y1136=""),"",Sync!$Y1136)</f>
        <v/>
      </c>
      <c r="J1140">
        <f>IF(OR($G1140="",Sync!$Z1136=""),"",Sync!$Z1136)</f>
        <v/>
      </c>
      <c r="K1140">
        <f>IF($G1140="",0,IF(Sync!$AA1136="",0,Sync!$AA1136))</f>
        <v/>
      </c>
      <c r="L1140">
        <f>IF($G1140="",0,IF(Sync!$AB1136="",0,Sync!$AB1136))</f>
        <v/>
      </c>
      <c r="M1140">
        <f>IF($G1140="","",IF($H1140="مرجوعی فروش",-1,1)*($K1140-$L1140*IFERROR(VLOOKUP("P01",ParamTbl,3,0),1.5)))</f>
        <v/>
      </c>
      <c r="N1140">
        <f>IF($G1140="",0,IF($H1140="مرجوعی فروش",-1,1)*IF(Sync!$AC1136="",0,Sync!$AC1136))</f>
        <v/>
      </c>
      <c r="O1140">
        <f>IF(OR($G1140="",Sync!$V1136=""),"",Sync!$V1136)</f>
        <v/>
      </c>
      <c r="P1140">
        <f>IF(OR($G1140="",Sync!$AD1136=""),"",Sync!$AD1136)</f>
        <v/>
      </c>
      <c r="Q1140">
        <f>IF($G1140="","",IF(Sync!$U1136="","0000",IF(AND(ISNUMBER(Sync!$U1136),Sync!$U1136&gt;=0,Sync!$U1136&lt;1),RIGHT("00"&amp;HOUR(Sync!$U1136),2)&amp;RIGHT("00"&amp;MINUTE(Sync!$U1136),2),IFERROR(RIGHT("00"&amp;VALUE(LEFT(Sync!$U1136,FIND(":",Sync!$U1136)-1)),2)&amp;RIGHT("00"&amp;VALUE(MID(Sync!$U1136,FIND(":",Sync!$U1136)+1,2)),2),"0000"))))</f>
        <v/>
      </c>
    </row>
    <row r="1141">
      <c r="A1141">
        <f>IF(Sync!$T1137="","",Sync!$T1137)</f>
        <v/>
      </c>
      <c r="B1141">
        <f>IF($A1141="","",IF(ISNUMBER($A1141),IF(AND($A1141&gt;=10000101,$A1141&lt;=99991231),INT($A1141/10000),""),IFERROR(VALUE(TRIM(LEFT($A1141,FIND("/",$A1141)-1))),"")))</f>
        <v/>
      </c>
      <c r="C1141">
        <f>IF(OR($A1141="",$B1141=""),"",IF(ISNUMBER($A1141),INT(MOD($A1141,10000)/100),IFERROR(VALUE(TRIM(LEFT(MID($A1141,FIND("/",$A1141)+1,20),FIND("/",MID($A1141,FIND("/",$A1141)+1,20))-1))),"")))</f>
        <v/>
      </c>
      <c r="D1141">
        <f>IF(OR($A1141="",$B1141=""),"",IF(ISNUMBER($A1141),MOD($A1141,100),IFERROR(VALUE(TRIM(MID(MID($A1141,FIND("/",$A1141)+1,20),FIND("/",MID($A1141,FIND("/",$A1141)+1,20))+1,20))),"")))</f>
        <v/>
      </c>
      <c r="E1141">
        <f>IF($A1141="","",IF(OR($B1141="",$C1141="",$D1141="",$B1141&lt;1300,$B1141&gt;1500,$C1141&lt;1,$C1141&gt;12,$D1141&lt;1,$D1141&gt;31),"نامعتبر",RIGHT("0000"&amp;$B1141,4)&amp;"/"&amp;RIGHT("00"&amp;$C1141,2)&amp;"/"&amp;RIGHT("00"&amp;$D1141,2)))</f>
        <v/>
      </c>
      <c r="F1141">
        <f>IF(OR($E1141="",$E1141="نامعتبر"),"",LEFT($E1141,4)&amp;"/"&amp;MID($E1141,6,2))</f>
        <v/>
      </c>
      <c r="G1141">
        <f>IF(OR($E1141="",$E1141="نامعتبر",Sync!$X1137=""),"",IF(AND(LEFT(UPPER(TRIM(Sync!$X1137)),2)="SL",IFERROR(VLOOKUP(Sync!$W1137,OpTbl,3,0),"")="فروش"),UPPER(TRIM(Sync!$X1137)),""))</f>
        <v/>
      </c>
      <c r="H1141">
        <f>IF($G1141="","",IF(Sync!$W1137="","",Sync!$W1137))</f>
        <v/>
      </c>
      <c r="I1141">
        <f>IF(OR($G1141="",Sync!$Y1137=""),"",Sync!$Y1137)</f>
        <v/>
      </c>
      <c r="J1141">
        <f>IF(OR($G1141="",Sync!$Z1137=""),"",Sync!$Z1137)</f>
        <v/>
      </c>
      <c r="K1141">
        <f>IF($G1141="",0,IF(Sync!$AA1137="",0,Sync!$AA1137))</f>
        <v/>
      </c>
      <c r="L1141">
        <f>IF($G1141="",0,IF(Sync!$AB1137="",0,Sync!$AB1137))</f>
        <v/>
      </c>
      <c r="M1141">
        <f>IF($G1141="","",IF($H1141="مرجوعی فروش",-1,1)*($K1141-$L1141*IFERROR(VLOOKUP("P01",ParamTbl,3,0),1.5)))</f>
        <v/>
      </c>
      <c r="N1141">
        <f>IF($G1141="",0,IF($H1141="مرجوعی فروش",-1,1)*IF(Sync!$AC1137="",0,Sync!$AC1137))</f>
        <v/>
      </c>
      <c r="O1141">
        <f>IF(OR($G1141="",Sync!$V1137=""),"",Sync!$V1137)</f>
        <v/>
      </c>
      <c r="P1141">
        <f>IF(OR($G1141="",Sync!$AD1137=""),"",Sync!$AD1137)</f>
        <v/>
      </c>
      <c r="Q1141">
        <f>IF($G1141="","",IF(Sync!$U1137="","0000",IF(AND(ISNUMBER(Sync!$U1137),Sync!$U1137&gt;=0,Sync!$U1137&lt;1),RIGHT("00"&amp;HOUR(Sync!$U1137),2)&amp;RIGHT("00"&amp;MINUTE(Sync!$U1137),2),IFERROR(RIGHT("00"&amp;VALUE(LEFT(Sync!$U1137,FIND(":",Sync!$U1137)-1)),2)&amp;RIGHT("00"&amp;VALUE(MID(Sync!$U1137,FIND(":",Sync!$U1137)+1,2)),2),"0000"))))</f>
        <v/>
      </c>
    </row>
    <row r="1142">
      <c r="A1142">
        <f>IF(Sync!$T1138="","",Sync!$T1138)</f>
        <v/>
      </c>
      <c r="B1142">
        <f>IF($A1142="","",IF(ISNUMBER($A1142),IF(AND($A1142&gt;=10000101,$A1142&lt;=99991231),INT($A1142/10000),""),IFERROR(VALUE(TRIM(LEFT($A1142,FIND("/",$A1142)-1))),"")))</f>
        <v/>
      </c>
      <c r="C1142">
        <f>IF(OR($A1142="",$B1142=""),"",IF(ISNUMBER($A1142),INT(MOD($A1142,10000)/100),IFERROR(VALUE(TRIM(LEFT(MID($A1142,FIND("/",$A1142)+1,20),FIND("/",MID($A1142,FIND("/",$A1142)+1,20))-1))),"")))</f>
        <v/>
      </c>
      <c r="D1142">
        <f>IF(OR($A1142="",$B1142=""),"",IF(ISNUMBER($A1142),MOD($A1142,100),IFERROR(VALUE(TRIM(MID(MID($A1142,FIND("/",$A1142)+1,20),FIND("/",MID($A1142,FIND("/",$A1142)+1,20))+1,20))),"")))</f>
        <v/>
      </c>
      <c r="E1142">
        <f>IF($A1142="","",IF(OR($B1142="",$C1142="",$D1142="",$B1142&lt;1300,$B1142&gt;1500,$C1142&lt;1,$C1142&gt;12,$D1142&lt;1,$D1142&gt;31),"نامعتبر",RIGHT("0000"&amp;$B1142,4)&amp;"/"&amp;RIGHT("00"&amp;$C1142,2)&amp;"/"&amp;RIGHT("00"&amp;$D1142,2)))</f>
        <v/>
      </c>
      <c r="F1142">
        <f>IF(OR($E1142="",$E1142="نامعتبر"),"",LEFT($E1142,4)&amp;"/"&amp;MID($E1142,6,2))</f>
        <v/>
      </c>
      <c r="G1142">
        <f>IF(OR($E1142="",$E1142="نامعتبر",Sync!$X1138=""),"",IF(AND(LEFT(UPPER(TRIM(Sync!$X1138)),2)="SL",IFERROR(VLOOKUP(Sync!$W1138,OpTbl,3,0),"")="فروش"),UPPER(TRIM(Sync!$X1138)),""))</f>
        <v/>
      </c>
      <c r="H1142">
        <f>IF($G1142="","",IF(Sync!$W1138="","",Sync!$W1138))</f>
        <v/>
      </c>
      <c r="I1142">
        <f>IF(OR($G1142="",Sync!$Y1138=""),"",Sync!$Y1138)</f>
        <v/>
      </c>
      <c r="J1142">
        <f>IF(OR($G1142="",Sync!$Z1138=""),"",Sync!$Z1138)</f>
        <v/>
      </c>
      <c r="K1142">
        <f>IF($G1142="",0,IF(Sync!$AA1138="",0,Sync!$AA1138))</f>
        <v/>
      </c>
      <c r="L1142">
        <f>IF($G1142="",0,IF(Sync!$AB1138="",0,Sync!$AB1138))</f>
        <v/>
      </c>
      <c r="M1142">
        <f>IF($G1142="","",IF($H1142="مرجوعی فروش",-1,1)*($K1142-$L1142*IFERROR(VLOOKUP("P01",ParamTbl,3,0),1.5)))</f>
        <v/>
      </c>
      <c r="N1142">
        <f>IF($G1142="",0,IF($H1142="مرجوعی فروش",-1,1)*IF(Sync!$AC1138="",0,Sync!$AC1138))</f>
        <v/>
      </c>
      <c r="O1142">
        <f>IF(OR($G1142="",Sync!$V1138=""),"",Sync!$V1138)</f>
        <v/>
      </c>
      <c r="P1142">
        <f>IF(OR($G1142="",Sync!$AD1138=""),"",Sync!$AD1138)</f>
        <v/>
      </c>
      <c r="Q1142">
        <f>IF($G1142="","",IF(Sync!$U1138="","0000",IF(AND(ISNUMBER(Sync!$U1138),Sync!$U1138&gt;=0,Sync!$U1138&lt;1),RIGHT("00"&amp;HOUR(Sync!$U1138),2)&amp;RIGHT("00"&amp;MINUTE(Sync!$U1138),2),IFERROR(RIGHT("00"&amp;VALUE(LEFT(Sync!$U1138,FIND(":",Sync!$U1138)-1)),2)&amp;RIGHT("00"&amp;VALUE(MID(Sync!$U1138,FIND(":",Sync!$U1138)+1,2)),2),"0000"))))</f>
        <v/>
      </c>
    </row>
    <row r="1143">
      <c r="A1143">
        <f>IF(Sync!$T1139="","",Sync!$T1139)</f>
        <v/>
      </c>
      <c r="B1143">
        <f>IF($A1143="","",IF(ISNUMBER($A1143),IF(AND($A1143&gt;=10000101,$A1143&lt;=99991231),INT($A1143/10000),""),IFERROR(VALUE(TRIM(LEFT($A1143,FIND("/",$A1143)-1))),"")))</f>
        <v/>
      </c>
      <c r="C1143">
        <f>IF(OR($A1143="",$B1143=""),"",IF(ISNUMBER($A1143),INT(MOD($A1143,10000)/100),IFERROR(VALUE(TRIM(LEFT(MID($A1143,FIND("/",$A1143)+1,20),FIND("/",MID($A1143,FIND("/",$A1143)+1,20))-1))),"")))</f>
        <v/>
      </c>
      <c r="D1143">
        <f>IF(OR($A1143="",$B1143=""),"",IF(ISNUMBER($A1143),MOD($A1143,100),IFERROR(VALUE(TRIM(MID(MID($A1143,FIND("/",$A1143)+1,20),FIND("/",MID($A1143,FIND("/",$A1143)+1,20))+1,20))),"")))</f>
        <v/>
      </c>
      <c r="E1143">
        <f>IF($A1143="","",IF(OR($B1143="",$C1143="",$D1143="",$B1143&lt;1300,$B1143&gt;1500,$C1143&lt;1,$C1143&gt;12,$D1143&lt;1,$D1143&gt;31),"نامعتبر",RIGHT("0000"&amp;$B1143,4)&amp;"/"&amp;RIGHT("00"&amp;$C1143,2)&amp;"/"&amp;RIGHT("00"&amp;$D1143,2)))</f>
        <v/>
      </c>
      <c r="F1143">
        <f>IF(OR($E1143="",$E1143="نامعتبر"),"",LEFT($E1143,4)&amp;"/"&amp;MID($E1143,6,2))</f>
        <v/>
      </c>
      <c r="G1143">
        <f>IF(OR($E1143="",$E1143="نامعتبر",Sync!$X1139=""),"",IF(AND(LEFT(UPPER(TRIM(Sync!$X1139)),2)="SL",IFERROR(VLOOKUP(Sync!$W1139,OpTbl,3,0),"")="فروش"),UPPER(TRIM(Sync!$X1139)),""))</f>
        <v/>
      </c>
      <c r="H1143">
        <f>IF($G1143="","",IF(Sync!$W1139="","",Sync!$W1139))</f>
        <v/>
      </c>
      <c r="I1143">
        <f>IF(OR($G1143="",Sync!$Y1139=""),"",Sync!$Y1139)</f>
        <v/>
      </c>
      <c r="J1143">
        <f>IF(OR($G1143="",Sync!$Z1139=""),"",Sync!$Z1139)</f>
        <v/>
      </c>
      <c r="K1143">
        <f>IF($G1143="",0,IF(Sync!$AA1139="",0,Sync!$AA1139))</f>
        <v/>
      </c>
      <c r="L1143">
        <f>IF($G1143="",0,IF(Sync!$AB1139="",0,Sync!$AB1139))</f>
        <v/>
      </c>
      <c r="M1143">
        <f>IF($G1143="","",IF($H1143="مرجوعی فروش",-1,1)*($K1143-$L1143*IFERROR(VLOOKUP("P01",ParamTbl,3,0),1.5)))</f>
        <v/>
      </c>
      <c r="N1143">
        <f>IF($G1143="",0,IF($H1143="مرجوعی فروش",-1,1)*IF(Sync!$AC1139="",0,Sync!$AC1139))</f>
        <v/>
      </c>
      <c r="O1143">
        <f>IF(OR($G1143="",Sync!$V1139=""),"",Sync!$V1139)</f>
        <v/>
      </c>
      <c r="P1143">
        <f>IF(OR($G1143="",Sync!$AD1139=""),"",Sync!$AD1139)</f>
        <v/>
      </c>
      <c r="Q1143">
        <f>IF($G1143="","",IF(Sync!$U1139="","0000",IF(AND(ISNUMBER(Sync!$U1139),Sync!$U1139&gt;=0,Sync!$U1139&lt;1),RIGHT("00"&amp;HOUR(Sync!$U1139),2)&amp;RIGHT("00"&amp;MINUTE(Sync!$U1139),2),IFERROR(RIGHT("00"&amp;VALUE(LEFT(Sync!$U1139,FIND(":",Sync!$U1139)-1)),2)&amp;RIGHT("00"&amp;VALUE(MID(Sync!$U1139,FIND(":",Sync!$U1139)+1,2)),2),"0000"))))</f>
        <v/>
      </c>
    </row>
    <row r="1144">
      <c r="A1144">
        <f>IF(Sync!$T1140="","",Sync!$T1140)</f>
        <v/>
      </c>
      <c r="B1144">
        <f>IF($A1144="","",IF(ISNUMBER($A1144),IF(AND($A1144&gt;=10000101,$A1144&lt;=99991231),INT($A1144/10000),""),IFERROR(VALUE(TRIM(LEFT($A1144,FIND("/",$A1144)-1))),"")))</f>
        <v/>
      </c>
      <c r="C1144">
        <f>IF(OR($A1144="",$B1144=""),"",IF(ISNUMBER($A1144),INT(MOD($A1144,10000)/100),IFERROR(VALUE(TRIM(LEFT(MID($A1144,FIND("/",$A1144)+1,20),FIND("/",MID($A1144,FIND("/",$A1144)+1,20))-1))),"")))</f>
        <v/>
      </c>
      <c r="D1144">
        <f>IF(OR($A1144="",$B1144=""),"",IF(ISNUMBER($A1144),MOD($A1144,100),IFERROR(VALUE(TRIM(MID(MID($A1144,FIND("/",$A1144)+1,20),FIND("/",MID($A1144,FIND("/",$A1144)+1,20))+1,20))),"")))</f>
        <v/>
      </c>
      <c r="E1144">
        <f>IF($A1144="","",IF(OR($B1144="",$C1144="",$D1144="",$B1144&lt;1300,$B1144&gt;1500,$C1144&lt;1,$C1144&gt;12,$D1144&lt;1,$D1144&gt;31),"نامعتبر",RIGHT("0000"&amp;$B1144,4)&amp;"/"&amp;RIGHT("00"&amp;$C1144,2)&amp;"/"&amp;RIGHT("00"&amp;$D1144,2)))</f>
        <v/>
      </c>
      <c r="F1144">
        <f>IF(OR($E1144="",$E1144="نامعتبر"),"",LEFT($E1144,4)&amp;"/"&amp;MID($E1144,6,2))</f>
        <v/>
      </c>
      <c r="G1144">
        <f>IF(OR($E1144="",$E1144="نامعتبر",Sync!$X1140=""),"",IF(AND(LEFT(UPPER(TRIM(Sync!$X1140)),2)="SL",IFERROR(VLOOKUP(Sync!$W1140,OpTbl,3,0),"")="فروش"),UPPER(TRIM(Sync!$X1140)),""))</f>
        <v/>
      </c>
      <c r="H1144">
        <f>IF($G1144="","",IF(Sync!$W1140="","",Sync!$W1140))</f>
        <v/>
      </c>
      <c r="I1144">
        <f>IF(OR($G1144="",Sync!$Y1140=""),"",Sync!$Y1140)</f>
        <v/>
      </c>
      <c r="J1144">
        <f>IF(OR($G1144="",Sync!$Z1140=""),"",Sync!$Z1140)</f>
        <v/>
      </c>
      <c r="K1144">
        <f>IF($G1144="",0,IF(Sync!$AA1140="",0,Sync!$AA1140))</f>
        <v/>
      </c>
      <c r="L1144">
        <f>IF($G1144="",0,IF(Sync!$AB1140="",0,Sync!$AB1140))</f>
        <v/>
      </c>
      <c r="M1144">
        <f>IF($G1144="","",IF($H1144="مرجوعی فروش",-1,1)*($K1144-$L1144*IFERROR(VLOOKUP("P01",ParamTbl,3,0),1.5)))</f>
        <v/>
      </c>
      <c r="N1144">
        <f>IF($G1144="",0,IF($H1144="مرجوعی فروش",-1,1)*IF(Sync!$AC1140="",0,Sync!$AC1140))</f>
        <v/>
      </c>
      <c r="O1144">
        <f>IF(OR($G1144="",Sync!$V1140=""),"",Sync!$V1140)</f>
        <v/>
      </c>
      <c r="P1144">
        <f>IF(OR($G1144="",Sync!$AD1140=""),"",Sync!$AD1140)</f>
        <v/>
      </c>
      <c r="Q1144">
        <f>IF($G1144="","",IF(Sync!$U1140="","0000",IF(AND(ISNUMBER(Sync!$U1140),Sync!$U1140&gt;=0,Sync!$U1140&lt;1),RIGHT("00"&amp;HOUR(Sync!$U1140),2)&amp;RIGHT("00"&amp;MINUTE(Sync!$U1140),2),IFERROR(RIGHT("00"&amp;VALUE(LEFT(Sync!$U1140,FIND(":",Sync!$U1140)-1)),2)&amp;RIGHT("00"&amp;VALUE(MID(Sync!$U1140,FIND(":",Sync!$U1140)+1,2)),2),"0000"))))</f>
        <v/>
      </c>
    </row>
    <row r="1145">
      <c r="A1145">
        <f>IF(Sync!$T1141="","",Sync!$T1141)</f>
        <v/>
      </c>
      <c r="B1145">
        <f>IF($A1145="","",IF(ISNUMBER($A1145),IF(AND($A1145&gt;=10000101,$A1145&lt;=99991231),INT($A1145/10000),""),IFERROR(VALUE(TRIM(LEFT($A1145,FIND("/",$A1145)-1))),"")))</f>
        <v/>
      </c>
      <c r="C1145">
        <f>IF(OR($A1145="",$B1145=""),"",IF(ISNUMBER($A1145),INT(MOD($A1145,10000)/100),IFERROR(VALUE(TRIM(LEFT(MID($A1145,FIND("/",$A1145)+1,20),FIND("/",MID($A1145,FIND("/",$A1145)+1,20))-1))),"")))</f>
        <v/>
      </c>
      <c r="D1145">
        <f>IF(OR($A1145="",$B1145=""),"",IF(ISNUMBER($A1145),MOD($A1145,100),IFERROR(VALUE(TRIM(MID(MID($A1145,FIND("/",$A1145)+1,20),FIND("/",MID($A1145,FIND("/",$A1145)+1,20))+1,20))),"")))</f>
        <v/>
      </c>
      <c r="E1145">
        <f>IF($A1145="","",IF(OR($B1145="",$C1145="",$D1145="",$B1145&lt;1300,$B1145&gt;1500,$C1145&lt;1,$C1145&gt;12,$D1145&lt;1,$D1145&gt;31),"نامعتبر",RIGHT("0000"&amp;$B1145,4)&amp;"/"&amp;RIGHT("00"&amp;$C1145,2)&amp;"/"&amp;RIGHT("00"&amp;$D1145,2)))</f>
        <v/>
      </c>
      <c r="F1145">
        <f>IF(OR($E1145="",$E1145="نامعتبر"),"",LEFT($E1145,4)&amp;"/"&amp;MID($E1145,6,2))</f>
        <v/>
      </c>
      <c r="G1145">
        <f>IF(OR($E1145="",$E1145="نامعتبر",Sync!$X1141=""),"",IF(AND(LEFT(UPPER(TRIM(Sync!$X1141)),2)="SL",IFERROR(VLOOKUP(Sync!$W1141,OpTbl,3,0),"")="فروش"),UPPER(TRIM(Sync!$X1141)),""))</f>
        <v/>
      </c>
      <c r="H1145">
        <f>IF($G1145="","",IF(Sync!$W1141="","",Sync!$W1141))</f>
        <v/>
      </c>
      <c r="I1145">
        <f>IF(OR($G1145="",Sync!$Y1141=""),"",Sync!$Y1141)</f>
        <v/>
      </c>
      <c r="J1145">
        <f>IF(OR($G1145="",Sync!$Z1141=""),"",Sync!$Z1141)</f>
        <v/>
      </c>
      <c r="K1145">
        <f>IF($G1145="",0,IF(Sync!$AA1141="",0,Sync!$AA1141))</f>
        <v/>
      </c>
      <c r="L1145">
        <f>IF($G1145="",0,IF(Sync!$AB1141="",0,Sync!$AB1141))</f>
        <v/>
      </c>
      <c r="M1145">
        <f>IF($G1145="","",IF($H1145="مرجوعی فروش",-1,1)*($K1145-$L1145*IFERROR(VLOOKUP("P01",ParamTbl,3,0),1.5)))</f>
        <v/>
      </c>
      <c r="N1145">
        <f>IF($G1145="",0,IF($H1145="مرجوعی فروش",-1,1)*IF(Sync!$AC1141="",0,Sync!$AC1141))</f>
        <v/>
      </c>
      <c r="O1145">
        <f>IF(OR($G1145="",Sync!$V1141=""),"",Sync!$V1141)</f>
        <v/>
      </c>
      <c r="P1145">
        <f>IF(OR($G1145="",Sync!$AD1141=""),"",Sync!$AD1141)</f>
        <v/>
      </c>
      <c r="Q1145">
        <f>IF($G1145="","",IF(Sync!$U1141="","0000",IF(AND(ISNUMBER(Sync!$U1141),Sync!$U1141&gt;=0,Sync!$U1141&lt;1),RIGHT("00"&amp;HOUR(Sync!$U1141),2)&amp;RIGHT("00"&amp;MINUTE(Sync!$U1141),2),IFERROR(RIGHT("00"&amp;VALUE(LEFT(Sync!$U1141,FIND(":",Sync!$U1141)-1)),2)&amp;RIGHT("00"&amp;VALUE(MID(Sync!$U1141,FIND(":",Sync!$U1141)+1,2)),2),"0000"))))</f>
        <v/>
      </c>
    </row>
    <row r="1146">
      <c r="A1146">
        <f>IF(Sync!$T1142="","",Sync!$T1142)</f>
        <v/>
      </c>
      <c r="B1146">
        <f>IF($A1146="","",IF(ISNUMBER($A1146),IF(AND($A1146&gt;=10000101,$A1146&lt;=99991231),INT($A1146/10000),""),IFERROR(VALUE(TRIM(LEFT($A1146,FIND("/",$A1146)-1))),"")))</f>
        <v/>
      </c>
      <c r="C1146">
        <f>IF(OR($A1146="",$B1146=""),"",IF(ISNUMBER($A1146),INT(MOD($A1146,10000)/100),IFERROR(VALUE(TRIM(LEFT(MID($A1146,FIND("/",$A1146)+1,20),FIND("/",MID($A1146,FIND("/",$A1146)+1,20))-1))),"")))</f>
        <v/>
      </c>
      <c r="D1146">
        <f>IF(OR($A1146="",$B1146=""),"",IF(ISNUMBER($A1146),MOD($A1146,100),IFERROR(VALUE(TRIM(MID(MID($A1146,FIND("/",$A1146)+1,20),FIND("/",MID($A1146,FIND("/",$A1146)+1,20))+1,20))),"")))</f>
        <v/>
      </c>
      <c r="E1146">
        <f>IF($A1146="","",IF(OR($B1146="",$C1146="",$D1146="",$B1146&lt;1300,$B1146&gt;1500,$C1146&lt;1,$C1146&gt;12,$D1146&lt;1,$D1146&gt;31),"نامعتبر",RIGHT("0000"&amp;$B1146,4)&amp;"/"&amp;RIGHT("00"&amp;$C1146,2)&amp;"/"&amp;RIGHT("00"&amp;$D1146,2)))</f>
        <v/>
      </c>
      <c r="F1146">
        <f>IF(OR($E1146="",$E1146="نامعتبر"),"",LEFT($E1146,4)&amp;"/"&amp;MID($E1146,6,2))</f>
        <v/>
      </c>
      <c r="G1146">
        <f>IF(OR($E1146="",$E1146="نامعتبر",Sync!$X1142=""),"",IF(AND(LEFT(UPPER(TRIM(Sync!$X1142)),2)="SL",IFERROR(VLOOKUP(Sync!$W1142,OpTbl,3,0),"")="فروش"),UPPER(TRIM(Sync!$X1142)),""))</f>
        <v/>
      </c>
      <c r="H1146">
        <f>IF($G1146="","",IF(Sync!$W1142="","",Sync!$W1142))</f>
        <v/>
      </c>
      <c r="I1146">
        <f>IF(OR($G1146="",Sync!$Y1142=""),"",Sync!$Y1142)</f>
        <v/>
      </c>
      <c r="J1146">
        <f>IF(OR($G1146="",Sync!$Z1142=""),"",Sync!$Z1142)</f>
        <v/>
      </c>
      <c r="K1146">
        <f>IF($G1146="",0,IF(Sync!$AA1142="",0,Sync!$AA1142))</f>
        <v/>
      </c>
      <c r="L1146">
        <f>IF($G1146="",0,IF(Sync!$AB1142="",0,Sync!$AB1142))</f>
        <v/>
      </c>
      <c r="M1146">
        <f>IF($G1146="","",IF($H1146="مرجوعی فروش",-1,1)*($K1146-$L1146*IFERROR(VLOOKUP("P01",ParamTbl,3,0),1.5)))</f>
        <v/>
      </c>
      <c r="N1146">
        <f>IF($G1146="",0,IF($H1146="مرجوعی فروش",-1,1)*IF(Sync!$AC1142="",0,Sync!$AC1142))</f>
        <v/>
      </c>
      <c r="O1146">
        <f>IF(OR($G1146="",Sync!$V1142=""),"",Sync!$V1142)</f>
        <v/>
      </c>
      <c r="P1146">
        <f>IF(OR($G1146="",Sync!$AD1142=""),"",Sync!$AD1142)</f>
        <v/>
      </c>
      <c r="Q1146">
        <f>IF($G1146="","",IF(Sync!$U1142="","0000",IF(AND(ISNUMBER(Sync!$U1142),Sync!$U1142&gt;=0,Sync!$U1142&lt;1),RIGHT("00"&amp;HOUR(Sync!$U1142),2)&amp;RIGHT("00"&amp;MINUTE(Sync!$U1142),2),IFERROR(RIGHT("00"&amp;VALUE(LEFT(Sync!$U1142,FIND(":",Sync!$U1142)-1)),2)&amp;RIGHT("00"&amp;VALUE(MID(Sync!$U1142,FIND(":",Sync!$U1142)+1,2)),2),"0000"))))</f>
        <v/>
      </c>
    </row>
    <row r="1147">
      <c r="A1147">
        <f>IF(Sync!$T1143="","",Sync!$T1143)</f>
        <v/>
      </c>
      <c r="B1147">
        <f>IF($A1147="","",IF(ISNUMBER($A1147),IF(AND($A1147&gt;=10000101,$A1147&lt;=99991231),INT($A1147/10000),""),IFERROR(VALUE(TRIM(LEFT($A1147,FIND("/",$A1147)-1))),"")))</f>
        <v/>
      </c>
      <c r="C1147">
        <f>IF(OR($A1147="",$B1147=""),"",IF(ISNUMBER($A1147),INT(MOD($A1147,10000)/100),IFERROR(VALUE(TRIM(LEFT(MID($A1147,FIND("/",$A1147)+1,20),FIND("/",MID($A1147,FIND("/",$A1147)+1,20))-1))),"")))</f>
        <v/>
      </c>
      <c r="D1147">
        <f>IF(OR($A1147="",$B1147=""),"",IF(ISNUMBER($A1147),MOD($A1147,100),IFERROR(VALUE(TRIM(MID(MID($A1147,FIND("/",$A1147)+1,20),FIND("/",MID($A1147,FIND("/",$A1147)+1,20))+1,20))),"")))</f>
        <v/>
      </c>
      <c r="E1147">
        <f>IF($A1147="","",IF(OR($B1147="",$C1147="",$D1147="",$B1147&lt;1300,$B1147&gt;1500,$C1147&lt;1,$C1147&gt;12,$D1147&lt;1,$D1147&gt;31),"نامعتبر",RIGHT("0000"&amp;$B1147,4)&amp;"/"&amp;RIGHT("00"&amp;$C1147,2)&amp;"/"&amp;RIGHT("00"&amp;$D1147,2)))</f>
        <v/>
      </c>
      <c r="F1147">
        <f>IF(OR($E1147="",$E1147="نامعتبر"),"",LEFT($E1147,4)&amp;"/"&amp;MID($E1147,6,2))</f>
        <v/>
      </c>
      <c r="G1147">
        <f>IF(OR($E1147="",$E1147="نامعتبر",Sync!$X1143=""),"",IF(AND(LEFT(UPPER(TRIM(Sync!$X1143)),2)="SL",IFERROR(VLOOKUP(Sync!$W1143,OpTbl,3,0),"")="فروش"),UPPER(TRIM(Sync!$X1143)),""))</f>
        <v/>
      </c>
      <c r="H1147">
        <f>IF($G1147="","",IF(Sync!$W1143="","",Sync!$W1143))</f>
        <v/>
      </c>
      <c r="I1147">
        <f>IF(OR($G1147="",Sync!$Y1143=""),"",Sync!$Y1143)</f>
        <v/>
      </c>
      <c r="J1147">
        <f>IF(OR($G1147="",Sync!$Z1143=""),"",Sync!$Z1143)</f>
        <v/>
      </c>
      <c r="K1147">
        <f>IF($G1147="",0,IF(Sync!$AA1143="",0,Sync!$AA1143))</f>
        <v/>
      </c>
      <c r="L1147">
        <f>IF($G1147="",0,IF(Sync!$AB1143="",0,Sync!$AB1143))</f>
        <v/>
      </c>
      <c r="M1147">
        <f>IF($G1147="","",IF($H1147="مرجوعی فروش",-1,1)*($K1147-$L1147*IFERROR(VLOOKUP("P01",ParamTbl,3,0),1.5)))</f>
        <v/>
      </c>
      <c r="N1147">
        <f>IF($G1147="",0,IF($H1147="مرجوعی فروش",-1,1)*IF(Sync!$AC1143="",0,Sync!$AC1143))</f>
        <v/>
      </c>
      <c r="O1147">
        <f>IF(OR($G1147="",Sync!$V1143=""),"",Sync!$V1143)</f>
        <v/>
      </c>
      <c r="P1147">
        <f>IF(OR($G1147="",Sync!$AD1143=""),"",Sync!$AD1143)</f>
        <v/>
      </c>
      <c r="Q1147">
        <f>IF($G1147="","",IF(Sync!$U1143="","0000",IF(AND(ISNUMBER(Sync!$U1143),Sync!$U1143&gt;=0,Sync!$U1143&lt;1),RIGHT("00"&amp;HOUR(Sync!$U1143),2)&amp;RIGHT("00"&amp;MINUTE(Sync!$U1143),2),IFERROR(RIGHT("00"&amp;VALUE(LEFT(Sync!$U1143,FIND(":",Sync!$U1143)-1)),2)&amp;RIGHT("00"&amp;VALUE(MID(Sync!$U1143,FIND(":",Sync!$U1143)+1,2)),2),"0000"))))</f>
        <v/>
      </c>
    </row>
    <row r="1148">
      <c r="A1148">
        <f>IF(Sync!$T1144="","",Sync!$T1144)</f>
        <v/>
      </c>
      <c r="B1148">
        <f>IF($A1148="","",IF(ISNUMBER($A1148),IF(AND($A1148&gt;=10000101,$A1148&lt;=99991231),INT($A1148/10000),""),IFERROR(VALUE(TRIM(LEFT($A1148,FIND("/",$A1148)-1))),"")))</f>
        <v/>
      </c>
      <c r="C1148">
        <f>IF(OR($A1148="",$B1148=""),"",IF(ISNUMBER($A1148),INT(MOD($A1148,10000)/100),IFERROR(VALUE(TRIM(LEFT(MID($A1148,FIND("/",$A1148)+1,20),FIND("/",MID($A1148,FIND("/",$A1148)+1,20))-1))),"")))</f>
        <v/>
      </c>
      <c r="D1148">
        <f>IF(OR($A1148="",$B1148=""),"",IF(ISNUMBER($A1148),MOD($A1148,100),IFERROR(VALUE(TRIM(MID(MID($A1148,FIND("/",$A1148)+1,20),FIND("/",MID($A1148,FIND("/",$A1148)+1,20))+1,20))),"")))</f>
        <v/>
      </c>
      <c r="E1148">
        <f>IF($A1148="","",IF(OR($B1148="",$C1148="",$D1148="",$B1148&lt;1300,$B1148&gt;1500,$C1148&lt;1,$C1148&gt;12,$D1148&lt;1,$D1148&gt;31),"نامعتبر",RIGHT("0000"&amp;$B1148,4)&amp;"/"&amp;RIGHT("00"&amp;$C1148,2)&amp;"/"&amp;RIGHT("00"&amp;$D1148,2)))</f>
        <v/>
      </c>
      <c r="F1148">
        <f>IF(OR($E1148="",$E1148="نامعتبر"),"",LEFT($E1148,4)&amp;"/"&amp;MID($E1148,6,2))</f>
        <v/>
      </c>
      <c r="G1148">
        <f>IF(OR($E1148="",$E1148="نامعتبر",Sync!$X1144=""),"",IF(AND(LEFT(UPPER(TRIM(Sync!$X1144)),2)="SL",IFERROR(VLOOKUP(Sync!$W1144,OpTbl,3,0),"")="فروش"),UPPER(TRIM(Sync!$X1144)),""))</f>
        <v/>
      </c>
      <c r="H1148">
        <f>IF($G1148="","",IF(Sync!$W1144="","",Sync!$W1144))</f>
        <v/>
      </c>
      <c r="I1148">
        <f>IF(OR($G1148="",Sync!$Y1144=""),"",Sync!$Y1144)</f>
        <v/>
      </c>
      <c r="J1148">
        <f>IF(OR($G1148="",Sync!$Z1144=""),"",Sync!$Z1144)</f>
        <v/>
      </c>
      <c r="K1148">
        <f>IF($G1148="",0,IF(Sync!$AA1144="",0,Sync!$AA1144))</f>
        <v/>
      </c>
      <c r="L1148">
        <f>IF($G1148="",0,IF(Sync!$AB1144="",0,Sync!$AB1144))</f>
        <v/>
      </c>
      <c r="M1148">
        <f>IF($G1148="","",IF($H1148="مرجوعی فروش",-1,1)*($K1148-$L1148*IFERROR(VLOOKUP("P01",ParamTbl,3,0),1.5)))</f>
        <v/>
      </c>
      <c r="N1148">
        <f>IF($G1148="",0,IF($H1148="مرجوعی فروش",-1,1)*IF(Sync!$AC1144="",0,Sync!$AC1144))</f>
        <v/>
      </c>
      <c r="O1148">
        <f>IF(OR($G1148="",Sync!$V1144=""),"",Sync!$V1144)</f>
        <v/>
      </c>
      <c r="P1148">
        <f>IF(OR($G1148="",Sync!$AD1144=""),"",Sync!$AD1144)</f>
        <v/>
      </c>
      <c r="Q1148">
        <f>IF($G1148="","",IF(Sync!$U1144="","0000",IF(AND(ISNUMBER(Sync!$U1144),Sync!$U1144&gt;=0,Sync!$U1144&lt;1),RIGHT("00"&amp;HOUR(Sync!$U1144),2)&amp;RIGHT("00"&amp;MINUTE(Sync!$U1144),2),IFERROR(RIGHT("00"&amp;VALUE(LEFT(Sync!$U1144,FIND(":",Sync!$U1144)-1)),2)&amp;RIGHT("00"&amp;VALUE(MID(Sync!$U1144,FIND(":",Sync!$U1144)+1,2)),2),"0000"))))</f>
        <v/>
      </c>
    </row>
    <row r="1149">
      <c r="A1149">
        <f>IF(Sync!$T1145="","",Sync!$T1145)</f>
        <v/>
      </c>
      <c r="B1149">
        <f>IF($A1149="","",IF(ISNUMBER($A1149),IF(AND($A1149&gt;=10000101,$A1149&lt;=99991231),INT($A1149/10000),""),IFERROR(VALUE(TRIM(LEFT($A1149,FIND("/",$A1149)-1))),"")))</f>
        <v/>
      </c>
      <c r="C1149">
        <f>IF(OR($A1149="",$B1149=""),"",IF(ISNUMBER($A1149),INT(MOD($A1149,10000)/100),IFERROR(VALUE(TRIM(LEFT(MID($A1149,FIND("/",$A1149)+1,20),FIND("/",MID($A1149,FIND("/",$A1149)+1,20))-1))),"")))</f>
        <v/>
      </c>
      <c r="D1149">
        <f>IF(OR($A1149="",$B1149=""),"",IF(ISNUMBER($A1149),MOD($A1149,100),IFERROR(VALUE(TRIM(MID(MID($A1149,FIND("/",$A1149)+1,20),FIND("/",MID($A1149,FIND("/",$A1149)+1,20))+1,20))),"")))</f>
        <v/>
      </c>
      <c r="E1149">
        <f>IF($A1149="","",IF(OR($B1149="",$C1149="",$D1149="",$B1149&lt;1300,$B1149&gt;1500,$C1149&lt;1,$C1149&gt;12,$D1149&lt;1,$D1149&gt;31),"نامعتبر",RIGHT("0000"&amp;$B1149,4)&amp;"/"&amp;RIGHT("00"&amp;$C1149,2)&amp;"/"&amp;RIGHT("00"&amp;$D1149,2)))</f>
        <v/>
      </c>
      <c r="F1149">
        <f>IF(OR($E1149="",$E1149="نامعتبر"),"",LEFT($E1149,4)&amp;"/"&amp;MID($E1149,6,2))</f>
        <v/>
      </c>
      <c r="G1149">
        <f>IF(OR($E1149="",$E1149="نامعتبر",Sync!$X1145=""),"",IF(AND(LEFT(UPPER(TRIM(Sync!$X1145)),2)="SL",IFERROR(VLOOKUP(Sync!$W1145,OpTbl,3,0),"")="فروش"),UPPER(TRIM(Sync!$X1145)),""))</f>
        <v/>
      </c>
      <c r="H1149">
        <f>IF($G1149="","",IF(Sync!$W1145="","",Sync!$W1145))</f>
        <v/>
      </c>
      <c r="I1149">
        <f>IF(OR($G1149="",Sync!$Y1145=""),"",Sync!$Y1145)</f>
        <v/>
      </c>
      <c r="J1149">
        <f>IF(OR($G1149="",Sync!$Z1145=""),"",Sync!$Z1145)</f>
        <v/>
      </c>
      <c r="K1149">
        <f>IF($G1149="",0,IF(Sync!$AA1145="",0,Sync!$AA1145))</f>
        <v/>
      </c>
      <c r="L1149">
        <f>IF($G1149="",0,IF(Sync!$AB1145="",0,Sync!$AB1145))</f>
        <v/>
      </c>
      <c r="M1149">
        <f>IF($G1149="","",IF($H1149="مرجوعی فروش",-1,1)*($K1149-$L1149*IFERROR(VLOOKUP("P01",ParamTbl,3,0),1.5)))</f>
        <v/>
      </c>
      <c r="N1149">
        <f>IF($G1149="",0,IF($H1149="مرجوعی فروش",-1,1)*IF(Sync!$AC1145="",0,Sync!$AC1145))</f>
        <v/>
      </c>
      <c r="O1149">
        <f>IF(OR($G1149="",Sync!$V1145=""),"",Sync!$V1145)</f>
        <v/>
      </c>
      <c r="P1149">
        <f>IF(OR($G1149="",Sync!$AD1145=""),"",Sync!$AD1145)</f>
        <v/>
      </c>
      <c r="Q1149">
        <f>IF($G1149="","",IF(Sync!$U1145="","0000",IF(AND(ISNUMBER(Sync!$U1145),Sync!$U1145&gt;=0,Sync!$U1145&lt;1),RIGHT("00"&amp;HOUR(Sync!$U1145),2)&amp;RIGHT("00"&amp;MINUTE(Sync!$U1145),2),IFERROR(RIGHT("00"&amp;VALUE(LEFT(Sync!$U1145,FIND(":",Sync!$U1145)-1)),2)&amp;RIGHT("00"&amp;VALUE(MID(Sync!$U1145,FIND(":",Sync!$U1145)+1,2)),2),"0000"))))</f>
        <v/>
      </c>
    </row>
    <row r="1150">
      <c r="A1150">
        <f>IF(Sync!$T1146="","",Sync!$T1146)</f>
        <v/>
      </c>
      <c r="B1150">
        <f>IF($A1150="","",IF(ISNUMBER($A1150),IF(AND($A1150&gt;=10000101,$A1150&lt;=99991231),INT($A1150/10000),""),IFERROR(VALUE(TRIM(LEFT($A1150,FIND("/",$A1150)-1))),"")))</f>
        <v/>
      </c>
      <c r="C1150">
        <f>IF(OR($A1150="",$B1150=""),"",IF(ISNUMBER($A1150),INT(MOD($A1150,10000)/100),IFERROR(VALUE(TRIM(LEFT(MID($A1150,FIND("/",$A1150)+1,20),FIND("/",MID($A1150,FIND("/",$A1150)+1,20))-1))),"")))</f>
        <v/>
      </c>
      <c r="D1150">
        <f>IF(OR($A1150="",$B1150=""),"",IF(ISNUMBER($A1150),MOD($A1150,100),IFERROR(VALUE(TRIM(MID(MID($A1150,FIND("/",$A1150)+1,20),FIND("/",MID($A1150,FIND("/",$A1150)+1,20))+1,20))),"")))</f>
        <v/>
      </c>
      <c r="E1150">
        <f>IF($A1150="","",IF(OR($B1150="",$C1150="",$D1150="",$B1150&lt;1300,$B1150&gt;1500,$C1150&lt;1,$C1150&gt;12,$D1150&lt;1,$D1150&gt;31),"نامعتبر",RIGHT("0000"&amp;$B1150,4)&amp;"/"&amp;RIGHT("00"&amp;$C1150,2)&amp;"/"&amp;RIGHT("00"&amp;$D1150,2)))</f>
        <v/>
      </c>
      <c r="F1150">
        <f>IF(OR($E1150="",$E1150="نامعتبر"),"",LEFT($E1150,4)&amp;"/"&amp;MID($E1150,6,2))</f>
        <v/>
      </c>
      <c r="G1150">
        <f>IF(OR($E1150="",$E1150="نامعتبر",Sync!$X1146=""),"",IF(AND(LEFT(UPPER(TRIM(Sync!$X1146)),2)="SL",IFERROR(VLOOKUP(Sync!$W1146,OpTbl,3,0),"")="فروش"),UPPER(TRIM(Sync!$X1146)),""))</f>
        <v/>
      </c>
      <c r="H1150">
        <f>IF($G1150="","",IF(Sync!$W1146="","",Sync!$W1146))</f>
        <v/>
      </c>
      <c r="I1150">
        <f>IF(OR($G1150="",Sync!$Y1146=""),"",Sync!$Y1146)</f>
        <v/>
      </c>
      <c r="J1150">
        <f>IF(OR($G1150="",Sync!$Z1146=""),"",Sync!$Z1146)</f>
        <v/>
      </c>
      <c r="K1150">
        <f>IF($G1150="",0,IF(Sync!$AA1146="",0,Sync!$AA1146))</f>
        <v/>
      </c>
      <c r="L1150">
        <f>IF($G1150="",0,IF(Sync!$AB1146="",0,Sync!$AB1146))</f>
        <v/>
      </c>
      <c r="M1150">
        <f>IF($G1150="","",IF($H1150="مرجوعی فروش",-1,1)*($K1150-$L1150*IFERROR(VLOOKUP("P01",ParamTbl,3,0),1.5)))</f>
        <v/>
      </c>
      <c r="N1150">
        <f>IF($G1150="",0,IF($H1150="مرجوعی فروش",-1,1)*IF(Sync!$AC1146="",0,Sync!$AC1146))</f>
        <v/>
      </c>
      <c r="O1150">
        <f>IF(OR($G1150="",Sync!$V1146=""),"",Sync!$V1146)</f>
        <v/>
      </c>
      <c r="P1150">
        <f>IF(OR($G1150="",Sync!$AD1146=""),"",Sync!$AD1146)</f>
        <v/>
      </c>
      <c r="Q1150">
        <f>IF($G1150="","",IF(Sync!$U1146="","0000",IF(AND(ISNUMBER(Sync!$U1146),Sync!$U1146&gt;=0,Sync!$U1146&lt;1),RIGHT("00"&amp;HOUR(Sync!$U1146),2)&amp;RIGHT("00"&amp;MINUTE(Sync!$U1146),2),IFERROR(RIGHT("00"&amp;VALUE(LEFT(Sync!$U1146,FIND(":",Sync!$U1146)-1)),2)&amp;RIGHT("00"&amp;VALUE(MID(Sync!$U1146,FIND(":",Sync!$U1146)+1,2)),2),"0000"))))</f>
        <v/>
      </c>
    </row>
    <row r="1151">
      <c r="A1151">
        <f>IF(Sync!$T1147="","",Sync!$T1147)</f>
        <v/>
      </c>
      <c r="B1151">
        <f>IF($A1151="","",IF(ISNUMBER($A1151),IF(AND($A1151&gt;=10000101,$A1151&lt;=99991231),INT($A1151/10000),""),IFERROR(VALUE(TRIM(LEFT($A1151,FIND("/",$A1151)-1))),"")))</f>
        <v/>
      </c>
      <c r="C1151">
        <f>IF(OR($A1151="",$B1151=""),"",IF(ISNUMBER($A1151),INT(MOD($A1151,10000)/100),IFERROR(VALUE(TRIM(LEFT(MID($A1151,FIND("/",$A1151)+1,20),FIND("/",MID($A1151,FIND("/",$A1151)+1,20))-1))),"")))</f>
        <v/>
      </c>
      <c r="D1151">
        <f>IF(OR($A1151="",$B1151=""),"",IF(ISNUMBER($A1151),MOD($A1151,100),IFERROR(VALUE(TRIM(MID(MID($A1151,FIND("/",$A1151)+1,20),FIND("/",MID($A1151,FIND("/",$A1151)+1,20))+1,20))),"")))</f>
        <v/>
      </c>
      <c r="E1151">
        <f>IF($A1151="","",IF(OR($B1151="",$C1151="",$D1151="",$B1151&lt;1300,$B1151&gt;1500,$C1151&lt;1,$C1151&gt;12,$D1151&lt;1,$D1151&gt;31),"نامعتبر",RIGHT("0000"&amp;$B1151,4)&amp;"/"&amp;RIGHT("00"&amp;$C1151,2)&amp;"/"&amp;RIGHT("00"&amp;$D1151,2)))</f>
        <v/>
      </c>
      <c r="F1151">
        <f>IF(OR($E1151="",$E1151="نامعتبر"),"",LEFT($E1151,4)&amp;"/"&amp;MID($E1151,6,2))</f>
        <v/>
      </c>
      <c r="G1151">
        <f>IF(OR($E1151="",$E1151="نامعتبر",Sync!$X1147=""),"",IF(AND(LEFT(UPPER(TRIM(Sync!$X1147)),2)="SL",IFERROR(VLOOKUP(Sync!$W1147,OpTbl,3,0),"")="فروش"),UPPER(TRIM(Sync!$X1147)),""))</f>
        <v/>
      </c>
      <c r="H1151">
        <f>IF($G1151="","",IF(Sync!$W1147="","",Sync!$W1147))</f>
        <v/>
      </c>
      <c r="I1151">
        <f>IF(OR($G1151="",Sync!$Y1147=""),"",Sync!$Y1147)</f>
        <v/>
      </c>
      <c r="J1151">
        <f>IF(OR($G1151="",Sync!$Z1147=""),"",Sync!$Z1147)</f>
        <v/>
      </c>
      <c r="K1151">
        <f>IF($G1151="",0,IF(Sync!$AA1147="",0,Sync!$AA1147))</f>
        <v/>
      </c>
      <c r="L1151">
        <f>IF($G1151="",0,IF(Sync!$AB1147="",0,Sync!$AB1147))</f>
        <v/>
      </c>
      <c r="M1151">
        <f>IF($G1151="","",IF($H1151="مرجوعی فروش",-1,1)*($K1151-$L1151*IFERROR(VLOOKUP("P01",ParamTbl,3,0),1.5)))</f>
        <v/>
      </c>
      <c r="N1151">
        <f>IF($G1151="",0,IF($H1151="مرجوعی فروش",-1,1)*IF(Sync!$AC1147="",0,Sync!$AC1147))</f>
        <v/>
      </c>
      <c r="O1151">
        <f>IF(OR($G1151="",Sync!$V1147=""),"",Sync!$V1147)</f>
        <v/>
      </c>
      <c r="P1151">
        <f>IF(OR($G1151="",Sync!$AD1147=""),"",Sync!$AD1147)</f>
        <v/>
      </c>
      <c r="Q1151">
        <f>IF($G1151="","",IF(Sync!$U1147="","0000",IF(AND(ISNUMBER(Sync!$U1147),Sync!$U1147&gt;=0,Sync!$U1147&lt;1),RIGHT("00"&amp;HOUR(Sync!$U1147),2)&amp;RIGHT("00"&amp;MINUTE(Sync!$U1147),2),IFERROR(RIGHT("00"&amp;VALUE(LEFT(Sync!$U1147,FIND(":",Sync!$U1147)-1)),2)&amp;RIGHT("00"&amp;VALUE(MID(Sync!$U1147,FIND(":",Sync!$U1147)+1,2)),2),"0000"))))</f>
        <v/>
      </c>
    </row>
    <row r="1152">
      <c r="A1152">
        <f>IF(Sync!$T1148="","",Sync!$T1148)</f>
        <v/>
      </c>
      <c r="B1152">
        <f>IF($A1152="","",IF(ISNUMBER($A1152),IF(AND($A1152&gt;=10000101,$A1152&lt;=99991231),INT($A1152/10000),""),IFERROR(VALUE(TRIM(LEFT($A1152,FIND("/",$A1152)-1))),"")))</f>
        <v/>
      </c>
      <c r="C1152">
        <f>IF(OR($A1152="",$B1152=""),"",IF(ISNUMBER($A1152),INT(MOD($A1152,10000)/100),IFERROR(VALUE(TRIM(LEFT(MID($A1152,FIND("/",$A1152)+1,20),FIND("/",MID($A1152,FIND("/",$A1152)+1,20))-1))),"")))</f>
        <v/>
      </c>
      <c r="D1152">
        <f>IF(OR($A1152="",$B1152=""),"",IF(ISNUMBER($A1152),MOD($A1152,100),IFERROR(VALUE(TRIM(MID(MID($A1152,FIND("/",$A1152)+1,20),FIND("/",MID($A1152,FIND("/",$A1152)+1,20))+1,20))),"")))</f>
        <v/>
      </c>
      <c r="E1152">
        <f>IF($A1152="","",IF(OR($B1152="",$C1152="",$D1152="",$B1152&lt;1300,$B1152&gt;1500,$C1152&lt;1,$C1152&gt;12,$D1152&lt;1,$D1152&gt;31),"نامعتبر",RIGHT("0000"&amp;$B1152,4)&amp;"/"&amp;RIGHT("00"&amp;$C1152,2)&amp;"/"&amp;RIGHT("00"&amp;$D1152,2)))</f>
        <v/>
      </c>
      <c r="F1152">
        <f>IF(OR($E1152="",$E1152="نامعتبر"),"",LEFT($E1152,4)&amp;"/"&amp;MID($E1152,6,2))</f>
        <v/>
      </c>
      <c r="G1152">
        <f>IF(OR($E1152="",$E1152="نامعتبر",Sync!$X1148=""),"",IF(AND(LEFT(UPPER(TRIM(Sync!$X1148)),2)="SL",IFERROR(VLOOKUP(Sync!$W1148,OpTbl,3,0),"")="فروش"),UPPER(TRIM(Sync!$X1148)),""))</f>
        <v/>
      </c>
      <c r="H1152">
        <f>IF($G1152="","",IF(Sync!$W1148="","",Sync!$W1148))</f>
        <v/>
      </c>
      <c r="I1152">
        <f>IF(OR($G1152="",Sync!$Y1148=""),"",Sync!$Y1148)</f>
        <v/>
      </c>
      <c r="J1152">
        <f>IF(OR($G1152="",Sync!$Z1148=""),"",Sync!$Z1148)</f>
        <v/>
      </c>
      <c r="K1152">
        <f>IF($G1152="",0,IF(Sync!$AA1148="",0,Sync!$AA1148))</f>
        <v/>
      </c>
      <c r="L1152">
        <f>IF($G1152="",0,IF(Sync!$AB1148="",0,Sync!$AB1148))</f>
        <v/>
      </c>
      <c r="M1152">
        <f>IF($G1152="","",IF($H1152="مرجوعی فروش",-1,1)*($K1152-$L1152*IFERROR(VLOOKUP("P01",ParamTbl,3,0),1.5)))</f>
        <v/>
      </c>
      <c r="N1152">
        <f>IF($G1152="",0,IF($H1152="مرجوعی فروش",-1,1)*IF(Sync!$AC1148="",0,Sync!$AC1148))</f>
        <v/>
      </c>
      <c r="O1152">
        <f>IF(OR($G1152="",Sync!$V1148=""),"",Sync!$V1148)</f>
        <v/>
      </c>
      <c r="P1152">
        <f>IF(OR($G1152="",Sync!$AD1148=""),"",Sync!$AD1148)</f>
        <v/>
      </c>
      <c r="Q1152">
        <f>IF($G1152="","",IF(Sync!$U1148="","0000",IF(AND(ISNUMBER(Sync!$U1148),Sync!$U1148&gt;=0,Sync!$U1148&lt;1),RIGHT("00"&amp;HOUR(Sync!$U1148),2)&amp;RIGHT("00"&amp;MINUTE(Sync!$U1148),2),IFERROR(RIGHT("00"&amp;VALUE(LEFT(Sync!$U1148,FIND(":",Sync!$U1148)-1)),2)&amp;RIGHT("00"&amp;VALUE(MID(Sync!$U1148,FIND(":",Sync!$U1148)+1,2)),2),"0000"))))</f>
        <v/>
      </c>
    </row>
    <row r="1153">
      <c r="A1153">
        <f>IF(Sync!$T1149="","",Sync!$T1149)</f>
        <v/>
      </c>
      <c r="B1153">
        <f>IF($A1153="","",IF(ISNUMBER($A1153),IF(AND($A1153&gt;=10000101,$A1153&lt;=99991231),INT($A1153/10000),""),IFERROR(VALUE(TRIM(LEFT($A1153,FIND("/",$A1153)-1))),"")))</f>
        <v/>
      </c>
      <c r="C1153">
        <f>IF(OR($A1153="",$B1153=""),"",IF(ISNUMBER($A1153),INT(MOD($A1153,10000)/100),IFERROR(VALUE(TRIM(LEFT(MID($A1153,FIND("/",$A1153)+1,20),FIND("/",MID($A1153,FIND("/",$A1153)+1,20))-1))),"")))</f>
        <v/>
      </c>
      <c r="D1153">
        <f>IF(OR($A1153="",$B1153=""),"",IF(ISNUMBER($A1153),MOD($A1153,100),IFERROR(VALUE(TRIM(MID(MID($A1153,FIND("/",$A1153)+1,20),FIND("/",MID($A1153,FIND("/",$A1153)+1,20))+1,20))),"")))</f>
        <v/>
      </c>
      <c r="E1153">
        <f>IF($A1153="","",IF(OR($B1153="",$C1153="",$D1153="",$B1153&lt;1300,$B1153&gt;1500,$C1153&lt;1,$C1153&gt;12,$D1153&lt;1,$D1153&gt;31),"نامعتبر",RIGHT("0000"&amp;$B1153,4)&amp;"/"&amp;RIGHT("00"&amp;$C1153,2)&amp;"/"&amp;RIGHT("00"&amp;$D1153,2)))</f>
        <v/>
      </c>
      <c r="F1153">
        <f>IF(OR($E1153="",$E1153="نامعتبر"),"",LEFT($E1153,4)&amp;"/"&amp;MID($E1153,6,2))</f>
        <v/>
      </c>
      <c r="G1153">
        <f>IF(OR($E1153="",$E1153="نامعتبر",Sync!$X1149=""),"",IF(AND(LEFT(UPPER(TRIM(Sync!$X1149)),2)="SL",IFERROR(VLOOKUP(Sync!$W1149,OpTbl,3,0),"")="فروش"),UPPER(TRIM(Sync!$X1149)),""))</f>
        <v/>
      </c>
      <c r="H1153">
        <f>IF($G1153="","",IF(Sync!$W1149="","",Sync!$W1149))</f>
        <v/>
      </c>
      <c r="I1153">
        <f>IF(OR($G1153="",Sync!$Y1149=""),"",Sync!$Y1149)</f>
        <v/>
      </c>
      <c r="J1153">
        <f>IF(OR($G1153="",Sync!$Z1149=""),"",Sync!$Z1149)</f>
        <v/>
      </c>
      <c r="K1153">
        <f>IF($G1153="",0,IF(Sync!$AA1149="",0,Sync!$AA1149))</f>
        <v/>
      </c>
      <c r="L1153">
        <f>IF($G1153="",0,IF(Sync!$AB1149="",0,Sync!$AB1149))</f>
        <v/>
      </c>
      <c r="M1153">
        <f>IF($G1153="","",IF($H1153="مرجوعی فروش",-1,1)*($K1153-$L1153*IFERROR(VLOOKUP("P01",ParamTbl,3,0),1.5)))</f>
        <v/>
      </c>
      <c r="N1153">
        <f>IF($G1153="",0,IF($H1153="مرجوعی فروش",-1,1)*IF(Sync!$AC1149="",0,Sync!$AC1149))</f>
        <v/>
      </c>
      <c r="O1153">
        <f>IF(OR($G1153="",Sync!$V1149=""),"",Sync!$V1149)</f>
        <v/>
      </c>
      <c r="P1153">
        <f>IF(OR($G1153="",Sync!$AD1149=""),"",Sync!$AD1149)</f>
        <v/>
      </c>
      <c r="Q1153">
        <f>IF($G1153="","",IF(Sync!$U1149="","0000",IF(AND(ISNUMBER(Sync!$U1149),Sync!$U1149&gt;=0,Sync!$U1149&lt;1),RIGHT("00"&amp;HOUR(Sync!$U1149),2)&amp;RIGHT("00"&amp;MINUTE(Sync!$U1149),2),IFERROR(RIGHT("00"&amp;VALUE(LEFT(Sync!$U1149,FIND(":",Sync!$U1149)-1)),2)&amp;RIGHT("00"&amp;VALUE(MID(Sync!$U1149,FIND(":",Sync!$U1149)+1,2)),2),"0000"))))</f>
        <v/>
      </c>
    </row>
    <row r="1154">
      <c r="A1154">
        <f>IF(Sync!$T1150="","",Sync!$T1150)</f>
        <v/>
      </c>
      <c r="B1154">
        <f>IF($A1154="","",IF(ISNUMBER($A1154),IF(AND($A1154&gt;=10000101,$A1154&lt;=99991231),INT($A1154/10000),""),IFERROR(VALUE(TRIM(LEFT($A1154,FIND("/",$A1154)-1))),"")))</f>
        <v/>
      </c>
      <c r="C1154">
        <f>IF(OR($A1154="",$B1154=""),"",IF(ISNUMBER($A1154),INT(MOD($A1154,10000)/100),IFERROR(VALUE(TRIM(LEFT(MID($A1154,FIND("/",$A1154)+1,20),FIND("/",MID($A1154,FIND("/",$A1154)+1,20))-1))),"")))</f>
        <v/>
      </c>
      <c r="D1154">
        <f>IF(OR($A1154="",$B1154=""),"",IF(ISNUMBER($A1154),MOD($A1154,100),IFERROR(VALUE(TRIM(MID(MID($A1154,FIND("/",$A1154)+1,20),FIND("/",MID($A1154,FIND("/",$A1154)+1,20))+1,20))),"")))</f>
        <v/>
      </c>
      <c r="E1154">
        <f>IF($A1154="","",IF(OR($B1154="",$C1154="",$D1154="",$B1154&lt;1300,$B1154&gt;1500,$C1154&lt;1,$C1154&gt;12,$D1154&lt;1,$D1154&gt;31),"نامعتبر",RIGHT("0000"&amp;$B1154,4)&amp;"/"&amp;RIGHT("00"&amp;$C1154,2)&amp;"/"&amp;RIGHT("00"&amp;$D1154,2)))</f>
        <v/>
      </c>
      <c r="F1154">
        <f>IF(OR($E1154="",$E1154="نامعتبر"),"",LEFT($E1154,4)&amp;"/"&amp;MID($E1154,6,2))</f>
        <v/>
      </c>
      <c r="G1154">
        <f>IF(OR($E1154="",$E1154="نامعتبر",Sync!$X1150=""),"",IF(AND(LEFT(UPPER(TRIM(Sync!$X1150)),2)="SL",IFERROR(VLOOKUP(Sync!$W1150,OpTbl,3,0),"")="فروش"),UPPER(TRIM(Sync!$X1150)),""))</f>
        <v/>
      </c>
      <c r="H1154">
        <f>IF($G1154="","",IF(Sync!$W1150="","",Sync!$W1150))</f>
        <v/>
      </c>
      <c r="I1154">
        <f>IF(OR($G1154="",Sync!$Y1150=""),"",Sync!$Y1150)</f>
        <v/>
      </c>
      <c r="J1154">
        <f>IF(OR($G1154="",Sync!$Z1150=""),"",Sync!$Z1150)</f>
        <v/>
      </c>
      <c r="K1154">
        <f>IF($G1154="",0,IF(Sync!$AA1150="",0,Sync!$AA1150))</f>
        <v/>
      </c>
      <c r="L1154">
        <f>IF($G1154="",0,IF(Sync!$AB1150="",0,Sync!$AB1150))</f>
        <v/>
      </c>
      <c r="M1154">
        <f>IF($G1154="","",IF($H1154="مرجوعی فروش",-1,1)*($K1154-$L1154*IFERROR(VLOOKUP("P01",ParamTbl,3,0),1.5)))</f>
        <v/>
      </c>
      <c r="N1154">
        <f>IF($G1154="",0,IF($H1154="مرجوعی فروش",-1,1)*IF(Sync!$AC1150="",0,Sync!$AC1150))</f>
        <v/>
      </c>
      <c r="O1154">
        <f>IF(OR($G1154="",Sync!$V1150=""),"",Sync!$V1150)</f>
        <v/>
      </c>
      <c r="P1154">
        <f>IF(OR($G1154="",Sync!$AD1150=""),"",Sync!$AD1150)</f>
        <v/>
      </c>
      <c r="Q1154">
        <f>IF($G1154="","",IF(Sync!$U1150="","0000",IF(AND(ISNUMBER(Sync!$U1150),Sync!$U1150&gt;=0,Sync!$U1150&lt;1),RIGHT("00"&amp;HOUR(Sync!$U1150),2)&amp;RIGHT("00"&amp;MINUTE(Sync!$U1150),2),IFERROR(RIGHT("00"&amp;VALUE(LEFT(Sync!$U1150,FIND(":",Sync!$U1150)-1)),2)&amp;RIGHT("00"&amp;VALUE(MID(Sync!$U1150,FIND(":",Sync!$U1150)+1,2)),2),"0000"))))</f>
        <v/>
      </c>
    </row>
    <row r="1155">
      <c r="A1155">
        <f>IF(Sync!$T1151="","",Sync!$T1151)</f>
        <v/>
      </c>
      <c r="B1155">
        <f>IF($A1155="","",IF(ISNUMBER($A1155),IF(AND($A1155&gt;=10000101,$A1155&lt;=99991231),INT($A1155/10000),""),IFERROR(VALUE(TRIM(LEFT($A1155,FIND("/",$A1155)-1))),"")))</f>
        <v/>
      </c>
      <c r="C1155">
        <f>IF(OR($A1155="",$B1155=""),"",IF(ISNUMBER($A1155),INT(MOD($A1155,10000)/100),IFERROR(VALUE(TRIM(LEFT(MID($A1155,FIND("/",$A1155)+1,20),FIND("/",MID($A1155,FIND("/",$A1155)+1,20))-1))),"")))</f>
        <v/>
      </c>
      <c r="D1155">
        <f>IF(OR($A1155="",$B1155=""),"",IF(ISNUMBER($A1155),MOD($A1155,100),IFERROR(VALUE(TRIM(MID(MID($A1155,FIND("/",$A1155)+1,20),FIND("/",MID($A1155,FIND("/",$A1155)+1,20))+1,20))),"")))</f>
        <v/>
      </c>
      <c r="E1155">
        <f>IF($A1155="","",IF(OR($B1155="",$C1155="",$D1155="",$B1155&lt;1300,$B1155&gt;1500,$C1155&lt;1,$C1155&gt;12,$D1155&lt;1,$D1155&gt;31),"نامعتبر",RIGHT("0000"&amp;$B1155,4)&amp;"/"&amp;RIGHT("00"&amp;$C1155,2)&amp;"/"&amp;RIGHT("00"&amp;$D1155,2)))</f>
        <v/>
      </c>
      <c r="F1155">
        <f>IF(OR($E1155="",$E1155="نامعتبر"),"",LEFT($E1155,4)&amp;"/"&amp;MID($E1155,6,2))</f>
        <v/>
      </c>
      <c r="G1155">
        <f>IF(OR($E1155="",$E1155="نامعتبر",Sync!$X1151=""),"",IF(AND(LEFT(UPPER(TRIM(Sync!$X1151)),2)="SL",IFERROR(VLOOKUP(Sync!$W1151,OpTbl,3,0),"")="فروش"),UPPER(TRIM(Sync!$X1151)),""))</f>
        <v/>
      </c>
      <c r="H1155">
        <f>IF($G1155="","",IF(Sync!$W1151="","",Sync!$W1151))</f>
        <v/>
      </c>
      <c r="I1155">
        <f>IF(OR($G1155="",Sync!$Y1151=""),"",Sync!$Y1151)</f>
        <v/>
      </c>
      <c r="J1155">
        <f>IF(OR($G1155="",Sync!$Z1151=""),"",Sync!$Z1151)</f>
        <v/>
      </c>
      <c r="K1155">
        <f>IF($G1155="",0,IF(Sync!$AA1151="",0,Sync!$AA1151))</f>
        <v/>
      </c>
      <c r="L1155">
        <f>IF($G1155="",0,IF(Sync!$AB1151="",0,Sync!$AB1151))</f>
        <v/>
      </c>
      <c r="M1155">
        <f>IF($G1155="","",IF($H1155="مرجوعی فروش",-1,1)*($K1155-$L1155*IFERROR(VLOOKUP("P01",ParamTbl,3,0),1.5)))</f>
        <v/>
      </c>
      <c r="N1155">
        <f>IF($G1155="",0,IF($H1155="مرجوعی فروش",-1,1)*IF(Sync!$AC1151="",0,Sync!$AC1151))</f>
        <v/>
      </c>
      <c r="O1155">
        <f>IF(OR($G1155="",Sync!$V1151=""),"",Sync!$V1151)</f>
        <v/>
      </c>
      <c r="P1155">
        <f>IF(OR($G1155="",Sync!$AD1151=""),"",Sync!$AD1151)</f>
        <v/>
      </c>
      <c r="Q1155">
        <f>IF($G1155="","",IF(Sync!$U1151="","0000",IF(AND(ISNUMBER(Sync!$U1151),Sync!$U1151&gt;=0,Sync!$U1151&lt;1),RIGHT("00"&amp;HOUR(Sync!$U1151),2)&amp;RIGHT("00"&amp;MINUTE(Sync!$U1151),2),IFERROR(RIGHT("00"&amp;VALUE(LEFT(Sync!$U1151,FIND(":",Sync!$U1151)-1)),2)&amp;RIGHT("00"&amp;VALUE(MID(Sync!$U1151,FIND(":",Sync!$U1151)+1,2)),2),"0000"))))</f>
        <v/>
      </c>
    </row>
    <row r="1156">
      <c r="A1156">
        <f>IF(Sync!$T1152="","",Sync!$T1152)</f>
        <v/>
      </c>
      <c r="B1156">
        <f>IF($A1156="","",IF(ISNUMBER($A1156),IF(AND($A1156&gt;=10000101,$A1156&lt;=99991231),INT($A1156/10000),""),IFERROR(VALUE(TRIM(LEFT($A1156,FIND("/",$A1156)-1))),"")))</f>
        <v/>
      </c>
      <c r="C1156">
        <f>IF(OR($A1156="",$B1156=""),"",IF(ISNUMBER($A1156),INT(MOD($A1156,10000)/100),IFERROR(VALUE(TRIM(LEFT(MID($A1156,FIND("/",$A1156)+1,20),FIND("/",MID($A1156,FIND("/",$A1156)+1,20))-1))),"")))</f>
        <v/>
      </c>
      <c r="D1156">
        <f>IF(OR($A1156="",$B1156=""),"",IF(ISNUMBER($A1156),MOD($A1156,100),IFERROR(VALUE(TRIM(MID(MID($A1156,FIND("/",$A1156)+1,20),FIND("/",MID($A1156,FIND("/",$A1156)+1,20))+1,20))),"")))</f>
        <v/>
      </c>
      <c r="E1156">
        <f>IF($A1156="","",IF(OR($B1156="",$C1156="",$D1156="",$B1156&lt;1300,$B1156&gt;1500,$C1156&lt;1,$C1156&gt;12,$D1156&lt;1,$D1156&gt;31),"نامعتبر",RIGHT("0000"&amp;$B1156,4)&amp;"/"&amp;RIGHT("00"&amp;$C1156,2)&amp;"/"&amp;RIGHT("00"&amp;$D1156,2)))</f>
        <v/>
      </c>
      <c r="F1156">
        <f>IF(OR($E1156="",$E1156="نامعتبر"),"",LEFT($E1156,4)&amp;"/"&amp;MID($E1156,6,2))</f>
        <v/>
      </c>
      <c r="G1156">
        <f>IF(OR($E1156="",$E1156="نامعتبر",Sync!$X1152=""),"",IF(AND(LEFT(UPPER(TRIM(Sync!$X1152)),2)="SL",IFERROR(VLOOKUP(Sync!$W1152,OpTbl,3,0),"")="فروش"),UPPER(TRIM(Sync!$X1152)),""))</f>
        <v/>
      </c>
      <c r="H1156">
        <f>IF($G1156="","",IF(Sync!$W1152="","",Sync!$W1152))</f>
        <v/>
      </c>
      <c r="I1156">
        <f>IF(OR($G1156="",Sync!$Y1152=""),"",Sync!$Y1152)</f>
        <v/>
      </c>
      <c r="J1156">
        <f>IF(OR($G1156="",Sync!$Z1152=""),"",Sync!$Z1152)</f>
        <v/>
      </c>
      <c r="K1156">
        <f>IF($G1156="",0,IF(Sync!$AA1152="",0,Sync!$AA1152))</f>
        <v/>
      </c>
      <c r="L1156">
        <f>IF($G1156="",0,IF(Sync!$AB1152="",0,Sync!$AB1152))</f>
        <v/>
      </c>
      <c r="M1156">
        <f>IF($G1156="","",IF($H1156="مرجوعی فروش",-1,1)*($K1156-$L1156*IFERROR(VLOOKUP("P01",ParamTbl,3,0),1.5)))</f>
        <v/>
      </c>
      <c r="N1156">
        <f>IF($G1156="",0,IF($H1156="مرجوعی فروش",-1,1)*IF(Sync!$AC1152="",0,Sync!$AC1152))</f>
        <v/>
      </c>
      <c r="O1156">
        <f>IF(OR($G1156="",Sync!$V1152=""),"",Sync!$V1152)</f>
        <v/>
      </c>
      <c r="P1156">
        <f>IF(OR($G1156="",Sync!$AD1152=""),"",Sync!$AD1152)</f>
        <v/>
      </c>
      <c r="Q1156">
        <f>IF($G1156="","",IF(Sync!$U1152="","0000",IF(AND(ISNUMBER(Sync!$U1152),Sync!$U1152&gt;=0,Sync!$U1152&lt;1),RIGHT("00"&amp;HOUR(Sync!$U1152),2)&amp;RIGHT("00"&amp;MINUTE(Sync!$U1152),2),IFERROR(RIGHT("00"&amp;VALUE(LEFT(Sync!$U1152,FIND(":",Sync!$U1152)-1)),2)&amp;RIGHT("00"&amp;VALUE(MID(Sync!$U1152,FIND(":",Sync!$U1152)+1,2)),2),"0000"))))</f>
        <v/>
      </c>
    </row>
    <row r="1157">
      <c r="A1157">
        <f>IF(Sync!$T1153="","",Sync!$T1153)</f>
        <v/>
      </c>
      <c r="B1157">
        <f>IF($A1157="","",IF(ISNUMBER($A1157),IF(AND($A1157&gt;=10000101,$A1157&lt;=99991231),INT($A1157/10000),""),IFERROR(VALUE(TRIM(LEFT($A1157,FIND("/",$A1157)-1))),"")))</f>
        <v/>
      </c>
      <c r="C1157">
        <f>IF(OR($A1157="",$B1157=""),"",IF(ISNUMBER($A1157),INT(MOD($A1157,10000)/100),IFERROR(VALUE(TRIM(LEFT(MID($A1157,FIND("/",$A1157)+1,20),FIND("/",MID($A1157,FIND("/",$A1157)+1,20))-1))),"")))</f>
        <v/>
      </c>
      <c r="D1157">
        <f>IF(OR($A1157="",$B1157=""),"",IF(ISNUMBER($A1157),MOD($A1157,100),IFERROR(VALUE(TRIM(MID(MID($A1157,FIND("/",$A1157)+1,20),FIND("/",MID($A1157,FIND("/",$A1157)+1,20))+1,20))),"")))</f>
        <v/>
      </c>
      <c r="E1157">
        <f>IF($A1157="","",IF(OR($B1157="",$C1157="",$D1157="",$B1157&lt;1300,$B1157&gt;1500,$C1157&lt;1,$C1157&gt;12,$D1157&lt;1,$D1157&gt;31),"نامعتبر",RIGHT("0000"&amp;$B1157,4)&amp;"/"&amp;RIGHT("00"&amp;$C1157,2)&amp;"/"&amp;RIGHT("00"&amp;$D1157,2)))</f>
        <v/>
      </c>
      <c r="F1157">
        <f>IF(OR($E1157="",$E1157="نامعتبر"),"",LEFT($E1157,4)&amp;"/"&amp;MID($E1157,6,2))</f>
        <v/>
      </c>
      <c r="G1157">
        <f>IF(OR($E1157="",$E1157="نامعتبر",Sync!$X1153=""),"",IF(AND(LEFT(UPPER(TRIM(Sync!$X1153)),2)="SL",IFERROR(VLOOKUP(Sync!$W1153,OpTbl,3,0),"")="فروش"),UPPER(TRIM(Sync!$X1153)),""))</f>
        <v/>
      </c>
      <c r="H1157">
        <f>IF($G1157="","",IF(Sync!$W1153="","",Sync!$W1153))</f>
        <v/>
      </c>
      <c r="I1157">
        <f>IF(OR($G1157="",Sync!$Y1153=""),"",Sync!$Y1153)</f>
        <v/>
      </c>
      <c r="J1157">
        <f>IF(OR($G1157="",Sync!$Z1153=""),"",Sync!$Z1153)</f>
        <v/>
      </c>
      <c r="K1157">
        <f>IF($G1157="",0,IF(Sync!$AA1153="",0,Sync!$AA1153))</f>
        <v/>
      </c>
      <c r="L1157">
        <f>IF($G1157="",0,IF(Sync!$AB1153="",0,Sync!$AB1153))</f>
        <v/>
      </c>
      <c r="M1157">
        <f>IF($G1157="","",IF($H1157="مرجوعی فروش",-1,1)*($K1157-$L1157*IFERROR(VLOOKUP("P01",ParamTbl,3,0),1.5)))</f>
        <v/>
      </c>
      <c r="N1157">
        <f>IF($G1157="",0,IF($H1157="مرجوعی فروش",-1,1)*IF(Sync!$AC1153="",0,Sync!$AC1153))</f>
        <v/>
      </c>
      <c r="O1157">
        <f>IF(OR($G1157="",Sync!$V1153=""),"",Sync!$V1153)</f>
        <v/>
      </c>
      <c r="P1157">
        <f>IF(OR($G1157="",Sync!$AD1153=""),"",Sync!$AD1153)</f>
        <v/>
      </c>
      <c r="Q1157">
        <f>IF($G1157="","",IF(Sync!$U1153="","0000",IF(AND(ISNUMBER(Sync!$U1153),Sync!$U1153&gt;=0,Sync!$U1153&lt;1),RIGHT("00"&amp;HOUR(Sync!$U1153),2)&amp;RIGHT("00"&amp;MINUTE(Sync!$U1153),2),IFERROR(RIGHT("00"&amp;VALUE(LEFT(Sync!$U1153,FIND(":",Sync!$U1153)-1)),2)&amp;RIGHT("00"&amp;VALUE(MID(Sync!$U1153,FIND(":",Sync!$U1153)+1,2)),2),"0000"))))</f>
        <v/>
      </c>
    </row>
    <row r="1158">
      <c r="A1158">
        <f>IF(Sync!$T1154="","",Sync!$T1154)</f>
        <v/>
      </c>
      <c r="B1158">
        <f>IF($A1158="","",IF(ISNUMBER($A1158),IF(AND($A1158&gt;=10000101,$A1158&lt;=99991231),INT($A1158/10000),""),IFERROR(VALUE(TRIM(LEFT($A1158,FIND("/",$A1158)-1))),"")))</f>
        <v/>
      </c>
      <c r="C1158">
        <f>IF(OR($A1158="",$B1158=""),"",IF(ISNUMBER($A1158),INT(MOD($A1158,10000)/100),IFERROR(VALUE(TRIM(LEFT(MID($A1158,FIND("/",$A1158)+1,20),FIND("/",MID($A1158,FIND("/",$A1158)+1,20))-1))),"")))</f>
        <v/>
      </c>
      <c r="D1158">
        <f>IF(OR($A1158="",$B1158=""),"",IF(ISNUMBER($A1158),MOD($A1158,100),IFERROR(VALUE(TRIM(MID(MID($A1158,FIND("/",$A1158)+1,20),FIND("/",MID($A1158,FIND("/",$A1158)+1,20))+1,20))),"")))</f>
        <v/>
      </c>
      <c r="E1158">
        <f>IF($A1158="","",IF(OR($B1158="",$C1158="",$D1158="",$B1158&lt;1300,$B1158&gt;1500,$C1158&lt;1,$C1158&gt;12,$D1158&lt;1,$D1158&gt;31),"نامعتبر",RIGHT("0000"&amp;$B1158,4)&amp;"/"&amp;RIGHT("00"&amp;$C1158,2)&amp;"/"&amp;RIGHT("00"&amp;$D1158,2)))</f>
        <v/>
      </c>
      <c r="F1158">
        <f>IF(OR($E1158="",$E1158="نامعتبر"),"",LEFT($E1158,4)&amp;"/"&amp;MID($E1158,6,2))</f>
        <v/>
      </c>
      <c r="G1158">
        <f>IF(OR($E1158="",$E1158="نامعتبر",Sync!$X1154=""),"",IF(AND(LEFT(UPPER(TRIM(Sync!$X1154)),2)="SL",IFERROR(VLOOKUP(Sync!$W1154,OpTbl,3,0),"")="فروش"),UPPER(TRIM(Sync!$X1154)),""))</f>
        <v/>
      </c>
      <c r="H1158">
        <f>IF($G1158="","",IF(Sync!$W1154="","",Sync!$W1154))</f>
        <v/>
      </c>
      <c r="I1158">
        <f>IF(OR($G1158="",Sync!$Y1154=""),"",Sync!$Y1154)</f>
        <v/>
      </c>
      <c r="J1158">
        <f>IF(OR($G1158="",Sync!$Z1154=""),"",Sync!$Z1154)</f>
        <v/>
      </c>
      <c r="K1158">
        <f>IF($G1158="",0,IF(Sync!$AA1154="",0,Sync!$AA1154))</f>
        <v/>
      </c>
      <c r="L1158">
        <f>IF($G1158="",0,IF(Sync!$AB1154="",0,Sync!$AB1154))</f>
        <v/>
      </c>
      <c r="M1158">
        <f>IF($G1158="","",IF($H1158="مرجوعی فروش",-1,1)*($K1158-$L1158*IFERROR(VLOOKUP("P01",ParamTbl,3,0),1.5)))</f>
        <v/>
      </c>
      <c r="N1158">
        <f>IF($G1158="",0,IF($H1158="مرجوعی فروش",-1,1)*IF(Sync!$AC1154="",0,Sync!$AC1154))</f>
        <v/>
      </c>
      <c r="O1158">
        <f>IF(OR($G1158="",Sync!$V1154=""),"",Sync!$V1154)</f>
        <v/>
      </c>
      <c r="P1158">
        <f>IF(OR($G1158="",Sync!$AD1154=""),"",Sync!$AD1154)</f>
        <v/>
      </c>
      <c r="Q1158">
        <f>IF($G1158="","",IF(Sync!$U1154="","0000",IF(AND(ISNUMBER(Sync!$U1154),Sync!$U1154&gt;=0,Sync!$U1154&lt;1),RIGHT("00"&amp;HOUR(Sync!$U1154),2)&amp;RIGHT("00"&amp;MINUTE(Sync!$U1154),2),IFERROR(RIGHT("00"&amp;VALUE(LEFT(Sync!$U1154,FIND(":",Sync!$U1154)-1)),2)&amp;RIGHT("00"&amp;VALUE(MID(Sync!$U1154,FIND(":",Sync!$U1154)+1,2)),2),"0000"))))</f>
        <v/>
      </c>
    </row>
    <row r="1159">
      <c r="A1159">
        <f>IF(Sync!$T1155="","",Sync!$T1155)</f>
        <v/>
      </c>
      <c r="B1159">
        <f>IF($A1159="","",IF(ISNUMBER($A1159),IF(AND($A1159&gt;=10000101,$A1159&lt;=99991231),INT($A1159/10000),""),IFERROR(VALUE(TRIM(LEFT($A1159,FIND("/",$A1159)-1))),"")))</f>
        <v/>
      </c>
      <c r="C1159">
        <f>IF(OR($A1159="",$B1159=""),"",IF(ISNUMBER($A1159),INT(MOD($A1159,10000)/100),IFERROR(VALUE(TRIM(LEFT(MID($A1159,FIND("/",$A1159)+1,20),FIND("/",MID($A1159,FIND("/",$A1159)+1,20))-1))),"")))</f>
        <v/>
      </c>
      <c r="D1159">
        <f>IF(OR($A1159="",$B1159=""),"",IF(ISNUMBER($A1159),MOD($A1159,100),IFERROR(VALUE(TRIM(MID(MID($A1159,FIND("/",$A1159)+1,20),FIND("/",MID($A1159,FIND("/",$A1159)+1,20))+1,20))),"")))</f>
        <v/>
      </c>
      <c r="E1159">
        <f>IF($A1159="","",IF(OR($B1159="",$C1159="",$D1159="",$B1159&lt;1300,$B1159&gt;1500,$C1159&lt;1,$C1159&gt;12,$D1159&lt;1,$D1159&gt;31),"نامعتبر",RIGHT("0000"&amp;$B1159,4)&amp;"/"&amp;RIGHT("00"&amp;$C1159,2)&amp;"/"&amp;RIGHT("00"&amp;$D1159,2)))</f>
        <v/>
      </c>
      <c r="F1159">
        <f>IF(OR($E1159="",$E1159="نامعتبر"),"",LEFT($E1159,4)&amp;"/"&amp;MID($E1159,6,2))</f>
        <v/>
      </c>
      <c r="G1159">
        <f>IF(OR($E1159="",$E1159="نامعتبر",Sync!$X1155=""),"",IF(AND(LEFT(UPPER(TRIM(Sync!$X1155)),2)="SL",IFERROR(VLOOKUP(Sync!$W1155,OpTbl,3,0),"")="فروش"),UPPER(TRIM(Sync!$X1155)),""))</f>
        <v/>
      </c>
      <c r="H1159">
        <f>IF($G1159="","",IF(Sync!$W1155="","",Sync!$W1155))</f>
        <v/>
      </c>
      <c r="I1159">
        <f>IF(OR($G1159="",Sync!$Y1155=""),"",Sync!$Y1155)</f>
        <v/>
      </c>
      <c r="J1159">
        <f>IF(OR($G1159="",Sync!$Z1155=""),"",Sync!$Z1155)</f>
        <v/>
      </c>
      <c r="K1159">
        <f>IF($G1159="",0,IF(Sync!$AA1155="",0,Sync!$AA1155))</f>
        <v/>
      </c>
      <c r="L1159">
        <f>IF($G1159="",0,IF(Sync!$AB1155="",0,Sync!$AB1155))</f>
        <v/>
      </c>
      <c r="M1159">
        <f>IF($G1159="","",IF($H1159="مرجوعی فروش",-1,1)*($K1159-$L1159*IFERROR(VLOOKUP("P01",ParamTbl,3,0),1.5)))</f>
        <v/>
      </c>
      <c r="N1159">
        <f>IF($G1159="",0,IF($H1159="مرجوعی فروش",-1,1)*IF(Sync!$AC1155="",0,Sync!$AC1155))</f>
        <v/>
      </c>
      <c r="O1159">
        <f>IF(OR($G1159="",Sync!$V1155=""),"",Sync!$V1155)</f>
        <v/>
      </c>
      <c r="P1159">
        <f>IF(OR($G1159="",Sync!$AD1155=""),"",Sync!$AD1155)</f>
        <v/>
      </c>
      <c r="Q1159">
        <f>IF($G1159="","",IF(Sync!$U1155="","0000",IF(AND(ISNUMBER(Sync!$U1155),Sync!$U1155&gt;=0,Sync!$U1155&lt;1),RIGHT("00"&amp;HOUR(Sync!$U1155),2)&amp;RIGHT("00"&amp;MINUTE(Sync!$U1155),2),IFERROR(RIGHT("00"&amp;VALUE(LEFT(Sync!$U1155,FIND(":",Sync!$U1155)-1)),2)&amp;RIGHT("00"&amp;VALUE(MID(Sync!$U1155,FIND(":",Sync!$U1155)+1,2)),2),"0000"))))</f>
        <v/>
      </c>
    </row>
    <row r="1160">
      <c r="A1160">
        <f>IF(Sync!$T1156="","",Sync!$T1156)</f>
        <v/>
      </c>
      <c r="B1160">
        <f>IF($A1160="","",IF(ISNUMBER($A1160),IF(AND($A1160&gt;=10000101,$A1160&lt;=99991231),INT($A1160/10000),""),IFERROR(VALUE(TRIM(LEFT($A1160,FIND("/",$A1160)-1))),"")))</f>
        <v/>
      </c>
      <c r="C1160">
        <f>IF(OR($A1160="",$B1160=""),"",IF(ISNUMBER($A1160),INT(MOD($A1160,10000)/100),IFERROR(VALUE(TRIM(LEFT(MID($A1160,FIND("/",$A1160)+1,20),FIND("/",MID($A1160,FIND("/",$A1160)+1,20))-1))),"")))</f>
        <v/>
      </c>
      <c r="D1160">
        <f>IF(OR($A1160="",$B1160=""),"",IF(ISNUMBER($A1160),MOD($A1160,100),IFERROR(VALUE(TRIM(MID(MID($A1160,FIND("/",$A1160)+1,20),FIND("/",MID($A1160,FIND("/",$A1160)+1,20))+1,20))),"")))</f>
        <v/>
      </c>
      <c r="E1160">
        <f>IF($A1160="","",IF(OR($B1160="",$C1160="",$D1160="",$B1160&lt;1300,$B1160&gt;1500,$C1160&lt;1,$C1160&gt;12,$D1160&lt;1,$D1160&gt;31),"نامعتبر",RIGHT("0000"&amp;$B1160,4)&amp;"/"&amp;RIGHT("00"&amp;$C1160,2)&amp;"/"&amp;RIGHT("00"&amp;$D1160,2)))</f>
        <v/>
      </c>
      <c r="F1160">
        <f>IF(OR($E1160="",$E1160="نامعتبر"),"",LEFT($E1160,4)&amp;"/"&amp;MID($E1160,6,2))</f>
        <v/>
      </c>
      <c r="G1160">
        <f>IF(OR($E1160="",$E1160="نامعتبر",Sync!$X1156=""),"",IF(AND(LEFT(UPPER(TRIM(Sync!$X1156)),2)="SL",IFERROR(VLOOKUP(Sync!$W1156,OpTbl,3,0),"")="فروش"),UPPER(TRIM(Sync!$X1156)),""))</f>
        <v/>
      </c>
      <c r="H1160">
        <f>IF($G1160="","",IF(Sync!$W1156="","",Sync!$W1156))</f>
        <v/>
      </c>
      <c r="I1160">
        <f>IF(OR($G1160="",Sync!$Y1156=""),"",Sync!$Y1156)</f>
        <v/>
      </c>
      <c r="J1160">
        <f>IF(OR($G1160="",Sync!$Z1156=""),"",Sync!$Z1156)</f>
        <v/>
      </c>
      <c r="K1160">
        <f>IF($G1160="",0,IF(Sync!$AA1156="",0,Sync!$AA1156))</f>
        <v/>
      </c>
      <c r="L1160">
        <f>IF($G1160="",0,IF(Sync!$AB1156="",0,Sync!$AB1156))</f>
        <v/>
      </c>
      <c r="M1160">
        <f>IF($G1160="","",IF($H1160="مرجوعی فروش",-1,1)*($K1160-$L1160*IFERROR(VLOOKUP("P01",ParamTbl,3,0),1.5)))</f>
        <v/>
      </c>
      <c r="N1160">
        <f>IF($G1160="",0,IF($H1160="مرجوعی فروش",-1,1)*IF(Sync!$AC1156="",0,Sync!$AC1156))</f>
        <v/>
      </c>
      <c r="O1160">
        <f>IF(OR($G1160="",Sync!$V1156=""),"",Sync!$V1156)</f>
        <v/>
      </c>
      <c r="P1160">
        <f>IF(OR($G1160="",Sync!$AD1156=""),"",Sync!$AD1156)</f>
        <v/>
      </c>
      <c r="Q1160">
        <f>IF($G1160="","",IF(Sync!$U1156="","0000",IF(AND(ISNUMBER(Sync!$U1156),Sync!$U1156&gt;=0,Sync!$U1156&lt;1),RIGHT("00"&amp;HOUR(Sync!$U1156),2)&amp;RIGHT("00"&amp;MINUTE(Sync!$U1156),2),IFERROR(RIGHT("00"&amp;VALUE(LEFT(Sync!$U1156,FIND(":",Sync!$U1156)-1)),2)&amp;RIGHT("00"&amp;VALUE(MID(Sync!$U1156,FIND(":",Sync!$U1156)+1,2)),2),"0000"))))</f>
        <v/>
      </c>
    </row>
    <row r="1161">
      <c r="A1161">
        <f>IF(Sync!$T1157="","",Sync!$T1157)</f>
        <v/>
      </c>
      <c r="B1161">
        <f>IF($A1161="","",IF(ISNUMBER($A1161),IF(AND($A1161&gt;=10000101,$A1161&lt;=99991231),INT($A1161/10000),""),IFERROR(VALUE(TRIM(LEFT($A1161,FIND("/",$A1161)-1))),"")))</f>
        <v/>
      </c>
      <c r="C1161">
        <f>IF(OR($A1161="",$B1161=""),"",IF(ISNUMBER($A1161),INT(MOD($A1161,10000)/100),IFERROR(VALUE(TRIM(LEFT(MID($A1161,FIND("/",$A1161)+1,20),FIND("/",MID($A1161,FIND("/",$A1161)+1,20))-1))),"")))</f>
        <v/>
      </c>
      <c r="D1161">
        <f>IF(OR($A1161="",$B1161=""),"",IF(ISNUMBER($A1161),MOD($A1161,100),IFERROR(VALUE(TRIM(MID(MID($A1161,FIND("/",$A1161)+1,20),FIND("/",MID($A1161,FIND("/",$A1161)+1,20))+1,20))),"")))</f>
        <v/>
      </c>
      <c r="E1161">
        <f>IF($A1161="","",IF(OR($B1161="",$C1161="",$D1161="",$B1161&lt;1300,$B1161&gt;1500,$C1161&lt;1,$C1161&gt;12,$D1161&lt;1,$D1161&gt;31),"نامعتبر",RIGHT("0000"&amp;$B1161,4)&amp;"/"&amp;RIGHT("00"&amp;$C1161,2)&amp;"/"&amp;RIGHT("00"&amp;$D1161,2)))</f>
        <v/>
      </c>
      <c r="F1161">
        <f>IF(OR($E1161="",$E1161="نامعتبر"),"",LEFT($E1161,4)&amp;"/"&amp;MID($E1161,6,2))</f>
        <v/>
      </c>
      <c r="G1161">
        <f>IF(OR($E1161="",$E1161="نامعتبر",Sync!$X1157=""),"",IF(AND(LEFT(UPPER(TRIM(Sync!$X1157)),2)="SL",IFERROR(VLOOKUP(Sync!$W1157,OpTbl,3,0),"")="فروش"),UPPER(TRIM(Sync!$X1157)),""))</f>
        <v/>
      </c>
      <c r="H1161">
        <f>IF($G1161="","",IF(Sync!$W1157="","",Sync!$W1157))</f>
        <v/>
      </c>
      <c r="I1161">
        <f>IF(OR($G1161="",Sync!$Y1157=""),"",Sync!$Y1157)</f>
        <v/>
      </c>
      <c r="J1161">
        <f>IF(OR($G1161="",Sync!$Z1157=""),"",Sync!$Z1157)</f>
        <v/>
      </c>
      <c r="K1161">
        <f>IF($G1161="",0,IF(Sync!$AA1157="",0,Sync!$AA1157))</f>
        <v/>
      </c>
      <c r="L1161">
        <f>IF($G1161="",0,IF(Sync!$AB1157="",0,Sync!$AB1157))</f>
        <v/>
      </c>
      <c r="M1161">
        <f>IF($G1161="","",IF($H1161="مرجوعی فروش",-1,1)*($K1161-$L1161*IFERROR(VLOOKUP("P01",ParamTbl,3,0),1.5)))</f>
        <v/>
      </c>
      <c r="N1161">
        <f>IF($G1161="",0,IF($H1161="مرجوعی فروش",-1,1)*IF(Sync!$AC1157="",0,Sync!$AC1157))</f>
        <v/>
      </c>
      <c r="O1161">
        <f>IF(OR($G1161="",Sync!$V1157=""),"",Sync!$V1157)</f>
        <v/>
      </c>
      <c r="P1161">
        <f>IF(OR($G1161="",Sync!$AD1157=""),"",Sync!$AD1157)</f>
        <v/>
      </c>
      <c r="Q1161">
        <f>IF($G1161="","",IF(Sync!$U1157="","0000",IF(AND(ISNUMBER(Sync!$U1157),Sync!$U1157&gt;=0,Sync!$U1157&lt;1),RIGHT("00"&amp;HOUR(Sync!$U1157),2)&amp;RIGHT("00"&amp;MINUTE(Sync!$U1157),2),IFERROR(RIGHT("00"&amp;VALUE(LEFT(Sync!$U1157,FIND(":",Sync!$U1157)-1)),2)&amp;RIGHT("00"&amp;VALUE(MID(Sync!$U1157,FIND(":",Sync!$U1157)+1,2)),2),"0000"))))</f>
        <v/>
      </c>
    </row>
    <row r="1162">
      <c r="A1162">
        <f>IF(Sync!$T1158="","",Sync!$T1158)</f>
        <v/>
      </c>
      <c r="B1162">
        <f>IF($A1162="","",IF(ISNUMBER($A1162),IF(AND($A1162&gt;=10000101,$A1162&lt;=99991231),INT($A1162/10000),""),IFERROR(VALUE(TRIM(LEFT($A1162,FIND("/",$A1162)-1))),"")))</f>
        <v/>
      </c>
      <c r="C1162">
        <f>IF(OR($A1162="",$B1162=""),"",IF(ISNUMBER($A1162),INT(MOD($A1162,10000)/100),IFERROR(VALUE(TRIM(LEFT(MID($A1162,FIND("/",$A1162)+1,20),FIND("/",MID($A1162,FIND("/",$A1162)+1,20))-1))),"")))</f>
        <v/>
      </c>
      <c r="D1162">
        <f>IF(OR($A1162="",$B1162=""),"",IF(ISNUMBER($A1162),MOD($A1162,100),IFERROR(VALUE(TRIM(MID(MID($A1162,FIND("/",$A1162)+1,20),FIND("/",MID($A1162,FIND("/",$A1162)+1,20))+1,20))),"")))</f>
        <v/>
      </c>
      <c r="E1162">
        <f>IF($A1162="","",IF(OR($B1162="",$C1162="",$D1162="",$B1162&lt;1300,$B1162&gt;1500,$C1162&lt;1,$C1162&gt;12,$D1162&lt;1,$D1162&gt;31),"نامعتبر",RIGHT("0000"&amp;$B1162,4)&amp;"/"&amp;RIGHT("00"&amp;$C1162,2)&amp;"/"&amp;RIGHT("00"&amp;$D1162,2)))</f>
        <v/>
      </c>
      <c r="F1162">
        <f>IF(OR($E1162="",$E1162="نامعتبر"),"",LEFT($E1162,4)&amp;"/"&amp;MID($E1162,6,2))</f>
        <v/>
      </c>
      <c r="G1162">
        <f>IF(OR($E1162="",$E1162="نامعتبر",Sync!$X1158=""),"",IF(AND(LEFT(UPPER(TRIM(Sync!$X1158)),2)="SL",IFERROR(VLOOKUP(Sync!$W1158,OpTbl,3,0),"")="فروش"),UPPER(TRIM(Sync!$X1158)),""))</f>
        <v/>
      </c>
      <c r="H1162">
        <f>IF($G1162="","",IF(Sync!$W1158="","",Sync!$W1158))</f>
        <v/>
      </c>
      <c r="I1162">
        <f>IF(OR($G1162="",Sync!$Y1158=""),"",Sync!$Y1158)</f>
        <v/>
      </c>
      <c r="J1162">
        <f>IF(OR($G1162="",Sync!$Z1158=""),"",Sync!$Z1158)</f>
        <v/>
      </c>
      <c r="K1162">
        <f>IF($G1162="",0,IF(Sync!$AA1158="",0,Sync!$AA1158))</f>
        <v/>
      </c>
      <c r="L1162">
        <f>IF($G1162="",0,IF(Sync!$AB1158="",0,Sync!$AB1158))</f>
        <v/>
      </c>
      <c r="M1162">
        <f>IF($G1162="","",IF($H1162="مرجوعی فروش",-1,1)*($K1162-$L1162*IFERROR(VLOOKUP("P01",ParamTbl,3,0),1.5)))</f>
        <v/>
      </c>
      <c r="N1162">
        <f>IF($G1162="",0,IF($H1162="مرجوعی فروش",-1,1)*IF(Sync!$AC1158="",0,Sync!$AC1158))</f>
        <v/>
      </c>
      <c r="O1162">
        <f>IF(OR($G1162="",Sync!$V1158=""),"",Sync!$V1158)</f>
        <v/>
      </c>
      <c r="P1162">
        <f>IF(OR($G1162="",Sync!$AD1158=""),"",Sync!$AD1158)</f>
        <v/>
      </c>
      <c r="Q1162">
        <f>IF($G1162="","",IF(Sync!$U1158="","0000",IF(AND(ISNUMBER(Sync!$U1158),Sync!$U1158&gt;=0,Sync!$U1158&lt;1),RIGHT("00"&amp;HOUR(Sync!$U1158),2)&amp;RIGHT("00"&amp;MINUTE(Sync!$U1158),2),IFERROR(RIGHT("00"&amp;VALUE(LEFT(Sync!$U1158,FIND(":",Sync!$U1158)-1)),2)&amp;RIGHT("00"&amp;VALUE(MID(Sync!$U1158,FIND(":",Sync!$U1158)+1,2)),2),"0000"))))</f>
        <v/>
      </c>
    </row>
    <row r="1163">
      <c r="A1163">
        <f>IF(Sync!$T1159="","",Sync!$T1159)</f>
        <v/>
      </c>
      <c r="B1163">
        <f>IF($A1163="","",IF(ISNUMBER($A1163),IF(AND($A1163&gt;=10000101,$A1163&lt;=99991231),INT($A1163/10000),""),IFERROR(VALUE(TRIM(LEFT($A1163,FIND("/",$A1163)-1))),"")))</f>
        <v/>
      </c>
      <c r="C1163">
        <f>IF(OR($A1163="",$B1163=""),"",IF(ISNUMBER($A1163),INT(MOD($A1163,10000)/100),IFERROR(VALUE(TRIM(LEFT(MID($A1163,FIND("/",$A1163)+1,20),FIND("/",MID($A1163,FIND("/",$A1163)+1,20))-1))),"")))</f>
        <v/>
      </c>
      <c r="D1163">
        <f>IF(OR($A1163="",$B1163=""),"",IF(ISNUMBER($A1163),MOD($A1163,100),IFERROR(VALUE(TRIM(MID(MID($A1163,FIND("/",$A1163)+1,20),FIND("/",MID($A1163,FIND("/",$A1163)+1,20))+1,20))),"")))</f>
        <v/>
      </c>
      <c r="E1163">
        <f>IF($A1163="","",IF(OR($B1163="",$C1163="",$D1163="",$B1163&lt;1300,$B1163&gt;1500,$C1163&lt;1,$C1163&gt;12,$D1163&lt;1,$D1163&gt;31),"نامعتبر",RIGHT("0000"&amp;$B1163,4)&amp;"/"&amp;RIGHT("00"&amp;$C1163,2)&amp;"/"&amp;RIGHT("00"&amp;$D1163,2)))</f>
        <v/>
      </c>
      <c r="F1163">
        <f>IF(OR($E1163="",$E1163="نامعتبر"),"",LEFT($E1163,4)&amp;"/"&amp;MID($E1163,6,2))</f>
        <v/>
      </c>
      <c r="G1163">
        <f>IF(OR($E1163="",$E1163="نامعتبر",Sync!$X1159=""),"",IF(AND(LEFT(UPPER(TRIM(Sync!$X1159)),2)="SL",IFERROR(VLOOKUP(Sync!$W1159,OpTbl,3,0),"")="فروش"),UPPER(TRIM(Sync!$X1159)),""))</f>
        <v/>
      </c>
      <c r="H1163">
        <f>IF($G1163="","",IF(Sync!$W1159="","",Sync!$W1159))</f>
        <v/>
      </c>
      <c r="I1163">
        <f>IF(OR($G1163="",Sync!$Y1159=""),"",Sync!$Y1159)</f>
        <v/>
      </c>
      <c r="J1163">
        <f>IF(OR($G1163="",Sync!$Z1159=""),"",Sync!$Z1159)</f>
        <v/>
      </c>
      <c r="K1163">
        <f>IF($G1163="",0,IF(Sync!$AA1159="",0,Sync!$AA1159))</f>
        <v/>
      </c>
      <c r="L1163">
        <f>IF($G1163="",0,IF(Sync!$AB1159="",0,Sync!$AB1159))</f>
        <v/>
      </c>
      <c r="M1163">
        <f>IF($G1163="","",IF($H1163="مرجوعی فروش",-1,1)*($K1163-$L1163*IFERROR(VLOOKUP("P01",ParamTbl,3,0),1.5)))</f>
        <v/>
      </c>
      <c r="N1163">
        <f>IF($G1163="",0,IF($H1163="مرجوعی فروش",-1,1)*IF(Sync!$AC1159="",0,Sync!$AC1159))</f>
        <v/>
      </c>
      <c r="O1163">
        <f>IF(OR($G1163="",Sync!$V1159=""),"",Sync!$V1159)</f>
        <v/>
      </c>
      <c r="P1163">
        <f>IF(OR($G1163="",Sync!$AD1159=""),"",Sync!$AD1159)</f>
        <v/>
      </c>
      <c r="Q1163">
        <f>IF($G1163="","",IF(Sync!$U1159="","0000",IF(AND(ISNUMBER(Sync!$U1159),Sync!$U1159&gt;=0,Sync!$U1159&lt;1),RIGHT("00"&amp;HOUR(Sync!$U1159),2)&amp;RIGHT("00"&amp;MINUTE(Sync!$U1159),2),IFERROR(RIGHT("00"&amp;VALUE(LEFT(Sync!$U1159,FIND(":",Sync!$U1159)-1)),2)&amp;RIGHT("00"&amp;VALUE(MID(Sync!$U1159,FIND(":",Sync!$U1159)+1,2)),2),"0000"))))</f>
        <v/>
      </c>
    </row>
    <row r="1164">
      <c r="A1164">
        <f>IF(Sync!$T1160="","",Sync!$T1160)</f>
        <v/>
      </c>
      <c r="B1164">
        <f>IF($A1164="","",IF(ISNUMBER($A1164),IF(AND($A1164&gt;=10000101,$A1164&lt;=99991231),INT($A1164/10000),""),IFERROR(VALUE(TRIM(LEFT($A1164,FIND("/",$A1164)-1))),"")))</f>
        <v/>
      </c>
      <c r="C1164">
        <f>IF(OR($A1164="",$B1164=""),"",IF(ISNUMBER($A1164),INT(MOD($A1164,10000)/100),IFERROR(VALUE(TRIM(LEFT(MID($A1164,FIND("/",$A1164)+1,20),FIND("/",MID($A1164,FIND("/",$A1164)+1,20))-1))),"")))</f>
        <v/>
      </c>
      <c r="D1164">
        <f>IF(OR($A1164="",$B1164=""),"",IF(ISNUMBER($A1164),MOD($A1164,100),IFERROR(VALUE(TRIM(MID(MID($A1164,FIND("/",$A1164)+1,20),FIND("/",MID($A1164,FIND("/",$A1164)+1,20))+1,20))),"")))</f>
        <v/>
      </c>
      <c r="E1164">
        <f>IF($A1164="","",IF(OR($B1164="",$C1164="",$D1164="",$B1164&lt;1300,$B1164&gt;1500,$C1164&lt;1,$C1164&gt;12,$D1164&lt;1,$D1164&gt;31),"نامعتبر",RIGHT("0000"&amp;$B1164,4)&amp;"/"&amp;RIGHT("00"&amp;$C1164,2)&amp;"/"&amp;RIGHT("00"&amp;$D1164,2)))</f>
        <v/>
      </c>
      <c r="F1164">
        <f>IF(OR($E1164="",$E1164="نامعتبر"),"",LEFT($E1164,4)&amp;"/"&amp;MID($E1164,6,2))</f>
        <v/>
      </c>
      <c r="G1164">
        <f>IF(OR($E1164="",$E1164="نامعتبر",Sync!$X1160=""),"",IF(AND(LEFT(UPPER(TRIM(Sync!$X1160)),2)="SL",IFERROR(VLOOKUP(Sync!$W1160,OpTbl,3,0),"")="فروش"),UPPER(TRIM(Sync!$X1160)),""))</f>
        <v/>
      </c>
      <c r="H1164">
        <f>IF($G1164="","",IF(Sync!$W1160="","",Sync!$W1160))</f>
        <v/>
      </c>
      <c r="I1164">
        <f>IF(OR($G1164="",Sync!$Y1160=""),"",Sync!$Y1160)</f>
        <v/>
      </c>
      <c r="J1164">
        <f>IF(OR($G1164="",Sync!$Z1160=""),"",Sync!$Z1160)</f>
        <v/>
      </c>
      <c r="K1164">
        <f>IF($G1164="",0,IF(Sync!$AA1160="",0,Sync!$AA1160))</f>
        <v/>
      </c>
      <c r="L1164">
        <f>IF($G1164="",0,IF(Sync!$AB1160="",0,Sync!$AB1160))</f>
        <v/>
      </c>
      <c r="M1164">
        <f>IF($G1164="","",IF($H1164="مرجوعی فروش",-1,1)*($K1164-$L1164*IFERROR(VLOOKUP("P01",ParamTbl,3,0),1.5)))</f>
        <v/>
      </c>
      <c r="N1164">
        <f>IF($G1164="",0,IF($H1164="مرجوعی فروش",-1,1)*IF(Sync!$AC1160="",0,Sync!$AC1160))</f>
        <v/>
      </c>
      <c r="O1164">
        <f>IF(OR($G1164="",Sync!$V1160=""),"",Sync!$V1160)</f>
        <v/>
      </c>
      <c r="P1164">
        <f>IF(OR($G1164="",Sync!$AD1160=""),"",Sync!$AD1160)</f>
        <v/>
      </c>
      <c r="Q1164">
        <f>IF($G1164="","",IF(Sync!$U1160="","0000",IF(AND(ISNUMBER(Sync!$U1160),Sync!$U1160&gt;=0,Sync!$U1160&lt;1),RIGHT("00"&amp;HOUR(Sync!$U1160),2)&amp;RIGHT("00"&amp;MINUTE(Sync!$U1160),2),IFERROR(RIGHT("00"&amp;VALUE(LEFT(Sync!$U1160,FIND(":",Sync!$U1160)-1)),2)&amp;RIGHT("00"&amp;VALUE(MID(Sync!$U1160,FIND(":",Sync!$U1160)+1,2)),2),"0000"))))</f>
        <v/>
      </c>
    </row>
    <row r="1165">
      <c r="A1165">
        <f>IF(Sync!$T1161="","",Sync!$T1161)</f>
        <v/>
      </c>
      <c r="B1165">
        <f>IF($A1165="","",IF(ISNUMBER($A1165),IF(AND($A1165&gt;=10000101,$A1165&lt;=99991231),INT($A1165/10000),""),IFERROR(VALUE(TRIM(LEFT($A1165,FIND("/",$A1165)-1))),"")))</f>
        <v/>
      </c>
      <c r="C1165">
        <f>IF(OR($A1165="",$B1165=""),"",IF(ISNUMBER($A1165),INT(MOD($A1165,10000)/100),IFERROR(VALUE(TRIM(LEFT(MID($A1165,FIND("/",$A1165)+1,20),FIND("/",MID($A1165,FIND("/",$A1165)+1,20))-1))),"")))</f>
        <v/>
      </c>
      <c r="D1165">
        <f>IF(OR($A1165="",$B1165=""),"",IF(ISNUMBER($A1165),MOD($A1165,100),IFERROR(VALUE(TRIM(MID(MID($A1165,FIND("/",$A1165)+1,20),FIND("/",MID($A1165,FIND("/",$A1165)+1,20))+1,20))),"")))</f>
        <v/>
      </c>
      <c r="E1165">
        <f>IF($A1165="","",IF(OR($B1165="",$C1165="",$D1165="",$B1165&lt;1300,$B1165&gt;1500,$C1165&lt;1,$C1165&gt;12,$D1165&lt;1,$D1165&gt;31),"نامعتبر",RIGHT("0000"&amp;$B1165,4)&amp;"/"&amp;RIGHT("00"&amp;$C1165,2)&amp;"/"&amp;RIGHT("00"&amp;$D1165,2)))</f>
        <v/>
      </c>
      <c r="F1165">
        <f>IF(OR($E1165="",$E1165="نامعتبر"),"",LEFT($E1165,4)&amp;"/"&amp;MID($E1165,6,2))</f>
        <v/>
      </c>
      <c r="G1165">
        <f>IF(OR($E1165="",$E1165="نامعتبر",Sync!$X1161=""),"",IF(AND(LEFT(UPPER(TRIM(Sync!$X1161)),2)="SL",IFERROR(VLOOKUP(Sync!$W1161,OpTbl,3,0),"")="فروش"),UPPER(TRIM(Sync!$X1161)),""))</f>
        <v/>
      </c>
      <c r="H1165">
        <f>IF($G1165="","",IF(Sync!$W1161="","",Sync!$W1161))</f>
        <v/>
      </c>
      <c r="I1165">
        <f>IF(OR($G1165="",Sync!$Y1161=""),"",Sync!$Y1161)</f>
        <v/>
      </c>
      <c r="J1165">
        <f>IF(OR($G1165="",Sync!$Z1161=""),"",Sync!$Z1161)</f>
        <v/>
      </c>
      <c r="K1165">
        <f>IF($G1165="",0,IF(Sync!$AA1161="",0,Sync!$AA1161))</f>
        <v/>
      </c>
      <c r="L1165">
        <f>IF($G1165="",0,IF(Sync!$AB1161="",0,Sync!$AB1161))</f>
        <v/>
      </c>
      <c r="M1165">
        <f>IF($G1165="","",IF($H1165="مرجوعی فروش",-1,1)*($K1165-$L1165*IFERROR(VLOOKUP("P01",ParamTbl,3,0),1.5)))</f>
        <v/>
      </c>
      <c r="N1165">
        <f>IF($G1165="",0,IF($H1165="مرجوعی فروش",-1,1)*IF(Sync!$AC1161="",0,Sync!$AC1161))</f>
        <v/>
      </c>
      <c r="O1165">
        <f>IF(OR($G1165="",Sync!$V1161=""),"",Sync!$V1161)</f>
        <v/>
      </c>
      <c r="P1165">
        <f>IF(OR($G1165="",Sync!$AD1161=""),"",Sync!$AD1161)</f>
        <v/>
      </c>
      <c r="Q1165">
        <f>IF($G1165="","",IF(Sync!$U1161="","0000",IF(AND(ISNUMBER(Sync!$U1161),Sync!$U1161&gt;=0,Sync!$U1161&lt;1),RIGHT("00"&amp;HOUR(Sync!$U1161),2)&amp;RIGHT("00"&amp;MINUTE(Sync!$U1161),2),IFERROR(RIGHT("00"&amp;VALUE(LEFT(Sync!$U1161,FIND(":",Sync!$U1161)-1)),2)&amp;RIGHT("00"&amp;VALUE(MID(Sync!$U1161,FIND(":",Sync!$U1161)+1,2)),2),"0000"))))</f>
        <v/>
      </c>
    </row>
    <row r="1166">
      <c r="A1166">
        <f>IF(Sync!$T1162="","",Sync!$T1162)</f>
        <v/>
      </c>
      <c r="B1166">
        <f>IF($A1166="","",IF(ISNUMBER($A1166),IF(AND($A1166&gt;=10000101,$A1166&lt;=99991231),INT($A1166/10000),""),IFERROR(VALUE(TRIM(LEFT($A1166,FIND("/",$A1166)-1))),"")))</f>
        <v/>
      </c>
      <c r="C1166">
        <f>IF(OR($A1166="",$B1166=""),"",IF(ISNUMBER($A1166),INT(MOD($A1166,10000)/100),IFERROR(VALUE(TRIM(LEFT(MID($A1166,FIND("/",$A1166)+1,20),FIND("/",MID($A1166,FIND("/",$A1166)+1,20))-1))),"")))</f>
        <v/>
      </c>
      <c r="D1166">
        <f>IF(OR($A1166="",$B1166=""),"",IF(ISNUMBER($A1166),MOD($A1166,100),IFERROR(VALUE(TRIM(MID(MID($A1166,FIND("/",$A1166)+1,20),FIND("/",MID($A1166,FIND("/",$A1166)+1,20))+1,20))),"")))</f>
        <v/>
      </c>
      <c r="E1166">
        <f>IF($A1166="","",IF(OR($B1166="",$C1166="",$D1166="",$B1166&lt;1300,$B1166&gt;1500,$C1166&lt;1,$C1166&gt;12,$D1166&lt;1,$D1166&gt;31),"نامعتبر",RIGHT("0000"&amp;$B1166,4)&amp;"/"&amp;RIGHT("00"&amp;$C1166,2)&amp;"/"&amp;RIGHT("00"&amp;$D1166,2)))</f>
        <v/>
      </c>
      <c r="F1166">
        <f>IF(OR($E1166="",$E1166="نامعتبر"),"",LEFT($E1166,4)&amp;"/"&amp;MID($E1166,6,2))</f>
        <v/>
      </c>
      <c r="G1166">
        <f>IF(OR($E1166="",$E1166="نامعتبر",Sync!$X1162=""),"",IF(AND(LEFT(UPPER(TRIM(Sync!$X1162)),2)="SL",IFERROR(VLOOKUP(Sync!$W1162,OpTbl,3,0),"")="فروش"),UPPER(TRIM(Sync!$X1162)),""))</f>
        <v/>
      </c>
      <c r="H1166">
        <f>IF($G1166="","",IF(Sync!$W1162="","",Sync!$W1162))</f>
        <v/>
      </c>
      <c r="I1166">
        <f>IF(OR($G1166="",Sync!$Y1162=""),"",Sync!$Y1162)</f>
        <v/>
      </c>
      <c r="J1166">
        <f>IF(OR($G1166="",Sync!$Z1162=""),"",Sync!$Z1162)</f>
        <v/>
      </c>
      <c r="K1166">
        <f>IF($G1166="",0,IF(Sync!$AA1162="",0,Sync!$AA1162))</f>
        <v/>
      </c>
      <c r="L1166">
        <f>IF($G1166="",0,IF(Sync!$AB1162="",0,Sync!$AB1162))</f>
        <v/>
      </c>
      <c r="M1166">
        <f>IF($G1166="","",IF($H1166="مرجوعی فروش",-1,1)*($K1166-$L1166*IFERROR(VLOOKUP("P01",ParamTbl,3,0),1.5)))</f>
        <v/>
      </c>
      <c r="N1166">
        <f>IF($G1166="",0,IF($H1166="مرجوعی فروش",-1,1)*IF(Sync!$AC1162="",0,Sync!$AC1162))</f>
        <v/>
      </c>
      <c r="O1166">
        <f>IF(OR($G1166="",Sync!$V1162=""),"",Sync!$V1162)</f>
        <v/>
      </c>
      <c r="P1166">
        <f>IF(OR($G1166="",Sync!$AD1162=""),"",Sync!$AD1162)</f>
        <v/>
      </c>
      <c r="Q1166">
        <f>IF($G1166="","",IF(Sync!$U1162="","0000",IF(AND(ISNUMBER(Sync!$U1162),Sync!$U1162&gt;=0,Sync!$U1162&lt;1),RIGHT("00"&amp;HOUR(Sync!$U1162),2)&amp;RIGHT("00"&amp;MINUTE(Sync!$U1162),2),IFERROR(RIGHT("00"&amp;VALUE(LEFT(Sync!$U1162,FIND(":",Sync!$U1162)-1)),2)&amp;RIGHT("00"&amp;VALUE(MID(Sync!$U1162,FIND(":",Sync!$U1162)+1,2)),2),"0000"))))</f>
        <v/>
      </c>
    </row>
    <row r="1167">
      <c r="A1167">
        <f>IF(Sync!$T1163="","",Sync!$T1163)</f>
        <v/>
      </c>
      <c r="B1167">
        <f>IF($A1167="","",IF(ISNUMBER($A1167),IF(AND($A1167&gt;=10000101,$A1167&lt;=99991231),INT($A1167/10000),""),IFERROR(VALUE(TRIM(LEFT($A1167,FIND("/",$A1167)-1))),"")))</f>
        <v/>
      </c>
      <c r="C1167">
        <f>IF(OR($A1167="",$B1167=""),"",IF(ISNUMBER($A1167),INT(MOD($A1167,10000)/100),IFERROR(VALUE(TRIM(LEFT(MID($A1167,FIND("/",$A1167)+1,20),FIND("/",MID($A1167,FIND("/",$A1167)+1,20))-1))),"")))</f>
        <v/>
      </c>
      <c r="D1167">
        <f>IF(OR($A1167="",$B1167=""),"",IF(ISNUMBER($A1167),MOD($A1167,100),IFERROR(VALUE(TRIM(MID(MID($A1167,FIND("/",$A1167)+1,20),FIND("/",MID($A1167,FIND("/",$A1167)+1,20))+1,20))),"")))</f>
        <v/>
      </c>
      <c r="E1167">
        <f>IF($A1167="","",IF(OR($B1167="",$C1167="",$D1167="",$B1167&lt;1300,$B1167&gt;1500,$C1167&lt;1,$C1167&gt;12,$D1167&lt;1,$D1167&gt;31),"نامعتبر",RIGHT("0000"&amp;$B1167,4)&amp;"/"&amp;RIGHT("00"&amp;$C1167,2)&amp;"/"&amp;RIGHT("00"&amp;$D1167,2)))</f>
        <v/>
      </c>
      <c r="F1167">
        <f>IF(OR($E1167="",$E1167="نامعتبر"),"",LEFT($E1167,4)&amp;"/"&amp;MID($E1167,6,2))</f>
        <v/>
      </c>
      <c r="G1167">
        <f>IF(OR($E1167="",$E1167="نامعتبر",Sync!$X1163=""),"",IF(AND(LEFT(UPPER(TRIM(Sync!$X1163)),2)="SL",IFERROR(VLOOKUP(Sync!$W1163,OpTbl,3,0),"")="فروش"),UPPER(TRIM(Sync!$X1163)),""))</f>
        <v/>
      </c>
      <c r="H1167">
        <f>IF($G1167="","",IF(Sync!$W1163="","",Sync!$W1163))</f>
        <v/>
      </c>
      <c r="I1167">
        <f>IF(OR($G1167="",Sync!$Y1163=""),"",Sync!$Y1163)</f>
        <v/>
      </c>
      <c r="J1167">
        <f>IF(OR($G1167="",Sync!$Z1163=""),"",Sync!$Z1163)</f>
        <v/>
      </c>
      <c r="K1167">
        <f>IF($G1167="",0,IF(Sync!$AA1163="",0,Sync!$AA1163))</f>
        <v/>
      </c>
      <c r="L1167">
        <f>IF($G1167="",0,IF(Sync!$AB1163="",0,Sync!$AB1163))</f>
        <v/>
      </c>
      <c r="M1167">
        <f>IF($G1167="","",IF($H1167="مرجوعی فروش",-1,1)*($K1167-$L1167*IFERROR(VLOOKUP("P01",ParamTbl,3,0),1.5)))</f>
        <v/>
      </c>
      <c r="N1167">
        <f>IF($G1167="",0,IF($H1167="مرجوعی فروش",-1,1)*IF(Sync!$AC1163="",0,Sync!$AC1163))</f>
        <v/>
      </c>
      <c r="O1167">
        <f>IF(OR($G1167="",Sync!$V1163=""),"",Sync!$V1163)</f>
        <v/>
      </c>
      <c r="P1167">
        <f>IF(OR($G1167="",Sync!$AD1163=""),"",Sync!$AD1163)</f>
        <v/>
      </c>
      <c r="Q1167">
        <f>IF($G1167="","",IF(Sync!$U1163="","0000",IF(AND(ISNUMBER(Sync!$U1163),Sync!$U1163&gt;=0,Sync!$U1163&lt;1),RIGHT("00"&amp;HOUR(Sync!$U1163),2)&amp;RIGHT("00"&amp;MINUTE(Sync!$U1163),2),IFERROR(RIGHT("00"&amp;VALUE(LEFT(Sync!$U1163,FIND(":",Sync!$U1163)-1)),2)&amp;RIGHT("00"&amp;VALUE(MID(Sync!$U1163,FIND(":",Sync!$U1163)+1,2)),2),"0000"))))</f>
        <v/>
      </c>
    </row>
    <row r="1168">
      <c r="A1168">
        <f>IF(Sync!$T1164="","",Sync!$T1164)</f>
        <v/>
      </c>
      <c r="B1168">
        <f>IF($A1168="","",IF(ISNUMBER($A1168),IF(AND($A1168&gt;=10000101,$A1168&lt;=99991231),INT($A1168/10000),""),IFERROR(VALUE(TRIM(LEFT($A1168,FIND("/",$A1168)-1))),"")))</f>
        <v/>
      </c>
      <c r="C1168">
        <f>IF(OR($A1168="",$B1168=""),"",IF(ISNUMBER($A1168),INT(MOD($A1168,10000)/100),IFERROR(VALUE(TRIM(LEFT(MID($A1168,FIND("/",$A1168)+1,20),FIND("/",MID($A1168,FIND("/",$A1168)+1,20))-1))),"")))</f>
        <v/>
      </c>
      <c r="D1168">
        <f>IF(OR($A1168="",$B1168=""),"",IF(ISNUMBER($A1168),MOD($A1168,100),IFERROR(VALUE(TRIM(MID(MID($A1168,FIND("/",$A1168)+1,20),FIND("/",MID($A1168,FIND("/",$A1168)+1,20))+1,20))),"")))</f>
        <v/>
      </c>
      <c r="E1168">
        <f>IF($A1168="","",IF(OR($B1168="",$C1168="",$D1168="",$B1168&lt;1300,$B1168&gt;1500,$C1168&lt;1,$C1168&gt;12,$D1168&lt;1,$D1168&gt;31),"نامعتبر",RIGHT("0000"&amp;$B1168,4)&amp;"/"&amp;RIGHT("00"&amp;$C1168,2)&amp;"/"&amp;RIGHT("00"&amp;$D1168,2)))</f>
        <v/>
      </c>
      <c r="F1168">
        <f>IF(OR($E1168="",$E1168="نامعتبر"),"",LEFT($E1168,4)&amp;"/"&amp;MID($E1168,6,2))</f>
        <v/>
      </c>
      <c r="G1168">
        <f>IF(OR($E1168="",$E1168="نامعتبر",Sync!$X1164=""),"",IF(AND(LEFT(UPPER(TRIM(Sync!$X1164)),2)="SL",IFERROR(VLOOKUP(Sync!$W1164,OpTbl,3,0),"")="فروش"),UPPER(TRIM(Sync!$X1164)),""))</f>
        <v/>
      </c>
      <c r="H1168">
        <f>IF($G1168="","",IF(Sync!$W1164="","",Sync!$W1164))</f>
        <v/>
      </c>
      <c r="I1168">
        <f>IF(OR($G1168="",Sync!$Y1164=""),"",Sync!$Y1164)</f>
        <v/>
      </c>
      <c r="J1168">
        <f>IF(OR($G1168="",Sync!$Z1164=""),"",Sync!$Z1164)</f>
        <v/>
      </c>
      <c r="K1168">
        <f>IF($G1168="",0,IF(Sync!$AA1164="",0,Sync!$AA1164))</f>
        <v/>
      </c>
      <c r="L1168">
        <f>IF($G1168="",0,IF(Sync!$AB1164="",0,Sync!$AB1164))</f>
        <v/>
      </c>
      <c r="M1168">
        <f>IF($G1168="","",IF($H1168="مرجوعی فروش",-1,1)*($K1168-$L1168*IFERROR(VLOOKUP("P01",ParamTbl,3,0),1.5)))</f>
        <v/>
      </c>
      <c r="N1168">
        <f>IF($G1168="",0,IF($H1168="مرجوعی فروش",-1,1)*IF(Sync!$AC1164="",0,Sync!$AC1164))</f>
        <v/>
      </c>
      <c r="O1168">
        <f>IF(OR($G1168="",Sync!$V1164=""),"",Sync!$V1164)</f>
        <v/>
      </c>
      <c r="P1168">
        <f>IF(OR($G1168="",Sync!$AD1164=""),"",Sync!$AD1164)</f>
        <v/>
      </c>
      <c r="Q1168">
        <f>IF($G1168="","",IF(Sync!$U1164="","0000",IF(AND(ISNUMBER(Sync!$U1164),Sync!$U1164&gt;=0,Sync!$U1164&lt;1),RIGHT("00"&amp;HOUR(Sync!$U1164),2)&amp;RIGHT("00"&amp;MINUTE(Sync!$U1164),2),IFERROR(RIGHT("00"&amp;VALUE(LEFT(Sync!$U1164,FIND(":",Sync!$U1164)-1)),2)&amp;RIGHT("00"&amp;VALUE(MID(Sync!$U1164,FIND(":",Sync!$U1164)+1,2)),2),"0000"))))</f>
        <v/>
      </c>
    </row>
    <row r="1169">
      <c r="A1169">
        <f>IF(Sync!$T1165="","",Sync!$T1165)</f>
        <v/>
      </c>
      <c r="B1169">
        <f>IF($A1169="","",IF(ISNUMBER($A1169),IF(AND($A1169&gt;=10000101,$A1169&lt;=99991231),INT($A1169/10000),""),IFERROR(VALUE(TRIM(LEFT($A1169,FIND("/",$A1169)-1))),"")))</f>
        <v/>
      </c>
      <c r="C1169">
        <f>IF(OR($A1169="",$B1169=""),"",IF(ISNUMBER($A1169),INT(MOD($A1169,10000)/100),IFERROR(VALUE(TRIM(LEFT(MID($A1169,FIND("/",$A1169)+1,20),FIND("/",MID($A1169,FIND("/",$A1169)+1,20))-1))),"")))</f>
        <v/>
      </c>
      <c r="D1169">
        <f>IF(OR($A1169="",$B1169=""),"",IF(ISNUMBER($A1169),MOD($A1169,100),IFERROR(VALUE(TRIM(MID(MID($A1169,FIND("/",$A1169)+1,20),FIND("/",MID($A1169,FIND("/",$A1169)+1,20))+1,20))),"")))</f>
        <v/>
      </c>
      <c r="E1169">
        <f>IF($A1169="","",IF(OR($B1169="",$C1169="",$D1169="",$B1169&lt;1300,$B1169&gt;1500,$C1169&lt;1,$C1169&gt;12,$D1169&lt;1,$D1169&gt;31),"نامعتبر",RIGHT("0000"&amp;$B1169,4)&amp;"/"&amp;RIGHT("00"&amp;$C1169,2)&amp;"/"&amp;RIGHT("00"&amp;$D1169,2)))</f>
        <v/>
      </c>
      <c r="F1169">
        <f>IF(OR($E1169="",$E1169="نامعتبر"),"",LEFT($E1169,4)&amp;"/"&amp;MID($E1169,6,2))</f>
        <v/>
      </c>
      <c r="G1169">
        <f>IF(OR($E1169="",$E1169="نامعتبر",Sync!$X1165=""),"",IF(AND(LEFT(UPPER(TRIM(Sync!$X1165)),2)="SL",IFERROR(VLOOKUP(Sync!$W1165,OpTbl,3,0),"")="فروش"),UPPER(TRIM(Sync!$X1165)),""))</f>
        <v/>
      </c>
      <c r="H1169">
        <f>IF($G1169="","",IF(Sync!$W1165="","",Sync!$W1165))</f>
        <v/>
      </c>
      <c r="I1169">
        <f>IF(OR($G1169="",Sync!$Y1165=""),"",Sync!$Y1165)</f>
        <v/>
      </c>
      <c r="J1169">
        <f>IF(OR($G1169="",Sync!$Z1165=""),"",Sync!$Z1165)</f>
        <v/>
      </c>
      <c r="K1169">
        <f>IF($G1169="",0,IF(Sync!$AA1165="",0,Sync!$AA1165))</f>
        <v/>
      </c>
      <c r="L1169">
        <f>IF($G1169="",0,IF(Sync!$AB1165="",0,Sync!$AB1165))</f>
        <v/>
      </c>
      <c r="M1169">
        <f>IF($G1169="","",IF($H1169="مرجوعی فروش",-1,1)*($K1169-$L1169*IFERROR(VLOOKUP("P01",ParamTbl,3,0),1.5)))</f>
        <v/>
      </c>
      <c r="N1169">
        <f>IF($G1169="",0,IF($H1169="مرجوعی فروش",-1,1)*IF(Sync!$AC1165="",0,Sync!$AC1165))</f>
        <v/>
      </c>
      <c r="O1169">
        <f>IF(OR($G1169="",Sync!$V1165=""),"",Sync!$V1165)</f>
        <v/>
      </c>
      <c r="P1169">
        <f>IF(OR($G1169="",Sync!$AD1165=""),"",Sync!$AD1165)</f>
        <v/>
      </c>
      <c r="Q1169">
        <f>IF($G1169="","",IF(Sync!$U1165="","0000",IF(AND(ISNUMBER(Sync!$U1165),Sync!$U1165&gt;=0,Sync!$U1165&lt;1),RIGHT("00"&amp;HOUR(Sync!$U1165),2)&amp;RIGHT("00"&amp;MINUTE(Sync!$U1165),2),IFERROR(RIGHT("00"&amp;VALUE(LEFT(Sync!$U1165,FIND(":",Sync!$U1165)-1)),2)&amp;RIGHT("00"&amp;VALUE(MID(Sync!$U1165,FIND(":",Sync!$U1165)+1,2)),2),"0000"))))</f>
        <v/>
      </c>
    </row>
    <row r="1170">
      <c r="A1170">
        <f>IF(Sync!$T1166="","",Sync!$T1166)</f>
        <v/>
      </c>
      <c r="B1170">
        <f>IF($A1170="","",IF(ISNUMBER($A1170),IF(AND($A1170&gt;=10000101,$A1170&lt;=99991231),INT($A1170/10000),""),IFERROR(VALUE(TRIM(LEFT($A1170,FIND("/",$A1170)-1))),"")))</f>
        <v/>
      </c>
      <c r="C1170">
        <f>IF(OR($A1170="",$B1170=""),"",IF(ISNUMBER($A1170),INT(MOD($A1170,10000)/100),IFERROR(VALUE(TRIM(LEFT(MID($A1170,FIND("/",$A1170)+1,20),FIND("/",MID($A1170,FIND("/",$A1170)+1,20))-1))),"")))</f>
        <v/>
      </c>
      <c r="D1170">
        <f>IF(OR($A1170="",$B1170=""),"",IF(ISNUMBER($A1170),MOD($A1170,100),IFERROR(VALUE(TRIM(MID(MID($A1170,FIND("/",$A1170)+1,20),FIND("/",MID($A1170,FIND("/",$A1170)+1,20))+1,20))),"")))</f>
        <v/>
      </c>
      <c r="E1170">
        <f>IF($A1170="","",IF(OR($B1170="",$C1170="",$D1170="",$B1170&lt;1300,$B1170&gt;1500,$C1170&lt;1,$C1170&gt;12,$D1170&lt;1,$D1170&gt;31),"نامعتبر",RIGHT("0000"&amp;$B1170,4)&amp;"/"&amp;RIGHT("00"&amp;$C1170,2)&amp;"/"&amp;RIGHT("00"&amp;$D1170,2)))</f>
        <v/>
      </c>
      <c r="F1170">
        <f>IF(OR($E1170="",$E1170="نامعتبر"),"",LEFT($E1170,4)&amp;"/"&amp;MID($E1170,6,2))</f>
        <v/>
      </c>
      <c r="G1170">
        <f>IF(OR($E1170="",$E1170="نامعتبر",Sync!$X1166=""),"",IF(AND(LEFT(UPPER(TRIM(Sync!$X1166)),2)="SL",IFERROR(VLOOKUP(Sync!$W1166,OpTbl,3,0),"")="فروش"),UPPER(TRIM(Sync!$X1166)),""))</f>
        <v/>
      </c>
      <c r="H1170">
        <f>IF($G1170="","",IF(Sync!$W1166="","",Sync!$W1166))</f>
        <v/>
      </c>
      <c r="I1170">
        <f>IF(OR($G1170="",Sync!$Y1166=""),"",Sync!$Y1166)</f>
        <v/>
      </c>
      <c r="J1170">
        <f>IF(OR($G1170="",Sync!$Z1166=""),"",Sync!$Z1166)</f>
        <v/>
      </c>
      <c r="K1170">
        <f>IF($G1170="",0,IF(Sync!$AA1166="",0,Sync!$AA1166))</f>
        <v/>
      </c>
      <c r="L1170">
        <f>IF($G1170="",0,IF(Sync!$AB1166="",0,Sync!$AB1166))</f>
        <v/>
      </c>
      <c r="M1170">
        <f>IF($G1170="","",IF($H1170="مرجوعی فروش",-1,1)*($K1170-$L1170*IFERROR(VLOOKUP("P01",ParamTbl,3,0),1.5)))</f>
        <v/>
      </c>
      <c r="N1170">
        <f>IF($G1170="",0,IF($H1170="مرجوعی فروش",-1,1)*IF(Sync!$AC1166="",0,Sync!$AC1166))</f>
        <v/>
      </c>
      <c r="O1170">
        <f>IF(OR($G1170="",Sync!$V1166=""),"",Sync!$V1166)</f>
        <v/>
      </c>
      <c r="P1170">
        <f>IF(OR($G1170="",Sync!$AD1166=""),"",Sync!$AD1166)</f>
        <v/>
      </c>
      <c r="Q1170">
        <f>IF($G1170="","",IF(Sync!$U1166="","0000",IF(AND(ISNUMBER(Sync!$U1166),Sync!$U1166&gt;=0,Sync!$U1166&lt;1),RIGHT("00"&amp;HOUR(Sync!$U1166),2)&amp;RIGHT("00"&amp;MINUTE(Sync!$U1166),2),IFERROR(RIGHT("00"&amp;VALUE(LEFT(Sync!$U1166,FIND(":",Sync!$U1166)-1)),2)&amp;RIGHT("00"&amp;VALUE(MID(Sync!$U1166,FIND(":",Sync!$U1166)+1,2)),2),"0000"))))</f>
        <v/>
      </c>
    </row>
    <row r="1171">
      <c r="A1171">
        <f>IF(Sync!$T1167="","",Sync!$T1167)</f>
        <v/>
      </c>
      <c r="B1171">
        <f>IF($A1171="","",IF(ISNUMBER($A1171),IF(AND($A1171&gt;=10000101,$A1171&lt;=99991231),INT($A1171/10000),""),IFERROR(VALUE(TRIM(LEFT($A1171,FIND("/",$A1171)-1))),"")))</f>
        <v/>
      </c>
      <c r="C1171">
        <f>IF(OR($A1171="",$B1171=""),"",IF(ISNUMBER($A1171),INT(MOD($A1171,10000)/100),IFERROR(VALUE(TRIM(LEFT(MID($A1171,FIND("/",$A1171)+1,20),FIND("/",MID($A1171,FIND("/",$A1171)+1,20))-1))),"")))</f>
        <v/>
      </c>
      <c r="D1171">
        <f>IF(OR($A1171="",$B1171=""),"",IF(ISNUMBER($A1171),MOD($A1171,100),IFERROR(VALUE(TRIM(MID(MID($A1171,FIND("/",$A1171)+1,20),FIND("/",MID($A1171,FIND("/",$A1171)+1,20))+1,20))),"")))</f>
        <v/>
      </c>
      <c r="E1171">
        <f>IF($A1171="","",IF(OR($B1171="",$C1171="",$D1171="",$B1171&lt;1300,$B1171&gt;1500,$C1171&lt;1,$C1171&gt;12,$D1171&lt;1,$D1171&gt;31),"نامعتبر",RIGHT("0000"&amp;$B1171,4)&amp;"/"&amp;RIGHT("00"&amp;$C1171,2)&amp;"/"&amp;RIGHT("00"&amp;$D1171,2)))</f>
        <v/>
      </c>
      <c r="F1171">
        <f>IF(OR($E1171="",$E1171="نامعتبر"),"",LEFT($E1171,4)&amp;"/"&amp;MID($E1171,6,2))</f>
        <v/>
      </c>
      <c r="G1171">
        <f>IF(OR($E1171="",$E1171="نامعتبر",Sync!$X1167=""),"",IF(AND(LEFT(UPPER(TRIM(Sync!$X1167)),2)="SL",IFERROR(VLOOKUP(Sync!$W1167,OpTbl,3,0),"")="فروش"),UPPER(TRIM(Sync!$X1167)),""))</f>
        <v/>
      </c>
      <c r="H1171">
        <f>IF($G1171="","",IF(Sync!$W1167="","",Sync!$W1167))</f>
        <v/>
      </c>
      <c r="I1171">
        <f>IF(OR($G1171="",Sync!$Y1167=""),"",Sync!$Y1167)</f>
        <v/>
      </c>
      <c r="J1171">
        <f>IF(OR($G1171="",Sync!$Z1167=""),"",Sync!$Z1167)</f>
        <v/>
      </c>
      <c r="K1171">
        <f>IF($G1171="",0,IF(Sync!$AA1167="",0,Sync!$AA1167))</f>
        <v/>
      </c>
      <c r="L1171">
        <f>IF($G1171="",0,IF(Sync!$AB1167="",0,Sync!$AB1167))</f>
        <v/>
      </c>
      <c r="M1171">
        <f>IF($G1171="","",IF($H1171="مرجوعی فروش",-1,1)*($K1171-$L1171*IFERROR(VLOOKUP("P01",ParamTbl,3,0),1.5)))</f>
        <v/>
      </c>
      <c r="N1171">
        <f>IF($G1171="",0,IF($H1171="مرجوعی فروش",-1,1)*IF(Sync!$AC1167="",0,Sync!$AC1167))</f>
        <v/>
      </c>
      <c r="O1171">
        <f>IF(OR($G1171="",Sync!$V1167=""),"",Sync!$V1167)</f>
        <v/>
      </c>
      <c r="P1171">
        <f>IF(OR($G1171="",Sync!$AD1167=""),"",Sync!$AD1167)</f>
        <v/>
      </c>
      <c r="Q1171">
        <f>IF($G1171="","",IF(Sync!$U1167="","0000",IF(AND(ISNUMBER(Sync!$U1167),Sync!$U1167&gt;=0,Sync!$U1167&lt;1),RIGHT("00"&amp;HOUR(Sync!$U1167),2)&amp;RIGHT("00"&amp;MINUTE(Sync!$U1167),2),IFERROR(RIGHT("00"&amp;VALUE(LEFT(Sync!$U1167,FIND(":",Sync!$U1167)-1)),2)&amp;RIGHT("00"&amp;VALUE(MID(Sync!$U1167,FIND(":",Sync!$U1167)+1,2)),2),"0000"))))</f>
        <v/>
      </c>
    </row>
    <row r="1172">
      <c r="A1172">
        <f>IF(Sync!$T1168="","",Sync!$T1168)</f>
        <v/>
      </c>
      <c r="B1172">
        <f>IF($A1172="","",IF(ISNUMBER($A1172),IF(AND($A1172&gt;=10000101,$A1172&lt;=99991231),INT($A1172/10000),""),IFERROR(VALUE(TRIM(LEFT($A1172,FIND("/",$A1172)-1))),"")))</f>
        <v/>
      </c>
      <c r="C1172">
        <f>IF(OR($A1172="",$B1172=""),"",IF(ISNUMBER($A1172),INT(MOD($A1172,10000)/100),IFERROR(VALUE(TRIM(LEFT(MID($A1172,FIND("/",$A1172)+1,20),FIND("/",MID($A1172,FIND("/",$A1172)+1,20))-1))),"")))</f>
        <v/>
      </c>
      <c r="D1172">
        <f>IF(OR($A1172="",$B1172=""),"",IF(ISNUMBER($A1172),MOD($A1172,100),IFERROR(VALUE(TRIM(MID(MID($A1172,FIND("/",$A1172)+1,20),FIND("/",MID($A1172,FIND("/",$A1172)+1,20))+1,20))),"")))</f>
        <v/>
      </c>
      <c r="E1172">
        <f>IF($A1172="","",IF(OR($B1172="",$C1172="",$D1172="",$B1172&lt;1300,$B1172&gt;1500,$C1172&lt;1,$C1172&gt;12,$D1172&lt;1,$D1172&gt;31),"نامعتبر",RIGHT("0000"&amp;$B1172,4)&amp;"/"&amp;RIGHT("00"&amp;$C1172,2)&amp;"/"&amp;RIGHT("00"&amp;$D1172,2)))</f>
        <v/>
      </c>
      <c r="F1172">
        <f>IF(OR($E1172="",$E1172="نامعتبر"),"",LEFT($E1172,4)&amp;"/"&amp;MID($E1172,6,2))</f>
        <v/>
      </c>
      <c r="G1172">
        <f>IF(OR($E1172="",$E1172="نامعتبر",Sync!$X1168=""),"",IF(AND(LEFT(UPPER(TRIM(Sync!$X1168)),2)="SL",IFERROR(VLOOKUP(Sync!$W1168,OpTbl,3,0),"")="فروش"),UPPER(TRIM(Sync!$X1168)),""))</f>
        <v/>
      </c>
      <c r="H1172">
        <f>IF($G1172="","",IF(Sync!$W1168="","",Sync!$W1168))</f>
        <v/>
      </c>
      <c r="I1172">
        <f>IF(OR($G1172="",Sync!$Y1168=""),"",Sync!$Y1168)</f>
        <v/>
      </c>
      <c r="J1172">
        <f>IF(OR($G1172="",Sync!$Z1168=""),"",Sync!$Z1168)</f>
        <v/>
      </c>
      <c r="K1172">
        <f>IF($G1172="",0,IF(Sync!$AA1168="",0,Sync!$AA1168))</f>
        <v/>
      </c>
      <c r="L1172">
        <f>IF($G1172="",0,IF(Sync!$AB1168="",0,Sync!$AB1168))</f>
        <v/>
      </c>
      <c r="M1172">
        <f>IF($G1172="","",IF($H1172="مرجوعی فروش",-1,1)*($K1172-$L1172*IFERROR(VLOOKUP("P01",ParamTbl,3,0),1.5)))</f>
        <v/>
      </c>
      <c r="N1172">
        <f>IF($G1172="",0,IF($H1172="مرجوعی فروش",-1,1)*IF(Sync!$AC1168="",0,Sync!$AC1168))</f>
        <v/>
      </c>
      <c r="O1172">
        <f>IF(OR($G1172="",Sync!$V1168=""),"",Sync!$V1168)</f>
        <v/>
      </c>
      <c r="P1172">
        <f>IF(OR($G1172="",Sync!$AD1168=""),"",Sync!$AD1168)</f>
        <v/>
      </c>
      <c r="Q1172">
        <f>IF($G1172="","",IF(Sync!$U1168="","0000",IF(AND(ISNUMBER(Sync!$U1168),Sync!$U1168&gt;=0,Sync!$U1168&lt;1),RIGHT("00"&amp;HOUR(Sync!$U1168),2)&amp;RIGHT("00"&amp;MINUTE(Sync!$U1168),2),IFERROR(RIGHT("00"&amp;VALUE(LEFT(Sync!$U1168,FIND(":",Sync!$U1168)-1)),2)&amp;RIGHT("00"&amp;VALUE(MID(Sync!$U1168,FIND(":",Sync!$U1168)+1,2)),2),"0000"))))</f>
        <v/>
      </c>
    </row>
    <row r="1173">
      <c r="A1173">
        <f>IF(Sync!$T1169="","",Sync!$T1169)</f>
        <v/>
      </c>
      <c r="B1173">
        <f>IF($A1173="","",IF(ISNUMBER($A1173),IF(AND($A1173&gt;=10000101,$A1173&lt;=99991231),INT($A1173/10000),""),IFERROR(VALUE(TRIM(LEFT($A1173,FIND("/",$A1173)-1))),"")))</f>
        <v/>
      </c>
      <c r="C1173">
        <f>IF(OR($A1173="",$B1173=""),"",IF(ISNUMBER($A1173),INT(MOD($A1173,10000)/100),IFERROR(VALUE(TRIM(LEFT(MID($A1173,FIND("/",$A1173)+1,20),FIND("/",MID($A1173,FIND("/",$A1173)+1,20))-1))),"")))</f>
        <v/>
      </c>
      <c r="D1173">
        <f>IF(OR($A1173="",$B1173=""),"",IF(ISNUMBER($A1173),MOD($A1173,100),IFERROR(VALUE(TRIM(MID(MID($A1173,FIND("/",$A1173)+1,20),FIND("/",MID($A1173,FIND("/",$A1173)+1,20))+1,20))),"")))</f>
        <v/>
      </c>
      <c r="E1173">
        <f>IF($A1173="","",IF(OR($B1173="",$C1173="",$D1173="",$B1173&lt;1300,$B1173&gt;1500,$C1173&lt;1,$C1173&gt;12,$D1173&lt;1,$D1173&gt;31),"نامعتبر",RIGHT("0000"&amp;$B1173,4)&amp;"/"&amp;RIGHT("00"&amp;$C1173,2)&amp;"/"&amp;RIGHT("00"&amp;$D1173,2)))</f>
        <v/>
      </c>
      <c r="F1173">
        <f>IF(OR($E1173="",$E1173="نامعتبر"),"",LEFT($E1173,4)&amp;"/"&amp;MID($E1173,6,2))</f>
        <v/>
      </c>
      <c r="G1173">
        <f>IF(OR($E1173="",$E1173="نامعتبر",Sync!$X1169=""),"",IF(AND(LEFT(UPPER(TRIM(Sync!$X1169)),2)="SL",IFERROR(VLOOKUP(Sync!$W1169,OpTbl,3,0),"")="فروش"),UPPER(TRIM(Sync!$X1169)),""))</f>
        <v/>
      </c>
      <c r="H1173">
        <f>IF($G1173="","",IF(Sync!$W1169="","",Sync!$W1169))</f>
        <v/>
      </c>
      <c r="I1173">
        <f>IF(OR($G1173="",Sync!$Y1169=""),"",Sync!$Y1169)</f>
        <v/>
      </c>
      <c r="J1173">
        <f>IF(OR($G1173="",Sync!$Z1169=""),"",Sync!$Z1169)</f>
        <v/>
      </c>
      <c r="K1173">
        <f>IF($G1173="",0,IF(Sync!$AA1169="",0,Sync!$AA1169))</f>
        <v/>
      </c>
      <c r="L1173">
        <f>IF($G1173="",0,IF(Sync!$AB1169="",0,Sync!$AB1169))</f>
        <v/>
      </c>
      <c r="M1173">
        <f>IF($G1173="","",IF($H1173="مرجوعی فروش",-1,1)*($K1173-$L1173*IFERROR(VLOOKUP("P01",ParamTbl,3,0),1.5)))</f>
        <v/>
      </c>
      <c r="N1173">
        <f>IF($G1173="",0,IF($H1173="مرجوعی فروش",-1,1)*IF(Sync!$AC1169="",0,Sync!$AC1169))</f>
        <v/>
      </c>
      <c r="O1173">
        <f>IF(OR($G1173="",Sync!$V1169=""),"",Sync!$V1169)</f>
        <v/>
      </c>
      <c r="P1173">
        <f>IF(OR($G1173="",Sync!$AD1169=""),"",Sync!$AD1169)</f>
        <v/>
      </c>
      <c r="Q1173">
        <f>IF($G1173="","",IF(Sync!$U1169="","0000",IF(AND(ISNUMBER(Sync!$U1169),Sync!$U1169&gt;=0,Sync!$U1169&lt;1),RIGHT("00"&amp;HOUR(Sync!$U1169),2)&amp;RIGHT("00"&amp;MINUTE(Sync!$U1169),2),IFERROR(RIGHT("00"&amp;VALUE(LEFT(Sync!$U1169,FIND(":",Sync!$U1169)-1)),2)&amp;RIGHT("00"&amp;VALUE(MID(Sync!$U1169,FIND(":",Sync!$U1169)+1,2)),2),"0000"))))</f>
        <v/>
      </c>
    </row>
    <row r="1174">
      <c r="A1174">
        <f>IF(Sync!$T1170="","",Sync!$T1170)</f>
        <v/>
      </c>
      <c r="B1174">
        <f>IF($A1174="","",IF(ISNUMBER($A1174),IF(AND($A1174&gt;=10000101,$A1174&lt;=99991231),INT($A1174/10000),""),IFERROR(VALUE(TRIM(LEFT($A1174,FIND("/",$A1174)-1))),"")))</f>
        <v/>
      </c>
      <c r="C1174">
        <f>IF(OR($A1174="",$B1174=""),"",IF(ISNUMBER($A1174),INT(MOD($A1174,10000)/100),IFERROR(VALUE(TRIM(LEFT(MID($A1174,FIND("/",$A1174)+1,20),FIND("/",MID($A1174,FIND("/",$A1174)+1,20))-1))),"")))</f>
        <v/>
      </c>
      <c r="D1174">
        <f>IF(OR($A1174="",$B1174=""),"",IF(ISNUMBER($A1174),MOD($A1174,100),IFERROR(VALUE(TRIM(MID(MID($A1174,FIND("/",$A1174)+1,20),FIND("/",MID($A1174,FIND("/",$A1174)+1,20))+1,20))),"")))</f>
        <v/>
      </c>
      <c r="E1174">
        <f>IF($A1174="","",IF(OR($B1174="",$C1174="",$D1174="",$B1174&lt;1300,$B1174&gt;1500,$C1174&lt;1,$C1174&gt;12,$D1174&lt;1,$D1174&gt;31),"نامعتبر",RIGHT("0000"&amp;$B1174,4)&amp;"/"&amp;RIGHT("00"&amp;$C1174,2)&amp;"/"&amp;RIGHT("00"&amp;$D1174,2)))</f>
        <v/>
      </c>
      <c r="F1174">
        <f>IF(OR($E1174="",$E1174="نامعتبر"),"",LEFT($E1174,4)&amp;"/"&amp;MID($E1174,6,2))</f>
        <v/>
      </c>
      <c r="G1174">
        <f>IF(OR($E1174="",$E1174="نامعتبر",Sync!$X1170=""),"",IF(AND(LEFT(UPPER(TRIM(Sync!$X1170)),2)="SL",IFERROR(VLOOKUP(Sync!$W1170,OpTbl,3,0),"")="فروش"),UPPER(TRIM(Sync!$X1170)),""))</f>
        <v/>
      </c>
      <c r="H1174">
        <f>IF($G1174="","",IF(Sync!$W1170="","",Sync!$W1170))</f>
        <v/>
      </c>
      <c r="I1174">
        <f>IF(OR($G1174="",Sync!$Y1170=""),"",Sync!$Y1170)</f>
        <v/>
      </c>
      <c r="J1174">
        <f>IF(OR($G1174="",Sync!$Z1170=""),"",Sync!$Z1170)</f>
        <v/>
      </c>
      <c r="K1174">
        <f>IF($G1174="",0,IF(Sync!$AA1170="",0,Sync!$AA1170))</f>
        <v/>
      </c>
      <c r="L1174">
        <f>IF($G1174="",0,IF(Sync!$AB1170="",0,Sync!$AB1170))</f>
        <v/>
      </c>
      <c r="M1174">
        <f>IF($G1174="","",IF($H1174="مرجوعی فروش",-1,1)*($K1174-$L1174*IFERROR(VLOOKUP("P01",ParamTbl,3,0),1.5)))</f>
        <v/>
      </c>
      <c r="N1174">
        <f>IF($G1174="",0,IF($H1174="مرجوعی فروش",-1,1)*IF(Sync!$AC1170="",0,Sync!$AC1170))</f>
        <v/>
      </c>
      <c r="O1174">
        <f>IF(OR($G1174="",Sync!$V1170=""),"",Sync!$V1170)</f>
        <v/>
      </c>
      <c r="P1174">
        <f>IF(OR($G1174="",Sync!$AD1170=""),"",Sync!$AD1170)</f>
        <v/>
      </c>
      <c r="Q1174">
        <f>IF($G1174="","",IF(Sync!$U1170="","0000",IF(AND(ISNUMBER(Sync!$U1170),Sync!$U1170&gt;=0,Sync!$U1170&lt;1),RIGHT("00"&amp;HOUR(Sync!$U1170),2)&amp;RIGHT("00"&amp;MINUTE(Sync!$U1170),2),IFERROR(RIGHT("00"&amp;VALUE(LEFT(Sync!$U1170,FIND(":",Sync!$U1170)-1)),2)&amp;RIGHT("00"&amp;VALUE(MID(Sync!$U1170,FIND(":",Sync!$U1170)+1,2)),2),"0000"))))</f>
        <v/>
      </c>
    </row>
    <row r="1175">
      <c r="A1175">
        <f>IF(Sync!$T1171="","",Sync!$T1171)</f>
        <v/>
      </c>
      <c r="B1175">
        <f>IF($A1175="","",IF(ISNUMBER($A1175),IF(AND($A1175&gt;=10000101,$A1175&lt;=99991231),INT($A1175/10000),""),IFERROR(VALUE(TRIM(LEFT($A1175,FIND("/",$A1175)-1))),"")))</f>
        <v/>
      </c>
      <c r="C1175">
        <f>IF(OR($A1175="",$B1175=""),"",IF(ISNUMBER($A1175),INT(MOD($A1175,10000)/100),IFERROR(VALUE(TRIM(LEFT(MID($A1175,FIND("/",$A1175)+1,20),FIND("/",MID($A1175,FIND("/",$A1175)+1,20))-1))),"")))</f>
        <v/>
      </c>
      <c r="D1175">
        <f>IF(OR($A1175="",$B1175=""),"",IF(ISNUMBER($A1175),MOD($A1175,100),IFERROR(VALUE(TRIM(MID(MID($A1175,FIND("/",$A1175)+1,20),FIND("/",MID($A1175,FIND("/",$A1175)+1,20))+1,20))),"")))</f>
        <v/>
      </c>
      <c r="E1175">
        <f>IF($A1175="","",IF(OR($B1175="",$C1175="",$D1175="",$B1175&lt;1300,$B1175&gt;1500,$C1175&lt;1,$C1175&gt;12,$D1175&lt;1,$D1175&gt;31),"نامعتبر",RIGHT("0000"&amp;$B1175,4)&amp;"/"&amp;RIGHT("00"&amp;$C1175,2)&amp;"/"&amp;RIGHT("00"&amp;$D1175,2)))</f>
        <v/>
      </c>
      <c r="F1175">
        <f>IF(OR($E1175="",$E1175="نامعتبر"),"",LEFT($E1175,4)&amp;"/"&amp;MID($E1175,6,2))</f>
        <v/>
      </c>
      <c r="G1175">
        <f>IF(OR($E1175="",$E1175="نامعتبر",Sync!$X1171=""),"",IF(AND(LEFT(UPPER(TRIM(Sync!$X1171)),2)="SL",IFERROR(VLOOKUP(Sync!$W1171,OpTbl,3,0),"")="فروش"),UPPER(TRIM(Sync!$X1171)),""))</f>
        <v/>
      </c>
      <c r="H1175">
        <f>IF($G1175="","",IF(Sync!$W1171="","",Sync!$W1171))</f>
        <v/>
      </c>
      <c r="I1175">
        <f>IF(OR($G1175="",Sync!$Y1171=""),"",Sync!$Y1171)</f>
        <v/>
      </c>
      <c r="J1175">
        <f>IF(OR($G1175="",Sync!$Z1171=""),"",Sync!$Z1171)</f>
        <v/>
      </c>
      <c r="K1175">
        <f>IF($G1175="",0,IF(Sync!$AA1171="",0,Sync!$AA1171))</f>
        <v/>
      </c>
      <c r="L1175">
        <f>IF($G1175="",0,IF(Sync!$AB1171="",0,Sync!$AB1171))</f>
        <v/>
      </c>
      <c r="M1175">
        <f>IF($G1175="","",IF($H1175="مرجوعی فروش",-1,1)*($K1175-$L1175*IFERROR(VLOOKUP("P01",ParamTbl,3,0),1.5)))</f>
        <v/>
      </c>
      <c r="N1175">
        <f>IF($G1175="",0,IF($H1175="مرجوعی فروش",-1,1)*IF(Sync!$AC1171="",0,Sync!$AC1171))</f>
        <v/>
      </c>
      <c r="O1175">
        <f>IF(OR($G1175="",Sync!$V1171=""),"",Sync!$V1171)</f>
        <v/>
      </c>
      <c r="P1175">
        <f>IF(OR($G1175="",Sync!$AD1171=""),"",Sync!$AD1171)</f>
        <v/>
      </c>
      <c r="Q1175">
        <f>IF($G1175="","",IF(Sync!$U1171="","0000",IF(AND(ISNUMBER(Sync!$U1171),Sync!$U1171&gt;=0,Sync!$U1171&lt;1),RIGHT("00"&amp;HOUR(Sync!$U1171),2)&amp;RIGHT("00"&amp;MINUTE(Sync!$U1171),2),IFERROR(RIGHT("00"&amp;VALUE(LEFT(Sync!$U1171,FIND(":",Sync!$U1171)-1)),2)&amp;RIGHT("00"&amp;VALUE(MID(Sync!$U1171,FIND(":",Sync!$U1171)+1,2)),2),"0000"))))</f>
        <v/>
      </c>
    </row>
    <row r="1176">
      <c r="A1176">
        <f>IF(Sync!$T1172="","",Sync!$T1172)</f>
        <v/>
      </c>
      <c r="B1176">
        <f>IF($A1176="","",IF(ISNUMBER($A1176),IF(AND($A1176&gt;=10000101,$A1176&lt;=99991231),INT($A1176/10000),""),IFERROR(VALUE(TRIM(LEFT($A1176,FIND("/",$A1176)-1))),"")))</f>
        <v/>
      </c>
      <c r="C1176">
        <f>IF(OR($A1176="",$B1176=""),"",IF(ISNUMBER($A1176),INT(MOD($A1176,10000)/100),IFERROR(VALUE(TRIM(LEFT(MID($A1176,FIND("/",$A1176)+1,20),FIND("/",MID($A1176,FIND("/",$A1176)+1,20))-1))),"")))</f>
        <v/>
      </c>
      <c r="D1176">
        <f>IF(OR($A1176="",$B1176=""),"",IF(ISNUMBER($A1176),MOD($A1176,100),IFERROR(VALUE(TRIM(MID(MID($A1176,FIND("/",$A1176)+1,20),FIND("/",MID($A1176,FIND("/",$A1176)+1,20))+1,20))),"")))</f>
        <v/>
      </c>
      <c r="E1176">
        <f>IF($A1176="","",IF(OR($B1176="",$C1176="",$D1176="",$B1176&lt;1300,$B1176&gt;1500,$C1176&lt;1,$C1176&gt;12,$D1176&lt;1,$D1176&gt;31),"نامعتبر",RIGHT("0000"&amp;$B1176,4)&amp;"/"&amp;RIGHT("00"&amp;$C1176,2)&amp;"/"&amp;RIGHT("00"&amp;$D1176,2)))</f>
        <v/>
      </c>
      <c r="F1176">
        <f>IF(OR($E1176="",$E1176="نامعتبر"),"",LEFT($E1176,4)&amp;"/"&amp;MID($E1176,6,2))</f>
        <v/>
      </c>
      <c r="G1176">
        <f>IF(OR($E1176="",$E1176="نامعتبر",Sync!$X1172=""),"",IF(AND(LEFT(UPPER(TRIM(Sync!$X1172)),2)="SL",IFERROR(VLOOKUP(Sync!$W1172,OpTbl,3,0),"")="فروش"),UPPER(TRIM(Sync!$X1172)),""))</f>
        <v/>
      </c>
      <c r="H1176">
        <f>IF($G1176="","",IF(Sync!$W1172="","",Sync!$W1172))</f>
        <v/>
      </c>
      <c r="I1176">
        <f>IF(OR($G1176="",Sync!$Y1172=""),"",Sync!$Y1172)</f>
        <v/>
      </c>
      <c r="J1176">
        <f>IF(OR($G1176="",Sync!$Z1172=""),"",Sync!$Z1172)</f>
        <v/>
      </c>
      <c r="K1176">
        <f>IF($G1176="",0,IF(Sync!$AA1172="",0,Sync!$AA1172))</f>
        <v/>
      </c>
      <c r="L1176">
        <f>IF($G1176="",0,IF(Sync!$AB1172="",0,Sync!$AB1172))</f>
        <v/>
      </c>
      <c r="M1176">
        <f>IF($G1176="","",IF($H1176="مرجوعی فروش",-1,1)*($K1176-$L1176*IFERROR(VLOOKUP("P01",ParamTbl,3,0),1.5)))</f>
        <v/>
      </c>
      <c r="N1176">
        <f>IF($G1176="",0,IF($H1176="مرجوعی فروش",-1,1)*IF(Sync!$AC1172="",0,Sync!$AC1172))</f>
        <v/>
      </c>
      <c r="O1176">
        <f>IF(OR($G1176="",Sync!$V1172=""),"",Sync!$V1172)</f>
        <v/>
      </c>
      <c r="P1176">
        <f>IF(OR($G1176="",Sync!$AD1172=""),"",Sync!$AD1172)</f>
        <v/>
      </c>
      <c r="Q1176">
        <f>IF($G1176="","",IF(Sync!$U1172="","0000",IF(AND(ISNUMBER(Sync!$U1172),Sync!$U1172&gt;=0,Sync!$U1172&lt;1),RIGHT("00"&amp;HOUR(Sync!$U1172),2)&amp;RIGHT("00"&amp;MINUTE(Sync!$U1172),2),IFERROR(RIGHT("00"&amp;VALUE(LEFT(Sync!$U1172,FIND(":",Sync!$U1172)-1)),2)&amp;RIGHT("00"&amp;VALUE(MID(Sync!$U1172,FIND(":",Sync!$U1172)+1,2)),2),"0000"))))</f>
        <v/>
      </c>
    </row>
    <row r="1177">
      <c r="A1177">
        <f>IF(Sync!$T1173="","",Sync!$T1173)</f>
        <v/>
      </c>
      <c r="B1177">
        <f>IF($A1177="","",IF(ISNUMBER($A1177),IF(AND($A1177&gt;=10000101,$A1177&lt;=99991231),INT($A1177/10000),""),IFERROR(VALUE(TRIM(LEFT($A1177,FIND("/",$A1177)-1))),"")))</f>
        <v/>
      </c>
      <c r="C1177">
        <f>IF(OR($A1177="",$B1177=""),"",IF(ISNUMBER($A1177),INT(MOD($A1177,10000)/100),IFERROR(VALUE(TRIM(LEFT(MID($A1177,FIND("/",$A1177)+1,20),FIND("/",MID($A1177,FIND("/",$A1177)+1,20))-1))),"")))</f>
        <v/>
      </c>
      <c r="D1177">
        <f>IF(OR($A1177="",$B1177=""),"",IF(ISNUMBER($A1177),MOD($A1177,100),IFERROR(VALUE(TRIM(MID(MID($A1177,FIND("/",$A1177)+1,20),FIND("/",MID($A1177,FIND("/",$A1177)+1,20))+1,20))),"")))</f>
        <v/>
      </c>
      <c r="E1177">
        <f>IF($A1177="","",IF(OR($B1177="",$C1177="",$D1177="",$B1177&lt;1300,$B1177&gt;1500,$C1177&lt;1,$C1177&gt;12,$D1177&lt;1,$D1177&gt;31),"نامعتبر",RIGHT("0000"&amp;$B1177,4)&amp;"/"&amp;RIGHT("00"&amp;$C1177,2)&amp;"/"&amp;RIGHT("00"&amp;$D1177,2)))</f>
        <v/>
      </c>
      <c r="F1177">
        <f>IF(OR($E1177="",$E1177="نامعتبر"),"",LEFT($E1177,4)&amp;"/"&amp;MID($E1177,6,2))</f>
        <v/>
      </c>
      <c r="G1177">
        <f>IF(OR($E1177="",$E1177="نامعتبر",Sync!$X1173=""),"",IF(AND(LEFT(UPPER(TRIM(Sync!$X1173)),2)="SL",IFERROR(VLOOKUP(Sync!$W1173,OpTbl,3,0),"")="فروش"),UPPER(TRIM(Sync!$X1173)),""))</f>
        <v/>
      </c>
      <c r="H1177">
        <f>IF($G1177="","",IF(Sync!$W1173="","",Sync!$W1173))</f>
        <v/>
      </c>
      <c r="I1177">
        <f>IF(OR($G1177="",Sync!$Y1173=""),"",Sync!$Y1173)</f>
        <v/>
      </c>
      <c r="J1177">
        <f>IF(OR($G1177="",Sync!$Z1173=""),"",Sync!$Z1173)</f>
        <v/>
      </c>
      <c r="K1177">
        <f>IF($G1177="",0,IF(Sync!$AA1173="",0,Sync!$AA1173))</f>
        <v/>
      </c>
      <c r="L1177">
        <f>IF($G1177="",0,IF(Sync!$AB1173="",0,Sync!$AB1173))</f>
        <v/>
      </c>
      <c r="M1177">
        <f>IF($G1177="","",IF($H1177="مرجوعی فروش",-1,1)*($K1177-$L1177*IFERROR(VLOOKUP("P01",ParamTbl,3,0),1.5)))</f>
        <v/>
      </c>
      <c r="N1177">
        <f>IF($G1177="",0,IF($H1177="مرجوعی فروش",-1,1)*IF(Sync!$AC1173="",0,Sync!$AC1173))</f>
        <v/>
      </c>
      <c r="O1177">
        <f>IF(OR($G1177="",Sync!$V1173=""),"",Sync!$V1173)</f>
        <v/>
      </c>
      <c r="P1177">
        <f>IF(OR($G1177="",Sync!$AD1173=""),"",Sync!$AD1173)</f>
        <v/>
      </c>
      <c r="Q1177">
        <f>IF($G1177="","",IF(Sync!$U1173="","0000",IF(AND(ISNUMBER(Sync!$U1173),Sync!$U1173&gt;=0,Sync!$U1173&lt;1),RIGHT("00"&amp;HOUR(Sync!$U1173),2)&amp;RIGHT("00"&amp;MINUTE(Sync!$U1173),2),IFERROR(RIGHT("00"&amp;VALUE(LEFT(Sync!$U1173,FIND(":",Sync!$U1173)-1)),2)&amp;RIGHT("00"&amp;VALUE(MID(Sync!$U1173,FIND(":",Sync!$U1173)+1,2)),2),"0000"))))</f>
        <v/>
      </c>
    </row>
    <row r="1178">
      <c r="A1178">
        <f>IF(Sync!$T1174="","",Sync!$T1174)</f>
        <v/>
      </c>
      <c r="B1178">
        <f>IF($A1178="","",IF(ISNUMBER($A1178),IF(AND($A1178&gt;=10000101,$A1178&lt;=99991231),INT($A1178/10000),""),IFERROR(VALUE(TRIM(LEFT($A1178,FIND("/",$A1178)-1))),"")))</f>
        <v/>
      </c>
      <c r="C1178">
        <f>IF(OR($A1178="",$B1178=""),"",IF(ISNUMBER($A1178),INT(MOD($A1178,10000)/100),IFERROR(VALUE(TRIM(LEFT(MID($A1178,FIND("/",$A1178)+1,20),FIND("/",MID($A1178,FIND("/",$A1178)+1,20))-1))),"")))</f>
        <v/>
      </c>
      <c r="D1178">
        <f>IF(OR($A1178="",$B1178=""),"",IF(ISNUMBER($A1178),MOD($A1178,100),IFERROR(VALUE(TRIM(MID(MID($A1178,FIND("/",$A1178)+1,20),FIND("/",MID($A1178,FIND("/",$A1178)+1,20))+1,20))),"")))</f>
        <v/>
      </c>
      <c r="E1178">
        <f>IF($A1178="","",IF(OR($B1178="",$C1178="",$D1178="",$B1178&lt;1300,$B1178&gt;1500,$C1178&lt;1,$C1178&gt;12,$D1178&lt;1,$D1178&gt;31),"نامعتبر",RIGHT("0000"&amp;$B1178,4)&amp;"/"&amp;RIGHT("00"&amp;$C1178,2)&amp;"/"&amp;RIGHT("00"&amp;$D1178,2)))</f>
        <v/>
      </c>
      <c r="F1178">
        <f>IF(OR($E1178="",$E1178="نامعتبر"),"",LEFT($E1178,4)&amp;"/"&amp;MID($E1178,6,2))</f>
        <v/>
      </c>
      <c r="G1178">
        <f>IF(OR($E1178="",$E1178="نامعتبر",Sync!$X1174=""),"",IF(AND(LEFT(UPPER(TRIM(Sync!$X1174)),2)="SL",IFERROR(VLOOKUP(Sync!$W1174,OpTbl,3,0),"")="فروش"),UPPER(TRIM(Sync!$X1174)),""))</f>
        <v/>
      </c>
      <c r="H1178">
        <f>IF($G1178="","",IF(Sync!$W1174="","",Sync!$W1174))</f>
        <v/>
      </c>
      <c r="I1178">
        <f>IF(OR($G1178="",Sync!$Y1174=""),"",Sync!$Y1174)</f>
        <v/>
      </c>
      <c r="J1178">
        <f>IF(OR($G1178="",Sync!$Z1174=""),"",Sync!$Z1174)</f>
        <v/>
      </c>
      <c r="K1178">
        <f>IF($G1178="",0,IF(Sync!$AA1174="",0,Sync!$AA1174))</f>
        <v/>
      </c>
      <c r="L1178">
        <f>IF($G1178="",0,IF(Sync!$AB1174="",0,Sync!$AB1174))</f>
        <v/>
      </c>
      <c r="M1178">
        <f>IF($G1178="","",IF($H1178="مرجوعی فروش",-1,1)*($K1178-$L1178*IFERROR(VLOOKUP("P01",ParamTbl,3,0),1.5)))</f>
        <v/>
      </c>
      <c r="N1178">
        <f>IF($G1178="",0,IF($H1178="مرجوعی فروش",-1,1)*IF(Sync!$AC1174="",0,Sync!$AC1174))</f>
        <v/>
      </c>
      <c r="O1178">
        <f>IF(OR($G1178="",Sync!$V1174=""),"",Sync!$V1174)</f>
        <v/>
      </c>
      <c r="P1178">
        <f>IF(OR($G1178="",Sync!$AD1174=""),"",Sync!$AD1174)</f>
        <v/>
      </c>
      <c r="Q1178">
        <f>IF($G1178="","",IF(Sync!$U1174="","0000",IF(AND(ISNUMBER(Sync!$U1174),Sync!$U1174&gt;=0,Sync!$U1174&lt;1),RIGHT("00"&amp;HOUR(Sync!$U1174),2)&amp;RIGHT("00"&amp;MINUTE(Sync!$U1174),2),IFERROR(RIGHT("00"&amp;VALUE(LEFT(Sync!$U1174,FIND(":",Sync!$U1174)-1)),2)&amp;RIGHT("00"&amp;VALUE(MID(Sync!$U1174,FIND(":",Sync!$U1174)+1,2)),2),"0000"))))</f>
        <v/>
      </c>
    </row>
    <row r="1179">
      <c r="A1179">
        <f>IF(Sync!$T1175="","",Sync!$T1175)</f>
        <v/>
      </c>
      <c r="B1179">
        <f>IF($A1179="","",IF(ISNUMBER($A1179),IF(AND($A1179&gt;=10000101,$A1179&lt;=99991231),INT($A1179/10000),""),IFERROR(VALUE(TRIM(LEFT($A1179,FIND("/",$A1179)-1))),"")))</f>
        <v/>
      </c>
      <c r="C1179">
        <f>IF(OR($A1179="",$B1179=""),"",IF(ISNUMBER($A1179),INT(MOD($A1179,10000)/100),IFERROR(VALUE(TRIM(LEFT(MID($A1179,FIND("/",$A1179)+1,20),FIND("/",MID($A1179,FIND("/",$A1179)+1,20))-1))),"")))</f>
        <v/>
      </c>
      <c r="D1179">
        <f>IF(OR($A1179="",$B1179=""),"",IF(ISNUMBER($A1179),MOD($A1179,100),IFERROR(VALUE(TRIM(MID(MID($A1179,FIND("/",$A1179)+1,20),FIND("/",MID($A1179,FIND("/",$A1179)+1,20))+1,20))),"")))</f>
        <v/>
      </c>
      <c r="E1179">
        <f>IF($A1179="","",IF(OR($B1179="",$C1179="",$D1179="",$B1179&lt;1300,$B1179&gt;1500,$C1179&lt;1,$C1179&gt;12,$D1179&lt;1,$D1179&gt;31),"نامعتبر",RIGHT("0000"&amp;$B1179,4)&amp;"/"&amp;RIGHT("00"&amp;$C1179,2)&amp;"/"&amp;RIGHT("00"&amp;$D1179,2)))</f>
        <v/>
      </c>
      <c r="F1179">
        <f>IF(OR($E1179="",$E1179="نامعتبر"),"",LEFT($E1179,4)&amp;"/"&amp;MID($E1179,6,2))</f>
        <v/>
      </c>
      <c r="G1179">
        <f>IF(OR($E1179="",$E1179="نامعتبر",Sync!$X1175=""),"",IF(AND(LEFT(UPPER(TRIM(Sync!$X1175)),2)="SL",IFERROR(VLOOKUP(Sync!$W1175,OpTbl,3,0),"")="فروش"),UPPER(TRIM(Sync!$X1175)),""))</f>
        <v/>
      </c>
      <c r="H1179">
        <f>IF($G1179="","",IF(Sync!$W1175="","",Sync!$W1175))</f>
        <v/>
      </c>
      <c r="I1179">
        <f>IF(OR($G1179="",Sync!$Y1175=""),"",Sync!$Y1175)</f>
        <v/>
      </c>
      <c r="J1179">
        <f>IF(OR($G1179="",Sync!$Z1175=""),"",Sync!$Z1175)</f>
        <v/>
      </c>
      <c r="K1179">
        <f>IF($G1179="",0,IF(Sync!$AA1175="",0,Sync!$AA1175))</f>
        <v/>
      </c>
      <c r="L1179">
        <f>IF($G1179="",0,IF(Sync!$AB1175="",0,Sync!$AB1175))</f>
        <v/>
      </c>
      <c r="M1179">
        <f>IF($G1179="","",IF($H1179="مرجوعی فروش",-1,1)*($K1179-$L1179*IFERROR(VLOOKUP("P01",ParamTbl,3,0),1.5)))</f>
        <v/>
      </c>
      <c r="N1179">
        <f>IF($G1179="",0,IF($H1179="مرجوعی فروش",-1,1)*IF(Sync!$AC1175="",0,Sync!$AC1175))</f>
        <v/>
      </c>
      <c r="O1179">
        <f>IF(OR($G1179="",Sync!$V1175=""),"",Sync!$V1175)</f>
        <v/>
      </c>
      <c r="P1179">
        <f>IF(OR($G1179="",Sync!$AD1175=""),"",Sync!$AD1175)</f>
        <v/>
      </c>
      <c r="Q1179">
        <f>IF($G1179="","",IF(Sync!$U1175="","0000",IF(AND(ISNUMBER(Sync!$U1175),Sync!$U1175&gt;=0,Sync!$U1175&lt;1),RIGHT("00"&amp;HOUR(Sync!$U1175),2)&amp;RIGHT("00"&amp;MINUTE(Sync!$U1175),2),IFERROR(RIGHT("00"&amp;VALUE(LEFT(Sync!$U1175,FIND(":",Sync!$U1175)-1)),2)&amp;RIGHT("00"&amp;VALUE(MID(Sync!$U1175,FIND(":",Sync!$U1175)+1,2)),2),"0000"))))</f>
        <v/>
      </c>
    </row>
    <row r="1180">
      <c r="A1180">
        <f>IF(Sync!$T1176="","",Sync!$T1176)</f>
        <v/>
      </c>
      <c r="B1180">
        <f>IF($A1180="","",IF(ISNUMBER($A1180),IF(AND($A1180&gt;=10000101,$A1180&lt;=99991231),INT($A1180/10000),""),IFERROR(VALUE(TRIM(LEFT($A1180,FIND("/",$A1180)-1))),"")))</f>
        <v/>
      </c>
      <c r="C1180">
        <f>IF(OR($A1180="",$B1180=""),"",IF(ISNUMBER($A1180),INT(MOD($A1180,10000)/100),IFERROR(VALUE(TRIM(LEFT(MID($A1180,FIND("/",$A1180)+1,20),FIND("/",MID($A1180,FIND("/",$A1180)+1,20))-1))),"")))</f>
        <v/>
      </c>
      <c r="D1180">
        <f>IF(OR($A1180="",$B1180=""),"",IF(ISNUMBER($A1180),MOD($A1180,100),IFERROR(VALUE(TRIM(MID(MID($A1180,FIND("/",$A1180)+1,20),FIND("/",MID($A1180,FIND("/",$A1180)+1,20))+1,20))),"")))</f>
        <v/>
      </c>
      <c r="E1180">
        <f>IF($A1180="","",IF(OR($B1180="",$C1180="",$D1180="",$B1180&lt;1300,$B1180&gt;1500,$C1180&lt;1,$C1180&gt;12,$D1180&lt;1,$D1180&gt;31),"نامعتبر",RIGHT("0000"&amp;$B1180,4)&amp;"/"&amp;RIGHT("00"&amp;$C1180,2)&amp;"/"&amp;RIGHT("00"&amp;$D1180,2)))</f>
        <v/>
      </c>
      <c r="F1180">
        <f>IF(OR($E1180="",$E1180="نامعتبر"),"",LEFT($E1180,4)&amp;"/"&amp;MID($E1180,6,2))</f>
        <v/>
      </c>
      <c r="G1180">
        <f>IF(OR($E1180="",$E1180="نامعتبر",Sync!$X1176=""),"",IF(AND(LEFT(UPPER(TRIM(Sync!$X1176)),2)="SL",IFERROR(VLOOKUP(Sync!$W1176,OpTbl,3,0),"")="فروش"),UPPER(TRIM(Sync!$X1176)),""))</f>
        <v/>
      </c>
      <c r="H1180">
        <f>IF($G1180="","",IF(Sync!$W1176="","",Sync!$W1176))</f>
        <v/>
      </c>
      <c r="I1180">
        <f>IF(OR($G1180="",Sync!$Y1176=""),"",Sync!$Y1176)</f>
        <v/>
      </c>
      <c r="J1180">
        <f>IF(OR($G1180="",Sync!$Z1176=""),"",Sync!$Z1176)</f>
        <v/>
      </c>
      <c r="K1180">
        <f>IF($G1180="",0,IF(Sync!$AA1176="",0,Sync!$AA1176))</f>
        <v/>
      </c>
      <c r="L1180">
        <f>IF($G1180="",0,IF(Sync!$AB1176="",0,Sync!$AB1176))</f>
        <v/>
      </c>
      <c r="M1180">
        <f>IF($G1180="","",IF($H1180="مرجوعی فروش",-1,1)*($K1180-$L1180*IFERROR(VLOOKUP("P01",ParamTbl,3,0),1.5)))</f>
        <v/>
      </c>
      <c r="N1180">
        <f>IF($G1180="",0,IF($H1180="مرجوعی فروش",-1,1)*IF(Sync!$AC1176="",0,Sync!$AC1176))</f>
        <v/>
      </c>
      <c r="O1180">
        <f>IF(OR($G1180="",Sync!$V1176=""),"",Sync!$V1176)</f>
        <v/>
      </c>
      <c r="P1180">
        <f>IF(OR($G1180="",Sync!$AD1176=""),"",Sync!$AD1176)</f>
        <v/>
      </c>
      <c r="Q1180">
        <f>IF($G1180="","",IF(Sync!$U1176="","0000",IF(AND(ISNUMBER(Sync!$U1176),Sync!$U1176&gt;=0,Sync!$U1176&lt;1),RIGHT("00"&amp;HOUR(Sync!$U1176),2)&amp;RIGHT("00"&amp;MINUTE(Sync!$U1176),2),IFERROR(RIGHT("00"&amp;VALUE(LEFT(Sync!$U1176,FIND(":",Sync!$U1176)-1)),2)&amp;RIGHT("00"&amp;VALUE(MID(Sync!$U1176,FIND(":",Sync!$U1176)+1,2)),2),"0000"))))</f>
        <v/>
      </c>
    </row>
    <row r="1181">
      <c r="A1181">
        <f>IF(Sync!$T1177="","",Sync!$T1177)</f>
        <v/>
      </c>
      <c r="B1181">
        <f>IF($A1181="","",IF(ISNUMBER($A1181),IF(AND($A1181&gt;=10000101,$A1181&lt;=99991231),INT($A1181/10000),""),IFERROR(VALUE(TRIM(LEFT($A1181,FIND("/",$A1181)-1))),"")))</f>
        <v/>
      </c>
      <c r="C1181">
        <f>IF(OR($A1181="",$B1181=""),"",IF(ISNUMBER($A1181),INT(MOD($A1181,10000)/100),IFERROR(VALUE(TRIM(LEFT(MID($A1181,FIND("/",$A1181)+1,20),FIND("/",MID($A1181,FIND("/",$A1181)+1,20))-1))),"")))</f>
        <v/>
      </c>
      <c r="D1181">
        <f>IF(OR($A1181="",$B1181=""),"",IF(ISNUMBER($A1181),MOD($A1181,100),IFERROR(VALUE(TRIM(MID(MID($A1181,FIND("/",$A1181)+1,20),FIND("/",MID($A1181,FIND("/",$A1181)+1,20))+1,20))),"")))</f>
        <v/>
      </c>
      <c r="E1181">
        <f>IF($A1181="","",IF(OR($B1181="",$C1181="",$D1181="",$B1181&lt;1300,$B1181&gt;1500,$C1181&lt;1,$C1181&gt;12,$D1181&lt;1,$D1181&gt;31),"نامعتبر",RIGHT("0000"&amp;$B1181,4)&amp;"/"&amp;RIGHT("00"&amp;$C1181,2)&amp;"/"&amp;RIGHT("00"&amp;$D1181,2)))</f>
        <v/>
      </c>
      <c r="F1181">
        <f>IF(OR($E1181="",$E1181="نامعتبر"),"",LEFT($E1181,4)&amp;"/"&amp;MID($E1181,6,2))</f>
        <v/>
      </c>
      <c r="G1181">
        <f>IF(OR($E1181="",$E1181="نامعتبر",Sync!$X1177=""),"",IF(AND(LEFT(UPPER(TRIM(Sync!$X1177)),2)="SL",IFERROR(VLOOKUP(Sync!$W1177,OpTbl,3,0),"")="فروش"),UPPER(TRIM(Sync!$X1177)),""))</f>
        <v/>
      </c>
      <c r="H1181">
        <f>IF($G1181="","",IF(Sync!$W1177="","",Sync!$W1177))</f>
        <v/>
      </c>
      <c r="I1181">
        <f>IF(OR($G1181="",Sync!$Y1177=""),"",Sync!$Y1177)</f>
        <v/>
      </c>
      <c r="J1181">
        <f>IF(OR($G1181="",Sync!$Z1177=""),"",Sync!$Z1177)</f>
        <v/>
      </c>
      <c r="K1181">
        <f>IF($G1181="",0,IF(Sync!$AA1177="",0,Sync!$AA1177))</f>
        <v/>
      </c>
      <c r="L1181">
        <f>IF($G1181="",0,IF(Sync!$AB1177="",0,Sync!$AB1177))</f>
        <v/>
      </c>
      <c r="M1181">
        <f>IF($G1181="","",IF($H1181="مرجوعی فروش",-1,1)*($K1181-$L1181*IFERROR(VLOOKUP("P01",ParamTbl,3,0),1.5)))</f>
        <v/>
      </c>
      <c r="N1181">
        <f>IF($G1181="",0,IF($H1181="مرجوعی فروش",-1,1)*IF(Sync!$AC1177="",0,Sync!$AC1177))</f>
        <v/>
      </c>
      <c r="O1181">
        <f>IF(OR($G1181="",Sync!$V1177=""),"",Sync!$V1177)</f>
        <v/>
      </c>
      <c r="P1181">
        <f>IF(OR($G1181="",Sync!$AD1177=""),"",Sync!$AD1177)</f>
        <v/>
      </c>
      <c r="Q1181">
        <f>IF($G1181="","",IF(Sync!$U1177="","0000",IF(AND(ISNUMBER(Sync!$U1177),Sync!$U1177&gt;=0,Sync!$U1177&lt;1),RIGHT("00"&amp;HOUR(Sync!$U1177),2)&amp;RIGHT("00"&amp;MINUTE(Sync!$U1177),2),IFERROR(RIGHT("00"&amp;VALUE(LEFT(Sync!$U1177,FIND(":",Sync!$U1177)-1)),2)&amp;RIGHT("00"&amp;VALUE(MID(Sync!$U1177,FIND(":",Sync!$U1177)+1,2)),2),"0000"))))</f>
        <v/>
      </c>
    </row>
    <row r="1182">
      <c r="A1182">
        <f>IF(Sync!$T1178="","",Sync!$T1178)</f>
        <v/>
      </c>
      <c r="B1182">
        <f>IF($A1182="","",IF(ISNUMBER($A1182),IF(AND($A1182&gt;=10000101,$A1182&lt;=99991231),INT($A1182/10000),""),IFERROR(VALUE(TRIM(LEFT($A1182,FIND("/",$A1182)-1))),"")))</f>
        <v/>
      </c>
      <c r="C1182">
        <f>IF(OR($A1182="",$B1182=""),"",IF(ISNUMBER($A1182),INT(MOD($A1182,10000)/100),IFERROR(VALUE(TRIM(LEFT(MID($A1182,FIND("/",$A1182)+1,20),FIND("/",MID($A1182,FIND("/",$A1182)+1,20))-1))),"")))</f>
        <v/>
      </c>
      <c r="D1182">
        <f>IF(OR($A1182="",$B1182=""),"",IF(ISNUMBER($A1182),MOD($A1182,100),IFERROR(VALUE(TRIM(MID(MID($A1182,FIND("/",$A1182)+1,20),FIND("/",MID($A1182,FIND("/",$A1182)+1,20))+1,20))),"")))</f>
        <v/>
      </c>
      <c r="E1182">
        <f>IF($A1182="","",IF(OR($B1182="",$C1182="",$D1182="",$B1182&lt;1300,$B1182&gt;1500,$C1182&lt;1,$C1182&gt;12,$D1182&lt;1,$D1182&gt;31),"نامعتبر",RIGHT("0000"&amp;$B1182,4)&amp;"/"&amp;RIGHT("00"&amp;$C1182,2)&amp;"/"&amp;RIGHT("00"&amp;$D1182,2)))</f>
        <v/>
      </c>
      <c r="F1182">
        <f>IF(OR($E1182="",$E1182="نامعتبر"),"",LEFT($E1182,4)&amp;"/"&amp;MID($E1182,6,2))</f>
        <v/>
      </c>
      <c r="G1182">
        <f>IF(OR($E1182="",$E1182="نامعتبر",Sync!$X1178=""),"",IF(AND(LEFT(UPPER(TRIM(Sync!$X1178)),2)="SL",IFERROR(VLOOKUP(Sync!$W1178,OpTbl,3,0),"")="فروش"),UPPER(TRIM(Sync!$X1178)),""))</f>
        <v/>
      </c>
      <c r="H1182">
        <f>IF($G1182="","",IF(Sync!$W1178="","",Sync!$W1178))</f>
        <v/>
      </c>
      <c r="I1182">
        <f>IF(OR($G1182="",Sync!$Y1178=""),"",Sync!$Y1178)</f>
        <v/>
      </c>
      <c r="J1182">
        <f>IF(OR($G1182="",Sync!$Z1178=""),"",Sync!$Z1178)</f>
        <v/>
      </c>
      <c r="K1182">
        <f>IF($G1182="",0,IF(Sync!$AA1178="",0,Sync!$AA1178))</f>
        <v/>
      </c>
      <c r="L1182">
        <f>IF($G1182="",0,IF(Sync!$AB1178="",0,Sync!$AB1178))</f>
        <v/>
      </c>
      <c r="M1182">
        <f>IF($G1182="","",IF($H1182="مرجوعی فروش",-1,1)*($K1182-$L1182*IFERROR(VLOOKUP("P01",ParamTbl,3,0),1.5)))</f>
        <v/>
      </c>
      <c r="N1182">
        <f>IF($G1182="",0,IF($H1182="مرجوعی فروش",-1,1)*IF(Sync!$AC1178="",0,Sync!$AC1178))</f>
        <v/>
      </c>
      <c r="O1182">
        <f>IF(OR($G1182="",Sync!$V1178=""),"",Sync!$V1178)</f>
        <v/>
      </c>
      <c r="P1182">
        <f>IF(OR($G1182="",Sync!$AD1178=""),"",Sync!$AD1178)</f>
        <v/>
      </c>
      <c r="Q1182">
        <f>IF($G1182="","",IF(Sync!$U1178="","0000",IF(AND(ISNUMBER(Sync!$U1178),Sync!$U1178&gt;=0,Sync!$U1178&lt;1),RIGHT("00"&amp;HOUR(Sync!$U1178),2)&amp;RIGHT("00"&amp;MINUTE(Sync!$U1178),2),IFERROR(RIGHT("00"&amp;VALUE(LEFT(Sync!$U1178,FIND(":",Sync!$U1178)-1)),2)&amp;RIGHT("00"&amp;VALUE(MID(Sync!$U1178,FIND(":",Sync!$U1178)+1,2)),2),"0000"))))</f>
        <v/>
      </c>
    </row>
    <row r="1183">
      <c r="A1183">
        <f>IF(Sync!$T1179="","",Sync!$T1179)</f>
        <v/>
      </c>
      <c r="B1183">
        <f>IF($A1183="","",IF(ISNUMBER($A1183),IF(AND($A1183&gt;=10000101,$A1183&lt;=99991231),INT($A1183/10000),""),IFERROR(VALUE(TRIM(LEFT($A1183,FIND("/",$A1183)-1))),"")))</f>
        <v/>
      </c>
      <c r="C1183">
        <f>IF(OR($A1183="",$B1183=""),"",IF(ISNUMBER($A1183),INT(MOD($A1183,10000)/100),IFERROR(VALUE(TRIM(LEFT(MID($A1183,FIND("/",$A1183)+1,20),FIND("/",MID($A1183,FIND("/",$A1183)+1,20))-1))),"")))</f>
        <v/>
      </c>
      <c r="D1183">
        <f>IF(OR($A1183="",$B1183=""),"",IF(ISNUMBER($A1183),MOD($A1183,100),IFERROR(VALUE(TRIM(MID(MID($A1183,FIND("/",$A1183)+1,20),FIND("/",MID($A1183,FIND("/",$A1183)+1,20))+1,20))),"")))</f>
        <v/>
      </c>
      <c r="E1183">
        <f>IF($A1183="","",IF(OR($B1183="",$C1183="",$D1183="",$B1183&lt;1300,$B1183&gt;1500,$C1183&lt;1,$C1183&gt;12,$D1183&lt;1,$D1183&gt;31),"نامعتبر",RIGHT("0000"&amp;$B1183,4)&amp;"/"&amp;RIGHT("00"&amp;$C1183,2)&amp;"/"&amp;RIGHT("00"&amp;$D1183,2)))</f>
        <v/>
      </c>
      <c r="F1183">
        <f>IF(OR($E1183="",$E1183="نامعتبر"),"",LEFT($E1183,4)&amp;"/"&amp;MID($E1183,6,2))</f>
        <v/>
      </c>
      <c r="G1183">
        <f>IF(OR($E1183="",$E1183="نامعتبر",Sync!$X1179=""),"",IF(AND(LEFT(UPPER(TRIM(Sync!$X1179)),2)="SL",IFERROR(VLOOKUP(Sync!$W1179,OpTbl,3,0),"")="فروش"),UPPER(TRIM(Sync!$X1179)),""))</f>
        <v/>
      </c>
      <c r="H1183">
        <f>IF($G1183="","",IF(Sync!$W1179="","",Sync!$W1179))</f>
        <v/>
      </c>
      <c r="I1183">
        <f>IF(OR($G1183="",Sync!$Y1179=""),"",Sync!$Y1179)</f>
        <v/>
      </c>
      <c r="J1183">
        <f>IF(OR($G1183="",Sync!$Z1179=""),"",Sync!$Z1179)</f>
        <v/>
      </c>
      <c r="K1183">
        <f>IF($G1183="",0,IF(Sync!$AA1179="",0,Sync!$AA1179))</f>
        <v/>
      </c>
      <c r="L1183">
        <f>IF($G1183="",0,IF(Sync!$AB1179="",0,Sync!$AB1179))</f>
        <v/>
      </c>
      <c r="M1183">
        <f>IF($G1183="","",IF($H1183="مرجوعی فروش",-1,1)*($K1183-$L1183*IFERROR(VLOOKUP("P01",ParamTbl,3,0),1.5)))</f>
        <v/>
      </c>
      <c r="N1183">
        <f>IF($G1183="",0,IF($H1183="مرجوعی فروش",-1,1)*IF(Sync!$AC1179="",0,Sync!$AC1179))</f>
        <v/>
      </c>
      <c r="O1183">
        <f>IF(OR($G1183="",Sync!$V1179=""),"",Sync!$V1179)</f>
        <v/>
      </c>
      <c r="P1183">
        <f>IF(OR($G1183="",Sync!$AD1179=""),"",Sync!$AD1179)</f>
        <v/>
      </c>
      <c r="Q1183">
        <f>IF($G1183="","",IF(Sync!$U1179="","0000",IF(AND(ISNUMBER(Sync!$U1179),Sync!$U1179&gt;=0,Sync!$U1179&lt;1),RIGHT("00"&amp;HOUR(Sync!$U1179),2)&amp;RIGHT("00"&amp;MINUTE(Sync!$U1179),2),IFERROR(RIGHT("00"&amp;VALUE(LEFT(Sync!$U1179,FIND(":",Sync!$U1179)-1)),2)&amp;RIGHT("00"&amp;VALUE(MID(Sync!$U1179,FIND(":",Sync!$U1179)+1,2)),2),"0000"))))</f>
        <v/>
      </c>
    </row>
    <row r="1184">
      <c r="A1184">
        <f>IF(Sync!$T1180="","",Sync!$T1180)</f>
        <v/>
      </c>
      <c r="B1184">
        <f>IF($A1184="","",IF(ISNUMBER($A1184),IF(AND($A1184&gt;=10000101,$A1184&lt;=99991231),INT($A1184/10000),""),IFERROR(VALUE(TRIM(LEFT($A1184,FIND("/",$A1184)-1))),"")))</f>
        <v/>
      </c>
      <c r="C1184">
        <f>IF(OR($A1184="",$B1184=""),"",IF(ISNUMBER($A1184),INT(MOD($A1184,10000)/100),IFERROR(VALUE(TRIM(LEFT(MID($A1184,FIND("/",$A1184)+1,20),FIND("/",MID($A1184,FIND("/",$A1184)+1,20))-1))),"")))</f>
        <v/>
      </c>
      <c r="D1184">
        <f>IF(OR($A1184="",$B1184=""),"",IF(ISNUMBER($A1184),MOD($A1184,100),IFERROR(VALUE(TRIM(MID(MID($A1184,FIND("/",$A1184)+1,20),FIND("/",MID($A1184,FIND("/",$A1184)+1,20))+1,20))),"")))</f>
        <v/>
      </c>
      <c r="E1184">
        <f>IF($A1184="","",IF(OR($B1184="",$C1184="",$D1184="",$B1184&lt;1300,$B1184&gt;1500,$C1184&lt;1,$C1184&gt;12,$D1184&lt;1,$D1184&gt;31),"نامعتبر",RIGHT("0000"&amp;$B1184,4)&amp;"/"&amp;RIGHT("00"&amp;$C1184,2)&amp;"/"&amp;RIGHT("00"&amp;$D1184,2)))</f>
        <v/>
      </c>
      <c r="F1184">
        <f>IF(OR($E1184="",$E1184="نامعتبر"),"",LEFT($E1184,4)&amp;"/"&amp;MID($E1184,6,2))</f>
        <v/>
      </c>
      <c r="G1184">
        <f>IF(OR($E1184="",$E1184="نامعتبر",Sync!$X1180=""),"",IF(AND(LEFT(UPPER(TRIM(Sync!$X1180)),2)="SL",IFERROR(VLOOKUP(Sync!$W1180,OpTbl,3,0),"")="فروش"),UPPER(TRIM(Sync!$X1180)),""))</f>
        <v/>
      </c>
      <c r="H1184">
        <f>IF($G1184="","",IF(Sync!$W1180="","",Sync!$W1180))</f>
        <v/>
      </c>
      <c r="I1184">
        <f>IF(OR($G1184="",Sync!$Y1180=""),"",Sync!$Y1180)</f>
        <v/>
      </c>
      <c r="J1184">
        <f>IF(OR($G1184="",Sync!$Z1180=""),"",Sync!$Z1180)</f>
        <v/>
      </c>
      <c r="K1184">
        <f>IF($G1184="",0,IF(Sync!$AA1180="",0,Sync!$AA1180))</f>
        <v/>
      </c>
      <c r="L1184">
        <f>IF($G1184="",0,IF(Sync!$AB1180="",0,Sync!$AB1180))</f>
        <v/>
      </c>
      <c r="M1184">
        <f>IF($G1184="","",IF($H1184="مرجوعی فروش",-1,1)*($K1184-$L1184*IFERROR(VLOOKUP("P01",ParamTbl,3,0),1.5)))</f>
        <v/>
      </c>
      <c r="N1184">
        <f>IF($G1184="",0,IF($H1184="مرجوعی فروش",-1,1)*IF(Sync!$AC1180="",0,Sync!$AC1180))</f>
        <v/>
      </c>
      <c r="O1184">
        <f>IF(OR($G1184="",Sync!$V1180=""),"",Sync!$V1180)</f>
        <v/>
      </c>
      <c r="P1184">
        <f>IF(OR($G1184="",Sync!$AD1180=""),"",Sync!$AD1180)</f>
        <v/>
      </c>
      <c r="Q1184">
        <f>IF($G1184="","",IF(Sync!$U1180="","0000",IF(AND(ISNUMBER(Sync!$U1180),Sync!$U1180&gt;=0,Sync!$U1180&lt;1),RIGHT("00"&amp;HOUR(Sync!$U1180),2)&amp;RIGHT("00"&amp;MINUTE(Sync!$U1180),2),IFERROR(RIGHT("00"&amp;VALUE(LEFT(Sync!$U1180,FIND(":",Sync!$U1180)-1)),2)&amp;RIGHT("00"&amp;VALUE(MID(Sync!$U1180,FIND(":",Sync!$U1180)+1,2)),2),"0000"))))</f>
        <v/>
      </c>
    </row>
    <row r="1185">
      <c r="A1185">
        <f>IF(Sync!$T1181="","",Sync!$T1181)</f>
        <v/>
      </c>
      <c r="B1185">
        <f>IF($A1185="","",IF(ISNUMBER($A1185),IF(AND($A1185&gt;=10000101,$A1185&lt;=99991231),INT($A1185/10000),""),IFERROR(VALUE(TRIM(LEFT($A1185,FIND("/",$A1185)-1))),"")))</f>
        <v/>
      </c>
      <c r="C1185">
        <f>IF(OR($A1185="",$B1185=""),"",IF(ISNUMBER($A1185),INT(MOD($A1185,10000)/100),IFERROR(VALUE(TRIM(LEFT(MID($A1185,FIND("/",$A1185)+1,20),FIND("/",MID($A1185,FIND("/",$A1185)+1,20))-1))),"")))</f>
        <v/>
      </c>
      <c r="D1185">
        <f>IF(OR($A1185="",$B1185=""),"",IF(ISNUMBER($A1185),MOD($A1185,100),IFERROR(VALUE(TRIM(MID(MID($A1185,FIND("/",$A1185)+1,20),FIND("/",MID($A1185,FIND("/",$A1185)+1,20))+1,20))),"")))</f>
        <v/>
      </c>
      <c r="E1185">
        <f>IF($A1185="","",IF(OR($B1185="",$C1185="",$D1185="",$B1185&lt;1300,$B1185&gt;1500,$C1185&lt;1,$C1185&gt;12,$D1185&lt;1,$D1185&gt;31),"نامعتبر",RIGHT("0000"&amp;$B1185,4)&amp;"/"&amp;RIGHT("00"&amp;$C1185,2)&amp;"/"&amp;RIGHT("00"&amp;$D1185,2)))</f>
        <v/>
      </c>
      <c r="F1185">
        <f>IF(OR($E1185="",$E1185="نامعتبر"),"",LEFT($E1185,4)&amp;"/"&amp;MID($E1185,6,2))</f>
        <v/>
      </c>
      <c r="G1185">
        <f>IF(OR($E1185="",$E1185="نامعتبر",Sync!$X1181=""),"",IF(AND(LEFT(UPPER(TRIM(Sync!$X1181)),2)="SL",IFERROR(VLOOKUP(Sync!$W1181,OpTbl,3,0),"")="فروش"),UPPER(TRIM(Sync!$X1181)),""))</f>
        <v/>
      </c>
      <c r="H1185">
        <f>IF($G1185="","",IF(Sync!$W1181="","",Sync!$W1181))</f>
        <v/>
      </c>
      <c r="I1185">
        <f>IF(OR($G1185="",Sync!$Y1181=""),"",Sync!$Y1181)</f>
        <v/>
      </c>
      <c r="J1185">
        <f>IF(OR($G1185="",Sync!$Z1181=""),"",Sync!$Z1181)</f>
        <v/>
      </c>
      <c r="K1185">
        <f>IF($G1185="",0,IF(Sync!$AA1181="",0,Sync!$AA1181))</f>
        <v/>
      </c>
      <c r="L1185">
        <f>IF($G1185="",0,IF(Sync!$AB1181="",0,Sync!$AB1181))</f>
        <v/>
      </c>
      <c r="M1185">
        <f>IF($G1185="","",IF($H1185="مرجوعی فروش",-1,1)*($K1185-$L1185*IFERROR(VLOOKUP("P01",ParamTbl,3,0),1.5)))</f>
        <v/>
      </c>
      <c r="N1185">
        <f>IF($G1185="",0,IF($H1185="مرجوعی فروش",-1,1)*IF(Sync!$AC1181="",0,Sync!$AC1181))</f>
        <v/>
      </c>
      <c r="O1185">
        <f>IF(OR($G1185="",Sync!$V1181=""),"",Sync!$V1181)</f>
        <v/>
      </c>
      <c r="P1185">
        <f>IF(OR($G1185="",Sync!$AD1181=""),"",Sync!$AD1181)</f>
        <v/>
      </c>
      <c r="Q1185">
        <f>IF($G1185="","",IF(Sync!$U1181="","0000",IF(AND(ISNUMBER(Sync!$U1181),Sync!$U1181&gt;=0,Sync!$U1181&lt;1),RIGHT("00"&amp;HOUR(Sync!$U1181),2)&amp;RIGHT("00"&amp;MINUTE(Sync!$U1181),2),IFERROR(RIGHT("00"&amp;VALUE(LEFT(Sync!$U1181,FIND(":",Sync!$U1181)-1)),2)&amp;RIGHT("00"&amp;VALUE(MID(Sync!$U1181,FIND(":",Sync!$U1181)+1,2)),2),"0000"))))</f>
        <v/>
      </c>
    </row>
    <row r="1186">
      <c r="A1186">
        <f>IF(Sync!$T1182="","",Sync!$T1182)</f>
        <v/>
      </c>
      <c r="B1186">
        <f>IF($A1186="","",IF(ISNUMBER($A1186),IF(AND($A1186&gt;=10000101,$A1186&lt;=99991231),INT($A1186/10000),""),IFERROR(VALUE(TRIM(LEFT($A1186,FIND("/",$A1186)-1))),"")))</f>
        <v/>
      </c>
      <c r="C1186">
        <f>IF(OR($A1186="",$B1186=""),"",IF(ISNUMBER($A1186),INT(MOD($A1186,10000)/100),IFERROR(VALUE(TRIM(LEFT(MID($A1186,FIND("/",$A1186)+1,20),FIND("/",MID($A1186,FIND("/",$A1186)+1,20))-1))),"")))</f>
        <v/>
      </c>
      <c r="D1186">
        <f>IF(OR($A1186="",$B1186=""),"",IF(ISNUMBER($A1186),MOD($A1186,100),IFERROR(VALUE(TRIM(MID(MID($A1186,FIND("/",$A1186)+1,20),FIND("/",MID($A1186,FIND("/",$A1186)+1,20))+1,20))),"")))</f>
        <v/>
      </c>
      <c r="E1186">
        <f>IF($A1186="","",IF(OR($B1186="",$C1186="",$D1186="",$B1186&lt;1300,$B1186&gt;1500,$C1186&lt;1,$C1186&gt;12,$D1186&lt;1,$D1186&gt;31),"نامعتبر",RIGHT("0000"&amp;$B1186,4)&amp;"/"&amp;RIGHT("00"&amp;$C1186,2)&amp;"/"&amp;RIGHT("00"&amp;$D1186,2)))</f>
        <v/>
      </c>
      <c r="F1186">
        <f>IF(OR($E1186="",$E1186="نامعتبر"),"",LEFT($E1186,4)&amp;"/"&amp;MID($E1186,6,2))</f>
        <v/>
      </c>
      <c r="G1186">
        <f>IF(OR($E1186="",$E1186="نامعتبر",Sync!$X1182=""),"",IF(AND(LEFT(UPPER(TRIM(Sync!$X1182)),2)="SL",IFERROR(VLOOKUP(Sync!$W1182,OpTbl,3,0),"")="فروش"),UPPER(TRIM(Sync!$X1182)),""))</f>
        <v/>
      </c>
      <c r="H1186">
        <f>IF($G1186="","",IF(Sync!$W1182="","",Sync!$W1182))</f>
        <v/>
      </c>
      <c r="I1186">
        <f>IF(OR($G1186="",Sync!$Y1182=""),"",Sync!$Y1182)</f>
        <v/>
      </c>
      <c r="J1186">
        <f>IF(OR($G1186="",Sync!$Z1182=""),"",Sync!$Z1182)</f>
        <v/>
      </c>
      <c r="K1186">
        <f>IF($G1186="",0,IF(Sync!$AA1182="",0,Sync!$AA1182))</f>
        <v/>
      </c>
      <c r="L1186">
        <f>IF($G1186="",0,IF(Sync!$AB1182="",0,Sync!$AB1182))</f>
        <v/>
      </c>
      <c r="M1186">
        <f>IF($G1186="","",IF($H1186="مرجوعی فروش",-1,1)*($K1186-$L1186*IFERROR(VLOOKUP("P01",ParamTbl,3,0),1.5)))</f>
        <v/>
      </c>
      <c r="N1186">
        <f>IF($G1186="",0,IF($H1186="مرجوعی فروش",-1,1)*IF(Sync!$AC1182="",0,Sync!$AC1182))</f>
        <v/>
      </c>
      <c r="O1186">
        <f>IF(OR($G1186="",Sync!$V1182=""),"",Sync!$V1182)</f>
        <v/>
      </c>
      <c r="P1186">
        <f>IF(OR($G1186="",Sync!$AD1182=""),"",Sync!$AD1182)</f>
        <v/>
      </c>
      <c r="Q1186">
        <f>IF($G1186="","",IF(Sync!$U1182="","0000",IF(AND(ISNUMBER(Sync!$U1182),Sync!$U1182&gt;=0,Sync!$U1182&lt;1),RIGHT("00"&amp;HOUR(Sync!$U1182),2)&amp;RIGHT("00"&amp;MINUTE(Sync!$U1182),2),IFERROR(RIGHT("00"&amp;VALUE(LEFT(Sync!$U1182,FIND(":",Sync!$U1182)-1)),2)&amp;RIGHT("00"&amp;VALUE(MID(Sync!$U1182,FIND(":",Sync!$U1182)+1,2)),2),"0000"))))</f>
        <v/>
      </c>
    </row>
    <row r="1187">
      <c r="A1187">
        <f>IF(Sync!$T1183="","",Sync!$T1183)</f>
        <v/>
      </c>
      <c r="B1187">
        <f>IF($A1187="","",IF(ISNUMBER($A1187),IF(AND($A1187&gt;=10000101,$A1187&lt;=99991231),INT($A1187/10000),""),IFERROR(VALUE(TRIM(LEFT($A1187,FIND("/",$A1187)-1))),"")))</f>
        <v/>
      </c>
      <c r="C1187">
        <f>IF(OR($A1187="",$B1187=""),"",IF(ISNUMBER($A1187),INT(MOD($A1187,10000)/100),IFERROR(VALUE(TRIM(LEFT(MID($A1187,FIND("/",$A1187)+1,20),FIND("/",MID($A1187,FIND("/",$A1187)+1,20))-1))),"")))</f>
        <v/>
      </c>
      <c r="D1187">
        <f>IF(OR($A1187="",$B1187=""),"",IF(ISNUMBER($A1187),MOD($A1187,100),IFERROR(VALUE(TRIM(MID(MID($A1187,FIND("/",$A1187)+1,20),FIND("/",MID($A1187,FIND("/",$A1187)+1,20))+1,20))),"")))</f>
        <v/>
      </c>
      <c r="E1187">
        <f>IF($A1187="","",IF(OR($B1187="",$C1187="",$D1187="",$B1187&lt;1300,$B1187&gt;1500,$C1187&lt;1,$C1187&gt;12,$D1187&lt;1,$D1187&gt;31),"نامعتبر",RIGHT("0000"&amp;$B1187,4)&amp;"/"&amp;RIGHT("00"&amp;$C1187,2)&amp;"/"&amp;RIGHT("00"&amp;$D1187,2)))</f>
        <v/>
      </c>
      <c r="F1187">
        <f>IF(OR($E1187="",$E1187="نامعتبر"),"",LEFT($E1187,4)&amp;"/"&amp;MID($E1187,6,2))</f>
        <v/>
      </c>
      <c r="G1187">
        <f>IF(OR($E1187="",$E1187="نامعتبر",Sync!$X1183=""),"",IF(AND(LEFT(UPPER(TRIM(Sync!$X1183)),2)="SL",IFERROR(VLOOKUP(Sync!$W1183,OpTbl,3,0),"")="فروش"),UPPER(TRIM(Sync!$X1183)),""))</f>
        <v/>
      </c>
      <c r="H1187">
        <f>IF($G1187="","",IF(Sync!$W1183="","",Sync!$W1183))</f>
        <v/>
      </c>
      <c r="I1187">
        <f>IF(OR($G1187="",Sync!$Y1183=""),"",Sync!$Y1183)</f>
        <v/>
      </c>
      <c r="J1187">
        <f>IF(OR($G1187="",Sync!$Z1183=""),"",Sync!$Z1183)</f>
        <v/>
      </c>
      <c r="K1187">
        <f>IF($G1187="",0,IF(Sync!$AA1183="",0,Sync!$AA1183))</f>
        <v/>
      </c>
      <c r="L1187">
        <f>IF($G1187="",0,IF(Sync!$AB1183="",0,Sync!$AB1183))</f>
        <v/>
      </c>
      <c r="M1187">
        <f>IF($G1187="","",IF($H1187="مرجوعی فروش",-1,1)*($K1187-$L1187*IFERROR(VLOOKUP("P01",ParamTbl,3,0),1.5)))</f>
        <v/>
      </c>
      <c r="N1187">
        <f>IF($G1187="",0,IF($H1187="مرجوعی فروش",-1,1)*IF(Sync!$AC1183="",0,Sync!$AC1183))</f>
        <v/>
      </c>
      <c r="O1187">
        <f>IF(OR($G1187="",Sync!$V1183=""),"",Sync!$V1183)</f>
        <v/>
      </c>
      <c r="P1187">
        <f>IF(OR($G1187="",Sync!$AD1183=""),"",Sync!$AD1183)</f>
        <v/>
      </c>
      <c r="Q1187">
        <f>IF($G1187="","",IF(Sync!$U1183="","0000",IF(AND(ISNUMBER(Sync!$U1183),Sync!$U1183&gt;=0,Sync!$U1183&lt;1),RIGHT("00"&amp;HOUR(Sync!$U1183),2)&amp;RIGHT("00"&amp;MINUTE(Sync!$U1183),2),IFERROR(RIGHT("00"&amp;VALUE(LEFT(Sync!$U1183,FIND(":",Sync!$U1183)-1)),2)&amp;RIGHT("00"&amp;VALUE(MID(Sync!$U1183,FIND(":",Sync!$U1183)+1,2)),2),"0000"))))</f>
        <v/>
      </c>
    </row>
    <row r="1188">
      <c r="A1188">
        <f>IF(Sync!$T1184="","",Sync!$T1184)</f>
        <v/>
      </c>
      <c r="B1188">
        <f>IF($A1188="","",IF(ISNUMBER($A1188),IF(AND($A1188&gt;=10000101,$A1188&lt;=99991231),INT($A1188/10000),""),IFERROR(VALUE(TRIM(LEFT($A1188,FIND("/",$A1188)-1))),"")))</f>
        <v/>
      </c>
      <c r="C1188">
        <f>IF(OR($A1188="",$B1188=""),"",IF(ISNUMBER($A1188),INT(MOD($A1188,10000)/100),IFERROR(VALUE(TRIM(LEFT(MID($A1188,FIND("/",$A1188)+1,20),FIND("/",MID($A1188,FIND("/",$A1188)+1,20))-1))),"")))</f>
        <v/>
      </c>
      <c r="D1188">
        <f>IF(OR($A1188="",$B1188=""),"",IF(ISNUMBER($A1188),MOD($A1188,100),IFERROR(VALUE(TRIM(MID(MID($A1188,FIND("/",$A1188)+1,20),FIND("/",MID($A1188,FIND("/",$A1188)+1,20))+1,20))),"")))</f>
        <v/>
      </c>
      <c r="E1188">
        <f>IF($A1188="","",IF(OR($B1188="",$C1188="",$D1188="",$B1188&lt;1300,$B1188&gt;1500,$C1188&lt;1,$C1188&gt;12,$D1188&lt;1,$D1188&gt;31),"نامعتبر",RIGHT("0000"&amp;$B1188,4)&amp;"/"&amp;RIGHT("00"&amp;$C1188,2)&amp;"/"&amp;RIGHT("00"&amp;$D1188,2)))</f>
        <v/>
      </c>
      <c r="F1188">
        <f>IF(OR($E1188="",$E1188="نامعتبر"),"",LEFT($E1188,4)&amp;"/"&amp;MID($E1188,6,2))</f>
        <v/>
      </c>
      <c r="G1188">
        <f>IF(OR($E1188="",$E1188="نامعتبر",Sync!$X1184=""),"",IF(AND(LEFT(UPPER(TRIM(Sync!$X1184)),2)="SL",IFERROR(VLOOKUP(Sync!$W1184,OpTbl,3,0),"")="فروش"),UPPER(TRIM(Sync!$X1184)),""))</f>
        <v/>
      </c>
      <c r="H1188">
        <f>IF($G1188="","",IF(Sync!$W1184="","",Sync!$W1184))</f>
        <v/>
      </c>
      <c r="I1188">
        <f>IF(OR($G1188="",Sync!$Y1184=""),"",Sync!$Y1184)</f>
        <v/>
      </c>
      <c r="J1188">
        <f>IF(OR($G1188="",Sync!$Z1184=""),"",Sync!$Z1184)</f>
        <v/>
      </c>
      <c r="K1188">
        <f>IF($G1188="",0,IF(Sync!$AA1184="",0,Sync!$AA1184))</f>
        <v/>
      </c>
      <c r="L1188">
        <f>IF($G1188="",0,IF(Sync!$AB1184="",0,Sync!$AB1184))</f>
        <v/>
      </c>
      <c r="M1188">
        <f>IF($G1188="","",IF($H1188="مرجوعی فروش",-1,1)*($K1188-$L1188*IFERROR(VLOOKUP("P01",ParamTbl,3,0),1.5)))</f>
        <v/>
      </c>
      <c r="N1188">
        <f>IF($G1188="",0,IF($H1188="مرجوعی فروش",-1,1)*IF(Sync!$AC1184="",0,Sync!$AC1184))</f>
        <v/>
      </c>
      <c r="O1188">
        <f>IF(OR($G1188="",Sync!$V1184=""),"",Sync!$V1184)</f>
        <v/>
      </c>
      <c r="P1188">
        <f>IF(OR($G1188="",Sync!$AD1184=""),"",Sync!$AD1184)</f>
        <v/>
      </c>
      <c r="Q1188">
        <f>IF($G1188="","",IF(Sync!$U1184="","0000",IF(AND(ISNUMBER(Sync!$U1184),Sync!$U1184&gt;=0,Sync!$U1184&lt;1),RIGHT("00"&amp;HOUR(Sync!$U1184),2)&amp;RIGHT("00"&amp;MINUTE(Sync!$U1184),2),IFERROR(RIGHT("00"&amp;VALUE(LEFT(Sync!$U1184,FIND(":",Sync!$U1184)-1)),2)&amp;RIGHT("00"&amp;VALUE(MID(Sync!$U1184,FIND(":",Sync!$U1184)+1,2)),2),"0000"))))</f>
        <v/>
      </c>
    </row>
    <row r="1189">
      <c r="A1189">
        <f>IF(Sync!$T1185="","",Sync!$T1185)</f>
        <v/>
      </c>
      <c r="B1189">
        <f>IF($A1189="","",IF(ISNUMBER($A1189),IF(AND($A1189&gt;=10000101,$A1189&lt;=99991231),INT($A1189/10000),""),IFERROR(VALUE(TRIM(LEFT($A1189,FIND("/",$A1189)-1))),"")))</f>
        <v/>
      </c>
      <c r="C1189">
        <f>IF(OR($A1189="",$B1189=""),"",IF(ISNUMBER($A1189),INT(MOD($A1189,10000)/100),IFERROR(VALUE(TRIM(LEFT(MID($A1189,FIND("/",$A1189)+1,20),FIND("/",MID($A1189,FIND("/",$A1189)+1,20))-1))),"")))</f>
        <v/>
      </c>
      <c r="D1189">
        <f>IF(OR($A1189="",$B1189=""),"",IF(ISNUMBER($A1189),MOD($A1189,100),IFERROR(VALUE(TRIM(MID(MID($A1189,FIND("/",$A1189)+1,20),FIND("/",MID($A1189,FIND("/",$A1189)+1,20))+1,20))),"")))</f>
        <v/>
      </c>
      <c r="E1189">
        <f>IF($A1189="","",IF(OR($B1189="",$C1189="",$D1189="",$B1189&lt;1300,$B1189&gt;1500,$C1189&lt;1,$C1189&gt;12,$D1189&lt;1,$D1189&gt;31),"نامعتبر",RIGHT("0000"&amp;$B1189,4)&amp;"/"&amp;RIGHT("00"&amp;$C1189,2)&amp;"/"&amp;RIGHT("00"&amp;$D1189,2)))</f>
        <v/>
      </c>
      <c r="F1189">
        <f>IF(OR($E1189="",$E1189="نامعتبر"),"",LEFT($E1189,4)&amp;"/"&amp;MID($E1189,6,2))</f>
        <v/>
      </c>
      <c r="G1189">
        <f>IF(OR($E1189="",$E1189="نامعتبر",Sync!$X1185=""),"",IF(AND(LEFT(UPPER(TRIM(Sync!$X1185)),2)="SL",IFERROR(VLOOKUP(Sync!$W1185,OpTbl,3,0),"")="فروش"),UPPER(TRIM(Sync!$X1185)),""))</f>
        <v/>
      </c>
      <c r="H1189">
        <f>IF($G1189="","",IF(Sync!$W1185="","",Sync!$W1185))</f>
        <v/>
      </c>
      <c r="I1189">
        <f>IF(OR($G1189="",Sync!$Y1185=""),"",Sync!$Y1185)</f>
        <v/>
      </c>
      <c r="J1189">
        <f>IF(OR($G1189="",Sync!$Z1185=""),"",Sync!$Z1185)</f>
        <v/>
      </c>
      <c r="K1189">
        <f>IF($G1189="",0,IF(Sync!$AA1185="",0,Sync!$AA1185))</f>
        <v/>
      </c>
      <c r="L1189">
        <f>IF($G1189="",0,IF(Sync!$AB1185="",0,Sync!$AB1185))</f>
        <v/>
      </c>
      <c r="M1189">
        <f>IF($G1189="","",IF($H1189="مرجوعی فروش",-1,1)*($K1189-$L1189*IFERROR(VLOOKUP("P01",ParamTbl,3,0),1.5)))</f>
        <v/>
      </c>
      <c r="N1189">
        <f>IF($G1189="",0,IF($H1189="مرجوعی فروش",-1,1)*IF(Sync!$AC1185="",0,Sync!$AC1185))</f>
        <v/>
      </c>
      <c r="O1189">
        <f>IF(OR($G1189="",Sync!$V1185=""),"",Sync!$V1185)</f>
        <v/>
      </c>
      <c r="P1189">
        <f>IF(OR($G1189="",Sync!$AD1185=""),"",Sync!$AD1185)</f>
        <v/>
      </c>
      <c r="Q1189">
        <f>IF($G1189="","",IF(Sync!$U1185="","0000",IF(AND(ISNUMBER(Sync!$U1185),Sync!$U1185&gt;=0,Sync!$U1185&lt;1),RIGHT("00"&amp;HOUR(Sync!$U1185),2)&amp;RIGHT("00"&amp;MINUTE(Sync!$U1185),2),IFERROR(RIGHT("00"&amp;VALUE(LEFT(Sync!$U1185,FIND(":",Sync!$U1185)-1)),2)&amp;RIGHT("00"&amp;VALUE(MID(Sync!$U1185,FIND(":",Sync!$U1185)+1,2)),2),"0000"))))</f>
        <v/>
      </c>
    </row>
    <row r="1190">
      <c r="A1190">
        <f>IF(Sync!$T1186="","",Sync!$T1186)</f>
        <v/>
      </c>
      <c r="B1190">
        <f>IF($A1190="","",IF(ISNUMBER($A1190),IF(AND($A1190&gt;=10000101,$A1190&lt;=99991231),INT($A1190/10000),""),IFERROR(VALUE(TRIM(LEFT($A1190,FIND("/",$A1190)-1))),"")))</f>
        <v/>
      </c>
      <c r="C1190">
        <f>IF(OR($A1190="",$B1190=""),"",IF(ISNUMBER($A1190),INT(MOD($A1190,10000)/100),IFERROR(VALUE(TRIM(LEFT(MID($A1190,FIND("/",$A1190)+1,20),FIND("/",MID($A1190,FIND("/",$A1190)+1,20))-1))),"")))</f>
        <v/>
      </c>
      <c r="D1190">
        <f>IF(OR($A1190="",$B1190=""),"",IF(ISNUMBER($A1190),MOD($A1190,100),IFERROR(VALUE(TRIM(MID(MID($A1190,FIND("/",$A1190)+1,20),FIND("/",MID($A1190,FIND("/",$A1190)+1,20))+1,20))),"")))</f>
        <v/>
      </c>
      <c r="E1190">
        <f>IF($A1190="","",IF(OR($B1190="",$C1190="",$D1190="",$B1190&lt;1300,$B1190&gt;1500,$C1190&lt;1,$C1190&gt;12,$D1190&lt;1,$D1190&gt;31),"نامعتبر",RIGHT("0000"&amp;$B1190,4)&amp;"/"&amp;RIGHT("00"&amp;$C1190,2)&amp;"/"&amp;RIGHT("00"&amp;$D1190,2)))</f>
        <v/>
      </c>
      <c r="F1190">
        <f>IF(OR($E1190="",$E1190="نامعتبر"),"",LEFT($E1190,4)&amp;"/"&amp;MID($E1190,6,2))</f>
        <v/>
      </c>
      <c r="G1190">
        <f>IF(OR($E1190="",$E1190="نامعتبر",Sync!$X1186=""),"",IF(AND(LEFT(UPPER(TRIM(Sync!$X1186)),2)="SL",IFERROR(VLOOKUP(Sync!$W1186,OpTbl,3,0),"")="فروش"),UPPER(TRIM(Sync!$X1186)),""))</f>
        <v/>
      </c>
      <c r="H1190">
        <f>IF($G1190="","",IF(Sync!$W1186="","",Sync!$W1186))</f>
        <v/>
      </c>
      <c r="I1190">
        <f>IF(OR($G1190="",Sync!$Y1186=""),"",Sync!$Y1186)</f>
        <v/>
      </c>
      <c r="J1190">
        <f>IF(OR($G1190="",Sync!$Z1186=""),"",Sync!$Z1186)</f>
        <v/>
      </c>
      <c r="K1190">
        <f>IF($G1190="",0,IF(Sync!$AA1186="",0,Sync!$AA1186))</f>
        <v/>
      </c>
      <c r="L1190">
        <f>IF($G1190="",0,IF(Sync!$AB1186="",0,Sync!$AB1186))</f>
        <v/>
      </c>
      <c r="M1190">
        <f>IF($G1190="","",IF($H1190="مرجوعی فروش",-1,1)*($K1190-$L1190*IFERROR(VLOOKUP("P01",ParamTbl,3,0),1.5)))</f>
        <v/>
      </c>
      <c r="N1190">
        <f>IF($G1190="",0,IF($H1190="مرجوعی فروش",-1,1)*IF(Sync!$AC1186="",0,Sync!$AC1186))</f>
        <v/>
      </c>
      <c r="O1190">
        <f>IF(OR($G1190="",Sync!$V1186=""),"",Sync!$V1186)</f>
        <v/>
      </c>
      <c r="P1190">
        <f>IF(OR($G1190="",Sync!$AD1186=""),"",Sync!$AD1186)</f>
        <v/>
      </c>
      <c r="Q1190">
        <f>IF($G1190="","",IF(Sync!$U1186="","0000",IF(AND(ISNUMBER(Sync!$U1186),Sync!$U1186&gt;=0,Sync!$U1186&lt;1),RIGHT("00"&amp;HOUR(Sync!$U1186),2)&amp;RIGHT("00"&amp;MINUTE(Sync!$U1186),2),IFERROR(RIGHT("00"&amp;VALUE(LEFT(Sync!$U1186,FIND(":",Sync!$U1186)-1)),2)&amp;RIGHT("00"&amp;VALUE(MID(Sync!$U1186,FIND(":",Sync!$U1186)+1,2)),2),"0000"))))</f>
        <v/>
      </c>
    </row>
    <row r="1191">
      <c r="A1191">
        <f>IF(Sync!$T1187="","",Sync!$T1187)</f>
        <v/>
      </c>
      <c r="B1191">
        <f>IF($A1191="","",IF(ISNUMBER($A1191),IF(AND($A1191&gt;=10000101,$A1191&lt;=99991231),INT($A1191/10000),""),IFERROR(VALUE(TRIM(LEFT($A1191,FIND("/",$A1191)-1))),"")))</f>
        <v/>
      </c>
      <c r="C1191">
        <f>IF(OR($A1191="",$B1191=""),"",IF(ISNUMBER($A1191),INT(MOD($A1191,10000)/100),IFERROR(VALUE(TRIM(LEFT(MID($A1191,FIND("/",$A1191)+1,20),FIND("/",MID($A1191,FIND("/",$A1191)+1,20))-1))),"")))</f>
        <v/>
      </c>
      <c r="D1191">
        <f>IF(OR($A1191="",$B1191=""),"",IF(ISNUMBER($A1191),MOD($A1191,100),IFERROR(VALUE(TRIM(MID(MID($A1191,FIND("/",$A1191)+1,20),FIND("/",MID($A1191,FIND("/",$A1191)+1,20))+1,20))),"")))</f>
        <v/>
      </c>
      <c r="E1191">
        <f>IF($A1191="","",IF(OR($B1191="",$C1191="",$D1191="",$B1191&lt;1300,$B1191&gt;1500,$C1191&lt;1,$C1191&gt;12,$D1191&lt;1,$D1191&gt;31),"نامعتبر",RIGHT("0000"&amp;$B1191,4)&amp;"/"&amp;RIGHT("00"&amp;$C1191,2)&amp;"/"&amp;RIGHT("00"&amp;$D1191,2)))</f>
        <v/>
      </c>
      <c r="F1191">
        <f>IF(OR($E1191="",$E1191="نامعتبر"),"",LEFT($E1191,4)&amp;"/"&amp;MID($E1191,6,2))</f>
        <v/>
      </c>
      <c r="G1191">
        <f>IF(OR($E1191="",$E1191="نامعتبر",Sync!$X1187=""),"",IF(AND(LEFT(UPPER(TRIM(Sync!$X1187)),2)="SL",IFERROR(VLOOKUP(Sync!$W1187,OpTbl,3,0),"")="فروش"),UPPER(TRIM(Sync!$X1187)),""))</f>
        <v/>
      </c>
      <c r="H1191">
        <f>IF($G1191="","",IF(Sync!$W1187="","",Sync!$W1187))</f>
        <v/>
      </c>
      <c r="I1191">
        <f>IF(OR($G1191="",Sync!$Y1187=""),"",Sync!$Y1187)</f>
        <v/>
      </c>
      <c r="J1191">
        <f>IF(OR($G1191="",Sync!$Z1187=""),"",Sync!$Z1187)</f>
        <v/>
      </c>
      <c r="K1191">
        <f>IF($G1191="",0,IF(Sync!$AA1187="",0,Sync!$AA1187))</f>
        <v/>
      </c>
      <c r="L1191">
        <f>IF($G1191="",0,IF(Sync!$AB1187="",0,Sync!$AB1187))</f>
        <v/>
      </c>
      <c r="M1191">
        <f>IF($G1191="","",IF($H1191="مرجوعی فروش",-1,1)*($K1191-$L1191*IFERROR(VLOOKUP("P01",ParamTbl,3,0),1.5)))</f>
        <v/>
      </c>
      <c r="N1191">
        <f>IF($G1191="",0,IF($H1191="مرجوعی فروش",-1,1)*IF(Sync!$AC1187="",0,Sync!$AC1187))</f>
        <v/>
      </c>
      <c r="O1191">
        <f>IF(OR($G1191="",Sync!$V1187=""),"",Sync!$V1187)</f>
        <v/>
      </c>
      <c r="P1191">
        <f>IF(OR($G1191="",Sync!$AD1187=""),"",Sync!$AD1187)</f>
        <v/>
      </c>
      <c r="Q1191">
        <f>IF($G1191="","",IF(Sync!$U1187="","0000",IF(AND(ISNUMBER(Sync!$U1187),Sync!$U1187&gt;=0,Sync!$U1187&lt;1),RIGHT("00"&amp;HOUR(Sync!$U1187),2)&amp;RIGHT("00"&amp;MINUTE(Sync!$U1187),2),IFERROR(RIGHT("00"&amp;VALUE(LEFT(Sync!$U1187,FIND(":",Sync!$U1187)-1)),2)&amp;RIGHT("00"&amp;VALUE(MID(Sync!$U1187,FIND(":",Sync!$U1187)+1,2)),2),"0000"))))</f>
        <v/>
      </c>
    </row>
    <row r="1192">
      <c r="A1192">
        <f>IF(Sync!$T1188="","",Sync!$T1188)</f>
        <v/>
      </c>
      <c r="B1192">
        <f>IF($A1192="","",IF(ISNUMBER($A1192),IF(AND($A1192&gt;=10000101,$A1192&lt;=99991231),INT($A1192/10000),""),IFERROR(VALUE(TRIM(LEFT($A1192,FIND("/",$A1192)-1))),"")))</f>
        <v/>
      </c>
      <c r="C1192">
        <f>IF(OR($A1192="",$B1192=""),"",IF(ISNUMBER($A1192),INT(MOD($A1192,10000)/100),IFERROR(VALUE(TRIM(LEFT(MID($A1192,FIND("/",$A1192)+1,20),FIND("/",MID($A1192,FIND("/",$A1192)+1,20))-1))),"")))</f>
        <v/>
      </c>
      <c r="D1192">
        <f>IF(OR($A1192="",$B1192=""),"",IF(ISNUMBER($A1192),MOD($A1192,100),IFERROR(VALUE(TRIM(MID(MID($A1192,FIND("/",$A1192)+1,20),FIND("/",MID($A1192,FIND("/",$A1192)+1,20))+1,20))),"")))</f>
        <v/>
      </c>
      <c r="E1192">
        <f>IF($A1192="","",IF(OR($B1192="",$C1192="",$D1192="",$B1192&lt;1300,$B1192&gt;1500,$C1192&lt;1,$C1192&gt;12,$D1192&lt;1,$D1192&gt;31),"نامعتبر",RIGHT("0000"&amp;$B1192,4)&amp;"/"&amp;RIGHT("00"&amp;$C1192,2)&amp;"/"&amp;RIGHT("00"&amp;$D1192,2)))</f>
        <v/>
      </c>
      <c r="F1192">
        <f>IF(OR($E1192="",$E1192="نامعتبر"),"",LEFT($E1192,4)&amp;"/"&amp;MID($E1192,6,2))</f>
        <v/>
      </c>
      <c r="G1192">
        <f>IF(OR($E1192="",$E1192="نامعتبر",Sync!$X1188=""),"",IF(AND(LEFT(UPPER(TRIM(Sync!$X1188)),2)="SL",IFERROR(VLOOKUP(Sync!$W1188,OpTbl,3,0),"")="فروش"),UPPER(TRIM(Sync!$X1188)),""))</f>
        <v/>
      </c>
      <c r="H1192">
        <f>IF($G1192="","",IF(Sync!$W1188="","",Sync!$W1188))</f>
        <v/>
      </c>
      <c r="I1192">
        <f>IF(OR($G1192="",Sync!$Y1188=""),"",Sync!$Y1188)</f>
        <v/>
      </c>
      <c r="J1192">
        <f>IF(OR($G1192="",Sync!$Z1188=""),"",Sync!$Z1188)</f>
        <v/>
      </c>
      <c r="K1192">
        <f>IF($G1192="",0,IF(Sync!$AA1188="",0,Sync!$AA1188))</f>
        <v/>
      </c>
      <c r="L1192">
        <f>IF($G1192="",0,IF(Sync!$AB1188="",0,Sync!$AB1188))</f>
        <v/>
      </c>
      <c r="M1192">
        <f>IF($G1192="","",IF($H1192="مرجوعی فروش",-1,1)*($K1192-$L1192*IFERROR(VLOOKUP("P01",ParamTbl,3,0),1.5)))</f>
        <v/>
      </c>
      <c r="N1192">
        <f>IF($G1192="",0,IF($H1192="مرجوعی فروش",-1,1)*IF(Sync!$AC1188="",0,Sync!$AC1188))</f>
        <v/>
      </c>
      <c r="O1192">
        <f>IF(OR($G1192="",Sync!$V1188=""),"",Sync!$V1188)</f>
        <v/>
      </c>
      <c r="P1192">
        <f>IF(OR($G1192="",Sync!$AD1188=""),"",Sync!$AD1188)</f>
        <v/>
      </c>
      <c r="Q1192">
        <f>IF($G1192="","",IF(Sync!$U1188="","0000",IF(AND(ISNUMBER(Sync!$U1188),Sync!$U1188&gt;=0,Sync!$U1188&lt;1),RIGHT("00"&amp;HOUR(Sync!$U1188),2)&amp;RIGHT("00"&amp;MINUTE(Sync!$U1188),2),IFERROR(RIGHT("00"&amp;VALUE(LEFT(Sync!$U1188,FIND(":",Sync!$U1188)-1)),2)&amp;RIGHT("00"&amp;VALUE(MID(Sync!$U1188,FIND(":",Sync!$U1188)+1,2)),2),"0000"))))</f>
        <v/>
      </c>
    </row>
    <row r="1193">
      <c r="A1193">
        <f>IF(Sync!$T1189="","",Sync!$T1189)</f>
        <v/>
      </c>
      <c r="B1193">
        <f>IF($A1193="","",IF(ISNUMBER($A1193),IF(AND($A1193&gt;=10000101,$A1193&lt;=99991231),INT($A1193/10000),""),IFERROR(VALUE(TRIM(LEFT($A1193,FIND("/",$A1193)-1))),"")))</f>
        <v/>
      </c>
      <c r="C1193">
        <f>IF(OR($A1193="",$B1193=""),"",IF(ISNUMBER($A1193),INT(MOD($A1193,10000)/100),IFERROR(VALUE(TRIM(LEFT(MID($A1193,FIND("/",$A1193)+1,20),FIND("/",MID($A1193,FIND("/",$A1193)+1,20))-1))),"")))</f>
        <v/>
      </c>
      <c r="D1193">
        <f>IF(OR($A1193="",$B1193=""),"",IF(ISNUMBER($A1193),MOD($A1193,100),IFERROR(VALUE(TRIM(MID(MID($A1193,FIND("/",$A1193)+1,20),FIND("/",MID($A1193,FIND("/",$A1193)+1,20))+1,20))),"")))</f>
        <v/>
      </c>
      <c r="E1193">
        <f>IF($A1193="","",IF(OR($B1193="",$C1193="",$D1193="",$B1193&lt;1300,$B1193&gt;1500,$C1193&lt;1,$C1193&gt;12,$D1193&lt;1,$D1193&gt;31),"نامعتبر",RIGHT("0000"&amp;$B1193,4)&amp;"/"&amp;RIGHT("00"&amp;$C1193,2)&amp;"/"&amp;RIGHT("00"&amp;$D1193,2)))</f>
        <v/>
      </c>
      <c r="F1193">
        <f>IF(OR($E1193="",$E1193="نامعتبر"),"",LEFT($E1193,4)&amp;"/"&amp;MID($E1193,6,2))</f>
        <v/>
      </c>
      <c r="G1193">
        <f>IF(OR($E1193="",$E1193="نامعتبر",Sync!$X1189=""),"",IF(AND(LEFT(UPPER(TRIM(Sync!$X1189)),2)="SL",IFERROR(VLOOKUP(Sync!$W1189,OpTbl,3,0),"")="فروش"),UPPER(TRIM(Sync!$X1189)),""))</f>
        <v/>
      </c>
      <c r="H1193">
        <f>IF($G1193="","",IF(Sync!$W1189="","",Sync!$W1189))</f>
        <v/>
      </c>
      <c r="I1193">
        <f>IF(OR($G1193="",Sync!$Y1189=""),"",Sync!$Y1189)</f>
        <v/>
      </c>
      <c r="J1193">
        <f>IF(OR($G1193="",Sync!$Z1189=""),"",Sync!$Z1189)</f>
        <v/>
      </c>
      <c r="K1193">
        <f>IF($G1193="",0,IF(Sync!$AA1189="",0,Sync!$AA1189))</f>
        <v/>
      </c>
      <c r="L1193">
        <f>IF($G1193="",0,IF(Sync!$AB1189="",0,Sync!$AB1189))</f>
        <v/>
      </c>
      <c r="M1193">
        <f>IF($G1193="","",IF($H1193="مرجوعی فروش",-1,1)*($K1193-$L1193*IFERROR(VLOOKUP("P01",ParamTbl,3,0),1.5)))</f>
        <v/>
      </c>
      <c r="N1193">
        <f>IF($G1193="",0,IF($H1193="مرجوعی فروش",-1,1)*IF(Sync!$AC1189="",0,Sync!$AC1189))</f>
        <v/>
      </c>
      <c r="O1193">
        <f>IF(OR($G1193="",Sync!$V1189=""),"",Sync!$V1189)</f>
        <v/>
      </c>
      <c r="P1193">
        <f>IF(OR($G1193="",Sync!$AD1189=""),"",Sync!$AD1189)</f>
        <v/>
      </c>
      <c r="Q1193">
        <f>IF($G1193="","",IF(Sync!$U1189="","0000",IF(AND(ISNUMBER(Sync!$U1189),Sync!$U1189&gt;=0,Sync!$U1189&lt;1),RIGHT("00"&amp;HOUR(Sync!$U1189),2)&amp;RIGHT("00"&amp;MINUTE(Sync!$U1189),2),IFERROR(RIGHT("00"&amp;VALUE(LEFT(Sync!$U1189,FIND(":",Sync!$U1189)-1)),2)&amp;RIGHT("00"&amp;VALUE(MID(Sync!$U1189,FIND(":",Sync!$U1189)+1,2)),2),"0000"))))</f>
        <v/>
      </c>
    </row>
    <row r="1194">
      <c r="A1194">
        <f>IF(Sync!$T1190="","",Sync!$T1190)</f>
        <v/>
      </c>
      <c r="B1194">
        <f>IF($A1194="","",IF(ISNUMBER($A1194),IF(AND($A1194&gt;=10000101,$A1194&lt;=99991231),INT($A1194/10000),""),IFERROR(VALUE(TRIM(LEFT($A1194,FIND("/",$A1194)-1))),"")))</f>
        <v/>
      </c>
      <c r="C1194">
        <f>IF(OR($A1194="",$B1194=""),"",IF(ISNUMBER($A1194),INT(MOD($A1194,10000)/100),IFERROR(VALUE(TRIM(LEFT(MID($A1194,FIND("/",$A1194)+1,20),FIND("/",MID($A1194,FIND("/",$A1194)+1,20))-1))),"")))</f>
        <v/>
      </c>
      <c r="D1194">
        <f>IF(OR($A1194="",$B1194=""),"",IF(ISNUMBER($A1194),MOD($A1194,100),IFERROR(VALUE(TRIM(MID(MID($A1194,FIND("/",$A1194)+1,20),FIND("/",MID($A1194,FIND("/",$A1194)+1,20))+1,20))),"")))</f>
        <v/>
      </c>
      <c r="E1194">
        <f>IF($A1194="","",IF(OR($B1194="",$C1194="",$D1194="",$B1194&lt;1300,$B1194&gt;1500,$C1194&lt;1,$C1194&gt;12,$D1194&lt;1,$D1194&gt;31),"نامعتبر",RIGHT("0000"&amp;$B1194,4)&amp;"/"&amp;RIGHT("00"&amp;$C1194,2)&amp;"/"&amp;RIGHT("00"&amp;$D1194,2)))</f>
        <v/>
      </c>
      <c r="F1194">
        <f>IF(OR($E1194="",$E1194="نامعتبر"),"",LEFT($E1194,4)&amp;"/"&amp;MID($E1194,6,2))</f>
        <v/>
      </c>
      <c r="G1194">
        <f>IF(OR($E1194="",$E1194="نامعتبر",Sync!$X1190=""),"",IF(AND(LEFT(UPPER(TRIM(Sync!$X1190)),2)="SL",IFERROR(VLOOKUP(Sync!$W1190,OpTbl,3,0),"")="فروش"),UPPER(TRIM(Sync!$X1190)),""))</f>
        <v/>
      </c>
      <c r="H1194">
        <f>IF($G1194="","",IF(Sync!$W1190="","",Sync!$W1190))</f>
        <v/>
      </c>
      <c r="I1194">
        <f>IF(OR($G1194="",Sync!$Y1190=""),"",Sync!$Y1190)</f>
        <v/>
      </c>
      <c r="J1194">
        <f>IF(OR($G1194="",Sync!$Z1190=""),"",Sync!$Z1190)</f>
        <v/>
      </c>
      <c r="K1194">
        <f>IF($G1194="",0,IF(Sync!$AA1190="",0,Sync!$AA1190))</f>
        <v/>
      </c>
      <c r="L1194">
        <f>IF($G1194="",0,IF(Sync!$AB1190="",0,Sync!$AB1190))</f>
        <v/>
      </c>
      <c r="M1194">
        <f>IF($G1194="","",IF($H1194="مرجوعی فروش",-1,1)*($K1194-$L1194*IFERROR(VLOOKUP("P01",ParamTbl,3,0),1.5)))</f>
        <v/>
      </c>
      <c r="N1194">
        <f>IF($G1194="",0,IF($H1194="مرجوعی فروش",-1,1)*IF(Sync!$AC1190="",0,Sync!$AC1190))</f>
        <v/>
      </c>
      <c r="O1194">
        <f>IF(OR($G1194="",Sync!$V1190=""),"",Sync!$V1190)</f>
        <v/>
      </c>
      <c r="P1194">
        <f>IF(OR($G1194="",Sync!$AD1190=""),"",Sync!$AD1190)</f>
        <v/>
      </c>
      <c r="Q1194">
        <f>IF($G1194="","",IF(Sync!$U1190="","0000",IF(AND(ISNUMBER(Sync!$U1190),Sync!$U1190&gt;=0,Sync!$U1190&lt;1),RIGHT("00"&amp;HOUR(Sync!$U1190),2)&amp;RIGHT("00"&amp;MINUTE(Sync!$U1190),2),IFERROR(RIGHT("00"&amp;VALUE(LEFT(Sync!$U1190,FIND(":",Sync!$U1190)-1)),2)&amp;RIGHT("00"&amp;VALUE(MID(Sync!$U1190,FIND(":",Sync!$U1190)+1,2)),2),"0000"))))</f>
        <v/>
      </c>
    </row>
    <row r="1195">
      <c r="A1195">
        <f>IF(Sync!$T1191="","",Sync!$T1191)</f>
        <v/>
      </c>
      <c r="B1195">
        <f>IF($A1195="","",IF(ISNUMBER($A1195),IF(AND($A1195&gt;=10000101,$A1195&lt;=99991231),INT($A1195/10000),""),IFERROR(VALUE(TRIM(LEFT($A1195,FIND("/",$A1195)-1))),"")))</f>
        <v/>
      </c>
      <c r="C1195">
        <f>IF(OR($A1195="",$B1195=""),"",IF(ISNUMBER($A1195),INT(MOD($A1195,10000)/100),IFERROR(VALUE(TRIM(LEFT(MID($A1195,FIND("/",$A1195)+1,20),FIND("/",MID($A1195,FIND("/",$A1195)+1,20))-1))),"")))</f>
        <v/>
      </c>
      <c r="D1195">
        <f>IF(OR($A1195="",$B1195=""),"",IF(ISNUMBER($A1195),MOD($A1195,100),IFERROR(VALUE(TRIM(MID(MID($A1195,FIND("/",$A1195)+1,20),FIND("/",MID($A1195,FIND("/",$A1195)+1,20))+1,20))),"")))</f>
        <v/>
      </c>
      <c r="E1195">
        <f>IF($A1195="","",IF(OR($B1195="",$C1195="",$D1195="",$B1195&lt;1300,$B1195&gt;1500,$C1195&lt;1,$C1195&gt;12,$D1195&lt;1,$D1195&gt;31),"نامعتبر",RIGHT("0000"&amp;$B1195,4)&amp;"/"&amp;RIGHT("00"&amp;$C1195,2)&amp;"/"&amp;RIGHT("00"&amp;$D1195,2)))</f>
        <v/>
      </c>
      <c r="F1195">
        <f>IF(OR($E1195="",$E1195="نامعتبر"),"",LEFT($E1195,4)&amp;"/"&amp;MID($E1195,6,2))</f>
        <v/>
      </c>
      <c r="G1195">
        <f>IF(OR($E1195="",$E1195="نامعتبر",Sync!$X1191=""),"",IF(AND(LEFT(UPPER(TRIM(Sync!$X1191)),2)="SL",IFERROR(VLOOKUP(Sync!$W1191,OpTbl,3,0),"")="فروش"),UPPER(TRIM(Sync!$X1191)),""))</f>
        <v/>
      </c>
      <c r="H1195">
        <f>IF($G1195="","",IF(Sync!$W1191="","",Sync!$W1191))</f>
        <v/>
      </c>
      <c r="I1195">
        <f>IF(OR($G1195="",Sync!$Y1191=""),"",Sync!$Y1191)</f>
        <v/>
      </c>
      <c r="J1195">
        <f>IF(OR($G1195="",Sync!$Z1191=""),"",Sync!$Z1191)</f>
        <v/>
      </c>
      <c r="K1195">
        <f>IF($G1195="",0,IF(Sync!$AA1191="",0,Sync!$AA1191))</f>
        <v/>
      </c>
      <c r="L1195">
        <f>IF($G1195="",0,IF(Sync!$AB1191="",0,Sync!$AB1191))</f>
        <v/>
      </c>
      <c r="M1195">
        <f>IF($G1195="","",IF($H1195="مرجوعی فروش",-1,1)*($K1195-$L1195*IFERROR(VLOOKUP("P01",ParamTbl,3,0),1.5)))</f>
        <v/>
      </c>
      <c r="N1195">
        <f>IF($G1195="",0,IF($H1195="مرجوعی فروش",-1,1)*IF(Sync!$AC1191="",0,Sync!$AC1191))</f>
        <v/>
      </c>
      <c r="O1195">
        <f>IF(OR($G1195="",Sync!$V1191=""),"",Sync!$V1191)</f>
        <v/>
      </c>
      <c r="P1195">
        <f>IF(OR($G1195="",Sync!$AD1191=""),"",Sync!$AD1191)</f>
        <v/>
      </c>
      <c r="Q1195">
        <f>IF($G1195="","",IF(Sync!$U1191="","0000",IF(AND(ISNUMBER(Sync!$U1191),Sync!$U1191&gt;=0,Sync!$U1191&lt;1),RIGHT("00"&amp;HOUR(Sync!$U1191),2)&amp;RIGHT("00"&amp;MINUTE(Sync!$U1191),2),IFERROR(RIGHT("00"&amp;VALUE(LEFT(Sync!$U1191,FIND(":",Sync!$U1191)-1)),2)&amp;RIGHT("00"&amp;VALUE(MID(Sync!$U1191,FIND(":",Sync!$U1191)+1,2)),2),"0000"))))</f>
        <v/>
      </c>
    </row>
    <row r="1196">
      <c r="A1196">
        <f>IF(Sync!$T1192="","",Sync!$T1192)</f>
        <v/>
      </c>
      <c r="B1196">
        <f>IF($A1196="","",IF(ISNUMBER($A1196),IF(AND($A1196&gt;=10000101,$A1196&lt;=99991231),INT($A1196/10000),""),IFERROR(VALUE(TRIM(LEFT($A1196,FIND("/",$A1196)-1))),"")))</f>
        <v/>
      </c>
      <c r="C1196">
        <f>IF(OR($A1196="",$B1196=""),"",IF(ISNUMBER($A1196),INT(MOD($A1196,10000)/100),IFERROR(VALUE(TRIM(LEFT(MID($A1196,FIND("/",$A1196)+1,20),FIND("/",MID($A1196,FIND("/",$A1196)+1,20))-1))),"")))</f>
        <v/>
      </c>
      <c r="D1196">
        <f>IF(OR($A1196="",$B1196=""),"",IF(ISNUMBER($A1196),MOD($A1196,100),IFERROR(VALUE(TRIM(MID(MID($A1196,FIND("/",$A1196)+1,20),FIND("/",MID($A1196,FIND("/",$A1196)+1,20))+1,20))),"")))</f>
        <v/>
      </c>
      <c r="E1196">
        <f>IF($A1196="","",IF(OR($B1196="",$C1196="",$D1196="",$B1196&lt;1300,$B1196&gt;1500,$C1196&lt;1,$C1196&gt;12,$D1196&lt;1,$D1196&gt;31),"نامعتبر",RIGHT("0000"&amp;$B1196,4)&amp;"/"&amp;RIGHT("00"&amp;$C1196,2)&amp;"/"&amp;RIGHT("00"&amp;$D1196,2)))</f>
        <v/>
      </c>
      <c r="F1196">
        <f>IF(OR($E1196="",$E1196="نامعتبر"),"",LEFT($E1196,4)&amp;"/"&amp;MID($E1196,6,2))</f>
        <v/>
      </c>
      <c r="G1196">
        <f>IF(OR($E1196="",$E1196="نامعتبر",Sync!$X1192=""),"",IF(AND(LEFT(UPPER(TRIM(Sync!$X1192)),2)="SL",IFERROR(VLOOKUP(Sync!$W1192,OpTbl,3,0),"")="فروش"),UPPER(TRIM(Sync!$X1192)),""))</f>
        <v/>
      </c>
      <c r="H1196">
        <f>IF($G1196="","",IF(Sync!$W1192="","",Sync!$W1192))</f>
        <v/>
      </c>
      <c r="I1196">
        <f>IF(OR($G1196="",Sync!$Y1192=""),"",Sync!$Y1192)</f>
        <v/>
      </c>
      <c r="J1196">
        <f>IF(OR($G1196="",Sync!$Z1192=""),"",Sync!$Z1192)</f>
        <v/>
      </c>
      <c r="K1196">
        <f>IF($G1196="",0,IF(Sync!$AA1192="",0,Sync!$AA1192))</f>
        <v/>
      </c>
      <c r="L1196">
        <f>IF($G1196="",0,IF(Sync!$AB1192="",0,Sync!$AB1192))</f>
        <v/>
      </c>
      <c r="M1196">
        <f>IF($G1196="","",IF($H1196="مرجوعی فروش",-1,1)*($K1196-$L1196*IFERROR(VLOOKUP("P01",ParamTbl,3,0),1.5)))</f>
        <v/>
      </c>
      <c r="N1196">
        <f>IF($G1196="",0,IF($H1196="مرجوعی فروش",-1,1)*IF(Sync!$AC1192="",0,Sync!$AC1192))</f>
        <v/>
      </c>
      <c r="O1196">
        <f>IF(OR($G1196="",Sync!$V1192=""),"",Sync!$V1192)</f>
        <v/>
      </c>
      <c r="P1196">
        <f>IF(OR($G1196="",Sync!$AD1192=""),"",Sync!$AD1192)</f>
        <v/>
      </c>
      <c r="Q1196">
        <f>IF($G1196="","",IF(Sync!$U1192="","0000",IF(AND(ISNUMBER(Sync!$U1192),Sync!$U1192&gt;=0,Sync!$U1192&lt;1),RIGHT("00"&amp;HOUR(Sync!$U1192),2)&amp;RIGHT("00"&amp;MINUTE(Sync!$U1192),2),IFERROR(RIGHT("00"&amp;VALUE(LEFT(Sync!$U1192,FIND(":",Sync!$U1192)-1)),2)&amp;RIGHT("00"&amp;VALUE(MID(Sync!$U1192,FIND(":",Sync!$U1192)+1,2)),2),"0000"))))</f>
        <v/>
      </c>
    </row>
    <row r="1197">
      <c r="A1197">
        <f>IF(Sync!$T1193="","",Sync!$T1193)</f>
        <v/>
      </c>
      <c r="B1197">
        <f>IF($A1197="","",IF(ISNUMBER($A1197),IF(AND($A1197&gt;=10000101,$A1197&lt;=99991231),INT($A1197/10000),""),IFERROR(VALUE(TRIM(LEFT($A1197,FIND("/",$A1197)-1))),"")))</f>
        <v/>
      </c>
      <c r="C1197">
        <f>IF(OR($A1197="",$B1197=""),"",IF(ISNUMBER($A1197),INT(MOD($A1197,10000)/100),IFERROR(VALUE(TRIM(LEFT(MID($A1197,FIND("/",$A1197)+1,20),FIND("/",MID($A1197,FIND("/",$A1197)+1,20))-1))),"")))</f>
        <v/>
      </c>
      <c r="D1197">
        <f>IF(OR($A1197="",$B1197=""),"",IF(ISNUMBER($A1197),MOD($A1197,100),IFERROR(VALUE(TRIM(MID(MID($A1197,FIND("/",$A1197)+1,20),FIND("/",MID($A1197,FIND("/",$A1197)+1,20))+1,20))),"")))</f>
        <v/>
      </c>
      <c r="E1197">
        <f>IF($A1197="","",IF(OR($B1197="",$C1197="",$D1197="",$B1197&lt;1300,$B1197&gt;1500,$C1197&lt;1,$C1197&gt;12,$D1197&lt;1,$D1197&gt;31),"نامعتبر",RIGHT("0000"&amp;$B1197,4)&amp;"/"&amp;RIGHT("00"&amp;$C1197,2)&amp;"/"&amp;RIGHT("00"&amp;$D1197,2)))</f>
        <v/>
      </c>
      <c r="F1197">
        <f>IF(OR($E1197="",$E1197="نامعتبر"),"",LEFT($E1197,4)&amp;"/"&amp;MID($E1197,6,2))</f>
        <v/>
      </c>
      <c r="G1197">
        <f>IF(OR($E1197="",$E1197="نامعتبر",Sync!$X1193=""),"",IF(AND(LEFT(UPPER(TRIM(Sync!$X1193)),2)="SL",IFERROR(VLOOKUP(Sync!$W1193,OpTbl,3,0),"")="فروش"),UPPER(TRIM(Sync!$X1193)),""))</f>
        <v/>
      </c>
      <c r="H1197">
        <f>IF($G1197="","",IF(Sync!$W1193="","",Sync!$W1193))</f>
        <v/>
      </c>
      <c r="I1197">
        <f>IF(OR($G1197="",Sync!$Y1193=""),"",Sync!$Y1193)</f>
        <v/>
      </c>
      <c r="J1197">
        <f>IF(OR($G1197="",Sync!$Z1193=""),"",Sync!$Z1193)</f>
        <v/>
      </c>
      <c r="K1197">
        <f>IF($G1197="",0,IF(Sync!$AA1193="",0,Sync!$AA1193))</f>
        <v/>
      </c>
      <c r="L1197">
        <f>IF($G1197="",0,IF(Sync!$AB1193="",0,Sync!$AB1193))</f>
        <v/>
      </c>
      <c r="M1197">
        <f>IF($G1197="","",IF($H1197="مرجوعی فروش",-1,1)*($K1197-$L1197*IFERROR(VLOOKUP("P01",ParamTbl,3,0),1.5)))</f>
        <v/>
      </c>
      <c r="N1197">
        <f>IF($G1197="",0,IF($H1197="مرجوعی فروش",-1,1)*IF(Sync!$AC1193="",0,Sync!$AC1193))</f>
        <v/>
      </c>
      <c r="O1197">
        <f>IF(OR($G1197="",Sync!$V1193=""),"",Sync!$V1193)</f>
        <v/>
      </c>
      <c r="P1197">
        <f>IF(OR($G1197="",Sync!$AD1193=""),"",Sync!$AD1193)</f>
        <v/>
      </c>
      <c r="Q1197">
        <f>IF($G1197="","",IF(Sync!$U1193="","0000",IF(AND(ISNUMBER(Sync!$U1193),Sync!$U1193&gt;=0,Sync!$U1193&lt;1),RIGHT("00"&amp;HOUR(Sync!$U1193),2)&amp;RIGHT("00"&amp;MINUTE(Sync!$U1193),2),IFERROR(RIGHT("00"&amp;VALUE(LEFT(Sync!$U1193,FIND(":",Sync!$U1193)-1)),2)&amp;RIGHT("00"&amp;VALUE(MID(Sync!$U1193,FIND(":",Sync!$U1193)+1,2)),2),"0000"))))</f>
        <v/>
      </c>
    </row>
    <row r="1198">
      <c r="A1198">
        <f>IF(Sync!$T1194="","",Sync!$T1194)</f>
        <v/>
      </c>
      <c r="B1198">
        <f>IF($A1198="","",IF(ISNUMBER($A1198),IF(AND($A1198&gt;=10000101,$A1198&lt;=99991231),INT($A1198/10000),""),IFERROR(VALUE(TRIM(LEFT($A1198,FIND("/",$A1198)-1))),"")))</f>
        <v/>
      </c>
      <c r="C1198">
        <f>IF(OR($A1198="",$B1198=""),"",IF(ISNUMBER($A1198),INT(MOD($A1198,10000)/100),IFERROR(VALUE(TRIM(LEFT(MID($A1198,FIND("/",$A1198)+1,20),FIND("/",MID($A1198,FIND("/",$A1198)+1,20))-1))),"")))</f>
        <v/>
      </c>
      <c r="D1198">
        <f>IF(OR($A1198="",$B1198=""),"",IF(ISNUMBER($A1198),MOD($A1198,100),IFERROR(VALUE(TRIM(MID(MID($A1198,FIND("/",$A1198)+1,20),FIND("/",MID($A1198,FIND("/",$A1198)+1,20))+1,20))),"")))</f>
        <v/>
      </c>
      <c r="E1198">
        <f>IF($A1198="","",IF(OR($B1198="",$C1198="",$D1198="",$B1198&lt;1300,$B1198&gt;1500,$C1198&lt;1,$C1198&gt;12,$D1198&lt;1,$D1198&gt;31),"نامعتبر",RIGHT("0000"&amp;$B1198,4)&amp;"/"&amp;RIGHT("00"&amp;$C1198,2)&amp;"/"&amp;RIGHT("00"&amp;$D1198,2)))</f>
        <v/>
      </c>
      <c r="F1198">
        <f>IF(OR($E1198="",$E1198="نامعتبر"),"",LEFT($E1198,4)&amp;"/"&amp;MID($E1198,6,2))</f>
        <v/>
      </c>
      <c r="G1198">
        <f>IF(OR($E1198="",$E1198="نامعتبر",Sync!$X1194=""),"",IF(AND(LEFT(UPPER(TRIM(Sync!$X1194)),2)="SL",IFERROR(VLOOKUP(Sync!$W1194,OpTbl,3,0),"")="فروش"),UPPER(TRIM(Sync!$X1194)),""))</f>
        <v/>
      </c>
      <c r="H1198">
        <f>IF($G1198="","",IF(Sync!$W1194="","",Sync!$W1194))</f>
        <v/>
      </c>
      <c r="I1198">
        <f>IF(OR($G1198="",Sync!$Y1194=""),"",Sync!$Y1194)</f>
        <v/>
      </c>
      <c r="J1198">
        <f>IF(OR($G1198="",Sync!$Z1194=""),"",Sync!$Z1194)</f>
        <v/>
      </c>
      <c r="K1198">
        <f>IF($G1198="",0,IF(Sync!$AA1194="",0,Sync!$AA1194))</f>
        <v/>
      </c>
      <c r="L1198">
        <f>IF($G1198="",0,IF(Sync!$AB1194="",0,Sync!$AB1194))</f>
        <v/>
      </c>
      <c r="M1198">
        <f>IF($G1198="","",IF($H1198="مرجوعی فروش",-1,1)*($K1198-$L1198*IFERROR(VLOOKUP("P01",ParamTbl,3,0),1.5)))</f>
        <v/>
      </c>
      <c r="N1198">
        <f>IF($G1198="",0,IF($H1198="مرجوعی فروش",-1,1)*IF(Sync!$AC1194="",0,Sync!$AC1194))</f>
        <v/>
      </c>
      <c r="O1198">
        <f>IF(OR($G1198="",Sync!$V1194=""),"",Sync!$V1194)</f>
        <v/>
      </c>
      <c r="P1198">
        <f>IF(OR($G1198="",Sync!$AD1194=""),"",Sync!$AD1194)</f>
        <v/>
      </c>
      <c r="Q1198">
        <f>IF($G1198="","",IF(Sync!$U1194="","0000",IF(AND(ISNUMBER(Sync!$U1194),Sync!$U1194&gt;=0,Sync!$U1194&lt;1),RIGHT("00"&amp;HOUR(Sync!$U1194),2)&amp;RIGHT("00"&amp;MINUTE(Sync!$U1194),2),IFERROR(RIGHT("00"&amp;VALUE(LEFT(Sync!$U1194,FIND(":",Sync!$U1194)-1)),2)&amp;RIGHT("00"&amp;VALUE(MID(Sync!$U1194,FIND(":",Sync!$U1194)+1,2)),2),"0000"))))</f>
        <v/>
      </c>
    </row>
    <row r="1199">
      <c r="A1199">
        <f>IF(Sync!$T1195="","",Sync!$T1195)</f>
        <v/>
      </c>
      <c r="B1199">
        <f>IF($A1199="","",IF(ISNUMBER($A1199),IF(AND($A1199&gt;=10000101,$A1199&lt;=99991231),INT($A1199/10000),""),IFERROR(VALUE(TRIM(LEFT($A1199,FIND("/",$A1199)-1))),"")))</f>
        <v/>
      </c>
      <c r="C1199">
        <f>IF(OR($A1199="",$B1199=""),"",IF(ISNUMBER($A1199),INT(MOD($A1199,10000)/100),IFERROR(VALUE(TRIM(LEFT(MID($A1199,FIND("/",$A1199)+1,20),FIND("/",MID($A1199,FIND("/",$A1199)+1,20))-1))),"")))</f>
        <v/>
      </c>
      <c r="D1199">
        <f>IF(OR($A1199="",$B1199=""),"",IF(ISNUMBER($A1199),MOD($A1199,100),IFERROR(VALUE(TRIM(MID(MID($A1199,FIND("/",$A1199)+1,20),FIND("/",MID($A1199,FIND("/",$A1199)+1,20))+1,20))),"")))</f>
        <v/>
      </c>
      <c r="E1199">
        <f>IF($A1199="","",IF(OR($B1199="",$C1199="",$D1199="",$B1199&lt;1300,$B1199&gt;1500,$C1199&lt;1,$C1199&gt;12,$D1199&lt;1,$D1199&gt;31),"نامعتبر",RIGHT("0000"&amp;$B1199,4)&amp;"/"&amp;RIGHT("00"&amp;$C1199,2)&amp;"/"&amp;RIGHT("00"&amp;$D1199,2)))</f>
        <v/>
      </c>
      <c r="F1199">
        <f>IF(OR($E1199="",$E1199="نامعتبر"),"",LEFT($E1199,4)&amp;"/"&amp;MID($E1199,6,2))</f>
        <v/>
      </c>
      <c r="G1199">
        <f>IF(OR($E1199="",$E1199="نامعتبر",Sync!$X1195=""),"",IF(AND(LEFT(UPPER(TRIM(Sync!$X1195)),2)="SL",IFERROR(VLOOKUP(Sync!$W1195,OpTbl,3,0),"")="فروش"),UPPER(TRIM(Sync!$X1195)),""))</f>
        <v/>
      </c>
      <c r="H1199">
        <f>IF($G1199="","",IF(Sync!$W1195="","",Sync!$W1195))</f>
        <v/>
      </c>
      <c r="I1199">
        <f>IF(OR($G1199="",Sync!$Y1195=""),"",Sync!$Y1195)</f>
        <v/>
      </c>
      <c r="J1199">
        <f>IF(OR($G1199="",Sync!$Z1195=""),"",Sync!$Z1195)</f>
        <v/>
      </c>
      <c r="K1199">
        <f>IF($G1199="",0,IF(Sync!$AA1195="",0,Sync!$AA1195))</f>
        <v/>
      </c>
      <c r="L1199">
        <f>IF($G1199="",0,IF(Sync!$AB1195="",0,Sync!$AB1195))</f>
        <v/>
      </c>
      <c r="M1199">
        <f>IF($G1199="","",IF($H1199="مرجوعی فروش",-1,1)*($K1199-$L1199*IFERROR(VLOOKUP("P01",ParamTbl,3,0),1.5)))</f>
        <v/>
      </c>
      <c r="N1199">
        <f>IF($G1199="",0,IF($H1199="مرجوعی فروش",-1,1)*IF(Sync!$AC1195="",0,Sync!$AC1195))</f>
        <v/>
      </c>
      <c r="O1199">
        <f>IF(OR($G1199="",Sync!$V1195=""),"",Sync!$V1195)</f>
        <v/>
      </c>
      <c r="P1199">
        <f>IF(OR($G1199="",Sync!$AD1195=""),"",Sync!$AD1195)</f>
        <v/>
      </c>
      <c r="Q1199">
        <f>IF($G1199="","",IF(Sync!$U1195="","0000",IF(AND(ISNUMBER(Sync!$U1195),Sync!$U1195&gt;=0,Sync!$U1195&lt;1),RIGHT("00"&amp;HOUR(Sync!$U1195),2)&amp;RIGHT("00"&amp;MINUTE(Sync!$U1195),2),IFERROR(RIGHT("00"&amp;VALUE(LEFT(Sync!$U1195,FIND(":",Sync!$U1195)-1)),2)&amp;RIGHT("00"&amp;VALUE(MID(Sync!$U1195,FIND(":",Sync!$U1195)+1,2)),2),"0000"))))</f>
        <v/>
      </c>
    </row>
    <row r="1200">
      <c r="A1200">
        <f>IF(Sync!$T1196="","",Sync!$T1196)</f>
        <v/>
      </c>
      <c r="B1200">
        <f>IF($A1200="","",IF(ISNUMBER($A1200),IF(AND($A1200&gt;=10000101,$A1200&lt;=99991231),INT($A1200/10000),""),IFERROR(VALUE(TRIM(LEFT($A1200,FIND("/",$A1200)-1))),"")))</f>
        <v/>
      </c>
      <c r="C1200">
        <f>IF(OR($A1200="",$B1200=""),"",IF(ISNUMBER($A1200),INT(MOD($A1200,10000)/100),IFERROR(VALUE(TRIM(LEFT(MID($A1200,FIND("/",$A1200)+1,20),FIND("/",MID($A1200,FIND("/",$A1200)+1,20))-1))),"")))</f>
        <v/>
      </c>
      <c r="D1200">
        <f>IF(OR($A1200="",$B1200=""),"",IF(ISNUMBER($A1200),MOD($A1200,100),IFERROR(VALUE(TRIM(MID(MID($A1200,FIND("/",$A1200)+1,20),FIND("/",MID($A1200,FIND("/",$A1200)+1,20))+1,20))),"")))</f>
        <v/>
      </c>
      <c r="E1200">
        <f>IF($A1200="","",IF(OR($B1200="",$C1200="",$D1200="",$B1200&lt;1300,$B1200&gt;1500,$C1200&lt;1,$C1200&gt;12,$D1200&lt;1,$D1200&gt;31),"نامعتبر",RIGHT("0000"&amp;$B1200,4)&amp;"/"&amp;RIGHT("00"&amp;$C1200,2)&amp;"/"&amp;RIGHT("00"&amp;$D1200,2)))</f>
        <v/>
      </c>
      <c r="F1200">
        <f>IF(OR($E1200="",$E1200="نامعتبر"),"",LEFT($E1200,4)&amp;"/"&amp;MID($E1200,6,2))</f>
        <v/>
      </c>
      <c r="G1200">
        <f>IF(OR($E1200="",$E1200="نامعتبر",Sync!$X1196=""),"",IF(AND(LEFT(UPPER(TRIM(Sync!$X1196)),2)="SL",IFERROR(VLOOKUP(Sync!$W1196,OpTbl,3,0),"")="فروش"),UPPER(TRIM(Sync!$X1196)),""))</f>
        <v/>
      </c>
      <c r="H1200">
        <f>IF($G1200="","",IF(Sync!$W1196="","",Sync!$W1196))</f>
        <v/>
      </c>
      <c r="I1200">
        <f>IF(OR($G1200="",Sync!$Y1196=""),"",Sync!$Y1196)</f>
        <v/>
      </c>
      <c r="J1200">
        <f>IF(OR($G1200="",Sync!$Z1196=""),"",Sync!$Z1196)</f>
        <v/>
      </c>
      <c r="K1200">
        <f>IF($G1200="",0,IF(Sync!$AA1196="",0,Sync!$AA1196))</f>
        <v/>
      </c>
      <c r="L1200">
        <f>IF($G1200="",0,IF(Sync!$AB1196="",0,Sync!$AB1196))</f>
        <v/>
      </c>
      <c r="M1200">
        <f>IF($G1200="","",IF($H1200="مرجوعی فروش",-1,1)*($K1200-$L1200*IFERROR(VLOOKUP("P01",ParamTbl,3,0),1.5)))</f>
        <v/>
      </c>
      <c r="N1200">
        <f>IF($G1200="",0,IF($H1200="مرجوعی فروش",-1,1)*IF(Sync!$AC1196="",0,Sync!$AC1196))</f>
        <v/>
      </c>
      <c r="O1200">
        <f>IF(OR($G1200="",Sync!$V1196=""),"",Sync!$V1196)</f>
        <v/>
      </c>
      <c r="P1200">
        <f>IF(OR($G1200="",Sync!$AD1196=""),"",Sync!$AD1196)</f>
        <v/>
      </c>
      <c r="Q1200">
        <f>IF($G1200="","",IF(Sync!$U1196="","0000",IF(AND(ISNUMBER(Sync!$U1196),Sync!$U1196&gt;=0,Sync!$U1196&lt;1),RIGHT("00"&amp;HOUR(Sync!$U1196),2)&amp;RIGHT("00"&amp;MINUTE(Sync!$U1196),2),IFERROR(RIGHT("00"&amp;VALUE(LEFT(Sync!$U1196,FIND(":",Sync!$U1196)-1)),2)&amp;RIGHT("00"&amp;VALUE(MID(Sync!$U1196,FIND(":",Sync!$U1196)+1,2)),2),"0000"))))</f>
        <v/>
      </c>
    </row>
    <row r="1201">
      <c r="A1201">
        <f>IF(Sync!$T1197="","",Sync!$T1197)</f>
        <v/>
      </c>
      <c r="B1201">
        <f>IF($A1201="","",IF(ISNUMBER($A1201),IF(AND($A1201&gt;=10000101,$A1201&lt;=99991231),INT($A1201/10000),""),IFERROR(VALUE(TRIM(LEFT($A1201,FIND("/",$A1201)-1))),"")))</f>
        <v/>
      </c>
      <c r="C1201">
        <f>IF(OR($A1201="",$B1201=""),"",IF(ISNUMBER($A1201),INT(MOD($A1201,10000)/100),IFERROR(VALUE(TRIM(LEFT(MID($A1201,FIND("/",$A1201)+1,20),FIND("/",MID($A1201,FIND("/",$A1201)+1,20))-1))),"")))</f>
        <v/>
      </c>
      <c r="D1201">
        <f>IF(OR($A1201="",$B1201=""),"",IF(ISNUMBER($A1201),MOD($A1201,100),IFERROR(VALUE(TRIM(MID(MID($A1201,FIND("/",$A1201)+1,20),FIND("/",MID($A1201,FIND("/",$A1201)+1,20))+1,20))),"")))</f>
        <v/>
      </c>
      <c r="E1201">
        <f>IF($A1201="","",IF(OR($B1201="",$C1201="",$D1201="",$B1201&lt;1300,$B1201&gt;1500,$C1201&lt;1,$C1201&gt;12,$D1201&lt;1,$D1201&gt;31),"نامعتبر",RIGHT("0000"&amp;$B1201,4)&amp;"/"&amp;RIGHT("00"&amp;$C1201,2)&amp;"/"&amp;RIGHT("00"&amp;$D1201,2)))</f>
        <v/>
      </c>
      <c r="F1201">
        <f>IF(OR($E1201="",$E1201="نامعتبر"),"",LEFT($E1201,4)&amp;"/"&amp;MID($E1201,6,2))</f>
        <v/>
      </c>
      <c r="G1201">
        <f>IF(OR($E1201="",$E1201="نامعتبر",Sync!$X1197=""),"",IF(AND(LEFT(UPPER(TRIM(Sync!$X1197)),2)="SL",IFERROR(VLOOKUP(Sync!$W1197,OpTbl,3,0),"")="فروش"),UPPER(TRIM(Sync!$X1197)),""))</f>
        <v/>
      </c>
      <c r="H1201">
        <f>IF($G1201="","",IF(Sync!$W1197="","",Sync!$W1197))</f>
        <v/>
      </c>
      <c r="I1201">
        <f>IF(OR($G1201="",Sync!$Y1197=""),"",Sync!$Y1197)</f>
        <v/>
      </c>
      <c r="J1201">
        <f>IF(OR($G1201="",Sync!$Z1197=""),"",Sync!$Z1197)</f>
        <v/>
      </c>
      <c r="K1201">
        <f>IF($G1201="",0,IF(Sync!$AA1197="",0,Sync!$AA1197))</f>
        <v/>
      </c>
      <c r="L1201">
        <f>IF($G1201="",0,IF(Sync!$AB1197="",0,Sync!$AB1197))</f>
        <v/>
      </c>
      <c r="M1201">
        <f>IF($G1201="","",IF($H1201="مرجوعی فروش",-1,1)*($K1201-$L1201*IFERROR(VLOOKUP("P01",ParamTbl,3,0),1.5)))</f>
        <v/>
      </c>
      <c r="N1201">
        <f>IF($G1201="",0,IF($H1201="مرجوعی فروش",-1,1)*IF(Sync!$AC1197="",0,Sync!$AC1197))</f>
        <v/>
      </c>
      <c r="O1201">
        <f>IF(OR($G1201="",Sync!$V1197=""),"",Sync!$V1197)</f>
        <v/>
      </c>
      <c r="P1201">
        <f>IF(OR($G1201="",Sync!$AD1197=""),"",Sync!$AD1197)</f>
        <v/>
      </c>
      <c r="Q1201">
        <f>IF($G1201="","",IF(Sync!$U1197="","0000",IF(AND(ISNUMBER(Sync!$U1197),Sync!$U1197&gt;=0,Sync!$U1197&lt;1),RIGHT("00"&amp;HOUR(Sync!$U1197),2)&amp;RIGHT("00"&amp;MINUTE(Sync!$U1197),2),IFERROR(RIGHT("00"&amp;VALUE(LEFT(Sync!$U1197,FIND(":",Sync!$U1197)-1)),2)&amp;RIGHT("00"&amp;VALUE(MID(Sync!$U1197,FIND(":",Sync!$U1197)+1,2)),2),"0000"))))</f>
        <v/>
      </c>
    </row>
    <row r="1202">
      <c r="A1202">
        <f>IF(Sync!$T1198="","",Sync!$T1198)</f>
        <v/>
      </c>
      <c r="B1202">
        <f>IF($A1202="","",IF(ISNUMBER($A1202),IF(AND($A1202&gt;=10000101,$A1202&lt;=99991231),INT($A1202/10000),""),IFERROR(VALUE(TRIM(LEFT($A1202,FIND("/",$A1202)-1))),"")))</f>
        <v/>
      </c>
      <c r="C1202">
        <f>IF(OR($A1202="",$B1202=""),"",IF(ISNUMBER($A1202),INT(MOD($A1202,10000)/100),IFERROR(VALUE(TRIM(LEFT(MID($A1202,FIND("/",$A1202)+1,20),FIND("/",MID($A1202,FIND("/",$A1202)+1,20))-1))),"")))</f>
        <v/>
      </c>
      <c r="D1202">
        <f>IF(OR($A1202="",$B1202=""),"",IF(ISNUMBER($A1202),MOD($A1202,100),IFERROR(VALUE(TRIM(MID(MID($A1202,FIND("/",$A1202)+1,20),FIND("/",MID($A1202,FIND("/",$A1202)+1,20))+1,20))),"")))</f>
        <v/>
      </c>
      <c r="E1202">
        <f>IF($A1202="","",IF(OR($B1202="",$C1202="",$D1202="",$B1202&lt;1300,$B1202&gt;1500,$C1202&lt;1,$C1202&gt;12,$D1202&lt;1,$D1202&gt;31),"نامعتبر",RIGHT("0000"&amp;$B1202,4)&amp;"/"&amp;RIGHT("00"&amp;$C1202,2)&amp;"/"&amp;RIGHT("00"&amp;$D1202,2)))</f>
        <v/>
      </c>
      <c r="F1202">
        <f>IF(OR($E1202="",$E1202="نامعتبر"),"",LEFT($E1202,4)&amp;"/"&amp;MID($E1202,6,2))</f>
        <v/>
      </c>
      <c r="G1202">
        <f>IF(OR($E1202="",$E1202="نامعتبر",Sync!$X1198=""),"",IF(AND(LEFT(UPPER(TRIM(Sync!$X1198)),2)="SL",IFERROR(VLOOKUP(Sync!$W1198,OpTbl,3,0),"")="فروش"),UPPER(TRIM(Sync!$X1198)),""))</f>
        <v/>
      </c>
      <c r="H1202">
        <f>IF($G1202="","",IF(Sync!$W1198="","",Sync!$W1198))</f>
        <v/>
      </c>
      <c r="I1202">
        <f>IF(OR($G1202="",Sync!$Y1198=""),"",Sync!$Y1198)</f>
        <v/>
      </c>
      <c r="J1202">
        <f>IF(OR($G1202="",Sync!$Z1198=""),"",Sync!$Z1198)</f>
        <v/>
      </c>
      <c r="K1202">
        <f>IF($G1202="",0,IF(Sync!$AA1198="",0,Sync!$AA1198))</f>
        <v/>
      </c>
      <c r="L1202">
        <f>IF($G1202="",0,IF(Sync!$AB1198="",0,Sync!$AB1198))</f>
        <v/>
      </c>
      <c r="M1202">
        <f>IF($G1202="","",IF($H1202="مرجوعی فروش",-1,1)*($K1202-$L1202*IFERROR(VLOOKUP("P01",ParamTbl,3,0),1.5)))</f>
        <v/>
      </c>
      <c r="N1202">
        <f>IF($G1202="",0,IF($H1202="مرجوعی فروش",-1,1)*IF(Sync!$AC1198="",0,Sync!$AC1198))</f>
        <v/>
      </c>
      <c r="O1202">
        <f>IF(OR($G1202="",Sync!$V1198=""),"",Sync!$V1198)</f>
        <v/>
      </c>
      <c r="P1202">
        <f>IF(OR($G1202="",Sync!$AD1198=""),"",Sync!$AD1198)</f>
        <v/>
      </c>
      <c r="Q1202">
        <f>IF($G1202="","",IF(Sync!$U1198="","0000",IF(AND(ISNUMBER(Sync!$U1198),Sync!$U1198&gt;=0,Sync!$U1198&lt;1),RIGHT("00"&amp;HOUR(Sync!$U1198),2)&amp;RIGHT("00"&amp;MINUTE(Sync!$U1198),2),IFERROR(RIGHT("00"&amp;VALUE(LEFT(Sync!$U1198,FIND(":",Sync!$U1198)-1)),2)&amp;RIGHT("00"&amp;VALUE(MID(Sync!$U1198,FIND(":",Sync!$U1198)+1,2)),2),"0000"))))</f>
        <v/>
      </c>
    </row>
    <row r="1203">
      <c r="A1203">
        <f>IF(Sync!$T1199="","",Sync!$T1199)</f>
        <v/>
      </c>
      <c r="B1203">
        <f>IF($A1203="","",IF(ISNUMBER($A1203),IF(AND($A1203&gt;=10000101,$A1203&lt;=99991231),INT($A1203/10000),""),IFERROR(VALUE(TRIM(LEFT($A1203,FIND("/",$A1203)-1))),"")))</f>
        <v/>
      </c>
      <c r="C1203">
        <f>IF(OR($A1203="",$B1203=""),"",IF(ISNUMBER($A1203),INT(MOD($A1203,10000)/100),IFERROR(VALUE(TRIM(LEFT(MID($A1203,FIND("/",$A1203)+1,20),FIND("/",MID($A1203,FIND("/",$A1203)+1,20))-1))),"")))</f>
        <v/>
      </c>
      <c r="D1203">
        <f>IF(OR($A1203="",$B1203=""),"",IF(ISNUMBER($A1203),MOD($A1203,100),IFERROR(VALUE(TRIM(MID(MID($A1203,FIND("/",$A1203)+1,20),FIND("/",MID($A1203,FIND("/",$A1203)+1,20))+1,20))),"")))</f>
        <v/>
      </c>
      <c r="E1203">
        <f>IF($A1203="","",IF(OR($B1203="",$C1203="",$D1203="",$B1203&lt;1300,$B1203&gt;1500,$C1203&lt;1,$C1203&gt;12,$D1203&lt;1,$D1203&gt;31),"نامعتبر",RIGHT("0000"&amp;$B1203,4)&amp;"/"&amp;RIGHT("00"&amp;$C1203,2)&amp;"/"&amp;RIGHT("00"&amp;$D1203,2)))</f>
        <v/>
      </c>
      <c r="F1203">
        <f>IF(OR($E1203="",$E1203="نامعتبر"),"",LEFT($E1203,4)&amp;"/"&amp;MID($E1203,6,2))</f>
        <v/>
      </c>
      <c r="G1203">
        <f>IF(OR($E1203="",$E1203="نامعتبر",Sync!$X1199=""),"",IF(AND(LEFT(UPPER(TRIM(Sync!$X1199)),2)="SL",IFERROR(VLOOKUP(Sync!$W1199,OpTbl,3,0),"")="فروش"),UPPER(TRIM(Sync!$X1199)),""))</f>
        <v/>
      </c>
      <c r="H1203">
        <f>IF($G1203="","",IF(Sync!$W1199="","",Sync!$W1199))</f>
        <v/>
      </c>
      <c r="I1203">
        <f>IF(OR($G1203="",Sync!$Y1199=""),"",Sync!$Y1199)</f>
        <v/>
      </c>
      <c r="J1203">
        <f>IF(OR($G1203="",Sync!$Z1199=""),"",Sync!$Z1199)</f>
        <v/>
      </c>
      <c r="K1203">
        <f>IF($G1203="",0,IF(Sync!$AA1199="",0,Sync!$AA1199))</f>
        <v/>
      </c>
      <c r="L1203">
        <f>IF($G1203="",0,IF(Sync!$AB1199="",0,Sync!$AB1199))</f>
        <v/>
      </c>
      <c r="M1203">
        <f>IF($G1203="","",IF($H1203="مرجوعی فروش",-1,1)*($K1203-$L1203*IFERROR(VLOOKUP("P01",ParamTbl,3,0),1.5)))</f>
        <v/>
      </c>
      <c r="N1203">
        <f>IF($G1203="",0,IF($H1203="مرجوعی فروش",-1,1)*IF(Sync!$AC1199="",0,Sync!$AC1199))</f>
        <v/>
      </c>
      <c r="O1203">
        <f>IF(OR($G1203="",Sync!$V1199=""),"",Sync!$V1199)</f>
        <v/>
      </c>
      <c r="P1203">
        <f>IF(OR($G1203="",Sync!$AD1199=""),"",Sync!$AD1199)</f>
        <v/>
      </c>
      <c r="Q1203">
        <f>IF($G1203="","",IF(Sync!$U1199="","0000",IF(AND(ISNUMBER(Sync!$U1199),Sync!$U1199&gt;=0,Sync!$U1199&lt;1),RIGHT("00"&amp;HOUR(Sync!$U1199),2)&amp;RIGHT("00"&amp;MINUTE(Sync!$U1199),2),IFERROR(RIGHT("00"&amp;VALUE(LEFT(Sync!$U1199,FIND(":",Sync!$U1199)-1)),2)&amp;RIGHT("00"&amp;VALUE(MID(Sync!$U1199,FIND(":",Sync!$U1199)+1,2)),2),"0000"))))</f>
        <v/>
      </c>
    </row>
    <row r="1204">
      <c r="A1204">
        <f>IF(Sync!$T1200="","",Sync!$T1200)</f>
        <v/>
      </c>
      <c r="B1204">
        <f>IF($A1204="","",IF(ISNUMBER($A1204),IF(AND($A1204&gt;=10000101,$A1204&lt;=99991231),INT($A1204/10000),""),IFERROR(VALUE(TRIM(LEFT($A1204,FIND("/",$A1204)-1))),"")))</f>
        <v/>
      </c>
      <c r="C1204">
        <f>IF(OR($A1204="",$B1204=""),"",IF(ISNUMBER($A1204),INT(MOD($A1204,10000)/100),IFERROR(VALUE(TRIM(LEFT(MID($A1204,FIND("/",$A1204)+1,20),FIND("/",MID($A1204,FIND("/",$A1204)+1,20))-1))),"")))</f>
        <v/>
      </c>
      <c r="D1204">
        <f>IF(OR($A1204="",$B1204=""),"",IF(ISNUMBER($A1204),MOD($A1204,100),IFERROR(VALUE(TRIM(MID(MID($A1204,FIND("/",$A1204)+1,20),FIND("/",MID($A1204,FIND("/",$A1204)+1,20))+1,20))),"")))</f>
        <v/>
      </c>
      <c r="E1204">
        <f>IF($A1204="","",IF(OR($B1204="",$C1204="",$D1204="",$B1204&lt;1300,$B1204&gt;1500,$C1204&lt;1,$C1204&gt;12,$D1204&lt;1,$D1204&gt;31),"نامعتبر",RIGHT("0000"&amp;$B1204,4)&amp;"/"&amp;RIGHT("00"&amp;$C1204,2)&amp;"/"&amp;RIGHT("00"&amp;$D1204,2)))</f>
        <v/>
      </c>
      <c r="F1204">
        <f>IF(OR($E1204="",$E1204="نامعتبر"),"",LEFT($E1204,4)&amp;"/"&amp;MID($E1204,6,2))</f>
        <v/>
      </c>
      <c r="G1204">
        <f>IF(OR($E1204="",$E1204="نامعتبر",Sync!$X1200=""),"",IF(AND(LEFT(UPPER(TRIM(Sync!$X1200)),2)="SL",IFERROR(VLOOKUP(Sync!$W1200,OpTbl,3,0),"")="فروش"),UPPER(TRIM(Sync!$X1200)),""))</f>
        <v/>
      </c>
      <c r="H1204">
        <f>IF($G1204="","",IF(Sync!$W1200="","",Sync!$W1200))</f>
        <v/>
      </c>
      <c r="I1204">
        <f>IF(OR($G1204="",Sync!$Y1200=""),"",Sync!$Y1200)</f>
        <v/>
      </c>
      <c r="J1204">
        <f>IF(OR($G1204="",Sync!$Z1200=""),"",Sync!$Z1200)</f>
        <v/>
      </c>
      <c r="K1204">
        <f>IF($G1204="",0,IF(Sync!$AA1200="",0,Sync!$AA1200))</f>
        <v/>
      </c>
      <c r="L1204">
        <f>IF($G1204="",0,IF(Sync!$AB1200="",0,Sync!$AB1200))</f>
        <v/>
      </c>
      <c r="M1204">
        <f>IF($G1204="","",IF($H1204="مرجوعی فروش",-1,1)*($K1204-$L1204*IFERROR(VLOOKUP("P01",ParamTbl,3,0),1.5)))</f>
        <v/>
      </c>
      <c r="N1204">
        <f>IF($G1204="",0,IF($H1204="مرجوعی فروش",-1,1)*IF(Sync!$AC1200="",0,Sync!$AC1200))</f>
        <v/>
      </c>
      <c r="O1204">
        <f>IF(OR($G1204="",Sync!$V1200=""),"",Sync!$V1200)</f>
        <v/>
      </c>
      <c r="P1204">
        <f>IF(OR($G1204="",Sync!$AD1200=""),"",Sync!$AD1200)</f>
        <v/>
      </c>
      <c r="Q1204">
        <f>IF($G1204="","",IF(Sync!$U1200="","0000",IF(AND(ISNUMBER(Sync!$U1200),Sync!$U1200&gt;=0,Sync!$U1200&lt;1),RIGHT("00"&amp;HOUR(Sync!$U1200),2)&amp;RIGHT("00"&amp;MINUTE(Sync!$U1200),2),IFERROR(RIGHT("00"&amp;VALUE(LEFT(Sync!$U1200,FIND(":",Sync!$U1200)-1)),2)&amp;RIGHT("00"&amp;VALUE(MID(Sync!$U1200,FIND(":",Sync!$U1200)+1,2)),2),"0000"))))</f>
        <v/>
      </c>
    </row>
    <row r="1205">
      <c r="A1205">
        <f>IF(Sync!$T1201="","",Sync!$T1201)</f>
        <v/>
      </c>
      <c r="B1205">
        <f>IF($A1205="","",IF(ISNUMBER($A1205),IF(AND($A1205&gt;=10000101,$A1205&lt;=99991231),INT($A1205/10000),""),IFERROR(VALUE(TRIM(LEFT($A1205,FIND("/",$A1205)-1))),"")))</f>
        <v/>
      </c>
      <c r="C1205">
        <f>IF(OR($A1205="",$B1205=""),"",IF(ISNUMBER($A1205),INT(MOD($A1205,10000)/100),IFERROR(VALUE(TRIM(LEFT(MID($A1205,FIND("/",$A1205)+1,20),FIND("/",MID($A1205,FIND("/",$A1205)+1,20))-1))),"")))</f>
        <v/>
      </c>
      <c r="D1205">
        <f>IF(OR($A1205="",$B1205=""),"",IF(ISNUMBER($A1205),MOD($A1205,100),IFERROR(VALUE(TRIM(MID(MID($A1205,FIND("/",$A1205)+1,20),FIND("/",MID($A1205,FIND("/",$A1205)+1,20))+1,20))),"")))</f>
        <v/>
      </c>
      <c r="E1205">
        <f>IF($A1205="","",IF(OR($B1205="",$C1205="",$D1205="",$B1205&lt;1300,$B1205&gt;1500,$C1205&lt;1,$C1205&gt;12,$D1205&lt;1,$D1205&gt;31),"نامعتبر",RIGHT("0000"&amp;$B1205,4)&amp;"/"&amp;RIGHT("00"&amp;$C1205,2)&amp;"/"&amp;RIGHT("00"&amp;$D1205,2)))</f>
        <v/>
      </c>
      <c r="F1205">
        <f>IF(OR($E1205="",$E1205="نامعتبر"),"",LEFT($E1205,4)&amp;"/"&amp;MID($E1205,6,2))</f>
        <v/>
      </c>
      <c r="G1205">
        <f>IF(OR($E1205="",$E1205="نامعتبر",Sync!$X1201=""),"",IF(AND(LEFT(UPPER(TRIM(Sync!$X1201)),2)="SL",IFERROR(VLOOKUP(Sync!$W1201,OpTbl,3,0),"")="فروش"),UPPER(TRIM(Sync!$X1201)),""))</f>
        <v/>
      </c>
      <c r="H1205">
        <f>IF($G1205="","",IF(Sync!$W1201="","",Sync!$W1201))</f>
        <v/>
      </c>
      <c r="I1205">
        <f>IF(OR($G1205="",Sync!$Y1201=""),"",Sync!$Y1201)</f>
        <v/>
      </c>
      <c r="J1205">
        <f>IF(OR($G1205="",Sync!$Z1201=""),"",Sync!$Z1201)</f>
        <v/>
      </c>
      <c r="K1205">
        <f>IF($G1205="",0,IF(Sync!$AA1201="",0,Sync!$AA1201))</f>
        <v/>
      </c>
      <c r="L1205">
        <f>IF($G1205="",0,IF(Sync!$AB1201="",0,Sync!$AB1201))</f>
        <v/>
      </c>
      <c r="M1205">
        <f>IF($G1205="","",IF($H1205="مرجوعی فروش",-1,1)*($K1205-$L1205*IFERROR(VLOOKUP("P01",ParamTbl,3,0),1.5)))</f>
        <v/>
      </c>
      <c r="N1205">
        <f>IF($G1205="",0,IF($H1205="مرجوعی فروش",-1,1)*IF(Sync!$AC1201="",0,Sync!$AC1201))</f>
        <v/>
      </c>
      <c r="O1205">
        <f>IF(OR($G1205="",Sync!$V1201=""),"",Sync!$V1201)</f>
        <v/>
      </c>
      <c r="P1205">
        <f>IF(OR($G1205="",Sync!$AD1201=""),"",Sync!$AD1201)</f>
        <v/>
      </c>
      <c r="Q1205">
        <f>IF($G1205="","",IF(Sync!$U1201="","0000",IF(AND(ISNUMBER(Sync!$U1201),Sync!$U1201&gt;=0,Sync!$U1201&lt;1),RIGHT("00"&amp;HOUR(Sync!$U1201),2)&amp;RIGHT("00"&amp;MINUTE(Sync!$U1201),2),IFERROR(RIGHT("00"&amp;VALUE(LEFT(Sync!$U1201,FIND(":",Sync!$U1201)-1)),2)&amp;RIGHT("00"&amp;VALUE(MID(Sync!$U1201,FIND(":",Sync!$U1201)+1,2)),2),"0000"))))</f>
        <v/>
      </c>
    </row>
    <row r="1206">
      <c r="A1206">
        <f>IF(Sync!$T1202="","",Sync!$T1202)</f>
        <v/>
      </c>
      <c r="B1206">
        <f>IF($A1206="","",IF(ISNUMBER($A1206),IF(AND($A1206&gt;=10000101,$A1206&lt;=99991231),INT($A1206/10000),""),IFERROR(VALUE(TRIM(LEFT($A1206,FIND("/",$A1206)-1))),"")))</f>
        <v/>
      </c>
      <c r="C1206">
        <f>IF(OR($A1206="",$B1206=""),"",IF(ISNUMBER($A1206),INT(MOD($A1206,10000)/100),IFERROR(VALUE(TRIM(LEFT(MID($A1206,FIND("/",$A1206)+1,20),FIND("/",MID($A1206,FIND("/",$A1206)+1,20))-1))),"")))</f>
        <v/>
      </c>
      <c r="D1206">
        <f>IF(OR($A1206="",$B1206=""),"",IF(ISNUMBER($A1206),MOD($A1206,100),IFERROR(VALUE(TRIM(MID(MID($A1206,FIND("/",$A1206)+1,20),FIND("/",MID($A1206,FIND("/",$A1206)+1,20))+1,20))),"")))</f>
        <v/>
      </c>
      <c r="E1206">
        <f>IF($A1206="","",IF(OR($B1206="",$C1206="",$D1206="",$B1206&lt;1300,$B1206&gt;1500,$C1206&lt;1,$C1206&gt;12,$D1206&lt;1,$D1206&gt;31),"نامعتبر",RIGHT("0000"&amp;$B1206,4)&amp;"/"&amp;RIGHT("00"&amp;$C1206,2)&amp;"/"&amp;RIGHT("00"&amp;$D1206,2)))</f>
        <v/>
      </c>
      <c r="F1206">
        <f>IF(OR($E1206="",$E1206="نامعتبر"),"",LEFT($E1206,4)&amp;"/"&amp;MID($E1206,6,2))</f>
        <v/>
      </c>
      <c r="G1206">
        <f>IF(OR($E1206="",$E1206="نامعتبر",Sync!$X1202=""),"",IF(AND(LEFT(UPPER(TRIM(Sync!$X1202)),2)="SL",IFERROR(VLOOKUP(Sync!$W1202,OpTbl,3,0),"")="فروش"),UPPER(TRIM(Sync!$X1202)),""))</f>
        <v/>
      </c>
      <c r="H1206">
        <f>IF($G1206="","",IF(Sync!$W1202="","",Sync!$W1202))</f>
        <v/>
      </c>
      <c r="I1206">
        <f>IF(OR($G1206="",Sync!$Y1202=""),"",Sync!$Y1202)</f>
        <v/>
      </c>
      <c r="J1206">
        <f>IF(OR($G1206="",Sync!$Z1202=""),"",Sync!$Z1202)</f>
        <v/>
      </c>
      <c r="K1206">
        <f>IF($G1206="",0,IF(Sync!$AA1202="",0,Sync!$AA1202))</f>
        <v/>
      </c>
      <c r="L1206">
        <f>IF($G1206="",0,IF(Sync!$AB1202="",0,Sync!$AB1202))</f>
        <v/>
      </c>
      <c r="M1206">
        <f>IF($G1206="","",IF($H1206="مرجوعی فروش",-1,1)*($K1206-$L1206*IFERROR(VLOOKUP("P01",ParamTbl,3,0),1.5)))</f>
        <v/>
      </c>
      <c r="N1206">
        <f>IF($G1206="",0,IF($H1206="مرجوعی فروش",-1,1)*IF(Sync!$AC1202="",0,Sync!$AC1202))</f>
        <v/>
      </c>
      <c r="O1206">
        <f>IF(OR($G1206="",Sync!$V1202=""),"",Sync!$V1202)</f>
        <v/>
      </c>
      <c r="P1206">
        <f>IF(OR($G1206="",Sync!$AD1202=""),"",Sync!$AD1202)</f>
        <v/>
      </c>
      <c r="Q1206">
        <f>IF($G1206="","",IF(Sync!$U1202="","0000",IF(AND(ISNUMBER(Sync!$U1202),Sync!$U1202&gt;=0,Sync!$U1202&lt;1),RIGHT("00"&amp;HOUR(Sync!$U1202),2)&amp;RIGHT("00"&amp;MINUTE(Sync!$U1202),2),IFERROR(RIGHT("00"&amp;VALUE(LEFT(Sync!$U1202,FIND(":",Sync!$U1202)-1)),2)&amp;RIGHT("00"&amp;VALUE(MID(Sync!$U1202,FIND(":",Sync!$U1202)+1,2)),2),"0000"))))</f>
        <v/>
      </c>
    </row>
    <row r="1207">
      <c r="A1207">
        <f>IF(Sync!$T1203="","",Sync!$T1203)</f>
        <v/>
      </c>
      <c r="B1207">
        <f>IF($A1207="","",IF(ISNUMBER($A1207),IF(AND($A1207&gt;=10000101,$A1207&lt;=99991231),INT($A1207/10000),""),IFERROR(VALUE(TRIM(LEFT($A1207,FIND("/",$A1207)-1))),"")))</f>
        <v/>
      </c>
      <c r="C1207">
        <f>IF(OR($A1207="",$B1207=""),"",IF(ISNUMBER($A1207),INT(MOD($A1207,10000)/100),IFERROR(VALUE(TRIM(LEFT(MID($A1207,FIND("/",$A1207)+1,20),FIND("/",MID($A1207,FIND("/",$A1207)+1,20))-1))),"")))</f>
        <v/>
      </c>
      <c r="D1207">
        <f>IF(OR($A1207="",$B1207=""),"",IF(ISNUMBER($A1207),MOD($A1207,100),IFERROR(VALUE(TRIM(MID(MID($A1207,FIND("/",$A1207)+1,20),FIND("/",MID($A1207,FIND("/",$A1207)+1,20))+1,20))),"")))</f>
        <v/>
      </c>
      <c r="E1207">
        <f>IF($A1207="","",IF(OR($B1207="",$C1207="",$D1207="",$B1207&lt;1300,$B1207&gt;1500,$C1207&lt;1,$C1207&gt;12,$D1207&lt;1,$D1207&gt;31),"نامعتبر",RIGHT("0000"&amp;$B1207,4)&amp;"/"&amp;RIGHT("00"&amp;$C1207,2)&amp;"/"&amp;RIGHT("00"&amp;$D1207,2)))</f>
        <v/>
      </c>
      <c r="F1207">
        <f>IF(OR($E1207="",$E1207="نامعتبر"),"",LEFT($E1207,4)&amp;"/"&amp;MID($E1207,6,2))</f>
        <v/>
      </c>
      <c r="G1207">
        <f>IF(OR($E1207="",$E1207="نامعتبر",Sync!$X1203=""),"",IF(AND(LEFT(UPPER(TRIM(Sync!$X1203)),2)="SL",IFERROR(VLOOKUP(Sync!$W1203,OpTbl,3,0),"")="فروش"),UPPER(TRIM(Sync!$X1203)),""))</f>
        <v/>
      </c>
      <c r="H1207">
        <f>IF($G1207="","",IF(Sync!$W1203="","",Sync!$W1203))</f>
        <v/>
      </c>
      <c r="I1207">
        <f>IF(OR($G1207="",Sync!$Y1203=""),"",Sync!$Y1203)</f>
        <v/>
      </c>
      <c r="J1207">
        <f>IF(OR($G1207="",Sync!$Z1203=""),"",Sync!$Z1203)</f>
        <v/>
      </c>
      <c r="K1207">
        <f>IF($G1207="",0,IF(Sync!$AA1203="",0,Sync!$AA1203))</f>
        <v/>
      </c>
      <c r="L1207">
        <f>IF($G1207="",0,IF(Sync!$AB1203="",0,Sync!$AB1203))</f>
        <v/>
      </c>
      <c r="M1207">
        <f>IF($G1207="","",IF($H1207="مرجوعی فروش",-1,1)*($K1207-$L1207*IFERROR(VLOOKUP("P01",ParamTbl,3,0),1.5)))</f>
        <v/>
      </c>
      <c r="N1207">
        <f>IF($G1207="",0,IF($H1207="مرجوعی فروش",-1,1)*IF(Sync!$AC1203="",0,Sync!$AC1203))</f>
        <v/>
      </c>
      <c r="O1207">
        <f>IF(OR($G1207="",Sync!$V1203=""),"",Sync!$V1203)</f>
        <v/>
      </c>
      <c r="P1207">
        <f>IF(OR($G1207="",Sync!$AD1203=""),"",Sync!$AD1203)</f>
        <v/>
      </c>
      <c r="Q1207">
        <f>IF($G1207="","",IF(Sync!$U1203="","0000",IF(AND(ISNUMBER(Sync!$U1203),Sync!$U1203&gt;=0,Sync!$U1203&lt;1),RIGHT("00"&amp;HOUR(Sync!$U1203),2)&amp;RIGHT("00"&amp;MINUTE(Sync!$U1203),2),IFERROR(RIGHT("00"&amp;VALUE(LEFT(Sync!$U1203,FIND(":",Sync!$U1203)-1)),2)&amp;RIGHT("00"&amp;VALUE(MID(Sync!$U1203,FIND(":",Sync!$U1203)+1,2)),2),"0000"))))</f>
        <v/>
      </c>
    </row>
    <row r="1208">
      <c r="A1208">
        <f>IF(Sync!$T1204="","",Sync!$T1204)</f>
        <v/>
      </c>
      <c r="B1208">
        <f>IF($A1208="","",IF(ISNUMBER($A1208),IF(AND($A1208&gt;=10000101,$A1208&lt;=99991231),INT($A1208/10000),""),IFERROR(VALUE(TRIM(LEFT($A1208,FIND("/",$A1208)-1))),"")))</f>
        <v/>
      </c>
      <c r="C1208">
        <f>IF(OR($A1208="",$B1208=""),"",IF(ISNUMBER($A1208),INT(MOD($A1208,10000)/100),IFERROR(VALUE(TRIM(LEFT(MID($A1208,FIND("/",$A1208)+1,20),FIND("/",MID($A1208,FIND("/",$A1208)+1,20))-1))),"")))</f>
        <v/>
      </c>
      <c r="D1208">
        <f>IF(OR($A1208="",$B1208=""),"",IF(ISNUMBER($A1208),MOD($A1208,100),IFERROR(VALUE(TRIM(MID(MID($A1208,FIND("/",$A1208)+1,20),FIND("/",MID($A1208,FIND("/",$A1208)+1,20))+1,20))),"")))</f>
        <v/>
      </c>
      <c r="E1208">
        <f>IF($A1208="","",IF(OR($B1208="",$C1208="",$D1208="",$B1208&lt;1300,$B1208&gt;1500,$C1208&lt;1,$C1208&gt;12,$D1208&lt;1,$D1208&gt;31),"نامعتبر",RIGHT("0000"&amp;$B1208,4)&amp;"/"&amp;RIGHT("00"&amp;$C1208,2)&amp;"/"&amp;RIGHT("00"&amp;$D1208,2)))</f>
        <v/>
      </c>
      <c r="F1208">
        <f>IF(OR($E1208="",$E1208="نامعتبر"),"",LEFT($E1208,4)&amp;"/"&amp;MID($E1208,6,2))</f>
        <v/>
      </c>
      <c r="G1208">
        <f>IF(OR($E1208="",$E1208="نامعتبر",Sync!$X1204=""),"",IF(AND(LEFT(UPPER(TRIM(Sync!$X1204)),2)="SL",IFERROR(VLOOKUP(Sync!$W1204,OpTbl,3,0),"")="فروش"),UPPER(TRIM(Sync!$X1204)),""))</f>
        <v/>
      </c>
      <c r="H1208">
        <f>IF($G1208="","",IF(Sync!$W1204="","",Sync!$W1204))</f>
        <v/>
      </c>
      <c r="I1208">
        <f>IF(OR($G1208="",Sync!$Y1204=""),"",Sync!$Y1204)</f>
        <v/>
      </c>
      <c r="J1208">
        <f>IF(OR($G1208="",Sync!$Z1204=""),"",Sync!$Z1204)</f>
        <v/>
      </c>
      <c r="K1208">
        <f>IF($G1208="",0,IF(Sync!$AA1204="",0,Sync!$AA1204))</f>
        <v/>
      </c>
      <c r="L1208">
        <f>IF($G1208="",0,IF(Sync!$AB1204="",0,Sync!$AB1204))</f>
        <v/>
      </c>
      <c r="M1208">
        <f>IF($G1208="","",IF($H1208="مرجوعی فروش",-1,1)*($K1208-$L1208*IFERROR(VLOOKUP("P01",ParamTbl,3,0),1.5)))</f>
        <v/>
      </c>
      <c r="N1208">
        <f>IF($G1208="",0,IF($H1208="مرجوعی فروش",-1,1)*IF(Sync!$AC1204="",0,Sync!$AC1204))</f>
        <v/>
      </c>
      <c r="O1208">
        <f>IF(OR($G1208="",Sync!$V1204=""),"",Sync!$V1204)</f>
        <v/>
      </c>
      <c r="P1208">
        <f>IF(OR($G1208="",Sync!$AD1204=""),"",Sync!$AD1204)</f>
        <v/>
      </c>
      <c r="Q1208">
        <f>IF($G1208="","",IF(Sync!$U1204="","0000",IF(AND(ISNUMBER(Sync!$U1204),Sync!$U1204&gt;=0,Sync!$U1204&lt;1),RIGHT("00"&amp;HOUR(Sync!$U1204),2)&amp;RIGHT("00"&amp;MINUTE(Sync!$U1204),2),IFERROR(RIGHT("00"&amp;VALUE(LEFT(Sync!$U1204,FIND(":",Sync!$U1204)-1)),2)&amp;RIGHT("00"&amp;VALUE(MID(Sync!$U1204,FIND(":",Sync!$U1204)+1,2)),2),"0000"))))</f>
        <v/>
      </c>
    </row>
    <row r="1209">
      <c r="A1209">
        <f>IF(Sync!$T1205="","",Sync!$T1205)</f>
        <v/>
      </c>
      <c r="B1209">
        <f>IF($A1209="","",IF(ISNUMBER($A1209),IF(AND($A1209&gt;=10000101,$A1209&lt;=99991231),INT($A1209/10000),""),IFERROR(VALUE(TRIM(LEFT($A1209,FIND("/",$A1209)-1))),"")))</f>
        <v/>
      </c>
      <c r="C1209">
        <f>IF(OR($A1209="",$B1209=""),"",IF(ISNUMBER($A1209),INT(MOD($A1209,10000)/100),IFERROR(VALUE(TRIM(LEFT(MID($A1209,FIND("/",$A1209)+1,20),FIND("/",MID($A1209,FIND("/",$A1209)+1,20))-1))),"")))</f>
        <v/>
      </c>
      <c r="D1209">
        <f>IF(OR($A1209="",$B1209=""),"",IF(ISNUMBER($A1209),MOD($A1209,100),IFERROR(VALUE(TRIM(MID(MID($A1209,FIND("/",$A1209)+1,20),FIND("/",MID($A1209,FIND("/",$A1209)+1,20))+1,20))),"")))</f>
        <v/>
      </c>
      <c r="E1209">
        <f>IF($A1209="","",IF(OR($B1209="",$C1209="",$D1209="",$B1209&lt;1300,$B1209&gt;1500,$C1209&lt;1,$C1209&gt;12,$D1209&lt;1,$D1209&gt;31),"نامعتبر",RIGHT("0000"&amp;$B1209,4)&amp;"/"&amp;RIGHT("00"&amp;$C1209,2)&amp;"/"&amp;RIGHT("00"&amp;$D1209,2)))</f>
        <v/>
      </c>
      <c r="F1209">
        <f>IF(OR($E1209="",$E1209="نامعتبر"),"",LEFT($E1209,4)&amp;"/"&amp;MID($E1209,6,2))</f>
        <v/>
      </c>
      <c r="G1209">
        <f>IF(OR($E1209="",$E1209="نامعتبر",Sync!$X1205=""),"",IF(AND(LEFT(UPPER(TRIM(Sync!$X1205)),2)="SL",IFERROR(VLOOKUP(Sync!$W1205,OpTbl,3,0),"")="فروش"),UPPER(TRIM(Sync!$X1205)),""))</f>
        <v/>
      </c>
      <c r="H1209">
        <f>IF($G1209="","",IF(Sync!$W1205="","",Sync!$W1205))</f>
        <v/>
      </c>
      <c r="I1209">
        <f>IF(OR($G1209="",Sync!$Y1205=""),"",Sync!$Y1205)</f>
        <v/>
      </c>
      <c r="J1209">
        <f>IF(OR($G1209="",Sync!$Z1205=""),"",Sync!$Z1205)</f>
        <v/>
      </c>
      <c r="K1209">
        <f>IF($G1209="",0,IF(Sync!$AA1205="",0,Sync!$AA1205))</f>
        <v/>
      </c>
      <c r="L1209">
        <f>IF($G1209="",0,IF(Sync!$AB1205="",0,Sync!$AB1205))</f>
        <v/>
      </c>
      <c r="M1209">
        <f>IF($G1209="","",IF($H1209="مرجوعی فروش",-1,1)*($K1209-$L1209*IFERROR(VLOOKUP("P01",ParamTbl,3,0),1.5)))</f>
        <v/>
      </c>
      <c r="N1209">
        <f>IF($G1209="",0,IF($H1209="مرجوعی فروش",-1,1)*IF(Sync!$AC1205="",0,Sync!$AC1205))</f>
        <v/>
      </c>
      <c r="O1209">
        <f>IF(OR($G1209="",Sync!$V1205=""),"",Sync!$V1205)</f>
        <v/>
      </c>
      <c r="P1209">
        <f>IF(OR($G1209="",Sync!$AD1205=""),"",Sync!$AD1205)</f>
        <v/>
      </c>
      <c r="Q1209">
        <f>IF($G1209="","",IF(Sync!$U1205="","0000",IF(AND(ISNUMBER(Sync!$U1205),Sync!$U1205&gt;=0,Sync!$U1205&lt;1),RIGHT("00"&amp;HOUR(Sync!$U1205),2)&amp;RIGHT("00"&amp;MINUTE(Sync!$U1205),2),IFERROR(RIGHT("00"&amp;VALUE(LEFT(Sync!$U1205,FIND(":",Sync!$U1205)-1)),2)&amp;RIGHT("00"&amp;VALUE(MID(Sync!$U1205,FIND(":",Sync!$U1205)+1,2)),2),"0000"))))</f>
        <v/>
      </c>
    </row>
    <row r="1210">
      <c r="A1210">
        <f>IF(Sync!$T1206="","",Sync!$T1206)</f>
        <v/>
      </c>
      <c r="B1210">
        <f>IF($A1210="","",IF(ISNUMBER($A1210),IF(AND($A1210&gt;=10000101,$A1210&lt;=99991231),INT($A1210/10000),""),IFERROR(VALUE(TRIM(LEFT($A1210,FIND("/",$A1210)-1))),"")))</f>
        <v/>
      </c>
      <c r="C1210">
        <f>IF(OR($A1210="",$B1210=""),"",IF(ISNUMBER($A1210),INT(MOD($A1210,10000)/100),IFERROR(VALUE(TRIM(LEFT(MID($A1210,FIND("/",$A1210)+1,20),FIND("/",MID($A1210,FIND("/",$A1210)+1,20))-1))),"")))</f>
        <v/>
      </c>
      <c r="D1210">
        <f>IF(OR($A1210="",$B1210=""),"",IF(ISNUMBER($A1210),MOD($A1210,100),IFERROR(VALUE(TRIM(MID(MID($A1210,FIND("/",$A1210)+1,20),FIND("/",MID($A1210,FIND("/",$A1210)+1,20))+1,20))),"")))</f>
        <v/>
      </c>
      <c r="E1210">
        <f>IF($A1210="","",IF(OR($B1210="",$C1210="",$D1210="",$B1210&lt;1300,$B1210&gt;1500,$C1210&lt;1,$C1210&gt;12,$D1210&lt;1,$D1210&gt;31),"نامعتبر",RIGHT("0000"&amp;$B1210,4)&amp;"/"&amp;RIGHT("00"&amp;$C1210,2)&amp;"/"&amp;RIGHT("00"&amp;$D1210,2)))</f>
        <v/>
      </c>
      <c r="F1210">
        <f>IF(OR($E1210="",$E1210="نامعتبر"),"",LEFT($E1210,4)&amp;"/"&amp;MID($E1210,6,2))</f>
        <v/>
      </c>
      <c r="G1210">
        <f>IF(OR($E1210="",$E1210="نامعتبر",Sync!$X1206=""),"",IF(AND(LEFT(UPPER(TRIM(Sync!$X1206)),2)="SL",IFERROR(VLOOKUP(Sync!$W1206,OpTbl,3,0),"")="فروش"),UPPER(TRIM(Sync!$X1206)),""))</f>
        <v/>
      </c>
      <c r="H1210">
        <f>IF($G1210="","",IF(Sync!$W1206="","",Sync!$W1206))</f>
        <v/>
      </c>
      <c r="I1210">
        <f>IF(OR($G1210="",Sync!$Y1206=""),"",Sync!$Y1206)</f>
        <v/>
      </c>
      <c r="J1210">
        <f>IF(OR($G1210="",Sync!$Z1206=""),"",Sync!$Z1206)</f>
        <v/>
      </c>
      <c r="K1210">
        <f>IF($G1210="",0,IF(Sync!$AA1206="",0,Sync!$AA1206))</f>
        <v/>
      </c>
      <c r="L1210">
        <f>IF($G1210="",0,IF(Sync!$AB1206="",0,Sync!$AB1206))</f>
        <v/>
      </c>
      <c r="M1210">
        <f>IF($G1210="","",IF($H1210="مرجوعی فروش",-1,1)*($K1210-$L1210*IFERROR(VLOOKUP("P01",ParamTbl,3,0),1.5)))</f>
        <v/>
      </c>
      <c r="N1210">
        <f>IF($G1210="",0,IF($H1210="مرجوعی فروش",-1,1)*IF(Sync!$AC1206="",0,Sync!$AC1206))</f>
        <v/>
      </c>
      <c r="O1210">
        <f>IF(OR($G1210="",Sync!$V1206=""),"",Sync!$V1206)</f>
        <v/>
      </c>
      <c r="P1210">
        <f>IF(OR($G1210="",Sync!$AD1206=""),"",Sync!$AD1206)</f>
        <v/>
      </c>
      <c r="Q1210">
        <f>IF($G1210="","",IF(Sync!$U1206="","0000",IF(AND(ISNUMBER(Sync!$U1206),Sync!$U1206&gt;=0,Sync!$U1206&lt;1),RIGHT("00"&amp;HOUR(Sync!$U1206),2)&amp;RIGHT("00"&amp;MINUTE(Sync!$U1206),2),IFERROR(RIGHT("00"&amp;VALUE(LEFT(Sync!$U1206,FIND(":",Sync!$U1206)-1)),2)&amp;RIGHT("00"&amp;VALUE(MID(Sync!$U1206,FIND(":",Sync!$U1206)+1,2)),2),"0000"))))</f>
        <v/>
      </c>
    </row>
    <row r="1211">
      <c r="A1211">
        <f>IF(Sync!$T1207="","",Sync!$T1207)</f>
        <v/>
      </c>
      <c r="B1211">
        <f>IF($A1211="","",IF(ISNUMBER($A1211),IF(AND($A1211&gt;=10000101,$A1211&lt;=99991231),INT($A1211/10000),""),IFERROR(VALUE(TRIM(LEFT($A1211,FIND("/",$A1211)-1))),"")))</f>
        <v/>
      </c>
      <c r="C1211">
        <f>IF(OR($A1211="",$B1211=""),"",IF(ISNUMBER($A1211),INT(MOD($A1211,10000)/100),IFERROR(VALUE(TRIM(LEFT(MID($A1211,FIND("/",$A1211)+1,20),FIND("/",MID($A1211,FIND("/",$A1211)+1,20))-1))),"")))</f>
        <v/>
      </c>
      <c r="D1211">
        <f>IF(OR($A1211="",$B1211=""),"",IF(ISNUMBER($A1211),MOD($A1211,100),IFERROR(VALUE(TRIM(MID(MID($A1211,FIND("/",$A1211)+1,20),FIND("/",MID($A1211,FIND("/",$A1211)+1,20))+1,20))),"")))</f>
        <v/>
      </c>
      <c r="E1211">
        <f>IF($A1211="","",IF(OR($B1211="",$C1211="",$D1211="",$B1211&lt;1300,$B1211&gt;1500,$C1211&lt;1,$C1211&gt;12,$D1211&lt;1,$D1211&gt;31),"نامعتبر",RIGHT("0000"&amp;$B1211,4)&amp;"/"&amp;RIGHT("00"&amp;$C1211,2)&amp;"/"&amp;RIGHT("00"&amp;$D1211,2)))</f>
        <v/>
      </c>
      <c r="F1211">
        <f>IF(OR($E1211="",$E1211="نامعتبر"),"",LEFT($E1211,4)&amp;"/"&amp;MID($E1211,6,2))</f>
        <v/>
      </c>
      <c r="G1211">
        <f>IF(OR($E1211="",$E1211="نامعتبر",Sync!$X1207=""),"",IF(AND(LEFT(UPPER(TRIM(Sync!$X1207)),2)="SL",IFERROR(VLOOKUP(Sync!$W1207,OpTbl,3,0),"")="فروش"),UPPER(TRIM(Sync!$X1207)),""))</f>
        <v/>
      </c>
      <c r="H1211">
        <f>IF($G1211="","",IF(Sync!$W1207="","",Sync!$W1207))</f>
        <v/>
      </c>
      <c r="I1211">
        <f>IF(OR($G1211="",Sync!$Y1207=""),"",Sync!$Y1207)</f>
        <v/>
      </c>
      <c r="J1211">
        <f>IF(OR($G1211="",Sync!$Z1207=""),"",Sync!$Z1207)</f>
        <v/>
      </c>
      <c r="K1211">
        <f>IF($G1211="",0,IF(Sync!$AA1207="",0,Sync!$AA1207))</f>
        <v/>
      </c>
      <c r="L1211">
        <f>IF($G1211="",0,IF(Sync!$AB1207="",0,Sync!$AB1207))</f>
        <v/>
      </c>
      <c r="M1211">
        <f>IF($G1211="","",IF($H1211="مرجوعی فروش",-1,1)*($K1211-$L1211*IFERROR(VLOOKUP("P01",ParamTbl,3,0),1.5)))</f>
        <v/>
      </c>
      <c r="N1211">
        <f>IF($G1211="",0,IF($H1211="مرجوعی فروش",-1,1)*IF(Sync!$AC1207="",0,Sync!$AC1207))</f>
        <v/>
      </c>
      <c r="O1211">
        <f>IF(OR($G1211="",Sync!$V1207=""),"",Sync!$V1207)</f>
        <v/>
      </c>
      <c r="P1211">
        <f>IF(OR($G1211="",Sync!$AD1207=""),"",Sync!$AD1207)</f>
        <v/>
      </c>
      <c r="Q1211">
        <f>IF($G1211="","",IF(Sync!$U1207="","0000",IF(AND(ISNUMBER(Sync!$U1207),Sync!$U1207&gt;=0,Sync!$U1207&lt;1),RIGHT("00"&amp;HOUR(Sync!$U1207),2)&amp;RIGHT("00"&amp;MINUTE(Sync!$U1207),2),IFERROR(RIGHT("00"&amp;VALUE(LEFT(Sync!$U1207,FIND(":",Sync!$U1207)-1)),2)&amp;RIGHT("00"&amp;VALUE(MID(Sync!$U1207,FIND(":",Sync!$U1207)+1,2)),2),"0000"))))</f>
        <v/>
      </c>
    </row>
    <row r="1212">
      <c r="A1212">
        <f>IF(Sync!$T1208="","",Sync!$T1208)</f>
        <v/>
      </c>
      <c r="B1212">
        <f>IF($A1212="","",IF(ISNUMBER($A1212),IF(AND($A1212&gt;=10000101,$A1212&lt;=99991231),INT($A1212/10000),""),IFERROR(VALUE(TRIM(LEFT($A1212,FIND("/",$A1212)-1))),"")))</f>
        <v/>
      </c>
      <c r="C1212">
        <f>IF(OR($A1212="",$B1212=""),"",IF(ISNUMBER($A1212),INT(MOD($A1212,10000)/100),IFERROR(VALUE(TRIM(LEFT(MID($A1212,FIND("/",$A1212)+1,20),FIND("/",MID($A1212,FIND("/",$A1212)+1,20))-1))),"")))</f>
        <v/>
      </c>
      <c r="D1212">
        <f>IF(OR($A1212="",$B1212=""),"",IF(ISNUMBER($A1212),MOD($A1212,100),IFERROR(VALUE(TRIM(MID(MID($A1212,FIND("/",$A1212)+1,20),FIND("/",MID($A1212,FIND("/",$A1212)+1,20))+1,20))),"")))</f>
        <v/>
      </c>
      <c r="E1212">
        <f>IF($A1212="","",IF(OR($B1212="",$C1212="",$D1212="",$B1212&lt;1300,$B1212&gt;1500,$C1212&lt;1,$C1212&gt;12,$D1212&lt;1,$D1212&gt;31),"نامعتبر",RIGHT("0000"&amp;$B1212,4)&amp;"/"&amp;RIGHT("00"&amp;$C1212,2)&amp;"/"&amp;RIGHT("00"&amp;$D1212,2)))</f>
        <v/>
      </c>
      <c r="F1212">
        <f>IF(OR($E1212="",$E1212="نامعتبر"),"",LEFT($E1212,4)&amp;"/"&amp;MID($E1212,6,2))</f>
        <v/>
      </c>
      <c r="G1212">
        <f>IF(OR($E1212="",$E1212="نامعتبر",Sync!$X1208=""),"",IF(AND(LEFT(UPPER(TRIM(Sync!$X1208)),2)="SL",IFERROR(VLOOKUP(Sync!$W1208,OpTbl,3,0),"")="فروش"),UPPER(TRIM(Sync!$X1208)),""))</f>
        <v/>
      </c>
      <c r="H1212">
        <f>IF($G1212="","",IF(Sync!$W1208="","",Sync!$W1208))</f>
        <v/>
      </c>
      <c r="I1212">
        <f>IF(OR($G1212="",Sync!$Y1208=""),"",Sync!$Y1208)</f>
        <v/>
      </c>
      <c r="J1212">
        <f>IF(OR($G1212="",Sync!$Z1208=""),"",Sync!$Z1208)</f>
        <v/>
      </c>
      <c r="K1212">
        <f>IF($G1212="",0,IF(Sync!$AA1208="",0,Sync!$AA1208))</f>
        <v/>
      </c>
      <c r="L1212">
        <f>IF($G1212="",0,IF(Sync!$AB1208="",0,Sync!$AB1208))</f>
        <v/>
      </c>
      <c r="M1212">
        <f>IF($G1212="","",IF($H1212="مرجوعی فروش",-1,1)*($K1212-$L1212*IFERROR(VLOOKUP("P01",ParamTbl,3,0),1.5)))</f>
        <v/>
      </c>
      <c r="N1212">
        <f>IF($G1212="",0,IF($H1212="مرجوعی فروش",-1,1)*IF(Sync!$AC1208="",0,Sync!$AC1208))</f>
        <v/>
      </c>
      <c r="O1212">
        <f>IF(OR($G1212="",Sync!$V1208=""),"",Sync!$V1208)</f>
        <v/>
      </c>
      <c r="P1212">
        <f>IF(OR($G1212="",Sync!$AD1208=""),"",Sync!$AD1208)</f>
        <v/>
      </c>
      <c r="Q1212">
        <f>IF($G1212="","",IF(Sync!$U1208="","0000",IF(AND(ISNUMBER(Sync!$U1208),Sync!$U1208&gt;=0,Sync!$U1208&lt;1),RIGHT("00"&amp;HOUR(Sync!$U1208),2)&amp;RIGHT("00"&amp;MINUTE(Sync!$U1208),2),IFERROR(RIGHT("00"&amp;VALUE(LEFT(Sync!$U1208,FIND(":",Sync!$U1208)-1)),2)&amp;RIGHT("00"&amp;VALUE(MID(Sync!$U1208,FIND(":",Sync!$U1208)+1,2)),2),"0000"))))</f>
        <v/>
      </c>
    </row>
    <row r="1213">
      <c r="A1213">
        <f>IF(Sync!$T1209="","",Sync!$T1209)</f>
        <v/>
      </c>
      <c r="B1213">
        <f>IF($A1213="","",IF(ISNUMBER($A1213),IF(AND($A1213&gt;=10000101,$A1213&lt;=99991231),INT($A1213/10000),""),IFERROR(VALUE(TRIM(LEFT($A1213,FIND("/",$A1213)-1))),"")))</f>
        <v/>
      </c>
      <c r="C1213">
        <f>IF(OR($A1213="",$B1213=""),"",IF(ISNUMBER($A1213),INT(MOD($A1213,10000)/100),IFERROR(VALUE(TRIM(LEFT(MID($A1213,FIND("/",$A1213)+1,20),FIND("/",MID($A1213,FIND("/",$A1213)+1,20))-1))),"")))</f>
        <v/>
      </c>
      <c r="D1213">
        <f>IF(OR($A1213="",$B1213=""),"",IF(ISNUMBER($A1213),MOD($A1213,100),IFERROR(VALUE(TRIM(MID(MID($A1213,FIND("/",$A1213)+1,20),FIND("/",MID($A1213,FIND("/",$A1213)+1,20))+1,20))),"")))</f>
        <v/>
      </c>
      <c r="E1213">
        <f>IF($A1213="","",IF(OR($B1213="",$C1213="",$D1213="",$B1213&lt;1300,$B1213&gt;1500,$C1213&lt;1,$C1213&gt;12,$D1213&lt;1,$D1213&gt;31),"نامعتبر",RIGHT("0000"&amp;$B1213,4)&amp;"/"&amp;RIGHT("00"&amp;$C1213,2)&amp;"/"&amp;RIGHT("00"&amp;$D1213,2)))</f>
        <v/>
      </c>
      <c r="F1213">
        <f>IF(OR($E1213="",$E1213="نامعتبر"),"",LEFT($E1213,4)&amp;"/"&amp;MID($E1213,6,2))</f>
        <v/>
      </c>
      <c r="G1213">
        <f>IF(OR($E1213="",$E1213="نامعتبر",Sync!$X1209=""),"",IF(AND(LEFT(UPPER(TRIM(Sync!$X1209)),2)="SL",IFERROR(VLOOKUP(Sync!$W1209,OpTbl,3,0),"")="فروش"),UPPER(TRIM(Sync!$X1209)),""))</f>
        <v/>
      </c>
      <c r="H1213">
        <f>IF($G1213="","",IF(Sync!$W1209="","",Sync!$W1209))</f>
        <v/>
      </c>
      <c r="I1213">
        <f>IF(OR($G1213="",Sync!$Y1209=""),"",Sync!$Y1209)</f>
        <v/>
      </c>
      <c r="J1213">
        <f>IF(OR($G1213="",Sync!$Z1209=""),"",Sync!$Z1209)</f>
        <v/>
      </c>
      <c r="K1213">
        <f>IF($G1213="",0,IF(Sync!$AA1209="",0,Sync!$AA1209))</f>
        <v/>
      </c>
      <c r="L1213">
        <f>IF($G1213="",0,IF(Sync!$AB1209="",0,Sync!$AB1209))</f>
        <v/>
      </c>
      <c r="M1213">
        <f>IF($G1213="","",IF($H1213="مرجوعی فروش",-1,1)*($K1213-$L1213*IFERROR(VLOOKUP("P01",ParamTbl,3,0),1.5)))</f>
        <v/>
      </c>
      <c r="N1213">
        <f>IF($G1213="",0,IF($H1213="مرجوعی فروش",-1,1)*IF(Sync!$AC1209="",0,Sync!$AC1209))</f>
        <v/>
      </c>
      <c r="O1213">
        <f>IF(OR($G1213="",Sync!$V1209=""),"",Sync!$V1209)</f>
        <v/>
      </c>
      <c r="P1213">
        <f>IF(OR($G1213="",Sync!$AD1209=""),"",Sync!$AD1209)</f>
        <v/>
      </c>
      <c r="Q1213">
        <f>IF($G1213="","",IF(Sync!$U1209="","0000",IF(AND(ISNUMBER(Sync!$U1209),Sync!$U1209&gt;=0,Sync!$U1209&lt;1),RIGHT("00"&amp;HOUR(Sync!$U1209),2)&amp;RIGHT("00"&amp;MINUTE(Sync!$U1209),2),IFERROR(RIGHT("00"&amp;VALUE(LEFT(Sync!$U1209,FIND(":",Sync!$U1209)-1)),2)&amp;RIGHT("00"&amp;VALUE(MID(Sync!$U1209,FIND(":",Sync!$U1209)+1,2)),2),"0000"))))</f>
        <v/>
      </c>
    </row>
    <row r="1214">
      <c r="A1214">
        <f>IF(Sync!$T1210="","",Sync!$T1210)</f>
        <v/>
      </c>
      <c r="B1214">
        <f>IF($A1214="","",IF(ISNUMBER($A1214),IF(AND($A1214&gt;=10000101,$A1214&lt;=99991231),INT($A1214/10000),""),IFERROR(VALUE(TRIM(LEFT($A1214,FIND("/",$A1214)-1))),"")))</f>
        <v/>
      </c>
      <c r="C1214">
        <f>IF(OR($A1214="",$B1214=""),"",IF(ISNUMBER($A1214),INT(MOD($A1214,10000)/100),IFERROR(VALUE(TRIM(LEFT(MID($A1214,FIND("/",$A1214)+1,20),FIND("/",MID($A1214,FIND("/",$A1214)+1,20))-1))),"")))</f>
        <v/>
      </c>
      <c r="D1214">
        <f>IF(OR($A1214="",$B1214=""),"",IF(ISNUMBER($A1214),MOD($A1214,100),IFERROR(VALUE(TRIM(MID(MID($A1214,FIND("/",$A1214)+1,20),FIND("/",MID($A1214,FIND("/",$A1214)+1,20))+1,20))),"")))</f>
        <v/>
      </c>
      <c r="E1214">
        <f>IF($A1214="","",IF(OR($B1214="",$C1214="",$D1214="",$B1214&lt;1300,$B1214&gt;1500,$C1214&lt;1,$C1214&gt;12,$D1214&lt;1,$D1214&gt;31),"نامعتبر",RIGHT("0000"&amp;$B1214,4)&amp;"/"&amp;RIGHT("00"&amp;$C1214,2)&amp;"/"&amp;RIGHT("00"&amp;$D1214,2)))</f>
        <v/>
      </c>
      <c r="F1214">
        <f>IF(OR($E1214="",$E1214="نامعتبر"),"",LEFT($E1214,4)&amp;"/"&amp;MID($E1214,6,2))</f>
        <v/>
      </c>
      <c r="G1214">
        <f>IF(OR($E1214="",$E1214="نامعتبر",Sync!$X1210=""),"",IF(AND(LEFT(UPPER(TRIM(Sync!$X1210)),2)="SL",IFERROR(VLOOKUP(Sync!$W1210,OpTbl,3,0),"")="فروش"),UPPER(TRIM(Sync!$X1210)),""))</f>
        <v/>
      </c>
      <c r="H1214">
        <f>IF($G1214="","",IF(Sync!$W1210="","",Sync!$W1210))</f>
        <v/>
      </c>
      <c r="I1214">
        <f>IF(OR($G1214="",Sync!$Y1210=""),"",Sync!$Y1210)</f>
        <v/>
      </c>
      <c r="J1214">
        <f>IF(OR($G1214="",Sync!$Z1210=""),"",Sync!$Z1210)</f>
        <v/>
      </c>
      <c r="K1214">
        <f>IF($G1214="",0,IF(Sync!$AA1210="",0,Sync!$AA1210))</f>
        <v/>
      </c>
      <c r="L1214">
        <f>IF($G1214="",0,IF(Sync!$AB1210="",0,Sync!$AB1210))</f>
        <v/>
      </c>
      <c r="M1214">
        <f>IF($G1214="","",IF($H1214="مرجوعی فروش",-1,1)*($K1214-$L1214*IFERROR(VLOOKUP("P01",ParamTbl,3,0),1.5)))</f>
        <v/>
      </c>
      <c r="N1214">
        <f>IF($G1214="",0,IF($H1214="مرجوعی فروش",-1,1)*IF(Sync!$AC1210="",0,Sync!$AC1210))</f>
        <v/>
      </c>
      <c r="O1214">
        <f>IF(OR($G1214="",Sync!$V1210=""),"",Sync!$V1210)</f>
        <v/>
      </c>
      <c r="P1214">
        <f>IF(OR($G1214="",Sync!$AD1210=""),"",Sync!$AD1210)</f>
        <v/>
      </c>
      <c r="Q1214">
        <f>IF($G1214="","",IF(Sync!$U1210="","0000",IF(AND(ISNUMBER(Sync!$U1210),Sync!$U1210&gt;=0,Sync!$U1210&lt;1),RIGHT("00"&amp;HOUR(Sync!$U1210),2)&amp;RIGHT("00"&amp;MINUTE(Sync!$U1210),2),IFERROR(RIGHT("00"&amp;VALUE(LEFT(Sync!$U1210,FIND(":",Sync!$U1210)-1)),2)&amp;RIGHT("00"&amp;VALUE(MID(Sync!$U1210,FIND(":",Sync!$U1210)+1,2)),2),"0000"))))</f>
        <v/>
      </c>
    </row>
    <row r="1215">
      <c r="A1215">
        <f>IF(Sync!$T1211="","",Sync!$T1211)</f>
        <v/>
      </c>
      <c r="B1215">
        <f>IF($A1215="","",IF(ISNUMBER($A1215),IF(AND($A1215&gt;=10000101,$A1215&lt;=99991231),INT($A1215/10000),""),IFERROR(VALUE(TRIM(LEFT($A1215,FIND("/",$A1215)-1))),"")))</f>
        <v/>
      </c>
      <c r="C1215">
        <f>IF(OR($A1215="",$B1215=""),"",IF(ISNUMBER($A1215),INT(MOD($A1215,10000)/100),IFERROR(VALUE(TRIM(LEFT(MID($A1215,FIND("/",$A1215)+1,20),FIND("/",MID($A1215,FIND("/",$A1215)+1,20))-1))),"")))</f>
        <v/>
      </c>
      <c r="D1215">
        <f>IF(OR($A1215="",$B1215=""),"",IF(ISNUMBER($A1215),MOD($A1215,100),IFERROR(VALUE(TRIM(MID(MID($A1215,FIND("/",$A1215)+1,20),FIND("/",MID($A1215,FIND("/",$A1215)+1,20))+1,20))),"")))</f>
        <v/>
      </c>
      <c r="E1215">
        <f>IF($A1215="","",IF(OR($B1215="",$C1215="",$D1215="",$B1215&lt;1300,$B1215&gt;1500,$C1215&lt;1,$C1215&gt;12,$D1215&lt;1,$D1215&gt;31),"نامعتبر",RIGHT("0000"&amp;$B1215,4)&amp;"/"&amp;RIGHT("00"&amp;$C1215,2)&amp;"/"&amp;RIGHT("00"&amp;$D1215,2)))</f>
        <v/>
      </c>
      <c r="F1215">
        <f>IF(OR($E1215="",$E1215="نامعتبر"),"",LEFT($E1215,4)&amp;"/"&amp;MID($E1215,6,2))</f>
        <v/>
      </c>
      <c r="G1215">
        <f>IF(OR($E1215="",$E1215="نامعتبر",Sync!$X1211=""),"",IF(AND(LEFT(UPPER(TRIM(Sync!$X1211)),2)="SL",IFERROR(VLOOKUP(Sync!$W1211,OpTbl,3,0),"")="فروش"),UPPER(TRIM(Sync!$X1211)),""))</f>
        <v/>
      </c>
      <c r="H1215">
        <f>IF($G1215="","",IF(Sync!$W1211="","",Sync!$W1211))</f>
        <v/>
      </c>
      <c r="I1215">
        <f>IF(OR($G1215="",Sync!$Y1211=""),"",Sync!$Y1211)</f>
        <v/>
      </c>
      <c r="J1215">
        <f>IF(OR($G1215="",Sync!$Z1211=""),"",Sync!$Z1211)</f>
        <v/>
      </c>
      <c r="K1215">
        <f>IF($G1215="",0,IF(Sync!$AA1211="",0,Sync!$AA1211))</f>
        <v/>
      </c>
      <c r="L1215">
        <f>IF($G1215="",0,IF(Sync!$AB1211="",0,Sync!$AB1211))</f>
        <v/>
      </c>
      <c r="M1215">
        <f>IF($G1215="","",IF($H1215="مرجوعی فروش",-1,1)*($K1215-$L1215*IFERROR(VLOOKUP("P01",ParamTbl,3,0),1.5)))</f>
        <v/>
      </c>
      <c r="N1215">
        <f>IF($G1215="",0,IF($H1215="مرجوعی فروش",-1,1)*IF(Sync!$AC1211="",0,Sync!$AC1211))</f>
        <v/>
      </c>
      <c r="O1215">
        <f>IF(OR($G1215="",Sync!$V1211=""),"",Sync!$V1211)</f>
        <v/>
      </c>
      <c r="P1215">
        <f>IF(OR($G1215="",Sync!$AD1211=""),"",Sync!$AD1211)</f>
        <v/>
      </c>
      <c r="Q1215">
        <f>IF($G1215="","",IF(Sync!$U1211="","0000",IF(AND(ISNUMBER(Sync!$U1211),Sync!$U1211&gt;=0,Sync!$U1211&lt;1),RIGHT("00"&amp;HOUR(Sync!$U1211),2)&amp;RIGHT("00"&amp;MINUTE(Sync!$U1211),2),IFERROR(RIGHT("00"&amp;VALUE(LEFT(Sync!$U1211,FIND(":",Sync!$U1211)-1)),2)&amp;RIGHT("00"&amp;VALUE(MID(Sync!$U1211,FIND(":",Sync!$U1211)+1,2)),2),"0000"))))</f>
        <v/>
      </c>
    </row>
    <row r="1216">
      <c r="A1216">
        <f>IF(Sync!$T1212="","",Sync!$T1212)</f>
        <v/>
      </c>
      <c r="B1216">
        <f>IF($A1216="","",IF(ISNUMBER($A1216),IF(AND($A1216&gt;=10000101,$A1216&lt;=99991231),INT($A1216/10000),""),IFERROR(VALUE(TRIM(LEFT($A1216,FIND("/",$A1216)-1))),"")))</f>
        <v/>
      </c>
      <c r="C1216">
        <f>IF(OR($A1216="",$B1216=""),"",IF(ISNUMBER($A1216),INT(MOD($A1216,10000)/100),IFERROR(VALUE(TRIM(LEFT(MID($A1216,FIND("/",$A1216)+1,20),FIND("/",MID($A1216,FIND("/",$A1216)+1,20))-1))),"")))</f>
        <v/>
      </c>
      <c r="D1216">
        <f>IF(OR($A1216="",$B1216=""),"",IF(ISNUMBER($A1216),MOD($A1216,100),IFERROR(VALUE(TRIM(MID(MID($A1216,FIND("/",$A1216)+1,20),FIND("/",MID($A1216,FIND("/",$A1216)+1,20))+1,20))),"")))</f>
        <v/>
      </c>
      <c r="E1216">
        <f>IF($A1216="","",IF(OR($B1216="",$C1216="",$D1216="",$B1216&lt;1300,$B1216&gt;1500,$C1216&lt;1,$C1216&gt;12,$D1216&lt;1,$D1216&gt;31),"نامعتبر",RIGHT("0000"&amp;$B1216,4)&amp;"/"&amp;RIGHT("00"&amp;$C1216,2)&amp;"/"&amp;RIGHT("00"&amp;$D1216,2)))</f>
        <v/>
      </c>
      <c r="F1216">
        <f>IF(OR($E1216="",$E1216="نامعتبر"),"",LEFT($E1216,4)&amp;"/"&amp;MID($E1216,6,2))</f>
        <v/>
      </c>
      <c r="G1216">
        <f>IF(OR($E1216="",$E1216="نامعتبر",Sync!$X1212=""),"",IF(AND(LEFT(UPPER(TRIM(Sync!$X1212)),2)="SL",IFERROR(VLOOKUP(Sync!$W1212,OpTbl,3,0),"")="فروش"),UPPER(TRIM(Sync!$X1212)),""))</f>
        <v/>
      </c>
      <c r="H1216">
        <f>IF($G1216="","",IF(Sync!$W1212="","",Sync!$W1212))</f>
        <v/>
      </c>
      <c r="I1216">
        <f>IF(OR($G1216="",Sync!$Y1212=""),"",Sync!$Y1212)</f>
        <v/>
      </c>
      <c r="J1216">
        <f>IF(OR($G1216="",Sync!$Z1212=""),"",Sync!$Z1212)</f>
        <v/>
      </c>
      <c r="K1216">
        <f>IF($G1216="",0,IF(Sync!$AA1212="",0,Sync!$AA1212))</f>
        <v/>
      </c>
      <c r="L1216">
        <f>IF($G1216="",0,IF(Sync!$AB1212="",0,Sync!$AB1212))</f>
        <v/>
      </c>
      <c r="M1216">
        <f>IF($G1216="","",IF($H1216="مرجوعی فروش",-1,1)*($K1216-$L1216*IFERROR(VLOOKUP("P01",ParamTbl,3,0),1.5)))</f>
        <v/>
      </c>
      <c r="N1216">
        <f>IF($G1216="",0,IF($H1216="مرجوعی فروش",-1,1)*IF(Sync!$AC1212="",0,Sync!$AC1212))</f>
        <v/>
      </c>
      <c r="O1216">
        <f>IF(OR($G1216="",Sync!$V1212=""),"",Sync!$V1212)</f>
        <v/>
      </c>
      <c r="P1216">
        <f>IF(OR($G1216="",Sync!$AD1212=""),"",Sync!$AD1212)</f>
        <v/>
      </c>
      <c r="Q1216">
        <f>IF($G1216="","",IF(Sync!$U1212="","0000",IF(AND(ISNUMBER(Sync!$U1212),Sync!$U1212&gt;=0,Sync!$U1212&lt;1),RIGHT("00"&amp;HOUR(Sync!$U1212),2)&amp;RIGHT("00"&amp;MINUTE(Sync!$U1212),2),IFERROR(RIGHT("00"&amp;VALUE(LEFT(Sync!$U1212,FIND(":",Sync!$U1212)-1)),2)&amp;RIGHT("00"&amp;VALUE(MID(Sync!$U1212,FIND(":",Sync!$U1212)+1,2)),2),"0000"))))</f>
        <v/>
      </c>
    </row>
    <row r="1217">
      <c r="A1217">
        <f>IF(Sync!$T1213="","",Sync!$T1213)</f>
        <v/>
      </c>
      <c r="B1217">
        <f>IF($A1217="","",IF(ISNUMBER($A1217),IF(AND($A1217&gt;=10000101,$A1217&lt;=99991231),INT($A1217/10000),""),IFERROR(VALUE(TRIM(LEFT($A1217,FIND("/",$A1217)-1))),"")))</f>
        <v/>
      </c>
      <c r="C1217">
        <f>IF(OR($A1217="",$B1217=""),"",IF(ISNUMBER($A1217),INT(MOD($A1217,10000)/100),IFERROR(VALUE(TRIM(LEFT(MID($A1217,FIND("/",$A1217)+1,20),FIND("/",MID($A1217,FIND("/",$A1217)+1,20))-1))),"")))</f>
        <v/>
      </c>
      <c r="D1217">
        <f>IF(OR($A1217="",$B1217=""),"",IF(ISNUMBER($A1217),MOD($A1217,100),IFERROR(VALUE(TRIM(MID(MID($A1217,FIND("/",$A1217)+1,20),FIND("/",MID($A1217,FIND("/",$A1217)+1,20))+1,20))),"")))</f>
        <v/>
      </c>
      <c r="E1217">
        <f>IF($A1217="","",IF(OR($B1217="",$C1217="",$D1217="",$B1217&lt;1300,$B1217&gt;1500,$C1217&lt;1,$C1217&gt;12,$D1217&lt;1,$D1217&gt;31),"نامعتبر",RIGHT("0000"&amp;$B1217,4)&amp;"/"&amp;RIGHT("00"&amp;$C1217,2)&amp;"/"&amp;RIGHT("00"&amp;$D1217,2)))</f>
        <v/>
      </c>
      <c r="F1217">
        <f>IF(OR($E1217="",$E1217="نامعتبر"),"",LEFT($E1217,4)&amp;"/"&amp;MID($E1217,6,2))</f>
        <v/>
      </c>
      <c r="G1217">
        <f>IF(OR($E1217="",$E1217="نامعتبر",Sync!$X1213=""),"",IF(AND(LEFT(UPPER(TRIM(Sync!$X1213)),2)="SL",IFERROR(VLOOKUP(Sync!$W1213,OpTbl,3,0),"")="فروش"),UPPER(TRIM(Sync!$X1213)),""))</f>
        <v/>
      </c>
      <c r="H1217">
        <f>IF($G1217="","",IF(Sync!$W1213="","",Sync!$W1213))</f>
        <v/>
      </c>
      <c r="I1217">
        <f>IF(OR($G1217="",Sync!$Y1213=""),"",Sync!$Y1213)</f>
        <v/>
      </c>
      <c r="J1217">
        <f>IF(OR($G1217="",Sync!$Z1213=""),"",Sync!$Z1213)</f>
        <v/>
      </c>
      <c r="K1217">
        <f>IF($G1217="",0,IF(Sync!$AA1213="",0,Sync!$AA1213))</f>
        <v/>
      </c>
      <c r="L1217">
        <f>IF($G1217="",0,IF(Sync!$AB1213="",0,Sync!$AB1213))</f>
        <v/>
      </c>
      <c r="M1217">
        <f>IF($G1217="","",IF($H1217="مرجوعی فروش",-1,1)*($K1217-$L1217*IFERROR(VLOOKUP("P01",ParamTbl,3,0),1.5)))</f>
        <v/>
      </c>
      <c r="N1217">
        <f>IF($G1217="",0,IF($H1217="مرجوعی فروش",-1,1)*IF(Sync!$AC1213="",0,Sync!$AC1213))</f>
        <v/>
      </c>
      <c r="O1217">
        <f>IF(OR($G1217="",Sync!$V1213=""),"",Sync!$V1213)</f>
        <v/>
      </c>
      <c r="P1217">
        <f>IF(OR($G1217="",Sync!$AD1213=""),"",Sync!$AD1213)</f>
        <v/>
      </c>
      <c r="Q1217">
        <f>IF($G1217="","",IF(Sync!$U1213="","0000",IF(AND(ISNUMBER(Sync!$U1213),Sync!$U1213&gt;=0,Sync!$U1213&lt;1),RIGHT("00"&amp;HOUR(Sync!$U1213),2)&amp;RIGHT("00"&amp;MINUTE(Sync!$U1213),2),IFERROR(RIGHT("00"&amp;VALUE(LEFT(Sync!$U1213,FIND(":",Sync!$U1213)-1)),2)&amp;RIGHT("00"&amp;VALUE(MID(Sync!$U1213,FIND(":",Sync!$U1213)+1,2)),2),"0000"))))</f>
        <v/>
      </c>
    </row>
    <row r="1218">
      <c r="A1218">
        <f>IF(Sync!$T1214="","",Sync!$T1214)</f>
        <v/>
      </c>
      <c r="B1218">
        <f>IF($A1218="","",IF(ISNUMBER($A1218),IF(AND($A1218&gt;=10000101,$A1218&lt;=99991231),INT($A1218/10000),""),IFERROR(VALUE(TRIM(LEFT($A1218,FIND("/",$A1218)-1))),"")))</f>
        <v/>
      </c>
      <c r="C1218">
        <f>IF(OR($A1218="",$B1218=""),"",IF(ISNUMBER($A1218),INT(MOD($A1218,10000)/100),IFERROR(VALUE(TRIM(LEFT(MID($A1218,FIND("/",$A1218)+1,20),FIND("/",MID($A1218,FIND("/",$A1218)+1,20))-1))),"")))</f>
        <v/>
      </c>
      <c r="D1218">
        <f>IF(OR($A1218="",$B1218=""),"",IF(ISNUMBER($A1218),MOD($A1218,100),IFERROR(VALUE(TRIM(MID(MID($A1218,FIND("/",$A1218)+1,20),FIND("/",MID($A1218,FIND("/",$A1218)+1,20))+1,20))),"")))</f>
        <v/>
      </c>
      <c r="E1218">
        <f>IF($A1218="","",IF(OR($B1218="",$C1218="",$D1218="",$B1218&lt;1300,$B1218&gt;1500,$C1218&lt;1,$C1218&gt;12,$D1218&lt;1,$D1218&gt;31),"نامعتبر",RIGHT("0000"&amp;$B1218,4)&amp;"/"&amp;RIGHT("00"&amp;$C1218,2)&amp;"/"&amp;RIGHT("00"&amp;$D1218,2)))</f>
        <v/>
      </c>
      <c r="F1218">
        <f>IF(OR($E1218="",$E1218="نامعتبر"),"",LEFT($E1218,4)&amp;"/"&amp;MID($E1218,6,2))</f>
        <v/>
      </c>
      <c r="G1218">
        <f>IF(OR($E1218="",$E1218="نامعتبر",Sync!$X1214=""),"",IF(AND(LEFT(UPPER(TRIM(Sync!$X1214)),2)="SL",IFERROR(VLOOKUP(Sync!$W1214,OpTbl,3,0),"")="فروش"),UPPER(TRIM(Sync!$X1214)),""))</f>
        <v/>
      </c>
      <c r="H1218">
        <f>IF($G1218="","",IF(Sync!$W1214="","",Sync!$W1214))</f>
        <v/>
      </c>
      <c r="I1218">
        <f>IF(OR($G1218="",Sync!$Y1214=""),"",Sync!$Y1214)</f>
        <v/>
      </c>
      <c r="J1218">
        <f>IF(OR($G1218="",Sync!$Z1214=""),"",Sync!$Z1214)</f>
        <v/>
      </c>
      <c r="K1218">
        <f>IF($G1218="",0,IF(Sync!$AA1214="",0,Sync!$AA1214))</f>
        <v/>
      </c>
      <c r="L1218">
        <f>IF($G1218="",0,IF(Sync!$AB1214="",0,Sync!$AB1214))</f>
        <v/>
      </c>
      <c r="M1218">
        <f>IF($G1218="","",IF($H1218="مرجوعی فروش",-1,1)*($K1218-$L1218*IFERROR(VLOOKUP("P01",ParamTbl,3,0),1.5)))</f>
        <v/>
      </c>
      <c r="N1218">
        <f>IF($G1218="",0,IF($H1218="مرجوعی فروش",-1,1)*IF(Sync!$AC1214="",0,Sync!$AC1214))</f>
        <v/>
      </c>
      <c r="O1218">
        <f>IF(OR($G1218="",Sync!$V1214=""),"",Sync!$V1214)</f>
        <v/>
      </c>
      <c r="P1218">
        <f>IF(OR($G1218="",Sync!$AD1214=""),"",Sync!$AD1214)</f>
        <v/>
      </c>
      <c r="Q1218">
        <f>IF($G1218="","",IF(Sync!$U1214="","0000",IF(AND(ISNUMBER(Sync!$U1214),Sync!$U1214&gt;=0,Sync!$U1214&lt;1),RIGHT("00"&amp;HOUR(Sync!$U1214),2)&amp;RIGHT("00"&amp;MINUTE(Sync!$U1214),2),IFERROR(RIGHT("00"&amp;VALUE(LEFT(Sync!$U1214,FIND(":",Sync!$U1214)-1)),2)&amp;RIGHT("00"&amp;VALUE(MID(Sync!$U1214,FIND(":",Sync!$U1214)+1,2)),2),"0000"))))</f>
        <v/>
      </c>
    </row>
    <row r="1219">
      <c r="A1219">
        <f>IF(Sync!$T1215="","",Sync!$T1215)</f>
        <v/>
      </c>
      <c r="B1219">
        <f>IF($A1219="","",IF(ISNUMBER($A1219),IF(AND($A1219&gt;=10000101,$A1219&lt;=99991231),INT($A1219/10000),""),IFERROR(VALUE(TRIM(LEFT($A1219,FIND("/",$A1219)-1))),"")))</f>
        <v/>
      </c>
      <c r="C1219">
        <f>IF(OR($A1219="",$B1219=""),"",IF(ISNUMBER($A1219),INT(MOD($A1219,10000)/100),IFERROR(VALUE(TRIM(LEFT(MID($A1219,FIND("/",$A1219)+1,20),FIND("/",MID($A1219,FIND("/",$A1219)+1,20))-1))),"")))</f>
        <v/>
      </c>
      <c r="D1219">
        <f>IF(OR($A1219="",$B1219=""),"",IF(ISNUMBER($A1219),MOD($A1219,100),IFERROR(VALUE(TRIM(MID(MID($A1219,FIND("/",$A1219)+1,20),FIND("/",MID($A1219,FIND("/",$A1219)+1,20))+1,20))),"")))</f>
        <v/>
      </c>
      <c r="E1219">
        <f>IF($A1219="","",IF(OR($B1219="",$C1219="",$D1219="",$B1219&lt;1300,$B1219&gt;1500,$C1219&lt;1,$C1219&gt;12,$D1219&lt;1,$D1219&gt;31),"نامعتبر",RIGHT("0000"&amp;$B1219,4)&amp;"/"&amp;RIGHT("00"&amp;$C1219,2)&amp;"/"&amp;RIGHT("00"&amp;$D1219,2)))</f>
        <v/>
      </c>
      <c r="F1219">
        <f>IF(OR($E1219="",$E1219="نامعتبر"),"",LEFT($E1219,4)&amp;"/"&amp;MID($E1219,6,2))</f>
        <v/>
      </c>
      <c r="G1219">
        <f>IF(OR($E1219="",$E1219="نامعتبر",Sync!$X1215=""),"",IF(AND(LEFT(UPPER(TRIM(Sync!$X1215)),2)="SL",IFERROR(VLOOKUP(Sync!$W1215,OpTbl,3,0),"")="فروش"),UPPER(TRIM(Sync!$X1215)),""))</f>
        <v/>
      </c>
      <c r="H1219">
        <f>IF($G1219="","",IF(Sync!$W1215="","",Sync!$W1215))</f>
        <v/>
      </c>
      <c r="I1219">
        <f>IF(OR($G1219="",Sync!$Y1215=""),"",Sync!$Y1215)</f>
        <v/>
      </c>
      <c r="J1219">
        <f>IF(OR($G1219="",Sync!$Z1215=""),"",Sync!$Z1215)</f>
        <v/>
      </c>
      <c r="K1219">
        <f>IF($G1219="",0,IF(Sync!$AA1215="",0,Sync!$AA1215))</f>
        <v/>
      </c>
      <c r="L1219">
        <f>IF($G1219="",0,IF(Sync!$AB1215="",0,Sync!$AB1215))</f>
        <v/>
      </c>
      <c r="M1219">
        <f>IF($G1219="","",IF($H1219="مرجوعی فروش",-1,1)*($K1219-$L1219*IFERROR(VLOOKUP("P01",ParamTbl,3,0),1.5)))</f>
        <v/>
      </c>
      <c r="N1219">
        <f>IF($G1219="",0,IF($H1219="مرجوعی فروش",-1,1)*IF(Sync!$AC1215="",0,Sync!$AC1215))</f>
        <v/>
      </c>
      <c r="O1219">
        <f>IF(OR($G1219="",Sync!$V1215=""),"",Sync!$V1215)</f>
        <v/>
      </c>
      <c r="P1219">
        <f>IF(OR($G1219="",Sync!$AD1215=""),"",Sync!$AD1215)</f>
        <v/>
      </c>
      <c r="Q1219">
        <f>IF($G1219="","",IF(Sync!$U1215="","0000",IF(AND(ISNUMBER(Sync!$U1215),Sync!$U1215&gt;=0,Sync!$U1215&lt;1),RIGHT("00"&amp;HOUR(Sync!$U1215),2)&amp;RIGHT("00"&amp;MINUTE(Sync!$U1215),2),IFERROR(RIGHT("00"&amp;VALUE(LEFT(Sync!$U1215,FIND(":",Sync!$U1215)-1)),2)&amp;RIGHT("00"&amp;VALUE(MID(Sync!$U1215,FIND(":",Sync!$U1215)+1,2)),2),"0000"))))</f>
        <v/>
      </c>
    </row>
    <row r="1220">
      <c r="A1220">
        <f>IF(Sync!$T1216="","",Sync!$T1216)</f>
        <v/>
      </c>
      <c r="B1220">
        <f>IF($A1220="","",IF(ISNUMBER($A1220),IF(AND($A1220&gt;=10000101,$A1220&lt;=99991231),INT($A1220/10000),""),IFERROR(VALUE(TRIM(LEFT($A1220,FIND("/",$A1220)-1))),"")))</f>
        <v/>
      </c>
      <c r="C1220">
        <f>IF(OR($A1220="",$B1220=""),"",IF(ISNUMBER($A1220),INT(MOD($A1220,10000)/100),IFERROR(VALUE(TRIM(LEFT(MID($A1220,FIND("/",$A1220)+1,20),FIND("/",MID($A1220,FIND("/",$A1220)+1,20))-1))),"")))</f>
        <v/>
      </c>
      <c r="D1220">
        <f>IF(OR($A1220="",$B1220=""),"",IF(ISNUMBER($A1220),MOD($A1220,100),IFERROR(VALUE(TRIM(MID(MID($A1220,FIND("/",$A1220)+1,20),FIND("/",MID($A1220,FIND("/",$A1220)+1,20))+1,20))),"")))</f>
        <v/>
      </c>
      <c r="E1220">
        <f>IF($A1220="","",IF(OR($B1220="",$C1220="",$D1220="",$B1220&lt;1300,$B1220&gt;1500,$C1220&lt;1,$C1220&gt;12,$D1220&lt;1,$D1220&gt;31),"نامعتبر",RIGHT("0000"&amp;$B1220,4)&amp;"/"&amp;RIGHT("00"&amp;$C1220,2)&amp;"/"&amp;RIGHT("00"&amp;$D1220,2)))</f>
        <v/>
      </c>
      <c r="F1220">
        <f>IF(OR($E1220="",$E1220="نامعتبر"),"",LEFT($E1220,4)&amp;"/"&amp;MID($E1220,6,2))</f>
        <v/>
      </c>
      <c r="G1220">
        <f>IF(OR($E1220="",$E1220="نامعتبر",Sync!$X1216=""),"",IF(AND(LEFT(UPPER(TRIM(Sync!$X1216)),2)="SL",IFERROR(VLOOKUP(Sync!$W1216,OpTbl,3,0),"")="فروش"),UPPER(TRIM(Sync!$X1216)),""))</f>
        <v/>
      </c>
      <c r="H1220">
        <f>IF($G1220="","",IF(Sync!$W1216="","",Sync!$W1216))</f>
        <v/>
      </c>
      <c r="I1220">
        <f>IF(OR($G1220="",Sync!$Y1216=""),"",Sync!$Y1216)</f>
        <v/>
      </c>
      <c r="J1220">
        <f>IF(OR($G1220="",Sync!$Z1216=""),"",Sync!$Z1216)</f>
        <v/>
      </c>
      <c r="K1220">
        <f>IF($G1220="",0,IF(Sync!$AA1216="",0,Sync!$AA1216))</f>
        <v/>
      </c>
      <c r="L1220">
        <f>IF($G1220="",0,IF(Sync!$AB1216="",0,Sync!$AB1216))</f>
        <v/>
      </c>
      <c r="M1220">
        <f>IF($G1220="","",IF($H1220="مرجوعی فروش",-1,1)*($K1220-$L1220*IFERROR(VLOOKUP("P01",ParamTbl,3,0),1.5)))</f>
        <v/>
      </c>
      <c r="N1220">
        <f>IF($G1220="",0,IF($H1220="مرجوعی فروش",-1,1)*IF(Sync!$AC1216="",0,Sync!$AC1216))</f>
        <v/>
      </c>
      <c r="O1220">
        <f>IF(OR($G1220="",Sync!$V1216=""),"",Sync!$V1216)</f>
        <v/>
      </c>
      <c r="P1220">
        <f>IF(OR($G1220="",Sync!$AD1216=""),"",Sync!$AD1216)</f>
        <v/>
      </c>
      <c r="Q1220">
        <f>IF($G1220="","",IF(Sync!$U1216="","0000",IF(AND(ISNUMBER(Sync!$U1216),Sync!$U1216&gt;=0,Sync!$U1216&lt;1),RIGHT("00"&amp;HOUR(Sync!$U1216),2)&amp;RIGHT("00"&amp;MINUTE(Sync!$U1216),2),IFERROR(RIGHT("00"&amp;VALUE(LEFT(Sync!$U1216,FIND(":",Sync!$U1216)-1)),2)&amp;RIGHT("00"&amp;VALUE(MID(Sync!$U1216,FIND(":",Sync!$U1216)+1,2)),2),"0000"))))</f>
        <v/>
      </c>
    </row>
    <row r="1221">
      <c r="A1221">
        <f>IF(Sync!$T1217="","",Sync!$T1217)</f>
        <v/>
      </c>
      <c r="B1221">
        <f>IF($A1221="","",IF(ISNUMBER($A1221),IF(AND($A1221&gt;=10000101,$A1221&lt;=99991231),INT($A1221/10000),""),IFERROR(VALUE(TRIM(LEFT($A1221,FIND("/",$A1221)-1))),"")))</f>
        <v/>
      </c>
      <c r="C1221">
        <f>IF(OR($A1221="",$B1221=""),"",IF(ISNUMBER($A1221),INT(MOD($A1221,10000)/100),IFERROR(VALUE(TRIM(LEFT(MID($A1221,FIND("/",$A1221)+1,20),FIND("/",MID($A1221,FIND("/",$A1221)+1,20))-1))),"")))</f>
        <v/>
      </c>
      <c r="D1221">
        <f>IF(OR($A1221="",$B1221=""),"",IF(ISNUMBER($A1221),MOD($A1221,100),IFERROR(VALUE(TRIM(MID(MID($A1221,FIND("/",$A1221)+1,20),FIND("/",MID($A1221,FIND("/",$A1221)+1,20))+1,20))),"")))</f>
        <v/>
      </c>
      <c r="E1221">
        <f>IF($A1221="","",IF(OR($B1221="",$C1221="",$D1221="",$B1221&lt;1300,$B1221&gt;1500,$C1221&lt;1,$C1221&gt;12,$D1221&lt;1,$D1221&gt;31),"نامعتبر",RIGHT("0000"&amp;$B1221,4)&amp;"/"&amp;RIGHT("00"&amp;$C1221,2)&amp;"/"&amp;RIGHT("00"&amp;$D1221,2)))</f>
        <v/>
      </c>
      <c r="F1221">
        <f>IF(OR($E1221="",$E1221="نامعتبر"),"",LEFT($E1221,4)&amp;"/"&amp;MID($E1221,6,2))</f>
        <v/>
      </c>
      <c r="G1221">
        <f>IF(OR($E1221="",$E1221="نامعتبر",Sync!$X1217=""),"",IF(AND(LEFT(UPPER(TRIM(Sync!$X1217)),2)="SL",IFERROR(VLOOKUP(Sync!$W1217,OpTbl,3,0),"")="فروش"),UPPER(TRIM(Sync!$X1217)),""))</f>
        <v/>
      </c>
      <c r="H1221">
        <f>IF($G1221="","",IF(Sync!$W1217="","",Sync!$W1217))</f>
        <v/>
      </c>
      <c r="I1221">
        <f>IF(OR($G1221="",Sync!$Y1217=""),"",Sync!$Y1217)</f>
        <v/>
      </c>
      <c r="J1221">
        <f>IF(OR($G1221="",Sync!$Z1217=""),"",Sync!$Z1217)</f>
        <v/>
      </c>
      <c r="K1221">
        <f>IF($G1221="",0,IF(Sync!$AA1217="",0,Sync!$AA1217))</f>
        <v/>
      </c>
      <c r="L1221">
        <f>IF($G1221="",0,IF(Sync!$AB1217="",0,Sync!$AB1217))</f>
        <v/>
      </c>
      <c r="M1221">
        <f>IF($G1221="","",IF($H1221="مرجوعی فروش",-1,1)*($K1221-$L1221*IFERROR(VLOOKUP("P01",ParamTbl,3,0),1.5)))</f>
        <v/>
      </c>
      <c r="N1221">
        <f>IF($G1221="",0,IF($H1221="مرجوعی فروش",-1,1)*IF(Sync!$AC1217="",0,Sync!$AC1217))</f>
        <v/>
      </c>
      <c r="O1221">
        <f>IF(OR($G1221="",Sync!$V1217=""),"",Sync!$V1217)</f>
        <v/>
      </c>
      <c r="P1221">
        <f>IF(OR($G1221="",Sync!$AD1217=""),"",Sync!$AD1217)</f>
        <v/>
      </c>
      <c r="Q1221">
        <f>IF($G1221="","",IF(Sync!$U1217="","0000",IF(AND(ISNUMBER(Sync!$U1217),Sync!$U1217&gt;=0,Sync!$U1217&lt;1),RIGHT("00"&amp;HOUR(Sync!$U1217),2)&amp;RIGHT("00"&amp;MINUTE(Sync!$U1217),2),IFERROR(RIGHT("00"&amp;VALUE(LEFT(Sync!$U1217,FIND(":",Sync!$U1217)-1)),2)&amp;RIGHT("00"&amp;VALUE(MID(Sync!$U1217,FIND(":",Sync!$U1217)+1,2)),2),"0000"))))</f>
        <v/>
      </c>
    </row>
    <row r="1222">
      <c r="A1222">
        <f>IF(Sync!$T1218="","",Sync!$T1218)</f>
        <v/>
      </c>
      <c r="B1222">
        <f>IF($A1222="","",IF(ISNUMBER($A1222),IF(AND($A1222&gt;=10000101,$A1222&lt;=99991231),INT($A1222/10000),""),IFERROR(VALUE(TRIM(LEFT($A1222,FIND("/",$A1222)-1))),"")))</f>
        <v/>
      </c>
      <c r="C1222">
        <f>IF(OR($A1222="",$B1222=""),"",IF(ISNUMBER($A1222),INT(MOD($A1222,10000)/100),IFERROR(VALUE(TRIM(LEFT(MID($A1222,FIND("/",$A1222)+1,20),FIND("/",MID($A1222,FIND("/",$A1222)+1,20))-1))),"")))</f>
        <v/>
      </c>
      <c r="D1222">
        <f>IF(OR($A1222="",$B1222=""),"",IF(ISNUMBER($A1222),MOD($A1222,100),IFERROR(VALUE(TRIM(MID(MID($A1222,FIND("/",$A1222)+1,20),FIND("/",MID($A1222,FIND("/",$A1222)+1,20))+1,20))),"")))</f>
        <v/>
      </c>
      <c r="E1222">
        <f>IF($A1222="","",IF(OR($B1222="",$C1222="",$D1222="",$B1222&lt;1300,$B1222&gt;1500,$C1222&lt;1,$C1222&gt;12,$D1222&lt;1,$D1222&gt;31),"نامعتبر",RIGHT("0000"&amp;$B1222,4)&amp;"/"&amp;RIGHT("00"&amp;$C1222,2)&amp;"/"&amp;RIGHT("00"&amp;$D1222,2)))</f>
        <v/>
      </c>
      <c r="F1222">
        <f>IF(OR($E1222="",$E1222="نامعتبر"),"",LEFT($E1222,4)&amp;"/"&amp;MID($E1222,6,2))</f>
        <v/>
      </c>
      <c r="G1222">
        <f>IF(OR($E1222="",$E1222="نامعتبر",Sync!$X1218=""),"",IF(AND(LEFT(UPPER(TRIM(Sync!$X1218)),2)="SL",IFERROR(VLOOKUP(Sync!$W1218,OpTbl,3,0),"")="فروش"),UPPER(TRIM(Sync!$X1218)),""))</f>
        <v/>
      </c>
      <c r="H1222">
        <f>IF($G1222="","",IF(Sync!$W1218="","",Sync!$W1218))</f>
        <v/>
      </c>
      <c r="I1222">
        <f>IF(OR($G1222="",Sync!$Y1218=""),"",Sync!$Y1218)</f>
        <v/>
      </c>
      <c r="J1222">
        <f>IF(OR($G1222="",Sync!$Z1218=""),"",Sync!$Z1218)</f>
        <v/>
      </c>
      <c r="K1222">
        <f>IF($G1222="",0,IF(Sync!$AA1218="",0,Sync!$AA1218))</f>
        <v/>
      </c>
      <c r="L1222">
        <f>IF($G1222="",0,IF(Sync!$AB1218="",0,Sync!$AB1218))</f>
        <v/>
      </c>
      <c r="M1222">
        <f>IF($G1222="","",IF($H1222="مرجوعی فروش",-1,1)*($K1222-$L1222*IFERROR(VLOOKUP("P01",ParamTbl,3,0),1.5)))</f>
        <v/>
      </c>
      <c r="N1222">
        <f>IF($G1222="",0,IF($H1222="مرجوعی فروش",-1,1)*IF(Sync!$AC1218="",0,Sync!$AC1218))</f>
        <v/>
      </c>
      <c r="O1222">
        <f>IF(OR($G1222="",Sync!$V1218=""),"",Sync!$V1218)</f>
        <v/>
      </c>
      <c r="P1222">
        <f>IF(OR($G1222="",Sync!$AD1218=""),"",Sync!$AD1218)</f>
        <v/>
      </c>
      <c r="Q1222">
        <f>IF($G1222="","",IF(Sync!$U1218="","0000",IF(AND(ISNUMBER(Sync!$U1218),Sync!$U1218&gt;=0,Sync!$U1218&lt;1),RIGHT("00"&amp;HOUR(Sync!$U1218),2)&amp;RIGHT("00"&amp;MINUTE(Sync!$U1218),2),IFERROR(RIGHT("00"&amp;VALUE(LEFT(Sync!$U1218,FIND(":",Sync!$U1218)-1)),2)&amp;RIGHT("00"&amp;VALUE(MID(Sync!$U1218,FIND(":",Sync!$U1218)+1,2)),2),"0000"))))</f>
        <v/>
      </c>
    </row>
    <row r="1223">
      <c r="A1223">
        <f>IF(Sync!$T1219="","",Sync!$T1219)</f>
        <v/>
      </c>
      <c r="B1223">
        <f>IF($A1223="","",IF(ISNUMBER($A1223),IF(AND($A1223&gt;=10000101,$A1223&lt;=99991231),INT($A1223/10000),""),IFERROR(VALUE(TRIM(LEFT($A1223,FIND("/",$A1223)-1))),"")))</f>
        <v/>
      </c>
      <c r="C1223">
        <f>IF(OR($A1223="",$B1223=""),"",IF(ISNUMBER($A1223),INT(MOD($A1223,10000)/100),IFERROR(VALUE(TRIM(LEFT(MID($A1223,FIND("/",$A1223)+1,20),FIND("/",MID($A1223,FIND("/",$A1223)+1,20))-1))),"")))</f>
        <v/>
      </c>
      <c r="D1223">
        <f>IF(OR($A1223="",$B1223=""),"",IF(ISNUMBER($A1223),MOD($A1223,100),IFERROR(VALUE(TRIM(MID(MID($A1223,FIND("/",$A1223)+1,20),FIND("/",MID($A1223,FIND("/",$A1223)+1,20))+1,20))),"")))</f>
        <v/>
      </c>
      <c r="E1223">
        <f>IF($A1223="","",IF(OR($B1223="",$C1223="",$D1223="",$B1223&lt;1300,$B1223&gt;1500,$C1223&lt;1,$C1223&gt;12,$D1223&lt;1,$D1223&gt;31),"نامعتبر",RIGHT("0000"&amp;$B1223,4)&amp;"/"&amp;RIGHT("00"&amp;$C1223,2)&amp;"/"&amp;RIGHT("00"&amp;$D1223,2)))</f>
        <v/>
      </c>
      <c r="F1223">
        <f>IF(OR($E1223="",$E1223="نامعتبر"),"",LEFT($E1223,4)&amp;"/"&amp;MID($E1223,6,2))</f>
        <v/>
      </c>
      <c r="G1223">
        <f>IF(OR($E1223="",$E1223="نامعتبر",Sync!$X1219=""),"",IF(AND(LEFT(UPPER(TRIM(Sync!$X1219)),2)="SL",IFERROR(VLOOKUP(Sync!$W1219,OpTbl,3,0),"")="فروش"),UPPER(TRIM(Sync!$X1219)),""))</f>
        <v/>
      </c>
      <c r="H1223">
        <f>IF($G1223="","",IF(Sync!$W1219="","",Sync!$W1219))</f>
        <v/>
      </c>
      <c r="I1223">
        <f>IF(OR($G1223="",Sync!$Y1219=""),"",Sync!$Y1219)</f>
        <v/>
      </c>
      <c r="J1223">
        <f>IF(OR($G1223="",Sync!$Z1219=""),"",Sync!$Z1219)</f>
        <v/>
      </c>
      <c r="K1223">
        <f>IF($G1223="",0,IF(Sync!$AA1219="",0,Sync!$AA1219))</f>
        <v/>
      </c>
      <c r="L1223">
        <f>IF($G1223="",0,IF(Sync!$AB1219="",0,Sync!$AB1219))</f>
        <v/>
      </c>
      <c r="M1223">
        <f>IF($G1223="","",IF($H1223="مرجوعی فروش",-1,1)*($K1223-$L1223*IFERROR(VLOOKUP("P01",ParamTbl,3,0),1.5)))</f>
        <v/>
      </c>
      <c r="N1223">
        <f>IF($G1223="",0,IF($H1223="مرجوعی فروش",-1,1)*IF(Sync!$AC1219="",0,Sync!$AC1219))</f>
        <v/>
      </c>
      <c r="O1223">
        <f>IF(OR($G1223="",Sync!$V1219=""),"",Sync!$V1219)</f>
        <v/>
      </c>
      <c r="P1223">
        <f>IF(OR($G1223="",Sync!$AD1219=""),"",Sync!$AD1219)</f>
        <v/>
      </c>
      <c r="Q1223">
        <f>IF($G1223="","",IF(Sync!$U1219="","0000",IF(AND(ISNUMBER(Sync!$U1219),Sync!$U1219&gt;=0,Sync!$U1219&lt;1),RIGHT("00"&amp;HOUR(Sync!$U1219),2)&amp;RIGHT("00"&amp;MINUTE(Sync!$U1219),2),IFERROR(RIGHT("00"&amp;VALUE(LEFT(Sync!$U1219,FIND(":",Sync!$U1219)-1)),2)&amp;RIGHT("00"&amp;VALUE(MID(Sync!$U1219,FIND(":",Sync!$U1219)+1,2)),2),"0000"))))</f>
        <v/>
      </c>
    </row>
    <row r="1224">
      <c r="A1224">
        <f>IF(Sync!$T1220="","",Sync!$T1220)</f>
        <v/>
      </c>
      <c r="B1224">
        <f>IF($A1224="","",IF(ISNUMBER($A1224),IF(AND($A1224&gt;=10000101,$A1224&lt;=99991231),INT($A1224/10000),""),IFERROR(VALUE(TRIM(LEFT($A1224,FIND("/",$A1224)-1))),"")))</f>
        <v/>
      </c>
      <c r="C1224">
        <f>IF(OR($A1224="",$B1224=""),"",IF(ISNUMBER($A1224),INT(MOD($A1224,10000)/100),IFERROR(VALUE(TRIM(LEFT(MID($A1224,FIND("/",$A1224)+1,20),FIND("/",MID($A1224,FIND("/",$A1224)+1,20))-1))),"")))</f>
        <v/>
      </c>
      <c r="D1224">
        <f>IF(OR($A1224="",$B1224=""),"",IF(ISNUMBER($A1224),MOD($A1224,100),IFERROR(VALUE(TRIM(MID(MID($A1224,FIND("/",$A1224)+1,20),FIND("/",MID($A1224,FIND("/",$A1224)+1,20))+1,20))),"")))</f>
        <v/>
      </c>
      <c r="E1224">
        <f>IF($A1224="","",IF(OR($B1224="",$C1224="",$D1224="",$B1224&lt;1300,$B1224&gt;1500,$C1224&lt;1,$C1224&gt;12,$D1224&lt;1,$D1224&gt;31),"نامعتبر",RIGHT("0000"&amp;$B1224,4)&amp;"/"&amp;RIGHT("00"&amp;$C1224,2)&amp;"/"&amp;RIGHT("00"&amp;$D1224,2)))</f>
        <v/>
      </c>
      <c r="F1224">
        <f>IF(OR($E1224="",$E1224="نامعتبر"),"",LEFT($E1224,4)&amp;"/"&amp;MID($E1224,6,2))</f>
        <v/>
      </c>
      <c r="G1224">
        <f>IF(OR($E1224="",$E1224="نامعتبر",Sync!$X1220=""),"",IF(AND(LEFT(UPPER(TRIM(Sync!$X1220)),2)="SL",IFERROR(VLOOKUP(Sync!$W1220,OpTbl,3,0),"")="فروش"),UPPER(TRIM(Sync!$X1220)),""))</f>
        <v/>
      </c>
      <c r="H1224">
        <f>IF($G1224="","",IF(Sync!$W1220="","",Sync!$W1220))</f>
        <v/>
      </c>
      <c r="I1224">
        <f>IF(OR($G1224="",Sync!$Y1220=""),"",Sync!$Y1220)</f>
        <v/>
      </c>
      <c r="J1224">
        <f>IF(OR($G1224="",Sync!$Z1220=""),"",Sync!$Z1220)</f>
        <v/>
      </c>
      <c r="K1224">
        <f>IF($G1224="",0,IF(Sync!$AA1220="",0,Sync!$AA1220))</f>
        <v/>
      </c>
      <c r="L1224">
        <f>IF($G1224="",0,IF(Sync!$AB1220="",0,Sync!$AB1220))</f>
        <v/>
      </c>
      <c r="M1224">
        <f>IF($G1224="","",IF($H1224="مرجوعی فروش",-1,1)*($K1224-$L1224*IFERROR(VLOOKUP("P01",ParamTbl,3,0),1.5)))</f>
        <v/>
      </c>
      <c r="N1224">
        <f>IF($G1224="",0,IF($H1224="مرجوعی فروش",-1,1)*IF(Sync!$AC1220="",0,Sync!$AC1220))</f>
        <v/>
      </c>
      <c r="O1224">
        <f>IF(OR($G1224="",Sync!$V1220=""),"",Sync!$V1220)</f>
        <v/>
      </c>
      <c r="P1224">
        <f>IF(OR($G1224="",Sync!$AD1220=""),"",Sync!$AD1220)</f>
        <v/>
      </c>
      <c r="Q1224">
        <f>IF($G1224="","",IF(Sync!$U1220="","0000",IF(AND(ISNUMBER(Sync!$U1220),Sync!$U1220&gt;=0,Sync!$U1220&lt;1),RIGHT("00"&amp;HOUR(Sync!$U1220),2)&amp;RIGHT("00"&amp;MINUTE(Sync!$U1220),2),IFERROR(RIGHT("00"&amp;VALUE(LEFT(Sync!$U1220,FIND(":",Sync!$U1220)-1)),2)&amp;RIGHT("00"&amp;VALUE(MID(Sync!$U1220,FIND(":",Sync!$U1220)+1,2)),2),"0000"))))</f>
        <v/>
      </c>
    </row>
    <row r="1225">
      <c r="A1225">
        <f>IF(Sync!$T1221="","",Sync!$T1221)</f>
        <v/>
      </c>
      <c r="B1225">
        <f>IF($A1225="","",IF(ISNUMBER($A1225),IF(AND($A1225&gt;=10000101,$A1225&lt;=99991231),INT($A1225/10000),""),IFERROR(VALUE(TRIM(LEFT($A1225,FIND("/",$A1225)-1))),"")))</f>
        <v/>
      </c>
      <c r="C1225">
        <f>IF(OR($A1225="",$B1225=""),"",IF(ISNUMBER($A1225),INT(MOD($A1225,10000)/100),IFERROR(VALUE(TRIM(LEFT(MID($A1225,FIND("/",$A1225)+1,20),FIND("/",MID($A1225,FIND("/",$A1225)+1,20))-1))),"")))</f>
        <v/>
      </c>
      <c r="D1225">
        <f>IF(OR($A1225="",$B1225=""),"",IF(ISNUMBER($A1225),MOD($A1225,100),IFERROR(VALUE(TRIM(MID(MID($A1225,FIND("/",$A1225)+1,20),FIND("/",MID($A1225,FIND("/",$A1225)+1,20))+1,20))),"")))</f>
        <v/>
      </c>
      <c r="E1225">
        <f>IF($A1225="","",IF(OR($B1225="",$C1225="",$D1225="",$B1225&lt;1300,$B1225&gt;1500,$C1225&lt;1,$C1225&gt;12,$D1225&lt;1,$D1225&gt;31),"نامعتبر",RIGHT("0000"&amp;$B1225,4)&amp;"/"&amp;RIGHT("00"&amp;$C1225,2)&amp;"/"&amp;RIGHT("00"&amp;$D1225,2)))</f>
        <v/>
      </c>
      <c r="F1225">
        <f>IF(OR($E1225="",$E1225="نامعتبر"),"",LEFT($E1225,4)&amp;"/"&amp;MID($E1225,6,2))</f>
        <v/>
      </c>
      <c r="G1225">
        <f>IF(OR($E1225="",$E1225="نامعتبر",Sync!$X1221=""),"",IF(AND(LEFT(UPPER(TRIM(Sync!$X1221)),2)="SL",IFERROR(VLOOKUP(Sync!$W1221,OpTbl,3,0),"")="فروش"),UPPER(TRIM(Sync!$X1221)),""))</f>
        <v/>
      </c>
      <c r="H1225">
        <f>IF($G1225="","",IF(Sync!$W1221="","",Sync!$W1221))</f>
        <v/>
      </c>
      <c r="I1225">
        <f>IF(OR($G1225="",Sync!$Y1221=""),"",Sync!$Y1221)</f>
        <v/>
      </c>
      <c r="J1225">
        <f>IF(OR($G1225="",Sync!$Z1221=""),"",Sync!$Z1221)</f>
        <v/>
      </c>
      <c r="K1225">
        <f>IF($G1225="",0,IF(Sync!$AA1221="",0,Sync!$AA1221))</f>
        <v/>
      </c>
      <c r="L1225">
        <f>IF($G1225="",0,IF(Sync!$AB1221="",0,Sync!$AB1221))</f>
        <v/>
      </c>
      <c r="M1225">
        <f>IF($G1225="","",IF($H1225="مرجوعی فروش",-1,1)*($K1225-$L1225*IFERROR(VLOOKUP("P01",ParamTbl,3,0),1.5)))</f>
        <v/>
      </c>
      <c r="N1225">
        <f>IF($G1225="",0,IF($H1225="مرجوعی فروش",-1,1)*IF(Sync!$AC1221="",0,Sync!$AC1221))</f>
        <v/>
      </c>
      <c r="O1225">
        <f>IF(OR($G1225="",Sync!$V1221=""),"",Sync!$V1221)</f>
        <v/>
      </c>
      <c r="P1225">
        <f>IF(OR($G1225="",Sync!$AD1221=""),"",Sync!$AD1221)</f>
        <v/>
      </c>
      <c r="Q1225">
        <f>IF($G1225="","",IF(Sync!$U1221="","0000",IF(AND(ISNUMBER(Sync!$U1221),Sync!$U1221&gt;=0,Sync!$U1221&lt;1),RIGHT("00"&amp;HOUR(Sync!$U1221),2)&amp;RIGHT("00"&amp;MINUTE(Sync!$U1221),2),IFERROR(RIGHT("00"&amp;VALUE(LEFT(Sync!$U1221,FIND(":",Sync!$U1221)-1)),2)&amp;RIGHT("00"&amp;VALUE(MID(Sync!$U1221,FIND(":",Sync!$U1221)+1,2)),2),"0000"))))</f>
        <v/>
      </c>
    </row>
    <row r="1226">
      <c r="A1226">
        <f>IF(Sync!$T1222="","",Sync!$T1222)</f>
        <v/>
      </c>
      <c r="B1226">
        <f>IF($A1226="","",IF(ISNUMBER($A1226),IF(AND($A1226&gt;=10000101,$A1226&lt;=99991231),INT($A1226/10000),""),IFERROR(VALUE(TRIM(LEFT($A1226,FIND("/",$A1226)-1))),"")))</f>
        <v/>
      </c>
      <c r="C1226">
        <f>IF(OR($A1226="",$B1226=""),"",IF(ISNUMBER($A1226),INT(MOD($A1226,10000)/100),IFERROR(VALUE(TRIM(LEFT(MID($A1226,FIND("/",$A1226)+1,20),FIND("/",MID($A1226,FIND("/",$A1226)+1,20))-1))),"")))</f>
        <v/>
      </c>
      <c r="D1226">
        <f>IF(OR($A1226="",$B1226=""),"",IF(ISNUMBER($A1226),MOD($A1226,100),IFERROR(VALUE(TRIM(MID(MID($A1226,FIND("/",$A1226)+1,20),FIND("/",MID($A1226,FIND("/",$A1226)+1,20))+1,20))),"")))</f>
        <v/>
      </c>
      <c r="E1226">
        <f>IF($A1226="","",IF(OR($B1226="",$C1226="",$D1226="",$B1226&lt;1300,$B1226&gt;1500,$C1226&lt;1,$C1226&gt;12,$D1226&lt;1,$D1226&gt;31),"نامعتبر",RIGHT("0000"&amp;$B1226,4)&amp;"/"&amp;RIGHT("00"&amp;$C1226,2)&amp;"/"&amp;RIGHT("00"&amp;$D1226,2)))</f>
        <v/>
      </c>
      <c r="F1226">
        <f>IF(OR($E1226="",$E1226="نامعتبر"),"",LEFT($E1226,4)&amp;"/"&amp;MID($E1226,6,2))</f>
        <v/>
      </c>
      <c r="G1226">
        <f>IF(OR($E1226="",$E1226="نامعتبر",Sync!$X1222=""),"",IF(AND(LEFT(UPPER(TRIM(Sync!$X1222)),2)="SL",IFERROR(VLOOKUP(Sync!$W1222,OpTbl,3,0),"")="فروش"),UPPER(TRIM(Sync!$X1222)),""))</f>
        <v/>
      </c>
      <c r="H1226">
        <f>IF($G1226="","",IF(Sync!$W1222="","",Sync!$W1222))</f>
        <v/>
      </c>
      <c r="I1226">
        <f>IF(OR($G1226="",Sync!$Y1222=""),"",Sync!$Y1222)</f>
        <v/>
      </c>
      <c r="J1226">
        <f>IF(OR($G1226="",Sync!$Z1222=""),"",Sync!$Z1222)</f>
        <v/>
      </c>
      <c r="K1226">
        <f>IF($G1226="",0,IF(Sync!$AA1222="",0,Sync!$AA1222))</f>
        <v/>
      </c>
      <c r="L1226">
        <f>IF($G1226="",0,IF(Sync!$AB1222="",0,Sync!$AB1222))</f>
        <v/>
      </c>
      <c r="M1226">
        <f>IF($G1226="","",IF($H1226="مرجوعی فروش",-1,1)*($K1226-$L1226*IFERROR(VLOOKUP("P01",ParamTbl,3,0),1.5)))</f>
        <v/>
      </c>
      <c r="N1226">
        <f>IF($G1226="",0,IF($H1226="مرجوعی فروش",-1,1)*IF(Sync!$AC1222="",0,Sync!$AC1222))</f>
        <v/>
      </c>
      <c r="O1226">
        <f>IF(OR($G1226="",Sync!$V1222=""),"",Sync!$V1222)</f>
        <v/>
      </c>
      <c r="P1226">
        <f>IF(OR($G1226="",Sync!$AD1222=""),"",Sync!$AD1222)</f>
        <v/>
      </c>
      <c r="Q1226">
        <f>IF($G1226="","",IF(Sync!$U1222="","0000",IF(AND(ISNUMBER(Sync!$U1222),Sync!$U1222&gt;=0,Sync!$U1222&lt;1),RIGHT("00"&amp;HOUR(Sync!$U1222),2)&amp;RIGHT("00"&amp;MINUTE(Sync!$U1222),2),IFERROR(RIGHT("00"&amp;VALUE(LEFT(Sync!$U1222,FIND(":",Sync!$U1222)-1)),2)&amp;RIGHT("00"&amp;VALUE(MID(Sync!$U1222,FIND(":",Sync!$U1222)+1,2)),2),"0000"))))</f>
        <v/>
      </c>
    </row>
    <row r="1227">
      <c r="A1227">
        <f>IF(Sync!$T1223="","",Sync!$T1223)</f>
        <v/>
      </c>
      <c r="B1227">
        <f>IF($A1227="","",IF(ISNUMBER($A1227),IF(AND($A1227&gt;=10000101,$A1227&lt;=99991231),INT($A1227/10000),""),IFERROR(VALUE(TRIM(LEFT($A1227,FIND("/",$A1227)-1))),"")))</f>
        <v/>
      </c>
      <c r="C1227">
        <f>IF(OR($A1227="",$B1227=""),"",IF(ISNUMBER($A1227),INT(MOD($A1227,10000)/100),IFERROR(VALUE(TRIM(LEFT(MID($A1227,FIND("/",$A1227)+1,20),FIND("/",MID($A1227,FIND("/",$A1227)+1,20))-1))),"")))</f>
        <v/>
      </c>
      <c r="D1227">
        <f>IF(OR($A1227="",$B1227=""),"",IF(ISNUMBER($A1227),MOD($A1227,100),IFERROR(VALUE(TRIM(MID(MID($A1227,FIND("/",$A1227)+1,20),FIND("/",MID($A1227,FIND("/",$A1227)+1,20))+1,20))),"")))</f>
        <v/>
      </c>
      <c r="E1227">
        <f>IF($A1227="","",IF(OR($B1227="",$C1227="",$D1227="",$B1227&lt;1300,$B1227&gt;1500,$C1227&lt;1,$C1227&gt;12,$D1227&lt;1,$D1227&gt;31),"نامعتبر",RIGHT("0000"&amp;$B1227,4)&amp;"/"&amp;RIGHT("00"&amp;$C1227,2)&amp;"/"&amp;RIGHT("00"&amp;$D1227,2)))</f>
        <v/>
      </c>
      <c r="F1227">
        <f>IF(OR($E1227="",$E1227="نامعتبر"),"",LEFT($E1227,4)&amp;"/"&amp;MID($E1227,6,2))</f>
        <v/>
      </c>
      <c r="G1227">
        <f>IF(OR($E1227="",$E1227="نامعتبر",Sync!$X1223=""),"",IF(AND(LEFT(UPPER(TRIM(Sync!$X1223)),2)="SL",IFERROR(VLOOKUP(Sync!$W1223,OpTbl,3,0),"")="فروش"),UPPER(TRIM(Sync!$X1223)),""))</f>
        <v/>
      </c>
      <c r="H1227">
        <f>IF($G1227="","",IF(Sync!$W1223="","",Sync!$W1223))</f>
        <v/>
      </c>
      <c r="I1227">
        <f>IF(OR($G1227="",Sync!$Y1223=""),"",Sync!$Y1223)</f>
        <v/>
      </c>
      <c r="J1227">
        <f>IF(OR($G1227="",Sync!$Z1223=""),"",Sync!$Z1223)</f>
        <v/>
      </c>
      <c r="K1227">
        <f>IF($G1227="",0,IF(Sync!$AA1223="",0,Sync!$AA1223))</f>
        <v/>
      </c>
      <c r="L1227">
        <f>IF($G1227="",0,IF(Sync!$AB1223="",0,Sync!$AB1223))</f>
        <v/>
      </c>
      <c r="M1227">
        <f>IF($G1227="","",IF($H1227="مرجوعی فروش",-1,1)*($K1227-$L1227*IFERROR(VLOOKUP("P01",ParamTbl,3,0),1.5)))</f>
        <v/>
      </c>
      <c r="N1227">
        <f>IF($G1227="",0,IF($H1227="مرجوعی فروش",-1,1)*IF(Sync!$AC1223="",0,Sync!$AC1223))</f>
        <v/>
      </c>
      <c r="O1227">
        <f>IF(OR($G1227="",Sync!$V1223=""),"",Sync!$V1223)</f>
        <v/>
      </c>
      <c r="P1227">
        <f>IF(OR($G1227="",Sync!$AD1223=""),"",Sync!$AD1223)</f>
        <v/>
      </c>
      <c r="Q1227">
        <f>IF($G1227="","",IF(Sync!$U1223="","0000",IF(AND(ISNUMBER(Sync!$U1223),Sync!$U1223&gt;=0,Sync!$U1223&lt;1),RIGHT("00"&amp;HOUR(Sync!$U1223),2)&amp;RIGHT("00"&amp;MINUTE(Sync!$U1223),2),IFERROR(RIGHT("00"&amp;VALUE(LEFT(Sync!$U1223,FIND(":",Sync!$U1223)-1)),2)&amp;RIGHT("00"&amp;VALUE(MID(Sync!$U1223,FIND(":",Sync!$U1223)+1,2)),2),"0000"))))</f>
        <v/>
      </c>
    </row>
    <row r="1228">
      <c r="A1228">
        <f>IF(Sync!$T1224="","",Sync!$T1224)</f>
        <v/>
      </c>
      <c r="B1228">
        <f>IF($A1228="","",IF(ISNUMBER($A1228),IF(AND($A1228&gt;=10000101,$A1228&lt;=99991231),INT($A1228/10000),""),IFERROR(VALUE(TRIM(LEFT($A1228,FIND("/",$A1228)-1))),"")))</f>
        <v/>
      </c>
      <c r="C1228">
        <f>IF(OR($A1228="",$B1228=""),"",IF(ISNUMBER($A1228),INT(MOD($A1228,10000)/100),IFERROR(VALUE(TRIM(LEFT(MID($A1228,FIND("/",$A1228)+1,20),FIND("/",MID($A1228,FIND("/",$A1228)+1,20))-1))),"")))</f>
        <v/>
      </c>
      <c r="D1228">
        <f>IF(OR($A1228="",$B1228=""),"",IF(ISNUMBER($A1228),MOD($A1228,100),IFERROR(VALUE(TRIM(MID(MID($A1228,FIND("/",$A1228)+1,20),FIND("/",MID($A1228,FIND("/",$A1228)+1,20))+1,20))),"")))</f>
        <v/>
      </c>
      <c r="E1228">
        <f>IF($A1228="","",IF(OR($B1228="",$C1228="",$D1228="",$B1228&lt;1300,$B1228&gt;1500,$C1228&lt;1,$C1228&gt;12,$D1228&lt;1,$D1228&gt;31),"نامعتبر",RIGHT("0000"&amp;$B1228,4)&amp;"/"&amp;RIGHT("00"&amp;$C1228,2)&amp;"/"&amp;RIGHT("00"&amp;$D1228,2)))</f>
        <v/>
      </c>
      <c r="F1228">
        <f>IF(OR($E1228="",$E1228="نامعتبر"),"",LEFT($E1228,4)&amp;"/"&amp;MID($E1228,6,2))</f>
        <v/>
      </c>
      <c r="G1228">
        <f>IF(OR($E1228="",$E1228="نامعتبر",Sync!$X1224=""),"",IF(AND(LEFT(UPPER(TRIM(Sync!$X1224)),2)="SL",IFERROR(VLOOKUP(Sync!$W1224,OpTbl,3,0),"")="فروش"),UPPER(TRIM(Sync!$X1224)),""))</f>
        <v/>
      </c>
      <c r="H1228">
        <f>IF($G1228="","",IF(Sync!$W1224="","",Sync!$W1224))</f>
        <v/>
      </c>
      <c r="I1228">
        <f>IF(OR($G1228="",Sync!$Y1224=""),"",Sync!$Y1224)</f>
        <v/>
      </c>
      <c r="J1228">
        <f>IF(OR($G1228="",Sync!$Z1224=""),"",Sync!$Z1224)</f>
        <v/>
      </c>
      <c r="K1228">
        <f>IF($G1228="",0,IF(Sync!$AA1224="",0,Sync!$AA1224))</f>
        <v/>
      </c>
      <c r="L1228">
        <f>IF($G1228="",0,IF(Sync!$AB1224="",0,Sync!$AB1224))</f>
        <v/>
      </c>
      <c r="M1228">
        <f>IF($G1228="","",IF($H1228="مرجوعی فروش",-1,1)*($K1228-$L1228*IFERROR(VLOOKUP("P01",ParamTbl,3,0),1.5)))</f>
        <v/>
      </c>
      <c r="N1228">
        <f>IF($G1228="",0,IF($H1228="مرجوعی فروش",-1,1)*IF(Sync!$AC1224="",0,Sync!$AC1224))</f>
        <v/>
      </c>
      <c r="O1228">
        <f>IF(OR($G1228="",Sync!$V1224=""),"",Sync!$V1224)</f>
        <v/>
      </c>
      <c r="P1228">
        <f>IF(OR($G1228="",Sync!$AD1224=""),"",Sync!$AD1224)</f>
        <v/>
      </c>
      <c r="Q1228">
        <f>IF($G1228="","",IF(Sync!$U1224="","0000",IF(AND(ISNUMBER(Sync!$U1224),Sync!$U1224&gt;=0,Sync!$U1224&lt;1),RIGHT("00"&amp;HOUR(Sync!$U1224),2)&amp;RIGHT("00"&amp;MINUTE(Sync!$U1224),2),IFERROR(RIGHT("00"&amp;VALUE(LEFT(Sync!$U1224,FIND(":",Sync!$U1224)-1)),2)&amp;RIGHT("00"&amp;VALUE(MID(Sync!$U1224,FIND(":",Sync!$U1224)+1,2)),2),"0000"))))</f>
        <v/>
      </c>
    </row>
    <row r="1229">
      <c r="A1229">
        <f>IF(Sync!$T1225="","",Sync!$T1225)</f>
        <v/>
      </c>
      <c r="B1229">
        <f>IF($A1229="","",IF(ISNUMBER($A1229),IF(AND($A1229&gt;=10000101,$A1229&lt;=99991231),INT($A1229/10000),""),IFERROR(VALUE(TRIM(LEFT($A1229,FIND("/",$A1229)-1))),"")))</f>
        <v/>
      </c>
      <c r="C1229">
        <f>IF(OR($A1229="",$B1229=""),"",IF(ISNUMBER($A1229),INT(MOD($A1229,10000)/100),IFERROR(VALUE(TRIM(LEFT(MID($A1229,FIND("/",$A1229)+1,20),FIND("/",MID($A1229,FIND("/",$A1229)+1,20))-1))),"")))</f>
        <v/>
      </c>
      <c r="D1229">
        <f>IF(OR($A1229="",$B1229=""),"",IF(ISNUMBER($A1229),MOD($A1229,100),IFERROR(VALUE(TRIM(MID(MID($A1229,FIND("/",$A1229)+1,20),FIND("/",MID($A1229,FIND("/",$A1229)+1,20))+1,20))),"")))</f>
        <v/>
      </c>
      <c r="E1229">
        <f>IF($A1229="","",IF(OR($B1229="",$C1229="",$D1229="",$B1229&lt;1300,$B1229&gt;1500,$C1229&lt;1,$C1229&gt;12,$D1229&lt;1,$D1229&gt;31),"نامعتبر",RIGHT("0000"&amp;$B1229,4)&amp;"/"&amp;RIGHT("00"&amp;$C1229,2)&amp;"/"&amp;RIGHT("00"&amp;$D1229,2)))</f>
        <v/>
      </c>
      <c r="F1229">
        <f>IF(OR($E1229="",$E1229="نامعتبر"),"",LEFT($E1229,4)&amp;"/"&amp;MID($E1229,6,2))</f>
        <v/>
      </c>
      <c r="G1229">
        <f>IF(OR($E1229="",$E1229="نامعتبر",Sync!$X1225=""),"",IF(AND(LEFT(UPPER(TRIM(Sync!$X1225)),2)="SL",IFERROR(VLOOKUP(Sync!$W1225,OpTbl,3,0),"")="فروش"),UPPER(TRIM(Sync!$X1225)),""))</f>
        <v/>
      </c>
      <c r="H1229">
        <f>IF($G1229="","",IF(Sync!$W1225="","",Sync!$W1225))</f>
        <v/>
      </c>
      <c r="I1229">
        <f>IF(OR($G1229="",Sync!$Y1225=""),"",Sync!$Y1225)</f>
        <v/>
      </c>
      <c r="J1229">
        <f>IF(OR($G1229="",Sync!$Z1225=""),"",Sync!$Z1225)</f>
        <v/>
      </c>
      <c r="K1229">
        <f>IF($G1229="",0,IF(Sync!$AA1225="",0,Sync!$AA1225))</f>
        <v/>
      </c>
      <c r="L1229">
        <f>IF($G1229="",0,IF(Sync!$AB1225="",0,Sync!$AB1225))</f>
        <v/>
      </c>
      <c r="M1229">
        <f>IF($G1229="","",IF($H1229="مرجوعی فروش",-1,1)*($K1229-$L1229*IFERROR(VLOOKUP("P01",ParamTbl,3,0),1.5)))</f>
        <v/>
      </c>
      <c r="N1229">
        <f>IF($G1229="",0,IF($H1229="مرجوعی فروش",-1,1)*IF(Sync!$AC1225="",0,Sync!$AC1225))</f>
        <v/>
      </c>
      <c r="O1229">
        <f>IF(OR($G1229="",Sync!$V1225=""),"",Sync!$V1225)</f>
        <v/>
      </c>
      <c r="P1229">
        <f>IF(OR($G1229="",Sync!$AD1225=""),"",Sync!$AD1225)</f>
        <v/>
      </c>
      <c r="Q1229">
        <f>IF($G1229="","",IF(Sync!$U1225="","0000",IF(AND(ISNUMBER(Sync!$U1225),Sync!$U1225&gt;=0,Sync!$U1225&lt;1),RIGHT("00"&amp;HOUR(Sync!$U1225),2)&amp;RIGHT("00"&amp;MINUTE(Sync!$U1225),2),IFERROR(RIGHT("00"&amp;VALUE(LEFT(Sync!$U1225,FIND(":",Sync!$U1225)-1)),2)&amp;RIGHT("00"&amp;VALUE(MID(Sync!$U1225,FIND(":",Sync!$U1225)+1,2)),2),"0000"))))</f>
        <v/>
      </c>
    </row>
    <row r="1230">
      <c r="A1230">
        <f>IF(Sync!$T1226="","",Sync!$T1226)</f>
        <v/>
      </c>
      <c r="B1230">
        <f>IF($A1230="","",IF(ISNUMBER($A1230),IF(AND($A1230&gt;=10000101,$A1230&lt;=99991231),INT($A1230/10000),""),IFERROR(VALUE(TRIM(LEFT($A1230,FIND("/",$A1230)-1))),"")))</f>
        <v/>
      </c>
      <c r="C1230">
        <f>IF(OR($A1230="",$B1230=""),"",IF(ISNUMBER($A1230),INT(MOD($A1230,10000)/100),IFERROR(VALUE(TRIM(LEFT(MID($A1230,FIND("/",$A1230)+1,20),FIND("/",MID($A1230,FIND("/",$A1230)+1,20))-1))),"")))</f>
        <v/>
      </c>
      <c r="D1230">
        <f>IF(OR($A1230="",$B1230=""),"",IF(ISNUMBER($A1230),MOD($A1230,100),IFERROR(VALUE(TRIM(MID(MID($A1230,FIND("/",$A1230)+1,20),FIND("/",MID($A1230,FIND("/",$A1230)+1,20))+1,20))),"")))</f>
        <v/>
      </c>
      <c r="E1230">
        <f>IF($A1230="","",IF(OR($B1230="",$C1230="",$D1230="",$B1230&lt;1300,$B1230&gt;1500,$C1230&lt;1,$C1230&gt;12,$D1230&lt;1,$D1230&gt;31),"نامعتبر",RIGHT("0000"&amp;$B1230,4)&amp;"/"&amp;RIGHT("00"&amp;$C1230,2)&amp;"/"&amp;RIGHT("00"&amp;$D1230,2)))</f>
        <v/>
      </c>
      <c r="F1230">
        <f>IF(OR($E1230="",$E1230="نامعتبر"),"",LEFT($E1230,4)&amp;"/"&amp;MID($E1230,6,2))</f>
        <v/>
      </c>
      <c r="G1230">
        <f>IF(OR($E1230="",$E1230="نامعتبر",Sync!$X1226=""),"",IF(AND(LEFT(UPPER(TRIM(Sync!$X1226)),2)="SL",IFERROR(VLOOKUP(Sync!$W1226,OpTbl,3,0),"")="فروش"),UPPER(TRIM(Sync!$X1226)),""))</f>
        <v/>
      </c>
      <c r="H1230">
        <f>IF($G1230="","",IF(Sync!$W1226="","",Sync!$W1226))</f>
        <v/>
      </c>
      <c r="I1230">
        <f>IF(OR($G1230="",Sync!$Y1226=""),"",Sync!$Y1226)</f>
        <v/>
      </c>
      <c r="J1230">
        <f>IF(OR($G1230="",Sync!$Z1226=""),"",Sync!$Z1226)</f>
        <v/>
      </c>
      <c r="K1230">
        <f>IF($G1230="",0,IF(Sync!$AA1226="",0,Sync!$AA1226))</f>
        <v/>
      </c>
      <c r="L1230">
        <f>IF($G1230="",0,IF(Sync!$AB1226="",0,Sync!$AB1226))</f>
        <v/>
      </c>
      <c r="M1230">
        <f>IF($G1230="","",IF($H1230="مرجوعی فروش",-1,1)*($K1230-$L1230*IFERROR(VLOOKUP("P01",ParamTbl,3,0),1.5)))</f>
        <v/>
      </c>
      <c r="N1230">
        <f>IF($G1230="",0,IF($H1230="مرجوعی فروش",-1,1)*IF(Sync!$AC1226="",0,Sync!$AC1226))</f>
        <v/>
      </c>
      <c r="O1230">
        <f>IF(OR($G1230="",Sync!$V1226=""),"",Sync!$V1226)</f>
        <v/>
      </c>
      <c r="P1230">
        <f>IF(OR($G1230="",Sync!$AD1226=""),"",Sync!$AD1226)</f>
        <v/>
      </c>
      <c r="Q1230">
        <f>IF($G1230="","",IF(Sync!$U1226="","0000",IF(AND(ISNUMBER(Sync!$U1226),Sync!$U1226&gt;=0,Sync!$U1226&lt;1),RIGHT("00"&amp;HOUR(Sync!$U1226),2)&amp;RIGHT("00"&amp;MINUTE(Sync!$U1226),2),IFERROR(RIGHT("00"&amp;VALUE(LEFT(Sync!$U1226,FIND(":",Sync!$U1226)-1)),2)&amp;RIGHT("00"&amp;VALUE(MID(Sync!$U1226,FIND(":",Sync!$U1226)+1,2)),2),"0000"))))</f>
        <v/>
      </c>
    </row>
    <row r="1231">
      <c r="A1231">
        <f>IF(Sync!$T1227="","",Sync!$T1227)</f>
        <v/>
      </c>
      <c r="B1231">
        <f>IF($A1231="","",IF(ISNUMBER($A1231),IF(AND($A1231&gt;=10000101,$A1231&lt;=99991231),INT($A1231/10000),""),IFERROR(VALUE(TRIM(LEFT($A1231,FIND("/",$A1231)-1))),"")))</f>
        <v/>
      </c>
      <c r="C1231">
        <f>IF(OR($A1231="",$B1231=""),"",IF(ISNUMBER($A1231),INT(MOD($A1231,10000)/100),IFERROR(VALUE(TRIM(LEFT(MID($A1231,FIND("/",$A1231)+1,20),FIND("/",MID($A1231,FIND("/",$A1231)+1,20))-1))),"")))</f>
        <v/>
      </c>
      <c r="D1231">
        <f>IF(OR($A1231="",$B1231=""),"",IF(ISNUMBER($A1231),MOD($A1231,100),IFERROR(VALUE(TRIM(MID(MID($A1231,FIND("/",$A1231)+1,20),FIND("/",MID($A1231,FIND("/",$A1231)+1,20))+1,20))),"")))</f>
        <v/>
      </c>
      <c r="E1231">
        <f>IF($A1231="","",IF(OR($B1231="",$C1231="",$D1231="",$B1231&lt;1300,$B1231&gt;1500,$C1231&lt;1,$C1231&gt;12,$D1231&lt;1,$D1231&gt;31),"نامعتبر",RIGHT("0000"&amp;$B1231,4)&amp;"/"&amp;RIGHT("00"&amp;$C1231,2)&amp;"/"&amp;RIGHT("00"&amp;$D1231,2)))</f>
        <v/>
      </c>
      <c r="F1231">
        <f>IF(OR($E1231="",$E1231="نامعتبر"),"",LEFT($E1231,4)&amp;"/"&amp;MID($E1231,6,2))</f>
        <v/>
      </c>
      <c r="G1231">
        <f>IF(OR($E1231="",$E1231="نامعتبر",Sync!$X1227=""),"",IF(AND(LEFT(UPPER(TRIM(Sync!$X1227)),2)="SL",IFERROR(VLOOKUP(Sync!$W1227,OpTbl,3,0),"")="فروش"),UPPER(TRIM(Sync!$X1227)),""))</f>
        <v/>
      </c>
      <c r="H1231">
        <f>IF($G1231="","",IF(Sync!$W1227="","",Sync!$W1227))</f>
        <v/>
      </c>
      <c r="I1231">
        <f>IF(OR($G1231="",Sync!$Y1227=""),"",Sync!$Y1227)</f>
        <v/>
      </c>
      <c r="J1231">
        <f>IF(OR($G1231="",Sync!$Z1227=""),"",Sync!$Z1227)</f>
        <v/>
      </c>
      <c r="K1231">
        <f>IF($G1231="",0,IF(Sync!$AA1227="",0,Sync!$AA1227))</f>
        <v/>
      </c>
      <c r="L1231">
        <f>IF($G1231="",0,IF(Sync!$AB1227="",0,Sync!$AB1227))</f>
        <v/>
      </c>
      <c r="M1231">
        <f>IF($G1231="","",IF($H1231="مرجوعی فروش",-1,1)*($K1231-$L1231*IFERROR(VLOOKUP("P01",ParamTbl,3,0),1.5)))</f>
        <v/>
      </c>
      <c r="N1231">
        <f>IF($G1231="",0,IF($H1231="مرجوعی فروش",-1,1)*IF(Sync!$AC1227="",0,Sync!$AC1227))</f>
        <v/>
      </c>
      <c r="O1231">
        <f>IF(OR($G1231="",Sync!$V1227=""),"",Sync!$V1227)</f>
        <v/>
      </c>
      <c r="P1231">
        <f>IF(OR($G1231="",Sync!$AD1227=""),"",Sync!$AD1227)</f>
        <v/>
      </c>
      <c r="Q1231">
        <f>IF($G1231="","",IF(Sync!$U1227="","0000",IF(AND(ISNUMBER(Sync!$U1227),Sync!$U1227&gt;=0,Sync!$U1227&lt;1),RIGHT("00"&amp;HOUR(Sync!$U1227),2)&amp;RIGHT("00"&amp;MINUTE(Sync!$U1227),2),IFERROR(RIGHT("00"&amp;VALUE(LEFT(Sync!$U1227,FIND(":",Sync!$U1227)-1)),2)&amp;RIGHT("00"&amp;VALUE(MID(Sync!$U1227,FIND(":",Sync!$U1227)+1,2)),2),"0000"))))</f>
        <v/>
      </c>
    </row>
    <row r="1232">
      <c r="A1232">
        <f>IF(Sync!$T1228="","",Sync!$T1228)</f>
        <v/>
      </c>
      <c r="B1232">
        <f>IF($A1232="","",IF(ISNUMBER($A1232),IF(AND($A1232&gt;=10000101,$A1232&lt;=99991231),INT($A1232/10000),""),IFERROR(VALUE(TRIM(LEFT($A1232,FIND("/",$A1232)-1))),"")))</f>
        <v/>
      </c>
      <c r="C1232">
        <f>IF(OR($A1232="",$B1232=""),"",IF(ISNUMBER($A1232),INT(MOD($A1232,10000)/100),IFERROR(VALUE(TRIM(LEFT(MID($A1232,FIND("/",$A1232)+1,20),FIND("/",MID($A1232,FIND("/",$A1232)+1,20))-1))),"")))</f>
        <v/>
      </c>
      <c r="D1232">
        <f>IF(OR($A1232="",$B1232=""),"",IF(ISNUMBER($A1232),MOD($A1232,100),IFERROR(VALUE(TRIM(MID(MID($A1232,FIND("/",$A1232)+1,20),FIND("/",MID($A1232,FIND("/",$A1232)+1,20))+1,20))),"")))</f>
        <v/>
      </c>
      <c r="E1232">
        <f>IF($A1232="","",IF(OR($B1232="",$C1232="",$D1232="",$B1232&lt;1300,$B1232&gt;1500,$C1232&lt;1,$C1232&gt;12,$D1232&lt;1,$D1232&gt;31),"نامعتبر",RIGHT("0000"&amp;$B1232,4)&amp;"/"&amp;RIGHT("00"&amp;$C1232,2)&amp;"/"&amp;RIGHT("00"&amp;$D1232,2)))</f>
        <v/>
      </c>
      <c r="F1232">
        <f>IF(OR($E1232="",$E1232="نامعتبر"),"",LEFT($E1232,4)&amp;"/"&amp;MID($E1232,6,2))</f>
        <v/>
      </c>
      <c r="G1232">
        <f>IF(OR($E1232="",$E1232="نامعتبر",Sync!$X1228=""),"",IF(AND(LEFT(UPPER(TRIM(Sync!$X1228)),2)="SL",IFERROR(VLOOKUP(Sync!$W1228,OpTbl,3,0),"")="فروش"),UPPER(TRIM(Sync!$X1228)),""))</f>
        <v/>
      </c>
      <c r="H1232">
        <f>IF($G1232="","",IF(Sync!$W1228="","",Sync!$W1228))</f>
        <v/>
      </c>
      <c r="I1232">
        <f>IF(OR($G1232="",Sync!$Y1228=""),"",Sync!$Y1228)</f>
        <v/>
      </c>
      <c r="J1232">
        <f>IF(OR($G1232="",Sync!$Z1228=""),"",Sync!$Z1228)</f>
        <v/>
      </c>
      <c r="K1232">
        <f>IF($G1232="",0,IF(Sync!$AA1228="",0,Sync!$AA1228))</f>
        <v/>
      </c>
      <c r="L1232">
        <f>IF($G1232="",0,IF(Sync!$AB1228="",0,Sync!$AB1228))</f>
        <v/>
      </c>
      <c r="M1232">
        <f>IF($G1232="","",IF($H1232="مرجوعی فروش",-1,1)*($K1232-$L1232*IFERROR(VLOOKUP("P01",ParamTbl,3,0),1.5)))</f>
        <v/>
      </c>
      <c r="N1232">
        <f>IF($G1232="",0,IF($H1232="مرجوعی فروش",-1,1)*IF(Sync!$AC1228="",0,Sync!$AC1228))</f>
        <v/>
      </c>
      <c r="O1232">
        <f>IF(OR($G1232="",Sync!$V1228=""),"",Sync!$V1228)</f>
        <v/>
      </c>
      <c r="P1232">
        <f>IF(OR($G1232="",Sync!$AD1228=""),"",Sync!$AD1228)</f>
        <v/>
      </c>
      <c r="Q1232">
        <f>IF($G1232="","",IF(Sync!$U1228="","0000",IF(AND(ISNUMBER(Sync!$U1228),Sync!$U1228&gt;=0,Sync!$U1228&lt;1),RIGHT("00"&amp;HOUR(Sync!$U1228),2)&amp;RIGHT("00"&amp;MINUTE(Sync!$U1228),2),IFERROR(RIGHT("00"&amp;VALUE(LEFT(Sync!$U1228,FIND(":",Sync!$U1228)-1)),2)&amp;RIGHT("00"&amp;VALUE(MID(Sync!$U1228,FIND(":",Sync!$U1228)+1,2)),2),"0000"))))</f>
        <v/>
      </c>
    </row>
    <row r="1233">
      <c r="A1233">
        <f>IF(Sync!$T1229="","",Sync!$T1229)</f>
        <v/>
      </c>
      <c r="B1233">
        <f>IF($A1233="","",IF(ISNUMBER($A1233),IF(AND($A1233&gt;=10000101,$A1233&lt;=99991231),INT($A1233/10000),""),IFERROR(VALUE(TRIM(LEFT($A1233,FIND("/",$A1233)-1))),"")))</f>
        <v/>
      </c>
      <c r="C1233">
        <f>IF(OR($A1233="",$B1233=""),"",IF(ISNUMBER($A1233),INT(MOD($A1233,10000)/100),IFERROR(VALUE(TRIM(LEFT(MID($A1233,FIND("/",$A1233)+1,20),FIND("/",MID($A1233,FIND("/",$A1233)+1,20))-1))),"")))</f>
        <v/>
      </c>
      <c r="D1233">
        <f>IF(OR($A1233="",$B1233=""),"",IF(ISNUMBER($A1233),MOD($A1233,100),IFERROR(VALUE(TRIM(MID(MID($A1233,FIND("/",$A1233)+1,20),FIND("/",MID($A1233,FIND("/",$A1233)+1,20))+1,20))),"")))</f>
        <v/>
      </c>
      <c r="E1233">
        <f>IF($A1233="","",IF(OR($B1233="",$C1233="",$D1233="",$B1233&lt;1300,$B1233&gt;1500,$C1233&lt;1,$C1233&gt;12,$D1233&lt;1,$D1233&gt;31),"نامعتبر",RIGHT("0000"&amp;$B1233,4)&amp;"/"&amp;RIGHT("00"&amp;$C1233,2)&amp;"/"&amp;RIGHT("00"&amp;$D1233,2)))</f>
        <v/>
      </c>
      <c r="F1233">
        <f>IF(OR($E1233="",$E1233="نامعتبر"),"",LEFT($E1233,4)&amp;"/"&amp;MID($E1233,6,2))</f>
        <v/>
      </c>
      <c r="G1233">
        <f>IF(OR($E1233="",$E1233="نامعتبر",Sync!$X1229=""),"",IF(AND(LEFT(UPPER(TRIM(Sync!$X1229)),2)="SL",IFERROR(VLOOKUP(Sync!$W1229,OpTbl,3,0),"")="فروش"),UPPER(TRIM(Sync!$X1229)),""))</f>
        <v/>
      </c>
      <c r="H1233">
        <f>IF($G1233="","",IF(Sync!$W1229="","",Sync!$W1229))</f>
        <v/>
      </c>
      <c r="I1233">
        <f>IF(OR($G1233="",Sync!$Y1229=""),"",Sync!$Y1229)</f>
        <v/>
      </c>
      <c r="J1233">
        <f>IF(OR($G1233="",Sync!$Z1229=""),"",Sync!$Z1229)</f>
        <v/>
      </c>
      <c r="K1233">
        <f>IF($G1233="",0,IF(Sync!$AA1229="",0,Sync!$AA1229))</f>
        <v/>
      </c>
      <c r="L1233">
        <f>IF($G1233="",0,IF(Sync!$AB1229="",0,Sync!$AB1229))</f>
        <v/>
      </c>
      <c r="M1233">
        <f>IF($G1233="","",IF($H1233="مرجوعی فروش",-1,1)*($K1233-$L1233*IFERROR(VLOOKUP("P01",ParamTbl,3,0),1.5)))</f>
        <v/>
      </c>
      <c r="N1233">
        <f>IF($G1233="",0,IF($H1233="مرجوعی فروش",-1,1)*IF(Sync!$AC1229="",0,Sync!$AC1229))</f>
        <v/>
      </c>
      <c r="O1233">
        <f>IF(OR($G1233="",Sync!$V1229=""),"",Sync!$V1229)</f>
        <v/>
      </c>
      <c r="P1233">
        <f>IF(OR($G1233="",Sync!$AD1229=""),"",Sync!$AD1229)</f>
        <v/>
      </c>
      <c r="Q1233">
        <f>IF($G1233="","",IF(Sync!$U1229="","0000",IF(AND(ISNUMBER(Sync!$U1229),Sync!$U1229&gt;=0,Sync!$U1229&lt;1),RIGHT("00"&amp;HOUR(Sync!$U1229),2)&amp;RIGHT("00"&amp;MINUTE(Sync!$U1229),2),IFERROR(RIGHT("00"&amp;VALUE(LEFT(Sync!$U1229,FIND(":",Sync!$U1229)-1)),2)&amp;RIGHT("00"&amp;VALUE(MID(Sync!$U1229,FIND(":",Sync!$U1229)+1,2)),2),"0000"))))</f>
        <v/>
      </c>
    </row>
    <row r="1234">
      <c r="A1234">
        <f>IF(Sync!$T1230="","",Sync!$T1230)</f>
        <v/>
      </c>
      <c r="B1234">
        <f>IF($A1234="","",IF(ISNUMBER($A1234),IF(AND($A1234&gt;=10000101,$A1234&lt;=99991231),INT($A1234/10000),""),IFERROR(VALUE(TRIM(LEFT($A1234,FIND("/",$A1234)-1))),"")))</f>
        <v/>
      </c>
      <c r="C1234">
        <f>IF(OR($A1234="",$B1234=""),"",IF(ISNUMBER($A1234),INT(MOD($A1234,10000)/100),IFERROR(VALUE(TRIM(LEFT(MID($A1234,FIND("/",$A1234)+1,20),FIND("/",MID($A1234,FIND("/",$A1234)+1,20))-1))),"")))</f>
        <v/>
      </c>
      <c r="D1234">
        <f>IF(OR($A1234="",$B1234=""),"",IF(ISNUMBER($A1234),MOD($A1234,100),IFERROR(VALUE(TRIM(MID(MID($A1234,FIND("/",$A1234)+1,20),FIND("/",MID($A1234,FIND("/",$A1234)+1,20))+1,20))),"")))</f>
        <v/>
      </c>
      <c r="E1234">
        <f>IF($A1234="","",IF(OR($B1234="",$C1234="",$D1234="",$B1234&lt;1300,$B1234&gt;1500,$C1234&lt;1,$C1234&gt;12,$D1234&lt;1,$D1234&gt;31),"نامعتبر",RIGHT("0000"&amp;$B1234,4)&amp;"/"&amp;RIGHT("00"&amp;$C1234,2)&amp;"/"&amp;RIGHT("00"&amp;$D1234,2)))</f>
        <v/>
      </c>
      <c r="F1234">
        <f>IF(OR($E1234="",$E1234="نامعتبر"),"",LEFT($E1234,4)&amp;"/"&amp;MID($E1234,6,2))</f>
        <v/>
      </c>
      <c r="G1234">
        <f>IF(OR($E1234="",$E1234="نامعتبر",Sync!$X1230=""),"",IF(AND(LEFT(UPPER(TRIM(Sync!$X1230)),2)="SL",IFERROR(VLOOKUP(Sync!$W1230,OpTbl,3,0),"")="فروش"),UPPER(TRIM(Sync!$X1230)),""))</f>
        <v/>
      </c>
      <c r="H1234">
        <f>IF($G1234="","",IF(Sync!$W1230="","",Sync!$W1230))</f>
        <v/>
      </c>
      <c r="I1234">
        <f>IF(OR($G1234="",Sync!$Y1230=""),"",Sync!$Y1230)</f>
        <v/>
      </c>
      <c r="J1234">
        <f>IF(OR($G1234="",Sync!$Z1230=""),"",Sync!$Z1230)</f>
        <v/>
      </c>
      <c r="K1234">
        <f>IF($G1234="",0,IF(Sync!$AA1230="",0,Sync!$AA1230))</f>
        <v/>
      </c>
      <c r="L1234">
        <f>IF($G1234="",0,IF(Sync!$AB1230="",0,Sync!$AB1230))</f>
        <v/>
      </c>
      <c r="M1234">
        <f>IF($G1234="","",IF($H1234="مرجوعی فروش",-1,1)*($K1234-$L1234*IFERROR(VLOOKUP("P01",ParamTbl,3,0),1.5)))</f>
        <v/>
      </c>
      <c r="N1234">
        <f>IF($G1234="",0,IF($H1234="مرجوعی فروش",-1,1)*IF(Sync!$AC1230="",0,Sync!$AC1230))</f>
        <v/>
      </c>
      <c r="O1234">
        <f>IF(OR($G1234="",Sync!$V1230=""),"",Sync!$V1230)</f>
        <v/>
      </c>
      <c r="P1234">
        <f>IF(OR($G1234="",Sync!$AD1230=""),"",Sync!$AD1230)</f>
        <v/>
      </c>
      <c r="Q1234">
        <f>IF($G1234="","",IF(Sync!$U1230="","0000",IF(AND(ISNUMBER(Sync!$U1230),Sync!$U1230&gt;=0,Sync!$U1230&lt;1),RIGHT("00"&amp;HOUR(Sync!$U1230),2)&amp;RIGHT("00"&amp;MINUTE(Sync!$U1230),2),IFERROR(RIGHT("00"&amp;VALUE(LEFT(Sync!$U1230,FIND(":",Sync!$U1230)-1)),2)&amp;RIGHT("00"&amp;VALUE(MID(Sync!$U1230,FIND(":",Sync!$U1230)+1,2)),2),"0000"))))</f>
        <v/>
      </c>
    </row>
    <row r="1235">
      <c r="A1235">
        <f>IF(Sync!$T1231="","",Sync!$T1231)</f>
        <v/>
      </c>
      <c r="B1235">
        <f>IF($A1235="","",IF(ISNUMBER($A1235),IF(AND($A1235&gt;=10000101,$A1235&lt;=99991231),INT($A1235/10000),""),IFERROR(VALUE(TRIM(LEFT($A1235,FIND("/",$A1235)-1))),"")))</f>
        <v/>
      </c>
      <c r="C1235">
        <f>IF(OR($A1235="",$B1235=""),"",IF(ISNUMBER($A1235),INT(MOD($A1235,10000)/100),IFERROR(VALUE(TRIM(LEFT(MID($A1235,FIND("/",$A1235)+1,20),FIND("/",MID($A1235,FIND("/",$A1235)+1,20))-1))),"")))</f>
        <v/>
      </c>
      <c r="D1235">
        <f>IF(OR($A1235="",$B1235=""),"",IF(ISNUMBER($A1235),MOD($A1235,100),IFERROR(VALUE(TRIM(MID(MID($A1235,FIND("/",$A1235)+1,20),FIND("/",MID($A1235,FIND("/",$A1235)+1,20))+1,20))),"")))</f>
        <v/>
      </c>
      <c r="E1235">
        <f>IF($A1235="","",IF(OR($B1235="",$C1235="",$D1235="",$B1235&lt;1300,$B1235&gt;1500,$C1235&lt;1,$C1235&gt;12,$D1235&lt;1,$D1235&gt;31),"نامعتبر",RIGHT("0000"&amp;$B1235,4)&amp;"/"&amp;RIGHT("00"&amp;$C1235,2)&amp;"/"&amp;RIGHT("00"&amp;$D1235,2)))</f>
        <v/>
      </c>
      <c r="F1235">
        <f>IF(OR($E1235="",$E1235="نامعتبر"),"",LEFT($E1235,4)&amp;"/"&amp;MID($E1235,6,2))</f>
        <v/>
      </c>
      <c r="G1235">
        <f>IF(OR($E1235="",$E1235="نامعتبر",Sync!$X1231=""),"",IF(AND(LEFT(UPPER(TRIM(Sync!$X1231)),2)="SL",IFERROR(VLOOKUP(Sync!$W1231,OpTbl,3,0),"")="فروش"),UPPER(TRIM(Sync!$X1231)),""))</f>
        <v/>
      </c>
      <c r="H1235">
        <f>IF($G1235="","",IF(Sync!$W1231="","",Sync!$W1231))</f>
        <v/>
      </c>
      <c r="I1235">
        <f>IF(OR($G1235="",Sync!$Y1231=""),"",Sync!$Y1231)</f>
        <v/>
      </c>
      <c r="J1235">
        <f>IF(OR($G1235="",Sync!$Z1231=""),"",Sync!$Z1231)</f>
        <v/>
      </c>
      <c r="K1235">
        <f>IF($G1235="",0,IF(Sync!$AA1231="",0,Sync!$AA1231))</f>
        <v/>
      </c>
      <c r="L1235">
        <f>IF($G1235="",0,IF(Sync!$AB1231="",0,Sync!$AB1231))</f>
        <v/>
      </c>
      <c r="M1235">
        <f>IF($G1235="","",IF($H1235="مرجوعی فروش",-1,1)*($K1235-$L1235*IFERROR(VLOOKUP("P01",ParamTbl,3,0),1.5)))</f>
        <v/>
      </c>
      <c r="N1235">
        <f>IF($G1235="",0,IF($H1235="مرجوعی فروش",-1,1)*IF(Sync!$AC1231="",0,Sync!$AC1231))</f>
        <v/>
      </c>
      <c r="O1235">
        <f>IF(OR($G1235="",Sync!$V1231=""),"",Sync!$V1231)</f>
        <v/>
      </c>
      <c r="P1235">
        <f>IF(OR($G1235="",Sync!$AD1231=""),"",Sync!$AD1231)</f>
        <v/>
      </c>
      <c r="Q1235">
        <f>IF($G1235="","",IF(Sync!$U1231="","0000",IF(AND(ISNUMBER(Sync!$U1231),Sync!$U1231&gt;=0,Sync!$U1231&lt;1),RIGHT("00"&amp;HOUR(Sync!$U1231),2)&amp;RIGHT("00"&amp;MINUTE(Sync!$U1231),2),IFERROR(RIGHT("00"&amp;VALUE(LEFT(Sync!$U1231,FIND(":",Sync!$U1231)-1)),2)&amp;RIGHT("00"&amp;VALUE(MID(Sync!$U1231,FIND(":",Sync!$U1231)+1,2)),2),"0000"))))</f>
        <v/>
      </c>
    </row>
    <row r="1236">
      <c r="A1236">
        <f>IF(Sync!$T1232="","",Sync!$T1232)</f>
        <v/>
      </c>
      <c r="B1236">
        <f>IF($A1236="","",IF(ISNUMBER($A1236),IF(AND($A1236&gt;=10000101,$A1236&lt;=99991231),INT($A1236/10000),""),IFERROR(VALUE(TRIM(LEFT($A1236,FIND("/",$A1236)-1))),"")))</f>
        <v/>
      </c>
      <c r="C1236">
        <f>IF(OR($A1236="",$B1236=""),"",IF(ISNUMBER($A1236),INT(MOD($A1236,10000)/100),IFERROR(VALUE(TRIM(LEFT(MID($A1236,FIND("/",$A1236)+1,20),FIND("/",MID($A1236,FIND("/",$A1236)+1,20))-1))),"")))</f>
        <v/>
      </c>
      <c r="D1236">
        <f>IF(OR($A1236="",$B1236=""),"",IF(ISNUMBER($A1236),MOD($A1236,100),IFERROR(VALUE(TRIM(MID(MID($A1236,FIND("/",$A1236)+1,20),FIND("/",MID($A1236,FIND("/",$A1236)+1,20))+1,20))),"")))</f>
        <v/>
      </c>
      <c r="E1236">
        <f>IF($A1236="","",IF(OR($B1236="",$C1236="",$D1236="",$B1236&lt;1300,$B1236&gt;1500,$C1236&lt;1,$C1236&gt;12,$D1236&lt;1,$D1236&gt;31),"نامعتبر",RIGHT("0000"&amp;$B1236,4)&amp;"/"&amp;RIGHT("00"&amp;$C1236,2)&amp;"/"&amp;RIGHT("00"&amp;$D1236,2)))</f>
        <v/>
      </c>
      <c r="F1236">
        <f>IF(OR($E1236="",$E1236="نامعتبر"),"",LEFT($E1236,4)&amp;"/"&amp;MID($E1236,6,2))</f>
        <v/>
      </c>
      <c r="G1236">
        <f>IF(OR($E1236="",$E1236="نامعتبر",Sync!$X1232=""),"",IF(AND(LEFT(UPPER(TRIM(Sync!$X1232)),2)="SL",IFERROR(VLOOKUP(Sync!$W1232,OpTbl,3,0),"")="فروش"),UPPER(TRIM(Sync!$X1232)),""))</f>
        <v/>
      </c>
      <c r="H1236">
        <f>IF($G1236="","",IF(Sync!$W1232="","",Sync!$W1232))</f>
        <v/>
      </c>
      <c r="I1236">
        <f>IF(OR($G1236="",Sync!$Y1232=""),"",Sync!$Y1232)</f>
        <v/>
      </c>
      <c r="J1236">
        <f>IF(OR($G1236="",Sync!$Z1232=""),"",Sync!$Z1232)</f>
        <v/>
      </c>
      <c r="K1236">
        <f>IF($G1236="",0,IF(Sync!$AA1232="",0,Sync!$AA1232))</f>
        <v/>
      </c>
      <c r="L1236">
        <f>IF($G1236="",0,IF(Sync!$AB1232="",0,Sync!$AB1232))</f>
        <v/>
      </c>
      <c r="M1236">
        <f>IF($G1236="","",IF($H1236="مرجوعی فروش",-1,1)*($K1236-$L1236*IFERROR(VLOOKUP("P01",ParamTbl,3,0),1.5)))</f>
        <v/>
      </c>
      <c r="N1236">
        <f>IF($G1236="",0,IF($H1236="مرجوعی فروش",-1,1)*IF(Sync!$AC1232="",0,Sync!$AC1232))</f>
        <v/>
      </c>
      <c r="O1236">
        <f>IF(OR($G1236="",Sync!$V1232=""),"",Sync!$V1232)</f>
        <v/>
      </c>
      <c r="P1236">
        <f>IF(OR($G1236="",Sync!$AD1232=""),"",Sync!$AD1232)</f>
        <v/>
      </c>
      <c r="Q1236">
        <f>IF($G1236="","",IF(Sync!$U1232="","0000",IF(AND(ISNUMBER(Sync!$U1232),Sync!$U1232&gt;=0,Sync!$U1232&lt;1),RIGHT("00"&amp;HOUR(Sync!$U1232),2)&amp;RIGHT("00"&amp;MINUTE(Sync!$U1232),2),IFERROR(RIGHT("00"&amp;VALUE(LEFT(Sync!$U1232,FIND(":",Sync!$U1232)-1)),2)&amp;RIGHT("00"&amp;VALUE(MID(Sync!$U1232,FIND(":",Sync!$U1232)+1,2)),2),"0000"))))</f>
        <v/>
      </c>
    </row>
    <row r="1237">
      <c r="A1237">
        <f>IF(Sync!$T1233="","",Sync!$T1233)</f>
        <v/>
      </c>
      <c r="B1237">
        <f>IF($A1237="","",IF(ISNUMBER($A1237),IF(AND($A1237&gt;=10000101,$A1237&lt;=99991231),INT($A1237/10000),""),IFERROR(VALUE(TRIM(LEFT($A1237,FIND("/",$A1237)-1))),"")))</f>
        <v/>
      </c>
      <c r="C1237">
        <f>IF(OR($A1237="",$B1237=""),"",IF(ISNUMBER($A1237),INT(MOD($A1237,10000)/100),IFERROR(VALUE(TRIM(LEFT(MID($A1237,FIND("/",$A1237)+1,20),FIND("/",MID($A1237,FIND("/",$A1237)+1,20))-1))),"")))</f>
        <v/>
      </c>
      <c r="D1237">
        <f>IF(OR($A1237="",$B1237=""),"",IF(ISNUMBER($A1237),MOD($A1237,100),IFERROR(VALUE(TRIM(MID(MID($A1237,FIND("/",$A1237)+1,20),FIND("/",MID($A1237,FIND("/",$A1237)+1,20))+1,20))),"")))</f>
        <v/>
      </c>
      <c r="E1237">
        <f>IF($A1237="","",IF(OR($B1237="",$C1237="",$D1237="",$B1237&lt;1300,$B1237&gt;1500,$C1237&lt;1,$C1237&gt;12,$D1237&lt;1,$D1237&gt;31),"نامعتبر",RIGHT("0000"&amp;$B1237,4)&amp;"/"&amp;RIGHT("00"&amp;$C1237,2)&amp;"/"&amp;RIGHT("00"&amp;$D1237,2)))</f>
        <v/>
      </c>
      <c r="F1237">
        <f>IF(OR($E1237="",$E1237="نامعتبر"),"",LEFT($E1237,4)&amp;"/"&amp;MID($E1237,6,2))</f>
        <v/>
      </c>
      <c r="G1237">
        <f>IF(OR($E1237="",$E1237="نامعتبر",Sync!$X1233=""),"",IF(AND(LEFT(UPPER(TRIM(Sync!$X1233)),2)="SL",IFERROR(VLOOKUP(Sync!$W1233,OpTbl,3,0),"")="فروش"),UPPER(TRIM(Sync!$X1233)),""))</f>
        <v/>
      </c>
      <c r="H1237">
        <f>IF($G1237="","",IF(Sync!$W1233="","",Sync!$W1233))</f>
        <v/>
      </c>
      <c r="I1237">
        <f>IF(OR($G1237="",Sync!$Y1233=""),"",Sync!$Y1233)</f>
        <v/>
      </c>
      <c r="J1237">
        <f>IF(OR($G1237="",Sync!$Z1233=""),"",Sync!$Z1233)</f>
        <v/>
      </c>
      <c r="K1237">
        <f>IF($G1237="",0,IF(Sync!$AA1233="",0,Sync!$AA1233))</f>
        <v/>
      </c>
      <c r="L1237">
        <f>IF($G1237="",0,IF(Sync!$AB1233="",0,Sync!$AB1233))</f>
        <v/>
      </c>
      <c r="M1237">
        <f>IF($G1237="","",IF($H1237="مرجوعی فروش",-1,1)*($K1237-$L1237*IFERROR(VLOOKUP("P01",ParamTbl,3,0),1.5)))</f>
        <v/>
      </c>
      <c r="N1237">
        <f>IF($G1237="",0,IF($H1237="مرجوعی فروش",-1,1)*IF(Sync!$AC1233="",0,Sync!$AC1233))</f>
        <v/>
      </c>
      <c r="O1237">
        <f>IF(OR($G1237="",Sync!$V1233=""),"",Sync!$V1233)</f>
        <v/>
      </c>
      <c r="P1237">
        <f>IF(OR($G1237="",Sync!$AD1233=""),"",Sync!$AD1233)</f>
        <v/>
      </c>
      <c r="Q1237">
        <f>IF($G1237="","",IF(Sync!$U1233="","0000",IF(AND(ISNUMBER(Sync!$U1233),Sync!$U1233&gt;=0,Sync!$U1233&lt;1),RIGHT("00"&amp;HOUR(Sync!$U1233),2)&amp;RIGHT("00"&amp;MINUTE(Sync!$U1233),2),IFERROR(RIGHT("00"&amp;VALUE(LEFT(Sync!$U1233,FIND(":",Sync!$U1233)-1)),2)&amp;RIGHT("00"&amp;VALUE(MID(Sync!$U1233,FIND(":",Sync!$U1233)+1,2)),2),"0000"))))</f>
        <v/>
      </c>
    </row>
    <row r="1238">
      <c r="A1238">
        <f>IF(Sync!$T1234="","",Sync!$T1234)</f>
        <v/>
      </c>
      <c r="B1238">
        <f>IF($A1238="","",IF(ISNUMBER($A1238),IF(AND($A1238&gt;=10000101,$A1238&lt;=99991231),INT($A1238/10000),""),IFERROR(VALUE(TRIM(LEFT($A1238,FIND("/",$A1238)-1))),"")))</f>
        <v/>
      </c>
      <c r="C1238">
        <f>IF(OR($A1238="",$B1238=""),"",IF(ISNUMBER($A1238),INT(MOD($A1238,10000)/100),IFERROR(VALUE(TRIM(LEFT(MID($A1238,FIND("/",$A1238)+1,20),FIND("/",MID($A1238,FIND("/",$A1238)+1,20))-1))),"")))</f>
        <v/>
      </c>
      <c r="D1238">
        <f>IF(OR($A1238="",$B1238=""),"",IF(ISNUMBER($A1238),MOD($A1238,100),IFERROR(VALUE(TRIM(MID(MID($A1238,FIND("/",$A1238)+1,20),FIND("/",MID($A1238,FIND("/",$A1238)+1,20))+1,20))),"")))</f>
        <v/>
      </c>
      <c r="E1238">
        <f>IF($A1238="","",IF(OR($B1238="",$C1238="",$D1238="",$B1238&lt;1300,$B1238&gt;1500,$C1238&lt;1,$C1238&gt;12,$D1238&lt;1,$D1238&gt;31),"نامعتبر",RIGHT("0000"&amp;$B1238,4)&amp;"/"&amp;RIGHT("00"&amp;$C1238,2)&amp;"/"&amp;RIGHT("00"&amp;$D1238,2)))</f>
        <v/>
      </c>
      <c r="F1238">
        <f>IF(OR($E1238="",$E1238="نامعتبر"),"",LEFT($E1238,4)&amp;"/"&amp;MID($E1238,6,2))</f>
        <v/>
      </c>
      <c r="G1238">
        <f>IF(OR($E1238="",$E1238="نامعتبر",Sync!$X1234=""),"",IF(AND(LEFT(UPPER(TRIM(Sync!$X1234)),2)="SL",IFERROR(VLOOKUP(Sync!$W1234,OpTbl,3,0),"")="فروش"),UPPER(TRIM(Sync!$X1234)),""))</f>
        <v/>
      </c>
      <c r="H1238">
        <f>IF($G1238="","",IF(Sync!$W1234="","",Sync!$W1234))</f>
        <v/>
      </c>
      <c r="I1238">
        <f>IF(OR($G1238="",Sync!$Y1234=""),"",Sync!$Y1234)</f>
        <v/>
      </c>
      <c r="J1238">
        <f>IF(OR($G1238="",Sync!$Z1234=""),"",Sync!$Z1234)</f>
        <v/>
      </c>
      <c r="K1238">
        <f>IF($G1238="",0,IF(Sync!$AA1234="",0,Sync!$AA1234))</f>
        <v/>
      </c>
      <c r="L1238">
        <f>IF($G1238="",0,IF(Sync!$AB1234="",0,Sync!$AB1234))</f>
        <v/>
      </c>
      <c r="M1238">
        <f>IF($G1238="","",IF($H1238="مرجوعی فروش",-1,1)*($K1238-$L1238*IFERROR(VLOOKUP("P01",ParamTbl,3,0),1.5)))</f>
        <v/>
      </c>
      <c r="N1238">
        <f>IF($G1238="",0,IF($H1238="مرجوعی فروش",-1,1)*IF(Sync!$AC1234="",0,Sync!$AC1234))</f>
        <v/>
      </c>
      <c r="O1238">
        <f>IF(OR($G1238="",Sync!$V1234=""),"",Sync!$V1234)</f>
        <v/>
      </c>
      <c r="P1238">
        <f>IF(OR($G1238="",Sync!$AD1234=""),"",Sync!$AD1234)</f>
        <v/>
      </c>
      <c r="Q1238">
        <f>IF($G1238="","",IF(Sync!$U1234="","0000",IF(AND(ISNUMBER(Sync!$U1234),Sync!$U1234&gt;=0,Sync!$U1234&lt;1),RIGHT("00"&amp;HOUR(Sync!$U1234),2)&amp;RIGHT("00"&amp;MINUTE(Sync!$U1234),2),IFERROR(RIGHT("00"&amp;VALUE(LEFT(Sync!$U1234,FIND(":",Sync!$U1234)-1)),2)&amp;RIGHT("00"&amp;VALUE(MID(Sync!$U1234,FIND(":",Sync!$U1234)+1,2)),2),"0000"))))</f>
        <v/>
      </c>
    </row>
    <row r="1239">
      <c r="A1239">
        <f>IF(Sync!$T1235="","",Sync!$T1235)</f>
        <v/>
      </c>
      <c r="B1239">
        <f>IF($A1239="","",IF(ISNUMBER($A1239),IF(AND($A1239&gt;=10000101,$A1239&lt;=99991231),INT($A1239/10000),""),IFERROR(VALUE(TRIM(LEFT($A1239,FIND("/",$A1239)-1))),"")))</f>
        <v/>
      </c>
      <c r="C1239">
        <f>IF(OR($A1239="",$B1239=""),"",IF(ISNUMBER($A1239),INT(MOD($A1239,10000)/100),IFERROR(VALUE(TRIM(LEFT(MID($A1239,FIND("/",$A1239)+1,20),FIND("/",MID($A1239,FIND("/",$A1239)+1,20))-1))),"")))</f>
        <v/>
      </c>
      <c r="D1239">
        <f>IF(OR($A1239="",$B1239=""),"",IF(ISNUMBER($A1239),MOD($A1239,100),IFERROR(VALUE(TRIM(MID(MID($A1239,FIND("/",$A1239)+1,20),FIND("/",MID($A1239,FIND("/",$A1239)+1,20))+1,20))),"")))</f>
        <v/>
      </c>
      <c r="E1239">
        <f>IF($A1239="","",IF(OR($B1239="",$C1239="",$D1239="",$B1239&lt;1300,$B1239&gt;1500,$C1239&lt;1,$C1239&gt;12,$D1239&lt;1,$D1239&gt;31),"نامعتبر",RIGHT("0000"&amp;$B1239,4)&amp;"/"&amp;RIGHT("00"&amp;$C1239,2)&amp;"/"&amp;RIGHT("00"&amp;$D1239,2)))</f>
        <v/>
      </c>
      <c r="F1239">
        <f>IF(OR($E1239="",$E1239="نامعتبر"),"",LEFT($E1239,4)&amp;"/"&amp;MID($E1239,6,2))</f>
        <v/>
      </c>
      <c r="G1239">
        <f>IF(OR($E1239="",$E1239="نامعتبر",Sync!$X1235=""),"",IF(AND(LEFT(UPPER(TRIM(Sync!$X1235)),2)="SL",IFERROR(VLOOKUP(Sync!$W1235,OpTbl,3,0),"")="فروش"),UPPER(TRIM(Sync!$X1235)),""))</f>
        <v/>
      </c>
      <c r="H1239">
        <f>IF($G1239="","",IF(Sync!$W1235="","",Sync!$W1235))</f>
        <v/>
      </c>
      <c r="I1239">
        <f>IF(OR($G1239="",Sync!$Y1235=""),"",Sync!$Y1235)</f>
        <v/>
      </c>
      <c r="J1239">
        <f>IF(OR($G1239="",Sync!$Z1235=""),"",Sync!$Z1235)</f>
        <v/>
      </c>
      <c r="K1239">
        <f>IF($G1239="",0,IF(Sync!$AA1235="",0,Sync!$AA1235))</f>
        <v/>
      </c>
      <c r="L1239">
        <f>IF($G1239="",0,IF(Sync!$AB1235="",0,Sync!$AB1235))</f>
        <v/>
      </c>
      <c r="M1239">
        <f>IF($G1239="","",IF($H1239="مرجوعی فروش",-1,1)*($K1239-$L1239*IFERROR(VLOOKUP("P01",ParamTbl,3,0),1.5)))</f>
        <v/>
      </c>
      <c r="N1239">
        <f>IF($G1239="",0,IF($H1239="مرجوعی فروش",-1,1)*IF(Sync!$AC1235="",0,Sync!$AC1235))</f>
        <v/>
      </c>
      <c r="O1239">
        <f>IF(OR($G1239="",Sync!$V1235=""),"",Sync!$V1235)</f>
        <v/>
      </c>
      <c r="P1239">
        <f>IF(OR($G1239="",Sync!$AD1235=""),"",Sync!$AD1235)</f>
        <v/>
      </c>
      <c r="Q1239">
        <f>IF($G1239="","",IF(Sync!$U1235="","0000",IF(AND(ISNUMBER(Sync!$U1235),Sync!$U1235&gt;=0,Sync!$U1235&lt;1),RIGHT("00"&amp;HOUR(Sync!$U1235),2)&amp;RIGHT("00"&amp;MINUTE(Sync!$U1235),2),IFERROR(RIGHT("00"&amp;VALUE(LEFT(Sync!$U1235,FIND(":",Sync!$U1235)-1)),2)&amp;RIGHT("00"&amp;VALUE(MID(Sync!$U1235,FIND(":",Sync!$U1235)+1,2)),2),"0000"))))</f>
        <v/>
      </c>
    </row>
    <row r="1240">
      <c r="A1240">
        <f>IF(Sync!$T1236="","",Sync!$T1236)</f>
        <v/>
      </c>
      <c r="B1240">
        <f>IF($A1240="","",IF(ISNUMBER($A1240),IF(AND($A1240&gt;=10000101,$A1240&lt;=99991231),INT($A1240/10000),""),IFERROR(VALUE(TRIM(LEFT($A1240,FIND("/",$A1240)-1))),"")))</f>
        <v/>
      </c>
      <c r="C1240">
        <f>IF(OR($A1240="",$B1240=""),"",IF(ISNUMBER($A1240),INT(MOD($A1240,10000)/100),IFERROR(VALUE(TRIM(LEFT(MID($A1240,FIND("/",$A1240)+1,20),FIND("/",MID($A1240,FIND("/",$A1240)+1,20))-1))),"")))</f>
        <v/>
      </c>
      <c r="D1240">
        <f>IF(OR($A1240="",$B1240=""),"",IF(ISNUMBER($A1240),MOD($A1240,100),IFERROR(VALUE(TRIM(MID(MID($A1240,FIND("/",$A1240)+1,20),FIND("/",MID($A1240,FIND("/",$A1240)+1,20))+1,20))),"")))</f>
        <v/>
      </c>
      <c r="E1240">
        <f>IF($A1240="","",IF(OR($B1240="",$C1240="",$D1240="",$B1240&lt;1300,$B1240&gt;1500,$C1240&lt;1,$C1240&gt;12,$D1240&lt;1,$D1240&gt;31),"نامعتبر",RIGHT("0000"&amp;$B1240,4)&amp;"/"&amp;RIGHT("00"&amp;$C1240,2)&amp;"/"&amp;RIGHT("00"&amp;$D1240,2)))</f>
        <v/>
      </c>
      <c r="F1240">
        <f>IF(OR($E1240="",$E1240="نامعتبر"),"",LEFT($E1240,4)&amp;"/"&amp;MID($E1240,6,2))</f>
        <v/>
      </c>
      <c r="G1240">
        <f>IF(OR($E1240="",$E1240="نامعتبر",Sync!$X1236=""),"",IF(AND(LEFT(UPPER(TRIM(Sync!$X1236)),2)="SL",IFERROR(VLOOKUP(Sync!$W1236,OpTbl,3,0),"")="فروش"),UPPER(TRIM(Sync!$X1236)),""))</f>
        <v/>
      </c>
      <c r="H1240">
        <f>IF($G1240="","",IF(Sync!$W1236="","",Sync!$W1236))</f>
        <v/>
      </c>
      <c r="I1240">
        <f>IF(OR($G1240="",Sync!$Y1236=""),"",Sync!$Y1236)</f>
        <v/>
      </c>
      <c r="J1240">
        <f>IF(OR($G1240="",Sync!$Z1236=""),"",Sync!$Z1236)</f>
        <v/>
      </c>
      <c r="K1240">
        <f>IF($G1240="",0,IF(Sync!$AA1236="",0,Sync!$AA1236))</f>
        <v/>
      </c>
      <c r="L1240">
        <f>IF($G1240="",0,IF(Sync!$AB1236="",0,Sync!$AB1236))</f>
        <v/>
      </c>
      <c r="M1240">
        <f>IF($G1240="","",IF($H1240="مرجوعی فروش",-1,1)*($K1240-$L1240*IFERROR(VLOOKUP("P01",ParamTbl,3,0),1.5)))</f>
        <v/>
      </c>
      <c r="N1240">
        <f>IF($G1240="",0,IF($H1240="مرجوعی فروش",-1,1)*IF(Sync!$AC1236="",0,Sync!$AC1236))</f>
        <v/>
      </c>
      <c r="O1240">
        <f>IF(OR($G1240="",Sync!$V1236=""),"",Sync!$V1236)</f>
        <v/>
      </c>
      <c r="P1240">
        <f>IF(OR($G1240="",Sync!$AD1236=""),"",Sync!$AD1236)</f>
        <v/>
      </c>
      <c r="Q1240">
        <f>IF($G1240="","",IF(Sync!$U1236="","0000",IF(AND(ISNUMBER(Sync!$U1236),Sync!$U1236&gt;=0,Sync!$U1236&lt;1),RIGHT("00"&amp;HOUR(Sync!$U1236),2)&amp;RIGHT("00"&amp;MINUTE(Sync!$U1236),2),IFERROR(RIGHT("00"&amp;VALUE(LEFT(Sync!$U1236,FIND(":",Sync!$U1236)-1)),2)&amp;RIGHT("00"&amp;VALUE(MID(Sync!$U1236,FIND(":",Sync!$U1236)+1,2)),2),"0000"))))</f>
        <v/>
      </c>
    </row>
    <row r="1241">
      <c r="A1241">
        <f>IF(Sync!$T1237="","",Sync!$T1237)</f>
        <v/>
      </c>
      <c r="B1241">
        <f>IF($A1241="","",IF(ISNUMBER($A1241),IF(AND($A1241&gt;=10000101,$A1241&lt;=99991231),INT($A1241/10000),""),IFERROR(VALUE(TRIM(LEFT($A1241,FIND("/",$A1241)-1))),"")))</f>
        <v/>
      </c>
      <c r="C1241">
        <f>IF(OR($A1241="",$B1241=""),"",IF(ISNUMBER($A1241),INT(MOD($A1241,10000)/100),IFERROR(VALUE(TRIM(LEFT(MID($A1241,FIND("/",$A1241)+1,20),FIND("/",MID($A1241,FIND("/",$A1241)+1,20))-1))),"")))</f>
        <v/>
      </c>
      <c r="D1241">
        <f>IF(OR($A1241="",$B1241=""),"",IF(ISNUMBER($A1241),MOD($A1241,100),IFERROR(VALUE(TRIM(MID(MID($A1241,FIND("/",$A1241)+1,20),FIND("/",MID($A1241,FIND("/",$A1241)+1,20))+1,20))),"")))</f>
        <v/>
      </c>
      <c r="E1241">
        <f>IF($A1241="","",IF(OR($B1241="",$C1241="",$D1241="",$B1241&lt;1300,$B1241&gt;1500,$C1241&lt;1,$C1241&gt;12,$D1241&lt;1,$D1241&gt;31),"نامعتبر",RIGHT("0000"&amp;$B1241,4)&amp;"/"&amp;RIGHT("00"&amp;$C1241,2)&amp;"/"&amp;RIGHT("00"&amp;$D1241,2)))</f>
        <v/>
      </c>
      <c r="F1241">
        <f>IF(OR($E1241="",$E1241="نامعتبر"),"",LEFT($E1241,4)&amp;"/"&amp;MID($E1241,6,2))</f>
        <v/>
      </c>
      <c r="G1241">
        <f>IF(OR($E1241="",$E1241="نامعتبر",Sync!$X1237=""),"",IF(AND(LEFT(UPPER(TRIM(Sync!$X1237)),2)="SL",IFERROR(VLOOKUP(Sync!$W1237,OpTbl,3,0),"")="فروش"),UPPER(TRIM(Sync!$X1237)),""))</f>
        <v/>
      </c>
      <c r="H1241">
        <f>IF($G1241="","",IF(Sync!$W1237="","",Sync!$W1237))</f>
        <v/>
      </c>
      <c r="I1241">
        <f>IF(OR($G1241="",Sync!$Y1237=""),"",Sync!$Y1237)</f>
        <v/>
      </c>
      <c r="J1241">
        <f>IF(OR($G1241="",Sync!$Z1237=""),"",Sync!$Z1237)</f>
        <v/>
      </c>
      <c r="K1241">
        <f>IF($G1241="",0,IF(Sync!$AA1237="",0,Sync!$AA1237))</f>
        <v/>
      </c>
      <c r="L1241">
        <f>IF($G1241="",0,IF(Sync!$AB1237="",0,Sync!$AB1237))</f>
        <v/>
      </c>
      <c r="M1241">
        <f>IF($G1241="","",IF($H1241="مرجوعی فروش",-1,1)*($K1241-$L1241*IFERROR(VLOOKUP("P01",ParamTbl,3,0),1.5)))</f>
        <v/>
      </c>
      <c r="N1241">
        <f>IF($G1241="",0,IF($H1241="مرجوعی فروش",-1,1)*IF(Sync!$AC1237="",0,Sync!$AC1237))</f>
        <v/>
      </c>
      <c r="O1241">
        <f>IF(OR($G1241="",Sync!$V1237=""),"",Sync!$V1237)</f>
        <v/>
      </c>
      <c r="P1241">
        <f>IF(OR($G1241="",Sync!$AD1237=""),"",Sync!$AD1237)</f>
        <v/>
      </c>
      <c r="Q1241">
        <f>IF($G1241="","",IF(Sync!$U1237="","0000",IF(AND(ISNUMBER(Sync!$U1237),Sync!$U1237&gt;=0,Sync!$U1237&lt;1),RIGHT("00"&amp;HOUR(Sync!$U1237),2)&amp;RIGHT("00"&amp;MINUTE(Sync!$U1237),2),IFERROR(RIGHT("00"&amp;VALUE(LEFT(Sync!$U1237,FIND(":",Sync!$U1237)-1)),2)&amp;RIGHT("00"&amp;VALUE(MID(Sync!$U1237,FIND(":",Sync!$U1237)+1,2)),2),"0000"))))</f>
        <v/>
      </c>
    </row>
    <row r="1242">
      <c r="A1242">
        <f>IF(Sync!$T1238="","",Sync!$T1238)</f>
        <v/>
      </c>
      <c r="B1242">
        <f>IF($A1242="","",IF(ISNUMBER($A1242),IF(AND($A1242&gt;=10000101,$A1242&lt;=99991231),INT($A1242/10000),""),IFERROR(VALUE(TRIM(LEFT($A1242,FIND("/",$A1242)-1))),"")))</f>
        <v/>
      </c>
      <c r="C1242">
        <f>IF(OR($A1242="",$B1242=""),"",IF(ISNUMBER($A1242),INT(MOD($A1242,10000)/100),IFERROR(VALUE(TRIM(LEFT(MID($A1242,FIND("/",$A1242)+1,20),FIND("/",MID($A1242,FIND("/",$A1242)+1,20))-1))),"")))</f>
        <v/>
      </c>
      <c r="D1242">
        <f>IF(OR($A1242="",$B1242=""),"",IF(ISNUMBER($A1242),MOD($A1242,100),IFERROR(VALUE(TRIM(MID(MID($A1242,FIND("/",$A1242)+1,20),FIND("/",MID($A1242,FIND("/",$A1242)+1,20))+1,20))),"")))</f>
        <v/>
      </c>
      <c r="E1242">
        <f>IF($A1242="","",IF(OR($B1242="",$C1242="",$D1242="",$B1242&lt;1300,$B1242&gt;1500,$C1242&lt;1,$C1242&gt;12,$D1242&lt;1,$D1242&gt;31),"نامعتبر",RIGHT("0000"&amp;$B1242,4)&amp;"/"&amp;RIGHT("00"&amp;$C1242,2)&amp;"/"&amp;RIGHT("00"&amp;$D1242,2)))</f>
        <v/>
      </c>
      <c r="F1242">
        <f>IF(OR($E1242="",$E1242="نامعتبر"),"",LEFT($E1242,4)&amp;"/"&amp;MID($E1242,6,2))</f>
        <v/>
      </c>
      <c r="G1242">
        <f>IF(OR($E1242="",$E1242="نامعتبر",Sync!$X1238=""),"",IF(AND(LEFT(UPPER(TRIM(Sync!$X1238)),2)="SL",IFERROR(VLOOKUP(Sync!$W1238,OpTbl,3,0),"")="فروش"),UPPER(TRIM(Sync!$X1238)),""))</f>
        <v/>
      </c>
      <c r="H1242">
        <f>IF($G1242="","",IF(Sync!$W1238="","",Sync!$W1238))</f>
        <v/>
      </c>
      <c r="I1242">
        <f>IF(OR($G1242="",Sync!$Y1238=""),"",Sync!$Y1238)</f>
        <v/>
      </c>
      <c r="J1242">
        <f>IF(OR($G1242="",Sync!$Z1238=""),"",Sync!$Z1238)</f>
        <v/>
      </c>
      <c r="K1242">
        <f>IF($G1242="",0,IF(Sync!$AA1238="",0,Sync!$AA1238))</f>
        <v/>
      </c>
      <c r="L1242">
        <f>IF($G1242="",0,IF(Sync!$AB1238="",0,Sync!$AB1238))</f>
        <v/>
      </c>
      <c r="M1242">
        <f>IF($G1242="","",IF($H1242="مرجوعی فروش",-1,1)*($K1242-$L1242*IFERROR(VLOOKUP("P01",ParamTbl,3,0),1.5)))</f>
        <v/>
      </c>
      <c r="N1242">
        <f>IF($G1242="",0,IF($H1242="مرجوعی فروش",-1,1)*IF(Sync!$AC1238="",0,Sync!$AC1238))</f>
        <v/>
      </c>
      <c r="O1242">
        <f>IF(OR($G1242="",Sync!$V1238=""),"",Sync!$V1238)</f>
        <v/>
      </c>
      <c r="P1242">
        <f>IF(OR($G1242="",Sync!$AD1238=""),"",Sync!$AD1238)</f>
        <v/>
      </c>
      <c r="Q1242">
        <f>IF($G1242="","",IF(Sync!$U1238="","0000",IF(AND(ISNUMBER(Sync!$U1238),Sync!$U1238&gt;=0,Sync!$U1238&lt;1),RIGHT("00"&amp;HOUR(Sync!$U1238),2)&amp;RIGHT("00"&amp;MINUTE(Sync!$U1238),2),IFERROR(RIGHT("00"&amp;VALUE(LEFT(Sync!$U1238,FIND(":",Sync!$U1238)-1)),2)&amp;RIGHT("00"&amp;VALUE(MID(Sync!$U1238,FIND(":",Sync!$U1238)+1,2)),2),"0000"))))</f>
        <v/>
      </c>
    </row>
    <row r="1243">
      <c r="A1243">
        <f>IF(Sync!$T1239="","",Sync!$T1239)</f>
        <v/>
      </c>
      <c r="B1243">
        <f>IF($A1243="","",IF(ISNUMBER($A1243),IF(AND($A1243&gt;=10000101,$A1243&lt;=99991231),INT($A1243/10000),""),IFERROR(VALUE(TRIM(LEFT($A1243,FIND("/",$A1243)-1))),"")))</f>
        <v/>
      </c>
      <c r="C1243">
        <f>IF(OR($A1243="",$B1243=""),"",IF(ISNUMBER($A1243),INT(MOD($A1243,10000)/100),IFERROR(VALUE(TRIM(LEFT(MID($A1243,FIND("/",$A1243)+1,20),FIND("/",MID($A1243,FIND("/",$A1243)+1,20))-1))),"")))</f>
        <v/>
      </c>
      <c r="D1243">
        <f>IF(OR($A1243="",$B1243=""),"",IF(ISNUMBER($A1243),MOD($A1243,100),IFERROR(VALUE(TRIM(MID(MID($A1243,FIND("/",$A1243)+1,20),FIND("/",MID($A1243,FIND("/",$A1243)+1,20))+1,20))),"")))</f>
        <v/>
      </c>
      <c r="E1243">
        <f>IF($A1243="","",IF(OR($B1243="",$C1243="",$D1243="",$B1243&lt;1300,$B1243&gt;1500,$C1243&lt;1,$C1243&gt;12,$D1243&lt;1,$D1243&gt;31),"نامعتبر",RIGHT("0000"&amp;$B1243,4)&amp;"/"&amp;RIGHT("00"&amp;$C1243,2)&amp;"/"&amp;RIGHT("00"&amp;$D1243,2)))</f>
        <v/>
      </c>
      <c r="F1243">
        <f>IF(OR($E1243="",$E1243="نامعتبر"),"",LEFT($E1243,4)&amp;"/"&amp;MID($E1243,6,2))</f>
        <v/>
      </c>
      <c r="G1243">
        <f>IF(OR($E1243="",$E1243="نامعتبر",Sync!$X1239=""),"",IF(AND(LEFT(UPPER(TRIM(Sync!$X1239)),2)="SL",IFERROR(VLOOKUP(Sync!$W1239,OpTbl,3,0),"")="فروش"),UPPER(TRIM(Sync!$X1239)),""))</f>
        <v/>
      </c>
      <c r="H1243">
        <f>IF($G1243="","",IF(Sync!$W1239="","",Sync!$W1239))</f>
        <v/>
      </c>
      <c r="I1243">
        <f>IF(OR($G1243="",Sync!$Y1239=""),"",Sync!$Y1239)</f>
        <v/>
      </c>
      <c r="J1243">
        <f>IF(OR($G1243="",Sync!$Z1239=""),"",Sync!$Z1239)</f>
        <v/>
      </c>
      <c r="K1243">
        <f>IF($G1243="",0,IF(Sync!$AA1239="",0,Sync!$AA1239))</f>
        <v/>
      </c>
      <c r="L1243">
        <f>IF($G1243="",0,IF(Sync!$AB1239="",0,Sync!$AB1239))</f>
        <v/>
      </c>
      <c r="M1243">
        <f>IF($G1243="","",IF($H1243="مرجوعی فروش",-1,1)*($K1243-$L1243*IFERROR(VLOOKUP("P01",ParamTbl,3,0),1.5)))</f>
        <v/>
      </c>
      <c r="N1243">
        <f>IF($G1243="",0,IF($H1243="مرجوعی فروش",-1,1)*IF(Sync!$AC1239="",0,Sync!$AC1239))</f>
        <v/>
      </c>
      <c r="O1243">
        <f>IF(OR($G1243="",Sync!$V1239=""),"",Sync!$V1239)</f>
        <v/>
      </c>
      <c r="P1243">
        <f>IF(OR($G1243="",Sync!$AD1239=""),"",Sync!$AD1239)</f>
        <v/>
      </c>
      <c r="Q1243">
        <f>IF($G1243="","",IF(Sync!$U1239="","0000",IF(AND(ISNUMBER(Sync!$U1239),Sync!$U1239&gt;=0,Sync!$U1239&lt;1),RIGHT("00"&amp;HOUR(Sync!$U1239),2)&amp;RIGHT("00"&amp;MINUTE(Sync!$U1239),2),IFERROR(RIGHT("00"&amp;VALUE(LEFT(Sync!$U1239,FIND(":",Sync!$U1239)-1)),2)&amp;RIGHT("00"&amp;VALUE(MID(Sync!$U1239,FIND(":",Sync!$U1239)+1,2)),2),"0000"))))</f>
        <v/>
      </c>
    </row>
    <row r="1244">
      <c r="A1244">
        <f>IF(Sync!$T1240="","",Sync!$T1240)</f>
        <v/>
      </c>
      <c r="B1244">
        <f>IF($A1244="","",IF(ISNUMBER($A1244),IF(AND($A1244&gt;=10000101,$A1244&lt;=99991231),INT($A1244/10000),""),IFERROR(VALUE(TRIM(LEFT($A1244,FIND("/",$A1244)-1))),"")))</f>
        <v/>
      </c>
      <c r="C1244">
        <f>IF(OR($A1244="",$B1244=""),"",IF(ISNUMBER($A1244),INT(MOD($A1244,10000)/100),IFERROR(VALUE(TRIM(LEFT(MID($A1244,FIND("/",$A1244)+1,20),FIND("/",MID($A1244,FIND("/",$A1244)+1,20))-1))),"")))</f>
        <v/>
      </c>
      <c r="D1244">
        <f>IF(OR($A1244="",$B1244=""),"",IF(ISNUMBER($A1244),MOD($A1244,100),IFERROR(VALUE(TRIM(MID(MID($A1244,FIND("/",$A1244)+1,20),FIND("/",MID($A1244,FIND("/",$A1244)+1,20))+1,20))),"")))</f>
        <v/>
      </c>
      <c r="E1244">
        <f>IF($A1244="","",IF(OR($B1244="",$C1244="",$D1244="",$B1244&lt;1300,$B1244&gt;1500,$C1244&lt;1,$C1244&gt;12,$D1244&lt;1,$D1244&gt;31),"نامعتبر",RIGHT("0000"&amp;$B1244,4)&amp;"/"&amp;RIGHT("00"&amp;$C1244,2)&amp;"/"&amp;RIGHT("00"&amp;$D1244,2)))</f>
        <v/>
      </c>
      <c r="F1244">
        <f>IF(OR($E1244="",$E1244="نامعتبر"),"",LEFT($E1244,4)&amp;"/"&amp;MID($E1244,6,2))</f>
        <v/>
      </c>
      <c r="G1244">
        <f>IF(OR($E1244="",$E1244="نامعتبر",Sync!$X1240=""),"",IF(AND(LEFT(UPPER(TRIM(Sync!$X1240)),2)="SL",IFERROR(VLOOKUP(Sync!$W1240,OpTbl,3,0),"")="فروش"),UPPER(TRIM(Sync!$X1240)),""))</f>
        <v/>
      </c>
      <c r="H1244">
        <f>IF($G1244="","",IF(Sync!$W1240="","",Sync!$W1240))</f>
        <v/>
      </c>
      <c r="I1244">
        <f>IF(OR($G1244="",Sync!$Y1240=""),"",Sync!$Y1240)</f>
        <v/>
      </c>
      <c r="J1244">
        <f>IF(OR($G1244="",Sync!$Z1240=""),"",Sync!$Z1240)</f>
        <v/>
      </c>
      <c r="K1244">
        <f>IF($G1244="",0,IF(Sync!$AA1240="",0,Sync!$AA1240))</f>
        <v/>
      </c>
      <c r="L1244">
        <f>IF($G1244="",0,IF(Sync!$AB1240="",0,Sync!$AB1240))</f>
        <v/>
      </c>
      <c r="M1244">
        <f>IF($G1244="","",IF($H1244="مرجوعی فروش",-1,1)*($K1244-$L1244*IFERROR(VLOOKUP("P01",ParamTbl,3,0),1.5)))</f>
        <v/>
      </c>
      <c r="N1244">
        <f>IF($G1244="",0,IF($H1244="مرجوعی فروش",-1,1)*IF(Sync!$AC1240="",0,Sync!$AC1240))</f>
        <v/>
      </c>
      <c r="O1244">
        <f>IF(OR($G1244="",Sync!$V1240=""),"",Sync!$V1240)</f>
        <v/>
      </c>
      <c r="P1244">
        <f>IF(OR($G1244="",Sync!$AD1240=""),"",Sync!$AD1240)</f>
        <v/>
      </c>
      <c r="Q1244">
        <f>IF($G1244="","",IF(Sync!$U1240="","0000",IF(AND(ISNUMBER(Sync!$U1240),Sync!$U1240&gt;=0,Sync!$U1240&lt;1),RIGHT("00"&amp;HOUR(Sync!$U1240),2)&amp;RIGHT("00"&amp;MINUTE(Sync!$U1240),2),IFERROR(RIGHT("00"&amp;VALUE(LEFT(Sync!$U1240,FIND(":",Sync!$U1240)-1)),2)&amp;RIGHT("00"&amp;VALUE(MID(Sync!$U1240,FIND(":",Sync!$U1240)+1,2)),2),"0000"))))</f>
        <v/>
      </c>
    </row>
    <row r="1245">
      <c r="A1245">
        <f>IF(Sync!$T1241="","",Sync!$T1241)</f>
        <v/>
      </c>
      <c r="B1245">
        <f>IF($A1245="","",IF(ISNUMBER($A1245),IF(AND($A1245&gt;=10000101,$A1245&lt;=99991231),INT($A1245/10000),""),IFERROR(VALUE(TRIM(LEFT($A1245,FIND("/",$A1245)-1))),"")))</f>
        <v/>
      </c>
      <c r="C1245">
        <f>IF(OR($A1245="",$B1245=""),"",IF(ISNUMBER($A1245),INT(MOD($A1245,10000)/100),IFERROR(VALUE(TRIM(LEFT(MID($A1245,FIND("/",$A1245)+1,20),FIND("/",MID($A1245,FIND("/",$A1245)+1,20))-1))),"")))</f>
        <v/>
      </c>
      <c r="D1245">
        <f>IF(OR($A1245="",$B1245=""),"",IF(ISNUMBER($A1245),MOD($A1245,100),IFERROR(VALUE(TRIM(MID(MID($A1245,FIND("/",$A1245)+1,20),FIND("/",MID($A1245,FIND("/",$A1245)+1,20))+1,20))),"")))</f>
        <v/>
      </c>
      <c r="E1245">
        <f>IF($A1245="","",IF(OR($B1245="",$C1245="",$D1245="",$B1245&lt;1300,$B1245&gt;1500,$C1245&lt;1,$C1245&gt;12,$D1245&lt;1,$D1245&gt;31),"نامعتبر",RIGHT("0000"&amp;$B1245,4)&amp;"/"&amp;RIGHT("00"&amp;$C1245,2)&amp;"/"&amp;RIGHT("00"&amp;$D1245,2)))</f>
        <v/>
      </c>
      <c r="F1245">
        <f>IF(OR($E1245="",$E1245="نامعتبر"),"",LEFT($E1245,4)&amp;"/"&amp;MID($E1245,6,2))</f>
        <v/>
      </c>
      <c r="G1245">
        <f>IF(OR($E1245="",$E1245="نامعتبر",Sync!$X1241=""),"",IF(AND(LEFT(UPPER(TRIM(Sync!$X1241)),2)="SL",IFERROR(VLOOKUP(Sync!$W1241,OpTbl,3,0),"")="فروش"),UPPER(TRIM(Sync!$X1241)),""))</f>
        <v/>
      </c>
      <c r="H1245">
        <f>IF($G1245="","",IF(Sync!$W1241="","",Sync!$W1241))</f>
        <v/>
      </c>
      <c r="I1245">
        <f>IF(OR($G1245="",Sync!$Y1241=""),"",Sync!$Y1241)</f>
        <v/>
      </c>
      <c r="J1245">
        <f>IF(OR($G1245="",Sync!$Z1241=""),"",Sync!$Z1241)</f>
        <v/>
      </c>
      <c r="K1245">
        <f>IF($G1245="",0,IF(Sync!$AA1241="",0,Sync!$AA1241))</f>
        <v/>
      </c>
      <c r="L1245">
        <f>IF($G1245="",0,IF(Sync!$AB1241="",0,Sync!$AB1241))</f>
        <v/>
      </c>
      <c r="M1245">
        <f>IF($G1245="","",IF($H1245="مرجوعی فروش",-1,1)*($K1245-$L1245*IFERROR(VLOOKUP("P01",ParamTbl,3,0),1.5)))</f>
        <v/>
      </c>
      <c r="N1245">
        <f>IF($G1245="",0,IF($H1245="مرجوعی فروش",-1,1)*IF(Sync!$AC1241="",0,Sync!$AC1241))</f>
        <v/>
      </c>
      <c r="O1245">
        <f>IF(OR($G1245="",Sync!$V1241=""),"",Sync!$V1241)</f>
        <v/>
      </c>
      <c r="P1245">
        <f>IF(OR($G1245="",Sync!$AD1241=""),"",Sync!$AD1241)</f>
        <v/>
      </c>
      <c r="Q1245">
        <f>IF($G1245="","",IF(Sync!$U1241="","0000",IF(AND(ISNUMBER(Sync!$U1241),Sync!$U1241&gt;=0,Sync!$U1241&lt;1),RIGHT("00"&amp;HOUR(Sync!$U1241),2)&amp;RIGHT("00"&amp;MINUTE(Sync!$U1241),2),IFERROR(RIGHT("00"&amp;VALUE(LEFT(Sync!$U1241,FIND(":",Sync!$U1241)-1)),2)&amp;RIGHT("00"&amp;VALUE(MID(Sync!$U1241,FIND(":",Sync!$U1241)+1,2)),2),"0000"))))</f>
        <v/>
      </c>
    </row>
    <row r="1246">
      <c r="A1246">
        <f>IF(Sync!$T1242="","",Sync!$T1242)</f>
        <v/>
      </c>
      <c r="B1246">
        <f>IF($A1246="","",IF(ISNUMBER($A1246),IF(AND($A1246&gt;=10000101,$A1246&lt;=99991231),INT($A1246/10000),""),IFERROR(VALUE(TRIM(LEFT($A1246,FIND("/",$A1246)-1))),"")))</f>
        <v/>
      </c>
      <c r="C1246">
        <f>IF(OR($A1246="",$B1246=""),"",IF(ISNUMBER($A1246),INT(MOD($A1246,10000)/100),IFERROR(VALUE(TRIM(LEFT(MID($A1246,FIND("/",$A1246)+1,20),FIND("/",MID($A1246,FIND("/",$A1246)+1,20))-1))),"")))</f>
        <v/>
      </c>
      <c r="D1246">
        <f>IF(OR($A1246="",$B1246=""),"",IF(ISNUMBER($A1246),MOD($A1246,100),IFERROR(VALUE(TRIM(MID(MID($A1246,FIND("/",$A1246)+1,20),FIND("/",MID($A1246,FIND("/",$A1246)+1,20))+1,20))),"")))</f>
        <v/>
      </c>
      <c r="E1246">
        <f>IF($A1246="","",IF(OR($B1246="",$C1246="",$D1246="",$B1246&lt;1300,$B1246&gt;1500,$C1246&lt;1,$C1246&gt;12,$D1246&lt;1,$D1246&gt;31),"نامعتبر",RIGHT("0000"&amp;$B1246,4)&amp;"/"&amp;RIGHT("00"&amp;$C1246,2)&amp;"/"&amp;RIGHT("00"&amp;$D1246,2)))</f>
        <v/>
      </c>
      <c r="F1246">
        <f>IF(OR($E1246="",$E1246="نامعتبر"),"",LEFT($E1246,4)&amp;"/"&amp;MID($E1246,6,2))</f>
        <v/>
      </c>
      <c r="G1246">
        <f>IF(OR($E1246="",$E1246="نامعتبر",Sync!$X1242=""),"",IF(AND(LEFT(UPPER(TRIM(Sync!$X1242)),2)="SL",IFERROR(VLOOKUP(Sync!$W1242,OpTbl,3,0),"")="فروش"),UPPER(TRIM(Sync!$X1242)),""))</f>
        <v/>
      </c>
      <c r="H1246">
        <f>IF($G1246="","",IF(Sync!$W1242="","",Sync!$W1242))</f>
        <v/>
      </c>
      <c r="I1246">
        <f>IF(OR($G1246="",Sync!$Y1242=""),"",Sync!$Y1242)</f>
        <v/>
      </c>
      <c r="J1246">
        <f>IF(OR($G1246="",Sync!$Z1242=""),"",Sync!$Z1242)</f>
        <v/>
      </c>
      <c r="K1246">
        <f>IF($G1246="",0,IF(Sync!$AA1242="",0,Sync!$AA1242))</f>
        <v/>
      </c>
      <c r="L1246">
        <f>IF($G1246="",0,IF(Sync!$AB1242="",0,Sync!$AB1242))</f>
        <v/>
      </c>
      <c r="M1246">
        <f>IF($G1246="","",IF($H1246="مرجوعی فروش",-1,1)*($K1246-$L1246*IFERROR(VLOOKUP("P01",ParamTbl,3,0),1.5)))</f>
        <v/>
      </c>
      <c r="N1246">
        <f>IF($G1246="",0,IF($H1246="مرجوعی فروش",-1,1)*IF(Sync!$AC1242="",0,Sync!$AC1242))</f>
        <v/>
      </c>
      <c r="O1246">
        <f>IF(OR($G1246="",Sync!$V1242=""),"",Sync!$V1242)</f>
        <v/>
      </c>
      <c r="P1246">
        <f>IF(OR($G1246="",Sync!$AD1242=""),"",Sync!$AD1242)</f>
        <v/>
      </c>
      <c r="Q1246">
        <f>IF($G1246="","",IF(Sync!$U1242="","0000",IF(AND(ISNUMBER(Sync!$U1242),Sync!$U1242&gt;=0,Sync!$U1242&lt;1),RIGHT("00"&amp;HOUR(Sync!$U1242),2)&amp;RIGHT("00"&amp;MINUTE(Sync!$U1242),2),IFERROR(RIGHT("00"&amp;VALUE(LEFT(Sync!$U1242,FIND(":",Sync!$U1242)-1)),2)&amp;RIGHT("00"&amp;VALUE(MID(Sync!$U1242,FIND(":",Sync!$U1242)+1,2)),2),"0000"))))</f>
        <v/>
      </c>
    </row>
    <row r="1247">
      <c r="A1247">
        <f>IF(Sync!$T1243="","",Sync!$T1243)</f>
        <v/>
      </c>
      <c r="B1247">
        <f>IF($A1247="","",IF(ISNUMBER($A1247),IF(AND($A1247&gt;=10000101,$A1247&lt;=99991231),INT($A1247/10000),""),IFERROR(VALUE(TRIM(LEFT($A1247,FIND("/",$A1247)-1))),"")))</f>
        <v/>
      </c>
      <c r="C1247">
        <f>IF(OR($A1247="",$B1247=""),"",IF(ISNUMBER($A1247),INT(MOD($A1247,10000)/100),IFERROR(VALUE(TRIM(LEFT(MID($A1247,FIND("/",$A1247)+1,20),FIND("/",MID($A1247,FIND("/",$A1247)+1,20))-1))),"")))</f>
        <v/>
      </c>
      <c r="D1247">
        <f>IF(OR($A1247="",$B1247=""),"",IF(ISNUMBER($A1247),MOD($A1247,100),IFERROR(VALUE(TRIM(MID(MID($A1247,FIND("/",$A1247)+1,20),FIND("/",MID($A1247,FIND("/",$A1247)+1,20))+1,20))),"")))</f>
        <v/>
      </c>
      <c r="E1247">
        <f>IF($A1247="","",IF(OR($B1247="",$C1247="",$D1247="",$B1247&lt;1300,$B1247&gt;1500,$C1247&lt;1,$C1247&gt;12,$D1247&lt;1,$D1247&gt;31),"نامعتبر",RIGHT("0000"&amp;$B1247,4)&amp;"/"&amp;RIGHT("00"&amp;$C1247,2)&amp;"/"&amp;RIGHT("00"&amp;$D1247,2)))</f>
        <v/>
      </c>
      <c r="F1247">
        <f>IF(OR($E1247="",$E1247="نامعتبر"),"",LEFT($E1247,4)&amp;"/"&amp;MID($E1247,6,2))</f>
        <v/>
      </c>
      <c r="G1247">
        <f>IF(OR($E1247="",$E1247="نامعتبر",Sync!$X1243=""),"",IF(AND(LEFT(UPPER(TRIM(Sync!$X1243)),2)="SL",IFERROR(VLOOKUP(Sync!$W1243,OpTbl,3,0),"")="فروش"),UPPER(TRIM(Sync!$X1243)),""))</f>
        <v/>
      </c>
      <c r="H1247">
        <f>IF($G1247="","",IF(Sync!$W1243="","",Sync!$W1243))</f>
        <v/>
      </c>
      <c r="I1247">
        <f>IF(OR($G1247="",Sync!$Y1243=""),"",Sync!$Y1243)</f>
        <v/>
      </c>
      <c r="J1247">
        <f>IF(OR($G1247="",Sync!$Z1243=""),"",Sync!$Z1243)</f>
        <v/>
      </c>
      <c r="K1247">
        <f>IF($G1247="",0,IF(Sync!$AA1243="",0,Sync!$AA1243))</f>
        <v/>
      </c>
      <c r="L1247">
        <f>IF($G1247="",0,IF(Sync!$AB1243="",0,Sync!$AB1243))</f>
        <v/>
      </c>
      <c r="M1247">
        <f>IF($G1247="","",IF($H1247="مرجوعی فروش",-1,1)*($K1247-$L1247*IFERROR(VLOOKUP("P01",ParamTbl,3,0),1.5)))</f>
        <v/>
      </c>
      <c r="N1247">
        <f>IF($G1247="",0,IF($H1247="مرجوعی فروش",-1,1)*IF(Sync!$AC1243="",0,Sync!$AC1243))</f>
        <v/>
      </c>
      <c r="O1247">
        <f>IF(OR($G1247="",Sync!$V1243=""),"",Sync!$V1243)</f>
        <v/>
      </c>
      <c r="P1247">
        <f>IF(OR($G1247="",Sync!$AD1243=""),"",Sync!$AD1243)</f>
        <v/>
      </c>
      <c r="Q1247">
        <f>IF($G1247="","",IF(Sync!$U1243="","0000",IF(AND(ISNUMBER(Sync!$U1243),Sync!$U1243&gt;=0,Sync!$U1243&lt;1),RIGHT("00"&amp;HOUR(Sync!$U1243),2)&amp;RIGHT("00"&amp;MINUTE(Sync!$U1243),2),IFERROR(RIGHT("00"&amp;VALUE(LEFT(Sync!$U1243,FIND(":",Sync!$U1243)-1)),2)&amp;RIGHT("00"&amp;VALUE(MID(Sync!$U1243,FIND(":",Sync!$U1243)+1,2)),2),"0000"))))</f>
        <v/>
      </c>
    </row>
    <row r="1248">
      <c r="A1248">
        <f>IF(Sync!$T1244="","",Sync!$T1244)</f>
        <v/>
      </c>
      <c r="B1248">
        <f>IF($A1248="","",IF(ISNUMBER($A1248),IF(AND($A1248&gt;=10000101,$A1248&lt;=99991231),INT($A1248/10000),""),IFERROR(VALUE(TRIM(LEFT($A1248,FIND("/",$A1248)-1))),"")))</f>
        <v/>
      </c>
      <c r="C1248">
        <f>IF(OR($A1248="",$B1248=""),"",IF(ISNUMBER($A1248),INT(MOD($A1248,10000)/100),IFERROR(VALUE(TRIM(LEFT(MID($A1248,FIND("/",$A1248)+1,20),FIND("/",MID($A1248,FIND("/",$A1248)+1,20))-1))),"")))</f>
        <v/>
      </c>
      <c r="D1248">
        <f>IF(OR($A1248="",$B1248=""),"",IF(ISNUMBER($A1248),MOD($A1248,100),IFERROR(VALUE(TRIM(MID(MID($A1248,FIND("/",$A1248)+1,20),FIND("/",MID($A1248,FIND("/",$A1248)+1,20))+1,20))),"")))</f>
        <v/>
      </c>
      <c r="E1248">
        <f>IF($A1248="","",IF(OR($B1248="",$C1248="",$D1248="",$B1248&lt;1300,$B1248&gt;1500,$C1248&lt;1,$C1248&gt;12,$D1248&lt;1,$D1248&gt;31),"نامعتبر",RIGHT("0000"&amp;$B1248,4)&amp;"/"&amp;RIGHT("00"&amp;$C1248,2)&amp;"/"&amp;RIGHT("00"&amp;$D1248,2)))</f>
        <v/>
      </c>
      <c r="F1248">
        <f>IF(OR($E1248="",$E1248="نامعتبر"),"",LEFT($E1248,4)&amp;"/"&amp;MID($E1248,6,2))</f>
        <v/>
      </c>
      <c r="G1248">
        <f>IF(OR($E1248="",$E1248="نامعتبر",Sync!$X1244=""),"",IF(AND(LEFT(UPPER(TRIM(Sync!$X1244)),2)="SL",IFERROR(VLOOKUP(Sync!$W1244,OpTbl,3,0),"")="فروش"),UPPER(TRIM(Sync!$X1244)),""))</f>
        <v/>
      </c>
      <c r="H1248">
        <f>IF($G1248="","",IF(Sync!$W1244="","",Sync!$W1244))</f>
        <v/>
      </c>
      <c r="I1248">
        <f>IF(OR($G1248="",Sync!$Y1244=""),"",Sync!$Y1244)</f>
        <v/>
      </c>
      <c r="J1248">
        <f>IF(OR($G1248="",Sync!$Z1244=""),"",Sync!$Z1244)</f>
        <v/>
      </c>
      <c r="K1248">
        <f>IF($G1248="",0,IF(Sync!$AA1244="",0,Sync!$AA1244))</f>
        <v/>
      </c>
      <c r="L1248">
        <f>IF($G1248="",0,IF(Sync!$AB1244="",0,Sync!$AB1244))</f>
        <v/>
      </c>
      <c r="M1248">
        <f>IF($G1248="","",IF($H1248="مرجوعی فروش",-1,1)*($K1248-$L1248*IFERROR(VLOOKUP("P01",ParamTbl,3,0),1.5)))</f>
        <v/>
      </c>
      <c r="N1248">
        <f>IF($G1248="",0,IF($H1248="مرجوعی فروش",-1,1)*IF(Sync!$AC1244="",0,Sync!$AC1244))</f>
        <v/>
      </c>
      <c r="O1248">
        <f>IF(OR($G1248="",Sync!$V1244=""),"",Sync!$V1244)</f>
        <v/>
      </c>
      <c r="P1248">
        <f>IF(OR($G1248="",Sync!$AD1244=""),"",Sync!$AD1244)</f>
        <v/>
      </c>
      <c r="Q1248">
        <f>IF($G1248="","",IF(Sync!$U1244="","0000",IF(AND(ISNUMBER(Sync!$U1244),Sync!$U1244&gt;=0,Sync!$U1244&lt;1),RIGHT("00"&amp;HOUR(Sync!$U1244),2)&amp;RIGHT("00"&amp;MINUTE(Sync!$U1244),2),IFERROR(RIGHT("00"&amp;VALUE(LEFT(Sync!$U1244,FIND(":",Sync!$U1244)-1)),2)&amp;RIGHT("00"&amp;VALUE(MID(Sync!$U1244,FIND(":",Sync!$U1244)+1,2)),2),"0000"))))</f>
        <v/>
      </c>
    </row>
    <row r="1249">
      <c r="A1249">
        <f>IF(Sync!$T1245="","",Sync!$T1245)</f>
        <v/>
      </c>
      <c r="B1249">
        <f>IF($A1249="","",IF(ISNUMBER($A1249),IF(AND($A1249&gt;=10000101,$A1249&lt;=99991231),INT($A1249/10000),""),IFERROR(VALUE(TRIM(LEFT($A1249,FIND("/",$A1249)-1))),"")))</f>
        <v/>
      </c>
      <c r="C1249">
        <f>IF(OR($A1249="",$B1249=""),"",IF(ISNUMBER($A1249),INT(MOD($A1249,10000)/100),IFERROR(VALUE(TRIM(LEFT(MID($A1249,FIND("/",$A1249)+1,20),FIND("/",MID($A1249,FIND("/",$A1249)+1,20))-1))),"")))</f>
        <v/>
      </c>
      <c r="D1249">
        <f>IF(OR($A1249="",$B1249=""),"",IF(ISNUMBER($A1249),MOD($A1249,100),IFERROR(VALUE(TRIM(MID(MID($A1249,FIND("/",$A1249)+1,20),FIND("/",MID($A1249,FIND("/",$A1249)+1,20))+1,20))),"")))</f>
        <v/>
      </c>
      <c r="E1249">
        <f>IF($A1249="","",IF(OR($B1249="",$C1249="",$D1249="",$B1249&lt;1300,$B1249&gt;1500,$C1249&lt;1,$C1249&gt;12,$D1249&lt;1,$D1249&gt;31),"نامعتبر",RIGHT("0000"&amp;$B1249,4)&amp;"/"&amp;RIGHT("00"&amp;$C1249,2)&amp;"/"&amp;RIGHT("00"&amp;$D1249,2)))</f>
        <v/>
      </c>
      <c r="F1249">
        <f>IF(OR($E1249="",$E1249="نامعتبر"),"",LEFT($E1249,4)&amp;"/"&amp;MID($E1249,6,2))</f>
        <v/>
      </c>
      <c r="G1249">
        <f>IF(OR($E1249="",$E1249="نامعتبر",Sync!$X1245=""),"",IF(AND(LEFT(UPPER(TRIM(Sync!$X1245)),2)="SL",IFERROR(VLOOKUP(Sync!$W1245,OpTbl,3,0),"")="فروش"),UPPER(TRIM(Sync!$X1245)),""))</f>
        <v/>
      </c>
      <c r="H1249">
        <f>IF($G1249="","",IF(Sync!$W1245="","",Sync!$W1245))</f>
        <v/>
      </c>
      <c r="I1249">
        <f>IF(OR($G1249="",Sync!$Y1245=""),"",Sync!$Y1245)</f>
        <v/>
      </c>
      <c r="J1249">
        <f>IF(OR($G1249="",Sync!$Z1245=""),"",Sync!$Z1245)</f>
        <v/>
      </c>
      <c r="K1249">
        <f>IF($G1249="",0,IF(Sync!$AA1245="",0,Sync!$AA1245))</f>
        <v/>
      </c>
      <c r="L1249">
        <f>IF($G1249="",0,IF(Sync!$AB1245="",0,Sync!$AB1245))</f>
        <v/>
      </c>
      <c r="M1249">
        <f>IF($G1249="","",IF($H1249="مرجوعی فروش",-1,1)*($K1249-$L1249*IFERROR(VLOOKUP("P01",ParamTbl,3,0),1.5)))</f>
        <v/>
      </c>
      <c r="N1249">
        <f>IF($G1249="",0,IF($H1249="مرجوعی فروش",-1,1)*IF(Sync!$AC1245="",0,Sync!$AC1245))</f>
        <v/>
      </c>
      <c r="O1249">
        <f>IF(OR($G1249="",Sync!$V1245=""),"",Sync!$V1245)</f>
        <v/>
      </c>
      <c r="P1249">
        <f>IF(OR($G1249="",Sync!$AD1245=""),"",Sync!$AD1245)</f>
        <v/>
      </c>
      <c r="Q1249">
        <f>IF($G1249="","",IF(Sync!$U1245="","0000",IF(AND(ISNUMBER(Sync!$U1245),Sync!$U1245&gt;=0,Sync!$U1245&lt;1),RIGHT("00"&amp;HOUR(Sync!$U1245),2)&amp;RIGHT("00"&amp;MINUTE(Sync!$U1245),2),IFERROR(RIGHT("00"&amp;VALUE(LEFT(Sync!$U1245,FIND(":",Sync!$U1245)-1)),2)&amp;RIGHT("00"&amp;VALUE(MID(Sync!$U1245,FIND(":",Sync!$U1245)+1,2)),2),"0000"))))</f>
        <v/>
      </c>
    </row>
    <row r="1250">
      <c r="A1250">
        <f>IF(Sync!$T1246="","",Sync!$T1246)</f>
        <v/>
      </c>
      <c r="B1250">
        <f>IF($A1250="","",IF(ISNUMBER($A1250),IF(AND($A1250&gt;=10000101,$A1250&lt;=99991231),INT($A1250/10000),""),IFERROR(VALUE(TRIM(LEFT($A1250,FIND("/",$A1250)-1))),"")))</f>
        <v/>
      </c>
      <c r="C1250">
        <f>IF(OR($A1250="",$B1250=""),"",IF(ISNUMBER($A1250),INT(MOD($A1250,10000)/100),IFERROR(VALUE(TRIM(LEFT(MID($A1250,FIND("/",$A1250)+1,20),FIND("/",MID($A1250,FIND("/",$A1250)+1,20))-1))),"")))</f>
        <v/>
      </c>
      <c r="D1250">
        <f>IF(OR($A1250="",$B1250=""),"",IF(ISNUMBER($A1250),MOD($A1250,100),IFERROR(VALUE(TRIM(MID(MID($A1250,FIND("/",$A1250)+1,20),FIND("/",MID($A1250,FIND("/",$A1250)+1,20))+1,20))),"")))</f>
        <v/>
      </c>
      <c r="E1250">
        <f>IF($A1250="","",IF(OR($B1250="",$C1250="",$D1250="",$B1250&lt;1300,$B1250&gt;1500,$C1250&lt;1,$C1250&gt;12,$D1250&lt;1,$D1250&gt;31),"نامعتبر",RIGHT("0000"&amp;$B1250,4)&amp;"/"&amp;RIGHT("00"&amp;$C1250,2)&amp;"/"&amp;RIGHT("00"&amp;$D1250,2)))</f>
        <v/>
      </c>
      <c r="F1250">
        <f>IF(OR($E1250="",$E1250="نامعتبر"),"",LEFT($E1250,4)&amp;"/"&amp;MID($E1250,6,2))</f>
        <v/>
      </c>
      <c r="G1250">
        <f>IF(OR($E1250="",$E1250="نامعتبر",Sync!$X1246=""),"",IF(AND(LEFT(UPPER(TRIM(Sync!$X1246)),2)="SL",IFERROR(VLOOKUP(Sync!$W1246,OpTbl,3,0),"")="فروش"),UPPER(TRIM(Sync!$X1246)),""))</f>
        <v/>
      </c>
      <c r="H1250">
        <f>IF($G1250="","",IF(Sync!$W1246="","",Sync!$W1246))</f>
        <v/>
      </c>
      <c r="I1250">
        <f>IF(OR($G1250="",Sync!$Y1246=""),"",Sync!$Y1246)</f>
        <v/>
      </c>
      <c r="J1250">
        <f>IF(OR($G1250="",Sync!$Z1246=""),"",Sync!$Z1246)</f>
        <v/>
      </c>
      <c r="K1250">
        <f>IF($G1250="",0,IF(Sync!$AA1246="",0,Sync!$AA1246))</f>
        <v/>
      </c>
      <c r="L1250">
        <f>IF($G1250="",0,IF(Sync!$AB1246="",0,Sync!$AB1246))</f>
        <v/>
      </c>
      <c r="M1250">
        <f>IF($G1250="","",IF($H1250="مرجوعی فروش",-1,1)*($K1250-$L1250*IFERROR(VLOOKUP("P01",ParamTbl,3,0),1.5)))</f>
        <v/>
      </c>
      <c r="N1250">
        <f>IF($G1250="",0,IF($H1250="مرجوعی فروش",-1,1)*IF(Sync!$AC1246="",0,Sync!$AC1246))</f>
        <v/>
      </c>
      <c r="O1250">
        <f>IF(OR($G1250="",Sync!$V1246=""),"",Sync!$V1246)</f>
        <v/>
      </c>
      <c r="P1250">
        <f>IF(OR($G1250="",Sync!$AD1246=""),"",Sync!$AD1246)</f>
        <v/>
      </c>
      <c r="Q1250">
        <f>IF($G1250="","",IF(Sync!$U1246="","0000",IF(AND(ISNUMBER(Sync!$U1246),Sync!$U1246&gt;=0,Sync!$U1246&lt;1),RIGHT("00"&amp;HOUR(Sync!$U1246),2)&amp;RIGHT("00"&amp;MINUTE(Sync!$U1246),2),IFERROR(RIGHT("00"&amp;VALUE(LEFT(Sync!$U1246,FIND(":",Sync!$U1246)-1)),2)&amp;RIGHT("00"&amp;VALUE(MID(Sync!$U1246,FIND(":",Sync!$U1246)+1,2)),2),"0000"))))</f>
        <v/>
      </c>
    </row>
    <row r="1251">
      <c r="A1251">
        <f>IF(Sync!$T1247="","",Sync!$T1247)</f>
        <v/>
      </c>
      <c r="B1251">
        <f>IF($A1251="","",IF(ISNUMBER($A1251),IF(AND($A1251&gt;=10000101,$A1251&lt;=99991231),INT($A1251/10000),""),IFERROR(VALUE(TRIM(LEFT($A1251,FIND("/",$A1251)-1))),"")))</f>
        <v/>
      </c>
      <c r="C1251">
        <f>IF(OR($A1251="",$B1251=""),"",IF(ISNUMBER($A1251),INT(MOD($A1251,10000)/100),IFERROR(VALUE(TRIM(LEFT(MID($A1251,FIND("/",$A1251)+1,20),FIND("/",MID($A1251,FIND("/",$A1251)+1,20))-1))),"")))</f>
        <v/>
      </c>
      <c r="D1251">
        <f>IF(OR($A1251="",$B1251=""),"",IF(ISNUMBER($A1251),MOD($A1251,100),IFERROR(VALUE(TRIM(MID(MID($A1251,FIND("/",$A1251)+1,20),FIND("/",MID($A1251,FIND("/",$A1251)+1,20))+1,20))),"")))</f>
        <v/>
      </c>
      <c r="E1251">
        <f>IF($A1251="","",IF(OR($B1251="",$C1251="",$D1251="",$B1251&lt;1300,$B1251&gt;1500,$C1251&lt;1,$C1251&gt;12,$D1251&lt;1,$D1251&gt;31),"نامعتبر",RIGHT("0000"&amp;$B1251,4)&amp;"/"&amp;RIGHT("00"&amp;$C1251,2)&amp;"/"&amp;RIGHT("00"&amp;$D1251,2)))</f>
        <v/>
      </c>
      <c r="F1251">
        <f>IF(OR($E1251="",$E1251="نامعتبر"),"",LEFT($E1251,4)&amp;"/"&amp;MID($E1251,6,2))</f>
        <v/>
      </c>
      <c r="G1251">
        <f>IF(OR($E1251="",$E1251="نامعتبر",Sync!$X1247=""),"",IF(AND(LEFT(UPPER(TRIM(Sync!$X1247)),2)="SL",IFERROR(VLOOKUP(Sync!$W1247,OpTbl,3,0),"")="فروش"),UPPER(TRIM(Sync!$X1247)),""))</f>
        <v/>
      </c>
      <c r="H1251">
        <f>IF($G1251="","",IF(Sync!$W1247="","",Sync!$W1247))</f>
        <v/>
      </c>
      <c r="I1251">
        <f>IF(OR($G1251="",Sync!$Y1247=""),"",Sync!$Y1247)</f>
        <v/>
      </c>
      <c r="J1251">
        <f>IF(OR($G1251="",Sync!$Z1247=""),"",Sync!$Z1247)</f>
        <v/>
      </c>
      <c r="K1251">
        <f>IF($G1251="",0,IF(Sync!$AA1247="",0,Sync!$AA1247))</f>
        <v/>
      </c>
      <c r="L1251">
        <f>IF($G1251="",0,IF(Sync!$AB1247="",0,Sync!$AB1247))</f>
        <v/>
      </c>
      <c r="M1251">
        <f>IF($G1251="","",IF($H1251="مرجوعی فروش",-1,1)*($K1251-$L1251*IFERROR(VLOOKUP("P01",ParamTbl,3,0),1.5)))</f>
        <v/>
      </c>
      <c r="N1251">
        <f>IF($G1251="",0,IF($H1251="مرجوعی فروش",-1,1)*IF(Sync!$AC1247="",0,Sync!$AC1247))</f>
        <v/>
      </c>
      <c r="O1251">
        <f>IF(OR($G1251="",Sync!$V1247=""),"",Sync!$V1247)</f>
        <v/>
      </c>
      <c r="P1251">
        <f>IF(OR($G1251="",Sync!$AD1247=""),"",Sync!$AD1247)</f>
        <v/>
      </c>
      <c r="Q1251">
        <f>IF($G1251="","",IF(Sync!$U1247="","0000",IF(AND(ISNUMBER(Sync!$U1247),Sync!$U1247&gt;=0,Sync!$U1247&lt;1),RIGHT("00"&amp;HOUR(Sync!$U1247),2)&amp;RIGHT("00"&amp;MINUTE(Sync!$U1247),2),IFERROR(RIGHT("00"&amp;VALUE(LEFT(Sync!$U1247,FIND(":",Sync!$U1247)-1)),2)&amp;RIGHT("00"&amp;VALUE(MID(Sync!$U1247,FIND(":",Sync!$U1247)+1,2)),2),"0000"))))</f>
        <v/>
      </c>
    </row>
    <row r="1252">
      <c r="A1252">
        <f>IF(Sync!$T1248="","",Sync!$T1248)</f>
        <v/>
      </c>
      <c r="B1252">
        <f>IF($A1252="","",IF(ISNUMBER($A1252),IF(AND($A1252&gt;=10000101,$A1252&lt;=99991231),INT($A1252/10000),""),IFERROR(VALUE(TRIM(LEFT($A1252,FIND("/",$A1252)-1))),"")))</f>
        <v/>
      </c>
      <c r="C1252">
        <f>IF(OR($A1252="",$B1252=""),"",IF(ISNUMBER($A1252),INT(MOD($A1252,10000)/100),IFERROR(VALUE(TRIM(LEFT(MID($A1252,FIND("/",$A1252)+1,20),FIND("/",MID($A1252,FIND("/",$A1252)+1,20))-1))),"")))</f>
        <v/>
      </c>
      <c r="D1252">
        <f>IF(OR($A1252="",$B1252=""),"",IF(ISNUMBER($A1252),MOD($A1252,100),IFERROR(VALUE(TRIM(MID(MID($A1252,FIND("/",$A1252)+1,20),FIND("/",MID($A1252,FIND("/",$A1252)+1,20))+1,20))),"")))</f>
        <v/>
      </c>
      <c r="E1252">
        <f>IF($A1252="","",IF(OR($B1252="",$C1252="",$D1252="",$B1252&lt;1300,$B1252&gt;1500,$C1252&lt;1,$C1252&gt;12,$D1252&lt;1,$D1252&gt;31),"نامعتبر",RIGHT("0000"&amp;$B1252,4)&amp;"/"&amp;RIGHT("00"&amp;$C1252,2)&amp;"/"&amp;RIGHT("00"&amp;$D1252,2)))</f>
        <v/>
      </c>
      <c r="F1252">
        <f>IF(OR($E1252="",$E1252="نامعتبر"),"",LEFT($E1252,4)&amp;"/"&amp;MID($E1252,6,2))</f>
        <v/>
      </c>
      <c r="G1252">
        <f>IF(OR($E1252="",$E1252="نامعتبر",Sync!$X1248=""),"",IF(AND(LEFT(UPPER(TRIM(Sync!$X1248)),2)="SL",IFERROR(VLOOKUP(Sync!$W1248,OpTbl,3,0),"")="فروش"),UPPER(TRIM(Sync!$X1248)),""))</f>
        <v/>
      </c>
      <c r="H1252">
        <f>IF($G1252="","",IF(Sync!$W1248="","",Sync!$W1248))</f>
        <v/>
      </c>
      <c r="I1252">
        <f>IF(OR($G1252="",Sync!$Y1248=""),"",Sync!$Y1248)</f>
        <v/>
      </c>
      <c r="J1252">
        <f>IF(OR($G1252="",Sync!$Z1248=""),"",Sync!$Z1248)</f>
        <v/>
      </c>
      <c r="K1252">
        <f>IF($G1252="",0,IF(Sync!$AA1248="",0,Sync!$AA1248))</f>
        <v/>
      </c>
      <c r="L1252">
        <f>IF($G1252="",0,IF(Sync!$AB1248="",0,Sync!$AB1248))</f>
        <v/>
      </c>
      <c r="M1252">
        <f>IF($G1252="","",IF($H1252="مرجوعی فروش",-1,1)*($K1252-$L1252*IFERROR(VLOOKUP("P01",ParamTbl,3,0),1.5)))</f>
        <v/>
      </c>
      <c r="N1252">
        <f>IF($G1252="",0,IF($H1252="مرجوعی فروش",-1,1)*IF(Sync!$AC1248="",0,Sync!$AC1248))</f>
        <v/>
      </c>
      <c r="O1252">
        <f>IF(OR($G1252="",Sync!$V1248=""),"",Sync!$V1248)</f>
        <v/>
      </c>
      <c r="P1252">
        <f>IF(OR($G1252="",Sync!$AD1248=""),"",Sync!$AD1248)</f>
        <v/>
      </c>
      <c r="Q1252">
        <f>IF($G1252="","",IF(Sync!$U1248="","0000",IF(AND(ISNUMBER(Sync!$U1248),Sync!$U1248&gt;=0,Sync!$U1248&lt;1),RIGHT("00"&amp;HOUR(Sync!$U1248),2)&amp;RIGHT("00"&amp;MINUTE(Sync!$U1248),2),IFERROR(RIGHT("00"&amp;VALUE(LEFT(Sync!$U1248,FIND(":",Sync!$U1248)-1)),2)&amp;RIGHT("00"&amp;VALUE(MID(Sync!$U1248,FIND(":",Sync!$U1248)+1,2)),2),"0000"))))</f>
        <v/>
      </c>
    </row>
    <row r="1253">
      <c r="A1253">
        <f>IF(Sync!$T1249="","",Sync!$T1249)</f>
        <v/>
      </c>
      <c r="B1253">
        <f>IF($A1253="","",IF(ISNUMBER($A1253),IF(AND($A1253&gt;=10000101,$A1253&lt;=99991231),INT($A1253/10000),""),IFERROR(VALUE(TRIM(LEFT($A1253,FIND("/",$A1253)-1))),"")))</f>
        <v/>
      </c>
      <c r="C1253">
        <f>IF(OR($A1253="",$B1253=""),"",IF(ISNUMBER($A1253),INT(MOD($A1253,10000)/100),IFERROR(VALUE(TRIM(LEFT(MID($A1253,FIND("/",$A1253)+1,20),FIND("/",MID($A1253,FIND("/",$A1253)+1,20))-1))),"")))</f>
        <v/>
      </c>
      <c r="D1253">
        <f>IF(OR($A1253="",$B1253=""),"",IF(ISNUMBER($A1253),MOD($A1253,100),IFERROR(VALUE(TRIM(MID(MID($A1253,FIND("/",$A1253)+1,20),FIND("/",MID($A1253,FIND("/",$A1253)+1,20))+1,20))),"")))</f>
        <v/>
      </c>
      <c r="E1253">
        <f>IF($A1253="","",IF(OR($B1253="",$C1253="",$D1253="",$B1253&lt;1300,$B1253&gt;1500,$C1253&lt;1,$C1253&gt;12,$D1253&lt;1,$D1253&gt;31),"نامعتبر",RIGHT("0000"&amp;$B1253,4)&amp;"/"&amp;RIGHT("00"&amp;$C1253,2)&amp;"/"&amp;RIGHT("00"&amp;$D1253,2)))</f>
        <v/>
      </c>
      <c r="F1253">
        <f>IF(OR($E1253="",$E1253="نامعتبر"),"",LEFT($E1253,4)&amp;"/"&amp;MID($E1253,6,2))</f>
        <v/>
      </c>
      <c r="G1253">
        <f>IF(OR($E1253="",$E1253="نامعتبر",Sync!$X1249=""),"",IF(AND(LEFT(UPPER(TRIM(Sync!$X1249)),2)="SL",IFERROR(VLOOKUP(Sync!$W1249,OpTbl,3,0),"")="فروش"),UPPER(TRIM(Sync!$X1249)),""))</f>
        <v/>
      </c>
      <c r="H1253">
        <f>IF($G1253="","",IF(Sync!$W1249="","",Sync!$W1249))</f>
        <v/>
      </c>
      <c r="I1253">
        <f>IF(OR($G1253="",Sync!$Y1249=""),"",Sync!$Y1249)</f>
        <v/>
      </c>
      <c r="J1253">
        <f>IF(OR($G1253="",Sync!$Z1249=""),"",Sync!$Z1249)</f>
        <v/>
      </c>
      <c r="K1253">
        <f>IF($G1253="",0,IF(Sync!$AA1249="",0,Sync!$AA1249))</f>
        <v/>
      </c>
      <c r="L1253">
        <f>IF($G1253="",0,IF(Sync!$AB1249="",0,Sync!$AB1249))</f>
        <v/>
      </c>
      <c r="M1253">
        <f>IF($G1253="","",IF($H1253="مرجوعی فروش",-1,1)*($K1253-$L1253*IFERROR(VLOOKUP("P01",ParamTbl,3,0),1.5)))</f>
        <v/>
      </c>
      <c r="N1253">
        <f>IF($G1253="",0,IF($H1253="مرجوعی فروش",-1,1)*IF(Sync!$AC1249="",0,Sync!$AC1249))</f>
        <v/>
      </c>
      <c r="O1253">
        <f>IF(OR($G1253="",Sync!$V1249=""),"",Sync!$V1249)</f>
        <v/>
      </c>
      <c r="P1253">
        <f>IF(OR($G1253="",Sync!$AD1249=""),"",Sync!$AD1249)</f>
        <v/>
      </c>
      <c r="Q1253">
        <f>IF($G1253="","",IF(Sync!$U1249="","0000",IF(AND(ISNUMBER(Sync!$U1249),Sync!$U1249&gt;=0,Sync!$U1249&lt;1),RIGHT("00"&amp;HOUR(Sync!$U1249),2)&amp;RIGHT("00"&amp;MINUTE(Sync!$U1249),2),IFERROR(RIGHT("00"&amp;VALUE(LEFT(Sync!$U1249,FIND(":",Sync!$U1249)-1)),2)&amp;RIGHT("00"&amp;VALUE(MID(Sync!$U1249,FIND(":",Sync!$U1249)+1,2)),2),"0000"))))</f>
        <v/>
      </c>
    </row>
    <row r="1254">
      <c r="A1254">
        <f>IF(Sync!$T1250="","",Sync!$T1250)</f>
        <v/>
      </c>
      <c r="B1254">
        <f>IF($A1254="","",IF(ISNUMBER($A1254),IF(AND($A1254&gt;=10000101,$A1254&lt;=99991231),INT($A1254/10000),""),IFERROR(VALUE(TRIM(LEFT($A1254,FIND("/",$A1254)-1))),"")))</f>
        <v/>
      </c>
      <c r="C1254">
        <f>IF(OR($A1254="",$B1254=""),"",IF(ISNUMBER($A1254),INT(MOD($A1254,10000)/100),IFERROR(VALUE(TRIM(LEFT(MID($A1254,FIND("/",$A1254)+1,20),FIND("/",MID($A1254,FIND("/",$A1254)+1,20))-1))),"")))</f>
        <v/>
      </c>
      <c r="D1254">
        <f>IF(OR($A1254="",$B1254=""),"",IF(ISNUMBER($A1254),MOD($A1254,100),IFERROR(VALUE(TRIM(MID(MID($A1254,FIND("/",$A1254)+1,20),FIND("/",MID($A1254,FIND("/",$A1254)+1,20))+1,20))),"")))</f>
        <v/>
      </c>
      <c r="E1254">
        <f>IF($A1254="","",IF(OR($B1254="",$C1254="",$D1254="",$B1254&lt;1300,$B1254&gt;1500,$C1254&lt;1,$C1254&gt;12,$D1254&lt;1,$D1254&gt;31),"نامعتبر",RIGHT("0000"&amp;$B1254,4)&amp;"/"&amp;RIGHT("00"&amp;$C1254,2)&amp;"/"&amp;RIGHT("00"&amp;$D1254,2)))</f>
        <v/>
      </c>
      <c r="F1254">
        <f>IF(OR($E1254="",$E1254="نامعتبر"),"",LEFT($E1254,4)&amp;"/"&amp;MID($E1254,6,2))</f>
        <v/>
      </c>
      <c r="G1254">
        <f>IF(OR($E1254="",$E1254="نامعتبر",Sync!$X1250=""),"",IF(AND(LEFT(UPPER(TRIM(Sync!$X1250)),2)="SL",IFERROR(VLOOKUP(Sync!$W1250,OpTbl,3,0),"")="فروش"),UPPER(TRIM(Sync!$X1250)),""))</f>
        <v/>
      </c>
      <c r="H1254">
        <f>IF($G1254="","",IF(Sync!$W1250="","",Sync!$W1250))</f>
        <v/>
      </c>
      <c r="I1254">
        <f>IF(OR($G1254="",Sync!$Y1250=""),"",Sync!$Y1250)</f>
        <v/>
      </c>
      <c r="J1254">
        <f>IF(OR($G1254="",Sync!$Z1250=""),"",Sync!$Z1250)</f>
        <v/>
      </c>
      <c r="K1254">
        <f>IF($G1254="",0,IF(Sync!$AA1250="",0,Sync!$AA1250))</f>
        <v/>
      </c>
      <c r="L1254">
        <f>IF($G1254="",0,IF(Sync!$AB1250="",0,Sync!$AB1250))</f>
        <v/>
      </c>
      <c r="M1254">
        <f>IF($G1254="","",IF($H1254="مرجوعی فروش",-1,1)*($K1254-$L1254*IFERROR(VLOOKUP("P01",ParamTbl,3,0),1.5)))</f>
        <v/>
      </c>
      <c r="N1254">
        <f>IF($G1254="",0,IF($H1254="مرجوعی فروش",-1,1)*IF(Sync!$AC1250="",0,Sync!$AC1250))</f>
        <v/>
      </c>
      <c r="O1254">
        <f>IF(OR($G1254="",Sync!$V1250=""),"",Sync!$V1250)</f>
        <v/>
      </c>
      <c r="P1254">
        <f>IF(OR($G1254="",Sync!$AD1250=""),"",Sync!$AD1250)</f>
        <v/>
      </c>
      <c r="Q1254">
        <f>IF($G1254="","",IF(Sync!$U1250="","0000",IF(AND(ISNUMBER(Sync!$U1250),Sync!$U1250&gt;=0,Sync!$U1250&lt;1),RIGHT("00"&amp;HOUR(Sync!$U1250),2)&amp;RIGHT("00"&amp;MINUTE(Sync!$U1250),2),IFERROR(RIGHT("00"&amp;VALUE(LEFT(Sync!$U1250,FIND(":",Sync!$U1250)-1)),2)&amp;RIGHT("00"&amp;VALUE(MID(Sync!$U1250,FIND(":",Sync!$U1250)+1,2)),2),"0000"))))</f>
        <v/>
      </c>
    </row>
    <row r="1255">
      <c r="A1255">
        <f>IF(Sync!$T1251="","",Sync!$T1251)</f>
        <v/>
      </c>
      <c r="B1255">
        <f>IF($A1255="","",IF(ISNUMBER($A1255),IF(AND($A1255&gt;=10000101,$A1255&lt;=99991231),INT($A1255/10000),""),IFERROR(VALUE(TRIM(LEFT($A1255,FIND("/",$A1255)-1))),"")))</f>
        <v/>
      </c>
      <c r="C1255">
        <f>IF(OR($A1255="",$B1255=""),"",IF(ISNUMBER($A1255),INT(MOD($A1255,10000)/100),IFERROR(VALUE(TRIM(LEFT(MID($A1255,FIND("/",$A1255)+1,20),FIND("/",MID($A1255,FIND("/",$A1255)+1,20))-1))),"")))</f>
        <v/>
      </c>
      <c r="D1255">
        <f>IF(OR($A1255="",$B1255=""),"",IF(ISNUMBER($A1255),MOD($A1255,100),IFERROR(VALUE(TRIM(MID(MID($A1255,FIND("/",$A1255)+1,20),FIND("/",MID($A1255,FIND("/",$A1255)+1,20))+1,20))),"")))</f>
        <v/>
      </c>
      <c r="E1255">
        <f>IF($A1255="","",IF(OR($B1255="",$C1255="",$D1255="",$B1255&lt;1300,$B1255&gt;1500,$C1255&lt;1,$C1255&gt;12,$D1255&lt;1,$D1255&gt;31),"نامعتبر",RIGHT("0000"&amp;$B1255,4)&amp;"/"&amp;RIGHT("00"&amp;$C1255,2)&amp;"/"&amp;RIGHT("00"&amp;$D1255,2)))</f>
        <v/>
      </c>
      <c r="F1255">
        <f>IF(OR($E1255="",$E1255="نامعتبر"),"",LEFT($E1255,4)&amp;"/"&amp;MID($E1255,6,2))</f>
        <v/>
      </c>
      <c r="G1255">
        <f>IF(OR($E1255="",$E1255="نامعتبر",Sync!$X1251=""),"",IF(AND(LEFT(UPPER(TRIM(Sync!$X1251)),2)="SL",IFERROR(VLOOKUP(Sync!$W1251,OpTbl,3,0),"")="فروش"),UPPER(TRIM(Sync!$X1251)),""))</f>
        <v/>
      </c>
      <c r="H1255">
        <f>IF($G1255="","",IF(Sync!$W1251="","",Sync!$W1251))</f>
        <v/>
      </c>
      <c r="I1255">
        <f>IF(OR($G1255="",Sync!$Y1251=""),"",Sync!$Y1251)</f>
        <v/>
      </c>
      <c r="J1255">
        <f>IF(OR($G1255="",Sync!$Z1251=""),"",Sync!$Z1251)</f>
        <v/>
      </c>
      <c r="K1255">
        <f>IF($G1255="",0,IF(Sync!$AA1251="",0,Sync!$AA1251))</f>
        <v/>
      </c>
      <c r="L1255">
        <f>IF($G1255="",0,IF(Sync!$AB1251="",0,Sync!$AB1251))</f>
        <v/>
      </c>
      <c r="M1255">
        <f>IF($G1255="","",IF($H1255="مرجوعی فروش",-1,1)*($K1255-$L1255*IFERROR(VLOOKUP("P01",ParamTbl,3,0),1.5)))</f>
        <v/>
      </c>
      <c r="N1255">
        <f>IF($G1255="",0,IF($H1255="مرجوعی فروش",-1,1)*IF(Sync!$AC1251="",0,Sync!$AC1251))</f>
        <v/>
      </c>
      <c r="O1255">
        <f>IF(OR($G1255="",Sync!$V1251=""),"",Sync!$V1251)</f>
        <v/>
      </c>
      <c r="P1255">
        <f>IF(OR($G1255="",Sync!$AD1251=""),"",Sync!$AD1251)</f>
        <v/>
      </c>
      <c r="Q1255">
        <f>IF($G1255="","",IF(Sync!$U1251="","0000",IF(AND(ISNUMBER(Sync!$U1251),Sync!$U1251&gt;=0,Sync!$U1251&lt;1),RIGHT("00"&amp;HOUR(Sync!$U1251),2)&amp;RIGHT("00"&amp;MINUTE(Sync!$U1251),2),IFERROR(RIGHT("00"&amp;VALUE(LEFT(Sync!$U1251,FIND(":",Sync!$U1251)-1)),2)&amp;RIGHT("00"&amp;VALUE(MID(Sync!$U1251,FIND(":",Sync!$U1251)+1,2)),2),"0000"))))</f>
        <v/>
      </c>
    </row>
    <row r="1256">
      <c r="A1256">
        <f>IF(Sync!$T1252="","",Sync!$T1252)</f>
        <v/>
      </c>
      <c r="B1256">
        <f>IF($A1256="","",IF(ISNUMBER($A1256),IF(AND($A1256&gt;=10000101,$A1256&lt;=99991231),INT($A1256/10000),""),IFERROR(VALUE(TRIM(LEFT($A1256,FIND("/",$A1256)-1))),"")))</f>
        <v/>
      </c>
      <c r="C1256">
        <f>IF(OR($A1256="",$B1256=""),"",IF(ISNUMBER($A1256),INT(MOD($A1256,10000)/100),IFERROR(VALUE(TRIM(LEFT(MID($A1256,FIND("/",$A1256)+1,20),FIND("/",MID($A1256,FIND("/",$A1256)+1,20))-1))),"")))</f>
        <v/>
      </c>
      <c r="D1256">
        <f>IF(OR($A1256="",$B1256=""),"",IF(ISNUMBER($A1256),MOD($A1256,100),IFERROR(VALUE(TRIM(MID(MID($A1256,FIND("/",$A1256)+1,20),FIND("/",MID($A1256,FIND("/",$A1256)+1,20))+1,20))),"")))</f>
        <v/>
      </c>
      <c r="E1256">
        <f>IF($A1256="","",IF(OR($B1256="",$C1256="",$D1256="",$B1256&lt;1300,$B1256&gt;1500,$C1256&lt;1,$C1256&gt;12,$D1256&lt;1,$D1256&gt;31),"نامعتبر",RIGHT("0000"&amp;$B1256,4)&amp;"/"&amp;RIGHT("00"&amp;$C1256,2)&amp;"/"&amp;RIGHT("00"&amp;$D1256,2)))</f>
        <v/>
      </c>
      <c r="F1256">
        <f>IF(OR($E1256="",$E1256="نامعتبر"),"",LEFT($E1256,4)&amp;"/"&amp;MID($E1256,6,2))</f>
        <v/>
      </c>
      <c r="G1256">
        <f>IF(OR($E1256="",$E1256="نامعتبر",Sync!$X1252=""),"",IF(AND(LEFT(UPPER(TRIM(Sync!$X1252)),2)="SL",IFERROR(VLOOKUP(Sync!$W1252,OpTbl,3,0),"")="فروش"),UPPER(TRIM(Sync!$X1252)),""))</f>
        <v/>
      </c>
      <c r="H1256">
        <f>IF($G1256="","",IF(Sync!$W1252="","",Sync!$W1252))</f>
        <v/>
      </c>
      <c r="I1256">
        <f>IF(OR($G1256="",Sync!$Y1252=""),"",Sync!$Y1252)</f>
        <v/>
      </c>
      <c r="J1256">
        <f>IF(OR($G1256="",Sync!$Z1252=""),"",Sync!$Z1252)</f>
        <v/>
      </c>
      <c r="K1256">
        <f>IF($G1256="",0,IF(Sync!$AA1252="",0,Sync!$AA1252))</f>
        <v/>
      </c>
      <c r="L1256">
        <f>IF($G1256="",0,IF(Sync!$AB1252="",0,Sync!$AB1252))</f>
        <v/>
      </c>
      <c r="M1256">
        <f>IF($G1256="","",IF($H1256="مرجوعی فروش",-1,1)*($K1256-$L1256*IFERROR(VLOOKUP("P01",ParamTbl,3,0),1.5)))</f>
        <v/>
      </c>
      <c r="N1256">
        <f>IF($G1256="",0,IF($H1256="مرجوعی فروش",-1,1)*IF(Sync!$AC1252="",0,Sync!$AC1252))</f>
        <v/>
      </c>
      <c r="O1256">
        <f>IF(OR($G1256="",Sync!$V1252=""),"",Sync!$V1252)</f>
        <v/>
      </c>
      <c r="P1256">
        <f>IF(OR($G1256="",Sync!$AD1252=""),"",Sync!$AD1252)</f>
        <v/>
      </c>
      <c r="Q1256">
        <f>IF($G1256="","",IF(Sync!$U1252="","0000",IF(AND(ISNUMBER(Sync!$U1252),Sync!$U1252&gt;=0,Sync!$U1252&lt;1),RIGHT("00"&amp;HOUR(Sync!$U1252),2)&amp;RIGHT("00"&amp;MINUTE(Sync!$U1252),2),IFERROR(RIGHT("00"&amp;VALUE(LEFT(Sync!$U1252,FIND(":",Sync!$U1252)-1)),2)&amp;RIGHT("00"&amp;VALUE(MID(Sync!$U1252,FIND(":",Sync!$U1252)+1,2)),2),"0000"))))</f>
        <v/>
      </c>
    </row>
    <row r="1257">
      <c r="A1257">
        <f>IF(Sync!$T1253="","",Sync!$T1253)</f>
        <v/>
      </c>
      <c r="B1257">
        <f>IF($A1257="","",IF(ISNUMBER($A1257),IF(AND($A1257&gt;=10000101,$A1257&lt;=99991231),INT($A1257/10000),""),IFERROR(VALUE(TRIM(LEFT($A1257,FIND("/",$A1257)-1))),"")))</f>
        <v/>
      </c>
      <c r="C1257">
        <f>IF(OR($A1257="",$B1257=""),"",IF(ISNUMBER($A1257),INT(MOD($A1257,10000)/100),IFERROR(VALUE(TRIM(LEFT(MID($A1257,FIND("/",$A1257)+1,20),FIND("/",MID($A1257,FIND("/",$A1257)+1,20))-1))),"")))</f>
        <v/>
      </c>
      <c r="D1257">
        <f>IF(OR($A1257="",$B1257=""),"",IF(ISNUMBER($A1257),MOD($A1257,100),IFERROR(VALUE(TRIM(MID(MID($A1257,FIND("/",$A1257)+1,20),FIND("/",MID($A1257,FIND("/",$A1257)+1,20))+1,20))),"")))</f>
        <v/>
      </c>
      <c r="E1257">
        <f>IF($A1257="","",IF(OR($B1257="",$C1257="",$D1257="",$B1257&lt;1300,$B1257&gt;1500,$C1257&lt;1,$C1257&gt;12,$D1257&lt;1,$D1257&gt;31),"نامعتبر",RIGHT("0000"&amp;$B1257,4)&amp;"/"&amp;RIGHT("00"&amp;$C1257,2)&amp;"/"&amp;RIGHT("00"&amp;$D1257,2)))</f>
        <v/>
      </c>
      <c r="F1257">
        <f>IF(OR($E1257="",$E1257="نامعتبر"),"",LEFT($E1257,4)&amp;"/"&amp;MID($E1257,6,2))</f>
        <v/>
      </c>
      <c r="G1257">
        <f>IF(OR($E1257="",$E1257="نامعتبر",Sync!$X1253=""),"",IF(AND(LEFT(UPPER(TRIM(Sync!$X1253)),2)="SL",IFERROR(VLOOKUP(Sync!$W1253,OpTbl,3,0),"")="فروش"),UPPER(TRIM(Sync!$X1253)),""))</f>
        <v/>
      </c>
      <c r="H1257">
        <f>IF($G1257="","",IF(Sync!$W1253="","",Sync!$W1253))</f>
        <v/>
      </c>
      <c r="I1257">
        <f>IF(OR($G1257="",Sync!$Y1253=""),"",Sync!$Y1253)</f>
        <v/>
      </c>
      <c r="J1257">
        <f>IF(OR($G1257="",Sync!$Z1253=""),"",Sync!$Z1253)</f>
        <v/>
      </c>
      <c r="K1257">
        <f>IF($G1257="",0,IF(Sync!$AA1253="",0,Sync!$AA1253))</f>
        <v/>
      </c>
      <c r="L1257">
        <f>IF($G1257="",0,IF(Sync!$AB1253="",0,Sync!$AB1253))</f>
        <v/>
      </c>
      <c r="M1257">
        <f>IF($G1257="","",IF($H1257="مرجوعی فروش",-1,1)*($K1257-$L1257*IFERROR(VLOOKUP("P01",ParamTbl,3,0),1.5)))</f>
        <v/>
      </c>
      <c r="N1257">
        <f>IF($G1257="",0,IF($H1257="مرجوعی فروش",-1,1)*IF(Sync!$AC1253="",0,Sync!$AC1253))</f>
        <v/>
      </c>
      <c r="O1257">
        <f>IF(OR($G1257="",Sync!$V1253=""),"",Sync!$V1253)</f>
        <v/>
      </c>
      <c r="P1257">
        <f>IF(OR($G1257="",Sync!$AD1253=""),"",Sync!$AD1253)</f>
        <v/>
      </c>
      <c r="Q1257">
        <f>IF($G1257="","",IF(Sync!$U1253="","0000",IF(AND(ISNUMBER(Sync!$U1253),Sync!$U1253&gt;=0,Sync!$U1253&lt;1),RIGHT("00"&amp;HOUR(Sync!$U1253),2)&amp;RIGHT("00"&amp;MINUTE(Sync!$U1253),2),IFERROR(RIGHT("00"&amp;VALUE(LEFT(Sync!$U1253,FIND(":",Sync!$U1253)-1)),2)&amp;RIGHT("00"&amp;VALUE(MID(Sync!$U1253,FIND(":",Sync!$U1253)+1,2)),2),"0000"))))</f>
        <v/>
      </c>
    </row>
    <row r="1258">
      <c r="A1258">
        <f>IF(Sync!$T1254="","",Sync!$T1254)</f>
        <v/>
      </c>
      <c r="B1258">
        <f>IF($A1258="","",IF(ISNUMBER($A1258),IF(AND($A1258&gt;=10000101,$A1258&lt;=99991231),INT($A1258/10000),""),IFERROR(VALUE(TRIM(LEFT($A1258,FIND("/",$A1258)-1))),"")))</f>
        <v/>
      </c>
      <c r="C1258">
        <f>IF(OR($A1258="",$B1258=""),"",IF(ISNUMBER($A1258),INT(MOD($A1258,10000)/100),IFERROR(VALUE(TRIM(LEFT(MID($A1258,FIND("/",$A1258)+1,20),FIND("/",MID($A1258,FIND("/",$A1258)+1,20))-1))),"")))</f>
        <v/>
      </c>
      <c r="D1258">
        <f>IF(OR($A1258="",$B1258=""),"",IF(ISNUMBER($A1258),MOD($A1258,100),IFERROR(VALUE(TRIM(MID(MID($A1258,FIND("/",$A1258)+1,20),FIND("/",MID($A1258,FIND("/",$A1258)+1,20))+1,20))),"")))</f>
        <v/>
      </c>
      <c r="E1258">
        <f>IF($A1258="","",IF(OR($B1258="",$C1258="",$D1258="",$B1258&lt;1300,$B1258&gt;1500,$C1258&lt;1,$C1258&gt;12,$D1258&lt;1,$D1258&gt;31),"نامعتبر",RIGHT("0000"&amp;$B1258,4)&amp;"/"&amp;RIGHT("00"&amp;$C1258,2)&amp;"/"&amp;RIGHT("00"&amp;$D1258,2)))</f>
        <v/>
      </c>
      <c r="F1258">
        <f>IF(OR($E1258="",$E1258="نامعتبر"),"",LEFT($E1258,4)&amp;"/"&amp;MID($E1258,6,2))</f>
        <v/>
      </c>
      <c r="G1258">
        <f>IF(OR($E1258="",$E1258="نامعتبر",Sync!$X1254=""),"",IF(AND(LEFT(UPPER(TRIM(Sync!$X1254)),2)="SL",IFERROR(VLOOKUP(Sync!$W1254,OpTbl,3,0),"")="فروش"),UPPER(TRIM(Sync!$X1254)),""))</f>
        <v/>
      </c>
      <c r="H1258">
        <f>IF($G1258="","",IF(Sync!$W1254="","",Sync!$W1254))</f>
        <v/>
      </c>
      <c r="I1258">
        <f>IF(OR($G1258="",Sync!$Y1254=""),"",Sync!$Y1254)</f>
        <v/>
      </c>
      <c r="J1258">
        <f>IF(OR($G1258="",Sync!$Z1254=""),"",Sync!$Z1254)</f>
        <v/>
      </c>
      <c r="K1258">
        <f>IF($G1258="",0,IF(Sync!$AA1254="",0,Sync!$AA1254))</f>
        <v/>
      </c>
      <c r="L1258">
        <f>IF($G1258="",0,IF(Sync!$AB1254="",0,Sync!$AB1254))</f>
        <v/>
      </c>
      <c r="M1258">
        <f>IF($G1258="","",IF($H1258="مرجوعی فروش",-1,1)*($K1258-$L1258*IFERROR(VLOOKUP("P01",ParamTbl,3,0),1.5)))</f>
        <v/>
      </c>
      <c r="N1258">
        <f>IF($G1258="",0,IF($H1258="مرجوعی فروش",-1,1)*IF(Sync!$AC1254="",0,Sync!$AC1254))</f>
        <v/>
      </c>
      <c r="O1258">
        <f>IF(OR($G1258="",Sync!$V1254=""),"",Sync!$V1254)</f>
        <v/>
      </c>
      <c r="P1258">
        <f>IF(OR($G1258="",Sync!$AD1254=""),"",Sync!$AD1254)</f>
        <v/>
      </c>
      <c r="Q1258">
        <f>IF($G1258="","",IF(Sync!$U1254="","0000",IF(AND(ISNUMBER(Sync!$U1254),Sync!$U1254&gt;=0,Sync!$U1254&lt;1),RIGHT("00"&amp;HOUR(Sync!$U1254),2)&amp;RIGHT("00"&amp;MINUTE(Sync!$U1254),2),IFERROR(RIGHT("00"&amp;VALUE(LEFT(Sync!$U1254,FIND(":",Sync!$U1254)-1)),2)&amp;RIGHT("00"&amp;VALUE(MID(Sync!$U1254,FIND(":",Sync!$U1254)+1,2)),2),"0000"))))</f>
        <v/>
      </c>
    </row>
    <row r="1259">
      <c r="A1259">
        <f>IF(Sync!$T1255="","",Sync!$T1255)</f>
        <v/>
      </c>
      <c r="B1259">
        <f>IF($A1259="","",IF(ISNUMBER($A1259),IF(AND($A1259&gt;=10000101,$A1259&lt;=99991231),INT($A1259/10000),""),IFERROR(VALUE(TRIM(LEFT($A1259,FIND("/",$A1259)-1))),"")))</f>
        <v/>
      </c>
      <c r="C1259">
        <f>IF(OR($A1259="",$B1259=""),"",IF(ISNUMBER($A1259),INT(MOD($A1259,10000)/100),IFERROR(VALUE(TRIM(LEFT(MID($A1259,FIND("/",$A1259)+1,20),FIND("/",MID($A1259,FIND("/",$A1259)+1,20))-1))),"")))</f>
        <v/>
      </c>
      <c r="D1259">
        <f>IF(OR($A1259="",$B1259=""),"",IF(ISNUMBER($A1259),MOD($A1259,100),IFERROR(VALUE(TRIM(MID(MID($A1259,FIND("/",$A1259)+1,20),FIND("/",MID($A1259,FIND("/",$A1259)+1,20))+1,20))),"")))</f>
        <v/>
      </c>
      <c r="E1259">
        <f>IF($A1259="","",IF(OR($B1259="",$C1259="",$D1259="",$B1259&lt;1300,$B1259&gt;1500,$C1259&lt;1,$C1259&gt;12,$D1259&lt;1,$D1259&gt;31),"نامعتبر",RIGHT("0000"&amp;$B1259,4)&amp;"/"&amp;RIGHT("00"&amp;$C1259,2)&amp;"/"&amp;RIGHT("00"&amp;$D1259,2)))</f>
        <v/>
      </c>
      <c r="F1259">
        <f>IF(OR($E1259="",$E1259="نامعتبر"),"",LEFT($E1259,4)&amp;"/"&amp;MID($E1259,6,2))</f>
        <v/>
      </c>
      <c r="G1259">
        <f>IF(OR($E1259="",$E1259="نامعتبر",Sync!$X1255=""),"",IF(AND(LEFT(UPPER(TRIM(Sync!$X1255)),2)="SL",IFERROR(VLOOKUP(Sync!$W1255,OpTbl,3,0),"")="فروش"),UPPER(TRIM(Sync!$X1255)),""))</f>
        <v/>
      </c>
      <c r="H1259">
        <f>IF($G1259="","",IF(Sync!$W1255="","",Sync!$W1255))</f>
        <v/>
      </c>
      <c r="I1259">
        <f>IF(OR($G1259="",Sync!$Y1255=""),"",Sync!$Y1255)</f>
        <v/>
      </c>
      <c r="J1259">
        <f>IF(OR($G1259="",Sync!$Z1255=""),"",Sync!$Z1255)</f>
        <v/>
      </c>
      <c r="K1259">
        <f>IF($G1259="",0,IF(Sync!$AA1255="",0,Sync!$AA1255))</f>
        <v/>
      </c>
      <c r="L1259">
        <f>IF($G1259="",0,IF(Sync!$AB1255="",0,Sync!$AB1255))</f>
        <v/>
      </c>
      <c r="M1259">
        <f>IF($G1259="","",IF($H1259="مرجوعی فروش",-1,1)*($K1259-$L1259*IFERROR(VLOOKUP("P01",ParamTbl,3,0),1.5)))</f>
        <v/>
      </c>
      <c r="N1259">
        <f>IF($G1259="",0,IF($H1259="مرجوعی فروش",-1,1)*IF(Sync!$AC1255="",0,Sync!$AC1255))</f>
        <v/>
      </c>
      <c r="O1259">
        <f>IF(OR($G1259="",Sync!$V1255=""),"",Sync!$V1255)</f>
        <v/>
      </c>
      <c r="P1259">
        <f>IF(OR($G1259="",Sync!$AD1255=""),"",Sync!$AD1255)</f>
        <v/>
      </c>
      <c r="Q1259">
        <f>IF($G1259="","",IF(Sync!$U1255="","0000",IF(AND(ISNUMBER(Sync!$U1255),Sync!$U1255&gt;=0,Sync!$U1255&lt;1),RIGHT("00"&amp;HOUR(Sync!$U1255),2)&amp;RIGHT("00"&amp;MINUTE(Sync!$U1255),2),IFERROR(RIGHT("00"&amp;VALUE(LEFT(Sync!$U1255,FIND(":",Sync!$U1255)-1)),2)&amp;RIGHT("00"&amp;VALUE(MID(Sync!$U1255,FIND(":",Sync!$U1255)+1,2)),2),"0000"))))</f>
        <v/>
      </c>
    </row>
    <row r="1260">
      <c r="A1260">
        <f>IF(Sync!$T1256="","",Sync!$T1256)</f>
        <v/>
      </c>
      <c r="B1260">
        <f>IF($A1260="","",IF(ISNUMBER($A1260),IF(AND($A1260&gt;=10000101,$A1260&lt;=99991231),INT($A1260/10000),""),IFERROR(VALUE(TRIM(LEFT($A1260,FIND("/",$A1260)-1))),"")))</f>
        <v/>
      </c>
      <c r="C1260">
        <f>IF(OR($A1260="",$B1260=""),"",IF(ISNUMBER($A1260),INT(MOD($A1260,10000)/100),IFERROR(VALUE(TRIM(LEFT(MID($A1260,FIND("/",$A1260)+1,20),FIND("/",MID($A1260,FIND("/",$A1260)+1,20))-1))),"")))</f>
        <v/>
      </c>
      <c r="D1260">
        <f>IF(OR($A1260="",$B1260=""),"",IF(ISNUMBER($A1260),MOD($A1260,100),IFERROR(VALUE(TRIM(MID(MID($A1260,FIND("/",$A1260)+1,20),FIND("/",MID($A1260,FIND("/",$A1260)+1,20))+1,20))),"")))</f>
        <v/>
      </c>
      <c r="E1260">
        <f>IF($A1260="","",IF(OR($B1260="",$C1260="",$D1260="",$B1260&lt;1300,$B1260&gt;1500,$C1260&lt;1,$C1260&gt;12,$D1260&lt;1,$D1260&gt;31),"نامعتبر",RIGHT("0000"&amp;$B1260,4)&amp;"/"&amp;RIGHT("00"&amp;$C1260,2)&amp;"/"&amp;RIGHT("00"&amp;$D1260,2)))</f>
        <v/>
      </c>
      <c r="F1260">
        <f>IF(OR($E1260="",$E1260="نامعتبر"),"",LEFT($E1260,4)&amp;"/"&amp;MID($E1260,6,2))</f>
        <v/>
      </c>
      <c r="G1260">
        <f>IF(OR($E1260="",$E1260="نامعتبر",Sync!$X1256=""),"",IF(AND(LEFT(UPPER(TRIM(Sync!$X1256)),2)="SL",IFERROR(VLOOKUP(Sync!$W1256,OpTbl,3,0),"")="فروش"),UPPER(TRIM(Sync!$X1256)),""))</f>
        <v/>
      </c>
      <c r="H1260">
        <f>IF($G1260="","",IF(Sync!$W1256="","",Sync!$W1256))</f>
        <v/>
      </c>
      <c r="I1260">
        <f>IF(OR($G1260="",Sync!$Y1256=""),"",Sync!$Y1256)</f>
        <v/>
      </c>
      <c r="J1260">
        <f>IF(OR($G1260="",Sync!$Z1256=""),"",Sync!$Z1256)</f>
        <v/>
      </c>
      <c r="K1260">
        <f>IF($G1260="",0,IF(Sync!$AA1256="",0,Sync!$AA1256))</f>
        <v/>
      </c>
      <c r="L1260">
        <f>IF($G1260="",0,IF(Sync!$AB1256="",0,Sync!$AB1256))</f>
        <v/>
      </c>
      <c r="M1260">
        <f>IF($G1260="","",IF($H1260="مرجوعی فروش",-1,1)*($K1260-$L1260*IFERROR(VLOOKUP("P01",ParamTbl,3,0),1.5)))</f>
        <v/>
      </c>
      <c r="N1260">
        <f>IF($G1260="",0,IF($H1260="مرجوعی فروش",-1,1)*IF(Sync!$AC1256="",0,Sync!$AC1256))</f>
        <v/>
      </c>
      <c r="O1260">
        <f>IF(OR($G1260="",Sync!$V1256=""),"",Sync!$V1256)</f>
        <v/>
      </c>
      <c r="P1260">
        <f>IF(OR($G1260="",Sync!$AD1256=""),"",Sync!$AD1256)</f>
        <v/>
      </c>
      <c r="Q1260">
        <f>IF($G1260="","",IF(Sync!$U1256="","0000",IF(AND(ISNUMBER(Sync!$U1256),Sync!$U1256&gt;=0,Sync!$U1256&lt;1),RIGHT("00"&amp;HOUR(Sync!$U1256),2)&amp;RIGHT("00"&amp;MINUTE(Sync!$U1256),2),IFERROR(RIGHT("00"&amp;VALUE(LEFT(Sync!$U1256,FIND(":",Sync!$U1256)-1)),2)&amp;RIGHT("00"&amp;VALUE(MID(Sync!$U1256,FIND(":",Sync!$U1256)+1,2)),2),"0000"))))</f>
        <v/>
      </c>
    </row>
    <row r="1261">
      <c r="A1261">
        <f>IF(Sync!$T1257="","",Sync!$T1257)</f>
        <v/>
      </c>
      <c r="B1261">
        <f>IF($A1261="","",IF(ISNUMBER($A1261),IF(AND($A1261&gt;=10000101,$A1261&lt;=99991231),INT($A1261/10000),""),IFERROR(VALUE(TRIM(LEFT($A1261,FIND("/",$A1261)-1))),"")))</f>
        <v/>
      </c>
      <c r="C1261">
        <f>IF(OR($A1261="",$B1261=""),"",IF(ISNUMBER($A1261),INT(MOD($A1261,10000)/100),IFERROR(VALUE(TRIM(LEFT(MID($A1261,FIND("/",$A1261)+1,20),FIND("/",MID($A1261,FIND("/",$A1261)+1,20))-1))),"")))</f>
        <v/>
      </c>
      <c r="D1261">
        <f>IF(OR($A1261="",$B1261=""),"",IF(ISNUMBER($A1261),MOD($A1261,100),IFERROR(VALUE(TRIM(MID(MID($A1261,FIND("/",$A1261)+1,20),FIND("/",MID($A1261,FIND("/",$A1261)+1,20))+1,20))),"")))</f>
        <v/>
      </c>
      <c r="E1261">
        <f>IF($A1261="","",IF(OR($B1261="",$C1261="",$D1261="",$B1261&lt;1300,$B1261&gt;1500,$C1261&lt;1,$C1261&gt;12,$D1261&lt;1,$D1261&gt;31),"نامعتبر",RIGHT("0000"&amp;$B1261,4)&amp;"/"&amp;RIGHT("00"&amp;$C1261,2)&amp;"/"&amp;RIGHT("00"&amp;$D1261,2)))</f>
        <v/>
      </c>
      <c r="F1261">
        <f>IF(OR($E1261="",$E1261="نامعتبر"),"",LEFT($E1261,4)&amp;"/"&amp;MID($E1261,6,2))</f>
        <v/>
      </c>
      <c r="G1261">
        <f>IF(OR($E1261="",$E1261="نامعتبر",Sync!$X1257=""),"",IF(AND(LEFT(UPPER(TRIM(Sync!$X1257)),2)="SL",IFERROR(VLOOKUP(Sync!$W1257,OpTbl,3,0),"")="فروش"),UPPER(TRIM(Sync!$X1257)),""))</f>
        <v/>
      </c>
      <c r="H1261">
        <f>IF($G1261="","",IF(Sync!$W1257="","",Sync!$W1257))</f>
        <v/>
      </c>
      <c r="I1261">
        <f>IF(OR($G1261="",Sync!$Y1257=""),"",Sync!$Y1257)</f>
        <v/>
      </c>
      <c r="J1261">
        <f>IF(OR($G1261="",Sync!$Z1257=""),"",Sync!$Z1257)</f>
        <v/>
      </c>
      <c r="K1261">
        <f>IF($G1261="",0,IF(Sync!$AA1257="",0,Sync!$AA1257))</f>
        <v/>
      </c>
      <c r="L1261">
        <f>IF($G1261="",0,IF(Sync!$AB1257="",0,Sync!$AB1257))</f>
        <v/>
      </c>
      <c r="M1261">
        <f>IF($G1261="","",IF($H1261="مرجوعی فروش",-1,1)*($K1261-$L1261*IFERROR(VLOOKUP("P01",ParamTbl,3,0),1.5)))</f>
        <v/>
      </c>
      <c r="N1261">
        <f>IF($G1261="",0,IF($H1261="مرجوعی فروش",-1,1)*IF(Sync!$AC1257="",0,Sync!$AC1257))</f>
        <v/>
      </c>
      <c r="O1261">
        <f>IF(OR($G1261="",Sync!$V1257=""),"",Sync!$V1257)</f>
        <v/>
      </c>
      <c r="P1261">
        <f>IF(OR($G1261="",Sync!$AD1257=""),"",Sync!$AD1257)</f>
        <v/>
      </c>
      <c r="Q1261">
        <f>IF($G1261="","",IF(Sync!$U1257="","0000",IF(AND(ISNUMBER(Sync!$U1257),Sync!$U1257&gt;=0,Sync!$U1257&lt;1),RIGHT("00"&amp;HOUR(Sync!$U1257),2)&amp;RIGHT("00"&amp;MINUTE(Sync!$U1257),2),IFERROR(RIGHT("00"&amp;VALUE(LEFT(Sync!$U1257,FIND(":",Sync!$U1257)-1)),2)&amp;RIGHT("00"&amp;VALUE(MID(Sync!$U1257,FIND(":",Sync!$U1257)+1,2)),2),"0000"))))</f>
        <v/>
      </c>
    </row>
    <row r="1262">
      <c r="A1262">
        <f>IF(Sync!$T1258="","",Sync!$T1258)</f>
        <v/>
      </c>
      <c r="B1262">
        <f>IF($A1262="","",IF(ISNUMBER($A1262),IF(AND($A1262&gt;=10000101,$A1262&lt;=99991231),INT($A1262/10000),""),IFERROR(VALUE(TRIM(LEFT($A1262,FIND("/",$A1262)-1))),"")))</f>
        <v/>
      </c>
      <c r="C1262">
        <f>IF(OR($A1262="",$B1262=""),"",IF(ISNUMBER($A1262),INT(MOD($A1262,10000)/100),IFERROR(VALUE(TRIM(LEFT(MID($A1262,FIND("/",$A1262)+1,20),FIND("/",MID($A1262,FIND("/",$A1262)+1,20))-1))),"")))</f>
        <v/>
      </c>
      <c r="D1262">
        <f>IF(OR($A1262="",$B1262=""),"",IF(ISNUMBER($A1262),MOD($A1262,100),IFERROR(VALUE(TRIM(MID(MID($A1262,FIND("/",$A1262)+1,20),FIND("/",MID($A1262,FIND("/",$A1262)+1,20))+1,20))),"")))</f>
        <v/>
      </c>
      <c r="E1262">
        <f>IF($A1262="","",IF(OR($B1262="",$C1262="",$D1262="",$B1262&lt;1300,$B1262&gt;1500,$C1262&lt;1,$C1262&gt;12,$D1262&lt;1,$D1262&gt;31),"نامعتبر",RIGHT("0000"&amp;$B1262,4)&amp;"/"&amp;RIGHT("00"&amp;$C1262,2)&amp;"/"&amp;RIGHT("00"&amp;$D1262,2)))</f>
        <v/>
      </c>
      <c r="F1262">
        <f>IF(OR($E1262="",$E1262="نامعتبر"),"",LEFT($E1262,4)&amp;"/"&amp;MID($E1262,6,2))</f>
        <v/>
      </c>
      <c r="G1262">
        <f>IF(OR($E1262="",$E1262="نامعتبر",Sync!$X1258=""),"",IF(AND(LEFT(UPPER(TRIM(Sync!$X1258)),2)="SL",IFERROR(VLOOKUP(Sync!$W1258,OpTbl,3,0),"")="فروش"),UPPER(TRIM(Sync!$X1258)),""))</f>
        <v/>
      </c>
      <c r="H1262">
        <f>IF($G1262="","",IF(Sync!$W1258="","",Sync!$W1258))</f>
        <v/>
      </c>
      <c r="I1262">
        <f>IF(OR($G1262="",Sync!$Y1258=""),"",Sync!$Y1258)</f>
        <v/>
      </c>
      <c r="J1262">
        <f>IF(OR($G1262="",Sync!$Z1258=""),"",Sync!$Z1258)</f>
        <v/>
      </c>
      <c r="K1262">
        <f>IF($G1262="",0,IF(Sync!$AA1258="",0,Sync!$AA1258))</f>
        <v/>
      </c>
      <c r="L1262">
        <f>IF($G1262="",0,IF(Sync!$AB1258="",0,Sync!$AB1258))</f>
        <v/>
      </c>
      <c r="M1262">
        <f>IF($G1262="","",IF($H1262="مرجوعی فروش",-1,1)*($K1262-$L1262*IFERROR(VLOOKUP("P01",ParamTbl,3,0),1.5)))</f>
        <v/>
      </c>
      <c r="N1262">
        <f>IF($G1262="",0,IF($H1262="مرجوعی فروش",-1,1)*IF(Sync!$AC1258="",0,Sync!$AC1258))</f>
        <v/>
      </c>
      <c r="O1262">
        <f>IF(OR($G1262="",Sync!$V1258=""),"",Sync!$V1258)</f>
        <v/>
      </c>
      <c r="P1262">
        <f>IF(OR($G1262="",Sync!$AD1258=""),"",Sync!$AD1258)</f>
        <v/>
      </c>
      <c r="Q1262">
        <f>IF($G1262="","",IF(Sync!$U1258="","0000",IF(AND(ISNUMBER(Sync!$U1258),Sync!$U1258&gt;=0,Sync!$U1258&lt;1),RIGHT("00"&amp;HOUR(Sync!$U1258),2)&amp;RIGHT("00"&amp;MINUTE(Sync!$U1258),2),IFERROR(RIGHT("00"&amp;VALUE(LEFT(Sync!$U1258,FIND(":",Sync!$U1258)-1)),2)&amp;RIGHT("00"&amp;VALUE(MID(Sync!$U1258,FIND(":",Sync!$U1258)+1,2)),2),"0000"))))</f>
        <v/>
      </c>
    </row>
    <row r="1263">
      <c r="A1263">
        <f>IF(Sync!$T1259="","",Sync!$T1259)</f>
        <v/>
      </c>
      <c r="B1263">
        <f>IF($A1263="","",IF(ISNUMBER($A1263),IF(AND($A1263&gt;=10000101,$A1263&lt;=99991231),INT($A1263/10000),""),IFERROR(VALUE(TRIM(LEFT($A1263,FIND("/",$A1263)-1))),"")))</f>
        <v/>
      </c>
      <c r="C1263">
        <f>IF(OR($A1263="",$B1263=""),"",IF(ISNUMBER($A1263),INT(MOD($A1263,10000)/100),IFERROR(VALUE(TRIM(LEFT(MID($A1263,FIND("/",$A1263)+1,20),FIND("/",MID($A1263,FIND("/",$A1263)+1,20))-1))),"")))</f>
        <v/>
      </c>
      <c r="D1263">
        <f>IF(OR($A1263="",$B1263=""),"",IF(ISNUMBER($A1263),MOD($A1263,100),IFERROR(VALUE(TRIM(MID(MID($A1263,FIND("/",$A1263)+1,20),FIND("/",MID($A1263,FIND("/",$A1263)+1,20))+1,20))),"")))</f>
        <v/>
      </c>
      <c r="E1263">
        <f>IF($A1263="","",IF(OR($B1263="",$C1263="",$D1263="",$B1263&lt;1300,$B1263&gt;1500,$C1263&lt;1,$C1263&gt;12,$D1263&lt;1,$D1263&gt;31),"نامعتبر",RIGHT("0000"&amp;$B1263,4)&amp;"/"&amp;RIGHT("00"&amp;$C1263,2)&amp;"/"&amp;RIGHT("00"&amp;$D1263,2)))</f>
        <v/>
      </c>
      <c r="F1263">
        <f>IF(OR($E1263="",$E1263="نامعتبر"),"",LEFT($E1263,4)&amp;"/"&amp;MID($E1263,6,2))</f>
        <v/>
      </c>
      <c r="G1263">
        <f>IF(OR($E1263="",$E1263="نامعتبر",Sync!$X1259=""),"",IF(AND(LEFT(UPPER(TRIM(Sync!$X1259)),2)="SL",IFERROR(VLOOKUP(Sync!$W1259,OpTbl,3,0),"")="فروش"),UPPER(TRIM(Sync!$X1259)),""))</f>
        <v/>
      </c>
      <c r="H1263">
        <f>IF($G1263="","",IF(Sync!$W1259="","",Sync!$W1259))</f>
        <v/>
      </c>
      <c r="I1263">
        <f>IF(OR($G1263="",Sync!$Y1259=""),"",Sync!$Y1259)</f>
        <v/>
      </c>
      <c r="J1263">
        <f>IF(OR($G1263="",Sync!$Z1259=""),"",Sync!$Z1259)</f>
        <v/>
      </c>
      <c r="K1263">
        <f>IF($G1263="",0,IF(Sync!$AA1259="",0,Sync!$AA1259))</f>
        <v/>
      </c>
      <c r="L1263">
        <f>IF($G1263="",0,IF(Sync!$AB1259="",0,Sync!$AB1259))</f>
        <v/>
      </c>
      <c r="M1263">
        <f>IF($G1263="","",IF($H1263="مرجوعی فروش",-1,1)*($K1263-$L1263*IFERROR(VLOOKUP("P01",ParamTbl,3,0),1.5)))</f>
        <v/>
      </c>
      <c r="N1263">
        <f>IF($G1263="",0,IF($H1263="مرجوعی فروش",-1,1)*IF(Sync!$AC1259="",0,Sync!$AC1259))</f>
        <v/>
      </c>
      <c r="O1263">
        <f>IF(OR($G1263="",Sync!$V1259=""),"",Sync!$V1259)</f>
        <v/>
      </c>
      <c r="P1263">
        <f>IF(OR($G1263="",Sync!$AD1259=""),"",Sync!$AD1259)</f>
        <v/>
      </c>
      <c r="Q1263">
        <f>IF($G1263="","",IF(Sync!$U1259="","0000",IF(AND(ISNUMBER(Sync!$U1259),Sync!$U1259&gt;=0,Sync!$U1259&lt;1),RIGHT("00"&amp;HOUR(Sync!$U1259),2)&amp;RIGHT("00"&amp;MINUTE(Sync!$U1259),2),IFERROR(RIGHT("00"&amp;VALUE(LEFT(Sync!$U1259,FIND(":",Sync!$U1259)-1)),2)&amp;RIGHT("00"&amp;VALUE(MID(Sync!$U1259,FIND(":",Sync!$U1259)+1,2)),2),"0000"))))</f>
        <v/>
      </c>
    </row>
    <row r="1264">
      <c r="A1264">
        <f>IF(Sync!$T1260="","",Sync!$T1260)</f>
        <v/>
      </c>
      <c r="B1264">
        <f>IF($A1264="","",IF(ISNUMBER($A1264),IF(AND($A1264&gt;=10000101,$A1264&lt;=99991231),INT($A1264/10000),""),IFERROR(VALUE(TRIM(LEFT($A1264,FIND("/",$A1264)-1))),"")))</f>
        <v/>
      </c>
      <c r="C1264">
        <f>IF(OR($A1264="",$B1264=""),"",IF(ISNUMBER($A1264),INT(MOD($A1264,10000)/100),IFERROR(VALUE(TRIM(LEFT(MID($A1264,FIND("/",$A1264)+1,20),FIND("/",MID($A1264,FIND("/",$A1264)+1,20))-1))),"")))</f>
        <v/>
      </c>
      <c r="D1264">
        <f>IF(OR($A1264="",$B1264=""),"",IF(ISNUMBER($A1264),MOD($A1264,100),IFERROR(VALUE(TRIM(MID(MID($A1264,FIND("/",$A1264)+1,20),FIND("/",MID($A1264,FIND("/",$A1264)+1,20))+1,20))),"")))</f>
        <v/>
      </c>
      <c r="E1264">
        <f>IF($A1264="","",IF(OR($B1264="",$C1264="",$D1264="",$B1264&lt;1300,$B1264&gt;1500,$C1264&lt;1,$C1264&gt;12,$D1264&lt;1,$D1264&gt;31),"نامعتبر",RIGHT("0000"&amp;$B1264,4)&amp;"/"&amp;RIGHT("00"&amp;$C1264,2)&amp;"/"&amp;RIGHT("00"&amp;$D1264,2)))</f>
        <v/>
      </c>
      <c r="F1264">
        <f>IF(OR($E1264="",$E1264="نامعتبر"),"",LEFT($E1264,4)&amp;"/"&amp;MID($E1264,6,2))</f>
        <v/>
      </c>
      <c r="G1264">
        <f>IF(OR($E1264="",$E1264="نامعتبر",Sync!$X1260=""),"",IF(AND(LEFT(UPPER(TRIM(Sync!$X1260)),2)="SL",IFERROR(VLOOKUP(Sync!$W1260,OpTbl,3,0),"")="فروش"),UPPER(TRIM(Sync!$X1260)),""))</f>
        <v/>
      </c>
      <c r="H1264">
        <f>IF($G1264="","",IF(Sync!$W1260="","",Sync!$W1260))</f>
        <v/>
      </c>
      <c r="I1264">
        <f>IF(OR($G1264="",Sync!$Y1260=""),"",Sync!$Y1260)</f>
        <v/>
      </c>
      <c r="J1264">
        <f>IF(OR($G1264="",Sync!$Z1260=""),"",Sync!$Z1260)</f>
        <v/>
      </c>
      <c r="K1264">
        <f>IF($G1264="",0,IF(Sync!$AA1260="",0,Sync!$AA1260))</f>
        <v/>
      </c>
      <c r="L1264">
        <f>IF($G1264="",0,IF(Sync!$AB1260="",0,Sync!$AB1260))</f>
        <v/>
      </c>
      <c r="M1264">
        <f>IF($G1264="","",IF($H1264="مرجوعی فروش",-1,1)*($K1264-$L1264*IFERROR(VLOOKUP("P01",ParamTbl,3,0),1.5)))</f>
        <v/>
      </c>
      <c r="N1264">
        <f>IF($G1264="",0,IF($H1264="مرجوعی فروش",-1,1)*IF(Sync!$AC1260="",0,Sync!$AC1260))</f>
        <v/>
      </c>
      <c r="O1264">
        <f>IF(OR($G1264="",Sync!$V1260=""),"",Sync!$V1260)</f>
        <v/>
      </c>
      <c r="P1264">
        <f>IF(OR($G1264="",Sync!$AD1260=""),"",Sync!$AD1260)</f>
        <v/>
      </c>
      <c r="Q1264">
        <f>IF($G1264="","",IF(Sync!$U1260="","0000",IF(AND(ISNUMBER(Sync!$U1260),Sync!$U1260&gt;=0,Sync!$U1260&lt;1),RIGHT("00"&amp;HOUR(Sync!$U1260),2)&amp;RIGHT("00"&amp;MINUTE(Sync!$U1260),2),IFERROR(RIGHT("00"&amp;VALUE(LEFT(Sync!$U1260,FIND(":",Sync!$U1260)-1)),2)&amp;RIGHT("00"&amp;VALUE(MID(Sync!$U1260,FIND(":",Sync!$U1260)+1,2)),2),"0000"))))</f>
        <v/>
      </c>
    </row>
    <row r="1265">
      <c r="A1265">
        <f>IF(Sync!$T1261="","",Sync!$T1261)</f>
        <v/>
      </c>
      <c r="B1265">
        <f>IF($A1265="","",IF(ISNUMBER($A1265),IF(AND($A1265&gt;=10000101,$A1265&lt;=99991231),INT($A1265/10000),""),IFERROR(VALUE(TRIM(LEFT($A1265,FIND("/",$A1265)-1))),"")))</f>
        <v/>
      </c>
      <c r="C1265">
        <f>IF(OR($A1265="",$B1265=""),"",IF(ISNUMBER($A1265),INT(MOD($A1265,10000)/100),IFERROR(VALUE(TRIM(LEFT(MID($A1265,FIND("/",$A1265)+1,20),FIND("/",MID($A1265,FIND("/",$A1265)+1,20))-1))),"")))</f>
        <v/>
      </c>
      <c r="D1265">
        <f>IF(OR($A1265="",$B1265=""),"",IF(ISNUMBER($A1265),MOD($A1265,100),IFERROR(VALUE(TRIM(MID(MID($A1265,FIND("/",$A1265)+1,20),FIND("/",MID($A1265,FIND("/",$A1265)+1,20))+1,20))),"")))</f>
        <v/>
      </c>
      <c r="E1265">
        <f>IF($A1265="","",IF(OR($B1265="",$C1265="",$D1265="",$B1265&lt;1300,$B1265&gt;1500,$C1265&lt;1,$C1265&gt;12,$D1265&lt;1,$D1265&gt;31),"نامعتبر",RIGHT("0000"&amp;$B1265,4)&amp;"/"&amp;RIGHT("00"&amp;$C1265,2)&amp;"/"&amp;RIGHT("00"&amp;$D1265,2)))</f>
        <v/>
      </c>
      <c r="F1265">
        <f>IF(OR($E1265="",$E1265="نامعتبر"),"",LEFT($E1265,4)&amp;"/"&amp;MID($E1265,6,2))</f>
        <v/>
      </c>
      <c r="G1265">
        <f>IF(OR($E1265="",$E1265="نامعتبر",Sync!$X1261=""),"",IF(AND(LEFT(UPPER(TRIM(Sync!$X1261)),2)="SL",IFERROR(VLOOKUP(Sync!$W1261,OpTbl,3,0),"")="فروش"),UPPER(TRIM(Sync!$X1261)),""))</f>
        <v/>
      </c>
      <c r="H1265">
        <f>IF($G1265="","",IF(Sync!$W1261="","",Sync!$W1261))</f>
        <v/>
      </c>
      <c r="I1265">
        <f>IF(OR($G1265="",Sync!$Y1261=""),"",Sync!$Y1261)</f>
        <v/>
      </c>
      <c r="J1265">
        <f>IF(OR($G1265="",Sync!$Z1261=""),"",Sync!$Z1261)</f>
        <v/>
      </c>
      <c r="K1265">
        <f>IF($G1265="",0,IF(Sync!$AA1261="",0,Sync!$AA1261))</f>
        <v/>
      </c>
      <c r="L1265">
        <f>IF($G1265="",0,IF(Sync!$AB1261="",0,Sync!$AB1261))</f>
        <v/>
      </c>
      <c r="M1265">
        <f>IF($G1265="","",IF($H1265="مرجوعی فروش",-1,1)*($K1265-$L1265*IFERROR(VLOOKUP("P01",ParamTbl,3,0),1.5)))</f>
        <v/>
      </c>
      <c r="N1265">
        <f>IF($G1265="",0,IF($H1265="مرجوعی فروش",-1,1)*IF(Sync!$AC1261="",0,Sync!$AC1261))</f>
        <v/>
      </c>
      <c r="O1265">
        <f>IF(OR($G1265="",Sync!$V1261=""),"",Sync!$V1261)</f>
        <v/>
      </c>
      <c r="P1265">
        <f>IF(OR($G1265="",Sync!$AD1261=""),"",Sync!$AD1261)</f>
        <v/>
      </c>
      <c r="Q1265">
        <f>IF($G1265="","",IF(Sync!$U1261="","0000",IF(AND(ISNUMBER(Sync!$U1261),Sync!$U1261&gt;=0,Sync!$U1261&lt;1),RIGHT("00"&amp;HOUR(Sync!$U1261),2)&amp;RIGHT("00"&amp;MINUTE(Sync!$U1261),2),IFERROR(RIGHT("00"&amp;VALUE(LEFT(Sync!$U1261,FIND(":",Sync!$U1261)-1)),2)&amp;RIGHT("00"&amp;VALUE(MID(Sync!$U1261,FIND(":",Sync!$U1261)+1,2)),2),"0000"))))</f>
        <v/>
      </c>
    </row>
    <row r="1266">
      <c r="A1266">
        <f>IF(Sync!$T1262="","",Sync!$T1262)</f>
        <v/>
      </c>
      <c r="B1266">
        <f>IF($A1266="","",IF(ISNUMBER($A1266),IF(AND($A1266&gt;=10000101,$A1266&lt;=99991231),INT($A1266/10000),""),IFERROR(VALUE(TRIM(LEFT($A1266,FIND("/",$A1266)-1))),"")))</f>
        <v/>
      </c>
      <c r="C1266">
        <f>IF(OR($A1266="",$B1266=""),"",IF(ISNUMBER($A1266),INT(MOD($A1266,10000)/100),IFERROR(VALUE(TRIM(LEFT(MID($A1266,FIND("/",$A1266)+1,20),FIND("/",MID($A1266,FIND("/",$A1266)+1,20))-1))),"")))</f>
        <v/>
      </c>
      <c r="D1266">
        <f>IF(OR($A1266="",$B1266=""),"",IF(ISNUMBER($A1266),MOD($A1266,100),IFERROR(VALUE(TRIM(MID(MID($A1266,FIND("/",$A1266)+1,20),FIND("/",MID($A1266,FIND("/",$A1266)+1,20))+1,20))),"")))</f>
        <v/>
      </c>
      <c r="E1266">
        <f>IF($A1266="","",IF(OR($B1266="",$C1266="",$D1266="",$B1266&lt;1300,$B1266&gt;1500,$C1266&lt;1,$C1266&gt;12,$D1266&lt;1,$D1266&gt;31),"نامعتبر",RIGHT("0000"&amp;$B1266,4)&amp;"/"&amp;RIGHT("00"&amp;$C1266,2)&amp;"/"&amp;RIGHT("00"&amp;$D1266,2)))</f>
        <v/>
      </c>
      <c r="F1266">
        <f>IF(OR($E1266="",$E1266="نامعتبر"),"",LEFT($E1266,4)&amp;"/"&amp;MID($E1266,6,2))</f>
        <v/>
      </c>
      <c r="G1266">
        <f>IF(OR($E1266="",$E1266="نامعتبر",Sync!$X1262=""),"",IF(AND(LEFT(UPPER(TRIM(Sync!$X1262)),2)="SL",IFERROR(VLOOKUP(Sync!$W1262,OpTbl,3,0),"")="فروش"),UPPER(TRIM(Sync!$X1262)),""))</f>
        <v/>
      </c>
      <c r="H1266">
        <f>IF($G1266="","",IF(Sync!$W1262="","",Sync!$W1262))</f>
        <v/>
      </c>
      <c r="I1266">
        <f>IF(OR($G1266="",Sync!$Y1262=""),"",Sync!$Y1262)</f>
        <v/>
      </c>
      <c r="J1266">
        <f>IF(OR($G1266="",Sync!$Z1262=""),"",Sync!$Z1262)</f>
        <v/>
      </c>
      <c r="K1266">
        <f>IF($G1266="",0,IF(Sync!$AA1262="",0,Sync!$AA1262))</f>
        <v/>
      </c>
      <c r="L1266">
        <f>IF($G1266="",0,IF(Sync!$AB1262="",0,Sync!$AB1262))</f>
        <v/>
      </c>
      <c r="M1266">
        <f>IF($G1266="","",IF($H1266="مرجوعی فروش",-1,1)*($K1266-$L1266*IFERROR(VLOOKUP("P01",ParamTbl,3,0),1.5)))</f>
        <v/>
      </c>
      <c r="N1266">
        <f>IF($G1266="",0,IF($H1266="مرجوعی فروش",-1,1)*IF(Sync!$AC1262="",0,Sync!$AC1262))</f>
        <v/>
      </c>
      <c r="O1266">
        <f>IF(OR($G1266="",Sync!$V1262=""),"",Sync!$V1262)</f>
        <v/>
      </c>
      <c r="P1266">
        <f>IF(OR($G1266="",Sync!$AD1262=""),"",Sync!$AD1262)</f>
        <v/>
      </c>
      <c r="Q1266">
        <f>IF($G1266="","",IF(Sync!$U1262="","0000",IF(AND(ISNUMBER(Sync!$U1262),Sync!$U1262&gt;=0,Sync!$U1262&lt;1),RIGHT("00"&amp;HOUR(Sync!$U1262),2)&amp;RIGHT("00"&amp;MINUTE(Sync!$U1262),2),IFERROR(RIGHT("00"&amp;VALUE(LEFT(Sync!$U1262,FIND(":",Sync!$U1262)-1)),2)&amp;RIGHT("00"&amp;VALUE(MID(Sync!$U1262,FIND(":",Sync!$U1262)+1,2)),2),"0000"))))</f>
        <v/>
      </c>
    </row>
    <row r="1267">
      <c r="A1267">
        <f>IF(Sync!$T1263="","",Sync!$T1263)</f>
        <v/>
      </c>
      <c r="B1267">
        <f>IF($A1267="","",IF(ISNUMBER($A1267),IF(AND($A1267&gt;=10000101,$A1267&lt;=99991231),INT($A1267/10000),""),IFERROR(VALUE(TRIM(LEFT($A1267,FIND("/",$A1267)-1))),"")))</f>
        <v/>
      </c>
      <c r="C1267">
        <f>IF(OR($A1267="",$B1267=""),"",IF(ISNUMBER($A1267),INT(MOD($A1267,10000)/100),IFERROR(VALUE(TRIM(LEFT(MID($A1267,FIND("/",$A1267)+1,20),FIND("/",MID($A1267,FIND("/",$A1267)+1,20))-1))),"")))</f>
        <v/>
      </c>
      <c r="D1267">
        <f>IF(OR($A1267="",$B1267=""),"",IF(ISNUMBER($A1267),MOD($A1267,100),IFERROR(VALUE(TRIM(MID(MID($A1267,FIND("/",$A1267)+1,20),FIND("/",MID($A1267,FIND("/",$A1267)+1,20))+1,20))),"")))</f>
        <v/>
      </c>
      <c r="E1267">
        <f>IF($A1267="","",IF(OR($B1267="",$C1267="",$D1267="",$B1267&lt;1300,$B1267&gt;1500,$C1267&lt;1,$C1267&gt;12,$D1267&lt;1,$D1267&gt;31),"نامعتبر",RIGHT("0000"&amp;$B1267,4)&amp;"/"&amp;RIGHT("00"&amp;$C1267,2)&amp;"/"&amp;RIGHT("00"&amp;$D1267,2)))</f>
        <v/>
      </c>
      <c r="F1267">
        <f>IF(OR($E1267="",$E1267="نامعتبر"),"",LEFT($E1267,4)&amp;"/"&amp;MID($E1267,6,2))</f>
        <v/>
      </c>
      <c r="G1267">
        <f>IF(OR($E1267="",$E1267="نامعتبر",Sync!$X1263=""),"",IF(AND(LEFT(UPPER(TRIM(Sync!$X1263)),2)="SL",IFERROR(VLOOKUP(Sync!$W1263,OpTbl,3,0),"")="فروش"),UPPER(TRIM(Sync!$X1263)),""))</f>
        <v/>
      </c>
      <c r="H1267">
        <f>IF($G1267="","",IF(Sync!$W1263="","",Sync!$W1263))</f>
        <v/>
      </c>
      <c r="I1267">
        <f>IF(OR($G1267="",Sync!$Y1263=""),"",Sync!$Y1263)</f>
        <v/>
      </c>
      <c r="J1267">
        <f>IF(OR($G1267="",Sync!$Z1263=""),"",Sync!$Z1263)</f>
        <v/>
      </c>
      <c r="K1267">
        <f>IF($G1267="",0,IF(Sync!$AA1263="",0,Sync!$AA1263))</f>
        <v/>
      </c>
      <c r="L1267">
        <f>IF($G1267="",0,IF(Sync!$AB1263="",0,Sync!$AB1263))</f>
        <v/>
      </c>
      <c r="M1267">
        <f>IF($G1267="","",IF($H1267="مرجوعی فروش",-1,1)*($K1267-$L1267*IFERROR(VLOOKUP("P01",ParamTbl,3,0),1.5)))</f>
        <v/>
      </c>
      <c r="N1267">
        <f>IF($G1267="",0,IF($H1267="مرجوعی فروش",-1,1)*IF(Sync!$AC1263="",0,Sync!$AC1263))</f>
        <v/>
      </c>
      <c r="O1267">
        <f>IF(OR($G1267="",Sync!$V1263=""),"",Sync!$V1263)</f>
        <v/>
      </c>
      <c r="P1267">
        <f>IF(OR($G1267="",Sync!$AD1263=""),"",Sync!$AD1263)</f>
        <v/>
      </c>
      <c r="Q1267">
        <f>IF($G1267="","",IF(Sync!$U1263="","0000",IF(AND(ISNUMBER(Sync!$U1263),Sync!$U1263&gt;=0,Sync!$U1263&lt;1),RIGHT("00"&amp;HOUR(Sync!$U1263),2)&amp;RIGHT("00"&amp;MINUTE(Sync!$U1263),2),IFERROR(RIGHT("00"&amp;VALUE(LEFT(Sync!$U1263,FIND(":",Sync!$U1263)-1)),2)&amp;RIGHT("00"&amp;VALUE(MID(Sync!$U1263,FIND(":",Sync!$U1263)+1,2)),2),"0000"))))</f>
        <v/>
      </c>
    </row>
    <row r="1268">
      <c r="A1268">
        <f>IF(Sync!$T1264="","",Sync!$T1264)</f>
        <v/>
      </c>
      <c r="B1268">
        <f>IF($A1268="","",IF(ISNUMBER($A1268),IF(AND($A1268&gt;=10000101,$A1268&lt;=99991231),INT($A1268/10000),""),IFERROR(VALUE(TRIM(LEFT($A1268,FIND("/",$A1268)-1))),"")))</f>
        <v/>
      </c>
      <c r="C1268">
        <f>IF(OR($A1268="",$B1268=""),"",IF(ISNUMBER($A1268),INT(MOD($A1268,10000)/100),IFERROR(VALUE(TRIM(LEFT(MID($A1268,FIND("/",$A1268)+1,20),FIND("/",MID($A1268,FIND("/",$A1268)+1,20))-1))),"")))</f>
        <v/>
      </c>
      <c r="D1268">
        <f>IF(OR($A1268="",$B1268=""),"",IF(ISNUMBER($A1268),MOD($A1268,100),IFERROR(VALUE(TRIM(MID(MID($A1268,FIND("/",$A1268)+1,20),FIND("/",MID($A1268,FIND("/",$A1268)+1,20))+1,20))),"")))</f>
        <v/>
      </c>
      <c r="E1268">
        <f>IF($A1268="","",IF(OR($B1268="",$C1268="",$D1268="",$B1268&lt;1300,$B1268&gt;1500,$C1268&lt;1,$C1268&gt;12,$D1268&lt;1,$D1268&gt;31),"نامعتبر",RIGHT("0000"&amp;$B1268,4)&amp;"/"&amp;RIGHT("00"&amp;$C1268,2)&amp;"/"&amp;RIGHT("00"&amp;$D1268,2)))</f>
        <v/>
      </c>
      <c r="F1268">
        <f>IF(OR($E1268="",$E1268="نامعتبر"),"",LEFT($E1268,4)&amp;"/"&amp;MID($E1268,6,2))</f>
        <v/>
      </c>
      <c r="G1268">
        <f>IF(OR($E1268="",$E1268="نامعتبر",Sync!$X1264=""),"",IF(AND(LEFT(UPPER(TRIM(Sync!$X1264)),2)="SL",IFERROR(VLOOKUP(Sync!$W1264,OpTbl,3,0),"")="فروش"),UPPER(TRIM(Sync!$X1264)),""))</f>
        <v/>
      </c>
      <c r="H1268">
        <f>IF($G1268="","",IF(Sync!$W1264="","",Sync!$W1264))</f>
        <v/>
      </c>
      <c r="I1268">
        <f>IF(OR($G1268="",Sync!$Y1264=""),"",Sync!$Y1264)</f>
        <v/>
      </c>
      <c r="J1268">
        <f>IF(OR($G1268="",Sync!$Z1264=""),"",Sync!$Z1264)</f>
        <v/>
      </c>
      <c r="K1268">
        <f>IF($G1268="",0,IF(Sync!$AA1264="",0,Sync!$AA1264))</f>
        <v/>
      </c>
      <c r="L1268">
        <f>IF($G1268="",0,IF(Sync!$AB1264="",0,Sync!$AB1264))</f>
        <v/>
      </c>
      <c r="M1268">
        <f>IF($G1268="","",IF($H1268="مرجوعی فروش",-1,1)*($K1268-$L1268*IFERROR(VLOOKUP("P01",ParamTbl,3,0),1.5)))</f>
        <v/>
      </c>
      <c r="N1268">
        <f>IF($G1268="",0,IF($H1268="مرجوعی فروش",-1,1)*IF(Sync!$AC1264="",0,Sync!$AC1264))</f>
        <v/>
      </c>
      <c r="O1268">
        <f>IF(OR($G1268="",Sync!$V1264=""),"",Sync!$V1264)</f>
        <v/>
      </c>
      <c r="P1268">
        <f>IF(OR($G1268="",Sync!$AD1264=""),"",Sync!$AD1264)</f>
        <v/>
      </c>
      <c r="Q1268">
        <f>IF($G1268="","",IF(Sync!$U1264="","0000",IF(AND(ISNUMBER(Sync!$U1264),Sync!$U1264&gt;=0,Sync!$U1264&lt;1),RIGHT("00"&amp;HOUR(Sync!$U1264),2)&amp;RIGHT("00"&amp;MINUTE(Sync!$U1264),2),IFERROR(RIGHT("00"&amp;VALUE(LEFT(Sync!$U1264,FIND(":",Sync!$U1264)-1)),2)&amp;RIGHT("00"&amp;VALUE(MID(Sync!$U1264,FIND(":",Sync!$U1264)+1,2)),2),"0000"))))</f>
        <v/>
      </c>
    </row>
    <row r="1269">
      <c r="A1269">
        <f>IF(Sync!$T1265="","",Sync!$T1265)</f>
        <v/>
      </c>
      <c r="B1269">
        <f>IF($A1269="","",IF(ISNUMBER($A1269),IF(AND($A1269&gt;=10000101,$A1269&lt;=99991231),INT($A1269/10000),""),IFERROR(VALUE(TRIM(LEFT($A1269,FIND("/",$A1269)-1))),"")))</f>
        <v/>
      </c>
      <c r="C1269">
        <f>IF(OR($A1269="",$B1269=""),"",IF(ISNUMBER($A1269),INT(MOD($A1269,10000)/100),IFERROR(VALUE(TRIM(LEFT(MID($A1269,FIND("/",$A1269)+1,20),FIND("/",MID($A1269,FIND("/",$A1269)+1,20))-1))),"")))</f>
        <v/>
      </c>
      <c r="D1269">
        <f>IF(OR($A1269="",$B1269=""),"",IF(ISNUMBER($A1269),MOD($A1269,100),IFERROR(VALUE(TRIM(MID(MID($A1269,FIND("/",$A1269)+1,20),FIND("/",MID($A1269,FIND("/",$A1269)+1,20))+1,20))),"")))</f>
        <v/>
      </c>
      <c r="E1269">
        <f>IF($A1269="","",IF(OR($B1269="",$C1269="",$D1269="",$B1269&lt;1300,$B1269&gt;1500,$C1269&lt;1,$C1269&gt;12,$D1269&lt;1,$D1269&gt;31),"نامعتبر",RIGHT("0000"&amp;$B1269,4)&amp;"/"&amp;RIGHT("00"&amp;$C1269,2)&amp;"/"&amp;RIGHT("00"&amp;$D1269,2)))</f>
        <v/>
      </c>
      <c r="F1269">
        <f>IF(OR($E1269="",$E1269="نامعتبر"),"",LEFT($E1269,4)&amp;"/"&amp;MID($E1269,6,2))</f>
        <v/>
      </c>
      <c r="G1269">
        <f>IF(OR($E1269="",$E1269="نامعتبر",Sync!$X1265=""),"",IF(AND(LEFT(UPPER(TRIM(Sync!$X1265)),2)="SL",IFERROR(VLOOKUP(Sync!$W1265,OpTbl,3,0),"")="فروش"),UPPER(TRIM(Sync!$X1265)),""))</f>
        <v/>
      </c>
      <c r="H1269">
        <f>IF($G1269="","",IF(Sync!$W1265="","",Sync!$W1265))</f>
        <v/>
      </c>
      <c r="I1269">
        <f>IF(OR($G1269="",Sync!$Y1265=""),"",Sync!$Y1265)</f>
        <v/>
      </c>
      <c r="J1269">
        <f>IF(OR($G1269="",Sync!$Z1265=""),"",Sync!$Z1265)</f>
        <v/>
      </c>
      <c r="K1269">
        <f>IF($G1269="",0,IF(Sync!$AA1265="",0,Sync!$AA1265))</f>
        <v/>
      </c>
      <c r="L1269">
        <f>IF($G1269="",0,IF(Sync!$AB1265="",0,Sync!$AB1265))</f>
        <v/>
      </c>
      <c r="M1269">
        <f>IF($G1269="","",IF($H1269="مرجوعی فروش",-1,1)*($K1269-$L1269*IFERROR(VLOOKUP("P01",ParamTbl,3,0),1.5)))</f>
        <v/>
      </c>
      <c r="N1269">
        <f>IF($G1269="",0,IF($H1269="مرجوعی فروش",-1,1)*IF(Sync!$AC1265="",0,Sync!$AC1265))</f>
        <v/>
      </c>
      <c r="O1269">
        <f>IF(OR($G1269="",Sync!$V1265=""),"",Sync!$V1265)</f>
        <v/>
      </c>
      <c r="P1269">
        <f>IF(OR($G1269="",Sync!$AD1265=""),"",Sync!$AD1265)</f>
        <v/>
      </c>
      <c r="Q1269">
        <f>IF($G1269="","",IF(Sync!$U1265="","0000",IF(AND(ISNUMBER(Sync!$U1265),Sync!$U1265&gt;=0,Sync!$U1265&lt;1),RIGHT("00"&amp;HOUR(Sync!$U1265),2)&amp;RIGHT("00"&amp;MINUTE(Sync!$U1265),2),IFERROR(RIGHT("00"&amp;VALUE(LEFT(Sync!$U1265,FIND(":",Sync!$U1265)-1)),2)&amp;RIGHT("00"&amp;VALUE(MID(Sync!$U1265,FIND(":",Sync!$U1265)+1,2)),2),"0000"))))</f>
        <v/>
      </c>
    </row>
    <row r="1270">
      <c r="A1270">
        <f>IF(Sync!$T1266="","",Sync!$T1266)</f>
        <v/>
      </c>
      <c r="B1270">
        <f>IF($A1270="","",IF(ISNUMBER($A1270),IF(AND($A1270&gt;=10000101,$A1270&lt;=99991231),INT($A1270/10000),""),IFERROR(VALUE(TRIM(LEFT($A1270,FIND("/",$A1270)-1))),"")))</f>
        <v/>
      </c>
      <c r="C1270">
        <f>IF(OR($A1270="",$B1270=""),"",IF(ISNUMBER($A1270),INT(MOD($A1270,10000)/100),IFERROR(VALUE(TRIM(LEFT(MID($A1270,FIND("/",$A1270)+1,20),FIND("/",MID($A1270,FIND("/",$A1270)+1,20))-1))),"")))</f>
        <v/>
      </c>
      <c r="D1270">
        <f>IF(OR($A1270="",$B1270=""),"",IF(ISNUMBER($A1270),MOD($A1270,100),IFERROR(VALUE(TRIM(MID(MID($A1270,FIND("/",$A1270)+1,20),FIND("/",MID($A1270,FIND("/",$A1270)+1,20))+1,20))),"")))</f>
        <v/>
      </c>
      <c r="E1270">
        <f>IF($A1270="","",IF(OR($B1270="",$C1270="",$D1270="",$B1270&lt;1300,$B1270&gt;1500,$C1270&lt;1,$C1270&gt;12,$D1270&lt;1,$D1270&gt;31),"نامعتبر",RIGHT("0000"&amp;$B1270,4)&amp;"/"&amp;RIGHT("00"&amp;$C1270,2)&amp;"/"&amp;RIGHT("00"&amp;$D1270,2)))</f>
        <v/>
      </c>
      <c r="F1270">
        <f>IF(OR($E1270="",$E1270="نامعتبر"),"",LEFT($E1270,4)&amp;"/"&amp;MID($E1270,6,2))</f>
        <v/>
      </c>
      <c r="G1270">
        <f>IF(OR($E1270="",$E1270="نامعتبر",Sync!$X1266=""),"",IF(AND(LEFT(UPPER(TRIM(Sync!$X1266)),2)="SL",IFERROR(VLOOKUP(Sync!$W1266,OpTbl,3,0),"")="فروش"),UPPER(TRIM(Sync!$X1266)),""))</f>
        <v/>
      </c>
      <c r="H1270">
        <f>IF($G1270="","",IF(Sync!$W1266="","",Sync!$W1266))</f>
        <v/>
      </c>
      <c r="I1270">
        <f>IF(OR($G1270="",Sync!$Y1266=""),"",Sync!$Y1266)</f>
        <v/>
      </c>
      <c r="J1270">
        <f>IF(OR($G1270="",Sync!$Z1266=""),"",Sync!$Z1266)</f>
        <v/>
      </c>
      <c r="K1270">
        <f>IF($G1270="",0,IF(Sync!$AA1266="",0,Sync!$AA1266))</f>
        <v/>
      </c>
      <c r="L1270">
        <f>IF($G1270="",0,IF(Sync!$AB1266="",0,Sync!$AB1266))</f>
        <v/>
      </c>
      <c r="M1270">
        <f>IF($G1270="","",IF($H1270="مرجوعی فروش",-1,1)*($K1270-$L1270*IFERROR(VLOOKUP("P01",ParamTbl,3,0),1.5)))</f>
        <v/>
      </c>
      <c r="N1270">
        <f>IF($G1270="",0,IF($H1270="مرجوعی فروش",-1,1)*IF(Sync!$AC1266="",0,Sync!$AC1266))</f>
        <v/>
      </c>
      <c r="O1270">
        <f>IF(OR($G1270="",Sync!$V1266=""),"",Sync!$V1266)</f>
        <v/>
      </c>
      <c r="P1270">
        <f>IF(OR($G1270="",Sync!$AD1266=""),"",Sync!$AD1266)</f>
        <v/>
      </c>
      <c r="Q1270">
        <f>IF($G1270="","",IF(Sync!$U1266="","0000",IF(AND(ISNUMBER(Sync!$U1266),Sync!$U1266&gt;=0,Sync!$U1266&lt;1),RIGHT("00"&amp;HOUR(Sync!$U1266),2)&amp;RIGHT("00"&amp;MINUTE(Sync!$U1266),2),IFERROR(RIGHT("00"&amp;VALUE(LEFT(Sync!$U1266,FIND(":",Sync!$U1266)-1)),2)&amp;RIGHT("00"&amp;VALUE(MID(Sync!$U1266,FIND(":",Sync!$U1266)+1,2)),2),"0000"))))</f>
        <v/>
      </c>
    </row>
    <row r="1271">
      <c r="A1271">
        <f>IF(Sync!$T1267="","",Sync!$T1267)</f>
        <v/>
      </c>
      <c r="B1271">
        <f>IF($A1271="","",IF(ISNUMBER($A1271),IF(AND($A1271&gt;=10000101,$A1271&lt;=99991231),INT($A1271/10000),""),IFERROR(VALUE(TRIM(LEFT($A1271,FIND("/",$A1271)-1))),"")))</f>
        <v/>
      </c>
      <c r="C1271">
        <f>IF(OR($A1271="",$B1271=""),"",IF(ISNUMBER($A1271),INT(MOD($A1271,10000)/100),IFERROR(VALUE(TRIM(LEFT(MID($A1271,FIND("/",$A1271)+1,20),FIND("/",MID($A1271,FIND("/",$A1271)+1,20))-1))),"")))</f>
        <v/>
      </c>
      <c r="D1271">
        <f>IF(OR($A1271="",$B1271=""),"",IF(ISNUMBER($A1271),MOD($A1271,100),IFERROR(VALUE(TRIM(MID(MID($A1271,FIND("/",$A1271)+1,20),FIND("/",MID($A1271,FIND("/",$A1271)+1,20))+1,20))),"")))</f>
        <v/>
      </c>
      <c r="E1271">
        <f>IF($A1271="","",IF(OR($B1271="",$C1271="",$D1271="",$B1271&lt;1300,$B1271&gt;1500,$C1271&lt;1,$C1271&gt;12,$D1271&lt;1,$D1271&gt;31),"نامعتبر",RIGHT("0000"&amp;$B1271,4)&amp;"/"&amp;RIGHT("00"&amp;$C1271,2)&amp;"/"&amp;RIGHT("00"&amp;$D1271,2)))</f>
        <v/>
      </c>
      <c r="F1271">
        <f>IF(OR($E1271="",$E1271="نامعتبر"),"",LEFT($E1271,4)&amp;"/"&amp;MID($E1271,6,2))</f>
        <v/>
      </c>
      <c r="G1271">
        <f>IF(OR($E1271="",$E1271="نامعتبر",Sync!$X1267=""),"",IF(AND(LEFT(UPPER(TRIM(Sync!$X1267)),2)="SL",IFERROR(VLOOKUP(Sync!$W1267,OpTbl,3,0),"")="فروش"),UPPER(TRIM(Sync!$X1267)),""))</f>
        <v/>
      </c>
      <c r="H1271">
        <f>IF($G1271="","",IF(Sync!$W1267="","",Sync!$W1267))</f>
        <v/>
      </c>
      <c r="I1271">
        <f>IF(OR($G1271="",Sync!$Y1267=""),"",Sync!$Y1267)</f>
        <v/>
      </c>
      <c r="J1271">
        <f>IF(OR($G1271="",Sync!$Z1267=""),"",Sync!$Z1267)</f>
        <v/>
      </c>
      <c r="K1271">
        <f>IF($G1271="",0,IF(Sync!$AA1267="",0,Sync!$AA1267))</f>
        <v/>
      </c>
      <c r="L1271">
        <f>IF($G1271="",0,IF(Sync!$AB1267="",0,Sync!$AB1267))</f>
        <v/>
      </c>
      <c r="M1271">
        <f>IF($G1271="","",IF($H1271="مرجوعی فروش",-1,1)*($K1271-$L1271*IFERROR(VLOOKUP("P01",ParamTbl,3,0),1.5)))</f>
        <v/>
      </c>
      <c r="N1271">
        <f>IF($G1271="",0,IF($H1271="مرجوعی فروش",-1,1)*IF(Sync!$AC1267="",0,Sync!$AC1267))</f>
        <v/>
      </c>
      <c r="O1271">
        <f>IF(OR($G1271="",Sync!$V1267=""),"",Sync!$V1267)</f>
        <v/>
      </c>
      <c r="P1271">
        <f>IF(OR($G1271="",Sync!$AD1267=""),"",Sync!$AD1267)</f>
        <v/>
      </c>
      <c r="Q1271">
        <f>IF($G1271="","",IF(Sync!$U1267="","0000",IF(AND(ISNUMBER(Sync!$U1267),Sync!$U1267&gt;=0,Sync!$U1267&lt;1),RIGHT("00"&amp;HOUR(Sync!$U1267),2)&amp;RIGHT("00"&amp;MINUTE(Sync!$U1267),2),IFERROR(RIGHT("00"&amp;VALUE(LEFT(Sync!$U1267,FIND(":",Sync!$U1267)-1)),2)&amp;RIGHT("00"&amp;VALUE(MID(Sync!$U1267,FIND(":",Sync!$U1267)+1,2)),2),"0000"))))</f>
        <v/>
      </c>
    </row>
    <row r="1272">
      <c r="A1272">
        <f>IF(Sync!$T1268="","",Sync!$T1268)</f>
        <v/>
      </c>
      <c r="B1272">
        <f>IF($A1272="","",IF(ISNUMBER($A1272),IF(AND($A1272&gt;=10000101,$A1272&lt;=99991231),INT($A1272/10000),""),IFERROR(VALUE(TRIM(LEFT($A1272,FIND("/",$A1272)-1))),"")))</f>
        <v/>
      </c>
      <c r="C1272">
        <f>IF(OR($A1272="",$B1272=""),"",IF(ISNUMBER($A1272),INT(MOD($A1272,10000)/100),IFERROR(VALUE(TRIM(LEFT(MID($A1272,FIND("/",$A1272)+1,20),FIND("/",MID($A1272,FIND("/",$A1272)+1,20))-1))),"")))</f>
        <v/>
      </c>
      <c r="D1272">
        <f>IF(OR($A1272="",$B1272=""),"",IF(ISNUMBER($A1272),MOD($A1272,100),IFERROR(VALUE(TRIM(MID(MID($A1272,FIND("/",$A1272)+1,20),FIND("/",MID($A1272,FIND("/",$A1272)+1,20))+1,20))),"")))</f>
        <v/>
      </c>
      <c r="E1272">
        <f>IF($A1272="","",IF(OR($B1272="",$C1272="",$D1272="",$B1272&lt;1300,$B1272&gt;1500,$C1272&lt;1,$C1272&gt;12,$D1272&lt;1,$D1272&gt;31),"نامعتبر",RIGHT("0000"&amp;$B1272,4)&amp;"/"&amp;RIGHT("00"&amp;$C1272,2)&amp;"/"&amp;RIGHT("00"&amp;$D1272,2)))</f>
        <v/>
      </c>
      <c r="F1272">
        <f>IF(OR($E1272="",$E1272="نامعتبر"),"",LEFT($E1272,4)&amp;"/"&amp;MID($E1272,6,2))</f>
        <v/>
      </c>
      <c r="G1272">
        <f>IF(OR($E1272="",$E1272="نامعتبر",Sync!$X1268=""),"",IF(AND(LEFT(UPPER(TRIM(Sync!$X1268)),2)="SL",IFERROR(VLOOKUP(Sync!$W1268,OpTbl,3,0),"")="فروش"),UPPER(TRIM(Sync!$X1268)),""))</f>
        <v/>
      </c>
      <c r="H1272">
        <f>IF($G1272="","",IF(Sync!$W1268="","",Sync!$W1268))</f>
        <v/>
      </c>
      <c r="I1272">
        <f>IF(OR($G1272="",Sync!$Y1268=""),"",Sync!$Y1268)</f>
        <v/>
      </c>
      <c r="J1272">
        <f>IF(OR($G1272="",Sync!$Z1268=""),"",Sync!$Z1268)</f>
        <v/>
      </c>
      <c r="K1272">
        <f>IF($G1272="",0,IF(Sync!$AA1268="",0,Sync!$AA1268))</f>
        <v/>
      </c>
      <c r="L1272">
        <f>IF($G1272="",0,IF(Sync!$AB1268="",0,Sync!$AB1268))</f>
        <v/>
      </c>
      <c r="M1272">
        <f>IF($G1272="","",IF($H1272="مرجوعی فروش",-1,1)*($K1272-$L1272*IFERROR(VLOOKUP("P01",ParamTbl,3,0),1.5)))</f>
        <v/>
      </c>
      <c r="N1272">
        <f>IF($G1272="",0,IF($H1272="مرجوعی فروش",-1,1)*IF(Sync!$AC1268="",0,Sync!$AC1268))</f>
        <v/>
      </c>
      <c r="O1272">
        <f>IF(OR($G1272="",Sync!$V1268=""),"",Sync!$V1268)</f>
        <v/>
      </c>
      <c r="P1272">
        <f>IF(OR($G1272="",Sync!$AD1268=""),"",Sync!$AD1268)</f>
        <v/>
      </c>
      <c r="Q1272">
        <f>IF($G1272="","",IF(Sync!$U1268="","0000",IF(AND(ISNUMBER(Sync!$U1268),Sync!$U1268&gt;=0,Sync!$U1268&lt;1),RIGHT("00"&amp;HOUR(Sync!$U1268),2)&amp;RIGHT("00"&amp;MINUTE(Sync!$U1268),2),IFERROR(RIGHT("00"&amp;VALUE(LEFT(Sync!$U1268,FIND(":",Sync!$U1268)-1)),2)&amp;RIGHT("00"&amp;VALUE(MID(Sync!$U1268,FIND(":",Sync!$U1268)+1,2)),2),"0000"))))</f>
        <v/>
      </c>
    </row>
    <row r="1273">
      <c r="A1273">
        <f>IF(Sync!$T1269="","",Sync!$T1269)</f>
        <v/>
      </c>
      <c r="B1273">
        <f>IF($A1273="","",IF(ISNUMBER($A1273),IF(AND($A1273&gt;=10000101,$A1273&lt;=99991231),INT($A1273/10000),""),IFERROR(VALUE(TRIM(LEFT($A1273,FIND("/",$A1273)-1))),"")))</f>
        <v/>
      </c>
      <c r="C1273">
        <f>IF(OR($A1273="",$B1273=""),"",IF(ISNUMBER($A1273),INT(MOD($A1273,10000)/100),IFERROR(VALUE(TRIM(LEFT(MID($A1273,FIND("/",$A1273)+1,20),FIND("/",MID($A1273,FIND("/",$A1273)+1,20))-1))),"")))</f>
        <v/>
      </c>
      <c r="D1273">
        <f>IF(OR($A1273="",$B1273=""),"",IF(ISNUMBER($A1273),MOD($A1273,100),IFERROR(VALUE(TRIM(MID(MID($A1273,FIND("/",$A1273)+1,20),FIND("/",MID($A1273,FIND("/",$A1273)+1,20))+1,20))),"")))</f>
        <v/>
      </c>
      <c r="E1273">
        <f>IF($A1273="","",IF(OR($B1273="",$C1273="",$D1273="",$B1273&lt;1300,$B1273&gt;1500,$C1273&lt;1,$C1273&gt;12,$D1273&lt;1,$D1273&gt;31),"نامعتبر",RIGHT("0000"&amp;$B1273,4)&amp;"/"&amp;RIGHT("00"&amp;$C1273,2)&amp;"/"&amp;RIGHT("00"&amp;$D1273,2)))</f>
        <v/>
      </c>
      <c r="F1273">
        <f>IF(OR($E1273="",$E1273="نامعتبر"),"",LEFT($E1273,4)&amp;"/"&amp;MID($E1273,6,2))</f>
        <v/>
      </c>
      <c r="G1273">
        <f>IF(OR($E1273="",$E1273="نامعتبر",Sync!$X1269=""),"",IF(AND(LEFT(UPPER(TRIM(Sync!$X1269)),2)="SL",IFERROR(VLOOKUP(Sync!$W1269,OpTbl,3,0),"")="فروش"),UPPER(TRIM(Sync!$X1269)),""))</f>
        <v/>
      </c>
      <c r="H1273">
        <f>IF($G1273="","",IF(Sync!$W1269="","",Sync!$W1269))</f>
        <v/>
      </c>
      <c r="I1273">
        <f>IF(OR($G1273="",Sync!$Y1269=""),"",Sync!$Y1269)</f>
        <v/>
      </c>
      <c r="J1273">
        <f>IF(OR($G1273="",Sync!$Z1269=""),"",Sync!$Z1269)</f>
        <v/>
      </c>
      <c r="K1273">
        <f>IF($G1273="",0,IF(Sync!$AA1269="",0,Sync!$AA1269))</f>
        <v/>
      </c>
      <c r="L1273">
        <f>IF($G1273="",0,IF(Sync!$AB1269="",0,Sync!$AB1269))</f>
        <v/>
      </c>
      <c r="M1273">
        <f>IF($G1273="","",IF($H1273="مرجوعی فروش",-1,1)*($K1273-$L1273*IFERROR(VLOOKUP("P01",ParamTbl,3,0),1.5)))</f>
        <v/>
      </c>
      <c r="N1273">
        <f>IF($G1273="",0,IF($H1273="مرجوعی فروش",-1,1)*IF(Sync!$AC1269="",0,Sync!$AC1269))</f>
        <v/>
      </c>
      <c r="O1273">
        <f>IF(OR($G1273="",Sync!$V1269=""),"",Sync!$V1269)</f>
        <v/>
      </c>
      <c r="P1273">
        <f>IF(OR($G1273="",Sync!$AD1269=""),"",Sync!$AD1269)</f>
        <v/>
      </c>
      <c r="Q1273">
        <f>IF($G1273="","",IF(Sync!$U1269="","0000",IF(AND(ISNUMBER(Sync!$U1269),Sync!$U1269&gt;=0,Sync!$U1269&lt;1),RIGHT("00"&amp;HOUR(Sync!$U1269),2)&amp;RIGHT("00"&amp;MINUTE(Sync!$U1269),2),IFERROR(RIGHT("00"&amp;VALUE(LEFT(Sync!$U1269,FIND(":",Sync!$U1269)-1)),2)&amp;RIGHT("00"&amp;VALUE(MID(Sync!$U1269,FIND(":",Sync!$U1269)+1,2)),2),"0000"))))</f>
        <v/>
      </c>
    </row>
    <row r="1274">
      <c r="A1274">
        <f>IF(Sync!$T1270="","",Sync!$T1270)</f>
        <v/>
      </c>
      <c r="B1274">
        <f>IF($A1274="","",IF(ISNUMBER($A1274),IF(AND($A1274&gt;=10000101,$A1274&lt;=99991231),INT($A1274/10000),""),IFERROR(VALUE(TRIM(LEFT($A1274,FIND("/",$A1274)-1))),"")))</f>
        <v/>
      </c>
      <c r="C1274">
        <f>IF(OR($A1274="",$B1274=""),"",IF(ISNUMBER($A1274),INT(MOD($A1274,10000)/100),IFERROR(VALUE(TRIM(LEFT(MID($A1274,FIND("/",$A1274)+1,20),FIND("/",MID($A1274,FIND("/",$A1274)+1,20))-1))),"")))</f>
        <v/>
      </c>
      <c r="D1274">
        <f>IF(OR($A1274="",$B1274=""),"",IF(ISNUMBER($A1274),MOD($A1274,100),IFERROR(VALUE(TRIM(MID(MID($A1274,FIND("/",$A1274)+1,20),FIND("/",MID($A1274,FIND("/",$A1274)+1,20))+1,20))),"")))</f>
        <v/>
      </c>
      <c r="E1274">
        <f>IF($A1274="","",IF(OR($B1274="",$C1274="",$D1274="",$B1274&lt;1300,$B1274&gt;1500,$C1274&lt;1,$C1274&gt;12,$D1274&lt;1,$D1274&gt;31),"نامعتبر",RIGHT("0000"&amp;$B1274,4)&amp;"/"&amp;RIGHT("00"&amp;$C1274,2)&amp;"/"&amp;RIGHT("00"&amp;$D1274,2)))</f>
        <v/>
      </c>
      <c r="F1274">
        <f>IF(OR($E1274="",$E1274="نامعتبر"),"",LEFT($E1274,4)&amp;"/"&amp;MID($E1274,6,2))</f>
        <v/>
      </c>
      <c r="G1274">
        <f>IF(OR($E1274="",$E1274="نامعتبر",Sync!$X1270=""),"",IF(AND(LEFT(UPPER(TRIM(Sync!$X1270)),2)="SL",IFERROR(VLOOKUP(Sync!$W1270,OpTbl,3,0),"")="فروش"),UPPER(TRIM(Sync!$X1270)),""))</f>
        <v/>
      </c>
      <c r="H1274">
        <f>IF($G1274="","",IF(Sync!$W1270="","",Sync!$W1270))</f>
        <v/>
      </c>
      <c r="I1274">
        <f>IF(OR($G1274="",Sync!$Y1270=""),"",Sync!$Y1270)</f>
        <v/>
      </c>
      <c r="J1274">
        <f>IF(OR($G1274="",Sync!$Z1270=""),"",Sync!$Z1270)</f>
        <v/>
      </c>
      <c r="K1274">
        <f>IF($G1274="",0,IF(Sync!$AA1270="",0,Sync!$AA1270))</f>
        <v/>
      </c>
      <c r="L1274">
        <f>IF($G1274="",0,IF(Sync!$AB1270="",0,Sync!$AB1270))</f>
        <v/>
      </c>
      <c r="M1274">
        <f>IF($G1274="","",IF($H1274="مرجوعی فروش",-1,1)*($K1274-$L1274*IFERROR(VLOOKUP("P01",ParamTbl,3,0),1.5)))</f>
        <v/>
      </c>
      <c r="N1274">
        <f>IF($G1274="",0,IF($H1274="مرجوعی فروش",-1,1)*IF(Sync!$AC1270="",0,Sync!$AC1270))</f>
        <v/>
      </c>
      <c r="O1274">
        <f>IF(OR($G1274="",Sync!$V1270=""),"",Sync!$V1270)</f>
        <v/>
      </c>
      <c r="P1274">
        <f>IF(OR($G1274="",Sync!$AD1270=""),"",Sync!$AD1270)</f>
        <v/>
      </c>
      <c r="Q1274">
        <f>IF($G1274="","",IF(Sync!$U1270="","0000",IF(AND(ISNUMBER(Sync!$U1270),Sync!$U1270&gt;=0,Sync!$U1270&lt;1),RIGHT("00"&amp;HOUR(Sync!$U1270),2)&amp;RIGHT("00"&amp;MINUTE(Sync!$U1270),2),IFERROR(RIGHT("00"&amp;VALUE(LEFT(Sync!$U1270,FIND(":",Sync!$U1270)-1)),2)&amp;RIGHT("00"&amp;VALUE(MID(Sync!$U1270,FIND(":",Sync!$U1270)+1,2)),2),"0000"))))</f>
        <v/>
      </c>
    </row>
    <row r="1275">
      <c r="A1275">
        <f>IF(Sync!$T1271="","",Sync!$T1271)</f>
        <v/>
      </c>
      <c r="B1275">
        <f>IF($A1275="","",IF(ISNUMBER($A1275),IF(AND($A1275&gt;=10000101,$A1275&lt;=99991231),INT($A1275/10000),""),IFERROR(VALUE(TRIM(LEFT($A1275,FIND("/",$A1275)-1))),"")))</f>
        <v/>
      </c>
      <c r="C1275">
        <f>IF(OR($A1275="",$B1275=""),"",IF(ISNUMBER($A1275),INT(MOD($A1275,10000)/100),IFERROR(VALUE(TRIM(LEFT(MID($A1275,FIND("/",$A1275)+1,20),FIND("/",MID($A1275,FIND("/",$A1275)+1,20))-1))),"")))</f>
        <v/>
      </c>
      <c r="D1275">
        <f>IF(OR($A1275="",$B1275=""),"",IF(ISNUMBER($A1275),MOD($A1275,100),IFERROR(VALUE(TRIM(MID(MID($A1275,FIND("/",$A1275)+1,20),FIND("/",MID($A1275,FIND("/",$A1275)+1,20))+1,20))),"")))</f>
        <v/>
      </c>
      <c r="E1275">
        <f>IF($A1275="","",IF(OR($B1275="",$C1275="",$D1275="",$B1275&lt;1300,$B1275&gt;1500,$C1275&lt;1,$C1275&gt;12,$D1275&lt;1,$D1275&gt;31),"نامعتبر",RIGHT("0000"&amp;$B1275,4)&amp;"/"&amp;RIGHT("00"&amp;$C1275,2)&amp;"/"&amp;RIGHT("00"&amp;$D1275,2)))</f>
        <v/>
      </c>
      <c r="F1275">
        <f>IF(OR($E1275="",$E1275="نامعتبر"),"",LEFT($E1275,4)&amp;"/"&amp;MID($E1275,6,2))</f>
        <v/>
      </c>
      <c r="G1275">
        <f>IF(OR($E1275="",$E1275="نامعتبر",Sync!$X1271=""),"",IF(AND(LEFT(UPPER(TRIM(Sync!$X1271)),2)="SL",IFERROR(VLOOKUP(Sync!$W1271,OpTbl,3,0),"")="فروش"),UPPER(TRIM(Sync!$X1271)),""))</f>
        <v/>
      </c>
      <c r="H1275">
        <f>IF($G1275="","",IF(Sync!$W1271="","",Sync!$W1271))</f>
        <v/>
      </c>
      <c r="I1275">
        <f>IF(OR($G1275="",Sync!$Y1271=""),"",Sync!$Y1271)</f>
        <v/>
      </c>
      <c r="J1275">
        <f>IF(OR($G1275="",Sync!$Z1271=""),"",Sync!$Z1271)</f>
        <v/>
      </c>
      <c r="K1275">
        <f>IF($G1275="",0,IF(Sync!$AA1271="",0,Sync!$AA1271))</f>
        <v/>
      </c>
      <c r="L1275">
        <f>IF($G1275="",0,IF(Sync!$AB1271="",0,Sync!$AB1271))</f>
        <v/>
      </c>
      <c r="M1275">
        <f>IF($G1275="","",IF($H1275="مرجوعی فروش",-1,1)*($K1275-$L1275*IFERROR(VLOOKUP("P01",ParamTbl,3,0),1.5)))</f>
        <v/>
      </c>
      <c r="N1275">
        <f>IF($G1275="",0,IF($H1275="مرجوعی فروش",-1,1)*IF(Sync!$AC1271="",0,Sync!$AC1271))</f>
        <v/>
      </c>
      <c r="O1275">
        <f>IF(OR($G1275="",Sync!$V1271=""),"",Sync!$V1271)</f>
        <v/>
      </c>
      <c r="P1275">
        <f>IF(OR($G1275="",Sync!$AD1271=""),"",Sync!$AD1271)</f>
        <v/>
      </c>
      <c r="Q1275">
        <f>IF($G1275="","",IF(Sync!$U1271="","0000",IF(AND(ISNUMBER(Sync!$U1271),Sync!$U1271&gt;=0,Sync!$U1271&lt;1),RIGHT("00"&amp;HOUR(Sync!$U1271),2)&amp;RIGHT("00"&amp;MINUTE(Sync!$U1271),2),IFERROR(RIGHT("00"&amp;VALUE(LEFT(Sync!$U1271,FIND(":",Sync!$U1271)-1)),2)&amp;RIGHT("00"&amp;VALUE(MID(Sync!$U1271,FIND(":",Sync!$U1271)+1,2)),2),"0000"))))</f>
        <v/>
      </c>
    </row>
    <row r="1276">
      <c r="A1276">
        <f>IF(Sync!$T1272="","",Sync!$T1272)</f>
        <v/>
      </c>
      <c r="B1276">
        <f>IF($A1276="","",IF(ISNUMBER($A1276),IF(AND($A1276&gt;=10000101,$A1276&lt;=99991231),INT($A1276/10000),""),IFERROR(VALUE(TRIM(LEFT($A1276,FIND("/",$A1276)-1))),"")))</f>
        <v/>
      </c>
      <c r="C1276">
        <f>IF(OR($A1276="",$B1276=""),"",IF(ISNUMBER($A1276),INT(MOD($A1276,10000)/100),IFERROR(VALUE(TRIM(LEFT(MID($A1276,FIND("/",$A1276)+1,20),FIND("/",MID($A1276,FIND("/",$A1276)+1,20))-1))),"")))</f>
        <v/>
      </c>
      <c r="D1276">
        <f>IF(OR($A1276="",$B1276=""),"",IF(ISNUMBER($A1276),MOD($A1276,100),IFERROR(VALUE(TRIM(MID(MID($A1276,FIND("/",$A1276)+1,20),FIND("/",MID($A1276,FIND("/",$A1276)+1,20))+1,20))),"")))</f>
        <v/>
      </c>
      <c r="E1276">
        <f>IF($A1276="","",IF(OR($B1276="",$C1276="",$D1276="",$B1276&lt;1300,$B1276&gt;1500,$C1276&lt;1,$C1276&gt;12,$D1276&lt;1,$D1276&gt;31),"نامعتبر",RIGHT("0000"&amp;$B1276,4)&amp;"/"&amp;RIGHT("00"&amp;$C1276,2)&amp;"/"&amp;RIGHT("00"&amp;$D1276,2)))</f>
        <v/>
      </c>
      <c r="F1276">
        <f>IF(OR($E1276="",$E1276="نامعتبر"),"",LEFT($E1276,4)&amp;"/"&amp;MID($E1276,6,2))</f>
        <v/>
      </c>
      <c r="G1276">
        <f>IF(OR($E1276="",$E1276="نامعتبر",Sync!$X1272=""),"",IF(AND(LEFT(UPPER(TRIM(Sync!$X1272)),2)="SL",IFERROR(VLOOKUP(Sync!$W1272,OpTbl,3,0),"")="فروش"),UPPER(TRIM(Sync!$X1272)),""))</f>
        <v/>
      </c>
      <c r="H1276">
        <f>IF($G1276="","",IF(Sync!$W1272="","",Sync!$W1272))</f>
        <v/>
      </c>
      <c r="I1276">
        <f>IF(OR($G1276="",Sync!$Y1272=""),"",Sync!$Y1272)</f>
        <v/>
      </c>
      <c r="J1276">
        <f>IF(OR($G1276="",Sync!$Z1272=""),"",Sync!$Z1272)</f>
        <v/>
      </c>
      <c r="K1276">
        <f>IF($G1276="",0,IF(Sync!$AA1272="",0,Sync!$AA1272))</f>
        <v/>
      </c>
      <c r="L1276">
        <f>IF($G1276="",0,IF(Sync!$AB1272="",0,Sync!$AB1272))</f>
        <v/>
      </c>
      <c r="M1276">
        <f>IF($G1276="","",IF($H1276="مرجوعی فروش",-1,1)*($K1276-$L1276*IFERROR(VLOOKUP("P01",ParamTbl,3,0),1.5)))</f>
        <v/>
      </c>
      <c r="N1276">
        <f>IF($G1276="",0,IF($H1276="مرجوعی فروش",-1,1)*IF(Sync!$AC1272="",0,Sync!$AC1272))</f>
        <v/>
      </c>
      <c r="O1276">
        <f>IF(OR($G1276="",Sync!$V1272=""),"",Sync!$V1272)</f>
        <v/>
      </c>
      <c r="P1276">
        <f>IF(OR($G1276="",Sync!$AD1272=""),"",Sync!$AD1272)</f>
        <v/>
      </c>
      <c r="Q1276">
        <f>IF($G1276="","",IF(Sync!$U1272="","0000",IF(AND(ISNUMBER(Sync!$U1272),Sync!$U1272&gt;=0,Sync!$U1272&lt;1),RIGHT("00"&amp;HOUR(Sync!$U1272),2)&amp;RIGHT("00"&amp;MINUTE(Sync!$U1272),2),IFERROR(RIGHT("00"&amp;VALUE(LEFT(Sync!$U1272,FIND(":",Sync!$U1272)-1)),2)&amp;RIGHT("00"&amp;VALUE(MID(Sync!$U1272,FIND(":",Sync!$U1272)+1,2)),2),"0000"))))</f>
        <v/>
      </c>
    </row>
    <row r="1277">
      <c r="A1277">
        <f>IF(Sync!$T1273="","",Sync!$T1273)</f>
        <v/>
      </c>
      <c r="B1277">
        <f>IF($A1277="","",IF(ISNUMBER($A1277),IF(AND($A1277&gt;=10000101,$A1277&lt;=99991231),INT($A1277/10000),""),IFERROR(VALUE(TRIM(LEFT($A1277,FIND("/",$A1277)-1))),"")))</f>
        <v/>
      </c>
      <c r="C1277">
        <f>IF(OR($A1277="",$B1277=""),"",IF(ISNUMBER($A1277),INT(MOD($A1277,10000)/100),IFERROR(VALUE(TRIM(LEFT(MID($A1277,FIND("/",$A1277)+1,20),FIND("/",MID($A1277,FIND("/",$A1277)+1,20))-1))),"")))</f>
        <v/>
      </c>
      <c r="D1277">
        <f>IF(OR($A1277="",$B1277=""),"",IF(ISNUMBER($A1277),MOD($A1277,100),IFERROR(VALUE(TRIM(MID(MID($A1277,FIND("/",$A1277)+1,20),FIND("/",MID($A1277,FIND("/",$A1277)+1,20))+1,20))),"")))</f>
        <v/>
      </c>
      <c r="E1277">
        <f>IF($A1277="","",IF(OR($B1277="",$C1277="",$D1277="",$B1277&lt;1300,$B1277&gt;1500,$C1277&lt;1,$C1277&gt;12,$D1277&lt;1,$D1277&gt;31),"نامعتبر",RIGHT("0000"&amp;$B1277,4)&amp;"/"&amp;RIGHT("00"&amp;$C1277,2)&amp;"/"&amp;RIGHT("00"&amp;$D1277,2)))</f>
        <v/>
      </c>
      <c r="F1277">
        <f>IF(OR($E1277="",$E1277="نامعتبر"),"",LEFT($E1277,4)&amp;"/"&amp;MID($E1277,6,2))</f>
        <v/>
      </c>
      <c r="G1277">
        <f>IF(OR($E1277="",$E1277="نامعتبر",Sync!$X1273=""),"",IF(AND(LEFT(UPPER(TRIM(Sync!$X1273)),2)="SL",IFERROR(VLOOKUP(Sync!$W1273,OpTbl,3,0),"")="فروش"),UPPER(TRIM(Sync!$X1273)),""))</f>
        <v/>
      </c>
      <c r="H1277">
        <f>IF($G1277="","",IF(Sync!$W1273="","",Sync!$W1273))</f>
        <v/>
      </c>
      <c r="I1277">
        <f>IF(OR($G1277="",Sync!$Y1273=""),"",Sync!$Y1273)</f>
        <v/>
      </c>
      <c r="J1277">
        <f>IF(OR($G1277="",Sync!$Z1273=""),"",Sync!$Z1273)</f>
        <v/>
      </c>
      <c r="K1277">
        <f>IF($G1277="",0,IF(Sync!$AA1273="",0,Sync!$AA1273))</f>
        <v/>
      </c>
      <c r="L1277">
        <f>IF($G1277="",0,IF(Sync!$AB1273="",0,Sync!$AB1273))</f>
        <v/>
      </c>
      <c r="M1277">
        <f>IF($G1277="","",IF($H1277="مرجوعی فروش",-1,1)*($K1277-$L1277*IFERROR(VLOOKUP("P01",ParamTbl,3,0),1.5)))</f>
        <v/>
      </c>
      <c r="N1277">
        <f>IF($G1277="",0,IF($H1277="مرجوعی فروش",-1,1)*IF(Sync!$AC1273="",0,Sync!$AC1273))</f>
        <v/>
      </c>
      <c r="O1277">
        <f>IF(OR($G1277="",Sync!$V1273=""),"",Sync!$V1273)</f>
        <v/>
      </c>
      <c r="P1277">
        <f>IF(OR($G1277="",Sync!$AD1273=""),"",Sync!$AD1273)</f>
        <v/>
      </c>
      <c r="Q1277">
        <f>IF($G1277="","",IF(Sync!$U1273="","0000",IF(AND(ISNUMBER(Sync!$U1273),Sync!$U1273&gt;=0,Sync!$U1273&lt;1),RIGHT("00"&amp;HOUR(Sync!$U1273),2)&amp;RIGHT("00"&amp;MINUTE(Sync!$U1273),2),IFERROR(RIGHT("00"&amp;VALUE(LEFT(Sync!$U1273,FIND(":",Sync!$U1273)-1)),2)&amp;RIGHT("00"&amp;VALUE(MID(Sync!$U1273,FIND(":",Sync!$U1273)+1,2)),2),"0000"))))</f>
        <v/>
      </c>
    </row>
    <row r="1278">
      <c r="A1278">
        <f>IF(Sync!$T1274="","",Sync!$T1274)</f>
        <v/>
      </c>
      <c r="B1278">
        <f>IF($A1278="","",IF(ISNUMBER($A1278),IF(AND($A1278&gt;=10000101,$A1278&lt;=99991231),INT($A1278/10000),""),IFERROR(VALUE(TRIM(LEFT($A1278,FIND("/",$A1278)-1))),"")))</f>
        <v/>
      </c>
      <c r="C1278">
        <f>IF(OR($A1278="",$B1278=""),"",IF(ISNUMBER($A1278),INT(MOD($A1278,10000)/100),IFERROR(VALUE(TRIM(LEFT(MID($A1278,FIND("/",$A1278)+1,20),FIND("/",MID($A1278,FIND("/",$A1278)+1,20))-1))),"")))</f>
        <v/>
      </c>
      <c r="D1278">
        <f>IF(OR($A1278="",$B1278=""),"",IF(ISNUMBER($A1278),MOD($A1278,100),IFERROR(VALUE(TRIM(MID(MID($A1278,FIND("/",$A1278)+1,20),FIND("/",MID($A1278,FIND("/",$A1278)+1,20))+1,20))),"")))</f>
        <v/>
      </c>
      <c r="E1278">
        <f>IF($A1278="","",IF(OR($B1278="",$C1278="",$D1278="",$B1278&lt;1300,$B1278&gt;1500,$C1278&lt;1,$C1278&gt;12,$D1278&lt;1,$D1278&gt;31),"نامعتبر",RIGHT("0000"&amp;$B1278,4)&amp;"/"&amp;RIGHT("00"&amp;$C1278,2)&amp;"/"&amp;RIGHT("00"&amp;$D1278,2)))</f>
        <v/>
      </c>
      <c r="F1278">
        <f>IF(OR($E1278="",$E1278="نامعتبر"),"",LEFT($E1278,4)&amp;"/"&amp;MID($E1278,6,2))</f>
        <v/>
      </c>
      <c r="G1278">
        <f>IF(OR($E1278="",$E1278="نامعتبر",Sync!$X1274=""),"",IF(AND(LEFT(UPPER(TRIM(Sync!$X1274)),2)="SL",IFERROR(VLOOKUP(Sync!$W1274,OpTbl,3,0),"")="فروش"),UPPER(TRIM(Sync!$X1274)),""))</f>
        <v/>
      </c>
      <c r="H1278">
        <f>IF($G1278="","",IF(Sync!$W1274="","",Sync!$W1274))</f>
        <v/>
      </c>
      <c r="I1278">
        <f>IF(OR($G1278="",Sync!$Y1274=""),"",Sync!$Y1274)</f>
        <v/>
      </c>
      <c r="J1278">
        <f>IF(OR($G1278="",Sync!$Z1274=""),"",Sync!$Z1274)</f>
        <v/>
      </c>
      <c r="K1278">
        <f>IF($G1278="",0,IF(Sync!$AA1274="",0,Sync!$AA1274))</f>
        <v/>
      </c>
      <c r="L1278">
        <f>IF($G1278="",0,IF(Sync!$AB1274="",0,Sync!$AB1274))</f>
        <v/>
      </c>
      <c r="M1278">
        <f>IF($G1278="","",IF($H1278="مرجوعی فروش",-1,1)*($K1278-$L1278*IFERROR(VLOOKUP("P01",ParamTbl,3,0),1.5)))</f>
        <v/>
      </c>
      <c r="N1278">
        <f>IF($G1278="",0,IF($H1278="مرجوعی فروش",-1,1)*IF(Sync!$AC1274="",0,Sync!$AC1274))</f>
        <v/>
      </c>
      <c r="O1278">
        <f>IF(OR($G1278="",Sync!$V1274=""),"",Sync!$V1274)</f>
        <v/>
      </c>
      <c r="P1278">
        <f>IF(OR($G1278="",Sync!$AD1274=""),"",Sync!$AD1274)</f>
        <v/>
      </c>
      <c r="Q1278">
        <f>IF($G1278="","",IF(Sync!$U1274="","0000",IF(AND(ISNUMBER(Sync!$U1274),Sync!$U1274&gt;=0,Sync!$U1274&lt;1),RIGHT("00"&amp;HOUR(Sync!$U1274),2)&amp;RIGHT("00"&amp;MINUTE(Sync!$U1274),2),IFERROR(RIGHT("00"&amp;VALUE(LEFT(Sync!$U1274,FIND(":",Sync!$U1274)-1)),2)&amp;RIGHT("00"&amp;VALUE(MID(Sync!$U1274,FIND(":",Sync!$U1274)+1,2)),2),"0000"))))</f>
        <v/>
      </c>
    </row>
    <row r="1279">
      <c r="A1279">
        <f>IF(Sync!$T1275="","",Sync!$T1275)</f>
        <v/>
      </c>
      <c r="B1279">
        <f>IF($A1279="","",IF(ISNUMBER($A1279),IF(AND($A1279&gt;=10000101,$A1279&lt;=99991231),INT($A1279/10000),""),IFERROR(VALUE(TRIM(LEFT($A1279,FIND("/",$A1279)-1))),"")))</f>
        <v/>
      </c>
      <c r="C1279">
        <f>IF(OR($A1279="",$B1279=""),"",IF(ISNUMBER($A1279),INT(MOD($A1279,10000)/100),IFERROR(VALUE(TRIM(LEFT(MID($A1279,FIND("/",$A1279)+1,20),FIND("/",MID($A1279,FIND("/",$A1279)+1,20))-1))),"")))</f>
        <v/>
      </c>
      <c r="D1279">
        <f>IF(OR($A1279="",$B1279=""),"",IF(ISNUMBER($A1279),MOD($A1279,100),IFERROR(VALUE(TRIM(MID(MID($A1279,FIND("/",$A1279)+1,20),FIND("/",MID($A1279,FIND("/",$A1279)+1,20))+1,20))),"")))</f>
        <v/>
      </c>
      <c r="E1279">
        <f>IF($A1279="","",IF(OR($B1279="",$C1279="",$D1279="",$B1279&lt;1300,$B1279&gt;1500,$C1279&lt;1,$C1279&gt;12,$D1279&lt;1,$D1279&gt;31),"نامعتبر",RIGHT("0000"&amp;$B1279,4)&amp;"/"&amp;RIGHT("00"&amp;$C1279,2)&amp;"/"&amp;RIGHT("00"&amp;$D1279,2)))</f>
        <v/>
      </c>
      <c r="F1279">
        <f>IF(OR($E1279="",$E1279="نامعتبر"),"",LEFT($E1279,4)&amp;"/"&amp;MID($E1279,6,2))</f>
        <v/>
      </c>
      <c r="G1279">
        <f>IF(OR($E1279="",$E1279="نامعتبر",Sync!$X1275=""),"",IF(AND(LEFT(UPPER(TRIM(Sync!$X1275)),2)="SL",IFERROR(VLOOKUP(Sync!$W1275,OpTbl,3,0),"")="فروش"),UPPER(TRIM(Sync!$X1275)),""))</f>
        <v/>
      </c>
      <c r="H1279">
        <f>IF($G1279="","",IF(Sync!$W1275="","",Sync!$W1275))</f>
        <v/>
      </c>
      <c r="I1279">
        <f>IF(OR($G1279="",Sync!$Y1275=""),"",Sync!$Y1275)</f>
        <v/>
      </c>
      <c r="J1279">
        <f>IF(OR($G1279="",Sync!$Z1275=""),"",Sync!$Z1275)</f>
        <v/>
      </c>
      <c r="K1279">
        <f>IF($G1279="",0,IF(Sync!$AA1275="",0,Sync!$AA1275))</f>
        <v/>
      </c>
      <c r="L1279">
        <f>IF($G1279="",0,IF(Sync!$AB1275="",0,Sync!$AB1275))</f>
        <v/>
      </c>
      <c r="M1279">
        <f>IF($G1279="","",IF($H1279="مرجوعی فروش",-1,1)*($K1279-$L1279*IFERROR(VLOOKUP("P01",ParamTbl,3,0),1.5)))</f>
        <v/>
      </c>
      <c r="N1279">
        <f>IF($G1279="",0,IF($H1279="مرجوعی فروش",-1,1)*IF(Sync!$AC1275="",0,Sync!$AC1275))</f>
        <v/>
      </c>
      <c r="O1279">
        <f>IF(OR($G1279="",Sync!$V1275=""),"",Sync!$V1275)</f>
        <v/>
      </c>
      <c r="P1279">
        <f>IF(OR($G1279="",Sync!$AD1275=""),"",Sync!$AD1275)</f>
        <v/>
      </c>
      <c r="Q1279">
        <f>IF($G1279="","",IF(Sync!$U1275="","0000",IF(AND(ISNUMBER(Sync!$U1275),Sync!$U1275&gt;=0,Sync!$U1275&lt;1),RIGHT("00"&amp;HOUR(Sync!$U1275),2)&amp;RIGHT("00"&amp;MINUTE(Sync!$U1275),2),IFERROR(RIGHT("00"&amp;VALUE(LEFT(Sync!$U1275,FIND(":",Sync!$U1275)-1)),2)&amp;RIGHT("00"&amp;VALUE(MID(Sync!$U1275,FIND(":",Sync!$U1275)+1,2)),2),"0000"))))</f>
        <v/>
      </c>
    </row>
    <row r="1280">
      <c r="A1280">
        <f>IF(Sync!$T1276="","",Sync!$T1276)</f>
        <v/>
      </c>
      <c r="B1280">
        <f>IF($A1280="","",IF(ISNUMBER($A1280),IF(AND($A1280&gt;=10000101,$A1280&lt;=99991231),INT($A1280/10000),""),IFERROR(VALUE(TRIM(LEFT($A1280,FIND("/",$A1280)-1))),"")))</f>
        <v/>
      </c>
      <c r="C1280">
        <f>IF(OR($A1280="",$B1280=""),"",IF(ISNUMBER($A1280),INT(MOD($A1280,10000)/100),IFERROR(VALUE(TRIM(LEFT(MID($A1280,FIND("/",$A1280)+1,20),FIND("/",MID($A1280,FIND("/",$A1280)+1,20))-1))),"")))</f>
        <v/>
      </c>
      <c r="D1280">
        <f>IF(OR($A1280="",$B1280=""),"",IF(ISNUMBER($A1280),MOD($A1280,100),IFERROR(VALUE(TRIM(MID(MID($A1280,FIND("/",$A1280)+1,20),FIND("/",MID($A1280,FIND("/",$A1280)+1,20))+1,20))),"")))</f>
        <v/>
      </c>
      <c r="E1280">
        <f>IF($A1280="","",IF(OR($B1280="",$C1280="",$D1280="",$B1280&lt;1300,$B1280&gt;1500,$C1280&lt;1,$C1280&gt;12,$D1280&lt;1,$D1280&gt;31),"نامعتبر",RIGHT("0000"&amp;$B1280,4)&amp;"/"&amp;RIGHT("00"&amp;$C1280,2)&amp;"/"&amp;RIGHT("00"&amp;$D1280,2)))</f>
        <v/>
      </c>
      <c r="F1280">
        <f>IF(OR($E1280="",$E1280="نامعتبر"),"",LEFT($E1280,4)&amp;"/"&amp;MID($E1280,6,2))</f>
        <v/>
      </c>
      <c r="G1280">
        <f>IF(OR($E1280="",$E1280="نامعتبر",Sync!$X1276=""),"",IF(AND(LEFT(UPPER(TRIM(Sync!$X1276)),2)="SL",IFERROR(VLOOKUP(Sync!$W1276,OpTbl,3,0),"")="فروش"),UPPER(TRIM(Sync!$X1276)),""))</f>
        <v/>
      </c>
      <c r="H1280">
        <f>IF($G1280="","",IF(Sync!$W1276="","",Sync!$W1276))</f>
        <v/>
      </c>
      <c r="I1280">
        <f>IF(OR($G1280="",Sync!$Y1276=""),"",Sync!$Y1276)</f>
        <v/>
      </c>
      <c r="J1280">
        <f>IF(OR($G1280="",Sync!$Z1276=""),"",Sync!$Z1276)</f>
        <v/>
      </c>
      <c r="K1280">
        <f>IF($G1280="",0,IF(Sync!$AA1276="",0,Sync!$AA1276))</f>
        <v/>
      </c>
      <c r="L1280">
        <f>IF($G1280="",0,IF(Sync!$AB1276="",0,Sync!$AB1276))</f>
        <v/>
      </c>
      <c r="M1280">
        <f>IF($G1280="","",IF($H1280="مرجوعی فروش",-1,1)*($K1280-$L1280*IFERROR(VLOOKUP("P01",ParamTbl,3,0),1.5)))</f>
        <v/>
      </c>
      <c r="N1280">
        <f>IF($G1280="",0,IF($H1280="مرجوعی فروش",-1,1)*IF(Sync!$AC1276="",0,Sync!$AC1276))</f>
        <v/>
      </c>
      <c r="O1280">
        <f>IF(OR($G1280="",Sync!$V1276=""),"",Sync!$V1276)</f>
        <v/>
      </c>
      <c r="P1280">
        <f>IF(OR($G1280="",Sync!$AD1276=""),"",Sync!$AD1276)</f>
        <v/>
      </c>
      <c r="Q1280">
        <f>IF($G1280="","",IF(Sync!$U1276="","0000",IF(AND(ISNUMBER(Sync!$U1276),Sync!$U1276&gt;=0,Sync!$U1276&lt;1),RIGHT("00"&amp;HOUR(Sync!$U1276),2)&amp;RIGHT("00"&amp;MINUTE(Sync!$U1276),2),IFERROR(RIGHT("00"&amp;VALUE(LEFT(Sync!$U1276,FIND(":",Sync!$U1276)-1)),2)&amp;RIGHT("00"&amp;VALUE(MID(Sync!$U1276,FIND(":",Sync!$U1276)+1,2)),2),"0000"))))</f>
        <v/>
      </c>
    </row>
    <row r="1281">
      <c r="A1281">
        <f>IF(Sync!$T1277="","",Sync!$T1277)</f>
        <v/>
      </c>
      <c r="B1281">
        <f>IF($A1281="","",IF(ISNUMBER($A1281),IF(AND($A1281&gt;=10000101,$A1281&lt;=99991231),INT($A1281/10000),""),IFERROR(VALUE(TRIM(LEFT($A1281,FIND("/",$A1281)-1))),"")))</f>
        <v/>
      </c>
      <c r="C1281">
        <f>IF(OR($A1281="",$B1281=""),"",IF(ISNUMBER($A1281),INT(MOD($A1281,10000)/100),IFERROR(VALUE(TRIM(LEFT(MID($A1281,FIND("/",$A1281)+1,20),FIND("/",MID($A1281,FIND("/",$A1281)+1,20))-1))),"")))</f>
        <v/>
      </c>
      <c r="D1281">
        <f>IF(OR($A1281="",$B1281=""),"",IF(ISNUMBER($A1281),MOD($A1281,100),IFERROR(VALUE(TRIM(MID(MID($A1281,FIND("/",$A1281)+1,20),FIND("/",MID($A1281,FIND("/",$A1281)+1,20))+1,20))),"")))</f>
        <v/>
      </c>
      <c r="E1281">
        <f>IF($A1281="","",IF(OR($B1281="",$C1281="",$D1281="",$B1281&lt;1300,$B1281&gt;1500,$C1281&lt;1,$C1281&gt;12,$D1281&lt;1,$D1281&gt;31),"نامعتبر",RIGHT("0000"&amp;$B1281,4)&amp;"/"&amp;RIGHT("00"&amp;$C1281,2)&amp;"/"&amp;RIGHT("00"&amp;$D1281,2)))</f>
        <v/>
      </c>
      <c r="F1281">
        <f>IF(OR($E1281="",$E1281="نامعتبر"),"",LEFT($E1281,4)&amp;"/"&amp;MID($E1281,6,2))</f>
        <v/>
      </c>
      <c r="G1281">
        <f>IF(OR($E1281="",$E1281="نامعتبر",Sync!$X1277=""),"",IF(AND(LEFT(UPPER(TRIM(Sync!$X1277)),2)="SL",IFERROR(VLOOKUP(Sync!$W1277,OpTbl,3,0),"")="فروش"),UPPER(TRIM(Sync!$X1277)),""))</f>
        <v/>
      </c>
      <c r="H1281">
        <f>IF($G1281="","",IF(Sync!$W1277="","",Sync!$W1277))</f>
        <v/>
      </c>
      <c r="I1281">
        <f>IF(OR($G1281="",Sync!$Y1277=""),"",Sync!$Y1277)</f>
        <v/>
      </c>
      <c r="J1281">
        <f>IF(OR($G1281="",Sync!$Z1277=""),"",Sync!$Z1277)</f>
        <v/>
      </c>
      <c r="K1281">
        <f>IF($G1281="",0,IF(Sync!$AA1277="",0,Sync!$AA1277))</f>
        <v/>
      </c>
      <c r="L1281">
        <f>IF($G1281="",0,IF(Sync!$AB1277="",0,Sync!$AB1277))</f>
        <v/>
      </c>
      <c r="M1281">
        <f>IF($G1281="","",IF($H1281="مرجوعی فروش",-1,1)*($K1281-$L1281*IFERROR(VLOOKUP("P01",ParamTbl,3,0),1.5)))</f>
        <v/>
      </c>
      <c r="N1281">
        <f>IF($G1281="",0,IF($H1281="مرجوعی فروش",-1,1)*IF(Sync!$AC1277="",0,Sync!$AC1277))</f>
        <v/>
      </c>
      <c r="O1281">
        <f>IF(OR($G1281="",Sync!$V1277=""),"",Sync!$V1277)</f>
        <v/>
      </c>
      <c r="P1281">
        <f>IF(OR($G1281="",Sync!$AD1277=""),"",Sync!$AD1277)</f>
        <v/>
      </c>
      <c r="Q1281">
        <f>IF($G1281="","",IF(Sync!$U1277="","0000",IF(AND(ISNUMBER(Sync!$U1277),Sync!$U1277&gt;=0,Sync!$U1277&lt;1),RIGHT("00"&amp;HOUR(Sync!$U1277),2)&amp;RIGHT("00"&amp;MINUTE(Sync!$U1277),2),IFERROR(RIGHT("00"&amp;VALUE(LEFT(Sync!$U1277,FIND(":",Sync!$U1277)-1)),2)&amp;RIGHT("00"&amp;VALUE(MID(Sync!$U1277,FIND(":",Sync!$U1277)+1,2)),2),"0000"))))</f>
        <v/>
      </c>
    </row>
    <row r="1282">
      <c r="A1282">
        <f>IF(Sync!$T1278="","",Sync!$T1278)</f>
        <v/>
      </c>
      <c r="B1282">
        <f>IF($A1282="","",IF(ISNUMBER($A1282),IF(AND($A1282&gt;=10000101,$A1282&lt;=99991231),INT($A1282/10000),""),IFERROR(VALUE(TRIM(LEFT($A1282,FIND("/",$A1282)-1))),"")))</f>
        <v/>
      </c>
      <c r="C1282">
        <f>IF(OR($A1282="",$B1282=""),"",IF(ISNUMBER($A1282),INT(MOD($A1282,10000)/100),IFERROR(VALUE(TRIM(LEFT(MID($A1282,FIND("/",$A1282)+1,20),FIND("/",MID($A1282,FIND("/",$A1282)+1,20))-1))),"")))</f>
        <v/>
      </c>
      <c r="D1282">
        <f>IF(OR($A1282="",$B1282=""),"",IF(ISNUMBER($A1282),MOD($A1282,100),IFERROR(VALUE(TRIM(MID(MID($A1282,FIND("/",$A1282)+1,20),FIND("/",MID($A1282,FIND("/",$A1282)+1,20))+1,20))),"")))</f>
        <v/>
      </c>
      <c r="E1282">
        <f>IF($A1282="","",IF(OR($B1282="",$C1282="",$D1282="",$B1282&lt;1300,$B1282&gt;1500,$C1282&lt;1,$C1282&gt;12,$D1282&lt;1,$D1282&gt;31),"نامعتبر",RIGHT("0000"&amp;$B1282,4)&amp;"/"&amp;RIGHT("00"&amp;$C1282,2)&amp;"/"&amp;RIGHT("00"&amp;$D1282,2)))</f>
        <v/>
      </c>
      <c r="F1282">
        <f>IF(OR($E1282="",$E1282="نامعتبر"),"",LEFT($E1282,4)&amp;"/"&amp;MID($E1282,6,2))</f>
        <v/>
      </c>
      <c r="G1282">
        <f>IF(OR($E1282="",$E1282="نامعتبر",Sync!$X1278=""),"",IF(AND(LEFT(UPPER(TRIM(Sync!$X1278)),2)="SL",IFERROR(VLOOKUP(Sync!$W1278,OpTbl,3,0),"")="فروش"),UPPER(TRIM(Sync!$X1278)),""))</f>
        <v/>
      </c>
      <c r="H1282">
        <f>IF($G1282="","",IF(Sync!$W1278="","",Sync!$W1278))</f>
        <v/>
      </c>
      <c r="I1282">
        <f>IF(OR($G1282="",Sync!$Y1278=""),"",Sync!$Y1278)</f>
        <v/>
      </c>
      <c r="J1282">
        <f>IF(OR($G1282="",Sync!$Z1278=""),"",Sync!$Z1278)</f>
        <v/>
      </c>
      <c r="K1282">
        <f>IF($G1282="",0,IF(Sync!$AA1278="",0,Sync!$AA1278))</f>
        <v/>
      </c>
      <c r="L1282">
        <f>IF($G1282="",0,IF(Sync!$AB1278="",0,Sync!$AB1278))</f>
        <v/>
      </c>
      <c r="M1282">
        <f>IF($G1282="","",IF($H1282="مرجوعی فروش",-1,1)*($K1282-$L1282*IFERROR(VLOOKUP("P01",ParamTbl,3,0),1.5)))</f>
        <v/>
      </c>
      <c r="N1282">
        <f>IF($G1282="",0,IF($H1282="مرجوعی فروش",-1,1)*IF(Sync!$AC1278="",0,Sync!$AC1278))</f>
        <v/>
      </c>
      <c r="O1282">
        <f>IF(OR($G1282="",Sync!$V1278=""),"",Sync!$V1278)</f>
        <v/>
      </c>
      <c r="P1282">
        <f>IF(OR($G1282="",Sync!$AD1278=""),"",Sync!$AD1278)</f>
        <v/>
      </c>
      <c r="Q1282">
        <f>IF($G1282="","",IF(Sync!$U1278="","0000",IF(AND(ISNUMBER(Sync!$U1278),Sync!$U1278&gt;=0,Sync!$U1278&lt;1),RIGHT("00"&amp;HOUR(Sync!$U1278),2)&amp;RIGHT("00"&amp;MINUTE(Sync!$U1278),2),IFERROR(RIGHT("00"&amp;VALUE(LEFT(Sync!$U1278,FIND(":",Sync!$U1278)-1)),2)&amp;RIGHT("00"&amp;VALUE(MID(Sync!$U1278,FIND(":",Sync!$U1278)+1,2)),2),"0000"))))</f>
        <v/>
      </c>
    </row>
    <row r="1283">
      <c r="A1283">
        <f>IF(Sync!$T1279="","",Sync!$T1279)</f>
        <v/>
      </c>
      <c r="B1283">
        <f>IF($A1283="","",IF(ISNUMBER($A1283),IF(AND($A1283&gt;=10000101,$A1283&lt;=99991231),INT($A1283/10000),""),IFERROR(VALUE(TRIM(LEFT($A1283,FIND("/",$A1283)-1))),"")))</f>
        <v/>
      </c>
      <c r="C1283">
        <f>IF(OR($A1283="",$B1283=""),"",IF(ISNUMBER($A1283),INT(MOD($A1283,10000)/100),IFERROR(VALUE(TRIM(LEFT(MID($A1283,FIND("/",$A1283)+1,20),FIND("/",MID($A1283,FIND("/",$A1283)+1,20))-1))),"")))</f>
        <v/>
      </c>
      <c r="D1283">
        <f>IF(OR($A1283="",$B1283=""),"",IF(ISNUMBER($A1283),MOD($A1283,100),IFERROR(VALUE(TRIM(MID(MID($A1283,FIND("/",$A1283)+1,20),FIND("/",MID($A1283,FIND("/",$A1283)+1,20))+1,20))),"")))</f>
        <v/>
      </c>
      <c r="E1283">
        <f>IF($A1283="","",IF(OR($B1283="",$C1283="",$D1283="",$B1283&lt;1300,$B1283&gt;1500,$C1283&lt;1,$C1283&gt;12,$D1283&lt;1,$D1283&gt;31),"نامعتبر",RIGHT("0000"&amp;$B1283,4)&amp;"/"&amp;RIGHT("00"&amp;$C1283,2)&amp;"/"&amp;RIGHT("00"&amp;$D1283,2)))</f>
        <v/>
      </c>
      <c r="F1283">
        <f>IF(OR($E1283="",$E1283="نامعتبر"),"",LEFT($E1283,4)&amp;"/"&amp;MID($E1283,6,2))</f>
        <v/>
      </c>
      <c r="G1283">
        <f>IF(OR($E1283="",$E1283="نامعتبر",Sync!$X1279=""),"",IF(AND(LEFT(UPPER(TRIM(Sync!$X1279)),2)="SL",IFERROR(VLOOKUP(Sync!$W1279,OpTbl,3,0),"")="فروش"),UPPER(TRIM(Sync!$X1279)),""))</f>
        <v/>
      </c>
      <c r="H1283">
        <f>IF($G1283="","",IF(Sync!$W1279="","",Sync!$W1279))</f>
        <v/>
      </c>
      <c r="I1283">
        <f>IF(OR($G1283="",Sync!$Y1279=""),"",Sync!$Y1279)</f>
        <v/>
      </c>
      <c r="J1283">
        <f>IF(OR($G1283="",Sync!$Z1279=""),"",Sync!$Z1279)</f>
        <v/>
      </c>
      <c r="K1283">
        <f>IF($G1283="",0,IF(Sync!$AA1279="",0,Sync!$AA1279))</f>
        <v/>
      </c>
      <c r="L1283">
        <f>IF($G1283="",0,IF(Sync!$AB1279="",0,Sync!$AB1279))</f>
        <v/>
      </c>
      <c r="M1283">
        <f>IF($G1283="","",IF($H1283="مرجوعی فروش",-1,1)*($K1283-$L1283*IFERROR(VLOOKUP("P01",ParamTbl,3,0),1.5)))</f>
        <v/>
      </c>
      <c r="N1283">
        <f>IF($G1283="",0,IF($H1283="مرجوعی فروش",-1,1)*IF(Sync!$AC1279="",0,Sync!$AC1279))</f>
        <v/>
      </c>
      <c r="O1283">
        <f>IF(OR($G1283="",Sync!$V1279=""),"",Sync!$V1279)</f>
        <v/>
      </c>
      <c r="P1283">
        <f>IF(OR($G1283="",Sync!$AD1279=""),"",Sync!$AD1279)</f>
        <v/>
      </c>
      <c r="Q1283">
        <f>IF($G1283="","",IF(Sync!$U1279="","0000",IF(AND(ISNUMBER(Sync!$U1279),Sync!$U1279&gt;=0,Sync!$U1279&lt;1),RIGHT("00"&amp;HOUR(Sync!$U1279),2)&amp;RIGHT("00"&amp;MINUTE(Sync!$U1279),2),IFERROR(RIGHT("00"&amp;VALUE(LEFT(Sync!$U1279,FIND(":",Sync!$U1279)-1)),2)&amp;RIGHT("00"&amp;VALUE(MID(Sync!$U1279,FIND(":",Sync!$U1279)+1,2)),2),"0000"))))</f>
        <v/>
      </c>
    </row>
    <row r="1284">
      <c r="A1284">
        <f>IF(Sync!$T1280="","",Sync!$T1280)</f>
        <v/>
      </c>
      <c r="B1284">
        <f>IF($A1284="","",IF(ISNUMBER($A1284),IF(AND($A1284&gt;=10000101,$A1284&lt;=99991231),INT($A1284/10000),""),IFERROR(VALUE(TRIM(LEFT($A1284,FIND("/",$A1284)-1))),"")))</f>
        <v/>
      </c>
      <c r="C1284">
        <f>IF(OR($A1284="",$B1284=""),"",IF(ISNUMBER($A1284),INT(MOD($A1284,10000)/100),IFERROR(VALUE(TRIM(LEFT(MID($A1284,FIND("/",$A1284)+1,20),FIND("/",MID($A1284,FIND("/",$A1284)+1,20))-1))),"")))</f>
        <v/>
      </c>
      <c r="D1284">
        <f>IF(OR($A1284="",$B1284=""),"",IF(ISNUMBER($A1284),MOD($A1284,100),IFERROR(VALUE(TRIM(MID(MID($A1284,FIND("/",$A1284)+1,20),FIND("/",MID($A1284,FIND("/",$A1284)+1,20))+1,20))),"")))</f>
        <v/>
      </c>
      <c r="E1284">
        <f>IF($A1284="","",IF(OR($B1284="",$C1284="",$D1284="",$B1284&lt;1300,$B1284&gt;1500,$C1284&lt;1,$C1284&gt;12,$D1284&lt;1,$D1284&gt;31),"نامعتبر",RIGHT("0000"&amp;$B1284,4)&amp;"/"&amp;RIGHT("00"&amp;$C1284,2)&amp;"/"&amp;RIGHT("00"&amp;$D1284,2)))</f>
        <v/>
      </c>
      <c r="F1284">
        <f>IF(OR($E1284="",$E1284="نامعتبر"),"",LEFT($E1284,4)&amp;"/"&amp;MID($E1284,6,2))</f>
        <v/>
      </c>
      <c r="G1284">
        <f>IF(OR($E1284="",$E1284="نامعتبر",Sync!$X1280=""),"",IF(AND(LEFT(UPPER(TRIM(Sync!$X1280)),2)="SL",IFERROR(VLOOKUP(Sync!$W1280,OpTbl,3,0),"")="فروش"),UPPER(TRIM(Sync!$X1280)),""))</f>
        <v/>
      </c>
      <c r="H1284">
        <f>IF($G1284="","",IF(Sync!$W1280="","",Sync!$W1280))</f>
        <v/>
      </c>
      <c r="I1284">
        <f>IF(OR($G1284="",Sync!$Y1280=""),"",Sync!$Y1280)</f>
        <v/>
      </c>
      <c r="J1284">
        <f>IF(OR($G1284="",Sync!$Z1280=""),"",Sync!$Z1280)</f>
        <v/>
      </c>
      <c r="K1284">
        <f>IF($G1284="",0,IF(Sync!$AA1280="",0,Sync!$AA1280))</f>
        <v/>
      </c>
      <c r="L1284">
        <f>IF($G1284="",0,IF(Sync!$AB1280="",0,Sync!$AB1280))</f>
        <v/>
      </c>
      <c r="M1284">
        <f>IF($G1284="","",IF($H1284="مرجوعی فروش",-1,1)*($K1284-$L1284*IFERROR(VLOOKUP("P01",ParamTbl,3,0),1.5)))</f>
        <v/>
      </c>
      <c r="N1284">
        <f>IF($G1284="",0,IF($H1284="مرجوعی فروش",-1,1)*IF(Sync!$AC1280="",0,Sync!$AC1280))</f>
        <v/>
      </c>
      <c r="O1284">
        <f>IF(OR($G1284="",Sync!$V1280=""),"",Sync!$V1280)</f>
        <v/>
      </c>
      <c r="P1284">
        <f>IF(OR($G1284="",Sync!$AD1280=""),"",Sync!$AD1280)</f>
        <v/>
      </c>
      <c r="Q1284">
        <f>IF($G1284="","",IF(Sync!$U1280="","0000",IF(AND(ISNUMBER(Sync!$U1280),Sync!$U1280&gt;=0,Sync!$U1280&lt;1),RIGHT("00"&amp;HOUR(Sync!$U1280),2)&amp;RIGHT("00"&amp;MINUTE(Sync!$U1280),2),IFERROR(RIGHT("00"&amp;VALUE(LEFT(Sync!$U1280,FIND(":",Sync!$U1280)-1)),2)&amp;RIGHT("00"&amp;VALUE(MID(Sync!$U1280,FIND(":",Sync!$U1280)+1,2)),2),"0000"))))</f>
        <v/>
      </c>
    </row>
    <row r="1285">
      <c r="A1285">
        <f>IF(Sync!$T1281="","",Sync!$T1281)</f>
        <v/>
      </c>
      <c r="B1285">
        <f>IF($A1285="","",IF(ISNUMBER($A1285),IF(AND($A1285&gt;=10000101,$A1285&lt;=99991231),INT($A1285/10000),""),IFERROR(VALUE(TRIM(LEFT($A1285,FIND("/",$A1285)-1))),"")))</f>
        <v/>
      </c>
      <c r="C1285">
        <f>IF(OR($A1285="",$B1285=""),"",IF(ISNUMBER($A1285),INT(MOD($A1285,10000)/100),IFERROR(VALUE(TRIM(LEFT(MID($A1285,FIND("/",$A1285)+1,20),FIND("/",MID($A1285,FIND("/",$A1285)+1,20))-1))),"")))</f>
        <v/>
      </c>
      <c r="D1285">
        <f>IF(OR($A1285="",$B1285=""),"",IF(ISNUMBER($A1285),MOD($A1285,100),IFERROR(VALUE(TRIM(MID(MID($A1285,FIND("/",$A1285)+1,20),FIND("/",MID($A1285,FIND("/",$A1285)+1,20))+1,20))),"")))</f>
        <v/>
      </c>
      <c r="E1285">
        <f>IF($A1285="","",IF(OR($B1285="",$C1285="",$D1285="",$B1285&lt;1300,$B1285&gt;1500,$C1285&lt;1,$C1285&gt;12,$D1285&lt;1,$D1285&gt;31),"نامعتبر",RIGHT("0000"&amp;$B1285,4)&amp;"/"&amp;RIGHT("00"&amp;$C1285,2)&amp;"/"&amp;RIGHT("00"&amp;$D1285,2)))</f>
        <v/>
      </c>
      <c r="F1285">
        <f>IF(OR($E1285="",$E1285="نامعتبر"),"",LEFT($E1285,4)&amp;"/"&amp;MID($E1285,6,2))</f>
        <v/>
      </c>
      <c r="G1285">
        <f>IF(OR($E1285="",$E1285="نامعتبر",Sync!$X1281=""),"",IF(AND(LEFT(UPPER(TRIM(Sync!$X1281)),2)="SL",IFERROR(VLOOKUP(Sync!$W1281,OpTbl,3,0),"")="فروش"),UPPER(TRIM(Sync!$X1281)),""))</f>
        <v/>
      </c>
      <c r="H1285">
        <f>IF($G1285="","",IF(Sync!$W1281="","",Sync!$W1281))</f>
        <v/>
      </c>
      <c r="I1285">
        <f>IF(OR($G1285="",Sync!$Y1281=""),"",Sync!$Y1281)</f>
        <v/>
      </c>
      <c r="J1285">
        <f>IF(OR($G1285="",Sync!$Z1281=""),"",Sync!$Z1281)</f>
        <v/>
      </c>
      <c r="K1285">
        <f>IF($G1285="",0,IF(Sync!$AA1281="",0,Sync!$AA1281))</f>
        <v/>
      </c>
      <c r="L1285">
        <f>IF($G1285="",0,IF(Sync!$AB1281="",0,Sync!$AB1281))</f>
        <v/>
      </c>
      <c r="M1285">
        <f>IF($G1285="","",IF($H1285="مرجوعی فروش",-1,1)*($K1285-$L1285*IFERROR(VLOOKUP("P01",ParamTbl,3,0),1.5)))</f>
        <v/>
      </c>
      <c r="N1285">
        <f>IF($G1285="",0,IF($H1285="مرجوعی فروش",-1,1)*IF(Sync!$AC1281="",0,Sync!$AC1281))</f>
        <v/>
      </c>
      <c r="O1285">
        <f>IF(OR($G1285="",Sync!$V1281=""),"",Sync!$V1281)</f>
        <v/>
      </c>
      <c r="P1285">
        <f>IF(OR($G1285="",Sync!$AD1281=""),"",Sync!$AD1281)</f>
        <v/>
      </c>
      <c r="Q1285">
        <f>IF($G1285="","",IF(Sync!$U1281="","0000",IF(AND(ISNUMBER(Sync!$U1281),Sync!$U1281&gt;=0,Sync!$U1281&lt;1),RIGHT("00"&amp;HOUR(Sync!$U1281),2)&amp;RIGHT("00"&amp;MINUTE(Sync!$U1281),2),IFERROR(RIGHT("00"&amp;VALUE(LEFT(Sync!$U1281,FIND(":",Sync!$U1281)-1)),2)&amp;RIGHT("00"&amp;VALUE(MID(Sync!$U1281,FIND(":",Sync!$U1281)+1,2)),2),"0000"))))</f>
        <v/>
      </c>
    </row>
    <row r="1286">
      <c r="A1286">
        <f>IF(Sync!$T1282="","",Sync!$T1282)</f>
        <v/>
      </c>
      <c r="B1286">
        <f>IF($A1286="","",IF(ISNUMBER($A1286),IF(AND($A1286&gt;=10000101,$A1286&lt;=99991231),INT($A1286/10000),""),IFERROR(VALUE(TRIM(LEFT($A1286,FIND("/",$A1286)-1))),"")))</f>
        <v/>
      </c>
      <c r="C1286">
        <f>IF(OR($A1286="",$B1286=""),"",IF(ISNUMBER($A1286),INT(MOD($A1286,10000)/100),IFERROR(VALUE(TRIM(LEFT(MID($A1286,FIND("/",$A1286)+1,20),FIND("/",MID($A1286,FIND("/",$A1286)+1,20))-1))),"")))</f>
        <v/>
      </c>
      <c r="D1286">
        <f>IF(OR($A1286="",$B1286=""),"",IF(ISNUMBER($A1286),MOD($A1286,100),IFERROR(VALUE(TRIM(MID(MID($A1286,FIND("/",$A1286)+1,20),FIND("/",MID($A1286,FIND("/",$A1286)+1,20))+1,20))),"")))</f>
        <v/>
      </c>
      <c r="E1286">
        <f>IF($A1286="","",IF(OR($B1286="",$C1286="",$D1286="",$B1286&lt;1300,$B1286&gt;1500,$C1286&lt;1,$C1286&gt;12,$D1286&lt;1,$D1286&gt;31),"نامعتبر",RIGHT("0000"&amp;$B1286,4)&amp;"/"&amp;RIGHT("00"&amp;$C1286,2)&amp;"/"&amp;RIGHT("00"&amp;$D1286,2)))</f>
        <v/>
      </c>
      <c r="F1286">
        <f>IF(OR($E1286="",$E1286="نامعتبر"),"",LEFT($E1286,4)&amp;"/"&amp;MID($E1286,6,2))</f>
        <v/>
      </c>
      <c r="G1286">
        <f>IF(OR($E1286="",$E1286="نامعتبر",Sync!$X1282=""),"",IF(AND(LEFT(UPPER(TRIM(Sync!$X1282)),2)="SL",IFERROR(VLOOKUP(Sync!$W1282,OpTbl,3,0),"")="فروش"),UPPER(TRIM(Sync!$X1282)),""))</f>
        <v/>
      </c>
      <c r="H1286">
        <f>IF($G1286="","",IF(Sync!$W1282="","",Sync!$W1282))</f>
        <v/>
      </c>
      <c r="I1286">
        <f>IF(OR($G1286="",Sync!$Y1282=""),"",Sync!$Y1282)</f>
        <v/>
      </c>
      <c r="J1286">
        <f>IF(OR($G1286="",Sync!$Z1282=""),"",Sync!$Z1282)</f>
        <v/>
      </c>
      <c r="K1286">
        <f>IF($G1286="",0,IF(Sync!$AA1282="",0,Sync!$AA1282))</f>
        <v/>
      </c>
      <c r="L1286">
        <f>IF($G1286="",0,IF(Sync!$AB1282="",0,Sync!$AB1282))</f>
        <v/>
      </c>
      <c r="M1286">
        <f>IF($G1286="","",IF($H1286="مرجوعی فروش",-1,1)*($K1286-$L1286*IFERROR(VLOOKUP("P01",ParamTbl,3,0),1.5)))</f>
        <v/>
      </c>
      <c r="N1286">
        <f>IF($G1286="",0,IF($H1286="مرجوعی فروش",-1,1)*IF(Sync!$AC1282="",0,Sync!$AC1282))</f>
        <v/>
      </c>
      <c r="O1286">
        <f>IF(OR($G1286="",Sync!$V1282=""),"",Sync!$V1282)</f>
        <v/>
      </c>
      <c r="P1286">
        <f>IF(OR($G1286="",Sync!$AD1282=""),"",Sync!$AD1282)</f>
        <v/>
      </c>
      <c r="Q1286">
        <f>IF($G1286="","",IF(Sync!$U1282="","0000",IF(AND(ISNUMBER(Sync!$U1282),Sync!$U1282&gt;=0,Sync!$U1282&lt;1),RIGHT("00"&amp;HOUR(Sync!$U1282),2)&amp;RIGHT("00"&amp;MINUTE(Sync!$U1282),2),IFERROR(RIGHT("00"&amp;VALUE(LEFT(Sync!$U1282,FIND(":",Sync!$U1282)-1)),2)&amp;RIGHT("00"&amp;VALUE(MID(Sync!$U1282,FIND(":",Sync!$U1282)+1,2)),2),"0000"))))</f>
        <v/>
      </c>
    </row>
    <row r="1287">
      <c r="A1287">
        <f>IF(Sync!$T1283="","",Sync!$T1283)</f>
        <v/>
      </c>
      <c r="B1287">
        <f>IF($A1287="","",IF(ISNUMBER($A1287),IF(AND($A1287&gt;=10000101,$A1287&lt;=99991231),INT($A1287/10000),""),IFERROR(VALUE(TRIM(LEFT($A1287,FIND("/",$A1287)-1))),"")))</f>
        <v/>
      </c>
      <c r="C1287">
        <f>IF(OR($A1287="",$B1287=""),"",IF(ISNUMBER($A1287),INT(MOD($A1287,10000)/100),IFERROR(VALUE(TRIM(LEFT(MID($A1287,FIND("/",$A1287)+1,20),FIND("/",MID($A1287,FIND("/",$A1287)+1,20))-1))),"")))</f>
        <v/>
      </c>
      <c r="D1287">
        <f>IF(OR($A1287="",$B1287=""),"",IF(ISNUMBER($A1287),MOD($A1287,100),IFERROR(VALUE(TRIM(MID(MID($A1287,FIND("/",$A1287)+1,20),FIND("/",MID($A1287,FIND("/",$A1287)+1,20))+1,20))),"")))</f>
        <v/>
      </c>
      <c r="E1287">
        <f>IF($A1287="","",IF(OR($B1287="",$C1287="",$D1287="",$B1287&lt;1300,$B1287&gt;1500,$C1287&lt;1,$C1287&gt;12,$D1287&lt;1,$D1287&gt;31),"نامعتبر",RIGHT("0000"&amp;$B1287,4)&amp;"/"&amp;RIGHT("00"&amp;$C1287,2)&amp;"/"&amp;RIGHT("00"&amp;$D1287,2)))</f>
        <v/>
      </c>
      <c r="F1287">
        <f>IF(OR($E1287="",$E1287="نامعتبر"),"",LEFT($E1287,4)&amp;"/"&amp;MID($E1287,6,2))</f>
        <v/>
      </c>
      <c r="G1287">
        <f>IF(OR($E1287="",$E1287="نامعتبر",Sync!$X1283=""),"",IF(AND(LEFT(UPPER(TRIM(Sync!$X1283)),2)="SL",IFERROR(VLOOKUP(Sync!$W1283,OpTbl,3,0),"")="فروش"),UPPER(TRIM(Sync!$X1283)),""))</f>
        <v/>
      </c>
      <c r="H1287">
        <f>IF($G1287="","",IF(Sync!$W1283="","",Sync!$W1283))</f>
        <v/>
      </c>
      <c r="I1287">
        <f>IF(OR($G1287="",Sync!$Y1283=""),"",Sync!$Y1283)</f>
        <v/>
      </c>
      <c r="J1287">
        <f>IF(OR($G1287="",Sync!$Z1283=""),"",Sync!$Z1283)</f>
        <v/>
      </c>
      <c r="K1287">
        <f>IF($G1287="",0,IF(Sync!$AA1283="",0,Sync!$AA1283))</f>
        <v/>
      </c>
      <c r="L1287">
        <f>IF($G1287="",0,IF(Sync!$AB1283="",0,Sync!$AB1283))</f>
        <v/>
      </c>
      <c r="M1287">
        <f>IF($G1287="","",IF($H1287="مرجوعی فروش",-1,1)*($K1287-$L1287*IFERROR(VLOOKUP("P01",ParamTbl,3,0),1.5)))</f>
        <v/>
      </c>
      <c r="N1287">
        <f>IF($G1287="",0,IF($H1287="مرجوعی فروش",-1,1)*IF(Sync!$AC1283="",0,Sync!$AC1283))</f>
        <v/>
      </c>
      <c r="O1287">
        <f>IF(OR($G1287="",Sync!$V1283=""),"",Sync!$V1283)</f>
        <v/>
      </c>
      <c r="P1287">
        <f>IF(OR($G1287="",Sync!$AD1283=""),"",Sync!$AD1283)</f>
        <v/>
      </c>
      <c r="Q1287">
        <f>IF($G1287="","",IF(Sync!$U1283="","0000",IF(AND(ISNUMBER(Sync!$U1283),Sync!$U1283&gt;=0,Sync!$U1283&lt;1),RIGHT("00"&amp;HOUR(Sync!$U1283),2)&amp;RIGHT("00"&amp;MINUTE(Sync!$U1283),2),IFERROR(RIGHT("00"&amp;VALUE(LEFT(Sync!$U1283,FIND(":",Sync!$U1283)-1)),2)&amp;RIGHT("00"&amp;VALUE(MID(Sync!$U1283,FIND(":",Sync!$U1283)+1,2)),2),"0000"))))</f>
        <v/>
      </c>
    </row>
    <row r="1288">
      <c r="A1288">
        <f>IF(Sync!$T1284="","",Sync!$T1284)</f>
        <v/>
      </c>
      <c r="B1288">
        <f>IF($A1288="","",IF(ISNUMBER($A1288),IF(AND($A1288&gt;=10000101,$A1288&lt;=99991231),INT($A1288/10000),""),IFERROR(VALUE(TRIM(LEFT($A1288,FIND("/",$A1288)-1))),"")))</f>
        <v/>
      </c>
      <c r="C1288">
        <f>IF(OR($A1288="",$B1288=""),"",IF(ISNUMBER($A1288),INT(MOD($A1288,10000)/100),IFERROR(VALUE(TRIM(LEFT(MID($A1288,FIND("/",$A1288)+1,20),FIND("/",MID($A1288,FIND("/",$A1288)+1,20))-1))),"")))</f>
        <v/>
      </c>
      <c r="D1288">
        <f>IF(OR($A1288="",$B1288=""),"",IF(ISNUMBER($A1288),MOD($A1288,100),IFERROR(VALUE(TRIM(MID(MID($A1288,FIND("/",$A1288)+1,20),FIND("/",MID($A1288,FIND("/",$A1288)+1,20))+1,20))),"")))</f>
        <v/>
      </c>
      <c r="E1288">
        <f>IF($A1288="","",IF(OR($B1288="",$C1288="",$D1288="",$B1288&lt;1300,$B1288&gt;1500,$C1288&lt;1,$C1288&gt;12,$D1288&lt;1,$D1288&gt;31),"نامعتبر",RIGHT("0000"&amp;$B1288,4)&amp;"/"&amp;RIGHT("00"&amp;$C1288,2)&amp;"/"&amp;RIGHT("00"&amp;$D1288,2)))</f>
        <v/>
      </c>
      <c r="F1288">
        <f>IF(OR($E1288="",$E1288="نامعتبر"),"",LEFT($E1288,4)&amp;"/"&amp;MID($E1288,6,2))</f>
        <v/>
      </c>
      <c r="G1288">
        <f>IF(OR($E1288="",$E1288="نامعتبر",Sync!$X1284=""),"",IF(AND(LEFT(UPPER(TRIM(Sync!$X1284)),2)="SL",IFERROR(VLOOKUP(Sync!$W1284,OpTbl,3,0),"")="فروش"),UPPER(TRIM(Sync!$X1284)),""))</f>
        <v/>
      </c>
      <c r="H1288">
        <f>IF($G1288="","",IF(Sync!$W1284="","",Sync!$W1284))</f>
        <v/>
      </c>
      <c r="I1288">
        <f>IF(OR($G1288="",Sync!$Y1284=""),"",Sync!$Y1284)</f>
        <v/>
      </c>
      <c r="J1288">
        <f>IF(OR($G1288="",Sync!$Z1284=""),"",Sync!$Z1284)</f>
        <v/>
      </c>
      <c r="K1288">
        <f>IF($G1288="",0,IF(Sync!$AA1284="",0,Sync!$AA1284))</f>
        <v/>
      </c>
      <c r="L1288">
        <f>IF($G1288="",0,IF(Sync!$AB1284="",0,Sync!$AB1284))</f>
        <v/>
      </c>
      <c r="M1288">
        <f>IF($G1288="","",IF($H1288="مرجوعی فروش",-1,1)*($K1288-$L1288*IFERROR(VLOOKUP("P01",ParamTbl,3,0),1.5)))</f>
        <v/>
      </c>
      <c r="N1288">
        <f>IF($G1288="",0,IF($H1288="مرجوعی فروش",-1,1)*IF(Sync!$AC1284="",0,Sync!$AC1284))</f>
        <v/>
      </c>
      <c r="O1288">
        <f>IF(OR($G1288="",Sync!$V1284=""),"",Sync!$V1284)</f>
        <v/>
      </c>
      <c r="P1288">
        <f>IF(OR($G1288="",Sync!$AD1284=""),"",Sync!$AD1284)</f>
        <v/>
      </c>
      <c r="Q1288">
        <f>IF($G1288="","",IF(Sync!$U1284="","0000",IF(AND(ISNUMBER(Sync!$U1284),Sync!$U1284&gt;=0,Sync!$U1284&lt;1),RIGHT("00"&amp;HOUR(Sync!$U1284),2)&amp;RIGHT("00"&amp;MINUTE(Sync!$U1284),2),IFERROR(RIGHT("00"&amp;VALUE(LEFT(Sync!$U1284,FIND(":",Sync!$U1284)-1)),2)&amp;RIGHT("00"&amp;VALUE(MID(Sync!$U1284,FIND(":",Sync!$U1284)+1,2)),2),"0000"))))</f>
        <v/>
      </c>
    </row>
    <row r="1289">
      <c r="A1289">
        <f>IF(Sync!$T1285="","",Sync!$T1285)</f>
        <v/>
      </c>
      <c r="B1289">
        <f>IF($A1289="","",IF(ISNUMBER($A1289),IF(AND($A1289&gt;=10000101,$A1289&lt;=99991231),INT($A1289/10000),""),IFERROR(VALUE(TRIM(LEFT($A1289,FIND("/",$A1289)-1))),"")))</f>
        <v/>
      </c>
      <c r="C1289">
        <f>IF(OR($A1289="",$B1289=""),"",IF(ISNUMBER($A1289),INT(MOD($A1289,10000)/100),IFERROR(VALUE(TRIM(LEFT(MID($A1289,FIND("/",$A1289)+1,20),FIND("/",MID($A1289,FIND("/",$A1289)+1,20))-1))),"")))</f>
        <v/>
      </c>
      <c r="D1289">
        <f>IF(OR($A1289="",$B1289=""),"",IF(ISNUMBER($A1289),MOD($A1289,100),IFERROR(VALUE(TRIM(MID(MID($A1289,FIND("/",$A1289)+1,20),FIND("/",MID($A1289,FIND("/",$A1289)+1,20))+1,20))),"")))</f>
        <v/>
      </c>
      <c r="E1289">
        <f>IF($A1289="","",IF(OR($B1289="",$C1289="",$D1289="",$B1289&lt;1300,$B1289&gt;1500,$C1289&lt;1,$C1289&gt;12,$D1289&lt;1,$D1289&gt;31),"نامعتبر",RIGHT("0000"&amp;$B1289,4)&amp;"/"&amp;RIGHT("00"&amp;$C1289,2)&amp;"/"&amp;RIGHT("00"&amp;$D1289,2)))</f>
        <v/>
      </c>
      <c r="F1289">
        <f>IF(OR($E1289="",$E1289="نامعتبر"),"",LEFT($E1289,4)&amp;"/"&amp;MID($E1289,6,2))</f>
        <v/>
      </c>
      <c r="G1289">
        <f>IF(OR($E1289="",$E1289="نامعتبر",Sync!$X1285=""),"",IF(AND(LEFT(UPPER(TRIM(Sync!$X1285)),2)="SL",IFERROR(VLOOKUP(Sync!$W1285,OpTbl,3,0),"")="فروش"),UPPER(TRIM(Sync!$X1285)),""))</f>
        <v/>
      </c>
      <c r="H1289">
        <f>IF($G1289="","",IF(Sync!$W1285="","",Sync!$W1285))</f>
        <v/>
      </c>
      <c r="I1289">
        <f>IF(OR($G1289="",Sync!$Y1285=""),"",Sync!$Y1285)</f>
        <v/>
      </c>
      <c r="J1289">
        <f>IF(OR($G1289="",Sync!$Z1285=""),"",Sync!$Z1285)</f>
        <v/>
      </c>
      <c r="K1289">
        <f>IF($G1289="",0,IF(Sync!$AA1285="",0,Sync!$AA1285))</f>
        <v/>
      </c>
      <c r="L1289">
        <f>IF($G1289="",0,IF(Sync!$AB1285="",0,Sync!$AB1285))</f>
        <v/>
      </c>
      <c r="M1289">
        <f>IF($G1289="","",IF($H1289="مرجوعی فروش",-1,1)*($K1289-$L1289*IFERROR(VLOOKUP("P01",ParamTbl,3,0),1.5)))</f>
        <v/>
      </c>
      <c r="N1289">
        <f>IF($G1289="",0,IF($H1289="مرجوعی فروش",-1,1)*IF(Sync!$AC1285="",0,Sync!$AC1285))</f>
        <v/>
      </c>
      <c r="O1289">
        <f>IF(OR($G1289="",Sync!$V1285=""),"",Sync!$V1285)</f>
        <v/>
      </c>
      <c r="P1289">
        <f>IF(OR($G1289="",Sync!$AD1285=""),"",Sync!$AD1285)</f>
        <v/>
      </c>
      <c r="Q1289">
        <f>IF($G1289="","",IF(Sync!$U1285="","0000",IF(AND(ISNUMBER(Sync!$U1285),Sync!$U1285&gt;=0,Sync!$U1285&lt;1),RIGHT("00"&amp;HOUR(Sync!$U1285),2)&amp;RIGHT("00"&amp;MINUTE(Sync!$U1285),2),IFERROR(RIGHT("00"&amp;VALUE(LEFT(Sync!$U1285,FIND(":",Sync!$U1285)-1)),2)&amp;RIGHT("00"&amp;VALUE(MID(Sync!$U1285,FIND(":",Sync!$U1285)+1,2)),2),"0000"))))</f>
        <v/>
      </c>
    </row>
    <row r="1290">
      <c r="A1290">
        <f>IF(Sync!$T1286="","",Sync!$T1286)</f>
        <v/>
      </c>
      <c r="B1290">
        <f>IF($A1290="","",IF(ISNUMBER($A1290),IF(AND($A1290&gt;=10000101,$A1290&lt;=99991231),INT($A1290/10000),""),IFERROR(VALUE(TRIM(LEFT($A1290,FIND("/",$A1290)-1))),"")))</f>
        <v/>
      </c>
      <c r="C1290">
        <f>IF(OR($A1290="",$B1290=""),"",IF(ISNUMBER($A1290),INT(MOD($A1290,10000)/100),IFERROR(VALUE(TRIM(LEFT(MID($A1290,FIND("/",$A1290)+1,20),FIND("/",MID($A1290,FIND("/",$A1290)+1,20))-1))),"")))</f>
        <v/>
      </c>
      <c r="D1290">
        <f>IF(OR($A1290="",$B1290=""),"",IF(ISNUMBER($A1290),MOD($A1290,100),IFERROR(VALUE(TRIM(MID(MID($A1290,FIND("/",$A1290)+1,20),FIND("/",MID($A1290,FIND("/",$A1290)+1,20))+1,20))),"")))</f>
        <v/>
      </c>
      <c r="E1290">
        <f>IF($A1290="","",IF(OR($B1290="",$C1290="",$D1290="",$B1290&lt;1300,$B1290&gt;1500,$C1290&lt;1,$C1290&gt;12,$D1290&lt;1,$D1290&gt;31),"نامعتبر",RIGHT("0000"&amp;$B1290,4)&amp;"/"&amp;RIGHT("00"&amp;$C1290,2)&amp;"/"&amp;RIGHT("00"&amp;$D1290,2)))</f>
        <v/>
      </c>
      <c r="F1290">
        <f>IF(OR($E1290="",$E1290="نامعتبر"),"",LEFT($E1290,4)&amp;"/"&amp;MID($E1290,6,2))</f>
        <v/>
      </c>
      <c r="G1290">
        <f>IF(OR($E1290="",$E1290="نامعتبر",Sync!$X1286=""),"",IF(AND(LEFT(UPPER(TRIM(Sync!$X1286)),2)="SL",IFERROR(VLOOKUP(Sync!$W1286,OpTbl,3,0),"")="فروش"),UPPER(TRIM(Sync!$X1286)),""))</f>
        <v/>
      </c>
      <c r="H1290">
        <f>IF($G1290="","",IF(Sync!$W1286="","",Sync!$W1286))</f>
        <v/>
      </c>
      <c r="I1290">
        <f>IF(OR($G1290="",Sync!$Y1286=""),"",Sync!$Y1286)</f>
        <v/>
      </c>
      <c r="J1290">
        <f>IF(OR($G1290="",Sync!$Z1286=""),"",Sync!$Z1286)</f>
        <v/>
      </c>
      <c r="K1290">
        <f>IF($G1290="",0,IF(Sync!$AA1286="",0,Sync!$AA1286))</f>
        <v/>
      </c>
      <c r="L1290">
        <f>IF($G1290="",0,IF(Sync!$AB1286="",0,Sync!$AB1286))</f>
        <v/>
      </c>
      <c r="M1290">
        <f>IF($G1290="","",IF($H1290="مرجوعی فروش",-1,1)*($K1290-$L1290*IFERROR(VLOOKUP("P01",ParamTbl,3,0),1.5)))</f>
        <v/>
      </c>
      <c r="N1290">
        <f>IF($G1290="",0,IF($H1290="مرجوعی فروش",-1,1)*IF(Sync!$AC1286="",0,Sync!$AC1286))</f>
        <v/>
      </c>
      <c r="O1290">
        <f>IF(OR($G1290="",Sync!$V1286=""),"",Sync!$V1286)</f>
        <v/>
      </c>
      <c r="P1290">
        <f>IF(OR($G1290="",Sync!$AD1286=""),"",Sync!$AD1286)</f>
        <v/>
      </c>
      <c r="Q1290">
        <f>IF($G1290="","",IF(Sync!$U1286="","0000",IF(AND(ISNUMBER(Sync!$U1286),Sync!$U1286&gt;=0,Sync!$U1286&lt;1),RIGHT("00"&amp;HOUR(Sync!$U1286),2)&amp;RIGHT("00"&amp;MINUTE(Sync!$U1286),2),IFERROR(RIGHT("00"&amp;VALUE(LEFT(Sync!$U1286,FIND(":",Sync!$U1286)-1)),2)&amp;RIGHT("00"&amp;VALUE(MID(Sync!$U1286,FIND(":",Sync!$U1286)+1,2)),2),"0000"))))</f>
        <v/>
      </c>
    </row>
    <row r="1291">
      <c r="A1291">
        <f>IF(Sync!$T1287="","",Sync!$T1287)</f>
        <v/>
      </c>
      <c r="B1291">
        <f>IF($A1291="","",IF(ISNUMBER($A1291),IF(AND($A1291&gt;=10000101,$A1291&lt;=99991231),INT($A1291/10000),""),IFERROR(VALUE(TRIM(LEFT($A1291,FIND("/",$A1291)-1))),"")))</f>
        <v/>
      </c>
      <c r="C1291">
        <f>IF(OR($A1291="",$B1291=""),"",IF(ISNUMBER($A1291),INT(MOD($A1291,10000)/100),IFERROR(VALUE(TRIM(LEFT(MID($A1291,FIND("/",$A1291)+1,20),FIND("/",MID($A1291,FIND("/",$A1291)+1,20))-1))),"")))</f>
        <v/>
      </c>
      <c r="D1291">
        <f>IF(OR($A1291="",$B1291=""),"",IF(ISNUMBER($A1291),MOD($A1291,100),IFERROR(VALUE(TRIM(MID(MID($A1291,FIND("/",$A1291)+1,20),FIND("/",MID($A1291,FIND("/",$A1291)+1,20))+1,20))),"")))</f>
        <v/>
      </c>
      <c r="E1291">
        <f>IF($A1291="","",IF(OR($B1291="",$C1291="",$D1291="",$B1291&lt;1300,$B1291&gt;1500,$C1291&lt;1,$C1291&gt;12,$D1291&lt;1,$D1291&gt;31),"نامعتبر",RIGHT("0000"&amp;$B1291,4)&amp;"/"&amp;RIGHT("00"&amp;$C1291,2)&amp;"/"&amp;RIGHT("00"&amp;$D1291,2)))</f>
        <v/>
      </c>
      <c r="F1291">
        <f>IF(OR($E1291="",$E1291="نامعتبر"),"",LEFT($E1291,4)&amp;"/"&amp;MID($E1291,6,2))</f>
        <v/>
      </c>
      <c r="G1291">
        <f>IF(OR($E1291="",$E1291="نامعتبر",Sync!$X1287=""),"",IF(AND(LEFT(UPPER(TRIM(Sync!$X1287)),2)="SL",IFERROR(VLOOKUP(Sync!$W1287,OpTbl,3,0),"")="فروش"),UPPER(TRIM(Sync!$X1287)),""))</f>
        <v/>
      </c>
      <c r="H1291">
        <f>IF($G1291="","",IF(Sync!$W1287="","",Sync!$W1287))</f>
        <v/>
      </c>
      <c r="I1291">
        <f>IF(OR($G1291="",Sync!$Y1287=""),"",Sync!$Y1287)</f>
        <v/>
      </c>
      <c r="J1291">
        <f>IF(OR($G1291="",Sync!$Z1287=""),"",Sync!$Z1287)</f>
        <v/>
      </c>
      <c r="K1291">
        <f>IF($G1291="",0,IF(Sync!$AA1287="",0,Sync!$AA1287))</f>
        <v/>
      </c>
      <c r="L1291">
        <f>IF($G1291="",0,IF(Sync!$AB1287="",0,Sync!$AB1287))</f>
        <v/>
      </c>
      <c r="M1291">
        <f>IF($G1291="","",IF($H1291="مرجوعی فروش",-1,1)*($K1291-$L1291*IFERROR(VLOOKUP("P01",ParamTbl,3,0),1.5)))</f>
        <v/>
      </c>
      <c r="N1291">
        <f>IF($G1291="",0,IF($H1291="مرجوعی فروش",-1,1)*IF(Sync!$AC1287="",0,Sync!$AC1287))</f>
        <v/>
      </c>
      <c r="O1291">
        <f>IF(OR($G1291="",Sync!$V1287=""),"",Sync!$V1287)</f>
        <v/>
      </c>
      <c r="P1291">
        <f>IF(OR($G1291="",Sync!$AD1287=""),"",Sync!$AD1287)</f>
        <v/>
      </c>
      <c r="Q1291">
        <f>IF($G1291="","",IF(Sync!$U1287="","0000",IF(AND(ISNUMBER(Sync!$U1287),Sync!$U1287&gt;=0,Sync!$U1287&lt;1),RIGHT("00"&amp;HOUR(Sync!$U1287),2)&amp;RIGHT("00"&amp;MINUTE(Sync!$U1287),2),IFERROR(RIGHT("00"&amp;VALUE(LEFT(Sync!$U1287,FIND(":",Sync!$U1287)-1)),2)&amp;RIGHT("00"&amp;VALUE(MID(Sync!$U1287,FIND(":",Sync!$U1287)+1,2)),2),"0000"))))</f>
        <v/>
      </c>
    </row>
    <row r="1292">
      <c r="A1292">
        <f>IF(Sync!$T1288="","",Sync!$T1288)</f>
        <v/>
      </c>
      <c r="B1292">
        <f>IF($A1292="","",IF(ISNUMBER($A1292),IF(AND($A1292&gt;=10000101,$A1292&lt;=99991231),INT($A1292/10000),""),IFERROR(VALUE(TRIM(LEFT($A1292,FIND("/",$A1292)-1))),"")))</f>
        <v/>
      </c>
      <c r="C1292">
        <f>IF(OR($A1292="",$B1292=""),"",IF(ISNUMBER($A1292),INT(MOD($A1292,10000)/100),IFERROR(VALUE(TRIM(LEFT(MID($A1292,FIND("/",$A1292)+1,20),FIND("/",MID($A1292,FIND("/",$A1292)+1,20))-1))),"")))</f>
        <v/>
      </c>
      <c r="D1292">
        <f>IF(OR($A1292="",$B1292=""),"",IF(ISNUMBER($A1292),MOD($A1292,100),IFERROR(VALUE(TRIM(MID(MID($A1292,FIND("/",$A1292)+1,20),FIND("/",MID($A1292,FIND("/",$A1292)+1,20))+1,20))),"")))</f>
        <v/>
      </c>
      <c r="E1292">
        <f>IF($A1292="","",IF(OR($B1292="",$C1292="",$D1292="",$B1292&lt;1300,$B1292&gt;1500,$C1292&lt;1,$C1292&gt;12,$D1292&lt;1,$D1292&gt;31),"نامعتبر",RIGHT("0000"&amp;$B1292,4)&amp;"/"&amp;RIGHT("00"&amp;$C1292,2)&amp;"/"&amp;RIGHT("00"&amp;$D1292,2)))</f>
        <v/>
      </c>
      <c r="F1292">
        <f>IF(OR($E1292="",$E1292="نامعتبر"),"",LEFT($E1292,4)&amp;"/"&amp;MID($E1292,6,2))</f>
        <v/>
      </c>
      <c r="G1292">
        <f>IF(OR($E1292="",$E1292="نامعتبر",Sync!$X1288=""),"",IF(AND(LEFT(UPPER(TRIM(Sync!$X1288)),2)="SL",IFERROR(VLOOKUP(Sync!$W1288,OpTbl,3,0),"")="فروش"),UPPER(TRIM(Sync!$X1288)),""))</f>
        <v/>
      </c>
      <c r="H1292">
        <f>IF($G1292="","",IF(Sync!$W1288="","",Sync!$W1288))</f>
        <v/>
      </c>
      <c r="I1292">
        <f>IF(OR($G1292="",Sync!$Y1288=""),"",Sync!$Y1288)</f>
        <v/>
      </c>
      <c r="J1292">
        <f>IF(OR($G1292="",Sync!$Z1288=""),"",Sync!$Z1288)</f>
        <v/>
      </c>
      <c r="K1292">
        <f>IF($G1292="",0,IF(Sync!$AA1288="",0,Sync!$AA1288))</f>
        <v/>
      </c>
      <c r="L1292">
        <f>IF($G1292="",0,IF(Sync!$AB1288="",0,Sync!$AB1288))</f>
        <v/>
      </c>
      <c r="M1292">
        <f>IF($G1292="","",IF($H1292="مرجوعی فروش",-1,1)*($K1292-$L1292*IFERROR(VLOOKUP("P01",ParamTbl,3,0),1.5)))</f>
        <v/>
      </c>
      <c r="N1292">
        <f>IF($G1292="",0,IF($H1292="مرجوعی فروش",-1,1)*IF(Sync!$AC1288="",0,Sync!$AC1288))</f>
        <v/>
      </c>
      <c r="O1292">
        <f>IF(OR($G1292="",Sync!$V1288=""),"",Sync!$V1288)</f>
        <v/>
      </c>
      <c r="P1292">
        <f>IF(OR($G1292="",Sync!$AD1288=""),"",Sync!$AD1288)</f>
        <v/>
      </c>
      <c r="Q1292">
        <f>IF($G1292="","",IF(Sync!$U1288="","0000",IF(AND(ISNUMBER(Sync!$U1288),Sync!$U1288&gt;=0,Sync!$U1288&lt;1),RIGHT("00"&amp;HOUR(Sync!$U1288),2)&amp;RIGHT("00"&amp;MINUTE(Sync!$U1288),2),IFERROR(RIGHT("00"&amp;VALUE(LEFT(Sync!$U1288,FIND(":",Sync!$U1288)-1)),2)&amp;RIGHT("00"&amp;VALUE(MID(Sync!$U1288,FIND(":",Sync!$U1288)+1,2)),2),"0000"))))</f>
        <v/>
      </c>
    </row>
    <row r="1293">
      <c r="A1293">
        <f>IF(Sync!$T1289="","",Sync!$T1289)</f>
        <v/>
      </c>
      <c r="B1293">
        <f>IF($A1293="","",IF(ISNUMBER($A1293),IF(AND($A1293&gt;=10000101,$A1293&lt;=99991231),INT($A1293/10000),""),IFERROR(VALUE(TRIM(LEFT($A1293,FIND("/",$A1293)-1))),"")))</f>
        <v/>
      </c>
      <c r="C1293">
        <f>IF(OR($A1293="",$B1293=""),"",IF(ISNUMBER($A1293),INT(MOD($A1293,10000)/100),IFERROR(VALUE(TRIM(LEFT(MID($A1293,FIND("/",$A1293)+1,20),FIND("/",MID($A1293,FIND("/",$A1293)+1,20))-1))),"")))</f>
        <v/>
      </c>
      <c r="D1293">
        <f>IF(OR($A1293="",$B1293=""),"",IF(ISNUMBER($A1293),MOD($A1293,100),IFERROR(VALUE(TRIM(MID(MID($A1293,FIND("/",$A1293)+1,20),FIND("/",MID($A1293,FIND("/",$A1293)+1,20))+1,20))),"")))</f>
        <v/>
      </c>
      <c r="E1293">
        <f>IF($A1293="","",IF(OR($B1293="",$C1293="",$D1293="",$B1293&lt;1300,$B1293&gt;1500,$C1293&lt;1,$C1293&gt;12,$D1293&lt;1,$D1293&gt;31),"نامعتبر",RIGHT("0000"&amp;$B1293,4)&amp;"/"&amp;RIGHT("00"&amp;$C1293,2)&amp;"/"&amp;RIGHT("00"&amp;$D1293,2)))</f>
        <v/>
      </c>
      <c r="F1293">
        <f>IF(OR($E1293="",$E1293="نامعتبر"),"",LEFT($E1293,4)&amp;"/"&amp;MID($E1293,6,2))</f>
        <v/>
      </c>
      <c r="G1293">
        <f>IF(OR($E1293="",$E1293="نامعتبر",Sync!$X1289=""),"",IF(AND(LEFT(UPPER(TRIM(Sync!$X1289)),2)="SL",IFERROR(VLOOKUP(Sync!$W1289,OpTbl,3,0),"")="فروش"),UPPER(TRIM(Sync!$X1289)),""))</f>
        <v/>
      </c>
      <c r="H1293">
        <f>IF($G1293="","",IF(Sync!$W1289="","",Sync!$W1289))</f>
        <v/>
      </c>
      <c r="I1293">
        <f>IF(OR($G1293="",Sync!$Y1289=""),"",Sync!$Y1289)</f>
        <v/>
      </c>
      <c r="J1293">
        <f>IF(OR($G1293="",Sync!$Z1289=""),"",Sync!$Z1289)</f>
        <v/>
      </c>
      <c r="K1293">
        <f>IF($G1293="",0,IF(Sync!$AA1289="",0,Sync!$AA1289))</f>
        <v/>
      </c>
      <c r="L1293">
        <f>IF($G1293="",0,IF(Sync!$AB1289="",0,Sync!$AB1289))</f>
        <v/>
      </c>
      <c r="M1293">
        <f>IF($G1293="","",IF($H1293="مرجوعی فروش",-1,1)*($K1293-$L1293*IFERROR(VLOOKUP("P01",ParamTbl,3,0),1.5)))</f>
        <v/>
      </c>
      <c r="N1293">
        <f>IF($G1293="",0,IF($H1293="مرجوعی فروش",-1,1)*IF(Sync!$AC1289="",0,Sync!$AC1289))</f>
        <v/>
      </c>
      <c r="O1293">
        <f>IF(OR($G1293="",Sync!$V1289=""),"",Sync!$V1289)</f>
        <v/>
      </c>
      <c r="P1293">
        <f>IF(OR($G1293="",Sync!$AD1289=""),"",Sync!$AD1289)</f>
        <v/>
      </c>
      <c r="Q1293">
        <f>IF($G1293="","",IF(Sync!$U1289="","0000",IF(AND(ISNUMBER(Sync!$U1289),Sync!$U1289&gt;=0,Sync!$U1289&lt;1),RIGHT("00"&amp;HOUR(Sync!$U1289),2)&amp;RIGHT("00"&amp;MINUTE(Sync!$U1289),2),IFERROR(RIGHT("00"&amp;VALUE(LEFT(Sync!$U1289,FIND(":",Sync!$U1289)-1)),2)&amp;RIGHT("00"&amp;VALUE(MID(Sync!$U1289,FIND(":",Sync!$U1289)+1,2)),2),"0000"))))</f>
        <v/>
      </c>
    </row>
    <row r="1294">
      <c r="A1294">
        <f>IF(Sync!$T1290="","",Sync!$T1290)</f>
        <v/>
      </c>
      <c r="B1294">
        <f>IF($A1294="","",IF(ISNUMBER($A1294),IF(AND($A1294&gt;=10000101,$A1294&lt;=99991231),INT($A1294/10000),""),IFERROR(VALUE(TRIM(LEFT($A1294,FIND("/",$A1294)-1))),"")))</f>
        <v/>
      </c>
      <c r="C1294">
        <f>IF(OR($A1294="",$B1294=""),"",IF(ISNUMBER($A1294),INT(MOD($A1294,10000)/100),IFERROR(VALUE(TRIM(LEFT(MID($A1294,FIND("/",$A1294)+1,20),FIND("/",MID($A1294,FIND("/",$A1294)+1,20))-1))),"")))</f>
        <v/>
      </c>
      <c r="D1294">
        <f>IF(OR($A1294="",$B1294=""),"",IF(ISNUMBER($A1294),MOD($A1294,100),IFERROR(VALUE(TRIM(MID(MID($A1294,FIND("/",$A1294)+1,20),FIND("/",MID($A1294,FIND("/",$A1294)+1,20))+1,20))),"")))</f>
        <v/>
      </c>
      <c r="E1294">
        <f>IF($A1294="","",IF(OR($B1294="",$C1294="",$D1294="",$B1294&lt;1300,$B1294&gt;1500,$C1294&lt;1,$C1294&gt;12,$D1294&lt;1,$D1294&gt;31),"نامعتبر",RIGHT("0000"&amp;$B1294,4)&amp;"/"&amp;RIGHT("00"&amp;$C1294,2)&amp;"/"&amp;RIGHT("00"&amp;$D1294,2)))</f>
        <v/>
      </c>
      <c r="F1294">
        <f>IF(OR($E1294="",$E1294="نامعتبر"),"",LEFT($E1294,4)&amp;"/"&amp;MID($E1294,6,2))</f>
        <v/>
      </c>
      <c r="G1294">
        <f>IF(OR($E1294="",$E1294="نامعتبر",Sync!$X1290=""),"",IF(AND(LEFT(UPPER(TRIM(Sync!$X1290)),2)="SL",IFERROR(VLOOKUP(Sync!$W1290,OpTbl,3,0),"")="فروش"),UPPER(TRIM(Sync!$X1290)),""))</f>
        <v/>
      </c>
      <c r="H1294">
        <f>IF($G1294="","",IF(Sync!$W1290="","",Sync!$W1290))</f>
        <v/>
      </c>
      <c r="I1294">
        <f>IF(OR($G1294="",Sync!$Y1290=""),"",Sync!$Y1290)</f>
        <v/>
      </c>
      <c r="J1294">
        <f>IF(OR($G1294="",Sync!$Z1290=""),"",Sync!$Z1290)</f>
        <v/>
      </c>
      <c r="K1294">
        <f>IF($G1294="",0,IF(Sync!$AA1290="",0,Sync!$AA1290))</f>
        <v/>
      </c>
      <c r="L1294">
        <f>IF($G1294="",0,IF(Sync!$AB1290="",0,Sync!$AB1290))</f>
        <v/>
      </c>
      <c r="M1294">
        <f>IF($G1294="","",IF($H1294="مرجوعی فروش",-1,1)*($K1294-$L1294*IFERROR(VLOOKUP("P01",ParamTbl,3,0),1.5)))</f>
        <v/>
      </c>
      <c r="N1294">
        <f>IF($G1294="",0,IF($H1294="مرجوعی فروش",-1,1)*IF(Sync!$AC1290="",0,Sync!$AC1290))</f>
        <v/>
      </c>
      <c r="O1294">
        <f>IF(OR($G1294="",Sync!$V1290=""),"",Sync!$V1290)</f>
        <v/>
      </c>
      <c r="P1294">
        <f>IF(OR($G1294="",Sync!$AD1290=""),"",Sync!$AD1290)</f>
        <v/>
      </c>
      <c r="Q1294">
        <f>IF($G1294="","",IF(Sync!$U1290="","0000",IF(AND(ISNUMBER(Sync!$U1290),Sync!$U1290&gt;=0,Sync!$U1290&lt;1),RIGHT("00"&amp;HOUR(Sync!$U1290),2)&amp;RIGHT("00"&amp;MINUTE(Sync!$U1290),2),IFERROR(RIGHT("00"&amp;VALUE(LEFT(Sync!$U1290,FIND(":",Sync!$U1290)-1)),2)&amp;RIGHT("00"&amp;VALUE(MID(Sync!$U1290,FIND(":",Sync!$U1290)+1,2)),2),"0000"))))</f>
        <v/>
      </c>
    </row>
    <row r="1295">
      <c r="A1295">
        <f>IF(Sync!$T1291="","",Sync!$T1291)</f>
        <v/>
      </c>
      <c r="B1295">
        <f>IF($A1295="","",IF(ISNUMBER($A1295),IF(AND($A1295&gt;=10000101,$A1295&lt;=99991231),INT($A1295/10000),""),IFERROR(VALUE(TRIM(LEFT($A1295,FIND("/",$A1295)-1))),"")))</f>
        <v/>
      </c>
      <c r="C1295">
        <f>IF(OR($A1295="",$B1295=""),"",IF(ISNUMBER($A1295),INT(MOD($A1295,10000)/100),IFERROR(VALUE(TRIM(LEFT(MID($A1295,FIND("/",$A1295)+1,20),FIND("/",MID($A1295,FIND("/",$A1295)+1,20))-1))),"")))</f>
        <v/>
      </c>
      <c r="D1295">
        <f>IF(OR($A1295="",$B1295=""),"",IF(ISNUMBER($A1295),MOD($A1295,100),IFERROR(VALUE(TRIM(MID(MID($A1295,FIND("/",$A1295)+1,20),FIND("/",MID($A1295,FIND("/",$A1295)+1,20))+1,20))),"")))</f>
        <v/>
      </c>
      <c r="E1295">
        <f>IF($A1295="","",IF(OR($B1295="",$C1295="",$D1295="",$B1295&lt;1300,$B1295&gt;1500,$C1295&lt;1,$C1295&gt;12,$D1295&lt;1,$D1295&gt;31),"نامعتبر",RIGHT("0000"&amp;$B1295,4)&amp;"/"&amp;RIGHT("00"&amp;$C1295,2)&amp;"/"&amp;RIGHT("00"&amp;$D1295,2)))</f>
        <v/>
      </c>
      <c r="F1295">
        <f>IF(OR($E1295="",$E1295="نامعتبر"),"",LEFT($E1295,4)&amp;"/"&amp;MID($E1295,6,2))</f>
        <v/>
      </c>
      <c r="G1295">
        <f>IF(OR($E1295="",$E1295="نامعتبر",Sync!$X1291=""),"",IF(AND(LEFT(UPPER(TRIM(Sync!$X1291)),2)="SL",IFERROR(VLOOKUP(Sync!$W1291,OpTbl,3,0),"")="فروش"),UPPER(TRIM(Sync!$X1291)),""))</f>
        <v/>
      </c>
      <c r="H1295">
        <f>IF($G1295="","",IF(Sync!$W1291="","",Sync!$W1291))</f>
        <v/>
      </c>
      <c r="I1295">
        <f>IF(OR($G1295="",Sync!$Y1291=""),"",Sync!$Y1291)</f>
        <v/>
      </c>
      <c r="J1295">
        <f>IF(OR($G1295="",Sync!$Z1291=""),"",Sync!$Z1291)</f>
        <v/>
      </c>
      <c r="K1295">
        <f>IF($G1295="",0,IF(Sync!$AA1291="",0,Sync!$AA1291))</f>
        <v/>
      </c>
      <c r="L1295">
        <f>IF($G1295="",0,IF(Sync!$AB1291="",0,Sync!$AB1291))</f>
        <v/>
      </c>
      <c r="M1295">
        <f>IF($G1295="","",IF($H1295="مرجوعی فروش",-1,1)*($K1295-$L1295*IFERROR(VLOOKUP("P01",ParamTbl,3,0),1.5)))</f>
        <v/>
      </c>
      <c r="N1295">
        <f>IF($G1295="",0,IF($H1295="مرجوعی فروش",-1,1)*IF(Sync!$AC1291="",0,Sync!$AC1291))</f>
        <v/>
      </c>
      <c r="O1295">
        <f>IF(OR($G1295="",Sync!$V1291=""),"",Sync!$V1291)</f>
        <v/>
      </c>
      <c r="P1295">
        <f>IF(OR($G1295="",Sync!$AD1291=""),"",Sync!$AD1291)</f>
        <v/>
      </c>
      <c r="Q1295">
        <f>IF($G1295="","",IF(Sync!$U1291="","0000",IF(AND(ISNUMBER(Sync!$U1291),Sync!$U1291&gt;=0,Sync!$U1291&lt;1),RIGHT("00"&amp;HOUR(Sync!$U1291),2)&amp;RIGHT("00"&amp;MINUTE(Sync!$U1291),2),IFERROR(RIGHT("00"&amp;VALUE(LEFT(Sync!$U1291,FIND(":",Sync!$U1291)-1)),2)&amp;RIGHT("00"&amp;VALUE(MID(Sync!$U1291,FIND(":",Sync!$U1291)+1,2)),2),"0000"))))</f>
        <v/>
      </c>
    </row>
    <row r="1296">
      <c r="A1296">
        <f>IF(Sync!$T1292="","",Sync!$T1292)</f>
        <v/>
      </c>
      <c r="B1296">
        <f>IF($A1296="","",IF(ISNUMBER($A1296),IF(AND($A1296&gt;=10000101,$A1296&lt;=99991231),INT($A1296/10000),""),IFERROR(VALUE(TRIM(LEFT($A1296,FIND("/",$A1296)-1))),"")))</f>
        <v/>
      </c>
      <c r="C1296">
        <f>IF(OR($A1296="",$B1296=""),"",IF(ISNUMBER($A1296),INT(MOD($A1296,10000)/100),IFERROR(VALUE(TRIM(LEFT(MID($A1296,FIND("/",$A1296)+1,20),FIND("/",MID($A1296,FIND("/",$A1296)+1,20))-1))),"")))</f>
        <v/>
      </c>
      <c r="D1296">
        <f>IF(OR($A1296="",$B1296=""),"",IF(ISNUMBER($A1296),MOD($A1296,100),IFERROR(VALUE(TRIM(MID(MID($A1296,FIND("/",$A1296)+1,20),FIND("/",MID($A1296,FIND("/",$A1296)+1,20))+1,20))),"")))</f>
        <v/>
      </c>
      <c r="E1296">
        <f>IF($A1296="","",IF(OR($B1296="",$C1296="",$D1296="",$B1296&lt;1300,$B1296&gt;1500,$C1296&lt;1,$C1296&gt;12,$D1296&lt;1,$D1296&gt;31),"نامعتبر",RIGHT("0000"&amp;$B1296,4)&amp;"/"&amp;RIGHT("00"&amp;$C1296,2)&amp;"/"&amp;RIGHT("00"&amp;$D1296,2)))</f>
        <v/>
      </c>
      <c r="F1296">
        <f>IF(OR($E1296="",$E1296="نامعتبر"),"",LEFT($E1296,4)&amp;"/"&amp;MID($E1296,6,2))</f>
        <v/>
      </c>
      <c r="G1296">
        <f>IF(OR($E1296="",$E1296="نامعتبر",Sync!$X1292=""),"",IF(AND(LEFT(UPPER(TRIM(Sync!$X1292)),2)="SL",IFERROR(VLOOKUP(Sync!$W1292,OpTbl,3,0),"")="فروش"),UPPER(TRIM(Sync!$X1292)),""))</f>
        <v/>
      </c>
      <c r="H1296">
        <f>IF($G1296="","",IF(Sync!$W1292="","",Sync!$W1292))</f>
        <v/>
      </c>
      <c r="I1296">
        <f>IF(OR($G1296="",Sync!$Y1292=""),"",Sync!$Y1292)</f>
        <v/>
      </c>
      <c r="J1296">
        <f>IF(OR($G1296="",Sync!$Z1292=""),"",Sync!$Z1292)</f>
        <v/>
      </c>
      <c r="K1296">
        <f>IF($G1296="",0,IF(Sync!$AA1292="",0,Sync!$AA1292))</f>
        <v/>
      </c>
      <c r="L1296">
        <f>IF($G1296="",0,IF(Sync!$AB1292="",0,Sync!$AB1292))</f>
        <v/>
      </c>
      <c r="M1296">
        <f>IF($G1296="","",IF($H1296="مرجوعی فروش",-1,1)*($K1296-$L1296*IFERROR(VLOOKUP("P01",ParamTbl,3,0),1.5)))</f>
        <v/>
      </c>
      <c r="N1296">
        <f>IF($G1296="",0,IF($H1296="مرجوعی فروش",-1,1)*IF(Sync!$AC1292="",0,Sync!$AC1292))</f>
        <v/>
      </c>
      <c r="O1296">
        <f>IF(OR($G1296="",Sync!$V1292=""),"",Sync!$V1292)</f>
        <v/>
      </c>
      <c r="P1296">
        <f>IF(OR($G1296="",Sync!$AD1292=""),"",Sync!$AD1292)</f>
        <v/>
      </c>
      <c r="Q1296">
        <f>IF($G1296="","",IF(Sync!$U1292="","0000",IF(AND(ISNUMBER(Sync!$U1292),Sync!$U1292&gt;=0,Sync!$U1292&lt;1),RIGHT("00"&amp;HOUR(Sync!$U1292),2)&amp;RIGHT("00"&amp;MINUTE(Sync!$U1292),2),IFERROR(RIGHT("00"&amp;VALUE(LEFT(Sync!$U1292,FIND(":",Sync!$U1292)-1)),2)&amp;RIGHT("00"&amp;VALUE(MID(Sync!$U1292,FIND(":",Sync!$U1292)+1,2)),2),"0000"))))</f>
        <v/>
      </c>
    </row>
    <row r="1297">
      <c r="A1297">
        <f>IF(Sync!$T1293="","",Sync!$T1293)</f>
        <v/>
      </c>
      <c r="B1297">
        <f>IF($A1297="","",IF(ISNUMBER($A1297),IF(AND($A1297&gt;=10000101,$A1297&lt;=99991231),INT($A1297/10000),""),IFERROR(VALUE(TRIM(LEFT($A1297,FIND("/",$A1297)-1))),"")))</f>
        <v/>
      </c>
      <c r="C1297">
        <f>IF(OR($A1297="",$B1297=""),"",IF(ISNUMBER($A1297),INT(MOD($A1297,10000)/100),IFERROR(VALUE(TRIM(LEFT(MID($A1297,FIND("/",$A1297)+1,20),FIND("/",MID($A1297,FIND("/",$A1297)+1,20))-1))),"")))</f>
        <v/>
      </c>
      <c r="D1297">
        <f>IF(OR($A1297="",$B1297=""),"",IF(ISNUMBER($A1297),MOD($A1297,100),IFERROR(VALUE(TRIM(MID(MID($A1297,FIND("/",$A1297)+1,20),FIND("/",MID($A1297,FIND("/",$A1297)+1,20))+1,20))),"")))</f>
        <v/>
      </c>
      <c r="E1297">
        <f>IF($A1297="","",IF(OR($B1297="",$C1297="",$D1297="",$B1297&lt;1300,$B1297&gt;1500,$C1297&lt;1,$C1297&gt;12,$D1297&lt;1,$D1297&gt;31),"نامعتبر",RIGHT("0000"&amp;$B1297,4)&amp;"/"&amp;RIGHT("00"&amp;$C1297,2)&amp;"/"&amp;RIGHT("00"&amp;$D1297,2)))</f>
        <v/>
      </c>
      <c r="F1297">
        <f>IF(OR($E1297="",$E1297="نامعتبر"),"",LEFT($E1297,4)&amp;"/"&amp;MID($E1297,6,2))</f>
        <v/>
      </c>
      <c r="G1297">
        <f>IF(OR($E1297="",$E1297="نامعتبر",Sync!$X1293=""),"",IF(AND(LEFT(UPPER(TRIM(Sync!$X1293)),2)="SL",IFERROR(VLOOKUP(Sync!$W1293,OpTbl,3,0),"")="فروش"),UPPER(TRIM(Sync!$X1293)),""))</f>
        <v/>
      </c>
      <c r="H1297">
        <f>IF($G1297="","",IF(Sync!$W1293="","",Sync!$W1293))</f>
        <v/>
      </c>
      <c r="I1297">
        <f>IF(OR($G1297="",Sync!$Y1293=""),"",Sync!$Y1293)</f>
        <v/>
      </c>
      <c r="J1297">
        <f>IF(OR($G1297="",Sync!$Z1293=""),"",Sync!$Z1293)</f>
        <v/>
      </c>
      <c r="K1297">
        <f>IF($G1297="",0,IF(Sync!$AA1293="",0,Sync!$AA1293))</f>
        <v/>
      </c>
      <c r="L1297">
        <f>IF($G1297="",0,IF(Sync!$AB1293="",0,Sync!$AB1293))</f>
        <v/>
      </c>
      <c r="M1297">
        <f>IF($G1297="","",IF($H1297="مرجوعی فروش",-1,1)*($K1297-$L1297*IFERROR(VLOOKUP("P01",ParamTbl,3,0),1.5)))</f>
        <v/>
      </c>
      <c r="N1297">
        <f>IF($G1297="",0,IF($H1297="مرجوعی فروش",-1,1)*IF(Sync!$AC1293="",0,Sync!$AC1293))</f>
        <v/>
      </c>
      <c r="O1297">
        <f>IF(OR($G1297="",Sync!$V1293=""),"",Sync!$V1293)</f>
        <v/>
      </c>
      <c r="P1297">
        <f>IF(OR($G1297="",Sync!$AD1293=""),"",Sync!$AD1293)</f>
        <v/>
      </c>
      <c r="Q1297">
        <f>IF($G1297="","",IF(Sync!$U1293="","0000",IF(AND(ISNUMBER(Sync!$U1293),Sync!$U1293&gt;=0,Sync!$U1293&lt;1),RIGHT("00"&amp;HOUR(Sync!$U1293),2)&amp;RIGHT("00"&amp;MINUTE(Sync!$U1293),2),IFERROR(RIGHT("00"&amp;VALUE(LEFT(Sync!$U1293,FIND(":",Sync!$U1293)-1)),2)&amp;RIGHT("00"&amp;VALUE(MID(Sync!$U1293,FIND(":",Sync!$U1293)+1,2)),2),"0000"))))</f>
        <v/>
      </c>
    </row>
    <row r="1298">
      <c r="A1298">
        <f>IF(Sync!$T1294="","",Sync!$T1294)</f>
        <v/>
      </c>
      <c r="B1298">
        <f>IF($A1298="","",IF(ISNUMBER($A1298),IF(AND($A1298&gt;=10000101,$A1298&lt;=99991231),INT($A1298/10000),""),IFERROR(VALUE(TRIM(LEFT($A1298,FIND("/",$A1298)-1))),"")))</f>
        <v/>
      </c>
      <c r="C1298">
        <f>IF(OR($A1298="",$B1298=""),"",IF(ISNUMBER($A1298),INT(MOD($A1298,10000)/100),IFERROR(VALUE(TRIM(LEFT(MID($A1298,FIND("/",$A1298)+1,20),FIND("/",MID($A1298,FIND("/",$A1298)+1,20))-1))),"")))</f>
        <v/>
      </c>
      <c r="D1298">
        <f>IF(OR($A1298="",$B1298=""),"",IF(ISNUMBER($A1298),MOD($A1298,100),IFERROR(VALUE(TRIM(MID(MID($A1298,FIND("/",$A1298)+1,20),FIND("/",MID($A1298,FIND("/",$A1298)+1,20))+1,20))),"")))</f>
        <v/>
      </c>
      <c r="E1298">
        <f>IF($A1298="","",IF(OR($B1298="",$C1298="",$D1298="",$B1298&lt;1300,$B1298&gt;1500,$C1298&lt;1,$C1298&gt;12,$D1298&lt;1,$D1298&gt;31),"نامعتبر",RIGHT("0000"&amp;$B1298,4)&amp;"/"&amp;RIGHT("00"&amp;$C1298,2)&amp;"/"&amp;RIGHT("00"&amp;$D1298,2)))</f>
        <v/>
      </c>
      <c r="F1298">
        <f>IF(OR($E1298="",$E1298="نامعتبر"),"",LEFT($E1298,4)&amp;"/"&amp;MID($E1298,6,2))</f>
        <v/>
      </c>
      <c r="G1298">
        <f>IF(OR($E1298="",$E1298="نامعتبر",Sync!$X1294=""),"",IF(AND(LEFT(UPPER(TRIM(Sync!$X1294)),2)="SL",IFERROR(VLOOKUP(Sync!$W1294,OpTbl,3,0),"")="فروش"),UPPER(TRIM(Sync!$X1294)),""))</f>
        <v/>
      </c>
      <c r="H1298">
        <f>IF($G1298="","",IF(Sync!$W1294="","",Sync!$W1294))</f>
        <v/>
      </c>
      <c r="I1298">
        <f>IF(OR($G1298="",Sync!$Y1294=""),"",Sync!$Y1294)</f>
        <v/>
      </c>
      <c r="J1298">
        <f>IF(OR($G1298="",Sync!$Z1294=""),"",Sync!$Z1294)</f>
        <v/>
      </c>
      <c r="K1298">
        <f>IF($G1298="",0,IF(Sync!$AA1294="",0,Sync!$AA1294))</f>
        <v/>
      </c>
      <c r="L1298">
        <f>IF($G1298="",0,IF(Sync!$AB1294="",0,Sync!$AB1294))</f>
        <v/>
      </c>
      <c r="M1298">
        <f>IF($G1298="","",IF($H1298="مرجوعی فروش",-1,1)*($K1298-$L1298*IFERROR(VLOOKUP("P01",ParamTbl,3,0),1.5)))</f>
        <v/>
      </c>
      <c r="N1298">
        <f>IF($G1298="",0,IF($H1298="مرجوعی فروش",-1,1)*IF(Sync!$AC1294="",0,Sync!$AC1294))</f>
        <v/>
      </c>
      <c r="O1298">
        <f>IF(OR($G1298="",Sync!$V1294=""),"",Sync!$V1294)</f>
        <v/>
      </c>
      <c r="P1298">
        <f>IF(OR($G1298="",Sync!$AD1294=""),"",Sync!$AD1294)</f>
        <v/>
      </c>
      <c r="Q1298">
        <f>IF($G1298="","",IF(Sync!$U1294="","0000",IF(AND(ISNUMBER(Sync!$U1294),Sync!$U1294&gt;=0,Sync!$U1294&lt;1),RIGHT("00"&amp;HOUR(Sync!$U1294),2)&amp;RIGHT("00"&amp;MINUTE(Sync!$U1294),2),IFERROR(RIGHT("00"&amp;VALUE(LEFT(Sync!$U1294,FIND(":",Sync!$U1294)-1)),2)&amp;RIGHT("00"&amp;VALUE(MID(Sync!$U1294,FIND(":",Sync!$U1294)+1,2)),2),"0000"))))</f>
        <v/>
      </c>
    </row>
    <row r="1299">
      <c r="A1299">
        <f>IF(Sync!$T1295="","",Sync!$T1295)</f>
        <v/>
      </c>
      <c r="B1299">
        <f>IF($A1299="","",IF(ISNUMBER($A1299),IF(AND($A1299&gt;=10000101,$A1299&lt;=99991231),INT($A1299/10000),""),IFERROR(VALUE(TRIM(LEFT($A1299,FIND("/",$A1299)-1))),"")))</f>
        <v/>
      </c>
      <c r="C1299">
        <f>IF(OR($A1299="",$B1299=""),"",IF(ISNUMBER($A1299),INT(MOD($A1299,10000)/100),IFERROR(VALUE(TRIM(LEFT(MID($A1299,FIND("/",$A1299)+1,20),FIND("/",MID($A1299,FIND("/",$A1299)+1,20))-1))),"")))</f>
        <v/>
      </c>
      <c r="D1299">
        <f>IF(OR($A1299="",$B1299=""),"",IF(ISNUMBER($A1299),MOD($A1299,100),IFERROR(VALUE(TRIM(MID(MID($A1299,FIND("/",$A1299)+1,20),FIND("/",MID($A1299,FIND("/",$A1299)+1,20))+1,20))),"")))</f>
        <v/>
      </c>
      <c r="E1299">
        <f>IF($A1299="","",IF(OR($B1299="",$C1299="",$D1299="",$B1299&lt;1300,$B1299&gt;1500,$C1299&lt;1,$C1299&gt;12,$D1299&lt;1,$D1299&gt;31),"نامعتبر",RIGHT("0000"&amp;$B1299,4)&amp;"/"&amp;RIGHT("00"&amp;$C1299,2)&amp;"/"&amp;RIGHT("00"&amp;$D1299,2)))</f>
        <v/>
      </c>
      <c r="F1299">
        <f>IF(OR($E1299="",$E1299="نامعتبر"),"",LEFT($E1299,4)&amp;"/"&amp;MID($E1299,6,2))</f>
        <v/>
      </c>
      <c r="G1299">
        <f>IF(OR($E1299="",$E1299="نامعتبر",Sync!$X1295=""),"",IF(AND(LEFT(UPPER(TRIM(Sync!$X1295)),2)="SL",IFERROR(VLOOKUP(Sync!$W1295,OpTbl,3,0),"")="فروش"),UPPER(TRIM(Sync!$X1295)),""))</f>
        <v/>
      </c>
      <c r="H1299">
        <f>IF($G1299="","",IF(Sync!$W1295="","",Sync!$W1295))</f>
        <v/>
      </c>
      <c r="I1299">
        <f>IF(OR($G1299="",Sync!$Y1295=""),"",Sync!$Y1295)</f>
        <v/>
      </c>
      <c r="J1299">
        <f>IF(OR($G1299="",Sync!$Z1295=""),"",Sync!$Z1295)</f>
        <v/>
      </c>
      <c r="K1299">
        <f>IF($G1299="",0,IF(Sync!$AA1295="",0,Sync!$AA1295))</f>
        <v/>
      </c>
      <c r="L1299">
        <f>IF($G1299="",0,IF(Sync!$AB1295="",0,Sync!$AB1295))</f>
        <v/>
      </c>
      <c r="M1299">
        <f>IF($G1299="","",IF($H1299="مرجوعی فروش",-1,1)*($K1299-$L1299*IFERROR(VLOOKUP("P01",ParamTbl,3,0),1.5)))</f>
        <v/>
      </c>
      <c r="N1299">
        <f>IF($G1299="",0,IF($H1299="مرجوعی فروش",-1,1)*IF(Sync!$AC1295="",0,Sync!$AC1295))</f>
        <v/>
      </c>
      <c r="O1299">
        <f>IF(OR($G1299="",Sync!$V1295=""),"",Sync!$V1295)</f>
        <v/>
      </c>
      <c r="P1299">
        <f>IF(OR($G1299="",Sync!$AD1295=""),"",Sync!$AD1295)</f>
        <v/>
      </c>
      <c r="Q1299">
        <f>IF($G1299="","",IF(Sync!$U1295="","0000",IF(AND(ISNUMBER(Sync!$U1295),Sync!$U1295&gt;=0,Sync!$U1295&lt;1),RIGHT("00"&amp;HOUR(Sync!$U1295),2)&amp;RIGHT("00"&amp;MINUTE(Sync!$U1295),2),IFERROR(RIGHT("00"&amp;VALUE(LEFT(Sync!$U1295,FIND(":",Sync!$U1295)-1)),2)&amp;RIGHT("00"&amp;VALUE(MID(Sync!$U1295,FIND(":",Sync!$U1295)+1,2)),2),"0000"))))</f>
        <v/>
      </c>
    </row>
    <row r="1300">
      <c r="A1300">
        <f>IF(Sync!$T1296="","",Sync!$T1296)</f>
        <v/>
      </c>
      <c r="B1300">
        <f>IF($A1300="","",IF(ISNUMBER($A1300),IF(AND($A1300&gt;=10000101,$A1300&lt;=99991231),INT($A1300/10000),""),IFERROR(VALUE(TRIM(LEFT($A1300,FIND("/",$A1300)-1))),"")))</f>
        <v/>
      </c>
      <c r="C1300">
        <f>IF(OR($A1300="",$B1300=""),"",IF(ISNUMBER($A1300),INT(MOD($A1300,10000)/100),IFERROR(VALUE(TRIM(LEFT(MID($A1300,FIND("/",$A1300)+1,20),FIND("/",MID($A1300,FIND("/",$A1300)+1,20))-1))),"")))</f>
        <v/>
      </c>
      <c r="D1300">
        <f>IF(OR($A1300="",$B1300=""),"",IF(ISNUMBER($A1300),MOD($A1300,100),IFERROR(VALUE(TRIM(MID(MID($A1300,FIND("/",$A1300)+1,20),FIND("/",MID($A1300,FIND("/",$A1300)+1,20))+1,20))),"")))</f>
        <v/>
      </c>
      <c r="E1300">
        <f>IF($A1300="","",IF(OR($B1300="",$C1300="",$D1300="",$B1300&lt;1300,$B1300&gt;1500,$C1300&lt;1,$C1300&gt;12,$D1300&lt;1,$D1300&gt;31),"نامعتبر",RIGHT("0000"&amp;$B1300,4)&amp;"/"&amp;RIGHT("00"&amp;$C1300,2)&amp;"/"&amp;RIGHT("00"&amp;$D1300,2)))</f>
        <v/>
      </c>
      <c r="F1300">
        <f>IF(OR($E1300="",$E1300="نامعتبر"),"",LEFT($E1300,4)&amp;"/"&amp;MID($E1300,6,2))</f>
        <v/>
      </c>
      <c r="G1300">
        <f>IF(OR($E1300="",$E1300="نامعتبر",Sync!$X1296=""),"",IF(AND(LEFT(UPPER(TRIM(Sync!$X1296)),2)="SL",IFERROR(VLOOKUP(Sync!$W1296,OpTbl,3,0),"")="فروش"),UPPER(TRIM(Sync!$X1296)),""))</f>
        <v/>
      </c>
      <c r="H1300">
        <f>IF($G1300="","",IF(Sync!$W1296="","",Sync!$W1296))</f>
        <v/>
      </c>
      <c r="I1300">
        <f>IF(OR($G1300="",Sync!$Y1296=""),"",Sync!$Y1296)</f>
        <v/>
      </c>
      <c r="J1300">
        <f>IF(OR($G1300="",Sync!$Z1296=""),"",Sync!$Z1296)</f>
        <v/>
      </c>
      <c r="K1300">
        <f>IF($G1300="",0,IF(Sync!$AA1296="",0,Sync!$AA1296))</f>
        <v/>
      </c>
      <c r="L1300">
        <f>IF($G1300="",0,IF(Sync!$AB1296="",0,Sync!$AB1296))</f>
        <v/>
      </c>
      <c r="M1300">
        <f>IF($G1300="","",IF($H1300="مرجوعی فروش",-1,1)*($K1300-$L1300*IFERROR(VLOOKUP("P01",ParamTbl,3,0),1.5)))</f>
        <v/>
      </c>
      <c r="N1300">
        <f>IF($G1300="",0,IF($H1300="مرجوعی فروش",-1,1)*IF(Sync!$AC1296="",0,Sync!$AC1296))</f>
        <v/>
      </c>
      <c r="O1300">
        <f>IF(OR($G1300="",Sync!$V1296=""),"",Sync!$V1296)</f>
        <v/>
      </c>
      <c r="P1300">
        <f>IF(OR($G1300="",Sync!$AD1296=""),"",Sync!$AD1296)</f>
        <v/>
      </c>
      <c r="Q1300">
        <f>IF($G1300="","",IF(Sync!$U1296="","0000",IF(AND(ISNUMBER(Sync!$U1296),Sync!$U1296&gt;=0,Sync!$U1296&lt;1),RIGHT("00"&amp;HOUR(Sync!$U1296),2)&amp;RIGHT("00"&amp;MINUTE(Sync!$U1296),2),IFERROR(RIGHT("00"&amp;VALUE(LEFT(Sync!$U1296,FIND(":",Sync!$U1296)-1)),2)&amp;RIGHT("00"&amp;VALUE(MID(Sync!$U1296,FIND(":",Sync!$U1296)+1,2)),2),"0000"))))</f>
        <v/>
      </c>
    </row>
    <row r="1301">
      <c r="A1301">
        <f>IF(Sync!$T1297="","",Sync!$T1297)</f>
        <v/>
      </c>
      <c r="B1301">
        <f>IF($A1301="","",IF(ISNUMBER($A1301),IF(AND($A1301&gt;=10000101,$A1301&lt;=99991231),INT($A1301/10000),""),IFERROR(VALUE(TRIM(LEFT($A1301,FIND("/",$A1301)-1))),"")))</f>
        <v/>
      </c>
      <c r="C1301">
        <f>IF(OR($A1301="",$B1301=""),"",IF(ISNUMBER($A1301),INT(MOD($A1301,10000)/100),IFERROR(VALUE(TRIM(LEFT(MID($A1301,FIND("/",$A1301)+1,20),FIND("/",MID($A1301,FIND("/",$A1301)+1,20))-1))),"")))</f>
        <v/>
      </c>
      <c r="D1301">
        <f>IF(OR($A1301="",$B1301=""),"",IF(ISNUMBER($A1301),MOD($A1301,100),IFERROR(VALUE(TRIM(MID(MID($A1301,FIND("/",$A1301)+1,20),FIND("/",MID($A1301,FIND("/",$A1301)+1,20))+1,20))),"")))</f>
        <v/>
      </c>
      <c r="E1301">
        <f>IF($A1301="","",IF(OR($B1301="",$C1301="",$D1301="",$B1301&lt;1300,$B1301&gt;1500,$C1301&lt;1,$C1301&gt;12,$D1301&lt;1,$D1301&gt;31),"نامعتبر",RIGHT("0000"&amp;$B1301,4)&amp;"/"&amp;RIGHT("00"&amp;$C1301,2)&amp;"/"&amp;RIGHT("00"&amp;$D1301,2)))</f>
        <v/>
      </c>
      <c r="F1301">
        <f>IF(OR($E1301="",$E1301="نامعتبر"),"",LEFT($E1301,4)&amp;"/"&amp;MID($E1301,6,2))</f>
        <v/>
      </c>
      <c r="G1301">
        <f>IF(OR($E1301="",$E1301="نامعتبر",Sync!$X1297=""),"",IF(AND(LEFT(UPPER(TRIM(Sync!$X1297)),2)="SL",IFERROR(VLOOKUP(Sync!$W1297,OpTbl,3,0),"")="فروش"),UPPER(TRIM(Sync!$X1297)),""))</f>
        <v/>
      </c>
      <c r="H1301">
        <f>IF($G1301="","",IF(Sync!$W1297="","",Sync!$W1297))</f>
        <v/>
      </c>
      <c r="I1301">
        <f>IF(OR($G1301="",Sync!$Y1297=""),"",Sync!$Y1297)</f>
        <v/>
      </c>
      <c r="J1301">
        <f>IF(OR($G1301="",Sync!$Z1297=""),"",Sync!$Z1297)</f>
        <v/>
      </c>
      <c r="K1301">
        <f>IF($G1301="",0,IF(Sync!$AA1297="",0,Sync!$AA1297))</f>
        <v/>
      </c>
      <c r="L1301">
        <f>IF($G1301="",0,IF(Sync!$AB1297="",0,Sync!$AB1297))</f>
        <v/>
      </c>
      <c r="M1301">
        <f>IF($G1301="","",IF($H1301="مرجوعی فروش",-1,1)*($K1301-$L1301*IFERROR(VLOOKUP("P01",ParamTbl,3,0),1.5)))</f>
        <v/>
      </c>
      <c r="N1301">
        <f>IF($G1301="",0,IF($H1301="مرجوعی فروش",-1,1)*IF(Sync!$AC1297="",0,Sync!$AC1297))</f>
        <v/>
      </c>
      <c r="O1301">
        <f>IF(OR($G1301="",Sync!$V1297=""),"",Sync!$V1297)</f>
        <v/>
      </c>
      <c r="P1301">
        <f>IF(OR($G1301="",Sync!$AD1297=""),"",Sync!$AD1297)</f>
        <v/>
      </c>
      <c r="Q1301">
        <f>IF($G1301="","",IF(Sync!$U1297="","0000",IF(AND(ISNUMBER(Sync!$U1297),Sync!$U1297&gt;=0,Sync!$U1297&lt;1),RIGHT("00"&amp;HOUR(Sync!$U1297),2)&amp;RIGHT("00"&amp;MINUTE(Sync!$U1297),2),IFERROR(RIGHT("00"&amp;VALUE(LEFT(Sync!$U1297,FIND(":",Sync!$U1297)-1)),2)&amp;RIGHT("00"&amp;VALUE(MID(Sync!$U1297,FIND(":",Sync!$U1297)+1,2)),2),"0000"))))</f>
        <v/>
      </c>
    </row>
    <row r="1302">
      <c r="A1302">
        <f>IF(Sync!$T1298="","",Sync!$T1298)</f>
        <v/>
      </c>
      <c r="B1302">
        <f>IF($A1302="","",IF(ISNUMBER($A1302),IF(AND($A1302&gt;=10000101,$A1302&lt;=99991231),INT($A1302/10000),""),IFERROR(VALUE(TRIM(LEFT($A1302,FIND("/",$A1302)-1))),"")))</f>
        <v/>
      </c>
      <c r="C1302">
        <f>IF(OR($A1302="",$B1302=""),"",IF(ISNUMBER($A1302),INT(MOD($A1302,10000)/100),IFERROR(VALUE(TRIM(LEFT(MID($A1302,FIND("/",$A1302)+1,20),FIND("/",MID($A1302,FIND("/",$A1302)+1,20))-1))),"")))</f>
        <v/>
      </c>
      <c r="D1302">
        <f>IF(OR($A1302="",$B1302=""),"",IF(ISNUMBER($A1302),MOD($A1302,100),IFERROR(VALUE(TRIM(MID(MID($A1302,FIND("/",$A1302)+1,20),FIND("/",MID($A1302,FIND("/",$A1302)+1,20))+1,20))),"")))</f>
        <v/>
      </c>
      <c r="E1302">
        <f>IF($A1302="","",IF(OR($B1302="",$C1302="",$D1302="",$B1302&lt;1300,$B1302&gt;1500,$C1302&lt;1,$C1302&gt;12,$D1302&lt;1,$D1302&gt;31),"نامعتبر",RIGHT("0000"&amp;$B1302,4)&amp;"/"&amp;RIGHT("00"&amp;$C1302,2)&amp;"/"&amp;RIGHT("00"&amp;$D1302,2)))</f>
        <v/>
      </c>
      <c r="F1302">
        <f>IF(OR($E1302="",$E1302="نامعتبر"),"",LEFT($E1302,4)&amp;"/"&amp;MID($E1302,6,2))</f>
        <v/>
      </c>
      <c r="G1302">
        <f>IF(OR($E1302="",$E1302="نامعتبر",Sync!$X1298=""),"",IF(AND(LEFT(UPPER(TRIM(Sync!$X1298)),2)="SL",IFERROR(VLOOKUP(Sync!$W1298,OpTbl,3,0),"")="فروش"),UPPER(TRIM(Sync!$X1298)),""))</f>
        <v/>
      </c>
      <c r="H1302">
        <f>IF($G1302="","",IF(Sync!$W1298="","",Sync!$W1298))</f>
        <v/>
      </c>
      <c r="I1302">
        <f>IF(OR($G1302="",Sync!$Y1298=""),"",Sync!$Y1298)</f>
        <v/>
      </c>
      <c r="J1302">
        <f>IF(OR($G1302="",Sync!$Z1298=""),"",Sync!$Z1298)</f>
        <v/>
      </c>
      <c r="K1302">
        <f>IF($G1302="",0,IF(Sync!$AA1298="",0,Sync!$AA1298))</f>
        <v/>
      </c>
      <c r="L1302">
        <f>IF($G1302="",0,IF(Sync!$AB1298="",0,Sync!$AB1298))</f>
        <v/>
      </c>
      <c r="M1302">
        <f>IF($G1302="","",IF($H1302="مرجوعی فروش",-1,1)*($K1302-$L1302*IFERROR(VLOOKUP("P01",ParamTbl,3,0),1.5)))</f>
        <v/>
      </c>
      <c r="N1302">
        <f>IF($G1302="",0,IF($H1302="مرجوعی فروش",-1,1)*IF(Sync!$AC1298="",0,Sync!$AC1298))</f>
        <v/>
      </c>
      <c r="O1302">
        <f>IF(OR($G1302="",Sync!$V1298=""),"",Sync!$V1298)</f>
        <v/>
      </c>
      <c r="P1302">
        <f>IF(OR($G1302="",Sync!$AD1298=""),"",Sync!$AD1298)</f>
        <v/>
      </c>
      <c r="Q1302">
        <f>IF($G1302="","",IF(Sync!$U1298="","0000",IF(AND(ISNUMBER(Sync!$U1298),Sync!$U1298&gt;=0,Sync!$U1298&lt;1),RIGHT("00"&amp;HOUR(Sync!$U1298),2)&amp;RIGHT("00"&amp;MINUTE(Sync!$U1298),2),IFERROR(RIGHT("00"&amp;VALUE(LEFT(Sync!$U1298,FIND(":",Sync!$U1298)-1)),2)&amp;RIGHT("00"&amp;VALUE(MID(Sync!$U1298,FIND(":",Sync!$U1298)+1,2)),2),"0000"))))</f>
        <v/>
      </c>
    </row>
    <row r="1303">
      <c r="A1303">
        <f>IF(Sync!$T1299="","",Sync!$T1299)</f>
        <v/>
      </c>
      <c r="B1303">
        <f>IF($A1303="","",IF(ISNUMBER($A1303),IF(AND($A1303&gt;=10000101,$A1303&lt;=99991231),INT($A1303/10000),""),IFERROR(VALUE(TRIM(LEFT($A1303,FIND("/",$A1303)-1))),"")))</f>
        <v/>
      </c>
      <c r="C1303">
        <f>IF(OR($A1303="",$B1303=""),"",IF(ISNUMBER($A1303),INT(MOD($A1303,10000)/100),IFERROR(VALUE(TRIM(LEFT(MID($A1303,FIND("/",$A1303)+1,20),FIND("/",MID($A1303,FIND("/",$A1303)+1,20))-1))),"")))</f>
        <v/>
      </c>
      <c r="D1303">
        <f>IF(OR($A1303="",$B1303=""),"",IF(ISNUMBER($A1303),MOD($A1303,100),IFERROR(VALUE(TRIM(MID(MID($A1303,FIND("/",$A1303)+1,20),FIND("/",MID($A1303,FIND("/",$A1303)+1,20))+1,20))),"")))</f>
        <v/>
      </c>
      <c r="E1303">
        <f>IF($A1303="","",IF(OR($B1303="",$C1303="",$D1303="",$B1303&lt;1300,$B1303&gt;1500,$C1303&lt;1,$C1303&gt;12,$D1303&lt;1,$D1303&gt;31),"نامعتبر",RIGHT("0000"&amp;$B1303,4)&amp;"/"&amp;RIGHT("00"&amp;$C1303,2)&amp;"/"&amp;RIGHT("00"&amp;$D1303,2)))</f>
        <v/>
      </c>
      <c r="F1303">
        <f>IF(OR($E1303="",$E1303="نامعتبر"),"",LEFT($E1303,4)&amp;"/"&amp;MID($E1303,6,2))</f>
        <v/>
      </c>
      <c r="G1303">
        <f>IF(OR($E1303="",$E1303="نامعتبر",Sync!$X1299=""),"",IF(AND(LEFT(UPPER(TRIM(Sync!$X1299)),2)="SL",IFERROR(VLOOKUP(Sync!$W1299,OpTbl,3,0),"")="فروش"),UPPER(TRIM(Sync!$X1299)),""))</f>
        <v/>
      </c>
      <c r="H1303">
        <f>IF($G1303="","",IF(Sync!$W1299="","",Sync!$W1299))</f>
        <v/>
      </c>
      <c r="I1303">
        <f>IF(OR($G1303="",Sync!$Y1299=""),"",Sync!$Y1299)</f>
        <v/>
      </c>
      <c r="J1303">
        <f>IF(OR($G1303="",Sync!$Z1299=""),"",Sync!$Z1299)</f>
        <v/>
      </c>
      <c r="K1303">
        <f>IF($G1303="",0,IF(Sync!$AA1299="",0,Sync!$AA1299))</f>
        <v/>
      </c>
      <c r="L1303">
        <f>IF($G1303="",0,IF(Sync!$AB1299="",0,Sync!$AB1299))</f>
        <v/>
      </c>
      <c r="M1303">
        <f>IF($G1303="","",IF($H1303="مرجوعی فروش",-1,1)*($K1303-$L1303*IFERROR(VLOOKUP("P01",ParamTbl,3,0),1.5)))</f>
        <v/>
      </c>
      <c r="N1303">
        <f>IF($G1303="",0,IF($H1303="مرجوعی فروش",-1,1)*IF(Sync!$AC1299="",0,Sync!$AC1299))</f>
        <v/>
      </c>
      <c r="O1303">
        <f>IF(OR($G1303="",Sync!$V1299=""),"",Sync!$V1299)</f>
        <v/>
      </c>
      <c r="P1303">
        <f>IF(OR($G1303="",Sync!$AD1299=""),"",Sync!$AD1299)</f>
        <v/>
      </c>
      <c r="Q1303">
        <f>IF($G1303="","",IF(Sync!$U1299="","0000",IF(AND(ISNUMBER(Sync!$U1299),Sync!$U1299&gt;=0,Sync!$U1299&lt;1),RIGHT("00"&amp;HOUR(Sync!$U1299),2)&amp;RIGHT("00"&amp;MINUTE(Sync!$U1299),2),IFERROR(RIGHT("00"&amp;VALUE(LEFT(Sync!$U1299,FIND(":",Sync!$U1299)-1)),2)&amp;RIGHT("00"&amp;VALUE(MID(Sync!$U1299,FIND(":",Sync!$U1299)+1,2)),2),"0000"))))</f>
        <v/>
      </c>
    </row>
    <row r="1304">
      <c r="A1304">
        <f>IF(Sync!$T1300="","",Sync!$T1300)</f>
        <v/>
      </c>
      <c r="B1304">
        <f>IF($A1304="","",IF(ISNUMBER($A1304),IF(AND($A1304&gt;=10000101,$A1304&lt;=99991231),INT($A1304/10000),""),IFERROR(VALUE(TRIM(LEFT($A1304,FIND("/",$A1304)-1))),"")))</f>
        <v/>
      </c>
      <c r="C1304">
        <f>IF(OR($A1304="",$B1304=""),"",IF(ISNUMBER($A1304),INT(MOD($A1304,10000)/100),IFERROR(VALUE(TRIM(LEFT(MID($A1304,FIND("/",$A1304)+1,20),FIND("/",MID($A1304,FIND("/",$A1304)+1,20))-1))),"")))</f>
        <v/>
      </c>
      <c r="D1304">
        <f>IF(OR($A1304="",$B1304=""),"",IF(ISNUMBER($A1304),MOD($A1304,100),IFERROR(VALUE(TRIM(MID(MID($A1304,FIND("/",$A1304)+1,20),FIND("/",MID($A1304,FIND("/",$A1304)+1,20))+1,20))),"")))</f>
        <v/>
      </c>
      <c r="E1304">
        <f>IF($A1304="","",IF(OR($B1304="",$C1304="",$D1304="",$B1304&lt;1300,$B1304&gt;1500,$C1304&lt;1,$C1304&gt;12,$D1304&lt;1,$D1304&gt;31),"نامعتبر",RIGHT("0000"&amp;$B1304,4)&amp;"/"&amp;RIGHT("00"&amp;$C1304,2)&amp;"/"&amp;RIGHT("00"&amp;$D1304,2)))</f>
        <v/>
      </c>
      <c r="F1304">
        <f>IF(OR($E1304="",$E1304="نامعتبر"),"",LEFT($E1304,4)&amp;"/"&amp;MID($E1304,6,2))</f>
        <v/>
      </c>
      <c r="G1304">
        <f>IF(OR($E1304="",$E1304="نامعتبر",Sync!$X1300=""),"",IF(AND(LEFT(UPPER(TRIM(Sync!$X1300)),2)="SL",IFERROR(VLOOKUP(Sync!$W1300,OpTbl,3,0),"")="فروش"),UPPER(TRIM(Sync!$X1300)),""))</f>
        <v/>
      </c>
      <c r="H1304">
        <f>IF($G1304="","",IF(Sync!$W1300="","",Sync!$W1300))</f>
        <v/>
      </c>
      <c r="I1304">
        <f>IF(OR($G1304="",Sync!$Y1300=""),"",Sync!$Y1300)</f>
        <v/>
      </c>
      <c r="J1304">
        <f>IF(OR($G1304="",Sync!$Z1300=""),"",Sync!$Z1300)</f>
        <v/>
      </c>
      <c r="K1304">
        <f>IF($G1304="",0,IF(Sync!$AA1300="",0,Sync!$AA1300))</f>
        <v/>
      </c>
      <c r="L1304">
        <f>IF($G1304="",0,IF(Sync!$AB1300="",0,Sync!$AB1300))</f>
        <v/>
      </c>
      <c r="M1304">
        <f>IF($G1304="","",IF($H1304="مرجوعی فروش",-1,1)*($K1304-$L1304*IFERROR(VLOOKUP("P01",ParamTbl,3,0),1.5)))</f>
        <v/>
      </c>
      <c r="N1304">
        <f>IF($G1304="",0,IF($H1304="مرجوعی فروش",-1,1)*IF(Sync!$AC1300="",0,Sync!$AC1300))</f>
        <v/>
      </c>
      <c r="O1304">
        <f>IF(OR($G1304="",Sync!$V1300=""),"",Sync!$V1300)</f>
        <v/>
      </c>
      <c r="P1304">
        <f>IF(OR($G1304="",Sync!$AD1300=""),"",Sync!$AD1300)</f>
        <v/>
      </c>
      <c r="Q1304">
        <f>IF($G1304="","",IF(Sync!$U1300="","0000",IF(AND(ISNUMBER(Sync!$U1300),Sync!$U1300&gt;=0,Sync!$U1300&lt;1),RIGHT("00"&amp;HOUR(Sync!$U1300),2)&amp;RIGHT("00"&amp;MINUTE(Sync!$U1300),2),IFERROR(RIGHT("00"&amp;VALUE(LEFT(Sync!$U1300,FIND(":",Sync!$U1300)-1)),2)&amp;RIGHT("00"&amp;VALUE(MID(Sync!$U1300,FIND(":",Sync!$U1300)+1,2)),2),"0000"))))</f>
        <v/>
      </c>
    </row>
    <row r="1305">
      <c r="A1305">
        <f>IF(Sync!$T1301="","",Sync!$T1301)</f>
        <v/>
      </c>
      <c r="B1305">
        <f>IF($A1305="","",IF(ISNUMBER($A1305),IF(AND($A1305&gt;=10000101,$A1305&lt;=99991231),INT($A1305/10000),""),IFERROR(VALUE(TRIM(LEFT($A1305,FIND("/",$A1305)-1))),"")))</f>
        <v/>
      </c>
      <c r="C1305">
        <f>IF(OR($A1305="",$B1305=""),"",IF(ISNUMBER($A1305),INT(MOD($A1305,10000)/100),IFERROR(VALUE(TRIM(LEFT(MID($A1305,FIND("/",$A1305)+1,20),FIND("/",MID($A1305,FIND("/",$A1305)+1,20))-1))),"")))</f>
        <v/>
      </c>
      <c r="D1305">
        <f>IF(OR($A1305="",$B1305=""),"",IF(ISNUMBER($A1305),MOD($A1305,100),IFERROR(VALUE(TRIM(MID(MID($A1305,FIND("/",$A1305)+1,20),FIND("/",MID($A1305,FIND("/",$A1305)+1,20))+1,20))),"")))</f>
        <v/>
      </c>
      <c r="E1305">
        <f>IF($A1305="","",IF(OR($B1305="",$C1305="",$D1305="",$B1305&lt;1300,$B1305&gt;1500,$C1305&lt;1,$C1305&gt;12,$D1305&lt;1,$D1305&gt;31),"نامعتبر",RIGHT("0000"&amp;$B1305,4)&amp;"/"&amp;RIGHT("00"&amp;$C1305,2)&amp;"/"&amp;RIGHT("00"&amp;$D1305,2)))</f>
        <v/>
      </c>
      <c r="F1305">
        <f>IF(OR($E1305="",$E1305="نامعتبر"),"",LEFT($E1305,4)&amp;"/"&amp;MID($E1305,6,2))</f>
        <v/>
      </c>
      <c r="G1305">
        <f>IF(OR($E1305="",$E1305="نامعتبر",Sync!$X1301=""),"",IF(AND(LEFT(UPPER(TRIM(Sync!$X1301)),2)="SL",IFERROR(VLOOKUP(Sync!$W1301,OpTbl,3,0),"")="فروش"),UPPER(TRIM(Sync!$X1301)),""))</f>
        <v/>
      </c>
      <c r="H1305">
        <f>IF($G1305="","",IF(Sync!$W1301="","",Sync!$W1301))</f>
        <v/>
      </c>
      <c r="I1305">
        <f>IF(OR($G1305="",Sync!$Y1301=""),"",Sync!$Y1301)</f>
        <v/>
      </c>
      <c r="J1305">
        <f>IF(OR($G1305="",Sync!$Z1301=""),"",Sync!$Z1301)</f>
        <v/>
      </c>
      <c r="K1305">
        <f>IF($G1305="",0,IF(Sync!$AA1301="",0,Sync!$AA1301))</f>
        <v/>
      </c>
      <c r="L1305">
        <f>IF($G1305="",0,IF(Sync!$AB1301="",0,Sync!$AB1301))</f>
        <v/>
      </c>
      <c r="M1305">
        <f>IF($G1305="","",IF($H1305="مرجوعی فروش",-1,1)*($K1305-$L1305*IFERROR(VLOOKUP("P01",ParamTbl,3,0),1.5)))</f>
        <v/>
      </c>
      <c r="N1305">
        <f>IF($G1305="",0,IF($H1305="مرجوعی فروش",-1,1)*IF(Sync!$AC1301="",0,Sync!$AC1301))</f>
        <v/>
      </c>
      <c r="O1305">
        <f>IF(OR($G1305="",Sync!$V1301=""),"",Sync!$V1301)</f>
        <v/>
      </c>
      <c r="P1305">
        <f>IF(OR($G1305="",Sync!$AD1301=""),"",Sync!$AD1301)</f>
        <v/>
      </c>
      <c r="Q1305">
        <f>IF($G1305="","",IF(Sync!$U1301="","0000",IF(AND(ISNUMBER(Sync!$U1301),Sync!$U1301&gt;=0,Sync!$U1301&lt;1),RIGHT("00"&amp;HOUR(Sync!$U1301),2)&amp;RIGHT("00"&amp;MINUTE(Sync!$U1301),2),IFERROR(RIGHT("00"&amp;VALUE(LEFT(Sync!$U1301,FIND(":",Sync!$U1301)-1)),2)&amp;RIGHT("00"&amp;VALUE(MID(Sync!$U1301,FIND(":",Sync!$U1301)+1,2)),2),"0000"))))</f>
        <v/>
      </c>
    </row>
    <row r="1306">
      <c r="A1306">
        <f>IF(Sync!$T1302="","",Sync!$T1302)</f>
        <v/>
      </c>
      <c r="B1306">
        <f>IF($A1306="","",IF(ISNUMBER($A1306),IF(AND($A1306&gt;=10000101,$A1306&lt;=99991231),INT($A1306/10000),""),IFERROR(VALUE(TRIM(LEFT($A1306,FIND("/",$A1306)-1))),"")))</f>
        <v/>
      </c>
      <c r="C1306">
        <f>IF(OR($A1306="",$B1306=""),"",IF(ISNUMBER($A1306),INT(MOD($A1306,10000)/100),IFERROR(VALUE(TRIM(LEFT(MID($A1306,FIND("/",$A1306)+1,20),FIND("/",MID($A1306,FIND("/",$A1306)+1,20))-1))),"")))</f>
        <v/>
      </c>
      <c r="D1306">
        <f>IF(OR($A1306="",$B1306=""),"",IF(ISNUMBER($A1306),MOD($A1306,100),IFERROR(VALUE(TRIM(MID(MID($A1306,FIND("/",$A1306)+1,20),FIND("/",MID($A1306,FIND("/",$A1306)+1,20))+1,20))),"")))</f>
        <v/>
      </c>
      <c r="E1306">
        <f>IF($A1306="","",IF(OR($B1306="",$C1306="",$D1306="",$B1306&lt;1300,$B1306&gt;1500,$C1306&lt;1,$C1306&gt;12,$D1306&lt;1,$D1306&gt;31),"نامعتبر",RIGHT("0000"&amp;$B1306,4)&amp;"/"&amp;RIGHT("00"&amp;$C1306,2)&amp;"/"&amp;RIGHT("00"&amp;$D1306,2)))</f>
        <v/>
      </c>
      <c r="F1306">
        <f>IF(OR($E1306="",$E1306="نامعتبر"),"",LEFT($E1306,4)&amp;"/"&amp;MID($E1306,6,2))</f>
        <v/>
      </c>
      <c r="G1306">
        <f>IF(OR($E1306="",$E1306="نامعتبر",Sync!$X1302=""),"",IF(AND(LEFT(UPPER(TRIM(Sync!$X1302)),2)="SL",IFERROR(VLOOKUP(Sync!$W1302,OpTbl,3,0),"")="فروش"),UPPER(TRIM(Sync!$X1302)),""))</f>
        <v/>
      </c>
      <c r="H1306">
        <f>IF($G1306="","",IF(Sync!$W1302="","",Sync!$W1302))</f>
        <v/>
      </c>
      <c r="I1306">
        <f>IF(OR($G1306="",Sync!$Y1302=""),"",Sync!$Y1302)</f>
        <v/>
      </c>
      <c r="J1306">
        <f>IF(OR($G1306="",Sync!$Z1302=""),"",Sync!$Z1302)</f>
        <v/>
      </c>
      <c r="K1306">
        <f>IF($G1306="",0,IF(Sync!$AA1302="",0,Sync!$AA1302))</f>
        <v/>
      </c>
      <c r="L1306">
        <f>IF($G1306="",0,IF(Sync!$AB1302="",0,Sync!$AB1302))</f>
        <v/>
      </c>
      <c r="M1306">
        <f>IF($G1306="","",IF($H1306="مرجوعی فروش",-1,1)*($K1306-$L1306*IFERROR(VLOOKUP("P01",ParamTbl,3,0),1.5)))</f>
        <v/>
      </c>
      <c r="N1306">
        <f>IF($G1306="",0,IF($H1306="مرجوعی فروش",-1,1)*IF(Sync!$AC1302="",0,Sync!$AC1302))</f>
        <v/>
      </c>
      <c r="O1306">
        <f>IF(OR($G1306="",Sync!$V1302=""),"",Sync!$V1302)</f>
        <v/>
      </c>
      <c r="P1306">
        <f>IF(OR($G1306="",Sync!$AD1302=""),"",Sync!$AD1302)</f>
        <v/>
      </c>
      <c r="Q1306">
        <f>IF($G1306="","",IF(Sync!$U1302="","0000",IF(AND(ISNUMBER(Sync!$U1302),Sync!$U1302&gt;=0,Sync!$U1302&lt;1),RIGHT("00"&amp;HOUR(Sync!$U1302),2)&amp;RIGHT("00"&amp;MINUTE(Sync!$U1302),2),IFERROR(RIGHT("00"&amp;VALUE(LEFT(Sync!$U1302,FIND(":",Sync!$U1302)-1)),2)&amp;RIGHT("00"&amp;VALUE(MID(Sync!$U1302,FIND(":",Sync!$U1302)+1,2)),2),"0000"))))</f>
        <v/>
      </c>
    </row>
    <row r="1307">
      <c r="A1307">
        <f>IF(Sync!$T1303="","",Sync!$T1303)</f>
        <v/>
      </c>
      <c r="B1307">
        <f>IF($A1307="","",IF(ISNUMBER($A1307),IF(AND($A1307&gt;=10000101,$A1307&lt;=99991231),INT($A1307/10000),""),IFERROR(VALUE(TRIM(LEFT($A1307,FIND("/",$A1307)-1))),"")))</f>
        <v/>
      </c>
      <c r="C1307">
        <f>IF(OR($A1307="",$B1307=""),"",IF(ISNUMBER($A1307),INT(MOD($A1307,10000)/100),IFERROR(VALUE(TRIM(LEFT(MID($A1307,FIND("/",$A1307)+1,20),FIND("/",MID($A1307,FIND("/",$A1307)+1,20))-1))),"")))</f>
        <v/>
      </c>
      <c r="D1307">
        <f>IF(OR($A1307="",$B1307=""),"",IF(ISNUMBER($A1307),MOD($A1307,100),IFERROR(VALUE(TRIM(MID(MID($A1307,FIND("/",$A1307)+1,20),FIND("/",MID($A1307,FIND("/",$A1307)+1,20))+1,20))),"")))</f>
        <v/>
      </c>
      <c r="E1307">
        <f>IF($A1307="","",IF(OR($B1307="",$C1307="",$D1307="",$B1307&lt;1300,$B1307&gt;1500,$C1307&lt;1,$C1307&gt;12,$D1307&lt;1,$D1307&gt;31),"نامعتبر",RIGHT("0000"&amp;$B1307,4)&amp;"/"&amp;RIGHT("00"&amp;$C1307,2)&amp;"/"&amp;RIGHT("00"&amp;$D1307,2)))</f>
        <v/>
      </c>
      <c r="F1307">
        <f>IF(OR($E1307="",$E1307="نامعتبر"),"",LEFT($E1307,4)&amp;"/"&amp;MID($E1307,6,2))</f>
        <v/>
      </c>
      <c r="G1307">
        <f>IF(OR($E1307="",$E1307="نامعتبر",Sync!$X1303=""),"",IF(AND(LEFT(UPPER(TRIM(Sync!$X1303)),2)="SL",IFERROR(VLOOKUP(Sync!$W1303,OpTbl,3,0),"")="فروش"),UPPER(TRIM(Sync!$X1303)),""))</f>
        <v/>
      </c>
      <c r="H1307">
        <f>IF($G1307="","",IF(Sync!$W1303="","",Sync!$W1303))</f>
        <v/>
      </c>
      <c r="I1307">
        <f>IF(OR($G1307="",Sync!$Y1303=""),"",Sync!$Y1303)</f>
        <v/>
      </c>
      <c r="J1307">
        <f>IF(OR($G1307="",Sync!$Z1303=""),"",Sync!$Z1303)</f>
        <v/>
      </c>
      <c r="K1307">
        <f>IF($G1307="",0,IF(Sync!$AA1303="",0,Sync!$AA1303))</f>
        <v/>
      </c>
      <c r="L1307">
        <f>IF($G1307="",0,IF(Sync!$AB1303="",0,Sync!$AB1303))</f>
        <v/>
      </c>
      <c r="M1307">
        <f>IF($G1307="","",IF($H1307="مرجوعی فروش",-1,1)*($K1307-$L1307*IFERROR(VLOOKUP("P01",ParamTbl,3,0),1.5)))</f>
        <v/>
      </c>
      <c r="N1307">
        <f>IF($G1307="",0,IF($H1307="مرجوعی فروش",-1,1)*IF(Sync!$AC1303="",0,Sync!$AC1303))</f>
        <v/>
      </c>
      <c r="O1307">
        <f>IF(OR($G1307="",Sync!$V1303=""),"",Sync!$V1303)</f>
        <v/>
      </c>
      <c r="P1307">
        <f>IF(OR($G1307="",Sync!$AD1303=""),"",Sync!$AD1303)</f>
        <v/>
      </c>
      <c r="Q1307">
        <f>IF($G1307="","",IF(Sync!$U1303="","0000",IF(AND(ISNUMBER(Sync!$U1303),Sync!$U1303&gt;=0,Sync!$U1303&lt;1),RIGHT("00"&amp;HOUR(Sync!$U1303),2)&amp;RIGHT("00"&amp;MINUTE(Sync!$U1303),2),IFERROR(RIGHT("00"&amp;VALUE(LEFT(Sync!$U1303,FIND(":",Sync!$U1303)-1)),2)&amp;RIGHT("00"&amp;VALUE(MID(Sync!$U1303,FIND(":",Sync!$U1303)+1,2)),2),"0000"))))</f>
        <v/>
      </c>
    </row>
    <row r="1308">
      <c r="A1308">
        <f>IF(Sync!$T1304="","",Sync!$T1304)</f>
        <v/>
      </c>
      <c r="B1308">
        <f>IF($A1308="","",IF(ISNUMBER($A1308),IF(AND($A1308&gt;=10000101,$A1308&lt;=99991231),INT($A1308/10000),""),IFERROR(VALUE(TRIM(LEFT($A1308,FIND("/",$A1308)-1))),"")))</f>
        <v/>
      </c>
      <c r="C1308">
        <f>IF(OR($A1308="",$B1308=""),"",IF(ISNUMBER($A1308),INT(MOD($A1308,10000)/100),IFERROR(VALUE(TRIM(LEFT(MID($A1308,FIND("/",$A1308)+1,20),FIND("/",MID($A1308,FIND("/",$A1308)+1,20))-1))),"")))</f>
        <v/>
      </c>
      <c r="D1308">
        <f>IF(OR($A1308="",$B1308=""),"",IF(ISNUMBER($A1308),MOD($A1308,100),IFERROR(VALUE(TRIM(MID(MID($A1308,FIND("/",$A1308)+1,20),FIND("/",MID($A1308,FIND("/",$A1308)+1,20))+1,20))),"")))</f>
        <v/>
      </c>
      <c r="E1308">
        <f>IF($A1308="","",IF(OR($B1308="",$C1308="",$D1308="",$B1308&lt;1300,$B1308&gt;1500,$C1308&lt;1,$C1308&gt;12,$D1308&lt;1,$D1308&gt;31),"نامعتبر",RIGHT("0000"&amp;$B1308,4)&amp;"/"&amp;RIGHT("00"&amp;$C1308,2)&amp;"/"&amp;RIGHT("00"&amp;$D1308,2)))</f>
        <v/>
      </c>
      <c r="F1308">
        <f>IF(OR($E1308="",$E1308="نامعتبر"),"",LEFT($E1308,4)&amp;"/"&amp;MID($E1308,6,2))</f>
        <v/>
      </c>
      <c r="G1308">
        <f>IF(OR($E1308="",$E1308="نامعتبر",Sync!$X1304=""),"",IF(AND(LEFT(UPPER(TRIM(Sync!$X1304)),2)="SL",IFERROR(VLOOKUP(Sync!$W1304,OpTbl,3,0),"")="فروش"),UPPER(TRIM(Sync!$X1304)),""))</f>
        <v/>
      </c>
      <c r="H1308">
        <f>IF($G1308="","",IF(Sync!$W1304="","",Sync!$W1304))</f>
        <v/>
      </c>
      <c r="I1308">
        <f>IF(OR($G1308="",Sync!$Y1304=""),"",Sync!$Y1304)</f>
        <v/>
      </c>
      <c r="J1308">
        <f>IF(OR($G1308="",Sync!$Z1304=""),"",Sync!$Z1304)</f>
        <v/>
      </c>
      <c r="K1308">
        <f>IF($G1308="",0,IF(Sync!$AA1304="",0,Sync!$AA1304))</f>
        <v/>
      </c>
      <c r="L1308">
        <f>IF($G1308="",0,IF(Sync!$AB1304="",0,Sync!$AB1304))</f>
        <v/>
      </c>
      <c r="M1308">
        <f>IF($G1308="","",IF($H1308="مرجوعی فروش",-1,1)*($K1308-$L1308*IFERROR(VLOOKUP("P01",ParamTbl,3,0),1.5)))</f>
        <v/>
      </c>
      <c r="N1308">
        <f>IF($G1308="",0,IF($H1308="مرجوعی فروش",-1,1)*IF(Sync!$AC1304="",0,Sync!$AC1304))</f>
        <v/>
      </c>
      <c r="O1308">
        <f>IF(OR($G1308="",Sync!$V1304=""),"",Sync!$V1304)</f>
        <v/>
      </c>
      <c r="P1308">
        <f>IF(OR($G1308="",Sync!$AD1304=""),"",Sync!$AD1304)</f>
        <v/>
      </c>
      <c r="Q1308">
        <f>IF($G1308="","",IF(Sync!$U1304="","0000",IF(AND(ISNUMBER(Sync!$U1304),Sync!$U1304&gt;=0,Sync!$U1304&lt;1),RIGHT("00"&amp;HOUR(Sync!$U1304),2)&amp;RIGHT("00"&amp;MINUTE(Sync!$U1304),2),IFERROR(RIGHT("00"&amp;VALUE(LEFT(Sync!$U1304,FIND(":",Sync!$U1304)-1)),2)&amp;RIGHT("00"&amp;VALUE(MID(Sync!$U1304,FIND(":",Sync!$U1304)+1,2)),2),"0000"))))</f>
        <v/>
      </c>
    </row>
    <row r="1309">
      <c r="A1309">
        <f>IF(Sync!$T1305="","",Sync!$T1305)</f>
        <v/>
      </c>
      <c r="B1309">
        <f>IF($A1309="","",IF(ISNUMBER($A1309),IF(AND($A1309&gt;=10000101,$A1309&lt;=99991231),INT($A1309/10000),""),IFERROR(VALUE(TRIM(LEFT($A1309,FIND("/",$A1309)-1))),"")))</f>
        <v/>
      </c>
      <c r="C1309">
        <f>IF(OR($A1309="",$B1309=""),"",IF(ISNUMBER($A1309),INT(MOD($A1309,10000)/100),IFERROR(VALUE(TRIM(LEFT(MID($A1309,FIND("/",$A1309)+1,20),FIND("/",MID($A1309,FIND("/",$A1309)+1,20))-1))),"")))</f>
        <v/>
      </c>
      <c r="D1309">
        <f>IF(OR($A1309="",$B1309=""),"",IF(ISNUMBER($A1309),MOD($A1309,100),IFERROR(VALUE(TRIM(MID(MID($A1309,FIND("/",$A1309)+1,20),FIND("/",MID($A1309,FIND("/",$A1309)+1,20))+1,20))),"")))</f>
        <v/>
      </c>
      <c r="E1309">
        <f>IF($A1309="","",IF(OR($B1309="",$C1309="",$D1309="",$B1309&lt;1300,$B1309&gt;1500,$C1309&lt;1,$C1309&gt;12,$D1309&lt;1,$D1309&gt;31),"نامعتبر",RIGHT("0000"&amp;$B1309,4)&amp;"/"&amp;RIGHT("00"&amp;$C1309,2)&amp;"/"&amp;RIGHT("00"&amp;$D1309,2)))</f>
        <v/>
      </c>
      <c r="F1309">
        <f>IF(OR($E1309="",$E1309="نامعتبر"),"",LEFT($E1309,4)&amp;"/"&amp;MID($E1309,6,2))</f>
        <v/>
      </c>
      <c r="G1309">
        <f>IF(OR($E1309="",$E1309="نامعتبر",Sync!$X1305=""),"",IF(AND(LEFT(UPPER(TRIM(Sync!$X1305)),2)="SL",IFERROR(VLOOKUP(Sync!$W1305,OpTbl,3,0),"")="فروش"),UPPER(TRIM(Sync!$X1305)),""))</f>
        <v/>
      </c>
      <c r="H1309">
        <f>IF($G1309="","",IF(Sync!$W1305="","",Sync!$W1305))</f>
        <v/>
      </c>
      <c r="I1309">
        <f>IF(OR($G1309="",Sync!$Y1305=""),"",Sync!$Y1305)</f>
        <v/>
      </c>
      <c r="J1309">
        <f>IF(OR($G1309="",Sync!$Z1305=""),"",Sync!$Z1305)</f>
        <v/>
      </c>
      <c r="K1309">
        <f>IF($G1309="",0,IF(Sync!$AA1305="",0,Sync!$AA1305))</f>
        <v/>
      </c>
      <c r="L1309">
        <f>IF($G1309="",0,IF(Sync!$AB1305="",0,Sync!$AB1305))</f>
        <v/>
      </c>
      <c r="M1309">
        <f>IF($G1309="","",IF($H1309="مرجوعی فروش",-1,1)*($K1309-$L1309*IFERROR(VLOOKUP("P01",ParamTbl,3,0),1.5)))</f>
        <v/>
      </c>
      <c r="N1309">
        <f>IF($G1309="",0,IF($H1309="مرجوعی فروش",-1,1)*IF(Sync!$AC1305="",0,Sync!$AC1305))</f>
        <v/>
      </c>
      <c r="O1309">
        <f>IF(OR($G1309="",Sync!$V1305=""),"",Sync!$V1305)</f>
        <v/>
      </c>
      <c r="P1309">
        <f>IF(OR($G1309="",Sync!$AD1305=""),"",Sync!$AD1305)</f>
        <v/>
      </c>
      <c r="Q1309">
        <f>IF($G1309="","",IF(Sync!$U1305="","0000",IF(AND(ISNUMBER(Sync!$U1305),Sync!$U1305&gt;=0,Sync!$U1305&lt;1),RIGHT("00"&amp;HOUR(Sync!$U1305),2)&amp;RIGHT("00"&amp;MINUTE(Sync!$U1305),2),IFERROR(RIGHT("00"&amp;VALUE(LEFT(Sync!$U1305,FIND(":",Sync!$U1305)-1)),2)&amp;RIGHT("00"&amp;VALUE(MID(Sync!$U1305,FIND(":",Sync!$U1305)+1,2)),2),"0000"))))</f>
        <v/>
      </c>
    </row>
    <row r="1310">
      <c r="A1310">
        <f>IF(Sync!$T1306="","",Sync!$T1306)</f>
        <v/>
      </c>
      <c r="B1310">
        <f>IF($A1310="","",IF(ISNUMBER($A1310),IF(AND($A1310&gt;=10000101,$A1310&lt;=99991231),INT($A1310/10000),""),IFERROR(VALUE(TRIM(LEFT($A1310,FIND("/",$A1310)-1))),"")))</f>
        <v/>
      </c>
      <c r="C1310">
        <f>IF(OR($A1310="",$B1310=""),"",IF(ISNUMBER($A1310),INT(MOD($A1310,10000)/100),IFERROR(VALUE(TRIM(LEFT(MID($A1310,FIND("/",$A1310)+1,20),FIND("/",MID($A1310,FIND("/",$A1310)+1,20))-1))),"")))</f>
        <v/>
      </c>
      <c r="D1310">
        <f>IF(OR($A1310="",$B1310=""),"",IF(ISNUMBER($A1310),MOD($A1310,100),IFERROR(VALUE(TRIM(MID(MID($A1310,FIND("/",$A1310)+1,20),FIND("/",MID($A1310,FIND("/",$A1310)+1,20))+1,20))),"")))</f>
        <v/>
      </c>
      <c r="E1310">
        <f>IF($A1310="","",IF(OR($B1310="",$C1310="",$D1310="",$B1310&lt;1300,$B1310&gt;1500,$C1310&lt;1,$C1310&gt;12,$D1310&lt;1,$D1310&gt;31),"نامعتبر",RIGHT("0000"&amp;$B1310,4)&amp;"/"&amp;RIGHT("00"&amp;$C1310,2)&amp;"/"&amp;RIGHT("00"&amp;$D1310,2)))</f>
        <v/>
      </c>
      <c r="F1310">
        <f>IF(OR($E1310="",$E1310="نامعتبر"),"",LEFT($E1310,4)&amp;"/"&amp;MID($E1310,6,2))</f>
        <v/>
      </c>
      <c r="G1310">
        <f>IF(OR($E1310="",$E1310="نامعتبر",Sync!$X1306=""),"",IF(AND(LEFT(UPPER(TRIM(Sync!$X1306)),2)="SL",IFERROR(VLOOKUP(Sync!$W1306,OpTbl,3,0),"")="فروش"),UPPER(TRIM(Sync!$X1306)),""))</f>
        <v/>
      </c>
      <c r="H1310">
        <f>IF($G1310="","",IF(Sync!$W1306="","",Sync!$W1306))</f>
        <v/>
      </c>
      <c r="I1310">
        <f>IF(OR($G1310="",Sync!$Y1306=""),"",Sync!$Y1306)</f>
        <v/>
      </c>
      <c r="J1310">
        <f>IF(OR($G1310="",Sync!$Z1306=""),"",Sync!$Z1306)</f>
        <v/>
      </c>
      <c r="K1310">
        <f>IF($G1310="",0,IF(Sync!$AA1306="",0,Sync!$AA1306))</f>
        <v/>
      </c>
      <c r="L1310">
        <f>IF($G1310="",0,IF(Sync!$AB1306="",0,Sync!$AB1306))</f>
        <v/>
      </c>
      <c r="M1310">
        <f>IF($G1310="","",IF($H1310="مرجوعی فروش",-1,1)*($K1310-$L1310*IFERROR(VLOOKUP("P01",ParamTbl,3,0),1.5)))</f>
        <v/>
      </c>
      <c r="N1310">
        <f>IF($G1310="",0,IF($H1310="مرجوعی فروش",-1,1)*IF(Sync!$AC1306="",0,Sync!$AC1306))</f>
        <v/>
      </c>
      <c r="O1310">
        <f>IF(OR($G1310="",Sync!$V1306=""),"",Sync!$V1306)</f>
        <v/>
      </c>
      <c r="P1310">
        <f>IF(OR($G1310="",Sync!$AD1306=""),"",Sync!$AD1306)</f>
        <v/>
      </c>
      <c r="Q1310">
        <f>IF($G1310="","",IF(Sync!$U1306="","0000",IF(AND(ISNUMBER(Sync!$U1306),Sync!$U1306&gt;=0,Sync!$U1306&lt;1),RIGHT("00"&amp;HOUR(Sync!$U1306),2)&amp;RIGHT("00"&amp;MINUTE(Sync!$U1306),2),IFERROR(RIGHT("00"&amp;VALUE(LEFT(Sync!$U1306,FIND(":",Sync!$U1306)-1)),2)&amp;RIGHT("00"&amp;VALUE(MID(Sync!$U1306,FIND(":",Sync!$U1306)+1,2)),2),"0000"))))</f>
        <v/>
      </c>
    </row>
    <row r="1311">
      <c r="A1311">
        <f>IF(Sync!$T1307="","",Sync!$T1307)</f>
        <v/>
      </c>
      <c r="B1311">
        <f>IF($A1311="","",IF(ISNUMBER($A1311),IF(AND($A1311&gt;=10000101,$A1311&lt;=99991231),INT($A1311/10000),""),IFERROR(VALUE(TRIM(LEFT($A1311,FIND("/",$A1311)-1))),"")))</f>
        <v/>
      </c>
      <c r="C1311">
        <f>IF(OR($A1311="",$B1311=""),"",IF(ISNUMBER($A1311),INT(MOD($A1311,10000)/100),IFERROR(VALUE(TRIM(LEFT(MID($A1311,FIND("/",$A1311)+1,20),FIND("/",MID($A1311,FIND("/",$A1311)+1,20))-1))),"")))</f>
        <v/>
      </c>
      <c r="D1311">
        <f>IF(OR($A1311="",$B1311=""),"",IF(ISNUMBER($A1311),MOD($A1311,100),IFERROR(VALUE(TRIM(MID(MID($A1311,FIND("/",$A1311)+1,20),FIND("/",MID($A1311,FIND("/",$A1311)+1,20))+1,20))),"")))</f>
        <v/>
      </c>
      <c r="E1311">
        <f>IF($A1311="","",IF(OR($B1311="",$C1311="",$D1311="",$B1311&lt;1300,$B1311&gt;1500,$C1311&lt;1,$C1311&gt;12,$D1311&lt;1,$D1311&gt;31),"نامعتبر",RIGHT("0000"&amp;$B1311,4)&amp;"/"&amp;RIGHT("00"&amp;$C1311,2)&amp;"/"&amp;RIGHT("00"&amp;$D1311,2)))</f>
        <v/>
      </c>
      <c r="F1311">
        <f>IF(OR($E1311="",$E1311="نامعتبر"),"",LEFT($E1311,4)&amp;"/"&amp;MID($E1311,6,2))</f>
        <v/>
      </c>
      <c r="G1311">
        <f>IF(OR($E1311="",$E1311="نامعتبر",Sync!$X1307=""),"",IF(AND(LEFT(UPPER(TRIM(Sync!$X1307)),2)="SL",IFERROR(VLOOKUP(Sync!$W1307,OpTbl,3,0),"")="فروش"),UPPER(TRIM(Sync!$X1307)),""))</f>
        <v/>
      </c>
      <c r="H1311">
        <f>IF($G1311="","",IF(Sync!$W1307="","",Sync!$W1307))</f>
        <v/>
      </c>
      <c r="I1311">
        <f>IF(OR($G1311="",Sync!$Y1307=""),"",Sync!$Y1307)</f>
        <v/>
      </c>
      <c r="J1311">
        <f>IF(OR($G1311="",Sync!$Z1307=""),"",Sync!$Z1307)</f>
        <v/>
      </c>
      <c r="K1311">
        <f>IF($G1311="",0,IF(Sync!$AA1307="",0,Sync!$AA1307))</f>
        <v/>
      </c>
      <c r="L1311">
        <f>IF($G1311="",0,IF(Sync!$AB1307="",0,Sync!$AB1307))</f>
        <v/>
      </c>
      <c r="M1311">
        <f>IF($G1311="","",IF($H1311="مرجوعی فروش",-1,1)*($K1311-$L1311*IFERROR(VLOOKUP("P01",ParamTbl,3,0),1.5)))</f>
        <v/>
      </c>
      <c r="N1311">
        <f>IF($G1311="",0,IF($H1311="مرجوعی فروش",-1,1)*IF(Sync!$AC1307="",0,Sync!$AC1307))</f>
        <v/>
      </c>
      <c r="O1311">
        <f>IF(OR($G1311="",Sync!$V1307=""),"",Sync!$V1307)</f>
        <v/>
      </c>
      <c r="P1311">
        <f>IF(OR($G1311="",Sync!$AD1307=""),"",Sync!$AD1307)</f>
        <v/>
      </c>
      <c r="Q1311">
        <f>IF($G1311="","",IF(Sync!$U1307="","0000",IF(AND(ISNUMBER(Sync!$U1307),Sync!$U1307&gt;=0,Sync!$U1307&lt;1),RIGHT("00"&amp;HOUR(Sync!$U1307),2)&amp;RIGHT("00"&amp;MINUTE(Sync!$U1307),2),IFERROR(RIGHT("00"&amp;VALUE(LEFT(Sync!$U1307,FIND(":",Sync!$U1307)-1)),2)&amp;RIGHT("00"&amp;VALUE(MID(Sync!$U1307,FIND(":",Sync!$U1307)+1,2)),2),"0000"))))</f>
        <v/>
      </c>
    </row>
    <row r="1312">
      <c r="A1312">
        <f>IF(Sync!$T1308="","",Sync!$T1308)</f>
        <v/>
      </c>
      <c r="B1312">
        <f>IF($A1312="","",IF(ISNUMBER($A1312),IF(AND($A1312&gt;=10000101,$A1312&lt;=99991231),INT($A1312/10000),""),IFERROR(VALUE(TRIM(LEFT($A1312,FIND("/",$A1312)-1))),"")))</f>
        <v/>
      </c>
      <c r="C1312">
        <f>IF(OR($A1312="",$B1312=""),"",IF(ISNUMBER($A1312),INT(MOD($A1312,10000)/100),IFERROR(VALUE(TRIM(LEFT(MID($A1312,FIND("/",$A1312)+1,20),FIND("/",MID($A1312,FIND("/",$A1312)+1,20))-1))),"")))</f>
        <v/>
      </c>
      <c r="D1312">
        <f>IF(OR($A1312="",$B1312=""),"",IF(ISNUMBER($A1312),MOD($A1312,100),IFERROR(VALUE(TRIM(MID(MID($A1312,FIND("/",$A1312)+1,20),FIND("/",MID($A1312,FIND("/",$A1312)+1,20))+1,20))),"")))</f>
        <v/>
      </c>
      <c r="E1312">
        <f>IF($A1312="","",IF(OR($B1312="",$C1312="",$D1312="",$B1312&lt;1300,$B1312&gt;1500,$C1312&lt;1,$C1312&gt;12,$D1312&lt;1,$D1312&gt;31),"نامعتبر",RIGHT("0000"&amp;$B1312,4)&amp;"/"&amp;RIGHT("00"&amp;$C1312,2)&amp;"/"&amp;RIGHT("00"&amp;$D1312,2)))</f>
        <v/>
      </c>
      <c r="F1312">
        <f>IF(OR($E1312="",$E1312="نامعتبر"),"",LEFT($E1312,4)&amp;"/"&amp;MID($E1312,6,2))</f>
        <v/>
      </c>
      <c r="G1312">
        <f>IF(OR($E1312="",$E1312="نامعتبر",Sync!$X1308=""),"",IF(AND(LEFT(UPPER(TRIM(Sync!$X1308)),2)="SL",IFERROR(VLOOKUP(Sync!$W1308,OpTbl,3,0),"")="فروش"),UPPER(TRIM(Sync!$X1308)),""))</f>
        <v/>
      </c>
      <c r="H1312">
        <f>IF($G1312="","",IF(Sync!$W1308="","",Sync!$W1308))</f>
        <v/>
      </c>
      <c r="I1312">
        <f>IF(OR($G1312="",Sync!$Y1308=""),"",Sync!$Y1308)</f>
        <v/>
      </c>
      <c r="J1312">
        <f>IF(OR($G1312="",Sync!$Z1308=""),"",Sync!$Z1308)</f>
        <v/>
      </c>
      <c r="K1312">
        <f>IF($G1312="",0,IF(Sync!$AA1308="",0,Sync!$AA1308))</f>
        <v/>
      </c>
      <c r="L1312">
        <f>IF($G1312="",0,IF(Sync!$AB1308="",0,Sync!$AB1308))</f>
        <v/>
      </c>
      <c r="M1312">
        <f>IF($G1312="","",IF($H1312="مرجوعی فروش",-1,1)*($K1312-$L1312*IFERROR(VLOOKUP("P01",ParamTbl,3,0),1.5)))</f>
        <v/>
      </c>
      <c r="N1312">
        <f>IF($G1312="",0,IF($H1312="مرجوعی فروش",-1,1)*IF(Sync!$AC1308="",0,Sync!$AC1308))</f>
        <v/>
      </c>
      <c r="O1312">
        <f>IF(OR($G1312="",Sync!$V1308=""),"",Sync!$V1308)</f>
        <v/>
      </c>
      <c r="P1312">
        <f>IF(OR($G1312="",Sync!$AD1308=""),"",Sync!$AD1308)</f>
        <v/>
      </c>
      <c r="Q1312">
        <f>IF($G1312="","",IF(Sync!$U1308="","0000",IF(AND(ISNUMBER(Sync!$U1308),Sync!$U1308&gt;=0,Sync!$U1308&lt;1),RIGHT("00"&amp;HOUR(Sync!$U1308),2)&amp;RIGHT("00"&amp;MINUTE(Sync!$U1308),2),IFERROR(RIGHT("00"&amp;VALUE(LEFT(Sync!$U1308,FIND(":",Sync!$U1308)-1)),2)&amp;RIGHT("00"&amp;VALUE(MID(Sync!$U1308,FIND(":",Sync!$U1308)+1,2)),2),"0000"))))</f>
        <v/>
      </c>
    </row>
    <row r="1313">
      <c r="A1313">
        <f>IF(Sync!$T1309="","",Sync!$T1309)</f>
        <v/>
      </c>
      <c r="B1313">
        <f>IF($A1313="","",IF(ISNUMBER($A1313),IF(AND($A1313&gt;=10000101,$A1313&lt;=99991231),INT($A1313/10000),""),IFERROR(VALUE(TRIM(LEFT($A1313,FIND("/",$A1313)-1))),"")))</f>
        <v/>
      </c>
      <c r="C1313">
        <f>IF(OR($A1313="",$B1313=""),"",IF(ISNUMBER($A1313),INT(MOD($A1313,10000)/100),IFERROR(VALUE(TRIM(LEFT(MID($A1313,FIND("/",$A1313)+1,20),FIND("/",MID($A1313,FIND("/",$A1313)+1,20))-1))),"")))</f>
        <v/>
      </c>
      <c r="D1313">
        <f>IF(OR($A1313="",$B1313=""),"",IF(ISNUMBER($A1313),MOD($A1313,100),IFERROR(VALUE(TRIM(MID(MID($A1313,FIND("/",$A1313)+1,20),FIND("/",MID($A1313,FIND("/",$A1313)+1,20))+1,20))),"")))</f>
        <v/>
      </c>
      <c r="E1313">
        <f>IF($A1313="","",IF(OR($B1313="",$C1313="",$D1313="",$B1313&lt;1300,$B1313&gt;1500,$C1313&lt;1,$C1313&gt;12,$D1313&lt;1,$D1313&gt;31),"نامعتبر",RIGHT("0000"&amp;$B1313,4)&amp;"/"&amp;RIGHT("00"&amp;$C1313,2)&amp;"/"&amp;RIGHT("00"&amp;$D1313,2)))</f>
        <v/>
      </c>
      <c r="F1313">
        <f>IF(OR($E1313="",$E1313="نامعتبر"),"",LEFT($E1313,4)&amp;"/"&amp;MID($E1313,6,2))</f>
        <v/>
      </c>
      <c r="G1313">
        <f>IF(OR($E1313="",$E1313="نامعتبر",Sync!$X1309=""),"",IF(AND(LEFT(UPPER(TRIM(Sync!$X1309)),2)="SL",IFERROR(VLOOKUP(Sync!$W1309,OpTbl,3,0),"")="فروش"),UPPER(TRIM(Sync!$X1309)),""))</f>
        <v/>
      </c>
      <c r="H1313">
        <f>IF($G1313="","",IF(Sync!$W1309="","",Sync!$W1309))</f>
        <v/>
      </c>
      <c r="I1313">
        <f>IF(OR($G1313="",Sync!$Y1309=""),"",Sync!$Y1309)</f>
        <v/>
      </c>
      <c r="J1313">
        <f>IF(OR($G1313="",Sync!$Z1309=""),"",Sync!$Z1309)</f>
        <v/>
      </c>
      <c r="K1313">
        <f>IF($G1313="",0,IF(Sync!$AA1309="",0,Sync!$AA1309))</f>
        <v/>
      </c>
      <c r="L1313">
        <f>IF($G1313="",0,IF(Sync!$AB1309="",0,Sync!$AB1309))</f>
        <v/>
      </c>
      <c r="M1313">
        <f>IF($G1313="","",IF($H1313="مرجوعی فروش",-1,1)*($K1313-$L1313*IFERROR(VLOOKUP("P01",ParamTbl,3,0),1.5)))</f>
        <v/>
      </c>
      <c r="N1313">
        <f>IF($G1313="",0,IF($H1313="مرجوعی فروش",-1,1)*IF(Sync!$AC1309="",0,Sync!$AC1309))</f>
        <v/>
      </c>
      <c r="O1313">
        <f>IF(OR($G1313="",Sync!$V1309=""),"",Sync!$V1309)</f>
        <v/>
      </c>
      <c r="P1313">
        <f>IF(OR($G1313="",Sync!$AD1309=""),"",Sync!$AD1309)</f>
        <v/>
      </c>
      <c r="Q1313">
        <f>IF($G1313="","",IF(Sync!$U1309="","0000",IF(AND(ISNUMBER(Sync!$U1309),Sync!$U1309&gt;=0,Sync!$U1309&lt;1),RIGHT("00"&amp;HOUR(Sync!$U1309),2)&amp;RIGHT("00"&amp;MINUTE(Sync!$U1309),2),IFERROR(RIGHT("00"&amp;VALUE(LEFT(Sync!$U1309,FIND(":",Sync!$U1309)-1)),2)&amp;RIGHT("00"&amp;VALUE(MID(Sync!$U1309,FIND(":",Sync!$U1309)+1,2)),2),"0000"))))</f>
        <v/>
      </c>
    </row>
    <row r="1314">
      <c r="A1314">
        <f>IF(Sync!$T1310="","",Sync!$T1310)</f>
        <v/>
      </c>
      <c r="B1314">
        <f>IF($A1314="","",IF(ISNUMBER($A1314),IF(AND($A1314&gt;=10000101,$A1314&lt;=99991231),INT($A1314/10000),""),IFERROR(VALUE(TRIM(LEFT($A1314,FIND("/",$A1314)-1))),"")))</f>
        <v/>
      </c>
      <c r="C1314">
        <f>IF(OR($A1314="",$B1314=""),"",IF(ISNUMBER($A1314),INT(MOD($A1314,10000)/100),IFERROR(VALUE(TRIM(LEFT(MID($A1314,FIND("/",$A1314)+1,20),FIND("/",MID($A1314,FIND("/",$A1314)+1,20))-1))),"")))</f>
        <v/>
      </c>
      <c r="D1314">
        <f>IF(OR($A1314="",$B1314=""),"",IF(ISNUMBER($A1314),MOD($A1314,100),IFERROR(VALUE(TRIM(MID(MID($A1314,FIND("/",$A1314)+1,20),FIND("/",MID($A1314,FIND("/",$A1314)+1,20))+1,20))),"")))</f>
        <v/>
      </c>
      <c r="E1314">
        <f>IF($A1314="","",IF(OR($B1314="",$C1314="",$D1314="",$B1314&lt;1300,$B1314&gt;1500,$C1314&lt;1,$C1314&gt;12,$D1314&lt;1,$D1314&gt;31),"نامعتبر",RIGHT("0000"&amp;$B1314,4)&amp;"/"&amp;RIGHT("00"&amp;$C1314,2)&amp;"/"&amp;RIGHT("00"&amp;$D1314,2)))</f>
        <v/>
      </c>
      <c r="F1314">
        <f>IF(OR($E1314="",$E1314="نامعتبر"),"",LEFT($E1314,4)&amp;"/"&amp;MID($E1314,6,2))</f>
        <v/>
      </c>
      <c r="G1314">
        <f>IF(OR($E1314="",$E1314="نامعتبر",Sync!$X1310=""),"",IF(AND(LEFT(UPPER(TRIM(Sync!$X1310)),2)="SL",IFERROR(VLOOKUP(Sync!$W1310,OpTbl,3,0),"")="فروش"),UPPER(TRIM(Sync!$X1310)),""))</f>
        <v/>
      </c>
      <c r="H1314">
        <f>IF($G1314="","",IF(Sync!$W1310="","",Sync!$W1310))</f>
        <v/>
      </c>
      <c r="I1314">
        <f>IF(OR($G1314="",Sync!$Y1310=""),"",Sync!$Y1310)</f>
        <v/>
      </c>
      <c r="J1314">
        <f>IF(OR($G1314="",Sync!$Z1310=""),"",Sync!$Z1310)</f>
        <v/>
      </c>
      <c r="K1314">
        <f>IF($G1314="",0,IF(Sync!$AA1310="",0,Sync!$AA1310))</f>
        <v/>
      </c>
      <c r="L1314">
        <f>IF($G1314="",0,IF(Sync!$AB1310="",0,Sync!$AB1310))</f>
        <v/>
      </c>
      <c r="M1314">
        <f>IF($G1314="","",IF($H1314="مرجوعی فروش",-1,1)*($K1314-$L1314*IFERROR(VLOOKUP("P01",ParamTbl,3,0),1.5)))</f>
        <v/>
      </c>
      <c r="N1314">
        <f>IF($G1314="",0,IF($H1314="مرجوعی فروش",-1,1)*IF(Sync!$AC1310="",0,Sync!$AC1310))</f>
        <v/>
      </c>
      <c r="O1314">
        <f>IF(OR($G1314="",Sync!$V1310=""),"",Sync!$V1310)</f>
        <v/>
      </c>
      <c r="P1314">
        <f>IF(OR($G1314="",Sync!$AD1310=""),"",Sync!$AD1310)</f>
        <v/>
      </c>
      <c r="Q1314">
        <f>IF($G1314="","",IF(Sync!$U1310="","0000",IF(AND(ISNUMBER(Sync!$U1310),Sync!$U1310&gt;=0,Sync!$U1310&lt;1),RIGHT("00"&amp;HOUR(Sync!$U1310),2)&amp;RIGHT("00"&amp;MINUTE(Sync!$U1310),2),IFERROR(RIGHT("00"&amp;VALUE(LEFT(Sync!$U1310,FIND(":",Sync!$U1310)-1)),2)&amp;RIGHT("00"&amp;VALUE(MID(Sync!$U1310,FIND(":",Sync!$U1310)+1,2)),2),"0000"))))</f>
        <v/>
      </c>
    </row>
    <row r="1315">
      <c r="A1315">
        <f>IF(Sync!$T1311="","",Sync!$T1311)</f>
        <v/>
      </c>
      <c r="B1315">
        <f>IF($A1315="","",IF(ISNUMBER($A1315),IF(AND($A1315&gt;=10000101,$A1315&lt;=99991231),INT($A1315/10000),""),IFERROR(VALUE(TRIM(LEFT($A1315,FIND("/",$A1315)-1))),"")))</f>
        <v/>
      </c>
      <c r="C1315">
        <f>IF(OR($A1315="",$B1315=""),"",IF(ISNUMBER($A1315),INT(MOD($A1315,10000)/100),IFERROR(VALUE(TRIM(LEFT(MID($A1315,FIND("/",$A1315)+1,20),FIND("/",MID($A1315,FIND("/",$A1315)+1,20))-1))),"")))</f>
        <v/>
      </c>
      <c r="D1315">
        <f>IF(OR($A1315="",$B1315=""),"",IF(ISNUMBER($A1315),MOD($A1315,100),IFERROR(VALUE(TRIM(MID(MID($A1315,FIND("/",$A1315)+1,20),FIND("/",MID($A1315,FIND("/",$A1315)+1,20))+1,20))),"")))</f>
        <v/>
      </c>
      <c r="E1315">
        <f>IF($A1315="","",IF(OR($B1315="",$C1315="",$D1315="",$B1315&lt;1300,$B1315&gt;1500,$C1315&lt;1,$C1315&gt;12,$D1315&lt;1,$D1315&gt;31),"نامعتبر",RIGHT("0000"&amp;$B1315,4)&amp;"/"&amp;RIGHT("00"&amp;$C1315,2)&amp;"/"&amp;RIGHT("00"&amp;$D1315,2)))</f>
        <v/>
      </c>
      <c r="F1315">
        <f>IF(OR($E1315="",$E1315="نامعتبر"),"",LEFT($E1315,4)&amp;"/"&amp;MID($E1315,6,2))</f>
        <v/>
      </c>
      <c r="G1315">
        <f>IF(OR($E1315="",$E1315="نامعتبر",Sync!$X1311=""),"",IF(AND(LEFT(UPPER(TRIM(Sync!$X1311)),2)="SL",IFERROR(VLOOKUP(Sync!$W1311,OpTbl,3,0),"")="فروش"),UPPER(TRIM(Sync!$X1311)),""))</f>
        <v/>
      </c>
      <c r="H1315">
        <f>IF($G1315="","",IF(Sync!$W1311="","",Sync!$W1311))</f>
        <v/>
      </c>
      <c r="I1315">
        <f>IF(OR($G1315="",Sync!$Y1311=""),"",Sync!$Y1311)</f>
        <v/>
      </c>
      <c r="J1315">
        <f>IF(OR($G1315="",Sync!$Z1311=""),"",Sync!$Z1311)</f>
        <v/>
      </c>
      <c r="K1315">
        <f>IF($G1315="",0,IF(Sync!$AA1311="",0,Sync!$AA1311))</f>
        <v/>
      </c>
      <c r="L1315">
        <f>IF($G1315="",0,IF(Sync!$AB1311="",0,Sync!$AB1311))</f>
        <v/>
      </c>
      <c r="M1315">
        <f>IF($G1315="","",IF($H1315="مرجوعی فروش",-1,1)*($K1315-$L1315*IFERROR(VLOOKUP("P01",ParamTbl,3,0),1.5)))</f>
        <v/>
      </c>
      <c r="N1315">
        <f>IF($G1315="",0,IF($H1315="مرجوعی فروش",-1,1)*IF(Sync!$AC1311="",0,Sync!$AC1311))</f>
        <v/>
      </c>
      <c r="O1315">
        <f>IF(OR($G1315="",Sync!$V1311=""),"",Sync!$V1311)</f>
        <v/>
      </c>
      <c r="P1315">
        <f>IF(OR($G1315="",Sync!$AD1311=""),"",Sync!$AD1311)</f>
        <v/>
      </c>
      <c r="Q1315">
        <f>IF($G1315="","",IF(Sync!$U1311="","0000",IF(AND(ISNUMBER(Sync!$U1311),Sync!$U1311&gt;=0,Sync!$U1311&lt;1),RIGHT("00"&amp;HOUR(Sync!$U1311),2)&amp;RIGHT("00"&amp;MINUTE(Sync!$U1311),2),IFERROR(RIGHT("00"&amp;VALUE(LEFT(Sync!$U1311,FIND(":",Sync!$U1311)-1)),2)&amp;RIGHT("00"&amp;VALUE(MID(Sync!$U1311,FIND(":",Sync!$U1311)+1,2)),2),"0000"))))</f>
        <v/>
      </c>
    </row>
    <row r="1316">
      <c r="A1316">
        <f>IF(Sync!$T1312="","",Sync!$T1312)</f>
        <v/>
      </c>
      <c r="B1316">
        <f>IF($A1316="","",IF(ISNUMBER($A1316),IF(AND($A1316&gt;=10000101,$A1316&lt;=99991231),INT($A1316/10000),""),IFERROR(VALUE(TRIM(LEFT($A1316,FIND("/",$A1316)-1))),"")))</f>
        <v/>
      </c>
      <c r="C1316">
        <f>IF(OR($A1316="",$B1316=""),"",IF(ISNUMBER($A1316),INT(MOD($A1316,10000)/100),IFERROR(VALUE(TRIM(LEFT(MID($A1316,FIND("/",$A1316)+1,20),FIND("/",MID($A1316,FIND("/",$A1316)+1,20))-1))),"")))</f>
        <v/>
      </c>
      <c r="D1316">
        <f>IF(OR($A1316="",$B1316=""),"",IF(ISNUMBER($A1316),MOD($A1316,100),IFERROR(VALUE(TRIM(MID(MID($A1316,FIND("/",$A1316)+1,20),FIND("/",MID($A1316,FIND("/",$A1316)+1,20))+1,20))),"")))</f>
        <v/>
      </c>
      <c r="E1316">
        <f>IF($A1316="","",IF(OR($B1316="",$C1316="",$D1316="",$B1316&lt;1300,$B1316&gt;1500,$C1316&lt;1,$C1316&gt;12,$D1316&lt;1,$D1316&gt;31),"نامعتبر",RIGHT("0000"&amp;$B1316,4)&amp;"/"&amp;RIGHT("00"&amp;$C1316,2)&amp;"/"&amp;RIGHT("00"&amp;$D1316,2)))</f>
        <v/>
      </c>
      <c r="F1316">
        <f>IF(OR($E1316="",$E1316="نامعتبر"),"",LEFT($E1316,4)&amp;"/"&amp;MID($E1316,6,2))</f>
        <v/>
      </c>
      <c r="G1316">
        <f>IF(OR($E1316="",$E1316="نامعتبر",Sync!$X1312=""),"",IF(AND(LEFT(UPPER(TRIM(Sync!$X1312)),2)="SL",IFERROR(VLOOKUP(Sync!$W1312,OpTbl,3,0),"")="فروش"),UPPER(TRIM(Sync!$X1312)),""))</f>
        <v/>
      </c>
      <c r="H1316">
        <f>IF($G1316="","",IF(Sync!$W1312="","",Sync!$W1312))</f>
        <v/>
      </c>
      <c r="I1316">
        <f>IF(OR($G1316="",Sync!$Y1312=""),"",Sync!$Y1312)</f>
        <v/>
      </c>
      <c r="J1316">
        <f>IF(OR($G1316="",Sync!$Z1312=""),"",Sync!$Z1312)</f>
        <v/>
      </c>
      <c r="K1316">
        <f>IF($G1316="",0,IF(Sync!$AA1312="",0,Sync!$AA1312))</f>
        <v/>
      </c>
      <c r="L1316">
        <f>IF($G1316="",0,IF(Sync!$AB1312="",0,Sync!$AB1312))</f>
        <v/>
      </c>
      <c r="M1316">
        <f>IF($G1316="","",IF($H1316="مرجوعی فروش",-1,1)*($K1316-$L1316*IFERROR(VLOOKUP("P01",ParamTbl,3,0),1.5)))</f>
        <v/>
      </c>
      <c r="N1316">
        <f>IF($G1316="",0,IF($H1316="مرجوعی فروش",-1,1)*IF(Sync!$AC1312="",0,Sync!$AC1312))</f>
        <v/>
      </c>
      <c r="O1316">
        <f>IF(OR($G1316="",Sync!$V1312=""),"",Sync!$V1312)</f>
        <v/>
      </c>
      <c r="P1316">
        <f>IF(OR($G1316="",Sync!$AD1312=""),"",Sync!$AD1312)</f>
        <v/>
      </c>
      <c r="Q1316">
        <f>IF($G1316="","",IF(Sync!$U1312="","0000",IF(AND(ISNUMBER(Sync!$U1312),Sync!$U1312&gt;=0,Sync!$U1312&lt;1),RIGHT("00"&amp;HOUR(Sync!$U1312),2)&amp;RIGHT("00"&amp;MINUTE(Sync!$U1312),2),IFERROR(RIGHT("00"&amp;VALUE(LEFT(Sync!$U1312,FIND(":",Sync!$U1312)-1)),2)&amp;RIGHT("00"&amp;VALUE(MID(Sync!$U1312,FIND(":",Sync!$U1312)+1,2)),2),"0000"))))</f>
        <v/>
      </c>
    </row>
    <row r="1317">
      <c r="A1317">
        <f>IF(Sync!$T1313="","",Sync!$T1313)</f>
        <v/>
      </c>
      <c r="B1317">
        <f>IF($A1317="","",IF(ISNUMBER($A1317),IF(AND($A1317&gt;=10000101,$A1317&lt;=99991231),INT($A1317/10000),""),IFERROR(VALUE(TRIM(LEFT($A1317,FIND("/",$A1317)-1))),"")))</f>
        <v/>
      </c>
      <c r="C1317">
        <f>IF(OR($A1317="",$B1317=""),"",IF(ISNUMBER($A1317),INT(MOD($A1317,10000)/100),IFERROR(VALUE(TRIM(LEFT(MID($A1317,FIND("/",$A1317)+1,20),FIND("/",MID($A1317,FIND("/",$A1317)+1,20))-1))),"")))</f>
        <v/>
      </c>
      <c r="D1317">
        <f>IF(OR($A1317="",$B1317=""),"",IF(ISNUMBER($A1317),MOD($A1317,100),IFERROR(VALUE(TRIM(MID(MID($A1317,FIND("/",$A1317)+1,20),FIND("/",MID($A1317,FIND("/",$A1317)+1,20))+1,20))),"")))</f>
        <v/>
      </c>
      <c r="E1317">
        <f>IF($A1317="","",IF(OR($B1317="",$C1317="",$D1317="",$B1317&lt;1300,$B1317&gt;1500,$C1317&lt;1,$C1317&gt;12,$D1317&lt;1,$D1317&gt;31),"نامعتبر",RIGHT("0000"&amp;$B1317,4)&amp;"/"&amp;RIGHT("00"&amp;$C1317,2)&amp;"/"&amp;RIGHT("00"&amp;$D1317,2)))</f>
        <v/>
      </c>
      <c r="F1317">
        <f>IF(OR($E1317="",$E1317="نامعتبر"),"",LEFT($E1317,4)&amp;"/"&amp;MID($E1317,6,2))</f>
        <v/>
      </c>
      <c r="G1317">
        <f>IF(OR($E1317="",$E1317="نامعتبر",Sync!$X1313=""),"",IF(AND(LEFT(UPPER(TRIM(Sync!$X1313)),2)="SL",IFERROR(VLOOKUP(Sync!$W1313,OpTbl,3,0),"")="فروش"),UPPER(TRIM(Sync!$X1313)),""))</f>
        <v/>
      </c>
      <c r="H1317">
        <f>IF($G1317="","",IF(Sync!$W1313="","",Sync!$W1313))</f>
        <v/>
      </c>
      <c r="I1317">
        <f>IF(OR($G1317="",Sync!$Y1313=""),"",Sync!$Y1313)</f>
        <v/>
      </c>
      <c r="J1317">
        <f>IF(OR($G1317="",Sync!$Z1313=""),"",Sync!$Z1313)</f>
        <v/>
      </c>
      <c r="K1317">
        <f>IF($G1317="",0,IF(Sync!$AA1313="",0,Sync!$AA1313))</f>
        <v/>
      </c>
      <c r="L1317">
        <f>IF($G1317="",0,IF(Sync!$AB1313="",0,Sync!$AB1313))</f>
        <v/>
      </c>
      <c r="M1317">
        <f>IF($G1317="","",IF($H1317="مرجوعی فروش",-1,1)*($K1317-$L1317*IFERROR(VLOOKUP("P01",ParamTbl,3,0),1.5)))</f>
        <v/>
      </c>
      <c r="N1317">
        <f>IF($G1317="",0,IF($H1317="مرجوعی فروش",-1,1)*IF(Sync!$AC1313="",0,Sync!$AC1313))</f>
        <v/>
      </c>
      <c r="O1317">
        <f>IF(OR($G1317="",Sync!$V1313=""),"",Sync!$V1313)</f>
        <v/>
      </c>
      <c r="P1317">
        <f>IF(OR($G1317="",Sync!$AD1313=""),"",Sync!$AD1313)</f>
        <v/>
      </c>
      <c r="Q1317">
        <f>IF($G1317="","",IF(Sync!$U1313="","0000",IF(AND(ISNUMBER(Sync!$U1313),Sync!$U1313&gt;=0,Sync!$U1313&lt;1),RIGHT("00"&amp;HOUR(Sync!$U1313),2)&amp;RIGHT("00"&amp;MINUTE(Sync!$U1313),2),IFERROR(RIGHT("00"&amp;VALUE(LEFT(Sync!$U1313,FIND(":",Sync!$U1313)-1)),2)&amp;RIGHT("00"&amp;VALUE(MID(Sync!$U1313,FIND(":",Sync!$U1313)+1,2)),2),"0000"))))</f>
        <v/>
      </c>
    </row>
    <row r="1318">
      <c r="A1318">
        <f>IF(Sync!$T1314="","",Sync!$T1314)</f>
        <v/>
      </c>
      <c r="B1318">
        <f>IF($A1318="","",IF(ISNUMBER($A1318),IF(AND($A1318&gt;=10000101,$A1318&lt;=99991231),INT($A1318/10000),""),IFERROR(VALUE(TRIM(LEFT($A1318,FIND("/",$A1318)-1))),"")))</f>
        <v/>
      </c>
      <c r="C1318">
        <f>IF(OR($A1318="",$B1318=""),"",IF(ISNUMBER($A1318),INT(MOD($A1318,10000)/100),IFERROR(VALUE(TRIM(LEFT(MID($A1318,FIND("/",$A1318)+1,20),FIND("/",MID($A1318,FIND("/",$A1318)+1,20))-1))),"")))</f>
        <v/>
      </c>
      <c r="D1318">
        <f>IF(OR($A1318="",$B1318=""),"",IF(ISNUMBER($A1318),MOD($A1318,100),IFERROR(VALUE(TRIM(MID(MID($A1318,FIND("/",$A1318)+1,20),FIND("/",MID($A1318,FIND("/",$A1318)+1,20))+1,20))),"")))</f>
        <v/>
      </c>
      <c r="E1318">
        <f>IF($A1318="","",IF(OR($B1318="",$C1318="",$D1318="",$B1318&lt;1300,$B1318&gt;1500,$C1318&lt;1,$C1318&gt;12,$D1318&lt;1,$D1318&gt;31),"نامعتبر",RIGHT("0000"&amp;$B1318,4)&amp;"/"&amp;RIGHT("00"&amp;$C1318,2)&amp;"/"&amp;RIGHT("00"&amp;$D1318,2)))</f>
        <v/>
      </c>
      <c r="F1318">
        <f>IF(OR($E1318="",$E1318="نامعتبر"),"",LEFT($E1318,4)&amp;"/"&amp;MID($E1318,6,2))</f>
        <v/>
      </c>
      <c r="G1318">
        <f>IF(OR($E1318="",$E1318="نامعتبر",Sync!$X1314=""),"",IF(AND(LEFT(UPPER(TRIM(Sync!$X1314)),2)="SL",IFERROR(VLOOKUP(Sync!$W1314,OpTbl,3,0),"")="فروش"),UPPER(TRIM(Sync!$X1314)),""))</f>
        <v/>
      </c>
      <c r="H1318">
        <f>IF($G1318="","",IF(Sync!$W1314="","",Sync!$W1314))</f>
        <v/>
      </c>
      <c r="I1318">
        <f>IF(OR($G1318="",Sync!$Y1314=""),"",Sync!$Y1314)</f>
        <v/>
      </c>
      <c r="J1318">
        <f>IF(OR($G1318="",Sync!$Z1314=""),"",Sync!$Z1314)</f>
        <v/>
      </c>
      <c r="K1318">
        <f>IF($G1318="",0,IF(Sync!$AA1314="",0,Sync!$AA1314))</f>
        <v/>
      </c>
      <c r="L1318">
        <f>IF($G1318="",0,IF(Sync!$AB1314="",0,Sync!$AB1314))</f>
        <v/>
      </c>
      <c r="M1318">
        <f>IF($G1318="","",IF($H1318="مرجوعی فروش",-1,1)*($K1318-$L1318*IFERROR(VLOOKUP("P01",ParamTbl,3,0),1.5)))</f>
        <v/>
      </c>
      <c r="N1318">
        <f>IF($G1318="",0,IF($H1318="مرجوعی فروش",-1,1)*IF(Sync!$AC1314="",0,Sync!$AC1314))</f>
        <v/>
      </c>
      <c r="O1318">
        <f>IF(OR($G1318="",Sync!$V1314=""),"",Sync!$V1314)</f>
        <v/>
      </c>
      <c r="P1318">
        <f>IF(OR($G1318="",Sync!$AD1314=""),"",Sync!$AD1314)</f>
        <v/>
      </c>
      <c r="Q1318">
        <f>IF($G1318="","",IF(Sync!$U1314="","0000",IF(AND(ISNUMBER(Sync!$U1314),Sync!$U1314&gt;=0,Sync!$U1314&lt;1),RIGHT("00"&amp;HOUR(Sync!$U1314),2)&amp;RIGHT("00"&amp;MINUTE(Sync!$U1314),2),IFERROR(RIGHT("00"&amp;VALUE(LEFT(Sync!$U1314,FIND(":",Sync!$U1314)-1)),2)&amp;RIGHT("00"&amp;VALUE(MID(Sync!$U1314,FIND(":",Sync!$U1314)+1,2)),2),"0000"))))</f>
        <v/>
      </c>
    </row>
    <row r="1319">
      <c r="A1319">
        <f>IF(Sync!$T1315="","",Sync!$T1315)</f>
        <v/>
      </c>
      <c r="B1319">
        <f>IF($A1319="","",IF(ISNUMBER($A1319),IF(AND($A1319&gt;=10000101,$A1319&lt;=99991231),INT($A1319/10000),""),IFERROR(VALUE(TRIM(LEFT($A1319,FIND("/",$A1319)-1))),"")))</f>
        <v/>
      </c>
      <c r="C1319">
        <f>IF(OR($A1319="",$B1319=""),"",IF(ISNUMBER($A1319),INT(MOD($A1319,10000)/100),IFERROR(VALUE(TRIM(LEFT(MID($A1319,FIND("/",$A1319)+1,20),FIND("/",MID($A1319,FIND("/",$A1319)+1,20))-1))),"")))</f>
        <v/>
      </c>
      <c r="D1319">
        <f>IF(OR($A1319="",$B1319=""),"",IF(ISNUMBER($A1319),MOD($A1319,100),IFERROR(VALUE(TRIM(MID(MID($A1319,FIND("/",$A1319)+1,20),FIND("/",MID($A1319,FIND("/",$A1319)+1,20))+1,20))),"")))</f>
        <v/>
      </c>
      <c r="E1319">
        <f>IF($A1319="","",IF(OR($B1319="",$C1319="",$D1319="",$B1319&lt;1300,$B1319&gt;1500,$C1319&lt;1,$C1319&gt;12,$D1319&lt;1,$D1319&gt;31),"نامعتبر",RIGHT("0000"&amp;$B1319,4)&amp;"/"&amp;RIGHT("00"&amp;$C1319,2)&amp;"/"&amp;RIGHT("00"&amp;$D1319,2)))</f>
        <v/>
      </c>
      <c r="F1319">
        <f>IF(OR($E1319="",$E1319="نامعتبر"),"",LEFT($E1319,4)&amp;"/"&amp;MID($E1319,6,2))</f>
        <v/>
      </c>
      <c r="G1319">
        <f>IF(OR($E1319="",$E1319="نامعتبر",Sync!$X1315=""),"",IF(AND(LEFT(UPPER(TRIM(Sync!$X1315)),2)="SL",IFERROR(VLOOKUP(Sync!$W1315,OpTbl,3,0),"")="فروش"),UPPER(TRIM(Sync!$X1315)),""))</f>
        <v/>
      </c>
      <c r="H1319">
        <f>IF($G1319="","",IF(Sync!$W1315="","",Sync!$W1315))</f>
        <v/>
      </c>
      <c r="I1319">
        <f>IF(OR($G1319="",Sync!$Y1315=""),"",Sync!$Y1315)</f>
        <v/>
      </c>
      <c r="J1319">
        <f>IF(OR($G1319="",Sync!$Z1315=""),"",Sync!$Z1315)</f>
        <v/>
      </c>
      <c r="K1319">
        <f>IF($G1319="",0,IF(Sync!$AA1315="",0,Sync!$AA1315))</f>
        <v/>
      </c>
      <c r="L1319">
        <f>IF($G1319="",0,IF(Sync!$AB1315="",0,Sync!$AB1315))</f>
        <v/>
      </c>
      <c r="M1319">
        <f>IF($G1319="","",IF($H1319="مرجوعی فروش",-1,1)*($K1319-$L1319*IFERROR(VLOOKUP("P01",ParamTbl,3,0),1.5)))</f>
        <v/>
      </c>
      <c r="N1319">
        <f>IF($G1319="",0,IF($H1319="مرجوعی فروش",-1,1)*IF(Sync!$AC1315="",0,Sync!$AC1315))</f>
        <v/>
      </c>
      <c r="O1319">
        <f>IF(OR($G1319="",Sync!$V1315=""),"",Sync!$V1315)</f>
        <v/>
      </c>
      <c r="P1319">
        <f>IF(OR($G1319="",Sync!$AD1315=""),"",Sync!$AD1315)</f>
        <v/>
      </c>
      <c r="Q1319">
        <f>IF($G1319="","",IF(Sync!$U1315="","0000",IF(AND(ISNUMBER(Sync!$U1315),Sync!$U1315&gt;=0,Sync!$U1315&lt;1),RIGHT("00"&amp;HOUR(Sync!$U1315),2)&amp;RIGHT("00"&amp;MINUTE(Sync!$U1315),2),IFERROR(RIGHT("00"&amp;VALUE(LEFT(Sync!$U1315,FIND(":",Sync!$U1315)-1)),2)&amp;RIGHT("00"&amp;VALUE(MID(Sync!$U1315,FIND(":",Sync!$U1315)+1,2)),2),"0000"))))</f>
        <v/>
      </c>
    </row>
    <row r="1320">
      <c r="A1320">
        <f>IF(Sync!$T1316="","",Sync!$T1316)</f>
        <v/>
      </c>
      <c r="B1320">
        <f>IF($A1320="","",IF(ISNUMBER($A1320),IF(AND($A1320&gt;=10000101,$A1320&lt;=99991231),INT($A1320/10000),""),IFERROR(VALUE(TRIM(LEFT($A1320,FIND("/",$A1320)-1))),"")))</f>
        <v/>
      </c>
      <c r="C1320">
        <f>IF(OR($A1320="",$B1320=""),"",IF(ISNUMBER($A1320),INT(MOD($A1320,10000)/100),IFERROR(VALUE(TRIM(LEFT(MID($A1320,FIND("/",$A1320)+1,20),FIND("/",MID($A1320,FIND("/",$A1320)+1,20))-1))),"")))</f>
        <v/>
      </c>
      <c r="D1320">
        <f>IF(OR($A1320="",$B1320=""),"",IF(ISNUMBER($A1320),MOD($A1320,100),IFERROR(VALUE(TRIM(MID(MID($A1320,FIND("/",$A1320)+1,20),FIND("/",MID($A1320,FIND("/",$A1320)+1,20))+1,20))),"")))</f>
        <v/>
      </c>
      <c r="E1320">
        <f>IF($A1320="","",IF(OR($B1320="",$C1320="",$D1320="",$B1320&lt;1300,$B1320&gt;1500,$C1320&lt;1,$C1320&gt;12,$D1320&lt;1,$D1320&gt;31),"نامعتبر",RIGHT("0000"&amp;$B1320,4)&amp;"/"&amp;RIGHT("00"&amp;$C1320,2)&amp;"/"&amp;RIGHT("00"&amp;$D1320,2)))</f>
        <v/>
      </c>
      <c r="F1320">
        <f>IF(OR($E1320="",$E1320="نامعتبر"),"",LEFT($E1320,4)&amp;"/"&amp;MID($E1320,6,2))</f>
        <v/>
      </c>
      <c r="G1320">
        <f>IF(OR($E1320="",$E1320="نامعتبر",Sync!$X1316=""),"",IF(AND(LEFT(UPPER(TRIM(Sync!$X1316)),2)="SL",IFERROR(VLOOKUP(Sync!$W1316,OpTbl,3,0),"")="فروش"),UPPER(TRIM(Sync!$X1316)),""))</f>
        <v/>
      </c>
      <c r="H1320">
        <f>IF($G1320="","",IF(Sync!$W1316="","",Sync!$W1316))</f>
        <v/>
      </c>
      <c r="I1320">
        <f>IF(OR($G1320="",Sync!$Y1316=""),"",Sync!$Y1316)</f>
        <v/>
      </c>
      <c r="J1320">
        <f>IF(OR($G1320="",Sync!$Z1316=""),"",Sync!$Z1316)</f>
        <v/>
      </c>
      <c r="K1320">
        <f>IF($G1320="",0,IF(Sync!$AA1316="",0,Sync!$AA1316))</f>
        <v/>
      </c>
      <c r="L1320">
        <f>IF($G1320="",0,IF(Sync!$AB1316="",0,Sync!$AB1316))</f>
        <v/>
      </c>
      <c r="M1320">
        <f>IF($G1320="","",IF($H1320="مرجوعی فروش",-1,1)*($K1320-$L1320*IFERROR(VLOOKUP("P01",ParamTbl,3,0),1.5)))</f>
        <v/>
      </c>
      <c r="N1320">
        <f>IF($G1320="",0,IF($H1320="مرجوعی فروش",-1,1)*IF(Sync!$AC1316="",0,Sync!$AC1316))</f>
        <v/>
      </c>
      <c r="O1320">
        <f>IF(OR($G1320="",Sync!$V1316=""),"",Sync!$V1316)</f>
        <v/>
      </c>
      <c r="P1320">
        <f>IF(OR($G1320="",Sync!$AD1316=""),"",Sync!$AD1316)</f>
        <v/>
      </c>
      <c r="Q1320">
        <f>IF($G1320="","",IF(Sync!$U1316="","0000",IF(AND(ISNUMBER(Sync!$U1316),Sync!$U1316&gt;=0,Sync!$U1316&lt;1),RIGHT("00"&amp;HOUR(Sync!$U1316),2)&amp;RIGHT("00"&amp;MINUTE(Sync!$U1316),2),IFERROR(RIGHT("00"&amp;VALUE(LEFT(Sync!$U1316,FIND(":",Sync!$U1316)-1)),2)&amp;RIGHT("00"&amp;VALUE(MID(Sync!$U1316,FIND(":",Sync!$U1316)+1,2)),2),"0000"))))</f>
        <v/>
      </c>
    </row>
    <row r="1321">
      <c r="A1321">
        <f>IF(Sync!$T1317="","",Sync!$T1317)</f>
        <v/>
      </c>
      <c r="B1321">
        <f>IF($A1321="","",IF(ISNUMBER($A1321),IF(AND($A1321&gt;=10000101,$A1321&lt;=99991231),INT($A1321/10000),""),IFERROR(VALUE(TRIM(LEFT($A1321,FIND("/",$A1321)-1))),"")))</f>
        <v/>
      </c>
      <c r="C1321">
        <f>IF(OR($A1321="",$B1321=""),"",IF(ISNUMBER($A1321),INT(MOD($A1321,10000)/100),IFERROR(VALUE(TRIM(LEFT(MID($A1321,FIND("/",$A1321)+1,20),FIND("/",MID($A1321,FIND("/",$A1321)+1,20))-1))),"")))</f>
        <v/>
      </c>
      <c r="D1321">
        <f>IF(OR($A1321="",$B1321=""),"",IF(ISNUMBER($A1321),MOD($A1321,100),IFERROR(VALUE(TRIM(MID(MID($A1321,FIND("/",$A1321)+1,20),FIND("/",MID($A1321,FIND("/",$A1321)+1,20))+1,20))),"")))</f>
        <v/>
      </c>
      <c r="E1321">
        <f>IF($A1321="","",IF(OR($B1321="",$C1321="",$D1321="",$B1321&lt;1300,$B1321&gt;1500,$C1321&lt;1,$C1321&gt;12,$D1321&lt;1,$D1321&gt;31),"نامعتبر",RIGHT("0000"&amp;$B1321,4)&amp;"/"&amp;RIGHT("00"&amp;$C1321,2)&amp;"/"&amp;RIGHT("00"&amp;$D1321,2)))</f>
        <v/>
      </c>
      <c r="F1321">
        <f>IF(OR($E1321="",$E1321="نامعتبر"),"",LEFT($E1321,4)&amp;"/"&amp;MID($E1321,6,2))</f>
        <v/>
      </c>
      <c r="G1321">
        <f>IF(OR($E1321="",$E1321="نامعتبر",Sync!$X1317=""),"",IF(AND(LEFT(UPPER(TRIM(Sync!$X1317)),2)="SL",IFERROR(VLOOKUP(Sync!$W1317,OpTbl,3,0),"")="فروش"),UPPER(TRIM(Sync!$X1317)),""))</f>
        <v/>
      </c>
      <c r="H1321">
        <f>IF($G1321="","",IF(Sync!$W1317="","",Sync!$W1317))</f>
        <v/>
      </c>
      <c r="I1321">
        <f>IF(OR($G1321="",Sync!$Y1317=""),"",Sync!$Y1317)</f>
        <v/>
      </c>
      <c r="J1321">
        <f>IF(OR($G1321="",Sync!$Z1317=""),"",Sync!$Z1317)</f>
        <v/>
      </c>
      <c r="K1321">
        <f>IF($G1321="",0,IF(Sync!$AA1317="",0,Sync!$AA1317))</f>
        <v/>
      </c>
      <c r="L1321">
        <f>IF($G1321="",0,IF(Sync!$AB1317="",0,Sync!$AB1317))</f>
        <v/>
      </c>
      <c r="M1321">
        <f>IF($G1321="","",IF($H1321="مرجوعی فروش",-1,1)*($K1321-$L1321*IFERROR(VLOOKUP("P01",ParamTbl,3,0),1.5)))</f>
        <v/>
      </c>
      <c r="N1321">
        <f>IF($G1321="",0,IF($H1321="مرجوعی فروش",-1,1)*IF(Sync!$AC1317="",0,Sync!$AC1317))</f>
        <v/>
      </c>
      <c r="O1321">
        <f>IF(OR($G1321="",Sync!$V1317=""),"",Sync!$V1317)</f>
        <v/>
      </c>
      <c r="P1321">
        <f>IF(OR($G1321="",Sync!$AD1317=""),"",Sync!$AD1317)</f>
        <v/>
      </c>
      <c r="Q1321">
        <f>IF($G1321="","",IF(Sync!$U1317="","0000",IF(AND(ISNUMBER(Sync!$U1317),Sync!$U1317&gt;=0,Sync!$U1317&lt;1),RIGHT("00"&amp;HOUR(Sync!$U1317),2)&amp;RIGHT("00"&amp;MINUTE(Sync!$U1317),2),IFERROR(RIGHT("00"&amp;VALUE(LEFT(Sync!$U1317,FIND(":",Sync!$U1317)-1)),2)&amp;RIGHT("00"&amp;VALUE(MID(Sync!$U1317,FIND(":",Sync!$U1317)+1,2)),2),"0000"))))</f>
        <v/>
      </c>
    </row>
    <row r="1322">
      <c r="A1322">
        <f>IF(Sync!$T1318="","",Sync!$T1318)</f>
        <v/>
      </c>
      <c r="B1322">
        <f>IF($A1322="","",IF(ISNUMBER($A1322),IF(AND($A1322&gt;=10000101,$A1322&lt;=99991231),INT($A1322/10000),""),IFERROR(VALUE(TRIM(LEFT($A1322,FIND("/",$A1322)-1))),"")))</f>
        <v/>
      </c>
      <c r="C1322">
        <f>IF(OR($A1322="",$B1322=""),"",IF(ISNUMBER($A1322),INT(MOD($A1322,10000)/100),IFERROR(VALUE(TRIM(LEFT(MID($A1322,FIND("/",$A1322)+1,20),FIND("/",MID($A1322,FIND("/",$A1322)+1,20))-1))),"")))</f>
        <v/>
      </c>
      <c r="D1322">
        <f>IF(OR($A1322="",$B1322=""),"",IF(ISNUMBER($A1322),MOD($A1322,100),IFERROR(VALUE(TRIM(MID(MID($A1322,FIND("/",$A1322)+1,20),FIND("/",MID($A1322,FIND("/",$A1322)+1,20))+1,20))),"")))</f>
        <v/>
      </c>
      <c r="E1322">
        <f>IF($A1322="","",IF(OR($B1322="",$C1322="",$D1322="",$B1322&lt;1300,$B1322&gt;1500,$C1322&lt;1,$C1322&gt;12,$D1322&lt;1,$D1322&gt;31),"نامعتبر",RIGHT("0000"&amp;$B1322,4)&amp;"/"&amp;RIGHT("00"&amp;$C1322,2)&amp;"/"&amp;RIGHT("00"&amp;$D1322,2)))</f>
        <v/>
      </c>
      <c r="F1322">
        <f>IF(OR($E1322="",$E1322="نامعتبر"),"",LEFT($E1322,4)&amp;"/"&amp;MID($E1322,6,2))</f>
        <v/>
      </c>
      <c r="G1322">
        <f>IF(OR($E1322="",$E1322="نامعتبر",Sync!$X1318=""),"",IF(AND(LEFT(UPPER(TRIM(Sync!$X1318)),2)="SL",IFERROR(VLOOKUP(Sync!$W1318,OpTbl,3,0),"")="فروش"),UPPER(TRIM(Sync!$X1318)),""))</f>
        <v/>
      </c>
      <c r="H1322">
        <f>IF($G1322="","",IF(Sync!$W1318="","",Sync!$W1318))</f>
        <v/>
      </c>
      <c r="I1322">
        <f>IF(OR($G1322="",Sync!$Y1318=""),"",Sync!$Y1318)</f>
        <v/>
      </c>
      <c r="J1322">
        <f>IF(OR($G1322="",Sync!$Z1318=""),"",Sync!$Z1318)</f>
        <v/>
      </c>
      <c r="K1322">
        <f>IF($G1322="",0,IF(Sync!$AA1318="",0,Sync!$AA1318))</f>
        <v/>
      </c>
      <c r="L1322">
        <f>IF($G1322="",0,IF(Sync!$AB1318="",0,Sync!$AB1318))</f>
        <v/>
      </c>
      <c r="M1322">
        <f>IF($G1322="","",IF($H1322="مرجوعی فروش",-1,1)*($K1322-$L1322*IFERROR(VLOOKUP("P01",ParamTbl,3,0),1.5)))</f>
        <v/>
      </c>
      <c r="N1322">
        <f>IF($G1322="",0,IF($H1322="مرجوعی فروش",-1,1)*IF(Sync!$AC1318="",0,Sync!$AC1318))</f>
        <v/>
      </c>
      <c r="O1322">
        <f>IF(OR($G1322="",Sync!$V1318=""),"",Sync!$V1318)</f>
        <v/>
      </c>
      <c r="P1322">
        <f>IF(OR($G1322="",Sync!$AD1318=""),"",Sync!$AD1318)</f>
        <v/>
      </c>
      <c r="Q1322">
        <f>IF($G1322="","",IF(Sync!$U1318="","0000",IF(AND(ISNUMBER(Sync!$U1318),Sync!$U1318&gt;=0,Sync!$U1318&lt;1),RIGHT("00"&amp;HOUR(Sync!$U1318),2)&amp;RIGHT("00"&amp;MINUTE(Sync!$U1318),2),IFERROR(RIGHT("00"&amp;VALUE(LEFT(Sync!$U1318,FIND(":",Sync!$U1318)-1)),2)&amp;RIGHT("00"&amp;VALUE(MID(Sync!$U1318,FIND(":",Sync!$U1318)+1,2)),2),"0000"))))</f>
        <v/>
      </c>
    </row>
    <row r="1323">
      <c r="A1323">
        <f>IF(Sync!$T1319="","",Sync!$T1319)</f>
        <v/>
      </c>
      <c r="B1323">
        <f>IF($A1323="","",IF(ISNUMBER($A1323),IF(AND($A1323&gt;=10000101,$A1323&lt;=99991231),INT($A1323/10000),""),IFERROR(VALUE(TRIM(LEFT($A1323,FIND("/",$A1323)-1))),"")))</f>
        <v/>
      </c>
      <c r="C1323">
        <f>IF(OR($A1323="",$B1323=""),"",IF(ISNUMBER($A1323),INT(MOD($A1323,10000)/100),IFERROR(VALUE(TRIM(LEFT(MID($A1323,FIND("/",$A1323)+1,20),FIND("/",MID($A1323,FIND("/",$A1323)+1,20))-1))),"")))</f>
        <v/>
      </c>
      <c r="D1323">
        <f>IF(OR($A1323="",$B1323=""),"",IF(ISNUMBER($A1323),MOD($A1323,100),IFERROR(VALUE(TRIM(MID(MID($A1323,FIND("/",$A1323)+1,20),FIND("/",MID($A1323,FIND("/",$A1323)+1,20))+1,20))),"")))</f>
        <v/>
      </c>
      <c r="E1323">
        <f>IF($A1323="","",IF(OR($B1323="",$C1323="",$D1323="",$B1323&lt;1300,$B1323&gt;1500,$C1323&lt;1,$C1323&gt;12,$D1323&lt;1,$D1323&gt;31),"نامعتبر",RIGHT("0000"&amp;$B1323,4)&amp;"/"&amp;RIGHT("00"&amp;$C1323,2)&amp;"/"&amp;RIGHT("00"&amp;$D1323,2)))</f>
        <v/>
      </c>
      <c r="F1323">
        <f>IF(OR($E1323="",$E1323="نامعتبر"),"",LEFT($E1323,4)&amp;"/"&amp;MID($E1323,6,2))</f>
        <v/>
      </c>
      <c r="G1323">
        <f>IF(OR($E1323="",$E1323="نامعتبر",Sync!$X1319=""),"",IF(AND(LEFT(UPPER(TRIM(Sync!$X1319)),2)="SL",IFERROR(VLOOKUP(Sync!$W1319,OpTbl,3,0),"")="فروش"),UPPER(TRIM(Sync!$X1319)),""))</f>
        <v/>
      </c>
      <c r="H1323">
        <f>IF($G1323="","",IF(Sync!$W1319="","",Sync!$W1319))</f>
        <v/>
      </c>
      <c r="I1323">
        <f>IF(OR($G1323="",Sync!$Y1319=""),"",Sync!$Y1319)</f>
        <v/>
      </c>
      <c r="J1323">
        <f>IF(OR($G1323="",Sync!$Z1319=""),"",Sync!$Z1319)</f>
        <v/>
      </c>
      <c r="K1323">
        <f>IF($G1323="",0,IF(Sync!$AA1319="",0,Sync!$AA1319))</f>
        <v/>
      </c>
      <c r="L1323">
        <f>IF($G1323="",0,IF(Sync!$AB1319="",0,Sync!$AB1319))</f>
        <v/>
      </c>
      <c r="M1323">
        <f>IF($G1323="","",IF($H1323="مرجوعی فروش",-1,1)*($K1323-$L1323*IFERROR(VLOOKUP("P01",ParamTbl,3,0),1.5)))</f>
        <v/>
      </c>
      <c r="N1323">
        <f>IF($G1323="",0,IF($H1323="مرجوعی فروش",-1,1)*IF(Sync!$AC1319="",0,Sync!$AC1319))</f>
        <v/>
      </c>
      <c r="O1323">
        <f>IF(OR($G1323="",Sync!$V1319=""),"",Sync!$V1319)</f>
        <v/>
      </c>
      <c r="P1323">
        <f>IF(OR($G1323="",Sync!$AD1319=""),"",Sync!$AD1319)</f>
        <v/>
      </c>
      <c r="Q1323">
        <f>IF($G1323="","",IF(Sync!$U1319="","0000",IF(AND(ISNUMBER(Sync!$U1319),Sync!$U1319&gt;=0,Sync!$U1319&lt;1),RIGHT("00"&amp;HOUR(Sync!$U1319),2)&amp;RIGHT("00"&amp;MINUTE(Sync!$U1319),2),IFERROR(RIGHT("00"&amp;VALUE(LEFT(Sync!$U1319,FIND(":",Sync!$U1319)-1)),2)&amp;RIGHT("00"&amp;VALUE(MID(Sync!$U1319,FIND(":",Sync!$U1319)+1,2)),2),"0000"))))</f>
        <v/>
      </c>
    </row>
    <row r="1324">
      <c r="A1324">
        <f>IF(Sync!$T1320="","",Sync!$T1320)</f>
        <v/>
      </c>
      <c r="B1324">
        <f>IF($A1324="","",IF(ISNUMBER($A1324),IF(AND($A1324&gt;=10000101,$A1324&lt;=99991231),INT($A1324/10000),""),IFERROR(VALUE(TRIM(LEFT($A1324,FIND("/",$A1324)-1))),"")))</f>
        <v/>
      </c>
      <c r="C1324">
        <f>IF(OR($A1324="",$B1324=""),"",IF(ISNUMBER($A1324),INT(MOD($A1324,10000)/100),IFERROR(VALUE(TRIM(LEFT(MID($A1324,FIND("/",$A1324)+1,20),FIND("/",MID($A1324,FIND("/",$A1324)+1,20))-1))),"")))</f>
        <v/>
      </c>
      <c r="D1324">
        <f>IF(OR($A1324="",$B1324=""),"",IF(ISNUMBER($A1324),MOD($A1324,100),IFERROR(VALUE(TRIM(MID(MID($A1324,FIND("/",$A1324)+1,20),FIND("/",MID($A1324,FIND("/",$A1324)+1,20))+1,20))),"")))</f>
        <v/>
      </c>
      <c r="E1324">
        <f>IF($A1324="","",IF(OR($B1324="",$C1324="",$D1324="",$B1324&lt;1300,$B1324&gt;1500,$C1324&lt;1,$C1324&gt;12,$D1324&lt;1,$D1324&gt;31),"نامعتبر",RIGHT("0000"&amp;$B1324,4)&amp;"/"&amp;RIGHT("00"&amp;$C1324,2)&amp;"/"&amp;RIGHT("00"&amp;$D1324,2)))</f>
        <v/>
      </c>
      <c r="F1324">
        <f>IF(OR($E1324="",$E1324="نامعتبر"),"",LEFT($E1324,4)&amp;"/"&amp;MID($E1324,6,2))</f>
        <v/>
      </c>
      <c r="G1324">
        <f>IF(OR($E1324="",$E1324="نامعتبر",Sync!$X1320=""),"",IF(AND(LEFT(UPPER(TRIM(Sync!$X1320)),2)="SL",IFERROR(VLOOKUP(Sync!$W1320,OpTbl,3,0),"")="فروش"),UPPER(TRIM(Sync!$X1320)),""))</f>
        <v/>
      </c>
      <c r="H1324">
        <f>IF($G1324="","",IF(Sync!$W1320="","",Sync!$W1320))</f>
        <v/>
      </c>
      <c r="I1324">
        <f>IF(OR($G1324="",Sync!$Y1320=""),"",Sync!$Y1320)</f>
        <v/>
      </c>
      <c r="J1324">
        <f>IF(OR($G1324="",Sync!$Z1320=""),"",Sync!$Z1320)</f>
        <v/>
      </c>
      <c r="K1324">
        <f>IF($G1324="",0,IF(Sync!$AA1320="",0,Sync!$AA1320))</f>
        <v/>
      </c>
      <c r="L1324">
        <f>IF($G1324="",0,IF(Sync!$AB1320="",0,Sync!$AB1320))</f>
        <v/>
      </c>
      <c r="M1324">
        <f>IF($G1324="","",IF($H1324="مرجوعی فروش",-1,1)*($K1324-$L1324*IFERROR(VLOOKUP("P01",ParamTbl,3,0),1.5)))</f>
        <v/>
      </c>
      <c r="N1324">
        <f>IF($G1324="",0,IF($H1324="مرجوعی فروش",-1,1)*IF(Sync!$AC1320="",0,Sync!$AC1320))</f>
        <v/>
      </c>
      <c r="O1324">
        <f>IF(OR($G1324="",Sync!$V1320=""),"",Sync!$V1320)</f>
        <v/>
      </c>
      <c r="P1324">
        <f>IF(OR($G1324="",Sync!$AD1320=""),"",Sync!$AD1320)</f>
        <v/>
      </c>
      <c r="Q1324">
        <f>IF($G1324="","",IF(Sync!$U1320="","0000",IF(AND(ISNUMBER(Sync!$U1320),Sync!$U1320&gt;=0,Sync!$U1320&lt;1),RIGHT("00"&amp;HOUR(Sync!$U1320),2)&amp;RIGHT("00"&amp;MINUTE(Sync!$U1320),2),IFERROR(RIGHT("00"&amp;VALUE(LEFT(Sync!$U1320,FIND(":",Sync!$U1320)-1)),2)&amp;RIGHT("00"&amp;VALUE(MID(Sync!$U1320,FIND(":",Sync!$U1320)+1,2)),2),"0000"))))</f>
        <v/>
      </c>
    </row>
    <row r="1325">
      <c r="A1325">
        <f>IF(Sync!$T1321="","",Sync!$T1321)</f>
        <v/>
      </c>
      <c r="B1325">
        <f>IF($A1325="","",IF(ISNUMBER($A1325),IF(AND($A1325&gt;=10000101,$A1325&lt;=99991231),INT($A1325/10000),""),IFERROR(VALUE(TRIM(LEFT($A1325,FIND("/",$A1325)-1))),"")))</f>
        <v/>
      </c>
      <c r="C1325">
        <f>IF(OR($A1325="",$B1325=""),"",IF(ISNUMBER($A1325),INT(MOD($A1325,10000)/100),IFERROR(VALUE(TRIM(LEFT(MID($A1325,FIND("/",$A1325)+1,20),FIND("/",MID($A1325,FIND("/",$A1325)+1,20))-1))),"")))</f>
        <v/>
      </c>
      <c r="D1325">
        <f>IF(OR($A1325="",$B1325=""),"",IF(ISNUMBER($A1325),MOD($A1325,100),IFERROR(VALUE(TRIM(MID(MID($A1325,FIND("/",$A1325)+1,20),FIND("/",MID($A1325,FIND("/",$A1325)+1,20))+1,20))),"")))</f>
        <v/>
      </c>
      <c r="E1325">
        <f>IF($A1325="","",IF(OR($B1325="",$C1325="",$D1325="",$B1325&lt;1300,$B1325&gt;1500,$C1325&lt;1,$C1325&gt;12,$D1325&lt;1,$D1325&gt;31),"نامعتبر",RIGHT("0000"&amp;$B1325,4)&amp;"/"&amp;RIGHT("00"&amp;$C1325,2)&amp;"/"&amp;RIGHT("00"&amp;$D1325,2)))</f>
        <v/>
      </c>
      <c r="F1325">
        <f>IF(OR($E1325="",$E1325="نامعتبر"),"",LEFT($E1325,4)&amp;"/"&amp;MID($E1325,6,2))</f>
        <v/>
      </c>
      <c r="G1325">
        <f>IF(OR($E1325="",$E1325="نامعتبر",Sync!$X1321=""),"",IF(AND(LEFT(UPPER(TRIM(Sync!$X1321)),2)="SL",IFERROR(VLOOKUP(Sync!$W1321,OpTbl,3,0),"")="فروش"),UPPER(TRIM(Sync!$X1321)),""))</f>
        <v/>
      </c>
      <c r="H1325">
        <f>IF($G1325="","",IF(Sync!$W1321="","",Sync!$W1321))</f>
        <v/>
      </c>
      <c r="I1325">
        <f>IF(OR($G1325="",Sync!$Y1321=""),"",Sync!$Y1321)</f>
        <v/>
      </c>
      <c r="J1325">
        <f>IF(OR($G1325="",Sync!$Z1321=""),"",Sync!$Z1321)</f>
        <v/>
      </c>
      <c r="K1325">
        <f>IF($G1325="",0,IF(Sync!$AA1321="",0,Sync!$AA1321))</f>
        <v/>
      </c>
      <c r="L1325">
        <f>IF($G1325="",0,IF(Sync!$AB1321="",0,Sync!$AB1321))</f>
        <v/>
      </c>
      <c r="M1325">
        <f>IF($G1325="","",IF($H1325="مرجوعی فروش",-1,1)*($K1325-$L1325*IFERROR(VLOOKUP("P01",ParamTbl,3,0),1.5)))</f>
        <v/>
      </c>
      <c r="N1325">
        <f>IF($G1325="",0,IF($H1325="مرجوعی فروش",-1,1)*IF(Sync!$AC1321="",0,Sync!$AC1321))</f>
        <v/>
      </c>
      <c r="O1325">
        <f>IF(OR($G1325="",Sync!$V1321=""),"",Sync!$V1321)</f>
        <v/>
      </c>
      <c r="P1325">
        <f>IF(OR($G1325="",Sync!$AD1321=""),"",Sync!$AD1321)</f>
        <v/>
      </c>
      <c r="Q1325">
        <f>IF($G1325="","",IF(Sync!$U1321="","0000",IF(AND(ISNUMBER(Sync!$U1321),Sync!$U1321&gt;=0,Sync!$U1321&lt;1),RIGHT("00"&amp;HOUR(Sync!$U1321),2)&amp;RIGHT("00"&amp;MINUTE(Sync!$U1321),2),IFERROR(RIGHT("00"&amp;VALUE(LEFT(Sync!$U1321,FIND(":",Sync!$U1321)-1)),2)&amp;RIGHT("00"&amp;VALUE(MID(Sync!$U1321,FIND(":",Sync!$U1321)+1,2)),2),"0000"))))</f>
        <v/>
      </c>
    </row>
    <row r="1326">
      <c r="A1326">
        <f>IF(Sync!$T1322="","",Sync!$T1322)</f>
        <v/>
      </c>
      <c r="B1326">
        <f>IF($A1326="","",IF(ISNUMBER($A1326),IF(AND($A1326&gt;=10000101,$A1326&lt;=99991231),INT($A1326/10000),""),IFERROR(VALUE(TRIM(LEFT($A1326,FIND("/",$A1326)-1))),"")))</f>
        <v/>
      </c>
      <c r="C1326">
        <f>IF(OR($A1326="",$B1326=""),"",IF(ISNUMBER($A1326),INT(MOD($A1326,10000)/100),IFERROR(VALUE(TRIM(LEFT(MID($A1326,FIND("/",$A1326)+1,20),FIND("/",MID($A1326,FIND("/",$A1326)+1,20))-1))),"")))</f>
        <v/>
      </c>
      <c r="D1326">
        <f>IF(OR($A1326="",$B1326=""),"",IF(ISNUMBER($A1326),MOD($A1326,100),IFERROR(VALUE(TRIM(MID(MID($A1326,FIND("/",$A1326)+1,20),FIND("/",MID($A1326,FIND("/",$A1326)+1,20))+1,20))),"")))</f>
        <v/>
      </c>
      <c r="E1326">
        <f>IF($A1326="","",IF(OR($B1326="",$C1326="",$D1326="",$B1326&lt;1300,$B1326&gt;1500,$C1326&lt;1,$C1326&gt;12,$D1326&lt;1,$D1326&gt;31),"نامعتبر",RIGHT("0000"&amp;$B1326,4)&amp;"/"&amp;RIGHT("00"&amp;$C1326,2)&amp;"/"&amp;RIGHT("00"&amp;$D1326,2)))</f>
        <v/>
      </c>
      <c r="F1326">
        <f>IF(OR($E1326="",$E1326="نامعتبر"),"",LEFT($E1326,4)&amp;"/"&amp;MID($E1326,6,2))</f>
        <v/>
      </c>
      <c r="G1326">
        <f>IF(OR($E1326="",$E1326="نامعتبر",Sync!$X1322=""),"",IF(AND(LEFT(UPPER(TRIM(Sync!$X1322)),2)="SL",IFERROR(VLOOKUP(Sync!$W1322,OpTbl,3,0),"")="فروش"),UPPER(TRIM(Sync!$X1322)),""))</f>
        <v/>
      </c>
      <c r="H1326">
        <f>IF($G1326="","",IF(Sync!$W1322="","",Sync!$W1322))</f>
        <v/>
      </c>
      <c r="I1326">
        <f>IF(OR($G1326="",Sync!$Y1322=""),"",Sync!$Y1322)</f>
        <v/>
      </c>
      <c r="J1326">
        <f>IF(OR($G1326="",Sync!$Z1322=""),"",Sync!$Z1322)</f>
        <v/>
      </c>
      <c r="K1326">
        <f>IF($G1326="",0,IF(Sync!$AA1322="",0,Sync!$AA1322))</f>
        <v/>
      </c>
      <c r="L1326">
        <f>IF($G1326="",0,IF(Sync!$AB1322="",0,Sync!$AB1322))</f>
        <v/>
      </c>
      <c r="M1326">
        <f>IF($G1326="","",IF($H1326="مرجوعی فروش",-1,1)*($K1326-$L1326*IFERROR(VLOOKUP("P01",ParamTbl,3,0),1.5)))</f>
        <v/>
      </c>
      <c r="N1326">
        <f>IF($G1326="",0,IF($H1326="مرجوعی فروش",-1,1)*IF(Sync!$AC1322="",0,Sync!$AC1322))</f>
        <v/>
      </c>
      <c r="O1326">
        <f>IF(OR($G1326="",Sync!$V1322=""),"",Sync!$V1322)</f>
        <v/>
      </c>
      <c r="P1326">
        <f>IF(OR($G1326="",Sync!$AD1322=""),"",Sync!$AD1322)</f>
        <v/>
      </c>
      <c r="Q1326">
        <f>IF($G1326="","",IF(Sync!$U1322="","0000",IF(AND(ISNUMBER(Sync!$U1322),Sync!$U1322&gt;=0,Sync!$U1322&lt;1),RIGHT("00"&amp;HOUR(Sync!$U1322),2)&amp;RIGHT("00"&amp;MINUTE(Sync!$U1322),2),IFERROR(RIGHT("00"&amp;VALUE(LEFT(Sync!$U1322,FIND(":",Sync!$U1322)-1)),2)&amp;RIGHT("00"&amp;VALUE(MID(Sync!$U1322,FIND(":",Sync!$U1322)+1,2)),2),"0000"))))</f>
        <v/>
      </c>
    </row>
    <row r="1327">
      <c r="A1327">
        <f>IF(Sync!$T1323="","",Sync!$T1323)</f>
        <v/>
      </c>
      <c r="B1327">
        <f>IF($A1327="","",IF(ISNUMBER($A1327),IF(AND($A1327&gt;=10000101,$A1327&lt;=99991231),INT($A1327/10000),""),IFERROR(VALUE(TRIM(LEFT($A1327,FIND("/",$A1327)-1))),"")))</f>
        <v/>
      </c>
      <c r="C1327">
        <f>IF(OR($A1327="",$B1327=""),"",IF(ISNUMBER($A1327),INT(MOD($A1327,10000)/100),IFERROR(VALUE(TRIM(LEFT(MID($A1327,FIND("/",$A1327)+1,20),FIND("/",MID($A1327,FIND("/",$A1327)+1,20))-1))),"")))</f>
        <v/>
      </c>
      <c r="D1327">
        <f>IF(OR($A1327="",$B1327=""),"",IF(ISNUMBER($A1327),MOD($A1327,100),IFERROR(VALUE(TRIM(MID(MID($A1327,FIND("/",$A1327)+1,20),FIND("/",MID($A1327,FIND("/",$A1327)+1,20))+1,20))),"")))</f>
        <v/>
      </c>
      <c r="E1327">
        <f>IF($A1327="","",IF(OR($B1327="",$C1327="",$D1327="",$B1327&lt;1300,$B1327&gt;1500,$C1327&lt;1,$C1327&gt;12,$D1327&lt;1,$D1327&gt;31),"نامعتبر",RIGHT("0000"&amp;$B1327,4)&amp;"/"&amp;RIGHT("00"&amp;$C1327,2)&amp;"/"&amp;RIGHT("00"&amp;$D1327,2)))</f>
        <v/>
      </c>
      <c r="F1327">
        <f>IF(OR($E1327="",$E1327="نامعتبر"),"",LEFT($E1327,4)&amp;"/"&amp;MID($E1327,6,2))</f>
        <v/>
      </c>
      <c r="G1327">
        <f>IF(OR($E1327="",$E1327="نامعتبر",Sync!$X1323=""),"",IF(AND(LEFT(UPPER(TRIM(Sync!$X1323)),2)="SL",IFERROR(VLOOKUP(Sync!$W1323,OpTbl,3,0),"")="فروش"),UPPER(TRIM(Sync!$X1323)),""))</f>
        <v/>
      </c>
      <c r="H1327">
        <f>IF($G1327="","",IF(Sync!$W1323="","",Sync!$W1323))</f>
        <v/>
      </c>
      <c r="I1327">
        <f>IF(OR($G1327="",Sync!$Y1323=""),"",Sync!$Y1323)</f>
        <v/>
      </c>
      <c r="J1327">
        <f>IF(OR($G1327="",Sync!$Z1323=""),"",Sync!$Z1323)</f>
        <v/>
      </c>
      <c r="K1327">
        <f>IF($G1327="",0,IF(Sync!$AA1323="",0,Sync!$AA1323))</f>
        <v/>
      </c>
      <c r="L1327">
        <f>IF($G1327="",0,IF(Sync!$AB1323="",0,Sync!$AB1323))</f>
        <v/>
      </c>
      <c r="M1327">
        <f>IF($G1327="","",IF($H1327="مرجوعی فروش",-1,1)*($K1327-$L1327*IFERROR(VLOOKUP("P01",ParamTbl,3,0),1.5)))</f>
        <v/>
      </c>
      <c r="N1327">
        <f>IF($G1327="",0,IF($H1327="مرجوعی فروش",-1,1)*IF(Sync!$AC1323="",0,Sync!$AC1323))</f>
        <v/>
      </c>
      <c r="O1327">
        <f>IF(OR($G1327="",Sync!$V1323=""),"",Sync!$V1323)</f>
        <v/>
      </c>
      <c r="P1327">
        <f>IF(OR($G1327="",Sync!$AD1323=""),"",Sync!$AD1323)</f>
        <v/>
      </c>
      <c r="Q1327">
        <f>IF($G1327="","",IF(Sync!$U1323="","0000",IF(AND(ISNUMBER(Sync!$U1323),Sync!$U1323&gt;=0,Sync!$U1323&lt;1),RIGHT("00"&amp;HOUR(Sync!$U1323),2)&amp;RIGHT("00"&amp;MINUTE(Sync!$U1323),2),IFERROR(RIGHT("00"&amp;VALUE(LEFT(Sync!$U1323,FIND(":",Sync!$U1323)-1)),2)&amp;RIGHT("00"&amp;VALUE(MID(Sync!$U1323,FIND(":",Sync!$U1323)+1,2)),2),"0000"))))</f>
        <v/>
      </c>
    </row>
    <row r="1328">
      <c r="A1328">
        <f>IF(Sync!$T1324="","",Sync!$T1324)</f>
        <v/>
      </c>
      <c r="B1328">
        <f>IF($A1328="","",IF(ISNUMBER($A1328),IF(AND($A1328&gt;=10000101,$A1328&lt;=99991231),INT($A1328/10000),""),IFERROR(VALUE(TRIM(LEFT($A1328,FIND("/",$A1328)-1))),"")))</f>
        <v/>
      </c>
      <c r="C1328">
        <f>IF(OR($A1328="",$B1328=""),"",IF(ISNUMBER($A1328),INT(MOD($A1328,10000)/100),IFERROR(VALUE(TRIM(LEFT(MID($A1328,FIND("/",$A1328)+1,20),FIND("/",MID($A1328,FIND("/",$A1328)+1,20))-1))),"")))</f>
        <v/>
      </c>
      <c r="D1328">
        <f>IF(OR($A1328="",$B1328=""),"",IF(ISNUMBER($A1328),MOD($A1328,100),IFERROR(VALUE(TRIM(MID(MID($A1328,FIND("/",$A1328)+1,20),FIND("/",MID($A1328,FIND("/",$A1328)+1,20))+1,20))),"")))</f>
        <v/>
      </c>
      <c r="E1328">
        <f>IF($A1328="","",IF(OR($B1328="",$C1328="",$D1328="",$B1328&lt;1300,$B1328&gt;1500,$C1328&lt;1,$C1328&gt;12,$D1328&lt;1,$D1328&gt;31),"نامعتبر",RIGHT("0000"&amp;$B1328,4)&amp;"/"&amp;RIGHT("00"&amp;$C1328,2)&amp;"/"&amp;RIGHT("00"&amp;$D1328,2)))</f>
        <v/>
      </c>
      <c r="F1328">
        <f>IF(OR($E1328="",$E1328="نامعتبر"),"",LEFT($E1328,4)&amp;"/"&amp;MID($E1328,6,2))</f>
        <v/>
      </c>
      <c r="G1328">
        <f>IF(OR($E1328="",$E1328="نامعتبر",Sync!$X1324=""),"",IF(AND(LEFT(UPPER(TRIM(Sync!$X1324)),2)="SL",IFERROR(VLOOKUP(Sync!$W1324,OpTbl,3,0),"")="فروش"),UPPER(TRIM(Sync!$X1324)),""))</f>
        <v/>
      </c>
      <c r="H1328">
        <f>IF($G1328="","",IF(Sync!$W1324="","",Sync!$W1324))</f>
        <v/>
      </c>
      <c r="I1328">
        <f>IF(OR($G1328="",Sync!$Y1324=""),"",Sync!$Y1324)</f>
        <v/>
      </c>
      <c r="J1328">
        <f>IF(OR($G1328="",Sync!$Z1324=""),"",Sync!$Z1324)</f>
        <v/>
      </c>
      <c r="K1328">
        <f>IF($G1328="",0,IF(Sync!$AA1324="",0,Sync!$AA1324))</f>
        <v/>
      </c>
      <c r="L1328">
        <f>IF($G1328="",0,IF(Sync!$AB1324="",0,Sync!$AB1324))</f>
        <v/>
      </c>
      <c r="M1328">
        <f>IF($G1328="","",IF($H1328="مرجوعی فروش",-1,1)*($K1328-$L1328*IFERROR(VLOOKUP("P01",ParamTbl,3,0),1.5)))</f>
        <v/>
      </c>
      <c r="N1328">
        <f>IF($G1328="",0,IF($H1328="مرجوعی فروش",-1,1)*IF(Sync!$AC1324="",0,Sync!$AC1324))</f>
        <v/>
      </c>
      <c r="O1328">
        <f>IF(OR($G1328="",Sync!$V1324=""),"",Sync!$V1324)</f>
        <v/>
      </c>
      <c r="P1328">
        <f>IF(OR($G1328="",Sync!$AD1324=""),"",Sync!$AD1324)</f>
        <v/>
      </c>
      <c r="Q1328">
        <f>IF($G1328="","",IF(Sync!$U1324="","0000",IF(AND(ISNUMBER(Sync!$U1324),Sync!$U1324&gt;=0,Sync!$U1324&lt;1),RIGHT("00"&amp;HOUR(Sync!$U1324),2)&amp;RIGHT("00"&amp;MINUTE(Sync!$U1324),2),IFERROR(RIGHT("00"&amp;VALUE(LEFT(Sync!$U1324,FIND(":",Sync!$U1324)-1)),2)&amp;RIGHT("00"&amp;VALUE(MID(Sync!$U1324,FIND(":",Sync!$U1324)+1,2)),2),"0000"))))</f>
        <v/>
      </c>
    </row>
    <row r="1329">
      <c r="A1329">
        <f>IF(Sync!$T1325="","",Sync!$T1325)</f>
        <v/>
      </c>
      <c r="B1329">
        <f>IF($A1329="","",IF(ISNUMBER($A1329),IF(AND($A1329&gt;=10000101,$A1329&lt;=99991231),INT($A1329/10000),""),IFERROR(VALUE(TRIM(LEFT($A1329,FIND("/",$A1329)-1))),"")))</f>
        <v/>
      </c>
      <c r="C1329">
        <f>IF(OR($A1329="",$B1329=""),"",IF(ISNUMBER($A1329),INT(MOD($A1329,10000)/100),IFERROR(VALUE(TRIM(LEFT(MID($A1329,FIND("/",$A1329)+1,20),FIND("/",MID($A1329,FIND("/",$A1329)+1,20))-1))),"")))</f>
        <v/>
      </c>
      <c r="D1329">
        <f>IF(OR($A1329="",$B1329=""),"",IF(ISNUMBER($A1329),MOD($A1329,100),IFERROR(VALUE(TRIM(MID(MID($A1329,FIND("/",$A1329)+1,20),FIND("/",MID($A1329,FIND("/",$A1329)+1,20))+1,20))),"")))</f>
        <v/>
      </c>
      <c r="E1329">
        <f>IF($A1329="","",IF(OR($B1329="",$C1329="",$D1329="",$B1329&lt;1300,$B1329&gt;1500,$C1329&lt;1,$C1329&gt;12,$D1329&lt;1,$D1329&gt;31),"نامعتبر",RIGHT("0000"&amp;$B1329,4)&amp;"/"&amp;RIGHT("00"&amp;$C1329,2)&amp;"/"&amp;RIGHT("00"&amp;$D1329,2)))</f>
        <v/>
      </c>
      <c r="F1329">
        <f>IF(OR($E1329="",$E1329="نامعتبر"),"",LEFT($E1329,4)&amp;"/"&amp;MID($E1329,6,2))</f>
        <v/>
      </c>
      <c r="G1329">
        <f>IF(OR($E1329="",$E1329="نامعتبر",Sync!$X1325=""),"",IF(AND(LEFT(UPPER(TRIM(Sync!$X1325)),2)="SL",IFERROR(VLOOKUP(Sync!$W1325,OpTbl,3,0),"")="فروش"),UPPER(TRIM(Sync!$X1325)),""))</f>
        <v/>
      </c>
      <c r="H1329">
        <f>IF($G1329="","",IF(Sync!$W1325="","",Sync!$W1325))</f>
        <v/>
      </c>
      <c r="I1329">
        <f>IF(OR($G1329="",Sync!$Y1325=""),"",Sync!$Y1325)</f>
        <v/>
      </c>
      <c r="J1329">
        <f>IF(OR($G1329="",Sync!$Z1325=""),"",Sync!$Z1325)</f>
        <v/>
      </c>
      <c r="K1329">
        <f>IF($G1329="",0,IF(Sync!$AA1325="",0,Sync!$AA1325))</f>
        <v/>
      </c>
      <c r="L1329">
        <f>IF($G1329="",0,IF(Sync!$AB1325="",0,Sync!$AB1325))</f>
        <v/>
      </c>
      <c r="M1329">
        <f>IF($G1329="","",IF($H1329="مرجوعی فروش",-1,1)*($K1329-$L1329*IFERROR(VLOOKUP("P01",ParamTbl,3,0),1.5)))</f>
        <v/>
      </c>
      <c r="N1329">
        <f>IF($G1329="",0,IF($H1329="مرجوعی فروش",-1,1)*IF(Sync!$AC1325="",0,Sync!$AC1325))</f>
        <v/>
      </c>
      <c r="O1329">
        <f>IF(OR($G1329="",Sync!$V1325=""),"",Sync!$V1325)</f>
        <v/>
      </c>
      <c r="P1329">
        <f>IF(OR($G1329="",Sync!$AD1325=""),"",Sync!$AD1325)</f>
        <v/>
      </c>
      <c r="Q1329">
        <f>IF($G1329="","",IF(Sync!$U1325="","0000",IF(AND(ISNUMBER(Sync!$U1325),Sync!$U1325&gt;=0,Sync!$U1325&lt;1),RIGHT("00"&amp;HOUR(Sync!$U1325),2)&amp;RIGHT("00"&amp;MINUTE(Sync!$U1325),2),IFERROR(RIGHT("00"&amp;VALUE(LEFT(Sync!$U1325,FIND(":",Sync!$U1325)-1)),2)&amp;RIGHT("00"&amp;VALUE(MID(Sync!$U1325,FIND(":",Sync!$U1325)+1,2)),2),"0000"))))</f>
        <v/>
      </c>
    </row>
    <row r="1330">
      <c r="A1330">
        <f>IF(Sync!$T1326="","",Sync!$T1326)</f>
        <v/>
      </c>
      <c r="B1330">
        <f>IF($A1330="","",IF(ISNUMBER($A1330),IF(AND($A1330&gt;=10000101,$A1330&lt;=99991231),INT($A1330/10000),""),IFERROR(VALUE(TRIM(LEFT($A1330,FIND("/",$A1330)-1))),"")))</f>
        <v/>
      </c>
      <c r="C1330">
        <f>IF(OR($A1330="",$B1330=""),"",IF(ISNUMBER($A1330),INT(MOD($A1330,10000)/100),IFERROR(VALUE(TRIM(LEFT(MID($A1330,FIND("/",$A1330)+1,20),FIND("/",MID($A1330,FIND("/",$A1330)+1,20))-1))),"")))</f>
        <v/>
      </c>
      <c r="D1330">
        <f>IF(OR($A1330="",$B1330=""),"",IF(ISNUMBER($A1330),MOD($A1330,100),IFERROR(VALUE(TRIM(MID(MID($A1330,FIND("/",$A1330)+1,20),FIND("/",MID($A1330,FIND("/",$A1330)+1,20))+1,20))),"")))</f>
        <v/>
      </c>
      <c r="E1330">
        <f>IF($A1330="","",IF(OR($B1330="",$C1330="",$D1330="",$B1330&lt;1300,$B1330&gt;1500,$C1330&lt;1,$C1330&gt;12,$D1330&lt;1,$D1330&gt;31),"نامعتبر",RIGHT("0000"&amp;$B1330,4)&amp;"/"&amp;RIGHT("00"&amp;$C1330,2)&amp;"/"&amp;RIGHT("00"&amp;$D1330,2)))</f>
        <v/>
      </c>
      <c r="F1330">
        <f>IF(OR($E1330="",$E1330="نامعتبر"),"",LEFT($E1330,4)&amp;"/"&amp;MID($E1330,6,2))</f>
        <v/>
      </c>
      <c r="G1330">
        <f>IF(OR($E1330="",$E1330="نامعتبر",Sync!$X1326=""),"",IF(AND(LEFT(UPPER(TRIM(Sync!$X1326)),2)="SL",IFERROR(VLOOKUP(Sync!$W1326,OpTbl,3,0),"")="فروش"),UPPER(TRIM(Sync!$X1326)),""))</f>
        <v/>
      </c>
      <c r="H1330">
        <f>IF($G1330="","",IF(Sync!$W1326="","",Sync!$W1326))</f>
        <v/>
      </c>
      <c r="I1330">
        <f>IF(OR($G1330="",Sync!$Y1326=""),"",Sync!$Y1326)</f>
        <v/>
      </c>
      <c r="J1330">
        <f>IF(OR($G1330="",Sync!$Z1326=""),"",Sync!$Z1326)</f>
        <v/>
      </c>
      <c r="K1330">
        <f>IF($G1330="",0,IF(Sync!$AA1326="",0,Sync!$AA1326))</f>
        <v/>
      </c>
      <c r="L1330">
        <f>IF($G1330="",0,IF(Sync!$AB1326="",0,Sync!$AB1326))</f>
        <v/>
      </c>
      <c r="M1330">
        <f>IF($G1330="","",IF($H1330="مرجوعی فروش",-1,1)*($K1330-$L1330*IFERROR(VLOOKUP("P01",ParamTbl,3,0),1.5)))</f>
        <v/>
      </c>
      <c r="N1330">
        <f>IF($G1330="",0,IF($H1330="مرجوعی فروش",-1,1)*IF(Sync!$AC1326="",0,Sync!$AC1326))</f>
        <v/>
      </c>
      <c r="O1330">
        <f>IF(OR($G1330="",Sync!$V1326=""),"",Sync!$V1326)</f>
        <v/>
      </c>
      <c r="P1330">
        <f>IF(OR($G1330="",Sync!$AD1326=""),"",Sync!$AD1326)</f>
        <v/>
      </c>
      <c r="Q1330">
        <f>IF($G1330="","",IF(Sync!$U1326="","0000",IF(AND(ISNUMBER(Sync!$U1326),Sync!$U1326&gt;=0,Sync!$U1326&lt;1),RIGHT("00"&amp;HOUR(Sync!$U1326),2)&amp;RIGHT("00"&amp;MINUTE(Sync!$U1326),2),IFERROR(RIGHT("00"&amp;VALUE(LEFT(Sync!$U1326,FIND(":",Sync!$U1326)-1)),2)&amp;RIGHT("00"&amp;VALUE(MID(Sync!$U1326,FIND(":",Sync!$U1326)+1,2)),2),"0000"))))</f>
        <v/>
      </c>
    </row>
    <row r="1331">
      <c r="A1331">
        <f>IF(Sync!$T1327="","",Sync!$T1327)</f>
        <v/>
      </c>
      <c r="B1331">
        <f>IF($A1331="","",IF(ISNUMBER($A1331),IF(AND($A1331&gt;=10000101,$A1331&lt;=99991231),INT($A1331/10000),""),IFERROR(VALUE(TRIM(LEFT($A1331,FIND("/",$A1331)-1))),"")))</f>
        <v/>
      </c>
      <c r="C1331">
        <f>IF(OR($A1331="",$B1331=""),"",IF(ISNUMBER($A1331),INT(MOD($A1331,10000)/100),IFERROR(VALUE(TRIM(LEFT(MID($A1331,FIND("/",$A1331)+1,20),FIND("/",MID($A1331,FIND("/",$A1331)+1,20))-1))),"")))</f>
        <v/>
      </c>
      <c r="D1331">
        <f>IF(OR($A1331="",$B1331=""),"",IF(ISNUMBER($A1331),MOD($A1331,100),IFERROR(VALUE(TRIM(MID(MID($A1331,FIND("/",$A1331)+1,20),FIND("/",MID($A1331,FIND("/",$A1331)+1,20))+1,20))),"")))</f>
        <v/>
      </c>
      <c r="E1331">
        <f>IF($A1331="","",IF(OR($B1331="",$C1331="",$D1331="",$B1331&lt;1300,$B1331&gt;1500,$C1331&lt;1,$C1331&gt;12,$D1331&lt;1,$D1331&gt;31),"نامعتبر",RIGHT("0000"&amp;$B1331,4)&amp;"/"&amp;RIGHT("00"&amp;$C1331,2)&amp;"/"&amp;RIGHT("00"&amp;$D1331,2)))</f>
        <v/>
      </c>
      <c r="F1331">
        <f>IF(OR($E1331="",$E1331="نامعتبر"),"",LEFT($E1331,4)&amp;"/"&amp;MID($E1331,6,2))</f>
        <v/>
      </c>
      <c r="G1331">
        <f>IF(OR($E1331="",$E1331="نامعتبر",Sync!$X1327=""),"",IF(AND(LEFT(UPPER(TRIM(Sync!$X1327)),2)="SL",IFERROR(VLOOKUP(Sync!$W1327,OpTbl,3,0),"")="فروش"),UPPER(TRIM(Sync!$X1327)),""))</f>
        <v/>
      </c>
      <c r="H1331">
        <f>IF($G1331="","",IF(Sync!$W1327="","",Sync!$W1327))</f>
        <v/>
      </c>
      <c r="I1331">
        <f>IF(OR($G1331="",Sync!$Y1327=""),"",Sync!$Y1327)</f>
        <v/>
      </c>
      <c r="J1331">
        <f>IF(OR($G1331="",Sync!$Z1327=""),"",Sync!$Z1327)</f>
        <v/>
      </c>
      <c r="K1331">
        <f>IF($G1331="",0,IF(Sync!$AA1327="",0,Sync!$AA1327))</f>
        <v/>
      </c>
      <c r="L1331">
        <f>IF($G1331="",0,IF(Sync!$AB1327="",0,Sync!$AB1327))</f>
        <v/>
      </c>
      <c r="M1331">
        <f>IF($G1331="","",IF($H1331="مرجوعی فروش",-1,1)*($K1331-$L1331*IFERROR(VLOOKUP("P01",ParamTbl,3,0),1.5)))</f>
        <v/>
      </c>
      <c r="N1331">
        <f>IF($G1331="",0,IF($H1331="مرجوعی فروش",-1,1)*IF(Sync!$AC1327="",0,Sync!$AC1327))</f>
        <v/>
      </c>
      <c r="O1331">
        <f>IF(OR($G1331="",Sync!$V1327=""),"",Sync!$V1327)</f>
        <v/>
      </c>
      <c r="P1331">
        <f>IF(OR($G1331="",Sync!$AD1327=""),"",Sync!$AD1327)</f>
        <v/>
      </c>
      <c r="Q1331">
        <f>IF($G1331="","",IF(Sync!$U1327="","0000",IF(AND(ISNUMBER(Sync!$U1327),Sync!$U1327&gt;=0,Sync!$U1327&lt;1),RIGHT("00"&amp;HOUR(Sync!$U1327),2)&amp;RIGHT("00"&amp;MINUTE(Sync!$U1327),2),IFERROR(RIGHT("00"&amp;VALUE(LEFT(Sync!$U1327,FIND(":",Sync!$U1327)-1)),2)&amp;RIGHT("00"&amp;VALUE(MID(Sync!$U1327,FIND(":",Sync!$U1327)+1,2)),2),"0000"))))</f>
        <v/>
      </c>
    </row>
    <row r="1332">
      <c r="A1332">
        <f>IF(Sync!$T1328="","",Sync!$T1328)</f>
        <v/>
      </c>
      <c r="B1332">
        <f>IF($A1332="","",IF(ISNUMBER($A1332),IF(AND($A1332&gt;=10000101,$A1332&lt;=99991231),INT($A1332/10000),""),IFERROR(VALUE(TRIM(LEFT($A1332,FIND("/",$A1332)-1))),"")))</f>
        <v/>
      </c>
      <c r="C1332">
        <f>IF(OR($A1332="",$B1332=""),"",IF(ISNUMBER($A1332),INT(MOD($A1332,10000)/100),IFERROR(VALUE(TRIM(LEFT(MID($A1332,FIND("/",$A1332)+1,20),FIND("/",MID($A1332,FIND("/",$A1332)+1,20))-1))),"")))</f>
        <v/>
      </c>
      <c r="D1332">
        <f>IF(OR($A1332="",$B1332=""),"",IF(ISNUMBER($A1332),MOD($A1332,100),IFERROR(VALUE(TRIM(MID(MID($A1332,FIND("/",$A1332)+1,20),FIND("/",MID($A1332,FIND("/",$A1332)+1,20))+1,20))),"")))</f>
        <v/>
      </c>
      <c r="E1332">
        <f>IF($A1332="","",IF(OR($B1332="",$C1332="",$D1332="",$B1332&lt;1300,$B1332&gt;1500,$C1332&lt;1,$C1332&gt;12,$D1332&lt;1,$D1332&gt;31),"نامعتبر",RIGHT("0000"&amp;$B1332,4)&amp;"/"&amp;RIGHT("00"&amp;$C1332,2)&amp;"/"&amp;RIGHT("00"&amp;$D1332,2)))</f>
        <v/>
      </c>
      <c r="F1332">
        <f>IF(OR($E1332="",$E1332="نامعتبر"),"",LEFT($E1332,4)&amp;"/"&amp;MID($E1332,6,2))</f>
        <v/>
      </c>
      <c r="G1332">
        <f>IF(OR($E1332="",$E1332="نامعتبر",Sync!$X1328=""),"",IF(AND(LEFT(UPPER(TRIM(Sync!$X1328)),2)="SL",IFERROR(VLOOKUP(Sync!$W1328,OpTbl,3,0),"")="فروش"),UPPER(TRIM(Sync!$X1328)),""))</f>
        <v/>
      </c>
      <c r="H1332">
        <f>IF($G1332="","",IF(Sync!$W1328="","",Sync!$W1328))</f>
        <v/>
      </c>
      <c r="I1332">
        <f>IF(OR($G1332="",Sync!$Y1328=""),"",Sync!$Y1328)</f>
        <v/>
      </c>
      <c r="J1332">
        <f>IF(OR($G1332="",Sync!$Z1328=""),"",Sync!$Z1328)</f>
        <v/>
      </c>
      <c r="K1332">
        <f>IF($G1332="",0,IF(Sync!$AA1328="",0,Sync!$AA1328))</f>
        <v/>
      </c>
      <c r="L1332">
        <f>IF($G1332="",0,IF(Sync!$AB1328="",0,Sync!$AB1328))</f>
        <v/>
      </c>
      <c r="M1332">
        <f>IF($G1332="","",IF($H1332="مرجوعی فروش",-1,1)*($K1332-$L1332*IFERROR(VLOOKUP("P01",ParamTbl,3,0),1.5)))</f>
        <v/>
      </c>
      <c r="N1332">
        <f>IF($G1332="",0,IF($H1332="مرجوعی فروش",-1,1)*IF(Sync!$AC1328="",0,Sync!$AC1328))</f>
        <v/>
      </c>
      <c r="O1332">
        <f>IF(OR($G1332="",Sync!$V1328=""),"",Sync!$V1328)</f>
        <v/>
      </c>
      <c r="P1332">
        <f>IF(OR($G1332="",Sync!$AD1328=""),"",Sync!$AD1328)</f>
        <v/>
      </c>
      <c r="Q1332">
        <f>IF($G1332="","",IF(Sync!$U1328="","0000",IF(AND(ISNUMBER(Sync!$U1328),Sync!$U1328&gt;=0,Sync!$U1328&lt;1),RIGHT("00"&amp;HOUR(Sync!$U1328),2)&amp;RIGHT("00"&amp;MINUTE(Sync!$U1328),2),IFERROR(RIGHT("00"&amp;VALUE(LEFT(Sync!$U1328,FIND(":",Sync!$U1328)-1)),2)&amp;RIGHT("00"&amp;VALUE(MID(Sync!$U1328,FIND(":",Sync!$U1328)+1,2)),2),"0000"))))</f>
        <v/>
      </c>
    </row>
    <row r="1333">
      <c r="A1333">
        <f>IF(Sync!$T1329="","",Sync!$T1329)</f>
        <v/>
      </c>
      <c r="B1333">
        <f>IF($A1333="","",IF(ISNUMBER($A1333),IF(AND($A1333&gt;=10000101,$A1333&lt;=99991231),INT($A1333/10000),""),IFERROR(VALUE(TRIM(LEFT($A1333,FIND("/",$A1333)-1))),"")))</f>
        <v/>
      </c>
      <c r="C1333">
        <f>IF(OR($A1333="",$B1333=""),"",IF(ISNUMBER($A1333),INT(MOD($A1333,10000)/100),IFERROR(VALUE(TRIM(LEFT(MID($A1333,FIND("/",$A1333)+1,20),FIND("/",MID($A1333,FIND("/",$A1333)+1,20))-1))),"")))</f>
        <v/>
      </c>
      <c r="D1333">
        <f>IF(OR($A1333="",$B1333=""),"",IF(ISNUMBER($A1333),MOD($A1333,100),IFERROR(VALUE(TRIM(MID(MID($A1333,FIND("/",$A1333)+1,20),FIND("/",MID($A1333,FIND("/",$A1333)+1,20))+1,20))),"")))</f>
        <v/>
      </c>
      <c r="E1333">
        <f>IF($A1333="","",IF(OR($B1333="",$C1333="",$D1333="",$B1333&lt;1300,$B1333&gt;1500,$C1333&lt;1,$C1333&gt;12,$D1333&lt;1,$D1333&gt;31),"نامعتبر",RIGHT("0000"&amp;$B1333,4)&amp;"/"&amp;RIGHT("00"&amp;$C1333,2)&amp;"/"&amp;RIGHT("00"&amp;$D1333,2)))</f>
        <v/>
      </c>
      <c r="F1333">
        <f>IF(OR($E1333="",$E1333="نامعتبر"),"",LEFT($E1333,4)&amp;"/"&amp;MID($E1333,6,2))</f>
        <v/>
      </c>
      <c r="G1333">
        <f>IF(OR($E1333="",$E1333="نامعتبر",Sync!$X1329=""),"",IF(AND(LEFT(UPPER(TRIM(Sync!$X1329)),2)="SL",IFERROR(VLOOKUP(Sync!$W1329,OpTbl,3,0),"")="فروش"),UPPER(TRIM(Sync!$X1329)),""))</f>
        <v/>
      </c>
      <c r="H1333">
        <f>IF($G1333="","",IF(Sync!$W1329="","",Sync!$W1329))</f>
        <v/>
      </c>
      <c r="I1333">
        <f>IF(OR($G1333="",Sync!$Y1329=""),"",Sync!$Y1329)</f>
        <v/>
      </c>
      <c r="J1333">
        <f>IF(OR($G1333="",Sync!$Z1329=""),"",Sync!$Z1329)</f>
        <v/>
      </c>
      <c r="K1333">
        <f>IF($G1333="",0,IF(Sync!$AA1329="",0,Sync!$AA1329))</f>
        <v/>
      </c>
      <c r="L1333">
        <f>IF($G1333="",0,IF(Sync!$AB1329="",0,Sync!$AB1329))</f>
        <v/>
      </c>
      <c r="M1333">
        <f>IF($G1333="","",IF($H1333="مرجوعی فروش",-1,1)*($K1333-$L1333*IFERROR(VLOOKUP("P01",ParamTbl,3,0),1.5)))</f>
        <v/>
      </c>
      <c r="N1333">
        <f>IF($G1333="",0,IF($H1333="مرجوعی فروش",-1,1)*IF(Sync!$AC1329="",0,Sync!$AC1329))</f>
        <v/>
      </c>
      <c r="O1333">
        <f>IF(OR($G1333="",Sync!$V1329=""),"",Sync!$V1329)</f>
        <v/>
      </c>
      <c r="P1333">
        <f>IF(OR($G1333="",Sync!$AD1329=""),"",Sync!$AD1329)</f>
        <v/>
      </c>
      <c r="Q1333">
        <f>IF($G1333="","",IF(Sync!$U1329="","0000",IF(AND(ISNUMBER(Sync!$U1329),Sync!$U1329&gt;=0,Sync!$U1329&lt;1),RIGHT("00"&amp;HOUR(Sync!$U1329),2)&amp;RIGHT("00"&amp;MINUTE(Sync!$U1329),2),IFERROR(RIGHT("00"&amp;VALUE(LEFT(Sync!$U1329,FIND(":",Sync!$U1329)-1)),2)&amp;RIGHT("00"&amp;VALUE(MID(Sync!$U1329,FIND(":",Sync!$U1329)+1,2)),2),"0000"))))</f>
        <v/>
      </c>
    </row>
    <row r="1334">
      <c r="A1334">
        <f>IF(Sync!$T1330="","",Sync!$T1330)</f>
        <v/>
      </c>
      <c r="B1334">
        <f>IF($A1334="","",IF(ISNUMBER($A1334),IF(AND($A1334&gt;=10000101,$A1334&lt;=99991231),INT($A1334/10000),""),IFERROR(VALUE(TRIM(LEFT($A1334,FIND("/",$A1334)-1))),"")))</f>
        <v/>
      </c>
      <c r="C1334">
        <f>IF(OR($A1334="",$B1334=""),"",IF(ISNUMBER($A1334),INT(MOD($A1334,10000)/100),IFERROR(VALUE(TRIM(LEFT(MID($A1334,FIND("/",$A1334)+1,20),FIND("/",MID($A1334,FIND("/",$A1334)+1,20))-1))),"")))</f>
        <v/>
      </c>
      <c r="D1334">
        <f>IF(OR($A1334="",$B1334=""),"",IF(ISNUMBER($A1334),MOD($A1334,100),IFERROR(VALUE(TRIM(MID(MID($A1334,FIND("/",$A1334)+1,20),FIND("/",MID($A1334,FIND("/",$A1334)+1,20))+1,20))),"")))</f>
        <v/>
      </c>
      <c r="E1334">
        <f>IF($A1334="","",IF(OR($B1334="",$C1334="",$D1334="",$B1334&lt;1300,$B1334&gt;1500,$C1334&lt;1,$C1334&gt;12,$D1334&lt;1,$D1334&gt;31),"نامعتبر",RIGHT("0000"&amp;$B1334,4)&amp;"/"&amp;RIGHT("00"&amp;$C1334,2)&amp;"/"&amp;RIGHT("00"&amp;$D1334,2)))</f>
        <v/>
      </c>
      <c r="F1334">
        <f>IF(OR($E1334="",$E1334="نامعتبر"),"",LEFT($E1334,4)&amp;"/"&amp;MID($E1334,6,2))</f>
        <v/>
      </c>
      <c r="G1334">
        <f>IF(OR($E1334="",$E1334="نامعتبر",Sync!$X1330=""),"",IF(AND(LEFT(UPPER(TRIM(Sync!$X1330)),2)="SL",IFERROR(VLOOKUP(Sync!$W1330,OpTbl,3,0),"")="فروش"),UPPER(TRIM(Sync!$X1330)),""))</f>
        <v/>
      </c>
      <c r="H1334">
        <f>IF($G1334="","",IF(Sync!$W1330="","",Sync!$W1330))</f>
        <v/>
      </c>
      <c r="I1334">
        <f>IF(OR($G1334="",Sync!$Y1330=""),"",Sync!$Y1330)</f>
        <v/>
      </c>
      <c r="J1334">
        <f>IF(OR($G1334="",Sync!$Z1330=""),"",Sync!$Z1330)</f>
        <v/>
      </c>
      <c r="K1334">
        <f>IF($G1334="",0,IF(Sync!$AA1330="",0,Sync!$AA1330))</f>
        <v/>
      </c>
      <c r="L1334">
        <f>IF($G1334="",0,IF(Sync!$AB1330="",0,Sync!$AB1330))</f>
        <v/>
      </c>
      <c r="M1334">
        <f>IF($G1334="","",IF($H1334="مرجوعی فروش",-1,1)*($K1334-$L1334*IFERROR(VLOOKUP("P01",ParamTbl,3,0),1.5)))</f>
        <v/>
      </c>
      <c r="N1334">
        <f>IF($G1334="",0,IF($H1334="مرجوعی فروش",-1,1)*IF(Sync!$AC1330="",0,Sync!$AC1330))</f>
        <v/>
      </c>
      <c r="O1334">
        <f>IF(OR($G1334="",Sync!$V1330=""),"",Sync!$V1330)</f>
        <v/>
      </c>
      <c r="P1334">
        <f>IF(OR($G1334="",Sync!$AD1330=""),"",Sync!$AD1330)</f>
        <v/>
      </c>
      <c r="Q1334">
        <f>IF($G1334="","",IF(Sync!$U1330="","0000",IF(AND(ISNUMBER(Sync!$U1330),Sync!$U1330&gt;=0,Sync!$U1330&lt;1),RIGHT("00"&amp;HOUR(Sync!$U1330),2)&amp;RIGHT("00"&amp;MINUTE(Sync!$U1330),2),IFERROR(RIGHT("00"&amp;VALUE(LEFT(Sync!$U1330,FIND(":",Sync!$U1330)-1)),2)&amp;RIGHT("00"&amp;VALUE(MID(Sync!$U1330,FIND(":",Sync!$U1330)+1,2)),2),"0000"))))</f>
        <v/>
      </c>
    </row>
    <row r="1335">
      <c r="A1335">
        <f>IF(Sync!$T1331="","",Sync!$T1331)</f>
        <v/>
      </c>
      <c r="B1335">
        <f>IF($A1335="","",IF(ISNUMBER($A1335),IF(AND($A1335&gt;=10000101,$A1335&lt;=99991231),INT($A1335/10000),""),IFERROR(VALUE(TRIM(LEFT($A1335,FIND("/",$A1335)-1))),"")))</f>
        <v/>
      </c>
      <c r="C1335">
        <f>IF(OR($A1335="",$B1335=""),"",IF(ISNUMBER($A1335),INT(MOD($A1335,10000)/100),IFERROR(VALUE(TRIM(LEFT(MID($A1335,FIND("/",$A1335)+1,20),FIND("/",MID($A1335,FIND("/",$A1335)+1,20))-1))),"")))</f>
        <v/>
      </c>
      <c r="D1335">
        <f>IF(OR($A1335="",$B1335=""),"",IF(ISNUMBER($A1335),MOD($A1335,100),IFERROR(VALUE(TRIM(MID(MID($A1335,FIND("/",$A1335)+1,20),FIND("/",MID($A1335,FIND("/",$A1335)+1,20))+1,20))),"")))</f>
        <v/>
      </c>
      <c r="E1335">
        <f>IF($A1335="","",IF(OR($B1335="",$C1335="",$D1335="",$B1335&lt;1300,$B1335&gt;1500,$C1335&lt;1,$C1335&gt;12,$D1335&lt;1,$D1335&gt;31),"نامعتبر",RIGHT("0000"&amp;$B1335,4)&amp;"/"&amp;RIGHT("00"&amp;$C1335,2)&amp;"/"&amp;RIGHT("00"&amp;$D1335,2)))</f>
        <v/>
      </c>
      <c r="F1335">
        <f>IF(OR($E1335="",$E1335="نامعتبر"),"",LEFT($E1335,4)&amp;"/"&amp;MID($E1335,6,2))</f>
        <v/>
      </c>
      <c r="G1335">
        <f>IF(OR($E1335="",$E1335="نامعتبر",Sync!$X1331=""),"",IF(AND(LEFT(UPPER(TRIM(Sync!$X1331)),2)="SL",IFERROR(VLOOKUP(Sync!$W1331,OpTbl,3,0),"")="فروش"),UPPER(TRIM(Sync!$X1331)),""))</f>
        <v/>
      </c>
      <c r="H1335">
        <f>IF($G1335="","",IF(Sync!$W1331="","",Sync!$W1331))</f>
        <v/>
      </c>
      <c r="I1335">
        <f>IF(OR($G1335="",Sync!$Y1331=""),"",Sync!$Y1331)</f>
        <v/>
      </c>
      <c r="J1335">
        <f>IF(OR($G1335="",Sync!$Z1331=""),"",Sync!$Z1331)</f>
        <v/>
      </c>
      <c r="K1335">
        <f>IF($G1335="",0,IF(Sync!$AA1331="",0,Sync!$AA1331))</f>
        <v/>
      </c>
      <c r="L1335">
        <f>IF($G1335="",0,IF(Sync!$AB1331="",0,Sync!$AB1331))</f>
        <v/>
      </c>
      <c r="M1335">
        <f>IF($G1335="","",IF($H1335="مرجوعی فروش",-1,1)*($K1335-$L1335*IFERROR(VLOOKUP("P01",ParamTbl,3,0),1.5)))</f>
        <v/>
      </c>
      <c r="N1335">
        <f>IF($G1335="",0,IF($H1335="مرجوعی فروش",-1,1)*IF(Sync!$AC1331="",0,Sync!$AC1331))</f>
        <v/>
      </c>
      <c r="O1335">
        <f>IF(OR($G1335="",Sync!$V1331=""),"",Sync!$V1331)</f>
        <v/>
      </c>
      <c r="P1335">
        <f>IF(OR($G1335="",Sync!$AD1331=""),"",Sync!$AD1331)</f>
        <v/>
      </c>
      <c r="Q1335">
        <f>IF($G1335="","",IF(Sync!$U1331="","0000",IF(AND(ISNUMBER(Sync!$U1331),Sync!$U1331&gt;=0,Sync!$U1331&lt;1),RIGHT("00"&amp;HOUR(Sync!$U1331),2)&amp;RIGHT("00"&amp;MINUTE(Sync!$U1331),2),IFERROR(RIGHT("00"&amp;VALUE(LEFT(Sync!$U1331,FIND(":",Sync!$U1331)-1)),2)&amp;RIGHT("00"&amp;VALUE(MID(Sync!$U1331,FIND(":",Sync!$U1331)+1,2)),2),"0000"))))</f>
        <v/>
      </c>
    </row>
    <row r="1336">
      <c r="A1336">
        <f>IF(Sync!$T1332="","",Sync!$T1332)</f>
        <v/>
      </c>
      <c r="B1336">
        <f>IF($A1336="","",IF(ISNUMBER($A1336),IF(AND($A1336&gt;=10000101,$A1336&lt;=99991231),INT($A1336/10000),""),IFERROR(VALUE(TRIM(LEFT($A1336,FIND("/",$A1336)-1))),"")))</f>
        <v/>
      </c>
      <c r="C1336">
        <f>IF(OR($A1336="",$B1336=""),"",IF(ISNUMBER($A1336),INT(MOD($A1336,10000)/100),IFERROR(VALUE(TRIM(LEFT(MID($A1336,FIND("/",$A1336)+1,20),FIND("/",MID($A1336,FIND("/",$A1336)+1,20))-1))),"")))</f>
        <v/>
      </c>
      <c r="D1336">
        <f>IF(OR($A1336="",$B1336=""),"",IF(ISNUMBER($A1336),MOD($A1336,100),IFERROR(VALUE(TRIM(MID(MID($A1336,FIND("/",$A1336)+1,20),FIND("/",MID($A1336,FIND("/",$A1336)+1,20))+1,20))),"")))</f>
        <v/>
      </c>
      <c r="E1336">
        <f>IF($A1336="","",IF(OR($B1336="",$C1336="",$D1336="",$B1336&lt;1300,$B1336&gt;1500,$C1336&lt;1,$C1336&gt;12,$D1336&lt;1,$D1336&gt;31),"نامعتبر",RIGHT("0000"&amp;$B1336,4)&amp;"/"&amp;RIGHT("00"&amp;$C1336,2)&amp;"/"&amp;RIGHT("00"&amp;$D1336,2)))</f>
        <v/>
      </c>
      <c r="F1336">
        <f>IF(OR($E1336="",$E1336="نامعتبر"),"",LEFT($E1336,4)&amp;"/"&amp;MID($E1336,6,2))</f>
        <v/>
      </c>
      <c r="G1336">
        <f>IF(OR($E1336="",$E1336="نامعتبر",Sync!$X1332=""),"",IF(AND(LEFT(UPPER(TRIM(Sync!$X1332)),2)="SL",IFERROR(VLOOKUP(Sync!$W1332,OpTbl,3,0),"")="فروش"),UPPER(TRIM(Sync!$X1332)),""))</f>
        <v/>
      </c>
      <c r="H1336">
        <f>IF($G1336="","",IF(Sync!$W1332="","",Sync!$W1332))</f>
        <v/>
      </c>
      <c r="I1336">
        <f>IF(OR($G1336="",Sync!$Y1332=""),"",Sync!$Y1332)</f>
        <v/>
      </c>
      <c r="J1336">
        <f>IF(OR($G1336="",Sync!$Z1332=""),"",Sync!$Z1332)</f>
        <v/>
      </c>
      <c r="K1336">
        <f>IF($G1336="",0,IF(Sync!$AA1332="",0,Sync!$AA1332))</f>
        <v/>
      </c>
      <c r="L1336">
        <f>IF($G1336="",0,IF(Sync!$AB1332="",0,Sync!$AB1332))</f>
        <v/>
      </c>
      <c r="M1336">
        <f>IF($G1336="","",IF($H1336="مرجوعی فروش",-1,1)*($K1336-$L1336*IFERROR(VLOOKUP("P01",ParamTbl,3,0),1.5)))</f>
        <v/>
      </c>
      <c r="N1336">
        <f>IF($G1336="",0,IF($H1336="مرجوعی فروش",-1,1)*IF(Sync!$AC1332="",0,Sync!$AC1332))</f>
        <v/>
      </c>
      <c r="O1336">
        <f>IF(OR($G1336="",Sync!$V1332=""),"",Sync!$V1332)</f>
        <v/>
      </c>
      <c r="P1336">
        <f>IF(OR($G1336="",Sync!$AD1332=""),"",Sync!$AD1332)</f>
        <v/>
      </c>
      <c r="Q1336">
        <f>IF($G1336="","",IF(Sync!$U1332="","0000",IF(AND(ISNUMBER(Sync!$U1332),Sync!$U1332&gt;=0,Sync!$U1332&lt;1),RIGHT("00"&amp;HOUR(Sync!$U1332),2)&amp;RIGHT("00"&amp;MINUTE(Sync!$U1332),2),IFERROR(RIGHT("00"&amp;VALUE(LEFT(Sync!$U1332,FIND(":",Sync!$U1332)-1)),2)&amp;RIGHT("00"&amp;VALUE(MID(Sync!$U1332,FIND(":",Sync!$U1332)+1,2)),2),"0000"))))</f>
        <v/>
      </c>
    </row>
    <row r="1337">
      <c r="A1337">
        <f>IF(Sync!$T1333="","",Sync!$T1333)</f>
        <v/>
      </c>
      <c r="B1337">
        <f>IF($A1337="","",IF(ISNUMBER($A1337),IF(AND($A1337&gt;=10000101,$A1337&lt;=99991231),INT($A1337/10000),""),IFERROR(VALUE(TRIM(LEFT($A1337,FIND("/",$A1337)-1))),"")))</f>
        <v/>
      </c>
      <c r="C1337">
        <f>IF(OR($A1337="",$B1337=""),"",IF(ISNUMBER($A1337),INT(MOD($A1337,10000)/100),IFERROR(VALUE(TRIM(LEFT(MID($A1337,FIND("/",$A1337)+1,20),FIND("/",MID($A1337,FIND("/",$A1337)+1,20))-1))),"")))</f>
        <v/>
      </c>
      <c r="D1337">
        <f>IF(OR($A1337="",$B1337=""),"",IF(ISNUMBER($A1337),MOD($A1337,100),IFERROR(VALUE(TRIM(MID(MID($A1337,FIND("/",$A1337)+1,20),FIND("/",MID($A1337,FIND("/",$A1337)+1,20))+1,20))),"")))</f>
        <v/>
      </c>
      <c r="E1337">
        <f>IF($A1337="","",IF(OR($B1337="",$C1337="",$D1337="",$B1337&lt;1300,$B1337&gt;1500,$C1337&lt;1,$C1337&gt;12,$D1337&lt;1,$D1337&gt;31),"نامعتبر",RIGHT("0000"&amp;$B1337,4)&amp;"/"&amp;RIGHT("00"&amp;$C1337,2)&amp;"/"&amp;RIGHT("00"&amp;$D1337,2)))</f>
        <v/>
      </c>
      <c r="F1337">
        <f>IF(OR($E1337="",$E1337="نامعتبر"),"",LEFT($E1337,4)&amp;"/"&amp;MID($E1337,6,2))</f>
        <v/>
      </c>
      <c r="G1337">
        <f>IF(OR($E1337="",$E1337="نامعتبر",Sync!$X1333=""),"",IF(AND(LEFT(UPPER(TRIM(Sync!$X1333)),2)="SL",IFERROR(VLOOKUP(Sync!$W1333,OpTbl,3,0),"")="فروش"),UPPER(TRIM(Sync!$X1333)),""))</f>
        <v/>
      </c>
      <c r="H1337">
        <f>IF($G1337="","",IF(Sync!$W1333="","",Sync!$W1333))</f>
        <v/>
      </c>
      <c r="I1337">
        <f>IF(OR($G1337="",Sync!$Y1333=""),"",Sync!$Y1333)</f>
        <v/>
      </c>
      <c r="J1337">
        <f>IF(OR($G1337="",Sync!$Z1333=""),"",Sync!$Z1333)</f>
        <v/>
      </c>
      <c r="K1337">
        <f>IF($G1337="",0,IF(Sync!$AA1333="",0,Sync!$AA1333))</f>
        <v/>
      </c>
      <c r="L1337">
        <f>IF($G1337="",0,IF(Sync!$AB1333="",0,Sync!$AB1333))</f>
        <v/>
      </c>
      <c r="M1337">
        <f>IF($G1337="","",IF($H1337="مرجوعی فروش",-1,1)*($K1337-$L1337*IFERROR(VLOOKUP("P01",ParamTbl,3,0),1.5)))</f>
        <v/>
      </c>
      <c r="N1337">
        <f>IF($G1337="",0,IF($H1337="مرجوعی فروش",-1,1)*IF(Sync!$AC1333="",0,Sync!$AC1333))</f>
        <v/>
      </c>
      <c r="O1337">
        <f>IF(OR($G1337="",Sync!$V1333=""),"",Sync!$V1333)</f>
        <v/>
      </c>
      <c r="P1337">
        <f>IF(OR($G1337="",Sync!$AD1333=""),"",Sync!$AD1333)</f>
        <v/>
      </c>
      <c r="Q1337">
        <f>IF($G1337="","",IF(Sync!$U1333="","0000",IF(AND(ISNUMBER(Sync!$U1333),Sync!$U1333&gt;=0,Sync!$U1333&lt;1),RIGHT("00"&amp;HOUR(Sync!$U1333),2)&amp;RIGHT("00"&amp;MINUTE(Sync!$U1333),2),IFERROR(RIGHT("00"&amp;VALUE(LEFT(Sync!$U1333,FIND(":",Sync!$U1333)-1)),2)&amp;RIGHT("00"&amp;VALUE(MID(Sync!$U1333,FIND(":",Sync!$U1333)+1,2)),2),"0000"))))</f>
        <v/>
      </c>
    </row>
    <row r="1338">
      <c r="A1338">
        <f>IF(Sync!$T1334="","",Sync!$T1334)</f>
        <v/>
      </c>
      <c r="B1338">
        <f>IF($A1338="","",IF(ISNUMBER($A1338),IF(AND($A1338&gt;=10000101,$A1338&lt;=99991231),INT($A1338/10000),""),IFERROR(VALUE(TRIM(LEFT($A1338,FIND("/",$A1338)-1))),"")))</f>
        <v/>
      </c>
      <c r="C1338">
        <f>IF(OR($A1338="",$B1338=""),"",IF(ISNUMBER($A1338),INT(MOD($A1338,10000)/100),IFERROR(VALUE(TRIM(LEFT(MID($A1338,FIND("/",$A1338)+1,20),FIND("/",MID($A1338,FIND("/",$A1338)+1,20))-1))),"")))</f>
        <v/>
      </c>
      <c r="D1338">
        <f>IF(OR($A1338="",$B1338=""),"",IF(ISNUMBER($A1338),MOD($A1338,100),IFERROR(VALUE(TRIM(MID(MID($A1338,FIND("/",$A1338)+1,20),FIND("/",MID($A1338,FIND("/",$A1338)+1,20))+1,20))),"")))</f>
        <v/>
      </c>
      <c r="E1338">
        <f>IF($A1338="","",IF(OR($B1338="",$C1338="",$D1338="",$B1338&lt;1300,$B1338&gt;1500,$C1338&lt;1,$C1338&gt;12,$D1338&lt;1,$D1338&gt;31),"نامعتبر",RIGHT("0000"&amp;$B1338,4)&amp;"/"&amp;RIGHT("00"&amp;$C1338,2)&amp;"/"&amp;RIGHT("00"&amp;$D1338,2)))</f>
        <v/>
      </c>
      <c r="F1338">
        <f>IF(OR($E1338="",$E1338="نامعتبر"),"",LEFT($E1338,4)&amp;"/"&amp;MID($E1338,6,2))</f>
        <v/>
      </c>
      <c r="G1338">
        <f>IF(OR($E1338="",$E1338="نامعتبر",Sync!$X1334=""),"",IF(AND(LEFT(UPPER(TRIM(Sync!$X1334)),2)="SL",IFERROR(VLOOKUP(Sync!$W1334,OpTbl,3,0),"")="فروش"),UPPER(TRIM(Sync!$X1334)),""))</f>
        <v/>
      </c>
      <c r="H1338">
        <f>IF($G1338="","",IF(Sync!$W1334="","",Sync!$W1334))</f>
        <v/>
      </c>
      <c r="I1338">
        <f>IF(OR($G1338="",Sync!$Y1334=""),"",Sync!$Y1334)</f>
        <v/>
      </c>
      <c r="J1338">
        <f>IF(OR($G1338="",Sync!$Z1334=""),"",Sync!$Z1334)</f>
        <v/>
      </c>
      <c r="K1338">
        <f>IF($G1338="",0,IF(Sync!$AA1334="",0,Sync!$AA1334))</f>
        <v/>
      </c>
      <c r="L1338">
        <f>IF($G1338="",0,IF(Sync!$AB1334="",0,Sync!$AB1334))</f>
        <v/>
      </c>
      <c r="M1338">
        <f>IF($G1338="","",IF($H1338="مرجوعی فروش",-1,1)*($K1338-$L1338*IFERROR(VLOOKUP("P01",ParamTbl,3,0),1.5)))</f>
        <v/>
      </c>
      <c r="N1338">
        <f>IF($G1338="",0,IF($H1338="مرجوعی فروش",-1,1)*IF(Sync!$AC1334="",0,Sync!$AC1334))</f>
        <v/>
      </c>
      <c r="O1338">
        <f>IF(OR($G1338="",Sync!$V1334=""),"",Sync!$V1334)</f>
        <v/>
      </c>
      <c r="P1338">
        <f>IF(OR($G1338="",Sync!$AD1334=""),"",Sync!$AD1334)</f>
        <v/>
      </c>
      <c r="Q1338">
        <f>IF($G1338="","",IF(Sync!$U1334="","0000",IF(AND(ISNUMBER(Sync!$U1334),Sync!$U1334&gt;=0,Sync!$U1334&lt;1),RIGHT("00"&amp;HOUR(Sync!$U1334),2)&amp;RIGHT("00"&amp;MINUTE(Sync!$U1334),2),IFERROR(RIGHT("00"&amp;VALUE(LEFT(Sync!$U1334,FIND(":",Sync!$U1334)-1)),2)&amp;RIGHT("00"&amp;VALUE(MID(Sync!$U1334,FIND(":",Sync!$U1334)+1,2)),2),"0000"))))</f>
        <v/>
      </c>
    </row>
    <row r="1339">
      <c r="A1339">
        <f>IF(Sync!$T1335="","",Sync!$T1335)</f>
        <v/>
      </c>
      <c r="B1339">
        <f>IF($A1339="","",IF(ISNUMBER($A1339),IF(AND($A1339&gt;=10000101,$A1339&lt;=99991231),INT($A1339/10000),""),IFERROR(VALUE(TRIM(LEFT($A1339,FIND("/",$A1339)-1))),"")))</f>
        <v/>
      </c>
      <c r="C1339">
        <f>IF(OR($A1339="",$B1339=""),"",IF(ISNUMBER($A1339),INT(MOD($A1339,10000)/100),IFERROR(VALUE(TRIM(LEFT(MID($A1339,FIND("/",$A1339)+1,20),FIND("/",MID($A1339,FIND("/",$A1339)+1,20))-1))),"")))</f>
        <v/>
      </c>
      <c r="D1339">
        <f>IF(OR($A1339="",$B1339=""),"",IF(ISNUMBER($A1339),MOD($A1339,100),IFERROR(VALUE(TRIM(MID(MID($A1339,FIND("/",$A1339)+1,20),FIND("/",MID($A1339,FIND("/",$A1339)+1,20))+1,20))),"")))</f>
        <v/>
      </c>
      <c r="E1339">
        <f>IF($A1339="","",IF(OR($B1339="",$C1339="",$D1339="",$B1339&lt;1300,$B1339&gt;1500,$C1339&lt;1,$C1339&gt;12,$D1339&lt;1,$D1339&gt;31),"نامعتبر",RIGHT("0000"&amp;$B1339,4)&amp;"/"&amp;RIGHT("00"&amp;$C1339,2)&amp;"/"&amp;RIGHT("00"&amp;$D1339,2)))</f>
        <v/>
      </c>
      <c r="F1339">
        <f>IF(OR($E1339="",$E1339="نامعتبر"),"",LEFT($E1339,4)&amp;"/"&amp;MID($E1339,6,2))</f>
        <v/>
      </c>
      <c r="G1339">
        <f>IF(OR($E1339="",$E1339="نامعتبر",Sync!$X1335=""),"",IF(AND(LEFT(UPPER(TRIM(Sync!$X1335)),2)="SL",IFERROR(VLOOKUP(Sync!$W1335,OpTbl,3,0),"")="فروش"),UPPER(TRIM(Sync!$X1335)),""))</f>
        <v/>
      </c>
      <c r="H1339">
        <f>IF($G1339="","",IF(Sync!$W1335="","",Sync!$W1335))</f>
        <v/>
      </c>
      <c r="I1339">
        <f>IF(OR($G1339="",Sync!$Y1335=""),"",Sync!$Y1335)</f>
        <v/>
      </c>
      <c r="J1339">
        <f>IF(OR($G1339="",Sync!$Z1335=""),"",Sync!$Z1335)</f>
        <v/>
      </c>
      <c r="K1339">
        <f>IF($G1339="",0,IF(Sync!$AA1335="",0,Sync!$AA1335))</f>
        <v/>
      </c>
      <c r="L1339">
        <f>IF($G1339="",0,IF(Sync!$AB1335="",0,Sync!$AB1335))</f>
        <v/>
      </c>
      <c r="M1339">
        <f>IF($G1339="","",IF($H1339="مرجوعی فروش",-1,1)*($K1339-$L1339*IFERROR(VLOOKUP("P01",ParamTbl,3,0),1.5)))</f>
        <v/>
      </c>
      <c r="N1339">
        <f>IF($G1339="",0,IF($H1339="مرجوعی فروش",-1,1)*IF(Sync!$AC1335="",0,Sync!$AC1335))</f>
        <v/>
      </c>
      <c r="O1339">
        <f>IF(OR($G1339="",Sync!$V1335=""),"",Sync!$V1335)</f>
        <v/>
      </c>
      <c r="P1339">
        <f>IF(OR($G1339="",Sync!$AD1335=""),"",Sync!$AD1335)</f>
        <v/>
      </c>
      <c r="Q1339">
        <f>IF($G1339="","",IF(Sync!$U1335="","0000",IF(AND(ISNUMBER(Sync!$U1335),Sync!$U1335&gt;=0,Sync!$U1335&lt;1),RIGHT("00"&amp;HOUR(Sync!$U1335),2)&amp;RIGHT("00"&amp;MINUTE(Sync!$U1335),2),IFERROR(RIGHT("00"&amp;VALUE(LEFT(Sync!$U1335,FIND(":",Sync!$U1335)-1)),2)&amp;RIGHT("00"&amp;VALUE(MID(Sync!$U1335,FIND(":",Sync!$U1335)+1,2)),2),"0000"))))</f>
        <v/>
      </c>
    </row>
    <row r="1340">
      <c r="A1340">
        <f>IF(Sync!$T1336="","",Sync!$T1336)</f>
        <v/>
      </c>
      <c r="B1340">
        <f>IF($A1340="","",IF(ISNUMBER($A1340),IF(AND($A1340&gt;=10000101,$A1340&lt;=99991231),INT($A1340/10000),""),IFERROR(VALUE(TRIM(LEFT($A1340,FIND("/",$A1340)-1))),"")))</f>
        <v/>
      </c>
      <c r="C1340">
        <f>IF(OR($A1340="",$B1340=""),"",IF(ISNUMBER($A1340),INT(MOD($A1340,10000)/100),IFERROR(VALUE(TRIM(LEFT(MID($A1340,FIND("/",$A1340)+1,20),FIND("/",MID($A1340,FIND("/",$A1340)+1,20))-1))),"")))</f>
        <v/>
      </c>
      <c r="D1340">
        <f>IF(OR($A1340="",$B1340=""),"",IF(ISNUMBER($A1340),MOD($A1340,100),IFERROR(VALUE(TRIM(MID(MID($A1340,FIND("/",$A1340)+1,20),FIND("/",MID($A1340,FIND("/",$A1340)+1,20))+1,20))),"")))</f>
        <v/>
      </c>
      <c r="E1340">
        <f>IF($A1340="","",IF(OR($B1340="",$C1340="",$D1340="",$B1340&lt;1300,$B1340&gt;1500,$C1340&lt;1,$C1340&gt;12,$D1340&lt;1,$D1340&gt;31),"نامعتبر",RIGHT("0000"&amp;$B1340,4)&amp;"/"&amp;RIGHT("00"&amp;$C1340,2)&amp;"/"&amp;RIGHT("00"&amp;$D1340,2)))</f>
        <v/>
      </c>
      <c r="F1340">
        <f>IF(OR($E1340="",$E1340="نامعتبر"),"",LEFT($E1340,4)&amp;"/"&amp;MID($E1340,6,2))</f>
        <v/>
      </c>
      <c r="G1340">
        <f>IF(OR($E1340="",$E1340="نامعتبر",Sync!$X1336=""),"",IF(AND(LEFT(UPPER(TRIM(Sync!$X1336)),2)="SL",IFERROR(VLOOKUP(Sync!$W1336,OpTbl,3,0),"")="فروش"),UPPER(TRIM(Sync!$X1336)),""))</f>
        <v/>
      </c>
      <c r="H1340">
        <f>IF($G1340="","",IF(Sync!$W1336="","",Sync!$W1336))</f>
        <v/>
      </c>
      <c r="I1340">
        <f>IF(OR($G1340="",Sync!$Y1336=""),"",Sync!$Y1336)</f>
        <v/>
      </c>
      <c r="J1340">
        <f>IF(OR($G1340="",Sync!$Z1336=""),"",Sync!$Z1336)</f>
        <v/>
      </c>
      <c r="K1340">
        <f>IF($G1340="",0,IF(Sync!$AA1336="",0,Sync!$AA1336))</f>
        <v/>
      </c>
      <c r="L1340">
        <f>IF($G1340="",0,IF(Sync!$AB1336="",0,Sync!$AB1336))</f>
        <v/>
      </c>
      <c r="M1340">
        <f>IF($G1340="","",IF($H1340="مرجوعی فروش",-1,1)*($K1340-$L1340*IFERROR(VLOOKUP("P01",ParamTbl,3,0),1.5)))</f>
        <v/>
      </c>
      <c r="N1340">
        <f>IF($G1340="",0,IF($H1340="مرجوعی فروش",-1,1)*IF(Sync!$AC1336="",0,Sync!$AC1336))</f>
        <v/>
      </c>
      <c r="O1340">
        <f>IF(OR($G1340="",Sync!$V1336=""),"",Sync!$V1336)</f>
        <v/>
      </c>
      <c r="P1340">
        <f>IF(OR($G1340="",Sync!$AD1336=""),"",Sync!$AD1336)</f>
        <v/>
      </c>
      <c r="Q1340">
        <f>IF($G1340="","",IF(Sync!$U1336="","0000",IF(AND(ISNUMBER(Sync!$U1336),Sync!$U1336&gt;=0,Sync!$U1336&lt;1),RIGHT("00"&amp;HOUR(Sync!$U1336),2)&amp;RIGHT("00"&amp;MINUTE(Sync!$U1336),2),IFERROR(RIGHT("00"&amp;VALUE(LEFT(Sync!$U1336,FIND(":",Sync!$U1336)-1)),2)&amp;RIGHT("00"&amp;VALUE(MID(Sync!$U1336,FIND(":",Sync!$U1336)+1,2)),2),"0000"))))</f>
        <v/>
      </c>
    </row>
    <row r="1341">
      <c r="A1341">
        <f>IF(Sync!$T1337="","",Sync!$T1337)</f>
        <v/>
      </c>
      <c r="B1341">
        <f>IF($A1341="","",IF(ISNUMBER($A1341),IF(AND($A1341&gt;=10000101,$A1341&lt;=99991231),INT($A1341/10000),""),IFERROR(VALUE(TRIM(LEFT($A1341,FIND("/",$A1341)-1))),"")))</f>
        <v/>
      </c>
      <c r="C1341">
        <f>IF(OR($A1341="",$B1341=""),"",IF(ISNUMBER($A1341),INT(MOD($A1341,10000)/100),IFERROR(VALUE(TRIM(LEFT(MID($A1341,FIND("/",$A1341)+1,20),FIND("/",MID($A1341,FIND("/",$A1341)+1,20))-1))),"")))</f>
        <v/>
      </c>
      <c r="D1341">
        <f>IF(OR($A1341="",$B1341=""),"",IF(ISNUMBER($A1341),MOD($A1341,100),IFERROR(VALUE(TRIM(MID(MID($A1341,FIND("/",$A1341)+1,20),FIND("/",MID($A1341,FIND("/",$A1341)+1,20))+1,20))),"")))</f>
        <v/>
      </c>
      <c r="E1341">
        <f>IF($A1341="","",IF(OR($B1341="",$C1341="",$D1341="",$B1341&lt;1300,$B1341&gt;1500,$C1341&lt;1,$C1341&gt;12,$D1341&lt;1,$D1341&gt;31),"نامعتبر",RIGHT("0000"&amp;$B1341,4)&amp;"/"&amp;RIGHT("00"&amp;$C1341,2)&amp;"/"&amp;RIGHT("00"&amp;$D1341,2)))</f>
        <v/>
      </c>
      <c r="F1341">
        <f>IF(OR($E1341="",$E1341="نامعتبر"),"",LEFT($E1341,4)&amp;"/"&amp;MID($E1341,6,2))</f>
        <v/>
      </c>
      <c r="G1341">
        <f>IF(OR($E1341="",$E1341="نامعتبر",Sync!$X1337=""),"",IF(AND(LEFT(UPPER(TRIM(Sync!$X1337)),2)="SL",IFERROR(VLOOKUP(Sync!$W1337,OpTbl,3,0),"")="فروش"),UPPER(TRIM(Sync!$X1337)),""))</f>
        <v/>
      </c>
      <c r="H1341">
        <f>IF($G1341="","",IF(Sync!$W1337="","",Sync!$W1337))</f>
        <v/>
      </c>
      <c r="I1341">
        <f>IF(OR($G1341="",Sync!$Y1337=""),"",Sync!$Y1337)</f>
        <v/>
      </c>
      <c r="J1341">
        <f>IF(OR($G1341="",Sync!$Z1337=""),"",Sync!$Z1337)</f>
        <v/>
      </c>
      <c r="K1341">
        <f>IF($G1341="",0,IF(Sync!$AA1337="",0,Sync!$AA1337))</f>
        <v/>
      </c>
      <c r="L1341">
        <f>IF($G1341="",0,IF(Sync!$AB1337="",0,Sync!$AB1337))</f>
        <v/>
      </c>
      <c r="M1341">
        <f>IF($G1341="","",IF($H1341="مرجوعی فروش",-1,1)*($K1341-$L1341*IFERROR(VLOOKUP("P01",ParamTbl,3,0),1.5)))</f>
        <v/>
      </c>
      <c r="N1341">
        <f>IF($G1341="",0,IF($H1341="مرجوعی فروش",-1,1)*IF(Sync!$AC1337="",0,Sync!$AC1337))</f>
        <v/>
      </c>
      <c r="O1341">
        <f>IF(OR($G1341="",Sync!$V1337=""),"",Sync!$V1337)</f>
        <v/>
      </c>
      <c r="P1341">
        <f>IF(OR($G1341="",Sync!$AD1337=""),"",Sync!$AD1337)</f>
        <v/>
      </c>
      <c r="Q1341">
        <f>IF($G1341="","",IF(Sync!$U1337="","0000",IF(AND(ISNUMBER(Sync!$U1337),Sync!$U1337&gt;=0,Sync!$U1337&lt;1),RIGHT("00"&amp;HOUR(Sync!$U1337),2)&amp;RIGHT("00"&amp;MINUTE(Sync!$U1337),2),IFERROR(RIGHT("00"&amp;VALUE(LEFT(Sync!$U1337,FIND(":",Sync!$U1337)-1)),2)&amp;RIGHT("00"&amp;VALUE(MID(Sync!$U1337,FIND(":",Sync!$U1337)+1,2)),2),"0000"))))</f>
        <v/>
      </c>
    </row>
    <row r="1342">
      <c r="A1342">
        <f>IF(Sync!$T1338="","",Sync!$T1338)</f>
        <v/>
      </c>
      <c r="B1342">
        <f>IF($A1342="","",IF(ISNUMBER($A1342),IF(AND($A1342&gt;=10000101,$A1342&lt;=99991231),INT($A1342/10000),""),IFERROR(VALUE(TRIM(LEFT($A1342,FIND("/",$A1342)-1))),"")))</f>
        <v/>
      </c>
      <c r="C1342">
        <f>IF(OR($A1342="",$B1342=""),"",IF(ISNUMBER($A1342),INT(MOD($A1342,10000)/100),IFERROR(VALUE(TRIM(LEFT(MID($A1342,FIND("/",$A1342)+1,20),FIND("/",MID($A1342,FIND("/",$A1342)+1,20))-1))),"")))</f>
        <v/>
      </c>
      <c r="D1342">
        <f>IF(OR($A1342="",$B1342=""),"",IF(ISNUMBER($A1342),MOD($A1342,100),IFERROR(VALUE(TRIM(MID(MID($A1342,FIND("/",$A1342)+1,20),FIND("/",MID($A1342,FIND("/",$A1342)+1,20))+1,20))),"")))</f>
        <v/>
      </c>
      <c r="E1342">
        <f>IF($A1342="","",IF(OR($B1342="",$C1342="",$D1342="",$B1342&lt;1300,$B1342&gt;1500,$C1342&lt;1,$C1342&gt;12,$D1342&lt;1,$D1342&gt;31),"نامعتبر",RIGHT("0000"&amp;$B1342,4)&amp;"/"&amp;RIGHT("00"&amp;$C1342,2)&amp;"/"&amp;RIGHT("00"&amp;$D1342,2)))</f>
        <v/>
      </c>
      <c r="F1342">
        <f>IF(OR($E1342="",$E1342="نامعتبر"),"",LEFT($E1342,4)&amp;"/"&amp;MID($E1342,6,2))</f>
        <v/>
      </c>
      <c r="G1342">
        <f>IF(OR($E1342="",$E1342="نامعتبر",Sync!$X1338=""),"",IF(AND(LEFT(UPPER(TRIM(Sync!$X1338)),2)="SL",IFERROR(VLOOKUP(Sync!$W1338,OpTbl,3,0),"")="فروش"),UPPER(TRIM(Sync!$X1338)),""))</f>
        <v/>
      </c>
      <c r="H1342">
        <f>IF($G1342="","",IF(Sync!$W1338="","",Sync!$W1338))</f>
        <v/>
      </c>
      <c r="I1342">
        <f>IF(OR($G1342="",Sync!$Y1338=""),"",Sync!$Y1338)</f>
        <v/>
      </c>
      <c r="J1342">
        <f>IF(OR($G1342="",Sync!$Z1338=""),"",Sync!$Z1338)</f>
        <v/>
      </c>
      <c r="K1342">
        <f>IF($G1342="",0,IF(Sync!$AA1338="",0,Sync!$AA1338))</f>
        <v/>
      </c>
      <c r="L1342">
        <f>IF($G1342="",0,IF(Sync!$AB1338="",0,Sync!$AB1338))</f>
        <v/>
      </c>
      <c r="M1342">
        <f>IF($G1342="","",IF($H1342="مرجوعی فروش",-1,1)*($K1342-$L1342*IFERROR(VLOOKUP("P01",ParamTbl,3,0),1.5)))</f>
        <v/>
      </c>
      <c r="N1342">
        <f>IF($G1342="",0,IF($H1342="مرجوعی فروش",-1,1)*IF(Sync!$AC1338="",0,Sync!$AC1338))</f>
        <v/>
      </c>
      <c r="O1342">
        <f>IF(OR($G1342="",Sync!$V1338=""),"",Sync!$V1338)</f>
        <v/>
      </c>
      <c r="P1342">
        <f>IF(OR($G1342="",Sync!$AD1338=""),"",Sync!$AD1338)</f>
        <v/>
      </c>
      <c r="Q1342">
        <f>IF($G1342="","",IF(Sync!$U1338="","0000",IF(AND(ISNUMBER(Sync!$U1338),Sync!$U1338&gt;=0,Sync!$U1338&lt;1),RIGHT("00"&amp;HOUR(Sync!$U1338),2)&amp;RIGHT("00"&amp;MINUTE(Sync!$U1338),2),IFERROR(RIGHT("00"&amp;VALUE(LEFT(Sync!$U1338,FIND(":",Sync!$U1338)-1)),2)&amp;RIGHT("00"&amp;VALUE(MID(Sync!$U1338,FIND(":",Sync!$U1338)+1,2)),2),"0000"))))</f>
        <v/>
      </c>
    </row>
    <row r="1343">
      <c r="A1343">
        <f>IF(Sync!$T1339="","",Sync!$T1339)</f>
        <v/>
      </c>
      <c r="B1343">
        <f>IF($A1343="","",IF(ISNUMBER($A1343),IF(AND($A1343&gt;=10000101,$A1343&lt;=99991231),INT($A1343/10000),""),IFERROR(VALUE(TRIM(LEFT($A1343,FIND("/",$A1343)-1))),"")))</f>
        <v/>
      </c>
      <c r="C1343">
        <f>IF(OR($A1343="",$B1343=""),"",IF(ISNUMBER($A1343),INT(MOD($A1343,10000)/100),IFERROR(VALUE(TRIM(LEFT(MID($A1343,FIND("/",$A1343)+1,20),FIND("/",MID($A1343,FIND("/",$A1343)+1,20))-1))),"")))</f>
        <v/>
      </c>
      <c r="D1343">
        <f>IF(OR($A1343="",$B1343=""),"",IF(ISNUMBER($A1343),MOD($A1343,100),IFERROR(VALUE(TRIM(MID(MID($A1343,FIND("/",$A1343)+1,20),FIND("/",MID($A1343,FIND("/",$A1343)+1,20))+1,20))),"")))</f>
        <v/>
      </c>
      <c r="E1343">
        <f>IF($A1343="","",IF(OR($B1343="",$C1343="",$D1343="",$B1343&lt;1300,$B1343&gt;1500,$C1343&lt;1,$C1343&gt;12,$D1343&lt;1,$D1343&gt;31),"نامعتبر",RIGHT("0000"&amp;$B1343,4)&amp;"/"&amp;RIGHT("00"&amp;$C1343,2)&amp;"/"&amp;RIGHT("00"&amp;$D1343,2)))</f>
        <v/>
      </c>
      <c r="F1343">
        <f>IF(OR($E1343="",$E1343="نامعتبر"),"",LEFT($E1343,4)&amp;"/"&amp;MID($E1343,6,2))</f>
        <v/>
      </c>
      <c r="G1343">
        <f>IF(OR($E1343="",$E1343="نامعتبر",Sync!$X1339=""),"",IF(AND(LEFT(UPPER(TRIM(Sync!$X1339)),2)="SL",IFERROR(VLOOKUP(Sync!$W1339,OpTbl,3,0),"")="فروش"),UPPER(TRIM(Sync!$X1339)),""))</f>
        <v/>
      </c>
      <c r="H1343">
        <f>IF($G1343="","",IF(Sync!$W1339="","",Sync!$W1339))</f>
        <v/>
      </c>
      <c r="I1343">
        <f>IF(OR($G1343="",Sync!$Y1339=""),"",Sync!$Y1339)</f>
        <v/>
      </c>
      <c r="J1343">
        <f>IF(OR($G1343="",Sync!$Z1339=""),"",Sync!$Z1339)</f>
        <v/>
      </c>
      <c r="K1343">
        <f>IF($G1343="",0,IF(Sync!$AA1339="",0,Sync!$AA1339))</f>
        <v/>
      </c>
      <c r="L1343">
        <f>IF($G1343="",0,IF(Sync!$AB1339="",0,Sync!$AB1339))</f>
        <v/>
      </c>
      <c r="M1343">
        <f>IF($G1343="","",IF($H1343="مرجوعی فروش",-1,1)*($K1343-$L1343*IFERROR(VLOOKUP("P01",ParamTbl,3,0),1.5)))</f>
        <v/>
      </c>
      <c r="N1343">
        <f>IF($G1343="",0,IF($H1343="مرجوعی فروش",-1,1)*IF(Sync!$AC1339="",0,Sync!$AC1339))</f>
        <v/>
      </c>
      <c r="O1343">
        <f>IF(OR($G1343="",Sync!$V1339=""),"",Sync!$V1339)</f>
        <v/>
      </c>
      <c r="P1343">
        <f>IF(OR($G1343="",Sync!$AD1339=""),"",Sync!$AD1339)</f>
        <v/>
      </c>
      <c r="Q1343">
        <f>IF($G1343="","",IF(Sync!$U1339="","0000",IF(AND(ISNUMBER(Sync!$U1339),Sync!$U1339&gt;=0,Sync!$U1339&lt;1),RIGHT("00"&amp;HOUR(Sync!$U1339),2)&amp;RIGHT("00"&amp;MINUTE(Sync!$U1339),2),IFERROR(RIGHT("00"&amp;VALUE(LEFT(Sync!$U1339,FIND(":",Sync!$U1339)-1)),2)&amp;RIGHT("00"&amp;VALUE(MID(Sync!$U1339,FIND(":",Sync!$U1339)+1,2)),2),"0000"))))</f>
        <v/>
      </c>
    </row>
    <row r="1344">
      <c r="A1344">
        <f>IF(Sync!$T1340="","",Sync!$T1340)</f>
        <v/>
      </c>
      <c r="B1344">
        <f>IF($A1344="","",IF(ISNUMBER($A1344),IF(AND($A1344&gt;=10000101,$A1344&lt;=99991231),INT($A1344/10000),""),IFERROR(VALUE(TRIM(LEFT($A1344,FIND("/",$A1344)-1))),"")))</f>
        <v/>
      </c>
      <c r="C1344">
        <f>IF(OR($A1344="",$B1344=""),"",IF(ISNUMBER($A1344),INT(MOD($A1344,10000)/100),IFERROR(VALUE(TRIM(LEFT(MID($A1344,FIND("/",$A1344)+1,20),FIND("/",MID($A1344,FIND("/",$A1344)+1,20))-1))),"")))</f>
        <v/>
      </c>
      <c r="D1344">
        <f>IF(OR($A1344="",$B1344=""),"",IF(ISNUMBER($A1344),MOD($A1344,100),IFERROR(VALUE(TRIM(MID(MID($A1344,FIND("/",$A1344)+1,20),FIND("/",MID($A1344,FIND("/",$A1344)+1,20))+1,20))),"")))</f>
        <v/>
      </c>
      <c r="E1344">
        <f>IF($A1344="","",IF(OR($B1344="",$C1344="",$D1344="",$B1344&lt;1300,$B1344&gt;1500,$C1344&lt;1,$C1344&gt;12,$D1344&lt;1,$D1344&gt;31),"نامعتبر",RIGHT("0000"&amp;$B1344,4)&amp;"/"&amp;RIGHT("00"&amp;$C1344,2)&amp;"/"&amp;RIGHT("00"&amp;$D1344,2)))</f>
        <v/>
      </c>
      <c r="F1344">
        <f>IF(OR($E1344="",$E1344="نامعتبر"),"",LEFT($E1344,4)&amp;"/"&amp;MID($E1344,6,2))</f>
        <v/>
      </c>
      <c r="G1344">
        <f>IF(OR($E1344="",$E1344="نامعتبر",Sync!$X1340=""),"",IF(AND(LEFT(UPPER(TRIM(Sync!$X1340)),2)="SL",IFERROR(VLOOKUP(Sync!$W1340,OpTbl,3,0),"")="فروش"),UPPER(TRIM(Sync!$X1340)),""))</f>
        <v/>
      </c>
      <c r="H1344">
        <f>IF($G1344="","",IF(Sync!$W1340="","",Sync!$W1340))</f>
        <v/>
      </c>
      <c r="I1344">
        <f>IF(OR($G1344="",Sync!$Y1340=""),"",Sync!$Y1340)</f>
        <v/>
      </c>
      <c r="J1344">
        <f>IF(OR($G1344="",Sync!$Z1340=""),"",Sync!$Z1340)</f>
        <v/>
      </c>
      <c r="K1344">
        <f>IF($G1344="",0,IF(Sync!$AA1340="",0,Sync!$AA1340))</f>
        <v/>
      </c>
      <c r="L1344">
        <f>IF($G1344="",0,IF(Sync!$AB1340="",0,Sync!$AB1340))</f>
        <v/>
      </c>
      <c r="M1344">
        <f>IF($G1344="","",IF($H1344="مرجوعی فروش",-1,1)*($K1344-$L1344*IFERROR(VLOOKUP("P01",ParamTbl,3,0),1.5)))</f>
        <v/>
      </c>
      <c r="N1344">
        <f>IF($G1344="",0,IF($H1344="مرجوعی فروش",-1,1)*IF(Sync!$AC1340="",0,Sync!$AC1340))</f>
        <v/>
      </c>
      <c r="O1344">
        <f>IF(OR($G1344="",Sync!$V1340=""),"",Sync!$V1340)</f>
        <v/>
      </c>
      <c r="P1344">
        <f>IF(OR($G1344="",Sync!$AD1340=""),"",Sync!$AD1340)</f>
        <v/>
      </c>
      <c r="Q1344">
        <f>IF($G1344="","",IF(Sync!$U1340="","0000",IF(AND(ISNUMBER(Sync!$U1340),Sync!$U1340&gt;=0,Sync!$U1340&lt;1),RIGHT("00"&amp;HOUR(Sync!$U1340),2)&amp;RIGHT("00"&amp;MINUTE(Sync!$U1340),2),IFERROR(RIGHT("00"&amp;VALUE(LEFT(Sync!$U1340,FIND(":",Sync!$U1340)-1)),2)&amp;RIGHT("00"&amp;VALUE(MID(Sync!$U1340,FIND(":",Sync!$U1340)+1,2)),2),"0000"))))</f>
        <v/>
      </c>
    </row>
    <row r="1345">
      <c r="A1345">
        <f>IF(Sync!$T1341="","",Sync!$T1341)</f>
        <v/>
      </c>
      <c r="B1345">
        <f>IF($A1345="","",IF(ISNUMBER($A1345),IF(AND($A1345&gt;=10000101,$A1345&lt;=99991231),INT($A1345/10000),""),IFERROR(VALUE(TRIM(LEFT($A1345,FIND("/",$A1345)-1))),"")))</f>
        <v/>
      </c>
      <c r="C1345">
        <f>IF(OR($A1345="",$B1345=""),"",IF(ISNUMBER($A1345),INT(MOD($A1345,10000)/100),IFERROR(VALUE(TRIM(LEFT(MID($A1345,FIND("/",$A1345)+1,20),FIND("/",MID($A1345,FIND("/",$A1345)+1,20))-1))),"")))</f>
        <v/>
      </c>
      <c r="D1345">
        <f>IF(OR($A1345="",$B1345=""),"",IF(ISNUMBER($A1345),MOD($A1345,100),IFERROR(VALUE(TRIM(MID(MID($A1345,FIND("/",$A1345)+1,20),FIND("/",MID($A1345,FIND("/",$A1345)+1,20))+1,20))),"")))</f>
        <v/>
      </c>
      <c r="E1345">
        <f>IF($A1345="","",IF(OR($B1345="",$C1345="",$D1345="",$B1345&lt;1300,$B1345&gt;1500,$C1345&lt;1,$C1345&gt;12,$D1345&lt;1,$D1345&gt;31),"نامعتبر",RIGHT("0000"&amp;$B1345,4)&amp;"/"&amp;RIGHT("00"&amp;$C1345,2)&amp;"/"&amp;RIGHT("00"&amp;$D1345,2)))</f>
        <v/>
      </c>
      <c r="F1345">
        <f>IF(OR($E1345="",$E1345="نامعتبر"),"",LEFT($E1345,4)&amp;"/"&amp;MID($E1345,6,2))</f>
        <v/>
      </c>
      <c r="G1345">
        <f>IF(OR($E1345="",$E1345="نامعتبر",Sync!$X1341=""),"",IF(AND(LEFT(UPPER(TRIM(Sync!$X1341)),2)="SL",IFERROR(VLOOKUP(Sync!$W1341,OpTbl,3,0),"")="فروش"),UPPER(TRIM(Sync!$X1341)),""))</f>
        <v/>
      </c>
      <c r="H1345">
        <f>IF($G1345="","",IF(Sync!$W1341="","",Sync!$W1341))</f>
        <v/>
      </c>
      <c r="I1345">
        <f>IF(OR($G1345="",Sync!$Y1341=""),"",Sync!$Y1341)</f>
        <v/>
      </c>
      <c r="J1345">
        <f>IF(OR($G1345="",Sync!$Z1341=""),"",Sync!$Z1341)</f>
        <v/>
      </c>
      <c r="K1345">
        <f>IF($G1345="",0,IF(Sync!$AA1341="",0,Sync!$AA1341))</f>
        <v/>
      </c>
      <c r="L1345">
        <f>IF($G1345="",0,IF(Sync!$AB1341="",0,Sync!$AB1341))</f>
        <v/>
      </c>
      <c r="M1345">
        <f>IF($G1345="","",IF($H1345="مرجوعی فروش",-1,1)*($K1345-$L1345*IFERROR(VLOOKUP("P01",ParamTbl,3,0),1.5)))</f>
        <v/>
      </c>
      <c r="N1345">
        <f>IF($G1345="",0,IF($H1345="مرجوعی فروش",-1,1)*IF(Sync!$AC1341="",0,Sync!$AC1341))</f>
        <v/>
      </c>
      <c r="O1345">
        <f>IF(OR($G1345="",Sync!$V1341=""),"",Sync!$V1341)</f>
        <v/>
      </c>
      <c r="P1345">
        <f>IF(OR($G1345="",Sync!$AD1341=""),"",Sync!$AD1341)</f>
        <v/>
      </c>
      <c r="Q1345">
        <f>IF($G1345="","",IF(Sync!$U1341="","0000",IF(AND(ISNUMBER(Sync!$U1341),Sync!$U1341&gt;=0,Sync!$U1341&lt;1),RIGHT("00"&amp;HOUR(Sync!$U1341),2)&amp;RIGHT("00"&amp;MINUTE(Sync!$U1341),2),IFERROR(RIGHT("00"&amp;VALUE(LEFT(Sync!$U1341,FIND(":",Sync!$U1341)-1)),2)&amp;RIGHT("00"&amp;VALUE(MID(Sync!$U1341,FIND(":",Sync!$U1341)+1,2)),2),"0000"))))</f>
        <v/>
      </c>
    </row>
    <row r="1346">
      <c r="A1346">
        <f>IF(Sync!$T1342="","",Sync!$T1342)</f>
        <v/>
      </c>
      <c r="B1346">
        <f>IF($A1346="","",IF(ISNUMBER($A1346),IF(AND($A1346&gt;=10000101,$A1346&lt;=99991231),INT($A1346/10000),""),IFERROR(VALUE(TRIM(LEFT($A1346,FIND("/",$A1346)-1))),"")))</f>
        <v/>
      </c>
      <c r="C1346">
        <f>IF(OR($A1346="",$B1346=""),"",IF(ISNUMBER($A1346),INT(MOD($A1346,10000)/100),IFERROR(VALUE(TRIM(LEFT(MID($A1346,FIND("/",$A1346)+1,20),FIND("/",MID($A1346,FIND("/",$A1346)+1,20))-1))),"")))</f>
        <v/>
      </c>
      <c r="D1346">
        <f>IF(OR($A1346="",$B1346=""),"",IF(ISNUMBER($A1346),MOD($A1346,100),IFERROR(VALUE(TRIM(MID(MID($A1346,FIND("/",$A1346)+1,20),FIND("/",MID($A1346,FIND("/",$A1346)+1,20))+1,20))),"")))</f>
        <v/>
      </c>
      <c r="E1346">
        <f>IF($A1346="","",IF(OR($B1346="",$C1346="",$D1346="",$B1346&lt;1300,$B1346&gt;1500,$C1346&lt;1,$C1346&gt;12,$D1346&lt;1,$D1346&gt;31),"نامعتبر",RIGHT("0000"&amp;$B1346,4)&amp;"/"&amp;RIGHT("00"&amp;$C1346,2)&amp;"/"&amp;RIGHT("00"&amp;$D1346,2)))</f>
        <v/>
      </c>
      <c r="F1346">
        <f>IF(OR($E1346="",$E1346="نامعتبر"),"",LEFT($E1346,4)&amp;"/"&amp;MID($E1346,6,2))</f>
        <v/>
      </c>
      <c r="G1346">
        <f>IF(OR($E1346="",$E1346="نامعتبر",Sync!$X1342=""),"",IF(AND(LEFT(UPPER(TRIM(Sync!$X1342)),2)="SL",IFERROR(VLOOKUP(Sync!$W1342,OpTbl,3,0),"")="فروش"),UPPER(TRIM(Sync!$X1342)),""))</f>
        <v/>
      </c>
      <c r="H1346">
        <f>IF($G1346="","",IF(Sync!$W1342="","",Sync!$W1342))</f>
        <v/>
      </c>
      <c r="I1346">
        <f>IF(OR($G1346="",Sync!$Y1342=""),"",Sync!$Y1342)</f>
        <v/>
      </c>
      <c r="J1346">
        <f>IF(OR($G1346="",Sync!$Z1342=""),"",Sync!$Z1342)</f>
        <v/>
      </c>
      <c r="K1346">
        <f>IF($G1346="",0,IF(Sync!$AA1342="",0,Sync!$AA1342))</f>
        <v/>
      </c>
      <c r="L1346">
        <f>IF($G1346="",0,IF(Sync!$AB1342="",0,Sync!$AB1342))</f>
        <v/>
      </c>
      <c r="M1346">
        <f>IF($G1346="","",IF($H1346="مرجوعی فروش",-1,1)*($K1346-$L1346*IFERROR(VLOOKUP("P01",ParamTbl,3,0),1.5)))</f>
        <v/>
      </c>
      <c r="N1346">
        <f>IF($G1346="",0,IF($H1346="مرجوعی فروش",-1,1)*IF(Sync!$AC1342="",0,Sync!$AC1342))</f>
        <v/>
      </c>
      <c r="O1346">
        <f>IF(OR($G1346="",Sync!$V1342=""),"",Sync!$V1342)</f>
        <v/>
      </c>
      <c r="P1346">
        <f>IF(OR($G1346="",Sync!$AD1342=""),"",Sync!$AD1342)</f>
        <v/>
      </c>
      <c r="Q1346">
        <f>IF($G1346="","",IF(Sync!$U1342="","0000",IF(AND(ISNUMBER(Sync!$U1342),Sync!$U1342&gt;=0,Sync!$U1342&lt;1),RIGHT("00"&amp;HOUR(Sync!$U1342),2)&amp;RIGHT("00"&amp;MINUTE(Sync!$U1342),2),IFERROR(RIGHT("00"&amp;VALUE(LEFT(Sync!$U1342,FIND(":",Sync!$U1342)-1)),2)&amp;RIGHT("00"&amp;VALUE(MID(Sync!$U1342,FIND(":",Sync!$U1342)+1,2)),2),"0000"))))</f>
        <v/>
      </c>
    </row>
    <row r="1347">
      <c r="A1347">
        <f>IF(Sync!$T1343="","",Sync!$T1343)</f>
        <v/>
      </c>
      <c r="B1347">
        <f>IF($A1347="","",IF(ISNUMBER($A1347),IF(AND($A1347&gt;=10000101,$A1347&lt;=99991231),INT($A1347/10000),""),IFERROR(VALUE(TRIM(LEFT($A1347,FIND("/",$A1347)-1))),"")))</f>
        <v/>
      </c>
      <c r="C1347">
        <f>IF(OR($A1347="",$B1347=""),"",IF(ISNUMBER($A1347),INT(MOD($A1347,10000)/100),IFERROR(VALUE(TRIM(LEFT(MID($A1347,FIND("/",$A1347)+1,20),FIND("/",MID($A1347,FIND("/",$A1347)+1,20))-1))),"")))</f>
        <v/>
      </c>
      <c r="D1347">
        <f>IF(OR($A1347="",$B1347=""),"",IF(ISNUMBER($A1347),MOD($A1347,100),IFERROR(VALUE(TRIM(MID(MID($A1347,FIND("/",$A1347)+1,20),FIND("/",MID($A1347,FIND("/",$A1347)+1,20))+1,20))),"")))</f>
        <v/>
      </c>
      <c r="E1347">
        <f>IF($A1347="","",IF(OR($B1347="",$C1347="",$D1347="",$B1347&lt;1300,$B1347&gt;1500,$C1347&lt;1,$C1347&gt;12,$D1347&lt;1,$D1347&gt;31),"نامعتبر",RIGHT("0000"&amp;$B1347,4)&amp;"/"&amp;RIGHT("00"&amp;$C1347,2)&amp;"/"&amp;RIGHT("00"&amp;$D1347,2)))</f>
        <v/>
      </c>
      <c r="F1347">
        <f>IF(OR($E1347="",$E1347="نامعتبر"),"",LEFT($E1347,4)&amp;"/"&amp;MID($E1347,6,2))</f>
        <v/>
      </c>
      <c r="G1347">
        <f>IF(OR($E1347="",$E1347="نامعتبر",Sync!$X1343=""),"",IF(AND(LEFT(UPPER(TRIM(Sync!$X1343)),2)="SL",IFERROR(VLOOKUP(Sync!$W1343,OpTbl,3,0),"")="فروش"),UPPER(TRIM(Sync!$X1343)),""))</f>
        <v/>
      </c>
      <c r="H1347">
        <f>IF($G1347="","",IF(Sync!$W1343="","",Sync!$W1343))</f>
        <v/>
      </c>
      <c r="I1347">
        <f>IF(OR($G1347="",Sync!$Y1343=""),"",Sync!$Y1343)</f>
        <v/>
      </c>
      <c r="J1347">
        <f>IF(OR($G1347="",Sync!$Z1343=""),"",Sync!$Z1343)</f>
        <v/>
      </c>
      <c r="K1347">
        <f>IF($G1347="",0,IF(Sync!$AA1343="",0,Sync!$AA1343))</f>
        <v/>
      </c>
      <c r="L1347">
        <f>IF($G1347="",0,IF(Sync!$AB1343="",0,Sync!$AB1343))</f>
        <v/>
      </c>
      <c r="M1347">
        <f>IF($G1347="","",IF($H1347="مرجوعی فروش",-1,1)*($K1347-$L1347*IFERROR(VLOOKUP("P01",ParamTbl,3,0),1.5)))</f>
        <v/>
      </c>
      <c r="N1347">
        <f>IF($G1347="",0,IF($H1347="مرجوعی فروش",-1,1)*IF(Sync!$AC1343="",0,Sync!$AC1343))</f>
        <v/>
      </c>
      <c r="O1347">
        <f>IF(OR($G1347="",Sync!$V1343=""),"",Sync!$V1343)</f>
        <v/>
      </c>
      <c r="P1347">
        <f>IF(OR($G1347="",Sync!$AD1343=""),"",Sync!$AD1343)</f>
        <v/>
      </c>
      <c r="Q1347">
        <f>IF($G1347="","",IF(Sync!$U1343="","0000",IF(AND(ISNUMBER(Sync!$U1343),Sync!$U1343&gt;=0,Sync!$U1343&lt;1),RIGHT("00"&amp;HOUR(Sync!$U1343),2)&amp;RIGHT("00"&amp;MINUTE(Sync!$U1343),2),IFERROR(RIGHT("00"&amp;VALUE(LEFT(Sync!$U1343,FIND(":",Sync!$U1343)-1)),2)&amp;RIGHT("00"&amp;VALUE(MID(Sync!$U1343,FIND(":",Sync!$U1343)+1,2)),2),"0000"))))</f>
        <v/>
      </c>
    </row>
    <row r="1348">
      <c r="A1348">
        <f>IF(Sync!$T1344="","",Sync!$T1344)</f>
        <v/>
      </c>
      <c r="B1348">
        <f>IF($A1348="","",IF(ISNUMBER($A1348),IF(AND($A1348&gt;=10000101,$A1348&lt;=99991231),INT($A1348/10000),""),IFERROR(VALUE(TRIM(LEFT($A1348,FIND("/",$A1348)-1))),"")))</f>
        <v/>
      </c>
      <c r="C1348">
        <f>IF(OR($A1348="",$B1348=""),"",IF(ISNUMBER($A1348),INT(MOD($A1348,10000)/100),IFERROR(VALUE(TRIM(LEFT(MID($A1348,FIND("/",$A1348)+1,20),FIND("/",MID($A1348,FIND("/",$A1348)+1,20))-1))),"")))</f>
        <v/>
      </c>
      <c r="D1348">
        <f>IF(OR($A1348="",$B1348=""),"",IF(ISNUMBER($A1348),MOD($A1348,100),IFERROR(VALUE(TRIM(MID(MID($A1348,FIND("/",$A1348)+1,20),FIND("/",MID($A1348,FIND("/",$A1348)+1,20))+1,20))),"")))</f>
        <v/>
      </c>
      <c r="E1348">
        <f>IF($A1348="","",IF(OR($B1348="",$C1348="",$D1348="",$B1348&lt;1300,$B1348&gt;1500,$C1348&lt;1,$C1348&gt;12,$D1348&lt;1,$D1348&gt;31),"نامعتبر",RIGHT("0000"&amp;$B1348,4)&amp;"/"&amp;RIGHT("00"&amp;$C1348,2)&amp;"/"&amp;RIGHT("00"&amp;$D1348,2)))</f>
        <v/>
      </c>
      <c r="F1348">
        <f>IF(OR($E1348="",$E1348="نامعتبر"),"",LEFT($E1348,4)&amp;"/"&amp;MID($E1348,6,2))</f>
        <v/>
      </c>
      <c r="G1348">
        <f>IF(OR($E1348="",$E1348="نامعتبر",Sync!$X1344=""),"",IF(AND(LEFT(UPPER(TRIM(Sync!$X1344)),2)="SL",IFERROR(VLOOKUP(Sync!$W1344,OpTbl,3,0),"")="فروش"),UPPER(TRIM(Sync!$X1344)),""))</f>
        <v/>
      </c>
      <c r="H1348">
        <f>IF($G1348="","",IF(Sync!$W1344="","",Sync!$W1344))</f>
        <v/>
      </c>
      <c r="I1348">
        <f>IF(OR($G1348="",Sync!$Y1344=""),"",Sync!$Y1344)</f>
        <v/>
      </c>
      <c r="J1348">
        <f>IF(OR($G1348="",Sync!$Z1344=""),"",Sync!$Z1344)</f>
        <v/>
      </c>
      <c r="K1348">
        <f>IF($G1348="",0,IF(Sync!$AA1344="",0,Sync!$AA1344))</f>
        <v/>
      </c>
      <c r="L1348">
        <f>IF($G1348="",0,IF(Sync!$AB1344="",0,Sync!$AB1344))</f>
        <v/>
      </c>
      <c r="M1348">
        <f>IF($G1348="","",IF($H1348="مرجوعی فروش",-1,1)*($K1348-$L1348*IFERROR(VLOOKUP("P01",ParamTbl,3,0),1.5)))</f>
        <v/>
      </c>
      <c r="N1348">
        <f>IF($G1348="",0,IF($H1348="مرجوعی فروش",-1,1)*IF(Sync!$AC1344="",0,Sync!$AC1344))</f>
        <v/>
      </c>
      <c r="O1348">
        <f>IF(OR($G1348="",Sync!$V1344=""),"",Sync!$V1344)</f>
        <v/>
      </c>
      <c r="P1348">
        <f>IF(OR($G1348="",Sync!$AD1344=""),"",Sync!$AD1344)</f>
        <v/>
      </c>
      <c r="Q1348">
        <f>IF($G1348="","",IF(Sync!$U1344="","0000",IF(AND(ISNUMBER(Sync!$U1344),Sync!$U1344&gt;=0,Sync!$U1344&lt;1),RIGHT("00"&amp;HOUR(Sync!$U1344),2)&amp;RIGHT("00"&amp;MINUTE(Sync!$U1344),2),IFERROR(RIGHT("00"&amp;VALUE(LEFT(Sync!$U1344,FIND(":",Sync!$U1344)-1)),2)&amp;RIGHT("00"&amp;VALUE(MID(Sync!$U1344,FIND(":",Sync!$U1344)+1,2)),2),"0000"))))</f>
        <v/>
      </c>
    </row>
    <row r="1349">
      <c r="A1349">
        <f>IF(Sync!$T1345="","",Sync!$T1345)</f>
        <v/>
      </c>
      <c r="B1349">
        <f>IF($A1349="","",IF(ISNUMBER($A1349),IF(AND($A1349&gt;=10000101,$A1349&lt;=99991231),INT($A1349/10000),""),IFERROR(VALUE(TRIM(LEFT($A1349,FIND("/",$A1349)-1))),"")))</f>
        <v/>
      </c>
      <c r="C1349">
        <f>IF(OR($A1349="",$B1349=""),"",IF(ISNUMBER($A1349),INT(MOD($A1349,10000)/100),IFERROR(VALUE(TRIM(LEFT(MID($A1349,FIND("/",$A1349)+1,20),FIND("/",MID($A1349,FIND("/",$A1349)+1,20))-1))),"")))</f>
        <v/>
      </c>
      <c r="D1349">
        <f>IF(OR($A1349="",$B1349=""),"",IF(ISNUMBER($A1349),MOD($A1349,100),IFERROR(VALUE(TRIM(MID(MID($A1349,FIND("/",$A1349)+1,20),FIND("/",MID($A1349,FIND("/",$A1349)+1,20))+1,20))),"")))</f>
        <v/>
      </c>
      <c r="E1349">
        <f>IF($A1349="","",IF(OR($B1349="",$C1349="",$D1349="",$B1349&lt;1300,$B1349&gt;1500,$C1349&lt;1,$C1349&gt;12,$D1349&lt;1,$D1349&gt;31),"نامعتبر",RIGHT("0000"&amp;$B1349,4)&amp;"/"&amp;RIGHT("00"&amp;$C1349,2)&amp;"/"&amp;RIGHT("00"&amp;$D1349,2)))</f>
        <v/>
      </c>
      <c r="F1349">
        <f>IF(OR($E1349="",$E1349="نامعتبر"),"",LEFT($E1349,4)&amp;"/"&amp;MID($E1349,6,2))</f>
        <v/>
      </c>
      <c r="G1349">
        <f>IF(OR($E1349="",$E1349="نامعتبر",Sync!$X1345=""),"",IF(AND(LEFT(UPPER(TRIM(Sync!$X1345)),2)="SL",IFERROR(VLOOKUP(Sync!$W1345,OpTbl,3,0),"")="فروش"),UPPER(TRIM(Sync!$X1345)),""))</f>
        <v/>
      </c>
      <c r="H1349">
        <f>IF($G1349="","",IF(Sync!$W1345="","",Sync!$W1345))</f>
        <v/>
      </c>
      <c r="I1349">
        <f>IF(OR($G1349="",Sync!$Y1345=""),"",Sync!$Y1345)</f>
        <v/>
      </c>
      <c r="J1349">
        <f>IF(OR($G1349="",Sync!$Z1345=""),"",Sync!$Z1345)</f>
        <v/>
      </c>
      <c r="K1349">
        <f>IF($G1349="",0,IF(Sync!$AA1345="",0,Sync!$AA1345))</f>
        <v/>
      </c>
      <c r="L1349">
        <f>IF($G1349="",0,IF(Sync!$AB1345="",0,Sync!$AB1345))</f>
        <v/>
      </c>
      <c r="M1349">
        <f>IF($G1349="","",IF($H1349="مرجوعی فروش",-1,1)*($K1349-$L1349*IFERROR(VLOOKUP("P01",ParamTbl,3,0),1.5)))</f>
        <v/>
      </c>
      <c r="N1349">
        <f>IF($G1349="",0,IF($H1349="مرجوعی فروش",-1,1)*IF(Sync!$AC1345="",0,Sync!$AC1345))</f>
        <v/>
      </c>
      <c r="O1349">
        <f>IF(OR($G1349="",Sync!$V1345=""),"",Sync!$V1345)</f>
        <v/>
      </c>
      <c r="P1349">
        <f>IF(OR($G1349="",Sync!$AD1345=""),"",Sync!$AD1345)</f>
        <v/>
      </c>
      <c r="Q1349">
        <f>IF($G1349="","",IF(Sync!$U1345="","0000",IF(AND(ISNUMBER(Sync!$U1345),Sync!$U1345&gt;=0,Sync!$U1345&lt;1),RIGHT("00"&amp;HOUR(Sync!$U1345),2)&amp;RIGHT("00"&amp;MINUTE(Sync!$U1345),2),IFERROR(RIGHT("00"&amp;VALUE(LEFT(Sync!$U1345,FIND(":",Sync!$U1345)-1)),2)&amp;RIGHT("00"&amp;VALUE(MID(Sync!$U1345,FIND(":",Sync!$U1345)+1,2)),2),"0000"))))</f>
        <v/>
      </c>
    </row>
    <row r="1350">
      <c r="A1350">
        <f>IF(Sync!$T1346="","",Sync!$T1346)</f>
        <v/>
      </c>
      <c r="B1350">
        <f>IF($A1350="","",IF(ISNUMBER($A1350),IF(AND($A1350&gt;=10000101,$A1350&lt;=99991231),INT($A1350/10000),""),IFERROR(VALUE(TRIM(LEFT($A1350,FIND("/",$A1350)-1))),"")))</f>
        <v/>
      </c>
      <c r="C1350">
        <f>IF(OR($A1350="",$B1350=""),"",IF(ISNUMBER($A1350),INT(MOD($A1350,10000)/100),IFERROR(VALUE(TRIM(LEFT(MID($A1350,FIND("/",$A1350)+1,20),FIND("/",MID($A1350,FIND("/",$A1350)+1,20))-1))),"")))</f>
        <v/>
      </c>
      <c r="D1350">
        <f>IF(OR($A1350="",$B1350=""),"",IF(ISNUMBER($A1350),MOD($A1350,100),IFERROR(VALUE(TRIM(MID(MID($A1350,FIND("/",$A1350)+1,20),FIND("/",MID($A1350,FIND("/",$A1350)+1,20))+1,20))),"")))</f>
        <v/>
      </c>
      <c r="E1350">
        <f>IF($A1350="","",IF(OR($B1350="",$C1350="",$D1350="",$B1350&lt;1300,$B1350&gt;1500,$C1350&lt;1,$C1350&gt;12,$D1350&lt;1,$D1350&gt;31),"نامعتبر",RIGHT("0000"&amp;$B1350,4)&amp;"/"&amp;RIGHT("00"&amp;$C1350,2)&amp;"/"&amp;RIGHT("00"&amp;$D1350,2)))</f>
        <v/>
      </c>
      <c r="F1350">
        <f>IF(OR($E1350="",$E1350="نامعتبر"),"",LEFT($E1350,4)&amp;"/"&amp;MID($E1350,6,2))</f>
        <v/>
      </c>
      <c r="G1350">
        <f>IF(OR($E1350="",$E1350="نامعتبر",Sync!$X1346=""),"",IF(AND(LEFT(UPPER(TRIM(Sync!$X1346)),2)="SL",IFERROR(VLOOKUP(Sync!$W1346,OpTbl,3,0),"")="فروش"),UPPER(TRIM(Sync!$X1346)),""))</f>
        <v/>
      </c>
      <c r="H1350">
        <f>IF($G1350="","",IF(Sync!$W1346="","",Sync!$W1346))</f>
        <v/>
      </c>
      <c r="I1350">
        <f>IF(OR($G1350="",Sync!$Y1346=""),"",Sync!$Y1346)</f>
        <v/>
      </c>
      <c r="J1350">
        <f>IF(OR($G1350="",Sync!$Z1346=""),"",Sync!$Z1346)</f>
        <v/>
      </c>
      <c r="K1350">
        <f>IF($G1350="",0,IF(Sync!$AA1346="",0,Sync!$AA1346))</f>
        <v/>
      </c>
      <c r="L1350">
        <f>IF($G1350="",0,IF(Sync!$AB1346="",0,Sync!$AB1346))</f>
        <v/>
      </c>
      <c r="M1350">
        <f>IF($G1350="","",IF($H1350="مرجوعی فروش",-1,1)*($K1350-$L1350*IFERROR(VLOOKUP("P01",ParamTbl,3,0),1.5)))</f>
        <v/>
      </c>
      <c r="N1350">
        <f>IF($G1350="",0,IF($H1350="مرجوعی فروش",-1,1)*IF(Sync!$AC1346="",0,Sync!$AC1346))</f>
        <v/>
      </c>
      <c r="O1350">
        <f>IF(OR($G1350="",Sync!$V1346=""),"",Sync!$V1346)</f>
        <v/>
      </c>
      <c r="P1350">
        <f>IF(OR($G1350="",Sync!$AD1346=""),"",Sync!$AD1346)</f>
        <v/>
      </c>
      <c r="Q1350">
        <f>IF($G1350="","",IF(Sync!$U1346="","0000",IF(AND(ISNUMBER(Sync!$U1346),Sync!$U1346&gt;=0,Sync!$U1346&lt;1),RIGHT("00"&amp;HOUR(Sync!$U1346),2)&amp;RIGHT("00"&amp;MINUTE(Sync!$U1346),2),IFERROR(RIGHT("00"&amp;VALUE(LEFT(Sync!$U1346,FIND(":",Sync!$U1346)-1)),2)&amp;RIGHT("00"&amp;VALUE(MID(Sync!$U1346,FIND(":",Sync!$U1346)+1,2)),2),"0000"))))</f>
        <v/>
      </c>
    </row>
    <row r="1351">
      <c r="A1351">
        <f>IF(Sync!$T1347="","",Sync!$T1347)</f>
        <v/>
      </c>
      <c r="B1351">
        <f>IF($A1351="","",IF(ISNUMBER($A1351),IF(AND($A1351&gt;=10000101,$A1351&lt;=99991231),INT($A1351/10000),""),IFERROR(VALUE(TRIM(LEFT($A1351,FIND("/",$A1351)-1))),"")))</f>
        <v/>
      </c>
      <c r="C1351">
        <f>IF(OR($A1351="",$B1351=""),"",IF(ISNUMBER($A1351),INT(MOD($A1351,10000)/100),IFERROR(VALUE(TRIM(LEFT(MID($A1351,FIND("/",$A1351)+1,20),FIND("/",MID($A1351,FIND("/",$A1351)+1,20))-1))),"")))</f>
        <v/>
      </c>
      <c r="D1351">
        <f>IF(OR($A1351="",$B1351=""),"",IF(ISNUMBER($A1351),MOD($A1351,100),IFERROR(VALUE(TRIM(MID(MID($A1351,FIND("/",$A1351)+1,20),FIND("/",MID($A1351,FIND("/",$A1351)+1,20))+1,20))),"")))</f>
        <v/>
      </c>
      <c r="E1351">
        <f>IF($A1351="","",IF(OR($B1351="",$C1351="",$D1351="",$B1351&lt;1300,$B1351&gt;1500,$C1351&lt;1,$C1351&gt;12,$D1351&lt;1,$D1351&gt;31),"نامعتبر",RIGHT("0000"&amp;$B1351,4)&amp;"/"&amp;RIGHT("00"&amp;$C1351,2)&amp;"/"&amp;RIGHT("00"&amp;$D1351,2)))</f>
        <v/>
      </c>
      <c r="F1351">
        <f>IF(OR($E1351="",$E1351="نامعتبر"),"",LEFT($E1351,4)&amp;"/"&amp;MID($E1351,6,2))</f>
        <v/>
      </c>
      <c r="G1351">
        <f>IF(OR($E1351="",$E1351="نامعتبر",Sync!$X1347=""),"",IF(AND(LEFT(UPPER(TRIM(Sync!$X1347)),2)="SL",IFERROR(VLOOKUP(Sync!$W1347,OpTbl,3,0),"")="فروش"),UPPER(TRIM(Sync!$X1347)),""))</f>
        <v/>
      </c>
      <c r="H1351">
        <f>IF($G1351="","",IF(Sync!$W1347="","",Sync!$W1347))</f>
        <v/>
      </c>
      <c r="I1351">
        <f>IF(OR($G1351="",Sync!$Y1347=""),"",Sync!$Y1347)</f>
        <v/>
      </c>
      <c r="J1351">
        <f>IF(OR($G1351="",Sync!$Z1347=""),"",Sync!$Z1347)</f>
        <v/>
      </c>
      <c r="K1351">
        <f>IF($G1351="",0,IF(Sync!$AA1347="",0,Sync!$AA1347))</f>
        <v/>
      </c>
      <c r="L1351">
        <f>IF($G1351="",0,IF(Sync!$AB1347="",0,Sync!$AB1347))</f>
        <v/>
      </c>
      <c r="M1351">
        <f>IF($G1351="","",IF($H1351="مرجوعی فروش",-1,1)*($K1351-$L1351*IFERROR(VLOOKUP("P01",ParamTbl,3,0),1.5)))</f>
        <v/>
      </c>
      <c r="N1351">
        <f>IF($G1351="",0,IF($H1351="مرجوعی فروش",-1,1)*IF(Sync!$AC1347="",0,Sync!$AC1347))</f>
        <v/>
      </c>
      <c r="O1351">
        <f>IF(OR($G1351="",Sync!$V1347=""),"",Sync!$V1347)</f>
        <v/>
      </c>
      <c r="P1351">
        <f>IF(OR($G1351="",Sync!$AD1347=""),"",Sync!$AD1347)</f>
        <v/>
      </c>
      <c r="Q1351">
        <f>IF($G1351="","",IF(Sync!$U1347="","0000",IF(AND(ISNUMBER(Sync!$U1347),Sync!$U1347&gt;=0,Sync!$U1347&lt;1),RIGHT("00"&amp;HOUR(Sync!$U1347),2)&amp;RIGHT("00"&amp;MINUTE(Sync!$U1347),2),IFERROR(RIGHT("00"&amp;VALUE(LEFT(Sync!$U1347,FIND(":",Sync!$U1347)-1)),2)&amp;RIGHT("00"&amp;VALUE(MID(Sync!$U1347,FIND(":",Sync!$U1347)+1,2)),2),"0000"))))</f>
        <v/>
      </c>
    </row>
    <row r="1352">
      <c r="A1352">
        <f>IF(Sync!$T1348="","",Sync!$T1348)</f>
        <v/>
      </c>
      <c r="B1352">
        <f>IF($A1352="","",IF(ISNUMBER($A1352),IF(AND($A1352&gt;=10000101,$A1352&lt;=99991231),INT($A1352/10000),""),IFERROR(VALUE(TRIM(LEFT($A1352,FIND("/",$A1352)-1))),"")))</f>
        <v/>
      </c>
      <c r="C1352">
        <f>IF(OR($A1352="",$B1352=""),"",IF(ISNUMBER($A1352),INT(MOD($A1352,10000)/100),IFERROR(VALUE(TRIM(LEFT(MID($A1352,FIND("/",$A1352)+1,20),FIND("/",MID($A1352,FIND("/",$A1352)+1,20))-1))),"")))</f>
        <v/>
      </c>
      <c r="D1352">
        <f>IF(OR($A1352="",$B1352=""),"",IF(ISNUMBER($A1352),MOD($A1352,100),IFERROR(VALUE(TRIM(MID(MID($A1352,FIND("/",$A1352)+1,20),FIND("/",MID($A1352,FIND("/",$A1352)+1,20))+1,20))),"")))</f>
        <v/>
      </c>
      <c r="E1352">
        <f>IF($A1352="","",IF(OR($B1352="",$C1352="",$D1352="",$B1352&lt;1300,$B1352&gt;1500,$C1352&lt;1,$C1352&gt;12,$D1352&lt;1,$D1352&gt;31),"نامعتبر",RIGHT("0000"&amp;$B1352,4)&amp;"/"&amp;RIGHT("00"&amp;$C1352,2)&amp;"/"&amp;RIGHT("00"&amp;$D1352,2)))</f>
        <v/>
      </c>
      <c r="F1352">
        <f>IF(OR($E1352="",$E1352="نامعتبر"),"",LEFT($E1352,4)&amp;"/"&amp;MID($E1352,6,2))</f>
        <v/>
      </c>
      <c r="G1352">
        <f>IF(OR($E1352="",$E1352="نامعتبر",Sync!$X1348=""),"",IF(AND(LEFT(UPPER(TRIM(Sync!$X1348)),2)="SL",IFERROR(VLOOKUP(Sync!$W1348,OpTbl,3,0),"")="فروش"),UPPER(TRIM(Sync!$X1348)),""))</f>
        <v/>
      </c>
      <c r="H1352">
        <f>IF($G1352="","",IF(Sync!$W1348="","",Sync!$W1348))</f>
        <v/>
      </c>
      <c r="I1352">
        <f>IF(OR($G1352="",Sync!$Y1348=""),"",Sync!$Y1348)</f>
        <v/>
      </c>
      <c r="J1352">
        <f>IF(OR($G1352="",Sync!$Z1348=""),"",Sync!$Z1348)</f>
        <v/>
      </c>
      <c r="K1352">
        <f>IF($G1352="",0,IF(Sync!$AA1348="",0,Sync!$AA1348))</f>
        <v/>
      </c>
      <c r="L1352">
        <f>IF($G1352="",0,IF(Sync!$AB1348="",0,Sync!$AB1348))</f>
        <v/>
      </c>
      <c r="M1352">
        <f>IF($G1352="","",IF($H1352="مرجوعی فروش",-1,1)*($K1352-$L1352*IFERROR(VLOOKUP("P01",ParamTbl,3,0),1.5)))</f>
        <v/>
      </c>
      <c r="N1352">
        <f>IF($G1352="",0,IF($H1352="مرجوعی فروش",-1,1)*IF(Sync!$AC1348="",0,Sync!$AC1348))</f>
        <v/>
      </c>
      <c r="O1352">
        <f>IF(OR($G1352="",Sync!$V1348=""),"",Sync!$V1348)</f>
        <v/>
      </c>
      <c r="P1352">
        <f>IF(OR($G1352="",Sync!$AD1348=""),"",Sync!$AD1348)</f>
        <v/>
      </c>
      <c r="Q1352">
        <f>IF($G1352="","",IF(Sync!$U1348="","0000",IF(AND(ISNUMBER(Sync!$U1348),Sync!$U1348&gt;=0,Sync!$U1348&lt;1),RIGHT("00"&amp;HOUR(Sync!$U1348),2)&amp;RIGHT("00"&amp;MINUTE(Sync!$U1348),2),IFERROR(RIGHT("00"&amp;VALUE(LEFT(Sync!$U1348,FIND(":",Sync!$U1348)-1)),2)&amp;RIGHT("00"&amp;VALUE(MID(Sync!$U1348,FIND(":",Sync!$U1348)+1,2)),2),"0000"))))</f>
        <v/>
      </c>
    </row>
    <row r="1353">
      <c r="A1353">
        <f>IF(Sync!$T1349="","",Sync!$T1349)</f>
        <v/>
      </c>
      <c r="B1353">
        <f>IF($A1353="","",IF(ISNUMBER($A1353),IF(AND($A1353&gt;=10000101,$A1353&lt;=99991231),INT($A1353/10000),""),IFERROR(VALUE(TRIM(LEFT($A1353,FIND("/",$A1353)-1))),"")))</f>
        <v/>
      </c>
      <c r="C1353">
        <f>IF(OR($A1353="",$B1353=""),"",IF(ISNUMBER($A1353),INT(MOD($A1353,10000)/100),IFERROR(VALUE(TRIM(LEFT(MID($A1353,FIND("/",$A1353)+1,20),FIND("/",MID($A1353,FIND("/",$A1353)+1,20))-1))),"")))</f>
        <v/>
      </c>
      <c r="D1353">
        <f>IF(OR($A1353="",$B1353=""),"",IF(ISNUMBER($A1353),MOD($A1353,100),IFERROR(VALUE(TRIM(MID(MID($A1353,FIND("/",$A1353)+1,20),FIND("/",MID($A1353,FIND("/",$A1353)+1,20))+1,20))),"")))</f>
        <v/>
      </c>
      <c r="E1353">
        <f>IF($A1353="","",IF(OR($B1353="",$C1353="",$D1353="",$B1353&lt;1300,$B1353&gt;1500,$C1353&lt;1,$C1353&gt;12,$D1353&lt;1,$D1353&gt;31),"نامعتبر",RIGHT("0000"&amp;$B1353,4)&amp;"/"&amp;RIGHT("00"&amp;$C1353,2)&amp;"/"&amp;RIGHT("00"&amp;$D1353,2)))</f>
        <v/>
      </c>
      <c r="F1353">
        <f>IF(OR($E1353="",$E1353="نامعتبر"),"",LEFT($E1353,4)&amp;"/"&amp;MID($E1353,6,2))</f>
        <v/>
      </c>
      <c r="G1353">
        <f>IF(OR($E1353="",$E1353="نامعتبر",Sync!$X1349=""),"",IF(AND(LEFT(UPPER(TRIM(Sync!$X1349)),2)="SL",IFERROR(VLOOKUP(Sync!$W1349,OpTbl,3,0),"")="فروش"),UPPER(TRIM(Sync!$X1349)),""))</f>
        <v/>
      </c>
      <c r="H1353">
        <f>IF($G1353="","",IF(Sync!$W1349="","",Sync!$W1349))</f>
        <v/>
      </c>
      <c r="I1353">
        <f>IF(OR($G1353="",Sync!$Y1349=""),"",Sync!$Y1349)</f>
        <v/>
      </c>
      <c r="J1353">
        <f>IF(OR($G1353="",Sync!$Z1349=""),"",Sync!$Z1349)</f>
        <v/>
      </c>
      <c r="K1353">
        <f>IF($G1353="",0,IF(Sync!$AA1349="",0,Sync!$AA1349))</f>
        <v/>
      </c>
      <c r="L1353">
        <f>IF($G1353="",0,IF(Sync!$AB1349="",0,Sync!$AB1349))</f>
        <v/>
      </c>
      <c r="M1353">
        <f>IF($G1353="","",IF($H1353="مرجوعی فروش",-1,1)*($K1353-$L1353*IFERROR(VLOOKUP("P01",ParamTbl,3,0),1.5)))</f>
        <v/>
      </c>
      <c r="N1353">
        <f>IF($G1353="",0,IF($H1353="مرجوعی فروش",-1,1)*IF(Sync!$AC1349="",0,Sync!$AC1349))</f>
        <v/>
      </c>
      <c r="O1353">
        <f>IF(OR($G1353="",Sync!$V1349=""),"",Sync!$V1349)</f>
        <v/>
      </c>
      <c r="P1353">
        <f>IF(OR($G1353="",Sync!$AD1349=""),"",Sync!$AD1349)</f>
        <v/>
      </c>
      <c r="Q1353">
        <f>IF($G1353="","",IF(Sync!$U1349="","0000",IF(AND(ISNUMBER(Sync!$U1349),Sync!$U1349&gt;=0,Sync!$U1349&lt;1),RIGHT("00"&amp;HOUR(Sync!$U1349),2)&amp;RIGHT("00"&amp;MINUTE(Sync!$U1349),2),IFERROR(RIGHT("00"&amp;VALUE(LEFT(Sync!$U1349,FIND(":",Sync!$U1349)-1)),2)&amp;RIGHT("00"&amp;VALUE(MID(Sync!$U1349,FIND(":",Sync!$U1349)+1,2)),2),"0000"))))</f>
        <v/>
      </c>
    </row>
    <row r="1354">
      <c r="A1354">
        <f>IF(Sync!$T1350="","",Sync!$T1350)</f>
        <v/>
      </c>
      <c r="B1354">
        <f>IF($A1354="","",IF(ISNUMBER($A1354),IF(AND($A1354&gt;=10000101,$A1354&lt;=99991231),INT($A1354/10000),""),IFERROR(VALUE(TRIM(LEFT($A1354,FIND("/",$A1354)-1))),"")))</f>
        <v/>
      </c>
      <c r="C1354">
        <f>IF(OR($A1354="",$B1354=""),"",IF(ISNUMBER($A1354),INT(MOD($A1354,10000)/100),IFERROR(VALUE(TRIM(LEFT(MID($A1354,FIND("/",$A1354)+1,20),FIND("/",MID($A1354,FIND("/",$A1354)+1,20))-1))),"")))</f>
        <v/>
      </c>
      <c r="D1354">
        <f>IF(OR($A1354="",$B1354=""),"",IF(ISNUMBER($A1354),MOD($A1354,100),IFERROR(VALUE(TRIM(MID(MID($A1354,FIND("/",$A1354)+1,20),FIND("/",MID($A1354,FIND("/",$A1354)+1,20))+1,20))),"")))</f>
        <v/>
      </c>
      <c r="E1354">
        <f>IF($A1354="","",IF(OR($B1354="",$C1354="",$D1354="",$B1354&lt;1300,$B1354&gt;1500,$C1354&lt;1,$C1354&gt;12,$D1354&lt;1,$D1354&gt;31),"نامعتبر",RIGHT("0000"&amp;$B1354,4)&amp;"/"&amp;RIGHT("00"&amp;$C1354,2)&amp;"/"&amp;RIGHT("00"&amp;$D1354,2)))</f>
        <v/>
      </c>
      <c r="F1354">
        <f>IF(OR($E1354="",$E1354="نامعتبر"),"",LEFT($E1354,4)&amp;"/"&amp;MID($E1354,6,2))</f>
        <v/>
      </c>
      <c r="G1354">
        <f>IF(OR($E1354="",$E1354="نامعتبر",Sync!$X1350=""),"",IF(AND(LEFT(UPPER(TRIM(Sync!$X1350)),2)="SL",IFERROR(VLOOKUP(Sync!$W1350,OpTbl,3,0),"")="فروش"),UPPER(TRIM(Sync!$X1350)),""))</f>
        <v/>
      </c>
      <c r="H1354">
        <f>IF($G1354="","",IF(Sync!$W1350="","",Sync!$W1350))</f>
        <v/>
      </c>
      <c r="I1354">
        <f>IF(OR($G1354="",Sync!$Y1350=""),"",Sync!$Y1350)</f>
        <v/>
      </c>
      <c r="J1354">
        <f>IF(OR($G1354="",Sync!$Z1350=""),"",Sync!$Z1350)</f>
        <v/>
      </c>
      <c r="K1354">
        <f>IF($G1354="",0,IF(Sync!$AA1350="",0,Sync!$AA1350))</f>
        <v/>
      </c>
      <c r="L1354">
        <f>IF($G1354="",0,IF(Sync!$AB1350="",0,Sync!$AB1350))</f>
        <v/>
      </c>
      <c r="M1354">
        <f>IF($G1354="","",IF($H1354="مرجوعی فروش",-1,1)*($K1354-$L1354*IFERROR(VLOOKUP("P01",ParamTbl,3,0),1.5)))</f>
        <v/>
      </c>
      <c r="N1354">
        <f>IF($G1354="",0,IF($H1354="مرجوعی فروش",-1,1)*IF(Sync!$AC1350="",0,Sync!$AC1350))</f>
        <v/>
      </c>
      <c r="O1354">
        <f>IF(OR($G1354="",Sync!$V1350=""),"",Sync!$V1350)</f>
        <v/>
      </c>
      <c r="P1354">
        <f>IF(OR($G1354="",Sync!$AD1350=""),"",Sync!$AD1350)</f>
        <v/>
      </c>
      <c r="Q1354">
        <f>IF($G1354="","",IF(Sync!$U1350="","0000",IF(AND(ISNUMBER(Sync!$U1350),Sync!$U1350&gt;=0,Sync!$U1350&lt;1),RIGHT("00"&amp;HOUR(Sync!$U1350),2)&amp;RIGHT("00"&amp;MINUTE(Sync!$U1350),2),IFERROR(RIGHT("00"&amp;VALUE(LEFT(Sync!$U1350,FIND(":",Sync!$U1350)-1)),2)&amp;RIGHT("00"&amp;VALUE(MID(Sync!$U1350,FIND(":",Sync!$U1350)+1,2)),2),"0000"))))</f>
        <v/>
      </c>
    </row>
    <row r="1355">
      <c r="A1355">
        <f>IF(Sync!$T1351="","",Sync!$T1351)</f>
        <v/>
      </c>
      <c r="B1355">
        <f>IF($A1355="","",IF(ISNUMBER($A1355),IF(AND($A1355&gt;=10000101,$A1355&lt;=99991231),INT($A1355/10000),""),IFERROR(VALUE(TRIM(LEFT($A1355,FIND("/",$A1355)-1))),"")))</f>
        <v/>
      </c>
      <c r="C1355">
        <f>IF(OR($A1355="",$B1355=""),"",IF(ISNUMBER($A1355),INT(MOD($A1355,10000)/100),IFERROR(VALUE(TRIM(LEFT(MID($A1355,FIND("/",$A1355)+1,20),FIND("/",MID($A1355,FIND("/",$A1355)+1,20))-1))),"")))</f>
        <v/>
      </c>
      <c r="D1355">
        <f>IF(OR($A1355="",$B1355=""),"",IF(ISNUMBER($A1355),MOD($A1355,100),IFERROR(VALUE(TRIM(MID(MID($A1355,FIND("/",$A1355)+1,20),FIND("/",MID($A1355,FIND("/",$A1355)+1,20))+1,20))),"")))</f>
        <v/>
      </c>
      <c r="E1355">
        <f>IF($A1355="","",IF(OR($B1355="",$C1355="",$D1355="",$B1355&lt;1300,$B1355&gt;1500,$C1355&lt;1,$C1355&gt;12,$D1355&lt;1,$D1355&gt;31),"نامعتبر",RIGHT("0000"&amp;$B1355,4)&amp;"/"&amp;RIGHT("00"&amp;$C1355,2)&amp;"/"&amp;RIGHT("00"&amp;$D1355,2)))</f>
        <v/>
      </c>
      <c r="F1355">
        <f>IF(OR($E1355="",$E1355="نامعتبر"),"",LEFT($E1355,4)&amp;"/"&amp;MID($E1355,6,2))</f>
        <v/>
      </c>
      <c r="G1355">
        <f>IF(OR($E1355="",$E1355="نامعتبر",Sync!$X1351=""),"",IF(AND(LEFT(UPPER(TRIM(Sync!$X1351)),2)="SL",IFERROR(VLOOKUP(Sync!$W1351,OpTbl,3,0),"")="فروش"),UPPER(TRIM(Sync!$X1351)),""))</f>
        <v/>
      </c>
      <c r="H1355">
        <f>IF($G1355="","",IF(Sync!$W1351="","",Sync!$W1351))</f>
        <v/>
      </c>
      <c r="I1355">
        <f>IF(OR($G1355="",Sync!$Y1351=""),"",Sync!$Y1351)</f>
        <v/>
      </c>
      <c r="J1355">
        <f>IF(OR($G1355="",Sync!$Z1351=""),"",Sync!$Z1351)</f>
        <v/>
      </c>
      <c r="K1355">
        <f>IF($G1355="",0,IF(Sync!$AA1351="",0,Sync!$AA1351))</f>
        <v/>
      </c>
      <c r="L1355">
        <f>IF($G1355="",0,IF(Sync!$AB1351="",0,Sync!$AB1351))</f>
        <v/>
      </c>
      <c r="M1355">
        <f>IF($G1355="","",IF($H1355="مرجوعی فروش",-1,1)*($K1355-$L1355*IFERROR(VLOOKUP("P01",ParamTbl,3,0),1.5)))</f>
        <v/>
      </c>
      <c r="N1355">
        <f>IF($G1355="",0,IF($H1355="مرجوعی فروش",-1,1)*IF(Sync!$AC1351="",0,Sync!$AC1351))</f>
        <v/>
      </c>
      <c r="O1355">
        <f>IF(OR($G1355="",Sync!$V1351=""),"",Sync!$V1351)</f>
        <v/>
      </c>
      <c r="P1355">
        <f>IF(OR($G1355="",Sync!$AD1351=""),"",Sync!$AD1351)</f>
        <v/>
      </c>
      <c r="Q1355">
        <f>IF($G1355="","",IF(Sync!$U1351="","0000",IF(AND(ISNUMBER(Sync!$U1351),Sync!$U1351&gt;=0,Sync!$U1351&lt;1),RIGHT("00"&amp;HOUR(Sync!$U1351),2)&amp;RIGHT("00"&amp;MINUTE(Sync!$U1351),2),IFERROR(RIGHT("00"&amp;VALUE(LEFT(Sync!$U1351,FIND(":",Sync!$U1351)-1)),2)&amp;RIGHT("00"&amp;VALUE(MID(Sync!$U1351,FIND(":",Sync!$U1351)+1,2)),2),"0000"))))</f>
        <v/>
      </c>
    </row>
    <row r="1356">
      <c r="A1356">
        <f>IF(Sync!$T1352="","",Sync!$T1352)</f>
        <v/>
      </c>
      <c r="B1356">
        <f>IF($A1356="","",IF(ISNUMBER($A1356),IF(AND($A1356&gt;=10000101,$A1356&lt;=99991231),INT($A1356/10000),""),IFERROR(VALUE(TRIM(LEFT($A1356,FIND("/",$A1356)-1))),"")))</f>
        <v/>
      </c>
      <c r="C1356">
        <f>IF(OR($A1356="",$B1356=""),"",IF(ISNUMBER($A1356),INT(MOD($A1356,10000)/100),IFERROR(VALUE(TRIM(LEFT(MID($A1356,FIND("/",$A1356)+1,20),FIND("/",MID($A1356,FIND("/",$A1356)+1,20))-1))),"")))</f>
        <v/>
      </c>
      <c r="D1356">
        <f>IF(OR($A1356="",$B1356=""),"",IF(ISNUMBER($A1356),MOD($A1356,100),IFERROR(VALUE(TRIM(MID(MID($A1356,FIND("/",$A1356)+1,20),FIND("/",MID($A1356,FIND("/",$A1356)+1,20))+1,20))),"")))</f>
        <v/>
      </c>
      <c r="E1356">
        <f>IF($A1356="","",IF(OR($B1356="",$C1356="",$D1356="",$B1356&lt;1300,$B1356&gt;1500,$C1356&lt;1,$C1356&gt;12,$D1356&lt;1,$D1356&gt;31),"نامعتبر",RIGHT("0000"&amp;$B1356,4)&amp;"/"&amp;RIGHT("00"&amp;$C1356,2)&amp;"/"&amp;RIGHT("00"&amp;$D1356,2)))</f>
        <v/>
      </c>
      <c r="F1356">
        <f>IF(OR($E1356="",$E1356="نامعتبر"),"",LEFT($E1356,4)&amp;"/"&amp;MID($E1356,6,2))</f>
        <v/>
      </c>
      <c r="G1356">
        <f>IF(OR($E1356="",$E1356="نامعتبر",Sync!$X1352=""),"",IF(AND(LEFT(UPPER(TRIM(Sync!$X1352)),2)="SL",IFERROR(VLOOKUP(Sync!$W1352,OpTbl,3,0),"")="فروش"),UPPER(TRIM(Sync!$X1352)),""))</f>
        <v/>
      </c>
      <c r="H1356">
        <f>IF($G1356="","",IF(Sync!$W1352="","",Sync!$W1352))</f>
        <v/>
      </c>
      <c r="I1356">
        <f>IF(OR($G1356="",Sync!$Y1352=""),"",Sync!$Y1352)</f>
        <v/>
      </c>
      <c r="J1356">
        <f>IF(OR($G1356="",Sync!$Z1352=""),"",Sync!$Z1352)</f>
        <v/>
      </c>
      <c r="K1356">
        <f>IF($G1356="",0,IF(Sync!$AA1352="",0,Sync!$AA1352))</f>
        <v/>
      </c>
      <c r="L1356">
        <f>IF($G1356="",0,IF(Sync!$AB1352="",0,Sync!$AB1352))</f>
        <v/>
      </c>
      <c r="M1356">
        <f>IF($G1356="","",IF($H1356="مرجوعی فروش",-1,1)*($K1356-$L1356*IFERROR(VLOOKUP("P01",ParamTbl,3,0),1.5)))</f>
        <v/>
      </c>
      <c r="N1356">
        <f>IF($G1356="",0,IF($H1356="مرجوعی فروش",-1,1)*IF(Sync!$AC1352="",0,Sync!$AC1352))</f>
        <v/>
      </c>
      <c r="O1356">
        <f>IF(OR($G1356="",Sync!$V1352=""),"",Sync!$V1352)</f>
        <v/>
      </c>
      <c r="P1356">
        <f>IF(OR($G1356="",Sync!$AD1352=""),"",Sync!$AD1352)</f>
        <v/>
      </c>
      <c r="Q1356">
        <f>IF($G1356="","",IF(Sync!$U1352="","0000",IF(AND(ISNUMBER(Sync!$U1352),Sync!$U1352&gt;=0,Sync!$U1352&lt;1),RIGHT("00"&amp;HOUR(Sync!$U1352),2)&amp;RIGHT("00"&amp;MINUTE(Sync!$U1352),2),IFERROR(RIGHT("00"&amp;VALUE(LEFT(Sync!$U1352,FIND(":",Sync!$U1352)-1)),2)&amp;RIGHT("00"&amp;VALUE(MID(Sync!$U1352,FIND(":",Sync!$U1352)+1,2)),2),"0000"))))</f>
        <v/>
      </c>
    </row>
    <row r="1357">
      <c r="A1357">
        <f>IF(Sync!$T1353="","",Sync!$T1353)</f>
        <v/>
      </c>
      <c r="B1357">
        <f>IF($A1357="","",IF(ISNUMBER($A1357),IF(AND($A1357&gt;=10000101,$A1357&lt;=99991231),INT($A1357/10000),""),IFERROR(VALUE(TRIM(LEFT($A1357,FIND("/",$A1357)-1))),"")))</f>
        <v/>
      </c>
      <c r="C1357">
        <f>IF(OR($A1357="",$B1357=""),"",IF(ISNUMBER($A1357),INT(MOD($A1357,10000)/100),IFERROR(VALUE(TRIM(LEFT(MID($A1357,FIND("/",$A1357)+1,20),FIND("/",MID($A1357,FIND("/",$A1357)+1,20))-1))),"")))</f>
        <v/>
      </c>
      <c r="D1357">
        <f>IF(OR($A1357="",$B1357=""),"",IF(ISNUMBER($A1357),MOD($A1357,100),IFERROR(VALUE(TRIM(MID(MID($A1357,FIND("/",$A1357)+1,20),FIND("/",MID($A1357,FIND("/",$A1357)+1,20))+1,20))),"")))</f>
        <v/>
      </c>
      <c r="E1357">
        <f>IF($A1357="","",IF(OR($B1357="",$C1357="",$D1357="",$B1357&lt;1300,$B1357&gt;1500,$C1357&lt;1,$C1357&gt;12,$D1357&lt;1,$D1357&gt;31),"نامعتبر",RIGHT("0000"&amp;$B1357,4)&amp;"/"&amp;RIGHT("00"&amp;$C1357,2)&amp;"/"&amp;RIGHT("00"&amp;$D1357,2)))</f>
        <v/>
      </c>
      <c r="F1357">
        <f>IF(OR($E1357="",$E1357="نامعتبر"),"",LEFT($E1357,4)&amp;"/"&amp;MID($E1357,6,2))</f>
        <v/>
      </c>
      <c r="G1357">
        <f>IF(OR($E1357="",$E1357="نامعتبر",Sync!$X1353=""),"",IF(AND(LEFT(UPPER(TRIM(Sync!$X1353)),2)="SL",IFERROR(VLOOKUP(Sync!$W1353,OpTbl,3,0),"")="فروش"),UPPER(TRIM(Sync!$X1353)),""))</f>
        <v/>
      </c>
      <c r="H1357">
        <f>IF($G1357="","",IF(Sync!$W1353="","",Sync!$W1353))</f>
        <v/>
      </c>
      <c r="I1357">
        <f>IF(OR($G1357="",Sync!$Y1353=""),"",Sync!$Y1353)</f>
        <v/>
      </c>
      <c r="J1357">
        <f>IF(OR($G1357="",Sync!$Z1353=""),"",Sync!$Z1353)</f>
        <v/>
      </c>
      <c r="K1357">
        <f>IF($G1357="",0,IF(Sync!$AA1353="",0,Sync!$AA1353))</f>
        <v/>
      </c>
      <c r="L1357">
        <f>IF($G1357="",0,IF(Sync!$AB1353="",0,Sync!$AB1353))</f>
        <v/>
      </c>
      <c r="M1357">
        <f>IF($G1357="","",IF($H1357="مرجوعی فروش",-1,1)*($K1357-$L1357*IFERROR(VLOOKUP("P01",ParamTbl,3,0),1.5)))</f>
        <v/>
      </c>
      <c r="N1357">
        <f>IF($G1357="",0,IF($H1357="مرجوعی فروش",-1,1)*IF(Sync!$AC1353="",0,Sync!$AC1353))</f>
        <v/>
      </c>
      <c r="O1357">
        <f>IF(OR($G1357="",Sync!$V1353=""),"",Sync!$V1353)</f>
        <v/>
      </c>
      <c r="P1357">
        <f>IF(OR($G1357="",Sync!$AD1353=""),"",Sync!$AD1353)</f>
        <v/>
      </c>
      <c r="Q1357">
        <f>IF($G1357="","",IF(Sync!$U1353="","0000",IF(AND(ISNUMBER(Sync!$U1353),Sync!$U1353&gt;=0,Sync!$U1353&lt;1),RIGHT("00"&amp;HOUR(Sync!$U1353),2)&amp;RIGHT("00"&amp;MINUTE(Sync!$U1353),2),IFERROR(RIGHT("00"&amp;VALUE(LEFT(Sync!$U1353,FIND(":",Sync!$U1353)-1)),2)&amp;RIGHT("00"&amp;VALUE(MID(Sync!$U1353,FIND(":",Sync!$U1353)+1,2)),2),"0000"))))</f>
        <v/>
      </c>
    </row>
    <row r="1358">
      <c r="A1358">
        <f>IF(Sync!$T1354="","",Sync!$T1354)</f>
        <v/>
      </c>
      <c r="B1358">
        <f>IF($A1358="","",IF(ISNUMBER($A1358),IF(AND($A1358&gt;=10000101,$A1358&lt;=99991231),INT($A1358/10000),""),IFERROR(VALUE(TRIM(LEFT($A1358,FIND("/",$A1358)-1))),"")))</f>
        <v/>
      </c>
      <c r="C1358">
        <f>IF(OR($A1358="",$B1358=""),"",IF(ISNUMBER($A1358),INT(MOD($A1358,10000)/100),IFERROR(VALUE(TRIM(LEFT(MID($A1358,FIND("/",$A1358)+1,20),FIND("/",MID($A1358,FIND("/",$A1358)+1,20))-1))),"")))</f>
        <v/>
      </c>
      <c r="D1358">
        <f>IF(OR($A1358="",$B1358=""),"",IF(ISNUMBER($A1358),MOD($A1358,100),IFERROR(VALUE(TRIM(MID(MID($A1358,FIND("/",$A1358)+1,20),FIND("/",MID($A1358,FIND("/",$A1358)+1,20))+1,20))),"")))</f>
        <v/>
      </c>
      <c r="E1358">
        <f>IF($A1358="","",IF(OR($B1358="",$C1358="",$D1358="",$B1358&lt;1300,$B1358&gt;1500,$C1358&lt;1,$C1358&gt;12,$D1358&lt;1,$D1358&gt;31),"نامعتبر",RIGHT("0000"&amp;$B1358,4)&amp;"/"&amp;RIGHT("00"&amp;$C1358,2)&amp;"/"&amp;RIGHT("00"&amp;$D1358,2)))</f>
        <v/>
      </c>
      <c r="F1358">
        <f>IF(OR($E1358="",$E1358="نامعتبر"),"",LEFT($E1358,4)&amp;"/"&amp;MID($E1358,6,2))</f>
        <v/>
      </c>
      <c r="G1358">
        <f>IF(OR($E1358="",$E1358="نامعتبر",Sync!$X1354=""),"",IF(AND(LEFT(UPPER(TRIM(Sync!$X1354)),2)="SL",IFERROR(VLOOKUP(Sync!$W1354,OpTbl,3,0),"")="فروش"),UPPER(TRIM(Sync!$X1354)),""))</f>
        <v/>
      </c>
      <c r="H1358">
        <f>IF($G1358="","",IF(Sync!$W1354="","",Sync!$W1354))</f>
        <v/>
      </c>
      <c r="I1358">
        <f>IF(OR($G1358="",Sync!$Y1354=""),"",Sync!$Y1354)</f>
        <v/>
      </c>
      <c r="J1358">
        <f>IF(OR($G1358="",Sync!$Z1354=""),"",Sync!$Z1354)</f>
        <v/>
      </c>
      <c r="K1358">
        <f>IF($G1358="",0,IF(Sync!$AA1354="",0,Sync!$AA1354))</f>
        <v/>
      </c>
      <c r="L1358">
        <f>IF($G1358="",0,IF(Sync!$AB1354="",0,Sync!$AB1354))</f>
        <v/>
      </c>
      <c r="M1358">
        <f>IF($G1358="","",IF($H1358="مرجوعی فروش",-1,1)*($K1358-$L1358*IFERROR(VLOOKUP("P01",ParamTbl,3,0),1.5)))</f>
        <v/>
      </c>
      <c r="N1358">
        <f>IF($G1358="",0,IF($H1358="مرجوعی فروش",-1,1)*IF(Sync!$AC1354="",0,Sync!$AC1354))</f>
        <v/>
      </c>
      <c r="O1358">
        <f>IF(OR($G1358="",Sync!$V1354=""),"",Sync!$V1354)</f>
        <v/>
      </c>
      <c r="P1358">
        <f>IF(OR($G1358="",Sync!$AD1354=""),"",Sync!$AD1354)</f>
        <v/>
      </c>
      <c r="Q1358">
        <f>IF($G1358="","",IF(Sync!$U1354="","0000",IF(AND(ISNUMBER(Sync!$U1354),Sync!$U1354&gt;=0,Sync!$U1354&lt;1),RIGHT("00"&amp;HOUR(Sync!$U1354),2)&amp;RIGHT("00"&amp;MINUTE(Sync!$U1354),2),IFERROR(RIGHT("00"&amp;VALUE(LEFT(Sync!$U1354,FIND(":",Sync!$U1354)-1)),2)&amp;RIGHT("00"&amp;VALUE(MID(Sync!$U1354,FIND(":",Sync!$U1354)+1,2)),2),"0000"))))</f>
        <v/>
      </c>
    </row>
    <row r="1359">
      <c r="A1359">
        <f>IF(Sync!$T1355="","",Sync!$T1355)</f>
        <v/>
      </c>
      <c r="B1359">
        <f>IF($A1359="","",IF(ISNUMBER($A1359),IF(AND($A1359&gt;=10000101,$A1359&lt;=99991231),INT($A1359/10000),""),IFERROR(VALUE(TRIM(LEFT($A1359,FIND("/",$A1359)-1))),"")))</f>
        <v/>
      </c>
      <c r="C1359">
        <f>IF(OR($A1359="",$B1359=""),"",IF(ISNUMBER($A1359),INT(MOD($A1359,10000)/100),IFERROR(VALUE(TRIM(LEFT(MID($A1359,FIND("/",$A1359)+1,20),FIND("/",MID($A1359,FIND("/",$A1359)+1,20))-1))),"")))</f>
        <v/>
      </c>
      <c r="D1359">
        <f>IF(OR($A1359="",$B1359=""),"",IF(ISNUMBER($A1359),MOD($A1359,100),IFERROR(VALUE(TRIM(MID(MID($A1359,FIND("/",$A1359)+1,20),FIND("/",MID($A1359,FIND("/",$A1359)+1,20))+1,20))),"")))</f>
        <v/>
      </c>
      <c r="E1359">
        <f>IF($A1359="","",IF(OR($B1359="",$C1359="",$D1359="",$B1359&lt;1300,$B1359&gt;1500,$C1359&lt;1,$C1359&gt;12,$D1359&lt;1,$D1359&gt;31),"نامعتبر",RIGHT("0000"&amp;$B1359,4)&amp;"/"&amp;RIGHT("00"&amp;$C1359,2)&amp;"/"&amp;RIGHT("00"&amp;$D1359,2)))</f>
        <v/>
      </c>
      <c r="F1359">
        <f>IF(OR($E1359="",$E1359="نامعتبر"),"",LEFT($E1359,4)&amp;"/"&amp;MID($E1359,6,2))</f>
        <v/>
      </c>
      <c r="G1359">
        <f>IF(OR($E1359="",$E1359="نامعتبر",Sync!$X1355=""),"",IF(AND(LEFT(UPPER(TRIM(Sync!$X1355)),2)="SL",IFERROR(VLOOKUP(Sync!$W1355,OpTbl,3,0),"")="فروش"),UPPER(TRIM(Sync!$X1355)),""))</f>
        <v/>
      </c>
      <c r="H1359">
        <f>IF($G1359="","",IF(Sync!$W1355="","",Sync!$W1355))</f>
        <v/>
      </c>
      <c r="I1359">
        <f>IF(OR($G1359="",Sync!$Y1355=""),"",Sync!$Y1355)</f>
        <v/>
      </c>
      <c r="J1359">
        <f>IF(OR($G1359="",Sync!$Z1355=""),"",Sync!$Z1355)</f>
        <v/>
      </c>
      <c r="K1359">
        <f>IF($G1359="",0,IF(Sync!$AA1355="",0,Sync!$AA1355))</f>
        <v/>
      </c>
      <c r="L1359">
        <f>IF($G1359="",0,IF(Sync!$AB1355="",0,Sync!$AB1355))</f>
        <v/>
      </c>
      <c r="M1359">
        <f>IF($G1359="","",IF($H1359="مرجوعی فروش",-1,1)*($K1359-$L1359*IFERROR(VLOOKUP("P01",ParamTbl,3,0),1.5)))</f>
        <v/>
      </c>
      <c r="N1359">
        <f>IF($G1359="",0,IF($H1359="مرجوعی فروش",-1,1)*IF(Sync!$AC1355="",0,Sync!$AC1355))</f>
        <v/>
      </c>
      <c r="O1359">
        <f>IF(OR($G1359="",Sync!$V1355=""),"",Sync!$V1355)</f>
        <v/>
      </c>
      <c r="P1359">
        <f>IF(OR($G1359="",Sync!$AD1355=""),"",Sync!$AD1355)</f>
        <v/>
      </c>
      <c r="Q1359">
        <f>IF($G1359="","",IF(Sync!$U1355="","0000",IF(AND(ISNUMBER(Sync!$U1355),Sync!$U1355&gt;=0,Sync!$U1355&lt;1),RIGHT("00"&amp;HOUR(Sync!$U1355),2)&amp;RIGHT("00"&amp;MINUTE(Sync!$U1355),2),IFERROR(RIGHT("00"&amp;VALUE(LEFT(Sync!$U1355,FIND(":",Sync!$U1355)-1)),2)&amp;RIGHT("00"&amp;VALUE(MID(Sync!$U1355,FIND(":",Sync!$U1355)+1,2)),2),"0000"))))</f>
        <v/>
      </c>
    </row>
    <row r="1360">
      <c r="A1360">
        <f>IF(Sync!$T1356="","",Sync!$T1356)</f>
        <v/>
      </c>
      <c r="B1360">
        <f>IF($A1360="","",IF(ISNUMBER($A1360),IF(AND($A1360&gt;=10000101,$A1360&lt;=99991231),INT($A1360/10000),""),IFERROR(VALUE(TRIM(LEFT($A1360,FIND("/",$A1360)-1))),"")))</f>
        <v/>
      </c>
      <c r="C1360">
        <f>IF(OR($A1360="",$B1360=""),"",IF(ISNUMBER($A1360),INT(MOD($A1360,10000)/100),IFERROR(VALUE(TRIM(LEFT(MID($A1360,FIND("/",$A1360)+1,20),FIND("/",MID($A1360,FIND("/",$A1360)+1,20))-1))),"")))</f>
        <v/>
      </c>
      <c r="D1360">
        <f>IF(OR($A1360="",$B1360=""),"",IF(ISNUMBER($A1360),MOD($A1360,100),IFERROR(VALUE(TRIM(MID(MID($A1360,FIND("/",$A1360)+1,20),FIND("/",MID($A1360,FIND("/",$A1360)+1,20))+1,20))),"")))</f>
        <v/>
      </c>
      <c r="E1360">
        <f>IF($A1360="","",IF(OR($B1360="",$C1360="",$D1360="",$B1360&lt;1300,$B1360&gt;1500,$C1360&lt;1,$C1360&gt;12,$D1360&lt;1,$D1360&gt;31),"نامعتبر",RIGHT("0000"&amp;$B1360,4)&amp;"/"&amp;RIGHT("00"&amp;$C1360,2)&amp;"/"&amp;RIGHT("00"&amp;$D1360,2)))</f>
        <v/>
      </c>
      <c r="F1360">
        <f>IF(OR($E1360="",$E1360="نامعتبر"),"",LEFT($E1360,4)&amp;"/"&amp;MID($E1360,6,2))</f>
        <v/>
      </c>
      <c r="G1360">
        <f>IF(OR($E1360="",$E1360="نامعتبر",Sync!$X1356=""),"",IF(AND(LEFT(UPPER(TRIM(Sync!$X1356)),2)="SL",IFERROR(VLOOKUP(Sync!$W1356,OpTbl,3,0),"")="فروش"),UPPER(TRIM(Sync!$X1356)),""))</f>
        <v/>
      </c>
      <c r="H1360">
        <f>IF($G1360="","",IF(Sync!$W1356="","",Sync!$W1356))</f>
        <v/>
      </c>
      <c r="I1360">
        <f>IF(OR($G1360="",Sync!$Y1356=""),"",Sync!$Y1356)</f>
        <v/>
      </c>
      <c r="J1360">
        <f>IF(OR($G1360="",Sync!$Z1356=""),"",Sync!$Z1356)</f>
        <v/>
      </c>
      <c r="K1360">
        <f>IF($G1360="",0,IF(Sync!$AA1356="",0,Sync!$AA1356))</f>
        <v/>
      </c>
      <c r="L1360">
        <f>IF($G1360="",0,IF(Sync!$AB1356="",0,Sync!$AB1356))</f>
        <v/>
      </c>
      <c r="M1360">
        <f>IF($G1360="","",IF($H1360="مرجوعی فروش",-1,1)*($K1360-$L1360*IFERROR(VLOOKUP("P01",ParamTbl,3,0),1.5)))</f>
        <v/>
      </c>
      <c r="N1360">
        <f>IF($G1360="",0,IF($H1360="مرجوعی فروش",-1,1)*IF(Sync!$AC1356="",0,Sync!$AC1356))</f>
        <v/>
      </c>
      <c r="O1360">
        <f>IF(OR($G1360="",Sync!$V1356=""),"",Sync!$V1356)</f>
        <v/>
      </c>
      <c r="P1360">
        <f>IF(OR($G1360="",Sync!$AD1356=""),"",Sync!$AD1356)</f>
        <v/>
      </c>
      <c r="Q1360">
        <f>IF($G1360="","",IF(Sync!$U1356="","0000",IF(AND(ISNUMBER(Sync!$U1356),Sync!$U1356&gt;=0,Sync!$U1356&lt;1),RIGHT("00"&amp;HOUR(Sync!$U1356),2)&amp;RIGHT("00"&amp;MINUTE(Sync!$U1356),2),IFERROR(RIGHT("00"&amp;VALUE(LEFT(Sync!$U1356,FIND(":",Sync!$U1356)-1)),2)&amp;RIGHT("00"&amp;VALUE(MID(Sync!$U1356,FIND(":",Sync!$U1356)+1,2)),2),"0000"))))</f>
        <v/>
      </c>
    </row>
    <row r="1361">
      <c r="A1361">
        <f>IF(Sync!$T1357="","",Sync!$T1357)</f>
        <v/>
      </c>
      <c r="B1361">
        <f>IF($A1361="","",IF(ISNUMBER($A1361),IF(AND($A1361&gt;=10000101,$A1361&lt;=99991231),INT($A1361/10000),""),IFERROR(VALUE(TRIM(LEFT($A1361,FIND("/",$A1361)-1))),"")))</f>
        <v/>
      </c>
      <c r="C1361">
        <f>IF(OR($A1361="",$B1361=""),"",IF(ISNUMBER($A1361),INT(MOD($A1361,10000)/100),IFERROR(VALUE(TRIM(LEFT(MID($A1361,FIND("/",$A1361)+1,20),FIND("/",MID($A1361,FIND("/",$A1361)+1,20))-1))),"")))</f>
        <v/>
      </c>
      <c r="D1361">
        <f>IF(OR($A1361="",$B1361=""),"",IF(ISNUMBER($A1361),MOD($A1361,100),IFERROR(VALUE(TRIM(MID(MID($A1361,FIND("/",$A1361)+1,20),FIND("/",MID($A1361,FIND("/",$A1361)+1,20))+1,20))),"")))</f>
        <v/>
      </c>
      <c r="E1361">
        <f>IF($A1361="","",IF(OR($B1361="",$C1361="",$D1361="",$B1361&lt;1300,$B1361&gt;1500,$C1361&lt;1,$C1361&gt;12,$D1361&lt;1,$D1361&gt;31),"نامعتبر",RIGHT("0000"&amp;$B1361,4)&amp;"/"&amp;RIGHT("00"&amp;$C1361,2)&amp;"/"&amp;RIGHT("00"&amp;$D1361,2)))</f>
        <v/>
      </c>
      <c r="F1361">
        <f>IF(OR($E1361="",$E1361="نامعتبر"),"",LEFT($E1361,4)&amp;"/"&amp;MID($E1361,6,2))</f>
        <v/>
      </c>
      <c r="G1361">
        <f>IF(OR($E1361="",$E1361="نامعتبر",Sync!$X1357=""),"",IF(AND(LEFT(UPPER(TRIM(Sync!$X1357)),2)="SL",IFERROR(VLOOKUP(Sync!$W1357,OpTbl,3,0),"")="فروش"),UPPER(TRIM(Sync!$X1357)),""))</f>
        <v/>
      </c>
      <c r="H1361">
        <f>IF($G1361="","",IF(Sync!$W1357="","",Sync!$W1357))</f>
        <v/>
      </c>
      <c r="I1361">
        <f>IF(OR($G1361="",Sync!$Y1357=""),"",Sync!$Y1357)</f>
        <v/>
      </c>
      <c r="J1361">
        <f>IF(OR($G1361="",Sync!$Z1357=""),"",Sync!$Z1357)</f>
        <v/>
      </c>
      <c r="K1361">
        <f>IF($G1361="",0,IF(Sync!$AA1357="",0,Sync!$AA1357))</f>
        <v/>
      </c>
      <c r="L1361">
        <f>IF($G1361="",0,IF(Sync!$AB1357="",0,Sync!$AB1357))</f>
        <v/>
      </c>
      <c r="M1361">
        <f>IF($G1361="","",IF($H1361="مرجوعی فروش",-1,1)*($K1361-$L1361*IFERROR(VLOOKUP("P01",ParamTbl,3,0),1.5)))</f>
        <v/>
      </c>
      <c r="N1361">
        <f>IF($G1361="",0,IF($H1361="مرجوعی فروش",-1,1)*IF(Sync!$AC1357="",0,Sync!$AC1357))</f>
        <v/>
      </c>
      <c r="O1361">
        <f>IF(OR($G1361="",Sync!$V1357=""),"",Sync!$V1357)</f>
        <v/>
      </c>
      <c r="P1361">
        <f>IF(OR($G1361="",Sync!$AD1357=""),"",Sync!$AD1357)</f>
        <v/>
      </c>
      <c r="Q1361">
        <f>IF($G1361="","",IF(Sync!$U1357="","0000",IF(AND(ISNUMBER(Sync!$U1357),Sync!$U1357&gt;=0,Sync!$U1357&lt;1),RIGHT("00"&amp;HOUR(Sync!$U1357),2)&amp;RIGHT("00"&amp;MINUTE(Sync!$U1357),2),IFERROR(RIGHT("00"&amp;VALUE(LEFT(Sync!$U1357,FIND(":",Sync!$U1357)-1)),2)&amp;RIGHT("00"&amp;VALUE(MID(Sync!$U1357,FIND(":",Sync!$U1357)+1,2)),2),"0000"))))</f>
        <v/>
      </c>
    </row>
    <row r="1362">
      <c r="A1362">
        <f>IF(Sync!$T1358="","",Sync!$T1358)</f>
        <v/>
      </c>
      <c r="B1362">
        <f>IF($A1362="","",IF(ISNUMBER($A1362),IF(AND($A1362&gt;=10000101,$A1362&lt;=99991231),INT($A1362/10000),""),IFERROR(VALUE(TRIM(LEFT($A1362,FIND("/",$A1362)-1))),"")))</f>
        <v/>
      </c>
      <c r="C1362">
        <f>IF(OR($A1362="",$B1362=""),"",IF(ISNUMBER($A1362),INT(MOD($A1362,10000)/100),IFERROR(VALUE(TRIM(LEFT(MID($A1362,FIND("/",$A1362)+1,20),FIND("/",MID($A1362,FIND("/",$A1362)+1,20))-1))),"")))</f>
        <v/>
      </c>
      <c r="D1362">
        <f>IF(OR($A1362="",$B1362=""),"",IF(ISNUMBER($A1362),MOD($A1362,100),IFERROR(VALUE(TRIM(MID(MID($A1362,FIND("/",$A1362)+1,20),FIND("/",MID($A1362,FIND("/",$A1362)+1,20))+1,20))),"")))</f>
        <v/>
      </c>
      <c r="E1362">
        <f>IF($A1362="","",IF(OR($B1362="",$C1362="",$D1362="",$B1362&lt;1300,$B1362&gt;1500,$C1362&lt;1,$C1362&gt;12,$D1362&lt;1,$D1362&gt;31),"نامعتبر",RIGHT("0000"&amp;$B1362,4)&amp;"/"&amp;RIGHT("00"&amp;$C1362,2)&amp;"/"&amp;RIGHT("00"&amp;$D1362,2)))</f>
        <v/>
      </c>
      <c r="F1362">
        <f>IF(OR($E1362="",$E1362="نامعتبر"),"",LEFT($E1362,4)&amp;"/"&amp;MID($E1362,6,2))</f>
        <v/>
      </c>
      <c r="G1362">
        <f>IF(OR($E1362="",$E1362="نامعتبر",Sync!$X1358=""),"",IF(AND(LEFT(UPPER(TRIM(Sync!$X1358)),2)="SL",IFERROR(VLOOKUP(Sync!$W1358,OpTbl,3,0),"")="فروش"),UPPER(TRIM(Sync!$X1358)),""))</f>
        <v/>
      </c>
      <c r="H1362">
        <f>IF($G1362="","",IF(Sync!$W1358="","",Sync!$W1358))</f>
        <v/>
      </c>
      <c r="I1362">
        <f>IF(OR($G1362="",Sync!$Y1358=""),"",Sync!$Y1358)</f>
        <v/>
      </c>
      <c r="J1362">
        <f>IF(OR($G1362="",Sync!$Z1358=""),"",Sync!$Z1358)</f>
        <v/>
      </c>
      <c r="K1362">
        <f>IF($G1362="",0,IF(Sync!$AA1358="",0,Sync!$AA1358))</f>
        <v/>
      </c>
      <c r="L1362">
        <f>IF($G1362="",0,IF(Sync!$AB1358="",0,Sync!$AB1358))</f>
        <v/>
      </c>
      <c r="M1362">
        <f>IF($G1362="","",IF($H1362="مرجوعی فروش",-1,1)*($K1362-$L1362*IFERROR(VLOOKUP("P01",ParamTbl,3,0),1.5)))</f>
        <v/>
      </c>
      <c r="N1362">
        <f>IF($G1362="",0,IF($H1362="مرجوعی فروش",-1,1)*IF(Sync!$AC1358="",0,Sync!$AC1358))</f>
        <v/>
      </c>
      <c r="O1362">
        <f>IF(OR($G1362="",Sync!$V1358=""),"",Sync!$V1358)</f>
        <v/>
      </c>
      <c r="P1362">
        <f>IF(OR($G1362="",Sync!$AD1358=""),"",Sync!$AD1358)</f>
        <v/>
      </c>
      <c r="Q1362">
        <f>IF($G1362="","",IF(Sync!$U1358="","0000",IF(AND(ISNUMBER(Sync!$U1358),Sync!$U1358&gt;=0,Sync!$U1358&lt;1),RIGHT("00"&amp;HOUR(Sync!$U1358),2)&amp;RIGHT("00"&amp;MINUTE(Sync!$U1358),2),IFERROR(RIGHT("00"&amp;VALUE(LEFT(Sync!$U1358,FIND(":",Sync!$U1358)-1)),2)&amp;RIGHT("00"&amp;VALUE(MID(Sync!$U1358,FIND(":",Sync!$U1358)+1,2)),2),"0000"))))</f>
        <v/>
      </c>
    </row>
    <row r="1363">
      <c r="A1363">
        <f>IF(Sync!$T1359="","",Sync!$T1359)</f>
        <v/>
      </c>
      <c r="B1363">
        <f>IF($A1363="","",IF(ISNUMBER($A1363),IF(AND($A1363&gt;=10000101,$A1363&lt;=99991231),INT($A1363/10000),""),IFERROR(VALUE(TRIM(LEFT($A1363,FIND("/",$A1363)-1))),"")))</f>
        <v/>
      </c>
      <c r="C1363">
        <f>IF(OR($A1363="",$B1363=""),"",IF(ISNUMBER($A1363),INT(MOD($A1363,10000)/100),IFERROR(VALUE(TRIM(LEFT(MID($A1363,FIND("/",$A1363)+1,20),FIND("/",MID($A1363,FIND("/",$A1363)+1,20))-1))),"")))</f>
        <v/>
      </c>
      <c r="D1363">
        <f>IF(OR($A1363="",$B1363=""),"",IF(ISNUMBER($A1363),MOD($A1363,100),IFERROR(VALUE(TRIM(MID(MID($A1363,FIND("/",$A1363)+1,20),FIND("/",MID($A1363,FIND("/",$A1363)+1,20))+1,20))),"")))</f>
        <v/>
      </c>
      <c r="E1363">
        <f>IF($A1363="","",IF(OR($B1363="",$C1363="",$D1363="",$B1363&lt;1300,$B1363&gt;1500,$C1363&lt;1,$C1363&gt;12,$D1363&lt;1,$D1363&gt;31),"نامعتبر",RIGHT("0000"&amp;$B1363,4)&amp;"/"&amp;RIGHT("00"&amp;$C1363,2)&amp;"/"&amp;RIGHT("00"&amp;$D1363,2)))</f>
        <v/>
      </c>
      <c r="F1363">
        <f>IF(OR($E1363="",$E1363="نامعتبر"),"",LEFT($E1363,4)&amp;"/"&amp;MID($E1363,6,2))</f>
        <v/>
      </c>
      <c r="G1363">
        <f>IF(OR($E1363="",$E1363="نامعتبر",Sync!$X1359=""),"",IF(AND(LEFT(UPPER(TRIM(Sync!$X1359)),2)="SL",IFERROR(VLOOKUP(Sync!$W1359,OpTbl,3,0),"")="فروش"),UPPER(TRIM(Sync!$X1359)),""))</f>
        <v/>
      </c>
      <c r="H1363">
        <f>IF($G1363="","",IF(Sync!$W1359="","",Sync!$W1359))</f>
        <v/>
      </c>
      <c r="I1363">
        <f>IF(OR($G1363="",Sync!$Y1359=""),"",Sync!$Y1359)</f>
        <v/>
      </c>
      <c r="J1363">
        <f>IF(OR($G1363="",Sync!$Z1359=""),"",Sync!$Z1359)</f>
        <v/>
      </c>
      <c r="K1363">
        <f>IF($G1363="",0,IF(Sync!$AA1359="",0,Sync!$AA1359))</f>
        <v/>
      </c>
      <c r="L1363">
        <f>IF($G1363="",0,IF(Sync!$AB1359="",0,Sync!$AB1359))</f>
        <v/>
      </c>
      <c r="M1363">
        <f>IF($G1363="","",IF($H1363="مرجوعی فروش",-1,1)*($K1363-$L1363*IFERROR(VLOOKUP("P01",ParamTbl,3,0),1.5)))</f>
        <v/>
      </c>
      <c r="N1363">
        <f>IF($G1363="",0,IF($H1363="مرجوعی فروش",-1,1)*IF(Sync!$AC1359="",0,Sync!$AC1359))</f>
        <v/>
      </c>
      <c r="O1363">
        <f>IF(OR($G1363="",Sync!$V1359=""),"",Sync!$V1359)</f>
        <v/>
      </c>
      <c r="P1363">
        <f>IF(OR($G1363="",Sync!$AD1359=""),"",Sync!$AD1359)</f>
        <v/>
      </c>
      <c r="Q1363">
        <f>IF($G1363="","",IF(Sync!$U1359="","0000",IF(AND(ISNUMBER(Sync!$U1359),Sync!$U1359&gt;=0,Sync!$U1359&lt;1),RIGHT("00"&amp;HOUR(Sync!$U1359),2)&amp;RIGHT("00"&amp;MINUTE(Sync!$U1359),2),IFERROR(RIGHT("00"&amp;VALUE(LEFT(Sync!$U1359,FIND(":",Sync!$U1359)-1)),2)&amp;RIGHT("00"&amp;VALUE(MID(Sync!$U1359,FIND(":",Sync!$U1359)+1,2)),2),"0000"))))</f>
        <v/>
      </c>
    </row>
    <row r="1364">
      <c r="A1364">
        <f>IF(Sync!$T1360="","",Sync!$T1360)</f>
        <v/>
      </c>
      <c r="B1364">
        <f>IF($A1364="","",IF(ISNUMBER($A1364),IF(AND($A1364&gt;=10000101,$A1364&lt;=99991231),INT($A1364/10000),""),IFERROR(VALUE(TRIM(LEFT($A1364,FIND("/",$A1364)-1))),"")))</f>
        <v/>
      </c>
      <c r="C1364">
        <f>IF(OR($A1364="",$B1364=""),"",IF(ISNUMBER($A1364),INT(MOD($A1364,10000)/100),IFERROR(VALUE(TRIM(LEFT(MID($A1364,FIND("/",$A1364)+1,20),FIND("/",MID($A1364,FIND("/",$A1364)+1,20))-1))),"")))</f>
        <v/>
      </c>
      <c r="D1364">
        <f>IF(OR($A1364="",$B1364=""),"",IF(ISNUMBER($A1364),MOD($A1364,100),IFERROR(VALUE(TRIM(MID(MID($A1364,FIND("/",$A1364)+1,20),FIND("/",MID($A1364,FIND("/",$A1364)+1,20))+1,20))),"")))</f>
        <v/>
      </c>
      <c r="E1364">
        <f>IF($A1364="","",IF(OR($B1364="",$C1364="",$D1364="",$B1364&lt;1300,$B1364&gt;1500,$C1364&lt;1,$C1364&gt;12,$D1364&lt;1,$D1364&gt;31),"نامعتبر",RIGHT("0000"&amp;$B1364,4)&amp;"/"&amp;RIGHT("00"&amp;$C1364,2)&amp;"/"&amp;RIGHT("00"&amp;$D1364,2)))</f>
        <v/>
      </c>
      <c r="F1364">
        <f>IF(OR($E1364="",$E1364="نامعتبر"),"",LEFT($E1364,4)&amp;"/"&amp;MID($E1364,6,2))</f>
        <v/>
      </c>
      <c r="G1364">
        <f>IF(OR($E1364="",$E1364="نامعتبر",Sync!$X1360=""),"",IF(AND(LEFT(UPPER(TRIM(Sync!$X1360)),2)="SL",IFERROR(VLOOKUP(Sync!$W1360,OpTbl,3,0),"")="فروش"),UPPER(TRIM(Sync!$X1360)),""))</f>
        <v/>
      </c>
      <c r="H1364">
        <f>IF($G1364="","",IF(Sync!$W1360="","",Sync!$W1360))</f>
        <v/>
      </c>
      <c r="I1364">
        <f>IF(OR($G1364="",Sync!$Y1360=""),"",Sync!$Y1360)</f>
        <v/>
      </c>
      <c r="J1364">
        <f>IF(OR($G1364="",Sync!$Z1360=""),"",Sync!$Z1360)</f>
        <v/>
      </c>
      <c r="K1364">
        <f>IF($G1364="",0,IF(Sync!$AA1360="",0,Sync!$AA1360))</f>
        <v/>
      </c>
      <c r="L1364">
        <f>IF($G1364="",0,IF(Sync!$AB1360="",0,Sync!$AB1360))</f>
        <v/>
      </c>
      <c r="M1364">
        <f>IF($G1364="","",IF($H1364="مرجوعی فروش",-1,1)*($K1364-$L1364*IFERROR(VLOOKUP("P01",ParamTbl,3,0),1.5)))</f>
        <v/>
      </c>
      <c r="N1364">
        <f>IF($G1364="",0,IF($H1364="مرجوعی فروش",-1,1)*IF(Sync!$AC1360="",0,Sync!$AC1360))</f>
        <v/>
      </c>
      <c r="O1364">
        <f>IF(OR($G1364="",Sync!$V1360=""),"",Sync!$V1360)</f>
        <v/>
      </c>
      <c r="P1364">
        <f>IF(OR($G1364="",Sync!$AD1360=""),"",Sync!$AD1360)</f>
        <v/>
      </c>
      <c r="Q1364">
        <f>IF($G1364="","",IF(Sync!$U1360="","0000",IF(AND(ISNUMBER(Sync!$U1360),Sync!$U1360&gt;=0,Sync!$U1360&lt;1),RIGHT("00"&amp;HOUR(Sync!$U1360),2)&amp;RIGHT("00"&amp;MINUTE(Sync!$U1360),2),IFERROR(RIGHT("00"&amp;VALUE(LEFT(Sync!$U1360,FIND(":",Sync!$U1360)-1)),2)&amp;RIGHT("00"&amp;VALUE(MID(Sync!$U1360,FIND(":",Sync!$U1360)+1,2)),2),"0000"))))</f>
        <v/>
      </c>
    </row>
    <row r="1365">
      <c r="A1365">
        <f>IF(Sync!$T1361="","",Sync!$T1361)</f>
        <v/>
      </c>
      <c r="B1365">
        <f>IF($A1365="","",IF(ISNUMBER($A1365),IF(AND($A1365&gt;=10000101,$A1365&lt;=99991231),INT($A1365/10000),""),IFERROR(VALUE(TRIM(LEFT($A1365,FIND("/",$A1365)-1))),"")))</f>
        <v/>
      </c>
      <c r="C1365">
        <f>IF(OR($A1365="",$B1365=""),"",IF(ISNUMBER($A1365),INT(MOD($A1365,10000)/100),IFERROR(VALUE(TRIM(LEFT(MID($A1365,FIND("/",$A1365)+1,20),FIND("/",MID($A1365,FIND("/",$A1365)+1,20))-1))),"")))</f>
        <v/>
      </c>
      <c r="D1365">
        <f>IF(OR($A1365="",$B1365=""),"",IF(ISNUMBER($A1365),MOD($A1365,100),IFERROR(VALUE(TRIM(MID(MID($A1365,FIND("/",$A1365)+1,20),FIND("/",MID($A1365,FIND("/",$A1365)+1,20))+1,20))),"")))</f>
        <v/>
      </c>
      <c r="E1365">
        <f>IF($A1365="","",IF(OR($B1365="",$C1365="",$D1365="",$B1365&lt;1300,$B1365&gt;1500,$C1365&lt;1,$C1365&gt;12,$D1365&lt;1,$D1365&gt;31),"نامعتبر",RIGHT("0000"&amp;$B1365,4)&amp;"/"&amp;RIGHT("00"&amp;$C1365,2)&amp;"/"&amp;RIGHT("00"&amp;$D1365,2)))</f>
        <v/>
      </c>
      <c r="F1365">
        <f>IF(OR($E1365="",$E1365="نامعتبر"),"",LEFT($E1365,4)&amp;"/"&amp;MID($E1365,6,2))</f>
        <v/>
      </c>
      <c r="G1365">
        <f>IF(OR($E1365="",$E1365="نامعتبر",Sync!$X1361=""),"",IF(AND(LEFT(UPPER(TRIM(Sync!$X1361)),2)="SL",IFERROR(VLOOKUP(Sync!$W1361,OpTbl,3,0),"")="فروش"),UPPER(TRIM(Sync!$X1361)),""))</f>
        <v/>
      </c>
      <c r="H1365">
        <f>IF($G1365="","",IF(Sync!$W1361="","",Sync!$W1361))</f>
        <v/>
      </c>
      <c r="I1365">
        <f>IF(OR($G1365="",Sync!$Y1361=""),"",Sync!$Y1361)</f>
        <v/>
      </c>
      <c r="J1365">
        <f>IF(OR($G1365="",Sync!$Z1361=""),"",Sync!$Z1361)</f>
        <v/>
      </c>
      <c r="K1365">
        <f>IF($G1365="",0,IF(Sync!$AA1361="",0,Sync!$AA1361))</f>
        <v/>
      </c>
      <c r="L1365">
        <f>IF($G1365="",0,IF(Sync!$AB1361="",0,Sync!$AB1361))</f>
        <v/>
      </c>
      <c r="M1365">
        <f>IF($G1365="","",IF($H1365="مرجوعی فروش",-1,1)*($K1365-$L1365*IFERROR(VLOOKUP("P01",ParamTbl,3,0),1.5)))</f>
        <v/>
      </c>
      <c r="N1365">
        <f>IF($G1365="",0,IF($H1365="مرجوعی فروش",-1,1)*IF(Sync!$AC1361="",0,Sync!$AC1361))</f>
        <v/>
      </c>
      <c r="O1365">
        <f>IF(OR($G1365="",Sync!$V1361=""),"",Sync!$V1361)</f>
        <v/>
      </c>
      <c r="P1365">
        <f>IF(OR($G1365="",Sync!$AD1361=""),"",Sync!$AD1361)</f>
        <v/>
      </c>
      <c r="Q1365">
        <f>IF($G1365="","",IF(Sync!$U1361="","0000",IF(AND(ISNUMBER(Sync!$U1361),Sync!$U1361&gt;=0,Sync!$U1361&lt;1),RIGHT("00"&amp;HOUR(Sync!$U1361),2)&amp;RIGHT("00"&amp;MINUTE(Sync!$U1361),2),IFERROR(RIGHT("00"&amp;VALUE(LEFT(Sync!$U1361,FIND(":",Sync!$U1361)-1)),2)&amp;RIGHT("00"&amp;VALUE(MID(Sync!$U1361,FIND(":",Sync!$U1361)+1,2)),2),"0000"))))</f>
        <v/>
      </c>
    </row>
    <row r="1366">
      <c r="A1366">
        <f>IF(Sync!$T1362="","",Sync!$T1362)</f>
        <v/>
      </c>
      <c r="B1366">
        <f>IF($A1366="","",IF(ISNUMBER($A1366),IF(AND($A1366&gt;=10000101,$A1366&lt;=99991231),INT($A1366/10000),""),IFERROR(VALUE(TRIM(LEFT($A1366,FIND("/",$A1366)-1))),"")))</f>
        <v/>
      </c>
      <c r="C1366">
        <f>IF(OR($A1366="",$B1366=""),"",IF(ISNUMBER($A1366),INT(MOD($A1366,10000)/100),IFERROR(VALUE(TRIM(LEFT(MID($A1366,FIND("/",$A1366)+1,20),FIND("/",MID($A1366,FIND("/",$A1366)+1,20))-1))),"")))</f>
        <v/>
      </c>
      <c r="D1366">
        <f>IF(OR($A1366="",$B1366=""),"",IF(ISNUMBER($A1366),MOD($A1366,100),IFERROR(VALUE(TRIM(MID(MID($A1366,FIND("/",$A1366)+1,20),FIND("/",MID($A1366,FIND("/",$A1366)+1,20))+1,20))),"")))</f>
        <v/>
      </c>
      <c r="E1366">
        <f>IF($A1366="","",IF(OR($B1366="",$C1366="",$D1366="",$B1366&lt;1300,$B1366&gt;1500,$C1366&lt;1,$C1366&gt;12,$D1366&lt;1,$D1366&gt;31),"نامعتبر",RIGHT("0000"&amp;$B1366,4)&amp;"/"&amp;RIGHT("00"&amp;$C1366,2)&amp;"/"&amp;RIGHT("00"&amp;$D1366,2)))</f>
        <v/>
      </c>
      <c r="F1366">
        <f>IF(OR($E1366="",$E1366="نامعتبر"),"",LEFT($E1366,4)&amp;"/"&amp;MID($E1366,6,2))</f>
        <v/>
      </c>
      <c r="G1366">
        <f>IF(OR($E1366="",$E1366="نامعتبر",Sync!$X1362=""),"",IF(AND(LEFT(UPPER(TRIM(Sync!$X1362)),2)="SL",IFERROR(VLOOKUP(Sync!$W1362,OpTbl,3,0),"")="فروش"),UPPER(TRIM(Sync!$X1362)),""))</f>
        <v/>
      </c>
      <c r="H1366">
        <f>IF($G1366="","",IF(Sync!$W1362="","",Sync!$W1362))</f>
        <v/>
      </c>
      <c r="I1366">
        <f>IF(OR($G1366="",Sync!$Y1362=""),"",Sync!$Y1362)</f>
        <v/>
      </c>
      <c r="J1366">
        <f>IF(OR($G1366="",Sync!$Z1362=""),"",Sync!$Z1362)</f>
        <v/>
      </c>
      <c r="K1366">
        <f>IF($G1366="",0,IF(Sync!$AA1362="",0,Sync!$AA1362))</f>
        <v/>
      </c>
      <c r="L1366">
        <f>IF($G1366="",0,IF(Sync!$AB1362="",0,Sync!$AB1362))</f>
        <v/>
      </c>
      <c r="M1366">
        <f>IF($G1366="","",IF($H1366="مرجوعی فروش",-1,1)*($K1366-$L1366*IFERROR(VLOOKUP("P01",ParamTbl,3,0),1.5)))</f>
        <v/>
      </c>
      <c r="N1366">
        <f>IF($G1366="",0,IF($H1366="مرجوعی فروش",-1,1)*IF(Sync!$AC1362="",0,Sync!$AC1362))</f>
        <v/>
      </c>
      <c r="O1366">
        <f>IF(OR($G1366="",Sync!$V1362=""),"",Sync!$V1362)</f>
        <v/>
      </c>
      <c r="P1366">
        <f>IF(OR($G1366="",Sync!$AD1362=""),"",Sync!$AD1362)</f>
        <v/>
      </c>
      <c r="Q1366">
        <f>IF($G1366="","",IF(Sync!$U1362="","0000",IF(AND(ISNUMBER(Sync!$U1362),Sync!$U1362&gt;=0,Sync!$U1362&lt;1),RIGHT("00"&amp;HOUR(Sync!$U1362),2)&amp;RIGHT("00"&amp;MINUTE(Sync!$U1362),2),IFERROR(RIGHT("00"&amp;VALUE(LEFT(Sync!$U1362,FIND(":",Sync!$U1362)-1)),2)&amp;RIGHT("00"&amp;VALUE(MID(Sync!$U1362,FIND(":",Sync!$U1362)+1,2)),2),"0000"))))</f>
        <v/>
      </c>
    </row>
    <row r="1367">
      <c r="A1367">
        <f>IF(Sync!$T1363="","",Sync!$T1363)</f>
        <v/>
      </c>
      <c r="B1367">
        <f>IF($A1367="","",IF(ISNUMBER($A1367),IF(AND($A1367&gt;=10000101,$A1367&lt;=99991231),INT($A1367/10000),""),IFERROR(VALUE(TRIM(LEFT($A1367,FIND("/",$A1367)-1))),"")))</f>
        <v/>
      </c>
      <c r="C1367">
        <f>IF(OR($A1367="",$B1367=""),"",IF(ISNUMBER($A1367),INT(MOD($A1367,10000)/100),IFERROR(VALUE(TRIM(LEFT(MID($A1367,FIND("/",$A1367)+1,20),FIND("/",MID($A1367,FIND("/",$A1367)+1,20))-1))),"")))</f>
        <v/>
      </c>
      <c r="D1367">
        <f>IF(OR($A1367="",$B1367=""),"",IF(ISNUMBER($A1367),MOD($A1367,100),IFERROR(VALUE(TRIM(MID(MID($A1367,FIND("/",$A1367)+1,20),FIND("/",MID($A1367,FIND("/",$A1367)+1,20))+1,20))),"")))</f>
        <v/>
      </c>
      <c r="E1367">
        <f>IF($A1367="","",IF(OR($B1367="",$C1367="",$D1367="",$B1367&lt;1300,$B1367&gt;1500,$C1367&lt;1,$C1367&gt;12,$D1367&lt;1,$D1367&gt;31),"نامعتبر",RIGHT("0000"&amp;$B1367,4)&amp;"/"&amp;RIGHT("00"&amp;$C1367,2)&amp;"/"&amp;RIGHT("00"&amp;$D1367,2)))</f>
        <v/>
      </c>
      <c r="F1367">
        <f>IF(OR($E1367="",$E1367="نامعتبر"),"",LEFT($E1367,4)&amp;"/"&amp;MID($E1367,6,2))</f>
        <v/>
      </c>
      <c r="G1367">
        <f>IF(OR($E1367="",$E1367="نامعتبر",Sync!$X1363=""),"",IF(AND(LEFT(UPPER(TRIM(Sync!$X1363)),2)="SL",IFERROR(VLOOKUP(Sync!$W1363,OpTbl,3,0),"")="فروش"),UPPER(TRIM(Sync!$X1363)),""))</f>
        <v/>
      </c>
      <c r="H1367">
        <f>IF($G1367="","",IF(Sync!$W1363="","",Sync!$W1363))</f>
        <v/>
      </c>
      <c r="I1367">
        <f>IF(OR($G1367="",Sync!$Y1363=""),"",Sync!$Y1363)</f>
        <v/>
      </c>
      <c r="J1367">
        <f>IF(OR($G1367="",Sync!$Z1363=""),"",Sync!$Z1363)</f>
        <v/>
      </c>
      <c r="K1367">
        <f>IF($G1367="",0,IF(Sync!$AA1363="",0,Sync!$AA1363))</f>
        <v/>
      </c>
      <c r="L1367">
        <f>IF($G1367="",0,IF(Sync!$AB1363="",0,Sync!$AB1363))</f>
        <v/>
      </c>
      <c r="M1367">
        <f>IF($G1367="","",IF($H1367="مرجوعی فروش",-1,1)*($K1367-$L1367*IFERROR(VLOOKUP("P01",ParamTbl,3,0),1.5)))</f>
        <v/>
      </c>
      <c r="N1367">
        <f>IF($G1367="",0,IF($H1367="مرجوعی فروش",-1,1)*IF(Sync!$AC1363="",0,Sync!$AC1363))</f>
        <v/>
      </c>
      <c r="O1367">
        <f>IF(OR($G1367="",Sync!$V1363=""),"",Sync!$V1363)</f>
        <v/>
      </c>
      <c r="P1367">
        <f>IF(OR($G1367="",Sync!$AD1363=""),"",Sync!$AD1363)</f>
        <v/>
      </c>
      <c r="Q1367">
        <f>IF($G1367="","",IF(Sync!$U1363="","0000",IF(AND(ISNUMBER(Sync!$U1363),Sync!$U1363&gt;=0,Sync!$U1363&lt;1),RIGHT("00"&amp;HOUR(Sync!$U1363),2)&amp;RIGHT("00"&amp;MINUTE(Sync!$U1363),2),IFERROR(RIGHT("00"&amp;VALUE(LEFT(Sync!$U1363,FIND(":",Sync!$U1363)-1)),2)&amp;RIGHT("00"&amp;VALUE(MID(Sync!$U1363,FIND(":",Sync!$U1363)+1,2)),2),"0000"))))</f>
        <v/>
      </c>
    </row>
    <row r="1368">
      <c r="A1368">
        <f>IF(Sync!$T1364="","",Sync!$T1364)</f>
        <v/>
      </c>
      <c r="B1368">
        <f>IF($A1368="","",IF(ISNUMBER($A1368),IF(AND($A1368&gt;=10000101,$A1368&lt;=99991231),INT($A1368/10000),""),IFERROR(VALUE(TRIM(LEFT($A1368,FIND("/",$A1368)-1))),"")))</f>
        <v/>
      </c>
      <c r="C1368">
        <f>IF(OR($A1368="",$B1368=""),"",IF(ISNUMBER($A1368),INT(MOD($A1368,10000)/100),IFERROR(VALUE(TRIM(LEFT(MID($A1368,FIND("/",$A1368)+1,20),FIND("/",MID($A1368,FIND("/",$A1368)+1,20))-1))),"")))</f>
        <v/>
      </c>
      <c r="D1368">
        <f>IF(OR($A1368="",$B1368=""),"",IF(ISNUMBER($A1368),MOD($A1368,100),IFERROR(VALUE(TRIM(MID(MID($A1368,FIND("/",$A1368)+1,20),FIND("/",MID($A1368,FIND("/",$A1368)+1,20))+1,20))),"")))</f>
        <v/>
      </c>
      <c r="E1368">
        <f>IF($A1368="","",IF(OR($B1368="",$C1368="",$D1368="",$B1368&lt;1300,$B1368&gt;1500,$C1368&lt;1,$C1368&gt;12,$D1368&lt;1,$D1368&gt;31),"نامعتبر",RIGHT("0000"&amp;$B1368,4)&amp;"/"&amp;RIGHT("00"&amp;$C1368,2)&amp;"/"&amp;RIGHT("00"&amp;$D1368,2)))</f>
        <v/>
      </c>
      <c r="F1368">
        <f>IF(OR($E1368="",$E1368="نامعتبر"),"",LEFT($E1368,4)&amp;"/"&amp;MID($E1368,6,2))</f>
        <v/>
      </c>
      <c r="G1368">
        <f>IF(OR($E1368="",$E1368="نامعتبر",Sync!$X1364=""),"",IF(AND(LEFT(UPPER(TRIM(Sync!$X1364)),2)="SL",IFERROR(VLOOKUP(Sync!$W1364,OpTbl,3,0),"")="فروش"),UPPER(TRIM(Sync!$X1364)),""))</f>
        <v/>
      </c>
      <c r="H1368">
        <f>IF($G1368="","",IF(Sync!$W1364="","",Sync!$W1364))</f>
        <v/>
      </c>
      <c r="I1368">
        <f>IF(OR($G1368="",Sync!$Y1364=""),"",Sync!$Y1364)</f>
        <v/>
      </c>
      <c r="J1368">
        <f>IF(OR($G1368="",Sync!$Z1364=""),"",Sync!$Z1364)</f>
        <v/>
      </c>
      <c r="K1368">
        <f>IF($G1368="",0,IF(Sync!$AA1364="",0,Sync!$AA1364))</f>
        <v/>
      </c>
      <c r="L1368">
        <f>IF($G1368="",0,IF(Sync!$AB1364="",0,Sync!$AB1364))</f>
        <v/>
      </c>
      <c r="M1368">
        <f>IF($G1368="","",IF($H1368="مرجوعی فروش",-1,1)*($K1368-$L1368*IFERROR(VLOOKUP("P01",ParamTbl,3,0),1.5)))</f>
        <v/>
      </c>
      <c r="N1368">
        <f>IF($G1368="",0,IF($H1368="مرجوعی فروش",-1,1)*IF(Sync!$AC1364="",0,Sync!$AC1364))</f>
        <v/>
      </c>
      <c r="O1368">
        <f>IF(OR($G1368="",Sync!$V1364=""),"",Sync!$V1364)</f>
        <v/>
      </c>
      <c r="P1368">
        <f>IF(OR($G1368="",Sync!$AD1364=""),"",Sync!$AD1364)</f>
        <v/>
      </c>
      <c r="Q1368">
        <f>IF($G1368="","",IF(Sync!$U1364="","0000",IF(AND(ISNUMBER(Sync!$U1364),Sync!$U1364&gt;=0,Sync!$U1364&lt;1),RIGHT("00"&amp;HOUR(Sync!$U1364),2)&amp;RIGHT("00"&amp;MINUTE(Sync!$U1364),2),IFERROR(RIGHT("00"&amp;VALUE(LEFT(Sync!$U1364,FIND(":",Sync!$U1364)-1)),2)&amp;RIGHT("00"&amp;VALUE(MID(Sync!$U1364,FIND(":",Sync!$U1364)+1,2)),2),"0000"))))</f>
        <v/>
      </c>
    </row>
    <row r="1369">
      <c r="A1369">
        <f>IF(Sync!$T1365="","",Sync!$T1365)</f>
        <v/>
      </c>
      <c r="B1369">
        <f>IF($A1369="","",IF(ISNUMBER($A1369),IF(AND($A1369&gt;=10000101,$A1369&lt;=99991231),INT($A1369/10000),""),IFERROR(VALUE(TRIM(LEFT($A1369,FIND("/",$A1369)-1))),"")))</f>
        <v/>
      </c>
      <c r="C1369">
        <f>IF(OR($A1369="",$B1369=""),"",IF(ISNUMBER($A1369),INT(MOD($A1369,10000)/100),IFERROR(VALUE(TRIM(LEFT(MID($A1369,FIND("/",$A1369)+1,20),FIND("/",MID($A1369,FIND("/",$A1369)+1,20))-1))),"")))</f>
        <v/>
      </c>
      <c r="D1369">
        <f>IF(OR($A1369="",$B1369=""),"",IF(ISNUMBER($A1369),MOD($A1369,100),IFERROR(VALUE(TRIM(MID(MID($A1369,FIND("/",$A1369)+1,20),FIND("/",MID($A1369,FIND("/",$A1369)+1,20))+1,20))),"")))</f>
        <v/>
      </c>
      <c r="E1369">
        <f>IF($A1369="","",IF(OR($B1369="",$C1369="",$D1369="",$B1369&lt;1300,$B1369&gt;1500,$C1369&lt;1,$C1369&gt;12,$D1369&lt;1,$D1369&gt;31),"نامعتبر",RIGHT("0000"&amp;$B1369,4)&amp;"/"&amp;RIGHT("00"&amp;$C1369,2)&amp;"/"&amp;RIGHT("00"&amp;$D1369,2)))</f>
        <v/>
      </c>
      <c r="F1369">
        <f>IF(OR($E1369="",$E1369="نامعتبر"),"",LEFT($E1369,4)&amp;"/"&amp;MID($E1369,6,2))</f>
        <v/>
      </c>
      <c r="G1369">
        <f>IF(OR($E1369="",$E1369="نامعتبر",Sync!$X1365=""),"",IF(AND(LEFT(UPPER(TRIM(Sync!$X1365)),2)="SL",IFERROR(VLOOKUP(Sync!$W1365,OpTbl,3,0),"")="فروش"),UPPER(TRIM(Sync!$X1365)),""))</f>
        <v/>
      </c>
      <c r="H1369">
        <f>IF($G1369="","",IF(Sync!$W1365="","",Sync!$W1365))</f>
        <v/>
      </c>
      <c r="I1369">
        <f>IF(OR($G1369="",Sync!$Y1365=""),"",Sync!$Y1365)</f>
        <v/>
      </c>
      <c r="J1369">
        <f>IF(OR($G1369="",Sync!$Z1365=""),"",Sync!$Z1365)</f>
        <v/>
      </c>
      <c r="K1369">
        <f>IF($G1369="",0,IF(Sync!$AA1365="",0,Sync!$AA1365))</f>
        <v/>
      </c>
      <c r="L1369">
        <f>IF($G1369="",0,IF(Sync!$AB1365="",0,Sync!$AB1365))</f>
        <v/>
      </c>
      <c r="M1369">
        <f>IF($G1369="","",IF($H1369="مرجوعی فروش",-1,1)*($K1369-$L1369*IFERROR(VLOOKUP("P01",ParamTbl,3,0),1.5)))</f>
        <v/>
      </c>
      <c r="N1369">
        <f>IF($G1369="",0,IF($H1369="مرجوعی فروش",-1,1)*IF(Sync!$AC1365="",0,Sync!$AC1365))</f>
        <v/>
      </c>
      <c r="O1369">
        <f>IF(OR($G1369="",Sync!$V1365=""),"",Sync!$V1365)</f>
        <v/>
      </c>
      <c r="P1369">
        <f>IF(OR($G1369="",Sync!$AD1365=""),"",Sync!$AD1365)</f>
        <v/>
      </c>
      <c r="Q1369">
        <f>IF($G1369="","",IF(Sync!$U1365="","0000",IF(AND(ISNUMBER(Sync!$U1365),Sync!$U1365&gt;=0,Sync!$U1365&lt;1),RIGHT("00"&amp;HOUR(Sync!$U1365),2)&amp;RIGHT("00"&amp;MINUTE(Sync!$U1365),2),IFERROR(RIGHT("00"&amp;VALUE(LEFT(Sync!$U1365,FIND(":",Sync!$U1365)-1)),2)&amp;RIGHT("00"&amp;VALUE(MID(Sync!$U1365,FIND(":",Sync!$U1365)+1,2)),2),"0000"))))</f>
        <v/>
      </c>
    </row>
    <row r="1370">
      <c r="A1370">
        <f>IF(Sync!$T1366="","",Sync!$T1366)</f>
        <v/>
      </c>
      <c r="B1370">
        <f>IF($A1370="","",IF(ISNUMBER($A1370),IF(AND($A1370&gt;=10000101,$A1370&lt;=99991231),INT($A1370/10000),""),IFERROR(VALUE(TRIM(LEFT($A1370,FIND("/",$A1370)-1))),"")))</f>
        <v/>
      </c>
      <c r="C1370">
        <f>IF(OR($A1370="",$B1370=""),"",IF(ISNUMBER($A1370),INT(MOD($A1370,10000)/100),IFERROR(VALUE(TRIM(LEFT(MID($A1370,FIND("/",$A1370)+1,20),FIND("/",MID($A1370,FIND("/",$A1370)+1,20))-1))),"")))</f>
        <v/>
      </c>
      <c r="D1370">
        <f>IF(OR($A1370="",$B1370=""),"",IF(ISNUMBER($A1370),MOD($A1370,100),IFERROR(VALUE(TRIM(MID(MID($A1370,FIND("/",$A1370)+1,20),FIND("/",MID($A1370,FIND("/",$A1370)+1,20))+1,20))),"")))</f>
        <v/>
      </c>
      <c r="E1370">
        <f>IF($A1370="","",IF(OR($B1370="",$C1370="",$D1370="",$B1370&lt;1300,$B1370&gt;1500,$C1370&lt;1,$C1370&gt;12,$D1370&lt;1,$D1370&gt;31),"نامعتبر",RIGHT("0000"&amp;$B1370,4)&amp;"/"&amp;RIGHT("00"&amp;$C1370,2)&amp;"/"&amp;RIGHT("00"&amp;$D1370,2)))</f>
        <v/>
      </c>
      <c r="F1370">
        <f>IF(OR($E1370="",$E1370="نامعتبر"),"",LEFT($E1370,4)&amp;"/"&amp;MID($E1370,6,2))</f>
        <v/>
      </c>
      <c r="G1370">
        <f>IF(OR($E1370="",$E1370="نامعتبر",Sync!$X1366=""),"",IF(AND(LEFT(UPPER(TRIM(Sync!$X1366)),2)="SL",IFERROR(VLOOKUP(Sync!$W1366,OpTbl,3,0),"")="فروش"),UPPER(TRIM(Sync!$X1366)),""))</f>
        <v/>
      </c>
      <c r="H1370">
        <f>IF($G1370="","",IF(Sync!$W1366="","",Sync!$W1366))</f>
        <v/>
      </c>
      <c r="I1370">
        <f>IF(OR($G1370="",Sync!$Y1366=""),"",Sync!$Y1366)</f>
        <v/>
      </c>
      <c r="J1370">
        <f>IF(OR($G1370="",Sync!$Z1366=""),"",Sync!$Z1366)</f>
        <v/>
      </c>
      <c r="K1370">
        <f>IF($G1370="",0,IF(Sync!$AA1366="",0,Sync!$AA1366))</f>
        <v/>
      </c>
      <c r="L1370">
        <f>IF($G1370="",0,IF(Sync!$AB1366="",0,Sync!$AB1366))</f>
        <v/>
      </c>
      <c r="M1370">
        <f>IF($G1370="","",IF($H1370="مرجوعی فروش",-1,1)*($K1370-$L1370*IFERROR(VLOOKUP("P01",ParamTbl,3,0),1.5)))</f>
        <v/>
      </c>
      <c r="N1370">
        <f>IF($G1370="",0,IF($H1370="مرجوعی فروش",-1,1)*IF(Sync!$AC1366="",0,Sync!$AC1366))</f>
        <v/>
      </c>
      <c r="O1370">
        <f>IF(OR($G1370="",Sync!$V1366=""),"",Sync!$V1366)</f>
        <v/>
      </c>
      <c r="P1370">
        <f>IF(OR($G1370="",Sync!$AD1366=""),"",Sync!$AD1366)</f>
        <v/>
      </c>
      <c r="Q1370">
        <f>IF($G1370="","",IF(Sync!$U1366="","0000",IF(AND(ISNUMBER(Sync!$U1366),Sync!$U1366&gt;=0,Sync!$U1366&lt;1),RIGHT("00"&amp;HOUR(Sync!$U1366),2)&amp;RIGHT("00"&amp;MINUTE(Sync!$U1366),2),IFERROR(RIGHT("00"&amp;VALUE(LEFT(Sync!$U1366,FIND(":",Sync!$U1366)-1)),2)&amp;RIGHT("00"&amp;VALUE(MID(Sync!$U1366,FIND(":",Sync!$U1366)+1,2)),2),"0000"))))</f>
        <v/>
      </c>
    </row>
    <row r="1371">
      <c r="A1371">
        <f>IF(Sync!$T1367="","",Sync!$T1367)</f>
        <v/>
      </c>
      <c r="B1371">
        <f>IF($A1371="","",IF(ISNUMBER($A1371),IF(AND($A1371&gt;=10000101,$A1371&lt;=99991231),INT($A1371/10000),""),IFERROR(VALUE(TRIM(LEFT($A1371,FIND("/",$A1371)-1))),"")))</f>
        <v/>
      </c>
      <c r="C1371">
        <f>IF(OR($A1371="",$B1371=""),"",IF(ISNUMBER($A1371),INT(MOD($A1371,10000)/100),IFERROR(VALUE(TRIM(LEFT(MID($A1371,FIND("/",$A1371)+1,20),FIND("/",MID($A1371,FIND("/",$A1371)+1,20))-1))),"")))</f>
        <v/>
      </c>
      <c r="D1371">
        <f>IF(OR($A1371="",$B1371=""),"",IF(ISNUMBER($A1371),MOD($A1371,100),IFERROR(VALUE(TRIM(MID(MID($A1371,FIND("/",$A1371)+1,20),FIND("/",MID($A1371,FIND("/",$A1371)+1,20))+1,20))),"")))</f>
        <v/>
      </c>
      <c r="E1371">
        <f>IF($A1371="","",IF(OR($B1371="",$C1371="",$D1371="",$B1371&lt;1300,$B1371&gt;1500,$C1371&lt;1,$C1371&gt;12,$D1371&lt;1,$D1371&gt;31),"نامعتبر",RIGHT("0000"&amp;$B1371,4)&amp;"/"&amp;RIGHT("00"&amp;$C1371,2)&amp;"/"&amp;RIGHT("00"&amp;$D1371,2)))</f>
        <v/>
      </c>
      <c r="F1371">
        <f>IF(OR($E1371="",$E1371="نامعتبر"),"",LEFT($E1371,4)&amp;"/"&amp;MID($E1371,6,2))</f>
        <v/>
      </c>
      <c r="G1371">
        <f>IF(OR($E1371="",$E1371="نامعتبر",Sync!$X1367=""),"",IF(AND(LEFT(UPPER(TRIM(Sync!$X1367)),2)="SL",IFERROR(VLOOKUP(Sync!$W1367,OpTbl,3,0),"")="فروش"),UPPER(TRIM(Sync!$X1367)),""))</f>
        <v/>
      </c>
      <c r="H1371">
        <f>IF($G1371="","",IF(Sync!$W1367="","",Sync!$W1367))</f>
        <v/>
      </c>
      <c r="I1371">
        <f>IF(OR($G1371="",Sync!$Y1367=""),"",Sync!$Y1367)</f>
        <v/>
      </c>
      <c r="J1371">
        <f>IF(OR($G1371="",Sync!$Z1367=""),"",Sync!$Z1367)</f>
        <v/>
      </c>
      <c r="K1371">
        <f>IF($G1371="",0,IF(Sync!$AA1367="",0,Sync!$AA1367))</f>
        <v/>
      </c>
      <c r="L1371">
        <f>IF($G1371="",0,IF(Sync!$AB1367="",0,Sync!$AB1367))</f>
        <v/>
      </c>
      <c r="M1371">
        <f>IF($G1371="","",IF($H1371="مرجوعی فروش",-1,1)*($K1371-$L1371*IFERROR(VLOOKUP("P01",ParamTbl,3,0),1.5)))</f>
        <v/>
      </c>
      <c r="N1371">
        <f>IF($G1371="",0,IF($H1371="مرجوعی فروش",-1,1)*IF(Sync!$AC1367="",0,Sync!$AC1367))</f>
        <v/>
      </c>
      <c r="O1371">
        <f>IF(OR($G1371="",Sync!$V1367=""),"",Sync!$V1367)</f>
        <v/>
      </c>
      <c r="P1371">
        <f>IF(OR($G1371="",Sync!$AD1367=""),"",Sync!$AD1367)</f>
        <v/>
      </c>
      <c r="Q1371">
        <f>IF($G1371="","",IF(Sync!$U1367="","0000",IF(AND(ISNUMBER(Sync!$U1367),Sync!$U1367&gt;=0,Sync!$U1367&lt;1),RIGHT("00"&amp;HOUR(Sync!$U1367),2)&amp;RIGHT("00"&amp;MINUTE(Sync!$U1367),2),IFERROR(RIGHT("00"&amp;VALUE(LEFT(Sync!$U1367,FIND(":",Sync!$U1367)-1)),2)&amp;RIGHT("00"&amp;VALUE(MID(Sync!$U1367,FIND(":",Sync!$U1367)+1,2)),2),"0000"))))</f>
        <v/>
      </c>
    </row>
    <row r="1372">
      <c r="A1372">
        <f>IF(Sync!$T1368="","",Sync!$T1368)</f>
        <v/>
      </c>
      <c r="B1372">
        <f>IF($A1372="","",IF(ISNUMBER($A1372),IF(AND($A1372&gt;=10000101,$A1372&lt;=99991231),INT($A1372/10000),""),IFERROR(VALUE(TRIM(LEFT($A1372,FIND("/",$A1372)-1))),"")))</f>
        <v/>
      </c>
      <c r="C1372">
        <f>IF(OR($A1372="",$B1372=""),"",IF(ISNUMBER($A1372),INT(MOD($A1372,10000)/100),IFERROR(VALUE(TRIM(LEFT(MID($A1372,FIND("/",$A1372)+1,20),FIND("/",MID($A1372,FIND("/",$A1372)+1,20))-1))),"")))</f>
        <v/>
      </c>
      <c r="D1372">
        <f>IF(OR($A1372="",$B1372=""),"",IF(ISNUMBER($A1372),MOD($A1372,100),IFERROR(VALUE(TRIM(MID(MID($A1372,FIND("/",$A1372)+1,20),FIND("/",MID($A1372,FIND("/",$A1372)+1,20))+1,20))),"")))</f>
        <v/>
      </c>
      <c r="E1372">
        <f>IF($A1372="","",IF(OR($B1372="",$C1372="",$D1372="",$B1372&lt;1300,$B1372&gt;1500,$C1372&lt;1,$C1372&gt;12,$D1372&lt;1,$D1372&gt;31),"نامعتبر",RIGHT("0000"&amp;$B1372,4)&amp;"/"&amp;RIGHT("00"&amp;$C1372,2)&amp;"/"&amp;RIGHT("00"&amp;$D1372,2)))</f>
        <v/>
      </c>
      <c r="F1372">
        <f>IF(OR($E1372="",$E1372="نامعتبر"),"",LEFT($E1372,4)&amp;"/"&amp;MID($E1372,6,2))</f>
        <v/>
      </c>
      <c r="G1372">
        <f>IF(OR($E1372="",$E1372="نامعتبر",Sync!$X1368=""),"",IF(AND(LEFT(UPPER(TRIM(Sync!$X1368)),2)="SL",IFERROR(VLOOKUP(Sync!$W1368,OpTbl,3,0),"")="فروش"),UPPER(TRIM(Sync!$X1368)),""))</f>
        <v/>
      </c>
      <c r="H1372">
        <f>IF($G1372="","",IF(Sync!$W1368="","",Sync!$W1368))</f>
        <v/>
      </c>
      <c r="I1372">
        <f>IF(OR($G1372="",Sync!$Y1368=""),"",Sync!$Y1368)</f>
        <v/>
      </c>
      <c r="J1372">
        <f>IF(OR($G1372="",Sync!$Z1368=""),"",Sync!$Z1368)</f>
        <v/>
      </c>
      <c r="K1372">
        <f>IF($G1372="",0,IF(Sync!$AA1368="",0,Sync!$AA1368))</f>
        <v/>
      </c>
      <c r="L1372">
        <f>IF($G1372="",0,IF(Sync!$AB1368="",0,Sync!$AB1368))</f>
        <v/>
      </c>
      <c r="M1372">
        <f>IF($G1372="","",IF($H1372="مرجوعی فروش",-1,1)*($K1372-$L1372*IFERROR(VLOOKUP("P01",ParamTbl,3,0),1.5)))</f>
        <v/>
      </c>
      <c r="N1372">
        <f>IF($G1372="",0,IF($H1372="مرجوعی فروش",-1,1)*IF(Sync!$AC1368="",0,Sync!$AC1368))</f>
        <v/>
      </c>
      <c r="O1372">
        <f>IF(OR($G1372="",Sync!$V1368=""),"",Sync!$V1368)</f>
        <v/>
      </c>
      <c r="P1372">
        <f>IF(OR($G1372="",Sync!$AD1368=""),"",Sync!$AD1368)</f>
        <v/>
      </c>
      <c r="Q1372">
        <f>IF($G1372="","",IF(Sync!$U1368="","0000",IF(AND(ISNUMBER(Sync!$U1368),Sync!$U1368&gt;=0,Sync!$U1368&lt;1),RIGHT("00"&amp;HOUR(Sync!$U1368),2)&amp;RIGHT("00"&amp;MINUTE(Sync!$U1368),2),IFERROR(RIGHT("00"&amp;VALUE(LEFT(Sync!$U1368,FIND(":",Sync!$U1368)-1)),2)&amp;RIGHT("00"&amp;VALUE(MID(Sync!$U1368,FIND(":",Sync!$U1368)+1,2)),2),"0000"))))</f>
        <v/>
      </c>
    </row>
    <row r="1373">
      <c r="A1373">
        <f>IF(Sync!$T1369="","",Sync!$T1369)</f>
        <v/>
      </c>
      <c r="B1373">
        <f>IF($A1373="","",IF(ISNUMBER($A1373),IF(AND($A1373&gt;=10000101,$A1373&lt;=99991231),INT($A1373/10000),""),IFERROR(VALUE(TRIM(LEFT($A1373,FIND("/",$A1373)-1))),"")))</f>
        <v/>
      </c>
      <c r="C1373">
        <f>IF(OR($A1373="",$B1373=""),"",IF(ISNUMBER($A1373),INT(MOD($A1373,10000)/100),IFERROR(VALUE(TRIM(LEFT(MID($A1373,FIND("/",$A1373)+1,20),FIND("/",MID($A1373,FIND("/",$A1373)+1,20))-1))),"")))</f>
        <v/>
      </c>
      <c r="D1373">
        <f>IF(OR($A1373="",$B1373=""),"",IF(ISNUMBER($A1373),MOD($A1373,100),IFERROR(VALUE(TRIM(MID(MID($A1373,FIND("/",$A1373)+1,20),FIND("/",MID($A1373,FIND("/",$A1373)+1,20))+1,20))),"")))</f>
        <v/>
      </c>
      <c r="E1373">
        <f>IF($A1373="","",IF(OR($B1373="",$C1373="",$D1373="",$B1373&lt;1300,$B1373&gt;1500,$C1373&lt;1,$C1373&gt;12,$D1373&lt;1,$D1373&gt;31),"نامعتبر",RIGHT("0000"&amp;$B1373,4)&amp;"/"&amp;RIGHT("00"&amp;$C1373,2)&amp;"/"&amp;RIGHT("00"&amp;$D1373,2)))</f>
        <v/>
      </c>
      <c r="F1373">
        <f>IF(OR($E1373="",$E1373="نامعتبر"),"",LEFT($E1373,4)&amp;"/"&amp;MID($E1373,6,2))</f>
        <v/>
      </c>
      <c r="G1373">
        <f>IF(OR($E1373="",$E1373="نامعتبر",Sync!$X1369=""),"",IF(AND(LEFT(UPPER(TRIM(Sync!$X1369)),2)="SL",IFERROR(VLOOKUP(Sync!$W1369,OpTbl,3,0),"")="فروش"),UPPER(TRIM(Sync!$X1369)),""))</f>
        <v/>
      </c>
      <c r="H1373">
        <f>IF($G1373="","",IF(Sync!$W1369="","",Sync!$W1369))</f>
        <v/>
      </c>
      <c r="I1373">
        <f>IF(OR($G1373="",Sync!$Y1369=""),"",Sync!$Y1369)</f>
        <v/>
      </c>
      <c r="J1373">
        <f>IF(OR($G1373="",Sync!$Z1369=""),"",Sync!$Z1369)</f>
        <v/>
      </c>
      <c r="K1373">
        <f>IF($G1373="",0,IF(Sync!$AA1369="",0,Sync!$AA1369))</f>
        <v/>
      </c>
      <c r="L1373">
        <f>IF($G1373="",0,IF(Sync!$AB1369="",0,Sync!$AB1369))</f>
        <v/>
      </c>
      <c r="M1373">
        <f>IF($G1373="","",IF($H1373="مرجوعی فروش",-1,1)*($K1373-$L1373*IFERROR(VLOOKUP("P01",ParamTbl,3,0),1.5)))</f>
        <v/>
      </c>
      <c r="N1373">
        <f>IF($G1373="",0,IF($H1373="مرجوعی فروش",-1,1)*IF(Sync!$AC1369="",0,Sync!$AC1369))</f>
        <v/>
      </c>
      <c r="O1373">
        <f>IF(OR($G1373="",Sync!$V1369=""),"",Sync!$V1369)</f>
        <v/>
      </c>
      <c r="P1373">
        <f>IF(OR($G1373="",Sync!$AD1369=""),"",Sync!$AD1369)</f>
        <v/>
      </c>
      <c r="Q1373">
        <f>IF($G1373="","",IF(Sync!$U1369="","0000",IF(AND(ISNUMBER(Sync!$U1369),Sync!$U1369&gt;=0,Sync!$U1369&lt;1),RIGHT("00"&amp;HOUR(Sync!$U1369),2)&amp;RIGHT("00"&amp;MINUTE(Sync!$U1369),2),IFERROR(RIGHT("00"&amp;VALUE(LEFT(Sync!$U1369,FIND(":",Sync!$U1369)-1)),2)&amp;RIGHT("00"&amp;VALUE(MID(Sync!$U1369,FIND(":",Sync!$U1369)+1,2)),2),"0000"))))</f>
        <v/>
      </c>
    </row>
    <row r="1374">
      <c r="A1374">
        <f>IF(Sync!$T1370="","",Sync!$T1370)</f>
        <v/>
      </c>
      <c r="B1374">
        <f>IF($A1374="","",IF(ISNUMBER($A1374),IF(AND($A1374&gt;=10000101,$A1374&lt;=99991231),INT($A1374/10000),""),IFERROR(VALUE(TRIM(LEFT($A1374,FIND("/",$A1374)-1))),"")))</f>
        <v/>
      </c>
      <c r="C1374">
        <f>IF(OR($A1374="",$B1374=""),"",IF(ISNUMBER($A1374),INT(MOD($A1374,10000)/100),IFERROR(VALUE(TRIM(LEFT(MID($A1374,FIND("/",$A1374)+1,20),FIND("/",MID($A1374,FIND("/",$A1374)+1,20))-1))),"")))</f>
        <v/>
      </c>
      <c r="D1374">
        <f>IF(OR($A1374="",$B1374=""),"",IF(ISNUMBER($A1374),MOD($A1374,100),IFERROR(VALUE(TRIM(MID(MID($A1374,FIND("/",$A1374)+1,20),FIND("/",MID($A1374,FIND("/",$A1374)+1,20))+1,20))),"")))</f>
        <v/>
      </c>
      <c r="E1374">
        <f>IF($A1374="","",IF(OR($B1374="",$C1374="",$D1374="",$B1374&lt;1300,$B1374&gt;1500,$C1374&lt;1,$C1374&gt;12,$D1374&lt;1,$D1374&gt;31),"نامعتبر",RIGHT("0000"&amp;$B1374,4)&amp;"/"&amp;RIGHT("00"&amp;$C1374,2)&amp;"/"&amp;RIGHT("00"&amp;$D1374,2)))</f>
        <v/>
      </c>
      <c r="F1374">
        <f>IF(OR($E1374="",$E1374="نامعتبر"),"",LEFT($E1374,4)&amp;"/"&amp;MID($E1374,6,2))</f>
        <v/>
      </c>
      <c r="G1374">
        <f>IF(OR($E1374="",$E1374="نامعتبر",Sync!$X1370=""),"",IF(AND(LEFT(UPPER(TRIM(Sync!$X1370)),2)="SL",IFERROR(VLOOKUP(Sync!$W1370,OpTbl,3,0),"")="فروش"),UPPER(TRIM(Sync!$X1370)),""))</f>
        <v/>
      </c>
      <c r="H1374">
        <f>IF($G1374="","",IF(Sync!$W1370="","",Sync!$W1370))</f>
        <v/>
      </c>
      <c r="I1374">
        <f>IF(OR($G1374="",Sync!$Y1370=""),"",Sync!$Y1370)</f>
        <v/>
      </c>
      <c r="J1374">
        <f>IF(OR($G1374="",Sync!$Z1370=""),"",Sync!$Z1370)</f>
        <v/>
      </c>
      <c r="K1374">
        <f>IF($G1374="",0,IF(Sync!$AA1370="",0,Sync!$AA1370))</f>
        <v/>
      </c>
      <c r="L1374">
        <f>IF($G1374="",0,IF(Sync!$AB1370="",0,Sync!$AB1370))</f>
        <v/>
      </c>
      <c r="M1374">
        <f>IF($G1374="","",IF($H1374="مرجوعی فروش",-1,1)*($K1374-$L1374*IFERROR(VLOOKUP("P01",ParamTbl,3,0),1.5)))</f>
        <v/>
      </c>
      <c r="N1374">
        <f>IF($G1374="",0,IF($H1374="مرجوعی فروش",-1,1)*IF(Sync!$AC1370="",0,Sync!$AC1370))</f>
        <v/>
      </c>
      <c r="O1374">
        <f>IF(OR($G1374="",Sync!$V1370=""),"",Sync!$V1370)</f>
        <v/>
      </c>
      <c r="P1374">
        <f>IF(OR($G1374="",Sync!$AD1370=""),"",Sync!$AD1370)</f>
        <v/>
      </c>
      <c r="Q1374">
        <f>IF($G1374="","",IF(Sync!$U1370="","0000",IF(AND(ISNUMBER(Sync!$U1370),Sync!$U1370&gt;=0,Sync!$U1370&lt;1),RIGHT("00"&amp;HOUR(Sync!$U1370),2)&amp;RIGHT("00"&amp;MINUTE(Sync!$U1370),2),IFERROR(RIGHT("00"&amp;VALUE(LEFT(Sync!$U1370,FIND(":",Sync!$U1370)-1)),2)&amp;RIGHT("00"&amp;VALUE(MID(Sync!$U1370,FIND(":",Sync!$U1370)+1,2)),2),"0000"))))</f>
        <v/>
      </c>
    </row>
    <row r="1375">
      <c r="A1375">
        <f>IF(Sync!$T1371="","",Sync!$T1371)</f>
        <v/>
      </c>
      <c r="B1375">
        <f>IF($A1375="","",IF(ISNUMBER($A1375),IF(AND($A1375&gt;=10000101,$A1375&lt;=99991231),INT($A1375/10000),""),IFERROR(VALUE(TRIM(LEFT($A1375,FIND("/",$A1375)-1))),"")))</f>
        <v/>
      </c>
      <c r="C1375">
        <f>IF(OR($A1375="",$B1375=""),"",IF(ISNUMBER($A1375),INT(MOD($A1375,10000)/100),IFERROR(VALUE(TRIM(LEFT(MID($A1375,FIND("/",$A1375)+1,20),FIND("/",MID($A1375,FIND("/",$A1375)+1,20))-1))),"")))</f>
        <v/>
      </c>
      <c r="D1375">
        <f>IF(OR($A1375="",$B1375=""),"",IF(ISNUMBER($A1375),MOD($A1375,100),IFERROR(VALUE(TRIM(MID(MID($A1375,FIND("/",$A1375)+1,20),FIND("/",MID($A1375,FIND("/",$A1375)+1,20))+1,20))),"")))</f>
        <v/>
      </c>
      <c r="E1375">
        <f>IF($A1375="","",IF(OR($B1375="",$C1375="",$D1375="",$B1375&lt;1300,$B1375&gt;1500,$C1375&lt;1,$C1375&gt;12,$D1375&lt;1,$D1375&gt;31),"نامعتبر",RIGHT("0000"&amp;$B1375,4)&amp;"/"&amp;RIGHT("00"&amp;$C1375,2)&amp;"/"&amp;RIGHT("00"&amp;$D1375,2)))</f>
        <v/>
      </c>
      <c r="F1375">
        <f>IF(OR($E1375="",$E1375="نامعتبر"),"",LEFT($E1375,4)&amp;"/"&amp;MID($E1375,6,2))</f>
        <v/>
      </c>
      <c r="G1375">
        <f>IF(OR($E1375="",$E1375="نامعتبر",Sync!$X1371=""),"",IF(AND(LEFT(UPPER(TRIM(Sync!$X1371)),2)="SL",IFERROR(VLOOKUP(Sync!$W1371,OpTbl,3,0),"")="فروش"),UPPER(TRIM(Sync!$X1371)),""))</f>
        <v/>
      </c>
      <c r="H1375">
        <f>IF($G1375="","",IF(Sync!$W1371="","",Sync!$W1371))</f>
        <v/>
      </c>
      <c r="I1375">
        <f>IF(OR($G1375="",Sync!$Y1371=""),"",Sync!$Y1371)</f>
        <v/>
      </c>
      <c r="J1375">
        <f>IF(OR($G1375="",Sync!$Z1371=""),"",Sync!$Z1371)</f>
        <v/>
      </c>
      <c r="K1375">
        <f>IF($G1375="",0,IF(Sync!$AA1371="",0,Sync!$AA1371))</f>
        <v/>
      </c>
      <c r="L1375">
        <f>IF($G1375="",0,IF(Sync!$AB1371="",0,Sync!$AB1371))</f>
        <v/>
      </c>
      <c r="M1375">
        <f>IF($G1375="","",IF($H1375="مرجوعی فروش",-1,1)*($K1375-$L1375*IFERROR(VLOOKUP("P01",ParamTbl,3,0),1.5)))</f>
        <v/>
      </c>
      <c r="N1375">
        <f>IF($G1375="",0,IF($H1375="مرجوعی فروش",-1,1)*IF(Sync!$AC1371="",0,Sync!$AC1371))</f>
        <v/>
      </c>
      <c r="O1375">
        <f>IF(OR($G1375="",Sync!$V1371=""),"",Sync!$V1371)</f>
        <v/>
      </c>
      <c r="P1375">
        <f>IF(OR($G1375="",Sync!$AD1371=""),"",Sync!$AD1371)</f>
        <v/>
      </c>
      <c r="Q1375">
        <f>IF($G1375="","",IF(Sync!$U1371="","0000",IF(AND(ISNUMBER(Sync!$U1371),Sync!$U1371&gt;=0,Sync!$U1371&lt;1),RIGHT("00"&amp;HOUR(Sync!$U1371),2)&amp;RIGHT("00"&amp;MINUTE(Sync!$U1371),2),IFERROR(RIGHT("00"&amp;VALUE(LEFT(Sync!$U1371,FIND(":",Sync!$U1371)-1)),2)&amp;RIGHT("00"&amp;VALUE(MID(Sync!$U1371,FIND(":",Sync!$U1371)+1,2)),2),"0000"))))</f>
        <v/>
      </c>
    </row>
    <row r="1376">
      <c r="A1376">
        <f>IF(Sync!$T1372="","",Sync!$T1372)</f>
        <v/>
      </c>
      <c r="B1376">
        <f>IF($A1376="","",IF(ISNUMBER($A1376),IF(AND($A1376&gt;=10000101,$A1376&lt;=99991231),INT($A1376/10000),""),IFERROR(VALUE(TRIM(LEFT($A1376,FIND("/",$A1376)-1))),"")))</f>
        <v/>
      </c>
      <c r="C1376">
        <f>IF(OR($A1376="",$B1376=""),"",IF(ISNUMBER($A1376),INT(MOD($A1376,10000)/100),IFERROR(VALUE(TRIM(LEFT(MID($A1376,FIND("/",$A1376)+1,20),FIND("/",MID($A1376,FIND("/",$A1376)+1,20))-1))),"")))</f>
        <v/>
      </c>
      <c r="D1376">
        <f>IF(OR($A1376="",$B1376=""),"",IF(ISNUMBER($A1376),MOD($A1376,100),IFERROR(VALUE(TRIM(MID(MID($A1376,FIND("/",$A1376)+1,20),FIND("/",MID($A1376,FIND("/",$A1376)+1,20))+1,20))),"")))</f>
        <v/>
      </c>
      <c r="E1376">
        <f>IF($A1376="","",IF(OR($B1376="",$C1376="",$D1376="",$B1376&lt;1300,$B1376&gt;1500,$C1376&lt;1,$C1376&gt;12,$D1376&lt;1,$D1376&gt;31),"نامعتبر",RIGHT("0000"&amp;$B1376,4)&amp;"/"&amp;RIGHT("00"&amp;$C1376,2)&amp;"/"&amp;RIGHT("00"&amp;$D1376,2)))</f>
        <v/>
      </c>
      <c r="F1376">
        <f>IF(OR($E1376="",$E1376="نامعتبر"),"",LEFT($E1376,4)&amp;"/"&amp;MID($E1376,6,2))</f>
        <v/>
      </c>
      <c r="G1376">
        <f>IF(OR($E1376="",$E1376="نامعتبر",Sync!$X1372=""),"",IF(AND(LEFT(UPPER(TRIM(Sync!$X1372)),2)="SL",IFERROR(VLOOKUP(Sync!$W1372,OpTbl,3,0),"")="فروش"),UPPER(TRIM(Sync!$X1372)),""))</f>
        <v/>
      </c>
      <c r="H1376">
        <f>IF($G1376="","",IF(Sync!$W1372="","",Sync!$W1372))</f>
        <v/>
      </c>
      <c r="I1376">
        <f>IF(OR($G1376="",Sync!$Y1372=""),"",Sync!$Y1372)</f>
        <v/>
      </c>
      <c r="J1376">
        <f>IF(OR($G1376="",Sync!$Z1372=""),"",Sync!$Z1372)</f>
        <v/>
      </c>
      <c r="K1376">
        <f>IF($G1376="",0,IF(Sync!$AA1372="",0,Sync!$AA1372))</f>
        <v/>
      </c>
      <c r="L1376">
        <f>IF($G1376="",0,IF(Sync!$AB1372="",0,Sync!$AB1372))</f>
        <v/>
      </c>
      <c r="M1376">
        <f>IF($G1376="","",IF($H1376="مرجوعی فروش",-1,1)*($K1376-$L1376*IFERROR(VLOOKUP("P01",ParamTbl,3,0),1.5)))</f>
        <v/>
      </c>
      <c r="N1376">
        <f>IF($G1376="",0,IF($H1376="مرجوعی فروش",-1,1)*IF(Sync!$AC1372="",0,Sync!$AC1372))</f>
        <v/>
      </c>
      <c r="O1376">
        <f>IF(OR($G1376="",Sync!$V1372=""),"",Sync!$V1372)</f>
        <v/>
      </c>
      <c r="P1376">
        <f>IF(OR($G1376="",Sync!$AD1372=""),"",Sync!$AD1372)</f>
        <v/>
      </c>
      <c r="Q1376">
        <f>IF($G1376="","",IF(Sync!$U1372="","0000",IF(AND(ISNUMBER(Sync!$U1372),Sync!$U1372&gt;=0,Sync!$U1372&lt;1),RIGHT("00"&amp;HOUR(Sync!$U1372),2)&amp;RIGHT("00"&amp;MINUTE(Sync!$U1372),2),IFERROR(RIGHT("00"&amp;VALUE(LEFT(Sync!$U1372,FIND(":",Sync!$U1372)-1)),2)&amp;RIGHT("00"&amp;VALUE(MID(Sync!$U1372,FIND(":",Sync!$U1372)+1,2)),2),"0000"))))</f>
        <v/>
      </c>
    </row>
    <row r="1377">
      <c r="A1377">
        <f>IF(Sync!$T1373="","",Sync!$T1373)</f>
        <v/>
      </c>
      <c r="B1377">
        <f>IF($A1377="","",IF(ISNUMBER($A1377),IF(AND($A1377&gt;=10000101,$A1377&lt;=99991231),INT($A1377/10000),""),IFERROR(VALUE(TRIM(LEFT($A1377,FIND("/",$A1377)-1))),"")))</f>
        <v/>
      </c>
      <c r="C1377">
        <f>IF(OR($A1377="",$B1377=""),"",IF(ISNUMBER($A1377),INT(MOD($A1377,10000)/100),IFERROR(VALUE(TRIM(LEFT(MID($A1377,FIND("/",$A1377)+1,20),FIND("/",MID($A1377,FIND("/",$A1377)+1,20))-1))),"")))</f>
        <v/>
      </c>
      <c r="D1377">
        <f>IF(OR($A1377="",$B1377=""),"",IF(ISNUMBER($A1377),MOD($A1377,100),IFERROR(VALUE(TRIM(MID(MID($A1377,FIND("/",$A1377)+1,20),FIND("/",MID($A1377,FIND("/",$A1377)+1,20))+1,20))),"")))</f>
        <v/>
      </c>
      <c r="E1377">
        <f>IF($A1377="","",IF(OR($B1377="",$C1377="",$D1377="",$B1377&lt;1300,$B1377&gt;1500,$C1377&lt;1,$C1377&gt;12,$D1377&lt;1,$D1377&gt;31),"نامعتبر",RIGHT("0000"&amp;$B1377,4)&amp;"/"&amp;RIGHT("00"&amp;$C1377,2)&amp;"/"&amp;RIGHT("00"&amp;$D1377,2)))</f>
        <v/>
      </c>
      <c r="F1377">
        <f>IF(OR($E1377="",$E1377="نامعتبر"),"",LEFT($E1377,4)&amp;"/"&amp;MID($E1377,6,2))</f>
        <v/>
      </c>
      <c r="G1377">
        <f>IF(OR($E1377="",$E1377="نامعتبر",Sync!$X1373=""),"",IF(AND(LEFT(UPPER(TRIM(Sync!$X1373)),2)="SL",IFERROR(VLOOKUP(Sync!$W1373,OpTbl,3,0),"")="فروش"),UPPER(TRIM(Sync!$X1373)),""))</f>
        <v/>
      </c>
      <c r="H1377">
        <f>IF($G1377="","",IF(Sync!$W1373="","",Sync!$W1373))</f>
        <v/>
      </c>
      <c r="I1377">
        <f>IF(OR($G1377="",Sync!$Y1373=""),"",Sync!$Y1373)</f>
        <v/>
      </c>
      <c r="J1377">
        <f>IF(OR($G1377="",Sync!$Z1373=""),"",Sync!$Z1373)</f>
        <v/>
      </c>
      <c r="K1377">
        <f>IF($G1377="",0,IF(Sync!$AA1373="",0,Sync!$AA1373))</f>
        <v/>
      </c>
      <c r="L1377">
        <f>IF($G1377="",0,IF(Sync!$AB1373="",0,Sync!$AB1373))</f>
        <v/>
      </c>
      <c r="M1377">
        <f>IF($G1377="","",IF($H1377="مرجوعی فروش",-1,1)*($K1377-$L1377*IFERROR(VLOOKUP("P01",ParamTbl,3,0),1.5)))</f>
        <v/>
      </c>
      <c r="N1377">
        <f>IF($G1377="",0,IF($H1377="مرجوعی فروش",-1,1)*IF(Sync!$AC1373="",0,Sync!$AC1373))</f>
        <v/>
      </c>
      <c r="O1377">
        <f>IF(OR($G1377="",Sync!$V1373=""),"",Sync!$V1373)</f>
        <v/>
      </c>
      <c r="P1377">
        <f>IF(OR($G1377="",Sync!$AD1373=""),"",Sync!$AD1373)</f>
        <v/>
      </c>
      <c r="Q1377">
        <f>IF($G1377="","",IF(Sync!$U1373="","0000",IF(AND(ISNUMBER(Sync!$U1373),Sync!$U1373&gt;=0,Sync!$U1373&lt;1),RIGHT("00"&amp;HOUR(Sync!$U1373),2)&amp;RIGHT("00"&amp;MINUTE(Sync!$U1373),2),IFERROR(RIGHT("00"&amp;VALUE(LEFT(Sync!$U1373,FIND(":",Sync!$U1373)-1)),2)&amp;RIGHT("00"&amp;VALUE(MID(Sync!$U1373,FIND(":",Sync!$U1373)+1,2)),2),"0000"))))</f>
        <v/>
      </c>
    </row>
    <row r="1378">
      <c r="A1378">
        <f>IF(Sync!$T1374="","",Sync!$T1374)</f>
        <v/>
      </c>
      <c r="B1378">
        <f>IF($A1378="","",IF(ISNUMBER($A1378),IF(AND($A1378&gt;=10000101,$A1378&lt;=99991231),INT($A1378/10000),""),IFERROR(VALUE(TRIM(LEFT($A1378,FIND("/",$A1378)-1))),"")))</f>
        <v/>
      </c>
      <c r="C1378">
        <f>IF(OR($A1378="",$B1378=""),"",IF(ISNUMBER($A1378),INT(MOD($A1378,10000)/100),IFERROR(VALUE(TRIM(LEFT(MID($A1378,FIND("/",$A1378)+1,20),FIND("/",MID($A1378,FIND("/",$A1378)+1,20))-1))),"")))</f>
        <v/>
      </c>
      <c r="D1378">
        <f>IF(OR($A1378="",$B1378=""),"",IF(ISNUMBER($A1378),MOD($A1378,100),IFERROR(VALUE(TRIM(MID(MID($A1378,FIND("/",$A1378)+1,20),FIND("/",MID($A1378,FIND("/",$A1378)+1,20))+1,20))),"")))</f>
        <v/>
      </c>
      <c r="E1378">
        <f>IF($A1378="","",IF(OR($B1378="",$C1378="",$D1378="",$B1378&lt;1300,$B1378&gt;1500,$C1378&lt;1,$C1378&gt;12,$D1378&lt;1,$D1378&gt;31),"نامعتبر",RIGHT("0000"&amp;$B1378,4)&amp;"/"&amp;RIGHT("00"&amp;$C1378,2)&amp;"/"&amp;RIGHT("00"&amp;$D1378,2)))</f>
        <v/>
      </c>
      <c r="F1378">
        <f>IF(OR($E1378="",$E1378="نامعتبر"),"",LEFT($E1378,4)&amp;"/"&amp;MID($E1378,6,2))</f>
        <v/>
      </c>
      <c r="G1378">
        <f>IF(OR($E1378="",$E1378="نامعتبر",Sync!$X1374=""),"",IF(AND(LEFT(UPPER(TRIM(Sync!$X1374)),2)="SL",IFERROR(VLOOKUP(Sync!$W1374,OpTbl,3,0),"")="فروش"),UPPER(TRIM(Sync!$X1374)),""))</f>
        <v/>
      </c>
      <c r="H1378">
        <f>IF($G1378="","",IF(Sync!$W1374="","",Sync!$W1374))</f>
        <v/>
      </c>
      <c r="I1378">
        <f>IF(OR($G1378="",Sync!$Y1374=""),"",Sync!$Y1374)</f>
        <v/>
      </c>
      <c r="J1378">
        <f>IF(OR($G1378="",Sync!$Z1374=""),"",Sync!$Z1374)</f>
        <v/>
      </c>
      <c r="K1378">
        <f>IF($G1378="",0,IF(Sync!$AA1374="",0,Sync!$AA1374))</f>
        <v/>
      </c>
      <c r="L1378">
        <f>IF($G1378="",0,IF(Sync!$AB1374="",0,Sync!$AB1374))</f>
        <v/>
      </c>
      <c r="M1378">
        <f>IF($G1378="","",IF($H1378="مرجوعی فروش",-1,1)*($K1378-$L1378*IFERROR(VLOOKUP("P01",ParamTbl,3,0),1.5)))</f>
        <v/>
      </c>
      <c r="N1378">
        <f>IF($G1378="",0,IF($H1378="مرجوعی فروش",-1,1)*IF(Sync!$AC1374="",0,Sync!$AC1374))</f>
        <v/>
      </c>
      <c r="O1378">
        <f>IF(OR($G1378="",Sync!$V1374=""),"",Sync!$V1374)</f>
        <v/>
      </c>
      <c r="P1378">
        <f>IF(OR($G1378="",Sync!$AD1374=""),"",Sync!$AD1374)</f>
        <v/>
      </c>
      <c r="Q1378">
        <f>IF($G1378="","",IF(Sync!$U1374="","0000",IF(AND(ISNUMBER(Sync!$U1374),Sync!$U1374&gt;=0,Sync!$U1374&lt;1),RIGHT("00"&amp;HOUR(Sync!$U1374),2)&amp;RIGHT("00"&amp;MINUTE(Sync!$U1374),2),IFERROR(RIGHT("00"&amp;VALUE(LEFT(Sync!$U1374,FIND(":",Sync!$U1374)-1)),2)&amp;RIGHT("00"&amp;VALUE(MID(Sync!$U1374,FIND(":",Sync!$U1374)+1,2)),2),"0000"))))</f>
        <v/>
      </c>
    </row>
    <row r="1379">
      <c r="A1379">
        <f>IF(Sync!$T1375="","",Sync!$T1375)</f>
        <v/>
      </c>
      <c r="B1379">
        <f>IF($A1379="","",IF(ISNUMBER($A1379),IF(AND($A1379&gt;=10000101,$A1379&lt;=99991231),INT($A1379/10000),""),IFERROR(VALUE(TRIM(LEFT($A1379,FIND("/",$A1379)-1))),"")))</f>
        <v/>
      </c>
      <c r="C1379">
        <f>IF(OR($A1379="",$B1379=""),"",IF(ISNUMBER($A1379),INT(MOD($A1379,10000)/100),IFERROR(VALUE(TRIM(LEFT(MID($A1379,FIND("/",$A1379)+1,20),FIND("/",MID($A1379,FIND("/",$A1379)+1,20))-1))),"")))</f>
        <v/>
      </c>
      <c r="D1379">
        <f>IF(OR($A1379="",$B1379=""),"",IF(ISNUMBER($A1379),MOD($A1379,100),IFERROR(VALUE(TRIM(MID(MID($A1379,FIND("/",$A1379)+1,20),FIND("/",MID($A1379,FIND("/",$A1379)+1,20))+1,20))),"")))</f>
        <v/>
      </c>
      <c r="E1379">
        <f>IF($A1379="","",IF(OR($B1379="",$C1379="",$D1379="",$B1379&lt;1300,$B1379&gt;1500,$C1379&lt;1,$C1379&gt;12,$D1379&lt;1,$D1379&gt;31),"نامعتبر",RIGHT("0000"&amp;$B1379,4)&amp;"/"&amp;RIGHT("00"&amp;$C1379,2)&amp;"/"&amp;RIGHT("00"&amp;$D1379,2)))</f>
        <v/>
      </c>
      <c r="F1379">
        <f>IF(OR($E1379="",$E1379="نامعتبر"),"",LEFT($E1379,4)&amp;"/"&amp;MID($E1379,6,2))</f>
        <v/>
      </c>
      <c r="G1379">
        <f>IF(OR($E1379="",$E1379="نامعتبر",Sync!$X1375=""),"",IF(AND(LEFT(UPPER(TRIM(Sync!$X1375)),2)="SL",IFERROR(VLOOKUP(Sync!$W1375,OpTbl,3,0),"")="فروش"),UPPER(TRIM(Sync!$X1375)),""))</f>
        <v/>
      </c>
      <c r="H1379">
        <f>IF($G1379="","",IF(Sync!$W1375="","",Sync!$W1375))</f>
        <v/>
      </c>
      <c r="I1379">
        <f>IF(OR($G1379="",Sync!$Y1375=""),"",Sync!$Y1375)</f>
        <v/>
      </c>
      <c r="J1379">
        <f>IF(OR($G1379="",Sync!$Z1375=""),"",Sync!$Z1375)</f>
        <v/>
      </c>
      <c r="K1379">
        <f>IF($G1379="",0,IF(Sync!$AA1375="",0,Sync!$AA1375))</f>
        <v/>
      </c>
      <c r="L1379">
        <f>IF($G1379="",0,IF(Sync!$AB1375="",0,Sync!$AB1375))</f>
        <v/>
      </c>
      <c r="M1379">
        <f>IF($G1379="","",IF($H1379="مرجوعی فروش",-1,1)*($K1379-$L1379*IFERROR(VLOOKUP("P01",ParamTbl,3,0),1.5)))</f>
        <v/>
      </c>
      <c r="N1379">
        <f>IF($G1379="",0,IF($H1379="مرجوعی فروش",-1,1)*IF(Sync!$AC1375="",0,Sync!$AC1375))</f>
        <v/>
      </c>
      <c r="O1379">
        <f>IF(OR($G1379="",Sync!$V1375=""),"",Sync!$V1375)</f>
        <v/>
      </c>
      <c r="P1379">
        <f>IF(OR($G1379="",Sync!$AD1375=""),"",Sync!$AD1375)</f>
        <v/>
      </c>
      <c r="Q1379">
        <f>IF($G1379="","",IF(Sync!$U1375="","0000",IF(AND(ISNUMBER(Sync!$U1375),Sync!$U1375&gt;=0,Sync!$U1375&lt;1),RIGHT("00"&amp;HOUR(Sync!$U1375),2)&amp;RIGHT("00"&amp;MINUTE(Sync!$U1375),2),IFERROR(RIGHT("00"&amp;VALUE(LEFT(Sync!$U1375,FIND(":",Sync!$U1375)-1)),2)&amp;RIGHT("00"&amp;VALUE(MID(Sync!$U1375,FIND(":",Sync!$U1375)+1,2)),2),"0000"))))</f>
        <v/>
      </c>
    </row>
    <row r="1380">
      <c r="A1380">
        <f>IF(Sync!$T1376="","",Sync!$T1376)</f>
        <v/>
      </c>
      <c r="B1380">
        <f>IF($A1380="","",IF(ISNUMBER($A1380),IF(AND($A1380&gt;=10000101,$A1380&lt;=99991231),INT($A1380/10000),""),IFERROR(VALUE(TRIM(LEFT($A1380,FIND("/",$A1380)-1))),"")))</f>
        <v/>
      </c>
      <c r="C1380">
        <f>IF(OR($A1380="",$B1380=""),"",IF(ISNUMBER($A1380),INT(MOD($A1380,10000)/100),IFERROR(VALUE(TRIM(LEFT(MID($A1380,FIND("/",$A1380)+1,20),FIND("/",MID($A1380,FIND("/",$A1380)+1,20))-1))),"")))</f>
        <v/>
      </c>
      <c r="D1380">
        <f>IF(OR($A1380="",$B1380=""),"",IF(ISNUMBER($A1380),MOD($A1380,100),IFERROR(VALUE(TRIM(MID(MID($A1380,FIND("/",$A1380)+1,20),FIND("/",MID($A1380,FIND("/",$A1380)+1,20))+1,20))),"")))</f>
        <v/>
      </c>
      <c r="E1380">
        <f>IF($A1380="","",IF(OR($B1380="",$C1380="",$D1380="",$B1380&lt;1300,$B1380&gt;1500,$C1380&lt;1,$C1380&gt;12,$D1380&lt;1,$D1380&gt;31),"نامعتبر",RIGHT("0000"&amp;$B1380,4)&amp;"/"&amp;RIGHT("00"&amp;$C1380,2)&amp;"/"&amp;RIGHT("00"&amp;$D1380,2)))</f>
        <v/>
      </c>
      <c r="F1380">
        <f>IF(OR($E1380="",$E1380="نامعتبر"),"",LEFT($E1380,4)&amp;"/"&amp;MID($E1380,6,2))</f>
        <v/>
      </c>
      <c r="G1380">
        <f>IF(OR($E1380="",$E1380="نامعتبر",Sync!$X1376=""),"",IF(AND(LEFT(UPPER(TRIM(Sync!$X1376)),2)="SL",IFERROR(VLOOKUP(Sync!$W1376,OpTbl,3,0),"")="فروش"),UPPER(TRIM(Sync!$X1376)),""))</f>
        <v/>
      </c>
      <c r="H1380">
        <f>IF($G1380="","",IF(Sync!$W1376="","",Sync!$W1376))</f>
        <v/>
      </c>
      <c r="I1380">
        <f>IF(OR($G1380="",Sync!$Y1376=""),"",Sync!$Y1376)</f>
        <v/>
      </c>
      <c r="J1380">
        <f>IF(OR($G1380="",Sync!$Z1376=""),"",Sync!$Z1376)</f>
        <v/>
      </c>
      <c r="K1380">
        <f>IF($G1380="",0,IF(Sync!$AA1376="",0,Sync!$AA1376))</f>
        <v/>
      </c>
      <c r="L1380">
        <f>IF($G1380="",0,IF(Sync!$AB1376="",0,Sync!$AB1376))</f>
        <v/>
      </c>
      <c r="M1380">
        <f>IF($G1380="","",IF($H1380="مرجوعی فروش",-1,1)*($K1380-$L1380*IFERROR(VLOOKUP("P01",ParamTbl,3,0),1.5)))</f>
        <v/>
      </c>
      <c r="N1380">
        <f>IF($G1380="",0,IF($H1380="مرجوعی فروش",-1,1)*IF(Sync!$AC1376="",0,Sync!$AC1376))</f>
        <v/>
      </c>
      <c r="O1380">
        <f>IF(OR($G1380="",Sync!$V1376=""),"",Sync!$V1376)</f>
        <v/>
      </c>
      <c r="P1380">
        <f>IF(OR($G1380="",Sync!$AD1376=""),"",Sync!$AD1376)</f>
        <v/>
      </c>
      <c r="Q1380">
        <f>IF($G1380="","",IF(Sync!$U1376="","0000",IF(AND(ISNUMBER(Sync!$U1376),Sync!$U1376&gt;=0,Sync!$U1376&lt;1),RIGHT("00"&amp;HOUR(Sync!$U1376),2)&amp;RIGHT("00"&amp;MINUTE(Sync!$U1376),2),IFERROR(RIGHT("00"&amp;VALUE(LEFT(Sync!$U1376,FIND(":",Sync!$U1376)-1)),2)&amp;RIGHT("00"&amp;VALUE(MID(Sync!$U1376,FIND(":",Sync!$U1376)+1,2)),2),"0000"))))</f>
        <v/>
      </c>
    </row>
    <row r="1381">
      <c r="A1381">
        <f>IF(Sync!$T1377="","",Sync!$T1377)</f>
        <v/>
      </c>
      <c r="B1381">
        <f>IF($A1381="","",IF(ISNUMBER($A1381),IF(AND($A1381&gt;=10000101,$A1381&lt;=99991231),INT($A1381/10000),""),IFERROR(VALUE(TRIM(LEFT($A1381,FIND("/",$A1381)-1))),"")))</f>
        <v/>
      </c>
      <c r="C1381">
        <f>IF(OR($A1381="",$B1381=""),"",IF(ISNUMBER($A1381),INT(MOD($A1381,10000)/100),IFERROR(VALUE(TRIM(LEFT(MID($A1381,FIND("/",$A1381)+1,20),FIND("/",MID($A1381,FIND("/",$A1381)+1,20))-1))),"")))</f>
        <v/>
      </c>
      <c r="D1381">
        <f>IF(OR($A1381="",$B1381=""),"",IF(ISNUMBER($A1381),MOD($A1381,100),IFERROR(VALUE(TRIM(MID(MID($A1381,FIND("/",$A1381)+1,20),FIND("/",MID($A1381,FIND("/",$A1381)+1,20))+1,20))),"")))</f>
        <v/>
      </c>
      <c r="E1381">
        <f>IF($A1381="","",IF(OR($B1381="",$C1381="",$D1381="",$B1381&lt;1300,$B1381&gt;1500,$C1381&lt;1,$C1381&gt;12,$D1381&lt;1,$D1381&gt;31),"نامعتبر",RIGHT("0000"&amp;$B1381,4)&amp;"/"&amp;RIGHT("00"&amp;$C1381,2)&amp;"/"&amp;RIGHT("00"&amp;$D1381,2)))</f>
        <v/>
      </c>
      <c r="F1381">
        <f>IF(OR($E1381="",$E1381="نامعتبر"),"",LEFT($E1381,4)&amp;"/"&amp;MID($E1381,6,2))</f>
        <v/>
      </c>
      <c r="G1381">
        <f>IF(OR($E1381="",$E1381="نامعتبر",Sync!$X1377=""),"",IF(AND(LEFT(UPPER(TRIM(Sync!$X1377)),2)="SL",IFERROR(VLOOKUP(Sync!$W1377,OpTbl,3,0),"")="فروش"),UPPER(TRIM(Sync!$X1377)),""))</f>
        <v/>
      </c>
      <c r="H1381">
        <f>IF($G1381="","",IF(Sync!$W1377="","",Sync!$W1377))</f>
        <v/>
      </c>
      <c r="I1381">
        <f>IF(OR($G1381="",Sync!$Y1377=""),"",Sync!$Y1377)</f>
        <v/>
      </c>
      <c r="J1381">
        <f>IF(OR($G1381="",Sync!$Z1377=""),"",Sync!$Z1377)</f>
        <v/>
      </c>
      <c r="K1381">
        <f>IF($G1381="",0,IF(Sync!$AA1377="",0,Sync!$AA1377))</f>
        <v/>
      </c>
      <c r="L1381">
        <f>IF($G1381="",0,IF(Sync!$AB1377="",0,Sync!$AB1377))</f>
        <v/>
      </c>
      <c r="M1381">
        <f>IF($G1381="","",IF($H1381="مرجوعی فروش",-1,1)*($K1381-$L1381*IFERROR(VLOOKUP("P01",ParamTbl,3,0),1.5)))</f>
        <v/>
      </c>
      <c r="N1381">
        <f>IF($G1381="",0,IF($H1381="مرجوعی فروش",-1,1)*IF(Sync!$AC1377="",0,Sync!$AC1377))</f>
        <v/>
      </c>
      <c r="O1381">
        <f>IF(OR($G1381="",Sync!$V1377=""),"",Sync!$V1377)</f>
        <v/>
      </c>
      <c r="P1381">
        <f>IF(OR($G1381="",Sync!$AD1377=""),"",Sync!$AD1377)</f>
        <v/>
      </c>
      <c r="Q1381">
        <f>IF($G1381="","",IF(Sync!$U1377="","0000",IF(AND(ISNUMBER(Sync!$U1377),Sync!$U1377&gt;=0,Sync!$U1377&lt;1),RIGHT("00"&amp;HOUR(Sync!$U1377),2)&amp;RIGHT("00"&amp;MINUTE(Sync!$U1377),2),IFERROR(RIGHT("00"&amp;VALUE(LEFT(Sync!$U1377,FIND(":",Sync!$U1377)-1)),2)&amp;RIGHT("00"&amp;VALUE(MID(Sync!$U1377,FIND(":",Sync!$U1377)+1,2)),2),"0000"))))</f>
        <v/>
      </c>
    </row>
    <row r="1382">
      <c r="A1382">
        <f>IF(Sync!$T1378="","",Sync!$T1378)</f>
        <v/>
      </c>
      <c r="B1382">
        <f>IF($A1382="","",IF(ISNUMBER($A1382),IF(AND($A1382&gt;=10000101,$A1382&lt;=99991231),INT($A1382/10000),""),IFERROR(VALUE(TRIM(LEFT($A1382,FIND("/",$A1382)-1))),"")))</f>
        <v/>
      </c>
      <c r="C1382">
        <f>IF(OR($A1382="",$B1382=""),"",IF(ISNUMBER($A1382),INT(MOD($A1382,10000)/100),IFERROR(VALUE(TRIM(LEFT(MID($A1382,FIND("/",$A1382)+1,20),FIND("/",MID($A1382,FIND("/",$A1382)+1,20))-1))),"")))</f>
        <v/>
      </c>
      <c r="D1382">
        <f>IF(OR($A1382="",$B1382=""),"",IF(ISNUMBER($A1382),MOD($A1382,100),IFERROR(VALUE(TRIM(MID(MID($A1382,FIND("/",$A1382)+1,20),FIND("/",MID($A1382,FIND("/",$A1382)+1,20))+1,20))),"")))</f>
        <v/>
      </c>
      <c r="E1382">
        <f>IF($A1382="","",IF(OR($B1382="",$C1382="",$D1382="",$B1382&lt;1300,$B1382&gt;1500,$C1382&lt;1,$C1382&gt;12,$D1382&lt;1,$D1382&gt;31),"نامعتبر",RIGHT("0000"&amp;$B1382,4)&amp;"/"&amp;RIGHT("00"&amp;$C1382,2)&amp;"/"&amp;RIGHT("00"&amp;$D1382,2)))</f>
        <v/>
      </c>
      <c r="F1382">
        <f>IF(OR($E1382="",$E1382="نامعتبر"),"",LEFT($E1382,4)&amp;"/"&amp;MID($E1382,6,2))</f>
        <v/>
      </c>
      <c r="G1382">
        <f>IF(OR($E1382="",$E1382="نامعتبر",Sync!$X1378=""),"",IF(AND(LEFT(UPPER(TRIM(Sync!$X1378)),2)="SL",IFERROR(VLOOKUP(Sync!$W1378,OpTbl,3,0),"")="فروش"),UPPER(TRIM(Sync!$X1378)),""))</f>
        <v/>
      </c>
      <c r="H1382">
        <f>IF($G1382="","",IF(Sync!$W1378="","",Sync!$W1378))</f>
        <v/>
      </c>
      <c r="I1382">
        <f>IF(OR($G1382="",Sync!$Y1378=""),"",Sync!$Y1378)</f>
        <v/>
      </c>
      <c r="J1382">
        <f>IF(OR($G1382="",Sync!$Z1378=""),"",Sync!$Z1378)</f>
        <v/>
      </c>
      <c r="K1382">
        <f>IF($G1382="",0,IF(Sync!$AA1378="",0,Sync!$AA1378))</f>
        <v/>
      </c>
      <c r="L1382">
        <f>IF($G1382="",0,IF(Sync!$AB1378="",0,Sync!$AB1378))</f>
        <v/>
      </c>
      <c r="M1382">
        <f>IF($G1382="","",IF($H1382="مرجوعی فروش",-1,1)*($K1382-$L1382*IFERROR(VLOOKUP("P01",ParamTbl,3,0),1.5)))</f>
        <v/>
      </c>
      <c r="N1382">
        <f>IF($G1382="",0,IF($H1382="مرجوعی فروش",-1,1)*IF(Sync!$AC1378="",0,Sync!$AC1378))</f>
        <v/>
      </c>
      <c r="O1382">
        <f>IF(OR($G1382="",Sync!$V1378=""),"",Sync!$V1378)</f>
        <v/>
      </c>
      <c r="P1382">
        <f>IF(OR($G1382="",Sync!$AD1378=""),"",Sync!$AD1378)</f>
        <v/>
      </c>
      <c r="Q1382">
        <f>IF($G1382="","",IF(Sync!$U1378="","0000",IF(AND(ISNUMBER(Sync!$U1378),Sync!$U1378&gt;=0,Sync!$U1378&lt;1),RIGHT("00"&amp;HOUR(Sync!$U1378),2)&amp;RIGHT("00"&amp;MINUTE(Sync!$U1378),2),IFERROR(RIGHT("00"&amp;VALUE(LEFT(Sync!$U1378,FIND(":",Sync!$U1378)-1)),2)&amp;RIGHT("00"&amp;VALUE(MID(Sync!$U1378,FIND(":",Sync!$U1378)+1,2)),2),"0000"))))</f>
        <v/>
      </c>
    </row>
    <row r="1383">
      <c r="A1383">
        <f>IF(Sync!$T1379="","",Sync!$T1379)</f>
        <v/>
      </c>
      <c r="B1383">
        <f>IF($A1383="","",IF(ISNUMBER($A1383),IF(AND($A1383&gt;=10000101,$A1383&lt;=99991231),INT($A1383/10000),""),IFERROR(VALUE(TRIM(LEFT($A1383,FIND("/",$A1383)-1))),"")))</f>
        <v/>
      </c>
      <c r="C1383">
        <f>IF(OR($A1383="",$B1383=""),"",IF(ISNUMBER($A1383),INT(MOD($A1383,10000)/100),IFERROR(VALUE(TRIM(LEFT(MID($A1383,FIND("/",$A1383)+1,20),FIND("/",MID($A1383,FIND("/",$A1383)+1,20))-1))),"")))</f>
        <v/>
      </c>
      <c r="D1383">
        <f>IF(OR($A1383="",$B1383=""),"",IF(ISNUMBER($A1383),MOD($A1383,100),IFERROR(VALUE(TRIM(MID(MID($A1383,FIND("/",$A1383)+1,20),FIND("/",MID($A1383,FIND("/",$A1383)+1,20))+1,20))),"")))</f>
        <v/>
      </c>
      <c r="E1383">
        <f>IF($A1383="","",IF(OR($B1383="",$C1383="",$D1383="",$B1383&lt;1300,$B1383&gt;1500,$C1383&lt;1,$C1383&gt;12,$D1383&lt;1,$D1383&gt;31),"نامعتبر",RIGHT("0000"&amp;$B1383,4)&amp;"/"&amp;RIGHT("00"&amp;$C1383,2)&amp;"/"&amp;RIGHT("00"&amp;$D1383,2)))</f>
        <v/>
      </c>
      <c r="F1383">
        <f>IF(OR($E1383="",$E1383="نامعتبر"),"",LEFT($E1383,4)&amp;"/"&amp;MID($E1383,6,2))</f>
        <v/>
      </c>
      <c r="G1383">
        <f>IF(OR($E1383="",$E1383="نامعتبر",Sync!$X1379=""),"",IF(AND(LEFT(UPPER(TRIM(Sync!$X1379)),2)="SL",IFERROR(VLOOKUP(Sync!$W1379,OpTbl,3,0),"")="فروش"),UPPER(TRIM(Sync!$X1379)),""))</f>
        <v/>
      </c>
      <c r="H1383">
        <f>IF($G1383="","",IF(Sync!$W1379="","",Sync!$W1379))</f>
        <v/>
      </c>
      <c r="I1383">
        <f>IF(OR($G1383="",Sync!$Y1379=""),"",Sync!$Y1379)</f>
        <v/>
      </c>
      <c r="J1383">
        <f>IF(OR($G1383="",Sync!$Z1379=""),"",Sync!$Z1379)</f>
        <v/>
      </c>
      <c r="K1383">
        <f>IF($G1383="",0,IF(Sync!$AA1379="",0,Sync!$AA1379))</f>
        <v/>
      </c>
      <c r="L1383">
        <f>IF($G1383="",0,IF(Sync!$AB1379="",0,Sync!$AB1379))</f>
        <v/>
      </c>
      <c r="M1383">
        <f>IF($G1383="","",IF($H1383="مرجوعی فروش",-1,1)*($K1383-$L1383*IFERROR(VLOOKUP("P01",ParamTbl,3,0),1.5)))</f>
        <v/>
      </c>
      <c r="N1383">
        <f>IF($G1383="",0,IF($H1383="مرجوعی فروش",-1,1)*IF(Sync!$AC1379="",0,Sync!$AC1379))</f>
        <v/>
      </c>
      <c r="O1383">
        <f>IF(OR($G1383="",Sync!$V1379=""),"",Sync!$V1379)</f>
        <v/>
      </c>
      <c r="P1383">
        <f>IF(OR($G1383="",Sync!$AD1379=""),"",Sync!$AD1379)</f>
        <v/>
      </c>
      <c r="Q1383">
        <f>IF($G1383="","",IF(Sync!$U1379="","0000",IF(AND(ISNUMBER(Sync!$U1379),Sync!$U1379&gt;=0,Sync!$U1379&lt;1),RIGHT("00"&amp;HOUR(Sync!$U1379),2)&amp;RIGHT("00"&amp;MINUTE(Sync!$U1379),2),IFERROR(RIGHT("00"&amp;VALUE(LEFT(Sync!$U1379,FIND(":",Sync!$U1379)-1)),2)&amp;RIGHT("00"&amp;VALUE(MID(Sync!$U1379,FIND(":",Sync!$U1379)+1,2)),2),"0000"))))</f>
        <v/>
      </c>
    </row>
    <row r="1384">
      <c r="A1384">
        <f>IF(Sync!$T1380="","",Sync!$T1380)</f>
        <v/>
      </c>
      <c r="B1384">
        <f>IF($A1384="","",IF(ISNUMBER($A1384),IF(AND($A1384&gt;=10000101,$A1384&lt;=99991231),INT($A1384/10000),""),IFERROR(VALUE(TRIM(LEFT($A1384,FIND("/",$A1384)-1))),"")))</f>
        <v/>
      </c>
      <c r="C1384">
        <f>IF(OR($A1384="",$B1384=""),"",IF(ISNUMBER($A1384),INT(MOD($A1384,10000)/100),IFERROR(VALUE(TRIM(LEFT(MID($A1384,FIND("/",$A1384)+1,20),FIND("/",MID($A1384,FIND("/",$A1384)+1,20))-1))),"")))</f>
        <v/>
      </c>
      <c r="D1384">
        <f>IF(OR($A1384="",$B1384=""),"",IF(ISNUMBER($A1384),MOD($A1384,100),IFERROR(VALUE(TRIM(MID(MID($A1384,FIND("/",$A1384)+1,20),FIND("/",MID($A1384,FIND("/",$A1384)+1,20))+1,20))),"")))</f>
        <v/>
      </c>
      <c r="E1384">
        <f>IF($A1384="","",IF(OR($B1384="",$C1384="",$D1384="",$B1384&lt;1300,$B1384&gt;1500,$C1384&lt;1,$C1384&gt;12,$D1384&lt;1,$D1384&gt;31),"نامعتبر",RIGHT("0000"&amp;$B1384,4)&amp;"/"&amp;RIGHT("00"&amp;$C1384,2)&amp;"/"&amp;RIGHT("00"&amp;$D1384,2)))</f>
        <v/>
      </c>
      <c r="F1384">
        <f>IF(OR($E1384="",$E1384="نامعتبر"),"",LEFT($E1384,4)&amp;"/"&amp;MID($E1384,6,2))</f>
        <v/>
      </c>
      <c r="G1384">
        <f>IF(OR($E1384="",$E1384="نامعتبر",Sync!$X1380=""),"",IF(AND(LEFT(UPPER(TRIM(Sync!$X1380)),2)="SL",IFERROR(VLOOKUP(Sync!$W1380,OpTbl,3,0),"")="فروش"),UPPER(TRIM(Sync!$X1380)),""))</f>
        <v/>
      </c>
      <c r="H1384">
        <f>IF($G1384="","",IF(Sync!$W1380="","",Sync!$W1380))</f>
        <v/>
      </c>
      <c r="I1384">
        <f>IF(OR($G1384="",Sync!$Y1380=""),"",Sync!$Y1380)</f>
        <v/>
      </c>
      <c r="J1384">
        <f>IF(OR($G1384="",Sync!$Z1380=""),"",Sync!$Z1380)</f>
        <v/>
      </c>
      <c r="K1384">
        <f>IF($G1384="",0,IF(Sync!$AA1380="",0,Sync!$AA1380))</f>
        <v/>
      </c>
      <c r="L1384">
        <f>IF($G1384="",0,IF(Sync!$AB1380="",0,Sync!$AB1380))</f>
        <v/>
      </c>
      <c r="M1384">
        <f>IF($G1384="","",IF($H1384="مرجوعی فروش",-1,1)*($K1384-$L1384*IFERROR(VLOOKUP("P01",ParamTbl,3,0),1.5)))</f>
        <v/>
      </c>
      <c r="N1384">
        <f>IF($G1384="",0,IF($H1384="مرجوعی فروش",-1,1)*IF(Sync!$AC1380="",0,Sync!$AC1380))</f>
        <v/>
      </c>
      <c r="O1384">
        <f>IF(OR($G1384="",Sync!$V1380=""),"",Sync!$V1380)</f>
        <v/>
      </c>
      <c r="P1384">
        <f>IF(OR($G1384="",Sync!$AD1380=""),"",Sync!$AD1380)</f>
        <v/>
      </c>
      <c r="Q1384">
        <f>IF($G1384="","",IF(Sync!$U1380="","0000",IF(AND(ISNUMBER(Sync!$U1380),Sync!$U1380&gt;=0,Sync!$U1380&lt;1),RIGHT("00"&amp;HOUR(Sync!$U1380),2)&amp;RIGHT("00"&amp;MINUTE(Sync!$U1380),2),IFERROR(RIGHT("00"&amp;VALUE(LEFT(Sync!$U1380,FIND(":",Sync!$U1380)-1)),2)&amp;RIGHT("00"&amp;VALUE(MID(Sync!$U1380,FIND(":",Sync!$U1380)+1,2)),2),"0000"))))</f>
        <v/>
      </c>
    </row>
    <row r="1385">
      <c r="A1385">
        <f>IF(Sync!$T1381="","",Sync!$T1381)</f>
        <v/>
      </c>
      <c r="B1385">
        <f>IF($A1385="","",IF(ISNUMBER($A1385),IF(AND($A1385&gt;=10000101,$A1385&lt;=99991231),INT($A1385/10000),""),IFERROR(VALUE(TRIM(LEFT($A1385,FIND("/",$A1385)-1))),"")))</f>
        <v/>
      </c>
      <c r="C1385">
        <f>IF(OR($A1385="",$B1385=""),"",IF(ISNUMBER($A1385),INT(MOD($A1385,10000)/100),IFERROR(VALUE(TRIM(LEFT(MID($A1385,FIND("/",$A1385)+1,20),FIND("/",MID($A1385,FIND("/",$A1385)+1,20))-1))),"")))</f>
        <v/>
      </c>
      <c r="D1385">
        <f>IF(OR($A1385="",$B1385=""),"",IF(ISNUMBER($A1385),MOD($A1385,100),IFERROR(VALUE(TRIM(MID(MID($A1385,FIND("/",$A1385)+1,20),FIND("/",MID($A1385,FIND("/",$A1385)+1,20))+1,20))),"")))</f>
        <v/>
      </c>
      <c r="E1385">
        <f>IF($A1385="","",IF(OR($B1385="",$C1385="",$D1385="",$B1385&lt;1300,$B1385&gt;1500,$C1385&lt;1,$C1385&gt;12,$D1385&lt;1,$D1385&gt;31),"نامعتبر",RIGHT("0000"&amp;$B1385,4)&amp;"/"&amp;RIGHT("00"&amp;$C1385,2)&amp;"/"&amp;RIGHT("00"&amp;$D1385,2)))</f>
        <v/>
      </c>
      <c r="F1385">
        <f>IF(OR($E1385="",$E1385="نامعتبر"),"",LEFT($E1385,4)&amp;"/"&amp;MID($E1385,6,2))</f>
        <v/>
      </c>
      <c r="G1385">
        <f>IF(OR($E1385="",$E1385="نامعتبر",Sync!$X1381=""),"",IF(AND(LEFT(UPPER(TRIM(Sync!$X1381)),2)="SL",IFERROR(VLOOKUP(Sync!$W1381,OpTbl,3,0),"")="فروش"),UPPER(TRIM(Sync!$X1381)),""))</f>
        <v/>
      </c>
      <c r="H1385">
        <f>IF($G1385="","",IF(Sync!$W1381="","",Sync!$W1381))</f>
        <v/>
      </c>
      <c r="I1385">
        <f>IF(OR($G1385="",Sync!$Y1381=""),"",Sync!$Y1381)</f>
        <v/>
      </c>
      <c r="J1385">
        <f>IF(OR($G1385="",Sync!$Z1381=""),"",Sync!$Z1381)</f>
        <v/>
      </c>
      <c r="K1385">
        <f>IF($G1385="",0,IF(Sync!$AA1381="",0,Sync!$AA1381))</f>
        <v/>
      </c>
      <c r="L1385">
        <f>IF($G1385="",0,IF(Sync!$AB1381="",0,Sync!$AB1381))</f>
        <v/>
      </c>
      <c r="M1385">
        <f>IF($G1385="","",IF($H1385="مرجوعی فروش",-1,1)*($K1385-$L1385*IFERROR(VLOOKUP("P01",ParamTbl,3,0),1.5)))</f>
        <v/>
      </c>
      <c r="N1385">
        <f>IF($G1385="",0,IF($H1385="مرجوعی فروش",-1,1)*IF(Sync!$AC1381="",0,Sync!$AC1381))</f>
        <v/>
      </c>
      <c r="O1385">
        <f>IF(OR($G1385="",Sync!$V1381=""),"",Sync!$V1381)</f>
        <v/>
      </c>
      <c r="P1385">
        <f>IF(OR($G1385="",Sync!$AD1381=""),"",Sync!$AD1381)</f>
        <v/>
      </c>
      <c r="Q1385">
        <f>IF($G1385="","",IF(Sync!$U1381="","0000",IF(AND(ISNUMBER(Sync!$U1381),Sync!$U1381&gt;=0,Sync!$U1381&lt;1),RIGHT("00"&amp;HOUR(Sync!$U1381),2)&amp;RIGHT("00"&amp;MINUTE(Sync!$U1381),2),IFERROR(RIGHT("00"&amp;VALUE(LEFT(Sync!$U1381,FIND(":",Sync!$U1381)-1)),2)&amp;RIGHT("00"&amp;VALUE(MID(Sync!$U1381,FIND(":",Sync!$U1381)+1,2)),2),"0000"))))</f>
        <v/>
      </c>
    </row>
    <row r="1386">
      <c r="A1386">
        <f>IF(Sync!$T1382="","",Sync!$T1382)</f>
        <v/>
      </c>
      <c r="B1386">
        <f>IF($A1386="","",IF(ISNUMBER($A1386),IF(AND($A1386&gt;=10000101,$A1386&lt;=99991231),INT($A1386/10000),""),IFERROR(VALUE(TRIM(LEFT($A1386,FIND("/",$A1386)-1))),"")))</f>
        <v/>
      </c>
      <c r="C1386">
        <f>IF(OR($A1386="",$B1386=""),"",IF(ISNUMBER($A1386),INT(MOD($A1386,10000)/100),IFERROR(VALUE(TRIM(LEFT(MID($A1386,FIND("/",$A1386)+1,20),FIND("/",MID($A1386,FIND("/",$A1386)+1,20))-1))),"")))</f>
        <v/>
      </c>
      <c r="D1386">
        <f>IF(OR($A1386="",$B1386=""),"",IF(ISNUMBER($A1386),MOD($A1386,100),IFERROR(VALUE(TRIM(MID(MID($A1386,FIND("/",$A1386)+1,20),FIND("/",MID($A1386,FIND("/",$A1386)+1,20))+1,20))),"")))</f>
        <v/>
      </c>
      <c r="E1386">
        <f>IF($A1386="","",IF(OR($B1386="",$C1386="",$D1386="",$B1386&lt;1300,$B1386&gt;1500,$C1386&lt;1,$C1386&gt;12,$D1386&lt;1,$D1386&gt;31),"نامعتبر",RIGHT("0000"&amp;$B1386,4)&amp;"/"&amp;RIGHT("00"&amp;$C1386,2)&amp;"/"&amp;RIGHT("00"&amp;$D1386,2)))</f>
        <v/>
      </c>
      <c r="F1386">
        <f>IF(OR($E1386="",$E1386="نامعتبر"),"",LEFT($E1386,4)&amp;"/"&amp;MID($E1386,6,2))</f>
        <v/>
      </c>
      <c r="G1386">
        <f>IF(OR($E1386="",$E1386="نامعتبر",Sync!$X1382=""),"",IF(AND(LEFT(UPPER(TRIM(Sync!$X1382)),2)="SL",IFERROR(VLOOKUP(Sync!$W1382,OpTbl,3,0),"")="فروش"),UPPER(TRIM(Sync!$X1382)),""))</f>
        <v/>
      </c>
      <c r="H1386">
        <f>IF($G1386="","",IF(Sync!$W1382="","",Sync!$W1382))</f>
        <v/>
      </c>
      <c r="I1386">
        <f>IF(OR($G1386="",Sync!$Y1382=""),"",Sync!$Y1382)</f>
        <v/>
      </c>
      <c r="J1386">
        <f>IF(OR($G1386="",Sync!$Z1382=""),"",Sync!$Z1382)</f>
        <v/>
      </c>
      <c r="K1386">
        <f>IF($G1386="",0,IF(Sync!$AA1382="",0,Sync!$AA1382))</f>
        <v/>
      </c>
      <c r="L1386">
        <f>IF($G1386="",0,IF(Sync!$AB1382="",0,Sync!$AB1382))</f>
        <v/>
      </c>
      <c r="M1386">
        <f>IF($G1386="","",IF($H1386="مرجوعی فروش",-1,1)*($K1386-$L1386*IFERROR(VLOOKUP("P01",ParamTbl,3,0),1.5)))</f>
        <v/>
      </c>
      <c r="N1386">
        <f>IF($G1386="",0,IF($H1386="مرجوعی فروش",-1,1)*IF(Sync!$AC1382="",0,Sync!$AC1382))</f>
        <v/>
      </c>
      <c r="O1386">
        <f>IF(OR($G1386="",Sync!$V1382=""),"",Sync!$V1382)</f>
        <v/>
      </c>
      <c r="P1386">
        <f>IF(OR($G1386="",Sync!$AD1382=""),"",Sync!$AD1382)</f>
        <v/>
      </c>
      <c r="Q1386">
        <f>IF($G1386="","",IF(Sync!$U1382="","0000",IF(AND(ISNUMBER(Sync!$U1382),Sync!$U1382&gt;=0,Sync!$U1382&lt;1),RIGHT("00"&amp;HOUR(Sync!$U1382),2)&amp;RIGHT("00"&amp;MINUTE(Sync!$U1382),2),IFERROR(RIGHT("00"&amp;VALUE(LEFT(Sync!$U1382,FIND(":",Sync!$U1382)-1)),2)&amp;RIGHT("00"&amp;VALUE(MID(Sync!$U1382,FIND(":",Sync!$U1382)+1,2)),2),"0000"))))</f>
        <v/>
      </c>
    </row>
    <row r="1387">
      <c r="A1387">
        <f>IF(Sync!$T1383="","",Sync!$T1383)</f>
        <v/>
      </c>
      <c r="B1387">
        <f>IF($A1387="","",IF(ISNUMBER($A1387),IF(AND($A1387&gt;=10000101,$A1387&lt;=99991231),INT($A1387/10000),""),IFERROR(VALUE(TRIM(LEFT($A1387,FIND("/",$A1387)-1))),"")))</f>
        <v/>
      </c>
      <c r="C1387">
        <f>IF(OR($A1387="",$B1387=""),"",IF(ISNUMBER($A1387),INT(MOD($A1387,10000)/100),IFERROR(VALUE(TRIM(LEFT(MID($A1387,FIND("/",$A1387)+1,20),FIND("/",MID($A1387,FIND("/",$A1387)+1,20))-1))),"")))</f>
        <v/>
      </c>
      <c r="D1387">
        <f>IF(OR($A1387="",$B1387=""),"",IF(ISNUMBER($A1387),MOD($A1387,100),IFERROR(VALUE(TRIM(MID(MID($A1387,FIND("/",$A1387)+1,20),FIND("/",MID($A1387,FIND("/",$A1387)+1,20))+1,20))),"")))</f>
        <v/>
      </c>
      <c r="E1387">
        <f>IF($A1387="","",IF(OR($B1387="",$C1387="",$D1387="",$B1387&lt;1300,$B1387&gt;1500,$C1387&lt;1,$C1387&gt;12,$D1387&lt;1,$D1387&gt;31),"نامعتبر",RIGHT("0000"&amp;$B1387,4)&amp;"/"&amp;RIGHT("00"&amp;$C1387,2)&amp;"/"&amp;RIGHT("00"&amp;$D1387,2)))</f>
        <v/>
      </c>
      <c r="F1387">
        <f>IF(OR($E1387="",$E1387="نامعتبر"),"",LEFT($E1387,4)&amp;"/"&amp;MID($E1387,6,2))</f>
        <v/>
      </c>
      <c r="G1387">
        <f>IF(OR($E1387="",$E1387="نامعتبر",Sync!$X1383=""),"",IF(AND(LEFT(UPPER(TRIM(Sync!$X1383)),2)="SL",IFERROR(VLOOKUP(Sync!$W1383,OpTbl,3,0),"")="فروش"),UPPER(TRIM(Sync!$X1383)),""))</f>
        <v/>
      </c>
      <c r="H1387">
        <f>IF($G1387="","",IF(Sync!$W1383="","",Sync!$W1383))</f>
        <v/>
      </c>
      <c r="I1387">
        <f>IF(OR($G1387="",Sync!$Y1383=""),"",Sync!$Y1383)</f>
        <v/>
      </c>
      <c r="J1387">
        <f>IF(OR($G1387="",Sync!$Z1383=""),"",Sync!$Z1383)</f>
        <v/>
      </c>
      <c r="K1387">
        <f>IF($G1387="",0,IF(Sync!$AA1383="",0,Sync!$AA1383))</f>
        <v/>
      </c>
      <c r="L1387">
        <f>IF($G1387="",0,IF(Sync!$AB1383="",0,Sync!$AB1383))</f>
        <v/>
      </c>
      <c r="M1387">
        <f>IF($G1387="","",IF($H1387="مرجوعی فروش",-1,1)*($K1387-$L1387*IFERROR(VLOOKUP("P01",ParamTbl,3,0),1.5)))</f>
        <v/>
      </c>
      <c r="N1387">
        <f>IF($G1387="",0,IF($H1387="مرجوعی فروش",-1,1)*IF(Sync!$AC1383="",0,Sync!$AC1383))</f>
        <v/>
      </c>
      <c r="O1387">
        <f>IF(OR($G1387="",Sync!$V1383=""),"",Sync!$V1383)</f>
        <v/>
      </c>
      <c r="P1387">
        <f>IF(OR($G1387="",Sync!$AD1383=""),"",Sync!$AD1383)</f>
        <v/>
      </c>
      <c r="Q1387">
        <f>IF($G1387="","",IF(Sync!$U1383="","0000",IF(AND(ISNUMBER(Sync!$U1383),Sync!$U1383&gt;=0,Sync!$U1383&lt;1),RIGHT("00"&amp;HOUR(Sync!$U1383),2)&amp;RIGHT("00"&amp;MINUTE(Sync!$U1383),2),IFERROR(RIGHT("00"&amp;VALUE(LEFT(Sync!$U1383,FIND(":",Sync!$U1383)-1)),2)&amp;RIGHT("00"&amp;VALUE(MID(Sync!$U1383,FIND(":",Sync!$U1383)+1,2)),2),"0000"))))</f>
        <v/>
      </c>
    </row>
    <row r="1388">
      <c r="A1388">
        <f>IF(Sync!$T1384="","",Sync!$T1384)</f>
        <v/>
      </c>
      <c r="B1388">
        <f>IF($A1388="","",IF(ISNUMBER($A1388),IF(AND($A1388&gt;=10000101,$A1388&lt;=99991231),INT($A1388/10000),""),IFERROR(VALUE(TRIM(LEFT($A1388,FIND("/",$A1388)-1))),"")))</f>
        <v/>
      </c>
      <c r="C1388">
        <f>IF(OR($A1388="",$B1388=""),"",IF(ISNUMBER($A1388),INT(MOD($A1388,10000)/100),IFERROR(VALUE(TRIM(LEFT(MID($A1388,FIND("/",$A1388)+1,20),FIND("/",MID($A1388,FIND("/",$A1388)+1,20))-1))),"")))</f>
        <v/>
      </c>
      <c r="D1388">
        <f>IF(OR($A1388="",$B1388=""),"",IF(ISNUMBER($A1388),MOD($A1388,100),IFERROR(VALUE(TRIM(MID(MID($A1388,FIND("/",$A1388)+1,20),FIND("/",MID($A1388,FIND("/",$A1388)+1,20))+1,20))),"")))</f>
        <v/>
      </c>
      <c r="E1388">
        <f>IF($A1388="","",IF(OR($B1388="",$C1388="",$D1388="",$B1388&lt;1300,$B1388&gt;1500,$C1388&lt;1,$C1388&gt;12,$D1388&lt;1,$D1388&gt;31),"نامعتبر",RIGHT("0000"&amp;$B1388,4)&amp;"/"&amp;RIGHT("00"&amp;$C1388,2)&amp;"/"&amp;RIGHT("00"&amp;$D1388,2)))</f>
        <v/>
      </c>
      <c r="F1388">
        <f>IF(OR($E1388="",$E1388="نامعتبر"),"",LEFT($E1388,4)&amp;"/"&amp;MID($E1388,6,2))</f>
        <v/>
      </c>
      <c r="G1388">
        <f>IF(OR($E1388="",$E1388="نامعتبر",Sync!$X1384=""),"",IF(AND(LEFT(UPPER(TRIM(Sync!$X1384)),2)="SL",IFERROR(VLOOKUP(Sync!$W1384,OpTbl,3,0),"")="فروش"),UPPER(TRIM(Sync!$X1384)),""))</f>
        <v/>
      </c>
      <c r="H1388">
        <f>IF($G1388="","",IF(Sync!$W1384="","",Sync!$W1384))</f>
        <v/>
      </c>
      <c r="I1388">
        <f>IF(OR($G1388="",Sync!$Y1384=""),"",Sync!$Y1384)</f>
        <v/>
      </c>
      <c r="J1388">
        <f>IF(OR($G1388="",Sync!$Z1384=""),"",Sync!$Z1384)</f>
        <v/>
      </c>
      <c r="K1388">
        <f>IF($G1388="",0,IF(Sync!$AA1384="",0,Sync!$AA1384))</f>
        <v/>
      </c>
      <c r="L1388">
        <f>IF($G1388="",0,IF(Sync!$AB1384="",0,Sync!$AB1384))</f>
        <v/>
      </c>
      <c r="M1388">
        <f>IF($G1388="","",IF($H1388="مرجوعی فروش",-1,1)*($K1388-$L1388*IFERROR(VLOOKUP("P01",ParamTbl,3,0),1.5)))</f>
        <v/>
      </c>
      <c r="N1388">
        <f>IF($G1388="",0,IF($H1388="مرجوعی فروش",-1,1)*IF(Sync!$AC1384="",0,Sync!$AC1384))</f>
        <v/>
      </c>
      <c r="O1388">
        <f>IF(OR($G1388="",Sync!$V1384=""),"",Sync!$V1384)</f>
        <v/>
      </c>
      <c r="P1388">
        <f>IF(OR($G1388="",Sync!$AD1384=""),"",Sync!$AD1384)</f>
        <v/>
      </c>
      <c r="Q1388">
        <f>IF($G1388="","",IF(Sync!$U1384="","0000",IF(AND(ISNUMBER(Sync!$U1384),Sync!$U1384&gt;=0,Sync!$U1384&lt;1),RIGHT("00"&amp;HOUR(Sync!$U1384),2)&amp;RIGHT("00"&amp;MINUTE(Sync!$U1384),2),IFERROR(RIGHT("00"&amp;VALUE(LEFT(Sync!$U1384,FIND(":",Sync!$U1384)-1)),2)&amp;RIGHT("00"&amp;VALUE(MID(Sync!$U1384,FIND(":",Sync!$U1384)+1,2)),2),"0000"))))</f>
        <v/>
      </c>
    </row>
    <row r="1389">
      <c r="A1389">
        <f>IF(Sync!$T1385="","",Sync!$T1385)</f>
        <v/>
      </c>
      <c r="B1389">
        <f>IF($A1389="","",IF(ISNUMBER($A1389),IF(AND($A1389&gt;=10000101,$A1389&lt;=99991231),INT($A1389/10000),""),IFERROR(VALUE(TRIM(LEFT($A1389,FIND("/",$A1389)-1))),"")))</f>
        <v/>
      </c>
      <c r="C1389">
        <f>IF(OR($A1389="",$B1389=""),"",IF(ISNUMBER($A1389),INT(MOD($A1389,10000)/100),IFERROR(VALUE(TRIM(LEFT(MID($A1389,FIND("/",$A1389)+1,20),FIND("/",MID($A1389,FIND("/",$A1389)+1,20))-1))),"")))</f>
        <v/>
      </c>
      <c r="D1389">
        <f>IF(OR($A1389="",$B1389=""),"",IF(ISNUMBER($A1389),MOD($A1389,100),IFERROR(VALUE(TRIM(MID(MID($A1389,FIND("/",$A1389)+1,20),FIND("/",MID($A1389,FIND("/",$A1389)+1,20))+1,20))),"")))</f>
        <v/>
      </c>
      <c r="E1389">
        <f>IF($A1389="","",IF(OR($B1389="",$C1389="",$D1389="",$B1389&lt;1300,$B1389&gt;1500,$C1389&lt;1,$C1389&gt;12,$D1389&lt;1,$D1389&gt;31),"نامعتبر",RIGHT("0000"&amp;$B1389,4)&amp;"/"&amp;RIGHT("00"&amp;$C1389,2)&amp;"/"&amp;RIGHT("00"&amp;$D1389,2)))</f>
        <v/>
      </c>
      <c r="F1389">
        <f>IF(OR($E1389="",$E1389="نامعتبر"),"",LEFT($E1389,4)&amp;"/"&amp;MID($E1389,6,2))</f>
        <v/>
      </c>
      <c r="G1389">
        <f>IF(OR($E1389="",$E1389="نامعتبر",Sync!$X1385=""),"",IF(AND(LEFT(UPPER(TRIM(Sync!$X1385)),2)="SL",IFERROR(VLOOKUP(Sync!$W1385,OpTbl,3,0),"")="فروش"),UPPER(TRIM(Sync!$X1385)),""))</f>
        <v/>
      </c>
      <c r="H1389">
        <f>IF($G1389="","",IF(Sync!$W1385="","",Sync!$W1385))</f>
        <v/>
      </c>
      <c r="I1389">
        <f>IF(OR($G1389="",Sync!$Y1385=""),"",Sync!$Y1385)</f>
        <v/>
      </c>
      <c r="J1389">
        <f>IF(OR($G1389="",Sync!$Z1385=""),"",Sync!$Z1385)</f>
        <v/>
      </c>
      <c r="K1389">
        <f>IF($G1389="",0,IF(Sync!$AA1385="",0,Sync!$AA1385))</f>
        <v/>
      </c>
      <c r="L1389">
        <f>IF($G1389="",0,IF(Sync!$AB1385="",0,Sync!$AB1385))</f>
        <v/>
      </c>
      <c r="M1389">
        <f>IF($G1389="","",IF($H1389="مرجوعی فروش",-1,1)*($K1389-$L1389*IFERROR(VLOOKUP("P01",ParamTbl,3,0),1.5)))</f>
        <v/>
      </c>
      <c r="N1389">
        <f>IF($G1389="",0,IF($H1389="مرجوعی فروش",-1,1)*IF(Sync!$AC1385="",0,Sync!$AC1385))</f>
        <v/>
      </c>
      <c r="O1389">
        <f>IF(OR($G1389="",Sync!$V1385=""),"",Sync!$V1385)</f>
        <v/>
      </c>
      <c r="P1389">
        <f>IF(OR($G1389="",Sync!$AD1385=""),"",Sync!$AD1385)</f>
        <v/>
      </c>
      <c r="Q1389">
        <f>IF($G1389="","",IF(Sync!$U1385="","0000",IF(AND(ISNUMBER(Sync!$U1385),Sync!$U1385&gt;=0,Sync!$U1385&lt;1),RIGHT("00"&amp;HOUR(Sync!$U1385),2)&amp;RIGHT("00"&amp;MINUTE(Sync!$U1385),2),IFERROR(RIGHT("00"&amp;VALUE(LEFT(Sync!$U1385,FIND(":",Sync!$U1385)-1)),2)&amp;RIGHT("00"&amp;VALUE(MID(Sync!$U1385,FIND(":",Sync!$U1385)+1,2)),2),"0000"))))</f>
        <v/>
      </c>
    </row>
    <row r="1390">
      <c r="A1390">
        <f>IF(Sync!$T1386="","",Sync!$T1386)</f>
        <v/>
      </c>
      <c r="B1390">
        <f>IF($A1390="","",IF(ISNUMBER($A1390),IF(AND($A1390&gt;=10000101,$A1390&lt;=99991231),INT($A1390/10000),""),IFERROR(VALUE(TRIM(LEFT($A1390,FIND("/",$A1390)-1))),"")))</f>
        <v/>
      </c>
      <c r="C1390">
        <f>IF(OR($A1390="",$B1390=""),"",IF(ISNUMBER($A1390),INT(MOD($A1390,10000)/100),IFERROR(VALUE(TRIM(LEFT(MID($A1390,FIND("/",$A1390)+1,20),FIND("/",MID($A1390,FIND("/",$A1390)+1,20))-1))),"")))</f>
        <v/>
      </c>
      <c r="D1390">
        <f>IF(OR($A1390="",$B1390=""),"",IF(ISNUMBER($A1390),MOD($A1390,100),IFERROR(VALUE(TRIM(MID(MID($A1390,FIND("/",$A1390)+1,20),FIND("/",MID($A1390,FIND("/",$A1390)+1,20))+1,20))),"")))</f>
        <v/>
      </c>
      <c r="E1390">
        <f>IF($A1390="","",IF(OR($B1390="",$C1390="",$D1390="",$B1390&lt;1300,$B1390&gt;1500,$C1390&lt;1,$C1390&gt;12,$D1390&lt;1,$D1390&gt;31),"نامعتبر",RIGHT("0000"&amp;$B1390,4)&amp;"/"&amp;RIGHT("00"&amp;$C1390,2)&amp;"/"&amp;RIGHT("00"&amp;$D1390,2)))</f>
        <v/>
      </c>
      <c r="F1390">
        <f>IF(OR($E1390="",$E1390="نامعتبر"),"",LEFT($E1390,4)&amp;"/"&amp;MID($E1390,6,2))</f>
        <v/>
      </c>
      <c r="G1390">
        <f>IF(OR($E1390="",$E1390="نامعتبر",Sync!$X1386=""),"",IF(AND(LEFT(UPPER(TRIM(Sync!$X1386)),2)="SL",IFERROR(VLOOKUP(Sync!$W1386,OpTbl,3,0),"")="فروش"),UPPER(TRIM(Sync!$X1386)),""))</f>
        <v/>
      </c>
      <c r="H1390">
        <f>IF($G1390="","",IF(Sync!$W1386="","",Sync!$W1386))</f>
        <v/>
      </c>
      <c r="I1390">
        <f>IF(OR($G1390="",Sync!$Y1386=""),"",Sync!$Y1386)</f>
        <v/>
      </c>
      <c r="J1390">
        <f>IF(OR($G1390="",Sync!$Z1386=""),"",Sync!$Z1386)</f>
        <v/>
      </c>
      <c r="K1390">
        <f>IF($G1390="",0,IF(Sync!$AA1386="",0,Sync!$AA1386))</f>
        <v/>
      </c>
      <c r="L1390">
        <f>IF($G1390="",0,IF(Sync!$AB1386="",0,Sync!$AB1386))</f>
        <v/>
      </c>
      <c r="M1390">
        <f>IF($G1390="","",IF($H1390="مرجوعی فروش",-1,1)*($K1390-$L1390*IFERROR(VLOOKUP("P01",ParamTbl,3,0),1.5)))</f>
        <v/>
      </c>
      <c r="N1390">
        <f>IF($G1390="",0,IF($H1390="مرجوعی فروش",-1,1)*IF(Sync!$AC1386="",0,Sync!$AC1386))</f>
        <v/>
      </c>
      <c r="O1390">
        <f>IF(OR($G1390="",Sync!$V1386=""),"",Sync!$V1386)</f>
        <v/>
      </c>
      <c r="P1390">
        <f>IF(OR($G1390="",Sync!$AD1386=""),"",Sync!$AD1386)</f>
        <v/>
      </c>
      <c r="Q1390">
        <f>IF($G1390="","",IF(Sync!$U1386="","0000",IF(AND(ISNUMBER(Sync!$U1386),Sync!$U1386&gt;=0,Sync!$U1386&lt;1),RIGHT("00"&amp;HOUR(Sync!$U1386),2)&amp;RIGHT("00"&amp;MINUTE(Sync!$U1386),2),IFERROR(RIGHT("00"&amp;VALUE(LEFT(Sync!$U1386,FIND(":",Sync!$U1386)-1)),2)&amp;RIGHT("00"&amp;VALUE(MID(Sync!$U1386,FIND(":",Sync!$U1386)+1,2)),2),"0000"))))</f>
        <v/>
      </c>
    </row>
    <row r="1391">
      <c r="A1391">
        <f>IF(Sync!$T1387="","",Sync!$T1387)</f>
        <v/>
      </c>
      <c r="B1391">
        <f>IF($A1391="","",IF(ISNUMBER($A1391),IF(AND($A1391&gt;=10000101,$A1391&lt;=99991231),INT($A1391/10000),""),IFERROR(VALUE(TRIM(LEFT($A1391,FIND("/",$A1391)-1))),"")))</f>
        <v/>
      </c>
      <c r="C1391">
        <f>IF(OR($A1391="",$B1391=""),"",IF(ISNUMBER($A1391),INT(MOD($A1391,10000)/100),IFERROR(VALUE(TRIM(LEFT(MID($A1391,FIND("/",$A1391)+1,20),FIND("/",MID($A1391,FIND("/",$A1391)+1,20))-1))),"")))</f>
        <v/>
      </c>
      <c r="D1391">
        <f>IF(OR($A1391="",$B1391=""),"",IF(ISNUMBER($A1391),MOD($A1391,100),IFERROR(VALUE(TRIM(MID(MID($A1391,FIND("/",$A1391)+1,20),FIND("/",MID($A1391,FIND("/",$A1391)+1,20))+1,20))),"")))</f>
        <v/>
      </c>
      <c r="E1391">
        <f>IF($A1391="","",IF(OR($B1391="",$C1391="",$D1391="",$B1391&lt;1300,$B1391&gt;1500,$C1391&lt;1,$C1391&gt;12,$D1391&lt;1,$D1391&gt;31),"نامعتبر",RIGHT("0000"&amp;$B1391,4)&amp;"/"&amp;RIGHT("00"&amp;$C1391,2)&amp;"/"&amp;RIGHT("00"&amp;$D1391,2)))</f>
        <v/>
      </c>
      <c r="F1391">
        <f>IF(OR($E1391="",$E1391="نامعتبر"),"",LEFT($E1391,4)&amp;"/"&amp;MID($E1391,6,2))</f>
        <v/>
      </c>
      <c r="G1391">
        <f>IF(OR($E1391="",$E1391="نامعتبر",Sync!$X1387=""),"",IF(AND(LEFT(UPPER(TRIM(Sync!$X1387)),2)="SL",IFERROR(VLOOKUP(Sync!$W1387,OpTbl,3,0),"")="فروش"),UPPER(TRIM(Sync!$X1387)),""))</f>
        <v/>
      </c>
      <c r="H1391">
        <f>IF($G1391="","",IF(Sync!$W1387="","",Sync!$W1387))</f>
        <v/>
      </c>
      <c r="I1391">
        <f>IF(OR($G1391="",Sync!$Y1387=""),"",Sync!$Y1387)</f>
        <v/>
      </c>
      <c r="J1391">
        <f>IF(OR($G1391="",Sync!$Z1387=""),"",Sync!$Z1387)</f>
        <v/>
      </c>
      <c r="K1391">
        <f>IF($G1391="",0,IF(Sync!$AA1387="",0,Sync!$AA1387))</f>
        <v/>
      </c>
      <c r="L1391">
        <f>IF($G1391="",0,IF(Sync!$AB1387="",0,Sync!$AB1387))</f>
        <v/>
      </c>
      <c r="M1391">
        <f>IF($G1391="","",IF($H1391="مرجوعی فروش",-1,1)*($K1391-$L1391*IFERROR(VLOOKUP("P01",ParamTbl,3,0),1.5)))</f>
        <v/>
      </c>
      <c r="N1391">
        <f>IF($G1391="",0,IF($H1391="مرجوعی فروش",-1,1)*IF(Sync!$AC1387="",0,Sync!$AC1387))</f>
        <v/>
      </c>
      <c r="O1391">
        <f>IF(OR($G1391="",Sync!$V1387=""),"",Sync!$V1387)</f>
        <v/>
      </c>
      <c r="P1391">
        <f>IF(OR($G1391="",Sync!$AD1387=""),"",Sync!$AD1387)</f>
        <v/>
      </c>
      <c r="Q1391">
        <f>IF($G1391="","",IF(Sync!$U1387="","0000",IF(AND(ISNUMBER(Sync!$U1387),Sync!$U1387&gt;=0,Sync!$U1387&lt;1),RIGHT("00"&amp;HOUR(Sync!$U1387),2)&amp;RIGHT("00"&amp;MINUTE(Sync!$U1387),2),IFERROR(RIGHT("00"&amp;VALUE(LEFT(Sync!$U1387,FIND(":",Sync!$U1387)-1)),2)&amp;RIGHT("00"&amp;VALUE(MID(Sync!$U1387,FIND(":",Sync!$U1387)+1,2)),2),"0000"))))</f>
        <v/>
      </c>
    </row>
    <row r="1392">
      <c r="A1392">
        <f>IF(Sync!$T1388="","",Sync!$T1388)</f>
        <v/>
      </c>
      <c r="B1392">
        <f>IF($A1392="","",IF(ISNUMBER($A1392),IF(AND($A1392&gt;=10000101,$A1392&lt;=99991231),INT($A1392/10000),""),IFERROR(VALUE(TRIM(LEFT($A1392,FIND("/",$A1392)-1))),"")))</f>
        <v/>
      </c>
      <c r="C1392">
        <f>IF(OR($A1392="",$B1392=""),"",IF(ISNUMBER($A1392),INT(MOD($A1392,10000)/100),IFERROR(VALUE(TRIM(LEFT(MID($A1392,FIND("/",$A1392)+1,20),FIND("/",MID($A1392,FIND("/",$A1392)+1,20))-1))),"")))</f>
        <v/>
      </c>
      <c r="D1392">
        <f>IF(OR($A1392="",$B1392=""),"",IF(ISNUMBER($A1392),MOD($A1392,100),IFERROR(VALUE(TRIM(MID(MID($A1392,FIND("/",$A1392)+1,20),FIND("/",MID($A1392,FIND("/",$A1392)+1,20))+1,20))),"")))</f>
        <v/>
      </c>
      <c r="E1392">
        <f>IF($A1392="","",IF(OR($B1392="",$C1392="",$D1392="",$B1392&lt;1300,$B1392&gt;1500,$C1392&lt;1,$C1392&gt;12,$D1392&lt;1,$D1392&gt;31),"نامعتبر",RIGHT("0000"&amp;$B1392,4)&amp;"/"&amp;RIGHT("00"&amp;$C1392,2)&amp;"/"&amp;RIGHT("00"&amp;$D1392,2)))</f>
        <v/>
      </c>
      <c r="F1392">
        <f>IF(OR($E1392="",$E1392="نامعتبر"),"",LEFT($E1392,4)&amp;"/"&amp;MID($E1392,6,2))</f>
        <v/>
      </c>
      <c r="G1392">
        <f>IF(OR($E1392="",$E1392="نامعتبر",Sync!$X1388=""),"",IF(AND(LEFT(UPPER(TRIM(Sync!$X1388)),2)="SL",IFERROR(VLOOKUP(Sync!$W1388,OpTbl,3,0),"")="فروش"),UPPER(TRIM(Sync!$X1388)),""))</f>
        <v/>
      </c>
      <c r="H1392">
        <f>IF($G1392="","",IF(Sync!$W1388="","",Sync!$W1388))</f>
        <v/>
      </c>
      <c r="I1392">
        <f>IF(OR($G1392="",Sync!$Y1388=""),"",Sync!$Y1388)</f>
        <v/>
      </c>
      <c r="J1392">
        <f>IF(OR($G1392="",Sync!$Z1388=""),"",Sync!$Z1388)</f>
        <v/>
      </c>
      <c r="K1392">
        <f>IF($G1392="",0,IF(Sync!$AA1388="",0,Sync!$AA1388))</f>
        <v/>
      </c>
      <c r="L1392">
        <f>IF($G1392="",0,IF(Sync!$AB1388="",0,Sync!$AB1388))</f>
        <v/>
      </c>
      <c r="M1392">
        <f>IF($G1392="","",IF($H1392="مرجوعی فروش",-1,1)*($K1392-$L1392*IFERROR(VLOOKUP("P01",ParamTbl,3,0),1.5)))</f>
        <v/>
      </c>
      <c r="N1392">
        <f>IF($G1392="",0,IF($H1392="مرجوعی فروش",-1,1)*IF(Sync!$AC1388="",0,Sync!$AC1388))</f>
        <v/>
      </c>
      <c r="O1392">
        <f>IF(OR($G1392="",Sync!$V1388=""),"",Sync!$V1388)</f>
        <v/>
      </c>
      <c r="P1392">
        <f>IF(OR($G1392="",Sync!$AD1388=""),"",Sync!$AD1388)</f>
        <v/>
      </c>
      <c r="Q1392">
        <f>IF($G1392="","",IF(Sync!$U1388="","0000",IF(AND(ISNUMBER(Sync!$U1388),Sync!$U1388&gt;=0,Sync!$U1388&lt;1),RIGHT("00"&amp;HOUR(Sync!$U1388),2)&amp;RIGHT("00"&amp;MINUTE(Sync!$U1388),2),IFERROR(RIGHT("00"&amp;VALUE(LEFT(Sync!$U1388,FIND(":",Sync!$U1388)-1)),2)&amp;RIGHT("00"&amp;VALUE(MID(Sync!$U1388,FIND(":",Sync!$U1388)+1,2)),2),"0000"))))</f>
        <v/>
      </c>
    </row>
    <row r="1393">
      <c r="A1393">
        <f>IF(Sync!$T1389="","",Sync!$T1389)</f>
        <v/>
      </c>
      <c r="B1393">
        <f>IF($A1393="","",IF(ISNUMBER($A1393),IF(AND($A1393&gt;=10000101,$A1393&lt;=99991231),INT($A1393/10000),""),IFERROR(VALUE(TRIM(LEFT($A1393,FIND("/",$A1393)-1))),"")))</f>
        <v/>
      </c>
      <c r="C1393">
        <f>IF(OR($A1393="",$B1393=""),"",IF(ISNUMBER($A1393),INT(MOD($A1393,10000)/100),IFERROR(VALUE(TRIM(LEFT(MID($A1393,FIND("/",$A1393)+1,20),FIND("/",MID($A1393,FIND("/",$A1393)+1,20))-1))),"")))</f>
        <v/>
      </c>
      <c r="D1393">
        <f>IF(OR($A1393="",$B1393=""),"",IF(ISNUMBER($A1393),MOD($A1393,100),IFERROR(VALUE(TRIM(MID(MID($A1393,FIND("/",$A1393)+1,20),FIND("/",MID($A1393,FIND("/",$A1393)+1,20))+1,20))),"")))</f>
        <v/>
      </c>
      <c r="E1393">
        <f>IF($A1393="","",IF(OR($B1393="",$C1393="",$D1393="",$B1393&lt;1300,$B1393&gt;1500,$C1393&lt;1,$C1393&gt;12,$D1393&lt;1,$D1393&gt;31),"نامعتبر",RIGHT("0000"&amp;$B1393,4)&amp;"/"&amp;RIGHT("00"&amp;$C1393,2)&amp;"/"&amp;RIGHT("00"&amp;$D1393,2)))</f>
        <v/>
      </c>
      <c r="F1393">
        <f>IF(OR($E1393="",$E1393="نامعتبر"),"",LEFT($E1393,4)&amp;"/"&amp;MID($E1393,6,2))</f>
        <v/>
      </c>
      <c r="G1393">
        <f>IF(OR($E1393="",$E1393="نامعتبر",Sync!$X1389=""),"",IF(AND(LEFT(UPPER(TRIM(Sync!$X1389)),2)="SL",IFERROR(VLOOKUP(Sync!$W1389,OpTbl,3,0),"")="فروش"),UPPER(TRIM(Sync!$X1389)),""))</f>
        <v/>
      </c>
      <c r="H1393">
        <f>IF($G1393="","",IF(Sync!$W1389="","",Sync!$W1389))</f>
        <v/>
      </c>
      <c r="I1393">
        <f>IF(OR($G1393="",Sync!$Y1389=""),"",Sync!$Y1389)</f>
        <v/>
      </c>
      <c r="J1393">
        <f>IF(OR($G1393="",Sync!$Z1389=""),"",Sync!$Z1389)</f>
        <v/>
      </c>
      <c r="K1393">
        <f>IF($G1393="",0,IF(Sync!$AA1389="",0,Sync!$AA1389))</f>
        <v/>
      </c>
      <c r="L1393">
        <f>IF($G1393="",0,IF(Sync!$AB1389="",0,Sync!$AB1389))</f>
        <v/>
      </c>
      <c r="M1393">
        <f>IF($G1393="","",IF($H1393="مرجوعی فروش",-1,1)*($K1393-$L1393*IFERROR(VLOOKUP("P01",ParamTbl,3,0),1.5)))</f>
        <v/>
      </c>
      <c r="N1393">
        <f>IF($G1393="",0,IF($H1393="مرجوعی فروش",-1,1)*IF(Sync!$AC1389="",0,Sync!$AC1389))</f>
        <v/>
      </c>
      <c r="O1393">
        <f>IF(OR($G1393="",Sync!$V1389=""),"",Sync!$V1389)</f>
        <v/>
      </c>
      <c r="P1393">
        <f>IF(OR($G1393="",Sync!$AD1389=""),"",Sync!$AD1389)</f>
        <v/>
      </c>
      <c r="Q1393">
        <f>IF($G1393="","",IF(Sync!$U1389="","0000",IF(AND(ISNUMBER(Sync!$U1389),Sync!$U1389&gt;=0,Sync!$U1389&lt;1),RIGHT("00"&amp;HOUR(Sync!$U1389),2)&amp;RIGHT("00"&amp;MINUTE(Sync!$U1389),2),IFERROR(RIGHT("00"&amp;VALUE(LEFT(Sync!$U1389,FIND(":",Sync!$U1389)-1)),2)&amp;RIGHT("00"&amp;VALUE(MID(Sync!$U1389,FIND(":",Sync!$U1389)+1,2)),2),"0000"))))</f>
        <v/>
      </c>
    </row>
    <row r="1394">
      <c r="A1394">
        <f>IF(Sync!$T1390="","",Sync!$T1390)</f>
        <v/>
      </c>
      <c r="B1394">
        <f>IF($A1394="","",IF(ISNUMBER($A1394),IF(AND($A1394&gt;=10000101,$A1394&lt;=99991231),INT($A1394/10000),""),IFERROR(VALUE(TRIM(LEFT($A1394,FIND("/",$A1394)-1))),"")))</f>
        <v/>
      </c>
      <c r="C1394">
        <f>IF(OR($A1394="",$B1394=""),"",IF(ISNUMBER($A1394),INT(MOD($A1394,10000)/100),IFERROR(VALUE(TRIM(LEFT(MID($A1394,FIND("/",$A1394)+1,20),FIND("/",MID($A1394,FIND("/",$A1394)+1,20))-1))),"")))</f>
        <v/>
      </c>
      <c r="D1394">
        <f>IF(OR($A1394="",$B1394=""),"",IF(ISNUMBER($A1394),MOD($A1394,100),IFERROR(VALUE(TRIM(MID(MID($A1394,FIND("/",$A1394)+1,20),FIND("/",MID($A1394,FIND("/",$A1394)+1,20))+1,20))),"")))</f>
        <v/>
      </c>
      <c r="E1394">
        <f>IF($A1394="","",IF(OR($B1394="",$C1394="",$D1394="",$B1394&lt;1300,$B1394&gt;1500,$C1394&lt;1,$C1394&gt;12,$D1394&lt;1,$D1394&gt;31),"نامعتبر",RIGHT("0000"&amp;$B1394,4)&amp;"/"&amp;RIGHT("00"&amp;$C1394,2)&amp;"/"&amp;RIGHT("00"&amp;$D1394,2)))</f>
        <v/>
      </c>
      <c r="F1394">
        <f>IF(OR($E1394="",$E1394="نامعتبر"),"",LEFT($E1394,4)&amp;"/"&amp;MID($E1394,6,2))</f>
        <v/>
      </c>
      <c r="G1394">
        <f>IF(OR($E1394="",$E1394="نامعتبر",Sync!$X1390=""),"",IF(AND(LEFT(UPPER(TRIM(Sync!$X1390)),2)="SL",IFERROR(VLOOKUP(Sync!$W1390,OpTbl,3,0),"")="فروش"),UPPER(TRIM(Sync!$X1390)),""))</f>
        <v/>
      </c>
      <c r="H1394">
        <f>IF($G1394="","",IF(Sync!$W1390="","",Sync!$W1390))</f>
        <v/>
      </c>
      <c r="I1394">
        <f>IF(OR($G1394="",Sync!$Y1390=""),"",Sync!$Y1390)</f>
        <v/>
      </c>
      <c r="J1394">
        <f>IF(OR($G1394="",Sync!$Z1390=""),"",Sync!$Z1390)</f>
        <v/>
      </c>
      <c r="K1394">
        <f>IF($G1394="",0,IF(Sync!$AA1390="",0,Sync!$AA1390))</f>
        <v/>
      </c>
      <c r="L1394">
        <f>IF($G1394="",0,IF(Sync!$AB1390="",0,Sync!$AB1390))</f>
        <v/>
      </c>
      <c r="M1394">
        <f>IF($G1394="","",IF($H1394="مرجوعی فروش",-1,1)*($K1394-$L1394*IFERROR(VLOOKUP("P01",ParamTbl,3,0),1.5)))</f>
        <v/>
      </c>
      <c r="N1394">
        <f>IF($G1394="",0,IF($H1394="مرجوعی فروش",-1,1)*IF(Sync!$AC1390="",0,Sync!$AC1390))</f>
        <v/>
      </c>
      <c r="O1394">
        <f>IF(OR($G1394="",Sync!$V1390=""),"",Sync!$V1390)</f>
        <v/>
      </c>
      <c r="P1394">
        <f>IF(OR($G1394="",Sync!$AD1390=""),"",Sync!$AD1390)</f>
        <v/>
      </c>
      <c r="Q1394">
        <f>IF($G1394="","",IF(Sync!$U1390="","0000",IF(AND(ISNUMBER(Sync!$U1390),Sync!$U1390&gt;=0,Sync!$U1390&lt;1),RIGHT("00"&amp;HOUR(Sync!$U1390),2)&amp;RIGHT("00"&amp;MINUTE(Sync!$U1390),2),IFERROR(RIGHT("00"&amp;VALUE(LEFT(Sync!$U1390,FIND(":",Sync!$U1390)-1)),2)&amp;RIGHT("00"&amp;VALUE(MID(Sync!$U1390,FIND(":",Sync!$U1390)+1,2)),2),"0000"))))</f>
        <v/>
      </c>
    </row>
    <row r="1395">
      <c r="A1395">
        <f>IF(Sync!$T1391="","",Sync!$T1391)</f>
        <v/>
      </c>
      <c r="B1395">
        <f>IF($A1395="","",IF(ISNUMBER($A1395),IF(AND($A1395&gt;=10000101,$A1395&lt;=99991231),INT($A1395/10000),""),IFERROR(VALUE(TRIM(LEFT($A1395,FIND("/",$A1395)-1))),"")))</f>
        <v/>
      </c>
      <c r="C1395">
        <f>IF(OR($A1395="",$B1395=""),"",IF(ISNUMBER($A1395),INT(MOD($A1395,10000)/100),IFERROR(VALUE(TRIM(LEFT(MID($A1395,FIND("/",$A1395)+1,20),FIND("/",MID($A1395,FIND("/",$A1395)+1,20))-1))),"")))</f>
        <v/>
      </c>
      <c r="D1395">
        <f>IF(OR($A1395="",$B1395=""),"",IF(ISNUMBER($A1395),MOD($A1395,100),IFERROR(VALUE(TRIM(MID(MID($A1395,FIND("/",$A1395)+1,20),FIND("/",MID($A1395,FIND("/",$A1395)+1,20))+1,20))),"")))</f>
        <v/>
      </c>
      <c r="E1395">
        <f>IF($A1395="","",IF(OR($B1395="",$C1395="",$D1395="",$B1395&lt;1300,$B1395&gt;1500,$C1395&lt;1,$C1395&gt;12,$D1395&lt;1,$D1395&gt;31),"نامعتبر",RIGHT("0000"&amp;$B1395,4)&amp;"/"&amp;RIGHT("00"&amp;$C1395,2)&amp;"/"&amp;RIGHT("00"&amp;$D1395,2)))</f>
        <v/>
      </c>
      <c r="F1395">
        <f>IF(OR($E1395="",$E1395="نامعتبر"),"",LEFT($E1395,4)&amp;"/"&amp;MID($E1395,6,2))</f>
        <v/>
      </c>
      <c r="G1395">
        <f>IF(OR($E1395="",$E1395="نامعتبر",Sync!$X1391=""),"",IF(AND(LEFT(UPPER(TRIM(Sync!$X1391)),2)="SL",IFERROR(VLOOKUP(Sync!$W1391,OpTbl,3,0),"")="فروش"),UPPER(TRIM(Sync!$X1391)),""))</f>
        <v/>
      </c>
      <c r="H1395">
        <f>IF($G1395="","",IF(Sync!$W1391="","",Sync!$W1391))</f>
        <v/>
      </c>
      <c r="I1395">
        <f>IF(OR($G1395="",Sync!$Y1391=""),"",Sync!$Y1391)</f>
        <v/>
      </c>
      <c r="J1395">
        <f>IF(OR($G1395="",Sync!$Z1391=""),"",Sync!$Z1391)</f>
        <v/>
      </c>
      <c r="K1395">
        <f>IF($G1395="",0,IF(Sync!$AA1391="",0,Sync!$AA1391))</f>
        <v/>
      </c>
      <c r="L1395">
        <f>IF($G1395="",0,IF(Sync!$AB1391="",0,Sync!$AB1391))</f>
        <v/>
      </c>
      <c r="M1395">
        <f>IF($G1395="","",IF($H1395="مرجوعی فروش",-1,1)*($K1395-$L1395*IFERROR(VLOOKUP("P01",ParamTbl,3,0),1.5)))</f>
        <v/>
      </c>
      <c r="N1395">
        <f>IF($G1395="",0,IF($H1395="مرجوعی فروش",-1,1)*IF(Sync!$AC1391="",0,Sync!$AC1391))</f>
        <v/>
      </c>
      <c r="O1395">
        <f>IF(OR($G1395="",Sync!$V1391=""),"",Sync!$V1391)</f>
        <v/>
      </c>
      <c r="P1395">
        <f>IF(OR($G1395="",Sync!$AD1391=""),"",Sync!$AD1391)</f>
        <v/>
      </c>
      <c r="Q1395">
        <f>IF($G1395="","",IF(Sync!$U1391="","0000",IF(AND(ISNUMBER(Sync!$U1391),Sync!$U1391&gt;=0,Sync!$U1391&lt;1),RIGHT("00"&amp;HOUR(Sync!$U1391),2)&amp;RIGHT("00"&amp;MINUTE(Sync!$U1391),2),IFERROR(RIGHT("00"&amp;VALUE(LEFT(Sync!$U1391,FIND(":",Sync!$U1391)-1)),2)&amp;RIGHT("00"&amp;VALUE(MID(Sync!$U1391,FIND(":",Sync!$U1391)+1,2)),2),"0000"))))</f>
        <v/>
      </c>
    </row>
    <row r="1396">
      <c r="A1396">
        <f>IF(Sync!$T1392="","",Sync!$T1392)</f>
        <v/>
      </c>
      <c r="B1396">
        <f>IF($A1396="","",IF(ISNUMBER($A1396),IF(AND($A1396&gt;=10000101,$A1396&lt;=99991231),INT($A1396/10000),""),IFERROR(VALUE(TRIM(LEFT($A1396,FIND("/",$A1396)-1))),"")))</f>
        <v/>
      </c>
      <c r="C1396">
        <f>IF(OR($A1396="",$B1396=""),"",IF(ISNUMBER($A1396),INT(MOD($A1396,10000)/100),IFERROR(VALUE(TRIM(LEFT(MID($A1396,FIND("/",$A1396)+1,20),FIND("/",MID($A1396,FIND("/",$A1396)+1,20))-1))),"")))</f>
        <v/>
      </c>
      <c r="D1396">
        <f>IF(OR($A1396="",$B1396=""),"",IF(ISNUMBER($A1396),MOD($A1396,100),IFERROR(VALUE(TRIM(MID(MID($A1396,FIND("/",$A1396)+1,20),FIND("/",MID($A1396,FIND("/",$A1396)+1,20))+1,20))),"")))</f>
        <v/>
      </c>
      <c r="E1396">
        <f>IF($A1396="","",IF(OR($B1396="",$C1396="",$D1396="",$B1396&lt;1300,$B1396&gt;1500,$C1396&lt;1,$C1396&gt;12,$D1396&lt;1,$D1396&gt;31),"نامعتبر",RIGHT("0000"&amp;$B1396,4)&amp;"/"&amp;RIGHT("00"&amp;$C1396,2)&amp;"/"&amp;RIGHT("00"&amp;$D1396,2)))</f>
        <v/>
      </c>
      <c r="F1396">
        <f>IF(OR($E1396="",$E1396="نامعتبر"),"",LEFT($E1396,4)&amp;"/"&amp;MID($E1396,6,2))</f>
        <v/>
      </c>
      <c r="G1396">
        <f>IF(OR($E1396="",$E1396="نامعتبر",Sync!$X1392=""),"",IF(AND(LEFT(UPPER(TRIM(Sync!$X1392)),2)="SL",IFERROR(VLOOKUP(Sync!$W1392,OpTbl,3,0),"")="فروش"),UPPER(TRIM(Sync!$X1392)),""))</f>
        <v/>
      </c>
      <c r="H1396">
        <f>IF($G1396="","",IF(Sync!$W1392="","",Sync!$W1392))</f>
        <v/>
      </c>
      <c r="I1396">
        <f>IF(OR($G1396="",Sync!$Y1392=""),"",Sync!$Y1392)</f>
        <v/>
      </c>
      <c r="J1396">
        <f>IF(OR($G1396="",Sync!$Z1392=""),"",Sync!$Z1392)</f>
        <v/>
      </c>
      <c r="K1396">
        <f>IF($G1396="",0,IF(Sync!$AA1392="",0,Sync!$AA1392))</f>
        <v/>
      </c>
      <c r="L1396">
        <f>IF($G1396="",0,IF(Sync!$AB1392="",0,Sync!$AB1392))</f>
        <v/>
      </c>
      <c r="M1396">
        <f>IF($G1396="","",IF($H1396="مرجوعی فروش",-1,1)*($K1396-$L1396*IFERROR(VLOOKUP("P01",ParamTbl,3,0),1.5)))</f>
        <v/>
      </c>
      <c r="N1396">
        <f>IF($G1396="",0,IF($H1396="مرجوعی فروش",-1,1)*IF(Sync!$AC1392="",0,Sync!$AC1392))</f>
        <v/>
      </c>
      <c r="O1396">
        <f>IF(OR($G1396="",Sync!$V1392=""),"",Sync!$V1392)</f>
        <v/>
      </c>
      <c r="P1396">
        <f>IF(OR($G1396="",Sync!$AD1392=""),"",Sync!$AD1392)</f>
        <v/>
      </c>
      <c r="Q1396">
        <f>IF($G1396="","",IF(Sync!$U1392="","0000",IF(AND(ISNUMBER(Sync!$U1392),Sync!$U1392&gt;=0,Sync!$U1392&lt;1),RIGHT("00"&amp;HOUR(Sync!$U1392),2)&amp;RIGHT("00"&amp;MINUTE(Sync!$U1392),2),IFERROR(RIGHT("00"&amp;VALUE(LEFT(Sync!$U1392,FIND(":",Sync!$U1392)-1)),2)&amp;RIGHT("00"&amp;VALUE(MID(Sync!$U1392,FIND(":",Sync!$U1392)+1,2)),2),"0000"))))</f>
        <v/>
      </c>
    </row>
    <row r="1397">
      <c r="A1397">
        <f>IF(Sync!$T1393="","",Sync!$T1393)</f>
        <v/>
      </c>
      <c r="B1397">
        <f>IF($A1397="","",IF(ISNUMBER($A1397),IF(AND($A1397&gt;=10000101,$A1397&lt;=99991231),INT($A1397/10000),""),IFERROR(VALUE(TRIM(LEFT($A1397,FIND("/",$A1397)-1))),"")))</f>
        <v/>
      </c>
      <c r="C1397">
        <f>IF(OR($A1397="",$B1397=""),"",IF(ISNUMBER($A1397),INT(MOD($A1397,10000)/100),IFERROR(VALUE(TRIM(LEFT(MID($A1397,FIND("/",$A1397)+1,20),FIND("/",MID($A1397,FIND("/",$A1397)+1,20))-1))),"")))</f>
        <v/>
      </c>
      <c r="D1397">
        <f>IF(OR($A1397="",$B1397=""),"",IF(ISNUMBER($A1397),MOD($A1397,100),IFERROR(VALUE(TRIM(MID(MID($A1397,FIND("/",$A1397)+1,20),FIND("/",MID($A1397,FIND("/",$A1397)+1,20))+1,20))),"")))</f>
        <v/>
      </c>
      <c r="E1397">
        <f>IF($A1397="","",IF(OR($B1397="",$C1397="",$D1397="",$B1397&lt;1300,$B1397&gt;1500,$C1397&lt;1,$C1397&gt;12,$D1397&lt;1,$D1397&gt;31),"نامعتبر",RIGHT("0000"&amp;$B1397,4)&amp;"/"&amp;RIGHT("00"&amp;$C1397,2)&amp;"/"&amp;RIGHT("00"&amp;$D1397,2)))</f>
        <v/>
      </c>
      <c r="F1397">
        <f>IF(OR($E1397="",$E1397="نامعتبر"),"",LEFT($E1397,4)&amp;"/"&amp;MID($E1397,6,2))</f>
        <v/>
      </c>
      <c r="G1397">
        <f>IF(OR($E1397="",$E1397="نامعتبر",Sync!$X1393=""),"",IF(AND(LEFT(UPPER(TRIM(Sync!$X1393)),2)="SL",IFERROR(VLOOKUP(Sync!$W1393,OpTbl,3,0),"")="فروش"),UPPER(TRIM(Sync!$X1393)),""))</f>
        <v/>
      </c>
      <c r="H1397">
        <f>IF($G1397="","",IF(Sync!$W1393="","",Sync!$W1393))</f>
        <v/>
      </c>
      <c r="I1397">
        <f>IF(OR($G1397="",Sync!$Y1393=""),"",Sync!$Y1393)</f>
        <v/>
      </c>
      <c r="J1397">
        <f>IF(OR($G1397="",Sync!$Z1393=""),"",Sync!$Z1393)</f>
        <v/>
      </c>
      <c r="K1397">
        <f>IF($G1397="",0,IF(Sync!$AA1393="",0,Sync!$AA1393))</f>
        <v/>
      </c>
      <c r="L1397">
        <f>IF($G1397="",0,IF(Sync!$AB1393="",0,Sync!$AB1393))</f>
        <v/>
      </c>
      <c r="M1397">
        <f>IF($G1397="","",IF($H1397="مرجوعی فروش",-1,1)*($K1397-$L1397*IFERROR(VLOOKUP("P01",ParamTbl,3,0),1.5)))</f>
        <v/>
      </c>
      <c r="N1397">
        <f>IF($G1397="",0,IF($H1397="مرجوعی فروش",-1,1)*IF(Sync!$AC1393="",0,Sync!$AC1393))</f>
        <v/>
      </c>
      <c r="O1397">
        <f>IF(OR($G1397="",Sync!$V1393=""),"",Sync!$V1393)</f>
        <v/>
      </c>
      <c r="P1397">
        <f>IF(OR($G1397="",Sync!$AD1393=""),"",Sync!$AD1393)</f>
        <v/>
      </c>
      <c r="Q1397">
        <f>IF($G1397="","",IF(Sync!$U1393="","0000",IF(AND(ISNUMBER(Sync!$U1393),Sync!$U1393&gt;=0,Sync!$U1393&lt;1),RIGHT("00"&amp;HOUR(Sync!$U1393),2)&amp;RIGHT("00"&amp;MINUTE(Sync!$U1393),2),IFERROR(RIGHT("00"&amp;VALUE(LEFT(Sync!$U1393,FIND(":",Sync!$U1393)-1)),2)&amp;RIGHT("00"&amp;VALUE(MID(Sync!$U1393,FIND(":",Sync!$U1393)+1,2)),2),"0000"))))</f>
        <v/>
      </c>
    </row>
    <row r="1398">
      <c r="A1398">
        <f>IF(Sync!$T1394="","",Sync!$T1394)</f>
        <v/>
      </c>
      <c r="B1398">
        <f>IF($A1398="","",IF(ISNUMBER($A1398),IF(AND($A1398&gt;=10000101,$A1398&lt;=99991231),INT($A1398/10000),""),IFERROR(VALUE(TRIM(LEFT($A1398,FIND("/",$A1398)-1))),"")))</f>
        <v/>
      </c>
      <c r="C1398">
        <f>IF(OR($A1398="",$B1398=""),"",IF(ISNUMBER($A1398),INT(MOD($A1398,10000)/100),IFERROR(VALUE(TRIM(LEFT(MID($A1398,FIND("/",$A1398)+1,20),FIND("/",MID($A1398,FIND("/",$A1398)+1,20))-1))),"")))</f>
        <v/>
      </c>
      <c r="D1398">
        <f>IF(OR($A1398="",$B1398=""),"",IF(ISNUMBER($A1398),MOD($A1398,100),IFERROR(VALUE(TRIM(MID(MID($A1398,FIND("/",$A1398)+1,20),FIND("/",MID($A1398,FIND("/",$A1398)+1,20))+1,20))),"")))</f>
        <v/>
      </c>
      <c r="E1398">
        <f>IF($A1398="","",IF(OR($B1398="",$C1398="",$D1398="",$B1398&lt;1300,$B1398&gt;1500,$C1398&lt;1,$C1398&gt;12,$D1398&lt;1,$D1398&gt;31),"نامعتبر",RIGHT("0000"&amp;$B1398,4)&amp;"/"&amp;RIGHT("00"&amp;$C1398,2)&amp;"/"&amp;RIGHT("00"&amp;$D1398,2)))</f>
        <v/>
      </c>
      <c r="F1398">
        <f>IF(OR($E1398="",$E1398="نامعتبر"),"",LEFT($E1398,4)&amp;"/"&amp;MID($E1398,6,2))</f>
        <v/>
      </c>
      <c r="G1398">
        <f>IF(OR($E1398="",$E1398="نامعتبر",Sync!$X1394=""),"",IF(AND(LEFT(UPPER(TRIM(Sync!$X1394)),2)="SL",IFERROR(VLOOKUP(Sync!$W1394,OpTbl,3,0),"")="فروش"),UPPER(TRIM(Sync!$X1394)),""))</f>
        <v/>
      </c>
      <c r="H1398">
        <f>IF($G1398="","",IF(Sync!$W1394="","",Sync!$W1394))</f>
        <v/>
      </c>
      <c r="I1398">
        <f>IF(OR($G1398="",Sync!$Y1394=""),"",Sync!$Y1394)</f>
        <v/>
      </c>
      <c r="J1398">
        <f>IF(OR($G1398="",Sync!$Z1394=""),"",Sync!$Z1394)</f>
        <v/>
      </c>
      <c r="K1398">
        <f>IF($G1398="",0,IF(Sync!$AA1394="",0,Sync!$AA1394))</f>
        <v/>
      </c>
      <c r="L1398">
        <f>IF($G1398="",0,IF(Sync!$AB1394="",0,Sync!$AB1394))</f>
        <v/>
      </c>
      <c r="M1398">
        <f>IF($G1398="","",IF($H1398="مرجوعی فروش",-1,1)*($K1398-$L1398*IFERROR(VLOOKUP("P01",ParamTbl,3,0),1.5)))</f>
        <v/>
      </c>
      <c r="N1398">
        <f>IF($G1398="",0,IF($H1398="مرجوعی فروش",-1,1)*IF(Sync!$AC1394="",0,Sync!$AC1394))</f>
        <v/>
      </c>
      <c r="O1398">
        <f>IF(OR($G1398="",Sync!$V1394=""),"",Sync!$V1394)</f>
        <v/>
      </c>
      <c r="P1398">
        <f>IF(OR($G1398="",Sync!$AD1394=""),"",Sync!$AD1394)</f>
        <v/>
      </c>
      <c r="Q1398">
        <f>IF($G1398="","",IF(Sync!$U1394="","0000",IF(AND(ISNUMBER(Sync!$U1394),Sync!$U1394&gt;=0,Sync!$U1394&lt;1),RIGHT("00"&amp;HOUR(Sync!$U1394),2)&amp;RIGHT("00"&amp;MINUTE(Sync!$U1394),2),IFERROR(RIGHT("00"&amp;VALUE(LEFT(Sync!$U1394,FIND(":",Sync!$U1394)-1)),2)&amp;RIGHT("00"&amp;VALUE(MID(Sync!$U1394,FIND(":",Sync!$U1394)+1,2)),2),"0000"))))</f>
        <v/>
      </c>
    </row>
    <row r="1399">
      <c r="A1399">
        <f>IF(Sync!$T1395="","",Sync!$T1395)</f>
        <v/>
      </c>
      <c r="B1399">
        <f>IF($A1399="","",IF(ISNUMBER($A1399),IF(AND($A1399&gt;=10000101,$A1399&lt;=99991231),INT($A1399/10000),""),IFERROR(VALUE(TRIM(LEFT($A1399,FIND("/",$A1399)-1))),"")))</f>
        <v/>
      </c>
      <c r="C1399">
        <f>IF(OR($A1399="",$B1399=""),"",IF(ISNUMBER($A1399),INT(MOD($A1399,10000)/100),IFERROR(VALUE(TRIM(LEFT(MID($A1399,FIND("/",$A1399)+1,20),FIND("/",MID($A1399,FIND("/",$A1399)+1,20))-1))),"")))</f>
        <v/>
      </c>
      <c r="D1399">
        <f>IF(OR($A1399="",$B1399=""),"",IF(ISNUMBER($A1399),MOD($A1399,100),IFERROR(VALUE(TRIM(MID(MID($A1399,FIND("/",$A1399)+1,20),FIND("/",MID($A1399,FIND("/",$A1399)+1,20))+1,20))),"")))</f>
        <v/>
      </c>
      <c r="E1399">
        <f>IF($A1399="","",IF(OR($B1399="",$C1399="",$D1399="",$B1399&lt;1300,$B1399&gt;1500,$C1399&lt;1,$C1399&gt;12,$D1399&lt;1,$D1399&gt;31),"نامعتبر",RIGHT("0000"&amp;$B1399,4)&amp;"/"&amp;RIGHT("00"&amp;$C1399,2)&amp;"/"&amp;RIGHT("00"&amp;$D1399,2)))</f>
        <v/>
      </c>
      <c r="F1399">
        <f>IF(OR($E1399="",$E1399="نامعتبر"),"",LEFT($E1399,4)&amp;"/"&amp;MID($E1399,6,2))</f>
        <v/>
      </c>
      <c r="G1399">
        <f>IF(OR($E1399="",$E1399="نامعتبر",Sync!$X1395=""),"",IF(AND(LEFT(UPPER(TRIM(Sync!$X1395)),2)="SL",IFERROR(VLOOKUP(Sync!$W1395,OpTbl,3,0),"")="فروش"),UPPER(TRIM(Sync!$X1395)),""))</f>
        <v/>
      </c>
      <c r="H1399">
        <f>IF($G1399="","",IF(Sync!$W1395="","",Sync!$W1395))</f>
        <v/>
      </c>
      <c r="I1399">
        <f>IF(OR($G1399="",Sync!$Y1395=""),"",Sync!$Y1395)</f>
        <v/>
      </c>
      <c r="J1399">
        <f>IF(OR($G1399="",Sync!$Z1395=""),"",Sync!$Z1395)</f>
        <v/>
      </c>
      <c r="K1399">
        <f>IF($G1399="",0,IF(Sync!$AA1395="",0,Sync!$AA1395))</f>
        <v/>
      </c>
      <c r="L1399">
        <f>IF($G1399="",0,IF(Sync!$AB1395="",0,Sync!$AB1395))</f>
        <v/>
      </c>
      <c r="M1399">
        <f>IF($G1399="","",IF($H1399="مرجوعی فروش",-1,1)*($K1399-$L1399*IFERROR(VLOOKUP("P01",ParamTbl,3,0),1.5)))</f>
        <v/>
      </c>
      <c r="N1399">
        <f>IF($G1399="",0,IF($H1399="مرجوعی فروش",-1,1)*IF(Sync!$AC1395="",0,Sync!$AC1395))</f>
        <v/>
      </c>
      <c r="O1399">
        <f>IF(OR($G1399="",Sync!$V1395=""),"",Sync!$V1395)</f>
        <v/>
      </c>
      <c r="P1399">
        <f>IF(OR($G1399="",Sync!$AD1395=""),"",Sync!$AD1395)</f>
        <v/>
      </c>
      <c r="Q1399">
        <f>IF($G1399="","",IF(Sync!$U1395="","0000",IF(AND(ISNUMBER(Sync!$U1395),Sync!$U1395&gt;=0,Sync!$U1395&lt;1),RIGHT("00"&amp;HOUR(Sync!$U1395),2)&amp;RIGHT("00"&amp;MINUTE(Sync!$U1395),2),IFERROR(RIGHT("00"&amp;VALUE(LEFT(Sync!$U1395,FIND(":",Sync!$U1395)-1)),2)&amp;RIGHT("00"&amp;VALUE(MID(Sync!$U1395,FIND(":",Sync!$U1395)+1,2)),2),"0000"))))</f>
        <v/>
      </c>
    </row>
    <row r="1400">
      <c r="A1400">
        <f>IF(Sync!$T1396="","",Sync!$T1396)</f>
        <v/>
      </c>
      <c r="B1400">
        <f>IF($A1400="","",IF(ISNUMBER($A1400),IF(AND($A1400&gt;=10000101,$A1400&lt;=99991231),INT($A1400/10000),""),IFERROR(VALUE(TRIM(LEFT($A1400,FIND("/",$A1400)-1))),"")))</f>
        <v/>
      </c>
      <c r="C1400">
        <f>IF(OR($A1400="",$B1400=""),"",IF(ISNUMBER($A1400),INT(MOD($A1400,10000)/100),IFERROR(VALUE(TRIM(LEFT(MID($A1400,FIND("/",$A1400)+1,20),FIND("/",MID($A1400,FIND("/",$A1400)+1,20))-1))),"")))</f>
        <v/>
      </c>
      <c r="D1400">
        <f>IF(OR($A1400="",$B1400=""),"",IF(ISNUMBER($A1400),MOD($A1400,100),IFERROR(VALUE(TRIM(MID(MID($A1400,FIND("/",$A1400)+1,20),FIND("/",MID($A1400,FIND("/",$A1400)+1,20))+1,20))),"")))</f>
        <v/>
      </c>
      <c r="E1400">
        <f>IF($A1400="","",IF(OR($B1400="",$C1400="",$D1400="",$B1400&lt;1300,$B1400&gt;1500,$C1400&lt;1,$C1400&gt;12,$D1400&lt;1,$D1400&gt;31),"نامعتبر",RIGHT("0000"&amp;$B1400,4)&amp;"/"&amp;RIGHT("00"&amp;$C1400,2)&amp;"/"&amp;RIGHT("00"&amp;$D1400,2)))</f>
        <v/>
      </c>
      <c r="F1400">
        <f>IF(OR($E1400="",$E1400="نامعتبر"),"",LEFT($E1400,4)&amp;"/"&amp;MID($E1400,6,2))</f>
        <v/>
      </c>
      <c r="G1400">
        <f>IF(OR($E1400="",$E1400="نامعتبر",Sync!$X1396=""),"",IF(AND(LEFT(UPPER(TRIM(Sync!$X1396)),2)="SL",IFERROR(VLOOKUP(Sync!$W1396,OpTbl,3,0),"")="فروش"),UPPER(TRIM(Sync!$X1396)),""))</f>
        <v/>
      </c>
      <c r="H1400">
        <f>IF($G1400="","",IF(Sync!$W1396="","",Sync!$W1396))</f>
        <v/>
      </c>
      <c r="I1400">
        <f>IF(OR($G1400="",Sync!$Y1396=""),"",Sync!$Y1396)</f>
        <v/>
      </c>
      <c r="J1400">
        <f>IF(OR($G1400="",Sync!$Z1396=""),"",Sync!$Z1396)</f>
        <v/>
      </c>
      <c r="K1400">
        <f>IF($G1400="",0,IF(Sync!$AA1396="",0,Sync!$AA1396))</f>
        <v/>
      </c>
      <c r="L1400">
        <f>IF($G1400="",0,IF(Sync!$AB1396="",0,Sync!$AB1396))</f>
        <v/>
      </c>
      <c r="M1400">
        <f>IF($G1400="","",IF($H1400="مرجوعی فروش",-1,1)*($K1400-$L1400*IFERROR(VLOOKUP("P01",ParamTbl,3,0),1.5)))</f>
        <v/>
      </c>
      <c r="N1400">
        <f>IF($G1400="",0,IF($H1400="مرجوعی فروش",-1,1)*IF(Sync!$AC1396="",0,Sync!$AC1396))</f>
        <v/>
      </c>
      <c r="O1400">
        <f>IF(OR($G1400="",Sync!$V1396=""),"",Sync!$V1396)</f>
        <v/>
      </c>
      <c r="P1400">
        <f>IF(OR($G1400="",Sync!$AD1396=""),"",Sync!$AD1396)</f>
        <v/>
      </c>
      <c r="Q1400">
        <f>IF($G1400="","",IF(Sync!$U1396="","0000",IF(AND(ISNUMBER(Sync!$U1396),Sync!$U1396&gt;=0,Sync!$U1396&lt;1),RIGHT("00"&amp;HOUR(Sync!$U1396),2)&amp;RIGHT("00"&amp;MINUTE(Sync!$U1396),2),IFERROR(RIGHT("00"&amp;VALUE(LEFT(Sync!$U1396,FIND(":",Sync!$U1396)-1)),2)&amp;RIGHT("00"&amp;VALUE(MID(Sync!$U1396,FIND(":",Sync!$U1396)+1,2)),2),"0000"))))</f>
        <v/>
      </c>
    </row>
    <row r="1401">
      <c r="A1401">
        <f>IF(Sync!$T1397="","",Sync!$T1397)</f>
        <v/>
      </c>
      <c r="B1401">
        <f>IF($A1401="","",IF(ISNUMBER($A1401),IF(AND($A1401&gt;=10000101,$A1401&lt;=99991231),INT($A1401/10000),""),IFERROR(VALUE(TRIM(LEFT($A1401,FIND("/",$A1401)-1))),"")))</f>
        <v/>
      </c>
      <c r="C1401">
        <f>IF(OR($A1401="",$B1401=""),"",IF(ISNUMBER($A1401),INT(MOD($A1401,10000)/100),IFERROR(VALUE(TRIM(LEFT(MID($A1401,FIND("/",$A1401)+1,20),FIND("/",MID($A1401,FIND("/",$A1401)+1,20))-1))),"")))</f>
        <v/>
      </c>
      <c r="D1401">
        <f>IF(OR($A1401="",$B1401=""),"",IF(ISNUMBER($A1401),MOD($A1401,100),IFERROR(VALUE(TRIM(MID(MID($A1401,FIND("/",$A1401)+1,20),FIND("/",MID($A1401,FIND("/",$A1401)+1,20))+1,20))),"")))</f>
        <v/>
      </c>
      <c r="E1401">
        <f>IF($A1401="","",IF(OR($B1401="",$C1401="",$D1401="",$B1401&lt;1300,$B1401&gt;1500,$C1401&lt;1,$C1401&gt;12,$D1401&lt;1,$D1401&gt;31),"نامعتبر",RIGHT("0000"&amp;$B1401,4)&amp;"/"&amp;RIGHT("00"&amp;$C1401,2)&amp;"/"&amp;RIGHT("00"&amp;$D1401,2)))</f>
        <v/>
      </c>
      <c r="F1401">
        <f>IF(OR($E1401="",$E1401="نامعتبر"),"",LEFT($E1401,4)&amp;"/"&amp;MID($E1401,6,2))</f>
        <v/>
      </c>
      <c r="G1401">
        <f>IF(OR($E1401="",$E1401="نامعتبر",Sync!$X1397=""),"",IF(AND(LEFT(UPPER(TRIM(Sync!$X1397)),2)="SL",IFERROR(VLOOKUP(Sync!$W1397,OpTbl,3,0),"")="فروش"),UPPER(TRIM(Sync!$X1397)),""))</f>
        <v/>
      </c>
      <c r="H1401">
        <f>IF($G1401="","",IF(Sync!$W1397="","",Sync!$W1397))</f>
        <v/>
      </c>
      <c r="I1401">
        <f>IF(OR($G1401="",Sync!$Y1397=""),"",Sync!$Y1397)</f>
        <v/>
      </c>
      <c r="J1401">
        <f>IF(OR($G1401="",Sync!$Z1397=""),"",Sync!$Z1397)</f>
        <v/>
      </c>
      <c r="K1401">
        <f>IF($G1401="",0,IF(Sync!$AA1397="",0,Sync!$AA1397))</f>
        <v/>
      </c>
      <c r="L1401">
        <f>IF($G1401="",0,IF(Sync!$AB1397="",0,Sync!$AB1397))</f>
        <v/>
      </c>
      <c r="M1401">
        <f>IF($G1401="","",IF($H1401="مرجوعی فروش",-1,1)*($K1401-$L1401*IFERROR(VLOOKUP("P01",ParamTbl,3,0),1.5)))</f>
        <v/>
      </c>
      <c r="N1401">
        <f>IF($G1401="",0,IF($H1401="مرجوعی فروش",-1,1)*IF(Sync!$AC1397="",0,Sync!$AC1397))</f>
        <v/>
      </c>
      <c r="O1401">
        <f>IF(OR($G1401="",Sync!$V1397=""),"",Sync!$V1397)</f>
        <v/>
      </c>
      <c r="P1401">
        <f>IF(OR($G1401="",Sync!$AD1397=""),"",Sync!$AD1397)</f>
        <v/>
      </c>
      <c r="Q1401">
        <f>IF($G1401="","",IF(Sync!$U1397="","0000",IF(AND(ISNUMBER(Sync!$U1397),Sync!$U1397&gt;=0,Sync!$U1397&lt;1),RIGHT("00"&amp;HOUR(Sync!$U1397),2)&amp;RIGHT("00"&amp;MINUTE(Sync!$U1397),2),IFERROR(RIGHT("00"&amp;VALUE(LEFT(Sync!$U1397,FIND(":",Sync!$U1397)-1)),2)&amp;RIGHT("00"&amp;VALUE(MID(Sync!$U1397,FIND(":",Sync!$U1397)+1,2)),2),"0000"))))</f>
        <v/>
      </c>
    </row>
    <row r="1402">
      <c r="A1402">
        <f>IF(Sync!$T1398="","",Sync!$T1398)</f>
        <v/>
      </c>
      <c r="B1402">
        <f>IF($A1402="","",IF(ISNUMBER($A1402),IF(AND($A1402&gt;=10000101,$A1402&lt;=99991231),INT($A1402/10000),""),IFERROR(VALUE(TRIM(LEFT($A1402,FIND("/",$A1402)-1))),"")))</f>
        <v/>
      </c>
      <c r="C1402">
        <f>IF(OR($A1402="",$B1402=""),"",IF(ISNUMBER($A1402),INT(MOD($A1402,10000)/100),IFERROR(VALUE(TRIM(LEFT(MID($A1402,FIND("/",$A1402)+1,20),FIND("/",MID($A1402,FIND("/",$A1402)+1,20))-1))),"")))</f>
        <v/>
      </c>
      <c r="D1402">
        <f>IF(OR($A1402="",$B1402=""),"",IF(ISNUMBER($A1402),MOD($A1402,100),IFERROR(VALUE(TRIM(MID(MID($A1402,FIND("/",$A1402)+1,20),FIND("/",MID($A1402,FIND("/",$A1402)+1,20))+1,20))),"")))</f>
        <v/>
      </c>
      <c r="E1402">
        <f>IF($A1402="","",IF(OR($B1402="",$C1402="",$D1402="",$B1402&lt;1300,$B1402&gt;1500,$C1402&lt;1,$C1402&gt;12,$D1402&lt;1,$D1402&gt;31),"نامعتبر",RIGHT("0000"&amp;$B1402,4)&amp;"/"&amp;RIGHT("00"&amp;$C1402,2)&amp;"/"&amp;RIGHT("00"&amp;$D1402,2)))</f>
        <v/>
      </c>
      <c r="F1402">
        <f>IF(OR($E1402="",$E1402="نامعتبر"),"",LEFT($E1402,4)&amp;"/"&amp;MID($E1402,6,2))</f>
        <v/>
      </c>
      <c r="G1402">
        <f>IF(OR($E1402="",$E1402="نامعتبر",Sync!$X1398=""),"",IF(AND(LEFT(UPPER(TRIM(Sync!$X1398)),2)="SL",IFERROR(VLOOKUP(Sync!$W1398,OpTbl,3,0),"")="فروش"),UPPER(TRIM(Sync!$X1398)),""))</f>
        <v/>
      </c>
      <c r="H1402">
        <f>IF($G1402="","",IF(Sync!$W1398="","",Sync!$W1398))</f>
        <v/>
      </c>
      <c r="I1402">
        <f>IF(OR($G1402="",Sync!$Y1398=""),"",Sync!$Y1398)</f>
        <v/>
      </c>
      <c r="J1402">
        <f>IF(OR($G1402="",Sync!$Z1398=""),"",Sync!$Z1398)</f>
        <v/>
      </c>
      <c r="K1402">
        <f>IF($G1402="",0,IF(Sync!$AA1398="",0,Sync!$AA1398))</f>
        <v/>
      </c>
      <c r="L1402">
        <f>IF($G1402="",0,IF(Sync!$AB1398="",0,Sync!$AB1398))</f>
        <v/>
      </c>
      <c r="M1402">
        <f>IF($G1402="","",IF($H1402="مرجوعی فروش",-1,1)*($K1402-$L1402*IFERROR(VLOOKUP("P01",ParamTbl,3,0),1.5)))</f>
        <v/>
      </c>
      <c r="N1402">
        <f>IF($G1402="",0,IF($H1402="مرجوعی فروش",-1,1)*IF(Sync!$AC1398="",0,Sync!$AC1398))</f>
        <v/>
      </c>
      <c r="O1402">
        <f>IF(OR($G1402="",Sync!$V1398=""),"",Sync!$V1398)</f>
        <v/>
      </c>
      <c r="P1402">
        <f>IF(OR($G1402="",Sync!$AD1398=""),"",Sync!$AD1398)</f>
        <v/>
      </c>
      <c r="Q1402">
        <f>IF($G1402="","",IF(Sync!$U1398="","0000",IF(AND(ISNUMBER(Sync!$U1398),Sync!$U1398&gt;=0,Sync!$U1398&lt;1),RIGHT("00"&amp;HOUR(Sync!$U1398),2)&amp;RIGHT("00"&amp;MINUTE(Sync!$U1398),2),IFERROR(RIGHT("00"&amp;VALUE(LEFT(Sync!$U1398,FIND(":",Sync!$U1398)-1)),2)&amp;RIGHT("00"&amp;VALUE(MID(Sync!$U1398,FIND(":",Sync!$U1398)+1,2)),2),"0000"))))</f>
        <v/>
      </c>
    </row>
    <row r="1403">
      <c r="A1403">
        <f>IF(Sync!$T1399="","",Sync!$T1399)</f>
        <v/>
      </c>
      <c r="B1403">
        <f>IF($A1403="","",IF(ISNUMBER($A1403),IF(AND($A1403&gt;=10000101,$A1403&lt;=99991231),INT($A1403/10000),""),IFERROR(VALUE(TRIM(LEFT($A1403,FIND("/",$A1403)-1))),"")))</f>
        <v/>
      </c>
      <c r="C1403">
        <f>IF(OR($A1403="",$B1403=""),"",IF(ISNUMBER($A1403),INT(MOD($A1403,10000)/100),IFERROR(VALUE(TRIM(LEFT(MID($A1403,FIND("/",$A1403)+1,20),FIND("/",MID($A1403,FIND("/",$A1403)+1,20))-1))),"")))</f>
        <v/>
      </c>
      <c r="D1403">
        <f>IF(OR($A1403="",$B1403=""),"",IF(ISNUMBER($A1403),MOD($A1403,100),IFERROR(VALUE(TRIM(MID(MID($A1403,FIND("/",$A1403)+1,20),FIND("/",MID($A1403,FIND("/",$A1403)+1,20))+1,20))),"")))</f>
        <v/>
      </c>
      <c r="E1403">
        <f>IF($A1403="","",IF(OR($B1403="",$C1403="",$D1403="",$B1403&lt;1300,$B1403&gt;1500,$C1403&lt;1,$C1403&gt;12,$D1403&lt;1,$D1403&gt;31),"نامعتبر",RIGHT("0000"&amp;$B1403,4)&amp;"/"&amp;RIGHT("00"&amp;$C1403,2)&amp;"/"&amp;RIGHT("00"&amp;$D1403,2)))</f>
        <v/>
      </c>
      <c r="F1403">
        <f>IF(OR($E1403="",$E1403="نامعتبر"),"",LEFT($E1403,4)&amp;"/"&amp;MID($E1403,6,2))</f>
        <v/>
      </c>
      <c r="G1403">
        <f>IF(OR($E1403="",$E1403="نامعتبر",Sync!$X1399=""),"",IF(AND(LEFT(UPPER(TRIM(Sync!$X1399)),2)="SL",IFERROR(VLOOKUP(Sync!$W1399,OpTbl,3,0),"")="فروش"),UPPER(TRIM(Sync!$X1399)),""))</f>
        <v/>
      </c>
      <c r="H1403">
        <f>IF($G1403="","",IF(Sync!$W1399="","",Sync!$W1399))</f>
        <v/>
      </c>
      <c r="I1403">
        <f>IF(OR($G1403="",Sync!$Y1399=""),"",Sync!$Y1399)</f>
        <v/>
      </c>
      <c r="J1403">
        <f>IF(OR($G1403="",Sync!$Z1399=""),"",Sync!$Z1399)</f>
        <v/>
      </c>
      <c r="K1403">
        <f>IF($G1403="",0,IF(Sync!$AA1399="",0,Sync!$AA1399))</f>
        <v/>
      </c>
      <c r="L1403">
        <f>IF($G1403="",0,IF(Sync!$AB1399="",0,Sync!$AB1399))</f>
        <v/>
      </c>
      <c r="M1403">
        <f>IF($G1403="","",IF($H1403="مرجوعی فروش",-1,1)*($K1403-$L1403*IFERROR(VLOOKUP("P01",ParamTbl,3,0),1.5)))</f>
        <v/>
      </c>
      <c r="N1403">
        <f>IF($G1403="",0,IF($H1403="مرجوعی فروش",-1,1)*IF(Sync!$AC1399="",0,Sync!$AC1399))</f>
        <v/>
      </c>
      <c r="O1403">
        <f>IF(OR($G1403="",Sync!$V1399=""),"",Sync!$V1399)</f>
        <v/>
      </c>
      <c r="P1403">
        <f>IF(OR($G1403="",Sync!$AD1399=""),"",Sync!$AD1399)</f>
        <v/>
      </c>
      <c r="Q1403">
        <f>IF($G1403="","",IF(Sync!$U1399="","0000",IF(AND(ISNUMBER(Sync!$U1399),Sync!$U1399&gt;=0,Sync!$U1399&lt;1),RIGHT("00"&amp;HOUR(Sync!$U1399),2)&amp;RIGHT("00"&amp;MINUTE(Sync!$U1399),2),IFERROR(RIGHT("00"&amp;VALUE(LEFT(Sync!$U1399,FIND(":",Sync!$U1399)-1)),2)&amp;RIGHT("00"&amp;VALUE(MID(Sync!$U1399,FIND(":",Sync!$U1399)+1,2)),2),"0000"))))</f>
        <v/>
      </c>
    </row>
    <row r="1404">
      <c r="A1404">
        <f>IF(Sync!$T1400="","",Sync!$T1400)</f>
        <v/>
      </c>
      <c r="B1404">
        <f>IF($A1404="","",IF(ISNUMBER($A1404),IF(AND($A1404&gt;=10000101,$A1404&lt;=99991231),INT($A1404/10000),""),IFERROR(VALUE(TRIM(LEFT($A1404,FIND("/",$A1404)-1))),"")))</f>
        <v/>
      </c>
      <c r="C1404">
        <f>IF(OR($A1404="",$B1404=""),"",IF(ISNUMBER($A1404),INT(MOD($A1404,10000)/100),IFERROR(VALUE(TRIM(LEFT(MID($A1404,FIND("/",$A1404)+1,20),FIND("/",MID($A1404,FIND("/",$A1404)+1,20))-1))),"")))</f>
        <v/>
      </c>
      <c r="D1404">
        <f>IF(OR($A1404="",$B1404=""),"",IF(ISNUMBER($A1404),MOD($A1404,100),IFERROR(VALUE(TRIM(MID(MID($A1404,FIND("/",$A1404)+1,20),FIND("/",MID($A1404,FIND("/",$A1404)+1,20))+1,20))),"")))</f>
        <v/>
      </c>
      <c r="E1404">
        <f>IF($A1404="","",IF(OR($B1404="",$C1404="",$D1404="",$B1404&lt;1300,$B1404&gt;1500,$C1404&lt;1,$C1404&gt;12,$D1404&lt;1,$D1404&gt;31),"نامعتبر",RIGHT("0000"&amp;$B1404,4)&amp;"/"&amp;RIGHT("00"&amp;$C1404,2)&amp;"/"&amp;RIGHT("00"&amp;$D1404,2)))</f>
        <v/>
      </c>
      <c r="F1404">
        <f>IF(OR($E1404="",$E1404="نامعتبر"),"",LEFT($E1404,4)&amp;"/"&amp;MID($E1404,6,2))</f>
        <v/>
      </c>
      <c r="G1404">
        <f>IF(OR($E1404="",$E1404="نامعتبر",Sync!$X1400=""),"",IF(AND(LEFT(UPPER(TRIM(Sync!$X1400)),2)="SL",IFERROR(VLOOKUP(Sync!$W1400,OpTbl,3,0),"")="فروش"),UPPER(TRIM(Sync!$X1400)),""))</f>
        <v/>
      </c>
      <c r="H1404">
        <f>IF($G1404="","",IF(Sync!$W1400="","",Sync!$W1400))</f>
        <v/>
      </c>
      <c r="I1404">
        <f>IF(OR($G1404="",Sync!$Y1400=""),"",Sync!$Y1400)</f>
        <v/>
      </c>
      <c r="J1404">
        <f>IF(OR($G1404="",Sync!$Z1400=""),"",Sync!$Z1400)</f>
        <v/>
      </c>
      <c r="K1404">
        <f>IF($G1404="",0,IF(Sync!$AA1400="",0,Sync!$AA1400))</f>
        <v/>
      </c>
      <c r="L1404">
        <f>IF($G1404="",0,IF(Sync!$AB1400="",0,Sync!$AB1400))</f>
        <v/>
      </c>
      <c r="M1404">
        <f>IF($G1404="","",IF($H1404="مرجوعی فروش",-1,1)*($K1404-$L1404*IFERROR(VLOOKUP("P01",ParamTbl,3,0),1.5)))</f>
        <v/>
      </c>
      <c r="N1404">
        <f>IF($G1404="",0,IF($H1404="مرجوعی فروش",-1,1)*IF(Sync!$AC1400="",0,Sync!$AC1400))</f>
        <v/>
      </c>
      <c r="O1404">
        <f>IF(OR($G1404="",Sync!$V1400=""),"",Sync!$V1400)</f>
        <v/>
      </c>
      <c r="P1404">
        <f>IF(OR($G1404="",Sync!$AD1400=""),"",Sync!$AD1400)</f>
        <v/>
      </c>
      <c r="Q1404">
        <f>IF($G1404="","",IF(Sync!$U1400="","0000",IF(AND(ISNUMBER(Sync!$U1400),Sync!$U1400&gt;=0,Sync!$U1400&lt;1),RIGHT("00"&amp;HOUR(Sync!$U1400),2)&amp;RIGHT("00"&amp;MINUTE(Sync!$U1400),2),IFERROR(RIGHT("00"&amp;VALUE(LEFT(Sync!$U1400,FIND(":",Sync!$U1400)-1)),2)&amp;RIGHT("00"&amp;VALUE(MID(Sync!$U1400,FIND(":",Sync!$U1400)+1,2)),2),"0000"))))</f>
        <v/>
      </c>
    </row>
    <row r="1405">
      <c r="A1405">
        <f>IF(Sync!$T1401="","",Sync!$T1401)</f>
        <v/>
      </c>
      <c r="B1405">
        <f>IF($A1405="","",IF(ISNUMBER($A1405),IF(AND($A1405&gt;=10000101,$A1405&lt;=99991231),INT($A1405/10000),""),IFERROR(VALUE(TRIM(LEFT($A1405,FIND("/",$A1405)-1))),"")))</f>
        <v/>
      </c>
      <c r="C1405">
        <f>IF(OR($A1405="",$B1405=""),"",IF(ISNUMBER($A1405),INT(MOD($A1405,10000)/100),IFERROR(VALUE(TRIM(LEFT(MID($A1405,FIND("/",$A1405)+1,20),FIND("/",MID($A1405,FIND("/",$A1405)+1,20))-1))),"")))</f>
        <v/>
      </c>
      <c r="D1405">
        <f>IF(OR($A1405="",$B1405=""),"",IF(ISNUMBER($A1405),MOD($A1405,100),IFERROR(VALUE(TRIM(MID(MID($A1405,FIND("/",$A1405)+1,20),FIND("/",MID($A1405,FIND("/",$A1405)+1,20))+1,20))),"")))</f>
        <v/>
      </c>
      <c r="E1405">
        <f>IF($A1405="","",IF(OR($B1405="",$C1405="",$D1405="",$B1405&lt;1300,$B1405&gt;1500,$C1405&lt;1,$C1405&gt;12,$D1405&lt;1,$D1405&gt;31),"نامعتبر",RIGHT("0000"&amp;$B1405,4)&amp;"/"&amp;RIGHT("00"&amp;$C1405,2)&amp;"/"&amp;RIGHT("00"&amp;$D1405,2)))</f>
        <v/>
      </c>
      <c r="F1405">
        <f>IF(OR($E1405="",$E1405="نامعتبر"),"",LEFT($E1405,4)&amp;"/"&amp;MID($E1405,6,2))</f>
        <v/>
      </c>
      <c r="G1405">
        <f>IF(OR($E1405="",$E1405="نامعتبر",Sync!$X1401=""),"",IF(AND(LEFT(UPPER(TRIM(Sync!$X1401)),2)="SL",IFERROR(VLOOKUP(Sync!$W1401,OpTbl,3,0),"")="فروش"),UPPER(TRIM(Sync!$X1401)),""))</f>
        <v/>
      </c>
      <c r="H1405">
        <f>IF($G1405="","",IF(Sync!$W1401="","",Sync!$W1401))</f>
        <v/>
      </c>
      <c r="I1405">
        <f>IF(OR($G1405="",Sync!$Y1401=""),"",Sync!$Y1401)</f>
        <v/>
      </c>
      <c r="J1405">
        <f>IF(OR($G1405="",Sync!$Z1401=""),"",Sync!$Z1401)</f>
        <v/>
      </c>
      <c r="K1405">
        <f>IF($G1405="",0,IF(Sync!$AA1401="",0,Sync!$AA1401))</f>
        <v/>
      </c>
      <c r="L1405">
        <f>IF($G1405="",0,IF(Sync!$AB1401="",0,Sync!$AB1401))</f>
        <v/>
      </c>
      <c r="M1405">
        <f>IF($G1405="","",IF($H1405="مرجوعی فروش",-1,1)*($K1405-$L1405*IFERROR(VLOOKUP("P01",ParamTbl,3,0),1.5)))</f>
        <v/>
      </c>
      <c r="N1405">
        <f>IF($G1405="",0,IF($H1405="مرجوعی فروش",-1,1)*IF(Sync!$AC1401="",0,Sync!$AC1401))</f>
        <v/>
      </c>
      <c r="O1405">
        <f>IF(OR($G1405="",Sync!$V1401=""),"",Sync!$V1401)</f>
        <v/>
      </c>
      <c r="P1405">
        <f>IF(OR($G1405="",Sync!$AD1401=""),"",Sync!$AD1401)</f>
        <v/>
      </c>
      <c r="Q1405">
        <f>IF($G1405="","",IF(Sync!$U1401="","0000",IF(AND(ISNUMBER(Sync!$U1401),Sync!$U1401&gt;=0,Sync!$U1401&lt;1),RIGHT("00"&amp;HOUR(Sync!$U1401),2)&amp;RIGHT("00"&amp;MINUTE(Sync!$U1401),2),IFERROR(RIGHT("00"&amp;VALUE(LEFT(Sync!$U1401,FIND(":",Sync!$U1401)-1)),2)&amp;RIGHT("00"&amp;VALUE(MID(Sync!$U1401,FIND(":",Sync!$U1401)+1,2)),2),"0000"))))</f>
        <v/>
      </c>
    </row>
    <row r="1406">
      <c r="A1406">
        <f>IF(Sync!$T1402="","",Sync!$T1402)</f>
        <v/>
      </c>
      <c r="B1406">
        <f>IF($A1406="","",IF(ISNUMBER($A1406),IF(AND($A1406&gt;=10000101,$A1406&lt;=99991231),INT($A1406/10000),""),IFERROR(VALUE(TRIM(LEFT($A1406,FIND("/",$A1406)-1))),"")))</f>
        <v/>
      </c>
      <c r="C1406">
        <f>IF(OR($A1406="",$B1406=""),"",IF(ISNUMBER($A1406),INT(MOD($A1406,10000)/100),IFERROR(VALUE(TRIM(LEFT(MID($A1406,FIND("/",$A1406)+1,20),FIND("/",MID($A1406,FIND("/",$A1406)+1,20))-1))),"")))</f>
        <v/>
      </c>
      <c r="D1406">
        <f>IF(OR($A1406="",$B1406=""),"",IF(ISNUMBER($A1406),MOD($A1406,100),IFERROR(VALUE(TRIM(MID(MID($A1406,FIND("/",$A1406)+1,20),FIND("/",MID($A1406,FIND("/",$A1406)+1,20))+1,20))),"")))</f>
        <v/>
      </c>
      <c r="E1406">
        <f>IF($A1406="","",IF(OR($B1406="",$C1406="",$D1406="",$B1406&lt;1300,$B1406&gt;1500,$C1406&lt;1,$C1406&gt;12,$D1406&lt;1,$D1406&gt;31),"نامعتبر",RIGHT("0000"&amp;$B1406,4)&amp;"/"&amp;RIGHT("00"&amp;$C1406,2)&amp;"/"&amp;RIGHT("00"&amp;$D1406,2)))</f>
        <v/>
      </c>
      <c r="F1406">
        <f>IF(OR($E1406="",$E1406="نامعتبر"),"",LEFT($E1406,4)&amp;"/"&amp;MID($E1406,6,2))</f>
        <v/>
      </c>
      <c r="G1406">
        <f>IF(OR($E1406="",$E1406="نامعتبر",Sync!$X1402=""),"",IF(AND(LEFT(UPPER(TRIM(Sync!$X1402)),2)="SL",IFERROR(VLOOKUP(Sync!$W1402,OpTbl,3,0),"")="فروش"),UPPER(TRIM(Sync!$X1402)),""))</f>
        <v/>
      </c>
      <c r="H1406">
        <f>IF($G1406="","",IF(Sync!$W1402="","",Sync!$W1402))</f>
        <v/>
      </c>
      <c r="I1406">
        <f>IF(OR($G1406="",Sync!$Y1402=""),"",Sync!$Y1402)</f>
        <v/>
      </c>
      <c r="J1406">
        <f>IF(OR($G1406="",Sync!$Z1402=""),"",Sync!$Z1402)</f>
        <v/>
      </c>
      <c r="K1406">
        <f>IF($G1406="",0,IF(Sync!$AA1402="",0,Sync!$AA1402))</f>
        <v/>
      </c>
      <c r="L1406">
        <f>IF($G1406="",0,IF(Sync!$AB1402="",0,Sync!$AB1402))</f>
        <v/>
      </c>
      <c r="M1406">
        <f>IF($G1406="","",IF($H1406="مرجوعی فروش",-1,1)*($K1406-$L1406*IFERROR(VLOOKUP("P01",ParamTbl,3,0),1.5)))</f>
        <v/>
      </c>
      <c r="N1406">
        <f>IF($G1406="",0,IF($H1406="مرجوعی فروش",-1,1)*IF(Sync!$AC1402="",0,Sync!$AC1402))</f>
        <v/>
      </c>
      <c r="O1406">
        <f>IF(OR($G1406="",Sync!$V1402=""),"",Sync!$V1402)</f>
        <v/>
      </c>
      <c r="P1406">
        <f>IF(OR($G1406="",Sync!$AD1402=""),"",Sync!$AD1402)</f>
        <v/>
      </c>
      <c r="Q1406">
        <f>IF($G1406="","",IF(Sync!$U1402="","0000",IF(AND(ISNUMBER(Sync!$U1402),Sync!$U1402&gt;=0,Sync!$U1402&lt;1),RIGHT("00"&amp;HOUR(Sync!$U1402),2)&amp;RIGHT("00"&amp;MINUTE(Sync!$U1402),2),IFERROR(RIGHT("00"&amp;VALUE(LEFT(Sync!$U1402,FIND(":",Sync!$U1402)-1)),2)&amp;RIGHT("00"&amp;VALUE(MID(Sync!$U1402,FIND(":",Sync!$U1402)+1,2)),2),"0000"))))</f>
        <v/>
      </c>
    </row>
    <row r="1407">
      <c r="A1407">
        <f>IF(Sync!$T1403="","",Sync!$T1403)</f>
        <v/>
      </c>
      <c r="B1407">
        <f>IF($A1407="","",IF(ISNUMBER($A1407),IF(AND($A1407&gt;=10000101,$A1407&lt;=99991231),INT($A1407/10000),""),IFERROR(VALUE(TRIM(LEFT($A1407,FIND("/",$A1407)-1))),"")))</f>
        <v/>
      </c>
      <c r="C1407">
        <f>IF(OR($A1407="",$B1407=""),"",IF(ISNUMBER($A1407),INT(MOD($A1407,10000)/100),IFERROR(VALUE(TRIM(LEFT(MID($A1407,FIND("/",$A1407)+1,20),FIND("/",MID($A1407,FIND("/",$A1407)+1,20))-1))),"")))</f>
        <v/>
      </c>
      <c r="D1407">
        <f>IF(OR($A1407="",$B1407=""),"",IF(ISNUMBER($A1407),MOD($A1407,100),IFERROR(VALUE(TRIM(MID(MID($A1407,FIND("/",$A1407)+1,20),FIND("/",MID($A1407,FIND("/",$A1407)+1,20))+1,20))),"")))</f>
        <v/>
      </c>
      <c r="E1407">
        <f>IF($A1407="","",IF(OR($B1407="",$C1407="",$D1407="",$B1407&lt;1300,$B1407&gt;1500,$C1407&lt;1,$C1407&gt;12,$D1407&lt;1,$D1407&gt;31),"نامعتبر",RIGHT("0000"&amp;$B1407,4)&amp;"/"&amp;RIGHT("00"&amp;$C1407,2)&amp;"/"&amp;RIGHT("00"&amp;$D1407,2)))</f>
        <v/>
      </c>
      <c r="F1407">
        <f>IF(OR($E1407="",$E1407="نامعتبر"),"",LEFT($E1407,4)&amp;"/"&amp;MID($E1407,6,2))</f>
        <v/>
      </c>
      <c r="G1407">
        <f>IF(OR($E1407="",$E1407="نامعتبر",Sync!$X1403=""),"",IF(AND(LEFT(UPPER(TRIM(Sync!$X1403)),2)="SL",IFERROR(VLOOKUP(Sync!$W1403,OpTbl,3,0),"")="فروش"),UPPER(TRIM(Sync!$X1403)),""))</f>
        <v/>
      </c>
      <c r="H1407">
        <f>IF($G1407="","",IF(Sync!$W1403="","",Sync!$W1403))</f>
        <v/>
      </c>
      <c r="I1407">
        <f>IF(OR($G1407="",Sync!$Y1403=""),"",Sync!$Y1403)</f>
        <v/>
      </c>
      <c r="J1407">
        <f>IF(OR($G1407="",Sync!$Z1403=""),"",Sync!$Z1403)</f>
        <v/>
      </c>
      <c r="K1407">
        <f>IF($G1407="",0,IF(Sync!$AA1403="",0,Sync!$AA1403))</f>
        <v/>
      </c>
      <c r="L1407">
        <f>IF($G1407="",0,IF(Sync!$AB1403="",0,Sync!$AB1403))</f>
        <v/>
      </c>
      <c r="M1407">
        <f>IF($G1407="","",IF($H1407="مرجوعی فروش",-1,1)*($K1407-$L1407*IFERROR(VLOOKUP("P01",ParamTbl,3,0),1.5)))</f>
        <v/>
      </c>
      <c r="N1407">
        <f>IF($G1407="",0,IF($H1407="مرجوعی فروش",-1,1)*IF(Sync!$AC1403="",0,Sync!$AC1403))</f>
        <v/>
      </c>
      <c r="O1407">
        <f>IF(OR($G1407="",Sync!$V1403=""),"",Sync!$V1403)</f>
        <v/>
      </c>
      <c r="P1407">
        <f>IF(OR($G1407="",Sync!$AD1403=""),"",Sync!$AD1403)</f>
        <v/>
      </c>
      <c r="Q1407">
        <f>IF($G1407="","",IF(Sync!$U1403="","0000",IF(AND(ISNUMBER(Sync!$U1403),Sync!$U1403&gt;=0,Sync!$U1403&lt;1),RIGHT("00"&amp;HOUR(Sync!$U1403),2)&amp;RIGHT("00"&amp;MINUTE(Sync!$U1403),2),IFERROR(RIGHT("00"&amp;VALUE(LEFT(Sync!$U1403,FIND(":",Sync!$U1403)-1)),2)&amp;RIGHT("00"&amp;VALUE(MID(Sync!$U1403,FIND(":",Sync!$U1403)+1,2)),2),"0000"))))</f>
        <v/>
      </c>
    </row>
    <row r="1408">
      <c r="A1408">
        <f>IF(Sync!$T1404="","",Sync!$T1404)</f>
        <v/>
      </c>
      <c r="B1408">
        <f>IF($A1408="","",IF(ISNUMBER($A1408),IF(AND($A1408&gt;=10000101,$A1408&lt;=99991231),INT($A1408/10000),""),IFERROR(VALUE(TRIM(LEFT($A1408,FIND("/",$A1408)-1))),"")))</f>
        <v/>
      </c>
      <c r="C1408">
        <f>IF(OR($A1408="",$B1408=""),"",IF(ISNUMBER($A1408),INT(MOD($A1408,10000)/100),IFERROR(VALUE(TRIM(LEFT(MID($A1408,FIND("/",$A1408)+1,20),FIND("/",MID($A1408,FIND("/",$A1408)+1,20))-1))),"")))</f>
        <v/>
      </c>
      <c r="D1408">
        <f>IF(OR($A1408="",$B1408=""),"",IF(ISNUMBER($A1408),MOD($A1408,100),IFERROR(VALUE(TRIM(MID(MID($A1408,FIND("/",$A1408)+1,20),FIND("/",MID($A1408,FIND("/",$A1408)+1,20))+1,20))),"")))</f>
        <v/>
      </c>
      <c r="E1408">
        <f>IF($A1408="","",IF(OR($B1408="",$C1408="",$D1408="",$B1408&lt;1300,$B1408&gt;1500,$C1408&lt;1,$C1408&gt;12,$D1408&lt;1,$D1408&gt;31),"نامعتبر",RIGHT("0000"&amp;$B1408,4)&amp;"/"&amp;RIGHT("00"&amp;$C1408,2)&amp;"/"&amp;RIGHT("00"&amp;$D1408,2)))</f>
        <v/>
      </c>
      <c r="F1408">
        <f>IF(OR($E1408="",$E1408="نامعتبر"),"",LEFT($E1408,4)&amp;"/"&amp;MID($E1408,6,2))</f>
        <v/>
      </c>
      <c r="G1408">
        <f>IF(OR($E1408="",$E1408="نامعتبر",Sync!$X1404=""),"",IF(AND(LEFT(UPPER(TRIM(Sync!$X1404)),2)="SL",IFERROR(VLOOKUP(Sync!$W1404,OpTbl,3,0),"")="فروش"),UPPER(TRIM(Sync!$X1404)),""))</f>
        <v/>
      </c>
      <c r="H1408">
        <f>IF($G1408="","",IF(Sync!$W1404="","",Sync!$W1404))</f>
        <v/>
      </c>
      <c r="I1408">
        <f>IF(OR($G1408="",Sync!$Y1404=""),"",Sync!$Y1404)</f>
        <v/>
      </c>
      <c r="J1408">
        <f>IF(OR($G1408="",Sync!$Z1404=""),"",Sync!$Z1404)</f>
        <v/>
      </c>
      <c r="K1408">
        <f>IF($G1408="",0,IF(Sync!$AA1404="",0,Sync!$AA1404))</f>
        <v/>
      </c>
      <c r="L1408">
        <f>IF($G1408="",0,IF(Sync!$AB1404="",0,Sync!$AB1404))</f>
        <v/>
      </c>
      <c r="M1408">
        <f>IF($G1408="","",IF($H1408="مرجوعی فروش",-1,1)*($K1408-$L1408*IFERROR(VLOOKUP("P01",ParamTbl,3,0),1.5)))</f>
        <v/>
      </c>
      <c r="N1408">
        <f>IF($G1408="",0,IF($H1408="مرجوعی فروش",-1,1)*IF(Sync!$AC1404="",0,Sync!$AC1404))</f>
        <v/>
      </c>
      <c r="O1408">
        <f>IF(OR($G1408="",Sync!$V1404=""),"",Sync!$V1404)</f>
        <v/>
      </c>
      <c r="P1408">
        <f>IF(OR($G1408="",Sync!$AD1404=""),"",Sync!$AD1404)</f>
        <v/>
      </c>
      <c r="Q1408">
        <f>IF($G1408="","",IF(Sync!$U1404="","0000",IF(AND(ISNUMBER(Sync!$U1404),Sync!$U1404&gt;=0,Sync!$U1404&lt;1),RIGHT("00"&amp;HOUR(Sync!$U1404),2)&amp;RIGHT("00"&amp;MINUTE(Sync!$U1404),2),IFERROR(RIGHT("00"&amp;VALUE(LEFT(Sync!$U1404,FIND(":",Sync!$U1404)-1)),2)&amp;RIGHT("00"&amp;VALUE(MID(Sync!$U1404,FIND(":",Sync!$U1404)+1,2)),2),"0000"))))</f>
        <v/>
      </c>
    </row>
    <row r="1409">
      <c r="A1409">
        <f>IF(Sync!$T1405="","",Sync!$T1405)</f>
        <v/>
      </c>
      <c r="B1409">
        <f>IF($A1409="","",IF(ISNUMBER($A1409),IF(AND($A1409&gt;=10000101,$A1409&lt;=99991231),INT($A1409/10000),""),IFERROR(VALUE(TRIM(LEFT($A1409,FIND("/",$A1409)-1))),"")))</f>
        <v/>
      </c>
      <c r="C1409">
        <f>IF(OR($A1409="",$B1409=""),"",IF(ISNUMBER($A1409),INT(MOD($A1409,10000)/100),IFERROR(VALUE(TRIM(LEFT(MID($A1409,FIND("/",$A1409)+1,20),FIND("/",MID($A1409,FIND("/",$A1409)+1,20))-1))),"")))</f>
        <v/>
      </c>
      <c r="D1409">
        <f>IF(OR($A1409="",$B1409=""),"",IF(ISNUMBER($A1409),MOD($A1409,100),IFERROR(VALUE(TRIM(MID(MID($A1409,FIND("/",$A1409)+1,20),FIND("/",MID($A1409,FIND("/",$A1409)+1,20))+1,20))),"")))</f>
        <v/>
      </c>
      <c r="E1409">
        <f>IF($A1409="","",IF(OR($B1409="",$C1409="",$D1409="",$B1409&lt;1300,$B1409&gt;1500,$C1409&lt;1,$C1409&gt;12,$D1409&lt;1,$D1409&gt;31),"نامعتبر",RIGHT("0000"&amp;$B1409,4)&amp;"/"&amp;RIGHT("00"&amp;$C1409,2)&amp;"/"&amp;RIGHT("00"&amp;$D1409,2)))</f>
        <v/>
      </c>
      <c r="F1409">
        <f>IF(OR($E1409="",$E1409="نامعتبر"),"",LEFT($E1409,4)&amp;"/"&amp;MID($E1409,6,2))</f>
        <v/>
      </c>
      <c r="G1409">
        <f>IF(OR($E1409="",$E1409="نامعتبر",Sync!$X1405=""),"",IF(AND(LEFT(UPPER(TRIM(Sync!$X1405)),2)="SL",IFERROR(VLOOKUP(Sync!$W1405,OpTbl,3,0),"")="فروش"),UPPER(TRIM(Sync!$X1405)),""))</f>
        <v/>
      </c>
      <c r="H1409">
        <f>IF($G1409="","",IF(Sync!$W1405="","",Sync!$W1405))</f>
        <v/>
      </c>
      <c r="I1409">
        <f>IF(OR($G1409="",Sync!$Y1405=""),"",Sync!$Y1405)</f>
        <v/>
      </c>
      <c r="J1409">
        <f>IF(OR($G1409="",Sync!$Z1405=""),"",Sync!$Z1405)</f>
        <v/>
      </c>
      <c r="K1409">
        <f>IF($G1409="",0,IF(Sync!$AA1405="",0,Sync!$AA1405))</f>
        <v/>
      </c>
      <c r="L1409">
        <f>IF($G1409="",0,IF(Sync!$AB1405="",0,Sync!$AB1405))</f>
        <v/>
      </c>
      <c r="M1409">
        <f>IF($G1409="","",IF($H1409="مرجوعی فروش",-1,1)*($K1409-$L1409*IFERROR(VLOOKUP("P01",ParamTbl,3,0),1.5)))</f>
        <v/>
      </c>
      <c r="N1409">
        <f>IF($G1409="",0,IF($H1409="مرجوعی فروش",-1,1)*IF(Sync!$AC1405="",0,Sync!$AC1405))</f>
        <v/>
      </c>
      <c r="O1409">
        <f>IF(OR($G1409="",Sync!$V1405=""),"",Sync!$V1405)</f>
        <v/>
      </c>
      <c r="P1409">
        <f>IF(OR($G1409="",Sync!$AD1405=""),"",Sync!$AD1405)</f>
        <v/>
      </c>
      <c r="Q1409">
        <f>IF($G1409="","",IF(Sync!$U1405="","0000",IF(AND(ISNUMBER(Sync!$U1405),Sync!$U1405&gt;=0,Sync!$U1405&lt;1),RIGHT("00"&amp;HOUR(Sync!$U1405),2)&amp;RIGHT("00"&amp;MINUTE(Sync!$U1405),2),IFERROR(RIGHT("00"&amp;VALUE(LEFT(Sync!$U1405,FIND(":",Sync!$U1405)-1)),2)&amp;RIGHT("00"&amp;VALUE(MID(Sync!$U1405,FIND(":",Sync!$U1405)+1,2)),2),"0000"))))</f>
        <v/>
      </c>
    </row>
    <row r="1410">
      <c r="A1410">
        <f>IF(Sync!$T1406="","",Sync!$T1406)</f>
        <v/>
      </c>
      <c r="B1410">
        <f>IF($A1410="","",IF(ISNUMBER($A1410),IF(AND($A1410&gt;=10000101,$A1410&lt;=99991231),INT($A1410/10000),""),IFERROR(VALUE(TRIM(LEFT($A1410,FIND("/",$A1410)-1))),"")))</f>
        <v/>
      </c>
      <c r="C1410">
        <f>IF(OR($A1410="",$B1410=""),"",IF(ISNUMBER($A1410),INT(MOD($A1410,10000)/100),IFERROR(VALUE(TRIM(LEFT(MID($A1410,FIND("/",$A1410)+1,20),FIND("/",MID($A1410,FIND("/",$A1410)+1,20))-1))),"")))</f>
        <v/>
      </c>
      <c r="D1410">
        <f>IF(OR($A1410="",$B1410=""),"",IF(ISNUMBER($A1410),MOD($A1410,100),IFERROR(VALUE(TRIM(MID(MID($A1410,FIND("/",$A1410)+1,20),FIND("/",MID($A1410,FIND("/",$A1410)+1,20))+1,20))),"")))</f>
        <v/>
      </c>
      <c r="E1410">
        <f>IF($A1410="","",IF(OR($B1410="",$C1410="",$D1410="",$B1410&lt;1300,$B1410&gt;1500,$C1410&lt;1,$C1410&gt;12,$D1410&lt;1,$D1410&gt;31),"نامعتبر",RIGHT("0000"&amp;$B1410,4)&amp;"/"&amp;RIGHT("00"&amp;$C1410,2)&amp;"/"&amp;RIGHT("00"&amp;$D1410,2)))</f>
        <v/>
      </c>
      <c r="F1410">
        <f>IF(OR($E1410="",$E1410="نامعتبر"),"",LEFT($E1410,4)&amp;"/"&amp;MID($E1410,6,2))</f>
        <v/>
      </c>
      <c r="G1410">
        <f>IF(OR($E1410="",$E1410="نامعتبر",Sync!$X1406=""),"",IF(AND(LEFT(UPPER(TRIM(Sync!$X1406)),2)="SL",IFERROR(VLOOKUP(Sync!$W1406,OpTbl,3,0),"")="فروش"),UPPER(TRIM(Sync!$X1406)),""))</f>
        <v/>
      </c>
      <c r="H1410">
        <f>IF($G1410="","",IF(Sync!$W1406="","",Sync!$W1406))</f>
        <v/>
      </c>
      <c r="I1410">
        <f>IF(OR($G1410="",Sync!$Y1406=""),"",Sync!$Y1406)</f>
        <v/>
      </c>
      <c r="J1410">
        <f>IF(OR($G1410="",Sync!$Z1406=""),"",Sync!$Z1406)</f>
        <v/>
      </c>
      <c r="K1410">
        <f>IF($G1410="",0,IF(Sync!$AA1406="",0,Sync!$AA1406))</f>
        <v/>
      </c>
      <c r="L1410">
        <f>IF($G1410="",0,IF(Sync!$AB1406="",0,Sync!$AB1406))</f>
        <v/>
      </c>
      <c r="M1410">
        <f>IF($G1410="","",IF($H1410="مرجوعی فروش",-1,1)*($K1410-$L1410*IFERROR(VLOOKUP("P01",ParamTbl,3,0),1.5)))</f>
        <v/>
      </c>
      <c r="N1410">
        <f>IF($G1410="",0,IF($H1410="مرجوعی فروش",-1,1)*IF(Sync!$AC1406="",0,Sync!$AC1406))</f>
        <v/>
      </c>
      <c r="O1410">
        <f>IF(OR($G1410="",Sync!$V1406=""),"",Sync!$V1406)</f>
        <v/>
      </c>
      <c r="P1410">
        <f>IF(OR($G1410="",Sync!$AD1406=""),"",Sync!$AD1406)</f>
        <v/>
      </c>
      <c r="Q1410">
        <f>IF($G1410="","",IF(Sync!$U1406="","0000",IF(AND(ISNUMBER(Sync!$U1406),Sync!$U1406&gt;=0,Sync!$U1406&lt;1),RIGHT("00"&amp;HOUR(Sync!$U1406),2)&amp;RIGHT("00"&amp;MINUTE(Sync!$U1406),2),IFERROR(RIGHT("00"&amp;VALUE(LEFT(Sync!$U1406,FIND(":",Sync!$U1406)-1)),2)&amp;RIGHT("00"&amp;VALUE(MID(Sync!$U1406,FIND(":",Sync!$U1406)+1,2)),2),"0000"))))</f>
        <v/>
      </c>
    </row>
    <row r="1411">
      <c r="A1411">
        <f>IF(Sync!$T1407="","",Sync!$T1407)</f>
        <v/>
      </c>
      <c r="B1411">
        <f>IF($A1411="","",IF(ISNUMBER($A1411),IF(AND($A1411&gt;=10000101,$A1411&lt;=99991231),INT($A1411/10000),""),IFERROR(VALUE(TRIM(LEFT($A1411,FIND("/",$A1411)-1))),"")))</f>
        <v/>
      </c>
      <c r="C1411">
        <f>IF(OR($A1411="",$B1411=""),"",IF(ISNUMBER($A1411),INT(MOD($A1411,10000)/100),IFERROR(VALUE(TRIM(LEFT(MID($A1411,FIND("/",$A1411)+1,20),FIND("/",MID($A1411,FIND("/",$A1411)+1,20))-1))),"")))</f>
        <v/>
      </c>
      <c r="D1411">
        <f>IF(OR($A1411="",$B1411=""),"",IF(ISNUMBER($A1411),MOD($A1411,100),IFERROR(VALUE(TRIM(MID(MID($A1411,FIND("/",$A1411)+1,20),FIND("/",MID($A1411,FIND("/",$A1411)+1,20))+1,20))),"")))</f>
        <v/>
      </c>
      <c r="E1411">
        <f>IF($A1411="","",IF(OR($B1411="",$C1411="",$D1411="",$B1411&lt;1300,$B1411&gt;1500,$C1411&lt;1,$C1411&gt;12,$D1411&lt;1,$D1411&gt;31),"نامعتبر",RIGHT("0000"&amp;$B1411,4)&amp;"/"&amp;RIGHT("00"&amp;$C1411,2)&amp;"/"&amp;RIGHT("00"&amp;$D1411,2)))</f>
        <v/>
      </c>
      <c r="F1411">
        <f>IF(OR($E1411="",$E1411="نامعتبر"),"",LEFT($E1411,4)&amp;"/"&amp;MID($E1411,6,2))</f>
        <v/>
      </c>
      <c r="G1411">
        <f>IF(OR($E1411="",$E1411="نامعتبر",Sync!$X1407=""),"",IF(AND(LEFT(UPPER(TRIM(Sync!$X1407)),2)="SL",IFERROR(VLOOKUP(Sync!$W1407,OpTbl,3,0),"")="فروش"),UPPER(TRIM(Sync!$X1407)),""))</f>
        <v/>
      </c>
      <c r="H1411">
        <f>IF($G1411="","",IF(Sync!$W1407="","",Sync!$W1407))</f>
        <v/>
      </c>
      <c r="I1411">
        <f>IF(OR($G1411="",Sync!$Y1407=""),"",Sync!$Y1407)</f>
        <v/>
      </c>
      <c r="J1411">
        <f>IF(OR($G1411="",Sync!$Z1407=""),"",Sync!$Z1407)</f>
        <v/>
      </c>
      <c r="K1411">
        <f>IF($G1411="",0,IF(Sync!$AA1407="",0,Sync!$AA1407))</f>
        <v/>
      </c>
      <c r="L1411">
        <f>IF($G1411="",0,IF(Sync!$AB1407="",0,Sync!$AB1407))</f>
        <v/>
      </c>
      <c r="M1411">
        <f>IF($G1411="","",IF($H1411="مرجوعی فروش",-1,1)*($K1411-$L1411*IFERROR(VLOOKUP("P01",ParamTbl,3,0),1.5)))</f>
        <v/>
      </c>
      <c r="N1411">
        <f>IF($G1411="",0,IF($H1411="مرجوعی فروش",-1,1)*IF(Sync!$AC1407="",0,Sync!$AC1407))</f>
        <v/>
      </c>
      <c r="O1411">
        <f>IF(OR($G1411="",Sync!$V1407=""),"",Sync!$V1407)</f>
        <v/>
      </c>
      <c r="P1411">
        <f>IF(OR($G1411="",Sync!$AD1407=""),"",Sync!$AD1407)</f>
        <v/>
      </c>
      <c r="Q1411">
        <f>IF($G1411="","",IF(Sync!$U1407="","0000",IF(AND(ISNUMBER(Sync!$U1407),Sync!$U1407&gt;=0,Sync!$U1407&lt;1),RIGHT("00"&amp;HOUR(Sync!$U1407),2)&amp;RIGHT("00"&amp;MINUTE(Sync!$U1407),2),IFERROR(RIGHT("00"&amp;VALUE(LEFT(Sync!$U1407,FIND(":",Sync!$U1407)-1)),2)&amp;RIGHT("00"&amp;VALUE(MID(Sync!$U1407,FIND(":",Sync!$U1407)+1,2)),2),"0000"))))</f>
        <v/>
      </c>
    </row>
    <row r="1412">
      <c r="A1412">
        <f>IF(Sync!$T1408="","",Sync!$T1408)</f>
        <v/>
      </c>
      <c r="B1412">
        <f>IF($A1412="","",IF(ISNUMBER($A1412),IF(AND($A1412&gt;=10000101,$A1412&lt;=99991231),INT($A1412/10000),""),IFERROR(VALUE(TRIM(LEFT($A1412,FIND("/",$A1412)-1))),"")))</f>
        <v/>
      </c>
      <c r="C1412">
        <f>IF(OR($A1412="",$B1412=""),"",IF(ISNUMBER($A1412),INT(MOD($A1412,10000)/100),IFERROR(VALUE(TRIM(LEFT(MID($A1412,FIND("/",$A1412)+1,20),FIND("/",MID($A1412,FIND("/",$A1412)+1,20))-1))),"")))</f>
        <v/>
      </c>
      <c r="D1412">
        <f>IF(OR($A1412="",$B1412=""),"",IF(ISNUMBER($A1412),MOD($A1412,100),IFERROR(VALUE(TRIM(MID(MID($A1412,FIND("/",$A1412)+1,20),FIND("/",MID($A1412,FIND("/",$A1412)+1,20))+1,20))),"")))</f>
        <v/>
      </c>
      <c r="E1412">
        <f>IF($A1412="","",IF(OR($B1412="",$C1412="",$D1412="",$B1412&lt;1300,$B1412&gt;1500,$C1412&lt;1,$C1412&gt;12,$D1412&lt;1,$D1412&gt;31),"نامعتبر",RIGHT("0000"&amp;$B1412,4)&amp;"/"&amp;RIGHT("00"&amp;$C1412,2)&amp;"/"&amp;RIGHT("00"&amp;$D1412,2)))</f>
        <v/>
      </c>
      <c r="F1412">
        <f>IF(OR($E1412="",$E1412="نامعتبر"),"",LEFT($E1412,4)&amp;"/"&amp;MID($E1412,6,2))</f>
        <v/>
      </c>
      <c r="G1412">
        <f>IF(OR($E1412="",$E1412="نامعتبر",Sync!$X1408=""),"",IF(AND(LEFT(UPPER(TRIM(Sync!$X1408)),2)="SL",IFERROR(VLOOKUP(Sync!$W1408,OpTbl,3,0),"")="فروش"),UPPER(TRIM(Sync!$X1408)),""))</f>
        <v/>
      </c>
      <c r="H1412">
        <f>IF($G1412="","",IF(Sync!$W1408="","",Sync!$W1408))</f>
        <v/>
      </c>
      <c r="I1412">
        <f>IF(OR($G1412="",Sync!$Y1408=""),"",Sync!$Y1408)</f>
        <v/>
      </c>
      <c r="J1412">
        <f>IF(OR($G1412="",Sync!$Z1408=""),"",Sync!$Z1408)</f>
        <v/>
      </c>
      <c r="K1412">
        <f>IF($G1412="",0,IF(Sync!$AA1408="",0,Sync!$AA1408))</f>
        <v/>
      </c>
      <c r="L1412">
        <f>IF($G1412="",0,IF(Sync!$AB1408="",0,Sync!$AB1408))</f>
        <v/>
      </c>
      <c r="M1412">
        <f>IF($G1412="","",IF($H1412="مرجوعی فروش",-1,1)*($K1412-$L1412*IFERROR(VLOOKUP("P01",ParamTbl,3,0),1.5)))</f>
        <v/>
      </c>
      <c r="N1412">
        <f>IF($G1412="",0,IF($H1412="مرجوعی فروش",-1,1)*IF(Sync!$AC1408="",0,Sync!$AC1408))</f>
        <v/>
      </c>
      <c r="O1412">
        <f>IF(OR($G1412="",Sync!$V1408=""),"",Sync!$V1408)</f>
        <v/>
      </c>
      <c r="P1412">
        <f>IF(OR($G1412="",Sync!$AD1408=""),"",Sync!$AD1408)</f>
        <v/>
      </c>
      <c r="Q1412">
        <f>IF($G1412="","",IF(Sync!$U1408="","0000",IF(AND(ISNUMBER(Sync!$U1408),Sync!$U1408&gt;=0,Sync!$U1408&lt;1),RIGHT("00"&amp;HOUR(Sync!$U1408),2)&amp;RIGHT("00"&amp;MINUTE(Sync!$U1408),2),IFERROR(RIGHT("00"&amp;VALUE(LEFT(Sync!$U1408,FIND(":",Sync!$U1408)-1)),2)&amp;RIGHT("00"&amp;VALUE(MID(Sync!$U1408,FIND(":",Sync!$U1408)+1,2)),2),"0000"))))</f>
        <v/>
      </c>
    </row>
    <row r="1413">
      <c r="A1413">
        <f>IF(Sync!$T1409="","",Sync!$T1409)</f>
        <v/>
      </c>
      <c r="B1413">
        <f>IF($A1413="","",IF(ISNUMBER($A1413),IF(AND($A1413&gt;=10000101,$A1413&lt;=99991231),INT($A1413/10000),""),IFERROR(VALUE(TRIM(LEFT($A1413,FIND("/",$A1413)-1))),"")))</f>
        <v/>
      </c>
      <c r="C1413">
        <f>IF(OR($A1413="",$B1413=""),"",IF(ISNUMBER($A1413),INT(MOD($A1413,10000)/100),IFERROR(VALUE(TRIM(LEFT(MID($A1413,FIND("/",$A1413)+1,20),FIND("/",MID($A1413,FIND("/",$A1413)+1,20))-1))),"")))</f>
        <v/>
      </c>
      <c r="D1413">
        <f>IF(OR($A1413="",$B1413=""),"",IF(ISNUMBER($A1413),MOD($A1413,100),IFERROR(VALUE(TRIM(MID(MID($A1413,FIND("/",$A1413)+1,20),FIND("/",MID($A1413,FIND("/",$A1413)+1,20))+1,20))),"")))</f>
        <v/>
      </c>
      <c r="E1413">
        <f>IF($A1413="","",IF(OR($B1413="",$C1413="",$D1413="",$B1413&lt;1300,$B1413&gt;1500,$C1413&lt;1,$C1413&gt;12,$D1413&lt;1,$D1413&gt;31),"نامعتبر",RIGHT("0000"&amp;$B1413,4)&amp;"/"&amp;RIGHT("00"&amp;$C1413,2)&amp;"/"&amp;RIGHT("00"&amp;$D1413,2)))</f>
        <v/>
      </c>
      <c r="F1413">
        <f>IF(OR($E1413="",$E1413="نامعتبر"),"",LEFT($E1413,4)&amp;"/"&amp;MID($E1413,6,2))</f>
        <v/>
      </c>
      <c r="G1413">
        <f>IF(OR($E1413="",$E1413="نامعتبر",Sync!$X1409=""),"",IF(AND(LEFT(UPPER(TRIM(Sync!$X1409)),2)="SL",IFERROR(VLOOKUP(Sync!$W1409,OpTbl,3,0),"")="فروش"),UPPER(TRIM(Sync!$X1409)),""))</f>
        <v/>
      </c>
      <c r="H1413">
        <f>IF($G1413="","",IF(Sync!$W1409="","",Sync!$W1409))</f>
        <v/>
      </c>
      <c r="I1413">
        <f>IF(OR($G1413="",Sync!$Y1409=""),"",Sync!$Y1409)</f>
        <v/>
      </c>
      <c r="J1413">
        <f>IF(OR($G1413="",Sync!$Z1409=""),"",Sync!$Z1409)</f>
        <v/>
      </c>
      <c r="K1413">
        <f>IF($G1413="",0,IF(Sync!$AA1409="",0,Sync!$AA1409))</f>
        <v/>
      </c>
      <c r="L1413">
        <f>IF($G1413="",0,IF(Sync!$AB1409="",0,Sync!$AB1409))</f>
        <v/>
      </c>
      <c r="M1413">
        <f>IF($G1413="","",IF($H1413="مرجوعی فروش",-1,1)*($K1413-$L1413*IFERROR(VLOOKUP("P01",ParamTbl,3,0),1.5)))</f>
        <v/>
      </c>
      <c r="N1413">
        <f>IF($G1413="",0,IF($H1413="مرجوعی فروش",-1,1)*IF(Sync!$AC1409="",0,Sync!$AC1409))</f>
        <v/>
      </c>
      <c r="O1413">
        <f>IF(OR($G1413="",Sync!$V1409=""),"",Sync!$V1409)</f>
        <v/>
      </c>
      <c r="P1413">
        <f>IF(OR($G1413="",Sync!$AD1409=""),"",Sync!$AD1409)</f>
        <v/>
      </c>
      <c r="Q1413">
        <f>IF($G1413="","",IF(Sync!$U1409="","0000",IF(AND(ISNUMBER(Sync!$U1409),Sync!$U1409&gt;=0,Sync!$U1409&lt;1),RIGHT("00"&amp;HOUR(Sync!$U1409),2)&amp;RIGHT("00"&amp;MINUTE(Sync!$U1409),2),IFERROR(RIGHT("00"&amp;VALUE(LEFT(Sync!$U1409,FIND(":",Sync!$U1409)-1)),2)&amp;RIGHT("00"&amp;VALUE(MID(Sync!$U1409,FIND(":",Sync!$U1409)+1,2)),2),"0000"))))</f>
        <v/>
      </c>
    </row>
    <row r="1414">
      <c r="A1414">
        <f>IF(Sync!$T1410="","",Sync!$T1410)</f>
        <v/>
      </c>
      <c r="B1414">
        <f>IF($A1414="","",IF(ISNUMBER($A1414),IF(AND($A1414&gt;=10000101,$A1414&lt;=99991231),INT($A1414/10000),""),IFERROR(VALUE(TRIM(LEFT($A1414,FIND("/",$A1414)-1))),"")))</f>
        <v/>
      </c>
      <c r="C1414">
        <f>IF(OR($A1414="",$B1414=""),"",IF(ISNUMBER($A1414),INT(MOD($A1414,10000)/100),IFERROR(VALUE(TRIM(LEFT(MID($A1414,FIND("/",$A1414)+1,20),FIND("/",MID($A1414,FIND("/",$A1414)+1,20))-1))),"")))</f>
        <v/>
      </c>
      <c r="D1414">
        <f>IF(OR($A1414="",$B1414=""),"",IF(ISNUMBER($A1414),MOD($A1414,100),IFERROR(VALUE(TRIM(MID(MID($A1414,FIND("/",$A1414)+1,20),FIND("/",MID($A1414,FIND("/",$A1414)+1,20))+1,20))),"")))</f>
        <v/>
      </c>
      <c r="E1414">
        <f>IF($A1414="","",IF(OR($B1414="",$C1414="",$D1414="",$B1414&lt;1300,$B1414&gt;1500,$C1414&lt;1,$C1414&gt;12,$D1414&lt;1,$D1414&gt;31),"نامعتبر",RIGHT("0000"&amp;$B1414,4)&amp;"/"&amp;RIGHT("00"&amp;$C1414,2)&amp;"/"&amp;RIGHT("00"&amp;$D1414,2)))</f>
        <v/>
      </c>
      <c r="F1414">
        <f>IF(OR($E1414="",$E1414="نامعتبر"),"",LEFT($E1414,4)&amp;"/"&amp;MID($E1414,6,2))</f>
        <v/>
      </c>
      <c r="G1414">
        <f>IF(OR($E1414="",$E1414="نامعتبر",Sync!$X1410=""),"",IF(AND(LEFT(UPPER(TRIM(Sync!$X1410)),2)="SL",IFERROR(VLOOKUP(Sync!$W1410,OpTbl,3,0),"")="فروش"),UPPER(TRIM(Sync!$X1410)),""))</f>
        <v/>
      </c>
      <c r="H1414">
        <f>IF($G1414="","",IF(Sync!$W1410="","",Sync!$W1410))</f>
        <v/>
      </c>
      <c r="I1414">
        <f>IF(OR($G1414="",Sync!$Y1410=""),"",Sync!$Y1410)</f>
        <v/>
      </c>
      <c r="J1414">
        <f>IF(OR($G1414="",Sync!$Z1410=""),"",Sync!$Z1410)</f>
        <v/>
      </c>
      <c r="K1414">
        <f>IF($G1414="",0,IF(Sync!$AA1410="",0,Sync!$AA1410))</f>
        <v/>
      </c>
      <c r="L1414">
        <f>IF($G1414="",0,IF(Sync!$AB1410="",0,Sync!$AB1410))</f>
        <v/>
      </c>
      <c r="M1414">
        <f>IF($G1414="","",IF($H1414="مرجوعی فروش",-1,1)*($K1414-$L1414*IFERROR(VLOOKUP("P01",ParamTbl,3,0),1.5)))</f>
        <v/>
      </c>
      <c r="N1414">
        <f>IF($G1414="",0,IF($H1414="مرجوعی فروش",-1,1)*IF(Sync!$AC1410="",0,Sync!$AC1410))</f>
        <v/>
      </c>
      <c r="O1414">
        <f>IF(OR($G1414="",Sync!$V1410=""),"",Sync!$V1410)</f>
        <v/>
      </c>
      <c r="P1414">
        <f>IF(OR($G1414="",Sync!$AD1410=""),"",Sync!$AD1410)</f>
        <v/>
      </c>
      <c r="Q1414">
        <f>IF($G1414="","",IF(Sync!$U1410="","0000",IF(AND(ISNUMBER(Sync!$U1410),Sync!$U1410&gt;=0,Sync!$U1410&lt;1),RIGHT("00"&amp;HOUR(Sync!$U1410),2)&amp;RIGHT("00"&amp;MINUTE(Sync!$U1410),2),IFERROR(RIGHT("00"&amp;VALUE(LEFT(Sync!$U1410,FIND(":",Sync!$U1410)-1)),2)&amp;RIGHT("00"&amp;VALUE(MID(Sync!$U1410,FIND(":",Sync!$U1410)+1,2)),2),"0000"))))</f>
        <v/>
      </c>
    </row>
    <row r="1415">
      <c r="A1415">
        <f>IF(Sync!$T1411="","",Sync!$T1411)</f>
        <v/>
      </c>
      <c r="B1415">
        <f>IF($A1415="","",IF(ISNUMBER($A1415),IF(AND($A1415&gt;=10000101,$A1415&lt;=99991231),INT($A1415/10000),""),IFERROR(VALUE(TRIM(LEFT($A1415,FIND("/",$A1415)-1))),"")))</f>
        <v/>
      </c>
      <c r="C1415">
        <f>IF(OR($A1415="",$B1415=""),"",IF(ISNUMBER($A1415),INT(MOD($A1415,10000)/100),IFERROR(VALUE(TRIM(LEFT(MID($A1415,FIND("/",$A1415)+1,20),FIND("/",MID($A1415,FIND("/",$A1415)+1,20))-1))),"")))</f>
        <v/>
      </c>
      <c r="D1415">
        <f>IF(OR($A1415="",$B1415=""),"",IF(ISNUMBER($A1415),MOD($A1415,100),IFERROR(VALUE(TRIM(MID(MID($A1415,FIND("/",$A1415)+1,20),FIND("/",MID($A1415,FIND("/",$A1415)+1,20))+1,20))),"")))</f>
        <v/>
      </c>
      <c r="E1415">
        <f>IF($A1415="","",IF(OR($B1415="",$C1415="",$D1415="",$B1415&lt;1300,$B1415&gt;1500,$C1415&lt;1,$C1415&gt;12,$D1415&lt;1,$D1415&gt;31),"نامعتبر",RIGHT("0000"&amp;$B1415,4)&amp;"/"&amp;RIGHT("00"&amp;$C1415,2)&amp;"/"&amp;RIGHT("00"&amp;$D1415,2)))</f>
        <v/>
      </c>
      <c r="F1415">
        <f>IF(OR($E1415="",$E1415="نامعتبر"),"",LEFT($E1415,4)&amp;"/"&amp;MID($E1415,6,2))</f>
        <v/>
      </c>
      <c r="G1415">
        <f>IF(OR($E1415="",$E1415="نامعتبر",Sync!$X1411=""),"",IF(AND(LEFT(UPPER(TRIM(Sync!$X1411)),2)="SL",IFERROR(VLOOKUP(Sync!$W1411,OpTbl,3,0),"")="فروش"),UPPER(TRIM(Sync!$X1411)),""))</f>
        <v/>
      </c>
      <c r="H1415">
        <f>IF($G1415="","",IF(Sync!$W1411="","",Sync!$W1411))</f>
        <v/>
      </c>
      <c r="I1415">
        <f>IF(OR($G1415="",Sync!$Y1411=""),"",Sync!$Y1411)</f>
        <v/>
      </c>
      <c r="J1415">
        <f>IF(OR($G1415="",Sync!$Z1411=""),"",Sync!$Z1411)</f>
        <v/>
      </c>
      <c r="K1415">
        <f>IF($G1415="",0,IF(Sync!$AA1411="",0,Sync!$AA1411))</f>
        <v/>
      </c>
      <c r="L1415">
        <f>IF($G1415="",0,IF(Sync!$AB1411="",0,Sync!$AB1411))</f>
        <v/>
      </c>
      <c r="M1415">
        <f>IF($G1415="","",IF($H1415="مرجوعی فروش",-1,1)*($K1415-$L1415*IFERROR(VLOOKUP("P01",ParamTbl,3,0),1.5)))</f>
        <v/>
      </c>
      <c r="N1415">
        <f>IF($G1415="",0,IF($H1415="مرجوعی فروش",-1,1)*IF(Sync!$AC1411="",0,Sync!$AC1411))</f>
        <v/>
      </c>
      <c r="O1415">
        <f>IF(OR($G1415="",Sync!$V1411=""),"",Sync!$V1411)</f>
        <v/>
      </c>
      <c r="P1415">
        <f>IF(OR($G1415="",Sync!$AD1411=""),"",Sync!$AD1411)</f>
        <v/>
      </c>
      <c r="Q1415">
        <f>IF($G1415="","",IF(Sync!$U1411="","0000",IF(AND(ISNUMBER(Sync!$U1411),Sync!$U1411&gt;=0,Sync!$U1411&lt;1),RIGHT("00"&amp;HOUR(Sync!$U1411),2)&amp;RIGHT("00"&amp;MINUTE(Sync!$U1411),2),IFERROR(RIGHT("00"&amp;VALUE(LEFT(Sync!$U1411,FIND(":",Sync!$U1411)-1)),2)&amp;RIGHT("00"&amp;VALUE(MID(Sync!$U1411,FIND(":",Sync!$U1411)+1,2)),2),"0000"))))</f>
        <v/>
      </c>
    </row>
    <row r="1416">
      <c r="A1416">
        <f>IF(Sync!$T1412="","",Sync!$T1412)</f>
        <v/>
      </c>
      <c r="B1416">
        <f>IF($A1416="","",IF(ISNUMBER($A1416),IF(AND($A1416&gt;=10000101,$A1416&lt;=99991231),INT($A1416/10000),""),IFERROR(VALUE(TRIM(LEFT($A1416,FIND("/",$A1416)-1))),"")))</f>
        <v/>
      </c>
      <c r="C1416">
        <f>IF(OR($A1416="",$B1416=""),"",IF(ISNUMBER($A1416),INT(MOD($A1416,10000)/100),IFERROR(VALUE(TRIM(LEFT(MID($A1416,FIND("/",$A1416)+1,20),FIND("/",MID($A1416,FIND("/",$A1416)+1,20))-1))),"")))</f>
        <v/>
      </c>
      <c r="D1416">
        <f>IF(OR($A1416="",$B1416=""),"",IF(ISNUMBER($A1416),MOD($A1416,100),IFERROR(VALUE(TRIM(MID(MID($A1416,FIND("/",$A1416)+1,20),FIND("/",MID($A1416,FIND("/",$A1416)+1,20))+1,20))),"")))</f>
        <v/>
      </c>
      <c r="E1416">
        <f>IF($A1416="","",IF(OR($B1416="",$C1416="",$D1416="",$B1416&lt;1300,$B1416&gt;1500,$C1416&lt;1,$C1416&gt;12,$D1416&lt;1,$D1416&gt;31),"نامعتبر",RIGHT("0000"&amp;$B1416,4)&amp;"/"&amp;RIGHT("00"&amp;$C1416,2)&amp;"/"&amp;RIGHT("00"&amp;$D1416,2)))</f>
        <v/>
      </c>
      <c r="F1416">
        <f>IF(OR($E1416="",$E1416="نامعتبر"),"",LEFT($E1416,4)&amp;"/"&amp;MID($E1416,6,2))</f>
        <v/>
      </c>
      <c r="G1416">
        <f>IF(OR($E1416="",$E1416="نامعتبر",Sync!$X1412=""),"",IF(AND(LEFT(UPPER(TRIM(Sync!$X1412)),2)="SL",IFERROR(VLOOKUP(Sync!$W1412,OpTbl,3,0),"")="فروش"),UPPER(TRIM(Sync!$X1412)),""))</f>
        <v/>
      </c>
      <c r="H1416">
        <f>IF($G1416="","",IF(Sync!$W1412="","",Sync!$W1412))</f>
        <v/>
      </c>
      <c r="I1416">
        <f>IF(OR($G1416="",Sync!$Y1412=""),"",Sync!$Y1412)</f>
        <v/>
      </c>
      <c r="J1416">
        <f>IF(OR($G1416="",Sync!$Z1412=""),"",Sync!$Z1412)</f>
        <v/>
      </c>
      <c r="K1416">
        <f>IF($G1416="",0,IF(Sync!$AA1412="",0,Sync!$AA1412))</f>
        <v/>
      </c>
      <c r="L1416">
        <f>IF($G1416="",0,IF(Sync!$AB1412="",0,Sync!$AB1412))</f>
        <v/>
      </c>
      <c r="M1416">
        <f>IF($G1416="","",IF($H1416="مرجوعی فروش",-1,1)*($K1416-$L1416*IFERROR(VLOOKUP("P01",ParamTbl,3,0),1.5)))</f>
        <v/>
      </c>
      <c r="N1416">
        <f>IF($G1416="",0,IF($H1416="مرجوعی فروش",-1,1)*IF(Sync!$AC1412="",0,Sync!$AC1412))</f>
        <v/>
      </c>
      <c r="O1416">
        <f>IF(OR($G1416="",Sync!$V1412=""),"",Sync!$V1412)</f>
        <v/>
      </c>
      <c r="P1416">
        <f>IF(OR($G1416="",Sync!$AD1412=""),"",Sync!$AD1412)</f>
        <v/>
      </c>
      <c r="Q1416">
        <f>IF($G1416="","",IF(Sync!$U1412="","0000",IF(AND(ISNUMBER(Sync!$U1412),Sync!$U1412&gt;=0,Sync!$U1412&lt;1),RIGHT("00"&amp;HOUR(Sync!$U1412),2)&amp;RIGHT("00"&amp;MINUTE(Sync!$U1412),2),IFERROR(RIGHT("00"&amp;VALUE(LEFT(Sync!$U1412,FIND(":",Sync!$U1412)-1)),2)&amp;RIGHT("00"&amp;VALUE(MID(Sync!$U1412,FIND(":",Sync!$U1412)+1,2)),2),"0000"))))</f>
        <v/>
      </c>
    </row>
    <row r="1417">
      <c r="A1417">
        <f>IF(Sync!$T1413="","",Sync!$T1413)</f>
        <v/>
      </c>
      <c r="B1417">
        <f>IF($A1417="","",IF(ISNUMBER($A1417),IF(AND($A1417&gt;=10000101,$A1417&lt;=99991231),INT($A1417/10000),""),IFERROR(VALUE(TRIM(LEFT($A1417,FIND("/",$A1417)-1))),"")))</f>
        <v/>
      </c>
      <c r="C1417">
        <f>IF(OR($A1417="",$B1417=""),"",IF(ISNUMBER($A1417),INT(MOD($A1417,10000)/100),IFERROR(VALUE(TRIM(LEFT(MID($A1417,FIND("/",$A1417)+1,20),FIND("/",MID($A1417,FIND("/",$A1417)+1,20))-1))),"")))</f>
        <v/>
      </c>
      <c r="D1417">
        <f>IF(OR($A1417="",$B1417=""),"",IF(ISNUMBER($A1417),MOD($A1417,100),IFERROR(VALUE(TRIM(MID(MID($A1417,FIND("/",$A1417)+1,20),FIND("/",MID($A1417,FIND("/",$A1417)+1,20))+1,20))),"")))</f>
        <v/>
      </c>
      <c r="E1417">
        <f>IF($A1417="","",IF(OR($B1417="",$C1417="",$D1417="",$B1417&lt;1300,$B1417&gt;1500,$C1417&lt;1,$C1417&gt;12,$D1417&lt;1,$D1417&gt;31),"نامعتبر",RIGHT("0000"&amp;$B1417,4)&amp;"/"&amp;RIGHT("00"&amp;$C1417,2)&amp;"/"&amp;RIGHT("00"&amp;$D1417,2)))</f>
        <v/>
      </c>
      <c r="F1417">
        <f>IF(OR($E1417="",$E1417="نامعتبر"),"",LEFT($E1417,4)&amp;"/"&amp;MID($E1417,6,2))</f>
        <v/>
      </c>
      <c r="G1417">
        <f>IF(OR($E1417="",$E1417="نامعتبر",Sync!$X1413=""),"",IF(AND(LEFT(UPPER(TRIM(Sync!$X1413)),2)="SL",IFERROR(VLOOKUP(Sync!$W1413,OpTbl,3,0),"")="فروش"),UPPER(TRIM(Sync!$X1413)),""))</f>
        <v/>
      </c>
      <c r="H1417">
        <f>IF($G1417="","",IF(Sync!$W1413="","",Sync!$W1413))</f>
        <v/>
      </c>
      <c r="I1417">
        <f>IF(OR($G1417="",Sync!$Y1413=""),"",Sync!$Y1413)</f>
        <v/>
      </c>
      <c r="J1417">
        <f>IF(OR($G1417="",Sync!$Z1413=""),"",Sync!$Z1413)</f>
        <v/>
      </c>
      <c r="K1417">
        <f>IF($G1417="",0,IF(Sync!$AA1413="",0,Sync!$AA1413))</f>
        <v/>
      </c>
      <c r="L1417">
        <f>IF($G1417="",0,IF(Sync!$AB1413="",0,Sync!$AB1413))</f>
        <v/>
      </c>
      <c r="M1417">
        <f>IF($G1417="","",IF($H1417="مرجوعی فروش",-1,1)*($K1417-$L1417*IFERROR(VLOOKUP("P01",ParamTbl,3,0),1.5)))</f>
        <v/>
      </c>
      <c r="N1417">
        <f>IF($G1417="",0,IF($H1417="مرجوعی فروش",-1,1)*IF(Sync!$AC1413="",0,Sync!$AC1413))</f>
        <v/>
      </c>
      <c r="O1417">
        <f>IF(OR($G1417="",Sync!$V1413=""),"",Sync!$V1413)</f>
        <v/>
      </c>
      <c r="P1417">
        <f>IF(OR($G1417="",Sync!$AD1413=""),"",Sync!$AD1413)</f>
        <v/>
      </c>
      <c r="Q1417">
        <f>IF($G1417="","",IF(Sync!$U1413="","0000",IF(AND(ISNUMBER(Sync!$U1413),Sync!$U1413&gt;=0,Sync!$U1413&lt;1),RIGHT("00"&amp;HOUR(Sync!$U1413),2)&amp;RIGHT("00"&amp;MINUTE(Sync!$U1413),2),IFERROR(RIGHT("00"&amp;VALUE(LEFT(Sync!$U1413,FIND(":",Sync!$U1413)-1)),2)&amp;RIGHT("00"&amp;VALUE(MID(Sync!$U1413,FIND(":",Sync!$U1413)+1,2)),2),"0000"))))</f>
        <v/>
      </c>
    </row>
    <row r="1418">
      <c r="A1418">
        <f>IF(Sync!$T1414="","",Sync!$T1414)</f>
        <v/>
      </c>
      <c r="B1418">
        <f>IF($A1418="","",IF(ISNUMBER($A1418),IF(AND($A1418&gt;=10000101,$A1418&lt;=99991231),INT($A1418/10000),""),IFERROR(VALUE(TRIM(LEFT($A1418,FIND("/",$A1418)-1))),"")))</f>
        <v/>
      </c>
      <c r="C1418">
        <f>IF(OR($A1418="",$B1418=""),"",IF(ISNUMBER($A1418),INT(MOD($A1418,10000)/100),IFERROR(VALUE(TRIM(LEFT(MID($A1418,FIND("/",$A1418)+1,20),FIND("/",MID($A1418,FIND("/",$A1418)+1,20))-1))),"")))</f>
        <v/>
      </c>
      <c r="D1418">
        <f>IF(OR($A1418="",$B1418=""),"",IF(ISNUMBER($A1418),MOD($A1418,100),IFERROR(VALUE(TRIM(MID(MID($A1418,FIND("/",$A1418)+1,20),FIND("/",MID($A1418,FIND("/",$A1418)+1,20))+1,20))),"")))</f>
        <v/>
      </c>
      <c r="E1418">
        <f>IF($A1418="","",IF(OR($B1418="",$C1418="",$D1418="",$B1418&lt;1300,$B1418&gt;1500,$C1418&lt;1,$C1418&gt;12,$D1418&lt;1,$D1418&gt;31),"نامعتبر",RIGHT("0000"&amp;$B1418,4)&amp;"/"&amp;RIGHT("00"&amp;$C1418,2)&amp;"/"&amp;RIGHT("00"&amp;$D1418,2)))</f>
        <v/>
      </c>
      <c r="F1418">
        <f>IF(OR($E1418="",$E1418="نامعتبر"),"",LEFT($E1418,4)&amp;"/"&amp;MID($E1418,6,2))</f>
        <v/>
      </c>
      <c r="G1418">
        <f>IF(OR($E1418="",$E1418="نامعتبر",Sync!$X1414=""),"",IF(AND(LEFT(UPPER(TRIM(Sync!$X1414)),2)="SL",IFERROR(VLOOKUP(Sync!$W1414,OpTbl,3,0),"")="فروش"),UPPER(TRIM(Sync!$X1414)),""))</f>
        <v/>
      </c>
      <c r="H1418">
        <f>IF($G1418="","",IF(Sync!$W1414="","",Sync!$W1414))</f>
        <v/>
      </c>
      <c r="I1418">
        <f>IF(OR($G1418="",Sync!$Y1414=""),"",Sync!$Y1414)</f>
        <v/>
      </c>
      <c r="J1418">
        <f>IF(OR($G1418="",Sync!$Z1414=""),"",Sync!$Z1414)</f>
        <v/>
      </c>
      <c r="K1418">
        <f>IF($G1418="",0,IF(Sync!$AA1414="",0,Sync!$AA1414))</f>
        <v/>
      </c>
      <c r="L1418">
        <f>IF($G1418="",0,IF(Sync!$AB1414="",0,Sync!$AB1414))</f>
        <v/>
      </c>
      <c r="M1418">
        <f>IF($G1418="","",IF($H1418="مرجوعی فروش",-1,1)*($K1418-$L1418*IFERROR(VLOOKUP("P01",ParamTbl,3,0),1.5)))</f>
        <v/>
      </c>
      <c r="N1418">
        <f>IF($G1418="",0,IF($H1418="مرجوعی فروش",-1,1)*IF(Sync!$AC1414="",0,Sync!$AC1414))</f>
        <v/>
      </c>
      <c r="O1418">
        <f>IF(OR($G1418="",Sync!$V1414=""),"",Sync!$V1414)</f>
        <v/>
      </c>
      <c r="P1418">
        <f>IF(OR($G1418="",Sync!$AD1414=""),"",Sync!$AD1414)</f>
        <v/>
      </c>
      <c r="Q1418">
        <f>IF($G1418="","",IF(Sync!$U1414="","0000",IF(AND(ISNUMBER(Sync!$U1414),Sync!$U1414&gt;=0,Sync!$U1414&lt;1),RIGHT("00"&amp;HOUR(Sync!$U1414),2)&amp;RIGHT("00"&amp;MINUTE(Sync!$U1414),2),IFERROR(RIGHT("00"&amp;VALUE(LEFT(Sync!$U1414,FIND(":",Sync!$U1414)-1)),2)&amp;RIGHT("00"&amp;VALUE(MID(Sync!$U1414,FIND(":",Sync!$U1414)+1,2)),2),"0000"))))</f>
        <v/>
      </c>
    </row>
    <row r="1419">
      <c r="A1419">
        <f>IF(Sync!$T1415="","",Sync!$T1415)</f>
        <v/>
      </c>
      <c r="B1419">
        <f>IF($A1419="","",IF(ISNUMBER($A1419),IF(AND($A1419&gt;=10000101,$A1419&lt;=99991231),INT($A1419/10000),""),IFERROR(VALUE(TRIM(LEFT($A1419,FIND("/",$A1419)-1))),"")))</f>
        <v/>
      </c>
      <c r="C1419">
        <f>IF(OR($A1419="",$B1419=""),"",IF(ISNUMBER($A1419),INT(MOD($A1419,10000)/100),IFERROR(VALUE(TRIM(LEFT(MID($A1419,FIND("/",$A1419)+1,20),FIND("/",MID($A1419,FIND("/",$A1419)+1,20))-1))),"")))</f>
        <v/>
      </c>
      <c r="D1419">
        <f>IF(OR($A1419="",$B1419=""),"",IF(ISNUMBER($A1419),MOD($A1419,100),IFERROR(VALUE(TRIM(MID(MID($A1419,FIND("/",$A1419)+1,20),FIND("/",MID($A1419,FIND("/",$A1419)+1,20))+1,20))),"")))</f>
        <v/>
      </c>
      <c r="E1419">
        <f>IF($A1419="","",IF(OR($B1419="",$C1419="",$D1419="",$B1419&lt;1300,$B1419&gt;1500,$C1419&lt;1,$C1419&gt;12,$D1419&lt;1,$D1419&gt;31),"نامعتبر",RIGHT("0000"&amp;$B1419,4)&amp;"/"&amp;RIGHT("00"&amp;$C1419,2)&amp;"/"&amp;RIGHT("00"&amp;$D1419,2)))</f>
        <v/>
      </c>
      <c r="F1419">
        <f>IF(OR($E1419="",$E1419="نامعتبر"),"",LEFT($E1419,4)&amp;"/"&amp;MID($E1419,6,2))</f>
        <v/>
      </c>
      <c r="G1419">
        <f>IF(OR($E1419="",$E1419="نامعتبر",Sync!$X1415=""),"",IF(AND(LEFT(UPPER(TRIM(Sync!$X1415)),2)="SL",IFERROR(VLOOKUP(Sync!$W1415,OpTbl,3,0),"")="فروش"),UPPER(TRIM(Sync!$X1415)),""))</f>
        <v/>
      </c>
      <c r="H1419">
        <f>IF($G1419="","",IF(Sync!$W1415="","",Sync!$W1415))</f>
        <v/>
      </c>
      <c r="I1419">
        <f>IF(OR($G1419="",Sync!$Y1415=""),"",Sync!$Y1415)</f>
        <v/>
      </c>
      <c r="J1419">
        <f>IF(OR($G1419="",Sync!$Z1415=""),"",Sync!$Z1415)</f>
        <v/>
      </c>
      <c r="K1419">
        <f>IF($G1419="",0,IF(Sync!$AA1415="",0,Sync!$AA1415))</f>
        <v/>
      </c>
      <c r="L1419">
        <f>IF($G1419="",0,IF(Sync!$AB1415="",0,Sync!$AB1415))</f>
        <v/>
      </c>
      <c r="M1419">
        <f>IF($G1419="","",IF($H1419="مرجوعی فروش",-1,1)*($K1419-$L1419*IFERROR(VLOOKUP("P01",ParamTbl,3,0),1.5)))</f>
        <v/>
      </c>
      <c r="N1419">
        <f>IF($G1419="",0,IF($H1419="مرجوعی فروش",-1,1)*IF(Sync!$AC1415="",0,Sync!$AC1415))</f>
        <v/>
      </c>
      <c r="O1419">
        <f>IF(OR($G1419="",Sync!$V1415=""),"",Sync!$V1415)</f>
        <v/>
      </c>
      <c r="P1419">
        <f>IF(OR($G1419="",Sync!$AD1415=""),"",Sync!$AD1415)</f>
        <v/>
      </c>
      <c r="Q1419">
        <f>IF($G1419="","",IF(Sync!$U1415="","0000",IF(AND(ISNUMBER(Sync!$U1415),Sync!$U1415&gt;=0,Sync!$U1415&lt;1),RIGHT("00"&amp;HOUR(Sync!$U1415),2)&amp;RIGHT("00"&amp;MINUTE(Sync!$U1415),2),IFERROR(RIGHT("00"&amp;VALUE(LEFT(Sync!$U1415,FIND(":",Sync!$U1415)-1)),2)&amp;RIGHT("00"&amp;VALUE(MID(Sync!$U1415,FIND(":",Sync!$U1415)+1,2)),2),"0000"))))</f>
        <v/>
      </c>
    </row>
    <row r="1420">
      <c r="A1420">
        <f>IF(Sync!$T1416="","",Sync!$T1416)</f>
        <v/>
      </c>
      <c r="B1420">
        <f>IF($A1420="","",IF(ISNUMBER($A1420),IF(AND($A1420&gt;=10000101,$A1420&lt;=99991231),INT($A1420/10000),""),IFERROR(VALUE(TRIM(LEFT($A1420,FIND("/",$A1420)-1))),"")))</f>
        <v/>
      </c>
      <c r="C1420">
        <f>IF(OR($A1420="",$B1420=""),"",IF(ISNUMBER($A1420),INT(MOD($A1420,10000)/100),IFERROR(VALUE(TRIM(LEFT(MID($A1420,FIND("/",$A1420)+1,20),FIND("/",MID($A1420,FIND("/",$A1420)+1,20))-1))),"")))</f>
        <v/>
      </c>
      <c r="D1420">
        <f>IF(OR($A1420="",$B1420=""),"",IF(ISNUMBER($A1420),MOD($A1420,100),IFERROR(VALUE(TRIM(MID(MID($A1420,FIND("/",$A1420)+1,20),FIND("/",MID($A1420,FIND("/",$A1420)+1,20))+1,20))),"")))</f>
        <v/>
      </c>
      <c r="E1420">
        <f>IF($A1420="","",IF(OR($B1420="",$C1420="",$D1420="",$B1420&lt;1300,$B1420&gt;1500,$C1420&lt;1,$C1420&gt;12,$D1420&lt;1,$D1420&gt;31),"نامعتبر",RIGHT("0000"&amp;$B1420,4)&amp;"/"&amp;RIGHT("00"&amp;$C1420,2)&amp;"/"&amp;RIGHT("00"&amp;$D1420,2)))</f>
        <v/>
      </c>
      <c r="F1420">
        <f>IF(OR($E1420="",$E1420="نامعتبر"),"",LEFT($E1420,4)&amp;"/"&amp;MID($E1420,6,2))</f>
        <v/>
      </c>
      <c r="G1420">
        <f>IF(OR($E1420="",$E1420="نامعتبر",Sync!$X1416=""),"",IF(AND(LEFT(UPPER(TRIM(Sync!$X1416)),2)="SL",IFERROR(VLOOKUP(Sync!$W1416,OpTbl,3,0),"")="فروش"),UPPER(TRIM(Sync!$X1416)),""))</f>
        <v/>
      </c>
      <c r="H1420">
        <f>IF($G1420="","",IF(Sync!$W1416="","",Sync!$W1416))</f>
        <v/>
      </c>
      <c r="I1420">
        <f>IF(OR($G1420="",Sync!$Y1416=""),"",Sync!$Y1416)</f>
        <v/>
      </c>
      <c r="J1420">
        <f>IF(OR($G1420="",Sync!$Z1416=""),"",Sync!$Z1416)</f>
        <v/>
      </c>
      <c r="K1420">
        <f>IF($G1420="",0,IF(Sync!$AA1416="",0,Sync!$AA1416))</f>
        <v/>
      </c>
      <c r="L1420">
        <f>IF($G1420="",0,IF(Sync!$AB1416="",0,Sync!$AB1416))</f>
        <v/>
      </c>
      <c r="M1420">
        <f>IF($G1420="","",IF($H1420="مرجوعی فروش",-1,1)*($K1420-$L1420*IFERROR(VLOOKUP("P01",ParamTbl,3,0),1.5)))</f>
        <v/>
      </c>
      <c r="N1420">
        <f>IF($G1420="",0,IF($H1420="مرجوعی فروش",-1,1)*IF(Sync!$AC1416="",0,Sync!$AC1416))</f>
        <v/>
      </c>
      <c r="O1420">
        <f>IF(OR($G1420="",Sync!$V1416=""),"",Sync!$V1416)</f>
        <v/>
      </c>
      <c r="P1420">
        <f>IF(OR($G1420="",Sync!$AD1416=""),"",Sync!$AD1416)</f>
        <v/>
      </c>
      <c r="Q1420">
        <f>IF($G1420="","",IF(Sync!$U1416="","0000",IF(AND(ISNUMBER(Sync!$U1416),Sync!$U1416&gt;=0,Sync!$U1416&lt;1),RIGHT("00"&amp;HOUR(Sync!$U1416),2)&amp;RIGHT("00"&amp;MINUTE(Sync!$U1416),2),IFERROR(RIGHT("00"&amp;VALUE(LEFT(Sync!$U1416,FIND(":",Sync!$U1416)-1)),2)&amp;RIGHT("00"&amp;VALUE(MID(Sync!$U1416,FIND(":",Sync!$U1416)+1,2)),2),"0000"))))</f>
        <v/>
      </c>
    </row>
    <row r="1421">
      <c r="A1421">
        <f>IF(Sync!$T1417="","",Sync!$T1417)</f>
        <v/>
      </c>
      <c r="B1421">
        <f>IF($A1421="","",IF(ISNUMBER($A1421),IF(AND($A1421&gt;=10000101,$A1421&lt;=99991231),INT($A1421/10000),""),IFERROR(VALUE(TRIM(LEFT($A1421,FIND("/",$A1421)-1))),"")))</f>
        <v/>
      </c>
      <c r="C1421">
        <f>IF(OR($A1421="",$B1421=""),"",IF(ISNUMBER($A1421),INT(MOD($A1421,10000)/100),IFERROR(VALUE(TRIM(LEFT(MID($A1421,FIND("/",$A1421)+1,20),FIND("/",MID($A1421,FIND("/",$A1421)+1,20))-1))),"")))</f>
        <v/>
      </c>
      <c r="D1421">
        <f>IF(OR($A1421="",$B1421=""),"",IF(ISNUMBER($A1421),MOD($A1421,100),IFERROR(VALUE(TRIM(MID(MID($A1421,FIND("/",$A1421)+1,20),FIND("/",MID($A1421,FIND("/",$A1421)+1,20))+1,20))),"")))</f>
        <v/>
      </c>
      <c r="E1421">
        <f>IF($A1421="","",IF(OR($B1421="",$C1421="",$D1421="",$B1421&lt;1300,$B1421&gt;1500,$C1421&lt;1,$C1421&gt;12,$D1421&lt;1,$D1421&gt;31),"نامعتبر",RIGHT("0000"&amp;$B1421,4)&amp;"/"&amp;RIGHT("00"&amp;$C1421,2)&amp;"/"&amp;RIGHT("00"&amp;$D1421,2)))</f>
        <v/>
      </c>
      <c r="F1421">
        <f>IF(OR($E1421="",$E1421="نامعتبر"),"",LEFT($E1421,4)&amp;"/"&amp;MID($E1421,6,2))</f>
        <v/>
      </c>
      <c r="G1421">
        <f>IF(OR($E1421="",$E1421="نامعتبر",Sync!$X1417=""),"",IF(AND(LEFT(UPPER(TRIM(Sync!$X1417)),2)="SL",IFERROR(VLOOKUP(Sync!$W1417,OpTbl,3,0),"")="فروش"),UPPER(TRIM(Sync!$X1417)),""))</f>
        <v/>
      </c>
      <c r="H1421">
        <f>IF($G1421="","",IF(Sync!$W1417="","",Sync!$W1417))</f>
        <v/>
      </c>
      <c r="I1421">
        <f>IF(OR($G1421="",Sync!$Y1417=""),"",Sync!$Y1417)</f>
        <v/>
      </c>
      <c r="J1421">
        <f>IF(OR($G1421="",Sync!$Z1417=""),"",Sync!$Z1417)</f>
        <v/>
      </c>
      <c r="K1421">
        <f>IF($G1421="",0,IF(Sync!$AA1417="",0,Sync!$AA1417))</f>
        <v/>
      </c>
      <c r="L1421">
        <f>IF($G1421="",0,IF(Sync!$AB1417="",0,Sync!$AB1417))</f>
        <v/>
      </c>
      <c r="M1421">
        <f>IF($G1421="","",IF($H1421="مرجوعی فروش",-1,1)*($K1421-$L1421*IFERROR(VLOOKUP("P01",ParamTbl,3,0),1.5)))</f>
        <v/>
      </c>
      <c r="N1421">
        <f>IF($G1421="",0,IF($H1421="مرجوعی فروش",-1,1)*IF(Sync!$AC1417="",0,Sync!$AC1417))</f>
        <v/>
      </c>
      <c r="O1421">
        <f>IF(OR($G1421="",Sync!$V1417=""),"",Sync!$V1417)</f>
        <v/>
      </c>
      <c r="P1421">
        <f>IF(OR($G1421="",Sync!$AD1417=""),"",Sync!$AD1417)</f>
        <v/>
      </c>
      <c r="Q1421">
        <f>IF($G1421="","",IF(Sync!$U1417="","0000",IF(AND(ISNUMBER(Sync!$U1417),Sync!$U1417&gt;=0,Sync!$U1417&lt;1),RIGHT("00"&amp;HOUR(Sync!$U1417),2)&amp;RIGHT("00"&amp;MINUTE(Sync!$U1417),2),IFERROR(RIGHT("00"&amp;VALUE(LEFT(Sync!$U1417,FIND(":",Sync!$U1417)-1)),2)&amp;RIGHT("00"&amp;VALUE(MID(Sync!$U1417,FIND(":",Sync!$U1417)+1,2)),2),"0000"))))</f>
        <v/>
      </c>
    </row>
    <row r="1422">
      <c r="A1422">
        <f>IF(Sync!$T1418="","",Sync!$T1418)</f>
        <v/>
      </c>
      <c r="B1422">
        <f>IF($A1422="","",IF(ISNUMBER($A1422),IF(AND($A1422&gt;=10000101,$A1422&lt;=99991231),INT($A1422/10000),""),IFERROR(VALUE(TRIM(LEFT($A1422,FIND("/",$A1422)-1))),"")))</f>
        <v/>
      </c>
      <c r="C1422">
        <f>IF(OR($A1422="",$B1422=""),"",IF(ISNUMBER($A1422),INT(MOD($A1422,10000)/100),IFERROR(VALUE(TRIM(LEFT(MID($A1422,FIND("/",$A1422)+1,20),FIND("/",MID($A1422,FIND("/",$A1422)+1,20))-1))),"")))</f>
        <v/>
      </c>
      <c r="D1422">
        <f>IF(OR($A1422="",$B1422=""),"",IF(ISNUMBER($A1422),MOD($A1422,100),IFERROR(VALUE(TRIM(MID(MID($A1422,FIND("/",$A1422)+1,20),FIND("/",MID($A1422,FIND("/",$A1422)+1,20))+1,20))),"")))</f>
        <v/>
      </c>
      <c r="E1422">
        <f>IF($A1422="","",IF(OR($B1422="",$C1422="",$D1422="",$B1422&lt;1300,$B1422&gt;1500,$C1422&lt;1,$C1422&gt;12,$D1422&lt;1,$D1422&gt;31),"نامعتبر",RIGHT("0000"&amp;$B1422,4)&amp;"/"&amp;RIGHT("00"&amp;$C1422,2)&amp;"/"&amp;RIGHT("00"&amp;$D1422,2)))</f>
        <v/>
      </c>
      <c r="F1422">
        <f>IF(OR($E1422="",$E1422="نامعتبر"),"",LEFT($E1422,4)&amp;"/"&amp;MID($E1422,6,2))</f>
        <v/>
      </c>
      <c r="G1422">
        <f>IF(OR($E1422="",$E1422="نامعتبر",Sync!$X1418=""),"",IF(AND(LEFT(UPPER(TRIM(Sync!$X1418)),2)="SL",IFERROR(VLOOKUP(Sync!$W1418,OpTbl,3,0),"")="فروش"),UPPER(TRIM(Sync!$X1418)),""))</f>
        <v/>
      </c>
      <c r="H1422">
        <f>IF($G1422="","",IF(Sync!$W1418="","",Sync!$W1418))</f>
        <v/>
      </c>
      <c r="I1422">
        <f>IF(OR($G1422="",Sync!$Y1418=""),"",Sync!$Y1418)</f>
        <v/>
      </c>
      <c r="J1422">
        <f>IF(OR($G1422="",Sync!$Z1418=""),"",Sync!$Z1418)</f>
        <v/>
      </c>
      <c r="K1422">
        <f>IF($G1422="",0,IF(Sync!$AA1418="",0,Sync!$AA1418))</f>
        <v/>
      </c>
      <c r="L1422">
        <f>IF($G1422="",0,IF(Sync!$AB1418="",0,Sync!$AB1418))</f>
        <v/>
      </c>
      <c r="M1422">
        <f>IF($G1422="","",IF($H1422="مرجوعی فروش",-1,1)*($K1422-$L1422*IFERROR(VLOOKUP("P01",ParamTbl,3,0),1.5)))</f>
        <v/>
      </c>
      <c r="N1422">
        <f>IF($G1422="",0,IF($H1422="مرجوعی فروش",-1,1)*IF(Sync!$AC1418="",0,Sync!$AC1418))</f>
        <v/>
      </c>
      <c r="O1422">
        <f>IF(OR($G1422="",Sync!$V1418=""),"",Sync!$V1418)</f>
        <v/>
      </c>
      <c r="P1422">
        <f>IF(OR($G1422="",Sync!$AD1418=""),"",Sync!$AD1418)</f>
        <v/>
      </c>
      <c r="Q1422">
        <f>IF($G1422="","",IF(Sync!$U1418="","0000",IF(AND(ISNUMBER(Sync!$U1418),Sync!$U1418&gt;=0,Sync!$U1418&lt;1),RIGHT("00"&amp;HOUR(Sync!$U1418),2)&amp;RIGHT("00"&amp;MINUTE(Sync!$U1418),2),IFERROR(RIGHT("00"&amp;VALUE(LEFT(Sync!$U1418,FIND(":",Sync!$U1418)-1)),2)&amp;RIGHT("00"&amp;VALUE(MID(Sync!$U1418,FIND(":",Sync!$U1418)+1,2)),2),"0000"))))</f>
        <v/>
      </c>
    </row>
    <row r="1423">
      <c r="A1423">
        <f>IF(Sync!$T1419="","",Sync!$T1419)</f>
        <v/>
      </c>
      <c r="B1423">
        <f>IF($A1423="","",IF(ISNUMBER($A1423),IF(AND($A1423&gt;=10000101,$A1423&lt;=99991231),INT($A1423/10000),""),IFERROR(VALUE(TRIM(LEFT($A1423,FIND("/",$A1423)-1))),"")))</f>
        <v/>
      </c>
      <c r="C1423">
        <f>IF(OR($A1423="",$B1423=""),"",IF(ISNUMBER($A1423),INT(MOD($A1423,10000)/100),IFERROR(VALUE(TRIM(LEFT(MID($A1423,FIND("/",$A1423)+1,20),FIND("/",MID($A1423,FIND("/",$A1423)+1,20))-1))),"")))</f>
        <v/>
      </c>
      <c r="D1423">
        <f>IF(OR($A1423="",$B1423=""),"",IF(ISNUMBER($A1423),MOD($A1423,100),IFERROR(VALUE(TRIM(MID(MID($A1423,FIND("/",$A1423)+1,20),FIND("/",MID($A1423,FIND("/",$A1423)+1,20))+1,20))),"")))</f>
        <v/>
      </c>
      <c r="E1423">
        <f>IF($A1423="","",IF(OR($B1423="",$C1423="",$D1423="",$B1423&lt;1300,$B1423&gt;1500,$C1423&lt;1,$C1423&gt;12,$D1423&lt;1,$D1423&gt;31),"نامعتبر",RIGHT("0000"&amp;$B1423,4)&amp;"/"&amp;RIGHT("00"&amp;$C1423,2)&amp;"/"&amp;RIGHT("00"&amp;$D1423,2)))</f>
        <v/>
      </c>
      <c r="F1423">
        <f>IF(OR($E1423="",$E1423="نامعتبر"),"",LEFT($E1423,4)&amp;"/"&amp;MID($E1423,6,2))</f>
        <v/>
      </c>
      <c r="G1423">
        <f>IF(OR($E1423="",$E1423="نامعتبر",Sync!$X1419=""),"",IF(AND(LEFT(UPPER(TRIM(Sync!$X1419)),2)="SL",IFERROR(VLOOKUP(Sync!$W1419,OpTbl,3,0),"")="فروش"),UPPER(TRIM(Sync!$X1419)),""))</f>
        <v/>
      </c>
      <c r="H1423">
        <f>IF($G1423="","",IF(Sync!$W1419="","",Sync!$W1419))</f>
        <v/>
      </c>
      <c r="I1423">
        <f>IF(OR($G1423="",Sync!$Y1419=""),"",Sync!$Y1419)</f>
        <v/>
      </c>
      <c r="J1423">
        <f>IF(OR($G1423="",Sync!$Z1419=""),"",Sync!$Z1419)</f>
        <v/>
      </c>
      <c r="K1423">
        <f>IF($G1423="",0,IF(Sync!$AA1419="",0,Sync!$AA1419))</f>
        <v/>
      </c>
      <c r="L1423">
        <f>IF($G1423="",0,IF(Sync!$AB1419="",0,Sync!$AB1419))</f>
        <v/>
      </c>
      <c r="M1423">
        <f>IF($G1423="","",IF($H1423="مرجوعی فروش",-1,1)*($K1423-$L1423*IFERROR(VLOOKUP("P01",ParamTbl,3,0),1.5)))</f>
        <v/>
      </c>
      <c r="N1423">
        <f>IF($G1423="",0,IF($H1423="مرجوعی فروش",-1,1)*IF(Sync!$AC1419="",0,Sync!$AC1419))</f>
        <v/>
      </c>
      <c r="O1423">
        <f>IF(OR($G1423="",Sync!$V1419=""),"",Sync!$V1419)</f>
        <v/>
      </c>
      <c r="P1423">
        <f>IF(OR($G1423="",Sync!$AD1419=""),"",Sync!$AD1419)</f>
        <v/>
      </c>
      <c r="Q1423">
        <f>IF($G1423="","",IF(Sync!$U1419="","0000",IF(AND(ISNUMBER(Sync!$U1419),Sync!$U1419&gt;=0,Sync!$U1419&lt;1),RIGHT("00"&amp;HOUR(Sync!$U1419),2)&amp;RIGHT("00"&amp;MINUTE(Sync!$U1419),2),IFERROR(RIGHT("00"&amp;VALUE(LEFT(Sync!$U1419,FIND(":",Sync!$U1419)-1)),2)&amp;RIGHT("00"&amp;VALUE(MID(Sync!$U1419,FIND(":",Sync!$U1419)+1,2)),2),"0000"))))</f>
        <v/>
      </c>
    </row>
    <row r="1424">
      <c r="A1424">
        <f>IF(Sync!$T1420="","",Sync!$T1420)</f>
        <v/>
      </c>
      <c r="B1424">
        <f>IF($A1424="","",IF(ISNUMBER($A1424),IF(AND($A1424&gt;=10000101,$A1424&lt;=99991231),INT($A1424/10000),""),IFERROR(VALUE(TRIM(LEFT($A1424,FIND("/",$A1424)-1))),"")))</f>
        <v/>
      </c>
      <c r="C1424">
        <f>IF(OR($A1424="",$B1424=""),"",IF(ISNUMBER($A1424),INT(MOD($A1424,10000)/100),IFERROR(VALUE(TRIM(LEFT(MID($A1424,FIND("/",$A1424)+1,20),FIND("/",MID($A1424,FIND("/",$A1424)+1,20))-1))),"")))</f>
        <v/>
      </c>
      <c r="D1424">
        <f>IF(OR($A1424="",$B1424=""),"",IF(ISNUMBER($A1424),MOD($A1424,100),IFERROR(VALUE(TRIM(MID(MID($A1424,FIND("/",$A1424)+1,20),FIND("/",MID($A1424,FIND("/",$A1424)+1,20))+1,20))),"")))</f>
        <v/>
      </c>
      <c r="E1424">
        <f>IF($A1424="","",IF(OR($B1424="",$C1424="",$D1424="",$B1424&lt;1300,$B1424&gt;1500,$C1424&lt;1,$C1424&gt;12,$D1424&lt;1,$D1424&gt;31),"نامعتبر",RIGHT("0000"&amp;$B1424,4)&amp;"/"&amp;RIGHT("00"&amp;$C1424,2)&amp;"/"&amp;RIGHT("00"&amp;$D1424,2)))</f>
        <v/>
      </c>
      <c r="F1424">
        <f>IF(OR($E1424="",$E1424="نامعتبر"),"",LEFT($E1424,4)&amp;"/"&amp;MID($E1424,6,2))</f>
        <v/>
      </c>
      <c r="G1424">
        <f>IF(OR($E1424="",$E1424="نامعتبر",Sync!$X1420=""),"",IF(AND(LEFT(UPPER(TRIM(Sync!$X1420)),2)="SL",IFERROR(VLOOKUP(Sync!$W1420,OpTbl,3,0),"")="فروش"),UPPER(TRIM(Sync!$X1420)),""))</f>
        <v/>
      </c>
      <c r="H1424">
        <f>IF($G1424="","",IF(Sync!$W1420="","",Sync!$W1420))</f>
        <v/>
      </c>
      <c r="I1424">
        <f>IF(OR($G1424="",Sync!$Y1420=""),"",Sync!$Y1420)</f>
        <v/>
      </c>
      <c r="J1424">
        <f>IF(OR($G1424="",Sync!$Z1420=""),"",Sync!$Z1420)</f>
        <v/>
      </c>
      <c r="K1424">
        <f>IF($G1424="",0,IF(Sync!$AA1420="",0,Sync!$AA1420))</f>
        <v/>
      </c>
      <c r="L1424">
        <f>IF($G1424="",0,IF(Sync!$AB1420="",0,Sync!$AB1420))</f>
        <v/>
      </c>
      <c r="M1424">
        <f>IF($G1424="","",IF($H1424="مرجوعی فروش",-1,1)*($K1424-$L1424*IFERROR(VLOOKUP("P01",ParamTbl,3,0),1.5)))</f>
        <v/>
      </c>
      <c r="N1424">
        <f>IF($G1424="",0,IF($H1424="مرجوعی فروش",-1,1)*IF(Sync!$AC1420="",0,Sync!$AC1420))</f>
        <v/>
      </c>
      <c r="O1424">
        <f>IF(OR($G1424="",Sync!$V1420=""),"",Sync!$V1420)</f>
        <v/>
      </c>
      <c r="P1424">
        <f>IF(OR($G1424="",Sync!$AD1420=""),"",Sync!$AD1420)</f>
        <v/>
      </c>
      <c r="Q1424">
        <f>IF($G1424="","",IF(Sync!$U1420="","0000",IF(AND(ISNUMBER(Sync!$U1420),Sync!$U1420&gt;=0,Sync!$U1420&lt;1),RIGHT("00"&amp;HOUR(Sync!$U1420),2)&amp;RIGHT("00"&amp;MINUTE(Sync!$U1420),2),IFERROR(RIGHT("00"&amp;VALUE(LEFT(Sync!$U1420,FIND(":",Sync!$U1420)-1)),2)&amp;RIGHT("00"&amp;VALUE(MID(Sync!$U1420,FIND(":",Sync!$U1420)+1,2)),2),"0000"))))</f>
        <v/>
      </c>
    </row>
    <row r="1425">
      <c r="A1425">
        <f>IF(Sync!$T1421="","",Sync!$T1421)</f>
        <v/>
      </c>
      <c r="B1425">
        <f>IF($A1425="","",IF(ISNUMBER($A1425),IF(AND($A1425&gt;=10000101,$A1425&lt;=99991231),INT($A1425/10000),""),IFERROR(VALUE(TRIM(LEFT($A1425,FIND("/",$A1425)-1))),"")))</f>
        <v/>
      </c>
      <c r="C1425">
        <f>IF(OR($A1425="",$B1425=""),"",IF(ISNUMBER($A1425),INT(MOD($A1425,10000)/100),IFERROR(VALUE(TRIM(LEFT(MID($A1425,FIND("/",$A1425)+1,20),FIND("/",MID($A1425,FIND("/",$A1425)+1,20))-1))),"")))</f>
        <v/>
      </c>
      <c r="D1425">
        <f>IF(OR($A1425="",$B1425=""),"",IF(ISNUMBER($A1425),MOD($A1425,100),IFERROR(VALUE(TRIM(MID(MID($A1425,FIND("/",$A1425)+1,20),FIND("/",MID($A1425,FIND("/",$A1425)+1,20))+1,20))),"")))</f>
        <v/>
      </c>
      <c r="E1425">
        <f>IF($A1425="","",IF(OR($B1425="",$C1425="",$D1425="",$B1425&lt;1300,$B1425&gt;1500,$C1425&lt;1,$C1425&gt;12,$D1425&lt;1,$D1425&gt;31),"نامعتبر",RIGHT("0000"&amp;$B1425,4)&amp;"/"&amp;RIGHT("00"&amp;$C1425,2)&amp;"/"&amp;RIGHT("00"&amp;$D1425,2)))</f>
        <v/>
      </c>
      <c r="F1425">
        <f>IF(OR($E1425="",$E1425="نامعتبر"),"",LEFT($E1425,4)&amp;"/"&amp;MID($E1425,6,2))</f>
        <v/>
      </c>
      <c r="G1425">
        <f>IF(OR($E1425="",$E1425="نامعتبر",Sync!$X1421=""),"",IF(AND(LEFT(UPPER(TRIM(Sync!$X1421)),2)="SL",IFERROR(VLOOKUP(Sync!$W1421,OpTbl,3,0),"")="فروش"),UPPER(TRIM(Sync!$X1421)),""))</f>
        <v/>
      </c>
      <c r="H1425">
        <f>IF($G1425="","",IF(Sync!$W1421="","",Sync!$W1421))</f>
        <v/>
      </c>
      <c r="I1425">
        <f>IF(OR($G1425="",Sync!$Y1421=""),"",Sync!$Y1421)</f>
        <v/>
      </c>
      <c r="J1425">
        <f>IF(OR($G1425="",Sync!$Z1421=""),"",Sync!$Z1421)</f>
        <v/>
      </c>
      <c r="K1425">
        <f>IF($G1425="",0,IF(Sync!$AA1421="",0,Sync!$AA1421))</f>
        <v/>
      </c>
      <c r="L1425">
        <f>IF($G1425="",0,IF(Sync!$AB1421="",0,Sync!$AB1421))</f>
        <v/>
      </c>
      <c r="M1425">
        <f>IF($G1425="","",IF($H1425="مرجوعی فروش",-1,1)*($K1425-$L1425*IFERROR(VLOOKUP("P01",ParamTbl,3,0),1.5)))</f>
        <v/>
      </c>
      <c r="N1425">
        <f>IF($G1425="",0,IF($H1425="مرجوعی فروش",-1,1)*IF(Sync!$AC1421="",0,Sync!$AC1421))</f>
        <v/>
      </c>
      <c r="O1425">
        <f>IF(OR($G1425="",Sync!$V1421=""),"",Sync!$V1421)</f>
        <v/>
      </c>
      <c r="P1425">
        <f>IF(OR($G1425="",Sync!$AD1421=""),"",Sync!$AD1421)</f>
        <v/>
      </c>
      <c r="Q1425">
        <f>IF($G1425="","",IF(Sync!$U1421="","0000",IF(AND(ISNUMBER(Sync!$U1421),Sync!$U1421&gt;=0,Sync!$U1421&lt;1),RIGHT("00"&amp;HOUR(Sync!$U1421),2)&amp;RIGHT("00"&amp;MINUTE(Sync!$U1421),2),IFERROR(RIGHT("00"&amp;VALUE(LEFT(Sync!$U1421,FIND(":",Sync!$U1421)-1)),2)&amp;RIGHT("00"&amp;VALUE(MID(Sync!$U1421,FIND(":",Sync!$U1421)+1,2)),2),"0000"))))</f>
        <v/>
      </c>
    </row>
    <row r="1426">
      <c r="A1426">
        <f>IF(Sync!$T1422="","",Sync!$T1422)</f>
        <v/>
      </c>
      <c r="B1426">
        <f>IF($A1426="","",IF(ISNUMBER($A1426),IF(AND($A1426&gt;=10000101,$A1426&lt;=99991231),INT($A1426/10000),""),IFERROR(VALUE(TRIM(LEFT($A1426,FIND("/",$A1426)-1))),"")))</f>
        <v/>
      </c>
      <c r="C1426">
        <f>IF(OR($A1426="",$B1426=""),"",IF(ISNUMBER($A1426),INT(MOD($A1426,10000)/100),IFERROR(VALUE(TRIM(LEFT(MID($A1426,FIND("/",$A1426)+1,20),FIND("/",MID($A1426,FIND("/",$A1426)+1,20))-1))),"")))</f>
        <v/>
      </c>
      <c r="D1426">
        <f>IF(OR($A1426="",$B1426=""),"",IF(ISNUMBER($A1426),MOD($A1426,100),IFERROR(VALUE(TRIM(MID(MID($A1426,FIND("/",$A1426)+1,20),FIND("/",MID($A1426,FIND("/",$A1426)+1,20))+1,20))),"")))</f>
        <v/>
      </c>
      <c r="E1426">
        <f>IF($A1426="","",IF(OR($B1426="",$C1426="",$D1426="",$B1426&lt;1300,$B1426&gt;1500,$C1426&lt;1,$C1426&gt;12,$D1426&lt;1,$D1426&gt;31),"نامعتبر",RIGHT("0000"&amp;$B1426,4)&amp;"/"&amp;RIGHT("00"&amp;$C1426,2)&amp;"/"&amp;RIGHT("00"&amp;$D1426,2)))</f>
        <v/>
      </c>
      <c r="F1426">
        <f>IF(OR($E1426="",$E1426="نامعتبر"),"",LEFT($E1426,4)&amp;"/"&amp;MID($E1426,6,2))</f>
        <v/>
      </c>
      <c r="G1426">
        <f>IF(OR($E1426="",$E1426="نامعتبر",Sync!$X1422=""),"",IF(AND(LEFT(UPPER(TRIM(Sync!$X1422)),2)="SL",IFERROR(VLOOKUP(Sync!$W1422,OpTbl,3,0),"")="فروش"),UPPER(TRIM(Sync!$X1422)),""))</f>
        <v/>
      </c>
      <c r="H1426">
        <f>IF($G1426="","",IF(Sync!$W1422="","",Sync!$W1422))</f>
        <v/>
      </c>
      <c r="I1426">
        <f>IF(OR($G1426="",Sync!$Y1422=""),"",Sync!$Y1422)</f>
        <v/>
      </c>
      <c r="J1426">
        <f>IF(OR($G1426="",Sync!$Z1422=""),"",Sync!$Z1422)</f>
        <v/>
      </c>
      <c r="K1426">
        <f>IF($G1426="",0,IF(Sync!$AA1422="",0,Sync!$AA1422))</f>
        <v/>
      </c>
      <c r="L1426">
        <f>IF($G1426="",0,IF(Sync!$AB1422="",0,Sync!$AB1422))</f>
        <v/>
      </c>
      <c r="M1426">
        <f>IF($G1426="","",IF($H1426="مرجوعی فروش",-1,1)*($K1426-$L1426*IFERROR(VLOOKUP("P01",ParamTbl,3,0),1.5)))</f>
        <v/>
      </c>
      <c r="N1426">
        <f>IF($G1426="",0,IF($H1426="مرجوعی فروش",-1,1)*IF(Sync!$AC1422="",0,Sync!$AC1422))</f>
        <v/>
      </c>
      <c r="O1426">
        <f>IF(OR($G1426="",Sync!$V1422=""),"",Sync!$V1422)</f>
        <v/>
      </c>
      <c r="P1426">
        <f>IF(OR($G1426="",Sync!$AD1422=""),"",Sync!$AD1422)</f>
        <v/>
      </c>
      <c r="Q1426">
        <f>IF($G1426="","",IF(Sync!$U1422="","0000",IF(AND(ISNUMBER(Sync!$U1422),Sync!$U1422&gt;=0,Sync!$U1422&lt;1),RIGHT("00"&amp;HOUR(Sync!$U1422),2)&amp;RIGHT("00"&amp;MINUTE(Sync!$U1422),2),IFERROR(RIGHT("00"&amp;VALUE(LEFT(Sync!$U1422,FIND(":",Sync!$U1422)-1)),2)&amp;RIGHT("00"&amp;VALUE(MID(Sync!$U1422,FIND(":",Sync!$U1422)+1,2)),2),"0000"))))</f>
        <v/>
      </c>
    </row>
    <row r="1427">
      <c r="A1427">
        <f>IF(Sync!$T1423="","",Sync!$T1423)</f>
        <v/>
      </c>
      <c r="B1427">
        <f>IF($A1427="","",IF(ISNUMBER($A1427),IF(AND($A1427&gt;=10000101,$A1427&lt;=99991231),INT($A1427/10000),""),IFERROR(VALUE(TRIM(LEFT($A1427,FIND("/",$A1427)-1))),"")))</f>
        <v/>
      </c>
      <c r="C1427">
        <f>IF(OR($A1427="",$B1427=""),"",IF(ISNUMBER($A1427),INT(MOD($A1427,10000)/100),IFERROR(VALUE(TRIM(LEFT(MID($A1427,FIND("/",$A1427)+1,20),FIND("/",MID($A1427,FIND("/",$A1427)+1,20))-1))),"")))</f>
        <v/>
      </c>
      <c r="D1427">
        <f>IF(OR($A1427="",$B1427=""),"",IF(ISNUMBER($A1427),MOD($A1427,100),IFERROR(VALUE(TRIM(MID(MID($A1427,FIND("/",$A1427)+1,20),FIND("/",MID($A1427,FIND("/",$A1427)+1,20))+1,20))),"")))</f>
        <v/>
      </c>
      <c r="E1427">
        <f>IF($A1427="","",IF(OR($B1427="",$C1427="",$D1427="",$B1427&lt;1300,$B1427&gt;1500,$C1427&lt;1,$C1427&gt;12,$D1427&lt;1,$D1427&gt;31),"نامعتبر",RIGHT("0000"&amp;$B1427,4)&amp;"/"&amp;RIGHT("00"&amp;$C1427,2)&amp;"/"&amp;RIGHT("00"&amp;$D1427,2)))</f>
        <v/>
      </c>
      <c r="F1427">
        <f>IF(OR($E1427="",$E1427="نامعتبر"),"",LEFT($E1427,4)&amp;"/"&amp;MID($E1427,6,2))</f>
        <v/>
      </c>
      <c r="G1427">
        <f>IF(OR($E1427="",$E1427="نامعتبر",Sync!$X1423=""),"",IF(AND(LEFT(UPPER(TRIM(Sync!$X1423)),2)="SL",IFERROR(VLOOKUP(Sync!$W1423,OpTbl,3,0),"")="فروش"),UPPER(TRIM(Sync!$X1423)),""))</f>
        <v/>
      </c>
      <c r="H1427">
        <f>IF($G1427="","",IF(Sync!$W1423="","",Sync!$W1423))</f>
        <v/>
      </c>
      <c r="I1427">
        <f>IF(OR($G1427="",Sync!$Y1423=""),"",Sync!$Y1423)</f>
        <v/>
      </c>
      <c r="J1427">
        <f>IF(OR($G1427="",Sync!$Z1423=""),"",Sync!$Z1423)</f>
        <v/>
      </c>
      <c r="K1427">
        <f>IF($G1427="",0,IF(Sync!$AA1423="",0,Sync!$AA1423))</f>
        <v/>
      </c>
      <c r="L1427">
        <f>IF($G1427="",0,IF(Sync!$AB1423="",0,Sync!$AB1423))</f>
        <v/>
      </c>
      <c r="M1427">
        <f>IF($G1427="","",IF($H1427="مرجوعی فروش",-1,1)*($K1427-$L1427*IFERROR(VLOOKUP("P01",ParamTbl,3,0),1.5)))</f>
        <v/>
      </c>
      <c r="N1427">
        <f>IF($G1427="",0,IF($H1427="مرجوعی فروش",-1,1)*IF(Sync!$AC1423="",0,Sync!$AC1423))</f>
        <v/>
      </c>
      <c r="O1427">
        <f>IF(OR($G1427="",Sync!$V1423=""),"",Sync!$V1423)</f>
        <v/>
      </c>
      <c r="P1427">
        <f>IF(OR($G1427="",Sync!$AD1423=""),"",Sync!$AD1423)</f>
        <v/>
      </c>
      <c r="Q1427">
        <f>IF($G1427="","",IF(Sync!$U1423="","0000",IF(AND(ISNUMBER(Sync!$U1423),Sync!$U1423&gt;=0,Sync!$U1423&lt;1),RIGHT("00"&amp;HOUR(Sync!$U1423),2)&amp;RIGHT("00"&amp;MINUTE(Sync!$U1423),2),IFERROR(RIGHT("00"&amp;VALUE(LEFT(Sync!$U1423,FIND(":",Sync!$U1423)-1)),2)&amp;RIGHT("00"&amp;VALUE(MID(Sync!$U1423,FIND(":",Sync!$U1423)+1,2)),2),"0000"))))</f>
        <v/>
      </c>
    </row>
    <row r="1428">
      <c r="A1428">
        <f>IF(Sync!$T1424="","",Sync!$T1424)</f>
        <v/>
      </c>
      <c r="B1428">
        <f>IF($A1428="","",IF(ISNUMBER($A1428),IF(AND($A1428&gt;=10000101,$A1428&lt;=99991231),INT($A1428/10000),""),IFERROR(VALUE(TRIM(LEFT($A1428,FIND("/",$A1428)-1))),"")))</f>
        <v/>
      </c>
      <c r="C1428">
        <f>IF(OR($A1428="",$B1428=""),"",IF(ISNUMBER($A1428),INT(MOD($A1428,10000)/100),IFERROR(VALUE(TRIM(LEFT(MID($A1428,FIND("/",$A1428)+1,20),FIND("/",MID($A1428,FIND("/",$A1428)+1,20))-1))),"")))</f>
        <v/>
      </c>
      <c r="D1428">
        <f>IF(OR($A1428="",$B1428=""),"",IF(ISNUMBER($A1428),MOD($A1428,100),IFERROR(VALUE(TRIM(MID(MID($A1428,FIND("/",$A1428)+1,20),FIND("/",MID($A1428,FIND("/",$A1428)+1,20))+1,20))),"")))</f>
        <v/>
      </c>
      <c r="E1428">
        <f>IF($A1428="","",IF(OR($B1428="",$C1428="",$D1428="",$B1428&lt;1300,$B1428&gt;1500,$C1428&lt;1,$C1428&gt;12,$D1428&lt;1,$D1428&gt;31),"نامعتبر",RIGHT("0000"&amp;$B1428,4)&amp;"/"&amp;RIGHT("00"&amp;$C1428,2)&amp;"/"&amp;RIGHT("00"&amp;$D1428,2)))</f>
        <v/>
      </c>
      <c r="F1428">
        <f>IF(OR($E1428="",$E1428="نامعتبر"),"",LEFT($E1428,4)&amp;"/"&amp;MID($E1428,6,2))</f>
        <v/>
      </c>
      <c r="G1428">
        <f>IF(OR($E1428="",$E1428="نامعتبر",Sync!$X1424=""),"",IF(AND(LEFT(UPPER(TRIM(Sync!$X1424)),2)="SL",IFERROR(VLOOKUP(Sync!$W1424,OpTbl,3,0),"")="فروش"),UPPER(TRIM(Sync!$X1424)),""))</f>
        <v/>
      </c>
      <c r="H1428">
        <f>IF($G1428="","",IF(Sync!$W1424="","",Sync!$W1424))</f>
        <v/>
      </c>
      <c r="I1428">
        <f>IF(OR($G1428="",Sync!$Y1424=""),"",Sync!$Y1424)</f>
        <v/>
      </c>
      <c r="J1428">
        <f>IF(OR($G1428="",Sync!$Z1424=""),"",Sync!$Z1424)</f>
        <v/>
      </c>
      <c r="K1428">
        <f>IF($G1428="",0,IF(Sync!$AA1424="",0,Sync!$AA1424))</f>
        <v/>
      </c>
      <c r="L1428">
        <f>IF($G1428="",0,IF(Sync!$AB1424="",0,Sync!$AB1424))</f>
        <v/>
      </c>
      <c r="M1428">
        <f>IF($G1428="","",IF($H1428="مرجوعی فروش",-1,1)*($K1428-$L1428*IFERROR(VLOOKUP("P01",ParamTbl,3,0),1.5)))</f>
        <v/>
      </c>
      <c r="N1428">
        <f>IF($G1428="",0,IF($H1428="مرجوعی فروش",-1,1)*IF(Sync!$AC1424="",0,Sync!$AC1424))</f>
        <v/>
      </c>
      <c r="O1428">
        <f>IF(OR($G1428="",Sync!$V1424=""),"",Sync!$V1424)</f>
        <v/>
      </c>
      <c r="P1428">
        <f>IF(OR($G1428="",Sync!$AD1424=""),"",Sync!$AD1424)</f>
        <v/>
      </c>
      <c r="Q1428">
        <f>IF($G1428="","",IF(Sync!$U1424="","0000",IF(AND(ISNUMBER(Sync!$U1424),Sync!$U1424&gt;=0,Sync!$U1424&lt;1),RIGHT("00"&amp;HOUR(Sync!$U1424),2)&amp;RIGHT("00"&amp;MINUTE(Sync!$U1424),2),IFERROR(RIGHT("00"&amp;VALUE(LEFT(Sync!$U1424,FIND(":",Sync!$U1424)-1)),2)&amp;RIGHT("00"&amp;VALUE(MID(Sync!$U1424,FIND(":",Sync!$U1424)+1,2)),2),"0000"))))</f>
        <v/>
      </c>
    </row>
    <row r="1429">
      <c r="A1429">
        <f>IF(Sync!$T1425="","",Sync!$T1425)</f>
        <v/>
      </c>
      <c r="B1429">
        <f>IF($A1429="","",IF(ISNUMBER($A1429),IF(AND($A1429&gt;=10000101,$A1429&lt;=99991231),INT($A1429/10000),""),IFERROR(VALUE(TRIM(LEFT($A1429,FIND("/",$A1429)-1))),"")))</f>
        <v/>
      </c>
      <c r="C1429">
        <f>IF(OR($A1429="",$B1429=""),"",IF(ISNUMBER($A1429),INT(MOD($A1429,10000)/100),IFERROR(VALUE(TRIM(LEFT(MID($A1429,FIND("/",$A1429)+1,20),FIND("/",MID($A1429,FIND("/",$A1429)+1,20))-1))),"")))</f>
        <v/>
      </c>
      <c r="D1429">
        <f>IF(OR($A1429="",$B1429=""),"",IF(ISNUMBER($A1429),MOD($A1429,100),IFERROR(VALUE(TRIM(MID(MID($A1429,FIND("/",$A1429)+1,20),FIND("/",MID($A1429,FIND("/",$A1429)+1,20))+1,20))),"")))</f>
        <v/>
      </c>
      <c r="E1429">
        <f>IF($A1429="","",IF(OR($B1429="",$C1429="",$D1429="",$B1429&lt;1300,$B1429&gt;1500,$C1429&lt;1,$C1429&gt;12,$D1429&lt;1,$D1429&gt;31),"نامعتبر",RIGHT("0000"&amp;$B1429,4)&amp;"/"&amp;RIGHT("00"&amp;$C1429,2)&amp;"/"&amp;RIGHT("00"&amp;$D1429,2)))</f>
        <v/>
      </c>
      <c r="F1429">
        <f>IF(OR($E1429="",$E1429="نامعتبر"),"",LEFT($E1429,4)&amp;"/"&amp;MID($E1429,6,2))</f>
        <v/>
      </c>
      <c r="G1429">
        <f>IF(OR($E1429="",$E1429="نامعتبر",Sync!$X1425=""),"",IF(AND(LEFT(UPPER(TRIM(Sync!$X1425)),2)="SL",IFERROR(VLOOKUP(Sync!$W1425,OpTbl,3,0),"")="فروش"),UPPER(TRIM(Sync!$X1425)),""))</f>
        <v/>
      </c>
      <c r="H1429">
        <f>IF($G1429="","",IF(Sync!$W1425="","",Sync!$W1425))</f>
        <v/>
      </c>
      <c r="I1429">
        <f>IF(OR($G1429="",Sync!$Y1425=""),"",Sync!$Y1425)</f>
        <v/>
      </c>
      <c r="J1429">
        <f>IF(OR($G1429="",Sync!$Z1425=""),"",Sync!$Z1425)</f>
        <v/>
      </c>
      <c r="K1429">
        <f>IF($G1429="",0,IF(Sync!$AA1425="",0,Sync!$AA1425))</f>
        <v/>
      </c>
      <c r="L1429">
        <f>IF($G1429="",0,IF(Sync!$AB1425="",0,Sync!$AB1425))</f>
        <v/>
      </c>
      <c r="M1429">
        <f>IF($G1429="","",IF($H1429="مرجوعی فروش",-1,1)*($K1429-$L1429*IFERROR(VLOOKUP("P01",ParamTbl,3,0),1.5)))</f>
        <v/>
      </c>
      <c r="N1429">
        <f>IF($G1429="",0,IF($H1429="مرجوعی فروش",-1,1)*IF(Sync!$AC1425="",0,Sync!$AC1425))</f>
        <v/>
      </c>
      <c r="O1429">
        <f>IF(OR($G1429="",Sync!$V1425=""),"",Sync!$V1425)</f>
        <v/>
      </c>
      <c r="P1429">
        <f>IF(OR($G1429="",Sync!$AD1425=""),"",Sync!$AD1425)</f>
        <v/>
      </c>
      <c r="Q1429">
        <f>IF($G1429="","",IF(Sync!$U1425="","0000",IF(AND(ISNUMBER(Sync!$U1425),Sync!$U1425&gt;=0,Sync!$U1425&lt;1),RIGHT("00"&amp;HOUR(Sync!$U1425),2)&amp;RIGHT("00"&amp;MINUTE(Sync!$U1425),2),IFERROR(RIGHT("00"&amp;VALUE(LEFT(Sync!$U1425,FIND(":",Sync!$U1425)-1)),2)&amp;RIGHT("00"&amp;VALUE(MID(Sync!$U1425,FIND(":",Sync!$U1425)+1,2)),2),"0000"))))</f>
        <v/>
      </c>
    </row>
    <row r="1430">
      <c r="A1430">
        <f>IF(Sync!$T1426="","",Sync!$T1426)</f>
        <v/>
      </c>
      <c r="B1430">
        <f>IF($A1430="","",IF(ISNUMBER($A1430),IF(AND($A1430&gt;=10000101,$A1430&lt;=99991231),INT($A1430/10000),""),IFERROR(VALUE(TRIM(LEFT($A1430,FIND("/",$A1430)-1))),"")))</f>
        <v/>
      </c>
      <c r="C1430">
        <f>IF(OR($A1430="",$B1430=""),"",IF(ISNUMBER($A1430),INT(MOD($A1430,10000)/100),IFERROR(VALUE(TRIM(LEFT(MID($A1430,FIND("/",$A1430)+1,20),FIND("/",MID($A1430,FIND("/",$A1430)+1,20))-1))),"")))</f>
        <v/>
      </c>
      <c r="D1430">
        <f>IF(OR($A1430="",$B1430=""),"",IF(ISNUMBER($A1430),MOD($A1430,100),IFERROR(VALUE(TRIM(MID(MID($A1430,FIND("/",$A1430)+1,20),FIND("/",MID($A1430,FIND("/",$A1430)+1,20))+1,20))),"")))</f>
        <v/>
      </c>
      <c r="E1430">
        <f>IF($A1430="","",IF(OR($B1430="",$C1430="",$D1430="",$B1430&lt;1300,$B1430&gt;1500,$C1430&lt;1,$C1430&gt;12,$D1430&lt;1,$D1430&gt;31),"نامعتبر",RIGHT("0000"&amp;$B1430,4)&amp;"/"&amp;RIGHT("00"&amp;$C1430,2)&amp;"/"&amp;RIGHT("00"&amp;$D1430,2)))</f>
        <v/>
      </c>
      <c r="F1430">
        <f>IF(OR($E1430="",$E1430="نامعتبر"),"",LEFT($E1430,4)&amp;"/"&amp;MID($E1430,6,2))</f>
        <v/>
      </c>
      <c r="G1430">
        <f>IF(OR($E1430="",$E1430="نامعتبر",Sync!$X1426=""),"",IF(AND(LEFT(UPPER(TRIM(Sync!$X1426)),2)="SL",IFERROR(VLOOKUP(Sync!$W1426,OpTbl,3,0),"")="فروش"),UPPER(TRIM(Sync!$X1426)),""))</f>
        <v/>
      </c>
      <c r="H1430">
        <f>IF($G1430="","",IF(Sync!$W1426="","",Sync!$W1426))</f>
        <v/>
      </c>
      <c r="I1430">
        <f>IF(OR($G1430="",Sync!$Y1426=""),"",Sync!$Y1426)</f>
        <v/>
      </c>
      <c r="J1430">
        <f>IF(OR($G1430="",Sync!$Z1426=""),"",Sync!$Z1426)</f>
        <v/>
      </c>
      <c r="K1430">
        <f>IF($G1430="",0,IF(Sync!$AA1426="",0,Sync!$AA1426))</f>
        <v/>
      </c>
      <c r="L1430">
        <f>IF($G1430="",0,IF(Sync!$AB1426="",0,Sync!$AB1426))</f>
        <v/>
      </c>
      <c r="M1430">
        <f>IF($G1430="","",IF($H1430="مرجوعی فروش",-1,1)*($K1430-$L1430*IFERROR(VLOOKUP("P01",ParamTbl,3,0),1.5)))</f>
        <v/>
      </c>
      <c r="N1430">
        <f>IF($G1430="",0,IF($H1430="مرجوعی فروش",-1,1)*IF(Sync!$AC1426="",0,Sync!$AC1426))</f>
        <v/>
      </c>
      <c r="O1430">
        <f>IF(OR($G1430="",Sync!$V1426=""),"",Sync!$V1426)</f>
        <v/>
      </c>
      <c r="P1430">
        <f>IF(OR($G1430="",Sync!$AD1426=""),"",Sync!$AD1426)</f>
        <v/>
      </c>
      <c r="Q1430">
        <f>IF($G1430="","",IF(Sync!$U1426="","0000",IF(AND(ISNUMBER(Sync!$U1426),Sync!$U1426&gt;=0,Sync!$U1426&lt;1),RIGHT("00"&amp;HOUR(Sync!$U1426),2)&amp;RIGHT("00"&amp;MINUTE(Sync!$U1426),2),IFERROR(RIGHT("00"&amp;VALUE(LEFT(Sync!$U1426,FIND(":",Sync!$U1426)-1)),2)&amp;RIGHT("00"&amp;VALUE(MID(Sync!$U1426,FIND(":",Sync!$U1426)+1,2)),2),"0000"))))</f>
        <v/>
      </c>
    </row>
    <row r="1431">
      <c r="A1431">
        <f>IF(Sync!$T1427="","",Sync!$T1427)</f>
        <v/>
      </c>
      <c r="B1431">
        <f>IF($A1431="","",IF(ISNUMBER($A1431),IF(AND($A1431&gt;=10000101,$A1431&lt;=99991231),INT($A1431/10000),""),IFERROR(VALUE(TRIM(LEFT($A1431,FIND("/",$A1431)-1))),"")))</f>
        <v/>
      </c>
      <c r="C1431">
        <f>IF(OR($A1431="",$B1431=""),"",IF(ISNUMBER($A1431),INT(MOD($A1431,10000)/100),IFERROR(VALUE(TRIM(LEFT(MID($A1431,FIND("/",$A1431)+1,20),FIND("/",MID($A1431,FIND("/",$A1431)+1,20))-1))),"")))</f>
        <v/>
      </c>
      <c r="D1431">
        <f>IF(OR($A1431="",$B1431=""),"",IF(ISNUMBER($A1431),MOD($A1431,100),IFERROR(VALUE(TRIM(MID(MID($A1431,FIND("/",$A1431)+1,20),FIND("/",MID($A1431,FIND("/",$A1431)+1,20))+1,20))),"")))</f>
        <v/>
      </c>
      <c r="E1431">
        <f>IF($A1431="","",IF(OR($B1431="",$C1431="",$D1431="",$B1431&lt;1300,$B1431&gt;1500,$C1431&lt;1,$C1431&gt;12,$D1431&lt;1,$D1431&gt;31),"نامعتبر",RIGHT("0000"&amp;$B1431,4)&amp;"/"&amp;RIGHT("00"&amp;$C1431,2)&amp;"/"&amp;RIGHT("00"&amp;$D1431,2)))</f>
        <v/>
      </c>
      <c r="F1431">
        <f>IF(OR($E1431="",$E1431="نامعتبر"),"",LEFT($E1431,4)&amp;"/"&amp;MID($E1431,6,2))</f>
        <v/>
      </c>
      <c r="G1431">
        <f>IF(OR($E1431="",$E1431="نامعتبر",Sync!$X1427=""),"",IF(AND(LEFT(UPPER(TRIM(Sync!$X1427)),2)="SL",IFERROR(VLOOKUP(Sync!$W1427,OpTbl,3,0),"")="فروش"),UPPER(TRIM(Sync!$X1427)),""))</f>
        <v/>
      </c>
      <c r="H1431">
        <f>IF($G1431="","",IF(Sync!$W1427="","",Sync!$W1427))</f>
        <v/>
      </c>
      <c r="I1431">
        <f>IF(OR($G1431="",Sync!$Y1427=""),"",Sync!$Y1427)</f>
        <v/>
      </c>
      <c r="J1431">
        <f>IF(OR($G1431="",Sync!$Z1427=""),"",Sync!$Z1427)</f>
        <v/>
      </c>
      <c r="K1431">
        <f>IF($G1431="",0,IF(Sync!$AA1427="",0,Sync!$AA1427))</f>
        <v/>
      </c>
      <c r="L1431">
        <f>IF($G1431="",0,IF(Sync!$AB1427="",0,Sync!$AB1427))</f>
        <v/>
      </c>
      <c r="M1431">
        <f>IF($G1431="","",IF($H1431="مرجوعی فروش",-1,1)*($K1431-$L1431*IFERROR(VLOOKUP("P01",ParamTbl,3,0),1.5)))</f>
        <v/>
      </c>
      <c r="N1431">
        <f>IF($G1431="",0,IF($H1431="مرجوعی فروش",-1,1)*IF(Sync!$AC1427="",0,Sync!$AC1427))</f>
        <v/>
      </c>
      <c r="O1431">
        <f>IF(OR($G1431="",Sync!$V1427=""),"",Sync!$V1427)</f>
        <v/>
      </c>
      <c r="P1431">
        <f>IF(OR($G1431="",Sync!$AD1427=""),"",Sync!$AD1427)</f>
        <v/>
      </c>
      <c r="Q1431">
        <f>IF($G1431="","",IF(Sync!$U1427="","0000",IF(AND(ISNUMBER(Sync!$U1427),Sync!$U1427&gt;=0,Sync!$U1427&lt;1),RIGHT("00"&amp;HOUR(Sync!$U1427),2)&amp;RIGHT("00"&amp;MINUTE(Sync!$U1427),2),IFERROR(RIGHT("00"&amp;VALUE(LEFT(Sync!$U1427,FIND(":",Sync!$U1427)-1)),2)&amp;RIGHT("00"&amp;VALUE(MID(Sync!$U1427,FIND(":",Sync!$U1427)+1,2)),2),"0000"))))</f>
        <v/>
      </c>
    </row>
    <row r="1432">
      <c r="A1432">
        <f>IF(Sync!$T1428="","",Sync!$T1428)</f>
        <v/>
      </c>
      <c r="B1432">
        <f>IF($A1432="","",IF(ISNUMBER($A1432),IF(AND($A1432&gt;=10000101,$A1432&lt;=99991231),INT($A1432/10000),""),IFERROR(VALUE(TRIM(LEFT($A1432,FIND("/",$A1432)-1))),"")))</f>
        <v/>
      </c>
      <c r="C1432">
        <f>IF(OR($A1432="",$B1432=""),"",IF(ISNUMBER($A1432),INT(MOD($A1432,10000)/100),IFERROR(VALUE(TRIM(LEFT(MID($A1432,FIND("/",$A1432)+1,20),FIND("/",MID($A1432,FIND("/",$A1432)+1,20))-1))),"")))</f>
        <v/>
      </c>
      <c r="D1432">
        <f>IF(OR($A1432="",$B1432=""),"",IF(ISNUMBER($A1432),MOD($A1432,100),IFERROR(VALUE(TRIM(MID(MID($A1432,FIND("/",$A1432)+1,20),FIND("/",MID($A1432,FIND("/",$A1432)+1,20))+1,20))),"")))</f>
        <v/>
      </c>
      <c r="E1432">
        <f>IF($A1432="","",IF(OR($B1432="",$C1432="",$D1432="",$B1432&lt;1300,$B1432&gt;1500,$C1432&lt;1,$C1432&gt;12,$D1432&lt;1,$D1432&gt;31),"نامعتبر",RIGHT("0000"&amp;$B1432,4)&amp;"/"&amp;RIGHT("00"&amp;$C1432,2)&amp;"/"&amp;RIGHT("00"&amp;$D1432,2)))</f>
        <v/>
      </c>
      <c r="F1432">
        <f>IF(OR($E1432="",$E1432="نامعتبر"),"",LEFT($E1432,4)&amp;"/"&amp;MID($E1432,6,2))</f>
        <v/>
      </c>
      <c r="G1432">
        <f>IF(OR($E1432="",$E1432="نامعتبر",Sync!$X1428=""),"",IF(AND(LEFT(UPPER(TRIM(Sync!$X1428)),2)="SL",IFERROR(VLOOKUP(Sync!$W1428,OpTbl,3,0),"")="فروش"),UPPER(TRIM(Sync!$X1428)),""))</f>
        <v/>
      </c>
      <c r="H1432">
        <f>IF($G1432="","",IF(Sync!$W1428="","",Sync!$W1428))</f>
        <v/>
      </c>
      <c r="I1432">
        <f>IF(OR($G1432="",Sync!$Y1428=""),"",Sync!$Y1428)</f>
        <v/>
      </c>
      <c r="J1432">
        <f>IF(OR($G1432="",Sync!$Z1428=""),"",Sync!$Z1428)</f>
        <v/>
      </c>
      <c r="K1432">
        <f>IF($G1432="",0,IF(Sync!$AA1428="",0,Sync!$AA1428))</f>
        <v/>
      </c>
      <c r="L1432">
        <f>IF($G1432="",0,IF(Sync!$AB1428="",0,Sync!$AB1428))</f>
        <v/>
      </c>
      <c r="M1432">
        <f>IF($G1432="","",IF($H1432="مرجوعی فروش",-1,1)*($K1432-$L1432*IFERROR(VLOOKUP("P01",ParamTbl,3,0),1.5)))</f>
        <v/>
      </c>
      <c r="N1432">
        <f>IF($G1432="",0,IF($H1432="مرجوعی فروش",-1,1)*IF(Sync!$AC1428="",0,Sync!$AC1428))</f>
        <v/>
      </c>
      <c r="O1432">
        <f>IF(OR($G1432="",Sync!$V1428=""),"",Sync!$V1428)</f>
        <v/>
      </c>
      <c r="P1432">
        <f>IF(OR($G1432="",Sync!$AD1428=""),"",Sync!$AD1428)</f>
        <v/>
      </c>
      <c r="Q1432">
        <f>IF($G1432="","",IF(Sync!$U1428="","0000",IF(AND(ISNUMBER(Sync!$U1428),Sync!$U1428&gt;=0,Sync!$U1428&lt;1),RIGHT("00"&amp;HOUR(Sync!$U1428),2)&amp;RIGHT("00"&amp;MINUTE(Sync!$U1428),2),IFERROR(RIGHT("00"&amp;VALUE(LEFT(Sync!$U1428,FIND(":",Sync!$U1428)-1)),2)&amp;RIGHT("00"&amp;VALUE(MID(Sync!$U1428,FIND(":",Sync!$U1428)+1,2)),2),"0000"))))</f>
        <v/>
      </c>
    </row>
    <row r="1433">
      <c r="A1433">
        <f>IF(Sync!$T1429="","",Sync!$T1429)</f>
        <v/>
      </c>
      <c r="B1433">
        <f>IF($A1433="","",IF(ISNUMBER($A1433),IF(AND($A1433&gt;=10000101,$A1433&lt;=99991231),INT($A1433/10000),""),IFERROR(VALUE(TRIM(LEFT($A1433,FIND("/",$A1433)-1))),"")))</f>
        <v/>
      </c>
      <c r="C1433">
        <f>IF(OR($A1433="",$B1433=""),"",IF(ISNUMBER($A1433),INT(MOD($A1433,10000)/100),IFERROR(VALUE(TRIM(LEFT(MID($A1433,FIND("/",$A1433)+1,20),FIND("/",MID($A1433,FIND("/",$A1433)+1,20))-1))),"")))</f>
        <v/>
      </c>
      <c r="D1433">
        <f>IF(OR($A1433="",$B1433=""),"",IF(ISNUMBER($A1433),MOD($A1433,100),IFERROR(VALUE(TRIM(MID(MID($A1433,FIND("/",$A1433)+1,20),FIND("/",MID($A1433,FIND("/",$A1433)+1,20))+1,20))),"")))</f>
        <v/>
      </c>
      <c r="E1433">
        <f>IF($A1433="","",IF(OR($B1433="",$C1433="",$D1433="",$B1433&lt;1300,$B1433&gt;1500,$C1433&lt;1,$C1433&gt;12,$D1433&lt;1,$D1433&gt;31),"نامعتبر",RIGHT("0000"&amp;$B1433,4)&amp;"/"&amp;RIGHT("00"&amp;$C1433,2)&amp;"/"&amp;RIGHT("00"&amp;$D1433,2)))</f>
        <v/>
      </c>
      <c r="F1433">
        <f>IF(OR($E1433="",$E1433="نامعتبر"),"",LEFT($E1433,4)&amp;"/"&amp;MID($E1433,6,2))</f>
        <v/>
      </c>
      <c r="G1433">
        <f>IF(OR($E1433="",$E1433="نامعتبر",Sync!$X1429=""),"",IF(AND(LEFT(UPPER(TRIM(Sync!$X1429)),2)="SL",IFERROR(VLOOKUP(Sync!$W1429,OpTbl,3,0),"")="فروش"),UPPER(TRIM(Sync!$X1429)),""))</f>
        <v/>
      </c>
      <c r="H1433">
        <f>IF($G1433="","",IF(Sync!$W1429="","",Sync!$W1429))</f>
        <v/>
      </c>
      <c r="I1433">
        <f>IF(OR($G1433="",Sync!$Y1429=""),"",Sync!$Y1429)</f>
        <v/>
      </c>
      <c r="J1433">
        <f>IF(OR($G1433="",Sync!$Z1429=""),"",Sync!$Z1429)</f>
        <v/>
      </c>
      <c r="K1433">
        <f>IF($G1433="",0,IF(Sync!$AA1429="",0,Sync!$AA1429))</f>
        <v/>
      </c>
      <c r="L1433">
        <f>IF($G1433="",0,IF(Sync!$AB1429="",0,Sync!$AB1429))</f>
        <v/>
      </c>
      <c r="M1433">
        <f>IF($G1433="","",IF($H1433="مرجوعی فروش",-1,1)*($K1433-$L1433*IFERROR(VLOOKUP("P01",ParamTbl,3,0),1.5)))</f>
        <v/>
      </c>
      <c r="N1433">
        <f>IF($G1433="",0,IF($H1433="مرجوعی فروش",-1,1)*IF(Sync!$AC1429="",0,Sync!$AC1429))</f>
        <v/>
      </c>
      <c r="O1433">
        <f>IF(OR($G1433="",Sync!$V1429=""),"",Sync!$V1429)</f>
        <v/>
      </c>
      <c r="P1433">
        <f>IF(OR($G1433="",Sync!$AD1429=""),"",Sync!$AD1429)</f>
        <v/>
      </c>
      <c r="Q1433">
        <f>IF($G1433="","",IF(Sync!$U1429="","0000",IF(AND(ISNUMBER(Sync!$U1429),Sync!$U1429&gt;=0,Sync!$U1429&lt;1),RIGHT("00"&amp;HOUR(Sync!$U1429),2)&amp;RIGHT("00"&amp;MINUTE(Sync!$U1429),2),IFERROR(RIGHT("00"&amp;VALUE(LEFT(Sync!$U1429,FIND(":",Sync!$U1429)-1)),2)&amp;RIGHT("00"&amp;VALUE(MID(Sync!$U1429,FIND(":",Sync!$U1429)+1,2)),2),"0000"))))</f>
        <v/>
      </c>
    </row>
    <row r="1434">
      <c r="A1434">
        <f>IF(Sync!$T1430="","",Sync!$T1430)</f>
        <v/>
      </c>
      <c r="B1434">
        <f>IF($A1434="","",IF(ISNUMBER($A1434),IF(AND($A1434&gt;=10000101,$A1434&lt;=99991231),INT($A1434/10000),""),IFERROR(VALUE(TRIM(LEFT($A1434,FIND("/",$A1434)-1))),"")))</f>
        <v/>
      </c>
      <c r="C1434">
        <f>IF(OR($A1434="",$B1434=""),"",IF(ISNUMBER($A1434),INT(MOD($A1434,10000)/100),IFERROR(VALUE(TRIM(LEFT(MID($A1434,FIND("/",$A1434)+1,20),FIND("/",MID($A1434,FIND("/",$A1434)+1,20))-1))),"")))</f>
        <v/>
      </c>
      <c r="D1434">
        <f>IF(OR($A1434="",$B1434=""),"",IF(ISNUMBER($A1434),MOD($A1434,100),IFERROR(VALUE(TRIM(MID(MID($A1434,FIND("/",$A1434)+1,20),FIND("/",MID($A1434,FIND("/",$A1434)+1,20))+1,20))),"")))</f>
        <v/>
      </c>
      <c r="E1434">
        <f>IF($A1434="","",IF(OR($B1434="",$C1434="",$D1434="",$B1434&lt;1300,$B1434&gt;1500,$C1434&lt;1,$C1434&gt;12,$D1434&lt;1,$D1434&gt;31),"نامعتبر",RIGHT("0000"&amp;$B1434,4)&amp;"/"&amp;RIGHT("00"&amp;$C1434,2)&amp;"/"&amp;RIGHT("00"&amp;$D1434,2)))</f>
        <v/>
      </c>
      <c r="F1434">
        <f>IF(OR($E1434="",$E1434="نامعتبر"),"",LEFT($E1434,4)&amp;"/"&amp;MID($E1434,6,2))</f>
        <v/>
      </c>
      <c r="G1434">
        <f>IF(OR($E1434="",$E1434="نامعتبر",Sync!$X1430=""),"",IF(AND(LEFT(UPPER(TRIM(Sync!$X1430)),2)="SL",IFERROR(VLOOKUP(Sync!$W1430,OpTbl,3,0),"")="فروش"),UPPER(TRIM(Sync!$X1430)),""))</f>
        <v/>
      </c>
      <c r="H1434">
        <f>IF($G1434="","",IF(Sync!$W1430="","",Sync!$W1430))</f>
        <v/>
      </c>
      <c r="I1434">
        <f>IF(OR($G1434="",Sync!$Y1430=""),"",Sync!$Y1430)</f>
        <v/>
      </c>
      <c r="J1434">
        <f>IF(OR($G1434="",Sync!$Z1430=""),"",Sync!$Z1430)</f>
        <v/>
      </c>
      <c r="K1434">
        <f>IF($G1434="",0,IF(Sync!$AA1430="",0,Sync!$AA1430))</f>
        <v/>
      </c>
      <c r="L1434">
        <f>IF($G1434="",0,IF(Sync!$AB1430="",0,Sync!$AB1430))</f>
        <v/>
      </c>
      <c r="M1434">
        <f>IF($G1434="","",IF($H1434="مرجوعی فروش",-1,1)*($K1434-$L1434*IFERROR(VLOOKUP("P01",ParamTbl,3,0),1.5)))</f>
        <v/>
      </c>
      <c r="N1434">
        <f>IF($G1434="",0,IF($H1434="مرجوعی فروش",-1,1)*IF(Sync!$AC1430="",0,Sync!$AC1430))</f>
        <v/>
      </c>
      <c r="O1434">
        <f>IF(OR($G1434="",Sync!$V1430=""),"",Sync!$V1430)</f>
        <v/>
      </c>
      <c r="P1434">
        <f>IF(OR($G1434="",Sync!$AD1430=""),"",Sync!$AD1430)</f>
        <v/>
      </c>
      <c r="Q1434">
        <f>IF($G1434="","",IF(Sync!$U1430="","0000",IF(AND(ISNUMBER(Sync!$U1430),Sync!$U1430&gt;=0,Sync!$U1430&lt;1),RIGHT("00"&amp;HOUR(Sync!$U1430),2)&amp;RIGHT("00"&amp;MINUTE(Sync!$U1430),2),IFERROR(RIGHT("00"&amp;VALUE(LEFT(Sync!$U1430,FIND(":",Sync!$U1430)-1)),2)&amp;RIGHT("00"&amp;VALUE(MID(Sync!$U1430,FIND(":",Sync!$U1430)+1,2)),2),"0000"))))</f>
        <v/>
      </c>
    </row>
    <row r="1435">
      <c r="A1435">
        <f>IF(Sync!$T1431="","",Sync!$T1431)</f>
        <v/>
      </c>
      <c r="B1435">
        <f>IF($A1435="","",IF(ISNUMBER($A1435),IF(AND($A1435&gt;=10000101,$A1435&lt;=99991231),INT($A1435/10000),""),IFERROR(VALUE(TRIM(LEFT($A1435,FIND("/",$A1435)-1))),"")))</f>
        <v/>
      </c>
      <c r="C1435">
        <f>IF(OR($A1435="",$B1435=""),"",IF(ISNUMBER($A1435),INT(MOD($A1435,10000)/100),IFERROR(VALUE(TRIM(LEFT(MID($A1435,FIND("/",$A1435)+1,20),FIND("/",MID($A1435,FIND("/",$A1435)+1,20))-1))),"")))</f>
        <v/>
      </c>
      <c r="D1435">
        <f>IF(OR($A1435="",$B1435=""),"",IF(ISNUMBER($A1435),MOD($A1435,100),IFERROR(VALUE(TRIM(MID(MID($A1435,FIND("/",$A1435)+1,20),FIND("/",MID($A1435,FIND("/",$A1435)+1,20))+1,20))),"")))</f>
        <v/>
      </c>
      <c r="E1435">
        <f>IF($A1435="","",IF(OR($B1435="",$C1435="",$D1435="",$B1435&lt;1300,$B1435&gt;1500,$C1435&lt;1,$C1435&gt;12,$D1435&lt;1,$D1435&gt;31),"نامعتبر",RIGHT("0000"&amp;$B1435,4)&amp;"/"&amp;RIGHT("00"&amp;$C1435,2)&amp;"/"&amp;RIGHT("00"&amp;$D1435,2)))</f>
        <v/>
      </c>
      <c r="F1435">
        <f>IF(OR($E1435="",$E1435="نامعتبر"),"",LEFT($E1435,4)&amp;"/"&amp;MID($E1435,6,2))</f>
        <v/>
      </c>
      <c r="G1435">
        <f>IF(OR($E1435="",$E1435="نامعتبر",Sync!$X1431=""),"",IF(AND(LEFT(UPPER(TRIM(Sync!$X1431)),2)="SL",IFERROR(VLOOKUP(Sync!$W1431,OpTbl,3,0),"")="فروش"),UPPER(TRIM(Sync!$X1431)),""))</f>
        <v/>
      </c>
      <c r="H1435">
        <f>IF($G1435="","",IF(Sync!$W1431="","",Sync!$W1431))</f>
        <v/>
      </c>
      <c r="I1435">
        <f>IF(OR($G1435="",Sync!$Y1431=""),"",Sync!$Y1431)</f>
        <v/>
      </c>
      <c r="J1435">
        <f>IF(OR($G1435="",Sync!$Z1431=""),"",Sync!$Z1431)</f>
        <v/>
      </c>
      <c r="K1435">
        <f>IF($G1435="",0,IF(Sync!$AA1431="",0,Sync!$AA1431))</f>
        <v/>
      </c>
      <c r="L1435">
        <f>IF($G1435="",0,IF(Sync!$AB1431="",0,Sync!$AB1431))</f>
        <v/>
      </c>
      <c r="M1435">
        <f>IF($G1435="","",IF($H1435="مرجوعی فروش",-1,1)*($K1435-$L1435*IFERROR(VLOOKUP("P01",ParamTbl,3,0),1.5)))</f>
        <v/>
      </c>
      <c r="N1435">
        <f>IF($G1435="",0,IF($H1435="مرجوعی فروش",-1,1)*IF(Sync!$AC1431="",0,Sync!$AC1431))</f>
        <v/>
      </c>
      <c r="O1435">
        <f>IF(OR($G1435="",Sync!$V1431=""),"",Sync!$V1431)</f>
        <v/>
      </c>
      <c r="P1435">
        <f>IF(OR($G1435="",Sync!$AD1431=""),"",Sync!$AD1431)</f>
        <v/>
      </c>
      <c r="Q1435">
        <f>IF($G1435="","",IF(Sync!$U1431="","0000",IF(AND(ISNUMBER(Sync!$U1431),Sync!$U1431&gt;=0,Sync!$U1431&lt;1),RIGHT("00"&amp;HOUR(Sync!$U1431),2)&amp;RIGHT("00"&amp;MINUTE(Sync!$U1431),2),IFERROR(RIGHT("00"&amp;VALUE(LEFT(Sync!$U1431,FIND(":",Sync!$U1431)-1)),2)&amp;RIGHT("00"&amp;VALUE(MID(Sync!$U1431,FIND(":",Sync!$U1431)+1,2)),2),"0000"))))</f>
        <v/>
      </c>
    </row>
    <row r="1436">
      <c r="A1436">
        <f>IF(Sync!$T1432="","",Sync!$T1432)</f>
        <v/>
      </c>
      <c r="B1436">
        <f>IF($A1436="","",IF(ISNUMBER($A1436),IF(AND($A1436&gt;=10000101,$A1436&lt;=99991231),INT($A1436/10000),""),IFERROR(VALUE(TRIM(LEFT($A1436,FIND("/",$A1436)-1))),"")))</f>
        <v/>
      </c>
      <c r="C1436">
        <f>IF(OR($A1436="",$B1436=""),"",IF(ISNUMBER($A1436),INT(MOD($A1436,10000)/100),IFERROR(VALUE(TRIM(LEFT(MID($A1436,FIND("/",$A1436)+1,20),FIND("/",MID($A1436,FIND("/",$A1436)+1,20))-1))),"")))</f>
        <v/>
      </c>
      <c r="D1436">
        <f>IF(OR($A1436="",$B1436=""),"",IF(ISNUMBER($A1436),MOD($A1436,100),IFERROR(VALUE(TRIM(MID(MID($A1436,FIND("/",$A1436)+1,20),FIND("/",MID($A1436,FIND("/",$A1436)+1,20))+1,20))),"")))</f>
        <v/>
      </c>
      <c r="E1436">
        <f>IF($A1436="","",IF(OR($B1436="",$C1436="",$D1436="",$B1436&lt;1300,$B1436&gt;1500,$C1436&lt;1,$C1436&gt;12,$D1436&lt;1,$D1436&gt;31),"نامعتبر",RIGHT("0000"&amp;$B1436,4)&amp;"/"&amp;RIGHT("00"&amp;$C1436,2)&amp;"/"&amp;RIGHT("00"&amp;$D1436,2)))</f>
        <v/>
      </c>
      <c r="F1436">
        <f>IF(OR($E1436="",$E1436="نامعتبر"),"",LEFT($E1436,4)&amp;"/"&amp;MID($E1436,6,2))</f>
        <v/>
      </c>
      <c r="G1436">
        <f>IF(OR($E1436="",$E1436="نامعتبر",Sync!$X1432=""),"",IF(AND(LEFT(UPPER(TRIM(Sync!$X1432)),2)="SL",IFERROR(VLOOKUP(Sync!$W1432,OpTbl,3,0),"")="فروش"),UPPER(TRIM(Sync!$X1432)),""))</f>
        <v/>
      </c>
      <c r="H1436">
        <f>IF($G1436="","",IF(Sync!$W1432="","",Sync!$W1432))</f>
        <v/>
      </c>
      <c r="I1436">
        <f>IF(OR($G1436="",Sync!$Y1432=""),"",Sync!$Y1432)</f>
        <v/>
      </c>
      <c r="J1436">
        <f>IF(OR($G1436="",Sync!$Z1432=""),"",Sync!$Z1432)</f>
        <v/>
      </c>
      <c r="K1436">
        <f>IF($G1436="",0,IF(Sync!$AA1432="",0,Sync!$AA1432))</f>
        <v/>
      </c>
      <c r="L1436">
        <f>IF($G1436="",0,IF(Sync!$AB1432="",0,Sync!$AB1432))</f>
        <v/>
      </c>
      <c r="M1436">
        <f>IF($G1436="","",IF($H1436="مرجوعی فروش",-1,1)*($K1436-$L1436*IFERROR(VLOOKUP("P01",ParamTbl,3,0),1.5)))</f>
        <v/>
      </c>
      <c r="N1436">
        <f>IF($G1436="",0,IF($H1436="مرجوعی فروش",-1,1)*IF(Sync!$AC1432="",0,Sync!$AC1432))</f>
        <v/>
      </c>
      <c r="O1436">
        <f>IF(OR($G1436="",Sync!$V1432=""),"",Sync!$V1432)</f>
        <v/>
      </c>
      <c r="P1436">
        <f>IF(OR($G1436="",Sync!$AD1432=""),"",Sync!$AD1432)</f>
        <v/>
      </c>
      <c r="Q1436">
        <f>IF($G1436="","",IF(Sync!$U1432="","0000",IF(AND(ISNUMBER(Sync!$U1432),Sync!$U1432&gt;=0,Sync!$U1432&lt;1),RIGHT("00"&amp;HOUR(Sync!$U1432),2)&amp;RIGHT("00"&amp;MINUTE(Sync!$U1432),2),IFERROR(RIGHT("00"&amp;VALUE(LEFT(Sync!$U1432,FIND(":",Sync!$U1432)-1)),2)&amp;RIGHT("00"&amp;VALUE(MID(Sync!$U1432,FIND(":",Sync!$U1432)+1,2)),2),"0000"))))</f>
        <v/>
      </c>
    </row>
    <row r="1437">
      <c r="A1437">
        <f>IF(Sync!$T1433="","",Sync!$T1433)</f>
        <v/>
      </c>
      <c r="B1437">
        <f>IF($A1437="","",IF(ISNUMBER($A1437),IF(AND($A1437&gt;=10000101,$A1437&lt;=99991231),INT($A1437/10000),""),IFERROR(VALUE(TRIM(LEFT($A1437,FIND("/",$A1437)-1))),"")))</f>
        <v/>
      </c>
      <c r="C1437">
        <f>IF(OR($A1437="",$B1437=""),"",IF(ISNUMBER($A1437),INT(MOD($A1437,10000)/100),IFERROR(VALUE(TRIM(LEFT(MID($A1437,FIND("/",$A1437)+1,20),FIND("/",MID($A1437,FIND("/",$A1437)+1,20))-1))),"")))</f>
        <v/>
      </c>
      <c r="D1437">
        <f>IF(OR($A1437="",$B1437=""),"",IF(ISNUMBER($A1437),MOD($A1437,100),IFERROR(VALUE(TRIM(MID(MID($A1437,FIND("/",$A1437)+1,20),FIND("/",MID($A1437,FIND("/",$A1437)+1,20))+1,20))),"")))</f>
        <v/>
      </c>
      <c r="E1437">
        <f>IF($A1437="","",IF(OR($B1437="",$C1437="",$D1437="",$B1437&lt;1300,$B1437&gt;1500,$C1437&lt;1,$C1437&gt;12,$D1437&lt;1,$D1437&gt;31),"نامعتبر",RIGHT("0000"&amp;$B1437,4)&amp;"/"&amp;RIGHT("00"&amp;$C1437,2)&amp;"/"&amp;RIGHT("00"&amp;$D1437,2)))</f>
        <v/>
      </c>
      <c r="F1437">
        <f>IF(OR($E1437="",$E1437="نامعتبر"),"",LEFT($E1437,4)&amp;"/"&amp;MID($E1437,6,2))</f>
        <v/>
      </c>
      <c r="G1437">
        <f>IF(OR($E1437="",$E1437="نامعتبر",Sync!$X1433=""),"",IF(AND(LEFT(UPPER(TRIM(Sync!$X1433)),2)="SL",IFERROR(VLOOKUP(Sync!$W1433,OpTbl,3,0),"")="فروش"),UPPER(TRIM(Sync!$X1433)),""))</f>
        <v/>
      </c>
      <c r="H1437">
        <f>IF($G1437="","",IF(Sync!$W1433="","",Sync!$W1433))</f>
        <v/>
      </c>
      <c r="I1437">
        <f>IF(OR($G1437="",Sync!$Y1433=""),"",Sync!$Y1433)</f>
        <v/>
      </c>
      <c r="J1437">
        <f>IF(OR($G1437="",Sync!$Z1433=""),"",Sync!$Z1433)</f>
        <v/>
      </c>
      <c r="K1437">
        <f>IF($G1437="",0,IF(Sync!$AA1433="",0,Sync!$AA1433))</f>
        <v/>
      </c>
      <c r="L1437">
        <f>IF($G1437="",0,IF(Sync!$AB1433="",0,Sync!$AB1433))</f>
        <v/>
      </c>
      <c r="M1437">
        <f>IF($G1437="","",IF($H1437="مرجوعی فروش",-1,1)*($K1437-$L1437*IFERROR(VLOOKUP("P01",ParamTbl,3,0),1.5)))</f>
        <v/>
      </c>
      <c r="N1437">
        <f>IF($G1437="",0,IF($H1437="مرجوعی فروش",-1,1)*IF(Sync!$AC1433="",0,Sync!$AC1433))</f>
        <v/>
      </c>
      <c r="O1437">
        <f>IF(OR($G1437="",Sync!$V1433=""),"",Sync!$V1433)</f>
        <v/>
      </c>
      <c r="P1437">
        <f>IF(OR($G1437="",Sync!$AD1433=""),"",Sync!$AD1433)</f>
        <v/>
      </c>
      <c r="Q1437">
        <f>IF($G1437="","",IF(Sync!$U1433="","0000",IF(AND(ISNUMBER(Sync!$U1433),Sync!$U1433&gt;=0,Sync!$U1433&lt;1),RIGHT("00"&amp;HOUR(Sync!$U1433),2)&amp;RIGHT("00"&amp;MINUTE(Sync!$U1433),2),IFERROR(RIGHT("00"&amp;VALUE(LEFT(Sync!$U1433,FIND(":",Sync!$U1433)-1)),2)&amp;RIGHT("00"&amp;VALUE(MID(Sync!$U1433,FIND(":",Sync!$U1433)+1,2)),2),"0000"))))</f>
        <v/>
      </c>
    </row>
    <row r="1438">
      <c r="A1438">
        <f>IF(Sync!$T1434="","",Sync!$T1434)</f>
        <v/>
      </c>
      <c r="B1438">
        <f>IF($A1438="","",IF(ISNUMBER($A1438),IF(AND($A1438&gt;=10000101,$A1438&lt;=99991231),INT($A1438/10000),""),IFERROR(VALUE(TRIM(LEFT($A1438,FIND("/",$A1438)-1))),"")))</f>
        <v/>
      </c>
      <c r="C1438">
        <f>IF(OR($A1438="",$B1438=""),"",IF(ISNUMBER($A1438),INT(MOD($A1438,10000)/100),IFERROR(VALUE(TRIM(LEFT(MID($A1438,FIND("/",$A1438)+1,20),FIND("/",MID($A1438,FIND("/",$A1438)+1,20))-1))),"")))</f>
        <v/>
      </c>
      <c r="D1438">
        <f>IF(OR($A1438="",$B1438=""),"",IF(ISNUMBER($A1438),MOD($A1438,100),IFERROR(VALUE(TRIM(MID(MID($A1438,FIND("/",$A1438)+1,20),FIND("/",MID($A1438,FIND("/",$A1438)+1,20))+1,20))),"")))</f>
        <v/>
      </c>
      <c r="E1438">
        <f>IF($A1438="","",IF(OR($B1438="",$C1438="",$D1438="",$B1438&lt;1300,$B1438&gt;1500,$C1438&lt;1,$C1438&gt;12,$D1438&lt;1,$D1438&gt;31),"نامعتبر",RIGHT("0000"&amp;$B1438,4)&amp;"/"&amp;RIGHT("00"&amp;$C1438,2)&amp;"/"&amp;RIGHT("00"&amp;$D1438,2)))</f>
        <v/>
      </c>
      <c r="F1438">
        <f>IF(OR($E1438="",$E1438="نامعتبر"),"",LEFT($E1438,4)&amp;"/"&amp;MID($E1438,6,2))</f>
        <v/>
      </c>
      <c r="G1438">
        <f>IF(OR($E1438="",$E1438="نامعتبر",Sync!$X1434=""),"",IF(AND(LEFT(UPPER(TRIM(Sync!$X1434)),2)="SL",IFERROR(VLOOKUP(Sync!$W1434,OpTbl,3,0),"")="فروش"),UPPER(TRIM(Sync!$X1434)),""))</f>
        <v/>
      </c>
      <c r="H1438">
        <f>IF($G1438="","",IF(Sync!$W1434="","",Sync!$W1434))</f>
        <v/>
      </c>
      <c r="I1438">
        <f>IF(OR($G1438="",Sync!$Y1434=""),"",Sync!$Y1434)</f>
        <v/>
      </c>
      <c r="J1438">
        <f>IF(OR($G1438="",Sync!$Z1434=""),"",Sync!$Z1434)</f>
        <v/>
      </c>
      <c r="K1438">
        <f>IF($G1438="",0,IF(Sync!$AA1434="",0,Sync!$AA1434))</f>
        <v/>
      </c>
      <c r="L1438">
        <f>IF($G1438="",0,IF(Sync!$AB1434="",0,Sync!$AB1434))</f>
        <v/>
      </c>
      <c r="M1438">
        <f>IF($G1438="","",IF($H1438="مرجوعی فروش",-1,1)*($K1438-$L1438*IFERROR(VLOOKUP("P01",ParamTbl,3,0),1.5)))</f>
        <v/>
      </c>
      <c r="N1438">
        <f>IF($G1438="",0,IF($H1438="مرجوعی فروش",-1,1)*IF(Sync!$AC1434="",0,Sync!$AC1434))</f>
        <v/>
      </c>
      <c r="O1438">
        <f>IF(OR($G1438="",Sync!$V1434=""),"",Sync!$V1434)</f>
        <v/>
      </c>
      <c r="P1438">
        <f>IF(OR($G1438="",Sync!$AD1434=""),"",Sync!$AD1434)</f>
        <v/>
      </c>
      <c r="Q1438">
        <f>IF($G1438="","",IF(Sync!$U1434="","0000",IF(AND(ISNUMBER(Sync!$U1434),Sync!$U1434&gt;=0,Sync!$U1434&lt;1),RIGHT("00"&amp;HOUR(Sync!$U1434),2)&amp;RIGHT("00"&amp;MINUTE(Sync!$U1434),2),IFERROR(RIGHT("00"&amp;VALUE(LEFT(Sync!$U1434,FIND(":",Sync!$U1434)-1)),2)&amp;RIGHT("00"&amp;VALUE(MID(Sync!$U1434,FIND(":",Sync!$U1434)+1,2)),2),"0000"))))</f>
        <v/>
      </c>
    </row>
    <row r="1439">
      <c r="A1439">
        <f>IF(Sync!$T1435="","",Sync!$T1435)</f>
        <v/>
      </c>
      <c r="B1439">
        <f>IF($A1439="","",IF(ISNUMBER($A1439),IF(AND($A1439&gt;=10000101,$A1439&lt;=99991231),INT($A1439/10000),""),IFERROR(VALUE(TRIM(LEFT($A1439,FIND("/",$A1439)-1))),"")))</f>
        <v/>
      </c>
      <c r="C1439">
        <f>IF(OR($A1439="",$B1439=""),"",IF(ISNUMBER($A1439),INT(MOD($A1439,10000)/100),IFERROR(VALUE(TRIM(LEFT(MID($A1439,FIND("/",$A1439)+1,20),FIND("/",MID($A1439,FIND("/",$A1439)+1,20))-1))),"")))</f>
        <v/>
      </c>
      <c r="D1439">
        <f>IF(OR($A1439="",$B1439=""),"",IF(ISNUMBER($A1439),MOD($A1439,100),IFERROR(VALUE(TRIM(MID(MID($A1439,FIND("/",$A1439)+1,20),FIND("/",MID($A1439,FIND("/",$A1439)+1,20))+1,20))),"")))</f>
        <v/>
      </c>
      <c r="E1439">
        <f>IF($A1439="","",IF(OR($B1439="",$C1439="",$D1439="",$B1439&lt;1300,$B1439&gt;1500,$C1439&lt;1,$C1439&gt;12,$D1439&lt;1,$D1439&gt;31),"نامعتبر",RIGHT("0000"&amp;$B1439,4)&amp;"/"&amp;RIGHT("00"&amp;$C1439,2)&amp;"/"&amp;RIGHT("00"&amp;$D1439,2)))</f>
        <v/>
      </c>
      <c r="F1439">
        <f>IF(OR($E1439="",$E1439="نامعتبر"),"",LEFT($E1439,4)&amp;"/"&amp;MID($E1439,6,2))</f>
        <v/>
      </c>
      <c r="G1439">
        <f>IF(OR($E1439="",$E1439="نامعتبر",Sync!$X1435=""),"",IF(AND(LEFT(UPPER(TRIM(Sync!$X1435)),2)="SL",IFERROR(VLOOKUP(Sync!$W1435,OpTbl,3,0),"")="فروش"),UPPER(TRIM(Sync!$X1435)),""))</f>
        <v/>
      </c>
      <c r="H1439">
        <f>IF($G1439="","",IF(Sync!$W1435="","",Sync!$W1435))</f>
        <v/>
      </c>
      <c r="I1439">
        <f>IF(OR($G1439="",Sync!$Y1435=""),"",Sync!$Y1435)</f>
        <v/>
      </c>
      <c r="J1439">
        <f>IF(OR($G1439="",Sync!$Z1435=""),"",Sync!$Z1435)</f>
        <v/>
      </c>
      <c r="K1439">
        <f>IF($G1439="",0,IF(Sync!$AA1435="",0,Sync!$AA1435))</f>
        <v/>
      </c>
      <c r="L1439">
        <f>IF($G1439="",0,IF(Sync!$AB1435="",0,Sync!$AB1435))</f>
        <v/>
      </c>
      <c r="M1439">
        <f>IF($G1439="","",IF($H1439="مرجوعی فروش",-1,1)*($K1439-$L1439*IFERROR(VLOOKUP("P01",ParamTbl,3,0),1.5)))</f>
        <v/>
      </c>
      <c r="N1439">
        <f>IF($G1439="",0,IF($H1439="مرجوعی فروش",-1,1)*IF(Sync!$AC1435="",0,Sync!$AC1435))</f>
        <v/>
      </c>
      <c r="O1439">
        <f>IF(OR($G1439="",Sync!$V1435=""),"",Sync!$V1435)</f>
        <v/>
      </c>
      <c r="P1439">
        <f>IF(OR($G1439="",Sync!$AD1435=""),"",Sync!$AD1435)</f>
        <v/>
      </c>
      <c r="Q1439">
        <f>IF($G1439="","",IF(Sync!$U1435="","0000",IF(AND(ISNUMBER(Sync!$U1435),Sync!$U1435&gt;=0,Sync!$U1435&lt;1),RIGHT("00"&amp;HOUR(Sync!$U1435),2)&amp;RIGHT("00"&amp;MINUTE(Sync!$U1435),2),IFERROR(RIGHT("00"&amp;VALUE(LEFT(Sync!$U1435,FIND(":",Sync!$U1435)-1)),2)&amp;RIGHT("00"&amp;VALUE(MID(Sync!$U1435,FIND(":",Sync!$U1435)+1,2)),2),"0000"))))</f>
        <v/>
      </c>
    </row>
    <row r="1440">
      <c r="A1440">
        <f>IF(Sync!$T1436="","",Sync!$T1436)</f>
        <v/>
      </c>
      <c r="B1440">
        <f>IF($A1440="","",IF(ISNUMBER($A1440),IF(AND($A1440&gt;=10000101,$A1440&lt;=99991231),INT($A1440/10000),""),IFERROR(VALUE(TRIM(LEFT($A1440,FIND("/",$A1440)-1))),"")))</f>
        <v/>
      </c>
      <c r="C1440">
        <f>IF(OR($A1440="",$B1440=""),"",IF(ISNUMBER($A1440),INT(MOD($A1440,10000)/100),IFERROR(VALUE(TRIM(LEFT(MID($A1440,FIND("/",$A1440)+1,20),FIND("/",MID($A1440,FIND("/",$A1440)+1,20))-1))),"")))</f>
        <v/>
      </c>
      <c r="D1440">
        <f>IF(OR($A1440="",$B1440=""),"",IF(ISNUMBER($A1440),MOD($A1440,100),IFERROR(VALUE(TRIM(MID(MID($A1440,FIND("/",$A1440)+1,20),FIND("/",MID($A1440,FIND("/",$A1440)+1,20))+1,20))),"")))</f>
        <v/>
      </c>
      <c r="E1440">
        <f>IF($A1440="","",IF(OR($B1440="",$C1440="",$D1440="",$B1440&lt;1300,$B1440&gt;1500,$C1440&lt;1,$C1440&gt;12,$D1440&lt;1,$D1440&gt;31),"نامعتبر",RIGHT("0000"&amp;$B1440,4)&amp;"/"&amp;RIGHT("00"&amp;$C1440,2)&amp;"/"&amp;RIGHT("00"&amp;$D1440,2)))</f>
        <v/>
      </c>
      <c r="F1440">
        <f>IF(OR($E1440="",$E1440="نامعتبر"),"",LEFT($E1440,4)&amp;"/"&amp;MID($E1440,6,2))</f>
        <v/>
      </c>
      <c r="G1440">
        <f>IF(OR($E1440="",$E1440="نامعتبر",Sync!$X1436=""),"",IF(AND(LEFT(UPPER(TRIM(Sync!$X1436)),2)="SL",IFERROR(VLOOKUP(Sync!$W1436,OpTbl,3,0),"")="فروش"),UPPER(TRIM(Sync!$X1436)),""))</f>
        <v/>
      </c>
      <c r="H1440">
        <f>IF($G1440="","",IF(Sync!$W1436="","",Sync!$W1436))</f>
        <v/>
      </c>
      <c r="I1440">
        <f>IF(OR($G1440="",Sync!$Y1436=""),"",Sync!$Y1436)</f>
        <v/>
      </c>
      <c r="J1440">
        <f>IF(OR($G1440="",Sync!$Z1436=""),"",Sync!$Z1436)</f>
        <v/>
      </c>
      <c r="K1440">
        <f>IF($G1440="",0,IF(Sync!$AA1436="",0,Sync!$AA1436))</f>
        <v/>
      </c>
      <c r="L1440">
        <f>IF($G1440="",0,IF(Sync!$AB1436="",0,Sync!$AB1436))</f>
        <v/>
      </c>
      <c r="M1440">
        <f>IF($G1440="","",IF($H1440="مرجوعی فروش",-1,1)*($K1440-$L1440*IFERROR(VLOOKUP("P01",ParamTbl,3,0),1.5)))</f>
        <v/>
      </c>
      <c r="N1440">
        <f>IF($G1440="",0,IF($H1440="مرجوعی فروش",-1,1)*IF(Sync!$AC1436="",0,Sync!$AC1436))</f>
        <v/>
      </c>
      <c r="O1440">
        <f>IF(OR($G1440="",Sync!$V1436=""),"",Sync!$V1436)</f>
        <v/>
      </c>
      <c r="P1440">
        <f>IF(OR($G1440="",Sync!$AD1436=""),"",Sync!$AD1436)</f>
        <v/>
      </c>
      <c r="Q1440">
        <f>IF($G1440="","",IF(Sync!$U1436="","0000",IF(AND(ISNUMBER(Sync!$U1436),Sync!$U1436&gt;=0,Sync!$U1436&lt;1),RIGHT("00"&amp;HOUR(Sync!$U1436),2)&amp;RIGHT("00"&amp;MINUTE(Sync!$U1436),2),IFERROR(RIGHT("00"&amp;VALUE(LEFT(Sync!$U1436,FIND(":",Sync!$U1436)-1)),2)&amp;RIGHT("00"&amp;VALUE(MID(Sync!$U1436,FIND(":",Sync!$U1436)+1,2)),2),"0000"))))</f>
        <v/>
      </c>
    </row>
    <row r="1441">
      <c r="A1441">
        <f>IF(Sync!$T1437="","",Sync!$T1437)</f>
        <v/>
      </c>
      <c r="B1441">
        <f>IF($A1441="","",IF(ISNUMBER($A1441),IF(AND($A1441&gt;=10000101,$A1441&lt;=99991231),INT($A1441/10000),""),IFERROR(VALUE(TRIM(LEFT($A1441,FIND("/",$A1441)-1))),"")))</f>
        <v/>
      </c>
      <c r="C1441">
        <f>IF(OR($A1441="",$B1441=""),"",IF(ISNUMBER($A1441),INT(MOD($A1441,10000)/100),IFERROR(VALUE(TRIM(LEFT(MID($A1441,FIND("/",$A1441)+1,20),FIND("/",MID($A1441,FIND("/",$A1441)+1,20))-1))),"")))</f>
        <v/>
      </c>
      <c r="D1441">
        <f>IF(OR($A1441="",$B1441=""),"",IF(ISNUMBER($A1441),MOD($A1441,100),IFERROR(VALUE(TRIM(MID(MID($A1441,FIND("/",$A1441)+1,20),FIND("/",MID($A1441,FIND("/",$A1441)+1,20))+1,20))),"")))</f>
        <v/>
      </c>
      <c r="E1441">
        <f>IF($A1441="","",IF(OR($B1441="",$C1441="",$D1441="",$B1441&lt;1300,$B1441&gt;1500,$C1441&lt;1,$C1441&gt;12,$D1441&lt;1,$D1441&gt;31),"نامعتبر",RIGHT("0000"&amp;$B1441,4)&amp;"/"&amp;RIGHT("00"&amp;$C1441,2)&amp;"/"&amp;RIGHT("00"&amp;$D1441,2)))</f>
        <v/>
      </c>
      <c r="F1441">
        <f>IF(OR($E1441="",$E1441="نامعتبر"),"",LEFT($E1441,4)&amp;"/"&amp;MID($E1441,6,2))</f>
        <v/>
      </c>
      <c r="G1441">
        <f>IF(OR($E1441="",$E1441="نامعتبر",Sync!$X1437=""),"",IF(AND(LEFT(UPPER(TRIM(Sync!$X1437)),2)="SL",IFERROR(VLOOKUP(Sync!$W1437,OpTbl,3,0),"")="فروش"),UPPER(TRIM(Sync!$X1437)),""))</f>
        <v/>
      </c>
      <c r="H1441">
        <f>IF($G1441="","",IF(Sync!$W1437="","",Sync!$W1437))</f>
        <v/>
      </c>
      <c r="I1441">
        <f>IF(OR($G1441="",Sync!$Y1437=""),"",Sync!$Y1437)</f>
        <v/>
      </c>
      <c r="J1441">
        <f>IF(OR($G1441="",Sync!$Z1437=""),"",Sync!$Z1437)</f>
        <v/>
      </c>
      <c r="K1441">
        <f>IF($G1441="",0,IF(Sync!$AA1437="",0,Sync!$AA1437))</f>
        <v/>
      </c>
      <c r="L1441">
        <f>IF($G1441="",0,IF(Sync!$AB1437="",0,Sync!$AB1437))</f>
        <v/>
      </c>
      <c r="M1441">
        <f>IF($G1441="","",IF($H1441="مرجوعی فروش",-1,1)*($K1441-$L1441*IFERROR(VLOOKUP("P01",ParamTbl,3,0),1.5)))</f>
        <v/>
      </c>
      <c r="N1441">
        <f>IF($G1441="",0,IF($H1441="مرجوعی فروش",-1,1)*IF(Sync!$AC1437="",0,Sync!$AC1437))</f>
        <v/>
      </c>
      <c r="O1441">
        <f>IF(OR($G1441="",Sync!$V1437=""),"",Sync!$V1437)</f>
        <v/>
      </c>
      <c r="P1441">
        <f>IF(OR($G1441="",Sync!$AD1437=""),"",Sync!$AD1437)</f>
        <v/>
      </c>
      <c r="Q1441">
        <f>IF($G1441="","",IF(Sync!$U1437="","0000",IF(AND(ISNUMBER(Sync!$U1437),Sync!$U1437&gt;=0,Sync!$U1437&lt;1),RIGHT("00"&amp;HOUR(Sync!$U1437),2)&amp;RIGHT("00"&amp;MINUTE(Sync!$U1437),2),IFERROR(RIGHT("00"&amp;VALUE(LEFT(Sync!$U1437,FIND(":",Sync!$U1437)-1)),2)&amp;RIGHT("00"&amp;VALUE(MID(Sync!$U1437,FIND(":",Sync!$U1437)+1,2)),2),"0000"))))</f>
        <v/>
      </c>
    </row>
    <row r="1442">
      <c r="A1442">
        <f>IF(Sync!$T1438="","",Sync!$T1438)</f>
        <v/>
      </c>
      <c r="B1442">
        <f>IF($A1442="","",IF(ISNUMBER($A1442),IF(AND($A1442&gt;=10000101,$A1442&lt;=99991231),INT($A1442/10000),""),IFERROR(VALUE(TRIM(LEFT($A1442,FIND("/",$A1442)-1))),"")))</f>
        <v/>
      </c>
      <c r="C1442">
        <f>IF(OR($A1442="",$B1442=""),"",IF(ISNUMBER($A1442),INT(MOD($A1442,10000)/100),IFERROR(VALUE(TRIM(LEFT(MID($A1442,FIND("/",$A1442)+1,20),FIND("/",MID($A1442,FIND("/",$A1442)+1,20))-1))),"")))</f>
        <v/>
      </c>
      <c r="D1442">
        <f>IF(OR($A1442="",$B1442=""),"",IF(ISNUMBER($A1442),MOD($A1442,100),IFERROR(VALUE(TRIM(MID(MID($A1442,FIND("/",$A1442)+1,20),FIND("/",MID($A1442,FIND("/",$A1442)+1,20))+1,20))),"")))</f>
        <v/>
      </c>
      <c r="E1442">
        <f>IF($A1442="","",IF(OR($B1442="",$C1442="",$D1442="",$B1442&lt;1300,$B1442&gt;1500,$C1442&lt;1,$C1442&gt;12,$D1442&lt;1,$D1442&gt;31),"نامعتبر",RIGHT("0000"&amp;$B1442,4)&amp;"/"&amp;RIGHT("00"&amp;$C1442,2)&amp;"/"&amp;RIGHT("00"&amp;$D1442,2)))</f>
        <v/>
      </c>
      <c r="F1442">
        <f>IF(OR($E1442="",$E1442="نامعتبر"),"",LEFT($E1442,4)&amp;"/"&amp;MID($E1442,6,2))</f>
        <v/>
      </c>
      <c r="G1442">
        <f>IF(OR($E1442="",$E1442="نامعتبر",Sync!$X1438=""),"",IF(AND(LEFT(UPPER(TRIM(Sync!$X1438)),2)="SL",IFERROR(VLOOKUP(Sync!$W1438,OpTbl,3,0),"")="فروش"),UPPER(TRIM(Sync!$X1438)),""))</f>
        <v/>
      </c>
      <c r="H1442">
        <f>IF($G1442="","",IF(Sync!$W1438="","",Sync!$W1438))</f>
        <v/>
      </c>
      <c r="I1442">
        <f>IF(OR($G1442="",Sync!$Y1438=""),"",Sync!$Y1438)</f>
        <v/>
      </c>
      <c r="J1442">
        <f>IF(OR($G1442="",Sync!$Z1438=""),"",Sync!$Z1438)</f>
        <v/>
      </c>
      <c r="K1442">
        <f>IF($G1442="",0,IF(Sync!$AA1438="",0,Sync!$AA1438))</f>
        <v/>
      </c>
      <c r="L1442">
        <f>IF($G1442="",0,IF(Sync!$AB1438="",0,Sync!$AB1438))</f>
        <v/>
      </c>
      <c r="M1442">
        <f>IF($G1442="","",IF($H1442="مرجوعی فروش",-1,1)*($K1442-$L1442*IFERROR(VLOOKUP("P01",ParamTbl,3,0),1.5)))</f>
        <v/>
      </c>
      <c r="N1442">
        <f>IF($G1442="",0,IF($H1442="مرجوعی فروش",-1,1)*IF(Sync!$AC1438="",0,Sync!$AC1438))</f>
        <v/>
      </c>
      <c r="O1442">
        <f>IF(OR($G1442="",Sync!$V1438=""),"",Sync!$V1438)</f>
        <v/>
      </c>
      <c r="P1442">
        <f>IF(OR($G1442="",Sync!$AD1438=""),"",Sync!$AD1438)</f>
        <v/>
      </c>
      <c r="Q1442">
        <f>IF($G1442="","",IF(Sync!$U1438="","0000",IF(AND(ISNUMBER(Sync!$U1438),Sync!$U1438&gt;=0,Sync!$U1438&lt;1),RIGHT("00"&amp;HOUR(Sync!$U1438),2)&amp;RIGHT("00"&amp;MINUTE(Sync!$U1438),2),IFERROR(RIGHT("00"&amp;VALUE(LEFT(Sync!$U1438,FIND(":",Sync!$U1438)-1)),2)&amp;RIGHT("00"&amp;VALUE(MID(Sync!$U1438,FIND(":",Sync!$U1438)+1,2)),2),"0000"))))</f>
        <v/>
      </c>
    </row>
    <row r="1443">
      <c r="A1443">
        <f>IF(Sync!$T1439="","",Sync!$T1439)</f>
        <v/>
      </c>
      <c r="B1443">
        <f>IF($A1443="","",IF(ISNUMBER($A1443),IF(AND($A1443&gt;=10000101,$A1443&lt;=99991231),INT($A1443/10000),""),IFERROR(VALUE(TRIM(LEFT($A1443,FIND("/",$A1443)-1))),"")))</f>
        <v/>
      </c>
      <c r="C1443">
        <f>IF(OR($A1443="",$B1443=""),"",IF(ISNUMBER($A1443),INT(MOD($A1443,10000)/100),IFERROR(VALUE(TRIM(LEFT(MID($A1443,FIND("/",$A1443)+1,20),FIND("/",MID($A1443,FIND("/",$A1443)+1,20))-1))),"")))</f>
        <v/>
      </c>
      <c r="D1443">
        <f>IF(OR($A1443="",$B1443=""),"",IF(ISNUMBER($A1443),MOD($A1443,100),IFERROR(VALUE(TRIM(MID(MID($A1443,FIND("/",$A1443)+1,20),FIND("/",MID($A1443,FIND("/",$A1443)+1,20))+1,20))),"")))</f>
        <v/>
      </c>
      <c r="E1443">
        <f>IF($A1443="","",IF(OR($B1443="",$C1443="",$D1443="",$B1443&lt;1300,$B1443&gt;1500,$C1443&lt;1,$C1443&gt;12,$D1443&lt;1,$D1443&gt;31),"نامعتبر",RIGHT("0000"&amp;$B1443,4)&amp;"/"&amp;RIGHT("00"&amp;$C1443,2)&amp;"/"&amp;RIGHT("00"&amp;$D1443,2)))</f>
        <v/>
      </c>
      <c r="F1443">
        <f>IF(OR($E1443="",$E1443="نامعتبر"),"",LEFT($E1443,4)&amp;"/"&amp;MID($E1443,6,2))</f>
        <v/>
      </c>
      <c r="G1443">
        <f>IF(OR($E1443="",$E1443="نامعتبر",Sync!$X1439=""),"",IF(AND(LEFT(UPPER(TRIM(Sync!$X1439)),2)="SL",IFERROR(VLOOKUP(Sync!$W1439,OpTbl,3,0),"")="فروش"),UPPER(TRIM(Sync!$X1439)),""))</f>
        <v/>
      </c>
      <c r="H1443">
        <f>IF($G1443="","",IF(Sync!$W1439="","",Sync!$W1439))</f>
        <v/>
      </c>
      <c r="I1443">
        <f>IF(OR($G1443="",Sync!$Y1439=""),"",Sync!$Y1439)</f>
        <v/>
      </c>
      <c r="J1443">
        <f>IF(OR($G1443="",Sync!$Z1439=""),"",Sync!$Z1439)</f>
        <v/>
      </c>
      <c r="K1443">
        <f>IF($G1443="",0,IF(Sync!$AA1439="",0,Sync!$AA1439))</f>
        <v/>
      </c>
      <c r="L1443">
        <f>IF($G1443="",0,IF(Sync!$AB1439="",0,Sync!$AB1439))</f>
        <v/>
      </c>
      <c r="M1443">
        <f>IF($G1443="","",IF($H1443="مرجوعی فروش",-1,1)*($K1443-$L1443*IFERROR(VLOOKUP("P01",ParamTbl,3,0),1.5)))</f>
        <v/>
      </c>
      <c r="N1443">
        <f>IF($G1443="",0,IF($H1443="مرجوعی فروش",-1,1)*IF(Sync!$AC1439="",0,Sync!$AC1439))</f>
        <v/>
      </c>
      <c r="O1443">
        <f>IF(OR($G1443="",Sync!$V1439=""),"",Sync!$V1439)</f>
        <v/>
      </c>
      <c r="P1443">
        <f>IF(OR($G1443="",Sync!$AD1439=""),"",Sync!$AD1439)</f>
        <v/>
      </c>
      <c r="Q1443">
        <f>IF($G1443="","",IF(Sync!$U1439="","0000",IF(AND(ISNUMBER(Sync!$U1439),Sync!$U1439&gt;=0,Sync!$U1439&lt;1),RIGHT("00"&amp;HOUR(Sync!$U1439),2)&amp;RIGHT("00"&amp;MINUTE(Sync!$U1439),2),IFERROR(RIGHT("00"&amp;VALUE(LEFT(Sync!$U1439,FIND(":",Sync!$U1439)-1)),2)&amp;RIGHT("00"&amp;VALUE(MID(Sync!$U1439,FIND(":",Sync!$U1439)+1,2)),2),"0000"))))</f>
        <v/>
      </c>
    </row>
    <row r="1444">
      <c r="A1444">
        <f>IF(Sync!$T1440="","",Sync!$T1440)</f>
        <v/>
      </c>
      <c r="B1444">
        <f>IF($A1444="","",IF(ISNUMBER($A1444),IF(AND($A1444&gt;=10000101,$A1444&lt;=99991231),INT($A1444/10000),""),IFERROR(VALUE(TRIM(LEFT($A1444,FIND("/",$A1444)-1))),"")))</f>
        <v/>
      </c>
      <c r="C1444">
        <f>IF(OR($A1444="",$B1444=""),"",IF(ISNUMBER($A1444),INT(MOD($A1444,10000)/100),IFERROR(VALUE(TRIM(LEFT(MID($A1444,FIND("/",$A1444)+1,20),FIND("/",MID($A1444,FIND("/",$A1444)+1,20))-1))),"")))</f>
        <v/>
      </c>
      <c r="D1444">
        <f>IF(OR($A1444="",$B1444=""),"",IF(ISNUMBER($A1444),MOD($A1444,100),IFERROR(VALUE(TRIM(MID(MID($A1444,FIND("/",$A1444)+1,20),FIND("/",MID($A1444,FIND("/",$A1444)+1,20))+1,20))),"")))</f>
        <v/>
      </c>
      <c r="E1444">
        <f>IF($A1444="","",IF(OR($B1444="",$C1444="",$D1444="",$B1444&lt;1300,$B1444&gt;1500,$C1444&lt;1,$C1444&gt;12,$D1444&lt;1,$D1444&gt;31),"نامعتبر",RIGHT("0000"&amp;$B1444,4)&amp;"/"&amp;RIGHT("00"&amp;$C1444,2)&amp;"/"&amp;RIGHT("00"&amp;$D1444,2)))</f>
        <v/>
      </c>
      <c r="F1444">
        <f>IF(OR($E1444="",$E1444="نامعتبر"),"",LEFT($E1444,4)&amp;"/"&amp;MID($E1444,6,2))</f>
        <v/>
      </c>
      <c r="G1444">
        <f>IF(OR($E1444="",$E1444="نامعتبر",Sync!$X1440=""),"",IF(AND(LEFT(UPPER(TRIM(Sync!$X1440)),2)="SL",IFERROR(VLOOKUP(Sync!$W1440,OpTbl,3,0),"")="فروش"),UPPER(TRIM(Sync!$X1440)),""))</f>
        <v/>
      </c>
      <c r="H1444">
        <f>IF($G1444="","",IF(Sync!$W1440="","",Sync!$W1440))</f>
        <v/>
      </c>
      <c r="I1444">
        <f>IF(OR($G1444="",Sync!$Y1440=""),"",Sync!$Y1440)</f>
        <v/>
      </c>
      <c r="J1444">
        <f>IF(OR($G1444="",Sync!$Z1440=""),"",Sync!$Z1440)</f>
        <v/>
      </c>
      <c r="K1444">
        <f>IF($G1444="",0,IF(Sync!$AA1440="",0,Sync!$AA1440))</f>
        <v/>
      </c>
      <c r="L1444">
        <f>IF($G1444="",0,IF(Sync!$AB1440="",0,Sync!$AB1440))</f>
        <v/>
      </c>
      <c r="M1444">
        <f>IF($G1444="","",IF($H1444="مرجوعی فروش",-1,1)*($K1444-$L1444*IFERROR(VLOOKUP("P01",ParamTbl,3,0),1.5)))</f>
        <v/>
      </c>
      <c r="N1444">
        <f>IF($G1444="",0,IF($H1444="مرجوعی فروش",-1,1)*IF(Sync!$AC1440="",0,Sync!$AC1440))</f>
        <v/>
      </c>
      <c r="O1444">
        <f>IF(OR($G1444="",Sync!$V1440=""),"",Sync!$V1440)</f>
        <v/>
      </c>
      <c r="P1444">
        <f>IF(OR($G1444="",Sync!$AD1440=""),"",Sync!$AD1440)</f>
        <v/>
      </c>
      <c r="Q1444">
        <f>IF($G1444="","",IF(Sync!$U1440="","0000",IF(AND(ISNUMBER(Sync!$U1440),Sync!$U1440&gt;=0,Sync!$U1440&lt;1),RIGHT("00"&amp;HOUR(Sync!$U1440),2)&amp;RIGHT("00"&amp;MINUTE(Sync!$U1440),2),IFERROR(RIGHT("00"&amp;VALUE(LEFT(Sync!$U1440,FIND(":",Sync!$U1440)-1)),2)&amp;RIGHT("00"&amp;VALUE(MID(Sync!$U1440,FIND(":",Sync!$U1440)+1,2)),2),"0000"))))</f>
        <v/>
      </c>
    </row>
    <row r="1445">
      <c r="A1445">
        <f>IF(Sync!$T1441="","",Sync!$T1441)</f>
        <v/>
      </c>
      <c r="B1445">
        <f>IF($A1445="","",IF(ISNUMBER($A1445),IF(AND($A1445&gt;=10000101,$A1445&lt;=99991231),INT($A1445/10000),""),IFERROR(VALUE(TRIM(LEFT($A1445,FIND("/",$A1445)-1))),"")))</f>
        <v/>
      </c>
      <c r="C1445">
        <f>IF(OR($A1445="",$B1445=""),"",IF(ISNUMBER($A1445),INT(MOD($A1445,10000)/100),IFERROR(VALUE(TRIM(LEFT(MID($A1445,FIND("/",$A1445)+1,20),FIND("/",MID($A1445,FIND("/",$A1445)+1,20))-1))),"")))</f>
        <v/>
      </c>
      <c r="D1445">
        <f>IF(OR($A1445="",$B1445=""),"",IF(ISNUMBER($A1445),MOD($A1445,100),IFERROR(VALUE(TRIM(MID(MID($A1445,FIND("/",$A1445)+1,20),FIND("/",MID($A1445,FIND("/",$A1445)+1,20))+1,20))),"")))</f>
        <v/>
      </c>
      <c r="E1445">
        <f>IF($A1445="","",IF(OR($B1445="",$C1445="",$D1445="",$B1445&lt;1300,$B1445&gt;1500,$C1445&lt;1,$C1445&gt;12,$D1445&lt;1,$D1445&gt;31),"نامعتبر",RIGHT("0000"&amp;$B1445,4)&amp;"/"&amp;RIGHT("00"&amp;$C1445,2)&amp;"/"&amp;RIGHT("00"&amp;$D1445,2)))</f>
        <v/>
      </c>
      <c r="F1445">
        <f>IF(OR($E1445="",$E1445="نامعتبر"),"",LEFT($E1445,4)&amp;"/"&amp;MID($E1445,6,2))</f>
        <v/>
      </c>
      <c r="G1445">
        <f>IF(OR($E1445="",$E1445="نامعتبر",Sync!$X1441=""),"",IF(AND(LEFT(UPPER(TRIM(Sync!$X1441)),2)="SL",IFERROR(VLOOKUP(Sync!$W1441,OpTbl,3,0),"")="فروش"),UPPER(TRIM(Sync!$X1441)),""))</f>
        <v/>
      </c>
      <c r="H1445">
        <f>IF($G1445="","",IF(Sync!$W1441="","",Sync!$W1441))</f>
        <v/>
      </c>
      <c r="I1445">
        <f>IF(OR($G1445="",Sync!$Y1441=""),"",Sync!$Y1441)</f>
        <v/>
      </c>
      <c r="J1445">
        <f>IF(OR($G1445="",Sync!$Z1441=""),"",Sync!$Z1441)</f>
        <v/>
      </c>
      <c r="K1445">
        <f>IF($G1445="",0,IF(Sync!$AA1441="",0,Sync!$AA1441))</f>
        <v/>
      </c>
      <c r="L1445">
        <f>IF($G1445="",0,IF(Sync!$AB1441="",0,Sync!$AB1441))</f>
        <v/>
      </c>
      <c r="M1445">
        <f>IF($G1445="","",IF($H1445="مرجوعی فروش",-1,1)*($K1445-$L1445*IFERROR(VLOOKUP("P01",ParamTbl,3,0),1.5)))</f>
        <v/>
      </c>
      <c r="N1445">
        <f>IF($G1445="",0,IF($H1445="مرجوعی فروش",-1,1)*IF(Sync!$AC1441="",0,Sync!$AC1441))</f>
        <v/>
      </c>
      <c r="O1445">
        <f>IF(OR($G1445="",Sync!$V1441=""),"",Sync!$V1441)</f>
        <v/>
      </c>
      <c r="P1445">
        <f>IF(OR($G1445="",Sync!$AD1441=""),"",Sync!$AD1441)</f>
        <v/>
      </c>
      <c r="Q1445">
        <f>IF($G1445="","",IF(Sync!$U1441="","0000",IF(AND(ISNUMBER(Sync!$U1441),Sync!$U1441&gt;=0,Sync!$U1441&lt;1),RIGHT("00"&amp;HOUR(Sync!$U1441),2)&amp;RIGHT("00"&amp;MINUTE(Sync!$U1441),2),IFERROR(RIGHT("00"&amp;VALUE(LEFT(Sync!$U1441,FIND(":",Sync!$U1441)-1)),2)&amp;RIGHT("00"&amp;VALUE(MID(Sync!$U1441,FIND(":",Sync!$U1441)+1,2)),2),"0000"))))</f>
        <v/>
      </c>
    </row>
    <row r="1446">
      <c r="A1446">
        <f>IF(Sync!$T1442="","",Sync!$T1442)</f>
        <v/>
      </c>
      <c r="B1446">
        <f>IF($A1446="","",IF(ISNUMBER($A1446),IF(AND($A1446&gt;=10000101,$A1446&lt;=99991231),INT($A1446/10000),""),IFERROR(VALUE(TRIM(LEFT($A1446,FIND("/",$A1446)-1))),"")))</f>
        <v/>
      </c>
      <c r="C1446">
        <f>IF(OR($A1446="",$B1446=""),"",IF(ISNUMBER($A1446),INT(MOD($A1446,10000)/100),IFERROR(VALUE(TRIM(LEFT(MID($A1446,FIND("/",$A1446)+1,20),FIND("/",MID($A1446,FIND("/",$A1446)+1,20))-1))),"")))</f>
        <v/>
      </c>
      <c r="D1446">
        <f>IF(OR($A1446="",$B1446=""),"",IF(ISNUMBER($A1446),MOD($A1446,100),IFERROR(VALUE(TRIM(MID(MID($A1446,FIND("/",$A1446)+1,20),FIND("/",MID($A1446,FIND("/",$A1446)+1,20))+1,20))),"")))</f>
        <v/>
      </c>
      <c r="E1446">
        <f>IF($A1446="","",IF(OR($B1446="",$C1446="",$D1446="",$B1446&lt;1300,$B1446&gt;1500,$C1446&lt;1,$C1446&gt;12,$D1446&lt;1,$D1446&gt;31),"نامعتبر",RIGHT("0000"&amp;$B1446,4)&amp;"/"&amp;RIGHT("00"&amp;$C1446,2)&amp;"/"&amp;RIGHT("00"&amp;$D1446,2)))</f>
        <v/>
      </c>
      <c r="F1446">
        <f>IF(OR($E1446="",$E1446="نامعتبر"),"",LEFT($E1446,4)&amp;"/"&amp;MID($E1446,6,2))</f>
        <v/>
      </c>
      <c r="G1446">
        <f>IF(OR($E1446="",$E1446="نامعتبر",Sync!$X1442=""),"",IF(AND(LEFT(UPPER(TRIM(Sync!$X1442)),2)="SL",IFERROR(VLOOKUP(Sync!$W1442,OpTbl,3,0),"")="فروش"),UPPER(TRIM(Sync!$X1442)),""))</f>
        <v/>
      </c>
      <c r="H1446">
        <f>IF($G1446="","",IF(Sync!$W1442="","",Sync!$W1442))</f>
        <v/>
      </c>
      <c r="I1446">
        <f>IF(OR($G1446="",Sync!$Y1442=""),"",Sync!$Y1442)</f>
        <v/>
      </c>
      <c r="J1446">
        <f>IF(OR($G1446="",Sync!$Z1442=""),"",Sync!$Z1442)</f>
        <v/>
      </c>
      <c r="K1446">
        <f>IF($G1446="",0,IF(Sync!$AA1442="",0,Sync!$AA1442))</f>
        <v/>
      </c>
      <c r="L1446">
        <f>IF($G1446="",0,IF(Sync!$AB1442="",0,Sync!$AB1442))</f>
        <v/>
      </c>
      <c r="M1446">
        <f>IF($G1446="","",IF($H1446="مرجوعی فروش",-1,1)*($K1446-$L1446*IFERROR(VLOOKUP("P01",ParamTbl,3,0),1.5)))</f>
        <v/>
      </c>
      <c r="N1446">
        <f>IF($G1446="",0,IF($H1446="مرجوعی فروش",-1,1)*IF(Sync!$AC1442="",0,Sync!$AC1442))</f>
        <v/>
      </c>
      <c r="O1446">
        <f>IF(OR($G1446="",Sync!$V1442=""),"",Sync!$V1442)</f>
        <v/>
      </c>
      <c r="P1446">
        <f>IF(OR($G1446="",Sync!$AD1442=""),"",Sync!$AD1442)</f>
        <v/>
      </c>
      <c r="Q1446">
        <f>IF($G1446="","",IF(Sync!$U1442="","0000",IF(AND(ISNUMBER(Sync!$U1442),Sync!$U1442&gt;=0,Sync!$U1442&lt;1),RIGHT("00"&amp;HOUR(Sync!$U1442),2)&amp;RIGHT("00"&amp;MINUTE(Sync!$U1442),2),IFERROR(RIGHT("00"&amp;VALUE(LEFT(Sync!$U1442,FIND(":",Sync!$U1442)-1)),2)&amp;RIGHT("00"&amp;VALUE(MID(Sync!$U1442,FIND(":",Sync!$U1442)+1,2)),2),"0000"))))</f>
        <v/>
      </c>
    </row>
    <row r="1447">
      <c r="A1447">
        <f>IF(Sync!$T1443="","",Sync!$T1443)</f>
        <v/>
      </c>
      <c r="B1447">
        <f>IF($A1447="","",IF(ISNUMBER($A1447),IF(AND($A1447&gt;=10000101,$A1447&lt;=99991231),INT($A1447/10000),""),IFERROR(VALUE(TRIM(LEFT($A1447,FIND("/",$A1447)-1))),"")))</f>
        <v/>
      </c>
      <c r="C1447">
        <f>IF(OR($A1447="",$B1447=""),"",IF(ISNUMBER($A1447),INT(MOD($A1447,10000)/100),IFERROR(VALUE(TRIM(LEFT(MID($A1447,FIND("/",$A1447)+1,20),FIND("/",MID($A1447,FIND("/",$A1447)+1,20))-1))),"")))</f>
        <v/>
      </c>
      <c r="D1447">
        <f>IF(OR($A1447="",$B1447=""),"",IF(ISNUMBER($A1447),MOD($A1447,100),IFERROR(VALUE(TRIM(MID(MID($A1447,FIND("/",$A1447)+1,20),FIND("/",MID($A1447,FIND("/",$A1447)+1,20))+1,20))),"")))</f>
        <v/>
      </c>
      <c r="E1447">
        <f>IF($A1447="","",IF(OR($B1447="",$C1447="",$D1447="",$B1447&lt;1300,$B1447&gt;1500,$C1447&lt;1,$C1447&gt;12,$D1447&lt;1,$D1447&gt;31),"نامعتبر",RIGHT("0000"&amp;$B1447,4)&amp;"/"&amp;RIGHT("00"&amp;$C1447,2)&amp;"/"&amp;RIGHT("00"&amp;$D1447,2)))</f>
        <v/>
      </c>
      <c r="F1447">
        <f>IF(OR($E1447="",$E1447="نامعتبر"),"",LEFT($E1447,4)&amp;"/"&amp;MID($E1447,6,2))</f>
        <v/>
      </c>
      <c r="G1447">
        <f>IF(OR($E1447="",$E1447="نامعتبر",Sync!$X1443=""),"",IF(AND(LEFT(UPPER(TRIM(Sync!$X1443)),2)="SL",IFERROR(VLOOKUP(Sync!$W1443,OpTbl,3,0),"")="فروش"),UPPER(TRIM(Sync!$X1443)),""))</f>
        <v/>
      </c>
      <c r="H1447">
        <f>IF($G1447="","",IF(Sync!$W1443="","",Sync!$W1443))</f>
        <v/>
      </c>
      <c r="I1447">
        <f>IF(OR($G1447="",Sync!$Y1443=""),"",Sync!$Y1443)</f>
        <v/>
      </c>
      <c r="J1447">
        <f>IF(OR($G1447="",Sync!$Z1443=""),"",Sync!$Z1443)</f>
        <v/>
      </c>
      <c r="K1447">
        <f>IF($G1447="",0,IF(Sync!$AA1443="",0,Sync!$AA1443))</f>
        <v/>
      </c>
      <c r="L1447">
        <f>IF($G1447="",0,IF(Sync!$AB1443="",0,Sync!$AB1443))</f>
        <v/>
      </c>
      <c r="M1447">
        <f>IF($G1447="","",IF($H1447="مرجوعی فروش",-1,1)*($K1447-$L1447*IFERROR(VLOOKUP("P01",ParamTbl,3,0),1.5)))</f>
        <v/>
      </c>
      <c r="N1447">
        <f>IF($G1447="",0,IF($H1447="مرجوعی فروش",-1,1)*IF(Sync!$AC1443="",0,Sync!$AC1443))</f>
        <v/>
      </c>
      <c r="O1447">
        <f>IF(OR($G1447="",Sync!$V1443=""),"",Sync!$V1443)</f>
        <v/>
      </c>
      <c r="P1447">
        <f>IF(OR($G1447="",Sync!$AD1443=""),"",Sync!$AD1443)</f>
        <v/>
      </c>
      <c r="Q1447">
        <f>IF($G1447="","",IF(Sync!$U1443="","0000",IF(AND(ISNUMBER(Sync!$U1443),Sync!$U1443&gt;=0,Sync!$U1443&lt;1),RIGHT("00"&amp;HOUR(Sync!$U1443),2)&amp;RIGHT("00"&amp;MINUTE(Sync!$U1443),2),IFERROR(RIGHT("00"&amp;VALUE(LEFT(Sync!$U1443,FIND(":",Sync!$U1443)-1)),2)&amp;RIGHT("00"&amp;VALUE(MID(Sync!$U1443,FIND(":",Sync!$U1443)+1,2)),2),"0000"))))</f>
        <v/>
      </c>
    </row>
    <row r="1448">
      <c r="A1448">
        <f>IF(Sync!$T1444="","",Sync!$T1444)</f>
        <v/>
      </c>
      <c r="B1448">
        <f>IF($A1448="","",IF(ISNUMBER($A1448),IF(AND($A1448&gt;=10000101,$A1448&lt;=99991231),INT($A1448/10000),""),IFERROR(VALUE(TRIM(LEFT($A1448,FIND("/",$A1448)-1))),"")))</f>
        <v/>
      </c>
      <c r="C1448">
        <f>IF(OR($A1448="",$B1448=""),"",IF(ISNUMBER($A1448),INT(MOD($A1448,10000)/100),IFERROR(VALUE(TRIM(LEFT(MID($A1448,FIND("/",$A1448)+1,20),FIND("/",MID($A1448,FIND("/",$A1448)+1,20))-1))),"")))</f>
        <v/>
      </c>
      <c r="D1448">
        <f>IF(OR($A1448="",$B1448=""),"",IF(ISNUMBER($A1448),MOD($A1448,100),IFERROR(VALUE(TRIM(MID(MID($A1448,FIND("/",$A1448)+1,20),FIND("/",MID($A1448,FIND("/",$A1448)+1,20))+1,20))),"")))</f>
        <v/>
      </c>
      <c r="E1448">
        <f>IF($A1448="","",IF(OR($B1448="",$C1448="",$D1448="",$B1448&lt;1300,$B1448&gt;1500,$C1448&lt;1,$C1448&gt;12,$D1448&lt;1,$D1448&gt;31),"نامعتبر",RIGHT("0000"&amp;$B1448,4)&amp;"/"&amp;RIGHT("00"&amp;$C1448,2)&amp;"/"&amp;RIGHT("00"&amp;$D1448,2)))</f>
        <v/>
      </c>
      <c r="F1448">
        <f>IF(OR($E1448="",$E1448="نامعتبر"),"",LEFT($E1448,4)&amp;"/"&amp;MID($E1448,6,2))</f>
        <v/>
      </c>
      <c r="G1448">
        <f>IF(OR($E1448="",$E1448="نامعتبر",Sync!$X1444=""),"",IF(AND(LEFT(UPPER(TRIM(Sync!$X1444)),2)="SL",IFERROR(VLOOKUP(Sync!$W1444,OpTbl,3,0),"")="فروش"),UPPER(TRIM(Sync!$X1444)),""))</f>
        <v/>
      </c>
      <c r="H1448">
        <f>IF($G1448="","",IF(Sync!$W1444="","",Sync!$W1444))</f>
        <v/>
      </c>
      <c r="I1448">
        <f>IF(OR($G1448="",Sync!$Y1444=""),"",Sync!$Y1444)</f>
        <v/>
      </c>
      <c r="J1448">
        <f>IF(OR($G1448="",Sync!$Z1444=""),"",Sync!$Z1444)</f>
        <v/>
      </c>
      <c r="K1448">
        <f>IF($G1448="",0,IF(Sync!$AA1444="",0,Sync!$AA1444))</f>
        <v/>
      </c>
      <c r="L1448">
        <f>IF($G1448="",0,IF(Sync!$AB1444="",0,Sync!$AB1444))</f>
        <v/>
      </c>
      <c r="M1448">
        <f>IF($G1448="","",IF($H1448="مرجوعی فروش",-1,1)*($K1448-$L1448*IFERROR(VLOOKUP("P01",ParamTbl,3,0),1.5)))</f>
        <v/>
      </c>
      <c r="N1448">
        <f>IF($G1448="",0,IF($H1448="مرجوعی فروش",-1,1)*IF(Sync!$AC1444="",0,Sync!$AC1444))</f>
        <v/>
      </c>
      <c r="O1448">
        <f>IF(OR($G1448="",Sync!$V1444=""),"",Sync!$V1444)</f>
        <v/>
      </c>
      <c r="P1448">
        <f>IF(OR($G1448="",Sync!$AD1444=""),"",Sync!$AD1444)</f>
        <v/>
      </c>
      <c r="Q1448">
        <f>IF($G1448="","",IF(Sync!$U1444="","0000",IF(AND(ISNUMBER(Sync!$U1444),Sync!$U1444&gt;=0,Sync!$U1444&lt;1),RIGHT("00"&amp;HOUR(Sync!$U1444),2)&amp;RIGHT("00"&amp;MINUTE(Sync!$U1444),2),IFERROR(RIGHT("00"&amp;VALUE(LEFT(Sync!$U1444,FIND(":",Sync!$U1444)-1)),2)&amp;RIGHT("00"&amp;VALUE(MID(Sync!$U1444,FIND(":",Sync!$U1444)+1,2)),2),"0000"))))</f>
        <v/>
      </c>
    </row>
    <row r="1449">
      <c r="A1449">
        <f>IF(Sync!$T1445="","",Sync!$T1445)</f>
        <v/>
      </c>
      <c r="B1449">
        <f>IF($A1449="","",IF(ISNUMBER($A1449),IF(AND($A1449&gt;=10000101,$A1449&lt;=99991231),INT($A1449/10000),""),IFERROR(VALUE(TRIM(LEFT($A1449,FIND("/",$A1449)-1))),"")))</f>
        <v/>
      </c>
      <c r="C1449">
        <f>IF(OR($A1449="",$B1449=""),"",IF(ISNUMBER($A1449),INT(MOD($A1449,10000)/100),IFERROR(VALUE(TRIM(LEFT(MID($A1449,FIND("/",$A1449)+1,20),FIND("/",MID($A1449,FIND("/",$A1449)+1,20))-1))),"")))</f>
        <v/>
      </c>
      <c r="D1449">
        <f>IF(OR($A1449="",$B1449=""),"",IF(ISNUMBER($A1449),MOD($A1449,100),IFERROR(VALUE(TRIM(MID(MID($A1449,FIND("/",$A1449)+1,20),FIND("/",MID($A1449,FIND("/",$A1449)+1,20))+1,20))),"")))</f>
        <v/>
      </c>
      <c r="E1449">
        <f>IF($A1449="","",IF(OR($B1449="",$C1449="",$D1449="",$B1449&lt;1300,$B1449&gt;1500,$C1449&lt;1,$C1449&gt;12,$D1449&lt;1,$D1449&gt;31),"نامعتبر",RIGHT("0000"&amp;$B1449,4)&amp;"/"&amp;RIGHT("00"&amp;$C1449,2)&amp;"/"&amp;RIGHT("00"&amp;$D1449,2)))</f>
        <v/>
      </c>
      <c r="F1449">
        <f>IF(OR($E1449="",$E1449="نامعتبر"),"",LEFT($E1449,4)&amp;"/"&amp;MID($E1449,6,2))</f>
        <v/>
      </c>
      <c r="G1449">
        <f>IF(OR($E1449="",$E1449="نامعتبر",Sync!$X1445=""),"",IF(AND(LEFT(UPPER(TRIM(Sync!$X1445)),2)="SL",IFERROR(VLOOKUP(Sync!$W1445,OpTbl,3,0),"")="فروش"),UPPER(TRIM(Sync!$X1445)),""))</f>
        <v/>
      </c>
      <c r="H1449">
        <f>IF($G1449="","",IF(Sync!$W1445="","",Sync!$W1445))</f>
        <v/>
      </c>
      <c r="I1449">
        <f>IF(OR($G1449="",Sync!$Y1445=""),"",Sync!$Y1445)</f>
        <v/>
      </c>
      <c r="J1449">
        <f>IF(OR($G1449="",Sync!$Z1445=""),"",Sync!$Z1445)</f>
        <v/>
      </c>
      <c r="K1449">
        <f>IF($G1449="",0,IF(Sync!$AA1445="",0,Sync!$AA1445))</f>
        <v/>
      </c>
      <c r="L1449">
        <f>IF($G1449="",0,IF(Sync!$AB1445="",0,Sync!$AB1445))</f>
        <v/>
      </c>
      <c r="M1449">
        <f>IF($G1449="","",IF($H1449="مرجوعی فروش",-1,1)*($K1449-$L1449*IFERROR(VLOOKUP("P01",ParamTbl,3,0),1.5)))</f>
        <v/>
      </c>
      <c r="N1449">
        <f>IF($G1449="",0,IF($H1449="مرجوعی فروش",-1,1)*IF(Sync!$AC1445="",0,Sync!$AC1445))</f>
        <v/>
      </c>
      <c r="O1449">
        <f>IF(OR($G1449="",Sync!$V1445=""),"",Sync!$V1445)</f>
        <v/>
      </c>
      <c r="P1449">
        <f>IF(OR($G1449="",Sync!$AD1445=""),"",Sync!$AD1445)</f>
        <v/>
      </c>
      <c r="Q1449">
        <f>IF($G1449="","",IF(Sync!$U1445="","0000",IF(AND(ISNUMBER(Sync!$U1445),Sync!$U1445&gt;=0,Sync!$U1445&lt;1),RIGHT("00"&amp;HOUR(Sync!$U1445),2)&amp;RIGHT("00"&amp;MINUTE(Sync!$U1445),2),IFERROR(RIGHT("00"&amp;VALUE(LEFT(Sync!$U1445,FIND(":",Sync!$U1445)-1)),2)&amp;RIGHT("00"&amp;VALUE(MID(Sync!$U1445,FIND(":",Sync!$U1445)+1,2)),2),"0000"))))</f>
        <v/>
      </c>
    </row>
    <row r="1450">
      <c r="A1450">
        <f>IF(Sync!$T1446="","",Sync!$T1446)</f>
        <v/>
      </c>
      <c r="B1450">
        <f>IF($A1450="","",IF(ISNUMBER($A1450),IF(AND($A1450&gt;=10000101,$A1450&lt;=99991231),INT($A1450/10000),""),IFERROR(VALUE(TRIM(LEFT($A1450,FIND("/",$A1450)-1))),"")))</f>
        <v/>
      </c>
      <c r="C1450">
        <f>IF(OR($A1450="",$B1450=""),"",IF(ISNUMBER($A1450),INT(MOD($A1450,10000)/100),IFERROR(VALUE(TRIM(LEFT(MID($A1450,FIND("/",$A1450)+1,20),FIND("/",MID($A1450,FIND("/",$A1450)+1,20))-1))),"")))</f>
        <v/>
      </c>
      <c r="D1450">
        <f>IF(OR($A1450="",$B1450=""),"",IF(ISNUMBER($A1450),MOD($A1450,100),IFERROR(VALUE(TRIM(MID(MID($A1450,FIND("/",$A1450)+1,20),FIND("/",MID($A1450,FIND("/",$A1450)+1,20))+1,20))),"")))</f>
        <v/>
      </c>
      <c r="E1450">
        <f>IF($A1450="","",IF(OR($B1450="",$C1450="",$D1450="",$B1450&lt;1300,$B1450&gt;1500,$C1450&lt;1,$C1450&gt;12,$D1450&lt;1,$D1450&gt;31),"نامعتبر",RIGHT("0000"&amp;$B1450,4)&amp;"/"&amp;RIGHT("00"&amp;$C1450,2)&amp;"/"&amp;RIGHT("00"&amp;$D1450,2)))</f>
        <v/>
      </c>
      <c r="F1450">
        <f>IF(OR($E1450="",$E1450="نامعتبر"),"",LEFT($E1450,4)&amp;"/"&amp;MID($E1450,6,2))</f>
        <v/>
      </c>
      <c r="G1450">
        <f>IF(OR($E1450="",$E1450="نامعتبر",Sync!$X1446=""),"",IF(AND(LEFT(UPPER(TRIM(Sync!$X1446)),2)="SL",IFERROR(VLOOKUP(Sync!$W1446,OpTbl,3,0),"")="فروش"),UPPER(TRIM(Sync!$X1446)),""))</f>
        <v/>
      </c>
      <c r="H1450">
        <f>IF($G1450="","",IF(Sync!$W1446="","",Sync!$W1446))</f>
        <v/>
      </c>
      <c r="I1450">
        <f>IF(OR($G1450="",Sync!$Y1446=""),"",Sync!$Y1446)</f>
        <v/>
      </c>
      <c r="J1450">
        <f>IF(OR($G1450="",Sync!$Z1446=""),"",Sync!$Z1446)</f>
        <v/>
      </c>
      <c r="K1450">
        <f>IF($G1450="",0,IF(Sync!$AA1446="",0,Sync!$AA1446))</f>
        <v/>
      </c>
      <c r="L1450">
        <f>IF($G1450="",0,IF(Sync!$AB1446="",0,Sync!$AB1446))</f>
        <v/>
      </c>
      <c r="M1450">
        <f>IF($G1450="","",IF($H1450="مرجوعی فروش",-1,1)*($K1450-$L1450*IFERROR(VLOOKUP("P01",ParamTbl,3,0),1.5)))</f>
        <v/>
      </c>
      <c r="N1450">
        <f>IF($G1450="",0,IF($H1450="مرجوعی فروش",-1,1)*IF(Sync!$AC1446="",0,Sync!$AC1446))</f>
        <v/>
      </c>
      <c r="O1450">
        <f>IF(OR($G1450="",Sync!$V1446=""),"",Sync!$V1446)</f>
        <v/>
      </c>
      <c r="P1450">
        <f>IF(OR($G1450="",Sync!$AD1446=""),"",Sync!$AD1446)</f>
        <v/>
      </c>
      <c r="Q1450">
        <f>IF($G1450="","",IF(Sync!$U1446="","0000",IF(AND(ISNUMBER(Sync!$U1446),Sync!$U1446&gt;=0,Sync!$U1446&lt;1),RIGHT("00"&amp;HOUR(Sync!$U1446),2)&amp;RIGHT("00"&amp;MINUTE(Sync!$U1446),2),IFERROR(RIGHT("00"&amp;VALUE(LEFT(Sync!$U1446,FIND(":",Sync!$U1446)-1)),2)&amp;RIGHT("00"&amp;VALUE(MID(Sync!$U1446,FIND(":",Sync!$U1446)+1,2)),2),"0000"))))</f>
        <v/>
      </c>
    </row>
    <row r="1451">
      <c r="A1451">
        <f>IF(Sync!$T1447="","",Sync!$T1447)</f>
        <v/>
      </c>
      <c r="B1451">
        <f>IF($A1451="","",IF(ISNUMBER($A1451),IF(AND($A1451&gt;=10000101,$A1451&lt;=99991231),INT($A1451/10000),""),IFERROR(VALUE(TRIM(LEFT($A1451,FIND("/",$A1451)-1))),"")))</f>
        <v/>
      </c>
      <c r="C1451">
        <f>IF(OR($A1451="",$B1451=""),"",IF(ISNUMBER($A1451),INT(MOD($A1451,10000)/100),IFERROR(VALUE(TRIM(LEFT(MID($A1451,FIND("/",$A1451)+1,20),FIND("/",MID($A1451,FIND("/",$A1451)+1,20))-1))),"")))</f>
        <v/>
      </c>
      <c r="D1451">
        <f>IF(OR($A1451="",$B1451=""),"",IF(ISNUMBER($A1451),MOD($A1451,100),IFERROR(VALUE(TRIM(MID(MID($A1451,FIND("/",$A1451)+1,20),FIND("/",MID($A1451,FIND("/",$A1451)+1,20))+1,20))),"")))</f>
        <v/>
      </c>
      <c r="E1451">
        <f>IF($A1451="","",IF(OR($B1451="",$C1451="",$D1451="",$B1451&lt;1300,$B1451&gt;1500,$C1451&lt;1,$C1451&gt;12,$D1451&lt;1,$D1451&gt;31),"نامعتبر",RIGHT("0000"&amp;$B1451,4)&amp;"/"&amp;RIGHT("00"&amp;$C1451,2)&amp;"/"&amp;RIGHT("00"&amp;$D1451,2)))</f>
        <v/>
      </c>
      <c r="F1451">
        <f>IF(OR($E1451="",$E1451="نامعتبر"),"",LEFT($E1451,4)&amp;"/"&amp;MID($E1451,6,2))</f>
        <v/>
      </c>
      <c r="G1451">
        <f>IF(OR($E1451="",$E1451="نامعتبر",Sync!$X1447=""),"",IF(AND(LEFT(UPPER(TRIM(Sync!$X1447)),2)="SL",IFERROR(VLOOKUP(Sync!$W1447,OpTbl,3,0),"")="فروش"),UPPER(TRIM(Sync!$X1447)),""))</f>
        <v/>
      </c>
      <c r="H1451">
        <f>IF($G1451="","",IF(Sync!$W1447="","",Sync!$W1447))</f>
        <v/>
      </c>
      <c r="I1451">
        <f>IF(OR($G1451="",Sync!$Y1447=""),"",Sync!$Y1447)</f>
        <v/>
      </c>
      <c r="J1451">
        <f>IF(OR($G1451="",Sync!$Z1447=""),"",Sync!$Z1447)</f>
        <v/>
      </c>
      <c r="K1451">
        <f>IF($G1451="",0,IF(Sync!$AA1447="",0,Sync!$AA1447))</f>
        <v/>
      </c>
      <c r="L1451">
        <f>IF($G1451="",0,IF(Sync!$AB1447="",0,Sync!$AB1447))</f>
        <v/>
      </c>
      <c r="M1451">
        <f>IF($G1451="","",IF($H1451="مرجوعی فروش",-1,1)*($K1451-$L1451*IFERROR(VLOOKUP("P01",ParamTbl,3,0),1.5)))</f>
        <v/>
      </c>
      <c r="N1451">
        <f>IF($G1451="",0,IF($H1451="مرجوعی فروش",-1,1)*IF(Sync!$AC1447="",0,Sync!$AC1447))</f>
        <v/>
      </c>
      <c r="O1451">
        <f>IF(OR($G1451="",Sync!$V1447=""),"",Sync!$V1447)</f>
        <v/>
      </c>
      <c r="P1451">
        <f>IF(OR($G1451="",Sync!$AD1447=""),"",Sync!$AD1447)</f>
        <v/>
      </c>
      <c r="Q1451">
        <f>IF($G1451="","",IF(Sync!$U1447="","0000",IF(AND(ISNUMBER(Sync!$U1447),Sync!$U1447&gt;=0,Sync!$U1447&lt;1),RIGHT("00"&amp;HOUR(Sync!$U1447),2)&amp;RIGHT("00"&amp;MINUTE(Sync!$U1447),2),IFERROR(RIGHT("00"&amp;VALUE(LEFT(Sync!$U1447,FIND(":",Sync!$U1447)-1)),2)&amp;RIGHT("00"&amp;VALUE(MID(Sync!$U1447,FIND(":",Sync!$U1447)+1,2)),2),"0000"))))</f>
        <v/>
      </c>
    </row>
    <row r="1452">
      <c r="A1452">
        <f>IF(Sync!$T1448="","",Sync!$T1448)</f>
        <v/>
      </c>
      <c r="B1452">
        <f>IF($A1452="","",IF(ISNUMBER($A1452),IF(AND($A1452&gt;=10000101,$A1452&lt;=99991231),INT($A1452/10000),""),IFERROR(VALUE(TRIM(LEFT($A1452,FIND("/",$A1452)-1))),"")))</f>
        <v/>
      </c>
      <c r="C1452">
        <f>IF(OR($A1452="",$B1452=""),"",IF(ISNUMBER($A1452),INT(MOD($A1452,10000)/100),IFERROR(VALUE(TRIM(LEFT(MID($A1452,FIND("/",$A1452)+1,20),FIND("/",MID($A1452,FIND("/",$A1452)+1,20))-1))),"")))</f>
        <v/>
      </c>
      <c r="D1452">
        <f>IF(OR($A1452="",$B1452=""),"",IF(ISNUMBER($A1452),MOD($A1452,100),IFERROR(VALUE(TRIM(MID(MID($A1452,FIND("/",$A1452)+1,20),FIND("/",MID($A1452,FIND("/",$A1452)+1,20))+1,20))),"")))</f>
        <v/>
      </c>
      <c r="E1452">
        <f>IF($A1452="","",IF(OR($B1452="",$C1452="",$D1452="",$B1452&lt;1300,$B1452&gt;1500,$C1452&lt;1,$C1452&gt;12,$D1452&lt;1,$D1452&gt;31),"نامعتبر",RIGHT("0000"&amp;$B1452,4)&amp;"/"&amp;RIGHT("00"&amp;$C1452,2)&amp;"/"&amp;RIGHT("00"&amp;$D1452,2)))</f>
        <v/>
      </c>
      <c r="F1452">
        <f>IF(OR($E1452="",$E1452="نامعتبر"),"",LEFT($E1452,4)&amp;"/"&amp;MID($E1452,6,2))</f>
        <v/>
      </c>
      <c r="G1452">
        <f>IF(OR($E1452="",$E1452="نامعتبر",Sync!$X1448=""),"",IF(AND(LEFT(UPPER(TRIM(Sync!$X1448)),2)="SL",IFERROR(VLOOKUP(Sync!$W1448,OpTbl,3,0),"")="فروش"),UPPER(TRIM(Sync!$X1448)),""))</f>
        <v/>
      </c>
      <c r="H1452">
        <f>IF($G1452="","",IF(Sync!$W1448="","",Sync!$W1448))</f>
        <v/>
      </c>
      <c r="I1452">
        <f>IF(OR($G1452="",Sync!$Y1448=""),"",Sync!$Y1448)</f>
        <v/>
      </c>
      <c r="J1452">
        <f>IF(OR($G1452="",Sync!$Z1448=""),"",Sync!$Z1448)</f>
        <v/>
      </c>
      <c r="K1452">
        <f>IF($G1452="",0,IF(Sync!$AA1448="",0,Sync!$AA1448))</f>
        <v/>
      </c>
      <c r="L1452">
        <f>IF($G1452="",0,IF(Sync!$AB1448="",0,Sync!$AB1448))</f>
        <v/>
      </c>
      <c r="M1452">
        <f>IF($G1452="","",IF($H1452="مرجوعی فروش",-1,1)*($K1452-$L1452*IFERROR(VLOOKUP("P01",ParamTbl,3,0),1.5)))</f>
        <v/>
      </c>
      <c r="N1452">
        <f>IF($G1452="",0,IF($H1452="مرجوعی فروش",-1,1)*IF(Sync!$AC1448="",0,Sync!$AC1448))</f>
        <v/>
      </c>
      <c r="O1452">
        <f>IF(OR($G1452="",Sync!$V1448=""),"",Sync!$V1448)</f>
        <v/>
      </c>
      <c r="P1452">
        <f>IF(OR($G1452="",Sync!$AD1448=""),"",Sync!$AD1448)</f>
        <v/>
      </c>
      <c r="Q1452">
        <f>IF($G1452="","",IF(Sync!$U1448="","0000",IF(AND(ISNUMBER(Sync!$U1448),Sync!$U1448&gt;=0,Sync!$U1448&lt;1),RIGHT("00"&amp;HOUR(Sync!$U1448),2)&amp;RIGHT("00"&amp;MINUTE(Sync!$U1448),2),IFERROR(RIGHT("00"&amp;VALUE(LEFT(Sync!$U1448,FIND(":",Sync!$U1448)-1)),2)&amp;RIGHT("00"&amp;VALUE(MID(Sync!$U1448,FIND(":",Sync!$U1448)+1,2)),2),"0000"))))</f>
        <v/>
      </c>
    </row>
    <row r="1453">
      <c r="A1453">
        <f>IF(Sync!$T1449="","",Sync!$T1449)</f>
        <v/>
      </c>
      <c r="B1453">
        <f>IF($A1453="","",IF(ISNUMBER($A1453),IF(AND($A1453&gt;=10000101,$A1453&lt;=99991231),INT($A1453/10000),""),IFERROR(VALUE(TRIM(LEFT($A1453,FIND("/",$A1453)-1))),"")))</f>
        <v/>
      </c>
      <c r="C1453">
        <f>IF(OR($A1453="",$B1453=""),"",IF(ISNUMBER($A1453),INT(MOD($A1453,10000)/100),IFERROR(VALUE(TRIM(LEFT(MID($A1453,FIND("/",$A1453)+1,20),FIND("/",MID($A1453,FIND("/",$A1453)+1,20))-1))),"")))</f>
        <v/>
      </c>
      <c r="D1453">
        <f>IF(OR($A1453="",$B1453=""),"",IF(ISNUMBER($A1453),MOD($A1453,100),IFERROR(VALUE(TRIM(MID(MID($A1453,FIND("/",$A1453)+1,20),FIND("/",MID($A1453,FIND("/",$A1453)+1,20))+1,20))),"")))</f>
        <v/>
      </c>
      <c r="E1453">
        <f>IF($A1453="","",IF(OR($B1453="",$C1453="",$D1453="",$B1453&lt;1300,$B1453&gt;1500,$C1453&lt;1,$C1453&gt;12,$D1453&lt;1,$D1453&gt;31),"نامعتبر",RIGHT("0000"&amp;$B1453,4)&amp;"/"&amp;RIGHT("00"&amp;$C1453,2)&amp;"/"&amp;RIGHT("00"&amp;$D1453,2)))</f>
        <v/>
      </c>
      <c r="F1453">
        <f>IF(OR($E1453="",$E1453="نامعتبر"),"",LEFT($E1453,4)&amp;"/"&amp;MID($E1453,6,2))</f>
        <v/>
      </c>
      <c r="G1453">
        <f>IF(OR($E1453="",$E1453="نامعتبر",Sync!$X1449=""),"",IF(AND(LEFT(UPPER(TRIM(Sync!$X1449)),2)="SL",IFERROR(VLOOKUP(Sync!$W1449,OpTbl,3,0),"")="فروش"),UPPER(TRIM(Sync!$X1449)),""))</f>
        <v/>
      </c>
      <c r="H1453">
        <f>IF($G1453="","",IF(Sync!$W1449="","",Sync!$W1449))</f>
        <v/>
      </c>
      <c r="I1453">
        <f>IF(OR($G1453="",Sync!$Y1449=""),"",Sync!$Y1449)</f>
        <v/>
      </c>
      <c r="J1453">
        <f>IF(OR($G1453="",Sync!$Z1449=""),"",Sync!$Z1449)</f>
        <v/>
      </c>
      <c r="K1453">
        <f>IF($G1453="",0,IF(Sync!$AA1449="",0,Sync!$AA1449))</f>
        <v/>
      </c>
      <c r="L1453">
        <f>IF($G1453="",0,IF(Sync!$AB1449="",0,Sync!$AB1449))</f>
        <v/>
      </c>
      <c r="M1453">
        <f>IF($G1453="","",IF($H1453="مرجوعی فروش",-1,1)*($K1453-$L1453*IFERROR(VLOOKUP("P01",ParamTbl,3,0),1.5)))</f>
        <v/>
      </c>
      <c r="N1453">
        <f>IF($G1453="",0,IF($H1453="مرجوعی فروش",-1,1)*IF(Sync!$AC1449="",0,Sync!$AC1449))</f>
        <v/>
      </c>
      <c r="O1453">
        <f>IF(OR($G1453="",Sync!$V1449=""),"",Sync!$V1449)</f>
        <v/>
      </c>
      <c r="P1453">
        <f>IF(OR($G1453="",Sync!$AD1449=""),"",Sync!$AD1449)</f>
        <v/>
      </c>
      <c r="Q1453">
        <f>IF($G1453="","",IF(Sync!$U1449="","0000",IF(AND(ISNUMBER(Sync!$U1449),Sync!$U1449&gt;=0,Sync!$U1449&lt;1),RIGHT("00"&amp;HOUR(Sync!$U1449),2)&amp;RIGHT("00"&amp;MINUTE(Sync!$U1449),2),IFERROR(RIGHT("00"&amp;VALUE(LEFT(Sync!$U1449,FIND(":",Sync!$U1449)-1)),2)&amp;RIGHT("00"&amp;VALUE(MID(Sync!$U1449,FIND(":",Sync!$U1449)+1,2)),2),"0000"))))</f>
        <v/>
      </c>
    </row>
    <row r="1454">
      <c r="A1454">
        <f>IF(Sync!$T1450="","",Sync!$T1450)</f>
        <v/>
      </c>
      <c r="B1454">
        <f>IF($A1454="","",IF(ISNUMBER($A1454),IF(AND($A1454&gt;=10000101,$A1454&lt;=99991231),INT($A1454/10000),""),IFERROR(VALUE(TRIM(LEFT($A1454,FIND("/",$A1454)-1))),"")))</f>
        <v/>
      </c>
      <c r="C1454">
        <f>IF(OR($A1454="",$B1454=""),"",IF(ISNUMBER($A1454),INT(MOD($A1454,10000)/100),IFERROR(VALUE(TRIM(LEFT(MID($A1454,FIND("/",$A1454)+1,20),FIND("/",MID($A1454,FIND("/",$A1454)+1,20))-1))),"")))</f>
        <v/>
      </c>
      <c r="D1454">
        <f>IF(OR($A1454="",$B1454=""),"",IF(ISNUMBER($A1454),MOD($A1454,100),IFERROR(VALUE(TRIM(MID(MID($A1454,FIND("/",$A1454)+1,20),FIND("/",MID($A1454,FIND("/",$A1454)+1,20))+1,20))),"")))</f>
        <v/>
      </c>
      <c r="E1454">
        <f>IF($A1454="","",IF(OR($B1454="",$C1454="",$D1454="",$B1454&lt;1300,$B1454&gt;1500,$C1454&lt;1,$C1454&gt;12,$D1454&lt;1,$D1454&gt;31),"نامعتبر",RIGHT("0000"&amp;$B1454,4)&amp;"/"&amp;RIGHT("00"&amp;$C1454,2)&amp;"/"&amp;RIGHT("00"&amp;$D1454,2)))</f>
        <v/>
      </c>
      <c r="F1454">
        <f>IF(OR($E1454="",$E1454="نامعتبر"),"",LEFT($E1454,4)&amp;"/"&amp;MID($E1454,6,2))</f>
        <v/>
      </c>
      <c r="G1454">
        <f>IF(OR($E1454="",$E1454="نامعتبر",Sync!$X1450=""),"",IF(AND(LEFT(UPPER(TRIM(Sync!$X1450)),2)="SL",IFERROR(VLOOKUP(Sync!$W1450,OpTbl,3,0),"")="فروش"),UPPER(TRIM(Sync!$X1450)),""))</f>
        <v/>
      </c>
      <c r="H1454">
        <f>IF($G1454="","",IF(Sync!$W1450="","",Sync!$W1450))</f>
        <v/>
      </c>
      <c r="I1454">
        <f>IF(OR($G1454="",Sync!$Y1450=""),"",Sync!$Y1450)</f>
        <v/>
      </c>
      <c r="J1454">
        <f>IF(OR($G1454="",Sync!$Z1450=""),"",Sync!$Z1450)</f>
        <v/>
      </c>
      <c r="K1454">
        <f>IF($G1454="",0,IF(Sync!$AA1450="",0,Sync!$AA1450))</f>
        <v/>
      </c>
      <c r="L1454">
        <f>IF($G1454="",0,IF(Sync!$AB1450="",0,Sync!$AB1450))</f>
        <v/>
      </c>
      <c r="M1454">
        <f>IF($G1454="","",IF($H1454="مرجوعی فروش",-1,1)*($K1454-$L1454*IFERROR(VLOOKUP("P01",ParamTbl,3,0),1.5)))</f>
        <v/>
      </c>
      <c r="N1454">
        <f>IF($G1454="",0,IF($H1454="مرجوعی فروش",-1,1)*IF(Sync!$AC1450="",0,Sync!$AC1450))</f>
        <v/>
      </c>
      <c r="O1454">
        <f>IF(OR($G1454="",Sync!$V1450=""),"",Sync!$V1450)</f>
        <v/>
      </c>
      <c r="P1454">
        <f>IF(OR($G1454="",Sync!$AD1450=""),"",Sync!$AD1450)</f>
        <v/>
      </c>
      <c r="Q1454">
        <f>IF($G1454="","",IF(Sync!$U1450="","0000",IF(AND(ISNUMBER(Sync!$U1450),Sync!$U1450&gt;=0,Sync!$U1450&lt;1),RIGHT("00"&amp;HOUR(Sync!$U1450),2)&amp;RIGHT("00"&amp;MINUTE(Sync!$U1450),2),IFERROR(RIGHT("00"&amp;VALUE(LEFT(Sync!$U1450,FIND(":",Sync!$U1450)-1)),2)&amp;RIGHT("00"&amp;VALUE(MID(Sync!$U1450,FIND(":",Sync!$U1450)+1,2)),2),"0000"))))</f>
        <v/>
      </c>
    </row>
    <row r="1455">
      <c r="A1455">
        <f>IF(Sync!$T1451="","",Sync!$T1451)</f>
        <v/>
      </c>
      <c r="B1455">
        <f>IF($A1455="","",IF(ISNUMBER($A1455),IF(AND($A1455&gt;=10000101,$A1455&lt;=99991231),INT($A1455/10000),""),IFERROR(VALUE(TRIM(LEFT($A1455,FIND("/",$A1455)-1))),"")))</f>
        <v/>
      </c>
      <c r="C1455">
        <f>IF(OR($A1455="",$B1455=""),"",IF(ISNUMBER($A1455),INT(MOD($A1455,10000)/100),IFERROR(VALUE(TRIM(LEFT(MID($A1455,FIND("/",$A1455)+1,20),FIND("/",MID($A1455,FIND("/",$A1455)+1,20))-1))),"")))</f>
        <v/>
      </c>
      <c r="D1455">
        <f>IF(OR($A1455="",$B1455=""),"",IF(ISNUMBER($A1455),MOD($A1455,100),IFERROR(VALUE(TRIM(MID(MID($A1455,FIND("/",$A1455)+1,20),FIND("/",MID($A1455,FIND("/",$A1455)+1,20))+1,20))),"")))</f>
        <v/>
      </c>
      <c r="E1455">
        <f>IF($A1455="","",IF(OR($B1455="",$C1455="",$D1455="",$B1455&lt;1300,$B1455&gt;1500,$C1455&lt;1,$C1455&gt;12,$D1455&lt;1,$D1455&gt;31),"نامعتبر",RIGHT("0000"&amp;$B1455,4)&amp;"/"&amp;RIGHT("00"&amp;$C1455,2)&amp;"/"&amp;RIGHT("00"&amp;$D1455,2)))</f>
        <v/>
      </c>
      <c r="F1455">
        <f>IF(OR($E1455="",$E1455="نامعتبر"),"",LEFT($E1455,4)&amp;"/"&amp;MID($E1455,6,2))</f>
        <v/>
      </c>
      <c r="G1455">
        <f>IF(OR($E1455="",$E1455="نامعتبر",Sync!$X1451=""),"",IF(AND(LEFT(UPPER(TRIM(Sync!$X1451)),2)="SL",IFERROR(VLOOKUP(Sync!$W1451,OpTbl,3,0),"")="فروش"),UPPER(TRIM(Sync!$X1451)),""))</f>
        <v/>
      </c>
      <c r="H1455">
        <f>IF($G1455="","",IF(Sync!$W1451="","",Sync!$W1451))</f>
        <v/>
      </c>
      <c r="I1455">
        <f>IF(OR($G1455="",Sync!$Y1451=""),"",Sync!$Y1451)</f>
        <v/>
      </c>
      <c r="J1455">
        <f>IF(OR($G1455="",Sync!$Z1451=""),"",Sync!$Z1451)</f>
        <v/>
      </c>
      <c r="K1455">
        <f>IF($G1455="",0,IF(Sync!$AA1451="",0,Sync!$AA1451))</f>
        <v/>
      </c>
      <c r="L1455">
        <f>IF($G1455="",0,IF(Sync!$AB1451="",0,Sync!$AB1451))</f>
        <v/>
      </c>
      <c r="M1455">
        <f>IF($G1455="","",IF($H1455="مرجوعی فروش",-1,1)*($K1455-$L1455*IFERROR(VLOOKUP("P01",ParamTbl,3,0),1.5)))</f>
        <v/>
      </c>
      <c r="N1455">
        <f>IF($G1455="",0,IF($H1455="مرجوعی فروش",-1,1)*IF(Sync!$AC1451="",0,Sync!$AC1451))</f>
        <v/>
      </c>
      <c r="O1455">
        <f>IF(OR($G1455="",Sync!$V1451=""),"",Sync!$V1451)</f>
        <v/>
      </c>
      <c r="P1455">
        <f>IF(OR($G1455="",Sync!$AD1451=""),"",Sync!$AD1451)</f>
        <v/>
      </c>
      <c r="Q1455">
        <f>IF($G1455="","",IF(Sync!$U1451="","0000",IF(AND(ISNUMBER(Sync!$U1451),Sync!$U1451&gt;=0,Sync!$U1451&lt;1),RIGHT("00"&amp;HOUR(Sync!$U1451),2)&amp;RIGHT("00"&amp;MINUTE(Sync!$U1451),2),IFERROR(RIGHT("00"&amp;VALUE(LEFT(Sync!$U1451,FIND(":",Sync!$U1451)-1)),2)&amp;RIGHT("00"&amp;VALUE(MID(Sync!$U1451,FIND(":",Sync!$U1451)+1,2)),2),"0000"))))</f>
        <v/>
      </c>
    </row>
    <row r="1456">
      <c r="A1456">
        <f>IF(Sync!$T1452="","",Sync!$T1452)</f>
        <v/>
      </c>
      <c r="B1456">
        <f>IF($A1456="","",IF(ISNUMBER($A1456),IF(AND($A1456&gt;=10000101,$A1456&lt;=99991231),INT($A1456/10000),""),IFERROR(VALUE(TRIM(LEFT($A1456,FIND("/",$A1456)-1))),"")))</f>
        <v/>
      </c>
      <c r="C1456">
        <f>IF(OR($A1456="",$B1456=""),"",IF(ISNUMBER($A1456),INT(MOD($A1456,10000)/100),IFERROR(VALUE(TRIM(LEFT(MID($A1456,FIND("/",$A1456)+1,20),FIND("/",MID($A1456,FIND("/",$A1456)+1,20))-1))),"")))</f>
        <v/>
      </c>
      <c r="D1456">
        <f>IF(OR($A1456="",$B1456=""),"",IF(ISNUMBER($A1456),MOD($A1456,100),IFERROR(VALUE(TRIM(MID(MID($A1456,FIND("/",$A1456)+1,20),FIND("/",MID($A1456,FIND("/",$A1456)+1,20))+1,20))),"")))</f>
        <v/>
      </c>
      <c r="E1456">
        <f>IF($A1456="","",IF(OR($B1456="",$C1456="",$D1456="",$B1456&lt;1300,$B1456&gt;1500,$C1456&lt;1,$C1456&gt;12,$D1456&lt;1,$D1456&gt;31),"نامعتبر",RIGHT("0000"&amp;$B1456,4)&amp;"/"&amp;RIGHT("00"&amp;$C1456,2)&amp;"/"&amp;RIGHT("00"&amp;$D1456,2)))</f>
        <v/>
      </c>
      <c r="F1456">
        <f>IF(OR($E1456="",$E1456="نامعتبر"),"",LEFT($E1456,4)&amp;"/"&amp;MID($E1456,6,2))</f>
        <v/>
      </c>
      <c r="G1456">
        <f>IF(OR($E1456="",$E1456="نامعتبر",Sync!$X1452=""),"",IF(AND(LEFT(UPPER(TRIM(Sync!$X1452)),2)="SL",IFERROR(VLOOKUP(Sync!$W1452,OpTbl,3,0),"")="فروش"),UPPER(TRIM(Sync!$X1452)),""))</f>
        <v/>
      </c>
      <c r="H1456">
        <f>IF($G1456="","",IF(Sync!$W1452="","",Sync!$W1452))</f>
        <v/>
      </c>
      <c r="I1456">
        <f>IF(OR($G1456="",Sync!$Y1452=""),"",Sync!$Y1452)</f>
        <v/>
      </c>
      <c r="J1456">
        <f>IF(OR($G1456="",Sync!$Z1452=""),"",Sync!$Z1452)</f>
        <v/>
      </c>
      <c r="K1456">
        <f>IF($G1456="",0,IF(Sync!$AA1452="",0,Sync!$AA1452))</f>
        <v/>
      </c>
      <c r="L1456">
        <f>IF($G1456="",0,IF(Sync!$AB1452="",0,Sync!$AB1452))</f>
        <v/>
      </c>
      <c r="M1456">
        <f>IF($G1456="","",IF($H1456="مرجوعی فروش",-1,1)*($K1456-$L1456*IFERROR(VLOOKUP("P01",ParamTbl,3,0),1.5)))</f>
        <v/>
      </c>
      <c r="N1456">
        <f>IF($G1456="",0,IF($H1456="مرجوعی فروش",-1,1)*IF(Sync!$AC1452="",0,Sync!$AC1452))</f>
        <v/>
      </c>
      <c r="O1456">
        <f>IF(OR($G1456="",Sync!$V1452=""),"",Sync!$V1452)</f>
        <v/>
      </c>
      <c r="P1456">
        <f>IF(OR($G1456="",Sync!$AD1452=""),"",Sync!$AD1452)</f>
        <v/>
      </c>
      <c r="Q1456">
        <f>IF($G1456="","",IF(Sync!$U1452="","0000",IF(AND(ISNUMBER(Sync!$U1452),Sync!$U1452&gt;=0,Sync!$U1452&lt;1),RIGHT("00"&amp;HOUR(Sync!$U1452),2)&amp;RIGHT("00"&amp;MINUTE(Sync!$U1452),2),IFERROR(RIGHT("00"&amp;VALUE(LEFT(Sync!$U1452,FIND(":",Sync!$U1452)-1)),2)&amp;RIGHT("00"&amp;VALUE(MID(Sync!$U1452,FIND(":",Sync!$U1452)+1,2)),2),"0000"))))</f>
        <v/>
      </c>
    </row>
    <row r="1457">
      <c r="A1457">
        <f>IF(Sync!$T1453="","",Sync!$T1453)</f>
        <v/>
      </c>
      <c r="B1457">
        <f>IF($A1457="","",IF(ISNUMBER($A1457),IF(AND($A1457&gt;=10000101,$A1457&lt;=99991231),INT($A1457/10000),""),IFERROR(VALUE(TRIM(LEFT($A1457,FIND("/",$A1457)-1))),"")))</f>
        <v/>
      </c>
      <c r="C1457">
        <f>IF(OR($A1457="",$B1457=""),"",IF(ISNUMBER($A1457),INT(MOD($A1457,10000)/100),IFERROR(VALUE(TRIM(LEFT(MID($A1457,FIND("/",$A1457)+1,20),FIND("/",MID($A1457,FIND("/",$A1457)+1,20))-1))),"")))</f>
        <v/>
      </c>
      <c r="D1457">
        <f>IF(OR($A1457="",$B1457=""),"",IF(ISNUMBER($A1457),MOD($A1457,100),IFERROR(VALUE(TRIM(MID(MID($A1457,FIND("/",$A1457)+1,20),FIND("/",MID($A1457,FIND("/",$A1457)+1,20))+1,20))),"")))</f>
        <v/>
      </c>
      <c r="E1457">
        <f>IF($A1457="","",IF(OR($B1457="",$C1457="",$D1457="",$B1457&lt;1300,$B1457&gt;1500,$C1457&lt;1,$C1457&gt;12,$D1457&lt;1,$D1457&gt;31),"نامعتبر",RIGHT("0000"&amp;$B1457,4)&amp;"/"&amp;RIGHT("00"&amp;$C1457,2)&amp;"/"&amp;RIGHT("00"&amp;$D1457,2)))</f>
        <v/>
      </c>
      <c r="F1457">
        <f>IF(OR($E1457="",$E1457="نامعتبر"),"",LEFT($E1457,4)&amp;"/"&amp;MID($E1457,6,2))</f>
        <v/>
      </c>
      <c r="G1457">
        <f>IF(OR($E1457="",$E1457="نامعتبر",Sync!$X1453=""),"",IF(AND(LEFT(UPPER(TRIM(Sync!$X1453)),2)="SL",IFERROR(VLOOKUP(Sync!$W1453,OpTbl,3,0),"")="فروش"),UPPER(TRIM(Sync!$X1453)),""))</f>
        <v/>
      </c>
      <c r="H1457">
        <f>IF($G1457="","",IF(Sync!$W1453="","",Sync!$W1453))</f>
        <v/>
      </c>
      <c r="I1457">
        <f>IF(OR($G1457="",Sync!$Y1453=""),"",Sync!$Y1453)</f>
        <v/>
      </c>
      <c r="J1457">
        <f>IF(OR($G1457="",Sync!$Z1453=""),"",Sync!$Z1453)</f>
        <v/>
      </c>
      <c r="K1457">
        <f>IF($G1457="",0,IF(Sync!$AA1453="",0,Sync!$AA1453))</f>
        <v/>
      </c>
      <c r="L1457">
        <f>IF($G1457="",0,IF(Sync!$AB1453="",0,Sync!$AB1453))</f>
        <v/>
      </c>
      <c r="M1457">
        <f>IF($G1457="","",IF($H1457="مرجوعی فروش",-1,1)*($K1457-$L1457*IFERROR(VLOOKUP("P01",ParamTbl,3,0),1.5)))</f>
        <v/>
      </c>
      <c r="N1457">
        <f>IF($G1457="",0,IF($H1457="مرجوعی فروش",-1,1)*IF(Sync!$AC1453="",0,Sync!$AC1453))</f>
        <v/>
      </c>
      <c r="O1457">
        <f>IF(OR($G1457="",Sync!$V1453=""),"",Sync!$V1453)</f>
        <v/>
      </c>
      <c r="P1457">
        <f>IF(OR($G1457="",Sync!$AD1453=""),"",Sync!$AD1453)</f>
        <v/>
      </c>
      <c r="Q1457">
        <f>IF($G1457="","",IF(Sync!$U1453="","0000",IF(AND(ISNUMBER(Sync!$U1453),Sync!$U1453&gt;=0,Sync!$U1453&lt;1),RIGHT("00"&amp;HOUR(Sync!$U1453),2)&amp;RIGHT("00"&amp;MINUTE(Sync!$U1453),2),IFERROR(RIGHT("00"&amp;VALUE(LEFT(Sync!$U1453,FIND(":",Sync!$U1453)-1)),2)&amp;RIGHT("00"&amp;VALUE(MID(Sync!$U1453,FIND(":",Sync!$U1453)+1,2)),2),"0000"))))</f>
        <v/>
      </c>
    </row>
    <row r="1458">
      <c r="A1458">
        <f>IF(Sync!$T1454="","",Sync!$T1454)</f>
        <v/>
      </c>
      <c r="B1458">
        <f>IF($A1458="","",IF(ISNUMBER($A1458),IF(AND($A1458&gt;=10000101,$A1458&lt;=99991231),INT($A1458/10000),""),IFERROR(VALUE(TRIM(LEFT($A1458,FIND("/",$A1458)-1))),"")))</f>
        <v/>
      </c>
      <c r="C1458">
        <f>IF(OR($A1458="",$B1458=""),"",IF(ISNUMBER($A1458),INT(MOD($A1458,10000)/100),IFERROR(VALUE(TRIM(LEFT(MID($A1458,FIND("/",$A1458)+1,20),FIND("/",MID($A1458,FIND("/",$A1458)+1,20))-1))),"")))</f>
        <v/>
      </c>
      <c r="D1458">
        <f>IF(OR($A1458="",$B1458=""),"",IF(ISNUMBER($A1458),MOD($A1458,100),IFERROR(VALUE(TRIM(MID(MID($A1458,FIND("/",$A1458)+1,20),FIND("/",MID($A1458,FIND("/",$A1458)+1,20))+1,20))),"")))</f>
        <v/>
      </c>
      <c r="E1458">
        <f>IF($A1458="","",IF(OR($B1458="",$C1458="",$D1458="",$B1458&lt;1300,$B1458&gt;1500,$C1458&lt;1,$C1458&gt;12,$D1458&lt;1,$D1458&gt;31),"نامعتبر",RIGHT("0000"&amp;$B1458,4)&amp;"/"&amp;RIGHT("00"&amp;$C1458,2)&amp;"/"&amp;RIGHT("00"&amp;$D1458,2)))</f>
        <v/>
      </c>
      <c r="F1458">
        <f>IF(OR($E1458="",$E1458="نامعتبر"),"",LEFT($E1458,4)&amp;"/"&amp;MID($E1458,6,2))</f>
        <v/>
      </c>
      <c r="G1458">
        <f>IF(OR($E1458="",$E1458="نامعتبر",Sync!$X1454=""),"",IF(AND(LEFT(UPPER(TRIM(Sync!$X1454)),2)="SL",IFERROR(VLOOKUP(Sync!$W1454,OpTbl,3,0),"")="فروش"),UPPER(TRIM(Sync!$X1454)),""))</f>
        <v/>
      </c>
      <c r="H1458">
        <f>IF($G1458="","",IF(Sync!$W1454="","",Sync!$W1454))</f>
        <v/>
      </c>
      <c r="I1458">
        <f>IF(OR($G1458="",Sync!$Y1454=""),"",Sync!$Y1454)</f>
        <v/>
      </c>
      <c r="J1458">
        <f>IF(OR($G1458="",Sync!$Z1454=""),"",Sync!$Z1454)</f>
        <v/>
      </c>
      <c r="K1458">
        <f>IF($G1458="",0,IF(Sync!$AA1454="",0,Sync!$AA1454))</f>
        <v/>
      </c>
      <c r="L1458">
        <f>IF($G1458="",0,IF(Sync!$AB1454="",0,Sync!$AB1454))</f>
        <v/>
      </c>
      <c r="M1458">
        <f>IF($G1458="","",IF($H1458="مرجوعی فروش",-1,1)*($K1458-$L1458*IFERROR(VLOOKUP("P01",ParamTbl,3,0),1.5)))</f>
        <v/>
      </c>
      <c r="N1458">
        <f>IF($G1458="",0,IF($H1458="مرجوعی فروش",-1,1)*IF(Sync!$AC1454="",0,Sync!$AC1454))</f>
        <v/>
      </c>
      <c r="O1458">
        <f>IF(OR($G1458="",Sync!$V1454=""),"",Sync!$V1454)</f>
        <v/>
      </c>
      <c r="P1458">
        <f>IF(OR($G1458="",Sync!$AD1454=""),"",Sync!$AD1454)</f>
        <v/>
      </c>
      <c r="Q1458">
        <f>IF($G1458="","",IF(Sync!$U1454="","0000",IF(AND(ISNUMBER(Sync!$U1454),Sync!$U1454&gt;=0,Sync!$U1454&lt;1),RIGHT("00"&amp;HOUR(Sync!$U1454),2)&amp;RIGHT("00"&amp;MINUTE(Sync!$U1454),2),IFERROR(RIGHT("00"&amp;VALUE(LEFT(Sync!$U1454,FIND(":",Sync!$U1454)-1)),2)&amp;RIGHT("00"&amp;VALUE(MID(Sync!$U1454,FIND(":",Sync!$U1454)+1,2)),2),"0000"))))</f>
        <v/>
      </c>
    </row>
    <row r="1459">
      <c r="A1459">
        <f>IF(Sync!$T1455="","",Sync!$T1455)</f>
        <v/>
      </c>
      <c r="B1459">
        <f>IF($A1459="","",IF(ISNUMBER($A1459),IF(AND($A1459&gt;=10000101,$A1459&lt;=99991231),INT($A1459/10000),""),IFERROR(VALUE(TRIM(LEFT($A1459,FIND("/",$A1459)-1))),"")))</f>
        <v/>
      </c>
      <c r="C1459">
        <f>IF(OR($A1459="",$B1459=""),"",IF(ISNUMBER($A1459),INT(MOD($A1459,10000)/100),IFERROR(VALUE(TRIM(LEFT(MID($A1459,FIND("/",$A1459)+1,20),FIND("/",MID($A1459,FIND("/",$A1459)+1,20))-1))),"")))</f>
        <v/>
      </c>
      <c r="D1459">
        <f>IF(OR($A1459="",$B1459=""),"",IF(ISNUMBER($A1459),MOD($A1459,100),IFERROR(VALUE(TRIM(MID(MID($A1459,FIND("/",$A1459)+1,20),FIND("/",MID($A1459,FIND("/",$A1459)+1,20))+1,20))),"")))</f>
        <v/>
      </c>
      <c r="E1459">
        <f>IF($A1459="","",IF(OR($B1459="",$C1459="",$D1459="",$B1459&lt;1300,$B1459&gt;1500,$C1459&lt;1,$C1459&gt;12,$D1459&lt;1,$D1459&gt;31),"نامعتبر",RIGHT("0000"&amp;$B1459,4)&amp;"/"&amp;RIGHT("00"&amp;$C1459,2)&amp;"/"&amp;RIGHT("00"&amp;$D1459,2)))</f>
        <v/>
      </c>
      <c r="F1459">
        <f>IF(OR($E1459="",$E1459="نامعتبر"),"",LEFT($E1459,4)&amp;"/"&amp;MID($E1459,6,2))</f>
        <v/>
      </c>
      <c r="G1459">
        <f>IF(OR($E1459="",$E1459="نامعتبر",Sync!$X1455=""),"",IF(AND(LEFT(UPPER(TRIM(Sync!$X1455)),2)="SL",IFERROR(VLOOKUP(Sync!$W1455,OpTbl,3,0),"")="فروش"),UPPER(TRIM(Sync!$X1455)),""))</f>
        <v/>
      </c>
      <c r="H1459">
        <f>IF($G1459="","",IF(Sync!$W1455="","",Sync!$W1455))</f>
        <v/>
      </c>
      <c r="I1459">
        <f>IF(OR($G1459="",Sync!$Y1455=""),"",Sync!$Y1455)</f>
        <v/>
      </c>
      <c r="J1459">
        <f>IF(OR($G1459="",Sync!$Z1455=""),"",Sync!$Z1455)</f>
        <v/>
      </c>
      <c r="K1459">
        <f>IF($G1459="",0,IF(Sync!$AA1455="",0,Sync!$AA1455))</f>
        <v/>
      </c>
      <c r="L1459">
        <f>IF($G1459="",0,IF(Sync!$AB1455="",0,Sync!$AB1455))</f>
        <v/>
      </c>
      <c r="M1459">
        <f>IF($G1459="","",IF($H1459="مرجوعی فروش",-1,1)*($K1459-$L1459*IFERROR(VLOOKUP("P01",ParamTbl,3,0),1.5)))</f>
        <v/>
      </c>
      <c r="N1459">
        <f>IF($G1459="",0,IF($H1459="مرجوعی فروش",-1,1)*IF(Sync!$AC1455="",0,Sync!$AC1455))</f>
        <v/>
      </c>
      <c r="O1459">
        <f>IF(OR($G1459="",Sync!$V1455=""),"",Sync!$V1455)</f>
        <v/>
      </c>
      <c r="P1459">
        <f>IF(OR($G1459="",Sync!$AD1455=""),"",Sync!$AD1455)</f>
        <v/>
      </c>
      <c r="Q1459">
        <f>IF($G1459="","",IF(Sync!$U1455="","0000",IF(AND(ISNUMBER(Sync!$U1455),Sync!$U1455&gt;=0,Sync!$U1455&lt;1),RIGHT("00"&amp;HOUR(Sync!$U1455),2)&amp;RIGHT("00"&amp;MINUTE(Sync!$U1455),2),IFERROR(RIGHT("00"&amp;VALUE(LEFT(Sync!$U1455,FIND(":",Sync!$U1455)-1)),2)&amp;RIGHT("00"&amp;VALUE(MID(Sync!$U1455,FIND(":",Sync!$U1455)+1,2)),2),"0000"))))</f>
        <v/>
      </c>
    </row>
    <row r="1460">
      <c r="A1460">
        <f>IF(Sync!$T1456="","",Sync!$T1456)</f>
        <v/>
      </c>
      <c r="B1460">
        <f>IF($A1460="","",IF(ISNUMBER($A1460),IF(AND($A1460&gt;=10000101,$A1460&lt;=99991231),INT($A1460/10000),""),IFERROR(VALUE(TRIM(LEFT($A1460,FIND("/",$A1460)-1))),"")))</f>
        <v/>
      </c>
      <c r="C1460">
        <f>IF(OR($A1460="",$B1460=""),"",IF(ISNUMBER($A1460),INT(MOD($A1460,10000)/100),IFERROR(VALUE(TRIM(LEFT(MID($A1460,FIND("/",$A1460)+1,20),FIND("/",MID($A1460,FIND("/",$A1460)+1,20))-1))),"")))</f>
        <v/>
      </c>
      <c r="D1460">
        <f>IF(OR($A1460="",$B1460=""),"",IF(ISNUMBER($A1460),MOD($A1460,100),IFERROR(VALUE(TRIM(MID(MID($A1460,FIND("/",$A1460)+1,20),FIND("/",MID($A1460,FIND("/",$A1460)+1,20))+1,20))),"")))</f>
        <v/>
      </c>
      <c r="E1460">
        <f>IF($A1460="","",IF(OR($B1460="",$C1460="",$D1460="",$B1460&lt;1300,$B1460&gt;1500,$C1460&lt;1,$C1460&gt;12,$D1460&lt;1,$D1460&gt;31),"نامعتبر",RIGHT("0000"&amp;$B1460,4)&amp;"/"&amp;RIGHT("00"&amp;$C1460,2)&amp;"/"&amp;RIGHT("00"&amp;$D1460,2)))</f>
        <v/>
      </c>
      <c r="F1460">
        <f>IF(OR($E1460="",$E1460="نامعتبر"),"",LEFT($E1460,4)&amp;"/"&amp;MID($E1460,6,2))</f>
        <v/>
      </c>
      <c r="G1460">
        <f>IF(OR($E1460="",$E1460="نامعتبر",Sync!$X1456=""),"",IF(AND(LEFT(UPPER(TRIM(Sync!$X1456)),2)="SL",IFERROR(VLOOKUP(Sync!$W1456,OpTbl,3,0),"")="فروش"),UPPER(TRIM(Sync!$X1456)),""))</f>
        <v/>
      </c>
      <c r="H1460">
        <f>IF($G1460="","",IF(Sync!$W1456="","",Sync!$W1456))</f>
        <v/>
      </c>
      <c r="I1460">
        <f>IF(OR($G1460="",Sync!$Y1456=""),"",Sync!$Y1456)</f>
        <v/>
      </c>
      <c r="J1460">
        <f>IF(OR($G1460="",Sync!$Z1456=""),"",Sync!$Z1456)</f>
        <v/>
      </c>
      <c r="K1460">
        <f>IF($G1460="",0,IF(Sync!$AA1456="",0,Sync!$AA1456))</f>
        <v/>
      </c>
      <c r="L1460">
        <f>IF($G1460="",0,IF(Sync!$AB1456="",0,Sync!$AB1456))</f>
        <v/>
      </c>
      <c r="M1460">
        <f>IF($G1460="","",IF($H1460="مرجوعی فروش",-1,1)*($K1460-$L1460*IFERROR(VLOOKUP("P01",ParamTbl,3,0),1.5)))</f>
        <v/>
      </c>
      <c r="N1460">
        <f>IF($G1460="",0,IF($H1460="مرجوعی فروش",-1,1)*IF(Sync!$AC1456="",0,Sync!$AC1456))</f>
        <v/>
      </c>
      <c r="O1460">
        <f>IF(OR($G1460="",Sync!$V1456=""),"",Sync!$V1456)</f>
        <v/>
      </c>
      <c r="P1460">
        <f>IF(OR($G1460="",Sync!$AD1456=""),"",Sync!$AD1456)</f>
        <v/>
      </c>
      <c r="Q1460">
        <f>IF($G1460="","",IF(Sync!$U1456="","0000",IF(AND(ISNUMBER(Sync!$U1456),Sync!$U1456&gt;=0,Sync!$U1456&lt;1),RIGHT("00"&amp;HOUR(Sync!$U1456),2)&amp;RIGHT("00"&amp;MINUTE(Sync!$U1456),2),IFERROR(RIGHT("00"&amp;VALUE(LEFT(Sync!$U1456,FIND(":",Sync!$U1456)-1)),2)&amp;RIGHT("00"&amp;VALUE(MID(Sync!$U1456,FIND(":",Sync!$U1456)+1,2)),2),"0000"))))</f>
        <v/>
      </c>
    </row>
    <row r="1461">
      <c r="A1461">
        <f>IF(Sync!$T1457="","",Sync!$T1457)</f>
        <v/>
      </c>
      <c r="B1461">
        <f>IF($A1461="","",IF(ISNUMBER($A1461),IF(AND($A1461&gt;=10000101,$A1461&lt;=99991231),INT($A1461/10000),""),IFERROR(VALUE(TRIM(LEFT($A1461,FIND("/",$A1461)-1))),"")))</f>
        <v/>
      </c>
      <c r="C1461">
        <f>IF(OR($A1461="",$B1461=""),"",IF(ISNUMBER($A1461),INT(MOD($A1461,10000)/100),IFERROR(VALUE(TRIM(LEFT(MID($A1461,FIND("/",$A1461)+1,20),FIND("/",MID($A1461,FIND("/",$A1461)+1,20))-1))),"")))</f>
        <v/>
      </c>
      <c r="D1461">
        <f>IF(OR($A1461="",$B1461=""),"",IF(ISNUMBER($A1461),MOD($A1461,100),IFERROR(VALUE(TRIM(MID(MID($A1461,FIND("/",$A1461)+1,20),FIND("/",MID($A1461,FIND("/",$A1461)+1,20))+1,20))),"")))</f>
        <v/>
      </c>
      <c r="E1461">
        <f>IF($A1461="","",IF(OR($B1461="",$C1461="",$D1461="",$B1461&lt;1300,$B1461&gt;1500,$C1461&lt;1,$C1461&gt;12,$D1461&lt;1,$D1461&gt;31),"نامعتبر",RIGHT("0000"&amp;$B1461,4)&amp;"/"&amp;RIGHT("00"&amp;$C1461,2)&amp;"/"&amp;RIGHT("00"&amp;$D1461,2)))</f>
        <v/>
      </c>
      <c r="F1461">
        <f>IF(OR($E1461="",$E1461="نامعتبر"),"",LEFT($E1461,4)&amp;"/"&amp;MID($E1461,6,2))</f>
        <v/>
      </c>
      <c r="G1461">
        <f>IF(OR($E1461="",$E1461="نامعتبر",Sync!$X1457=""),"",IF(AND(LEFT(UPPER(TRIM(Sync!$X1457)),2)="SL",IFERROR(VLOOKUP(Sync!$W1457,OpTbl,3,0),"")="فروش"),UPPER(TRIM(Sync!$X1457)),""))</f>
        <v/>
      </c>
      <c r="H1461">
        <f>IF($G1461="","",IF(Sync!$W1457="","",Sync!$W1457))</f>
        <v/>
      </c>
      <c r="I1461">
        <f>IF(OR($G1461="",Sync!$Y1457=""),"",Sync!$Y1457)</f>
        <v/>
      </c>
      <c r="J1461">
        <f>IF(OR($G1461="",Sync!$Z1457=""),"",Sync!$Z1457)</f>
        <v/>
      </c>
      <c r="K1461">
        <f>IF($G1461="",0,IF(Sync!$AA1457="",0,Sync!$AA1457))</f>
        <v/>
      </c>
      <c r="L1461">
        <f>IF($G1461="",0,IF(Sync!$AB1457="",0,Sync!$AB1457))</f>
        <v/>
      </c>
      <c r="M1461">
        <f>IF($G1461="","",IF($H1461="مرجوعی فروش",-1,1)*($K1461-$L1461*IFERROR(VLOOKUP("P01",ParamTbl,3,0),1.5)))</f>
        <v/>
      </c>
      <c r="N1461">
        <f>IF($G1461="",0,IF($H1461="مرجوعی فروش",-1,1)*IF(Sync!$AC1457="",0,Sync!$AC1457))</f>
        <v/>
      </c>
      <c r="O1461">
        <f>IF(OR($G1461="",Sync!$V1457=""),"",Sync!$V1457)</f>
        <v/>
      </c>
      <c r="P1461">
        <f>IF(OR($G1461="",Sync!$AD1457=""),"",Sync!$AD1457)</f>
        <v/>
      </c>
      <c r="Q1461">
        <f>IF($G1461="","",IF(Sync!$U1457="","0000",IF(AND(ISNUMBER(Sync!$U1457),Sync!$U1457&gt;=0,Sync!$U1457&lt;1),RIGHT("00"&amp;HOUR(Sync!$U1457),2)&amp;RIGHT("00"&amp;MINUTE(Sync!$U1457),2),IFERROR(RIGHT("00"&amp;VALUE(LEFT(Sync!$U1457,FIND(":",Sync!$U1457)-1)),2)&amp;RIGHT("00"&amp;VALUE(MID(Sync!$U1457,FIND(":",Sync!$U1457)+1,2)),2),"0000"))))</f>
        <v/>
      </c>
    </row>
    <row r="1462">
      <c r="A1462">
        <f>IF(Sync!$T1458="","",Sync!$T1458)</f>
        <v/>
      </c>
      <c r="B1462">
        <f>IF($A1462="","",IF(ISNUMBER($A1462),IF(AND($A1462&gt;=10000101,$A1462&lt;=99991231),INT($A1462/10000),""),IFERROR(VALUE(TRIM(LEFT($A1462,FIND("/",$A1462)-1))),"")))</f>
        <v/>
      </c>
      <c r="C1462">
        <f>IF(OR($A1462="",$B1462=""),"",IF(ISNUMBER($A1462),INT(MOD($A1462,10000)/100),IFERROR(VALUE(TRIM(LEFT(MID($A1462,FIND("/",$A1462)+1,20),FIND("/",MID($A1462,FIND("/",$A1462)+1,20))-1))),"")))</f>
        <v/>
      </c>
      <c r="D1462">
        <f>IF(OR($A1462="",$B1462=""),"",IF(ISNUMBER($A1462),MOD($A1462,100),IFERROR(VALUE(TRIM(MID(MID($A1462,FIND("/",$A1462)+1,20),FIND("/",MID($A1462,FIND("/",$A1462)+1,20))+1,20))),"")))</f>
        <v/>
      </c>
      <c r="E1462">
        <f>IF($A1462="","",IF(OR($B1462="",$C1462="",$D1462="",$B1462&lt;1300,$B1462&gt;1500,$C1462&lt;1,$C1462&gt;12,$D1462&lt;1,$D1462&gt;31),"نامعتبر",RIGHT("0000"&amp;$B1462,4)&amp;"/"&amp;RIGHT("00"&amp;$C1462,2)&amp;"/"&amp;RIGHT("00"&amp;$D1462,2)))</f>
        <v/>
      </c>
      <c r="F1462">
        <f>IF(OR($E1462="",$E1462="نامعتبر"),"",LEFT($E1462,4)&amp;"/"&amp;MID($E1462,6,2))</f>
        <v/>
      </c>
      <c r="G1462">
        <f>IF(OR($E1462="",$E1462="نامعتبر",Sync!$X1458=""),"",IF(AND(LEFT(UPPER(TRIM(Sync!$X1458)),2)="SL",IFERROR(VLOOKUP(Sync!$W1458,OpTbl,3,0),"")="فروش"),UPPER(TRIM(Sync!$X1458)),""))</f>
        <v/>
      </c>
      <c r="H1462">
        <f>IF($G1462="","",IF(Sync!$W1458="","",Sync!$W1458))</f>
        <v/>
      </c>
      <c r="I1462">
        <f>IF(OR($G1462="",Sync!$Y1458=""),"",Sync!$Y1458)</f>
        <v/>
      </c>
      <c r="J1462">
        <f>IF(OR($G1462="",Sync!$Z1458=""),"",Sync!$Z1458)</f>
        <v/>
      </c>
      <c r="K1462">
        <f>IF($G1462="",0,IF(Sync!$AA1458="",0,Sync!$AA1458))</f>
        <v/>
      </c>
      <c r="L1462">
        <f>IF($G1462="",0,IF(Sync!$AB1458="",0,Sync!$AB1458))</f>
        <v/>
      </c>
      <c r="M1462">
        <f>IF($G1462="","",IF($H1462="مرجوعی فروش",-1,1)*($K1462-$L1462*IFERROR(VLOOKUP("P01",ParamTbl,3,0),1.5)))</f>
        <v/>
      </c>
      <c r="N1462">
        <f>IF($G1462="",0,IF($H1462="مرجوعی فروش",-1,1)*IF(Sync!$AC1458="",0,Sync!$AC1458))</f>
        <v/>
      </c>
      <c r="O1462">
        <f>IF(OR($G1462="",Sync!$V1458=""),"",Sync!$V1458)</f>
        <v/>
      </c>
      <c r="P1462">
        <f>IF(OR($G1462="",Sync!$AD1458=""),"",Sync!$AD1458)</f>
        <v/>
      </c>
      <c r="Q1462">
        <f>IF($G1462="","",IF(Sync!$U1458="","0000",IF(AND(ISNUMBER(Sync!$U1458),Sync!$U1458&gt;=0,Sync!$U1458&lt;1),RIGHT("00"&amp;HOUR(Sync!$U1458),2)&amp;RIGHT("00"&amp;MINUTE(Sync!$U1458),2),IFERROR(RIGHT("00"&amp;VALUE(LEFT(Sync!$U1458,FIND(":",Sync!$U1458)-1)),2)&amp;RIGHT("00"&amp;VALUE(MID(Sync!$U1458,FIND(":",Sync!$U1458)+1,2)),2),"0000"))))</f>
        <v/>
      </c>
    </row>
    <row r="1463">
      <c r="A1463">
        <f>IF(Sync!$T1459="","",Sync!$T1459)</f>
        <v/>
      </c>
      <c r="B1463">
        <f>IF($A1463="","",IF(ISNUMBER($A1463),IF(AND($A1463&gt;=10000101,$A1463&lt;=99991231),INT($A1463/10000),""),IFERROR(VALUE(TRIM(LEFT($A1463,FIND("/",$A1463)-1))),"")))</f>
        <v/>
      </c>
      <c r="C1463">
        <f>IF(OR($A1463="",$B1463=""),"",IF(ISNUMBER($A1463),INT(MOD($A1463,10000)/100),IFERROR(VALUE(TRIM(LEFT(MID($A1463,FIND("/",$A1463)+1,20),FIND("/",MID($A1463,FIND("/",$A1463)+1,20))-1))),"")))</f>
        <v/>
      </c>
      <c r="D1463">
        <f>IF(OR($A1463="",$B1463=""),"",IF(ISNUMBER($A1463),MOD($A1463,100),IFERROR(VALUE(TRIM(MID(MID($A1463,FIND("/",$A1463)+1,20),FIND("/",MID($A1463,FIND("/",$A1463)+1,20))+1,20))),"")))</f>
        <v/>
      </c>
      <c r="E1463">
        <f>IF($A1463="","",IF(OR($B1463="",$C1463="",$D1463="",$B1463&lt;1300,$B1463&gt;1500,$C1463&lt;1,$C1463&gt;12,$D1463&lt;1,$D1463&gt;31),"نامعتبر",RIGHT("0000"&amp;$B1463,4)&amp;"/"&amp;RIGHT("00"&amp;$C1463,2)&amp;"/"&amp;RIGHT("00"&amp;$D1463,2)))</f>
        <v/>
      </c>
      <c r="F1463">
        <f>IF(OR($E1463="",$E1463="نامعتبر"),"",LEFT($E1463,4)&amp;"/"&amp;MID($E1463,6,2))</f>
        <v/>
      </c>
      <c r="G1463">
        <f>IF(OR($E1463="",$E1463="نامعتبر",Sync!$X1459=""),"",IF(AND(LEFT(UPPER(TRIM(Sync!$X1459)),2)="SL",IFERROR(VLOOKUP(Sync!$W1459,OpTbl,3,0),"")="فروش"),UPPER(TRIM(Sync!$X1459)),""))</f>
        <v/>
      </c>
      <c r="H1463">
        <f>IF($G1463="","",IF(Sync!$W1459="","",Sync!$W1459))</f>
        <v/>
      </c>
      <c r="I1463">
        <f>IF(OR($G1463="",Sync!$Y1459=""),"",Sync!$Y1459)</f>
        <v/>
      </c>
      <c r="J1463">
        <f>IF(OR($G1463="",Sync!$Z1459=""),"",Sync!$Z1459)</f>
        <v/>
      </c>
      <c r="K1463">
        <f>IF($G1463="",0,IF(Sync!$AA1459="",0,Sync!$AA1459))</f>
        <v/>
      </c>
      <c r="L1463">
        <f>IF($G1463="",0,IF(Sync!$AB1459="",0,Sync!$AB1459))</f>
        <v/>
      </c>
      <c r="M1463">
        <f>IF($G1463="","",IF($H1463="مرجوعی فروش",-1,1)*($K1463-$L1463*IFERROR(VLOOKUP("P01",ParamTbl,3,0),1.5)))</f>
        <v/>
      </c>
      <c r="N1463">
        <f>IF($G1463="",0,IF($H1463="مرجوعی فروش",-1,1)*IF(Sync!$AC1459="",0,Sync!$AC1459))</f>
        <v/>
      </c>
      <c r="O1463">
        <f>IF(OR($G1463="",Sync!$V1459=""),"",Sync!$V1459)</f>
        <v/>
      </c>
      <c r="P1463">
        <f>IF(OR($G1463="",Sync!$AD1459=""),"",Sync!$AD1459)</f>
        <v/>
      </c>
      <c r="Q1463">
        <f>IF($G1463="","",IF(Sync!$U1459="","0000",IF(AND(ISNUMBER(Sync!$U1459),Sync!$U1459&gt;=0,Sync!$U1459&lt;1),RIGHT("00"&amp;HOUR(Sync!$U1459),2)&amp;RIGHT("00"&amp;MINUTE(Sync!$U1459),2),IFERROR(RIGHT("00"&amp;VALUE(LEFT(Sync!$U1459,FIND(":",Sync!$U1459)-1)),2)&amp;RIGHT("00"&amp;VALUE(MID(Sync!$U1459,FIND(":",Sync!$U1459)+1,2)),2),"0000"))))</f>
        <v/>
      </c>
    </row>
    <row r="1464">
      <c r="A1464">
        <f>IF(Sync!$T1460="","",Sync!$T1460)</f>
        <v/>
      </c>
      <c r="B1464">
        <f>IF($A1464="","",IF(ISNUMBER($A1464),IF(AND($A1464&gt;=10000101,$A1464&lt;=99991231),INT($A1464/10000),""),IFERROR(VALUE(TRIM(LEFT($A1464,FIND("/",$A1464)-1))),"")))</f>
        <v/>
      </c>
      <c r="C1464">
        <f>IF(OR($A1464="",$B1464=""),"",IF(ISNUMBER($A1464),INT(MOD($A1464,10000)/100),IFERROR(VALUE(TRIM(LEFT(MID($A1464,FIND("/",$A1464)+1,20),FIND("/",MID($A1464,FIND("/",$A1464)+1,20))-1))),"")))</f>
        <v/>
      </c>
      <c r="D1464">
        <f>IF(OR($A1464="",$B1464=""),"",IF(ISNUMBER($A1464),MOD($A1464,100),IFERROR(VALUE(TRIM(MID(MID($A1464,FIND("/",$A1464)+1,20),FIND("/",MID($A1464,FIND("/",$A1464)+1,20))+1,20))),"")))</f>
        <v/>
      </c>
      <c r="E1464">
        <f>IF($A1464="","",IF(OR($B1464="",$C1464="",$D1464="",$B1464&lt;1300,$B1464&gt;1500,$C1464&lt;1,$C1464&gt;12,$D1464&lt;1,$D1464&gt;31),"نامعتبر",RIGHT("0000"&amp;$B1464,4)&amp;"/"&amp;RIGHT("00"&amp;$C1464,2)&amp;"/"&amp;RIGHT("00"&amp;$D1464,2)))</f>
        <v/>
      </c>
      <c r="F1464">
        <f>IF(OR($E1464="",$E1464="نامعتبر"),"",LEFT($E1464,4)&amp;"/"&amp;MID($E1464,6,2))</f>
        <v/>
      </c>
      <c r="G1464">
        <f>IF(OR($E1464="",$E1464="نامعتبر",Sync!$X1460=""),"",IF(AND(LEFT(UPPER(TRIM(Sync!$X1460)),2)="SL",IFERROR(VLOOKUP(Sync!$W1460,OpTbl,3,0),"")="فروش"),UPPER(TRIM(Sync!$X1460)),""))</f>
        <v/>
      </c>
      <c r="H1464">
        <f>IF($G1464="","",IF(Sync!$W1460="","",Sync!$W1460))</f>
        <v/>
      </c>
      <c r="I1464">
        <f>IF(OR($G1464="",Sync!$Y1460=""),"",Sync!$Y1460)</f>
        <v/>
      </c>
      <c r="J1464">
        <f>IF(OR($G1464="",Sync!$Z1460=""),"",Sync!$Z1460)</f>
        <v/>
      </c>
      <c r="K1464">
        <f>IF($G1464="",0,IF(Sync!$AA1460="",0,Sync!$AA1460))</f>
        <v/>
      </c>
      <c r="L1464">
        <f>IF($G1464="",0,IF(Sync!$AB1460="",0,Sync!$AB1460))</f>
        <v/>
      </c>
      <c r="M1464">
        <f>IF($G1464="","",IF($H1464="مرجوعی فروش",-1,1)*($K1464-$L1464*IFERROR(VLOOKUP("P01",ParamTbl,3,0),1.5)))</f>
        <v/>
      </c>
      <c r="N1464">
        <f>IF($G1464="",0,IF($H1464="مرجوعی فروش",-1,1)*IF(Sync!$AC1460="",0,Sync!$AC1460))</f>
        <v/>
      </c>
      <c r="O1464">
        <f>IF(OR($G1464="",Sync!$V1460=""),"",Sync!$V1460)</f>
        <v/>
      </c>
      <c r="P1464">
        <f>IF(OR($G1464="",Sync!$AD1460=""),"",Sync!$AD1460)</f>
        <v/>
      </c>
      <c r="Q1464">
        <f>IF($G1464="","",IF(Sync!$U1460="","0000",IF(AND(ISNUMBER(Sync!$U1460),Sync!$U1460&gt;=0,Sync!$U1460&lt;1),RIGHT("00"&amp;HOUR(Sync!$U1460),2)&amp;RIGHT("00"&amp;MINUTE(Sync!$U1460),2),IFERROR(RIGHT("00"&amp;VALUE(LEFT(Sync!$U1460,FIND(":",Sync!$U1460)-1)),2)&amp;RIGHT("00"&amp;VALUE(MID(Sync!$U1460,FIND(":",Sync!$U1460)+1,2)),2),"0000"))))</f>
        <v/>
      </c>
    </row>
    <row r="1465">
      <c r="A1465">
        <f>IF(Sync!$T1461="","",Sync!$T1461)</f>
        <v/>
      </c>
      <c r="B1465">
        <f>IF($A1465="","",IF(ISNUMBER($A1465),IF(AND($A1465&gt;=10000101,$A1465&lt;=99991231),INT($A1465/10000),""),IFERROR(VALUE(TRIM(LEFT($A1465,FIND("/",$A1465)-1))),"")))</f>
        <v/>
      </c>
      <c r="C1465">
        <f>IF(OR($A1465="",$B1465=""),"",IF(ISNUMBER($A1465),INT(MOD($A1465,10000)/100),IFERROR(VALUE(TRIM(LEFT(MID($A1465,FIND("/",$A1465)+1,20),FIND("/",MID($A1465,FIND("/",$A1465)+1,20))-1))),"")))</f>
        <v/>
      </c>
      <c r="D1465">
        <f>IF(OR($A1465="",$B1465=""),"",IF(ISNUMBER($A1465),MOD($A1465,100),IFERROR(VALUE(TRIM(MID(MID($A1465,FIND("/",$A1465)+1,20),FIND("/",MID($A1465,FIND("/",$A1465)+1,20))+1,20))),"")))</f>
        <v/>
      </c>
      <c r="E1465">
        <f>IF($A1465="","",IF(OR($B1465="",$C1465="",$D1465="",$B1465&lt;1300,$B1465&gt;1500,$C1465&lt;1,$C1465&gt;12,$D1465&lt;1,$D1465&gt;31),"نامعتبر",RIGHT("0000"&amp;$B1465,4)&amp;"/"&amp;RIGHT("00"&amp;$C1465,2)&amp;"/"&amp;RIGHT("00"&amp;$D1465,2)))</f>
        <v/>
      </c>
      <c r="F1465">
        <f>IF(OR($E1465="",$E1465="نامعتبر"),"",LEFT($E1465,4)&amp;"/"&amp;MID($E1465,6,2))</f>
        <v/>
      </c>
      <c r="G1465">
        <f>IF(OR($E1465="",$E1465="نامعتبر",Sync!$X1461=""),"",IF(AND(LEFT(UPPER(TRIM(Sync!$X1461)),2)="SL",IFERROR(VLOOKUP(Sync!$W1461,OpTbl,3,0),"")="فروش"),UPPER(TRIM(Sync!$X1461)),""))</f>
        <v/>
      </c>
      <c r="H1465">
        <f>IF($G1465="","",IF(Sync!$W1461="","",Sync!$W1461))</f>
        <v/>
      </c>
      <c r="I1465">
        <f>IF(OR($G1465="",Sync!$Y1461=""),"",Sync!$Y1461)</f>
        <v/>
      </c>
      <c r="J1465">
        <f>IF(OR($G1465="",Sync!$Z1461=""),"",Sync!$Z1461)</f>
        <v/>
      </c>
      <c r="K1465">
        <f>IF($G1465="",0,IF(Sync!$AA1461="",0,Sync!$AA1461))</f>
        <v/>
      </c>
      <c r="L1465">
        <f>IF($G1465="",0,IF(Sync!$AB1461="",0,Sync!$AB1461))</f>
        <v/>
      </c>
      <c r="M1465">
        <f>IF($G1465="","",IF($H1465="مرجوعی فروش",-1,1)*($K1465-$L1465*IFERROR(VLOOKUP("P01",ParamTbl,3,0),1.5)))</f>
        <v/>
      </c>
      <c r="N1465">
        <f>IF($G1465="",0,IF($H1465="مرجوعی فروش",-1,1)*IF(Sync!$AC1461="",0,Sync!$AC1461))</f>
        <v/>
      </c>
      <c r="O1465">
        <f>IF(OR($G1465="",Sync!$V1461=""),"",Sync!$V1461)</f>
        <v/>
      </c>
      <c r="P1465">
        <f>IF(OR($G1465="",Sync!$AD1461=""),"",Sync!$AD1461)</f>
        <v/>
      </c>
      <c r="Q1465">
        <f>IF($G1465="","",IF(Sync!$U1461="","0000",IF(AND(ISNUMBER(Sync!$U1461),Sync!$U1461&gt;=0,Sync!$U1461&lt;1),RIGHT("00"&amp;HOUR(Sync!$U1461),2)&amp;RIGHT("00"&amp;MINUTE(Sync!$U1461),2),IFERROR(RIGHT("00"&amp;VALUE(LEFT(Sync!$U1461,FIND(":",Sync!$U1461)-1)),2)&amp;RIGHT("00"&amp;VALUE(MID(Sync!$U1461,FIND(":",Sync!$U1461)+1,2)),2),"0000"))))</f>
        <v/>
      </c>
    </row>
    <row r="1466">
      <c r="A1466">
        <f>IF(Sync!$T1462="","",Sync!$T1462)</f>
        <v/>
      </c>
      <c r="B1466">
        <f>IF($A1466="","",IF(ISNUMBER($A1466),IF(AND($A1466&gt;=10000101,$A1466&lt;=99991231),INT($A1466/10000),""),IFERROR(VALUE(TRIM(LEFT($A1466,FIND("/",$A1466)-1))),"")))</f>
        <v/>
      </c>
      <c r="C1466">
        <f>IF(OR($A1466="",$B1466=""),"",IF(ISNUMBER($A1466),INT(MOD($A1466,10000)/100),IFERROR(VALUE(TRIM(LEFT(MID($A1466,FIND("/",$A1466)+1,20),FIND("/",MID($A1466,FIND("/",$A1466)+1,20))-1))),"")))</f>
        <v/>
      </c>
      <c r="D1466">
        <f>IF(OR($A1466="",$B1466=""),"",IF(ISNUMBER($A1466),MOD($A1466,100),IFERROR(VALUE(TRIM(MID(MID($A1466,FIND("/",$A1466)+1,20),FIND("/",MID($A1466,FIND("/",$A1466)+1,20))+1,20))),"")))</f>
        <v/>
      </c>
      <c r="E1466">
        <f>IF($A1466="","",IF(OR($B1466="",$C1466="",$D1466="",$B1466&lt;1300,$B1466&gt;1500,$C1466&lt;1,$C1466&gt;12,$D1466&lt;1,$D1466&gt;31),"نامعتبر",RIGHT("0000"&amp;$B1466,4)&amp;"/"&amp;RIGHT("00"&amp;$C1466,2)&amp;"/"&amp;RIGHT("00"&amp;$D1466,2)))</f>
        <v/>
      </c>
      <c r="F1466">
        <f>IF(OR($E1466="",$E1466="نامعتبر"),"",LEFT($E1466,4)&amp;"/"&amp;MID($E1466,6,2))</f>
        <v/>
      </c>
      <c r="G1466">
        <f>IF(OR($E1466="",$E1466="نامعتبر",Sync!$X1462=""),"",IF(AND(LEFT(UPPER(TRIM(Sync!$X1462)),2)="SL",IFERROR(VLOOKUP(Sync!$W1462,OpTbl,3,0),"")="فروش"),UPPER(TRIM(Sync!$X1462)),""))</f>
        <v/>
      </c>
      <c r="H1466">
        <f>IF($G1466="","",IF(Sync!$W1462="","",Sync!$W1462))</f>
        <v/>
      </c>
      <c r="I1466">
        <f>IF(OR($G1466="",Sync!$Y1462=""),"",Sync!$Y1462)</f>
        <v/>
      </c>
      <c r="J1466">
        <f>IF(OR($G1466="",Sync!$Z1462=""),"",Sync!$Z1462)</f>
        <v/>
      </c>
      <c r="K1466">
        <f>IF($G1466="",0,IF(Sync!$AA1462="",0,Sync!$AA1462))</f>
        <v/>
      </c>
      <c r="L1466">
        <f>IF($G1466="",0,IF(Sync!$AB1462="",0,Sync!$AB1462))</f>
        <v/>
      </c>
      <c r="M1466">
        <f>IF($G1466="","",IF($H1466="مرجوعی فروش",-1,1)*($K1466-$L1466*IFERROR(VLOOKUP("P01",ParamTbl,3,0),1.5)))</f>
        <v/>
      </c>
      <c r="N1466">
        <f>IF($G1466="",0,IF($H1466="مرجوعی فروش",-1,1)*IF(Sync!$AC1462="",0,Sync!$AC1462))</f>
        <v/>
      </c>
      <c r="O1466">
        <f>IF(OR($G1466="",Sync!$V1462=""),"",Sync!$V1462)</f>
        <v/>
      </c>
      <c r="P1466">
        <f>IF(OR($G1466="",Sync!$AD1462=""),"",Sync!$AD1462)</f>
        <v/>
      </c>
      <c r="Q1466">
        <f>IF($G1466="","",IF(Sync!$U1462="","0000",IF(AND(ISNUMBER(Sync!$U1462),Sync!$U1462&gt;=0,Sync!$U1462&lt;1),RIGHT("00"&amp;HOUR(Sync!$U1462),2)&amp;RIGHT("00"&amp;MINUTE(Sync!$U1462),2),IFERROR(RIGHT("00"&amp;VALUE(LEFT(Sync!$U1462,FIND(":",Sync!$U1462)-1)),2)&amp;RIGHT("00"&amp;VALUE(MID(Sync!$U1462,FIND(":",Sync!$U1462)+1,2)),2),"0000"))))</f>
        <v/>
      </c>
    </row>
    <row r="1467">
      <c r="A1467">
        <f>IF(Sync!$T1463="","",Sync!$T1463)</f>
        <v/>
      </c>
      <c r="B1467">
        <f>IF($A1467="","",IF(ISNUMBER($A1467),IF(AND($A1467&gt;=10000101,$A1467&lt;=99991231),INT($A1467/10000),""),IFERROR(VALUE(TRIM(LEFT($A1467,FIND("/",$A1467)-1))),"")))</f>
        <v/>
      </c>
      <c r="C1467">
        <f>IF(OR($A1467="",$B1467=""),"",IF(ISNUMBER($A1467),INT(MOD($A1467,10000)/100),IFERROR(VALUE(TRIM(LEFT(MID($A1467,FIND("/",$A1467)+1,20),FIND("/",MID($A1467,FIND("/",$A1467)+1,20))-1))),"")))</f>
        <v/>
      </c>
      <c r="D1467">
        <f>IF(OR($A1467="",$B1467=""),"",IF(ISNUMBER($A1467),MOD($A1467,100),IFERROR(VALUE(TRIM(MID(MID($A1467,FIND("/",$A1467)+1,20),FIND("/",MID($A1467,FIND("/",$A1467)+1,20))+1,20))),"")))</f>
        <v/>
      </c>
      <c r="E1467">
        <f>IF($A1467="","",IF(OR($B1467="",$C1467="",$D1467="",$B1467&lt;1300,$B1467&gt;1500,$C1467&lt;1,$C1467&gt;12,$D1467&lt;1,$D1467&gt;31),"نامعتبر",RIGHT("0000"&amp;$B1467,4)&amp;"/"&amp;RIGHT("00"&amp;$C1467,2)&amp;"/"&amp;RIGHT("00"&amp;$D1467,2)))</f>
        <v/>
      </c>
      <c r="F1467">
        <f>IF(OR($E1467="",$E1467="نامعتبر"),"",LEFT($E1467,4)&amp;"/"&amp;MID($E1467,6,2))</f>
        <v/>
      </c>
      <c r="G1467">
        <f>IF(OR($E1467="",$E1467="نامعتبر",Sync!$X1463=""),"",IF(AND(LEFT(UPPER(TRIM(Sync!$X1463)),2)="SL",IFERROR(VLOOKUP(Sync!$W1463,OpTbl,3,0),"")="فروش"),UPPER(TRIM(Sync!$X1463)),""))</f>
        <v/>
      </c>
      <c r="H1467">
        <f>IF($G1467="","",IF(Sync!$W1463="","",Sync!$W1463))</f>
        <v/>
      </c>
      <c r="I1467">
        <f>IF(OR($G1467="",Sync!$Y1463=""),"",Sync!$Y1463)</f>
        <v/>
      </c>
      <c r="J1467">
        <f>IF(OR($G1467="",Sync!$Z1463=""),"",Sync!$Z1463)</f>
        <v/>
      </c>
      <c r="K1467">
        <f>IF($G1467="",0,IF(Sync!$AA1463="",0,Sync!$AA1463))</f>
        <v/>
      </c>
      <c r="L1467">
        <f>IF($G1467="",0,IF(Sync!$AB1463="",0,Sync!$AB1463))</f>
        <v/>
      </c>
      <c r="M1467">
        <f>IF($G1467="","",IF($H1467="مرجوعی فروش",-1,1)*($K1467-$L1467*IFERROR(VLOOKUP("P01",ParamTbl,3,0),1.5)))</f>
        <v/>
      </c>
      <c r="N1467">
        <f>IF($G1467="",0,IF($H1467="مرجوعی فروش",-1,1)*IF(Sync!$AC1463="",0,Sync!$AC1463))</f>
        <v/>
      </c>
      <c r="O1467">
        <f>IF(OR($G1467="",Sync!$V1463=""),"",Sync!$V1463)</f>
        <v/>
      </c>
      <c r="P1467">
        <f>IF(OR($G1467="",Sync!$AD1463=""),"",Sync!$AD1463)</f>
        <v/>
      </c>
      <c r="Q1467">
        <f>IF($G1467="","",IF(Sync!$U1463="","0000",IF(AND(ISNUMBER(Sync!$U1463),Sync!$U1463&gt;=0,Sync!$U1463&lt;1),RIGHT("00"&amp;HOUR(Sync!$U1463),2)&amp;RIGHT("00"&amp;MINUTE(Sync!$U1463),2),IFERROR(RIGHT("00"&amp;VALUE(LEFT(Sync!$U1463,FIND(":",Sync!$U1463)-1)),2)&amp;RIGHT("00"&amp;VALUE(MID(Sync!$U1463,FIND(":",Sync!$U1463)+1,2)),2),"0000"))))</f>
        <v/>
      </c>
    </row>
    <row r="1468">
      <c r="A1468">
        <f>IF(Sync!$T1464="","",Sync!$T1464)</f>
        <v/>
      </c>
      <c r="B1468">
        <f>IF($A1468="","",IF(ISNUMBER($A1468),IF(AND($A1468&gt;=10000101,$A1468&lt;=99991231),INT($A1468/10000),""),IFERROR(VALUE(TRIM(LEFT($A1468,FIND("/",$A1468)-1))),"")))</f>
        <v/>
      </c>
      <c r="C1468">
        <f>IF(OR($A1468="",$B1468=""),"",IF(ISNUMBER($A1468),INT(MOD($A1468,10000)/100),IFERROR(VALUE(TRIM(LEFT(MID($A1468,FIND("/",$A1468)+1,20),FIND("/",MID($A1468,FIND("/",$A1468)+1,20))-1))),"")))</f>
        <v/>
      </c>
      <c r="D1468">
        <f>IF(OR($A1468="",$B1468=""),"",IF(ISNUMBER($A1468),MOD($A1468,100),IFERROR(VALUE(TRIM(MID(MID($A1468,FIND("/",$A1468)+1,20),FIND("/",MID($A1468,FIND("/",$A1468)+1,20))+1,20))),"")))</f>
        <v/>
      </c>
      <c r="E1468">
        <f>IF($A1468="","",IF(OR($B1468="",$C1468="",$D1468="",$B1468&lt;1300,$B1468&gt;1500,$C1468&lt;1,$C1468&gt;12,$D1468&lt;1,$D1468&gt;31),"نامعتبر",RIGHT("0000"&amp;$B1468,4)&amp;"/"&amp;RIGHT("00"&amp;$C1468,2)&amp;"/"&amp;RIGHT("00"&amp;$D1468,2)))</f>
        <v/>
      </c>
      <c r="F1468">
        <f>IF(OR($E1468="",$E1468="نامعتبر"),"",LEFT($E1468,4)&amp;"/"&amp;MID($E1468,6,2))</f>
        <v/>
      </c>
      <c r="G1468">
        <f>IF(OR($E1468="",$E1468="نامعتبر",Sync!$X1464=""),"",IF(AND(LEFT(UPPER(TRIM(Sync!$X1464)),2)="SL",IFERROR(VLOOKUP(Sync!$W1464,OpTbl,3,0),"")="فروش"),UPPER(TRIM(Sync!$X1464)),""))</f>
        <v/>
      </c>
      <c r="H1468">
        <f>IF($G1468="","",IF(Sync!$W1464="","",Sync!$W1464))</f>
        <v/>
      </c>
      <c r="I1468">
        <f>IF(OR($G1468="",Sync!$Y1464=""),"",Sync!$Y1464)</f>
        <v/>
      </c>
      <c r="J1468">
        <f>IF(OR($G1468="",Sync!$Z1464=""),"",Sync!$Z1464)</f>
        <v/>
      </c>
      <c r="K1468">
        <f>IF($G1468="",0,IF(Sync!$AA1464="",0,Sync!$AA1464))</f>
        <v/>
      </c>
      <c r="L1468">
        <f>IF($G1468="",0,IF(Sync!$AB1464="",0,Sync!$AB1464))</f>
        <v/>
      </c>
      <c r="M1468">
        <f>IF($G1468="","",IF($H1468="مرجوعی فروش",-1,1)*($K1468-$L1468*IFERROR(VLOOKUP("P01",ParamTbl,3,0),1.5)))</f>
        <v/>
      </c>
      <c r="N1468">
        <f>IF($G1468="",0,IF($H1468="مرجوعی فروش",-1,1)*IF(Sync!$AC1464="",0,Sync!$AC1464))</f>
        <v/>
      </c>
      <c r="O1468">
        <f>IF(OR($G1468="",Sync!$V1464=""),"",Sync!$V1464)</f>
        <v/>
      </c>
      <c r="P1468">
        <f>IF(OR($G1468="",Sync!$AD1464=""),"",Sync!$AD1464)</f>
        <v/>
      </c>
      <c r="Q1468">
        <f>IF($G1468="","",IF(Sync!$U1464="","0000",IF(AND(ISNUMBER(Sync!$U1464),Sync!$U1464&gt;=0,Sync!$U1464&lt;1),RIGHT("00"&amp;HOUR(Sync!$U1464),2)&amp;RIGHT("00"&amp;MINUTE(Sync!$U1464),2),IFERROR(RIGHT("00"&amp;VALUE(LEFT(Sync!$U1464,FIND(":",Sync!$U1464)-1)),2)&amp;RIGHT("00"&amp;VALUE(MID(Sync!$U1464,FIND(":",Sync!$U1464)+1,2)),2),"0000"))))</f>
        <v/>
      </c>
    </row>
    <row r="1469">
      <c r="A1469">
        <f>IF(Sync!$T1465="","",Sync!$T1465)</f>
        <v/>
      </c>
      <c r="B1469">
        <f>IF($A1469="","",IF(ISNUMBER($A1469),IF(AND($A1469&gt;=10000101,$A1469&lt;=99991231),INT($A1469/10000),""),IFERROR(VALUE(TRIM(LEFT($A1469,FIND("/",$A1469)-1))),"")))</f>
        <v/>
      </c>
      <c r="C1469">
        <f>IF(OR($A1469="",$B1469=""),"",IF(ISNUMBER($A1469),INT(MOD($A1469,10000)/100),IFERROR(VALUE(TRIM(LEFT(MID($A1469,FIND("/",$A1469)+1,20),FIND("/",MID($A1469,FIND("/",$A1469)+1,20))-1))),"")))</f>
        <v/>
      </c>
      <c r="D1469">
        <f>IF(OR($A1469="",$B1469=""),"",IF(ISNUMBER($A1469),MOD($A1469,100),IFERROR(VALUE(TRIM(MID(MID($A1469,FIND("/",$A1469)+1,20),FIND("/",MID($A1469,FIND("/",$A1469)+1,20))+1,20))),"")))</f>
        <v/>
      </c>
      <c r="E1469">
        <f>IF($A1469="","",IF(OR($B1469="",$C1469="",$D1469="",$B1469&lt;1300,$B1469&gt;1500,$C1469&lt;1,$C1469&gt;12,$D1469&lt;1,$D1469&gt;31),"نامعتبر",RIGHT("0000"&amp;$B1469,4)&amp;"/"&amp;RIGHT("00"&amp;$C1469,2)&amp;"/"&amp;RIGHT("00"&amp;$D1469,2)))</f>
        <v/>
      </c>
      <c r="F1469">
        <f>IF(OR($E1469="",$E1469="نامعتبر"),"",LEFT($E1469,4)&amp;"/"&amp;MID($E1469,6,2))</f>
        <v/>
      </c>
      <c r="G1469">
        <f>IF(OR($E1469="",$E1469="نامعتبر",Sync!$X1465=""),"",IF(AND(LEFT(UPPER(TRIM(Sync!$X1465)),2)="SL",IFERROR(VLOOKUP(Sync!$W1465,OpTbl,3,0),"")="فروش"),UPPER(TRIM(Sync!$X1465)),""))</f>
        <v/>
      </c>
      <c r="H1469">
        <f>IF($G1469="","",IF(Sync!$W1465="","",Sync!$W1465))</f>
        <v/>
      </c>
      <c r="I1469">
        <f>IF(OR($G1469="",Sync!$Y1465=""),"",Sync!$Y1465)</f>
        <v/>
      </c>
      <c r="J1469">
        <f>IF(OR($G1469="",Sync!$Z1465=""),"",Sync!$Z1465)</f>
        <v/>
      </c>
      <c r="K1469">
        <f>IF($G1469="",0,IF(Sync!$AA1465="",0,Sync!$AA1465))</f>
        <v/>
      </c>
      <c r="L1469">
        <f>IF($G1469="",0,IF(Sync!$AB1465="",0,Sync!$AB1465))</f>
        <v/>
      </c>
      <c r="M1469">
        <f>IF($G1469="","",IF($H1469="مرجوعی فروش",-1,1)*($K1469-$L1469*IFERROR(VLOOKUP("P01",ParamTbl,3,0),1.5)))</f>
        <v/>
      </c>
      <c r="N1469">
        <f>IF($G1469="",0,IF($H1469="مرجوعی فروش",-1,1)*IF(Sync!$AC1465="",0,Sync!$AC1465))</f>
        <v/>
      </c>
      <c r="O1469">
        <f>IF(OR($G1469="",Sync!$V1465=""),"",Sync!$V1465)</f>
        <v/>
      </c>
      <c r="P1469">
        <f>IF(OR($G1469="",Sync!$AD1465=""),"",Sync!$AD1465)</f>
        <v/>
      </c>
      <c r="Q1469">
        <f>IF($G1469="","",IF(Sync!$U1465="","0000",IF(AND(ISNUMBER(Sync!$U1465),Sync!$U1465&gt;=0,Sync!$U1465&lt;1),RIGHT("00"&amp;HOUR(Sync!$U1465),2)&amp;RIGHT("00"&amp;MINUTE(Sync!$U1465),2),IFERROR(RIGHT("00"&amp;VALUE(LEFT(Sync!$U1465,FIND(":",Sync!$U1465)-1)),2)&amp;RIGHT("00"&amp;VALUE(MID(Sync!$U1465,FIND(":",Sync!$U1465)+1,2)),2),"0000"))))</f>
        <v/>
      </c>
    </row>
    <row r="1470">
      <c r="A1470">
        <f>IF(Sync!$T1466="","",Sync!$T1466)</f>
        <v/>
      </c>
      <c r="B1470">
        <f>IF($A1470="","",IF(ISNUMBER($A1470),IF(AND($A1470&gt;=10000101,$A1470&lt;=99991231),INT($A1470/10000),""),IFERROR(VALUE(TRIM(LEFT($A1470,FIND("/",$A1470)-1))),"")))</f>
        <v/>
      </c>
      <c r="C1470">
        <f>IF(OR($A1470="",$B1470=""),"",IF(ISNUMBER($A1470),INT(MOD($A1470,10000)/100),IFERROR(VALUE(TRIM(LEFT(MID($A1470,FIND("/",$A1470)+1,20),FIND("/",MID($A1470,FIND("/",$A1470)+1,20))-1))),"")))</f>
        <v/>
      </c>
      <c r="D1470">
        <f>IF(OR($A1470="",$B1470=""),"",IF(ISNUMBER($A1470),MOD($A1470,100),IFERROR(VALUE(TRIM(MID(MID($A1470,FIND("/",$A1470)+1,20),FIND("/",MID($A1470,FIND("/",$A1470)+1,20))+1,20))),"")))</f>
        <v/>
      </c>
      <c r="E1470">
        <f>IF($A1470="","",IF(OR($B1470="",$C1470="",$D1470="",$B1470&lt;1300,$B1470&gt;1500,$C1470&lt;1,$C1470&gt;12,$D1470&lt;1,$D1470&gt;31),"نامعتبر",RIGHT("0000"&amp;$B1470,4)&amp;"/"&amp;RIGHT("00"&amp;$C1470,2)&amp;"/"&amp;RIGHT("00"&amp;$D1470,2)))</f>
        <v/>
      </c>
      <c r="F1470">
        <f>IF(OR($E1470="",$E1470="نامعتبر"),"",LEFT($E1470,4)&amp;"/"&amp;MID($E1470,6,2))</f>
        <v/>
      </c>
      <c r="G1470">
        <f>IF(OR($E1470="",$E1470="نامعتبر",Sync!$X1466=""),"",IF(AND(LEFT(UPPER(TRIM(Sync!$X1466)),2)="SL",IFERROR(VLOOKUP(Sync!$W1466,OpTbl,3,0),"")="فروش"),UPPER(TRIM(Sync!$X1466)),""))</f>
        <v/>
      </c>
      <c r="H1470">
        <f>IF($G1470="","",IF(Sync!$W1466="","",Sync!$W1466))</f>
        <v/>
      </c>
      <c r="I1470">
        <f>IF(OR($G1470="",Sync!$Y1466=""),"",Sync!$Y1466)</f>
        <v/>
      </c>
      <c r="J1470">
        <f>IF(OR($G1470="",Sync!$Z1466=""),"",Sync!$Z1466)</f>
        <v/>
      </c>
      <c r="K1470">
        <f>IF($G1470="",0,IF(Sync!$AA1466="",0,Sync!$AA1466))</f>
        <v/>
      </c>
      <c r="L1470">
        <f>IF($G1470="",0,IF(Sync!$AB1466="",0,Sync!$AB1466))</f>
        <v/>
      </c>
      <c r="M1470">
        <f>IF($G1470="","",IF($H1470="مرجوعی فروش",-1,1)*($K1470-$L1470*IFERROR(VLOOKUP("P01",ParamTbl,3,0),1.5)))</f>
        <v/>
      </c>
      <c r="N1470">
        <f>IF($G1470="",0,IF($H1470="مرجوعی فروش",-1,1)*IF(Sync!$AC1466="",0,Sync!$AC1466))</f>
        <v/>
      </c>
      <c r="O1470">
        <f>IF(OR($G1470="",Sync!$V1466=""),"",Sync!$V1466)</f>
        <v/>
      </c>
      <c r="P1470">
        <f>IF(OR($G1470="",Sync!$AD1466=""),"",Sync!$AD1466)</f>
        <v/>
      </c>
      <c r="Q1470">
        <f>IF($G1470="","",IF(Sync!$U1466="","0000",IF(AND(ISNUMBER(Sync!$U1466),Sync!$U1466&gt;=0,Sync!$U1466&lt;1),RIGHT("00"&amp;HOUR(Sync!$U1466),2)&amp;RIGHT("00"&amp;MINUTE(Sync!$U1466),2),IFERROR(RIGHT("00"&amp;VALUE(LEFT(Sync!$U1466,FIND(":",Sync!$U1466)-1)),2)&amp;RIGHT("00"&amp;VALUE(MID(Sync!$U1466,FIND(":",Sync!$U1466)+1,2)),2),"0000"))))</f>
        <v/>
      </c>
    </row>
    <row r="1471">
      <c r="A1471">
        <f>IF(Sync!$T1467="","",Sync!$T1467)</f>
        <v/>
      </c>
      <c r="B1471">
        <f>IF($A1471="","",IF(ISNUMBER($A1471),IF(AND($A1471&gt;=10000101,$A1471&lt;=99991231),INT($A1471/10000),""),IFERROR(VALUE(TRIM(LEFT($A1471,FIND("/",$A1471)-1))),"")))</f>
        <v/>
      </c>
      <c r="C1471">
        <f>IF(OR($A1471="",$B1471=""),"",IF(ISNUMBER($A1471),INT(MOD($A1471,10000)/100),IFERROR(VALUE(TRIM(LEFT(MID($A1471,FIND("/",$A1471)+1,20),FIND("/",MID($A1471,FIND("/",$A1471)+1,20))-1))),"")))</f>
        <v/>
      </c>
      <c r="D1471">
        <f>IF(OR($A1471="",$B1471=""),"",IF(ISNUMBER($A1471),MOD($A1471,100),IFERROR(VALUE(TRIM(MID(MID($A1471,FIND("/",$A1471)+1,20),FIND("/",MID($A1471,FIND("/",$A1471)+1,20))+1,20))),"")))</f>
        <v/>
      </c>
      <c r="E1471">
        <f>IF($A1471="","",IF(OR($B1471="",$C1471="",$D1471="",$B1471&lt;1300,$B1471&gt;1500,$C1471&lt;1,$C1471&gt;12,$D1471&lt;1,$D1471&gt;31),"نامعتبر",RIGHT("0000"&amp;$B1471,4)&amp;"/"&amp;RIGHT("00"&amp;$C1471,2)&amp;"/"&amp;RIGHT("00"&amp;$D1471,2)))</f>
        <v/>
      </c>
      <c r="F1471">
        <f>IF(OR($E1471="",$E1471="نامعتبر"),"",LEFT($E1471,4)&amp;"/"&amp;MID($E1471,6,2))</f>
        <v/>
      </c>
      <c r="G1471">
        <f>IF(OR($E1471="",$E1471="نامعتبر",Sync!$X1467=""),"",IF(AND(LEFT(UPPER(TRIM(Sync!$X1467)),2)="SL",IFERROR(VLOOKUP(Sync!$W1467,OpTbl,3,0),"")="فروش"),UPPER(TRIM(Sync!$X1467)),""))</f>
        <v/>
      </c>
      <c r="H1471">
        <f>IF($G1471="","",IF(Sync!$W1467="","",Sync!$W1467))</f>
        <v/>
      </c>
      <c r="I1471">
        <f>IF(OR($G1471="",Sync!$Y1467=""),"",Sync!$Y1467)</f>
        <v/>
      </c>
      <c r="J1471">
        <f>IF(OR($G1471="",Sync!$Z1467=""),"",Sync!$Z1467)</f>
        <v/>
      </c>
      <c r="K1471">
        <f>IF($G1471="",0,IF(Sync!$AA1467="",0,Sync!$AA1467))</f>
        <v/>
      </c>
      <c r="L1471">
        <f>IF($G1471="",0,IF(Sync!$AB1467="",0,Sync!$AB1467))</f>
        <v/>
      </c>
      <c r="M1471">
        <f>IF($G1471="","",IF($H1471="مرجوعی فروش",-1,1)*($K1471-$L1471*IFERROR(VLOOKUP("P01",ParamTbl,3,0),1.5)))</f>
        <v/>
      </c>
      <c r="N1471">
        <f>IF($G1471="",0,IF($H1471="مرجوعی فروش",-1,1)*IF(Sync!$AC1467="",0,Sync!$AC1467))</f>
        <v/>
      </c>
      <c r="O1471">
        <f>IF(OR($G1471="",Sync!$V1467=""),"",Sync!$V1467)</f>
        <v/>
      </c>
      <c r="P1471">
        <f>IF(OR($G1471="",Sync!$AD1467=""),"",Sync!$AD1467)</f>
        <v/>
      </c>
      <c r="Q1471">
        <f>IF($G1471="","",IF(Sync!$U1467="","0000",IF(AND(ISNUMBER(Sync!$U1467),Sync!$U1467&gt;=0,Sync!$U1467&lt;1),RIGHT("00"&amp;HOUR(Sync!$U1467),2)&amp;RIGHT("00"&amp;MINUTE(Sync!$U1467),2),IFERROR(RIGHT("00"&amp;VALUE(LEFT(Sync!$U1467,FIND(":",Sync!$U1467)-1)),2)&amp;RIGHT("00"&amp;VALUE(MID(Sync!$U1467,FIND(":",Sync!$U1467)+1,2)),2),"0000"))))</f>
        <v/>
      </c>
    </row>
    <row r="1472">
      <c r="A1472">
        <f>IF(Sync!$T1468="","",Sync!$T1468)</f>
        <v/>
      </c>
      <c r="B1472">
        <f>IF($A1472="","",IF(ISNUMBER($A1472),IF(AND($A1472&gt;=10000101,$A1472&lt;=99991231),INT($A1472/10000),""),IFERROR(VALUE(TRIM(LEFT($A1472,FIND("/",$A1472)-1))),"")))</f>
        <v/>
      </c>
      <c r="C1472">
        <f>IF(OR($A1472="",$B1472=""),"",IF(ISNUMBER($A1472),INT(MOD($A1472,10000)/100),IFERROR(VALUE(TRIM(LEFT(MID($A1472,FIND("/",$A1472)+1,20),FIND("/",MID($A1472,FIND("/",$A1472)+1,20))-1))),"")))</f>
        <v/>
      </c>
      <c r="D1472">
        <f>IF(OR($A1472="",$B1472=""),"",IF(ISNUMBER($A1472),MOD($A1472,100),IFERROR(VALUE(TRIM(MID(MID($A1472,FIND("/",$A1472)+1,20),FIND("/",MID($A1472,FIND("/",$A1472)+1,20))+1,20))),"")))</f>
        <v/>
      </c>
      <c r="E1472">
        <f>IF($A1472="","",IF(OR($B1472="",$C1472="",$D1472="",$B1472&lt;1300,$B1472&gt;1500,$C1472&lt;1,$C1472&gt;12,$D1472&lt;1,$D1472&gt;31),"نامعتبر",RIGHT("0000"&amp;$B1472,4)&amp;"/"&amp;RIGHT("00"&amp;$C1472,2)&amp;"/"&amp;RIGHT("00"&amp;$D1472,2)))</f>
        <v/>
      </c>
      <c r="F1472">
        <f>IF(OR($E1472="",$E1472="نامعتبر"),"",LEFT($E1472,4)&amp;"/"&amp;MID($E1472,6,2))</f>
        <v/>
      </c>
      <c r="G1472">
        <f>IF(OR($E1472="",$E1472="نامعتبر",Sync!$X1468=""),"",IF(AND(LEFT(UPPER(TRIM(Sync!$X1468)),2)="SL",IFERROR(VLOOKUP(Sync!$W1468,OpTbl,3,0),"")="فروش"),UPPER(TRIM(Sync!$X1468)),""))</f>
        <v/>
      </c>
      <c r="H1472">
        <f>IF($G1472="","",IF(Sync!$W1468="","",Sync!$W1468))</f>
        <v/>
      </c>
      <c r="I1472">
        <f>IF(OR($G1472="",Sync!$Y1468=""),"",Sync!$Y1468)</f>
        <v/>
      </c>
      <c r="J1472">
        <f>IF(OR($G1472="",Sync!$Z1468=""),"",Sync!$Z1468)</f>
        <v/>
      </c>
      <c r="K1472">
        <f>IF($G1472="",0,IF(Sync!$AA1468="",0,Sync!$AA1468))</f>
        <v/>
      </c>
      <c r="L1472">
        <f>IF($G1472="",0,IF(Sync!$AB1468="",0,Sync!$AB1468))</f>
        <v/>
      </c>
      <c r="M1472">
        <f>IF($G1472="","",IF($H1472="مرجوعی فروش",-1,1)*($K1472-$L1472*IFERROR(VLOOKUP("P01",ParamTbl,3,0),1.5)))</f>
        <v/>
      </c>
      <c r="N1472">
        <f>IF($G1472="",0,IF($H1472="مرجوعی فروش",-1,1)*IF(Sync!$AC1468="",0,Sync!$AC1468))</f>
        <v/>
      </c>
      <c r="O1472">
        <f>IF(OR($G1472="",Sync!$V1468=""),"",Sync!$V1468)</f>
        <v/>
      </c>
      <c r="P1472">
        <f>IF(OR($G1472="",Sync!$AD1468=""),"",Sync!$AD1468)</f>
        <v/>
      </c>
      <c r="Q1472">
        <f>IF($G1472="","",IF(Sync!$U1468="","0000",IF(AND(ISNUMBER(Sync!$U1468),Sync!$U1468&gt;=0,Sync!$U1468&lt;1),RIGHT("00"&amp;HOUR(Sync!$U1468),2)&amp;RIGHT("00"&amp;MINUTE(Sync!$U1468),2),IFERROR(RIGHT("00"&amp;VALUE(LEFT(Sync!$U1468,FIND(":",Sync!$U1468)-1)),2)&amp;RIGHT("00"&amp;VALUE(MID(Sync!$U1468,FIND(":",Sync!$U1468)+1,2)),2),"0000"))))</f>
        <v/>
      </c>
    </row>
    <row r="1473">
      <c r="A1473">
        <f>IF(Sync!$T1469="","",Sync!$T1469)</f>
        <v/>
      </c>
      <c r="B1473">
        <f>IF($A1473="","",IF(ISNUMBER($A1473),IF(AND($A1473&gt;=10000101,$A1473&lt;=99991231),INT($A1473/10000),""),IFERROR(VALUE(TRIM(LEFT($A1473,FIND("/",$A1473)-1))),"")))</f>
        <v/>
      </c>
      <c r="C1473">
        <f>IF(OR($A1473="",$B1473=""),"",IF(ISNUMBER($A1473),INT(MOD($A1473,10000)/100),IFERROR(VALUE(TRIM(LEFT(MID($A1473,FIND("/",$A1473)+1,20),FIND("/",MID($A1473,FIND("/",$A1473)+1,20))-1))),"")))</f>
        <v/>
      </c>
      <c r="D1473">
        <f>IF(OR($A1473="",$B1473=""),"",IF(ISNUMBER($A1473),MOD($A1473,100),IFERROR(VALUE(TRIM(MID(MID($A1473,FIND("/",$A1473)+1,20),FIND("/",MID($A1473,FIND("/",$A1473)+1,20))+1,20))),"")))</f>
        <v/>
      </c>
      <c r="E1473">
        <f>IF($A1473="","",IF(OR($B1473="",$C1473="",$D1473="",$B1473&lt;1300,$B1473&gt;1500,$C1473&lt;1,$C1473&gt;12,$D1473&lt;1,$D1473&gt;31),"نامعتبر",RIGHT("0000"&amp;$B1473,4)&amp;"/"&amp;RIGHT("00"&amp;$C1473,2)&amp;"/"&amp;RIGHT("00"&amp;$D1473,2)))</f>
        <v/>
      </c>
      <c r="F1473">
        <f>IF(OR($E1473="",$E1473="نامعتبر"),"",LEFT($E1473,4)&amp;"/"&amp;MID($E1473,6,2))</f>
        <v/>
      </c>
      <c r="G1473">
        <f>IF(OR($E1473="",$E1473="نامعتبر",Sync!$X1469=""),"",IF(AND(LEFT(UPPER(TRIM(Sync!$X1469)),2)="SL",IFERROR(VLOOKUP(Sync!$W1469,OpTbl,3,0),"")="فروش"),UPPER(TRIM(Sync!$X1469)),""))</f>
        <v/>
      </c>
      <c r="H1473">
        <f>IF($G1473="","",IF(Sync!$W1469="","",Sync!$W1469))</f>
        <v/>
      </c>
      <c r="I1473">
        <f>IF(OR($G1473="",Sync!$Y1469=""),"",Sync!$Y1469)</f>
        <v/>
      </c>
      <c r="J1473">
        <f>IF(OR($G1473="",Sync!$Z1469=""),"",Sync!$Z1469)</f>
        <v/>
      </c>
      <c r="K1473">
        <f>IF($G1473="",0,IF(Sync!$AA1469="",0,Sync!$AA1469))</f>
        <v/>
      </c>
      <c r="L1473">
        <f>IF($G1473="",0,IF(Sync!$AB1469="",0,Sync!$AB1469))</f>
        <v/>
      </c>
      <c r="M1473">
        <f>IF($G1473="","",IF($H1473="مرجوعی فروش",-1,1)*($K1473-$L1473*IFERROR(VLOOKUP("P01",ParamTbl,3,0),1.5)))</f>
        <v/>
      </c>
      <c r="N1473">
        <f>IF($G1473="",0,IF($H1473="مرجوعی فروش",-1,1)*IF(Sync!$AC1469="",0,Sync!$AC1469))</f>
        <v/>
      </c>
      <c r="O1473">
        <f>IF(OR($G1473="",Sync!$V1469=""),"",Sync!$V1469)</f>
        <v/>
      </c>
      <c r="P1473">
        <f>IF(OR($G1473="",Sync!$AD1469=""),"",Sync!$AD1469)</f>
        <v/>
      </c>
      <c r="Q1473">
        <f>IF($G1473="","",IF(Sync!$U1469="","0000",IF(AND(ISNUMBER(Sync!$U1469),Sync!$U1469&gt;=0,Sync!$U1469&lt;1),RIGHT("00"&amp;HOUR(Sync!$U1469),2)&amp;RIGHT("00"&amp;MINUTE(Sync!$U1469),2),IFERROR(RIGHT("00"&amp;VALUE(LEFT(Sync!$U1469,FIND(":",Sync!$U1469)-1)),2)&amp;RIGHT("00"&amp;VALUE(MID(Sync!$U1469,FIND(":",Sync!$U1469)+1,2)),2),"0000"))))</f>
        <v/>
      </c>
    </row>
    <row r="1474">
      <c r="A1474">
        <f>IF(Sync!$T1470="","",Sync!$T1470)</f>
        <v/>
      </c>
      <c r="B1474">
        <f>IF($A1474="","",IF(ISNUMBER($A1474),IF(AND($A1474&gt;=10000101,$A1474&lt;=99991231),INT($A1474/10000),""),IFERROR(VALUE(TRIM(LEFT($A1474,FIND("/",$A1474)-1))),"")))</f>
        <v/>
      </c>
      <c r="C1474">
        <f>IF(OR($A1474="",$B1474=""),"",IF(ISNUMBER($A1474),INT(MOD($A1474,10000)/100),IFERROR(VALUE(TRIM(LEFT(MID($A1474,FIND("/",$A1474)+1,20),FIND("/",MID($A1474,FIND("/",$A1474)+1,20))-1))),"")))</f>
        <v/>
      </c>
      <c r="D1474">
        <f>IF(OR($A1474="",$B1474=""),"",IF(ISNUMBER($A1474),MOD($A1474,100),IFERROR(VALUE(TRIM(MID(MID($A1474,FIND("/",$A1474)+1,20),FIND("/",MID($A1474,FIND("/",$A1474)+1,20))+1,20))),"")))</f>
        <v/>
      </c>
      <c r="E1474">
        <f>IF($A1474="","",IF(OR($B1474="",$C1474="",$D1474="",$B1474&lt;1300,$B1474&gt;1500,$C1474&lt;1,$C1474&gt;12,$D1474&lt;1,$D1474&gt;31),"نامعتبر",RIGHT("0000"&amp;$B1474,4)&amp;"/"&amp;RIGHT("00"&amp;$C1474,2)&amp;"/"&amp;RIGHT("00"&amp;$D1474,2)))</f>
        <v/>
      </c>
      <c r="F1474">
        <f>IF(OR($E1474="",$E1474="نامعتبر"),"",LEFT($E1474,4)&amp;"/"&amp;MID($E1474,6,2))</f>
        <v/>
      </c>
      <c r="G1474">
        <f>IF(OR($E1474="",$E1474="نامعتبر",Sync!$X1470=""),"",IF(AND(LEFT(UPPER(TRIM(Sync!$X1470)),2)="SL",IFERROR(VLOOKUP(Sync!$W1470,OpTbl,3,0),"")="فروش"),UPPER(TRIM(Sync!$X1470)),""))</f>
        <v/>
      </c>
      <c r="H1474">
        <f>IF($G1474="","",IF(Sync!$W1470="","",Sync!$W1470))</f>
        <v/>
      </c>
      <c r="I1474">
        <f>IF(OR($G1474="",Sync!$Y1470=""),"",Sync!$Y1470)</f>
        <v/>
      </c>
      <c r="J1474">
        <f>IF(OR($G1474="",Sync!$Z1470=""),"",Sync!$Z1470)</f>
        <v/>
      </c>
      <c r="K1474">
        <f>IF($G1474="",0,IF(Sync!$AA1470="",0,Sync!$AA1470))</f>
        <v/>
      </c>
      <c r="L1474">
        <f>IF($G1474="",0,IF(Sync!$AB1470="",0,Sync!$AB1470))</f>
        <v/>
      </c>
      <c r="M1474">
        <f>IF($G1474="","",IF($H1474="مرجوعی فروش",-1,1)*($K1474-$L1474*IFERROR(VLOOKUP("P01",ParamTbl,3,0),1.5)))</f>
        <v/>
      </c>
      <c r="N1474">
        <f>IF($G1474="",0,IF($H1474="مرجوعی فروش",-1,1)*IF(Sync!$AC1470="",0,Sync!$AC1470))</f>
        <v/>
      </c>
      <c r="O1474">
        <f>IF(OR($G1474="",Sync!$V1470=""),"",Sync!$V1470)</f>
        <v/>
      </c>
      <c r="P1474">
        <f>IF(OR($G1474="",Sync!$AD1470=""),"",Sync!$AD1470)</f>
        <v/>
      </c>
      <c r="Q1474">
        <f>IF($G1474="","",IF(Sync!$U1470="","0000",IF(AND(ISNUMBER(Sync!$U1470),Sync!$U1470&gt;=0,Sync!$U1470&lt;1),RIGHT("00"&amp;HOUR(Sync!$U1470),2)&amp;RIGHT("00"&amp;MINUTE(Sync!$U1470),2),IFERROR(RIGHT("00"&amp;VALUE(LEFT(Sync!$U1470,FIND(":",Sync!$U1470)-1)),2)&amp;RIGHT("00"&amp;VALUE(MID(Sync!$U1470,FIND(":",Sync!$U1470)+1,2)),2),"0000"))))</f>
        <v/>
      </c>
    </row>
    <row r="1475">
      <c r="A1475">
        <f>IF(Sync!$T1471="","",Sync!$T1471)</f>
        <v/>
      </c>
      <c r="B1475">
        <f>IF($A1475="","",IF(ISNUMBER($A1475),IF(AND($A1475&gt;=10000101,$A1475&lt;=99991231),INT($A1475/10000),""),IFERROR(VALUE(TRIM(LEFT($A1475,FIND("/",$A1475)-1))),"")))</f>
        <v/>
      </c>
      <c r="C1475">
        <f>IF(OR($A1475="",$B1475=""),"",IF(ISNUMBER($A1475),INT(MOD($A1475,10000)/100),IFERROR(VALUE(TRIM(LEFT(MID($A1475,FIND("/",$A1475)+1,20),FIND("/",MID($A1475,FIND("/",$A1475)+1,20))-1))),"")))</f>
        <v/>
      </c>
      <c r="D1475">
        <f>IF(OR($A1475="",$B1475=""),"",IF(ISNUMBER($A1475),MOD($A1475,100),IFERROR(VALUE(TRIM(MID(MID($A1475,FIND("/",$A1475)+1,20),FIND("/",MID($A1475,FIND("/",$A1475)+1,20))+1,20))),"")))</f>
        <v/>
      </c>
      <c r="E1475">
        <f>IF($A1475="","",IF(OR($B1475="",$C1475="",$D1475="",$B1475&lt;1300,$B1475&gt;1500,$C1475&lt;1,$C1475&gt;12,$D1475&lt;1,$D1475&gt;31),"نامعتبر",RIGHT("0000"&amp;$B1475,4)&amp;"/"&amp;RIGHT("00"&amp;$C1475,2)&amp;"/"&amp;RIGHT("00"&amp;$D1475,2)))</f>
        <v/>
      </c>
      <c r="F1475">
        <f>IF(OR($E1475="",$E1475="نامعتبر"),"",LEFT($E1475,4)&amp;"/"&amp;MID($E1475,6,2))</f>
        <v/>
      </c>
      <c r="G1475">
        <f>IF(OR($E1475="",$E1475="نامعتبر",Sync!$X1471=""),"",IF(AND(LEFT(UPPER(TRIM(Sync!$X1471)),2)="SL",IFERROR(VLOOKUP(Sync!$W1471,OpTbl,3,0),"")="فروش"),UPPER(TRIM(Sync!$X1471)),""))</f>
        <v/>
      </c>
      <c r="H1475">
        <f>IF($G1475="","",IF(Sync!$W1471="","",Sync!$W1471))</f>
        <v/>
      </c>
      <c r="I1475">
        <f>IF(OR($G1475="",Sync!$Y1471=""),"",Sync!$Y1471)</f>
        <v/>
      </c>
      <c r="J1475">
        <f>IF(OR($G1475="",Sync!$Z1471=""),"",Sync!$Z1471)</f>
        <v/>
      </c>
      <c r="K1475">
        <f>IF($G1475="",0,IF(Sync!$AA1471="",0,Sync!$AA1471))</f>
        <v/>
      </c>
      <c r="L1475">
        <f>IF($G1475="",0,IF(Sync!$AB1471="",0,Sync!$AB1471))</f>
        <v/>
      </c>
      <c r="M1475">
        <f>IF($G1475="","",IF($H1475="مرجوعی فروش",-1,1)*($K1475-$L1475*IFERROR(VLOOKUP("P01",ParamTbl,3,0),1.5)))</f>
        <v/>
      </c>
      <c r="N1475">
        <f>IF($G1475="",0,IF($H1475="مرجوعی فروش",-1,1)*IF(Sync!$AC1471="",0,Sync!$AC1471))</f>
        <v/>
      </c>
      <c r="O1475">
        <f>IF(OR($G1475="",Sync!$V1471=""),"",Sync!$V1471)</f>
        <v/>
      </c>
      <c r="P1475">
        <f>IF(OR($G1475="",Sync!$AD1471=""),"",Sync!$AD1471)</f>
        <v/>
      </c>
      <c r="Q1475">
        <f>IF($G1475="","",IF(Sync!$U1471="","0000",IF(AND(ISNUMBER(Sync!$U1471),Sync!$U1471&gt;=0,Sync!$U1471&lt;1),RIGHT("00"&amp;HOUR(Sync!$U1471),2)&amp;RIGHT("00"&amp;MINUTE(Sync!$U1471),2),IFERROR(RIGHT("00"&amp;VALUE(LEFT(Sync!$U1471,FIND(":",Sync!$U1471)-1)),2)&amp;RIGHT("00"&amp;VALUE(MID(Sync!$U1471,FIND(":",Sync!$U1471)+1,2)),2),"0000"))))</f>
        <v/>
      </c>
    </row>
    <row r="1476">
      <c r="A1476">
        <f>IF(Sync!$T1472="","",Sync!$T1472)</f>
        <v/>
      </c>
      <c r="B1476">
        <f>IF($A1476="","",IF(ISNUMBER($A1476),IF(AND($A1476&gt;=10000101,$A1476&lt;=99991231),INT($A1476/10000),""),IFERROR(VALUE(TRIM(LEFT($A1476,FIND("/",$A1476)-1))),"")))</f>
        <v/>
      </c>
      <c r="C1476">
        <f>IF(OR($A1476="",$B1476=""),"",IF(ISNUMBER($A1476),INT(MOD($A1476,10000)/100),IFERROR(VALUE(TRIM(LEFT(MID($A1476,FIND("/",$A1476)+1,20),FIND("/",MID($A1476,FIND("/",$A1476)+1,20))-1))),"")))</f>
        <v/>
      </c>
      <c r="D1476">
        <f>IF(OR($A1476="",$B1476=""),"",IF(ISNUMBER($A1476),MOD($A1476,100),IFERROR(VALUE(TRIM(MID(MID($A1476,FIND("/",$A1476)+1,20),FIND("/",MID($A1476,FIND("/",$A1476)+1,20))+1,20))),"")))</f>
        <v/>
      </c>
      <c r="E1476">
        <f>IF($A1476="","",IF(OR($B1476="",$C1476="",$D1476="",$B1476&lt;1300,$B1476&gt;1500,$C1476&lt;1,$C1476&gt;12,$D1476&lt;1,$D1476&gt;31),"نامعتبر",RIGHT("0000"&amp;$B1476,4)&amp;"/"&amp;RIGHT("00"&amp;$C1476,2)&amp;"/"&amp;RIGHT("00"&amp;$D1476,2)))</f>
        <v/>
      </c>
      <c r="F1476">
        <f>IF(OR($E1476="",$E1476="نامعتبر"),"",LEFT($E1476,4)&amp;"/"&amp;MID($E1476,6,2))</f>
        <v/>
      </c>
      <c r="G1476">
        <f>IF(OR($E1476="",$E1476="نامعتبر",Sync!$X1472=""),"",IF(AND(LEFT(UPPER(TRIM(Sync!$X1472)),2)="SL",IFERROR(VLOOKUP(Sync!$W1472,OpTbl,3,0),"")="فروش"),UPPER(TRIM(Sync!$X1472)),""))</f>
        <v/>
      </c>
      <c r="H1476">
        <f>IF($G1476="","",IF(Sync!$W1472="","",Sync!$W1472))</f>
        <v/>
      </c>
      <c r="I1476">
        <f>IF(OR($G1476="",Sync!$Y1472=""),"",Sync!$Y1472)</f>
        <v/>
      </c>
      <c r="J1476">
        <f>IF(OR($G1476="",Sync!$Z1472=""),"",Sync!$Z1472)</f>
        <v/>
      </c>
      <c r="K1476">
        <f>IF($G1476="",0,IF(Sync!$AA1472="",0,Sync!$AA1472))</f>
        <v/>
      </c>
      <c r="L1476">
        <f>IF($G1476="",0,IF(Sync!$AB1472="",0,Sync!$AB1472))</f>
        <v/>
      </c>
      <c r="M1476">
        <f>IF($G1476="","",IF($H1476="مرجوعی فروش",-1,1)*($K1476-$L1476*IFERROR(VLOOKUP("P01",ParamTbl,3,0),1.5)))</f>
        <v/>
      </c>
      <c r="N1476">
        <f>IF($G1476="",0,IF($H1476="مرجوعی فروش",-1,1)*IF(Sync!$AC1472="",0,Sync!$AC1472))</f>
        <v/>
      </c>
      <c r="O1476">
        <f>IF(OR($G1476="",Sync!$V1472=""),"",Sync!$V1472)</f>
        <v/>
      </c>
      <c r="P1476">
        <f>IF(OR($G1476="",Sync!$AD1472=""),"",Sync!$AD1472)</f>
        <v/>
      </c>
      <c r="Q1476">
        <f>IF($G1476="","",IF(Sync!$U1472="","0000",IF(AND(ISNUMBER(Sync!$U1472),Sync!$U1472&gt;=0,Sync!$U1472&lt;1),RIGHT("00"&amp;HOUR(Sync!$U1472),2)&amp;RIGHT("00"&amp;MINUTE(Sync!$U1472),2),IFERROR(RIGHT("00"&amp;VALUE(LEFT(Sync!$U1472,FIND(":",Sync!$U1472)-1)),2)&amp;RIGHT("00"&amp;VALUE(MID(Sync!$U1472,FIND(":",Sync!$U1472)+1,2)),2),"0000"))))</f>
        <v/>
      </c>
    </row>
    <row r="1477">
      <c r="A1477">
        <f>IF(Sync!$T1473="","",Sync!$T1473)</f>
        <v/>
      </c>
      <c r="B1477">
        <f>IF($A1477="","",IF(ISNUMBER($A1477),IF(AND($A1477&gt;=10000101,$A1477&lt;=99991231),INT($A1477/10000),""),IFERROR(VALUE(TRIM(LEFT($A1477,FIND("/",$A1477)-1))),"")))</f>
        <v/>
      </c>
      <c r="C1477">
        <f>IF(OR($A1477="",$B1477=""),"",IF(ISNUMBER($A1477),INT(MOD($A1477,10000)/100),IFERROR(VALUE(TRIM(LEFT(MID($A1477,FIND("/",$A1477)+1,20),FIND("/",MID($A1477,FIND("/",$A1477)+1,20))-1))),"")))</f>
        <v/>
      </c>
      <c r="D1477">
        <f>IF(OR($A1477="",$B1477=""),"",IF(ISNUMBER($A1477),MOD($A1477,100),IFERROR(VALUE(TRIM(MID(MID($A1477,FIND("/",$A1477)+1,20),FIND("/",MID($A1477,FIND("/",$A1477)+1,20))+1,20))),"")))</f>
        <v/>
      </c>
      <c r="E1477">
        <f>IF($A1477="","",IF(OR($B1477="",$C1477="",$D1477="",$B1477&lt;1300,$B1477&gt;1500,$C1477&lt;1,$C1477&gt;12,$D1477&lt;1,$D1477&gt;31),"نامعتبر",RIGHT("0000"&amp;$B1477,4)&amp;"/"&amp;RIGHT("00"&amp;$C1477,2)&amp;"/"&amp;RIGHT("00"&amp;$D1477,2)))</f>
        <v/>
      </c>
      <c r="F1477">
        <f>IF(OR($E1477="",$E1477="نامعتبر"),"",LEFT($E1477,4)&amp;"/"&amp;MID($E1477,6,2))</f>
        <v/>
      </c>
      <c r="G1477">
        <f>IF(OR($E1477="",$E1477="نامعتبر",Sync!$X1473=""),"",IF(AND(LEFT(UPPER(TRIM(Sync!$X1473)),2)="SL",IFERROR(VLOOKUP(Sync!$W1473,OpTbl,3,0),"")="فروش"),UPPER(TRIM(Sync!$X1473)),""))</f>
        <v/>
      </c>
      <c r="H1477">
        <f>IF($G1477="","",IF(Sync!$W1473="","",Sync!$W1473))</f>
        <v/>
      </c>
      <c r="I1477">
        <f>IF(OR($G1477="",Sync!$Y1473=""),"",Sync!$Y1473)</f>
        <v/>
      </c>
      <c r="J1477">
        <f>IF(OR($G1477="",Sync!$Z1473=""),"",Sync!$Z1473)</f>
        <v/>
      </c>
      <c r="K1477">
        <f>IF($G1477="",0,IF(Sync!$AA1473="",0,Sync!$AA1473))</f>
        <v/>
      </c>
      <c r="L1477">
        <f>IF($G1477="",0,IF(Sync!$AB1473="",0,Sync!$AB1473))</f>
        <v/>
      </c>
      <c r="M1477">
        <f>IF($G1477="","",IF($H1477="مرجوعی فروش",-1,1)*($K1477-$L1477*IFERROR(VLOOKUP("P01",ParamTbl,3,0),1.5)))</f>
        <v/>
      </c>
      <c r="N1477">
        <f>IF($G1477="",0,IF($H1477="مرجوعی فروش",-1,1)*IF(Sync!$AC1473="",0,Sync!$AC1473))</f>
        <v/>
      </c>
      <c r="O1477">
        <f>IF(OR($G1477="",Sync!$V1473=""),"",Sync!$V1473)</f>
        <v/>
      </c>
      <c r="P1477">
        <f>IF(OR($G1477="",Sync!$AD1473=""),"",Sync!$AD1473)</f>
        <v/>
      </c>
      <c r="Q1477">
        <f>IF($G1477="","",IF(Sync!$U1473="","0000",IF(AND(ISNUMBER(Sync!$U1473),Sync!$U1473&gt;=0,Sync!$U1473&lt;1),RIGHT("00"&amp;HOUR(Sync!$U1473),2)&amp;RIGHT("00"&amp;MINUTE(Sync!$U1473),2),IFERROR(RIGHT("00"&amp;VALUE(LEFT(Sync!$U1473,FIND(":",Sync!$U1473)-1)),2)&amp;RIGHT("00"&amp;VALUE(MID(Sync!$U1473,FIND(":",Sync!$U1473)+1,2)),2),"0000"))))</f>
        <v/>
      </c>
    </row>
    <row r="1478">
      <c r="A1478">
        <f>IF(Sync!$T1474="","",Sync!$T1474)</f>
        <v/>
      </c>
      <c r="B1478">
        <f>IF($A1478="","",IF(ISNUMBER($A1478),IF(AND($A1478&gt;=10000101,$A1478&lt;=99991231),INT($A1478/10000),""),IFERROR(VALUE(TRIM(LEFT($A1478,FIND("/",$A1478)-1))),"")))</f>
        <v/>
      </c>
      <c r="C1478">
        <f>IF(OR($A1478="",$B1478=""),"",IF(ISNUMBER($A1478),INT(MOD($A1478,10000)/100),IFERROR(VALUE(TRIM(LEFT(MID($A1478,FIND("/",$A1478)+1,20),FIND("/",MID($A1478,FIND("/",$A1478)+1,20))-1))),"")))</f>
        <v/>
      </c>
      <c r="D1478">
        <f>IF(OR($A1478="",$B1478=""),"",IF(ISNUMBER($A1478),MOD($A1478,100),IFERROR(VALUE(TRIM(MID(MID($A1478,FIND("/",$A1478)+1,20),FIND("/",MID($A1478,FIND("/",$A1478)+1,20))+1,20))),"")))</f>
        <v/>
      </c>
      <c r="E1478">
        <f>IF($A1478="","",IF(OR($B1478="",$C1478="",$D1478="",$B1478&lt;1300,$B1478&gt;1500,$C1478&lt;1,$C1478&gt;12,$D1478&lt;1,$D1478&gt;31),"نامعتبر",RIGHT("0000"&amp;$B1478,4)&amp;"/"&amp;RIGHT("00"&amp;$C1478,2)&amp;"/"&amp;RIGHT("00"&amp;$D1478,2)))</f>
        <v/>
      </c>
      <c r="F1478">
        <f>IF(OR($E1478="",$E1478="نامعتبر"),"",LEFT($E1478,4)&amp;"/"&amp;MID($E1478,6,2))</f>
        <v/>
      </c>
      <c r="G1478">
        <f>IF(OR($E1478="",$E1478="نامعتبر",Sync!$X1474=""),"",IF(AND(LEFT(UPPER(TRIM(Sync!$X1474)),2)="SL",IFERROR(VLOOKUP(Sync!$W1474,OpTbl,3,0),"")="فروش"),UPPER(TRIM(Sync!$X1474)),""))</f>
        <v/>
      </c>
      <c r="H1478">
        <f>IF($G1478="","",IF(Sync!$W1474="","",Sync!$W1474))</f>
        <v/>
      </c>
      <c r="I1478">
        <f>IF(OR($G1478="",Sync!$Y1474=""),"",Sync!$Y1474)</f>
        <v/>
      </c>
      <c r="J1478">
        <f>IF(OR($G1478="",Sync!$Z1474=""),"",Sync!$Z1474)</f>
        <v/>
      </c>
      <c r="K1478">
        <f>IF($G1478="",0,IF(Sync!$AA1474="",0,Sync!$AA1474))</f>
        <v/>
      </c>
      <c r="L1478">
        <f>IF($G1478="",0,IF(Sync!$AB1474="",0,Sync!$AB1474))</f>
        <v/>
      </c>
      <c r="M1478">
        <f>IF($G1478="","",IF($H1478="مرجوعی فروش",-1,1)*($K1478-$L1478*IFERROR(VLOOKUP("P01",ParamTbl,3,0),1.5)))</f>
        <v/>
      </c>
      <c r="N1478">
        <f>IF($G1478="",0,IF($H1478="مرجوعی فروش",-1,1)*IF(Sync!$AC1474="",0,Sync!$AC1474))</f>
        <v/>
      </c>
      <c r="O1478">
        <f>IF(OR($G1478="",Sync!$V1474=""),"",Sync!$V1474)</f>
        <v/>
      </c>
      <c r="P1478">
        <f>IF(OR($G1478="",Sync!$AD1474=""),"",Sync!$AD1474)</f>
        <v/>
      </c>
      <c r="Q1478">
        <f>IF($G1478="","",IF(Sync!$U1474="","0000",IF(AND(ISNUMBER(Sync!$U1474),Sync!$U1474&gt;=0,Sync!$U1474&lt;1),RIGHT("00"&amp;HOUR(Sync!$U1474),2)&amp;RIGHT("00"&amp;MINUTE(Sync!$U1474),2),IFERROR(RIGHT("00"&amp;VALUE(LEFT(Sync!$U1474,FIND(":",Sync!$U1474)-1)),2)&amp;RIGHT("00"&amp;VALUE(MID(Sync!$U1474,FIND(":",Sync!$U1474)+1,2)),2),"0000"))))</f>
        <v/>
      </c>
    </row>
    <row r="1479">
      <c r="A1479">
        <f>IF(Sync!$T1475="","",Sync!$T1475)</f>
        <v/>
      </c>
      <c r="B1479">
        <f>IF($A1479="","",IF(ISNUMBER($A1479),IF(AND($A1479&gt;=10000101,$A1479&lt;=99991231),INT($A1479/10000),""),IFERROR(VALUE(TRIM(LEFT($A1479,FIND("/",$A1479)-1))),"")))</f>
        <v/>
      </c>
      <c r="C1479">
        <f>IF(OR($A1479="",$B1479=""),"",IF(ISNUMBER($A1479),INT(MOD($A1479,10000)/100),IFERROR(VALUE(TRIM(LEFT(MID($A1479,FIND("/",$A1479)+1,20),FIND("/",MID($A1479,FIND("/",$A1479)+1,20))-1))),"")))</f>
        <v/>
      </c>
      <c r="D1479">
        <f>IF(OR($A1479="",$B1479=""),"",IF(ISNUMBER($A1479),MOD($A1479,100),IFERROR(VALUE(TRIM(MID(MID($A1479,FIND("/",$A1479)+1,20),FIND("/",MID($A1479,FIND("/",$A1479)+1,20))+1,20))),"")))</f>
        <v/>
      </c>
      <c r="E1479">
        <f>IF($A1479="","",IF(OR($B1479="",$C1479="",$D1479="",$B1479&lt;1300,$B1479&gt;1500,$C1479&lt;1,$C1479&gt;12,$D1479&lt;1,$D1479&gt;31),"نامعتبر",RIGHT("0000"&amp;$B1479,4)&amp;"/"&amp;RIGHT("00"&amp;$C1479,2)&amp;"/"&amp;RIGHT("00"&amp;$D1479,2)))</f>
        <v/>
      </c>
      <c r="F1479">
        <f>IF(OR($E1479="",$E1479="نامعتبر"),"",LEFT($E1479,4)&amp;"/"&amp;MID($E1479,6,2))</f>
        <v/>
      </c>
      <c r="G1479">
        <f>IF(OR($E1479="",$E1479="نامعتبر",Sync!$X1475=""),"",IF(AND(LEFT(UPPER(TRIM(Sync!$X1475)),2)="SL",IFERROR(VLOOKUP(Sync!$W1475,OpTbl,3,0),"")="فروش"),UPPER(TRIM(Sync!$X1475)),""))</f>
        <v/>
      </c>
      <c r="H1479">
        <f>IF($G1479="","",IF(Sync!$W1475="","",Sync!$W1475))</f>
        <v/>
      </c>
      <c r="I1479">
        <f>IF(OR($G1479="",Sync!$Y1475=""),"",Sync!$Y1475)</f>
        <v/>
      </c>
      <c r="J1479">
        <f>IF(OR($G1479="",Sync!$Z1475=""),"",Sync!$Z1475)</f>
        <v/>
      </c>
      <c r="K1479">
        <f>IF($G1479="",0,IF(Sync!$AA1475="",0,Sync!$AA1475))</f>
        <v/>
      </c>
      <c r="L1479">
        <f>IF($G1479="",0,IF(Sync!$AB1475="",0,Sync!$AB1475))</f>
        <v/>
      </c>
      <c r="M1479">
        <f>IF($G1479="","",IF($H1479="مرجوعی فروش",-1,1)*($K1479-$L1479*IFERROR(VLOOKUP("P01",ParamTbl,3,0),1.5)))</f>
        <v/>
      </c>
      <c r="N1479">
        <f>IF($G1479="",0,IF($H1479="مرجوعی فروش",-1,1)*IF(Sync!$AC1475="",0,Sync!$AC1475))</f>
        <v/>
      </c>
      <c r="O1479">
        <f>IF(OR($G1479="",Sync!$V1475=""),"",Sync!$V1475)</f>
        <v/>
      </c>
      <c r="P1479">
        <f>IF(OR($G1479="",Sync!$AD1475=""),"",Sync!$AD1475)</f>
        <v/>
      </c>
      <c r="Q1479">
        <f>IF($G1479="","",IF(Sync!$U1475="","0000",IF(AND(ISNUMBER(Sync!$U1475),Sync!$U1475&gt;=0,Sync!$U1475&lt;1),RIGHT("00"&amp;HOUR(Sync!$U1475),2)&amp;RIGHT("00"&amp;MINUTE(Sync!$U1475),2),IFERROR(RIGHT("00"&amp;VALUE(LEFT(Sync!$U1475,FIND(":",Sync!$U1475)-1)),2)&amp;RIGHT("00"&amp;VALUE(MID(Sync!$U1475,FIND(":",Sync!$U1475)+1,2)),2),"0000"))))</f>
        <v/>
      </c>
    </row>
    <row r="1480">
      <c r="A1480">
        <f>IF(Sync!$T1476="","",Sync!$T1476)</f>
        <v/>
      </c>
      <c r="B1480">
        <f>IF($A1480="","",IF(ISNUMBER($A1480),IF(AND($A1480&gt;=10000101,$A1480&lt;=99991231),INT($A1480/10000),""),IFERROR(VALUE(TRIM(LEFT($A1480,FIND("/",$A1480)-1))),"")))</f>
        <v/>
      </c>
      <c r="C1480">
        <f>IF(OR($A1480="",$B1480=""),"",IF(ISNUMBER($A1480),INT(MOD($A1480,10000)/100),IFERROR(VALUE(TRIM(LEFT(MID($A1480,FIND("/",$A1480)+1,20),FIND("/",MID($A1480,FIND("/",$A1480)+1,20))-1))),"")))</f>
        <v/>
      </c>
      <c r="D1480">
        <f>IF(OR($A1480="",$B1480=""),"",IF(ISNUMBER($A1480),MOD($A1480,100),IFERROR(VALUE(TRIM(MID(MID($A1480,FIND("/",$A1480)+1,20),FIND("/",MID($A1480,FIND("/",$A1480)+1,20))+1,20))),"")))</f>
        <v/>
      </c>
      <c r="E1480">
        <f>IF($A1480="","",IF(OR($B1480="",$C1480="",$D1480="",$B1480&lt;1300,$B1480&gt;1500,$C1480&lt;1,$C1480&gt;12,$D1480&lt;1,$D1480&gt;31),"نامعتبر",RIGHT("0000"&amp;$B1480,4)&amp;"/"&amp;RIGHT("00"&amp;$C1480,2)&amp;"/"&amp;RIGHT("00"&amp;$D1480,2)))</f>
        <v/>
      </c>
      <c r="F1480">
        <f>IF(OR($E1480="",$E1480="نامعتبر"),"",LEFT($E1480,4)&amp;"/"&amp;MID($E1480,6,2))</f>
        <v/>
      </c>
      <c r="G1480">
        <f>IF(OR($E1480="",$E1480="نامعتبر",Sync!$X1476=""),"",IF(AND(LEFT(UPPER(TRIM(Sync!$X1476)),2)="SL",IFERROR(VLOOKUP(Sync!$W1476,OpTbl,3,0),"")="فروش"),UPPER(TRIM(Sync!$X1476)),""))</f>
        <v/>
      </c>
      <c r="H1480">
        <f>IF($G1480="","",IF(Sync!$W1476="","",Sync!$W1476))</f>
        <v/>
      </c>
      <c r="I1480">
        <f>IF(OR($G1480="",Sync!$Y1476=""),"",Sync!$Y1476)</f>
        <v/>
      </c>
      <c r="J1480">
        <f>IF(OR($G1480="",Sync!$Z1476=""),"",Sync!$Z1476)</f>
        <v/>
      </c>
      <c r="K1480">
        <f>IF($G1480="",0,IF(Sync!$AA1476="",0,Sync!$AA1476))</f>
        <v/>
      </c>
      <c r="L1480">
        <f>IF($G1480="",0,IF(Sync!$AB1476="",0,Sync!$AB1476))</f>
        <v/>
      </c>
      <c r="M1480">
        <f>IF($G1480="","",IF($H1480="مرجوعی فروش",-1,1)*($K1480-$L1480*IFERROR(VLOOKUP("P01",ParamTbl,3,0),1.5)))</f>
        <v/>
      </c>
      <c r="N1480">
        <f>IF($G1480="",0,IF($H1480="مرجوعی فروش",-1,1)*IF(Sync!$AC1476="",0,Sync!$AC1476))</f>
        <v/>
      </c>
      <c r="O1480">
        <f>IF(OR($G1480="",Sync!$V1476=""),"",Sync!$V1476)</f>
        <v/>
      </c>
      <c r="P1480">
        <f>IF(OR($G1480="",Sync!$AD1476=""),"",Sync!$AD1476)</f>
        <v/>
      </c>
      <c r="Q1480">
        <f>IF($G1480="","",IF(Sync!$U1476="","0000",IF(AND(ISNUMBER(Sync!$U1476),Sync!$U1476&gt;=0,Sync!$U1476&lt;1),RIGHT("00"&amp;HOUR(Sync!$U1476),2)&amp;RIGHT("00"&amp;MINUTE(Sync!$U1476),2),IFERROR(RIGHT("00"&amp;VALUE(LEFT(Sync!$U1476,FIND(":",Sync!$U1476)-1)),2)&amp;RIGHT("00"&amp;VALUE(MID(Sync!$U1476,FIND(":",Sync!$U1476)+1,2)),2),"0000"))))</f>
        <v/>
      </c>
    </row>
    <row r="1481">
      <c r="A1481">
        <f>IF(Sync!$T1477="","",Sync!$T1477)</f>
        <v/>
      </c>
      <c r="B1481">
        <f>IF($A1481="","",IF(ISNUMBER($A1481),IF(AND($A1481&gt;=10000101,$A1481&lt;=99991231),INT($A1481/10000),""),IFERROR(VALUE(TRIM(LEFT($A1481,FIND("/",$A1481)-1))),"")))</f>
        <v/>
      </c>
      <c r="C1481">
        <f>IF(OR($A1481="",$B1481=""),"",IF(ISNUMBER($A1481),INT(MOD($A1481,10000)/100),IFERROR(VALUE(TRIM(LEFT(MID($A1481,FIND("/",$A1481)+1,20),FIND("/",MID($A1481,FIND("/",$A1481)+1,20))-1))),"")))</f>
        <v/>
      </c>
      <c r="D1481">
        <f>IF(OR($A1481="",$B1481=""),"",IF(ISNUMBER($A1481),MOD($A1481,100),IFERROR(VALUE(TRIM(MID(MID($A1481,FIND("/",$A1481)+1,20),FIND("/",MID($A1481,FIND("/",$A1481)+1,20))+1,20))),"")))</f>
        <v/>
      </c>
      <c r="E1481">
        <f>IF($A1481="","",IF(OR($B1481="",$C1481="",$D1481="",$B1481&lt;1300,$B1481&gt;1500,$C1481&lt;1,$C1481&gt;12,$D1481&lt;1,$D1481&gt;31),"نامعتبر",RIGHT("0000"&amp;$B1481,4)&amp;"/"&amp;RIGHT("00"&amp;$C1481,2)&amp;"/"&amp;RIGHT("00"&amp;$D1481,2)))</f>
        <v/>
      </c>
      <c r="F1481">
        <f>IF(OR($E1481="",$E1481="نامعتبر"),"",LEFT($E1481,4)&amp;"/"&amp;MID($E1481,6,2))</f>
        <v/>
      </c>
      <c r="G1481">
        <f>IF(OR($E1481="",$E1481="نامعتبر",Sync!$X1477=""),"",IF(AND(LEFT(UPPER(TRIM(Sync!$X1477)),2)="SL",IFERROR(VLOOKUP(Sync!$W1477,OpTbl,3,0),"")="فروش"),UPPER(TRIM(Sync!$X1477)),""))</f>
        <v/>
      </c>
      <c r="H1481">
        <f>IF($G1481="","",IF(Sync!$W1477="","",Sync!$W1477))</f>
        <v/>
      </c>
      <c r="I1481">
        <f>IF(OR($G1481="",Sync!$Y1477=""),"",Sync!$Y1477)</f>
        <v/>
      </c>
      <c r="J1481">
        <f>IF(OR($G1481="",Sync!$Z1477=""),"",Sync!$Z1477)</f>
        <v/>
      </c>
      <c r="K1481">
        <f>IF($G1481="",0,IF(Sync!$AA1477="",0,Sync!$AA1477))</f>
        <v/>
      </c>
      <c r="L1481">
        <f>IF($G1481="",0,IF(Sync!$AB1477="",0,Sync!$AB1477))</f>
        <v/>
      </c>
      <c r="M1481">
        <f>IF($G1481="","",IF($H1481="مرجوعی فروش",-1,1)*($K1481-$L1481*IFERROR(VLOOKUP("P01",ParamTbl,3,0),1.5)))</f>
        <v/>
      </c>
      <c r="N1481">
        <f>IF($G1481="",0,IF($H1481="مرجوعی فروش",-1,1)*IF(Sync!$AC1477="",0,Sync!$AC1477))</f>
        <v/>
      </c>
      <c r="O1481">
        <f>IF(OR($G1481="",Sync!$V1477=""),"",Sync!$V1477)</f>
        <v/>
      </c>
      <c r="P1481">
        <f>IF(OR($G1481="",Sync!$AD1477=""),"",Sync!$AD1477)</f>
        <v/>
      </c>
      <c r="Q1481">
        <f>IF($G1481="","",IF(Sync!$U1477="","0000",IF(AND(ISNUMBER(Sync!$U1477),Sync!$U1477&gt;=0,Sync!$U1477&lt;1),RIGHT("00"&amp;HOUR(Sync!$U1477),2)&amp;RIGHT("00"&amp;MINUTE(Sync!$U1477),2),IFERROR(RIGHT("00"&amp;VALUE(LEFT(Sync!$U1477,FIND(":",Sync!$U1477)-1)),2)&amp;RIGHT("00"&amp;VALUE(MID(Sync!$U1477,FIND(":",Sync!$U1477)+1,2)),2),"0000"))))</f>
        <v/>
      </c>
    </row>
    <row r="1482">
      <c r="A1482">
        <f>IF(Sync!$T1478="","",Sync!$T1478)</f>
        <v/>
      </c>
      <c r="B1482">
        <f>IF($A1482="","",IF(ISNUMBER($A1482),IF(AND($A1482&gt;=10000101,$A1482&lt;=99991231),INT($A1482/10000),""),IFERROR(VALUE(TRIM(LEFT($A1482,FIND("/",$A1482)-1))),"")))</f>
        <v/>
      </c>
      <c r="C1482">
        <f>IF(OR($A1482="",$B1482=""),"",IF(ISNUMBER($A1482),INT(MOD($A1482,10000)/100),IFERROR(VALUE(TRIM(LEFT(MID($A1482,FIND("/",$A1482)+1,20),FIND("/",MID($A1482,FIND("/",$A1482)+1,20))-1))),"")))</f>
        <v/>
      </c>
      <c r="D1482">
        <f>IF(OR($A1482="",$B1482=""),"",IF(ISNUMBER($A1482),MOD($A1482,100),IFERROR(VALUE(TRIM(MID(MID($A1482,FIND("/",$A1482)+1,20),FIND("/",MID($A1482,FIND("/",$A1482)+1,20))+1,20))),"")))</f>
        <v/>
      </c>
      <c r="E1482">
        <f>IF($A1482="","",IF(OR($B1482="",$C1482="",$D1482="",$B1482&lt;1300,$B1482&gt;1500,$C1482&lt;1,$C1482&gt;12,$D1482&lt;1,$D1482&gt;31),"نامعتبر",RIGHT("0000"&amp;$B1482,4)&amp;"/"&amp;RIGHT("00"&amp;$C1482,2)&amp;"/"&amp;RIGHT("00"&amp;$D1482,2)))</f>
        <v/>
      </c>
      <c r="F1482">
        <f>IF(OR($E1482="",$E1482="نامعتبر"),"",LEFT($E1482,4)&amp;"/"&amp;MID($E1482,6,2))</f>
        <v/>
      </c>
      <c r="G1482">
        <f>IF(OR($E1482="",$E1482="نامعتبر",Sync!$X1478=""),"",IF(AND(LEFT(UPPER(TRIM(Sync!$X1478)),2)="SL",IFERROR(VLOOKUP(Sync!$W1478,OpTbl,3,0),"")="فروش"),UPPER(TRIM(Sync!$X1478)),""))</f>
        <v/>
      </c>
      <c r="H1482">
        <f>IF($G1482="","",IF(Sync!$W1478="","",Sync!$W1478))</f>
        <v/>
      </c>
      <c r="I1482">
        <f>IF(OR($G1482="",Sync!$Y1478=""),"",Sync!$Y1478)</f>
        <v/>
      </c>
      <c r="J1482">
        <f>IF(OR($G1482="",Sync!$Z1478=""),"",Sync!$Z1478)</f>
        <v/>
      </c>
      <c r="K1482">
        <f>IF($G1482="",0,IF(Sync!$AA1478="",0,Sync!$AA1478))</f>
        <v/>
      </c>
      <c r="L1482">
        <f>IF($G1482="",0,IF(Sync!$AB1478="",0,Sync!$AB1478))</f>
        <v/>
      </c>
      <c r="M1482">
        <f>IF($G1482="","",IF($H1482="مرجوعی فروش",-1,1)*($K1482-$L1482*IFERROR(VLOOKUP("P01",ParamTbl,3,0),1.5)))</f>
        <v/>
      </c>
      <c r="N1482">
        <f>IF($G1482="",0,IF($H1482="مرجوعی فروش",-1,1)*IF(Sync!$AC1478="",0,Sync!$AC1478))</f>
        <v/>
      </c>
      <c r="O1482">
        <f>IF(OR($G1482="",Sync!$V1478=""),"",Sync!$V1478)</f>
        <v/>
      </c>
      <c r="P1482">
        <f>IF(OR($G1482="",Sync!$AD1478=""),"",Sync!$AD1478)</f>
        <v/>
      </c>
      <c r="Q1482">
        <f>IF($G1482="","",IF(Sync!$U1478="","0000",IF(AND(ISNUMBER(Sync!$U1478),Sync!$U1478&gt;=0,Sync!$U1478&lt;1),RIGHT("00"&amp;HOUR(Sync!$U1478),2)&amp;RIGHT("00"&amp;MINUTE(Sync!$U1478),2),IFERROR(RIGHT("00"&amp;VALUE(LEFT(Sync!$U1478,FIND(":",Sync!$U1478)-1)),2)&amp;RIGHT("00"&amp;VALUE(MID(Sync!$U1478,FIND(":",Sync!$U1478)+1,2)),2),"0000"))))</f>
        <v/>
      </c>
    </row>
    <row r="1483">
      <c r="A1483">
        <f>IF(Sync!$T1479="","",Sync!$T1479)</f>
        <v/>
      </c>
      <c r="B1483">
        <f>IF($A1483="","",IF(ISNUMBER($A1483),IF(AND($A1483&gt;=10000101,$A1483&lt;=99991231),INT($A1483/10000),""),IFERROR(VALUE(TRIM(LEFT($A1483,FIND("/",$A1483)-1))),"")))</f>
        <v/>
      </c>
      <c r="C1483">
        <f>IF(OR($A1483="",$B1483=""),"",IF(ISNUMBER($A1483),INT(MOD($A1483,10000)/100),IFERROR(VALUE(TRIM(LEFT(MID($A1483,FIND("/",$A1483)+1,20),FIND("/",MID($A1483,FIND("/",$A1483)+1,20))-1))),"")))</f>
        <v/>
      </c>
      <c r="D1483">
        <f>IF(OR($A1483="",$B1483=""),"",IF(ISNUMBER($A1483),MOD($A1483,100),IFERROR(VALUE(TRIM(MID(MID($A1483,FIND("/",$A1483)+1,20),FIND("/",MID($A1483,FIND("/",$A1483)+1,20))+1,20))),"")))</f>
        <v/>
      </c>
      <c r="E1483">
        <f>IF($A1483="","",IF(OR($B1483="",$C1483="",$D1483="",$B1483&lt;1300,$B1483&gt;1500,$C1483&lt;1,$C1483&gt;12,$D1483&lt;1,$D1483&gt;31),"نامعتبر",RIGHT("0000"&amp;$B1483,4)&amp;"/"&amp;RIGHT("00"&amp;$C1483,2)&amp;"/"&amp;RIGHT("00"&amp;$D1483,2)))</f>
        <v/>
      </c>
      <c r="F1483">
        <f>IF(OR($E1483="",$E1483="نامعتبر"),"",LEFT($E1483,4)&amp;"/"&amp;MID($E1483,6,2))</f>
        <v/>
      </c>
      <c r="G1483">
        <f>IF(OR($E1483="",$E1483="نامعتبر",Sync!$X1479=""),"",IF(AND(LEFT(UPPER(TRIM(Sync!$X1479)),2)="SL",IFERROR(VLOOKUP(Sync!$W1479,OpTbl,3,0),"")="فروش"),UPPER(TRIM(Sync!$X1479)),""))</f>
        <v/>
      </c>
      <c r="H1483">
        <f>IF($G1483="","",IF(Sync!$W1479="","",Sync!$W1479))</f>
        <v/>
      </c>
      <c r="I1483">
        <f>IF(OR($G1483="",Sync!$Y1479=""),"",Sync!$Y1479)</f>
        <v/>
      </c>
      <c r="J1483">
        <f>IF(OR($G1483="",Sync!$Z1479=""),"",Sync!$Z1479)</f>
        <v/>
      </c>
      <c r="K1483">
        <f>IF($G1483="",0,IF(Sync!$AA1479="",0,Sync!$AA1479))</f>
        <v/>
      </c>
      <c r="L1483">
        <f>IF($G1483="",0,IF(Sync!$AB1479="",0,Sync!$AB1479))</f>
        <v/>
      </c>
      <c r="M1483">
        <f>IF($G1483="","",IF($H1483="مرجوعی فروش",-1,1)*($K1483-$L1483*IFERROR(VLOOKUP("P01",ParamTbl,3,0),1.5)))</f>
        <v/>
      </c>
      <c r="N1483">
        <f>IF($G1483="",0,IF($H1483="مرجوعی فروش",-1,1)*IF(Sync!$AC1479="",0,Sync!$AC1479))</f>
        <v/>
      </c>
      <c r="O1483">
        <f>IF(OR($G1483="",Sync!$V1479=""),"",Sync!$V1479)</f>
        <v/>
      </c>
      <c r="P1483">
        <f>IF(OR($G1483="",Sync!$AD1479=""),"",Sync!$AD1479)</f>
        <v/>
      </c>
      <c r="Q1483">
        <f>IF($G1483="","",IF(Sync!$U1479="","0000",IF(AND(ISNUMBER(Sync!$U1479),Sync!$U1479&gt;=0,Sync!$U1479&lt;1),RIGHT("00"&amp;HOUR(Sync!$U1479),2)&amp;RIGHT("00"&amp;MINUTE(Sync!$U1479),2),IFERROR(RIGHT("00"&amp;VALUE(LEFT(Sync!$U1479,FIND(":",Sync!$U1479)-1)),2)&amp;RIGHT("00"&amp;VALUE(MID(Sync!$U1479,FIND(":",Sync!$U1479)+1,2)),2),"0000"))))</f>
        <v/>
      </c>
    </row>
    <row r="1484">
      <c r="A1484">
        <f>IF(Sync!$T1480="","",Sync!$T1480)</f>
        <v/>
      </c>
      <c r="B1484">
        <f>IF($A1484="","",IF(ISNUMBER($A1484),IF(AND($A1484&gt;=10000101,$A1484&lt;=99991231),INT($A1484/10000),""),IFERROR(VALUE(TRIM(LEFT($A1484,FIND("/",$A1484)-1))),"")))</f>
        <v/>
      </c>
      <c r="C1484">
        <f>IF(OR($A1484="",$B1484=""),"",IF(ISNUMBER($A1484),INT(MOD($A1484,10000)/100),IFERROR(VALUE(TRIM(LEFT(MID($A1484,FIND("/",$A1484)+1,20),FIND("/",MID($A1484,FIND("/",$A1484)+1,20))-1))),"")))</f>
        <v/>
      </c>
      <c r="D1484">
        <f>IF(OR($A1484="",$B1484=""),"",IF(ISNUMBER($A1484),MOD($A1484,100),IFERROR(VALUE(TRIM(MID(MID($A1484,FIND("/",$A1484)+1,20),FIND("/",MID($A1484,FIND("/",$A1484)+1,20))+1,20))),"")))</f>
        <v/>
      </c>
      <c r="E1484">
        <f>IF($A1484="","",IF(OR($B1484="",$C1484="",$D1484="",$B1484&lt;1300,$B1484&gt;1500,$C1484&lt;1,$C1484&gt;12,$D1484&lt;1,$D1484&gt;31),"نامعتبر",RIGHT("0000"&amp;$B1484,4)&amp;"/"&amp;RIGHT("00"&amp;$C1484,2)&amp;"/"&amp;RIGHT("00"&amp;$D1484,2)))</f>
        <v/>
      </c>
      <c r="F1484">
        <f>IF(OR($E1484="",$E1484="نامعتبر"),"",LEFT($E1484,4)&amp;"/"&amp;MID($E1484,6,2))</f>
        <v/>
      </c>
      <c r="G1484">
        <f>IF(OR($E1484="",$E1484="نامعتبر",Sync!$X1480=""),"",IF(AND(LEFT(UPPER(TRIM(Sync!$X1480)),2)="SL",IFERROR(VLOOKUP(Sync!$W1480,OpTbl,3,0),"")="فروش"),UPPER(TRIM(Sync!$X1480)),""))</f>
        <v/>
      </c>
      <c r="H1484">
        <f>IF($G1484="","",IF(Sync!$W1480="","",Sync!$W1480))</f>
        <v/>
      </c>
      <c r="I1484">
        <f>IF(OR($G1484="",Sync!$Y1480=""),"",Sync!$Y1480)</f>
        <v/>
      </c>
      <c r="J1484">
        <f>IF(OR($G1484="",Sync!$Z1480=""),"",Sync!$Z1480)</f>
        <v/>
      </c>
      <c r="K1484">
        <f>IF($G1484="",0,IF(Sync!$AA1480="",0,Sync!$AA1480))</f>
        <v/>
      </c>
      <c r="L1484">
        <f>IF($G1484="",0,IF(Sync!$AB1480="",0,Sync!$AB1480))</f>
        <v/>
      </c>
      <c r="M1484">
        <f>IF($G1484="","",IF($H1484="مرجوعی فروش",-1,1)*($K1484-$L1484*IFERROR(VLOOKUP("P01",ParamTbl,3,0),1.5)))</f>
        <v/>
      </c>
      <c r="N1484">
        <f>IF($G1484="",0,IF($H1484="مرجوعی فروش",-1,1)*IF(Sync!$AC1480="",0,Sync!$AC1480))</f>
        <v/>
      </c>
      <c r="O1484">
        <f>IF(OR($G1484="",Sync!$V1480=""),"",Sync!$V1480)</f>
        <v/>
      </c>
      <c r="P1484">
        <f>IF(OR($G1484="",Sync!$AD1480=""),"",Sync!$AD1480)</f>
        <v/>
      </c>
      <c r="Q1484">
        <f>IF($G1484="","",IF(Sync!$U1480="","0000",IF(AND(ISNUMBER(Sync!$U1480),Sync!$U1480&gt;=0,Sync!$U1480&lt;1),RIGHT("00"&amp;HOUR(Sync!$U1480),2)&amp;RIGHT("00"&amp;MINUTE(Sync!$U1480),2),IFERROR(RIGHT("00"&amp;VALUE(LEFT(Sync!$U1480,FIND(":",Sync!$U1480)-1)),2)&amp;RIGHT("00"&amp;VALUE(MID(Sync!$U1480,FIND(":",Sync!$U1480)+1,2)),2),"0000"))))</f>
        <v/>
      </c>
    </row>
    <row r="1485">
      <c r="A1485">
        <f>IF(Sync!$T1481="","",Sync!$T1481)</f>
        <v/>
      </c>
      <c r="B1485">
        <f>IF($A1485="","",IF(ISNUMBER($A1485),IF(AND($A1485&gt;=10000101,$A1485&lt;=99991231),INT($A1485/10000),""),IFERROR(VALUE(TRIM(LEFT($A1485,FIND("/",$A1485)-1))),"")))</f>
        <v/>
      </c>
      <c r="C1485">
        <f>IF(OR($A1485="",$B1485=""),"",IF(ISNUMBER($A1485),INT(MOD($A1485,10000)/100),IFERROR(VALUE(TRIM(LEFT(MID($A1485,FIND("/",$A1485)+1,20),FIND("/",MID($A1485,FIND("/",$A1485)+1,20))-1))),"")))</f>
        <v/>
      </c>
      <c r="D1485">
        <f>IF(OR($A1485="",$B1485=""),"",IF(ISNUMBER($A1485),MOD($A1485,100),IFERROR(VALUE(TRIM(MID(MID($A1485,FIND("/",$A1485)+1,20),FIND("/",MID($A1485,FIND("/",$A1485)+1,20))+1,20))),"")))</f>
        <v/>
      </c>
      <c r="E1485">
        <f>IF($A1485="","",IF(OR($B1485="",$C1485="",$D1485="",$B1485&lt;1300,$B1485&gt;1500,$C1485&lt;1,$C1485&gt;12,$D1485&lt;1,$D1485&gt;31),"نامعتبر",RIGHT("0000"&amp;$B1485,4)&amp;"/"&amp;RIGHT("00"&amp;$C1485,2)&amp;"/"&amp;RIGHT("00"&amp;$D1485,2)))</f>
        <v/>
      </c>
      <c r="F1485">
        <f>IF(OR($E1485="",$E1485="نامعتبر"),"",LEFT($E1485,4)&amp;"/"&amp;MID($E1485,6,2))</f>
        <v/>
      </c>
      <c r="G1485">
        <f>IF(OR($E1485="",$E1485="نامعتبر",Sync!$X1481=""),"",IF(AND(LEFT(UPPER(TRIM(Sync!$X1481)),2)="SL",IFERROR(VLOOKUP(Sync!$W1481,OpTbl,3,0),"")="فروش"),UPPER(TRIM(Sync!$X1481)),""))</f>
        <v/>
      </c>
      <c r="H1485">
        <f>IF($G1485="","",IF(Sync!$W1481="","",Sync!$W1481))</f>
        <v/>
      </c>
      <c r="I1485">
        <f>IF(OR($G1485="",Sync!$Y1481=""),"",Sync!$Y1481)</f>
        <v/>
      </c>
      <c r="J1485">
        <f>IF(OR($G1485="",Sync!$Z1481=""),"",Sync!$Z1481)</f>
        <v/>
      </c>
      <c r="K1485">
        <f>IF($G1485="",0,IF(Sync!$AA1481="",0,Sync!$AA1481))</f>
        <v/>
      </c>
      <c r="L1485">
        <f>IF($G1485="",0,IF(Sync!$AB1481="",0,Sync!$AB1481))</f>
        <v/>
      </c>
      <c r="M1485">
        <f>IF($G1485="","",IF($H1485="مرجوعی فروش",-1,1)*($K1485-$L1485*IFERROR(VLOOKUP("P01",ParamTbl,3,0),1.5)))</f>
        <v/>
      </c>
      <c r="N1485">
        <f>IF($G1485="",0,IF($H1485="مرجوعی فروش",-1,1)*IF(Sync!$AC1481="",0,Sync!$AC1481))</f>
        <v/>
      </c>
      <c r="O1485">
        <f>IF(OR($G1485="",Sync!$V1481=""),"",Sync!$V1481)</f>
        <v/>
      </c>
      <c r="P1485">
        <f>IF(OR($G1485="",Sync!$AD1481=""),"",Sync!$AD1481)</f>
        <v/>
      </c>
      <c r="Q1485">
        <f>IF($G1485="","",IF(Sync!$U1481="","0000",IF(AND(ISNUMBER(Sync!$U1481),Sync!$U1481&gt;=0,Sync!$U1481&lt;1),RIGHT("00"&amp;HOUR(Sync!$U1481),2)&amp;RIGHT("00"&amp;MINUTE(Sync!$U1481),2),IFERROR(RIGHT("00"&amp;VALUE(LEFT(Sync!$U1481,FIND(":",Sync!$U1481)-1)),2)&amp;RIGHT("00"&amp;VALUE(MID(Sync!$U1481,FIND(":",Sync!$U1481)+1,2)),2),"0000"))))</f>
        <v/>
      </c>
    </row>
    <row r="1486">
      <c r="A1486">
        <f>IF(Sync!$T1482="","",Sync!$T1482)</f>
        <v/>
      </c>
      <c r="B1486">
        <f>IF($A1486="","",IF(ISNUMBER($A1486),IF(AND($A1486&gt;=10000101,$A1486&lt;=99991231),INT($A1486/10000),""),IFERROR(VALUE(TRIM(LEFT($A1486,FIND("/",$A1486)-1))),"")))</f>
        <v/>
      </c>
      <c r="C1486">
        <f>IF(OR($A1486="",$B1486=""),"",IF(ISNUMBER($A1486),INT(MOD($A1486,10000)/100),IFERROR(VALUE(TRIM(LEFT(MID($A1486,FIND("/",$A1486)+1,20),FIND("/",MID($A1486,FIND("/",$A1486)+1,20))-1))),"")))</f>
        <v/>
      </c>
      <c r="D1486">
        <f>IF(OR($A1486="",$B1486=""),"",IF(ISNUMBER($A1486),MOD($A1486,100),IFERROR(VALUE(TRIM(MID(MID($A1486,FIND("/",$A1486)+1,20),FIND("/",MID($A1486,FIND("/",$A1486)+1,20))+1,20))),"")))</f>
        <v/>
      </c>
      <c r="E1486">
        <f>IF($A1486="","",IF(OR($B1486="",$C1486="",$D1486="",$B1486&lt;1300,$B1486&gt;1500,$C1486&lt;1,$C1486&gt;12,$D1486&lt;1,$D1486&gt;31),"نامعتبر",RIGHT("0000"&amp;$B1486,4)&amp;"/"&amp;RIGHT("00"&amp;$C1486,2)&amp;"/"&amp;RIGHT("00"&amp;$D1486,2)))</f>
        <v/>
      </c>
      <c r="F1486">
        <f>IF(OR($E1486="",$E1486="نامعتبر"),"",LEFT($E1486,4)&amp;"/"&amp;MID($E1486,6,2))</f>
        <v/>
      </c>
      <c r="G1486">
        <f>IF(OR($E1486="",$E1486="نامعتبر",Sync!$X1482=""),"",IF(AND(LEFT(UPPER(TRIM(Sync!$X1482)),2)="SL",IFERROR(VLOOKUP(Sync!$W1482,OpTbl,3,0),"")="فروش"),UPPER(TRIM(Sync!$X1482)),""))</f>
        <v/>
      </c>
      <c r="H1486">
        <f>IF($G1486="","",IF(Sync!$W1482="","",Sync!$W1482))</f>
        <v/>
      </c>
      <c r="I1486">
        <f>IF(OR($G1486="",Sync!$Y1482=""),"",Sync!$Y1482)</f>
        <v/>
      </c>
      <c r="J1486">
        <f>IF(OR($G1486="",Sync!$Z1482=""),"",Sync!$Z1482)</f>
        <v/>
      </c>
      <c r="K1486">
        <f>IF($G1486="",0,IF(Sync!$AA1482="",0,Sync!$AA1482))</f>
        <v/>
      </c>
      <c r="L1486">
        <f>IF($G1486="",0,IF(Sync!$AB1482="",0,Sync!$AB1482))</f>
        <v/>
      </c>
      <c r="M1486">
        <f>IF($G1486="","",IF($H1486="مرجوعی فروش",-1,1)*($K1486-$L1486*IFERROR(VLOOKUP("P01",ParamTbl,3,0),1.5)))</f>
        <v/>
      </c>
      <c r="N1486">
        <f>IF($G1486="",0,IF($H1486="مرجوعی فروش",-1,1)*IF(Sync!$AC1482="",0,Sync!$AC1482))</f>
        <v/>
      </c>
      <c r="O1486">
        <f>IF(OR($G1486="",Sync!$V1482=""),"",Sync!$V1482)</f>
        <v/>
      </c>
      <c r="P1486">
        <f>IF(OR($G1486="",Sync!$AD1482=""),"",Sync!$AD1482)</f>
        <v/>
      </c>
      <c r="Q1486">
        <f>IF($G1486="","",IF(Sync!$U1482="","0000",IF(AND(ISNUMBER(Sync!$U1482),Sync!$U1482&gt;=0,Sync!$U1482&lt;1),RIGHT("00"&amp;HOUR(Sync!$U1482),2)&amp;RIGHT("00"&amp;MINUTE(Sync!$U1482),2),IFERROR(RIGHT("00"&amp;VALUE(LEFT(Sync!$U1482,FIND(":",Sync!$U1482)-1)),2)&amp;RIGHT("00"&amp;VALUE(MID(Sync!$U1482,FIND(":",Sync!$U1482)+1,2)),2),"0000"))))</f>
        <v/>
      </c>
    </row>
    <row r="1487">
      <c r="A1487">
        <f>IF(Sync!$T1483="","",Sync!$T1483)</f>
        <v/>
      </c>
      <c r="B1487">
        <f>IF($A1487="","",IF(ISNUMBER($A1487),IF(AND($A1487&gt;=10000101,$A1487&lt;=99991231),INT($A1487/10000),""),IFERROR(VALUE(TRIM(LEFT($A1487,FIND("/",$A1487)-1))),"")))</f>
        <v/>
      </c>
      <c r="C1487">
        <f>IF(OR($A1487="",$B1487=""),"",IF(ISNUMBER($A1487),INT(MOD($A1487,10000)/100),IFERROR(VALUE(TRIM(LEFT(MID($A1487,FIND("/",$A1487)+1,20),FIND("/",MID($A1487,FIND("/",$A1487)+1,20))-1))),"")))</f>
        <v/>
      </c>
      <c r="D1487">
        <f>IF(OR($A1487="",$B1487=""),"",IF(ISNUMBER($A1487),MOD($A1487,100),IFERROR(VALUE(TRIM(MID(MID($A1487,FIND("/",$A1487)+1,20),FIND("/",MID($A1487,FIND("/",$A1487)+1,20))+1,20))),"")))</f>
        <v/>
      </c>
      <c r="E1487">
        <f>IF($A1487="","",IF(OR($B1487="",$C1487="",$D1487="",$B1487&lt;1300,$B1487&gt;1500,$C1487&lt;1,$C1487&gt;12,$D1487&lt;1,$D1487&gt;31),"نامعتبر",RIGHT("0000"&amp;$B1487,4)&amp;"/"&amp;RIGHT("00"&amp;$C1487,2)&amp;"/"&amp;RIGHT("00"&amp;$D1487,2)))</f>
        <v/>
      </c>
      <c r="F1487">
        <f>IF(OR($E1487="",$E1487="نامعتبر"),"",LEFT($E1487,4)&amp;"/"&amp;MID($E1487,6,2))</f>
        <v/>
      </c>
      <c r="G1487">
        <f>IF(OR($E1487="",$E1487="نامعتبر",Sync!$X1483=""),"",IF(AND(LEFT(UPPER(TRIM(Sync!$X1483)),2)="SL",IFERROR(VLOOKUP(Sync!$W1483,OpTbl,3,0),"")="فروش"),UPPER(TRIM(Sync!$X1483)),""))</f>
        <v/>
      </c>
      <c r="H1487">
        <f>IF($G1487="","",IF(Sync!$W1483="","",Sync!$W1483))</f>
        <v/>
      </c>
      <c r="I1487">
        <f>IF(OR($G1487="",Sync!$Y1483=""),"",Sync!$Y1483)</f>
        <v/>
      </c>
      <c r="J1487">
        <f>IF(OR($G1487="",Sync!$Z1483=""),"",Sync!$Z1483)</f>
        <v/>
      </c>
      <c r="K1487">
        <f>IF($G1487="",0,IF(Sync!$AA1483="",0,Sync!$AA1483))</f>
        <v/>
      </c>
      <c r="L1487">
        <f>IF($G1487="",0,IF(Sync!$AB1483="",0,Sync!$AB1483))</f>
        <v/>
      </c>
      <c r="M1487">
        <f>IF($G1487="","",IF($H1487="مرجوعی فروش",-1,1)*($K1487-$L1487*IFERROR(VLOOKUP("P01",ParamTbl,3,0),1.5)))</f>
        <v/>
      </c>
      <c r="N1487">
        <f>IF($G1487="",0,IF($H1487="مرجوعی فروش",-1,1)*IF(Sync!$AC1483="",0,Sync!$AC1483))</f>
        <v/>
      </c>
      <c r="O1487">
        <f>IF(OR($G1487="",Sync!$V1483=""),"",Sync!$V1483)</f>
        <v/>
      </c>
      <c r="P1487">
        <f>IF(OR($G1487="",Sync!$AD1483=""),"",Sync!$AD1483)</f>
        <v/>
      </c>
      <c r="Q1487">
        <f>IF($G1487="","",IF(Sync!$U1483="","0000",IF(AND(ISNUMBER(Sync!$U1483),Sync!$U1483&gt;=0,Sync!$U1483&lt;1),RIGHT("00"&amp;HOUR(Sync!$U1483),2)&amp;RIGHT("00"&amp;MINUTE(Sync!$U1483),2),IFERROR(RIGHT("00"&amp;VALUE(LEFT(Sync!$U1483,FIND(":",Sync!$U1483)-1)),2)&amp;RIGHT("00"&amp;VALUE(MID(Sync!$U1483,FIND(":",Sync!$U1483)+1,2)),2),"0000"))))</f>
        <v/>
      </c>
    </row>
    <row r="1488">
      <c r="A1488">
        <f>IF(Sync!$T1484="","",Sync!$T1484)</f>
        <v/>
      </c>
      <c r="B1488">
        <f>IF($A1488="","",IF(ISNUMBER($A1488),IF(AND($A1488&gt;=10000101,$A1488&lt;=99991231),INT($A1488/10000),""),IFERROR(VALUE(TRIM(LEFT($A1488,FIND("/",$A1488)-1))),"")))</f>
        <v/>
      </c>
      <c r="C1488">
        <f>IF(OR($A1488="",$B1488=""),"",IF(ISNUMBER($A1488),INT(MOD($A1488,10000)/100),IFERROR(VALUE(TRIM(LEFT(MID($A1488,FIND("/",$A1488)+1,20),FIND("/",MID($A1488,FIND("/",$A1488)+1,20))-1))),"")))</f>
        <v/>
      </c>
      <c r="D1488">
        <f>IF(OR($A1488="",$B1488=""),"",IF(ISNUMBER($A1488),MOD($A1488,100),IFERROR(VALUE(TRIM(MID(MID($A1488,FIND("/",$A1488)+1,20),FIND("/",MID($A1488,FIND("/",$A1488)+1,20))+1,20))),"")))</f>
        <v/>
      </c>
      <c r="E1488">
        <f>IF($A1488="","",IF(OR($B1488="",$C1488="",$D1488="",$B1488&lt;1300,$B1488&gt;1500,$C1488&lt;1,$C1488&gt;12,$D1488&lt;1,$D1488&gt;31),"نامعتبر",RIGHT("0000"&amp;$B1488,4)&amp;"/"&amp;RIGHT("00"&amp;$C1488,2)&amp;"/"&amp;RIGHT("00"&amp;$D1488,2)))</f>
        <v/>
      </c>
      <c r="F1488">
        <f>IF(OR($E1488="",$E1488="نامعتبر"),"",LEFT($E1488,4)&amp;"/"&amp;MID($E1488,6,2))</f>
        <v/>
      </c>
      <c r="G1488">
        <f>IF(OR($E1488="",$E1488="نامعتبر",Sync!$X1484=""),"",IF(AND(LEFT(UPPER(TRIM(Sync!$X1484)),2)="SL",IFERROR(VLOOKUP(Sync!$W1484,OpTbl,3,0),"")="فروش"),UPPER(TRIM(Sync!$X1484)),""))</f>
        <v/>
      </c>
      <c r="H1488">
        <f>IF($G1488="","",IF(Sync!$W1484="","",Sync!$W1484))</f>
        <v/>
      </c>
      <c r="I1488">
        <f>IF(OR($G1488="",Sync!$Y1484=""),"",Sync!$Y1484)</f>
        <v/>
      </c>
      <c r="J1488">
        <f>IF(OR($G1488="",Sync!$Z1484=""),"",Sync!$Z1484)</f>
        <v/>
      </c>
      <c r="K1488">
        <f>IF($G1488="",0,IF(Sync!$AA1484="",0,Sync!$AA1484))</f>
        <v/>
      </c>
      <c r="L1488">
        <f>IF($G1488="",0,IF(Sync!$AB1484="",0,Sync!$AB1484))</f>
        <v/>
      </c>
      <c r="M1488">
        <f>IF($G1488="","",IF($H1488="مرجوعی فروش",-1,1)*($K1488-$L1488*IFERROR(VLOOKUP("P01",ParamTbl,3,0),1.5)))</f>
        <v/>
      </c>
      <c r="N1488">
        <f>IF($G1488="",0,IF($H1488="مرجوعی فروش",-1,1)*IF(Sync!$AC1484="",0,Sync!$AC1484))</f>
        <v/>
      </c>
      <c r="O1488">
        <f>IF(OR($G1488="",Sync!$V1484=""),"",Sync!$V1484)</f>
        <v/>
      </c>
      <c r="P1488">
        <f>IF(OR($G1488="",Sync!$AD1484=""),"",Sync!$AD1484)</f>
        <v/>
      </c>
      <c r="Q1488">
        <f>IF($G1488="","",IF(Sync!$U1484="","0000",IF(AND(ISNUMBER(Sync!$U1484),Sync!$U1484&gt;=0,Sync!$U1484&lt;1),RIGHT("00"&amp;HOUR(Sync!$U1484),2)&amp;RIGHT("00"&amp;MINUTE(Sync!$U1484),2),IFERROR(RIGHT("00"&amp;VALUE(LEFT(Sync!$U1484,FIND(":",Sync!$U1484)-1)),2)&amp;RIGHT("00"&amp;VALUE(MID(Sync!$U1484,FIND(":",Sync!$U1484)+1,2)),2),"0000"))))</f>
        <v/>
      </c>
    </row>
    <row r="1489">
      <c r="A1489">
        <f>IF(Sync!$T1485="","",Sync!$T1485)</f>
        <v/>
      </c>
      <c r="B1489">
        <f>IF($A1489="","",IF(ISNUMBER($A1489),IF(AND($A1489&gt;=10000101,$A1489&lt;=99991231),INT($A1489/10000),""),IFERROR(VALUE(TRIM(LEFT($A1489,FIND("/",$A1489)-1))),"")))</f>
        <v/>
      </c>
      <c r="C1489">
        <f>IF(OR($A1489="",$B1489=""),"",IF(ISNUMBER($A1489),INT(MOD($A1489,10000)/100),IFERROR(VALUE(TRIM(LEFT(MID($A1489,FIND("/",$A1489)+1,20),FIND("/",MID($A1489,FIND("/",$A1489)+1,20))-1))),"")))</f>
        <v/>
      </c>
      <c r="D1489">
        <f>IF(OR($A1489="",$B1489=""),"",IF(ISNUMBER($A1489),MOD($A1489,100),IFERROR(VALUE(TRIM(MID(MID($A1489,FIND("/",$A1489)+1,20),FIND("/",MID($A1489,FIND("/",$A1489)+1,20))+1,20))),"")))</f>
        <v/>
      </c>
      <c r="E1489">
        <f>IF($A1489="","",IF(OR($B1489="",$C1489="",$D1489="",$B1489&lt;1300,$B1489&gt;1500,$C1489&lt;1,$C1489&gt;12,$D1489&lt;1,$D1489&gt;31),"نامعتبر",RIGHT("0000"&amp;$B1489,4)&amp;"/"&amp;RIGHT("00"&amp;$C1489,2)&amp;"/"&amp;RIGHT("00"&amp;$D1489,2)))</f>
        <v/>
      </c>
      <c r="F1489">
        <f>IF(OR($E1489="",$E1489="نامعتبر"),"",LEFT($E1489,4)&amp;"/"&amp;MID($E1489,6,2))</f>
        <v/>
      </c>
      <c r="G1489">
        <f>IF(OR($E1489="",$E1489="نامعتبر",Sync!$X1485=""),"",IF(AND(LEFT(UPPER(TRIM(Sync!$X1485)),2)="SL",IFERROR(VLOOKUP(Sync!$W1485,OpTbl,3,0),"")="فروش"),UPPER(TRIM(Sync!$X1485)),""))</f>
        <v/>
      </c>
      <c r="H1489">
        <f>IF($G1489="","",IF(Sync!$W1485="","",Sync!$W1485))</f>
        <v/>
      </c>
      <c r="I1489">
        <f>IF(OR($G1489="",Sync!$Y1485=""),"",Sync!$Y1485)</f>
        <v/>
      </c>
      <c r="J1489">
        <f>IF(OR($G1489="",Sync!$Z1485=""),"",Sync!$Z1485)</f>
        <v/>
      </c>
      <c r="K1489">
        <f>IF($G1489="",0,IF(Sync!$AA1485="",0,Sync!$AA1485))</f>
        <v/>
      </c>
      <c r="L1489">
        <f>IF($G1489="",0,IF(Sync!$AB1485="",0,Sync!$AB1485))</f>
        <v/>
      </c>
      <c r="M1489">
        <f>IF($G1489="","",IF($H1489="مرجوعی فروش",-1,1)*($K1489-$L1489*IFERROR(VLOOKUP("P01",ParamTbl,3,0),1.5)))</f>
        <v/>
      </c>
      <c r="N1489">
        <f>IF($G1489="",0,IF($H1489="مرجوعی فروش",-1,1)*IF(Sync!$AC1485="",0,Sync!$AC1485))</f>
        <v/>
      </c>
      <c r="O1489">
        <f>IF(OR($G1489="",Sync!$V1485=""),"",Sync!$V1485)</f>
        <v/>
      </c>
      <c r="P1489">
        <f>IF(OR($G1489="",Sync!$AD1485=""),"",Sync!$AD1485)</f>
        <v/>
      </c>
      <c r="Q1489">
        <f>IF($G1489="","",IF(Sync!$U1485="","0000",IF(AND(ISNUMBER(Sync!$U1485),Sync!$U1485&gt;=0,Sync!$U1485&lt;1),RIGHT("00"&amp;HOUR(Sync!$U1485),2)&amp;RIGHT("00"&amp;MINUTE(Sync!$U1485),2),IFERROR(RIGHT("00"&amp;VALUE(LEFT(Sync!$U1485,FIND(":",Sync!$U1485)-1)),2)&amp;RIGHT("00"&amp;VALUE(MID(Sync!$U1485,FIND(":",Sync!$U1485)+1,2)),2),"0000"))))</f>
        <v/>
      </c>
    </row>
    <row r="1490">
      <c r="A1490">
        <f>IF(Sync!$T1486="","",Sync!$T1486)</f>
        <v/>
      </c>
      <c r="B1490">
        <f>IF($A1490="","",IF(ISNUMBER($A1490),IF(AND($A1490&gt;=10000101,$A1490&lt;=99991231),INT($A1490/10000),""),IFERROR(VALUE(TRIM(LEFT($A1490,FIND("/",$A1490)-1))),"")))</f>
        <v/>
      </c>
      <c r="C1490">
        <f>IF(OR($A1490="",$B1490=""),"",IF(ISNUMBER($A1490),INT(MOD($A1490,10000)/100),IFERROR(VALUE(TRIM(LEFT(MID($A1490,FIND("/",$A1490)+1,20),FIND("/",MID($A1490,FIND("/",$A1490)+1,20))-1))),"")))</f>
        <v/>
      </c>
      <c r="D1490">
        <f>IF(OR($A1490="",$B1490=""),"",IF(ISNUMBER($A1490),MOD($A1490,100),IFERROR(VALUE(TRIM(MID(MID($A1490,FIND("/",$A1490)+1,20),FIND("/",MID($A1490,FIND("/",$A1490)+1,20))+1,20))),"")))</f>
        <v/>
      </c>
      <c r="E1490">
        <f>IF($A1490="","",IF(OR($B1490="",$C1490="",$D1490="",$B1490&lt;1300,$B1490&gt;1500,$C1490&lt;1,$C1490&gt;12,$D1490&lt;1,$D1490&gt;31),"نامعتبر",RIGHT("0000"&amp;$B1490,4)&amp;"/"&amp;RIGHT("00"&amp;$C1490,2)&amp;"/"&amp;RIGHT("00"&amp;$D1490,2)))</f>
        <v/>
      </c>
      <c r="F1490">
        <f>IF(OR($E1490="",$E1490="نامعتبر"),"",LEFT($E1490,4)&amp;"/"&amp;MID($E1490,6,2))</f>
        <v/>
      </c>
      <c r="G1490">
        <f>IF(OR($E1490="",$E1490="نامعتبر",Sync!$X1486=""),"",IF(AND(LEFT(UPPER(TRIM(Sync!$X1486)),2)="SL",IFERROR(VLOOKUP(Sync!$W1486,OpTbl,3,0),"")="فروش"),UPPER(TRIM(Sync!$X1486)),""))</f>
        <v/>
      </c>
      <c r="H1490">
        <f>IF($G1490="","",IF(Sync!$W1486="","",Sync!$W1486))</f>
        <v/>
      </c>
      <c r="I1490">
        <f>IF(OR($G1490="",Sync!$Y1486=""),"",Sync!$Y1486)</f>
        <v/>
      </c>
      <c r="J1490">
        <f>IF(OR($G1490="",Sync!$Z1486=""),"",Sync!$Z1486)</f>
        <v/>
      </c>
      <c r="K1490">
        <f>IF($G1490="",0,IF(Sync!$AA1486="",0,Sync!$AA1486))</f>
        <v/>
      </c>
      <c r="L1490">
        <f>IF($G1490="",0,IF(Sync!$AB1486="",0,Sync!$AB1486))</f>
        <v/>
      </c>
      <c r="M1490">
        <f>IF($G1490="","",IF($H1490="مرجوعی فروش",-1,1)*($K1490-$L1490*IFERROR(VLOOKUP("P01",ParamTbl,3,0),1.5)))</f>
        <v/>
      </c>
      <c r="N1490">
        <f>IF($G1490="",0,IF($H1490="مرجوعی فروش",-1,1)*IF(Sync!$AC1486="",0,Sync!$AC1486))</f>
        <v/>
      </c>
      <c r="O1490">
        <f>IF(OR($G1490="",Sync!$V1486=""),"",Sync!$V1486)</f>
        <v/>
      </c>
      <c r="P1490">
        <f>IF(OR($G1490="",Sync!$AD1486=""),"",Sync!$AD1486)</f>
        <v/>
      </c>
      <c r="Q1490">
        <f>IF($G1490="","",IF(Sync!$U1486="","0000",IF(AND(ISNUMBER(Sync!$U1486),Sync!$U1486&gt;=0,Sync!$U1486&lt;1),RIGHT("00"&amp;HOUR(Sync!$U1486),2)&amp;RIGHT("00"&amp;MINUTE(Sync!$U1486),2),IFERROR(RIGHT("00"&amp;VALUE(LEFT(Sync!$U1486,FIND(":",Sync!$U1486)-1)),2)&amp;RIGHT("00"&amp;VALUE(MID(Sync!$U1486,FIND(":",Sync!$U1486)+1,2)),2),"0000"))))</f>
        <v/>
      </c>
    </row>
    <row r="1491">
      <c r="A1491">
        <f>IF(Sync!$T1487="","",Sync!$T1487)</f>
        <v/>
      </c>
      <c r="B1491">
        <f>IF($A1491="","",IF(ISNUMBER($A1491),IF(AND($A1491&gt;=10000101,$A1491&lt;=99991231),INT($A1491/10000),""),IFERROR(VALUE(TRIM(LEFT($A1491,FIND("/",$A1491)-1))),"")))</f>
        <v/>
      </c>
      <c r="C1491">
        <f>IF(OR($A1491="",$B1491=""),"",IF(ISNUMBER($A1491),INT(MOD($A1491,10000)/100),IFERROR(VALUE(TRIM(LEFT(MID($A1491,FIND("/",$A1491)+1,20),FIND("/",MID($A1491,FIND("/",$A1491)+1,20))-1))),"")))</f>
        <v/>
      </c>
      <c r="D1491">
        <f>IF(OR($A1491="",$B1491=""),"",IF(ISNUMBER($A1491),MOD($A1491,100),IFERROR(VALUE(TRIM(MID(MID($A1491,FIND("/",$A1491)+1,20),FIND("/",MID($A1491,FIND("/",$A1491)+1,20))+1,20))),"")))</f>
        <v/>
      </c>
      <c r="E1491">
        <f>IF($A1491="","",IF(OR($B1491="",$C1491="",$D1491="",$B1491&lt;1300,$B1491&gt;1500,$C1491&lt;1,$C1491&gt;12,$D1491&lt;1,$D1491&gt;31),"نامعتبر",RIGHT("0000"&amp;$B1491,4)&amp;"/"&amp;RIGHT("00"&amp;$C1491,2)&amp;"/"&amp;RIGHT("00"&amp;$D1491,2)))</f>
        <v/>
      </c>
      <c r="F1491">
        <f>IF(OR($E1491="",$E1491="نامعتبر"),"",LEFT($E1491,4)&amp;"/"&amp;MID($E1491,6,2))</f>
        <v/>
      </c>
      <c r="G1491">
        <f>IF(OR($E1491="",$E1491="نامعتبر",Sync!$X1487=""),"",IF(AND(LEFT(UPPER(TRIM(Sync!$X1487)),2)="SL",IFERROR(VLOOKUP(Sync!$W1487,OpTbl,3,0),"")="فروش"),UPPER(TRIM(Sync!$X1487)),""))</f>
        <v/>
      </c>
      <c r="H1491">
        <f>IF($G1491="","",IF(Sync!$W1487="","",Sync!$W1487))</f>
        <v/>
      </c>
      <c r="I1491">
        <f>IF(OR($G1491="",Sync!$Y1487=""),"",Sync!$Y1487)</f>
        <v/>
      </c>
      <c r="J1491">
        <f>IF(OR($G1491="",Sync!$Z1487=""),"",Sync!$Z1487)</f>
        <v/>
      </c>
      <c r="K1491">
        <f>IF($G1491="",0,IF(Sync!$AA1487="",0,Sync!$AA1487))</f>
        <v/>
      </c>
      <c r="L1491">
        <f>IF($G1491="",0,IF(Sync!$AB1487="",0,Sync!$AB1487))</f>
        <v/>
      </c>
      <c r="M1491">
        <f>IF($G1491="","",IF($H1491="مرجوعی فروش",-1,1)*($K1491-$L1491*IFERROR(VLOOKUP("P01",ParamTbl,3,0),1.5)))</f>
        <v/>
      </c>
      <c r="N1491">
        <f>IF($G1491="",0,IF($H1491="مرجوعی فروش",-1,1)*IF(Sync!$AC1487="",0,Sync!$AC1487))</f>
        <v/>
      </c>
      <c r="O1491">
        <f>IF(OR($G1491="",Sync!$V1487=""),"",Sync!$V1487)</f>
        <v/>
      </c>
      <c r="P1491">
        <f>IF(OR($G1491="",Sync!$AD1487=""),"",Sync!$AD1487)</f>
        <v/>
      </c>
      <c r="Q1491">
        <f>IF($G1491="","",IF(Sync!$U1487="","0000",IF(AND(ISNUMBER(Sync!$U1487),Sync!$U1487&gt;=0,Sync!$U1487&lt;1),RIGHT("00"&amp;HOUR(Sync!$U1487),2)&amp;RIGHT("00"&amp;MINUTE(Sync!$U1487),2),IFERROR(RIGHT("00"&amp;VALUE(LEFT(Sync!$U1487,FIND(":",Sync!$U1487)-1)),2)&amp;RIGHT("00"&amp;VALUE(MID(Sync!$U1487,FIND(":",Sync!$U1487)+1,2)),2),"0000"))))</f>
        <v/>
      </c>
    </row>
    <row r="1492">
      <c r="A1492">
        <f>IF(Sync!$T1488="","",Sync!$T1488)</f>
        <v/>
      </c>
      <c r="B1492">
        <f>IF($A1492="","",IF(ISNUMBER($A1492),IF(AND($A1492&gt;=10000101,$A1492&lt;=99991231),INT($A1492/10000),""),IFERROR(VALUE(TRIM(LEFT($A1492,FIND("/",$A1492)-1))),"")))</f>
        <v/>
      </c>
      <c r="C1492">
        <f>IF(OR($A1492="",$B1492=""),"",IF(ISNUMBER($A1492),INT(MOD($A1492,10000)/100),IFERROR(VALUE(TRIM(LEFT(MID($A1492,FIND("/",$A1492)+1,20),FIND("/",MID($A1492,FIND("/",$A1492)+1,20))-1))),"")))</f>
        <v/>
      </c>
      <c r="D1492">
        <f>IF(OR($A1492="",$B1492=""),"",IF(ISNUMBER($A1492),MOD($A1492,100),IFERROR(VALUE(TRIM(MID(MID($A1492,FIND("/",$A1492)+1,20),FIND("/",MID($A1492,FIND("/",$A1492)+1,20))+1,20))),"")))</f>
        <v/>
      </c>
      <c r="E1492">
        <f>IF($A1492="","",IF(OR($B1492="",$C1492="",$D1492="",$B1492&lt;1300,$B1492&gt;1500,$C1492&lt;1,$C1492&gt;12,$D1492&lt;1,$D1492&gt;31),"نامعتبر",RIGHT("0000"&amp;$B1492,4)&amp;"/"&amp;RIGHT("00"&amp;$C1492,2)&amp;"/"&amp;RIGHT("00"&amp;$D1492,2)))</f>
        <v/>
      </c>
      <c r="F1492">
        <f>IF(OR($E1492="",$E1492="نامعتبر"),"",LEFT($E1492,4)&amp;"/"&amp;MID($E1492,6,2))</f>
        <v/>
      </c>
      <c r="G1492">
        <f>IF(OR($E1492="",$E1492="نامعتبر",Sync!$X1488=""),"",IF(AND(LEFT(UPPER(TRIM(Sync!$X1488)),2)="SL",IFERROR(VLOOKUP(Sync!$W1488,OpTbl,3,0),"")="فروش"),UPPER(TRIM(Sync!$X1488)),""))</f>
        <v/>
      </c>
      <c r="H1492">
        <f>IF($G1492="","",IF(Sync!$W1488="","",Sync!$W1488))</f>
        <v/>
      </c>
      <c r="I1492">
        <f>IF(OR($G1492="",Sync!$Y1488=""),"",Sync!$Y1488)</f>
        <v/>
      </c>
      <c r="J1492">
        <f>IF(OR($G1492="",Sync!$Z1488=""),"",Sync!$Z1488)</f>
        <v/>
      </c>
      <c r="K1492">
        <f>IF($G1492="",0,IF(Sync!$AA1488="",0,Sync!$AA1488))</f>
        <v/>
      </c>
      <c r="L1492">
        <f>IF($G1492="",0,IF(Sync!$AB1488="",0,Sync!$AB1488))</f>
        <v/>
      </c>
      <c r="M1492">
        <f>IF($G1492="","",IF($H1492="مرجوعی فروش",-1,1)*($K1492-$L1492*IFERROR(VLOOKUP("P01",ParamTbl,3,0),1.5)))</f>
        <v/>
      </c>
      <c r="N1492">
        <f>IF($G1492="",0,IF($H1492="مرجوعی فروش",-1,1)*IF(Sync!$AC1488="",0,Sync!$AC1488))</f>
        <v/>
      </c>
      <c r="O1492">
        <f>IF(OR($G1492="",Sync!$V1488=""),"",Sync!$V1488)</f>
        <v/>
      </c>
      <c r="P1492">
        <f>IF(OR($G1492="",Sync!$AD1488=""),"",Sync!$AD1488)</f>
        <v/>
      </c>
      <c r="Q1492">
        <f>IF($G1492="","",IF(Sync!$U1488="","0000",IF(AND(ISNUMBER(Sync!$U1488),Sync!$U1488&gt;=0,Sync!$U1488&lt;1),RIGHT("00"&amp;HOUR(Sync!$U1488),2)&amp;RIGHT("00"&amp;MINUTE(Sync!$U1488),2),IFERROR(RIGHT("00"&amp;VALUE(LEFT(Sync!$U1488,FIND(":",Sync!$U1488)-1)),2)&amp;RIGHT("00"&amp;VALUE(MID(Sync!$U1488,FIND(":",Sync!$U1488)+1,2)),2),"0000"))))</f>
        <v/>
      </c>
    </row>
    <row r="1493">
      <c r="A1493">
        <f>IF(Sync!$T1489="","",Sync!$T1489)</f>
        <v/>
      </c>
      <c r="B1493">
        <f>IF($A1493="","",IF(ISNUMBER($A1493),IF(AND($A1493&gt;=10000101,$A1493&lt;=99991231),INT($A1493/10000),""),IFERROR(VALUE(TRIM(LEFT($A1493,FIND("/",$A1493)-1))),"")))</f>
        <v/>
      </c>
      <c r="C1493">
        <f>IF(OR($A1493="",$B1493=""),"",IF(ISNUMBER($A1493),INT(MOD($A1493,10000)/100),IFERROR(VALUE(TRIM(LEFT(MID($A1493,FIND("/",$A1493)+1,20),FIND("/",MID($A1493,FIND("/",$A1493)+1,20))-1))),"")))</f>
        <v/>
      </c>
      <c r="D1493">
        <f>IF(OR($A1493="",$B1493=""),"",IF(ISNUMBER($A1493),MOD($A1493,100),IFERROR(VALUE(TRIM(MID(MID($A1493,FIND("/",$A1493)+1,20),FIND("/",MID($A1493,FIND("/",$A1493)+1,20))+1,20))),"")))</f>
        <v/>
      </c>
      <c r="E1493">
        <f>IF($A1493="","",IF(OR($B1493="",$C1493="",$D1493="",$B1493&lt;1300,$B1493&gt;1500,$C1493&lt;1,$C1493&gt;12,$D1493&lt;1,$D1493&gt;31),"نامعتبر",RIGHT("0000"&amp;$B1493,4)&amp;"/"&amp;RIGHT("00"&amp;$C1493,2)&amp;"/"&amp;RIGHT("00"&amp;$D1493,2)))</f>
        <v/>
      </c>
      <c r="F1493">
        <f>IF(OR($E1493="",$E1493="نامعتبر"),"",LEFT($E1493,4)&amp;"/"&amp;MID($E1493,6,2))</f>
        <v/>
      </c>
      <c r="G1493">
        <f>IF(OR($E1493="",$E1493="نامعتبر",Sync!$X1489=""),"",IF(AND(LEFT(UPPER(TRIM(Sync!$X1489)),2)="SL",IFERROR(VLOOKUP(Sync!$W1489,OpTbl,3,0),"")="فروش"),UPPER(TRIM(Sync!$X1489)),""))</f>
        <v/>
      </c>
      <c r="H1493">
        <f>IF($G1493="","",IF(Sync!$W1489="","",Sync!$W1489))</f>
        <v/>
      </c>
      <c r="I1493">
        <f>IF(OR($G1493="",Sync!$Y1489=""),"",Sync!$Y1489)</f>
        <v/>
      </c>
      <c r="J1493">
        <f>IF(OR($G1493="",Sync!$Z1489=""),"",Sync!$Z1489)</f>
        <v/>
      </c>
      <c r="K1493">
        <f>IF($G1493="",0,IF(Sync!$AA1489="",0,Sync!$AA1489))</f>
        <v/>
      </c>
      <c r="L1493">
        <f>IF($G1493="",0,IF(Sync!$AB1489="",0,Sync!$AB1489))</f>
        <v/>
      </c>
      <c r="M1493">
        <f>IF($G1493="","",IF($H1493="مرجوعی فروش",-1,1)*($K1493-$L1493*IFERROR(VLOOKUP("P01",ParamTbl,3,0),1.5)))</f>
        <v/>
      </c>
      <c r="N1493">
        <f>IF($G1493="",0,IF($H1493="مرجوعی فروش",-1,1)*IF(Sync!$AC1489="",0,Sync!$AC1489))</f>
        <v/>
      </c>
      <c r="O1493">
        <f>IF(OR($G1493="",Sync!$V1489=""),"",Sync!$V1489)</f>
        <v/>
      </c>
      <c r="P1493">
        <f>IF(OR($G1493="",Sync!$AD1489=""),"",Sync!$AD1489)</f>
        <v/>
      </c>
      <c r="Q1493">
        <f>IF($G1493="","",IF(Sync!$U1489="","0000",IF(AND(ISNUMBER(Sync!$U1489),Sync!$U1489&gt;=0,Sync!$U1489&lt;1),RIGHT("00"&amp;HOUR(Sync!$U1489),2)&amp;RIGHT("00"&amp;MINUTE(Sync!$U1489),2),IFERROR(RIGHT("00"&amp;VALUE(LEFT(Sync!$U1489,FIND(":",Sync!$U1489)-1)),2)&amp;RIGHT("00"&amp;VALUE(MID(Sync!$U1489,FIND(":",Sync!$U1489)+1,2)),2),"0000"))))</f>
        <v/>
      </c>
    </row>
    <row r="1494">
      <c r="A1494">
        <f>IF(Sync!$T1490="","",Sync!$T1490)</f>
        <v/>
      </c>
      <c r="B1494">
        <f>IF($A1494="","",IF(ISNUMBER($A1494),IF(AND($A1494&gt;=10000101,$A1494&lt;=99991231),INT($A1494/10000),""),IFERROR(VALUE(TRIM(LEFT($A1494,FIND("/",$A1494)-1))),"")))</f>
        <v/>
      </c>
      <c r="C1494">
        <f>IF(OR($A1494="",$B1494=""),"",IF(ISNUMBER($A1494),INT(MOD($A1494,10000)/100),IFERROR(VALUE(TRIM(LEFT(MID($A1494,FIND("/",$A1494)+1,20),FIND("/",MID($A1494,FIND("/",$A1494)+1,20))-1))),"")))</f>
        <v/>
      </c>
      <c r="D1494">
        <f>IF(OR($A1494="",$B1494=""),"",IF(ISNUMBER($A1494),MOD($A1494,100),IFERROR(VALUE(TRIM(MID(MID($A1494,FIND("/",$A1494)+1,20),FIND("/",MID($A1494,FIND("/",$A1494)+1,20))+1,20))),"")))</f>
        <v/>
      </c>
      <c r="E1494">
        <f>IF($A1494="","",IF(OR($B1494="",$C1494="",$D1494="",$B1494&lt;1300,$B1494&gt;1500,$C1494&lt;1,$C1494&gt;12,$D1494&lt;1,$D1494&gt;31),"نامعتبر",RIGHT("0000"&amp;$B1494,4)&amp;"/"&amp;RIGHT("00"&amp;$C1494,2)&amp;"/"&amp;RIGHT("00"&amp;$D1494,2)))</f>
        <v/>
      </c>
      <c r="F1494">
        <f>IF(OR($E1494="",$E1494="نامعتبر"),"",LEFT($E1494,4)&amp;"/"&amp;MID($E1494,6,2))</f>
        <v/>
      </c>
      <c r="G1494">
        <f>IF(OR($E1494="",$E1494="نامعتبر",Sync!$X1490=""),"",IF(AND(LEFT(UPPER(TRIM(Sync!$X1490)),2)="SL",IFERROR(VLOOKUP(Sync!$W1490,OpTbl,3,0),"")="فروش"),UPPER(TRIM(Sync!$X1490)),""))</f>
        <v/>
      </c>
      <c r="H1494">
        <f>IF($G1494="","",IF(Sync!$W1490="","",Sync!$W1490))</f>
        <v/>
      </c>
      <c r="I1494">
        <f>IF(OR($G1494="",Sync!$Y1490=""),"",Sync!$Y1490)</f>
        <v/>
      </c>
      <c r="J1494">
        <f>IF(OR($G1494="",Sync!$Z1490=""),"",Sync!$Z1490)</f>
        <v/>
      </c>
      <c r="K1494">
        <f>IF($G1494="",0,IF(Sync!$AA1490="",0,Sync!$AA1490))</f>
        <v/>
      </c>
      <c r="L1494">
        <f>IF($G1494="",0,IF(Sync!$AB1490="",0,Sync!$AB1490))</f>
        <v/>
      </c>
      <c r="M1494">
        <f>IF($G1494="","",IF($H1494="مرجوعی فروش",-1,1)*($K1494-$L1494*IFERROR(VLOOKUP("P01",ParamTbl,3,0),1.5)))</f>
        <v/>
      </c>
      <c r="N1494">
        <f>IF($G1494="",0,IF($H1494="مرجوعی فروش",-1,1)*IF(Sync!$AC1490="",0,Sync!$AC1490))</f>
        <v/>
      </c>
      <c r="O1494">
        <f>IF(OR($G1494="",Sync!$V1490=""),"",Sync!$V1490)</f>
        <v/>
      </c>
      <c r="P1494">
        <f>IF(OR($G1494="",Sync!$AD1490=""),"",Sync!$AD1490)</f>
        <v/>
      </c>
      <c r="Q1494">
        <f>IF($G1494="","",IF(Sync!$U1490="","0000",IF(AND(ISNUMBER(Sync!$U1490),Sync!$U1490&gt;=0,Sync!$U1490&lt;1),RIGHT("00"&amp;HOUR(Sync!$U1490),2)&amp;RIGHT("00"&amp;MINUTE(Sync!$U1490),2),IFERROR(RIGHT("00"&amp;VALUE(LEFT(Sync!$U1490,FIND(":",Sync!$U1490)-1)),2)&amp;RIGHT("00"&amp;VALUE(MID(Sync!$U1490,FIND(":",Sync!$U1490)+1,2)),2),"0000"))))</f>
        <v/>
      </c>
    </row>
    <row r="1495">
      <c r="A1495">
        <f>IF(Sync!$T1491="","",Sync!$T1491)</f>
        <v/>
      </c>
      <c r="B1495">
        <f>IF($A1495="","",IF(ISNUMBER($A1495),IF(AND($A1495&gt;=10000101,$A1495&lt;=99991231),INT($A1495/10000),""),IFERROR(VALUE(TRIM(LEFT($A1495,FIND("/",$A1495)-1))),"")))</f>
        <v/>
      </c>
      <c r="C1495">
        <f>IF(OR($A1495="",$B1495=""),"",IF(ISNUMBER($A1495),INT(MOD($A1495,10000)/100),IFERROR(VALUE(TRIM(LEFT(MID($A1495,FIND("/",$A1495)+1,20),FIND("/",MID($A1495,FIND("/",$A1495)+1,20))-1))),"")))</f>
        <v/>
      </c>
      <c r="D1495">
        <f>IF(OR($A1495="",$B1495=""),"",IF(ISNUMBER($A1495),MOD($A1495,100),IFERROR(VALUE(TRIM(MID(MID($A1495,FIND("/",$A1495)+1,20),FIND("/",MID($A1495,FIND("/",$A1495)+1,20))+1,20))),"")))</f>
        <v/>
      </c>
      <c r="E1495">
        <f>IF($A1495="","",IF(OR($B1495="",$C1495="",$D1495="",$B1495&lt;1300,$B1495&gt;1500,$C1495&lt;1,$C1495&gt;12,$D1495&lt;1,$D1495&gt;31),"نامعتبر",RIGHT("0000"&amp;$B1495,4)&amp;"/"&amp;RIGHT("00"&amp;$C1495,2)&amp;"/"&amp;RIGHT("00"&amp;$D1495,2)))</f>
        <v/>
      </c>
      <c r="F1495">
        <f>IF(OR($E1495="",$E1495="نامعتبر"),"",LEFT($E1495,4)&amp;"/"&amp;MID($E1495,6,2))</f>
        <v/>
      </c>
      <c r="G1495">
        <f>IF(OR($E1495="",$E1495="نامعتبر",Sync!$X1491=""),"",IF(AND(LEFT(UPPER(TRIM(Sync!$X1491)),2)="SL",IFERROR(VLOOKUP(Sync!$W1491,OpTbl,3,0),"")="فروش"),UPPER(TRIM(Sync!$X1491)),""))</f>
        <v/>
      </c>
      <c r="H1495">
        <f>IF($G1495="","",IF(Sync!$W1491="","",Sync!$W1491))</f>
        <v/>
      </c>
      <c r="I1495">
        <f>IF(OR($G1495="",Sync!$Y1491=""),"",Sync!$Y1491)</f>
        <v/>
      </c>
      <c r="J1495">
        <f>IF(OR($G1495="",Sync!$Z1491=""),"",Sync!$Z1491)</f>
        <v/>
      </c>
      <c r="K1495">
        <f>IF($G1495="",0,IF(Sync!$AA1491="",0,Sync!$AA1491))</f>
        <v/>
      </c>
      <c r="L1495">
        <f>IF($G1495="",0,IF(Sync!$AB1491="",0,Sync!$AB1491))</f>
        <v/>
      </c>
      <c r="M1495">
        <f>IF($G1495="","",IF($H1495="مرجوعی فروش",-1,1)*($K1495-$L1495*IFERROR(VLOOKUP("P01",ParamTbl,3,0),1.5)))</f>
        <v/>
      </c>
      <c r="N1495">
        <f>IF($G1495="",0,IF($H1495="مرجوعی فروش",-1,1)*IF(Sync!$AC1491="",0,Sync!$AC1491))</f>
        <v/>
      </c>
      <c r="O1495">
        <f>IF(OR($G1495="",Sync!$V1491=""),"",Sync!$V1491)</f>
        <v/>
      </c>
      <c r="P1495">
        <f>IF(OR($G1495="",Sync!$AD1491=""),"",Sync!$AD1491)</f>
        <v/>
      </c>
      <c r="Q1495">
        <f>IF($G1495="","",IF(Sync!$U1491="","0000",IF(AND(ISNUMBER(Sync!$U1491),Sync!$U1491&gt;=0,Sync!$U1491&lt;1),RIGHT("00"&amp;HOUR(Sync!$U1491),2)&amp;RIGHT("00"&amp;MINUTE(Sync!$U1491),2),IFERROR(RIGHT("00"&amp;VALUE(LEFT(Sync!$U1491,FIND(":",Sync!$U1491)-1)),2)&amp;RIGHT("00"&amp;VALUE(MID(Sync!$U1491,FIND(":",Sync!$U1491)+1,2)),2),"0000"))))</f>
        <v/>
      </c>
    </row>
    <row r="1496">
      <c r="A1496">
        <f>IF(Sync!$T1492="","",Sync!$T1492)</f>
        <v/>
      </c>
      <c r="B1496">
        <f>IF($A1496="","",IF(ISNUMBER($A1496),IF(AND($A1496&gt;=10000101,$A1496&lt;=99991231),INT($A1496/10000),""),IFERROR(VALUE(TRIM(LEFT($A1496,FIND("/",$A1496)-1))),"")))</f>
        <v/>
      </c>
      <c r="C1496">
        <f>IF(OR($A1496="",$B1496=""),"",IF(ISNUMBER($A1496),INT(MOD($A1496,10000)/100),IFERROR(VALUE(TRIM(LEFT(MID($A1496,FIND("/",$A1496)+1,20),FIND("/",MID($A1496,FIND("/",$A1496)+1,20))-1))),"")))</f>
        <v/>
      </c>
      <c r="D1496">
        <f>IF(OR($A1496="",$B1496=""),"",IF(ISNUMBER($A1496),MOD($A1496,100),IFERROR(VALUE(TRIM(MID(MID($A1496,FIND("/",$A1496)+1,20),FIND("/",MID($A1496,FIND("/",$A1496)+1,20))+1,20))),"")))</f>
        <v/>
      </c>
      <c r="E1496">
        <f>IF($A1496="","",IF(OR($B1496="",$C1496="",$D1496="",$B1496&lt;1300,$B1496&gt;1500,$C1496&lt;1,$C1496&gt;12,$D1496&lt;1,$D1496&gt;31),"نامعتبر",RIGHT("0000"&amp;$B1496,4)&amp;"/"&amp;RIGHT("00"&amp;$C1496,2)&amp;"/"&amp;RIGHT("00"&amp;$D1496,2)))</f>
        <v/>
      </c>
      <c r="F1496">
        <f>IF(OR($E1496="",$E1496="نامعتبر"),"",LEFT($E1496,4)&amp;"/"&amp;MID($E1496,6,2))</f>
        <v/>
      </c>
      <c r="G1496">
        <f>IF(OR($E1496="",$E1496="نامعتبر",Sync!$X1492=""),"",IF(AND(LEFT(UPPER(TRIM(Sync!$X1492)),2)="SL",IFERROR(VLOOKUP(Sync!$W1492,OpTbl,3,0),"")="فروش"),UPPER(TRIM(Sync!$X1492)),""))</f>
        <v/>
      </c>
      <c r="H1496">
        <f>IF($G1496="","",IF(Sync!$W1492="","",Sync!$W1492))</f>
        <v/>
      </c>
      <c r="I1496">
        <f>IF(OR($G1496="",Sync!$Y1492=""),"",Sync!$Y1492)</f>
        <v/>
      </c>
      <c r="J1496">
        <f>IF(OR($G1496="",Sync!$Z1492=""),"",Sync!$Z1492)</f>
        <v/>
      </c>
      <c r="K1496">
        <f>IF($G1496="",0,IF(Sync!$AA1492="",0,Sync!$AA1492))</f>
        <v/>
      </c>
      <c r="L1496">
        <f>IF($G1496="",0,IF(Sync!$AB1492="",0,Sync!$AB1492))</f>
        <v/>
      </c>
      <c r="M1496">
        <f>IF($G1496="","",IF($H1496="مرجوعی فروش",-1,1)*($K1496-$L1496*IFERROR(VLOOKUP("P01",ParamTbl,3,0),1.5)))</f>
        <v/>
      </c>
      <c r="N1496">
        <f>IF($G1496="",0,IF($H1496="مرجوعی فروش",-1,1)*IF(Sync!$AC1492="",0,Sync!$AC1492))</f>
        <v/>
      </c>
      <c r="O1496">
        <f>IF(OR($G1496="",Sync!$V1492=""),"",Sync!$V1492)</f>
        <v/>
      </c>
      <c r="P1496">
        <f>IF(OR($G1496="",Sync!$AD1492=""),"",Sync!$AD1492)</f>
        <v/>
      </c>
      <c r="Q1496">
        <f>IF($G1496="","",IF(Sync!$U1492="","0000",IF(AND(ISNUMBER(Sync!$U1492),Sync!$U1492&gt;=0,Sync!$U1492&lt;1),RIGHT("00"&amp;HOUR(Sync!$U1492),2)&amp;RIGHT("00"&amp;MINUTE(Sync!$U1492),2),IFERROR(RIGHT("00"&amp;VALUE(LEFT(Sync!$U1492,FIND(":",Sync!$U1492)-1)),2)&amp;RIGHT("00"&amp;VALUE(MID(Sync!$U1492,FIND(":",Sync!$U1492)+1,2)),2),"0000"))))</f>
        <v/>
      </c>
    </row>
    <row r="1497">
      <c r="A1497">
        <f>IF(Sync!$T1493="","",Sync!$T1493)</f>
        <v/>
      </c>
      <c r="B1497">
        <f>IF($A1497="","",IF(ISNUMBER($A1497),IF(AND($A1497&gt;=10000101,$A1497&lt;=99991231),INT($A1497/10000),""),IFERROR(VALUE(TRIM(LEFT($A1497,FIND("/",$A1497)-1))),"")))</f>
        <v/>
      </c>
      <c r="C1497">
        <f>IF(OR($A1497="",$B1497=""),"",IF(ISNUMBER($A1497),INT(MOD($A1497,10000)/100),IFERROR(VALUE(TRIM(LEFT(MID($A1497,FIND("/",$A1497)+1,20),FIND("/",MID($A1497,FIND("/",$A1497)+1,20))-1))),"")))</f>
        <v/>
      </c>
      <c r="D1497">
        <f>IF(OR($A1497="",$B1497=""),"",IF(ISNUMBER($A1497),MOD($A1497,100),IFERROR(VALUE(TRIM(MID(MID($A1497,FIND("/",$A1497)+1,20),FIND("/",MID($A1497,FIND("/",$A1497)+1,20))+1,20))),"")))</f>
        <v/>
      </c>
      <c r="E1497">
        <f>IF($A1497="","",IF(OR($B1497="",$C1497="",$D1497="",$B1497&lt;1300,$B1497&gt;1500,$C1497&lt;1,$C1497&gt;12,$D1497&lt;1,$D1497&gt;31),"نامعتبر",RIGHT("0000"&amp;$B1497,4)&amp;"/"&amp;RIGHT("00"&amp;$C1497,2)&amp;"/"&amp;RIGHT("00"&amp;$D1497,2)))</f>
        <v/>
      </c>
      <c r="F1497">
        <f>IF(OR($E1497="",$E1497="نامعتبر"),"",LEFT($E1497,4)&amp;"/"&amp;MID($E1497,6,2))</f>
        <v/>
      </c>
      <c r="G1497">
        <f>IF(OR($E1497="",$E1497="نامعتبر",Sync!$X1493=""),"",IF(AND(LEFT(UPPER(TRIM(Sync!$X1493)),2)="SL",IFERROR(VLOOKUP(Sync!$W1493,OpTbl,3,0),"")="فروش"),UPPER(TRIM(Sync!$X1493)),""))</f>
        <v/>
      </c>
      <c r="H1497">
        <f>IF($G1497="","",IF(Sync!$W1493="","",Sync!$W1493))</f>
        <v/>
      </c>
      <c r="I1497">
        <f>IF(OR($G1497="",Sync!$Y1493=""),"",Sync!$Y1493)</f>
        <v/>
      </c>
      <c r="J1497">
        <f>IF(OR($G1497="",Sync!$Z1493=""),"",Sync!$Z1493)</f>
        <v/>
      </c>
      <c r="K1497">
        <f>IF($G1497="",0,IF(Sync!$AA1493="",0,Sync!$AA1493))</f>
        <v/>
      </c>
      <c r="L1497">
        <f>IF($G1497="",0,IF(Sync!$AB1493="",0,Sync!$AB1493))</f>
        <v/>
      </c>
      <c r="M1497">
        <f>IF($G1497="","",IF($H1497="مرجوعی فروش",-1,1)*($K1497-$L1497*IFERROR(VLOOKUP("P01",ParamTbl,3,0),1.5)))</f>
        <v/>
      </c>
      <c r="N1497">
        <f>IF($G1497="",0,IF($H1497="مرجوعی فروش",-1,1)*IF(Sync!$AC1493="",0,Sync!$AC1493))</f>
        <v/>
      </c>
      <c r="O1497">
        <f>IF(OR($G1497="",Sync!$V1493=""),"",Sync!$V1493)</f>
        <v/>
      </c>
      <c r="P1497">
        <f>IF(OR($G1497="",Sync!$AD1493=""),"",Sync!$AD1493)</f>
        <v/>
      </c>
      <c r="Q1497">
        <f>IF($G1497="","",IF(Sync!$U1493="","0000",IF(AND(ISNUMBER(Sync!$U1493),Sync!$U1493&gt;=0,Sync!$U1493&lt;1),RIGHT("00"&amp;HOUR(Sync!$U1493),2)&amp;RIGHT("00"&amp;MINUTE(Sync!$U1493),2),IFERROR(RIGHT("00"&amp;VALUE(LEFT(Sync!$U1493,FIND(":",Sync!$U1493)-1)),2)&amp;RIGHT("00"&amp;VALUE(MID(Sync!$U1493,FIND(":",Sync!$U1493)+1,2)),2),"0000"))))</f>
        <v/>
      </c>
    </row>
    <row r="1498">
      <c r="A1498">
        <f>IF(Sync!$T1494="","",Sync!$T1494)</f>
        <v/>
      </c>
      <c r="B1498">
        <f>IF($A1498="","",IF(ISNUMBER($A1498),IF(AND($A1498&gt;=10000101,$A1498&lt;=99991231),INT($A1498/10000),""),IFERROR(VALUE(TRIM(LEFT($A1498,FIND("/",$A1498)-1))),"")))</f>
        <v/>
      </c>
      <c r="C1498">
        <f>IF(OR($A1498="",$B1498=""),"",IF(ISNUMBER($A1498),INT(MOD($A1498,10000)/100),IFERROR(VALUE(TRIM(LEFT(MID($A1498,FIND("/",$A1498)+1,20),FIND("/",MID($A1498,FIND("/",$A1498)+1,20))-1))),"")))</f>
        <v/>
      </c>
      <c r="D1498">
        <f>IF(OR($A1498="",$B1498=""),"",IF(ISNUMBER($A1498),MOD($A1498,100),IFERROR(VALUE(TRIM(MID(MID($A1498,FIND("/",$A1498)+1,20),FIND("/",MID($A1498,FIND("/",$A1498)+1,20))+1,20))),"")))</f>
        <v/>
      </c>
      <c r="E1498">
        <f>IF($A1498="","",IF(OR($B1498="",$C1498="",$D1498="",$B1498&lt;1300,$B1498&gt;1500,$C1498&lt;1,$C1498&gt;12,$D1498&lt;1,$D1498&gt;31),"نامعتبر",RIGHT("0000"&amp;$B1498,4)&amp;"/"&amp;RIGHT("00"&amp;$C1498,2)&amp;"/"&amp;RIGHT("00"&amp;$D1498,2)))</f>
        <v/>
      </c>
      <c r="F1498">
        <f>IF(OR($E1498="",$E1498="نامعتبر"),"",LEFT($E1498,4)&amp;"/"&amp;MID($E1498,6,2))</f>
        <v/>
      </c>
      <c r="G1498">
        <f>IF(OR($E1498="",$E1498="نامعتبر",Sync!$X1494=""),"",IF(AND(LEFT(UPPER(TRIM(Sync!$X1494)),2)="SL",IFERROR(VLOOKUP(Sync!$W1494,OpTbl,3,0),"")="فروش"),UPPER(TRIM(Sync!$X1494)),""))</f>
        <v/>
      </c>
      <c r="H1498">
        <f>IF($G1498="","",IF(Sync!$W1494="","",Sync!$W1494))</f>
        <v/>
      </c>
      <c r="I1498">
        <f>IF(OR($G1498="",Sync!$Y1494=""),"",Sync!$Y1494)</f>
        <v/>
      </c>
      <c r="J1498">
        <f>IF(OR($G1498="",Sync!$Z1494=""),"",Sync!$Z1494)</f>
        <v/>
      </c>
      <c r="K1498">
        <f>IF($G1498="",0,IF(Sync!$AA1494="",0,Sync!$AA1494))</f>
        <v/>
      </c>
      <c r="L1498">
        <f>IF($G1498="",0,IF(Sync!$AB1494="",0,Sync!$AB1494))</f>
        <v/>
      </c>
      <c r="M1498">
        <f>IF($G1498="","",IF($H1498="مرجوعی فروش",-1,1)*($K1498-$L1498*IFERROR(VLOOKUP("P01",ParamTbl,3,0),1.5)))</f>
        <v/>
      </c>
      <c r="N1498">
        <f>IF($G1498="",0,IF($H1498="مرجوعی فروش",-1,1)*IF(Sync!$AC1494="",0,Sync!$AC1494))</f>
        <v/>
      </c>
      <c r="O1498">
        <f>IF(OR($G1498="",Sync!$V1494=""),"",Sync!$V1494)</f>
        <v/>
      </c>
      <c r="P1498">
        <f>IF(OR($G1498="",Sync!$AD1494=""),"",Sync!$AD1494)</f>
        <v/>
      </c>
      <c r="Q1498">
        <f>IF($G1498="","",IF(Sync!$U1494="","0000",IF(AND(ISNUMBER(Sync!$U1494),Sync!$U1494&gt;=0,Sync!$U1494&lt;1),RIGHT("00"&amp;HOUR(Sync!$U1494),2)&amp;RIGHT("00"&amp;MINUTE(Sync!$U1494),2),IFERROR(RIGHT("00"&amp;VALUE(LEFT(Sync!$U1494,FIND(":",Sync!$U1494)-1)),2)&amp;RIGHT("00"&amp;VALUE(MID(Sync!$U1494,FIND(":",Sync!$U1494)+1,2)),2),"0000"))))</f>
        <v/>
      </c>
    </row>
    <row r="1499">
      <c r="A1499">
        <f>IF(Sync!$T1495="","",Sync!$T1495)</f>
        <v/>
      </c>
      <c r="B1499">
        <f>IF($A1499="","",IF(ISNUMBER($A1499),IF(AND($A1499&gt;=10000101,$A1499&lt;=99991231),INT($A1499/10000),""),IFERROR(VALUE(TRIM(LEFT($A1499,FIND("/",$A1499)-1))),"")))</f>
        <v/>
      </c>
      <c r="C1499">
        <f>IF(OR($A1499="",$B1499=""),"",IF(ISNUMBER($A1499),INT(MOD($A1499,10000)/100),IFERROR(VALUE(TRIM(LEFT(MID($A1499,FIND("/",$A1499)+1,20),FIND("/",MID($A1499,FIND("/",$A1499)+1,20))-1))),"")))</f>
        <v/>
      </c>
      <c r="D1499">
        <f>IF(OR($A1499="",$B1499=""),"",IF(ISNUMBER($A1499),MOD($A1499,100),IFERROR(VALUE(TRIM(MID(MID($A1499,FIND("/",$A1499)+1,20),FIND("/",MID($A1499,FIND("/",$A1499)+1,20))+1,20))),"")))</f>
        <v/>
      </c>
      <c r="E1499">
        <f>IF($A1499="","",IF(OR($B1499="",$C1499="",$D1499="",$B1499&lt;1300,$B1499&gt;1500,$C1499&lt;1,$C1499&gt;12,$D1499&lt;1,$D1499&gt;31),"نامعتبر",RIGHT("0000"&amp;$B1499,4)&amp;"/"&amp;RIGHT("00"&amp;$C1499,2)&amp;"/"&amp;RIGHT("00"&amp;$D1499,2)))</f>
        <v/>
      </c>
      <c r="F1499">
        <f>IF(OR($E1499="",$E1499="نامعتبر"),"",LEFT($E1499,4)&amp;"/"&amp;MID($E1499,6,2))</f>
        <v/>
      </c>
      <c r="G1499">
        <f>IF(OR($E1499="",$E1499="نامعتبر",Sync!$X1495=""),"",IF(AND(LEFT(UPPER(TRIM(Sync!$X1495)),2)="SL",IFERROR(VLOOKUP(Sync!$W1495,OpTbl,3,0),"")="فروش"),UPPER(TRIM(Sync!$X1495)),""))</f>
        <v/>
      </c>
      <c r="H1499">
        <f>IF($G1499="","",IF(Sync!$W1495="","",Sync!$W1495))</f>
        <v/>
      </c>
      <c r="I1499">
        <f>IF(OR($G1499="",Sync!$Y1495=""),"",Sync!$Y1495)</f>
        <v/>
      </c>
      <c r="J1499">
        <f>IF(OR($G1499="",Sync!$Z1495=""),"",Sync!$Z1495)</f>
        <v/>
      </c>
      <c r="K1499">
        <f>IF($G1499="",0,IF(Sync!$AA1495="",0,Sync!$AA1495))</f>
        <v/>
      </c>
      <c r="L1499">
        <f>IF($G1499="",0,IF(Sync!$AB1495="",0,Sync!$AB1495))</f>
        <v/>
      </c>
      <c r="M1499">
        <f>IF($G1499="","",IF($H1499="مرجوعی فروش",-1,1)*($K1499-$L1499*IFERROR(VLOOKUP("P01",ParamTbl,3,0),1.5)))</f>
        <v/>
      </c>
      <c r="N1499">
        <f>IF($G1499="",0,IF($H1499="مرجوعی فروش",-1,1)*IF(Sync!$AC1495="",0,Sync!$AC1495))</f>
        <v/>
      </c>
      <c r="O1499">
        <f>IF(OR($G1499="",Sync!$V1495=""),"",Sync!$V1495)</f>
        <v/>
      </c>
      <c r="P1499">
        <f>IF(OR($G1499="",Sync!$AD1495=""),"",Sync!$AD1495)</f>
        <v/>
      </c>
      <c r="Q1499">
        <f>IF($G1499="","",IF(Sync!$U1495="","0000",IF(AND(ISNUMBER(Sync!$U1495),Sync!$U1495&gt;=0,Sync!$U1495&lt;1),RIGHT("00"&amp;HOUR(Sync!$U1495),2)&amp;RIGHT("00"&amp;MINUTE(Sync!$U1495),2),IFERROR(RIGHT("00"&amp;VALUE(LEFT(Sync!$U1495,FIND(":",Sync!$U1495)-1)),2)&amp;RIGHT("00"&amp;VALUE(MID(Sync!$U1495,FIND(":",Sync!$U1495)+1,2)),2),"0000"))))</f>
        <v/>
      </c>
    </row>
    <row r="1500">
      <c r="A1500">
        <f>IF(Sync!$T1496="","",Sync!$T1496)</f>
        <v/>
      </c>
      <c r="B1500">
        <f>IF($A1500="","",IF(ISNUMBER($A1500),IF(AND($A1500&gt;=10000101,$A1500&lt;=99991231),INT($A1500/10000),""),IFERROR(VALUE(TRIM(LEFT($A1500,FIND("/",$A1500)-1))),"")))</f>
        <v/>
      </c>
      <c r="C1500">
        <f>IF(OR($A1500="",$B1500=""),"",IF(ISNUMBER($A1500),INT(MOD($A1500,10000)/100),IFERROR(VALUE(TRIM(LEFT(MID($A1500,FIND("/",$A1500)+1,20),FIND("/",MID($A1500,FIND("/",$A1500)+1,20))-1))),"")))</f>
        <v/>
      </c>
      <c r="D1500">
        <f>IF(OR($A1500="",$B1500=""),"",IF(ISNUMBER($A1500),MOD($A1500,100),IFERROR(VALUE(TRIM(MID(MID($A1500,FIND("/",$A1500)+1,20),FIND("/",MID($A1500,FIND("/",$A1500)+1,20))+1,20))),"")))</f>
        <v/>
      </c>
      <c r="E1500">
        <f>IF($A1500="","",IF(OR($B1500="",$C1500="",$D1500="",$B1500&lt;1300,$B1500&gt;1500,$C1500&lt;1,$C1500&gt;12,$D1500&lt;1,$D1500&gt;31),"نامعتبر",RIGHT("0000"&amp;$B1500,4)&amp;"/"&amp;RIGHT("00"&amp;$C1500,2)&amp;"/"&amp;RIGHT("00"&amp;$D1500,2)))</f>
        <v/>
      </c>
      <c r="F1500">
        <f>IF(OR($E1500="",$E1500="نامعتبر"),"",LEFT($E1500,4)&amp;"/"&amp;MID($E1500,6,2))</f>
        <v/>
      </c>
      <c r="G1500">
        <f>IF(OR($E1500="",$E1500="نامعتبر",Sync!$X1496=""),"",IF(AND(LEFT(UPPER(TRIM(Sync!$X1496)),2)="SL",IFERROR(VLOOKUP(Sync!$W1496,OpTbl,3,0),"")="فروش"),UPPER(TRIM(Sync!$X1496)),""))</f>
        <v/>
      </c>
      <c r="H1500">
        <f>IF($G1500="","",IF(Sync!$W1496="","",Sync!$W1496))</f>
        <v/>
      </c>
      <c r="I1500">
        <f>IF(OR($G1500="",Sync!$Y1496=""),"",Sync!$Y1496)</f>
        <v/>
      </c>
      <c r="J1500">
        <f>IF(OR($G1500="",Sync!$Z1496=""),"",Sync!$Z1496)</f>
        <v/>
      </c>
      <c r="K1500">
        <f>IF($G1500="",0,IF(Sync!$AA1496="",0,Sync!$AA1496))</f>
        <v/>
      </c>
      <c r="L1500">
        <f>IF($G1500="",0,IF(Sync!$AB1496="",0,Sync!$AB1496))</f>
        <v/>
      </c>
      <c r="M1500">
        <f>IF($G1500="","",IF($H1500="مرجوعی فروش",-1,1)*($K1500-$L1500*IFERROR(VLOOKUP("P01",ParamTbl,3,0),1.5)))</f>
        <v/>
      </c>
      <c r="N1500">
        <f>IF($G1500="",0,IF($H1500="مرجوعی فروش",-1,1)*IF(Sync!$AC1496="",0,Sync!$AC1496))</f>
        <v/>
      </c>
      <c r="O1500">
        <f>IF(OR($G1500="",Sync!$V1496=""),"",Sync!$V1496)</f>
        <v/>
      </c>
      <c r="P1500">
        <f>IF(OR($G1500="",Sync!$AD1496=""),"",Sync!$AD1496)</f>
        <v/>
      </c>
      <c r="Q1500">
        <f>IF($G1500="","",IF(Sync!$U1496="","0000",IF(AND(ISNUMBER(Sync!$U1496),Sync!$U1496&gt;=0,Sync!$U1496&lt;1),RIGHT("00"&amp;HOUR(Sync!$U1496),2)&amp;RIGHT("00"&amp;MINUTE(Sync!$U1496),2),IFERROR(RIGHT("00"&amp;VALUE(LEFT(Sync!$U1496,FIND(":",Sync!$U1496)-1)),2)&amp;RIGHT("00"&amp;VALUE(MID(Sync!$U1496,FIND(":",Sync!$U1496)+1,2)),2),"0000"))))</f>
        <v/>
      </c>
    </row>
    <row r="1501">
      <c r="A1501">
        <f>IF(Sync!$T1497="","",Sync!$T1497)</f>
        <v/>
      </c>
      <c r="B1501">
        <f>IF($A1501="","",IF(ISNUMBER($A1501),IF(AND($A1501&gt;=10000101,$A1501&lt;=99991231),INT($A1501/10000),""),IFERROR(VALUE(TRIM(LEFT($A1501,FIND("/",$A1501)-1))),"")))</f>
        <v/>
      </c>
      <c r="C1501">
        <f>IF(OR($A1501="",$B1501=""),"",IF(ISNUMBER($A1501),INT(MOD($A1501,10000)/100),IFERROR(VALUE(TRIM(LEFT(MID($A1501,FIND("/",$A1501)+1,20),FIND("/",MID($A1501,FIND("/",$A1501)+1,20))-1))),"")))</f>
        <v/>
      </c>
      <c r="D1501">
        <f>IF(OR($A1501="",$B1501=""),"",IF(ISNUMBER($A1501),MOD($A1501,100),IFERROR(VALUE(TRIM(MID(MID($A1501,FIND("/",$A1501)+1,20),FIND("/",MID($A1501,FIND("/",$A1501)+1,20))+1,20))),"")))</f>
        <v/>
      </c>
      <c r="E1501">
        <f>IF($A1501="","",IF(OR($B1501="",$C1501="",$D1501="",$B1501&lt;1300,$B1501&gt;1500,$C1501&lt;1,$C1501&gt;12,$D1501&lt;1,$D1501&gt;31),"نامعتبر",RIGHT("0000"&amp;$B1501,4)&amp;"/"&amp;RIGHT("00"&amp;$C1501,2)&amp;"/"&amp;RIGHT("00"&amp;$D1501,2)))</f>
        <v/>
      </c>
      <c r="F1501">
        <f>IF(OR($E1501="",$E1501="نامعتبر"),"",LEFT($E1501,4)&amp;"/"&amp;MID($E1501,6,2))</f>
        <v/>
      </c>
      <c r="G1501">
        <f>IF(OR($E1501="",$E1501="نامعتبر",Sync!$X1497=""),"",IF(AND(LEFT(UPPER(TRIM(Sync!$X1497)),2)="SL",IFERROR(VLOOKUP(Sync!$W1497,OpTbl,3,0),"")="فروش"),UPPER(TRIM(Sync!$X1497)),""))</f>
        <v/>
      </c>
      <c r="H1501">
        <f>IF($G1501="","",IF(Sync!$W1497="","",Sync!$W1497))</f>
        <v/>
      </c>
      <c r="I1501">
        <f>IF(OR($G1501="",Sync!$Y1497=""),"",Sync!$Y1497)</f>
        <v/>
      </c>
      <c r="J1501">
        <f>IF(OR($G1501="",Sync!$Z1497=""),"",Sync!$Z1497)</f>
        <v/>
      </c>
      <c r="K1501">
        <f>IF($G1501="",0,IF(Sync!$AA1497="",0,Sync!$AA1497))</f>
        <v/>
      </c>
      <c r="L1501">
        <f>IF($G1501="",0,IF(Sync!$AB1497="",0,Sync!$AB1497))</f>
        <v/>
      </c>
      <c r="M1501">
        <f>IF($G1501="","",IF($H1501="مرجوعی فروش",-1,1)*($K1501-$L1501*IFERROR(VLOOKUP("P01",ParamTbl,3,0),1.5)))</f>
        <v/>
      </c>
      <c r="N1501">
        <f>IF($G1501="",0,IF($H1501="مرجوعی فروش",-1,1)*IF(Sync!$AC1497="",0,Sync!$AC1497))</f>
        <v/>
      </c>
      <c r="O1501">
        <f>IF(OR($G1501="",Sync!$V1497=""),"",Sync!$V1497)</f>
        <v/>
      </c>
      <c r="P1501">
        <f>IF(OR($G1501="",Sync!$AD1497=""),"",Sync!$AD1497)</f>
        <v/>
      </c>
      <c r="Q1501">
        <f>IF($G1501="","",IF(Sync!$U1497="","0000",IF(AND(ISNUMBER(Sync!$U1497),Sync!$U1497&gt;=0,Sync!$U1497&lt;1),RIGHT("00"&amp;HOUR(Sync!$U1497),2)&amp;RIGHT("00"&amp;MINUTE(Sync!$U1497),2),IFERROR(RIGHT("00"&amp;VALUE(LEFT(Sync!$U1497,FIND(":",Sync!$U1497)-1)),2)&amp;RIGHT("00"&amp;VALUE(MID(Sync!$U1497,FIND(":",Sync!$U1497)+1,2)),2),"0000"))))</f>
        <v/>
      </c>
    </row>
    <row r="1502">
      <c r="A1502">
        <f>IF(Sync!$T1498="","",Sync!$T1498)</f>
        <v/>
      </c>
      <c r="B1502">
        <f>IF($A1502="","",IF(ISNUMBER($A1502),IF(AND($A1502&gt;=10000101,$A1502&lt;=99991231),INT($A1502/10000),""),IFERROR(VALUE(TRIM(LEFT($A1502,FIND("/",$A1502)-1))),"")))</f>
        <v/>
      </c>
      <c r="C1502">
        <f>IF(OR($A1502="",$B1502=""),"",IF(ISNUMBER($A1502),INT(MOD($A1502,10000)/100),IFERROR(VALUE(TRIM(LEFT(MID($A1502,FIND("/",$A1502)+1,20),FIND("/",MID($A1502,FIND("/",$A1502)+1,20))-1))),"")))</f>
        <v/>
      </c>
      <c r="D1502">
        <f>IF(OR($A1502="",$B1502=""),"",IF(ISNUMBER($A1502),MOD($A1502,100),IFERROR(VALUE(TRIM(MID(MID($A1502,FIND("/",$A1502)+1,20),FIND("/",MID($A1502,FIND("/",$A1502)+1,20))+1,20))),"")))</f>
        <v/>
      </c>
      <c r="E1502">
        <f>IF($A1502="","",IF(OR($B1502="",$C1502="",$D1502="",$B1502&lt;1300,$B1502&gt;1500,$C1502&lt;1,$C1502&gt;12,$D1502&lt;1,$D1502&gt;31),"نامعتبر",RIGHT("0000"&amp;$B1502,4)&amp;"/"&amp;RIGHT("00"&amp;$C1502,2)&amp;"/"&amp;RIGHT("00"&amp;$D1502,2)))</f>
        <v/>
      </c>
      <c r="F1502">
        <f>IF(OR($E1502="",$E1502="نامعتبر"),"",LEFT($E1502,4)&amp;"/"&amp;MID($E1502,6,2))</f>
        <v/>
      </c>
      <c r="G1502">
        <f>IF(OR($E1502="",$E1502="نامعتبر",Sync!$X1498=""),"",IF(AND(LEFT(UPPER(TRIM(Sync!$X1498)),2)="SL",IFERROR(VLOOKUP(Sync!$W1498,OpTbl,3,0),"")="فروش"),UPPER(TRIM(Sync!$X1498)),""))</f>
        <v/>
      </c>
      <c r="H1502">
        <f>IF($G1502="","",IF(Sync!$W1498="","",Sync!$W1498))</f>
        <v/>
      </c>
      <c r="I1502">
        <f>IF(OR($G1502="",Sync!$Y1498=""),"",Sync!$Y1498)</f>
        <v/>
      </c>
      <c r="J1502">
        <f>IF(OR($G1502="",Sync!$Z1498=""),"",Sync!$Z1498)</f>
        <v/>
      </c>
      <c r="K1502">
        <f>IF($G1502="",0,IF(Sync!$AA1498="",0,Sync!$AA1498))</f>
        <v/>
      </c>
      <c r="L1502">
        <f>IF($G1502="",0,IF(Sync!$AB1498="",0,Sync!$AB1498))</f>
        <v/>
      </c>
      <c r="M1502">
        <f>IF($G1502="","",IF($H1502="مرجوعی فروش",-1,1)*($K1502-$L1502*IFERROR(VLOOKUP("P01",ParamTbl,3,0),1.5)))</f>
        <v/>
      </c>
      <c r="N1502">
        <f>IF($G1502="",0,IF($H1502="مرجوعی فروش",-1,1)*IF(Sync!$AC1498="",0,Sync!$AC1498))</f>
        <v/>
      </c>
      <c r="O1502">
        <f>IF(OR($G1502="",Sync!$V1498=""),"",Sync!$V1498)</f>
        <v/>
      </c>
      <c r="P1502">
        <f>IF(OR($G1502="",Sync!$AD1498=""),"",Sync!$AD1498)</f>
        <v/>
      </c>
      <c r="Q1502">
        <f>IF($G1502="","",IF(Sync!$U1498="","0000",IF(AND(ISNUMBER(Sync!$U1498),Sync!$U1498&gt;=0,Sync!$U1498&lt;1),RIGHT("00"&amp;HOUR(Sync!$U1498),2)&amp;RIGHT("00"&amp;MINUTE(Sync!$U1498),2),IFERROR(RIGHT("00"&amp;VALUE(LEFT(Sync!$U1498,FIND(":",Sync!$U1498)-1)),2)&amp;RIGHT("00"&amp;VALUE(MID(Sync!$U1498,FIND(":",Sync!$U1498)+1,2)),2),"0000"))))</f>
        <v/>
      </c>
    </row>
    <row r="1503">
      <c r="A1503">
        <f>IF(Sync!$T1499="","",Sync!$T1499)</f>
        <v/>
      </c>
      <c r="B1503">
        <f>IF($A1503="","",IF(ISNUMBER($A1503),IF(AND($A1503&gt;=10000101,$A1503&lt;=99991231),INT($A1503/10000),""),IFERROR(VALUE(TRIM(LEFT($A1503,FIND("/",$A1503)-1))),"")))</f>
        <v/>
      </c>
      <c r="C1503">
        <f>IF(OR($A1503="",$B1503=""),"",IF(ISNUMBER($A1503),INT(MOD($A1503,10000)/100),IFERROR(VALUE(TRIM(LEFT(MID($A1503,FIND("/",$A1503)+1,20),FIND("/",MID($A1503,FIND("/",$A1503)+1,20))-1))),"")))</f>
        <v/>
      </c>
      <c r="D1503">
        <f>IF(OR($A1503="",$B1503=""),"",IF(ISNUMBER($A1503),MOD($A1503,100),IFERROR(VALUE(TRIM(MID(MID($A1503,FIND("/",$A1503)+1,20),FIND("/",MID($A1503,FIND("/",$A1503)+1,20))+1,20))),"")))</f>
        <v/>
      </c>
      <c r="E1503">
        <f>IF($A1503="","",IF(OR($B1503="",$C1503="",$D1503="",$B1503&lt;1300,$B1503&gt;1500,$C1503&lt;1,$C1503&gt;12,$D1503&lt;1,$D1503&gt;31),"نامعتبر",RIGHT("0000"&amp;$B1503,4)&amp;"/"&amp;RIGHT("00"&amp;$C1503,2)&amp;"/"&amp;RIGHT("00"&amp;$D1503,2)))</f>
        <v/>
      </c>
      <c r="F1503">
        <f>IF(OR($E1503="",$E1503="نامعتبر"),"",LEFT($E1503,4)&amp;"/"&amp;MID($E1503,6,2))</f>
        <v/>
      </c>
      <c r="G1503">
        <f>IF(OR($E1503="",$E1503="نامعتبر",Sync!$X1499=""),"",IF(AND(LEFT(UPPER(TRIM(Sync!$X1499)),2)="SL",IFERROR(VLOOKUP(Sync!$W1499,OpTbl,3,0),"")="فروش"),UPPER(TRIM(Sync!$X1499)),""))</f>
        <v/>
      </c>
      <c r="H1503">
        <f>IF($G1503="","",IF(Sync!$W1499="","",Sync!$W1499))</f>
        <v/>
      </c>
      <c r="I1503">
        <f>IF(OR($G1503="",Sync!$Y1499=""),"",Sync!$Y1499)</f>
        <v/>
      </c>
      <c r="J1503">
        <f>IF(OR($G1503="",Sync!$Z1499=""),"",Sync!$Z1499)</f>
        <v/>
      </c>
      <c r="K1503">
        <f>IF($G1503="",0,IF(Sync!$AA1499="",0,Sync!$AA1499))</f>
        <v/>
      </c>
      <c r="L1503">
        <f>IF($G1503="",0,IF(Sync!$AB1499="",0,Sync!$AB1499))</f>
        <v/>
      </c>
      <c r="M1503">
        <f>IF($G1503="","",IF($H1503="مرجوعی فروش",-1,1)*($K1503-$L1503*IFERROR(VLOOKUP("P01",ParamTbl,3,0),1.5)))</f>
        <v/>
      </c>
      <c r="N1503">
        <f>IF($G1503="",0,IF($H1503="مرجوعی فروش",-1,1)*IF(Sync!$AC1499="",0,Sync!$AC1499))</f>
        <v/>
      </c>
      <c r="O1503">
        <f>IF(OR($G1503="",Sync!$V1499=""),"",Sync!$V1499)</f>
        <v/>
      </c>
      <c r="P1503">
        <f>IF(OR($G1503="",Sync!$AD1499=""),"",Sync!$AD1499)</f>
        <v/>
      </c>
      <c r="Q1503">
        <f>IF($G1503="","",IF(Sync!$U1499="","0000",IF(AND(ISNUMBER(Sync!$U1499),Sync!$U1499&gt;=0,Sync!$U1499&lt;1),RIGHT("00"&amp;HOUR(Sync!$U1499),2)&amp;RIGHT("00"&amp;MINUTE(Sync!$U1499),2),IFERROR(RIGHT("00"&amp;VALUE(LEFT(Sync!$U1499,FIND(":",Sync!$U1499)-1)),2)&amp;RIGHT("00"&amp;VALUE(MID(Sync!$U1499,FIND(":",Sync!$U1499)+1,2)),2),"0000"))))</f>
        <v/>
      </c>
    </row>
    <row r="1504">
      <c r="A1504">
        <f>IF(Sync!$T1500="","",Sync!$T1500)</f>
        <v/>
      </c>
      <c r="B1504">
        <f>IF($A1504="","",IF(ISNUMBER($A1504),IF(AND($A1504&gt;=10000101,$A1504&lt;=99991231),INT($A1504/10000),""),IFERROR(VALUE(TRIM(LEFT($A1504,FIND("/",$A1504)-1))),"")))</f>
        <v/>
      </c>
      <c r="C1504">
        <f>IF(OR($A1504="",$B1504=""),"",IF(ISNUMBER($A1504),INT(MOD($A1504,10000)/100),IFERROR(VALUE(TRIM(LEFT(MID($A1504,FIND("/",$A1504)+1,20),FIND("/",MID($A1504,FIND("/",$A1504)+1,20))-1))),"")))</f>
        <v/>
      </c>
      <c r="D1504">
        <f>IF(OR($A1504="",$B1504=""),"",IF(ISNUMBER($A1504),MOD($A1504,100),IFERROR(VALUE(TRIM(MID(MID($A1504,FIND("/",$A1504)+1,20),FIND("/",MID($A1504,FIND("/",$A1504)+1,20))+1,20))),"")))</f>
        <v/>
      </c>
      <c r="E1504">
        <f>IF($A1504="","",IF(OR($B1504="",$C1504="",$D1504="",$B1504&lt;1300,$B1504&gt;1500,$C1504&lt;1,$C1504&gt;12,$D1504&lt;1,$D1504&gt;31),"نامعتبر",RIGHT("0000"&amp;$B1504,4)&amp;"/"&amp;RIGHT("00"&amp;$C1504,2)&amp;"/"&amp;RIGHT("00"&amp;$D1504,2)))</f>
        <v/>
      </c>
      <c r="F1504">
        <f>IF(OR($E1504="",$E1504="نامعتبر"),"",LEFT($E1504,4)&amp;"/"&amp;MID($E1504,6,2))</f>
        <v/>
      </c>
      <c r="G1504">
        <f>IF(OR($E1504="",$E1504="نامعتبر",Sync!$X1500=""),"",IF(AND(LEFT(UPPER(TRIM(Sync!$X1500)),2)="SL",IFERROR(VLOOKUP(Sync!$W1500,OpTbl,3,0),"")="فروش"),UPPER(TRIM(Sync!$X1500)),""))</f>
        <v/>
      </c>
      <c r="H1504">
        <f>IF($G1504="","",IF(Sync!$W1500="","",Sync!$W1500))</f>
        <v/>
      </c>
      <c r="I1504">
        <f>IF(OR($G1504="",Sync!$Y1500=""),"",Sync!$Y1500)</f>
        <v/>
      </c>
      <c r="J1504">
        <f>IF(OR($G1504="",Sync!$Z1500=""),"",Sync!$Z1500)</f>
        <v/>
      </c>
      <c r="K1504">
        <f>IF($G1504="",0,IF(Sync!$AA1500="",0,Sync!$AA1500))</f>
        <v/>
      </c>
      <c r="L1504">
        <f>IF($G1504="",0,IF(Sync!$AB1500="",0,Sync!$AB1500))</f>
        <v/>
      </c>
      <c r="M1504">
        <f>IF($G1504="","",IF($H1504="مرجوعی فروش",-1,1)*($K1504-$L1504*IFERROR(VLOOKUP("P01",ParamTbl,3,0),1.5)))</f>
        <v/>
      </c>
      <c r="N1504">
        <f>IF($G1504="",0,IF($H1504="مرجوعی فروش",-1,1)*IF(Sync!$AC1500="",0,Sync!$AC1500))</f>
        <v/>
      </c>
      <c r="O1504">
        <f>IF(OR($G1504="",Sync!$V1500=""),"",Sync!$V1500)</f>
        <v/>
      </c>
      <c r="P1504">
        <f>IF(OR($G1504="",Sync!$AD1500=""),"",Sync!$AD1500)</f>
        <v/>
      </c>
      <c r="Q1504">
        <f>IF($G1504="","",IF(Sync!$U1500="","0000",IF(AND(ISNUMBER(Sync!$U1500),Sync!$U1500&gt;=0,Sync!$U1500&lt;1),RIGHT("00"&amp;HOUR(Sync!$U1500),2)&amp;RIGHT("00"&amp;MINUTE(Sync!$U1500),2),IFERROR(RIGHT("00"&amp;VALUE(LEFT(Sync!$U1500,FIND(":",Sync!$U1500)-1)),2)&amp;RIGHT("00"&amp;VALUE(MID(Sync!$U1500,FIND(":",Sync!$U1500)+1,2)),2),"0000"))))</f>
        <v/>
      </c>
    </row>
    <row r="1505">
      <c r="A1505">
        <f>IF(Sync!$T1501="","",Sync!$T1501)</f>
        <v/>
      </c>
      <c r="B1505">
        <f>IF($A1505="","",IF(ISNUMBER($A1505),IF(AND($A1505&gt;=10000101,$A1505&lt;=99991231),INT($A1505/10000),""),IFERROR(VALUE(TRIM(LEFT($A1505,FIND("/",$A1505)-1))),"")))</f>
        <v/>
      </c>
      <c r="C1505">
        <f>IF(OR($A1505="",$B1505=""),"",IF(ISNUMBER($A1505),INT(MOD($A1505,10000)/100),IFERROR(VALUE(TRIM(LEFT(MID($A1505,FIND("/",$A1505)+1,20),FIND("/",MID($A1505,FIND("/",$A1505)+1,20))-1))),"")))</f>
        <v/>
      </c>
      <c r="D1505">
        <f>IF(OR($A1505="",$B1505=""),"",IF(ISNUMBER($A1505),MOD($A1505,100),IFERROR(VALUE(TRIM(MID(MID($A1505,FIND("/",$A1505)+1,20),FIND("/",MID($A1505,FIND("/",$A1505)+1,20))+1,20))),"")))</f>
        <v/>
      </c>
      <c r="E1505">
        <f>IF($A1505="","",IF(OR($B1505="",$C1505="",$D1505="",$B1505&lt;1300,$B1505&gt;1500,$C1505&lt;1,$C1505&gt;12,$D1505&lt;1,$D1505&gt;31),"نامعتبر",RIGHT("0000"&amp;$B1505,4)&amp;"/"&amp;RIGHT("00"&amp;$C1505,2)&amp;"/"&amp;RIGHT("00"&amp;$D1505,2)))</f>
        <v/>
      </c>
      <c r="F1505">
        <f>IF(OR($E1505="",$E1505="نامعتبر"),"",LEFT($E1505,4)&amp;"/"&amp;MID($E1505,6,2))</f>
        <v/>
      </c>
      <c r="G1505">
        <f>IF(OR($E1505="",$E1505="نامعتبر",Sync!$X1501=""),"",IF(AND(LEFT(UPPER(TRIM(Sync!$X1501)),2)="SL",IFERROR(VLOOKUP(Sync!$W1501,OpTbl,3,0),"")="فروش"),UPPER(TRIM(Sync!$X1501)),""))</f>
        <v/>
      </c>
      <c r="H1505">
        <f>IF($G1505="","",IF(Sync!$W1501="","",Sync!$W1501))</f>
        <v/>
      </c>
      <c r="I1505">
        <f>IF(OR($G1505="",Sync!$Y1501=""),"",Sync!$Y1501)</f>
        <v/>
      </c>
      <c r="J1505">
        <f>IF(OR($G1505="",Sync!$Z1501=""),"",Sync!$Z1501)</f>
        <v/>
      </c>
      <c r="K1505">
        <f>IF($G1505="",0,IF(Sync!$AA1501="",0,Sync!$AA1501))</f>
        <v/>
      </c>
      <c r="L1505">
        <f>IF($G1505="",0,IF(Sync!$AB1501="",0,Sync!$AB1501))</f>
        <v/>
      </c>
      <c r="M1505">
        <f>IF($G1505="","",IF($H1505="مرجوعی فروش",-1,1)*($K1505-$L1505*IFERROR(VLOOKUP("P01",ParamTbl,3,0),1.5)))</f>
        <v/>
      </c>
      <c r="N1505">
        <f>IF($G1505="",0,IF($H1505="مرجوعی فروش",-1,1)*IF(Sync!$AC1501="",0,Sync!$AC1501))</f>
        <v/>
      </c>
      <c r="O1505">
        <f>IF(OR($G1505="",Sync!$V1501=""),"",Sync!$V1501)</f>
        <v/>
      </c>
      <c r="P1505">
        <f>IF(OR($G1505="",Sync!$AD1501=""),"",Sync!$AD1501)</f>
        <v/>
      </c>
      <c r="Q1505">
        <f>IF($G1505="","",IF(Sync!$U1501="","0000",IF(AND(ISNUMBER(Sync!$U1501),Sync!$U1501&gt;=0,Sync!$U1501&lt;1),RIGHT("00"&amp;HOUR(Sync!$U1501),2)&amp;RIGHT("00"&amp;MINUTE(Sync!$U1501),2),IFERROR(RIGHT("00"&amp;VALUE(LEFT(Sync!$U1501,FIND(":",Sync!$U1501)-1)),2)&amp;RIGHT("00"&amp;VALUE(MID(Sync!$U1501,FIND(":",Sync!$U1501)+1,2)),2),"0000"))))</f>
        <v/>
      </c>
    </row>
    <row r="1506">
      <c r="A1506">
        <f>IF(Sync!$T1502="","",Sync!$T1502)</f>
        <v/>
      </c>
      <c r="B1506">
        <f>IF($A1506="","",IF(ISNUMBER($A1506),IF(AND($A1506&gt;=10000101,$A1506&lt;=99991231),INT($A1506/10000),""),IFERROR(VALUE(TRIM(LEFT($A1506,FIND("/",$A1506)-1))),"")))</f>
        <v/>
      </c>
      <c r="C1506">
        <f>IF(OR($A1506="",$B1506=""),"",IF(ISNUMBER($A1506),INT(MOD($A1506,10000)/100),IFERROR(VALUE(TRIM(LEFT(MID($A1506,FIND("/",$A1506)+1,20),FIND("/",MID($A1506,FIND("/",$A1506)+1,20))-1))),"")))</f>
        <v/>
      </c>
      <c r="D1506">
        <f>IF(OR($A1506="",$B1506=""),"",IF(ISNUMBER($A1506),MOD($A1506,100),IFERROR(VALUE(TRIM(MID(MID($A1506,FIND("/",$A1506)+1,20),FIND("/",MID($A1506,FIND("/",$A1506)+1,20))+1,20))),"")))</f>
        <v/>
      </c>
      <c r="E1506">
        <f>IF($A1506="","",IF(OR($B1506="",$C1506="",$D1506="",$B1506&lt;1300,$B1506&gt;1500,$C1506&lt;1,$C1506&gt;12,$D1506&lt;1,$D1506&gt;31),"نامعتبر",RIGHT("0000"&amp;$B1506,4)&amp;"/"&amp;RIGHT("00"&amp;$C1506,2)&amp;"/"&amp;RIGHT("00"&amp;$D1506,2)))</f>
        <v/>
      </c>
      <c r="F1506">
        <f>IF(OR($E1506="",$E1506="نامعتبر"),"",LEFT($E1506,4)&amp;"/"&amp;MID($E1506,6,2))</f>
        <v/>
      </c>
      <c r="G1506">
        <f>IF(OR($E1506="",$E1506="نامعتبر",Sync!$X1502=""),"",IF(AND(LEFT(UPPER(TRIM(Sync!$X1502)),2)="SL",IFERROR(VLOOKUP(Sync!$W1502,OpTbl,3,0),"")="فروش"),UPPER(TRIM(Sync!$X1502)),""))</f>
        <v/>
      </c>
      <c r="H1506">
        <f>IF($G1506="","",IF(Sync!$W1502="","",Sync!$W1502))</f>
        <v/>
      </c>
      <c r="I1506">
        <f>IF(OR($G1506="",Sync!$Y1502=""),"",Sync!$Y1502)</f>
        <v/>
      </c>
      <c r="J1506">
        <f>IF(OR($G1506="",Sync!$Z1502=""),"",Sync!$Z1502)</f>
        <v/>
      </c>
      <c r="K1506">
        <f>IF($G1506="",0,IF(Sync!$AA1502="",0,Sync!$AA1502))</f>
        <v/>
      </c>
      <c r="L1506">
        <f>IF($G1506="",0,IF(Sync!$AB1502="",0,Sync!$AB1502))</f>
        <v/>
      </c>
      <c r="M1506">
        <f>IF($G1506="","",IF($H1506="مرجوعی فروش",-1,1)*($K1506-$L1506*IFERROR(VLOOKUP("P01",ParamTbl,3,0),1.5)))</f>
        <v/>
      </c>
      <c r="N1506">
        <f>IF($G1506="",0,IF($H1506="مرجوعی فروش",-1,1)*IF(Sync!$AC1502="",0,Sync!$AC1502))</f>
        <v/>
      </c>
      <c r="O1506">
        <f>IF(OR($G1506="",Sync!$V1502=""),"",Sync!$V1502)</f>
        <v/>
      </c>
      <c r="P1506">
        <f>IF(OR($G1506="",Sync!$AD1502=""),"",Sync!$AD1502)</f>
        <v/>
      </c>
      <c r="Q1506">
        <f>IF($G1506="","",IF(Sync!$U1502="","0000",IF(AND(ISNUMBER(Sync!$U1502),Sync!$U1502&gt;=0,Sync!$U1502&lt;1),RIGHT("00"&amp;HOUR(Sync!$U1502),2)&amp;RIGHT("00"&amp;MINUTE(Sync!$U1502),2),IFERROR(RIGHT("00"&amp;VALUE(LEFT(Sync!$U1502,FIND(":",Sync!$U1502)-1)),2)&amp;RIGHT("00"&amp;VALUE(MID(Sync!$U1502,FIND(":",Sync!$U1502)+1,2)),2),"0000"))))</f>
        <v/>
      </c>
    </row>
    <row r="1507">
      <c r="A1507">
        <f>IF(Sync!$T1503="","",Sync!$T1503)</f>
        <v/>
      </c>
      <c r="B1507">
        <f>IF($A1507="","",IF(ISNUMBER($A1507),IF(AND($A1507&gt;=10000101,$A1507&lt;=99991231),INT($A1507/10000),""),IFERROR(VALUE(TRIM(LEFT($A1507,FIND("/",$A1507)-1))),"")))</f>
        <v/>
      </c>
      <c r="C1507">
        <f>IF(OR($A1507="",$B1507=""),"",IF(ISNUMBER($A1507),INT(MOD($A1507,10000)/100),IFERROR(VALUE(TRIM(LEFT(MID($A1507,FIND("/",$A1507)+1,20),FIND("/",MID($A1507,FIND("/",$A1507)+1,20))-1))),"")))</f>
        <v/>
      </c>
      <c r="D1507">
        <f>IF(OR($A1507="",$B1507=""),"",IF(ISNUMBER($A1507),MOD($A1507,100),IFERROR(VALUE(TRIM(MID(MID($A1507,FIND("/",$A1507)+1,20),FIND("/",MID($A1507,FIND("/",$A1507)+1,20))+1,20))),"")))</f>
        <v/>
      </c>
      <c r="E1507">
        <f>IF($A1507="","",IF(OR($B1507="",$C1507="",$D1507="",$B1507&lt;1300,$B1507&gt;1500,$C1507&lt;1,$C1507&gt;12,$D1507&lt;1,$D1507&gt;31),"نامعتبر",RIGHT("0000"&amp;$B1507,4)&amp;"/"&amp;RIGHT("00"&amp;$C1507,2)&amp;"/"&amp;RIGHT("00"&amp;$D1507,2)))</f>
        <v/>
      </c>
      <c r="F1507">
        <f>IF(OR($E1507="",$E1507="نامعتبر"),"",LEFT($E1507,4)&amp;"/"&amp;MID($E1507,6,2))</f>
        <v/>
      </c>
      <c r="G1507">
        <f>IF(OR($E1507="",$E1507="نامعتبر",Sync!$X1503=""),"",IF(AND(LEFT(UPPER(TRIM(Sync!$X1503)),2)="SL",IFERROR(VLOOKUP(Sync!$W1503,OpTbl,3,0),"")="فروش"),UPPER(TRIM(Sync!$X1503)),""))</f>
        <v/>
      </c>
      <c r="H1507">
        <f>IF($G1507="","",IF(Sync!$W1503="","",Sync!$W1503))</f>
        <v/>
      </c>
      <c r="I1507">
        <f>IF(OR($G1507="",Sync!$Y1503=""),"",Sync!$Y1503)</f>
        <v/>
      </c>
      <c r="J1507">
        <f>IF(OR($G1507="",Sync!$Z1503=""),"",Sync!$Z1503)</f>
        <v/>
      </c>
      <c r="K1507">
        <f>IF($G1507="",0,IF(Sync!$AA1503="",0,Sync!$AA1503))</f>
        <v/>
      </c>
      <c r="L1507">
        <f>IF($G1507="",0,IF(Sync!$AB1503="",0,Sync!$AB1503))</f>
        <v/>
      </c>
      <c r="M1507">
        <f>IF($G1507="","",IF($H1507="مرجوعی فروش",-1,1)*($K1507-$L1507*IFERROR(VLOOKUP("P01",ParamTbl,3,0),1.5)))</f>
        <v/>
      </c>
      <c r="N1507">
        <f>IF($G1507="",0,IF($H1507="مرجوعی فروش",-1,1)*IF(Sync!$AC1503="",0,Sync!$AC1503))</f>
        <v/>
      </c>
      <c r="O1507">
        <f>IF(OR($G1507="",Sync!$V1503=""),"",Sync!$V1503)</f>
        <v/>
      </c>
      <c r="P1507">
        <f>IF(OR($G1507="",Sync!$AD1503=""),"",Sync!$AD1503)</f>
        <v/>
      </c>
      <c r="Q1507">
        <f>IF($G1507="","",IF(Sync!$U1503="","0000",IF(AND(ISNUMBER(Sync!$U1503),Sync!$U1503&gt;=0,Sync!$U1503&lt;1),RIGHT("00"&amp;HOUR(Sync!$U1503),2)&amp;RIGHT("00"&amp;MINUTE(Sync!$U1503),2),IFERROR(RIGHT("00"&amp;VALUE(LEFT(Sync!$U1503,FIND(":",Sync!$U1503)-1)),2)&amp;RIGHT("00"&amp;VALUE(MID(Sync!$U1503,FIND(":",Sync!$U1503)+1,2)),2),"0000"))))</f>
        <v/>
      </c>
    </row>
    <row r="1508">
      <c r="A1508">
        <f>IF(Sync!$T1504="","",Sync!$T1504)</f>
        <v/>
      </c>
      <c r="B1508">
        <f>IF($A1508="","",IF(ISNUMBER($A1508),IF(AND($A1508&gt;=10000101,$A1508&lt;=99991231),INT($A1508/10000),""),IFERROR(VALUE(TRIM(LEFT($A1508,FIND("/",$A1508)-1))),"")))</f>
        <v/>
      </c>
      <c r="C1508">
        <f>IF(OR($A1508="",$B1508=""),"",IF(ISNUMBER($A1508),INT(MOD($A1508,10000)/100),IFERROR(VALUE(TRIM(LEFT(MID($A1508,FIND("/",$A1508)+1,20),FIND("/",MID($A1508,FIND("/",$A1508)+1,20))-1))),"")))</f>
        <v/>
      </c>
      <c r="D1508">
        <f>IF(OR($A1508="",$B1508=""),"",IF(ISNUMBER($A1508),MOD($A1508,100),IFERROR(VALUE(TRIM(MID(MID($A1508,FIND("/",$A1508)+1,20),FIND("/",MID($A1508,FIND("/",$A1508)+1,20))+1,20))),"")))</f>
        <v/>
      </c>
      <c r="E1508">
        <f>IF($A1508="","",IF(OR($B1508="",$C1508="",$D1508="",$B1508&lt;1300,$B1508&gt;1500,$C1508&lt;1,$C1508&gt;12,$D1508&lt;1,$D1508&gt;31),"نامعتبر",RIGHT("0000"&amp;$B1508,4)&amp;"/"&amp;RIGHT("00"&amp;$C1508,2)&amp;"/"&amp;RIGHT("00"&amp;$D1508,2)))</f>
        <v/>
      </c>
      <c r="F1508">
        <f>IF(OR($E1508="",$E1508="نامعتبر"),"",LEFT($E1508,4)&amp;"/"&amp;MID($E1508,6,2))</f>
        <v/>
      </c>
      <c r="G1508">
        <f>IF(OR($E1508="",$E1508="نامعتبر",Sync!$X1504=""),"",IF(AND(LEFT(UPPER(TRIM(Sync!$X1504)),2)="SL",IFERROR(VLOOKUP(Sync!$W1504,OpTbl,3,0),"")="فروش"),UPPER(TRIM(Sync!$X1504)),""))</f>
        <v/>
      </c>
      <c r="H1508">
        <f>IF($G1508="","",IF(Sync!$W1504="","",Sync!$W1504))</f>
        <v/>
      </c>
      <c r="I1508">
        <f>IF(OR($G1508="",Sync!$Y1504=""),"",Sync!$Y1504)</f>
        <v/>
      </c>
      <c r="J1508">
        <f>IF(OR($G1508="",Sync!$Z1504=""),"",Sync!$Z1504)</f>
        <v/>
      </c>
      <c r="K1508">
        <f>IF($G1508="",0,IF(Sync!$AA1504="",0,Sync!$AA1504))</f>
        <v/>
      </c>
      <c r="L1508">
        <f>IF($G1508="",0,IF(Sync!$AB1504="",0,Sync!$AB1504))</f>
        <v/>
      </c>
      <c r="M1508">
        <f>IF($G1508="","",IF($H1508="مرجوعی فروش",-1,1)*($K1508-$L1508*IFERROR(VLOOKUP("P01",ParamTbl,3,0),1.5)))</f>
        <v/>
      </c>
      <c r="N1508">
        <f>IF($G1508="",0,IF($H1508="مرجوعی فروش",-1,1)*IF(Sync!$AC1504="",0,Sync!$AC1504))</f>
        <v/>
      </c>
      <c r="O1508">
        <f>IF(OR($G1508="",Sync!$V1504=""),"",Sync!$V1504)</f>
        <v/>
      </c>
      <c r="P1508">
        <f>IF(OR($G1508="",Sync!$AD1504=""),"",Sync!$AD1504)</f>
        <v/>
      </c>
      <c r="Q1508">
        <f>IF($G1508="","",IF(Sync!$U1504="","0000",IF(AND(ISNUMBER(Sync!$U1504),Sync!$U1504&gt;=0,Sync!$U1504&lt;1),RIGHT("00"&amp;HOUR(Sync!$U1504),2)&amp;RIGHT("00"&amp;MINUTE(Sync!$U1504),2),IFERROR(RIGHT("00"&amp;VALUE(LEFT(Sync!$U1504,FIND(":",Sync!$U1504)-1)),2)&amp;RIGHT("00"&amp;VALUE(MID(Sync!$U1504,FIND(":",Sync!$U1504)+1,2)),2),"0000"))))</f>
        <v/>
      </c>
    </row>
    <row r="1509">
      <c r="A1509">
        <f>IF(Sync!$T1505="","",Sync!$T1505)</f>
        <v/>
      </c>
      <c r="B1509">
        <f>IF($A1509="","",IF(ISNUMBER($A1509),IF(AND($A1509&gt;=10000101,$A1509&lt;=99991231),INT($A1509/10000),""),IFERROR(VALUE(TRIM(LEFT($A1509,FIND("/",$A1509)-1))),"")))</f>
        <v/>
      </c>
      <c r="C1509">
        <f>IF(OR($A1509="",$B1509=""),"",IF(ISNUMBER($A1509),INT(MOD($A1509,10000)/100),IFERROR(VALUE(TRIM(LEFT(MID($A1509,FIND("/",$A1509)+1,20),FIND("/",MID($A1509,FIND("/",$A1509)+1,20))-1))),"")))</f>
        <v/>
      </c>
      <c r="D1509">
        <f>IF(OR($A1509="",$B1509=""),"",IF(ISNUMBER($A1509),MOD($A1509,100),IFERROR(VALUE(TRIM(MID(MID($A1509,FIND("/",$A1509)+1,20),FIND("/",MID($A1509,FIND("/",$A1509)+1,20))+1,20))),"")))</f>
        <v/>
      </c>
      <c r="E1509">
        <f>IF($A1509="","",IF(OR($B1509="",$C1509="",$D1509="",$B1509&lt;1300,$B1509&gt;1500,$C1509&lt;1,$C1509&gt;12,$D1509&lt;1,$D1509&gt;31),"نامعتبر",RIGHT("0000"&amp;$B1509,4)&amp;"/"&amp;RIGHT("00"&amp;$C1509,2)&amp;"/"&amp;RIGHT("00"&amp;$D1509,2)))</f>
        <v/>
      </c>
      <c r="F1509">
        <f>IF(OR($E1509="",$E1509="نامعتبر"),"",LEFT($E1509,4)&amp;"/"&amp;MID($E1509,6,2))</f>
        <v/>
      </c>
      <c r="G1509">
        <f>IF(OR($E1509="",$E1509="نامعتبر",Sync!$X1505=""),"",IF(AND(LEFT(UPPER(TRIM(Sync!$X1505)),2)="SL",IFERROR(VLOOKUP(Sync!$W1505,OpTbl,3,0),"")="فروش"),UPPER(TRIM(Sync!$X1505)),""))</f>
        <v/>
      </c>
      <c r="H1509">
        <f>IF($G1509="","",IF(Sync!$W1505="","",Sync!$W1505))</f>
        <v/>
      </c>
      <c r="I1509">
        <f>IF(OR($G1509="",Sync!$Y1505=""),"",Sync!$Y1505)</f>
        <v/>
      </c>
      <c r="J1509">
        <f>IF(OR($G1509="",Sync!$Z1505=""),"",Sync!$Z1505)</f>
        <v/>
      </c>
      <c r="K1509">
        <f>IF($G1509="",0,IF(Sync!$AA1505="",0,Sync!$AA1505))</f>
        <v/>
      </c>
      <c r="L1509">
        <f>IF($G1509="",0,IF(Sync!$AB1505="",0,Sync!$AB1505))</f>
        <v/>
      </c>
      <c r="M1509">
        <f>IF($G1509="","",IF($H1509="مرجوعی فروش",-1,1)*($K1509-$L1509*IFERROR(VLOOKUP("P01",ParamTbl,3,0),1.5)))</f>
        <v/>
      </c>
      <c r="N1509">
        <f>IF($G1509="",0,IF($H1509="مرجوعی فروش",-1,1)*IF(Sync!$AC1505="",0,Sync!$AC1505))</f>
        <v/>
      </c>
      <c r="O1509">
        <f>IF(OR($G1509="",Sync!$V1505=""),"",Sync!$V1505)</f>
        <v/>
      </c>
      <c r="P1509">
        <f>IF(OR($G1509="",Sync!$AD1505=""),"",Sync!$AD1505)</f>
        <v/>
      </c>
      <c r="Q1509">
        <f>IF($G1509="","",IF(Sync!$U1505="","0000",IF(AND(ISNUMBER(Sync!$U1505),Sync!$U1505&gt;=0,Sync!$U1505&lt;1),RIGHT("00"&amp;HOUR(Sync!$U1505),2)&amp;RIGHT("00"&amp;MINUTE(Sync!$U1505),2),IFERROR(RIGHT("00"&amp;VALUE(LEFT(Sync!$U1505,FIND(":",Sync!$U1505)-1)),2)&amp;RIGHT("00"&amp;VALUE(MID(Sync!$U1505,FIND(":",Sync!$U1505)+1,2)),2),"0000"))))</f>
        <v/>
      </c>
    </row>
    <row r="1510">
      <c r="A1510">
        <f>IF(Sync!$T1506="","",Sync!$T1506)</f>
        <v/>
      </c>
      <c r="B1510">
        <f>IF($A1510="","",IF(ISNUMBER($A1510),IF(AND($A1510&gt;=10000101,$A1510&lt;=99991231),INT($A1510/10000),""),IFERROR(VALUE(TRIM(LEFT($A1510,FIND("/",$A1510)-1))),"")))</f>
        <v/>
      </c>
      <c r="C1510">
        <f>IF(OR($A1510="",$B1510=""),"",IF(ISNUMBER($A1510),INT(MOD($A1510,10000)/100),IFERROR(VALUE(TRIM(LEFT(MID($A1510,FIND("/",$A1510)+1,20),FIND("/",MID($A1510,FIND("/",$A1510)+1,20))-1))),"")))</f>
        <v/>
      </c>
      <c r="D1510">
        <f>IF(OR($A1510="",$B1510=""),"",IF(ISNUMBER($A1510),MOD($A1510,100),IFERROR(VALUE(TRIM(MID(MID($A1510,FIND("/",$A1510)+1,20),FIND("/",MID($A1510,FIND("/",$A1510)+1,20))+1,20))),"")))</f>
        <v/>
      </c>
      <c r="E1510">
        <f>IF($A1510="","",IF(OR($B1510="",$C1510="",$D1510="",$B1510&lt;1300,$B1510&gt;1500,$C1510&lt;1,$C1510&gt;12,$D1510&lt;1,$D1510&gt;31),"نامعتبر",RIGHT("0000"&amp;$B1510,4)&amp;"/"&amp;RIGHT("00"&amp;$C1510,2)&amp;"/"&amp;RIGHT("00"&amp;$D1510,2)))</f>
        <v/>
      </c>
      <c r="F1510">
        <f>IF(OR($E1510="",$E1510="نامعتبر"),"",LEFT($E1510,4)&amp;"/"&amp;MID($E1510,6,2))</f>
        <v/>
      </c>
      <c r="G1510">
        <f>IF(OR($E1510="",$E1510="نامعتبر",Sync!$X1506=""),"",IF(AND(LEFT(UPPER(TRIM(Sync!$X1506)),2)="SL",IFERROR(VLOOKUP(Sync!$W1506,OpTbl,3,0),"")="فروش"),UPPER(TRIM(Sync!$X1506)),""))</f>
        <v/>
      </c>
      <c r="H1510">
        <f>IF($G1510="","",IF(Sync!$W1506="","",Sync!$W1506))</f>
        <v/>
      </c>
      <c r="I1510">
        <f>IF(OR($G1510="",Sync!$Y1506=""),"",Sync!$Y1506)</f>
        <v/>
      </c>
      <c r="J1510">
        <f>IF(OR($G1510="",Sync!$Z1506=""),"",Sync!$Z1506)</f>
        <v/>
      </c>
      <c r="K1510">
        <f>IF($G1510="",0,IF(Sync!$AA1506="",0,Sync!$AA1506))</f>
        <v/>
      </c>
      <c r="L1510">
        <f>IF($G1510="",0,IF(Sync!$AB1506="",0,Sync!$AB1506))</f>
        <v/>
      </c>
      <c r="M1510">
        <f>IF($G1510="","",IF($H1510="مرجوعی فروش",-1,1)*($K1510-$L1510*IFERROR(VLOOKUP("P01",ParamTbl,3,0),1.5)))</f>
        <v/>
      </c>
      <c r="N1510">
        <f>IF($G1510="",0,IF($H1510="مرجوعی فروش",-1,1)*IF(Sync!$AC1506="",0,Sync!$AC1506))</f>
        <v/>
      </c>
      <c r="O1510">
        <f>IF(OR($G1510="",Sync!$V1506=""),"",Sync!$V1506)</f>
        <v/>
      </c>
      <c r="P1510">
        <f>IF(OR($G1510="",Sync!$AD1506=""),"",Sync!$AD1506)</f>
        <v/>
      </c>
      <c r="Q1510">
        <f>IF($G1510="","",IF(Sync!$U1506="","0000",IF(AND(ISNUMBER(Sync!$U1506),Sync!$U1506&gt;=0,Sync!$U1506&lt;1),RIGHT("00"&amp;HOUR(Sync!$U1506),2)&amp;RIGHT("00"&amp;MINUTE(Sync!$U1506),2),IFERROR(RIGHT("00"&amp;VALUE(LEFT(Sync!$U1506,FIND(":",Sync!$U1506)-1)),2)&amp;RIGHT("00"&amp;VALUE(MID(Sync!$U1506,FIND(":",Sync!$U1506)+1,2)),2),"0000"))))</f>
        <v/>
      </c>
    </row>
    <row r="1511">
      <c r="A1511">
        <f>IF(Sync!$T1507="","",Sync!$T1507)</f>
        <v/>
      </c>
      <c r="B1511">
        <f>IF($A1511="","",IF(ISNUMBER($A1511),IF(AND($A1511&gt;=10000101,$A1511&lt;=99991231),INT($A1511/10000),""),IFERROR(VALUE(TRIM(LEFT($A1511,FIND("/",$A1511)-1))),"")))</f>
        <v/>
      </c>
      <c r="C1511">
        <f>IF(OR($A1511="",$B1511=""),"",IF(ISNUMBER($A1511),INT(MOD($A1511,10000)/100),IFERROR(VALUE(TRIM(LEFT(MID($A1511,FIND("/",$A1511)+1,20),FIND("/",MID($A1511,FIND("/",$A1511)+1,20))-1))),"")))</f>
        <v/>
      </c>
      <c r="D1511">
        <f>IF(OR($A1511="",$B1511=""),"",IF(ISNUMBER($A1511),MOD($A1511,100),IFERROR(VALUE(TRIM(MID(MID($A1511,FIND("/",$A1511)+1,20),FIND("/",MID($A1511,FIND("/",$A1511)+1,20))+1,20))),"")))</f>
        <v/>
      </c>
      <c r="E1511">
        <f>IF($A1511="","",IF(OR($B1511="",$C1511="",$D1511="",$B1511&lt;1300,$B1511&gt;1500,$C1511&lt;1,$C1511&gt;12,$D1511&lt;1,$D1511&gt;31),"نامعتبر",RIGHT("0000"&amp;$B1511,4)&amp;"/"&amp;RIGHT("00"&amp;$C1511,2)&amp;"/"&amp;RIGHT("00"&amp;$D1511,2)))</f>
        <v/>
      </c>
      <c r="F1511">
        <f>IF(OR($E1511="",$E1511="نامعتبر"),"",LEFT($E1511,4)&amp;"/"&amp;MID($E1511,6,2))</f>
        <v/>
      </c>
      <c r="G1511">
        <f>IF(OR($E1511="",$E1511="نامعتبر",Sync!$X1507=""),"",IF(AND(LEFT(UPPER(TRIM(Sync!$X1507)),2)="SL",IFERROR(VLOOKUP(Sync!$W1507,OpTbl,3,0),"")="فروش"),UPPER(TRIM(Sync!$X1507)),""))</f>
        <v/>
      </c>
      <c r="H1511">
        <f>IF($G1511="","",IF(Sync!$W1507="","",Sync!$W1507))</f>
        <v/>
      </c>
      <c r="I1511">
        <f>IF(OR($G1511="",Sync!$Y1507=""),"",Sync!$Y1507)</f>
        <v/>
      </c>
      <c r="J1511">
        <f>IF(OR($G1511="",Sync!$Z1507=""),"",Sync!$Z1507)</f>
        <v/>
      </c>
      <c r="K1511">
        <f>IF($G1511="",0,IF(Sync!$AA1507="",0,Sync!$AA1507))</f>
        <v/>
      </c>
      <c r="L1511">
        <f>IF($G1511="",0,IF(Sync!$AB1507="",0,Sync!$AB1507))</f>
        <v/>
      </c>
      <c r="M1511">
        <f>IF($G1511="","",IF($H1511="مرجوعی فروش",-1,1)*($K1511-$L1511*IFERROR(VLOOKUP("P01",ParamTbl,3,0),1.5)))</f>
        <v/>
      </c>
      <c r="N1511">
        <f>IF($G1511="",0,IF($H1511="مرجوعی فروش",-1,1)*IF(Sync!$AC1507="",0,Sync!$AC1507))</f>
        <v/>
      </c>
      <c r="O1511">
        <f>IF(OR($G1511="",Sync!$V1507=""),"",Sync!$V1507)</f>
        <v/>
      </c>
      <c r="P1511">
        <f>IF(OR($G1511="",Sync!$AD1507=""),"",Sync!$AD1507)</f>
        <v/>
      </c>
      <c r="Q1511">
        <f>IF($G1511="","",IF(Sync!$U1507="","0000",IF(AND(ISNUMBER(Sync!$U1507),Sync!$U1507&gt;=0,Sync!$U1507&lt;1),RIGHT("00"&amp;HOUR(Sync!$U1507),2)&amp;RIGHT("00"&amp;MINUTE(Sync!$U1507),2),IFERROR(RIGHT("00"&amp;VALUE(LEFT(Sync!$U1507,FIND(":",Sync!$U1507)-1)),2)&amp;RIGHT("00"&amp;VALUE(MID(Sync!$U1507,FIND(":",Sync!$U1507)+1,2)),2),"0000"))))</f>
        <v/>
      </c>
    </row>
    <row r="1512">
      <c r="A1512">
        <f>IF(Sync!$T1508="","",Sync!$T1508)</f>
        <v/>
      </c>
      <c r="B1512">
        <f>IF($A1512="","",IF(ISNUMBER($A1512),IF(AND($A1512&gt;=10000101,$A1512&lt;=99991231),INT($A1512/10000),""),IFERROR(VALUE(TRIM(LEFT($A1512,FIND("/",$A1512)-1))),"")))</f>
        <v/>
      </c>
      <c r="C1512">
        <f>IF(OR($A1512="",$B1512=""),"",IF(ISNUMBER($A1512),INT(MOD($A1512,10000)/100),IFERROR(VALUE(TRIM(LEFT(MID($A1512,FIND("/",$A1512)+1,20),FIND("/",MID($A1512,FIND("/",$A1512)+1,20))-1))),"")))</f>
        <v/>
      </c>
      <c r="D1512">
        <f>IF(OR($A1512="",$B1512=""),"",IF(ISNUMBER($A1512),MOD($A1512,100),IFERROR(VALUE(TRIM(MID(MID($A1512,FIND("/",$A1512)+1,20),FIND("/",MID($A1512,FIND("/",$A1512)+1,20))+1,20))),"")))</f>
        <v/>
      </c>
      <c r="E1512">
        <f>IF($A1512="","",IF(OR($B1512="",$C1512="",$D1512="",$B1512&lt;1300,$B1512&gt;1500,$C1512&lt;1,$C1512&gt;12,$D1512&lt;1,$D1512&gt;31),"نامعتبر",RIGHT("0000"&amp;$B1512,4)&amp;"/"&amp;RIGHT("00"&amp;$C1512,2)&amp;"/"&amp;RIGHT("00"&amp;$D1512,2)))</f>
        <v/>
      </c>
      <c r="F1512">
        <f>IF(OR($E1512="",$E1512="نامعتبر"),"",LEFT($E1512,4)&amp;"/"&amp;MID($E1512,6,2))</f>
        <v/>
      </c>
      <c r="G1512">
        <f>IF(OR($E1512="",$E1512="نامعتبر",Sync!$X1508=""),"",IF(AND(LEFT(UPPER(TRIM(Sync!$X1508)),2)="SL",IFERROR(VLOOKUP(Sync!$W1508,OpTbl,3,0),"")="فروش"),UPPER(TRIM(Sync!$X1508)),""))</f>
        <v/>
      </c>
      <c r="H1512">
        <f>IF($G1512="","",IF(Sync!$W1508="","",Sync!$W1508))</f>
        <v/>
      </c>
      <c r="I1512">
        <f>IF(OR($G1512="",Sync!$Y1508=""),"",Sync!$Y1508)</f>
        <v/>
      </c>
      <c r="J1512">
        <f>IF(OR($G1512="",Sync!$Z1508=""),"",Sync!$Z1508)</f>
        <v/>
      </c>
      <c r="K1512">
        <f>IF($G1512="",0,IF(Sync!$AA1508="",0,Sync!$AA1508))</f>
        <v/>
      </c>
      <c r="L1512">
        <f>IF($G1512="",0,IF(Sync!$AB1508="",0,Sync!$AB1508))</f>
        <v/>
      </c>
      <c r="M1512">
        <f>IF($G1512="","",IF($H1512="مرجوعی فروش",-1,1)*($K1512-$L1512*IFERROR(VLOOKUP("P01",ParamTbl,3,0),1.5)))</f>
        <v/>
      </c>
      <c r="N1512">
        <f>IF($G1512="",0,IF($H1512="مرجوعی فروش",-1,1)*IF(Sync!$AC1508="",0,Sync!$AC1508))</f>
        <v/>
      </c>
      <c r="O1512">
        <f>IF(OR($G1512="",Sync!$V1508=""),"",Sync!$V1508)</f>
        <v/>
      </c>
      <c r="P1512">
        <f>IF(OR($G1512="",Sync!$AD1508=""),"",Sync!$AD1508)</f>
        <v/>
      </c>
      <c r="Q1512">
        <f>IF($G1512="","",IF(Sync!$U1508="","0000",IF(AND(ISNUMBER(Sync!$U1508),Sync!$U1508&gt;=0,Sync!$U1508&lt;1),RIGHT("00"&amp;HOUR(Sync!$U1508),2)&amp;RIGHT("00"&amp;MINUTE(Sync!$U1508),2),IFERROR(RIGHT("00"&amp;VALUE(LEFT(Sync!$U1508,FIND(":",Sync!$U1508)-1)),2)&amp;RIGHT("00"&amp;VALUE(MID(Sync!$U1508,FIND(":",Sync!$U1508)+1,2)),2),"0000"))))</f>
        <v/>
      </c>
    </row>
    <row r="1513">
      <c r="A1513">
        <f>IF(Sync!$T1509="","",Sync!$T1509)</f>
        <v/>
      </c>
      <c r="B1513">
        <f>IF($A1513="","",IF(ISNUMBER($A1513),IF(AND($A1513&gt;=10000101,$A1513&lt;=99991231),INT($A1513/10000),""),IFERROR(VALUE(TRIM(LEFT($A1513,FIND("/",$A1513)-1))),"")))</f>
        <v/>
      </c>
      <c r="C1513">
        <f>IF(OR($A1513="",$B1513=""),"",IF(ISNUMBER($A1513),INT(MOD($A1513,10000)/100),IFERROR(VALUE(TRIM(LEFT(MID($A1513,FIND("/",$A1513)+1,20),FIND("/",MID($A1513,FIND("/",$A1513)+1,20))-1))),"")))</f>
        <v/>
      </c>
      <c r="D1513">
        <f>IF(OR($A1513="",$B1513=""),"",IF(ISNUMBER($A1513),MOD($A1513,100),IFERROR(VALUE(TRIM(MID(MID($A1513,FIND("/",$A1513)+1,20),FIND("/",MID($A1513,FIND("/",$A1513)+1,20))+1,20))),"")))</f>
        <v/>
      </c>
      <c r="E1513">
        <f>IF($A1513="","",IF(OR($B1513="",$C1513="",$D1513="",$B1513&lt;1300,$B1513&gt;1500,$C1513&lt;1,$C1513&gt;12,$D1513&lt;1,$D1513&gt;31),"نامعتبر",RIGHT("0000"&amp;$B1513,4)&amp;"/"&amp;RIGHT("00"&amp;$C1513,2)&amp;"/"&amp;RIGHT("00"&amp;$D1513,2)))</f>
        <v/>
      </c>
      <c r="F1513">
        <f>IF(OR($E1513="",$E1513="نامعتبر"),"",LEFT($E1513,4)&amp;"/"&amp;MID($E1513,6,2))</f>
        <v/>
      </c>
      <c r="G1513">
        <f>IF(OR($E1513="",$E1513="نامعتبر",Sync!$X1509=""),"",IF(AND(LEFT(UPPER(TRIM(Sync!$X1509)),2)="SL",IFERROR(VLOOKUP(Sync!$W1509,OpTbl,3,0),"")="فروش"),UPPER(TRIM(Sync!$X1509)),""))</f>
        <v/>
      </c>
      <c r="H1513">
        <f>IF($G1513="","",IF(Sync!$W1509="","",Sync!$W1509))</f>
        <v/>
      </c>
      <c r="I1513">
        <f>IF(OR($G1513="",Sync!$Y1509=""),"",Sync!$Y1509)</f>
        <v/>
      </c>
      <c r="J1513">
        <f>IF(OR($G1513="",Sync!$Z1509=""),"",Sync!$Z1509)</f>
        <v/>
      </c>
      <c r="K1513">
        <f>IF($G1513="",0,IF(Sync!$AA1509="",0,Sync!$AA1509))</f>
        <v/>
      </c>
      <c r="L1513">
        <f>IF($G1513="",0,IF(Sync!$AB1509="",0,Sync!$AB1509))</f>
        <v/>
      </c>
      <c r="M1513">
        <f>IF($G1513="","",IF($H1513="مرجوعی فروش",-1,1)*($K1513-$L1513*IFERROR(VLOOKUP("P01",ParamTbl,3,0),1.5)))</f>
        <v/>
      </c>
      <c r="N1513">
        <f>IF($G1513="",0,IF($H1513="مرجوعی فروش",-1,1)*IF(Sync!$AC1509="",0,Sync!$AC1509))</f>
        <v/>
      </c>
      <c r="O1513">
        <f>IF(OR($G1513="",Sync!$V1509=""),"",Sync!$V1509)</f>
        <v/>
      </c>
      <c r="P1513">
        <f>IF(OR($G1513="",Sync!$AD1509=""),"",Sync!$AD1509)</f>
        <v/>
      </c>
      <c r="Q1513">
        <f>IF($G1513="","",IF(Sync!$U1509="","0000",IF(AND(ISNUMBER(Sync!$U1509),Sync!$U1509&gt;=0,Sync!$U1509&lt;1),RIGHT("00"&amp;HOUR(Sync!$U1509),2)&amp;RIGHT("00"&amp;MINUTE(Sync!$U1509),2),IFERROR(RIGHT("00"&amp;VALUE(LEFT(Sync!$U1509,FIND(":",Sync!$U1509)-1)),2)&amp;RIGHT("00"&amp;VALUE(MID(Sync!$U1509,FIND(":",Sync!$U1509)+1,2)),2),"0000"))))</f>
        <v/>
      </c>
    </row>
    <row r="1514">
      <c r="A1514">
        <f>IF(Sync!$T1510="","",Sync!$T1510)</f>
        <v/>
      </c>
      <c r="B1514">
        <f>IF($A1514="","",IF(ISNUMBER($A1514),IF(AND($A1514&gt;=10000101,$A1514&lt;=99991231),INT($A1514/10000),""),IFERROR(VALUE(TRIM(LEFT($A1514,FIND("/",$A1514)-1))),"")))</f>
        <v/>
      </c>
      <c r="C1514">
        <f>IF(OR($A1514="",$B1514=""),"",IF(ISNUMBER($A1514),INT(MOD($A1514,10000)/100),IFERROR(VALUE(TRIM(LEFT(MID($A1514,FIND("/",$A1514)+1,20),FIND("/",MID($A1514,FIND("/",$A1514)+1,20))-1))),"")))</f>
        <v/>
      </c>
      <c r="D1514">
        <f>IF(OR($A1514="",$B1514=""),"",IF(ISNUMBER($A1514),MOD($A1514,100),IFERROR(VALUE(TRIM(MID(MID($A1514,FIND("/",$A1514)+1,20),FIND("/",MID($A1514,FIND("/",$A1514)+1,20))+1,20))),"")))</f>
        <v/>
      </c>
      <c r="E1514">
        <f>IF($A1514="","",IF(OR($B1514="",$C1514="",$D1514="",$B1514&lt;1300,$B1514&gt;1500,$C1514&lt;1,$C1514&gt;12,$D1514&lt;1,$D1514&gt;31),"نامعتبر",RIGHT("0000"&amp;$B1514,4)&amp;"/"&amp;RIGHT("00"&amp;$C1514,2)&amp;"/"&amp;RIGHT("00"&amp;$D1514,2)))</f>
        <v/>
      </c>
      <c r="F1514">
        <f>IF(OR($E1514="",$E1514="نامعتبر"),"",LEFT($E1514,4)&amp;"/"&amp;MID($E1514,6,2))</f>
        <v/>
      </c>
      <c r="G1514">
        <f>IF(OR($E1514="",$E1514="نامعتبر",Sync!$X1510=""),"",IF(AND(LEFT(UPPER(TRIM(Sync!$X1510)),2)="SL",IFERROR(VLOOKUP(Sync!$W1510,OpTbl,3,0),"")="فروش"),UPPER(TRIM(Sync!$X1510)),""))</f>
        <v/>
      </c>
      <c r="H1514">
        <f>IF($G1514="","",IF(Sync!$W1510="","",Sync!$W1510))</f>
        <v/>
      </c>
      <c r="I1514">
        <f>IF(OR($G1514="",Sync!$Y1510=""),"",Sync!$Y1510)</f>
        <v/>
      </c>
      <c r="J1514">
        <f>IF(OR($G1514="",Sync!$Z1510=""),"",Sync!$Z1510)</f>
        <v/>
      </c>
      <c r="K1514">
        <f>IF($G1514="",0,IF(Sync!$AA1510="",0,Sync!$AA1510))</f>
        <v/>
      </c>
      <c r="L1514">
        <f>IF($G1514="",0,IF(Sync!$AB1510="",0,Sync!$AB1510))</f>
        <v/>
      </c>
      <c r="M1514">
        <f>IF($G1514="","",IF($H1514="مرجوعی فروش",-1,1)*($K1514-$L1514*IFERROR(VLOOKUP("P01",ParamTbl,3,0),1.5)))</f>
        <v/>
      </c>
      <c r="N1514">
        <f>IF($G1514="",0,IF($H1514="مرجوعی فروش",-1,1)*IF(Sync!$AC1510="",0,Sync!$AC1510))</f>
        <v/>
      </c>
      <c r="O1514">
        <f>IF(OR($G1514="",Sync!$V1510=""),"",Sync!$V1510)</f>
        <v/>
      </c>
      <c r="P1514">
        <f>IF(OR($G1514="",Sync!$AD1510=""),"",Sync!$AD1510)</f>
        <v/>
      </c>
      <c r="Q1514">
        <f>IF($G1514="","",IF(Sync!$U1510="","0000",IF(AND(ISNUMBER(Sync!$U1510),Sync!$U1510&gt;=0,Sync!$U1510&lt;1),RIGHT("00"&amp;HOUR(Sync!$U1510),2)&amp;RIGHT("00"&amp;MINUTE(Sync!$U1510),2),IFERROR(RIGHT("00"&amp;VALUE(LEFT(Sync!$U1510,FIND(":",Sync!$U1510)-1)),2)&amp;RIGHT("00"&amp;VALUE(MID(Sync!$U1510,FIND(":",Sync!$U1510)+1,2)),2),"0000"))))</f>
        <v/>
      </c>
    </row>
    <row r="1515">
      <c r="A1515">
        <f>IF(Sync!$T1511="","",Sync!$T1511)</f>
        <v/>
      </c>
      <c r="B1515">
        <f>IF($A1515="","",IF(ISNUMBER($A1515),IF(AND($A1515&gt;=10000101,$A1515&lt;=99991231),INT($A1515/10000),""),IFERROR(VALUE(TRIM(LEFT($A1515,FIND("/",$A1515)-1))),"")))</f>
        <v/>
      </c>
      <c r="C1515">
        <f>IF(OR($A1515="",$B1515=""),"",IF(ISNUMBER($A1515),INT(MOD($A1515,10000)/100),IFERROR(VALUE(TRIM(LEFT(MID($A1515,FIND("/",$A1515)+1,20),FIND("/",MID($A1515,FIND("/",$A1515)+1,20))-1))),"")))</f>
        <v/>
      </c>
      <c r="D1515">
        <f>IF(OR($A1515="",$B1515=""),"",IF(ISNUMBER($A1515),MOD($A1515,100),IFERROR(VALUE(TRIM(MID(MID($A1515,FIND("/",$A1515)+1,20),FIND("/",MID($A1515,FIND("/",$A1515)+1,20))+1,20))),"")))</f>
        <v/>
      </c>
      <c r="E1515">
        <f>IF($A1515="","",IF(OR($B1515="",$C1515="",$D1515="",$B1515&lt;1300,$B1515&gt;1500,$C1515&lt;1,$C1515&gt;12,$D1515&lt;1,$D1515&gt;31),"نامعتبر",RIGHT("0000"&amp;$B1515,4)&amp;"/"&amp;RIGHT("00"&amp;$C1515,2)&amp;"/"&amp;RIGHT("00"&amp;$D1515,2)))</f>
        <v/>
      </c>
      <c r="F1515">
        <f>IF(OR($E1515="",$E1515="نامعتبر"),"",LEFT($E1515,4)&amp;"/"&amp;MID($E1515,6,2))</f>
        <v/>
      </c>
      <c r="G1515">
        <f>IF(OR($E1515="",$E1515="نامعتبر",Sync!$X1511=""),"",IF(AND(LEFT(UPPER(TRIM(Sync!$X1511)),2)="SL",IFERROR(VLOOKUP(Sync!$W1511,OpTbl,3,0),"")="فروش"),UPPER(TRIM(Sync!$X1511)),""))</f>
        <v/>
      </c>
      <c r="H1515">
        <f>IF($G1515="","",IF(Sync!$W1511="","",Sync!$W1511))</f>
        <v/>
      </c>
      <c r="I1515">
        <f>IF(OR($G1515="",Sync!$Y1511=""),"",Sync!$Y1511)</f>
        <v/>
      </c>
      <c r="J1515">
        <f>IF(OR($G1515="",Sync!$Z1511=""),"",Sync!$Z1511)</f>
        <v/>
      </c>
      <c r="K1515">
        <f>IF($G1515="",0,IF(Sync!$AA1511="",0,Sync!$AA1511))</f>
        <v/>
      </c>
      <c r="L1515">
        <f>IF($G1515="",0,IF(Sync!$AB1511="",0,Sync!$AB1511))</f>
        <v/>
      </c>
      <c r="M1515">
        <f>IF($G1515="","",IF($H1515="مرجوعی فروش",-1,1)*($K1515-$L1515*IFERROR(VLOOKUP("P01",ParamTbl,3,0),1.5)))</f>
        <v/>
      </c>
      <c r="N1515">
        <f>IF($G1515="",0,IF($H1515="مرجوعی فروش",-1,1)*IF(Sync!$AC1511="",0,Sync!$AC1511))</f>
        <v/>
      </c>
      <c r="O1515">
        <f>IF(OR($G1515="",Sync!$V1511=""),"",Sync!$V1511)</f>
        <v/>
      </c>
      <c r="P1515">
        <f>IF(OR($G1515="",Sync!$AD1511=""),"",Sync!$AD1511)</f>
        <v/>
      </c>
      <c r="Q1515">
        <f>IF($G1515="","",IF(Sync!$U1511="","0000",IF(AND(ISNUMBER(Sync!$U1511),Sync!$U1511&gt;=0,Sync!$U1511&lt;1),RIGHT("00"&amp;HOUR(Sync!$U1511),2)&amp;RIGHT("00"&amp;MINUTE(Sync!$U1511),2),IFERROR(RIGHT("00"&amp;VALUE(LEFT(Sync!$U1511,FIND(":",Sync!$U1511)-1)),2)&amp;RIGHT("00"&amp;VALUE(MID(Sync!$U1511,FIND(":",Sync!$U1511)+1,2)),2),"0000"))))</f>
        <v/>
      </c>
    </row>
    <row r="1516">
      <c r="A1516">
        <f>IF(Sync!$T1512="","",Sync!$T1512)</f>
        <v/>
      </c>
      <c r="B1516">
        <f>IF($A1516="","",IF(ISNUMBER($A1516),IF(AND($A1516&gt;=10000101,$A1516&lt;=99991231),INT($A1516/10000),""),IFERROR(VALUE(TRIM(LEFT($A1516,FIND("/",$A1516)-1))),"")))</f>
        <v/>
      </c>
      <c r="C1516">
        <f>IF(OR($A1516="",$B1516=""),"",IF(ISNUMBER($A1516),INT(MOD($A1516,10000)/100),IFERROR(VALUE(TRIM(LEFT(MID($A1516,FIND("/",$A1516)+1,20),FIND("/",MID($A1516,FIND("/",$A1516)+1,20))-1))),"")))</f>
        <v/>
      </c>
      <c r="D1516">
        <f>IF(OR($A1516="",$B1516=""),"",IF(ISNUMBER($A1516),MOD($A1516,100),IFERROR(VALUE(TRIM(MID(MID($A1516,FIND("/",$A1516)+1,20),FIND("/",MID($A1516,FIND("/",$A1516)+1,20))+1,20))),"")))</f>
        <v/>
      </c>
      <c r="E1516">
        <f>IF($A1516="","",IF(OR($B1516="",$C1516="",$D1516="",$B1516&lt;1300,$B1516&gt;1500,$C1516&lt;1,$C1516&gt;12,$D1516&lt;1,$D1516&gt;31),"نامعتبر",RIGHT("0000"&amp;$B1516,4)&amp;"/"&amp;RIGHT("00"&amp;$C1516,2)&amp;"/"&amp;RIGHT("00"&amp;$D1516,2)))</f>
        <v/>
      </c>
      <c r="F1516">
        <f>IF(OR($E1516="",$E1516="نامعتبر"),"",LEFT($E1516,4)&amp;"/"&amp;MID($E1516,6,2))</f>
        <v/>
      </c>
      <c r="G1516">
        <f>IF(OR($E1516="",$E1516="نامعتبر",Sync!$X1512=""),"",IF(AND(LEFT(UPPER(TRIM(Sync!$X1512)),2)="SL",IFERROR(VLOOKUP(Sync!$W1512,OpTbl,3,0),"")="فروش"),UPPER(TRIM(Sync!$X1512)),""))</f>
        <v/>
      </c>
      <c r="H1516">
        <f>IF($G1516="","",IF(Sync!$W1512="","",Sync!$W1512))</f>
        <v/>
      </c>
      <c r="I1516">
        <f>IF(OR($G1516="",Sync!$Y1512=""),"",Sync!$Y1512)</f>
        <v/>
      </c>
      <c r="J1516">
        <f>IF(OR($G1516="",Sync!$Z1512=""),"",Sync!$Z1512)</f>
        <v/>
      </c>
      <c r="K1516">
        <f>IF($G1516="",0,IF(Sync!$AA1512="",0,Sync!$AA1512))</f>
        <v/>
      </c>
      <c r="L1516">
        <f>IF($G1516="",0,IF(Sync!$AB1512="",0,Sync!$AB1512))</f>
        <v/>
      </c>
      <c r="M1516">
        <f>IF($G1516="","",IF($H1516="مرجوعی فروش",-1,1)*($K1516-$L1516*IFERROR(VLOOKUP("P01",ParamTbl,3,0),1.5)))</f>
        <v/>
      </c>
      <c r="N1516">
        <f>IF($G1516="",0,IF($H1516="مرجوعی فروش",-1,1)*IF(Sync!$AC1512="",0,Sync!$AC1512))</f>
        <v/>
      </c>
      <c r="O1516">
        <f>IF(OR($G1516="",Sync!$V1512=""),"",Sync!$V1512)</f>
        <v/>
      </c>
      <c r="P1516">
        <f>IF(OR($G1516="",Sync!$AD1512=""),"",Sync!$AD1512)</f>
        <v/>
      </c>
      <c r="Q1516">
        <f>IF($G1516="","",IF(Sync!$U1512="","0000",IF(AND(ISNUMBER(Sync!$U1512),Sync!$U1512&gt;=0,Sync!$U1512&lt;1),RIGHT("00"&amp;HOUR(Sync!$U1512),2)&amp;RIGHT("00"&amp;MINUTE(Sync!$U1512),2),IFERROR(RIGHT("00"&amp;VALUE(LEFT(Sync!$U1512,FIND(":",Sync!$U1512)-1)),2)&amp;RIGHT("00"&amp;VALUE(MID(Sync!$U1512,FIND(":",Sync!$U1512)+1,2)),2),"0000"))))</f>
        <v/>
      </c>
    </row>
    <row r="1517">
      <c r="A1517">
        <f>IF(Sync!$T1513="","",Sync!$T1513)</f>
        <v/>
      </c>
      <c r="B1517">
        <f>IF($A1517="","",IF(ISNUMBER($A1517),IF(AND($A1517&gt;=10000101,$A1517&lt;=99991231),INT($A1517/10000),""),IFERROR(VALUE(TRIM(LEFT($A1517,FIND("/",$A1517)-1))),"")))</f>
        <v/>
      </c>
      <c r="C1517">
        <f>IF(OR($A1517="",$B1517=""),"",IF(ISNUMBER($A1517),INT(MOD($A1517,10000)/100),IFERROR(VALUE(TRIM(LEFT(MID($A1517,FIND("/",$A1517)+1,20),FIND("/",MID($A1517,FIND("/",$A1517)+1,20))-1))),"")))</f>
        <v/>
      </c>
      <c r="D1517">
        <f>IF(OR($A1517="",$B1517=""),"",IF(ISNUMBER($A1517),MOD($A1517,100),IFERROR(VALUE(TRIM(MID(MID($A1517,FIND("/",$A1517)+1,20),FIND("/",MID($A1517,FIND("/",$A1517)+1,20))+1,20))),"")))</f>
        <v/>
      </c>
      <c r="E1517">
        <f>IF($A1517="","",IF(OR($B1517="",$C1517="",$D1517="",$B1517&lt;1300,$B1517&gt;1500,$C1517&lt;1,$C1517&gt;12,$D1517&lt;1,$D1517&gt;31),"نامعتبر",RIGHT("0000"&amp;$B1517,4)&amp;"/"&amp;RIGHT("00"&amp;$C1517,2)&amp;"/"&amp;RIGHT("00"&amp;$D1517,2)))</f>
        <v/>
      </c>
      <c r="F1517">
        <f>IF(OR($E1517="",$E1517="نامعتبر"),"",LEFT($E1517,4)&amp;"/"&amp;MID($E1517,6,2))</f>
        <v/>
      </c>
      <c r="G1517">
        <f>IF(OR($E1517="",$E1517="نامعتبر",Sync!$X1513=""),"",IF(AND(LEFT(UPPER(TRIM(Sync!$X1513)),2)="SL",IFERROR(VLOOKUP(Sync!$W1513,OpTbl,3,0),"")="فروش"),UPPER(TRIM(Sync!$X1513)),""))</f>
        <v/>
      </c>
      <c r="H1517">
        <f>IF($G1517="","",IF(Sync!$W1513="","",Sync!$W1513))</f>
        <v/>
      </c>
      <c r="I1517">
        <f>IF(OR($G1517="",Sync!$Y1513=""),"",Sync!$Y1513)</f>
        <v/>
      </c>
      <c r="J1517">
        <f>IF(OR($G1517="",Sync!$Z1513=""),"",Sync!$Z1513)</f>
        <v/>
      </c>
      <c r="K1517">
        <f>IF($G1517="",0,IF(Sync!$AA1513="",0,Sync!$AA1513))</f>
        <v/>
      </c>
      <c r="L1517">
        <f>IF($G1517="",0,IF(Sync!$AB1513="",0,Sync!$AB1513))</f>
        <v/>
      </c>
      <c r="M1517">
        <f>IF($G1517="","",IF($H1517="مرجوعی فروش",-1,1)*($K1517-$L1517*IFERROR(VLOOKUP("P01",ParamTbl,3,0),1.5)))</f>
        <v/>
      </c>
      <c r="N1517">
        <f>IF($G1517="",0,IF($H1517="مرجوعی فروش",-1,1)*IF(Sync!$AC1513="",0,Sync!$AC1513))</f>
        <v/>
      </c>
      <c r="O1517">
        <f>IF(OR($G1517="",Sync!$V1513=""),"",Sync!$V1513)</f>
        <v/>
      </c>
      <c r="P1517">
        <f>IF(OR($G1517="",Sync!$AD1513=""),"",Sync!$AD1513)</f>
        <v/>
      </c>
      <c r="Q1517">
        <f>IF($G1517="","",IF(Sync!$U1513="","0000",IF(AND(ISNUMBER(Sync!$U1513),Sync!$U1513&gt;=0,Sync!$U1513&lt;1),RIGHT("00"&amp;HOUR(Sync!$U1513),2)&amp;RIGHT("00"&amp;MINUTE(Sync!$U1513),2),IFERROR(RIGHT("00"&amp;VALUE(LEFT(Sync!$U1513,FIND(":",Sync!$U1513)-1)),2)&amp;RIGHT("00"&amp;VALUE(MID(Sync!$U1513,FIND(":",Sync!$U1513)+1,2)),2),"0000"))))</f>
        <v/>
      </c>
    </row>
    <row r="1518">
      <c r="A1518">
        <f>IF(Sync!$T1514="","",Sync!$T1514)</f>
        <v/>
      </c>
      <c r="B1518">
        <f>IF($A1518="","",IF(ISNUMBER($A1518),IF(AND($A1518&gt;=10000101,$A1518&lt;=99991231),INT($A1518/10000),""),IFERROR(VALUE(TRIM(LEFT($A1518,FIND("/",$A1518)-1))),"")))</f>
        <v/>
      </c>
      <c r="C1518">
        <f>IF(OR($A1518="",$B1518=""),"",IF(ISNUMBER($A1518),INT(MOD($A1518,10000)/100),IFERROR(VALUE(TRIM(LEFT(MID($A1518,FIND("/",$A1518)+1,20),FIND("/",MID($A1518,FIND("/",$A1518)+1,20))-1))),"")))</f>
        <v/>
      </c>
      <c r="D1518">
        <f>IF(OR($A1518="",$B1518=""),"",IF(ISNUMBER($A1518),MOD($A1518,100),IFERROR(VALUE(TRIM(MID(MID($A1518,FIND("/",$A1518)+1,20),FIND("/",MID($A1518,FIND("/",$A1518)+1,20))+1,20))),"")))</f>
        <v/>
      </c>
      <c r="E1518">
        <f>IF($A1518="","",IF(OR($B1518="",$C1518="",$D1518="",$B1518&lt;1300,$B1518&gt;1500,$C1518&lt;1,$C1518&gt;12,$D1518&lt;1,$D1518&gt;31),"نامعتبر",RIGHT("0000"&amp;$B1518,4)&amp;"/"&amp;RIGHT("00"&amp;$C1518,2)&amp;"/"&amp;RIGHT("00"&amp;$D1518,2)))</f>
        <v/>
      </c>
      <c r="F1518">
        <f>IF(OR($E1518="",$E1518="نامعتبر"),"",LEFT($E1518,4)&amp;"/"&amp;MID($E1518,6,2))</f>
        <v/>
      </c>
      <c r="G1518">
        <f>IF(OR($E1518="",$E1518="نامعتبر",Sync!$X1514=""),"",IF(AND(LEFT(UPPER(TRIM(Sync!$X1514)),2)="SL",IFERROR(VLOOKUP(Sync!$W1514,OpTbl,3,0),"")="فروش"),UPPER(TRIM(Sync!$X1514)),""))</f>
        <v/>
      </c>
      <c r="H1518">
        <f>IF($G1518="","",IF(Sync!$W1514="","",Sync!$W1514))</f>
        <v/>
      </c>
      <c r="I1518">
        <f>IF(OR($G1518="",Sync!$Y1514=""),"",Sync!$Y1514)</f>
        <v/>
      </c>
      <c r="J1518">
        <f>IF(OR($G1518="",Sync!$Z1514=""),"",Sync!$Z1514)</f>
        <v/>
      </c>
      <c r="K1518">
        <f>IF($G1518="",0,IF(Sync!$AA1514="",0,Sync!$AA1514))</f>
        <v/>
      </c>
      <c r="L1518">
        <f>IF($G1518="",0,IF(Sync!$AB1514="",0,Sync!$AB1514))</f>
        <v/>
      </c>
      <c r="M1518">
        <f>IF($G1518="","",IF($H1518="مرجوعی فروش",-1,1)*($K1518-$L1518*IFERROR(VLOOKUP("P01",ParamTbl,3,0),1.5)))</f>
        <v/>
      </c>
      <c r="N1518">
        <f>IF($G1518="",0,IF($H1518="مرجوعی فروش",-1,1)*IF(Sync!$AC1514="",0,Sync!$AC1514))</f>
        <v/>
      </c>
      <c r="O1518">
        <f>IF(OR($G1518="",Sync!$V1514=""),"",Sync!$V1514)</f>
        <v/>
      </c>
      <c r="P1518">
        <f>IF(OR($G1518="",Sync!$AD1514=""),"",Sync!$AD1514)</f>
        <v/>
      </c>
      <c r="Q1518">
        <f>IF($G1518="","",IF(Sync!$U1514="","0000",IF(AND(ISNUMBER(Sync!$U1514),Sync!$U1514&gt;=0,Sync!$U1514&lt;1),RIGHT("00"&amp;HOUR(Sync!$U1514),2)&amp;RIGHT("00"&amp;MINUTE(Sync!$U1514),2),IFERROR(RIGHT("00"&amp;VALUE(LEFT(Sync!$U1514,FIND(":",Sync!$U1514)-1)),2)&amp;RIGHT("00"&amp;VALUE(MID(Sync!$U1514,FIND(":",Sync!$U1514)+1,2)),2),"0000"))))</f>
        <v/>
      </c>
    </row>
    <row r="1519">
      <c r="A1519">
        <f>IF(Sync!$T1515="","",Sync!$T1515)</f>
        <v/>
      </c>
      <c r="B1519">
        <f>IF($A1519="","",IF(ISNUMBER($A1519),IF(AND($A1519&gt;=10000101,$A1519&lt;=99991231),INT($A1519/10000),""),IFERROR(VALUE(TRIM(LEFT($A1519,FIND("/",$A1519)-1))),"")))</f>
        <v/>
      </c>
      <c r="C1519">
        <f>IF(OR($A1519="",$B1519=""),"",IF(ISNUMBER($A1519),INT(MOD($A1519,10000)/100),IFERROR(VALUE(TRIM(LEFT(MID($A1519,FIND("/",$A1519)+1,20),FIND("/",MID($A1519,FIND("/",$A1519)+1,20))-1))),"")))</f>
        <v/>
      </c>
      <c r="D1519">
        <f>IF(OR($A1519="",$B1519=""),"",IF(ISNUMBER($A1519),MOD($A1519,100),IFERROR(VALUE(TRIM(MID(MID($A1519,FIND("/",$A1519)+1,20),FIND("/",MID($A1519,FIND("/",$A1519)+1,20))+1,20))),"")))</f>
        <v/>
      </c>
      <c r="E1519">
        <f>IF($A1519="","",IF(OR($B1519="",$C1519="",$D1519="",$B1519&lt;1300,$B1519&gt;1500,$C1519&lt;1,$C1519&gt;12,$D1519&lt;1,$D1519&gt;31),"نامعتبر",RIGHT("0000"&amp;$B1519,4)&amp;"/"&amp;RIGHT("00"&amp;$C1519,2)&amp;"/"&amp;RIGHT("00"&amp;$D1519,2)))</f>
        <v/>
      </c>
      <c r="F1519">
        <f>IF(OR($E1519="",$E1519="نامعتبر"),"",LEFT($E1519,4)&amp;"/"&amp;MID($E1519,6,2))</f>
        <v/>
      </c>
      <c r="G1519">
        <f>IF(OR($E1519="",$E1519="نامعتبر",Sync!$X1515=""),"",IF(AND(LEFT(UPPER(TRIM(Sync!$X1515)),2)="SL",IFERROR(VLOOKUP(Sync!$W1515,OpTbl,3,0),"")="فروش"),UPPER(TRIM(Sync!$X1515)),""))</f>
        <v/>
      </c>
      <c r="H1519">
        <f>IF($G1519="","",IF(Sync!$W1515="","",Sync!$W1515))</f>
        <v/>
      </c>
      <c r="I1519">
        <f>IF(OR($G1519="",Sync!$Y1515=""),"",Sync!$Y1515)</f>
        <v/>
      </c>
      <c r="J1519">
        <f>IF(OR($G1519="",Sync!$Z1515=""),"",Sync!$Z1515)</f>
        <v/>
      </c>
      <c r="K1519">
        <f>IF($G1519="",0,IF(Sync!$AA1515="",0,Sync!$AA1515))</f>
        <v/>
      </c>
      <c r="L1519">
        <f>IF($G1519="",0,IF(Sync!$AB1515="",0,Sync!$AB1515))</f>
        <v/>
      </c>
      <c r="M1519">
        <f>IF($G1519="","",IF($H1519="مرجوعی فروش",-1,1)*($K1519-$L1519*IFERROR(VLOOKUP("P01",ParamTbl,3,0),1.5)))</f>
        <v/>
      </c>
      <c r="N1519">
        <f>IF($G1519="",0,IF($H1519="مرجوعی فروش",-1,1)*IF(Sync!$AC1515="",0,Sync!$AC1515))</f>
        <v/>
      </c>
      <c r="O1519">
        <f>IF(OR($G1519="",Sync!$V1515=""),"",Sync!$V1515)</f>
        <v/>
      </c>
      <c r="P1519">
        <f>IF(OR($G1519="",Sync!$AD1515=""),"",Sync!$AD1515)</f>
        <v/>
      </c>
      <c r="Q1519">
        <f>IF($G1519="","",IF(Sync!$U1515="","0000",IF(AND(ISNUMBER(Sync!$U1515),Sync!$U1515&gt;=0,Sync!$U1515&lt;1),RIGHT("00"&amp;HOUR(Sync!$U1515),2)&amp;RIGHT("00"&amp;MINUTE(Sync!$U1515),2),IFERROR(RIGHT("00"&amp;VALUE(LEFT(Sync!$U1515,FIND(":",Sync!$U1515)-1)),2)&amp;RIGHT("00"&amp;VALUE(MID(Sync!$U1515,FIND(":",Sync!$U1515)+1,2)),2),"0000"))))</f>
        <v/>
      </c>
    </row>
    <row r="1520">
      <c r="A1520">
        <f>IF(Sync!$T1516="","",Sync!$T1516)</f>
        <v/>
      </c>
      <c r="B1520">
        <f>IF($A1520="","",IF(ISNUMBER($A1520),IF(AND($A1520&gt;=10000101,$A1520&lt;=99991231),INT($A1520/10000),""),IFERROR(VALUE(TRIM(LEFT($A1520,FIND("/",$A1520)-1))),"")))</f>
        <v/>
      </c>
      <c r="C1520">
        <f>IF(OR($A1520="",$B1520=""),"",IF(ISNUMBER($A1520),INT(MOD($A1520,10000)/100),IFERROR(VALUE(TRIM(LEFT(MID($A1520,FIND("/",$A1520)+1,20),FIND("/",MID($A1520,FIND("/",$A1520)+1,20))-1))),"")))</f>
        <v/>
      </c>
      <c r="D1520">
        <f>IF(OR($A1520="",$B1520=""),"",IF(ISNUMBER($A1520),MOD($A1520,100),IFERROR(VALUE(TRIM(MID(MID($A1520,FIND("/",$A1520)+1,20),FIND("/",MID($A1520,FIND("/",$A1520)+1,20))+1,20))),"")))</f>
        <v/>
      </c>
      <c r="E1520">
        <f>IF($A1520="","",IF(OR($B1520="",$C1520="",$D1520="",$B1520&lt;1300,$B1520&gt;1500,$C1520&lt;1,$C1520&gt;12,$D1520&lt;1,$D1520&gt;31),"نامعتبر",RIGHT("0000"&amp;$B1520,4)&amp;"/"&amp;RIGHT("00"&amp;$C1520,2)&amp;"/"&amp;RIGHT("00"&amp;$D1520,2)))</f>
        <v/>
      </c>
      <c r="F1520">
        <f>IF(OR($E1520="",$E1520="نامعتبر"),"",LEFT($E1520,4)&amp;"/"&amp;MID($E1520,6,2))</f>
        <v/>
      </c>
      <c r="G1520">
        <f>IF(OR($E1520="",$E1520="نامعتبر",Sync!$X1516=""),"",IF(AND(LEFT(UPPER(TRIM(Sync!$X1516)),2)="SL",IFERROR(VLOOKUP(Sync!$W1516,OpTbl,3,0),"")="فروش"),UPPER(TRIM(Sync!$X1516)),""))</f>
        <v/>
      </c>
      <c r="H1520">
        <f>IF($G1520="","",IF(Sync!$W1516="","",Sync!$W1516))</f>
        <v/>
      </c>
      <c r="I1520">
        <f>IF(OR($G1520="",Sync!$Y1516=""),"",Sync!$Y1516)</f>
        <v/>
      </c>
      <c r="J1520">
        <f>IF(OR($G1520="",Sync!$Z1516=""),"",Sync!$Z1516)</f>
        <v/>
      </c>
      <c r="K1520">
        <f>IF($G1520="",0,IF(Sync!$AA1516="",0,Sync!$AA1516))</f>
        <v/>
      </c>
      <c r="L1520">
        <f>IF($G1520="",0,IF(Sync!$AB1516="",0,Sync!$AB1516))</f>
        <v/>
      </c>
      <c r="M1520">
        <f>IF($G1520="","",IF($H1520="مرجوعی فروش",-1,1)*($K1520-$L1520*IFERROR(VLOOKUP("P01",ParamTbl,3,0),1.5)))</f>
        <v/>
      </c>
      <c r="N1520">
        <f>IF($G1520="",0,IF($H1520="مرجوعی فروش",-1,1)*IF(Sync!$AC1516="",0,Sync!$AC1516))</f>
        <v/>
      </c>
      <c r="O1520">
        <f>IF(OR($G1520="",Sync!$V1516=""),"",Sync!$V1516)</f>
        <v/>
      </c>
      <c r="P1520">
        <f>IF(OR($G1520="",Sync!$AD1516=""),"",Sync!$AD1516)</f>
        <v/>
      </c>
      <c r="Q1520">
        <f>IF($G1520="","",IF(Sync!$U1516="","0000",IF(AND(ISNUMBER(Sync!$U1516),Sync!$U1516&gt;=0,Sync!$U1516&lt;1),RIGHT("00"&amp;HOUR(Sync!$U1516),2)&amp;RIGHT("00"&amp;MINUTE(Sync!$U1516),2),IFERROR(RIGHT("00"&amp;VALUE(LEFT(Sync!$U1516,FIND(":",Sync!$U1516)-1)),2)&amp;RIGHT("00"&amp;VALUE(MID(Sync!$U1516,FIND(":",Sync!$U1516)+1,2)),2),"0000"))))</f>
        <v/>
      </c>
    </row>
    <row r="1521">
      <c r="A1521">
        <f>IF(Sync!$T1517="","",Sync!$T1517)</f>
        <v/>
      </c>
      <c r="B1521">
        <f>IF($A1521="","",IF(ISNUMBER($A1521),IF(AND($A1521&gt;=10000101,$A1521&lt;=99991231),INT($A1521/10000),""),IFERROR(VALUE(TRIM(LEFT($A1521,FIND("/",$A1521)-1))),"")))</f>
        <v/>
      </c>
      <c r="C1521">
        <f>IF(OR($A1521="",$B1521=""),"",IF(ISNUMBER($A1521),INT(MOD($A1521,10000)/100),IFERROR(VALUE(TRIM(LEFT(MID($A1521,FIND("/",$A1521)+1,20),FIND("/",MID($A1521,FIND("/",$A1521)+1,20))-1))),"")))</f>
        <v/>
      </c>
      <c r="D1521">
        <f>IF(OR($A1521="",$B1521=""),"",IF(ISNUMBER($A1521),MOD($A1521,100),IFERROR(VALUE(TRIM(MID(MID($A1521,FIND("/",$A1521)+1,20),FIND("/",MID($A1521,FIND("/",$A1521)+1,20))+1,20))),"")))</f>
        <v/>
      </c>
      <c r="E1521">
        <f>IF($A1521="","",IF(OR($B1521="",$C1521="",$D1521="",$B1521&lt;1300,$B1521&gt;1500,$C1521&lt;1,$C1521&gt;12,$D1521&lt;1,$D1521&gt;31),"نامعتبر",RIGHT("0000"&amp;$B1521,4)&amp;"/"&amp;RIGHT("00"&amp;$C1521,2)&amp;"/"&amp;RIGHT("00"&amp;$D1521,2)))</f>
        <v/>
      </c>
      <c r="F1521">
        <f>IF(OR($E1521="",$E1521="نامعتبر"),"",LEFT($E1521,4)&amp;"/"&amp;MID($E1521,6,2))</f>
        <v/>
      </c>
      <c r="G1521">
        <f>IF(OR($E1521="",$E1521="نامعتبر",Sync!$X1517=""),"",IF(AND(LEFT(UPPER(TRIM(Sync!$X1517)),2)="SL",IFERROR(VLOOKUP(Sync!$W1517,OpTbl,3,0),"")="فروش"),UPPER(TRIM(Sync!$X1517)),""))</f>
        <v/>
      </c>
      <c r="H1521">
        <f>IF($G1521="","",IF(Sync!$W1517="","",Sync!$W1517))</f>
        <v/>
      </c>
      <c r="I1521">
        <f>IF(OR($G1521="",Sync!$Y1517=""),"",Sync!$Y1517)</f>
        <v/>
      </c>
      <c r="J1521">
        <f>IF(OR($G1521="",Sync!$Z1517=""),"",Sync!$Z1517)</f>
        <v/>
      </c>
      <c r="K1521">
        <f>IF($G1521="",0,IF(Sync!$AA1517="",0,Sync!$AA1517))</f>
        <v/>
      </c>
      <c r="L1521">
        <f>IF($G1521="",0,IF(Sync!$AB1517="",0,Sync!$AB1517))</f>
        <v/>
      </c>
      <c r="M1521">
        <f>IF($G1521="","",IF($H1521="مرجوعی فروش",-1,1)*($K1521-$L1521*IFERROR(VLOOKUP("P01",ParamTbl,3,0),1.5)))</f>
        <v/>
      </c>
      <c r="N1521">
        <f>IF($G1521="",0,IF($H1521="مرجوعی فروش",-1,1)*IF(Sync!$AC1517="",0,Sync!$AC1517))</f>
        <v/>
      </c>
      <c r="O1521">
        <f>IF(OR($G1521="",Sync!$V1517=""),"",Sync!$V1517)</f>
        <v/>
      </c>
      <c r="P1521">
        <f>IF(OR($G1521="",Sync!$AD1517=""),"",Sync!$AD1517)</f>
        <v/>
      </c>
      <c r="Q1521">
        <f>IF($G1521="","",IF(Sync!$U1517="","0000",IF(AND(ISNUMBER(Sync!$U1517),Sync!$U1517&gt;=0,Sync!$U1517&lt;1),RIGHT("00"&amp;HOUR(Sync!$U1517),2)&amp;RIGHT("00"&amp;MINUTE(Sync!$U1517),2),IFERROR(RIGHT("00"&amp;VALUE(LEFT(Sync!$U1517,FIND(":",Sync!$U1517)-1)),2)&amp;RIGHT("00"&amp;VALUE(MID(Sync!$U1517,FIND(":",Sync!$U1517)+1,2)),2),"0000"))))</f>
        <v/>
      </c>
    </row>
    <row r="1522">
      <c r="A1522">
        <f>IF(Sync!$T1518="","",Sync!$T1518)</f>
        <v/>
      </c>
      <c r="B1522">
        <f>IF($A1522="","",IF(ISNUMBER($A1522),IF(AND($A1522&gt;=10000101,$A1522&lt;=99991231),INT($A1522/10000),""),IFERROR(VALUE(TRIM(LEFT($A1522,FIND("/",$A1522)-1))),"")))</f>
        <v/>
      </c>
      <c r="C1522">
        <f>IF(OR($A1522="",$B1522=""),"",IF(ISNUMBER($A1522),INT(MOD($A1522,10000)/100),IFERROR(VALUE(TRIM(LEFT(MID($A1522,FIND("/",$A1522)+1,20),FIND("/",MID($A1522,FIND("/",$A1522)+1,20))-1))),"")))</f>
        <v/>
      </c>
      <c r="D1522">
        <f>IF(OR($A1522="",$B1522=""),"",IF(ISNUMBER($A1522),MOD($A1522,100),IFERROR(VALUE(TRIM(MID(MID($A1522,FIND("/",$A1522)+1,20),FIND("/",MID($A1522,FIND("/",$A1522)+1,20))+1,20))),"")))</f>
        <v/>
      </c>
      <c r="E1522">
        <f>IF($A1522="","",IF(OR($B1522="",$C1522="",$D1522="",$B1522&lt;1300,$B1522&gt;1500,$C1522&lt;1,$C1522&gt;12,$D1522&lt;1,$D1522&gt;31),"نامعتبر",RIGHT("0000"&amp;$B1522,4)&amp;"/"&amp;RIGHT("00"&amp;$C1522,2)&amp;"/"&amp;RIGHT("00"&amp;$D1522,2)))</f>
        <v/>
      </c>
      <c r="F1522">
        <f>IF(OR($E1522="",$E1522="نامعتبر"),"",LEFT($E1522,4)&amp;"/"&amp;MID($E1522,6,2))</f>
        <v/>
      </c>
      <c r="G1522">
        <f>IF(OR($E1522="",$E1522="نامعتبر",Sync!$X1518=""),"",IF(AND(LEFT(UPPER(TRIM(Sync!$X1518)),2)="SL",IFERROR(VLOOKUP(Sync!$W1518,OpTbl,3,0),"")="فروش"),UPPER(TRIM(Sync!$X1518)),""))</f>
        <v/>
      </c>
      <c r="H1522">
        <f>IF($G1522="","",IF(Sync!$W1518="","",Sync!$W1518))</f>
        <v/>
      </c>
      <c r="I1522">
        <f>IF(OR($G1522="",Sync!$Y1518=""),"",Sync!$Y1518)</f>
        <v/>
      </c>
      <c r="J1522">
        <f>IF(OR($G1522="",Sync!$Z1518=""),"",Sync!$Z1518)</f>
        <v/>
      </c>
      <c r="K1522">
        <f>IF($G1522="",0,IF(Sync!$AA1518="",0,Sync!$AA1518))</f>
        <v/>
      </c>
      <c r="L1522">
        <f>IF($G1522="",0,IF(Sync!$AB1518="",0,Sync!$AB1518))</f>
        <v/>
      </c>
      <c r="M1522">
        <f>IF($G1522="","",IF($H1522="مرجوعی فروش",-1,1)*($K1522-$L1522*IFERROR(VLOOKUP("P01",ParamTbl,3,0),1.5)))</f>
        <v/>
      </c>
      <c r="N1522">
        <f>IF($G1522="",0,IF($H1522="مرجوعی فروش",-1,1)*IF(Sync!$AC1518="",0,Sync!$AC1518))</f>
        <v/>
      </c>
      <c r="O1522">
        <f>IF(OR($G1522="",Sync!$V1518=""),"",Sync!$V1518)</f>
        <v/>
      </c>
      <c r="P1522">
        <f>IF(OR($G1522="",Sync!$AD1518=""),"",Sync!$AD1518)</f>
        <v/>
      </c>
      <c r="Q1522">
        <f>IF($G1522="","",IF(Sync!$U1518="","0000",IF(AND(ISNUMBER(Sync!$U1518),Sync!$U1518&gt;=0,Sync!$U1518&lt;1),RIGHT("00"&amp;HOUR(Sync!$U1518),2)&amp;RIGHT("00"&amp;MINUTE(Sync!$U1518),2),IFERROR(RIGHT("00"&amp;VALUE(LEFT(Sync!$U1518,FIND(":",Sync!$U1518)-1)),2)&amp;RIGHT("00"&amp;VALUE(MID(Sync!$U1518,FIND(":",Sync!$U1518)+1,2)),2),"0000"))))</f>
        <v/>
      </c>
    </row>
    <row r="1523">
      <c r="A1523">
        <f>IF(Sync!$T1519="","",Sync!$T1519)</f>
        <v/>
      </c>
      <c r="B1523">
        <f>IF($A1523="","",IF(ISNUMBER($A1523),IF(AND($A1523&gt;=10000101,$A1523&lt;=99991231),INT($A1523/10000),""),IFERROR(VALUE(TRIM(LEFT($A1523,FIND("/",$A1523)-1))),"")))</f>
        <v/>
      </c>
      <c r="C1523">
        <f>IF(OR($A1523="",$B1523=""),"",IF(ISNUMBER($A1523),INT(MOD($A1523,10000)/100),IFERROR(VALUE(TRIM(LEFT(MID($A1523,FIND("/",$A1523)+1,20),FIND("/",MID($A1523,FIND("/",$A1523)+1,20))-1))),"")))</f>
        <v/>
      </c>
      <c r="D1523">
        <f>IF(OR($A1523="",$B1523=""),"",IF(ISNUMBER($A1523),MOD($A1523,100),IFERROR(VALUE(TRIM(MID(MID($A1523,FIND("/",$A1523)+1,20),FIND("/",MID($A1523,FIND("/",$A1523)+1,20))+1,20))),"")))</f>
        <v/>
      </c>
      <c r="E1523">
        <f>IF($A1523="","",IF(OR($B1523="",$C1523="",$D1523="",$B1523&lt;1300,$B1523&gt;1500,$C1523&lt;1,$C1523&gt;12,$D1523&lt;1,$D1523&gt;31),"نامعتبر",RIGHT("0000"&amp;$B1523,4)&amp;"/"&amp;RIGHT("00"&amp;$C1523,2)&amp;"/"&amp;RIGHT("00"&amp;$D1523,2)))</f>
        <v/>
      </c>
      <c r="F1523">
        <f>IF(OR($E1523="",$E1523="نامعتبر"),"",LEFT($E1523,4)&amp;"/"&amp;MID($E1523,6,2))</f>
        <v/>
      </c>
      <c r="G1523">
        <f>IF(OR($E1523="",$E1523="نامعتبر",Sync!$X1519=""),"",IF(AND(LEFT(UPPER(TRIM(Sync!$X1519)),2)="SL",IFERROR(VLOOKUP(Sync!$W1519,OpTbl,3,0),"")="فروش"),UPPER(TRIM(Sync!$X1519)),""))</f>
        <v/>
      </c>
      <c r="H1523">
        <f>IF($G1523="","",IF(Sync!$W1519="","",Sync!$W1519))</f>
        <v/>
      </c>
      <c r="I1523">
        <f>IF(OR($G1523="",Sync!$Y1519=""),"",Sync!$Y1519)</f>
        <v/>
      </c>
      <c r="J1523">
        <f>IF(OR($G1523="",Sync!$Z1519=""),"",Sync!$Z1519)</f>
        <v/>
      </c>
      <c r="K1523">
        <f>IF($G1523="",0,IF(Sync!$AA1519="",0,Sync!$AA1519))</f>
        <v/>
      </c>
      <c r="L1523">
        <f>IF($G1523="",0,IF(Sync!$AB1519="",0,Sync!$AB1519))</f>
        <v/>
      </c>
      <c r="M1523">
        <f>IF($G1523="","",IF($H1523="مرجوعی فروش",-1,1)*($K1523-$L1523*IFERROR(VLOOKUP("P01",ParamTbl,3,0),1.5)))</f>
        <v/>
      </c>
      <c r="N1523">
        <f>IF($G1523="",0,IF($H1523="مرجوعی فروش",-1,1)*IF(Sync!$AC1519="",0,Sync!$AC1519))</f>
        <v/>
      </c>
      <c r="O1523">
        <f>IF(OR($G1523="",Sync!$V1519=""),"",Sync!$V1519)</f>
        <v/>
      </c>
      <c r="P1523">
        <f>IF(OR($G1523="",Sync!$AD1519=""),"",Sync!$AD1519)</f>
        <v/>
      </c>
      <c r="Q1523">
        <f>IF($G1523="","",IF(Sync!$U1519="","0000",IF(AND(ISNUMBER(Sync!$U1519),Sync!$U1519&gt;=0,Sync!$U1519&lt;1),RIGHT("00"&amp;HOUR(Sync!$U1519),2)&amp;RIGHT("00"&amp;MINUTE(Sync!$U1519),2),IFERROR(RIGHT("00"&amp;VALUE(LEFT(Sync!$U1519,FIND(":",Sync!$U1519)-1)),2)&amp;RIGHT("00"&amp;VALUE(MID(Sync!$U1519,FIND(":",Sync!$U1519)+1,2)),2),"0000"))))</f>
        <v/>
      </c>
    </row>
    <row r="1524">
      <c r="A1524">
        <f>IF(Sync!$T1520="","",Sync!$T1520)</f>
        <v/>
      </c>
      <c r="B1524">
        <f>IF($A1524="","",IF(ISNUMBER($A1524),IF(AND($A1524&gt;=10000101,$A1524&lt;=99991231),INT($A1524/10000),""),IFERROR(VALUE(TRIM(LEFT($A1524,FIND("/",$A1524)-1))),"")))</f>
        <v/>
      </c>
      <c r="C1524">
        <f>IF(OR($A1524="",$B1524=""),"",IF(ISNUMBER($A1524),INT(MOD($A1524,10000)/100),IFERROR(VALUE(TRIM(LEFT(MID($A1524,FIND("/",$A1524)+1,20),FIND("/",MID($A1524,FIND("/",$A1524)+1,20))-1))),"")))</f>
        <v/>
      </c>
      <c r="D1524">
        <f>IF(OR($A1524="",$B1524=""),"",IF(ISNUMBER($A1524),MOD($A1524,100),IFERROR(VALUE(TRIM(MID(MID($A1524,FIND("/",$A1524)+1,20),FIND("/",MID($A1524,FIND("/",$A1524)+1,20))+1,20))),"")))</f>
        <v/>
      </c>
      <c r="E1524">
        <f>IF($A1524="","",IF(OR($B1524="",$C1524="",$D1524="",$B1524&lt;1300,$B1524&gt;1500,$C1524&lt;1,$C1524&gt;12,$D1524&lt;1,$D1524&gt;31),"نامعتبر",RIGHT("0000"&amp;$B1524,4)&amp;"/"&amp;RIGHT("00"&amp;$C1524,2)&amp;"/"&amp;RIGHT("00"&amp;$D1524,2)))</f>
        <v/>
      </c>
      <c r="F1524">
        <f>IF(OR($E1524="",$E1524="نامعتبر"),"",LEFT($E1524,4)&amp;"/"&amp;MID($E1524,6,2))</f>
        <v/>
      </c>
      <c r="G1524">
        <f>IF(OR($E1524="",$E1524="نامعتبر",Sync!$X1520=""),"",IF(AND(LEFT(UPPER(TRIM(Sync!$X1520)),2)="SL",IFERROR(VLOOKUP(Sync!$W1520,OpTbl,3,0),"")="فروش"),UPPER(TRIM(Sync!$X1520)),""))</f>
        <v/>
      </c>
      <c r="H1524">
        <f>IF($G1524="","",IF(Sync!$W1520="","",Sync!$W1520))</f>
        <v/>
      </c>
      <c r="I1524">
        <f>IF(OR($G1524="",Sync!$Y1520=""),"",Sync!$Y1520)</f>
        <v/>
      </c>
      <c r="J1524">
        <f>IF(OR($G1524="",Sync!$Z1520=""),"",Sync!$Z1520)</f>
        <v/>
      </c>
      <c r="K1524">
        <f>IF($G1524="",0,IF(Sync!$AA1520="",0,Sync!$AA1520))</f>
        <v/>
      </c>
      <c r="L1524">
        <f>IF($G1524="",0,IF(Sync!$AB1520="",0,Sync!$AB1520))</f>
        <v/>
      </c>
      <c r="M1524">
        <f>IF($G1524="","",IF($H1524="مرجوعی فروش",-1,1)*($K1524-$L1524*IFERROR(VLOOKUP("P01",ParamTbl,3,0),1.5)))</f>
        <v/>
      </c>
      <c r="N1524">
        <f>IF($G1524="",0,IF($H1524="مرجوعی فروش",-1,1)*IF(Sync!$AC1520="",0,Sync!$AC1520))</f>
        <v/>
      </c>
      <c r="O1524">
        <f>IF(OR($G1524="",Sync!$V1520=""),"",Sync!$V1520)</f>
        <v/>
      </c>
      <c r="P1524">
        <f>IF(OR($G1524="",Sync!$AD1520=""),"",Sync!$AD1520)</f>
        <v/>
      </c>
      <c r="Q1524">
        <f>IF($G1524="","",IF(Sync!$U1520="","0000",IF(AND(ISNUMBER(Sync!$U1520),Sync!$U1520&gt;=0,Sync!$U1520&lt;1),RIGHT("00"&amp;HOUR(Sync!$U1520),2)&amp;RIGHT("00"&amp;MINUTE(Sync!$U1520),2),IFERROR(RIGHT("00"&amp;VALUE(LEFT(Sync!$U1520,FIND(":",Sync!$U1520)-1)),2)&amp;RIGHT("00"&amp;VALUE(MID(Sync!$U1520,FIND(":",Sync!$U1520)+1,2)),2),"0000"))))</f>
        <v/>
      </c>
    </row>
    <row r="1525">
      <c r="A1525">
        <f>IF(Sync!$T1521="","",Sync!$T1521)</f>
        <v/>
      </c>
      <c r="B1525">
        <f>IF($A1525="","",IF(ISNUMBER($A1525),IF(AND($A1525&gt;=10000101,$A1525&lt;=99991231),INT($A1525/10000),""),IFERROR(VALUE(TRIM(LEFT($A1525,FIND("/",$A1525)-1))),"")))</f>
        <v/>
      </c>
      <c r="C1525">
        <f>IF(OR($A1525="",$B1525=""),"",IF(ISNUMBER($A1525),INT(MOD($A1525,10000)/100),IFERROR(VALUE(TRIM(LEFT(MID($A1525,FIND("/",$A1525)+1,20),FIND("/",MID($A1525,FIND("/",$A1525)+1,20))-1))),"")))</f>
        <v/>
      </c>
      <c r="D1525">
        <f>IF(OR($A1525="",$B1525=""),"",IF(ISNUMBER($A1525),MOD($A1525,100),IFERROR(VALUE(TRIM(MID(MID($A1525,FIND("/",$A1525)+1,20),FIND("/",MID($A1525,FIND("/",$A1525)+1,20))+1,20))),"")))</f>
        <v/>
      </c>
      <c r="E1525">
        <f>IF($A1525="","",IF(OR($B1525="",$C1525="",$D1525="",$B1525&lt;1300,$B1525&gt;1500,$C1525&lt;1,$C1525&gt;12,$D1525&lt;1,$D1525&gt;31),"نامعتبر",RIGHT("0000"&amp;$B1525,4)&amp;"/"&amp;RIGHT("00"&amp;$C1525,2)&amp;"/"&amp;RIGHT("00"&amp;$D1525,2)))</f>
        <v/>
      </c>
      <c r="F1525">
        <f>IF(OR($E1525="",$E1525="نامعتبر"),"",LEFT($E1525,4)&amp;"/"&amp;MID($E1525,6,2))</f>
        <v/>
      </c>
      <c r="G1525">
        <f>IF(OR($E1525="",$E1525="نامعتبر",Sync!$X1521=""),"",IF(AND(LEFT(UPPER(TRIM(Sync!$X1521)),2)="SL",IFERROR(VLOOKUP(Sync!$W1521,OpTbl,3,0),"")="فروش"),UPPER(TRIM(Sync!$X1521)),""))</f>
        <v/>
      </c>
      <c r="H1525">
        <f>IF($G1525="","",IF(Sync!$W1521="","",Sync!$W1521))</f>
        <v/>
      </c>
      <c r="I1525">
        <f>IF(OR($G1525="",Sync!$Y1521=""),"",Sync!$Y1521)</f>
        <v/>
      </c>
      <c r="J1525">
        <f>IF(OR($G1525="",Sync!$Z1521=""),"",Sync!$Z1521)</f>
        <v/>
      </c>
      <c r="K1525">
        <f>IF($G1525="",0,IF(Sync!$AA1521="",0,Sync!$AA1521))</f>
        <v/>
      </c>
      <c r="L1525">
        <f>IF($G1525="",0,IF(Sync!$AB1521="",0,Sync!$AB1521))</f>
        <v/>
      </c>
      <c r="M1525">
        <f>IF($G1525="","",IF($H1525="مرجوعی فروش",-1,1)*($K1525-$L1525*IFERROR(VLOOKUP("P01",ParamTbl,3,0),1.5)))</f>
        <v/>
      </c>
      <c r="N1525">
        <f>IF($G1525="",0,IF($H1525="مرجوعی فروش",-1,1)*IF(Sync!$AC1521="",0,Sync!$AC1521))</f>
        <v/>
      </c>
      <c r="O1525">
        <f>IF(OR($G1525="",Sync!$V1521=""),"",Sync!$V1521)</f>
        <v/>
      </c>
      <c r="P1525">
        <f>IF(OR($G1525="",Sync!$AD1521=""),"",Sync!$AD1521)</f>
        <v/>
      </c>
      <c r="Q1525">
        <f>IF($G1525="","",IF(Sync!$U1521="","0000",IF(AND(ISNUMBER(Sync!$U1521),Sync!$U1521&gt;=0,Sync!$U1521&lt;1),RIGHT("00"&amp;HOUR(Sync!$U1521),2)&amp;RIGHT("00"&amp;MINUTE(Sync!$U1521),2),IFERROR(RIGHT("00"&amp;VALUE(LEFT(Sync!$U1521,FIND(":",Sync!$U1521)-1)),2)&amp;RIGHT("00"&amp;VALUE(MID(Sync!$U1521,FIND(":",Sync!$U1521)+1,2)),2),"0000"))))</f>
        <v/>
      </c>
    </row>
    <row r="1526">
      <c r="A1526">
        <f>IF(Sync!$T1522="","",Sync!$T1522)</f>
        <v/>
      </c>
      <c r="B1526">
        <f>IF($A1526="","",IF(ISNUMBER($A1526),IF(AND($A1526&gt;=10000101,$A1526&lt;=99991231),INT($A1526/10000),""),IFERROR(VALUE(TRIM(LEFT($A1526,FIND("/",$A1526)-1))),"")))</f>
        <v/>
      </c>
      <c r="C1526">
        <f>IF(OR($A1526="",$B1526=""),"",IF(ISNUMBER($A1526),INT(MOD($A1526,10000)/100),IFERROR(VALUE(TRIM(LEFT(MID($A1526,FIND("/",$A1526)+1,20),FIND("/",MID($A1526,FIND("/",$A1526)+1,20))-1))),"")))</f>
        <v/>
      </c>
      <c r="D1526">
        <f>IF(OR($A1526="",$B1526=""),"",IF(ISNUMBER($A1526),MOD($A1526,100),IFERROR(VALUE(TRIM(MID(MID($A1526,FIND("/",$A1526)+1,20),FIND("/",MID($A1526,FIND("/",$A1526)+1,20))+1,20))),"")))</f>
        <v/>
      </c>
      <c r="E1526">
        <f>IF($A1526="","",IF(OR($B1526="",$C1526="",$D1526="",$B1526&lt;1300,$B1526&gt;1500,$C1526&lt;1,$C1526&gt;12,$D1526&lt;1,$D1526&gt;31),"نامعتبر",RIGHT("0000"&amp;$B1526,4)&amp;"/"&amp;RIGHT("00"&amp;$C1526,2)&amp;"/"&amp;RIGHT("00"&amp;$D1526,2)))</f>
        <v/>
      </c>
      <c r="F1526">
        <f>IF(OR($E1526="",$E1526="نامعتبر"),"",LEFT($E1526,4)&amp;"/"&amp;MID($E1526,6,2))</f>
        <v/>
      </c>
      <c r="G1526">
        <f>IF(OR($E1526="",$E1526="نامعتبر",Sync!$X1522=""),"",IF(AND(LEFT(UPPER(TRIM(Sync!$X1522)),2)="SL",IFERROR(VLOOKUP(Sync!$W1522,OpTbl,3,0),"")="فروش"),UPPER(TRIM(Sync!$X1522)),""))</f>
        <v/>
      </c>
      <c r="H1526">
        <f>IF($G1526="","",IF(Sync!$W1522="","",Sync!$W1522))</f>
        <v/>
      </c>
      <c r="I1526">
        <f>IF(OR($G1526="",Sync!$Y1522=""),"",Sync!$Y1522)</f>
        <v/>
      </c>
      <c r="J1526">
        <f>IF(OR($G1526="",Sync!$Z1522=""),"",Sync!$Z1522)</f>
        <v/>
      </c>
      <c r="K1526">
        <f>IF($G1526="",0,IF(Sync!$AA1522="",0,Sync!$AA1522))</f>
        <v/>
      </c>
      <c r="L1526">
        <f>IF($G1526="",0,IF(Sync!$AB1522="",0,Sync!$AB1522))</f>
        <v/>
      </c>
      <c r="M1526">
        <f>IF($G1526="","",IF($H1526="مرجوعی فروش",-1,1)*($K1526-$L1526*IFERROR(VLOOKUP("P01",ParamTbl,3,0),1.5)))</f>
        <v/>
      </c>
      <c r="N1526">
        <f>IF($G1526="",0,IF($H1526="مرجوعی فروش",-1,1)*IF(Sync!$AC1522="",0,Sync!$AC1522))</f>
        <v/>
      </c>
      <c r="O1526">
        <f>IF(OR($G1526="",Sync!$V1522=""),"",Sync!$V1522)</f>
        <v/>
      </c>
      <c r="P1526">
        <f>IF(OR($G1526="",Sync!$AD1522=""),"",Sync!$AD1522)</f>
        <v/>
      </c>
      <c r="Q1526">
        <f>IF($G1526="","",IF(Sync!$U1522="","0000",IF(AND(ISNUMBER(Sync!$U1522),Sync!$U1522&gt;=0,Sync!$U1522&lt;1),RIGHT("00"&amp;HOUR(Sync!$U1522),2)&amp;RIGHT("00"&amp;MINUTE(Sync!$U1522),2),IFERROR(RIGHT("00"&amp;VALUE(LEFT(Sync!$U1522,FIND(":",Sync!$U1522)-1)),2)&amp;RIGHT("00"&amp;VALUE(MID(Sync!$U1522,FIND(":",Sync!$U1522)+1,2)),2),"0000"))))</f>
        <v/>
      </c>
    </row>
    <row r="1527">
      <c r="A1527">
        <f>IF(Sync!$T1523="","",Sync!$T1523)</f>
        <v/>
      </c>
      <c r="B1527">
        <f>IF($A1527="","",IF(ISNUMBER($A1527),IF(AND($A1527&gt;=10000101,$A1527&lt;=99991231),INT($A1527/10000),""),IFERROR(VALUE(TRIM(LEFT($A1527,FIND("/",$A1527)-1))),"")))</f>
        <v/>
      </c>
      <c r="C1527">
        <f>IF(OR($A1527="",$B1527=""),"",IF(ISNUMBER($A1527),INT(MOD($A1527,10000)/100),IFERROR(VALUE(TRIM(LEFT(MID($A1527,FIND("/",$A1527)+1,20),FIND("/",MID($A1527,FIND("/",$A1527)+1,20))-1))),"")))</f>
        <v/>
      </c>
      <c r="D1527">
        <f>IF(OR($A1527="",$B1527=""),"",IF(ISNUMBER($A1527),MOD($A1527,100),IFERROR(VALUE(TRIM(MID(MID($A1527,FIND("/",$A1527)+1,20),FIND("/",MID($A1527,FIND("/",$A1527)+1,20))+1,20))),"")))</f>
        <v/>
      </c>
      <c r="E1527">
        <f>IF($A1527="","",IF(OR($B1527="",$C1527="",$D1527="",$B1527&lt;1300,$B1527&gt;1500,$C1527&lt;1,$C1527&gt;12,$D1527&lt;1,$D1527&gt;31),"نامعتبر",RIGHT("0000"&amp;$B1527,4)&amp;"/"&amp;RIGHT("00"&amp;$C1527,2)&amp;"/"&amp;RIGHT("00"&amp;$D1527,2)))</f>
        <v/>
      </c>
      <c r="F1527">
        <f>IF(OR($E1527="",$E1527="نامعتبر"),"",LEFT($E1527,4)&amp;"/"&amp;MID($E1527,6,2))</f>
        <v/>
      </c>
      <c r="G1527">
        <f>IF(OR($E1527="",$E1527="نامعتبر",Sync!$X1523=""),"",IF(AND(LEFT(UPPER(TRIM(Sync!$X1523)),2)="SL",IFERROR(VLOOKUP(Sync!$W1523,OpTbl,3,0),"")="فروش"),UPPER(TRIM(Sync!$X1523)),""))</f>
        <v/>
      </c>
      <c r="H1527">
        <f>IF($G1527="","",IF(Sync!$W1523="","",Sync!$W1523))</f>
        <v/>
      </c>
      <c r="I1527">
        <f>IF(OR($G1527="",Sync!$Y1523=""),"",Sync!$Y1523)</f>
        <v/>
      </c>
      <c r="J1527">
        <f>IF(OR($G1527="",Sync!$Z1523=""),"",Sync!$Z1523)</f>
        <v/>
      </c>
      <c r="K1527">
        <f>IF($G1527="",0,IF(Sync!$AA1523="",0,Sync!$AA1523))</f>
        <v/>
      </c>
      <c r="L1527">
        <f>IF($G1527="",0,IF(Sync!$AB1523="",0,Sync!$AB1523))</f>
        <v/>
      </c>
      <c r="M1527">
        <f>IF($G1527="","",IF($H1527="مرجوعی فروش",-1,1)*($K1527-$L1527*IFERROR(VLOOKUP("P01",ParamTbl,3,0),1.5)))</f>
        <v/>
      </c>
      <c r="N1527">
        <f>IF($G1527="",0,IF($H1527="مرجوعی فروش",-1,1)*IF(Sync!$AC1523="",0,Sync!$AC1523))</f>
        <v/>
      </c>
      <c r="O1527">
        <f>IF(OR($G1527="",Sync!$V1523=""),"",Sync!$V1523)</f>
        <v/>
      </c>
      <c r="P1527">
        <f>IF(OR($G1527="",Sync!$AD1523=""),"",Sync!$AD1523)</f>
        <v/>
      </c>
      <c r="Q1527">
        <f>IF($G1527="","",IF(Sync!$U1523="","0000",IF(AND(ISNUMBER(Sync!$U1523),Sync!$U1523&gt;=0,Sync!$U1523&lt;1),RIGHT("00"&amp;HOUR(Sync!$U1523),2)&amp;RIGHT("00"&amp;MINUTE(Sync!$U1523),2),IFERROR(RIGHT("00"&amp;VALUE(LEFT(Sync!$U1523,FIND(":",Sync!$U1523)-1)),2)&amp;RIGHT("00"&amp;VALUE(MID(Sync!$U1523,FIND(":",Sync!$U1523)+1,2)),2),"0000"))))</f>
        <v/>
      </c>
    </row>
    <row r="1528">
      <c r="A1528">
        <f>IF(Sync!$T1524="","",Sync!$T1524)</f>
        <v/>
      </c>
      <c r="B1528">
        <f>IF($A1528="","",IF(ISNUMBER($A1528),IF(AND($A1528&gt;=10000101,$A1528&lt;=99991231),INT($A1528/10000),""),IFERROR(VALUE(TRIM(LEFT($A1528,FIND("/",$A1528)-1))),"")))</f>
        <v/>
      </c>
      <c r="C1528">
        <f>IF(OR($A1528="",$B1528=""),"",IF(ISNUMBER($A1528),INT(MOD($A1528,10000)/100),IFERROR(VALUE(TRIM(LEFT(MID($A1528,FIND("/",$A1528)+1,20),FIND("/",MID($A1528,FIND("/",$A1528)+1,20))-1))),"")))</f>
        <v/>
      </c>
      <c r="D1528">
        <f>IF(OR($A1528="",$B1528=""),"",IF(ISNUMBER($A1528),MOD($A1528,100),IFERROR(VALUE(TRIM(MID(MID($A1528,FIND("/",$A1528)+1,20),FIND("/",MID($A1528,FIND("/",$A1528)+1,20))+1,20))),"")))</f>
        <v/>
      </c>
      <c r="E1528">
        <f>IF($A1528="","",IF(OR($B1528="",$C1528="",$D1528="",$B1528&lt;1300,$B1528&gt;1500,$C1528&lt;1,$C1528&gt;12,$D1528&lt;1,$D1528&gt;31),"نامعتبر",RIGHT("0000"&amp;$B1528,4)&amp;"/"&amp;RIGHT("00"&amp;$C1528,2)&amp;"/"&amp;RIGHT("00"&amp;$D1528,2)))</f>
        <v/>
      </c>
      <c r="F1528">
        <f>IF(OR($E1528="",$E1528="نامعتبر"),"",LEFT($E1528,4)&amp;"/"&amp;MID($E1528,6,2))</f>
        <v/>
      </c>
      <c r="G1528">
        <f>IF(OR($E1528="",$E1528="نامعتبر",Sync!$X1524=""),"",IF(AND(LEFT(UPPER(TRIM(Sync!$X1524)),2)="SL",IFERROR(VLOOKUP(Sync!$W1524,OpTbl,3,0),"")="فروش"),UPPER(TRIM(Sync!$X1524)),""))</f>
        <v/>
      </c>
      <c r="H1528">
        <f>IF($G1528="","",IF(Sync!$W1524="","",Sync!$W1524))</f>
        <v/>
      </c>
      <c r="I1528">
        <f>IF(OR($G1528="",Sync!$Y1524=""),"",Sync!$Y1524)</f>
        <v/>
      </c>
      <c r="J1528">
        <f>IF(OR($G1528="",Sync!$Z1524=""),"",Sync!$Z1524)</f>
        <v/>
      </c>
      <c r="K1528">
        <f>IF($G1528="",0,IF(Sync!$AA1524="",0,Sync!$AA1524))</f>
        <v/>
      </c>
      <c r="L1528">
        <f>IF($G1528="",0,IF(Sync!$AB1524="",0,Sync!$AB1524))</f>
        <v/>
      </c>
      <c r="M1528">
        <f>IF($G1528="","",IF($H1528="مرجوعی فروش",-1,1)*($K1528-$L1528*IFERROR(VLOOKUP("P01",ParamTbl,3,0),1.5)))</f>
        <v/>
      </c>
      <c r="N1528">
        <f>IF($G1528="",0,IF($H1528="مرجوعی فروش",-1,1)*IF(Sync!$AC1524="",0,Sync!$AC1524))</f>
        <v/>
      </c>
      <c r="O1528">
        <f>IF(OR($G1528="",Sync!$V1524=""),"",Sync!$V1524)</f>
        <v/>
      </c>
      <c r="P1528">
        <f>IF(OR($G1528="",Sync!$AD1524=""),"",Sync!$AD1524)</f>
        <v/>
      </c>
      <c r="Q1528">
        <f>IF($G1528="","",IF(Sync!$U1524="","0000",IF(AND(ISNUMBER(Sync!$U1524),Sync!$U1524&gt;=0,Sync!$U1524&lt;1),RIGHT("00"&amp;HOUR(Sync!$U1524),2)&amp;RIGHT("00"&amp;MINUTE(Sync!$U1524),2),IFERROR(RIGHT("00"&amp;VALUE(LEFT(Sync!$U1524,FIND(":",Sync!$U1524)-1)),2)&amp;RIGHT("00"&amp;VALUE(MID(Sync!$U1524,FIND(":",Sync!$U1524)+1,2)),2),"0000"))))</f>
        <v/>
      </c>
    </row>
    <row r="1529">
      <c r="A1529">
        <f>IF(Sync!$T1525="","",Sync!$T1525)</f>
        <v/>
      </c>
      <c r="B1529">
        <f>IF($A1529="","",IF(ISNUMBER($A1529),IF(AND($A1529&gt;=10000101,$A1529&lt;=99991231),INT($A1529/10000),""),IFERROR(VALUE(TRIM(LEFT($A1529,FIND("/",$A1529)-1))),"")))</f>
        <v/>
      </c>
      <c r="C1529">
        <f>IF(OR($A1529="",$B1529=""),"",IF(ISNUMBER($A1529),INT(MOD($A1529,10000)/100),IFERROR(VALUE(TRIM(LEFT(MID($A1529,FIND("/",$A1529)+1,20),FIND("/",MID($A1529,FIND("/",$A1529)+1,20))-1))),"")))</f>
        <v/>
      </c>
      <c r="D1529">
        <f>IF(OR($A1529="",$B1529=""),"",IF(ISNUMBER($A1529),MOD($A1529,100),IFERROR(VALUE(TRIM(MID(MID($A1529,FIND("/",$A1529)+1,20),FIND("/",MID($A1529,FIND("/",$A1529)+1,20))+1,20))),"")))</f>
        <v/>
      </c>
      <c r="E1529">
        <f>IF($A1529="","",IF(OR($B1529="",$C1529="",$D1529="",$B1529&lt;1300,$B1529&gt;1500,$C1529&lt;1,$C1529&gt;12,$D1529&lt;1,$D1529&gt;31),"نامعتبر",RIGHT("0000"&amp;$B1529,4)&amp;"/"&amp;RIGHT("00"&amp;$C1529,2)&amp;"/"&amp;RIGHT("00"&amp;$D1529,2)))</f>
        <v/>
      </c>
      <c r="F1529">
        <f>IF(OR($E1529="",$E1529="نامعتبر"),"",LEFT($E1529,4)&amp;"/"&amp;MID($E1529,6,2))</f>
        <v/>
      </c>
      <c r="G1529">
        <f>IF(OR($E1529="",$E1529="نامعتبر",Sync!$X1525=""),"",IF(AND(LEFT(UPPER(TRIM(Sync!$X1525)),2)="SL",IFERROR(VLOOKUP(Sync!$W1525,OpTbl,3,0),"")="فروش"),UPPER(TRIM(Sync!$X1525)),""))</f>
        <v/>
      </c>
      <c r="H1529">
        <f>IF($G1529="","",IF(Sync!$W1525="","",Sync!$W1525))</f>
        <v/>
      </c>
      <c r="I1529">
        <f>IF(OR($G1529="",Sync!$Y1525=""),"",Sync!$Y1525)</f>
        <v/>
      </c>
      <c r="J1529">
        <f>IF(OR($G1529="",Sync!$Z1525=""),"",Sync!$Z1525)</f>
        <v/>
      </c>
      <c r="K1529">
        <f>IF($G1529="",0,IF(Sync!$AA1525="",0,Sync!$AA1525))</f>
        <v/>
      </c>
      <c r="L1529">
        <f>IF($G1529="",0,IF(Sync!$AB1525="",0,Sync!$AB1525))</f>
        <v/>
      </c>
      <c r="M1529">
        <f>IF($G1529="","",IF($H1529="مرجوعی فروش",-1,1)*($K1529-$L1529*IFERROR(VLOOKUP("P01",ParamTbl,3,0),1.5)))</f>
        <v/>
      </c>
      <c r="N1529">
        <f>IF($G1529="",0,IF($H1529="مرجوعی فروش",-1,1)*IF(Sync!$AC1525="",0,Sync!$AC1525))</f>
        <v/>
      </c>
      <c r="O1529">
        <f>IF(OR($G1529="",Sync!$V1525=""),"",Sync!$V1525)</f>
        <v/>
      </c>
      <c r="P1529">
        <f>IF(OR($G1529="",Sync!$AD1525=""),"",Sync!$AD1525)</f>
        <v/>
      </c>
      <c r="Q1529">
        <f>IF($G1529="","",IF(Sync!$U1525="","0000",IF(AND(ISNUMBER(Sync!$U1525),Sync!$U1525&gt;=0,Sync!$U1525&lt;1),RIGHT("00"&amp;HOUR(Sync!$U1525),2)&amp;RIGHT("00"&amp;MINUTE(Sync!$U1525),2),IFERROR(RIGHT("00"&amp;VALUE(LEFT(Sync!$U1525,FIND(":",Sync!$U1525)-1)),2)&amp;RIGHT("00"&amp;VALUE(MID(Sync!$U1525,FIND(":",Sync!$U1525)+1,2)),2),"0000"))))</f>
        <v/>
      </c>
    </row>
    <row r="1530">
      <c r="A1530">
        <f>IF(Sync!$T1526="","",Sync!$T1526)</f>
        <v/>
      </c>
      <c r="B1530">
        <f>IF($A1530="","",IF(ISNUMBER($A1530),IF(AND($A1530&gt;=10000101,$A1530&lt;=99991231),INT($A1530/10000),""),IFERROR(VALUE(TRIM(LEFT($A1530,FIND("/",$A1530)-1))),"")))</f>
        <v/>
      </c>
      <c r="C1530">
        <f>IF(OR($A1530="",$B1530=""),"",IF(ISNUMBER($A1530),INT(MOD($A1530,10000)/100),IFERROR(VALUE(TRIM(LEFT(MID($A1530,FIND("/",$A1530)+1,20),FIND("/",MID($A1530,FIND("/",$A1530)+1,20))-1))),"")))</f>
        <v/>
      </c>
      <c r="D1530">
        <f>IF(OR($A1530="",$B1530=""),"",IF(ISNUMBER($A1530),MOD($A1530,100),IFERROR(VALUE(TRIM(MID(MID($A1530,FIND("/",$A1530)+1,20),FIND("/",MID($A1530,FIND("/",$A1530)+1,20))+1,20))),"")))</f>
        <v/>
      </c>
      <c r="E1530">
        <f>IF($A1530="","",IF(OR($B1530="",$C1530="",$D1530="",$B1530&lt;1300,$B1530&gt;1500,$C1530&lt;1,$C1530&gt;12,$D1530&lt;1,$D1530&gt;31),"نامعتبر",RIGHT("0000"&amp;$B1530,4)&amp;"/"&amp;RIGHT("00"&amp;$C1530,2)&amp;"/"&amp;RIGHT("00"&amp;$D1530,2)))</f>
        <v/>
      </c>
      <c r="F1530">
        <f>IF(OR($E1530="",$E1530="نامعتبر"),"",LEFT($E1530,4)&amp;"/"&amp;MID($E1530,6,2))</f>
        <v/>
      </c>
      <c r="G1530">
        <f>IF(OR($E1530="",$E1530="نامعتبر",Sync!$X1526=""),"",IF(AND(LEFT(UPPER(TRIM(Sync!$X1526)),2)="SL",IFERROR(VLOOKUP(Sync!$W1526,OpTbl,3,0),"")="فروش"),UPPER(TRIM(Sync!$X1526)),""))</f>
        <v/>
      </c>
      <c r="H1530">
        <f>IF($G1530="","",IF(Sync!$W1526="","",Sync!$W1526))</f>
        <v/>
      </c>
      <c r="I1530">
        <f>IF(OR($G1530="",Sync!$Y1526=""),"",Sync!$Y1526)</f>
        <v/>
      </c>
      <c r="J1530">
        <f>IF(OR($G1530="",Sync!$Z1526=""),"",Sync!$Z1526)</f>
        <v/>
      </c>
      <c r="K1530">
        <f>IF($G1530="",0,IF(Sync!$AA1526="",0,Sync!$AA1526))</f>
        <v/>
      </c>
      <c r="L1530">
        <f>IF($G1530="",0,IF(Sync!$AB1526="",0,Sync!$AB1526))</f>
        <v/>
      </c>
      <c r="M1530">
        <f>IF($G1530="","",IF($H1530="مرجوعی فروش",-1,1)*($K1530-$L1530*IFERROR(VLOOKUP("P01",ParamTbl,3,0),1.5)))</f>
        <v/>
      </c>
      <c r="N1530">
        <f>IF($G1530="",0,IF($H1530="مرجوعی فروش",-1,1)*IF(Sync!$AC1526="",0,Sync!$AC1526))</f>
        <v/>
      </c>
      <c r="O1530">
        <f>IF(OR($G1530="",Sync!$V1526=""),"",Sync!$V1526)</f>
        <v/>
      </c>
      <c r="P1530">
        <f>IF(OR($G1530="",Sync!$AD1526=""),"",Sync!$AD1526)</f>
        <v/>
      </c>
      <c r="Q1530">
        <f>IF($G1530="","",IF(Sync!$U1526="","0000",IF(AND(ISNUMBER(Sync!$U1526),Sync!$U1526&gt;=0,Sync!$U1526&lt;1),RIGHT("00"&amp;HOUR(Sync!$U1526),2)&amp;RIGHT("00"&amp;MINUTE(Sync!$U1526),2),IFERROR(RIGHT("00"&amp;VALUE(LEFT(Sync!$U1526,FIND(":",Sync!$U1526)-1)),2)&amp;RIGHT("00"&amp;VALUE(MID(Sync!$U1526,FIND(":",Sync!$U1526)+1,2)),2),"0000"))))</f>
        <v/>
      </c>
    </row>
    <row r="1531">
      <c r="A1531">
        <f>IF(Sync!$T1527="","",Sync!$T1527)</f>
        <v/>
      </c>
      <c r="B1531">
        <f>IF($A1531="","",IF(ISNUMBER($A1531),IF(AND($A1531&gt;=10000101,$A1531&lt;=99991231),INT($A1531/10000),""),IFERROR(VALUE(TRIM(LEFT($A1531,FIND("/",$A1531)-1))),"")))</f>
        <v/>
      </c>
      <c r="C1531">
        <f>IF(OR($A1531="",$B1531=""),"",IF(ISNUMBER($A1531),INT(MOD($A1531,10000)/100),IFERROR(VALUE(TRIM(LEFT(MID($A1531,FIND("/",$A1531)+1,20),FIND("/",MID($A1531,FIND("/",$A1531)+1,20))-1))),"")))</f>
        <v/>
      </c>
      <c r="D1531">
        <f>IF(OR($A1531="",$B1531=""),"",IF(ISNUMBER($A1531),MOD($A1531,100),IFERROR(VALUE(TRIM(MID(MID($A1531,FIND("/",$A1531)+1,20),FIND("/",MID($A1531,FIND("/",$A1531)+1,20))+1,20))),"")))</f>
        <v/>
      </c>
      <c r="E1531">
        <f>IF($A1531="","",IF(OR($B1531="",$C1531="",$D1531="",$B1531&lt;1300,$B1531&gt;1500,$C1531&lt;1,$C1531&gt;12,$D1531&lt;1,$D1531&gt;31),"نامعتبر",RIGHT("0000"&amp;$B1531,4)&amp;"/"&amp;RIGHT("00"&amp;$C1531,2)&amp;"/"&amp;RIGHT("00"&amp;$D1531,2)))</f>
        <v/>
      </c>
      <c r="F1531">
        <f>IF(OR($E1531="",$E1531="نامعتبر"),"",LEFT($E1531,4)&amp;"/"&amp;MID($E1531,6,2))</f>
        <v/>
      </c>
      <c r="G1531">
        <f>IF(OR($E1531="",$E1531="نامعتبر",Sync!$X1527=""),"",IF(AND(LEFT(UPPER(TRIM(Sync!$X1527)),2)="SL",IFERROR(VLOOKUP(Sync!$W1527,OpTbl,3,0),"")="فروش"),UPPER(TRIM(Sync!$X1527)),""))</f>
        <v/>
      </c>
      <c r="H1531">
        <f>IF($G1531="","",IF(Sync!$W1527="","",Sync!$W1527))</f>
        <v/>
      </c>
      <c r="I1531">
        <f>IF(OR($G1531="",Sync!$Y1527=""),"",Sync!$Y1527)</f>
        <v/>
      </c>
      <c r="J1531">
        <f>IF(OR($G1531="",Sync!$Z1527=""),"",Sync!$Z1527)</f>
        <v/>
      </c>
      <c r="K1531">
        <f>IF($G1531="",0,IF(Sync!$AA1527="",0,Sync!$AA1527))</f>
        <v/>
      </c>
      <c r="L1531">
        <f>IF($G1531="",0,IF(Sync!$AB1527="",0,Sync!$AB1527))</f>
        <v/>
      </c>
      <c r="M1531">
        <f>IF($G1531="","",IF($H1531="مرجوعی فروش",-1,1)*($K1531-$L1531*IFERROR(VLOOKUP("P01",ParamTbl,3,0),1.5)))</f>
        <v/>
      </c>
      <c r="N1531">
        <f>IF($G1531="",0,IF($H1531="مرجوعی فروش",-1,1)*IF(Sync!$AC1527="",0,Sync!$AC1527))</f>
        <v/>
      </c>
      <c r="O1531">
        <f>IF(OR($G1531="",Sync!$V1527=""),"",Sync!$V1527)</f>
        <v/>
      </c>
      <c r="P1531">
        <f>IF(OR($G1531="",Sync!$AD1527=""),"",Sync!$AD1527)</f>
        <v/>
      </c>
      <c r="Q1531">
        <f>IF($G1531="","",IF(Sync!$U1527="","0000",IF(AND(ISNUMBER(Sync!$U1527),Sync!$U1527&gt;=0,Sync!$U1527&lt;1),RIGHT("00"&amp;HOUR(Sync!$U1527),2)&amp;RIGHT("00"&amp;MINUTE(Sync!$U1527),2),IFERROR(RIGHT("00"&amp;VALUE(LEFT(Sync!$U1527,FIND(":",Sync!$U1527)-1)),2)&amp;RIGHT("00"&amp;VALUE(MID(Sync!$U1527,FIND(":",Sync!$U1527)+1,2)),2),"0000"))))</f>
        <v/>
      </c>
    </row>
    <row r="1532">
      <c r="A1532">
        <f>IF(Sync!$T1528="","",Sync!$T1528)</f>
        <v/>
      </c>
      <c r="B1532">
        <f>IF($A1532="","",IF(ISNUMBER($A1532),IF(AND($A1532&gt;=10000101,$A1532&lt;=99991231),INT($A1532/10000),""),IFERROR(VALUE(TRIM(LEFT($A1532,FIND("/",$A1532)-1))),"")))</f>
        <v/>
      </c>
      <c r="C1532">
        <f>IF(OR($A1532="",$B1532=""),"",IF(ISNUMBER($A1532),INT(MOD($A1532,10000)/100),IFERROR(VALUE(TRIM(LEFT(MID($A1532,FIND("/",$A1532)+1,20),FIND("/",MID($A1532,FIND("/",$A1532)+1,20))-1))),"")))</f>
        <v/>
      </c>
      <c r="D1532">
        <f>IF(OR($A1532="",$B1532=""),"",IF(ISNUMBER($A1532),MOD($A1532,100),IFERROR(VALUE(TRIM(MID(MID($A1532,FIND("/",$A1532)+1,20),FIND("/",MID($A1532,FIND("/",$A1532)+1,20))+1,20))),"")))</f>
        <v/>
      </c>
      <c r="E1532">
        <f>IF($A1532="","",IF(OR($B1532="",$C1532="",$D1532="",$B1532&lt;1300,$B1532&gt;1500,$C1532&lt;1,$C1532&gt;12,$D1532&lt;1,$D1532&gt;31),"نامعتبر",RIGHT("0000"&amp;$B1532,4)&amp;"/"&amp;RIGHT("00"&amp;$C1532,2)&amp;"/"&amp;RIGHT("00"&amp;$D1532,2)))</f>
        <v/>
      </c>
      <c r="F1532">
        <f>IF(OR($E1532="",$E1532="نامعتبر"),"",LEFT($E1532,4)&amp;"/"&amp;MID($E1532,6,2))</f>
        <v/>
      </c>
      <c r="G1532">
        <f>IF(OR($E1532="",$E1532="نامعتبر",Sync!$X1528=""),"",IF(AND(LEFT(UPPER(TRIM(Sync!$X1528)),2)="SL",IFERROR(VLOOKUP(Sync!$W1528,OpTbl,3,0),"")="فروش"),UPPER(TRIM(Sync!$X1528)),""))</f>
        <v/>
      </c>
      <c r="H1532">
        <f>IF($G1532="","",IF(Sync!$W1528="","",Sync!$W1528))</f>
        <v/>
      </c>
      <c r="I1532">
        <f>IF(OR($G1532="",Sync!$Y1528=""),"",Sync!$Y1528)</f>
        <v/>
      </c>
      <c r="J1532">
        <f>IF(OR($G1532="",Sync!$Z1528=""),"",Sync!$Z1528)</f>
        <v/>
      </c>
      <c r="K1532">
        <f>IF($G1532="",0,IF(Sync!$AA1528="",0,Sync!$AA1528))</f>
        <v/>
      </c>
      <c r="L1532">
        <f>IF($G1532="",0,IF(Sync!$AB1528="",0,Sync!$AB1528))</f>
        <v/>
      </c>
      <c r="M1532">
        <f>IF($G1532="","",IF($H1532="مرجوعی فروش",-1,1)*($K1532-$L1532*IFERROR(VLOOKUP("P01",ParamTbl,3,0),1.5)))</f>
        <v/>
      </c>
      <c r="N1532">
        <f>IF($G1532="",0,IF($H1532="مرجوعی فروش",-1,1)*IF(Sync!$AC1528="",0,Sync!$AC1528))</f>
        <v/>
      </c>
      <c r="O1532">
        <f>IF(OR($G1532="",Sync!$V1528=""),"",Sync!$V1528)</f>
        <v/>
      </c>
      <c r="P1532">
        <f>IF(OR($G1532="",Sync!$AD1528=""),"",Sync!$AD1528)</f>
        <v/>
      </c>
      <c r="Q1532">
        <f>IF($G1532="","",IF(Sync!$U1528="","0000",IF(AND(ISNUMBER(Sync!$U1528),Sync!$U1528&gt;=0,Sync!$U1528&lt;1),RIGHT("00"&amp;HOUR(Sync!$U1528),2)&amp;RIGHT("00"&amp;MINUTE(Sync!$U1528),2),IFERROR(RIGHT("00"&amp;VALUE(LEFT(Sync!$U1528,FIND(":",Sync!$U1528)-1)),2)&amp;RIGHT("00"&amp;VALUE(MID(Sync!$U1528,FIND(":",Sync!$U1528)+1,2)),2),"0000"))))</f>
        <v/>
      </c>
    </row>
    <row r="1533">
      <c r="A1533">
        <f>IF(Sync!$T1529="","",Sync!$T1529)</f>
        <v/>
      </c>
      <c r="B1533">
        <f>IF($A1533="","",IF(ISNUMBER($A1533),IF(AND($A1533&gt;=10000101,$A1533&lt;=99991231),INT($A1533/10000),""),IFERROR(VALUE(TRIM(LEFT($A1533,FIND("/",$A1533)-1))),"")))</f>
        <v/>
      </c>
      <c r="C1533">
        <f>IF(OR($A1533="",$B1533=""),"",IF(ISNUMBER($A1533),INT(MOD($A1533,10000)/100),IFERROR(VALUE(TRIM(LEFT(MID($A1533,FIND("/",$A1533)+1,20),FIND("/",MID($A1533,FIND("/",$A1533)+1,20))-1))),"")))</f>
        <v/>
      </c>
      <c r="D1533">
        <f>IF(OR($A1533="",$B1533=""),"",IF(ISNUMBER($A1533),MOD($A1533,100),IFERROR(VALUE(TRIM(MID(MID($A1533,FIND("/",$A1533)+1,20),FIND("/",MID($A1533,FIND("/",$A1533)+1,20))+1,20))),"")))</f>
        <v/>
      </c>
      <c r="E1533">
        <f>IF($A1533="","",IF(OR($B1533="",$C1533="",$D1533="",$B1533&lt;1300,$B1533&gt;1500,$C1533&lt;1,$C1533&gt;12,$D1533&lt;1,$D1533&gt;31),"نامعتبر",RIGHT("0000"&amp;$B1533,4)&amp;"/"&amp;RIGHT("00"&amp;$C1533,2)&amp;"/"&amp;RIGHT("00"&amp;$D1533,2)))</f>
        <v/>
      </c>
      <c r="F1533">
        <f>IF(OR($E1533="",$E1533="نامعتبر"),"",LEFT($E1533,4)&amp;"/"&amp;MID($E1533,6,2))</f>
        <v/>
      </c>
      <c r="G1533">
        <f>IF(OR($E1533="",$E1533="نامعتبر",Sync!$X1529=""),"",IF(AND(LEFT(UPPER(TRIM(Sync!$X1529)),2)="SL",IFERROR(VLOOKUP(Sync!$W1529,OpTbl,3,0),"")="فروش"),UPPER(TRIM(Sync!$X1529)),""))</f>
        <v/>
      </c>
      <c r="H1533">
        <f>IF($G1533="","",IF(Sync!$W1529="","",Sync!$W1529))</f>
        <v/>
      </c>
      <c r="I1533">
        <f>IF(OR($G1533="",Sync!$Y1529=""),"",Sync!$Y1529)</f>
        <v/>
      </c>
      <c r="J1533">
        <f>IF(OR($G1533="",Sync!$Z1529=""),"",Sync!$Z1529)</f>
        <v/>
      </c>
      <c r="K1533">
        <f>IF($G1533="",0,IF(Sync!$AA1529="",0,Sync!$AA1529))</f>
        <v/>
      </c>
      <c r="L1533">
        <f>IF($G1533="",0,IF(Sync!$AB1529="",0,Sync!$AB1529))</f>
        <v/>
      </c>
      <c r="M1533">
        <f>IF($G1533="","",IF($H1533="مرجوعی فروش",-1,1)*($K1533-$L1533*IFERROR(VLOOKUP("P01",ParamTbl,3,0),1.5)))</f>
        <v/>
      </c>
      <c r="N1533">
        <f>IF($G1533="",0,IF($H1533="مرجوعی فروش",-1,1)*IF(Sync!$AC1529="",0,Sync!$AC1529))</f>
        <v/>
      </c>
      <c r="O1533">
        <f>IF(OR($G1533="",Sync!$V1529=""),"",Sync!$V1529)</f>
        <v/>
      </c>
      <c r="P1533">
        <f>IF(OR($G1533="",Sync!$AD1529=""),"",Sync!$AD1529)</f>
        <v/>
      </c>
      <c r="Q1533">
        <f>IF($G1533="","",IF(Sync!$U1529="","0000",IF(AND(ISNUMBER(Sync!$U1529),Sync!$U1529&gt;=0,Sync!$U1529&lt;1),RIGHT("00"&amp;HOUR(Sync!$U1529),2)&amp;RIGHT("00"&amp;MINUTE(Sync!$U1529),2),IFERROR(RIGHT("00"&amp;VALUE(LEFT(Sync!$U1529,FIND(":",Sync!$U1529)-1)),2)&amp;RIGHT("00"&amp;VALUE(MID(Sync!$U1529,FIND(":",Sync!$U1529)+1,2)),2),"0000"))))</f>
        <v/>
      </c>
    </row>
    <row r="1534">
      <c r="A1534">
        <f>IF(Sync!$T1530="","",Sync!$T1530)</f>
        <v/>
      </c>
      <c r="B1534">
        <f>IF($A1534="","",IF(ISNUMBER($A1534),IF(AND($A1534&gt;=10000101,$A1534&lt;=99991231),INT($A1534/10000),""),IFERROR(VALUE(TRIM(LEFT($A1534,FIND("/",$A1534)-1))),"")))</f>
        <v/>
      </c>
      <c r="C1534">
        <f>IF(OR($A1534="",$B1534=""),"",IF(ISNUMBER($A1534),INT(MOD($A1534,10000)/100),IFERROR(VALUE(TRIM(LEFT(MID($A1534,FIND("/",$A1534)+1,20),FIND("/",MID($A1534,FIND("/",$A1534)+1,20))-1))),"")))</f>
        <v/>
      </c>
      <c r="D1534">
        <f>IF(OR($A1534="",$B1534=""),"",IF(ISNUMBER($A1534),MOD($A1534,100),IFERROR(VALUE(TRIM(MID(MID($A1534,FIND("/",$A1534)+1,20),FIND("/",MID($A1534,FIND("/",$A1534)+1,20))+1,20))),"")))</f>
        <v/>
      </c>
      <c r="E1534">
        <f>IF($A1534="","",IF(OR($B1534="",$C1534="",$D1534="",$B1534&lt;1300,$B1534&gt;1500,$C1534&lt;1,$C1534&gt;12,$D1534&lt;1,$D1534&gt;31),"نامعتبر",RIGHT("0000"&amp;$B1534,4)&amp;"/"&amp;RIGHT("00"&amp;$C1534,2)&amp;"/"&amp;RIGHT("00"&amp;$D1534,2)))</f>
        <v/>
      </c>
      <c r="F1534">
        <f>IF(OR($E1534="",$E1534="نامعتبر"),"",LEFT($E1534,4)&amp;"/"&amp;MID($E1534,6,2))</f>
        <v/>
      </c>
      <c r="G1534">
        <f>IF(OR($E1534="",$E1534="نامعتبر",Sync!$X1530=""),"",IF(AND(LEFT(UPPER(TRIM(Sync!$X1530)),2)="SL",IFERROR(VLOOKUP(Sync!$W1530,OpTbl,3,0),"")="فروش"),UPPER(TRIM(Sync!$X1530)),""))</f>
        <v/>
      </c>
      <c r="H1534">
        <f>IF($G1534="","",IF(Sync!$W1530="","",Sync!$W1530))</f>
        <v/>
      </c>
      <c r="I1534">
        <f>IF(OR($G1534="",Sync!$Y1530=""),"",Sync!$Y1530)</f>
        <v/>
      </c>
      <c r="J1534">
        <f>IF(OR($G1534="",Sync!$Z1530=""),"",Sync!$Z1530)</f>
        <v/>
      </c>
      <c r="K1534">
        <f>IF($G1534="",0,IF(Sync!$AA1530="",0,Sync!$AA1530))</f>
        <v/>
      </c>
      <c r="L1534">
        <f>IF($G1534="",0,IF(Sync!$AB1530="",0,Sync!$AB1530))</f>
        <v/>
      </c>
      <c r="M1534">
        <f>IF($G1534="","",IF($H1534="مرجوعی فروش",-1,1)*($K1534-$L1534*IFERROR(VLOOKUP("P01",ParamTbl,3,0),1.5)))</f>
        <v/>
      </c>
      <c r="N1534">
        <f>IF($G1534="",0,IF($H1534="مرجوعی فروش",-1,1)*IF(Sync!$AC1530="",0,Sync!$AC1530))</f>
        <v/>
      </c>
      <c r="O1534">
        <f>IF(OR($G1534="",Sync!$V1530=""),"",Sync!$V1530)</f>
        <v/>
      </c>
      <c r="P1534">
        <f>IF(OR($G1534="",Sync!$AD1530=""),"",Sync!$AD1530)</f>
        <v/>
      </c>
      <c r="Q1534">
        <f>IF($G1534="","",IF(Sync!$U1530="","0000",IF(AND(ISNUMBER(Sync!$U1530),Sync!$U1530&gt;=0,Sync!$U1530&lt;1),RIGHT("00"&amp;HOUR(Sync!$U1530),2)&amp;RIGHT("00"&amp;MINUTE(Sync!$U1530),2),IFERROR(RIGHT("00"&amp;VALUE(LEFT(Sync!$U1530,FIND(":",Sync!$U1530)-1)),2)&amp;RIGHT("00"&amp;VALUE(MID(Sync!$U1530,FIND(":",Sync!$U1530)+1,2)),2),"0000"))))</f>
        <v/>
      </c>
    </row>
    <row r="1535">
      <c r="A1535">
        <f>IF(Sync!$T1531="","",Sync!$T1531)</f>
        <v/>
      </c>
      <c r="B1535">
        <f>IF($A1535="","",IF(ISNUMBER($A1535),IF(AND($A1535&gt;=10000101,$A1535&lt;=99991231),INT($A1535/10000),""),IFERROR(VALUE(TRIM(LEFT($A1535,FIND("/",$A1535)-1))),"")))</f>
        <v/>
      </c>
      <c r="C1535">
        <f>IF(OR($A1535="",$B1535=""),"",IF(ISNUMBER($A1535),INT(MOD($A1535,10000)/100),IFERROR(VALUE(TRIM(LEFT(MID($A1535,FIND("/",$A1535)+1,20),FIND("/",MID($A1535,FIND("/",$A1535)+1,20))-1))),"")))</f>
        <v/>
      </c>
      <c r="D1535">
        <f>IF(OR($A1535="",$B1535=""),"",IF(ISNUMBER($A1535),MOD($A1535,100),IFERROR(VALUE(TRIM(MID(MID($A1535,FIND("/",$A1535)+1,20),FIND("/",MID($A1535,FIND("/",$A1535)+1,20))+1,20))),"")))</f>
        <v/>
      </c>
      <c r="E1535">
        <f>IF($A1535="","",IF(OR($B1535="",$C1535="",$D1535="",$B1535&lt;1300,$B1535&gt;1500,$C1535&lt;1,$C1535&gt;12,$D1535&lt;1,$D1535&gt;31),"نامعتبر",RIGHT("0000"&amp;$B1535,4)&amp;"/"&amp;RIGHT("00"&amp;$C1535,2)&amp;"/"&amp;RIGHT("00"&amp;$D1535,2)))</f>
        <v/>
      </c>
      <c r="F1535">
        <f>IF(OR($E1535="",$E1535="نامعتبر"),"",LEFT($E1535,4)&amp;"/"&amp;MID($E1535,6,2))</f>
        <v/>
      </c>
      <c r="G1535">
        <f>IF(OR($E1535="",$E1535="نامعتبر",Sync!$X1531=""),"",IF(AND(LEFT(UPPER(TRIM(Sync!$X1531)),2)="SL",IFERROR(VLOOKUP(Sync!$W1531,OpTbl,3,0),"")="فروش"),UPPER(TRIM(Sync!$X1531)),""))</f>
        <v/>
      </c>
      <c r="H1535">
        <f>IF($G1535="","",IF(Sync!$W1531="","",Sync!$W1531))</f>
        <v/>
      </c>
      <c r="I1535">
        <f>IF(OR($G1535="",Sync!$Y1531=""),"",Sync!$Y1531)</f>
        <v/>
      </c>
      <c r="J1535">
        <f>IF(OR($G1535="",Sync!$Z1531=""),"",Sync!$Z1531)</f>
        <v/>
      </c>
      <c r="K1535">
        <f>IF($G1535="",0,IF(Sync!$AA1531="",0,Sync!$AA1531))</f>
        <v/>
      </c>
      <c r="L1535">
        <f>IF($G1535="",0,IF(Sync!$AB1531="",0,Sync!$AB1531))</f>
        <v/>
      </c>
      <c r="M1535">
        <f>IF($G1535="","",IF($H1535="مرجوعی فروش",-1,1)*($K1535-$L1535*IFERROR(VLOOKUP("P01",ParamTbl,3,0),1.5)))</f>
        <v/>
      </c>
      <c r="N1535">
        <f>IF($G1535="",0,IF($H1535="مرجوعی فروش",-1,1)*IF(Sync!$AC1531="",0,Sync!$AC1531))</f>
        <v/>
      </c>
      <c r="O1535">
        <f>IF(OR($G1535="",Sync!$V1531=""),"",Sync!$V1531)</f>
        <v/>
      </c>
      <c r="P1535">
        <f>IF(OR($G1535="",Sync!$AD1531=""),"",Sync!$AD1531)</f>
        <v/>
      </c>
      <c r="Q1535">
        <f>IF($G1535="","",IF(Sync!$U1531="","0000",IF(AND(ISNUMBER(Sync!$U1531),Sync!$U1531&gt;=0,Sync!$U1531&lt;1),RIGHT("00"&amp;HOUR(Sync!$U1531),2)&amp;RIGHT("00"&amp;MINUTE(Sync!$U1531),2),IFERROR(RIGHT("00"&amp;VALUE(LEFT(Sync!$U1531,FIND(":",Sync!$U1531)-1)),2)&amp;RIGHT("00"&amp;VALUE(MID(Sync!$U1531,FIND(":",Sync!$U1531)+1,2)),2),"0000"))))</f>
        <v/>
      </c>
    </row>
    <row r="1536">
      <c r="A1536">
        <f>IF(Sync!$T1532="","",Sync!$T1532)</f>
        <v/>
      </c>
      <c r="B1536">
        <f>IF($A1536="","",IF(ISNUMBER($A1536),IF(AND($A1536&gt;=10000101,$A1536&lt;=99991231),INT($A1536/10000),""),IFERROR(VALUE(TRIM(LEFT($A1536,FIND("/",$A1536)-1))),"")))</f>
        <v/>
      </c>
      <c r="C1536">
        <f>IF(OR($A1536="",$B1536=""),"",IF(ISNUMBER($A1536),INT(MOD($A1536,10000)/100),IFERROR(VALUE(TRIM(LEFT(MID($A1536,FIND("/",$A1536)+1,20),FIND("/",MID($A1536,FIND("/",$A1536)+1,20))-1))),"")))</f>
        <v/>
      </c>
      <c r="D1536">
        <f>IF(OR($A1536="",$B1536=""),"",IF(ISNUMBER($A1536),MOD($A1536,100),IFERROR(VALUE(TRIM(MID(MID($A1536,FIND("/",$A1536)+1,20),FIND("/",MID($A1536,FIND("/",$A1536)+1,20))+1,20))),"")))</f>
        <v/>
      </c>
      <c r="E1536">
        <f>IF($A1536="","",IF(OR($B1536="",$C1536="",$D1536="",$B1536&lt;1300,$B1536&gt;1500,$C1536&lt;1,$C1536&gt;12,$D1536&lt;1,$D1536&gt;31),"نامعتبر",RIGHT("0000"&amp;$B1536,4)&amp;"/"&amp;RIGHT("00"&amp;$C1536,2)&amp;"/"&amp;RIGHT("00"&amp;$D1536,2)))</f>
        <v/>
      </c>
      <c r="F1536">
        <f>IF(OR($E1536="",$E1536="نامعتبر"),"",LEFT($E1536,4)&amp;"/"&amp;MID($E1536,6,2))</f>
        <v/>
      </c>
      <c r="G1536">
        <f>IF(OR($E1536="",$E1536="نامعتبر",Sync!$X1532=""),"",IF(AND(LEFT(UPPER(TRIM(Sync!$X1532)),2)="SL",IFERROR(VLOOKUP(Sync!$W1532,OpTbl,3,0),"")="فروش"),UPPER(TRIM(Sync!$X1532)),""))</f>
        <v/>
      </c>
      <c r="H1536">
        <f>IF($G1536="","",IF(Sync!$W1532="","",Sync!$W1532))</f>
        <v/>
      </c>
      <c r="I1536">
        <f>IF(OR($G1536="",Sync!$Y1532=""),"",Sync!$Y1532)</f>
        <v/>
      </c>
      <c r="J1536">
        <f>IF(OR($G1536="",Sync!$Z1532=""),"",Sync!$Z1532)</f>
        <v/>
      </c>
      <c r="K1536">
        <f>IF($G1536="",0,IF(Sync!$AA1532="",0,Sync!$AA1532))</f>
        <v/>
      </c>
      <c r="L1536">
        <f>IF($G1536="",0,IF(Sync!$AB1532="",0,Sync!$AB1532))</f>
        <v/>
      </c>
      <c r="M1536">
        <f>IF($G1536="","",IF($H1536="مرجوعی فروش",-1,1)*($K1536-$L1536*IFERROR(VLOOKUP("P01",ParamTbl,3,0),1.5)))</f>
        <v/>
      </c>
      <c r="N1536">
        <f>IF($G1536="",0,IF($H1536="مرجوعی فروش",-1,1)*IF(Sync!$AC1532="",0,Sync!$AC1532))</f>
        <v/>
      </c>
      <c r="O1536">
        <f>IF(OR($G1536="",Sync!$V1532=""),"",Sync!$V1532)</f>
        <v/>
      </c>
      <c r="P1536">
        <f>IF(OR($G1536="",Sync!$AD1532=""),"",Sync!$AD1532)</f>
        <v/>
      </c>
      <c r="Q1536">
        <f>IF($G1536="","",IF(Sync!$U1532="","0000",IF(AND(ISNUMBER(Sync!$U1532),Sync!$U1532&gt;=0,Sync!$U1532&lt;1),RIGHT("00"&amp;HOUR(Sync!$U1532),2)&amp;RIGHT("00"&amp;MINUTE(Sync!$U1532),2),IFERROR(RIGHT("00"&amp;VALUE(LEFT(Sync!$U1532,FIND(":",Sync!$U1532)-1)),2)&amp;RIGHT("00"&amp;VALUE(MID(Sync!$U1532,FIND(":",Sync!$U1532)+1,2)),2),"0000"))))</f>
        <v/>
      </c>
    </row>
    <row r="1537">
      <c r="A1537">
        <f>IF(Sync!$T1533="","",Sync!$T1533)</f>
        <v/>
      </c>
      <c r="B1537">
        <f>IF($A1537="","",IF(ISNUMBER($A1537),IF(AND($A1537&gt;=10000101,$A1537&lt;=99991231),INT($A1537/10000),""),IFERROR(VALUE(TRIM(LEFT($A1537,FIND("/",$A1537)-1))),"")))</f>
        <v/>
      </c>
      <c r="C1537">
        <f>IF(OR($A1537="",$B1537=""),"",IF(ISNUMBER($A1537),INT(MOD($A1537,10000)/100),IFERROR(VALUE(TRIM(LEFT(MID($A1537,FIND("/",$A1537)+1,20),FIND("/",MID($A1537,FIND("/",$A1537)+1,20))-1))),"")))</f>
        <v/>
      </c>
      <c r="D1537">
        <f>IF(OR($A1537="",$B1537=""),"",IF(ISNUMBER($A1537),MOD($A1537,100),IFERROR(VALUE(TRIM(MID(MID($A1537,FIND("/",$A1537)+1,20),FIND("/",MID($A1537,FIND("/",$A1537)+1,20))+1,20))),"")))</f>
        <v/>
      </c>
      <c r="E1537">
        <f>IF($A1537="","",IF(OR($B1537="",$C1537="",$D1537="",$B1537&lt;1300,$B1537&gt;1500,$C1537&lt;1,$C1537&gt;12,$D1537&lt;1,$D1537&gt;31),"نامعتبر",RIGHT("0000"&amp;$B1537,4)&amp;"/"&amp;RIGHT("00"&amp;$C1537,2)&amp;"/"&amp;RIGHT("00"&amp;$D1537,2)))</f>
        <v/>
      </c>
      <c r="F1537">
        <f>IF(OR($E1537="",$E1537="نامعتبر"),"",LEFT($E1537,4)&amp;"/"&amp;MID($E1537,6,2))</f>
        <v/>
      </c>
      <c r="G1537">
        <f>IF(OR($E1537="",$E1537="نامعتبر",Sync!$X1533=""),"",IF(AND(LEFT(UPPER(TRIM(Sync!$X1533)),2)="SL",IFERROR(VLOOKUP(Sync!$W1533,OpTbl,3,0),"")="فروش"),UPPER(TRIM(Sync!$X1533)),""))</f>
        <v/>
      </c>
      <c r="H1537">
        <f>IF($G1537="","",IF(Sync!$W1533="","",Sync!$W1533))</f>
        <v/>
      </c>
      <c r="I1537">
        <f>IF(OR($G1537="",Sync!$Y1533=""),"",Sync!$Y1533)</f>
        <v/>
      </c>
      <c r="J1537">
        <f>IF(OR($G1537="",Sync!$Z1533=""),"",Sync!$Z1533)</f>
        <v/>
      </c>
      <c r="K1537">
        <f>IF($G1537="",0,IF(Sync!$AA1533="",0,Sync!$AA1533))</f>
        <v/>
      </c>
      <c r="L1537">
        <f>IF($G1537="",0,IF(Sync!$AB1533="",0,Sync!$AB1533))</f>
        <v/>
      </c>
      <c r="M1537">
        <f>IF($G1537="","",IF($H1537="مرجوعی فروش",-1,1)*($K1537-$L1537*IFERROR(VLOOKUP("P01",ParamTbl,3,0),1.5)))</f>
        <v/>
      </c>
      <c r="N1537">
        <f>IF($G1537="",0,IF($H1537="مرجوعی فروش",-1,1)*IF(Sync!$AC1533="",0,Sync!$AC1533))</f>
        <v/>
      </c>
      <c r="O1537">
        <f>IF(OR($G1537="",Sync!$V1533=""),"",Sync!$V1533)</f>
        <v/>
      </c>
      <c r="P1537">
        <f>IF(OR($G1537="",Sync!$AD1533=""),"",Sync!$AD1533)</f>
        <v/>
      </c>
      <c r="Q1537">
        <f>IF($G1537="","",IF(Sync!$U1533="","0000",IF(AND(ISNUMBER(Sync!$U1533),Sync!$U1533&gt;=0,Sync!$U1533&lt;1),RIGHT("00"&amp;HOUR(Sync!$U1533),2)&amp;RIGHT("00"&amp;MINUTE(Sync!$U1533),2),IFERROR(RIGHT("00"&amp;VALUE(LEFT(Sync!$U1533,FIND(":",Sync!$U1533)-1)),2)&amp;RIGHT("00"&amp;VALUE(MID(Sync!$U1533,FIND(":",Sync!$U1533)+1,2)),2),"0000"))))</f>
        <v/>
      </c>
    </row>
    <row r="1538">
      <c r="A1538">
        <f>IF(Sync!$T1534="","",Sync!$T1534)</f>
        <v/>
      </c>
      <c r="B1538">
        <f>IF($A1538="","",IF(ISNUMBER($A1538),IF(AND($A1538&gt;=10000101,$A1538&lt;=99991231),INT($A1538/10000),""),IFERROR(VALUE(TRIM(LEFT($A1538,FIND("/",$A1538)-1))),"")))</f>
        <v/>
      </c>
      <c r="C1538">
        <f>IF(OR($A1538="",$B1538=""),"",IF(ISNUMBER($A1538),INT(MOD($A1538,10000)/100),IFERROR(VALUE(TRIM(LEFT(MID($A1538,FIND("/",$A1538)+1,20),FIND("/",MID($A1538,FIND("/",$A1538)+1,20))-1))),"")))</f>
        <v/>
      </c>
      <c r="D1538">
        <f>IF(OR($A1538="",$B1538=""),"",IF(ISNUMBER($A1538),MOD($A1538,100),IFERROR(VALUE(TRIM(MID(MID($A1538,FIND("/",$A1538)+1,20),FIND("/",MID($A1538,FIND("/",$A1538)+1,20))+1,20))),"")))</f>
        <v/>
      </c>
      <c r="E1538">
        <f>IF($A1538="","",IF(OR($B1538="",$C1538="",$D1538="",$B1538&lt;1300,$B1538&gt;1500,$C1538&lt;1,$C1538&gt;12,$D1538&lt;1,$D1538&gt;31),"نامعتبر",RIGHT("0000"&amp;$B1538,4)&amp;"/"&amp;RIGHT("00"&amp;$C1538,2)&amp;"/"&amp;RIGHT("00"&amp;$D1538,2)))</f>
        <v/>
      </c>
      <c r="F1538">
        <f>IF(OR($E1538="",$E1538="نامعتبر"),"",LEFT($E1538,4)&amp;"/"&amp;MID($E1538,6,2))</f>
        <v/>
      </c>
      <c r="G1538">
        <f>IF(OR($E1538="",$E1538="نامعتبر",Sync!$X1534=""),"",IF(AND(LEFT(UPPER(TRIM(Sync!$X1534)),2)="SL",IFERROR(VLOOKUP(Sync!$W1534,OpTbl,3,0),"")="فروش"),UPPER(TRIM(Sync!$X1534)),""))</f>
        <v/>
      </c>
      <c r="H1538">
        <f>IF($G1538="","",IF(Sync!$W1534="","",Sync!$W1534))</f>
        <v/>
      </c>
      <c r="I1538">
        <f>IF(OR($G1538="",Sync!$Y1534=""),"",Sync!$Y1534)</f>
        <v/>
      </c>
      <c r="J1538">
        <f>IF(OR($G1538="",Sync!$Z1534=""),"",Sync!$Z1534)</f>
        <v/>
      </c>
      <c r="K1538">
        <f>IF($G1538="",0,IF(Sync!$AA1534="",0,Sync!$AA1534))</f>
        <v/>
      </c>
      <c r="L1538">
        <f>IF($G1538="",0,IF(Sync!$AB1534="",0,Sync!$AB1534))</f>
        <v/>
      </c>
      <c r="M1538">
        <f>IF($G1538="","",IF($H1538="مرجوعی فروش",-1,1)*($K1538-$L1538*IFERROR(VLOOKUP("P01",ParamTbl,3,0),1.5)))</f>
        <v/>
      </c>
      <c r="N1538">
        <f>IF($G1538="",0,IF($H1538="مرجوعی فروش",-1,1)*IF(Sync!$AC1534="",0,Sync!$AC1534))</f>
        <v/>
      </c>
      <c r="O1538">
        <f>IF(OR($G1538="",Sync!$V1534=""),"",Sync!$V1534)</f>
        <v/>
      </c>
      <c r="P1538">
        <f>IF(OR($G1538="",Sync!$AD1534=""),"",Sync!$AD1534)</f>
        <v/>
      </c>
      <c r="Q1538">
        <f>IF($G1538="","",IF(Sync!$U1534="","0000",IF(AND(ISNUMBER(Sync!$U1534),Sync!$U1534&gt;=0,Sync!$U1534&lt;1),RIGHT("00"&amp;HOUR(Sync!$U1534),2)&amp;RIGHT("00"&amp;MINUTE(Sync!$U1534),2),IFERROR(RIGHT("00"&amp;VALUE(LEFT(Sync!$U1534,FIND(":",Sync!$U1534)-1)),2)&amp;RIGHT("00"&amp;VALUE(MID(Sync!$U1534,FIND(":",Sync!$U1534)+1,2)),2),"0000"))))</f>
        <v/>
      </c>
    </row>
    <row r="1539">
      <c r="A1539">
        <f>IF(Sync!$T1535="","",Sync!$T1535)</f>
        <v/>
      </c>
      <c r="B1539">
        <f>IF($A1539="","",IF(ISNUMBER($A1539),IF(AND($A1539&gt;=10000101,$A1539&lt;=99991231),INT($A1539/10000),""),IFERROR(VALUE(TRIM(LEFT($A1539,FIND("/",$A1539)-1))),"")))</f>
        <v/>
      </c>
      <c r="C1539">
        <f>IF(OR($A1539="",$B1539=""),"",IF(ISNUMBER($A1539),INT(MOD($A1539,10000)/100),IFERROR(VALUE(TRIM(LEFT(MID($A1539,FIND("/",$A1539)+1,20),FIND("/",MID($A1539,FIND("/",$A1539)+1,20))-1))),"")))</f>
        <v/>
      </c>
      <c r="D1539">
        <f>IF(OR($A1539="",$B1539=""),"",IF(ISNUMBER($A1539),MOD($A1539,100),IFERROR(VALUE(TRIM(MID(MID($A1539,FIND("/",$A1539)+1,20),FIND("/",MID($A1539,FIND("/",$A1539)+1,20))+1,20))),"")))</f>
        <v/>
      </c>
      <c r="E1539">
        <f>IF($A1539="","",IF(OR($B1539="",$C1539="",$D1539="",$B1539&lt;1300,$B1539&gt;1500,$C1539&lt;1,$C1539&gt;12,$D1539&lt;1,$D1539&gt;31),"نامعتبر",RIGHT("0000"&amp;$B1539,4)&amp;"/"&amp;RIGHT("00"&amp;$C1539,2)&amp;"/"&amp;RIGHT("00"&amp;$D1539,2)))</f>
        <v/>
      </c>
      <c r="F1539">
        <f>IF(OR($E1539="",$E1539="نامعتبر"),"",LEFT($E1539,4)&amp;"/"&amp;MID($E1539,6,2))</f>
        <v/>
      </c>
      <c r="G1539">
        <f>IF(OR($E1539="",$E1539="نامعتبر",Sync!$X1535=""),"",IF(AND(LEFT(UPPER(TRIM(Sync!$X1535)),2)="SL",IFERROR(VLOOKUP(Sync!$W1535,OpTbl,3,0),"")="فروش"),UPPER(TRIM(Sync!$X1535)),""))</f>
        <v/>
      </c>
      <c r="H1539">
        <f>IF($G1539="","",IF(Sync!$W1535="","",Sync!$W1535))</f>
        <v/>
      </c>
      <c r="I1539">
        <f>IF(OR($G1539="",Sync!$Y1535=""),"",Sync!$Y1535)</f>
        <v/>
      </c>
      <c r="J1539">
        <f>IF(OR($G1539="",Sync!$Z1535=""),"",Sync!$Z1535)</f>
        <v/>
      </c>
      <c r="K1539">
        <f>IF($G1539="",0,IF(Sync!$AA1535="",0,Sync!$AA1535))</f>
        <v/>
      </c>
      <c r="L1539">
        <f>IF($G1539="",0,IF(Sync!$AB1535="",0,Sync!$AB1535))</f>
        <v/>
      </c>
      <c r="M1539">
        <f>IF($G1539="","",IF($H1539="مرجوعی فروش",-1,1)*($K1539-$L1539*IFERROR(VLOOKUP("P01",ParamTbl,3,0),1.5)))</f>
        <v/>
      </c>
      <c r="N1539">
        <f>IF($G1539="",0,IF($H1539="مرجوعی فروش",-1,1)*IF(Sync!$AC1535="",0,Sync!$AC1535))</f>
        <v/>
      </c>
      <c r="O1539">
        <f>IF(OR($G1539="",Sync!$V1535=""),"",Sync!$V1535)</f>
        <v/>
      </c>
      <c r="P1539">
        <f>IF(OR($G1539="",Sync!$AD1535=""),"",Sync!$AD1535)</f>
        <v/>
      </c>
      <c r="Q1539">
        <f>IF($G1539="","",IF(Sync!$U1535="","0000",IF(AND(ISNUMBER(Sync!$U1535),Sync!$U1535&gt;=0,Sync!$U1535&lt;1),RIGHT("00"&amp;HOUR(Sync!$U1535),2)&amp;RIGHT("00"&amp;MINUTE(Sync!$U1535),2),IFERROR(RIGHT("00"&amp;VALUE(LEFT(Sync!$U1535,FIND(":",Sync!$U1535)-1)),2)&amp;RIGHT("00"&amp;VALUE(MID(Sync!$U1535,FIND(":",Sync!$U1535)+1,2)),2),"0000"))))</f>
        <v/>
      </c>
    </row>
    <row r="1540">
      <c r="A1540">
        <f>IF(Sync!$T1536="","",Sync!$T1536)</f>
        <v/>
      </c>
      <c r="B1540">
        <f>IF($A1540="","",IF(ISNUMBER($A1540),IF(AND($A1540&gt;=10000101,$A1540&lt;=99991231),INT($A1540/10000),""),IFERROR(VALUE(TRIM(LEFT($A1540,FIND("/",$A1540)-1))),"")))</f>
        <v/>
      </c>
      <c r="C1540">
        <f>IF(OR($A1540="",$B1540=""),"",IF(ISNUMBER($A1540),INT(MOD($A1540,10000)/100),IFERROR(VALUE(TRIM(LEFT(MID($A1540,FIND("/",$A1540)+1,20),FIND("/",MID($A1540,FIND("/",$A1540)+1,20))-1))),"")))</f>
        <v/>
      </c>
      <c r="D1540">
        <f>IF(OR($A1540="",$B1540=""),"",IF(ISNUMBER($A1540),MOD($A1540,100),IFERROR(VALUE(TRIM(MID(MID($A1540,FIND("/",$A1540)+1,20),FIND("/",MID($A1540,FIND("/",$A1540)+1,20))+1,20))),"")))</f>
        <v/>
      </c>
      <c r="E1540">
        <f>IF($A1540="","",IF(OR($B1540="",$C1540="",$D1540="",$B1540&lt;1300,$B1540&gt;1500,$C1540&lt;1,$C1540&gt;12,$D1540&lt;1,$D1540&gt;31),"نامعتبر",RIGHT("0000"&amp;$B1540,4)&amp;"/"&amp;RIGHT("00"&amp;$C1540,2)&amp;"/"&amp;RIGHT("00"&amp;$D1540,2)))</f>
        <v/>
      </c>
      <c r="F1540">
        <f>IF(OR($E1540="",$E1540="نامعتبر"),"",LEFT($E1540,4)&amp;"/"&amp;MID($E1540,6,2))</f>
        <v/>
      </c>
      <c r="G1540">
        <f>IF(OR($E1540="",$E1540="نامعتبر",Sync!$X1536=""),"",IF(AND(LEFT(UPPER(TRIM(Sync!$X1536)),2)="SL",IFERROR(VLOOKUP(Sync!$W1536,OpTbl,3,0),"")="فروش"),UPPER(TRIM(Sync!$X1536)),""))</f>
        <v/>
      </c>
      <c r="H1540">
        <f>IF($G1540="","",IF(Sync!$W1536="","",Sync!$W1536))</f>
        <v/>
      </c>
      <c r="I1540">
        <f>IF(OR($G1540="",Sync!$Y1536=""),"",Sync!$Y1536)</f>
        <v/>
      </c>
      <c r="J1540">
        <f>IF(OR($G1540="",Sync!$Z1536=""),"",Sync!$Z1536)</f>
        <v/>
      </c>
      <c r="K1540">
        <f>IF($G1540="",0,IF(Sync!$AA1536="",0,Sync!$AA1536))</f>
        <v/>
      </c>
      <c r="L1540">
        <f>IF($G1540="",0,IF(Sync!$AB1536="",0,Sync!$AB1536))</f>
        <v/>
      </c>
      <c r="M1540">
        <f>IF($G1540="","",IF($H1540="مرجوعی فروش",-1,1)*($K1540-$L1540*IFERROR(VLOOKUP("P01",ParamTbl,3,0),1.5)))</f>
        <v/>
      </c>
      <c r="N1540">
        <f>IF($G1540="",0,IF($H1540="مرجوعی فروش",-1,1)*IF(Sync!$AC1536="",0,Sync!$AC1536))</f>
        <v/>
      </c>
      <c r="O1540">
        <f>IF(OR($G1540="",Sync!$V1536=""),"",Sync!$V1536)</f>
        <v/>
      </c>
      <c r="P1540">
        <f>IF(OR($G1540="",Sync!$AD1536=""),"",Sync!$AD1536)</f>
        <v/>
      </c>
      <c r="Q1540">
        <f>IF($G1540="","",IF(Sync!$U1536="","0000",IF(AND(ISNUMBER(Sync!$U1536),Sync!$U1536&gt;=0,Sync!$U1536&lt;1),RIGHT("00"&amp;HOUR(Sync!$U1536),2)&amp;RIGHT("00"&amp;MINUTE(Sync!$U1536),2),IFERROR(RIGHT("00"&amp;VALUE(LEFT(Sync!$U1536,FIND(":",Sync!$U1536)-1)),2)&amp;RIGHT("00"&amp;VALUE(MID(Sync!$U1536,FIND(":",Sync!$U1536)+1,2)),2),"0000"))))</f>
        <v/>
      </c>
    </row>
    <row r="1541">
      <c r="A1541">
        <f>IF(Sync!$T1537="","",Sync!$T1537)</f>
        <v/>
      </c>
      <c r="B1541">
        <f>IF($A1541="","",IF(ISNUMBER($A1541),IF(AND($A1541&gt;=10000101,$A1541&lt;=99991231),INT($A1541/10000),""),IFERROR(VALUE(TRIM(LEFT($A1541,FIND("/",$A1541)-1))),"")))</f>
        <v/>
      </c>
      <c r="C1541">
        <f>IF(OR($A1541="",$B1541=""),"",IF(ISNUMBER($A1541),INT(MOD($A1541,10000)/100),IFERROR(VALUE(TRIM(LEFT(MID($A1541,FIND("/",$A1541)+1,20),FIND("/",MID($A1541,FIND("/",$A1541)+1,20))-1))),"")))</f>
        <v/>
      </c>
      <c r="D1541">
        <f>IF(OR($A1541="",$B1541=""),"",IF(ISNUMBER($A1541),MOD($A1541,100),IFERROR(VALUE(TRIM(MID(MID($A1541,FIND("/",$A1541)+1,20),FIND("/",MID($A1541,FIND("/",$A1541)+1,20))+1,20))),"")))</f>
        <v/>
      </c>
      <c r="E1541">
        <f>IF($A1541="","",IF(OR($B1541="",$C1541="",$D1541="",$B1541&lt;1300,$B1541&gt;1500,$C1541&lt;1,$C1541&gt;12,$D1541&lt;1,$D1541&gt;31),"نامعتبر",RIGHT("0000"&amp;$B1541,4)&amp;"/"&amp;RIGHT("00"&amp;$C1541,2)&amp;"/"&amp;RIGHT("00"&amp;$D1541,2)))</f>
        <v/>
      </c>
      <c r="F1541">
        <f>IF(OR($E1541="",$E1541="نامعتبر"),"",LEFT($E1541,4)&amp;"/"&amp;MID($E1541,6,2))</f>
        <v/>
      </c>
      <c r="G1541">
        <f>IF(OR($E1541="",$E1541="نامعتبر",Sync!$X1537=""),"",IF(AND(LEFT(UPPER(TRIM(Sync!$X1537)),2)="SL",IFERROR(VLOOKUP(Sync!$W1537,OpTbl,3,0),"")="فروش"),UPPER(TRIM(Sync!$X1537)),""))</f>
        <v/>
      </c>
      <c r="H1541">
        <f>IF($G1541="","",IF(Sync!$W1537="","",Sync!$W1537))</f>
        <v/>
      </c>
      <c r="I1541">
        <f>IF(OR($G1541="",Sync!$Y1537=""),"",Sync!$Y1537)</f>
        <v/>
      </c>
      <c r="J1541">
        <f>IF(OR($G1541="",Sync!$Z1537=""),"",Sync!$Z1537)</f>
        <v/>
      </c>
      <c r="K1541">
        <f>IF($G1541="",0,IF(Sync!$AA1537="",0,Sync!$AA1537))</f>
        <v/>
      </c>
      <c r="L1541">
        <f>IF($G1541="",0,IF(Sync!$AB1537="",0,Sync!$AB1537))</f>
        <v/>
      </c>
      <c r="M1541">
        <f>IF($G1541="","",IF($H1541="مرجوعی فروش",-1,1)*($K1541-$L1541*IFERROR(VLOOKUP("P01",ParamTbl,3,0),1.5)))</f>
        <v/>
      </c>
      <c r="N1541">
        <f>IF($G1541="",0,IF($H1541="مرجوعی فروش",-1,1)*IF(Sync!$AC1537="",0,Sync!$AC1537))</f>
        <v/>
      </c>
      <c r="O1541">
        <f>IF(OR($G1541="",Sync!$V1537=""),"",Sync!$V1537)</f>
        <v/>
      </c>
      <c r="P1541">
        <f>IF(OR($G1541="",Sync!$AD1537=""),"",Sync!$AD1537)</f>
        <v/>
      </c>
      <c r="Q1541">
        <f>IF($G1541="","",IF(Sync!$U1537="","0000",IF(AND(ISNUMBER(Sync!$U1537),Sync!$U1537&gt;=0,Sync!$U1537&lt;1),RIGHT("00"&amp;HOUR(Sync!$U1537),2)&amp;RIGHT("00"&amp;MINUTE(Sync!$U1537),2),IFERROR(RIGHT("00"&amp;VALUE(LEFT(Sync!$U1537,FIND(":",Sync!$U1537)-1)),2)&amp;RIGHT("00"&amp;VALUE(MID(Sync!$U1537,FIND(":",Sync!$U1537)+1,2)),2),"0000"))))</f>
        <v/>
      </c>
    </row>
    <row r="1542">
      <c r="A1542">
        <f>IF(Sync!$T1538="","",Sync!$T1538)</f>
        <v/>
      </c>
      <c r="B1542">
        <f>IF($A1542="","",IF(ISNUMBER($A1542),IF(AND($A1542&gt;=10000101,$A1542&lt;=99991231),INT($A1542/10000),""),IFERROR(VALUE(TRIM(LEFT($A1542,FIND("/",$A1542)-1))),"")))</f>
        <v/>
      </c>
      <c r="C1542">
        <f>IF(OR($A1542="",$B1542=""),"",IF(ISNUMBER($A1542),INT(MOD($A1542,10000)/100),IFERROR(VALUE(TRIM(LEFT(MID($A1542,FIND("/",$A1542)+1,20),FIND("/",MID($A1542,FIND("/",$A1542)+1,20))-1))),"")))</f>
        <v/>
      </c>
      <c r="D1542">
        <f>IF(OR($A1542="",$B1542=""),"",IF(ISNUMBER($A1542),MOD($A1542,100),IFERROR(VALUE(TRIM(MID(MID($A1542,FIND("/",$A1542)+1,20),FIND("/",MID($A1542,FIND("/",$A1542)+1,20))+1,20))),"")))</f>
        <v/>
      </c>
      <c r="E1542">
        <f>IF($A1542="","",IF(OR($B1542="",$C1542="",$D1542="",$B1542&lt;1300,$B1542&gt;1500,$C1542&lt;1,$C1542&gt;12,$D1542&lt;1,$D1542&gt;31),"نامعتبر",RIGHT("0000"&amp;$B1542,4)&amp;"/"&amp;RIGHT("00"&amp;$C1542,2)&amp;"/"&amp;RIGHT("00"&amp;$D1542,2)))</f>
        <v/>
      </c>
      <c r="F1542">
        <f>IF(OR($E1542="",$E1542="نامعتبر"),"",LEFT($E1542,4)&amp;"/"&amp;MID($E1542,6,2))</f>
        <v/>
      </c>
      <c r="G1542">
        <f>IF(OR($E1542="",$E1542="نامعتبر",Sync!$X1538=""),"",IF(AND(LEFT(UPPER(TRIM(Sync!$X1538)),2)="SL",IFERROR(VLOOKUP(Sync!$W1538,OpTbl,3,0),"")="فروش"),UPPER(TRIM(Sync!$X1538)),""))</f>
        <v/>
      </c>
      <c r="H1542">
        <f>IF($G1542="","",IF(Sync!$W1538="","",Sync!$W1538))</f>
        <v/>
      </c>
      <c r="I1542">
        <f>IF(OR($G1542="",Sync!$Y1538=""),"",Sync!$Y1538)</f>
        <v/>
      </c>
      <c r="J1542">
        <f>IF(OR($G1542="",Sync!$Z1538=""),"",Sync!$Z1538)</f>
        <v/>
      </c>
      <c r="K1542">
        <f>IF($G1542="",0,IF(Sync!$AA1538="",0,Sync!$AA1538))</f>
        <v/>
      </c>
      <c r="L1542">
        <f>IF($G1542="",0,IF(Sync!$AB1538="",0,Sync!$AB1538))</f>
        <v/>
      </c>
      <c r="M1542">
        <f>IF($G1542="","",IF($H1542="مرجوعی فروش",-1,1)*($K1542-$L1542*IFERROR(VLOOKUP("P01",ParamTbl,3,0),1.5)))</f>
        <v/>
      </c>
      <c r="N1542">
        <f>IF($G1542="",0,IF($H1542="مرجوعی فروش",-1,1)*IF(Sync!$AC1538="",0,Sync!$AC1538))</f>
        <v/>
      </c>
      <c r="O1542">
        <f>IF(OR($G1542="",Sync!$V1538=""),"",Sync!$V1538)</f>
        <v/>
      </c>
      <c r="P1542">
        <f>IF(OR($G1542="",Sync!$AD1538=""),"",Sync!$AD1538)</f>
        <v/>
      </c>
      <c r="Q1542">
        <f>IF($G1542="","",IF(Sync!$U1538="","0000",IF(AND(ISNUMBER(Sync!$U1538),Sync!$U1538&gt;=0,Sync!$U1538&lt;1),RIGHT("00"&amp;HOUR(Sync!$U1538),2)&amp;RIGHT("00"&amp;MINUTE(Sync!$U1538),2),IFERROR(RIGHT("00"&amp;VALUE(LEFT(Sync!$U1538,FIND(":",Sync!$U1538)-1)),2)&amp;RIGHT("00"&amp;VALUE(MID(Sync!$U1538,FIND(":",Sync!$U1538)+1,2)),2),"0000"))))</f>
        <v/>
      </c>
    </row>
    <row r="1543">
      <c r="A1543">
        <f>IF(Sync!$T1539="","",Sync!$T1539)</f>
        <v/>
      </c>
      <c r="B1543">
        <f>IF($A1543="","",IF(ISNUMBER($A1543),IF(AND($A1543&gt;=10000101,$A1543&lt;=99991231),INT($A1543/10000),""),IFERROR(VALUE(TRIM(LEFT($A1543,FIND("/",$A1543)-1))),"")))</f>
        <v/>
      </c>
      <c r="C1543">
        <f>IF(OR($A1543="",$B1543=""),"",IF(ISNUMBER($A1543),INT(MOD($A1543,10000)/100),IFERROR(VALUE(TRIM(LEFT(MID($A1543,FIND("/",$A1543)+1,20),FIND("/",MID($A1543,FIND("/",$A1543)+1,20))-1))),"")))</f>
        <v/>
      </c>
      <c r="D1543">
        <f>IF(OR($A1543="",$B1543=""),"",IF(ISNUMBER($A1543),MOD($A1543,100),IFERROR(VALUE(TRIM(MID(MID($A1543,FIND("/",$A1543)+1,20),FIND("/",MID($A1543,FIND("/",$A1543)+1,20))+1,20))),"")))</f>
        <v/>
      </c>
      <c r="E1543">
        <f>IF($A1543="","",IF(OR($B1543="",$C1543="",$D1543="",$B1543&lt;1300,$B1543&gt;1500,$C1543&lt;1,$C1543&gt;12,$D1543&lt;1,$D1543&gt;31),"نامعتبر",RIGHT("0000"&amp;$B1543,4)&amp;"/"&amp;RIGHT("00"&amp;$C1543,2)&amp;"/"&amp;RIGHT("00"&amp;$D1543,2)))</f>
        <v/>
      </c>
      <c r="F1543">
        <f>IF(OR($E1543="",$E1543="نامعتبر"),"",LEFT($E1543,4)&amp;"/"&amp;MID($E1543,6,2))</f>
        <v/>
      </c>
      <c r="G1543">
        <f>IF(OR($E1543="",$E1543="نامعتبر",Sync!$X1539=""),"",IF(AND(LEFT(UPPER(TRIM(Sync!$X1539)),2)="SL",IFERROR(VLOOKUP(Sync!$W1539,OpTbl,3,0),"")="فروش"),UPPER(TRIM(Sync!$X1539)),""))</f>
        <v/>
      </c>
      <c r="H1543">
        <f>IF($G1543="","",IF(Sync!$W1539="","",Sync!$W1539))</f>
        <v/>
      </c>
      <c r="I1543">
        <f>IF(OR($G1543="",Sync!$Y1539=""),"",Sync!$Y1539)</f>
        <v/>
      </c>
      <c r="J1543">
        <f>IF(OR($G1543="",Sync!$Z1539=""),"",Sync!$Z1539)</f>
        <v/>
      </c>
      <c r="K1543">
        <f>IF($G1543="",0,IF(Sync!$AA1539="",0,Sync!$AA1539))</f>
        <v/>
      </c>
      <c r="L1543">
        <f>IF($G1543="",0,IF(Sync!$AB1539="",0,Sync!$AB1539))</f>
        <v/>
      </c>
      <c r="M1543">
        <f>IF($G1543="","",IF($H1543="مرجوعی فروش",-1,1)*($K1543-$L1543*IFERROR(VLOOKUP("P01",ParamTbl,3,0),1.5)))</f>
        <v/>
      </c>
      <c r="N1543">
        <f>IF($G1543="",0,IF($H1543="مرجوعی فروش",-1,1)*IF(Sync!$AC1539="",0,Sync!$AC1539))</f>
        <v/>
      </c>
      <c r="O1543">
        <f>IF(OR($G1543="",Sync!$V1539=""),"",Sync!$V1539)</f>
        <v/>
      </c>
      <c r="P1543">
        <f>IF(OR($G1543="",Sync!$AD1539=""),"",Sync!$AD1539)</f>
        <v/>
      </c>
      <c r="Q1543">
        <f>IF($G1543="","",IF(Sync!$U1539="","0000",IF(AND(ISNUMBER(Sync!$U1539),Sync!$U1539&gt;=0,Sync!$U1539&lt;1),RIGHT("00"&amp;HOUR(Sync!$U1539),2)&amp;RIGHT("00"&amp;MINUTE(Sync!$U1539),2),IFERROR(RIGHT("00"&amp;VALUE(LEFT(Sync!$U1539,FIND(":",Sync!$U1539)-1)),2)&amp;RIGHT("00"&amp;VALUE(MID(Sync!$U1539,FIND(":",Sync!$U1539)+1,2)),2),"0000"))))</f>
        <v/>
      </c>
    </row>
    <row r="1544">
      <c r="A1544">
        <f>IF(Sync!$T1540="","",Sync!$T1540)</f>
        <v/>
      </c>
      <c r="B1544">
        <f>IF($A1544="","",IF(ISNUMBER($A1544),IF(AND($A1544&gt;=10000101,$A1544&lt;=99991231),INT($A1544/10000),""),IFERROR(VALUE(TRIM(LEFT($A1544,FIND("/",$A1544)-1))),"")))</f>
        <v/>
      </c>
      <c r="C1544">
        <f>IF(OR($A1544="",$B1544=""),"",IF(ISNUMBER($A1544),INT(MOD($A1544,10000)/100),IFERROR(VALUE(TRIM(LEFT(MID($A1544,FIND("/",$A1544)+1,20),FIND("/",MID($A1544,FIND("/",$A1544)+1,20))-1))),"")))</f>
        <v/>
      </c>
      <c r="D1544">
        <f>IF(OR($A1544="",$B1544=""),"",IF(ISNUMBER($A1544),MOD($A1544,100),IFERROR(VALUE(TRIM(MID(MID($A1544,FIND("/",$A1544)+1,20),FIND("/",MID($A1544,FIND("/",$A1544)+1,20))+1,20))),"")))</f>
        <v/>
      </c>
      <c r="E1544">
        <f>IF($A1544="","",IF(OR($B1544="",$C1544="",$D1544="",$B1544&lt;1300,$B1544&gt;1500,$C1544&lt;1,$C1544&gt;12,$D1544&lt;1,$D1544&gt;31),"نامعتبر",RIGHT("0000"&amp;$B1544,4)&amp;"/"&amp;RIGHT("00"&amp;$C1544,2)&amp;"/"&amp;RIGHT("00"&amp;$D1544,2)))</f>
        <v/>
      </c>
      <c r="F1544">
        <f>IF(OR($E1544="",$E1544="نامعتبر"),"",LEFT($E1544,4)&amp;"/"&amp;MID($E1544,6,2))</f>
        <v/>
      </c>
      <c r="G1544">
        <f>IF(OR($E1544="",$E1544="نامعتبر",Sync!$X1540=""),"",IF(AND(LEFT(UPPER(TRIM(Sync!$X1540)),2)="SL",IFERROR(VLOOKUP(Sync!$W1540,OpTbl,3,0),"")="فروش"),UPPER(TRIM(Sync!$X1540)),""))</f>
        <v/>
      </c>
      <c r="H1544">
        <f>IF($G1544="","",IF(Sync!$W1540="","",Sync!$W1540))</f>
        <v/>
      </c>
      <c r="I1544">
        <f>IF(OR($G1544="",Sync!$Y1540=""),"",Sync!$Y1540)</f>
        <v/>
      </c>
      <c r="J1544">
        <f>IF(OR($G1544="",Sync!$Z1540=""),"",Sync!$Z1540)</f>
        <v/>
      </c>
      <c r="K1544">
        <f>IF($G1544="",0,IF(Sync!$AA1540="",0,Sync!$AA1540))</f>
        <v/>
      </c>
      <c r="L1544">
        <f>IF($G1544="",0,IF(Sync!$AB1540="",0,Sync!$AB1540))</f>
        <v/>
      </c>
      <c r="M1544">
        <f>IF($G1544="","",IF($H1544="مرجوعی فروش",-1,1)*($K1544-$L1544*IFERROR(VLOOKUP("P01",ParamTbl,3,0),1.5)))</f>
        <v/>
      </c>
      <c r="N1544">
        <f>IF($G1544="",0,IF($H1544="مرجوعی فروش",-1,1)*IF(Sync!$AC1540="",0,Sync!$AC1540))</f>
        <v/>
      </c>
      <c r="O1544">
        <f>IF(OR($G1544="",Sync!$V1540=""),"",Sync!$V1540)</f>
        <v/>
      </c>
      <c r="P1544">
        <f>IF(OR($G1544="",Sync!$AD1540=""),"",Sync!$AD1540)</f>
        <v/>
      </c>
      <c r="Q1544">
        <f>IF($G1544="","",IF(Sync!$U1540="","0000",IF(AND(ISNUMBER(Sync!$U1540),Sync!$U1540&gt;=0,Sync!$U1540&lt;1),RIGHT("00"&amp;HOUR(Sync!$U1540),2)&amp;RIGHT("00"&amp;MINUTE(Sync!$U1540),2),IFERROR(RIGHT("00"&amp;VALUE(LEFT(Sync!$U1540,FIND(":",Sync!$U1540)-1)),2)&amp;RIGHT("00"&amp;VALUE(MID(Sync!$U1540,FIND(":",Sync!$U1540)+1,2)),2),"0000"))))</f>
        <v/>
      </c>
    </row>
    <row r="1545">
      <c r="A1545">
        <f>IF(Sync!$T1541="","",Sync!$T1541)</f>
        <v/>
      </c>
      <c r="B1545">
        <f>IF($A1545="","",IF(ISNUMBER($A1545),IF(AND($A1545&gt;=10000101,$A1545&lt;=99991231),INT($A1545/10000),""),IFERROR(VALUE(TRIM(LEFT($A1545,FIND("/",$A1545)-1))),"")))</f>
        <v/>
      </c>
      <c r="C1545">
        <f>IF(OR($A1545="",$B1545=""),"",IF(ISNUMBER($A1545),INT(MOD($A1545,10000)/100),IFERROR(VALUE(TRIM(LEFT(MID($A1545,FIND("/",$A1545)+1,20),FIND("/",MID($A1545,FIND("/",$A1545)+1,20))-1))),"")))</f>
        <v/>
      </c>
      <c r="D1545">
        <f>IF(OR($A1545="",$B1545=""),"",IF(ISNUMBER($A1545),MOD($A1545,100),IFERROR(VALUE(TRIM(MID(MID($A1545,FIND("/",$A1545)+1,20),FIND("/",MID($A1545,FIND("/",$A1545)+1,20))+1,20))),"")))</f>
        <v/>
      </c>
      <c r="E1545">
        <f>IF($A1545="","",IF(OR($B1545="",$C1545="",$D1545="",$B1545&lt;1300,$B1545&gt;1500,$C1545&lt;1,$C1545&gt;12,$D1545&lt;1,$D1545&gt;31),"نامعتبر",RIGHT("0000"&amp;$B1545,4)&amp;"/"&amp;RIGHT("00"&amp;$C1545,2)&amp;"/"&amp;RIGHT("00"&amp;$D1545,2)))</f>
        <v/>
      </c>
      <c r="F1545">
        <f>IF(OR($E1545="",$E1545="نامعتبر"),"",LEFT($E1545,4)&amp;"/"&amp;MID($E1545,6,2))</f>
        <v/>
      </c>
      <c r="G1545">
        <f>IF(OR($E1545="",$E1545="نامعتبر",Sync!$X1541=""),"",IF(AND(LEFT(UPPER(TRIM(Sync!$X1541)),2)="SL",IFERROR(VLOOKUP(Sync!$W1541,OpTbl,3,0),"")="فروش"),UPPER(TRIM(Sync!$X1541)),""))</f>
        <v/>
      </c>
      <c r="H1545">
        <f>IF($G1545="","",IF(Sync!$W1541="","",Sync!$W1541))</f>
        <v/>
      </c>
      <c r="I1545">
        <f>IF(OR($G1545="",Sync!$Y1541=""),"",Sync!$Y1541)</f>
        <v/>
      </c>
      <c r="J1545">
        <f>IF(OR($G1545="",Sync!$Z1541=""),"",Sync!$Z1541)</f>
        <v/>
      </c>
      <c r="K1545">
        <f>IF($G1545="",0,IF(Sync!$AA1541="",0,Sync!$AA1541))</f>
        <v/>
      </c>
      <c r="L1545">
        <f>IF($G1545="",0,IF(Sync!$AB1541="",0,Sync!$AB1541))</f>
        <v/>
      </c>
      <c r="M1545">
        <f>IF($G1545="","",IF($H1545="مرجوعی فروش",-1,1)*($K1545-$L1545*IFERROR(VLOOKUP("P01",ParamTbl,3,0),1.5)))</f>
        <v/>
      </c>
      <c r="N1545">
        <f>IF($G1545="",0,IF($H1545="مرجوعی فروش",-1,1)*IF(Sync!$AC1541="",0,Sync!$AC1541))</f>
        <v/>
      </c>
      <c r="O1545">
        <f>IF(OR($G1545="",Sync!$V1541=""),"",Sync!$V1541)</f>
        <v/>
      </c>
      <c r="P1545">
        <f>IF(OR($G1545="",Sync!$AD1541=""),"",Sync!$AD1541)</f>
        <v/>
      </c>
      <c r="Q1545">
        <f>IF($G1545="","",IF(Sync!$U1541="","0000",IF(AND(ISNUMBER(Sync!$U1541),Sync!$U1541&gt;=0,Sync!$U1541&lt;1),RIGHT("00"&amp;HOUR(Sync!$U1541),2)&amp;RIGHT("00"&amp;MINUTE(Sync!$U1541),2),IFERROR(RIGHT("00"&amp;VALUE(LEFT(Sync!$U1541,FIND(":",Sync!$U1541)-1)),2)&amp;RIGHT("00"&amp;VALUE(MID(Sync!$U1541,FIND(":",Sync!$U1541)+1,2)),2),"0000"))))</f>
        <v/>
      </c>
    </row>
    <row r="1546">
      <c r="A1546">
        <f>IF(Sync!$T1542="","",Sync!$T1542)</f>
        <v/>
      </c>
      <c r="B1546">
        <f>IF($A1546="","",IF(ISNUMBER($A1546),IF(AND($A1546&gt;=10000101,$A1546&lt;=99991231),INT($A1546/10000),""),IFERROR(VALUE(TRIM(LEFT($A1546,FIND("/",$A1546)-1))),"")))</f>
        <v/>
      </c>
      <c r="C1546">
        <f>IF(OR($A1546="",$B1546=""),"",IF(ISNUMBER($A1546),INT(MOD($A1546,10000)/100),IFERROR(VALUE(TRIM(LEFT(MID($A1546,FIND("/",$A1546)+1,20),FIND("/",MID($A1546,FIND("/",$A1546)+1,20))-1))),"")))</f>
        <v/>
      </c>
      <c r="D1546">
        <f>IF(OR($A1546="",$B1546=""),"",IF(ISNUMBER($A1546),MOD($A1546,100),IFERROR(VALUE(TRIM(MID(MID($A1546,FIND("/",$A1546)+1,20),FIND("/",MID($A1546,FIND("/",$A1546)+1,20))+1,20))),"")))</f>
        <v/>
      </c>
      <c r="E1546">
        <f>IF($A1546="","",IF(OR($B1546="",$C1546="",$D1546="",$B1546&lt;1300,$B1546&gt;1500,$C1546&lt;1,$C1546&gt;12,$D1546&lt;1,$D1546&gt;31),"نامعتبر",RIGHT("0000"&amp;$B1546,4)&amp;"/"&amp;RIGHT("00"&amp;$C1546,2)&amp;"/"&amp;RIGHT("00"&amp;$D1546,2)))</f>
        <v/>
      </c>
      <c r="F1546">
        <f>IF(OR($E1546="",$E1546="نامعتبر"),"",LEFT($E1546,4)&amp;"/"&amp;MID($E1546,6,2))</f>
        <v/>
      </c>
      <c r="G1546">
        <f>IF(OR($E1546="",$E1546="نامعتبر",Sync!$X1542=""),"",IF(AND(LEFT(UPPER(TRIM(Sync!$X1542)),2)="SL",IFERROR(VLOOKUP(Sync!$W1542,OpTbl,3,0),"")="فروش"),UPPER(TRIM(Sync!$X1542)),""))</f>
        <v/>
      </c>
      <c r="H1546">
        <f>IF($G1546="","",IF(Sync!$W1542="","",Sync!$W1542))</f>
        <v/>
      </c>
      <c r="I1546">
        <f>IF(OR($G1546="",Sync!$Y1542=""),"",Sync!$Y1542)</f>
        <v/>
      </c>
      <c r="J1546">
        <f>IF(OR($G1546="",Sync!$Z1542=""),"",Sync!$Z1542)</f>
        <v/>
      </c>
      <c r="K1546">
        <f>IF($G1546="",0,IF(Sync!$AA1542="",0,Sync!$AA1542))</f>
        <v/>
      </c>
      <c r="L1546">
        <f>IF($G1546="",0,IF(Sync!$AB1542="",0,Sync!$AB1542))</f>
        <v/>
      </c>
      <c r="M1546">
        <f>IF($G1546="","",IF($H1546="مرجوعی فروش",-1,1)*($K1546-$L1546*IFERROR(VLOOKUP("P01",ParamTbl,3,0),1.5)))</f>
        <v/>
      </c>
      <c r="N1546">
        <f>IF($G1546="",0,IF($H1546="مرجوعی فروش",-1,1)*IF(Sync!$AC1542="",0,Sync!$AC1542))</f>
        <v/>
      </c>
      <c r="O1546">
        <f>IF(OR($G1546="",Sync!$V1542=""),"",Sync!$V1542)</f>
        <v/>
      </c>
      <c r="P1546">
        <f>IF(OR($G1546="",Sync!$AD1542=""),"",Sync!$AD1542)</f>
        <v/>
      </c>
      <c r="Q1546">
        <f>IF($G1546="","",IF(Sync!$U1542="","0000",IF(AND(ISNUMBER(Sync!$U1542),Sync!$U1542&gt;=0,Sync!$U1542&lt;1),RIGHT("00"&amp;HOUR(Sync!$U1542),2)&amp;RIGHT("00"&amp;MINUTE(Sync!$U1542),2),IFERROR(RIGHT("00"&amp;VALUE(LEFT(Sync!$U1542,FIND(":",Sync!$U1542)-1)),2)&amp;RIGHT("00"&amp;VALUE(MID(Sync!$U1542,FIND(":",Sync!$U1542)+1,2)),2),"0000"))))</f>
        <v/>
      </c>
    </row>
    <row r="1547">
      <c r="A1547">
        <f>IF(Sync!$T1543="","",Sync!$T1543)</f>
        <v/>
      </c>
      <c r="B1547">
        <f>IF($A1547="","",IF(ISNUMBER($A1547),IF(AND($A1547&gt;=10000101,$A1547&lt;=99991231),INT($A1547/10000),""),IFERROR(VALUE(TRIM(LEFT($A1547,FIND("/",$A1547)-1))),"")))</f>
        <v/>
      </c>
      <c r="C1547">
        <f>IF(OR($A1547="",$B1547=""),"",IF(ISNUMBER($A1547),INT(MOD($A1547,10000)/100),IFERROR(VALUE(TRIM(LEFT(MID($A1547,FIND("/",$A1547)+1,20),FIND("/",MID($A1547,FIND("/",$A1547)+1,20))-1))),"")))</f>
        <v/>
      </c>
      <c r="D1547">
        <f>IF(OR($A1547="",$B1547=""),"",IF(ISNUMBER($A1547),MOD($A1547,100),IFERROR(VALUE(TRIM(MID(MID($A1547,FIND("/",$A1547)+1,20),FIND("/",MID($A1547,FIND("/",$A1547)+1,20))+1,20))),"")))</f>
        <v/>
      </c>
      <c r="E1547">
        <f>IF($A1547="","",IF(OR($B1547="",$C1547="",$D1547="",$B1547&lt;1300,$B1547&gt;1500,$C1547&lt;1,$C1547&gt;12,$D1547&lt;1,$D1547&gt;31),"نامعتبر",RIGHT("0000"&amp;$B1547,4)&amp;"/"&amp;RIGHT("00"&amp;$C1547,2)&amp;"/"&amp;RIGHT("00"&amp;$D1547,2)))</f>
        <v/>
      </c>
      <c r="F1547">
        <f>IF(OR($E1547="",$E1547="نامعتبر"),"",LEFT($E1547,4)&amp;"/"&amp;MID($E1547,6,2))</f>
        <v/>
      </c>
      <c r="G1547">
        <f>IF(OR($E1547="",$E1547="نامعتبر",Sync!$X1543=""),"",IF(AND(LEFT(UPPER(TRIM(Sync!$X1543)),2)="SL",IFERROR(VLOOKUP(Sync!$W1543,OpTbl,3,0),"")="فروش"),UPPER(TRIM(Sync!$X1543)),""))</f>
        <v/>
      </c>
      <c r="H1547">
        <f>IF($G1547="","",IF(Sync!$W1543="","",Sync!$W1543))</f>
        <v/>
      </c>
      <c r="I1547">
        <f>IF(OR($G1547="",Sync!$Y1543=""),"",Sync!$Y1543)</f>
        <v/>
      </c>
      <c r="J1547">
        <f>IF(OR($G1547="",Sync!$Z1543=""),"",Sync!$Z1543)</f>
        <v/>
      </c>
      <c r="K1547">
        <f>IF($G1547="",0,IF(Sync!$AA1543="",0,Sync!$AA1543))</f>
        <v/>
      </c>
      <c r="L1547">
        <f>IF($G1547="",0,IF(Sync!$AB1543="",0,Sync!$AB1543))</f>
        <v/>
      </c>
      <c r="M1547">
        <f>IF($G1547="","",IF($H1547="مرجوعی فروش",-1,1)*($K1547-$L1547*IFERROR(VLOOKUP("P01",ParamTbl,3,0),1.5)))</f>
        <v/>
      </c>
      <c r="N1547">
        <f>IF($G1547="",0,IF($H1547="مرجوعی فروش",-1,1)*IF(Sync!$AC1543="",0,Sync!$AC1543))</f>
        <v/>
      </c>
      <c r="O1547">
        <f>IF(OR($G1547="",Sync!$V1543=""),"",Sync!$V1543)</f>
        <v/>
      </c>
      <c r="P1547">
        <f>IF(OR($G1547="",Sync!$AD1543=""),"",Sync!$AD1543)</f>
        <v/>
      </c>
      <c r="Q1547">
        <f>IF($G1547="","",IF(Sync!$U1543="","0000",IF(AND(ISNUMBER(Sync!$U1543),Sync!$U1543&gt;=0,Sync!$U1543&lt;1),RIGHT("00"&amp;HOUR(Sync!$U1543),2)&amp;RIGHT("00"&amp;MINUTE(Sync!$U1543),2),IFERROR(RIGHT("00"&amp;VALUE(LEFT(Sync!$U1543,FIND(":",Sync!$U1543)-1)),2)&amp;RIGHT("00"&amp;VALUE(MID(Sync!$U1543,FIND(":",Sync!$U1543)+1,2)),2),"0000"))))</f>
        <v/>
      </c>
    </row>
    <row r="1548">
      <c r="A1548">
        <f>IF(Sync!$T1544="","",Sync!$T1544)</f>
        <v/>
      </c>
      <c r="B1548">
        <f>IF($A1548="","",IF(ISNUMBER($A1548),IF(AND($A1548&gt;=10000101,$A1548&lt;=99991231),INT($A1548/10000),""),IFERROR(VALUE(TRIM(LEFT($A1548,FIND("/",$A1548)-1))),"")))</f>
        <v/>
      </c>
      <c r="C1548">
        <f>IF(OR($A1548="",$B1548=""),"",IF(ISNUMBER($A1548),INT(MOD($A1548,10000)/100),IFERROR(VALUE(TRIM(LEFT(MID($A1548,FIND("/",$A1548)+1,20),FIND("/",MID($A1548,FIND("/",$A1548)+1,20))-1))),"")))</f>
        <v/>
      </c>
      <c r="D1548">
        <f>IF(OR($A1548="",$B1548=""),"",IF(ISNUMBER($A1548),MOD($A1548,100),IFERROR(VALUE(TRIM(MID(MID($A1548,FIND("/",$A1548)+1,20),FIND("/",MID($A1548,FIND("/",$A1548)+1,20))+1,20))),"")))</f>
        <v/>
      </c>
      <c r="E1548">
        <f>IF($A1548="","",IF(OR($B1548="",$C1548="",$D1548="",$B1548&lt;1300,$B1548&gt;1500,$C1548&lt;1,$C1548&gt;12,$D1548&lt;1,$D1548&gt;31),"نامعتبر",RIGHT("0000"&amp;$B1548,4)&amp;"/"&amp;RIGHT("00"&amp;$C1548,2)&amp;"/"&amp;RIGHT("00"&amp;$D1548,2)))</f>
        <v/>
      </c>
      <c r="F1548">
        <f>IF(OR($E1548="",$E1548="نامعتبر"),"",LEFT($E1548,4)&amp;"/"&amp;MID($E1548,6,2))</f>
        <v/>
      </c>
      <c r="G1548">
        <f>IF(OR($E1548="",$E1548="نامعتبر",Sync!$X1544=""),"",IF(AND(LEFT(UPPER(TRIM(Sync!$X1544)),2)="SL",IFERROR(VLOOKUP(Sync!$W1544,OpTbl,3,0),"")="فروش"),UPPER(TRIM(Sync!$X1544)),""))</f>
        <v/>
      </c>
      <c r="H1548">
        <f>IF($G1548="","",IF(Sync!$W1544="","",Sync!$W1544))</f>
        <v/>
      </c>
      <c r="I1548">
        <f>IF(OR($G1548="",Sync!$Y1544=""),"",Sync!$Y1544)</f>
        <v/>
      </c>
      <c r="J1548">
        <f>IF(OR($G1548="",Sync!$Z1544=""),"",Sync!$Z1544)</f>
        <v/>
      </c>
      <c r="K1548">
        <f>IF($G1548="",0,IF(Sync!$AA1544="",0,Sync!$AA1544))</f>
        <v/>
      </c>
      <c r="L1548">
        <f>IF($G1548="",0,IF(Sync!$AB1544="",0,Sync!$AB1544))</f>
        <v/>
      </c>
      <c r="M1548">
        <f>IF($G1548="","",IF($H1548="مرجوعی فروش",-1,1)*($K1548-$L1548*IFERROR(VLOOKUP("P01",ParamTbl,3,0),1.5)))</f>
        <v/>
      </c>
      <c r="N1548">
        <f>IF($G1548="",0,IF($H1548="مرجوعی فروش",-1,1)*IF(Sync!$AC1544="",0,Sync!$AC1544))</f>
        <v/>
      </c>
      <c r="O1548">
        <f>IF(OR($G1548="",Sync!$V1544=""),"",Sync!$V1544)</f>
        <v/>
      </c>
      <c r="P1548">
        <f>IF(OR($G1548="",Sync!$AD1544=""),"",Sync!$AD1544)</f>
        <v/>
      </c>
      <c r="Q1548">
        <f>IF($G1548="","",IF(Sync!$U1544="","0000",IF(AND(ISNUMBER(Sync!$U1544),Sync!$U1544&gt;=0,Sync!$U1544&lt;1),RIGHT("00"&amp;HOUR(Sync!$U1544),2)&amp;RIGHT("00"&amp;MINUTE(Sync!$U1544),2),IFERROR(RIGHT("00"&amp;VALUE(LEFT(Sync!$U1544,FIND(":",Sync!$U1544)-1)),2)&amp;RIGHT("00"&amp;VALUE(MID(Sync!$U1544,FIND(":",Sync!$U1544)+1,2)),2),"0000"))))</f>
        <v/>
      </c>
    </row>
    <row r="1549">
      <c r="A1549">
        <f>IF(Sync!$T1545="","",Sync!$T1545)</f>
        <v/>
      </c>
      <c r="B1549">
        <f>IF($A1549="","",IF(ISNUMBER($A1549),IF(AND($A1549&gt;=10000101,$A1549&lt;=99991231),INT($A1549/10000),""),IFERROR(VALUE(TRIM(LEFT($A1549,FIND("/",$A1549)-1))),"")))</f>
        <v/>
      </c>
      <c r="C1549">
        <f>IF(OR($A1549="",$B1549=""),"",IF(ISNUMBER($A1549),INT(MOD($A1549,10000)/100),IFERROR(VALUE(TRIM(LEFT(MID($A1549,FIND("/",$A1549)+1,20),FIND("/",MID($A1549,FIND("/",$A1549)+1,20))-1))),"")))</f>
        <v/>
      </c>
      <c r="D1549">
        <f>IF(OR($A1549="",$B1549=""),"",IF(ISNUMBER($A1549),MOD($A1549,100),IFERROR(VALUE(TRIM(MID(MID($A1549,FIND("/",$A1549)+1,20),FIND("/",MID($A1549,FIND("/",$A1549)+1,20))+1,20))),"")))</f>
        <v/>
      </c>
      <c r="E1549">
        <f>IF($A1549="","",IF(OR($B1549="",$C1549="",$D1549="",$B1549&lt;1300,$B1549&gt;1500,$C1549&lt;1,$C1549&gt;12,$D1549&lt;1,$D1549&gt;31),"نامعتبر",RIGHT("0000"&amp;$B1549,4)&amp;"/"&amp;RIGHT("00"&amp;$C1549,2)&amp;"/"&amp;RIGHT("00"&amp;$D1549,2)))</f>
        <v/>
      </c>
      <c r="F1549">
        <f>IF(OR($E1549="",$E1549="نامعتبر"),"",LEFT($E1549,4)&amp;"/"&amp;MID($E1549,6,2))</f>
        <v/>
      </c>
      <c r="G1549">
        <f>IF(OR($E1549="",$E1549="نامعتبر",Sync!$X1545=""),"",IF(AND(LEFT(UPPER(TRIM(Sync!$X1545)),2)="SL",IFERROR(VLOOKUP(Sync!$W1545,OpTbl,3,0),"")="فروش"),UPPER(TRIM(Sync!$X1545)),""))</f>
        <v/>
      </c>
      <c r="H1549">
        <f>IF($G1549="","",IF(Sync!$W1545="","",Sync!$W1545))</f>
        <v/>
      </c>
      <c r="I1549">
        <f>IF(OR($G1549="",Sync!$Y1545=""),"",Sync!$Y1545)</f>
        <v/>
      </c>
      <c r="J1549">
        <f>IF(OR($G1549="",Sync!$Z1545=""),"",Sync!$Z1545)</f>
        <v/>
      </c>
      <c r="K1549">
        <f>IF($G1549="",0,IF(Sync!$AA1545="",0,Sync!$AA1545))</f>
        <v/>
      </c>
      <c r="L1549">
        <f>IF($G1549="",0,IF(Sync!$AB1545="",0,Sync!$AB1545))</f>
        <v/>
      </c>
      <c r="M1549">
        <f>IF($G1549="","",IF($H1549="مرجوعی فروش",-1,1)*($K1549-$L1549*IFERROR(VLOOKUP("P01",ParamTbl,3,0),1.5)))</f>
        <v/>
      </c>
      <c r="N1549">
        <f>IF($G1549="",0,IF($H1549="مرجوعی فروش",-1,1)*IF(Sync!$AC1545="",0,Sync!$AC1545))</f>
        <v/>
      </c>
      <c r="O1549">
        <f>IF(OR($G1549="",Sync!$V1545=""),"",Sync!$V1545)</f>
        <v/>
      </c>
      <c r="P1549">
        <f>IF(OR($G1549="",Sync!$AD1545=""),"",Sync!$AD1545)</f>
        <v/>
      </c>
      <c r="Q1549">
        <f>IF($G1549="","",IF(Sync!$U1545="","0000",IF(AND(ISNUMBER(Sync!$U1545),Sync!$U1545&gt;=0,Sync!$U1545&lt;1),RIGHT("00"&amp;HOUR(Sync!$U1545),2)&amp;RIGHT("00"&amp;MINUTE(Sync!$U1545),2),IFERROR(RIGHT("00"&amp;VALUE(LEFT(Sync!$U1545,FIND(":",Sync!$U1545)-1)),2)&amp;RIGHT("00"&amp;VALUE(MID(Sync!$U1545,FIND(":",Sync!$U1545)+1,2)),2),"0000"))))</f>
        <v/>
      </c>
    </row>
    <row r="1550">
      <c r="A1550">
        <f>IF(Sync!$T1546="","",Sync!$T1546)</f>
        <v/>
      </c>
      <c r="B1550">
        <f>IF($A1550="","",IF(ISNUMBER($A1550),IF(AND($A1550&gt;=10000101,$A1550&lt;=99991231),INT($A1550/10000),""),IFERROR(VALUE(TRIM(LEFT($A1550,FIND("/",$A1550)-1))),"")))</f>
        <v/>
      </c>
      <c r="C1550">
        <f>IF(OR($A1550="",$B1550=""),"",IF(ISNUMBER($A1550),INT(MOD($A1550,10000)/100),IFERROR(VALUE(TRIM(LEFT(MID($A1550,FIND("/",$A1550)+1,20),FIND("/",MID($A1550,FIND("/",$A1550)+1,20))-1))),"")))</f>
        <v/>
      </c>
      <c r="D1550">
        <f>IF(OR($A1550="",$B1550=""),"",IF(ISNUMBER($A1550),MOD($A1550,100),IFERROR(VALUE(TRIM(MID(MID($A1550,FIND("/",$A1550)+1,20),FIND("/",MID($A1550,FIND("/",$A1550)+1,20))+1,20))),"")))</f>
        <v/>
      </c>
      <c r="E1550">
        <f>IF($A1550="","",IF(OR($B1550="",$C1550="",$D1550="",$B1550&lt;1300,$B1550&gt;1500,$C1550&lt;1,$C1550&gt;12,$D1550&lt;1,$D1550&gt;31),"نامعتبر",RIGHT("0000"&amp;$B1550,4)&amp;"/"&amp;RIGHT("00"&amp;$C1550,2)&amp;"/"&amp;RIGHT("00"&amp;$D1550,2)))</f>
        <v/>
      </c>
      <c r="F1550">
        <f>IF(OR($E1550="",$E1550="نامعتبر"),"",LEFT($E1550,4)&amp;"/"&amp;MID($E1550,6,2))</f>
        <v/>
      </c>
      <c r="G1550">
        <f>IF(OR($E1550="",$E1550="نامعتبر",Sync!$X1546=""),"",IF(AND(LEFT(UPPER(TRIM(Sync!$X1546)),2)="SL",IFERROR(VLOOKUP(Sync!$W1546,OpTbl,3,0),"")="فروش"),UPPER(TRIM(Sync!$X1546)),""))</f>
        <v/>
      </c>
      <c r="H1550">
        <f>IF($G1550="","",IF(Sync!$W1546="","",Sync!$W1546))</f>
        <v/>
      </c>
      <c r="I1550">
        <f>IF(OR($G1550="",Sync!$Y1546=""),"",Sync!$Y1546)</f>
        <v/>
      </c>
      <c r="J1550">
        <f>IF(OR($G1550="",Sync!$Z1546=""),"",Sync!$Z1546)</f>
        <v/>
      </c>
      <c r="K1550">
        <f>IF($G1550="",0,IF(Sync!$AA1546="",0,Sync!$AA1546))</f>
        <v/>
      </c>
      <c r="L1550">
        <f>IF($G1550="",0,IF(Sync!$AB1546="",0,Sync!$AB1546))</f>
        <v/>
      </c>
      <c r="M1550">
        <f>IF($G1550="","",IF($H1550="مرجوعی فروش",-1,1)*($K1550-$L1550*IFERROR(VLOOKUP("P01",ParamTbl,3,0),1.5)))</f>
        <v/>
      </c>
      <c r="N1550">
        <f>IF($G1550="",0,IF($H1550="مرجوعی فروش",-1,1)*IF(Sync!$AC1546="",0,Sync!$AC1546))</f>
        <v/>
      </c>
      <c r="O1550">
        <f>IF(OR($G1550="",Sync!$V1546=""),"",Sync!$V1546)</f>
        <v/>
      </c>
      <c r="P1550">
        <f>IF(OR($G1550="",Sync!$AD1546=""),"",Sync!$AD1546)</f>
        <v/>
      </c>
      <c r="Q1550">
        <f>IF($G1550="","",IF(Sync!$U1546="","0000",IF(AND(ISNUMBER(Sync!$U1546),Sync!$U1546&gt;=0,Sync!$U1546&lt;1),RIGHT("00"&amp;HOUR(Sync!$U1546),2)&amp;RIGHT("00"&amp;MINUTE(Sync!$U1546),2),IFERROR(RIGHT("00"&amp;VALUE(LEFT(Sync!$U1546,FIND(":",Sync!$U1546)-1)),2)&amp;RIGHT("00"&amp;VALUE(MID(Sync!$U1546,FIND(":",Sync!$U1546)+1,2)),2),"0000"))))</f>
        <v/>
      </c>
    </row>
    <row r="1551">
      <c r="A1551">
        <f>IF(Sync!$T1547="","",Sync!$T1547)</f>
        <v/>
      </c>
      <c r="B1551">
        <f>IF($A1551="","",IF(ISNUMBER($A1551),IF(AND($A1551&gt;=10000101,$A1551&lt;=99991231),INT($A1551/10000),""),IFERROR(VALUE(TRIM(LEFT($A1551,FIND("/",$A1551)-1))),"")))</f>
        <v/>
      </c>
      <c r="C1551">
        <f>IF(OR($A1551="",$B1551=""),"",IF(ISNUMBER($A1551),INT(MOD($A1551,10000)/100),IFERROR(VALUE(TRIM(LEFT(MID($A1551,FIND("/",$A1551)+1,20),FIND("/",MID($A1551,FIND("/",$A1551)+1,20))-1))),"")))</f>
        <v/>
      </c>
      <c r="D1551">
        <f>IF(OR($A1551="",$B1551=""),"",IF(ISNUMBER($A1551),MOD($A1551,100),IFERROR(VALUE(TRIM(MID(MID($A1551,FIND("/",$A1551)+1,20),FIND("/",MID($A1551,FIND("/",$A1551)+1,20))+1,20))),"")))</f>
        <v/>
      </c>
      <c r="E1551">
        <f>IF($A1551="","",IF(OR($B1551="",$C1551="",$D1551="",$B1551&lt;1300,$B1551&gt;1500,$C1551&lt;1,$C1551&gt;12,$D1551&lt;1,$D1551&gt;31),"نامعتبر",RIGHT("0000"&amp;$B1551,4)&amp;"/"&amp;RIGHT("00"&amp;$C1551,2)&amp;"/"&amp;RIGHT("00"&amp;$D1551,2)))</f>
        <v/>
      </c>
      <c r="F1551">
        <f>IF(OR($E1551="",$E1551="نامعتبر"),"",LEFT($E1551,4)&amp;"/"&amp;MID($E1551,6,2))</f>
        <v/>
      </c>
      <c r="G1551">
        <f>IF(OR($E1551="",$E1551="نامعتبر",Sync!$X1547=""),"",IF(AND(LEFT(UPPER(TRIM(Sync!$X1547)),2)="SL",IFERROR(VLOOKUP(Sync!$W1547,OpTbl,3,0),"")="فروش"),UPPER(TRIM(Sync!$X1547)),""))</f>
        <v/>
      </c>
      <c r="H1551">
        <f>IF($G1551="","",IF(Sync!$W1547="","",Sync!$W1547))</f>
        <v/>
      </c>
      <c r="I1551">
        <f>IF(OR($G1551="",Sync!$Y1547=""),"",Sync!$Y1547)</f>
        <v/>
      </c>
      <c r="J1551">
        <f>IF(OR($G1551="",Sync!$Z1547=""),"",Sync!$Z1547)</f>
        <v/>
      </c>
      <c r="K1551">
        <f>IF($G1551="",0,IF(Sync!$AA1547="",0,Sync!$AA1547))</f>
        <v/>
      </c>
      <c r="L1551">
        <f>IF($G1551="",0,IF(Sync!$AB1547="",0,Sync!$AB1547))</f>
        <v/>
      </c>
      <c r="M1551">
        <f>IF($G1551="","",IF($H1551="مرجوعی فروش",-1,1)*($K1551-$L1551*IFERROR(VLOOKUP("P01",ParamTbl,3,0),1.5)))</f>
        <v/>
      </c>
      <c r="N1551">
        <f>IF($G1551="",0,IF($H1551="مرجوعی فروش",-1,1)*IF(Sync!$AC1547="",0,Sync!$AC1547))</f>
        <v/>
      </c>
      <c r="O1551">
        <f>IF(OR($G1551="",Sync!$V1547=""),"",Sync!$V1547)</f>
        <v/>
      </c>
      <c r="P1551">
        <f>IF(OR($G1551="",Sync!$AD1547=""),"",Sync!$AD1547)</f>
        <v/>
      </c>
      <c r="Q1551">
        <f>IF($G1551="","",IF(Sync!$U1547="","0000",IF(AND(ISNUMBER(Sync!$U1547),Sync!$U1547&gt;=0,Sync!$U1547&lt;1),RIGHT("00"&amp;HOUR(Sync!$U1547),2)&amp;RIGHT("00"&amp;MINUTE(Sync!$U1547),2),IFERROR(RIGHT("00"&amp;VALUE(LEFT(Sync!$U1547,FIND(":",Sync!$U1547)-1)),2)&amp;RIGHT("00"&amp;VALUE(MID(Sync!$U1547,FIND(":",Sync!$U1547)+1,2)),2),"0000"))))</f>
        <v/>
      </c>
    </row>
    <row r="1552">
      <c r="A1552">
        <f>IF(Sync!$T1548="","",Sync!$T1548)</f>
        <v/>
      </c>
      <c r="B1552">
        <f>IF($A1552="","",IF(ISNUMBER($A1552),IF(AND($A1552&gt;=10000101,$A1552&lt;=99991231),INT($A1552/10000),""),IFERROR(VALUE(TRIM(LEFT($A1552,FIND("/",$A1552)-1))),"")))</f>
        <v/>
      </c>
      <c r="C1552">
        <f>IF(OR($A1552="",$B1552=""),"",IF(ISNUMBER($A1552),INT(MOD($A1552,10000)/100),IFERROR(VALUE(TRIM(LEFT(MID($A1552,FIND("/",$A1552)+1,20),FIND("/",MID($A1552,FIND("/",$A1552)+1,20))-1))),"")))</f>
        <v/>
      </c>
      <c r="D1552">
        <f>IF(OR($A1552="",$B1552=""),"",IF(ISNUMBER($A1552),MOD($A1552,100),IFERROR(VALUE(TRIM(MID(MID($A1552,FIND("/",$A1552)+1,20),FIND("/",MID($A1552,FIND("/",$A1552)+1,20))+1,20))),"")))</f>
        <v/>
      </c>
      <c r="E1552">
        <f>IF($A1552="","",IF(OR($B1552="",$C1552="",$D1552="",$B1552&lt;1300,$B1552&gt;1500,$C1552&lt;1,$C1552&gt;12,$D1552&lt;1,$D1552&gt;31),"نامعتبر",RIGHT("0000"&amp;$B1552,4)&amp;"/"&amp;RIGHT("00"&amp;$C1552,2)&amp;"/"&amp;RIGHT("00"&amp;$D1552,2)))</f>
        <v/>
      </c>
      <c r="F1552">
        <f>IF(OR($E1552="",$E1552="نامعتبر"),"",LEFT($E1552,4)&amp;"/"&amp;MID($E1552,6,2))</f>
        <v/>
      </c>
      <c r="G1552">
        <f>IF(OR($E1552="",$E1552="نامعتبر",Sync!$X1548=""),"",IF(AND(LEFT(UPPER(TRIM(Sync!$X1548)),2)="SL",IFERROR(VLOOKUP(Sync!$W1548,OpTbl,3,0),"")="فروش"),UPPER(TRIM(Sync!$X1548)),""))</f>
        <v/>
      </c>
      <c r="H1552">
        <f>IF($G1552="","",IF(Sync!$W1548="","",Sync!$W1548))</f>
        <v/>
      </c>
      <c r="I1552">
        <f>IF(OR($G1552="",Sync!$Y1548=""),"",Sync!$Y1548)</f>
        <v/>
      </c>
      <c r="J1552">
        <f>IF(OR($G1552="",Sync!$Z1548=""),"",Sync!$Z1548)</f>
        <v/>
      </c>
      <c r="K1552">
        <f>IF($G1552="",0,IF(Sync!$AA1548="",0,Sync!$AA1548))</f>
        <v/>
      </c>
      <c r="L1552">
        <f>IF($G1552="",0,IF(Sync!$AB1548="",0,Sync!$AB1548))</f>
        <v/>
      </c>
      <c r="M1552">
        <f>IF($G1552="","",IF($H1552="مرجوعی فروش",-1,1)*($K1552-$L1552*IFERROR(VLOOKUP("P01",ParamTbl,3,0),1.5)))</f>
        <v/>
      </c>
      <c r="N1552">
        <f>IF($G1552="",0,IF($H1552="مرجوعی فروش",-1,1)*IF(Sync!$AC1548="",0,Sync!$AC1548))</f>
        <v/>
      </c>
      <c r="O1552">
        <f>IF(OR($G1552="",Sync!$V1548=""),"",Sync!$V1548)</f>
        <v/>
      </c>
      <c r="P1552">
        <f>IF(OR($G1552="",Sync!$AD1548=""),"",Sync!$AD1548)</f>
        <v/>
      </c>
      <c r="Q1552">
        <f>IF($G1552="","",IF(Sync!$U1548="","0000",IF(AND(ISNUMBER(Sync!$U1548),Sync!$U1548&gt;=0,Sync!$U1548&lt;1),RIGHT("00"&amp;HOUR(Sync!$U1548),2)&amp;RIGHT("00"&amp;MINUTE(Sync!$U1548),2),IFERROR(RIGHT("00"&amp;VALUE(LEFT(Sync!$U1548,FIND(":",Sync!$U1548)-1)),2)&amp;RIGHT("00"&amp;VALUE(MID(Sync!$U1548,FIND(":",Sync!$U1548)+1,2)),2),"0000"))))</f>
        <v/>
      </c>
    </row>
    <row r="1553">
      <c r="A1553">
        <f>IF(Sync!$T1549="","",Sync!$T1549)</f>
        <v/>
      </c>
      <c r="B1553">
        <f>IF($A1553="","",IF(ISNUMBER($A1553),IF(AND($A1553&gt;=10000101,$A1553&lt;=99991231),INT($A1553/10000),""),IFERROR(VALUE(TRIM(LEFT($A1553,FIND("/",$A1553)-1))),"")))</f>
        <v/>
      </c>
      <c r="C1553">
        <f>IF(OR($A1553="",$B1553=""),"",IF(ISNUMBER($A1553),INT(MOD($A1553,10000)/100),IFERROR(VALUE(TRIM(LEFT(MID($A1553,FIND("/",$A1553)+1,20),FIND("/",MID($A1553,FIND("/",$A1553)+1,20))-1))),"")))</f>
        <v/>
      </c>
      <c r="D1553">
        <f>IF(OR($A1553="",$B1553=""),"",IF(ISNUMBER($A1553),MOD($A1553,100),IFERROR(VALUE(TRIM(MID(MID($A1553,FIND("/",$A1553)+1,20),FIND("/",MID($A1553,FIND("/",$A1553)+1,20))+1,20))),"")))</f>
        <v/>
      </c>
      <c r="E1553">
        <f>IF($A1553="","",IF(OR($B1553="",$C1553="",$D1553="",$B1553&lt;1300,$B1553&gt;1500,$C1553&lt;1,$C1553&gt;12,$D1553&lt;1,$D1553&gt;31),"نامعتبر",RIGHT("0000"&amp;$B1553,4)&amp;"/"&amp;RIGHT("00"&amp;$C1553,2)&amp;"/"&amp;RIGHT("00"&amp;$D1553,2)))</f>
        <v/>
      </c>
      <c r="F1553">
        <f>IF(OR($E1553="",$E1553="نامعتبر"),"",LEFT($E1553,4)&amp;"/"&amp;MID($E1553,6,2))</f>
        <v/>
      </c>
      <c r="G1553">
        <f>IF(OR($E1553="",$E1553="نامعتبر",Sync!$X1549=""),"",IF(AND(LEFT(UPPER(TRIM(Sync!$X1549)),2)="SL",IFERROR(VLOOKUP(Sync!$W1549,OpTbl,3,0),"")="فروش"),UPPER(TRIM(Sync!$X1549)),""))</f>
        <v/>
      </c>
      <c r="H1553">
        <f>IF($G1553="","",IF(Sync!$W1549="","",Sync!$W1549))</f>
        <v/>
      </c>
      <c r="I1553">
        <f>IF(OR($G1553="",Sync!$Y1549=""),"",Sync!$Y1549)</f>
        <v/>
      </c>
      <c r="J1553">
        <f>IF(OR($G1553="",Sync!$Z1549=""),"",Sync!$Z1549)</f>
        <v/>
      </c>
      <c r="K1553">
        <f>IF($G1553="",0,IF(Sync!$AA1549="",0,Sync!$AA1549))</f>
        <v/>
      </c>
      <c r="L1553">
        <f>IF($G1553="",0,IF(Sync!$AB1549="",0,Sync!$AB1549))</f>
        <v/>
      </c>
      <c r="M1553">
        <f>IF($G1553="","",IF($H1553="مرجوعی فروش",-1,1)*($K1553-$L1553*IFERROR(VLOOKUP("P01",ParamTbl,3,0),1.5)))</f>
        <v/>
      </c>
      <c r="N1553">
        <f>IF($G1553="",0,IF($H1553="مرجوعی فروش",-1,1)*IF(Sync!$AC1549="",0,Sync!$AC1549))</f>
        <v/>
      </c>
      <c r="O1553">
        <f>IF(OR($G1553="",Sync!$V1549=""),"",Sync!$V1549)</f>
        <v/>
      </c>
      <c r="P1553">
        <f>IF(OR($G1553="",Sync!$AD1549=""),"",Sync!$AD1549)</f>
        <v/>
      </c>
      <c r="Q1553">
        <f>IF($G1553="","",IF(Sync!$U1549="","0000",IF(AND(ISNUMBER(Sync!$U1549),Sync!$U1549&gt;=0,Sync!$U1549&lt;1),RIGHT("00"&amp;HOUR(Sync!$U1549),2)&amp;RIGHT("00"&amp;MINUTE(Sync!$U1549),2),IFERROR(RIGHT("00"&amp;VALUE(LEFT(Sync!$U1549,FIND(":",Sync!$U1549)-1)),2)&amp;RIGHT("00"&amp;VALUE(MID(Sync!$U1549,FIND(":",Sync!$U1549)+1,2)),2),"0000"))))</f>
        <v/>
      </c>
    </row>
    <row r="1554">
      <c r="A1554">
        <f>IF(Sync!$T1550="","",Sync!$T1550)</f>
        <v/>
      </c>
      <c r="B1554">
        <f>IF($A1554="","",IF(ISNUMBER($A1554),IF(AND($A1554&gt;=10000101,$A1554&lt;=99991231),INT($A1554/10000),""),IFERROR(VALUE(TRIM(LEFT($A1554,FIND("/",$A1554)-1))),"")))</f>
        <v/>
      </c>
      <c r="C1554">
        <f>IF(OR($A1554="",$B1554=""),"",IF(ISNUMBER($A1554),INT(MOD($A1554,10000)/100),IFERROR(VALUE(TRIM(LEFT(MID($A1554,FIND("/",$A1554)+1,20),FIND("/",MID($A1554,FIND("/",$A1554)+1,20))-1))),"")))</f>
        <v/>
      </c>
      <c r="D1554">
        <f>IF(OR($A1554="",$B1554=""),"",IF(ISNUMBER($A1554),MOD($A1554,100),IFERROR(VALUE(TRIM(MID(MID($A1554,FIND("/",$A1554)+1,20),FIND("/",MID($A1554,FIND("/",$A1554)+1,20))+1,20))),"")))</f>
        <v/>
      </c>
      <c r="E1554">
        <f>IF($A1554="","",IF(OR($B1554="",$C1554="",$D1554="",$B1554&lt;1300,$B1554&gt;1500,$C1554&lt;1,$C1554&gt;12,$D1554&lt;1,$D1554&gt;31),"نامعتبر",RIGHT("0000"&amp;$B1554,4)&amp;"/"&amp;RIGHT("00"&amp;$C1554,2)&amp;"/"&amp;RIGHT("00"&amp;$D1554,2)))</f>
        <v/>
      </c>
      <c r="F1554">
        <f>IF(OR($E1554="",$E1554="نامعتبر"),"",LEFT($E1554,4)&amp;"/"&amp;MID($E1554,6,2))</f>
        <v/>
      </c>
      <c r="G1554">
        <f>IF(OR($E1554="",$E1554="نامعتبر",Sync!$X1550=""),"",IF(AND(LEFT(UPPER(TRIM(Sync!$X1550)),2)="SL",IFERROR(VLOOKUP(Sync!$W1550,OpTbl,3,0),"")="فروش"),UPPER(TRIM(Sync!$X1550)),""))</f>
        <v/>
      </c>
      <c r="H1554">
        <f>IF($G1554="","",IF(Sync!$W1550="","",Sync!$W1550))</f>
        <v/>
      </c>
      <c r="I1554">
        <f>IF(OR($G1554="",Sync!$Y1550=""),"",Sync!$Y1550)</f>
        <v/>
      </c>
      <c r="J1554">
        <f>IF(OR($G1554="",Sync!$Z1550=""),"",Sync!$Z1550)</f>
        <v/>
      </c>
      <c r="K1554">
        <f>IF($G1554="",0,IF(Sync!$AA1550="",0,Sync!$AA1550))</f>
        <v/>
      </c>
      <c r="L1554">
        <f>IF($G1554="",0,IF(Sync!$AB1550="",0,Sync!$AB1550))</f>
        <v/>
      </c>
      <c r="M1554">
        <f>IF($G1554="","",IF($H1554="مرجوعی فروش",-1,1)*($K1554-$L1554*IFERROR(VLOOKUP("P01",ParamTbl,3,0),1.5)))</f>
        <v/>
      </c>
      <c r="N1554">
        <f>IF($G1554="",0,IF($H1554="مرجوعی فروش",-1,1)*IF(Sync!$AC1550="",0,Sync!$AC1550))</f>
        <v/>
      </c>
      <c r="O1554">
        <f>IF(OR($G1554="",Sync!$V1550=""),"",Sync!$V1550)</f>
        <v/>
      </c>
      <c r="P1554">
        <f>IF(OR($G1554="",Sync!$AD1550=""),"",Sync!$AD1550)</f>
        <v/>
      </c>
      <c r="Q1554">
        <f>IF($G1554="","",IF(Sync!$U1550="","0000",IF(AND(ISNUMBER(Sync!$U1550),Sync!$U1550&gt;=0,Sync!$U1550&lt;1),RIGHT("00"&amp;HOUR(Sync!$U1550),2)&amp;RIGHT("00"&amp;MINUTE(Sync!$U1550),2),IFERROR(RIGHT("00"&amp;VALUE(LEFT(Sync!$U1550,FIND(":",Sync!$U1550)-1)),2)&amp;RIGHT("00"&amp;VALUE(MID(Sync!$U1550,FIND(":",Sync!$U1550)+1,2)),2),"0000"))))</f>
        <v/>
      </c>
    </row>
    <row r="1555">
      <c r="A1555">
        <f>IF(Sync!$T1551="","",Sync!$T1551)</f>
        <v/>
      </c>
      <c r="B1555">
        <f>IF($A1555="","",IF(ISNUMBER($A1555),IF(AND($A1555&gt;=10000101,$A1555&lt;=99991231),INT($A1555/10000),""),IFERROR(VALUE(TRIM(LEFT($A1555,FIND("/",$A1555)-1))),"")))</f>
        <v/>
      </c>
      <c r="C1555">
        <f>IF(OR($A1555="",$B1555=""),"",IF(ISNUMBER($A1555),INT(MOD($A1555,10000)/100),IFERROR(VALUE(TRIM(LEFT(MID($A1555,FIND("/",$A1555)+1,20),FIND("/",MID($A1555,FIND("/",$A1555)+1,20))-1))),"")))</f>
        <v/>
      </c>
      <c r="D1555">
        <f>IF(OR($A1555="",$B1555=""),"",IF(ISNUMBER($A1555),MOD($A1555,100),IFERROR(VALUE(TRIM(MID(MID($A1555,FIND("/",$A1555)+1,20),FIND("/",MID($A1555,FIND("/",$A1555)+1,20))+1,20))),"")))</f>
        <v/>
      </c>
      <c r="E1555">
        <f>IF($A1555="","",IF(OR($B1555="",$C1555="",$D1555="",$B1555&lt;1300,$B1555&gt;1500,$C1555&lt;1,$C1555&gt;12,$D1555&lt;1,$D1555&gt;31),"نامعتبر",RIGHT("0000"&amp;$B1555,4)&amp;"/"&amp;RIGHT("00"&amp;$C1555,2)&amp;"/"&amp;RIGHT("00"&amp;$D1555,2)))</f>
        <v/>
      </c>
      <c r="F1555">
        <f>IF(OR($E1555="",$E1555="نامعتبر"),"",LEFT($E1555,4)&amp;"/"&amp;MID($E1555,6,2))</f>
        <v/>
      </c>
      <c r="G1555">
        <f>IF(OR($E1555="",$E1555="نامعتبر",Sync!$X1551=""),"",IF(AND(LEFT(UPPER(TRIM(Sync!$X1551)),2)="SL",IFERROR(VLOOKUP(Sync!$W1551,OpTbl,3,0),"")="فروش"),UPPER(TRIM(Sync!$X1551)),""))</f>
        <v/>
      </c>
      <c r="H1555">
        <f>IF($G1555="","",IF(Sync!$W1551="","",Sync!$W1551))</f>
        <v/>
      </c>
      <c r="I1555">
        <f>IF(OR($G1555="",Sync!$Y1551=""),"",Sync!$Y1551)</f>
        <v/>
      </c>
      <c r="J1555">
        <f>IF(OR($G1555="",Sync!$Z1551=""),"",Sync!$Z1551)</f>
        <v/>
      </c>
      <c r="K1555">
        <f>IF($G1555="",0,IF(Sync!$AA1551="",0,Sync!$AA1551))</f>
        <v/>
      </c>
      <c r="L1555">
        <f>IF($G1555="",0,IF(Sync!$AB1551="",0,Sync!$AB1551))</f>
        <v/>
      </c>
      <c r="M1555">
        <f>IF($G1555="","",IF($H1555="مرجوعی فروش",-1,1)*($K1555-$L1555*IFERROR(VLOOKUP("P01",ParamTbl,3,0),1.5)))</f>
        <v/>
      </c>
      <c r="N1555">
        <f>IF($G1555="",0,IF($H1555="مرجوعی فروش",-1,1)*IF(Sync!$AC1551="",0,Sync!$AC1551))</f>
        <v/>
      </c>
      <c r="O1555">
        <f>IF(OR($G1555="",Sync!$V1551=""),"",Sync!$V1551)</f>
        <v/>
      </c>
      <c r="P1555">
        <f>IF(OR($G1555="",Sync!$AD1551=""),"",Sync!$AD1551)</f>
        <v/>
      </c>
      <c r="Q1555">
        <f>IF($G1555="","",IF(Sync!$U1551="","0000",IF(AND(ISNUMBER(Sync!$U1551),Sync!$U1551&gt;=0,Sync!$U1551&lt;1),RIGHT("00"&amp;HOUR(Sync!$U1551),2)&amp;RIGHT("00"&amp;MINUTE(Sync!$U1551),2),IFERROR(RIGHT("00"&amp;VALUE(LEFT(Sync!$U1551,FIND(":",Sync!$U1551)-1)),2)&amp;RIGHT("00"&amp;VALUE(MID(Sync!$U1551,FIND(":",Sync!$U1551)+1,2)),2),"0000"))))</f>
        <v/>
      </c>
    </row>
    <row r="1556">
      <c r="A1556">
        <f>IF(Sync!$T1552="","",Sync!$T1552)</f>
        <v/>
      </c>
      <c r="B1556">
        <f>IF($A1556="","",IF(ISNUMBER($A1556),IF(AND($A1556&gt;=10000101,$A1556&lt;=99991231),INT($A1556/10000),""),IFERROR(VALUE(TRIM(LEFT($A1556,FIND("/",$A1556)-1))),"")))</f>
        <v/>
      </c>
      <c r="C1556">
        <f>IF(OR($A1556="",$B1556=""),"",IF(ISNUMBER($A1556),INT(MOD($A1556,10000)/100),IFERROR(VALUE(TRIM(LEFT(MID($A1556,FIND("/",$A1556)+1,20),FIND("/",MID($A1556,FIND("/",$A1556)+1,20))-1))),"")))</f>
        <v/>
      </c>
      <c r="D1556">
        <f>IF(OR($A1556="",$B1556=""),"",IF(ISNUMBER($A1556),MOD($A1556,100),IFERROR(VALUE(TRIM(MID(MID($A1556,FIND("/",$A1556)+1,20),FIND("/",MID($A1556,FIND("/",$A1556)+1,20))+1,20))),"")))</f>
        <v/>
      </c>
      <c r="E1556">
        <f>IF($A1556="","",IF(OR($B1556="",$C1556="",$D1556="",$B1556&lt;1300,$B1556&gt;1500,$C1556&lt;1,$C1556&gt;12,$D1556&lt;1,$D1556&gt;31),"نامعتبر",RIGHT("0000"&amp;$B1556,4)&amp;"/"&amp;RIGHT("00"&amp;$C1556,2)&amp;"/"&amp;RIGHT("00"&amp;$D1556,2)))</f>
        <v/>
      </c>
      <c r="F1556">
        <f>IF(OR($E1556="",$E1556="نامعتبر"),"",LEFT($E1556,4)&amp;"/"&amp;MID($E1556,6,2))</f>
        <v/>
      </c>
      <c r="G1556">
        <f>IF(OR($E1556="",$E1556="نامعتبر",Sync!$X1552=""),"",IF(AND(LEFT(UPPER(TRIM(Sync!$X1552)),2)="SL",IFERROR(VLOOKUP(Sync!$W1552,OpTbl,3,0),"")="فروش"),UPPER(TRIM(Sync!$X1552)),""))</f>
        <v/>
      </c>
      <c r="H1556">
        <f>IF($G1556="","",IF(Sync!$W1552="","",Sync!$W1552))</f>
        <v/>
      </c>
      <c r="I1556">
        <f>IF(OR($G1556="",Sync!$Y1552=""),"",Sync!$Y1552)</f>
        <v/>
      </c>
      <c r="J1556">
        <f>IF(OR($G1556="",Sync!$Z1552=""),"",Sync!$Z1552)</f>
        <v/>
      </c>
      <c r="K1556">
        <f>IF($G1556="",0,IF(Sync!$AA1552="",0,Sync!$AA1552))</f>
        <v/>
      </c>
      <c r="L1556">
        <f>IF($G1556="",0,IF(Sync!$AB1552="",0,Sync!$AB1552))</f>
        <v/>
      </c>
      <c r="M1556">
        <f>IF($G1556="","",IF($H1556="مرجوعی فروش",-1,1)*($K1556-$L1556*IFERROR(VLOOKUP("P01",ParamTbl,3,0),1.5)))</f>
        <v/>
      </c>
      <c r="N1556">
        <f>IF($G1556="",0,IF($H1556="مرجوعی فروش",-1,1)*IF(Sync!$AC1552="",0,Sync!$AC1552))</f>
        <v/>
      </c>
      <c r="O1556">
        <f>IF(OR($G1556="",Sync!$V1552=""),"",Sync!$V1552)</f>
        <v/>
      </c>
      <c r="P1556">
        <f>IF(OR($G1556="",Sync!$AD1552=""),"",Sync!$AD1552)</f>
        <v/>
      </c>
      <c r="Q1556">
        <f>IF($G1556="","",IF(Sync!$U1552="","0000",IF(AND(ISNUMBER(Sync!$U1552),Sync!$U1552&gt;=0,Sync!$U1552&lt;1),RIGHT("00"&amp;HOUR(Sync!$U1552),2)&amp;RIGHT("00"&amp;MINUTE(Sync!$U1552),2),IFERROR(RIGHT("00"&amp;VALUE(LEFT(Sync!$U1552,FIND(":",Sync!$U1552)-1)),2)&amp;RIGHT("00"&amp;VALUE(MID(Sync!$U1552,FIND(":",Sync!$U1552)+1,2)),2),"0000"))))</f>
        <v/>
      </c>
    </row>
    <row r="1557">
      <c r="A1557">
        <f>IF(Sync!$T1553="","",Sync!$T1553)</f>
        <v/>
      </c>
      <c r="B1557">
        <f>IF($A1557="","",IF(ISNUMBER($A1557),IF(AND($A1557&gt;=10000101,$A1557&lt;=99991231),INT($A1557/10000),""),IFERROR(VALUE(TRIM(LEFT($A1557,FIND("/",$A1557)-1))),"")))</f>
        <v/>
      </c>
      <c r="C1557">
        <f>IF(OR($A1557="",$B1557=""),"",IF(ISNUMBER($A1557),INT(MOD($A1557,10000)/100),IFERROR(VALUE(TRIM(LEFT(MID($A1557,FIND("/",$A1557)+1,20),FIND("/",MID($A1557,FIND("/",$A1557)+1,20))-1))),"")))</f>
        <v/>
      </c>
      <c r="D1557">
        <f>IF(OR($A1557="",$B1557=""),"",IF(ISNUMBER($A1557),MOD($A1557,100),IFERROR(VALUE(TRIM(MID(MID($A1557,FIND("/",$A1557)+1,20),FIND("/",MID($A1557,FIND("/",$A1557)+1,20))+1,20))),"")))</f>
        <v/>
      </c>
      <c r="E1557">
        <f>IF($A1557="","",IF(OR($B1557="",$C1557="",$D1557="",$B1557&lt;1300,$B1557&gt;1500,$C1557&lt;1,$C1557&gt;12,$D1557&lt;1,$D1557&gt;31),"نامعتبر",RIGHT("0000"&amp;$B1557,4)&amp;"/"&amp;RIGHT("00"&amp;$C1557,2)&amp;"/"&amp;RIGHT("00"&amp;$D1557,2)))</f>
        <v/>
      </c>
      <c r="F1557">
        <f>IF(OR($E1557="",$E1557="نامعتبر"),"",LEFT($E1557,4)&amp;"/"&amp;MID($E1557,6,2))</f>
        <v/>
      </c>
      <c r="G1557">
        <f>IF(OR($E1557="",$E1557="نامعتبر",Sync!$X1553=""),"",IF(AND(LEFT(UPPER(TRIM(Sync!$X1553)),2)="SL",IFERROR(VLOOKUP(Sync!$W1553,OpTbl,3,0),"")="فروش"),UPPER(TRIM(Sync!$X1553)),""))</f>
        <v/>
      </c>
      <c r="H1557">
        <f>IF($G1557="","",IF(Sync!$W1553="","",Sync!$W1553))</f>
        <v/>
      </c>
      <c r="I1557">
        <f>IF(OR($G1557="",Sync!$Y1553=""),"",Sync!$Y1553)</f>
        <v/>
      </c>
      <c r="J1557">
        <f>IF(OR($G1557="",Sync!$Z1553=""),"",Sync!$Z1553)</f>
        <v/>
      </c>
      <c r="K1557">
        <f>IF($G1557="",0,IF(Sync!$AA1553="",0,Sync!$AA1553))</f>
        <v/>
      </c>
      <c r="L1557">
        <f>IF($G1557="",0,IF(Sync!$AB1553="",0,Sync!$AB1553))</f>
        <v/>
      </c>
      <c r="M1557">
        <f>IF($G1557="","",IF($H1557="مرجوعی فروش",-1,1)*($K1557-$L1557*IFERROR(VLOOKUP("P01",ParamTbl,3,0),1.5)))</f>
        <v/>
      </c>
      <c r="N1557">
        <f>IF($G1557="",0,IF($H1557="مرجوعی فروش",-1,1)*IF(Sync!$AC1553="",0,Sync!$AC1553))</f>
        <v/>
      </c>
      <c r="O1557">
        <f>IF(OR($G1557="",Sync!$V1553=""),"",Sync!$V1553)</f>
        <v/>
      </c>
      <c r="P1557">
        <f>IF(OR($G1557="",Sync!$AD1553=""),"",Sync!$AD1553)</f>
        <v/>
      </c>
      <c r="Q1557">
        <f>IF($G1557="","",IF(Sync!$U1553="","0000",IF(AND(ISNUMBER(Sync!$U1553),Sync!$U1553&gt;=0,Sync!$U1553&lt;1),RIGHT("00"&amp;HOUR(Sync!$U1553),2)&amp;RIGHT("00"&amp;MINUTE(Sync!$U1553),2),IFERROR(RIGHT("00"&amp;VALUE(LEFT(Sync!$U1553,FIND(":",Sync!$U1553)-1)),2)&amp;RIGHT("00"&amp;VALUE(MID(Sync!$U1553,FIND(":",Sync!$U1553)+1,2)),2),"0000"))))</f>
        <v/>
      </c>
    </row>
    <row r="1558">
      <c r="A1558">
        <f>IF(Sync!$T1554="","",Sync!$T1554)</f>
        <v/>
      </c>
      <c r="B1558">
        <f>IF($A1558="","",IF(ISNUMBER($A1558),IF(AND($A1558&gt;=10000101,$A1558&lt;=99991231),INT($A1558/10000),""),IFERROR(VALUE(TRIM(LEFT($A1558,FIND("/",$A1558)-1))),"")))</f>
        <v/>
      </c>
      <c r="C1558">
        <f>IF(OR($A1558="",$B1558=""),"",IF(ISNUMBER($A1558),INT(MOD($A1558,10000)/100),IFERROR(VALUE(TRIM(LEFT(MID($A1558,FIND("/",$A1558)+1,20),FIND("/",MID($A1558,FIND("/",$A1558)+1,20))-1))),"")))</f>
        <v/>
      </c>
      <c r="D1558">
        <f>IF(OR($A1558="",$B1558=""),"",IF(ISNUMBER($A1558),MOD($A1558,100),IFERROR(VALUE(TRIM(MID(MID($A1558,FIND("/",$A1558)+1,20),FIND("/",MID($A1558,FIND("/",$A1558)+1,20))+1,20))),"")))</f>
        <v/>
      </c>
      <c r="E1558">
        <f>IF($A1558="","",IF(OR($B1558="",$C1558="",$D1558="",$B1558&lt;1300,$B1558&gt;1500,$C1558&lt;1,$C1558&gt;12,$D1558&lt;1,$D1558&gt;31),"نامعتبر",RIGHT("0000"&amp;$B1558,4)&amp;"/"&amp;RIGHT("00"&amp;$C1558,2)&amp;"/"&amp;RIGHT("00"&amp;$D1558,2)))</f>
        <v/>
      </c>
      <c r="F1558">
        <f>IF(OR($E1558="",$E1558="نامعتبر"),"",LEFT($E1558,4)&amp;"/"&amp;MID($E1558,6,2))</f>
        <v/>
      </c>
      <c r="G1558">
        <f>IF(OR($E1558="",$E1558="نامعتبر",Sync!$X1554=""),"",IF(AND(LEFT(UPPER(TRIM(Sync!$X1554)),2)="SL",IFERROR(VLOOKUP(Sync!$W1554,OpTbl,3,0),"")="فروش"),UPPER(TRIM(Sync!$X1554)),""))</f>
        <v/>
      </c>
      <c r="H1558">
        <f>IF($G1558="","",IF(Sync!$W1554="","",Sync!$W1554))</f>
        <v/>
      </c>
      <c r="I1558">
        <f>IF(OR($G1558="",Sync!$Y1554=""),"",Sync!$Y1554)</f>
        <v/>
      </c>
      <c r="J1558">
        <f>IF(OR($G1558="",Sync!$Z1554=""),"",Sync!$Z1554)</f>
        <v/>
      </c>
      <c r="K1558">
        <f>IF($G1558="",0,IF(Sync!$AA1554="",0,Sync!$AA1554))</f>
        <v/>
      </c>
      <c r="L1558">
        <f>IF($G1558="",0,IF(Sync!$AB1554="",0,Sync!$AB1554))</f>
        <v/>
      </c>
      <c r="M1558">
        <f>IF($G1558="","",IF($H1558="مرجوعی فروش",-1,1)*($K1558-$L1558*IFERROR(VLOOKUP("P01",ParamTbl,3,0),1.5)))</f>
        <v/>
      </c>
      <c r="N1558">
        <f>IF($G1558="",0,IF($H1558="مرجوعی فروش",-1,1)*IF(Sync!$AC1554="",0,Sync!$AC1554))</f>
        <v/>
      </c>
      <c r="O1558">
        <f>IF(OR($G1558="",Sync!$V1554=""),"",Sync!$V1554)</f>
        <v/>
      </c>
      <c r="P1558">
        <f>IF(OR($G1558="",Sync!$AD1554=""),"",Sync!$AD1554)</f>
        <v/>
      </c>
      <c r="Q1558">
        <f>IF($G1558="","",IF(Sync!$U1554="","0000",IF(AND(ISNUMBER(Sync!$U1554),Sync!$U1554&gt;=0,Sync!$U1554&lt;1),RIGHT("00"&amp;HOUR(Sync!$U1554),2)&amp;RIGHT("00"&amp;MINUTE(Sync!$U1554),2),IFERROR(RIGHT("00"&amp;VALUE(LEFT(Sync!$U1554,FIND(":",Sync!$U1554)-1)),2)&amp;RIGHT("00"&amp;VALUE(MID(Sync!$U1554,FIND(":",Sync!$U1554)+1,2)),2),"0000"))))</f>
        <v/>
      </c>
    </row>
    <row r="1559">
      <c r="A1559">
        <f>IF(Sync!$T1555="","",Sync!$T1555)</f>
        <v/>
      </c>
      <c r="B1559">
        <f>IF($A1559="","",IF(ISNUMBER($A1559),IF(AND($A1559&gt;=10000101,$A1559&lt;=99991231),INT($A1559/10000),""),IFERROR(VALUE(TRIM(LEFT($A1559,FIND("/",$A1559)-1))),"")))</f>
        <v/>
      </c>
      <c r="C1559">
        <f>IF(OR($A1559="",$B1559=""),"",IF(ISNUMBER($A1559),INT(MOD($A1559,10000)/100),IFERROR(VALUE(TRIM(LEFT(MID($A1559,FIND("/",$A1559)+1,20),FIND("/",MID($A1559,FIND("/",$A1559)+1,20))-1))),"")))</f>
        <v/>
      </c>
      <c r="D1559">
        <f>IF(OR($A1559="",$B1559=""),"",IF(ISNUMBER($A1559),MOD($A1559,100),IFERROR(VALUE(TRIM(MID(MID($A1559,FIND("/",$A1559)+1,20),FIND("/",MID($A1559,FIND("/",$A1559)+1,20))+1,20))),"")))</f>
        <v/>
      </c>
      <c r="E1559">
        <f>IF($A1559="","",IF(OR($B1559="",$C1559="",$D1559="",$B1559&lt;1300,$B1559&gt;1500,$C1559&lt;1,$C1559&gt;12,$D1559&lt;1,$D1559&gt;31),"نامعتبر",RIGHT("0000"&amp;$B1559,4)&amp;"/"&amp;RIGHT("00"&amp;$C1559,2)&amp;"/"&amp;RIGHT("00"&amp;$D1559,2)))</f>
        <v/>
      </c>
      <c r="F1559">
        <f>IF(OR($E1559="",$E1559="نامعتبر"),"",LEFT($E1559,4)&amp;"/"&amp;MID($E1559,6,2))</f>
        <v/>
      </c>
      <c r="G1559">
        <f>IF(OR($E1559="",$E1559="نامعتبر",Sync!$X1555=""),"",IF(AND(LEFT(UPPER(TRIM(Sync!$X1555)),2)="SL",IFERROR(VLOOKUP(Sync!$W1555,OpTbl,3,0),"")="فروش"),UPPER(TRIM(Sync!$X1555)),""))</f>
        <v/>
      </c>
      <c r="H1559">
        <f>IF($G1559="","",IF(Sync!$W1555="","",Sync!$W1555))</f>
        <v/>
      </c>
      <c r="I1559">
        <f>IF(OR($G1559="",Sync!$Y1555=""),"",Sync!$Y1555)</f>
        <v/>
      </c>
      <c r="J1559">
        <f>IF(OR($G1559="",Sync!$Z1555=""),"",Sync!$Z1555)</f>
        <v/>
      </c>
      <c r="K1559">
        <f>IF($G1559="",0,IF(Sync!$AA1555="",0,Sync!$AA1555))</f>
        <v/>
      </c>
      <c r="L1559">
        <f>IF($G1559="",0,IF(Sync!$AB1555="",0,Sync!$AB1555))</f>
        <v/>
      </c>
      <c r="M1559">
        <f>IF($G1559="","",IF($H1559="مرجوعی فروش",-1,1)*($K1559-$L1559*IFERROR(VLOOKUP("P01",ParamTbl,3,0),1.5)))</f>
        <v/>
      </c>
      <c r="N1559">
        <f>IF($G1559="",0,IF($H1559="مرجوعی فروش",-1,1)*IF(Sync!$AC1555="",0,Sync!$AC1555))</f>
        <v/>
      </c>
      <c r="O1559">
        <f>IF(OR($G1559="",Sync!$V1555=""),"",Sync!$V1555)</f>
        <v/>
      </c>
      <c r="P1559">
        <f>IF(OR($G1559="",Sync!$AD1555=""),"",Sync!$AD1555)</f>
        <v/>
      </c>
      <c r="Q1559">
        <f>IF($G1559="","",IF(Sync!$U1555="","0000",IF(AND(ISNUMBER(Sync!$U1555),Sync!$U1555&gt;=0,Sync!$U1555&lt;1),RIGHT("00"&amp;HOUR(Sync!$U1555),2)&amp;RIGHT("00"&amp;MINUTE(Sync!$U1555),2),IFERROR(RIGHT("00"&amp;VALUE(LEFT(Sync!$U1555,FIND(":",Sync!$U1555)-1)),2)&amp;RIGHT("00"&amp;VALUE(MID(Sync!$U1555,FIND(":",Sync!$U1555)+1,2)),2),"0000"))))</f>
        <v/>
      </c>
    </row>
    <row r="1560">
      <c r="A1560">
        <f>IF(Sync!$T1556="","",Sync!$T1556)</f>
        <v/>
      </c>
      <c r="B1560">
        <f>IF($A1560="","",IF(ISNUMBER($A1560),IF(AND($A1560&gt;=10000101,$A1560&lt;=99991231),INT($A1560/10000),""),IFERROR(VALUE(TRIM(LEFT($A1560,FIND("/",$A1560)-1))),"")))</f>
        <v/>
      </c>
      <c r="C1560">
        <f>IF(OR($A1560="",$B1560=""),"",IF(ISNUMBER($A1560),INT(MOD($A1560,10000)/100),IFERROR(VALUE(TRIM(LEFT(MID($A1560,FIND("/",$A1560)+1,20),FIND("/",MID($A1560,FIND("/",$A1560)+1,20))-1))),"")))</f>
        <v/>
      </c>
      <c r="D1560">
        <f>IF(OR($A1560="",$B1560=""),"",IF(ISNUMBER($A1560),MOD($A1560,100),IFERROR(VALUE(TRIM(MID(MID($A1560,FIND("/",$A1560)+1,20),FIND("/",MID($A1560,FIND("/",$A1560)+1,20))+1,20))),"")))</f>
        <v/>
      </c>
      <c r="E1560">
        <f>IF($A1560="","",IF(OR($B1560="",$C1560="",$D1560="",$B1560&lt;1300,$B1560&gt;1500,$C1560&lt;1,$C1560&gt;12,$D1560&lt;1,$D1560&gt;31),"نامعتبر",RIGHT("0000"&amp;$B1560,4)&amp;"/"&amp;RIGHT("00"&amp;$C1560,2)&amp;"/"&amp;RIGHT("00"&amp;$D1560,2)))</f>
        <v/>
      </c>
      <c r="F1560">
        <f>IF(OR($E1560="",$E1560="نامعتبر"),"",LEFT($E1560,4)&amp;"/"&amp;MID($E1560,6,2))</f>
        <v/>
      </c>
      <c r="G1560">
        <f>IF(OR($E1560="",$E1560="نامعتبر",Sync!$X1556=""),"",IF(AND(LEFT(UPPER(TRIM(Sync!$X1556)),2)="SL",IFERROR(VLOOKUP(Sync!$W1556,OpTbl,3,0),"")="فروش"),UPPER(TRIM(Sync!$X1556)),""))</f>
        <v/>
      </c>
      <c r="H1560">
        <f>IF($G1560="","",IF(Sync!$W1556="","",Sync!$W1556))</f>
        <v/>
      </c>
      <c r="I1560">
        <f>IF(OR($G1560="",Sync!$Y1556=""),"",Sync!$Y1556)</f>
        <v/>
      </c>
      <c r="J1560">
        <f>IF(OR($G1560="",Sync!$Z1556=""),"",Sync!$Z1556)</f>
        <v/>
      </c>
      <c r="K1560">
        <f>IF($G1560="",0,IF(Sync!$AA1556="",0,Sync!$AA1556))</f>
        <v/>
      </c>
      <c r="L1560">
        <f>IF($G1560="",0,IF(Sync!$AB1556="",0,Sync!$AB1556))</f>
        <v/>
      </c>
      <c r="M1560">
        <f>IF($G1560="","",IF($H1560="مرجوعی فروش",-1,1)*($K1560-$L1560*IFERROR(VLOOKUP("P01",ParamTbl,3,0),1.5)))</f>
        <v/>
      </c>
      <c r="N1560">
        <f>IF($G1560="",0,IF($H1560="مرجوعی فروش",-1,1)*IF(Sync!$AC1556="",0,Sync!$AC1556))</f>
        <v/>
      </c>
      <c r="O1560">
        <f>IF(OR($G1560="",Sync!$V1556=""),"",Sync!$V1556)</f>
        <v/>
      </c>
      <c r="P1560">
        <f>IF(OR($G1560="",Sync!$AD1556=""),"",Sync!$AD1556)</f>
        <v/>
      </c>
      <c r="Q1560">
        <f>IF($G1560="","",IF(Sync!$U1556="","0000",IF(AND(ISNUMBER(Sync!$U1556),Sync!$U1556&gt;=0,Sync!$U1556&lt;1),RIGHT("00"&amp;HOUR(Sync!$U1556),2)&amp;RIGHT("00"&amp;MINUTE(Sync!$U1556),2),IFERROR(RIGHT("00"&amp;VALUE(LEFT(Sync!$U1556,FIND(":",Sync!$U1556)-1)),2)&amp;RIGHT("00"&amp;VALUE(MID(Sync!$U1556,FIND(":",Sync!$U1556)+1,2)),2),"0000"))))</f>
        <v/>
      </c>
    </row>
    <row r="1561">
      <c r="A1561">
        <f>IF(Sync!$T1557="","",Sync!$T1557)</f>
        <v/>
      </c>
      <c r="B1561">
        <f>IF($A1561="","",IF(ISNUMBER($A1561),IF(AND($A1561&gt;=10000101,$A1561&lt;=99991231),INT($A1561/10000),""),IFERROR(VALUE(TRIM(LEFT($A1561,FIND("/",$A1561)-1))),"")))</f>
        <v/>
      </c>
      <c r="C1561">
        <f>IF(OR($A1561="",$B1561=""),"",IF(ISNUMBER($A1561),INT(MOD($A1561,10000)/100),IFERROR(VALUE(TRIM(LEFT(MID($A1561,FIND("/",$A1561)+1,20),FIND("/",MID($A1561,FIND("/",$A1561)+1,20))-1))),"")))</f>
        <v/>
      </c>
      <c r="D1561">
        <f>IF(OR($A1561="",$B1561=""),"",IF(ISNUMBER($A1561),MOD($A1561,100),IFERROR(VALUE(TRIM(MID(MID($A1561,FIND("/",$A1561)+1,20),FIND("/",MID($A1561,FIND("/",$A1561)+1,20))+1,20))),"")))</f>
        <v/>
      </c>
      <c r="E1561">
        <f>IF($A1561="","",IF(OR($B1561="",$C1561="",$D1561="",$B1561&lt;1300,$B1561&gt;1500,$C1561&lt;1,$C1561&gt;12,$D1561&lt;1,$D1561&gt;31),"نامعتبر",RIGHT("0000"&amp;$B1561,4)&amp;"/"&amp;RIGHT("00"&amp;$C1561,2)&amp;"/"&amp;RIGHT("00"&amp;$D1561,2)))</f>
        <v/>
      </c>
      <c r="F1561">
        <f>IF(OR($E1561="",$E1561="نامعتبر"),"",LEFT($E1561,4)&amp;"/"&amp;MID($E1561,6,2))</f>
        <v/>
      </c>
      <c r="G1561">
        <f>IF(OR($E1561="",$E1561="نامعتبر",Sync!$X1557=""),"",IF(AND(LEFT(UPPER(TRIM(Sync!$X1557)),2)="SL",IFERROR(VLOOKUP(Sync!$W1557,OpTbl,3,0),"")="فروش"),UPPER(TRIM(Sync!$X1557)),""))</f>
        <v/>
      </c>
      <c r="H1561">
        <f>IF($G1561="","",IF(Sync!$W1557="","",Sync!$W1557))</f>
        <v/>
      </c>
      <c r="I1561">
        <f>IF(OR($G1561="",Sync!$Y1557=""),"",Sync!$Y1557)</f>
        <v/>
      </c>
      <c r="J1561">
        <f>IF(OR($G1561="",Sync!$Z1557=""),"",Sync!$Z1557)</f>
        <v/>
      </c>
      <c r="K1561">
        <f>IF($G1561="",0,IF(Sync!$AA1557="",0,Sync!$AA1557))</f>
        <v/>
      </c>
      <c r="L1561">
        <f>IF($G1561="",0,IF(Sync!$AB1557="",0,Sync!$AB1557))</f>
        <v/>
      </c>
      <c r="M1561">
        <f>IF($G1561="","",IF($H1561="مرجوعی فروش",-1,1)*($K1561-$L1561*IFERROR(VLOOKUP("P01",ParamTbl,3,0),1.5)))</f>
        <v/>
      </c>
      <c r="N1561">
        <f>IF($G1561="",0,IF($H1561="مرجوعی فروش",-1,1)*IF(Sync!$AC1557="",0,Sync!$AC1557))</f>
        <v/>
      </c>
      <c r="O1561">
        <f>IF(OR($G1561="",Sync!$V1557=""),"",Sync!$V1557)</f>
        <v/>
      </c>
      <c r="P1561">
        <f>IF(OR($G1561="",Sync!$AD1557=""),"",Sync!$AD1557)</f>
        <v/>
      </c>
      <c r="Q1561">
        <f>IF($G1561="","",IF(Sync!$U1557="","0000",IF(AND(ISNUMBER(Sync!$U1557),Sync!$U1557&gt;=0,Sync!$U1557&lt;1),RIGHT("00"&amp;HOUR(Sync!$U1557),2)&amp;RIGHT("00"&amp;MINUTE(Sync!$U1557),2),IFERROR(RIGHT("00"&amp;VALUE(LEFT(Sync!$U1557,FIND(":",Sync!$U1557)-1)),2)&amp;RIGHT("00"&amp;VALUE(MID(Sync!$U1557,FIND(":",Sync!$U1557)+1,2)),2),"0000"))))</f>
        <v/>
      </c>
    </row>
    <row r="1562">
      <c r="A1562">
        <f>IF(Sync!$T1558="","",Sync!$T1558)</f>
        <v/>
      </c>
      <c r="B1562">
        <f>IF($A1562="","",IF(ISNUMBER($A1562),IF(AND($A1562&gt;=10000101,$A1562&lt;=99991231),INT($A1562/10000),""),IFERROR(VALUE(TRIM(LEFT($A1562,FIND("/",$A1562)-1))),"")))</f>
        <v/>
      </c>
      <c r="C1562">
        <f>IF(OR($A1562="",$B1562=""),"",IF(ISNUMBER($A1562),INT(MOD($A1562,10000)/100),IFERROR(VALUE(TRIM(LEFT(MID($A1562,FIND("/",$A1562)+1,20),FIND("/",MID($A1562,FIND("/",$A1562)+1,20))-1))),"")))</f>
        <v/>
      </c>
      <c r="D1562">
        <f>IF(OR($A1562="",$B1562=""),"",IF(ISNUMBER($A1562),MOD($A1562,100),IFERROR(VALUE(TRIM(MID(MID($A1562,FIND("/",$A1562)+1,20),FIND("/",MID($A1562,FIND("/",$A1562)+1,20))+1,20))),"")))</f>
        <v/>
      </c>
      <c r="E1562">
        <f>IF($A1562="","",IF(OR($B1562="",$C1562="",$D1562="",$B1562&lt;1300,$B1562&gt;1500,$C1562&lt;1,$C1562&gt;12,$D1562&lt;1,$D1562&gt;31),"نامعتبر",RIGHT("0000"&amp;$B1562,4)&amp;"/"&amp;RIGHT("00"&amp;$C1562,2)&amp;"/"&amp;RIGHT("00"&amp;$D1562,2)))</f>
        <v/>
      </c>
      <c r="F1562">
        <f>IF(OR($E1562="",$E1562="نامعتبر"),"",LEFT($E1562,4)&amp;"/"&amp;MID($E1562,6,2))</f>
        <v/>
      </c>
      <c r="G1562">
        <f>IF(OR($E1562="",$E1562="نامعتبر",Sync!$X1558=""),"",IF(AND(LEFT(UPPER(TRIM(Sync!$X1558)),2)="SL",IFERROR(VLOOKUP(Sync!$W1558,OpTbl,3,0),"")="فروش"),UPPER(TRIM(Sync!$X1558)),""))</f>
        <v/>
      </c>
      <c r="H1562">
        <f>IF($G1562="","",IF(Sync!$W1558="","",Sync!$W1558))</f>
        <v/>
      </c>
      <c r="I1562">
        <f>IF(OR($G1562="",Sync!$Y1558=""),"",Sync!$Y1558)</f>
        <v/>
      </c>
      <c r="J1562">
        <f>IF(OR($G1562="",Sync!$Z1558=""),"",Sync!$Z1558)</f>
        <v/>
      </c>
      <c r="K1562">
        <f>IF($G1562="",0,IF(Sync!$AA1558="",0,Sync!$AA1558))</f>
        <v/>
      </c>
      <c r="L1562">
        <f>IF($G1562="",0,IF(Sync!$AB1558="",0,Sync!$AB1558))</f>
        <v/>
      </c>
      <c r="M1562">
        <f>IF($G1562="","",IF($H1562="مرجوعی فروش",-1,1)*($K1562-$L1562*IFERROR(VLOOKUP("P01",ParamTbl,3,0),1.5)))</f>
        <v/>
      </c>
      <c r="N1562">
        <f>IF($G1562="",0,IF($H1562="مرجوعی فروش",-1,1)*IF(Sync!$AC1558="",0,Sync!$AC1558))</f>
        <v/>
      </c>
      <c r="O1562">
        <f>IF(OR($G1562="",Sync!$V1558=""),"",Sync!$V1558)</f>
        <v/>
      </c>
      <c r="P1562">
        <f>IF(OR($G1562="",Sync!$AD1558=""),"",Sync!$AD1558)</f>
        <v/>
      </c>
      <c r="Q1562">
        <f>IF($G1562="","",IF(Sync!$U1558="","0000",IF(AND(ISNUMBER(Sync!$U1558),Sync!$U1558&gt;=0,Sync!$U1558&lt;1),RIGHT("00"&amp;HOUR(Sync!$U1558),2)&amp;RIGHT("00"&amp;MINUTE(Sync!$U1558),2),IFERROR(RIGHT("00"&amp;VALUE(LEFT(Sync!$U1558,FIND(":",Sync!$U1558)-1)),2)&amp;RIGHT("00"&amp;VALUE(MID(Sync!$U1558,FIND(":",Sync!$U1558)+1,2)),2),"0000"))))</f>
        <v/>
      </c>
    </row>
    <row r="1563">
      <c r="A1563">
        <f>IF(Sync!$T1559="","",Sync!$T1559)</f>
        <v/>
      </c>
      <c r="B1563">
        <f>IF($A1563="","",IF(ISNUMBER($A1563),IF(AND($A1563&gt;=10000101,$A1563&lt;=99991231),INT($A1563/10000),""),IFERROR(VALUE(TRIM(LEFT($A1563,FIND("/",$A1563)-1))),"")))</f>
        <v/>
      </c>
      <c r="C1563">
        <f>IF(OR($A1563="",$B1563=""),"",IF(ISNUMBER($A1563),INT(MOD($A1563,10000)/100),IFERROR(VALUE(TRIM(LEFT(MID($A1563,FIND("/",$A1563)+1,20),FIND("/",MID($A1563,FIND("/",$A1563)+1,20))-1))),"")))</f>
        <v/>
      </c>
      <c r="D1563">
        <f>IF(OR($A1563="",$B1563=""),"",IF(ISNUMBER($A1563),MOD($A1563,100),IFERROR(VALUE(TRIM(MID(MID($A1563,FIND("/",$A1563)+1,20),FIND("/",MID($A1563,FIND("/",$A1563)+1,20))+1,20))),"")))</f>
        <v/>
      </c>
      <c r="E1563">
        <f>IF($A1563="","",IF(OR($B1563="",$C1563="",$D1563="",$B1563&lt;1300,$B1563&gt;1500,$C1563&lt;1,$C1563&gt;12,$D1563&lt;1,$D1563&gt;31),"نامعتبر",RIGHT("0000"&amp;$B1563,4)&amp;"/"&amp;RIGHT("00"&amp;$C1563,2)&amp;"/"&amp;RIGHT("00"&amp;$D1563,2)))</f>
        <v/>
      </c>
      <c r="F1563">
        <f>IF(OR($E1563="",$E1563="نامعتبر"),"",LEFT($E1563,4)&amp;"/"&amp;MID($E1563,6,2))</f>
        <v/>
      </c>
      <c r="G1563">
        <f>IF(OR($E1563="",$E1563="نامعتبر",Sync!$X1559=""),"",IF(AND(LEFT(UPPER(TRIM(Sync!$X1559)),2)="SL",IFERROR(VLOOKUP(Sync!$W1559,OpTbl,3,0),"")="فروش"),UPPER(TRIM(Sync!$X1559)),""))</f>
        <v/>
      </c>
      <c r="H1563">
        <f>IF($G1563="","",IF(Sync!$W1559="","",Sync!$W1559))</f>
        <v/>
      </c>
      <c r="I1563">
        <f>IF(OR($G1563="",Sync!$Y1559=""),"",Sync!$Y1559)</f>
        <v/>
      </c>
      <c r="J1563">
        <f>IF(OR($G1563="",Sync!$Z1559=""),"",Sync!$Z1559)</f>
        <v/>
      </c>
      <c r="K1563">
        <f>IF($G1563="",0,IF(Sync!$AA1559="",0,Sync!$AA1559))</f>
        <v/>
      </c>
      <c r="L1563">
        <f>IF($G1563="",0,IF(Sync!$AB1559="",0,Sync!$AB1559))</f>
        <v/>
      </c>
      <c r="M1563">
        <f>IF($G1563="","",IF($H1563="مرجوعی فروش",-1,1)*($K1563-$L1563*IFERROR(VLOOKUP("P01",ParamTbl,3,0),1.5)))</f>
        <v/>
      </c>
      <c r="N1563">
        <f>IF($G1563="",0,IF($H1563="مرجوعی فروش",-1,1)*IF(Sync!$AC1559="",0,Sync!$AC1559))</f>
        <v/>
      </c>
      <c r="O1563">
        <f>IF(OR($G1563="",Sync!$V1559=""),"",Sync!$V1559)</f>
        <v/>
      </c>
      <c r="P1563">
        <f>IF(OR($G1563="",Sync!$AD1559=""),"",Sync!$AD1559)</f>
        <v/>
      </c>
      <c r="Q1563">
        <f>IF($G1563="","",IF(Sync!$U1559="","0000",IF(AND(ISNUMBER(Sync!$U1559),Sync!$U1559&gt;=0,Sync!$U1559&lt;1),RIGHT("00"&amp;HOUR(Sync!$U1559),2)&amp;RIGHT("00"&amp;MINUTE(Sync!$U1559),2),IFERROR(RIGHT("00"&amp;VALUE(LEFT(Sync!$U1559,FIND(":",Sync!$U1559)-1)),2)&amp;RIGHT("00"&amp;VALUE(MID(Sync!$U1559,FIND(":",Sync!$U1559)+1,2)),2),"0000"))))</f>
        <v/>
      </c>
    </row>
    <row r="1564">
      <c r="A1564">
        <f>IF(Sync!$T1560="","",Sync!$T1560)</f>
        <v/>
      </c>
      <c r="B1564">
        <f>IF($A1564="","",IF(ISNUMBER($A1564),IF(AND($A1564&gt;=10000101,$A1564&lt;=99991231),INT($A1564/10000),""),IFERROR(VALUE(TRIM(LEFT($A1564,FIND("/",$A1564)-1))),"")))</f>
        <v/>
      </c>
      <c r="C1564">
        <f>IF(OR($A1564="",$B1564=""),"",IF(ISNUMBER($A1564),INT(MOD($A1564,10000)/100),IFERROR(VALUE(TRIM(LEFT(MID($A1564,FIND("/",$A1564)+1,20),FIND("/",MID($A1564,FIND("/",$A1564)+1,20))-1))),"")))</f>
        <v/>
      </c>
      <c r="D1564">
        <f>IF(OR($A1564="",$B1564=""),"",IF(ISNUMBER($A1564),MOD($A1564,100),IFERROR(VALUE(TRIM(MID(MID($A1564,FIND("/",$A1564)+1,20),FIND("/",MID($A1564,FIND("/",$A1564)+1,20))+1,20))),"")))</f>
        <v/>
      </c>
      <c r="E1564">
        <f>IF($A1564="","",IF(OR($B1564="",$C1564="",$D1564="",$B1564&lt;1300,$B1564&gt;1500,$C1564&lt;1,$C1564&gt;12,$D1564&lt;1,$D1564&gt;31),"نامعتبر",RIGHT("0000"&amp;$B1564,4)&amp;"/"&amp;RIGHT("00"&amp;$C1564,2)&amp;"/"&amp;RIGHT("00"&amp;$D1564,2)))</f>
        <v/>
      </c>
      <c r="F1564">
        <f>IF(OR($E1564="",$E1564="نامعتبر"),"",LEFT($E1564,4)&amp;"/"&amp;MID($E1564,6,2))</f>
        <v/>
      </c>
      <c r="G1564">
        <f>IF(OR($E1564="",$E1564="نامعتبر",Sync!$X1560=""),"",IF(AND(LEFT(UPPER(TRIM(Sync!$X1560)),2)="SL",IFERROR(VLOOKUP(Sync!$W1560,OpTbl,3,0),"")="فروش"),UPPER(TRIM(Sync!$X1560)),""))</f>
        <v/>
      </c>
      <c r="H1564">
        <f>IF($G1564="","",IF(Sync!$W1560="","",Sync!$W1560))</f>
        <v/>
      </c>
      <c r="I1564">
        <f>IF(OR($G1564="",Sync!$Y1560=""),"",Sync!$Y1560)</f>
        <v/>
      </c>
      <c r="J1564">
        <f>IF(OR($G1564="",Sync!$Z1560=""),"",Sync!$Z1560)</f>
        <v/>
      </c>
      <c r="K1564">
        <f>IF($G1564="",0,IF(Sync!$AA1560="",0,Sync!$AA1560))</f>
        <v/>
      </c>
      <c r="L1564">
        <f>IF($G1564="",0,IF(Sync!$AB1560="",0,Sync!$AB1560))</f>
        <v/>
      </c>
      <c r="M1564">
        <f>IF($G1564="","",IF($H1564="مرجوعی فروش",-1,1)*($K1564-$L1564*IFERROR(VLOOKUP("P01",ParamTbl,3,0),1.5)))</f>
        <v/>
      </c>
      <c r="N1564">
        <f>IF($G1564="",0,IF($H1564="مرجوعی فروش",-1,1)*IF(Sync!$AC1560="",0,Sync!$AC1560))</f>
        <v/>
      </c>
      <c r="O1564">
        <f>IF(OR($G1564="",Sync!$V1560=""),"",Sync!$V1560)</f>
        <v/>
      </c>
      <c r="P1564">
        <f>IF(OR($G1564="",Sync!$AD1560=""),"",Sync!$AD1560)</f>
        <v/>
      </c>
      <c r="Q1564">
        <f>IF($G1564="","",IF(Sync!$U1560="","0000",IF(AND(ISNUMBER(Sync!$U1560),Sync!$U1560&gt;=0,Sync!$U1560&lt;1),RIGHT("00"&amp;HOUR(Sync!$U1560),2)&amp;RIGHT("00"&amp;MINUTE(Sync!$U1560),2),IFERROR(RIGHT("00"&amp;VALUE(LEFT(Sync!$U1560,FIND(":",Sync!$U1560)-1)),2)&amp;RIGHT("00"&amp;VALUE(MID(Sync!$U1560,FIND(":",Sync!$U1560)+1,2)),2),"0000"))))</f>
        <v/>
      </c>
    </row>
    <row r="1565">
      <c r="A1565">
        <f>IF(Sync!$T1561="","",Sync!$T1561)</f>
        <v/>
      </c>
      <c r="B1565">
        <f>IF($A1565="","",IF(ISNUMBER($A1565),IF(AND($A1565&gt;=10000101,$A1565&lt;=99991231),INT($A1565/10000),""),IFERROR(VALUE(TRIM(LEFT($A1565,FIND("/",$A1565)-1))),"")))</f>
        <v/>
      </c>
      <c r="C1565">
        <f>IF(OR($A1565="",$B1565=""),"",IF(ISNUMBER($A1565),INT(MOD($A1565,10000)/100),IFERROR(VALUE(TRIM(LEFT(MID($A1565,FIND("/",$A1565)+1,20),FIND("/",MID($A1565,FIND("/",$A1565)+1,20))-1))),"")))</f>
        <v/>
      </c>
      <c r="D1565">
        <f>IF(OR($A1565="",$B1565=""),"",IF(ISNUMBER($A1565),MOD($A1565,100),IFERROR(VALUE(TRIM(MID(MID($A1565,FIND("/",$A1565)+1,20),FIND("/",MID($A1565,FIND("/",$A1565)+1,20))+1,20))),"")))</f>
        <v/>
      </c>
      <c r="E1565">
        <f>IF($A1565="","",IF(OR($B1565="",$C1565="",$D1565="",$B1565&lt;1300,$B1565&gt;1500,$C1565&lt;1,$C1565&gt;12,$D1565&lt;1,$D1565&gt;31),"نامعتبر",RIGHT("0000"&amp;$B1565,4)&amp;"/"&amp;RIGHT("00"&amp;$C1565,2)&amp;"/"&amp;RIGHT("00"&amp;$D1565,2)))</f>
        <v/>
      </c>
      <c r="F1565">
        <f>IF(OR($E1565="",$E1565="نامعتبر"),"",LEFT($E1565,4)&amp;"/"&amp;MID($E1565,6,2))</f>
        <v/>
      </c>
      <c r="G1565">
        <f>IF(OR($E1565="",$E1565="نامعتبر",Sync!$X1561=""),"",IF(AND(LEFT(UPPER(TRIM(Sync!$X1561)),2)="SL",IFERROR(VLOOKUP(Sync!$W1561,OpTbl,3,0),"")="فروش"),UPPER(TRIM(Sync!$X1561)),""))</f>
        <v/>
      </c>
      <c r="H1565">
        <f>IF($G1565="","",IF(Sync!$W1561="","",Sync!$W1561))</f>
        <v/>
      </c>
      <c r="I1565">
        <f>IF(OR($G1565="",Sync!$Y1561=""),"",Sync!$Y1561)</f>
        <v/>
      </c>
      <c r="J1565">
        <f>IF(OR($G1565="",Sync!$Z1561=""),"",Sync!$Z1561)</f>
        <v/>
      </c>
      <c r="K1565">
        <f>IF($G1565="",0,IF(Sync!$AA1561="",0,Sync!$AA1561))</f>
        <v/>
      </c>
      <c r="L1565">
        <f>IF($G1565="",0,IF(Sync!$AB1561="",0,Sync!$AB1561))</f>
        <v/>
      </c>
      <c r="M1565">
        <f>IF($G1565="","",IF($H1565="مرجوعی فروش",-1,1)*($K1565-$L1565*IFERROR(VLOOKUP("P01",ParamTbl,3,0),1.5)))</f>
        <v/>
      </c>
      <c r="N1565">
        <f>IF($G1565="",0,IF($H1565="مرجوعی فروش",-1,1)*IF(Sync!$AC1561="",0,Sync!$AC1561))</f>
        <v/>
      </c>
      <c r="O1565">
        <f>IF(OR($G1565="",Sync!$V1561=""),"",Sync!$V1561)</f>
        <v/>
      </c>
      <c r="P1565">
        <f>IF(OR($G1565="",Sync!$AD1561=""),"",Sync!$AD1561)</f>
        <v/>
      </c>
      <c r="Q1565">
        <f>IF($G1565="","",IF(Sync!$U1561="","0000",IF(AND(ISNUMBER(Sync!$U1561),Sync!$U1561&gt;=0,Sync!$U1561&lt;1),RIGHT("00"&amp;HOUR(Sync!$U1561),2)&amp;RIGHT("00"&amp;MINUTE(Sync!$U1561),2),IFERROR(RIGHT("00"&amp;VALUE(LEFT(Sync!$U1561,FIND(":",Sync!$U1561)-1)),2)&amp;RIGHT("00"&amp;VALUE(MID(Sync!$U1561,FIND(":",Sync!$U1561)+1,2)),2),"0000"))))</f>
        <v/>
      </c>
    </row>
    <row r="1566">
      <c r="A1566">
        <f>IF(Sync!$T1562="","",Sync!$T1562)</f>
        <v/>
      </c>
      <c r="B1566">
        <f>IF($A1566="","",IF(ISNUMBER($A1566),IF(AND($A1566&gt;=10000101,$A1566&lt;=99991231),INT($A1566/10000),""),IFERROR(VALUE(TRIM(LEFT($A1566,FIND("/",$A1566)-1))),"")))</f>
        <v/>
      </c>
      <c r="C1566">
        <f>IF(OR($A1566="",$B1566=""),"",IF(ISNUMBER($A1566),INT(MOD($A1566,10000)/100),IFERROR(VALUE(TRIM(LEFT(MID($A1566,FIND("/",$A1566)+1,20),FIND("/",MID($A1566,FIND("/",$A1566)+1,20))-1))),"")))</f>
        <v/>
      </c>
      <c r="D1566">
        <f>IF(OR($A1566="",$B1566=""),"",IF(ISNUMBER($A1566),MOD($A1566,100),IFERROR(VALUE(TRIM(MID(MID($A1566,FIND("/",$A1566)+1,20),FIND("/",MID($A1566,FIND("/",$A1566)+1,20))+1,20))),"")))</f>
        <v/>
      </c>
      <c r="E1566">
        <f>IF($A1566="","",IF(OR($B1566="",$C1566="",$D1566="",$B1566&lt;1300,$B1566&gt;1500,$C1566&lt;1,$C1566&gt;12,$D1566&lt;1,$D1566&gt;31),"نامعتبر",RIGHT("0000"&amp;$B1566,4)&amp;"/"&amp;RIGHT("00"&amp;$C1566,2)&amp;"/"&amp;RIGHT("00"&amp;$D1566,2)))</f>
        <v/>
      </c>
      <c r="F1566">
        <f>IF(OR($E1566="",$E1566="نامعتبر"),"",LEFT($E1566,4)&amp;"/"&amp;MID($E1566,6,2))</f>
        <v/>
      </c>
      <c r="G1566">
        <f>IF(OR($E1566="",$E1566="نامعتبر",Sync!$X1562=""),"",IF(AND(LEFT(UPPER(TRIM(Sync!$X1562)),2)="SL",IFERROR(VLOOKUP(Sync!$W1562,OpTbl,3,0),"")="فروش"),UPPER(TRIM(Sync!$X1562)),""))</f>
        <v/>
      </c>
      <c r="H1566">
        <f>IF($G1566="","",IF(Sync!$W1562="","",Sync!$W1562))</f>
        <v/>
      </c>
      <c r="I1566">
        <f>IF(OR($G1566="",Sync!$Y1562=""),"",Sync!$Y1562)</f>
        <v/>
      </c>
      <c r="J1566">
        <f>IF(OR($G1566="",Sync!$Z1562=""),"",Sync!$Z1562)</f>
        <v/>
      </c>
      <c r="K1566">
        <f>IF($G1566="",0,IF(Sync!$AA1562="",0,Sync!$AA1562))</f>
        <v/>
      </c>
      <c r="L1566">
        <f>IF($G1566="",0,IF(Sync!$AB1562="",0,Sync!$AB1562))</f>
        <v/>
      </c>
      <c r="M1566">
        <f>IF($G1566="","",IF($H1566="مرجوعی فروش",-1,1)*($K1566-$L1566*IFERROR(VLOOKUP("P01",ParamTbl,3,0),1.5)))</f>
        <v/>
      </c>
      <c r="N1566">
        <f>IF($G1566="",0,IF($H1566="مرجوعی فروش",-1,1)*IF(Sync!$AC1562="",0,Sync!$AC1562))</f>
        <v/>
      </c>
      <c r="O1566">
        <f>IF(OR($G1566="",Sync!$V1562=""),"",Sync!$V1562)</f>
        <v/>
      </c>
      <c r="P1566">
        <f>IF(OR($G1566="",Sync!$AD1562=""),"",Sync!$AD1562)</f>
        <v/>
      </c>
      <c r="Q1566">
        <f>IF($G1566="","",IF(Sync!$U1562="","0000",IF(AND(ISNUMBER(Sync!$U1562),Sync!$U1562&gt;=0,Sync!$U1562&lt;1),RIGHT("00"&amp;HOUR(Sync!$U1562),2)&amp;RIGHT("00"&amp;MINUTE(Sync!$U1562),2),IFERROR(RIGHT("00"&amp;VALUE(LEFT(Sync!$U1562,FIND(":",Sync!$U1562)-1)),2)&amp;RIGHT("00"&amp;VALUE(MID(Sync!$U1562,FIND(":",Sync!$U1562)+1,2)),2),"0000"))))</f>
        <v/>
      </c>
    </row>
    <row r="1567">
      <c r="A1567">
        <f>IF(Sync!$T1563="","",Sync!$T1563)</f>
        <v/>
      </c>
      <c r="B1567">
        <f>IF($A1567="","",IF(ISNUMBER($A1567),IF(AND($A1567&gt;=10000101,$A1567&lt;=99991231),INT($A1567/10000),""),IFERROR(VALUE(TRIM(LEFT($A1567,FIND("/",$A1567)-1))),"")))</f>
        <v/>
      </c>
      <c r="C1567">
        <f>IF(OR($A1567="",$B1567=""),"",IF(ISNUMBER($A1567),INT(MOD($A1567,10000)/100),IFERROR(VALUE(TRIM(LEFT(MID($A1567,FIND("/",$A1567)+1,20),FIND("/",MID($A1567,FIND("/",$A1567)+1,20))-1))),"")))</f>
        <v/>
      </c>
      <c r="D1567">
        <f>IF(OR($A1567="",$B1567=""),"",IF(ISNUMBER($A1567),MOD($A1567,100),IFERROR(VALUE(TRIM(MID(MID($A1567,FIND("/",$A1567)+1,20),FIND("/",MID($A1567,FIND("/",$A1567)+1,20))+1,20))),"")))</f>
        <v/>
      </c>
      <c r="E1567">
        <f>IF($A1567="","",IF(OR($B1567="",$C1567="",$D1567="",$B1567&lt;1300,$B1567&gt;1500,$C1567&lt;1,$C1567&gt;12,$D1567&lt;1,$D1567&gt;31),"نامعتبر",RIGHT("0000"&amp;$B1567,4)&amp;"/"&amp;RIGHT("00"&amp;$C1567,2)&amp;"/"&amp;RIGHT("00"&amp;$D1567,2)))</f>
        <v/>
      </c>
      <c r="F1567">
        <f>IF(OR($E1567="",$E1567="نامعتبر"),"",LEFT($E1567,4)&amp;"/"&amp;MID($E1567,6,2))</f>
        <v/>
      </c>
      <c r="G1567">
        <f>IF(OR($E1567="",$E1567="نامعتبر",Sync!$X1563=""),"",IF(AND(LEFT(UPPER(TRIM(Sync!$X1563)),2)="SL",IFERROR(VLOOKUP(Sync!$W1563,OpTbl,3,0),"")="فروش"),UPPER(TRIM(Sync!$X1563)),""))</f>
        <v/>
      </c>
      <c r="H1567">
        <f>IF($G1567="","",IF(Sync!$W1563="","",Sync!$W1563))</f>
        <v/>
      </c>
      <c r="I1567">
        <f>IF(OR($G1567="",Sync!$Y1563=""),"",Sync!$Y1563)</f>
        <v/>
      </c>
      <c r="J1567">
        <f>IF(OR($G1567="",Sync!$Z1563=""),"",Sync!$Z1563)</f>
        <v/>
      </c>
      <c r="K1567">
        <f>IF($G1567="",0,IF(Sync!$AA1563="",0,Sync!$AA1563))</f>
        <v/>
      </c>
      <c r="L1567">
        <f>IF($G1567="",0,IF(Sync!$AB1563="",0,Sync!$AB1563))</f>
        <v/>
      </c>
      <c r="M1567">
        <f>IF($G1567="","",IF($H1567="مرجوعی فروش",-1,1)*($K1567-$L1567*IFERROR(VLOOKUP("P01",ParamTbl,3,0),1.5)))</f>
        <v/>
      </c>
      <c r="N1567">
        <f>IF($G1567="",0,IF($H1567="مرجوعی فروش",-1,1)*IF(Sync!$AC1563="",0,Sync!$AC1563))</f>
        <v/>
      </c>
      <c r="O1567">
        <f>IF(OR($G1567="",Sync!$V1563=""),"",Sync!$V1563)</f>
        <v/>
      </c>
      <c r="P1567">
        <f>IF(OR($G1567="",Sync!$AD1563=""),"",Sync!$AD1563)</f>
        <v/>
      </c>
      <c r="Q1567">
        <f>IF($G1567="","",IF(Sync!$U1563="","0000",IF(AND(ISNUMBER(Sync!$U1563),Sync!$U1563&gt;=0,Sync!$U1563&lt;1),RIGHT("00"&amp;HOUR(Sync!$U1563),2)&amp;RIGHT("00"&amp;MINUTE(Sync!$U1563),2),IFERROR(RIGHT("00"&amp;VALUE(LEFT(Sync!$U1563,FIND(":",Sync!$U1563)-1)),2)&amp;RIGHT("00"&amp;VALUE(MID(Sync!$U1563,FIND(":",Sync!$U1563)+1,2)),2),"0000"))))</f>
        <v/>
      </c>
    </row>
    <row r="1568">
      <c r="A1568">
        <f>IF(Sync!$T1564="","",Sync!$T1564)</f>
        <v/>
      </c>
      <c r="B1568">
        <f>IF($A1568="","",IF(ISNUMBER($A1568),IF(AND($A1568&gt;=10000101,$A1568&lt;=99991231),INT($A1568/10000),""),IFERROR(VALUE(TRIM(LEFT($A1568,FIND("/",$A1568)-1))),"")))</f>
        <v/>
      </c>
      <c r="C1568">
        <f>IF(OR($A1568="",$B1568=""),"",IF(ISNUMBER($A1568),INT(MOD($A1568,10000)/100),IFERROR(VALUE(TRIM(LEFT(MID($A1568,FIND("/",$A1568)+1,20),FIND("/",MID($A1568,FIND("/",$A1568)+1,20))-1))),"")))</f>
        <v/>
      </c>
      <c r="D1568">
        <f>IF(OR($A1568="",$B1568=""),"",IF(ISNUMBER($A1568),MOD($A1568,100),IFERROR(VALUE(TRIM(MID(MID($A1568,FIND("/",$A1568)+1,20),FIND("/",MID($A1568,FIND("/",$A1568)+1,20))+1,20))),"")))</f>
        <v/>
      </c>
      <c r="E1568">
        <f>IF($A1568="","",IF(OR($B1568="",$C1568="",$D1568="",$B1568&lt;1300,$B1568&gt;1500,$C1568&lt;1,$C1568&gt;12,$D1568&lt;1,$D1568&gt;31),"نامعتبر",RIGHT("0000"&amp;$B1568,4)&amp;"/"&amp;RIGHT("00"&amp;$C1568,2)&amp;"/"&amp;RIGHT("00"&amp;$D1568,2)))</f>
        <v/>
      </c>
      <c r="F1568">
        <f>IF(OR($E1568="",$E1568="نامعتبر"),"",LEFT($E1568,4)&amp;"/"&amp;MID($E1568,6,2))</f>
        <v/>
      </c>
      <c r="G1568">
        <f>IF(OR($E1568="",$E1568="نامعتبر",Sync!$X1564=""),"",IF(AND(LEFT(UPPER(TRIM(Sync!$X1564)),2)="SL",IFERROR(VLOOKUP(Sync!$W1564,OpTbl,3,0),"")="فروش"),UPPER(TRIM(Sync!$X1564)),""))</f>
        <v/>
      </c>
      <c r="H1568">
        <f>IF($G1568="","",IF(Sync!$W1564="","",Sync!$W1564))</f>
        <v/>
      </c>
      <c r="I1568">
        <f>IF(OR($G1568="",Sync!$Y1564=""),"",Sync!$Y1564)</f>
        <v/>
      </c>
      <c r="J1568">
        <f>IF(OR($G1568="",Sync!$Z1564=""),"",Sync!$Z1564)</f>
        <v/>
      </c>
      <c r="K1568">
        <f>IF($G1568="",0,IF(Sync!$AA1564="",0,Sync!$AA1564))</f>
        <v/>
      </c>
      <c r="L1568">
        <f>IF($G1568="",0,IF(Sync!$AB1564="",0,Sync!$AB1564))</f>
        <v/>
      </c>
      <c r="M1568">
        <f>IF($G1568="","",IF($H1568="مرجوعی فروش",-1,1)*($K1568-$L1568*IFERROR(VLOOKUP("P01",ParamTbl,3,0),1.5)))</f>
        <v/>
      </c>
      <c r="N1568">
        <f>IF($G1568="",0,IF($H1568="مرجوعی فروش",-1,1)*IF(Sync!$AC1564="",0,Sync!$AC1564))</f>
        <v/>
      </c>
      <c r="O1568">
        <f>IF(OR($G1568="",Sync!$V1564=""),"",Sync!$V1564)</f>
        <v/>
      </c>
      <c r="P1568">
        <f>IF(OR($G1568="",Sync!$AD1564=""),"",Sync!$AD1564)</f>
        <v/>
      </c>
      <c r="Q1568">
        <f>IF($G1568="","",IF(Sync!$U1564="","0000",IF(AND(ISNUMBER(Sync!$U1564),Sync!$U1564&gt;=0,Sync!$U1564&lt;1),RIGHT("00"&amp;HOUR(Sync!$U1564),2)&amp;RIGHT("00"&amp;MINUTE(Sync!$U1564),2),IFERROR(RIGHT("00"&amp;VALUE(LEFT(Sync!$U1564,FIND(":",Sync!$U1564)-1)),2)&amp;RIGHT("00"&amp;VALUE(MID(Sync!$U1564,FIND(":",Sync!$U1564)+1,2)),2),"0000"))))</f>
        <v/>
      </c>
    </row>
    <row r="1569">
      <c r="A1569">
        <f>IF(Sync!$T1565="","",Sync!$T1565)</f>
        <v/>
      </c>
      <c r="B1569">
        <f>IF($A1569="","",IF(ISNUMBER($A1569),IF(AND($A1569&gt;=10000101,$A1569&lt;=99991231),INT($A1569/10000),""),IFERROR(VALUE(TRIM(LEFT($A1569,FIND("/",$A1569)-1))),"")))</f>
        <v/>
      </c>
      <c r="C1569">
        <f>IF(OR($A1569="",$B1569=""),"",IF(ISNUMBER($A1569),INT(MOD($A1569,10000)/100),IFERROR(VALUE(TRIM(LEFT(MID($A1569,FIND("/",$A1569)+1,20),FIND("/",MID($A1569,FIND("/",$A1569)+1,20))-1))),"")))</f>
        <v/>
      </c>
      <c r="D1569">
        <f>IF(OR($A1569="",$B1569=""),"",IF(ISNUMBER($A1569),MOD($A1569,100),IFERROR(VALUE(TRIM(MID(MID($A1569,FIND("/",$A1569)+1,20),FIND("/",MID($A1569,FIND("/",$A1569)+1,20))+1,20))),"")))</f>
        <v/>
      </c>
      <c r="E1569">
        <f>IF($A1569="","",IF(OR($B1569="",$C1569="",$D1569="",$B1569&lt;1300,$B1569&gt;1500,$C1569&lt;1,$C1569&gt;12,$D1569&lt;1,$D1569&gt;31),"نامعتبر",RIGHT("0000"&amp;$B1569,4)&amp;"/"&amp;RIGHT("00"&amp;$C1569,2)&amp;"/"&amp;RIGHT("00"&amp;$D1569,2)))</f>
        <v/>
      </c>
      <c r="F1569">
        <f>IF(OR($E1569="",$E1569="نامعتبر"),"",LEFT($E1569,4)&amp;"/"&amp;MID($E1569,6,2))</f>
        <v/>
      </c>
      <c r="G1569">
        <f>IF(OR($E1569="",$E1569="نامعتبر",Sync!$X1565=""),"",IF(AND(LEFT(UPPER(TRIM(Sync!$X1565)),2)="SL",IFERROR(VLOOKUP(Sync!$W1565,OpTbl,3,0),"")="فروش"),UPPER(TRIM(Sync!$X1565)),""))</f>
        <v/>
      </c>
      <c r="H1569">
        <f>IF($G1569="","",IF(Sync!$W1565="","",Sync!$W1565))</f>
        <v/>
      </c>
      <c r="I1569">
        <f>IF(OR($G1569="",Sync!$Y1565=""),"",Sync!$Y1565)</f>
        <v/>
      </c>
      <c r="J1569">
        <f>IF(OR($G1569="",Sync!$Z1565=""),"",Sync!$Z1565)</f>
        <v/>
      </c>
      <c r="K1569">
        <f>IF($G1569="",0,IF(Sync!$AA1565="",0,Sync!$AA1565))</f>
        <v/>
      </c>
      <c r="L1569">
        <f>IF($G1569="",0,IF(Sync!$AB1565="",0,Sync!$AB1565))</f>
        <v/>
      </c>
      <c r="M1569">
        <f>IF($G1569="","",IF($H1569="مرجوعی فروش",-1,1)*($K1569-$L1569*IFERROR(VLOOKUP("P01",ParamTbl,3,0),1.5)))</f>
        <v/>
      </c>
      <c r="N1569">
        <f>IF($G1569="",0,IF($H1569="مرجوعی فروش",-1,1)*IF(Sync!$AC1565="",0,Sync!$AC1565))</f>
        <v/>
      </c>
      <c r="O1569">
        <f>IF(OR($G1569="",Sync!$V1565=""),"",Sync!$V1565)</f>
        <v/>
      </c>
      <c r="P1569">
        <f>IF(OR($G1569="",Sync!$AD1565=""),"",Sync!$AD1565)</f>
        <v/>
      </c>
      <c r="Q1569">
        <f>IF($G1569="","",IF(Sync!$U1565="","0000",IF(AND(ISNUMBER(Sync!$U1565),Sync!$U1565&gt;=0,Sync!$U1565&lt;1),RIGHT("00"&amp;HOUR(Sync!$U1565),2)&amp;RIGHT("00"&amp;MINUTE(Sync!$U1565),2),IFERROR(RIGHT("00"&amp;VALUE(LEFT(Sync!$U1565,FIND(":",Sync!$U1565)-1)),2)&amp;RIGHT("00"&amp;VALUE(MID(Sync!$U1565,FIND(":",Sync!$U1565)+1,2)),2),"0000"))))</f>
        <v/>
      </c>
    </row>
    <row r="1570">
      <c r="A1570">
        <f>IF(Sync!$T1566="","",Sync!$T1566)</f>
        <v/>
      </c>
      <c r="B1570">
        <f>IF($A1570="","",IF(ISNUMBER($A1570),IF(AND($A1570&gt;=10000101,$A1570&lt;=99991231),INT($A1570/10000),""),IFERROR(VALUE(TRIM(LEFT($A1570,FIND("/",$A1570)-1))),"")))</f>
        <v/>
      </c>
      <c r="C1570">
        <f>IF(OR($A1570="",$B1570=""),"",IF(ISNUMBER($A1570),INT(MOD($A1570,10000)/100),IFERROR(VALUE(TRIM(LEFT(MID($A1570,FIND("/",$A1570)+1,20),FIND("/",MID($A1570,FIND("/",$A1570)+1,20))-1))),"")))</f>
        <v/>
      </c>
      <c r="D1570">
        <f>IF(OR($A1570="",$B1570=""),"",IF(ISNUMBER($A1570),MOD($A1570,100),IFERROR(VALUE(TRIM(MID(MID($A1570,FIND("/",$A1570)+1,20),FIND("/",MID($A1570,FIND("/",$A1570)+1,20))+1,20))),"")))</f>
        <v/>
      </c>
      <c r="E1570">
        <f>IF($A1570="","",IF(OR($B1570="",$C1570="",$D1570="",$B1570&lt;1300,$B1570&gt;1500,$C1570&lt;1,$C1570&gt;12,$D1570&lt;1,$D1570&gt;31),"نامعتبر",RIGHT("0000"&amp;$B1570,4)&amp;"/"&amp;RIGHT("00"&amp;$C1570,2)&amp;"/"&amp;RIGHT("00"&amp;$D1570,2)))</f>
        <v/>
      </c>
      <c r="F1570">
        <f>IF(OR($E1570="",$E1570="نامعتبر"),"",LEFT($E1570,4)&amp;"/"&amp;MID($E1570,6,2))</f>
        <v/>
      </c>
      <c r="G1570">
        <f>IF(OR($E1570="",$E1570="نامعتبر",Sync!$X1566=""),"",IF(AND(LEFT(UPPER(TRIM(Sync!$X1566)),2)="SL",IFERROR(VLOOKUP(Sync!$W1566,OpTbl,3,0),"")="فروش"),UPPER(TRIM(Sync!$X1566)),""))</f>
        <v/>
      </c>
      <c r="H1570">
        <f>IF($G1570="","",IF(Sync!$W1566="","",Sync!$W1566))</f>
        <v/>
      </c>
      <c r="I1570">
        <f>IF(OR($G1570="",Sync!$Y1566=""),"",Sync!$Y1566)</f>
        <v/>
      </c>
      <c r="J1570">
        <f>IF(OR($G1570="",Sync!$Z1566=""),"",Sync!$Z1566)</f>
        <v/>
      </c>
      <c r="K1570">
        <f>IF($G1570="",0,IF(Sync!$AA1566="",0,Sync!$AA1566))</f>
        <v/>
      </c>
      <c r="L1570">
        <f>IF($G1570="",0,IF(Sync!$AB1566="",0,Sync!$AB1566))</f>
        <v/>
      </c>
      <c r="M1570">
        <f>IF($G1570="","",IF($H1570="مرجوعی فروش",-1,1)*($K1570-$L1570*IFERROR(VLOOKUP("P01",ParamTbl,3,0),1.5)))</f>
        <v/>
      </c>
      <c r="N1570">
        <f>IF($G1570="",0,IF($H1570="مرجوعی فروش",-1,1)*IF(Sync!$AC1566="",0,Sync!$AC1566))</f>
        <v/>
      </c>
      <c r="O1570">
        <f>IF(OR($G1570="",Sync!$V1566=""),"",Sync!$V1566)</f>
        <v/>
      </c>
      <c r="P1570">
        <f>IF(OR($G1570="",Sync!$AD1566=""),"",Sync!$AD1566)</f>
        <v/>
      </c>
      <c r="Q1570">
        <f>IF($G1570="","",IF(Sync!$U1566="","0000",IF(AND(ISNUMBER(Sync!$U1566),Sync!$U1566&gt;=0,Sync!$U1566&lt;1),RIGHT("00"&amp;HOUR(Sync!$U1566),2)&amp;RIGHT("00"&amp;MINUTE(Sync!$U1566),2),IFERROR(RIGHT("00"&amp;VALUE(LEFT(Sync!$U1566,FIND(":",Sync!$U1566)-1)),2)&amp;RIGHT("00"&amp;VALUE(MID(Sync!$U1566,FIND(":",Sync!$U1566)+1,2)),2),"0000"))))</f>
        <v/>
      </c>
    </row>
    <row r="1571">
      <c r="A1571">
        <f>IF(Sync!$T1567="","",Sync!$T1567)</f>
        <v/>
      </c>
      <c r="B1571">
        <f>IF($A1571="","",IF(ISNUMBER($A1571),IF(AND($A1571&gt;=10000101,$A1571&lt;=99991231),INT($A1571/10000),""),IFERROR(VALUE(TRIM(LEFT($A1571,FIND("/",$A1571)-1))),"")))</f>
        <v/>
      </c>
      <c r="C1571">
        <f>IF(OR($A1571="",$B1571=""),"",IF(ISNUMBER($A1571),INT(MOD($A1571,10000)/100),IFERROR(VALUE(TRIM(LEFT(MID($A1571,FIND("/",$A1571)+1,20),FIND("/",MID($A1571,FIND("/",$A1571)+1,20))-1))),"")))</f>
        <v/>
      </c>
      <c r="D1571">
        <f>IF(OR($A1571="",$B1571=""),"",IF(ISNUMBER($A1571),MOD($A1571,100),IFERROR(VALUE(TRIM(MID(MID($A1571,FIND("/",$A1571)+1,20),FIND("/",MID($A1571,FIND("/",$A1571)+1,20))+1,20))),"")))</f>
        <v/>
      </c>
      <c r="E1571">
        <f>IF($A1571="","",IF(OR($B1571="",$C1571="",$D1571="",$B1571&lt;1300,$B1571&gt;1500,$C1571&lt;1,$C1571&gt;12,$D1571&lt;1,$D1571&gt;31),"نامعتبر",RIGHT("0000"&amp;$B1571,4)&amp;"/"&amp;RIGHT("00"&amp;$C1571,2)&amp;"/"&amp;RIGHT("00"&amp;$D1571,2)))</f>
        <v/>
      </c>
      <c r="F1571">
        <f>IF(OR($E1571="",$E1571="نامعتبر"),"",LEFT($E1571,4)&amp;"/"&amp;MID($E1571,6,2))</f>
        <v/>
      </c>
      <c r="G1571">
        <f>IF(OR($E1571="",$E1571="نامعتبر",Sync!$X1567=""),"",IF(AND(LEFT(UPPER(TRIM(Sync!$X1567)),2)="SL",IFERROR(VLOOKUP(Sync!$W1567,OpTbl,3,0),"")="فروش"),UPPER(TRIM(Sync!$X1567)),""))</f>
        <v/>
      </c>
      <c r="H1571">
        <f>IF($G1571="","",IF(Sync!$W1567="","",Sync!$W1567))</f>
        <v/>
      </c>
      <c r="I1571">
        <f>IF(OR($G1571="",Sync!$Y1567=""),"",Sync!$Y1567)</f>
        <v/>
      </c>
      <c r="J1571">
        <f>IF(OR($G1571="",Sync!$Z1567=""),"",Sync!$Z1567)</f>
        <v/>
      </c>
      <c r="K1571">
        <f>IF($G1571="",0,IF(Sync!$AA1567="",0,Sync!$AA1567))</f>
        <v/>
      </c>
      <c r="L1571">
        <f>IF($G1571="",0,IF(Sync!$AB1567="",0,Sync!$AB1567))</f>
        <v/>
      </c>
      <c r="M1571">
        <f>IF($G1571="","",IF($H1571="مرجوعی فروش",-1,1)*($K1571-$L1571*IFERROR(VLOOKUP("P01",ParamTbl,3,0),1.5)))</f>
        <v/>
      </c>
      <c r="N1571">
        <f>IF($G1571="",0,IF($H1571="مرجوعی فروش",-1,1)*IF(Sync!$AC1567="",0,Sync!$AC1567))</f>
        <v/>
      </c>
      <c r="O1571">
        <f>IF(OR($G1571="",Sync!$V1567=""),"",Sync!$V1567)</f>
        <v/>
      </c>
      <c r="P1571">
        <f>IF(OR($G1571="",Sync!$AD1567=""),"",Sync!$AD1567)</f>
        <v/>
      </c>
      <c r="Q1571">
        <f>IF($G1571="","",IF(Sync!$U1567="","0000",IF(AND(ISNUMBER(Sync!$U1567),Sync!$U1567&gt;=0,Sync!$U1567&lt;1),RIGHT("00"&amp;HOUR(Sync!$U1567),2)&amp;RIGHT("00"&amp;MINUTE(Sync!$U1567),2),IFERROR(RIGHT("00"&amp;VALUE(LEFT(Sync!$U1567,FIND(":",Sync!$U1567)-1)),2)&amp;RIGHT("00"&amp;VALUE(MID(Sync!$U1567,FIND(":",Sync!$U1567)+1,2)),2),"0000"))))</f>
        <v/>
      </c>
    </row>
    <row r="1572">
      <c r="A1572">
        <f>IF(Sync!$T1568="","",Sync!$T1568)</f>
        <v/>
      </c>
      <c r="B1572">
        <f>IF($A1572="","",IF(ISNUMBER($A1572),IF(AND($A1572&gt;=10000101,$A1572&lt;=99991231),INT($A1572/10000),""),IFERROR(VALUE(TRIM(LEFT($A1572,FIND("/",$A1572)-1))),"")))</f>
        <v/>
      </c>
      <c r="C1572">
        <f>IF(OR($A1572="",$B1572=""),"",IF(ISNUMBER($A1572),INT(MOD($A1572,10000)/100),IFERROR(VALUE(TRIM(LEFT(MID($A1572,FIND("/",$A1572)+1,20),FIND("/",MID($A1572,FIND("/",$A1572)+1,20))-1))),"")))</f>
        <v/>
      </c>
      <c r="D1572">
        <f>IF(OR($A1572="",$B1572=""),"",IF(ISNUMBER($A1572),MOD($A1572,100),IFERROR(VALUE(TRIM(MID(MID($A1572,FIND("/",$A1572)+1,20),FIND("/",MID($A1572,FIND("/",$A1572)+1,20))+1,20))),"")))</f>
        <v/>
      </c>
      <c r="E1572">
        <f>IF($A1572="","",IF(OR($B1572="",$C1572="",$D1572="",$B1572&lt;1300,$B1572&gt;1500,$C1572&lt;1,$C1572&gt;12,$D1572&lt;1,$D1572&gt;31),"نامعتبر",RIGHT("0000"&amp;$B1572,4)&amp;"/"&amp;RIGHT("00"&amp;$C1572,2)&amp;"/"&amp;RIGHT("00"&amp;$D1572,2)))</f>
        <v/>
      </c>
      <c r="F1572">
        <f>IF(OR($E1572="",$E1572="نامعتبر"),"",LEFT($E1572,4)&amp;"/"&amp;MID($E1572,6,2))</f>
        <v/>
      </c>
      <c r="G1572">
        <f>IF(OR($E1572="",$E1572="نامعتبر",Sync!$X1568=""),"",IF(AND(LEFT(UPPER(TRIM(Sync!$X1568)),2)="SL",IFERROR(VLOOKUP(Sync!$W1568,OpTbl,3,0),"")="فروش"),UPPER(TRIM(Sync!$X1568)),""))</f>
        <v/>
      </c>
      <c r="H1572">
        <f>IF($G1572="","",IF(Sync!$W1568="","",Sync!$W1568))</f>
        <v/>
      </c>
      <c r="I1572">
        <f>IF(OR($G1572="",Sync!$Y1568=""),"",Sync!$Y1568)</f>
        <v/>
      </c>
      <c r="J1572">
        <f>IF(OR($G1572="",Sync!$Z1568=""),"",Sync!$Z1568)</f>
        <v/>
      </c>
      <c r="K1572">
        <f>IF($G1572="",0,IF(Sync!$AA1568="",0,Sync!$AA1568))</f>
        <v/>
      </c>
      <c r="L1572">
        <f>IF($G1572="",0,IF(Sync!$AB1568="",0,Sync!$AB1568))</f>
        <v/>
      </c>
      <c r="M1572">
        <f>IF($G1572="","",IF($H1572="مرجوعی فروش",-1,1)*($K1572-$L1572*IFERROR(VLOOKUP("P01",ParamTbl,3,0),1.5)))</f>
        <v/>
      </c>
      <c r="N1572">
        <f>IF($G1572="",0,IF($H1572="مرجوعی فروش",-1,1)*IF(Sync!$AC1568="",0,Sync!$AC1568))</f>
        <v/>
      </c>
      <c r="O1572">
        <f>IF(OR($G1572="",Sync!$V1568=""),"",Sync!$V1568)</f>
        <v/>
      </c>
      <c r="P1572">
        <f>IF(OR($G1572="",Sync!$AD1568=""),"",Sync!$AD1568)</f>
        <v/>
      </c>
      <c r="Q1572">
        <f>IF($G1572="","",IF(Sync!$U1568="","0000",IF(AND(ISNUMBER(Sync!$U1568),Sync!$U1568&gt;=0,Sync!$U1568&lt;1),RIGHT("00"&amp;HOUR(Sync!$U1568),2)&amp;RIGHT("00"&amp;MINUTE(Sync!$U1568),2),IFERROR(RIGHT("00"&amp;VALUE(LEFT(Sync!$U1568,FIND(":",Sync!$U1568)-1)),2)&amp;RIGHT("00"&amp;VALUE(MID(Sync!$U1568,FIND(":",Sync!$U1568)+1,2)),2),"0000"))))</f>
        <v/>
      </c>
    </row>
    <row r="1573">
      <c r="A1573">
        <f>IF(Sync!$T1569="","",Sync!$T1569)</f>
        <v/>
      </c>
      <c r="B1573">
        <f>IF($A1573="","",IF(ISNUMBER($A1573),IF(AND($A1573&gt;=10000101,$A1573&lt;=99991231),INT($A1573/10000),""),IFERROR(VALUE(TRIM(LEFT($A1573,FIND("/",$A1573)-1))),"")))</f>
        <v/>
      </c>
      <c r="C1573">
        <f>IF(OR($A1573="",$B1573=""),"",IF(ISNUMBER($A1573),INT(MOD($A1573,10000)/100),IFERROR(VALUE(TRIM(LEFT(MID($A1573,FIND("/",$A1573)+1,20),FIND("/",MID($A1573,FIND("/",$A1573)+1,20))-1))),"")))</f>
        <v/>
      </c>
      <c r="D1573">
        <f>IF(OR($A1573="",$B1573=""),"",IF(ISNUMBER($A1573),MOD($A1573,100),IFERROR(VALUE(TRIM(MID(MID($A1573,FIND("/",$A1573)+1,20),FIND("/",MID($A1573,FIND("/",$A1573)+1,20))+1,20))),"")))</f>
        <v/>
      </c>
      <c r="E1573">
        <f>IF($A1573="","",IF(OR($B1573="",$C1573="",$D1573="",$B1573&lt;1300,$B1573&gt;1500,$C1573&lt;1,$C1573&gt;12,$D1573&lt;1,$D1573&gt;31),"نامعتبر",RIGHT("0000"&amp;$B1573,4)&amp;"/"&amp;RIGHT("00"&amp;$C1573,2)&amp;"/"&amp;RIGHT("00"&amp;$D1573,2)))</f>
        <v/>
      </c>
      <c r="F1573">
        <f>IF(OR($E1573="",$E1573="نامعتبر"),"",LEFT($E1573,4)&amp;"/"&amp;MID($E1573,6,2))</f>
        <v/>
      </c>
      <c r="G1573">
        <f>IF(OR($E1573="",$E1573="نامعتبر",Sync!$X1569=""),"",IF(AND(LEFT(UPPER(TRIM(Sync!$X1569)),2)="SL",IFERROR(VLOOKUP(Sync!$W1569,OpTbl,3,0),"")="فروش"),UPPER(TRIM(Sync!$X1569)),""))</f>
        <v/>
      </c>
      <c r="H1573">
        <f>IF($G1573="","",IF(Sync!$W1569="","",Sync!$W1569))</f>
        <v/>
      </c>
      <c r="I1573">
        <f>IF(OR($G1573="",Sync!$Y1569=""),"",Sync!$Y1569)</f>
        <v/>
      </c>
      <c r="J1573">
        <f>IF(OR($G1573="",Sync!$Z1569=""),"",Sync!$Z1569)</f>
        <v/>
      </c>
      <c r="K1573">
        <f>IF($G1573="",0,IF(Sync!$AA1569="",0,Sync!$AA1569))</f>
        <v/>
      </c>
      <c r="L1573">
        <f>IF($G1573="",0,IF(Sync!$AB1569="",0,Sync!$AB1569))</f>
        <v/>
      </c>
      <c r="M1573">
        <f>IF($G1573="","",IF($H1573="مرجوعی فروش",-1,1)*($K1573-$L1573*IFERROR(VLOOKUP("P01",ParamTbl,3,0),1.5)))</f>
        <v/>
      </c>
      <c r="N1573">
        <f>IF($G1573="",0,IF($H1573="مرجوعی فروش",-1,1)*IF(Sync!$AC1569="",0,Sync!$AC1569))</f>
        <v/>
      </c>
      <c r="O1573">
        <f>IF(OR($G1573="",Sync!$V1569=""),"",Sync!$V1569)</f>
        <v/>
      </c>
      <c r="P1573">
        <f>IF(OR($G1573="",Sync!$AD1569=""),"",Sync!$AD1569)</f>
        <v/>
      </c>
      <c r="Q1573">
        <f>IF($G1573="","",IF(Sync!$U1569="","0000",IF(AND(ISNUMBER(Sync!$U1569),Sync!$U1569&gt;=0,Sync!$U1569&lt;1),RIGHT("00"&amp;HOUR(Sync!$U1569),2)&amp;RIGHT("00"&amp;MINUTE(Sync!$U1569),2),IFERROR(RIGHT("00"&amp;VALUE(LEFT(Sync!$U1569,FIND(":",Sync!$U1569)-1)),2)&amp;RIGHT("00"&amp;VALUE(MID(Sync!$U1569,FIND(":",Sync!$U1569)+1,2)),2),"0000"))))</f>
        <v/>
      </c>
    </row>
    <row r="1574">
      <c r="A1574">
        <f>IF(Sync!$T1570="","",Sync!$T1570)</f>
        <v/>
      </c>
      <c r="B1574">
        <f>IF($A1574="","",IF(ISNUMBER($A1574),IF(AND($A1574&gt;=10000101,$A1574&lt;=99991231),INT($A1574/10000),""),IFERROR(VALUE(TRIM(LEFT($A1574,FIND("/",$A1574)-1))),"")))</f>
        <v/>
      </c>
      <c r="C1574">
        <f>IF(OR($A1574="",$B1574=""),"",IF(ISNUMBER($A1574),INT(MOD($A1574,10000)/100),IFERROR(VALUE(TRIM(LEFT(MID($A1574,FIND("/",$A1574)+1,20),FIND("/",MID($A1574,FIND("/",$A1574)+1,20))-1))),"")))</f>
        <v/>
      </c>
      <c r="D1574">
        <f>IF(OR($A1574="",$B1574=""),"",IF(ISNUMBER($A1574),MOD($A1574,100),IFERROR(VALUE(TRIM(MID(MID($A1574,FIND("/",$A1574)+1,20),FIND("/",MID($A1574,FIND("/",$A1574)+1,20))+1,20))),"")))</f>
        <v/>
      </c>
      <c r="E1574">
        <f>IF($A1574="","",IF(OR($B1574="",$C1574="",$D1574="",$B1574&lt;1300,$B1574&gt;1500,$C1574&lt;1,$C1574&gt;12,$D1574&lt;1,$D1574&gt;31),"نامعتبر",RIGHT("0000"&amp;$B1574,4)&amp;"/"&amp;RIGHT("00"&amp;$C1574,2)&amp;"/"&amp;RIGHT("00"&amp;$D1574,2)))</f>
        <v/>
      </c>
      <c r="F1574">
        <f>IF(OR($E1574="",$E1574="نامعتبر"),"",LEFT($E1574,4)&amp;"/"&amp;MID($E1574,6,2))</f>
        <v/>
      </c>
      <c r="G1574">
        <f>IF(OR($E1574="",$E1574="نامعتبر",Sync!$X1570=""),"",IF(AND(LEFT(UPPER(TRIM(Sync!$X1570)),2)="SL",IFERROR(VLOOKUP(Sync!$W1570,OpTbl,3,0),"")="فروش"),UPPER(TRIM(Sync!$X1570)),""))</f>
        <v/>
      </c>
      <c r="H1574">
        <f>IF($G1574="","",IF(Sync!$W1570="","",Sync!$W1570))</f>
        <v/>
      </c>
      <c r="I1574">
        <f>IF(OR($G1574="",Sync!$Y1570=""),"",Sync!$Y1570)</f>
        <v/>
      </c>
      <c r="J1574">
        <f>IF(OR($G1574="",Sync!$Z1570=""),"",Sync!$Z1570)</f>
        <v/>
      </c>
      <c r="K1574">
        <f>IF($G1574="",0,IF(Sync!$AA1570="",0,Sync!$AA1570))</f>
        <v/>
      </c>
      <c r="L1574">
        <f>IF($G1574="",0,IF(Sync!$AB1570="",0,Sync!$AB1570))</f>
        <v/>
      </c>
      <c r="M1574">
        <f>IF($G1574="","",IF($H1574="مرجوعی فروش",-1,1)*($K1574-$L1574*IFERROR(VLOOKUP("P01",ParamTbl,3,0),1.5)))</f>
        <v/>
      </c>
      <c r="N1574">
        <f>IF($G1574="",0,IF($H1574="مرجوعی فروش",-1,1)*IF(Sync!$AC1570="",0,Sync!$AC1570))</f>
        <v/>
      </c>
      <c r="O1574">
        <f>IF(OR($G1574="",Sync!$V1570=""),"",Sync!$V1570)</f>
        <v/>
      </c>
      <c r="P1574">
        <f>IF(OR($G1574="",Sync!$AD1570=""),"",Sync!$AD1570)</f>
        <v/>
      </c>
      <c r="Q1574">
        <f>IF($G1574="","",IF(Sync!$U1570="","0000",IF(AND(ISNUMBER(Sync!$U1570),Sync!$U1570&gt;=0,Sync!$U1570&lt;1),RIGHT("00"&amp;HOUR(Sync!$U1570),2)&amp;RIGHT("00"&amp;MINUTE(Sync!$U1570),2),IFERROR(RIGHT("00"&amp;VALUE(LEFT(Sync!$U1570,FIND(":",Sync!$U1570)-1)),2)&amp;RIGHT("00"&amp;VALUE(MID(Sync!$U1570,FIND(":",Sync!$U1570)+1,2)),2),"0000"))))</f>
        <v/>
      </c>
    </row>
    <row r="1575">
      <c r="A1575">
        <f>IF(Sync!$T1571="","",Sync!$T1571)</f>
        <v/>
      </c>
      <c r="B1575">
        <f>IF($A1575="","",IF(ISNUMBER($A1575),IF(AND($A1575&gt;=10000101,$A1575&lt;=99991231),INT($A1575/10000),""),IFERROR(VALUE(TRIM(LEFT($A1575,FIND("/",$A1575)-1))),"")))</f>
        <v/>
      </c>
      <c r="C1575">
        <f>IF(OR($A1575="",$B1575=""),"",IF(ISNUMBER($A1575),INT(MOD($A1575,10000)/100),IFERROR(VALUE(TRIM(LEFT(MID($A1575,FIND("/",$A1575)+1,20),FIND("/",MID($A1575,FIND("/",$A1575)+1,20))-1))),"")))</f>
        <v/>
      </c>
      <c r="D1575">
        <f>IF(OR($A1575="",$B1575=""),"",IF(ISNUMBER($A1575),MOD($A1575,100),IFERROR(VALUE(TRIM(MID(MID($A1575,FIND("/",$A1575)+1,20),FIND("/",MID($A1575,FIND("/",$A1575)+1,20))+1,20))),"")))</f>
        <v/>
      </c>
      <c r="E1575">
        <f>IF($A1575="","",IF(OR($B1575="",$C1575="",$D1575="",$B1575&lt;1300,$B1575&gt;1500,$C1575&lt;1,$C1575&gt;12,$D1575&lt;1,$D1575&gt;31),"نامعتبر",RIGHT("0000"&amp;$B1575,4)&amp;"/"&amp;RIGHT("00"&amp;$C1575,2)&amp;"/"&amp;RIGHT("00"&amp;$D1575,2)))</f>
        <v/>
      </c>
      <c r="F1575">
        <f>IF(OR($E1575="",$E1575="نامعتبر"),"",LEFT($E1575,4)&amp;"/"&amp;MID($E1575,6,2))</f>
        <v/>
      </c>
      <c r="G1575">
        <f>IF(OR($E1575="",$E1575="نامعتبر",Sync!$X1571=""),"",IF(AND(LEFT(UPPER(TRIM(Sync!$X1571)),2)="SL",IFERROR(VLOOKUP(Sync!$W1571,OpTbl,3,0),"")="فروش"),UPPER(TRIM(Sync!$X1571)),""))</f>
        <v/>
      </c>
      <c r="H1575">
        <f>IF($G1575="","",IF(Sync!$W1571="","",Sync!$W1571))</f>
        <v/>
      </c>
      <c r="I1575">
        <f>IF(OR($G1575="",Sync!$Y1571=""),"",Sync!$Y1571)</f>
        <v/>
      </c>
      <c r="J1575">
        <f>IF(OR($G1575="",Sync!$Z1571=""),"",Sync!$Z1571)</f>
        <v/>
      </c>
      <c r="K1575">
        <f>IF($G1575="",0,IF(Sync!$AA1571="",0,Sync!$AA1571))</f>
        <v/>
      </c>
      <c r="L1575">
        <f>IF($G1575="",0,IF(Sync!$AB1571="",0,Sync!$AB1571))</f>
        <v/>
      </c>
      <c r="M1575">
        <f>IF($G1575="","",IF($H1575="مرجوعی فروش",-1,1)*($K1575-$L1575*IFERROR(VLOOKUP("P01",ParamTbl,3,0),1.5)))</f>
        <v/>
      </c>
      <c r="N1575">
        <f>IF($G1575="",0,IF($H1575="مرجوعی فروش",-1,1)*IF(Sync!$AC1571="",0,Sync!$AC1571))</f>
        <v/>
      </c>
      <c r="O1575">
        <f>IF(OR($G1575="",Sync!$V1571=""),"",Sync!$V1571)</f>
        <v/>
      </c>
      <c r="P1575">
        <f>IF(OR($G1575="",Sync!$AD1571=""),"",Sync!$AD1571)</f>
        <v/>
      </c>
      <c r="Q1575">
        <f>IF($G1575="","",IF(Sync!$U1571="","0000",IF(AND(ISNUMBER(Sync!$U1571),Sync!$U1571&gt;=0,Sync!$U1571&lt;1),RIGHT("00"&amp;HOUR(Sync!$U1571),2)&amp;RIGHT("00"&amp;MINUTE(Sync!$U1571),2),IFERROR(RIGHT("00"&amp;VALUE(LEFT(Sync!$U1571,FIND(":",Sync!$U1571)-1)),2)&amp;RIGHT("00"&amp;VALUE(MID(Sync!$U1571,FIND(":",Sync!$U1571)+1,2)),2),"0000"))))</f>
        <v/>
      </c>
    </row>
    <row r="1576">
      <c r="A1576">
        <f>IF(Sync!$T1572="","",Sync!$T1572)</f>
        <v/>
      </c>
      <c r="B1576">
        <f>IF($A1576="","",IF(ISNUMBER($A1576),IF(AND($A1576&gt;=10000101,$A1576&lt;=99991231),INT($A1576/10000),""),IFERROR(VALUE(TRIM(LEFT($A1576,FIND("/",$A1576)-1))),"")))</f>
        <v/>
      </c>
      <c r="C1576">
        <f>IF(OR($A1576="",$B1576=""),"",IF(ISNUMBER($A1576),INT(MOD($A1576,10000)/100),IFERROR(VALUE(TRIM(LEFT(MID($A1576,FIND("/",$A1576)+1,20),FIND("/",MID($A1576,FIND("/",$A1576)+1,20))-1))),"")))</f>
        <v/>
      </c>
      <c r="D1576">
        <f>IF(OR($A1576="",$B1576=""),"",IF(ISNUMBER($A1576),MOD($A1576,100),IFERROR(VALUE(TRIM(MID(MID($A1576,FIND("/",$A1576)+1,20),FIND("/",MID($A1576,FIND("/",$A1576)+1,20))+1,20))),"")))</f>
        <v/>
      </c>
      <c r="E1576">
        <f>IF($A1576="","",IF(OR($B1576="",$C1576="",$D1576="",$B1576&lt;1300,$B1576&gt;1500,$C1576&lt;1,$C1576&gt;12,$D1576&lt;1,$D1576&gt;31),"نامعتبر",RIGHT("0000"&amp;$B1576,4)&amp;"/"&amp;RIGHT("00"&amp;$C1576,2)&amp;"/"&amp;RIGHT("00"&amp;$D1576,2)))</f>
        <v/>
      </c>
      <c r="F1576">
        <f>IF(OR($E1576="",$E1576="نامعتبر"),"",LEFT($E1576,4)&amp;"/"&amp;MID($E1576,6,2))</f>
        <v/>
      </c>
      <c r="G1576">
        <f>IF(OR($E1576="",$E1576="نامعتبر",Sync!$X1572=""),"",IF(AND(LEFT(UPPER(TRIM(Sync!$X1572)),2)="SL",IFERROR(VLOOKUP(Sync!$W1572,OpTbl,3,0),"")="فروش"),UPPER(TRIM(Sync!$X1572)),""))</f>
        <v/>
      </c>
      <c r="H1576">
        <f>IF($G1576="","",IF(Sync!$W1572="","",Sync!$W1572))</f>
        <v/>
      </c>
      <c r="I1576">
        <f>IF(OR($G1576="",Sync!$Y1572=""),"",Sync!$Y1572)</f>
        <v/>
      </c>
      <c r="J1576">
        <f>IF(OR($G1576="",Sync!$Z1572=""),"",Sync!$Z1572)</f>
        <v/>
      </c>
      <c r="K1576">
        <f>IF($G1576="",0,IF(Sync!$AA1572="",0,Sync!$AA1572))</f>
        <v/>
      </c>
      <c r="L1576">
        <f>IF($G1576="",0,IF(Sync!$AB1572="",0,Sync!$AB1572))</f>
        <v/>
      </c>
      <c r="M1576">
        <f>IF($G1576="","",IF($H1576="مرجوعی فروش",-1,1)*($K1576-$L1576*IFERROR(VLOOKUP("P01",ParamTbl,3,0),1.5)))</f>
        <v/>
      </c>
      <c r="N1576">
        <f>IF($G1576="",0,IF($H1576="مرجوعی فروش",-1,1)*IF(Sync!$AC1572="",0,Sync!$AC1572))</f>
        <v/>
      </c>
      <c r="O1576">
        <f>IF(OR($G1576="",Sync!$V1572=""),"",Sync!$V1572)</f>
        <v/>
      </c>
      <c r="P1576">
        <f>IF(OR($G1576="",Sync!$AD1572=""),"",Sync!$AD1572)</f>
        <v/>
      </c>
      <c r="Q1576">
        <f>IF($G1576="","",IF(Sync!$U1572="","0000",IF(AND(ISNUMBER(Sync!$U1572),Sync!$U1572&gt;=0,Sync!$U1572&lt;1),RIGHT("00"&amp;HOUR(Sync!$U1572),2)&amp;RIGHT("00"&amp;MINUTE(Sync!$U1572),2),IFERROR(RIGHT("00"&amp;VALUE(LEFT(Sync!$U1572,FIND(":",Sync!$U1572)-1)),2)&amp;RIGHT("00"&amp;VALUE(MID(Sync!$U1572,FIND(":",Sync!$U1572)+1,2)),2),"0000"))))</f>
        <v/>
      </c>
    </row>
    <row r="1577">
      <c r="A1577">
        <f>IF(Sync!$T1573="","",Sync!$T1573)</f>
        <v/>
      </c>
      <c r="B1577">
        <f>IF($A1577="","",IF(ISNUMBER($A1577),IF(AND($A1577&gt;=10000101,$A1577&lt;=99991231),INT($A1577/10000),""),IFERROR(VALUE(TRIM(LEFT($A1577,FIND("/",$A1577)-1))),"")))</f>
        <v/>
      </c>
      <c r="C1577">
        <f>IF(OR($A1577="",$B1577=""),"",IF(ISNUMBER($A1577),INT(MOD($A1577,10000)/100),IFERROR(VALUE(TRIM(LEFT(MID($A1577,FIND("/",$A1577)+1,20),FIND("/",MID($A1577,FIND("/",$A1577)+1,20))-1))),"")))</f>
        <v/>
      </c>
      <c r="D1577">
        <f>IF(OR($A1577="",$B1577=""),"",IF(ISNUMBER($A1577),MOD($A1577,100),IFERROR(VALUE(TRIM(MID(MID($A1577,FIND("/",$A1577)+1,20),FIND("/",MID($A1577,FIND("/",$A1577)+1,20))+1,20))),"")))</f>
        <v/>
      </c>
      <c r="E1577">
        <f>IF($A1577="","",IF(OR($B1577="",$C1577="",$D1577="",$B1577&lt;1300,$B1577&gt;1500,$C1577&lt;1,$C1577&gt;12,$D1577&lt;1,$D1577&gt;31),"نامعتبر",RIGHT("0000"&amp;$B1577,4)&amp;"/"&amp;RIGHT("00"&amp;$C1577,2)&amp;"/"&amp;RIGHT("00"&amp;$D1577,2)))</f>
        <v/>
      </c>
      <c r="F1577">
        <f>IF(OR($E1577="",$E1577="نامعتبر"),"",LEFT($E1577,4)&amp;"/"&amp;MID($E1577,6,2))</f>
        <v/>
      </c>
      <c r="G1577">
        <f>IF(OR($E1577="",$E1577="نامعتبر",Sync!$X1573=""),"",IF(AND(LEFT(UPPER(TRIM(Sync!$X1573)),2)="SL",IFERROR(VLOOKUP(Sync!$W1573,OpTbl,3,0),"")="فروش"),UPPER(TRIM(Sync!$X1573)),""))</f>
        <v/>
      </c>
      <c r="H1577">
        <f>IF($G1577="","",IF(Sync!$W1573="","",Sync!$W1573))</f>
        <v/>
      </c>
      <c r="I1577">
        <f>IF(OR($G1577="",Sync!$Y1573=""),"",Sync!$Y1573)</f>
        <v/>
      </c>
      <c r="J1577">
        <f>IF(OR($G1577="",Sync!$Z1573=""),"",Sync!$Z1573)</f>
        <v/>
      </c>
      <c r="K1577">
        <f>IF($G1577="",0,IF(Sync!$AA1573="",0,Sync!$AA1573))</f>
        <v/>
      </c>
      <c r="L1577">
        <f>IF($G1577="",0,IF(Sync!$AB1573="",0,Sync!$AB1573))</f>
        <v/>
      </c>
      <c r="M1577">
        <f>IF($G1577="","",IF($H1577="مرجوعی فروش",-1,1)*($K1577-$L1577*IFERROR(VLOOKUP("P01",ParamTbl,3,0),1.5)))</f>
        <v/>
      </c>
      <c r="N1577">
        <f>IF($G1577="",0,IF($H1577="مرجوعی فروش",-1,1)*IF(Sync!$AC1573="",0,Sync!$AC1573))</f>
        <v/>
      </c>
      <c r="O1577">
        <f>IF(OR($G1577="",Sync!$V1573=""),"",Sync!$V1573)</f>
        <v/>
      </c>
      <c r="P1577">
        <f>IF(OR($G1577="",Sync!$AD1573=""),"",Sync!$AD1573)</f>
        <v/>
      </c>
      <c r="Q1577">
        <f>IF($G1577="","",IF(Sync!$U1573="","0000",IF(AND(ISNUMBER(Sync!$U1573),Sync!$U1573&gt;=0,Sync!$U1573&lt;1),RIGHT("00"&amp;HOUR(Sync!$U1573),2)&amp;RIGHT("00"&amp;MINUTE(Sync!$U1573),2),IFERROR(RIGHT("00"&amp;VALUE(LEFT(Sync!$U1573,FIND(":",Sync!$U1573)-1)),2)&amp;RIGHT("00"&amp;VALUE(MID(Sync!$U1573,FIND(":",Sync!$U1573)+1,2)),2),"0000"))))</f>
        <v/>
      </c>
    </row>
    <row r="1578">
      <c r="A1578">
        <f>IF(Sync!$T1574="","",Sync!$T1574)</f>
        <v/>
      </c>
      <c r="B1578">
        <f>IF($A1578="","",IF(ISNUMBER($A1578),IF(AND($A1578&gt;=10000101,$A1578&lt;=99991231),INT($A1578/10000),""),IFERROR(VALUE(TRIM(LEFT($A1578,FIND("/",$A1578)-1))),"")))</f>
        <v/>
      </c>
      <c r="C1578">
        <f>IF(OR($A1578="",$B1578=""),"",IF(ISNUMBER($A1578),INT(MOD($A1578,10000)/100),IFERROR(VALUE(TRIM(LEFT(MID($A1578,FIND("/",$A1578)+1,20),FIND("/",MID($A1578,FIND("/",$A1578)+1,20))-1))),"")))</f>
        <v/>
      </c>
      <c r="D1578">
        <f>IF(OR($A1578="",$B1578=""),"",IF(ISNUMBER($A1578),MOD($A1578,100),IFERROR(VALUE(TRIM(MID(MID($A1578,FIND("/",$A1578)+1,20),FIND("/",MID($A1578,FIND("/",$A1578)+1,20))+1,20))),"")))</f>
        <v/>
      </c>
      <c r="E1578">
        <f>IF($A1578="","",IF(OR($B1578="",$C1578="",$D1578="",$B1578&lt;1300,$B1578&gt;1500,$C1578&lt;1,$C1578&gt;12,$D1578&lt;1,$D1578&gt;31),"نامعتبر",RIGHT("0000"&amp;$B1578,4)&amp;"/"&amp;RIGHT("00"&amp;$C1578,2)&amp;"/"&amp;RIGHT("00"&amp;$D1578,2)))</f>
        <v/>
      </c>
      <c r="F1578">
        <f>IF(OR($E1578="",$E1578="نامعتبر"),"",LEFT($E1578,4)&amp;"/"&amp;MID($E1578,6,2))</f>
        <v/>
      </c>
      <c r="G1578">
        <f>IF(OR($E1578="",$E1578="نامعتبر",Sync!$X1574=""),"",IF(AND(LEFT(UPPER(TRIM(Sync!$X1574)),2)="SL",IFERROR(VLOOKUP(Sync!$W1574,OpTbl,3,0),"")="فروش"),UPPER(TRIM(Sync!$X1574)),""))</f>
        <v/>
      </c>
      <c r="H1578">
        <f>IF($G1578="","",IF(Sync!$W1574="","",Sync!$W1574))</f>
        <v/>
      </c>
      <c r="I1578">
        <f>IF(OR($G1578="",Sync!$Y1574=""),"",Sync!$Y1574)</f>
        <v/>
      </c>
      <c r="J1578">
        <f>IF(OR($G1578="",Sync!$Z1574=""),"",Sync!$Z1574)</f>
        <v/>
      </c>
      <c r="K1578">
        <f>IF($G1578="",0,IF(Sync!$AA1574="",0,Sync!$AA1574))</f>
        <v/>
      </c>
      <c r="L1578">
        <f>IF($G1578="",0,IF(Sync!$AB1574="",0,Sync!$AB1574))</f>
        <v/>
      </c>
      <c r="M1578">
        <f>IF($G1578="","",IF($H1578="مرجوعی فروش",-1,1)*($K1578-$L1578*IFERROR(VLOOKUP("P01",ParamTbl,3,0),1.5)))</f>
        <v/>
      </c>
      <c r="N1578">
        <f>IF($G1578="",0,IF($H1578="مرجوعی فروش",-1,1)*IF(Sync!$AC1574="",0,Sync!$AC1574))</f>
        <v/>
      </c>
      <c r="O1578">
        <f>IF(OR($G1578="",Sync!$V1574=""),"",Sync!$V1574)</f>
        <v/>
      </c>
      <c r="P1578">
        <f>IF(OR($G1578="",Sync!$AD1574=""),"",Sync!$AD1574)</f>
        <v/>
      </c>
      <c r="Q1578">
        <f>IF($G1578="","",IF(Sync!$U1574="","0000",IF(AND(ISNUMBER(Sync!$U1574),Sync!$U1574&gt;=0,Sync!$U1574&lt;1),RIGHT("00"&amp;HOUR(Sync!$U1574),2)&amp;RIGHT("00"&amp;MINUTE(Sync!$U1574),2),IFERROR(RIGHT("00"&amp;VALUE(LEFT(Sync!$U1574,FIND(":",Sync!$U1574)-1)),2)&amp;RIGHT("00"&amp;VALUE(MID(Sync!$U1574,FIND(":",Sync!$U1574)+1,2)),2),"0000"))))</f>
        <v/>
      </c>
    </row>
    <row r="1579">
      <c r="A1579">
        <f>IF(Sync!$T1575="","",Sync!$T1575)</f>
        <v/>
      </c>
      <c r="B1579">
        <f>IF($A1579="","",IF(ISNUMBER($A1579),IF(AND($A1579&gt;=10000101,$A1579&lt;=99991231),INT($A1579/10000),""),IFERROR(VALUE(TRIM(LEFT($A1579,FIND("/",$A1579)-1))),"")))</f>
        <v/>
      </c>
      <c r="C1579">
        <f>IF(OR($A1579="",$B1579=""),"",IF(ISNUMBER($A1579),INT(MOD($A1579,10000)/100),IFERROR(VALUE(TRIM(LEFT(MID($A1579,FIND("/",$A1579)+1,20),FIND("/",MID($A1579,FIND("/",$A1579)+1,20))-1))),"")))</f>
        <v/>
      </c>
      <c r="D1579">
        <f>IF(OR($A1579="",$B1579=""),"",IF(ISNUMBER($A1579),MOD($A1579,100),IFERROR(VALUE(TRIM(MID(MID($A1579,FIND("/",$A1579)+1,20),FIND("/",MID($A1579,FIND("/",$A1579)+1,20))+1,20))),"")))</f>
        <v/>
      </c>
      <c r="E1579">
        <f>IF($A1579="","",IF(OR($B1579="",$C1579="",$D1579="",$B1579&lt;1300,$B1579&gt;1500,$C1579&lt;1,$C1579&gt;12,$D1579&lt;1,$D1579&gt;31),"نامعتبر",RIGHT("0000"&amp;$B1579,4)&amp;"/"&amp;RIGHT("00"&amp;$C1579,2)&amp;"/"&amp;RIGHT("00"&amp;$D1579,2)))</f>
        <v/>
      </c>
      <c r="F1579">
        <f>IF(OR($E1579="",$E1579="نامعتبر"),"",LEFT($E1579,4)&amp;"/"&amp;MID($E1579,6,2))</f>
        <v/>
      </c>
      <c r="G1579">
        <f>IF(OR($E1579="",$E1579="نامعتبر",Sync!$X1575=""),"",IF(AND(LEFT(UPPER(TRIM(Sync!$X1575)),2)="SL",IFERROR(VLOOKUP(Sync!$W1575,OpTbl,3,0),"")="فروش"),UPPER(TRIM(Sync!$X1575)),""))</f>
        <v/>
      </c>
      <c r="H1579">
        <f>IF($G1579="","",IF(Sync!$W1575="","",Sync!$W1575))</f>
        <v/>
      </c>
      <c r="I1579">
        <f>IF(OR($G1579="",Sync!$Y1575=""),"",Sync!$Y1575)</f>
        <v/>
      </c>
      <c r="J1579">
        <f>IF(OR($G1579="",Sync!$Z1575=""),"",Sync!$Z1575)</f>
        <v/>
      </c>
      <c r="K1579">
        <f>IF($G1579="",0,IF(Sync!$AA1575="",0,Sync!$AA1575))</f>
        <v/>
      </c>
      <c r="L1579">
        <f>IF($G1579="",0,IF(Sync!$AB1575="",0,Sync!$AB1575))</f>
        <v/>
      </c>
      <c r="M1579">
        <f>IF($G1579="","",IF($H1579="مرجوعی فروش",-1,1)*($K1579-$L1579*IFERROR(VLOOKUP("P01",ParamTbl,3,0),1.5)))</f>
        <v/>
      </c>
      <c r="N1579">
        <f>IF($G1579="",0,IF($H1579="مرجوعی فروش",-1,1)*IF(Sync!$AC1575="",0,Sync!$AC1575))</f>
        <v/>
      </c>
      <c r="O1579">
        <f>IF(OR($G1579="",Sync!$V1575=""),"",Sync!$V1575)</f>
        <v/>
      </c>
      <c r="P1579">
        <f>IF(OR($G1579="",Sync!$AD1575=""),"",Sync!$AD1575)</f>
        <v/>
      </c>
      <c r="Q1579">
        <f>IF($G1579="","",IF(Sync!$U1575="","0000",IF(AND(ISNUMBER(Sync!$U1575),Sync!$U1575&gt;=0,Sync!$U1575&lt;1),RIGHT("00"&amp;HOUR(Sync!$U1575),2)&amp;RIGHT("00"&amp;MINUTE(Sync!$U1575),2),IFERROR(RIGHT("00"&amp;VALUE(LEFT(Sync!$U1575,FIND(":",Sync!$U1575)-1)),2)&amp;RIGHT("00"&amp;VALUE(MID(Sync!$U1575,FIND(":",Sync!$U1575)+1,2)),2),"0000"))))</f>
        <v/>
      </c>
    </row>
    <row r="1580">
      <c r="A1580">
        <f>IF(Sync!$T1576="","",Sync!$T1576)</f>
        <v/>
      </c>
      <c r="B1580">
        <f>IF($A1580="","",IF(ISNUMBER($A1580),IF(AND($A1580&gt;=10000101,$A1580&lt;=99991231),INT($A1580/10000),""),IFERROR(VALUE(TRIM(LEFT($A1580,FIND("/",$A1580)-1))),"")))</f>
        <v/>
      </c>
      <c r="C1580">
        <f>IF(OR($A1580="",$B1580=""),"",IF(ISNUMBER($A1580),INT(MOD($A1580,10000)/100),IFERROR(VALUE(TRIM(LEFT(MID($A1580,FIND("/",$A1580)+1,20),FIND("/",MID($A1580,FIND("/",$A1580)+1,20))-1))),"")))</f>
        <v/>
      </c>
      <c r="D1580">
        <f>IF(OR($A1580="",$B1580=""),"",IF(ISNUMBER($A1580),MOD($A1580,100),IFERROR(VALUE(TRIM(MID(MID($A1580,FIND("/",$A1580)+1,20),FIND("/",MID($A1580,FIND("/",$A1580)+1,20))+1,20))),"")))</f>
        <v/>
      </c>
      <c r="E1580">
        <f>IF($A1580="","",IF(OR($B1580="",$C1580="",$D1580="",$B1580&lt;1300,$B1580&gt;1500,$C1580&lt;1,$C1580&gt;12,$D1580&lt;1,$D1580&gt;31),"نامعتبر",RIGHT("0000"&amp;$B1580,4)&amp;"/"&amp;RIGHT("00"&amp;$C1580,2)&amp;"/"&amp;RIGHT("00"&amp;$D1580,2)))</f>
        <v/>
      </c>
      <c r="F1580">
        <f>IF(OR($E1580="",$E1580="نامعتبر"),"",LEFT($E1580,4)&amp;"/"&amp;MID($E1580,6,2))</f>
        <v/>
      </c>
      <c r="G1580">
        <f>IF(OR($E1580="",$E1580="نامعتبر",Sync!$X1576=""),"",IF(AND(LEFT(UPPER(TRIM(Sync!$X1576)),2)="SL",IFERROR(VLOOKUP(Sync!$W1576,OpTbl,3,0),"")="فروش"),UPPER(TRIM(Sync!$X1576)),""))</f>
        <v/>
      </c>
      <c r="H1580">
        <f>IF($G1580="","",IF(Sync!$W1576="","",Sync!$W1576))</f>
        <v/>
      </c>
      <c r="I1580">
        <f>IF(OR($G1580="",Sync!$Y1576=""),"",Sync!$Y1576)</f>
        <v/>
      </c>
      <c r="J1580">
        <f>IF(OR($G1580="",Sync!$Z1576=""),"",Sync!$Z1576)</f>
        <v/>
      </c>
      <c r="K1580">
        <f>IF($G1580="",0,IF(Sync!$AA1576="",0,Sync!$AA1576))</f>
        <v/>
      </c>
      <c r="L1580">
        <f>IF($G1580="",0,IF(Sync!$AB1576="",0,Sync!$AB1576))</f>
        <v/>
      </c>
      <c r="M1580">
        <f>IF($G1580="","",IF($H1580="مرجوعی فروش",-1,1)*($K1580-$L1580*IFERROR(VLOOKUP("P01",ParamTbl,3,0),1.5)))</f>
        <v/>
      </c>
      <c r="N1580">
        <f>IF($G1580="",0,IF($H1580="مرجوعی فروش",-1,1)*IF(Sync!$AC1576="",0,Sync!$AC1576))</f>
        <v/>
      </c>
      <c r="O1580">
        <f>IF(OR($G1580="",Sync!$V1576=""),"",Sync!$V1576)</f>
        <v/>
      </c>
      <c r="P1580">
        <f>IF(OR($G1580="",Sync!$AD1576=""),"",Sync!$AD1576)</f>
        <v/>
      </c>
      <c r="Q1580">
        <f>IF($G1580="","",IF(Sync!$U1576="","0000",IF(AND(ISNUMBER(Sync!$U1576),Sync!$U1576&gt;=0,Sync!$U1576&lt;1),RIGHT("00"&amp;HOUR(Sync!$U1576),2)&amp;RIGHT("00"&amp;MINUTE(Sync!$U1576),2),IFERROR(RIGHT("00"&amp;VALUE(LEFT(Sync!$U1576,FIND(":",Sync!$U1576)-1)),2)&amp;RIGHT("00"&amp;VALUE(MID(Sync!$U1576,FIND(":",Sync!$U1576)+1,2)),2),"0000"))))</f>
        <v/>
      </c>
    </row>
    <row r="1581">
      <c r="A1581">
        <f>IF(Sync!$T1577="","",Sync!$T1577)</f>
        <v/>
      </c>
      <c r="B1581">
        <f>IF($A1581="","",IF(ISNUMBER($A1581),IF(AND($A1581&gt;=10000101,$A1581&lt;=99991231),INT($A1581/10000),""),IFERROR(VALUE(TRIM(LEFT($A1581,FIND("/",$A1581)-1))),"")))</f>
        <v/>
      </c>
      <c r="C1581">
        <f>IF(OR($A1581="",$B1581=""),"",IF(ISNUMBER($A1581),INT(MOD($A1581,10000)/100),IFERROR(VALUE(TRIM(LEFT(MID($A1581,FIND("/",$A1581)+1,20),FIND("/",MID($A1581,FIND("/",$A1581)+1,20))-1))),"")))</f>
        <v/>
      </c>
      <c r="D1581">
        <f>IF(OR($A1581="",$B1581=""),"",IF(ISNUMBER($A1581),MOD($A1581,100),IFERROR(VALUE(TRIM(MID(MID($A1581,FIND("/",$A1581)+1,20),FIND("/",MID($A1581,FIND("/",$A1581)+1,20))+1,20))),"")))</f>
        <v/>
      </c>
      <c r="E1581">
        <f>IF($A1581="","",IF(OR($B1581="",$C1581="",$D1581="",$B1581&lt;1300,$B1581&gt;1500,$C1581&lt;1,$C1581&gt;12,$D1581&lt;1,$D1581&gt;31),"نامعتبر",RIGHT("0000"&amp;$B1581,4)&amp;"/"&amp;RIGHT("00"&amp;$C1581,2)&amp;"/"&amp;RIGHT("00"&amp;$D1581,2)))</f>
        <v/>
      </c>
      <c r="F1581">
        <f>IF(OR($E1581="",$E1581="نامعتبر"),"",LEFT($E1581,4)&amp;"/"&amp;MID($E1581,6,2))</f>
        <v/>
      </c>
      <c r="G1581">
        <f>IF(OR($E1581="",$E1581="نامعتبر",Sync!$X1577=""),"",IF(AND(LEFT(UPPER(TRIM(Sync!$X1577)),2)="SL",IFERROR(VLOOKUP(Sync!$W1577,OpTbl,3,0),"")="فروش"),UPPER(TRIM(Sync!$X1577)),""))</f>
        <v/>
      </c>
      <c r="H1581">
        <f>IF($G1581="","",IF(Sync!$W1577="","",Sync!$W1577))</f>
        <v/>
      </c>
      <c r="I1581">
        <f>IF(OR($G1581="",Sync!$Y1577=""),"",Sync!$Y1577)</f>
        <v/>
      </c>
      <c r="J1581">
        <f>IF(OR($G1581="",Sync!$Z1577=""),"",Sync!$Z1577)</f>
        <v/>
      </c>
      <c r="K1581">
        <f>IF($G1581="",0,IF(Sync!$AA1577="",0,Sync!$AA1577))</f>
        <v/>
      </c>
      <c r="L1581">
        <f>IF($G1581="",0,IF(Sync!$AB1577="",0,Sync!$AB1577))</f>
        <v/>
      </c>
      <c r="M1581">
        <f>IF($G1581="","",IF($H1581="مرجوعی فروش",-1,1)*($K1581-$L1581*IFERROR(VLOOKUP("P01",ParamTbl,3,0),1.5)))</f>
        <v/>
      </c>
      <c r="N1581">
        <f>IF($G1581="",0,IF($H1581="مرجوعی فروش",-1,1)*IF(Sync!$AC1577="",0,Sync!$AC1577))</f>
        <v/>
      </c>
      <c r="O1581">
        <f>IF(OR($G1581="",Sync!$V1577=""),"",Sync!$V1577)</f>
        <v/>
      </c>
      <c r="P1581">
        <f>IF(OR($G1581="",Sync!$AD1577=""),"",Sync!$AD1577)</f>
        <v/>
      </c>
      <c r="Q1581">
        <f>IF($G1581="","",IF(Sync!$U1577="","0000",IF(AND(ISNUMBER(Sync!$U1577),Sync!$U1577&gt;=0,Sync!$U1577&lt;1),RIGHT("00"&amp;HOUR(Sync!$U1577),2)&amp;RIGHT("00"&amp;MINUTE(Sync!$U1577),2),IFERROR(RIGHT("00"&amp;VALUE(LEFT(Sync!$U1577,FIND(":",Sync!$U1577)-1)),2)&amp;RIGHT("00"&amp;VALUE(MID(Sync!$U1577,FIND(":",Sync!$U1577)+1,2)),2),"0000"))))</f>
        <v/>
      </c>
    </row>
    <row r="1582">
      <c r="A1582">
        <f>IF(Sync!$T1578="","",Sync!$T1578)</f>
        <v/>
      </c>
      <c r="B1582">
        <f>IF($A1582="","",IF(ISNUMBER($A1582),IF(AND($A1582&gt;=10000101,$A1582&lt;=99991231),INT($A1582/10000),""),IFERROR(VALUE(TRIM(LEFT($A1582,FIND("/",$A1582)-1))),"")))</f>
        <v/>
      </c>
      <c r="C1582">
        <f>IF(OR($A1582="",$B1582=""),"",IF(ISNUMBER($A1582),INT(MOD($A1582,10000)/100),IFERROR(VALUE(TRIM(LEFT(MID($A1582,FIND("/",$A1582)+1,20),FIND("/",MID($A1582,FIND("/",$A1582)+1,20))-1))),"")))</f>
        <v/>
      </c>
      <c r="D1582">
        <f>IF(OR($A1582="",$B1582=""),"",IF(ISNUMBER($A1582),MOD($A1582,100),IFERROR(VALUE(TRIM(MID(MID($A1582,FIND("/",$A1582)+1,20),FIND("/",MID($A1582,FIND("/",$A1582)+1,20))+1,20))),"")))</f>
        <v/>
      </c>
      <c r="E1582">
        <f>IF($A1582="","",IF(OR($B1582="",$C1582="",$D1582="",$B1582&lt;1300,$B1582&gt;1500,$C1582&lt;1,$C1582&gt;12,$D1582&lt;1,$D1582&gt;31),"نامعتبر",RIGHT("0000"&amp;$B1582,4)&amp;"/"&amp;RIGHT("00"&amp;$C1582,2)&amp;"/"&amp;RIGHT("00"&amp;$D1582,2)))</f>
        <v/>
      </c>
      <c r="F1582">
        <f>IF(OR($E1582="",$E1582="نامعتبر"),"",LEFT($E1582,4)&amp;"/"&amp;MID($E1582,6,2))</f>
        <v/>
      </c>
      <c r="G1582">
        <f>IF(OR($E1582="",$E1582="نامعتبر",Sync!$X1578=""),"",IF(AND(LEFT(UPPER(TRIM(Sync!$X1578)),2)="SL",IFERROR(VLOOKUP(Sync!$W1578,OpTbl,3,0),"")="فروش"),UPPER(TRIM(Sync!$X1578)),""))</f>
        <v/>
      </c>
      <c r="H1582">
        <f>IF($G1582="","",IF(Sync!$W1578="","",Sync!$W1578))</f>
        <v/>
      </c>
      <c r="I1582">
        <f>IF(OR($G1582="",Sync!$Y1578=""),"",Sync!$Y1578)</f>
        <v/>
      </c>
      <c r="J1582">
        <f>IF(OR($G1582="",Sync!$Z1578=""),"",Sync!$Z1578)</f>
        <v/>
      </c>
      <c r="K1582">
        <f>IF($G1582="",0,IF(Sync!$AA1578="",0,Sync!$AA1578))</f>
        <v/>
      </c>
      <c r="L1582">
        <f>IF($G1582="",0,IF(Sync!$AB1578="",0,Sync!$AB1578))</f>
        <v/>
      </c>
      <c r="M1582">
        <f>IF($G1582="","",IF($H1582="مرجوعی فروش",-1,1)*($K1582-$L1582*IFERROR(VLOOKUP("P01",ParamTbl,3,0),1.5)))</f>
        <v/>
      </c>
      <c r="N1582">
        <f>IF($G1582="",0,IF($H1582="مرجوعی فروش",-1,1)*IF(Sync!$AC1578="",0,Sync!$AC1578))</f>
        <v/>
      </c>
      <c r="O1582">
        <f>IF(OR($G1582="",Sync!$V1578=""),"",Sync!$V1578)</f>
        <v/>
      </c>
      <c r="P1582">
        <f>IF(OR($G1582="",Sync!$AD1578=""),"",Sync!$AD1578)</f>
        <v/>
      </c>
      <c r="Q1582">
        <f>IF($G1582="","",IF(Sync!$U1578="","0000",IF(AND(ISNUMBER(Sync!$U1578),Sync!$U1578&gt;=0,Sync!$U1578&lt;1),RIGHT("00"&amp;HOUR(Sync!$U1578),2)&amp;RIGHT("00"&amp;MINUTE(Sync!$U1578),2),IFERROR(RIGHT("00"&amp;VALUE(LEFT(Sync!$U1578,FIND(":",Sync!$U1578)-1)),2)&amp;RIGHT("00"&amp;VALUE(MID(Sync!$U1578,FIND(":",Sync!$U1578)+1,2)),2),"0000"))))</f>
        <v/>
      </c>
    </row>
    <row r="1583">
      <c r="A1583">
        <f>IF(Sync!$T1579="","",Sync!$T1579)</f>
        <v/>
      </c>
      <c r="B1583">
        <f>IF($A1583="","",IF(ISNUMBER($A1583),IF(AND($A1583&gt;=10000101,$A1583&lt;=99991231),INT($A1583/10000),""),IFERROR(VALUE(TRIM(LEFT($A1583,FIND("/",$A1583)-1))),"")))</f>
        <v/>
      </c>
      <c r="C1583">
        <f>IF(OR($A1583="",$B1583=""),"",IF(ISNUMBER($A1583),INT(MOD($A1583,10000)/100),IFERROR(VALUE(TRIM(LEFT(MID($A1583,FIND("/",$A1583)+1,20),FIND("/",MID($A1583,FIND("/",$A1583)+1,20))-1))),"")))</f>
        <v/>
      </c>
      <c r="D1583">
        <f>IF(OR($A1583="",$B1583=""),"",IF(ISNUMBER($A1583),MOD($A1583,100),IFERROR(VALUE(TRIM(MID(MID($A1583,FIND("/",$A1583)+1,20),FIND("/",MID($A1583,FIND("/",$A1583)+1,20))+1,20))),"")))</f>
        <v/>
      </c>
      <c r="E1583">
        <f>IF($A1583="","",IF(OR($B1583="",$C1583="",$D1583="",$B1583&lt;1300,$B1583&gt;1500,$C1583&lt;1,$C1583&gt;12,$D1583&lt;1,$D1583&gt;31),"نامعتبر",RIGHT("0000"&amp;$B1583,4)&amp;"/"&amp;RIGHT("00"&amp;$C1583,2)&amp;"/"&amp;RIGHT("00"&amp;$D1583,2)))</f>
        <v/>
      </c>
      <c r="F1583">
        <f>IF(OR($E1583="",$E1583="نامعتبر"),"",LEFT($E1583,4)&amp;"/"&amp;MID($E1583,6,2))</f>
        <v/>
      </c>
      <c r="G1583">
        <f>IF(OR($E1583="",$E1583="نامعتبر",Sync!$X1579=""),"",IF(AND(LEFT(UPPER(TRIM(Sync!$X1579)),2)="SL",IFERROR(VLOOKUP(Sync!$W1579,OpTbl,3,0),"")="فروش"),UPPER(TRIM(Sync!$X1579)),""))</f>
        <v/>
      </c>
      <c r="H1583">
        <f>IF($G1583="","",IF(Sync!$W1579="","",Sync!$W1579))</f>
        <v/>
      </c>
      <c r="I1583">
        <f>IF(OR($G1583="",Sync!$Y1579=""),"",Sync!$Y1579)</f>
        <v/>
      </c>
      <c r="J1583">
        <f>IF(OR($G1583="",Sync!$Z1579=""),"",Sync!$Z1579)</f>
        <v/>
      </c>
      <c r="K1583">
        <f>IF($G1583="",0,IF(Sync!$AA1579="",0,Sync!$AA1579))</f>
        <v/>
      </c>
      <c r="L1583">
        <f>IF($G1583="",0,IF(Sync!$AB1579="",0,Sync!$AB1579))</f>
        <v/>
      </c>
      <c r="M1583">
        <f>IF($G1583="","",IF($H1583="مرجوعی فروش",-1,1)*($K1583-$L1583*IFERROR(VLOOKUP("P01",ParamTbl,3,0),1.5)))</f>
        <v/>
      </c>
      <c r="N1583">
        <f>IF($G1583="",0,IF($H1583="مرجوعی فروش",-1,1)*IF(Sync!$AC1579="",0,Sync!$AC1579))</f>
        <v/>
      </c>
      <c r="O1583">
        <f>IF(OR($G1583="",Sync!$V1579=""),"",Sync!$V1579)</f>
        <v/>
      </c>
      <c r="P1583">
        <f>IF(OR($G1583="",Sync!$AD1579=""),"",Sync!$AD1579)</f>
        <v/>
      </c>
      <c r="Q1583">
        <f>IF($G1583="","",IF(Sync!$U1579="","0000",IF(AND(ISNUMBER(Sync!$U1579),Sync!$U1579&gt;=0,Sync!$U1579&lt;1),RIGHT("00"&amp;HOUR(Sync!$U1579),2)&amp;RIGHT("00"&amp;MINUTE(Sync!$U1579),2),IFERROR(RIGHT("00"&amp;VALUE(LEFT(Sync!$U1579,FIND(":",Sync!$U1579)-1)),2)&amp;RIGHT("00"&amp;VALUE(MID(Sync!$U1579,FIND(":",Sync!$U1579)+1,2)),2),"0000"))))</f>
        <v/>
      </c>
    </row>
    <row r="1584">
      <c r="A1584">
        <f>IF(Sync!$T1580="","",Sync!$T1580)</f>
        <v/>
      </c>
      <c r="B1584">
        <f>IF($A1584="","",IF(ISNUMBER($A1584),IF(AND($A1584&gt;=10000101,$A1584&lt;=99991231),INT($A1584/10000),""),IFERROR(VALUE(TRIM(LEFT($A1584,FIND("/",$A1584)-1))),"")))</f>
        <v/>
      </c>
      <c r="C1584">
        <f>IF(OR($A1584="",$B1584=""),"",IF(ISNUMBER($A1584),INT(MOD($A1584,10000)/100),IFERROR(VALUE(TRIM(LEFT(MID($A1584,FIND("/",$A1584)+1,20),FIND("/",MID($A1584,FIND("/",$A1584)+1,20))-1))),"")))</f>
        <v/>
      </c>
      <c r="D1584">
        <f>IF(OR($A1584="",$B1584=""),"",IF(ISNUMBER($A1584),MOD($A1584,100),IFERROR(VALUE(TRIM(MID(MID($A1584,FIND("/",$A1584)+1,20),FIND("/",MID($A1584,FIND("/",$A1584)+1,20))+1,20))),"")))</f>
        <v/>
      </c>
      <c r="E1584">
        <f>IF($A1584="","",IF(OR($B1584="",$C1584="",$D1584="",$B1584&lt;1300,$B1584&gt;1500,$C1584&lt;1,$C1584&gt;12,$D1584&lt;1,$D1584&gt;31),"نامعتبر",RIGHT("0000"&amp;$B1584,4)&amp;"/"&amp;RIGHT("00"&amp;$C1584,2)&amp;"/"&amp;RIGHT("00"&amp;$D1584,2)))</f>
        <v/>
      </c>
      <c r="F1584">
        <f>IF(OR($E1584="",$E1584="نامعتبر"),"",LEFT($E1584,4)&amp;"/"&amp;MID($E1584,6,2))</f>
        <v/>
      </c>
      <c r="G1584">
        <f>IF(OR($E1584="",$E1584="نامعتبر",Sync!$X1580=""),"",IF(AND(LEFT(UPPER(TRIM(Sync!$X1580)),2)="SL",IFERROR(VLOOKUP(Sync!$W1580,OpTbl,3,0),"")="فروش"),UPPER(TRIM(Sync!$X1580)),""))</f>
        <v/>
      </c>
      <c r="H1584">
        <f>IF($G1584="","",IF(Sync!$W1580="","",Sync!$W1580))</f>
        <v/>
      </c>
      <c r="I1584">
        <f>IF(OR($G1584="",Sync!$Y1580=""),"",Sync!$Y1580)</f>
        <v/>
      </c>
      <c r="J1584">
        <f>IF(OR($G1584="",Sync!$Z1580=""),"",Sync!$Z1580)</f>
        <v/>
      </c>
      <c r="K1584">
        <f>IF($G1584="",0,IF(Sync!$AA1580="",0,Sync!$AA1580))</f>
        <v/>
      </c>
      <c r="L1584">
        <f>IF($G1584="",0,IF(Sync!$AB1580="",0,Sync!$AB1580))</f>
        <v/>
      </c>
      <c r="M1584">
        <f>IF($G1584="","",IF($H1584="مرجوعی فروش",-1,1)*($K1584-$L1584*IFERROR(VLOOKUP("P01",ParamTbl,3,0),1.5)))</f>
        <v/>
      </c>
      <c r="N1584">
        <f>IF($G1584="",0,IF($H1584="مرجوعی فروش",-1,1)*IF(Sync!$AC1580="",0,Sync!$AC1580))</f>
        <v/>
      </c>
      <c r="O1584">
        <f>IF(OR($G1584="",Sync!$V1580=""),"",Sync!$V1580)</f>
        <v/>
      </c>
      <c r="P1584">
        <f>IF(OR($G1584="",Sync!$AD1580=""),"",Sync!$AD1580)</f>
        <v/>
      </c>
      <c r="Q1584">
        <f>IF($G1584="","",IF(Sync!$U1580="","0000",IF(AND(ISNUMBER(Sync!$U1580),Sync!$U1580&gt;=0,Sync!$U1580&lt;1),RIGHT("00"&amp;HOUR(Sync!$U1580),2)&amp;RIGHT("00"&amp;MINUTE(Sync!$U1580),2),IFERROR(RIGHT("00"&amp;VALUE(LEFT(Sync!$U1580,FIND(":",Sync!$U1580)-1)),2)&amp;RIGHT("00"&amp;VALUE(MID(Sync!$U1580,FIND(":",Sync!$U1580)+1,2)),2),"0000"))))</f>
        <v/>
      </c>
    </row>
    <row r="1585">
      <c r="A1585">
        <f>IF(Sync!$T1581="","",Sync!$T1581)</f>
        <v/>
      </c>
      <c r="B1585">
        <f>IF($A1585="","",IF(ISNUMBER($A1585),IF(AND($A1585&gt;=10000101,$A1585&lt;=99991231),INT($A1585/10000),""),IFERROR(VALUE(TRIM(LEFT($A1585,FIND("/",$A1585)-1))),"")))</f>
        <v/>
      </c>
      <c r="C1585">
        <f>IF(OR($A1585="",$B1585=""),"",IF(ISNUMBER($A1585),INT(MOD($A1585,10000)/100),IFERROR(VALUE(TRIM(LEFT(MID($A1585,FIND("/",$A1585)+1,20),FIND("/",MID($A1585,FIND("/",$A1585)+1,20))-1))),"")))</f>
        <v/>
      </c>
      <c r="D1585">
        <f>IF(OR($A1585="",$B1585=""),"",IF(ISNUMBER($A1585),MOD($A1585,100),IFERROR(VALUE(TRIM(MID(MID($A1585,FIND("/",$A1585)+1,20),FIND("/",MID($A1585,FIND("/",$A1585)+1,20))+1,20))),"")))</f>
        <v/>
      </c>
      <c r="E1585">
        <f>IF($A1585="","",IF(OR($B1585="",$C1585="",$D1585="",$B1585&lt;1300,$B1585&gt;1500,$C1585&lt;1,$C1585&gt;12,$D1585&lt;1,$D1585&gt;31),"نامعتبر",RIGHT("0000"&amp;$B1585,4)&amp;"/"&amp;RIGHT("00"&amp;$C1585,2)&amp;"/"&amp;RIGHT("00"&amp;$D1585,2)))</f>
        <v/>
      </c>
      <c r="F1585">
        <f>IF(OR($E1585="",$E1585="نامعتبر"),"",LEFT($E1585,4)&amp;"/"&amp;MID($E1585,6,2))</f>
        <v/>
      </c>
      <c r="G1585">
        <f>IF(OR($E1585="",$E1585="نامعتبر",Sync!$X1581=""),"",IF(AND(LEFT(UPPER(TRIM(Sync!$X1581)),2)="SL",IFERROR(VLOOKUP(Sync!$W1581,OpTbl,3,0),"")="فروش"),UPPER(TRIM(Sync!$X1581)),""))</f>
        <v/>
      </c>
      <c r="H1585">
        <f>IF($G1585="","",IF(Sync!$W1581="","",Sync!$W1581))</f>
        <v/>
      </c>
      <c r="I1585">
        <f>IF(OR($G1585="",Sync!$Y1581=""),"",Sync!$Y1581)</f>
        <v/>
      </c>
      <c r="J1585">
        <f>IF(OR($G1585="",Sync!$Z1581=""),"",Sync!$Z1581)</f>
        <v/>
      </c>
      <c r="K1585">
        <f>IF($G1585="",0,IF(Sync!$AA1581="",0,Sync!$AA1581))</f>
        <v/>
      </c>
      <c r="L1585">
        <f>IF($G1585="",0,IF(Sync!$AB1581="",0,Sync!$AB1581))</f>
        <v/>
      </c>
      <c r="M1585">
        <f>IF($G1585="","",IF($H1585="مرجوعی فروش",-1,1)*($K1585-$L1585*IFERROR(VLOOKUP("P01",ParamTbl,3,0),1.5)))</f>
        <v/>
      </c>
      <c r="N1585">
        <f>IF($G1585="",0,IF($H1585="مرجوعی فروش",-1,1)*IF(Sync!$AC1581="",0,Sync!$AC1581))</f>
        <v/>
      </c>
      <c r="O1585">
        <f>IF(OR($G1585="",Sync!$V1581=""),"",Sync!$V1581)</f>
        <v/>
      </c>
      <c r="P1585">
        <f>IF(OR($G1585="",Sync!$AD1581=""),"",Sync!$AD1581)</f>
        <v/>
      </c>
      <c r="Q1585">
        <f>IF($G1585="","",IF(Sync!$U1581="","0000",IF(AND(ISNUMBER(Sync!$U1581),Sync!$U1581&gt;=0,Sync!$U1581&lt;1),RIGHT("00"&amp;HOUR(Sync!$U1581),2)&amp;RIGHT("00"&amp;MINUTE(Sync!$U1581),2),IFERROR(RIGHT("00"&amp;VALUE(LEFT(Sync!$U1581,FIND(":",Sync!$U1581)-1)),2)&amp;RIGHT("00"&amp;VALUE(MID(Sync!$U1581,FIND(":",Sync!$U1581)+1,2)),2),"0000"))))</f>
        <v/>
      </c>
    </row>
    <row r="1586">
      <c r="A1586">
        <f>IF(Sync!$T1582="","",Sync!$T1582)</f>
        <v/>
      </c>
      <c r="B1586">
        <f>IF($A1586="","",IF(ISNUMBER($A1586),IF(AND($A1586&gt;=10000101,$A1586&lt;=99991231),INT($A1586/10000),""),IFERROR(VALUE(TRIM(LEFT($A1586,FIND("/",$A1586)-1))),"")))</f>
        <v/>
      </c>
      <c r="C1586">
        <f>IF(OR($A1586="",$B1586=""),"",IF(ISNUMBER($A1586),INT(MOD($A1586,10000)/100),IFERROR(VALUE(TRIM(LEFT(MID($A1586,FIND("/",$A1586)+1,20),FIND("/",MID($A1586,FIND("/",$A1586)+1,20))-1))),"")))</f>
        <v/>
      </c>
      <c r="D1586">
        <f>IF(OR($A1586="",$B1586=""),"",IF(ISNUMBER($A1586),MOD($A1586,100),IFERROR(VALUE(TRIM(MID(MID($A1586,FIND("/",$A1586)+1,20),FIND("/",MID($A1586,FIND("/",$A1586)+1,20))+1,20))),"")))</f>
        <v/>
      </c>
      <c r="E1586">
        <f>IF($A1586="","",IF(OR($B1586="",$C1586="",$D1586="",$B1586&lt;1300,$B1586&gt;1500,$C1586&lt;1,$C1586&gt;12,$D1586&lt;1,$D1586&gt;31),"نامعتبر",RIGHT("0000"&amp;$B1586,4)&amp;"/"&amp;RIGHT("00"&amp;$C1586,2)&amp;"/"&amp;RIGHT("00"&amp;$D1586,2)))</f>
        <v/>
      </c>
      <c r="F1586">
        <f>IF(OR($E1586="",$E1586="نامعتبر"),"",LEFT($E1586,4)&amp;"/"&amp;MID($E1586,6,2))</f>
        <v/>
      </c>
      <c r="G1586">
        <f>IF(OR($E1586="",$E1586="نامعتبر",Sync!$X1582=""),"",IF(AND(LEFT(UPPER(TRIM(Sync!$X1582)),2)="SL",IFERROR(VLOOKUP(Sync!$W1582,OpTbl,3,0),"")="فروش"),UPPER(TRIM(Sync!$X1582)),""))</f>
        <v/>
      </c>
      <c r="H1586">
        <f>IF($G1586="","",IF(Sync!$W1582="","",Sync!$W1582))</f>
        <v/>
      </c>
      <c r="I1586">
        <f>IF(OR($G1586="",Sync!$Y1582=""),"",Sync!$Y1582)</f>
        <v/>
      </c>
      <c r="J1586">
        <f>IF(OR($G1586="",Sync!$Z1582=""),"",Sync!$Z1582)</f>
        <v/>
      </c>
      <c r="K1586">
        <f>IF($G1586="",0,IF(Sync!$AA1582="",0,Sync!$AA1582))</f>
        <v/>
      </c>
      <c r="L1586">
        <f>IF($G1586="",0,IF(Sync!$AB1582="",0,Sync!$AB1582))</f>
        <v/>
      </c>
      <c r="M1586">
        <f>IF($G1586="","",IF($H1586="مرجوعی فروش",-1,1)*($K1586-$L1586*IFERROR(VLOOKUP("P01",ParamTbl,3,0),1.5)))</f>
        <v/>
      </c>
      <c r="N1586">
        <f>IF($G1586="",0,IF($H1586="مرجوعی فروش",-1,1)*IF(Sync!$AC1582="",0,Sync!$AC1582))</f>
        <v/>
      </c>
      <c r="O1586">
        <f>IF(OR($G1586="",Sync!$V1582=""),"",Sync!$V1582)</f>
        <v/>
      </c>
      <c r="P1586">
        <f>IF(OR($G1586="",Sync!$AD1582=""),"",Sync!$AD1582)</f>
        <v/>
      </c>
      <c r="Q1586">
        <f>IF($G1586="","",IF(Sync!$U1582="","0000",IF(AND(ISNUMBER(Sync!$U1582),Sync!$U1582&gt;=0,Sync!$U1582&lt;1),RIGHT("00"&amp;HOUR(Sync!$U1582),2)&amp;RIGHT("00"&amp;MINUTE(Sync!$U1582),2),IFERROR(RIGHT("00"&amp;VALUE(LEFT(Sync!$U1582,FIND(":",Sync!$U1582)-1)),2)&amp;RIGHT("00"&amp;VALUE(MID(Sync!$U1582,FIND(":",Sync!$U1582)+1,2)),2),"0000"))))</f>
        <v/>
      </c>
    </row>
    <row r="1587">
      <c r="A1587">
        <f>IF(Sync!$T1583="","",Sync!$T1583)</f>
        <v/>
      </c>
      <c r="B1587">
        <f>IF($A1587="","",IF(ISNUMBER($A1587),IF(AND($A1587&gt;=10000101,$A1587&lt;=99991231),INT($A1587/10000),""),IFERROR(VALUE(TRIM(LEFT($A1587,FIND("/",$A1587)-1))),"")))</f>
        <v/>
      </c>
      <c r="C1587">
        <f>IF(OR($A1587="",$B1587=""),"",IF(ISNUMBER($A1587),INT(MOD($A1587,10000)/100),IFERROR(VALUE(TRIM(LEFT(MID($A1587,FIND("/",$A1587)+1,20),FIND("/",MID($A1587,FIND("/",$A1587)+1,20))-1))),"")))</f>
        <v/>
      </c>
      <c r="D1587">
        <f>IF(OR($A1587="",$B1587=""),"",IF(ISNUMBER($A1587),MOD($A1587,100),IFERROR(VALUE(TRIM(MID(MID($A1587,FIND("/",$A1587)+1,20),FIND("/",MID($A1587,FIND("/",$A1587)+1,20))+1,20))),"")))</f>
        <v/>
      </c>
      <c r="E1587">
        <f>IF($A1587="","",IF(OR($B1587="",$C1587="",$D1587="",$B1587&lt;1300,$B1587&gt;1500,$C1587&lt;1,$C1587&gt;12,$D1587&lt;1,$D1587&gt;31),"نامعتبر",RIGHT("0000"&amp;$B1587,4)&amp;"/"&amp;RIGHT("00"&amp;$C1587,2)&amp;"/"&amp;RIGHT("00"&amp;$D1587,2)))</f>
        <v/>
      </c>
      <c r="F1587">
        <f>IF(OR($E1587="",$E1587="نامعتبر"),"",LEFT($E1587,4)&amp;"/"&amp;MID($E1587,6,2))</f>
        <v/>
      </c>
      <c r="G1587">
        <f>IF(OR($E1587="",$E1587="نامعتبر",Sync!$X1583=""),"",IF(AND(LEFT(UPPER(TRIM(Sync!$X1583)),2)="SL",IFERROR(VLOOKUP(Sync!$W1583,OpTbl,3,0),"")="فروش"),UPPER(TRIM(Sync!$X1583)),""))</f>
        <v/>
      </c>
      <c r="H1587">
        <f>IF($G1587="","",IF(Sync!$W1583="","",Sync!$W1583))</f>
        <v/>
      </c>
      <c r="I1587">
        <f>IF(OR($G1587="",Sync!$Y1583=""),"",Sync!$Y1583)</f>
        <v/>
      </c>
      <c r="J1587">
        <f>IF(OR($G1587="",Sync!$Z1583=""),"",Sync!$Z1583)</f>
        <v/>
      </c>
      <c r="K1587">
        <f>IF($G1587="",0,IF(Sync!$AA1583="",0,Sync!$AA1583))</f>
        <v/>
      </c>
      <c r="L1587">
        <f>IF($G1587="",0,IF(Sync!$AB1583="",0,Sync!$AB1583))</f>
        <v/>
      </c>
      <c r="M1587">
        <f>IF($G1587="","",IF($H1587="مرجوعی فروش",-1,1)*($K1587-$L1587*IFERROR(VLOOKUP("P01",ParamTbl,3,0),1.5)))</f>
        <v/>
      </c>
      <c r="N1587">
        <f>IF($G1587="",0,IF($H1587="مرجوعی فروش",-1,1)*IF(Sync!$AC1583="",0,Sync!$AC1583))</f>
        <v/>
      </c>
      <c r="O1587">
        <f>IF(OR($G1587="",Sync!$V1583=""),"",Sync!$V1583)</f>
        <v/>
      </c>
      <c r="P1587">
        <f>IF(OR($G1587="",Sync!$AD1583=""),"",Sync!$AD1583)</f>
        <v/>
      </c>
      <c r="Q1587">
        <f>IF($G1587="","",IF(Sync!$U1583="","0000",IF(AND(ISNUMBER(Sync!$U1583),Sync!$U1583&gt;=0,Sync!$U1583&lt;1),RIGHT("00"&amp;HOUR(Sync!$U1583),2)&amp;RIGHT("00"&amp;MINUTE(Sync!$U1583),2),IFERROR(RIGHT("00"&amp;VALUE(LEFT(Sync!$U1583,FIND(":",Sync!$U1583)-1)),2)&amp;RIGHT("00"&amp;VALUE(MID(Sync!$U1583,FIND(":",Sync!$U1583)+1,2)),2),"0000"))))</f>
        <v/>
      </c>
    </row>
    <row r="1588">
      <c r="A1588">
        <f>IF(Sync!$T1584="","",Sync!$T1584)</f>
        <v/>
      </c>
      <c r="B1588">
        <f>IF($A1588="","",IF(ISNUMBER($A1588),IF(AND($A1588&gt;=10000101,$A1588&lt;=99991231),INT($A1588/10000),""),IFERROR(VALUE(TRIM(LEFT($A1588,FIND("/",$A1588)-1))),"")))</f>
        <v/>
      </c>
      <c r="C1588">
        <f>IF(OR($A1588="",$B1588=""),"",IF(ISNUMBER($A1588),INT(MOD($A1588,10000)/100),IFERROR(VALUE(TRIM(LEFT(MID($A1588,FIND("/",$A1588)+1,20),FIND("/",MID($A1588,FIND("/",$A1588)+1,20))-1))),"")))</f>
        <v/>
      </c>
      <c r="D1588">
        <f>IF(OR($A1588="",$B1588=""),"",IF(ISNUMBER($A1588),MOD($A1588,100),IFERROR(VALUE(TRIM(MID(MID($A1588,FIND("/",$A1588)+1,20),FIND("/",MID($A1588,FIND("/",$A1588)+1,20))+1,20))),"")))</f>
        <v/>
      </c>
      <c r="E1588">
        <f>IF($A1588="","",IF(OR($B1588="",$C1588="",$D1588="",$B1588&lt;1300,$B1588&gt;1500,$C1588&lt;1,$C1588&gt;12,$D1588&lt;1,$D1588&gt;31),"نامعتبر",RIGHT("0000"&amp;$B1588,4)&amp;"/"&amp;RIGHT("00"&amp;$C1588,2)&amp;"/"&amp;RIGHT("00"&amp;$D1588,2)))</f>
        <v/>
      </c>
      <c r="F1588">
        <f>IF(OR($E1588="",$E1588="نامعتبر"),"",LEFT($E1588,4)&amp;"/"&amp;MID($E1588,6,2))</f>
        <v/>
      </c>
      <c r="G1588">
        <f>IF(OR($E1588="",$E1588="نامعتبر",Sync!$X1584=""),"",IF(AND(LEFT(UPPER(TRIM(Sync!$X1584)),2)="SL",IFERROR(VLOOKUP(Sync!$W1584,OpTbl,3,0),"")="فروش"),UPPER(TRIM(Sync!$X1584)),""))</f>
        <v/>
      </c>
      <c r="H1588">
        <f>IF($G1588="","",IF(Sync!$W1584="","",Sync!$W1584))</f>
        <v/>
      </c>
      <c r="I1588">
        <f>IF(OR($G1588="",Sync!$Y1584=""),"",Sync!$Y1584)</f>
        <v/>
      </c>
      <c r="J1588">
        <f>IF(OR($G1588="",Sync!$Z1584=""),"",Sync!$Z1584)</f>
        <v/>
      </c>
      <c r="K1588">
        <f>IF($G1588="",0,IF(Sync!$AA1584="",0,Sync!$AA1584))</f>
        <v/>
      </c>
      <c r="L1588">
        <f>IF($G1588="",0,IF(Sync!$AB1584="",0,Sync!$AB1584))</f>
        <v/>
      </c>
      <c r="M1588">
        <f>IF($G1588="","",IF($H1588="مرجوعی فروش",-1,1)*($K1588-$L1588*IFERROR(VLOOKUP("P01",ParamTbl,3,0),1.5)))</f>
        <v/>
      </c>
      <c r="N1588">
        <f>IF($G1588="",0,IF($H1588="مرجوعی فروش",-1,1)*IF(Sync!$AC1584="",0,Sync!$AC1584))</f>
        <v/>
      </c>
      <c r="O1588">
        <f>IF(OR($G1588="",Sync!$V1584=""),"",Sync!$V1584)</f>
        <v/>
      </c>
      <c r="P1588">
        <f>IF(OR($G1588="",Sync!$AD1584=""),"",Sync!$AD1584)</f>
        <v/>
      </c>
      <c r="Q1588">
        <f>IF($G1588="","",IF(Sync!$U1584="","0000",IF(AND(ISNUMBER(Sync!$U1584),Sync!$U1584&gt;=0,Sync!$U1584&lt;1),RIGHT("00"&amp;HOUR(Sync!$U1584),2)&amp;RIGHT("00"&amp;MINUTE(Sync!$U1584),2),IFERROR(RIGHT("00"&amp;VALUE(LEFT(Sync!$U1584,FIND(":",Sync!$U1584)-1)),2)&amp;RIGHT("00"&amp;VALUE(MID(Sync!$U1584,FIND(":",Sync!$U1584)+1,2)),2),"0000"))))</f>
        <v/>
      </c>
    </row>
    <row r="1589">
      <c r="A1589">
        <f>IF(Sync!$T1585="","",Sync!$T1585)</f>
        <v/>
      </c>
      <c r="B1589">
        <f>IF($A1589="","",IF(ISNUMBER($A1589),IF(AND($A1589&gt;=10000101,$A1589&lt;=99991231),INT($A1589/10000),""),IFERROR(VALUE(TRIM(LEFT($A1589,FIND("/",$A1589)-1))),"")))</f>
        <v/>
      </c>
      <c r="C1589">
        <f>IF(OR($A1589="",$B1589=""),"",IF(ISNUMBER($A1589),INT(MOD($A1589,10000)/100),IFERROR(VALUE(TRIM(LEFT(MID($A1589,FIND("/",$A1589)+1,20),FIND("/",MID($A1589,FIND("/",$A1589)+1,20))-1))),"")))</f>
        <v/>
      </c>
      <c r="D1589">
        <f>IF(OR($A1589="",$B1589=""),"",IF(ISNUMBER($A1589),MOD($A1589,100),IFERROR(VALUE(TRIM(MID(MID($A1589,FIND("/",$A1589)+1,20),FIND("/",MID($A1589,FIND("/",$A1589)+1,20))+1,20))),"")))</f>
        <v/>
      </c>
      <c r="E1589">
        <f>IF($A1589="","",IF(OR($B1589="",$C1589="",$D1589="",$B1589&lt;1300,$B1589&gt;1500,$C1589&lt;1,$C1589&gt;12,$D1589&lt;1,$D1589&gt;31),"نامعتبر",RIGHT("0000"&amp;$B1589,4)&amp;"/"&amp;RIGHT("00"&amp;$C1589,2)&amp;"/"&amp;RIGHT("00"&amp;$D1589,2)))</f>
        <v/>
      </c>
      <c r="F1589">
        <f>IF(OR($E1589="",$E1589="نامعتبر"),"",LEFT($E1589,4)&amp;"/"&amp;MID($E1589,6,2))</f>
        <v/>
      </c>
      <c r="G1589">
        <f>IF(OR($E1589="",$E1589="نامعتبر",Sync!$X1585=""),"",IF(AND(LEFT(UPPER(TRIM(Sync!$X1585)),2)="SL",IFERROR(VLOOKUP(Sync!$W1585,OpTbl,3,0),"")="فروش"),UPPER(TRIM(Sync!$X1585)),""))</f>
        <v/>
      </c>
      <c r="H1589">
        <f>IF($G1589="","",IF(Sync!$W1585="","",Sync!$W1585))</f>
        <v/>
      </c>
      <c r="I1589">
        <f>IF(OR($G1589="",Sync!$Y1585=""),"",Sync!$Y1585)</f>
        <v/>
      </c>
      <c r="J1589">
        <f>IF(OR($G1589="",Sync!$Z1585=""),"",Sync!$Z1585)</f>
        <v/>
      </c>
      <c r="K1589">
        <f>IF($G1589="",0,IF(Sync!$AA1585="",0,Sync!$AA1585))</f>
        <v/>
      </c>
      <c r="L1589">
        <f>IF($G1589="",0,IF(Sync!$AB1585="",0,Sync!$AB1585))</f>
        <v/>
      </c>
      <c r="M1589">
        <f>IF($G1589="","",IF($H1589="مرجوعی فروش",-1,1)*($K1589-$L1589*IFERROR(VLOOKUP("P01",ParamTbl,3,0),1.5)))</f>
        <v/>
      </c>
      <c r="N1589">
        <f>IF($G1589="",0,IF($H1589="مرجوعی فروش",-1,1)*IF(Sync!$AC1585="",0,Sync!$AC1585))</f>
        <v/>
      </c>
      <c r="O1589">
        <f>IF(OR($G1589="",Sync!$V1585=""),"",Sync!$V1585)</f>
        <v/>
      </c>
      <c r="P1589">
        <f>IF(OR($G1589="",Sync!$AD1585=""),"",Sync!$AD1585)</f>
        <v/>
      </c>
      <c r="Q1589">
        <f>IF($G1589="","",IF(Sync!$U1585="","0000",IF(AND(ISNUMBER(Sync!$U1585),Sync!$U1585&gt;=0,Sync!$U1585&lt;1),RIGHT("00"&amp;HOUR(Sync!$U1585),2)&amp;RIGHT("00"&amp;MINUTE(Sync!$U1585),2),IFERROR(RIGHT("00"&amp;VALUE(LEFT(Sync!$U1585,FIND(":",Sync!$U1585)-1)),2)&amp;RIGHT("00"&amp;VALUE(MID(Sync!$U1585,FIND(":",Sync!$U1585)+1,2)),2),"0000"))))</f>
        <v/>
      </c>
    </row>
    <row r="1590">
      <c r="A1590">
        <f>IF(Sync!$T1586="","",Sync!$T1586)</f>
        <v/>
      </c>
      <c r="B1590">
        <f>IF($A1590="","",IF(ISNUMBER($A1590),IF(AND($A1590&gt;=10000101,$A1590&lt;=99991231),INT($A1590/10000),""),IFERROR(VALUE(TRIM(LEFT($A1590,FIND("/",$A1590)-1))),"")))</f>
        <v/>
      </c>
      <c r="C1590">
        <f>IF(OR($A1590="",$B1590=""),"",IF(ISNUMBER($A1590),INT(MOD($A1590,10000)/100),IFERROR(VALUE(TRIM(LEFT(MID($A1590,FIND("/",$A1590)+1,20),FIND("/",MID($A1590,FIND("/",$A1590)+1,20))-1))),"")))</f>
        <v/>
      </c>
      <c r="D1590">
        <f>IF(OR($A1590="",$B1590=""),"",IF(ISNUMBER($A1590),MOD($A1590,100),IFERROR(VALUE(TRIM(MID(MID($A1590,FIND("/",$A1590)+1,20),FIND("/",MID($A1590,FIND("/",$A1590)+1,20))+1,20))),"")))</f>
        <v/>
      </c>
      <c r="E1590">
        <f>IF($A1590="","",IF(OR($B1590="",$C1590="",$D1590="",$B1590&lt;1300,$B1590&gt;1500,$C1590&lt;1,$C1590&gt;12,$D1590&lt;1,$D1590&gt;31),"نامعتبر",RIGHT("0000"&amp;$B1590,4)&amp;"/"&amp;RIGHT("00"&amp;$C1590,2)&amp;"/"&amp;RIGHT("00"&amp;$D1590,2)))</f>
        <v/>
      </c>
      <c r="F1590">
        <f>IF(OR($E1590="",$E1590="نامعتبر"),"",LEFT($E1590,4)&amp;"/"&amp;MID($E1590,6,2))</f>
        <v/>
      </c>
      <c r="G1590">
        <f>IF(OR($E1590="",$E1590="نامعتبر",Sync!$X1586=""),"",IF(AND(LEFT(UPPER(TRIM(Sync!$X1586)),2)="SL",IFERROR(VLOOKUP(Sync!$W1586,OpTbl,3,0),"")="فروش"),UPPER(TRIM(Sync!$X1586)),""))</f>
        <v/>
      </c>
      <c r="H1590">
        <f>IF($G1590="","",IF(Sync!$W1586="","",Sync!$W1586))</f>
        <v/>
      </c>
      <c r="I1590">
        <f>IF(OR($G1590="",Sync!$Y1586=""),"",Sync!$Y1586)</f>
        <v/>
      </c>
      <c r="J1590">
        <f>IF(OR($G1590="",Sync!$Z1586=""),"",Sync!$Z1586)</f>
        <v/>
      </c>
      <c r="K1590">
        <f>IF($G1590="",0,IF(Sync!$AA1586="",0,Sync!$AA1586))</f>
        <v/>
      </c>
      <c r="L1590">
        <f>IF($G1590="",0,IF(Sync!$AB1586="",0,Sync!$AB1586))</f>
        <v/>
      </c>
      <c r="M1590">
        <f>IF($G1590="","",IF($H1590="مرجوعی فروش",-1,1)*($K1590-$L1590*IFERROR(VLOOKUP("P01",ParamTbl,3,0),1.5)))</f>
        <v/>
      </c>
      <c r="N1590">
        <f>IF($G1590="",0,IF($H1590="مرجوعی فروش",-1,1)*IF(Sync!$AC1586="",0,Sync!$AC1586))</f>
        <v/>
      </c>
      <c r="O1590">
        <f>IF(OR($G1590="",Sync!$V1586=""),"",Sync!$V1586)</f>
        <v/>
      </c>
      <c r="P1590">
        <f>IF(OR($G1590="",Sync!$AD1586=""),"",Sync!$AD1586)</f>
        <v/>
      </c>
      <c r="Q1590">
        <f>IF($G1590="","",IF(Sync!$U1586="","0000",IF(AND(ISNUMBER(Sync!$U1586),Sync!$U1586&gt;=0,Sync!$U1586&lt;1),RIGHT("00"&amp;HOUR(Sync!$U1586),2)&amp;RIGHT("00"&amp;MINUTE(Sync!$U1586),2),IFERROR(RIGHT("00"&amp;VALUE(LEFT(Sync!$U1586,FIND(":",Sync!$U1586)-1)),2)&amp;RIGHT("00"&amp;VALUE(MID(Sync!$U1586,FIND(":",Sync!$U1586)+1,2)),2),"0000"))))</f>
        <v/>
      </c>
    </row>
    <row r="1591">
      <c r="A1591">
        <f>IF(Sync!$T1587="","",Sync!$T1587)</f>
        <v/>
      </c>
      <c r="B1591">
        <f>IF($A1591="","",IF(ISNUMBER($A1591),IF(AND($A1591&gt;=10000101,$A1591&lt;=99991231),INT($A1591/10000),""),IFERROR(VALUE(TRIM(LEFT($A1591,FIND("/",$A1591)-1))),"")))</f>
        <v/>
      </c>
      <c r="C1591">
        <f>IF(OR($A1591="",$B1591=""),"",IF(ISNUMBER($A1591),INT(MOD($A1591,10000)/100),IFERROR(VALUE(TRIM(LEFT(MID($A1591,FIND("/",$A1591)+1,20),FIND("/",MID($A1591,FIND("/",$A1591)+1,20))-1))),"")))</f>
        <v/>
      </c>
      <c r="D1591">
        <f>IF(OR($A1591="",$B1591=""),"",IF(ISNUMBER($A1591),MOD($A1591,100),IFERROR(VALUE(TRIM(MID(MID($A1591,FIND("/",$A1591)+1,20),FIND("/",MID($A1591,FIND("/",$A1591)+1,20))+1,20))),"")))</f>
        <v/>
      </c>
      <c r="E1591">
        <f>IF($A1591="","",IF(OR($B1591="",$C1591="",$D1591="",$B1591&lt;1300,$B1591&gt;1500,$C1591&lt;1,$C1591&gt;12,$D1591&lt;1,$D1591&gt;31),"نامعتبر",RIGHT("0000"&amp;$B1591,4)&amp;"/"&amp;RIGHT("00"&amp;$C1591,2)&amp;"/"&amp;RIGHT("00"&amp;$D1591,2)))</f>
        <v/>
      </c>
      <c r="F1591">
        <f>IF(OR($E1591="",$E1591="نامعتبر"),"",LEFT($E1591,4)&amp;"/"&amp;MID($E1591,6,2))</f>
        <v/>
      </c>
      <c r="G1591">
        <f>IF(OR($E1591="",$E1591="نامعتبر",Sync!$X1587=""),"",IF(AND(LEFT(UPPER(TRIM(Sync!$X1587)),2)="SL",IFERROR(VLOOKUP(Sync!$W1587,OpTbl,3,0),"")="فروش"),UPPER(TRIM(Sync!$X1587)),""))</f>
        <v/>
      </c>
      <c r="H1591">
        <f>IF($G1591="","",IF(Sync!$W1587="","",Sync!$W1587))</f>
        <v/>
      </c>
      <c r="I1591">
        <f>IF(OR($G1591="",Sync!$Y1587=""),"",Sync!$Y1587)</f>
        <v/>
      </c>
      <c r="J1591">
        <f>IF(OR($G1591="",Sync!$Z1587=""),"",Sync!$Z1587)</f>
        <v/>
      </c>
      <c r="K1591">
        <f>IF($G1591="",0,IF(Sync!$AA1587="",0,Sync!$AA1587))</f>
        <v/>
      </c>
      <c r="L1591">
        <f>IF($G1591="",0,IF(Sync!$AB1587="",0,Sync!$AB1587))</f>
        <v/>
      </c>
      <c r="M1591">
        <f>IF($G1591="","",IF($H1591="مرجوعی فروش",-1,1)*($K1591-$L1591*IFERROR(VLOOKUP("P01",ParamTbl,3,0),1.5)))</f>
        <v/>
      </c>
      <c r="N1591">
        <f>IF($G1591="",0,IF($H1591="مرجوعی فروش",-1,1)*IF(Sync!$AC1587="",0,Sync!$AC1587))</f>
        <v/>
      </c>
      <c r="O1591">
        <f>IF(OR($G1591="",Sync!$V1587=""),"",Sync!$V1587)</f>
        <v/>
      </c>
      <c r="P1591">
        <f>IF(OR($G1591="",Sync!$AD1587=""),"",Sync!$AD1587)</f>
        <v/>
      </c>
      <c r="Q1591">
        <f>IF($G1591="","",IF(Sync!$U1587="","0000",IF(AND(ISNUMBER(Sync!$U1587),Sync!$U1587&gt;=0,Sync!$U1587&lt;1),RIGHT("00"&amp;HOUR(Sync!$U1587),2)&amp;RIGHT("00"&amp;MINUTE(Sync!$U1587),2),IFERROR(RIGHT("00"&amp;VALUE(LEFT(Sync!$U1587,FIND(":",Sync!$U1587)-1)),2)&amp;RIGHT("00"&amp;VALUE(MID(Sync!$U1587,FIND(":",Sync!$U1587)+1,2)),2),"0000"))))</f>
        <v/>
      </c>
    </row>
    <row r="1592">
      <c r="A1592">
        <f>IF(Sync!$T1588="","",Sync!$T1588)</f>
        <v/>
      </c>
      <c r="B1592">
        <f>IF($A1592="","",IF(ISNUMBER($A1592),IF(AND($A1592&gt;=10000101,$A1592&lt;=99991231),INT($A1592/10000),""),IFERROR(VALUE(TRIM(LEFT($A1592,FIND("/",$A1592)-1))),"")))</f>
        <v/>
      </c>
      <c r="C1592">
        <f>IF(OR($A1592="",$B1592=""),"",IF(ISNUMBER($A1592),INT(MOD($A1592,10000)/100),IFERROR(VALUE(TRIM(LEFT(MID($A1592,FIND("/",$A1592)+1,20),FIND("/",MID($A1592,FIND("/",$A1592)+1,20))-1))),"")))</f>
        <v/>
      </c>
      <c r="D1592">
        <f>IF(OR($A1592="",$B1592=""),"",IF(ISNUMBER($A1592),MOD($A1592,100),IFERROR(VALUE(TRIM(MID(MID($A1592,FIND("/",$A1592)+1,20),FIND("/",MID($A1592,FIND("/",$A1592)+1,20))+1,20))),"")))</f>
        <v/>
      </c>
      <c r="E1592">
        <f>IF($A1592="","",IF(OR($B1592="",$C1592="",$D1592="",$B1592&lt;1300,$B1592&gt;1500,$C1592&lt;1,$C1592&gt;12,$D1592&lt;1,$D1592&gt;31),"نامعتبر",RIGHT("0000"&amp;$B1592,4)&amp;"/"&amp;RIGHT("00"&amp;$C1592,2)&amp;"/"&amp;RIGHT("00"&amp;$D1592,2)))</f>
        <v/>
      </c>
      <c r="F1592">
        <f>IF(OR($E1592="",$E1592="نامعتبر"),"",LEFT($E1592,4)&amp;"/"&amp;MID($E1592,6,2))</f>
        <v/>
      </c>
      <c r="G1592">
        <f>IF(OR($E1592="",$E1592="نامعتبر",Sync!$X1588=""),"",IF(AND(LEFT(UPPER(TRIM(Sync!$X1588)),2)="SL",IFERROR(VLOOKUP(Sync!$W1588,OpTbl,3,0),"")="فروش"),UPPER(TRIM(Sync!$X1588)),""))</f>
        <v/>
      </c>
      <c r="H1592">
        <f>IF($G1592="","",IF(Sync!$W1588="","",Sync!$W1588))</f>
        <v/>
      </c>
      <c r="I1592">
        <f>IF(OR($G1592="",Sync!$Y1588=""),"",Sync!$Y1588)</f>
        <v/>
      </c>
      <c r="J1592">
        <f>IF(OR($G1592="",Sync!$Z1588=""),"",Sync!$Z1588)</f>
        <v/>
      </c>
      <c r="K1592">
        <f>IF($G1592="",0,IF(Sync!$AA1588="",0,Sync!$AA1588))</f>
        <v/>
      </c>
      <c r="L1592">
        <f>IF($G1592="",0,IF(Sync!$AB1588="",0,Sync!$AB1588))</f>
        <v/>
      </c>
      <c r="M1592">
        <f>IF($G1592="","",IF($H1592="مرجوعی فروش",-1,1)*($K1592-$L1592*IFERROR(VLOOKUP("P01",ParamTbl,3,0),1.5)))</f>
        <v/>
      </c>
      <c r="N1592">
        <f>IF($G1592="",0,IF($H1592="مرجوعی فروش",-1,1)*IF(Sync!$AC1588="",0,Sync!$AC1588))</f>
        <v/>
      </c>
      <c r="O1592">
        <f>IF(OR($G1592="",Sync!$V1588=""),"",Sync!$V1588)</f>
        <v/>
      </c>
      <c r="P1592">
        <f>IF(OR($G1592="",Sync!$AD1588=""),"",Sync!$AD1588)</f>
        <v/>
      </c>
      <c r="Q1592">
        <f>IF($G1592="","",IF(Sync!$U1588="","0000",IF(AND(ISNUMBER(Sync!$U1588),Sync!$U1588&gt;=0,Sync!$U1588&lt;1),RIGHT("00"&amp;HOUR(Sync!$U1588),2)&amp;RIGHT("00"&amp;MINUTE(Sync!$U1588),2),IFERROR(RIGHT("00"&amp;VALUE(LEFT(Sync!$U1588,FIND(":",Sync!$U1588)-1)),2)&amp;RIGHT("00"&amp;VALUE(MID(Sync!$U1588,FIND(":",Sync!$U1588)+1,2)),2),"0000"))))</f>
        <v/>
      </c>
    </row>
    <row r="1593">
      <c r="A1593">
        <f>IF(Sync!$T1589="","",Sync!$T1589)</f>
        <v/>
      </c>
      <c r="B1593">
        <f>IF($A1593="","",IF(ISNUMBER($A1593),IF(AND($A1593&gt;=10000101,$A1593&lt;=99991231),INT($A1593/10000),""),IFERROR(VALUE(TRIM(LEFT($A1593,FIND("/",$A1593)-1))),"")))</f>
        <v/>
      </c>
      <c r="C1593">
        <f>IF(OR($A1593="",$B1593=""),"",IF(ISNUMBER($A1593),INT(MOD($A1593,10000)/100),IFERROR(VALUE(TRIM(LEFT(MID($A1593,FIND("/",$A1593)+1,20),FIND("/",MID($A1593,FIND("/",$A1593)+1,20))-1))),"")))</f>
        <v/>
      </c>
      <c r="D1593">
        <f>IF(OR($A1593="",$B1593=""),"",IF(ISNUMBER($A1593),MOD($A1593,100),IFERROR(VALUE(TRIM(MID(MID($A1593,FIND("/",$A1593)+1,20),FIND("/",MID($A1593,FIND("/",$A1593)+1,20))+1,20))),"")))</f>
        <v/>
      </c>
      <c r="E1593">
        <f>IF($A1593="","",IF(OR($B1593="",$C1593="",$D1593="",$B1593&lt;1300,$B1593&gt;1500,$C1593&lt;1,$C1593&gt;12,$D1593&lt;1,$D1593&gt;31),"نامعتبر",RIGHT("0000"&amp;$B1593,4)&amp;"/"&amp;RIGHT("00"&amp;$C1593,2)&amp;"/"&amp;RIGHT("00"&amp;$D1593,2)))</f>
        <v/>
      </c>
      <c r="F1593">
        <f>IF(OR($E1593="",$E1593="نامعتبر"),"",LEFT($E1593,4)&amp;"/"&amp;MID($E1593,6,2))</f>
        <v/>
      </c>
      <c r="G1593">
        <f>IF(OR($E1593="",$E1593="نامعتبر",Sync!$X1589=""),"",IF(AND(LEFT(UPPER(TRIM(Sync!$X1589)),2)="SL",IFERROR(VLOOKUP(Sync!$W1589,OpTbl,3,0),"")="فروش"),UPPER(TRIM(Sync!$X1589)),""))</f>
        <v/>
      </c>
      <c r="H1593">
        <f>IF($G1593="","",IF(Sync!$W1589="","",Sync!$W1589))</f>
        <v/>
      </c>
      <c r="I1593">
        <f>IF(OR($G1593="",Sync!$Y1589=""),"",Sync!$Y1589)</f>
        <v/>
      </c>
      <c r="J1593">
        <f>IF(OR($G1593="",Sync!$Z1589=""),"",Sync!$Z1589)</f>
        <v/>
      </c>
      <c r="K1593">
        <f>IF($G1593="",0,IF(Sync!$AA1589="",0,Sync!$AA1589))</f>
        <v/>
      </c>
      <c r="L1593">
        <f>IF($G1593="",0,IF(Sync!$AB1589="",0,Sync!$AB1589))</f>
        <v/>
      </c>
      <c r="M1593">
        <f>IF($G1593="","",IF($H1593="مرجوعی فروش",-1,1)*($K1593-$L1593*IFERROR(VLOOKUP("P01",ParamTbl,3,0),1.5)))</f>
        <v/>
      </c>
      <c r="N1593">
        <f>IF($G1593="",0,IF($H1593="مرجوعی فروش",-1,1)*IF(Sync!$AC1589="",0,Sync!$AC1589))</f>
        <v/>
      </c>
      <c r="O1593">
        <f>IF(OR($G1593="",Sync!$V1589=""),"",Sync!$V1589)</f>
        <v/>
      </c>
      <c r="P1593">
        <f>IF(OR($G1593="",Sync!$AD1589=""),"",Sync!$AD1589)</f>
        <v/>
      </c>
      <c r="Q1593">
        <f>IF($G1593="","",IF(Sync!$U1589="","0000",IF(AND(ISNUMBER(Sync!$U1589),Sync!$U1589&gt;=0,Sync!$U1589&lt;1),RIGHT("00"&amp;HOUR(Sync!$U1589),2)&amp;RIGHT("00"&amp;MINUTE(Sync!$U1589),2),IFERROR(RIGHT("00"&amp;VALUE(LEFT(Sync!$U1589,FIND(":",Sync!$U1589)-1)),2)&amp;RIGHT("00"&amp;VALUE(MID(Sync!$U1589,FIND(":",Sync!$U1589)+1,2)),2),"0000"))))</f>
        <v/>
      </c>
    </row>
    <row r="1594">
      <c r="A1594">
        <f>IF(Sync!$T1590="","",Sync!$T1590)</f>
        <v/>
      </c>
      <c r="B1594">
        <f>IF($A1594="","",IF(ISNUMBER($A1594),IF(AND($A1594&gt;=10000101,$A1594&lt;=99991231),INT($A1594/10000),""),IFERROR(VALUE(TRIM(LEFT($A1594,FIND("/",$A1594)-1))),"")))</f>
        <v/>
      </c>
      <c r="C1594">
        <f>IF(OR($A1594="",$B1594=""),"",IF(ISNUMBER($A1594),INT(MOD($A1594,10000)/100),IFERROR(VALUE(TRIM(LEFT(MID($A1594,FIND("/",$A1594)+1,20),FIND("/",MID($A1594,FIND("/",$A1594)+1,20))-1))),"")))</f>
        <v/>
      </c>
      <c r="D1594">
        <f>IF(OR($A1594="",$B1594=""),"",IF(ISNUMBER($A1594),MOD($A1594,100),IFERROR(VALUE(TRIM(MID(MID($A1594,FIND("/",$A1594)+1,20),FIND("/",MID($A1594,FIND("/",$A1594)+1,20))+1,20))),"")))</f>
        <v/>
      </c>
      <c r="E1594">
        <f>IF($A1594="","",IF(OR($B1594="",$C1594="",$D1594="",$B1594&lt;1300,$B1594&gt;1500,$C1594&lt;1,$C1594&gt;12,$D1594&lt;1,$D1594&gt;31),"نامعتبر",RIGHT("0000"&amp;$B1594,4)&amp;"/"&amp;RIGHT("00"&amp;$C1594,2)&amp;"/"&amp;RIGHT("00"&amp;$D1594,2)))</f>
        <v/>
      </c>
      <c r="F1594">
        <f>IF(OR($E1594="",$E1594="نامعتبر"),"",LEFT($E1594,4)&amp;"/"&amp;MID($E1594,6,2))</f>
        <v/>
      </c>
      <c r="G1594">
        <f>IF(OR($E1594="",$E1594="نامعتبر",Sync!$X1590=""),"",IF(AND(LEFT(UPPER(TRIM(Sync!$X1590)),2)="SL",IFERROR(VLOOKUP(Sync!$W1590,OpTbl,3,0),"")="فروش"),UPPER(TRIM(Sync!$X1590)),""))</f>
        <v/>
      </c>
      <c r="H1594">
        <f>IF($G1594="","",IF(Sync!$W1590="","",Sync!$W1590))</f>
        <v/>
      </c>
      <c r="I1594">
        <f>IF(OR($G1594="",Sync!$Y1590=""),"",Sync!$Y1590)</f>
        <v/>
      </c>
      <c r="J1594">
        <f>IF(OR($G1594="",Sync!$Z1590=""),"",Sync!$Z1590)</f>
        <v/>
      </c>
      <c r="K1594">
        <f>IF($G1594="",0,IF(Sync!$AA1590="",0,Sync!$AA1590))</f>
        <v/>
      </c>
      <c r="L1594">
        <f>IF($G1594="",0,IF(Sync!$AB1590="",0,Sync!$AB1590))</f>
        <v/>
      </c>
      <c r="M1594">
        <f>IF($G1594="","",IF($H1594="مرجوعی فروش",-1,1)*($K1594-$L1594*IFERROR(VLOOKUP("P01",ParamTbl,3,0),1.5)))</f>
        <v/>
      </c>
      <c r="N1594">
        <f>IF($G1594="",0,IF($H1594="مرجوعی فروش",-1,1)*IF(Sync!$AC1590="",0,Sync!$AC1590))</f>
        <v/>
      </c>
      <c r="O1594">
        <f>IF(OR($G1594="",Sync!$V1590=""),"",Sync!$V1590)</f>
        <v/>
      </c>
      <c r="P1594">
        <f>IF(OR($G1594="",Sync!$AD1590=""),"",Sync!$AD1590)</f>
        <v/>
      </c>
      <c r="Q1594">
        <f>IF($G1594="","",IF(Sync!$U1590="","0000",IF(AND(ISNUMBER(Sync!$U1590),Sync!$U1590&gt;=0,Sync!$U1590&lt;1),RIGHT("00"&amp;HOUR(Sync!$U1590),2)&amp;RIGHT("00"&amp;MINUTE(Sync!$U1590),2),IFERROR(RIGHT("00"&amp;VALUE(LEFT(Sync!$U1590,FIND(":",Sync!$U1590)-1)),2)&amp;RIGHT("00"&amp;VALUE(MID(Sync!$U1590,FIND(":",Sync!$U1590)+1,2)),2),"0000"))))</f>
        <v/>
      </c>
    </row>
    <row r="1595">
      <c r="A1595">
        <f>IF(Sync!$T1591="","",Sync!$T1591)</f>
        <v/>
      </c>
      <c r="B1595">
        <f>IF($A1595="","",IF(ISNUMBER($A1595),IF(AND($A1595&gt;=10000101,$A1595&lt;=99991231),INT($A1595/10000),""),IFERROR(VALUE(TRIM(LEFT($A1595,FIND("/",$A1595)-1))),"")))</f>
        <v/>
      </c>
      <c r="C1595">
        <f>IF(OR($A1595="",$B1595=""),"",IF(ISNUMBER($A1595),INT(MOD($A1595,10000)/100),IFERROR(VALUE(TRIM(LEFT(MID($A1595,FIND("/",$A1595)+1,20),FIND("/",MID($A1595,FIND("/",$A1595)+1,20))-1))),"")))</f>
        <v/>
      </c>
      <c r="D1595">
        <f>IF(OR($A1595="",$B1595=""),"",IF(ISNUMBER($A1595),MOD($A1595,100),IFERROR(VALUE(TRIM(MID(MID($A1595,FIND("/",$A1595)+1,20),FIND("/",MID($A1595,FIND("/",$A1595)+1,20))+1,20))),"")))</f>
        <v/>
      </c>
      <c r="E1595">
        <f>IF($A1595="","",IF(OR($B1595="",$C1595="",$D1595="",$B1595&lt;1300,$B1595&gt;1500,$C1595&lt;1,$C1595&gt;12,$D1595&lt;1,$D1595&gt;31),"نامعتبر",RIGHT("0000"&amp;$B1595,4)&amp;"/"&amp;RIGHT("00"&amp;$C1595,2)&amp;"/"&amp;RIGHT("00"&amp;$D1595,2)))</f>
        <v/>
      </c>
      <c r="F1595">
        <f>IF(OR($E1595="",$E1595="نامعتبر"),"",LEFT($E1595,4)&amp;"/"&amp;MID($E1595,6,2))</f>
        <v/>
      </c>
      <c r="G1595">
        <f>IF(OR($E1595="",$E1595="نامعتبر",Sync!$X1591=""),"",IF(AND(LEFT(UPPER(TRIM(Sync!$X1591)),2)="SL",IFERROR(VLOOKUP(Sync!$W1591,OpTbl,3,0),"")="فروش"),UPPER(TRIM(Sync!$X1591)),""))</f>
        <v/>
      </c>
      <c r="H1595">
        <f>IF($G1595="","",IF(Sync!$W1591="","",Sync!$W1591))</f>
        <v/>
      </c>
      <c r="I1595">
        <f>IF(OR($G1595="",Sync!$Y1591=""),"",Sync!$Y1591)</f>
        <v/>
      </c>
      <c r="J1595">
        <f>IF(OR($G1595="",Sync!$Z1591=""),"",Sync!$Z1591)</f>
        <v/>
      </c>
      <c r="K1595">
        <f>IF($G1595="",0,IF(Sync!$AA1591="",0,Sync!$AA1591))</f>
        <v/>
      </c>
      <c r="L1595">
        <f>IF($G1595="",0,IF(Sync!$AB1591="",0,Sync!$AB1591))</f>
        <v/>
      </c>
      <c r="M1595">
        <f>IF($G1595="","",IF($H1595="مرجوعی فروش",-1,1)*($K1595-$L1595*IFERROR(VLOOKUP("P01",ParamTbl,3,0),1.5)))</f>
        <v/>
      </c>
      <c r="N1595">
        <f>IF($G1595="",0,IF($H1595="مرجوعی فروش",-1,1)*IF(Sync!$AC1591="",0,Sync!$AC1591))</f>
        <v/>
      </c>
      <c r="O1595">
        <f>IF(OR($G1595="",Sync!$V1591=""),"",Sync!$V1591)</f>
        <v/>
      </c>
      <c r="P1595">
        <f>IF(OR($G1595="",Sync!$AD1591=""),"",Sync!$AD1591)</f>
        <v/>
      </c>
      <c r="Q1595">
        <f>IF($G1595="","",IF(Sync!$U1591="","0000",IF(AND(ISNUMBER(Sync!$U1591),Sync!$U1591&gt;=0,Sync!$U1591&lt;1),RIGHT("00"&amp;HOUR(Sync!$U1591),2)&amp;RIGHT("00"&amp;MINUTE(Sync!$U1591),2),IFERROR(RIGHT("00"&amp;VALUE(LEFT(Sync!$U1591,FIND(":",Sync!$U1591)-1)),2)&amp;RIGHT("00"&amp;VALUE(MID(Sync!$U1591,FIND(":",Sync!$U1591)+1,2)),2),"0000"))))</f>
        <v/>
      </c>
    </row>
    <row r="1596">
      <c r="A1596">
        <f>IF(Sync!$T1592="","",Sync!$T1592)</f>
        <v/>
      </c>
      <c r="B1596">
        <f>IF($A1596="","",IF(ISNUMBER($A1596),IF(AND($A1596&gt;=10000101,$A1596&lt;=99991231),INT($A1596/10000),""),IFERROR(VALUE(TRIM(LEFT($A1596,FIND("/",$A1596)-1))),"")))</f>
        <v/>
      </c>
      <c r="C1596">
        <f>IF(OR($A1596="",$B1596=""),"",IF(ISNUMBER($A1596),INT(MOD($A1596,10000)/100),IFERROR(VALUE(TRIM(LEFT(MID($A1596,FIND("/",$A1596)+1,20),FIND("/",MID($A1596,FIND("/",$A1596)+1,20))-1))),"")))</f>
        <v/>
      </c>
      <c r="D1596">
        <f>IF(OR($A1596="",$B1596=""),"",IF(ISNUMBER($A1596),MOD($A1596,100),IFERROR(VALUE(TRIM(MID(MID($A1596,FIND("/",$A1596)+1,20),FIND("/",MID($A1596,FIND("/",$A1596)+1,20))+1,20))),"")))</f>
        <v/>
      </c>
      <c r="E1596">
        <f>IF($A1596="","",IF(OR($B1596="",$C1596="",$D1596="",$B1596&lt;1300,$B1596&gt;1500,$C1596&lt;1,$C1596&gt;12,$D1596&lt;1,$D1596&gt;31),"نامعتبر",RIGHT("0000"&amp;$B1596,4)&amp;"/"&amp;RIGHT("00"&amp;$C1596,2)&amp;"/"&amp;RIGHT("00"&amp;$D1596,2)))</f>
        <v/>
      </c>
      <c r="F1596">
        <f>IF(OR($E1596="",$E1596="نامعتبر"),"",LEFT($E1596,4)&amp;"/"&amp;MID($E1596,6,2))</f>
        <v/>
      </c>
      <c r="G1596">
        <f>IF(OR($E1596="",$E1596="نامعتبر",Sync!$X1592=""),"",IF(AND(LEFT(UPPER(TRIM(Sync!$X1592)),2)="SL",IFERROR(VLOOKUP(Sync!$W1592,OpTbl,3,0),"")="فروش"),UPPER(TRIM(Sync!$X1592)),""))</f>
        <v/>
      </c>
      <c r="H1596">
        <f>IF($G1596="","",IF(Sync!$W1592="","",Sync!$W1592))</f>
        <v/>
      </c>
      <c r="I1596">
        <f>IF(OR($G1596="",Sync!$Y1592=""),"",Sync!$Y1592)</f>
        <v/>
      </c>
      <c r="J1596">
        <f>IF(OR($G1596="",Sync!$Z1592=""),"",Sync!$Z1592)</f>
        <v/>
      </c>
      <c r="K1596">
        <f>IF($G1596="",0,IF(Sync!$AA1592="",0,Sync!$AA1592))</f>
        <v/>
      </c>
      <c r="L1596">
        <f>IF($G1596="",0,IF(Sync!$AB1592="",0,Sync!$AB1592))</f>
        <v/>
      </c>
      <c r="M1596">
        <f>IF($G1596="","",IF($H1596="مرجوعی فروش",-1,1)*($K1596-$L1596*IFERROR(VLOOKUP("P01",ParamTbl,3,0),1.5)))</f>
        <v/>
      </c>
      <c r="N1596">
        <f>IF($G1596="",0,IF($H1596="مرجوعی فروش",-1,1)*IF(Sync!$AC1592="",0,Sync!$AC1592))</f>
        <v/>
      </c>
      <c r="O1596">
        <f>IF(OR($G1596="",Sync!$V1592=""),"",Sync!$V1592)</f>
        <v/>
      </c>
      <c r="P1596">
        <f>IF(OR($G1596="",Sync!$AD1592=""),"",Sync!$AD1592)</f>
        <v/>
      </c>
      <c r="Q1596">
        <f>IF($G1596="","",IF(Sync!$U1592="","0000",IF(AND(ISNUMBER(Sync!$U1592),Sync!$U1592&gt;=0,Sync!$U1592&lt;1),RIGHT("00"&amp;HOUR(Sync!$U1592),2)&amp;RIGHT("00"&amp;MINUTE(Sync!$U1592),2),IFERROR(RIGHT("00"&amp;VALUE(LEFT(Sync!$U1592,FIND(":",Sync!$U1592)-1)),2)&amp;RIGHT("00"&amp;VALUE(MID(Sync!$U1592,FIND(":",Sync!$U1592)+1,2)),2),"0000"))))</f>
        <v/>
      </c>
    </row>
    <row r="1597">
      <c r="A1597">
        <f>IF(Sync!$T1593="","",Sync!$T1593)</f>
        <v/>
      </c>
      <c r="B1597">
        <f>IF($A1597="","",IF(ISNUMBER($A1597),IF(AND($A1597&gt;=10000101,$A1597&lt;=99991231),INT($A1597/10000),""),IFERROR(VALUE(TRIM(LEFT($A1597,FIND("/",$A1597)-1))),"")))</f>
        <v/>
      </c>
      <c r="C1597">
        <f>IF(OR($A1597="",$B1597=""),"",IF(ISNUMBER($A1597),INT(MOD($A1597,10000)/100),IFERROR(VALUE(TRIM(LEFT(MID($A1597,FIND("/",$A1597)+1,20),FIND("/",MID($A1597,FIND("/",$A1597)+1,20))-1))),"")))</f>
        <v/>
      </c>
      <c r="D1597">
        <f>IF(OR($A1597="",$B1597=""),"",IF(ISNUMBER($A1597),MOD($A1597,100),IFERROR(VALUE(TRIM(MID(MID($A1597,FIND("/",$A1597)+1,20),FIND("/",MID($A1597,FIND("/",$A1597)+1,20))+1,20))),"")))</f>
        <v/>
      </c>
      <c r="E1597">
        <f>IF($A1597="","",IF(OR($B1597="",$C1597="",$D1597="",$B1597&lt;1300,$B1597&gt;1500,$C1597&lt;1,$C1597&gt;12,$D1597&lt;1,$D1597&gt;31),"نامعتبر",RIGHT("0000"&amp;$B1597,4)&amp;"/"&amp;RIGHT("00"&amp;$C1597,2)&amp;"/"&amp;RIGHT("00"&amp;$D1597,2)))</f>
        <v/>
      </c>
      <c r="F1597">
        <f>IF(OR($E1597="",$E1597="نامعتبر"),"",LEFT($E1597,4)&amp;"/"&amp;MID($E1597,6,2))</f>
        <v/>
      </c>
      <c r="G1597">
        <f>IF(OR($E1597="",$E1597="نامعتبر",Sync!$X1593=""),"",IF(AND(LEFT(UPPER(TRIM(Sync!$X1593)),2)="SL",IFERROR(VLOOKUP(Sync!$W1593,OpTbl,3,0),"")="فروش"),UPPER(TRIM(Sync!$X1593)),""))</f>
        <v/>
      </c>
      <c r="H1597">
        <f>IF($G1597="","",IF(Sync!$W1593="","",Sync!$W1593))</f>
        <v/>
      </c>
      <c r="I1597">
        <f>IF(OR($G1597="",Sync!$Y1593=""),"",Sync!$Y1593)</f>
        <v/>
      </c>
      <c r="J1597">
        <f>IF(OR($G1597="",Sync!$Z1593=""),"",Sync!$Z1593)</f>
        <v/>
      </c>
      <c r="K1597">
        <f>IF($G1597="",0,IF(Sync!$AA1593="",0,Sync!$AA1593))</f>
        <v/>
      </c>
      <c r="L1597">
        <f>IF($G1597="",0,IF(Sync!$AB1593="",0,Sync!$AB1593))</f>
        <v/>
      </c>
      <c r="M1597">
        <f>IF($G1597="","",IF($H1597="مرجوعی فروش",-1,1)*($K1597-$L1597*IFERROR(VLOOKUP("P01",ParamTbl,3,0),1.5)))</f>
        <v/>
      </c>
      <c r="N1597">
        <f>IF($G1597="",0,IF($H1597="مرجوعی فروش",-1,1)*IF(Sync!$AC1593="",0,Sync!$AC1593))</f>
        <v/>
      </c>
      <c r="O1597">
        <f>IF(OR($G1597="",Sync!$V1593=""),"",Sync!$V1593)</f>
        <v/>
      </c>
      <c r="P1597">
        <f>IF(OR($G1597="",Sync!$AD1593=""),"",Sync!$AD1593)</f>
        <v/>
      </c>
      <c r="Q1597">
        <f>IF($G1597="","",IF(Sync!$U1593="","0000",IF(AND(ISNUMBER(Sync!$U1593),Sync!$U1593&gt;=0,Sync!$U1593&lt;1),RIGHT("00"&amp;HOUR(Sync!$U1593),2)&amp;RIGHT("00"&amp;MINUTE(Sync!$U1593),2),IFERROR(RIGHT("00"&amp;VALUE(LEFT(Sync!$U1593,FIND(":",Sync!$U1593)-1)),2)&amp;RIGHT("00"&amp;VALUE(MID(Sync!$U1593,FIND(":",Sync!$U1593)+1,2)),2),"0000"))))</f>
        <v/>
      </c>
    </row>
    <row r="1598">
      <c r="A1598">
        <f>IF(Sync!$T1594="","",Sync!$T1594)</f>
        <v/>
      </c>
      <c r="B1598">
        <f>IF($A1598="","",IF(ISNUMBER($A1598),IF(AND($A1598&gt;=10000101,$A1598&lt;=99991231),INT($A1598/10000),""),IFERROR(VALUE(TRIM(LEFT($A1598,FIND("/",$A1598)-1))),"")))</f>
        <v/>
      </c>
      <c r="C1598">
        <f>IF(OR($A1598="",$B1598=""),"",IF(ISNUMBER($A1598),INT(MOD($A1598,10000)/100),IFERROR(VALUE(TRIM(LEFT(MID($A1598,FIND("/",$A1598)+1,20),FIND("/",MID($A1598,FIND("/",$A1598)+1,20))-1))),"")))</f>
        <v/>
      </c>
      <c r="D1598">
        <f>IF(OR($A1598="",$B1598=""),"",IF(ISNUMBER($A1598),MOD($A1598,100),IFERROR(VALUE(TRIM(MID(MID($A1598,FIND("/",$A1598)+1,20),FIND("/",MID($A1598,FIND("/",$A1598)+1,20))+1,20))),"")))</f>
        <v/>
      </c>
      <c r="E1598">
        <f>IF($A1598="","",IF(OR($B1598="",$C1598="",$D1598="",$B1598&lt;1300,$B1598&gt;1500,$C1598&lt;1,$C1598&gt;12,$D1598&lt;1,$D1598&gt;31),"نامعتبر",RIGHT("0000"&amp;$B1598,4)&amp;"/"&amp;RIGHT("00"&amp;$C1598,2)&amp;"/"&amp;RIGHT("00"&amp;$D1598,2)))</f>
        <v/>
      </c>
      <c r="F1598">
        <f>IF(OR($E1598="",$E1598="نامعتبر"),"",LEFT($E1598,4)&amp;"/"&amp;MID($E1598,6,2))</f>
        <v/>
      </c>
      <c r="G1598">
        <f>IF(OR($E1598="",$E1598="نامعتبر",Sync!$X1594=""),"",IF(AND(LEFT(UPPER(TRIM(Sync!$X1594)),2)="SL",IFERROR(VLOOKUP(Sync!$W1594,OpTbl,3,0),"")="فروش"),UPPER(TRIM(Sync!$X1594)),""))</f>
        <v/>
      </c>
      <c r="H1598">
        <f>IF($G1598="","",IF(Sync!$W1594="","",Sync!$W1594))</f>
        <v/>
      </c>
      <c r="I1598">
        <f>IF(OR($G1598="",Sync!$Y1594=""),"",Sync!$Y1594)</f>
        <v/>
      </c>
      <c r="J1598">
        <f>IF(OR($G1598="",Sync!$Z1594=""),"",Sync!$Z1594)</f>
        <v/>
      </c>
      <c r="K1598">
        <f>IF($G1598="",0,IF(Sync!$AA1594="",0,Sync!$AA1594))</f>
        <v/>
      </c>
      <c r="L1598">
        <f>IF($G1598="",0,IF(Sync!$AB1594="",0,Sync!$AB1594))</f>
        <v/>
      </c>
      <c r="M1598">
        <f>IF($G1598="","",IF($H1598="مرجوعی فروش",-1,1)*($K1598-$L1598*IFERROR(VLOOKUP("P01",ParamTbl,3,0),1.5)))</f>
        <v/>
      </c>
      <c r="N1598">
        <f>IF($G1598="",0,IF($H1598="مرجوعی فروش",-1,1)*IF(Sync!$AC1594="",0,Sync!$AC1594))</f>
        <v/>
      </c>
      <c r="O1598">
        <f>IF(OR($G1598="",Sync!$V1594=""),"",Sync!$V1594)</f>
        <v/>
      </c>
      <c r="P1598">
        <f>IF(OR($G1598="",Sync!$AD1594=""),"",Sync!$AD1594)</f>
        <v/>
      </c>
      <c r="Q1598">
        <f>IF($G1598="","",IF(Sync!$U1594="","0000",IF(AND(ISNUMBER(Sync!$U1594),Sync!$U1594&gt;=0,Sync!$U1594&lt;1),RIGHT("00"&amp;HOUR(Sync!$U1594),2)&amp;RIGHT("00"&amp;MINUTE(Sync!$U1594),2),IFERROR(RIGHT("00"&amp;VALUE(LEFT(Sync!$U1594,FIND(":",Sync!$U1594)-1)),2)&amp;RIGHT("00"&amp;VALUE(MID(Sync!$U1594,FIND(":",Sync!$U1594)+1,2)),2),"0000"))))</f>
        <v/>
      </c>
    </row>
    <row r="1599">
      <c r="A1599">
        <f>IF(Sync!$T1595="","",Sync!$T1595)</f>
        <v/>
      </c>
      <c r="B1599">
        <f>IF($A1599="","",IF(ISNUMBER($A1599),IF(AND($A1599&gt;=10000101,$A1599&lt;=99991231),INT($A1599/10000),""),IFERROR(VALUE(TRIM(LEFT($A1599,FIND("/",$A1599)-1))),"")))</f>
        <v/>
      </c>
      <c r="C1599">
        <f>IF(OR($A1599="",$B1599=""),"",IF(ISNUMBER($A1599),INT(MOD($A1599,10000)/100),IFERROR(VALUE(TRIM(LEFT(MID($A1599,FIND("/",$A1599)+1,20),FIND("/",MID($A1599,FIND("/",$A1599)+1,20))-1))),"")))</f>
        <v/>
      </c>
      <c r="D1599">
        <f>IF(OR($A1599="",$B1599=""),"",IF(ISNUMBER($A1599),MOD($A1599,100),IFERROR(VALUE(TRIM(MID(MID($A1599,FIND("/",$A1599)+1,20),FIND("/",MID($A1599,FIND("/",$A1599)+1,20))+1,20))),"")))</f>
        <v/>
      </c>
      <c r="E1599">
        <f>IF($A1599="","",IF(OR($B1599="",$C1599="",$D1599="",$B1599&lt;1300,$B1599&gt;1500,$C1599&lt;1,$C1599&gt;12,$D1599&lt;1,$D1599&gt;31),"نامعتبر",RIGHT("0000"&amp;$B1599,4)&amp;"/"&amp;RIGHT("00"&amp;$C1599,2)&amp;"/"&amp;RIGHT("00"&amp;$D1599,2)))</f>
        <v/>
      </c>
      <c r="F1599">
        <f>IF(OR($E1599="",$E1599="نامعتبر"),"",LEFT($E1599,4)&amp;"/"&amp;MID($E1599,6,2))</f>
        <v/>
      </c>
      <c r="G1599">
        <f>IF(OR($E1599="",$E1599="نامعتبر",Sync!$X1595=""),"",IF(AND(LEFT(UPPER(TRIM(Sync!$X1595)),2)="SL",IFERROR(VLOOKUP(Sync!$W1595,OpTbl,3,0),"")="فروش"),UPPER(TRIM(Sync!$X1595)),""))</f>
        <v/>
      </c>
      <c r="H1599">
        <f>IF($G1599="","",IF(Sync!$W1595="","",Sync!$W1595))</f>
        <v/>
      </c>
      <c r="I1599">
        <f>IF(OR($G1599="",Sync!$Y1595=""),"",Sync!$Y1595)</f>
        <v/>
      </c>
      <c r="J1599">
        <f>IF(OR($G1599="",Sync!$Z1595=""),"",Sync!$Z1595)</f>
        <v/>
      </c>
      <c r="K1599">
        <f>IF($G1599="",0,IF(Sync!$AA1595="",0,Sync!$AA1595))</f>
        <v/>
      </c>
      <c r="L1599">
        <f>IF($G1599="",0,IF(Sync!$AB1595="",0,Sync!$AB1595))</f>
        <v/>
      </c>
      <c r="M1599">
        <f>IF($G1599="","",IF($H1599="مرجوعی فروش",-1,1)*($K1599-$L1599*IFERROR(VLOOKUP("P01",ParamTbl,3,0),1.5)))</f>
        <v/>
      </c>
      <c r="N1599">
        <f>IF($G1599="",0,IF($H1599="مرجوعی فروش",-1,1)*IF(Sync!$AC1595="",0,Sync!$AC1595))</f>
        <v/>
      </c>
      <c r="O1599">
        <f>IF(OR($G1599="",Sync!$V1595=""),"",Sync!$V1595)</f>
        <v/>
      </c>
      <c r="P1599">
        <f>IF(OR($G1599="",Sync!$AD1595=""),"",Sync!$AD1595)</f>
        <v/>
      </c>
      <c r="Q1599">
        <f>IF($G1599="","",IF(Sync!$U1595="","0000",IF(AND(ISNUMBER(Sync!$U1595),Sync!$U1595&gt;=0,Sync!$U1595&lt;1),RIGHT("00"&amp;HOUR(Sync!$U1595),2)&amp;RIGHT("00"&amp;MINUTE(Sync!$U1595),2),IFERROR(RIGHT("00"&amp;VALUE(LEFT(Sync!$U1595,FIND(":",Sync!$U1595)-1)),2)&amp;RIGHT("00"&amp;VALUE(MID(Sync!$U1595,FIND(":",Sync!$U1595)+1,2)),2),"0000"))))</f>
        <v/>
      </c>
    </row>
    <row r="1600">
      <c r="A1600">
        <f>IF(Sync!$T1596="","",Sync!$T1596)</f>
        <v/>
      </c>
      <c r="B1600">
        <f>IF($A1600="","",IF(ISNUMBER($A1600),IF(AND($A1600&gt;=10000101,$A1600&lt;=99991231),INT($A1600/10000),""),IFERROR(VALUE(TRIM(LEFT($A1600,FIND("/",$A1600)-1))),"")))</f>
        <v/>
      </c>
      <c r="C1600">
        <f>IF(OR($A1600="",$B1600=""),"",IF(ISNUMBER($A1600),INT(MOD($A1600,10000)/100),IFERROR(VALUE(TRIM(LEFT(MID($A1600,FIND("/",$A1600)+1,20),FIND("/",MID($A1600,FIND("/",$A1600)+1,20))-1))),"")))</f>
        <v/>
      </c>
      <c r="D1600">
        <f>IF(OR($A1600="",$B1600=""),"",IF(ISNUMBER($A1600),MOD($A1600,100),IFERROR(VALUE(TRIM(MID(MID($A1600,FIND("/",$A1600)+1,20),FIND("/",MID($A1600,FIND("/",$A1600)+1,20))+1,20))),"")))</f>
        <v/>
      </c>
      <c r="E1600">
        <f>IF($A1600="","",IF(OR($B1600="",$C1600="",$D1600="",$B1600&lt;1300,$B1600&gt;1500,$C1600&lt;1,$C1600&gt;12,$D1600&lt;1,$D1600&gt;31),"نامعتبر",RIGHT("0000"&amp;$B1600,4)&amp;"/"&amp;RIGHT("00"&amp;$C1600,2)&amp;"/"&amp;RIGHT("00"&amp;$D1600,2)))</f>
        <v/>
      </c>
      <c r="F1600">
        <f>IF(OR($E1600="",$E1600="نامعتبر"),"",LEFT($E1600,4)&amp;"/"&amp;MID($E1600,6,2))</f>
        <v/>
      </c>
      <c r="G1600">
        <f>IF(OR($E1600="",$E1600="نامعتبر",Sync!$X1596=""),"",IF(AND(LEFT(UPPER(TRIM(Sync!$X1596)),2)="SL",IFERROR(VLOOKUP(Sync!$W1596,OpTbl,3,0),"")="فروش"),UPPER(TRIM(Sync!$X1596)),""))</f>
        <v/>
      </c>
      <c r="H1600">
        <f>IF($G1600="","",IF(Sync!$W1596="","",Sync!$W1596))</f>
        <v/>
      </c>
      <c r="I1600">
        <f>IF(OR($G1600="",Sync!$Y1596=""),"",Sync!$Y1596)</f>
        <v/>
      </c>
      <c r="J1600">
        <f>IF(OR($G1600="",Sync!$Z1596=""),"",Sync!$Z1596)</f>
        <v/>
      </c>
      <c r="K1600">
        <f>IF($G1600="",0,IF(Sync!$AA1596="",0,Sync!$AA1596))</f>
        <v/>
      </c>
      <c r="L1600">
        <f>IF($G1600="",0,IF(Sync!$AB1596="",0,Sync!$AB1596))</f>
        <v/>
      </c>
      <c r="M1600">
        <f>IF($G1600="","",IF($H1600="مرجوعی فروش",-1,1)*($K1600-$L1600*IFERROR(VLOOKUP("P01",ParamTbl,3,0),1.5)))</f>
        <v/>
      </c>
      <c r="N1600">
        <f>IF($G1600="",0,IF($H1600="مرجوعی فروش",-1,1)*IF(Sync!$AC1596="",0,Sync!$AC1596))</f>
        <v/>
      </c>
      <c r="O1600">
        <f>IF(OR($G1600="",Sync!$V1596=""),"",Sync!$V1596)</f>
        <v/>
      </c>
      <c r="P1600">
        <f>IF(OR($G1600="",Sync!$AD1596=""),"",Sync!$AD1596)</f>
        <v/>
      </c>
      <c r="Q1600">
        <f>IF($G1600="","",IF(Sync!$U1596="","0000",IF(AND(ISNUMBER(Sync!$U1596),Sync!$U1596&gt;=0,Sync!$U1596&lt;1),RIGHT("00"&amp;HOUR(Sync!$U1596),2)&amp;RIGHT("00"&amp;MINUTE(Sync!$U1596),2),IFERROR(RIGHT("00"&amp;VALUE(LEFT(Sync!$U1596,FIND(":",Sync!$U1596)-1)),2)&amp;RIGHT("00"&amp;VALUE(MID(Sync!$U1596,FIND(":",Sync!$U1596)+1,2)),2),"0000"))))</f>
        <v/>
      </c>
    </row>
    <row r="1601">
      <c r="A1601">
        <f>IF(Sync!$T1597="","",Sync!$T1597)</f>
        <v/>
      </c>
      <c r="B1601">
        <f>IF($A1601="","",IF(ISNUMBER($A1601),IF(AND($A1601&gt;=10000101,$A1601&lt;=99991231),INT($A1601/10000),""),IFERROR(VALUE(TRIM(LEFT($A1601,FIND("/",$A1601)-1))),"")))</f>
        <v/>
      </c>
      <c r="C1601">
        <f>IF(OR($A1601="",$B1601=""),"",IF(ISNUMBER($A1601),INT(MOD($A1601,10000)/100),IFERROR(VALUE(TRIM(LEFT(MID($A1601,FIND("/",$A1601)+1,20),FIND("/",MID($A1601,FIND("/",$A1601)+1,20))-1))),"")))</f>
        <v/>
      </c>
      <c r="D1601">
        <f>IF(OR($A1601="",$B1601=""),"",IF(ISNUMBER($A1601),MOD($A1601,100),IFERROR(VALUE(TRIM(MID(MID($A1601,FIND("/",$A1601)+1,20),FIND("/",MID($A1601,FIND("/",$A1601)+1,20))+1,20))),"")))</f>
        <v/>
      </c>
      <c r="E1601">
        <f>IF($A1601="","",IF(OR($B1601="",$C1601="",$D1601="",$B1601&lt;1300,$B1601&gt;1500,$C1601&lt;1,$C1601&gt;12,$D1601&lt;1,$D1601&gt;31),"نامعتبر",RIGHT("0000"&amp;$B1601,4)&amp;"/"&amp;RIGHT("00"&amp;$C1601,2)&amp;"/"&amp;RIGHT("00"&amp;$D1601,2)))</f>
        <v/>
      </c>
      <c r="F1601">
        <f>IF(OR($E1601="",$E1601="نامعتبر"),"",LEFT($E1601,4)&amp;"/"&amp;MID($E1601,6,2))</f>
        <v/>
      </c>
      <c r="G1601">
        <f>IF(OR($E1601="",$E1601="نامعتبر",Sync!$X1597=""),"",IF(AND(LEFT(UPPER(TRIM(Sync!$X1597)),2)="SL",IFERROR(VLOOKUP(Sync!$W1597,OpTbl,3,0),"")="فروش"),UPPER(TRIM(Sync!$X1597)),""))</f>
        <v/>
      </c>
      <c r="H1601">
        <f>IF($G1601="","",IF(Sync!$W1597="","",Sync!$W1597))</f>
        <v/>
      </c>
      <c r="I1601">
        <f>IF(OR($G1601="",Sync!$Y1597=""),"",Sync!$Y1597)</f>
        <v/>
      </c>
      <c r="J1601">
        <f>IF(OR($G1601="",Sync!$Z1597=""),"",Sync!$Z1597)</f>
        <v/>
      </c>
      <c r="K1601">
        <f>IF($G1601="",0,IF(Sync!$AA1597="",0,Sync!$AA1597))</f>
        <v/>
      </c>
      <c r="L1601">
        <f>IF($G1601="",0,IF(Sync!$AB1597="",0,Sync!$AB1597))</f>
        <v/>
      </c>
      <c r="M1601">
        <f>IF($G1601="","",IF($H1601="مرجوعی فروش",-1,1)*($K1601-$L1601*IFERROR(VLOOKUP("P01",ParamTbl,3,0),1.5)))</f>
        <v/>
      </c>
      <c r="N1601">
        <f>IF($G1601="",0,IF($H1601="مرجوعی فروش",-1,1)*IF(Sync!$AC1597="",0,Sync!$AC1597))</f>
        <v/>
      </c>
      <c r="O1601">
        <f>IF(OR($G1601="",Sync!$V1597=""),"",Sync!$V1597)</f>
        <v/>
      </c>
      <c r="P1601">
        <f>IF(OR($G1601="",Sync!$AD1597=""),"",Sync!$AD1597)</f>
        <v/>
      </c>
      <c r="Q1601">
        <f>IF($G1601="","",IF(Sync!$U1597="","0000",IF(AND(ISNUMBER(Sync!$U1597),Sync!$U1597&gt;=0,Sync!$U1597&lt;1),RIGHT("00"&amp;HOUR(Sync!$U1597),2)&amp;RIGHT("00"&amp;MINUTE(Sync!$U1597),2),IFERROR(RIGHT("00"&amp;VALUE(LEFT(Sync!$U1597,FIND(":",Sync!$U1597)-1)),2)&amp;RIGHT("00"&amp;VALUE(MID(Sync!$U1597,FIND(":",Sync!$U1597)+1,2)),2),"0000"))))</f>
        <v/>
      </c>
    </row>
    <row r="1602">
      <c r="A1602">
        <f>IF(Sync!$T1598="","",Sync!$T1598)</f>
        <v/>
      </c>
      <c r="B1602">
        <f>IF($A1602="","",IF(ISNUMBER($A1602),IF(AND($A1602&gt;=10000101,$A1602&lt;=99991231),INT($A1602/10000),""),IFERROR(VALUE(TRIM(LEFT($A1602,FIND("/",$A1602)-1))),"")))</f>
        <v/>
      </c>
      <c r="C1602">
        <f>IF(OR($A1602="",$B1602=""),"",IF(ISNUMBER($A1602),INT(MOD($A1602,10000)/100),IFERROR(VALUE(TRIM(LEFT(MID($A1602,FIND("/",$A1602)+1,20),FIND("/",MID($A1602,FIND("/",$A1602)+1,20))-1))),"")))</f>
        <v/>
      </c>
      <c r="D1602">
        <f>IF(OR($A1602="",$B1602=""),"",IF(ISNUMBER($A1602),MOD($A1602,100),IFERROR(VALUE(TRIM(MID(MID($A1602,FIND("/",$A1602)+1,20),FIND("/",MID($A1602,FIND("/",$A1602)+1,20))+1,20))),"")))</f>
        <v/>
      </c>
      <c r="E1602">
        <f>IF($A1602="","",IF(OR($B1602="",$C1602="",$D1602="",$B1602&lt;1300,$B1602&gt;1500,$C1602&lt;1,$C1602&gt;12,$D1602&lt;1,$D1602&gt;31),"نامعتبر",RIGHT("0000"&amp;$B1602,4)&amp;"/"&amp;RIGHT("00"&amp;$C1602,2)&amp;"/"&amp;RIGHT("00"&amp;$D1602,2)))</f>
        <v/>
      </c>
      <c r="F1602">
        <f>IF(OR($E1602="",$E1602="نامعتبر"),"",LEFT($E1602,4)&amp;"/"&amp;MID($E1602,6,2))</f>
        <v/>
      </c>
      <c r="G1602">
        <f>IF(OR($E1602="",$E1602="نامعتبر",Sync!$X1598=""),"",IF(AND(LEFT(UPPER(TRIM(Sync!$X1598)),2)="SL",IFERROR(VLOOKUP(Sync!$W1598,OpTbl,3,0),"")="فروش"),UPPER(TRIM(Sync!$X1598)),""))</f>
        <v/>
      </c>
      <c r="H1602">
        <f>IF($G1602="","",IF(Sync!$W1598="","",Sync!$W1598))</f>
        <v/>
      </c>
      <c r="I1602">
        <f>IF(OR($G1602="",Sync!$Y1598=""),"",Sync!$Y1598)</f>
        <v/>
      </c>
      <c r="J1602">
        <f>IF(OR($G1602="",Sync!$Z1598=""),"",Sync!$Z1598)</f>
        <v/>
      </c>
      <c r="K1602">
        <f>IF($G1602="",0,IF(Sync!$AA1598="",0,Sync!$AA1598))</f>
        <v/>
      </c>
      <c r="L1602">
        <f>IF($G1602="",0,IF(Sync!$AB1598="",0,Sync!$AB1598))</f>
        <v/>
      </c>
      <c r="M1602">
        <f>IF($G1602="","",IF($H1602="مرجوعی فروش",-1,1)*($K1602-$L1602*IFERROR(VLOOKUP("P01",ParamTbl,3,0),1.5)))</f>
        <v/>
      </c>
      <c r="N1602">
        <f>IF($G1602="",0,IF($H1602="مرجوعی فروش",-1,1)*IF(Sync!$AC1598="",0,Sync!$AC1598))</f>
        <v/>
      </c>
      <c r="O1602">
        <f>IF(OR($G1602="",Sync!$V1598=""),"",Sync!$V1598)</f>
        <v/>
      </c>
      <c r="P1602">
        <f>IF(OR($G1602="",Sync!$AD1598=""),"",Sync!$AD1598)</f>
        <v/>
      </c>
      <c r="Q1602">
        <f>IF($G1602="","",IF(Sync!$U1598="","0000",IF(AND(ISNUMBER(Sync!$U1598),Sync!$U1598&gt;=0,Sync!$U1598&lt;1),RIGHT("00"&amp;HOUR(Sync!$U1598),2)&amp;RIGHT("00"&amp;MINUTE(Sync!$U1598),2),IFERROR(RIGHT("00"&amp;VALUE(LEFT(Sync!$U1598,FIND(":",Sync!$U1598)-1)),2)&amp;RIGHT("00"&amp;VALUE(MID(Sync!$U1598,FIND(":",Sync!$U1598)+1,2)),2),"0000"))))</f>
        <v/>
      </c>
    </row>
    <row r="1603">
      <c r="A1603">
        <f>IF(Sync!$T1599="","",Sync!$T1599)</f>
        <v/>
      </c>
      <c r="B1603">
        <f>IF($A1603="","",IF(ISNUMBER($A1603),IF(AND($A1603&gt;=10000101,$A1603&lt;=99991231),INT($A1603/10000),""),IFERROR(VALUE(TRIM(LEFT($A1603,FIND("/",$A1603)-1))),"")))</f>
        <v/>
      </c>
      <c r="C1603">
        <f>IF(OR($A1603="",$B1603=""),"",IF(ISNUMBER($A1603),INT(MOD($A1603,10000)/100),IFERROR(VALUE(TRIM(LEFT(MID($A1603,FIND("/",$A1603)+1,20),FIND("/",MID($A1603,FIND("/",$A1603)+1,20))-1))),"")))</f>
        <v/>
      </c>
      <c r="D1603">
        <f>IF(OR($A1603="",$B1603=""),"",IF(ISNUMBER($A1603),MOD($A1603,100),IFERROR(VALUE(TRIM(MID(MID($A1603,FIND("/",$A1603)+1,20),FIND("/",MID($A1603,FIND("/",$A1603)+1,20))+1,20))),"")))</f>
        <v/>
      </c>
      <c r="E1603">
        <f>IF($A1603="","",IF(OR($B1603="",$C1603="",$D1603="",$B1603&lt;1300,$B1603&gt;1500,$C1603&lt;1,$C1603&gt;12,$D1603&lt;1,$D1603&gt;31),"نامعتبر",RIGHT("0000"&amp;$B1603,4)&amp;"/"&amp;RIGHT("00"&amp;$C1603,2)&amp;"/"&amp;RIGHT("00"&amp;$D1603,2)))</f>
        <v/>
      </c>
      <c r="F1603">
        <f>IF(OR($E1603="",$E1603="نامعتبر"),"",LEFT($E1603,4)&amp;"/"&amp;MID($E1603,6,2))</f>
        <v/>
      </c>
      <c r="G1603">
        <f>IF(OR($E1603="",$E1603="نامعتبر",Sync!$X1599=""),"",IF(AND(LEFT(UPPER(TRIM(Sync!$X1599)),2)="SL",IFERROR(VLOOKUP(Sync!$W1599,OpTbl,3,0),"")="فروش"),UPPER(TRIM(Sync!$X1599)),""))</f>
        <v/>
      </c>
      <c r="H1603">
        <f>IF($G1603="","",IF(Sync!$W1599="","",Sync!$W1599))</f>
        <v/>
      </c>
      <c r="I1603">
        <f>IF(OR($G1603="",Sync!$Y1599=""),"",Sync!$Y1599)</f>
        <v/>
      </c>
      <c r="J1603">
        <f>IF(OR($G1603="",Sync!$Z1599=""),"",Sync!$Z1599)</f>
        <v/>
      </c>
      <c r="K1603">
        <f>IF($G1603="",0,IF(Sync!$AA1599="",0,Sync!$AA1599))</f>
        <v/>
      </c>
      <c r="L1603">
        <f>IF($G1603="",0,IF(Sync!$AB1599="",0,Sync!$AB1599))</f>
        <v/>
      </c>
      <c r="M1603">
        <f>IF($G1603="","",IF($H1603="مرجوعی فروش",-1,1)*($K1603-$L1603*IFERROR(VLOOKUP("P01",ParamTbl,3,0),1.5)))</f>
        <v/>
      </c>
      <c r="N1603">
        <f>IF($G1603="",0,IF($H1603="مرجوعی فروش",-1,1)*IF(Sync!$AC1599="",0,Sync!$AC1599))</f>
        <v/>
      </c>
      <c r="O1603">
        <f>IF(OR($G1603="",Sync!$V1599=""),"",Sync!$V1599)</f>
        <v/>
      </c>
      <c r="P1603">
        <f>IF(OR($G1603="",Sync!$AD1599=""),"",Sync!$AD1599)</f>
        <v/>
      </c>
      <c r="Q1603">
        <f>IF($G1603="","",IF(Sync!$U1599="","0000",IF(AND(ISNUMBER(Sync!$U1599),Sync!$U1599&gt;=0,Sync!$U1599&lt;1),RIGHT("00"&amp;HOUR(Sync!$U1599),2)&amp;RIGHT("00"&amp;MINUTE(Sync!$U1599),2),IFERROR(RIGHT("00"&amp;VALUE(LEFT(Sync!$U1599,FIND(":",Sync!$U1599)-1)),2)&amp;RIGHT("00"&amp;VALUE(MID(Sync!$U1599,FIND(":",Sync!$U1599)+1,2)),2),"0000"))))</f>
        <v/>
      </c>
    </row>
    <row r="1604">
      <c r="A1604">
        <f>IF(Sync!$T1600="","",Sync!$T1600)</f>
        <v/>
      </c>
      <c r="B1604">
        <f>IF($A1604="","",IF(ISNUMBER($A1604),IF(AND($A1604&gt;=10000101,$A1604&lt;=99991231),INT($A1604/10000),""),IFERROR(VALUE(TRIM(LEFT($A1604,FIND("/",$A1604)-1))),"")))</f>
        <v/>
      </c>
      <c r="C1604">
        <f>IF(OR($A1604="",$B1604=""),"",IF(ISNUMBER($A1604),INT(MOD($A1604,10000)/100),IFERROR(VALUE(TRIM(LEFT(MID($A1604,FIND("/",$A1604)+1,20),FIND("/",MID($A1604,FIND("/",$A1604)+1,20))-1))),"")))</f>
        <v/>
      </c>
      <c r="D1604">
        <f>IF(OR($A1604="",$B1604=""),"",IF(ISNUMBER($A1604),MOD($A1604,100),IFERROR(VALUE(TRIM(MID(MID($A1604,FIND("/",$A1604)+1,20),FIND("/",MID($A1604,FIND("/",$A1604)+1,20))+1,20))),"")))</f>
        <v/>
      </c>
      <c r="E1604">
        <f>IF($A1604="","",IF(OR($B1604="",$C1604="",$D1604="",$B1604&lt;1300,$B1604&gt;1500,$C1604&lt;1,$C1604&gt;12,$D1604&lt;1,$D1604&gt;31),"نامعتبر",RIGHT("0000"&amp;$B1604,4)&amp;"/"&amp;RIGHT("00"&amp;$C1604,2)&amp;"/"&amp;RIGHT("00"&amp;$D1604,2)))</f>
        <v/>
      </c>
      <c r="F1604">
        <f>IF(OR($E1604="",$E1604="نامعتبر"),"",LEFT($E1604,4)&amp;"/"&amp;MID($E1604,6,2))</f>
        <v/>
      </c>
      <c r="G1604">
        <f>IF(OR($E1604="",$E1604="نامعتبر",Sync!$X1600=""),"",IF(AND(LEFT(UPPER(TRIM(Sync!$X1600)),2)="SL",IFERROR(VLOOKUP(Sync!$W1600,OpTbl,3,0),"")="فروش"),UPPER(TRIM(Sync!$X1600)),""))</f>
        <v/>
      </c>
      <c r="H1604">
        <f>IF($G1604="","",IF(Sync!$W1600="","",Sync!$W1600))</f>
        <v/>
      </c>
      <c r="I1604">
        <f>IF(OR($G1604="",Sync!$Y1600=""),"",Sync!$Y1600)</f>
        <v/>
      </c>
      <c r="J1604">
        <f>IF(OR($G1604="",Sync!$Z1600=""),"",Sync!$Z1600)</f>
        <v/>
      </c>
      <c r="K1604">
        <f>IF($G1604="",0,IF(Sync!$AA1600="",0,Sync!$AA1600))</f>
        <v/>
      </c>
      <c r="L1604">
        <f>IF($G1604="",0,IF(Sync!$AB1600="",0,Sync!$AB1600))</f>
        <v/>
      </c>
      <c r="M1604">
        <f>IF($G1604="","",IF($H1604="مرجوعی فروش",-1,1)*($K1604-$L1604*IFERROR(VLOOKUP("P01",ParamTbl,3,0),1.5)))</f>
        <v/>
      </c>
      <c r="N1604">
        <f>IF($G1604="",0,IF($H1604="مرجوعی فروش",-1,1)*IF(Sync!$AC1600="",0,Sync!$AC1600))</f>
        <v/>
      </c>
      <c r="O1604">
        <f>IF(OR($G1604="",Sync!$V1600=""),"",Sync!$V1600)</f>
        <v/>
      </c>
      <c r="P1604">
        <f>IF(OR($G1604="",Sync!$AD1600=""),"",Sync!$AD1600)</f>
        <v/>
      </c>
      <c r="Q1604">
        <f>IF($G1604="","",IF(Sync!$U1600="","0000",IF(AND(ISNUMBER(Sync!$U1600),Sync!$U1600&gt;=0,Sync!$U1600&lt;1),RIGHT("00"&amp;HOUR(Sync!$U1600),2)&amp;RIGHT("00"&amp;MINUTE(Sync!$U1600),2),IFERROR(RIGHT("00"&amp;VALUE(LEFT(Sync!$U1600,FIND(":",Sync!$U1600)-1)),2)&amp;RIGHT("00"&amp;VALUE(MID(Sync!$U1600,FIND(":",Sync!$U1600)+1,2)),2),"0000"))))</f>
        <v/>
      </c>
    </row>
    <row r="1605">
      <c r="A1605">
        <f>IF(Sync!$T1601="","",Sync!$T1601)</f>
        <v/>
      </c>
      <c r="B1605">
        <f>IF($A1605="","",IF(ISNUMBER($A1605),IF(AND($A1605&gt;=10000101,$A1605&lt;=99991231),INT($A1605/10000),""),IFERROR(VALUE(TRIM(LEFT($A1605,FIND("/",$A1605)-1))),"")))</f>
        <v/>
      </c>
      <c r="C1605">
        <f>IF(OR($A1605="",$B1605=""),"",IF(ISNUMBER($A1605),INT(MOD($A1605,10000)/100),IFERROR(VALUE(TRIM(LEFT(MID($A1605,FIND("/",$A1605)+1,20),FIND("/",MID($A1605,FIND("/",$A1605)+1,20))-1))),"")))</f>
        <v/>
      </c>
      <c r="D1605">
        <f>IF(OR($A1605="",$B1605=""),"",IF(ISNUMBER($A1605),MOD($A1605,100),IFERROR(VALUE(TRIM(MID(MID($A1605,FIND("/",$A1605)+1,20),FIND("/",MID($A1605,FIND("/",$A1605)+1,20))+1,20))),"")))</f>
        <v/>
      </c>
      <c r="E1605">
        <f>IF($A1605="","",IF(OR($B1605="",$C1605="",$D1605="",$B1605&lt;1300,$B1605&gt;1500,$C1605&lt;1,$C1605&gt;12,$D1605&lt;1,$D1605&gt;31),"نامعتبر",RIGHT("0000"&amp;$B1605,4)&amp;"/"&amp;RIGHT("00"&amp;$C1605,2)&amp;"/"&amp;RIGHT("00"&amp;$D1605,2)))</f>
        <v/>
      </c>
      <c r="F1605">
        <f>IF(OR($E1605="",$E1605="نامعتبر"),"",LEFT($E1605,4)&amp;"/"&amp;MID($E1605,6,2))</f>
        <v/>
      </c>
      <c r="G1605">
        <f>IF(OR($E1605="",$E1605="نامعتبر",Sync!$X1601=""),"",IF(AND(LEFT(UPPER(TRIM(Sync!$X1601)),2)="SL",IFERROR(VLOOKUP(Sync!$W1601,OpTbl,3,0),"")="فروش"),UPPER(TRIM(Sync!$X1601)),""))</f>
        <v/>
      </c>
      <c r="H1605">
        <f>IF($G1605="","",IF(Sync!$W1601="","",Sync!$W1601))</f>
        <v/>
      </c>
      <c r="I1605">
        <f>IF(OR($G1605="",Sync!$Y1601=""),"",Sync!$Y1601)</f>
        <v/>
      </c>
      <c r="J1605">
        <f>IF(OR($G1605="",Sync!$Z1601=""),"",Sync!$Z1601)</f>
        <v/>
      </c>
      <c r="K1605">
        <f>IF($G1605="",0,IF(Sync!$AA1601="",0,Sync!$AA1601))</f>
        <v/>
      </c>
      <c r="L1605">
        <f>IF($G1605="",0,IF(Sync!$AB1601="",0,Sync!$AB1601))</f>
        <v/>
      </c>
      <c r="M1605">
        <f>IF($G1605="","",IF($H1605="مرجوعی فروش",-1,1)*($K1605-$L1605*IFERROR(VLOOKUP("P01",ParamTbl,3,0),1.5)))</f>
        <v/>
      </c>
      <c r="N1605">
        <f>IF($G1605="",0,IF($H1605="مرجوعی فروش",-1,1)*IF(Sync!$AC1601="",0,Sync!$AC1601))</f>
        <v/>
      </c>
      <c r="O1605">
        <f>IF(OR($G1605="",Sync!$V1601=""),"",Sync!$V1601)</f>
        <v/>
      </c>
      <c r="P1605">
        <f>IF(OR($G1605="",Sync!$AD1601=""),"",Sync!$AD1601)</f>
        <v/>
      </c>
      <c r="Q1605">
        <f>IF($G1605="","",IF(Sync!$U1601="","0000",IF(AND(ISNUMBER(Sync!$U1601),Sync!$U1601&gt;=0,Sync!$U1601&lt;1),RIGHT("00"&amp;HOUR(Sync!$U1601),2)&amp;RIGHT("00"&amp;MINUTE(Sync!$U1601),2),IFERROR(RIGHT("00"&amp;VALUE(LEFT(Sync!$U1601,FIND(":",Sync!$U1601)-1)),2)&amp;RIGHT("00"&amp;VALUE(MID(Sync!$U1601,FIND(":",Sync!$U1601)+1,2)),2),"0000"))))</f>
        <v/>
      </c>
    </row>
    <row r="1606">
      <c r="A1606">
        <f>IF(Sync!$T1602="","",Sync!$T1602)</f>
        <v/>
      </c>
      <c r="B1606">
        <f>IF($A1606="","",IF(ISNUMBER($A1606),IF(AND($A1606&gt;=10000101,$A1606&lt;=99991231),INT($A1606/10000),""),IFERROR(VALUE(TRIM(LEFT($A1606,FIND("/",$A1606)-1))),"")))</f>
        <v/>
      </c>
      <c r="C1606">
        <f>IF(OR($A1606="",$B1606=""),"",IF(ISNUMBER($A1606),INT(MOD($A1606,10000)/100),IFERROR(VALUE(TRIM(LEFT(MID($A1606,FIND("/",$A1606)+1,20),FIND("/",MID($A1606,FIND("/",$A1606)+1,20))-1))),"")))</f>
        <v/>
      </c>
      <c r="D1606">
        <f>IF(OR($A1606="",$B1606=""),"",IF(ISNUMBER($A1606),MOD($A1606,100),IFERROR(VALUE(TRIM(MID(MID($A1606,FIND("/",$A1606)+1,20),FIND("/",MID($A1606,FIND("/",$A1606)+1,20))+1,20))),"")))</f>
        <v/>
      </c>
      <c r="E1606">
        <f>IF($A1606="","",IF(OR($B1606="",$C1606="",$D1606="",$B1606&lt;1300,$B1606&gt;1500,$C1606&lt;1,$C1606&gt;12,$D1606&lt;1,$D1606&gt;31),"نامعتبر",RIGHT("0000"&amp;$B1606,4)&amp;"/"&amp;RIGHT("00"&amp;$C1606,2)&amp;"/"&amp;RIGHT("00"&amp;$D1606,2)))</f>
        <v/>
      </c>
      <c r="F1606">
        <f>IF(OR($E1606="",$E1606="نامعتبر"),"",LEFT($E1606,4)&amp;"/"&amp;MID($E1606,6,2))</f>
        <v/>
      </c>
      <c r="G1606">
        <f>IF(OR($E1606="",$E1606="نامعتبر",Sync!$X1602=""),"",IF(AND(LEFT(UPPER(TRIM(Sync!$X1602)),2)="SL",IFERROR(VLOOKUP(Sync!$W1602,OpTbl,3,0),"")="فروش"),UPPER(TRIM(Sync!$X1602)),""))</f>
        <v/>
      </c>
      <c r="H1606">
        <f>IF($G1606="","",IF(Sync!$W1602="","",Sync!$W1602))</f>
        <v/>
      </c>
      <c r="I1606">
        <f>IF(OR($G1606="",Sync!$Y1602=""),"",Sync!$Y1602)</f>
        <v/>
      </c>
      <c r="J1606">
        <f>IF(OR($G1606="",Sync!$Z1602=""),"",Sync!$Z1602)</f>
        <v/>
      </c>
      <c r="K1606">
        <f>IF($G1606="",0,IF(Sync!$AA1602="",0,Sync!$AA1602))</f>
        <v/>
      </c>
      <c r="L1606">
        <f>IF($G1606="",0,IF(Sync!$AB1602="",0,Sync!$AB1602))</f>
        <v/>
      </c>
      <c r="M1606">
        <f>IF($G1606="","",IF($H1606="مرجوعی فروش",-1,1)*($K1606-$L1606*IFERROR(VLOOKUP("P01",ParamTbl,3,0),1.5)))</f>
        <v/>
      </c>
      <c r="N1606">
        <f>IF($G1606="",0,IF($H1606="مرجوعی فروش",-1,1)*IF(Sync!$AC1602="",0,Sync!$AC1602))</f>
        <v/>
      </c>
      <c r="O1606">
        <f>IF(OR($G1606="",Sync!$V1602=""),"",Sync!$V1602)</f>
        <v/>
      </c>
      <c r="P1606">
        <f>IF(OR($G1606="",Sync!$AD1602=""),"",Sync!$AD1602)</f>
        <v/>
      </c>
      <c r="Q1606">
        <f>IF($G1606="","",IF(Sync!$U1602="","0000",IF(AND(ISNUMBER(Sync!$U1602),Sync!$U1602&gt;=0,Sync!$U1602&lt;1),RIGHT("00"&amp;HOUR(Sync!$U1602),2)&amp;RIGHT("00"&amp;MINUTE(Sync!$U1602),2),IFERROR(RIGHT("00"&amp;VALUE(LEFT(Sync!$U1602,FIND(":",Sync!$U1602)-1)),2)&amp;RIGHT("00"&amp;VALUE(MID(Sync!$U1602,FIND(":",Sync!$U1602)+1,2)),2),"0000"))))</f>
        <v/>
      </c>
    </row>
    <row r="1607">
      <c r="A1607">
        <f>IF(Sync!$T1603="","",Sync!$T1603)</f>
        <v/>
      </c>
      <c r="B1607">
        <f>IF($A1607="","",IF(ISNUMBER($A1607),IF(AND($A1607&gt;=10000101,$A1607&lt;=99991231),INT($A1607/10000),""),IFERROR(VALUE(TRIM(LEFT($A1607,FIND("/",$A1607)-1))),"")))</f>
        <v/>
      </c>
      <c r="C1607">
        <f>IF(OR($A1607="",$B1607=""),"",IF(ISNUMBER($A1607),INT(MOD($A1607,10000)/100),IFERROR(VALUE(TRIM(LEFT(MID($A1607,FIND("/",$A1607)+1,20),FIND("/",MID($A1607,FIND("/",$A1607)+1,20))-1))),"")))</f>
        <v/>
      </c>
      <c r="D1607">
        <f>IF(OR($A1607="",$B1607=""),"",IF(ISNUMBER($A1607),MOD($A1607,100),IFERROR(VALUE(TRIM(MID(MID($A1607,FIND("/",$A1607)+1,20),FIND("/",MID($A1607,FIND("/",$A1607)+1,20))+1,20))),"")))</f>
        <v/>
      </c>
      <c r="E1607">
        <f>IF($A1607="","",IF(OR($B1607="",$C1607="",$D1607="",$B1607&lt;1300,$B1607&gt;1500,$C1607&lt;1,$C1607&gt;12,$D1607&lt;1,$D1607&gt;31),"نامعتبر",RIGHT("0000"&amp;$B1607,4)&amp;"/"&amp;RIGHT("00"&amp;$C1607,2)&amp;"/"&amp;RIGHT("00"&amp;$D1607,2)))</f>
        <v/>
      </c>
      <c r="F1607">
        <f>IF(OR($E1607="",$E1607="نامعتبر"),"",LEFT($E1607,4)&amp;"/"&amp;MID($E1607,6,2))</f>
        <v/>
      </c>
      <c r="G1607">
        <f>IF(OR($E1607="",$E1607="نامعتبر",Sync!$X1603=""),"",IF(AND(LEFT(UPPER(TRIM(Sync!$X1603)),2)="SL",IFERROR(VLOOKUP(Sync!$W1603,OpTbl,3,0),"")="فروش"),UPPER(TRIM(Sync!$X1603)),""))</f>
        <v/>
      </c>
      <c r="H1607">
        <f>IF($G1607="","",IF(Sync!$W1603="","",Sync!$W1603))</f>
        <v/>
      </c>
      <c r="I1607">
        <f>IF(OR($G1607="",Sync!$Y1603=""),"",Sync!$Y1603)</f>
        <v/>
      </c>
      <c r="J1607">
        <f>IF(OR($G1607="",Sync!$Z1603=""),"",Sync!$Z1603)</f>
        <v/>
      </c>
      <c r="K1607">
        <f>IF($G1607="",0,IF(Sync!$AA1603="",0,Sync!$AA1603))</f>
        <v/>
      </c>
      <c r="L1607">
        <f>IF($G1607="",0,IF(Sync!$AB1603="",0,Sync!$AB1603))</f>
        <v/>
      </c>
      <c r="M1607">
        <f>IF($G1607="","",IF($H1607="مرجوعی فروش",-1,1)*($K1607-$L1607*IFERROR(VLOOKUP("P01",ParamTbl,3,0),1.5)))</f>
        <v/>
      </c>
      <c r="N1607">
        <f>IF($G1607="",0,IF($H1607="مرجوعی فروش",-1,1)*IF(Sync!$AC1603="",0,Sync!$AC1603))</f>
        <v/>
      </c>
      <c r="O1607">
        <f>IF(OR($G1607="",Sync!$V1603=""),"",Sync!$V1603)</f>
        <v/>
      </c>
      <c r="P1607">
        <f>IF(OR($G1607="",Sync!$AD1603=""),"",Sync!$AD1603)</f>
        <v/>
      </c>
      <c r="Q1607">
        <f>IF($G1607="","",IF(Sync!$U1603="","0000",IF(AND(ISNUMBER(Sync!$U1603),Sync!$U1603&gt;=0,Sync!$U1603&lt;1),RIGHT("00"&amp;HOUR(Sync!$U1603),2)&amp;RIGHT("00"&amp;MINUTE(Sync!$U1603),2),IFERROR(RIGHT("00"&amp;VALUE(LEFT(Sync!$U1603,FIND(":",Sync!$U1603)-1)),2)&amp;RIGHT("00"&amp;VALUE(MID(Sync!$U1603,FIND(":",Sync!$U1603)+1,2)),2),"0000"))))</f>
        <v/>
      </c>
    </row>
    <row r="1608">
      <c r="A1608">
        <f>IF(Sync!$T1604="","",Sync!$T1604)</f>
        <v/>
      </c>
      <c r="B1608">
        <f>IF($A1608="","",IF(ISNUMBER($A1608),IF(AND($A1608&gt;=10000101,$A1608&lt;=99991231),INT($A1608/10000),""),IFERROR(VALUE(TRIM(LEFT($A1608,FIND("/",$A1608)-1))),"")))</f>
        <v/>
      </c>
      <c r="C1608">
        <f>IF(OR($A1608="",$B1608=""),"",IF(ISNUMBER($A1608),INT(MOD($A1608,10000)/100),IFERROR(VALUE(TRIM(LEFT(MID($A1608,FIND("/",$A1608)+1,20),FIND("/",MID($A1608,FIND("/",$A1608)+1,20))-1))),"")))</f>
        <v/>
      </c>
      <c r="D1608">
        <f>IF(OR($A1608="",$B1608=""),"",IF(ISNUMBER($A1608),MOD($A1608,100),IFERROR(VALUE(TRIM(MID(MID($A1608,FIND("/",$A1608)+1,20),FIND("/",MID($A1608,FIND("/",$A1608)+1,20))+1,20))),"")))</f>
        <v/>
      </c>
      <c r="E1608">
        <f>IF($A1608="","",IF(OR($B1608="",$C1608="",$D1608="",$B1608&lt;1300,$B1608&gt;1500,$C1608&lt;1,$C1608&gt;12,$D1608&lt;1,$D1608&gt;31),"نامعتبر",RIGHT("0000"&amp;$B1608,4)&amp;"/"&amp;RIGHT("00"&amp;$C1608,2)&amp;"/"&amp;RIGHT("00"&amp;$D1608,2)))</f>
        <v/>
      </c>
      <c r="F1608">
        <f>IF(OR($E1608="",$E1608="نامعتبر"),"",LEFT($E1608,4)&amp;"/"&amp;MID($E1608,6,2))</f>
        <v/>
      </c>
      <c r="G1608">
        <f>IF(OR($E1608="",$E1608="نامعتبر",Sync!$X1604=""),"",IF(AND(LEFT(UPPER(TRIM(Sync!$X1604)),2)="SL",IFERROR(VLOOKUP(Sync!$W1604,OpTbl,3,0),"")="فروش"),UPPER(TRIM(Sync!$X1604)),""))</f>
        <v/>
      </c>
      <c r="H1608">
        <f>IF($G1608="","",IF(Sync!$W1604="","",Sync!$W1604))</f>
        <v/>
      </c>
      <c r="I1608">
        <f>IF(OR($G1608="",Sync!$Y1604=""),"",Sync!$Y1604)</f>
        <v/>
      </c>
      <c r="J1608">
        <f>IF(OR($G1608="",Sync!$Z1604=""),"",Sync!$Z1604)</f>
        <v/>
      </c>
      <c r="K1608">
        <f>IF($G1608="",0,IF(Sync!$AA1604="",0,Sync!$AA1604))</f>
        <v/>
      </c>
      <c r="L1608">
        <f>IF($G1608="",0,IF(Sync!$AB1604="",0,Sync!$AB1604))</f>
        <v/>
      </c>
      <c r="M1608">
        <f>IF($G1608="","",IF($H1608="مرجوعی فروش",-1,1)*($K1608-$L1608*IFERROR(VLOOKUP("P01",ParamTbl,3,0),1.5)))</f>
        <v/>
      </c>
      <c r="N1608">
        <f>IF($G1608="",0,IF($H1608="مرجوعی فروش",-1,1)*IF(Sync!$AC1604="",0,Sync!$AC1604))</f>
        <v/>
      </c>
      <c r="O1608">
        <f>IF(OR($G1608="",Sync!$V1604=""),"",Sync!$V1604)</f>
        <v/>
      </c>
      <c r="P1608">
        <f>IF(OR($G1608="",Sync!$AD1604=""),"",Sync!$AD1604)</f>
        <v/>
      </c>
      <c r="Q1608">
        <f>IF($G1608="","",IF(Sync!$U1604="","0000",IF(AND(ISNUMBER(Sync!$U1604),Sync!$U1604&gt;=0,Sync!$U1604&lt;1),RIGHT("00"&amp;HOUR(Sync!$U1604),2)&amp;RIGHT("00"&amp;MINUTE(Sync!$U1604),2),IFERROR(RIGHT("00"&amp;VALUE(LEFT(Sync!$U1604,FIND(":",Sync!$U1604)-1)),2)&amp;RIGHT("00"&amp;VALUE(MID(Sync!$U1604,FIND(":",Sync!$U1604)+1,2)),2),"0000"))))</f>
        <v/>
      </c>
    </row>
    <row r="1609">
      <c r="A1609">
        <f>IF(Sync!$T1605="","",Sync!$T1605)</f>
        <v/>
      </c>
      <c r="B1609">
        <f>IF($A1609="","",IF(ISNUMBER($A1609),IF(AND($A1609&gt;=10000101,$A1609&lt;=99991231),INT($A1609/10000),""),IFERROR(VALUE(TRIM(LEFT($A1609,FIND("/",$A1609)-1))),"")))</f>
        <v/>
      </c>
      <c r="C1609">
        <f>IF(OR($A1609="",$B1609=""),"",IF(ISNUMBER($A1609),INT(MOD($A1609,10000)/100),IFERROR(VALUE(TRIM(LEFT(MID($A1609,FIND("/",$A1609)+1,20),FIND("/",MID($A1609,FIND("/",$A1609)+1,20))-1))),"")))</f>
        <v/>
      </c>
      <c r="D1609">
        <f>IF(OR($A1609="",$B1609=""),"",IF(ISNUMBER($A1609),MOD($A1609,100),IFERROR(VALUE(TRIM(MID(MID($A1609,FIND("/",$A1609)+1,20),FIND("/",MID($A1609,FIND("/",$A1609)+1,20))+1,20))),"")))</f>
        <v/>
      </c>
      <c r="E1609">
        <f>IF($A1609="","",IF(OR($B1609="",$C1609="",$D1609="",$B1609&lt;1300,$B1609&gt;1500,$C1609&lt;1,$C1609&gt;12,$D1609&lt;1,$D1609&gt;31),"نامعتبر",RIGHT("0000"&amp;$B1609,4)&amp;"/"&amp;RIGHT("00"&amp;$C1609,2)&amp;"/"&amp;RIGHT("00"&amp;$D1609,2)))</f>
        <v/>
      </c>
      <c r="F1609">
        <f>IF(OR($E1609="",$E1609="نامعتبر"),"",LEFT($E1609,4)&amp;"/"&amp;MID($E1609,6,2))</f>
        <v/>
      </c>
      <c r="G1609">
        <f>IF(OR($E1609="",$E1609="نامعتبر",Sync!$X1605=""),"",IF(AND(LEFT(UPPER(TRIM(Sync!$X1605)),2)="SL",IFERROR(VLOOKUP(Sync!$W1605,OpTbl,3,0),"")="فروش"),UPPER(TRIM(Sync!$X1605)),""))</f>
        <v/>
      </c>
      <c r="H1609">
        <f>IF($G1609="","",IF(Sync!$W1605="","",Sync!$W1605))</f>
        <v/>
      </c>
      <c r="I1609">
        <f>IF(OR($G1609="",Sync!$Y1605=""),"",Sync!$Y1605)</f>
        <v/>
      </c>
      <c r="J1609">
        <f>IF(OR($G1609="",Sync!$Z1605=""),"",Sync!$Z1605)</f>
        <v/>
      </c>
      <c r="K1609">
        <f>IF($G1609="",0,IF(Sync!$AA1605="",0,Sync!$AA1605))</f>
        <v/>
      </c>
      <c r="L1609">
        <f>IF($G1609="",0,IF(Sync!$AB1605="",0,Sync!$AB1605))</f>
        <v/>
      </c>
      <c r="M1609">
        <f>IF($G1609="","",IF($H1609="مرجوعی فروش",-1,1)*($K1609-$L1609*IFERROR(VLOOKUP("P01",ParamTbl,3,0),1.5)))</f>
        <v/>
      </c>
      <c r="N1609">
        <f>IF($G1609="",0,IF($H1609="مرجوعی فروش",-1,1)*IF(Sync!$AC1605="",0,Sync!$AC1605))</f>
        <v/>
      </c>
      <c r="O1609">
        <f>IF(OR($G1609="",Sync!$V1605=""),"",Sync!$V1605)</f>
        <v/>
      </c>
      <c r="P1609">
        <f>IF(OR($G1609="",Sync!$AD1605=""),"",Sync!$AD1605)</f>
        <v/>
      </c>
      <c r="Q1609">
        <f>IF($G1609="","",IF(Sync!$U1605="","0000",IF(AND(ISNUMBER(Sync!$U1605),Sync!$U1605&gt;=0,Sync!$U1605&lt;1),RIGHT("00"&amp;HOUR(Sync!$U1605),2)&amp;RIGHT("00"&amp;MINUTE(Sync!$U1605),2),IFERROR(RIGHT("00"&amp;VALUE(LEFT(Sync!$U1605,FIND(":",Sync!$U1605)-1)),2)&amp;RIGHT("00"&amp;VALUE(MID(Sync!$U1605,FIND(":",Sync!$U1605)+1,2)),2),"0000"))))</f>
        <v/>
      </c>
    </row>
    <row r="1610">
      <c r="A1610">
        <f>IF(Sync!$T1606="","",Sync!$T1606)</f>
        <v/>
      </c>
      <c r="B1610">
        <f>IF($A1610="","",IF(ISNUMBER($A1610),IF(AND($A1610&gt;=10000101,$A1610&lt;=99991231),INT($A1610/10000),""),IFERROR(VALUE(TRIM(LEFT($A1610,FIND("/",$A1610)-1))),"")))</f>
        <v/>
      </c>
      <c r="C1610">
        <f>IF(OR($A1610="",$B1610=""),"",IF(ISNUMBER($A1610),INT(MOD($A1610,10000)/100),IFERROR(VALUE(TRIM(LEFT(MID($A1610,FIND("/",$A1610)+1,20),FIND("/",MID($A1610,FIND("/",$A1610)+1,20))-1))),"")))</f>
        <v/>
      </c>
      <c r="D1610">
        <f>IF(OR($A1610="",$B1610=""),"",IF(ISNUMBER($A1610),MOD($A1610,100),IFERROR(VALUE(TRIM(MID(MID($A1610,FIND("/",$A1610)+1,20),FIND("/",MID($A1610,FIND("/",$A1610)+1,20))+1,20))),"")))</f>
        <v/>
      </c>
      <c r="E1610">
        <f>IF($A1610="","",IF(OR($B1610="",$C1610="",$D1610="",$B1610&lt;1300,$B1610&gt;1500,$C1610&lt;1,$C1610&gt;12,$D1610&lt;1,$D1610&gt;31),"نامعتبر",RIGHT("0000"&amp;$B1610,4)&amp;"/"&amp;RIGHT("00"&amp;$C1610,2)&amp;"/"&amp;RIGHT("00"&amp;$D1610,2)))</f>
        <v/>
      </c>
      <c r="F1610">
        <f>IF(OR($E1610="",$E1610="نامعتبر"),"",LEFT($E1610,4)&amp;"/"&amp;MID($E1610,6,2))</f>
        <v/>
      </c>
      <c r="G1610">
        <f>IF(OR($E1610="",$E1610="نامعتبر",Sync!$X1606=""),"",IF(AND(LEFT(UPPER(TRIM(Sync!$X1606)),2)="SL",IFERROR(VLOOKUP(Sync!$W1606,OpTbl,3,0),"")="فروش"),UPPER(TRIM(Sync!$X1606)),""))</f>
        <v/>
      </c>
      <c r="H1610">
        <f>IF($G1610="","",IF(Sync!$W1606="","",Sync!$W1606))</f>
        <v/>
      </c>
      <c r="I1610">
        <f>IF(OR($G1610="",Sync!$Y1606=""),"",Sync!$Y1606)</f>
        <v/>
      </c>
      <c r="J1610">
        <f>IF(OR($G1610="",Sync!$Z1606=""),"",Sync!$Z1606)</f>
        <v/>
      </c>
      <c r="K1610">
        <f>IF($G1610="",0,IF(Sync!$AA1606="",0,Sync!$AA1606))</f>
        <v/>
      </c>
      <c r="L1610">
        <f>IF($G1610="",0,IF(Sync!$AB1606="",0,Sync!$AB1606))</f>
        <v/>
      </c>
      <c r="M1610">
        <f>IF($G1610="","",IF($H1610="مرجوعی فروش",-1,1)*($K1610-$L1610*IFERROR(VLOOKUP("P01",ParamTbl,3,0),1.5)))</f>
        <v/>
      </c>
      <c r="N1610">
        <f>IF($G1610="",0,IF($H1610="مرجوعی فروش",-1,1)*IF(Sync!$AC1606="",0,Sync!$AC1606))</f>
        <v/>
      </c>
      <c r="O1610">
        <f>IF(OR($G1610="",Sync!$V1606=""),"",Sync!$V1606)</f>
        <v/>
      </c>
      <c r="P1610">
        <f>IF(OR($G1610="",Sync!$AD1606=""),"",Sync!$AD1606)</f>
        <v/>
      </c>
      <c r="Q1610">
        <f>IF($G1610="","",IF(Sync!$U1606="","0000",IF(AND(ISNUMBER(Sync!$U1606),Sync!$U1606&gt;=0,Sync!$U1606&lt;1),RIGHT("00"&amp;HOUR(Sync!$U1606),2)&amp;RIGHT("00"&amp;MINUTE(Sync!$U1606),2),IFERROR(RIGHT("00"&amp;VALUE(LEFT(Sync!$U1606,FIND(":",Sync!$U1606)-1)),2)&amp;RIGHT("00"&amp;VALUE(MID(Sync!$U1606,FIND(":",Sync!$U1606)+1,2)),2),"0000"))))</f>
        <v/>
      </c>
    </row>
    <row r="1611">
      <c r="A1611">
        <f>IF(Sync!$T1607="","",Sync!$T1607)</f>
        <v/>
      </c>
      <c r="B1611">
        <f>IF($A1611="","",IF(ISNUMBER($A1611),IF(AND($A1611&gt;=10000101,$A1611&lt;=99991231),INT($A1611/10000),""),IFERROR(VALUE(TRIM(LEFT($A1611,FIND("/",$A1611)-1))),"")))</f>
        <v/>
      </c>
      <c r="C1611">
        <f>IF(OR($A1611="",$B1611=""),"",IF(ISNUMBER($A1611),INT(MOD($A1611,10000)/100),IFERROR(VALUE(TRIM(LEFT(MID($A1611,FIND("/",$A1611)+1,20),FIND("/",MID($A1611,FIND("/",$A1611)+1,20))-1))),"")))</f>
        <v/>
      </c>
      <c r="D1611">
        <f>IF(OR($A1611="",$B1611=""),"",IF(ISNUMBER($A1611),MOD($A1611,100),IFERROR(VALUE(TRIM(MID(MID($A1611,FIND("/",$A1611)+1,20),FIND("/",MID($A1611,FIND("/",$A1611)+1,20))+1,20))),"")))</f>
        <v/>
      </c>
      <c r="E1611">
        <f>IF($A1611="","",IF(OR($B1611="",$C1611="",$D1611="",$B1611&lt;1300,$B1611&gt;1500,$C1611&lt;1,$C1611&gt;12,$D1611&lt;1,$D1611&gt;31),"نامعتبر",RIGHT("0000"&amp;$B1611,4)&amp;"/"&amp;RIGHT("00"&amp;$C1611,2)&amp;"/"&amp;RIGHT("00"&amp;$D1611,2)))</f>
        <v/>
      </c>
      <c r="F1611">
        <f>IF(OR($E1611="",$E1611="نامعتبر"),"",LEFT($E1611,4)&amp;"/"&amp;MID($E1611,6,2))</f>
        <v/>
      </c>
      <c r="G1611">
        <f>IF(OR($E1611="",$E1611="نامعتبر",Sync!$X1607=""),"",IF(AND(LEFT(UPPER(TRIM(Sync!$X1607)),2)="SL",IFERROR(VLOOKUP(Sync!$W1607,OpTbl,3,0),"")="فروش"),UPPER(TRIM(Sync!$X1607)),""))</f>
        <v/>
      </c>
      <c r="H1611">
        <f>IF($G1611="","",IF(Sync!$W1607="","",Sync!$W1607))</f>
        <v/>
      </c>
      <c r="I1611">
        <f>IF(OR($G1611="",Sync!$Y1607=""),"",Sync!$Y1607)</f>
        <v/>
      </c>
      <c r="J1611">
        <f>IF(OR($G1611="",Sync!$Z1607=""),"",Sync!$Z1607)</f>
        <v/>
      </c>
      <c r="K1611">
        <f>IF($G1611="",0,IF(Sync!$AA1607="",0,Sync!$AA1607))</f>
        <v/>
      </c>
      <c r="L1611">
        <f>IF($G1611="",0,IF(Sync!$AB1607="",0,Sync!$AB1607))</f>
        <v/>
      </c>
      <c r="M1611">
        <f>IF($G1611="","",IF($H1611="مرجوعی فروش",-1,1)*($K1611-$L1611*IFERROR(VLOOKUP("P01",ParamTbl,3,0),1.5)))</f>
        <v/>
      </c>
      <c r="N1611">
        <f>IF($G1611="",0,IF($H1611="مرجوعی فروش",-1,1)*IF(Sync!$AC1607="",0,Sync!$AC1607))</f>
        <v/>
      </c>
      <c r="O1611">
        <f>IF(OR($G1611="",Sync!$V1607=""),"",Sync!$V1607)</f>
        <v/>
      </c>
      <c r="P1611">
        <f>IF(OR($G1611="",Sync!$AD1607=""),"",Sync!$AD1607)</f>
        <v/>
      </c>
      <c r="Q1611">
        <f>IF($G1611="","",IF(Sync!$U1607="","0000",IF(AND(ISNUMBER(Sync!$U1607),Sync!$U1607&gt;=0,Sync!$U1607&lt;1),RIGHT("00"&amp;HOUR(Sync!$U1607),2)&amp;RIGHT("00"&amp;MINUTE(Sync!$U1607),2),IFERROR(RIGHT("00"&amp;VALUE(LEFT(Sync!$U1607,FIND(":",Sync!$U1607)-1)),2)&amp;RIGHT("00"&amp;VALUE(MID(Sync!$U1607,FIND(":",Sync!$U1607)+1,2)),2),"0000"))))</f>
        <v/>
      </c>
    </row>
    <row r="1612">
      <c r="A1612">
        <f>IF(Sync!$T1608="","",Sync!$T1608)</f>
        <v/>
      </c>
      <c r="B1612">
        <f>IF($A1612="","",IF(ISNUMBER($A1612),IF(AND($A1612&gt;=10000101,$A1612&lt;=99991231),INT($A1612/10000),""),IFERROR(VALUE(TRIM(LEFT($A1612,FIND("/",$A1612)-1))),"")))</f>
        <v/>
      </c>
      <c r="C1612">
        <f>IF(OR($A1612="",$B1612=""),"",IF(ISNUMBER($A1612),INT(MOD($A1612,10000)/100),IFERROR(VALUE(TRIM(LEFT(MID($A1612,FIND("/",$A1612)+1,20),FIND("/",MID($A1612,FIND("/",$A1612)+1,20))-1))),"")))</f>
        <v/>
      </c>
      <c r="D1612">
        <f>IF(OR($A1612="",$B1612=""),"",IF(ISNUMBER($A1612),MOD($A1612,100),IFERROR(VALUE(TRIM(MID(MID($A1612,FIND("/",$A1612)+1,20),FIND("/",MID($A1612,FIND("/",$A1612)+1,20))+1,20))),"")))</f>
        <v/>
      </c>
      <c r="E1612">
        <f>IF($A1612="","",IF(OR($B1612="",$C1612="",$D1612="",$B1612&lt;1300,$B1612&gt;1500,$C1612&lt;1,$C1612&gt;12,$D1612&lt;1,$D1612&gt;31),"نامعتبر",RIGHT("0000"&amp;$B1612,4)&amp;"/"&amp;RIGHT("00"&amp;$C1612,2)&amp;"/"&amp;RIGHT("00"&amp;$D1612,2)))</f>
        <v/>
      </c>
      <c r="F1612">
        <f>IF(OR($E1612="",$E1612="نامعتبر"),"",LEFT($E1612,4)&amp;"/"&amp;MID($E1612,6,2))</f>
        <v/>
      </c>
      <c r="G1612">
        <f>IF(OR($E1612="",$E1612="نامعتبر",Sync!$X1608=""),"",IF(AND(LEFT(UPPER(TRIM(Sync!$X1608)),2)="SL",IFERROR(VLOOKUP(Sync!$W1608,OpTbl,3,0),"")="فروش"),UPPER(TRIM(Sync!$X1608)),""))</f>
        <v/>
      </c>
      <c r="H1612">
        <f>IF($G1612="","",IF(Sync!$W1608="","",Sync!$W1608))</f>
        <v/>
      </c>
      <c r="I1612">
        <f>IF(OR($G1612="",Sync!$Y1608=""),"",Sync!$Y1608)</f>
        <v/>
      </c>
      <c r="J1612">
        <f>IF(OR($G1612="",Sync!$Z1608=""),"",Sync!$Z1608)</f>
        <v/>
      </c>
      <c r="K1612">
        <f>IF($G1612="",0,IF(Sync!$AA1608="",0,Sync!$AA1608))</f>
        <v/>
      </c>
      <c r="L1612">
        <f>IF($G1612="",0,IF(Sync!$AB1608="",0,Sync!$AB1608))</f>
        <v/>
      </c>
      <c r="M1612">
        <f>IF($G1612="","",IF($H1612="مرجوعی فروش",-1,1)*($K1612-$L1612*IFERROR(VLOOKUP("P01",ParamTbl,3,0),1.5)))</f>
        <v/>
      </c>
      <c r="N1612">
        <f>IF($G1612="",0,IF($H1612="مرجوعی فروش",-1,1)*IF(Sync!$AC1608="",0,Sync!$AC1608))</f>
        <v/>
      </c>
      <c r="O1612">
        <f>IF(OR($G1612="",Sync!$V1608=""),"",Sync!$V1608)</f>
        <v/>
      </c>
      <c r="P1612">
        <f>IF(OR($G1612="",Sync!$AD1608=""),"",Sync!$AD1608)</f>
        <v/>
      </c>
      <c r="Q1612">
        <f>IF($G1612="","",IF(Sync!$U1608="","0000",IF(AND(ISNUMBER(Sync!$U1608),Sync!$U1608&gt;=0,Sync!$U1608&lt;1),RIGHT("00"&amp;HOUR(Sync!$U1608),2)&amp;RIGHT("00"&amp;MINUTE(Sync!$U1608),2),IFERROR(RIGHT("00"&amp;VALUE(LEFT(Sync!$U1608,FIND(":",Sync!$U1608)-1)),2)&amp;RIGHT("00"&amp;VALUE(MID(Sync!$U1608,FIND(":",Sync!$U1608)+1,2)),2),"0000"))))</f>
        <v/>
      </c>
    </row>
    <row r="1613">
      <c r="A1613">
        <f>IF(Sync!$T1609="","",Sync!$T1609)</f>
        <v/>
      </c>
      <c r="B1613">
        <f>IF($A1613="","",IF(ISNUMBER($A1613),IF(AND($A1613&gt;=10000101,$A1613&lt;=99991231),INT($A1613/10000),""),IFERROR(VALUE(TRIM(LEFT($A1613,FIND("/",$A1613)-1))),"")))</f>
        <v/>
      </c>
      <c r="C1613">
        <f>IF(OR($A1613="",$B1613=""),"",IF(ISNUMBER($A1613),INT(MOD($A1613,10000)/100),IFERROR(VALUE(TRIM(LEFT(MID($A1613,FIND("/",$A1613)+1,20),FIND("/",MID($A1613,FIND("/",$A1613)+1,20))-1))),"")))</f>
        <v/>
      </c>
      <c r="D1613">
        <f>IF(OR($A1613="",$B1613=""),"",IF(ISNUMBER($A1613),MOD($A1613,100),IFERROR(VALUE(TRIM(MID(MID($A1613,FIND("/",$A1613)+1,20),FIND("/",MID($A1613,FIND("/",$A1613)+1,20))+1,20))),"")))</f>
        <v/>
      </c>
      <c r="E1613">
        <f>IF($A1613="","",IF(OR($B1613="",$C1613="",$D1613="",$B1613&lt;1300,$B1613&gt;1500,$C1613&lt;1,$C1613&gt;12,$D1613&lt;1,$D1613&gt;31),"نامعتبر",RIGHT("0000"&amp;$B1613,4)&amp;"/"&amp;RIGHT("00"&amp;$C1613,2)&amp;"/"&amp;RIGHT("00"&amp;$D1613,2)))</f>
        <v/>
      </c>
      <c r="F1613">
        <f>IF(OR($E1613="",$E1613="نامعتبر"),"",LEFT($E1613,4)&amp;"/"&amp;MID($E1613,6,2))</f>
        <v/>
      </c>
      <c r="G1613">
        <f>IF(OR($E1613="",$E1613="نامعتبر",Sync!$X1609=""),"",IF(AND(LEFT(UPPER(TRIM(Sync!$X1609)),2)="SL",IFERROR(VLOOKUP(Sync!$W1609,OpTbl,3,0),"")="فروش"),UPPER(TRIM(Sync!$X1609)),""))</f>
        <v/>
      </c>
      <c r="H1613">
        <f>IF($G1613="","",IF(Sync!$W1609="","",Sync!$W1609))</f>
        <v/>
      </c>
      <c r="I1613">
        <f>IF(OR($G1613="",Sync!$Y1609=""),"",Sync!$Y1609)</f>
        <v/>
      </c>
      <c r="J1613">
        <f>IF(OR($G1613="",Sync!$Z1609=""),"",Sync!$Z1609)</f>
        <v/>
      </c>
      <c r="K1613">
        <f>IF($G1613="",0,IF(Sync!$AA1609="",0,Sync!$AA1609))</f>
        <v/>
      </c>
      <c r="L1613">
        <f>IF($G1613="",0,IF(Sync!$AB1609="",0,Sync!$AB1609))</f>
        <v/>
      </c>
      <c r="M1613">
        <f>IF($G1613="","",IF($H1613="مرجوعی فروش",-1,1)*($K1613-$L1613*IFERROR(VLOOKUP("P01",ParamTbl,3,0),1.5)))</f>
        <v/>
      </c>
      <c r="N1613">
        <f>IF($G1613="",0,IF($H1613="مرجوعی فروش",-1,1)*IF(Sync!$AC1609="",0,Sync!$AC1609))</f>
        <v/>
      </c>
      <c r="O1613">
        <f>IF(OR($G1613="",Sync!$V1609=""),"",Sync!$V1609)</f>
        <v/>
      </c>
      <c r="P1613">
        <f>IF(OR($G1613="",Sync!$AD1609=""),"",Sync!$AD1609)</f>
        <v/>
      </c>
      <c r="Q1613">
        <f>IF($G1613="","",IF(Sync!$U1609="","0000",IF(AND(ISNUMBER(Sync!$U1609),Sync!$U1609&gt;=0,Sync!$U1609&lt;1),RIGHT("00"&amp;HOUR(Sync!$U1609),2)&amp;RIGHT("00"&amp;MINUTE(Sync!$U1609),2),IFERROR(RIGHT("00"&amp;VALUE(LEFT(Sync!$U1609,FIND(":",Sync!$U1609)-1)),2)&amp;RIGHT("00"&amp;VALUE(MID(Sync!$U1609,FIND(":",Sync!$U1609)+1,2)),2),"0000"))))</f>
        <v/>
      </c>
    </row>
    <row r="1614">
      <c r="A1614">
        <f>IF(Sync!$T1610="","",Sync!$T1610)</f>
        <v/>
      </c>
      <c r="B1614">
        <f>IF($A1614="","",IF(ISNUMBER($A1614),IF(AND($A1614&gt;=10000101,$A1614&lt;=99991231),INT($A1614/10000),""),IFERROR(VALUE(TRIM(LEFT($A1614,FIND("/",$A1614)-1))),"")))</f>
        <v/>
      </c>
      <c r="C1614">
        <f>IF(OR($A1614="",$B1614=""),"",IF(ISNUMBER($A1614),INT(MOD($A1614,10000)/100),IFERROR(VALUE(TRIM(LEFT(MID($A1614,FIND("/",$A1614)+1,20),FIND("/",MID($A1614,FIND("/",$A1614)+1,20))-1))),"")))</f>
        <v/>
      </c>
      <c r="D1614">
        <f>IF(OR($A1614="",$B1614=""),"",IF(ISNUMBER($A1614),MOD($A1614,100),IFERROR(VALUE(TRIM(MID(MID($A1614,FIND("/",$A1614)+1,20),FIND("/",MID($A1614,FIND("/",$A1614)+1,20))+1,20))),"")))</f>
        <v/>
      </c>
      <c r="E1614">
        <f>IF($A1614="","",IF(OR($B1614="",$C1614="",$D1614="",$B1614&lt;1300,$B1614&gt;1500,$C1614&lt;1,$C1614&gt;12,$D1614&lt;1,$D1614&gt;31),"نامعتبر",RIGHT("0000"&amp;$B1614,4)&amp;"/"&amp;RIGHT("00"&amp;$C1614,2)&amp;"/"&amp;RIGHT("00"&amp;$D1614,2)))</f>
        <v/>
      </c>
      <c r="F1614">
        <f>IF(OR($E1614="",$E1614="نامعتبر"),"",LEFT($E1614,4)&amp;"/"&amp;MID($E1614,6,2))</f>
        <v/>
      </c>
      <c r="G1614">
        <f>IF(OR($E1614="",$E1614="نامعتبر",Sync!$X1610=""),"",IF(AND(LEFT(UPPER(TRIM(Sync!$X1610)),2)="SL",IFERROR(VLOOKUP(Sync!$W1610,OpTbl,3,0),"")="فروش"),UPPER(TRIM(Sync!$X1610)),""))</f>
        <v/>
      </c>
      <c r="H1614">
        <f>IF($G1614="","",IF(Sync!$W1610="","",Sync!$W1610))</f>
        <v/>
      </c>
      <c r="I1614">
        <f>IF(OR($G1614="",Sync!$Y1610=""),"",Sync!$Y1610)</f>
        <v/>
      </c>
      <c r="J1614">
        <f>IF(OR($G1614="",Sync!$Z1610=""),"",Sync!$Z1610)</f>
        <v/>
      </c>
      <c r="K1614">
        <f>IF($G1614="",0,IF(Sync!$AA1610="",0,Sync!$AA1610))</f>
        <v/>
      </c>
      <c r="L1614">
        <f>IF($G1614="",0,IF(Sync!$AB1610="",0,Sync!$AB1610))</f>
        <v/>
      </c>
      <c r="M1614">
        <f>IF($G1614="","",IF($H1614="مرجوعی فروش",-1,1)*($K1614-$L1614*IFERROR(VLOOKUP("P01",ParamTbl,3,0),1.5)))</f>
        <v/>
      </c>
      <c r="N1614">
        <f>IF($G1614="",0,IF($H1614="مرجوعی فروش",-1,1)*IF(Sync!$AC1610="",0,Sync!$AC1610))</f>
        <v/>
      </c>
      <c r="O1614">
        <f>IF(OR($G1614="",Sync!$V1610=""),"",Sync!$V1610)</f>
        <v/>
      </c>
      <c r="P1614">
        <f>IF(OR($G1614="",Sync!$AD1610=""),"",Sync!$AD1610)</f>
        <v/>
      </c>
      <c r="Q1614">
        <f>IF($G1614="","",IF(Sync!$U1610="","0000",IF(AND(ISNUMBER(Sync!$U1610),Sync!$U1610&gt;=0,Sync!$U1610&lt;1),RIGHT("00"&amp;HOUR(Sync!$U1610),2)&amp;RIGHT("00"&amp;MINUTE(Sync!$U1610),2),IFERROR(RIGHT("00"&amp;VALUE(LEFT(Sync!$U1610,FIND(":",Sync!$U1610)-1)),2)&amp;RIGHT("00"&amp;VALUE(MID(Sync!$U1610,FIND(":",Sync!$U1610)+1,2)),2),"0000"))))</f>
        <v/>
      </c>
    </row>
    <row r="1615">
      <c r="A1615">
        <f>IF(Sync!$T1611="","",Sync!$T1611)</f>
        <v/>
      </c>
      <c r="B1615">
        <f>IF($A1615="","",IF(ISNUMBER($A1615),IF(AND($A1615&gt;=10000101,$A1615&lt;=99991231),INT($A1615/10000),""),IFERROR(VALUE(TRIM(LEFT($A1615,FIND("/",$A1615)-1))),"")))</f>
        <v/>
      </c>
      <c r="C1615">
        <f>IF(OR($A1615="",$B1615=""),"",IF(ISNUMBER($A1615),INT(MOD($A1615,10000)/100),IFERROR(VALUE(TRIM(LEFT(MID($A1615,FIND("/",$A1615)+1,20),FIND("/",MID($A1615,FIND("/",$A1615)+1,20))-1))),"")))</f>
        <v/>
      </c>
      <c r="D1615">
        <f>IF(OR($A1615="",$B1615=""),"",IF(ISNUMBER($A1615),MOD($A1615,100),IFERROR(VALUE(TRIM(MID(MID($A1615,FIND("/",$A1615)+1,20),FIND("/",MID($A1615,FIND("/",$A1615)+1,20))+1,20))),"")))</f>
        <v/>
      </c>
      <c r="E1615">
        <f>IF($A1615="","",IF(OR($B1615="",$C1615="",$D1615="",$B1615&lt;1300,$B1615&gt;1500,$C1615&lt;1,$C1615&gt;12,$D1615&lt;1,$D1615&gt;31),"نامعتبر",RIGHT("0000"&amp;$B1615,4)&amp;"/"&amp;RIGHT("00"&amp;$C1615,2)&amp;"/"&amp;RIGHT("00"&amp;$D1615,2)))</f>
        <v/>
      </c>
      <c r="F1615">
        <f>IF(OR($E1615="",$E1615="نامعتبر"),"",LEFT($E1615,4)&amp;"/"&amp;MID($E1615,6,2))</f>
        <v/>
      </c>
      <c r="G1615">
        <f>IF(OR($E1615="",$E1615="نامعتبر",Sync!$X1611=""),"",IF(AND(LEFT(UPPER(TRIM(Sync!$X1611)),2)="SL",IFERROR(VLOOKUP(Sync!$W1611,OpTbl,3,0),"")="فروش"),UPPER(TRIM(Sync!$X1611)),""))</f>
        <v/>
      </c>
      <c r="H1615">
        <f>IF($G1615="","",IF(Sync!$W1611="","",Sync!$W1611))</f>
        <v/>
      </c>
      <c r="I1615">
        <f>IF(OR($G1615="",Sync!$Y1611=""),"",Sync!$Y1611)</f>
        <v/>
      </c>
      <c r="J1615">
        <f>IF(OR($G1615="",Sync!$Z1611=""),"",Sync!$Z1611)</f>
        <v/>
      </c>
      <c r="K1615">
        <f>IF($G1615="",0,IF(Sync!$AA1611="",0,Sync!$AA1611))</f>
        <v/>
      </c>
      <c r="L1615">
        <f>IF($G1615="",0,IF(Sync!$AB1611="",0,Sync!$AB1611))</f>
        <v/>
      </c>
      <c r="M1615">
        <f>IF($G1615="","",IF($H1615="مرجوعی فروش",-1,1)*($K1615-$L1615*IFERROR(VLOOKUP("P01",ParamTbl,3,0),1.5)))</f>
        <v/>
      </c>
      <c r="N1615">
        <f>IF($G1615="",0,IF($H1615="مرجوعی فروش",-1,1)*IF(Sync!$AC1611="",0,Sync!$AC1611))</f>
        <v/>
      </c>
      <c r="O1615">
        <f>IF(OR($G1615="",Sync!$V1611=""),"",Sync!$V1611)</f>
        <v/>
      </c>
      <c r="P1615">
        <f>IF(OR($G1615="",Sync!$AD1611=""),"",Sync!$AD1611)</f>
        <v/>
      </c>
      <c r="Q1615">
        <f>IF($G1615="","",IF(Sync!$U1611="","0000",IF(AND(ISNUMBER(Sync!$U1611),Sync!$U1611&gt;=0,Sync!$U1611&lt;1),RIGHT("00"&amp;HOUR(Sync!$U1611),2)&amp;RIGHT("00"&amp;MINUTE(Sync!$U1611),2),IFERROR(RIGHT("00"&amp;VALUE(LEFT(Sync!$U1611,FIND(":",Sync!$U1611)-1)),2)&amp;RIGHT("00"&amp;VALUE(MID(Sync!$U1611,FIND(":",Sync!$U1611)+1,2)),2),"0000"))))</f>
        <v/>
      </c>
    </row>
    <row r="1616">
      <c r="A1616">
        <f>IF(Sync!$T1612="","",Sync!$T1612)</f>
        <v/>
      </c>
      <c r="B1616">
        <f>IF($A1616="","",IF(ISNUMBER($A1616),IF(AND($A1616&gt;=10000101,$A1616&lt;=99991231),INT($A1616/10000),""),IFERROR(VALUE(TRIM(LEFT($A1616,FIND("/",$A1616)-1))),"")))</f>
        <v/>
      </c>
      <c r="C1616">
        <f>IF(OR($A1616="",$B1616=""),"",IF(ISNUMBER($A1616),INT(MOD($A1616,10000)/100),IFERROR(VALUE(TRIM(LEFT(MID($A1616,FIND("/",$A1616)+1,20),FIND("/",MID($A1616,FIND("/",$A1616)+1,20))-1))),"")))</f>
        <v/>
      </c>
      <c r="D1616">
        <f>IF(OR($A1616="",$B1616=""),"",IF(ISNUMBER($A1616),MOD($A1616,100),IFERROR(VALUE(TRIM(MID(MID($A1616,FIND("/",$A1616)+1,20),FIND("/",MID($A1616,FIND("/",$A1616)+1,20))+1,20))),"")))</f>
        <v/>
      </c>
      <c r="E1616">
        <f>IF($A1616="","",IF(OR($B1616="",$C1616="",$D1616="",$B1616&lt;1300,$B1616&gt;1500,$C1616&lt;1,$C1616&gt;12,$D1616&lt;1,$D1616&gt;31),"نامعتبر",RIGHT("0000"&amp;$B1616,4)&amp;"/"&amp;RIGHT("00"&amp;$C1616,2)&amp;"/"&amp;RIGHT("00"&amp;$D1616,2)))</f>
        <v/>
      </c>
      <c r="F1616">
        <f>IF(OR($E1616="",$E1616="نامعتبر"),"",LEFT($E1616,4)&amp;"/"&amp;MID($E1616,6,2))</f>
        <v/>
      </c>
      <c r="G1616">
        <f>IF(OR($E1616="",$E1616="نامعتبر",Sync!$X1612=""),"",IF(AND(LEFT(UPPER(TRIM(Sync!$X1612)),2)="SL",IFERROR(VLOOKUP(Sync!$W1612,OpTbl,3,0),"")="فروش"),UPPER(TRIM(Sync!$X1612)),""))</f>
        <v/>
      </c>
      <c r="H1616">
        <f>IF($G1616="","",IF(Sync!$W1612="","",Sync!$W1612))</f>
        <v/>
      </c>
      <c r="I1616">
        <f>IF(OR($G1616="",Sync!$Y1612=""),"",Sync!$Y1612)</f>
        <v/>
      </c>
      <c r="J1616">
        <f>IF(OR($G1616="",Sync!$Z1612=""),"",Sync!$Z1612)</f>
        <v/>
      </c>
      <c r="K1616">
        <f>IF($G1616="",0,IF(Sync!$AA1612="",0,Sync!$AA1612))</f>
        <v/>
      </c>
      <c r="L1616">
        <f>IF($G1616="",0,IF(Sync!$AB1612="",0,Sync!$AB1612))</f>
        <v/>
      </c>
      <c r="M1616">
        <f>IF($G1616="","",IF($H1616="مرجوعی فروش",-1,1)*($K1616-$L1616*IFERROR(VLOOKUP("P01",ParamTbl,3,0),1.5)))</f>
        <v/>
      </c>
      <c r="N1616">
        <f>IF($G1616="",0,IF($H1616="مرجوعی فروش",-1,1)*IF(Sync!$AC1612="",0,Sync!$AC1612))</f>
        <v/>
      </c>
      <c r="O1616">
        <f>IF(OR($G1616="",Sync!$V1612=""),"",Sync!$V1612)</f>
        <v/>
      </c>
      <c r="P1616">
        <f>IF(OR($G1616="",Sync!$AD1612=""),"",Sync!$AD1612)</f>
        <v/>
      </c>
      <c r="Q1616">
        <f>IF($G1616="","",IF(Sync!$U1612="","0000",IF(AND(ISNUMBER(Sync!$U1612),Sync!$U1612&gt;=0,Sync!$U1612&lt;1),RIGHT("00"&amp;HOUR(Sync!$U1612),2)&amp;RIGHT("00"&amp;MINUTE(Sync!$U1612),2),IFERROR(RIGHT("00"&amp;VALUE(LEFT(Sync!$U1612,FIND(":",Sync!$U1612)-1)),2)&amp;RIGHT("00"&amp;VALUE(MID(Sync!$U1612,FIND(":",Sync!$U1612)+1,2)),2),"0000"))))</f>
        <v/>
      </c>
    </row>
    <row r="1617">
      <c r="A1617">
        <f>IF(Sync!$T1613="","",Sync!$T1613)</f>
        <v/>
      </c>
      <c r="B1617">
        <f>IF($A1617="","",IF(ISNUMBER($A1617),IF(AND($A1617&gt;=10000101,$A1617&lt;=99991231),INT($A1617/10000),""),IFERROR(VALUE(TRIM(LEFT($A1617,FIND("/",$A1617)-1))),"")))</f>
        <v/>
      </c>
      <c r="C1617">
        <f>IF(OR($A1617="",$B1617=""),"",IF(ISNUMBER($A1617),INT(MOD($A1617,10000)/100),IFERROR(VALUE(TRIM(LEFT(MID($A1617,FIND("/",$A1617)+1,20),FIND("/",MID($A1617,FIND("/",$A1617)+1,20))-1))),"")))</f>
        <v/>
      </c>
      <c r="D1617">
        <f>IF(OR($A1617="",$B1617=""),"",IF(ISNUMBER($A1617),MOD($A1617,100),IFERROR(VALUE(TRIM(MID(MID($A1617,FIND("/",$A1617)+1,20),FIND("/",MID($A1617,FIND("/",$A1617)+1,20))+1,20))),"")))</f>
        <v/>
      </c>
      <c r="E1617">
        <f>IF($A1617="","",IF(OR($B1617="",$C1617="",$D1617="",$B1617&lt;1300,$B1617&gt;1500,$C1617&lt;1,$C1617&gt;12,$D1617&lt;1,$D1617&gt;31),"نامعتبر",RIGHT("0000"&amp;$B1617,4)&amp;"/"&amp;RIGHT("00"&amp;$C1617,2)&amp;"/"&amp;RIGHT("00"&amp;$D1617,2)))</f>
        <v/>
      </c>
      <c r="F1617">
        <f>IF(OR($E1617="",$E1617="نامعتبر"),"",LEFT($E1617,4)&amp;"/"&amp;MID($E1617,6,2))</f>
        <v/>
      </c>
      <c r="G1617">
        <f>IF(OR($E1617="",$E1617="نامعتبر",Sync!$X1613=""),"",IF(AND(LEFT(UPPER(TRIM(Sync!$X1613)),2)="SL",IFERROR(VLOOKUP(Sync!$W1613,OpTbl,3,0),"")="فروش"),UPPER(TRIM(Sync!$X1613)),""))</f>
        <v/>
      </c>
      <c r="H1617">
        <f>IF($G1617="","",IF(Sync!$W1613="","",Sync!$W1613))</f>
        <v/>
      </c>
      <c r="I1617">
        <f>IF(OR($G1617="",Sync!$Y1613=""),"",Sync!$Y1613)</f>
        <v/>
      </c>
      <c r="J1617">
        <f>IF(OR($G1617="",Sync!$Z1613=""),"",Sync!$Z1613)</f>
        <v/>
      </c>
      <c r="K1617">
        <f>IF($G1617="",0,IF(Sync!$AA1613="",0,Sync!$AA1613))</f>
        <v/>
      </c>
      <c r="L1617">
        <f>IF($G1617="",0,IF(Sync!$AB1613="",0,Sync!$AB1613))</f>
        <v/>
      </c>
      <c r="M1617">
        <f>IF($G1617="","",IF($H1617="مرجوعی فروش",-1,1)*($K1617-$L1617*IFERROR(VLOOKUP("P01",ParamTbl,3,0),1.5)))</f>
        <v/>
      </c>
      <c r="N1617">
        <f>IF($G1617="",0,IF($H1617="مرجوعی فروش",-1,1)*IF(Sync!$AC1613="",0,Sync!$AC1613))</f>
        <v/>
      </c>
      <c r="O1617">
        <f>IF(OR($G1617="",Sync!$V1613=""),"",Sync!$V1613)</f>
        <v/>
      </c>
      <c r="P1617">
        <f>IF(OR($G1617="",Sync!$AD1613=""),"",Sync!$AD1613)</f>
        <v/>
      </c>
      <c r="Q1617">
        <f>IF($G1617="","",IF(Sync!$U1613="","0000",IF(AND(ISNUMBER(Sync!$U1613),Sync!$U1613&gt;=0,Sync!$U1613&lt;1),RIGHT("00"&amp;HOUR(Sync!$U1613),2)&amp;RIGHT("00"&amp;MINUTE(Sync!$U1613),2),IFERROR(RIGHT("00"&amp;VALUE(LEFT(Sync!$U1613,FIND(":",Sync!$U1613)-1)),2)&amp;RIGHT("00"&amp;VALUE(MID(Sync!$U1613,FIND(":",Sync!$U1613)+1,2)),2),"0000"))))</f>
        <v/>
      </c>
    </row>
    <row r="1618">
      <c r="A1618">
        <f>IF(Sync!$T1614="","",Sync!$T1614)</f>
        <v/>
      </c>
      <c r="B1618">
        <f>IF($A1618="","",IF(ISNUMBER($A1618),IF(AND($A1618&gt;=10000101,$A1618&lt;=99991231),INT($A1618/10000),""),IFERROR(VALUE(TRIM(LEFT($A1618,FIND("/",$A1618)-1))),"")))</f>
        <v/>
      </c>
      <c r="C1618">
        <f>IF(OR($A1618="",$B1618=""),"",IF(ISNUMBER($A1618),INT(MOD($A1618,10000)/100),IFERROR(VALUE(TRIM(LEFT(MID($A1618,FIND("/",$A1618)+1,20),FIND("/",MID($A1618,FIND("/",$A1618)+1,20))-1))),"")))</f>
        <v/>
      </c>
      <c r="D1618">
        <f>IF(OR($A1618="",$B1618=""),"",IF(ISNUMBER($A1618),MOD($A1618,100),IFERROR(VALUE(TRIM(MID(MID($A1618,FIND("/",$A1618)+1,20),FIND("/",MID($A1618,FIND("/",$A1618)+1,20))+1,20))),"")))</f>
        <v/>
      </c>
      <c r="E1618">
        <f>IF($A1618="","",IF(OR($B1618="",$C1618="",$D1618="",$B1618&lt;1300,$B1618&gt;1500,$C1618&lt;1,$C1618&gt;12,$D1618&lt;1,$D1618&gt;31),"نامعتبر",RIGHT("0000"&amp;$B1618,4)&amp;"/"&amp;RIGHT("00"&amp;$C1618,2)&amp;"/"&amp;RIGHT("00"&amp;$D1618,2)))</f>
        <v/>
      </c>
      <c r="F1618">
        <f>IF(OR($E1618="",$E1618="نامعتبر"),"",LEFT($E1618,4)&amp;"/"&amp;MID($E1618,6,2))</f>
        <v/>
      </c>
      <c r="G1618">
        <f>IF(OR($E1618="",$E1618="نامعتبر",Sync!$X1614=""),"",IF(AND(LEFT(UPPER(TRIM(Sync!$X1614)),2)="SL",IFERROR(VLOOKUP(Sync!$W1614,OpTbl,3,0),"")="فروش"),UPPER(TRIM(Sync!$X1614)),""))</f>
        <v/>
      </c>
      <c r="H1618">
        <f>IF($G1618="","",IF(Sync!$W1614="","",Sync!$W1614))</f>
        <v/>
      </c>
      <c r="I1618">
        <f>IF(OR($G1618="",Sync!$Y1614=""),"",Sync!$Y1614)</f>
        <v/>
      </c>
      <c r="J1618">
        <f>IF(OR($G1618="",Sync!$Z1614=""),"",Sync!$Z1614)</f>
        <v/>
      </c>
      <c r="K1618">
        <f>IF($G1618="",0,IF(Sync!$AA1614="",0,Sync!$AA1614))</f>
        <v/>
      </c>
      <c r="L1618">
        <f>IF($G1618="",0,IF(Sync!$AB1614="",0,Sync!$AB1614))</f>
        <v/>
      </c>
      <c r="M1618">
        <f>IF($G1618="","",IF($H1618="مرجوعی فروش",-1,1)*($K1618-$L1618*IFERROR(VLOOKUP("P01",ParamTbl,3,0),1.5)))</f>
        <v/>
      </c>
      <c r="N1618">
        <f>IF($G1618="",0,IF($H1618="مرجوعی فروش",-1,1)*IF(Sync!$AC1614="",0,Sync!$AC1614))</f>
        <v/>
      </c>
      <c r="O1618">
        <f>IF(OR($G1618="",Sync!$V1614=""),"",Sync!$V1614)</f>
        <v/>
      </c>
      <c r="P1618">
        <f>IF(OR($G1618="",Sync!$AD1614=""),"",Sync!$AD1614)</f>
        <v/>
      </c>
      <c r="Q1618">
        <f>IF($G1618="","",IF(Sync!$U1614="","0000",IF(AND(ISNUMBER(Sync!$U1614),Sync!$U1614&gt;=0,Sync!$U1614&lt;1),RIGHT("00"&amp;HOUR(Sync!$U1614),2)&amp;RIGHT("00"&amp;MINUTE(Sync!$U1614),2),IFERROR(RIGHT("00"&amp;VALUE(LEFT(Sync!$U1614,FIND(":",Sync!$U1614)-1)),2)&amp;RIGHT("00"&amp;VALUE(MID(Sync!$U1614,FIND(":",Sync!$U1614)+1,2)),2),"0000"))))</f>
        <v/>
      </c>
    </row>
    <row r="1619">
      <c r="A1619">
        <f>IF(Sync!$T1615="","",Sync!$T1615)</f>
        <v/>
      </c>
      <c r="B1619">
        <f>IF($A1619="","",IF(ISNUMBER($A1619),IF(AND($A1619&gt;=10000101,$A1619&lt;=99991231),INT($A1619/10000),""),IFERROR(VALUE(TRIM(LEFT($A1619,FIND("/",$A1619)-1))),"")))</f>
        <v/>
      </c>
      <c r="C1619">
        <f>IF(OR($A1619="",$B1619=""),"",IF(ISNUMBER($A1619),INT(MOD($A1619,10000)/100),IFERROR(VALUE(TRIM(LEFT(MID($A1619,FIND("/",$A1619)+1,20),FIND("/",MID($A1619,FIND("/",$A1619)+1,20))-1))),"")))</f>
        <v/>
      </c>
      <c r="D1619">
        <f>IF(OR($A1619="",$B1619=""),"",IF(ISNUMBER($A1619),MOD($A1619,100),IFERROR(VALUE(TRIM(MID(MID($A1619,FIND("/",$A1619)+1,20),FIND("/",MID($A1619,FIND("/",$A1619)+1,20))+1,20))),"")))</f>
        <v/>
      </c>
      <c r="E1619">
        <f>IF($A1619="","",IF(OR($B1619="",$C1619="",$D1619="",$B1619&lt;1300,$B1619&gt;1500,$C1619&lt;1,$C1619&gt;12,$D1619&lt;1,$D1619&gt;31),"نامعتبر",RIGHT("0000"&amp;$B1619,4)&amp;"/"&amp;RIGHT("00"&amp;$C1619,2)&amp;"/"&amp;RIGHT("00"&amp;$D1619,2)))</f>
        <v/>
      </c>
      <c r="F1619">
        <f>IF(OR($E1619="",$E1619="نامعتبر"),"",LEFT($E1619,4)&amp;"/"&amp;MID($E1619,6,2))</f>
        <v/>
      </c>
      <c r="G1619">
        <f>IF(OR($E1619="",$E1619="نامعتبر",Sync!$X1615=""),"",IF(AND(LEFT(UPPER(TRIM(Sync!$X1615)),2)="SL",IFERROR(VLOOKUP(Sync!$W1615,OpTbl,3,0),"")="فروش"),UPPER(TRIM(Sync!$X1615)),""))</f>
        <v/>
      </c>
      <c r="H1619">
        <f>IF($G1619="","",IF(Sync!$W1615="","",Sync!$W1615))</f>
        <v/>
      </c>
      <c r="I1619">
        <f>IF(OR($G1619="",Sync!$Y1615=""),"",Sync!$Y1615)</f>
        <v/>
      </c>
      <c r="J1619">
        <f>IF(OR($G1619="",Sync!$Z1615=""),"",Sync!$Z1615)</f>
        <v/>
      </c>
      <c r="K1619">
        <f>IF($G1619="",0,IF(Sync!$AA1615="",0,Sync!$AA1615))</f>
        <v/>
      </c>
      <c r="L1619">
        <f>IF($G1619="",0,IF(Sync!$AB1615="",0,Sync!$AB1615))</f>
        <v/>
      </c>
      <c r="M1619">
        <f>IF($G1619="","",IF($H1619="مرجوعی فروش",-1,1)*($K1619-$L1619*IFERROR(VLOOKUP("P01",ParamTbl,3,0),1.5)))</f>
        <v/>
      </c>
      <c r="N1619">
        <f>IF($G1619="",0,IF($H1619="مرجوعی فروش",-1,1)*IF(Sync!$AC1615="",0,Sync!$AC1615))</f>
        <v/>
      </c>
      <c r="O1619">
        <f>IF(OR($G1619="",Sync!$V1615=""),"",Sync!$V1615)</f>
        <v/>
      </c>
      <c r="P1619">
        <f>IF(OR($G1619="",Sync!$AD1615=""),"",Sync!$AD1615)</f>
        <v/>
      </c>
      <c r="Q1619">
        <f>IF($G1619="","",IF(Sync!$U1615="","0000",IF(AND(ISNUMBER(Sync!$U1615),Sync!$U1615&gt;=0,Sync!$U1615&lt;1),RIGHT("00"&amp;HOUR(Sync!$U1615),2)&amp;RIGHT("00"&amp;MINUTE(Sync!$U1615),2),IFERROR(RIGHT("00"&amp;VALUE(LEFT(Sync!$U1615,FIND(":",Sync!$U1615)-1)),2)&amp;RIGHT("00"&amp;VALUE(MID(Sync!$U1615,FIND(":",Sync!$U1615)+1,2)),2),"0000"))))</f>
        <v/>
      </c>
    </row>
    <row r="1620">
      <c r="A1620">
        <f>IF(Sync!$T1616="","",Sync!$T1616)</f>
        <v/>
      </c>
      <c r="B1620">
        <f>IF($A1620="","",IF(ISNUMBER($A1620),IF(AND($A1620&gt;=10000101,$A1620&lt;=99991231),INT($A1620/10000),""),IFERROR(VALUE(TRIM(LEFT($A1620,FIND("/",$A1620)-1))),"")))</f>
        <v/>
      </c>
      <c r="C1620">
        <f>IF(OR($A1620="",$B1620=""),"",IF(ISNUMBER($A1620),INT(MOD($A1620,10000)/100),IFERROR(VALUE(TRIM(LEFT(MID($A1620,FIND("/",$A1620)+1,20),FIND("/",MID($A1620,FIND("/",$A1620)+1,20))-1))),"")))</f>
        <v/>
      </c>
      <c r="D1620">
        <f>IF(OR($A1620="",$B1620=""),"",IF(ISNUMBER($A1620),MOD($A1620,100),IFERROR(VALUE(TRIM(MID(MID($A1620,FIND("/",$A1620)+1,20),FIND("/",MID($A1620,FIND("/",$A1620)+1,20))+1,20))),"")))</f>
        <v/>
      </c>
      <c r="E1620">
        <f>IF($A1620="","",IF(OR($B1620="",$C1620="",$D1620="",$B1620&lt;1300,$B1620&gt;1500,$C1620&lt;1,$C1620&gt;12,$D1620&lt;1,$D1620&gt;31),"نامعتبر",RIGHT("0000"&amp;$B1620,4)&amp;"/"&amp;RIGHT("00"&amp;$C1620,2)&amp;"/"&amp;RIGHT("00"&amp;$D1620,2)))</f>
        <v/>
      </c>
      <c r="F1620">
        <f>IF(OR($E1620="",$E1620="نامعتبر"),"",LEFT($E1620,4)&amp;"/"&amp;MID($E1620,6,2))</f>
        <v/>
      </c>
      <c r="G1620">
        <f>IF(OR($E1620="",$E1620="نامعتبر",Sync!$X1616=""),"",IF(AND(LEFT(UPPER(TRIM(Sync!$X1616)),2)="SL",IFERROR(VLOOKUP(Sync!$W1616,OpTbl,3,0),"")="فروش"),UPPER(TRIM(Sync!$X1616)),""))</f>
        <v/>
      </c>
      <c r="H1620">
        <f>IF($G1620="","",IF(Sync!$W1616="","",Sync!$W1616))</f>
        <v/>
      </c>
      <c r="I1620">
        <f>IF(OR($G1620="",Sync!$Y1616=""),"",Sync!$Y1616)</f>
        <v/>
      </c>
      <c r="J1620">
        <f>IF(OR($G1620="",Sync!$Z1616=""),"",Sync!$Z1616)</f>
        <v/>
      </c>
      <c r="K1620">
        <f>IF($G1620="",0,IF(Sync!$AA1616="",0,Sync!$AA1616))</f>
        <v/>
      </c>
      <c r="L1620">
        <f>IF($G1620="",0,IF(Sync!$AB1616="",0,Sync!$AB1616))</f>
        <v/>
      </c>
      <c r="M1620">
        <f>IF($G1620="","",IF($H1620="مرجوعی فروش",-1,1)*($K1620-$L1620*IFERROR(VLOOKUP("P01",ParamTbl,3,0),1.5)))</f>
        <v/>
      </c>
      <c r="N1620">
        <f>IF($G1620="",0,IF($H1620="مرجوعی فروش",-1,1)*IF(Sync!$AC1616="",0,Sync!$AC1616))</f>
        <v/>
      </c>
      <c r="O1620">
        <f>IF(OR($G1620="",Sync!$V1616=""),"",Sync!$V1616)</f>
        <v/>
      </c>
      <c r="P1620">
        <f>IF(OR($G1620="",Sync!$AD1616=""),"",Sync!$AD1616)</f>
        <v/>
      </c>
      <c r="Q1620">
        <f>IF($G1620="","",IF(Sync!$U1616="","0000",IF(AND(ISNUMBER(Sync!$U1616),Sync!$U1616&gt;=0,Sync!$U1616&lt;1),RIGHT("00"&amp;HOUR(Sync!$U1616),2)&amp;RIGHT("00"&amp;MINUTE(Sync!$U1616),2),IFERROR(RIGHT("00"&amp;VALUE(LEFT(Sync!$U1616,FIND(":",Sync!$U1616)-1)),2)&amp;RIGHT("00"&amp;VALUE(MID(Sync!$U1616,FIND(":",Sync!$U1616)+1,2)),2),"0000"))))</f>
        <v/>
      </c>
    </row>
    <row r="1621">
      <c r="A1621">
        <f>IF(Sync!$T1617="","",Sync!$T1617)</f>
        <v/>
      </c>
      <c r="B1621">
        <f>IF($A1621="","",IF(ISNUMBER($A1621),IF(AND($A1621&gt;=10000101,$A1621&lt;=99991231),INT($A1621/10000),""),IFERROR(VALUE(TRIM(LEFT($A1621,FIND("/",$A1621)-1))),"")))</f>
        <v/>
      </c>
      <c r="C1621">
        <f>IF(OR($A1621="",$B1621=""),"",IF(ISNUMBER($A1621),INT(MOD($A1621,10000)/100),IFERROR(VALUE(TRIM(LEFT(MID($A1621,FIND("/",$A1621)+1,20),FIND("/",MID($A1621,FIND("/",$A1621)+1,20))-1))),"")))</f>
        <v/>
      </c>
      <c r="D1621">
        <f>IF(OR($A1621="",$B1621=""),"",IF(ISNUMBER($A1621),MOD($A1621,100),IFERROR(VALUE(TRIM(MID(MID($A1621,FIND("/",$A1621)+1,20),FIND("/",MID($A1621,FIND("/",$A1621)+1,20))+1,20))),"")))</f>
        <v/>
      </c>
      <c r="E1621">
        <f>IF($A1621="","",IF(OR($B1621="",$C1621="",$D1621="",$B1621&lt;1300,$B1621&gt;1500,$C1621&lt;1,$C1621&gt;12,$D1621&lt;1,$D1621&gt;31),"نامعتبر",RIGHT("0000"&amp;$B1621,4)&amp;"/"&amp;RIGHT("00"&amp;$C1621,2)&amp;"/"&amp;RIGHT("00"&amp;$D1621,2)))</f>
        <v/>
      </c>
      <c r="F1621">
        <f>IF(OR($E1621="",$E1621="نامعتبر"),"",LEFT($E1621,4)&amp;"/"&amp;MID($E1621,6,2))</f>
        <v/>
      </c>
      <c r="G1621">
        <f>IF(OR($E1621="",$E1621="نامعتبر",Sync!$X1617=""),"",IF(AND(LEFT(UPPER(TRIM(Sync!$X1617)),2)="SL",IFERROR(VLOOKUP(Sync!$W1617,OpTbl,3,0),"")="فروش"),UPPER(TRIM(Sync!$X1617)),""))</f>
        <v/>
      </c>
      <c r="H1621">
        <f>IF($G1621="","",IF(Sync!$W1617="","",Sync!$W1617))</f>
        <v/>
      </c>
      <c r="I1621">
        <f>IF(OR($G1621="",Sync!$Y1617=""),"",Sync!$Y1617)</f>
        <v/>
      </c>
      <c r="J1621">
        <f>IF(OR($G1621="",Sync!$Z1617=""),"",Sync!$Z1617)</f>
        <v/>
      </c>
      <c r="K1621">
        <f>IF($G1621="",0,IF(Sync!$AA1617="",0,Sync!$AA1617))</f>
        <v/>
      </c>
      <c r="L1621">
        <f>IF($G1621="",0,IF(Sync!$AB1617="",0,Sync!$AB1617))</f>
        <v/>
      </c>
      <c r="M1621">
        <f>IF($G1621="","",IF($H1621="مرجوعی فروش",-1,1)*($K1621-$L1621*IFERROR(VLOOKUP("P01",ParamTbl,3,0),1.5)))</f>
        <v/>
      </c>
      <c r="N1621">
        <f>IF($G1621="",0,IF($H1621="مرجوعی فروش",-1,1)*IF(Sync!$AC1617="",0,Sync!$AC1617))</f>
        <v/>
      </c>
      <c r="O1621">
        <f>IF(OR($G1621="",Sync!$V1617=""),"",Sync!$V1617)</f>
        <v/>
      </c>
      <c r="P1621">
        <f>IF(OR($G1621="",Sync!$AD1617=""),"",Sync!$AD1617)</f>
        <v/>
      </c>
      <c r="Q1621">
        <f>IF($G1621="","",IF(Sync!$U1617="","0000",IF(AND(ISNUMBER(Sync!$U1617),Sync!$U1617&gt;=0,Sync!$U1617&lt;1),RIGHT("00"&amp;HOUR(Sync!$U1617),2)&amp;RIGHT("00"&amp;MINUTE(Sync!$U1617),2),IFERROR(RIGHT("00"&amp;VALUE(LEFT(Sync!$U1617,FIND(":",Sync!$U1617)-1)),2)&amp;RIGHT("00"&amp;VALUE(MID(Sync!$U1617,FIND(":",Sync!$U1617)+1,2)),2),"0000"))))</f>
        <v/>
      </c>
    </row>
    <row r="1622">
      <c r="A1622">
        <f>IF(Sync!$T1618="","",Sync!$T1618)</f>
        <v/>
      </c>
      <c r="B1622">
        <f>IF($A1622="","",IF(ISNUMBER($A1622),IF(AND($A1622&gt;=10000101,$A1622&lt;=99991231),INT($A1622/10000),""),IFERROR(VALUE(TRIM(LEFT($A1622,FIND("/",$A1622)-1))),"")))</f>
        <v/>
      </c>
      <c r="C1622">
        <f>IF(OR($A1622="",$B1622=""),"",IF(ISNUMBER($A1622),INT(MOD($A1622,10000)/100),IFERROR(VALUE(TRIM(LEFT(MID($A1622,FIND("/",$A1622)+1,20),FIND("/",MID($A1622,FIND("/",$A1622)+1,20))-1))),"")))</f>
        <v/>
      </c>
      <c r="D1622">
        <f>IF(OR($A1622="",$B1622=""),"",IF(ISNUMBER($A1622),MOD($A1622,100),IFERROR(VALUE(TRIM(MID(MID($A1622,FIND("/",$A1622)+1,20),FIND("/",MID($A1622,FIND("/",$A1622)+1,20))+1,20))),"")))</f>
        <v/>
      </c>
      <c r="E1622">
        <f>IF($A1622="","",IF(OR($B1622="",$C1622="",$D1622="",$B1622&lt;1300,$B1622&gt;1500,$C1622&lt;1,$C1622&gt;12,$D1622&lt;1,$D1622&gt;31),"نامعتبر",RIGHT("0000"&amp;$B1622,4)&amp;"/"&amp;RIGHT("00"&amp;$C1622,2)&amp;"/"&amp;RIGHT("00"&amp;$D1622,2)))</f>
        <v/>
      </c>
      <c r="F1622">
        <f>IF(OR($E1622="",$E1622="نامعتبر"),"",LEFT($E1622,4)&amp;"/"&amp;MID($E1622,6,2))</f>
        <v/>
      </c>
      <c r="G1622">
        <f>IF(OR($E1622="",$E1622="نامعتبر",Sync!$X1618=""),"",IF(AND(LEFT(UPPER(TRIM(Sync!$X1618)),2)="SL",IFERROR(VLOOKUP(Sync!$W1618,OpTbl,3,0),"")="فروش"),UPPER(TRIM(Sync!$X1618)),""))</f>
        <v/>
      </c>
      <c r="H1622">
        <f>IF($G1622="","",IF(Sync!$W1618="","",Sync!$W1618))</f>
        <v/>
      </c>
      <c r="I1622">
        <f>IF(OR($G1622="",Sync!$Y1618=""),"",Sync!$Y1618)</f>
        <v/>
      </c>
      <c r="J1622">
        <f>IF(OR($G1622="",Sync!$Z1618=""),"",Sync!$Z1618)</f>
        <v/>
      </c>
      <c r="K1622">
        <f>IF($G1622="",0,IF(Sync!$AA1618="",0,Sync!$AA1618))</f>
        <v/>
      </c>
      <c r="L1622">
        <f>IF($G1622="",0,IF(Sync!$AB1618="",0,Sync!$AB1618))</f>
        <v/>
      </c>
      <c r="M1622">
        <f>IF($G1622="","",IF($H1622="مرجوعی فروش",-1,1)*($K1622-$L1622*IFERROR(VLOOKUP("P01",ParamTbl,3,0),1.5)))</f>
        <v/>
      </c>
      <c r="N1622">
        <f>IF($G1622="",0,IF($H1622="مرجوعی فروش",-1,1)*IF(Sync!$AC1618="",0,Sync!$AC1618))</f>
        <v/>
      </c>
      <c r="O1622">
        <f>IF(OR($G1622="",Sync!$V1618=""),"",Sync!$V1618)</f>
        <v/>
      </c>
      <c r="P1622">
        <f>IF(OR($G1622="",Sync!$AD1618=""),"",Sync!$AD1618)</f>
        <v/>
      </c>
      <c r="Q1622">
        <f>IF($G1622="","",IF(Sync!$U1618="","0000",IF(AND(ISNUMBER(Sync!$U1618),Sync!$U1618&gt;=0,Sync!$U1618&lt;1),RIGHT("00"&amp;HOUR(Sync!$U1618),2)&amp;RIGHT("00"&amp;MINUTE(Sync!$U1618),2),IFERROR(RIGHT("00"&amp;VALUE(LEFT(Sync!$U1618,FIND(":",Sync!$U1618)-1)),2)&amp;RIGHT("00"&amp;VALUE(MID(Sync!$U1618,FIND(":",Sync!$U1618)+1,2)),2),"0000"))))</f>
        <v/>
      </c>
    </row>
    <row r="1623">
      <c r="A1623">
        <f>IF(Sync!$T1619="","",Sync!$T1619)</f>
        <v/>
      </c>
      <c r="B1623">
        <f>IF($A1623="","",IF(ISNUMBER($A1623),IF(AND($A1623&gt;=10000101,$A1623&lt;=99991231),INT($A1623/10000),""),IFERROR(VALUE(TRIM(LEFT($A1623,FIND("/",$A1623)-1))),"")))</f>
        <v/>
      </c>
      <c r="C1623">
        <f>IF(OR($A1623="",$B1623=""),"",IF(ISNUMBER($A1623),INT(MOD($A1623,10000)/100),IFERROR(VALUE(TRIM(LEFT(MID($A1623,FIND("/",$A1623)+1,20),FIND("/",MID($A1623,FIND("/",$A1623)+1,20))-1))),"")))</f>
        <v/>
      </c>
      <c r="D1623">
        <f>IF(OR($A1623="",$B1623=""),"",IF(ISNUMBER($A1623),MOD($A1623,100),IFERROR(VALUE(TRIM(MID(MID($A1623,FIND("/",$A1623)+1,20),FIND("/",MID($A1623,FIND("/",$A1623)+1,20))+1,20))),"")))</f>
        <v/>
      </c>
      <c r="E1623">
        <f>IF($A1623="","",IF(OR($B1623="",$C1623="",$D1623="",$B1623&lt;1300,$B1623&gt;1500,$C1623&lt;1,$C1623&gt;12,$D1623&lt;1,$D1623&gt;31),"نامعتبر",RIGHT("0000"&amp;$B1623,4)&amp;"/"&amp;RIGHT("00"&amp;$C1623,2)&amp;"/"&amp;RIGHT("00"&amp;$D1623,2)))</f>
        <v/>
      </c>
      <c r="F1623">
        <f>IF(OR($E1623="",$E1623="نامعتبر"),"",LEFT($E1623,4)&amp;"/"&amp;MID($E1623,6,2))</f>
        <v/>
      </c>
      <c r="G1623">
        <f>IF(OR($E1623="",$E1623="نامعتبر",Sync!$X1619=""),"",IF(AND(LEFT(UPPER(TRIM(Sync!$X1619)),2)="SL",IFERROR(VLOOKUP(Sync!$W1619,OpTbl,3,0),"")="فروش"),UPPER(TRIM(Sync!$X1619)),""))</f>
        <v/>
      </c>
      <c r="H1623">
        <f>IF($G1623="","",IF(Sync!$W1619="","",Sync!$W1619))</f>
        <v/>
      </c>
      <c r="I1623">
        <f>IF(OR($G1623="",Sync!$Y1619=""),"",Sync!$Y1619)</f>
        <v/>
      </c>
      <c r="J1623">
        <f>IF(OR($G1623="",Sync!$Z1619=""),"",Sync!$Z1619)</f>
        <v/>
      </c>
      <c r="K1623">
        <f>IF($G1623="",0,IF(Sync!$AA1619="",0,Sync!$AA1619))</f>
        <v/>
      </c>
      <c r="L1623">
        <f>IF($G1623="",0,IF(Sync!$AB1619="",0,Sync!$AB1619))</f>
        <v/>
      </c>
      <c r="M1623">
        <f>IF($G1623="","",IF($H1623="مرجوعی فروش",-1,1)*($K1623-$L1623*IFERROR(VLOOKUP("P01",ParamTbl,3,0),1.5)))</f>
        <v/>
      </c>
      <c r="N1623">
        <f>IF($G1623="",0,IF($H1623="مرجوعی فروش",-1,1)*IF(Sync!$AC1619="",0,Sync!$AC1619))</f>
        <v/>
      </c>
      <c r="O1623">
        <f>IF(OR($G1623="",Sync!$V1619=""),"",Sync!$V1619)</f>
        <v/>
      </c>
      <c r="P1623">
        <f>IF(OR($G1623="",Sync!$AD1619=""),"",Sync!$AD1619)</f>
        <v/>
      </c>
      <c r="Q1623">
        <f>IF($G1623="","",IF(Sync!$U1619="","0000",IF(AND(ISNUMBER(Sync!$U1619),Sync!$U1619&gt;=0,Sync!$U1619&lt;1),RIGHT("00"&amp;HOUR(Sync!$U1619),2)&amp;RIGHT("00"&amp;MINUTE(Sync!$U1619),2),IFERROR(RIGHT("00"&amp;VALUE(LEFT(Sync!$U1619,FIND(":",Sync!$U1619)-1)),2)&amp;RIGHT("00"&amp;VALUE(MID(Sync!$U1619,FIND(":",Sync!$U1619)+1,2)),2),"0000"))))</f>
        <v/>
      </c>
    </row>
    <row r="1624">
      <c r="A1624">
        <f>IF(Sync!$T1620="","",Sync!$T1620)</f>
        <v/>
      </c>
      <c r="B1624">
        <f>IF($A1624="","",IF(ISNUMBER($A1624),IF(AND($A1624&gt;=10000101,$A1624&lt;=99991231),INT($A1624/10000),""),IFERROR(VALUE(TRIM(LEFT($A1624,FIND("/",$A1624)-1))),"")))</f>
        <v/>
      </c>
      <c r="C1624">
        <f>IF(OR($A1624="",$B1624=""),"",IF(ISNUMBER($A1624),INT(MOD($A1624,10000)/100),IFERROR(VALUE(TRIM(LEFT(MID($A1624,FIND("/",$A1624)+1,20),FIND("/",MID($A1624,FIND("/",$A1624)+1,20))-1))),"")))</f>
        <v/>
      </c>
      <c r="D1624">
        <f>IF(OR($A1624="",$B1624=""),"",IF(ISNUMBER($A1624),MOD($A1624,100),IFERROR(VALUE(TRIM(MID(MID($A1624,FIND("/",$A1624)+1,20),FIND("/",MID($A1624,FIND("/",$A1624)+1,20))+1,20))),"")))</f>
        <v/>
      </c>
      <c r="E1624">
        <f>IF($A1624="","",IF(OR($B1624="",$C1624="",$D1624="",$B1624&lt;1300,$B1624&gt;1500,$C1624&lt;1,$C1624&gt;12,$D1624&lt;1,$D1624&gt;31),"نامعتبر",RIGHT("0000"&amp;$B1624,4)&amp;"/"&amp;RIGHT("00"&amp;$C1624,2)&amp;"/"&amp;RIGHT("00"&amp;$D1624,2)))</f>
        <v/>
      </c>
      <c r="F1624">
        <f>IF(OR($E1624="",$E1624="نامعتبر"),"",LEFT($E1624,4)&amp;"/"&amp;MID($E1624,6,2))</f>
        <v/>
      </c>
      <c r="G1624">
        <f>IF(OR($E1624="",$E1624="نامعتبر",Sync!$X1620=""),"",IF(AND(LEFT(UPPER(TRIM(Sync!$X1620)),2)="SL",IFERROR(VLOOKUP(Sync!$W1620,OpTbl,3,0),"")="فروش"),UPPER(TRIM(Sync!$X1620)),""))</f>
        <v/>
      </c>
      <c r="H1624">
        <f>IF($G1624="","",IF(Sync!$W1620="","",Sync!$W1620))</f>
        <v/>
      </c>
      <c r="I1624">
        <f>IF(OR($G1624="",Sync!$Y1620=""),"",Sync!$Y1620)</f>
        <v/>
      </c>
      <c r="J1624">
        <f>IF(OR($G1624="",Sync!$Z1620=""),"",Sync!$Z1620)</f>
        <v/>
      </c>
      <c r="K1624">
        <f>IF($G1624="",0,IF(Sync!$AA1620="",0,Sync!$AA1620))</f>
        <v/>
      </c>
      <c r="L1624">
        <f>IF($G1624="",0,IF(Sync!$AB1620="",0,Sync!$AB1620))</f>
        <v/>
      </c>
      <c r="M1624">
        <f>IF($G1624="","",IF($H1624="مرجوعی فروش",-1,1)*($K1624-$L1624*IFERROR(VLOOKUP("P01",ParamTbl,3,0),1.5)))</f>
        <v/>
      </c>
      <c r="N1624">
        <f>IF($G1624="",0,IF($H1624="مرجوعی فروش",-1,1)*IF(Sync!$AC1620="",0,Sync!$AC1620))</f>
        <v/>
      </c>
      <c r="O1624">
        <f>IF(OR($G1624="",Sync!$V1620=""),"",Sync!$V1620)</f>
        <v/>
      </c>
      <c r="P1624">
        <f>IF(OR($G1624="",Sync!$AD1620=""),"",Sync!$AD1620)</f>
        <v/>
      </c>
      <c r="Q1624">
        <f>IF($G1624="","",IF(Sync!$U1620="","0000",IF(AND(ISNUMBER(Sync!$U1620),Sync!$U1620&gt;=0,Sync!$U1620&lt;1),RIGHT("00"&amp;HOUR(Sync!$U1620),2)&amp;RIGHT("00"&amp;MINUTE(Sync!$U1620),2),IFERROR(RIGHT("00"&amp;VALUE(LEFT(Sync!$U1620,FIND(":",Sync!$U1620)-1)),2)&amp;RIGHT("00"&amp;VALUE(MID(Sync!$U1620,FIND(":",Sync!$U1620)+1,2)),2),"0000"))))</f>
        <v/>
      </c>
    </row>
    <row r="1625">
      <c r="A1625">
        <f>IF(Sync!$T1621="","",Sync!$T1621)</f>
        <v/>
      </c>
      <c r="B1625">
        <f>IF($A1625="","",IF(ISNUMBER($A1625),IF(AND($A1625&gt;=10000101,$A1625&lt;=99991231),INT($A1625/10000),""),IFERROR(VALUE(TRIM(LEFT($A1625,FIND("/",$A1625)-1))),"")))</f>
        <v/>
      </c>
      <c r="C1625">
        <f>IF(OR($A1625="",$B1625=""),"",IF(ISNUMBER($A1625),INT(MOD($A1625,10000)/100),IFERROR(VALUE(TRIM(LEFT(MID($A1625,FIND("/",$A1625)+1,20),FIND("/",MID($A1625,FIND("/",$A1625)+1,20))-1))),"")))</f>
        <v/>
      </c>
      <c r="D1625">
        <f>IF(OR($A1625="",$B1625=""),"",IF(ISNUMBER($A1625),MOD($A1625,100),IFERROR(VALUE(TRIM(MID(MID($A1625,FIND("/",$A1625)+1,20),FIND("/",MID($A1625,FIND("/",$A1625)+1,20))+1,20))),"")))</f>
        <v/>
      </c>
      <c r="E1625">
        <f>IF($A1625="","",IF(OR($B1625="",$C1625="",$D1625="",$B1625&lt;1300,$B1625&gt;1500,$C1625&lt;1,$C1625&gt;12,$D1625&lt;1,$D1625&gt;31),"نامعتبر",RIGHT("0000"&amp;$B1625,4)&amp;"/"&amp;RIGHT("00"&amp;$C1625,2)&amp;"/"&amp;RIGHT("00"&amp;$D1625,2)))</f>
        <v/>
      </c>
      <c r="F1625">
        <f>IF(OR($E1625="",$E1625="نامعتبر"),"",LEFT($E1625,4)&amp;"/"&amp;MID($E1625,6,2))</f>
        <v/>
      </c>
      <c r="G1625">
        <f>IF(OR($E1625="",$E1625="نامعتبر",Sync!$X1621=""),"",IF(AND(LEFT(UPPER(TRIM(Sync!$X1621)),2)="SL",IFERROR(VLOOKUP(Sync!$W1621,OpTbl,3,0),"")="فروش"),UPPER(TRIM(Sync!$X1621)),""))</f>
        <v/>
      </c>
      <c r="H1625">
        <f>IF($G1625="","",IF(Sync!$W1621="","",Sync!$W1621))</f>
        <v/>
      </c>
      <c r="I1625">
        <f>IF(OR($G1625="",Sync!$Y1621=""),"",Sync!$Y1621)</f>
        <v/>
      </c>
      <c r="J1625">
        <f>IF(OR($G1625="",Sync!$Z1621=""),"",Sync!$Z1621)</f>
        <v/>
      </c>
      <c r="K1625">
        <f>IF($G1625="",0,IF(Sync!$AA1621="",0,Sync!$AA1621))</f>
        <v/>
      </c>
      <c r="L1625">
        <f>IF($G1625="",0,IF(Sync!$AB1621="",0,Sync!$AB1621))</f>
        <v/>
      </c>
      <c r="M1625">
        <f>IF($G1625="","",IF($H1625="مرجوعی فروش",-1,1)*($K1625-$L1625*IFERROR(VLOOKUP("P01",ParamTbl,3,0),1.5)))</f>
        <v/>
      </c>
      <c r="N1625">
        <f>IF($G1625="",0,IF($H1625="مرجوعی فروش",-1,1)*IF(Sync!$AC1621="",0,Sync!$AC1621))</f>
        <v/>
      </c>
      <c r="O1625">
        <f>IF(OR($G1625="",Sync!$V1621=""),"",Sync!$V1621)</f>
        <v/>
      </c>
      <c r="P1625">
        <f>IF(OR($G1625="",Sync!$AD1621=""),"",Sync!$AD1621)</f>
        <v/>
      </c>
      <c r="Q1625">
        <f>IF($G1625="","",IF(Sync!$U1621="","0000",IF(AND(ISNUMBER(Sync!$U1621),Sync!$U1621&gt;=0,Sync!$U1621&lt;1),RIGHT("00"&amp;HOUR(Sync!$U1621),2)&amp;RIGHT("00"&amp;MINUTE(Sync!$U1621),2),IFERROR(RIGHT("00"&amp;VALUE(LEFT(Sync!$U1621,FIND(":",Sync!$U1621)-1)),2)&amp;RIGHT("00"&amp;VALUE(MID(Sync!$U1621,FIND(":",Sync!$U1621)+1,2)),2),"0000"))))</f>
        <v/>
      </c>
    </row>
    <row r="1626">
      <c r="A1626">
        <f>IF(Sync!$T1622="","",Sync!$T1622)</f>
        <v/>
      </c>
      <c r="B1626">
        <f>IF($A1626="","",IF(ISNUMBER($A1626),IF(AND($A1626&gt;=10000101,$A1626&lt;=99991231),INT($A1626/10000),""),IFERROR(VALUE(TRIM(LEFT($A1626,FIND("/",$A1626)-1))),"")))</f>
        <v/>
      </c>
      <c r="C1626">
        <f>IF(OR($A1626="",$B1626=""),"",IF(ISNUMBER($A1626),INT(MOD($A1626,10000)/100),IFERROR(VALUE(TRIM(LEFT(MID($A1626,FIND("/",$A1626)+1,20),FIND("/",MID($A1626,FIND("/",$A1626)+1,20))-1))),"")))</f>
        <v/>
      </c>
      <c r="D1626">
        <f>IF(OR($A1626="",$B1626=""),"",IF(ISNUMBER($A1626),MOD($A1626,100),IFERROR(VALUE(TRIM(MID(MID($A1626,FIND("/",$A1626)+1,20),FIND("/",MID($A1626,FIND("/",$A1626)+1,20))+1,20))),"")))</f>
        <v/>
      </c>
      <c r="E1626">
        <f>IF($A1626="","",IF(OR($B1626="",$C1626="",$D1626="",$B1626&lt;1300,$B1626&gt;1500,$C1626&lt;1,$C1626&gt;12,$D1626&lt;1,$D1626&gt;31),"نامعتبر",RIGHT("0000"&amp;$B1626,4)&amp;"/"&amp;RIGHT("00"&amp;$C1626,2)&amp;"/"&amp;RIGHT("00"&amp;$D1626,2)))</f>
        <v/>
      </c>
      <c r="F1626">
        <f>IF(OR($E1626="",$E1626="نامعتبر"),"",LEFT($E1626,4)&amp;"/"&amp;MID($E1626,6,2))</f>
        <v/>
      </c>
      <c r="G1626">
        <f>IF(OR($E1626="",$E1626="نامعتبر",Sync!$X1622=""),"",IF(AND(LEFT(UPPER(TRIM(Sync!$X1622)),2)="SL",IFERROR(VLOOKUP(Sync!$W1622,OpTbl,3,0),"")="فروش"),UPPER(TRIM(Sync!$X1622)),""))</f>
        <v/>
      </c>
      <c r="H1626">
        <f>IF($G1626="","",IF(Sync!$W1622="","",Sync!$W1622))</f>
        <v/>
      </c>
      <c r="I1626">
        <f>IF(OR($G1626="",Sync!$Y1622=""),"",Sync!$Y1622)</f>
        <v/>
      </c>
      <c r="J1626">
        <f>IF(OR($G1626="",Sync!$Z1622=""),"",Sync!$Z1622)</f>
        <v/>
      </c>
      <c r="K1626">
        <f>IF($G1626="",0,IF(Sync!$AA1622="",0,Sync!$AA1622))</f>
        <v/>
      </c>
      <c r="L1626">
        <f>IF($G1626="",0,IF(Sync!$AB1622="",0,Sync!$AB1622))</f>
        <v/>
      </c>
      <c r="M1626">
        <f>IF($G1626="","",IF($H1626="مرجوعی فروش",-1,1)*($K1626-$L1626*IFERROR(VLOOKUP("P01",ParamTbl,3,0),1.5)))</f>
        <v/>
      </c>
      <c r="N1626">
        <f>IF($G1626="",0,IF($H1626="مرجوعی فروش",-1,1)*IF(Sync!$AC1622="",0,Sync!$AC1622))</f>
        <v/>
      </c>
      <c r="O1626">
        <f>IF(OR($G1626="",Sync!$V1622=""),"",Sync!$V1622)</f>
        <v/>
      </c>
      <c r="P1626">
        <f>IF(OR($G1626="",Sync!$AD1622=""),"",Sync!$AD1622)</f>
        <v/>
      </c>
      <c r="Q1626">
        <f>IF($G1626="","",IF(Sync!$U1622="","0000",IF(AND(ISNUMBER(Sync!$U1622),Sync!$U1622&gt;=0,Sync!$U1622&lt;1),RIGHT("00"&amp;HOUR(Sync!$U1622),2)&amp;RIGHT("00"&amp;MINUTE(Sync!$U1622),2),IFERROR(RIGHT("00"&amp;VALUE(LEFT(Sync!$U1622,FIND(":",Sync!$U1622)-1)),2)&amp;RIGHT("00"&amp;VALUE(MID(Sync!$U1622,FIND(":",Sync!$U1622)+1,2)),2),"0000"))))</f>
        <v/>
      </c>
    </row>
    <row r="1627">
      <c r="A1627">
        <f>IF(Sync!$T1623="","",Sync!$T1623)</f>
        <v/>
      </c>
      <c r="B1627">
        <f>IF($A1627="","",IF(ISNUMBER($A1627),IF(AND($A1627&gt;=10000101,$A1627&lt;=99991231),INT($A1627/10000),""),IFERROR(VALUE(TRIM(LEFT($A1627,FIND("/",$A1627)-1))),"")))</f>
        <v/>
      </c>
      <c r="C1627">
        <f>IF(OR($A1627="",$B1627=""),"",IF(ISNUMBER($A1627),INT(MOD($A1627,10000)/100),IFERROR(VALUE(TRIM(LEFT(MID($A1627,FIND("/",$A1627)+1,20),FIND("/",MID($A1627,FIND("/",$A1627)+1,20))-1))),"")))</f>
        <v/>
      </c>
      <c r="D1627">
        <f>IF(OR($A1627="",$B1627=""),"",IF(ISNUMBER($A1627),MOD($A1627,100),IFERROR(VALUE(TRIM(MID(MID($A1627,FIND("/",$A1627)+1,20),FIND("/",MID($A1627,FIND("/",$A1627)+1,20))+1,20))),"")))</f>
        <v/>
      </c>
      <c r="E1627">
        <f>IF($A1627="","",IF(OR($B1627="",$C1627="",$D1627="",$B1627&lt;1300,$B1627&gt;1500,$C1627&lt;1,$C1627&gt;12,$D1627&lt;1,$D1627&gt;31),"نامعتبر",RIGHT("0000"&amp;$B1627,4)&amp;"/"&amp;RIGHT("00"&amp;$C1627,2)&amp;"/"&amp;RIGHT("00"&amp;$D1627,2)))</f>
        <v/>
      </c>
      <c r="F1627">
        <f>IF(OR($E1627="",$E1627="نامعتبر"),"",LEFT($E1627,4)&amp;"/"&amp;MID($E1627,6,2))</f>
        <v/>
      </c>
      <c r="G1627">
        <f>IF(OR($E1627="",$E1627="نامعتبر",Sync!$X1623=""),"",IF(AND(LEFT(UPPER(TRIM(Sync!$X1623)),2)="SL",IFERROR(VLOOKUP(Sync!$W1623,OpTbl,3,0),"")="فروش"),UPPER(TRIM(Sync!$X1623)),""))</f>
        <v/>
      </c>
      <c r="H1627">
        <f>IF($G1627="","",IF(Sync!$W1623="","",Sync!$W1623))</f>
        <v/>
      </c>
      <c r="I1627">
        <f>IF(OR($G1627="",Sync!$Y1623=""),"",Sync!$Y1623)</f>
        <v/>
      </c>
      <c r="J1627">
        <f>IF(OR($G1627="",Sync!$Z1623=""),"",Sync!$Z1623)</f>
        <v/>
      </c>
      <c r="K1627">
        <f>IF($G1627="",0,IF(Sync!$AA1623="",0,Sync!$AA1623))</f>
        <v/>
      </c>
      <c r="L1627">
        <f>IF($G1627="",0,IF(Sync!$AB1623="",0,Sync!$AB1623))</f>
        <v/>
      </c>
      <c r="M1627">
        <f>IF($G1627="","",IF($H1627="مرجوعی فروش",-1,1)*($K1627-$L1627*IFERROR(VLOOKUP("P01",ParamTbl,3,0),1.5)))</f>
        <v/>
      </c>
      <c r="N1627">
        <f>IF($G1627="",0,IF($H1627="مرجوعی فروش",-1,1)*IF(Sync!$AC1623="",0,Sync!$AC1623))</f>
        <v/>
      </c>
      <c r="O1627">
        <f>IF(OR($G1627="",Sync!$V1623=""),"",Sync!$V1623)</f>
        <v/>
      </c>
      <c r="P1627">
        <f>IF(OR($G1627="",Sync!$AD1623=""),"",Sync!$AD1623)</f>
        <v/>
      </c>
      <c r="Q1627">
        <f>IF($G1627="","",IF(Sync!$U1623="","0000",IF(AND(ISNUMBER(Sync!$U1623),Sync!$U1623&gt;=0,Sync!$U1623&lt;1),RIGHT("00"&amp;HOUR(Sync!$U1623),2)&amp;RIGHT("00"&amp;MINUTE(Sync!$U1623),2),IFERROR(RIGHT("00"&amp;VALUE(LEFT(Sync!$U1623,FIND(":",Sync!$U1623)-1)),2)&amp;RIGHT("00"&amp;VALUE(MID(Sync!$U1623,FIND(":",Sync!$U1623)+1,2)),2),"0000"))))</f>
        <v/>
      </c>
    </row>
    <row r="1628">
      <c r="A1628">
        <f>IF(Sync!$T1624="","",Sync!$T1624)</f>
        <v/>
      </c>
      <c r="B1628">
        <f>IF($A1628="","",IF(ISNUMBER($A1628),IF(AND($A1628&gt;=10000101,$A1628&lt;=99991231),INT($A1628/10000),""),IFERROR(VALUE(TRIM(LEFT($A1628,FIND("/",$A1628)-1))),"")))</f>
        <v/>
      </c>
      <c r="C1628">
        <f>IF(OR($A1628="",$B1628=""),"",IF(ISNUMBER($A1628),INT(MOD($A1628,10000)/100),IFERROR(VALUE(TRIM(LEFT(MID($A1628,FIND("/",$A1628)+1,20),FIND("/",MID($A1628,FIND("/",$A1628)+1,20))-1))),"")))</f>
        <v/>
      </c>
      <c r="D1628">
        <f>IF(OR($A1628="",$B1628=""),"",IF(ISNUMBER($A1628),MOD($A1628,100),IFERROR(VALUE(TRIM(MID(MID($A1628,FIND("/",$A1628)+1,20),FIND("/",MID($A1628,FIND("/",$A1628)+1,20))+1,20))),"")))</f>
        <v/>
      </c>
      <c r="E1628">
        <f>IF($A1628="","",IF(OR($B1628="",$C1628="",$D1628="",$B1628&lt;1300,$B1628&gt;1500,$C1628&lt;1,$C1628&gt;12,$D1628&lt;1,$D1628&gt;31),"نامعتبر",RIGHT("0000"&amp;$B1628,4)&amp;"/"&amp;RIGHT("00"&amp;$C1628,2)&amp;"/"&amp;RIGHT("00"&amp;$D1628,2)))</f>
        <v/>
      </c>
      <c r="F1628">
        <f>IF(OR($E1628="",$E1628="نامعتبر"),"",LEFT($E1628,4)&amp;"/"&amp;MID($E1628,6,2))</f>
        <v/>
      </c>
      <c r="G1628">
        <f>IF(OR($E1628="",$E1628="نامعتبر",Sync!$X1624=""),"",IF(AND(LEFT(UPPER(TRIM(Sync!$X1624)),2)="SL",IFERROR(VLOOKUP(Sync!$W1624,OpTbl,3,0),"")="فروش"),UPPER(TRIM(Sync!$X1624)),""))</f>
        <v/>
      </c>
      <c r="H1628">
        <f>IF($G1628="","",IF(Sync!$W1624="","",Sync!$W1624))</f>
        <v/>
      </c>
      <c r="I1628">
        <f>IF(OR($G1628="",Sync!$Y1624=""),"",Sync!$Y1624)</f>
        <v/>
      </c>
      <c r="J1628">
        <f>IF(OR($G1628="",Sync!$Z1624=""),"",Sync!$Z1624)</f>
        <v/>
      </c>
      <c r="K1628">
        <f>IF($G1628="",0,IF(Sync!$AA1624="",0,Sync!$AA1624))</f>
        <v/>
      </c>
      <c r="L1628">
        <f>IF($G1628="",0,IF(Sync!$AB1624="",0,Sync!$AB1624))</f>
        <v/>
      </c>
      <c r="M1628">
        <f>IF($G1628="","",IF($H1628="مرجوعی فروش",-1,1)*($K1628-$L1628*IFERROR(VLOOKUP("P01",ParamTbl,3,0),1.5)))</f>
        <v/>
      </c>
      <c r="N1628">
        <f>IF($G1628="",0,IF($H1628="مرجوعی فروش",-1,1)*IF(Sync!$AC1624="",0,Sync!$AC1624))</f>
        <v/>
      </c>
      <c r="O1628">
        <f>IF(OR($G1628="",Sync!$V1624=""),"",Sync!$V1624)</f>
        <v/>
      </c>
      <c r="P1628">
        <f>IF(OR($G1628="",Sync!$AD1624=""),"",Sync!$AD1624)</f>
        <v/>
      </c>
      <c r="Q1628">
        <f>IF($G1628="","",IF(Sync!$U1624="","0000",IF(AND(ISNUMBER(Sync!$U1624),Sync!$U1624&gt;=0,Sync!$U1624&lt;1),RIGHT("00"&amp;HOUR(Sync!$U1624),2)&amp;RIGHT("00"&amp;MINUTE(Sync!$U1624),2),IFERROR(RIGHT("00"&amp;VALUE(LEFT(Sync!$U1624,FIND(":",Sync!$U1624)-1)),2)&amp;RIGHT("00"&amp;VALUE(MID(Sync!$U1624,FIND(":",Sync!$U1624)+1,2)),2),"0000"))))</f>
        <v/>
      </c>
    </row>
    <row r="1629">
      <c r="A1629">
        <f>IF(Sync!$T1625="","",Sync!$T1625)</f>
        <v/>
      </c>
      <c r="B1629">
        <f>IF($A1629="","",IF(ISNUMBER($A1629),IF(AND($A1629&gt;=10000101,$A1629&lt;=99991231),INT($A1629/10000),""),IFERROR(VALUE(TRIM(LEFT($A1629,FIND("/",$A1629)-1))),"")))</f>
        <v/>
      </c>
      <c r="C1629">
        <f>IF(OR($A1629="",$B1629=""),"",IF(ISNUMBER($A1629),INT(MOD($A1629,10000)/100),IFERROR(VALUE(TRIM(LEFT(MID($A1629,FIND("/",$A1629)+1,20),FIND("/",MID($A1629,FIND("/",$A1629)+1,20))-1))),"")))</f>
        <v/>
      </c>
      <c r="D1629">
        <f>IF(OR($A1629="",$B1629=""),"",IF(ISNUMBER($A1629),MOD($A1629,100),IFERROR(VALUE(TRIM(MID(MID($A1629,FIND("/",$A1629)+1,20),FIND("/",MID($A1629,FIND("/",$A1629)+1,20))+1,20))),"")))</f>
        <v/>
      </c>
      <c r="E1629">
        <f>IF($A1629="","",IF(OR($B1629="",$C1629="",$D1629="",$B1629&lt;1300,$B1629&gt;1500,$C1629&lt;1,$C1629&gt;12,$D1629&lt;1,$D1629&gt;31),"نامعتبر",RIGHT("0000"&amp;$B1629,4)&amp;"/"&amp;RIGHT("00"&amp;$C1629,2)&amp;"/"&amp;RIGHT("00"&amp;$D1629,2)))</f>
        <v/>
      </c>
      <c r="F1629">
        <f>IF(OR($E1629="",$E1629="نامعتبر"),"",LEFT($E1629,4)&amp;"/"&amp;MID($E1629,6,2))</f>
        <v/>
      </c>
      <c r="G1629">
        <f>IF(OR($E1629="",$E1629="نامعتبر",Sync!$X1625=""),"",IF(AND(LEFT(UPPER(TRIM(Sync!$X1625)),2)="SL",IFERROR(VLOOKUP(Sync!$W1625,OpTbl,3,0),"")="فروش"),UPPER(TRIM(Sync!$X1625)),""))</f>
        <v/>
      </c>
      <c r="H1629">
        <f>IF($G1629="","",IF(Sync!$W1625="","",Sync!$W1625))</f>
        <v/>
      </c>
      <c r="I1629">
        <f>IF(OR($G1629="",Sync!$Y1625=""),"",Sync!$Y1625)</f>
        <v/>
      </c>
      <c r="J1629">
        <f>IF(OR($G1629="",Sync!$Z1625=""),"",Sync!$Z1625)</f>
        <v/>
      </c>
      <c r="K1629">
        <f>IF($G1629="",0,IF(Sync!$AA1625="",0,Sync!$AA1625))</f>
        <v/>
      </c>
      <c r="L1629">
        <f>IF($G1629="",0,IF(Sync!$AB1625="",0,Sync!$AB1625))</f>
        <v/>
      </c>
      <c r="M1629">
        <f>IF($G1629="","",IF($H1629="مرجوعی فروش",-1,1)*($K1629-$L1629*IFERROR(VLOOKUP("P01",ParamTbl,3,0),1.5)))</f>
        <v/>
      </c>
      <c r="N1629">
        <f>IF($G1629="",0,IF($H1629="مرجوعی فروش",-1,1)*IF(Sync!$AC1625="",0,Sync!$AC1625))</f>
        <v/>
      </c>
      <c r="O1629">
        <f>IF(OR($G1629="",Sync!$V1625=""),"",Sync!$V1625)</f>
        <v/>
      </c>
      <c r="P1629">
        <f>IF(OR($G1629="",Sync!$AD1625=""),"",Sync!$AD1625)</f>
        <v/>
      </c>
      <c r="Q1629">
        <f>IF($G1629="","",IF(Sync!$U1625="","0000",IF(AND(ISNUMBER(Sync!$U1625),Sync!$U1625&gt;=0,Sync!$U1625&lt;1),RIGHT("00"&amp;HOUR(Sync!$U1625),2)&amp;RIGHT("00"&amp;MINUTE(Sync!$U1625),2),IFERROR(RIGHT("00"&amp;VALUE(LEFT(Sync!$U1625,FIND(":",Sync!$U1625)-1)),2)&amp;RIGHT("00"&amp;VALUE(MID(Sync!$U1625,FIND(":",Sync!$U1625)+1,2)),2),"0000"))))</f>
        <v/>
      </c>
    </row>
    <row r="1630">
      <c r="A1630">
        <f>IF(Sync!$T1626="","",Sync!$T1626)</f>
        <v/>
      </c>
      <c r="B1630">
        <f>IF($A1630="","",IF(ISNUMBER($A1630),IF(AND($A1630&gt;=10000101,$A1630&lt;=99991231),INT($A1630/10000),""),IFERROR(VALUE(TRIM(LEFT($A1630,FIND("/",$A1630)-1))),"")))</f>
        <v/>
      </c>
      <c r="C1630">
        <f>IF(OR($A1630="",$B1630=""),"",IF(ISNUMBER($A1630),INT(MOD($A1630,10000)/100),IFERROR(VALUE(TRIM(LEFT(MID($A1630,FIND("/",$A1630)+1,20),FIND("/",MID($A1630,FIND("/",$A1630)+1,20))-1))),"")))</f>
        <v/>
      </c>
      <c r="D1630">
        <f>IF(OR($A1630="",$B1630=""),"",IF(ISNUMBER($A1630),MOD($A1630,100),IFERROR(VALUE(TRIM(MID(MID($A1630,FIND("/",$A1630)+1,20),FIND("/",MID($A1630,FIND("/",$A1630)+1,20))+1,20))),"")))</f>
        <v/>
      </c>
      <c r="E1630">
        <f>IF($A1630="","",IF(OR($B1630="",$C1630="",$D1630="",$B1630&lt;1300,$B1630&gt;1500,$C1630&lt;1,$C1630&gt;12,$D1630&lt;1,$D1630&gt;31),"نامعتبر",RIGHT("0000"&amp;$B1630,4)&amp;"/"&amp;RIGHT("00"&amp;$C1630,2)&amp;"/"&amp;RIGHT("00"&amp;$D1630,2)))</f>
        <v/>
      </c>
      <c r="F1630">
        <f>IF(OR($E1630="",$E1630="نامعتبر"),"",LEFT($E1630,4)&amp;"/"&amp;MID($E1630,6,2))</f>
        <v/>
      </c>
      <c r="G1630">
        <f>IF(OR($E1630="",$E1630="نامعتبر",Sync!$X1626=""),"",IF(AND(LEFT(UPPER(TRIM(Sync!$X1626)),2)="SL",IFERROR(VLOOKUP(Sync!$W1626,OpTbl,3,0),"")="فروش"),UPPER(TRIM(Sync!$X1626)),""))</f>
        <v/>
      </c>
      <c r="H1630">
        <f>IF($G1630="","",IF(Sync!$W1626="","",Sync!$W1626))</f>
        <v/>
      </c>
      <c r="I1630">
        <f>IF(OR($G1630="",Sync!$Y1626=""),"",Sync!$Y1626)</f>
        <v/>
      </c>
      <c r="J1630">
        <f>IF(OR($G1630="",Sync!$Z1626=""),"",Sync!$Z1626)</f>
        <v/>
      </c>
      <c r="K1630">
        <f>IF($G1630="",0,IF(Sync!$AA1626="",0,Sync!$AA1626))</f>
        <v/>
      </c>
      <c r="L1630">
        <f>IF($G1630="",0,IF(Sync!$AB1626="",0,Sync!$AB1626))</f>
        <v/>
      </c>
      <c r="M1630">
        <f>IF($G1630="","",IF($H1630="مرجوعی فروش",-1,1)*($K1630-$L1630*IFERROR(VLOOKUP("P01",ParamTbl,3,0),1.5)))</f>
        <v/>
      </c>
      <c r="N1630">
        <f>IF($G1630="",0,IF($H1630="مرجوعی فروش",-1,1)*IF(Sync!$AC1626="",0,Sync!$AC1626))</f>
        <v/>
      </c>
      <c r="O1630">
        <f>IF(OR($G1630="",Sync!$V1626=""),"",Sync!$V1626)</f>
        <v/>
      </c>
      <c r="P1630">
        <f>IF(OR($G1630="",Sync!$AD1626=""),"",Sync!$AD1626)</f>
        <v/>
      </c>
      <c r="Q1630">
        <f>IF($G1630="","",IF(Sync!$U1626="","0000",IF(AND(ISNUMBER(Sync!$U1626),Sync!$U1626&gt;=0,Sync!$U1626&lt;1),RIGHT("00"&amp;HOUR(Sync!$U1626),2)&amp;RIGHT("00"&amp;MINUTE(Sync!$U1626),2),IFERROR(RIGHT("00"&amp;VALUE(LEFT(Sync!$U1626,FIND(":",Sync!$U1626)-1)),2)&amp;RIGHT("00"&amp;VALUE(MID(Sync!$U1626,FIND(":",Sync!$U1626)+1,2)),2),"0000"))))</f>
        <v/>
      </c>
    </row>
    <row r="1631">
      <c r="A1631">
        <f>IF(Sync!$T1627="","",Sync!$T1627)</f>
        <v/>
      </c>
      <c r="B1631">
        <f>IF($A1631="","",IF(ISNUMBER($A1631),IF(AND($A1631&gt;=10000101,$A1631&lt;=99991231),INT($A1631/10000),""),IFERROR(VALUE(TRIM(LEFT($A1631,FIND("/",$A1631)-1))),"")))</f>
        <v/>
      </c>
      <c r="C1631">
        <f>IF(OR($A1631="",$B1631=""),"",IF(ISNUMBER($A1631),INT(MOD($A1631,10000)/100),IFERROR(VALUE(TRIM(LEFT(MID($A1631,FIND("/",$A1631)+1,20),FIND("/",MID($A1631,FIND("/",$A1631)+1,20))-1))),"")))</f>
        <v/>
      </c>
      <c r="D1631">
        <f>IF(OR($A1631="",$B1631=""),"",IF(ISNUMBER($A1631),MOD($A1631,100),IFERROR(VALUE(TRIM(MID(MID($A1631,FIND("/",$A1631)+1,20),FIND("/",MID($A1631,FIND("/",$A1631)+1,20))+1,20))),"")))</f>
        <v/>
      </c>
      <c r="E1631">
        <f>IF($A1631="","",IF(OR($B1631="",$C1631="",$D1631="",$B1631&lt;1300,$B1631&gt;1500,$C1631&lt;1,$C1631&gt;12,$D1631&lt;1,$D1631&gt;31),"نامعتبر",RIGHT("0000"&amp;$B1631,4)&amp;"/"&amp;RIGHT("00"&amp;$C1631,2)&amp;"/"&amp;RIGHT("00"&amp;$D1631,2)))</f>
        <v/>
      </c>
      <c r="F1631">
        <f>IF(OR($E1631="",$E1631="نامعتبر"),"",LEFT($E1631,4)&amp;"/"&amp;MID($E1631,6,2))</f>
        <v/>
      </c>
      <c r="G1631">
        <f>IF(OR($E1631="",$E1631="نامعتبر",Sync!$X1627=""),"",IF(AND(LEFT(UPPER(TRIM(Sync!$X1627)),2)="SL",IFERROR(VLOOKUP(Sync!$W1627,OpTbl,3,0),"")="فروش"),UPPER(TRIM(Sync!$X1627)),""))</f>
        <v/>
      </c>
      <c r="H1631">
        <f>IF($G1631="","",IF(Sync!$W1627="","",Sync!$W1627))</f>
        <v/>
      </c>
      <c r="I1631">
        <f>IF(OR($G1631="",Sync!$Y1627=""),"",Sync!$Y1627)</f>
        <v/>
      </c>
      <c r="J1631">
        <f>IF(OR($G1631="",Sync!$Z1627=""),"",Sync!$Z1627)</f>
        <v/>
      </c>
      <c r="K1631">
        <f>IF($G1631="",0,IF(Sync!$AA1627="",0,Sync!$AA1627))</f>
        <v/>
      </c>
      <c r="L1631">
        <f>IF($G1631="",0,IF(Sync!$AB1627="",0,Sync!$AB1627))</f>
        <v/>
      </c>
      <c r="M1631">
        <f>IF($G1631="","",IF($H1631="مرجوعی فروش",-1,1)*($K1631-$L1631*IFERROR(VLOOKUP("P01",ParamTbl,3,0),1.5)))</f>
        <v/>
      </c>
      <c r="N1631">
        <f>IF($G1631="",0,IF($H1631="مرجوعی فروش",-1,1)*IF(Sync!$AC1627="",0,Sync!$AC1627))</f>
        <v/>
      </c>
      <c r="O1631">
        <f>IF(OR($G1631="",Sync!$V1627=""),"",Sync!$V1627)</f>
        <v/>
      </c>
      <c r="P1631">
        <f>IF(OR($G1631="",Sync!$AD1627=""),"",Sync!$AD1627)</f>
        <v/>
      </c>
      <c r="Q1631">
        <f>IF($G1631="","",IF(Sync!$U1627="","0000",IF(AND(ISNUMBER(Sync!$U1627),Sync!$U1627&gt;=0,Sync!$U1627&lt;1),RIGHT("00"&amp;HOUR(Sync!$U1627),2)&amp;RIGHT("00"&amp;MINUTE(Sync!$U1627),2),IFERROR(RIGHT("00"&amp;VALUE(LEFT(Sync!$U1627,FIND(":",Sync!$U1627)-1)),2)&amp;RIGHT("00"&amp;VALUE(MID(Sync!$U1627,FIND(":",Sync!$U1627)+1,2)),2),"0000"))))</f>
        <v/>
      </c>
    </row>
    <row r="1632">
      <c r="A1632">
        <f>IF(Sync!$T1628="","",Sync!$T1628)</f>
        <v/>
      </c>
      <c r="B1632">
        <f>IF($A1632="","",IF(ISNUMBER($A1632),IF(AND($A1632&gt;=10000101,$A1632&lt;=99991231),INT($A1632/10000),""),IFERROR(VALUE(TRIM(LEFT($A1632,FIND("/",$A1632)-1))),"")))</f>
        <v/>
      </c>
      <c r="C1632">
        <f>IF(OR($A1632="",$B1632=""),"",IF(ISNUMBER($A1632),INT(MOD($A1632,10000)/100),IFERROR(VALUE(TRIM(LEFT(MID($A1632,FIND("/",$A1632)+1,20),FIND("/",MID($A1632,FIND("/",$A1632)+1,20))-1))),"")))</f>
        <v/>
      </c>
      <c r="D1632">
        <f>IF(OR($A1632="",$B1632=""),"",IF(ISNUMBER($A1632),MOD($A1632,100),IFERROR(VALUE(TRIM(MID(MID($A1632,FIND("/",$A1632)+1,20),FIND("/",MID($A1632,FIND("/",$A1632)+1,20))+1,20))),"")))</f>
        <v/>
      </c>
      <c r="E1632">
        <f>IF($A1632="","",IF(OR($B1632="",$C1632="",$D1632="",$B1632&lt;1300,$B1632&gt;1500,$C1632&lt;1,$C1632&gt;12,$D1632&lt;1,$D1632&gt;31),"نامعتبر",RIGHT("0000"&amp;$B1632,4)&amp;"/"&amp;RIGHT("00"&amp;$C1632,2)&amp;"/"&amp;RIGHT("00"&amp;$D1632,2)))</f>
        <v/>
      </c>
      <c r="F1632">
        <f>IF(OR($E1632="",$E1632="نامعتبر"),"",LEFT($E1632,4)&amp;"/"&amp;MID($E1632,6,2))</f>
        <v/>
      </c>
      <c r="G1632">
        <f>IF(OR($E1632="",$E1632="نامعتبر",Sync!$X1628=""),"",IF(AND(LEFT(UPPER(TRIM(Sync!$X1628)),2)="SL",IFERROR(VLOOKUP(Sync!$W1628,OpTbl,3,0),"")="فروش"),UPPER(TRIM(Sync!$X1628)),""))</f>
        <v/>
      </c>
      <c r="H1632">
        <f>IF($G1632="","",IF(Sync!$W1628="","",Sync!$W1628))</f>
        <v/>
      </c>
      <c r="I1632">
        <f>IF(OR($G1632="",Sync!$Y1628=""),"",Sync!$Y1628)</f>
        <v/>
      </c>
      <c r="J1632">
        <f>IF(OR($G1632="",Sync!$Z1628=""),"",Sync!$Z1628)</f>
        <v/>
      </c>
      <c r="K1632">
        <f>IF($G1632="",0,IF(Sync!$AA1628="",0,Sync!$AA1628))</f>
        <v/>
      </c>
      <c r="L1632">
        <f>IF($G1632="",0,IF(Sync!$AB1628="",0,Sync!$AB1628))</f>
        <v/>
      </c>
      <c r="M1632">
        <f>IF($G1632="","",IF($H1632="مرجوعی فروش",-1,1)*($K1632-$L1632*IFERROR(VLOOKUP("P01",ParamTbl,3,0),1.5)))</f>
        <v/>
      </c>
      <c r="N1632">
        <f>IF($G1632="",0,IF($H1632="مرجوعی فروش",-1,1)*IF(Sync!$AC1628="",0,Sync!$AC1628))</f>
        <v/>
      </c>
      <c r="O1632">
        <f>IF(OR($G1632="",Sync!$V1628=""),"",Sync!$V1628)</f>
        <v/>
      </c>
      <c r="P1632">
        <f>IF(OR($G1632="",Sync!$AD1628=""),"",Sync!$AD1628)</f>
        <v/>
      </c>
      <c r="Q1632">
        <f>IF($G1632="","",IF(Sync!$U1628="","0000",IF(AND(ISNUMBER(Sync!$U1628),Sync!$U1628&gt;=0,Sync!$U1628&lt;1),RIGHT("00"&amp;HOUR(Sync!$U1628),2)&amp;RIGHT("00"&amp;MINUTE(Sync!$U1628),2),IFERROR(RIGHT("00"&amp;VALUE(LEFT(Sync!$U1628,FIND(":",Sync!$U1628)-1)),2)&amp;RIGHT("00"&amp;VALUE(MID(Sync!$U1628,FIND(":",Sync!$U1628)+1,2)),2),"0000"))))</f>
        <v/>
      </c>
    </row>
    <row r="1633">
      <c r="A1633">
        <f>IF(Sync!$T1629="","",Sync!$T1629)</f>
        <v/>
      </c>
      <c r="B1633">
        <f>IF($A1633="","",IF(ISNUMBER($A1633),IF(AND($A1633&gt;=10000101,$A1633&lt;=99991231),INT($A1633/10000),""),IFERROR(VALUE(TRIM(LEFT($A1633,FIND("/",$A1633)-1))),"")))</f>
        <v/>
      </c>
      <c r="C1633">
        <f>IF(OR($A1633="",$B1633=""),"",IF(ISNUMBER($A1633),INT(MOD($A1633,10000)/100),IFERROR(VALUE(TRIM(LEFT(MID($A1633,FIND("/",$A1633)+1,20),FIND("/",MID($A1633,FIND("/",$A1633)+1,20))-1))),"")))</f>
        <v/>
      </c>
      <c r="D1633">
        <f>IF(OR($A1633="",$B1633=""),"",IF(ISNUMBER($A1633),MOD($A1633,100),IFERROR(VALUE(TRIM(MID(MID($A1633,FIND("/",$A1633)+1,20),FIND("/",MID($A1633,FIND("/",$A1633)+1,20))+1,20))),"")))</f>
        <v/>
      </c>
      <c r="E1633">
        <f>IF($A1633="","",IF(OR($B1633="",$C1633="",$D1633="",$B1633&lt;1300,$B1633&gt;1500,$C1633&lt;1,$C1633&gt;12,$D1633&lt;1,$D1633&gt;31),"نامعتبر",RIGHT("0000"&amp;$B1633,4)&amp;"/"&amp;RIGHT("00"&amp;$C1633,2)&amp;"/"&amp;RIGHT("00"&amp;$D1633,2)))</f>
        <v/>
      </c>
      <c r="F1633">
        <f>IF(OR($E1633="",$E1633="نامعتبر"),"",LEFT($E1633,4)&amp;"/"&amp;MID($E1633,6,2))</f>
        <v/>
      </c>
      <c r="G1633">
        <f>IF(OR($E1633="",$E1633="نامعتبر",Sync!$X1629=""),"",IF(AND(LEFT(UPPER(TRIM(Sync!$X1629)),2)="SL",IFERROR(VLOOKUP(Sync!$W1629,OpTbl,3,0),"")="فروش"),UPPER(TRIM(Sync!$X1629)),""))</f>
        <v/>
      </c>
      <c r="H1633">
        <f>IF($G1633="","",IF(Sync!$W1629="","",Sync!$W1629))</f>
        <v/>
      </c>
      <c r="I1633">
        <f>IF(OR($G1633="",Sync!$Y1629=""),"",Sync!$Y1629)</f>
        <v/>
      </c>
      <c r="J1633">
        <f>IF(OR($G1633="",Sync!$Z1629=""),"",Sync!$Z1629)</f>
        <v/>
      </c>
      <c r="K1633">
        <f>IF($G1633="",0,IF(Sync!$AA1629="",0,Sync!$AA1629))</f>
        <v/>
      </c>
      <c r="L1633">
        <f>IF($G1633="",0,IF(Sync!$AB1629="",0,Sync!$AB1629))</f>
        <v/>
      </c>
      <c r="M1633">
        <f>IF($G1633="","",IF($H1633="مرجوعی فروش",-1,1)*($K1633-$L1633*IFERROR(VLOOKUP("P01",ParamTbl,3,0),1.5)))</f>
        <v/>
      </c>
      <c r="N1633">
        <f>IF($G1633="",0,IF($H1633="مرجوعی فروش",-1,1)*IF(Sync!$AC1629="",0,Sync!$AC1629))</f>
        <v/>
      </c>
      <c r="O1633">
        <f>IF(OR($G1633="",Sync!$V1629=""),"",Sync!$V1629)</f>
        <v/>
      </c>
      <c r="P1633">
        <f>IF(OR($G1633="",Sync!$AD1629=""),"",Sync!$AD1629)</f>
        <v/>
      </c>
      <c r="Q1633">
        <f>IF($G1633="","",IF(Sync!$U1629="","0000",IF(AND(ISNUMBER(Sync!$U1629),Sync!$U1629&gt;=0,Sync!$U1629&lt;1),RIGHT("00"&amp;HOUR(Sync!$U1629),2)&amp;RIGHT("00"&amp;MINUTE(Sync!$U1629),2),IFERROR(RIGHT("00"&amp;VALUE(LEFT(Sync!$U1629,FIND(":",Sync!$U1629)-1)),2)&amp;RIGHT("00"&amp;VALUE(MID(Sync!$U1629,FIND(":",Sync!$U1629)+1,2)),2),"0000"))))</f>
        <v/>
      </c>
    </row>
    <row r="1634">
      <c r="A1634">
        <f>IF(Sync!$T1630="","",Sync!$T1630)</f>
        <v/>
      </c>
      <c r="B1634">
        <f>IF($A1634="","",IF(ISNUMBER($A1634),IF(AND($A1634&gt;=10000101,$A1634&lt;=99991231),INT($A1634/10000),""),IFERROR(VALUE(TRIM(LEFT($A1634,FIND("/",$A1634)-1))),"")))</f>
        <v/>
      </c>
      <c r="C1634">
        <f>IF(OR($A1634="",$B1634=""),"",IF(ISNUMBER($A1634),INT(MOD($A1634,10000)/100),IFERROR(VALUE(TRIM(LEFT(MID($A1634,FIND("/",$A1634)+1,20),FIND("/",MID($A1634,FIND("/",$A1634)+1,20))-1))),"")))</f>
        <v/>
      </c>
      <c r="D1634">
        <f>IF(OR($A1634="",$B1634=""),"",IF(ISNUMBER($A1634),MOD($A1634,100),IFERROR(VALUE(TRIM(MID(MID($A1634,FIND("/",$A1634)+1,20),FIND("/",MID($A1634,FIND("/",$A1634)+1,20))+1,20))),"")))</f>
        <v/>
      </c>
      <c r="E1634">
        <f>IF($A1634="","",IF(OR($B1634="",$C1634="",$D1634="",$B1634&lt;1300,$B1634&gt;1500,$C1634&lt;1,$C1634&gt;12,$D1634&lt;1,$D1634&gt;31),"نامعتبر",RIGHT("0000"&amp;$B1634,4)&amp;"/"&amp;RIGHT("00"&amp;$C1634,2)&amp;"/"&amp;RIGHT("00"&amp;$D1634,2)))</f>
        <v/>
      </c>
      <c r="F1634">
        <f>IF(OR($E1634="",$E1634="نامعتبر"),"",LEFT($E1634,4)&amp;"/"&amp;MID($E1634,6,2))</f>
        <v/>
      </c>
      <c r="G1634">
        <f>IF(OR($E1634="",$E1634="نامعتبر",Sync!$X1630=""),"",IF(AND(LEFT(UPPER(TRIM(Sync!$X1630)),2)="SL",IFERROR(VLOOKUP(Sync!$W1630,OpTbl,3,0),"")="فروش"),UPPER(TRIM(Sync!$X1630)),""))</f>
        <v/>
      </c>
      <c r="H1634">
        <f>IF($G1634="","",IF(Sync!$W1630="","",Sync!$W1630))</f>
        <v/>
      </c>
      <c r="I1634">
        <f>IF(OR($G1634="",Sync!$Y1630=""),"",Sync!$Y1630)</f>
        <v/>
      </c>
      <c r="J1634">
        <f>IF(OR($G1634="",Sync!$Z1630=""),"",Sync!$Z1630)</f>
        <v/>
      </c>
      <c r="K1634">
        <f>IF($G1634="",0,IF(Sync!$AA1630="",0,Sync!$AA1630))</f>
        <v/>
      </c>
      <c r="L1634">
        <f>IF($G1634="",0,IF(Sync!$AB1630="",0,Sync!$AB1630))</f>
        <v/>
      </c>
      <c r="M1634">
        <f>IF($G1634="","",IF($H1634="مرجوعی فروش",-1,1)*($K1634-$L1634*IFERROR(VLOOKUP("P01",ParamTbl,3,0),1.5)))</f>
        <v/>
      </c>
      <c r="N1634">
        <f>IF($G1634="",0,IF($H1634="مرجوعی فروش",-1,1)*IF(Sync!$AC1630="",0,Sync!$AC1630))</f>
        <v/>
      </c>
      <c r="O1634">
        <f>IF(OR($G1634="",Sync!$V1630=""),"",Sync!$V1630)</f>
        <v/>
      </c>
      <c r="P1634">
        <f>IF(OR($G1634="",Sync!$AD1630=""),"",Sync!$AD1630)</f>
        <v/>
      </c>
      <c r="Q1634">
        <f>IF($G1634="","",IF(Sync!$U1630="","0000",IF(AND(ISNUMBER(Sync!$U1630),Sync!$U1630&gt;=0,Sync!$U1630&lt;1),RIGHT("00"&amp;HOUR(Sync!$U1630),2)&amp;RIGHT("00"&amp;MINUTE(Sync!$U1630),2),IFERROR(RIGHT("00"&amp;VALUE(LEFT(Sync!$U1630,FIND(":",Sync!$U1630)-1)),2)&amp;RIGHT("00"&amp;VALUE(MID(Sync!$U1630,FIND(":",Sync!$U1630)+1,2)),2),"0000"))))</f>
        <v/>
      </c>
    </row>
    <row r="1635">
      <c r="A1635">
        <f>IF(Sync!$T1631="","",Sync!$T1631)</f>
        <v/>
      </c>
      <c r="B1635">
        <f>IF($A1635="","",IF(ISNUMBER($A1635),IF(AND($A1635&gt;=10000101,$A1635&lt;=99991231),INT($A1635/10000),""),IFERROR(VALUE(TRIM(LEFT($A1635,FIND("/",$A1635)-1))),"")))</f>
        <v/>
      </c>
      <c r="C1635">
        <f>IF(OR($A1635="",$B1635=""),"",IF(ISNUMBER($A1635),INT(MOD($A1635,10000)/100),IFERROR(VALUE(TRIM(LEFT(MID($A1635,FIND("/",$A1635)+1,20),FIND("/",MID($A1635,FIND("/",$A1635)+1,20))-1))),"")))</f>
        <v/>
      </c>
      <c r="D1635">
        <f>IF(OR($A1635="",$B1635=""),"",IF(ISNUMBER($A1635),MOD($A1635,100),IFERROR(VALUE(TRIM(MID(MID($A1635,FIND("/",$A1635)+1,20),FIND("/",MID($A1635,FIND("/",$A1635)+1,20))+1,20))),"")))</f>
        <v/>
      </c>
      <c r="E1635">
        <f>IF($A1635="","",IF(OR($B1635="",$C1635="",$D1635="",$B1635&lt;1300,$B1635&gt;1500,$C1635&lt;1,$C1635&gt;12,$D1635&lt;1,$D1635&gt;31),"نامعتبر",RIGHT("0000"&amp;$B1635,4)&amp;"/"&amp;RIGHT("00"&amp;$C1635,2)&amp;"/"&amp;RIGHT("00"&amp;$D1635,2)))</f>
        <v/>
      </c>
      <c r="F1635">
        <f>IF(OR($E1635="",$E1635="نامعتبر"),"",LEFT($E1635,4)&amp;"/"&amp;MID($E1635,6,2))</f>
        <v/>
      </c>
      <c r="G1635">
        <f>IF(OR($E1635="",$E1635="نامعتبر",Sync!$X1631=""),"",IF(AND(LEFT(UPPER(TRIM(Sync!$X1631)),2)="SL",IFERROR(VLOOKUP(Sync!$W1631,OpTbl,3,0),"")="فروش"),UPPER(TRIM(Sync!$X1631)),""))</f>
        <v/>
      </c>
      <c r="H1635">
        <f>IF($G1635="","",IF(Sync!$W1631="","",Sync!$W1631))</f>
        <v/>
      </c>
      <c r="I1635">
        <f>IF(OR($G1635="",Sync!$Y1631=""),"",Sync!$Y1631)</f>
        <v/>
      </c>
      <c r="J1635">
        <f>IF(OR($G1635="",Sync!$Z1631=""),"",Sync!$Z1631)</f>
        <v/>
      </c>
      <c r="K1635">
        <f>IF($G1635="",0,IF(Sync!$AA1631="",0,Sync!$AA1631))</f>
        <v/>
      </c>
      <c r="L1635">
        <f>IF($G1635="",0,IF(Sync!$AB1631="",0,Sync!$AB1631))</f>
        <v/>
      </c>
      <c r="M1635">
        <f>IF($G1635="","",IF($H1635="مرجوعی فروش",-1,1)*($K1635-$L1635*IFERROR(VLOOKUP("P01",ParamTbl,3,0),1.5)))</f>
        <v/>
      </c>
      <c r="N1635">
        <f>IF($G1635="",0,IF($H1635="مرجوعی فروش",-1,1)*IF(Sync!$AC1631="",0,Sync!$AC1631))</f>
        <v/>
      </c>
      <c r="O1635">
        <f>IF(OR($G1635="",Sync!$V1631=""),"",Sync!$V1631)</f>
        <v/>
      </c>
      <c r="P1635">
        <f>IF(OR($G1635="",Sync!$AD1631=""),"",Sync!$AD1631)</f>
        <v/>
      </c>
      <c r="Q1635">
        <f>IF($G1635="","",IF(Sync!$U1631="","0000",IF(AND(ISNUMBER(Sync!$U1631),Sync!$U1631&gt;=0,Sync!$U1631&lt;1),RIGHT("00"&amp;HOUR(Sync!$U1631),2)&amp;RIGHT("00"&amp;MINUTE(Sync!$U1631),2),IFERROR(RIGHT("00"&amp;VALUE(LEFT(Sync!$U1631,FIND(":",Sync!$U1631)-1)),2)&amp;RIGHT("00"&amp;VALUE(MID(Sync!$U1631,FIND(":",Sync!$U1631)+1,2)),2),"0000"))))</f>
        <v/>
      </c>
    </row>
    <row r="1636">
      <c r="A1636">
        <f>IF(Sync!$T1632="","",Sync!$T1632)</f>
        <v/>
      </c>
      <c r="B1636">
        <f>IF($A1636="","",IF(ISNUMBER($A1636),IF(AND($A1636&gt;=10000101,$A1636&lt;=99991231),INT($A1636/10000),""),IFERROR(VALUE(TRIM(LEFT($A1636,FIND("/",$A1636)-1))),"")))</f>
        <v/>
      </c>
      <c r="C1636">
        <f>IF(OR($A1636="",$B1636=""),"",IF(ISNUMBER($A1636),INT(MOD($A1636,10000)/100),IFERROR(VALUE(TRIM(LEFT(MID($A1636,FIND("/",$A1636)+1,20),FIND("/",MID($A1636,FIND("/",$A1636)+1,20))-1))),"")))</f>
        <v/>
      </c>
      <c r="D1636">
        <f>IF(OR($A1636="",$B1636=""),"",IF(ISNUMBER($A1636),MOD($A1636,100),IFERROR(VALUE(TRIM(MID(MID($A1636,FIND("/",$A1636)+1,20),FIND("/",MID($A1636,FIND("/",$A1636)+1,20))+1,20))),"")))</f>
        <v/>
      </c>
      <c r="E1636">
        <f>IF($A1636="","",IF(OR($B1636="",$C1636="",$D1636="",$B1636&lt;1300,$B1636&gt;1500,$C1636&lt;1,$C1636&gt;12,$D1636&lt;1,$D1636&gt;31),"نامعتبر",RIGHT("0000"&amp;$B1636,4)&amp;"/"&amp;RIGHT("00"&amp;$C1636,2)&amp;"/"&amp;RIGHT("00"&amp;$D1636,2)))</f>
        <v/>
      </c>
      <c r="F1636">
        <f>IF(OR($E1636="",$E1636="نامعتبر"),"",LEFT($E1636,4)&amp;"/"&amp;MID($E1636,6,2))</f>
        <v/>
      </c>
      <c r="G1636">
        <f>IF(OR($E1636="",$E1636="نامعتبر",Sync!$X1632=""),"",IF(AND(LEFT(UPPER(TRIM(Sync!$X1632)),2)="SL",IFERROR(VLOOKUP(Sync!$W1632,OpTbl,3,0),"")="فروش"),UPPER(TRIM(Sync!$X1632)),""))</f>
        <v/>
      </c>
      <c r="H1636">
        <f>IF($G1636="","",IF(Sync!$W1632="","",Sync!$W1632))</f>
        <v/>
      </c>
      <c r="I1636">
        <f>IF(OR($G1636="",Sync!$Y1632=""),"",Sync!$Y1632)</f>
        <v/>
      </c>
      <c r="J1636">
        <f>IF(OR($G1636="",Sync!$Z1632=""),"",Sync!$Z1632)</f>
        <v/>
      </c>
      <c r="K1636">
        <f>IF($G1636="",0,IF(Sync!$AA1632="",0,Sync!$AA1632))</f>
        <v/>
      </c>
      <c r="L1636">
        <f>IF($G1636="",0,IF(Sync!$AB1632="",0,Sync!$AB1632))</f>
        <v/>
      </c>
      <c r="M1636">
        <f>IF($G1636="","",IF($H1636="مرجوعی فروش",-1,1)*($K1636-$L1636*IFERROR(VLOOKUP("P01",ParamTbl,3,0),1.5)))</f>
        <v/>
      </c>
      <c r="N1636">
        <f>IF($G1636="",0,IF($H1636="مرجوعی فروش",-1,1)*IF(Sync!$AC1632="",0,Sync!$AC1632))</f>
        <v/>
      </c>
      <c r="O1636">
        <f>IF(OR($G1636="",Sync!$V1632=""),"",Sync!$V1632)</f>
        <v/>
      </c>
      <c r="P1636">
        <f>IF(OR($G1636="",Sync!$AD1632=""),"",Sync!$AD1632)</f>
        <v/>
      </c>
      <c r="Q1636">
        <f>IF($G1636="","",IF(Sync!$U1632="","0000",IF(AND(ISNUMBER(Sync!$U1632),Sync!$U1632&gt;=0,Sync!$U1632&lt;1),RIGHT("00"&amp;HOUR(Sync!$U1632),2)&amp;RIGHT("00"&amp;MINUTE(Sync!$U1632),2),IFERROR(RIGHT("00"&amp;VALUE(LEFT(Sync!$U1632,FIND(":",Sync!$U1632)-1)),2)&amp;RIGHT("00"&amp;VALUE(MID(Sync!$U1632,FIND(":",Sync!$U1632)+1,2)),2),"0000"))))</f>
        <v/>
      </c>
    </row>
    <row r="1637">
      <c r="A1637">
        <f>IF(Sync!$T1633="","",Sync!$T1633)</f>
        <v/>
      </c>
      <c r="B1637">
        <f>IF($A1637="","",IF(ISNUMBER($A1637),IF(AND($A1637&gt;=10000101,$A1637&lt;=99991231),INT($A1637/10000),""),IFERROR(VALUE(TRIM(LEFT($A1637,FIND("/",$A1637)-1))),"")))</f>
        <v/>
      </c>
      <c r="C1637">
        <f>IF(OR($A1637="",$B1637=""),"",IF(ISNUMBER($A1637),INT(MOD($A1637,10000)/100),IFERROR(VALUE(TRIM(LEFT(MID($A1637,FIND("/",$A1637)+1,20),FIND("/",MID($A1637,FIND("/",$A1637)+1,20))-1))),"")))</f>
        <v/>
      </c>
      <c r="D1637">
        <f>IF(OR($A1637="",$B1637=""),"",IF(ISNUMBER($A1637),MOD($A1637,100),IFERROR(VALUE(TRIM(MID(MID($A1637,FIND("/",$A1637)+1,20),FIND("/",MID($A1637,FIND("/",$A1637)+1,20))+1,20))),"")))</f>
        <v/>
      </c>
      <c r="E1637">
        <f>IF($A1637="","",IF(OR($B1637="",$C1637="",$D1637="",$B1637&lt;1300,$B1637&gt;1500,$C1637&lt;1,$C1637&gt;12,$D1637&lt;1,$D1637&gt;31),"نامعتبر",RIGHT("0000"&amp;$B1637,4)&amp;"/"&amp;RIGHT("00"&amp;$C1637,2)&amp;"/"&amp;RIGHT("00"&amp;$D1637,2)))</f>
        <v/>
      </c>
      <c r="F1637">
        <f>IF(OR($E1637="",$E1637="نامعتبر"),"",LEFT($E1637,4)&amp;"/"&amp;MID($E1637,6,2))</f>
        <v/>
      </c>
      <c r="G1637">
        <f>IF(OR($E1637="",$E1637="نامعتبر",Sync!$X1633=""),"",IF(AND(LEFT(UPPER(TRIM(Sync!$X1633)),2)="SL",IFERROR(VLOOKUP(Sync!$W1633,OpTbl,3,0),"")="فروش"),UPPER(TRIM(Sync!$X1633)),""))</f>
        <v/>
      </c>
      <c r="H1637">
        <f>IF($G1637="","",IF(Sync!$W1633="","",Sync!$W1633))</f>
        <v/>
      </c>
      <c r="I1637">
        <f>IF(OR($G1637="",Sync!$Y1633=""),"",Sync!$Y1633)</f>
        <v/>
      </c>
      <c r="J1637">
        <f>IF(OR($G1637="",Sync!$Z1633=""),"",Sync!$Z1633)</f>
        <v/>
      </c>
      <c r="K1637">
        <f>IF($G1637="",0,IF(Sync!$AA1633="",0,Sync!$AA1633))</f>
        <v/>
      </c>
      <c r="L1637">
        <f>IF($G1637="",0,IF(Sync!$AB1633="",0,Sync!$AB1633))</f>
        <v/>
      </c>
      <c r="M1637">
        <f>IF($G1637="","",IF($H1637="مرجوعی فروش",-1,1)*($K1637-$L1637*IFERROR(VLOOKUP("P01",ParamTbl,3,0),1.5)))</f>
        <v/>
      </c>
      <c r="N1637">
        <f>IF($G1637="",0,IF($H1637="مرجوعی فروش",-1,1)*IF(Sync!$AC1633="",0,Sync!$AC1633))</f>
        <v/>
      </c>
      <c r="O1637">
        <f>IF(OR($G1637="",Sync!$V1633=""),"",Sync!$V1633)</f>
        <v/>
      </c>
      <c r="P1637">
        <f>IF(OR($G1637="",Sync!$AD1633=""),"",Sync!$AD1633)</f>
        <v/>
      </c>
      <c r="Q1637">
        <f>IF($G1637="","",IF(Sync!$U1633="","0000",IF(AND(ISNUMBER(Sync!$U1633),Sync!$U1633&gt;=0,Sync!$U1633&lt;1),RIGHT("00"&amp;HOUR(Sync!$U1633),2)&amp;RIGHT("00"&amp;MINUTE(Sync!$U1633),2),IFERROR(RIGHT("00"&amp;VALUE(LEFT(Sync!$U1633,FIND(":",Sync!$U1633)-1)),2)&amp;RIGHT("00"&amp;VALUE(MID(Sync!$U1633,FIND(":",Sync!$U1633)+1,2)),2),"0000"))))</f>
        <v/>
      </c>
    </row>
    <row r="1638">
      <c r="A1638">
        <f>IF(Sync!$T1634="","",Sync!$T1634)</f>
        <v/>
      </c>
      <c r="B1638">
        <f>IF($A1638="","",IF(ISNUMBER($A1638),IF(AND($A1638&gt;=10000101,$A1638&lt;=99991231),INT($A1638/10000),""),IFERROR(VALUE(TRIM(LEFT($A1638,FIND("/",$A1638)-1))),"")))</f>
        <v/>
      </c>
      <c r="C1638">
        <f>IF(OR($A1638="",$B1638=""),"",IF(ISNUMBER($A1638),INT(MOD($A1638,10000)/100),IFERROR(VALUE(TRIM(LEFT(MID($A1638,FIND("/",$A1638)+1,20),FIND("/",MID($A1638,FIND("/",$A1638)+1,20))-1))),"")))</f>
        <v/>
      </c>
      <c r="D1638">
        <f>IF(OR($A1638="",$B1638=""),"",IF(ISNUMBER($A1638),MOD($A1638,100),IFERROR(VALUE(TRIM(MID(MID($A1638,FIND("/",$A1638)+1,20),FIND("/",MID($A1638,FIND("/",$A1638)+1,20))+1,20))),"")))</f>
        <v/>
      </c>
      <c r="E1638">
        <f>IF($A1638="","",IF(OR($B1638="",$C1638="",$D1638="",$B1638&lt;1300,$B1638&gt;1500,$C1638&lt;1,$C1638&gt;12,$D1638&lt;1,$D1638&gt;31),"نامعتبر",RIGHT("0000"&amp;$B1638,4)&amp;"/"&amp;RIGHT("00"&amp;$C1638,2)&amp;"/"&amp;RIGHT("00"&amp;$D1638,2)))</f>
        <v/>
      </c>
      <c r="F1638">
        <f>IF(OR($E1638="",$E1638="نامعتبر"),"",LEFT($E1638,4)&amp;"/"&amp;MID($E1638,6,2))</f>
        <v/>
      </c>
      <c r="G1638">
        <f>IF(OR($E1638="",$E1638="نامعتبر",Sync!$X1634=""),"",IF(AND(LEFT(UPPER(TRIM(Sync!$X1634)),2)="SL",IFERROR(VLOOKUP(Sync!$W1634,OpTbl,3,0),"")="فروش"),UPPER(TRIM(Sync!$X1634)),""))</f>
        <v/>
      </c>
      <c r="H1638">
        <f>IF($G1638="","",IF(Sync!$W1634="","",Sync!$W1634))</f>
        <v/>
      </c>
      <c r="I1638">
        <f>IF(OR($G1638="",Sync!$Y1634=""),"",Sync!$Y1634)</f>
        <v/>
      </c>
      <c r="J1638">
        <f>IF(OR($G1638="",Sync!$Z1634=""),"",Sync!$Z1634)</f>
        <v/>
      </c>
      <c r="K1638">
        <f>IF($G1638="",0,IF(Sync!$AA1634="",0,Sync!$AA1634))</f>
        <v/>
      </c>
      <c r="L1638">
        <f>IF($G1638="",0,IF(Sync!$AB1634="",0,Sync!$AB1634))</f>
        <v/>
      </c>
      <c r="M1638">
        <f>IF($G1638="","",IF($H1638="مرجوعی فروش",-1,1)*($K1638-$L1638*IFERROR(VLOOKUP("P01",ParamTbl,3,0),1.5)))</f>
        <v/>
      </c>
      <c r="N1638">
        <f>IF($G1638="",0,IF($H1638="مرجوعی فروش",-1,1)*IF(Sync!$AC1634="",0,Sync!$AC1634))</f>
        <v/>
      </c>
      <c r="O1638">
        <f>IF(OR($G1638="",Sync!$V1634=""),"",Sync!$V1634)</f>
        <v/>
      </c>
      <c r="P1638">
        <f>IF(OR($G1638="",Sync!$AD1634=""),"",Sync!$AD1634)</f>
        <v/>
      </c>
      <c r="Q1638">
        <f>IF($G1638="","",IF(Sync!$U1634="","0000",IF(AND(ISNUMBER(Sync!$U1634),Sync!$U1634&gt;=0,Sync!$U1634&lt;1),RIGHT("00"&amp;HOUR(Sync!$U1634),2)&amp;RIGHT("00"&amp;MINUTE(Sync!$U1634),2),IFERROR(RIGHT("00"&amp;VALUE(LEFT(Sync!$U1634,FIND(":",Sync!$U1634)-1)),2)&amp;RIGHT("00"&amp;VALUE(MID(Sync!$U1634,FIND(":",Sync!$U1634)+1,2)),2),"0000"))))</f>
        <v/>
      </c>
    </row>
    <row r="1639">
      <c r="A1639">
        <f>IF(Sync!$T1635="","",Sync!$T1635)</f>
        <v/>
      </c>
      <c r="B1639">
        <f>IF($A1639="","",IF(ISNUMBER($A1639),IF(AND($A1639&gt;=10000101,$A1639&lt;=99991231),INT($A1639/10000),""),IFERROR(VALUE(TRIM(LEFT($A1639,FIND("/",$A1639)-1))),"")))</f>
        <v/>
      </c>
      <c r="C1639">
        <f>IF(OR($A1639="",$B1639=""),"",IF(ISNUMBER($A1639),INT(MOD($A1639,10000)/100),IFERROR(VALUE(TRIM(LEFT(MID($A1639,FIND("/",$A1639)+1,20),FIND("/",MID($A1639,FIND("/",$A1639)+1,20))-1))),"")))</f>
        <v/>
      </c>
      <c r="D1639">
        <f>IF(OR($A1639="",$B1639=""),"",IF(ISNUMBER($A1639),MOD($A1639,100),IFERROR(VALUE(TRIM(MID(MID($A1639,FIND("/",$A1639)+1,20),FIND("/",MID($A1639,FIND("/",$A1639)+1,20))+1,20))),"")))</f>
        <v/>
      </c>
      <c r="E1639">
        <f>IF($A1639="","",IF(OR($B1639="",$C1639="",$D1639="",$B1639&lt;1300,$B1639&gt;1500,$C1639&lt;1,$C1639&gt;12,$D1639&lt;1,$D1639&gt;31),"نامعتبر",RIGHT("0000"&amp;$B1639,4)&amp;"/"&amp;RIGHT("00"&amp;$C1639,2)&amp;"/"&amp;RIGHT("00"&amp;$D1639,2)))</f>
        <v/>
      </c>
      <c r="F1639">
        <f>IF(OR($E1639="",$E1639="نامعتبر"),"",LEFT($E1639,4)&amp;"/"&amp;MID($E1639,6,2))</f>
        <v/>
      </c>
      <c r="G1639">
        <f>IF(OR($E1639="",$E1639="نامعتبر",Sync!$X1635=""),"",IF(AND(LEFT(UPPER(TRIM(Sync!$X1635)),2)="SL",IFERROR(VLOOKUP(Sync!$W1635,OpTbl,3,0),"")="فروش"),UPPER(TRIM(Sync!$X1635)),""))</f>
        <v/>
      </c>
      <c r="H1639">
        <f>IF($G1639="","",IF(Sync!$W1635="","",Sync!$W1635))</f>
        <v/>
      </c>
      <c r="I1639">
        <f>IF(OR($G1639="",Sync!$Y1635=""),"",Sync!$Y1635)</f>
        <v/>
      </c>
      <c r="J1639">
        <f>IF(OR($G1639="",Sync!$Z1635=""),"",Sync!$Z1635)</f>
        <v/>
      </c>
      <c r="K1639">
        <f>IF($G1639="",0,IF(Sync!$AA1635="",0,Sync!$AA1635))</f>
        <v/>
      </c>
      <c r="L1639">
        <f>IF($G1639="",0,IF(Sync!$AB1635="",0,Sync!$AB1635))</f>
        <v/>
      </c>
      <c r="M1639">
        <f>IF($G1639="","",IF($H1639="مرجوعی فروش",-1,1)*($K1639-$L1639*IFERROR(VLOOKUP("P01",ParamTbl,3,0),1.5)))</f>
        <v/>
      </c>
      <c r="N1639">
        <f>IF($G1639="",0,IF($H1639="مرجوعی فروش",-1,1)*IF(Sync!$AC1635="",0,Sync!$AC1635))</f>
        <v/>
      </c>
      <c r="O1639">
        <f>IF(OR($G1639="",Sync!$V1635=""),"",Sync!$V1635)</f>
        <v/>
      </c>
      <c r="P1639">
        <f>IF(OR($G1639="",Sync!$AD1635=""),"",Sync!$AD1635)</f>
        <v/>
      </c>
      <c r="Q1639">
        <f>IF($G1639="","",IF(Sync!$U1635="","0000",IF(AND(ISNUMBER(Sync!$U1635),Sync!$U1635&gt;=0,Sync!$U1635&lt;1),RIGHT("00"&amp;HOUR(Sync!$U1635),2)&amp;RIGHT("00"&amp;MINUTE(Sync!$U1635),2),IFERROR(RIGHT("00"&amp;VALUE(LEFT(Sync!$U1635,FIND(":",Sync!$U1635)-1)),2)&amp;RIGHT("00"&amp;VALUE(MID(Sync!$U1635,FIND(":",Sync!$U1635)+1,2)),2),"0000"))))</f>
        <v/>
      </c>
    </row>
    <row r="1640">
      <c r="A1640">
        <f>IF(Sync!$T1636="","",Sync!$T1636)</f>
        <v/>
      </c>
      <c r="B1640">
        <f>IF($A1640="","",IF(ISNUMBER($A1640),IF(AND($A1640&gt;=10000101,$A1640&lt;=99991231),INT($A1640/10000),""),IFERROR(VALUE(TRIM(LEFT($A1640,FIND("/",$A1640)-1))),"")))</f>
        <v/>
      </c>
      <c r="C1640">
        <f>IF(OR($A1640="",$B1640=""),"",IF(ISNUMBER($A1640),INT(MOD($A1640,10000)/100),IFERROR(VALUE(TRIM(LEFT(MID($A1640,FIND("/",$A1640)+1,20),FIND("/",MID($A1640,FIND("/",$A1640)+1,20))-1))),"")))</f>
        <v/>
      </c>
      <c r="D1640">
        <f>IF(OR($A1640="",$B1640=""),"",IF(ISNUMBER($A1640),MOD($A1640,100),IFERROR(VALUE(TRIM(MID(MID($A1640,FIND("/",$A1640)+1,20),FIND("/",MID($A1640,FIND("/",$A1640)+1,20))+1,20))),"")))</f>
        <v/>
      </c>
      <c r="E1640">
        <f>IF($A1640="","",IF(OR($B1640="",$C1640="",$D1640="",$B1640&lt;1300,$B1640&gt;1500,$C1640&lt;1,$C1640&gt;12,$D1640&lt;1,$D1640&gt;31),"نامعتبر",RIGHT("0000"&amp;$B1640,4)&amp;"/"&amp;RIGHT("00"&amp;$C1640,2)&amp;"/"&amp;RIGHT("00"&amp;$D1640,2)))</f>
        <v/>
      </c>
      <c r="F1640">
        <f>IF(OR($E1640="",$E1640="نامعتبر"),"",LEFT($E1640,4)&amp;"/"&amp;MID($E1640,6,2))</f>
        <v/>
      </c>
      <c r="G1640">
        <f>IF(OR($E1640="",$E1640="نامعتبر",Sync!$X1636=""),"",IF(AND(LEFT(UPPER(TRIM(Sync!$X1636)),2)="SL",IFERROR(VLOOKUP(Sync!$W1636,OpTbl,3,0),"")="فروش"),UPPER(TRIM(Sync!$X1636)),""))</f>
        <v/>
      </c>
      <c r="H1640">
        <f>IF($G1640="","",IF(Sync!$W1636="","",Sync!$W1636))</f>
        <v/>
      </c>
      <c r="I1640">
        <f>IF(OR($G1640="",Sync!$Y1636=""),"",Sync!$Y1636)</f>
        <v/>
      </c>
      <c r="J1640">
        <f>IF(OR($G1640="",Sync!$Z1636=""),"",Sync!$Z1636)</f>
        <v/>
      </c>
      <c r="K1640">
        <f>IF($G1640="",0,IF(Sync!$AA1636="",0,Sync!$AA1636))</f>
        <v/>
      </c>
      <c r="L1640">
        <f>IF($G1640="",0,IF(Sync!$AB1636="",0,Sync!$AB1636))</f>
        <v/>
      </c>
      <c r="M1640">
        <f>IF($G1640="","",IF($H1640="مرجوعی فروش",-1,1)*($K1640-$L1640*IFERROR(VLOOKUP("P01",ParamTbl,3,0),1.5)))</f>
        <v/>
      </c>
      <c r="N1640">
        <f>IF($G1640="",0,IF($H1640="مرجوعی فروش",-1,1)*IF(Sync!$AC1636="",0,Sync!$AC1636))</f>
        <v/>
      </c>
      <c r="O1640">
        <f>IF(OR($G1640="",Sync!$V1636=""),"",Sync!$V1636)</f>
        <v/>
      </c>
      <c r="P1640">
        <f>IF(OR($G1640="",Sync!$AD1636=""),"",Sync!$AD1636)</f>
        <v/>
      </c>
      <c r="Q1640">
        <f>IF($G1640="","",IF(Sync!$U1636="","0000",IF(AND(ISNUMBER(Sync!$U1636),Sync!$U1636&gt;=0,Sync!$U1636&lt;1),RIGHT("00"&amp;HOUR(Sync!$U1636),2)&amp;RIGHT("00"&amp;MINUTE(Sync!$U1636),2),IFERROR(RIGHT("00"&amp;VALUE(LEFT(Sync!$U1636,FIND(":",Sync!$U1636)-1)),2)&amp;RIGHT("00"&amp;VALUE(MID(Sync!$U1636,FIND(":",Sync!$U1636)+1,2)),2),"0000"))))</f>
        <v/>
      </c>
    </row>
    <row r="1641">
      <c r="A1641">
        <f>IF(Sync!$T1637="","",Sync!$T1637)</f>
        <v/>
      </c>
      <c r="B1641">
        <f>IF($A1641="","",IF(ISNUMBER($A1641),IF(AND($A1641&gt;=10000101,$A1641&lt;=99991231),INT($A1641/10000),""),IFERROR(VALUE(TRIM(LEFT($A1641,FIND("/",$A1641)-1))),"")))</f>
        <v/>
      </c>
      <c r="C1641">
        <f>IF(OR($A1641="",$B1641=""),"",IF(ISNUMBER($A1641),INT(MOD($A1641,10000)/100),IFERROR(VALUE(TRIM(LEFT(MID($A1641,FIND("/",$A1641)+1,20),FIND("/",MID($A1641,FIND("/",$A1641)+1,20))-1))),"")))</f>
        <v/>
      </c>
      <c r="D1641">
        <f>IF(OR($A1641="",$B1641=""),"",IF(ISNUMBER($A1641),MOD($A1641,100),IFERROR(VALUE(TRIM(MID(MID($A1641,FIND("/",$A1641)+1,20),FIND("/",MID($A1641,FIND("/",$A1641)+1,20))+1,20))),"")))</f>
        <v/>
      </c>
      <c r="E1641">
        <f>IF($A1641="","",IF(OR($B1641="",$C1641="",$D1641="",$B1641&lt;1300,$B1641&gt;1500,$C1641&lt;1,$C1641&gt;12,$D1641&lt;1,$D1641&gt;31),"نامعتبر",RIGHT("0000"&amp;$B1641,4)&amp;"/"&amp;RIGHT("00"&amp;$C1641,2)&amp;"/"&amp;RIGHT("00"&amp;$D1641,2)))</f>
        <v/>
      </c>
      <c r="F1641">
        <f>IF(OR($E1641="",$E1641="نامعتبر"),"",LEFT($E1641,4)&amp;"/"&amp;MID($E1641,6,2))</f>
        <v/>
      </c>
      <c r="G1641">
        <f>IF(OR($E1641="",$E1641="نامعتبر",Sync!$X1637=""),"",IF(AND(LEFT(UPPER(TRIM(Sync!$X1637)),2)="SL",IFERROR(VLOOKUP(Sync!$W1637,OpTbl,3,0),"")="فروش"),UPPER(TRIM(Sync!$X1637)),""))</f>
        <v/>
      </c>
      <c r="H1641">
        <f>IF($G1641="","",IF(Sync!$W1637="","",Sync!$W1637))</f>
        <v/>
      </c>
      <c r="I1641">
        <f>IF(OR($G1641="",Sync!$Y1637=""),"",Sync!$Y1637)</f>
        <v/>
      </c>
      <c r="J1641">
        <f>IF(OR($G1641="",Sync!$Z1637=""),"",Sync!$Z1637)</f>
        <v/>
      </c>
      <c r="K1641">
        <f>IF($G1641="",0,IF(Sync!$AA1637="",0,Sync!$AA1637))</f>
        <v/>
      </c>
      <c r="L1641">
        <f>IF($G1641="",0,IF(Sync!$AB1637="",0,Sync!$AB1637))</f>
        <v/>
      </c>
      <c r="M1641">
        <f>IF($G1641="","",IF($H1641="مرجوعی فروش",-1,1)*($K1641-$L1641*IFERROR(VLOOKUP("P01",ParamTbl,3,0),1.5)))</f>
        <v/>
      </c>
      <c r="N1641">
        <f>IF($G1641="",0,IF($H1641="مرجوعی فروش",-1,1)*IF(Sync!$AC1637="",0,Sync!$AC1637))</f>
        <v/>
      </c>
      <c r="O1641">
        <f>IF(OR($G1641="",Sync!$V1637=""),"",Sync!$V1637)</f>
        <v/>
      </c>
      <c r="P1641">
        <f>IF(OR($G1641="",Sync!$AD1637=""),"",Sync!$AD1637)</f>
        <v/>
      </c>
      <c r="Q1641">
        <f>IF($G1641="","",IF(Sync!$U1637="","0000",IF(AND(ISNUMBER(Sync!$U1637),Sync!$U1637&gt;=0,Sync!$U1637&lt;1),RIGHT("00"&amp;HOUR(Sync!$U1637),2)&amp;RIGHT("00"&amp;MINUTE(Sync!$U1637),2),IFERROR(RIGHT("00"&amp;VALUE(LEFT(Sync!$U1637,FIND(":",Sync!$U1637)-1)),2)&amp;RIGHT("00"&amp;VALUE(MID(Sync!$U1637,FIND(":",Sync!$U1637)+1,2)),2),"0000"))))</f>
        <v/>
      </c>
    </row>
    <row r="1642">
      <c r="A1642">
        <f>IF(Sync!$T1638="","",Sync!$T1638)</f>
        <v/>
      </c>
      <c r="B1642">
        <f>IF($A1642="","",IF(ISNUMBER($A1642),IF(AND($A1642&gt;=10000101,$A1642&lt;=99991231),INT($A1642/10000),""),IFERROR(VALUE(TRIM(LEFT($A1642,FIND("/",$A1642)-1))),"")))</f>
        <v/>
      </c>
      <c r="C1642">
        <f>IF(OR($A1642="",$B1642=""),"",IF(ISNUMBER($A1642),INT(MOD($A1642,10000)/100),IFERROR(VALUE(TRIM(LEFT(MID($A1642,FIND("/",$A1642)+1,20),FIND("/",MID($A1642,FIND("/",$A1642)+1,20))-1))),"")))</f>
        <v/>
      </c>
      <c r="D1642">
        <f>IF(OR($A1642="",$B1642=""),"",IF(ISNUMBER($A1642),MOD($A1642,100),IFERROR(VALUE(TRIM(MID(MID($A1642,FIND("/",$A1642)+1,20),FIND("/",MID($A1642,FIND("/",$A1642)+1,20))+1,20))),"")))</f>
        <v/>
      </c>
      <c r="E1642">
        <f>IF($A1642="","",IF(OR($B1642="",$C1642="",$D1642="",$B1642&lt;1300,$B1642&gt;1500,$C1642&lt;1,$C1642&gt;12,$D1642&lt;1,$D1642&gt;31),"نامعتبر",RIGHT("0000"&amp;$B1642,4)&amp;"/"&amp;RIGHT("00"&amp;$C1642,2)&amp;"/"&amp;RIGHT("00"&amp;$D1642,2)))</f>
        <v/>
      </c>
      <c r="F1642">
        <f>IF(OR($E1642="",$E1642="نامعتبر"),"",LEFT($E1642,4)&amp;"/"&amp;MID($E1642,6,2))</f>
        <v/>
      </c>
      <c r="G1642">
        <f>IF(OR($E1642="",$E1642="نامعتبر",Sync!$X1638=""),"",IF(AND(LEFT(UPPER(TRIM(Sync!$X1638)),2)="SL",IFERROR(VLOOKUP(Sync!$W1638,OpTbl,3,0),"")="فروش"),UPPER(TRIM(Sync!$X1638)),""))</f>
        <v/>
      </c>
      <c r="H1642">
        <f>IF($G1642="","",IF(Sync!$W1638="","",Sync!$W1638))</f>
        <v/>
      </c>
      <c r="I1642">
        <f>IF(OR($G1642="",Sync!$Y1638=""),"",Sync!$Y1638)</f>
        <v/>
      </c>
      <c r="J1642">
        <f>IF(OR($G1642="",Sync!$Z1638=""),"",Sync!$Z1638)</f>
        <v/>
      </c>
      <c r="K1642">
        <f>IF($G1642="",0,IF(Sync!$AA1638="",0,Sync!$AA1638))</f>
        <v/>
      </c>
      <c r="L1642">
        <f>IF($G1642="",0,IF(Sync!$AB1638="",0,Sync!$AB1638))</f>
        <v/>
      </c>
      <c r="M1642">
        <f>IF($G1642="","",IF($H1642="مرجوعی فروش",-1,1)*($K1642-$L1642*IFERROR(VLOOKUP("P01",ParamTbl,3,0),1.5)))</f>
        <v/>
      </c>
      <c r="N1642">
        <f>IF($G1642="",0,IF($H1642="مرجوعی فروش",-1,1)*IF(Sync!$AC1638="",0,Sync!$AC1638))</f>
        <v/>
      </c>
      <c r="O1642">
        <f>IF(OR($G1642="",Sync!$V1638=""),"",Sync!$V1638)</f>
        <v/>
      </c>
      <c r="P1642">
        <f>IF(OR($G1642="",Sync!$AD1638=""),"",Sync!$AD1638)</f>
        <v/>
      </c>
      <c r="Q1642">
        <f>IF($G1642="","",IF(Sync!$U1638="","0000",IF(AND(ISNUMBER(Sync!$U1638),Sync!$U1638&gt;=0,Sync!$U1638&lt;1),RIGHT("00"&amp;HOUR(Sync!$U1638),2)&amp;RIGHT("00"&amp;MINUTE(Sync!$U1638),2),IFERROR(RIGHT("00"&amp;VALUE(LEFT(Sync!$U1638,FIND(":",Sync!$U1638)-1)),2)&amp;RIGHT("00"&amp;VALUE(MID(Sync!$U1638,FIND(":",Sync!$U1638)+1,2)),2),"0000"))))</f>
        <v/>
      </c>
    </row>
    <row r="1643">
      <c r="A1643">
        <f>IF(Sync!$T1639="","",Sync!$T1639)</f>
        <v/>
      </c>
      <c r="B1643">
        <f>IF($A1643="","",IF(ISNUMBER($A1643),IF(AND($A1643&gt;=10000101,$A1643&lt;=99991231),INT($A1643/10000),""),IFERROR(VALUE(TRIM(LEFT($A1643,FIND("/",$A1643)-1))),"")))</f>
        <v/>
      </c>
      <c r="C1643">
        <f>IF(OR($A1643="",$B1643=""),"",IF(ISNUMBER($A1643),INT(MOD($A1643,10000)/100),IFERROR(VALUE(TRIM(LEFT(MID($A1643,FIND("/",$A1643)+1,20),FIND("/",MID($A1643,FIND("/",$A1643)+1,20))-1))),"")))</f>
        <v/>
      </c>
      <c r="D1643">
        <f>IF(OR($A1643="",$B1643=""),"",IF(ISNUMBER($A1643),MOD($A1643,100),IFERROR(VALUE(TRIM(MID(MID($A1643,FIND("/",$A1643)+1,20),FIND("/",MID($A1643,FIND("/",$A1643)+1,20))+1,20))),"")))</f>
        <v/>
      </c>
      <c r="E1643">
        <f>IF($A1643="","",IF(OR($B1643="",$C1643="",$D1643="",$B1643&lt;1300,$B1643&gt;1500,$C1643&lt;1,$C1643&gt;12,$D1643&lt;1,$D1643&gt;31),"نامعتبر",RIGHT("0000"&amp;$B1643,4)&amp;"/"&amp;RIGHT("00"&amp;$C1643,2)&amp;"/"&amp;RIGHT("00"&amp;$D1643,2)))</f>
        <v/>
      </c>
      <c r="F1643">
        <f>IF(OR($E1643="",$E1643="نامعتبر"),"",LEFT($E1643,4)&amp;"/"&amp;MID($E1643,6,2))</f>
        <v/>
      </c>
      <c r="G1643">
        <f>IF(OR($E1643="",$E1643="نامعتبر",Sync!$X1639=""),"",IF(AND(LEFT(UPPER(TRIM(Sync!$X1639)),2)="SL",IFERROR(VLOOKUP(Sync!$W1639,OpTbl,3,0),"")="فروش"),UPPER(TRIM(Sync!$X1639)),""))</f>
        <v/>
      </c>
      <c r="H1643">
        <f>IF($G1643="","",IF(Sync!$W1639="","",Sync!$W1639))</f>
        <v/>
      </c>
      <c r="I1643">
        <f>IF(OR($G1643="",Sync!$Y1639=""),"",Sync!$Y1639)</f>
        <v/>
      </c>
      <c r="J1643">
        <f>IF(OR($G1643="",Sync!$Z1639=""),"",Sync!$Z1639)</f>
        <v/>
      </c>
      <c r="K1643">
        <f>IF($G1643="",0,IF(Sync!$AA1639="",0,Sync!$AA1639))</f>
        <v/>
      </c>
      <c r="L1643">
        <f>IF($G1643="",0,IF(Sync!$AB1639="",0,Sync!$AB1639))</f>
        <v/>
      </c>
      <c r="M1643">
        <f>IF($G1643="","",IF($H1643="مرجوعی فروش",-1,1)*($K1643-$L1643*IFERROR(VLOOKUP("P01",ParamTbl,3,0),1.5)))</f>
        <v/>
      </c>
      <c r="N1643">
        <f>IF($G1643="",0,IF($H1643="مرجوعی فروش",-1,1)*IF(Sync!$AC1639="",0,Sync!$AC1639))</f>
        <v/>
      </c>
      <c r="O1643">
        <f>IF(OR($G1643="",Sync!$V1639=""),"",Sync!$V1639)</f>
        <v/>
      </c>
      <c r="P1643">
        <f>IF(OR($G1643="",Sync!$AD1639=""),"",Sync!$AD1639)</f>
        <v/>
      </c>
      <c r="Q1643">
        <f>IF($G1643="","",IF(Sync!$U1639="","0000",IF(AND(ISNUMBER(Sync!$U1639),Sync!$U1639&gt;=0,Sync!$U1639&lt;1),RIGHT("00"&amp;HOUR(Sync!$U1639),2)&amp;RIGHT("00"&amp;MINUTE(Sync!$U1639),2),IFERROR(RIGHT("00"&amp;VALUE(LEFT(Sync!$U1639,FIND(":",Sync!$U1639)-1)),2)&amp;RIGHT("00"&amp;VALUE(MID(Sync!$U1639,FIND(":",Sync!$U1639)+1,2)),2),"0000"))))</f>
        <v/>
      </c>
    </row>
    <row r="1644">
      <c r="A1644">
        <f>IF(Sync!$T1640="","",Sync!$T1640)</f>
        <v/>
      </c>
      <c r="B1644">
        <f>IF($A1644="","",IF(ISNUMBER($A1644),IF(AND($A1644&gt;=10000101,$A1644&lt;=99991231),INT($A1644/10000),""),IFERROR(VALUE(TRIM(LEFT($A1644,FIND("/",$A1644)-1))),"")))</f>
        <v/>
      </c>
      <c r="C1644">
        <f>IF(OR($A1644="",$B1644=""),"",IF(ISNUMBER($A1644),INT(MOD($A1644,10000)/100),IFERROR(VALUE(TRIM(LEFT(MID($A1644,FIND("/",$A1644)+1,20),FIND("/",MID($A1644,FIND("/",$A1644)+1,20))-1))),"")))</f>
        <v/>
      </c>
      <c r="D1644">
        <f>IF(OR($A1644="",$B1644=""),"",IF(ISNUMBER($A1644),MOD($A1644,100),IFERROR(VALUE(TRIM(MID(MID($A1644,FIND("/",$A1644)+1,20),FIND("/",MID($A1644,FIND("/",$A1644)+1,20))+1,20))),"")))</f>
        <v/>
      </c>
      <c r="E1644">
        <f>IF($A1644="","",IF(OR($B1644="",$C1644="",$D1644="",$B1644&lt;1300,$B1644&gt;1500,$C1644&lt;1,$C1644&gt;12,$D1644&lt;1,$D1644&gt;31),"نامعتبر",RIGHT("0000"&amp;$B1644,4)&amp;"/"&amp;RIGHT("00"&amp;$C1644,2)&amp;"/"&amp;RIGHT("00"&amp;$D1644,2)))</f>
        <v/>
      </c>
      <c r="F1644">
        <f>IF(OR($E1644="",$E1644="نامعتبر"),"",LEFT($E1644,4)&amp;"/"&amp;MID($E1644,6,2))</f>
        <v/>
      </c>
      <c r="G1644">
        <f>IF(OR($E1644="",$E1644="نامعتبر",Sync!$X1640=""),"",IF(AND(LEFT(UPPER(TRIM(Sync!$X1640)),2)="SL",IFERROR(VLOOKUP(Sync!$W1640,OpTbl,3,0),"")="فروش"),UPPER(TRIM(Sync!$X1640)),""))</f>
        <v/>
      </c>
      <c r="H1644">
        <f>IF($G1644="","",IF(Sync!$W1640="","",Sync!$W1640))</f>
        <v/>
      </c>
      <c r="I1644">
        <f>IF(OR($G1644="",Sync!$Y1640=""),"",Sync!$Y1640)</f>
        <v/>
      </c>
      <c r="J1644">
        <f>IF(OR($G1644="",Sync!$Z1640=""),"",Sync!$Z1640)</f>
        <v/>
      </c>
      <c r="K1644">
        <f>IF($G1644="",0,IF(Sync!$AA1640="",0,Sync!$AA1640))</f>
        <v/>
      </c>
      <c r="L1644">
        <f>IF($G1644="",0,IF(Sync!$AB1640="",0,Sync!$AB1640))</f>
        <v/>
      </c>
      <c r="M1644">
        <f>IF($G1644="","",IF($H1644="مرجوعی فروش",-1,1)*($K1644-$L1644*IFERROR(VLOOKUP("P01",ParamTbl,3,0),1.5)))</f>
        <v/>
      </c>
      <c r="N1644">
        <f>IF($G1644="",0,IF($H1644="مرجوعی فروش",-1,1)*IF(Sync!$AC1640="",0,Sync!$AC1640))</f>
        <v/>
      </c>
      <c r="O1644">
        <f>IF(OR($G1644="",Sync!$V1640=""),"",Sync!$V1640)</f>
        <v/>
      </c>
      <c r="P1644">
        <f>IF(OR($G1644="",Sync!$AD1640=""),"",Sync!$AD1640)</f>
        <v/>
      </c>
      <c r="Q1644">
        <f>IF($G1644="","",IF(Sync!$U1640="","0000",IF(AND(ISNUMBER(Sync!$U1640),Sync!$U1640&gt;=0,Sync!$U1640&lt;1),RIGHT("00"&amp;HOUR(Sync!$U1640),2)&amp;RIGHT("00"&amp;MINUTE(Sync!$U1640),2),IFERROR(RIGHT("00"&amp;VALUE(LEFT(Sync!$U1640,FIND(":",Sync!$U1640)-1)),2)&amp;RIGHT("00"&amp;VALUE(MID(Sync!$U1640,FIND(":",Sync!$U1640)+1,2)),2),"0000"))))</f>
        <v/>
      </c>
    </row>
    <row r="1645">
      <c r="A1645">
        <f>IF(Sync!$T1641="","",Sync!$T1641)</f>
        <v/>
      </c>
      <c r="B1645">
        <f>IF($A1645="","",IF(ISNUMBER($A1645),IF(AND($A1645&gt;=10000101,$A1645&lt;=99991231),INT($A1645/10000),""),IFERROR(VALUE(TRIM(LEFT($A1645,FIND("/",$A1645)-1))),"")))</f>
        <v/>
      </c>
      <c r="C1645">
        <f>IF(OR($A1645="",$B1645=""),"",IF(ISNUMBER($A1645),INT(MOD($A1645,10000)/100),IFERROR(VALUE(TRIM(LEFT(MID($A1645,FIND("/",$A1645)+1,20),FIND("/",MID($A1645,FIND("/",$A1645)+1,20))-1))),"")))</f>
        <v/>
      </c>
      <c r="D1645">
        <f>IF(OR($A1645="",$B1645=""),"",IF(ISNUMBER($A1645),MOD($A1645,100),IFERROR(VALUE(TRIM(MID(MID($A1645,FIND("/",$A1645)+1,20),FIND("/",MID($A1645,FIND("/",$A1645)+1,20))+1,20))),"")))</f>
        <v/>
      </c>
      <c r="E1645">
        <f>IF($A1645="","",IF(OR($B1645="",$C1645="",$D1645="",$B1645&lt;1300,$B1645&gt;1500,$C1645&lt;1,$C1645&gt;12,$D1645&lt;1,$D1645&gt;31),"نامعتبر",RIGHT("0000"&amp;$B1645,4)&amp;"/"&amp;RIGHT("00"&amp;$C1645,2)&amp;"/"&amp;RIGHT("00"&amp;$D1645,2)))</f>
        <v/>
      </c>
      <c r="F1645">
        <f>IF(OR($E1645="",$E1645="نامعتبر"),"",LEFT($E1645,4)&amp;"/"&amp;MID($E1645,6,2))</f>
        <v/>
      </c>
      <c r="G1645">
        <f>IF(OR($E1645="",$E1645="نامعتبر",Sync!$X1641=""),"",IF(AND(LEFT(UPPER(TRIM(Sync!$X1641)),2)="SL",IFERROR(VLOOKUP(Sync!$W1641,OpTbl,3,0),"")="فروش"),UPPER(TRIM(Sync!$X1641)),""))</f>
        <v/>
      </c>
      <c r="H1645">
        <f>IF($G1645="","",IF(Sync!$W1641="","",Sync!$W1641))</f>
        <v/>
      </c>
      <c r="I1645">
        <f>IF(OR($G1645="",Sync!$Y1641=""),"",Sync!$Y1641)</f>
        <v/>
      </c>
      <c r="J1645">
        <f>IF(OR($G1645="",Sync!$Z1641=""),"",Sync!$Z1641)</f>
        <v/>
      </c>
      <c r="K1645">
        <f>IF($G1645="",0,IF(Sync!$AA1641="",0,Sync!$AA1641))</f>
        <v/>
      </c>
      <c r="L1645">
        <f>IF($G1645="",0,IF(Sync!$AB1641="",0,Sync!$AB1641))</f>
        <v/>
      </c>
      <c r="M1645">
        <f>IF($G1645="","",IF($H1645="مرجوعی فروش",-1,1)*($K1645-$L1645*IFERROR(VLOOKUP("P01",ParamTbl,3,0),1.5)))</f>
        <v/>
      </c>
      <c r="N1645">
        <f>IF($G1645="",0,IF($H1645="مرجوعی فروش",-1,1)*IF(Sync!$AC1641="",0,Sync!$AC1641))</f>
        <v/>
      </c>
      <c r="O1645">
        <f>IF(OR($G1645="",Sync!$V1641=""),"",Sync!$V1641)</f>
        <v/>
      </c>
      <c r="P1645">
        <f>IF(OR($G1645="",Sync!$AD1641=""),"",Sync!$AD1641)</f>
        <v/>
      </c>
      <c r="Q1645">
        <f>IF($G1645="","",IF(Sync!$U1641="","0000",IF(AND(ISNUMBER(Sync!$U1641),Sync!$U1641&gt;=0,Sync!$U1641&lt;1),RIGHT("00"&amp;HOUR(Sync!$U1641),2)&amp;RIGHT("00"&amp;MINUTE(Sync!$U1641),2),IFERROR(RIGHT("00"&amp;VALUE(LEFT(Sync!$U1641,FIND(":",Sync!$U1641)-1)),2)&amp;RIGHT("00"&amp;VALUE(MID(Sync!$U1641,FIND(":",Sync!$U1641)+1,2)),2),"0000"))))</f>
        <v/>
      </c>
    </row>
    <row r="1646">
      <c r="A1646">
        <f>IF(Sync!$T1642="","",Sync!$T1642)</f>
        <v/>
      </c>
      <c r="B1646">
        <f>IF($A1646="","",IF(ISNUMBER($A1646),IF(AND($A1646&gt;=10000101,$A1646&lt;=99991231),INT($A1646/10000),""),IFERROR(VALUE(TRIM(LEFT($A1646,FIND("/",$A1646)-1))),"")))</f>
        <v/>
      </c>
      <c r="C1646">
        <f>IF(OR($A1646="",$B1646=""),"",IF(ISNUMBER($A1646),INT(MOD($A1646,10000)/100),IFERROR(VALUE(TRIM(LEFT(MID($A1646,FIND("/",$A1646)+1,20),FIND("/",MID($A1646,FIND("/",$A1646)+1,20))-1))),"")))</f>
        <v/>
      </c>
      <c r="D1646">
        <f>IF(OR($A1646="",$B1646=""),"",IF(ISNUMBER($A1646),MOD($A1646,100),IFERROR(VALUE(TRIM(MID(MID($A1646,FIND("/",$A1646)+1,20),FIND("/",MID($A1646,FIND("/",$A1646)+1,20))+1,20))),"")))</f>
        <v/>
      </c>
      <c r="E1646">
        <f>IF($A1646="","",IF(OR($B1646="",$C1646="",$D1646="",$B1646&lt;1300,$B1646&gt;1500,$C1646&lt;1,$C1646&gt;12,$D1646&lt;1,$D1646&gt;31),"نامعتبر",RIGHT("0000"&amp;$B1646,4)&amp;"/"&amp;RIGHT("00"&amp;$C1646,2)&amp;"/"&amp;RIGHT("00"&amp;$D1646,2)))</f>
        <v/>
      </c>
      <c r="F1646">
        <f>IF(OR($E1646="",$E1646="نامعتبر"),"",LEFT($E1646,4)&amp;"/"&amp;MID($E1646,6,2))</f>
        <v/>
      </c>
      <c r="G1646">
        <f>IF(OR($E1646="",$E1646="نامعتبر",Sync!$X1642=""),"",IF(AND(LEFT(UPPER(TRIM(Sync!$X1642)),2)="SL",IFERROR(VLOOKUP(Sync!$W1642,OpTbl,3,0),"")="فروش"),UPPER(TRIM(Sync!$X1642)),""))</f>
        <v/>
      </c>
      <c r="H1646">
        <f>IF($G1646="","",IF(Sync!$W1642="","",Sync!$W1642))</f>
        <v/>
      </c>
      <c r="I1646">
        <f>IF(OR($G1646="",Sync!$Y1642=""),"",Sync!$Y1642)</f>
        <v/>
      </c>
      <c r="J1646">
        <f>IF(OR($G1646="",Sync!$Z1642=""),"",Sync!$Z1642)</f>
        <v/>
      </c>
      <c r="K1646">
        <f>IF($G1646="",0,IF(Sync!$AA1642="",0,Sync!$AA1642))</f>
        <v/>
      </c>
      <c r="L1646">
        <f>IF($G1646="",0,IF(Sync!$AB1642="",0,Sync!$AB1642))</f>
        <v/>
      </c>
      <c r="M1646">
        <f>IF($G1646="","",IF($H1646="مرجوعی فروش",-1,1)*($K1646-$L1646*IFERROR(VLOOKUP("P01",ParamTbl,3,0),1.5)))</f>
        <v/>
      </c>
      <c r="N1646">
        <f>IF($G1646="",0,IF($H1646="مرجوعی فروش",-1,1)*IF(Sync!$AC1642="",0,Sync!$AC1642))</f>
        <v/>
      </c>
      <c r="O1646">
        <f>IF(OR($G1646="",Sync!$V1642=""),"",Sync!$V1642)</f>
        <v/>
      </c>
      <c r="P1646">
        <f>IF(OR($G1646="",Sync!$AD1642=""),"",Sync!$AD1642)</f>
        <v/>
      </c>
      <c r="Q1646">
        <f>IF($G1646="","",IF(Sync!$U1642="","0000",IF(AND(ISNUMBER(Sync!$U1642),Sync!$U1642&gt;=0,Sync!$U1642&lt;1),RIGHT("00"&amp;HOUR(Sync!$U1642),2)&amp;RIGHT("00"&amp;MINUTE(Sync!$U1642),2),IFERROR(RIGHT("00"&amp;VALUE(LEFT(Sync!$U1642,FIND(":",Sync!$U1642)-1)),2)&amp;RIGHT("00"&amp;VALUE(MID(Sync!$U1642,FIND(":",Sync!$U1642)+1,2)),2),"0000"))))</f>
        <v/>
      </c>
    </row>
    <row r="1647">
      <c r="A1647">
        <f>IF(Sync!$T1643="","",Sync!$T1643)</f>
        <v/>
      </c>
      <c r="B1647">
        <f>IF($A1647="","",IF(ISNUMBER($A1647),IF(AND($A1647&gt;=10000101,$A1647&lt;=99991231),INT($A1647/10000),""),IFERROR(VALUE(TRIM(LEFT($A1647,FIND("/",$A1647)-1))),"")))</f>
        <v/>
      </c>
      <c r="C1647">
        <f>IF(OR($A1647="",$B1647=""),"",IF(ISNUMBER($A1647),INT(MOD($A1647,10000)/100),IFERROR(VALUE(TRIM(LEFT(MID($A1647,FIND("/",$A1647)+1,20),FIND("/",MID($A1647,FIND("/",$A1647)+1,20))-1))),"")))</f>
        <v/>
      </c>
      <c r="D1647">
        <f>IF(OR($A1647="",$B1647=""),"",IF(ISNUMBER($A1647),MOD($A1647,100),IFERROR(VALUE(TRIM(MID(MID($A1647,FIND("/",$A1647)+1,20),FIND("/",MID($A1647,FIND("/",$A1647)+1,20))+1,20))),"")))</f>
        <v/>
      </c>
      <c r="E1647">
        <f>IF($A1647="","",IF(OR($B1647="",$C1647="",$D1647="",$B1647&lt;1300,$B1647&gt;1500,$C1647&lt;1,$C1647&gt;12,$D1647&lt;1,$D1647&gt;31),"نامعتبر",RIGHT("0000"&amp;$B1647,4)&amp;"/"&amp;RIGHT("00"&amp;$C1647,2)&amp;"/"&amp;RIGHT("00"&amp;$D1647,2)))</f>
        <v/>
      </c>
      <c r="F1647">
        <f>IF(OR($E1647="",$E1647="نامعتبر"),"",LEFT($E1647,4)&amp;"/"&amp;MID($E1647,6,2))</f>
        <v/>
      </c>
      <c r="G1647">
        <f>IF(OR($E1647="",$E1647="نامعتبر",Sync!$X1643=""),"",IF(AND(LEFT(UPPER(TRIM(Sync!$X1643)),2)="SL",IFERROR(VLOOKUP(Sync!$W1643,OpTbl,3,0),"")="فروش"),UPPER(TRIM(Sync!$X1643)),""))</f>
        <v/>
      </c>
      <c r="H1647">
        <f>IF($G1647="","",IF(Sync!$W1643="","",Sync!$W1643))</f>
        <v/>
      </c>
      <c r="I1647">
        <f>IF(OR($G1647="",Sync!$Y1643=""),"",Sync!$Y1643)</f>
        <v/>
      </c>
      <c r="J1647">
        <f>IF(OR($G1647="",Sync!$Z1643=""),"",Sync!$Z1643)</f>
        <v/>
      </c>
      <c r="K1647">
        <f>IF($G1647="",0,IF(Sync!$AA1643="",0,Sync!$AA1643))</f>
        <v/>
      </c>
      <c r="L1647">
        <f>IF($G1647="",0,IF(Sync!$AB1643="",0,Sync!$AB1643))</f>
        <v/>
      </c>
      <c r="M1647">
        <f>IF($G1647="","",IF($H1647="مرجوعی فروش",-1,1)*($K1647-$L1647*IFERROR(VLOOKUP("P01",ParamTbl,3,0),1.5)))</f>
        <v/>
      </c>
      <c r="N1647">
        <f>IF($G1647="",0,IF($H1647="مرجوعی فروش",-1,1)*IF(Sync!$AC1643="",0,Sync!$AC1643))</f>
        <v/>
      </c>
      <c r="O1647">
        <f>IF(OR($G1647="",Sync!$V1643=""),"",Sync!$V1643)</f>
        <v/>
      </c>
      <c r="P1647">
        <f>IF(OR($G1647="",Sync!$AD1643=""),"",Sync!$AD1643)</f>
        <v/>
      </c>
      <c r="Q1647">
        <f>IF($G1647="","",IF(Sync!$U1643="","0000",IF(AND(ISNUMBER(Sync!$U1643),Sync!$U1643&gt;=0,Sync!$U1643&lt;1),RIGHT("00"&amp;HOUR(Sync!$U1643),2)&amp;RIGHT("00"&amp;MINUTE(Sync!$U1643),2),IFERROR(RIGHT("00"&amp;VALUE(LEFT(Sync!$U1643,FIND(":",Sync!$U1643)-1)),2)&amp;RIGHT("00"&amp;VALUE(MID(Sync!$U1643,FIND(":",Sync!$U1643)+1,2)),2),"0000"))))</f>
        <v/>
      </c>
    </row>
    <row r="1648">
      <c r="A1648">
        <f>IF(Sync!$T1644="","",Sync!$T1644)</f>
        <v/>
      </c>
      <c r="B1648">
        <f>IF($A1648="","",IF(ISNUMBER($A1648),IF(AND($A1648&gt;=10000101,$A1648&lt;=99991231),INT($A1648/10000),""),IFERROR(VALUE(TRIM(LEFT($A1648,FIND("/",$A1648)-1))),"")))</f>
        <v/>
      </c>
      <c r="C1648">
        <f>IF(OR($A1648="",$B1648=""),"",IF(ISNUMBER($A1648),INT(MOD($A1648,10000)/100),IFERROR(VALUE(TRIM(LEFT(MID($A1648,FIND("/",$A1648)+1,20),FIND("/",MID($A1648,FIND("/",$A1648)+1,20))-1))),"")))</f>
        <v/>
      </c>
      <c r="D1648">
        <f>IF(OR($A1648="",$B1648=""),"",IF(ISNUMBER($A1648),MOD($A1648,100),IFERROR(VALUE(TRIM(MID(MID($A1648,FIND("/",$A1648)+1,20),FIND("/",MID($A1648,FIND("/",$A1648)+1,20))+1,20))),"")))</f>
        <v/>
      </c>
      <c r="E1648">
        <f>IF($A1648="","",IF(OR($B1648="",$C1648="",$D1648="",$B1648&lt;1300,$B1648&gt;1500,$C1648&lt;1,$C1648&gt;12,$D1648&lt;1,$D1648&gt;31),"نامعتبر",RIGHT("0000"&amp;$B1648,4)&amp;"/"&amp;RIGHT("00"&amp;$C1648,2)&amp;"/"&amp;RIGHT("00"&amp;$D1648,2)))</f>
        <v/>
      </c>
      <c r="F1648">
        <f>IF(OR($E1648="",$E1648="نامعتبر"),"",LEFT($E1648,4)&amp;"/"&amp;MID($E1648,6,2))</f>
        <v/>
      </c>
      <c r="G1648">
        <f>IF(OR($E1648="",$E1648="نامعتبر",Sync!$X1644=""),"",IF(AND(LEFT(UPPER(TRIM(Sync!$X1644)),2)="SL",IFERROR(VLOOKUP(Sync!$W1644,OpTbl,3,0),"")="فروش"),UPPER(TRIM(Sync!$X1644)),""))</f>
        <v/>
      </c>
      <c r="H1648">
        <f>IF($G1648="","",IF(Sync!$W1644="","",Sync!$W1644))</f>
        <v/>
      </c>
      <c r="I1648">
        <f>IF(OR($G1648="",Sync!$Y1644=""),"",Sync!$Y1644)</f>
        <v/>
      </c>
      <c r="J1648">
        <f>IF(OR($G1648="",Sync!$Z1644=""),"",Sync!$Z1644)</f>
        <v/>
      </c>
      <c r="K1648">
        <f>IF($G1648="",0,IF(Sync!$AA1644="",0,Sync!$AA1644))</f>
        <v/>
      </c>
      <c r="L1648">
        <f>IF($G1648="",0,IF(Sync!$AB1644="",0,Sync!$AB1644))</f>
        <v/>
      </c>
      <c r="M1648">
        <f>IF($G1648="","",IF($H1648="مرجوعی فروش",-1,1)*($K1648-$L1648*IFERROR(VLOOKUP("P01",ParamTbl,3,0),1.5)))</f>
        <v/>
      </c>
      <c r="N1648">
        <f>IF($G1648="",0,IF($H1648="مرجوعی فروش",-1,1)*IF(Sync!$AC1644="",0,Sync!$AC1644))</f>
        <v/>
      </c>
      <c r="O1648">
        <f>IF(OR($G1648="",Sync!$V1644=""),"",Sync!$V1644)</f>
        <v/>
      </c>
      <c r="P1648">
        <f>IF(OR($G1648="",Sync!$AD1644=""),"",Sync!$AD1644)</f>
        <v/>
      </c>
      <c r="Q1648">
        <f>IF($G1648="","",IF(Sync!$U1644="","0000",IF(AND(ISNUMBER(Sync!$U1644),Sync!$U1644&gt;=0,Sync!$U1644&lt;1),RIGHT("00"&amp;HOUR(Sync!$U1644),2)&amp;RIGHT("00"&amp;MINUTE(Sync!$U1644),2),IFERROR(RIGHT("00"&amp;VALUE(LEFT(Sync!$U1644,FIND(":",Sync!$U1644)-1)),2)&amp;RIGHT("00"&amp;VALUE(MID(Sync!$U1644,FIND(":",Sync!$U1644)+1,2)),2),"0000"))))</f>
        <v/>
      </c>
    </row>
    <row r="1649">
      <c r="A1649">
        <f>IF(Sync!$T1645="","",Sync!$T1645)</f>
        <v/>
      </c>
      <c r="B1649">
        <f>IF($A1649="","",IF(ISNUMBER($A1649),IF(AND($A1649&gt;=10000101,$A1649&lt;=99991231),INT($A1649/10000),""),IFERROR(VALUE(TRIM(LEFT($A1649,FIND("/",$A1649)-1))),"")))</f>
        <v/>
      </c>
      <c r="C1649">
        <f>IF(OR($A1649="",$B1649=""),"",IF(ISNUMBER($A1649),INT(MOD($A1649,10000)/100),IFERROR(VALUE(TRIM(LEFT(MID($A1649,FIND("/",$A1649)+1,20),FIND("/",MID($A1649,FIND("/",$A1649)+1,20))-1))),"")))</f>
        <v/>
      </c>
      <c r="D1649">
        <f>IF(OR($A1649="",$B1649=""),"",IF(ISNUMBER($A1649),MOD($A1649,100),IFERROR(VALUE(TRIM(MID(MID($A1649,FIND("/",$A1649)+1,20),FIND("/",MID($A1649,FIND("/",$A1649)+1,20))+1,20))),"")))</f>
        <v/>
      </c>
      <c r="E1649">
        <f>IF($A1649="","",IF(OR($B1649="",$C1649="",$D1649="",$B1649&lt;1300,$B1649&gt;1500,$C1649&lt;1,$C1649&gt;12,$D1649&lt;1,$D1649&gt;31),"نامعتبر",RIGHT("0000"&amp;$B1649,4)&amp;"/"&amp;RIGHT("00"&amp;$C1649,2)&amp;"/"&amp;RIGHT("00"&amp;$D1649,2)))</f>
        <v/>
      </c>
      <c r="F1649">
        <f>IF(OR($E1649="",$E1649="نامعتبر"),"",LEFT($E1649,4)&amp;"/"&amp;MID($E1649,6,2))</f>
        <v/>
      </c>
      <c r="G1649">
        <f>IF(OR($E1649="",$E1649="نامعتبر",Sync!$X1645=""),"",IF(AND(LEFT(UPPER(TRIM(Sync!$X1645)),2)="SL",IFERROR(VLOOKUP(Sync!$W1645,OpTbl,3,0),"")="فروش"),UPPER(TRIM(Sync!$X1645)),""))</f>
        <v/>
      </c>
      <c r="H1649">
        <f>IF($G1649="","",IF(Sync!$W1645="","",Sync!$W1645))</f>
        <v/>
      </c>
      <c r="I1649">
        <f>IF(OR($G1649="",Sync!$Y1645=""),"",Sync!$Y1645)</f>
        <v/>
      </c>
      <c r="J1649">
        <f>IF(OR($G1649="",Sync!$Z1645=""),"",Sync!$Z1645)</f>
        <v/>
      </c>
      <c r="K1649">
        <f>IF($G1649="",0,IF(Sync!$AA1645="",0,Sync!$AA1645))</f>
        <v/>
      </c>
      <c r="L1649">
        <f>IF($G1649="",0,IF(Sync!$AB1645="",0,Sync!$AB1645))</f>
        <v/>
      </c>
      <c r="M1649">
        <f>IF($G1649="","",IF($H1649="مرجوعی فروش",-1,1)*($K1649-$L1649*IFERROR(VLOOKUP("P01",ParamTbl,3,0),1.5)))</f>
        <v/>
      </c>
      <c r="N1649">
        <f>IF($G1649="",0,IF($H1649="مرجوعی فروش",-1,1)*IF(Sync!$AC1645="",0,Sync!$AC1645))</f>
        <v/>
      </c>
      <c r="O1649">
        <f>IF(OR($G1649="",Sync!$V1645=""),"",Sync!$V1645)</f>
        <v/>
      </c>
      <c r="P1649">
        <f>IF(OR($G1649="",Sync!$AD1645=""),"",Sync!$AD1645)</f>
        <v/>
      </c>
      <c r="Q1649">
        <f>IF($G1649="","",IF(Sync!$U1645="","0000",IF(AND(ISNUMBER(Sync!$U1645),Sync!$U1645&gt;=0,Sync!$U1645&lt;1),RIGHT("00"&amp;HOUR(Sync!$U1645),2)&amp;RIGHT("00"&amp;MINUTE(Sync!$U1645),2),IFERROR(RIGHT("00"&amp;VALUE(LEFT(Sync!$U1645,FIND(":",Sync!$U1645)-1)),2)&amp;RIGHT("00"&amp;VALUE(MID(Sync!$U1645,FIND(":",Sync!$U1645)+1,2)),2),"0000"))))</f>
        <v/>
      </c>
    </row>
    <row r="1650">
      <c r="A1650">
        <f>IF(Sync!$T1646="","",Sync!$T1646)</f>
        <v/>
      </c>
      <c r="B1650">
        <f>IF($A1650="","",IF(ISNUMBER($A1650),IF(AND($A1650&gt;=10000101,$A1650&lt;=99991231),INT($A1650/10000),""),IFERROR(VALUE(TRIM(LEFT($A1650,FIND("/",$A1650)-1))),"")))</f>
        <v/>
      </c>
      <c r="C1650">
        <f>IF(OR($A1650="",$B1650=""),"",IF(ISNUMBER($A1650),INT(MOD($A1650,10000)/100),IFERROR(VALUE(TRIM(LEFT(MID($A1650,FIND("/",$A1650)+1,20),FIND("/",MID($A1650,FIND("/",$A1650)+1,20))-1))),"")))</f>
        <v/>
      </c>
      <c r="D1650">
        <f>IF(OR($A1650="",$B1650=""),"",IF(ISNUMBER($A1650),MOD($A1650,100),IFERROR(VALUE(TRIM(MID(MID($A1650,FIND("/",$A1650)+1,20),FIND("/",MID($A1650,FIND("/",$A1650)+1,20))+1,20))),"")))</f>
        <v/>
      </c>
      <c r="E1650">
        <f>IF($A1650="","",IF(OR($B1650="",$C1650="",$D1650="",$B1650&lt;1300,$B1650&gt;1500,$C1650&lt;1,$C1650&gt;12,$D1650&lt;1,$D1650&gt;31),"نامعتبر",RIGHT("0000"&amp;$B1650,4)&amp;"/"&amp;RIGHT("00"&amp;$C1650,2)&amp;"/"&amp;RIGHT("00"&amp;$D1650,2)))</f>
        <v/>
      </c>
      <c r="F1650">
        <f>IF(OR($E1650="",$E1650="نامعتبر"),"",LEFT($E1650,4)&amp;"/"&amp;MID($E1650,6,2))</f>
        <v/>
      </c>
      <c r="G1650">
        <f>IF(OR($E1650="",$E1650="نامعتبر",Sync!$X1646=""),"",IF(AND(LEFT(UPPER(TRIM(Sync!$X1646)),2)="SL",IFERROR(VLOOKUP(Sync!$W1646,OpTbl,3,0),"")="فروش"),UPPER(TRIM(Sync!$X1646)),""))</f>
        <v/>
      </c>
      <c r="H1650">
        <f>IF($G1650="","",IF(Sync!$W1646="","",Sync!$W1646))</f>
        <v/>
      </c>
      <c r="I1650">
        <f>IF(OR($G1650="",Sync!$Y1646=""),"",Sync!$Y1646)</f>
        <v/>
      </c>
      <c r="J1650">
        <f>IF(OR($G1650="",Sync!$Z1646=""),"",Sync!$Z1646)</f>
        <v/>
      </c>
      <c r="K1650">
        <f>IF($G1650="",0,IF(Sync!$AA1646="",0,Sync!$AA1646))</f>
        <v/>
      </c>
      <c r="L1650">
        <f>IF($G1650="",0,IF(Sync!$AB1646="",0,Sync!$AB1646))</f>
        <v/>
      </c>
      <c r="M1650">
        <f>IF($G1650="","",IF($H1650="مرجوعی فروش",-1,1)*($K1650-$L1650*IFERROR(VLOOKUP("P01",ParamTbl,3,0),1.5)))</f>
        <v/>
      </c>
      <c r="N1650">
        <f>IF($G1650="",0,IF($H1650="مرجوعی فروش",-1,1)*IF(Sync!$AC1646="",0,Sync!$AC1646))</f>
        <v/>
      </c>
      <c r="O1650">
        <f>IF(OR($G1650="",Sync!$V1646=""),"",Sync!$V1646)</f>
        <v/>
      </c>
      <c r="P1650">
        <f>IF(OR($G1650="",Sync!$AD1646=""),"",Sync!$AD1646)</f>
        <v/>
      </c>
      <c r="Q1650">
        <f>IF($G1650="","",IF(Sync!$U1646="","0000",IF(AND(ISNUMBER(Sync!$U1646),Sync!$U1646&gt;=0,Sync!$U1646&lt;1),RIGHT("00"&amp;HOUR(Sync!$U1646),2)&amp;RIGHT("00"&amp;MINUTE(Sync!$U1646),2),IFERROR(RIGHT("00"&amp;VALUE(LEFT(Sync!$U1646,FIND(":",Sync!$U1646)-1)),2)&amp;RIGHT("00"&amp;VALUE(MID(Sync!$U1646,FIND(":",Sync!$U1646)+1,2)),2),"0000"))))</f>
        <v/>
      </c>
    </row>
    <row r="1651">
      <c r="A1651">
        <f>IF(Sync!$T1647="","",Sync!$T1647)</f>
        <v/>
      </c>
      <c r="B1651">
        <f>IF($A1651="","",IF(ISNUMBER($A1651),IF(AND($A1651&gt;=10000101,$A1651&lt;=99991231),INT($A1651/10000),""),IFERROR(VALUE(TRIM(LEFT($A1651,FIND("/",$A1651)-1))),"")))</f>
        <v/>
      </c>
      <c r="C1651">
        <f>IF(OR($A1651="",$B1651=""),"",IF(ISNUMBER($A1651),INT(MOD($A1651,10000)/100),IFERROR(VALUE(TRIM(LEFT(MID($A1651,FIND("/",$A1651)+1,20),FIND("/",MID($A1651,FIND("/",$A1651)+1,20))-1))),"")))</f>
        <v/>
      </c>
      <c r="D1651">
        <f>IF(OR($A1651="",$B1651=""),"",IF(ISNUMBER($A1651),MOD($A1651,100),IFERROR(VALUE(TRIM(MID(MID($A1651,FIND("/",$A1651)+1,20),FIND("/",MID($A1651,FIND("/",$A1651)+1,20))+1,20))),"")))</f>
        <v/>
      </c>
      <c r="E1651">
        <f>IF($A1651="","",IF(OR($B1651="",$C1651="",$D1651="",$B1651&lt;1300,$B1651&gt;1500,$C1651&lt;1,$C1651&gt;12,$D1651&lt;1,$D1651&gt;31),"نامعتبر",RIGHT("0000"&amp;$B1651,4)&amp;"/"&amp;RIGHT("00"&amp;$C1651,2)&amp;"/"&amp;RIGHT("00"&amp;$D1651,2)))</f>
        <v/>
      </c>
      <c r="F1651">
        <f>IF(OR($E1651="",$E1651="نامعتبر"),"",LEFT($E1651,4)&amp;"/"&amp;MID($E1651,6,2))</f>
        <v/>
      </c>
      <c r="G1651">
        <f>IF(OR($E1651="",$E1651="نامعتبر",Sync!$X1647=""),"",IF(AND(LEFT(UPPER(TRIM(Sync!$X1647)),2)="SL",IFERROR(VLOOKUP(Sync!$W1647,OpTbl,3,0),"")="فروش"),UPPER(TRIM(Sync!$X1647)),""))</f>
        <v/>
      </c>
      <c r="H1651">
        <f>IF($G1651="","",IF(Sync!$W1647="","",Sync!$W1647))</f>
        <v/>
      </c>
      <c r="I1651">
        <f>IF(OR($G1651="",Sync!$Y1647=""),"",Sync!$Y1647)</f>
        <v/>
      </c>
      <c r="J1651">
        <f>IF(OR($G1651="",Sync!$Z1647=""),"",Sync!$Z1647)</f>
        <v/>
      </c>
      <c r="K1651">
        <f>IF($G1651="",0,IF(Sync!$AA1647="",0,Sync!$AA1647))</f>
        <v/>
      </c>
      <c r="L1651">
        <f>IF($G1651="",0,IF(Sync!$AB1647="",0,Sync!$AB1647))</f>
        <v/>
      </c>
      <c r="M1651">
        <f>IF($G1651="","",IF($H1651="مرجوعی فروش",-1,1)*($K1651-$L1651*IFERROR(VLOOKUP("P01",ParamTbl,3,0),1.5)))</f>
        <v/>
      </c>
      <c r="N1651">
        <f>IF($G1651="",0,IF($H1651="مرجوعی فروش",-1,1)*IF(Sync!$AC1647="",0,Sync!$AC1647))</f>
        <v/>
      </c>
      <c r="O1651">
        <f>IF(OR($G1651="",Sync!$V1647=""),"",Sync!$V1647)</f>
        <v/>
      </c>
      <c r="P1651">
        <f>IF(OR($G1651="",Sync!$AD1647=""),"",Sync!$AD1647)</f>
        <v/>
      </c>
      <c r="Q1651">
        <f>IF($G1651="","",IF(Sync!$U1647="","0000",IF(AND(ISNUMBER(Sync!$U1647),Sync!$U1647&gt;=0,Sync!$U1647&lt;1),RIGHT("00"&amp;HOUR(Sync!$U1647),2)&amp;RIGHT("00"&amp;MINUTE(Sync!$U1647),2),IFERROR(RIGHT("00"&amp;VALUE(LEFT(Sync!$U1647,FIND(":",Sync!$U1647)-1)),2)&amp;RIGHT("00"&amp;VALUE(MID(Sync!$U1647,FIND(":",Sync!$U1647)+1,2)),2),"0000"))))</f>
        <v/>
      </c>
    </row>
    <row r="1652">
      <c r="A1652">
        <f>IF(Sync!$T1648="","",Sync!$T1648)</f>
        <v/>
      </c>
      <c r="B1652">
        <f>IF($A1652="","",IF(ISNUMBER($A1652),IF(AND($A1652&gt;=10000101,$A1652&lt;=99991231),INT($A1652/10000),""),IFERROR(VALUE(TRIM(LEFT($A1652,FIND("/",$A1652)-1))),"")))</f>
        <v/>
      </c>
      <c r="C1652">
        <f>IF(OR($A1652="",$B1652=""),"",IF(ISNUMBER($A1652),INT(MOD($A1652,10000)/100),IFERROR(VALUE(TRIM(LEFT(MID($A1652,FIND("/",$A1652)+1,20),FIND("/",MID($A1652,FIND("/",$A1652)+1,20))-1))),"")))</f>
        <v/>
      </c>
      <c r="D1652">
        <f>IF(OR($A1652="",$B1652=""),"",IF(ISNUMBER($A1652),MOD($A1652,100),IFERROR(VALUE(TRIM(MID(MID($A1652,FIND("/",$A1652)+1,20),FIND("/",MID($A1652,FIND("/",$A1652)+1,20))+1,20))),"")))</f>
        <v/>
      </c>
      <c r="E1652">
        <f>IF($A1652="","",IF(OR($B1652="",$C1652="",$D1652="",$B1652&lt;1300,$B1652&gt;1500,$C1652&lt;1,$C1652&gt;12,$D1652&lt;1,$D1652&gt;31),"نامعتبر",RIGHT("0000"&amp;$B1652,4)&amp;"/"&amp;RIGHT("00"&amp;$C1652,2)&amp;"/"&amp;RIGHT("00"&amp;$D1652,2)))</f>
        <v/>
      </c>
      <c r="F1652">
        <f>IF(OR($E1652="",$E1652="نامعتبر"),"",LEFT($E1652,4)&amp;"/"&amp;MID($E1652,6,2))</f>
        <v/>
      </c>
      <c r="G1652">
        <f>IF(OR($E1652="",$E1652="نامعتبر",Sync!$X1648=""),"",IF(AND(LEFT(UPPER(TRIM(Sync!$X1648)),2)="SL",IFERROR(VLOOKUP(Sync!$W1648,OpTbl,3,0),"")="فروش"),UPPER(TRIM(Sync!$X1648)),""))</f>
        <v/>
      </c>
      <c r="H1652">
        <f>IF($G1652="","",IF(Sync!$W1648="","",Sync!$W1648))</f>
        <v/>
      </c>
      <c r="I1652">
        <f>IF(OR($G1652="",Sync!$Y1648=""),"",Sync!$Y1648)</f>
        <v/>
      </c>
      <c r="J1652">
        <f>IF(OR($G1652="",Sync!$Z1648=""),"",Sync!$Z1648)</f>
        <v/>
      </c>
      <c r="K1652">
        <f>IF($G1652="",0,IF(Sync!$AA1648="",0,Sync!$AA1648))</f>
        <v/>
      </c>
      <c r="L1652">
        <f>IF($G1652="",0,IF(Sync!$AB1648="",0,Sync!$AB1648))</f>
        <v/>
      </c>
      <c r="M1652">
        <f>IF($G1652="","",IF($H1652="مرجوعی فروش",-1,1)*($K1652-$L1652*IFERROR(VLOOKUP("P01",ParamTbl,3,0),1.5)))</f>
        <v/>
      </c>
      <c r="N1652">
        <f>IF($G1652="",0,IF($H1652="مرجوعی فروش",-1,1)*IF(Sync!$AC1648="",0,Sync!$AC1648))</f>
        <v/>
      </c>
      <c r="O1652">
        <f>IF(OR($G1652="",Sync!$V1648=""),"",Sync!$V1648)</f>
        <v/>
      </c>
      <c r="P1652">
        <f>IF(OR($G1652="",Sync!$AD1648=""),"",Sync!$AD1648)</f>
        <v/>
      </c>
      <c r="Q1652">
        <f>IF($G1652="","",IF(Sync!$U1648="","0000",IF(AND(ISNUMBER(Sync!$U1648),Sync!$U1648&gt;=0,Sync!$U1648&lt;1),RIGHT("00"&amp;HOUR(Sync!$U1648),2)&amp;RIGHT("00"&amp;MINUTE(Sync!$U1648),2),IFERROR(RIGHT("00"&amp;VALUE(LEFT(Sync!$U1648,FIND(":",Sync!$U1648)-1)),2)&amp;RIGHT("00"&amp;VALUE(MID(Sync!$U1648,FIND(":",Sync!$U1648)+1,2)),2),"0000"))))</f>
        <v/>
      </c>
    </row>
    <row r="1653">
      <c r="A1653">
        <f>IF(Sync!$T1649="","",Sync!$T1649)</f>
        <v/>
      </c>
      <c r="B1653">
        <f>IF($A1653="","",IF(ISNUMBER($A1653),IF(AND($A1653&gt;=10000101,$A1653&lt;=99991231),INT($A1653/10000),""),IFERROR(VALUE(TRIM(LEFT($A1653,FIND("/",$A1653)-1))),"")))</f>
        <v/>
      </c>
      <c r="C1653">
        <f>IF(OR($A1653="",$B1653=""),"",IF(ISNUMBER($A1653),INT(MOD($A1653,10000)/100),IFERROR(VALUE(TRIM(LEFT(MID($A1653,FIND("/",$A1653)+1,20),FIND("/",MID($A1653,FIND("/",$A1653)+1,20))-1))),"")))</f>
        <v/>
      </c>
      <c r="D1653">
        <f>IF(OR($A1653="",$B1653=""),"",IF(ISNUMBER($A1653),MOD($A1653,100),IFERROR(VALUE(TRIM(MID(MID($A1653,FIND("/",$A1653)+1,20),FIND("/",MID($A1653,FIND("/",$A1653)+1,20))+1,20))),"")))</f>
        <v/>
      </c>
      <c r="E1653">
        <f>IF($A1653="","",IF(OR($B1653="",$C1653="",$D1653="",$B1653&lt;1300,$B1653&gt;1500,$C1653&lt;1,$C1653&gt;12,$D1653&lt;1,$D1653&gt;31),"نامعتبر",RIGHT("0000"&amp;$B1653,4)&amp;"/"&amp;RIGHT("00"&amp;$C1653,2)&amp;"/"&amp;RIGHT("00"&amp;$D1653,2)))</f>
        <v/>
      </c>
      <c r="F1653">
        <f>IF(OR($E1653="",$E1653="نامعتبر"),"",LEFT($E1653,4)&amp;"/"&amp;MID($E1653,6,2))</f>
        <v/>
      </c>
      <c r="G1653">
        <f>IF(OR($E1653="",$E1653="نامعتبر",Sync!$X1649=""),"",IF(AND(LEFT(UPPER(TRIM(Sync!$X1649)),2)="SL",IFERROR(VLOOKUP(Sync!$W1649,OpTbl,3,0),"")="فروش"),UPPER(TRIM(Sync!$X1649)),""))</f>
        <v/>
      </c>
      <c r="H1653">
        <f>IF($G1653="","",IF(Sync!$W1649="","",Sync!$W1649))</f>
        <v/>
      </c>
      <c r="I1653">
        <f>IF(OR($G1653="",Sync!$Y1649=""),"",Sync!$Y1649)</f>
        <v/>
      </c>
      <c r="J1653">
        <f>IF(OR($G1653="",Sync!$Z1649=""),"",Sync!$Z1649)</f>
        <v/>
      </c>
      <c r="K1653">
        <f>IF($G1653="",0,IF(Sync!$AA1649="",0,Sync!$AA1649))</f>
        <v/>
      </c>
      <c r="L1653">
        <f>IF($G1653="",0,IF(Sync!$AB1649="",0,Sync!$AB1649))</f>
        <v/>
      </c>
      <c r="M1653">
        <f>IF($G1653="","",IF($H1653="مرجوعی فروش",-1,1)*($K1653-$L1653*IFERROR(VLOOKUP("P01",ParamTbl,3,0),1.5)))</f>
        <v/>
      </c>
      <c r="N1653">
        <f>IF($G1653="",0,IF($H1653="مرجوعی فروش",-1,1)*IF(Sync!$AC1649="",0,Sync!$AC1649))</f>
        <v/>
      </c>
      <c r="O1653">
        <f>IF(OR($G1653="",Sync!$V1649=""),"",Sync!$V1649)</f>
        <v/>
      </c>
      <c r="P1653">
        <f>IF(OR($G1653="",Sync!$AD1649=""),"",Sync!$AD1649)</f>
        <v/>
      </c>
      <c r="Q1653">
        <f>IF($G1653="","",IF(Sync!$U1649="","0000",IF(AND(ISNUMBER(Sync!$U1649),Sync!$U1649&gt;=0,Sync!$U1649&lt;1),RIGHT("00"&amp;HOUR(Sync!$U1649),2)&amp;RIGHT("00"&amp;MINUTE(Sync!$U1649),2),IFERROR(RIGHT("00"&amp;VALUE(LEFT(Sync!$U1649,FIND(":",Sync!$U1649)-1)),2)&amp;RIGHT("00"&amp;VALUE(MID(Sync!$U1649,FIND(":",Sync!$U1649)+1,2)),2),"0000"))))</f>
        <v/>
      </c>
    </row>
    <row r="1654">
      <c r="A1654">
        <f>IF(Sync!$T1650="","",Sync!$T1650)</f>
        <v/>
      </c>
      <c r="B1654">
        <f>IF($A1654="","",IF(ISNUMBER($A1654),IF(AND($A1654&gt;=10000101,$A1654&lt;=99991231),INT($A1654/10000),""),IFERROR(VALUE(TRIM(LEFT($A1654,FIND("/",$A1654)-1))),"")))</f>
        <v/>
      </c>
      <c r="C1654">
        <f>IF(OR($A1654="",$B1654=""),"",IF(ISNUMBER($A1654),INT(MOD($A1654,10000)/100),IFERROR(VALUE(TRIM(LEFT(MID($A1654,FIND("/",$A1654)+1,20),FIND("/",MID($A1654,FIND("/",$A1654)+1,20))-1))),"")))</f>
        <v/>
      </c>
      <c r="D1654">
        <f>IF(OR($A1654="",$B1654=""),"",IF(ISNUMBER($A1654),MOD($A1654,100),IFERROR(VALUE(TRIM(MID(MID($A1654,FIND("/",$A1654)+1,20),FIND("/",MID($A1654,FIND("/",$A1654)+1,20))+1,20))),"")))</f>
        <v/>
      </c>
      <c r="E1654">
        <f>IF($A1654="","",IF(OR($B1654="",$C1654="",$D1654="",$B1654&lt;1300,$B1654&gt;1500,$C1654&lt;1,$C1654&gt;12,$D1654&lt;1,$D1654&gt;31),"نامعتبر",RIGHT("0000"&amp;$B1654,4)&amp;"/"&amp;RIGHT("00"&amp;$C1654,2)&amp;"/"&amp;RIGHT("00"&amp;$D1654,2)))</f>
        <v/>
      </c>
      <c r="F1654">
        <f>IF(OR($E1654="",$E1654="نامعتبر"),"",LEFT($E1654,4)&amp;"/"&amp;MID($E1654,6,2))</f>
        <v/>
      </c>
      <c r="G1654">
        <f>IF(OR($E1654="",$E1654="نامعتبر",Sync!$X1650=""),"",IF(AND(LEFT(UPPER(TRIM(Sync!$X1650)),2)="SL",IFERROR(VLOOKUP(Sync!$W1650,OpTbl,3,0),"")="فروش"),UPPER(TRIM(Sync!$X1650)),""))</f>
        <v/>
      </c>
      <c r="H1654">
        <f>IF($G1654="","",IF(Sync!$W1650="","",Sync!$W1650))</f>
        <v/>
      </c>
      <c r="I1654">
        <f>IF(OR($G1654="",Sync!$Y1650=""),"",Sync!$Y1650)</f>
        <v/>
      </c>
      <c r="J1654">
        <f>IF(OR($G1654="",Sync!$Z1650=""),"",Sync!$Z1650)</f>
        <v/>
      </c>
      <c r="K1654">
        <f>IF($G1654="",0,IF(Sync!$AA1650="",0,Sync!$AA1650))</f>
        <v/>
      </c>
      <c r="L1654">
        <f>IF($G1654="",0,IF(Sync!$AB1650="",0,Sync!$AB1650))</f>
        <v/>
      </c>
      <c r="M1654">
        <f>IF($G1654="","",IF($H1654="مرجوعی فروش",-1,1)*($K1654-$L1654*IFERROR(VLOOKUP("P01",ParamTbl,3,0),1.5)))</f>
        <v/>
      </c>
      <c r="N1654">
        <f>IF($G1654="",0,IF($H1654="مرجوعی فروش",-1,1)*IF(Sync!$AC1650="",0,Sync!$AC1650))</f>
        <v/>
      </c>
      <c r="O1654">
        <f>IF(OR($G1654="",Sync!$V1650=""),"",Sync!$V1650)</f>
        <v/>
      </c>
      <c r="P1654">
        <f>IF(OR($G1654="",Sync!$AD1650=""),"",Sync!$AD1650)</f>
        <v/>
      </c>
      <c r="Q1654">
        <f>IF($G1654="","",IF(Sync!$U1650="","0000",IF(AND(ISNUMBER(Sync!$U1650),Sync!$U1650&gt;=0,Sync!$U1650&lt;1),RIGHT("00"&amp;HOUR(Sync!$U1650),2)&amp;RIGHT("00"&amp;MINUTE(Sync!$U1650),2),IFERROR(RIGHT("00"&amp;VALUE(LEFT(Sync!$U1650,FIND(":",Sync!$U1650)-1)),2)&amp;RIGHT("00"&amp;VALUE(MID(Sync!$U1650,FIND(":",Sync!$U1650)+1,2)),2),"0000"))))</f>
        <v/>
      </c>
    </row>
    <row r="1655">
      <c r="A1655">
        <f>IF(Sync!$T1651="","",Sync!$T1651)</f>
        <v/>
      </c>
      <c r="B1655">
        <f>IF($A1655="","",IF(ISNUMBER($A1655),IF(AND($A1655&gt;=10000101,$A1655&lt;=99991231),INT($A1655/10000),""),IFERROR(VALUE(TRIM(LEFT($A1655,FIND("/",$A1655)-1))),"")))</f>
        <v/>
      </c>
      <c r="C1655">
        <f>IF(OR($A1655="",$B1655=""),"",IF(ISNUMBER($A1655),INT(MOD($A1655,10000)/100),IFERROR(VALUE(TRIM(LEFT(MID($A1655,FIND("/",$A1655)+1,20),FIND("/",MID($A1655,FIND("/",$A1655)+1,20))-1))),"")))</f>
        <v/>
      </c>
      <c r="D1655">
        <f>IF(OR($A1655="",$B1655=""),"",IF(ISNUMBER($A1655),MOD($A1655,100),IFERROR(VALUE(TRIM(MID(MID($A1655,FIND("/",$A1655)+1,20),FIND("/",MID($A1655,FIND("/",$A1655)+1,20))+1,20))),"")))</f>
        <v/>
      </c>
      <c r="E1655">
        <f>IF($A1655="","",IF(OR($B1655="",$C1655="",$D1655="",$B1655&lt;1300,$B1655&gt;1500,$C1655&lt;1,$C1655&gt;12,$D1655&lt;1,$D1655&gt;31),"نامعتبر",RIGHT("0000"&amp;$B1655,4)&amp;"/"&amp;RIGHT("00"&amp;$C1655,2)&amp;"/"&amp;RIGHT("00"&amp;$D1655,2)))</f>
        <v/>
      </c>
      <c r="F1655">
        <f>IF(OR($E1655="",$E1655="نامعتبر"),"",LEFT($E1655,4)&amp;"/"&amp;MID($E1655,6,2))</f>
        <v/>
      </c>
      <c r="G1655">
        <f>IF(OR($E1655="",$E1655="نامعتبر",Sync!$X1651=""),"",IF(AND(LEFT(UPPER(TRIM(Sync!$X1651)),2)="SL",IFERROR(VLOOKUP(Sync!$W1651,OpTbl,3,0),"")="فروش"),UPPER(TRIM(Sync!$X1651)),""))</f>
        <v/>
      </c>
      <c r="H1655">
        <f>IF($G1655="","",IF(Sync!$W1651="","",Sync!$W1651))</f>
        <v/>
      </c>
      <c r="I1655">
        <f>IF(OR($G1655="",Sync!$Y1651=""),"",Sync!$Y1651)</f>
        <v/>
      </c>
      <c r="J1655">
        <f>IF(OR($G1655="",Sync!$Z1651=""),"",Sync!$Z1651)</f>
        <v/>
      </c>
      <c r="K1655">
        <f>IF($G1655="",0,IF(Sync!$AA1651="",0,Sync!$AA1651))</f>
        <v/>
      </c>
      <c r="L1655">
        <f>IF($G1655="",0,IF(Sync!$AB1651="",0,Sync!$AB1651))</f>
        <v/>
      </c>
      <c r="M1655">
        <f>IF($G1655="","",IF($H1655="مرجوعی فروش",-1,1)*($K1655-$L1655*IFERROR(VLOOKUP("P01",ParamTbl,3,0),1.5)))</f>
        <v/>
      </c>
      <c r="N1655">
        <f>IF($G1655="",0,IF($H1655="مرجوعی فروش",-1,1)*IF(Sync!$AC1651="",0,Sync!$AC1651))</f>
        <v/>
      </c>
      <c r="O1655">
        <f>IF(OR($G1655="",Sync!$V1651=""),"",Sync!$V1651)</f>
        <v/>
      </c>
      <c r="P1655">
        <f>IF(OR($G1655="",Sync!$AD1651=""),"",Sync!$AD1651)</f>
        <v/>
      </c>
      <c r="Q1655">
        <f>IF($G1655="","",IF(Sync!$U1651="","0000",IF(AND(ISNUMBER(Sync!$U1651),Sync!$U1651&gt;=0,Sync!$U1651&lt;1),RIGHT("00"&amp;HOUR(Sync!$U1651),2)&amp;RIGHT("00"&amp;MINUTE(Sync!$U1651),2),IFERROR(RIGHT("00"&amp;VALUE(LEFT(Sync!$U1651,FIND(":",Sync!$U1651)-1)),2)&amp;RIGHT("00"&amp;VALUE(MID(Sync!$U1651,FIND(":",Sync!$U1651)+1,2)),2),"0000"))))</f>
        <v/>
      </c>
    </row>
    <row r="1656">
      <c r="A1656">
        <f>IF(Sync!$T1652="","",Sync!$T1652)</f>
        <v/>
      </c>
      <c r="B1656">
        <f>IF($A1656="","",IF(ISNUMBER($A1656),IF(AND($A1656&gt;=10000101,$A1656&lt;=99991231),INT($A1656/10000),""),IFERROR(VALUE(TRIM(LEFT($A1656,FIND("/",$A1656)-1))),"")))</f>
        <v/>
      </c>
      <c r="C1656">
        <f>IF(OR($A1656="",$B1656=""),"",IF(ISNUMBER($A1656),INT(MOD($A1656,10000)/100),IFERROR(VALUE(TRIM(LEFT(MID($A1656,FIND("/",$A1656)+1,20),FIND("/",MID($A1656,FIND("/",$A1656)+1,20))-1))),"")))</f>
        <v/>
      </c>
      <c r="D1656">
        <f>IF(OR($A1656="",$B1656=""),"",IF(ISNUMBER($A1656),MOD($A1656,100),IFERROR(VALUE(TRIM(MID(MID($A1656,FIND("/",$A1656)+1,20),FIND("/",MID($A1656,FIND("/",$A1656)+1,20))+1,20))),"")))</f>
        <v/>
      </c>
      <c r="E1656">
        <f>IF($A1656="","",IF(OR($B1656="",$C1656="",$D1656="",$B1656&lt;1300,$B1656&gt;1500,$C1656&lt;1,$C1656&gt;12,$D1656&lt;1,$D1656&gt;31),"نامعتبر",RIGHT("0000"&amp;$B1656,4)&amp;"/"&amp;RIGHT("00"&amp;$C1656,2)&amp;"/"&amp;RIGHT("00"&amp;$D1656,2)))</f>
        <v/>
      </c>
      <c r="F1656">
        <f>IF(OR($E1656="",$E1656="نامعتبر"),"",LEFT($E1656,4)&amp;"/"&amp;MID($E1656,6,2))</f>
        <v/>
      </c>
      <c r="G1656">
        <f>IF(OR($E1656="",$E1656="نامعتبر",Sync!$X1652=""),"",IF(AND(LEFT(UPPER(TRIM(Sync!$X1652)),2)="SL",IFERROR(VLOOKUP(Sync!$W1652,OpTbl,3,0),"")="فروش"),UPPER(TRIM(Sync!$X1652)),""))</f>
        <v/>
      </c>
      <c r="H1656">
        <f>IF($G1656="","",IF(Sync!$W1652="","",Sync!$W1652))</f>
        <v/>
      </c>
      <c r="I1656">
        <f>IF(OR($G1656="",Sync!$Y1652=""),"",Sync!$Y1652)</f>
        <v/>
      </c>
      <c r="J1656">
        <f>IF(OR($G1656="",Sync!$Z1652=""),"",Sync!$Z1652)</f>
        <v/>
      </c>
      <c r="K1656">
        <f>IF($G1656="",0,IF(Sync!$AA1652="",0,Sync!$AA1652))</f>
        <v/>
      </c>
      <c r="L1656">
        <f>IF($G1656="",0,IF(Sync!$AB1652="",0,Sync!$AB1652))</f>
        <v/>
      </c>
      <c r="M1656">
        <f>IF($G1656="","",IF($H1656="مرجوعی فروش",-1,1)*($K1656-$L1656*IFERROR(VLOOKUP("P01",ParamTbl,3,0),1.5)))</f>
        <v/>
      </c>
      <c r="N1656">
        <f>IF($G1656="",0,IF($H1656="مرجوعی فروش",-1,1)*IF(Sync!$AC1652="",0,Sync!$AC1652))</f>
        <v/>
      </c>
      <c r="O1656">
        <f>IF(OR($G1656="",Sync!$V1652=""),"",Sync!$V1652)</f>
        <v/>
      </c>
      <c r="P1656">
        <f>IF(OR($G1656="",Sync!$AD1652=""),"",Sync!$AD1652)</f>
        <v/>
      </c>
      <c r="Q1656">
        <f>IF($G1656="","",IF(Sync!$U1652="","0000",IF(AND(ISNUMBER(Sync!$U1652),Sync!$U1652&gt;=0,Sync!$U1652&lt;1),RIGHT("00"&amp;HOUR(Sync!$U1652),2)&amp;RIGHT("00"&amp;MINUTE(Sync!$U1652),2),IFERROR(RIGHT("00"&amp;VALUE(LEFT(Sync!$U1652,FIND(":",Sync!$U1652)-1)),2)&amp;RIGHT("00"&amp;VALUE(MID(Sync!$U1652,FIND(":",Sync!$U1652)+1,2)),2),"0000"))))</f>
        <v/>
      </c>
    </row>
    <row r="1657">
      <c r="A1657">
        <f>IF(Sync!$T1653="","",Sync!$T1653)</f>
        <v/>
      </c>
      <c r="B1657">
        <f>IF($A1657="","",IF(ISNUMBER($A1657),IF(AND($A1657&gt;=10000101,$A1657&lt;=99991231),INT($A1657/10000),""),IFERROR(VALUE(TRIM(LEFT($A1657,FIND("/",$A1657)-1))),"")))</f>
        <v/>
      </c>
      <c r="C1657">
        <f>IF(OR($A1657="",$B1657=""),"",IF(ISNUMBER($A1657),INT(MOD($A1657,10000)/100),IFERROR(VALUE(TRIM(LEFT(MID($A1657,FIND("/",$A1657)+1,20),FIND("/",MID($A1657,FIND("/",$A1657)+1,20))-1))),"")))</f>
        <v/>
      </c>
      <c r="D1657">
        <f>IF(OR($A1657="",$B1657=""),"",IF(ISNUMBER($A1657),MOD($A1657,100),IFERROR(VALUE(TRIM(MID(MID($A1657,FIND("/",$A1657)+1,20),FIND("/",MID($A1657,FIND("/",$A1657)+1,20))+1,20))),"")))</f>
        <v/>
      </c>
      <c r="E1657">
        <f>IF($A1657="","",IF(OR($B1657="",$C1657="",$D1657="",$B1657&lt;1300,$B1657&gt;1500,$C1657&lt;1,$C1657&gt;12,$D1657&lt;1,$D1657&gt;31),"نامعتبر",RIGHT("0000"&amp;$B1657,4)&amp;"/"&amp;RIGHT("00"&amp;$C1657,2)&amp;"/"&amp;RIGHT("00"&amp;$D1657,2)))</f>
        <v/>
      </c>
      <c r="F1657">
        <f>IF(OR($E1657="",$E1657="نامعتبر"),"",LEFT($E1657,4)&amp;"/"&amp;MID($E1657,6,2))</f>
        <v/>
      </c>
      <c r="G1657">
        <f>IF(OR($E1657="",$E1657="نامعتبر",Sync!$X1653=""),"",IF(AND(LEFT(UPPER(TRIM(Sync!$X1653)),2)="SL",IFERROR(VLOOKUP(Sync!$W1653,OpTbl,3,0),"")="فروش"),UPPER(TRIM(Sync!$X1653)),""))</f>
        <v/>
      </c>
      <c r="H1657">
        <f>IF($G1657="","",IF(Sync!$W1653="","",Sync!$W1653))</f>
        <v/>
      </c>
      <c r="I1657">
        <f>IF(OR($G1657="",Sync!$Y1653=""),"",Sync!$Y1653)</f>
        <v/>
      </c>
      <c r="J1657">
        <f>IF(OR($G1657="",Sync!$Z1653=""),"",Sync!$Z1653)</f>
        <v/>
      </c>
      <c r="K1657">
        <f>IF($G1657="",0,IF(Sync!$AA1653="",0,Sync!$AA1653))</f>
        <v/>
      </c>
      <c r="L1657">
        <f>IF($G1657="",0,IF(Sync!$AB1653="",0,Sync!$AB1653))</f>
        <v/>
      </c>
      <c r="M1657">
        <f>IF($G1657="","",IF($H1657="مرجوعی فروش",-1,1)*($K1657-$L1657*IFERROR(VLOOKUP("P01",ParamTbl,3,0),1.5)))</f>
        <v/>
      </c>
      <c r="N1657">
        <f>IF($G1657="",0,IF($H1657="مرجوعی فروش",-1,1)*IF(Sync!$AC1653="",0,Sync!$AC1653))</f>
        <v/>
      </c>
      <c r="O1657">
        <f>IF(OR($G1657="",Sync!$V1653=""),"",Sync!$V1653)</f>
        <v/>
      </c>
      <c r="P1657">
        <f>IF(OR($G1657="",Sync!$AD1653=""),"",Sync!$AD1653)</f>
        <v/>
      </c>
      <c r="Q1657">
        <f>IF($G1657="","",IF(Sync!$U1653="","0000",IF(AND(ISNUMBER(Sync!$U1653),Sync!$U1653&gt;=0,Sync!$U1653&lt;1),RIGHT("00"&amp;HOUR(Sync!$U1653),2)&amp;RIGHT("00"&amp;MINUTE(Sync!$U1653),2),IFERROR(RIGHT("00"&amp;VALUE(LEFT(Sync!$U1653,FIND(":",Sync!$U1653)-1)),2)&amp;RIGHT("00"&amp;VALUE(MID(Sync!$U1653,FIND(":",Sync!$U1653)+1,2)),2),"0000"))))</f>
        <v/>
      </c>
    </row>
    <row r="1658">
      <c r="A1658">
        <f>IF(Sync!$T1654="","",Sync!$T1654)</f>
        <v/>
      </c>
      <c r="B1658">
        <f>IF($A1658="","",IF(ISNUMBER($A1658),IF(AND($A1658&gt;=10000101,$A1658&lt;=99991231),INT($A1658/10000),""),IFERROR(VALUE(TRIM(LEFT($A1658,FIND("/",$A1658)-1))),"")))</f>
        <v/>
      </c>
      <c r="C1658">
        <f>IF(OR($A1658="",$B1658=""),"",IF(ISNUMBER($A1658),INT(MOD($A1658,10000)/100),IFERROR(VALUE(TRIM(LEFT(MID($A1658,FIND("/",$A1658)+1,20),FIND("/",MID($A1658,FIND("/",$A1658)+1,20))-1))),"")))</f>
        <v/>
      </c>
      <c r="D1658">
        <f>IF(OR($A1658="",$B1658=""),"",IF(ISNUMBER($A1658),MOD($A1658,100),IFERROR(VALUE(TRIM(MID(MID($A1658,FIND("/",$A1658)+1,20),FIND("/",MID($A1658,FIND("/",$A1658)+1,20))+1,20))),"")))</f>
        <v/>
      </c>
      <c r="E1658">
        <f>IF($A1658="","",IF(OR($B1658="",$C1658="",$D1658="",$B1658&lt;1300,$B1658&gt;1500,$C1658&lt;1,$C1658&gt;12,$D1658&lt;1,$D1658&gt;31),"نامعتبر",RIGHT("0000"&amp;$B1658,4)&amp;"/"&amp;RIGHT("00"&amp;$C1658,2)&amp;"/"&amp;RIGHT("00"&amp;$D1658,2)))</f>
        <v/>
      </c>
      <c r="F1658">
        <f>IF(OR($E1658="",$E1658="نامعتبر"),"",LEFT($E1658,4)&amp;"/"&amp;MID($E1658,6,2))</f>
        <v/>
      </c>
      <c r="G1658">
        <f>IF(OR($E1658="",$E1658="نامعتبر",Sync!$X1654=""),"",IF(AND(LEFT(UPPER(TRIM(Sync!$X1654)),2)="SL",IFERROR(VLOOKUP(Sync!$W1654,OpTbl,3,0),"")="فروش"),UPPER(TRIM(Sync!$X1654)),""))</f>
        <v/>
      </c>
      <c r="H1658">
        <f>IF($G1658="","",IF(Sync!$W1654="","",Sync!$W1654))</f>
        <v/>
      </c>
      <c r="I1658">
        <f>IF(OR($G1658="",Sync!$Y1654=""),"",Sync!$Y1654)</f>
        <v/>
      </c>
      <c r="J1658">
        <f>IF(OR($G1658="",Sync!$Z1654=""),"",Sync!$Z1654)</f>
        <v/>
      </c>
      <c r="K1658">
        <f>IF($G1658="",0,IF(Sync!$AA1654="",0,Sync!$AA1654))</f>
        <v/>
      </c>
      <c r="L1658">
        <f>IF($G1658="",0,IF(Sync!$AB1654="",0,Sync!$AB1654))</f>
        <v/>
      </c>
      <c r="M1658">
        <f>IF($G1658="","",IF($H1658="مرجوعی فروش",-1,1)*($K1658-$L1658*IFERROR(VLOOKUP("P01",ParamTbl,3,0),1.5)))</f>
        <v/>
      </c>
      <c r="N1658">
        <f>IF($G1658="",0,IF($H1658="مرجوعی فروش",-1,1)*IF(Sync!$AC1654="",0,Sync!$AC1654))</f>
        <v/>
      </c>
      <c r="O1658">
        <f>IF(OR($G1658="",Sync!$V1654=""),"",Sync!$V1654)</f>
        <v/>
      </c>
      <c r="P1658">
        <f>IF(OR($G1658="",Sync!$AD1654=""),"",Sync!$AD1654)</f>
        <v/>
      </c>
      <c r="Q1658">
        <f>IF($G1658="","",IF(Sync!$U1654="","0000",IF(AND(ISNUMBER(Sync!$U1654),Sync!$U1654&gt;=0,Sync!$U1654&lt;1),RIGHT("00"&amp;HOUR(Sync!$U1654),2)&amp;RIGHT("00"&amp;MINUTE(Sync!$U1654),2),IFERROR(RIGHT("00"&amp;VALUE(LEFT(Sync!$U1654,FIND(":",Sync!$U1654)-1)),2)&amp;RIGHT("00"&amp;VALUE(MID(Sync!$U1654,FIND(":",Sync!$U1654)+1,2)),2),"0000"))))</f>
        <v/>
      </c>
    </row>
    <row r="1659">
      <c r="A1659">
        <f>IF(Sync!$T1655="","",Sync!$T1655)</f>
        <v/>
      </c>
      <c r="B1659">
        <f>IF($A1659="","",IF(ISNUMBER($A1659),IF(AND($A1659&gt;=10000101,$A1659&lt;=99991231),INT($A1659/10000),""),IFERROR(VALUE(TRIM(LEFT($A1659,FIND("/",$A1659)-1))),"")))</f>
        <v/>
      </c>
      <c r="C1659">
        <f>IF(OR($A1659="",$B1659=""),"",IF(ISNUMBER($A1659),INT(MOD($A1659,10000)/100),IFERROR(VALUE(TRIM(LEFT(MID($A1659,FIND("/",$A1659)+1,20),FIND("/",MID($A1659,FIND("/",$A1659)+1,20))-1))),"")))</f>
        <v/>
      </c>
      <c r="D1659">
        <f>IF(OR($A1659="",$B1659=""),"",IF(ISNUMBER($A1659),MOD($A1659,100),IFERROR(VALUE(TRIM(MID(MID($A1659,FIND("/",$A1659)+1,20),FIND("/",MID($A1659,FIND("/",$A1659)+1,20))+1,20))),"")))</f>
        <v/>
      </c>
      <c r="E1659">
        <f>IF($A1659="","",IF(OR($B1659="",$C1659="",$D1659="",$B1659&lt;1300,$B1659&gt;1500,$C1659&lt;1,$C1659&gt;12,$D1659&lt;1,$D1659&gt;31),"نامعتبر",RIGHT("0000"&amp;$B1659,4)&amp;"/"&amp;RIGHT("00"&amp;$C1659,2)&amp;"/"&amp;RIGHT("00"&amp;$D1659,2)))</f>
        <v/>
      </c>
      <c r="F1659">
        <f>IF(OR($E1659="",$E1659="نامعتبر"),"",LEFT($E1659,4)&amp;"/"&amp;MID($E1659,6,2))</f>
        <v/>
      </c>
      <c r="G1659">
        <f>IF(OR($E1659="",$E1659="نامعتبر",Sync!$X1655=""),"",IF(AND(LEFT(UPPER(TRIM(Sync!$X1655)),2)="SL",IFERROR(VLOOKUP(Sync!$W1655,OpTbl,3,0),"")="فروش"),UPPER(TRIM(Sync!$X1655)),""))</f>
        <v/>
      </c>
      <c r="H1659">
        <f>IF($G1659="","",IF(Sync!$W1655="","",Sync!$W1655))</f>
        <v/>
      </c>
      <c r="I1659">
        <f>IF(OR($G1659="",Sync!$Y1655=""),"",Sync!$Y1655)</f>
        <v/>
      </c>
      <c r="J1659">
        <f>IF(OR($G1659="",Sync!$Z1655=""),"",Sync!$Z1655)</f>
        <v/>
      </c>
      <c r="K1659">
        <f>IF($G1659="",0,IF(Sync!$AA1655="",0,Sync!$AA1655))</f>
        <v/>
      </c>
      <c r="L1659">
        <f>IF($G1659="",0,IF(Sync!$AB1655="",0,Sync!$AB1655))</f>
        <v/>
      </c>
      <c r="M1659">
        <f>IF($G1659="","",IF($H1659="مرجوعی فروش",-1,1)*($K1659-$L1659*IFERROR(VLOOKUP("P01",ParamTbl,3,0),1.5)))</f>
        <v/>
      </c>
      <c r="N1659">
        <f>IF($G1659="",0,IF($H1659="مرجوعی فروش",-1,1)*IF(Sync!$AC1655="",0,Sync!$AC1655))</f>
        <v/>
      </c>
      <c r="O1659">
        <f>IF(OR($G1659="",Sync!$V1655=""),"",Sync!$V1655)</f>
        <v/>
      </c>
      <c r="P1659">
        <f>IF(OR($G1659="",Sync!$AD1655=""),"",Sync!$AD1655)</f>
        <v/>
      </c>
      <c r="Q1659">
        <f>IF($G1659="","",IF(Sync!$U1655="","0000",IF(AND(ISNUMBER(Sync!$U1655),Sync!$U1655&gt;=0,Sync!$U1655&lt;1),RIGHT("00"&amp;HOUR(Sync!$U1655),2)&amp;RIGHT("00"&amp;MINUTE(Sync!$U1655),2),IFERROR(RIGHT("00"&amp;VALUE(LEFT(Sync!$U1655,FIND(":",Sync!$U1655)-1)),2)&amp;RIGHT("00"&amp;VALUE(MID(Sync!$U1655,FIND(":",Sync!$U1655)+1,2)),2),"0000"))))</f>
        <v/>
      </c>
    </row>
    <row r="1660">
      <c r="A1660">
        <f>IF(Sync!$T1656="","",Sync!$T1656)</f>
        <v/>
      </c>
      <c r="B1660">
        <f>IF($A1660="","",IF(ISNUMBER($A1660),IF(AND($A1660&gt;=10000101,$A1660&lt;=99991231),INT($A1660/10000),""),IFERROR(VALUE(TRIM(LEFT($A1660,FIND("/",$A1660)-1))),"")))</f>
        <v/>
      </c>
      <c r="C1660">
        <f>IF(OR($A1660="",$B1660=""),"",IF(ISNUMBER($A1660),INT(MOD($A1660,10000)/100),IFERROR(VALUE(TRIM(LEFT(MID($A1660,FIND("/",$A1660)+1,20),FIND("/",MID($A1660,FIND("/",$A1660)+1,20))-1))),"")))</f>
        <v/>
      </c>
      <c r="D1660">
        <f>IF(OR($A1660="",$B1660=""),"",IF(ISNUMBER($A1660),MOD($A1660,100),IFERROR(VALUE(TRIM(MID(MID($A1660,FIND("/",$A1660)+1,20),FIND("/",MID($A1660,FIND("/",$A1660)+1,20))+1,20))),"")))</f>
        <v/>
      </c>
      <c r="E1660">
        <f>IF($A1660="","",IF(OR($B1660="",$C1660="",$D1660="",$B1660&lt;1300,$B1660&gt;1500,$C1660&lt;1,$C1660&gt;12,$D1660&lt;1,$D1660&gt;31),"نامعتبر",RIGHT("0000"&amp;$B1660,4)&amp;"/"&amp;RIGHT("00"&amp;$C1660,2)&amp;"/"&amp;RIGHT("00"&amp;$D1660,2)))</f>
        <v/>
      </c>
      <c r="F1660">
        <f>IF(OR($E1660="",$E1660="نامعتبر"),"",LEFT($E1660,4)&amp;"/"&amp;MID($E1660,6,2))</f>
        <v/>
      </c>
      <c r="G1660">
        <f>IF(OR($E1660="",$E1660="نامعتبر",Sync!$X1656=""),"",IF(AND(LEFT(UPPER(TRIM(Sync!$X1656)),2)="SL",IFERROR(VLOOKUP(Sync!$W1656,OpTbl,3,0),"")="فروش"),UPPER(TRIM(Sync!$X1656)),""))</f>
        <v/>
      </c>
      <c r="H1660">
        <f>IF($G1660="","",IF(Sync!$W1656="","",Sync!$W1656))</f>
        <v/>
      </c>
      <c r="I1660">
        <f>IF(OR($G1660="",Sync!$Y1656=""),"",Sync!$Y1656)</f>
        <v/>
      </c>
      <c r="J1660">
        <f>IF(OR($G1660="",Sync!$Z1656=""),"",Sync!$Z1656)</f>
        <v/>
      </c>
      <c r="K1660">
        <f>IF($G1660="",0,IF(Sync!$AA1656="",0,Sync!$AA1656))</f>
        <v/>
      </c>
      <c r="L1660">
        <f>IF($G1660="",0,IF(Sync!$AB1656="",0,Sync!$AB1656))</f>
        <v/>
      </c>
      <c r="M1660">
        <f>IF($G1660="","",IF($H1660="مرجوعی فروش",-1,1)*($K1660-$L1660*IFERROR(VLOOKUP("P01",ParamTbl,3,0),1.5)))</f>
        <v/>
      </c>
      <c r="N1660">
        <f>IF($G1660="",0,IF($H1660="مرجوعی فروش",-1,1)*IF(Sync!$AC1656="",0,Sync!$AC1656))</f>
        <v/>
      </c>
      <c r="O1660">
        <f>IF(OR($G1660="",Sync!$V1656=""),"",Sync!$V1656)</f>
        <v/>
      </c>
      <c r="P1660">
        <f>IF(OR($G1660="",Sync!$AD1656=""),"",Sync!$AD1656)</f>
        <v/>
      </c>
      <c r="Q1660">
        <f>IF($G1660="","",IF(Sync!$U1656="","0000",IF(AND(ISNUMBER(Sync!$U1656),Sync!$U1656&gt;=0,Sync!$U1656&lt;1),RIGHT("00"&amp;HOUR(Sync!$U1656),2)&amp;RIGHT("00"&amp;MINUTE(Sync!$U1656),2),IFERROR(RIGHT("00"&amp;VALUE(LEFT(Sync!$U1656,FIND(":",Sync!$U1656)-1)),2)&amp;RIGHT("00"&amp;VALUE(MID(Sync!$U1656,FIND(":",Sync!$U1656)+1,2)),2),"0000"))))</f>
        <v/>
      </c>
    </row>
    <row r="1661">
      <c r="A1661">
        <f>IF(Sync!$T1657="","",Sync!$T1657)</f>
        <v/>
      </c>
      <c r="B1661">
        <f>IF($A1661="","",IF(ISNUMBER($A1661),IF(AND($A1661&gt;=10000101,$A1661&lt;=99991231),INT($A1661/10000),""),IFERROR(VALUE(TRIM(LEFT($A1661,FIND("/",$A1661)-1))),"")))</f>
        <v/>
      </c>
      <c r="C1661">
        <f>IF(OR($A1661="",$B1661=""),"",IF(ISNUMBER($A1661),INT(MOD($A1661,10000)/100),IFERROR(VALUE(TRIM(LEFT(MID($A1661,FIND("/",$A1661)+1,20),FIND("/",MID($A1661,FIND("/",$A1661)+1,20))-1))),"")))</f>
        <v/>
      </c>
      <c r="D1661">
        <f>IF(OR($A1661="",$B1661=""),"",IF(ISNUMBER($A1661),MOD($A1661,100),IFERROR(VALUE(TRIM(MID(MID($A1661,FIND("/",$A1661)+1,20),FIND("/",MID($A1661,FIND("/",$A1661)+1,20))+1,20))),"")))</f>
        <v/>
      </c>
      <c r="E1661">
        <f>IF($A1661="","",IF(OR($B1661="",$C1661="",$D1661="",$B1661&lt;1300,$B1661&gt;1500,$C1661&lt;1,$C1661&gt;12,$D1661&lt;1,$D1661&gt;31),"نامعتبر",RIGHT("0000"&amp;$B1661,4)&amp;"/"&amp;RIGHT("00"&amp;$C1661,2)&amp;"/"&amp;RIGHT("00"&amp;$D1661,2)))</f>
        <v/>
      </c>
      <c r="F1661">
        <f>IF(OR($E1661="",$E1661="نامعتبر"),"",LEFT($E1661,4)&amp;"/"&amp;MID($E1661,6,2))</f>
        <v/>
      </c>
      <c r="G1661">
        <f>IF(OR($E1661="",$E1661="نامعتبر",Sync!$X1657=""),"",IF(AND(LEFT(UPPER(TRIM(Sync!$X1657)),2)="SL",IFERROR(VLOOKUP(Sync!$W1657,OpTbl,3,0),"")="فروش"),UPPER(TRIM(Sync!$X1657)),""))</f>
        <v/>
      </c>
      <c r="H1661">
        <f>IF($G1661="","",IF(Sync!$W1657="","",Sync!$W1657))</f>
        <v/>
      </c>
      <c r="I1661">
        <f>IF(OR($G1661="",Sync!$Y1657=""),"",Sync!$Y1657)</f>
        <v/>
      </c>
      <c r="J1661">
        <f>IF(OR($G1661="",Sync!$Z1657=""),"",Sync!$Z1657)</f>
        <v/>
      </c>
      <c r="K1661">
        <f>IF($G1661="",0,IF(Sync!$AA1657="",0,Sync!$AA1657))</f>
        <v/>
      </c>
      <c r="L1661">
        <f>IF($G1661="",0,IF(Sync!$AB1657="",0,Sync!$AB1657))</f>
        <v/>
      </c>
      <c r="M1661">
        <f>IF($G1661="","",IF($H1661="مرجوعی فروش",-1,1)*($K1661-$L1661*IFERROR(VLOOKUP("P01",ParamTbl,3,0),1.5)))</f>
        <v/>
      </c>
      <c r="N1661">
        <f>IF($G1661="",0,IF($H1661="مرجوعی فروش",-1,1)*IF(Sync!$AC1657="",0,Sync!$AC1657))</f>
        <v/>
      </c>
      <c r="O1661">
        <f>IF(OR($G1661="",Sync!$V1657=""),"",Sync!$V1657)</f>
        <v/>
      </c>
      <c r="P1661">
        <f>IF(OR($G1661="",Sync!$AD1657=""),"",Sync!$AD1657)</f>
        <v/>
      </c>
      <c r="Q1661">
        <f>IF($G1661="","",IF(Sync!$U1657="","0000",IF(AND(ISNUMBER(Sync!$U1657),Sync!$U1657&gt;=0,Sync!$U1657&lt;1),RIGHT("00"&amp;HOUR(Sync!$U1657),2)&amp;RIGHT("00"&amp;MINUTE(Sync!$U1657),2),IFERROR(RIGHT("00"&amp;VALUE(LEFT(Sync!$U1657,FIND(":",Sync!$U1657)-1)),2)&amp;RIGHT("00"&amp;VALUE(MID(Sync!$U1657,FIND(":",Sync!$U1657)+1,2)),2),"0000"))))</f>
        <v/>
      </c>
    </row>
    <row r="1662">
      <c r="A1662">
        <f>IF(Sync!$T1658="","",Sync!$T1658)</f>
        <v/>
      </c>
      <c r="B1662">
        <f>IF($A1662="","",IF(ISNUMBER($A1662),IF(AND($A1662&gt;=10000101,$A1662&lt;=99991231),INT($A1662/10000),""),IFERROR(VALUE(TRIM(LEFT($A1662,FIND("/",$A1662)-1))),"")))</f>
        <v/>
      </c>
      <c r="C1662">
        <f>IF(OR($A1662="",$B1662=""),"",IF(ISNUMBER($A1662),INT(MOD($A1662,10000)/100),IFERROR(VALUE(TRIM(LEFT(MID($A1662,FIND("/",$A1662)+1,20),FIND("/",MID($A1662,FIND("/",$A1662)+1,20))-1))),"")))</f>
        <v/>
      </c>
      <c r="D1662">
        <f>IF(OR($A1662="",$B1662=""),"",IF(ISNUMBER($A1662),MOD($A1662,100),IFERROR(VALUE(TRIM(MID(MID($A1662,FIND("/",$A1662)+1,20),FIND("/",MID($A1662,FIND("/",$A1662)+1,20))+1,20))),"")))</f>
        <v/>
      </c>
      <c r="E1662">
        <f>IF($A1662="","",IF(OR($B1662="",$C1662="",$D1662="",$B1662&lt;1300,$B1662&gt;1500,$C1662&lt;1,$C1662&gt;12,$D1662&lt;1,$D1662&gt;31),"نامعتبر",RIGHT("0000"&amp;$B1662,4)&amp;"/"&amp;RIGHT("00"&amp;$C1662,2)&amp;"/"&amp;RIGHT("00"&amp;$D1662,2)))</f>
        <v/>
      </c>
      <c r="F1662">
        <f>IF(OR($E1662="",$E1662="نامعتبر"),"",LEFT($E1662,4)&amp;"/"&amp;MID($E1662,6,2))</f>
        <v/>
      </c>
      <c r="G1662">
        <f>IF(OR($E1662="",$E1662="نامعتبر",Sync!$X1658=""),"",IF(AND(LEFT(UPPER(TRIM(Sync!$X1658)),2)="SL",IFERROR(VLOOKUP(Sync!$W1658,OpTbl,3,0),"")="فروش"),UPPER(TRIM(Sync!$X1658)),""))</f>
        <v/>
      </c>
      <c r="H1662">
        <f>IF($G1662="","",IF(Sync!$W1658="","",Sync!$W1658))</f>
        <v/>
      </c>
      <c r="I1662">
        <f>IF(OR($G1662="",Sync!$Y1658=""),"",Sync!$Y1658)</f>
        <v/>
      </c>
      <c r="J1662">
        <f>IF(OR($G1662="",Sync!$Z1658=""),"",Sync!$Z1658)</f>
        <v/>
      </c>
      <c r="K1662">
        <f>IF($G1662="",0,IF(Sync!$AA1658="",0,Sync!$AA1658))</f>
        <v/>
      </c>
      <c r="L1662">
        <f>IF($G1662="",0,IF(Sync!$AB1658="",0,Sync!$AB1658))</f>
        <v/>
      </c>
      <c r="M1662">
        <f>IF($G1662="","",IF($H1662="مرجوعی فروش",-1,1)*($K1662-$L1662*IFERROR(VLOOKUP("P01",ParamTbl,3,0),1.5)))</f>
        <v/>
      </c>
      <c r="N1662">
        <f>IF($G1662="",0,IF($H1662="مرجوعی فروش",-1,1)*IF(Sync!$AC1658="",0,Sync!$AC1658))</f>
        <v/>
      </c>
      <c r="O1662">
        <f>IF(OR($G1662="",Sync!$V1658=""),"",Sync!$V1658)</f>
        <v/>
      </c>
      <c r="P1662">
        <f>IF(OR($G1662="",Sync!$AD1658=""),"",Sync!$AD1658)</f>
        <v/>
      </c>
      <c r="Q1662">
        <f>IF($G1662="","",IF(Sync!$U1658="","0000",IF(AND(ISNUMBER(Sync!$U1658),Sync!$U1658&gt;=0,Sync!$U1658&lt;1),RIGHT("00"&amp;HOUR(Sync!$U1658),2)&amp;RIGHT("00"&amp;MINUTE(Sync!$U1658),2),IFERROR(RIGHT("00"&amp;VALUE(LEFT(Sync!$U1658,FIND(":",Sync!$U1658)-1)),2)&amp;RIGHT("00"&amp;VALUE(MID(Sync!$U1658,FIND(":",Sync!$U1658)+1,2)),2),"0000"))))</f>
        <v/>
      </c>
    </row>
    <row r="1663">
      <c r="A1663">
        <f>IF(Sync!$T1659="","",Sync!$T1659)</f>
        <v/>
      </c>
      <c r="B1663">
        <f>IF($A1663="","",IF(ISNUMBER($A1663),IF(AND($A1663&gt;=10000101,$A1663&lt;=99991231),INT($A1663/10000),""),IFERROR(VALUE(TRIM(LEFT($A1663,FIND("/",$A1663)-1))),"")))</f>
        <v/>
      </c>
      <c r="C1663">
        <f>IF(OR($A1663="",$B1663=""),"",IF(ISNUMBER($A1663),INT(MOD($A1663,10000)/100),IFERROR(VALUE(TRIM(LEFT(MID($A1663,FIND("/",$A1663)+1,20),FIND("/",MID($A1663,FIND("/",$A1663)+1,20))-1))),"")))</f>
        <v/>
      </c>
      <c r="D1663">
        <f>IF(OR($A1663="",$B1663=""),"",IF(ISNUMBER($A1663),MOD($A1663,100),IFERROR(VALUE(TRIM(MID(MID($A1663,FIND("/",$A1663)+1,20),FIND("/",MID($A1663,FIND("/",$A1663)+1,20))+1,20))),"")))</f>
        <v/>
      </c>
      <c r="E1663">
        <f>IF($A1663="","",IF(OR($B1663="",$C1663="",$D1663="",$B1663&lt;1300,$B1663&gt;1500,$C1663&lt;1,$C1663&gt;12,$D1663&lt;1,$D1663&gt;31),"نامعتبر",RIGHT("0000"&amp;$B1663,4)&amp;"/"&amp;RIGHT("00"&amp;$C1663,2)&amp;"/"&amp;RIGHT("00"&amp;$D1663,2)))</f>
        <v/>
      </c>
      <c r="F1663">
        <f>IF(OR($E1663="",$E1663="نامعتبر"),"",LEFT($E1663,4)&amp;"/"&amp;MID($E1663,6,2))</f>
        <v/>
      </c>
      <c r="G1663">
        <f>IF(OR($E1663="",$E1663="نامعتبر",Sync!$X1659=""),"",IF(AND(LEFT(UPPER(TRIM(Sync!$X1659)),2)="SL",IFERROR(VLOOKUP(Sync!$W1659,OpTbl,3,0),"")="فروش"),UPPER(TRIM(Sync!$X1659)),""))</f>
        <v/>
      </c>
      <c r="H1663">
        <f>IF($G1663="","",IF(Sync!$W1659="","",Sync!$W1659))</f>
        <v/>
      </c>
      <c r="I1663">
        <f>IF(OR($G1663="",Sync!$Y1659=""),"",Sync!$Y1659)</f>
        <v/>
      </c>
      <c r="J1663">
        <f>IF(OR($G1663="",Sync!$Z1659=""),"",Sync!$Z1659)</f>
        <v/>
      </c>
      <c r="K1663">
        <f>IF($G1663="",0,IF(Sync!$AA1659="",0,Sync!$AA1659))</f>
        <v/>
      </c>
      <c r="L1663">
        <f>IF($G1663="",0,IF(Sync!$AB1659="",0,Sync!$AB1659))</f>
        <v/>
      </c>
      <c r="M1663">
        <f>IF($G1663="","",IF($H1663="مرجوعی فروش",-1,1)*($K1663-$L1663*IFERROR(VLOOKUP("P01",ParamTbl,3,0),1.5)))</f>
        <v/>
      </c>
      <c r="N1663">
        <f>IF($G1663="",0,IF($H1663="مرجوعی فروش",-1,1)*IF(Sync!$AC1659="",0,Sync!$AC1659))</f>
        <v/>
      </c>
      <c r="O1663">
        <f>IF(OR($G1663="",Sync!$V1659=""),"",Sync!$V1659)</f>
        <v/>
      </c>
      <c r="P1663">
        <f>IF(OR($G1663="",Sync!$AD1659=""),"",Sync!$AD1659)</f>
        <v/>
      </c>
      <c r="Q1663">
        <f>IF($G1663="","",IF(Sync!$U1659="","0000",IF(AND(ISNUMBER(Sync!$U1659),Sync!$U1659&gt;=0,Sync!$U1659&lt;1),RIGHT("00"&amp;HOUR(Sync!$U1659),2)&amp;RIGHT("00"&amp;MINUTE(Sync!$U1659),2),IFERROR(RIGHT("00"&amp;VALUE(LEFT(Sync!$U1659,FIND(":",Sync!$U1659)-1)),2)&amp;RIGHT("00"&amp;VALUE(MID(Sync!$U1659,FIND(":",Sync!$U1659)+1,2)),2),"0000"))))</f>
        <v/>
      </c>
    </row>
    <row r="1664">
      <c r="A1664">
        <f>IF(Sync!$T1660="","",Sync!$T1660)</f>
        <v/>
      </c>
      <c r="B1664">
        <f>IF($A1664="","",IF(ISNUMBER($A1664),IF(AND($A1664&gt;=10000101,$A1664&lt;=99991231),INT($A1664/10000),""),IFERROR(VALUE(TRIM(LEFT($A1664,FIND("/",$A1664)-1))),"")))</f>
        <v/>
      </c>
      <c r="C1664">
        <f>IF(OR($A1664="",$B1664=""),"",IF(ISNUMBER($A1664),INT(MOD($A1664,10000)/100),IFERROR(VALUE(TRIM(LEFT(MID($A1664,FIND("/",$A1664)+1,20),FIND("/",MID($A1664,FIND("/",$A1664)+1,20))-1))),"")))</f>
        <v/>
      </c>
      <c r="D1664">
        <f>IF(OR($A1664="",$B1664=""),"",IF(ISNUMBER($A1664),MOD($A1664,100),IFERROR(VALUE(TRIM(MID(MID($A1664,FIND("/",$A1664)+1,20),FIND("/",MID($A1664,FIND("/",$A1664)+1,20))+1,20))),"")))</f>
        <v/>
      </c>
      <c r="E1664">
        <f>IF($A1664="","",IF(OR($B1664="",$C1664="",$D1664="",$B1664&lt;1300,$B1664&gt;1500,$C1664&lt;1,$C1664&gt;12,$D1664&lt;1,$D1664&gt;31),"نامعتبر",RIGHT("0000"&amp;$B1664,4)&amp;"/"&amp;RIGHT("00"&amp;$C1664,2)&amp;"/"&amp;RIGHT("00"&amp;$D1664,2)))</f>
        <v/>
      </c>
      <c r="F1664">
        <f>IF(OR($E1664="",$E1664="نامعتبر"),"",LEFT($E1664,4)&amp;"/"&amp;MID($E1664,6,2))</f>
        <v/>
      </c>
      <c r="G1664">
        <f>IF(OR($E1664="",$E1664="نامعتبر",Sync!$X1660=""),"",IF(AND(LEFT(UPPER(TRIM(Sync!$X1660)),2)="SL",IFERROR(VLOOKUP(Sync!$W1660,OpTbl,3,0),"")="فروش"),UPPER(TRIM(Sync!$X1660)),""))</f>
        <v/>
      </c>
      <c r="H1664">
        <f>IF($G1664="","",IF(Sync!$W1660="","",Sync!$W1660))</f>
        <v/>
      </c>
      <c r="I1664">
        <f>IF(OR($G1664="",Sync!$Y1660=""),"",Sync!$Y1660)</f>
        <v/>
      </c>
      <c r="J1664">
        <f>IF(OR($G1664="",Sync!$Z1660=""),"",Sync!$Z1660)</f>
        <v/>
      </c>
      <c r="K1664">
        <f>IF($G1664="",0,IF(Sync!$AA1660="",0,Sync!$AA1660))</f>
        <v/>
      </c>
      <c r="L1664">
        <f>IF($G1664="",0,IF(Sync!$AB1660="",0,Sync!$AB1660))</f>
        <v/>
      </c>
      <c r="M1664">
        <f>IF($G1664="","",IF($H1664="مرجوعی فروش",-1,1)*($K1664-$L1664*IFERROR(VLOOKUP("P01",ParamTbl,3,0),1.5)))</f>
        <v/>
      </c>
      <c r="N1664">
        <f>IF($G1664="",0,IF($H1664="مرجوعی فروش",-1,1)*IF(Sync!$AC1660="",0,Sync!$AC1660))</f>
        <v/>
      </c>
      <c r="O1664">
        <f>IF(OR($G1664="",Sync!$V1660=""),"",Sync!$V1660)</f>
        <v/>
      </c>
      <c r="P1664">
        <f>IF(OR($G1664="",Sync!$AD1660=""),"",Sync!$AD1660)</f>
        <v/>
      </c>
      <c r="Q1664">
        <f>IF($G1664="","",IF(Sync!$U1660="","0000",IF(AND(ISNUMBER(Sync!$U1660),Sync!$U1660&gt;=0,Sync!$U1660&lt;1),RIGHT("00"&amp;HOUR(Sync!$U1660),2)&amp;RIGHT("00"&amp;MINUTE(Sync!$U1660),2),IFERROR(RIGHT("00"&amp;VALUE(LEFT(Sync!$U1660,FIND(":",Sync!$U1660)-1)),2)&amp;RIGHT("00"&amp;VALUE(MID(Sync!$U1660,FIND(":",Sync!$U1660)+1,2)),2),"0000"))))</f>
        <v/>
      </c>
    </row>
    <row r="1665">
      <c r="A1665">
        <f>IF(Sync!$T1661="","",Sync!$T1661)</f>
        <v/>
      </c>
      <c r="B1665">
        <f>IF($A1665="","",IF(ISNUMBER($A1665),IF(AND($A1665&gt;=10000101,$A1665&lt;=99991231),INT($A1665/10000),""),IFERROR(VALUE(TRIM(LEFT($A1665,FIND("/",$A1665)-1))),"")))</f>
        <v/>
      </c>
      <c r="C1665">
        <f>IF(OR($A1665="",$B1665=""),"",IF(ISNUMBER($A1665),INT(MOD($A1665,10000)/100),IFERROR(VALUE(TRIM(LEFT(MID($A1665,FIND("/",$A1665)+1,20),FIND("/",MID($A1665,FIND("/",$A1665)+1,20))-1))),"")))</f>
        <v/>
      </c>
      <c r="D1665">
        <f>IF(OR($A1665="",$B1665=""),"",IF(ISNUMBER($A1665),MOD($A1665,100),IFERROR(VALUE(TRIM(MID(MID($A1665,FIND("/",$A1665)+1,20),FIND("/",MID($A1665,FIND("/",$A1665)+1,20))+1,20))),"")))</f>
        <v/>
      </c>
      <c r="E1665">
        <f>IF($A1665="","",IF(OR($B1665="",$C1665="",$D1665="",$B1665&lt;1300,$B1665&gt;1500,$C1665&lt;1,$C1665&gt;12,$D1665&lt;1,$D1665&gt;31),"نامعتبر",RIGHT("0000"&amp;$B1665,4)&amp;"/"&amp;RIGHT("00"&amp;$C1665,2)&amp;"/"&amp;RIGHT("00"&amp;$D1665,2)))</f>
        <v/>
      </c>
      <c r="F1665">
        <f>IF(OR($E1665="",$E1665="نامعتبر"),"",LEFT($E1665,4)&amp;"/"&amp;MID($E1665,6,2))</f>
        <v/>
      </c>
      <c r="G1665">
        <f>IF(OR($E1665="",$E1665="نامعتبر",Sync!$X1661=""),"",IF(AND(LEFT(UPPER(TRIM(Sync!$X1661)),2)="SL",IFERROR(VLOOKUP(Sync!$W1661,OpTbl,3,0),"")="فروش"),UPPER(TRIM(Sync!$X1661)),""))</f>
        <v/>
      </c>
      <c r="H1665">
        <f>IF($G1665="","",IF(Sync!$W1661="","",Sync!$W1661))</f>
        <v/>
      </c>
      <c r="I1665">
        <f>IF(OR($G1665="",Sync!$Y1661=""),"",Sync!$Y1661)</f>
        <v/>
      </c>
      <c r="J1665">
        <f>IF(OR($G1665="",Sync!$Z1661=""),"",Sync!$Z1661)</f>
        <v/>
      </c>
      <c r="K1665">
        <f>IF($G1665="",0,IF(Sync!$AA1661="",0,Sync!$AA1661))</f>
        <v/>
      </c>
      <c r="L1665">
        <f>IF($G1665="",0,IF(Sync!$AB1661="",0,Sync!$AB1661))</f>
        <v/>
      </c>
      <c r="M1665">
        <f>IF($G1665="","",IF($H1665="مرجوعی فروش",-1,1)*($K1665-$L1665*IFERROR(VLOOKUP("P01",ParamTbl,3,0),1.5)))</f>
        <v/>
      </c>
      <c r="N1665">
        <f>IF($G1665="",0,IF($H1665="مرجوعی فروش",-1,1)*IF(Sync!$AC1661="",0,Sync!$AC1661))</f>
        <v/>
      </c>
      <c r="O1665">
        <f>IF(OR($G1665="",Sync!$V1661=""),"",Sync!$V1661)</f>
        <v/>
      </c>
      <c r="P1665">
        <f>IF(OR($G1665="",Sync!$AD1661=""),"",Sync!$AD1661)</f>
        <v/>
      </c>
      <c r="Q1665">
        <f>IF($G1665="","",IF(Sync!$U1661="","0000",IF(AND(ISNUMBER(Sync!$U1661),Sync!$U1661&gt;=0,Sync!$U1661&lt;1),RIGHT("00"&amp;HOUR(Sync!$U1661),2)&amp;RIGHT("00"&amp;MINUTE(Sync!$U1661),2),IFERROR(RIGHT("00"&amp;VALUE(LEFT(Sync!$U1661,FIND(":",Sync!$U1661)-1)),2)&amp;RIGHT("00"&amp;VALUE(MID(Sync!$U1661,FIND(":",Sync!$U1661)+1,2)),2),"0000"))))</f>
        <v/>
      </c>
    </row>
    <row r="1666">
      <c r="A1666">
        <f>IF(Sync!$T1662="","",Sync!$T1662)</f>
        <v/>
      </c>
      <c r="B1666">
        <f>IF($A1666="","",IF(ISNUMBER($A1666),IF(AND($A1666&gt;=10000101,$A1666&lt;=99991231),INT($A1666/10000),""),IFERROR(VALUE(TRIM(LEFT($A1666,FIND("/",$A1666)-1))),"")))</f>
        <v/>
      </c>
      <c r="C1666">
        <f>IF(OR($A1666="",$B1666=""),"",IF(ISNUMBER($A1666),INT(MOD($A1666,10000)/100),IFERROR(VALUE(TRIM(LEFT(MID($A1666,FIND("/",$A1666)+1,20),FIND("/",MID($A1666,FIND("/",$A1666)+1,20))-1))),"")))</f>
        <v/>
      </c>
      <c r="D1666">
        <f>IF(OR($A1666="",$B1666=""),"",IF(ISNUMBER($A1666),MOD($A1666,100),IFERROR(VALUE(TRIM(MID(MID($A1666,FIND("/",$A1666)+1,20),FIND("/",MID($A1666,FIND("/",$A1666)+1,20))+1,20))),"")))</f>
        <v/>
      </c>
      <c r="E1666">
        <f>IF($A1666="","",IF(OR($B1666="",$C1666="",$D1666="",$B1666&lt;1300,$B1666&gt;1500,$C1666&lt;1,$C1666&gt;12,$D1666&lt;1,$D1666&gt;31),"نامعتبر",RIGHT("0000"&amp;$B1666,4)&amp;"/"&amp;RIGHT("00"&amp;$C1666,2)&amp;"/"&amp;RIGHT("00"&amp;$D1666,2)))</f>
        <v/>
      </c>
      <c r="F1666">
        <f>IF(OR($E1666="",$E1666="نامعتبر"),"",LEFT($E1666,4)&amp;"/"&amp;MID($E1666,6,2))</f>
        <v/>
      </c>
      <c r="G1666">
        <f>IF(OR($E1666="",$E1666="نامعتبر",Sync!$X1662=""),"",IF(AND(LEFT(UPPER(TRIM(Sync!$X1662)),2)="SL",IFERROR(VLOOKUP(Sync!$W1662,OpTbl,3,0),"")="فروش"),UPPER(TRIM(Sync!$X1662)),""))</f>
        <v/>
      </c>
      <c r="H1666">
        <f>IF($G1666="","",IF(Sync!$W1662="","",Sync!$W1662))</f>
        <v/>
      </c>
      <c r="I1666">
        <f>IF(OR($G1666="",Sync!$Y1662=""),"",Sync!$Y1662)</f>
        <v/>
      </c>
      <c r="J1666">
        <f>IF(OR($G1666="",Sync!$Z1662=""),"",Sync!$Z1662)</f>
        <v/>
      </c>
      <c r="K1666">
        <f>IF($G1666="",0,IF(Sync!$AA1662="",0,Sync!$AA1662))</f>
        <v/>
      </c>
      <c r="L1666">
        <f>IF($G1666="",0,IF(Sync!$AB1662="",0,Sync!$AB1662))</f>
        <v/>
      </c>
      <c r="M1666">
        <f>IF($G1666="","",IF($H1666="مرجوعی فروش",-1,1)*($K1666-$L1666*IFERROR(VLOOKUP("P01",ParamTbl,3,0),1.5)))</f>
        <v/>
      </c>
      <c r="N1666">
        <f>IF($G1666="",0,IF($H1666="مرجوعی فروش",-1,1)*IF(Sync!$AC1662="",0,Sync!$AC1662))</f>
        <v/>
      </c>
      <c r="O1666">
        <f>IF(OR($G1666="",Sync!$V1662=""),"",Sync!$V1662)</f>
        <v/>
      </c>
      <c r="P1666">
        <f>IF(OR($G1666="",Sync!$AD1662=""),"",Sync!$AD1662)</f>
        <v/>
      </c>
      <c r="Q1666">
        <f>IF($G1666="","",IF(Sync!$U1662="","0000",IF(AND(ISNUMBER(Sync!$U1662),Sync!$U1662&gt;=0,Sync!$U1662&lt;1),RIGHT("00"&amp;HOUR(Sync!$U1662),2)&amp;RIGHT("00"&amp;MINUTE(Sync!$U1662),2),IFERROR(RIGHT("00"&amp;VALUE(LEFT(Sync!$U1662,FIND(":",Sync!$U1662)-1)),2)&amp;RIGHT("00"&amp;VALUE(MID(Sync!$U1662,FIND(":",Sync!$U1662)+1,2)),2),"0000"))))</f>
        <v/>
      </c>
    </row>
    <row r="1667">
      <c r="A1667">
        <f>IF(Sync!$T1663="","",Sync!$T1663)</f>
        <v/>
      </c>
      <c r="B1667">
        <f>IF($A1667="","",IF(ISNUMBER($A1667),IF(AND($A1667&gt;=10000101,$A1667&lt;=99991231),INT($A1667/10000),""),IFERROR(VALUE(TRIM(LEFT($A1667,FIND("/",$A1667)-1))),"")))</f>
        <v/>
      </c>
      <c r="C1667">
        <f>IF(OR($A1667="",$B1667=""),"",IF(ISNUMBER($A1667),INT(MOD($A1667,10000)/100),IFERROR(VALUE(TRIM(LEFT(MID($A1667,FIND("/",$A1667)+1,20),FIND("/",MID($A1667,FIND("/",$A1667)+1,20))-1))),"")))</f>
        <v/>
      </c>
      <c r="D1667">
        <f>IF(OR($A1667="",$B1667=""),"",IF(ISNUMBER($A1667),MOD($A1667,100),IFERROR(VALUE(TRIM(MID(MID($A1667,FIND("/",$A1667)+1,20),FIND("/",MID($A1667,FIND("/",$A1667)+1,20))+1,20))),"")))</f>
        <v/>
      </c>
      <c r="E1667">
        <f>IF($A1667="","",IF(OR($B1667="",$C1667="",$D1667="",$B1667&lt;1300,$B1667&gt;1500,$C1667&lt;1,$C1667&gt;12,$D1667&lt;1,$D1667&gt;31),"نامعتبر",RIGHT("0000"&amp;$B1667,4)&amp;"/"&amp;RIGHT("00"&amp;$C1667,2)&amp;"/"&amp;RIGHT("00"&amp;$D1667,2)))</f>
        <v/>
      </c>
      <c r="F1667">
        <f>IF(OR($E1667="",$E1667="نامعتبر"),"",LEFT($E1667,4)&amp;"/"&amp;MID($E1667,6,2))</f>
        <v/>
      </c>
      <c r="G1667">
        <f>IF(OR($E1667="",$E1667="نامعتبر",Sync!$X1663=""),"",IF(AND(LEFT(UPPER(TRIM(Sync!$X1663)),2)="SL",IFERROR(VLOOKUP(Sync!$W1663,OpTbl,3,0),"")="فروش"),UPPER(TRIM(Sync!$X1663)),""))</f>
        <v/>
      </c>
      <c r="H1667">
        <f>IF($G1667="","",IF(Sync!$W1663="","",Sync!$W1663))</f>
        <v/>
      </c>
      <c r="I1667">
        <f>IF(OR($G1667="",Sync!$Y1663=""),"",Sync!$Y1663)</f>
        <v/>
      </c>
      <c r="J1667">
        <f>IF(OR($G1667="",Sync!$Z1663=""),"",Sync!$Z1663)</f>
        <v/>
      </c>
      <c r="K1667">
        <f>IF($G1667="",0,IF(Sync!$AA1663="",0,Sync!$AA1663))</f>
        <v/>
      </c>
      <c r="L1667">
        <f>IF($G1667="",0,IF(Sync!$AB1663="",0,Sync!$AB1663))</f>
        <v/>
      </c>
      <c r="M1667">
        <f>IF($G1667="","",IF($H1667="مرجوعی فروش",-1,1)*($K1667-$L1667*IFERROR(VLOOKUP("P01",ParamTbl,3,0),1.5)))</f>
        <v/>
      </c>
      <c r="N1667">
        <f>IF($G1667="",0,IF($H1667="مرجوعی فروش",-1,1)*IF(Sync!$AC1663="",0,Sync!$AC1663))</f>
        <v/>
      </c>
      <c r="O1667">
        <f>IF(OR($G1667="",Sync!$V1663=""),"",Sync!$V1663)</f>
        <v/>
      </c>
      <c r="P1667">
        <f>IF(OR($G1667="",Sync!$AD1663=""),"",Sync!$AD1663)</f>
        <v/>
      </c>
      <c r="Q1667">
        <f>IF($G1667="","",IF(Sync!$U1663="","0000",IF(AND(ISNUMBER(Sync!$U1663),Sync!$U1663&gt;=0,Sync!$U1663&lt;1),RIGHT("00"&amp;HOUR(Sync!$U1663),2)&amp;RIGHT("00"&amp;MINUTE(Sync!$U1663),2),IFERROR(RIGHT("00"&amp;VALUE(LEFT(Sync!$U1663,FIND(":",Sync!$U1663)-1)),2)&amp;RIGHT("00"&amp;VALUE(MID(Sync!$U1663,FIND(":",Sync!$U1663)+1,2)),2),"0000"))))</f>
        <v/>
      </c>
    </row>
    <row r="1668">
      <c r="A1668">
        <f>IF(Sync!$T1664="","",Sync!$T1664)</f>
        <v/>
      </c>
      <c r="B1668">
        <f>IF($A1668="","",IF(ISNUMBER($A1668),IF(AND($A1668&gt;=10000101,$A1668&lt;=99991231),INT($A1668/10000),""),IFERROR(VALUE(TRIM(LEFT($A1668,FIND("/",$A1668)-1))),"")))</f>
        <v/>
      </c>
      <c r="C1668">
        <f>IF(OR($A1668="",$B1668=""),"",IF(ISNUMBER($A1668),INT(MOD($A1668,10000)/100),IFERROR(VALUE(TRIM(LEFT(MID($A1668,FIND("/",$A1668)+1,20),FIND("/",MID($A1668,FIND("/",$A1668)+1,20))-1))),"")))</f>
        <v/>
      </c>
      <c r="D1668">
        <f>IF(OR($A1668="",$B1668=""),"",IF(ISNUMBER($A1668),MOD($A1668,100),IFERROR(VALUE(TRIM(MID(MID($A1668,FIND("/",$A1668)+1,20),FIND("/",MID($A1668,FIND("/",$A1668)+1,20))+1,20))),"")))</f>
        <v/>
      </c>
      <c r="E1668">
        <f>IF($A1668="","",IF(OR($B1668="",$C1668="",$D1668="",$B1668&lt;1300,$B1668&gt;1500,$C1668&lt;1,$C1668&gt;12,$D1668&lt;1,$D1668&gt;31),"نامعتبر",RIGHT("0000"&amp;$B1668,4)&amp;"/"&amp;RIGHT("00"&amp;$C1668,2)&amp;"/"&amp;RIGHT("00"&amp;$D1668,2)))</f>
        <v/>
      </c>
      <c r="F1668">
        <f>IF(OR($E1668="",$E1668="نامعتبر"),"",LEFT($E1668,4)&amp;"/"&amp;MID($E1668,6,2))</f>
        <v/>
      </c>
      <c r="G1668">
        <f>IF(OR($E1668="",$E1668="نامعتبر",Sync!$X1664=""),"",IF(AND(LEFT(UPPER(TRIM(Sync!$X1664)),2)="SL",IFERROR(VLOOKUP(Sync!$W1664,OpTbl,3,0),"")="فروش"),UPPER(TRIM(Sync!$X1664)),""))</f>
        <v/>
      </c>
      <c r="H1668">
        <f>IF($G1668="","",IF(Sync!$W1664="","",Sync!$W1664))</f>
        <v/>
      </c>
      <c r="I1668">
        <f>IF(OR($G1668="",Sync!$Y1664=""),"",Sync!$Y1664)</f>
        <v/>
      </c>
      <c r="J1668">
        <f>IF(OR($G1668="",Sync!$Z1664=""),"",Sync!$Z1664)</f>
        <v/>
      </c>
      <c r="K1668">
        <f>IF($G1668="",0,IF(Sync!$AA1664="",0,Sync!$AA1664))</f>
        <v/>
      </c>
      <c r="L1668">
        <f>IF($G1668="",0,IF(Sync!$AB1664="",0,Sync!$AB1664))</f>
        <v/>
      </c>
      <c r="M1668">
        <f>IF($G1668="","",IF($H1668="مرجوعی فروش",-1,1)*($K1668-$L1668*IFERROR(VLOOKUP("P01",ParamTbl,3,0),1.5)))</f>
        <v/>
      </c>
      <c r="N1668">
        <f>IF($G1668="",0,IF($H1668="مرجوعی فروش",-1,1)*IF(Sync!$AC1664="",0,Sync!$AC1664))</f>
        <v/>
      </c>
      <c r="O1668">
        <f>IF(OR($G1668="",Sync!$V1664=""),"",Sync!$V1664)</f>
        <v/>
      </c>
      <c r="P1668">
        <f>IF(OR($G1668="",Sync!$AD1664=""),"",Sync!$AD1664)</f>
        <v/>
      </c>
      <c r="Q1668">
        <f>IF($G1668="","",IF(Sync!$U1664="","0000",IF(AND(ISNUMBER(Sync!$U1664),Sync!$U1664&gt;=0,Sync!$U1664&lt;1),RIGHT("00"&amp;HOUR(Sync!$U1664),2)&amp;RIGHT("00"&amp;MINUTE(Sync!$U1664),2),IFERROR(RIGHT("00"&amp;VALUE(LEFT(Sync!$U1664,FIND(":",Sync!$U1664)-1)),2)&amp;RIGHT("00"&amp;VALUE(MID(Sync!$U1664,FIND(":",Sync!$U1664)+1,2)),2),"0000"))))</f>
        <v/>
      </c>
    </row>
    <row r="1669">
      <c r="A1669">
        <f>IF(Sync!$T1665="","",Sync!$T1665)</f>
        <v/>
      </c>
      <c r="B1669">
        <f>IF($A1669="","",IF(ISNUMBER($A1669),IF(AND($A1669&gt;=10000101,$A1669&lt;=99991231),INT($A1669/10000),""),IFERROR(VALUE(TRIM(LEFT($A1669,FIND("/",$A1669)-1))),"")))</f>
        <v/>
      </c>
      <c r="C1669">
        <f>IF(OR($A1669="",$B1669=""),"",IF(ISNUMBER($A1669),INT(MOD($A1669,10000)/100),IFERROR(VALUE(TRIM(LEFT(MID($A1669,FIND("/",$A1669)+1,20),FIND("/",MID($A1669,FIND("/",$A1669)+1,20))-1))),"")))</f>
        <v/>
      </c>
      <c r="D1669">
        <f>IF(OR($A1669="",$B1669=""),"",IF(ISNUMBER($A1669),MOD($A1669,100),IFERROR(VALUE(TRIM(MID(MID($A1669,FIND("/",$A1669)+1,20),FIND("/",MID($A1669,FIND("/",$A1669)+1,20))+1,20))),"")))</f>
        <v/>
      </c>
      <c r="E1669">
        <f>IF($A1669="","",IF(OR($B1669="",$C1669="",$D1669="",$B1669&lt;1300,$B1669&gt;1500,$C1669&lt;1,$C1669&gt;12,$D1669&lt;1,$D1669&gt;31),"نامعتبر",RIGHT("0000"&amp;$B1669,4)&amp;"/"&amp;RIGHT("00"&amp;$C1669,2)&amp;"/"&amp;RIGHT("00"&amp;$D1669,2)))</f>
        <v/>
      </c>
      <c r="F1669">
        <f>IF(OR($E1669="",$E1669="نامعتبر"),"",LEFT($E1669,4)&amp;"/"&amp;MID($E1669,6,2))</f>
        <v/>
      </c>
      <c r="G1669">
        <f>IF(OR($E1669="",$E1669="نامعتبر",Sync!$X1665=""),"",IF(AND(LEFT(UPPER(TRIM(Sync!$X1665)),2)="SL",IFERROR(VLOOKUP(Sync!$W1665,OpTbl,3,0),"")="فروش"),UPPER(TRIM(Sync!$X1665)),""))</f>
        <v/>
      </c>
      <c r="H1669">
        <f>IF($G1669="","",IF(Sync!$W1665="","",Sync!$W1665))</f>
        <v/>
      </c>
      <c r="I1669">
        <f>IF(OR($G1669="",Sync!$Y1665=""),"",Sync!$Y1665)</f>
        <v/>
      </c>
      <c r="J1669">
        <f>IF(OR($G1669="",Sync!$Z1665=""),"",Sync!$Z1665)</f>
        <v/>
      </c>
      <c r="K1669">
        <f>IF($G1669="",0,IF(Sync!$AA1665="",0,Sync!$AA1665))</f>
        <v/>
      </c>
      <c r="L1669">
        <f>IF($G1669="",0,IF(Sync!$AB1665="",0,Sync!$AB1665))</f>
        <v/>
      </c>
      <c r="M1669">
        <f>IF($G1669="","",IF($H1669="مرجوعی فروش",-1,1)*($K1669-$L1669*IFERROR(VLOOKUP("P01",ParamTbl,3,0),1.5)))</f>
        <v/>
      </c>
      <c r="N1669">
        <f>IF($G1669="",0,IF($H1669="مرجوعی فروش",-1,1)*IF(Sync!$AC1665="",0,Sync!$AC1665))</f>
        <v/>
      </c>
      <c r="O1669">
        <f>IF(OR($G1669="",Sync!$V1665=""),"",Sync!$V1665)</f>
        <v/>
      </c>
      <c r="P1669">
        <f>IF(OR($G1669="",Sync!$AD1665=""),"",Sync!$AD1665)</f>
        <v/>
      </c>
      <c r="Q1669">
        <f>IF($G1669="","",IF(Sync!$U1665="","0000",IF(AND(ISNUMBER(Sync!$U1665),Sync!$U1665&gt;=0,Sync!$U1665&lt;1),RIGHT("00"&amp;HOUR(Sync!$U1665),2)&amp;RIGHT("00"&amp;MINUTE(Sync!$U1665),2),IFERROR(RIGHT("00"&amp;VALUE(LEFT(Sync!$U1665,FIND(":",Sync!$U1665)-1)),2)&amp;RIGHT("00"&amp;VALUE(MID(Sync!$U1665,FIND(":",Sync!$U1665)+1,2)),2),"0000"))))</f>
        <v/>
      </c>
    </row>
    <row r="1670">
      <c r="A1670">
        <f>IF(Sync!$T1666="","",Sync!$T1666)</f>
        <v/>
      </c>
      <c r="B1670">
        <f>IF($A1670="","",IF(ISNUMBER($A1670),IF(AND($A1670&gt;=10000101,$A1670&lt;=99991231),INT($A1670/10000),""),IFERROR(VALUE(TRIM(LEFT($A1670,FIND("/",$A1670)-1))),"")))</f>
        <v/>
      </c>
      <c r="C1670">
        <f>IF(OR($A1670="",$B1670=""),"",IF(ISNUMBER($A1670),INT(MOD($A1670,10000)/100),IFERROR(VALUE(TRIM(LEFT(MID($A1670,FIND("/",$A1670)+1,20),FIND("/",MID($A1670,FIND("/",$A1670)+1,20))-1))),"")))</f>
        <v/>
      </c>
      <c r="D1670">
        <f>IF(OR($A1670="",$B1670=""),"",IF(ISNUMBER($A1670),MOD($A1670,100),IFERROR(VALUE(TRIM(MID(MID($A1670,FIND("/",$A1670)+1,20),FIND("/",MID($A1670,FIND("/",$A1670)+1,20))+1,20))),"")))</f>
        <v/>
      </c>
      <c r="E1670">
        <f>IF($A1670="","",IF(OR($B1670="",$C1670="",$D1670="",$B1670&lt;1300,$B1670&gt;1500,$C1670&lt;1,$C1670&gt;12,$D1670&lt;1,$D1670&gt;31),"نامعتبر",RIGHT("0000"&amp;$B1670,4)&amp;"/"&amp;RIGHT("00"&amp;$C1670,2)&amp;"/"&amp;RIGHT("00"&amp;$D1670,2)))</f>
        <v/>
      </c>
      <c r="F1670">
        <f>IF(OR($E1670="",$E1670="نامعتبر"),"",LEFT($E1670,4)&amp;"/"&amp;MID($E1670,6,2))</f>
        <v/>
      </c>
      <c r="G1670">
        <f>IF(OR($E1670="",$E1670="نامعتبر",Sync!$X1666=""),"",IF(AND(LEFT(UPPER(TRIM(Sync!$X1666)),2)="SL",IFERROR(VLOOKUP(Sync!$W1666,OpTbl,3,0),"")="فروش"),UPPER(TRIM(Sync!$X1666)),""))</f>
        <v/>
      </c>
      <c r="H1670">
        <f>IF($G1670="","",IF(Sync!$W1666="","",Sync!$W1666))</f>
        <v/>
      </c>
      <c r="I1670">
        <f>IF(OR($G1670="",Sync!$Y1666=""),"",Sync!$Y1666)</f>
        <v/>
      </c>
      <c r="J1670">
        <f>IF(OR($G1670="",Sync!$Z1666=""),"",Sync!$Z1666)</f>
        <v/>
      </c>
      <c r="K1670">
        <f>IF($G1670="",0,IF(Sync!$AA1666="",0,Sync!$AA1666))</f>
        <v/>
      </c>
      <c r="L1670">
        <f>IF($G1670="",0,IF(Sync!$AB1666="",0,Sync!$AB1666))</f>
        <v/>
      </c>
      <c r="M1670">
        <f>IF($G1670="","",IF($H1670="مرجوعی فروش",-1,1)*($K1670-$L1670*IFERROR(VLOOKUP("P01",ParamTbl,3,0),1.5)))</f>
        <v/>
      </c>
      <c r="N1670">
        <f>IF($G1670="",0,IF($H1670="مرجوعی فروش",-1,1)*IF(Sync!$AC1666="",0,Sync!$AC1666))</f>
        <v/>
      </c>
      <c r="O1670">
        <f>IF(OR($G1670="",Sync!$V1666=""),"",Sync!$V1666)</f>
        <v/>
      </c>
      <c r="P1670">
        <f>IF(OR($G1670="",Sync!$AD1666=""),"",Sync!$AD1666)</f>
        <v/>
      </c>
      <c r="Q1670">
        <f>IF($G1670="","",IF(Sync!$U1666="","0000",IF(AND(ISNUMBER(Sync!$U1666),Sync!$U1666&gt;=0,Sync!$U1666&lt;1),RIGHT("00"&amp;HOUR(Sync!$U1666),2)&amp;RIGHT("00"&amp;MINUTE(Sync!$U1666),2),IFERROR(RIGHT("00"&amp;VALUE(LEFT(Sync!$U1666,FIND(":",Sync!$U1666)-1)),2)&amp;RIGHT("00"&amp;VALUE(MID(Sync!$U1666,FIND(":",Sync!$U1666)+1,2)),2),"0000"))))</f>
        <v/>
      </c>
    </row>
    <row r="1671">
      <c r="A1671">
        <f>IF(Sync!$T1667="","",Sync!$T1667)</f>
        <v/>
      </c>
      <c r="B1671">
        <f>IF($A1671="","",IF(ISNUMBER($A1671),IF(AND($A1671&gt;=10000101,$A1671&lt;=99991231),INT($A1671/10000),""),IFERROR(VALUE(TRIM(LEFT($A1671,FIND("/",$A1671)-1))),"")))</f>
        <v/>
      </c>
      <c r="C1671">
        <f>IF(OR($A1671="",$B1671=""),"",IF(ISNUMBER($A1671),INT(MOD($A1671,10000)/100),IFERROR(VALUE(TRIM(LEFT(MID($A1671,FIND("/",$A1671)+1,20),FIND("/",MID($A1671,FIND("/",$A1671)+1,20))-1))),"")))</f>
        <v/>
      </c>
      <c r="D1671">
        <f>IF(OR($A1671="",$B1671=""),"",IF(ISNUMBER($A1671),MOD($A1671,100),IFERROR(VALUE(TRIM(MID(MID($A1671,FIND("/",$A1671)+1,20),FIND("/",MID($A1671,FIND("/",$A1671)+1,20))+1,20))),"")))</f>
        <v/>
      </c>
      <c r="E1671">
        <f>IF($A1671="","",IF(OR($B1671="",$C1671="",$D1671="",$B1671&lt;1300,$B1671&gt;1500,$C1671&lt;1,$C1671&gt;12,$D1671&lt;1,$D1671&gt;31),"نامعتبر",RIGHT("0000"&amp;$B1671,4)&amp;"/"&amp;RIGHT("00"&amp;$C1671,2)&amp;"/"&amp;RIGHT("00"&amp;$D1671,2)))</f>
        <v/>
      </c>
      <c r="F1671">
        <f>IF(OR($E1671="",$E1671="نامعتبر"),"",LEFT($E1671,4)&amp;"/"&amp;MID($E1671,6,2))</f>
        <v/>
      </c>
      <c r="G1671">
        <f>IF(OR($E1671="",$E1671="نامعتبر",Sync!$X1667=""),"",IF(AND(LEFT(UPPER(TRIM(Sync!$X1667)),2)="SL",IFERROR(VLOOKUP(Sync!$W1667,OpTbl,3,0),"")="فروش"),UPPER(TRIM(Sync!$X1667)),""))</f>
        <v/>
      </c>
      <c r="H1671">
        <f>IF($G1671="","",IF(Sync!$W1667="","",Sync!$W1667))</f>
        <v/>
      </c>
      <c r="I1671">
        <f>IF(OR($G1671="",Sync!$Y1667=""),"",Sync!$Y1667)</f>
        <v/>
      </c>
      <c r="J1671">
        <f>IF(OR($G1671="",Sync!$Z1667=""),"",Sync!$Z1667)</f>
        <v/>
      </c>
      <c r="K1671">
        <f>IF($G1671="",0,IF(Sync!$AA1667="",0,Sync!$AA1667))</f>
        <v/>
      </c>
      <c r="L1671">
        <f>IF($G1671="",0,IF(Sync!$AB1667="",0,Sync!$AB1667))</f>
        <v/>
      </c>
      <c r="M1671">
        <f>IF($G1671="","",IF($H1671="مرجوعی فروش",-1,1)*($K1671-$L1671*IFERROR(VLOOKUP("P01",ParamTbl,3,0),1.5)))</f>
        <v/>
      </c>
      <c r="N1671">
        <f>IF($G1671="",0,IF($H1671="مرجوعی فروش",-1,1)*IF(Sync!$AC1667="",0,Sync!$AC1667))</f>
        <v/>
      </c>
      <c r="O1671">
        <f>IF(OR($G1671="",Sync!$V1667=""),"",Sync!$V1667)</f>
        <v/>
      </c>
      <c r="P1671">
        <f>IF(OR($G1671="",Sync!$AD1667=""),"",Sync!$AD1667)</f>
        <v/>
      </c>
      <c r="Q1671">
        <f>IF($G1671="","",IF(Sync!$U1667="","0000",IF(AND(ISNUMBER(Sync!$U1667),Sync!$U1667&gt;=0,Sync!$U1667&lt;1),RIGHT("00"&amp;HOUR(Sync!$U1667),2)&amp;RIGHT("00"&amp;MINUTE(Sync!$U1667),2),IFERROR(RIGHT("00"&amp;VALUE(LEFT(Sync!$U1667,FIND(":",Sync!$U1667)-1)),2)&amp;RIGHT("00"&amp;VALUE(MID(Sync!$U1667,FIND(":",Sync!$U1667)+1,2)),2),"0000"))))</f>
        <v/>
      </c>
    </row>
    <row r="1672">
      <c r="A1672">
        <f>IF(Sync!$T1668="","",Sync!$T1668)</f>
        <v/>
      </c>
      <c r="B1672">
        <f>IF($A1672="","",IF(ISNUMBER($A1672),IF(AND($A1672&gt;=10000101,$A1672&lt;=99991231),INT($A1672/10000),""),IFERROR(VALUE(TRIM(LEFT($A1672,FIND("/",$A1672)-1))),"")))</f>
        <v/>
      </c>
      <c r="C1672">
        <f>IF(OR($A1672="",$B1672=""),"",IF(ISNUMBER($A1672),INT(MOD($A1672,10000)/100),IFERROR(VALUE(TRIM(LEFT(MID($A1672,FIND("/",$A1672)+1,20),FIND("/",MID($A1672,FIND("/",$A1672)+1,20))-1))),"")))</f>
        <v/>
      </c>
      <c r="D1672">
        <f>IF(OR($A1672="",$B1672=""),"",IF(ISNUMBER($A1672),MOD($A1672,100),IFERROR(VALUE(TRIM(MID(MID($A1672,FIND("/",$A1672)+1,20),FIND("/",MID($A1672,FIND("/",$A1672)+1,20))+1,20))),"")))</f>
        <v/>
      </c>
      <c r="E1672">
        <f>IF($A1672="","",IF(OR($B1672="",$C1672="",$D1672="",$B1672&lt;1300,$B1672&gt;1500,$C1672&lt;1,$C1672&gt;12,$D1672&lt;1,$D1672&gt;31),"نامعتبر",RIGHT("0000"&amp;$B1672,4)&amp;"/"&amp;RIGHT("00"&amp;$C1672,2)&amp;"/"&amp;RIGHT("00"&amp;$D1672,2)))</f>
        <v/>
      </c>
      <c r="F1672">
        <f>IF(OR($E1672="",$E1672="نامعتبر"),"",LEFT($E1672,4)&amp;"/"&amp;MID($E1672,6,2))</f>
        <v/>
      </c>
      <c r="G1672">
        <f>IF(OR($E1672="",$E1672="نامعتبر",Sync!$X1668=""),"",IF(AND(LEFT(UPPER(TRIM(Sync!$X1668)),2)="SL",IFERROR(VLOOKUP(Sync!$W1668,OpTbl,3,0),"")="فروش"),UPPER(TRIM(Sync!$X1668)),""))</f>
        <v/>
      </c>
      <c r="H1672">
        <f>IF($G1672="","",IF(Sync!$W1668="","",Sync!$W1668))</f>
        <v/>
      </c>
      <c r="I1672">
        <f>IF(OR($G1672="",Sync!$Y1668=""),"",Sync!$Y1668)</f>
        <v/>
      </c>
      <c r="J1672">
        <f>IF(OR($G1672="",Sync!$Z1668=""),"",Sync!$Z1668)</f>
        <v/>
      </c>
      <c r="K1672">
        <f>IF($G1672="",0,IF(Sync!$AA1668="",0,Sync!$AA1668))</f>
        <v/>
      </c>
      <c r="L1672">
        <f>IF($G1672="",0,IF(Sync!$AB1668="",0,Sync!$AB1668))</f>
        <v/>
      </c>
      <c r="M1672">
        <f>IF($G1672="","",IF($H1672="مرجوعی فروش",-1,1)*($K1672-$L1672*IFERROR(VLOOKUP("P01",ParamTbl,3,0),1.5)))</f>
        <v/>
      </c>
      <c r="N1672">
        <f>IF($G1672="",0,IF($H1672="مرجوعی فروش",-1,1)*IF(Sync!$AC1668="",0,Sync!$AC1668))</f>
        <v/>
      </c>
      <c r="O1672">
        <f>IF(OR($G1672="",Sync!$V1668=""),"",Sync!$V1668)</f>
        <v/>
      </c>
      <c r="P1672">
        <f>IF(OR($G1672="",Sync!$AD1668=""),"",Sync!$AD1668)</f>
        <v/>
      </c>
      <c r="Q1672">
        <f>IF($G1672="","",IF(Sync!$U1668="","0000",IF(AND(ISNUMBER(Sync!$U1668),Sync!$U1668&gt;=0,Sync!$U1668&lt;1),RIGHT("00"&amp;HOUR(Sync!$U1668),2)&amp;RIGHT("00"&amp;MINUTE(Sync!$U1668),2),IFERROR(RIGHT("00"&amp;VALUE(LEFT(Sync!$U1668,FIND(":",Sync!$U1668)-1)),2)&amp;RIGHT("00"&amp;VALUE(MID(Sync!$U1668,FIND(":",Sync!$U1668)+1,2)),2),"0000"))))</f>
        <v/>
      </c>
    </row>
    <row r="1673">
      <c r="A1673">
        <f>IF(Sync!$T1669="","",Sync!$T1669)</f>
        <v/>
      </c>
      <c r="B1673">
        <f>IF($A1673="","",IF(ISNUMBER($A1673),IF(AND($A1673&gt;=10000101,$A1673&lt;=99991231),INT($A1673/10000),""),IFERROR(VALUE(TRIM(LEFT($A1673,FIND("/",$A1673)-1))),"")))</f>
        <v/>
      </c>
      <c r="C1673">
        <f>IF(OR($A1673="",$B1673=""),"",IF(ISNUMBER($A1673),INT(MOD($A1673,10000)/100),IFERROR(VALUE(TRIM(LEFT(MID($A1673,FIND("/",$A1673)+1,20),FIND("/",MID($A1673,FIND("/",$A1673)+1,20))-1))),"")))</f>
        <v/>
      </c>
      <c r="D1673">
        <f>IF(OR($A1673="",$B1673=""),"",IF(ISNUMBER($A1673),MOD($A1673,100),IFERROR(VALUE(TRIM(MID(MID($A1673,FIND("/",$A1673)+1,20),FIND("/",MID($A1673,FIND("/",$A1673)+1,20))+1,20))),"")))</f>
        <v/>
      </c>
      <c r="E1673">
        <f>IF($A1673="","",IF(OR($B1673="",$C1673="",$D1673="",$B1673&lt;1300,$B1673&gt;1500,$C1673&lt;1,$C1673&gt;12,$D1673&lt;1,$D1673&gt;31),"نامعتبر",RIGHT("0000"&amp;$B1673,4)&amp;"/"&amp;RIGHT("00"&amp;$C1673,2)&amp;"/"&amp;RIGHT("00"&amp;$D1673,2)))</f>
        <v/>
      </c>
      <c r="F1673">
        <f>IF(OR($E1673="",$E1673="نامعتبر"),"",LEFT($E1673,4)&amp;"/"&amp;MID($E1673,6,2))</f>
        <v/>
      </c>
      <c r="G1673">
        <f>IF(OR($E1673="",$E1673="نامعتبر",Sync!$X1669=""),"",IF(AND(LEFT(UPPER(TRIM(Sync!$X1669)),2)="SL",IFERROR(VLOOKUP(Sync!$W1669,OpTbl,3,0),"")="فروش"),UPPER(TRIM(Sync!$X1669)),""))</f>
        <v/>
      </c>
      <c r="H1673">
        <f>IF($G1673="","",IF(Sync!$W1669="","",Sync!$W1669))</f>
        <v/>
      </c>
      <c r="I1673">
        <f>IF(OR($G1673="",Sync!$Y1669=""),"",Sync!$Y1669)</f>
        <v/>
      </c>
      <c r="J1673">
        <f>IF(OR($G1673="",Sync!$Z1669=""),"",Sync!$Z1669)</f>
        <v/>
      </c>
      <c r="K1673">
        <f>IF($G1673="",0,IF(Sync!$AA1669="",0,Sync!$AA1669))</f>
        <v/>
      </c>
      <c r="L1673">
        <f>IF($G1673="",0,IF(Sync!$AB1669="",0,Sync!$AB1669))</f>
        <v/>
      </c>
      <c r="M1673">
        <f>IF($G1673="","",IF($H1673="مرجوعی فروش",-1,1)*($K1673-$L1673*IFERROR(VLOOKUP("P01",ParamTbl,3,0),1.5)))</f>
        <v/>
      </c>
      <c r="N1673">
        <f>IF($G1673="",0,IF($H1673="مرجوعی فروش",-1,1)*IF(Sync!$AC1669="",0,Sync!$AC1669))</f>
        <v/>
      </c>
      <c r="O1673">
        <f>IF(OR($G1673="",Sync!$V1669=""),"",Sync!$V1669)</f>
        <v/>
      </c>
      <c r="P1673">
        <f>IF(OR($G1673="",Sync!$AD1669=""),"",Sync!$AD1669)</f>
        <v/>
      </c>
      <c r="Q1673">
        <f>IF($G1673="","",IF(Sync!$U1669="","0000",IF(AND(ISNUMBER(Sync!$U1669),Sync!$U1669&gt;=0,Sync!$U1669&lt;1),RIGHT("00"&amp;HOUR(Sync!$U1669),2)&amp;RIGHT("00"&amp;MINUTE(Sync!$U1669),2),IFERROR(RIGHT("00"&amp;VALUE(LEFT(Sync!$U1669,FIND(":",Sync!$U1669)-1)),2)&amp;RIGHT("00"&amp;VALUE(MID(Sync!$U1669,FIND(":",Sync!$U1669)+1,2)),2),"0000"))))</f>
        <v/>
      </c>
    </row>
    <row r="1674">
      <c r="A1674">
        <f>IF(Sync!$T1670="","",Sync!$T1670)</f>
        <v/>
      </c>
      <c r="B1674">
        <f>IF($A1674="","",IF(ISNUMBER($A1674),IF(AND($A1674&gt;=10000101,$A1674&lt;=99991231),INT($A1674/10000),""),IFERROR(VALUE(TRIM(LEFT($A1674,FIND("/",$A1674)-1))),"")))</f>
        <v/>
      </c>
      <c r="C1674">
        <f>IF(OR($A1674="",$B1674=""),"",IF(ISNUMBER($A1674),INT(MOD($A1674,10000)/100),IFERROR(VALUE(TRIM(LEFT(MID($A1674,FIND("/",$A1674)+1,20),FIND("/",MID($A1674,FIND("/",$A1674)+1,20))-1))),"")))</f>
        <v/>
      </c>
      <c r="D1674">
        <f>IF(OR($A1674="",$B1674=""),"",IF(ISNUMBER($A1674),MOD($A1674,100),IFERROR(VALUE(TRIM(MID(MID($A1674,FIND("/",$A1674)+1,20),FIND("/",MID($A1674,FIND("/",$A1674)+1,20))+1,20))),"")))</f>
        <v/>
      </c>
      <c r="E1674">
        <f>IF($A1674="","",IF(OR($B1674="",$C1674="",$D1674="",$B1674&lt;1300,$B1674&gt;1500,$C1674&lt;1,$C1674&gt;12,$D1674&lt;1,$D1674&gt;31),"نامعتبر",RIGHT("0000"&amp;$B1674,4)&amp;"/"&amp;RIGHT("00"&amp;$C1674,2)&amp;"/"&amp;RIGHT("00"&amp;$D1674,2)))</f>
        <v/>
      </c>
      <c r="F1674">
        <f>IF(OR($E1674="",$E1674="نامعتبر"),"",LEFT($E1674,4)&amp;"/"&amp;MID($E1674,6,2))</f>
        <v/>
      </c>
      <c r="G1674">
        <f>IF(OR($E1674="",$E1674="نامعتبر",Sync!$X1670=""),"",IF(AND(LEFT(UPPER(TRIM(Sync!$X1670)),2)="SL",IFERROR(VLOOKUP(Sync!$W1670,OpTbl,3,0),"")="فروش"),UPPER(TRIM(Sync!$X1670)),""))</f>
        <v/>
      </c>
      <c r="H1674">
        <f>IF($G1674="","",IF(Sync!$W1670="","",Sync!$W1670))</f>
        <v/>
      </c>
      <c r="I1674">
        <f>IF(OR($G1674="",Sync!$Y1670=""),"",Sync!$Y1670)</f>
        <v/>
      </c>
      <c r="J1674">
        <f>IF(OR($G1674="",Sync!$Z1670=""),"",Sync!$Z1670)</f>
        <v/>
      </c>
      <c r="K1674">
        <f>IF($G1674="",0,IF(Sync!$AA1670="",0,Sync!$AA1670))</f>
        <v/>
      </c>
      <c r="L1674">
        <f>IF($G1674="",0,IF(Sync!$AB1670="",0,Sync!$AB1670))</f>
        <v/>
      </c>
      <c r="M1674">
        <f>IF($G1674="","",IF($H1674="مرجوعی فروش",-1,1)*($K1674-$L1674*IFERROR(VLOOKUP("P01",ParamTbl,3,0),1.5)))</f>
        <v/>
      </c>
      <c r="N1674">
        <f>IF($G1674="",0,IF($H1674="مرجوعی فروش",-1,1)*IF(Sync!$AC1670="",0,Sync!$AC1670))</f>
        <v/>
      </c>
      <c r="O1674">
        <f>IF(OR($G1674="",Sync!$V1670=""),"",Sync!$V1670)</f>
        <v/>
      </c>
      <c r="P1674">
        <f>IF(OR($G1674="",Sync!$AD1670=""),"",Sync!$AD1670)</f>
        <v/>
      </c>
      <c r="Q1674">
        <f>IF($G1674="","",IF(Sync!$U1670="","0000",IF(AND(ISNUMBER(Sync!$U1670),Sync!$U1670&gt;=0,Sync!$U1670&lt;1),RIGHT("00"&amp;HOUR(Sync!$U1670),2)&amp;RIGHT("00"&amp;MINUTE(Sync!$U1670),2),IFERROR(RIGHT("00"&amp;VALUE(LEFT(Sync!$U1670,FIND(":",Sync!$U1670)-1)),2)&amp;RIGHT("00"&amp;VALUE(MID(Sync!$U1670,FIND(":",Sync!$U1670)+1,2)),2),"0000"))))</f>
        <v/>
      </c>
    </row>
    <row r="1675">
      <c r="A1675">
        <f>IF(Sync!$T1671="","",Sync!$T1671)</f>
        <v/>
      </c>
      <c r="B1675">
        <f>IF($A1675="","",IF(ISNUMBER($A1675),IF(AND($A1675&gt;=10000101,$A1675&lt;=99991231),INT($A1675/10000),""),IFERROR(VALUE(TRIM(LEFT($A1675,FIND("/",$A1675)-1))),"")))</f>
        <v/>
      </c>
      <c r="C1675">
        <f>IF(OR($A1675="",$B1675=""),"",IF(ISNUMBER($A1675),INT(MOD($A1675,10000)/100),IFERROR(VALUE(TRIM(LEFT(MID($A1675,FIND("/",$A1675)+1,20),FIND("/",MID($A1675,FIND("/",$A1675)+1,20))-1))),"")))</f>
        <v/>
      </c>
      <c r="D1675">
        <f>IF(OR($A1675="",$B1675=""),"",IF(ISNUMBER($A1675),MOD($A1675,100),IFERROR(VALUE(TRIM(MID(MID($A1675,FIND("/",$A1675)+1,20),FIND("/",MID($A1675,FIND("/",$A1675)+1,20))+1,20))),"")))</f>
        <v/>
      </c>
      <c r="E1675">
        <f>IF($A1675="","",IF(OR($B1675="",$C1675="",$D1675="",$B1675&lt;1300,$B1675&gt;1500,$C1675&lt;1,$C1675&gt;12,$D1675&lt;1,$D1675&gt;31),"نامعتبر",RIGHT("0000"&amp;$B1675,4)&amp;"/"&amp;RIGHT("00"&amp;$C1675,2)&amp;"/"&amp;RIGHT("00"&amp;$D1675,2)))</f>
        <v/>
      </c>
      <c r="F1675">
        <f>IF(OR($E1675="",$E1675="نامعتبر"),"",LEFT($E1675,4)&amp;"/"&amp;MID($E1675,6,2))</f>
        <v/>
      </c>
      <c r="G1675">
        <f>IF(OR($E1675="",$E1675="نامعتبر",Sync!$X1671=""),"",IF(AND(LEFT(UPPER(TRIM(Sync!$X1671)),2)="SL",IFERROR(VLOOKUP(Sync!$W1671,OpTbl,3,0),"")="فروش"),UPPER(TRIM(Sync!$X1671)),""))</f>
        <v/>
      </c>
      <c r="H1675">
        <f>IF($G1675="","",IF(Sync!$W1671="","",Sync!$W1671))</f>
        <v/>
      </c>
      <c r="I1675">
        <f>IF(OR($G1675="",Sync!$Y1671=""),"",Sync!$Y1671)</f>
        <v/>
      </c>
      <c r="J1675">
        <f>IF(OR($G1675="",Sync!$Z1671=""),"",Sync!$Z1671)</f>
        <v/>
      </c>
      <c r="K1675">
        <f>IF($G1675="",0,IF(Sync!$AA1671="",0,Sync!$AA1671))</f>
        <v/>
      </c>
      <c r="L1675">
        <f>IF($G1675="",0,IF(Sync!$AB1671="",0,Sync!$AB1671))</f>
        <v/>
      </c>
      <c r="M1675">
        <f>IF($G1675="","",IF($H1675="مرجوعی فروش",-1,1)*($K1675-$L1675*IFERROR(VLOOKUP("P01",ParamTbl,3,0),1.5)))</f>
        <v/>
      </c>
      <c r="N1675">
        <f>IF($G1675="",0,IF($H1675="مرجوعی فروش",-1,1)*IF(Sync!$AC1671="",0,Sync!$AC1671))</f>
        <v/>
      </c>
      <c r="O1675">
        <f>IF(OR($G1675="",Sync!$V1671=""),"",Sync!$V1671)</f>
        <v/>
      </c>
      <c r="P1675">
        <f>IF(OR($G1675="",Sync!$AD1671=""),"",Sync!$AD1671)</f>
        <v/>
      </c>
      <c r="Q1675">
        <f>IF($G1675="","",IF(Sync!$U1671="","0000",IF(AND(ISNUMBER(Sync!$U1671),Sync!$U1671&gt;=0,Sync!$U1671&lt;1),RIGHT("00"&amp;HOUR(Sync!$U1671),2)&amp;RIGHT("00"&amp;MINUTE(Sync!$U1671),2),IFERROR(RIGHT("00"&amp;VALUE(LEFT(Sync!$U1671,FIND(":",Sync!$U1671)-1)),2)&amp;RIGHT("00"&amp;VALUE(MID(Sync!$U1671,FIND(":",Sync!$U1671)+1,2)),2),"0000"))))</f>
        <v/>
      </c>
    </row>
    <row r="1676">
      <c r="A1676">
        <f>IF(Sync!$T1672="","",Sync!$T1672)</f>
        <v/>
      </c>
      <c r="B1676">
        <f>IF($A1676="","",IF(ISNUMBER($A1676),IF(AND($A1676&gt;=10000101,$A1676&lt;=99991231),INT($A1676/10000),""),IFERROR(VALUE(TRIM(LEFT($A1676,FIND("/",$A1676)-1))),"")))</f>
        <v/>
      </c>
      <c r="C1676">
        <f>IF(OR($A1676="",$B1676=""),"",IF(ISNUMBER($A1676),INT(MOD($A1676,10000)/100),IFERROR(VALUE(TRIM(LEFT(MID($A1676,FIND("/",$A1676)+1,20),FIND("/",MID($A1676,FIND("/",$A1676)+1,20))-1))),"")))</f>
        <v/>
      </c>
      <c r="D1676">
        <f>IF(OR($A1676="",$B1676=""),"",IF(ISNUMBER($A1676),MOD($A1676,100),IFERROR(VALUE(TRIM(MID(MID($A1676,FIND("/",$A1676)+1,20),FIND("/",MID($A1676,FIND("/",$A1676)+1,20))+1,20))),"")))</f>
        <v/>
      </c>
      <c r="E1676">
        <f>IF($A1676="","",IF(OR($B1676="",$C1676="",$D1676="",$B1676&lt;1300,$B1676&gt;1500,$C1676&lt;1,$C1676&gt;12,$D1676&lt;1,$D1676&gt;31),"نامعتبر",RIGHT("0000"&amp;$B1676,4)&amp;"/"&amp;RIGHT("00"&amp;$C1676,2)&amp;"/"&amp;RIGHT("00"&amp;$D1676,2)))</f>
        <v/>
      </c>
      <c r="F1676">
        <f>IF(OR($E1676="",$E1676="نامعتبر"),"",LEFT($E1676,4)&amp;"/"&amp;MID($E1676,6,2))</f>
        <v/>
      </c>
      <c r="G1676">
        <f>IF(OR($E1676="",$E1676="نامعتبر",Sync!$X1672=""),"",IF(AND(LEFT(UPPER(TRIM(Sync!$X1672)),2)="SL",IFERROR(VLOOKUP(Sync!$W1672,OpTbl,3,0),"")="فروش"),UPPER(TRIM(Sync!$X1672)),""))</f>
        <v/>
      </c>
      <c r="H1676">
        <f>IF($G1676="","",IF(Sync!$W1672="","",Sync!$W1672))</f>
        <v/>
      </c>
      <c r="I1676">
        <f>IF(OR($G1676="",Sync!$Y1672=""),"",Sync!$Y1672)</f>
        <v/>
      </c>
      <c r="J1676">
        <f>IF(OR($G1676="",Sync!$Z1672=""),"",Sync!$Z1672)</f>
        <v/>
      </c>
      <c r="K1676">
        <f>IF($G1676="",0,IF(Sync!$AA1672="",0,Sync!$AA1672))</f>
        <v/>
      </c>
      <c r="L1676">
        <f>IF($G1676="",0,IF(Sync!$AB1672="",0,Sync!$AB1672))</f>
        <v/>
      </c>
      <c r="M1676">
        <f>IF($G1676="","",IF($H1676="مرجوعی فروش",-1,1)*($K1676-$L1676*IFERROR(VLOOKUP("P01",ParamTbl,3,0),1.5)))</f>
        <v/>
      </c>
      <c r="N1676">
        <f>IF($G1676="",0,IF($H1676="مرجوعی فروش",-1,1)*IF(Sync!$AC1672="",0,Sync!$AC1672))</f>
        <v/>
      </c>
      <c r="O1676">
        <f>IF(OR($G1676="",Sync!$V1672=""),"",Sync!$V1672)</f>
        <v/>
      </c>
      <c r="P1676">
        <f>IF(OR($G1676="",Sync!$AD1672=""),"",Sync!$AD1672)</f>
        <v/>
      </c>
      <c r="Q1676">
        <f>IF($G1676="","",IF(Sync!$U1672="","0000",IF(AND(ISNUMBER(Sync!$U1672),Sync!$U1672&gt;=0,Sync!$U1672&lt;1),RIGHT("00"&amp;HOUR(Sync!$U1672),2)&amp;RIGHT("00"&amp;MINUTE(Sync!$U1672),2),IFERROR(RIGHT("00"&amp;VALUE(LEFT(Sync!$U1672,FIND(":",Sync!$U1672)-1)),2)&amp;RIGHT("00"&amp;VALUE(MID(Sync!$U1672,FIND(":",Sync!$U1672)+1,2)),2),"0000"))))</f>
        <v/>
      </c>
    </row>
    <row r="1677">
      <c r="A1677">
        <f>IF(Sync!$T1673="","",Sync!$T1673)</f>
        <v/>
      </c>
      <c r="B1677">
        <f>IF($A1677="","",IF(ISNUMBER($A1677),IF(AND($A1677&gt;=10000101,$A1677&lt;=99991231),INT($A1677/10000),""),IFERROR(VALUE(TRIM(LEFT($A1677,FIND("/",$A1677)-1))),"")))</f>
        <v/>
      </c>
      <c r="C1677">
        <f>IF(OR($A1677="",$B1677=""),"",IF(ISNUMBER($A1677),INT(MOD($A1677,10000)/100),IFERROR(VALUE(TRIM(LEFT(MID($A1677,FIND("/",$A1677)+1,20),FIND("/",MID($A1677,FIND("/",$A1677)+1,20))-1))),"")))</f>
        <v/>
      </c>
      <c r="D1677">
        <f>IF(OR($A1677="",$B1677=""),"",IF(ISNUMBER($A1677),MOD($A1677,100),IFERROR(VALUE(TRIM(MID(MID($A1677,FIND("/",$A1677)+1,20),FIND("/",MID($A1677,FIND("/",$A1677)+1,20))+1,20))),"")))</f>
        <v/>
      </c>
      <c r="E1677">
        <f>IF($A1677="","",IF(OR($B1677="",$C1677="",$D1677="",$B1677&lt;1300,$B1677&gt;1500,$C1677&lt;1,$C1677&gt;12,$D1677&lt;1,$D1677&gt;31),"نامعتبر",RIGHT("0000"&amp;$B1677,4)&amp;"/"&amp;RIGHT("00"&amp;$C1677,2)&amp;"/"&amp;RIGHT("00"&amp;$D1677,2)))</f>
        <v/>
      </c>
      <c r="F1677">
        <f>IF(OR($E1677="",$E1677="نامعتبر"),"",LEFT($E1677,4)&amp;"/"&amp;MID($E1677,6,2))</f>
        <v/>
      </c>
      <c r="G1677">
        <f>IF(OR($E1677="",$E1677="نامعتبر",Sync!$X1673=""),"",IF(AND(LEFT(UPPER(TRIM(Sync!$X1673)),2)="SL",IFERROR(VLOOKUP(Sync!$W1673,OpTbl,3,0),"")="فروش"),UPPER(TRIM(Sync!$X1673)),""))</f>
        <v/>
      </c>
      <c r="H1677">
        <f>IF($G1677="","",IF(Sync!$W1673="","",Sync!$W1673))</f>
        <v/>
      </c>
      <c r="I1677">
        <f>IF(OR($G1677="",Sync!$Y1673=""),"",Sync!$Y1673)</f>
        <v/>
      </c>
      <c r="J1677">
        <f>IF(OR($G1677="",Sync!$Z1673=""),"",Sync!$Z1673)</f>
        <v/>
      </c>
      <c r="K1677">
        <f>IF($G1677="",0,IF(Sync!$AA1673="",0,Sync!$AA1673))</f>
        <v/>
      </c>
      <c r="L1677">
        <f>IF($G1677="",0,IF(Sync!$AB1673="",0,Sync!$AB1673))</f>
        <v/>
      </c>
      <c r="M1677">
        <f>IF($G1677="","",IF($H1677="مرجوعی فروش",-1,1)*($K1677-$L1677*IFERROR(VLOOKUP("P01",ParamTbl,3,0),1.5)))</f>
        <v/>
      </c>
      <c r="N1677">
        <f>IF($G1677="",0,IF($H1677="مرجوعی فروش",-1,1)*IF(Sync!$AC1673="",0,Sync!$AC1673))</f>
        <v/>
      </c>
      <c r="O1677">
        <f>IF(OR($G1677="",Sync!$V1673=""),"",Sync!$V1673)</f>
        <v/>
      </c>
      <c r="P1677">
        <f>IF(OR($G1677="",Sync!$AD1673=""),"",Sync!$AD1673)</f>
        <v/>
      </c>
      <c r="Q1677">
        <f>IF($G1677="","",IF(Sync!$U1673="","0000",IF(AND(ISNUMBER(Sync!$U1673),Sync!$U1673&gt;=0,Sync!$U1673&lt;1),RIGHT("00"&amp;HOUR(Sync!$U1673),2)&amp;RIGHT("00"&amp;MINUTE(Sync!$U1673),2),IFERROR(RIGHT("00"&amp;VALUE(LEFT(Sync!$U1673,FIND(":",Sync!$U1673)-1)),2)&amp;RIGHT("00"&amp;VALUE(MID(Sync!$U1673,FIND(":",Sync!$U1673)+1,2)),2),"0000"))))</f>
        <v/>
      </c>
    </row>
    <row r="1678">
      <c r="A1678">
        <f>IF(Sync!$T1674="","",Sync!$T1674)</f>
        <v/>
      </c>
      <c r="B1678">
        <f>IF($A1678="","",IF(ISNUMBER($A1678),IF(AND($A1678&gt;=10000101,$A1678&lt;=99991231),INT($A1678/10000),""),IFERROR(VALUE(TRIM(LEFT($A1678,FIND("/",$A1678)-1))),"")))</f>
        <v/>
      </c>
      <c r="C1678">
        <f>IF(OR($A1678="",$B1678=""),"",IF(ISNUMBER($A1678),INT(MOD($A1678,10000)/100),IFERROR(VALUE(TRIM(LEFT(MID($A1678,FIND("/",$A1678)+1,20),FIND("/",MID($A1678,FIND("/",$A1678)+1,20))-1))),"")))</f>
        <v/>
      </c>
      <c r="D1678">
        <f>IF(OR($A1678="",$B1678=""),"",IF(ISNUMBER($A1678),MOD($A1678,100),IFERROR(VALUE(TRIM(MID(MID($A1678,FIND("/",$A1678)+1,20),FIND("/",MID($A1678,FIND("/",$A1678)+1,20))+1,20))),"")))</f>
        <v/>
      </c>
      <c r="E1678">
        <f>IF($A1678="","",IF(OR($B1678="",$C1678="",$D1678="",$B1678&lt;1300,$B1678&gt;1500,$C1678&lt;1,$C1678&gt;12,$D1678&lt;1,$D1678&gt;31),"نامعتبر",RIGHT("0000"&amp;$B1678,4)&amp;"/"&amp;RIGHT("00"&amp;$C1678,2)&amp;"/"&amp;RIGHT("00"&amp;$D1678,2)))</f>
        <v/>
      </c>
      <c r="F1678">
        <f>IF(OR($E1678="",$E1678="نامعتبر"),"",LEFT($E1678,4)&amp;"/"&amp;MID($E1678,6,2))</f>
        <v/>
      </c>
      <c r="G1678">
        <f>IF(OR($E1678="",$E1678="نامعتبر",Sync!$X1674=""),"",IF(AND(LEFT(UPPER(TRIM(Sync!$X1674)),2)="SL",IFERROR(VLOOKUP(Sync!$W1674,OpTbl,3,0),"")="فروش"),UPPER(TRIM(Sync!$X1674)),""))</f>
        <v/>
      </c>
      <c r="H1678">
        <f>IF($G1678="","",IF(Sync!$W1674="","",Sync!$W1674))</f>
        <v/>
      </c>
      <c r="I1678">
        <f>IF(OR($G1678="",Sync!$Y1674=""),"",Sync!$Y1674)</f>
        <v/>
      </c>
      <c r="J1678">
        <f>IF(OR($G1678="",Sync!$Z1674=""),"",Sync!$Z1674)</f>
        <v/>
      </c>
      <c r="K1678">
        <f>IF($G1678="",0,IF(Sync!$AA1674="",0,Sync!$AA1674))</f>
        <v/>
      </c>
      <c r="L1678">
        <f>IF($G1678="",0,IF(Sync!$AB1674="",0,Sync!$AB1674))</f>
        <v/>
      </c>
      <c r="M1678">
        <f>IF($G1678="","",IF($H1678="مرجوعی فروش",-1,1)*($K1678-$L1678*IFERROR(VLOOKUP("P01",ParamTbl,3,0),1.5)))</f>
        <v/>
      </c>
      <c r="N1678">
        <f>IF($G1678="",0,IF($H1678="مرجوعی فروش",-1,1)*IF(Sync!$AC1674="",0,Sync!$AC1674))</f>
        <v/>
      </c>
      <c r="O1678">
        <f>IF(OR($G1678="",Sync!$V1674=""),"",Sync!$V1674)</f>
        <v/>
      </c>
      <c r="P1678">
        <f>IF(OR($G1678="",Sync!$AD1674=""),"",Sync!$AD1674)</f>
        <v/>
      </c>
      <c r="Q1678">
        <f>IF($G1678="","",IF(Sync!$U1674="","0000",IF(AND(ISNUMBER(Sync!$U1674),Sync!$U1674&gt;=0,Sync!$U1674&lt;1),RIGHT("00"&amp;HOUR(Sync!$U1674),2)&amp;RIGHT("00"&amp;MINUTE(Sync!$U1674),2),IFERROR(RIGHT("00"&amp;VALUE(LEFT(Sync!$U1674,FIND(":",Sync!$U1674)-1)),2)&amp;RIGHT("00"&amp;VALUE(MID(Sync!$U1674,FIND(":",Sync!$U1674)+1,2)),2),"0000"))))</f>
        <v/>
      </c>
    </row>
    <row r="1679">
      <c r="A1679">
        <f>IF(Sync!$T1675="","",Sync!$T1675)</f>
        <v/>
      </c>
      <c r="B1679">
        <f>IF($A1679="","",IF(ISNUMBER($A1679),IF(AND($A1679&gt;=10000101,$A1679&lt;=99991231),INT($A1679/10000),""),IFERROR(VALUE(TRIM(LEFT($A1679,FIND("/",$A1679)-1))),"")))</f>
        <v/>
      </c>
      <c r="C1679">
        <f>IF(OR($A1679="",$B1679=""),"",IF(ISNUMBER($A1679),INT(MOD($A1679,10000)/100),IFERROR(VALUE(TRIM(LEFT(MID($A1679,FIND("/",$A1679)+1,20),FIND("/",MID($A1679,FIND("/",$A1679)+1,20))-1))),"")))</f>
        <v/>
      </c>
      <c r="D1679">
        <f>IF(OR($A1679="",$B1679=""),"",IF(ISNUMBER($A1679),MOD($A1679,100),IFERROR(VALUE(TRIM(MID(MID($A1679,FIND("/",$A1679)+1,20),FIND("/",MID($A1679,FIND("/",$A1679)+1,20))+1,20))),"")))</f>
        <v/>
      </c>
      <c r="E1679">
        <f>IF($A1679="","",IF(OR($B1679="",$C1679="",$D1679="",$B1679&lt;1300,$B1679&gt;1500,$C1679&lt;1,$C1679&gt;12,$D1679&lt;1,$D1679&gt;31),"نامعتبر",RIGHT("0000"&amp;$B1679,4)&amp;"/"&amp;RIGHT("00"&amp;$C1679,2)&amp;"/"&amp;RIGHT("00"&amp;$D1679,2)))</f>
        <v/>
      </c>
      <c r="F1679">
        <f>IF(OR($E1679="",$E1679="نامعتبر"),"",LEFT($E1679,4)&amp;"/"&amp;MID($E1679,6,2))</f>
        <v/>
      </c>
      <c r="G1679">
        <f>IF(OR($E1679="",$E1679="نامعتبر",Sync!$X1675=""),"",IF(AND(LEFT(UPPER(TRIM(Sync!$X1675)),2)="SL",IFERROR(VLOOKUP(Sync!$W1675,OpTbl,3,0),"")="فروش"),UPPER(TRIM(Sync!$X1675)),""))</f>
        <v/>
      </c>
      <c r="H1679">
        <f>IF($G1679="","",IF(Sync!$W1675="","",Sync!$W1675))</f>
        <v/>
      </c>
      <c r="I1679">
        <f>IF(OR($G1679="",Sync!$Y1675=""),"",Sync!$Y1675)</f>
        <v/>
      </c>
      <c r="J1679">
        <f>IF(OR($G1679="",Sync!$Z1675=""),"",Sync!$Z1675)</f>
        <v/>
      </c>
      <c r="K1679">
        <f>IF($G1679="",0,IF(Sync!$AA1675="",0,Sync!$AA1675))</f>
        <v/>
      </c>
      <c r="L1679">
        <f>IF($G1679="",0,IF(Sync!$AB1675="",0,Sync!$AB1675))</f>
        <v/>
      </c>
      <c r="M1679">
        <f>IF($G1679="","",IF($H1679="مرجوعی فروش",-1,1)*($K1679-$L1679*IFERROR(VLOOKUP("P01",ParamTbl,3,0),1.5)))</f>
        <v/>
      </c>
      <c r="N1679">
        <f>IF($G1679="",0,IF($H1679="مرجوعی فروش",-1,1)*IF(Sync!$AC1675="",0,Sync!$AC1675))</f>
        <v/>
      </c>
      <c r="O1679">
        <f>IF(OR($G1679="",Sync!$V1675=""),"",Sync!$V1675)</f>
        <v/>
      </c>
      <c r="P1679">
        <f>IF(OR($G1679="",Sync!$AD1675=""),"",Sync!$AD1675)</f>
        <v/>
      </c>
      <c r="Q1679">
        <f>IF($G1679="","",IF(Sync!$U1675="","0000",IF(AND(ISNUMBER(Sync!$U1675),Sync!$U1675&gt;=0,Sync!$U1675&lt;1),RIGHT("00"&amp;HOUR(Sync!$U1675),2)&amp;RIGHT("00"&amp;MINUTE(Sync!$U1675),2),IFERROR(RIGHT("00"&amp;VALUE(LEFT(Sync!$U1675,FIND(":",Sync!$U1675)-1)),2)&amp;RIGHT("00"&amp;VALUE(MID(Sync!$U1675,FIND(":",Sync!$U1675)+1,2)),2),"0000"))))</f>
        <v/>
      </c>
    </row>
    <row r="1680">
      <c r="A1680">
        <f>IF(Sync!$T1676="","",Sync!$T1676)</f>
        <v/>
      </c>
      <c r="B1680">
        <f>IF($A1680="","",IF(ISNUMBER($A1680),IF(AND($A1680&gt;=10000101,$A1680&lt;=99991231),INT($A1680/10000),""),IFERROR(VALUE(TRIM(LEFT($A1680,FIND("/",$A1680)-1))),"")))</f>
        <v/>
      </c>
      <c r="C1680">
        <f>IF(OR($A1680="",$B1680=""),"",IF(ISNUMBER($A1680),INT(MOD($A1680,10000)/100),IFERROR(VALUE(TRIM(LEFT(MID($A1680,FIND("/",$A1680)+1,20),FIND("/",MID($A1680,FIND("/",$A1680)+1,20))-1))),"")))</f>
        <v/>
      </c>
      <c r="D1680">
        <f>IF(OR($A1680="",$B1680=""),"",IF(ISNUMBER($A1680),MOD($A1680,100),IFERROR(VALUE(TRIM(MID(MID($A1680,FIND("/",$A1680)+1,20),FIND("/",MID($A1680,FIND("/",$A1680)+1,20))+1,20))),"")))</f>
        <v/>
      </c>
      <c r="E1680">
        <f>IF($A1680="","",IF(OR($B1680="",$C1680="",$D1680="",$B1680&lt;1300,$B1680&gt;1500,$C1680&lt;1,$C1680&gt;12,$D1680&lt;1,$D1680&gt;31),"نامعتبر",RIGHT("0000"&amp;$B1680,4)&amp;"/"&amp;RIGHT("00"&amp;$C1680,2)&amp;"/"&amp;RIGHT("00"&amp;$D1680,2)))</f>
        <v/>
      </c>
      <c r="F1680">
        <f>IF(OR($E1680="",$E1680="نامعتبر"),"",LEFT($E1680,4)&amp;"/"&amp;MID($E1680,6,2))</f>
        <v/>
      </c>
      <c r="G1680">
        <f>IF(OR($E1680="",$E1680="نامعتبر",Sync!$X1676=""),"",IF(AND(LEFT(UPPER(TRIM(Sync!$X1676)),2)="SL",IFERROR(VLOOKUP(Sync!$W1676,OpTbl,3,0),"")="فروش"),UPPER(TRIM(Sync!$X1676)),""))</f>
        <v/>
      </c>
      <c r="H1680">
        <f>IF($G1680="","",IF(Sync!$W1676="","",Sync!$W1676))</f>
        <v/>
      </c>
      <c r="I1680">
        <f>IF(OR($G1680="",Sync!$Y1676=""),"",Sync!$Y1676)</f>
        <v/>
      </c>
      <c r="J1680">
        <f>IF(OR($G1680="",Sync!$Z1676=""),"",Sync!$Z1676)</f>
        <v/>
      </c>
      <c r="K1680">
        <f>IF($G1680="",0,IF(Sync!$AA1676="",0,Sync!$AA1676))</f>
        <v/>
      </c>
      <c r="L1680">
        <f>IF($G1680="",0,IF(Sync!$AB1676="",0,Sync!$AB1676))</f>
        <v/>
      </c>
      <c r="M1680">
        <f>IF($G1680="","",IF($H1680="مرجوعی فروش",-1,1)*($K1680-$L1680*IFERROR(VLOOKUP("P01",ParamTbl,3,0),1.5)))</f>
        <v/>
      </c>
      <c r="N1680">
        <f>IF($G1680="",0,IF($H1680="مرجوعی فروش",-1,1)*IF(Sync!$AC1676="",0,Sync!$AC1676))</f>
        <v/>
      </c>
      <c r="O1680">
        <f>IF(OR($G1680="",Sync!$V1676=""),"",Sync!$V1676)</f>
        <v/>
      </c>
      <c r="P1680">
        <f>IF(OR($G1680="",Sync!$AD1676=""),"",Sync!$AD1676)</f>
        <v/>
      </c>
      <c r="Q1680">
        <f>IF($G1680="","",IF(Sync!$U1676="","0000",IF(AND(ISNUMBER(Sync!$U1676),Sync!$U1676&gt;=0,Sync!$U1676&lt;1),RIGHT("00"&amp;HOUR(Sync!$U1676),2)&amp;RIGHT("00"&amp;MINUTE(Sync!$U1676),2),IFERROR(RIGHT("00"&amp;VALUE(LEFT(Sync!$U1676,FIND(":",Sync!$U1676)-1)),2)&amp;RIGHT("00"&amp;VALUE(MID(Sync!$U1676,FIND(":",Sync!$U1676)+1,2)),2),"0000"))))</f>
        <v/>
      </c>
    </row>
    <row r="1681">
      <c r="A1681">
        <f>IF(Sync!$T1677="","",Sync!$T1677)</f>
        <v/>
      </c>
      <c r="B1681">
        <f>IF($A1681="","",IF(ISNUMBER($A1681),IF(AND($A1681&gt;=10000101,$A1681&lt;=99991231),INT($A1681/10000),""),IFERROR(VALUE(TRIM(LEFT($A1681,FIND("/",$A1681)-1))),"")))</f>
        <v/>
      </c>
      <c r="C1681">
        <f>IF(OR($A1681="",$B1681=""),"",IF(ISNUMBER($A1681),INT(MOD($A1681,10000)/100),IFERROR(VALUE(TRIM(LEFT(MID($A1681,FIND("/",$A1681)+1,20),FIND("/",MID($A1681,FIND("/",$A1681)+1,20))-1))),"")))</f>
        <v/>
      </c>
      <c r="D1681">
        <f>IF(OR($A1681="",$B1681=""),"",IF(ISNUMBER($A1681),MOD($A1681,100),IFERROR(VALUE(TRIM(MID(MID($A1681,FIND("/",$A1681)+1,20),FIND("/",MID($A1681,FIND("/",$A1681)+1,20))+1,20))),"")))</f>
        <v/>
      </c>
      <c r="E1681">
        <f>IF($A1681="","",IF(OR($B1681="",$C1681="",$D1681="",$B1681&lt;1300,$B1681&gt;1500,$C1681&lt;1,$C1681&gt;12,$D1681&lt;1,$D1681&gt;31),"نامعتبر",RIGHT("0000"&amp;$B1681,4)&amp;"/"&amp;RIGHT("00"&amp;$C1681,2)&amp;"/"&amp;RIGHT("00"&amp;$D1681,2)))</f>
        <v/>
      </c>
      <c r="F1681">
        <f>IF(OR($E1681="",$E1681="نامعتبر"),"",LEFT($E1681,4)&amp;"/"&amp;MID($E1681,6,2))</f>
        <v/>
      </c>
      <c r="G1681">
        <f>IF(OR($E1681="",$E1681="نامعتبر",Sync!$X1677=""),"",IF(AND(LEFT(UPPER(TRIM(Sync!$X1677)),2)="SL",IFERROR(VLOOKUP(Sync!$W1677,OpTbl,3,0),"")="فروش"),UPPER(TRIM(Sync!$X1677)),""))</f>
        <v/>
      </c>
      <c r="H1681">
        <f>IF($G1681="","",IF(Sync!$W1677="","",Sync!$W1677))</f>
        <v/>
      </c>
      <c r="I1681">
        <f>IF(OR($G1681="",Sync!$Y1677=""),"",Sync!$Y1677)</f>
        <v/>
      </c>
      <c r="J1681">
        <f>IF(OR($G1681="",Sync!$Z1677=""),"",Sync!$Z1677)</f>
        <v/>
      </c>
      <c r="K1681">
        <f>IF($G1681="",0,IF(Sync!$AA1677="",0,Sync!$AA1677))</f>
        <v/>
      </c>
      <c r="L1681">
        <f>IF($G1681="",0,IF(Sync!$AB1677="",0,Sync!$AB1677))</f>
        <v/>
      </c>
      <c r="M1681">
        <f>IF($G1681="","",IF($H1681="مرجوعی فروش",-1,1)*($K1681-$L1681*IFERROR(VLOOKUP("P01",ParamTbl,3,0),1.5)))</f>
        <v/>
      </c>
      <c r="N1681">
        <f>IF($G1681="",0,IF($H1681="مرجوعی فروش",-1,1)*IF(Sync!$AC1677="",0,Sync!$AC1677))</f>
        <v/>
      </c>
      <c r="O1681">
        <f>IF(OR($G1681="",Sync!$V1677=""),"",Sync!$V1677)</f>
        <v/>
      </c>
      <c r="P1681">
        <f>IF(OR($G1681="",Sync!$AD1677=""),"",Sync!$AD1677)</f>
        <v/>
      </c>
      <c r="Q1681">
        <f>IF($G1681="","",IF(Sync!$U1677="","0000",IF(AND(ISNUMBER(Sync!$U1677),Sync!$U1677&gt;=0,Sync!$U1677&lt;1),RIGHT("00"&amp;HOUR(Sync!$U1677),2)&amp;RIGHT("00"&amp;MINUTE(Sync!$U1677),2),IFERROR(RIGHT("00"&amp;VALUE(LEFT(Sync!$U1677,FIND(":",Sync!$U1677)-1)),2)&amp;RIGHT("00"&amp;VALUE(MID(Sync!$U1677,FIND(":",Sync!$U1677)+1,2)),2),"0000"))))</f>
        <v/>
      </c>
    </row>
    <row r="1682">
      <c r="A1682">
        <f>IF(Sync!$T1678="","",Sync!$T1678)</f>
        <v/>
      </c>
      <c r="B1682">
        <f>IF($A1682="","",IF(ISNUMBER($A1682),IF(AND($A1682&gt;=10000101,$A1682&lt;=99991231),INT($A1682/10000),""),IFERROR(VALUE(TRIM(LEFT($A1682,FIND("/",$A1682)-1))),"")))</f>
        <v/>
      </c>
      <c r="C1682">
        <f>IF(OR($A1682="",$B1682=""),"",IF(ISNUMBER($A1682),INT(MOD($A1682,10000)/100),IFERROR(VALUE(TRIM(LEFT(MID($A1682,FIND("/",$A1682)+1,20),FIND("/",MID($A1682,FIND("/",$A1682)+1,20))-1))),"")))</f>
        <v/>
      </c>
      <c r="D1682">
        <f>IF(OR($A1682="",$B1682=""),"",IF(ISNUMBER($A1682),MOD($A1682,100),IFERROR(VALUE(TRIM(MID(MID($A1682,FIND("/",$A1682)+1,20),FIND("/",MID($A1682,FIND("/",$A1682)+1,20))+1,20))),"")))</f>
        <v/>
      </c>
      <c r="E1682">
        <f>IF($A1682="","",IF(OR($B1682="",$C1682="",$D1682="",$B1682&lt;1300,$B1682&gt;1500,$C1682&lt;1,$C1682&gt;12,$D1682&lt;1,$D1682&gt;31),"نامعتبر",RIGHT("0000"&amp;$B1682,4)&amp;"/"&amp;RIGHT("00"&amp;$C1682,2)&amp;"/"&amp;RIGHT("00"&amp;$D1682,2)))</f>
        <v/>
      </c>
      <c r="F1682">
        <f>IF(OR($E1682="",$E1682="نامعتبر"),"",LEFT($E1682,4)&amp;"/"&amp;MID($E1682,6,2))</f>
        <v/>
      </c>
      <c r="G1682">
        <f>IF(OR($E1682="",$E1682="نامعتبر",Sync!$X1678=""),"",IF(AND(LEFT(UPPER(TRIM(Sync!$X1678)),2)="SL",IFERROR(VLOOKUP(Sync!$W1678,OpTbl,3,0),"")="فروش"),UPPER(TRIM(Sync!$X1678)),""))</f>
        <v/>
      </c>
      <c r="H1682">
        <f>IF($G1682="","",IF(Sync!$W1678="","",Sync!$W1678))</f>
        <v/>
      </c>
      <c r="I1682">
        <f>IF(OR($G1682="",Sync!$Y1678=""),"",Sync!$Y1678)</f>
        <v/>
      </c>
      <c r="J1682">
        <f>IF(OR($G1682="",Sync!$Z1678=""),"",Sync!$Z1678)</f>
        <v/>
      </c>
      <c r="K1682">
        <f>IF($G1682="",0,IF(Sync!$AA1678="",0,Sync!$AA1678))</f>
        <v/>
      </c>
      <c r="L1682">
        <f>IF($G1682="",0,IF(Sync!$AB1678="",0,Sync!$AB1678))</f>
        <v/>
      </c>
      <c r="M1682">
        <f>IF($G1682="","",IF($H1682="مرجوعی فروش",-1,1)*($K1682-$L1682*IFERROR(VLOOKUP("P01",ParamTbl,3,0),1.5)))</f>
        <v/>
      </c>
      <c r="N1682">
        <f>IF($G1682="",0,IF($H1682="مرجوعی فروش",-1,1)*IF(Sync!$AC1678="",0,Sync!$AC1678))</f>
        <v/>
      </c>
      <c r="O1682">
        <f>IF(OR($G1682="",Sync!$V1678=""),"",Sync!$V1678)</f>
        <v/>
      </c>
      <c r="P1682">
        <f>IF(OR($G1682="",Sync!$AD1678=""),"",Sync!$AD1678)</f>
        <v/>
      </c>
      <c r="Q1682">
        <f>IF($G1682="","",IF(Sync!$U1678="","0000",IF(AND(ISNUMBER(Sync!$U1678),Sync!$U1678&gt;=0,Sync!$U1678&lt;1),RIGHT("00"&amp;HOUR(Sync!$U1678),2)&amp;RIGHT("00"&amp;MINUTE(Sync!$U1678),2),IFERROR(RIGHT("00"&amp;VALUE(LEFT(Sync!$U1678,FIND(":",Sync!$U1678)-1)),2)&amp;RIGHT("00"&amp;VALUE(MID(Sync!$U1678,FIND(":",Sync!$U1678)+1,2)),2),"0000"))))</f>
        <v/>
      </c>
    </row>
    <row r="1683">
      <c r="A1683">
        <f>IF(Sync!$T1679="","",Sync!$T1679)</f>
        <v/>
      </c>
      <c r="B1683">
        <f>IF($A1683="","",IF(ISNUMBER($A1683),IF(AND($A1683&gt;=10000101,$A1683&lt;=99991231),INT($A1683/10000),""),IFERROR(VALUE(TRIM(LEFT($A1683,FIND("/",$A1683)-1))),"")))</f>
        <v/>
      </c>
      <c r="C1683">
        <f>IF(OR($A1683="",$B1683=""),"",IF(ISNUMBER($A1683),INT(MOD($A1683,10000)/100),IFERROR(VALUE(TRIM(LEFT(MID($A1683,FIND("/",$A1683)+1,20),FIND("/",MID($A1683,FIND("/",$A1683)+1,20))-1))),"")))</f>
        <v/>
      </c>
      <c r="D1683">
        <f>IF(OR($A1683="",$B1683=""),"",IF(ISNUMBER($A1683),MOD($A1683,100),IFERROR(VALUE(TRIM(MID(MID($A1683,FIND("/",$A1683)+1,20),FIND("/",MID($A1683,FIND("/",$A1683)+1,20))+1,20))),"")))</f>
        <v/>
      </c>
      <c r="E1683">
        <f>IF($A1683="","",IF(OR($B1683="",$C1683="",$D1683="",$B1683&lt;1300,$B1683&gt;1500,$C1683&lt;1,$C1683&gt;12,$D1683&lt;1,$D1683&gt;31),"نامعتبر",RIGHT("0000"&amp;$B1683,4)&amp;"/"&amp;RIGHT("00"&amp;$C1683,2)&amp;"/"&amp;RIGHT("00"&amp;$D1683,2)))</f>
        <v/>
      </c>
      <c r="F1683">
        <f>IF(OR($E1683="",$E1683="نامعتبر"),"",LEFT($E1683,4)&amp;"/"&amp;MID($E1683,6,2))</f>
        <v/>
      </c>
      <c r="G1683">
        <f>IF(OR($E1683="",$E1683="نامعتبر",Sync!$X1679=""),"",IF(AND(LEFT(UPPER(TRIM(Sync!$X1679)),2)="SL",IFERROR(VLOOKUP(Sync!$W1679,OpTbl,3,0),"")="فروش"),UPPER(TRIM(Sync!$X1679)),""))</f>
        <v/>
      </c>
      <c r="H1683">
        <f>IF($G1683="","",IF(Sync!$W1679="","",Sync!$W1679))</f>
        <v/>
      </c>
      <c r="I1683">
        <f>IF(OR($G1683="",Sync!$Y1679=""),"",Sync!$Y1679)</f>
        <v/>
      </c>
      <c r="J1683">
        <f>IF(OR($G1683="",Sync!$Z1679=""),"",Sync!$Z1679)</f>
        <v/>
      </c>
      <c r="K1683">
        <f>IF($G1683="",0,IF(Sync!$AA1679="",0,Sync!$AA1679))</f>
        <v/>
      </c>
      <c r="L1683">
        <f>IF($G1683="",0,IF(Sync!$AB1679="",0,Sync!$AB1679))</f>
        <v/>
      </c>
      <c r="M1683">
        <f>IF($G1683="","",IF($H1683="مرجوعی فروش",-1,1)*($K1683-$L1683*IFERROR(VLOOKUP("P01",ParamTbl,3,0),1.5)))</f>
        <v/>
      </c>
      <c r="N1683">
        <f>IF($G1683="",0,IF($H1683="مرجوعی فروش",-1,1)*IF(Sync!$AC1679="",0,Sync!$AC1679))</f>
        <v/>
      </c>
      <c r="O1683">
        <f>IF(OR($G1683="",Sync!$V1679=""),"",Sync!$V1679)</f>
        <v/>
      </c>
      <c r="P1683">
        <f>IF(OR($G1683="",Sync!$AD1679=""),"",Sync!$AD1679)</f>
        <v/>
      </c>
      <c r="Q1683">
        <f>IF($G1683="","",IF(Sync!$U1679="","0000",IF(AND(ISNUMBER(Sync!$U1679),Sync!$U1679&gt;=0,Sync!$U1679&lt;1),RIGHT("00"&amp;HOUR(Sync!$U1679),2)&amp;RIGHT("00"&amp;MINUTE(Sync!$U1679),2),IFERROR(RIGHT("00"&amp;VALUE(LEFT(Sync!$U1679,FIND(":",Sync!$U1679)-1)),2)&amp;RIGHT("00"&amp;VALUE(MID(Sync!$U1679,FIND(":",Sync!$U1679)+1,2)),2),"0000"))))</f>
        <v/>
      </c>
    </row>
    <row r="1684">
      <c r="A1684">
        <f>IF(Sync!$T1680="","",Sync!$T1680)</f>
        <v/>
      </c>
      <c r="B1684">
        <f>IF($A1684="","",IF(ISNUMBER($A1684),IF(AND($A1684&gt;=10000101,$A1684&lt;=99991231),INT($A1684/10000),""),IFERROR(VALUE(TRIM(LEFT($A1684,FIND("/",$A1684)-1))),"")))</f>
        <v/>
      </c>
      <c r="C1684">
        <f>IF(OR($A1684="",$B1684=""),"",IF(ISNUMBER($A1684),INT(MOD($A1684,10000)/100),IFERROR(VALUE(TRIM(LEFT(MID($A1684,FIND("/",$A1684)+1,20),FIND("/",MID($A1684,FIND("/",$A1684)+1,20))-1))),"")))</f>
        <v/>
      </c>
      <c r="D1684">
        <f>IF(OR($A1684="",$B1684=""),"",IF(ISNUMBER($A1684),MOD($A1684,100),IFERROR(VALUE(TRIM(MID(MID($A1684,FIND("/",$A1684)+1,20),FIND("/",MID($A1684,FIND("/",$A1684)+1,20))+1,20))),"")))</f>
        <v/>
      </c>
      <c r="E1684">
        <f>IF($A1684="","",IF(OR($B1684="",$C1684="",$D1684="",$B1684&lt;1300,$B1684&gt;1500,$C1684&lt;1,$C1684&gt;12,$D1684&lt;1,$D1684&gt;31),"نامعتبر",RIGHT("0000"&amp;$B1684,4)&amp;"/"&amp;RIGHT("00"&amp;$C1684,2)&amp;"/"&amp;RIGHT("00"&amp;$D1684,2)))</f>
        <v/>
      </c>
      <c r="F1684">
        <f>IF(OR($E1684="",$E1684="نامعتبر"),"",LEFT($E1684,4)&amp;"/"&amp;MID($E1684,6,2))</f>
        <v/>
      </c>
      <c r="G1684">
        <f>IF(OR($E1684="",$E1684="نامعتبر",Sync!$X1680=""),"",IF(AND(LEFT(UPPER(TRIM(Sync!$X1680)),2)="SL",IFERROR(VLOOKUP(Sync!$W1680,OpTbl,3,0),"")="فروش"),UPPER(TRIM(Sync!$X1680)),""))</f>
        <v/>
      </c>
      <c r="H1684">
        <f>IF($G1684="","",IF(Sync!$W1680="","",Sync!$W1680))</f>
        <v/>
      </c>
      <c r="I1684">
        <f>IF(OR($G1684="",Sync!$Y1680=""),"",Sync!$Y1680)</f>
        <v/>
      </c>
      <c r="J1684">
        <f>IF(OR($G1684="",Sync!$Z1680=""),"",Sync!$Z1680)</f>
        <v/>
      </c>
      <c r="K1684">
        <f>IF($G1684="",0,IF(Sync!$AA1680="",0,Sync!$AA1680))</f>
        <v/>
      </c>
      <c r="L1684">
        <f>IF($G1684="",0,IF(Sync!$AB1680="",0,Sync!$AB1680))</f>
        <v/>
      </c>
      <c r="M1684">
        <f>IF($G1684="","",IF($H1684="مرجوعی فروش",-1,1)*($K1684-$L1684*IFERROR(VLOOKUP("P01",ParamTbl,3,0),1.5)))</f>
        <v/>
      </c>
      <c r="N1684">
        <f>IF($G1684="",0,IF($H1684="مرجوعی فروش",-1,1)*IF(Sync!$AC1680="",0,Sync!$AC1680))</f>
        <v/>
      </c>
      <c r="O1684">
        <f>IF(OR($G1684="",Sync!$V1680=""),"",Sync!$V1680)</f>
        <v/>
      </c>
      <c r="P1684">
        <f>IF(OR($G1684="",Sync!$AD1680=""),"",Sync!$AD1680)</f>
        <v/>
      </c>
      <c r="Q1684">
        <f>IF($G1684="","",IF(Sync!$U1680="","0000",IF(AND(ISNUMBER(Sync!$U1680),Sync!$U1680&gt;=0,Sync!$U1680&lt;1),RIGHT("00"&amp;HOUR(Sync!$U1680),2)&amp;RIGHT("00"&amp;MINUTE(Sync!$U1680),2),IFERROR(RIGHT("00"&amp;VALUE(LEFT(Sync!$U1680,FIND(":",Sync!$U1680)-1)),2)&amp;RIGHT("00"&amp;VALUE(MID(Sync!$U1680,FIND(":",Sync!$U1680)+1,2)),2),"0000"))))</f>
        <v/>
      </c>
    </row>
    <row r="1685">
      <c r="A1685">
        <f>IF(Sync!$T1681="","",Sync!$T1681)</f>
        <v/>
      </c>
      <c r="B1685">
        <f>IF($A1685="","",IF(ISNUMBER($A1685),IF(AND($A1685&gt;=10000101,$A1685&lt;=99991231),INT($A1685/10000),""),IFERROR(VALUE(TRIM(LEFT($A1685,FIND("/",$A1685)-1))),"")))</f>
        <v/>
      </c>
      <c r="C1685">
        <f>IF(OR($A1685="",$B1685=""),"",IF(ISNUMBER($A1685),INT(MOD($A1685,10000)/100),IFERROR(VALUE(TRIM(LEFT(MID($A1685,FIND("/",$A1685)+1,20),FIND("/",MID($A1685,FIND("/",$A1685)+1,20))-1))),"")))</f>
        <v/>
      </c>
      <c r="D1685">
        <f>IF(OR($A1685="",$B1685=""),"",IF(ISNUMBER($A1685),MOD($A1685,100),IFERROR(VALUE(TRIM(MID(MID($A1685,FIND("/",$A1685)+1,20),FIND("/",MID($A1685,FIND("/",$A1685)+1,20))+1,20))),"")))</f>
        <v/>
      </c>
      <c r="E1685">
        <f>IF($A1685="","",IF(OR($B1685="",$C1685="",$D1685="",$B1685&lt;1300,$B1685&gt;1500,$C1685&lt;1,$C1685&gt;12,$D1685&lt;1,$D1685&gt;31),"نامعتبر",RIGHT("0000"&amp;$B1685,4)&amp;"/"&amp;RIGHT("00"&amp;$C1685,2)&amp;"/"&amp;RIGHT("00"&amp;$D1685,2)))</f>
        <v/>
      </c>
      <c r="F1685">
        <f>IF(OR($E1685="",$E1685="نامعتبر"),"",LEFT($E1685,4)&amp;"/"&amp;MID($E1685,6,2))</f>
        <v/>
      </c>
      <c r="G1685">
        <f>IF(OR($E1685="",$E1685="نامعتبر",Sync!$X1681=""),"",IF(AND(LEFT(UPPER(TRIM(Sync!$X1681)),2)="SL",IFERROR(VLOOKUP(Sync!$W1681,OpTbl,3,0),"")="فروش"),UPPER(TRIM(Sync!$X1681)),""))</f>
        <v/>
      </c>
      <c r="H1685">
        <f>IF($G1685="","",IF(Sync!$W1681="","",Sync!$W1681))</f>
        <v/>
      </c>
      <c r="I1685">
        <f>IF(OR($G1685="",Sync!$Y1681=""),"",Sync!$Y1681)</f>
        <v/>
      </c>
      <c r="J1685">
        <f>IF(OR($G1685="",Sync!$Z1681=""),"",Sync!$Z1681)</f>
        <v/>
      </c>
      <c r="K1685">
        <f>IF($G1685="",0,IF(Sync!$AA1681="",0,Sync!$AA1681))</f>
        <v/>
      </c>
      <c r="L1685">
        <f>IF($G1685="",0,IF(Sync!$AB1681="",0,Sync!$AB1681))</f>
        <v/>
      </c>
      <c r="M1685">
        <f>IF($G1685="","",IF($H1685="مرجوعی فروش",-1,1)*($K1685-$L1685*IFERROR(VLOOKUP("P01",ParamTbl,3,0),1.5)))</f>
        <v/>
      </c>
      <c r="N1685">
        <f>IF($G1685="",0,IF($H1685="مرجوعی فروش",-1,1)*IF(Sync!$AC1681="",0,Sync!$AC1681))</f>
        <v/>
      </c>
      <c r="O1685">
        <f>IF(OR($G1685="",Sync!$V1681=""),"",Sync!$V1681)</f>
        <v/>
      </c>
      <c r="P1685">
        <f>IF(OR($G1685="",Sync!$AD1681=""),"",Sync!$AD1681)</f>
        <v/>
      </c>
      <c r="Q1685">
        <f>IF($G1685="","",IF(Sync!$U1681="","0000",IF(AND(ISNUMBER(Sync!$U1681),Sync!$U1681&gt;=0,Sync!$U1681&lt;1),RIGHT("00"&amp;HOUR(Sync!$U1681),2)&amp;RIGHT("00"&amp;MINUTE(Sync!$U1681),2),IFERROR(RIGHT("00"&amp;VALUE(LEFT(Sync!$U1681,FIND(":",Sync!$U1681)-1)),2)&amp;RIGHT("00"&amp;VALUE(MID(Sync!$U1681,FIND(":",Sync!$U1681)+1,2)),2),"0000"))))</f>
        <v/>
      </c>
    </row>
    <row r="1686">
      <c r="A1686">
        <f>IF(Sync!$T1682="","",Sync!$T1682)</f>
        <v/>
      </c>
      <c r="B1686">
        <f>IF($A1686="","",IF(ISNUMBER($A1686),IF(AND($A1686&gt;=10000101,$A1686&lt;=99991231),INT($A1686/10000),""),IFERROR(VALUE(TRIM(LEFT($A1686,FIND("/",$A1686)-1))),"")))</f>
        <v/>
      </c>
      <c r="C1686">
        <f>IF(OR($A1686="",$B1686=""),"",IF(ISNUMBER($A1686),INT(MOD($A1686,10000)/100),IFERROR(VALUE(TRIM(LEFT(MID($A1686,FIND("/",$A1686)+1,20),FIND("/",MID($A1686,FIND("/",$A1686)+1,20))-1))),"")))</f>
        <v/>
      </c>
      <c r="D1686">
        <f>IF(OR($A1686="",$B1686=""),"",IF(ISNUMBER($A1686),MOD($A1686,100),IFERROR(VALUE(TRIM(MID(MID($A1686,FIND("/",$A1686)+1,20),FIND("/",MID($A1686,FIND("/",$A1686)+1,20))+1,20))),"")))</f>
        <v/>
      </c>
      <c r="E1686">
        <f>IF($A1686="","",IF(OR($B1686="",$C1686="",$D1686="",$B1686&lt;1300,$B1686&gt;1500,$C1686&lt;1,$C1686&gt;12,$D1686&lt;1,$D1686&gt;31),"نامعتبر",RIGHT("0000"&amp;$B1686,4)&amp;"/"&amp;RIGHT("00"&amp;$C1686,2)&amp;"/"&amp;RIGHT("00"&amp;$D1686,2)))</f>
        <v/>
      </c>
      <c r="F1686">
        <f>IF(OR($E1686="",$E1686="نامعتبر"),"",LEFT($E1686,4)&amp;"/"&amp;MID($E1686,6,2))</f>
        <v/>
      </c>
      <c r="G1686">
        <f>IF(OR($E1686="",$E1686="نامعتبر",Sync!$X1682=""),"",IF(AND(LEFT(UPPER(TRIM(Sync!$X1682)),2)="SL",IFERROR(VLOOKUP(Sync!$W1682,OpTbl,3,0),"")="فروش"),UPPER(TRIM(Sync!$X1682)),""))</f>
        <v/>
      </c>
      <c r="H1686">
        <f>IF($G1686="","",IF(Sync!$W1682="","",Sync!$W1682))</f>
        <v/>
      </c>
      <c r="I1686">
        <f>IF(OR($G1686="",Sync!$Y1682=""),"",Sync!$Y1682)</f>
        <v/>
      </c>
      <c r="J1686">
        <f>IF(OR($G1686="",Sync!$Z1682=""),"",Sync!$Z1682)</f>
        <v/>
      </c>
      <c r="K1686">
        <f>IF($G1686="",0,IF(Sync!$AA1682="",0,Sync!$AA1682))</f>
        <v/>
      </c>
      <c r="L1686">
        <f>IF($G1686="",0,IF(Sync!$AB1682="",0,Sync!$AB1682))</f>
        <v/>
      </c>
      <c r="M1686">
        <f>IF($G1686="","",IF($H1686="مرجوعی فروش",-1,1)*($K1686-$L1686*IFERROR(VLOOKUP("P01",ParamTbl,3,0),1.5)))</f>
        <v/>
      </c>
      <c r="N1686">
        <f>IF($G1686="",0,IF($H1686="مرجوعی فروش",-1,1)*IF(Sync!$AC1682="",0,Sync!$AC1682))</f>
        <v/>
      </c>
      <c r="O1686">
        <f>IF(OR($G1686="",Sync!$V1682=""),"",Sync!$V1682)</f>
        <v/>
      </c>
      <c r="P1686">
        <f>IF(OR($G1686="",Sync!$AD1682=""),"",Sync!$AD1682)</f>
        <v/>
      </c>
      <c r="Q1686">
        <f>IF($G1686="","",IF(Sync!$U1682="","0000",IF(AND(ISNUMBER(Sync!$U1682),Sync!$U1682&gt;=0,Sync!$U1682&lt;1),RIGHT("00"&amp;HOUR(Sync!$U1682),2)&amp;RIGHT("00"&amp;MINUTE(Sync!$U1682),2),IFERROR(RIGHT("00"&amp;VALUE(LEFT(Sync!$U1682,FIND(":",Sync!$U1682)-1)),2)&amp;RIGHT("00"&amp;VALUE(MID(Sync!$U1682,FIND(":",Sync!$U1682)+1,2)),2),"0000"))))</f>
        <v/>
      </c>
    </row>
    <row r="1687">
      <c r="A1687">
        <f>IF(Sync!$T1683="","",Sync!$T1683)</f>
        <v/>
      </c>
      <c r="B1687">
        <f>IF($A1687="","",IF(ISNUMBER($A1687),IF(AND($A1687&gt;=10000101,$A1687&lt;=99991231),INT($A1687/10000),""),IFERROR(VALUE(TRIM(LEFT($A1687,FIND("/",$A1687)-1))),"")))</f>
        <v/>
      </c>
      <c r="C1687">
        <f>IF(OR($A1687="",$B1687=""),"",IF(ISNUMBER($A1687),INT(MOD($A1687,10000)/100),IFERROR(VALUE(TRIM(LEFT(MID($A1687,FIND("/",$A1687)+1,20),FIND("/",MID($A1687,FIND("/",$A1687)+1,20))-1))),"")))</f>
        <v/>
      </c>
      <c r="D1687">
        <f>IF(OR($A1687="",$B1687=""),"",IF(ISNUMBER($A1687),MOD($A1687,100),IFERROR(VALUE(TRIM(MID(MID($A1687,FIND("/",$A1687)+1,20),FIND("/",MID($A1687,FIND("/",$A1687)+1,20))+1,20))),"")))</f>
        <v/>
      </c>
      <c r="E1687">
        <f>IF($A1687="","",IF(OR($B1687="",$C1687="",$D1687="",$B1687&lt;1300,$B1687&gt;1500,$C1687&lt;1,$C1687&gt;12,$D1687&lt;1,$D1687&gt;31),"نامعتبر",RIGHT("0000"&amp;$B1687,4)&amp;"/"&amp;RIGHT("00"&amp;$C1687,2)&amp;"/"&amp;RIGHT("00"&amp;$D1687,2)))</f>
        <v/>
      </c>
      <c r="F1687">
        <f>IF(OR($E1687="",$E1687="نامعتبر"),"",LEFT($E1687,4)&amp;"/"&amp;MID($E1687,6,2))</f>
        <v/>
      </c>
      <c r="G1687">
        <f>IF(OR($E1687="",$E1687="نامعتبر",Sync!$X1683=""),"",IF(AND(LEFT(UPPER(TRIM(Sync!$X1683)),2)="SL",IFERROR(VLOOKUP(Sync!$W1683,OpTbl,3,0),"")="فروش"),UPPER(TRIM(Sync!$X1683)),""))</f>
        <v/>
      </c>
      <c r="H1687">
        <f>IF($G1687="","",IF(Sync!$W1683="","",Sync!$W1683))</f>
        <v/>
      </c>
      <c r="I1687">
        <f>IF(OR($G1687="",Sync!$Y1683=""),"",Sync!$Y1683)</f>
        <v/>
      </c>
      <c r="J1687">
        <f>IF(OR($G1687="",Sync!$Z1683=""),"",Sync!$Z1683)</f>
        <v/>
      </c>
      <c r="K1687">
        <f>IF($G1687="",0,IF(Sync!$AA1683="",0,Sync!$AA1683))</f>
        <v/>
      </c>
      <c r="L1687">
        <f>IF($G1687="",0,IF(Sync!$AB1683="",0,Sync!$AB1683))</f>
        <v/>
      </c>
      <c r="M1687">
        <f>IF($G1687="","",IF($H1687="مرجوعی فروش",-1,1)*($K1687-$L1687*IFERROR(VLOOKUP("P01",ParamTbl,3,0),1.5)))</f>
        <v/>
      </c>
      <c r="N1687">
        <f>IF($G1687="",0,IF($H1687="مرجوعی فروش",-1,1)*IF(Sync!$AC1683="",0,Sync!$AC1683))</f>
        <v/>
      </c>
      <c r="O1687">
        <f>IF(OR($G1687="",Sync!$V1683=""),"",Sync!$V1683)</f>
        <v/>
      </c>
      <c r="P1687">
        <f>IF(OR($G1687="",Sync!$AD1683=""),"",Sync!$AD1683)</f>
        <v/>
      </c>
      <c r="Q1687">
        <f>IF($G1687="","",IF(Sync!$U1683="","0000",IF(AND(ISNUMBER(Sync!$U1683),Sync!$U1683&gt;=0,Sync!$U1683&lt;1),RIGHT("00"&amp;HOUR(Sync!$U1683),2)&amp;RIGHT("00"&amp;MINUTE(Sync!$U1683),2),IFERROR(RIGHT("00"&amp;VALUE(LEFT(Sync!$U1683,FIND(":",Sync!$U1683)-1)),2)&amp;RIGHT("00"&amp;VALUE(MID(Sync!$U1683,FIND(":",Sync!$U1683)+1,2)),2),"0000"))))</f>
        <v/>
      </c>
    </row>
    <row r="1688">
      <c r="A1688">
        <f>IF(Sync!$T1684="","",Sync!$T1684)</f>
        <v/>
      </c>
      <c r="B1688">
        <f>IF($A1688="","",IF(ISNUMBER($A1688),IF(AND($A1688&gt;=10000101,$A1688&lt;=99991231),INT($A1688/10000),""),IFERROR(VALUE(TRIM(LEFT($A1688,FIND("/",$A1688)-1))),"")))</f>
        <v/>
      </c>
      <c r="C1688">
        <f>IF(OR($A1688="",$B1688=""),"",IF(ISNUMBER($A1688),INT(MOD($A1688,10000)/100),IFERROR(VALUE(TRIM(LEFT(MID($A1688,FIND("/",$A1688)+1,20),FIND("/",MID($A1688,FIND("/",$A1688)+1,20))-1))),"")))</f>
        <v/>
      </c>
      <c r="D1688">
        <f>IF(OR($A1688="",$B1688=""),"",IF(ISNUMBER($A1688),MOD($A1688,100),IFERROR(VALUE(TRIM(MID(MID($A1688,FIND("/",$A1688)+1,20),FIND("/",MID($A1688,FIND("/",$A1688)+1,20))+1,20))),"")))</f>
        <v/>
      </c>
      <c r="E1688">
        <f>IF($A1688="","",IF(OR($B1688="",$C1688="",$D1688="",$B1688&lt;1300,$B1688&gt;1500,$C1688&lt;1,$C1688&gt;12,$D1688&lt;1,$D1688&gt;31),"نامعتبر",RIGHT("0000"&amp;$B1688,4)&amp;"/"&amp;RIGHT("00"&amp;$C1688,2)&amp;"/"&amp;RIGHT("00"&amp;$D1688,2)))</f>
        <v/>
      </c>
      <c r="F1688">
        <f>IF(OR($E1688="",$E1688="نامعتبر"),"",LEFT($E1688,4)&amp;"/"&amp;MID($E1688,6,2))</f>
        <v/>
      </c>
      <c r="G1688">
        <f>IF(OR($E1688="",$E1688="نامعتبر",Sync!$X1684=""),"",IF(AND(LEFT(UPPER(TRIM(Sync!$X1684)),2)="SL",IFERROR(VLOOKUP(Sync!$W1684,OpTbl,3,0),"")="فروش"),UPPER(TRIM(Sync!$X1684)),""))</f>
        <v/>
      </c>
      <c r="H1688">
        <f>IF($G1688="","",IF(Sync!$W1684="","",Sync!$W1684))</f>
        <v/>
      </c>
      <c r="I1688">
        <f>IF(OR($G1688="",Sync!$Y1684=""),"",Sync!$Y1684)</f>
        <v/>
      </c>
      <c r="J1688">
        <f>IF(OR($G1688="",Sync!$Z1684=""),"",Sync!$Z1684)</f>
        <v/>
      </c>
      <c r="K1688">
        <f>IF($G1688="",0,IF(Sync!$AA1684="",0,Sync!$AA1684))</f>
        <v/>
      </c>
      <c r="L1688">
        <f>IF($G1688="",0,IF(Sync!$AB1684="",0,Sync!$AB1684))</f>
        <v/>
      </c>
      <c r="M1688">
        <f>IF($G1688="","",IF($H1688="مرجوعی فروش",-1,1)*($K1688-$L1688*IFERROR(VLOOKUP("P01",ParamTbl,3,0),1.5)))</f>
        <v/>
      </c>
      <c r="N1688">
        <f>IF($G1688="",0,IF($H1688="مرجوعی فروش",-1,1)*IF(Sync!$AC1684="",0,Sync!$AC1684))</f>
        <v/>
      </c>
      <c r="O1688">
        <f>IF(OR($G1688="",Sync!$V1684=""),"",Sync!$V1684)</f>
        <v/>
      </c>
      <c r="P1688">
        <f>IF(OR($G1688="",Sync!$AD1684=""),"",Sync!$AD1684)</f>
        <v/>
      </c>
      <c r="Q1688">
        <f>IF($G1688="","",IF(Sync!$U1684="","0000",IF(AND(ISNUMBER(Sync!$U1684),Sync!$U1684&gt;=0,Sync!$U1684&lt;1),RIGHT("00"&amp;HOUR(Sync!$U1684),2)&amp;RIGHT("00"&amp;MINUTE(Sync!$U1684),2),IFERROR(RIGHT("00"&amp;VALUE(LEFT(Sync!$U1684,FIND(":",Sync!$U1684)-1)),2)&amp;RIGHT("00"&amp;VALUE(MID(Sync!$U1684,FIND(":",Sync!$U1684)+1,2)),2),"0000"))))</f>
        <v/>
      </c>
    </row>
    <row r="1689">
      <c r="A1689">
        <f>IF(Sync!$T1685="","",Sync!$T1685)</f>
        <v/>
      </c>
      <c r="B1689">
        <f>IF($A1689="","",IF(ISNUMBER($A1689),IF(AND($A1689&gt;=10000101,$A1689&lt;=99991231),INT($A1689/10000),""),IFERROR(VALUE(TRIM(LEFT($A1689,FIND("/",$A1689)-1))),"")))</f>
        <v/>
      </c>
      <c r="C1689">
        <f>IF(OR($A1689="",$B1689=""),"",IF(ISNUMBER($A1689),INT(MOD($A1689,10000)/100),IFERROR(VALUE(TRIM(LEFT(MID($A1689,FIND("/",$A1689)+1,20),FIND("/",MID($A1689,FIND("/",$A1689)+1,20))-1))),"")))</f>
        <v/>
      </c>
      <c r="D1689">
        <f>IF(OR($A1689="",$B1689=""),"",IF(ISNUMBER($A1689),MOD($A1689,100),IFERROR(VALUE(TRIM(MID(MID($A1689,FIND("/",$A1689)+1,20),FIND("/",MID($A1689,FIND("/",$A1689)+1,20))+1,20))),"")))</f>
        <v/>
      </c>
      <c r="E1689">
        <f>IF($A1689="","",IF(OR($B1689="",$C1689="",$D1689="",$B1689&lt;1300,$B1689&gt;1500,$C1689&lt;1,$C1689&gt;12,$D1689&lt;1,$D1689&gt;31),"نامعتبر",RIGHT("0000"&amp;$B1689,4)&amp;"/"&amp;RIGHT("00"&amp;$C1689,2)&amp;"/"&amp;RIGHT("00"&amp;$D1689,2)))</f>
        <v/>
      </c>
      <c r="F1689">
        <f>IF(OR($E1689="",$E1689="نامعتبر"),"",LEFT($E1689,4)&amp;"/"&amp;MID($E1689,6,2))</f>
        <v/>
      </c>
      <c r="G1689">
        <f>IF(OR($E1689="",$E1689="نامعتبر",Sync!$X1685=""),"",IF(AND(LEFT(UPPER(TRIM(Sync!$X1685)),2)="SL",IFERROR(VLOOKUP(Sync!$W1685,OpTbl,3,0),"")="فروش"),UPPER(TRIM(Sync!$X1685)),""))</f>
        <v/>
      </c>
      <c r="H1689">
        <f>IF($G1689="","",IF(Sync!$W1685="","",Sync!$W1685))</f>
        <v/>
      </c>
      <c r="I1689">
        <f>IF(OR($G1689="",Sync!$Y1685=""),"",Sync!$Y1685)</f>
        <v/>
      </c>
      <c r="J1689">
        <f>IF(OR($G1689="",Sync!$Z1685=""),"",Sync!$Z1685)</f>
        <v/>
      </c>
      <c r="K1689">
        <f>IF($G1689="",0,IF(Sync!$AA1685="",0,Sync!$AA1685))</f>
        <v/>
      </c>
      <c r="L1689">
        <f>IF($G1689="",0,IF(Sync!$AB1685="",0,Sync!$AB1685))</f>
        <v/>
      </c>
      <c r="M1689">
        <f>IF($G1689="","",IF($H1689="مرجوعی فروش",-1,1)*($K1689-$L1689*IFERROR(VLOOKUP("P01",ParamTbl,3,0),1.5)))</f>
        <v/>
      </c>
      <c r="N1689">
        <f>IF($G1689="",0,IF($H1689="مرجوعی فروش",-1,1)*IF(Sync!$AC1685="",0,Sync!$AC1685))</f>
        <v/>
      </c>
      <c r="O1689">
        <f>IF(OR($G1689="",Sync!$V1685=""),"",Sync!$V1685)</f>
        <v/>
      </c>
      <c r="P1689">
        <f>IF(OR($G1689="",Sync!$AD1685=""),"",Sync!$AD1685)</f>
        <v/>
      </c>
      <c r="Q1689">
        <f>IF($G1689="","",IF(Sync!$U1685="","0000",IF(AND(ISNUMBER(Sync!$U1685),Sync!$U1685&gt;=0,Sync!$U1685&lt;1),RIGHT("00"&amp;HOUR(Sync!$U1685),2)&amp;RIGHT("00"&amp;MINUTE(Sync!$U1685),2),IFERROR(RIGHT("00"&amp;VALUE(LEFT(Sync!$U1685,FIND(":",Sync!$U1685)-1)),2)&amp;RIGHT("00"&amp;VALUE(MID(Sync!$U1685,FIND(":",Sync!$U1685)+1,2)),2),"0000"))))</f>
        <v/>
      </c>
    </row>
    <row r="1690">
      <c r="A1690">
        <f>IF(Sync!$T1686="","",Sync!$T1686)</f>
        <v/>
      </c>
      <c r="B1690">
        <f>IF($A1690="","",IF(ISNUMBER($A1690),IF(AND($A1690&gt;=10000101,$A1690&lt;=99991231),INT($A1690/10000),""),IFERROR(VALUE(TRIM(LEFT($A1690,FIND("/",$A1690)-1))),"")))</f>
        <v/>
      </c>
      <c r="C1690">
        <f>IF(OR($A1690="",$B1690=""),"",IF(ISNUMBER($A1690),INT(MOD($A1690,10000)/100),IFERROR(VALUE(TRIM(LEFT(MID($A1690,FIND("/",$A1690)+1,20),FIND("/",MID($A1690,FIND("/",$A1690)+1,20))-1))),"")))</f>
        <v/>
      </c>
      <c r="D1690">
        <f>IF(OR($A1690="",$B1690=""),"",IF(ISNUMBER($A1690),MOD($A1690,100),IFERROR(VALUE(TRIM(MID(MID($A1690,FIND("/",$A1690)+1,20),FIND("/",MID($A1690,FIND("/",$A1690)+1,20))+1,20))),"")))</f>
        <v/>
      </c>
      <c r="E1690">
        <f>IF($A1690="","",IF(OR($B1690="",$C1690="",$D1690="",$B1690&lt;1300,$B1690&gt;1500,$C1690&lt;1,$C1690&gt;12,$D1690&lt;1,$D1690&gt;31),"نامعتبر",RIGHT("0000"&amp;$B1690,4)&amp;"/"&amp;RIGHT("00"&amp;$C1690,2)&amp;"/"&amp;RIGHT("00"&amp;$D1690,2)))</f>
        <v/>
      </c>
      <c r="F1690">
        <f>IF(OR($E1690="",$E1690="نامعتبر"),"",LEFT($E1690,4)&amp;"/"&amp;MID($E1690,6,2))</f>
        <v/>
      </c>
      <c r="G1690">
        <f>IF(OR($E1690="",$E1690="نامعتبر",Sync!$X1686=""),"",IF(AND(LEFT(UPPER(TRIM(Sync!$X1686)),2)="SL",IFERROR(VLOOKUP(Sync!$W1686,OpTbl,3,0),"")="فروش"),UPPER(TRIM(Sync!$X1686)),""))</f>
        <v/>
      </c>
      <c r="H1690">
        <f>IF($G1690="","",IF(Sync!$W1686="","",Sync!$W1686))</f>
        <v/>
      </c>
      <c r="I1690">
        <f>IF(OR($G1690="",Sync!$Y1686=""),"",Sync!$Y1686)</f>
        <v/>
      </c>
      <c r="J1690">
        <f>IF(OR($G1690="",Sync!$Z1686=""),"",Sync!$Z1686)</f>
        <v/>
      </c>
      <c r="K1690">
        <f>IF($G1690="",0,IF(Sync!$AA1686="",0,Sync!$AA1686))</f>
        <v/>
      </c>
      <c r="L1690">
        <f>IF($G1690="",0,IF(Sync!$AB1686="",0,Sync!$AB1686))</f>
        <v/>
      </c>
      <c r="M1690">
        <f>IF($G1690="","",IF($H1690="مرجوعی فروش",-1,1)*($K1690-$L1690*IFERROR(VLOOKUP("P01",ParamTbl,3,0),1.5)))</f>
        <v/>
      </c>
      <c r="N1690">
        <f>IF($G1690="",0,IF($H1690="مرجوعی فروش",-1,1)*IF(Sync!$AC1686="",0,Sync!$AC1686))</f>
        <v/>
      </c>
      <c r="O1690">
        <f>IF(OR($G1690="",Sync!$V1686=""),"",Sync!$V1686)</f>
        <v/>
      </c>
      <c r="P1690">
        <f>IF(OR($G1690="",Sync!$AD1686=""),"",Sync!$AD1686)</f>
        <v/>
      </c>
      <c r="Q1690">
        <f>IF($G1690="","",IF(Sync!$U1686="","0000",IF(AND(ISNUMBER(Sync!$U1686),Sync!$U1686&gt;=0,Sync!$U1686&lt;1),RIGHT("00"&amp;HOUR(Sync!$U1686),2)&amp;RIGHT("00"&amp;MINUTE(Sync!$U1686),2),IFERROR(RIGHT("00"&amp;VALUE(LEFT(Sync!$U1686,FIND(":",Sync!$U1686)-1)),2)&amp;RIGHT("00"&amp;VALUE(MID(Sync!$U1686,FIND(":",Sync!$U1686)+1,2)),2),"0000"))))</f>
        <v/>
      </c>
    </row>
    <row r="1691">
      <c r="A1691">
        <f>IF(Sync!$T1687="","",Sync!$T1687)</f>
        <v/>
      </c>
      <c r="B1691">
        <f>IF($A1691="","",IF(ISNUMBER($A1691),IF(AND($A1691&gt;=10000101,$A1691&lt;=99991231),INT($A1691/10000),""),IFERROR(VALUE(TRIM(LEFT($A1691,FIND("/",$A1691)-1))),"")))</f>
        <v/>
      </c>
      <c r="C1691">
        <f>IF(OR($A1691="",$B1691=""),"",IF(ISNUMBER($A1691),INT(MOD($A1691,10000)/100),IFERROR(VALUE(TRIM(LEFT(MID($A1691,FIND("/",$A1691)+1,20),FIND("/",MID($A1691,FIND("/",$A1691)+1,20))-1))),"")))</f>
        <v/>
      </c>
      <c r="D1691">
        <f>IF(OR($A1691="",$B1691=""),"",IF(ISNUMBER($A1691),MOD($A1691,100),IFERROR(VALUE(TRIM(MID(MID($A1691,FIND("/",$A1691)+1,20),FIND("/",MID($A1691,FIND("/",$A1691)+1,20))+1,20))),"")))</f>
        <v/>
      </c>
      <c r="E1691">
        <f>IF($A1691="","",IF(OR($B1691="",$C1691="",$D1691="",$B1691&lt;1300,$B1691&gt;1500,$C1691&lt;1,$C1691&gt;12,$D1691&lt;1,$D1691&gt;31),"نامعتبر",RIGHT("0000"&amp;$B1691,4)&amp;"/"&amp;RIGHT("00"&amp;$C1691,2)&amp;"/"&amp;RIGHT("00"&amp;$D1691,2)))</f>
        <v/>
      </c>
      <c r="F1691">
        <f>IF(OR($E1691="",$E1691="نامعتبر"),"",LEFT($E1691,4)&amp;"/"&amp;MID($E1691,6,2))</f>
        <v/>
      </c>
      <c r="G1691">
        <f>IF(OR($E1691="",$E1691="نامعتبر",Sync!$X1687=""),"",IF(AND(LEFT(UPPER(TRIM(Sync!$X1687)),2)="SL",IFERROR(VLOOKUP(Sync!$W1687,OpTbl,3,0),"")="فروش"),UPPER(TRIM(Sync!$X1687)),""))</f>
        <v/>
      </c>
      <c r="H1691">
        <f>IF($G1691="","",IF(Sync!$W1687="","",Sync!$W1687))</f>
        <v/>
      </c>
      <c r="I1691">
        <f>IF(OR($G1691="",Sync!$Y1687=""),"",Sync!$Y1687)</f>
        <v/>
      </c>
      <c r="J1691">
        <f>IF(OR($G1691="",Sync!$Z1687=""),"",Sync!$Z1687)</f>
        <v/>
      </c>
      <c r="K1691">
        <f>IF($G1691="",0,IF(Sync!$AA1687="",0,Sync!$AA1687))</f>
        <v/>
      </c>
      <c r="L1691">
        <f>IF($G1691="",0,IF(Sync!$AB1687="",0,Sync!$AB1687))</f>
        <v/>
      </c>
      <c r="M1691">
        <f>IF($G1691="","",IF($H1691="مرجوعی فروش",-1,1)*($K1691-$L1691*IFERROR(VLOOKUP("P01",ParamTbl,3,0),1.5)))</f>
        <v/>
      </c>
      <c r="N1691">
        <f>IF($G1691="",0,IF($H1691="مرجوعی فروش",-1,1)*IF(Sync!$AC1687="",0,Sync!$AC1687))</f>
        <v/>
      </c>
      <c r="O1691">
        <f>IF(OR($G1691="",Sync!$V1687=""),"",Sync!$V1687)</f>
        <v/>
      </c>
      <c r="P1691">
        <f>IF(OR($G1691="",Sync!$AD1687=""),"",Sync!$AD1687)</f>
        <v/>
      </c>
      <c r="Q1691">
        <f>IF($G1691="","",IF(Sync!$U1687="","0000",IF(AND(ISNUMBER(Sync!$U1687),Sync!$U1687&gt;=0,Sync!$U1687&lt;1),RIGHT("00"&amp;HOUR(Sync!$U1687),2)&amp;RIGHT("00"&amp;MINUTE(Sync!$U1687),2),IFERROR(RIGHT("00"&amp;VALUE(LEFT(Sync!$U1687,FIND(":",Sync!$U1687)-1)),2)&amp;RIGHT("00"&amp;VALUE(MID(Sync!$U1687,FIND(":",Sync!$U1687)+1,2)),2),"0000"))))</f>
        <v/>
      </c>
    </row>
    <row r="1692">
      <c r="A1692">
        <f>IF(Sync!$T1688="","",Sync!$T1688)</f>
        <v/>
      </c>
      <c r="B1692">
        <f>IF($A1692="","",IF(ISNUMBER($A1692),IF(AND($A1692&gt;=10000101,$A1692&lt;=99991231),INT($A1692/10000),""),IFERROR(VALUE(TRIM(LEFT($A1692,FIND("/",$A1692)-1))),"")))</f>
        <v/>
      </c>
      <c r="C1692">
        <f>IF(OR($A1692="",$B1692=""),"",IF(ISNUMBER($A1692),INT(MOD($A1692,10000)/100),IFERROR(VALUE(TRIM(LEFT(MID($A1692,FIND("/",$A1692)+1,20),FIND("/",MID($A1692,FIND("/",$A1692)+1,20))-1))),"")))</f>
        <v/>
      </c>
      <c r="D1692">
        <f>IF(OR($A1692="",$B1692=""),"",IF(ISNUMBER($A1692),MOD($A1692,100),IFERROR(VALUE(TRIM(MID(MID($A1692,FIND("/",$A1692)+1,20),FIND("/",MID($A1692,FIND("/",$A1692)+1,20))+1,20))),"")))</f>
        <v/>
      </c>
      <c r="E1692">
        <f>IF($A1692="","",IF(OR($B1692="",$C1692="",$D1692="",$B1692&lt;1300,$B1692&gt;1500,$C1692&lt;1,$C1692&gt;12,$D1692&lt;1,$D1692&gt;31),"نامعتبر",RIGHT("0000"&amp;$B1692,4)&amp;"/"&amp;RIGHT("00"&amp;$C1692,2)&amp;"/"&amp;RIGHT("00"&amp;$D1692,2)))</f>
        <v/>
      </c>
      <c r="F1692">
        <f>IF(OR($E1692="",$E1692="نامعتبر"),"",LEFT($E1692,4)&amp;"/"&amp;MID($E1692,6,2))</f>
        <v/>
      </c>
      <c r="G1692">
        <f>IF(OR($E1692="",$E1692="نامعتبر",Sync!$X1688=""),"",IF(AND(LEFT(UPPER(TRIM(Sync!$X1688)),2)="SL",IFERROR(VLOOKUP(Sync!$W1688,OpTbl,3,0),"")="فروش"),UPPER(TRIM(Sync!$X1688)),""))</f>
        <v/>
      </c>
      <c r="H1692">
        <f>IF($G1692="","",IF(Sync!$W1688="","",Sync!$W1688))</f>
        <v/>
      </c>
      <c r="I1692">
        <f>IF(OR($G1692="",Sync!$Y1688=""),"",Sync!$Y1688)</f>
        <v/>
      </c>
      <c r="J1692">
        <f>IF(OR($G1692="",Sync!$Z1688=""),"",Sync!$Z1688)</f>
        <v/>
      </c>
      <c r="K1692">
        <f>IF($G1692="",0,IF(Sync!$AA1688="",0,Sync!$AA1688))</f>
        <v/>
      </c>
      <c r="L1692">
        <f>IF($G1692="",0,IF(Sync!$AB1688="",0,Sync!$AB1688))</f>
        <v/>
      </c>
      <c r="M1692">
        <f>IF($G1692="","",IF($H1692="مرجوعی فروش",-1,1)*($K1692-$L1692*IFERROR(VLOOKUP("P01",ParamTbl,3,0),1.5)))</f>
        <v/>
      </c>
      <c r="N1692">
        <f>IF($G1692="",0,IF($H1692="مرجوعی فروش",-1,1)*IF(Sync!$AC1688="",0,Sync!$AC1688))</f>
        <v/>
      </c>
      <c r="O1692">
        <f>IF(OR($G1692="",Sync!$V1688=""),"",Sync!$V1688)</f>
        <v/>
      </c>
      <c r="P1692">
        <f>IF(OR($G1692="",Sync!$AD1688=""),"",Sync!$AD1688)</f>
        <v/>
      </c>
      <c r="Q1692">
        <f>IF($G1692="","",IF(Sync!$U1688="","0000",IF(AND(ISNUMBER(Sync!$U1688),Sync!$U1688&gt;=0,Sync!$U1688&lt;1),RIGHT("00"&amp;HOUR(Sync!$U1688),2)&amp;RIGHT("00"&amp;MINUTE(Sync!$U1688),2),IFERROR(RIGHT("00"&amp;VALUE(LEFT(Sync!$U1688,FIND(":",Sync!$U1688)-1)),2)&amp;RIGHT("00"&amp;VALUE(MID(Sync!$U1688,FIND(":",Sync!$U1688)+1,2)),2),"0000"))))</f>
        <v/>
      </c>
    </row>
    <row r="1693">
      <c r="A1693">
        <f>IF(Sync!$T1689="","",Sync!$T1689)</f>
        <v/>
      </c>
      <c r="B1693">
        <f>IF($A1693="","",IF(ISNUMBER($A1693),IF(AND($A1693&gt;=10000101,$A1693&lt;=99991231),INT($A1693/10000),""),IFERROR(VALUE(TRIM(LEFT($A1693,FIND("/",$A1693)-1))),"")))</f>
        <v/>
      </c>
      <c r="C1693">
        <f>IF(OR($A1693="",$B1693=""),"",IF(ISNUMBER($A1693),INT(MOD($A1693,10000)/100),IFERROR(VALUE(TRIM(LEFT(MID($A1693,FIND("/",$A1693)+1,20),FIND("/",MID($A1693,FIND("/",$A1693)+1,20))-1))),"")))</f>
        <v/>
      </c>
      <c r="D1693">
        <f>IF(OR($A1693="",$B1693=""),"",IF(ISNUMBER($A1693),MOD($A1693,100),IFERROR(VALUE(TRIM(MID(MID($A1693,FIND("/",$A1693)+1,20),FIND("/",MID($A1693,FIND("/",$A1693)+1,20))+1,20))),"")))</f>
        <v/>
      </c>
      <c r="E1693">
        <f>IF($A1693="","",IF(OR($B1693="",$C1693="",$D1693="",$B1693&lt;1300,$B1693&gt;1500,$C1693&lt;1,$C1693&gt;12,$D1693&lt;1,$D1693&gt;31),"نامعتبر",RIGHT("0000"&amp;$B1693,4)&amp;"/"&amp;RIGHT("00"&amp;$C1693,2)&amp;"/"&amp;RIGHT("00"&amp;$D1693,2)))</f>
        <v/>
      </c>
      <c r="F1693">
        <f>IF(OR($E1693="",$E1693="نامعتبر"),"",LEFT($E1693,4)&amp;"/"&amp;MID($E1693,6,2))</f>
        <v/>
      </c>
      <c r="G1693">
        <f>IF(OR($E1693="",$E1693="نامعتبر",Sync!$X1689=""),"",IF(AND(LEFT(UPPER(TRIM(Sync!$X1689)),2)="SL",IFERROR(VLOOKUP(Sync!$W1689,OpTbl,3,0),"")="فروش"),UPPER(TRIM(Sync!$X1689)),""))</f>
        <v/>
      </c>
      <c r="H1693">
        <f>IF($G1693="","",IF(Sync!$W1689="","",Sync!$W1689))</f>
        <v/>
      </c>
      <c r="I1693">
        <f>IF(OR($G1693="",Sync!$Y1689=""),"",Sync!$Y1689)</f>
        <v/>
      </c>
      <c r="J1693">
        <f>IF(OR($G1693="",Sync!$Z1689=""),"",Sync!$Z1689)</f>
        <v/>
      </c>
      <c r="K1693">
        <f>IF($G1693="",0,IF(Sync!$AA1689="",0,Sync!$AA1689))</f>
        <v/>
      </c>
      <c r="L1693">
        <f>IF($G1693="",0,IF(Sync!$AB1689="",0,Sync!$AB1689))</f>
        <v/>
      </c>
      <c r="M1693">
        <f>IF($G1693="","",IF($H1693="مرجوعی فروش",-1,1)*($K1693-$L1693*IFERROR(VLOOKUP("P01",ParamTbl,3,0),1.5)))</f>
        <v/>
      </c>
      <c r="N1693">
        <f>IF($G1693="",0,IF($H1693="مرجوعی فروش",-1,1)*IF(Sync!$AC1689="",0,Sync!$AC1689))</f>
        <v/>
      </c>
      <c r="O1693">
        <f>IF(OR($G1693="",Sync!$V1689=""),"",Sync!$V1689)</f>
        <v/>
      </c>
      <c r="P1693">
        <f>IF(OR($G1693="",Sync!$AD1689=""),"",Sync!$AD1689)</f>
        <v/>
      </c>
      <c r="Q1693">
        <f>IF($G1693="","",IF(Sync!$U1689="","0000",IF(AND(ISNUMBER(Sync!$U1689),Sync!$U1689&gt;=0,Sync!$U1689&lt;1),RIGHT("00"&amp;HOUR(Sync!$U1689),2)&amp;RIGHT("00"&amp;MINUTE(Sync!$U1689),2),IFERROR(RIGHT("00"&amp;VALUE(LEFT(Sync!$U1689,FIND(":",Sync!$U1689)-1)),2)&amp;RIGHT("00"&amp;VALUE(MID(Sync!$U1689,FIND(":",Sync!$U1689)+1,2)),2),"0000"))))</f>
        <v/>
      </c>
    </row>
    <row r="1694">
      <c r="A1694">
        <f>IF(Sync!$T1690="","",Sync!$T1690)</f>
        <v/>
      </c>
      <c r="B1694">
        <f>IF($A1694="","",IF(ISNUMBER($A1694),IF(AND($A1694&gt;=10000101,$A1694&lt;=99991231),INT($A1694/10000),""),IFERROR(VALUE(TRIM(LEFT($A1694,FIND("/",$A1694)-1))),"")))</f>
        <v/>
      </c>
      <c r="C1694">
        <f>IF(OR($A1694="",$B1694=""),"",IF(ISNUMBER($A1694),INT(MOD($A1694,10000)/100),IFERROR(VALUE(TRIM(LEFT(MID($A1694,FIND("/",$A1694)+1,20),FIND("/",MID($A1694,FIND("/",$A1694)+1,20))-1))),"")))</f>
        <v/>
      </c>
      <c r="D1694">
        <f>IF(OR($A1694="",$B1694=""),"",IF(ISNUMBER($A1694),MOD($A1694,100),IFERROR(VALUE(TRIM(MID(MID($A1694,FIND("/",$A1694)+1,20),FIND("/",MID($A1694,FIND("/",$A1694)+1,20))+1,20))),"")))</f>
        <v/>
      </c>
      <c r="E1694">
        <f>IF($A1694="","",IF(OR($B1694="",$C1694="",$D1694="",$B1694&lt;1300,$B1694&gt;1500,$C1694&lt;1,$C1694&gt;12,$D1694&lt;1,$D1694&gt;31),"نامعتبر",RIGHT("0000"&amp;$B1694,4)&amp;"/"&amp;RIGHT("00"&amp;$C1694,2)&amp;"/"&amp;RIGHT("00"&amp;$D1694,2)))</f>
        <v/>
      </c>
      <c r="F1694">
        <f>IF(OR($E1694="",$E1694="نامعتبر"),"",LEFT($E1694,4)&amp;"/"&amp;MID($E1694,6,2))</f>
        <v/>
      </c>
      <c r="G1694">
        <f>IF(OR($E1694="",$E1694="نامعتبر",Sync!$X1690=""),"",IF(AND(LEFT(UPPER(TRIM(Sync!$X1690)),2)="SL",IFERROR(VLOOKUP(Sync!$W1690,OpTbl,3,0),"")="فروش"),UPPER(TRIM(Sync!$X1690)),""))</f>
        <v/>
      </c>
      <c r="H1694">
        <f>IF($G1694="","",IF(Sync!$W1690="","",Sync!$W1690))</f>
        <v/>
      </c>
      <c r="I1694">
        <f>IF(OR($G1694="",Sync!$Y1690=""),"",Sync!$Y1690)</f>
        <v/>
      </c>
      <c r="J1694">
        <f>IF(OR($G1694="",Sync!$Z1690=""),"",Sync!$Z1690)</f>
        <v/>
      </c>
      <c r="K1694">
        <f>IF($G1694="",0,IF(Sync!$AA1690="",0,Sync!$AA1690))</f>
        <v/>
      </c>
      <c r="L1694">
        <f>IF($G1694="",0,IF(Sync!$AB1690="",0,Sync!$AB1690))</f>
        <v/>
      </c>
      <c r="M1694">
        <f>IF($G1694="","",IF($H1694="مرجوعی فروش",-1,1)*($K1694-$L1694*IFERROR(VLOOKUP("P01",ParamTbl,3,0),1.5)))</f>
        <v/>
      </c>
      <c r="N1694">
        <f>IF($G1694="",0,IF($H1694="مرجوعی فروش",-1,1)*IF(Sync!$AC1690="",0,Sync!$AC1690))</f>
        <v/>
      </c>
      <c r="O1694">
        <f>IF(OR($G1694="",Sync!$V1690=""),"",Sync!$V1690)</f>
        <v/>
      </c>
      <c r="P1694">
        <f>IF(OR($G1694="",Sync!$AD1690=""),"",Sync!$AD1690)</f>
        <v/>
      </c>
      <c r="Q1694">
        <f>IF($G1694="","",IF(Sync!$U1690="","0000",IF(AND(ISNUMBER(Sync!$U1690),Sync!$U1690&gt;=0,Sync!$U1690&lt;1),RIGHT("00"&amp;HOUR(Sync!$U1690),2)&amp;RIGHT("00"&amp;MINUTE(Sync!$U1690),2),IFERROR(RIGHT("00"&amp;VALUE(LEFT(Sync!$U1690,FIND(":",Sync!$U1690)-1)),2)&amp;RIGHT("00"&amp;VALUE(MID(Sync!$U1690,FIND(":",Sync!$U1690)+1,2)),2),"0000"))))</f>
        <v/>
      </c>
    </row>
    <row r="1695">
      <c r="A1695">
        <f>IF(Sync!$T1691="","",Sync!$T1691)</f>
        <v/>
      </c>
      <c r="B1695">
        <f>IF($A1695="","",IF(ISNUMBER($A1695),IF(AND($A1695&gt;=10000101,$A1695&lt;=99991231),INT($A1695/10000),""),IFERROR(VALUE(TRIM(LEFT($A1695,FIND("/",$A1695)-1))),"")))</f>
        <v/>
      </c>
      <c r="C1695">
        <f>IF(OR($A1695="",$B1695=""),"",IF(ISNUMBER($A1695),INT(MOD($A1695,10000)/100),IFERROR(VALUE(TRIM(LEFT(MID($A1695,FIND("/",$A1695)+1,20),FIND("/",MID($A1695,FIND("/",$A1695)+1,20))-1))),"")))</f>
        <v/>
      </c>
      <c r="D1695">
        <f>IF(OR($A1695="",$B1695=""),"",IF(ISNUMBER($A1695),MOD($A1695,100),IFERROR(VALUE(TRIM(MID(MID($A1695,FIND("/",$A1695)+1,20),FIND("/",MID($A1695,FIND("/",$A1695)+1,20))+1,20))),"")))</f>
        <v/>
      </c>
      <c r="E1695">
        <f>IF($A1695="","",IF(OR($B1695="",$C1695="",$D1695="",$B1695&lt;1300,$B1695&gt;1500,$C1695&lt;1,$C1695&gt;12,$D1695&lt;1,$D1695&gt;31),"نامعتبر",RIGHT("0000"&amp;$B1695,4)&amp;"/"&amp;RIGHT("00"&amp;$C1695,2)&amp;"/"&amp;RIGHT("00"&amp;$D1695,2)))</f>
        <v/>
      </c>
      <c r="F1695">
        <f>IF(OR($E1695="",$E1695="نامعتبر"),"",LEFT($E1695,4)&amp;"/"&amp;MID($E1695,6,2))</f>
        <v/>
      </c>
      <c r="G1695">
        <f>IF(OR($E1695="",$E1695="نامعتبر",Sync!$X1691=""),"",IF(AND(LEFT(UPPER(TRIM(Sync!$X1691)),2)="SL",IFERROR(VLOOKUP(Sync!$W1691,OpTbl,3,0),"")="فروش"),UPPER(TRIM(Sync!$X1691)),""))</f>
        <v/>
      </c>
      <c r="H1695">
        <f>IF($G1695="","",IF(Sync!$W1691="","",Sync!$W1691))</f>
        <v/>
      </c>
      <c r="I1695">
        <f>IF(OR($G1695="",Sync!$Y1691=""),"",Sync!$Y1691)</f>
        <v/>
      </c>
      <c r="J1695">
        <f>IF(OR($G1695="",Sync!$Z1691=""),"",Sync!$Z1691)</f>
        <v/>
      </c>
      <c r="K1695">
        <f>IF($G1695="",0,IF(Sync!$AA1691="",0,Sync!$AA1691))</f>
        <v/>
      </c>
      <c r="L1695">
        <f>IF($G1695="",0,IF(Sync!$AB1691="",0,Sync!$AB1691))</f>
        <v/>
      </c>
      <c r="M1695">
        <f>IF($G1695="","",IF($H1695="مرجوعی فروش",-1,1)*($K1695-$L1695*IFERROR(VLOOKUP("P01",ParamTbl,3,0),1.5)))</f>
        <v/>
      </c>
      <c r="N1695">
        <f>IF($G1695="",0,IF($H1695="مرجوعی فروش",-1,1)*IF(Sync!$AC1691="",0,Sync!$AC1691))</f>
        <v/>
      </c>
      <c r="O1695">
        <f>IF(OR($G1695="",Sync!$V1691=""),"",Sync!$V1691)</f>
        <v/>
      </c>
      <c r="P1695">
        <f>IF(OR($G1695="",Sync!$AD1691=""),"",Sync!$AD1691)</f>
        <v/>
      </c>
      <c r="Q1695">
        <f>IF($G1695="","",IF(Sync!$U1691="","0000",IF(AND(ISNUMBER(Sync!$U1691),Sync!$U1691&gt;=0,Sync!$U1691&lt;1),RIGHT("00"&amp;HOUR(Sync!$U1691),2)&amp;RIGHT("00"&amp;MINUTE(Sync!$U1691),2),IFERROR(RIGHT("00"&amp;VALUE(LEFT(Sync!$U1691,FIND(":",Sync!$U1691)-1)),2)&amp;RIGHT("00"&amp;VALUE(MID(Sync!$U1691,FIND(":",Sync!$U1691)+1,2)),2),"0000"))))</f>
        <v/>
      </c>
    </row>
    <row r="1696">
      <c r="A1696">
        <f>IF(Sync!$T1692="","",Sync!$T1692)</f>
        <v/>
      </c>
      <c r="B1696">
        <f>IF($A1696="","",IF(ISNUMBER($A1696),IF(AND($A1696&gt;=10000101,$A1696&lt;=99991231),INT($A1696/10000),""),IFERROR(VALUE(TRIM(LEFT($A1696,FIND("/",$A1696)-1))),"")))</f>
        <v/>
      </c>
      <c r="C1696">
        <f>IF(OR($A1696="",$B1696=""),"",IF(ISNUMBER($A1696),INT(MOD($A1696,10000)/100),IFERROR(VALUE(TRIM(LEFT(MID($A1696,FIND("/",$A1696)+1,20),FIND("/",MID($A1696,FIND("/",$A1696)+1,20))-1))),"")))</f>
        <v/>
      </c>
      <c r="D1696">
        <f>IF(OR($A1696="",$B1696=""),"",IF(ISNUMBER($A1696),MOD($A1696,100),IFERROR(VALUE(TRIM(MID(MID($A1696,FIND("/",$A1696)+1,20),FIND("/",MID($A1696,FIND("/",$A1696)+1,20))+1,20))),"")))</f>
        <v/>
      </c>
      <c r="E1696">
        <f>IF($A1696="","",IF(OR($B1696="",$C1696="",$D1696="",$B1696&lt;1300,$B1696&gt;1500,$C1696&lt;1,$C1696&gt;12,$D1696&lt;1,$D1696&gt;31),"نامعتبر",RIGHT("0000"&amp;$B1696,4)&amp;"/"&amp;RIGHT("00"&amp;$C1696,2)&amp;"/"&amp;RIGHT("00"&amp;$D1696,2)))</f>
        <v/>
      </c>
      <c r="F1696">
        <f>IF(OR($E1696="",$E1696="نامعتبر"),"",LEFT($E1696,4)&amp;"/"&amp;MID($E1696,6,2))</f>
        <v/>
      </c>
      <c r="G1696">
        <f>IF(OR($E1696="",$E1696="نامعتبر",Sync!$X1692=""),"",IF(AND(LEFT(UPPER(TRIM(Sync!$X1692)),2)="SL",IFERROR(VLOOKUP(Sync!$W1692,OpTbl,3,0),"")="فروش"),UPPER(TRIM(Sync!$X1692)),""))</f>
        <v/>
      </c>
      <c r="H1696">
        <f>IF($G1696="","",IF(Sync!$W1692="","",Sync!$W1692))</f>
        <v/>
      </c>
      <c r="I1696">
        <f>IF(OR($G1696="",Sync!$Y1692=""),"",Sync!$Y1692)</f>
        <v/>
      </c>
      <c r="J1696">
        <f>IF(OR($G1696="",Sync!$Z1692=""),"",Sync!$Z1692)</f>
        <v/>
      </c>
      <c r="K1696">
        <f>IF($G1696="",0,IF(Sync!$AA1692="",0,Sync!$AA1692))</f>
        <v/>
      </c>
      <c r="L1696">
        <f>IF($G1696="",0,IF(Sync!$AB1692="",0,Sync!$AB1692))</f>
        <v/>
      </c>
      <c r="M1696">
        <f>IF($G1696="","",IF($H1696="مرجوعی فروش",-1,1)*($K1696-$L1696*IFERROR(VLOOKUP("P01",ParamTbl,3,0),1.5)))</f>
        <v/>
      </c>
      <c r="N1696">
        <f>IF($G1696="",0,IF($H1696="مرجوعی فروش",-1,1)*IF(Sync!$AC1692="",0,Sync!$AC1692))</f>
        <v/>
      </c>
      <c r="O1696">
        <f>IF(OR($G1696="",Sync!$V1692=""),"",Sync!$V1692)</f>
        <v/>
      </c>
      <c r="P1696">
        <f>IF(OR($G1696="",Sync!$AD1692=""),"",Sync!$AD1692)</f>
        <v/>
      </c>
      <c r="Q1696">
        <f>IF($G1696="","",IF(Sync!$U1692="","0000",IF(AND(ISNUMBER(Sync!$U1692),Sync!$U1692&gt;=0,Sync!$U1692&lt;1),RIGHT("00"&amp;HOUR(Sync!$U1692),2)&amp;RIGHT("00"&amp;MINUTE(Sync!$U1692),2),IFERROR(RIGHT("00"&amp;VALUE(LEFT(Sync!$U1692,FIND(":",Sync!$U1692)-1)),2)&amp;RIGHT("00"&amp;VALUE(MID(Sync!$U1692,FIND(":",Sync!$U1692)+1,2)),2),"0000"))))</f>
        <v/>
      </c>
    </row>
    <row r="1697">
      <c r="A1697">
        <f>IF(Sync!$T1693="","",Sync!$T1693)</f>
        <v/>
      </c>
      <c r="B1697">
        <f>IF($A1697="","",IF(ISNUMBER($A1697),IF(AND($A1697&gt;=10000101,$A1697&lt;=99991231),INT($A1697/10000),""),IFERROR(VALUE(TRIM(LEFT($A1697,FIND("/",$A1697)-1))),"")))</f>
        <v/>
      </c>
      <c r="C1697">
        <f>IF(OR($A1697="",$B1697=""),"",IF(ISNUMBER($A1697),INT(MOD($A1697,10000)/100),IFERROR(VALUE(TRIM(LEFT(MID($A1697,FIND("/",$A1697)+1,20),FIND("/",MID($A1697,FIND("/",$A1697)+1,20))-1))),"")))</f>
        <v/>
      </c>
      <c r="D1697">
        <f>IF(OR($A1697="",$B1697=""),"",IF(ISNUMBER($A1697),MOD($A1697,100),IFERROR(VALUE(TRIM(MID(MID($A1697,FIND("/",$A1697)+1,20),FIND("/",MID($A1697,FIND("/",$A1697)+1,20))+1,20))),"")))</f>
        <v/>
      </c>
      <c r="E1697">
        <f>IF($A1697="","",IF(OR($B1697="",$C1697="",$D1697="",$B1697&lt;1300,$B1697&gt;1500,$C1697&lt;1,$C1697&gt;12,$D1697&lt;1,$D1697&gt;31),"نامعتبر",RIGHT("0000"&amp;$B1697,4)&amp;"/"&amp;RIGHT("00"&amp;$C1697,2)&amp;"/"&amp;RIGHT("00"&amp;$D1697,2)))</f>
        <v/>
      </c>
      <c r="F1697">
        <f>IF(OR($E1697="",$E1697="نامعتبر"),"",LEFT($E1697,4)&amp;"/"&amp;MID($E1697,6,2))</f>
        <v/>
      </c>
      <c r="G1697">
        <f>IF(OR($E1697="",$E1697="نامعتبر",Sync!$X1693=""),"",IF(AND(LEFT(UPPER(TRIM(Sync!$X1693)),2)="SL",IFERROR(VLOOKUP(Sync!$W1693,OpTbl,3,0),"")="فروش"),UPPER(TRIM(Sync!$X1693)),""))</f>
        <v/>
      </c>
      <c r="H1697">
        <f>IF($G1697="","",IF(Sync!$W1693="","",Sync!$W1693))</f>
        <v/>
      </c>
      <c r="I1697">
        <f>IF(OR($G1697="",Sync!$Y1693=""),"",Sync!$Y1693)</f>
        <v/>
      </c>
      <c r="J1697">
        <f>IF(OR($G1697="",Sync!$Z1693=""),"",Sync!$Z1693)</f>
        <v/>
      </c>
      <c r="K1697">
        <f>IF($G1697="",0,IF(Sync!$AA1693="",0,Sync!$AA1693))</f>
        <v/>
      </c>
      <c r="L1697">
        <f>IF($G1697="",0,IF(Sync!$AB1693="",0,Sync!$AB1693))</f>
        <v/>
      </c>
      <c r="M1697">
        <f>IF($G1697="","",IF($H1697="مرجوعی فروش",-1,1)*($K1697-$L1697*IFERROR(VLOOKUP("P01",ParamTbl,3,0),1.5)))</f>
        <v/>
      </c>
      <c r="N1697">
        <f>IF($G1697="",0,IF($H1697="مرجوعی فروش",-1,1)*IF(Sync!$AC1693="",0,Sync!$AC1693))</f>
        <v/>
      </c>
      <c r="O1697">
        <f>IF(OR($G1697="",Sync!$V1693=""),"",Sync!$V1693)</f>
        <v/>
      </c>
      <c r="P1697">
        <f>IF(OR($G1697="",Sync!$AD1693=""),"",Sync!$AD1693)</f>
        <v/>
      </c>
      <c r="Q1697">
        <f>IF($G1697="","",IF(Sync!$U1693="","0000",IF(AND(ISNUMBER(Sync!$U1693),Sync!$U1693&gt;=0,Sync!$U1693&lt;1),RIGHT("00"&amp;HOUR(Sync!$U1693),2)&amp;RIGHT("00"&amp;MINUTE(Sync!$U1693),2),IFERROR(RIGHT("00"&amp;VALUE(LEFT(Sync!$U1693,FIND(":",Sync!$U1693)-1)),2)&amp;RIGHT("00"&amp;VALUE(MID(Sync!$U1693,FIND(":",Sync!$U1693)+1,2)),2),"0000"))))</f>
        <v/>
      </c>
    </row>
    <row r="1698">
      <c r="A1698">
        <f>IF(Sync!$T1694="","",Sync!$T1694)</f>
        <v/>
      </c>
      <c r="B1698">
        <f>IF($A1698="","",IF(ISNUMBER($A1698),IF(AND($A1698&gt;=10000101,$A1698&lt;=99991231),INT($A1698/10000),""),IFERROR(VALUE(TRIM(LEFT($A1698,FIND("/",$A1698)-1))),"")))</f>
        <v/>
      </c>
      <c r="C1698">
        <f>IF(OR($A1698="",$B1698=""),"",IF(ISNUMBER($A1698),INT(MOD($A1698,10000)/100),IFERROR(VALUE(TRIM(LEFT(MID($A1698,FIND("/",$A1698)+1,20),FIND("/",MID($A1698,FIND("/",$A1698)+1,20))-1))),"")))</f>
        <v/>
      </c>
      <c r="D1698">
        <f>IF(OR($A1698="",$B1698=""),"",IF(ISNUMBER($A1698),MOD($A1698,100),IFERROR(VALUE(TRIM(MID(MID($A1698,FIND("/",$A1698)+1,20),FIND("/",MID($A1698,FIND("/",$A1698)+1,20))+1,20))),"")))</f>
        <v/>
      </c>
      <c r="E1698">
        <f>IF($A1698="","",IF(OR($B1698="",$C1698="",$D1698="",$B1698&lt;1300,$B1698&gt;1500,$C1698&lt;1,$C1698&gt;12,$D1698&lt;1,$D1698&gt;31),"نامعتبر",RIGHT("0000"&amp;$B1698,4)&amp;"/"&amp;RIGHT("00"&amp;$C1698,2)&amp;"/"&amp;RIGHT("00"&amp;$D1698,2)))</f>
        <v/>
      </c>
      <c r="F1698">
        <f>IF(OR($E1698="",$E1698="نامعتبر"),"",LEFT($E1698,4)&amp;"/"&amp;MID($E1698,6,2))</f>
        <v/>
      </c>
      <c r="G1698">
        <f>IF(OR($E1698="",$E1698="نامعتبر",Sync!$X1694=""),"",IF(AND(LEFT(UPPER(TRIM(Sync!$X1694)),2)="SL",IFERROR(VLOOKUP(Sync!$W1694,OpTbl,3,0),"")="فروش"),UPPER(TRIM(Sync!$X1694)),""))</f>
        <v/>
      </c>
      <c r="H1698">
        <f>IF($G1698="","",IF(Sync!$W1694="","",Sync!$W1694))</f>
        <v/>
      </c>
      <c r="I1698">
        <f>IF(OR($G1698="",Sync!$Y1694=""),"",Sync!$Y1694)</f>
        <v/>
      </c>
      <c r="J1698">
        <f>IF(OR($G1698="",Sync!$Z1694=""),"",Sync!$Z1694)</f>
        <v/>
      </c>
      <c r="K1698">
        <f>IF($G1698="",0,IF(Sync!$AA1694="",0,Sync!$AA1694))</f>
        <v/>
      </c>
      <c r="L1698">
        <f>IF($G1698="",0,IF(Sync!$AB1694="",0,Sync!$AB1694))</f>
        <v/>
      </c>
      <c r="M1698">
        <f>IF($G1698="","",IF($H1698="مرجوعی فروش",-1,1)*($K1698-$L1698*IFERROR(VLOOKUP("P01",ParamTbl,3,0),1.5)))</f>
        <v/>
      </c>
      <c r="N1698">
        <f>IF($G1698="",0,IF($H1698="مرجوعی فروش",-1,1)*IF(Sync!$AC1694="",0,Sync!$AC1694))</f>
        <v/>
      </c>
      <c r="O1698">
        <f>IF(OR($G1698="",Sync!$V1694=""),"",Sync!$V1694)</f>
        <v/>
      </c>
      <c r="P1698">
        <f>IF(OR($G1698="",Sync!$AD1694=""),"",Sync!$AD1694)</f>
        <v/>
      </c>
      <c r="Q1698">
        <f>IF($G1698="","",IF(Sync!$U1694="","0000",IF(AND(ISNUMBER(Sync!$U1694),Sync!$U1694&gt;=0,Sync!$U1694&lt;1),RIGHT("00"&amp;HOUR(Sync!$U1694),2)&amp;RIGHT("00"&amp;MINUTE(Sync!$U1694),2),IFERROR(RIGHT("00"&amp;VALUE(LEFT(Sync!$U1694,FIND(":",Sync!$U1694)-1)),2)&amp;RIGHT("00"&amp;VALUE(MID(Sync!$U1694,FIND(":",Sync!$U1694)+1,2)),2),"0000"))))</f>
        <v/>
      </c>
    </row>
    <row r="1699">
      <c r="A1699">
        <f>IF(Sync!$T1695="","",Sync!$T1695)</f>
        <v/>
      </c>
      <c r="B1699">
        <f>IF($A1699="","",IF(ISNUMBER($A1699),IF(AND($A1699&gt;=10000101,$A1699&lt;=99991231),INT($A1699/10000),""),IFERROR(VALUE(TRIM(LEFT($A1699,FIND("/",$A1699)-1))),"")))</f>
        <v/>
      </c>
      <c r="C1699">
        <f>IF(OR($A1699="",$B1699=""),"",IF(ISNUMBER($A1699),INT(MOD($A1699,10000)/100),IFERROR(VALUE(TRIM(LEFT(MID($A1699,FIND("/",$A1699)+1,20),FIND("/",MID($A1699,FIND("/",$A1699)+1,20))-1))),"")))</f>
        <v/>
      </c>
      <c r="D1699">
        <f>IF(OR($A1699="",$B1699=""),"",IF(ISNUMBER($A1699),MOD($A1699,100),IFERROR(VALUE(TRIM(MID(MID($A1699,FIND("/",$A1699)+1,20),FIND("/",MID($A1699,FIND("/",$A1699)+1,20))+1,20))),"")))</f>
        <v/>
      </c>
      <c r="E1699">
        <f>IF($A1699="","",IF(OR($B1699="",$C1699="",$D1699="",$B1699&lt;1300,$B1699&gt;1500,$C1699&lt;1,$C1699&gt;12,$D1699&lt;1,$D1699&gt;31),"نامعتبر",RIGHT("0000"&amp;$B1699,4)&amp;"/"&amp;RIGHT("00"&amp;$C1699,2)&amp;"/"&amp;RIGHT("00"&amp;$D1699,2)))</f>
        <v/>
      </c>
      <c r="F1699">
        <f>IF(OR($E1699="",$E1699="نامعتبر"),"",LEFT($E1699,4)&amp;"/"&amp;MID($E1699,6,2))</f>
        <v/>
      </c>
      <c r="G1699">
        <f>IF(OR($E1699="",$E1699="نامعتبر",Sync!$X1695=""),"",IF(AND(LEFT(UPPER(TRIM(Sync!$X1695)),2)="SL",IFERROR(VLOOKUP(Sync!$W1695,OpTbl,3,0),"")="فروش"),UPPER(TRIM(Sync!$X1695)),""))</f>
        <v/>
      </c>
      <c r="H1699">
        <f>IF($G1699="","",IF(Sync!$W1695="","",Sync!$W1695))</f>
        <v/>
      </c>
      <c r="I1699">
        <f>IF(OR($G1699="",Sync!$Y1695=""),"",Sync!$Y1695)</f>
        <v/>
      </c>
      <c r="J1699">
        <f>IF(OR($G1699="",Sync!$Z1695=""),"",Sync!$Z1695)</f>
        <v/>
      </c>
      <c r="K1699">
        <f>IF($G1699="",0,IF(Sync!$AA1695="",0,Sync!$AA1695))</f>
        <v/>
      </c>
      <c r="L1699">
        <f>IF($G1699="",0,IF(Sync!$AB1695="",0,Sync!$AB1695))</f>
        <v/>
      </c>
      <c r="M1699">
        <f>IF($G1699="","",IF($H1699="مرجوعی فروش",-1,1)*($K1699-$L1699*IFERROR(VLOOKUP("P01",ParamTbl,3,0),1.5)))</f>
        <v/>
      </c>
      <c r="N1699">
        <f>IF($G1699="",0,IF($H1699="مرجوعی فروش",-1,1)*IF(Sync!$AC1695="",0,Sync!$AC1695))</f>
        <v/>
      </c>
      <c r="O1699">
        <f>IF(OR($G1699="",Sync!$V1695=""),"",Sync!$V1695)</f>
        <v/>
      </c>
      <c r="P1699">
        <f>IF(OR($G1699="",Sync!$AD1695=""),"",Sync!$AD1695)</f>
        <v/>
      </c>
      <c r="Q1699">
        <f>IF($G1699="","",IF(Sync!$U1695="","0000",IF(AND(ISNUMBER(Sync!$U1695),Sync!$U1695&gt;=0,Sync!$U1695&lt;1),RIGHT("00"&amp;HOUR(Sync!$U1695),2)&amp;RIGHT("00"&amp;MINUTE(Sync!$U1695),2),IFERROR(RIGHT("00"&amp;VALUE(LEFT(Sync!$U1695,FIND(":",Sync!$U1695)-1)),2)&amp;RIGHT("00"&amp;VALUE(MID(Sync!$U1695,FIND(":",Sync!$U1695)+1,2)),2),"0000"))))</f>
        <v/>
      </c>
    </row>
    <row r="1700">
      <c r="A1700">
        <f>IF(Sync!$T1696="","",Sync!$T1696)</f>
        <v/>
      </c>
      <c r="B1700">
        <f>IF($A1700="","",IF(ISNUMBER($A1700),IF(AND($A1700&gt;=10000101,$A1700&lt;=99991231),INT($A1700/10000),""),IFERROR(VALUE(TRIM(LEFT($A1700,FIND("/",$A1700)-1))),"")))</f>
        <v/>
      </c>
      <c r="C1700">
        <f>IF(OR($A1700="",$B1700=""),"",IF(ISNUMBER($A1700),INT(MOD($A1700,10000)/100),IFERROR(VALUE(TRIM(LEFT(MID($A1700,FIND("/",$A1700)+1,20),FIND("/",MID($A1700,FIND("/",$A1700)+1,20))-1))),"")))</f>
        <v/>
      </c>
      <c r="D1700">
        <f>IF(OR($A1700="",$B1700=""),"",IF(ISNUMBER($A1700),MOD($A1700,100),IFERROR(VALUE(TRIM(MID(MID($A1700,FIND("/",$A1700)+1,20),FIND("/",MID($A1700,FIND("/",$A1700)+1,20))+1,20))),"")))</f>
        <v/>
      </c>
      <c r="E1700">
        <f>IF($A1700="","",IF(OR($B1700="",$C1700="",$D1700="",$B1700&lt;1300,$B1700&gt;1500,$C1700&lt;1,$C1700&gt;12,$D1700&lt;1,$D1700&gt;31),"نامعتبر",RIGHT("0000"&amp;$B1700,4)&amp;"/"&amp;RIGHT("00"&amp;$C1700,2)&amp;"/"&amp;RIGHT("00"&amp;$D1700,2)))</f>
        <v/>
      </c>
      <c r="F1700">
        <f>IF(OR($E1700="",$E1700="نامعتبر"),"",LEFT($E1700,4)&amp;"/"&amp;MID($E1700,6,2))</f>
        <v/>
      </c>
      <c r="G1700">
        <f>IF(OR($E1700="",$E1700="نامعتبر",Sync!$X1696=""),"",IF(AND(LEFT(UPPER(TRIM(Sync!$X1696)),2)="SL",IFERROR(VLOOKUP(Sync!$W1696,OpTbl,3,0),"")="فروش"),UPPER(TRIM(Sync!$X1696)),""))</f>
        <v/>
      </c>
      <c r="H1700">
        <f>IF($G1700="","",IF(Sync!$W1696="","",Sync!$W1696))</f>
        <v/>
      </c>
      <c r="I1700">
        <f>IF(OR($G1700="",Sync!$Y1696=""),"",Sync!$Y1696)</f>
        <v/>
      </c>
      <c r="J1700">
        <f>IF(OR($G1700="",Sync!$Z1696=""),"",Sync!$Z1696)</f>
        <v/>
      </c>
      <c r="K1700">
        <f>IF($G1700="",0,IF(Sync!$AA1696="",0,Sync!$AA1696))</f>
        <v/>
      </c>
      <c r="L1700">
        <f>IF($G1700="",0,IF(Sync!$AB1696="",0,Sync!$AB1696))</f>
        <v/>
      </c>
      <c r="M1700">
        <f>IF($G1700="","",IF($H1700="مرجوعی فروش",-1,1)*($K1700-$L1700*IFERROR(VLOOKUP("P01",ParamTbl,3,0),1.5)))</f>
        <v/>
      </c>
      <c r="N1700">
        <f>IF($G1700="",0,IF($H1700="مرجوعی فروش",-1,1)*IF(Sync!$AC1696="",0,Sync!$AC1696))</f>
        <v/>
      </c>
      <c r="O1700">
        <f>IF(OR($G1700="",Sync!$V1696=""),"",Sync!$V1696)</f>
        <v/>
      </c>
      <c r="P1700">
        <f>IF(OR($G1700="",Sync!$AD1696=""),"",Sync!$AD1696)</f>
        <v/>
      </c>
      <c r="Q1700">
        <f>IF($G1700="","",IF(Sync!$U1696="","0000",IF(AND(ISNUMBER(Sync!$U1696),Sync!$U1696&gt;=0,Sync!$U1696&lt;1),RIGHT("00"&amp;HOUR(Sync!$U1696),2)&amp;RIGHT("00"&amp;MINUTE(Sync!$U1696),2),IFERROR(RIGHT("00"&amp;VALUE(LEFT(Sync!$U1696,FIND(":",Sync!$U1696)-1)),2)&amp;RIGHT("00"&amp;VALUE(MID(Sync!$U1696,FIND(":",Sync!$U1696)+1,2)),2),"0000"))))</f>
        <v/>
      </c>
    </row>
    <row r="1701">
      <c r="A1701">
        <f>IF(Sync!$T1697="","",Sync!$T1697)</f>
        <v/>
      </c>
      <c r="B1701">
        <f>IF($A1701="","",IF(ISNUMBER($A1701),IF(AND($A1701&gt;=10000101,$A1701&lt;=99991231),INT($A1701/10000),""),IFERROR(VALUE(TRIM(LEFT($A1701,FIND("/",$A1701)-1))),"")))</f>
        <v/>
      </c>
      <c r="C1701">
        <f>IF(OR($A1701="",$B1701=""),"",IF(ISNUMBER($A1701),INT(MOD($A1701,10000)/100),IFERROR(VALUE(TRIM(LEFT(MID($A1701,FIND("/",$A1701)+1,20),FIND("/",MID($A1701,FIND("/",$A1701)+1,20))-1))),"")))</f>
        <v/>
      </c>
      <c r="D1701">
        <f>IF(OR($A1701="",$B1701=""),"",IF(ISNUMBER($A1701),MOD($A1701,100),IFERROR(VALUE(TRIM(MID(MID($A1701,FIND("/",$A1701)+1,20),FIND("/",MID($A1701,FIND("/",$A1701)+1,20))+1,20))),"")))</f>
        <v/>
      </c>
      <c r="E1701">
        <f>IF($A1701="","",IF(OR($B1701="",$C1701="",$D1701="",$B1701&lt;1300,$B1701&gt;1500,$C1701&lt;1,$C1701&gt;12,$D1701&lt;1,$D1701&gt;31),"نامعتبر",RIGHT("0000"&amp;$B1701,4)&amp;"/"&amp;RIGHT("00"&amp;$C1701,2)&amp;"/"&amp;RIGHT("00"&amp;$D1701,2)))</f>
        <v/>
      </c>
      <c r="F1701">
        <f>IF(OR($E1701="",$E1701="نامعتبر"),"",LEFT($E1701,4)&amp;"/"&amp;MID($E1701,6,2))</f>
        <v/>
      </c>
      <c r="G1701">
        <f>IF(OR($E1701="",$E1701="نامعتبر",Sync!$X1697=""),"",IF(AND(LEFT(UPPER(TRIM(Sync!$X1697)),2)="SL",IFERROR(VLOOKUP(Sync!$W1697,OpTbl,3,0),"")="فروش"),UPPER(TRIM(Sync!$X1697)),""))</f>
        <v/>
      </c>
      <c r="H1701">
        <f>IF($G1701="","",IF(Sync!$W1697="","",Sync!$W1697))</f>
        <v/>
      </c>
      <c r="I1701">
        <f>IF(OR($G1701="",Sync!$Y1697=""),"",Sync!$Y1697)</f>
        <v/>
      </c>
      <c r="J1701">
        <f>IF(OR($G1701="",Sync!$Z1697=""),"",Sync!$Z1697)</f>
        <v/>
      </c>
      <c r="K1701">
        <f>IF($G1701="",0,IF(Sync!$AA1697="",0,Sync!$AA1697))</f>
        <v/>
      </c>
      <c r="L1701">
        <f>IF($G1701="",0,IF(Sync!$AB1697="",0,Sync!$AB1697))</f>
        <v/>
      </c>
      <c r="M1701">
        <f>IF($G1701="","",IF($H1701="مرجوعی فروش",-1,1)*($K1701-$L1701*IFERROR(VLOOKUP("P01",ParamTbl,3,0),1.5)))</f>
        <v/>
      </c>
      <c r="N1701">
        <f>IF($G1701="",0,IF($H1701="مرجوعی فروش",-1,1)*IF(Sync!$AC1697="",0,Sync!$AC1697))</f>
        <v/>
      </c>
      <c r="O1701">
        <f>IF(OR($G1701="",Sync!$V1697=""),"",Sync!$V1697)</f>
        <v/>
      </c>
      <c r="P1701">
        <f>IF(OR($G1701="",Sync!$AD1697=""),"",Sync!$AD1697)</f>
        <v/>
      </c>
      <c r="Q1701">
        <f>IF($G1701="","",IF(Sync!$U1697="","0000",IF(AND(ISNUMBER(Sync!$U1697),Sync!$U1697&gt;=0,Sync!$U1697&lt;1),RIGHT("00"&amp;HOUR(Sync!$U1697),2)&amp;RIGHT("00"&amp;MINUTE(Sync!$U1697),2),IFERROR(RIGHT("00"&amp;VALUE(LEFT(Sync!$U1697,FIND(":",Sync!$U1697)-1)),2)&amp;RIGHT("00"&amp;VALUE(MID(Sync!$U1697,FIND(":",Sync!$U1697)+1,2)),2),"0000"))))</f>
        <v/>
      </c>
    </row>
    <row r="1702">
      <c r="A1702">
        <f>IF(Sync!$T1698="","",Sync!$T1698)</f>
        <v/>
      </c>
      <c r="B1702">
        <f>IF($A1702="","",IF(ISNUMBER($A1702),IF(AND($A1702&gt;=10000101,$A1702&lt;=99991231),INT($A1702/10000),""),IFERROR(VALUE(TRIM(LEFT($A1702,FIND("/",$A1702)-1))),"")))</f>
        <v/>
      </c>
      <c r="C1702">
        <f>IF(OR($A1702="",$B1702=""),"",IF(ISNUMBER($A1702),INT(MOD($A1702,10000)/100),IFERROR(VALUE(TRIM(LEFT(MID($A1702,FIND("/",$A1702)+1,20),FIND("/",MID($A1702,FIND("/",$A1702)+1,20))-1))),"")))</f>
        <v/>
      </c>
      <c r="D1702">
        <f>IF(OR($A1702="",$B1702=""),"",IF(ISNUMBER($A1702),MOD($A1702,100),IFERROR(VALUE(TRIM(MID(MID($A1702,FIND("/",$A1702)+1,20),FIND("/",MID($A1702,FIND("/",$A1702)+1,20))+1,20))),"")))</f>
        <v/>
      </c>
      <c r="E1702">
        <f>IF($A1702="","",IF(OR($B1702="",$C1702="",$D1702="",$B1702&lt;1300,$B1702&gt;1500,$C1702&lt;1,$C1702&gt;12,$D1702&lt;1,$D1702&gt;31),"نامعتبر",RIGHT("0000"&amp;$B1702,4)&amp;"/"&amp;RIGHT("00"&amp;$C1702,2)&amp;"/"&amp;RIGHT("00"&amp;$D1702,2)))</f>
        <v/>
      </c>
      <c r="F1702">
        <f>IF(OR($E1702="",$E1702="نامعتبر"),"",LEFT($E1702,4)&amp;"/"&amp;MID($E1702,6,2))</f>
        <v/>
      </c>
      <c r="G1702">
        <f>IF(OR($E1702="",$E1702="نامعتبر",Sync!$X1698=""),"",IF(AND(LEFT(UPPER(TRIM(Sync!$X1698)),2)="SL",IFERROR(VLOOKUP(Sync!$W1698,OpTbl,3,0),"")="فروش"),UPPER(TRIM(Sync!$X1698)),""))</f>
        <v/>
      </c>
      <c r="H1702">
        <f>IF($G1702="","",IF(Sync!$W1698="","",Sync!$W1698))</f>
        <v/>
      </c>
      <c r="I1702">
        <f>IF(OR($G1702="",Sync!$Y1698=""),"",Sync!$Y1698)</f>
        <v/>
      </c>
      <c r="J1702">
        <f>IF(OR($G1702="",Sync!$Z1698=""),"",Sync!$Z1698)</f>
        <v/>
      </c>
      <c r="K1702">
        <f>IF($G1702="",0,IF(Sync!$AA1698="",0,Sync!$AA1698))</f>
        <v/>
      </c>
      <c r="L1702">
        <f>IF($G1702="",0,IF(Sync!$AB1698="",0,Sync!$AB1698))</f>
        <v/>
      </c>
      <c r="M1702">
        <f>IF($G1702="","",IF($H1702="مرجوعی فروش",-1,1)*($K1702-$L1702*IFERROR(VLOOKUP("P01",ParamTbl,3,0),1.5)))</f>
        <v/>
      </c>
      <c r="N1702">
        <f>IF($G1702="",0,IF($H1702="مرجوعی فروش",-1,1)*IF(Sync!$AC1698="",0,Sync!$AC1698))</f>
        <v/>
      </c>
      <c r="O1702">
        <f>IF(OR($G1702="",Sync!$V1698=""),"",Sync!$V1698)</f>
        <v/>
      </c>
      <c r="P1702">
        <f>IF(OR($G1702="",Sync!$AD1698=""),"",Sync!$AD1698)</f>
        <v/>
      </c>
      <c r="Q1702">
        <f>IF($G1702="","",IF(Sync!$U1698="","0000",IF(AND(ISNUMBER(Sync!$U1698),Sync!$U1698&gt;=0,Sync!$U1698&lt;1),RIGHT("00"&amp;HOUR(Sync!$U1698),2)&amp;RIGHT("00"&amp;MINUTE(Sync!$U1698),2),IFERROR(RIGHT("00"&amp;VALUE(LEFT(Sync!$U1698,FIND(":",Sync!$U1698)-1)),2)&amp;RIGHT("00"&amp;VALUE(MID(Sync!$U1698,FIND(":",Sync!$U1698)+1,2)),2),"0000"))))</f>
        <v/>
      </c>
    </row>
    <row r="1703">
      <c r="A1703">
        <f>IF(Sync!$T1699="","",Sync!$T1699)</f>
        <v/>
      </c>
      <c r="B1703">
        <f>IF($A1703="","",IF(ISNUMBER($A1703),IF(AND($A1703&gt;=10000101,$A1703&lt;=99991231),INT($A1703/10000),""),IFERROR(VALUE(TRIM(LEFT($A1703,FIND("/",$A1703)-1))),"")))</f>
        <v/>
      </c>
      <c r="C1703">
        <f>IF(OR($A1703="",$B1703=""),"",IF(ISNUMBER($A1703),INT(MOD($A1703,10000)/100),IFERROR(VALUE(TRIM(LEFT(MID($A1703,FIND("/",$A1703)+1,20),FIND("/",MID($A1703,FIND("/",$A1703)+1,20))-1))),"")))</f>
        <v/>
      </c>
      <c r="D1703">
        <f>IF(OR($A1703="",$B1703=""),"",IF(ISNUMBER($A1703),MOD($A1703,100),IFERROR(VALUE(TRIM(MID(MID($A1703,FIND("/",$A1703)+1,20),FIND("/",MID($A1703,FIND("/",$A1703)+1,20))+1,20))),"")))</f>
        <v/>
      </c>
      <c r="E1703">
        <f>IF($A1703="","",IF(OR($B1703="",$C1703="",$D1703="",$B1703&lt;1300,$B1703&gt;1500,$C1703&lt;1,$C1703&gt;12,$D1703&lt;1,$D1703&gt;31),"نامعتبر",RIGHT("0000"&amp;$B1703,4)&amp;"/"&amp;RIGHT("00"&amp;$C1703,2)&amp;"/"&amp;RIGHT("00"&amp;$D1703,2)))</f>
        <v/>
      </c>
      <c r="F1703">
        <f>IF(OR($E1703="",$E1703="نامعتبر"),"",LEFT($E1703,4)&amp;"/"&amp;MID($E1703,6,2))</f>
        <v/>
      </c>
      <c r="G1703">
        <f>IF(OR($E1703="",$E1703="نامعتبر",Sync!$X1699=""),"",IF(AND(LEFT(UPPER(TRIM(Sync!$X1699)),2)="SL",IFERROR(VLOOKUP(Sync!$W1699,OpTbl,3,0),"")="فروش"),UPPER(TRIM(Sync!$X1699)),""))</f>
        <v/>
      </c>
      <c r="H1703">
        <f>IF($G1703="","",IF(Sync!$W1699="","",Sync!$W1699))</f>
        <v/>
      </c>
      <c r="I1703">
        <f>IF(OR($G1703="",Sync!$Y1699=""),"",Sync!$Y1699)</f>
        <v/>
      </c>
      <c r="J1703">
        <f>IF(OR($G1703="",Sync!$Z1699=""),"",Sync!$Z1699)</f>
        <v/>
      </c>
      <c r="K1703">
        <f>IF($G1703="",0,IF(Sync!$AA1699="",0,Sync!$AA1699))</f>
        <v/>
      </c>
      <c r="L1703">
        <f>IF($G1703="",0,IF(Sync!$AB1699="",0,Sync!$AB1699))</f>
        <v/>
      </c>
      <c r="M1703">
        <f>IF($G1703="","",IF($H1703="مرجوعی فروش",-1,1)*($K1703-$L1703*IFERROR(VLOOKUP("P01",ParamTbl,3,0),1.5)))</f>
        <v/>
      </c>
      <c r="N1703">
        <f>IF($G1703="",0,IF($H1703="مرجوعی فروش",-1,1)*IF(Sync!$AC1699="",0,Sync!$AC1699))</f>
        <v/>
      </c>
      <c r="O1703">
        <f>IF(OR($G1703="",Sync!$V1699=""),"",Sync!$V1699)</f>
        <v/>
      </c>
      <c r="P1703">
        <f>IF(OR($G1703="",Sync!$AD1699=""),"",Sync!$AD1699)</f>
        <v/>
      </c>
      <c r="Q1703">
        <f>IF($G1703="","",IF(Sync!$U1699="","0000",IF(AND(ISNUMBER(Sync!$U1699),Sync!$U1699&gt;=0,Sync!$U1699&lt;1),RIGHT("00"&amp;HOUR(Sync!$U1699),2)&amp;RIGHT("00"&amp;MINUTE(Sync!$U1699),2),IFERROR(RIGHT("00"&amp;VALUE(LEFT(Sync!$U1699,FIND(":",Sync!$U1699)-1)),2)&amp;RIGHT("00"&amp;VALUE(MID(Sync!$U1699,FIND(":",Sync!$U1699)+1,2)),2),"0000"))))</f>
        <v/>
      </c>
    </row>
    <row r="1704">
      <c r="A1704">
        <f>IF(Sync!$T1700="","",Sync!$T1700)</f>
        <v/>
      </c>
      <c r="B1704">
        <f>IF($A1704="","",IF(ISNUMBER($A1704),IF(AND($A1704&gt;=10000101,$A1704&lt;=99991231),INT($A1704/10000),""),IFERROR(VALUE(TRIM(LEFT($A1704,FIND("/",$A1704)-1))),"")))</f>
        <v/>
      </c>
      <c r="C1704">
        <f>IF(OR($A1704="",$B1704=""),"",IF(ISNUMBER($A1704),INT(MOD($A1704,10000)/100),IFERROR(VALUE(TRIM(LEFT(MID($A1704,FIND("/",$A1704)+1,20),FIND("/",MID($A1704,FIND("/",$A1704)+1,20))-1))),"")))</f>
        <v/>
      </c>
      <c r="D1704">
        <f>IF(OR($A1704="",$B1704=""),"",IF(ISNUMBER($A1704),MOD($A1704,100),IFERROR(VALUE(TRIM(MID(MID($A1704,FIND("/",$A1704)+1,20),FIND("/",MID($A1704,FIND("/",$A1704)+1,20))+1,20))),"")))</f>
        <v/>
      </c>
      <c r="E1704">
        <f>IF($A1704="","",IF(OR($B1704="",$C1704="",$D1704="",$B1704&lt;1300,$B1704&gt;1500,$C1704&lt;1,$C1704&gt;12,$D1704&lt;1,$D1704&gt;31),"نامعتبر",RIGHT("0000"&amp;$B1704,4)&amp;"/"&amp;RIGHT("00"&amp;$C1704,2)&amp;"/"&amp;RIGHT("00"&amp;$D1704,2)))</f>
        <v/>
      </c>
      <c r="F1704">
        <f>IF(OR($E1704="",$E1704="نامعتبر"),"",LEFT($E1704,4)&amp;"/"&amp;MID($E1704,6,2))</f>
        <v/>
      </c>
      <c r="G1704">
        <f>IF(OR($E1704="",$E1704="نامعتبر",Sync!$X1700=""),"",IF(AND(LEFT(UPPER(TRIM(Sync!$X1700)),2)="SL",IFERROR(VLOOKUP(Sync!$W1700,OpTbl,3,0),"")="فروش"),UPPER(TRIM(Sync!$X1700)),""))</f>
        <v/>
      </c>
      <c r="H1704">
        <f>IF($G1704="","",IF(Sync!$W1700="","",Sync!$W1700))</f>
        <v/>
      </c>
      <c r="I1704">
        <f>IF(OR($G1704="",Sync!$Y1700=""),"",Sync!$Y1700)</f>
        <v/>
      </c>
      <c r="J1704">
        <f>IF(OR($G1704="",Sync!$Z1700=""),"",Sync!$Z1700)</f>
        <v/>
      </c>
      <c r="K1704">
        <f>IF($G1704="",0,IF(Sync!$AA1700="",0,Sync!$AA1700))</f>
        <v/>
      </c>
      <c r="L1704">
        <f>IF($G1704="",0,IF(Sync!$AB1700="",0,Sync!$AB1700))</f>
        <v/>
      </c>
      <c r="M1704">
        <f>IF($G1704="","",IF($H1704="مرجوعی فروش",-1,1)*($K1704-$L1704*IFERROR(VLOOKUP("P01",ParamTbl,3,0),1.5)))</f>
        <v/>
      </c>
      <c r="N1704">
        <f>IF($G1704="",0,IF($H1704="مرجوعی فروش",-1,1)*IF(Sync!$AC1700="",0,Sync!$AC1700))</f>
        <v/>
      </c>
      <c r="O1704">
        <f>IF(OR($G1704="",Sync!$V1700=""),"",Sync!$V1700)</f>
        <v/>
      </c>
      <c r="P1704">
        <f>IF(OR($G1704="",Sync!$AD1700=""),"",Sync!$AD1700)</f>
        <v/>
      </c>
      <c r="Q1704">
        <f>IF($G1704="","",IF(Sync!$U1700="","0000",IF(AND(ISNUMBER(Sync!$U1700),Sync!$U1700&gt;=0,Sync!$U1700&lt;1),RIGHT("00"&amp;HOUR(Sync!$U1700),2)&amp;RIGHT("00"&amp;MINUTE(Sync!$U1700),2),IFERROR(RIGHT("00"&amp;VALUE(LEFT(Sync!$U1700,FIND(":",Sync!$U1700)-1)),2)&amp;RIGHT("00"&amp;VALUE(MID(Sync!$U1700,FIND(":",Sync!$U1700)+1,2)),2),"0000"))))</f>
        <v/>
      </c>
    </row>
    <row r="1705">
      <c r="A1705">
        <f>IF(Sync!$T1701="","",Sync!$T1701)</f>
        <v/>
      </c>
      <c r="B1705">
        <f>IF($A1705="","",IF(ISNUMBER($A1705),IF(AND($A1705&gt;=10000101,$A1705&lt;=99991231),INT($A1705/10000),""),IFERROR(VALUE(TRIM(LEFT($A1705,FIND("/",$A1705)-1))),"")))</f>
        <v/>
      </c>
      <c r="C1705">
        <f>IF(OR($A1705="",$B1705=""),"",IF(ISNUMBER($A1705),INT(MOD($A1705,10000)/100),IFERROR(VALUE(TRIM(LEFT(MID($A1705,FIND("/",$A1705)+1,20),FIND("/",MID($A1705,FIND("/",$A1705)+1,20))-1))),"")))</f>
        <v/>
      </c>
      <c r="D1705">
        <f>IF(OR($A1705="",$B1705=""),"",IF(ISNUMBER($A1705),MOD($A1705,100),IFERROR(VALUE(TRIM(MID(MID($A1705,FIND("/",$A1705)+1,20),FIND("/",MID($A1705,FIND("/",$A1705)+1,20))+1,20))),"")))</f>
        <v/>
      </c>
      <c r="E1705">
        <f>IF($A1705="","",IF(OR($B1705="",$C1705="",$D1705="",$B1705&lt;1300,$B1705&gt;1500,$C1705&lt;1,$C1705&gt;12,$D1705&lt;1,$D1705&gt;31),"نامعتبر",RIGHT("0000"&amp;$B1705,4)&amp;"/"&amp;RIGHT("00"&amp;$C1705,2)&amp;"/"&amp;RIGHT("00"&amp;$D1705,2)))</f>
        <v/>
      </c>
      <c r="F1705">
        <f>IF(OR($E1705="",$E1705="نامعتبر"),"",LEFT($E1705,4)&amp;"/"&amp;MID($E1705,6,2))</f>
        <v/>
      </c>
      <c r="G1705">
        <f>IF(OR($E1705="",$E1705="نامعتبر",Sync!$X1701=""),"",IF(AND(LEFT(UPPER(TRIM(Sync!$X1701)),2)="SL",IFERROR(VLOOKUP(Sync!$W1701,OpTbl,3,0),"")="فروش"),UPPER(TRIM(Sync!$X1701)),""))</f>
        <v/>
      </c>
      <c r="H1705">
        <f>IF($G1705="","",IF(Sync!$W1701="","",Sync!$W1701))</f>
        <v/>
      </c>
      <c r="I1705">
        <f>IF(OR($G1705="",Sync!$Y1701=""),"",Sync!$Y1701)</f>
        <v/>
      </c>
      <c r="J1705">
        <f>IF(OR($G1705="",Sync!$Z1701=""),"",Sync!$Z1701)</f>
        <v/>
      </c>
      <c r="K1705">
        <f>IF($G1705="",0,IF(Sync!$AA1701="",0,Sync!$AA1701))</f>
        <v/>
      </c>
      <c r="L1705">
        <f>IF($G1705="",0,IF(Sync!$AB1701="",0,Sync!$AB1701))</f>
        <v/>
      </c>
      <c r="M1705">
        <f>IF($G1705="","",IF($H1705="مرجوعی فروش",-1,1)*($K1705-$L1705*IFERROR(VLOOKUP("P01",ParamTbl,3,0),1.5)))</f>
        <v/>
      </c>
      <c r="N1705">
        <f>IF($G1705="",0,IF($H1705="مرجوعی فروش",-1,1)*IF(Sync!$AC1701="",0,Sync!$AC1701))</f>
        <v/>
      </c>
      <c r="O1705">
        <f>IF(OR($G1705="",Sync!$V1701=""),"",Sync!$V1701)</f>
        <v/>
      </c>
      <c r="P1705">
        <f>IF(OR($G1705="",Sync!$AD1701=""),"",Sync!$AD1701)</f>
        <v/>
      </c>
      <c r="Q1705">
        <f>IF($G1705="","",IF(Sync!$U1701="","0000",IF(AND(ISNUMBER(Sync!$U1701),Sync!$U1701&gt;=0,Sync!$U1701&lt;1),RIGHT("00"&amp;HOUR(Sync!$U1701),2)&amp;RIGHT("00"&amp;MINUTE(Sync!$U1701),2),IFERROR(RIGHT("00"&amp;VALUE(LEFT(Sync!$U1701,FIND(":",Sync!$U1701)-1)),2)&amp;RIGHT("00"&amp;VALUE(MID(Sync!$U1701,FIND(":",Sync!$U1701)+1,2)),2),"0000"))))</f>
        <v/>
      </c>
    </row>
    <row r="1706">
      <c r="A1706">
        <f>IF(Sync!$T1702="","",Sync!$T1702)</f>
        <v/>
      </c>
      <c r="B1706">
        <f>IF($A1706="","",IF(ISNUMBER($A1706),IF(AND($A1706&gt;=10000101,$A1706&lt;=99991231),INT($A1706/10000),""),IFERROR(VALUE(TRIM(LEFT($A1706,FIND("/",$A1706)-1))),"")))</f>
        <v/>
      </c>
      <c r="C1706">
        <f>IF(OR($A1706="",$B1706=""),"",IF(ISNUMBER($A1706),INT(MOD($A1706,10000)/100),IFERROR(VALUE(TRIM(LEFT(MID($A1706,FIND("/",$A1706)+1,20),FIND("/",MID($A1706,FIND("/",$A1706)+1,20))-1))),"")))</f>
        <v/>
      </c>
      <c r="D1706">
        <f>IF(OR($A1706="",$B1706=""),"",IF(ISNUMBER($A1706),MOD($A1706,100),IFERROR(VALUE(TRIM(MID(MID($A1706,FIND("/",$A1706)+1,20),FIND("/",MID($A1706,FIND("/",$A1706)+1,20))+1,20))),"")))</f>
        <v/>
      </c>
      <c r="E1706">
        <f>IF($A1706="","",IF(OR($B1706="",$C1706="",$D1706="",$B1706&lt;1300,$B1706&gt;1500,$C1706&lt;1,$C1706&gt;12,$D1706&lt;1,$D1706&gt;31),"نامعتبر",RIGHT("0000"&amp;$B1706,4)&amp;"/"&amp;RIGHT("00"&amp;$C1706,2)&amp;"/"&amp;RIGHT("00"&amp;$D1706,2)))</f>
        <v/>
      </c>
      <c r="F1706">
        <f>IF(OR($E1706="",$E1706="نامعتبر"),"",LEFT($E1706,4)&amp;"/"&amp;MID($E1706,6,2))</f>
        <v/>
      </c>
      <c r="G1706">
        <f>IF(OR($E1706="",$E1706="نامعتبر",Sync!$X1702=""),"",IF(AND(LEFT(UPPER(TRIM(Sync!$X1702)),2)="SL",IFERROR(VLOOKUP(Sync!$W1702,OpTbl,3,0),"")="فروش"),UPPER(TRIM(Sync!$X1702)),""))</f>
        <v/>
      </c>
      <c r="H1706">
        <f>IF($G1706="","",IF(Sync!$W1702="","",Sync!$W1702))</f>
        <v/>
      </c>
      <c r="I1706">
        <f>IF(OR($G1706="",Sync!$Y1702=""),"",Sync!$Y1702)</f>
        <v/>
      </c>
      <c r="J1706">
        <f>IF(OR($G1706="",Sync!$Z1702=""),"",Sync!$Z1702)</f>
        <v/>
      </c>
      <c r="K1706">
        <f>IF($G1706="",0,IF(Sync!$AA1702="",0,Sync!$AA1702))</f>
        <v/>
      </c>
      <c r="L1706">
        <f>IF($G1706="",0,IF(Sync!$AB1702="",0,Sync!$AB1702))</f>
        <v/>
      </c>
      <c r="M1706">
        <f>IF($G1706="","",IF($H1706="مرجوعی فروش",-1,1)*($K1706-$L1706*IFERROR(VLOOKUP("P01",ParamTbl,3,0),1.5)))</f>
        <v/>
      </c>
      <c r="N1706">
        <f>IF($G1706="",0,IF($H1706="مرجوعی فروش",-1,1)*IF(Sync!$AC1702="",0,Sync!$AC1702))</f>
        <v/>
      </c>
      <c r="O1706">
        <f>IF(OR($G1706="",Sync!$V1702=""),"",Sync!$V1702)</f>
        <v/>
      </c>
      <c r="P1706">
        <f>IF(OR($G1706="",Sync!$AD1702=""),"",Sync!$AD1702)</f>
        <v/>
      </c>
      <c r="Q1706">
        <f>IF($G1706="","",IF(Sync!$U1702="","0000",IF(AND(ISNUMBER(Sync!$U1702),Sync!$U1702&gt;=0,Sync!$U1702&lt;1),RIGHT("00"&amp;HOUR(Sync!$U1702),2)&amp;RIGHT("00"&amp;MINUTE(Sync!$U1702),2),IFERROR(RIGHT("00"&amp;VALUE(LEFT(Sync!$U1702,FIND(":",Sync!$U1702)-1)),2)&amp;RIGHT("00"&amp;VALUE(MID(Sync!$U1702,FIND(":",Sync!$U1702)+1,2)),2),"0000"))))</f>
        <v/>
      </c>
    </row>
    <row r="1707">
      <c r="A1707">
        <f>IF(Sync!$T1703="","",Sync!$T1703)</f>
        <v/>
      </c>
      <c r="B1707">
        <f>IF($A1707="","",IF(ISNUMBER($A1707),IF(AND($A1707&gt;=10000101,$A1707&lt;=99991231),INT($A1707/10000),""),IFERROR(VALUE(TRIM(LEFT($A1707,FIND("/",$A1707)-1))),"")))</f>
        <v/>
      </c>
      <c r="C1707">
        <f>IF(OR($A1707="",$B1707=""),"",IF(ISNUMBER($A1707),INT(MOD($A1707,10000)/100),IFERROR(VALUE(TRIM(LEFT(MID($A1707,FIND("/",$A1707)+1,20),FIND("/",MID($A1707,FIND("/",$A1707)+1,20))-1))),"")))</f>
        <v/>
      </c>
      <c r="D1707">
        <f>IF(OR($A1707="",$B1707=""),"",IF(ISNUMBER($A1707),MOD($A1707,100),IFERROR(VALUE(TRIM(MID(MID($A1707,FIND("/",$A1707)+1,20),FIND("/",MID($A1707,FIND("/",$A1707)+1,20))+1,20))),"")))</f>
        <v/>
      </c>
      <c r="E1707">
        <f>IF($A1707="","",IF(OR($B1707="",$C1707="",$D1707="",$B1707&lt;1300,$B1707&gt;1500,$C1707&lt;1,$C1707&gt;12,$D1707&lt;1,$D1707&gt;31),"نامعتبر",RIGHT("0000"&amp;$B1707,4)&amp;"/"&amp;RIGHT("00"&amp;$C1707,2)&amp;"/"&amp;RIGHT("00"&amp;$D1707,2)))</f>
        <v/>
      </c>
      <c r="F1707">
        <f>IF(OR($E1707="",$E1707="نامعتبر"),"",LEFT($E1707,4)&amp;"/"&amp;MID($E1707,6,2))</f>
        <v/>
      </c>
      <c r="G1707">
        <f>IF(OR($E1707="",$E1707="نامعتبر",Sync!$X1703=""),"",IF(AND(LEFT(UPPER(TRIM(Sync!$X1703)),2)="SL",IFERROR(VLOOKUP(Sync!$W1703,OpTbl,3,0),"")="فروش"),UPPER(TRIM(Sync!$X1703)),""))</f>
        <v/>
      </c>
      <c r="H1707">
        <f>IF($G1707="","",IF(Sync!$W1703="","",Sync!$W1703))</f>
        <v/>
      </c>
      <c r="I1707">
        <f>IF(OR($G1707="",Sync!$Y1703=""),"",Sync!$Y1703)</f>
        <v/>
      </c>
      <c r="J1707">
        <f>IF(OR($G1707="",Sync!$Z1703=""),"",Sync!$Z1703)</f>
        <v/>
      </c>
      <c r="K1707">
        <f>IF($G1707="",0,IF(Sync!$AA1703="",0,Sync!$AA1703))</f>
        <v/>
      </c>
      <c r="L1707">
        <f>IF($G1707="",0,IF(Sync!$AB1703="",0,Sync!$AB1703))</f>
        <v/>
      </c>
      <c r="M1707">
        <f>IF($G1707="","",IF($H1707="مرجوعی فروش",-1,1)*($K1707-$L1707*IFERROR(VLOOKUP("P01",ParamTbl,3,0),1.5)))</f>
        <v/>
      </c>
      <c r="N1707">
        <f>IF($G1707="",0,IF($H1707="مرجوعی فروش",-1,1)*IF(Sync!$AC1703="",0,Sync!$AC1703))</f>
        <v/>
      </c>
      <c r="O1707">
        <f>IF(OR($G1707="",Sync!$V1703=""),"",Sync!$V1703)</f>
        <v/>
      </c>
      <c r="P1707">
        <f>IF(OR($G1707="",Sync!$AD1703=""),"",Sync!$AD1703)</f>
        <v/>
      </c>
      <c r="Q1707">
        <f>IF($G1707="","",IF(Sync!$U1703="","0000",IF(AND(ISNUMBER(Sync!$U1703),Sync!$U1703&gt;=0,Sync!$U1703&lt;1),RIGHT("00"&amp;HOUR(Sync!$U1703),2)&amp;RIGHT("00"&amp;MINUTE(Sync!$U1703),2),IFERROR(RIGHT("00"&amp;VALUE(LEFT(Sync!$U1703,FIND(":",Sync!$U1703)-1)),2)&amp;RIGHT("00"&amp;VALUE(MID(Sync!$U1703,FIND(":",Sync!$U1703)+1,2)),2),"0000"))))</f>
        <v/>
      </c>
    </row>
    <row r="1708">
      <c r="A1708">
        <f>IF(Sync!$T1704="","",Sync!$T1704)</f>
        <v/>
      </c>
      <c r="B1708">
        <f>IF($A1708="","",IF(ISNUMBER($A1708),IF(AND($A1708&gt;=10000101,$A1708&lt;=99991231),INT($A1708/10000),""),IFERROR(VALUE(TRIM(LEFT($A1708,FIND("/",$A1708)-1))),"")))</f>
        <v/>
      </c>
      <c r="C1708">
        <f>IF(OR($A1708="",$B1708=""),"",IF(ISNUMBER($A1708),INT(MOD($A1708,10000)/100),IFERROR(VALUE(TRIM(LEFT(MID($A1708,FIND("/",$A1708)+1,20),FIND("/",MID($A1708,FIND("/",$A1708)+1,20))-1))),"")))</f>
        <v/>
      </c>
      <c r="D1708">
        <f>IF(OR($A1708="",$B1708=""),"",IF(ISNUMBER($A1708),MOD($A1708,100),IFERROR(VALUE(TRIM(MID(MID($A1708,FIND("/",$A1708)+1,20),FIND("/",MID($A1708,FIND("/",$A1708)+1,20))+1,20))),"")))</f>
        <v/>
      </c>
      <c r="E1708">
        <f>IF($A1708="","",IF(OR($B1708="",$C1708="",$D1708="",$B1708&lt;1300,$B1708&gt;1500,$C1708&lt;1,$C1708&gt;12,$D1708&lt;1,$D1708&gt;31),"نامعتبر",RIGHT("0000"&amp;$B1708,4)&amp;"/"&amp;RIGHT("00"&amp;$C1708,2)&amp;"/"&amp;RIGHT("00"&amp;$D1708,2)))</f>
        <v/>
      </c>
      <c r="F1708">
        <f>IF(OR($E1708="",$E1708="نامعتبر"),"",LEFT($E1708,4)&amp;"/"&amp;MID($E1708,6,2))</f>
        <v/>
      </c>
      <c r="G1708">
        <f>IF(OR($E1708="",$E1708="نامعتبر",Sync!$X1704=""),"",IF(AND(LEFT(UPPER(TRIM(Sync!$X1704)),2)="SL",IFERROR(VLOOKUP(Sync!$W1704,OpTbl,3,0),"")="فروش"),UPPER(TRIM(Sync!$X1704)),""))</f>
        <v/>
      </c>
      <c r="H1708">
        <f>IF($G1708="","",IF(Sync!$W1704="","",Sync!$W1704))</f>
        <v/>
      </c>
      <c r="I1708">
        <f>IF(OR($G1708="",Sync!$Y1704=""),"",Sync!$Y1704)</f>
        <v/>
      </c>
      <c r="J1708">
        <f>IF(OR($G1708="",Sync!$Z1704=""),"",Sync!$Z1704)</f>
        <v/>
      </c>
      <c r="K1708">
        <f>IF($G1708="",0,IF(Sync!$AA1704="",0,Sync!$AA1704))</f>
        <v/>
      </c>
      <c r="L1708">
        <f>IF($G1708="",0,IF(Sync!$AB1704="",0,Sync!$AB1704))</f>
        <v/>
      </c>
      <c r="M1708">
        <f>IF($G1708="","",IF($H1708="مرجوعی فروش",-1,1)*($K1708-$L1708*IFERROR(VLOOKUP("P01",ParamTbl,3,0),1.5)))</f>
        <v/>
      </c>
      <c r="N1708">
        <f>IF($G1708="",0,IF($H1708="مرجوعی فروش",-1,1)*IF(Sync!$AC1704="",0,Sync!$AC1704))</f>
        <v/>
      </c>
      <c r="O1708">
        <f>IF(OR($G1708="",Sync!$V1704=""),"",Sync!$V1704)</f>
        <v/>
      </c>
      <c r="P1708">
        <f>IF(OR($G1708="",Sync!$AD1704=""),"",Sync!$AD1704)</f>
        <v/>
      </c>
      <c r="Q1708">
        <f>IF($G1708="","",IF(Sync!$U1704="","0000",IF(AND(ISNUMBER(Sync!$U1704),Sync!$U1704&gt;=0,Sync!$U1704&lt;1),RIGHT("00"&amp;HOUR(Sync!$U1704),2)&amp;RIGHT("00"&amp;MINUTE(Sync!$U1704),2),IFERROR(RIGHT("00"&amp;VALUE(LEFT(Sync!$U1704,FIND(":",Sync!$U1704)-1)),2)&amp;RIGHT("00"&amp;VALUE(MID(Sync!$U1704,FIND(":",Sync!$U1704)+1,2)),2),"0000"))))</f>
        <v/>
      </c>
    </row>
    <row r="1709">
      <c r="A1709">
        <f>IF(Sync!$T1705="","",Sync!$T1705)</f>
        <v/>
      </c>
      <c r="B1709">
        <f>IF($A1709="","",IF(ISNUMBER($A1709),IF(AND($A1709&gt;=10000101,$A1709&lt;=99991231),INT($A1709/10000),""),IFERROR(VALUE(TRIM(LEFT($A1709,FIND("/",$A1709)-1))),"")))</f>
        <v/>
      </c>
      <c r="C1709">
        <f>IF(OR($A1709="",$B1709=""),"",IF(ISNUMBER($A1709),INT(MOD($A1709,10000)/100),IFERROR(VALUE(TRIM(LEFT(MID($A1709,FIND("/",$A1709)+1,20),FIND("/",MID($A1709,FIND("/",$A1709)+1,20))-1))),"")))</f>
        <v/>
      </c>
      <c r="D1709">
        <f>IF(OR($A1709="",$B1709=""),"",IF(ISNUMBER($A1709),MOD($A1709,100),IFERROR(VALUE(TRIM(MID(MID($A1709,FIND("/",$A1709)+1,20),FIND("/",MID($A1709,FIND("/",$A1709)+1,20))+1,20))),"")))</f>
        <v/>
      </c>
      <c r="E1709">
        <f>IF($A1709="","",IF(OR($B1709="",$C1709="",$D1709="",$B1709&lt;1300,$B1709&gt;1500,$C1709&lt;1,$C1709&gt;12,$D1709&lt;1,$D1709&gt;31),"نامعتبر",RIGHT("0000"&amp;$B1709,4)&amp;"/"&amp;RIGHT("00"&amp;$C1709,2)&amp;"/"&amp;RIGHT("00"&amp;$D1709,2)))</f>
        <v/>
      </c>
      <c r="F1709">
        <f>IF(OR($E1709="",$E1709="نامعتبر"),"",LEFT($E1709,4)&amp;"/"&amp;MID($E1709,6,2))</f>
        <v/>
      </c>
      <c r="G1709">
        <f>IF(OR($E1709="",$E1709="نامعتبر",Sync!$X1705=""),"",IF(AND(LEFT(UPPER(TRIM(Sync!$X1705)),2)="SL",IFERROR(VLOOKUP(Sync!$W1705,OpTbl,3,0),"")="فروش"),UPPER(TRIM(Sync!$X1705)),""))</f>
        <v/>
      </c>
      <c r="H1709">
        <f>IF($G1709="","",IF(Sync!$W1705="","",Sync!$W1705))</f>
        <v/>
      </c>
      <c r="I1709">
        <f>IF(OR($G1709="",Sync!$Y1705=""),"",Sync!$Y1705)</f>
        <v/>
      </c>
      <c r="J1709">
        <f>IF(OR($G1709="",Sync!$Z1705=""),"",Sync!$Z1705)</f>
        <v/>
      </c>
      <c r="K1709">
        <f>IF($G1709="",0,IF(Sync!$AA1705="",0,Sync!$AA1705))</f>
        <v/>
      </c>
      <c r="L1709">
        <f>IF($G1709="",0,IF(Sync!$AB1705="",0,Sync!$AB1705))</f>
        <v/>
      </c>
      <c r="M1709">
        <f>IF($G1709="","",IF($H1709="مرجوعی فروش",-1,1)*($K1709-$L1709*IFERROR(VLOOKUP("P01",ParamTbl,3,0),1.5)))</f>
        <v/>
      </c>
      <c r="N1709">
        <f>IF($G1709="",0,IF($H1709="مرجوعی فروش",-1,1)*IF(Sync!$AC1705="",0,Sync!$AC1705))</f>
        <v/>
      </c>
      <c r="O1709">
        <f>IF(OR($G1709="",Sync!$V1705=""),"",Sync!$V1705)</f>
        <v/>
      </c>
      <c r="P1709">
        <f>IF(OR($G1709="",Sync!$AD1705=""),"",Sync!$AD1705)</f>
        <v/>
      </c>
      <c r="Q1709">
        <f>IF($G1709="","",IF(Sync!$U1705="","0000",IF(AND(ISNUMBER(Sync!$U1705),Sync!$U1705&gt;=0,Sync!$U1705&lt;1),RIGHT("00"&amp;HOUR(Sync!$U1705),2)&amp;RIGHT("00"&amp;MINUTE(Sync!$U1705),2),IFERROR(RIGHT("00"&amp;VALUE(LEFT(Sync!$U1705,FIND(":",Sync!$U1705)-1)),2)&amp;RIGHT("00"&amp;VALUE(MID(Sync!$U1705,FIND(":",Sync!$U1705)+1,2)),2),"0000"))))</f>
        <v/>
      </c>
    </row>
    <row r="1710">
      <c r="A1710">
        <f>IF(Sync!$T1706="","",Sync!$T1706)</f>
        <v/>
      </c>
      <c r="B1710">
        <f>IF($A1710="","",IF(ISNUMBER($A1710),IF(AND($A1710&gt;=10000101,$A1710&lt;=99991231),INT($A1710/10000),""),IFERROR(VALUE(TRIM(LEFT($A1710,FIND("/",$A1710)-1))),"")))</f>
        <v/>
      </c>
      <c r="C1710">
        <f>IF(OR($A1710="",$B1710=""),"",IF(ISNUMBER($A1710),INT(MOD($A1710,10000)/100),IFERROR(VALUE(TRIM(LEFT(MID($A1710,FIND("/",$A1710)+1,20),FIND("/",MID($A1710,FIND("/",$A1710)+1,20))-1))),"")))</f>
        <v/>
      </c>
      <c r="D1710">
        <f>IF(OR($A1710="",$B1710=""),"",IF(ISNUMBER($A1710),MOD($A1710,100),IFERROR(VALUE(TRIM(MID(MID($A1710,FIND("/",$A1710)+1,20),FIND("/",MID($A1710,FIND("/",$A1710)+1,20))+1,20))),"")))</f>
        <v/>
      </c>
      <c r="E1710">
        <f>IF($A1710="","",IF(OR($B1710="",$C1710="",$D1710="",$B1710&lt;1300,$B1710&gt;1500,$C1710&lt;1,$C1710&gt;12,$D1710&lt;1,$D1710&gt;31),"نامعتبر",RIGHT("0000"&amp;$B1710,4)&amp;"/"&amp;RIGHT("00"&amp;$C1710,2)&amp;"/"&amp;RIGHT("00"&amp;$D1710,2)))</f>
        <v/>
      </c>
      <c r="F1710">
        <f>IF(OR($E1710="",$E1710="نامعتبر"),"",LEFT($E1710,4)&amp;"/"&amp;MID($E1710,6,2))</f>
        <v/>
      </c>
      <c r="G1710">
        <f>IF(OR($E1710="",$E1710="نامعتبر",Sync!$X1706=""),"",IF(AND(LEFT(UPPER(TRIM(Sync!$X1706)),2)="SL",IFERROR(VLOOKUP(Sync!$W1706,OpTbl,3,0),"")="فروش"),UPPER(TRIM(Sync!$X1706)),""))</f>
        <v/>
      </c>
      <c r="H1710">
        <f>IF($G1710="","",IF(Sync!$W1706="","",Sync!$W1706))</f>
        <v/>
      </c>
      <c r="I1710">
        <f>IF(OR($G1710="",Sync!$Y1706=""),"",Sync!$Y1706)</f>
        <v/>
      </c>
      <c r="J1710">
        <f>IF(OR($G1710="",Sync!$Z1706=""),"",Sync!$Z1706)</f>
        <v/>
      </c>
      <c r="K1710">
        <f>IF($G1710="",0,IF(Sync!$AA1706="",0,Sync!$AA1706))</f>
        <v/>
      </c>
      <c r="L1710">
        <f>IF($G1710="",0,IF(Sync!$AB1706="",0,Sync!$AB1706))</f>
        <v/>
      </c>
      <c r="M1710">
        <f>IF($G1710="","",IF($H1710="مرجوعی فروش",-1,1)*($K1710-$L1710*IFERROR(VLOOKUP("P01",ParamTbl,3,0),1.5)))</f>
        <v/>
      </c>
      <c r="N1710">
        <f>IF($G1710="",0,IF($H1710="مرجوعی فروش",-1,1)*IF(Sync!$AC1706="",0,Sync!$AC1706))</f>
        <v/>
      </c>
      <c r="O1710">
        <f>IF(OR($G1710="",Sync!$V1706=""),"",Sync!$V1706)</f>
        <v/>
      </c>
      <c r="P1710">
        <f>IF(OR($G1710="",Sync!$AD1706=""),"",Sync!$AD1706)</f>
        <v/>
      </c>
      <c r="Q1710">
        <f>IF($G1710="","",IF(Sync!$U1706="","0000",IF(AND(ISNUMBER(Sync!$U1706),Sync!$U1706&gt;=0,Sync!$U1706&lt;1),RIGHT("00"&amp;HOUR(Sync!$U1706),2)&amp;RIGHT("00"&amp;MINUTE(Sync!$U1706),2),IFERROR(RIGHT("00"&amp;VALUE(LEFT(Sync!$U1706,FIND(":",Sync!$U1706)-1)),2)&amp;RIGHT("00"&amp;VALUE(MID(Sync!$U1706,FIND(":",Sync!$U1706)+1,2)),2),"0000"))))</f>
        <v/>
      </c>
    </row>
    <row r="1711">
      <c r="A1711">
        <f>IF(Sync!$T1707="","",Sync!$T1707)</f>
        <v/>
      </c>
      <c r="B1711">
        <f>IF($A1711="","",IF(ISNUMBER($A1711),IF(AND($A1711&gt;=10000101,$A1711&lt;=99991231),INT($A1711/10000),""),IFERROR(VALUE(TRIM(LEFT($A1711,FIND("/",$A1711)-1))),"")))</f>
        <v/>
      </c>
      <c r="C1711">
        <f>IF(OR($A1711="",$B1711=""),"",IF(ISNUMBER($A1711),INT(MOD($A1711,10000)/100),IFERROR(VALUE(TRIM(LEFT(MID($A1711,FIND("/",$A1711)+1,20),FIND("/",MID($A1711,FIND("/",$A1711)+1,20))-1))),"")))</f>
        <v/>
      </c>
      <c r="D1711">
        <f>IF(OR($A1711="",$B1711=""),"",IF(ISNUMBER($A1711),MOD($A1711,100),IFERROR(VALUE(TRIM(MID(MID($A1711,FIND("/",$A1711)+1,20),FIND("/",MID($A1711,FIND("/",$A1711)+1,20))+1,20))),"")))</f>
        <v/>
      </c>
      <c r="E1711">
        <f>IF($A1711="","",IF(OR($B1711="",$C1711="",$D1711="",$B1711&lt;1300,$B1711&gt;1500,$C1711&lt;1,$C1711&gt;12,$D1711&lt;1,$D1711&gt;31),"نامعتبر",RIGHT("0000"&amp;$B1711,4)&amp;"/"&amp;RIGHT("00"&amp;$C1711,2)&amp;"/"&amp;RIGHT("00"&amp;$D1711,2)))</f>
        <v/>
      </c>
      <c r="F1711">
        <f>IF(OR($E1711="",$E1711="نامعتبر"),"",LEFT($E1711,4)&amp;"/"&amp;MID($E1711,6,2))</f>
        <v/>
      </c>
      <c r="G1711">
        <f>IF(OR($E1711="",$E1711="نامعتبر",Sync!$X1707=""),"",IF(AND(LEFT(UPPER(TRIM(Sync!$X1707)),2)="SL",IFERROR(VLOOKUP(Sync!$W1707,OpTbl,3,0),"")="فروش"),UPPER(TRIM(Sync!$X1707)),""))</f>
        <v/>
      </c>
      <c r="H1711">
        <f>IF($G1711="","",IF(Sync!$W1707="","",Sync!$W1707))</f>
        <v/>
      </c>
      <c r="I1711">
        <f>IF(OR($G1711="",Sync!$Y1707=""),"",Sync!$Y1707)</f>
        <v/>
      </c>
      <c r="J1711">
        <f>IF(OR($G1711="",Sync!$Z1707=""),"",Sync!$Z1707)</f>
        <v/>
      </c>
      <c r="K1711">
        <f>IF($G1711="",0,IF(Sync!$AA1707="",0,Sync!$AA1707))</f>
        <v/>
      </c>
      <c r="L1711">
        <f>IF($G1711="",0,IF(Sync!$AB1707="",0,Sync!$AB1707))</f>
        <v/>
      </c>
      <c r="M1711">
        <f>IF($G1711="","",IF($H1711="مرجوعی فروش",-1,1)*($K1711-$L1711*IFERROR(VLOOKUP("P01",ParamTbl,3,0),1.5)))</f>
        <v/>
      </c>
      <c r="N1711">
        <f>IF($G1711="",0,IF($H1711="مرجوعی فروش",-1,1)*IF(Sync!$AC1707="",0,Sync!$AC1707))</f>
        <v/>
      </c>
      <c r="O1711">
        <f>IF(OR($G1711="",Sync!$V1707=""),"",Sync!$V1707)</f>
        <v/>
      </c>
      <c r="P1711">
        <f>IF(OR($G1711="",Sync!$AD1707=""),"",Sync!$AD1707)</f>
        <v/>
      </c>
      <c r="Q1711">
        <f>IF($G1711="","",IF(Sync!$U1707="","0000",IF(AND(ISNUMBER(Sync!$U1707),Sync!$U1707&gt;=0,Sync!$U1707&lt;1),RIGHT("00"&amp;HOUR(Sync!$U1707),2)&amp;RIGHT("00"&amp;MINUTE(Sync!$U1707),2),IFERROR(RIGHT("00"&amp;VALUE(LEFT(Sync!$U1707,FIND(":",Sync!$U1707)-1)),2)&amp;RIGHT("00"&amp;VALUE(MID(Sync!$U1707,FIND(":",Sync!$U1707)+1,2)),2),"0000"))))</f>
        <v/>
      </c>
    </row>
    <row r="1712">
      <c r="A1712">
        <f>IF(Sync!$T1708="","",Sync!$T1708)</f>
        <v/>
      </c>
      <c r="B1712">
        <f>IF($A1712="","",IF(ISNUMBER($A1712),IF(AND($A1712&gt;=10000101,$A1712&lt;=99991231),INT($A1712/10000),""),IFERROR(VALUE(TRIM(LEFT($A1712,FIND("/",$A1712)-1))),"")))</f>
        <v/>
      </c>
      <c r="C1712">
        <f>IF(OR($A1712="",$B1712=""),"",IF(ISNUMBER($A1712),INT(MOD($A1712,10000)/100),IFERROR(VALUE(TRIM(LEFT(MID($A1712,FIND("/",$A1712)+1,20),FIND("/",MID($A1712,FIND("/",$A1712)+1,20))-1))),"")))</f>
        <v/>
      </c>
      <c r="D1712">
        <f>IF(OR($A1712="",$B1712=""),"",IF(ISNUMBER($A1712),MOD($A1712,100),IFERROR(VALUE(TRIM(MID(MID($A1712,FIND("/",$A1712)+1,20),FIND("/",MID($A1712,FIND("/",$A1712)+1,20))+1,20))),"")))</f>
        <v/>
      </c>
      <c r="E1712">
        <f>IF($A1712="","",IF(OR($B1712="",$C1712="",$D1712="",$B1712&lt;1300,$B1712&gt;1500,$C1712&lt;1,$C1712&gt;12,$D1712&lt;1,$D1712&gt;31),"نامعتبر",RIGHT("0000"&amp;$B1712,4)&amp;"/"&amp;RIGHT("00"&amp;$C1712,2)&amp;"/"&amp;RIGHT("00"&amp;$D1712,2)))</f>
        <v/>
      </c>
      <c r="F1712">
        <f>IF(OR($E1712="",$E1712="نامعتبر"),"",LEFT($E1712,4)&amp;"/"&amp;MID($E1712,6,2))</f>
        <v/>
      </c>
      <c r="G1712">
        <f>IF(OR($E1712="",$E1712="نامعتبر",Sync!$X1708=""),"",IF(AND(LEFT(UPPER(TRIM(Sync!$X1708)),2)="SL",IFERROR(VLOOKUP(Sync!$W1708,OpTbl,3,0),"")="فروش"),UPPER(TRIM(Sync!$X1708)),""))</f>
        <v/>
      </c>
      <c r="H1712">
        <f>IF($G1712="","",IF(Sync!$W1708="","",Sync!$W1708))</f>
        <v/>
      </c>
      <c r="I1712">
        <f>IF(OR($G1712="",Sync!$Y1708=""),"",Sync!$Y1708)</f>
        <v/>
      </c>
      <c r="J1712">
        <f>IF(OR($G1712="",Sync!$Z1708=""),"",Sync!$Z1708)</f>
        <v/>
      </c>
      <c r="K1712">
        <f>IF($G1712="",0,IF(Sync!$AA1708="",0,Sync!$AA1708))</f>
        <v/>
      </c>
      <c r="L1712">
        <f>IF($G1712="",0,IF(Sync!$AB1708="",0,Sync!$AB1708))</f>
        <v/>
      </c>
      <c r="M1712">
        <f>IF($G1712="","",IF($H1712="مرجوعی فروش",-1,1)*($K1712-$L1712*IFERROR(VLOOKUP("P01",ParamTbl,3,0),1.5)))</f>
        <v/>
      </c>
      <c r="N1712">
        <f>IF($G1712="",0,IF($H1712="مرجوعی فروش",-1,1)*IF(Sync!$AC1708="",0,Sync!$AC1708))</f>
        <v/>
      </c>
      <c r="O1712">
        <f>IF(OR($G1712="",Sync!$V1708=""),"",Sync!$V1708)</f>
        <v/>
      </c>
      <c r="P1712">
        <f>IF(OR($G1712="",Sync!$AD1708=""),"",Sync!$AD1708)</f>
        <v/>
      </c>
      <c r="Q1712">
        <f>IF($G1712="","",IF(Sync!$U1708="","0000",IF(AND(ISNUMBER(Sync!$U1708),Sync!$U1708&gt;=0,Sync!$U1708&lt;1),RIGHT("00"&amp;HOUR(Sync!$U1708),2)&amp;RIGHT("00"&amp;MINUTE(Sync!$U1708),2),IFERROR(RIGHT("00"&amp;VALUE(LEFT(Sync!$U1708,FIND(":",Sync!$U1708)-1)),2)&amp;RIGHT("00"&amp;VALUE(MID(Sync!$U1708,FIND(":",Sync!$U1708)+1,2)),2),"0000"))))</f>
        <v/>
      </c>
    </row>
    <row r="1713">
      <c r="A1713">
        <f>IF(Sync!$T1709="","",Sync!$T1709)</f>
        <v/>
      </c>
      <c r="B1713">
        <f>IF($A1713="","",IF(ISNUMBER($A1713),IF(AND($A1713&gt;=10000101,$A1713&lt;=99991231),INT($A1713/10000),""),IFERROR(VALUE(TRIM(LEFT($A1713,FIND("/",$A1713)-1))),"")))</f>
        <v/>
      </c>
      <c r="C1713">
        <f>IF(OR($A1713="",$B1713=""),"",IF(ISNUMBER($A1713),INT(MOD($A1713,10000)/100),IFERROR(VALUE(TRIM(LEFT(MID($A1713,FIND("/",$A1713)+1,20),FIND("/",MID($A1713,FIND("/",$A1713)+1,20))-1))),"")))</f>
        <v/>
      </c>
      <c r="D1713">
        <f>IF(OR($A1713="",$B1713=""),"",IF(ISNUMBER($A1713),MOD($A1713,100),IFERROR(VALUE(TRIM(MID(MID($A1713,FIND("/",$A1713)+1,20),FIND("/",MID($A1713,FIND("/",$A1713)+1,20))+1,20))),"")))</f>
        <v/>
      </c>
      <c r="E1713">
        <f>IF($A1713="","",IF(OR($B1713="",$C1713="",$D1713="",$B1713&lt;1300,$B1713&gt;1500,$C1713&lt;1,$C1713&gt;12,$D1713&lt;1,$D1713&gt;31),"نامعتبر",RIGHT("0000"&amp;$B1713,4)&amp;"/"&amp;RIGHT("00"&amp;$C1713,2)&amp;"/"&amp;RIGHT("00"&amp;$D1713,2)))</f>
        <v/>
      </c>
      <c r="F1713">
        <f>IF(OR($E1713="",$E1713="نامعتبر"),"",LEFT($E1713,4)&amp;"/"&amp;MID($E1713,6,2))</f>
        <v/>
      </c>
      <c r="G1713">
        <f>IF(OR($E1713="",$E1713="نامعتبر",Sync!$X1709=""),"",IF(AND(LEFT(UPPER(TRIM(Sync!$X1709)),2)="SL",IFERROR(VLOOKUP(Sync!$W1709,OpTbl,3,0),"")="فروش"),UPPER(TRIM(Sync!$X1709)),""))</f>
        <v/>
      </c>
      <c r="H1713">
        <f>IF($G1713="","",IF(Sync!$W1709="","",Sync!$W1709))</f>
        <v/>
      </c>
      <c r="I1713">
        <f>IF(OR($G1713="",Sync!$Y1709=""),"",Sync!$Y1709)</f>
        <v/>
      </c>
      <c r="J1713">
        <f>IF(OR($G1713="",Sync!$Z1709=""),"",Sync!$Z1709)</f>
        <v/>
      </c>
      <c r="K1713">
        <f>IF($G1713="",0,IF(Sync!$AA1709="",0,Sync!$AA1709))</f>
        <v/>
      </c>
      <c r="L1713">
        <f>IF($G1713="",0,IF(Sync!$AB1709="",0,Sync!$AB1709))</f>
        <v/>
      </c>
      <c r="M1713">
        <f>IF($G1713="","",IF($H1713="مرجوعی فروش",-1,1)*($K1713-$L1713*IFERROR(VLOOKUP("P01",ParamTbl,3,0),1.5)))</f>
        <v/>
      </c>
      <c r="N1713">
        <f>IF($G1713="",0,IF($H1713="مرجوعی فروش",-1,1)*IF(Sync!$AC1709="",0,Sync!$AC1709))</f>
        <v/>
      </c>
      <c r="O1713">
        <f>IF(OR($G1713="",Sync!$V1709=""),"",Sync!$V1709)</f>
        <v/>
      </c>
      <c r="P1713">
        <f>IF(OR($G1713="",Sync!$AD1709=""),"",Sync!$AD1709)</f>
        <v/>
      </c>
      <c r="Q1713">
        <f>IF($G1713="","",IF(Sync!$U1709="","0000",IF(AND(ISNUMBER(Sync!$U1709),Sync!$U1709&gt;=0,Sync!$U1709&lt;1),RIGHT("00"&amp;HOUR(Sync!$U1709),2)&amp;RIGHT("00"&amp;MINUTE(Sync!$U1709),2),IFERROR(RIGHT("00"&amp;VALUE(LEFT(Sync!$U1709,FIND(":",Sync!$U1709)-1)),2)&amp;RIGHT("00"&amp;VALUE(MID(Sync!$U1709,FIND(":",Sync!$U1709)+1,2)),2),"0000"))))</f>
        <v/>
      </c>
    </row>
    <row r="1714">
      <c r="A1714">
        <f>IF(Sync!$T1710="","",Sync!$T1710)</f>
        <v/>
      </c>
      <c r="B1714">
        <f>IF($A1714="","",IF(ISNUMBER($A1714),IF(AND($A1714&gt;=10000101,$A1714&lt;=99991231),INT($A1714/10000),""),IFERROR(VALUE(TRIM(LEFT($A1714,FIND("/",$A1714)-1))),"")))</f>
        <v/>
      </c>
      <c r="C1714">
        <f>IF(OR($A1714="",$B1714=""),"",IF(ISNUMBER($A1714),INT(MOD($A1714,10000)/100),IFERROR(VALUE(TRIM(LEFT(MID($A1714,FIND("/",$A1714)+1,20),FIND("/",MID($A1714,FIND("/",$A1714)+1,20))-1))),"")))</f>
        <v/>
      </c>
      <c r="D1714">
        <f>IF(OR($A1714="",$B1714=""),"",IF(ISNUMBER($A1714),MOD($A1714,100),IFERROR(VALUE(TRIM(MID(MID($A1714,FIND("/",$A1714)+1,20),FIND("/",MID($A1714,FIND("/",$A1714)+1,20))+1,20))),"")))</f>
        <v/>
      </c>
      <c r="E1714">
        <f>IF($A1714="","",IF(OR($B1714="",$C1714="",$D1714="",$B1714&lt;1300,$B1714&gt;1500,$C1714&lt;1,$C1714&gt;12,$D1714&lt;1,$D1714&gt;31),"نامعتبر",RIGHT("0000"&amp;$B1714,4)&amp;"/"&amp;RIGHT("00"&amp;$C1714,2)&amp;"/"&amp;RIGHT("00"&amp;$D1714,2)))</f>
        <v/>
      </c>
      <c r="F1714">
        <f>IF(OR($E1714="",$E1714="نامعتبر"),"",LEFT($E1714,4)&amp;"/"&amp;MID($E1714,6,2))</f>
        <v/>
      </c>
      <c r="G1714">
        <f>IF(OR($E1714="",$E1714="نامعتبر",Sync!$X1710=""),"",IF(AND(LEFT(UPPER(TRIM(Sync!$X1710)),2)="SL",IFERROR(VLOOKUP(Sync!$W1710,OpTbl,3,0),"")="فروش"),UPPER(TRIM(Sync!$X1710)),""))</f>
        <v/>
      </c>
      <c r="H1714">
        <f>IF($G1714="","",IF(Sync!$W1710="","",Sync!$W1710))</f>
        <v/>
      </c>
      <c r="I1714">
        <f>IF(OR($G1714="",Sync!$Y1710=""),"",Sync!$Y1710)</f>
        <v/>
      </c>
      <c r="J1714">
        <f>IF(OR($G1714="",Sync!$Z1710=""),"",Sync!$Z1710)</f>
        <v/>
      </c>
      <c r="K1714">
        <f>IF($G1714="",0,IF(Sync!$AA1710="",0,Sync!$AA1710))</f>
        <v/>
      </c>
      <c r="L1714">
        <f>IF($G1714="",0,IF(Sync!$AB1710="",0,Sync!$AB1710))</f>
        <v/>
      </c>
      <c r="M1714">
        <f>IF($G1714="","",IF($H1714="مرجوعی فروش",-1,1)*($K1714-$L1714*IFERROR(VLOOKUP("P01",ParamTbl,3,0),1.5)))</f>
        <v/>
      </c>
      <c r="N1714">
        <f>IF($G1714="",0,IF($H1714="مرجوعی فروش",-1,1)*IF(Sync!$AC1710="",0,Sync!$AC1710))</f>
        <v/>
      </c>
      <c r="O1714">
        <f>IF(OR($G1714="",Sync!$V1710=""),"",Sync!$V1710)</f>
        <v/>
      </c>
      <c r="P1714">
        <f>IF(OR($G1714="",Sync!$AD1710=""),"",Sync!$AD1710)</f>
        <v/>
      </c>
      <c r="Q1714">
        <f>IF($G1714="","",IF(Sync!$U1710="","0000",IF(AND(ISNUMBER(Sync!$U1710),Sync!$U1710&gt;=0,Sync!$U1710&lt;1),RIGHT("00"&amp;HOUR(Sync!$U1710),2)&amp;RIGHT("00"&amp;MINUTE(Sync!$U1710),2),IFERROR(RIGHT("00"&amp;VALUE(LEFT(Sync!$U1710,FIND(":",Sync!$U1710)-1)),2)&amp;RIGHT("00"&amp;VALUE(MID(Sync!$U1710,FIND(":",Sync!$U1710)+1,2)),2),"0000"))))</f>
        <v/>
      </c>
    </row>
    <row r="1715">
      <c r="A1715">
        <f>IF(Sync!$T1711="","",Sync!$T1711)</f>
        <v/>
      </c>
      <c r="B1715">
        <f>IF($A1715="","",IF(ISNUMBER($A1715),IF(AND($A1715&gt;=10000101,$A1715&lt;=99991231),INT($A1715/10000),""),IFERROR(VALUE(TRIM(LEFT($A1715,FIND("/",$A1715)-1))),"")))</f>
        <v/>
      </c>
      <c r="C1715">
        <f>IF(OR($A1715="",$B1715=""),"",IF(ISNUMBER($A1715),INT(MOD($A1715,10000)/100),IFERROR(VALUE(TRIM(LEFT(MID($A1715,FIND("/",$A1715)+1,20),FIND("/",MID($A1715,FIND("/",$A1715)+1,20))-1))),"")))</f>
        <v/>
      </c>
      <c r="D1715">
        <f>IF(OR($A1715="",$B1715=""),"",IF(ISNUMBER($A1715),MOD($A1715,100),IFERROR(VALUE(TRIM(MID(MID($A1715,FIND("/",$A1715)+1,20),FIND("/",MID($A1715,FIND("/",$A1715)+1,20))+1,20))),"")))</f>
        <v/>
      </c>
      <c r="E1715">
        <f>IF($A1715="","",IF(OR($B1715="",$C1715="",$D1715="",$B1715&lt;1300,$B1715&gt;1500,$C1715&lt;1,$C1715&gt;12,$D1715&lt;1,$D1715&gt;31),"نامعتبر",RIGHT("0000"&amp;$B1715,4)&amp;"/"&amp;RIGHT("00"&amp;$C1715,2)&amp;"/"&amp;RIGHT("00"&amp;$D1715,2)))</f>
        <v/>
      </c>
      <c r="F1715">
        <f>IF(OR($E1715="",$E1715="نامعتبر"),"",LEFT($E1715,4)&amp;"/"&amp;MID($E1715,6,2))</f>
        <v/>
      </c>
      <c r="G1715">
        <f>IF(OR($E1715="",$E1715="نامعتبر",Sync!$X1711=""),"",IF(AND(LEFT(UPPER(TRIM(Sync!$X1711)),2)="SL",IFERROR(VLOOKUP(Sync!$W1711,OpTbl,3,0),"")="فروش"),UPPER(TRIM(Sync!$X1711)),""))</f>
        <v/>
      </c>
      <c r="H1715">
        <f>IF($G1715="","",IF(Sync!$W1711="","",Sync!$W1711))</f>
        <v/>
      </c>
      <c r="I1715">
        <f>IF(OR($G1715="",Sync!$Y1711=""),"",Sync!$Y1711)</f>
        <v/>
      </c>
      <c r="J1715">
        <f>IF(OR($G1715="",Sync!$Z1711=""),"",Sync!$Z1711)</f>
        <v/>
      </c>
      <c r="K1715">
        <f>IF($G1715="",0,IF(Sync!$AA1711="",0,Sync!$AA1711))</f>
        <v/>
      </c>
      <c r="L1715">
        <f>IF($G1715="",0,IF(Sync!$AB1711="",0,Sync!$AB1711))</f>
        <v/>
      </c>
      <c r="M1715">
        <f>IF($G1715="","",IF($H1715="مرجوعی فروش",-1,1)*($K1715-$L1715*IFERROR(VLOOKUP("P01",ParamTbl,3,0),1.5)))</f>
        <v/>
      </c>
      <c r="N1715">
        <f>IF($G1715="",0,IF($H1715="مرجوعی فروش",-1,1)*IF(Sync!$AC1711="",0,Sync!$AC1711))</f>
        <v/>
      </c>
      <c r="O1715">
        <f>IF(OR($G1715="",Sync!$V1711=""),"",Sync!$V1711)</f>
        <v/>
      </c>
      <c r="P1715">
        <f>IF(OR($G1715="",Sync!$AD1711=""),"",Sync!$AD1711)</f>
        <v/>
      </c>
      <c r="Q1715">
        <f>IF($G1715="","",IF(Sync!$U1711="","0000",IF(AND(ISNUMBER(Sync!$U1711),Sync!$U1711&gt;=0,Sync!$U1711&lt;1),RIGHT("00"&amp;HOUR(Sync!$U1711),2)&amp;RIGHT("00"&amp;MINUTE(Sync!$U1711),2),IFERROR(RIGHT("00"&amp;VALUE(LEFT(Sync!$U1711,FIND(":",Sync!$U1711)-1)),2)&amp;RIGHT("00"&amp;VALUE(MID(Sync!$U1711,FIND(":",Sync!$U1711)+1,2)),2),"0000"))))</f>
        <v/>
      </c>
    </row>
    <row r="1716">
      <c r="A1716">
        <f>IF(Sync!$T1712="","",Sync!$T1712)</f>
        <v/>
      </c>
      <c r="B1716">
        <f>IF($A1716="","",IF(ISNUMBER($A1716),IF(AND($A1716&gt;=10000101,$A1716&lt;=99991231),INT($A1716/10000),""),IFERROR(VALUE(TRIM(LEFT($A1716,FIND("/",$A1716)-1))),"")))</f>
        <v/>
      </c>
      <c r="C1716">
        <f>IF(OR($A1716="",$B1716=""),"",IF(ISNUMBER($A1716),INT(MOD($A1716,10000)/100),IFERROR(VALUE(TRIM(LEFT(MID($A1716,FIND("/",$A1716)+1,20),FIND("/",MID($A1716,FIND("/",$A1716)+1,20))-1))),"")))</f>
        <v/>
      </c>
      <c r="D1716">
        <f>IF(OR($A1716="",$B1716=""),"",IF(ISNUMBER($A1716),MOD($A1716,100),IFERROR(VALUE(TRIM(MID(MID($A1716,FIND("/",$A1716)+1,20),FIND("/",MID($A1716,FIND("/",$A1716)+1,20))+1,20))),"")))</f>
        <v/>
      </c>
      <c r="E1716">
        <f>IF($A1716="","",IF(OR($B1716="",$C1716="",$D1716="",$B1716&lt;1300,$B1716&gt;1500,$C1716&lt;1,$C1716&gt;12,$D1716&lt;1,$D1716&gt;31),"نامعتبر",RIGHT("0000"&amp;$B1716,4)&amp;"/"&amp;RIGHT("00"&amp;$C1716,2)&amp;"/"&amp;RIGHT("00"&amp;$D1716,2)))</f>
        <v/>
      </c>
      <c r="F1716">
        <f>IF(OR($E1716="",$E1716="نامعتبر"),"",LEFT($E1716,4)&amp;"/"&amp;MID($E1716,6,2))</f>
        <v/>
      </c>
      <c r="G1716">
        <f>IF(OR($E1716="",$E1716="نامعتبر",Sync!$X1712=""),"",IF(AND(LEFT(UPPER(TRIM(Sync!$X1712)),2)="SL",IFERROR(VLOOKUP(Sync!$W1712,OpTbl,3,0),"")="فروش"),UPPER(TRIM(Sync!$X1712)),""))</f>
        <v/>
      </c>
      <c r="H1716">
        <f>IF($G1716="","",IF(Sync!$W1712="","",Sync!$W1712))</f>
        <v/>
      </c>
      <c r="I1716">
        <f>IF(OR($G1716="",Sync!$Y1712=""),"",Sync!$Y1712)</f>
        <v/>
      </c>
      <c r="J1716">
        <f>IF(OR($G1716="",Sync!$Z1712=""),"",Sync!$Z1712)</f>
        <v/>
      </c>
      <c r="K1716">
        <f>IF($G1716="",0,IF(Sync!$AA1712="",0,Sync!$AA1712))</f>
        <v/>
      </c>
      <c r="L1716">
        <f>IF($G1716="",0,IF(Sync!$AB1712="",0,Sync!$AB1712))</f>
        <v/>
      </c>
      <c r="M1716">
        <f>IF($G1716="","",IF($H1716="مرجوعی فروش",-1,1)*($K1716-$L1716*IFERROR(VLOOKUP("P01",ParamTbl,3,0),1.5)))</f>
        <v/>
      </c>
      <c r="N1716">
        <f>IF($G1716="",0,IF($H1716="مرجوعی فروش",-1,1)*IF(Sync!$AC1712="",0,Sync!$AC1712))</f>
        <v/>
      </c>
      <c r="O1716">
        <f>IF(OR($G1716="",Sync!$V1712=""),"",Sync!$V1712)</f>
        <v/>
      </c>
      <c r="P1716">
        <f>IF(OR($G1716="",Sync!$AD1712=""),"",Sync!$AD1712)</f>
        <v/>
      </c>
      <c r="Q1716">
        <f>IF($G1716="","",IF(Sync!$U1712="","0000",IF(AND(ISNUMBER(Sync!$U1712),Sync!$U1712&gt;=0,Sync!$U1712&lt;1),RIGHT("00"&amp;HOUR(Sync!$U1712),2)&amp;RIGHT("00"&amp;MINUTE(Sync!$U1712),2),IFERROR(RIGHT("00"&amp;VALUE(LEFT(Sync!$U1712,FIND(":",Sync!$U1712)-1)),2)&amp;RIGHT("00"&amp;VALUE(MID(Sync!$U1712,FIND(":",Sync!$U1712)+1,2)),2),"0000"))))</f>
        <v/>
      </c>
    </row>
    <row r="1717">
      <c r="A1717">
        <f>IF(Sync!$T1713="","",Sync!$T1713)</f>
        <v/>
      </c>
      <c r="B1717">
        <f>IF($A1717="","",IF(ISNUMBER($A1717),IF(AND($A1717&gt;=10000101,$A1717&lt;=99991231),INT($A1717/10000),""),IFERROR(VALUE(TRIM(LEFT($A1717,FIND("/",$A1717)-1))),"")))</f>
        <v/>
      </c>
      <c r="C1717">
        <f>IF(OR($A1717="",$B1717=""),"",IF(ISNUMBER($A1717),INT(MOD($A1717,10000)/100),IFERROR(VALUE(TRIM(LEFT(MID($A1717,FIND("/",$A1717)+1,20),FIND("/",MID($A1717,FIND("/",$A1717)+1,20))-1))),"")))</f>
        <v/>
      </c>
      <c r="D1717">
        <f>IF(OR($A1717="",$B1717=""),"",IF(ISNUMBER($A1717),MOD($A1717,100),IFERROR(VALUE(TRIM(MID(MID($A1717,FIND("/",$A1717)+1,20),FIND("/",MID($A1717,FIND("/",$A1717)+1,20))+1,20))),"")))</f>
        <v/>
      </c>
      <c r="E1717">
        <f>IF($A1717="","",IF(OR($B1717="",$C1717="",$D1717="",$B1717&lt;1300,$B1717&gt;1500,$C1717&lt;1,$C1717&gt;12,$D1717&lt;1,$D1717&gt;31),"نامعتبر",RIGHT("0000"&amp;$B1717,4)&amp;"/"&amp;RIGHT("00"&amp;$C1717,2)&amp;"/"&amp;RIGHT("00"&amp;$D1717,2)))</f>
        <v/>
      </c>
      <c r="F1717">
        <f>IF(OR($E1717="",$E1717="نامعتبر"),"",LEFT($E1717,4)&amp;"/"&amp;MID($E1717,6,2))</f>
        <v/>
      </c>
      <c r="G1717">
        <f>IF(OR($E1717="",$E1717="نامعتبر",Sync!$X1713=""),"",IF(AND(LEFT(UPPER(TRIM(Sync!$X1713)),2)="SL",IFERROR(VLOOKUP(Sync!$W1713,OpTbl,3,0),"")="فروش"),UPPER(TRIM(Sync!$X1713)),""))</f>
        <v/>
      </c>
      <c r="H1717">
        <f>IF($G1717="","",IF(Sync!$W1713="","",Sync!$W1713))</f>
        <v/>
      </c>
      <c r="I1717">
        <f>IF(OR($G1717="",Sync!$Y1713=""),"",Sync!$Y1713)</f>
        <v/>
      </c>
      <c r="J1717">
        <f>IF(OR($G1717="",Sync!$Z1713=""),"",Sync!$Z1713)</f>
        <v/>
      </c>
      <c r="K1717">
        <f>IF($G1717="",0,IF(Sync!$AA1713="",0,Sync!$AA1713))</f>
        <v/>
      </c>
      <c r="L1717">
        <f>IF($G1717="",0,IF(Sync!$AB1713="",0,Sync!$AB1713))</f>
        <v/>
      </c>
      <c r="M1717">
        <f>IF($G1717="","",IF($H1717="مرجوعی فروش",-1,1)*($K1717-$L1717*IFERROR(VLOOKUP("P01",ParamTbl,3,0),1.5)))</f>
        <v/>
      </c>
      <c r="N1717">
        <f>IF($G1717="",0,IF($H1717="مرجوعی فروش",-1,1)*IF(Sync!$AC1713="",0,Sync!$AC1713))</f>
        <v/>
      </c>
      <c r="O1717">
        <f>IF(OR($G1717="",Sync!$V1713=""),"",Sync!$V1713)</f>
        <v/>
      </c>
      <c r="P1717">
        <f>IF(OR($G1717="",Sync!$AD1713=""),"",Sync!$AD1713)</f>
        <v/>
      </c>
      <c r="Q1717">
        <f>IF($G1717="","",IF(Sync!$U1713="","0000",IF(AND(ISNUMBER(Sync!$U1713),Sync!$U1713&gt;=0,Sync!$U1713&lt;1),RIGHT("00"&amp;HOUR(Sync!$U1713),2)&amp;RIGHT("00"&amp;MINUTE(Sync!$U1713),2),IFERROR(RIGHT("00"&amp;VALUE(LEFT(Sync!$U1713,FIND(":",Sync!$U1713)-1)),2)&amp;RIGHT("00"&amp;VALUE(MID(Sync!$U1713,FIND(":",Sync!$U1713)+1,2)),2),"0000"))))</f>
        <v/>
      </c>
    </row>
    <row r="1718">
      <c r="A1718">
        <f>IF(Sync!$T1714="","",Sync!$T1714)</f>
        <v/>
      </c>
      <c r="B1718">
        <f>IF($A1718="","",IF(ISNUMBER($A1718),IF(AND($A1718&gt;=10000101,$A1718&lt;=99991231),INT($A1718/10000),""),IFERROR(VALUE(TRIM(LEFT($A1718,FIND("/",$A1718)-1))),"")))</f>
        <v/>
      </c>
      <c r="C1718">
        <f>IF(OR($A1718="",$B1718=""),"",IF(ISNUMBER($A1718),INT(MOD($A1718,10000)/100),IFERROR(VALUE(TRIM(LEFT(MID($A1718,FIND("/",$A1718)+1,20),FIND("/",MID($A1718,FIND("/",$A1718)+1,20))-1))),"")))</f>
        <v/>
      </c>
      <c r="D1718">
        <f>IF(OR($A1718="",$B1718=""),"",IF(ISNUMBER($A1718),MOD($A1718,100),IFERROR(VALUE(TRIM(MID(MID($A1718,FIND("/",$A1718)+1,20),FIND("/",MID($A1718,FIND("/",$A1718)+1,20))+1,20))),"")))</f>
        <v/>
      </c>
      <c r="E1718">
        <f>IF($A1718="","",IF(OR($B1718="",$C1718="",$D1718="",$B1718&lt;1300,$B1718&gt;1500,$C1718&lt;1,$C1718&gt;12,$D1718&lt;1,$D1718&gt;31),"نامعتبر",RIGHT("0000"&amp;$B1718,4)&amp;"/"&amp;RIGHT("00"&amp;$C1718,2)&amp;"/"&amp;RIGHT("00"&amp;$D1718,2)))</f>
        <v/>
      </c>
      <c r="F1718">
        <f>IF(OR($E1718="",$E1718="نامعتبر"),"",LEFT($E1718,4)&amp;"/"&amp;MID($E1718,6,2))</f>
        <v/>
      </c>
      <c r="G1718">
        <f>IF(OR($E1718="",$E1718="نامعتبر",Sync!$X1714=""),"",IF(AND(LEFT(UPPER(TRIM(Sync!$X1714)),2)="SL",IFERROR(VLOOKUP(Sync!$W1714,OpTbl,3,0),"")="فروش"),UPPER(TRIM(Sync!$X1714)),""))</f>
        <v/>
      </c>
      <c r="H1718">
        <f>IF($G1718="","",IF(Sync!$W1714="","",Sync!$W1714))</f>
        <v/>
      </c>
      <c r="I1718">
        <f>IF(OR($G1718="",Sync!$Y1714=""),"",Sync!$Y1714)</f>
        <v/>
      </c>
      <c r="J1718">
        <f>IF(OR($G1718="",Sync!$Z1714=""),"",Sync!$Z1714)</f>
        <v/>
      </c>
      <c r="K1718">
        <f>IF($G1718="",0,IF(Sync!$AA1714="",0,Sync!$AA1714))</f>
        <v/>
      </c>
      <c r="L1718">
        <f>IF($G1718="",0,IF(Sync!$AB1714="",0,Sync!$AB1714))</f>
        <v/>
      </c>
      <c r="M1718">
        <f>IF($G1718="","",IF($H1718="مرجوعی فروش",-1,1)*($K1718-$L1718*IFERROR(VLOOKUP("P01",ParamTbl,3,0),1.5)))</f>
        <v/>
      </c>
      <c r="N1718">
        <f>IF($G1718="",0,IF($H1718="مرجوعی فروش",-1,1)*IF(Sync!$AC1714="",0,Sync!$AC1714))</f>
        <v/>
      </c>
      <c r="O1718">
        <f>IF(OR($G1718="",Sync!$V1714=""),"",Sync!$V1714)</f>
        <v/>
      </c>
      <c r="P1718">
        <f>IF(OR($G1718="",Sync!$AD1714=""),"",Sync!$AD1714)</f>
        <v/>
      </c>
      <c r="Q1718">
        <f>IF($G1718="","",IF(Sync!$U1714="","0000",IF(AND(ISNUMBER(Sync!$U1714),Sync!$U1714&gt;=0,Sync!$U1714&lt;1),RIGHT("00"&amp;HOUR(Sync!$U1714),2)&amp;RIGHT("00"&amp;MINUTE(Sync!$U1714),2),IFERROR(RIGHT("00"&amp;VALUE(LEFT(Sync!$U1714,FIND(":",Sync!$U1714)-1)),2)&amp;RIGHT("00"&amp;VALUE(MID(Sync!$U1714,FIND(":",Sync!$U1714)+1,2)),2),"0000"))))</f>
        <v/>
      </c>
    </row>
    <row r="1719">
      <c r="A1719">
        <f>IF(Sync!$T1715="","",Sync!$T1715)</f>
        <v/>
      </c>
      <c r="B1719">
        <f>IF($A1719="","",IF(ISNUMBER($A1719),IF(AND($A1719&gt;=10000101,$A1719&lt;=99991231),INT($A1719/10000),""),IFERROR(VALUE(TRIM(LEFT($A1719,FIND("/",$A1719)-1))),"")))</f>
        <v/>
      </c>
      <c r="C1719">
        <f>IF(OR($A1719="",$B1719=""),"",IF(ISNUMBER($A1719),INT(MOD($A1719,10000)/100),IFERROR(VALUE(TRIM(LEFT(MID($A1719,FIND("/",$A1719)+1,20),FIND("/",MID($A1719,FIND("/",$A1719)+1,20))-1))),"")))</f>
        <v/>
      </c>
      <c r="D1719">
        <f>IF(OR($A1719="",$B1719=""),"",IF(ISNUMBER($A1719),MOD($A1719,100),IFERROR(VALUE(TRIM(MID(MID($A1719,FIND("/",$A1719)+1,20),FIND("/",MID($A1719,FIND("/",$A1719)+1,20))+1,20))),"")))</f>
        <v/>
      </c>
      <c r="E1719">
        <f>IF($A1719="","",IF(OR($B1719="",$C1719="",$D1719="",$B1719&lt;1300,$B1719&gt;1500,$C1719&lt;1,$C1719&gt;12,$D1719&lt;1,$D1719&gt;31),"نامعتبر",RIGHT("0000"&amp;$B1719,4)&amp;"/"&amp;RIGHT("00"&amp;$C1719,2)&amp;"/"&amp;RIGHT("00"&amp;$D1719,2)))</f>
        <v/>
      </c>
      <c r="F1719">
        <f>IF(OR($E1719="",$E1719="نامعتبر"),"",LEFT($E1719,4)&amp;"/"&amp;MID($E1719,6,2))</f>
        <v/>
      </c>
      <c r="G1719">
        <f>IF(OR($E1719="",$E1719="نامعتبر",Sync!$X1715=""),"",IF(AND(LEFT(UPPER(TRIM(Sync!$X1715)),2)="SL",IFERROR(VLOOKUP(Sync!$W1715,OpTbl,3,0),"")="فروش"),UPPER(TRIM(Sync!$X1715)),""))</f>
        <v/>
      </c>
      <c r="H1719">
        <f>IF($G1719="","",IF(Sync!$W1715="","",Sync!$W1715))</f>
        <v/>
      </c>
      <c r="I1719">
        <f>IF(OR($G1719="",Sync!$Y1715=""),"",Sync!$Y1715)</f>
        <v/>
      </c>
      <c r="J1719">
        <f>IF(OR($G1719="",Sync!$Z1715=""),"",Sync!$Z1715)</f>
        <v/>
      </c>
      <c r="K1719">
        <f>IF($G1719="",0,IF(Sync!$AA1715="",0,Sync!$AA1715))</f>
        <v/>
      </c>
      <c r="L1719">
        <f>IF($G1719="",0,IF(Sync!$AB1715="",0,Sync!$AB1715))</f>
        <v/>
      </c>
      <c r="M1719">
        <f>IF($G1719="","",IF($H1719="مرجوعی فروش",-1,1)*($K1719-$L1719*IFERROR(VLOOKUP("P01",ParamTbl,3,0),1.5)))</f>
        <v/>
      </c>
      <c r="N1719">
        <f>IF($G1719="",0,IF($H1719="مرجوعی فروش",-1,1)*IF(Sync!$AC1715="",0,Sync!$AC1715))</f>
        <v/>
      </c>
      <c r="O1719">
        <f>IF(OR($G1719="",Sync!$V1715=""),"",Sync!$V1715)</f>
        <v/>
      </c>
      <c r="P1719">
        <f>IF(OR($G1719="",Sync!$AD1715=""),"",Sync!$AD1715)</f>
        <v/>
      </c>
      <c r="Q1719">
        <f>IF($G1719="","",IF(Sync!$U1715="","0000",IF(AND(ISNUMBER(Sync!$U1715),Sync!$U1715&gt;=0,Sync!$U1715&lt;1),RIGHT("00"&amp;HOUR(Sync!$U1715),2)&amp;RIGHT("00"&amp;MINUTE(Sync!$U1715),2),IFERROR(RIGHT("00"&amp;VALUE(LEFT(Sync!$U1715,FIND(":",Sync!$U1715)-1)),2)&amp;RIGHT("00"&amp;VALUE(MID(Sync!$U1715,FIND(":",Sync!$U1715)+1,2)),2),"0000"))))</f>
        <v/>
      </c>
    </row>
    <row r="1720">
      <c r="A1720">
        <f>IF(Sync!$T1716="","",Sync!$T1716)</f>
        <v/>
      </c>
      <c r="B1720">
        <f>IF($A1720="","",IF(ISNUMBER($A1720),IF(AND($A1720&gt;=10000101,$A1720&lt;=99991231),INT($A1720/10000),""),IFERROR(VALUE(TRIM(LEFT($A1720,FIND("/",$A1720)-1))),"")))</f>
        <v/>
      </c>
      <c r="C1720">
        <f>IF(OR($A1720="",$B1720=""),"",IF(ISNUMBER($A1720),INT(MOD($A1720,10000)/100),IFERROR(VALUE(TRIM(LEFT(MID($A1720,FIND("/",$A1720)+1,20),FIND("/",MID($A1720,FIND("/",$A1720)+1,20))-1))),"")))</f>
        <v/>
      </c>
      <c r="D1720">
        <f>IF(OR($A1720="",$B1720=""),"",IF(ISNUMBER($A1720),MOD($A1720,100),IFERROR(VALUE(TRIM(MID(MID($A1720,FIND("/",$A1720)+1,20),FIND("/",MID($A1720,FIND("/",$A1720)+1,20))+1,20))),"")))</f>
        <v/>
      </c>
      <c r="E1720">
        <f>IF($A1720="","",IF(OR($B1720="",$C1720="",$D1720="",$B1720&lt;1300,$B1720&gt;1500,$C1720&lt;1,$C1720&gt;12,$D1720&lt;1,$D1720&gt;31),"نامعتبر",RIGHT("0000"&amp;$B1720,4)&amp;"/"&amp;RIGHT("00"&amp;$C1720,2)&amp;"/"&amp;RIGHT("00"&amp;$D1720,2)))</f>
        <v/>
      </c>
      <c r="F1720">
        <f>IF(OR($E1720="",$E1720="نامعتبر"),"",LEFT($E1720,4)&amp;"/"&amp;MID($E1720,6,2))</f>
        <v/>
      </c>
      <c r="G1720">
        <f>IF(OR($E1720="",$E1720="نامعتبر",Sync!$X1716=""),"",IF(AND(LEFT(UPPER(TRIM(Sync!$X1716)),2)="SL",IFERROR(VLOOKUP(Sync!$W1716,OpTbl,3,0),"")="فروش"),UPPER(TRIM(Sync!$X1716)),""))</f>
        <v/>
      </c>
      <c r="H1720">
        <f>IF($G1720="","",IF(Sync!$W1716="","",Sync!$W1716))</f>
        <v/>
      </c>
      <c r="I1720">
        <f>IF(OR($G1720="",Sync!$Y1716=""),"",Sync!$Y1716)</f>
        <v/>
      </c>
      <c r="J1720">
        <f>IF(OR($G1720="",Sync!$Z1716=""),"",Sync!$Z1716)</f>
        <v/>
      </c>
      <c r="K1720">
        <f>IF($G1720="",0,IF(Sync!$AA1716="",0,Sync!$AA1716))</f>
        <v/>
      </c>
      <c r="L1720">
        <f>IF($G1720="",0,IF(Sync!$AB1716="",0,Sync!$AB1716))</f>
        <v/>
      </c>
      <c r="M1720">
        <f>IF($G1720="","",IF($H1720="مرجوعی فروش",-1,1)*($K1720-$L1720*IFERROR(VLOOKUP("P01",ParamTbl,3,0),1.5)))</f>
        <v/>
      </c>
      <c r="N1720">
        <f>IF($G1720="",0,IF($H1720="مرجوعی فروش",-1,1)*IF(Sync!$AC1716="",0,Sync!$AC1716))</f>
        <v/>
      </c>
      <c r="O1720">
        <f>IF(OR($G1720="",Sync!$V1716=""),"",Sync!$V1716)</f>
        <v/>
      </c>
      <c r="P1720">
        <f>IF(OR($G1720="",Sync!$AD1716=""),"",Sync!$AD1716)</f>
        <v/>
      </c>
      <c r="Q1720">
        <f>IF($G1720="","",IF(Sync!$U1716="","0000",IF(AND(ISNUMBER(Sync!$U1716),Sync!$U1716&gt;=0,Sync!$U1716&lt;1),RIGHT("00"&amp;HOUR(Sync!$U1716),2)&amp;RIGHT("00"&amp;MINUTE(Sync!$U1716),2),IFERROR(RIGHT("00"&amp;VALUE(LEFT(Sync!$U1716,FIND(":",Sync!$U1716)-1)),2)&amp;RIGHT("00"&amp;VALUE(MID(Sync!$U1716,FIND(":",Sync!$U1716)+1,2)),2),"0000"))))</f>
        <v/>
      </c>
    </row>
    <row r="1721">
      <c r="A1721">
        <f>IF(Sync!$T1717="","",Sync!$T1717)</f>
        <v/>
      </c>
      <c r="B1721">
        <f>IF($A1721="","",IF(ISNUMBER($A1721),IF(AND($A1721&gt;=10000101,$A1721&lt;=99991231),INT($A1721/10000),""),IFERROR(VALUE(TRIM(LEFT($A1721,FIND("/",$A1721)-1))),"")))</f>
        <v/>
      </c>
      <c r="C1721">
        <f>IF(OR($A1721="",$B1721=""),"",IF(ISNUMBER($A1721),INT(MOD($A1721,10000)/100),IFERROR(VALUE(TRIM(LEFT(MID($A1721,FIND("/",$A1721)+1,20),FIND("/",MID($A1721,FIND("/",$A1721)+1,20))-1))),"")))</f>
        <v/>
      </c>
      <c r="D1721">
        <f>IF(OR($A1721="",$B1721=""),"",IF(ISNUMBER($A1721),MOD($A1721,100),IFERROR(VALUE(TRIM(MID(MID($A1721,FIND("/",$A1721)+1,20),FIND("/",MID($A1721,FIND("/",$A1721)+1,20))+1,20))),"")))</f>
        <v/>
      </c>
      <c r="E1721">
        <f>IF($A1721="","",IF(OR($B1721="",$C1721="",$D1721="",$B1721&lt;1300,$B1721&gt;1500,$C1721&lt;1,$C1721&gt;12,$D1721&lt;1,$D1721&gt;31),"نامعتبر",RIGHT("0000"&amp;$B1721,4)&amp;"/"&amp;RIGHT("00"&amp;$C1721,2)&amp;"/"&amp;RIGHT("00"&amp;$D1721,2)))</f>
        <v/>
      </c>
      <c r="F1721">
        <f>IF(OR($E1721="",$E1721="نامعتبر"),"",LEFT($E1721,4)&amp;"/"&amp;MID($E1721,6,2))</f>
        <v/>
      </c>
      <c r="G1721">
        <f>IF(OR($E1721="",$E1721="نامعتبر",Sync!$X1717=""),"",IF(AND(LEFT(UPPER(TRIM(Sync!$X1717)),2)="SL",IFERROR(VLOOKUP(Sync!$W1717,OpTbl,3,0),"")="فروش"),UPPER(TRIM(Sync!$X1717)),""))</f>
        <v/>
      </c>
      <c r="H1721">
        <f>IF($G1721="","",IF(Sync!$W1717="","",Sync!$W1717))</f>
        <v/>
      </c>
      <c r="I1721">
        <f>IF(OR($G1721="",Sync!$Y1717=""),"",Sync!$Y1717)</f>
        <v/>
      </c>
      <c r="J1721">
        <f>IF(OR($G1721="",Sync!$Z1717=""),"",Sync!$Z1717)</f>
        <v/>
      </c>
      <c r="K1721">
        <f>IF($G1721="",0,IF(Sync!$AA1717="",0,Sync!$AA1717))</f>
        <v/>
      </c>
      <c r="L1721">
        <f>IF($G1721="",0,IF(Sync!$AB1717="",0,Sync!$AB1717))</f>
        <v/>
      </c>
      <c r="M1721">
        <f>IF($G1721="","",IF($H1721="مرجوعی فروش",-1,1)*($K1721-$L1721*IFERROR(VLOOKUP("P01",ParamTbl,3,0),1.5)))</f>
        <v/>
      </c>
      <c r="N1721">
        <f>IF($G1721="",0,IF($H1721="مرجوعی فروش",-1,1)*IF(Sync!$AC1717="",0,Sync!$AC1717))</f>
        <v/>
      </c>
      <c r="O1721">
        <f>IF(OR($G1721="",Sync!$V1717=""),"",Sync!$V1717)</f>
        <v/>
      </c>
      <c r="P1721">
        <f>IF(OR($G1721="",Sync!$AD1717=""),"",Sync!$AD1717)</f>
        <v/>
      </c>
      <c r="Q1721">
        <f>IF($G1721="","",IF(Sync!$U1717="","0000",IF(AND(ISNUMBER(Sync!$U1717),Sync!$U1717&gt;=0,Sync!$U1717&lt;1),RIGHT("00"&amp;HOUR(Sync!$U1717),2)&amp;RIGHT("00"&amp;MINUTE(Sync!$U1717),2),IFERROR(RIGHT("00"&amp;VALUE(LEFT(Sync!$U1717,FIND(":",Sync!$U1717)-1)),2)&amp;RIGHT("00"&amp;VALUE(MID(Sync!$U1717,FIND(":",Sync!$U1717)+1,2)),2),"0000"))))</f>
        <v/>
      </c>
    </row>
    <row r="1722">
      <c r="A1722">
        <f>IF(Sync!$T1718="","",Sync!$T1718)</f>
        <v/>
      </c>
      <c r="B1722">
        <f>IF($A1722="","",IF(ISNUMBER($A1722),IF(AND($A1722&gt;=10000101,$A1722&lt;=99991231),INT($A1722/10000),""),IFERROR(VALUE(TRIM(LEFT($A1722,FIND("/",$A1722)-1))),"")))</f>
        <v/>
      </c>
      <c r="C1722">
        <f>IF(OR($A1722="",$B1722=""),"",IF(ISNUMBER($A1722),INT(MOD($A1722,10000)/100),IFERROR(VALUE(TRIM(LEFT(MID($A1722,FIND("/",$A1722)+1,20),FIND("/",MID($A1722,FIND("/",$A1722)+1,20))-1))),"")))</f>
        <v/>
      </c>
      <c r="D1722">
        <f>IF(OR($A1722="",$B1722=""),"",IF(ISNUMBER($A1722),MOD($A1722,100),IFERROR(VALUE(TRIM(MID(MID($A1722,FIND("/",$A1722)+1,20),FIND("/",MID($A1722,FIND("/",$A1722)+1,20))+1,20))),"")))</f>
        <v/>
      </c>
      <c r="E1722">
        <f>IF($A1722="","",IF(OR($B1722="",$C1722="",$D1722="",$B1722&lt;1300,$B1722&gt;1500,$C1722&lt;1,$C1722&gt;12,$D1722&lt;1,$D1722&gt;31),"نامعتبر",RIGHT("0000"&amp;$B1722,4)&amp;"/"&amp;RIGHT("00"&amp;$C1722,2)&amp;"/"&amp;RIGHT("00"&amp;$D1722,2)))</f>
        <v/>
      </c>
      <c r="F1722">
        <f>IF(OR($E1722="",$E1722="نامعتبر"),"",LEFT($E1722,4)&amp;"/"&amp;MID($E1722,6,2))</f>
        <v/>
      </c>
      <c r="G1722">
        <f>IF(OR($E1722="",$E1722="نامعتبر",Sync!$X1718=""),"",IF(AND(LEFT(UPPER(TRIM(Sync!$X1718)),2)="SL",IFERROR(VLOOKUP(Sync!$W1718,OpTbl,3,0),"")="فروش"),UPPER(TRIM(Sync!$X1718)),""))</f>
        <v/>
      </c>
      <c r="H1722">
        <f>IF($G1722="","",IF(Sync!$W1718="","",Sync!$W1718))</f>
        <v/>
      </c>
      <c r="I1722">
        <f>IF(OR($G1722="",Sync!$Y1718=""),"",Sync!$Y1718)</f>
        <v/>
      </c>
      <c r="J1722">
        <f>IF(OR($G1722="",Sync!$Z1718=""),"",Sync!$Z1718)</f>
        <v/>
      </c>
      <c r="K1722">
        <f>IF($G1722="",0,IF(Sync!$AA1718="",0,Sync!$AA1718))</f>
        <v/>
      </c>
      <c r="L1722">
        <f>IF($G1722="",0,IF(Sync!$AB1718="",0,Sync!$AB1718))</f>
        <v/>
      </c>
      <c r="M1722">
        <f>IF($G1722="","",IF($H1722="مرجوعی فروش",-1,1)*($K1722-$L1722*IFERROR(VLOOKUP("P01",ParamTbl,3,0),1.5)))</f>
        <v/>
      </c>
      <c r="N1722">
        <f>IF($G1722="",0,IF($H1722="مرجوعی فروش",-1,1)*IF(Sync!$AC1718="",0,Sync!$AC1718))</f>
        <v/>
      </c>
      <c r="O1722">
        <f>IF(OR($G1722="",Sync!$V1718=""),"",Sync!$V1718)</f>
        <v/>
      </c>
      <c r="P1722">
        <f>IF(OR($G1722="",Sync!$AD1718=""),"",Sync!$AD1718)</f>
        <v/>
      </c>
      <c r="Q1722">
        <f>IF($G1722="","",IF(Sync!$U1718="","0000",IF(AND(ISNUMBER(Sync!$U1718),Sync!$U1718&gt;=0,Sync!$U1718&lt;1),RIGHT("00"&amp;HOUR(Sync!$U1718),2)&amp;RIGHT("00"&amp;MINUTE(Sync!$U1718),2),IFERROR(RIGHT("00"&amp;VALUE(LEFT(Sync!$U1718,FIND(":",Sync!$U1718)-1)),2)&amp;RIGHT("00"&amp;VALUE(MID(Sync!$U1718,FIND(":",Sync!$U1718)+1,2)),2),"0000"))))</f>
        <v/>
      </c>
    </row>
    <row r="1723">
      <c r="A1723">
        <f>IF(Sync!$T1719="","",Sync!$T1719)</f>
        <v/>
      </c>
      <c r="B1723">
        <f>IF($A1723="","",IF(ISNUMBER($A1723),IF(AND($A1723&gt;=10000101,$A1723&lt;=99991231),INT($A1723/10000),""),IFERROR(VALUE(TRIM(LEFT($A1723,FIND("/",$A1723)-1))),"")))</f>
        <v/>
      </c>
      <c r="C1723">
        <f>IF(OR($A1723="",$B1723=""),"",IF(ISNUMBER($A1723),INT(MOD($A1723,10000)/100),IFERROR(VALUE(TRIM(LEFT(MID($A1723,FIND("/",$A1723)+1,20),FIND("/",MID($A1723,FIND("/",$A1723)+1,20))-1))),"")))</f>
        <v/>
      </c>
      <c r="D1723">
        <f>IF(OR($A1723="",$B1723=""),"",IF(ISNUMBER($A1723),MOD($A1723,100),IFERROR(VALUE(TRIM(MID(MID($A1723,FIND("/",$A1723)+1,20),FIND("/",MID($A1723,FIND("/",$A1723)+1,20))+1,20))),"")))</f>
        <v/>
      </c>
      <c r="E1723">
        <f>IF($A1723="","",IF(OR($B1723="",$C1723="",$D1723="",$B1723&lt;1300,$B1723&gt;1500,$C1723&lt;1,$C1723&gt;12,$D1723&lt;1,$D1723&gt;31),"نامعتبر",RIGHT("0000"&amp;$B1723,4)&amp;"/"&amp;RIGHT("00"&amp;$C1723,2)&amp;"/"&amp;RIGHT("00"&amp;$D1723,2)))</f>
        <v/>
      </c>
      <c r="F1723">
        <f>IF(OR($E1723="",$E1723="نامعتبر"),"",LEFT($E1723,4)&amp;"/"&amp;MID($E1723,6,2))</f>
        <v/>
      </c>
      <c r="G1723">
        <f>IF(OR($E1723="",$E1723="نامعتبر",Sync!$X1719=""),"",IF(AND(LEFT(UPPER(TRIM(Sync!$X1719)),2)="SL",IFERROR(VLOOKUP(Sync!$W1719,OpTbl,3,0),"")="فروش"),UPPER(TRIM(Sync!$X1719)),""))</f>
        <v/>
      </c>
      <c r="H1723">
        <f>IF($G1723="","",IF(Sync!$W1719="","",Sync!$W1719))</f>
        <v/>
      </c>
      <c r="I1723">
        <f>IF(OR($G1723="",Sync!$Y1719=""),"",Sync!$Y1719)</f>
        <v/>
      </c>
      <c r="J1723">
        <f>IF(OR($G1723="",Sync!$Z1719=""),"",Sync!$Z1719)</f>
        <v/>
      </c>
      <c r="K1723">
        <f>IF($G1723="",0,IF(Sync!$AA1719="",0,Sync!$AA1719))</f>
        <v/>
      </c>
      <c r="L1723">
        <f>IF($G1723="",0,IF(Sync!$AB1719="",0,Sync!$AB1719))</f>
        <v/>
      </c>
      <c r="M1723">
        <f>IF($G1723="","",IF($H1723="مرجوعی فروش",-1,1)*($K1723-$L1723*IFERROR(VLOOKUP("P01",ParamTbl,3,0),1.5)))</f>
        <v/>
      </c>
      <c r="N1723">
        <f>IF($G1723="",0,IF($H1723="مرجوعی فروش",-1,1)*IF(Sync!$AC1719="",0,Sync!$AC1719))</f>
        <v/>
      </c>
      <c r="O1723">
        <f>IF(OR($G1723="",Sync!$V1719=""),"",Sync!$V1719)</f>
        <v/>
      </c>
      <c r="P1723">
        <f>IF(OR($G1723="",Sync!$AD1719=""),"",Sync!$AD1719)</f>
        <v/>
      </c>
      <c r="Q1723">
        <f>IF($G1723="","",IF(Sync!$U1719="","0000",IF(AND(ISNUMBER(Sync!$U1719),Sync!$U1719&gt;=0,Sync!$U1719&lt;1),RIGHT("00"&amp;HOUR(Sync!$U1719),2)&amp;RIGHT("00"&amp;MINUTE(Sync!$U1719),2),IFERROR(RIGHT("00"&amp;VALUE(LEFT(Sync!$U1719,FIND(":",Sync!$U1719)-1)),2)&amp;RIGHT("00"&amp;VALUE(MID(Sync!$U1719,FIND(":",Sync!$U1719)+1,2)),2),"0000"))))</f>
        <v/>
      </c>
    </row>
    <row r="1724">
      <c r="A1724">
        <f>IF(Sync!$T1720="","",Sync!$T1720)</f>
        <v/>
      </c>
      <c r="B1724">
        <f>IF($A1724="","",IF(ISNUMBER($A1724),IF(AND($A1724&gt;=10000101,$A1724&lt;=99991231),INT($A1724/10000),""),IFERROR(VALUE(TRIM(LEFT($A1724,FIND("/",$A1724)-1))),"")))</f>
        <v/>
      </c>
      <c r="C1724">
        <f>IF(OR($A1724="",$B1724=""),"",IF(ISNUMBER($A1724),INT(MOD($A1724,10000)/100),IFERROR(VALUE(TRIM(LEFT(MID($A1724,FIND("/",$A1724)+1,20),FIND("/",MID($A1724,FIND("/",$A1724)+1,20))-1))),"")))</f>
        <v/>
      </c>
      <c r="D1724">
        <f>IF(OR($A1724="",$B1724=""),"",IF(ISNUMBER($A1724),MOD($A1724,100),IFERROR(VALUE(TRIM(MID(MID($A1724,FIND("/",$A1724)+1,20),FIND("/",MID($A1724,FIND("/",$A1724)+1,20))+1,20))),"")))</f>
        <v/>
      </c>
      <c r="E1724">
        <f>IF($A1724="","",IF(OR($B1724="",$C1724="",$D1724="",$B1724&lt;1300,$B1724&gt;1500,$C1724&lt;1,$C1724&gt;12,$D1724&lt;1,$D1724&gt;31),"نامعتبر",RIGHT("0000"&amp;$B1724,4)&amp;"/"&amp;RIGHT("00"&amp;$C1724,2)&amp;"/"&amp;RIGHT("00"&amp;$D1724,2)))</f>
        <v/>
      </c>
      <c r="F1724">
        <f>IF(OR($E1724="",$E1724="نامعتبر"),"",LEFT($E1724,4)&amp;"/"&amp;MID($E1724,6,2))</f>
        <v/>
      </c>
      <c r="G1724">
        <f>IF(OR($E1724="",$E1724="نامعتبر",Sync!$X1720=""),"",IF(AND(LEFT(UPPER(TRIM(Sync!$X1720)),2)="SL",IFERROR(VLOOKUP(Sync!$W1720,OpTbl,3,0),"")="فروش"),UPPER(TRIM(Sync!$X1720)),""))</f>
        <v/>
      </c>
      <c r="H1724">
        <f>IF($G1724="","",IF(Sync!$W1720="","",Sync!$W1720))</f>
        <v/>
      </c>
      <c r="I1724">
        <f>IF(OR($G1724="",Sync!$Y1720=""),"",Sync!$Y1720)</f>
        <v/>
      </c>
      <c r="J1724">
        <f>IF(OR($G1724="",Sync!$Z1720=""),"",Sync!$Z1720)</f>
        <v/>
      </c>
      <c r="K1724">
        <f>IF($G1724="",0,IF(Sync!$AA1720="",0,Sync!$AA1720))</f>
        <v/>
      </c>
      <c r="L1724">
        <f>IF($G1724="",0,IF(Sync!$AB1720="",0,Sync!$AB1720))</f>
        <v/>
      </c>
      <c r="M1724">
        <f>IF($G1724="","",IF($H1724="مرجوعی فروش",-1,1)*($K1724-$L1724*IFERROR(VLOOKUP("P01",ParamTbl,3,0),1.5)))</f>
        <v/>
      </c>
      <c r="N1724">
        <f>IF($G1724="",0,IF($H1724="مرجوعی فروش",-1,1)*IF(Sync!$AC1720="",0,Sync!$AC1720))</f>
        <v/>
      </c>
      <c r="O1724">
        <f>IF(OR($G1724="",Sync!$V1720=""),"",Sync!$V1720)</f>
        <v/>
      </c>
      <c r="P1724">
        <f>IF(OR($G1724="",Sync!$AD1720=""),"",Sync!$AD1720)</f>
        <v/>
      </c>
      <c r="Q1724">
        <f>IF($G1724="","",IF(Sync!$U1720="","0000",IF(AND(ISNUMBER(Sync!$U1720),Sync!$U1720&gt;=0,Sync!$U1720&lt;1),RIGHT("00"&amp;HOUR(Sync!$U1720),2)&amp;RIGHT("00"&amp;MINUTE(Sync!$U1720),2),IFERROR(RIGHT("00"&amp;VALUE(LEFT(Sync!$U1720,FIND(":",Sync!$U1720)-1)),2)&amp;RIGHT("00"&amp;VALUE(MID(Sync!$U1720,FIND(":",Sync!$U1720)+1,2)),2),"0000"))))</f>
        <v/>
      </c>
    </row>
    <row r="1725">
      <c r="A1725">
        <f>IF(Sync!$T1721="","",Sync!$T1721)</f>
        <v/>
      </c>
      <c r="B1725">
        <f>IF($A1725="","",IF(ISNUMBER($A1725),IF(AND($A1725&gt;=10000101,$A1725&lt;=99991231),INT($A1725/10000),""),IFERROR(VALUE(TRIM(LEFT($A1725,FIND("/",$A1725)-1))),"")))</f>
        <v/>
      </c>
      <c r="C1725">
        <f>IF(OR($A1725="",$B1725=""),"",IF(ISNUMBER($A1725),INT(MOD($A1725,10000)/100),IFERROR(VALUE(TRIM(LEFT(MID($A1725,FIND("/",$A1725)+1,20),FIND("/",MID($A1725,FIND("/",$A1725)+1,20))-1))),"")))</f>
        <v/>
      </c>
      <c r="D1725">
        <f>IF(OR($A1725="",$B1725=""),"",IF(ISNUMBER($A1725),MOD($A1725,100),IFERROR(VALUE(TRIM(MID(MID($A1725,FIND("/",$A1725)+1,20),FIND("/",MID($A1725,FIND("/",$A1725)+1,20))+1,20))),"")))</f>
        <v/>
      </c>
      <c r="E1725">
        <f>IF($A1725="","",IF(OR($B1725="",$C1725="",$D1725="",$B1725&lt;1300,$B1725&gt;1500,$C1725&lt;1,$C1725&gt;12,$D1725&lt;1,$D1725&gt;31),"نامعتبر",RIGHT("0000"&amp;$B1725,4)&amp;"/"&amp;RIGHT("00"&amp;$C1725,2)&amp;"/"&amp;RIGHT("00"&amp;$D1725,2)))</f>
        <v/>
      </c>
      <c r="F1725">
        <f>IF(OR($E1725="",$E1725="نامعتبر"),"",LEFT($E1725,4)&amp;"/"&amp;MID($E1725,6,2))</f>
        <v/>
      </c>
      <c r="G1725">
        <f>IF(OR($E1725="",$E1725="نامعتبر",Sync!$X1721=""),"",IF(AND(LEFT(UPPER(TRIM(Sync!$X1721)),2)="SL",IFERROR(VLOOKUP(Sync!$W1721,OpTbl,3,0),"")="فروش"),UPPER(TRIM(Sync!$X1721)),""))</f>
        <v/>
      </c>
      <c r="H1725">
        <f>IF($G1725="","",IF(Sync!$W1721="","",Sync!$W1721))</f>
        <v/>
      </c>
      <c r="I1725">
        <f>IF(OR($G1725="",Sync!$Y1721=""),"",Sync!$Y1721)</f>
        <v/>
      </c>
      <c r="J1725">
        <f>IF(OR($G1725="",Sync!$Z1721=""),"",Sync!$Z1721)</f>
        <v/>
      </c>
      <c r="K1725">
        <f>IF($G1725="",0,IF(Sync!$AA1721="",0,Sync!$AA1721))</f>
        <v/>
      </c>
      <c r="L1725">
        <f>IF($G1725="",0,IF(Sync!$AB1721="",0,Sync!$AB1721))</f>
        <v/>
      </c>
      <c r="M1725">
        <f>IF($G1725="","",IF($H1725="مرجوعی فروش",-1,1)*($K1725-$L1725*IFERROR(VLOOKUP("P01",ParamTbl,3,0),1.5)))</f>
        <v/>
      </c>
      <c r="N1725">
        <f>IF($G1725="",0,IF($H1725="مرجوعی فروش",-1,1)*IF(Sync!$AC1721="",0,Sync!$AC1721))</f>
        <v/>
      </c>
      <c r="O1725">
        <f>IF(OR($G1725="",Sync!$V1721=""),"",Sync!$V1721)</f>
        <v/>
      </c>
      <c r="P1725">
        <f>IF(OR($G1725="",Sync!$AD1721=""),"",Sync!$AD1721)</f>
        <v/>
      </c>
      <c r="Q1725">
        <f>IF($G1725="","",IF(Sync!$U1721="","0000",IF(AND(ISNUMBER(Sync!$U1721),Sync!$U1721&gt;=0,Sync!$U1721&lt;1),RIGHT("00"&amp;HOUR(Sync!$U1721),2)&amp;RIGHT("00"&amp;MINUTE(Sync!$U1721),2),IFERROR(RIGHT("00"&amp;VALUE(LEFT(Sync!$U1721,FIND(":",Sync!$U1721)-1)),2)&amp;RIGHT("00"&amp;VALUE(MID(Sync!$U1721,FIND(":",Sync!$U1721)+1,2)),2),"0000"))))</f>
        <v/>
      </c>
    </row>
    <row r="1726">
      <c r="A1726">
        <f>IF(Sync!$T1722="","",Sync!$T1722)</f>
        <v/>
      </c>
      <c r="B1726">
        <f>IF($A1726="","",IF(ISNUMBER($A1726),IF(AND($A1726&gt;=10000101,$A1726&lt;=99991231),INT($A1726/10000),""),IFERROR(VALUE(TRIM(LEFT($A1726,FIND("/",$A1726)-1))),"")))</f>
        <v/>
      </c>
      <c r="C1726">
        <f>IF(OR($A1726="",$B1726=""),"",IF(ISNUMBER($A1726),INT(MOD($A1726,10000)/100),IFERROR(VALUE(TRIM(LEFT(MID($A1726,FIND("/",$A1726)+1,20),FIND("/",MID($A1726,FIND("/",$A1726)+1,20))-1))),"")))</f>
        <v/>
      </c>
      <c r="D1726">
        <f>IF(OR($A1726="",$B1726=""),"",IF(ISNUMBER($A1726),MOD($A1726,100),IFERROR(VALUE(TRIM(MID(MID($A1726,FIND("/",$A1726)+1,20),FIND("/",MID($A1726,FIND("/",$A1726)+1,20))+1,20))),"")))</f>
        <v/>
      </c>
      <c r="E1726">
        <f>IF($A1726="","",IF(OR($B1726="",$C1726="",$D1726="",$B1726&lt;1300,$B1726&gt;1500,$C1726&lt;1,$C1726&gt;12,$D1726&lt;1,$D1726&gt;31),"نامعتبر",RIGHT("0000"&amp;$B1726,4)&amp;"/"&amp;RIGHT("00"&amp;$C1726,2)&amp;"/"&amp;RIGHT("00"&amp;$D1726,2)))</f>
        <v/>
      </c>
      <c r="F1726">
        <f>IF(OR($E1726="",$E1726="نامعتبر"),"",LEFT($E1726,4)&amp;"/"&amp;MID($E1726,6,2))</f>
        <v/>
      </c>
      <c r="G1726">
        <f>IF(OR($E1726="",$E1726="نامعتبر",Sync!$X1722=""),"",IF(AND(LEFT(UPPER(TRIM(Sync!$X1722)),2)="SL",IFERROR(VLOOKUP(Sync!$W1722,OpTbl,3,0),"")="فروش"),UPPER(TRIM(Sync!$X1722)),""))</f>
        <v/>
      </c>
      <c r="H1726">
        <f>IF($G1726="","",IF(Sync!$W1722="","",Sync!$W1722))</f>
        <v/>
      </c>
      <c r="I1726">
        <f>IF(OR($G1726="",Sync!$Y1722=""),"",Sync!$Y1722)</f>
        <v/>
      </c>
      <c r="J1726">
        <f>IF(OR($G1726="",Sync!$Z1722=""),"",Sync!$Z1722)</f>
        <v/>
      </c>
      <c r="K1726">
        <f>IF($G1726="",0,IF(Sync!$AA1722="",0,Sync!$AA1722))</f>
        <v/>
      </c>
      <c r="L1726">
        <f>IF($G1726="",0,IF(Sync!$AB1722="",0,Sync!$AB1722))</f>
        <v/>
      </c>
      <c r="M1726">
        <f>IF($G1726="","",IF($H1726="مرجوعی فروش",-1,1)*($K1726-$L1726*IFERROR(VLOOKUP("P01",ParamTbl,3,0),1.5)))</f>
        <v/>
      </c>
      <c r="N1726">
        <f>IF($G1726="",0,IF($H1726="مرجوعی فروش",-1,1)*IF(Sync!$AC1722="",0,Sync!$AC1722))</f>
        <v/>
      </c>
      <c r="O1726">
        <f>IF(OR($G1726="",Sync!$V1722=""),"",Sync!$V1722)</f>
        <v/>
      </c>
      <c r="P1726">
        <f>IF(OR($G1726="",Sync!$AD1722=""),"",Sync!$AD1722)</f>
        <v/>
      </c>
      <c r="Q1726">
        <f>IF($G1726="","",IF(Sync!$U1722="","0000",IF(AND(ISNUMBER(Sync!$U1722),Sync!$U1722&gt;=0,Sync!$U1722&lt;1),RIGHT("00"&amp;HOUR(Sync!$U1722),2)&amp;RIGHT("00"&amp;MINUTE(Sync!$U1722),2),IFERROR(RIGHT("00"&amp;VALUE(LEFT(Sync!$U1722,FIND(":",Sync!$U1722)-1)),2)&amp;RIGHT("00"&amp;VALUE(MID(Sync!$U1722,FIND(":",Sync!$U1722)+1,2)),2),"0000"))))</f>
        <v/>
      </c>
    </row>
    <row r="1727">
      <c r="A1727">
        <f>IF(Sync!$T1723="","",Sync!$T1723)</f>
        <v/>
      </c>
      <c r="B1727">
        <f>IF($A1727="","",IF(ISNUMBER($A1727),IF(AND($A1727&gt;=10000101,$A1727&lt;=99991231),INT($A1727/10000),""),IFERROR(VALUE(TRIM(LEFT($A1727,FIND("/",$A1727)-1))),"")))</f>
        <v/>
      </c>
      <c r="C1727">
        <f>IF(OR($A1727="",$B1727=""),"",IF(ISNUMBER($A1727),INT(MOD($A1727,10000)/100),IFERROR(VALUE(TRIM(LEFT(MID($A1727,FIND("/",$A1727)+1,20),FIND("/",MID($A1727,FIND("/",$A1727)+1,20))-1))),"")))</f>
        <v/>
      </c>
      <c r="D1727">
        <f>IF(OR($A1727="",$B1727=""),"",IF(ISNUMBER($A1727),MOD($A1727,100),IFERROR(VALUE(TRIM(MID(MID($A1727,FIND("/",$A1727)+1,20),FIND("/",MID($A1727,FIND("/",$A1727)+1,20))+1,20))),"")))</f>
        <v/>
      </c>
      <c r="E1727">
        <f>IF($A1727="","",IF(OR($B1727="",$C1727="",$D1727="",$B1727&lt;1300,$B1727&gt;1500,$C1727&lt;1,$C1727&gt;12,$D1727&lt;1,$D1727&gt;31),"نامعتبر",RIGHT("0000"&amp;$B1727,4)&amp;"/"&amp;RIGHT("00"&amp;$C1727,2)&amp;"/"&amp;RIGHT("00"&amp;$D1727,2)))</f>
        <v/>
      </c>
      <c r="F1727">
        <f>IF(OR($E1727="",$E1727="نامعتبر"),"",LEFT($E1727,4)&amp;"/"&amp;MID($E1727,6,2))</f>
        <v/>
      </c>
      <c r="G1727">
        <f>IF(OR($E1727="",$E1727="نامعتبر",Sync!$X1723=""),"",IF(AND(LEFT(UPPER(TRIM(Sync!$X1723)),2)="SL",IFERROR(VLOOKUP(Sync!$W1723,OpTbl,3,0),"")="فروش"),UPPER(TRIM(Sync!$X1723)),""))</f>
        <v/>
      </c>
      <c r="H1727">
        <f>IF($G1727="","",IF(Sync!$W1723="","",Sync!$W1723))</f>
        <v/>
      </c>
      <c r="I1727">
        <f>IF(OR($G1727="",Sync!$Y1723=""),"",Sync!$Y1723)</f>
        <v/>
      </c>
      <c r="J1727">
        <f>IF(OR($G1727="",Sync!$Z1723=""),"",Sync!$Z1723)</f>
        <v/>
      </c>
      <c r="K1727">
        <f>IF($G1727="",0,IF(Sync!$AA1723="",0,Sync!$AA1723))</f>
        <v/>
      </c>
      <c r="L1727">
        <f>IF($G1727="",0,IF(Sync!$AB1723="",0,Sync!$AB1723))</f>
        <v/>
      </c>
      <c r="M1727">
        <f>IF($G1727="","",IF($H1727="مرجوعی فروش",-1,1)*($K1727-$L1727*IFERROR(VLOOKUP("P01",ParamTbl,3,0),1.5)))</f>
        <v/>
      </c>
      <c r="N1727">
        <f>IF($G1727="",0,IF($H1727="مرجوعی فروش",-1,1)*IF(Sync!$AC1723="",0,Sync!$AC1723))</f>
        <v/>
      </c>
      <c r="O1727">
        <f>IF(OR($G1727="",Sync!$V1723=""),"",Sync!$V1723)</f>
        <v/>
      </c>
      <c r="P1727">
        <f>IF(OR($G1727="",Sync!$AD1723=""),"",Sync!$AD1723)</f>
        <v/>
      </c>
      <c r="Q1727">
        <f>IF($G1727="","",IF(Sync!$U1723="","0000",IF(AND(ISNUMBER(Sync!$U1723),Sync!$U1723&gt;=0,Sync!$U1723&lt;1),RIGHT("00"&amp;HOUR(Sync!$U1723),2)&amp;RIGHT("00"&amp;MINUTE(Sync!$U1723),2),IFERROR(RIGHT("00"&amp;VALUE(LEFT(Sync!$U1723,FIND(":",Sync!$U1723)-1)),2)&amp;RIGHT("00"&amp;VALUE(MID(Sync!$U1723,FIND(":",Sync!$U1723)+1,2)),2),"0000"))))</f>
        <v/>
      </c>
    </row>
    <row r="1728">
      <c r="A1728">
        <f>IF(Sync!$T1724="","",Sync!$T1724)</f>
        <v/>
      </c>
      <c r="B1728">
        <f>IF($A1728="","",IF(ISNUMBER($A1728),IF(AND($A1728&gt;=10000101,$A1728&lt;=99991231),INT($A1728/10000),""),IFERROR(VALUE(TRIM(LEFT($A1728,FIND("/",$A1728)-1))),"")))</f>
        <v/>
      </c>
      <c r="C1728">
        <f>IF(OR($A1728="",$B1728=""),"",IF(ISNUMBER($A1728),INT(MOD($A1728,10000)/100),IFERROR(VALUE(TRIM(LEFT(MID($A1728,FIND("/",$A1728)+1,20),FIND("/",MID($A1728,FIND("/",$A1728)+1,20))-1))),"")))</f>
        <v/>
      </c>
      <c r="D1728">
        <f>IF(OR($A1728="",$B1728=""),"",IF(ISNUMBER($A1728),MOD($A1728,100),IFERROR(VALUE(TRIM(MID(MID($A1728,FIND("/",$A1728)+1,20),FIND("/",MID($A1728,FIND("/",$A1728)+1,20))+1,20))),"")))</f>
        <v/>
      </c>
      <c r="E1728">
        <f>IF($A1728="","",IF(OR($B1728="",$C1728="",$D1728="",$B1728&lt;1300,$B1728&gt;1500,$C1728&lt;1,$C1728&gt;12,$D1728&lt;1,$D1728&gt;31),"نامعتبر",RIGHT("0000"&amp;$B1728,4)&amp;"/"&amp;RIGHT("00"&amp;$C1728,2)&amp;"/"&amp;RIGHT("00"&amp;$D1728,2)))</f>
        <v/>
      </c>
      <c r="F1728">
        <f>IF(OR($E1728="",$E1728="نامعتبر"),"",LEFT($E1728,4)&amp;"/"&amp;MID($E1728,6,2))</f>
        <v/>
      </c>
      <c r="G1728">
        <f>IF(OR($E1728="",$E1728="نامعتبر",Sync!$X1724=""),"",IF(AND(LEFT(UPPER(TRIM(Sync!$X1724)),2)="SL",IFERROR(VLOOKUP(Sync!$W1724,OpTbl,3,0),"")="فروش"),UPPER(TRIM(Sync!$X1724)),""))</f>
        <v/>
      </c>
      <c r="H1728">
        <f>IF($G1728="","",IF(Sync!$W1724="","",Sync!$W1724))</f>
        <v/>
      </c>
      <c r="I1728">
        <f>IF(OR($G1728="",Sync!$Y1724=""),"",Sync!$Y1724)</f>
        <v/>
      </c>
      <c r="J1728">
        <f>IF(OR($G1728="",Sync!$Z1724=""),"",Sync!$Z1724)</f>
        <v/>
      </c>
      <c r="K1728">
        <f>IF($G1728="",0,IF(Sync!$AA1724="",0,Sync!$AA1724))</f>
        <v/>
      </c>
      <c r="L1728">
        <f>IF($G1728="",0,IF(Sync!$AB1724="",0,Sync!$AB1724))</f>
        <v/>
      </c>
      <c r="M1728">
        <f>IF($G1728="","",IF($H1728="مرجوعی فروش",-1,1)*($K1728-$L1728*IFERROR(VLOOKUP("P01",ParamTbl,3,0),1.5)))</f>
        <v/>
      </c>
      <c r="N1728">
        <f>IF($G1728="",0,IF($H1728="مرجوعی فروش",-1,1)*IF(Sync!$AC1724="",0,Sync!$AC1724))</f>
        <v/>
      </c>
      <c r="O1728">
        <f>IF(OR($G1728="",Sync!$V1724=""),"",Sync!$V1724)</f>
        <v/>
      </c>
      <c r="P1728">
        <f>IF(OR($G1728="",Sync!$AD1724=""),"",Sync!$AD1724)</f>
        <v/>
      </c>
      <c r="Q1728">
        <f>IF($G1728="","",IF(Sync!$U1724="","0000",IF(AND(ISNUMBER(Sync!$U1724),Sync!$U1724&gt;=0,Sync!$U1724&lt;1),RIGHT("00"&amp;HOUR(Sync!$U1724),2)&amp;RIGHT("00"&amp;MINUTE(Sync!$U1724),2),IFERROR(RIGHT("00"&amp;VALUE(LEFT(Sync!$U1724,FIND(":",Sync!$U1724)-1)),2)&amp;RIGHT("00"&amp;VALUE(MID(Sync!$U1724,FIND(":",Sync!$U1724)+1,2)),2),"0000"))))</f>
        <v/>
      </c>
    </row>
    <row r="1729">
      <c r="A1729">
        <f>IF(Sync!$T1725="","",Sync!$T1725)</f>
        <v/>
      </c>
      <c r="B1729">
        <f>IF($A1729="","",IF(ISNUMBER($A1729),IF(AND($A1729&gt;=10000101,$A1729&lt;=99991231),INT($A1729/10000),""),IFERROR(VALUE(TRIM(LEFT($A1729,FIND("/",$A1729)-1))),"")))</f>
        <v/>
      </c>
      <c r="C1729">
        <f>IF(OR($A1729="",$B1729=""),"",IF(ISNUMBER($A1729),INT(MOD($A1729,10000)/100),IFERROR(VALUE(TRIM(LEFT(MID($A1729,FIND("/",$A1729)+1,20),FIND("/",MID($A1729,FIND("/",$A1729)+1,20))-1))),"")))</f>
        <v/>
      </c>
      <c r="D1729">
        <f>IF(OR($A1729="",$B1729=""),"",IF(ISNUMBER($A1729),MOD($A1729,100),IFERROR(VALUE(TRIM(MID(MID($A1729,FIND("/",$A1729)+1,20),FIND("/",MID($A1729,FIND("/",$A1729)+1,20))+1,20))),"")))</f>
        <v/>
      </c>
      <c r="E1729">
        <f>IF($A1729="","",IF(OR($B1729="",$C1729="",$D1729="",$B1729&lt;1300,$B1729&gt;1500,$C1729&lt;1,$C1729&gt;12,$D1729&lt;1,$D1729&gt;31),"نامعتبر",RIGHT("0000"&amp;$B1729,4)&amp;"/"&amp;RIGHT("00"&amp;$C1729,2)&amp;"/"&amp;RIGHT("00"&amp;$D1729,2)))</f>
        <v/>
      </c>
      <c r="F1729">
        <f>IF(OR($E1729="",$E1729="نامعتبر"),"",LEFT($E1729,4)&amp;"/"&amp;MID($E1729,6,2))</f>
        <v/>
      </c>
      <c r="G1729">
        <f>IF(OR($E1729="",$E1729="نامعتبر",Sync!$X1725=""),"",IF(AND(LEFT(UPPER(TRIM(Sync!$X1725)),2)="SL",IFERROR(VLOOKUP(Sync!$W1725,OpTbl,3,0),"")="فروش"),UPPER(TRIM(Sync!$X1725)),""))</f>
        <v/>
      </c>
      <c r="H1729">
        <f>IF($G1729="","",IF(Sync!$W1725="","",Sync!$W1725))</f>
        <v/>
      </c>
      <c r="I1729">
        <f>IF(OR($G1729="",Sync!$Y1725=""),"",Sync!$Y1725)</f>
        <v/>
      </c>
      <c r="J1729">
        <f>IF(OR($G1729="",Sync!$Z1725=""),"",Sync!$Z1725)</f>
        <v/>
      </c>
      <c r="K1729">
        <f>IF($G1729="",0,IF(Sync!$AA1725="",0,Sync!$AA1725))</f>
        <v/>
      </c>
      <c r="L1729">
        <f>IF($G1729="",0,IF(Sync!$AB1725="",0,Sync!$AB1725))</f>
        <v/>
      </c>
      <c r="M1729">
        <f>IF($G1729="","",IF($H1729="مرجوعی فروش",-1,1)*($K1729-$L1729*IFERROR(VLOOKUP("P01",ParamTbl,3,0),1.5)))</f>
        <v/>
      </c>
      <c r="N1729">
        <f>IF($G1729="",0,IF($H1729="مرجوعی فروش",-1,1)*IF(Sync!$AC1725="",0,Sync!$AC1725))</f>
        <v/>
      </c>
      <c r="O1729">
        <f>IF(OR($G1729="",Sync!$V1725=""),"",Sync!$V1725)</f>
        <v/>
      </c>
      <c r="P1729">
        <f>IF(OR($G1729="",Sync!$AD1725=""),"",Sync!$AD1725)</f>
        <v/>
      </c>
      <c r="Q1729">
        <f>IF($G1729="","",IF(Sync!$U1725="","0000",IF(AND(ISNUMBER(Sync!$U1725),Sync!$U1725&gt;=0,Sync!$U1725&lt;1),RIGHT("00"&amp;HOUR(Sync!$U1725),2)&amp;RIGHT("00"&amp;MINUTE(Sync!$U1725),2),IFERROR(RIGHT("00"&amp;VALUE(LEFT(Sync!$U1725,FIND(":",Sync!$U1725)-1)),2)&amp;RIGHT("00"&amp;VALUE(MID(Sync!$U1725,FIND(":",Sync!$U1725)+1,2)),2),"0000"))))</f>
        <v/>
      </c>
    </row>
    <row r="1730">
      <c r="A1730">
        <f>IF(Sync!$T1726="","",Sync!$T1726)</f>
        <v/>
      </c>
      <c r="B1730">
        <f>IF($A1730="","",IF(ISNUMBER($A1730),IF(AND($A1730&gt;=10000101,$A1730&lt;=99991231),INT($A1730/10000),""),IFERROR(VALUE(TRIM(LEFT($A1730,FIND("/",$A1730)-1))),"")))</f>
        <v/>
      </c>
      <c r="C1730">
        <f>IF(OR($A1730="",$B1730=""),"",IF(ISNUMBER($A1730),INT(MOD($A1730,10000)/100),IFERROR(VALUE(TRIM(LEFT(MID($A1730,FIND("/",$A1730)+1,20),FIND("/",MID($A1730,FIND("/",$A1730)+1,20))-1))),"")))</f>
        <v/>
      </c>
      <c r="D1730">
        <f>IF(OR($A1730="",$B1730=""),"",IF(ISNUMBER($A1730),MOD($A1730,100),IFERROR(VALUE(TRIM(MID(MID($A1730,FIND("/",$A1730)+1,20),FIND("/",MID($A1730,FIND("/",$A1730)+1,20))+1,20))),"")))</f>
        <v/>
      </c>
      <c r="E1730">
        <f>IF($A1730="","",IF(OR($B1730="",$C1730="",$D1730="",$B1730&lt;1300,$B1730&gt;1500,$C1730&lt;1,$C1730&gt;12,$D1730&lt;1,$D1730&gt;31),"نامعتبر",RIGHT("0000"&amp;$B1730,4)&amp;"/"&amp;RIGHT("00"&amp;$C1730,2)&amp;"/"&amp;RIGHT("00"&amp;$D1730,2)))</f>
        <v/>
      </c>
      <c r="F1730">
        <f>IF(OR($E1730="",$E1730="نامعتبر"),"",LEFT($E1730,4)&amp;"/"&amp;MID($E1730,6,2))</f>
        <v/>
      </c>
      <c r="G1730">
        <f>IF(OR($E1730="",$E1730="نامعتبر",Sync!$X1726=""),"",IF(AND(LEFT(UPPER(TRIM(Sync!$X1726)),2)="SL",IFERROR(VLOOKUP(Sync!$W1726,OpTbl,3,0),"")="فروش"),UPPER(TRIM(Sync!$X1726)),""))</f>
        <v/>
      </c>
      <c r="H1730">
        <f>IF($G1730="","",IF(Sync!$W1726="","",Sync!$W1726))</f>
        <v/>
      </c>
      <c r="I1730">
        <f>IF(OR($G1730="",Sync!$Y1726=""),"",Sync!$Y1726)</f>
        <v/>
      </c>
      <c r="J1730">
        <f>IF(OR($G1730="",Sync!$Z1726=""),"",Sync!$Z1726)</f>
        <v/>
      </c>
      <c r="K1730">
        <f>IF($G1730="",0,IF(Sync!$AA1726="",0,Sync!$AA1726))</f>
        <v/>
      </c>
      <c r="L1730">
        <f>IF($G1730="",0,IF(Sync!$AB1726="",0,Sync!$AB1726))</f>
        <v/>
      </c>
      <c r="M1730">
        <f>IF($G1730="","",IF($H1730="مرجوعی فروش",-1,1)*($K1730-$L1730*IFERROR(VLOOKUP("P01",ParamTbl,3,0),1.5)))</f>
        <v/>
      </c>
      <c r="N1730">
        <f>IF($G1730="",0,IF($H1730="مرجوعی فروش",-1,1)*IF(Sync!$AC1726="",0,Sync!$AC1726))</f>
        <v/>
      </c>
      <c r="O1730">
        <f>IF(OR($G1730="",Sync!$V1726=""),"",Sync!$V1726)</f>
        <v/>
      </c>
      <c r="P1730">
        <f>IF(OR($G1730="",Sync!$AD1726=""),"",Sync!$AD1726)</f>
        <v/>
      </c>
      <c r="Q1730">
        <f>IF($G1730="","",IF(Sync!$U1726="","0000",IF(AND(ISNUMBER(Sync!$U1726),Sync!$U1726&gt;=0,Sync!$U1726&lt;1),RIGHT("00"&amp;HOUR(Sync!$U1726),2)&amp;RIGHT("00"&amp;MINUTE(Sync!$U1726),2),IFERROR(RIGHT("00"&amp;VALUE(LEFT(Sync!$U1726,FIND(":",Sync!$U1726)-1)),2)&amp;RIGHT("00"&amp;VALUE(MID(Sync!$U1726,FIND(":",Sync!$U1726)+1,2)),2),"0000"))))</f>
        <v/>
      </c>
    </row>
    <row r="1731">
      <c r="A1731">
        <f>IF(Sync!$T1727="","",Sync!$T1727)</f>
        <v/>
      </c>
      <c r="B1731">
        <f>IF($A1731="","",IF(ISNUMBER($A1731),IF(AND($A1731&gt;=10000101,$A1731&lt;=99991231),INT($A1731/10000),""),IFERROR(VALUE(TRIM(LEFT($A1731,FIND("/",$A1731)-1))),"")))</f>
        <v/>
      </c>
      <c r="C1731">
        <f>IF(OR($A1731="",$B1731=""),"",IF(ISNUMBER($A1731),INT(MOD($A1731,10000)/100),IFERROR(VALUE(TRIM(LEFT(MID($A1731,FIND("/",$A1731)+1,20),FIND("/",MID($A1731,FIND("/",$A1731)+1,20))-1))),"")))</f>
        <v/>
      </c>
      <c r="D1731">
        <f>IF(OR($A1731="",$B1731=""),"",IF(ISNUMBER($A1731),MOD($A1731,100),IFERROR(VALUE(TRIM(MID(MID($A1731,FIND("/",$A1731)+1,20),FIND("/",MID($A1731,FIND("/",$A1731)+1,20))+1,20))),"")))</f>
        <v/>
      </c>
      <c r="E1731">
        <f>IF($A1731="","",IF(OR($B1731="",$C1731="",$D1731="",$B1731&lt;1300,$B1731&gt;1500,$C1731&lt;1,$C1731&gt;12,$D1731&lt;1,$D1731&gt;31),"نامعتبر",RIGHT("0000"&amp;$B1731,4)&amp;"/"&amp;RIGHT("00"&amp;$C1731,2)&amp;"/"&amp;RIGHT("00"&amp;$D1731,2)))</f>
        <v/>
      </c>
      <c r="F1731">
        <f>IF(OR($E1731="",$E1731="نامعتبر"),"",LEFT($E1731,4)&amp;"/"&amp;MID($E1731,6,2))</f>
        <v/>
      </c>
      <c r="G1731">
        <f>IF(OR($E1731="",$E1731="نامعتبر",Sync!$X1727=""),"",IF(AND(LEFT(UPPER(TRIM(Sync!$X1727)),2)="SL",IFERROR(VLOOKUP(Sync!$W1727,OpTbl,3,0),"")="فروش"),UPPER(TRIM(Sync!$X1727)),""))</f>
        <v/>
      </c>
      <c r="H1731">
        <f>IF($G1731="","",IF(Sync!$W1727="","",Sync!$W1727))</f>
        <v/>
      </c>
      <c r="I1731">
        <f>IF(OR($G1731="",Sync!$Y1727=""),"",Sync!$Y1727)</f>
        <v/>
      </c>
      <c r="J1731">
        <f>IF(OR($G1731="",Sync!$Z1727=""),"",Sync!$Z1727)</f>
        <v/>
      </c>
      <c r="K1731">
        <f>IF($G1731="",0,IF(Sync!$AA1727="",0,Sync!$AA1727))</f>
        <v/>
      </c>
      <c r="L1731">
        <f>IF($G1731="",0,IF(Sync!$AB1727="",0,Sync!$AB1727))</f>
        <v/>
      </c>
      <c r="M1731">
        <f>IF($G1731="","",IF($H1731="مرجوعی فروش",-1,1)*($K1731-$L1731*IFERROR(VLOOKUP("P01",ParamTbl,3,0),1.5)))</f>
        <v/>
      </c>
      <c r="N1731">
        <f>IF($G1731="",0,IF($H1731="مرجوعی فروش",-1,1)*IF(Sync!$AC1727="",0,Sync!$AC1727))</f>
        <v/>
      </c>
      <c r="O1731">
        <f>IF(OR($G1731="",Sync!$V1727=""),"",Sync!$V1727)</f>
        <v/>
      </c>
      <c r="P1731">
        <f>IF(OR($G1731="",Sync!$AD1727=""),"",Sync!$AD1727)</f>
        <v/>
      </c>
      <c r="Q1731">
        <f>IF($G1731="","",IF(Sync!$U1727="","0000",IF(AND(ISNUMBER(Sync!$U1727),Sync!$U1727&gt;=0,Sync!$U1727&lt;1),RIGHT("00"&amp;HOUR(Sync!$U1727),2)&amp;RIGHT("00"&amp;MINUTE(Sync!$U1727),2),IFERROR(RIGHT("00"&amp;VALUE(LEFT(Sync!$U1727,FIND(":",Sync!$U1727)-1)),2)&amp;RIGHT("00"&amp;VALUE(MID(Sync!$U1727,FIND(":",Sync!$U1727)+1,2)),2),"0000"))))</f>
        <v/>
      </c>
    </row>
    <row r="1732">
      <c r="A1732">
        <f>IF(Sync!$T1728="","",Sync!$T1728)</f>
        <v/>
      </c>
      <c r="B1732">
        <f>IF($A1732="","",IF(ISNUMBER($A1732),IF(AND($A1732&gt;=10000101,$A1732&lt;=99991231),INT($A1732/10000),""),IFERROR(VALUE(TRIM(LEFT($A1732,FIND("/",$A1732)-1))),"")))</f>
        <v/>
      </c>
      <c r="C1732">
        <f>IF(OR($A1732="",$B1732=""),"",IF(ISNUMBER($A1732),INT(MOD($A1732,10000)/100),IFERROR(VALUE(TRIM(LEFT(MID($A1732,FIND("/",$A1732)+1,20),FIND("/",MID($A1732,FIND("/",$A1732)+1,20))-1))),"")))</f>
        <v/>
      </c>
      <c r="D1732">
        <f>IF(OR($A1732="",$B1732=""),"",IF(ISNUMBER($A1732),MOD($A1732,100),IFERROR(VALUE(TRIM(MID(MID($A1732,FIND("/",$A1732)+1,20),FIND("/",MID($A1732,FIND("/",$A1732)+1,20))+1,20))),"")))</f>
        <v/>
      </c>
      <c r="E1732">
        <f>IF($A1732="","",IF(OR($B1732="",$C1732="",$D1732="",$B1732&lt;1300,$B1732&gt;1500,$C1732&lt;1,$C1732&gt;12,$D1732&lt;1,$D1732&gt;31),"نامعتبر",RIGHT("0000"&amp;$B1732,4)&amp;"/"&amp;RIGHT("00"&amp;$C1732,2)&amp;"/"&amp;RIGHT("00"&amp;$D1732,2)))</f>
        <v/>
      </c>
      <c r="F1732">
        <f>IF(OR($E1732="",$E1732="نامعتبر"),"",LEFT($E1732,4)&amp;"/"&amp;MID($E1732,6,2))</f>
        <v/>
      </c>
      <c r="G1732">
        <f>IF(OR($E1732="",$E1732="نامعتبر",Sync!$X1728=""),"",IF(AND(LEFT(UPPER(TRIM(Sync!$X1728)),2)="SL",IFERROR(VLOOKUP(Sync!$W1728,OpTbl,3,0),"")="فروش"),UPPER(TRIM(Sync!$X1728)),""))</f>
        <v/>
      </c>
      <c r="H1732">
        <f>IF($G1732="","",IF(Sync!$W1728="","",Sync!$W1728))</f>
        <v/>
      </c>
      <c r="I1732">
        <f>IF(OR($G1732="",Sync!$Y1728=""),"",Sync!$Y1728)</f>
        <v/>
      </c>
      <c r="J1732">
        <f>IF(OR($G1732="",Sync!$Z1728=""),"",Sync!$Z1728)</f>
        <v/>
      </c>
      <c r="K1732">
        <f>IF($G1732="",0,IF(Sync!$AA1728="",0,Sync!$AA1728))</f>
        <v/>
      </c>
      <c r="L1732">
        <f>IF($G1732="",0,IF(Sync!$AB1728="",0,Sync!$AB1728))</f>
        <v/>
      </c>
      <c r="M1732">
        <f>IF($G1732="","",IF($H1732="مرجوعی فروش",-1,1)*($K1732-$L1732*IFERROR(VLOOKUP("P01",ParamTbl,3,0),1.5)))</f>
        <v/>
      </c>
      <c r="N1732">
        <f>IF($G1732="",0,IF($H1732="مرجوعی فروش",-1,1)*IF(Sync!$AC1728="",0,Sync!$AC1728))</f>
        <v/>
      </c>
      <c r="O1732">
        <f>IF(OR($G1732="",Sync!$V1728=""),"",Sync!$V1728)</f>
        <v/>
      </c>
      <c r="P1732">
        <f>IF(OR($G1732="",Sync!$AD1728=""),"",Sync!$AD1728)</f>
        <v/>
      </c>
      <c r="Q1732">
        <f>IF($G1732="","",IF(Sync!$U1728="","0000",IF(AND(ISNUMBER(Sync!$U1728),Sync!$U1728&gt;=0,Sync!$U1728&lt;1),RIGHT("00"&amp;HOUR(Sync!$U1728),2)&amp;RIGHT("00"&amp;MINUTE(Sync!$U1728),2),IFERROR(RIGHT("00"&amp;VALUE(LEFT(Sync!$U1728,FIND(":",Sync!$U1728)-1)),2)&amp;RIGHT("00"&amp;VALUE(MID(Sync!$U1728,FIND(":",Sync!$U1728)+1,2)),2),"0000"))))</f>
        <v/>
      </c>
    </row>
    <row r="1733">
      <c r="A1733">
        <f>IF(Sync!$T1729="","",Sync!$T1729)</f>
        <v/>
      </c>
      <c r="B1733">
        <f>IF($A1733="","",IF(ISNUMBER($A1733),IF(AND($A1733&gt;=10000101,$A1733&lt;=99991231),INT($A1733/10000),""),IFERROR(VALUE(TRIM(LEFT($A1733,FIND("/",$A1733)-1))),"")))</f>
        <v/>
      </c>
      <c r="C1733">
        <f>IF(OR($A1733="",$B1733=""),"",IF(ISNUMBER($A1733),INT(MOD($A1733,10000)/100),IFERROR(VALUE(TRIM(LEFT(MID($A1733,FIND("/",$A1733)+1,20),FIND("/",MID($A1733,FIND("/",$A1733)+1,20))-1))),"")))</f>
        <v/>
      </c>
      <c r="D1733">
        <f>IF(OR($A1733="",$B1733=""),"",IF(ISNUMBER($A1733),MOD($A1733,100),IFERROR(VALUE(TRIM(MID(MID($A1733,FIND("/",$A1733)+1,20),FIND("/",MID($A1733,FIND("/",$A1733)+1,20))+1,20))),"")))</f>
        <v/>
      </c>
      <c r="E1733">
        <f>IF($A1733="","",IF(OR($B1733="",$C1733="",$D1733="",$B1733&lt;1300,$B1733&gt;1500,$C1733&lt;1,$C1733&gt;12,$D1733&lt;1,$D1733&gt;31),"نامعتبر",RIGHT("0000"&amp;$B1733,4)&amp;"/"&amp;RIGHT("00"&amp;$C1733,2)&amp;"/"&amp;RIGHT("00"&amp;$D1733,2)))</f>
        <v/>
      </c>
      <c r="F1733">
        <f>IF(OR($E1733="",$E1733="نامعتبر"),"",LEFT($E1733,4)&amp;"/"&amp;MID($E1733,6,2))</f>
        <v/>
      </c>
      <c r="G1733">
        <f>IF(OR($E1733="",$E1733="نامعتبر",Sync!$X1729=""),"",IF(AND(LEFT(UPPER(TRIM(Sync!$X1729)),2)="SL",IFERROR(VLOOKUP(Sync!$W1729,OpTbl,3,0),"")="فروش"),UPPER(TRIM(Sync!$X1729)),""))</f>
        <v/>
      </c>
      <c r="H1733">
        <f>IF($G1733="","",IF(Sync!$W1729="","",Sync!$W1729))</f>
        <v/>
      </c>
      <c r="I1733">
        <f>IF(OR($G1733="",Sync!$Y1729=""),"",Sync!$Y1729)</f>
        <v/>
      </c>
      <c r="J1733">
        <f>IF(OR($G1733="",Sync!$Z1729=""),"",Sync!$Z1729)</f>
        <v/>
      </c>
      <c r="K1733">
        <f>IF($G1733="",0,IF(Sync!$AA1729="",0,Sync!$AA1729))</f>
        <v/>
      </c>
      <c r="L1733">
        <f>IF($G1733="",0,IF(Sync!$AB1729="",0,Sync!$AB1729))</f>
        <v/>
      </c>
      <c r="M1733">
        <f>IF($G1733="","",IF($H1733="مرجوعی فروش",-1,1)*($K1733-$L1733*IFERROR(VLOOKUP("P01",ParamTbl,3,0),1.5)))</f>
        <v/>
      </c>
      <c r="N1733">
        <f>IF($G1733="",0,IF($H1733="مرجوعی فروش",-1,1)*IF(Sync!$AC1729="",0,Sync!$AC1729))</f>
        <v/>
      </c>
      <c r="O1733">
        <f>IF(OR($G1733="",Sync!$V1729=""),"",Sync!$V1729)</f>
        <v/>
      </c>
      <c r="P1733">
        <f>IF(OR($G1733="",Sync!$AD1729=""),"",Sync!$AD1729)</f>
        <v/>
      </c>
      <c r="Q1733">
        <f>IF($G1733="","",IF(Sync!$U1729="","0000",IF(AND(ISNUMBER(Sync!$U1729),Sync!$U1729&gt;=0,Sync!$U1729&lt;1),RIGHT("00"&amp;HOUR(Sync!$U1729),2)&amp;RIGHT("00"&amp;MINUTE(Sync!$U1729),2),IFERROR(RIGHT("00"&amp;VALUE(LEFT(Sync!$U1729,FIND(":",Sync!$U1729)-1)),2)&amp;RIGHT("00"&amp;VALUE(MID(Sync!$U1729,FIND(":",Sync!$U1729)+1,2)),2),"0000"))))</f>
        <v/>
      </c>
    </row>
    <row r="1734">
      <c r="A1734">
        <f>IF(Sync!$T1730="","",Sync!$T1730)</f>
        <v/>
      </c>
      <c r="B1734">
        <f>IF($A1734="","",IF(ISNUMBER($A1734),IF(AND($A1734&gt;=10000101,$A1734&lt;=99991231),INT($A1734/10000),""),IFERROR(VALUE(TRIM(LEFT($A1734,FIND("/",$A1734)-1))),"")))</f>
        <v/>
      </c>
      <c r="C1734">
        <f>IF(OR($A1734="",$B1734=""),"",IF(ISNUMBER($A1734),INT(MOD($A1734,10000)/100),IFERROR(VALUE(TRIM(LEFT(MID($A1734,FIND("/",$A1734)+1,20),FIND("/",MID($A1734,FIND("/",$A1734)+1,20))-1))),"")))</f>
        <v/>
      </c>
      <c r="D1734">
        <f>IF(OR($A1734="",$B1734=""),"",IF(ISNUMBER($A1734),MOD($A1734,100),IFERROR(VALUE(TRIM(MID(MID($A1734,FIND("/",$A1734)+1,20),FIND("/",MID($A1734,FIND("/",$A1734)+1,20))+1,20))),"")))</f>
        <v/>
      </c>
      <c r="E1734">
        <f>IF($A1734="","",IF(OR($B1734="",$C1734="",$D1734="",$B1734&lt;1300,$B1734&gt;1500,$C1734&lt;1,$C1734&gt;12,$D1734&lt;1,$D1734&gt;31),"نامعتبر",RIGHT("0000"&amp;$B1734,4)&amp;"/"&amp;RIGHT("00"&amp;$C1734,2)&amp;"/"&amp;RIGHT("00"&amp;$D1734,2)))</f>
        <v/>
      </c>
      <c r="F1734">
        <f>IF(OR($E1734="",$E1734="نامعتبر"),"",LEFT($E1734,4)&amp;"/"&amp;MID($E1734,6,2))</f>
        <v/>
      </c>
      <c r="G1734">
        <f>IF(OR($E1734="",$E1734="نامعتبر",Sync!$X1730=""),"",IF(AND(LEFT(UPPER(TRIM(Sync!$X1730)),2)="SL",IFERROR(VLOOKUP(Sync!$W1730,OpTbl,3,0),"")="فروش"),UPPER(TRIM(Sync!$X1730)),""))</f>
        <v/>
      </c>
      <c r="H1734">
        <f>IF($G1734="","",IF(Sync!$W1730="","",Sync!$W1730))</f>
        <v/>
      </c>
      <c r="I1734">
        <f>IF(OR($G1734="",Sync!$Y1730=""),"",Sync!$Y1730)</f>
        <v/>
      </c>
      <c r="J1734">
        <f>IF(OR($G1734="",Sync!$Z1730=""),"",Sync!$Z1730)</f>
        <v/>
      </c>
      <c r="K1734">
        <f>IF($G1734="",0,IF(Sync!$AA1730="",0,Sync!$AA1730))</f>
        <v/>
      </c>
      <c r="L1734">
        <f>IF($G1734="",0,IF(Sync!$AB1730="",0,Sync!$AB1730))</f>
        <v/>
      </c>
      <c r="M1734">
        <f>IF($G1734="","",IF($H1734="مرجوعی فروش",-1,1)*($K1734-$L1734*IFERROR(VLOOKUP("P01",ParamTbl,3,0),1.5)))</f>
        <v/>
      </c>
      <c r="N1734">
        <f>IF($G1734="",0,IF($H1734="مرجوعی فروش",-1,1)*IF(Sync!$AC1730="",0,Sync!$AC1730))</f>
        <v/>
      </c>
      <c r="O1734">
        <f>IF(OR($G1734="",Sync!$V1730=""),"",Sync!$V1730)</f>
        <v/>
      </c>
      <c r="P1734">
        <f>IF(OR($G1734="",Sync!$AD1730=""),"",Sync!$AD1730)</f>
        <v/>
      </c>
      <c r="Q1734">
        <f>IF($G1734="","",IF(Sync!$U1730="","0000",IF(AND(ISNUMBER(Sync!$U1730),Sync!$U1730&gt;=0,Sync!$U1730&lt;1),RIGHT("00"&amp;HOUR(Sync!$U1730),2)&amp;RIGHT("00"&amp;MINUTE(Sync!$U1730),2),IFERROR(RIGHT("00"&amp;VALUE(LEFT(Sync!$U1730,FIND(":",Sync!$U1730)-1)),2)&amp;RIGHT("00"&amp;VALUE(MID(Sync!$U1730,FIND(":",Sync!$U1730)+1,2)),2),"0000"))))</f>
        <v/>
      </c>
    </row>
    <row r="1735">
      <c r="A1735">
        <f>IF(Sync!$T1731="","",Sync!$T1731)</f>
        <v/>
      </c>
      <c r="B1735">
        <f>IF($A1735="","",IF(ISNUMBER($A1735),IF(AND($A1735&gt;=10000101,$A1735&lt;=99991231),INT($A1735/10000),""),IFERROR(VALUE(TRIM(LEFT($A1735,FIND("/",$A1735)-1))),"")))</f>
        <v/>
      </c>
      <c r="C1735">
        <f>IF(OR($A1735="",$B1735=""),"",IF(ISNUMBER($A1735),INT(MOD($A1735,10000)/100),IFERROR(VALUE(TRIM(LEFT(MID($A1735,FIND("/",$A1735)+1,20),FIND("/",MID($A1735,FIND("/",$A1735)+1,20))-1))),"")))</f>
        <v/>
      </c>
      <c r="D1735">
        <f>IF(OR($A1735="",$B1735=""),"",IF(ISNUMBER($A1735),MOD($A1735,100),IFERROR(VALUE(TRIM(MID(MID($A1735,FIND("/",$A1735)+1,20),FIND("/",MID($A1735,FIND("/",$A1735)+1,20))+1,20))),"")))</f>
        <v/>
      </c>
      <c r="E1735">
        <f>IF($A1735="","",IF(OR($B1735="",$C1735="",$D1735="",$B1735&lt;1300,$B1735&gt;1500,$C1735&lt;1,$C1735&gt;12,$D1735&lt;1,$D1735&gt;31),"نامعتبر",RIGHT("0000"&amp;$B1735,4)&amp;"/"&amp;RIGHT("00"&amp;$C1735,2)&amp;"/"&amp;RIGHT("00"&amp;$D1735,2)))</f>
        <v/>
      </c>
      <c r="F1735">
        <f>IF(OR($E1735="",$E1735="نامعتبر"),"",LEFT($E1735,4)&amp;"/"&amp;MID($E1735,6,2))</f>
        <v/>
      </c>
      <c r="G1735">
        <f>IF(OR($E1735="",$E1735="نامعتبر",Sync!$X1731=""),"",IF(AND(LEFT(UPPER(TRIM(Sync!$X1731)),2)="SL",IFERROR(VLOOKUP(Sync!$W1731,OpTbl,3,0),"")="فروش"),UPPER(TRIM(Sync!$X1731)),""))</f>
        <v/>
      </c>
      <c r="H1735">
        <f>IF($G1735="","",IF(Sync!$W1731="","",Sync!$W1731))</f>
        <v/>
      </c>
      <c r="I1735">
        <f>IF(OR($G1735="",Sync!$Y1731=""),"",Sync!$Y1731)</f>
        <v/>
      </c>
      <c r="J1735">
        <f>IF(OR($G1735="",Sync!$Z1731=""),"",Sync!$Z1731)</f>
        <v/>
      </c>
      <c r="K1735">
        <f>IF($G1735="",0,IF(Sync!$AA1731="",0,Sync!$AA1731))</f>
        <v/>
      </c>
      <c r="L1735">
        <f>IF($G1735="",0,IF(Sync!$AB1731="",0,Sync!$AB1731))</f>
        <v/>
      </c>
      <c r="M1735">
        <f>IF($G1735="","",IF($H1735="مرجوعی فروش",-1,1)*($K1735-$L1735*IFERROR(VLOOKUP("P01",ParamTbl,3,0),1.5)))</f>
        <v/>
      </c>
      <c r="N1735">
        <f>IF($G1735="",0,IF($H1735="مرجوعی فروش",-1,1)*IF(Sync!$AC1731="",0,Sync!$AC1731))</f>
        <v/>
      </c>
      <c r="O1735">
        <f>IF(OR($G1735="",Sync!$V1731=""),"",Sync!$V1731)</f>
        <v/>
      </c>
      <c r="P1735">
        <f>IF(OR($G1735="",Sync!$AD1731=""),"",Sync!$AD1731)</f>
        <v/>
      </c>
      <c r="Q1735">
        <f>IF($G1735="","",IF(Sync!$U1731="","0000",IF(AND(ISNUMBER(Sync!$U1731),Sync!$U1731&gt;=0,Sync!$U1731&lt;1),RIGHT("00"&amp;HOUR(Sync!$U1731),2)&amp;RIGHT("00"&amp;MINUTE(Sync!$U1731),2),IFERROR(RIGHT("00"&amp;VALUE(LEFT(Sync!$U1731,FIND(":",Sync!$U1731)-1)),2)&amp;RIGHT("00"&amp;VALUE(MID(Sync!$U1731,FIND(":",Sync!$U1731)+1,2)),2),"0000"))))</f>
        <v/>
      </c>
    </row>
    <row r="1736">
      <c r="A1736">
        <f>IF(Sync!$T1732="","",Sync!$T1732)</f>
        <v/>
      </c>
      <c r="B1736">
        <f>IF($A1736="","",IF(ISNUMBER($A1736),IF(AND($A1736&gt;=10000101,$A1736&lt;=99991231),INT($A1736/10000),""),IFERROR(VALUE(TRIM(LEFT($A1736,FIND("/",$A1736)-1))),"")))</f>
        <v/>
      </c>
      <c r="C1736">
        <f>IF(OR($A1736="",$B1736=""),"",IF(ISNUMBER($A1736),INT(MOD($A1736,10000)/100),IFERROR(VALUE(TRIM(LEFT(MID($A1736,FIND("/",$A1736)+1,20),FIND("/",MID($A1736,FIND("/",$A1736)+1,20))-1))),"")))</f>
        <v/>
      </c>
      <c r="D1736">
        <f>IF(OR($A1736="",$B1736=""),"",IF(ISNUMBER($A1736),MOD($A1736,100),IFERROR(VALUE(TRIM(MID(MID($A1736,FIND("/",$A1736)+1,20),FIND("/",MID($A1736,FIND("/",$A1736)+1,20))+1,20))),"")))</f>
        <v/>
      </c>
      <c r="E1736">
        <f>IF($A1736="","",IF(OR($B1736="",$C1736="",$D1736="",$B1736&lt;1300,$B1736&gt;1500,$C1736&lt;1,$C1736&gt;12,$D1736&lt;1,$D1736&gt;31),"نامعتبر",RIGHT("0000"&amp;$B1736,4)&amp;"/"&amp;RIGHT("00"&amp;$C1736,2)&amp;"/"&amp;RIGHT("00"&amp;$D1736,2)))</f>
        <v/>
      </c>
      <c r="F1736">
        <f>IF(OR($E1736="",$E1736="نامعتبر"),"",LEFT($E1736,4)&amp;"/"&amp;MID($E1736,6,2))</f>
        <v/>
      </c>
      <c r="G1736">
        <f>IF(OR($E1736="",$E1736="نامعتبر",Sync!$X1732=""),"",IF(AND(LEFT(UPPER(TRIM(Sync!$X1732)),2)="SL",IFERROR(VLOOKUP(Sync!$W1732,OpTbl,3,0),"")="فروش"),UPPER(TRIM(Sync!$X1732)),""))</f>
        <v/>
      </c>
      <c r="H1736">
        <f>IF($G1736="","",IF(Sync!$W1732="","",Sync!$W1732))</f>
        <v/>
      </c>
      <c r="I1736">
        <f>IF(OR($G1736="",Sync!$Y1732=""),"",Sync!$Y1732)</f>
        <v/>
      </c>
      <c r="J1736">
        <f>IF(OR($G1736="",Sync!$Z1732=""),"",Sync!$Z1732)</f>
        <v/>
      </c>
      <c r="K1736">
        <f>IF($G1736="",0,IF(Sync!$AA1732="",0,Sync!$AA1732))</f>
        <v/>
      </c>
      <c r="L1736">
        <f>IF($G1736="",0,IF(Sync!$AB1732="",0,Sync!$AB1732))</f>
        <v/>
      </c>
      <c r="M1736">
        <f>IF($G1736="","",IF($H1736="مرجوعی فروش",-1,1)*($K1736-$L1736*IFERROR(VLOOKUP("P01",ParamTbl,3,0),1.5)))</f>
        <v/>
      </c>
      <c r="N1736">
        <f>IF($G1736="",0,IF($H1736="مرجوعی فروش",-1,1)*IF(Sync!$AC1732="",0,Sync!$AC1732))</f>
        <v/>
      </c>
      <c r="O1736">
        <f>IF(OR($G1736="",Sync!$V1732=""),"",Sync!$V1732)</f>
        <v/>
      </c>
      <c r="P1736">
        <f>IF(OR($G1736="",Sync!$AD1732=""),"",Sync!$AD1732)</f>
        <v/>
      </c>
      <c r="Q1736">
        <f>IF($G1736="","",IF(Sync!$U1732="","0000",IF(AND(ISNUMBER(Sync!$U1732),Sync!$U1732&gt;=0,Sync!$U1732&lt;1),RIGHT("00"&amp;HOUR(Sync!$U1732),2)&amp;RIGHT("00"&amp;MINUTE(Sync!$U1732),2),IFERROR(RIGHT("00"&amp;VALUE(LEFT(Sync!$U1732,FIND(":",Sync!$U1732)-1)),2)&amp;RIGHT("00"&amp;VALUE(MID(Sync!$U1732,FIND(":",Sync!$U1732)+1,2)),2),"0000"))))</f>
        <v/>
      </c>
    </row>
    <row r="1737">
      <c r="A1737">
        <f>IF(Sync!$T1733="","",Sync!$T1733)</f>
        <v/>
      </c>
      <c r="B1737">
        <f>IF($A1737="","",IF(ISNUMBER($A1737),IF(AND($A1737&gt;=10000101,$A1737&lt;=99991231),INT($A1737/10000),""),IFERROR(VALUE(TRIM(LEFT($A1737,FIND("/",$A1737)-1))),"")))</f>
        <v/>
      </c>
      <c r="C1737">
        <f>IF(OR($A1737="",$B1737=""),"",IF(ISNUMBER($A1737),INT(MOD($A1737,10000)/100),IFERROR(VALUE(TRIM(LEFT(MID($A1737,FIND("/",$A1737)+1,20),FIND("/",MID($A1737,FIND("/",$A1737)+1,20))-1))),"")))</f>
        <v/>
      </c>
      <c r="D1737">
        <f>IF(OR($A1737="",$B1737=""),"",IF(ISNUMBER($A1737),MOD($A1737,100),IFERROR(VALUE(TRIM(MID(MID($A1737,FIND("/",$A1737)+1,20),FIND("/",MID($A1737,FIND("/",$A1737)+1,20))+1,20))),"")))</f>
        <v/>
      </c>
      <c r="E1737">
        <f>IF($A1737="","",IF(OR($B1737="",$C1737="",$D1737="",$B1737&lt;1300,$B1737&gt;1500,$C1737&lt;1,$C1737&gt;12,$D1737&lt;1,$D1737&gt;31),"نامعتبر",RIGHT("0000"&amp;$B1737,4)&amp;"/"&amp;RIGHT("00"&amp;$C1737,2)&amp;"/"&amp;RIGHT("00"&amp;$D1737,2)))</f>
        <v/>
      </c>
      <c r="F1737">
        <f>IF(OR($E1737="",$E1737="نامعتبر"),"",LEFT($E1737,4)&amp;"/"&amp;MID($E1737,6,2))</f>
        <v/>
      </c>
      <c r="G1737">
        <f>IF(OR($E1737="",$E1737="نامعتبر",Sync!$X1733=""),"",IF(AND(LEFT(UPPER(TRIM(Sync!$X1733)),2)="SL",IFERROR(VLOOKUP(Sync!$W1733,OpTbl,3,0),"")="فروش"),UPPER(TRIM(Sync!$X1733)),""))</f>
        <v/>
      </c>
      <c r="H1737">
        <f>IF($G1737="","",IF(Sync!$W1733="","",Sync!$W1733))</f>
        <v/>
      </c>
      <c r="I1737">
        <f>IF(OR($G1737="",Sync!$Y1733=""),"",Sync!$Y1733)</f>
        <v/>
      </c>
      <c r="J1737">
        <f>IF(OR($G1737="",Sync!$Z1733=""),"",Sync!$Z1733)</f>
        <v/>
      </c>
      <c r="K1737">
        <f>IF($G1737="",0,IF(Sync!$AA1733="",0,Sync!$AA1733))</f>
        <v/>
      </c>
      <c r="L1737">
        <f>IF($G1737="",0,IF(Sync!$AB1733="",0,Sync!$AB1733))</f>
        <v/>
      </c>
      <c r="M1737">
        <f>IF($G1737="","",IF($H1737="مرجوعی فروش",-1,1)*($K1737-$L1737*IFERROR(VLOOKUP("P01",ParamTbl,3,0),1.5)))</f>
        <v/>
      </c>
      <c r="N1737">
        <f>IF($G1737="",0,IF($H1737="مرجوعی فروش",-1,1)*IF(Sync!$AC1733="",0,Sync!$AC1733))</f>
        <v/>
      </c>
      <c r="O1737">
        <f>IF(OR($G1737="",Sync!$V1733=""),"",Sync!$V1733)</f>
        <v/>
      </c>
      <c r="P1737">
        <f>IF(OR($G1737="",Sync!$AD1733=""),"",Sync!$AD1733)</f>
        <v/>
      </c>
      <c r="Q1737">
        <f>IF($G1737="","",IF(Sync!$U1733="","0000",IF(AND(ISNUMBER(Sync!$U1733),Sync!$U1733&gt;=0,Sync!$U1733&lt;1),RIGHT("00"&amp;HOUR(Sync!$U1733),2)&amp;RIGHT("00"&amp;MINUTE(Sync!$U1733),2),IFERROR(RIGHT("00"&amp;VALUE(LEFT(Sync!$U1733,FIND(":",Sync!$U1733)-1)),2)&amp;RIGHT("00"&amp;VALUE(MID(Sync!$U1733,FIND(":",Sync!$U1733)+1,2)),2),"0000"))))</f>
        <v/>
      </c>
    </row>
    <row r="1738">
      <c r="A1738">
        <f>IF(Sync!$T1734="","",Sync!$T1734)</f>
        <v/>
      </c>
      <c r="B1738">
        <f>IF($A1738="","",IF(ISNUMBER($A1738),IF(AND($A1738&gt;=10000101,$A1738&lt;=99991231),INT($A1738/10000),""),IFERROR(VALUE(TRIM(LEFT($A1738,FIND("/",$A1738)-1))),"")))</f>
        <v/>
      </c>
      <c r="C1738">
        <f>IF(OR($A1738="",$B1738=""),"",IF(ISNUMBER($A1738),INT(MOD($A1738,10000)/100),IFERROR(VALUE(TRIM(LEFT(MID($A1738,FIND("/",$A1738)+1,20),FIND("/",MID($A1738,FIND("/",$A1738)+1,20))-1))),"")))</f>
        <v/>
      </c>
      <c r="D1738">
        <f>IF(OR($A1738="",$B1738=""),"",IF(ISNUMBER($A1738),MOD($A1738,100),IFERROR(VALUE(TRIM(MID(MID($A1738,FIND("/",$A1738)+1,20),FIND("/",MID($A1738,FIND("/",$A1738)+1,20))+1,20))),"")))</f>
        <v/>
      </c>
      <c r="E1738">
        <f>IF($A1738="","",IF(OR($B1738="",$C1738="",$D1738="",$B1738&lt;1300,$B1738&gt;1500,$C1738&lt;1,$C1738&gt;12,$D1738&lt;1,$D1738&gt;31),"نامعتبر",RIGHT("0000"&amp;$B1738,4)&amp;"/"&amp;RIGHT("00"&amp;$C1738,2)&amp;"/"&amp;RIGHT("00"&amp;$D1738,2)))</f>
        <v/>
      </c>
      <c r="F1738">
        <f>IF(OR($E1738="",$E1738="نامعتبر"),"",LEFT($E1738,4)&amp;"/"&amp;MID($E1738,6,2))</f>
        <v/>
      </c>
      <c r="G1738">
        <f>IF(OR($E1738="",$E1738="نامعتبر",Sync!$X1734=""),"",IF(AND(LEFT(UPPER(TRIM(Sync!$X1734)),2)="SL",IFERROR(VLOOKUP(Sync!$W1734,OpTbl,3,0),"")="فروش"),UPPER(TRIM(Sync!$X1734)),""))</f>
        <v/>
      </c>
      <c r="H1738">
        <f>IF($G1738="","",IF(Sync!$W1734="","",Sync!$W1734))</f>
        <v/>
      </c>
      <c r="I1738">
        <f>IF(OR($G1738="",Sync!$Y1734=""),"",Sync!$Y1734)</f>
        <v/>
      </c>
      <c r="J1738">
        <f>IF(OR($G1738="",Sync!$Z1734=""),"",Sync!$Z1734)</f>
        <v/>
      </c>
      <c r="K1738">
        <f>IF($G1738="",0,IF(Sync!$AA1734="",0,Sync!$AA1734))</f>
        <v/>
      </c>
      <c r="L1738">
        <f>IF($G1738="",0,IF(Sync!$AB1734="",0,Sync!$AB1734))</f>
        <v/>
      </c>
      <c r="M1738">
        <f>IF($G1738="","",IF($H1738="مرجوعی فروش",-1,1)*($K1738-$L1738*IFERROR(VLOOKUP("P01",ParamTbl,3,0),1.5)))</f>
        <v/>
      </c>
      <c r="N1738">
        <f>IF($G1738="",0,IF($H1738="مرجوعی فروش",-1,1)*IF(Sync!$AC1734="",0,Sync!$AC1734))</f>
        <v/>
      </c>
      <c r="O1738">
        <f>IF(OR($G1738="",Sync!$V1734=""),"",Sync!$V1734)</f>
        <v/>
      </c>
      <c r="P1738">
        <f>IF(OR($G1738="",Sync!$AD1734=""),"",Sync!$AD1734)</f>
        <v/>
      </c>
      <c r="Q1738">
        <f>IF($G1738="","",IF(Sync!$U1734="","0000",IF(AND(ISNUMBER(Sync!$U1734),Sync!$U1734&gt;=0,Sync!$U1734&lt;1),RIGHT("00"&amp;HOUR(Sync!$U1734),2)&amp;RIGHT("00"&amp;MINUTE(Sync!$U1734),2),IFERROR(RIGHT("00"&amp;VALUE(LEFT(Sync!$U1734,FIND(":",Sync!$U1734)-1)),2)&amp;RIGHT("00"&amp;VALUE(MID(Sync!$U1734,FIND(":",Sync!$U1734)+1,2)),2),"0000"))))</f>
        <v/>
      </c>
    </row>
    <row r="1739">
      <c r="A1739">
        <f>IF(Sync!$T1735="","",Sync!$T1735)</f>
        <v/>
      </c>
      <c r="B1739">
        <f>IF($A1739="","",IF(ISNUMBER($A1739),IF(AND($A1739&gt;=10000101,$A1739&lt;=99991231),INT($A1739/10000),""),IFERROR(VALUE(TRIM(LEFT($A1739,FIND("/",$A1739)-1))),"")))</f>
        <v/>
      </c>
      <c r="C1739">
        <f>IF(OR($A1739="",$B1739=""),"",IF(ISNUMBER($A1739),INT(MOD($A1739,10000)/100),IFERROR(VALUE(TRIM(LEFT(MID($A1739,FIND("/",$A1739)+1,20),FIND("/",MID($A1739,FIND("/",$A1739)+1,20))-1))),"")))</f>
        <v/>
      </c>
      <c r="D1739">
        <f>IF(OR($A1739="",$B1739=""),"",IF(ISNUMBER($A1739),MOD($A1739,100),IFERROR(VALUE(TRIM(MID(MID($A1739,FIND("/",$A1739)+1,20),FIND("/",MID($A1739,FIND("/",$A1739)+1,20))+1,20))),"")))</f>
        <v/>
      </c>
      <c r="E1739">
        <f>IF($A1739="","",IF(OR($B1739="",$C1739="",$D1739="",$B1739&lt;1300,$B1739&gt;1500,$C1739&lt;1,$C1739&gt;12,$D1739&lt;1,$D1739&gt;31),"نامعتبر",RIGHT("0000"&amp;$B1739,4)&amp;"/"&amp;RIGHT("00"&amp;$C1739,2)&amp;"/"&amp;RIGHT("00"&amp;$D1739,2)))</f>
        <v/>
      </c>
      <c r="F1739">
        <f>IF(OR($E1739="",$E1739="نامعتبر"),"",LEFT($E1739,4)&amp;"/"&amp;MID($E1739,6,2))</f>
        <v/>
      </c>
      <c r="G1739">
        <f>IF(OR($E1739="",$E1739="نامعتبر",Sync!$X1735=""),"",IF(AND(LEFT(UPPER(TRIM(Sync!$X1735)),2)="SL",IFERROR(VLOOKUP(Sync!$W1735,OpTbl,3,0),"")="فروش"),UPPER(TRIM(Sync!$X1735)),""))</f>
        <v/>
      </c>
      <c r="H1739">
        <f>IF($G1739="","",IF(Sync!$W1735="","",Sync!$W1735))</f>
        <v/>
      </c>
      <c r="I1739">
        <f>IF(OR($G1739="",Sync!$Y1735=""),"",Sync!$Y1735)</f>
        <v/>
      </c>
      <c r="J1739">
        <f>IF(OR($G1739="",Sync!$Z1735=""),"",Sync!$Z1735)</f>
        <v/>
      </c>
      <c r="K1739">
        <f>IF($G1739="",0,IF(Sync!$AA1735="",0,Sync!$AA1735))</f>
        <v/>
      </c>
      <c r="L1739">
        <f>IF($G1739="",0,IF(Sync!$AB1735="",0,Sync!$AB1735))</f>
        <v/>
      </c>
      <c r="M1739">
        <f>IF($G1739="","",IF($H1739="مرجوعی فروش",-1,1)*($K1739-$L1739*IFERROR(VLOOKUP("P01",ParamTbl,3,0),1.5)))</f>
        <v/>
      </c>
      <c r="N1739">
        <f>IF($G1739="",0,IF($H1739="مرجوعی فروش",-1,1)*IF(Sync!$AC1735="",0,Sync!$AC1735))</f>
        <v/>
      </c>
      <c r="O1739">
        <f>IF(OR($G1739="",Sync!$V1735=""),"",Sync!$V1735)</f>
        <v/>
      </c>
      <c r="P1739">
        <f>IF(OR($G1739="",Sync!$AD1735=""),"",Sync!$AD1735)</f>
        <v/>
      </c>
      <c r="Q1739">
        <f>IF($G1739="","",IF(Sync!$U1735="","0000",IF(AND(ISNUMBER(Sync!$U1735),Sync!$U1735&gt;=0,Sync!$U1735&lt;1),RIGHT("00"&amp;HOUR(Sync!$U1735),2)&amp;RIGHT("00"&amp;MINUTE(Sync!$U1735),2),IFERROR(RIGHT("00"&amp;VALUE(LEFT(Sync!$U1735,FIND(":",Sync!$U1735)-1)),2)&amp;RIGHT("00"&amp;VALUE(MID(Sync!$U1735,FIND(":",Sync!$U1735)+1,2)),2),"0000"))))</f>
        <v/>
      </c>
    </row>
    <row r="1740">
      <c r="A1740">
        <f>IF(Sync!$T1736="","",Sync!$T1736)</f>
        <v/>
      </c>
      <c r="B1740">
        <f>IF($A1740="","",IF(ISNUMBER($A1740),IF(AND($A1740&gt;=10000101,$A1740&lt;=99991231),INT($A1740/10000),""),IFERROR(VALUE(TRIM(LEFT($A1740,FIND("/",$A1740)-1))),"")))</f>
        <v/>
      </c>
      <c r="C1740">
        <f>IF(OR($A1740="",$B1740=""),"",IF(ISNUMBER($A1740),INT(MOD($A1740,10000)/100),IFERROR(VALUE(TRIM(LEFT(MID($A1740,FIND("/",$A1740)+1,20),FIND("/",MID($A1740,FIND("/",$A1740)+1,20))-1))),"")))</f>
        <v/>
      </c>
      <c r="D1740">
        <f>IF(OR($A1740="",$B1740=""),"",IF(ISNUMBER($A1740),MOD($A1740,100),IFERROR(VALUE(TRIM(MID(MID($A1740,FIND("/",$A1740)+1,20),FIND("/",MID($A1740,FIND("/",$A1740)+1,20))+1,20))),"")))</f>
        <v/>
      </c>
      <c r="E1740">
        <f>IF($A1740="","",IF(OR($B1740="",$C1740="",$D1740="",$B1740&lt;1300,$B1740&gt;1500,$C1740&lt;1,$C1740&gt;12,$D1740&lt;1,$D1740&gt;31),"نامعتبر",RIGHT("0000"&amp;$B1740,4)&amp;"/"&amp;RIGHT("00"&amp;$C1740,2)&amp;"/"&amp;RIGHT("00"&amp;$D1740,2)))</f>
        <v/>
      </c>
      <c r="F1740">
        <f>IF(OR($E1740="",$E1740="نامعتبر"),"",LEFT($E1740,4)&amp;"/"&amp;MID($E1740,6,2))</f>
        <v/>
      </c>
      <c r="G1740">
        <f>IF(OR($E1740="",$E1740="نامعتبر",Sync!$X1736=""),"",IF(AND(LEFT(UPPER(TRIM(Sync!$X1736)),2)="SL",IFERROR(VLOOKUP(Sync!$W1736,OpTbl,3,0),"")="فروش"),UPPER(TRIM(Sync!$X1736)),""))</f>
        <v/>
      </c>
      <c r="H1740">
        <f>IF($G1740="","",IF(Sync!$W1736="","",Sync!$W1736))</f>
        <v/>
      </c>
      <c r="I1740">
        <f>IF(OR($G1740="",Sync!$Y1736=""),"",Sync!$Y1736)</f>
        <v/>
      </c>
      <c r="J1740">
        <f>IF(OR($G1740="",Sync!$Z1736=""),"",Sync!$Z1736)</f>
        <v/>
      </c>
      <c r="K1740">
        <f>IF($G1740="",0,IF(Sync!$AA1736="",0,Sync!$AA1736))</f>
        <v/>
      </c>
      <c r="L1740">
        <f>IF($G1740="",0,IF(Sync!$AB1736="",0,Sync!$AB1736))</f>
        <v/>
      </c>
      <c r="M1740">
        <f>IF($G1740="","",IF($H1740="مرجوعی فروش",-1,1)*($K1740-$L1740*IFERROR(VLOOKUP("P01",ParamTbl,3,0),1.5)))</f>
        <v/>
      </c>
      <c r="N1740">
        <f>IF($G1740="",0,IF($H1740="مرجوعی فروش",-1,1)*IF(Sync!$AC1736="",0,Sync!$AC1736))</f>
        <v/>
      </c>
      <c r="O1740">
        <f>IF(OR($G1740="",Sync!$V1736=""),"",Sync!$V1736)</f>
        <v/>
      </c>
      <c r="P1740">
        <f>IF(OR($G1740="",Sync!$AD1736=""),"",Sync!$AD1736)</f>
        <v/>
      </c>
      <c r="Q1740">
        <f>IF($G1740="","",IF(Sync!$U1736="","0000",IF(AND(ISNUMBER(Sync!$U1736),Sync!$U1736&gt;=0,Sync!$U1736&lt;1),RIGHT("00"&amp;HOUR(Sync!$U1736),2)&amp;RIGHT("00"&amp;MINUTE(Sync!$U1736),2),IFERROR(RIGHT("00"&amp;VALUE(LEFT(Sync!$U1736,FIND(":",Sync!$U1736)-1)),2)&amp;RIGHT("00"&amp;VALUE(MID(Sync!$U1736,FIND(":",Sync!$U1736)+1,2)),2),"0000"))))</f>
        <v/>
      </c>
    </row>
    <row r="1741">
      <c r="A1741">
        <f>IF(Sync!$T1737="","",Sync!$T1737)</f>
        <v/>
      </c>
      <c r="B1741">
        <f>IF($A1741="","",IF(ISNUMBER($A1741),IF(AND($A1741&gt;=10000101,$A1741&lt;=99991231),INT($A1741/10000),""),IFERROR(VALUE(TRIM(LEFT($A1741,FIND("/",$A1741)-1))),"")))</f>
        <v/>
      </c>
      <c r="C1741">
        <f>IF(OR($A1741="",$B1741=""),"",IF(ISNUMBER($A1741),INT(MOD($A1741,10000)/100),IFERROR(VALUE(TRIM(LEFT(MID($A1741,FIND("/",$A1741)+1,20),FIND("/",MID($A1741,FIND("/",$A1741)+1,20))-1))),"")))</f>
        <v/>
      </c>
      <c r="D1741">
        <f>IF(OR($A1741="",$B1741=""),"",IF(ISNUMBER($A1741),MOD($A1741,100),IFERROR(VALUE(TRIM(MID(MID($A1741,FIND("/",$A1741)+1,20),FIND("/",MID($A1741,FIND("/",$A1741)+1,20))+1,20))),"")))</f>
        <v/>
      </c>
      <c r="E1741">
        <f>IF($A1741="","",IF(OR($B1741="",$C1741="",$D1741="",$B1741&lt;1300,$B1741&gt;1500,$C1741&lt;1,$C1741&gt;12,$D1741&lt;1,$D1741&gt;31),"نامعتبر",RIGHT("0000"&amp;$B1741,4)&amp;"/"&amp;RIGHT("00"&amp;$C1741,2)&amp;"/"&amp;RIGHT("00"&amp;$D1741,2)))</f>
        <v/>
      </c>
      <c r="F1741">
        <f>IF(OR($E1741="",$E1741="نامعتبر"),"",LEFT($E1741,4)&amp;"/"&amp;MID($E1741,6,2))</f>
        <v/>
      </c>
      <c r="G1741">
        <f>IF(OR($E1741="",$E1741="نامعتبر",Sync!$X1737=""),"",IF(AND(LEFT(UPPER(TRIM(Sync!$X1737)),2)="SL",IFERROR(VLOOKUP(Sync!$W1737,OpTbl,3,0),"")="فروش"),UPPER(TRIM(Sync!$X1737)),""))</f>
        <v/>
      </c>
      <c r="H1741">
        <f>IF($G1741="","",IF(Sync!$W1737="","",Sync!$W1737))</f>
        <v/>
      </c>
      <c r="I1741">
        <f>IF(OR($G1741="",Sync!$Y1737=""),"",Sync!$Y1737)</f>
        <v/>
      </c>
      <c r="J1741">
        <f>IF(OR($G1741="",Sync!$Z1737=""),"",Sync!$Z1737)</f>
        <v/>
      </c>
      <c r="K1741">
        <f>IF($G1741="",0,IF(Sync!$AA1737="",0,Sync!$AA1737))</f>
        <v/>
      </c>
      <c r="L1741">
        <f>IF($G1741="",0,IF(Sync!$AB1737="",0,Sync!$AB1737))</f>
        <v/>
      </c>
      <c r="M1741">
        <f>IF($G1741="","",IF($H1741="مرجوعی فروش",-1,1)*($K1741-$L1741*IFERROR(VLOOKUP("P01",ParamTbl,3,0),1.5)))</f>
        <v/>
      </c>
      <c r="N1741">
        <f>IF($G1741="",0,IF($H1741="مرجوعی فروش",-1,1)*IF(Sync!$AC1737="",0,Sync!$AC1737))</f>
        <v/>
      </c>
      <c r="O1741">
        <f>IF(OR($G1741="",Sync!$V1737=""),"",Sync!$V1737)</f>
        <v/>
      </c>
      <c r="P1741">
        <f>IF(OR($G1741="",Sync!$AD1737=""),"",Sync!$AD1737)</f>
        <v/>
      </c>
      <c r="Q1741">
        <f>IF($G1741="","",IF(Sync!$U1737="","0000",IF(AND(ISNUMBER(Sync!$U1737),Sync!$U1737&gt;=0,Sync!$U1737&lt;1),RIGHT("00"&amp;HOUR(Sync!$U1737),2)&amp;RIGHT("00"&amp;MINUTE(Sync!$U1737),2),IFERROR(RIGHT("00"&amp;VALUE(LEFT(Sync!$U1737,FIND(":",Sync!$U1737)-1)),2)&amp;RIGHT("00"&amp;VALUE(MID(Sync!$U1737,FIND(":",Sync!$U1737)+1,2)),2),"0000"))))</f>
        <v/>
      </c>
    </row>
    <row r="1742">
      <c r="A1742">
        <f>IF(Sync!$T1738="","",Sync!$T1738)</f>
        <v/>
      </c>
      <c r="B1742">
        <f>IF($A1742="","",IF(ISNUMBER($A1742),IF(AND($A1742&gt;=10000101,$A1742&lt;=99991231),INT($A1742/10000),""),IFERROR(VALUE(TRIM(LEFT($A1742,FIND("/",$A1742)-1))),"")))</f>
        <v/>
      </c>
      <c r="C1742">
        <f>IF(OR($A1742="",$B1742=""),"",IF(ISNUMBER($A1742),INT(MOD($A1742,10000)/100),IFERROR(VALUE(TRIM(LEFT(MID($A1742,FIND("/",$A1742)+1,20),FIND("/",MID($A1742,FIND("/",$A1742)+1,20))-1))),"")))</f>
        <v/>
      </c>
      <c r="D1742">
        <f>IF(OR($A1742="",$B1742=""),"",IF(ISNUMBER($A1742),MOD($A1742,100),IFERROR(VALUE(TRIM(MID(MID($A1742,FIND("/",$A1742)+1,20),FIND("/",MID($A1742,FIND("/",$A1742)+1,20))+1,20))),"")))</f>
        <v/>
      </c>
      <c r="E1742">
        <f>IF($A1742="","",IF(OR($B1742="",$C1742="",$D1742="",$B1742&lt;1300,$B1742&gt;1500,$C1742&lt;1,$C1742&gt;12,$D1742&lt;1,$D1742&gt;31),"نامعتبر",RIGHT("0000"&amp;$B1742,4)&amp;"/"&amp;RIGHT("00"&amp;$C1742,2)&amp;"/"&amp;RIGHT("00"&amp;$D1742,2)))</f>
        <v/>
      </c>
      <c r="F1742">
        <f>IF(OR($E1742="",$E1742="نامعتبر"),"",LEFT($E1742,4)&amp;"/"&amp;MID($E1742,6,2))</f>
        <v/>
      </c>
      <c r="G1742">
        <f>IF(OR($E1742="",$E1742="نامعتبر",Sync!$X1738=""),"",IF(AND(LEFT(UPPER(TRIM(Sync!$X1738)),2)="SL",IFERROR(VLOOKUP(Sync!$W1738,OpTbl,3,0),"")="فروش"),UPPER(TRIM(Sync!$X1738)),""))</f>
        <v/>
      </c>
      <c r="H1742">
        <f>IF($G1742="","",IF(Sync!$W1738="","",Sync!$W1738))</f>
        <v/>
      </c>
      <c r="I1742">
        <f>IF(OR($G1742="",Sync!$Y1738=""),"",Sync!$Y1738)</f>
        <v/>
      </c>
      <c r="J1742">
        <f>IF(OR($G1742="",Sync!$Z1738=""),"",Sync!$Z1738)</f>
        <v/>
      </c>
      <c r="K1742">
        <f>IF($G1742="",0,IF(Sync!$AA1738="",0,Sync!$AA1738))</f>
        <v/>
      </c>
      <c r="L1742">
        <f>IF($G1742="",0,IF(Sync!$AB1738="",0,Sync!$AB1738))</f>
        <v/>
      </c>
      <c r="M1742">
        <f>IF($G1742="","",IF($H1742="مرجوعی فروش",-1,1)*($K1742-$L1742*IFERROR(VLOOKUP("P01",ParamTbl,3,0),1.5)))</f>
        <v/>
      </c>
      <c r="N1742">
        <f>IF($G1742="",0,IF($H1742="مرجوعی فروش",-1,1)*IF(Sync!$AC1738="",0,Sync!$AC1738))</f>
        <v/>
      </c>
      <c r="O1742">
        <f>IF(OR($G1742="",Sync!$V1738=""),"",Sync!$V1738)</f>
        <v/>
      </c>
      <c r="P1742">
        <f>IF(OR($G1742="",Sync!$AD1738=""),"",Sync!$AD1738)</f>
        <v/>
      </c>
      <c r="Q1742">
        <f>IF($G1742="","",IF(Sync!$U1738="","0000",IF(AND(ISNUMBER(Sync!$U1738),Sync!$U1738&gt;=0,Sync!$U1738&lt;1),RIGHT("00"&amp;HOUR(Sync!$U1738),2)&amp;RIGHT("00"&amp;MINUTE(Sync!$U1738),2),IFERROR(RIGHT("00"&amp;VALUE(LEFT(Sync!$U1738,FIND(":",Sync!$U1738)-1)),2)&amp;RIGHT("00"&amp;VALUE(MID(Sync!$U1738,FIND(":",Sync!$U1738)+1,2)),2),"0000"))))</f>
        <v/>
      </c>
    </row>
    <row r="1743">
      <c r="A1743">
        <f>IF(Sync!$T1739="","",Sync!$T1739)</f>
        <v/>
      </c>
      <c r="B1743">
        <f>IF($A1743="","",IF(ISNUMBER($A1743),IF(AND($A1743&gt;=10000101,$A1743&lt;=99991231),INT($A1743/10000),""),IFERROR(VALUE(TRIM(LEFT($A1743,FIND("/",$A1743)-1))),"")))</f>
        <v/>
      </c>
      <c r="C1743">
        <f>IF(OR($A1743="",$B1743=""),"",IF(ISNUMBER($A1743),INT(MOD($A1743,10000)/100),IFERROR(VALUE(TRIM(LEFT(MID($A1743,FIND("/",$A1743)+1,20),FIND("/",MID($A1743,FIND("/",$A1743)+1,20))-1))),"")))</f>
        <v/>
      </c>
      <c r="D1743">
        <f>IF(OR($A1743="",$B1743=""),"",IF(ISNUMBER($A1743),MOD($A1743,100),IFERROR(VALUE(TRIM(MID(MID($A1743,FIND("/",$A1743)+1,20),FIND("/",MID($A1743,FIND("/",$A1743)+1,20))+1,20))),"")))</f>
        <v/>
      </c>
      <c r="E1743">
        <f>IF($A1743="","",IF(OR($B1743="",$C1743="",$D1743="",$B1743&lt;1300,$B1743&gt;1500,$C1743&lt;1,$C1743&gt;12,$D1743&lt;1,$D1743&gt;31),"نامعتبر",RIGHT("0000"&amp;$B1743,4)&amp;"/"&amp;RIGHT("00"&amp;$C1743,2)&amp;"/"&amp;RIGHT("00"&amp;$D1743,2)))</f>
        <v/>
      </c>
      <c r="F1743">
        <f>IF(OR($E1743="",$E1743="نامعتبر"),"",LEFT($E1743,4)&amp;"/"&amp;MID($E1743,6,2))</f>
        <v/>
      </c>
      <c r="G1743">
        <f>IF(OR($E1743="",$E1743="نامعتبر",Sync!$X1739=""),"",IF(AND(LEFT(UPPER(TRIM(Sync!$X1739)),2)="SL",IFERROR(VLOOKUP(Sync!$W1739,OpTbl,3,0),"")="فروش"),UPPER(TRIM(Sync!$X1739)),""))</f>
        <v/>
      </c>
      <c r="H1743">
        <f>IF($G1743="","",IF(Sync!$W1739="","",Sync!$W1739))</f>
        <v/>
      </c>
      <c r="I1743">
        <f>IF(OR($G1743="",Sync!$Y1739=""),"",Sync!$Y1739)</f>
        <v/>
      </c>
      <c r="J1743">
        <f>IF(OR($G1743="",Sync!$Z1739=""),"",Sync!$Z1739)</f>
        <v/>
      </c>
      <c r="K1743">
        <f>IF($G1743="",0,IF(Sync!$AA1739="",0,Sync!$AA1739))</f>
        <v/>
      </c>
      <c r="L1743">
        <f>IF($G1743="",0,IF(Sync!$AB1739="",0,Sync!$AB1739))</f>
        <v/>
      </c>
      <c r="M1743">
        <f>IF($G1743="","",IF($H1743="مرجوعی فروش",-1,1)*($K1743-$L1743*IFERROR(VLOOKUP("P01",ParamTbl,3,0),1.5)))</f>
        <v/>
      </c>
      <c r="N1743">
        <f>IF($G1743="",0,IF($H1743="مرجوعی فروش",-1,1)*IF(Sync!$AC1739="",0,Sync!$AC1739))</f>
        <v/>
      </c>
      <c r="O1743">
        <f>IF(OR($G1743="",Sync!$V1739=""),"",Sync!$V1739)</f>
        <v/>
      </c>
      <c r="P1743">
        <f>IF(OR($G1743="",Sync!$AD1739=""),"",Sync!$AD1739)</f>
        <v/>
      </c>
      <c r="Q1743">
        <f>IF($G1743="","",IF(Sync!$U1739="","0000",IF(AND(ISNUMBER(Sync!$U1739),Sync!$U1739&gt;=0,Sync!$U1739&lt;1),RIGHT("00"&amp;HOUR(Sync!$U1739),2)&amp;RIGHT("00"&amp;MINUTE(Sync!$U1739),2),IFERROR(RIGHT("00"&amp;VALUE(LEFT(Sync!$U1739,FIND(":",Sync!$U1739)-1)),2)&amp;RIGHT("00"&amp;VALUE(MID(Sync!$U1739,FIND(":",Sync!$U1739)+1,2)),2),"0000"))))</f>
        <v/>
      </c>
    </row>
    <row r="1744">
      <c r="A1744">
        <f>IF(Sync!$T1740="","",Sync!$T1740)</f>
        <v/>
      </c>
      <c r="B1744">
        <f>IF($A1744="","",IF(ISNUMBER($A1744),IF(AND($A1744&gt;=10000101,$A1744&lt;=99991231),INT($A1744/10000),""),IFERROR(VALUE(TRIM(LEFT($A1744,FIND("/",$A1744)-1))),"")))</f>
        <v/>
      </c>
      <c r="C1744">
        <f>IF(OR($A1744="",$B1744=""),"",IF(ISNUMBER($A1744),INT(MOD($A1744,10000)/100),IFERROR(VALUE(TRIM(LEFT(MID($A1744,FIND("/",$A1744)+1,20),FIND("/",MID($A1744,FIND("/",$A1744)+1,20))-1))),"")))</f>
        <v/>
      </c>
      <c r="D1744">
        <f>IF(OR($A1744="",$B1744=""),"",IF(ISNUMBER($A1744),MOD($A1744,100),IFERROR(VALUE(TRIM(MID(MID($A1744,FIND("/",$A1744)+1,20),FIND("/",MID($A1744,FIND("/",$A1744)+1,20))+1,20))),"")))</f>
        <v/>
      </c>
      <c r="E1744">
        <f>IF($A1744="","",IF(OR($B1744="",$C1744="",$D1744="",$B1744&lt;1300,$B1744&gt;1500,$C1744&lt;1,$C1744&gt;12,$D1744&lt;1,$D1744&gt;31),"نامعتبر",RIGHT("0000"&amp;$B1744,4)&amp;"/"&amp;RIGHT("00"&amp;$C1744,2)&amp;"/"&amp;RIGHT("00"&amp;$D1744,2)))</f>
        <v/>
      </c>
      <c r="F1744">
        <f>IF(OR($E1744="",$E1744="نامعتبر"),"",LEFT($E1744,4)&amp;"/"&amp;MID($E1744,6,2))</f>
        <v/>
      </c>
      <c r="G1744">
        <f>IF(OR($E1744="",$E1744="نامعتبر",Sync!$X1740=""),"",IF(AND(LEFT(UPPER(TRIM(Sync!$X1740)),2)="SL",IFERROR(VLOOKUP(Sync!$W1740,OpTbl,3,0),"")="فروش"),UPPER(TRIM(Sync!$X1740)),""))</f>
        <v/>
      </c>
      <c r="H1744">
        <f>IF($G1744="","",IF(Sync!$W1740="","",Sync!$W1740))</f>
        <v/>
      </c>
      <c r="I1744">
        <f>IF(OR($G1744="",Sync!$Y1740=""),"",Sync!$Y1740)</f>
        <v/>
      </c>
      <c r="J1744">
        <f>IF(OR($G1744="",Sync!$Z1740=""),"",Sync!$Z1740)</f>
        <v/>
      </c>
      <c r="K1744">
        <f>IF($G1744="",0,IF(Sync!$AA1740="",0,Sync!$AA1740))</f>
        <v/>
      </c>
      <c r="L1744">
        <f>IF($G1744="",0,IF(Sync!$AB1740="",0,Sync!$AB1740))</f>
        <v/>
      </c>
      <c r="M1744">
        <f>IF($G1744="","",IF($H1744="مرجوعی فروش",-1,1)*($K1744-$L1744*IFERROR(VLOOKUP("P01",ParamTbl,3,0),1.5)))</f>
        <v/>
      </c>
      <c r="N1744">
        <f>IF($G1744="",0,IF($H1744="مرجوعی فروش",-1,1)*IF(Sync!$AC1740="",0,Sync!$AC1740))</f>
        <v/>
      </c>
      <c r="O1744">
        <f>IF(OR($G1744="",Sync!$V1740=""),"",Sync!$V1740)</f>
        <v/>
      </c>
      <c r="P1744">
        <f>IF(OR($G1744="",Sync!$AD1740=""),"",Sync!$AD1740)</f>
        <v/>
      </c>
      <c r="Q1744">
        <f>IF($G1744="","",IF(Sync!$U1740="","0000",IF(AND(ISNUMBER(Sync!$U1740),Sync!$U1740&gt;=0,Sync!$U1740&lt;1),RIGHT("00"&amp;HOUR(Sync!$U1740),2)&amp;RIGHT("00"&amp;MINUTE(Sync!$U1740),2),IFERROR(RIGHT("00"&amp;VALUE(LEFT(Sync!$U1740,FIND(":",Sync!$U1740)-1)),2)&amp;RIGHT("00"&amp;VALUE(MID(Sync!$U1740,FIND(":",Sync!$U1740)+1,2)),2),"0000"))))</f>
        <v/>
      </c>
    </row>
    <row r="1745">
      <c r="A1745">
        <f>IF(Sync!$T1741="","",Sync!$T1741)</f>
        <v/>
      </c>
      <c r="B1745">
        <f>IF($A1745="","",IF(ISNUMBER($A1745),IF(AND($A1745&gt;=10000101,$A1745&lt;=99991231),INT($A1745/10000),""),IFERROR(VALUE(TRIM(LEFT($A1745,FIND("/",$A1745)-1))),"")))</f>
        <v/>
      </c>
      <c r="C1745">
        <f>IF(OR($A1745="",$B1745=""),"",IF(ISNUMBER($A1745),INT(MOD($A1745,10000)/100),IFERROR(VALUE(TRIM(LEFT(MID($A1745,FIND("/",$A1745)+1,20),FIND("/",MID($A1745,FIND("/",$A1745)+1,20))-1))),"")))</f>
        <v/>
      </c>
      <c r="D1745">
        <f>IF(OR($A1745="",$B1745=""),"",IF(ISNUMBER($A1745),MOD($A1745,100),IFERROR(VALUE(TRIM(MID(MID($A1745,FIND("/",$A1745)+1,20),FIND("/",MID($A1745,FIND("/",$A1745)+1,20))+1,20))),"")))</f>
        <v/>
      </c>
      <c r="E1745">
        <f>IF($A1745="","",IF(OR($B1745="",$C1745="",$D1745="",$B1745&lt;1300,$B1745&gt;1500,$C1745&lt;1,$C1745&gt;12,$D1745&lt;1,$D1745&gt;31),"نامعتبر",RIGHT("0000"&amp;$B1745,4)&amp;"/"&amp;RIGHT("00"&amp;$C1745,2)&amp;"/"&amp;RIGHT("00"&amp;$D1745,2)))</f>
        <v/>
      </c>
      <c r="F1745">
        <f>IF(OR($E1745="",$E1745="نامعتبر"),"",LEFT($E1745,4)&amp;"/"&amp;MID($E1745,6,2))</f>
        <v/>
      </c>
      <c r="G1745">
        <f>IF(OR($E1745="",$E1745="نامعتبر",Sync!$X1741=""),"",IF(AND(LEFT(UPPER(TRIM(Sync!$X1741)),2)="SL",IFERROR(VLOOKUP(Sync!$W1741,OpTbl,3,0),"")="فروش"),UPPER(TRIM(Sync!$X1741)),""))</f>
        <v/>
      </c>
      <c r="H1745">
        <f>IF($G1745="","",IF(Sync!$W1741="","",Sync!$W1741))</f>
        <v/>
      </c>
      <c r="I1745">
        <f>IF(OR($G1745="",Sync!$Y1741=""),"",Sync!$Y1741)</f>
        <v/>
      </c>
      <c r="J1745">
        <f>IF(OR($G1745="",Sync!$Z1741=""),"",Sync!$Z1741)</f>
        <v/>
      </c>
      <c r="K1745">
        <f>IF($G1745="",0,IF(Sync!$AA1741="",0,Sync!$AA1741))</f>
        <v/>
      </c>
      <c r="L1745">
        <f>IF($G1745="",0,IF(Sync!$AB1741="",0,Sync!$AB1741))</f>
        <v/>
      </c>
      <c r="M1745">
        <f>IF($G1745="","",IF($H1745="مرجوعی فروش",-1,1)*($K1745-$L1745*IFERROR(VLOOKUP("P01",ParamTbl,3,0),1.5)))</f>
        <v/>
      </c>
      <c r="N1745">
        <f>IF($G1745="",0,IF($H1745="مرجوعی فروش",-1,1)*IF(Sync!$AC1741="",0,Sync!$AC1741))</f>
        <v/>
      </c>
      <c r="O1745">
        <f>IF(OR($G1745="",Sync!$V1741=""),"",Sync!$V1741)</f>
        <v/>
      </c>
      <c r="P1745">
        <f>IF(OR($G1745="",Sync!$AD1741=""),"",Sync!$AD1741)</f>
        <v/>
      </c>
      <c r="Q1745">
        <f>IF($G1745="","",IF(Sync!$U1741="","0000",IF(AND(ISNUMBER(Sync!$U1741),Sync!$U1741&gt;=0,Sync!$U1741&lt;1),RIGHT("00"&amp;HOUR(Sync!$U1741),2)&amp;RIGHT("00"&amp;MINUTE(Sync!$U1741),2),IFERROR(RIGHT("00"&amp;VALUE(LEFT(Sync!$U1741,FIND(":",Sync!$U1741)-1)),2)&amp;RIGHT("00"&amp;VALUE(MID(Sync!$U1741,FIND(":",Sync!$U1741)+1,2)),2),"0000"))))</f>
        <v/>
      </c>
    </row>
    <row r="1746">
      <c r="A1746">
        <f>IF(Sync!$T1742="","",Sync!$T1742)</f>
        <v/>
      </c>
      <c r="B1746">
        <f>IF($A1746="","",IF(ISNUMBER($A1746),IF(AND($A1746&gt;=10000101,$A1746&lt;=99991231),INT($A1746/10000),""),IFERROR(VALUE(TRIM(LEFT($A1746,FIND("/",$A1746)-1))),"")))</f>
        <v/>
      </c>
      <c r="C1746">
        <f>IF(OR($A1746="",$B1746=""),"",IF(ISNUMBER($A1746),INT(MOD($A1746,10000)/100),IFERROR(VALUE(TRIM(LEFT(MID($A1746,FIND("/",$A1746)+1,20),FIND("/",MID($A1746,FIND("/",$A1746)+1,20))-1))),"")))</f>
        <v/>
      </c>
      <c r="D1746">
        <f>IF(OR($A1746="",$B1746=""),"",IF(ISNUMBER($A1746),MOD($A1746,100),IFERROR(VALUE(TRIM(MID(MID($A1746,FIND("/",$A1746)+1,20),FIND("/",MID($A1746,FIND("/",$A1746)+1,20))+1,20))),"")))</f>
        <v/>
      </c>
      <c r="E1746">
        <f>IF($A1746="","",IF(OR($B1746="",$C1746="",$D1746="",$B1746&lt;1300,$B1746&gt;1500,$C1746&lt;1,$C1746&gt;12,$D1746&lt;1,$D1746&gt;31),"نامعتبر",RIGHT("0000"&amp;$B1746,4)&amp;"/"&amp;RIGHT("00"&amp;$C1746,2)&amp;"/"&amp;RIGHT("00"&amp;$D1746,2)))</f>
        <v/>
      </c>
      <c r="F1746">
        <f>IF(OR($E1746="",$E1746="نامعتبر"),"",LEFT($E1746,4)&amp;"/"&amp;MID($E1746,6,2))</f>
        <v/>
      </c>
      <c r="G1746">
        <f>IF(OR($E1746="",$E1746="نامعتبر",Sync!$X1742=""),"",IF(AND(LEFT(UPPER(TRIM(Sync!$X1742)),2)="SL",IFERROR(VLOOKUP(Sync!$W1742,OpTbl,3,0),"")="فروش"),UPPER(TRIM(Sync!$X1742)),""))</f>
        <v/>
      </c>
      <c r="H1746">
        <f>IF($G1746="","",IF(Sync!$W1742="","",Sync!$W1742))</f>
        <v/>
      </c>
      <c r="I1746">
        <f>IF(OR($G1746="",Sync!$Y1742=""),"",Sync!$Y1742)</f>
        <v/>
      </c>
      <c r="J1746">
        <f>IF(OR($G1746="",Sync!$Z1742=""),"",Sync!$Z1742)</f>
        <v/>
      </c>
      <c r="K1746">
        <f>IF($G1746="",0,IF(Sync!$AA1742="",0,Sync!$AA1742))</f>
        <v/>
      </c>
      <c r="L1746">
        <f>IF($G1746="",0,IF(Sync!$AB1742="",0,Sync!$AB1742))</f>
        <v/>
      </c>
      <c r="M1746">
        <f>IF($G1746="","",IF($H1746="مرجوعی فروش",-1,1)*($K1746-$L1746*IFERROR(VLOOKUP("P01",ParamTbl,3,0),1.5)))</f>
        <v/>
      </c>
      <c r="N1746">
        <f>IF($G1746="",0,IF($H1746="مرجوعی فروش",-1,1)*IF(Sync!$AC1742="",0,Sync!$AC1742))</f>
        <v/>
      </c>
      <c r="O1746">
        <f>IF(OR($G1746="",Sync!$V1742=""),"",Sync!$V1742)</f>
        <v/>
      </c>
      <c r="P1746">
        <f>IF(OR($G1746="",Sync!$AD1742=""),"",Sync!$AD1742)</f>
        <v/>
      </c>
      <c r="Q1746">
        <f>IF($G1746="","",IF(Sync!$U1742="","0000",IF(AND(ISNUMBER(Sync!$U1742),Sync!$U1742&gt;=0,Sync!$U1742&lt;1),RIGHT("00"&amp;HOUR(Sync!$U1742),2)&amp;RIGHT("00"&amp;MINUTE(Sync!$U1742),2),IFERROR(RIGHT("00"&amp;VALUE(LEFT(Sync!$U1742,FIND(":",Sync!$U1742)-1)),2)&amp;RIGHT("00"&amp;VALUE(MID(Sync!$U1742,FIND(":",Sync!$U1742)+1,2)),2),"0000"))))</f>
        <v/>
      </c>
    </row>
    <row r="1747">
      <c r="A1747">
        <f>IF(Sync!$T1743="","",Sync!$T1743)</f>
        <v/>
      </c>
      <c r="B1747">
        <f>IF($A1747="","",IF(ISNUMBER($A1747),IF(AND($A1747&gt;=10000101,$A1747&lt;=99991231),INT($A1747/10000),""),IFERROR(VALUE(TRIM(LEFT($A1747,FIND("/",$A1747)-1))),"")))</f>
        <v/>
      </c>
      <c r="C1747">
        <f>IF(OR($A1747="",$B1747=""),"",IF(ISNUMBER($A1747),INT(MOD($A1747,10000)/100),IFERROR(VALUE(TRIM(LEFT(MID($A1747,FIND("/",$A1747)+1,20),FIND("/",MID($A1747,FIND("/",$A1747)+1,20))-1))),"")))</f>
        <v/>
      </c>
      <c r="D1747">
        <f>IF(OR($A1747="",$B1747=""),"",IF(ISNUMBER($A1747),MOD($A1747,100),IFERROR(VALUE(TRIM(MID(MID($A1747,FIND("/",$A1747)+1,20),FIND("/",MID($A1747,FIND("/",$A1747)+1,20))+1,20))),"")))</f>
        <v/>
      </c>
      <c r="E1747">
        <f>IF($A1747="","",IF(OR($B1747="",$C1747="",$D1747="",$B1747&lt;1300,$B1747&gt;1500,$C1747&lt;1,$C1747&gt;12,$D1747&lt;1,$D1747&gt;31),"نامعتبر",RIGHT("0000"&amp;$B1747,4)&amp;"/"&amp;RIGHT("00"&amp;$C1747,2)&amp;"/"&amp;RIGHT("00"&amp;$D1747,2)))</f>
        <v/>
      </c>
      <c r="F1747">
        <f>IF(OR($E1747="",$E1747="نامعتبر"),"",LEFT($E1747,4)&amp;"/"&amp;MID($E1747,6,2))</f>
        <v/>
      </c>
      <c r="G1747">
        <f>IF(OR($E1747="",$E1747="نامعتبر",Sync!$X1743=""),"",IF(AND(LEFT(UPPER(TRIM(Sync!$X1743)),2)="SL",IFERROR(VLOOKUP(Sync!$W1743,OpTbl,3,0),"")="فروش"),UPPER(TRIM(Sync!$X1743)),""))</f>
        <v/>
      </c>
      <c r="H1747">
        <f>IF($G1747="","",IF(Sync!$W1743="","",Sync!$W1743))</f>
        <v/>
      </c>
      <c r="I1747">
        <f>IF(OR($G1747="",Sync!$Y1743=""),"",Sync!$Y1743)</f>
        <v/>
      </c>
      <c r="J1747">
        <f>IF(OR($G1747="",Sync!$Z1743=""),"",Sync!$Z1743)</f>
        <v/>
      </c>
      <c r="K1747">
        <f>IF($G1747="",0,IF(Sync!$AA1743="",0,Sync!$AA1743))</f>
        <v/>
      </c>
      <c r="L1747">
        <f>IF($G1747="",0,IF(Sync!$AB1743="",0,Sync!$AB1743))</f>
        <v/>
      </c>
      <c r="M1747">
        <f>IF($G1747="","",IF($H1747="مرجوعی فروش",-1,1)*($K1747-$L1747*IFERROR(VLOOKUP("P01",ParamTbl,3,0),1.5)))</f>
        <v/>
      </c>
      <c r="N1747">
        <f>IF($G1747="",0,IF($H1747="مرجوعی فروش",-1,1)*IF(Sync!$AC1743="",0,Sync!$AC1743))</f>
        <v/>
      </c>
      <c r="O1747">
        <f>IF(OR($G1747="",Sync!$V1743=""),"",Sync!$V1743)</f>
        <v/>
      </c>
      <c r="P1747">
        <f>IF(OR($G1747="",Sync!$AD1743=""),"",Sync!$AD1743)</f>
        <v/>
      </c>
      <c r="Q1747">
        <f>IF($G1747="","",IF(Sync!$U1743="","0000",IF(AND(ISNUMBER(Sync!$U1743),Sync!$U1743&gt;=0,Sync!$U1743&lt;1),RIGHT("00"&amp;HOUR(Sync!$U1743),2)&amp;RIGHT("00"&amp;MINUTE(Sync!$U1743),2),IFERROR(RIGHT("00"&amp;VALUE(LEFT(Sync!$U1743,FIND(":",Sync!$U1743)-1)),2)&amp;RIGHT("00"&amp;VALUE(MID(Sync!$U1743,FIND(":",Sync!$U1743)+1,2)),2),"0000"))))</f>
        <v/>
      </c>
    </row>
    <row r="1748">
      <c r="A1748">
        <f>IF(Sync!$T1744="","",Sync!$T1744)</f>
        <v/>
      </c>
      <c r="B1748">
        <f>IF($A1748="","",IF(ISNUMBER($A1748),IF(AND($A1748&gt;=10000101,$A1748&lt;=99991231),INT($A1748/10000),""),IFERROR(VALUE(TRIM(LEFT($A1748,FIND("/",$A1748)-1))),"")))</f>
        <v/>
      </c>
      <c r="C1748">
        <f>IF(OR($A1748="",$B1748=""),"",IF(ISNUMBER($A1748),INT(MOD($A1748,10000)/100),IFERROR(VALUE(TRIM(LEFT(MID($A1748,FIND("/",$A1748)+1,20),FIND("/",MID($A1748,FIND("/",$A1748)+1,20))-1))),"")))</f>
        <v/>
      </c>
      <c r="D1748">
        <f>IF(OR($A1748="",$B1748=""),"",IF(ISNUMBER($A1748),MOD($A1748,100),IFERROR(VALUE(TRIM(MID(MID($A1748,FIND("/",$A1748)+1,20),FIND("/",MID($A1748,FIND("/",$A1748)+1,20))+1,20))),"")))</f>
        <v/>
      </c>
      <c r="E1748">
        <f>IF($A1748="","",IF(OR($B1748="",$C1748="",$D1748="",$B1748&lt;1300,$B1748&gt;1500,$C1748&lt;1,$C1748&gt;12,$D1748&lt;1,$D1748&gt;31),"نامعتبر",RIGHT("0000"&amp;$B1748,4)&amp;"/"&amp;RIGHT("00"&amp;$C1748,2)&amp;"/"&amp;RIGHT("00"&amp;$D1748,2)))</f>
        <v/>
      </c>
      <c r="F1748">
        <f>IF(OR($E1748="",$E1748="نامعتبر"),"",LEFT($E1748,4)&amp;"/"&amp;MID($E1748,6,2))</f>
        <v/>
      </c>
      <c r="G1748">
        <f>IF(OR($E1748="",$E1748="نامعتبر",Sync!$X1744=""),"",IF(AND(LEFT(UPPER(TRIM(Sync!$X1744)),2)="SL",IFERROR(VLOOKUP(Sync!$W1744,OpTbl,3,0),"")="فروش"),UPPER(TRIM(Sync!$X1744)),""))</f>
        <v/>
      </c>
      <c r="H1748">
        <f>IF($G1748="","",IF(Sync!$W1744="","",Sync!$W1744))</f>
        <v/>
      </c>
      <c r="I1748">
        <f>IF(OR($G1748="",Sync!$Y1744=""),"",Sync!$Y1744)</f>
        <v/>
      </c>
      <c r="J1748">
        <f>IF(OR($G1748="",Sync!$Z1744=""),"",Sync!$Z1744)</f>
        <v/>
      </c>
      <c r="K1748">
        <f>IF($G1748="",0,IF(Sync!$AA1744="",0,Sync!$AA1744))</f>
        <v/>
      </c>
      <c r="L1748">
        <f>IF($G1748="",0,IF(Sync!$AB1744="",0,Sync!$AB1744))</f>
        <v/>
      </c>
      <c r="M1748">
        <f>IF($G1748="","",IF($H1748="مرجوعی فروش",-1,1)*($K1748-$L1748*IFERROR(VLOOKUP("P01",ParamTbl,3,0),1.5)))</f>
        <v/>
      </c>
      <c r="N1748">
        <f>IF($G1748="",0,IF($H1748="مرجوعی فروش",-1,1)*IF(Sync!$AC1744="",0,Sync!$AC1744))</f>
        <v/>
      </c>
      <c r="O1748">
        <f>IF(OR($G1748="",Sync!$V1744=""),"",Sync!$V1744)</f>
        <v/>
      </c>
      <c r="P1748">
        <f>IF(OR($G1748="",Sync!$AD1744=""),"",Sync!$AD1744)</f>
        <v/>
      </c>
      <c r="Q1748">
        <f>IF($G1748="","",IF(Sync!$U1744="","0000",IF(AND(ISNUMBER(Sync!$U1744),Sync!$U1744&gt;=0,Sync!$U1744&lt;1),RIGHT("00"&amp;HOUR(Sync!$U1744),2)&amp;RIGHT("00"&amp;MINUTE(Sync!$U1744),2),IFERROR(RIGHT("00"&amp;VALUE(LEFT(Sync!$U1744,FIND(":",Sync!$U1744)-1)),2)&amp;RIGHT("00"&amp;VALUE(MID(Sync!$U1744,FIND(":",Sync!$U1744)+1,2)),2),"0000"))))</f>
        <v/>
      </c>
    </row>
    <row r="1749">
      <c r="A1749">
        <f>IF(Sync!$T1745="","",Sync!$T1745)</f>
        <v/>
      </c>
      <c r="B1749">
        <f>IF($A1749="","",IF(ISNUMBER($A1749),IF(AND($A1749&gt;=10000101,$A1749&lt;=99991231),INT($A1749/10000),""),IFERROR(VALUE(TRIM(LEFT($A1749,FIND("/",$A1749)-1))),"")))</f>
        <v/>
      </c>
      <c r="C1749">
        <f>IF(OR($A1749="",$B1749=""),"",IF(ISNUMBER($A1749),INT(MOD($A1749,10000)/100),IFERROR(VALUE(TRIM(LEFT(MID($A1749,FIND("/",$A1749)+1,20),FIND("/",MID($A1749,FIND("/",$A1749)+1,20))-1))),"")))</f>
        <v/>
      </c>
      <c r="D1749">
        <f>IF(OR($A1749="",$B1749=""),"",IF(ISNUMBER($A1749),MOD($A1749,100),IFERROR(VALUE(TRIM(MID(MID($A1749,FIND("/",$A1749)+1,20),FIND("/",MID($A1749,FIND("/",$A1749)+1,20))+1,20))),"")))</f>
        <v/>
      </c>
      <c r="E1749">
        <f>IF($A1749="","",IF(OR($B1749="",$C1749="",$D1749="",$B1749&lt;1300,$B1749&gt;1500,$C1749&lt;1,$C1749&gt;12,$D1749&lt;1,$D1749&gt;31),"نامعتبر",RIGHT("0000"&amp;$B1749,4)&amp;"/"&amp;RIGHT("00"&amp;$C1749,2)&amp;"/"&amp;RIGHT("00"&amp;$D1749,2)))</f>
        <v/>
      </c>
      <c r="F1749">
        <f>IF(OR($E1749="",$E1749="نامعتبر"),"",LEFT($E1749,4)&amp;"/"&amp;MID($E1749,6,2))</f>
        <v/>
      </c>
      <c r="G1749">
        <f>IF(OR($E1749="",$E1749="نامعتبر",Sync!$X1745=""),"",IF(AND(LEFT(UPPER(TRIM(Sync!$X1745)),2)="SL",IFERROR(VLOOKUP(Sync!$W1745,OpTbl,3,0),"")="فروش"),UPPER(TRIM(Sync!$X1745)),""))</f>
        <v/>
      </c>
      <c r="H1749">
        <f>IF($G1749="","",IF(Sync!$W1745="","",Sync!$W1745))</f>
        <v/>
      </c>
      <c r="I1749">
        <f>IF(OR($G1749="",Sync!$Y1745=""),"",Sync!$Y1745)</f>
        <v/>
      </c>
      <c r="J1749">
        <f>IF(OR($G1749="",Sync!$Z1745=""),"",Sync!$Z1745)</f>
        <v/>
      </c>
      <c r="K1749">
        <f>IF($G1749="",0,IF(Sync!$AA1745="",0,Sync!$AA1745))</f>
        <v/>
      </c>
      <c r="L1749">
        <f>IF($G1749="",0,IF(Sync!$AB1745="",0,Sync!$AB1745))</f>
        <v/>
      </c>
      <c r="M1749">
        <f>IF($G1749="","",IF($H1749="مرجوعی فروش",-1,1)*($K1749-$L1749*IFERROR(VLOOKUP("P01",ParamTbl,3,0),1.5)))</f>
        <v/>
      </c>
      <c r="N1749">
        <f>IF($G1749="",0,IF($H1749="مرجوعی فروش",-1,1)*IF(Sync!$AC1745="",0,Sync!$AC1745))</f>
        <v/>
      </c>
      <c r="O1749">
        <f>IF(OR($G1749="",Sync!$V1745=""),"",Sync!$V1745)</f>
        <v/>
      </c>
      <c r="P1749">
        <f>IF(OR($G1749="",Sync!$AD1745=""),"",Sync!$AD1745)</f>
        <v/>
      </c>
      <c r="Q1749">
        <f>IF($G1749="","",IF(Sync!$U1745="","0000",IF(AND(ISNUMBER(Sync!$U1745),Sync!$U1745&gt;=0,Sync!$U1745&lt;1),RIGHT("00"&amp;HOUR(Sync!$U1745),2)&amp;RIGHT("00"&amp;MINUTE(Sync!$U1745),2),IFERROR(RIGHT("00"&amp;VALUE(LEFT(Sync!$U1745,FIND(":",Sync!$U1745)-1)),2)&amp;RIGHT("00"&amp;VALUE(MID(Sync!$U1745,FIND(":",Sync!$U1745)+1,2)),2),"0000"))))</f>
        <v/>
      </c>
    </row>
    <row r="1750">
      <c r="A1750">
        <f>IF(Sync!$T1746="","",Sync!$T1746)</f>
        <v/>
      </c>
      <c r="B1750">
        <f>IF($A1750="","",IF(ISNUMBER($A1750),IF(AND($A1750&gt;=10000101,$A1750&lt;=99991231),INT($A1750/10000),""),IFERROR(VALUE(TRIM(LEFT($A1750,FIND("/",$A1750)-1))),"")))</f>
        <v/>
      </c>
      <c r="C1750">
        <f>IF(OR($A1750="",$B1750=""),"",IF(ISNUMBER($A1750),INT(MOD($A1750,10000)/100),IFERROR(VALUE(TRIM(LEFT(MID($A1750,FIND("/",$A1750)+1,20),FIND("/",MID($A1750,FIND("/",$A1750)+1,20))-1))),"")))</f>
        <v/>
      </c>
      <c r="D1750">
        <f>IF(OR($A1750="",$B1750=""),"",IF(ISNUMBER($A1750),MOD($A1750,100),IFERROR(VALUE(TRIM(MID(MID($A1750,FIND("/",$A1750)+1,20),FIND("/",MID($A1750,FIND("/",$A1750)+1,20))+1,20))),"")))</f>
        <v/>
      </c>
      <c r="E1750">
        <f>IF($A1750="","",IF(OR($B1750="",$C1750="",$D1750="",$B1750&lt;1300,$B1750&gt;1500,$C1750&lt;1,$C1750&gt;12,$D1750&lt;1,$D1750&gt;31),"نامعتبر",RIGHT("0000"&amp;$B1750,4)&amp;"/"&amp;RIGHT("00"&amp;$C1750,2)&amp;"/"&amp;RIGHT("00"&amp;$D1750,2)))</f>
        <v/>
      </c>
      <c r="F1750">
        <f>IF(OR($E1750="",$E1750="نامعتبر"),"",LEFT($E1750,4)&amp;"/"&amp;MID($E1750,6,2))</f>
        <v/>
      </c>
      <c r="G1750">
        <f>IF(OR($E1750="",$E1750="نامعتبر",Sync!$X1746=""),"",IF(AND(LEFT(UPPER(TRIM(Sync!$X1746)),2)="SL",IFERROR(VLOOKUP(Sync!$W1746,OpTbl,3,0),"")="فروش"),UPPER(TRIM(Sync!$X1746)),""))</f>
        <v/>
      </c>
      <c r="H1750">
        <f>IF($G1750="","",IF(Sync!$W1746="","",Sync!$W1746))</f>
        <v/>
      </c>
      <c r="I1750">
        <f>IF(OR($G1750="",Sync!$Y1746=""),"",Sync!$Y1746)</f>
        <v/>
      </c>
      <c r="J1750">
        <f>IF(OR($G1750="",Sync!$Z1746=""),"",Sync!$Z1746)</f>
        <v/>
      </c>
      <c r="K1750">
        <f>IF($G1750="",0,IF(Sync!$AA1746="",0,Sync!$AA1746))</f>
        <v/>
      </c>
      <c r="L1750">
        <f>IF($G1750="",0,IF(Sync!$AB1746="",0,Sync!$AB1746))</f>
        <v/>
      </c>
      <c r="M1750">
        <f>IF($G1750="","",IF($H1750="مرجوعی فروش",-1,1)*($K1750-$L1750*IFERROR(VLOOKUP("P01",ParamTbl,3,0),1.5)))</f>
        <v/>
      </c>
      <c r="N1750">
        <f>IF($G1750="",0,IF($H1750="مرجوعی فروش",-1,1)*IF(Sync!$AC1746="",0,Sync!$AC1746))</f>
        <v/>
      </c>
      <c r="O1750">
        <f>IF(OR($G1750="",Sync!$V1746=""),"",Sync!$V1746)</f>
        <v/>
      </c>
      <c r="P1750">
        <f>IF(OR($G1750="",Sync!$AD1746=""),"",Sync!$AD1746)</f>
        <v/>
      </c>
      <c r="Q1750">
        <f>IF($G1750="","",IF(Sync!$U1746="","0000",IF(AND(ISNUMBER(Sync!$U1746),Sync!$U1746&gt;=0,Sync!$U1746&lt;1),RIGHT("00"&amp;HOUR(Sync!$U1746),2)&amp;RIGHT("00"&amp;MINUTE(Sync!$U1746),2),IFERROR(RIGHT("00"&amp;VALUE(LEFT(Sync!$U1746,FIND(":",Sync!$U1746)-1)),2)&amp;RIGHT("00"&amp;VALUE(MID(Sync!$U1746,FIND(":",Sync!$U1746)+1,2)),2),"0000"))))</f>
        <v/>
      </c>
    </row>
    <row r="1751">
      <c r="A1751">
        <f>IF(Sync!$T1747="","",Sync!$T1747)</f>
        <v/>
      </c>
      <c r="B1751">
        <f>IF($A1751="","",IF(ISNUMBER($A1751),IF(AND($A1751&gt;=10000101,$A1751&lt;=99991231),INT($A1751/10000),""),IFERROR(VALUE(TRIM(LEFT($A1751,FIND("/",$A1751)-1))),"")))</f>
        <v/>
      </c>
      <c r="C1751">
        <f>IF(OR($A1751="",$B1751=""),"",IF(ISNUMBER($A1751),INT(MOD($A1751,10000)/100),IFERROR(VALUE(TRIM(LEFT(MID($A1751,FIND("/",$A1751)+1,20),FIND("/",MID($A1751,FIND("/",$A1751)+1,20))-1))),"")))</f>
        <v/>
      </c>
      <c r="D1751">
        <f>IF(OR($A1751="",$B1751=""),"",IF(ISNUMBER($A1751),MOD($A1751,100),IFERROR(VALUE(TRIM(MID(MID($A1751,FIND("/",$A1751)+1,20),FIND("/",MID($A1751,FIND("/",$A1751)+1,20))+1,20))),"")))</f>
        <v/>
      </c>
      <c r="E1751">
        <f>IF($A1751="","",IF(OR($B1751="",$C1751="",$D1751="",$B1751&lt;1300,$B1751&gt;1500,$C1751&lt;1,$C1751&gt;12,$D1751&lt;1,$D1751&gt;31),"نامعتبر",RIGHT("0000"&amp;$B1751,4)&amp;"/"&amp;RIGHT("00"&amp;$C1751,2)&amp;"/"&amp;RIGHT("00"&amp;$D1751,2)))</f>
        <v/>
      </c>
      <c r="F1751">
        <f>IF(OR($E1751="",$E1751="نامعتبر"),"",LEFT($E1751,4)&amp;"/"&amp;MID($E1751,6,2))</f>
        <v/>
      </c>
      <c r="G1751">
        <f>IF(OR($E1751="",$E1751="نامعتبر",Sync!$X1747=""),"",IF(AND(LEFT(UPPER(TRIM(Sync!$X1747)),2)="SL",IFERROR(VLOOKUP(Sync!$W1747,OpTbl,3,0),"")="فروش"),UPPER(TRIM(Sync!$X1747)),""))</f>
        <v/>
      </c>
      <c r="H1751">
        <f>IF($G1751="","",IF(Sync!$W1747="","",Sync!$W1747))</f>
        <v/>
      </c>
      <c r="I1751">
        <f>IF(OR($G1751="",Sync!$Y1747=""),"",Sync!$Y1747)</f>
        <v/>
      </c>
      <c r="J1751">
        <f>IF(OR($G1751="",Sync!$Z1747=""),"",Sync!$Z1747)</f>
        <v/>
      </c>
      <c r="K1751">
        <f>IF($G1751="",0,IF(Sync!$AA1747="",0,Sync!$AA1747))</f>
        <v/>
      </c>
      <c r="L1751">
        <f>IF($G1751="",0,IF(Sync!$AB1747="",0,Sync!$AB1747))</f>
        <v/>
      </c>
      <c r="M1751">
        <f>IF($G1751="","",IF($H1751="مرجوعی فروش",-1,1)*($K1751-$L1751*IFERROR(VLOOKUP("P01",ParamTbl,3,0),1.5)))</f>
        <v/>
      </c>
      <c r="N1751">
        <f>IF($G1751="",0,IF($H1751="مرجوعی فروش",-1,1)*IF(Sync!$AC1747="",0,Sync!$AC1747))</f>
        <v/>
      </c>
      <c r="O1751">
        <f>IF(OR($G1751="",Sync!$V1747=""),"",Sync!$V1747)</f>
        <v/>
      </c>
      <c r="P1751">
        <f>IF(OR($G1751="",Sync!$AD1747=""),"",Sync!$AD1747)</f>
        <v/>
      </c>
      <c r="Q1751">
        <f>IF($G1751="","",IF(Sync!$U1747="","0000",IF(AND(ISNUMBER(Sync!$U1747),Sync!$U1747&gt;=0,Sync!$U1747&lt;1),RIGHT("00"&amp;HOUR(Sync!$U1747),2)&amp;RIGHT("00"&amp;MINUTE(Sync!$U1747),2),IFERROR(RIGHT("00"&amp;VALUE(LEFT(Sync!$U1747,FIND(":",Sync!$U1747)-1)),2)&amp;RIGHT("00"&amp;VALUE(MID(Sync!$U1747,FIND(":",Sync!$U1747)+1,2)),2),"0000"))))</f>
        <v/>
      </c>
    </row>
    <row r="1752">
      <c r="A1752">
        <f>IF(Sync!$T1748="","",Sync!$T1748)</f>
        <v/>
      </c>
      <c r="B1752">
        <f>IF($A1752="","",IF(ISNUMBER($A1752),IF(AND($A1752&gt;=10000101,$A1752&lt;=99991231),INT($A1752/10000),""),IFERROR(VALUE(TRIM(LEFT($A1752,FIND("/",$A1752)-1))),"")))</f>
        <v/>
      </c>
      <c r="C1752">
        <f>IF(OR($A1752="",$B1752=""),"",IF(ISNUMBER($A1752),INT(MOD($A1752,10000)/100),IFERROR(VALUE(TRIM(LEFT(MID($A1752,FIND("/",$A1752)+1,20),FIND("/",MID($A1752,FIND("/",$A1752)+1,20))-1))),"")))</f>
        <v/>
      </c>
      <c r="D1752">
        <f>IF(OR($A1752="",$B1752=""),"",IF(ISNUMBER($A1752),MOD($A1752,100),IFERROR(VALUE(TRIM(MID(MID($A1752,FIND("/",$A1752)+1,20),FIND("/",MID($A1752,FIND("/",$A1752)+1,20))+1,20))),"")))</f>
        <v/>
      </c>
      <c r="E1752">
        <f>IF($A1752="","",IF(OR($B1752="",$C1752="",$D1752="",$B1752&lt;1300,$B1752&gt;1500,$C1752&lt;1,$C1752&gt;12,$D1752&lt;1,$D1752&gt;31),"نامعتبر",RIGHT("0000"&amp;$B1752,4)&amp;"/"&amp;RIGHT("00"&amp;$C1752,2)&amp;"/"&amp;RIGHT("00"&amp;$D1752,2)))</f>
        <v/>
      </c>
      <c r="F1752">
        <f>IF(OR($E1752="",$E1752="نامعتبر"),"",LEFT($E1752,4)&amp;"/"&amp;MID($E1752,6,2))</f>
        <v/>
      </c>
      <c r="G1752">
        <f>IF(OR($E1752="",$E1752="نامعتبر",Sync!$X1748=""),"",IF(AND(LEFT(UPPER(TRIM(Sync!$X1748)),2)="SL",IFERROR(VLOOKUP(Sync!$W1748,OpTbl,3,0),"")="فروش"),UPPER(TRIM(Sync!$X1748)),""))</f>
        <v/>
      </c>
      <c r="H1752">
        <f>IF($G1752="","",IF(Sync!$W1748="","",Sync!$W1748))</f>
        <v/>
      </c>
      <c r="I1752">
        <f>IF(OR($G1752="",Sync!$Y1748=""),"",Sync!$Y1748)</f>
        <v/>
      </c>
      <c r="J1752">
        <f>IF(OR($G1752="",Sync!$Z1748=""),"",Sync!$Z1748)</f>
        <v/>
      </c>
      <c r="K1752">
        <f>IF($G1752="",0,IF(Sync!$AA1748="",0,Sync!$AA1748))</f>
        <v/>
      </c>
      <c r="L1752">
        <f>IF($G1752="",0,IF(Sync!$AB1748="",0,Sync!$AB1748))</f>
        <v/>
      </c>
      <c r="M1752">
        <f>IF($G1752="","",IF($H1752="مرجوعی فروش",-1,1)*($K1752-$L1752*IFERROR(VLOOKUP("P01",ParamTbl,3,0),1.5)))</f>
        <v/>
      </c>
      <c r="N1752">
        <f>IF($G1752="",0,IF($H1752="مرجوعی فروش",-1,1)*IF(Sync!$AC1748="",0,Sync!$AC1748))</f>
        <v/>
      </c>
      <c r="O1752">
        <f>IF(OR($G1752="",Sync!$V1748=""),"",Sync!$V1748)</f>
        <v/>
      </c>
      <c r="P1752">
        <f>IF(OR($G1752="",Sync!$AD1748=""),"",Sync!$AD1748)</f>
        <v/>
      </c>
      <c r="Q1752">
        <f>IF($G1752="","",IF(Sync!$U1748="","0000",IF(AND(ISNUMBER(Sync!$U1748),Sync!$U1748&gt;=0,Sync!$U1748&lt;1),RIGHT("00"&amp;HOUR(Sync!$U1748),2)&amp;RIGHT("00"&amp;MINUTE(Sync!$U1748),2),IFERROR(RIGHT("00"&amp;VALUE(LEFT(Sync!$U1748,FIND(":",Sync!$U1748)-1)),2)&amp;RIGHT("00"&amp;VALUE(MID(Sync!$U1748,FIND(":",Sync!$U1748)+1,2)),2),"0000"))))</f>
        <v/>
      </c>
    </row>
    <row r="1753">
      <c r="A1753">
        <f>IF(Sync!$T1749="","",Sync!$T1749)</f>
        <v/>
      </c>
      <c r="B1753">
        <f>IF($A1753="","",IF(ISNUMBER($A1753),IF(AND($A1753&gt;=10000101,$A1753&lt;=99991231),INT($A1753/10000),""),IFERROR(VALUE(TRIM(LEFT($A1753,FIND("/",$A1753)-1))),"")))</f>
        <v/>
      </c>
      <c r="C1753">
        <f>IF(OR($A1753="",$B1753=""),"",IF(ISNUMBER($A1753),INT(MOD($A1753,10000)/100),IFERROR(VALUE(TRIM(LEFT(MID($A1753,FIND("/",$A1753)+1,20),FIND("/",MID($A1753,FIND("/",$A1753)+1,20))-1))),"")))</f>
        <v/>
      </c>
      <c r="D1753">
        <f>IF(OR($A1753="",$B1753=""),"",IF(ISNUMBER($A1753),MOD($A1753,100),IFERROR(VALUE(TRIM(MID(MID($A1753,FIND("/",$A1753)+1,20),FIND("/",MID($A1753,FIND("/",$A1753)+1,20))+1,20))),"")))</f>
        <v/>
      </c>
      <c r="E1753">
        <f>IF($A1753="","",IF(OR($B1753="",$C1753="",$D1753="",$B1753&lt;1300,$B1753&gt;1500,$C1753&lt;1,$C1753&gt;12,$D1753&lt;1,$D1753&gt;31),"نامعتبر",RIGHT("0000"&amp;$B1753,4)&amp;"/"&amp;RIGHT("00"&amp;$C1753,2)&amp;"/"&amp;RIGHT("00"&amp;$D1753,2)))</f>
        <v/>
      </c>
      <c r="F1753">
        <f>IF(OR($E1753="",$E1753="نامعتبر"),"",LEFT($E1753,4)&amp;"/"&amp;MID($E1753,6,2))</f>
        <v/>
      </c>
      <c r="G1753">
        <f>IF(OR($E1753="",$E1753="نامعتبر",Sync!$X1749=""),"",IF(AND(LEFT(UPPER(TRIM(Sync!$X1749)),2)="SL",IFERROR(VLOOKUP(Sync!$W1749,OpTbl,3,0),"")="فروش"),UPPER(TRIM(Sync!$X1749)),""))</f>
        <v/>
      </c>
      <c r="H1753">
        <f>IF($G1753="","",IF(Sync!$W1749="","",Sync!$W1749))</f>
        <v/>
      </c>
      <c r="I1753">
        <f>IF(OR($G1753="",Sync!$Y1749=""),"",Sync!$Y1749)</f>
        <v/>
      </c>
      <c r="J1753">
        <f>IF(OR($G1753="",Sync!$Z1749=""),"",Sync!$Z1749)</f>
        <v/>
      </c>
      <c r="K1753">
        <f>IF($G1753="",0,IF(Sync!$AA1749="",0,Sync!$AA1749))</f>
        <v/>
      </c>
      <c r="L1753">
        <f>IF($G1753="",0,IF(Sync!$AB1749="",0,Sync!$AB1749))</f>
        <v/>
      </c>
      <c r="M1753">
        <f>IF($G1753="","",IF($H1753="مرجوعی فروش",-1,1)*($K1753-$L1753*IFERROR(VLOOKUP("P01",ParamTbl,3,0),1.5)))</f>
        <v/>
      </c>
      <c r="N1753">
        <f>IF($G1753="",0,IF($H1753="مرجوعی فروش",-1,1)*IF(Sync!$AC1749="",0,Sync!$AC1749))</f>
        <v/>
      </c>
      <c r="O1753">
        <f>IF(OR($G1753="",Sync!$V1749=""),"",Sync!$V1749)</f>
        <v/>
      </c>
      <c r="P1753">
        <f>IF(OR($G1753="",Sync!$AD1749=""),"",Sync!$AD1749)</f>
        <v/>
      </c>
      <c r="Q1753">
        <f>IF($G1753="","",IF(Sync!$U1749="","0000",IF(AND(ISNUMBER(Sync!$U1749),Sync!$U1749&gt;=0,Sync!$U1749&lt;1),RIGHT("00"&amp;HOUR(Sync!$U1749),2)&amp;RIGHT("00"&amp;MINUTE(Sync!$U1749),2),IFERROR(RIGHT("00"&amp;VALUE(LEFT(Sync!$U1749,FIND(":",Sync!$U1749)-1)),2)&amp;RIGHT("00"&amp;VALUE(MID(Sync!$U1749,FIND(":",Sync!$U1749)+1,2)),2),"0000"))))</f>
        <v/>
      </c>
    </row>
    <row r="1754">
      <c r="A1754">
        <f>IF(Sync!$T1750="","",Sync!$T1750)</f>
        <v/>
      </c>
      <c r="B1754">
        <f>IF($A1754="","",IF(ISNUMBER($A1754),IF(AND($A1754&gt;=10000101,$A1754&lt;=99991231),INT($A1754/10000),""),IFERROR(VALUE(TRIM(LEFT($A1754,FIND("/",$A1754)-1))),"")))</f>
        <v/>
      </c>
      <c r="C1754">
        <f>IF(OR($A1754="",$B1754=""),"",IF(ISNUMBER($A1754),INT(MOD($A1754,10000)/100),IFERROR(VALUE(TRIM(LEFT(MID($A1754,FIND("/",$A1754)+1,20),FIND("/",MID($A1754,FIND("/",$A1754)+1,20))-1))),"")))</f>
        <v/>
      </c>
      <c r="D1754">
        <f>IF(OR($A1754="",$B1754=""),"",IF(ISNUMBER($A1754),MOD($A1754,100),IFERROR(VALUE(TRIM(MID(MID($A1754,FIND("/",$A1754)+1,20),FIND("/",MID($A1754,FIND("/",$A1754)+1,20))+1,20))),"")))</f>
        <v/>
      </c>
      <c r="E1754">
        <f>IF($A1754="","",IF(OR($B1754="",$C1754="",$D1754="",$B1754&lt;1300,$B1754&gt;1500,$C1754&lt;1,$C1754&gt;12,$D1754&lt;1,$D1754&gt;31),"نامعتبر",RIGHT("0000"&amp;$B1754,4)&amp;"/"&amp;RIGHT("00"&amp;$C1754,2)&amp;"/"&amp;RIGHT("00"&amp;$D1754,2)))</f>
        <v/>
      </c>
      <c r="F1754">
        <f>IF(OR($E1754="",$E1754="نامعتبر"),"",LEFT($E1754,4)&amp;"/"&amp;MID($E1754,6,2))</f>
        <v/>
      </c>
      <c r="G1754">
        <f>IF(OR($E1754="",$E1754="نامعتبر",Sync!$X1750=""),"",IF(AND(LEFT(UPPER(TRIM(Sync!$X1750)),2)="SL",IFERROR(VLOOKUP(Sync!$W1750,OpTbl,3,0),"")="فروش"),UPPER(TRIM(Sync!$X1750)),""))</f>
        <v/>
      </c>
      <c r="H1754">
        <f>IF($G1754="","",IF(Sync!$W1750="","",Sync!$W1750))</f>
        <v/>
      </c>
      <c r="I1754">
        <f>IF(OR($G1754="",Sync!$Y1750=""),"",Sync!$Y1750)</f>
        <v/>
      </c>
      <c r="J1754">
        <f>IF(OR($G1754="",Sync!$Z1750=""),"",Sync!$Z1750)</f>
        <v/>
      </c>
      <c r="K1754">
        <f>IF($G1754="",0,IF(Sync!$AA1750="",0,Sync!$AA1750))</f>
        <v/>
      </c>
      <c r="L1754">
        <f>IF($G1754="",0,IF(Sync!$AB1750="",0,Sync!$AB1750))</f>
        <v/>
      </c>
      <c r="M1754">
        <f>IF($G1754="","",IF($H1754="مرجوعی فروش",-1,1)*($K1754-$L1754*IFERROR(VLOOKUP("P01",ParamTbl,3,0),1.5)))</f>
        <v/>
      </c>
      <c r="N1754">
        <f>IF($G1754="",0,IF($H1754="مرجوعی فروش",-1,1)*IF(Sync!$AC1750="",0,Sync!$AC1750))</f>
        <v/>
      </c>
      <c r="O1754">
        <f>IF(OR($G1754="",Sync!$V1750=""),"",Sync!$V1750)</f>
        <v/>
      </c>
      <c r="P1754">
        <f>IF(OR($G1754="",Sync!$AD1750=""),"",Sync!$AD1750)</f>
        <v/>
      </c>
      <c r="Q1754">
        <f>IF($G1754="","",IF(Sync!$U1750="","0000",IF(AND(ISNUMBER(Sync!$U1750),Sync!$U1750&gt;=0,Sync!$U1750&lt;1),RIGHT("00"&amp;HOUR(Sync!$U1750),2)&amp;RIGHT("00"&amp;MINUTE(Sync!$U1750),2),IFERROR(RIGHT("00"&amp;VALUE(LEFT(Sync!$U1750,FIND(":",Sync!$U1750)-1)),2)&amp;RIGHT("00"&amp;VALUE(MID(Sync!$U1750,FIND(":",Sync!$U1750)+1,2)),2),"0000"))))</f>
        <v/>
      </c>
    </row>
    <row r="1755">
      <c r="A1755">
        <f>IF(Sync!$T1751="","",Sync!$T1751)</f>
        <v/>
      </c>
      <c r="B1755">
        <f>IF($A1755="","",IF(ISNUMBER($A1755),IF(AND($A1755&gt;=10000101,$A1755&lt;=99991231),INT($A1755/10000),""),IFERROR(VALUE(TRIM(LEFT($A1755,FIND("/",$A1755)-1))),"")))</f>
        <v/>
      </c>
      <c r="C1755">
        <f>IF(OR($A1755="",$B1755=""),"",IF(ISNUMBER($A1755),INT(MOD($A1755,10000)/100),IFERROR(VALUE(TRIM(LEFT(MID($A1755,FIND("/",$A1755)+1,20),FIND("/",MID($A1755,FIND("/",$A1755)+1,20))-1))),"")))</f>
        <v/>
      </c>
      <c r="D1755">
        <f>IF(OR($A1755="",$B1755=""),"",IF(ISNUMBER($A1755),MOD($A1755,100),IFERROR(VALUE(TRIM(MID(MID($A1755,FIND("/",$A1755)+1,20),FIND("/",MID($A1755,FIND("/",$A1755)+1,20))+1,20))),"")))</f>
        <v/>
      </c>
      <c r="E1755">
        <f>IF($A1755="","",IF(OR($B1755="",$C1755="",$D1755="",$B1755&lt;1300,$B1755&gt;1500,$C1755&lt;1,$C1755&gt;12,$D1755&lt;1,$D1755&gt;31),"نامعتبر",RIGHT("0000"&amp;$B1755,4)&amp;"/"&amp;RIGHT("00"&amp;$C1755,2)&amp;"/"&amp;RIGHT("00"&amp;$D1755,2)))</f>
        <v/>
      </c>
      <c r="F1755">
        <f>IF(OR($E1755="",$E1755="نامعتبر"),"",LEFT($E1755,4)&amp;"/"&amp;MID($E1755,6,2))</f>
        <v/>
      </c>
      <c r="G1755">
        <f>IF(OR($E1755="",$E1755="نامعتبر",Sync!$X1751=""),"",IF(AND(LEFT(UPPER(TRIM(Sync!$X1751)),2)="SL",IFERROR(VLOOKUP(Sync!$W1751,OpTbl,3,0),"")="فروش"),UPPER(TRIM(Sync!$X1751)),""))</f>
        <v/>
      </c>
      <c r="H1755">
        <f>IF($G1755="","",IF(Sync!$W1751="","",Sync!$W1751))</f>
        <v/>
      </c>
      <c r="I1755">
        <f>IF(OR($G1755="",Sync!$Y1751=""),"",Sync!$Y1751)</f>
        <v/>
      </c>
      <c r="J1755">
        <f>IF(OR($G1755="",Sync!$Z1751=""),"",Sync!$Z1751)</f>
        <v/>
      </c>
      <c r="K1755">
        <f>IF($G1755="",0,IF(Sync!$AA1751="",0,Sync!$AA1751))</f>
        <v/>
      </c>
      <c r="L1755">
        <f>IF($G1755="",0,IF(Sync!$AB1751="",0,Sync!$AB1751))</f>
        <v/>
      </c>
      <c r="M1755">
        <f>IF($G1755="","",IF($H1755="مرجوعی فروش",-1,1)*($K1755-$L1755*IFERROR(VLOOKUP("P01",ParamTbl,3,0),1.5)))</f>
        <v/>
      </c>
      <c r="N1755">
        <f>IF($G1755="",0,IF($H1755="مرجوعی فروش",-1,1)*IF(Sync!$AC1751="",0,Sync!$AC1751))</f>
        <v/>
      </c>
      <c r="O1755">
        <f>IF(OR($G1755="",Sync!$V1751=""),"",Sync!$V1751)</f>
        <v/>
      </c>
      <c r="P1755">
        <f>IF(OR($G1755="",Sync!$AD1751=""),"",Sync!$AD1751)</f>
        <v/>
      </c>
      <c r="Q1755">
        <f>IF($G1755="","",IF(Sync!$U1751="","0000",IF(AND(ISNUMBER(Sync!$U1751),Sync!$U1751&gt;=0,Sync!$U1751&lt;1),RIGHT("00"&amp;HOUR(Sync!$U1751),2)&amp;RIGHT("00"&amp;MINUTE(Sync!$U1751),2),IFERROR(RIGHT("00"&amp;VALUE(LEFT(Sync!$U1751,FIND(":",Sync!$U1751)-1)),2)&amp;RIGHT("00"&amp;VALUE(MID(Sync!$U1751,FIND(":",Sync!$U1751)+1,2)),2),"0000"))))</f>
        <v/>
      </c>
    </row>
    <row r="1756">
      <c r="A1756">
        <f>IF(Sync!$T1752="","",Sync!$T1752)</f>
        <v/>
      </c>
      <c r="B1756">
        <f>IF($A1756="","",IF(ISNUMBER($A1756),IF(AND($A1756&gt;=10000101,$A1756&lt;=99991231),INT($A1756/10000),""),IFERROR(VALUE(TRIM(LEFT($A1756,FIND("/",$A1756)-1))),"")))</f>
        <v/>
      </c>
      <c r="C1756">
        <f>IF(OR($A1756="",$B1756=""),"",IF(ISNUMBER($A1756),INT(MOD($A1756,10000)/100),IFERROR(VALUE(TRIM(LEFT(MID($A1756,FIND("/",$A1756)+1,20),FIND("/",MID($A1756,FIND("/",$A1756)+1,20))-1))),"")))</f>
        <v/>
      </c>
      <c r="D1756">
        <f>IF(OR($A1756="",$B1756=""),"",IF(ISNUMBER($A1756),MOD($A1756,100),IFERROR(VALUE(TRIM(MID(MID($A1756,FIND("/",$A1756)+1,20),FIND("/",MID($A1756,FIND("/",$A1756)+1,20))+1,20))),"")))</f>
        <v/>
      </c>
      <c r="E1756">
        <f>IF($A1756="","",IF(OR($B1756="",$C1756="",$D1756="",$B1756&lt;1300,$B1756&gt;1500,$C1756&lt;1,$C1756&gt;12,$D1756&lt;1,$D1756&gt;31),"نامعتبر",RIGHT("0000"&amp;$B1756,4)&amp;"/"&amp;RIGHT("00"&amp;$C1756,2)&amp;"/"&amp;RIGHT("00"&amp;$D1756,2)))</f>
        <v/>
      </c>
      <c r="F1756">
        <f>IF(OR($E1756="",$E1756="نامعتبر"),"",LEFT($E1756,4)&amp;"/"&amp;MID($E1756,6,2))</f>
        <v/>
      </c>
      <c r="G1756">
        <f>IF(OR($E1756="",$E1756="نامعتبر",Sync!$X1752=""),"",IF(AND(LEFT(UPPER(TRIM(Sync!$X1752)),2)="SL",IFERROR(VLOOKUP(Sync!$W1752,OpTbl,3,0),"")="فروش"),UPPER(TRIM(Sync!$X1752)),""))</f>
        <v/>
      </c>
      <c r="H1756">
        <f>IF($G1756="","",IF(Sync!$W1752="","",Sync!$W1752))</f>
        <v/>
      </c>
      <c r="I1756">
        <f>IF(OR($G1756="",Sync!$Y1752=""),"",Sync!$Y1752)</f>
        <v/>
      </c>
      <c r="J1756">
        <f>IF(OR($G1756="",Sync!$Z1752=""),"",Sync!$Z1752)</f>
        <v/>
      </c>
      <c r="K1756">
        <f>IF($G1756="",0,IF(Sync!$AA1752="",0,Sync!$AA1752))</f>
        <v/>
      </c>
      <c r="L1756">
        <f>IF($G1756="",0,IF(Sync!$AB1752="",0,Sync!$AB1752))</f>
        <v/>
      </c>
      <c r="M1756">
        <f>IF($G1756="","",IF($H1756="مرجوعی فروش",-1,1)*($K1756-$L1756*IFERROR(VLOOKUP("P01",ParamTbl,3,0),1.5)))</f>
        <v/>
      </c>
      <c r="N1756">
        <f>IF($G1756="",0,IF($H1756="مرجوعی فروش",-1,1)*IF(Sync!$AC1752="",0,Sync!$AC1752))</f>
        <v/>
      </c>
      <c r="O1756">
        <f>IF(OR($G1756="",Sync!$V1752=""),"",Sync!$V1752)</f>
        <v/>
      </c>
      <c r="P1756">
        <f>IF(OR($G1756="",Sync!$AD1752=""),"",Sync!$AD1752)</f>
        <v/>
      </c>
      <c r="Q1756">
        <f>IF($G1756="","",IF(Sync!$U1752="","0000",IF(AND(ISNUMBER(Sync!$U1752),Sync!$U1752&gt;=0,Sync!$U1752&lt;1),RIGHT("00"&amp;HOUR(Sync!$U1752),2)&amp;RIGHT("00"&amp;MINUTE(Sync!$U1752),2),IFERROR(RIGHT("00"&amp;VALUE(LEFT(Sync!$U1752,FIND(":",Sync!$U1752)-1)),2)&amp;RIGHT("00"&amp;VALUE(MID(Sync!$U1752,FIND(":",Sync!$U1752)+1,2)),2),"0000"))))</f>
        <v/>
      </c>
    </row>
    <row r="1757">
      <c r="A1757">
        <f>IF(Sync!$T1753="","",Sync!$T1753)</f>
        <v/>
      </c>
      <c r="B1757">
        <f>IF($A1757="","",IF(ISNUMBER($A1757),IF(AND($A1757&gt;=10000101,$A1757&lt;=99991231),INT($A1757/10000),""),IFERROR(VALUE(TRIM(LEFT($A1757,FIND("/",$A1757)-1))),"")))</f>
        <v/>
      </c>
      <c r="C1757">
        <f>IF(OR($A1757="",$B1757=""),"",IF(ISNUMBER($A1757),INT(MOD($A1757,10000)/100),IFERROR(VALUE(TRIM(LEFT(MID($A1757,FIND("/",$A1757)+1,20),FIND("/",MID($A1757,FIND("/",$A1757)+1,20))-1))),"")))</f>
        <v/>
      </c>
      <c r="D1757">
        <f>IF(OR($A1757="",$B1757=""),"",IF(ISNUMBER($A1757),MOD($A1757,100),IFERROR(VALUE(TRIM(MID(MID($A1757,FIND("/",$A1757)+1,20),FIND("/",MID($A1757,FIND("/",$A1757)+1,20))+1,20))),"")))</f>
        <v/>
      </c>
      <c r="E1757">
        <f>IF($A1757="","",IF(OR($B1757="",$C1757="",$D1757="",$B1757&lt;1300,$B1757&gt;1500,$C1757&lt;1,$C1757&gt;12,$D1757&lt;1,$D1757&gt;31),"نامعتبر",RIGHT("0000"&amp;$B1757,4)&amp;"/"&amp;RIGHT("00"&amp;$C1757,2)&amp;"/"&amp;RIGHT("00"&amp;$D1757,2)))</f>
        <v/>
      </c>
      <c r="F1757">
        <f>IF(OR($E1757="",$E1757="نامعتبر"),"",LEFT($E1757,4)&amp;"/"&amp;MID($E1757,6,2))</f>
        <v/>
      </c>
      <c r="G1757">
        <f>IF(OR($E1757="",$E1757="نامعتبر",Sync!$X1753=""),"",IF(AND(LEFT(UPPER(TRIM(Sync!$X1753)),2)="SL",IFERROR(VLOOKUP(Sync!$W1753,OpTbl,3,0),"")="فروش"),UPPER(TRIM(Sync!$X1753)),""))</f>
        <v/>
      </c>
      <c r="H1757">
        <f>IF($G1757="","",IF(Sync!$W1753="","",Sync!$W1753))</f>
        <v/>
      </c>
      <c r="I1757">
        <f>IF(OR($G1757="",Sync!$Y1753=""),"",Sync!$Y1753)</f>
        <v/>
      </c>
      <c r="J1757">
        <f>IF(OR($G1757="",Sync!$Z1753=""),"",Sync!$Z1753)</f>
        <v/>
      </c>
      <c r="K1757">
        <f>IF($G1757="",0,IF(Sync!$AA1753="",0,Sync!$AA1753))</f>
        <v/>
      </c>
      <c r="L1757">
        <f>IF($G1757="",0,IF(Sync!$AB1753="",0,Sync!$AB1753))</f>
        <v/>
      </c>
      <c r="M1757">
        <f>IF($G1757="","",IF($H1757="مرجوعی فروش",-1,1)*($K1757-$L1757*IFERROR(VLOOKUP("P01",ParamTbl,3,0),1.5)))</f>
        <v/>
      </c>
      <c r="N1757">
        <f>IF($G1757="",0,IF($H1757="مرجوعی فروش",-1,1)*IF(Sync!$AC1753="",0,Sync!$AC1753))</f>
        <v/>
      </c>
      <c r="O1757">
        <f>IF(OR($G1757="",Sync!$V1753=""),"",Sync!$V1753)</f>
        <v/>
      </c>
      <c r="P1757">
        <f>IF(OR($G1757="",Sync!$AD1753=""),"",Sync!$AD1753)</f>
        <v/>
      </c>
      <c r="Q1757">
        <f>IF($G1757="","",IF(Sync!$U1753="","0000",IF(AND(ISNUMBER(Sync!$U1753),Sync!$U1753&gt;=0,Sync!$U1753&lt;1),RIGHT("00"&amp;HOUR(Sync!$U1753),2)&amp;RIGHT("00"&amp;MINUTE(Sync!$U1753),2),IFERROR(RIGHT("00"&amp;VALUE(LEFT(Sync!$U1753,FIND(":",Sync!$U1753)-1)),2)&amp;RIGHT("00"&amp;VALUE(MID(Sync!$U1753,FIND(":",Sync!$U1753)+1,2)),2),"0000"))))</f>
        <v/>
      </c>
    </row>
    <row r="1758">
      <c r="A1758">
        <f>IF(Sync!$T1754="","",Sync!$T1754)</f>
        <v/>
      </c>
      <c r="B1758">
        <f>IF($A1758="","",IF(ISNUMBER($A1758),IF(AND($A1758&gt;=10000101,$A1758&lt;=99991231),INT($A1758/10000),""),IFERROR(VALUE(TRIM(LEFT($A1758,FIND("/",$A1758)-1))),"")))</f>
        <v/>
      </c>
      <c r="C1758">
        <f>IF(OR($A1758="",$B1758=""),"",IF(ISNUMBER($A1758),INT(MOD($A1758,10000)/100),IFERROR(VALUE(TRIM(LEFT(MID($A1758,FIND("/",$A1758)+1,20),FIND("/",MID($A1758,FIND("/",$A1758)+1,20))-1))),"")))</f>
        <v/>
      </c>
      <c r="D1758">
        <f>IF(OR($A1758="",$B1758=""),"",IF(ISNUMBER($A1758),MOD($A1758,100),IFERROR(VALUE(TRIM(MID(MID($A1758,FIND("/",$A1758)+1,20),FIND("/",MID($A1758,FIND("/",$A1758)+1,20))+1,20))),"")))</f>
        <v/>
      </c>
      <c r="E1758">
        <f>IF($A1758="","",IF(OR($B1758="",$C1758="",$D1758="",$B1758&lt;1300,$B1758&gt;1500,$C1758&lt;1,$C1758&gt;12,$D1758&lt;1,$D1758&gt;31),"نامعتبر",RIGHT("0000"&amp;$B1758,4)&amp;"/"&amp;RIGHT("00"&amp;$C1758,2)&amp;"/"&amp;RIGHT("00"&amp;$D1758,2)))</f>
        <v/>
      </c>
      <c r="F1758">
        <f>IF(OR($E1758="",$E1758="نامعتبر"),"",LEFT($E1758,4)&amp;"/"&amp;MID($E1758,6,2))</f>
        <v/>
      </c>
      <c r="G1758">
        <f>IF(OR($E1758="",$E1758="نامعتبر",Sync!$X1754=""),"",IF(AND(LEFT(UPPER(TRIM(Sync!$X1754)),2)="SL",IFERROR(VLOOKUP(Sync!$W1754,OpTbl,3,0),"")="فروش"),UPPER(TRIM(Sync!$X1754)),""))</f>
        <v/>
      </c>
      <c r="H1758">
        <f>IF($G1758="","",IF(Sync!$W1754="","",Sync!$W1754))</f>
        <v/>
      </c>
      <c r="I1758">
        <f>IF(OR($G1758="",Sync!$Y1754=""),"",Sync!$Y1754)</f>
        <v/>
      </c>
      <c r="J1758">
        <f>IF(OR($G1758="",Sync!$Z1754=""),"",Sync!$Z1754)</f>
        <v/>
      </c>
      <c r="K1758">
        <f>IF($G1758="",0,IF(Sync!$AA1754="",0,Sync!$AA1754))</f>
        <v/>
      </c>
      <c r="L1758">
        <f>IF($G1758="",0,IF(Sync!$AB1754="",0,Sync!$AB1754))</f>
        <v/>
      </c>
      <c r="M1758">
        <f>IF($G1758="","",IF($H1758="مرجوعی فروش",-1,1)*($K1758-$L1758*IFERROR(VLOOKUP("P01",ParamTbl,3,0),1.5)))</f>
        <v/>
      </c>
      <c r="N1758">
        <f>IF($G1758="",0,IF($H1758="مرجوعی فروش",-1,1)*IF(Sync!$AC1754="",0,Sync!$AC1754))</f>
        <v/>
      </c>
      <c r="O1758">
        <f>IF(OR($G1758="",Sync!$V1754=""),"",Sync!$V1754)</f>
        <v/>
      </c>
      <c r="P1758">
        <f>IF(OR($G1758="",Sync!$AD1754=""),"",Sync!$AD1754)</f>
        <v/>
      </c>
      <c r="Q1758">
        <f>IF($G1758="","",IF(Sync!$U1754="","0000",IF(AND(ISNUMBER(Sync!$U1754),Sync!$U1754&gt;=0,Sync!$U1754&lt;1),RIGHT("00"&amp;HOUR(Sync!$U1754),2)&amp;RIGHT("00"&amp;MINUTE(Sync!$U1754),2),IFERROR(RIGHT("00"&amp;VALUE(LEFT(Sync!$U1754,FIND(":",Sync!$U1754)-1)),2)&amp;RIGHT("00"&amp;VALUE(MID(Sync!$U1754,FIND(":",Sync!$U1754)+1,2)),2),"0000"))))</f>
        <v/>
      </c>
    </row>
    <row r="1759">
      <c r="A1759">
        <f>IF(Sync!$T1755="","",Sync!$T1755)</f>
        <v/>
      </c>
      <c r="B1759">
        <f>IF($A1759="","",IF(ISNUMBER($A1759),IF(AND($A1759&gt;=10000101,$A1759&lt;=99991231),INT($A1759/10000),""),IFERROR(VALUE(TRIM(LEFT($A1759,FIND("/",$A1759)-1))),"")))</f>
        <v/>
      </c>
      <c r="C1759">
        <f>IF(OR($A1759="",$B1759=""),"",IF(ISNUMBER($A1759),INT(MOD($A1759,10000)/100),IFERROR(VALUE(TRIM(LEFT(MID($A1759,FIND("/",$A1759)+1,20),FIND("/",MID($A1759,FIND("/",$A1759)+1,20))-1))),"")))</f>
        <v/>
      </c>
      <c r="D1759">
        <f>IF(OR($A1759="",$B1759=""),"",IF(ISNUMBER($A1759),MOD($A1759,100),IFERROR(VALUE(TRIM(MID(MID($A1759,FIND("/",$A1759)+1,20),FIND("/",MID($A1759,FIND("/",$A1759)+1,20))+1,20))),"")))</f>
        <v/>
      </c>
      <c r="E1759">
        <f>IF($A1759="","",IF(OR($B1759="",$C1759="",$D1759="",$B1759&lt;1300,$B1759&gt;1500,$C1759&lt;1,$C1759&gt;12,$D1759&lt;1,$D1759&gt;31),"نامعتبر",RIGHT("0000"&amp;$B1759,4)&amp;"/"&amp;RIGHT("00"&amp;$C1759,2)&amp;"/"&amp;RIGHT("00"&amp;$D1759,2)))</f>
        <v/>
      </c>
      <c r="F1759">
        <f>IF(OR($E1759="",$E1759="نامعتبر"),"",LEFT($E1759,4)&amp;"/"&amp;MID($E1759,6,2))</f>
        <v/>
      </c>
      <c r="G1759">
        <f>IF(OR($E1759="",$E1759="نامعتبر",Sync!$X1755=""),"",IF(AND(LEFT(UPPER(TRIM(Sync!$X1755)),2)="SL",IFERROR(VLOOKUP(Sync!$W1755,OpTbl,3,0),"")="فروش"),UPPER(TRIM(Sync!$X1755)),""))</f>
        <v/>
      </c>
      <c r="H1759">
        <f>IF($G1759="","",IF(Sync!$W1755="","",Sync!$W1755))</f>
        <v/>
      </c>
      <c r="I1759">
        <f>IF(OR($G1759="",Sync!$Y1755=""),"",Sync!$Y1755)</f>
        <v/>
      </c>
      <c r="J1759">
        <f>IF(OR($G1759="",Sync!$Z1755=""),"",Sync!$Z1755)</f>
        <v/>
      </c>
      <c r="K1759">
        <f>IF($G1759="",0,IF(Sync!$AA1755="",0,Sync!$AA1755))</f>
        <v/>
      </c>
      <c r="L1759">
        <f>IF($G1759="",0,IF(Sync!$AB1755="",0,Sync!$AB1755))</f>
        <v/>
      </c>
      <c r="M1759">
        <f>IF($G1759="","",IF($H1759="مرجوعی فروش",-1,1)*($K1759-$L1759*IFERROR(VLOOKUP("P01",ParamTbl,3,0),1.5)))</f>
        <v/>
      </c>
      <c r="N1759">
        <f>IF($G1759="",0,IF($H1759="مرجوعی فروش",-1,1)*IF(Sync!$AC1755="",0,Sync!$AC1755))</f>
        <v/>
      </c>
      <c r="O1759">
        <f>IF(OR($G1759="",Sync!$V1755=""),"",Sync!$V1755)</f>
        <v/>
      </c>
      <c r="P1759">
        <f>IF(OR($G1759="",Sync!$AD1755=""),"",Sync!$AD1755)</f>
        <v/>
      </c>
      <c r="Q1759">
        <f>IF($G1759="","",IF(Sync!$U1755="","0000",IF(AND(ISNUMBER(Sync!$U1755),Sync!$U1755&gt;=0,Sync!$U1755&lt;1),RIGHT("00"&amp;HOUR(Sync!$U1755),2)&amp;RIGHT("00"&amp;MINUTE(Sync!$U1755),2),IFERROR(RIGHT("00"&amp;VALUE(LEFT(Sync!$U1755,FIND(":",Sync!$U1755)-1)),2)&amp;RIGHT("00"&amp;VALUE(MID(Sync!$U1755,FIND(":",Sync!$U1755)+1,2)),2),"0000"))))</f>
        <v/>
      </c>
    </row>
    <row r="1760">
      <c r="A1760">
        <f>IF(Sync!$T1756="","",Sync!$T1756)</f>
        <v/>
      </c>
      <c r="B1760">
        <f>IF($A1760="","",IF(ISNUMBER($A1760),IF(AND($A1760&gt;=10000101,$A1760&lt;=99991231),INT($A1760/10000),""),IFERROR(VALUE(TRIM(LEFT($A1760,FIND("/",$A1760)-1))),"")))</f>
        <v/>
      </c>
      <c r="C1760">
        <f>IF(OR($A1760="",$B1760=""),"",IF(ISNUMBER($A1760),INT(MOD($A1760,10000)/100),IFERROR(VALUE(TRIM(LEFT(MID($A1760,FIND("/",$A1760)+1,20),FIND("/",MID($A1760,FIND("/",$A1760)+1,20))-1))),"")))</f>
        <v/>
      </c>
      <c r="D1760">
        <f>IF(OR($A1760="",$B1760=""),"",IF(ISNUMBER($A1760),MOD($A1760,100),IFERROR(VALUE(TRIM(MID(MID($A1760,FIND("/",$A1760)+1,20),FIND("/",MID($A1760,FIND("/",$A1760)+1,20))+1,20))),"")))</f>
        <v/>
      </c>
      <c r="E1760">
        <f>IF($A1760="","",IF(OR($B1760="",$C1760="",$D1760="",$B1760&lt;1300,$B1760&gt;1500,$C1760&lt;1,$C1760&gt;12,$D1760&lt;1,$D1760&gt;31),"نامعتبر",RIGHT("0000"&amp;$B1760,4)&amp;"/"&amp;RIGHT("00"&amp;$C1760,2)&amp;"/"&amp;RIGHT("00"&amp;$D1760,2)))</f>
        <v/>
      </c>
      <c r="F1760">
        <f>IF(OR($E1760="",$E1760="نامعتبر"),"",LEFT($E1760,4)&amp;"/"&amp;MID($E1760,6,2))</f>
        <v/>
      </c>
      <c r="G1760">
        <f>IF(OR($E1760="",$E1760="نامعتبر",Sync!$X1756=""),"",IF(AND(LEFT(UPPER(TRIM(Sync!$X1756)),2)="SL",IFERROR(VLOOKUP(Sync!$W1756,OpTbl,3,0),"")="فروش"),UPPER(TRIM(Sync!$X1756)),""))</f>
        <v/>
      </c>
      <c r="H1760">
        <f>IF($G1760="","",IF(Sync!$W1756="","",Sync!$W1756))</f>
        <v/>
      </c>
      <c r="I1760">
        <f>IF(OR($G1760="",Sync!$Y1756=""),"",Sync!$Y1756)</f>
        <v/>
      </c>
      <c r="J1760">
        <f>IF(OR($G1760="",Sync!$Z1756=""),"",Sync!$Z1756)</f>
        <v/>
      </c>
      <c r="K1760">
        <f>IF($G1760="",0,IF(Sync!$AA1756="",0,Sync!$AA1756))</f>
        <v/>
      </c>
      <c r="L1760">
        <f>IF($G1760="",0,IF(Sync!$AB1756="",0,Sync!$AB1756))</f>
        <v/>
      </c>
      <c r="M1760">
        <f>IF($G1760="","",IF($H1760="مرجوعی فروش",-1,1)*($K1760-$L1760*IFERROR(VLOOKUP("P01",ParamTbl,3,0),1.5)))</f>
        <v/>
      </c>
      <c r="N1760">
        <f>IF($G1760="",0,IF($H1760="مرجوعی فروش",-1,1)*IF(Sync!$AC1756="",0,Sync!$AC1756))</f>
        <v/>
      </c>
      <c r="O1760">
        <f>IF(OR($G1760="",Sync!$V1756=""),"",Sync!$V1756)</f>
        <v/>
      </c>
      <c r="P1760">
        <f>IF(OR($G1760="",Sync!$AD1756=""),"",Sync!$AD1756)</f>
        <v/>
      </c>
      <c r="Q1760">
        <f>IF($G1760="","",IF(Sync!$U1756="","0000",IF(AND(ISNUMBER(Sync!$U1756),Sync!$U1756&gt;=0,Sync!$U1756&lt;1),RIGHT("00"&amp;HOUR(Sync!$U1756),2)&amp;RIGHT("00"&amp;MINUTE(Sync!$U1756),2),IFERROR(RIGHT("00"&amp;VALUE(LEFT(Sync!$U1756,FIND(":",Sync!$U1756)-1)),2)&amp;RIGHT("00"&amp;VALUE(MID(Sync!$U1756,FIND(":",Sync!$U1756)+1,2)),2),"0000"))))</f>
        <v/>
      </c>
    </row>
    <row r="1761">
      <c r="A1761">
        <f>IF(Sync!$T1757="","",Sync!$T1757)</f>
        <v/>
      </c>
      <c r="B1761">
        <f>IF($A1761="","",IF(ISNUMBER($A1761),IF(AND($A1761&gt;=10000101,$A1761&lt;=99991231),INT($A1761/10000),""),IFERROR(VALUE(TRIM(LEFT($A1761,FIND("/",$A1761)-1))),"")))</f>
        <v/>
      </c>
      <c r="C1761">
        <f>IF(OR($A1761="",$B1761=""),"",IF(ISNUMBER($A1761),INT(MOD($A1761,10000)/100),IFERROR(VALUE(TRIM(LEFT(MID($A1761,FIND("/",$A1761)+1,20),FIND("/",MID($A1761,FIND("/",$A1761)+1,20))-1))),"")))</f>
        <v/>
      </c>
      <c r="D1761">
        <f>IF(OR($A1761="",$B1761=""),"",IF(ISNUMBER($A1761),MOD($A1761,100),IFERROR(VALUE(TRIM(MID(MID($A1761,FIND("/",$A1761)+1,20),FIND("/",MID($A1761,FIND("/",$A1761)+1,20))+1,20))),"")))</f>
        <v/>
      </c>
      <c r="E1761">
        <f>IF($A1761="","",IF(OR($B1761="",$C1761="",$D1761="",$B1761&lt;1300,$B1761&gt;1500,$C1761&lt;1,$C1761&gt;12,$D1761&lt;1,$D1761&gt;31),"نامعتبر",RIGHT("0000"&amp;$B1761,4)&amp;"/"&amp;RIGHT("00"&amp;$C1761,2)&amp;"/"&amp;RIGHT("00"&amp;$D1761,2)))</f>
        <v/>
      </c>
      <c r="F1761">
        <f>IF(OR($E1761="",$E1761="نامعتبر"),"",LEFT($E1761,4)&amp;"/"&amp;MID($E1761,6,2))</f>
        <v/>
      </c>
      <c r="G1761">
        <f>IF(OR($E1761="",$E1761="نامعتبر",Sync!$X1757=""),"",IF(AND(LEFT(UPPER(TRIM(Sync!$X1757)),2)="SL",IFERROR(VLOOKUP(Sync!$W1757,OpTbl,3,0),"")="فروش"),UPPER(TRIM(Sync!$X1757)),""))</f>
        <v/>
      </c>
      <c r="H1761">
        <f>IF($G1761="","",IF(Sync!$W1757="","",Sync!$W1757))</f>
        <v/>
      </c>
      <c r="I1761">
        <f>IF(OR($G1761="",Sync!$Y1757=""),"",Sync!$Y1757)</f>
        <v/>
      </c>
      <c r="J1761">
        <f>IF(OR($G1761="",Sync!$Z1757=""),"",Sync!$Z1757)</f>
        <v/>
      </c>
      <c r="K1761">
        <f>IF($G1761="",0,IF(Sync!$AA1757="",0,Sync!$AA1757))</f>
        <v/>
      </c>
      <c r="L1761">
        <f>IF($G1761="",0,IF(Sync!$AB1757="",0,Sync!$AB1757))</f>
        <v/>
      </c>
      <c r="M1761">
        <f>IF($G1761="","",IF($H1761="مرجوعی فروش",-1,1)*($K1761-$L1761*IFERROR(VLOOKUP("P01",ParamTbl,3,0),1.5)))</f>
        <v/>
      </c>
      <c r="N1761">
        <f>IF($G1761="",0,IF($H1761="مرجوعی فروش",-1,1)*IF(Sync!$AC1757="",0,Sync!$AC1757))</f>
        <v/>
      </c>
      <c r="O1761">
        <f>IF(OR($G1761="",Sync!$V1757=""),"",Sync!$V1757)</f>
        <v/>
      </c>
      <c r="P1761">
        <f>IF(OR($G1761="",Sync!$AD1757=""),"",Sync!$AD1757)</f>
        <v/>
      </c>
      <c r="Q1761">
        <f>IF($G1761="","",IF(Sync!$U1757="","0000",IF(AND(ISNUMBER(Sync!$U1757),Sync!$U1757&gt;=0,Sync!$U1757&lt;1),RIGHT("00"&amp;HOUR(Sync!$U1757),2)&amp;RIGHT("00"&amp;MINUTE(Sync!$U1757),2),IFERROR(RIGHT("00"&amp;VALUE(LEFT(Sync!$U1757,FIND(":",Sync!$U1757)-1)),2)&amp;RIGHT("00"&amp;VALUE(MID(Sync!$U1757,FIND(":",Sync!$U1757)+1,2)),2),"0000"))))</f>
        <v/>
      </c>
    </row>
    <row r="1762">
      <c r="A1762">
        <f>IF(Sync!$T1758="","",Sync!$T1758)</f>
        <v/>
      </c>
      <c r="B1762">
        <f>IF($A1762="","",IF(ISNUMBER($A1762),IF(AND($A1762&gt;=10000101,$A1762&lt;=99991231),INT($A1762/10000),""),IFERROR(VALUE(TRIM(LEFT($A1762,FIND("/",$A1762)-1))),"")))</f>
        <v/>
      </c>
      <c r="C1762">
        <f>IF(OR($A1762="",$B1762=""),"",IF(ISNUMBER($A1762),INT(MOD($A1762,10000)/100),IFERROR(VALUE(TRIM(LEFT(MID($A1762,FIND("/",$A1762)+1,20),FIND("/",MID($A1762,FIND("/",$A1762)+1,20))-1))),"")))</f>
        <v/>
      </c>
      <c r="D1762">
        <f>IF(OR($A1762="",$B1762=""),"",IF(ISNUMBER($A1762),MOD($A1762,100),IFERROR(VALUE(TRIM(MID(MID($A1762,FIND("/",$A1762)+1,20),FIND("/",MID($A1762,FIND("/",$A1762)+1,20))+1,20))),"")))</f>
        <v/>
      </c>
      <c r="E1762">
        <f>IF($A1762="","",IF(OR($B1762="",$C1762="",$D1762="",$B1762&lt;1300,$B1762&gt;1500,$C1762&lt;1,$C1762&gt;12,$D1762&lt;1,$D1762&gt;31),"نامعتبر",RIGHT("0000"&amp;$B1762,4)&amp;"/"&amp;RIGHT("00"&amp;$C1762,2)&amp;"/"&amp;RIGHT("00"&amp;$D1762,2)))</f>
        <v/>
      </c>
      <c r="F1762">
        <f>IF(OR($E1762="",$E1762="نامعتبر"),"",LEFT($E1762,4)&amp;"/"&amp;MID($E1762,6,2))</f>
        <v/>
      </c>
      <c r="G1762">
        <f>IF(OR($E1762="",$E1762="نامعتبر",Sync!$X1758=""),"",IF(AND(LEFT(UPPER(TRIM(Sync!$X1758)),2)="SL",IFERROR(VLOOKUP(Sync!$W1758,OpTbl,3,0),"")="فروش"),UPPER(TRIM(Sync!$X1758)),""))</f>
        <v/>
      </c>
      <c r="H1762">
        <f>IF($G1762="","",IF(Sync!$W1758="","",Sync!$W1758))</f>
        <v/>
      </c>
      <c r="I1762">
        <f>IF(OR($G1762="",Sync!$Y1758=""),"",Sync!$Y1758)</f>
        <v/>
      </c>
      <c r="J1762">
        <f>IF(OR($G1762="",Sync!$Z1758=""),"",Sync!$Z1758)</f>
        <v/>
      </c>
      <c r="K1762">
        <f>IF($G1762="",0,IF(Sync!$AA1758="",0,Sync!$AA1758))</f>
        <v/>
      </c>
      <c r="L1762">
        <f>IF($G1762="",0,IF(Sync!$AB1758="",0,Sync!$AB1758))</f>
        <v/>
      </c>
      <c r="M1762">
        <f>IF($G1762="","",IF($H1762="مرجوعی فروش",-1,1)*($K1762-$L1762*IFERROR(VLOOKUP("P01",ParamTbl,3,0),1.5)))</f>
        <v/>
      </c>
      <c r="N1762">
        <f>IF($G1762="",0,IF($H1762="مرجوعی فروش",-1,1)*IF(Sync!$AC1758="",0,Sync!$AC1758))</f>
        <v/>
      </c>
      <c r="O1762">
        <f>IF(OR($G1762="",Sync!$V1758=""),"",Sync!$V1758)</f>
        <v/>
      </c>
      <c r="P1762">
        <f>IF(OR($G1762="",Sync!$AD1758=""),"",Sync!$AD1758)</f>
        <v/>
      </c>
      <c r="Q1762">
        <f>IF($G1762="","",IF(Sync!$U1758="","0000",IF(AND(ISNUMBER(Sync!$U1758),Sync!$U1758&gt;=0,Sync!$U1758&lt;1),RIGHT("00"&amp;HOUR(Sync!$U1758),2)&amp;RIGHT("00"&amp;MINUTE(Sync!$U1758),2),IFERROR(RIGHT("00"&amp;VALUE(LEFT(Sync!$U1758,FIND(":",Sync!$U1758)-1)),2)&amp;RIGHT("00"&amp;VALUE(MID(Sync!$U1758,FIND(":",Sync!$U1758)+1,2)),2),"0000"))))</f>
        <v/>
      </c>
    </row>
    <row r="1763">
      <c r="A1763">
        <f>IF(Sync!$T1759="","",Sync!$T1759)</f>
        <v/>
      </c>
      <c r="B1763">
        <f>IF($A1763="","",IF(ISNUMBER($A1763),IF(AND($A1763&gt;=10000101,$A1763&lt;=99991231),INT($A1763/10000),""),IFERROR(VALUE(TRIM(LEFT($A1763,FIND("/",$A1763)-1))),"")))</f>
        <v/>
      </c>
      <c r="C1763">
        <f>IF(OR($A1763="",$B1763=""),"",IF(ISNUMBER($A1763),INT(MOD($A1763,10000)/100),IFERROR(VALUE(TRIM(LEFT(MID($A1763,FIND("/",$A1763)+1,20),FIND("/",MID($A1763,FIND("/",$A1763)+1,20))-1))),"")))</f>
        <v/>
      </c>
      <c r="D1763">
        <f>IF(OR($A1763="",$B1763=""),"",IF(ISNUMBER($A1763),MOD($A1763,100),IFERROR(VALUE(TRIM(MID(MID($A1763,FIND("/",$A1763)+1,20),FIND("/",MID($A1763,FIND("/",$A1763)+1,20))+1,20))),"")))</f>
        <v/>
      </c>
      <c r="E1763">
        <f>IF($A1763="","",IF(OR($B1763="",$C1763="",$D1763="",$B1763&lt;1300,$B1763&gt;1500,$C1763&lt;1,$C1763&gt;12,$D1763&lt;1,$D1763&gt;31),"نامعتبر",RIGHT("0000"&amp;$B1763,4)&amp;"/"&amp;RIGHT("00"&amp;$C1763,2)&amp;"/"&amp;RIGHT("00"&amp;$D1763,2)))</f>
        <v/>
      </c>
      <c r="F1763">
        <f>IF(OR($E1763="",$E1763="نامعتبر"),"",LEFT($E1763,4)&amp;"/"&amp;MID($E1763,6,2))</f>
        <v/>
      </c>
      <c r="G1763">
        <f>IF(OR($E1763="",$E1763="نامعتبر",Sync!$X1759=""),"",IF(AND(LEFT(UPPER(TRIM(Sync!$X1759)),2)="SL",IFERROR(VLOOKUP(Sync!$W1759,OpTbl,3,0),"")="فروش"),UPPER(TRIM(Sync!$X1759)),""))</f>
        <v/>
      </c>
      <c r="H1763">
        <f>IF($G1763="","",IF(Sync!$W1759="","",Sync!$W1759))</f>
        <v/>
      </c>
      <c r="I1763">
        <f>IF(OR($G1763="",Sync!$Y1759=""),"",Sync!$Y1759)</f>
        <v/>
      </c>
      <c r="J1763">
        <f>IF(OR($G1763="",Sync!$Z1759=""),"",Sync!$Z1759)</f>
        <v/>
      </c>
      <c r="K1763">
        <f>IF($G1763="",0,IF(Sync!$AA1759="",0,Sync!$AA1759))</f>
        <v/>
      </c>
      <c r="L1763">
        <f>IF($G1763="",0,IF(Sync!$AB1759="",0,Sync!$AB1759))</f>
        <v/>
      </c>
      <c r="M1763">
        <f>IF($G1763="","",IF($H1763="مرجوعی فروش",-1,1)*($K1763-$L1763*IFERROR(VLOOKUP("P01",ParamTbl,3,0),1.5)))</f>
        <v/>
      </c>
      <c r="N1763">
        <f>IF($G1763="",0,IF($H1763="مرجوعی فروش",-1,1)*IF(Sync!$AC1759="",0,Sync!$AC1759))</f>
        <v/>
      </c>
      <c r="O1763">
        <f>IF(OR($G1763="",Sync!$V1759=""),"",Sync!$V1759)</f>
        <v/>
      </c>
      <c r="P1763">
        <f>IF(OR($G1763="",Sync!$AD1759=""),"",Sync!$AD1759)</f>
        <v/>
      </c>
      <c r="Q1763">
        <f>IF($G1763="","",IF(Sync!$U1759="","0000",IF(AND(ISNUMBER(Sync!$U1759),Sync!$U1759&gt;=0,Sync!$U1759&lt;1),RIGHT("00"&amp;HOUR(Sync!$U1759),2)&amp;RIGHT("00"&amp;MINUTE(Sync!$U1759),2),IFERROR(RIGHT("00"&amp;VALUE(LEFT(Sync!$U1759,FIND(":",Sync!$U1759)-1)),2)&amp;RIGHT("00"&amp;VALUE(MID(Sync!$U1759,FIND(":",Sync!$U1759)+1,2)),2),"0000"))))</f>
        <v/>
      </c>
    </row>
    <row r="1764">
      <c r="A1764">
        <f>IF(Sync!$T1760="","",Sync!$T1760)</f>
        <v/>
      </c>
      <c r="B1764">
        <f>IF($A1764="","",IF(ISNUMBER($A1764),IF(AND($A1764&gt;=10000101,$A1764&lt;=99991231),INT($A1764/10000),""),IFERROR(VALUE(TRIM(LEFT($A1764,FIND("/",$A1764)-1))),"")))</f>
        <v/>
      </c>
      <c r="C1764">
        <f>IF(OR($A1764="",$B1764=""),"",IF(ISNUMBER($A1764),INT(MOD($A1764,10000)/100),IFERROR(VALUE(TRIM(LEFT(MID($A1764,FIND("/",$A1764)+1,20),FIND("/",MID($A1764,FIND("/",$A1764)+1,20))-1))),"")))</f>
        <v/>
      </c>
      <c r="D1764">
        <f>IF(OR($A1764="",$B1764=""),"",IF(ISNUMBER($A1764),MOD($A1764,100),IFERROR(VALUE(TRIM(MID(MID($A1764,FIND("/",$A1764)+1,20),FIND("/",MID($A1764,FIND("/",$A1764)+1,20))+1,20))),"")))</f>
        <v/>
      </c>
      <c r="E1764">
        <f>IF($A1764="","",IF(OR($B1764="",$C1764="",$D1764="",$B1764&lt;1300,$B1764&gt;1500,$C1764&lt;1,$C1764&gt;12,$D1764&lt;1,$D1764&gt;31),"نامعتبر",RIGHT("0000"&amp;$B1764,4)&amp;"/"&amp;RIGHT("00"&amp;$C1764,2)&amp;"/"&amp;RIGHT("00"&amp;$D1764,2)))</f>
        <v/>
      </c>
      <c r="F1764">
        <f>IF(OR($E1764="",$E1764="نامعتبر"),"",LEFT($E1764,4)&amp;"/"&amp;MID($E1764,6,2))</f>
        <v/>
      </c>
      <c r="G1764">
        <f>IF(OR($E1764="",$E1764="نامعتبر",Sync!$X1760=""),"",IF(AND(LEFT(UPPER(TRIM(Sync!$X1760)),2)="SL",IFERROR(VLOOKUP(Sync!$W1760,OpTbl,3,0),"")="فروش"),UPPER(TRIM(Sync!$X1760)),""))</f>
        <v/>
      </c>
      <c r="H1764">
        <f>IF($G1764="","",IF(Sync!$W1760="","",Sync!$W1760))</f>
        <v/>
      </c>
      <c r="I1764">
        <f>IF(OR($G1764="",Sync!$Y1760=""),"",Sync!$Y1760)</f>
        <v/>
      </c>
      <c r="J1764">
        <f>IF(OR($G1764="",Sync!$Z1760=""),"",Sync!$Z1760)</f>
        <v/>
      </c>
      <c r="K1764">
        <f>IF($G1764="",0,IF(Sync!$AA1760="",0,Sync!$AA1760))</f>
        <v/>
      </c>
      <c r="L1764">
        <f>IF($G1764="",0,IF(Sync!$AB1760="",0,Sync!$AB1760))</f>
        <v/>
      </c>
      <c r="M1764">
        <f>IF($G1764="","",IF($H1764="مرجوعی فروش",-1,1)*($K1764-$L1764*IFERROR(VLOOKUP("P01",ParamTbl,3,0),1.5)))</f>
        <v/>
      </c>
      <c r="N1764">
        <f>IF($G1764="",0,IF($H1764="مرجوعی فروش",-1,1)*IF(Sync!$AC1760="",0,Sync!$AC1760))</f>
        <v/>
      </c>
      <c r="O1764">
        <f>IF(OR($G1764="",Sync!$V1760=""),"",Sync!$V1760)</f>
        <v/>
      </c>
      <c r="P1764">
        <f>IF(OR($G1764="",Sync!$AD1760=""),"",Sync!$AD1760)</f>
        <v/>
      </c>
      <c r="Q1764">
        <f>IF($G1764="","",IF(Sync!$U1760="","0000",IF(AND(ISNUMBER(Sync!$U1760),Sync!$U1760&gt;=0,Sync!$U1760&lt;1),RIGHT("00"&amp;HOUR(Sync!$U1760),2)&amp;RIGHT("00"&amp;MINUTE(Sync!$U1760),2),IFERROR(RIGHT("00"&amp;VALUE(LEFT(Sync!$U1760,FIND(":",Sync!$U1760)-1)),2)&amp;RIGHT("00"&amp;VALUE(MID(Sync!$U1760,FIND(":",Sync!$U1760)+1,2)),2),"0000"))))</f>
        <v/>
      </c>
    </row>
    <row r="1765">
      <c r="A1765">
        <f>IF(Sync!$T1761="","",Sync!$T1761)</f>
        <v/>
      </c>
      <c r="B1765">
        <f>IF($A1765="","",IF(ISNUMBER($A1765),IF(AND($A1765&gt;=10000101,$A1765&lt;=99991231),INT($A1765/10000),""),IFERROR(VALUE(TRIM(LEFT($A1765,FIND("/",$A1765)-1))),"")))</f>
        <v/>
      </c>
      <c r="C1765">
        <f>IF(OR($A1765="",$B1765=""),"",IF(ISNUMBER($A1765),INT(MOD($A1765,10000)/100),IFERROR(VALUE(TRIM(LEFT(MID($A1765,FIND("/",$A1765)+1,20),FIND("/",MID($A1765,FIND("/",$A1765)+1,20))-1))),"")))</f>
        <v/>
      </c>
      <c r="D1765">
        <f>IF(OR($A1765="",$B1765=""),"",IF(ISNUMBER($A1765),MOD($A1765,100),IFERROR(VALUE(TRIM(MID(MID($A1765,FIND("/",$A1765)+1,20),FIND("/",MID($A1765,FIND("/",$A1765)+1,20))+1,20))),"")))</f>
        <v/>
      </c>
      <c r="E1765">
        <f>IF($A1765="","",IF(OR($B1765="",$C1765="",$D1765="",$B1765&lt;1300,$B1765&gt;1500,$C1765&lt;1,$C1765&gt;12,$D1765&lt;1,$D1765&gt;31),"نامعتبر",RIGHT("0000"&amp;$B1765,4)&amp;"/"&amp;RIGHT("00"&amp;$C1765,2)&amp;"/"&amp;RIGHT("00"&amp;$D1765,2)))</f>
        <v/>
      </c>
      <c r="F1765">
        <f>IF(OR($E1765="",$E1765="نامعتبر"),"",LEFT($E1765,4)&amp;"/"&amp;MID($E1765,6,2))</f>
        <v/>
      </c>
      <c r="G1765">
        <f>IF(OR($E1765="",$E1765="نامعتبر",Sync!$X1761=""),"",IF(AND(LEFT(UPPER(TRIM(Sync!$X1761)),2)="SL",IFERROR(VLOOKUP(Sync!$W1761,OpTbl,3,0),"")="فروش"),UPPER(TRIM(Sync!$X1761)),""))</f>
        <v/>
      </c>
      <c r="H1765">
        <f>IF($G1765="","",IF(Sync!$W1761="","",Sync!$W1761))</f>
        <v/>
      </c>
      <c r="I1765">
        <f>IF(OR($G1765="",Sync!$Y1761=""),"",Sync!$Y1761)</f>
        <v/>
      </c>
      <c r="J1765">
        <f>IF(OR($G1765="",Sync!$Z1761=""),"",Sync!$Z1761)</f>
        <v/>
      </c>
      <c r="K1765">
        <f>IF($G1765="",0,IF(Sync!$AA1761="",0,Sync!$AA1761))</f>
        <v/>
      </c>
      <c r="L1765">
        <f>IF($G1765="",0,IF(Sync!$AB1761="",0,Sync!$AB1761))</f>
        <v/>
      </c>
      <c r="M1765">
        <f>IF($G1765="","",IF($H1765="مرجوعی فروش",-1,1)*($K1765-$L1765*IFERROR(VLOOKUP("P01",ParamTbl,3,0),1.5)))</f>
        <v/>
      </c>
      <c r="N1765">
        <f>IF($G1765="",0,IF($H1765="مرجوعی فروش",-1,1)*IF(Sync!$AC1761="",0,Sync!$AC1761))</f>
        <v/>
      </c>
      <c r="O1765">
        <f>IF(OR($G1765="",Sync!$V1761=""),"",Sync!$V1761)</f>
        <v/>
      </c>
      <c r="P1765">
        <f>IF(OR($G1765="",Sync!$AD1761=""),"",Sync!$AD1761)</f>
        <v/>
      </c>
      <c r="Q1765">
        <f>IF($G1765="","",IF(Sync!$U1761="","0000",IF(AND(ISNUMBER(Sync!$U1761),Sync!$U1761&gt;=0,Sync!$U1761&lt;1),RIGHT("00"&amp;HOUR(Sync!$U1761),2)&amp;RIGHT("00"&amp;MINUTE(Sync!$U1761),2),IFERROR(RIGHT("00"&amp;VALUE(LEFT(Sync!$U1761,FIND(":",Sync!$U1761)-1)),2)&amp;RIGHT("00"&amp;VALUE(MID(Sync!$U1761,FIND(":",Sync!$U1761)+1,2)),2),"0000"))))</f>
        <v/>
      </c>
    </row>
    <row r="1766">
      <c r="A1766">
        <f>IF(Sync!$T1762="","",Sync!$T1762)</f>
        <v/>
      </c>
      <c r="B1766">
        <f>IF($A1766="","",IF(ISNUMBER($A1766),IF(AND($A1766&gt;=10000101,$A1766&lt;=99991231),INT($A1766/10000),""),IFERROR(VALUE(TRIM(LEFT($A1766,FIND("/",$A1766)-1))),"")))</f>
        <v/>
      </c>
      <c r="C1766">
        <f>IF(OR($A1766="",$B1766=""),"",IF(ISNUMBER($A1766),INT(MOD($A1766,10000)/100),IFERROR(VALUE(TRIM(LEFT(MID($A1766,FIND("/",$A1766)+1,20),FIND("/",MID($A1766,FIND("/",$A1766)+1,20))-1))),"")))</f>
        <v/>
      </c>
      <c r="D1766">
        <f>IF(OR($A1766="",$B1766=""),"",IF(ISNUMBER($A1766),MOD($A1766,100),IFERROR(VALUE(TRIM(MID(MID($A1766,FIND("/",$A1766)+1,20),FIND("/",MID($A1766,FIND("/",$A1766)+1,20))+1,20))),"")))</f>
        <v/>
      </c>
      <c r="E1766">
        <f>IF($A1766="","",IF(OR($B1766="",$C1766="",$D1766="",$B1766&lt;1300,$B1766&gt;1500,$C1766&lt;1,$C1766&gt;12,$D1766&lt;1,$D1766&gt;31),"نامعتبر",RIGHT("0000"&amp;$B1766,4)&amp;"/"&amp;RIGHT("00"&amp;$C1766,2)&amp;"/"&amp;RIGHT("00"&amp;$D1766,2)))</f>
        <v/>
      </c>
      <c r="F1766">
        <f>IF(OR($E1766="",$E1766="نامعتبر"),"",LEFT($E1766,4)&amp;"/"&amp;MID($E1766,6,2))</f>
        <v/>
      </c>
      <c r="G1766">
        <f>IF(OR($E1766="",$E1766="نامعتبر",Sync!$X1762=""),"",IF(AND(LEFT(UPPER(TRIM(Sync!$X1762)),2)="SL",IFERROR(VLOOKUP(Sync!$W1762,OpTbl,3,0),"")="فروش"),UPPER(TRIM(Sync!$X1762)),""))</f>
        <v/>
      </c>
      <c r="H1766">
        <f>IF($G1766="","",IF(Sync!$W1762="","",Sync!$W1762))</f>
        <v/>
      </c>
      <c r="I1766">
        <f>IF(OR($G1766="",Sync!$Y1762=""),"",Sync!$Y1762)</f>
        <v/>
      </c>
      <c r="J1766">
        <f>IF(OR($G1766="",Sync!$Z1762=""),"",Sync!$Z1762)</f>
        <v/>
      </c>
      <c r="K1766">
        <f>IF($G1766="",0,IF(Sync!$AA1762="",0,Sync!$AA1762))</f>
        <v/>
      </c>
      <c r="L1766">
        <f>IF($G1766="",0,IF(Sync!$AB1762="",0,Sync!$AB1762))</f>
        <v/>
      </c>
      <c r="M1766">
        <f>IF($G1766="","",IF($H1766="مرجوعی فروش",-1,1)*($K1766-$L1766*IFERROR(VLOOKUP("P01",ParamTbl,3,0),1.5)))</f>
        <v/>
      </c>
      <c r="N1766">
        <f>IF($G1766="",0,IF($H1766="مرجوعی فروش",-1,1)*IF(Sync!$AC1762="",0,Sync!$AC1762))</f>
        <v/>
      </c>
      <c r="O1766">
        <f>IF(OR($G1766="",Sync!$V1762=""),"",Sync!$V1762)</f>
        <v/>
      </c>
      <c r="P1766">
        <f>IF(OR($G1766="",Sync!$AD1762=""),"",Sync!$AD1762)</f>
        <v/>
      </c>
      <c r="Q1766">
        <f>IF($G1766="","",IF(Sync!$U1762="","0000",IF(AND(ISNUMBER(Sync!$U1762),Sync!$U1762&gt;=0,Sync!$U1762&lt;1),RIGHT("00"&amp;HOUR(Sync!$U1762),2)&amp;RIGHT("00"&amp;MINUTE(Sync!$U1762),2),IFERROR(RIGHT("00"&amp;VALUE(LEFT(Sync!$U1762,FIND(":",Sync!$U1762)-1)),2)&amp;RIGHT("00"&amp;VALUE(MID(Sync!$U1762,FIND(":",Sync!$U1762)+1,2)),2),"0000"))))</f>
        <v/>
      </c>
    </row>
    <row r="1767">
      <c r="A1767">
        <f>IF(Sync!$T1763="","",Sync!$T1763)</f>
        <v/>
      </c>
      <c r="B1767">
        <f>IF($A1767="","",IF(ISNUMBER($A1767),IF(AND($A1767&gt;=10000101,$A1767&lt;=99991231),INT($A1767/10000),""),IFERROR(VALUE(TRIM(LEFT($A1767,FIND("/",$A1767)-1))),"")))</f>
        <v/>
      </c>
      <c r="C1767">
        <f>IF(OR($A1767="",$B1767=""),"",IF(ISNUMBER($A1767),INT(MOD($A1767,10000)/100),IFERROR(VALUE(TRIM(LEFT(MID($A1767,FIND("/",$A1767)+1,20),FIND("/",MID($A1767,FIND("/",$A1767)+1,20))-1))),"")))</f>
        <v/>
      </c>
      <c r="D1767">
        <f>IF(OR($A1767="",$B1767=""),"",IF(ISNUMBER($A1767),MOD($A1767,100),IFERROR(VALUE(TRIM(MID(MID($A1767,FIND("/",$A1767)+1,20),FIND("/",MID($A1767,FIND("/",$A1767)+1,20))+1,20))),"")))</f>
        <v/>
      </c>
      <c r="E1767">
        <f>IF($A1767="","",IF(OR($B1767="",$C1767="",$D1767="",$B1767&lt;1300,$B1767&gt;1500,$C1767&lt;1,$C1767&gt;12,$D1767&lt;1,$D1767&gt;31),"نامعتبر",RIGHT("0000"&amp;$B1767,4)&amp;"/"&amp;RIGHT("00"&amp;$C1767,2)&amp;"/"&amp;RIGHT("00"&amp;$D1767,2)))</f>
        <v/>
      </c>
      <c r="F1767">
        <f>IF(OR($E1767="",$E1767="نامعتبر"),"",LEFT($E1767,4)&amp;"/"&amp;MID($E1767,6,2))</f>
        <v/>
      </c>
      <c r="G1767">
        <f>IF(OR($E1767="",$E1767="نامعتبر",Sync!$X1763=""),"",IF(AND(LEFT(UPPER(TRIM(Sync!$X1763)),2)="SL",IFERROR(VLOOKUP(Sync!$W1763,OpTbl,3,0),"")="فروش"),UPPER(TRIM(Sync!$X1763)),""))</f>
        <v/>
      </c>
      <c r="H1767">
        <f>IF($G1767="","",IF(Sync!$W1763="","",Sync!$W1763))</f>
        <v/>
      </c>
      <c r="I1767">
        <f>IF(OR($G1767="",Sync!$Y1763=""),"",Sync!$Y1763)</f>
        <v/>
      </c>
      <c r="J1767">
        <f>IF(OR($G1767="",Sync!$Z1763=""),"",Sync!$Z1763)</f>
        <v/>
      </c>
      <c r="K1767">
        <f>IF($G1767="",0,IF(Sync!$AA1763="",0,Sync!$AA1763))</f>
        <v/>
      </c>
      <c r="L1767">
        <f>IF($G1767="",0,IF(Sync!$AB1763="",0,Sync!$AB1763))</f>
        <v/>
      </c>
      <c r="M1767">
        <f>IF($G1767="","",IF($H1767="مرجوعی فروش",-1,1)*($K1767-$L1767*IFERROR(VLOOKUP("P01",ParamTbl,3,0),1.5)))</f>
        <v/>
      </c>
      <c r="N1767">
        <f>IF($G1767="",0,IF($H1767="مرجوعی فروش",-1,1)*IF(Sync!$AC1763="",0,Sync!$AC1763))</f>
        <v/>
      </c>
      <c r="O1767">
        <f>IF(OR($G1767="",Sync!$V1763=""),"",Sync!$V1763)</f>
        <v/>
      </c>
      <c r="P1767">
        <f>IF(OR($G1767="",Sync!$AD1763=""),"",Sync!$AD1763)</f>
        <v/>
      </c>
      <c r="Q1767">
        <f>IF($G1767="","",IF(Sync!$U1763="","0000",IF(AND(ISNUMBER(Sync!$U1763),Sync!$U1763&gt;=0,Sync!$U1763&lt;1),RIGHT("00"&amp;HOUR(Sync!$U1763),2)&amp;RIGHT("00"&amp;MINUTE(Sync!$U1763),2),IFERROR(RIGHT("00"&amp;VALUE(LEFT(Sync!$U1763,FIND(":",Sync!$U1763)-1)),2)&amp;RIGHT("00"&amp;VALUE(MID(Sync!$U1763,FIND(":",Sync!$U1763)+1,2)),2),"0000"))))</f>
        <v/>
      </c>
    </row>
    <row r="1768">
      <c r="A1768">
        <f>IF(Sync!$T1764="","",Sync!$T1764)</f>
        <v/>
      </c>
      <c r="B1768">
        <f>IF($A1768="","",IF(ISNUMBER($A1768),IF(AND($A1768&gt;=10000101,$A1768&lt;=99991231),INT($A1768/10000),""),IFERROR(VALUE(TRIM(LEFT($A1768,FIND("/",$A1768)-1))),"")))</f>
        <v/>
      </c>
      <c r="C1768">
        <f>IF(OR($A1768="",$B1768=""),"",IF(ISNUMBER($A1768),INT(MOD($A1768,10000)/100),IFERROR(VALUE(TRIM(LEFT(MID($A1768,FIND("/",$A1768)+1,20),FIND("/",MID($A1768,FIND("/",$A1768)+1,20))-1))),"")))</f>
        <v/>
      </c>
      <c r="D1768">
        <f>IF(OR($A1768="",$B1768=""),"",IF(ISNUMBER($A1768),MOD($A1768,100),IFERROR(VALUE(TRIM(MID(MID($A1768,FIND("/",$A1768)+1,20),FIND("/",MID($A1768,FIND("/",$A1768)+1,20))+1,20))),"")))</f>
        <v/>
      </c>
      <c r="E1768">
        <f>IF($A1768="","",IF(OR($B1768="",$C1768="",$D1768="",$B1768&lt;1300,$B1768&gt;1500,$C1768&lt;1,$C1768&gt;12,$D1768&lt;1,$D1768&gt;31),"نامعتبر",RIGHT("0000"&amp;$B1768,4)&amp;"/"&amp;RIGHT("00"&amp;$C1768,2)&amp;"/"&amp;RIGHT("00"&amp;$D1768,2)))</f>
        <v/>
      </c>
      <c r="F1768">
        <f>IF(OR($E1768="",$E1768="نامعتبر"),"",LEFT($E1768,4)&amp;"/"&amp;MID($E1768,6,2))</f>
        <v/>
      </c>
      <c r="G1768">
        <f>IF(OR($E1768="",$E1768="نامعتبر",Sync!$X1764=""),"",IF(AND(LEFT(UPPER(TRIM(Sync!$X1764)),2)="SL",IFERROR(VLOOKUP(Sync!$W1764,OpTbl,3,0),"")="فروش"),UPPER(TRIM(Sync!$X1764)),""))</f>
        <v/>
      </c>
      <c r="H1768">
        <f>IF($G1768="","",IF(Sync!$W1764="","",Sync!$W1764))</f>
        <v/>
      </c>
      <c r="I1768">
        <f>IF(OR($G1768="",Sync!$Y1764=""),"",Sync!$Y1764)</f>
        <v/>
      </c>
      <c r="J1768">
        <f>IF(OR($G1768="",Sync!$Z1764=""),"",Sync!$Z1764)</f>
        <v/>
      </c>
      <c r="K1768">
        <f>IF($G1768="",0,IF(Sync!$AA1764="",0,Sync!$AA1764))</f>
        <v/>
      </c>
      <c r="L1768">
        <f>IF($G1768="",0,IF(Sync!$AB1764="",0,Sync!$AB1764))</f>
        <v/>
      </c>
      <c r="M1768">
        <f>IF($G1768="","",IF($H1768="مرجوعی فروش",-1,1)*($K1768-$L1768*IFERROR(VLOOKUP("P01",ParamTbl,3,0),1.5)))</f>
        <v/>
      </c>
      <c r="N1768">
        <f>IF($G1768="",0,IF($H1768="مرجوعی فروش",-1,1)*IF(Sync!$AC1764="",0,Sync!$AC1764))</f>
        <v/>
      </c>
      <c r="O1768">
        <f>IF(OR($G1768="",Sync!$V1764=""),"",Sync!$V1764)</f>
        <v/>
      </c>
      <c r="P1768">
        <f>IF(OR($G1768="",Sync!$AD1764=""),"",Sync!$AD1764)</f>
        <v/>
      </c>
      <c r="Q1768">
        <f>IF($G1768="","",IF(Sync!$U1764="","0000",IF(AND(ISNUMBER(Sync!$U1764),Sync!$U1764&gt;=0,Sync!$U1764&lt;1),RIGHT("00"&amp;HOUR(Sync!$U1764),2)&amp;RIGHT("00"&amp;MINUTE(Sync!$U1764),2),IFERROR(RIGHT("00"&amp;VALUE(LEFT(Sync!$U1764,FIND(":",Sync!$U1764)-1)),2)&amp;RIGHT("00"&amp;VALUE(MID(Sync!$U1764,FIND(":",Sync!$U1764)+1,2)),2),"0000"))))</f>
        <v/>
      </c>
    </row>
    <row r="1769">
      <c r="A1769">
        <f>IF(Sync!$T1765="","",Sync!$T1765)</f>
        <v/>
      </c>
      <c r="B1769">
        <f>IF($A1769="","",IF(ISNUMBER($A1769),IF(AND($A1769&gt;=10000101,$A1769&lt;=99991231),INT($A1769/10000),""),IFERROR(VALUE(TRIM(LEFT($A1769,FIND("/",$A1769)-1))),"")))</f>
        <v/>
      </c>
      <c r="C1769">
        <f>IF(OR($A1769="",$B1769=""),"",IF(ISNUMBER($A1769),INT(MOD($A1769,10000)/100),IFERROR(VALUE(TRIM(LEFT(MID($A1769,FIND("/",$A1769)+1,20),FIND("/",MID($A1769,FIND("/",$A1769)+1,20))-1))),"")))</f>
        <v/>
      </c>
      <c r="D1769">
        <f>IF(OR($A1769="",$B1769=""),"",IF(ISNUMBER($A1769),MOD($A1769,100),IFERROR(VALUE(TRIM(MID(MID($A1769,FIND("/",$A1769)+1,20),FIND("/",MID($A1769,FIND("/",$A1769)+1,20))+1,20))),"")))</f>
        <v/>
      </c>
      <c r="E1769">
        <f>IF($A1769="","",IF(OR($B1769="",$C1769="",$D1769="",$B1769&lt;1300,$B1769&gt;1500,$C1769&lt;1,$C1769&gt;12,$D1769&lt;1,$D1769&gt;31),"نامعتبر",RIGHT("0000"&amp;$B1769,4)&amp;"/"&amp;RIGHT("00"&amp;$C1769,2)&amp;"/"&amp;RIGHT("00"&amp;$D1769,2)))</f>
        <v/>
      </c>
      <c r="F1769">
        <f>IF(OR($E1769="",$E1769="نامعتبر"),"",LEFT($E1769,4)&amp;"/"&amp;MID($E1769,6,2))</f>
        <v/>
      </c>
      <c r="G1769">
        <f>IF(OR($E1769="",$E1769="نامعتبر",Sync!$X1765=""),"",IF(AND(LEFT(UPPER(TRIM(Sync!$X1765)),2)="SL",IFERROR(VLOOKUP(Sync!$W1765,OpTbl,3,0),"")="فروش"),UPPER(TRIM(Sync!$X1765)),""))</f>
        <v/>
      </c>
      <c r="H1769">
        <f>IF($G1769="","",IF(Sync!$W1765="","",Sync!$W1765))</f>
        <v/>
      </c>
      <c r="I1769">
        <f>IF(OR($G1769="",Sync!$Y1765=""),"",Sync!$Y1765)</f>
        <v/>
      </c>
      <c r="J1769">
        <f>IF(OR($G1769="",Sync!$Z1765=""),"",Sync!$Z1765)</f>
        <v/>
      </c>
      <c r="K1769">
        <f>IF($G1769="",0,IF(Sync!$AA1765="",0,Sync!$AA1765))</f>
        <v/>
      </c>
      <c r="L1769">
        <f>IF($G1769="",0,IF(Sync!$AB1765="",0,Sync!$AB1765))</f>
        <v/>
      </c>
      <c r="M1769">
        <f>IF($G1769="","",IF($H1769="مرجوعی فروش",-1,1)*($K1769-$L1769*IFERROR(VLOOKUP("P01",ParamTbl,3,0),1.5)))</f>
        <v/>
      </c>
      <c r="N1769">
        <f>IF($G1769="",0,IF($H1769="مرجوعی فروش",-1,1)*IF(Sync!$AC1765="",0,Sync!$AC1765))</f>
        <v/>
      </c>
      <c r="O1769">
        <f>IF(OR($G1769="",Sync!$V1765=""),"",Sync!$V1765)</f>
        <v/>
      </c>
      <c r="P1769">
        <f>IF(OR($G1769="",Sync!$AD1765=""),"",Sync!$AD1765)</f>
        <v/>
      </c>
      <c r="Q1769">
        <f>IF($G1769="","",IF(Sync!$U1765="","0000",IF(AND(ISNUMBER(Sync!$U1765),Sync!$U1765&gt;=0,Sync!$U1765&lt;1),RIGHT("00"&amp;HOUR(Sync!$U1765),2)&amp;RIGHT("00"&amp;MINUTE(Sync!$U1765),2),IFERROR(RIGHT("00"&amp;VALUE(LEFT(Sync!$U1765,FIND(":",Sync!$U1765)-1)),2)&amp;RIGHT("00"&amp;VALUE(MID(Sync!$U1765,FIND(":",Sync!$U1765)+1,2)),2),"0000"))))</f>
        <v/>
      </c>
    </row>
    <row r="1770">
      <c r="A1770">
        <f>IF(Sync!$T1766="","",Sync!$T1766)</f>
        <v/>
      </c>
      <c r="B1770">
        <f>IF($A1770="","",IF(ISNUMBER($A1770),IF(AND($A1770&gt;=10000101,$A1770&lt;=99991231),INT($A1770/10000),""),IFERROR(VALUE(TRIM(LEFT($A1770,FIND("/",$A1770)-1))),"")))</f>
        <v/>
      </c>
      <c r="C1770">
        <f>IF(OR($A1770="",$B1770=""),"",IF(ISNUMBER($A1770),INT(MOD($A1770,10000)/100),IFERROR(VALUE(TRIM(LEFT(MID($A1770,FIND("/",$A1770)+1,20),FIND("/",MID($A1770,FIND("/",$A1770)+1,20))-1))),"")))</f>
        <v/>
      </c>
      <c r="D1770">
        <f>IF(OR($A1770="",$B1770=""),"",IF(ISNUMBER($A1770),MOD($A1770,100),IFERROR(VALUE(TRIM(MID(MID($A1770,FIND("/",$A1770)+1,20),FIND("/",MID($A1770,FIND("/",$A1770)+1,20))+1,20))),"")))</f>
        <v/>
      </c>
      <c r="E1770">
        <f>IF($A1770="","",IF(OR($B1770="",$C1770="",$D1770="",$B1770&lt;1300,$B1770&gt;1500,$C1770&lt;1,$C1770&gt;12,$D1770&lt;1,$D1770&gt;31),"نامعتبر",RIGHT("0000"&amp;$B1770,4)&amp;"/"&amp;RIGHT("00"&amp;$C1770,2)&amp;"/"&amp;RIGHT("00"&amp;$D1770,2)))</f>
        <v/>
      </c>
      <c r="F1770">
        <f>IF(OR($E1770="",$E1770="نامعتبر"),"",LEFT($E1770,4)&amp;"/"&amp;MID($E1770,6,2))</f>
        <v/>
      </c>
      <c r="G1770">
        <f>IF(OR($E1770="",$E1770="نامعتبر",Sync!$X1766=""),"",IF(AND(LEFT(UPPER(TRIM(Sync!$X1766)),2)="SL",IFERROR(VLOOKUP(Sync!$W1766,OpTbl,3,0),"")="فروش"),UPPER(TRIM(Sync!$X1766)),""))</f>
        <v/>
      </c>
      <c r="H1770">
        <f>IF($G1770="","",IF(Sync!$W1766="","",Sync!$W1766))</f>
        <v/>
      </c>
      <c r="I1770">
        <f>IF(OR($G1770="",Sync!$Y1766=""),"",Sync!$Y1766)</f>
        <v/>
      </c>
      <c r="J1770">
        <f>IF(OR($G1770="",Sync!$Z1766=""),"",Sync!$Z1766)</f>
        <v/>
      </c>
      <c r="K1770">
        <f>IF($G1770="",0,IF(Sync!$AA1766="",0,Sync!$AA1766))</f>
        <v/>
      </c>
      <c r="L1770">
        <f>IF($G1770="",0,IF(Sync!$AB1766="",0,Sync!$AB1766))</f>
        <v/>
      </c>
      <c r="M1770">
        <f>IF($G1770="","",IF($H1770="مرجوعی فروش",-1,1)*($K1770-$L1770*IFERROR(VLOOKUP("P01",ParamTbl,3,0),1.5)))</f>
        <v/>
      </c>
      <c r="N1770">
        <f>IF($G1770="",0,IF($H1770="مرجوعی فروش",-1,1)*IF(Sync!$AC1766="",0,Sync!$AC1766))</f>
        <v/>
      </c>
      <c r="O1770">
        <f>IF(OR($G1770="",Sync!$V1766=""),"",Sync!$V1766)</f>
        <v/>
      </c>
      <c r="P1770">
        <f>IF(OR($G1770="",Sync!$AD1766=""),"",Sync!$AD1766)</f>
        <v/>
      </c>
      <c r="Q1770">
        <f>IF($G1770="","",IF(Sync!$U1766="","0000",IF(AND(ISNUMBER(Sync!$U1766),Sync!$U1766&gt;=0,Sync!$U1766&lt;1),RIGHT("00"&amp;HOUR(Sync!$U1766),2)&amp;RIGHT("00"&amp;MINUTE(Sync!$U1766),2),IFERROR(RIGHT("00"&amp;VALUE(LEFT(Sync!$U1766,FIND(":",Sync!$U1766)-1)),2)&amp;RIGHT("00"&amp;VALUE(MID(Sync!$U1766,FIND(":",Sync!$U1766)+1,2)),2),"0000"))))</f>
        <v/>
      </c>
    </row>
    <row r="1771">
      <c r="A1771">
        <f>IF(Sync!$T1767="","",Sync!$T1767)</f>
        <v/>
      </c>
      <c r="B1771">
        <f>IF($A1771="","",IF(ISNUMBER($A1771),IF(AND($A1771&gt;=10000101,$A1771&lt;=99991231),INT($A1771/10000),""),IFERROR(VALUE(TRIM(LEFT($A1771,FIND("/",$A1771)-1))),"")))</f>
        <v/>
      </c>
      <c r="C1771">
        <f>IF(OR($A1771="",$B1771=""),"",IF(ISNUMBER($A1771),INT(MOD($A1771,10000)/100),IFERROR(VALUE(TRIM(LEFT(MID($A1771,FIND("/",$A1771)+1,20),FIND("/",MID($A1771,FIND("/",$A1771)+1,20))-1))),"")))</f>
        <v/>
      </c>
      <c r="D1771">
        <f>IF(OR($A1771="",$B1771=""),"",IF(ISNUMBER($A1771),MOD($A1771,100),IFERROR(VALUE(TRIM(MID(MID($A1771,FIND("/",$A1771)+1,20),FIND("/",MID($A1771,FIND("/",$A1771)+1,20))+1,20))),"")))</f>
        <v/>
      </c>
      <c r="E1771">
        <f>IF($A1771="","",IF(OR($B1771="",$C1771="",$D1771="",$B1771&lt;1300,$B1771&gt;1500,$C1771&lt;1,$C1771&gt;12,$D1771&lt;1,$D1771&gt;31),"نامعتبر",RIGHT("0000"&amp;$B1771,4)&amp;"/"&amp;RIGHT("00"&amp;$C1771,2)&amp;"/"&amp;RIGHT("00"&amp;$D1771,2)))</f>
        <v/>
      </c>
      <c r="F1771">
        <f>IF(OR($E1771="",$E1771="نامعتبر"),"",LEFT($E1771,4)&amp;"/"&amp;MID($E1771,6,2))</f>
        <v/>
      </c>
      <c r="G1771">
        <f>IF(OR($E1771="",$E1771="نامعتبر",Sync!$X1767=""),"",IF(AND(LEFT(UPPER(TRIM(Sync!$X1767)),2)="SL",IFERROR(VLOOKUP(Sync!$W1767,OpTbl,3,0),"")="فروش"),UPPER(TRIM(Sync!$X1767)),""))</f>
        <v/>
      </c>
      <c r="H1771">
        <f>IF($G1771="","",IF(Sync!$W1767="","",Sync!$W1767))</f>
        <v/>
      </c>
      <c r="I1771">
        <f>IF(OR($G1771="",Sync!$Y1767=""),"",Sync!$Y1767)</f>
        <v/>
      </c>
      <c r="J1771">
        <f>IF(OR($G1771="",Sync!$Z1767=""),"",Sync!$Z1767)</f>
        <v/>
      </c>
      <c r="K1771">
        <f>IF($G1771="",0,IF(Sync!$AA1767="",0,Sync!$AA1767))</f>
        <v/>
      </c>
      <c r="L1771">
        <f>IF($G1771="",0,IF(Sync!$AB1767="",0,Sync!$AB1767))</f>
        <v/>
      </c>
      <c r="M1771">
        <f>IF($G1771="","",IF($H1771="مرجوعی فروش",-1,1)*($K1771-$L1771*IFERROR(VLOOKUP("P01",ParamTbl,3,0),1.5)))</f>
        <v/>
      </c>
      <c r="N1771">
        <f>IF($G1771="",0,IF($H1771="مرجوعی فروش",-1,1)*IF(Sync!$AC1767="",0,Sync!$AC1767))</f>
        <v/>
      </c>
      <c r="O1771">
        <f>IF(OR($G1771="",Sync!$V1767=""),"",Sync!$V1767)</f>
        <v/>
      </c>
      <c r="P1771">
        <f>IF(OR($G1771="",Sync!$AD1767=""),"",Sync!$AD1767)</f>
        <v/>
      </c>
      <c r="Q1771">
        <f>IF($G1771="","",IF(Sync!$U1767="","0000",IF(AND(ISNUMBER(Sync!$U1767),Sync!$U1767&gt;=0,Sync!$U1767&lt;1),RIGHT("00"&amp;HOUR(Sync!$U1767),2)&amp;RIGHT("00"&amp;MINUTE(Sync!$U1767),2),IFERROR(RIGHT("00"&amp;VALUE(LEFT(Sync!$U1767,FIND(":",Sync!$U1767)-1)),2)&amp;RIGHT("00"&amp;VALUE(MID(Sync!$U1767,FIND(":",Sync!$U1767)+1,2)),2),"0000"))))</f>
        <v/>
      </c>
    </row>
    <row r="1772">
      <c r="A1772">
        <f>IF(Sync!$T1768="","",Sync!$T1768)</f>
        <v/>
      </c>
      <c r="B1772">
        <f>IF($A1772="","",IF(ISNUMBER($A1772),IF(AND($A1772&gt;=10000101,$A1772&lt;=99991231),INT($A1772/10000),""),IFERROR(VALUE(TRIM(LEFT($A1772,FIND("/",$A1772)-1))),"")))</f>
        <v/>
      </c>
      <c r="C1772">
        <f>IF(OR($A1772="",$B1772=""),"",IF(ISNUMBER($A1772),INT(MOD($A1772,10000)/100),IFERROR(VALUE(TRIM(LEFT(MID($A1772,FIND("/",$A1772)+1,20),FIND("/",MID($A1772,FIND("/",$A1772)+1,20))-1))),"")))</f>
        <v/>
      </c>
      <c r="D1772">
        <f>IF(OR($A1772="",$B1772=""),"",IF(ISNUMBER($A1772),MOD($A1772,100),IFERROR(VALUE(TRIM(MID(MID($A1772,FIND("/",$A1772)+1,20),FIND("/",MID($A1772,FIND("/",$A1772)+1,20))+1,20))),"")))</f>
        <v/>
      </c>
      <c r="E1772">
        <f>IF($A1772="","",IF(OR($B1772="",$C1772="",$D1772="",$B1772&lt;1300,$B1772&gt;1500,$C1772&lt;1,$C1772&gt;12,$D1772&lt;1,$D1772&gt;31),"نامعتبر",RIGHT("0000"&amp;$B1772,4)&amp;"/"&amp;RIGHT("00"&amp;$C1772,2)&amp;"/"&amp;RIGHT("00"&amp;$D1772,2)))</f>
        <v/>
      </c>
      <c r="F1772">
        <f>IF(OR($E1772="",$E1772="نامعتبر"),"",LEFT($E1772,4)&amp;"/"&amp;MID($E1772,6,2))</f>
        <v/>
      </c>
      <c r="G1772">
        <f>IF(OR($E1772="",$E1772="نامعتبر",Sync!$X1768=""),"",IF(AND(LEFT(UPPER(TRIM(Sync!$X1768)),2)="SL",IFERROR(VLOOKUP(Sync!$W1768,OpTbl,3,0),"")="فروش"),UPPER(TRIM(Sync!$X1768)),""))</f>
        <v/>
      </c>
      <c r="H1772">
        <f>IF($G1772="","",IF(Sync!$W1768="","",Sync!$W1768))</f>
        <v/>
      </c>
      <c r="I1772">
        <f>IF(OR($G1772="",Sync!$Y1768=""),"",Sync!$Y1768)</f>
        <v/>
      </c>
      <c r="J1772">
        <f>IF(OR($G1772="",Sync!$Z1768=""),"",Sync!$Z1768)</f>
        <v/>
      </c>
      <c r="K1772">
        <f>IF($G1772="",0,IF(Sync!$AA1768="",0,Sync!$AA1768))</f>
        <v/>
      </c>
      <c r="L1772">
        <f>IF($G1772="",0,IF(Sync!$AB1768="",0,Sync!$AB1768))</f>
        <v/>
      </c>
      <c r="M1772">
        <f>IF($G1772="","",IF($H1772="مرجوعی فروش",-1,1)*($K1772-$L1772*IFERROR(VLOOKUP("P01",ParamTbl,3,0),1.5)))</f>
        <v/>
      </c>
      <c r="N1772">
        <f>IF($G1772="",0,IF($H1772="مرجوعی فروش",-1,1)*IF(Sync!$AC1768="",0,Sync!$AC1768))</f>
        <v/>
      </c>
      <c r="O1772">
        <f>IF(OR($G1772="",Sync!$V1768=""),"",Sync!$V1768)</f>
        <v/>
      </c>
      <c r="P1772">
        <f>IF(OR($G1772="",Sync!$AD1768=""),"",Sync!$AD1768)</f>
        <v/>
      </c>
      <c r="Q1772">
        <f>IF($G1772="","",IF(Sync!$U1768="","0000",IF(AND(ISNUMBER(Sync!$U1768),Sync!$U1768&gt;=0,Sync!$U1768&lt;1),RIGHT("00"&amp;HOUR(Sync!$U1768),2)&amp;RIGHT("00"&amp;MINUTE(Sync!$U1768),2),IFERROR(RIGHT("00"&amp;VALUE(LEFT(Sync!$U1768,FIND(":",Sync!$U1768)-1)),2)&amp;RIGHT("00"&amp;VALUE(MID(Sync!$U1768,FIND(":",Sync!$U1768)+1,2)),2),"0000"))))</f>
        <v/>
      </c>
    </row>
    <row r="1773">
      <c r="A1773">
        <f>IF(Sync!$T1769="","",Sync!$T1769)</f>
        <v/>
      </c>
      <c r="B1773">
        <f>IF($A1773="","",IF(ISNUMBER($A1773),IF(AND($A1773&gt;=10000101,$A1773&lt;=99991231),INT($A1773/10000),""),IFERROR(VALUE(TRIM(LEFT($A1773,FIND("/",$A1773)-1))),"")))</f>
        <v/>
      </c>
      <c r="C1773">
        <f>IF(OR($A1773="",$B1773=""),"",IF(ISNUMBER($A1773),INT(MOD($A1773,10000)/100),IFERROR(VALUE(TRIM(LEFT(MID($A1773,FIND("/",$A1773)+1,20),FIND("/",MID($A1773,FIND("/",$A1773)+1,20))-1))),"")))</f>
        <v/>
      </c>
      <c r="D1773">
        <f>IF(OR($A1773="",$B1773=""),"",IF(ISNUMBER($A1773),MOD($A1773,100),IFERROR(VALUE(TRIM(MID(MID($A1773,FIND("/",$A1773)+1,20),FIND("/",MID($A1773,FIND("/",$A1773)+1,20))+1,20))),"")))</f>
        <v/>
      </c>
      <c r="E1773">
        <f>IF($A1773="","",IF(OR($B1773="",$C1773="",$D1773="",$B1773&lt;1300,$B1773&gt;1500,$C1773&lt;1,$C1773&gt;12,$D1773&lt;1,$D1773&gt;31),"نامعتبر",RIGHT("0000"&amp;$B1773,4)&amp;"/"&amp;RIGHT("00"&amp;$C1773,2)&amp;"/"&amp;RIGHT("00"&amp;$D1773,2)))</f>
        <v/>
      </c>
      <c r="F1773">
        <f>IF(OR($E1773="",$E1773="نامعتبر"),"",LEFT($E1773,4)&amp;"/"&amp;MID($E1773,6,2))</f>
        <v/>
      </c>
      <c r="G1773">
        <f>IF(OR($E1773="",$E1773="نامعتبر",Sync!$X1769=""),"",IF(AND(LEFT(UPPER(TRIM(Sync!$X1769)),2)="SL",IFERROR(VLOOKUP(Sync!$W1769,OpTbl,3,0),"")="فروش"),UPPER(TRIM(Sync!$X1769)),""))</f>
        <v/>
      </c>
      <c r="H1773">
        <f>IF($G1773="","",IF(Sync!$W1769="","",Sync!$W1769))</f>
        <v/>
      </c>
      <c r="I1773">
        <f>IF(OR($G1773="",Sync!$Y1769=""),"",Sync!$Y1769)</f>
        <v/>
      </c>
      <c r="J1773">
        <f>IF(OR($G1773="",Sync!$Z1769=""),"",Sync!$Z1769)</f>
        <v/>
      </c>
      <c r="K1773">
        <f>IF($G1773="",0,IF(Sync!$AA1769="",0,Sync!$AA1769))</f>
        <v/>
      </c>
      <c r="L1773">
        <f>IF($G1773="",0,IF(Sync!$AB1769="",0,Sync!$AB1769))</f>
        <v/>
      </c>
      <c r="M1773">
        <f>IF($G1773="","",IF($H1773="مرجوعی فروش",-1,1)*($K1773-$L1773*IFERROR(VLOOKUP("P01",ParamTbl,3,0),1.5)))</f>
        <v/>
      </c>
      <c r="N1773">
        <f>IF($G1773="",0,IF($H1773="مرجوعی فروش",-1,1)*IF(Sync!$AC1769="",0,Sync!$AC1769))</f>
        <v/>
      </c>
      <c r="O1773">
        <f>IF(OR($G1773="",Sync!$V1769=""),"",Sync!$V1769)</f>
        <v/>
      </c>
      <c r="P1773">
        <f>IF(OR($G1773="",Sync!$AD1769=""),"",Sync!$AD1769)</f>
        <v/>
      </c>
      <c r="Q1773">
        <f>IF($G1773="","",IF(Sync!$U1769="","0000",IF(AND(ISNUMBER(Sync!$U1769),Sync!$U1769&gt;=0,Sync!$U1769&lt;1),RIGHT("00"&amp;HOUR(Sync!$U1769),2)&amp;RIGHT("00"&amp;MINUTE(Sync!$U1769),2),IFERROR(RIGHT("00"&amp;VALUE(LEFT(Sync!$U1769,FIND(":",Sync!$U1769)-1)),2)&amp;RIGHT("00"&amp;VALUE(MID(Sync!$U1769,FIND(":",Sync!$U1769)+1,2)),2),"0000"))))</f>
        <v/>
      </c>
    </row>
    <row r="1774">
      <c r="A1774">
        <f>IF(Sync!$T1770="","",Sync!$T1770)</f>
        <v/>
      </c>
      <c r="B1774">
        <f>IF($A1774="","",IF(ISNUMBER($A1774),IF(AND($A1774&gt;=10000101,$A1774&lt;=99991231),INT($A1774/10000),""),IFERROR(VALUE(TRIM(LEFT($A1774,FIND("/",$A1774)-1))),"")))</f>
        <v/>
      </c>
      <c r="C1774">
        <f>IF(OR($A1774="",$B1774=""),"",IF(ISNUMBER($A1774),INT(MOD($A1774,10000)/100),IFERROR(VALUE(TRIM(LEFT(MID($A1774,FIND("/",$A1774)+1,20),FIND("/",MID($A1774,FIND("/",$A1774)+1,20))-1))),"")))</f>
        <v/>
      </c>
      <c r="D1774">
        <f>IF(OR($A1774="",$B1774=""),"",IF(ISNUMBER($A1774),MOD($A1774,100),IFERROR(VALUE(TRIM(MID(MID($A1774,FIND("/",$A1774)+1,20),FIND("/",MID($A1774,FIND("/",$A1774)+1,20))+1,20))),"")))</f>
        <v/>
      </c>
      <c r="E1774">
        <f>IF($A1774="","",IF(OR($B1774="",$C1774="",$D1774="",$B1774&lt;1300,$B1774&gt;1500,$C1774&lt;1,$C1774&gt;12,$D1774&lt;1,$D1774&gt;31),"نامعتبر",RIGHT("0000"&amp;$B1774,4)&amp;"/"&amp;RIGHT("00"&amp;$C1774,2)&amp;"/"&amp;RIGHT("00"&amp;$D1774,2)))</f>
        <v/>
      </c>
      <c r="F1774">
        <f>IF(OR($E1774="",$E1774="نامعتبر"),"",LEFT($E1774,4)&amp;"/"&amp;MID($E1774,6,2))</f>
        <v/>
      </c>
      <c r="G1774">
        <f>IF(OR($E1774="",$E1774="نامعتبر",Sync!$X1770=""),"",IF(AND(LEFT(UPPER(TRIM(Sync!$X1770)),2)="SL",IFERROR(VLOOKUP(Sync!$W1770,OpTbl,3,0),"")="فروش"),UPPER(TRIM(Sync!$X1770)),""))</f>
        <v/>
      </c>
      <c r="H1774">
        <f>IF($G1774="","",IF(Sync!$W1770="","",Sync!$W1770))</f>
        <v/>
      </c>
      <c r="I1774">
        <f>IF(OR($G1774="",Sync!$Y1770=""),"",Sync!$Y1770)</f>
        <v/>
      </c>
      <c r="J1774">
        <f>IF(OR($G1774="",Sync!$Z1770=""),"",Sync!$Z1770)</f>
        <v/>
      </c>
      <c r="K1774">
        <f>IF($G1774="",0,IF(Sync!$AA1770="",0,Sync!$AA1770))</f>
        <v/>
      </c>
      <c r="L1774">
        <f>IF($G1774="",0,IF(Sync!$AB1770="",0,Sync!$AB1770))</f>
        <v/>
      </c>
      <c r="M1774">
        <f>IF($G1774="","",IF($H1774="مرجوعی فروش",-1,1)*($K1774-$L1774*IFERROR(VLOOKUP("P01",ParamTbl,3,0),1.5)))</f>
        <v/>
      </c>
      <c r="N1774">
        <f>IF($G1774="",0,IF($H1774="مرجوعی فروش",-1,1)*IF(Sync!$AC1770="",0,Sync!$AC1770))</f>
        <v/>
      </c>
      <c r="O1774">
        <f>IF(OR($G1774="",Sync!$V1770=""),"",Sync!$V1770)</f>
        <v/>
      </c>
      <c r="P1774">
        <f>IF(OR($G1774="",Sync!$AD1770=""),"",Sync!$AD1770)</f>
        <v/>
      </c>
      <c r="Q1774">
        <f>IF($G1774="","",IF(Sync!$U1770="","0000",IF(AND(ISNUMBER(Sync!$U1770),Sync!$U1770&gt;=0,Sync!$U1770&lt;1),RIGHT("00"&amp;HOUR(Sync!$U1770),2)&amp;RIGHT("00"&amp;MINUTE(Sync!$U1770),2),IFERROR(RIGHT("00"&amp;VALUE(LEFT(Sync!$U1770,FIND(":",Sync!$U1770)-1)),2)&amp;RIGHT("00"&amp;VALUE(MID(Sync!$U1770,FIND(":",Sync!$U1770)+1,2)),2),"0000"))))</f>
        <v/>
      </c>
    </row>
    <row r="1775">
      <c r="A1775">
        <f>IF(Sync!$T1771="","",Sync!$T1771)</f>
        <v/>
      </c>
      <c r="B1775">
        <f>IF($A1775="","",IF(ISNUMBER($A1775),IF(AND($A1775&gt;=10000101,$A1775&lt;=99991231),INT($A1775/10000),""),IFERROR(VALUE(TRIM(LEFT($A1775,FIND("/",$A1775)-1))),"")))</f>
        <v/>
      </c>
      <c r="C1775">
        <f>IF(OR($A1775="",$B1775=""),"",IF(ISNUMBER($A1775),INT(MOD($A1775,10000)/100),IFERROR(VALUE(TRIM(LEFT(MID($A1775,FIND("/",$A1775)+1,20),FIND("/",MID($A1775,FIND("/",$A1775)+1,20))-1))),"")))</f>
        <v/>
      </c>
      <c r="D1775">
        <f>IF(OR($A1775="",$B1775=""),"",IF(ISNUMBER($A1775),MOD($A1775,100),IFERROR(VALUE(TRIM(MID(MID($A1775,FIND("/",$A1775)+1,20),FIND("/",MID($A1775,FIND("/",$A1775)+1,20))+1,20))),"")))</f>
        <v/>
      </c>
      <c r="E1775">
        <f>IF($A1775="","",IF(OR($B1775="",$C1775="",$D1775="",$B1775&lt;1300,$B1775&gt;1500,$C1775&lt;1,$C1775&gt;12,$D1775&lt;1,$D1775&gt;31),"نامعتبر",RIGHT("0000"&amp;$B1775,4)&amp;"/"&amp;RIGHT("00"&amp;$C1775,2)&amp;"/"&amp;RIGHT("00"&amp;$D1775,2)))</f>
        <v/>
      </c>
      <c r="F1775">
        <f>IF(OR($E1775="",$E1775="نامعتبر"),"",LEFT($E1775,4)&amp;"/"&amp;MID($E1775,6,2))</f>
        <v/>
      </c>
      <c r="G1775">
        <f>IF(OR($E1775="",$E1775="نامعتبر",Sync!$X1771=""),"",IF(AND(LEFT(UPPER(TRIM(Sync!$X1771)),2)="SL",IFERROR(VLOOKUP(Sync!$W1771,OpTbl,3,0),"")="فروش"),UPPER(TRIM(Sync!$X1771)),""))</f>
        <v/>
      </c>
      <c r="H1775">
        <f>IF($G1775="","",IF(Sync!$W1771="","",Sync!$W1771))</f>
        <v/>
      </c>
      <c r="I1775">
        <f>IF(OR($G1775="",Sync!$Y1771=""),"",Sync!$Y1771)</f>
        <v/>
      </c>
      <c r="J1775">
        <f>IF(OR($G1775="",Sync!$Z1771=""),"",Sync!$Z1771)</f>
        <v/>
      </c>
      <c r="K1775">
        <f>IF($G1775="",0,IF(Sync!$AA1771="",0,Sync!$AA1771))</f>
        <v/>
      </c>
      <c r="L1775">
        <f>IF($G1775="",0,IF(Sync!$AB1771="",0,Sync!$AB1771))</f>
        <v/>
      </c>
      <c r="M1775">
        <f>IF($G1775="","",IF($H1775="مرجوعی فروش",-1,1)*($K1775-$L1775*IFERROR(VLOOKUP("P01",ParamTbl,3,0),1.5)))</f>
        <v/>
      </c>
      <c r="N1775">
        <f>IF($G1775="",0,IF($H1775="مرجوعی فروش",-1,1)*IF(Sync!$AC1771="",0,Sync!$AC1771))</f>
        <v/>
      </c>
      <c r="O1775">
        <f>IF(OR($G1775="",Sync!$V1771=""),"",Sync!$V1771)</f>
        <v/>
      </c>
      <c r="P1775">
        <f>IF(OR($G1775="",Sync!$AD1771=""),"",Sync!$AD1771)</f>
        <v/>
      </c>
      <c r="Q1775">
        <f>IF($G1775="","",IF(Sync!$U1771="","0000",IF(AND(ISNUMBER(Sync!$U1771),Sync!$U1771&gt;=0,Sync!$U1771&lt;1),RIGHT("00"&amp;HOUR(Sync!$U1771),2)&amp;RIGHT("00"&amp;MINUTE(Sync!$U1771),2),IFERROR(RIGHT("00"&amp;VALUE(LEFT(Sync!$U1771,FIND(":",Sync!$U1771)-1)),2)&amp;RIGHT("00"&amp;VALUE(MID(Sync!$U1771,FIND(":",Sync!$U1771)+1,2)),2),"0000"))))</f>
        <v/>
      </c>
    </row>
    <row r="1776">
      <c r="A1776">
        <f>IF(Sync!$T1772="","",Sync!$T1772)</f>
        <v/>
      </c>
      <c r="B1776">
        <f>IF($A1776="","",IF(ISNUMBER($A1776),IF(AND($A1776&gt;=10000101,$A1776&lt;=99991231),INT($A1776/10000),""),IFERROR(VALUE(TRIM(LEFT($A1776,FIND("/",$A1776)-1))),"")))</f>
        <v/>
      </c>
      <c r="C1776">
        <f>IF(OR($A1776="",$B1776=""),"",IF(ISNUMBER($A1776),INT(MOD($A1776,10000)/100),IFERROR(VALUE(TRIM(LEFT(MID($A1776,FIND("/",$A1776)+1,20),FIND("/",MID($A1776,FIND("/",$A1776)+1,20))-1))),"")))</f>
        <v/>
      </c>
      <c r="D1776">
        <f>IF(OR($A1776="",$B1776=""),"",IF(ISNUMBER($A1776),MOD($A1776,100),IFERROR(VALUE(TRIM(MID(MID($A1776,FIND("/",$A1776)+1,20),FIND("/",MID($A1776,FIND("/",$A1776)+1,20))+1,20))),"")))</f>
        <v/>
      </c>
      <c r="E1776">
        <f>IF($A1776="","",IF(OR($B1776="",$C1776="",$D1776="",$B1776&lt;1300,$B1776&gt;1500,$C1776&lt;1,$C1776&gt;12,$D1776&lt;1,$D1776&gt;31),"نامعتبر",RIGHT("0000"&amp;$B1776,4)&amp;"/"&amp;RIGHT("00"&amp;$C1776,2)&amp;"/"&amp;RIGHT("00"&amp;$D1776,2)))</f>
        <v/>
      </c>
      <c r="F1776">
        <f>IF(OR($E1776="",$E1776="نامعتبر"),"",LEFT($E1776,4)&amp;"/"&amp;MID($E1776,6,2))</f>
        <v/>
      </c>
      <c r="G1776">
        <f>IF(OR($E1776="",$E1776="نامعتبر",Sync!$X1772=""),"",IF(AND(LEFT(UPPER(TRIM(Sync!$X1772)),2)="SL",IFERROR(VLOOKUP(Sync!$W1772,OpTbl,3,0),"")="فروش"),UPPER(TRIM(Sync!$X1772)),""))</f>
        <v/>
      </c>
      <c r="H1776">
        <f>IF($G1776="","",IF(Sync!$W1772="","",Sync!$W1772))</f>
        <v/>
      </c>
      <c r="I1776">
        <f>IF(OR($G1776="",Sync!$Y1772=""),"",Sync!$Y1772)</f>
        <v/>
      </c>
      <c r="J1776">
        <f>IF(OR($G1776="",Sync!$Z1772=""),"",Sync!$Z1772)</f>
        <v/>
      </c>
      <c r="K1776">
        <f>IF($G1776="",0,IF(Sync!$AA1772="",0,Sync!$AA1772))</f>
        <v/>
      </c>
      <c r="L1776">
        <f>IF($G1776="",0,IF(Sync!$AB1772="",0,Sync!$AB1772))</f>
        <v/>
      </c>
      <c r="M1776">
        <f>IF($G1776="","",IF($H1776="مرجوعی فروش",-1,1)*($K1776-$L1776*IFERROR(VLOOKUP("P01",ParamTbl,3,0),1.5)))</f>
        <v/>
      </c>
      <c r="N1776">
        <f>IF($G1776="",0,IF($H1776="مرجوعی فروش",-1,1)*IF(Sync!$AC1772="",0,Sync!$AC1772))</f>
        <v/>
      </c>
      <c r="O1776">
        <f>IF(OR($G1776="",Sync!$V1772=""),"",Sync!$V1772)</f>
        <v/>
      </c>
      <c r="P1776">
        <f>IF(OR($G1776="",Sync!$AD1772=""),"",Sync!$AD1772)</f>
        <v/>
      </c>
      <c r="Q1776">
        <f>IF($G1776="","",IF(Sync!$U1772="","0000",IF(AND(ISNUMBER(Sync!$U1772),Sync!$U1772&gt;=0,Sync!$U1772&lt;1),RIGHT("00"&amp;HOUR(Sync!$U1772),2)&amp;RIGHT("00"&amp;MINUTE(Sync!$U1772),2),IFERROR(RIGHT("00"&amp;VALUE(LEFT(Sync!$U1772,FIND(":",Sync!$U1772)-1)),2)&amp;RIGHT("00"&amp;VALUE(MID(Sync!$U1772,FIND(":",Sync!$U1772)+1,2)),2),"0000"))))</f>
        <v/>
      </c>
    </row>
    <row r="1777">
      <c r="A1777">
        <f>IF(Sync!$T1773="","",Sync!$T1773)</f>
        <v/>
      </c>
      <c r="B1777">
        <f>IF($A1777="","",IF(ISNUMBER($A1777),IF(AND($A1777&gt;=10000101,$A1777&lt;=99991231),INT($A1777/10000),""),IFERROR(VALUE(TRIM(LEFT($A1777,FIND("/",$A1777)-1))),"")))</f>
        <v/>
      </c>
      <c r="C1777">
        <f>IF(OR($A1777="",$B1777=""),"",IF(ISNUMBER($A1777),INT(MOD($A1777,10000)/100),IFERROR(VALUE(TRIM(LEFT(MID($A1777,FIND("/",$A1777)+1,20),FIND("/",MID($A1777,FIND("/",$A1777)+1,20))-1))),"")))</f>
        <v/>
      </c>
      <c r="D1777">
        <f>IF(OR($A1777="",$B1777=""),"",IF(ISNUMBER($A1777),MOD($A1777,100),IFERROR(VALUE(TRIM(MID(MID($A1777,FIND("/",$A1777)+1,20),FIND("/",MID($A1777,FIND("/",$A1777)+1,20))+1,20))),"")))</f>
        <v/>
      </c>
      <c r="E1777">
        <f>IF($A1777="","",IF(OR($B1777="",$C1777="",$D1777="",$B1777&lt;1300,$B1777&gt;1500,$C1777&lt;1,$C1777&gt;12,$D1777&lt;1,$D1777&gt;31),"نامعتبر",RIGHT("0000"&amp;$B1777,4)&amp;"/"&amp;RIGHT("00"&amp;$C1777,2)&amp;"/"&amp;RIGHT("00"&amp;$D1777,2)))</f>
        <v/>
      </c>
      <c r="F1777">
        <f>IF(OR($E1777="",$E1777="نامعتبر"),"",LEFT($E1777,4)&amp;"/"&amp;MID($E1777,6,2))</f>
        <v/>
      </c>
      <c r="G1777">
        <f>IF(OR($E1777="",$E1777="نامعتبر",Sync!$X1773=""),"",IF(AND(LEFT(UPPER(TRIM(Sync!$X1773)),2)="SL",IFERROR(VLOOKUP(Sync!$W1773,OpTbl,3,0),"")="فروش"),UPPER(TRIM(Sync!$X1773)),""))</f>
        <v/>
      </c>
      <c r="H1777">
        <f>IF($G1777="","",IF(Sync!$W1773="","",Sync!$W1773))</f>
        <v/>
      </c>
      <c r="I1777">
        <f>IF(OR($G1777="",Sync!$Y1773=""),"",Sync!$Y1773)</f>
        <v/>
      </c>
      <c r="J1777">
        <f>IF(OR($G1777="",Sync!$Z1773=""),"",Sync!$Z1773)</f>
        <v/>
      </c>
      <c r="K1777">
        <f>IF($G1777="",0,IF(Sync!$AA1773="",0,Sync!$AA1773))</f>
        <v/>
      </c>
      <c r="L1777">
        <f>IF($G1777="",0,IF(Sync!$AB1773="",0,Sync!$AB1773))</f>
        <v/>
      </c>
      <c r="M1777">
        <f>IF($G1777="","",IF($H1777="مرجوعی فروش",-1,1)*($K1777-$L1777*IFERROR(VLOOKUP("P01",ParamTbl,3,0),1.5)))</f>
        <v/>
      </c>
      <c r="N1777">
        <f>IF($G1777="",0,IF($H1777="مرجوعی فروش",-1,1)*IF(Sync!$AC1773="",0,Sync!$AC1773))</f>
        <v/>
      </c>
      <c r="O1777">
        <f>IF(OR($G1777="",Sync!$V1773=""),"",Sync!$V1773)</f>
        <v/>
      </c>
      <c r="P1777">
        <f>IF(OR($G1777="",Sync!$AD1773=""),"",Sync!$AD1773)</f>
        <v/>
      </c>
      <c r="Q1777">
        <f>IF($G1777="","",IF(Sync!$U1773="","0000",IF(AND(ISNUMBER(Sync!$U1773),Sync!$U1773&gt;=0,Sync!$U1773&lt;1),RIGHT("00"&amp;HOUR(Sync!$U1773),2)&amp;RIGHT("00"&amp;MINUTE(Sync!$U1773),2),IFERROR(RIGHT("00"&amp;VALUE(LEFT(Sync!$U1773,FIND(":",Sync!$U1773)-1)),2)&amp;RIGHT("00"&amp;VALUE(MID(Sync!$U1773,FIND(":",Sync!$U1773)+1,2)),2),"0000"))))</f>
        <v/>
      </c>
    </row>
    <row r="1778">
      <c r="A1778">
        <f>IF(Sync!$T1774="","",Sync!$T1774)</f>
        <v/>
      </c>
      <c r="B1778">
        <f>IF($A1778="","",IF(ISNUMBER($A1778),IF(AND($A1778&gt;=10000101,$A1778&lt;=99991231),INT($A1778/10000),""),IFERROR(VALUE(TRIM(LEFT($A1778,FIND("/",$A1778)-1))),"")))</f>
        <v/>
      </c>
      <c r="C1778">
        <f>IF(OR($A1778="",$B1778=""),"",IF(ISNUMBER($A1778),INT(MOD($A1778,10000)/100),IFERROR(VALUE(TRIM(LEFT(MID($A1778,FIND("/",$A1778)+1,20),FIND("/",MID($A1778,FIND("/",$A1778)+1,20))-1))),"")))</f>
        <v/>
      </c>
      <c r="D1778">
        <f>IF(OR($A1778="",$B1778=""),"",IF(ISNUMBER($A1778),MOD($A1778,100),IFERROR(VALUE(TRIM(MID(MID($A1778,FIND("/",$A1778)+1,20),FIND("/",MID($A1778,FIND("/",$A1778)+1,20))+1,20))),"")))</f>
        <v/>
      </c>
      <c r="E1778">
        <f>IF($A1778="","",IF(OR($B1778="",$C1778="",$D1778="",$B1778&lt;1300,$B1778&gt;1500,$C1778&lt;1,$C1778&gt;12,$D1778&lt;1,$D1778&gt;31),"نامعتبر",RIGHT("0000"&amp;$B1778,4)&amp;"/"&amp;RIGHT("00"&amp;$C1778,2)&amp;"/"&amp;RIGHT("00"&amp;$D1778,2)))</f>
        <v/>
      </c>
      <c r="F1778">
        <f>IF(OR($E1778="",$E1778="نامعتبر"),"",LEFT($E1778,4)&amp;"/"&amp;MID($E1778,6,2))</f>
        <v/>
      </c>
      <c r="G1778">
        <f>IF(OR($E1778="",$E1778="نامعتبر",Sync!$X1774=""),"",IF(AND(LEFT(UPPER(TRIM(Sync!$X1774)),2)="SL",IFERROR(VLOOKUP(Sync!$W1774,OpTbl,3,0),"")="فروش"),UPPER(TRIM(Sync!$X1774)),""))</f>
        <v/>
      </c>
      <c r="H1778">
        <f>IF($G1778="","",IF(Sync!$W1774="","",Sync!$W1774))</f>
        <v/>
      </c>
      <c r="I1778">
        <f>IF(OR($G1778="",Sync!$Y1774=""),"",Sync!$Y1774)</f>
        <v/>
      </c>
      <c r="J1778">
        <f>IF(OR($G1778="",Sync!$Z1774=""),"",Sync!$Z1774)</f>
        <v/>
      </c>
      <c r="K1778">
        <f>IF($G1778="",0,IF(Sync!$AA1774="",0,Sync!$AA1774))</f>
        <v/>
      </c>
      <c r="L1778">
        <f>IF($G1778="",0,IF(Sync!$AB1774="",0,Sync!$AB1774))</f>
        <v/>
      </c>
      <c r="M1778">
        <f>IF($G1778="","",IF($H1778="مرجوعی فروش",-1,1)*($K1778-$L1778*IFERROR(VLOOKUP("P01",ParamTbl,3,0),1.5)))</f>
        <v/>
      </c>
      <c r="N1778">
        <f>IF($G1778="",0,IF($H1778="مرجوعی فروش",-1,1)*IF(Sync!$AC1774="",0,Sync!$AC1774))</f>
        <v/>
      </c>
      <c r="O1778">
        <f>IF(OR($G1778="",Sync!$V1774=""),"",Sync!$V1774)</f>
        <v/>
      </c>
      <c r="P1778">
        <f>IF(OR($G1778="",Sync!$AD1774=""),"",Sync!$AD1774)</f>
        <v/>
      </c>
      <c r="Q1778">
        <f>IF($G1778="","",IF(Sync!$U1774="","0000",IF(AND(ISNUMBER(Sync!$U1774),Sync!$U1774&gt;=0,Sync!$U1774&lt;1),RIGHT("00"&amp;HOUR(Sync!$U1774),2)&amp;RIGHT("00"&amp;MINUTE(Sync!$U1774),2),IFERROR(RIGHT("00"&amp;VALUE(LEFT(Sync!$U1774,FIND(":",Sync!$U1774)-1)),2)&amp;RIGHT("00"&amp;VALUE(MID(Sync!$U1774,FIND(":",Sync!$U1774)+1,2)),2),"0000"))))</f>
        <v/>
      </c>
    </row>
    <row r="1779">
      <c r="A1779">
        <f>IF(Sync!$T1775="","",Sync!$T1775)</f>
        <v/>
      </c>
      <c r="B1779">
        <f>IF($A1779="","",IF(ISNUMBER($A1779),IF(AND($A1779&gt;=10000101,$A1779&lt;=99991231),INT($A1779/10000),""),IFERROR(VALUE(TRIM(LEFT($A1779,FIND("/",$A1779)-1))),"")))</f>
        <v/>
      </c>
      <c r="C1779">
        <f>IF(OR($A1779="",$B1779=""),"",IF(ISNUMBER($A1779),INT(MOD($A1779,10000)/100),IFERROR(VALUE(TRIM(LEFT(MID($A1779,FIND("/",$A1779)+1,20),FIND("/",MID($A1779,FIND("/",$A1779)+1,20))-1))),"")))</f>
        <v/>
      </c>
      <c r="D1779">
        <f>IF(OR($A1779="",$B1779=""),"",IF(ISNUMBER($A1779),MOD($A1779,100),IFERROR(VALUE(TRIM(MID(MID($A1779,FIND("/",$A1779)+1,20),FIND("/",MID($A1779,FIND("/",$A1779)+1,20))+1,20))),"")))</f>
        <v/>
      </c>
      <c r="E1779">
        <f>IF($A1779="","",IF(OR($B1779="",$C1779="",$D1779="",$B1779&lt;1300,$B1779&gt;1500,$C1779&lt;1,$C1779&gt;12,$D1779&lt;1,$D1779&gt;31),"نامعتبر",RIGHT("0000"&amp;$B1779,4)&amp;"/"&amp;RIGHT("00"&amp;$C1779,2)&amp;"/"&amp;RIGHT("00"&amp;$D1779,2)))</f>
        <v/>
      </c>
      <c r="F1779">
        <f>IF(OR($E1779="",$E1779="نامعتبر"),"",LEFT($E1779,4)&amp;"/"&amp;MID($E1779,6,2))</f>
        <v/>
      </c>
      <c r="G1779">
        <f>IF(OR($E1779="",$E1779="نامعتبر",Sync!$X1775=""),"",IF(AND(LEFT(UPPER(TRIM(Sync!$X1775)),2)="SL",IFERROR(VLOOKUP(Sync!$W1775,OpTbl,3,0),"")="فروش"),UPPER(TRIM(Sync!$X1775)),""))</f>
        <v/>
      </c>
      <c r="H1779">
        <f>IF($G1779="","",IF(Sync!$W1775="","",Sync!$W1775))</f>
        <v/>
      </c>
      <c r="I1779">
        <f>IF(OR($G1779="",Sync!$Y1775=""),"",Sync!$Y1775)</f>
        <v/>
      </c>
      <c r="J1779">
        <f>IF(OR($G1779="",Sync!$Z1775=""),"",Sync!$Z1775)</f>
        <v/>
      </c>
      <c r="K1779">
        <f>IF($G1779="",0,IF(Sync!$AA1775="",0,Sync!$AA1775))</f>
        <v/>
      </c>
      <c r="L1779">
        <f>IF($G1779="",0,IF(Sync!$AB1775="",0,Sync!$AB1775))</f>
        <v/>
      </c>
      <c r="M1779">
        <f>IF($G1779="","",IF($H1779="مرجوعی فروش",-1,1)*($K1779-$L1779*IFERROR(VLOOKUP("P01",ParamTbl,3,0),1.5)))</f>
        <v/>
      </c>
      <c r="N1779">
        <f>IF($G1779="",0,IF($H1779="مرجوعی فروش",-1,1)*IF(Sync!$AC1775="",0,Sync!$AC1775))</f>
        <v/>
      </c>
      <c r="O1779">
        <f>IF(OR($G1779="",Sync!$V1775=""),"",Sync!$V1775)</f>
        <v/>
      </c>
      <c r="P1779">
        <f>IF(OR($G1779="",Sync!$AD1775=""),"",Sync!$AD1775)</f>
        <v/>
      </c>
      <c r="Q1779">
        <f>IF($G1779="","",IF(Sync!$U1775="","0000",IF(AND(ISNUMBER(Sync!$U1775),Sync!$U1775&gt;=0,Sync!$U1775&lt;1),RIGHT("00"&amp;HOUR(Sync!$U1775),2)&amp;RIGHT("00"&amp;MINUTE(Sync!$U1775),2),IFERROR(RIGHT("00"&amp;VALUE(LEFT(Sync!$U1775,FIND(":",Sync!$U1775)-1)),2)&amp;RIGHT("00"&amp;VALUE(MID(Sync!$U1775,FIND(":",Sync!$U1775)+1,2)),2),"0000"))))</f>
        <v/>
      </c>
    </row>
    <row r="1780">
      <c r="A1780">
        <f>IF(Sync!$T1776="","",Sync!$T1776)</f>
        <v/>
      </c>
      <c r="B1780">
        <f>IF($A1780="","",IF(ISNUMBER($A1780),IF(AND($A1780&gt;=10000101,$A1780&lt;=99991231),INT($A1780/10000),""),IFERROR(VALUE(TRIM(LEFT($A1780,FIND("/",$A1780)-1))),"")))</f>
        <v/>
      </c>
      <c r="C1780">
        <f>IF(OR($A1780="",$B1780=""),"",IF(ISNUMBER($A1780),INT(MOD($A1780,10000)/100),IFERROR(VALUE(TRIM(LEFT(MID($A1780,FIND("/",$A1780)+1,20),FIND("/",MID($A1780,FIND("/",$A1780)+1,20))-1))),"")))</f>
        <v/>
      </c>
      <c r="D1780">
        <f>IF(OR($A1780="",$B1780=""),"",IF(ISNUMBER($A1780),MOD($A1780,100),IFERROR(VALUE(TRIM(MID(MID($A1780,FIND("/",$A1780)+1,20),FIND("/",MID($A1780,FIND("/",$A1780)+1,20))+1,20))),"")))</f>
        <v/>
      </c>
      <c r="E1780">
        <f>IF($A1780="","",IF(OR($B1780="",$C1780="",$D1780="",$B1780&lt;1300,$B1780&gt;1500,$C1780&lt;1,$C1780&gt;12,$D1780&lt;1,$D1780&gt;31),"نامعتبر",RIGHT("0000"&amp;$B1780,4)&amp;"/"&amp;RIGHT("00"&amp;$C1780,2)&amp;"/"&amp;RIGHT("00"&amp;$D1780,2)))</f>
        <v/>
      </c>
      <c r="F1780">
        <f>IF(OR($E1780="",$E1780="نامعتبر"),"",LEFT($E1780,4)&amp;"/"&amp;MID($E1780,6,2))</f>
        <v/>
      </c>
      <c r="G1780">
        <f>IF(OR($E1780="",$E1780="نامعتبر",Sync!$X1776=""),"",IF(AND(LEFT(UPPER(TRIM(Sync!$X1776)),2)="SL",IFERROR(VLOOKUP(Sync!$W1776,OpTbl,3,0),"")="فروش"),UPPER(TRIM(Sync!$X1776)),""))</f>
        <v/>
      </c>
      <c r="H1780">
        <f>IF($G1780="","",IF(Sync!$W1776="","",Sync!$W1776))</f>
        <v/>
      </c>
      <c r="I1780">
        <f>IF(OR($G1780="",Sync!$Y1776=""),"",Sync!$Y1776)</f>
        <v/>
      </c>
      <c r="J1780">
        <f>IF(OR($G1780="",Sync!$Z1776=""),"",Sync!$Z1776)</f>
        <v/>
      </c>
      <c r="K1780">
        <f>IF($G1780="",0,IF(Sync!$AA1776="",0,Sync!$AA1776))</f>
        <v/>
      </c>
      <c r="L1780">
        <f>IF($G1780="",0,IF(Sync!$AB1776="",0,Sync!$AB1776))</f>
        <v/>
      </c>
      <c r="M1780">
        <f>IF($G1780="","",IF($H1780="مرجوعی فروش",-1,1)*($K1780-$L1780*IFERROR(VLOOKUP("P01",ParamTbl,3,0),1.5)))</f>
        <v/>
      </c>
      <c r="N1780">
        <f>IF($G1780="",0,IF($H1780="مرجوعی فروش",-1,1)*IF(Sync!$AC1776="",0,Sync!$AC1776))</f>
        <v/>
      </c>
      <c r="O1780">
        <f>IF(OR($G1780="",Sync!$V1776=""),"",Sync!$V1776)</f>
        <v/>
      </c>
      <c r="P1780">
        <f>IF(OR($G1780="",Sync!$AD1776=""),"",Sync!$AD1776)</f>
        <v/>
      </c>
      <c r="Q1780">
        <f>IF($G1780="","",IF(Sync!$U1776="","0000",IF(AND(ISNUMBER(Sync!$U1776),Sync!$U1776&gt;=0,Sync!$U1776&lt;1),RIGHT("00"&amp;HOUR(Sync!$U1776),2)&amp;RIGHT("00"&amp;MINUTE(Sync!$U1776),2),IFERROR(RIGHT("00"&amp;VALUE(LEFT(Sync!$U1776,FIND(":",Sync!$U1776)-1)),2)&amp;RIGHT("00"&amp;VALUE(MID(Sync!$U1776,FIND(":",Sync!$U1776)+1,2)),2),"0000"))))</f>
        <v/>
      </c>
    </row>
    <row r="1781">
      <c r="A1781">
        <f>IF(Sync!$T1777="","",Sync!$T1777)</f>
        <v/>
      </c>
      <c r="B1781">
        <f>IF($A1781="","",IF(ISNUMBER($A1781),IF(AND($A1781&gt;=10000101,$A1781&lt;=99991231),INT($A1781/10000),""),IFERROR(VALUE(TRIM(LEFT($A1781,FIND("/",$A1781)-1))),"")))</f>
        <v/>
      </c>
      <c r="C1781">
        <f>IF(OR($A1781="",$B1781=""),"",IF(ISNUMBER($A1781),INT(MOD($A1781,10000)/100),IFERROR(VALUE(TRIM(LEFT(MID($A1781,FIND("/",$A1781)+1,20),FIND("/",MID($A1781,FIND("/",$A1781)+1,20))-1))),"")))</f>
        <v/>
      </c>
      <c r="D1781">
        <f>IF(OR($A1781="",$B1781=""),"",IF(ISNUMBER($A1781),MOD($A1781,100),IFERROR(VALUE(TRIM(MID(MID($A1781,FIND("/",$A1781)+1,20),FIND("/",MID($A1781,FIND("/",$A1781)+1,20))+1,20))),"")))</f>
        <v/>
      </c>
      <c r="E1781">
        <f>IF($A1781="","",IF(OR($B1781="",$C1781="",$D1781="",$B1781&lt;1300,$B1781&gt;1500,$C1781&lt;1,$C1781&gt;12,$D1781&lt;1,$D1781&gt;31),"نامعتبر",RIGHT("0000"&amp;$B1781,4)&amp;"/"&amp;RIGHT("00"&amp;$C1781,2)&amp;"/"&amp;RIGHT("00"&amp;$D1781,2)))</f>
        <v/>
      </c>
      <c r="F1781">
        <f>IF(OR($E1781="",$E1781="نامعتبر"),"",LEFT($E1781,4)&amp;"/"&amp;MID($E1781,6,2))</f>
        <v/>
      </c>
      <c r="G1781">
        <f>IF(OR($E1781="",$E1781="نامعتبر",Sync!$X1777=""),"",IF(AND(LEFT(UPPER(TRIM(Sync!$X1777)),2)="SL",IFERROR(VLOOKUP(Sync!$W1777,OpTbl,3,0),"")="فروش"),UPPER(TRIM(Sync!$X1777)),""))</f>
        <v/>
      </c>
      <c r="H1781">
        <f>IF($G1781="","",IF(Sync!$W1777="","",Sync!$W1777))</f>
        <v/>
      </c>
      <c r="I1781">
        <f>IF(OR($G1781="",Sync!$Y1777=""),"",Sync!$Y1777)</f>
        <v/>
      </c>
      <c r="J1781">
        <f>IF(OR($G1781="",Sync!$Z1777=""),"",Sync!$Z1777)</f>
        <v/>
      </c>
      <c r="K1781">
        <f>IF($G1781="",0,IF(Sync!$AA1777="",0,Sync!$AA1777))</f>
        <v/>
      </c>
      <c r="L1781">
        <f>IF($G1781="",0,IF(Sync!$AB1777="",0,Sync!$AB1777))</f>
        <v/>
      </c>
      <c r="M1781">
        <f>IF($G1781="","",IF($H1781="مرجوعی فروش",-1,1)*($K1781-$L1781*IFERROR(VLOOKUP("P01",ParamTbl,3,0),1.5)))</f>
        <v/>
      </c>
      <c r="N1781">
        <f>IF($G1781="",0,IF($H1781="مرجوعی فروش",-1,1)*IF(Sync!$AC1777="",0,Sync!$AC1777))</f>
        <v/>
      </c>
      <c r="O1781">
        <f>IF(OR($G1781="",Sync!$V1777=""),"",Sync!$V1777)</f>
        <v/>
      </c>
      <c r="P1781">
        <f>IF(OR($G1781="",Sync!$AD1777=""),"",Sync!$AD1777)</f>
        <v/>
      </c>
      <c r="Q1781">
        <f>IF($G1781="","",IF(Sync!$U1777="","0000",IF(AND(ISNUMBER(Sync!$U1777),Sync!$U1777&gt;=0,Sync!$U1777&lt;1),RIGHT("00"&amp;HOUR(Sync!$U1777),2)&amp;RIGHT("00"&amp;MINUTE(Sync!$U1777),2),IFERROR(RIGHT("00"&amp;VALUE(LEFT(Sync!$U1777,FIND(":",Sync!$U1777)-1)),2)&amp;RIGHT("00"&amp;VALUE(MID(Sync!$U1777,FIND(":",Sync!$U1777)+1,2)),2),"0000"))))</f>
        <v/>
      </c>
    </row>
    <row r="1782">
      <c r="A1782">
        <f>IF(Sync!$T1778="","",Sync!$T1778)</f>
        <v/>
      </c>
      <c r="B1782">
        <f>IF($A1782="","",IF(ISNUMBER($A1782),IF(AND($A1782&gt;=10000101,$A1782&lt;=99991231),INT($A1782/10000),""),IFERROR(VALUE(TRIM(LEFT($A1782,FIND("/",$A1782)-1))),"")))</f>
        <v/>
      </c>
      <c r="C1782">
        <f>IF(OR($A1782="",$B1782=""),"",IF(ISNUMBER($A1782),INT(MOD($A1782,10000)/100),IFERROR(VALUE(TRIM(LEFT(MID($A1782,FIND("/",$A1782)+1,20),FIND("/",MID($A1782,FIND("/",$A1782)+1,20))-1))),"")))</f>
        <v/>
      </c>
      <c r="D1782">
        <f>IF(OR($A1782="",$B1782=""),"",IF(ISNUMBER($A1782),MOD($A1782,100),IFERROR(VALUE(TRIM(MID(MID($A1782,FIND("/",$A1782)+1,20),FIND("/",MID($A1782,FIND("/",$A1782)+1,20))+1,20))),"")))</f>
        <v/>
      </c>
      <c r="E1782">
        <f>IF($A1782="","",IF(OR($B1782="",$C1782="",$D1782="",$B1782&lt;1300,$B1782&gt;1500,$C1782&lt;1,$C1782&gt;12,$D1782&lt;1,$D1782&gt;31),"نامعتبر",RIGHT("0000"&amp;$B1782,4)&amp;"/"&amp;RIGHT("00"&amp;$C1782,2)&amp;"/"&amp;RIGHT("00"&amp;$D1782,2)))</f>
        <v/>
      </c>
      <c r="F1782">
        <f>IF(OR($E1782="",$E1782="نامعتبر"),"",LEFT($E1782,4)&amp;"/"&amp;MID($E1782,6,2))</f>
        <v/>
      </c>
      <c r="G1782">
        <f>IF(OR($E1782="",$E1782="نامعتبر",Sync!$X1778=""),"",IF(AND(LEFT(UPPER(TRIM(Sync!$X1778)),2)="SL",IFERROR(VLOOKUP(Sync!$W1778,OpTbl,3,0),"")="فروش"),UPPER(TRIM(Sync!$X1778)),""))</f>
        <v/>
      </c>
      <c r="H1782">
        <f>IF($G1782="","",IF(Sync!$W1778="","",Sync!$W1778))</f>
        <v/>
      </c>
      <c r="I1782">
        <f>IF(OR($G1782="",Sync!$Y1778=""),"",Sync!$Y1778)</f>
        <v/>
      </c>
      <c r="J1782">
        <f>IF(OR($G1782="",Sync!$Z1778=""),"",Sync!$Z1778)</f>
        <v/>
      </c>
      <c r="K1782">
        <f>IF($G1782="",0,IF(Sync!$AA1778="",0,Sync!$AA1778))</f>
        <v/>
      </c>
      <c r="L1782">
        <f>IF($G1782="",0,IF(Sync!$AB1778="",0,Sync!$AB1778))</f>
        <v/>
      </c>
      <c r="M1782">
        <f>IF($G1782="","",IF($H1782="مرجوعی فروش",-1,1)*($K1782-$L1782*IFERROR(VLOOKUP("P01",ParamTbl,3,0),1.5)))</f>
        <v/>
      </c>
      <c r="N1782">
        <f>IF($G1782="",0,IF($H1782="مرجوعی فروش",-1,1)*IF(Sync!$AC1778="",0,Sync!$AC1778))</f>
        <v/>
      </c>
      <c r="O1782">
        <f>IF(OR($G1782="",Sync!$V1778=""),"",Sync!$V1778)</f>
        <v/>
      </c>
      <c r="P1782">
        <f>IF(OR($G1782="",Sync!$AD1778=""),"",Sync!$AD1778)</f>
        <v/>
      </c>
      <c r="Q1782">
        <f>IF($G1782="","",IF(Sync!$U1778="","0000",IF(AND(ISNUMBER(Sync!$U1778),Sync!$U1778&gt;=0,Sync!$U1778&lt;1),RIGHT("00"&amp;HOUR(Sync!$U1778),2)&amp;RIGHT("00"&amp;MINUTE(Sync!$U1778),2),IFERROR(RIGHT("00"&amp;VALUE(LEFT(Sync!$U1778,FIND(":",Sync!$U1778)-1)),2)&amp;RIGHT("00"&amp;VALUE(MID(Sync!$U1778,FIND(":",Sync!$U1778)+1,2)),2),"0000"))))</f>
        <v/>
      </c>
    </row>
    <row r="1783">
      <c r="A1783">
        <f>IF(Sync!$T1779="","",Sync!$T1779)</f>
        <v/>
      </c>
      <c r="B1783">
        <f>IF($A1783="","",IF(ISNUMBER($A1783),IF(AND($A1783&gt;=10000101,$A1783&lt;=99991231),INT($A1783/10000),""),IFERROR(VALUE(TRIM(LEFT($A1783,FIND("/",$A1783)-1))),"")))</f>
        <v/>
      </c>
      <c r="C1783">
        <f>IF(OR($A1783="",$B1783=""),"",IF(ISNUMBER($A1783),INT(MOD($A1783,10000)/100),IFERROR(VALUE(TRIM(LEFT(MID($A1783,FIND("/",$A1783)+1,20),FIND("/",MID($A1783,FIND("/",$A1783)+1,20))-1))),"")))</f>
        <v/>
      </c>
      <c r="D1783">
        <f>IF(OR($A1783="",$B1783=""),"",IF(ISNUMBER($A1783),MOD($A1783,100),IFERROR(VALUE(TRIM(MID(MID($A1783,FIND("/",$A1783)+1,20),FIND("/",MID($A1783,FIND("/",$A1783)+1,20))+1,20))),"")))</f>
        <v/>
      </c>
      <c r="E1783">
        <f>IF($A1783="","",IF(OR($B1783="",$C1783="",$D1783="",$B1783&lt;1300,$B1783&gt;1500,$C1783&lt;1,$C1783&gt;12,$D1783&lt;1,$D1783&gt;31),"نامعتبر",RIGHT("0000"&amp;$B1783,4)&amp;"/"&amp;RIGHT("00"&amp;$C1783,2)&amp;"/"&amp;RIGHT("00"&amp;$D1783,2)))</f>
        <v/>
      </c>
      <c r="F1783">
        <f>IF(OR($E1783="",$E1783="نامعتبر"),"",LEFT($E1783,4)&amp;"/"&amp;MID($E1783,6,2))</f>
        <v/>
      </c>
      <c r="G1783">
        <f>IF(OR($E1783="",$E1783="نامعتبر",Sync!$X1779=""),"",IF(AND(LEFT(UPPER(TRIM(Sync!$X1779)),2)="SL",IFERROR(VLOOKUP(Sync!$W1779,OpTbl,3,0),"")="فروش"),UPPER(TRIM(Sync!$X1779)),""))</f>
        <v/>
      </c>
      <c r="H1783">
        <f>IF($G1783="","",IF(Sync!$W1779="","",Sync!$W1779))</f>
        <v/>
      </c>
      <c r="I1783">
        <f>IF(OR($G1783="",Sync!$Y1779=""),"",Sync!$Y1779)</f>
        <v/>
      </c>
      <c r="J1783">
        <f>IF(OR($G1783="",Sync!$Z1779=""),"",Sync!$Z1779)</f>
        <v/>
      </c>
      <c r="K1783">
        <f>IF($G1783="",0,IF(Sync!$AA1779="",0,Sync!$AA1779))</f>
        <v/>
      </c>
      <c r="L1783">
        <f>IF($G1783="",0,IF(Sync!$AB1779="",0,Sync!$AB1779))</f>
        <v/>
      </c>
      <c r="M1783">
        <f>IF($G1783="","",IF($H1783="مرجوعی فروش",-1,1)*($K1783-$L1783*IFERROR(VLOOKUP("P01",ParamTbl,3,0),1.5)))</f>
        <v/>
      </c>
      <c r="N1783">
        <f>IF($G1783="",0,IF($H1783="مرجوعی فروش",-1,1)*IF(Sync!$AC1779="",0,Sync!$AC1779))</f>
        <v/>
      </c>
      <c r="O1783">
        <f>IF(OR($G1783="",Sync!$V1779=""),"",Sync!$V1779)</f>
        <v/>
      </c>
      <c r="P1783">
        <f>IF(OR($G1783="",Sync!$AD1779=""),"",Sync!$AD1779)</f>
        <v/>
      </c>
      <c r="Q1783">
        <f>IF($G1783="","",IF(Sync!$U1779="","0000",IF(AND(ISNUMBER(Sync!$U1779),Sync!$U1779&gt;=0,Sync!$U1779&lt;1),RIGHT("00"&amp;HOUR(Sync!$U1779),2)&amp;RIGHT("00"&amp;MINUTE(Sync!$U1779),2),IFERROR(RIGHT("00"&amp;VALUE(LEFT(Sync!$U1779,FIND(":",Sync!$U1779)-1)),2)&amp;RIGHT("00"&amp;VALUE(MID(Sync!$U1779,FIND(":",Sync!$U1779)+1,2)),2),"0000"))))</f>
        <v/>
      </c>
    </row>
    <row r="1784">
      <c r="A1784">
        <f>IF(Sync!$T1780="","",Sync!$T1780)</f>
        <v/>
      </c>
      <c r="B1784">
        <f>IF($A1784="","",IF(ISNUMBER($A1784),IF(AND($A1784&gt;=10000101,$A1784&lt;=99991231),INT($A1784/10000),""),IFERROR(VALUE(TRIM(LEFT($A1784,FIND("/",$A1784)-1))),"")))</f>
        <v/>
      </c>
      <c r="C1784">
        <f>IF(OR($A1784="",$B1784=""),"",IF(ISNUMBER($A1784),INT(MOD($A1784,10000)/100),IFERROR(VALUE(TRIM(LEFT(MID($A1784,FIND("/",$A1784)+1,20),FIND("/",MID($A1784,FIND("/",$A1784)+1,20))-1))),"")))</f>
        <v/>
      </c>
      <c r="D1784">
        <f>IF(OR($A1784="",$B1784=""),"",IF(ISNUMBER($A1784),MOD($A1784,100),IFERROR(VALUE(TRIM(MID(MID($A1784,FIND("/",$A1784)+1,20),FIND("/",MID($A1784,FIND("/",$A1784)+1,20))+1,20))),"")))</f>
        <v/>
      </c>
      <c r="E1784">
        <f>IF($A1784="","",IF(OR($B1784="",$C1784="",$D1784="",$B1784&lt;1300,$B1784&gt;1500,$C1784&lt;1,$C1784&gt;12,$D1784&lt;1,$D1784&gt;31),"نامعتبر",RIGHT("0000"&amp;$B1784,4)&amp;"/"&amp;RIGHT("00"&amp;$C1784,2)&amp;"/"&amp;RIGHT("00"&amp;$D1784,2)))</f>
        <v/>
      </c>
      <c r="F1784">
        <f>IF(OR($E1784="",$E1784="نامعتبر"),"",LEFT($E1784,4)&amp;"/"&amp;MID($E1784,6,2))</f>
        <v/>
      </c>
      <c r="G1784">
        <f>IF(OR($E1784="",$E1784="نامعتبر",Sync!$X1780=""),"",IF(AND(LEFT(UPPER(TRIM(Sync!$X1780)),2)="SL",IFERROR(VLOOKUP(Sync!$W1780,OpTbl,3,0),"")="فروش"),UPPER(TRIM(Sync!$X1780)),""))</f>
        <v/>
      </c>
      <c r="H1784">
        <f>IF($G1784="","",IF(Sync!$W1780="","",Sync!$W1780))</f>
        <v/>
      </c>
      <c r="I1784">
        <f>IF(OR($G1784="",Sync!$Y1780=""),"",Sync!$Y1780)</f>
        <v/>
      </c>
      <c r="J1784">
        <f>IF(OR($G1784="",Sync!$Z1780=""),"",Sync!$Z1780)</f>
        <v/>
      </c>
      <c r="K1784">
        <f>IF($G1784="",0,IF(Sync!$AA1780="",0,Sync!$AA1780))</f>
        <v/>
      </c>
      <c r="L1784">
        <f>IF($G1784="",0,IF(Sync!$AB1780="",0,Sync!$AB1780))</f>
        <v/>
      </c>
      <c r="M1784">
        <f>IF($G1784="","",IF($H1784="مرجوعی فروش",-1,1)*($K1784-$L1784*IFERROR(VLOOKUP("P01",ParamTbl,3,0),1.5)))</f>
        <v/>
      </c>
      <c r="N1784">
        <f>IF($G1784="",0,IF($H1784="مرجوعی فروش",-1,1)*IF(Sync!$AC1780="",0,Sync!$AC1780))</f>
        <v/>
      </c>
      <c r="O1784">
        <f>IF(OR($G1784="",Sync!$V1780=""),"",Sync!$V1780)</f>
        <v/>
      </c>
      <c r="P1784">
        <f>IF(OR($G1784="",Sync!$AD1780=""),"",Sync!$AD1780)</f>
        <v/>
      </c>
      <c r="Q1784">
        <f>IF($G1784="","",IF(Sync!$U1780="","0000",IF(AND(ISNUMBER(Sync!$U1780),Sync!$U1780&gt;=0,Sync!$U1780&lt;1),RIGHT("00"&amp;HOUR(Sync!$U1780),2)&amp;RIGHT("00"&amp;MINUTE(Sync!$U1780),2),IFERROR(RIGHT("00"&amp;VALUE(LEFT(Sync!$U1780,FIND(":",Sync!$U1780)-1)),2)&amp;RIGHT("00"&amp;VALUE(MID(Sync!$U1780,FIND(":",Sync!$U1780)+1,2)),2),"0000"))))</f>
        <v/>
      </c>
    </row>
    <row r="1785">
      <c r="A1785">
        <f>IF(Sync!$T1781="","",Sync!$T1781)</f>
        <v/>
      </c>
      <c r="B1785">
        <f>IF($A1785="","",IF(ISNUMBER($A1785),IF(AND($A1785&gt;=10000101,$A1785&lt;=99991231),INT($A1785/10000),""),IFERROR(VALUE(TRIM(LEFT($A1785,FIND("/",$A1785)-1))),"")))</f>
        <v/>
      </c>
      <c r="C1785">
        <f>IF(OR($A1785="",$B1785=""),"",IF(ISNUMBER($A1785),INT(MOD($A1785,10000)/100),IFERROR(VALUE(TRIM(LEFT(MID($A1785,FIND("/",$A1785)+1,20),FIND("/",MID($A1785,FIND("/",$A1785)+1,20))-1))),"")))</f>
        <v/>
      </c>
      <c r="D1785">
        <f>IF(OR($A1785="",$B1785=""),"",IF(ISNUMBER($A1785),MOD($A1785,100),IFERROR(VALUE(TRIM(MID(MID($A1785,FIND("/",$A1785)+1,20),FIND("/",MID($A1785,FIND("/",$A1785)+1,20))+1,20))),"")))</f>
        <v/>
      </c>
      <c r="E1785">
        <f>IF($A1785="","",IF(OR($B1785="",$C1785="",$D1785="",$B1785&lt;1300,$B1785&gt;1500,$C1785&lt;1,$C1785&gt;12,$D1785&lt;1,$D1785&gt;31),"نامعتبر",RIGHT("0000"&amp;$B1785,4)&amp;"/"&amp;RIGHT("00"&amp;$C1785,2)&amp;"/"&amp;RIGHT("00"&amp;$D1785,2)))</f>
        <v/>
      </c>
      <c r="F1785">
        <f>IF(OR($E1785="",$E1785="نامعتبر"),"",LEFT($E1785,4)&amp;"/"&amp;MID($E1785,6,2))</f>
        <v/>
      </c>
      <c r="G1785">
        <f>IF(OR($E1785="",$E1785="نامعتبر",Sync!$X1781=""),"",IF(AND(LEFT(UPPER(TRIM(Sync!$X1781)),2)="SL",IFERROR(VLOOKUP(Sync!$W1781,OpTbl,3,0),"")="فروش"),UPPER(TRIM(Sync!$X1781)),""))</f>
        <v/>
      </c>
      <c r="H1785">
        <f>IF($G1785="","",IF(Sync!$W1781="","",Sync!$W1781))</f>
        <v/>
      </c>
      <c r="I1785">
        <f>IF(OR($G1785="",Sync!$Y1781=""),"",Sync!$Y1781)</f>
        <v/>
      </c>
      <c r="J1785">
        <f>IF(OR($G1785="",Sync!$Z1781=""),"",Sync!$Z1781)</f>
        <v/>
      </c>
      <c r="K1785">
        <f>IF($G1785="",0,IF(Sync!$AA1781="",0,Sync!$AA1781))</f>
        <v/>
      </c>
      <c r="L1785">
        <f>IF($G1785="",0,IF(Sync!$AB1781="",0,Sync!$AB1781))</f>
        <v/>
      </c>
      <c r="M1785">
        <f>IF($G1785="","",IF($H1785="مرجوعی فروش",-1,1)*($K1785-$L1785*IFERROR(VLOOKUP("P01",ParamTbl,3,0),1.5)))</f>
        <v/>
      </c>
      <c r="N1785">
        <f>IF($G1785="",0,IF($H1785="مرجوعی فروش",-1,1)*IF(Sync!$AC1781="",0,Sync!$AC1781))</f>
        <v/>
      </c>
      <c r="O1785">
        <f>IF(OR($G1785="",Sync!$V1781=""),"",Sync!$V1781)</f>
        <v/>
      </c>
      <c r="P1785">
        <f>IF(OR($G1785="",Sync!$AD1781=""),"",Sync!$AD1781)</f>
        <v/>
      </c>
      <c r="Q1785">
        <f>IF($G1785="","",IF(Sync!$U1781="","0000",IF(AND(ISNUMBER(Sync!$U1781),Sync!$U1781&gt;=0,Sync!$U1781&lt;1),RIGHT("00"&amp;HOUR(Sync!$U1781),2)&amp;RIGHT("00"&amp;MINUTE(Sync!$U1781),2),IFERROR(RIGHT("00"&amp;VALUE(LEFT(Sync!$U1781,FIND(":",Sync!$U1781)-1)),2)&amp;RIGHT("00"&amp;VALUE(MID(Sync!$U1781,FIND(":",Sync!$U1781)+1,2)),2),"0000"))))</f>
        <v/>
      </c>
    </row>
    <row r="1786">
      <c r="A1786">
        <f>IF(Sync!$T1782="","",Sync!$T1782)</f>
        <v/>
      </c>
      <c r="B1786">
        <f>IF($A1786="","",IF(ISNUMBER($A1786),IF(AND($A1786&gt;=10000101,$A1786&lt;=99991231),INT($A1786/10000),""),IFERROR(VALUE(TRIM(LEFT($A1786,FIND("/",$A1786)-1))),"")))</f>
        <v/>
      </c>
      <c r="C1786">
        <f>IF(OR($A1786="",$B1786=""),"",IF(ISNUMBER($A1786),INT(MOD($A1786,10000)/100),IFERROR(VALUE(TRIM(LEFT(MID($A1786,FIND("/",$A1786)+1,20),FIND("/",MID($A1786,FIND("/",$A1786)+1,20))-1))),"")))</f>
        <v/>
      </c>
      <c r="D1786">
        <f>IF(OR($A1786="",$B1786=""),"",IF(ISNUMBER($A1786),MOD($A1786,100),IFERROR(VALUE(TRIM(MID(MID($A1786,FIND("/",$A1786)+1,20),FIND("/",MID($A1786,FIND("/",$A1786)+1,20))+1,20))),"")))</f>
        <v/>
      </c>
      <c r="E1786">
        <f>IF($A1786="","",IF(OR($B1786="",$C1786="",$D1786="",$B1786&lt;1300,$B1786&gt;1500,$C1786&lt;1,$C1786&gt;12,$D1786&lt;1,$D1786&gt;31),"نامعتبر",RIGHT("0000"&amp;$B1786,4)&amp;"/"&amp;RIGHT("00"&amp;$C1786,2)&amp;"/"&amp;RIGHT("00"&amp;$D1786,2)))</f>
        <v/>
      </c>
      <c r="F1786">
        <f>IF(OR($E1786="",$E1786="نامعتبر"),"",LEFT($E1786,4)&amp;"/"&amp;MID($E1786,6,2))</f>
        <v/>
      </c>
      <c r="G1786">
        <f>IF(OR($E1786="",$E1786="نامعتبر",Sync!$X1782=""),"",IF(AND(LEFT(UPPER(TRIM(Sync!$X1782)),2)="SL",IFERROR(VLOOKUP(Sync!$W1782,OpTbl,3,0),"")="فروش"),UPPER(TRIM(Sync!$X1782)),""))</f>
        <v/>
      </c>
      <c r="H1786">
        <f>IF($G1786="","",IF(Sync!$W1782="","",Sync!$W1782))</f>
        <v/>
      </c>
      <c r="I1786">
        <f>IF(OR($G1786="",Sync!$Y1782=""),"",Sync!$Y1782)</f>
        <v/>
      </c>
      <c r="J1786">
        <f>IF(OR($G1786="",Sync!$Z1782=""),"",Sync!$Z1782)</f>
        <v/>
      </c>
      <c r="K1786">
        <f>IF($G1786="",0,IF(Sync!$AA1782="",0,Sync!$AA1782))</f>
        <v/>
      </c>
      <c r="L1786">
        <f>IF($G1786="",0,IF(Sync!$AB1782="",0,Sync!$AB1782))</f>
        <v/>
      </c>
      <c r="M1786">
        <f>IF($G1786="","",IF($H1786="مرجوعی فروش",-1,1)*($K1786-$L1786*IFERROR(VLOOKUP("P01",ParamTbl,3,0),1.5)))</f>
        <v/>
      </c>
      <c r="N1786">
        <f>IF($G1786="",0,IF($H1786="مرجوعی فروش",-1,1)*IF(Sync!$AC1782="",0,Sync!$AC1782))</f>
        <v/>
      </c>
      <c r="O1786">
        <f>IF(OR($G1786="",Sync!$V1782=""),"",Sync!$V1782)</f>
        <v/>
      </c>
      <c r="P1786">
        <f>IF(OR($G1786="",Sync!$AD1782=""),"",Sync!$AD1782)</f>
        <v/>
      </c>
      <c r="Q1786">
        <f>IF($G1786="","",IF(Sync!$U1782="","0000",IF(AND(ISNUMBER(Sync!$U1782),Sync!$U1782&gt;=0,Sync!$U1782&lt;1),RIGHT("00"&amp;HOUR(Sync!$U1782),2)&amp;RIGHT("00"&amp;MINUTE(Sync!$U1782),2),IFERROR(RIGHT("00"&amp;VALUE(LEFT(Sync!$U1782,FIND(":",Sync!$U1782)-1)),2)&amp;RIGHT("00"&amp;VALUE(MID(Sync!$U1782,FIND(":",Sync!$U1782)+1,2)),2),"0000"))))</f>
        <v/>
      </c>
    </row>
    <row r="1787">
      <c r="A1787">
        <f>IF(Sync!$T1783="","",Sync!$T1783)</f>
        <v/>
      </c>
      <c r="B1787">
        <f>IF($A1787="","",IF(ISNUMBER($A1787),IF(AND($A1787&gt;=10000101,$A1787&lt;=99991231),INT($A1787/10000),""),IFERROR(VALUE(TRIM(LEFT($A1787,FIND("/",$A1787)-1))),"")))</f>
        <v/>
      </c>
      <c r="C1787">
        <f>IF(OR($A1787="",$B1787=""),"",IF(ISNUMBER($A1787),INT(MOD($A1787,10000)/100),IFERROR(VALUE(TRIM(LEFT(MID($A1787,FIND("/",$A1787)+1,20),FIND("/",MID($A1787,FIND("/",$A1787)+1,20))-1))),"")))</f>
        <v/>
      </c>
      <c r="D1787">
        <f>IF(OR($A1787="",$B1787=""),"",IF(ISNUMBER($A1787),MOD($A1787,100),IFERROR(VALUE(TRIM(MID(MID($A1787,FIND("/",$A1787)+1,20),FIND("/",MID($A1787,FIND("/",$A1787)+1,20))+1,20))),"")))</f>
        <v/>
      </c>
      <c r="E1787">
        <f>IF($A1787="","",IF(OR($B1787="",$C1787="",$D1787="",$B1787&lt;1300,$B1787&gt;1500,$C1787&lt;1,$C1787&gt;12,$D1787&lt;1,$D1787&gt;31),"نامعتبر",RIGHT("0000"&amp;$B1787,4)&amp;"/"&amp;RIGHT("00"&amp;$C1787,2)&amp;"/"&amp;RIGHT("00"&amp;$D1787,2)))</f>
        <v/>
      </c>
      <c r="F1787">
        <f>IF(OR($E1787="",$E1787="نامعتبر"),"",LEFT($E1787,4)&amp;"/"&amp;MID($E1787,6,2))</f>
        <v/>
      </c>
      <c r="G1787">
        <f>IF(OR($E1787="",$E1787="نامعتبر",Sync!$X1783=""),"",IF(AND(LEFT(UPPER(TRIM(Sync!$X1783)),2)="SL",IFERROR(VLOOKUP(Sync!$W1783,OpTbl,3,0),"")="فروش"),UPPER(TRIM(Sync!$X1783)),""))</f>
        <v/>
      </c>
      <c r="H1787">
        <f>IF($G1787="","",IF(Sync!$W1783="","",Sync!$W1783))</f>
        <v/>
      </c>
      <c r="I1787">
        <f>IF(OR($G1787="",Sync!$Y1783=""),"",Sync!$Y1783)</f>
        <v/>
      </c>
      <c r="J1787">
        <f>IF(OR($G1787="",Sync!$Z1783=""),"",Sync!$Z1783)</f>
        <v/>
      </c>
      <c r="K1787">
        <f>IF($G1787="",0,IF(Sync!$AA1783="",0,Sync!$AA1783))</f>
        <v/>
      </c>
      <c r="L1787">
        <f>IF($G1787="",0,IF(Sync!$AB1783="",0,Sync!$AB1783))</f>
        <v/>
      </c>
      <c r="M1787">
        <f>IF($G1787="","",IF($H1787="مرجوعی فروش",-1,1)*($K1787-$L1787*IFERROR(VLOOKUP("P01",ParamTbl,3,0),1.5)))</f>
        <v/>
      </c>
      <c r="N1787">
        <f>IF($G1787="",0,IF($H1787="مرجوعی فروش",-1,1)*IF(Sync!$AC1783="",0,Sync!$AC1783))</f>
        <v/>
      </c>
      <c r="O1787">
        <f>IF(OR($G1787="",Sync!$V1783=""),"",Sync!$V1783)</f>
        <v/>
      </c>
      <c r="P1787">
        <f>IF(OR($G1787="",Sync!$AD1783=""),"",Sync!$AD1783)</f>
        <v/>
      </c>
      <c r="Q1787">
        <f>IF($G1787="","",IF(Sync!$U1783="","0000",IF(AND(ISNUMBER(Sync!$U1783),Sync!$U1783&gt;=0,Sync!$U1783&lt;1),RIGHT("00"&amp;HOUR(Sync!$U1783),2)&amp;RIGHT("00"&amp;MINUTE(Sync!$U1783),2),IFERROR(RIGHT("00"&amp;VALUE(LEFT(Sync!$U1783,FIND(":",Sync!$U1783)-1)),2)&amp;RIGHT("00"&amp;VALUE(MID(Sync!$U1783,FIND(":",Sync!$U1783)+1,2)),2),"0000"))))</f>
        <v/>
      </c>
    </row>
    <row r="1788">
      <c r="A1788">
        <f>IF(Sync!$T1784="","",Sync!$T1784)</f>
        <v/>
      </c>
      <c r="B1788">
        <f>IF($A1788="","",IF(ISNUMBER($A1788),IF(AND($A1788&gt;=10000101,$A1788&lt;=99991231),INT($A1788/10000),""),IFERROR(VALUE(TRIM(LEFT($A1788,FIND("/",$A1788)-1))),"")))</f>
        <v/>
      </c>
      <c r="C1788">
        <f>IF(OR($A1788="",$B1788=""),"",IF(ISNUMBER($A1788),INT(MOD($A1788,10000)/100),IFERROR(VALUE(TRIM(LEFT(MID($A1788,FIND("/",$A1788)+1,20),FIND("/",MID($A1788,FIND("/",$A1788)+1,20))-1))),"")))</f>
        <v/>
      </c>
      <c r="D1788">
        <f>IF(OR($A1788="",$B1788=""),"",IF(ISNUMBER($A1788),MOD($A1788,100),IFERROR(VALUE(TRIM(MID(MID($A1788,FIND("/",$A1788)+1,20),FIND("/",MID($A1788,FIND("/",$A1788)+1,20))+1,20))),"")))</f>
        <v/>
      </c>
      <c r="E1788">
        <f>IF($A1788="","",IF(OR($B1788="",$C1788="",$D1788="",$B1788&lt;1300,$B1788&gt;1500,$C1788&lt;1,$C1788&gt;12,$D1788&lt;1,$D1788&gt;31),"نامعتبر",RIGHT("0000"&amp;$B1788,4)&amp;"/"&amp;RIGHT("00"&amp;$C1788,2)&amp;"/"&amp;RIGHT("00"&amp;$D1788,2)))</f>
        <v/>
      </c>
      <c r="F1788">
        <f>IF(OR($E1788="",$E1788="نامعتبر"),"",LEFT($E1788,4)&amp;"/"&amp;MID($E1788,6,2))</f>
        <v/>
      </c>
      <c r="G1788">
        <f>IF(OR($E1788="",$E1788="نامعتبر",Sync!$X1784=""),"",IF(AND(LEFT(UPPER(TRIM(Sync!$X1784)),2)="SL",IFERROR(VLOOKUP(Sync!$W1784,OpTbl,3,0),"")="فروش"),UPPER(TRIM(Sync!$X1784)),""))</f>
        <v/>
      </c>
      <c r="H1788">
        <f>IF($G1788="","",IF(Sync!$W1784="","",Sync!$W1784))</f>
        <v/>
      </c>
      <c r="I1788">
        <f>IF(OR($G1788="",Sync!$Y1784=""),"",Sync!$Y1784)</f>
        <v/>
      </c>
      <c r="J1788">
        <f>IF(OR($G1788="",Sync!$Z1784=""),"",Sync!$Z1784)</f>
        <v/>
      </c>
      <c r="K1788">
        <f>IF($G1788="",0,IF(Sync!$AA1784="",0,Sync!$AA1784))</f>
        <v/>
      </c>
      <c r="L1788">
        <f>IF($G1788="",0,IF(Sync!$AB1784="",0,Sync!$AB1784))</f>
        <v/>
      </c>
      <c r="M1788">
        <f>IF($G1788="","",IF($H1788="مرجوعی فروش",-1,1)*($K1788-$L1788*IFERROR(VLOOKUP("P01",ParamTbl,3,0),1.5)))</f>
        <v/>
      </c>
      <c r="N1788">
        <f>IF($G1788="",0,IF($H1788="مرجوعی فروش",-1,1)*IF(Sync!$AC1784="",0,Sync!$AC1784))</f>
        <v/>
      </c>
      <c r="O1788">
        <f>IF(OR($G1788="",Sync!$V1784=""),"",Sync!$V1784)</f>
        <v/>
      </c>
      <c r="P1788">
        <f>IF(OR($G1788="",Sync!$AD1784=""),"",Sync!$AD1784)</f>
        <v/>
      </c>
      <c r="Q1788">
        <f>IF($G1788="","",IF(Sync!$U1784="","0000",IF(AND(ISNUMBER(Sync!$U1784),Sync!$U1784&gt;=0,Sync!$U1784&lt;1),RIGHT("00"&amp;HOUR(Sync!$U1784),2)&amp;RIGHT("00"&amp;MINUTE(Sync!$U1784),2),IFERROR(RIGHT("00"&amp;VALUE(LEFT(Sync!$U1784,FIND(":",Sync!$U1784)-1)),2)&amp;RIGHT("00"&amp;VALUE(MID(Sync!$U1784,FIND(":",Sync!$U1784)+1,2)),2),"0000"))))</f>
        <v/>
      </c>
    </row>
    <row r="1789">
      <c r="A1789">
        <f>IF(Sync!$T1785="","",Sync!$T1785)</f>
        <v/>
      </c>
      <c r="B1789">
        <f>IF($A1789="","",IF(ISNUMBER($A1789),IF(AND($A1789&gt;=10000101,$A1789&lt;=99991231),INT($A1789/10000),""),IFERROR(VALUE(TRIM(LEFT($A1789,FIND("/",$A1789)-1))),"")))</f>
        <v/>
      </c>
      <c r="C1789">
        <f>IF(OR($A1789="",$B1789=""),"",IF(ISNUMBER($A1789),INT(MOD($A1789,10000)/100),IFERROR(VALUE(TRIM(LEFT(MID($A1789,FIND("/",$A1789)+1,20),FIND("/",MID($A1789,FIND("/",$A1789)+1,20))-1))),"")))</f>
        <v/>
      </c>
      <c r="D1789">
        <f>IF(OR($A1789="",$B1789=""),"",IF(ISNUMBER($A1789),MOD($A1789,100),IFERROR(VALUE(TRIM(MID(MID($A1789,FIND("/",$A1789)+1,20),FIND("/",MID($A1789,FIND("/",$A1789)+1,20))+1,20))),"")))</f>
        <v/>
      </c>
      <c r="E1789">
        <f>IF($A1789="","",IF(OR($B1789="",$C1789="",$D1789="",$B1789&lt;1300,$B1789&gt;1500,$C1789&lt;1,$C1789&gt;12,$D1789&lt;1,$D1789&gt;31),"نامعتبر",RIGHT("0000"&amp;$B1789,4)&amp;"/"&amp;RIGHT("00"&amp;$C1789,2)&amp;"/"&amp;RIGHT("00"&amp;$D1789,2)))</f>
        <v/>
      </c>
      <c r="F1789">
        <f>IF(OR($E1789="",$E1789="نامعتبر"),"",LEFT($E1789,4)&amp;"/"&amp;MID($E1789,6,2))</f>
        <v/>
      </c>
      <c r="G1789">
        <f>IF(OR($E1789="",$E1789="نامعتبر",Sync!$X1785=""),"",IF(AND(LEFT(UPPER(TRIM(Sync!$X1785)),2)="SL",IFERROR(VLOOKUP(Sync!$W1785,OpTbl,3,0),"")="فروش"),UPPER(TRIM(Sync!$X1785)),""))</f>
        <v/>
      </c>
      <c r="H1789">
        <f>IF($G1789="","",IF(Sync!$W1785="","",Sync!$W1785))</f>
        <v/>
      </c>
      <c r="I1789">
        <f>IF(OR($G1789="",Sync!$Y1785=""),"",Sync!$Y1785)</f>
        <v/>
      </c>
      <c r="J1789">
        <f>IF(OR($G1789="",Sync!$Z1785=""),"",Sync!$Z1785)</f>
        <v/>
      </c>
      <c r="K1789">
        <f>IF($G1789="",0,IF(Sync!$AA1785="",0,Sync!$AA1785))</f>
        <v/>
      </c>
      <c r="L1789">
        <f>IF($G1789="",0,IF(Sync!$AB1785="",0,Sync!$AB1785))</f>
        <v/>
      </c>
      <c r="M1789">
        <f>IF($G1789="","",IF($H1789="مرجوعی فروش",-1,1)*($K1789-$L1789*IFERROR(VLOOKUP("P01",ParamTbl,3,0),1.5)))</f>
        <v/>
      </c>
      <c r="N1789">
        <f>IF($G1789="",0,IF($H1789="مرجوعی فروش",-1,1)*IF(Sync!$AC1785="",0,Sync!$AC1785))</f>
        <v/>
      </c>
      <c r="O1789">
        <f>IF(OR($G1789="",Sync!$V1785=""),"",Sync!$V1785)</f>
        <v/>
      </c>
      <c r="P1789">
        <f>IF(OR($G1789="",Sync!$AD1785=""),"",Sync!$AD1785)</f>
        <v/>
      </c>
      <c r="Q1789">
        <f>IF($G1789="","",IF(Sync!$U1785="","0000",IF(AND(ISNUMBER(Sync!$U1785),Sync!$U1785&gt;=0,Sync!$U1785&lt;1),RIGHT("00"&amp;HOUR(Sync!$U1785),2)&amp;RIGHT("00"&amp;MINUTE(Sync!$U1785),2),IFERROR(RIGHT("00"&amp;VALUE(LEFT(Sync!$U1785,FIND(":",Sync!$U1785)-1)),2)&amp;RIGHT("00"&amp;VALUE(MID(Sync!$U1785,FIND(":",Sync!$U1785)+1,2)),2),"0000"))))</f>
        <v/>
      </c>
    </row>
    <row r="1790">
      <c r="A1790">
        <f>IF(Sync!$T1786="","",Sync!$T1786)</f>
        <v/>
      </c>
      <c r="B1790">
        <f>IF($A1790="","",IF(ISNUMBER($A1790),IF(AND($A1790&gt;=10000101,$A1790&lt;=99991231),INT($A1790/10000),""),IFERROR(VALUE(TRIM(LEFT($A1790,FIND("/",$A1790)-1))),"")))</f>
        <v/>
      </c>
      <c r="C1790">
        <f>IF(OR($A1790="",$B1790=""),"",IF(ISNUMBER($A1790),INT(MOD($A1790,10000)/100),IFERROR(VALUE(TRIM(LEFT(MID($A1790,FIND("/",$A1790)+1,20),FIND("/",MID($A1790,FIND("/",$A1790)+1,20))-1))),"")))</f>
        <v/>
      </c>
      <c r="D1790">
        <f>IF(OR($A1790="",$B1790=""),"",IF(ISNUMBER($A1790),MOD($A1790,100),IFERROR(VALUE(TRIM(MID(MID($A1790,FIND("/",$A1790)+1,20),FIND("/",MID($A1790,FIND("/",$A1790)+1,20))+1,20))),"")))</f>
        <v/>
      </c>
      <c r="E1790">
        <f>IF($A1790="","",IF(OR($B1790="",$C1790="",$D1790="",$B1790&lt;1300,$B1790&gt;1500,$C1790&lt;1,$C1790&gt;12,$D1790&lt;1,$D1790&gt;31),"نامعتبر",RIGHT("0000"&amp;$B1790,4)&amp;"/"&amp;RIGHT("00"&amp;$C1790,2)&amp;"/"&amp;RIGHT("00"&amp;$D1790,2)))</f>
        <v/>
      </c>
      <c r="F1790">
        <f>IF(OR($E1790="",$E1790="نامعتبر"),"",LEFT($E1790,4)&amp;"/"&amp;MID($E1790,6,2))</f>
        <v/>
      </c>
      <c r="G1790">
        <f>IF(OR($E1790="",$E1790="نامعتبر",Sync!$X1786=""),"",IF(AND(LEFT(UPPER(TRIM(Sync!$X1786)),2)="SL",IFERROR(VLOOKUP(Sync!$W1786,OpTbl,3,0),"")="فروش"),UPPER(TRIM(Sync!$X1786)),""))</f>
        <v/>
      </c>
      <c r="H1790">
        <f>IF($G1790="","",IF(Sync!$W1786="","",Sync!$W1786))</f>
        <v/>
      </c>
      <c r="I1790">
        <f>IF(OR($G1790="",Sync!$Y1786=""),"",Sync!$Y1786)</f>
        <v/>
      </c>
      <c r="J1790">
        <f>IF(OR($G1790="",Sync!$Z1786=""),"",Sync!$Z1786)</f>
        <v/>
      </c>
      <c r="K1790">
        <f>IF($G1790="",0,IF(Sync!$AA1786="",0,Sync!$AA1786))</f>
        <v/>
      </c>
      <c r="L1790">
        <f>IF($G1790="",0,IF(Sync!$AB1786="",0,Sync!$AB1786))</f>
        <v/>
      </c>
      <c r="M1790">
        <f>IF($G1790="","",IF($H1790="مرجوعی فروش",-1,1)*($K1790-$L1790*IFERROR(VLOOKUP("P01",ParamTbl,3,0),1.5)))</f>
        <v/>
      </c>
      <c r="N1790">
        <f>IF($G1790="",0,IF($H1790="مرجوعی فروش",-1,1)*IF(Sync!$AC1786="",0,Sync!$AC1786))</f>
        <v/>
      </c>
      <c r="O1790">
        <f>IF(OR($G1790="",Sync!$V1786=""),"",Sync!$V1786)</f>
        <v/>
      </c>
      <c r="P1790">
        <f>IF(OR($G1790="",Sync!$AD1786=""),"",Sync!$AD1786)</f>
        <v/>
      </c>
      <c r="Q1790">
        <f>IF($G1790="","",IF(Sync!$U1786="","0000",IF(AND(ISNUMBER(Sync!$U1786),Sync!$U1786&gt;=0,Sync!$U1786&lt;1),RIGHT("00"&amp;HOUR(Sync!$U1786),2)&amp;RIGHT("00"&amp;MINUTE(Sync!$U1786),2),IFERROR(RIGHT("00"&amp;VALUE(LEFT(Sync!$U1786,FIND(":",Sync!$U1786)-1)),2)&amp;RIGHT("00"&amp;VALUE(MID(Sync!$U1786,FIND(":",Sync!$U1786)+1,2)),2),"0000"))))</f>
        <v/>
      </c>
    </row>
    <row r="1791">
      <c r="A1791">
        <f>IF(Sync!$T1787="","",Sync!$T1787)</f>
        <v/>
      </c>
      <c r="B1791">
        <f>IF($A1791="","",IF(ISNUMBER($A1791),IF(AND($A1791&gt;=10000101,$A1791&lt;=99991231),INT($A1791/10000),""),IFERROR(VALUE(TRIM(LEFT($A1791,FIND("/",$A1791)-1))),"")))</f>
        <v/>
      </c>
      <c r="C1791">
        <f>IF(OR($A1791="",$B1791=""),"",IF(ISNUMBER($A1791),INT(MOD($A1791,10000)/100),IFERROR(VALUE(TRIM(LEFT(MID($A1791,FIND("/",$A1791)+1,20),FIND("/",MID($A1791,FIND("/",$A1791)+1,20))-1))),"")))</f>
        <v/>
      </c>
      <c r="D1791">
        <f>IF(OR($A1791="",$B1791=""),"",IF(ISNUMBER($A1791),MOD($A1791,100),IFERROR(VALUE(TRIM(MID(MID($A1791,FIND("/",$A1791)+1,20),FIND("/",MID($A1791,FIND("/",$A1791)+1,20))+1,20))),"")))</f>
        <v/>
      </c>
      <c r="E1791">
        <f>IF($A1791="","",IF(OR($B1791="",$C1791="",$D1791="",$B1791&lt;1300,$B1791&gt;1500,$C1791&lt;1,$C1791&gt;12,$D1791&lt;1,$D1791&gt;31),"نامعتبر",RIGHT("0000"&amp;$B1791,4)&amp;"/"&amp;RIGHT("00"&amp;$C1791,2)&amp;"/"&amp;RIGHT("00"&amp;$D1791,2)))</f>
        <v/>
      </c>
      <c r="F1791">
        <f>IF(OR($E1791="",$E1791="نامعتبر"),"",LEFT($E1791,4)&amp;"/"&amp;MID($E1791,6,2))</f>
        <v/>
      </c>
      <c r="G1791">
        <f>IF(OR($E1791="",$E1791="نامعتبر",Sync!$X1787=""),"",IF(AND(LEFT(UPPER(TRIM(Sync!$X1787)),2)="SL",IFERROR(VLOOKUP(Sync!$W1787,OpTbl,3,0),"")="فروش"),UPPER(TRIM(Sync!$X1787)),""))</f>
        <v/>
      </c>
      <c r="H1791">
        <f>IF($G1791="","",IF(Sync!$W1787="","",Sync!$W1787))</f>
        <v/>
      </c>
      <c r="I1791">
        <f>IF(OR($G1791="",Sync!$Y1787=""),"",Sync!$Y1787)</f>
        <v/>
      </c>
      <c r="J1791">
        <f>IF(OR($G1791="",Sync!$Z1787=""),"",Sync!$Z1787)</f>
        <v/>
      </c>
      <c r="K1791">
        <f>IF($G1791="",0,IF(Sync!$AA1787="",0,Sync!$AA1787))</f>
        <v/>
      </c>
      <c r="L1791">
        <f>IF($G1791="",0,IF(Sync!$AB1787="",0,Sync!$AB1787))</f>
        <v/>
      </c>
      <c r="M1791">
        <f>IF($G1791="","",IF($H1791="مرجوعی فروش",-1,1)*($K1791-$L1791*IFERROR(VLOOKUP("P01",ParamTbl,3,0),1.5)))</f>
        <v/>
      </c>
      <c r="N1791">
        <f>IF($G1791="",0,IF($H1791="مرجوعی فروش",-1,1)*IF(Sync!$AC1787="",0,Sync!$AC1787))</f>
        <v/>
      </c>
      <c r="O1791">
        <f>IF(OR($G1791="",Sync!$V1787=""),"",Sync!$V1787)</f>
        <v/>
      </c>
      <c r="P1791">
        <f>IF(OR($G1791="",Sync!$AD1787=""),"",Sync!$AD1787)</f>
        <v/>
      </c>
      <c r="Q1791">
        <f>IF($G1791="","",IF(Sync!$U1787="","0000",IF(AND(ISNUMBER(Sync!$U1787),Sync!$U1787&gt;=0,Sync!$U1787&lt;1),RIGHT("00"&amp;HOUR(Sync!$U1787),2)&amp;RIGHT("00"&amp;MINUTE(Sync!$U1787),2),IFERROR(RIGHT("00"&amp;VALUE(LEFT(Sync!$U1787,FIND(":",Sync!$U1787)-1)),2)&amp;RIGHT("00"&amp;VALUE(MID(Sync!$U1787,FIND(":",Sync!$U1787)+1,2)),2),"0000"))))</f>
        <v/>
      </c>
    </row>
    <row r="1792">
      <c r="A1792">
        <f>IF(Sync!$T1788="","",Sync!$T1788)</f>
        <v/>
      </c>
      <c r="B1792">
        <f>IF($A1792="","",IF(ISNUMBER($A1792),IF(AND($A1792&gt;=10000101,$A1792&lt;=99991231),INT($A1792/10000),""),IFERROR(VALUE(TRIM(LEFT($A1792,FIND("/",$A1792)-1))),"")))</f>
        <v/>
      </c>
      <c r="C1792">
        <f>IF(OR($A1792="",$B1792=""),"",IF(ISNUMBER($A1792),INT(MOD($A1792,10000)/100),IFERROR(VALUE(TRIM(LEFT(MID($A1792,FIND("/",$A1792)+1,20),FIND("/",MID($A1792,FIND("/",$A1792)+1,20))-1))),"")))</f>
        <v/>
      </c>
      <c r="D1792">
        <f>IF(OR($A1792="",$B1792=""),"",IF(ISNUMBER($A1792),MOD($A1792,100),IFERROR(VALUE(TRIM(MID(MID($A1792,FIND("/",$A1792)+1,20),FIND("/",MID($A1792,FIND("/",$A1792)+1,20))+1,20))),"")))</f>
        <v/>
      </c>
      <c r="E1792">
        <f>IF($A1792="","",IF(OR($B1792="",$C1792="",$D1792="",$B1792&lt;1300,$B1792&gt;1500,$C1792&lt;1,$C1792&gt;12,$D1792&lt;1,$D1792&gt;31),"نامعتبر",RIGHT("0000"&amp;$B1792,4)&amp;"/"&amp;RIGHT("00"&amp;$C1792,2)&amp;"/"&amp;RIGHT("00"&amp;$D1792,2)))</f>
        <v/>
      </c>
      <c r="F1792">
        <f>IF(OR($E1792="",$E1792="نامعتبر"),"",LEFT($E1792,4)&amp;"/"&amp;MID($E1792,6,2))</f>
        <v/>
      </c>
      <c r="G1792">
        <f>IF(OR($E1792="",$E1792="نامعتبر",Sync!$X1788=""),"",IF(AND(LEFT(UPPER(TRIM(Sync!$X1788)),2)="SL",IFERROR(VLOOKUP(Sync!$W1788,OpTbl,3,0),"")="فروش"),UPPER(TRIM(Sync!$X1788)),""))</f>
        <v/>
      </c>
      <c r="H1792">
        <f>IF($G1792="","",IF(Sync!$W1788="","",Sync!$W1788))</f>
        <v/>
      </c>
      <c r="I1792">
        <f>IF(OR($G1792="",Sync!$Y1788=""),"",Sync!$Y1788)</f>
        <v/>
      </c>
      <c r="J1792">
        <f>IF(OR($G1792="",Sync!$Z1788=""),"",Sync!$Z1788)</f>
        <v/>
      </c>
      <c r="K1792">
        <f>IF($G1792="",0,IF(Sync!$AA1788="",0,Sync!$AA1788))</f>
        <v/>
      </c>
      <c r="L1792">
        <f>IF($G1792="",0,IF(Sync!$AB1788="",0,Sync!$AB1788))</f>
        <v/>
      </c>
      <c r="M1792">
        <f>IF($G1792="","",IF($H1792="مرجوعی فروش",-1,1)*($K1792-$L1792*IFERROR(VLOOKUP("P01",ParamTbl,3,0),1.5)))</f>
        <v/>
      </c>
      <c r="N1792">
        <f>IF($G1792="",0,IF($H1792="مرجوعی فروش",-1,1)*IF(Sync!$AC1788="",0,Sync!$AC1788))</f>
        <v/>
      </c>
      <c r="O1792">
        <f>IF(OR($G1792="",Sync!$V1788=""),"",Sync!$V1788)</f>
        <v/>
      </c>
      <c r="P1792">
        <f>IF(OR($G1792="",Sync!$AD1788=""),"",Sync!$AD1788)</f>
        <v/>
      </c>
      <c r="Q1792">
        <f>IF($G1792="","",IF(Sync!$U1788="","0000",IF(AND(ISNUMBER(Sync!$U1788),Sync!$U1788&gt;=0,Sync!$U1788&lt;1),RIGHT("00"&amp;HOUR(Sync!$U1788),2)&amp;RIGHT("00"&amp;MINUTE(Sync!$U1788),2),IFERROR(RIGHT("00"&amp;VALUE(LEFT(Sync!$U1788,FIND(":",Sync!$U1788)-1)),2)&amp;RIGHT("00"&amp;VALUE(MID(Sync!$U1788,FIND(":",Sync!$U1788)+1,2)),2),"0000"))))</f>
        <v/>
      </c>
    </row>
    <row r="1793">
      <c r="A1793">
        <f>IF(Sync!$T1789="","",Sync!$T1789)</f>
        <v/>
      </c>
      <c r="B1793">
        <f>IF($A1793="","",IF(ISNUMBER($A1793),IF(AND($A1793&gt;=10000101,$A1793&lt;=99991231),INT($A1793/10000),""),IFERROR(VALUE(TRIM(LEFT($A1793,FIND("/",$A1793)-1))),"")))</f>
        <v/>
      </c>
      <c r="C1793">
        <f>IF(OR($A1793="",$B1793=""),"",IF(ISNUMBER($A1793),INT(MOD($A1793,10000)/100),IFERROR(VALUE(TRIM(LEFT(MID($A1793,FIND("/",$A1793)+1,20),FIND("/",MID($A1793,FIND("/",$A1793)+1,20))-1))),"")))</f>
        <v/>
      </c>
      <c r="D1793">
        <f>IF(OR($A1793="",$B1793=""),"",IF(ISNUMBER($A1793),MOD($A1793,100),IFERROR(VALUE(TRIM(MID(MID($A1793,FIND("/",$A1793)+1,20),FIND("/",MID($A1793,FIND("/",$A1793)+1,20))+1,20))),"")))</f>
        <v/>
      </c>
      <c r="E1793">
        <f>IF($A1793="","",IF(OR($B1793="",$C1793="",$D1793="",$B1793&lt;1300,$B1793&gt;1500,$C1793&lt;1,$C1793&gt;12,$D1793&lt;1,$D1793&gt;31),"نامعتبر",RIGHT("0000"&amp;$B1793,4)&amp;"/"&amp;RIGHT("00"&amp;$C1793,2)&amp;"/"&amp;RIGHT("00"&amp;$D1793,2)))</f>
        <v/>
      </c>
      <c r="F1793">
        <f>IF(OR($E1793="",$E1793="نامعتبر"),"",LEFT($E1793,4)&amp;"/"&amp;MID($E1793,6,2))</f>
        <v/>
      </c>
      <c r="G1793">
        <f>IF(OR($E1793="",$E1793="نامعتبر",Sync!$X1789=""),"",IF(AND(LEFT(UPPER(TRIM(Sync!$X1789)),2)="SL",IFERROR(VLOOKUP(Sync!$W1789,OpTbl,3,0),"")="فروش"),UPPER(TRIM(Sync!$X1789)),""))</f>
        <v/>
      </c>
      <c r="H1793">
        <f>IF($G1793="","",IF(Sync!$W1789="","",Sync!$W1789))</f>
        <v/>
      </c>
      <c r="I1793">
        <f>IF(OR($G1793="",Sync!$Y1789=""),"",Sync!$Y1789)</f>
        <v/>
      </c>
      <c r="J1793">
        <f>IF(OR($G1793="",Sync!$Z1789=""),"",Sync!$Z1789)</f>
        <v/>
      </c>
      <c r="K1793">
        <f>IF($G1793="",0,IF(Sync!$AA1789="",0,Sync!$AA1789))</f>
        <v/>
      </c>
      <c r="L1793">
        <f>IF($G1793="",0,IF(Sync!$AB1789="",0,Sync!$AB1789))</f>
        <v/>
      </c>
      <c r="M1793">
        <f>IF($G1793="","",IF($H1793="مرجوعی فروش",-1,1)*($K1793-$L1793*IFERROR(VLOOKUP("P01",ParamTbl,3,0),1.5)))</f>
        <v/>
      </c>
      <c r="N1793">
        <f>IF($G1793="",0,IF($H1793="مرجوعی فروش",-1,1)*IF(Sync!$AC1789="",0,Sync!$AC1789))</f>
        <v/>
      </c>
      <c r="O1793">
        <f>IF(OR($G1793="",Sync!$V1789=""),"",Sync!$V1789)</f>
        <v/>
      </c>
      <c r="P1793">
        <f>IF(OR($G1793="",Sync!$AD1789=""),"",Sync!$AD1789)</f>
        <v/>
      </c>
      <c r="Q1793">
        <f>IF($G1793="","",IF(Sync!$U1789="","0000",IF(AND(ISNUMBER(Sync!$U1789),Sync!$U1789&gt;=0,Sync!$U1789&lt;1),RIGHT("00"&amp;HOUR(Sync!$U1789),2)&amp;RIGHT("00"&amp;MINUTE(Sync!$U1789),2),IFERROR(RIGHT("00"&amp;VALUE(LEFT(Sync!$U1789,FIND(":",Sync!$U1789)-1)),2)&amp;RIGHT("00"&amp;VALUE(MID(Sync!$U1789,FIND(":",Sync!$U1789)+1,2)),2),"0000"))))</f>
        <v/>
      </c>
    </row>
    <row r="1794">
      <c r="A1794">
        <f>IF(Sync!$T1790="","",Sync!$T1790)</f>
        <v/>
      </c>
      <c r="B1794">
        <f>IF($A1794="","",IF(ISNUMBER($A1794),IF(AND($A1794&gt;=10000101,$A1794&lt;=99991231),INT($A1794/10000),""),IFERROR(VALUE(TRIM(LEFT($A1794,FIND("/",$A1794)-1))),"")))</f>
        <v/>
      </c>
      <c r="C1794">
        <f>IF(OR($A1794="",$B1794=""),"",IF(ISNUMBER($A1794),INT(MOD($A1794,10000)/100),IFERROR(VALUE(TRIM(LEFT(MID($A1794,FIND("/",$A1794)+1,20),FIND("/",MID($A1794,FIND("/",$A1794)+1,20))-1))),"")))</f>
        <v/>
      </c>
      <c r="D1794">
        <f>IF(OR($A1794="",$B1794=""),"",IF(ISNUMBER($A1794),MOD($A1794,100),IFERROR(VALUE(TRIM(MID(MID($A1794,FIND("/",$A1794)+1,20),FIND("/",MID($A1794,FIND("/",$A1794)+1,20))+1,20))),"")))</f>
        <v/>
      </c>
      <c r="E1794">
        <f>IF($A1794="","",IF(OR($B1794="",$C1794="",$D1794="",$B1794&lt;1300,$B1794&gt;1500,$C1794&lt;1,$C1794&gt;12,$D1794&lt;1,$D1794&gt;31),"نامعتبر",RIGHT("0000"&amp;$B1794,4)&amp;"/"&amp;RIGHT("00"&amp;$C1794,2)&amp;"/"&amp;RIGHT("00"&amp;$D1794,2)))</f>
        <v/>
      </c>
      <c r="F1794">
        <f>IF(OR($E1794="",$E1794="نامعتبر"),"",LEFT($E1794,4)&amp;"/"&amp;MID($E1794,6,2))</f>
        <v/>
      </c>
      <c r="G1794">
        <f>IF(OR($E1794="",$E1794="نامعتبر",Sync!$X1790=""),"",IF(AND(LEFT(UPPER(TRIM(Sync!$X1790)),2)="SL",IFERROR(VLOOKUP(Sync!$W1790,OpTbl,3,0),"")="فروش"),UPPER(TRIM(Sync!$X1790)),""))</f>
        <v/>
      </c>
      <c r="H1794">
        <f>IF($G1794="","",IF(Sync!$W1790="","",Sync!$W1790))</f>
        <v/>
      </c>
      <c r="I1794">
        <f>IF(OR($G1794="",Sync!$Y1790=""),"",Sync!$Y1790)</f>
        <v/>
      </c>
      <c r="J1794">
        <f>IF(OR($G1794="",Sync!$Z1790=""),"",Sync!$Z1790)</f>
        <v/>
      </c>
      <c r="K1794">
        <f>IF($G1794="",0,IF(Sync!$AA1790="",0,Sync!$AA1790))</f>
        <v/>
      </c>
      <c r="L1794">
        <f>IF($G1794="",0,IF(Sync!$AB1790="",0,Sync!$AB1790))</f>
        <v/>
      </c>
      <c r="M1794">
        <f>IF($G1794="","",IF($H1794="مرجوعی فروش",-1,1)*($K1794-$L1794*IFERROR(VLOOKUP("P01",ParamTbl,3,0),1.5)))</f>
        <v/>
      </c>
      <c r="N1794">
        <f>IF($G1794="",0,IF($H1794="مرجوعی فروش",-1,1)*IF(Sync!$AC1790="",0,Sync!$AC1790))</f>
        <v/>
      </c>
      <c r="O1794">
        <f>IF(OR($G1794="",Sync!$V1790=""),"",Sync!$V1790)</f>
        <v/>
      </c>
      <c r="P1794">
        <f>IF(OR($G1794="",Sync!$AD1790=""),"",Sync!$AD1790)</f>
        <v/>
      </c>
      <c r="Q1794">
        <f>IF($G1794="","",IF(Sync!$U1790="","0000",IF(AND(ISNUMBER(Sync!$U1790),Sync!$U1790&gt;=0,Sync!$U1790&lt;1),RIGHT("00"&amp;HOUR(Sync!$U1790),2)&amp;RIGHT("00"&amp;MINUTE(Sync!$U1790),2),IFERROR(RIGHT("00"&amp;VALUE(LEFT(Sync!$U1790,FIND(":",Sync!$U1790)-1)),2)&amp;RIGHT("00"&amp;VALUE(MID(Sync!$U1790,FIND(":",Sync!$U1790)+1,2)),2),"0000"))))</f>
        <v/>
      </c>
    </row>
    <row r="1795">
      <c r="A1795">
        <f>IF(Sync!$T1791="","",Sync!$T1791)</f>
        <v/>
      </c>
      <c r="B1795">
        <f>IF($A1795="","",IF(ISNUMBER($A1795),IF(AND($A1795&gt;=10000101,$A1795&lt;=99991231),INT($A1795/10000),""),IFERROR(VALUE(TRIM(LEFT($A1795,FIND("/",$A1795)-1))),"")))</f>
        <v/>
      </c>
      <c r="C1795">
        <f>IF(OR($A1795="",$B1795=""),"",IF(ISNUMBER($A1795),INT(MOD($A1795,10000)/100),IFERROR(VALUE(TRIM(LEFT(MID($A1795,FIND("/",$A1795)+1,20),FIND("/",MID($A1795,FIND("/",$A1795)+1,20))-1))),"")))</f>
        <v/>
      </c>
      <c r="D1795">
        <f>IF(OR($A1795="",$B1795=""),"",IF(ISNUMBER($A1795),MOD($A1795,100),IFERROR(VALUE(TRIM(MID(MID($A1795,FIND("/",$A1795)+1,20),FIND("/",MID($A1795,FIND("/",$A1795)+1,20))+1,20))),"")))</f>
        <v/>
      </c>
      <c r="E1795">
        <f>IF($A1795="","",IF(OR($B1795="",$C1795="",$D1795="",$B1795&lt;1300,$B1795&gt;1500,$C1795&lt;1,$C1795&gt;12,$D1795&lt;1,$D1795&gt;31),"نامعتبر",RIGHT("0000"&amp;$B1795,4)&amp;"/"&amp;RIGHT("00"&amp;$C1795,2)&amp;"/"&amp;RIGHT("00"&amp;$D1795,2)))</f>
        <v/>
      </c>
      <c r="F1795">
        <f>IF(OR($E1795="",$E1795="نامعتبر"),"",LEFT($E1795,4)&amp;"/"&amp;MID($E1795,6,2))</f>
        <v/>
      </c>
      <c r="G1795">
        <f>IF(OR($E1795="",$E1795="نامعتبر",Sync!$X1791=""),"",IF(AND(LEFT(UPPER(TRIM(Sync!$X1791)),2)="SL",IFERROR(VLOOKUP(Sync!$W1791,OpTbl,3,0),"")="فروش"),UPPER(TRIM(Sync!$X1791)),""))</f>
        <v/>
      </c>
      <c r="H1795">
        <f>IF($G1795="","",IF(Sync!$W1791="","",Sync!$W1791))</f>
        <v/>
      </c>
      <c r="I1795">
        <f>IF(OR($G1795="",Sync!$Y1791=""),"",Sync!$Y1791)</f>
        <v/>
      </c>
      <c r="J1795">
        <f>IF(OR($G1795="",Sync!$Z1791=""),"",Sync!$Z1791)</f>
        <v/>
      </c>
      <c r="K1795">
        <f>IF($G1795="",0,IF(Sync!$AA1791="",0,Sync!$AA1791))</f>
        <v/>
      </c>
      <c r="L1795">
        <f>IF($G1795="",0,IF(Sync!$AB1791="",0,Sync!$AB1791))</f>
        <v/>
      </c>
      <c r="M1795">
        <f>IF($G1795="","",IF($H1795="مرجوعی فروش",-1,1)*($K1795-$L1795*IFERROR(VLOOKUP("P01",ParamTbl,3,0),1.5)))</f>
        <v/>
      </c>
      <c r="N1795">
        <f>IF($G1795="",0,IF($H1795="مرجوعی فروش",-1,1)*IF(Sync!$AC1791="",0,Sync!$AC1791))</f>
        <v/>
      </c>
      <c r="O1795">
        <f>IF(OR($G1795="",Sync!$V1791=""),"",Sync!$V1791)</f>
        <v/>
      </c>
      <c r="P1795">
        <f>IF(OR($G1795="",Sync!$AD1791=""),"",Sync!$AD1791)</f>
        <v/>
      </c>
      <c r="Q1795">
        <f>IF($G1795="","",IF(Sync!$U1791="","0000",IF(AND(ISNUMBER(Sync!$U1791),Sync!$U1791&gt;=0,Sync!$U1791&lt;1),RIGHT("00"&amp;HOUR(Sync!$U1791),2)&amp;RIGHT("00"&amp;MINUTE(Sync!$U1791),2),IFERROR(RIGHT("00"&amp;VALUE(LEFT(Sync!$U1791,FIND(":",Sync!$U1791)-1)),2)&amp;RIGHT("00"&amp;VALUE(MID(Sync!$U1791,FIND(":",Sync!$U1791)+1,2)),2),"0000"))))</f>
        <v/>
      </c>
    </row>
    <row r="1796">
      <c r="A1796">
        <f>IF(Sync!$T1792="","",Sync!$T1792)</f>
        <v/>
      </c>
      <c r="B1796">
        <f>IF($A1796="","",IF(ISNUMBER($A1796),IF(AND($A1796&gt;=10000101,$A1796&lt;=99991231),INT($A1796/10000),""),IFERROR(VALUE(TRIM(LEFT($A1796,FIND("/",$A1796)-1))),"")))</f>
        <v/>
      </c>
      <c r="C1796">
        <f>IF(OR($A1796="",$B1796=""),"",IF(ISNUMBER($A1796),INT(MOD($A1796,10000)/100),IFERROR(VALUE(TRIM(LEFT(MID($A1796,FIND("/",$A1796)+1,20),FIND("/",MID($A1796,FIND("/",$A1796)+1,20))-1))),"")))</f>
        <v/>
      </c>
      <c r="D1796">
        <f>IF(OR($A1796="",$B1796=""),"",IF(ISNUMBER($A1796),MOD($A1796,100),IFERROR(VALUE(TRIM(MID(MID($A1796,FIND("/",$A1796)+1,20),FIND("/",MID($A1796,FIND("/",$A1796)+1,20))+1,20))),"")))</f>
        <v/>
      </c>
      <c r="E1796">
        <f>IF($A1796="","",IF(OR($B1796="",$C1796="",$D1796="",$B1796&lt;1300,$B1796&gt;1500,$C1796&lt;1,$C1796&gt;12,$D1796&lt;1,$D1796&gt;31),"نامعتبر",RIGHT("0000"&amp;$B1796,4)&amp;"/"&amp;RIGHT("00"&amp;$C1796,2)&amp;"/"&amp;RIGHT("00"&amp;$D1796,2)))</f>
        <v/>
      </c>
      <c r="F1796">
        <f>IF(OR($E1796="",$E1796="نامعتبر"),"",LEFT($E1796,4)&amp;"/"&amp;MID($E1796,6,2))</f>
        <v/>
      </c>
      <c r="G1796">
        <f>IF(OR($E1796="",$E1796="نامعتبر",Sync!$X1792=""),"",IF(AND(LEFT(UPPER(TRIM(Sync!$X1792)),2)="SL",IFERROR(VLOOKUP(Sync!$W1792,OpTbl,3,0),"")="فروش"),UPPER(TRIM(Sync!$X1792)),""))</f>
        <v/>
      </c>
      <c r="H1796">
        <f>IF($G1796="","",IF(Sync!$W1792="","",Sync!$W1792))</f>
        <v/>
      </c>
      <c r="I1796">
        <f>IF(OR($G1796="",Sync!$Y1792=""),"",Sync!$Y1792)</f>
        <v/>
      </c>
      <c r="J1796">
        <f>IF(OR($G1796="",Sync!$Z1792=""),"",Sync!$Z1792)</f>
        <v/>
      </c>
      <c r="K1796">
        <f>IF($G1796="",0,IF(Sync!$AA1792="",0,Sync!$AA1792))</f>
        <v/>
      </c>
      <c r="L1796">
        <f>IF($G1796="",0,IF(Sync!$AB1792="",0,Sync!$AB1792))</f>
        <v/>
      </c>
      <c r="M1796">
        <f>IF($G1796="","",IF($H1796="مرجوعی فروش",-1,1)*($K1796-$L1796*IFERROR(VLOOKUP("P01",ParamTbl,3,0),1.5)))</f>
        <v/>
      </c>
      <c r="N1796">
        <f>IF($G1796="",0,IF($H1796="مرجوعی فروش",-1,1)*IF(Sync!$AC1792="",0,Sync!$AC1792))</f>
        <v/>
      </c>
      <c r="O1796">
        <f>IF(OR($G1796="",Sync!$V1792=""),"",Sync!$V1792)</f>
        <v/>
      </c>
      <c r="P1796">
        <f>IF(OR($G1796="",Sync!$AD1792=""),"",Sync!$AD1792)</f>
        <v/>
      </c>
      <c r="Q1796">
        <f>IF($G1796="","",IF(Sync!$U1792="","0000",IF(AND(ISNUMBER(Sync!$U1792),Sync!$U1792&gt;=0,Sync!$U1792&lt;1),RIGHT("00"&amp;HOUR(Sync!$U1792),2)&amp;RIGHT("00"&amp;MINUTE(Sync!$U1792),2),IFERROR(RIGHT("00"&amp;VALUE(LEFT(Sync!$U1792,FIND(":",Sync!$U1792)-1)),2)&amp;RIGHT("00"&amp;VALUE(MID(Sync!$U1792,FIND(":",Sync!$U1792)+1,2)),2),"0000"))))</f>
        <v/>
      </c>
    </row>
    <row r="1797">
      <c r="A1797">
        <f>IF(Sync!$T1793="","",Sync!$T1793)</f>
        <v/>
      </c>
      <c r="B1797">
        <f>IF($A1797="","",IF(ISNUMBER($A1797),IF(AND($A1797&gt;=10000101,$A1797&lt;=99991231),INT($A1797/10000),""),IFERROR(VALUE(TRIM(LEFT($A1797,FIND("/",$A1797)-1))),"")))</f>
        <v/>
      </c>
      <c r="C1797">
        <f>IF(OR($A1797="",$B1797=""),"",IF(ISNUMBER($A1797),INT(MOD($A1797,10000)/100),IFERROR(VALUE(TRIM(LEFT(MID($A1797,FIND("/",$A1797)+1,20),FIND("/",MID($A1797,FIND("/",$A1797)+1,20))-1))),"")))</f>
        <v/>
      </c>
      <c r="D1797">
        <f>IF(OR($A1797="",$B1797=""),"",IF(ISNUMBER($A1797),MOD($A1797,100),IFERROR(VALUE(TRIM(MID(MID($A1797,FIND("/",$A1797)+1,20),FIND("/",MID($A1797,FIND("/",$A1797)+1,20))+1,20))),"")))</f>
        <v/>
      </c>
      <c r="E1797">
        <f>IF($A1797="","",IF(OR($B1797="",$C1797="",$D1797="",$B1797&lt;1300,$B1797&gt;1500,$C1797&lt;1,$C1797&gt;12,$D1797&lt;1,$D1797&gt;31),"نامعتبر",RIGHT("0000"&amp;$B1797,4)&amp;"/"&amp;RIGHT("00"&amp;$C1797,2)&amp;"/"&amp;RIGHT("00"&amp;$D1797,2)))</f>
        <v/>
      </c>
      <c r="F1797">
        <f>IF(OR($E1797="",$E1797="نامعتبر"),"",LEFT($E1797,4)&amp;"/"&amp;MID($E1797,6,2))</f>
        <v/>
      </c>
      <c r="G1797">
        <f>IF(OR($E1797="",$E1797="نامعتبر",Sync!$X1793=""),"",IF(AND(LEFT(UPPER(TRIM(Sync!$X1793)),2)="SL",IFERROR(VLOOKUP(Sync!$W1793,OpTbl,3,0),"")="فروش"),UPPER(TRIM(Sync!$X1793)),""))</f>
        <v/>
      </c>
      <c r="H1797">
        <f>IF($G1797="","",IF(Sync!$W1793="","",Sync!$W1793))</f>
        <v/>
      </c>
      <c r="I1797">
        <f>IF(OR($G1797="",Sync!$Y1793=""),"",Sync!$Y1793)</f>
        <v/>
      </c>
      <c r="J1797">
        <f>IF(OR($G1797="",Sync!$Z1793=""),"",Sync!$Z1793)</f>
        <v/>
      </c>
      <c r="K1797">
        <f>IF($G1797="",0,IF(Sync!$AA1793="",0,Sync!$AA1793))</f>
        <v/>
      </c>
      <c r="L1797">
        <f>IF($G1797="",0,IF(Sync!$AB1793="",0,Sync!$AB1793))</f>
        <v/>
      </c>
      <c r="M1797">
        <f>IF($G1797="","",IF($H1797="مرجوعی فروش",-1,1)*($K1797-$L1797*IFERROR(VLOOKUP("P01",ParamTbl,3,0),1.5)))</f>
        <v/>
      </c>
      <c r="N1797">
        <f>IF($G1797="",0,IF($H1797="مرجوعی فروش",-1,1)*IF(Sync!$AC1793="",0,Sync!$AC1793))</f>
        <v/>
      </c>
      <c r="O1797">
        <f>IF(OR($G1797="",Sync!$V1793=""),"",Sync!$V1793)</f>
        <v/>
      </c>
      <c r="P1797">
        <f>IF(OR($G1797="",Sync!$AD1793=""),"",Sync!$AD1793)</f>
        <v/>
      </c>
      <c r="Q1797">
        <f>IF($G1797="","",IF(Sync!$U1793="","0000",IF(AND(ISNUMBER(Sync!$U1793),Sync!$U1793&gt;=0,Sync!$U1793&lt;1),RIGHT("00"&amp;HOUR(Sync!$U1793),2)&amp;RIGHT("00"&amp;MINUTE(Sync!$U1793),2),IFERROR(RIGHT("00"&amp;VALUE(LEFT(Sync!$U1793,FIND(":",Sync!$U1793)-1)),2)&amp;RIGHT("00"&amp;VALUE(MID(Sync!$U1793,FIND(":",Sync!$U1793)+1,2)),2),"0000"))))</f>
        <v/>
      </c>
    </row>
    <row r="1798">
      <c r="A1798">
        <f>IF(Sync!$T1794="","",Sync!$T1794)</f>
        <v/>
      </c>
      <c r="B1798">
        <f>IF($A1798="","",IF(ISNUMBER($A1798),IF(AND($A1798&gt;=10000101,$A1798&lt;=99991231),INT($A1798/10000),""),IFERROR(VALUE(TRIM(LEFT($A1798,FIND("/",$A1798)-1))),"")))</f>
        <v/>
      </c>
      <c r="C1798">
        <f>IF(OR($A1798="",$B1798=""),"",IF(ISNUMBER($A1798),INT(MOD($A1798,10000)/100),IFERROR(VALUE(TRIM(LEFT(MID($A1798,FIND("/",$A1798)+1,20),FIND("/",MID($A1798,FIND("/",$A1798)+1,20))-1))),"")))</f>
        <v/>
      </c>
      <c r="D1798">
        <f>IF(OR($A1798="",$B1798=""),"",IF(ISNUMBER($A1798),MOD($A1798,100),IFERROR(VALUE(TRIM(MID(MID($A1798,FIND("/",$A1798)+1,20),FIND("/",MID($A1798,FIND("/",$A1798)+1,20))+1,20))),"")))</f>
        <v/>
      </c>
      <c r="E1798">
        <f>IF($A1798="","",IF(OR($B1798="",$C1798="",$D1798="",$B1798&lt;1300,$B1798&gt;1500,$C1798&lt;1,$C1798&gt;12,$D1798&lt;1,$D1798&gt;31),"نامعتبر",RIGHT("0000"&amp;$B1798,4)&amp;"/"&amp;RIGHT("00"&amp;$C1798,2)&amp;"/"&amp;RIGHT("00"&amp;$D1798,2)))</f>
        <v/>
      </c>
      <c r="F1798">
        <f>IF(OR($E1798="",$E1798="نامعتبر"),"",LEFT($E1798,4)&amp;"/"&amp;MID($E1798,6,2))</f>
        <v/>
      </c>
      <c r="G1798">
        <f>IF(OR($E1798="",$E1798="نامعتبر",Sync!$X1794=""),"",IF(AND(LEFT(UPPER(TRIM(Sync!$X1794)),2)="SL",IFERROR(VLOOKUP(Sync!$W1794,OpTbl,3,0),"")="فروش"),UPPER(TRIM(Sync!$X1794)),""))</f>
        <v/>
      </c>
      <c r="H1798">
        <f>IF($G1798="","",IF(Sync!$W1794="","",Sync!$W1794))</f>
        <v/>
      </c>
      <c r="I1798">
        <f>IF(OR($G1798="",Sync!$Y1794=""),"",Sync!$Y1794)</f>
        <v/>
      </c>
      <c r="J1798">
        <f>IF(OR($G1798="",Sync!$Z1794=""),"",Sync!$Z1794)</f>
        <v/>
      </c>
      <c r="K1798">
        <f>IF($G1798="",0,IF(Sync!$AA1794="",0,Sync!$AA1794))</f>
        <v/>
      </c>
      <c r="L1798">
        <f>IF($G1798="",0,IF(Sync!$AB1794="",0,Sync!$AB1794))</f>
        <v/>
      </c>
      <c r="M1798">
        <f>IF($G1798="","",IF($H1798="مرجوعی فروش",-1,1)*($K1798-$L1798*IFERROR(VLOOKUP("P01",ParamTbl,3,0),1.5)))</f>
        <v/>
      </c>
      <c r="N1798">
        <f>IF($G1798="",0,IF($H1798="مرجوعی فروش",-1,1)*IF(Sync!$AC1794="",0,Sync!$AC1794))</f>
        <v/>
      </c>
      <c r="O1798">
        <f>IF(OR($G1798="",Sync!$V1794=""),"",Sync!$V1794)</f>
        <v/>
      </c>
      <c r="P1798">
        <f>IF(OR($G1798="",Sync!$AD1794=""),"",Sync!$AD1794)</f>
        <v/>
      </c>
      <c r="Q1798">
        <f>IF($G1798="","",IF(Sync!$U1794="","0000",IF(AND(ISNUMBER(Sync!$U1794),Sync!$U1794&gt;=0,Sync!$U1794&lt;1),RIGHT("00"&amp;HOUR(Sync!$U1794),2)&amp;RIGHT("00"&amp;MINUTE(Sync!$U1794),2),IFERROR(RIGHT("00"&amp;VALUE(LEFT(Sync!$U1794,FIND(":",Sync!$U1794)-1)),2)&amp;RIGHT("00"&amp;VALUE(MID(Sync!$U1794,FIND(":",Sync!$U1794)+1,2)),2),"0000"))))</f>
        <v/>
      </c>
    </row>
    <row r="1799">
      <c r="A1799">
        <f>IF(Sync!$T1795="","",Sync!$T1795)</f>
        <v/>
      </c>
      <c r="B1799">
        <f>IF($A1799="","",IF(ISNUMBER($A1799),IF(AND($A1799&gt;=10000101,$A1799&lt;=99991231),INT($A1799/10000),""),IFERROR(VALUE(TRIM(LEFT($A1799,FIND("/",$A1799)-1))),"")))</f>
        <v/>
      </c>
      <c r="C1799">
        <f>IF(OR($A1799="",$B1799=""),"",IF(ISNUMBER($A1799),INT(MOD($A1799,10000)/100),IFERROR(VALUE(TRIM(LEFT(MID($A1799,FIND("/",$A1799)+1,20),FIND("/",MID($A1799,FIND("/",$A1799)+1,20))-1))),"")))</f>
        <v/>
      </c>
      <c r="D1799">
        <f>IF(OR($A1799="",$B1799=""),"",IF(ISNUMBER($A1799),MOD($A1799,100),IFERROR(VALUE(TRIM(MID(MID($A1799,FIND("/",$A1799)+1,20),FIND("/",MID($A1799,FIND("/",$A1799)+1,20))+1,20))),"")))</f>
        <v/>
      </c>
      <c r="E1799">
        <f>IF($A1799="","",IF(OR($B1799="",$C1799="",$D1799="",$B1799&lt;1300,$B1799&gt;1500,$C1799&lt;1,$C1799&gt;12,$D1799&lt;1,$D1799&gt;31),"نامعتبر",RIGHT("0000"&amp;$B1799,4)&amp;"/"&amp;RIGHT("00"&amp;$C1799,2)&amp;"/"&amp;RIGHT("00"&amp;$D1799,2)))</f>
        <v/>
      </c>
      <c r="F1799">
        <f>IF(OR($E1799="",$E1799="نامعتبر"),"",LEFT($E1799,4)&amp;"/"&amp;MID($E1799,6,2))</f>
        <v/>
      </c>
      <c r="G1799">
        <f>IF(OR($E1799="",$E1799="نامعتبر",Sync!$X1795=""),"",IF(AND(LEFT(UPPER(TRIM(Sync!$X1795)),2)="SL",IFERROR(VLOOKUP(Sync!$W1795,OpTbl,3,0),"")="فروش"),UPPER(TRIM(Sync!$X1795)),""))</f>
        <v/>
      </c>
      <c r="H1799">
        <f>IF($G1799="","",IF(Sync!$W1795="","",Sync!$W1795))</f>
        <v/>
      </c>
      <c r="I1799">
        <f>IF(OR($G1799="",Sync!$Y1795=""),"",Sync!$Y1795)</f>
        <v/>
      </c>
      <c r="J1799">
        <f>IF(OR($G1799="",Sync!$Z1795=""),"",Sync!$Z1795)</f>
        <v/>
      </c>
      <c r="K1799">
        <f>IF($G1799="",0,IF(Sync!$AA1795="",0,Sync!$AA1795))</f>
        <v/>
      </c>
      <c r="L1799">
        <f>IF($G1799="",0,IF(Sync!$AB1795="",0,Sync!$AB1795))</f>
        <v/>
      </c>
      <c r="M1799">
        <f>IF($G1799="","",IF($H1799="مرجوعی فروش",-1,1)*($K1799-$L1799*IFERROR(VLOOKUP("P01",ParamTbl,3,0),1.5)))</f>
        <v/>
      </c>
      <c r="N1799">
        <f>IF($G1799="",0,IF($H1799="مرجوعی فروش",-1,1)*IF(Sync!$AC1795="",0,Sync!$AC1795))</f>
        <v/>
      </c>
      <c r="O1799">
        <f>IF(OR($G1799="",Sync!$V1795=""),"",Sync!$V1795)</f>
        <v/>
      </c>
      <c r="P1799">
        <f>IF(OR($G1799="",Sync!$AD1795=""),"",Sync!$AD1795)</f>
        <v/>
      </c>
      <c r="Q1799">
        <f>IF($G1799="","",IF(Sync!$U1795="","0000",IF(AND(ISNUMBER(Sync!$U1795),Sync!$U1795&gt;=0,Sync!$U1795&lt;1),RIGHT("00"&amp;HOUR(Sync!$U1795),2)&amp;RIGHT("00"&amp;MINUTE(Sync!$U1795),2),IFERROR(RIGHT("00"&amp;VALUE(LEFT(Sync!$U1795,FIND(":",Sync!$U1795)-1)),2)&amp;RIGHT("00"&amp;VALUE(MID(Sync!$U1795,FIND(":",Sync!$U1795)+1,2)),2),"0000"))))</f>
        <v/>
      </c>
    </row>
    <row r="1800">
      <c r="A1800">
        <f>IF(Sync!$T1796="","",Sync!$T1796)</f>
        <v/>
      </c>
      <c r="B1800">
        <f>IF($A1800="","",IF(ISNUMBER($A1800),IF(AND($A1800&gt;=10000101,$A1800&lt;=99991231),INT($A1800/10000),""),IFERROR(VALUE(TRIM(LEFT($A1800,FIND("/",$A1800)-1))),"")))</f>
        <v/>
      </c>
      <c r="C1800">
        <f>IF(OR($A1800="",$B1800=""),"",IF(ISNUMBER($A1800),INT(MOD($A1800,10000)/100),IFERROR(VALUE(TRIM(LEFT(MID($A1800,FIND("/",$A1800)+1,20),FIND("/",MID($A1800,FIND("/",$A1800)+1,20))-1))),"")))</f>
        <v/>
      </c>
      <c r="D1800">
        <f>IF(OR($A1800="",$B1800=""),"",IF(ISNUMBER($A1800),MOD($A1800,100),IFERROR(VALUE(TRIM(MID(MID($A1800,FIND("/",$A1800)+1,20),FIND("/",MID($A1800,FIND("/",$A1800)+1,20))+1,20))),"")))</f>
        <v/>
      </c>
      <c r="E1800">
        <f>IF($A1800="","",IF(OR($B1800="",$C1800="",$D1800="",$B1800&lt;1300,$B1800&gt;1500,$C1800&lt;1,$C1800&gt;12,$D1800&lt;1,$D1800&gt;31),"نامعتبر",RIGHT("0000"&amp;$B1800,4)&amp;"/"&amp;RIGHT("00"&amp;$C1800,2)&amp;"/"&amp;RIGHT("00"&amp;$D1800,2)))</f>
        <v/>
      </c>
      <c r="F1800">
        <f>IF(OR($E1800="",$E1800="نامعتبر"),"",LEFT($E1800,4)&amp;"/"&amp;MID($E1800,6,2))</f>
        <v/>
      </c>
      <c r="G1800">
        <f>IF(OR($E1800="",$E1800="نامعتبر",Sync!$X1796=""),"",IF(AND(LEFT(UPPER(TRIM(Sync!$X1796)),2)="SL",IFERROR(VLOOKUP(Sync!$W1796,OpTbl,3,0),"")="فروش"),UPPER(TRIM(Sync!$X1796)),""))</f>
        <v/>
      </c>
      <c r="H1800">
        <f>IF($G1800="","",IF(Sync!$W1796="","",Sync!$W1796))</f>
        <v/>
      </c>
      <c r="I1800">
        <f>IF(OR($G1800="",Sync!$Y1796=""),"",Sync!$Y1796)</f>
        <v/>
      </c>
      <c r="J1800">
        <f>IF(OR($G1800="",Sync!$Z1796=""),"",Sync!$Z1796)</f>
        <v/>
      </c>
      <c r="K1800">
        <f>IF($G1800="",0,IF(Sync!$AA1796="",0,Sync!$AA1796))</f>
        <v/>
      </c>
      <c r="L1800">
        <f>IF($G1800="",0,IF(Sync!$AB1796="",0,Sync!$AB1796))</f>
        <v/>
      </c>
      <c r="M1800">
        <f>IF($G1800="","",IF($H1800="مرجوعی فروش",-1,1)*($K1800-$L1800*IFERROR(VLOOKUP("P01",ParamTbl,3,0),1.5)))</f>
        <v/>
      </c>
      <c r="N1800">
        <f>IF($G1800="",0,IF($H1800="مرجوعی فروش",-1,1)*IF(Sync!$AC1796="",0,Sync!$AC1796))</f>
        <v/>
      </c>
      <c r="O1800">
        <f>IF(OR($G1800="",Sync!$V1796=""),"",Sync!$V1796)</f>
        <v/>
      </c>
      <c r="P1800">
        <f>IF(OR($G1800="",Sync!$AD1796=""),"",Sync!$AD1796)</f>
        <v/>
      </c>
      <c r="Q1800">
        <f>IF($G1800="","",IF(Sync!$U1796="","0000",IF(AND(ISNUMBER(Sync!$U1796),Sync!$U1796&gt;=0,Sync!$U1796&lt;1),RIGHT("00"&amp;HOUR(Sync!$U1796),2)&amp;RIGHT("00"&amp;MINUTE(Sync!$U1796),2),IFERROR(RIGHT("00"&amp;VALUE(LEFT(Sync!$U1796,FIND(":",Sync!$U1796)-1)),2)&amp;RIGHT("00"&amp;VALUE(MID(Sync!$U1796,FIND(":",Sync!$U1796)+1,2)),2),"0000"))))</f>
        <v/>
      </c>
    </row>
    <row r="1801">
      <c r="A1801">
        <f>IF(Sync!$T1797="","",Sync!$T1797)</f>
        <v/>
      </c>
      <c r="B1801">
        <f>IF($A1801="","",IF(ISNUMBER($A1801),IF(AND($A1801&gt;=10000101,$A1801&lt;=99991231),INT($A1801/10000),""),IFERROR(VALUE(TRIM(LEFT($A1801,FIND("/",$A1801)-1))),"")))</f>
        <v/>
      </c>
      <c r="C1801">
        <f>IF(OR($A1801="",$B1801=""),"",IF(ISNUMBER($A1801),INT(MOD($A1801,10000)/100),IFERROR(VALUE(TRIM(LEFT(MID($A1801,FIND("/",$A1801)+1,20),FIND("/",MID($A1801,FIND("/",$A1801)+1,20))-1))),"")))</f>
        <v/>
      </c>
      <c r="D1801">
        <f>IF(OR($A1801="",$B1801=""),"",IF(ISNUMBER($A1801),MOD($A1801,100),IFERROR(VALUE(TRIM(MID(MID($A1801,FIND("/",$A1801)+1,20),FIND("/",MID($A1801,FIND("/",$A1801)+1,20))+1,20))),"")))</f>
        <v/>
      </c>
      <c r="E1801">
        <f>IF($A1801="","",IF(OR($B1801="",$C1801="",$D1801="",$B1801&lt;1300,$B1801&gt;1500,$C1801&lt;1,$C1801&gt;12,$D1801&lt;1,$D1801&gt;31),"نامعتبر",RIGHT("0000"&amp;$B1801,4)&amp;"/"&amp;RIGHT("00"&amp;$C1801,2)&amp;"/"&amp;RIGHT("00"&amp;$D1801,2)))</f>
        <v/>
      </c>
      <c r="F1801">
        <f>IF(OR($E1801="",$E1801="نامعتبر"),"",LEFT($E1801,4)&amp;"/"&amp;MID($E1801,6,2))</f>
        <v/>
      </c>
      <c r="G1801">
        <f>IF(OR($E1801="",$E1801="نامعتبر",Sync!$X1797=""),"",IF(AND(LEFT(UPPER(TRIM(Sync!$X1797)),2)="SL",IFERROR(VLOOKUP(Sync!$W1797,OpTbl,3,0),"")="فروش"),UPPER(TRIM(Sync!$X1797)),""))</f>
        <v/>
      </c>
      <c r="H1801">
        <f>IF($G1801="","",IF(Sync!$W1797="","",Sync!$W1797))</f>
        <v/>
      </c>
      <c r="I1801">
        <f>IF(OR($G1801="",Sync!$Y1797=""),"",Sync!$Y1797)</f>
        <v/>
      </c>
      <c r="J1801">
        <f>IF(OR($G1801="",Sync!$Z1797=""),"",Sync!$Z1797)</f>
        <v/>
      </c>
      <c r="K1801">
        <f>IF($G1801="",0,IF(Sync!$AA1797="",0,Sync!$AA1797))</f>
        <v/>
      </c>
      <c r="L1801">
        <f>IF($G1801="",0,IF(Sync!$AB1797="",0,Sync!$AB1797))</f>
        <v/>
      </c>
      <c r="M1801">
        <f>IF($G1801="","",IF($H1801="مرجوعی فروش",-1,1)*($K1801-$L1801*IFERROR(VLOOKUP("P01",ParamTbl,3,0),1.5)))</f>
        <v/>
      </c>
      <c r="N1801">
        <f>IF($G1801="",0,IF($H1801="مرجوعی فروش",-1,1)*IF(Sync!$AC1797="",0,Sync!$AC1797))</f>
        <v/>
      </c>
      <c r="O1801">
        <f>IF(OR($G1801="",Sync!$V1797=""),"",Sync!$V1797)</f>
        <v/>
      </c>
      <c r="P1801">
        <f>IF(OR($G1801="",Sync!$AD1797=""),"",Sync!$AD1797)</f>
        <v/>
      </c>
      <c r="Q1801">
        <f>IF($G1801="","",IF(Sync!$U1797="","0000",IF(AND(ISNUMBER(Sync!$U1797),Sync!$U1797&gt;=0,Sync!$U1797&lt;1),RIGHT("00"&amp;HOUR(Sync!$U1797),2)&amp;RIGHT("00"&amp;MINUTE(Sync!$U1797),2),IFERROR(RIGHT("00"&amp;VALUE(LEFT(Sync!$U1797,FIND(":",Sync!$U1797)-1)),2)&amp;RIGHT("00"&amp;VALUE(MID(Sync!$U1797,FIND(":",Sync!$U1797)+1,2)),2),"0000"))))</f>
        <v/>
      </c>
    </row>
    <row r="1802">
      <c r="A1802">
        <f>IF(Sync!$T1798="","",Sync!$T1798)</f>
        <v/>
      </c>
      <c r="B1802">
        <f>IF($A1802="","",IF(ISNUMBER($A1802),IF(AND($A1802&gt;=10000101,$A1802&lt;=99991231),INT($A1802/10000),""),IFERROR(VALUE(TRIM(LEFT($A1802,FIND("/",$A1802)-1))),"")))</f>
        <v/>
      </c>
      <c r="C1802">
        <f>IF(OR($A1802="",$B1802=""),"",IF(ISNUMBER($A1802),INT(MOD($A1802,10000)/100),IFERROR(VALUE(TRIM(LEFT(MID($A1802,FIND("/",$A1802)+1,20),FIND("/",MID($A1802,FIND("/",$A1802)+1,20))-1))),"")))</f>
        <v/>
      </c>
      <c r="D1802">
        <f>IF(OR($A1802="",$B1802=""),"",IF(ISNUMBER($A1802),MOD($A1802,100),IFERROR(VALUE(TRIM(MID(MID($A1802,FIND("/",$A1802)+1,20),FIND("/",MID($A1802,FIND("/",$A1802)+1,20))+1,20))),"")))</f>
        <v/>
      </c>
      <c r="E1802">
        <f>IF($A1802="","",IF(OR($B1802="",$C1802="",$D1802="",$B1802&lt;1300,$B1802&gt;1500,$C1802&lt;1,$C1802&gt;12,$D1802&lt;1,$D1802&gt;31),"نامعتبر",RIGHT("0000"&amp;$B1802,4)&amp;"/"&amp;RIGHT("00"&amp;$C1802,2)&amp;"/"&amp;RIGHT("00"&amp;$D1802,2)))</f>
        <v/>
      </c>
      <c r="F1802">
        <f>IF(OR($E1802="",$E1802="نامعتبر"),"",LEFT($E1802,4)&amp;"/"&amp;MID($E1802,6,2))</f>
        <v/>
      </c>
      <c r="G1802">
        <f>IF(OR($E1802="",$E1802="نامعتبر",Sync!$X1798=""),"",IF(AND(LEFT(UPPER(TRIM(Sync!$X1798)),2)="SL",IFERROR(VLOOKUP(Sync!$W1798,OpTbl,3,0),"")="فروش"),UPPER(TRIM(Sync!$X1798)),""))</f>
        <v/>
      </c>
      <c r="H1802">
        <f>IF($G1802="","",IF(Sync!$W1798="","",Sync!$W1798))</f>
        <v/>
      </c>
      <c r="I1802">
        <f>IF(OR($G1802="",Sync!$Y1798=""),"",Sync!$Y1798)</f>
        <v/>
      </c>
      <c r="J1802">
        <f>IF(OR($G1802="",Sync!$Z1798=""),"",Sync!$Z1798)</f>
        <v/>
      </c>
      <c r="K1802">
        <f>IF($G1802="",0,IF(Sync!$AA1798="",0,Sync!$AA1798))</f>
        <v/>
      </c>
      <c r="L1802">
        <f>IF($G1802="",0,IF(Sync!$AB1798="",0,Sync!$AB1798))</f>
        <v/>
      </c>
      <c r="M1802">
        <f>IF($G1802="","",IF($H1802="مرجوعی فروش",-1,1)*($K1802-$L1802*IFERROR(VLOOKUP("P01",ParamTbl,3,0),1.5)))</f>
        <v/>
      </c>
      <c r="N1802">
        <f>IF($G1802="",0,IF($H1802="مرجوعی فروش",-1,1)*IF(Sync!$AC1798="",0,Sync!$AC1798))</f>
        <v/>
      </c>
      <c r="O1802">
        <f>IF(OR($G1802="",Sync!$V1798=""),"",Sync!$V1798)</f>
        <v/>
      </c>
      <c r="P1802">
        <f>IF(OR($G1802="",Sync!$AD1798=""),"",Sync!$AD1798)</f>
        <v/>
      </c>
      <c r="Q1802">
        <f>IF($G1802="","",IF(Sync!$U1798="","0000",IF(AND(ISNUMBER(Sync!$U1798),Sync!$U1798&gt;=0,Sync!$U1798&lt;1),RIGHT("00"&amp;HOUR(Sync!$U1798),2)&amp;RIGHT("00"&amp;MINUTE(Sync!$U1798),2),IFERROR(RIGHT("00"&amp;VALUE(LEFT(Sync!$U1798,FIND(":",Sync!$U1798)-1)),2)&amp;RIGHT("00"&amp;VALUE(MID(Sync!$U1798,FIND(":",Sync!$U1798)+1,2)),2),"0000"))))</f>
        <v/>
      </c>
    </row>
    <row r="1803">
      <c r="A1803">
        <f>IF(Sync!$T1799="","",Sync!$T1799)</f>
        <v/>
      </c>
      <c r="B1803">
        <f>IF($A1803="","",IF(ISNUMBER($A1803),IF(AND($A1803&gt;=10000101,$A1803&lt;=99991231),INT($A1803/10000),""),IFERROR(VALUE(TRIM(LEFT($A1803,FIND("/",$A1803)-1))),"")))</f>
        <v/>
      </c>
      <c r="C1803">
        <f>IF(OR($A1803="",$B1803=""),"",IF(ISNUMBER($A1803),INT(MOD($A1803,10000)/100),IFERROR(VALUE(TRIM(LEFT(MID($A1803,FIND("/",$A1803)+1,20),FIND("/",MID($A1803,FIND("/",$A1803)+1,20))-1))),"")))</f>
        <v/>
      </c>
      <c r="D1803">
        <f>IF(OR($A1803="",$B1803=""),"",IF(ISNUMBER($A1803),MOD($A1803,100),IFERROR(VALUE(TRIM(MID(MID($A1803,FIND("/",$A1803)+1,20),FIND("/",MID($A1803,FIND("/",$A1803)+1,20))+1,20))),"")))</f>
        <v/>
      </c>
      <c r="E1803">
        <f>IF($A1803="","",IF(OR($B1803="",$C1803="",$D1803="",$B1803&lt;1300,$B1803&gt;1500,$C1803&lt;1,$C1803&gt;12,$D1803&lt;1,$D1803&gt;31),"نامعتبر",RIGHT("0000"&amp;$B1803,4)&amp;"/"&amp;RIGHT("00"&amp;$C1803,2)&amp;"/"&amp;RIGHT("00"&amp;$D1803,2)))</f>
        <v/>
      </c>
      <c r="F1803">
        <f>IF(OR($E1803="",$E1803="نامعتبر"),"",LEFT($E1803,4)&amp;"/"&amp;MID($E1803,6,2))</f>
        <v/>
      </c>
      <c r="G1803">
        <f>IF(OR($E1803="",$E1803="نامعتبر",Sync!$X1799=""),"",IF(AND(LEFT(UPPER(TRIM(Sync!$X1799)),2)="SL",IFERROR(VLOOKUP(Sync!$W1799,OpTbl,3,0),"")="فروش"),UPPER(TRIM(Sync!$X1799)),""))</f>
        <v/>
      </c>
      <c r="H1803">
        <f>IF($G1803="","",IF(Sync!$W1799="","",Sync!$W1799))</f>
        <v/>
      </c>
      <c r="I1803">
        <f>IF(OR($G1803="",Sync!$Y1799=""),"",Sync!$Y1799)</f>
        <v/>
      </c>
      <c r="J1803">
        <f>IF(OR($G1803="",Sync!$Z1799=""),"",Sync!$Z1799)</f>
        <v/>
      </c>
      <c r="K1803">
        <f>IF($G1803="",0,IF(Sync!$AA1799="",0,Sync!$AA1799))</f>
        <v/>
      </c>
      <c r="L1803">
        <f>IF($G1803="",0,IF(Sync!$AB1799="",0,Sync!$AB1799))</f>
        <v/>
      </c>
      <c r="M1803">
        <f>IF($G1803="","",IF($H1803="مرجوعی فروش",-1,1)*($K1803-$L1803*IFERROR(VLOOKUP("P01",ParamTbl,3,0),1.5)))</f>
        <v/>
      </c>
      <c r="N1803">
        <f>IF($G1803="",0,IF($H1803="مرجوعی فروش",-1,1)*IF(Sync!$AC1799="",0,Sync!$AC1799))</f>
        <v/>
      </c>
      <c r="O1803">
        <f>IF(OR($G1803="",Sync!$V1799=""),"",Sync!$V1799)</f>
        <v/>
      </c>
      <c r="P1803">
        <f>IF(OR($G1803="",Sync!$AD1799=""),"",Sync!$AD1799)</f>
        <v/>
      </c>
      <c r="Q1803">
        <f>IF($G1803="","",IF(Sync!$U1799="","0000",IF(AND(ISNUMBER(Sync!$U1799),Sync!$U1799&gt;=0,Sync!$U1799&lt;1),RIGHT("00"&amp;HOUR(Sync!$U1799),2)&amp;RIGHT("00"&amp;MINUTE(Sync!$U1799),2),IFERROR(RIGHT("00"&amp;VALUE(LEFT(Sync!$U1799,FIND(":",Sync!$U1799)-1)),2)&amp;RIGHT("00"&amp;VALUE(MID(Sync!$U1799,FIND(":",Sync!$U1799)+1,2)),2),"0000"))))</f>
        <v/>
      </c>
    </row>
    <row r="1804">
      <c r="A1804">
        <f>IF(Sync!$T1800="","",Sync!$T1800)</f>
        <v/>
      </c>
      <c r="B1804">
        <f>IF($A1804="","",IF(ISNUMBER($A1804),IF(AND($A1804&gt;=10000101,$A1804&lt;=99991231),INT($A1804/10000),""),IFERROR(VALUE(TRIM(LEFT($A1804,FIND("/",$A1804)-1))),"")))</f>
        <v/>
      </c>
      <c r="C1804">
        <f>IF(OR($A1804="",$B1804=""),"",IF(ISNUMBER($A1804),INT(MOD($A1804,10000)/100),IFERROR(VALUE(TRIM(LEFT(MID($A1804,FIND("/",$A1804)+1,20),FIND("/",MID($A1804,FIND("/",$A1804)+1,20))-1))),"")))</f>
        <v/>
      </c>
      <c r="D1804">
        <f>IF(OR($A1804="",$B1804=""),"",IF(ISNUMBER($A1804),MOD($A1804,100),IFERROR(VALUE(TRIM(MID(MID($A1804,FIND("/",$A1804)+1,20),FIND("/",MID($A1804,FIND("/",$A1804)+1,20))+1,20))),"")))</f>
        <v/>
      </c>
      <c r="E1804">
        <f>IF($A1804="","",IF(OR($B1804="",$C1804="",$D1804="",$B1804&lt;1300,$B1804&gt;1500,$C1804&lt;1,$C1804&gt;12,$D1804&lt;1,$D1804&gt;31),"نامعتبر",RIGHT("0000"&amp;$B1804,4)&amp;"/"&amp;RIGHT("00"&amp;$C1804,2)&amp;"/"&amp;RIGHT("00"&amp;$D1804,2)))</f>
        <v/>
      </c>
      <c r="F1804">
        <f>IF(OR($E1804="",$E1804="نامعتبر"),"",LEFT($E1804,4)&amp;"/"&amp;MID($E1804,6,2))</f>
        <v/>
      </c>
      <c r="G1804">
        <f>IF(OR($E1804="",$E1804="نامعتبر",Sync!$X1800=""),"",IF(AND(LEFT(UPPER(TRIM(Sync!$X1800)),2)="SL",IFERROR(VLOOKUP(Sync!$W1800,OpTbl,3,0),"")="فروش"),UPPER(TRIM(Sync!$X1800)),""))</f>
        <v/>
      </c>
      <c r="H1804">
        <f>IF($G1804="","",IF(Sync!$W1800="","",Sync!$W1800))</f>
        <v/>
      </c>
      <c r="I1804">
        <f>IF(OR($G1804="",Sync!$Y1800=""),"",Sync!$Y1800)</f>
        <v/>
      </c>
      <c r="J1804">
        <f>IF(OR($G1804="",Sync!$Z1800=""),"",Sync!$Z1800)</f>
        <v/>
      </c>
      <c r="K1804">
        <f>IF($G1804="",0,IF(Sync!$AA1800="",0,Sync!$AA1800))</f>
        <v/>
      </c>
      <c r="L1804">
        <f>IF($G1804="",0,IF(Sync!$AB1800="",0,Sync!$AB1800))</f>
        <v/>
      </c>
      <c r="M1804">
        <f>IF($G1804="","",IF($H1804="مرجوعی فروش",-1,1)*($K1804-$L1804*IFERROR(VLOOKUP("P01",ParamTbl,3,0),1.5)))</f>
        <v/>
      </c>
      <c r="N1804">
        <f>IF($G1804="",0,IF($H1804="مرجوعی فروش",-1,1)*IF(Sync!$AC1800="",0,Sync!$AC1800))</f>
        <v/>
      </c>
      <c r="O1804">
        <f>IF(OR($G1804="",Sync!$V1800=""),"",Sync!$V1800)</f>
        <v/>
      </c>
      <c r="P1804">
        <f>IF(OR($G1804="",Sync!$AD1800=""),"",Sync!$AD1800)</f>
        <v/>
      </c>
      <c r="Q1804">
        <f>IF($G1804="","",IF(Sync!$U1800="","0000",IF(AND(ISNUMBER(Sync!$U1800),Sync!$U1800&gt;=0,Sync!$U1800&lt;1),RIGHT("00"&amp;HOUR(Sync!$U1800),2)&amp;RIGHT("00"&amp;MINUTE(Sync!$U1800),2),IFERROR(RIGHT("00"&amp;VALUE(LEFT(Sync!$U1800,FIND(":",Sync!$U1800)-1)),2)&amp;RIGHT("00"&amp;VALUE(MID(Sync!$U1800,FIND(":",Sync!$U1800)+1,2)),2),"0000"))))</f>
        <v/>
      </c>
    </row>
    <row r="1805">
      <c r="A1805">
        <f>IF(Sync!$T1801="","",Sync!$T1801)</f>
        <v/>
      </c>
      <c r="B1805">
        <f>IF($A1805="","",IF(ISNUMBER($A1805),IF(AND($A1805&gt;=10000101,$A1805&lt;=99991231),INT($A1805/10000),""),IFERROR(VALUE(TRIM(LEFT($A1805,FIND("/",$A1805)-1))),"")))</f>
        <v/>
      </c>
      <c r="C1805">
        <f>IF(OR($A1805="",$B1805=""),"",IF(ISNUMBER($A1805),INT(MOD($A1805,10000)/100),IFERROR(VALUE(TRIM(LEFT(MID($A1805,FIND("/",$A1805)+1,20),FIND("/",MID($A1805,FIND("/",$A1805)+1,20))-1))),"")))</f>
        <v/>
      </c>
      <c r="D1805">
        <f>IF(OR($A1805="",$B1805=""),"",IF(ISNUMBER($A1805),MOD($A1805,100),IFERROR(VALUE(TRIM(MID(MID($A1805,FIND("/",$A1805)+1,20),FIND("/",MID($A1805,FIND("/",$A1805)+1,20))+1,20))),"")))</f>
        <v/>
      </c>
      <c r="E1805">
        <f>IF($A1805="","",IF(OR($B1805="",$C1805="",$D1805="",$B1805&lt;1300,$B1805&gt;1500,$C1805&lt;1,$C1805&gt;12,$D1805&lt;1,$D1805&gt;31),"نامعتبر",RIGHT("0000"&amp;$B1805,4)&amp;"/"&amp;RIGHT("00"&amp;$C1805,2)&amp;"/"&amp;RIGHT("00"&amp;$D1805,2)))</f>
        <v/>
      </c>
      <c r="F1805">
        <f>IF(OR($E1805="",$E1805="نامعتبر"),"",LEFT($E1805,4)&amp;"/"&amp;MID($E1805,6,2))</f>
        <v/>
      </c>
      <c r="G1805">
        <f>IF(OR($E1805="",$E1805="نامعتبر",Sync!$X1801=""),"",IF(AND(LEFT(UPPER(TRIM(Sync!$X1801)),2)="SL",IFERROR(VLOOKUP(Sync!$W1801,OpTbl,3,0),"")="فروش"),UPPER(TRIM(Sync!$X1801)),""))</f>
        <v/>
      </c>
      <c r="H1805">
        <f>IF($G1805="","",IF(Sync!$W1801="","",Sync!$W1801))</f>
        <v/>
      </c>
      <c r="I1805">
        <f>IF(OR($G1805="",Sync!$Y1801=""),"",Sync!$Y1801)</f>
        <v/>
      </c>
      <c r="J1805">
        <f>IF(OR($G1805="",Sync!$Z1801=""),"",Sync!$Z1801)</f>
        <v/>
      </c>
      <c r="K1805">
        <f>IF($G1805="",0,IF(Sync!$AA1801="",0,Sync!$AA1801))</f>
        <v/>
      </c>
      <c r="L1805">
        <f>IF($G1805="",0,IF(Sync!$AB1801="",0,Sync!$AB1801))</f>
        <v/>
      </c>
      <c r="M1805">
        <f>IF($G1805="","",IF($H1805="مرجوعی فروش",-1,1)*($K1805-$L1805*IFERROR(VLOOKUP("P01",ParamTbl,3,0),1.5)))</f>
        <v/>
      </c>
      <c r="N1805">
        <f>IF($G1805="",0,IF($H1805="مرجوعی فروش",-1,1)*IF(Sync!$AC1801="",0,Sync!$AC1801))</f>
        <v/>
      </c>
      <c r="O1805">
        <f>IF(OR($G1805="",Sync!$V1801=""),"",Sync!$V1801)</f>
        <v/>
      </c>
      <c r="P1805">
        <f>IF(OR($G1805="",Sync!$AD1801=""),"",Sync!$AD1801)</f>
        <v/>
      </c>
      <c r="Q1805">
        <f>IF($G1805="","",IF(Sync!$U1801="","0000",IF(AND(ISNUMBER(Sync!$U1801),Sync!$U1801&gt;=0,Sync!$U1801&lt;1),RIGHT("00"&amp;HOUR(Sync!$U1801),2)&amp;RIGHT("00"&amp;MINUTE(Sync!$U1801),2),IFERROR(RIGHT("00"&amp;VALUE(LEFT(Sync!$U1801,FIND(":",Sync!$U1801)-1)),2)&amp;RIGHT("00"&amp;VALUE(MID(Sync!$U1801,FIND(":",Sync!$U1801)+1,2)),2),"0000"))))</f>
        <v/>
      </c>
    </row>
    <row r="1806">
      <c r="A1806">
        <f>IF(Sync!$T1802="","",Sync!$T1802)</f>
        <v/>
      </c>
      <c r="B1806">
        <f>IF($A1806="","",IF(ISNUMBER($A1806),IF(AND($A1806&gt;=10000101,$A1806&lt;=99991231),INT($A1806/10000),""),IFERROR(VALUE(TRIM(LEFT($A1806,FIND("/",$A1806)-1))),"")))</f>
        <v/>
      </c>
      <c r="C1806">
        <f>IF(OR($A1806="",$B1806=""),"",IF(ISNUMBER($A1806),INT(MOD($A1806,10000)/100),IFERROR(VALUE(TRIM(LEFT(MID($A1806,FIND("/",$A1806)+1,20),FIND("/",MID($A1806,FIND("/",$A1806)+1,20))-1))),"")))</f>
        <v/>
      </c>
      <c r="D1806">
        <f>IF(OR($A1806="",$B1806=""),"",IF(ISNUMBER($A1806),MOD($A1806,100),IFERROR(VALUE(TRIM(MID(MID($A1806,FIND("/",$A1806)+1,20),FIND("/",MID($A1806,FIND("/",$A1806)+1,20))+1,20))),"")))</f>
        <v/>
      </c>
      <c r="E1806">
        <f>IF($A1806="","",IF(OR($B1806="",$C1806="",$D1806="",$B1806&lt;1300,$B1806&gt;1500,$C1806&lt;1,$C1806&gt;12,$D1806&lt;1,$D1806&gt;31),"نامعتبر",RIGHT("0000"&amp;$B1806,4)&amp;"/"&amp;RIGHT("00"&amp;$C1806,2)&amp;"/"&amp;RIGHT("00"&amp;$D1806,2)))</f>
        <v/>
      </c>
      <c r="F1806">
        <f>IF(OR($E1806="",$E1806="نامعتبر"),"",LEFT($E1806,4)&amp;"/"&amp;MID($E1806,6,2))</f>
        <v/>
      </c>
      <c r="G1806">
        <f>IF(OR($E1806="",$E1806="نامعتبر",Sync!$X1802=""),"",IF(AND(LEFT(UPPER(TRIM(Sync!$X1802)),2)="SL",IFERROR(VLOOKUP(Sync!$W1802,OpTbl,3,0),"")="فروش"),UPPER(TRIM(Sync!$X1802)),""))</f>
        <v/>
      </c>
      <c r="H1806">
        <f>IF($G1806="","",IF(Sync!$W1802="","",Sync!$W1802))</f>
        <v/>
      </c>
      <c r="I1806">
        <f>IF(OR($G1806="",Sync!$Y1802=""),"",Sync!$Y1802)</f>
        <v/>
      </c>
      <c r="J1806">
        <f>IF(OR($G1806="",Sync!$Z1802=""),"",Sync!$Z1802)</f>
        <v/>
      </c>
      <c r="K1806">
        <f>IF($G1806="",0,IF(Sync!$AA1802="",0,Sync!$AA1802))</f>
        <v/>
      </c>
      <c r="L1806">
        <f>IF($G1806="",0,IF(Sync!$AB1802="",0,Sync!$AB1802))</f>
        <v/>
      </c>
      <c r="M1806">
        <f>IF($G1806="","",IF($H1806="مرجوعی فروش",-1,1)*($K1806-$L1806*IFERROR(VLOOKUP("P01",ParamTbl,3,0),1.5)))</f>
        <v/>
      </c>
      <c r="N1806">
        <f>IF($G1806="",0,IF($H1806="مرجوعی فروش",-1,1)*IF(Sync!$AC1802="",0,Sync!$AC1802))</f>
        <v/>
      </c>
      <c r="O1806">
        <f>IF(OR($G1806="",Sync!$V1802=""),"",Sync!$V1802)</f>
        <v/>
      </c>
      <c r="P1806">
        <f>IF(OR($G1806="",Sync!$AD1802=""),"",Sync!$AD1802)</f>
        <v/>
      </c>
      <c r="Q1806">
        <f>IF($G1806="","",IF(Sync!$U1802="","0000",IF(AND(ISNUMBER(Sync!$U1802),Sync!$U1802&gt;=0,Sync!$U1802&lt;1),RIGHT("00"&amp;HOUR(Sync!$U1802),2)&amp;RIGHT("00"&amp;MINUTE(Sync!$U1802),2),IFERROR(RIGHT("00"&amp;VALUE(LEFT(Sync!$U1802,FIND(":",Sync!$U1802)-1)),2)&amp;RIGHT("00"&amp;VALUE(MID(Sync!$U1802,FIND(":",Sync!$U1802)+1,2)),2),"0000"))))</f>
        <v/>
      </c>
    </row>
    <row r="1807">
      <c r="A1807">
        <f>IF(Sync!$T1803="","",Sync!$T1803)</f>
        <v/>
      </c>
      <c r="B1807">
        <f>IF($A1807="","",IF(ISNUMBER($A1807),IF(AND($A1807&gt;=10000101,$A1807&lt;=99991231),INT($A1807/10000),""),IFERROR(VALUE(TRIM(LEFT($A1807,FIND("/",$A1807)-1))),"")))</f>
        <v/>
      </c>
      <c r="C1807">
        <f>IF(OR($A1807="",$B1807=""),"",IF(ISNUMBER($A1807),INT(MOD($A1807,10000)/100),IFERROR(VALUE(TRIM(LEFT(MID($A1807,FIND("/",$A1807)+1,20),FIND("/",MID($A1807,FIND("/",$A1807)+1,20))-1))),"")))</f>
        <v/>
      </c>
      <c r="D1807">
        <f>IF(OR($A1807="",$B1807=""),"",IF(ISNUMBER($A1807),MOD($A1807,100),IFERROR(VALUE(TRIM(MID(MID($A1807,FIND("/",$A1807)+1,20),FIND("/",MID($A1807,FIND("/",$A1807)+1,20))+1,20))),"")))</f>
        <v/>
      </c>
      <c r="E1807">
        <f>IF($A1807="","",IF(OR($B1807="",$C1807="",$D1807="",$B1807&lt;1300,$B1807&gt;1500,$C1807&lt;1,$C1807&gt;12,$D1807&lt;1,$D1807&gt;31),"نامعتبر",RIGHT("0000"&amp;$B1807,4)&amp;"/"&amp;RIGHT("00"&amp;$C1807,2)&amp;"/"&amp;RIGHT("00"&amp;$D1807,2)))</f>
        <v/>
      </c>
      <c r="F1807">
        <f>IF(OR($E1807="",$E1807="نامعتبر"),"",LEFT($E1807,4)&amp;"/"&amp;MID($E1807,6,2))</f>
        <v/>
      </c>
      <c r="G1807">
        <f>IF(OR($E1807="",$E1807="نامعتبر",Sync!$X1803=""),"",IF(AND(LEFT(UPPER(TRIM(Sync!$X1803)),2)="SL",IFERROR(VLOOKUP(Sync!$W1803,OpTbl,3,0),"")="فروش"),UPPER(TRIM(Sync!$X1803)),""))</f>
        <v/>
      </c>
      <c r="H1807">
        <f>IF($G1807="","",IF(Sync!$W1803="","",Sync!$W1803))</f>
        <v/>
      </c>
      <c r="I1807">
        <f>IF(OR($G1807="",Sync!$Y1803=""),"",Sync!$Y1803)</f>
        <v/>
      </c>
      <c r="J1807">
        <f>IF(OR($G1807="",Sync!$Z1803=""),"",Sync!$Z1803)</f>
        <v/>
      </c>
      <c r="K1807">
        <f>IF($G1807="",0,IF(Sync!$AA1803="",0,Sync!$AA1803))</f>
        <v/>
      </c>
      <c r="L1807">
        <f>IF($G1807="",0,IF(Sync!$AB1803="",0,Sync!$AB1803))</f>
        <v/>
      </c>
      <c r="M1807">
        <f>IF($G1807="","",IF($H1807="مرجوعی فروش",-1,1)*($K1807-$L1807*IFERROR(VLOOKUP("P01",ParamTbl,3,0),1.5)))</f>
        <v/>
      </c>
      <c r="N1807">
        <f>IF($G1807="",0,IF($H1807="مرجوعی فروش",-1,1)*IF(Sync!$AC1803="",0,Sync!$AC1803))</f>
        <v/>
      </c>
      <c r="O1807">
        <f>IF(OR($G1807="",Sync!$V1803=""),"",Sync!$V1803)</f>
        <v/>
      </c>
      <c r="P1807">
        <f>IF(OR($G1807="",Sync!$AD1803=""),"",Sync!$AD1803)</f>
        <v/>
      </c>
      <c r="Q1807">
        <f>IF($G1807="","",IF(Sync!$U1803="","0000",IF(AND(ISNUMBER(Sync!$U1803),Sync!$U1803&gt;=0,Sync!$U1803&lt;1),RIGHT("00"&amp;HOUR(Sync!$U1803),2)&amp;RIGHT("00"&amp;MINUTE(Sync!$U1803),2),IFERROR(RIGHT("00"&amp;VALUE(LEFT(Sync!$U1803,FIND(":",Sync!$U1803)-1)),2)&amp;RIGHT("00"&amp;VALUE(MID(Sync!$U1803,FIND(":",Sync!$U1803)+1,2)),2),"0000"))))</f>
        <v/>
      </c>
    </row>
    <row r="1808">
      <c r="A1808">
        <f>IF(Sync!$T1804="","",Sync!$T1804)</f>
        <v/>
      </c>
      <c r="B1808">
        <f>IF($A1808="","",IF(ISNUMBER($A1808),IF(AND($A1808&gt;=10000101,$A1808&lt;=99991231),INT($A1808/10000),""),IFERROR(VALUE(TRIM(LEFT($A1808,FIND("/",$A1808)-1))),"")))</f>
        <v/>
      </c>
      <c r="C1808">
        <f>IF(OR($A1808="",$B1808=""),"",IF(ISNUMBER($A1808),INT(MOD($A1808,10000)/100),IFERROR(VALUE(TRIM(LEFT(MID($A1808,FIND("/",$A1808)+1,20),FIND("/",MID($A1808,FIND("/",$A1808)+1,20))-1))),"")))</f>
        <v/>
      </c>
      <c r="D1808">
        <f>IF(OR($A1808="",$B1808=""),"",IF(ISNUMBER($A1808),MOD($A1808,100),IFERROR(VALUE(TRIM(MID(MID($A1808,FIND("/",$A1808)+1,20),FIND("/",MID($A1808,FIND("/",$A1808)+1,20))+1,20))),"")))</f>
        <v/>
      </c>
      <c r="E1808">
        <f>IF($A1808="","",IF(OR($B1808="",$C1808="",$D1808="",$B1808&lt;1300,$B1808&gt;1500,$C1808&lt;1,$C1808&gt;12,$D1808&lt;1,$D1808&gt;31),"نامعتبر",RIGHT("0000"&amp;$B1808,4)&amp;"/"&amp;RIGHT("00"&amp;$C1808,2)&amp;"/"&amp;RIGHT("00"&amp;$D1808,2)))</f>
        <v/>
      </c>
      <c r="F1808">
        <f>IF(OR($E1808="",$E1808="نامعتبر"),"",LEFT($E1808,4)&amp;"/"&amp;MID($E1808,6,2))</f>
        <v/>
      </c>
      <c r="G1808">
        <f>IF(OR($E1808="",$E1808="نامعتبر",Sync!$X1804=""),"",IF(AND(LEFT(UPPER(TRIM(Sync!$X1804)),2)="SL",IFERROR(VLOOKUP(Sync!$W1804,OpTbl,3,0),"")="فروش"),UPPER(TRIM(Sync!$X1804)),""))</f>
        <v/>
      </c>
      <c r="H1808">
        <f>IF($G1808="","",IF(Sync!$W1804="","",Sync!$W1804))</f>
        <v/>
      </c>
      <c r="I1808">
        <f>IF(OR($G1808="",Sync!$Y1804=""),"",Sync!$Y1804)</f>
        <v/>
      </c>
      <c r="J1808">
        <f>IF(OR($G1808="",Sync!$Z1804=""),"",Sync!$Z1804)</f>
        <v/>
      </c>
      <c r="K1808">
        <f>IF($G1808="",0,IF(Sync!$AA1804="",0,Sync!$AA1804))</f>
        <v/>
      </c>
      <c r="L1808">
        <f>IF($G1808="",0,IF(Sync!$AB1804="",0,Sync!$AB1804))</f>
        <v/>
      </c>
      <c r="M1808">
        <f>IF($G1808="","",IF($H1808="مرجوعی فروش",-1,1)*($K1808-$L1808*IFERROR(VLOOKUP("P01",ParamTbl,3,0),1.5)))</f>
        <v/>
      </c>
      <c r="N1808">
        <f>IF($G1808="",0,IF($H1808="مرجوعی فروش",-1,1)*IF(Sync!$AC1804="",0,Sync!$AC1804))</f>
        <v/>
      </c>
      <c r="O1808">
        <f>IF(OR($G1808="",Sync!$V1804=""),"",Sync!$V1804)</f>
        <v/>
      </c>
      <c r="P1808">
        <f>IF(OR($G1808="",Sync!$AD1804=""),"",Sync!$AD1804)</f>
        <v/>
      </c>
      <c r="Q1808">
        <f>IF($G1808="","",IF(Sync!$U1804="","0000",IF(AND(ISNUMBER(Sync!$U1804),Sync!$U1804&gt;=0,Sync!$U1804&lt;1),RIGHT("00"&amp;HOUR(Sync!$U1804),2)&amp;RIGHT("00"&amp;MINUTE(Sync!$U1804),2),IFERROR(RIGHT("00"&amp;VALUE(LEFT(Sync!$U1804,FIND(":",Sync!$U1804)-1)),2)&amp;RIGHT("00"&amp;VALUE(MID(Sync!$U1804,FIND(":",Sync!$U1804)+1,2)),2),"0000"))))</f>
        <v/>
      </c>
    </row>
    <row r="1809">
      <c r="A1809">
        <f>IF(Sync!$T1805="","",Sync!$T1805)</f>
        <v/>
      </c>
      <c r="B1809">
        <f>IF($A1809="","",IF(ISNUMBER($A1809),IF(AND($A1809&gt;=10000101,$A1809&lt;=99991231),INT($A1809/10000),""),IFERROR(VALUE(TRIM(LEFT($A1809,FIND("/",$A1809)-1))),"")))</f>
        <v/>
      </c>
      <c r="C1809">
        <f>IF(OR($A1809="",$B1809=""),"",IF(ISNUMBER($A1809),INT(MOD($A1809,10000)/100),IFERROR(VALUE(TRIM(LEFT(MID($A1809,FIND("/",$A1809)+1,20),FIND("/",MID($A1809,FIND("/",$A1809)+1,20))-1))),"")))</f>
        <v/>
      </c>
      <c r="D1809">
        <f>IF(OR($A1809="",$B1809=""),"",IF(ISNUMBER($A1809),MOD($A1809,100),IFERROR(VALUE(TRIM(MID(MID($A1809,FIND("/",$A1809)+1,20),FIND("/",MID($A1809,FIND("/",$A1809)+1,20))+1,20))),"")))</f>
        <v/>
      </c>
      <c r="E1809">
        <f>IF($A1809="","",IF(OR($B1809="",$C1809="",$D1809="",$B1809&lt;1300,$B1809&gt;1500,$C1809&lt;1,$C1809&gt;12,$D1809&lt;1,$D1809&gt;31),"نامعتبر",RIGHT("0000"&amp;$B1809,4)&amp;"/"&amp;RIGHT("00"&amp;$C1809,2)&amp;"/"&amp;RIGHT("00"&amp;$D1809,2)))</f>
        <v/>
      </c>
      <c r="F1809">
        <f>IF(OR($E1809="",$E1809="نامعتبر"),"",LEFT($E1809,4)&amp;"/"&amp;MID($E1809,6,2))</f>
        <v/>
      </c>
      <c r="G1809">
        <f>IF(OR($E1809="",$E1809="نامعتبر",Sync!$X1805=""),"",IF(AND(LEFT(UPPER(TRIM(Sync!$X1805)),2)="SL",IFERROR(VLOOKUP(Sync!$W1805,OpTbl,3,0),"")="فروش"),UPPER(TRIM(Sync!$X1805)),""))</f>
        <v/>
      </c>
      <c r="H1809">
        <f>IF($G1809="","",IF(Sync!$W1805="","",Sync!$W1805))</f>
        <v/>
      </c>
      <c r="I1809">
        <f>IF(OR($G1809="",Sync!$Y1805=""),"",Sync!$Y1805)</f>
        <v/>
      </c>
      <c r="J1809">
        <f>IF(OR($G1809="",Sync!$Z1805=""),"",Sync!$Z1805)</f>
        <v/>
      </c>
      <c r="K1809">
        <f>IF($G1809="",0,IF(Sync!$AA1805="",0,Sync!$AA1805))</f>
        <v/>
      </c>
      <c r="L1809">
        <f>IF($G1809="",0,IF(Sync!$AB1805="",0,Sync!$AB1805))</f>
        <v/>
      </c>
      <c r="M1809">
        <f>IF($G1809="","",IF($H1809="مرجوعی فروش",-1,1)*($K1809-$L1809*IFERROR(VLOOKUP("P01",ParamTbl,3,0),1.5)))</f>
        <v/>
      </c>
      <c r="N1809">
        <f>IF($G1809="",0,IF($H1809="مرجوعی فروش",-1,1)*IF(Sync!$AC1805="",0,Sync!$AC1805))</f>
        <v/>
      </c>
      <c r="O1809">
        <f>IF(OR($G1809="",Sync!$V1805=""),"",Sync!$V1805)</f>
        <v/>
      </c>
      <c r="P1809">
        <f>IF(OR($G1809="",Sync!$AD1805=""),"",Sync!$AD1805)</f>
        <v/>
      </c>
      <c r="Q1809">
        <f>IF($G1809="","",IF(Sync!$U1805="","0000",IF(AND(ISNUMBER(Sync!$U1805),Sync!$U1805&gt;=0,Sync!$U1805&lt;1),RIGHT("00"&amp;HOUR(Sync!$U1805),2)&amp;RIGHT("00"&amp;MINUTE(Sync!$U1805),2),IFERROR(RIGHT("00"&amp;VALUE(LEFT(Sync!$U1805,FIND(":",Sync!$U1805)-1)),2)&amp;RIGHT("00"&amp;VALUE(MID(Sync!$U1805,FIND(":",Sync!$U1805)+1,2)),2),"0000"))))</f>
        <v/>
      </c>
    </row>
    <row r="1810">
      <c r="A1810">
        <f>IF(Sync!$T1806="","",Sync!$T1806)</f>
        <v/>
      </c>
      <c r="B1810">
        <f>IF($A1810="","",IF(ISNUMBER($A1810),IF(AND($A1810&gt;=10000101,$A1810&lt;=99991231),INT($A1810/10000),""),IFERROR(VALUE(TRIM(LEFT($A1810,FIND("/",$A1810)-1))),"")))</f>
        <v/>
      </c>
      <c r="C1810">
        <f>IF(OR($A1810="",$B1810=""),"",IF(ISNUMBER($A1810),INT(MOD($A1810,10000)/100),IFERROR(VALUE(TRIM(LEFT(MID($A1810,FIND("/",$A1810)+1,20),FIND("/",MID($A1810,FIND("/",$A1810)+1,20))-1))),"")))</f>
        <v/>
      </c>
      <c r="D1810">
        <f>IF(OR($A1810="",$B1810=""),"",IF(ISNUMBER($A1810),MOD($A1810,100),IFERROR(VALUE(TRIM(MID(MID($A1810,FIND("/",$A1810)+1,20),FIND("/",MID($A1810,FIND("/",$A1810)+1,20))+1,20))),"")))</f>
        <v/>
      </c>
      <c r="E1810">
        <f>IF($A1810="","",IF(OR($B1810="",$C1810="",$D1810="",$B1810&lt;1300,$B1810&gt;1500,$C1810&lt;1,$C1810&gt;12,$D1810&lt;1,$D1810&gt;31),"نامعتبر",RIGHT("0000"&amp;$B1810,4)&amp;"/"&amp;RIGHT("00"&amp;$C1810,2)&amp;"/"&amp;RIGHT("00"&amp;$D1810,2)))</f>
        <v/>
      </c>
      <c r="F1810">
        <f>IF(OR($E1810="",$E1810="نامعتبر"),"",LEFT($E1810,4)&amp;"/"&amp;MID($E1810,6,2))</f>
        <v/>
      </c>
      <c r="G1810">
        <f>IF(OR($E1810="",$E1810="نامعتبر",Sync!$X1806=""),"",IF(AND(LEFT(UPPER(TRIM(Sync!$X1806)),2)="SL",IFERROR(VLOOKUP(Sync!$W1806,OpTbl,3,0),"")="فروش"),UPPER(TRIM(Sync!$X1806)),""))</f>
        <v/>
      </c>
      <c r="H1810">
        <f>IF($G1810="","",IF(Sync!$W1806="","",Sync!$W1806))</f>
        <v/>
      </c>
      <c r="I1810">
        <f>IF(OR($G1810="",Sync!$Y1806=""),"",Sync!$Y1806)</f>
        <v/>
      </c>
      <c r="J1810">
        <f>IF(OR($G1810="",Sync!$Z1806=""),"",Sync!$Z1806)</f>
        <v/>
      </c>
      <c r="K1810">
        <f>IF($G1810="",0,IF(Sync!$AA1806="",0,Sync!$AA1806))</f>
        <v/>
      </c>
      <c r="L1810">
        <f>IF($G1810="",0,IF(Sync!$AB1806="",0,Sync!$AB1806))</f>
        <v/>
      </c>
      <c r="M1810">
        <f>IF($G1810="","",IF($H1810="مرجوعی فروش",-1,1)*($K1810-$L1810*IFERROR(VLOOKUP("P01",ParamTbl,3,0),1.5)))</f>
        <v/>
      </c>
      <c r="N1810">
        <f>IF($G1810="",0,IF($H1810="مرجوعی فروش",-1,1)*IF(Sync!$AC1806="",0,Sync!$AC1806))</f>
        <v/>
      </c>
      <c r="O1810">
        <f>IF(OR($G1810="",Sync!$V1806=""),"",Sync!$V1806)</f>
        <v/>
      </c>
      <c r="P1810">
        <f>IF(OR($G1810="",Sync!$AD1806=""),"",Sync!$AD1806)</f>
        <v/>
      </c>
      <c r="Q1810">
        <f>IF($G1810="","",IF(Sync!$U1806="","0000",IF(AND(ISNUMBER(Sync!$U1806),Sync!$U1806&gt;=0,Sync!$U1806&lt;1),RIGHT("00"&amp;HOUR(Sync!$U1806),2)&amp;RIGHT("00"&amp;MINUTE(Sync!$U1806),2),IFERROR(RIGHT("00"&amp;VALUE(LEFT(Sync!$U1806,FIND(":",Sync!$U1806)-1)),2)&amp;RIGHT("00"&amp;VALUE(MID(Sync!$U1806,FIND(":",Sync!$U1806)+1,2)),2),"0000"))))</f>
        <v/>
      </c>
    </row>
    <row r="1811">
      <c r="A1811">
        <f>IF(Sync!$T1807="","",Sync!$T1807)</f>
        <v/>
      </c>
      <c r="B1811">
        <f>IF($A1811="","",IF(ISNUMBER($A1811),IF(AND($A1811&gt;=10000101,$A1811&lt;=99991231),INT($A1811/10000),""),IFERROR(VALUE(TRIM(LEFT($A1811,FIND("/",$A1811)-1))),"")))</f>
        <v/>
      </c>
      <c r="C1811">
        <f>IF(OR($A1811="",$B1811=""),"",IF(ISNUMBER($A1811),INT(MOD($A1811,10000)/100),IFERROR(VALUE(TRIM(LEFT(MID($A1811,FIND("/",$A1811)+1,20),FIND("/",MID($A1811,FIND("/",$A1811)+1,20))-1))),"")))</f>
        <v/>
      </c>
      <c r="D1811">
        <f>IF(OR($A1811="",$B1811=""),"",IF(ISNUMBER($A1811),MOD($A1811,100),IFERROR(VALUE(TRIM(MID(MID($A1811,FIND("/",$A1811)+1,20),FIND("/",MID($A1811,FIND("/",$A1811)+1,20))+1,20))),"")))</f>
        <v/>
      </c>
      <c r="E1811">
        <f>IF($A1811="","",IF(OR($B1811="",$C1811="",$D1811="",$B1811&lt;1300,$B1811&gt;1500,$C1811&lt;1,$C1811&gt;12,$D1811&lt;1,$D1811&gt;31),"نامعتبر",RIGHT("0000"&amp;$B1811,4)&amp;"/"&amp;RIGHT("00"&amp;$C1811,2)&amp;"/"&amp;RIGHT("00"&amp;$D1811,2)))</f>
        <v/>
      </c>
      <c r="F1811">
        <f>IF(OR($E1811="",$E1811="نامعتبر"),"",LEFT($E1811,4)&amp;"/"&amp;MID($E1811,6,2))</f>
        <v/>
      </c>
      <c r="G1811">
        <f>IF(OR($E1811="",$E1811="نامعتبر",Sync!$X1807=""),"",IF(AND(LEFT(UPPER(TRIM(Sync!$X1807)),2)="SL",IFERROR(VLOOKUP(Sync!$W1807,OpTbl,3,0),"")="فروش"),UPPER(TRIM(Sync!$X1807)),""))</f>
        <v/>
      </c>
      <c r="H1811">
        <f>IF($G1811="","",IF(Sync!$W1807="","",Sync!$W1807))</f>
        <v/>
      </c>
      <c r="I1811">
        <f>IF(OR($G1811="",Sync!$Y1807=""),"",Sync!$Y1807)</f>
        <v/>
      </c>
      <c r="J1811">
        <f>IF(OR($G1811="",Sync!$Z1807=""),"",Sync!$Z1807)</f>
        <v/>
      </c>
      <c r="K1811">
        <f>IF($G1811="",0,IF(Sync!$AA1807="",0,Sync!$AA1807))</f>
        <v/>
      </c>
      <c r="L1811">
        <f>IF($G1811="",0,IF(Sync!$AB1807="",0,Sync!$AB1807))</f>
        <v/>
      </c>
      <c r="M1811">
        <f>IF($G1811="","",IF($H1811="مرجوعی فروش",-1,1)*($K1811-$L1811*IFERROR(VLOOKUP("P01",ParamTbl,3,0),1.5)))</f>
        <v/>
      </c>
      <c r="N1811">
        <f>IF($G1811="",0,IF($H1811="مرجوعی فروش",-1,1)*IF(Sync!$AC1807="",0,Sync!$AC1807))</f>
        <v/>
      </c>
      <c r="O1811">
        <f>IF(OR($G1811="",Sync!$V1807=""),"",Sync!$V1807)</f>
        <v/>
      </c>
      <c r="P1811">
        <f>IF(OR($G1811="",Sync!$AD1807=""),"",Sync!$AD1807)</f>
        <v/>
      </c>
      <c r="Q1811">
        <f>IF($G1811="","",IF(Sync!$U1807="","0000",IF(AND(ISNUMBER(Sync!$U1807),Sync!$U1807&gt;=0,Sync!$U1807&lt;1),RIGHT("00"&amp;HOUR(Sync!$U1807),2)&amp;RIGHT("00"&amp;MINUTE(Sync!$U1807),2),IFERROR(RIGHT("00"&amp;VALUE(LEFT(Sync!$U1807,FIND(":",Sync!$U1807)-1)),2)&amp;RIGHT("00"&amp;VALUE(MID(Sync!$U1807,FIND(":",Sync!$U1807)+1,2)),2),"0000"))))</f>
        <v/>
      </c>
    </row>
    <row r="1812">
      <c r="A1812">
        <f>IF(Sync!$T1808="","",Sync!$T1808)</f>
        <v/>
      </c>
      <c r="B1812">
        <f>IF($A1812="","",IF(ISNUMBER($A1812),IF(AND($A1812&gt;=10000101,$A1812&lt;=99991231),INT($A1812/10000),""),IFERROR(VALUE(TRIM(LEFT($A1812,FIND("/",$A1812)-1))),"")))</f>
        <v/>
      </c>
      <c r="C1812">
        <f>IF(OR($A1812="",$B1812=""),"",IF(ISNUMBER($A1812),INT(MOD($A1812,10000)/100),IFERROR(VALUE(TRIM(LEFT(MID($A1812,FIND("/",$A1812)+1,20),FIND("/",MID($A1812,FIND("/",$A1812)+1,20))-1))),"")))</f>
        <v/>
      </c>
      <c r="D1812">
        <f>IF(OR($A1812="",$B1812=""),"",IF(ISNUMBER($A1812),MOD($A1812,100),IFERROR(VALUE(TRIM(MID(MID($A1812,FIND("/",$A1812)+1,20),FIND("/",MID($A1812,FIND("/",$A1812)+1,20))+1,20))),"")))</f>
        <v/>
      </c>
      <c r="E1812">
        <f>IF($A1812="","",IF(OR($B1812="",$C1812="",$D1812="",$B1812&lt;1300,$B1812&gt;1500,$C1812&lt;1,$C1812&gt;12,$D1812&lt;1,$D1812&gt;31),"نامعتبر",RIGHT("0000"&amp;$B1812,4)&amp;"/"&amp;RIGHT("00"&amp;$C1812,2)&amp;"/"&amp;RIGHT("00"&amp;$D1812,2)))</f>
        <v/>
      </c>
      <c r="F1812">
        <f>IF(OR($E1812="",$E1812="نامعتبر"),"",LEFT($E1812,4)&amp;"/"&amp;MID($E1812,6,2))</f>
        <v/>
      </c>
      <c r="G1812">
        <f>IF(OR($E1812="",$E1812="نامعتبر",Sync!$X1808=""),"",IF(AND(LEFT(UPPER(TRIM(Sync!$X1808)),2)="SL",IFERROR(VLOOKUP(Sync!$W1808,OpTbl,3,0),"")="فروش"),UPPER(TRIM(Sync!$X1808)),""))</f>
        <v/>
      </c>
      <c r="H1812">
        <f>IF($G1812="","",IF(Sync!$W1808="","",Sync!$W1808))</f>
        <v/>
      </c>
      <c r="I1812">
        <f>IF(OR($G1812="",Sync!$Y1808=""),"",Sync!$Y1808)</f>
        <v/>
      </c>
      <c r="J1812">
        <f>IF(OR($G1812="",Sync!$Z1808=""),"",Sync!$Z1808)</f>
        <v/>
      </c>
      <c r="K1812">
        <f>IF($G1812="",0,IF(Sync!$AA1808="",0,Sync!$AA1808))</f>
        <v/>
      </c>
      <c r="L1812">
        <f>IF($G1812="",0,IF(Sync!$AB1808="",0,Sync!$AB1808))</f>
        <v/>
      </c>
      <c r="M1812">
        <f>IF($G1812="","",IF($H1812="مرجوعی فروش",-1,1)*($K1812-$L1812*IFERROR(VLOOKUP("P01",ParamTbl,3,0),1.5)))</f>
        <v/>
      </c>
      <c r="N1812">
        <f>IF($G1812="",0,IF($H1812="مرجوعی فروش",-1,1)*IF(Sync!$AC1808="",0,Sync!$AC1808))</f>
        <v/>
      </c>
      <c r="O1812">
        <f>IF(OR($G1812="",Sync!$V1808=""),"",Sync!$V1808)</f>
        <v/>
      </c>
      <c r="P1812">
        <f>IF(OR($G1812="",Sync!$AD1808=""),"",Sync!$AD1808)</f>
        <v/>
      </c>
      <c r="Q1812">
        <f>IF($G1812="","",IF(Sync!$U1808="","0000",IF(AND(ISNUMBER(Sync!$U1808),Sync!$U1808&gt;=0,Sync!$U1808&lt;1),RIGHT("00"&amp;HOUR(Sync!$U1808),2)&amp;RIGHT("00"&amp;MINUTE(Sync!$U1808),2),IFERROR(RIGHT("00"&amp;VALUE(LEFT(Sync!$U1808,FIND(":",Sync!$U1808)-1)),2)&amp;RIGHT("00"&amp;VALUE(MID(Sync!$U1808,FIND(":",Sync!$U1808)+1,2)),2),"0000"))))</f>
        <v/>
      </c>
    </row>
    <row r="1813">
      <c r="A1813">
        <f>IF(Sync!$T1809="","",Sync!$T1809)</f>
        <v/>
      </c>
      <c r="B1813">
        <f>IF($A1813="","",IF(ISNUMBER($A1813),IF(AND($A1813&gt;=10000101,$A1813&lt;=99991231),INT($A1813/10000),""),IFERROR(VALUE(TRIM(LEFT($A1813,FIND("/",$A1813)-1))),"")))</f>
        <v/>
      </c>
      <c r="C1813">
        <f>IF(OR($A1813="",$B1813=""),"",IF(ISNUMBER($A1813),INT(MOD($A1813,10000)/100),IFERROR(VALUE(TRIM(LEFT(MID($A1813,FIND("/",$A1813)+1,20),FIND("/",MID($A1813,FIND("/",$A1813)+1,20))-1))),"")))</f>
        <v/>
      </c>
      <c r="D1813">
        <f>IF(OR($A1813="",$B1813=""),"",IF(ISNUMBER($A1813),MOD($A1813,100),IFERROR(VALUE(TRIM(MID(MID($A1813,FIND("/",$A1813)+1,20),FIND("/",MID($A1813,FIND("/",$A1813)+1,20))+1,20))),"")))</f>
        <v/>
      </c>
      <c r="E1813">
        <f>IF($A1813="","",IF(OR($B1813="",$C1813="",$D1813="",$B1813&lt;1300,$B1813&gt;1500,$C1813&lt;1,$C1813&gt;12,$D1813&lt;1,$D1813&gt;31),"نامعتبر",RIGHT("0000"&amp;$B1813,4)&amp;"/"&amp;RIGHT("00"&amp;$C1813,2)&amp;"/"&amp;RIGHT("00"&amp;$D1813,2)))</f>
        <v/>
      </c>
      <c r="F1813">
        <f>IF(OR($E1813="",$E1813="نامعتبر"),"",LEFT($E1813,4)&amp;"/"&amp;MID($E1813,6,2))</f>
        <v/>
      </c>
      <c r="G1813">
        <f>IF(OR($E1813="",$E1813="نامعتبر",Sync!$X1809=""),"",IF(AND(LEFT(UPPER(TRIM(Sync!$X1809)),2)="SL",IFERROR(VLOOKUP(Sync!$W1809,OpTbl,3,0),"")="فروش"),UPPER(TRIM(Sync!$X1809)),""))</f>
        <v/>
      </c>
      <c r="H1813">
        <f>IF($G1813="","",IF(Sync!$W1809="","",Sync!$W1809))</f>
        <v/>
      </c>
      <c r="I1813">
        <f>IF(OR($G1813="",Sync!$Y1809=""),"",Sync!$Y1809)</f>
        <v/>
      </c>
      <c r="J1813">
        <f>IF(OR($G1813="",Sync!$Z1809=""),"",Sync!$Z1809)</f>
        <v/>
      </c>
      <c r="K1813">
        <f>IF($G1813="",0,IF(Sync!$AA1809="",0,Sync!$AA1809))</f>
        <v/>
      </c>
      <c r="L1813">
        <f>IF($G1813="",0,IF(Sync!$AB1809="",0,Sync!$AB1809))</f>
        <v/>
      </c>
      <c r="M1813">
        <f>IF($G1813="","",IF($H1813="مرجوعی فروش",-1,1)*($K1813-$L1813*IFERROR(VLOOKUP("P01",ParamTbl,3,0),1.5)))</f>
        <v/>
      </c>
      <c r="N1813">
        <f>IF($G1813="",0,IF($H1813="مرجوعی فروش",-1,1)*IF(Sync!$AC1809="",0,Sync!$AC1809))</f>
        <v/>
      </c>
      <c r="O1813">
        <f>IF(OR($G1813="",Sync!$V1809=""),"",Sync!$V1809)</f>
        <v/>
      </c>
      <c r="P1813">
        <f>IF(OR($G1813="",Sync!$AD1809=""),"",Sync!$AD1809)</f>
        <v/>
      </c>
      <c r="Q1813">
        <f>IF($G1813="","",IF(Sync!$U1809="","0000",IF(AND(ISNUMBER(Sync!$U1809),Sync!$U1809&gt;=0,Sync!$U1809&lt;1),RIGHT("00"&amp;HOUR(Sync!$U1809),2)&amp;RIGHT("00"&amp;MINUTE(Sync!$U1809),2),IFERROR(RIGHT("00"&amp;VALUE(LEFT(Sync!$U1809,FIND(":",Sync!$U1809)-1)),2)&amp;RIGHT("00"&amp;VALUE(MID(Sync!$U1809,FIND(":",Sync!$U1809)+1,2)),2),"0000"))))</f>
        <v/>
      </c>
    </row>
    <row r="1814">
      <c r="A1814">
        <f>IF(Sync!$T1810="","",Sync!$T1810)</f>
        <v/>
      </c>
      <c r="B1814">
        <f>IF($A1814="","",IF(ISNUMBER($A1814),IF(AND($A1814&gt;=10000101,$A1814&lt;=99991231),INT($A1814/10000),""),IFERROR(VALUE(TRIM(LEFT($A1814,FIND("/",$A1814)-1))),"")))</f>
        <v/>
      </c>
      <c r="C1814">
        <f>IF(OR($A1814="",$B1814=""),"",IF(ISNUMBER($A1814),INT(MOD($A1814,10000)/100),IFERROR(VALUE(TRIM(LEFT(MID($A1814,FIND("/",$A1814)+1,20),FIND("/",MID($A1814,FIND("/",$A1814)+1,20))-1))),"")))</f>
        <v/>
      </c>
      <c r="D1814">
        <f>IF(OR($A1814="",$B1814=""),"",IF(ISNUMBER($A1814),MOD($A1814,100),IFERROR(VALUE(TRIM(MID(MID($A1814,FIND("/",$A1814)+1,20),FIND("/",MID($A1814,FIND("/",$A1814)+1,20))+1,20))),"")))</f>
        <v/>
      </c>
      <c r="E1814">
        <f>IF($A1814="","",IF(OR($B1814="",$C1814="",$D1814="",$B1814&lt;1300,$B1814&gt;1500,$C1814&lt;1,$C1814&gt;12,$D1814&lt;1,$D1814&gt;31),"نامعتبر",RIGHT("0000"&amp;$B1814,4)&amp;"/"&amp;RIGHT("00"&amp;$C1814,2)&amp;"/"&amp;RIGHT("00"&amp;$D1814,2)))</f>
        <v/>
      </c>
      <c r="F1814">
        <f>IF(OR($E1814="",$E1814="نامعتبر"),"",LEFT($E1814,4)&amp;"/"&amp;MID($E1814,6,2))</f>
        <v/>
      </c>
      <c r="G1814">
        <f>IF(OR($E1814="",$E1814="نامعتبر",Sync!$X1810=""),"",IF(AND(LEFT(UPPER(TRIM(Sync!$X1810)),2)="SL",IFERROR(VLOOKUP(Sync!$W1810,OpTbl,3,0),"")="فروش"),UPPER(TRIM(Sync!$X1810)),""))</f>
        <v/>
      </c>
      <c r="H1814">
        <f>IF($G1814="","",IF(Sync!$W1810="","",Sync!$W1810))</f>
        <v/>
      </c>
      <c r="I1814">
        <f>IF(OR($G1814="",Sync!$Y1810=""),"",Sync!$Y1810)</f>
        <v/>
      </c>
      <c r="J1814">
        <f>IF(OR($G1814="",Sync!$Z1810=""),"",Sync!$Z1810)</f>
        <v/>
      </c>
      <c r="K1814">
        <f>IF($G1814="",0,IF(Sync!$AA1810="",0,Sync!$AA1810))</f>
        <v/>
      </c>
      <c r="L1814">
        <f>IF($G1814="",0,IF(Sync!$AB1810="",0,Sync!$AB1810))</f>
        <v/>
      </c>
      <c r="M1814">
        <f>IF($G1814="","",IF($H1814="مرجوعی فروش",-1,1)*($K1814-$L1814*IFERROR(VLOOKUP("P01",ParamTbl,3,0),1.5)))</f>
        <v/>
      </c>
      <c r="N1814">
        <f>IF($G1814="",0,IF($H1814="مرجوعی فروش",-1,1)*IF(Sync!$AC1810="",0,Sync!$AC1810))</f>
        <v/>
      </c>
      <c r="O1814">
        <f>IF(OR($G1814="",Sync!$V1810=""),"",Sync!$V1810)</f>
        <v/>
      </c>
      <c r="P1814">
        <f>IF(OR($G1814="",Sync!$AD1810=""),"",Sync!$AD1810)</f>
        <v/>
      </c>
      <c r="Q1814">
        <f>IF($G1814="","",IF(Sync!$U1810="","0000",IF(AND(ISNUMBER(Sync!$U1810),Sync!$U1810&gt;=0,Sync!$U1810&lt;1),RIGHT("00"&amp;HOUR(Sync!$U1810),2)&amp;RIGHT("00"&amp;MINUTE(Sync!$U1810),2),IFERROR(RIGHT("00"&amp;VALUE(LEFT(Sync!$U1810,FIND(":",Sync!$U1810)-1)),2)&amp;RIGHT("00"&amp;VALUE(MID(Sync!$U1810,FIND(":",Sync!$U1810)+1,2)),2),"0000"))))</f>
        <v/>
      </c>
    </row>
    <row r="1815">
      <c r="A1815">
        <f>IF(Sync!$T1811="","",Sync!$T1811)</f>
        <v/>
      </c>
      <c r="B1815">
        <f>IF($A1815="","",IF(ISNUMBER($A1815),IF(AND($A1815&gt;=10000101,$A1815&lt;=99991231),INT($A1815/10000),""),IFERROR(VALUE(TRIM(LEFT($A1815,FIND("/",$A1815)-1))),"")))</f>
        <v/>
      </c>
      <c r="C1815">
        <f>IF(OR($A1815="",$B1815=""),"",IF(ISNUMBER($A1815),INT(MOD($A1815,10000)/100),IFERROR(VALUE(TRIM(LEFT(MID($A1815,FIND("/",$A1815)+1,20),FIND("/",MID($A1815,FIND("/",$A1815)+1,20))-1))),"")))</f>
        <v/>
      </c>
      <c r="D1815">
        <f>IF(OR($A1815="",$B1815=""),"",IF(ISNUMBER($A1815),MOD($A1815,100),IFERROR(VALUE(TRIM(MID(MID($A1815,FIND("/",$A1815)+1,20),FIND("/",MID($A1815,FIND("/",$A1815)+1,20))+1,20))),"")))</f>
        <v/>
      </c>
      <c r="E1815">
        <f>IF($A1815="","",IF(OR($B1815="",$C1815="",$D1815="",$B1815&lt;1300,$B1815&gt;1500,$C1815&lt;1,$C1815&gt;12,$D1815&lt;1,$D1815&gt;31),"نامعتبر",RIGHT("0000"&amp;$B1815,4)&amp;"/"&amp;RIGHT("00"&amp;$C1815,2)&amp;"/"&amp;RIGHT("00"&amp;$D1815,2)))</f>
        <v/>
      </c>
      <c r="F1815">
        <f>IF(OR($E1815="",$E1815="نامعتبر"),"",LEFT($E1815,4)&amp;"/"&amp;MID($E1815,6,2))</f>
        <v/>
      </c>
      <c r="G1815">
        <f>IF(OR($E1815="",$E1815="نامعتبر",Sync!$X1811=""),"",IF(AND(LEFT(UPPER(TRIM(Sync!$X1811)),2)="SL",IFERROR(VLOOKUP(Sync!$W1811,OpTbl,3,0),"")="فروش"),UPPER(TRIM(Sync!$X1811)),""))</f>
        <v/>
      </c>
      <c r="H1815">
        <f>IF($G1815="","",IF(Sync!$W1811="","",Sync!$W1811))</f>
        <v/>
      </c>
      <c r="I1815">
        <f>IF(OR($G1815="",Sync!$Y1811=""),"",Sync!$Y1811)</f>
        <v/>
      </c>
      <c r="J1815">
        <f>IF(OR($G1815="",Sync!$Z1811=""),"",Sync!$Z1811)</f>
        <v/>
      </c>
      <c r="K1815">
        <f>IF($G1815="",0,IF(Sync!$AA1811="",0,Sync!$AA1811))</f>
        <v/>
      </c>
      <c r="L1815">
        <f>IF($G1815="",0,IF(Sync!$AB1811="",0,Sync!$AB1811))</f>
        <v/>
      </c>
      <c r="M1815">
        <f>IF($G1815="","",IF($H1815="مرجوعی فروش",-1,1)*($K1815-$L1815*IFERROR(VLOOKUP("P01",ParamTbl,3,0),1.5)))</f>
        <v/>
      </c>
      <c r="N1815">
        <f>IF($G1815="",0,IF($H1815="مرجوعی فروش",-1,1)*IF(Sync!$AC1811="",0,Sync!$AC1811))</f>
        <v/>
      </c>
      <c r="O1815">
        <f>IF(OR($G1815="",Sync!$V1811=""),"",Sync!$V1811)</f>
        <v/>
      </c>
      <c r="P1815">
        <f>IF(OR($G1815="",Sync!$AD1811=""),"",Sync!$AD1811)</f>
        <v/>
      </c>
      <c r="Q1815">
        <f>IF($G1815="","",IF(Sync!$U1811="","0000",IF(AND(ISNUMBER(Sync!$U1811),Sync!$U1811&gt;=0,Sync!$U1811&lt;1),RIGHT("00"&amp;HOUR(Sync!$U1811),2)&amp;RIGHT("00"&amp;MINUTE(Sync!$U1811),2),IFERROR(RIGHT("00"&amp;VALUE(LEFT(Sync!$U1811,FIND(":",Sync!$U1811)-1)),2)&amp;RIGHT("00"&amp;VALUE(MID(Sync!$U1811,FIND(":",Sync!$U1811)+1,2)),2),"0000"))))</f>
        <v/>
      </c>
    </row>
    <row r="1816">
      <c r="A1816">
        <f>IF(Sync!$T1812="","",Sync!$T1812)</f>
        <v/>
      </c>
      <c r="B1816">
        <f>IF($A1816="","",IF(ISNUMBER($A1816),IF(AND($A1816&gt;=10000101,$A1816&lt;=99991231),INT($A1816/10000),""),IFERROR(VALUE(TRIM(LEFT($A1816,FIND("/",$A1816)-1))),"")))</f>
        <v/>
      </c>
      <c r="C1816">
        <f>IF(OR($A1816="",$B1816=""),"",IF(ISNUMBER($A1816),INT(MOD($A1816,10000)/100),IFERROR(VALUE(TRIM(LEFT(MID($A1816,FIND("/",$A1816)+1,20),FIND("/",MID($A1816,FIND("/",$A1816)+1,20))-1))),"")))</f>
        <v/>
      </c>
      <c r="D1816">
        <f>IF(OR($A1816="",$B1816=""),"",IF(ISNUMBER($A1816),MOD($A1816,100),IFERROR(VALUE(TRIM(MID(MID($A1816,FIND("/",$A1816)+1,20),FIND("/",MID($A1816,FIND("/",$A1816)+1,20))+1,20))),"")))</f>
        <v/>
      </c>
      <c r="E1816">
        <f>IF($A1816="","",IF(OR($B1816="",$C1816="",$D1816="",$B1816&lt;1300,$B1816&gt;1500,$C1816&lt;1,$C1816&gt;12,$D1816&lt;1,$D1816&gt;31),"نامعتبر",RIGHT("0000"&amp;$B1816,4)&amp;"/"&amp;RIGHT("00"&amp;$C1816,2)&amp;"/"&amp;RIGHT("00"&amp;$D1816,2)))</f>
        <v/>
      </c>
      <c r="F1816">
        <f>IF(OR($E1816="",$E1816="نامعتبر"),"",LEFT($E1816,4)&amp;"/"&amp;MID($E1816,6,2))</f>
        <v/>
      </c>
      <c r="G1816">
        <f>IF(OR($E1816="",$E1816="نامعتبر",Sync!$X1812=""),"",IF(AND(LEFT(UPPER(TRIM(Sync!$X1812)),2)="SL",IFERROR(VLOOKUP(Sync!$W1812,OpTbl,3,0),"")="فروش"),UPPER(TRIM(Sync!$X1812)),""))</f>
        <v/>
      </c>
      <c r="H1816">
        <f>IF($G1816="","",IF(Sync!$W1812="","",Sync!$W1812))</f>
        <v/>
      </c>
      <c r="I1816">
        <f>IF(OR($G1816="",Sync!$Y1812=""),"",Sync!$Y1812)</f>
        <v/>
      </c>
      <c r="J1816">
        <f>IF(OR($G1816="",Sync!$Z1812=""),"",Sync!$Z1812)</f>
        <v/>
      </c>
      <c r="K1816">
        <f>IF($G1816="",0,IF(Sync!$AA1812="",0,Sync!$AA1812))</f>
        <v/>
      </c>
      <c r="L1816">
        <f>IF($G1816="",0,IF(Sync!$AB1812="",0,Sync!$AB1812))</f>
        <v/>
      </c>
      <c r="M1816">
        <f>IF($G1816="","",IF($H1816="مرجوعی فروش",-1,1)*($K1816-$L1816*IFERROR(VLOOKUP("P01",ParamTbl,3,0),1.5)))</f>
        <v/>
      </c>
      <c r="N1816">
        <f>IF($G1816="",0,IF($H1816="مرجوعی فروش",-1,1)*IF(Sync!$AC1812="",0,Sync!$AC1812))</f>
        <v/>
      </c>
      <c r="O1816">
        <f>IF(OR($G1816="",Sync!$V1812=""),"",Sync!$V1812)</f>
        <v/>
      </c>
      <c r="P1816">
        <f>IF(OR($G1816="",Sync!$AD1812=""),"",Sync!$AD1812)</f>
        <v/>
      </c>
      <c r="Q1816">
        <f>IF($G1816="","",IF(Sync!$U1812="","0000",IF(AND(ISNUMBER(Sync!$U1812),Sync!$U1812&gt;=0,Sync!$U1812&lt;1),RIGHT("00"&amp;HOUR(Sync!$U1812),2)&amp;RIGHT("00"&amp;MINUTE(Sync!$U1812),2),IFERROR(RIGHT("00"&amp;VALUE(LEFT(Sync!$U1812,FIND(":",Sync!$U1812)-1)),2)&amp;RIGHT("00"&amp;VALUE(MID(Sync!$U1812,FIND(":",Sync!$U1812)+1,2)),2),"0000"))))</f>
        <v/>
      </c>
    </row>
    <row r="1817">
      <c r="A1817">
        <f>IF(Sync!$T1813="","",Sync!$T1813)</f>
        <v/>
      </c>
      <c r="B1817">
        <f>IF($A1817="","",IF(ISNUMBER($A1817),IF(AND($A1817&gt;=10000101,$A1817&lt;=99991231),INT($A1817/10000),""),IFERROR(VALUE(TRIM(LEFT($A1817,FIND("/",$A1817)-1))),"")))</f>
        <v/>
      </c>
      <c r="C1817">
        <f>IF(OR($A1817="",$B1817=""),"",IF(ISNUMBER($A1817),INT(MOD($A1817,10000)/100),IFERROR(VALUE(TRIM(LEFT(MID($A1817,FIND("/",$A1817)+1,20),FIND("/",MID($A1817,FIND("/",$A1817)+1,20))-1))),"")))</f>
        <v/>
      </c>
      <c r="D1817">
        <f>IF(OR($A1817="",$B1817=""),"",IF(ISNUMBER($A1817),MOD($A1817,100),IFERROR(VALUE(TRIM(MID(MID($A1817,FIND("/",$A1817)+1,20),FIND("/",MID($A1817,FIND("/",$A1817)+1,20))+1,20))),"")))</f>
        <v/>
      </c>
      <c r="E1817">
        <f>IF($A1817="","",IF(OR($B1817="",$C1817="",$D1817="",$B1817&lt;1300,$B1817&gt;1500,$C1817&lt;1,$C1817&gt;12,$D1817&lt;1,$D1817&gt;31),"نامعتبر",RIGHT("0000"&amp;$B1817,4)&amp;"/"&amp;RIGHT("00"&amp;$C1817,2)&amp;"/"&amp;RIGHT("00"&amp;$D1817,2)))</f>
        <v/>
      </c>
      <c r="F1817">
        <f>IF(OR($E1817="",$E1817="نامعتبر"),"",LEFT($E1817,4)&amp;"/"&amp;MID($E1817,6,2))</f>
        <v/>
      </c>
      <c r="G1817">
        <f>IF(OR($E1817="",$E1817="نامعتبر",Sync!$X1813=""),"",IF(AND(LEFT(UPPER(TRIM(Sync!$X1813)),2)="SL",IFERROR(VLOOKUP(Sync!$W1813,OpTbl,3,0),"")="فروش"),UPPER(TRIM(Sync!$X1813)),""))</f>
        <v/>
      </c>
      <c r="H1817">
        <f>IF($G1817="","",IF(Sync!$W1813="","",Sync!$W1813))</f>
        <v/>
      </c>
      <c r="I1817">
        <f>IF(OR($G1817="",Sync!$Y1813=""),"",Sync!$Y1813)</f>
        <v/>
      </c>
      <c r="J1817">
        <f>IF(OR($G1817="",Sync!$Z1813=""),"",Sync!$Z1813)</f>
        <v/>
      </c>
      <c r="K1817">
        <f>IF($G1817="",0,IF(Sync!$AA1813="",0,Sync!$AA1813))</f>
        <v/>
      </c>
      <c r="L1817">
        <f>IF($G1817="",0,IF(Sync!$AB1813="",0,Sync!$AB1813))</f>
        <v/>
      </c>
      <c r="M1817">
        <f>IF($G1817="","",IF($H1817="مرجوعی فروش",-1,1)*($K1817-$L1817*IFERROR(VLOOKUP("P01",ParamTbl,3,0),1.5)))</f>
        <v/>
      </c>
      <c r="N1817">
        <f>IF($G1817="",0,IF($H1817="مرجوعی فروش",-1,1)*IF(Sync!$AC1813="",0,Sync!$AC1813))</f>
        <v/>
      </c>
      <c r="O1817">
        <f>IF(OR($G1817="",Sync!$V1813=""),"",Sync!$V1813)</f>
        <v/>
      </c>
      <c r="P1817">
        <f>IF(OR($G1817="",Sync!$AD1813=""),"",Sync!$AD1813)</f>
        <v/>
      </c>
      <c r="Q1817">
        <f>IF($G1817="","",IF(Sync!$U1813="","0000",IF(AND(ISNUMBER(Sync!$U1813),Sync!$U1813&gt;=0,Sync!$U1813&lt;1),RIGHT("00"&amp;HOUR(Sync!$U1813),2)&amp;RIGHT("00"&amp;MINUTE(Sync!$U1813),2),IFERROR(RIGHT("00"&amp;VALUE(LEFT(Sync!$U1813,FIND(":",Sync!$U1813)-1)),2)&amp;RIGHT("00"&amp;VALUE(MID(Sync!$U1813,FIND(":",Sync!$U1813)+1,2)),2),"0000"))))</f>
        <v/>
      </c>
    </row>
    <row r="1818">
      <c r="A1818">
        <f>IF(Sync!$T1814="","",Sync!$T1814)</f>
        <v/>
      </c>
      <c r="B1818">
        <f>IF($A1818="","",IF(ISNUMBER($A1818),IF(AND($A1818&gt;=10000101,$A1818&lt;=99991231),INT($A1818/10000),""),IFERROR(VALUE(TRIM(LEFT($A1818,FIND("/",$A1818)-1))),"")))</f>
        <v/>
      </c>
      <c r="C1818">
        <f>IF(OR($A1818="",$B1818=""),"",IF(ISNUMBER($A1818),INT(MOD($A1818,10000)/100),IFERROR(VALUE(TRIM(LEFT(MID($A1818,FIND("/",$A1818)+1,20),FIND("/",MID($A1818,FIND("/",$A1818)+1,20))-1))),"")))</f>
        <v/>
      </c>
      <c r="D1818">
        <f>IF(OR($A1818="",$B1818=""),"",IF(ISNUMBER($A1818),MOD($A1818,100),IFERROR(VALUE(TRIM(MID(MID($A1818,FIND("/",$A1818)+1,20),FIND("/",MID($A1818,FIND("/",$A1818)+1,20))+1,20))),"")))</f>
        <v/>
      </c>
      <c r="E1818">
        <f>IF($A1818="","",IF(OR($B1818="",$C1818="",$D1818="",$B1818&lt;1300,$B1818&gt;1500,$C1818&lt;1,$C1818&gt;12,$D1818&lt;1,$D1818&gt;31),"نامعتبر",RIGHT("0000"&amp;$B1818,4)&amp;"/"&amp;RIGHT("00"&amp;$C1818,2)&amp;"/"&amp;RIGHT("00"&amp;$D1818,2)))</f>
        <v/>
      </c>
      <c r="F1818">
        <f>IF(OR($E1818="",$E1818="نامعتبر"),"",LEFT($E1818,4)&amp;"/"&amp;MID($E1818,6,2))</f>
        <v/>
      </c>
      <c r="G1818">
        <f>IF(OR($E1818="",$E1818="نامعتبر",Sync!$X1814=""),"",IF(AND(LEFT(UPPER(TRIM(Sync!$X1814)),2)="SL",IFERROR(VLOOKUP(Sync!$W1814,OpTbl,3,0),"")="فروش"),UPPER(TRIM(Sync!$X1814)),""))</f>
        <v/>
      </c>
      <c r="H1818">
        <f>IF($G1818="","",IF(Sync!$W1814="","",Sync!$W1814))</f>
        <v/>
      </c>
      <c r="I1818">
        <f>IF(OR($G1818="",Sync!$Y1814=""),"",Sync!$Y1814)</f>
        <v/>
      </c>
      <c r="J1818">
        <f>IF(OR($G1818="",Sync!$Z1814=""),"",Sync!$Z1814)</f>
        <v/>
      </c>
      <c r="K1818">
        <f>IF($G1818="",0,IF(Sync!$AA1814="",0,Sync!$AA1814))</f>
        <v/>
      </c>
      <c r="L1818">
        <f>IF($G1818="",0,IF(Sync!$AB1814="",0,Sync!$AB1814))</f>
        <v/>
      </c>
      <c r="M1818">
        <f>IF($G1818="","",IF($H1818="مرجوعی فروش",-1,1)*($K1818-$L1818*IFERROR(VLOOKUP("P01",ParamTbl,3,0),1.5)))</f>
        <v/>
      </c>
      <c r="N1818">
        <f>IF($G1818="",0,IF($H1818="مرجوعی فروش",-1,1)*IF(Sync!$AC1814="",0,Sync!$AC1814))</f>
        <v/>
      </c>
      <c r="O1818">
        <f>IF(OR($G1818="",Sync!$V1814=""),"",Sync!$V1814)</f>
        <v/>
      </c>
      <c r="P1818">
        <f>IF(OR($G1818="",Sync!$AD1814=""),"",Sync!$AD1814)</f>
        <v/>
      </c>
      <c r="Q1818">
        <f>IF($G1818="","",IF(Sync!$U1814="","0000",IF(AND(ISNUMBER(Sync!$U1814),Sync!$U1814&gt;=0,Sync!$U1814&lt;1),RIGHT("00"&amp;HOUR(Sync!$U1814),2)&amp;RIGHT("00"&amp;MINUTE(Sync!$U1814),2),IFERROR(RIGHT("00"&amp;VALUE(LEFT(Sync!$U1814,FIND(":",Sync!$U1814)-1)),2)&amp;RIGHT("00"&amp;VALUE(MID(Sync!$U1814,FIND(":",Sync!$U1814)+1,2)),2),"0000"))))</f>
        <v/>
      </c>
    </row>
    <row r="1819">
      <c r="A1819">
        <f>IF(Sync!$T1815="","",Sync!$T1815)</f>
        <v/>
      </c>
      <c r="B1819">
        <f>IF($A1819="","",IF(ISNUMBER($A1819),IF(AND($A1819&gt;=10000101,$A1819&lt;=99991231),INT($A1819/10000),""),IFERROR(VALUE(TRIM(LEFT($A1819,FIND("/",$A1819)-1))),"")))</f>
        <v/>
      </c>
      <c r="C1819">
        <f>IF(OR($A1819="",$B1819=""),"",IF(ISNUMBER($A1819),INT(MOD($A1819,10000)/100),IFERROR(VALUE(TRIM(LEFT(MID($A1819,FIND("/",$A1819)+1,20),FIND("/",MID($A1819,FIND("/",$A1819)+1,20))-1))),"")))</f>
        <v/>
      </c>
      <c r="D1819">
        <f>IF(OR($A1819="",$B1819=""),"",IF(ISNUMBER($A1819),MOD($A1819,100),IFERROR(VALUE(TRIM(MID(MID($A1819,FIND("/",$A1819)+1,20),FIND("/",MID($A1819,FIND("/",$A1819)+1,20))+1,20))),"")))</f>
        <v/>
      </c>
      <c r="E1819">
        <f>IF($A1819="","",IF(OR($B1819="",$C1819="",$D1819="",$B1819&lt;1300,$B1819&gt;1500,$C1819&lt;1,$C1819&gt;12,$D1819&lt;1,$D1819&gt;31),"نامعتبر",RIGHT("0000"&amp;$B1819,4)&amp;"/"&amp;RIGHT("00"&amp;$C1819,2)&amp;"/"&amp;RIGHT("00"&amp;$D1819,2)))</f>
        <v/>
      </c>
      <c r="F1819">
        <f>IF(OR($E1819="",$E1819="نامعتبر"),"",LEFT($E1819,4)&amp;"/"&amp;MID($E1819,6,2))</f>
        <v/>
      </c>
      <c r="G1819">
        <f>IF(OR($E1819="",$E1819="نامعتبر",Sync!$X1815=""),"",IF(AND(LEFT(UPPER(TRIM(Sync!$X1815)),2)="SL",IFERROR(VLOOKUP(Sync!$W1815,OpTbl,3,0),"")="فروش"),UPPER(TRIM(Sync!$X1815)),""))</f>
        <v/>
      </c>
      <c r="H1819">
        <f>IF($G1819="","",IF(Sync!$W1815="","",Sync!$W1815))</f>
        <v/>
      </c>
      <c r="I1819">
        <f>IF(OR($G1819="",Sync!$Y1815=""),"",Sync!$Y1815)</f>
        <v/>
      </c>
      <c r="J1819">
        <f>IF(OR($G1819="",Sync!$Z1815=""),"",Sync!$Z1815)</f>
        <v/>
      </c>
      <c r="K1819">
        <f>IF($G1819="",0,IF(Sync!$AA1815="",0,Sync!$AA1815))</f>
        <v/>
      </c>
      <c r="L1819">
        <f>IF($G1819="",0,IF(Sync!$AB1815="",0,Sync!$AB1815))</f>
        <v/>
      </c>
      <c r="M1819">
        <f>IF($G1819="","",IF($H1819="مرجوعی فروش",-1,1)*($K1819-$L1819*IFERROR(VLOOKUP("P01",ParamTbl,3,0),1.5)))</f>
        <v/>
      </c>
      <c r="N1819">
        <f>IF($G1819="",0,IF($H1819="مرجوعی فروش",-1,1)*IF(Sync!$AC1815="",0,Sync!$AC1815))</f>
        <v/>
      </c>
      <c r="O1819">
        <f>IF(OR($G1819="",Sync!$V1815=""),"",Sync!$V1815)</f>
        <v/>
      </c>
      <c r="P1819">
        <f>IF(OR($G1819="",Sync!$AD1815=""),"",Sync!$AD1815)</f>
        <v/>
      </c>
      <c r="Q1819">
        <f>IF($G1819="","",IF(Sync!$U1815="","0000",IF(AND(ISNUMBER(Sync!$U1815),Sync!$U1815&gt;=0,Sync!$U1815&lt;1),RIGHT("00"&amp;HOUR(Sync!$U1815),2)&amp;RIGHT("00"&amp;MINUTE(Sync!$U1815),2),IFERROR(RIGHT("00"&amp;VALUE(LEFT(Sync!$U1815,FIND(":",Sync!$U1815)-1)),2)&amp;RIGHT("00"&amp;VALUE(MID(Sync!$U1815,FIND(":",Sync!$U1815)+1,2)),2),"0000"))))</f>
        <v/>
      </c>
    </row>
    <row r="1820">
      <c r="A1820">
        <f>IF(Sync!$T1816="","",Sync!$T1816)</f>
        <v/>
      </c>
      <c r="B1820">
        <f>IF($A1820="","",IF(ISNUMBER($A1820),IF(AND($A1820&gt;=10000101,$A1820&lt;=99991231),INT($A1820/10000),""),IFERROR(VALUE(TRIM(LEFT($A1820,FIND("/",$A1820)-1))),"")))</f>
        <v/>
      </c>
      <c r="C1820">
        <f>IF(OR($A1820="",$B1820=""),"",IF(ISNUMBER($A1820),INT(MOD($A1820,10000)/100),IFERROR(VALUE(TRIM(LEFT(MID($A1820,FIND("/",$A1820)+1,20),FIND("/",MID($A1820,FIND("/",$A1820)+1,20))-1))),"")))</f>
        <v/>
      </c>
      <c r="D1820">
        <f>IF(OR($A1820="",$B1820=""),"",IF(ISNUMBER($A1820),MOD($A1820,100),IFERROR(VALUE(TRIM(MID(MID($A1820,FIND("/",$A1820)+1,20),FIND("/",MID($A1820,FIND("/",$A1820)+1,20))+1,20))),"")))</f>
        <v/>
      </c>
      <c r="E1820">
        <f>IF($A1820="","",IF(OR($B1820="",$C1820="",$D1820="",$B1820&lt;1300,$B1820&gt;1500,$C1820&lt;1,$C1820&gt;12,$D1820&lt;1,$D1820&gt;31),"نامعتبر",RIGHT("0000"&amp;$B1820,4)&amp;"/"&amp;RIGHT("00"&amp;$C1820,2)&amp;"/"&amp;RIGHT("00"&amp;$D1820,2)))</f>
        <v/>
      </c>
      <c r="F1820">
        <f>IF(OR($E1820="",$E1820="نامعتبر"),"",LEFT($E1820,4)&amp;"/"&amp;MID($E1820,6,2))</f>
        <v/>
      </c>
      <c r="G1820">
        <f>IF(OR($E1820="",$E1820="نامعتبر",Sync!$X1816=""),"",IF(AND(LEFT(UPPER(TRIM(Sync!$X1816)),2)="SL",IFERROR(VLOOKUP(Sync!$W1816,OpTbl,3,0),"")="فروش"),UPPER(TRIM(Sync!$X1816)),""))</f>
        <v/>
      </c>
      <c r="H1820">
        <f>IF($G1820="","",IF(Sync!$W1816="","",Sync!$W1816))</f>
        <v/>
      </c>
      <c r="I1820">
        <f>IF(OR($G1820="",Sync!$Y1816=""),"",Sync!$Y1816)</f>
        <v/>
      </c>
      <c r="J1820">
        <f>IF(OR($G1820="",Sync!$Z1816=""),"",Sync!$Z1816)</f>
        <v/>
      </c>
      <c r="K1820">
        <f>IF($G1820="",0,IF(Sync!$AA1816="",0,Sync!$AA1816))</f>
        <v/>
      </c>
      <c r="L1820">
        <f>IF($G1820="",0,IF(Sync!$AB1816="",0,Sync!$AB1816))</f>
        <v/>
      </c>
      <c r="M1820">
        <f>IF($G1820="","",IF($H1820="مرجوعی فروش",-1,1)*($K1820-$L1820*IFERROR(VLOOKUP("P01",ParamTbl,3,0),1.5)))</f>
        <v/>
      </c>
      <c r="N1820">
        <f>IF($G1820="",0,IF($H1820="مرجوعی فروش",-1,1)*IF(Sync!$AC1816="",0,Sync!$AC1816))</f>
        <v/>
      </c>
      <c r="O1820">
        <f>IF(OR($G1820="",Sync!$V1816=""),"",Sync!$V1816)</f>
        <v/>
      </c>
      <c r="P1820">
        <f>IF(OR($G1820="",Sync!$AD1816=""),"",Sync!$AD1816)</f>
        <v/>
      </c>
      <c r="Q1820">
        <f>IF($G1820="","",IF(Sync!$U1816="","0000",IF(AND(ISNUMBER(Sync!$U1816),Sync!$U1816&gt;=0,Sync!$U1816&lt;1),RIGHT("00"&amp;HOUR(Sync!$U1816),2)&amp;RIGHT("00"&amp;MINUTE(Sync!$U1816),2),IFERROR(RIGHT("00"&amp;VALUE(LEFT(Sync!$U1816,FIND(":",Sync!$U1816)-1)),2)&amp;RIGHT("00"&amp;VALUE(MID(Sync!$U1816,FIND(":",Sync!$U1816)+1,2)),2),"0000"))))</f>
        <v/>
      </c>
    </row>
    <row r="1821">
      <c r="A1821">
        <f>IF(Sync!$T1817="","",Sync!$T1817)</f>
        <v/>
      </c>
      <c r="B1821">
        <f>IF($A1821="","",IF(ISNUMBER($A1821),IF(AND($A1821&gt;=10000101,$A1821&lt;=99991231),INT($A1821/10000),""),IFERROR(VALUE(TRIM(LEFT($A1821,FIND("/",$A1821)-1))),"")))</f>
        <v/>
      </c>
      <c r="C1821">
        <f>IF(OR($A1821="",$B1821=""),"",IF(ISNUMBER($A1821),INT(MOD($A1821,10000)/100),IFERROR(VALUE(TRIM(LEFT(MID($A1821,FIND("/",$A1821)+1,20),FIND("/",MID($A1821,FIND("/",$A1821)+1,20))-1))),"")))</f>
        <v/>
      </c>
      <c r="D1821">
        <f>IF(OR($A1821="",$B1821=""),"",IF(ISNUMBER($A1821),MOD($A1821,100),IFERROR(VALUE(TRIM(MID(MID($A1821,FIND("/",$A1821)+1,20),FIND("/",MID($A1821,FIND("/",$A1821)+1,20))+1,20))),"")))</f>
        <v/>
      </c>
      <c r="E1821">
        <f>IF($A1821="","",IF(OR($B1821="",$C1821="",$D1821="",$B1821&lt;1300,$B1821&gt;1500,$C1821&lt;1,$C1821&gt;12,$D1821&lt;1,$D1821&gt;31),"نامعتبر",RIGHT("0000"&amp;$B1821,4)&amp;"/"&amp;RIGHT("00"&amp;$C1821,2)&amp;"/"&amp;RIGHT("00"&amp;$D1821,2)))</f>
        <v/>
      </c>
      <c r="F1821">
        <f>IF(OR($E1821="",$E1821="نامعتبر"),"",LEFT($E1821,4)&amp;"/"&amp;MID($E1821,6,2))</f>
        <v/>
      </c>
      <c r="G1821">
        <f>IF(OR($E1821="",$E1821="نامعتبر",Sync!$X1817=""),"",IF(AND(LEFT(UPPER(TRIM(Sync!$X1817)),2)="SL",IFERROR(VLOOKUP(Sync!$W1817,OpTbl,3,0),"")="فروش"),UPPER(TRIM(Sync!$X1817)),""))</f>
        <v/>
      </c>
      <c r="H1821">
        <f>IF($G1821="","",IF(Sync!$W1817="","",Sync!$W1817))</f>
        <v/>
      </c>
      <c r="I1821">
        <f>IF(OR($G1821="",Sync!$Y1817=""),"",Sync!$Y1817)</f>
        <v/>
      </c>
      <c r="J1821">
        <f>IF(OR($G1821="",Sync!$Z1817=""),"",Sync!$Z1817)</f>
        <v/>
      </c>
      <c r="K1821">
        <f>IF($G1821="",0,IF(Sync!$AA1817="",0,Sync!$AA1817))</f>
        <v/>
      </c>
      <c r="L1821">
        <f>IF($G1821="",0,IF(Sync!$AB1817="",0,Sync!$AB1817))</f>
        <v/>
      </c>
      <c r="M1821">
        <f>IF($G1821="","",IF($H1821="مرجوعی فروش",-1,1)*($K1821-$L1821*IFERROR(VLOOKUP("P01",ParamTbl,3,0),1.5)))</f>
        <v/>
      </c>
      <c r="N1821">
        <f>IF($G1821="",0,IF($H1821="مرجوعی فروش",-1,1)*IF(Sync!$AC1817="",0,Sync!$AC1817))</f>
        <v/>
      </c>
      <c r="O1821">
        <f>IF(OR($G1821="",Sync!$V1817=""),"",Sync!$V1817)</f>
        <v/>
      </c>
      <c r="P1821">
        <f>IF(OR($G1821="",Sync!$AD1817=""),"",Sync!$AD1817)</f>
        <v/>
      </c>
      <c r="Q1821">
        <f>IF($G1821="","",IF(Sync!$U1817="","0000",IF(AND(ISNUMBER(Sync!$U1817),Sync!$U1817&gt;=0,Sync!$U1817&lt;1),RIGHT("00"&amp;HOUR(Sync!$U1817),2)&amp;RIGHT("00"&amp;MINUTE(Sync!$U1817),2),IFERROR(RIGHT("00"&amp;VALUE(LEFT(Sync!$U1817,FIND(":",Sync!$U1817)-1)),2)&amp;RIGHT("00"&amp;VALUE(MID(Sync!$U1817,FIND(":",Sync!$U1817)+1,2)),2),"0000"))))</f>
        <v/>
      </c>
    </row>
    <row r="1822">
      <c r="A1822">
        <f>IF(Sync!$T1818="","",Sync!$T1818)</f>
        <v/>
      </c>
      <c r="B1822">
        <f>IF($A1822="","",IF(ISNUMBER($A1822),IF(AND($A1822&gt;=10000101,$A1822&lt;=99991231),INT($A1822/10000),""),IFERROR(VALUE(TRIM(LEFT($A1822,FIND("/",$A1822)-1))),"")))</f>
        <v/>
      </c>
      <c r="C1822">
        <f>IF(OR($A1822="",$B1822=""),"",IF(ISNUMBER($A1822),INT(MOD($A1822,10000)/100),IFERROR(VALUE(TRIM(LEFT(MID($A1822,FIND("/",$A1822)+1,20),FIND("/",MID($A1822,FIND("/",$A1822)+1,20))-1))),"")))</f>
        <v/>
      </c>
      <c r="D1822">
        <f>IF(OR($A1822="",$B1822=""),"",IF(ISNUMBER($A1822),MOD($A1822,100),IFERROR(VALUE(TRIM(MID(MID($A1822,FIND("/",$A1822)+1,20),FIND("/",MID($A1822,FIND("/",$A1822)+1,20))+1,20))),"")))</f>
        <v/>
      </c>
      <c r="E1822">
        <f>IF($A1822="","",IF(OR($B1822="",$C1822="",$D1822="",$B1822&lt;1300,$B1822&gt;1500,$C1822&lt;1,$C1822&gt;12,$D1822&lt;1,$D1822&gt;31),"نامعتبر",RIGHT("0000"&amp;$B1822,4)&amp;"/"&amp;RIGHT("00"&amp;$C1822,2)&amp;"/"&amp;RIGHT("00"&amp;$D1822,2)))</f>
        <v/>
      </c>
      <c r="F1822">
        <f>IF(OR($E1822="",$E1822="نامعتبر"),"",LEFT($E1822,4)&amp;"/"&amp;MID($E1822,6,2))</f>
        <v/>
      </c>
      <c r="G1822">
        <f>IF(OR($E1822="",$E1822="نامعتبر",Sync!$X1818=""),"",IF(AND(LEFT(UPPER(TRIM(Sync!$X1818)),2)="SL",IFERROR(VLOOKUP(Sync!$W1818,OpTbl,3,0),"")="فروش"),UPPER(TRIM(Sync!$X1818)),""))</f>
        <v/>
      </c>
      <c r="H1822">
        <f>IF($G1822="","",IF(Sync!$W1818="","",Sync!$W1818))</f>
        <v/>
      </c>
      <c r="I1822">
        <f>IF(OR($G1822="",Sync!$Y1818=""),"",Sync!$Y1818)</f>
        <v/>
      </c>
      <c r="J1822">
        <f>IF(OR($G1822="",Sync!$Z1818=""),"",Sync!$Z1818)</f>
        <v/>
      </c>
      <c r="K1822">
        <f>IF($G1822="",0,IF(Sync!$AA1818="",0,Sync!$AA1818))</f>
        <v/>
      </c>
      <c r="L1822">
        <f>IF($G1822="",0,IF(Sync!$AB1818="",0,Sync!$AB1818))</f>
        <v/>
      </c>
      <c r="M1822">
        <f>IF($G1822="","",IF($H1822="مرجوعی فروش",-1,1)*($K1822-$L1822*IFERROR(VLOOKUP("P01",ParamTbl,3,0),1.5)))</f>
        <v/>
      </c>
      <c r="N1822">
        <f>IF($G1822="",0,IF($H1822="مرجوعی فروش",-1,1)*IF(Sync!$AC1818="",0,Sync!$AC1818))</f>
        <v/>
      </c>
      <c r="O1822">
        <f>IF(OR($G1822="",Sync!$V1818=""),"",Sync!$V1818)</f>
        <v/>
      </c>
      <c r="P1822">
        <f>IF(OR($G1822="",Sync!$AD1818=""),"",Sync!$AD1818)</f>
        <v/>
      </c>
      <c r="Q1822">
        <f>IF($G1822="","",IF(Sync!$U1818="","0000",IF(AND(ISNUMBER(Sync!$U1818),Sync!$U1818&gt;=0,Sync!$U1818&lt;1),RIGHT("00"&amp;HOUR(Sync!$U1818),2)&amp;RIGHT("00"&amp;MINUTE(Sync!$U1818),2),IFERROR(RIGHT("00"&amp;VALUE(LEFT(Sync!$U1818,FIND(":",Sync!$U1818)-1)),2)&amp;RIGHT("00"&amp;VALUE(MID(Sync!$U1818,FIND(":",Sync!$U1818)+1,2)),2),"0000"))))</f>
        <v/>
      </c>
    </row>
    <row r="1823">
      <c r="A1823">
        <f>IF(Sync!$T1819="","",Sync!$T1819)</f>
        <v/>
      </c>
      <c r="B1823">
        <f>IF($A1823="","",IF(ISNUMBER($A1823),IF(AND($A1823&gt;=10000101,$A1823&lt;=99991231),INT($A1823/10000),""),IFERROR(VALUE(TRIM(LEFT($A1823,FIND("/",$A1823)-1))),"")))</f>
        <v/>
      </c>
      <c r="C1823">
        <f>IF(OR($A1823="",$B1823=""),"",IF(ISNUMBER($A1823),INT(MOD($A1823,10000)/100),IFERROR(VALUE(TRIM(LEFT(MID($A1823,FIND("/",$A1823)+1,20),FIND("/",MID($A1823,FIND("/",$A1823)+1,20))-1))),"")))</f>
        <v/>
      </c>
      <c r="D1823">
        <f>IF(OR($A1823="",$B1823=""),"",IF(ISNUMBER($A1823),MOD($A1823,100),IFERROR(VALUE(TRIM(MID(MID($A1823,FIND("/",$A1823)+1,20),FIND("/",MID($A1823,FIND("/",$A1823)+1,20))+1,20))),"")))</f>
        <v/>
      </c>
      <c r="E1823">
        <f>IF($A1823="","",IF(OR($B1823="",$C1823="",$D1823="",$B1823&lt;1300,$B1823&gt;1500,$C1823&lt;1,$C1823&gt;12,$D1823&lt;1,$D1823&gt;31),"نامعتبر",RIGHT("0000"&amp;$B1823,4)&amp;"/"&amp;RIGHT("00"&amp;$C1823,2)&amp;"/"&amp;RIGHT("00"&amp;$D1823,2)))</f>
        <v/>
      </c>
      <c r="F1823">
        <f>IF(OR($E1823="",$E1823="نامعتبر"),"",LEFT($E1823,4)&amp;"/"&amp;MID($E1823,6,2))</f>
        <v/>
      </c>
      <c r="G1823">
        <f>IF(OR($E1823="",$E1823="نامعتبر",Sync!$X1819=""),"",IF(AND(LEFT(UPPER(TRIM(Sync!$X1819)),2)="SL",IFERROR(VLOOKUP(Sync!$W1819,OpTbl,3,0),"")="فروش"),UPPER(TRIM(Sync!$X1819)),""))</f>
        <v/>
      </c>
      <c r="H1823">
        <f>IF($G1823="","",IF(Sync!$W1819="","",Sync!$W1819))</f>
        <v/>
      </c>
      <c r="I1823">
        <f>IF(OR($G1823="",Sync!$Y1819=""),"",Sync!$Y1819)</f>
        <v/>
      </c>
      <c r="J1823">
        <f>IF(OR($G1823="",Sync!$Z1819=""),"",Sync!$Z1819)</f>
        <v/>
      </c>
      <c r="K1823">
        <f>IF($G1823="",0,IF(Sync!$AA1819="",0,Sync!$AA1819))</f>
        <v/>
      </c>
      <c r="L1823">
        <f>IF($G1823="",0,IF(Sync!$AB1819="",0,Sync!$AB1819))</f>
        <v/>
      </c>
      <c r="M1823">
        <f>IF($G1823="","",IF($H1823="مرجوعی فروش",-1,1)*($K1823-$L1823*IFERROR(VLOOKUP("P01",ParamTbl,3,0),1.5)))</f>
        <v/>
      </c>
      <c r="N1823">
        <f>IF($G1823="",0,IF($H1823="مرجوعی فروش",-1,1)*IF(Sync!$AC1819="",0,Sync!$AC1819))</f>
        <v/>
      </c>
      <c r="O1823">
        <f>IF(OR($G1823="",Sync!$V1819=""),"",Sync!$V1819)</f>
        <v/>
      </c>
      <c r="P1823">
        <f>IF(OR($G1823="",Sync!$AD1819=""),"",Sync!$AD1819)</f>
        <v/>
      </c>
      <c r="Q1823">
        <f>IF($G1823="","",IF(Sync!$U1819="","0000",IF(AND(ISNUMBER(Sync!$U1819),Sync!$U1819&gt;=0,Sync!$U1819&lt;1),RIGHT("00"&amp;HOUR(Sync!$U1819),2)&amp;RIGHT("00"&amp;MINUTE(Sync!$U1819),2),IFERROR(RIGHT("00"&amp;VALUE(LEFT(Sync!$U1819,FIND(":",Sync!$U1819)-1)),2)&amp;RIGHT("00"&amp;VALUE(MID(Sync!$U1819,FIND(":",Sync!$U1819)+1,2)),2),"0000"))))</f>
        <v/>
      </c>
    </row>
    <row r="1824">
      <c r="A1824">
        <f>IF(Sync!$T1820="","",Sync!$T1820)</f>
        <v/>
      </c>
      <c r="B1824">
        <f>IF($A1824="","",IF(ISNUMBER($A1824),IF(AND($A1824&gt;=10000101,$A1824&lt;=99991231),INT($A1824/10000),""),IFERROR(VALUE(TRIM(LEFT($A1824,FIND("/",$A1824)-1))),"")))</f>
        <v/>
      </c>
      <c r="C1824">
        <f>IF(OR($A1824="",$B1824=""),"",IF(ISNUMBER($A1824),INT(MOD($A1824,10000)/100),IFERROR(VALUE(TRIM(LEFT(MID($A1824,FIND("/",$A1824)+1,20),FIND("/",MID($A1824,FIND("/",$A1824)+1,20))-1))),"")))</f>
        <v/>
      </c>
      <c r="D1824">
        <f>IF(OR($A1824="",$B1824=""),"",IF(ISNUMBER($A1824),MOD($A1824,100),IFERROR(VALUE(TRIM(MID(MID($A1824,FIND("/",$A1824)+1,20),FIND("/",MID($A1824,FIND("/",$A1824)+1,20))+1,20))),"")))</f>
        <v/>
      </c>
      <c r="E1824">
        <f>IF($A1824="","",IF(OR($B1824="",$C1824="",$D1824="",$B1824&lt;1300,$B1824&gt;1500,$C1824&lt;1,$C1824&gt;12,$D1824&lt;1,$D1824&gt;31),"نامعتبر",RIGHT("0000"&amp;$B1824,4)&amp;"/"&amp;RIGHT("00"&amp;$C1824,2)&amp;"/"&amp;RIGHT("00"&amp;$D1824,2)))</f>
        <v/>
      </c>
      <c r="F1824">
        <f>IF(OR($E1824="",$E1824="نامعتبر"),"",LEFT($E1824,4)&amp;"/"&amp;MID($E1824,6,2))</f>
        <v/>
      </c>
      <c r="G1824">
        <f>IF(OR($E1824="",$E1824="نامعتبر",Sync!$X1820=""),"",IF(AND(LEFT(UPPER(TRIM(Sync!$X1820)),2)="SL",IFERROR(VLOOKUP(Sync!$W1820,OpTbl,3,0),"")="فروش"),UPPER(TRIM(Sync!$X1820)),""))</f>
        <v/>
      </c>
      <c r="H1824">
        <f>IF($G1824="","",IF(Sync!$W1820="","",Sync!$W1820))</f>
        <v/>
      </c>
      <c r="I1824">
        <f>IF(OR($G1824="",Sync!$Y1820=""),"",Sync!$Y1820)</f>
        <v/>
      </c>
      <c r="J1824">
        <f>IF(OR($G1824="",Sync!$Z1820=""),"",Sync!$Z1820)</f>
        <v/>
      </c>
      <c r="K1824">
        <f>IF($G1824="",0,IF(Sync!$AA1820="",0,Sync!$AA1820))</f>
        <v/>
      </c>
      <c r="L1824">
        <f>IF($G1824="",0,IF(Sync!$AB1820="",0,Sync!$AB1820))</f>
        <v/>
      </c>
      <c r="M1824">
        <f>IF($G1824="","",IF($H1824="مرجوعی فروش",-1,1)*($K1824-$L1824*IFERROR(VLOOKUP("P01",ParamTbl,3,0),1.5)))</f>
        <v/>
      </c>
      <c r="N1824">
        <f>IF($G1824="",0,IF($H1824="مرجوعی فروش",-1,1)*IF(Sync!$AC1820="",0,Sync!$AC1820))</f>
        <v/>
      </c>
      <c r="O1824">
        <f>IF(OR($G1824="",Sync!$V1820=""),"",Sync!$V1820)</f>
        <v/>
      </c>
      <c r="P1824">
        <f>IF(OR($G1824="",Sync!$AD1820=""),"",Sync!$AD1820)</f>
        <v/>
      </c>
      <c r="Q1824">
        <f>IF($G1824="","",IF(Sync!$U1820="","0000",IF(AND(ISNUMBER(Sync!$U1820),Sync!$U1820&gt;=0,Sync!$U1820&lt;1),RIGHT("00"&amp;HOUR(Sync!$U1820),2)&amp;RIGHT("00"&amp;MINUTE(Sync!$U1820),2),IFERROR(RIGHT("00"&amp;VALUE(LEFT(Sync!$U1820,FIND(":",Sync!$U1820)-1)),2)&amp;RIGHT("00"&amp;VALUE(MID(Sync!$U1820,FIND(":",Sync!$U1820)+1,2)),2),"0000"))))</f>
        <v/>
      </c>
    </row>
    <row r="1825">
      <c r="A1825">
        <f>IF(Sync!$T1821="","",Sync!$T1821)</f>
        <v/>
      </c>
      <c r="B1825">
        <f>IF($A1825="","",IF(ISNUMBER($A1825),IF(AND($A1825&gt;=10000101,$A1825&lt;=99991231),INT($A1825/10000),""),IFERROR(VALUE(TRIM(LEFT($A1825,FIND("/",$A1825)-1))),"")))</f>
        <v/>
      </c>
      <c r="C1825">
        <f>IF(OR($A1825="",$B1825=""),"",IF(ISNUMBER($A1825),INT(MOD($A1825,10000)/100),IFERROR(VALUE(TRIM(LEFT(MID($A1825,FIND("/",$A1825)+1,20),FIND("/",MID($A1825,FIND("/",$A1825)+1,20))-1))),"")))</f>
        <v/>
      </c>
      <c r="D1825">
        <f>IF(OR($A1825="",$B1825=""),"",IF(ISNUMBER($A1825),MOD($A1825,100),IFERROR(VALUE(TRIM(MID(MID($A1825,FIND("/",$A1825)+1,20),FIND("/",MID($A1825,FIND("/",$A1825)+1,20))+1,20))),"")))</f>
        <v/>
      </c>
      <c r="E1825">
        <f>IF($A1825="","",IF(OR($B1825="",$C1825="",$D1825="",$B1825&lt;1300,$B1825&gt;1500,$C1825&lt;1,$C1825&gt;12,$D1825&lt;1,$D1825&gt;31),"نامعتبر",RIGHT("0000"&amp;$B1825,4)&amp;"/"&amp;RIGHT("00"&amp;$C1825,2)&amp;"/"&amp;RIGHT("00"&amp;$D1825,2)))</f>
        <v/>
      </c>
      <c r="F1825">
        <f>IF(OR($E1825="",$E1825="نامعتبر"),"",LEFT($E1825,4)&amp;"/"&amp;MID($E1825,6,2))</f>
        <v/>
      </c>
      <c r="G1825">
        <f>IF(OR($E1825="",$E1825="نامعتبر",Sync!$X1821=""),"",IF(AND(LEFT(UPPER(TRIM(Sync!$X1821)),2)="SL",IFERROR(VLOOKUP(Sync!$W1821,OpTbl,3,0),"")="فروش"),UPPER(TRIM(Sync!$X1821)),""))</f>
        <v/>
      </c>
      <c r="H1825">
        <f>IF($G1825="","",IF(Sync!$W1821="","",Sync!$W1821))</f>
        <v/>
      </c>
      <c r="I1825">
        <f>IF(OR($G1825="",Sync!$Y1821=""),"",Sync!$Y1821)</f>
        <v/>
      </c>
      <c r="J1825">
        <f>IF(OR($G1825="",Sync!$Z1821=""),"",Sync!$Z1821)</f>
        <v/>
      </c>
      <c r="K1825">
        <f>IF($G1825="",0,IF(Sync!$AA1821="",0,Sync!$AA1821))</f>
        <v/>
      </c>
      <c r="L1825">
        <f>IF($G1825="",0,IF(Sync!$AB1821="",0,Sync!$AB1821))</f>
        <v/>
      </c>
      <c r="M1825">
        <f>IF($G1825="","",IF($H1825="مرجوعی فروش",-1,1)*($K1825-$L1825*IFERROR(VLOOKUP("P01",ParamTbl,3,0),1.5)))</f>
        <v/>
      </c>
      <c r="N1825">
        <f>IF($G1825="",0,IF($H1825="مرجوعی فروش",-1,1)*IF(Sync!$AC1821="",0,Sync!$AC1821))</f>
        <v/>
      </c>
      <c r="O1825">
        <f>IF(OR($G1825="",Sync!$V1821=""),"",Sync!$V1821)</f>
        <v/>
      </c>
      <c r="P1825">
        <f>IF(OR($G1825="",Sync!$AD1821=""),"",Sync!$AD1821)</f>
        <v/>
      </c>
      <c r="Q1825">
        <f>IF($G1825="","",IF(Sync!$U1821="","0000",IF(AND(ISNUMBER(Sync!$U1821),Sync!$U1821&gt;=0,Sync!$U1821&lt;1),RIGHT("00"&amp;HOUR(Sync!$U1821),2)&amp;RIGHT("00"&amp;MINUTE(Sync!$U1821),2),IFERROR(RIGHT("00"&amp;VALUE(LEFT(Sync!$U1821,FIND(":",Sync!$U1821)-1)),2)&amp;RIGHT("00"&amp;VALUE(MID(Sync!$U1821,FIND(":",Sync!$U1821)+1,2)),2),"0000"))))</f>
        <v/>
      </c>
    </row>
    <row r="1826">
      <c r="A1826">
        <f>IF(Sync!$T1822="","",Sync!$T1822)</f>
        <v/>
      </c>
      <c r="B1826">
        <f>IF($A1826="","",IF(ISNUMBER($A1826),IF(AND($A1826&gt;=10000101,$A1826&lt;=99991231),INT($A1826/10000),""),IFERROR(VALUE(TRIM(LEFT($A1826,FIND("/",$A1826)-1))),"")))</f>
        <v/>
      </c>
      <c r="C1826">
        <f>IF(OR($A1826="",$B1826=""),"",IF(ISNUMBER($A1826),INT(MOD($A1826,10000)/100),IFERROR(VALUE(TRIM(LEFT(MID($A1826,FIND("/",$A1826)+1,20),FIND("/",MID($A1826,FIND("/",$A1826)+1,20))-1))),"")))</f>
        <v/>
      </c>
      <c r="D1826">
        <f>IF(OR($A1826="",$B1826=""),"",IF(ISNUMBER($A1826),MOD($A1826,100),IFERROR(VALUE(TRIM(MID(MID($A1826,FIND("/",$A1826)+1,20),FIND("/",MID($A1826,FIND("/",$A1826)+1,20))+1,20))),"")))</f>
        <v/>
      </c>
      <c r="E1826">
        <f>IF($A1826="","",IF(OR($B1826="",$C1826="",$D1826="",$B1826&lt;1300,$B1826&gt;1500,$C1826&lt;1,$C1826&gt;12,$D1826&lt;1,$D1826&gt;31),"نامعتبر",RIGHT("0000"&amp;$B1826,4)&amp;"/"&amp;RIGHT("00"&amp;$C1826,2)&amp;"/"&amp;RIGHT("00"&amp;$D1826,2)))</f>
        <v/>
      </c>
      <c r="F1826">
        <f>IF(OR($E1826="",$E1826="نامعتبر"),"",LEFT($E1826,4)&amp;"/"&amp;MID($E1826,6,2))</f>
        <v/>
      </c>
      <c r="G1826">
        <f>IF(OR($E1826="",$E1826="نامعتبر",Sync!$X1822=""),"",IF(AND(LEFT(UPPER(TRIM(Sync!$X1822)),2)="SL",IFERROR(VLOOKUP(Sync!$W1822,OpTbl,3,0),"")="فروش"),UPPER(TRIM(Sync!$X1822)),""))</f>
        <v/>
      </c>
      <c r="H1826">
        <f>IF($G1826="","",IF(Sync!$W1822="","",Sync!$W1822))</f>
        <v/>
      </c>
      <c r="I1826">
        <f>IF(OR($G1826="",Sync!$Y1822=""),"",Sync!$Y1822)</f>
        <v/>
      </c>
      <c r="J1826">
        <f>IF(OR($G1826="",Sync!$Z1822=""),"",Sync!$Z1822)</f>
        <v/>
      </c>
      <c r="K1826">
        <f>IF($G1826="",0,IF(Sync!$AA1822="",0,Sync!$AA1822))</f>
        <v/>
      </c>
      <c r="L1826">
        <f>IF($G1826="",0,IF(Sync!$AB1822="",0,Sync!$AB1822))</f>
        <v/>
      </c>
      <c r="M1826">
        <f>IF($G1826="","",IF($H1826="مرجوعی فروش",-1,1)*($K1826-$L1826*IFERROR(VLOOKUP("P01",ParamTbl,3,0),1.5)))</f>
        <v/>
      </c>
      <c r="N1826">
        <f>IF($G1826="",0,IF($H1826="مرجوعی فروش",-1,1)*IF(Sync!$AC1822="",0,Sync!$AC1822))</f>
        <v/>
      </c>
      <c r="O1826">
        <f>IF(OR($G1826="",Sync!$V1822=""),"",Sync!$V1822)</f>
        <v/>
      </c>
      <c r="P1826">
        <f>IF(OR($G1826="",Sync!$AD1822=""),"",Sync!$AD1822)</f>
        <v/>
      </c>
      <c r="Q1826">
        <f>IF($G1826="","",IF(Sync!$U1822="","0000",IF(AND(ISNUMBER(Sync!$U1822),Sync!$U1822&gt;=0,Sync!$U1822&lt;1),RIGHT("00"&amp;HOUR(Sync!$U1822),2)&amp;RIGHT("00"&amp;MINUTE(Sync!$U1822),2),IFERROR(RIGHT("00"&amp;VALUE(LEFT(Sync!$U1822,FIND(":",Sync!$U1822)-1)),2)&amp;RIGHT("00"&amp;VALUE(MID(Sync!$U1822,FIND(":",Sync!$U1822)+1,2)),2),"0000"))))</f>
        <v/>
      </c>
    </row>
    <row r="1827">
      <c r="A1827">
        <f>IF(Sync!$T1823="","",Sync!$T1823)</f>
        <v/>
      </c>
      <c r="B1827">
        <f>IF($A1827="","",IF(ISNUMBER($A1827),IF(AND($A1827&gt;=10000101,$A1827&lt;=99991231),INT($A1827/10000),""),IFERROR(VALUE(TRIM(LEFT($A1827,FIND("/",$A1827)-1))),"")))</f>
        <v/>
      </c>
      <c r="C1827">
        <f>IF(OR($A1827="",$B1827=""),"",IF(ISNUMBER($A1827),INT(MOD($A1827,10000)/100),IFERROR(VALUE(TRIM(LEFT(MID($A1827,FIND("/",$A1827)+1,20),FIND("/",MID($A1827,FIND("/",$A1827)+1,20))-1))),"")))</f>
        <v/>
      </c>
      <c r="D1827">
        <f>IF(OR($A1827="",$B1827=""),"",IF(ISNUMBER($A1827),MOD($A1827,100),IFERROR(VALUE(TRIM(MID(MID($A1827,FIND("/",$A1827)+1,20),FIND("/",MID($A1827,FIND("/",$A1827)+1,20))+1,20))),"")))</f>
        <v/>
      </c>
      <c r="E1827">
        <f>IF($A1827="","",IF(OR($B1827="",$C1827="",$D1827="",$B1827&lt;1300,$B1827&gt;1500,$C1827&lt;1,$C1827&gt;12,$D1827&lt;1,$D1827&gt;31),"نامعتبر",RIGHT("0000"&amp;$B1827,4)&amp;"/"&amp;RIGHT("00"&amp;$C1827,2)&amp;"/"&amp;RIGHT("00"&amp;$D1827,2)))</f>
        <v/>
      </c>
      <c r="F1827">
        <f>IF(OR($E1827="",$E1827="نامعتبر"),"",LEFT($E1827,4)&amp;"/"&amp;MID($E1827,6,2))</f>
        <v/>
      </c>
      <c r="G1827">
        <f>IF(OR($E1827="",$E1827="نامعتبر",Sync!$X1823=""),"",IF(AND(LEFT(UPPER(TRIM(Sync!$X1823)),2)="SL",IFERROR(VLOOKUP(Sync!$W1823,OpTbl,3,0),"")="فروش"),UPPER(TRIM(Sync!$X1823)),""))</f>
        <v/>
      </c>
      <c r="H1827">
        <f>IF($G1827="","",IF(Sync!$W1823="","",Sync!$W1823))</f>
        <v/>
      </c>
      <c r="I1827">
        <f>IF(OR($G1827="",Sync!$Y1823=""),"",Sync!$Y1823)</f>
        <v/>
      </c>
      <c r="J1827">
        <f>IF(OR($G1827="",Sync!$Z1823=""),"",Sync!$Z1823)</f>
        <v/>
      </c>
      <c r="K1827">
        <f>IF($G1827="",0,IF(Sync!$AA1823="",0,Sync!$AA1823))</f>
        <v/>
      </c>
      <c r="L1827">
        <f>IF($G1827="",0,IF(Sync!$AB1823="",0,Sync!$AB1823))</f>
        <v/>
      </c>
      <c r="M1827">
        <f>IF($G1827="","",IF($H1827="مرجوعی فروش",-1,1)*($K1827-$L1827*IFERROR(VLOOKUP("P01",ParamTbl,3,0),1.5)))</f>
        <v/>
      </c>
      <c r="N1827">
        <f>IF($G1827="",0,IF($H1827="مرجوعی فروش",-1,1)*IF(Sync!$AC1823="",0,Sync!$AC1823))</f>
        <v/>
      </c>
      <c r="O1827">
        <f>IF(OR($G1827="",Sync!$V1823=""),"",Sync!$V1823)</f>
        <v/>
      </c>
      <c r="P1827">
        <f>IF(OR($G1827="",Sync!$AD1823=""),"",Sync!$AD1823)</f>
        <v/>
      </c>
      <c r="Q1827">
        <f>IF($G1827="","",IF(Sync!$U1823="","0000",IF(AND(ISNUMBER(Sync!$U1823),Sync!$U1823&gt;=0,Sync!$U1823&lt;1),RIGHT("00"&amp;HOUR(Sync!$U1823),2)&amp;RIGHT("00"&amp;MINUTE(Sync!$U1823),2),IFERROR(RIGHT("00"&amp;VALUE(LEFT(Sync!$U1823,FIND(":",Sync!$U1823)-1)),2)&amp;RIGHT("00"&amp;VALUE(MID(Sync!$U1823,FIND(":",Sync!$U1823)+1,2)),2),"0000"))))</f>
        <v/>
      </c>
    </row>
    <row r="1828">
      <c r="A1828">
        <f>IF(Sync!$T1824="","",Sync!$T1824)</f>
        <v/>
      </c>
      <c r="B1828">
        <f>IF($A1828="","",IF(ISNUMBER($A1828),IF(AND($A1828&gt;=10000101,$A1828&lt;=99991231),INT($A1828/10000),""),IFERROR(VALUE(TRIM(LEFT($A1828,FIND("/",$A1828)-1))),"")))</f>
        <v/>
      </c>
      <c r="C1828">
        <f>IF(OR($A1828="",$B1828=""),"",IF(ISNUMBER($A1828),INT(MOD($A1828,10000)/100),IFERROR(VALUE(TRIM(LEFT(MID($A1828,FIND("/",$A1828)+1,20),FIND("/",MID($A1828,FIND("/",$A1828)+1,20))-1))),"")))</f>
        <v/>
      </c>
      <c r="D1828">
        <f>IF(OR($A1828="",$B1828=""),"",IF(ISNUMBER($A1828),MOD($A1828,100),IFERROR(VALUE(TRIM(MID(MID($A1828,FIND("/",$A1828)+1,20),FIND("/",MID($A1828,FIND("/",$A1828)+1,20))+1,20))),"")))</f>
        <v/>
      </c>
      <c r="E1828">
        <f>IF($A1828="","",IF(OR($B1828="",$C1828="",$D1828="",$B1828&lt;1300,$B1828&gt;1500,$C1828&lt;1,$C1828&gt;12,$D1828&lt;1,$D1828&gt;31),"نامعتبر",RIGHT("0000"&amp;$B1828,4)&amp;"/"&amp;RIGHT("00"&amp;$C1828,2)&amp;"/"&amp;RIGHT("00"&amp;$D1828,2)))</f>
        <v/>
      </c>
      <c r="F1828">
        <f>IF(OR($E1828="",$E1828="نامعتبر"),"",LEFT($E1828,4)&amp;"/"&amp;MID($E1828,6,2))</f>
        <v/>
      </c>
      <c r="G1828">
        <f>IF(OR($E1828="",$E1828="نامعتبر",Sync!$X1824=""),"",IF(AND(LEFT(UPPER(TRIM(Sync!$X1824)),2)="SL",IFERROR(VLOOKUP(Sync!$W1824,OpTbl,3,0),"")="فروش"),UPPER(TRIM(Sync!$X1824)),""))</f>
        <v/>
      </c>
      <c r="H1828">
        <f>IF($G1828="","",IF(Sync!$W1824="","",Sync!$W1824))</f>
        <v/>
      </c>
      <c r="I1828">
        <f>IF(OR($G1828="",Sync!$Y1824=""),"",Sync!$Y1824)</f>
        <v/>
      </c>
      <c r="J1828">
        <f>IF(OR($G1828="",Sync!$Z1824=""),"",Sync!$Z1824)</f>
        <v/>
      </c>
      <c r="K1828">
        <f>IF($G1828="",0,IF(Sync!$AA1824="",0,Sync!$AA1824))</f>
        <v/>
      </c>
      <c r="L1828">
        <f>IF($G1828="",0,IF(Sync!$AB1824="",0,Sync!$AB1824))</f>
        <v/>
      </c>
      <c r="M1828">
        <f>IF($G1828="","",IF($H1828="مرجوعی فروش",-1,1)*($K1828-$L1828*IFERROR(VLOOKUP("P01",ParamTbl,3,0),1.5)))</f>
        <v/>
      </c>
      <c r="N1828">
        <f>IF($G1828="",0,IF($H1828="مرجوعی فروش",-1,1)*IF(Sync!$AC1824="",0,Sync!$AC1824))</f>
        <v/>
      </c>
      <c r="O1828">
        <f>IF(OR($G1828="",Sync!$V1824=""),"",Sync!$V1824)</f>
        <v/>
      </c>
      <c r="P1828">
        <f>IF(OR($G1828="",Sync!$AD1824=""),"",Sync!$AD1824)</f>
        <v/>
      </c>
      <c r="Q1828">
        <f>IF($G1828="","",IF(Sync!$U1824="","0000",IF(AND(ISNUMBER(Sync!$U1824),Sync!$U1824&gt;=0,Sync!$U1824&lt;1),RIGHT("00"&amp;HOUR(Sync!$U1824),2)&amp;RIGHT("00"&amp;MINUTE(Sync!$U1824),2),IFERROR(RIGHT("00"&amp;VALUE(LEFT(Sync!$U1824,FIND(":",Sync!$U1824)-1)),2)&amp;RIGHT("00"&amp;VALUE(MID(Sync!$U1824,FIND(":",Sync!$U1824)+1,2)),2),"0000"))))</f>
        <v/>
      </c>
    </row>
    <row r="1829">
      <c r="A1829">
        <f>IF(Sync!$T1825="","",Sync!$T1825)</f>
        <v/>
      </c>
      <c r="B1829">
        <f>IF($A1829="","",IF(ISNUMBER($A1829),IF(AND($A1829&gt;=10000101,$A1829&lt;=99991231),INT($A1829/10000),""),IFERROR(VALUE(TRIM(LEFT($A1829,FIND("/",$A1829)-1))),"")))</f>
        <v/>
      </c>
      <c r="C1829">
        <f>IF(OR($A1829="",$B1829=""),"",IF(ISNUMBER($A1829),INT(MOD($A1829,10000)/100),IFERROR(VALUE(TRIM(LEFT(MID($A1829,FIND("/",$A1829)+1,20),FIND("/",MID($A1829,FIND("/",$A1829)+1,20))-1))),"")))</f>
        <v/>
      </c>
      <c r="D1829">
        <f>IF(OR($A1829="",$B1829=""),"",IF(ISNUMBER($A1829),MOD($A1829,100),IFERROR(VALUE(TRIM(MID(MID($A1829,FIND("/",$A1829)+1,20),FIND("/",MID($A1829,FIND("/",$A1829)+1,20))+1,20))),"")))</f>
        <v/>
      </c>
      <c r="E1829">
        <f>IF($A1829="","",IF(OR($B1829="",$C1829="",$D1829="",$B1829&lt;1300,$B1829&gt;1500,$C1829&lt;1,$C1829&gt;12,$D1829&lt;1,$D1829&gt;31),"نامعتبر",RIGHT("0000"&amp;$B1829,4)&amp;"/"&amp;RIGHT("00"&amp;$C1829,2)&amp;"/"&amp;RIGHT("00"&amp;$D1829,2)))</f>
        <v/>
      </c>
      <c r="F1829">
        <f>IF(OR($E1829="",$E1829="نامعتبر"),"",LEFT($E1829,4)&amp;"/"&amp;MID($E1829,6,2))</f>
        <v/>
      </c>
      <c r="G1829">
        <f>IF(OR($E1829="",$E1829="نامعتبر",Sync!$X1825=""),"",IF(AND(LEFT(UPPER(TRIM(Sync!$X1825)),2)="SL",IFERROR(VLOOKUP(Sync!$W1825,OpTbl,3,0),"")="فروش"),UPPER(TRIM(Sync!$X1825)),""))</f>
        <v/>
      </c>
      <c r="H1829">
        <f>IF($G1829="","",IF(Sync!$W1825="","",Sync!$W1825))</f>
        <v/>
      </c>
      <c r="I1829">
        <f>IF(OR($G1829="",Sync!$Y1825=""),"",Sync!$Y1825)</f>
        <v/>
      </c>
      <c r="J1829">
        <f>IF(OR($G1829="",Sync!$Z1825=""),"",Sync!$Z1825)</f>
        <v/>
      </c>
      <c r="K1829">
        <f>IF($G1829="",0,IF(Sync!$AA1825="",0,Sync!$AA1825))</f>
        <v/>
      </c>
      <c r="L1829">
        <f>IF($G1829="",0,IF(Sync!$AB1825="",0,Sync!$AB1825))</f>
        <v/>
      </c>
      <c r="M1829">
        <f>IF($G1829="","",IF($H1829="مرجوعی فروش",-1,1)*($K1829-$L1829*IFERROR(VLOOKUP("P01",ParamTbl,3,0),1.5)))</f>
        <v/>
      </c>
      <c r="N1829">
        <f>IF($G1829="",0,IF($H1829="مرجوعی فروش",-1,1)*IF(Sync!$AC1825="",0,Sync!$AC1825))</f>
        <v/>
      </c>
      <c r="O1829">
        <f>IF(OR($G1829="",Sync!$V1825=""),"",Sync!$V1825)</f>
        <v/>
      </c>
      <c r="P1829">
        <f>IF(OR($G1829="",Sync!$AD1825=""),"",Sync!$AD1825)</f>
        <v/>
      </c>
      <c r="Q1829">
        <f>IF($G1829="","",IF(Sync!$U1825="","0000",IF(AND(ISNUMBER(Sync!$U1825),Sync!$U1825&gt;=0,Sync!$U1825&lt;1),RIGHT("00"&amp;HOUR(Sync!$U1825),2)&amp;RIGHT("00"&amp;MINUTE(Sync!$U1825),2),IFERROR(RIGHT("00"&amp;VALUE(LEFT(Sync!$U1825,FIND(":",Sync!$U1825)-1)),2)&amp;RIGHT("00"&amp;VALUE(MID(Sync!$U1825,FIND(":",Sync!$U1825)+1,2)),2),"0000"))))</f>
        <v/>
      </c>
    </row>
    <row r="1830">
      <c r="A1830">
        <f>IF(Sync!$T1826="","",Sync!$T1826)</f>
        <v/>
      </c>
      <c r="B1830">
        <f>IF($A1830="","",IF(ISNUMBER($A1830),IF(AND($A1830&gt;=10000101,$A1830&lt;=99991231),INT($A1830/10000),""),IFERROR(VALUE(TRIM(LEFT($A1830,FIND("/",$A1830)-1))),"")))</f>
        <v/>
      </c>
      <c r="C1830">
        <f>IF(OR($A1830="",$B1830=""),"",IF(ISNUMBER($A1830),INT(MOD($A1830,10000)/100),IFERROR(VALUE(TRIM(LEFT(MID($A1830,FIND("/",$A1830)+1,20),FIND("/",MID($A1830,FIND("/",$A1830)+1,20))-1))),"")))</f>
        <v/>
      </c>
      <c r="D1830">
        <f>IF(OR($A1830="",$B1830=""),"",IF(ISNUMBER($A1830),MOD($A1830,100),IFERROR(VALUE(TRIM(MID(MID($A1830,FIND("/",$A1830)+1,20),FIND("/",MID($A1830,FIND("/",$A1830)+1,20))+1,20))),"")))</f>
        <v/>
      </c>
      <c r="E1830">
        <f>IF($A1830="","",IF(OR($B1830="",$C1830="",$D1830="",$B1830&lt;1300,$B1830&gt;1500,$C1830&lt;1,$C1830&gt;12,$D1830&lt;1,$D1830&gt;31),"نامعتبر",RIGHT("0000"&amp;$B1830,4)&amp;"/"&amp;RIGHT("00"&amp;$C1830,2)&amp;"/"&amp;RIGHT("00"&amp;$D1830,2)))</f>
        <v/>
      </c>
      <c r="F1830">
        <f>IF(OR($E1830="",$E1830="نامعتبر"),"",LEFT($E1830,4)&amp;"/"&amp;MID($E1830,6,2))</f>
        <v/>
      </c>
      <c r="G1830">
        <f>IF(OR($E1830="",$E1830="نامعتبر",Sync!$X1826=""),"",IF(AND(LEFT(UPPER(TRIM(Sync!$X1826)),2)="SL",IFERROR(VLOOKUP(Sync!$W1826,OpTbl,3,0),"")="فروش"),UPPER(TRIM(Sync!$X1826)),""))</f>
        <v/>
      </c>
      <c r="H1830">
        <f>IF($G1830="","",IF(Sync!$W1826="","",Sync!$W1826))</f>
        <v/>
      </c>
      <c r="I1830">
        <f>IF(OR($G1830="",Sync!$Y1826=""),"",Sync!$Y1826)</f>
        <v/>
      </c>
      <c r="J1830">
        <f>IF(OR($G1830="",Sync!$Z1826=""),"",Sync!$Z1826)</f>
        <v/>
      </c>
      <c r="K1830">
        <f>IF($G1830="",0,IF(Sync!$AA1826="",0,Sync!$AA1826))</f>
        <v/>
      </c>
      <c r="L1830">
        <f>IF($G1830="",0,IF(Sync!$AB1826="",0,Sync!$AB1826))</f>
        <v/>
      </c>
      <c r="M1830">
        <f>IF($G1830="","",IF($H1830="مرجوعی فروش",-1,1)*($K1830-$L1830*IFERROR(VLOOKUP("P01",ParamTbl,3,0),1.5)))</f>
        <v/>
      </c>
      <c r="N1830">
        <f>IF($G1830="",0,IF($H1830="مرجوعی فروش",-1,1)*IF(Sync!$AC1826="",0,Sync!$AC1826))</f>
        <v/>
      </c>
      <c r="O1830">
        <f>IF(OR($G1830="",Sync!$V1826=""),"",Sync!$V1826)</f>
        <v/>
      </c>
      <c r="P1830">
        <f>IF(OR($G1830="",Sync!$AD1826=""),"",Sync!$AD1826)</f>
        <v/>
      </c>
      <c r="Q1830">
        <f>IF($G1830="","",IF(Sync!$U1826="","0000",IF(AND(ISNUMBER(Sync!$U1826),Sync!$U1826&gt;=0,Sync!$U1826&lt;1),RIGHT("00"&amp;HOUR(Sync!$U1826),2)&amp;RIGHT("00"&amp;MINUTE(Sync!$U1826),2),IFERROR(RIGHT("00"&amp;VALUE(LEFT(Sync!$U1826,FIND(":",Sync!$U1826)-1)),2)&amp;RIGHT("00"&amp;VALUE(MID(Sync!$U1826,FIND(":",Sync!$U1826)+1,2)),2),"0000"))))</f>
        <v/>
      </c>
    </row>
    <row r="1831">
      <c r="A1831">
        <f>IF(Sync!$T1827="","",Sync!$T1827)</f>
        <v/>
      </c>
      <c r="B1831">
        <f>IF($A1831="","",IF(ISNUMBER($A1831),IF(AND($A1831&gt;=10000101,$A1831&lt;=99991231),INT($A1831/10000),""),IFERROR(VALUE(TRIM(LEFT($A1831,FIND("/",$A1831)-1))),"")))</f>
        <v/>
      </c>
      <c r="C1831">
        <f>IF(OR($A1831="",$B1831=""),"",IF(ISNUMBER($A1831),INT(MOD($A1831,10000)/100),IFERROR(VALUE(TRIM(LEFT(MID($A1831,FIND("/",$A1831)+1,20),FIND("/",MID($A1831,FIND("/",$A1831)+1,20))-1))),"")))</f>
        <v/>
      </c>
      <c r="D1831">
        <f>IF(OR($A1831="",$B1831=""),"",IF(ISNUMBER($A1831),MOD($A1831,100),IFERROR(VALUE(TRIM(MID(MID($A1831,FIND("/",$A1831)+1,20),FIND("/",MID($A1831,FIND("/",$A1831)+1,20))+1,20))),"")))</f>
        <v/>
      </c>
      <c r="E1831">
        <f>IF($A1831="","",IF(OR($B1831="",$C1831="",$D1831="",$B1831&lt;1300,$B1831&gt;1500,$C1831&lt;1,$C1831&gt;12,$D1831&lt;1,$D1831&gt;31),"نامعتبر",RIGHT("0000"&amp;$B1831,4)&amp;"/"&amp;RIGHT("00"&amp;$C1831,2)&amp;"/"&amp;RIGHT("00"&amp;$D1831,2)))</f>
        <v/>
      </c>
      <c r="F1831">
        <f>IF(OR($E1831="",$E1831="نامعتبر"),"",LEFT($E1831,4)&amp;"/"&amp;MID($E1831,6,2))</f>
        <v/>
      </c>
      <c r="G1831">
        <f>IF(OR($E1831="",$E1831="نامعتبر",Sync!$X1827=""),"",IF(AND(LEFT(UPPER(TRIM(Sync!$X1827)),2)="SL",IFERROR(VLOOKUP(Sync!$W1827,OpTbl,3,0),"")="فروش"),UPPER(TRIM(Sync!$X1827)),""))</f>
        <v/>
      </c>
      <c r="H1831">
        <f>IF($G1831="","",IF(Sync!$W1827="","",Sync!$W1827))</f>
        <v/>
      </c>
      <c r="I1831">
        <f>IF(OR($G1831="",Sync!$Y1827=""),"",Sync!$Y1827)</f>
        <v/>
      </c>
      <c r="J1831">
        <f>IF(OR($G1831="",Sync!$Z1827=""),"",Sync!$Z1827)</f>
        <v/>
      </c>
      <c r="K1831">
        <f>IF($G1831="",0,IF(Sync!$AA1827="",0,Sync!$AA1827))</f>
        <v/>
      </c>
      <c r="L1831">
        <f>IF($G1831="",0,IF(Sync!$AB1827="",0,Sync!$AB1827))</f>
        <v/>
      </c>
      <c r="M1831">
        <f>IF($G1831="","",IF($H1831="مرجوعی فروش",-1,1)*($K1831-$L1831*IFERROR(VLOOKUP("P01",ParamTbl,3,0),1.5)))</f>
        <v/>
      </c>
      <c r="N1831">
        <f>IF($G1831="",0,IF($H1831="مرجوعی فروش",-1,1)*IF(Sync!$AC1827="",0,Sync!$AC1827))</f>
        <v/>
      </c>
      <c r="O1831">
        <f>IF(OR($G1831="",Sync!$V1827=""),"",Sync!$V1827)</f>
        <v/>
      </c>
      <c r="P1831">
        <f>IF(OR($G1831="",Sync!$AD1827=""),"",Sync!$AD1827)</f>
        <v/>
      </c>
      <c r="Q1831">
        <f>IF($G1831="","",IF(Sync!$U1827="","0000",IF(AND(ISNUMBER(Sync!$U1827),Sync!$U1827&gt;=0,Sync!$U1827&lt;1),RIGHT("00"&amp;HOUR(Sync!$U1827),2)&amp;RIGHT("00"&amp;MINUTE(Sync!$U1827),2),IFERROR(RIGHT("00"&amp;VALUE(LEFT(Sync!$U1827,FIND(":",Sync!$U1827)-1)),2)&amp;RIGHT("00"&amp;VALUE(MID(Sync!$U1827,FIND(":",Sync!$U1827)+1,2)),2),"0000"))))</f>
        <v/>
      </c>
    </row>
    <row r="1832">
      <c r="A1832">
        <f>IF(Sync!$T1828="","",Sync!$T1828)</f>
        <v/>
      </c>
      <c r="B1832">
        <f>IF($A1832="","",IF(ISNUMBER($A1832),IF(AND($A1832&gt;=10000101,$A1832&lt;=99991231),INT($A1832/10000),""),IFERROR(VALUE(TRIM(LEFT($A1832,FIND("/",$A1832)-1))),"")))</f>
        <v/>
      </c>
      <c r="C1832">
        <f>IF(OR($A1832="",$B1832=""),"",IF(ISNUMBER($A1832),INT(MOD($A1832,10000)/100),IFERROR(VALUE(TRIM(LEFT(MID($A1832,FIND("/",$A1832)+1,20),FIND("/",MID($A1832,FIND("/",$A1832)+1,20))-1))),"")))</f>
        <v/>
      </c>
      <c r="D1832">
        <f>IF(OR($A1832="",$B1832=""),"",IF(ISNUMBER($A1832),MOD($A1832,100),IFERROR(VALUE(TRIM(MID(MID($A1832,FIND("/",$A1832)+1,20),FIND("/",MID($A1832,FIND("/",$A1832)+1,20))+1,20))),"")))</f>
        <v/>
      </c>
      <c r="E1832">
        <f>IF($A1832="","",IF(OR($B1832="",$C1832="",$D1832="",$B1832&lt;1300,$B1832&gt;1500,$C1832&lt;1,$C1832&gt;12,$D1832&lt;1,$D1832&gt;31),"نامعتبر",RIGHT("0000"&amp;$B1832,4)&amp;"/"&amp;RIGHT("00"&amp;$C1832,2)&amp;"/"&amp;RIGHT("00"&amp;$D1832,2)))</f>
        <v/>
      </c>
      <c r="F1832">
        <f>IF(OR($E1832="",$E1832="نامعتبر"),"",LEFT($E1832,4)&amp;"/"&amp;MID($E1832,6,2))</f>
        <v/>
      </c>
      <c r="G1832">
        <f>IF(OR($E1832="",$E1832="نامعتبر",Sync!$X1828=""),"",IF(AND(LEFT(UPPER(TRIM(Sync!$X1828)),2)="SL",IFERROR(VLOOKUP(Sync!$W1828,OpTbl,3,0),"")="فروش"),UPPER(TRIM(Sync!$X1828)),""))</f>
        <v/>
      </c>
      <c r="H1832">
        <f>IF($G1832="","",IF(Sync!$W1828="","",Sync!$W1828))</f>
        <v/>
      </c>
      <c r="I1832">
        <f>IF(OR($G1832="",Sync!$Y1828=""),"",Sync!$Y1828)</f>
        <v/>
      </c>
      <c r="J1832">
        <f>IF(OR($G1832="",Sync!$Z1828=""),"",Sync!$Z1828)</f>
        <v/>
      </c>
      <c r="K1832">
        <f>IF($G1832="",0,IF(Sync!$AA1828="",0,Sync!$AA1828))</f>
        <v/>
      </c>
      <c r="L1832">
        <f>IF($G1832="",0,IF(Sync!$AB1828="",0,Sync!$AB1828))</f>
        <v/>
      </c>
      <c r="M1832">
        <f>IF($G1832="","",IF($H1832="مرجوعی فروش",-1,1)*($K1832-$L1832*IFERROR(VLOOKUP("P01",ParamTbl,3,0),1.5)))</f>
        <v/>
      </c>
      <c r="N1832">
        <f>IF($G1832="",0,IF($H1832="مرجوعی فروش",-1,1)*IF(Sync!$AC1828="",0,Sync!$AC1828))</f>
        <v/>
      </c>
      <c r="O1832">
        <f>IF(OR($G1832="",Sync!$V1828=""),"",Sync!$V1828)</f>
        <v/>
      </c>
      <c r="P1832">
        <f>IF(OR($G1832="",Sync!$AD1828=""),"",Sync!$AD1828)</f>
        <v/>
      </c>
      <c r="Q1832">
        <f>IF($G1832="","",IF(Sync!$U1828="","0000",IF(AND(ISNUMBER(Sync!$U1828),Sync!$U1828&gt;=0,Sync!$U1828&lt;1),RIGHT("00"&amp;HOUR(Sync!$U1828),2)&amp;RIGHT("00"&amp;MINUTE(Sync!$U1828),2),IFERROR(RIGHT("00"&amp;VALUE(LEFT(Sync!$U1828,FIND(":",Sync!$U1828)-1)),2)&amp;RIGHT("00"&amp;VALUE(MID(Sync!$U1828,FIND(":",Sync!$U1828)+1,2)),2),"0000"))))</f>
        <v/>
      </c>
    </row>
    <row r="1833">
      <c r="A1833">
        <f>IF(Sync!$T1829="","",Sync!$T1829)</f>
        <v/>
      </c>
      <c r="B1833">
        <f>IF($A1833="","",IF(ISNUMBER($A1833),IF(AND($A1833&gt;=10000101,$A1833&lt;=99991231),INT($A1833/10000),""),IFERROR(VALUE(TRIM(LEFT($A1833,FIND("/",$A1833)-1))),"")))</f>
        <v/>
      </c>
      <c r="C1833">
        <f>IF(OR($A1833="",$B1833=""),"",IF(ISNUMBER($A1833),INT(MOD($A1833,10000)/100),IFERROR(VALUE(TRIM(LEFT(MID($A1833,FIND("/",$A1833)+1,20),FIND("/",MID($A1833,FIND("/",$A1833)+1,20))-1))),"")))</f>
        <v/>
      </c>
      <c r="D1833">
        <f>IF(OR($A1833="",$B1833=""),"",IF(ISNUMBER($A1833),MOD($A1833,100),IFERROR(VALUE(TRIM(MID(MID($A1833,FIND("/",$A1833)+1,20),FIND("/",MID($A1833,FIND("/",$A1833)+1,20))+1,20))),"")))</f>
        <v/>
      </c>
      <c r="E1833">
        <f>IF($A1833="","",IF(OR($B1833="",$C1833="",$D1833="",$B1833&lt;1300,$B1833&gt;1500,$C1833&lt;1,$C1833&gt;12,$D1833&lt;1,$D1833&gt;31),"نامعتبر",RIGHT("0000"&amp;$B1833,4)&amp;"/"&amp;RIGHT("00"&amp;$C1833,2)&amp;"/"&amp;RIGHT("00"&amp;$D1833,2)))</f>
        <v/>
      </c>
      <c r="F1833">
        <f>IF(OR($E1833="",$E1833="نامعتبر"),"",LEFT($E1833,4)&amp;"/"&amp;MID($E1833,6,2))</f>
        <v/>
      </c>
      <c r="G1833">
        <f>IF(OR($E1833="",$E1833="نامعتبر",Sync!$X1829=""),"",IF(AND(LEFT(UPPER(TRIM(Sync!$X1829)),2)="SL",IFERROR(VLOOKUP(Sync!$W1829,OpTbl,3,0),"")="فروش"),UPPER(TRIM(Sync!$X1829)),""))</f>
        <v/>
      </c>
      <c r="H1833">
        <f>IF($G1833="","",IF(Sync!$W1829="","",Sync!$W1829))</f>
        <v/>
      </c>
      <c r="I1833">
        <f>IF(OR($G1833="",Sync!$Y1829=""),"",Sync!$Y1829)</f>
        <v/>
      </c>
      <c r="J1833">
        <f>IF(OR($G1833="",Sync!$Z1829=""),"",Sync!$Z1829)</f>
        <v/>
      </c>
      <c r="K1833">
        <f>IF($G1833="",0,IF(Sync!$AA1829="",0,Sync!$AA1829))</f>
        <v/>
      </c>
      <c r="L1833">
        <f>IF($G1833="",0,IF(Sync!$AB1829="",0,Sync!$AB1829))</f>
        <v/>
      </c>
      <c r="M1833">
        <f>IF($G1833="","",IF($H1833="مرجوعی فروش",-1,1)*($K1833-$L1833*IFERROR(VLOOKUP("P01",ParamTbl,3,0),1.5)))</f>
        <v/>
      </c>
      <c r="N1833">
        <f>IF($G1833="",0,IF($H1833="مرجوعی فروش",-1,1)*IF(Sync!$AC1829="",0,Sync!$AC1829))</f>
        <v/>
      </c>
      <c r="O1833">
        <f>IF(OR($G1833="",Sync!$V1829=""),"",Sync!$V1829)</f>
        <v/>
      </c>
      <c r="P1833">
        <f>IF(OR($G1833="",Sync!$AD1829=""),"",Sync!$AD1829)</f>
        <v/>
      </c>
      <c r="Q1833">
        <f>IF($G1833="","",IF(Sync!$U1829="","0000",IF(AND(ISNUMBER(Sync!$U1829),Sync!$U1829&gt;=0,Sync!$U1829&lt;1),RIGHT("00"&amp;HOUR(Sync!$U1829),2)&amp;RIGHT("00"&amp;MINUTE(Sync!$U1829),2),IFERROR(RIGHT("00"&amp;VALUE(LEFT(Sync!$U1829,FIND(":",Sync!$U1829)-1)),2)&amp;RIGHT("00"&amp;VALUE(MID(Sync!$U1829,FIND(":",Sync!$U1829)+1,2)),2),"0000"))))</f>
        <v/>
      </c>
    </row>
    <row r="1834">
      <c r="A1834">
        <f>IF(Sync!$T1830="","",Sync!$T1830)</f>
        <v/>
      </c>
      <c r="B1834">
        <f>IF($A1834="","",IF(ISNUMBER($A1834),IF(AND($A1834&gt;=10000101,$A1834&lt;=99991231),INT($A1834/10000),""),IFERROR(VALUE(TRIM(LEFT($A1834,FIND("/",$A1834)-1))),"")))</f>
        <v/>
      </c>
      <c r="C1834">
        <f>IF(OR($A1834="",$B1834=""),"",IF(ISNUMBER($A1834),INT(MOD($A1834,10000)/100),IFERROR(VALUE(TRIM(LEFT(MID($A1834,FIND("/",$A1834)+1,20),FIND("/",MID($A1834,FIND("/",$A1834)+1,20))-1))),"")))</f>
        <v/>
      </c>
      <c r="D1834">
        <f>IF(OR($A1834="",$B1834=""),"",IF(ISNUMBER($A1834),MOD($A1834,100),IFERROR(VALUE(TRIM(MID(MID($A1834,FIND("/",$A1834)+1,20),FIND("/",MID($A1834,FIND("/",$A1834)+1,20))+1,20))),"")))</f>
        <v/>
      </c>
      <c r="E1834">
        <f>IF($A1834="","",IF(OR($B1834="",$C1834="",$D1834="",$B1834&lt;1300,$B1834&gt;1500,$C1834&lt;1,$C1834&gt;12,$D1834&lt;1,$D1834&gt;31),"نامعتبر",RIGHT("0000"&amp;$B1834,4)&amp;"/"&amp;RIGHT("00"&amp;$C1834,2)&amp;"/"&amp;RIGHT("00"&amp;$D1834,2)))</f>
        <v/>
      </c>
      <c r="F1834">
        <f>IF(OR($E1834="",$E1834="نامعتبر"),"",LEFT($E1834,4)&amp;"/"&amp;MID($E1834,6,2))</f>
        <v/>
      </c>
      <c r="G1834">
        <f>IF(OR($E1834="",$E1834="نامعتبر",Sync!$X1830=""),"",IF(AND(LEFT(UPPER(TRIM(Sync!$X1830)),2)="SL",IFERROR(VLOOKUP(Sync!$W1830,OpTbl,3,0),"")="فروش"),UPPER(TRIM(Sync!$X1830)),""))</f>
        <v/>
      </c>
      <c r="H1834">
        <f>IF($G1834="","",IF(Sync!$W1830="","",Sync!$W1830))</f>
        <v/>
      </c>
      <c r="I1834">
        <f>IF(OR($G1834="",Sync!$Y1830=""),"",Sync!$Y1830)</f>
        <v/>
      </c>
      <c r="J1834">
        <f>IF(OR($G1834="",Sync!$Z1830=""),"",Sync!$Z1830)</f>
        <v/>
      </c>
      <c r="K1834">
        <f>IF($G1834="",0,IF(Sync!$AA1830="",0,Sync!$AA1830))</f>
        <v/>
      </c>
      <c r="L1834">
        <f>IF($G1834="",0,IF(Sync!$AB1830="",0,Sync!$AB1830))</f>
        <v/>
      </c>
      <c r="M1834">
        <f>IF($G1834="","",IF($H1834="مرجوعی فروش",-1,1)*($K1834-$L1834*IFERROR(VLOOKUP("P01",ParamTbl,3,0),1.5)))</f>
        <v/>
      </c>
      <c r="N1834">
        <f>IF($G1834="",0,IF($H1834="مرجوعی فروش",-1,1)*IF(Sync!$AC1830="",0,Sync!$AC1830))</f>
        <v/>
      </c>
      <c r="O1834">
        <f>IF(OR($G1834="",Sync!$V1830=""),"",Sync!$V1830)</f>
        <v/>
      </c>
      <c r="P1834">
        <f>IF(OR($G1834="",Sync!$AD1830=""),"",Sync!$AD1830)</f>
        <v/>
      </c>
      <c r="Q1834">
        <f>IF($G1834="","",IF(Sync!$U1830="","0000",IF(AND(ISNUMBER(Sync!$U1830),Sync!$U1830&gt;=0,Sync!$U1830&lt;1),RIGHT("00"&amp;HOUR(Sync!$U1830),2)&amp;RIGHT("00"&amp;MINUTE(Sync!$U1830),2),IFERROR(RIGHT("00"&amp;VALUE(LEFT(Sync!$U1830,FIND(":",Sync!$U1830)-1)),2)&amp;RIGHT("00"&amp;VALUE(MID(Sync!$U1830,FIND(":",Sync!$U1830)+1,2)),2),"0000"))))</f>
        <v/>
      </c>
    </row>
    <row r="1835">
      <c r="A1835">
        <f>IF(Sync!$T1831="","",Sync!$T1831)</f>
        <v/>
      </c>
      <c r="B1835">
        <f>IF($A1835="","",IF(ISNUMBER($A1835),IF(AND($A1835&gt;=10000101,$A1835&lt;=99991231),INT($A1835/10000),""),IFERROR(VALUE(TRIM(LEFT($A1835,FIND("/",$A1835)-1))),"")))</f>
        <v/>
      </c>
      <c r="C1835">
        <f>IF(OR($A1835="",$B1835=""),"",IF(ISNUMBER($A1835),INT(MOD($A1835,10000)/100),IFERROR(VALUE(TRIM(LEFT(MID($A1835,FIND("/",$A1835)+1,20),FIND("/",MID($A1835,FIND("/",$A1835)+1,20))-1))),"")))</f>
        <v/>
      </c>
      <c r="D1835">
        <f>IF(OR($A1835="",$B1835=""),"",IF(ISNUMBER($A1835),MOD($A1835,100),IFERROR(VALUE(TRIM(MID(MID($A1835,FIND("/",$A1835)+1,20),FIND("/",MID($A1835,FIND("/",$A1835)+1,20))+1,20))),"")))</f>
        <v/>
      </c>
      <c r="E1835">
        <f>IF($A1835="","",IF(OR($B1835="",$C1835="",$D1835="",$B1835&lt;1300,$B1835&gt;1500,$C1835&lt;1,$C1835&gt;12,$D1835&lt;1,$D1835&gt;31),"نامعتبر",RIGHT("0000"&amp;$B1835,4)&amp;"/"&amp;RIGHT("00"&amp;$C1835,2)&amp;"/"&amp;RIGHT("00"&amp;$D1835,2)))</f>
        <v/>
      </c>
      <c r="F1835">
        <f>IF(OR($E1835="",$E1835="نامعتبر"),"",LEFT($E1835,4)&amp;"/"&amp;MID($E1835,6,2))</f>
        <v/>
      </c>
      <c r="G1835">
        <f>IF(OR($E1835="",$E1835="نامعتبر",Sync!$X1831=""),"",IF(AND(LEFT(UPPER(TRIM(Sync!$X1831)),2)="SL",IFERROR(VLOOKUP(Sync!$W1831,OpTbl,3,0),"")="فروش"),UPPER(TRIM(Sync!$X1831)),""))</f>
        <v/>
      </c>
      <c r="H1835">
        <f>IF($G1835="","",IF(Sync!$W1831="","",Sync!$W1831))</f>
        <v/>
      </c>
      <c r="I1835">
        <f>IF(OR($G1835="",Sync!$Y1831=""),"",Sync!$Y1831)</f>
        <v/>
      </c>
      <c r="J1835">
        <f>IF(OR($G1835="",Sync!$Z1831=""),"",Sync!$Z1831)</f>
        <v/>
      </c>
      <c r="K1835">
        <f>IF($G1835="",0,IF(Sync!$AA1831="",0,Sync!$AA1831))</f>
        <v/>
      </c>
      <c r="L1835">
        <f>IF($G1835="",0,IF(Sync!$AB1831="",0,Sync!$AB1831))</f>
        <v/>
      </c>
      <c r="M1835">
        <f>IF($G1835="","",IF($H1835="مرجوعی فروش",-1,1)*($K1835-$L1835*IFERROR(VLOOKUP("P01",ParamTbl,3,0),1.5)))</f>
        <v/>
      </c>
      <c r="N1835">
        <f>IF($G1835="",0,IF($H1835="مرجوعی فروش",-1,1)*IF(Sync!$AC1831="",0,Sync!$AC1831))</f>
        <v/>
      </c>
      <c r="O1835">
        <f>IF(OR($G1835="",Sync!$V1831=""),"",Sync!$V1831)</f>
        <v/>
      </c>
      <c r="P1835">
        <f>IF(OR($G1835="",Sync!$AD1831=""),"",Sync!$AD1831)</f>
        <v/>
      </c>
      <c r="Q1835">
        <f>IF($G1835="","",IF(Sync!$U1831="","0000",IF(AND(ISNUMBER(Sync!$U1831),Sync!$U1831&gt;=0,Sync!$U1831&lt;1),RIGHT("00"&amp;HOUR(Sync!$U1831),2)&amp;RIGHT("00"&amp;MINUTE(Sync!$U1831),2),IFERROR(RIGHT("00"&amp;VALUE(LEFT(Sync!$U1831,FIND(":",Sync!$U1831)-1)),2)&amp;RIGHT("00"&amp;VALUE(MID(Sync!$U1831,FIND(":",Sync!$U1831)+1,2)),2),"0000"))))</f>
        <v/>
      </c>
    </row>
    <row r="1836">
      <c r="A1836">
        <f>IF(Sync!$T1832="","",Sync!$T1832)</f>
        <v/>
      </c>
      <c r="B1836">
        <f>IF($A1836="","",IF(ISNUMBER($A1836),IF(AND($A1836&gt;=10000101,$A1836&lt;=99991231),INT($A1836/10000),""),IFERROR(VALUE(TRIM(LEFT($A1836,FIND("/",$A1836)-1))),"")))</f>
        <v/>
      </c>
      <c r="C1836">
        <f>IF(OR($A1836="",$B1836=""),"",IF(ISNUMBER($A1836),INT(MOD($A1836,10000)/100),IFERROR(VALUE(TRIM(LEFT(MID($A1836,FIND("/",$A1836)+1,20),FIND("/",MID($A1836,FIND("/",$A1836)+1,20))-1))),"")))</f>
        <v/>
      </c>
      <c r="D1836">
        <f>IF(OR($A1836="",$B1836=""),"",IF(ISNUMBER($A1836),MOD($A1836,100),IFERROR(VALUE(TRIM(MID(MID($A1836,FIND("/",$A1836)+1,20),FIND("/",MID($A1836,FIND("/",$A1836)+1,20))+1,20))),"")))</f>
        <v/>
      </c>
      <c r="E1836">
        <f>IF($A1836="","",IF(OR($B1836="",$C1836="",$D1836="",$B1836&lt;1300,$B1836&gt;1500,$C1836&lt;1,$C1836&gt;12,$D1836&lt;1,$D1836&gt;31),"نامعتبر",RIGHT("0000"&amp;$B1836,4)&amp;"/"&amp;RIGHT("00"&amp;$C1836,2)&amp;"/"&amp;RIGHT("00"&amp;$D1836,2)))</f>
        <v/>
      </c>
      <c r="F1836">
        <f>IF(OR($E1836="",$E1836="نامعتبر"),"",LEFT($E1836,4)&amp;"/"&amp;MID($E1836,6,2))</f>
        <v/>
      </c>
      <c r="G1836">
        <f>IF(OR($E1836="",$E1836="نامعتبر",Sync!$X1832=""),"",IF(AND(LEFT(UPPER(TRIM(Sync!$X1832)),2)="SL",IFERROR(VLOOKUP(Sync!$W1832,OpTbl,3,0),"")="فروش"),UPPER(TRIM(Sync!$X1832)),""))</f>
        <v/>
      </c>
      <c r="H1836">
        <f>IF($G1836="","",IF(Sync!$W1832="","",Sync!$W1832))</f>
        <v/>
      </c>
      <c r="I1836">
        <f>IF(OR($G1836="",Sync!$Y1832=""),"",Sync!$Y1832)</f>
        <v/>
      </c>
      <c r="J1836">
        <f>IF(OR($G1836="",Sync!$Z1832=""),"",Sync!$Z1832)</f>
        <v/>
      </c>
      <c r="K1836">
        <f>IF($G1836="",0,IF(Sync!$AA1832="",0,Sync!$AA1832))</f>
        <v/>
      </c>
      <c r="L1836">
        <f>IF($G1836="",0,IF(Sync!$AB1832="",0,Sync!$AB1832))</f>
        <v/>
      </c>
      <c r="M1836">
        <f>IF($G1836="","",IF($H1836="مرجوعی فروش",-1,1)*($K1836-$L1836*IFERROR(VLOOKUP("P01",ParamTbl,3,0),1.5)))</f>
        <v/>
      </c>
      <c r="N1836">
        <f>IF($G1836="",0,IF($H1836="مرجوعی فروش",-1,1)*IF(Sync!$AC1832="",0,Sync!$AC1832))</f>
        <v/>
      </c>
      <c r="O1836">
        <f>IF(OR($G1836="",Sync!$V1832=""),"",Sync!$V1832)</f>
        <v/>
      </c>
      <c r="P1836">
        <f>IF(OR($G1836="",Sync!$AD1832=""),"",Sync!$AD1832)</f>
        <v/>
      </c>
      <c r="Q1836">
        <f>IF($G1836="","",IF(Sync!$U1832="","0000",IF(AND(ISNUMBER(Sync!$U1832),Sync!$U1832&gt;=0,Sync!$U1832&lt;1),RIGHT("00"&amp;HOUR(Sync!$U1832),2)&amp;RIGHT("00"&amp;MINUTE(Sync!$U1832),2),IFERROR(RIGHT("00"&amp;VALUE(LEFT(Sync!$U1832,FIND(":",Sync!$U1832)-1)),2)&amp;RIGHT("00"&amp;VALUE(MID(Sync!$U1832,FIND(":",Sync!$U1832)+1,2)),2),"0000"))))</f>
        <v/>
      </c>
    </row>
    <row r="1837">
      <c r="A1837">
        <f>IF(Sync!$T1833="","",Sync!$T1833)</f>
        <v/>
      </c>
      <c r="B1837">
        <f>IF($A1837="","",IF(ISNUMBER($A1837),IF(AND($A1837&gt;=10000101,$A1837&lt;=99991231),INT($A1837/10000),""),IFERROR(VALUE(TRIM(LEFT($A1837,FIND("/",$A1837)-1))),"")))</f>
        <v/>
      </c>
      <c r="C1837">
        <f>IF(OR($A1837="",$B1837=""),"",IF(ISNUMBER($A1837),INT(MOD($A1837,10000)/100),IFERROR(VALUE(TRIM(LEFT(MID($A1837,FIND("/",$A1837)+1,20),FIND("/",MID($A1837,FIND("/",$A1837)+1,20))-1))),"")))</f>
        <v/>
      </c>
      <c r="D1837">
        <f>IF(OR($A1837="",$B1837=""),"",IF(ISNUMBER($A1837),MOD($A1837,100),IFERROR(VALUE(TRIM(MID(MID($A1837,FIND("/",$A1837)+1,20),FIND("/",MID($A1837,FIND("/",$A1837)+1,20))+1,20))),"")))</f>
        <v/>
      </c>
      <c r="E1837">
        <f>IF($A1837="","",IF(OR($B1837="",$C1837="",$D1837="",$B1837&lt;1300,$B1837&gt;1500,$C1837&lt;1,$C1837&gt;12,$D1837&lt;1,$D1837&gt;31),"نامعتبر",RIGHT("0000"&amp;$B1837,4)&amp;"/"&amp;RIGHT("00"&amp;$C1837,2)&amp;"/"&amp;RIGHT("00"&amp;$D1837,2)))</f>
        <v/>
      </c>
      <c r="F1837">
        <f>IF(OR($E1837="",$E1837="نامعتبر"),"",LEFT($E1837,4)&amp;"/"&amp;MID($E1837,6,2))</f>
        <v/>
      </c>
      <c r="G1837">
        <f>IF(OR($E1837="",$E1837="نامعتبر",Sync!$X1833=""),"",IF(AND(LEFT(UPPER(TRIM(Sync!$X1833)),2)="SL",IFERROR(VLOOKUP(Sync!$W1833,OpTbl,3,0),"")="فروش"),UPPER(TRIM(Sync!$X1833)),""))</f>
        <v/>
      </c>
      <c r="H1837">
        <f>IF($G1837="","",IF(Sync!$W1833="","",Sync!$W1833))</f>
        <v/>
      </c>
      <c r="I1837">
        <f>IF(OR($G1837="",Sync!$Y1833=""),"",Sync!$Y1833)</f>
        <v/>
      </c>
      <c r="J1837">
        <f>IF(OR($G1837="",Sync!$Z1833=""),"",Sync!$Z1833)</f>
        <v/>
      </c>
      <c r="K1837">
        <f>IF($G1837="",0,IF(Sync!$AA1833="",0,Sync!$AA1833))</f>
        <v/>
      </c>
      <c r="L1837">
        <f>IF($G1837="",0,IF(Sync!$AB1833="",0,Sync!$AB1833))</f>
        <v/>
      </c>
      <c r="M1837">
        <f>IF($G1837="","",IF($H1837="مرجوعی فروش",-1,1)*($K1837-$L1837*IFERROR(VLOOKUP("P01",ParamTbl,3,0),1.5)))</f>
        <v/>
      </c>
      <c r="N1837">
        <f>IF($G1837="",0,IF($H1837="مرجوعی فروش",-1,1)*IF(Sync!$AC1833="",0,Sync!$AC1833))</f>
        <v/>
      </c>
      <c r="O1837">
        <f>IF(OR($G1837="",Sync!$V1833=""),"",Sync!$V1833)</f>
        <v/>
      </c>
      <c r="P1837">
        <f>IF(OR($G1837="",Sync!$AD1833=""),"",Sync!$AD1833)</f>
        <v/>
      </c>
      <c r="Q1837">
        <f>IF($G1837="","",IF(Sync!$U1833="","0000",IF(AND(ISNUMBER(Sync!$U1833),Sync!$U1833&gt;=0,Sync!$U1833&lt;1),RIGHT("00"&amp;HOUR(Sync!$U1833),2)&amp;RIGHT("00"&amp;MINUTE(Sync!$U1833),2),IFERROR(RIGHT("00"&amp;VALUE(LEFT(Sync!$U1833,FIND(":",Sync!$U1833)-1)),2)&amp;RIGHT("00"&amp;VALUE(MID(Sync!$U1833,FIND(":",Sync!$U1833)+1,2)),2),"0000"))))</f>
        <v/>
      </c>
    </row>
    <row r="1838">
      <c r="A1838">
        <f>IF(Sync!$T1834="","",Sync!$T1834)</f>
        <v/>
      </c>
      <c r="B1838">
        <f>IF($A1838="","",IF(ISNUMBER($A1838),IF(AND($A1838&gt;=10000101,$A1838&lt;=99991231),INT($A1838/10000),""),IFERROR(VALUE(TRIM(LEFT($A1838,FIND("/",$A1838)-1))),"")))</f>
        <v/>
      </c>
      <c r="C1838">
        <f>IF(OR($A1838="",$B1838=""),"",IF(ISNUMBER($A1838),INT(MOD($A1838,10000)/100),IFERROR(VALUE(TRIM(LEFT(MID($A1838,FIND("/",$A1838)+1,20),FIND("/",MID($A1838,FIND("/",$A1838)+1,20))-1))),"")))</f>
        <v/>
      </c>
      <c r="D1838">
        <f>IF(OR($A1838="",$B1838=""),"",IF(ISNUMBER($A1838),MOD($A1838,100),IFERROR(VALUE(TRIM(MID(MID($A1838,FIND("/",$A1838)+1,20),FIND("/",MID($A1838,FIND("/",$A1838)+1,20))+1,20))),"")))</f>
        <v/>
      </c>
      <c r="E1838">
        <f>IF($A1838="","",IF(OR($B1838="",$C1838="",$D1838="",$B1838&lt;1300,$B1838&gt;1500,$C1838&lt;1,$C1838&gt;12,$D1838&lt;1,$D1838&gt;31),"نامعتبر",RIGHT("0000"&amp;$B1838,4)&amp;"/"&amp;RIGHT("00"&amp;$C1838,2)&amp;"/"&amp;RIGHT("00"&amp;$D1838,2)))</f>
        <v/>
      </c>
      <c r="F1838">
        <f>IF(OR($E1838="",$E1838="نامعتبر"),"",LEFT($E1838,4)&amp;"/"&amp;MID($E1838,6,2))</f>
        <v/>
      </c>
      <c r="G1838">
        <f>IF(OR($E1838="",$E1838="نامعتبر",Sync!$X1834=""),"",IF(AND(LEFT(UPPER(TRIM(Sync!$X1834)),2)="SL",IFERROR(VLOOKUP(Sync!$W1834,OpTbl,3,0),"")="فروش"),UPPER(TRIM(Sync!$X1834)),""))</f>
        <v/>
      </c>
      <c r="H1838">
        <f>IF($G1838="","",IF(Sync!$W1834="","",Sync!$W1834))</f>
        <v/>
      </c>
      <c r="I1838">
        <f>IF(OR($G1838="",Sync!$Y1834=""),"",Sync!$Y1834)</f>
        <v/>
      </c>
      <c r="J1838">
        <f>IF(OR($G1838="",Sync!$Z1834=""),"",Sync!$Z1834)</f>
        <v/>
      </c>
      <c r="K1838">
        <f>IF($G1838="",0,IF(Sync!$AA1834="",0,Sync!$AA1834))</f>
        <v/>
      </c>
      <c r="L1838">
        <f>IF($G1838="",0,IF(Sync!$AB1834="",0,Sync!$AB1834))</f>
        <v/>
      </c>
      <c r="M1838">
        <f>IF($G1838="","",IF($H1838="مرجوعی فروش",-1,1)*($K1838-$L1838*IFERROR(VLOOKUP("P01",ParamTbl,3,0),1.5)))</f>
        <v/>
      </c>
      <c r="N1838">
        <f>IF($G1838="",0,IF($H1838="مرجوعی فروش",-1,1)*IF(Sync!$AC1834="",0,Sync!$AC1834))</f>
        <v/>
      </c>
      <c r="O1838">
        <f>IF(OR($G1838="",Sync!$V1834=""),"",Sync!$V1834)</f>
        <v/>
      </c>
      <c r="P1838">
        <f>IF(OR($G1838="",Sync!$AD1834=""),"",Sync!$AD1834)</f>
        <v/>
      </c>
      <c r="Q1838">
        <f>IF($G1838="","",IF(Sync!$U1834="","0000",IF(AND(ISNUMBER(Sync!$U1834),Sync!$U1834&gt;=0,Sync!$U1834&lt;1),RIGHT("00"&amp;HOUR(Sync!$U1834),2)&amp;RIGHT("00"&amp;MINUTE(Sync!$U1834),2),IFERROR(RIGHT("00"&amp;VALUE(LEFT(Sync!$U1834,FIND(":",Sync!$U1834)-1)),2)&amp;RIGHT("00"&amp;VALUE(MID(Sync!$U1834,FIND(":",Sync!$U1834)+1,2)),2),"0000"))))</f>
        <v/>
      </c>
    </row>
    <row r="1839">
      <c r="A1839">
        <f>IF(Sync!$T1835="","",Sync!$T1835)</f>
        <v/>
      </c>
      <c r="B1839">
        <f>IF($A1839="","",IF(ISNUMBER($A1839),IF(AND($A1839&gt;=10000101,$A1839&lt;=99991231),INT($A1839/10000),""),IFERROR(VALUE(TRIM(LEFT($A1839,FIND("/",$A1839)-1))),"")))</f>
        <v/>
      </c>
      <c r="C1839">
        <f>IF(OR($A1839="",$B1839=""),"",IF(ISNUMBER($A1839),INT(MOD($A1839,10000)/100),IFERROR(VALUE(TRIM(LEFT(MID($A1839,FIND("/",$A1839)+1,20),FIND("/",MID($A1839,FIND("/",$A1839)+1,20))-1))),"")))</f>
        <v/>
      </c>
      <c r="D1839">
        <f>IF(OR($A1839="",$B1839=""),"",IF(ISNUMBER($A1839),MOD($A1839,100),IFERROR(VALUE(TRIM(MID(MID($A1839,FIND("/",$A1839)+1,20),FIND("/",MID($A1839,FIND("/",$A1839)+1,20))+1,20))),"")))</f>
        <v/>
      </c>
      <c r="E1839">
        <f>IF($A1839="","",IF(OR($B1839="",$C1839="",$D1839="",$B1839&lt;1300,$B1839&gt;1500,$C1839&lt;1,$C1839&gt;12,$D1839&lt;1,$D1839&gt;31),"نامعتبر",RIGHT("0000"&amp;$B1839,4)&amp;"/"&amp;RIGHT("00"&amp;$C1839,2)&amp;"/"&amp;RIGHT("00"&amp;$D1839,2)))</f>
        <v/>
      </c>
      <c r="F1839">
        <f>IF(OR($E1839="",$E1839="نامعتبر"),"",LEFT($E1839,4)&amp;"/"&amp;MID($E1839,6,2))</f>
        <v/>
      </c>
      <c r="G1839">
        <f>IF(OR($E1839="",$E1839="نامعتبر",Sync!$X1835=""),"",IF(AND(LEFT(UPPER(TRIM(Sync!$X1835)),2)="SL",IFERROR(VLOOKUP(Sync!$W1835,OpTbl,3,0),"")="فروش"),UPPER(TRIM(Sync!$X1835)),""))</f>
        <v/>
      </c>
      <c r="H1839">
        <f>IF($G1839="","",IF(Sync!$W1835="","",Sync!$W1835))</f>
        <v/>
      </c>
      <c r="I1839">
        <f>IF(OR($G1839="",Sync!$Y1835=""),"",Sync!$Y1835)</f>
        <v/>
      </c>
      <c r="J1839">
        <f>IF(OR($G1839="",Sync!$Z1835=""),"",Sync!$Z1835)</f>
        <v/>
      </c>
      <c r="K1839">
        <f>IF($G1839="",0,IF(Sync!$AA1835="",0,Sync!$AA1835))</f>
        <v/>
      </c>
      <c r="L1839">
        <f>IF($G1839="",0,IF(Sync!$AB1835="",0,Sync!$AB1835))</f>
        <v/>
      </c>
      <c r="M1839">
        <f>IF($G1839="","",IF($H1839="مرجوعی فروش",-1,1)*($K1839-$L1839*IFERROR(VLOOKUP("P01",ParamTbl,3,0),1.5)))</f>
        <v/>
      </c>
      <c r="N1839">
        <f>IF($G1839="",0,IF($H1839="مرجوعی فروش",-1,1)*IF(Sync!$AC1835="",0,Sync!$AC1835))</f>
        <v/>
      </c>
      <c r="O1839">
        <f>IF(OR($G1839="",Sync!$V1835=""),"",Sync!$V1835)</f>
        <v/>
      </c>
      <c r="P1839">
        <f>IF(OR($G1839="",Sync!$AD1835=""),"",Sync!$AD1835)</f>
        <v/>
      </c>
      <c r="Q1839">
        <f>IF($G1839="","",IF(Sync!$U1835="","0000",IF(AND(ISNUMBER(Sync!$U1835),Sync!$U1835&gt;=0,Sync!$U1835&lt;1),RIGHT("00"&amp;HOUR(Sync!$U1835),2)&amp;RIGHT("00"&amp;MINUTE(Sync!$U1835),2),IFERROR(RIGHT("00"&amp;VALUE(LEFT(Sync!$U1835,FIND(":",Sync!$U1835)-1)),2)&amp;RIGHT("00"&amp;VALUE(MID(Sync!$U1835,FIND(":",Sync!$U1835)+1,2)),2),"0000"))))</f>
        <v/>
      </c>
    </row>
    <row r="1840">
      <c r="A1840">
        <f>IF(Sync!$T1836="","",Sync!$T1836)</f>
        <v/>
      </c>
      <c r="B1840">
        <f>IF($A1840="","",IF(ISNUMBER($A1840),IF(AND($A1840&gt;=10000101,$A1840&lt;=99991231),INT($A1840/10000),""),IFERROR(VALUE(TRIM(LEFT($A1840,FIND("/",$A1840)-1))),"")))</f>
        <v/>
      </c>
      <c r="C1840">
        <f>IF(OR($A1840="",$B1840=""),"",IF(ISNUMBER($A1840),INT(MOD($A1840,10000)/100),IFERROR(VALUE(TRIM(LEFT(MID($A1840,FIND("/",$A1840)+1,20),FIND("/",MID($A1840,FIND("/",$A1840)+1,20))-1))),"")))</f>
        <v/>
      </c>
      <c r="D1840">
        <f>IF(OR($A1840="",$B1840=""),"",IF(ISNUMBER($A1840),MOD($A1840,100),IFERROR(VALUE(TRIM(MID(MID($A1840,FIND("/",$A1840)+1,20),FIND("/",MID($A1840,FIND("/",$A1840)+1,20))+1,20))),"")))</f>
        <v/>
      </c>
      <c r="E1840">
        <f>IF($A1840="","",IF(OR($B1840="",$C1840="",$D1840="",$B1840&lt;1300,$B1840&gt;1500,$C1840&lt;1,$C1840&gt;12,$D1840&lt;1,$D1840&gt;31),"نامعتبر",RIGHT("0000"&amp;$B1840,4)&amp;"/"&amp;RIGHT("00"&amp;$C1840,2)&amp;"/"&amp;RIGHT("00"&amp;$D1840,2)))</f>
        <v/>
      </c>
      <c r="F1840">
        <f>IF(OR($E1840="",$E1840="نامعتبر"),"",LEFT($E1840,4)&amp;"/"&amp;MID($E1840,6,2))</f>
        <v/>
      </c>
      <c r="G1840">
        <f>IF(OR($E1840="",$E1840="نامعتبر",Sync!$X1836=""),"",IF(AND(LEFT(UPPER(TRIM(Sync!$X1836)),2)="SL",IFERROR(VLOOKUP(Sync!$W1836,OpTbl,3,0),"")="فروش"),UPPER(TRIM(Sync!$X1836)),""))</f>
        <v/>
      </c>
      <c r="H1840">
        <f>IF($G1840="","",IF(Sync!$W1836="","",Sync!$W1836))</f>
        <v/>
      </c>
      <c r="I1840">
        <f>IF(OR($G1840="",Sync!$Y1836=""),"",Sync!$Y1836)</f>
        <v/>
      </c>
      <c r="J1840">
        <f>IF(OR($G1840="",Sync!$Z1836=""),"",Sync!$Z1836)</f>
        <v/>
      </c>
      <c r="K1840">
        <f>IF($G1840="",0,IF(Sync!$AA1836="",0,Sync!$AA1836))</f>
        <v/>
      </c>
      <c r="L1840">
        <f>IF($G1840="",0,IF(Sync!$AB1836="",0,Sync!$AB1836))</f>
        <v/>
      </c>
      <c r="M1840">
        <f>IF($G1840="","",IF($H1840="مرجوعی فروش",-1,1)*($K1840-$L1840*IFERROR(VLOOKUP("P01",ParamTbl,3,0),1.5)))</f>
        <v/>
      </c>
      <c r="N1840">
        <f>IF($G1840="",0,IF($H1840="مرجوعی فروش",-1,1)*IF(Sync!$AC1836="",0,Sync!$AC1836))</f>
        <v/>
      </c>
      <c r="O1840">
        <f>IF(OR($G1840="",Sync!$V1836=""),"",Sync!$V1836)</f>
        <v/>
      </c>
      <c r="P1840">
        <f>IF(OR($G1840="",Sync!$AD1836=""),"",Sync!$AD1836)</f>
        <v/>
      </c>
      <c r="Q1840">
        <f>IF($G1840="","",IF(Sync!$U1836="","0000",IF(AND(ISNUMBER(Sync!$U1836),Sync!$U1836&gt;=0,Sync!$U1836&lt;1),RIGHT("00"&amp;HOUR(Sync!$U1836),2)&amp;RIGHT("00"&amp;MINUTE(Sync!$U1836),2),IFERROR(RIGHT("00"&amp;VALUE(LEFT(Sync!$U1836,FIND(":",Sync!$U1836)-1)),2)&amp;RIGHT("00"&amp;VALUE(MID(Sync!$U1836,FIND(":",Sync!$U1836)+1,2)),2),"0000"))))</f>
        <v/>
      </c>
    </row>
    <row r="1841">
      <c r="A1841">
        <f>IF(Sync!$T1837="","",Sync!$T1837)</f>
        <v/>
      </c>
      <c r="B1841">
        <f>IF($A1841="","",IF(ISNUMBER($A1841),IF(AND($A1841&gt;=10000101,$A1841&lt;=99991231),INT($A1841/10000),""),IFERROR(VALUE(TRIM(LEFT($A1841,FIND("/",$A1841)-1))),"")))</f>
        <v/>
      </c>
      <c r="C1841">
        <f>IF(OR($A1841="",$B1841=""),"",IF(ISNUMBER($A1841),INT(MOD($A1841,10000)/100),IFERROR(VALUE(TRIM(LEFT(MID($A1841,FIND("/",$A1841)+1,20),FIND("/",MID($A1841,FIND("/",$A1841)+1,20))-1))),"")))</f>
        <v/>
      </c>
      <c r="D1841">
        <f>IF(OR($A1841="",$B1841=""),"",IF(ISNUMBER($A1841),MOD($A1841,100),IFERROR(VALUE(TRIM(MID(MID($A1841,FIND("/",$A1841)+1,20),FIND("/",MID($A1841,FIND("/",$A1841)+1,20))+1,20))),"")))</f>
        <v/>
      </c>
      <c r="E1841">
        <f>IF($A1841="","",IF(OR($B1841="",$C1841="",$D1841="",$B1841&lt;1300,$B1841&gt;1500,$C1841&lt;1,$C1841&gt;12,$D1841&lt;1,$D1841&gt;31),"نامعتبر",RIGHT("0000"&amp;$B1841,4)&amp;"/"&amp;RIGHT("00"&amp;$C1841,2)&amp;"/"&amp;RIGHT("00"&amp;$D1841,2)))</f>
        <v/>
      </c>
      <c r="F1841">
        <f>IF(OR($E1841="",$E1841="نامعتبر"),"",LEFT($E1841,4)&amp;"/"&amp;MID($E1841,6,2))</f>
        <v/>
      </c>
      <c r="G1841">
        <f>IF(OR($E1841="",$E1841="نامعتبر",Sync!$X1837=""),"",IF(AND(LEFT(UPPER(TRIM(Sync!$X1837)),2)="SL",IFERROR(VLOOKUP(Sync!$W1837,OpTbl,3,0),"")="فروش"),UPPER(TRIM(Sync!$X1837)),""))</f>
        <v/>
      </c>
      <c r="H1841">
        <f>IF($G1841="","",IF(Sync!$W1837="","",Sync!$W1837))</f>
        <v/>
      </c>
      <c r="I1841">
        <f>IF(OR($G1841="",Sync!$Y1837=""),"",Sync!$Y1837)</f>
        <v/>
      </c>
      <c r="J1841">
        <f>IF(OR($G1841="",Sync!$Z1837=""),"",Sync!$Z1837)</f>
        <v/>
      </c>
      <c r="K1841">
        <f>IF($G1841="",0,IF(Sync!$AA1837="",0,Sync!$AA1837))</f>
        <v/>
      </c>
      <c r="L1841">
        <f>IF($G1841="",0,IF(Sync!$AB1837="",0,Sync!$AB1837))</f>
        <v/>
      </c>
      <c r="M1841">
        <f>IF($G1841="","",IF($H1841="مرجوعی فروش",-1,1)*($K1841-$L1841*IFERROR(VLOOKUP("P01",ParamTbl,3,0),1.5)))</f>
        <v/>
      </c>
      <c r="N1841">
        <f>IF($G1841="",0,IF($H1841="مرجوعی فروش",-1,1)*IF(Sync!$AC1837="",0,Sync!$AC1837))</f>
        <v/>
      </c>
      <c r="O1841">
        <f>IF(OR($G1841="",Sync!$V1837=""),"",Sync!$V1837)</f>
        <v/>
      </c>
      <c r="P1841">
        <f>IF(OR($G1841="",Sync!$AD1837=""),"",Sync!$AD1837)</f>
        <v/>
      </c>
      <c r="Q1841">
        <f>IF($G1841="","",IF(Sync!$U1837="","0000",IF(AND(ISNUMBER(Sync!$U1837),Sync!$U1837&gt;=0,Sync!$U1837&lt;1),RIGHT("00"&amp;HOUR(Sync!$U1837),2)&amp;RIGHT("00"&amp;MINUTE(Sync!$U1837),2),IFERROR(RIGHT("00"&amp;VALUE(LEFT(Sync!$U1837,FIND(":",Sync!$U1837)-1)),2)&amp;RIGHT("00"&amp;VALUE(MID(Sync!$U1837,FIND(":",Sync!$U1837)+1,2)),2),"0000"))))</f>
        <v/>
      </c>
    </row>
    <row r="1842">
      <c r="A1842">
        <f>IF(Sync!$T1838="","",Sync!$T1838)</f>
        <v/>
      </c>
      <c r="B1842">
        <f>IF($A1842="","",IF(ISNUMBER($A1842),IF(AND($A1842&gt;=10000101,$A1842&lt;=99991231),INT($A1842/10000),""),IFERROR(VALUE(TRIM(LEFT($A1842,FIND("/",$A1842)-1))),"")))</f>
        <v/>
      </c>
      <c r="C1842">
        <f>IF(OR($A1842="",$B1842=""),"",IF(ISNUMBER($A1842),INT(MOD($A1842,10000)/100),IFERROR(VALUE(TRIM(LEFT(MID($A1842,FIND("/",$A1842)+1,20),FIND("/",MID($A1842,FIND("/",$A1842)+1,20))-1))),"")))</f>
        <v/>
      </c>
      <c r="D1842">
        <f>IF(OR($A1842="",$B1842=""),"",IF(ISNUMBER($A1842),MOD($A1842,100),IFERROR(VALUE(TRIM(MID(MID($A1842,FIND("/",$A1842)+1,20),FIND("/",MID($A1842,FIND("/",$A1842)+1,20))+1,20))),"")))</f>
        <v/>
      </c>
      <c r="E1842">
        <f>IF($A1842="","",IF(OR($B1842="",$C1842="",$D1842="",$B1842&lt;1300,$B1842&gt;1500,$C1842&lt;1,$C1842&gt;12,$D1842&lt;1,$D1842&gt;31),"نامعتبر",RIGHT("0000"&amp;$B1842,4)&amp;"/"&amp;RIGHT("00"&amp;$C1842,2)&amp;"/"&amp;RIGHT("00"&amp;$D1842,2)))</f>
        <v/>
      </c>
      <c r="F1842">
        <f>IF(OR($E1842="",$E1842="نامعتبر"),"",LEFT($E1842,4)&amp;"/"&amp;MID($E1842,6,2))</f>
        <v/>
      </c>
      <c r="G1842">
        <f>IF(OR($E1842="",$E1842="نامعتبر",Sync!$X1838=""),"",IF(AND(LEFT(UPPER(TRIM(Sync!$X1838)),2)="SL",IFERROR(VLOOKUP(Sync!$W1838,OpTbl,3,0),"")="فروش"),UPPER(TRIM(Sync!$X1838)),""))</f>
        <v/>
      </c>
      <c r="H1842">
        <f>IF($G1842="","",IF(Sync!$W1838="","",Sync!$W1838))</f>
        <v/>
      </c>
      <c r="I1842">
        <f>IF(OR($G1842="",Sync!$Y1838=""),"",Sync!$Y1838)</f>
        <v/>
      </c>
      <c r="J1842">
        <f>IF(OR($G1842="",Sync!$Z1838=""),"",Sync!$Z1838)</f>
        <v/>
      </c>
      <c r="K1842">
        <f>IF($G1842="",0,IF(Sync!$AA1838="",0,Sync!$AA1838))</f>
        <v/>
      </c>
      <c r="L1842">
        <f>IF($G1842="",0,IF(Sync!$AB1838="",0,Sync!$AB1838))</f>
        <v/>
      </c>
      <c r="M1842">
        <f>IF($G1842="","",IF($H1842="مرجوعی فروش",-1,1)*($K1842-$L1842*IFERROR(VLOOKUP("P01",ParamTbl,3,0),1.5)))</f>
        <v/>
      </c>
      <c r="N1842">
        <f>IF($G1842="",0,IF($H1842="مرجوعی فروش",-1,1)*IF(Sync!$AC1838="",0,Sync!$AC1838))</f>
        <v/>
      </c>
      <c r="O1842">
        <f>IF(OR($G1842="",Sync!$V1838=""),"",Sync!$V1838)</f>
        <v/>
      </c>
      <c r="P1842">
        <f>IF(OR($G1842="",Sync!$AD1838=""),"",Sync!$AD1838)</f>
        <v/>
      </c>
      <c r="Q1842">
        <f>IF($G1842="","",IF(Sync!$U1838="","0000",IF(AND(ISNUMBER(Sync!$U1838),Sync!$U1838&gt;=0,Sync!$U1838&lt;1),RIGHT("00"&amp;HOUR(Sync!$U1838),2)&amp;RIGHT("00"&amp;MINUTE(Sync!$U1838),2),IFERROR(RIGHT("00"&amp;VALUE(LEFT(Sync!$U1838,FIND(":",Sync!$U1838)-1)),2)&amp;RIGHT("00"&amp;VALUE(MID(Sync!$U1838,FIND(":",Sync!$U1838)+1,2)),2),"0000"))))</f>
        <v/>
      </c>
    </row>
    <row r="1843">
      <c r="A1843">
        <f>IF(Sync!$T1839="","",Sync!$T1839)</f>
        <v/>
      </c>
      <c r="B1843">
        <f>IF($A1843="","",IF(ISNUMBER($A1843),IF(AND($A1843&gt;=10000101,$A1843&lt;=99991231),INT($A1843/10000),""),IFERROR(VALUE(TRIM(LEFT($A1843,FIND("/",$A1843)-1))),"")))</f>
        <v/>
      </c>
      <c r="C1843">
        <f>IF(OR($A1843="",$B1843=""),"",IF(ISNUMBER($A1843),INT(MOD($A1843,10000)/100),IFERROR(VALUE(TRIM(LEFT(MID($A1843,FIND("/",$A1843)+1,20),FIND("/",MID($A1843,FIND("/",$A1843)+1,20))-1))),"")))</f>
        <v/>
      </c>
      <c r="D1843">
        <f>IF(OR($A1843="",$B1843=""),"",IF(ISNUMBER($A1843),MOD($A1843,100),IFERROR(VALUE(TRIM(MID(MID($A1843,FIND("/",$A1843)+1,20),FIND("/",MID($A1843,FIND("/",$A1843)+1,20))+1,20))),"")))</f>
        <v/>
      </c>
      <c r="E1843">
        <f>IF($A1843="","",IF(OR($B1843="",$C1843="",$D1843="",$B1843&lt;1300,$B1843&gt;1500,$C1843&lt;1,$C1843&gt;12,$D1843&lt;1,$D1843&gt;31),"نامعتبر",RIGHT("0000"&amp;$B1843,4)&amp;"/"&amp;RIGHT("00"&amp;$C1843,2)&amp;"/"&amp;RIGHT("00"&amp;$D1843,2)))</f>
        <v/>
      </c>
      <c r="F1843">
        <f>IF(OR($E1843="",$E1843="نامعتبر"),"",LEFT($E1843,4)&amp;"/"&amp;MID($E1843,6,2))</f>
        <v/>
      </c>
      <c r="G1843">
        <f>IF(OR($E1843="",$E1843="نامعتبر",Sync!$X1839=""),"",IF(AND(LEFT(UPPER(TRIM(Sync!$X1839)),2)="SL",IFERROR(VLOOKUP(Sync!$W1839,OpTbl,3,0),"")="فروش"),UPPER(TRIM(Sync!$X1839)),""))</f>
        <v/>
      </c>
      <c r="H1843">
        <f>IF($G1843="","",IF(Sync!$W1839="","",Sync!$W1839))</f>
        <v/>
      </c>
      <c r="I1843">
        <f>IF(OR($G1843="",Sync!$Y1839=""),"",Sync!$Y1839)</f>
        <v/>
      </c>
      <c r="J1843">
        <f>IF(OR($G1843="",Sync!$Z1839=""),"",Sync!$Z1839)</f>
        <v/>
      </c>
      <c r="K1843">
        <f>IF($G1843="",0,IF(Sync!$AA1839="",0,Sync!$AA1839))</f>
        <v/>
      </c>
      <c r="L1843">
        <f>IF($G1843="",0,IF(Sync!$AB1839="",0,Sync!$AB1839))</f>
        <v/>
      </c>
      <c r="M1843">
        <f>IF($G1843="","",IF($H1843="مرجوعی فروش",-1,1)*($K1843-$L1843*IFERROR(VLOOKUP("P01",ParamTbl,3,0),1.5)))</f>
        <v/>
      </c>
      <c r="N1843">
        <f>IF($G1843="",0,IF($H1843="مرجوعی فروش",-1,1)*IF(Sync!$AC1839="",0,Sync!$AC1839))</f>
        <v/>
      </c>
      <c r="O1843">
        <f>IF(OR($G1843="",Sync!$V1839=""),"",Sync!$V1839)</f>
        <v/>
      </c>
      <c r="P1843">
        <f>IF(OR($G1843="",Sync!$AD1839=""),"",Sync!$AD1839)</f>
        <v/>
      </c>
      <c r="Q1843">
        <f>IF($G1843="","",IF(Sync!$U1839="","0000",IF(AND(ISNUMBER(Sync!$U1839),Sync!$U1839&gt;=0,Sync!$U1839&lt;1),RIGHT("00"&amp;HOUR(Sync!$U1839),2)&amp;RIGHT("00"&amp;MINUTE(Sync!$U1839),2),IFERROR(RIGHT("00"&amp;VALUE(LEFT(Sync!$U1839,FIND(":",Sync!$U1839)-1)),2)&amp;RIGHT("00"&amp;VALUE(MID(Sync!$U1839,FIND(":",Sync!$U1839)+1,2)),2),"0000"))))</f>
        <v/>
      </c>
    </row>
    <row r="1844">
      <c r="A1844">
        <f>IF(Sync!$T1840="","",Sync!$T1840)</f>
        <v/>
      </c>
      <c r="B1844">
        <f>IF($A1844="","",IF(ISNUMBER($A1844),IF(AND($A1844&gt;=10000101,$A1844&lt;=99991231),INT($A1844/10000),""),IFERROR(VALUE(TRIM(LEFT($A1844,FIND("/",$A1844)-1))),"")))</f>
        <v/>
      </c>
      <c r="C1844">
        <f>IF(OR($A1844="",$B1844=""),"",IF(ISNUMBER($A1844),INT(MOD($A1844,10000)/100),IFERROR(VALUE(TRIM(LEFT(MID($A1844,FIND("/",$A1844)+1,20),FIND("/",MID($A1844,FIND("/",$A1844)+1,20))-1))),"")))</f>
        <v/>
      </c>
      <c r="D1844">
        <f>IF(OR($A1844="",$B1844=""),"",IF(ISNUMBER($A1844),MOD($A1844,100),IFERROR(VALUE(TRIM(MID(MID($A1844,FIND("/",$A1844)+1,20),FIND("/",MID($A1844,FIND("/",$A1844)+1,20))+1,20))),"")))</f>
        <v/>
      </c>
      <c r="E1844">
        <f>IF($A1844="","",IF(OR($B1844="",$C1844="",$D1844="",$B1844&lt;1300,$B1844&gt;1500,$C1844&lt;1,$C1844&gt;12,$D1844&lt;1,$D1844&gt;31),"نامعتبر",RIGHT("0000"&amp;$B1844,4)&amp;"/"&amp;RIGHT("00"&amp;$C1844,2)&amp;"/"&amp;RIGHT("00"&amp;$D1844,2)))</f>
        <v/>
      </c>
      <c r="F1844">
        <f>IF(OR($E1844="",$E1844="نامعتبر"),"",LEFT($E1844,4)&amp;"/"&amp;MID($E1844,6,2))</f>
        <v/>
      </c>
      <c r="G1844">
        <f>IF(OR($E1844="",$E1844="نامعتبر",Sync!$X1840=""),"",IF(AND(LEFT(UPPER(TRIM(Sync!$X1840)),2)="SL",IFERROR(VLOOKUP(Sync!$W1840,OpTbl,3,0),"")="فروش"),UPPER(TRIM(Sync!$X1840)),""))</f>
        <v/>
      </c>
      <c r="H1844">
        <f>IF($G1844="","",IF(Sync!$W1840="","",Sync!$W1840))</f>
        <v/>
      </c>
      <c r="I1844">
        <f>IF(OR($G1844="",Sync!$Y1840=""),"",Sync!$Y1840)</f>
        <v/>
      </c>
      <c r="J1844">
        <f>IF(OR($G1844="",Sync!$Z1840=""),"",Sync!$Z1840)</f>
        <v/>
      </c>
      <c r="K1844">
        <f>IF($G1844="",0,IF(Sync!$AA1840="",0,Sync!$AA1840))</f>
        <v/>
      </c>
      <c r="L1844">
        <f>IF($G1844="",0,IF(Sync!$AB1840="",0,Sync!$AB1840))</f>
        <v/>
      </c>
      <c r="M1844">
        <f>IF($G1844="","",IF($H1844="مرجوعی فروش",-1,1)*($K1844-$L1844*IFERROR(VLOOKUP("P01",ParamTbl,3,0),1.5)))</f>
        <v/>
      </c>
      <c r="N1844">
        <f>IF($G1844="",0,IF($H1844="مرجوعی فروش",-1,1)*IF(Sync!$AC1840="",0,Sync!$AC1840))</f>
        <v/>
      </c>
      <c r="O1844">
        <f>IF(OR($G1844="",Sync!$V1840=""),"",Sync!$V1840)</f>
        <v/>
      </c>
      <c r="P1844">
        <f>IF(OR($G1844="",Sync!$AD1840=""),"",Sync!$AD1840)</f>
        <v/>
      </c>
      <c r="Q1844">
        <f>IF($G1844="","",IF(Sync!$U1840="","0000",IF(AND(ISNUMBER(Sync!$U1840),Sync!$U1840&gt;=0,Sync!$U1840&lt;1),RIGHT("00"&amp;HOUR(Sync!$U1840),2)&amp;RIGHT("00"&amp;MINUTE(Sync!$U1840),2),IFERROR(RIGHT("00"&amp;VALUE(LEFT(Sync!$U1840,FIND(":",Sync!$U1840)-1)),2)&amp;RIGHT("00"&amp;VALUE(MID(Sync!$U1840,FIND(":",Sync!$U1840)+1,2)),2),"0000"))))</f>
        <v/>
      </c>
    </row>
    <row r="1845">
      <c r="A1845">
        <f>IF(Sync!$T1841="","",Sync!$T1841)</f>
        <v/>
      </c>
      <c r="B1845">
        <f>IF($A1845="","",IF(ISNUMBER($A1845),IF(AND($A1845&gt;=10000101,$A1845&lt;=99991231),INT($A1845/10000),""),IFERROR(VALUE(TRIM(LEFT($A1845,FIND("/",$A1845)-1))),"")))</f>
        <v/>
      </c>
      <c r="C1845">
        <f>IF(OR($A1845="",$B1845=""),"",IF(ISNUMBER($A1845),INT(MOD($A1845,10000)/100),IFERROR(VALUE(TRIM(LEFT(MID($A1845,FIND("/",$A1845)+1,20),FIND("/",MID($A1845,FIND("/",$A1845)+1,20))-1))),"")))</f>
        <v/>
      </c>
      <c r="D1845">
        <f>IF(OR($A1845="",$B1845=""),"",IF(ISNUMBER($A1845),MOD($A1845,100),IFERROR(VALUE(TRIM(MID(MID($A1845,FIND("/",$A1845)+1,20),FIND("/",MID($A1845,FIND("/",$A1845)+1,20))+1,20))),"")))</f>
        <v/>
      </c>
      <c r="E1845">
        <f>IF($A1845="","",IF(OR($B1845="",$C1845="",$D1845="",$B1845&lt;1300,$B1845&gt;1500,$C1845&lt;1,$C1845&gt;12,$D1845&lt;1,$D1845&gt;31),"نامعتبر",RIGHT("0000"&amp;$B1845,4)&amp;"/"&amp;RIGHT("00"&amp;$C1845,2)&amp;"/"&amp;RIGHT("00"&amp;$D1845,2)))</f>
        <v/>
      </c>
      <c r="F1845">
        <f>IF(OR($E1845="",$E1845="نامعتبر"),"",LEFT($E1845,4)&amp;"/"&amp;MID($E1845,6,2))</f>
        <v/>
      </c>
      <c r="G1845">
        <f>IF(OR($E1845="",$E1845="نامعتبر",Sync!$X1841=""),"",IF(AND(LEFT(UPPER(TRIM(Sync!$X1841)),2)="SL",IFERROR(VLOOKUP(Sync!$W1841,OpTbl,3,0),"")="فروش"),UPPER(TRIM(Sync!$X1841)),""))</f>
        <v/>
      </c>
      <c r="H1845">
        <f>IF($G1845="","",IF(Sync!$W1841="","",Sync!$W1841))</f>
        <v/>
      </c>
      <c r="I1845">
        <f>IF(OR($G1845="",Sync!$Y1841=""),"",Sync!$Y1841)</f>
        <v/>
      </c>
      <c r="J1845">
        <f>IF(OR($G1845="",Sync!$Z1841=""),"",Sync!$Z1841)</f>
        <v/>
      </c>
      <c r="K1845">
        <f>IF($G1845="",0,IF(Sync!$AA1841="",0,Sync!$AA1841))</f>
        <v/>
      </c>
      <c r="L1845">
        <f>IF($G1845="",0,IF(Sync!$AB1841="",0,Sync!$AB1841))</f>
        <v/>
      </c>
      <c r="M1845">
        <f>IF($G1845="","",IF($H1845="مرجوعی فروش",-1,1)*($K1845-$L1845*IFERROR(VLOOKUP("P01",ParamTbl,3,0),1.5)))</f>
        <v/>
      </c>
      <c r="N1845">
        <f>IF($G1845="",0,IF($H1845="مرجوعی فروش",-1,1)*IF(Sync!$AC1841="",0,Sync!$AC1841))</f>
        <v/>
      </c>
      <c r="O1845">
        <f>IF(OR($G1845="",Sync!$V1841=""),"",Sync!$V1841)</f>
        <v/>
      </c>
      <c r="P1845">
        <f>IF(OR($G1845="",Sync!$AD1841=""),"",Sync!$AD1841)</f>
        <v/>
      </c>
      <c r="Q1845">
        <f>IF($G1845="","",IF(Sync!$U1841="","0000",IF(AND(ISNUMBER(Sync!$U1841),Sync!$U1841&gt;=0,Sync!$U1841&lt;1),RIGHT("00"&amp;HOUR(Sync!$U1841),2)&amp;RIGHT("00"&amp;MINUTE(Sync!$U1841),2),IFERROR(RIGHT("00"&amp;VALUE(LEFT(Sync!$U1841,FIND(":",Sync!$U1841)-1)),2)&amp;RIGHT("00"&amp;VALUE(MID(Sync!$U1841,FIND(":",Sync!$U1841)+1,2)),2),"0000"))))</f>
        <v/>
      </c>
    </row>
    <row r="1846">
      <c r="A1846">
        <f>IF(Sync!$T1842="","",Sync!$T1842)</f>
        <v/>
      </c>
      <c r="B1846">
        <f>IF($A1846="","",IF(ISNUMBER($A1846),IF(AND($A1846&gt;=10000101,$A1846&lt;=99991231),INT($A1846/10000),""),IFERROR(VALUE(TRIM(LEFT($A1846,FIND("/",$A1846)-1))),"")))</f>
        <v/>
      </c>
      <c r="C1846">
        <f>IF(OR($A1846="",$B1846=""),"",IF(ISNUMBER($A1846),INT(MOD($A1846,10000)/100),IFERROR(VALUE(TRIM(LEFT(MID($A1846,FIND("/",$A1846)+1,20),FIND("/",MID($A1846,FIND("/",$A1846)+1,20))-1))),"")))</f>
        <v/>
      </c>
      <c r="D1846">
        <f>IF(OR($A1846="",$B1846=""),"",IF(ISNUMBER($A1846),MOD($A1846,100),IFERROR(VALUE(TRIM(MID(MID($A1846,FIND("/",$A1846)+1,20),FIND("/",MID($A1846,FIND("/",$A1846)+1,20))+1,20))),"")))</f>
        <v/>
      </c>
      <c r="E1846">
        <f>IF($A1846="","",IF(OR($B1846="",$C1846="",$D1846="",$B1846&lt;1300,$B1846&gt;1500,$C1846&lt;1,$C1846&gt;12,$D1846&lt;1,$D1846&gt;31),"نامعتبر",RIGHT("0000"&amp;$B1846,4)&amp;"/"&amp;RIGHT("00"&amp;$C1846,2)&amp;"/"&amp;RIGHT("00"&amp;$D1846,2)))</f>
        <v/>
      </c>
      <c r="F1846">
        <f>IF(OR($E1846="",$E1846="نامعتبر"),"",LEFT($E1846,4)&amp;"/"&amp;MID($E1846,6,2))</f>
        <v/>
      </c>
      <c r="G1846">
        <f>IF(OR($E1846="",$E1846="نامعتبر",Sync!$X1842=""),"",IF(AND(LEFT(UPPER(TRIM(Sync!$X1842)),2)="SL",IFERROR(VLOOKUP(Sync!$W1842,OpTbl,3,0),"")="فروش"),UPPER(TRIM(Sync!$X1842)),""))</f>
        <v/>
      </c>
      <c r="H1846">
        <f>IF($G1846="","",IF(Sync!$W1842="","",Sync!$W1842))</f>
        <v/>
      </c>
      <c r="I1846">
        <f>IF(OR($G1846="",Sync!$Y1842=""),"",Sync!$Y1842)</f>
        <v/>
      </c>
      <c r="J1846">
        <f>IF(OR($G1846="",Sync!$Z1842=""),"",Sync!$Z1842)</f>
        <v/>
      </c>
      <c r="K1846">
        <f>IF($G1846="",0,IF(Sync!$AA1842="",0,Sync!$AA1842))</f>
        <v/>
      </c>
      <c r="L1846">
        <f>IF($G1846="",0,IF(Sync!$AB1842="",0,Sync!$AB1842))</f>
        <v/>
      </c>
      <c r="M1846">
        <f>IF($G1846="","",IF($H1846="مرجوعی فروش",-1,1)*($K1846-$L1846*IFERROR(VLOOKUP("P01",ParamTbl,3,0),1.5)))</f>
        <v/>
      </c>
      <c r="N1846">
        <f>IF($G1846="",0,IF($H1846="مرجوعی فروش",-1,1)*IF(Sync!$AC1842="",0,Sync!$AC1842))</f>
        <v/>
      </c>
      <c r="O1846">
        <f>IF(OR($G1846="",Sync!$V1842=""),"",Sync!$V1842)</f>
        <v/>
      </c>
      <c r="P1846">
        <f>IF(OR($G1846="",Sync!$AD1842=""),"",Sync!$AD1842)</f>
        <v/>
      </c>
      <c r="Q1846">
        <f>IF($G1846="","",IF(Sync!$U1842="","0000",IF(AND(ISNUMBER(Sync!$U1842),Sync!$U1842&gt;=0,Sync!$U1842&lt;1),RIGHT("00"&amp;HOUR(Sync!$U1842),2)&amp;RIGHT("00"&amp;MINUTE(Sync!$U1842),2),IFERROR(RIGHT("00"&amp;VALUE(LEFT(Sync!$U1842,FIND(":",Sync!$U1842)-1)),2)&amp;RIGHT("00"&amp;VALUE(MID(Sync!$U1842,FIND(":",Sync!$U1842)+1,2)),2),"0000"))))</f>
        <v/>
      </c>
    </row>
    <row r="1847">
      <c r="A1847">
        <f>IF(Sync!$T1843="","",Sync!$T1843)</f>
        <v/>
      </c>
      <c r="B1847">
        <f>IF($A1847="","",IF(ISNUMBER($A1847),IF(AND($A1847&gt;=10000101,$A1847&lt;=99991231),INT($A1847/10000),""),IFERROR(VALUE(TRIM(LEFT($A1847,FIND("/",$A1847)-1))),"")))</f>
        <v/>
      </c>
      <c r="C1847">
        <f>IF(OR($A1847="",$B1847=""),"",IF(ISNUMBER($A1847),INT(MOD($A1847,10000)/100),IFERROR(VALUE(TRIM(LEFT(MID($A1847,FIND("/",$A1847)+1,20),FIND("/",MID($A1847,FIND("/",$A1847)+1,20))-1))),"")))</f>
        <v/>
      </c>
      <c r="D1847">
        <f>IF(OR($A1847="",$B1847=""),"",IF(ISNUMBER($A1847),MOD($A1847,100),IFERROR(VALUE(TRIM(MID(MID($A1847,FIND("/",$A1847)+1,20),FIND("/",MID($A1847,FIND("/",$A1847)+1,20))+1,20))),"")))</f>
        <v/>
      </c>
      <c r="E1847">
        <f>IF($A1847="","",IF(OR($B1847="",$C1847="",$D1847="",$B1847&lt;1300,$B1847&gt;1500,$C1847&lt;1,$C1847&gt;12,$D1847&lt;1,$D1847&gt;31),"نامعتبر",RIGHT("0000"&amp;$B1847,4)&amp;"/"&amp;RIGHT("00"&amp;$C1847,2)&amp;"/"&amp;RIGHT("00"&amp;$D1847,2)))</f>
        <v/>
      </c>
      <c r="F1847">
        <f>IF(OR($E1847="",$E1847="نامعتبر"),"",LEFT($E1847,4)&amp;"/"&amp;MID($E1847,6,2))</f>
        <v/>
      </c>
      <c r="G1847">
        <f>IF(OR($E1847="",$E1847="نامعتبر",Sync!$X1843=""),"",IF(AND(LEFT(UPPER(TRIM(Sync!$X1843)),2)="SL",IFERROR(VLOOKUP(Sync!$W1843,OpTbl,3,0),"")="فروش"),UPPER(TRIM(Sync!$X1843)),""))</f>
        <v/>
      </c>
      <c r="H1847">
        <f>IF($G1847="","",IF(Sync!$W1843="","",Sync!$W1843))</f>
        <v/>
      </c>
      <c r="I1847">
        <f>IF(OR($G1847="",Sync!$Y1843=""),"",Sync!$Y1843)</f>
        <v/>
      </c>
      <c r="J1847">
        <f>IF(OR($G1847="",Sync!$Z1843=""),"",Sync!$Z1843)</f>
        <v/>
      </c>
      <c r="K1847">
        <f>IF($G1847="",0,IF(Sync!$AA1843="",0,Sync!$AA1843))</f>
        <v/>
      </c>
      <c r="L1847">
        <f>IF($G1847="",0,IF(Sync!$AB1843="",0,Sync!$AB1843))</f>
        <v/>
      </c>
      <c r="M1847">
        <f>IF($G1847="","",IF($H1847="مرجوعی فروش",-1,1)*($K1847-$L1847*IFERROR(VLOOKUP("P01",ParamTbl,3,0),1.5)))</f>
        <v/>
      </c>
      <c r="N1847">
        <f>IF($G1847="",0,IF($H1847="مرجوعی فروش",-1,1)*IF(Sync!$AC1843="",0,Sync!$AC1843))</f>
        <v/>
      </c>
      <c r="O1847">
        <f>IF(OR($G1847="",Sync!$V1843=""),"",Sync!$V1843)</f>
        <v/>
      </c>
      <c r="P1847">
        <f>IF(OR($G1847="",Sync!$AD1843=""),"",Sync!$AD1843)</f>
        <v/>
      </c>
      <c r="Q1847">
        <f>IF($G1847="","",IF(Sync!$U1843="","0000",IF(AND(ISNUMBER(Sync!$U1843),Sync!$U1843&gt;=0,Sync!$U1843&lt;1),RIGHT("00"&amp;HOUR(Sync!$U1843),2)&amp;RIGHT("00"&amp;MINUTE(Sync!$U1843),2),IFERROR(RIGHT("00"&amp;VALUE(LEFT(Sync!$U1843,FIND(":",Sync!$U1843)-1)),2)&amp;RIGHT("00"&amp;VALUE(MID(Sync!$U1843,FIND(":",Sync!$U1843)+1,2)),2),"0000"))))</f>
        <v/>
      </c>
    </row>
    <row r="1848">
      <c r="A1848">
        <f>IF(Sync!$T1844="","",Sync!$T1844)</f>
        <v/>
      </c>
      <c r="B1848">
        <f>IF($A1848="","",IF(ISNUMBER($A1848),IF(AND($A1848&gt;=10000101,$A1848&lt;=99991231),INT($A1848/10000),""),IFERROR(VALUE(TRIM(LEFT($A1848,FIND("/",$A1848)-1))),"")))</f>
        <v/>
      </c>
      <c r="C1848">
        <f>IF(OR($A1848="",$B1848=""),"",IF(ISNUMBER($A1848),INT(MOD($A1848,10000)/100),IFERROR(VALUE(TRIM(LEFT(MID($A1848,FIND("/",$A1848)+1,20),FIND("/",MID($A1848,FIND("/",$A1848)+1,20))-1))),"")))</f>
        <v/>
      </c>
      <c r="D1848">
        <f>IF(OR($A1848="",$B1848=""),"",IF(ISNUMBER($A1848),MOD($A1848,100),IFERROR(VALUE(TRIM(MID(MID($A1848,FIND("/",$A1848)+1,20),FIND("/",MID($A1848,FIND("/",$A1848)+1,20))+1,20))),"")))</f>
        <v/>
      </c>
      <c r="E1848">
        <f>IF($A1848="","",IF(OR($B1848="",$C1848="",$D1848="",$B1848&lt;1300,$B1848&gt;1500,$C1848&lt;1,$C1848&gt;12,$D1848&lt;1,$D1848&gt;31),"نامعتبر",RIGHT("0000"&amp;$B1848,4)&amp;"/"&amp;RIGHT("00"&amp;$C1848,2)&amp;"/"&amp;RIGHT("00"&amp;$D1848,2)))</f>
        <v/>
      </c>
      <c r="F1848">
        <f>IF(OR($E1848="",$E1848="نامعتبر"),"",LEFT($E1848,4)&amp;"/"&amp;MID($E1848,6,2))</f>
        <v/>
      </c>
      <c r="G1848">
        <f>IF(OR($E1848="",$E1848="نامعتبر",Sync!$X1844=""),"",IF(AND(LEFT(UPPER(TRIM(Sync!$X1844)),2)="SL",IFERROR(VLOOKUP(Sync!$W1844,OpTbl,3,0),"")="فروش"),UPPER(TRIM(Sync!$X1844)),""))</f>
        <v/>
      </c>
      <c r="H1848">
        <f>IF($G1848="","",IF(Sync!$W1844="","",Sync!$W1844))</f>
        <v/>
      </c>
      <c r="I1848">
        <f>IF(OR($G1848="",Sync!$Y1844=""),"",Sync!$Y1844)</f>
        <v/>
      </c>
      <c r="J1848">
        <f>IF(OR($G1848="",Sync!$Z1844=""),"",Sync!$Z1844)</f>
        <v/>
      </c>
      <c r="K1848">
        <f>IF($G1848="",0,IF(Sync!$AA1844="",0,Sync!$AA1844))</f>
        <v/>
      </c>
      <c r="L1848">
        <f>IF($G1848="",0,IF(Sync!$AB1844="",0,Sync!$AB1844))</f>
        <v/>
      </c>
      <c r="M1848">
        <f>IF($G1848="","",IF($H1848="مرجوعی فروش",-1,1)*($K1848-$L1848*IFERROR(VLOOKUP("P01",ParamTbl,3,0),1.5)))</f>
        <v/>
      </c>
      <c r="N1848">
        <f>IF($G1848="",0,IF($H1848="مرجوعی فروش",-1,1)*IF(Sync!$AC1844="",0,Sync!$AC1844))</f>
        <v/>
      </c>
      <c r="O1848">
        <f>IF(OR($G1848="",Sync!$V1844=""),"",Sync!$V1844)</f>
        <v/>
      </c>
      <c r="P1848">
        <f>IF(OR($G1848="",Sync!$AD1844=""),"",Sync!$AD1844)</f>
        <v/>
      </c>
      <c r="Q1848">
        <f>IF($G1848="","",IF(Sync!$U1844="","0000",IF(AND(ISNUMBER(Sync!$U1844),Sync!$U1844&gt;=0,Sync!$U1844&lt;1),RIGHT("00"&amp;HOUR(Sync!$U1844),2)&amp;RIGHT("00"&amp;MINUTE(Sync!$U1844),2),IFERROR(RIGHT("00"&amp;VALUE(LEFT(Sync!$U1844,FIND(":",Sync!$U1844)-1)),2)&amp;RIGHT("00"&amp;VALUE(MID(Sync!$U1844,FIND(":",Sync!$U1844)+1,2)),2),"0000"))))</f>
        <v/>
      </c>
    </row>
    <row r="1849">
      <c r="A1849">
        <f>IF(Sync!$T1845="","",Sync!$T1845)</f>
        <v/>
      </c>
      <c r="B1849">
        <f>IF($A1849="","",IF(ISNUMBER($A1849),IF(AND($A1849&gt;=10000101,$A1849&lt;=99991231),INT($A1849/10000),""),IFERROR(VALUE(TRIM(LEFT($A1849,FIND("/",$A1849)-1))),"")))</f>
        <v/>
      </c>
      <c r="C1849">
        <f>IF(OR($A1849="",$B1849=""),"",IF(ISNUMBER($A1849),INT(MOD($A1849,10000)/100),IFERROR(VALUE(TRIM(LEFT(MID($A1849,FIND("/",$A1849)+1,20),FIND("/",MID($A1849,FIND("/",$A1849)+1,20))-1))),"")))</f>
        <v/>
      </c>
      <c r="D1849">
        <f>IF(OR($A1849="",$B1849=""),"",IF(ISNUMBER($A1849),MOD($A1849,100),IFERROR(VALUE(TRIM(MID(MID($A1849,FIND("/",$A1849)+1,20),FIND("/",MID($A1849,FIND("/",$A1849)+1,20))+1,20))),"")))</f>
        <v/>
      </c>
      <c r="E1849">
        <f>IF($A1849="","",IF(OR($B1849="",$C1849="",$D1849="",$B1849&lt;1300,$B1849&gt;1500,$C1849&lt;1,$C1849&gt;12,$D1849&lt;1,$D1849&gt;31),"نامعتبر",RIGHT("0000"&amp;$B1849,4)&amp;"/"&amp;RIGHT("00"&amp;$C1849,2)&amp;"/"&amp;RIGHT("00"&amp;$D1849,2)))</f>
        <v/>
      </c>
      <c r="F1849">
        <f>IF(OR($E1849="",$E1849="نامعتبر"),"",LEFT($E1849,4)&amp;"/"&amp;MID($E1849,6,2))</f>
        <v/>
      </c>
      <c r="G1849">
        <f>IF(OR($E1849="",$E1849="نامعتبر",Sync!$X1845=""),"",IF(AND(LEFT(UPPER(TRIM(Sync!$X1845)),2)="SL",IFERROR(VLOOKUP(Sync!$W1845,OpTbl,3,0),"")="فروش"),UPPER(TRIM(Sync!$X1845)),""))</f>
        <v/>
      </c>
      <c r="H1849">
        <f>IF($G1849="","",IF(Sync!$W1845="","",Sync!$W1845))</f>
        <v/>
      </c>
      <c r="I1849">
        <f>IF(OR($G1849="",Sync!$Y1845=""),"",Sync!$Y1845)</f>
        <v/>
      </c>
      <c r="J1849">
        <f>IF(OR($G1849="",Sync!$Z1845=""),"",Sync!$Z1845)</f>
        <v/>
      </c>
      <c r="K1849">
        <f>IF($G1849="",0,IF(Sync!$AA1845="",0,Sync!$AA1845))</f>
        <v/>
      </c>
      <c r="L1849">
        <f>IF($G1849="",0,IF(Sync!$AB1845="",0,Sync!$AB1845))</f>
        <v/>
      </c>
      <c r="M1849">
        <f>IF($G1849="","",IF($H1849="مرجوعی فروش",-1,1)*($K1849-$L1849*IFERROR(VLOOKUP("P01",ParamTbl,3,0),1.5)))</f>
        <v/>
      </c>
      <c r="N1849">
        <f>IF($G1849="",0,IF($H1849="مرجوعی فروش",-1,1)*IF(Sync!$AC1845="",0,Sync!$AC1845))</f>
        <v/>
      </c>
      <c r="O1849">
        <f>IF(OR($G1849="",Sync!$V1845=""),"",Sync!$V1845)</f>
        <v/>
      </c>
      <c r="P1849">
        <f>IF(OR($G1849="",Sync!$AD1845=""),"",Sync!$AD1845)</f>
        <v/>
      </c>
      <c r="Q1849">
        <f>IF($G1849="","",IF(Sync!$U1845="","0000",IF(AND(ISNUMBER(Sync!$U1845),Sync!$U1845&gt;=0,Sync!$U1845&lt;1),RIGHT("00"&amp;HOUR(Sync!$U1845),2)&amp;RIGHT("00"&amp;MINUTE(Sync!$U1845),2),IFERROR(RIGHT("00"&amp;VALUE(LEFT(Sync!$U1845,FIND(":",Sync!$U1845)-1)),2)&amp;RIGHT("00"&amp;VALUE(MID(Sync!$U1845,FIND(":",Sync!$U1845)+1,2)),2),"0000"))))</f>
        <v/>
      </c>
    </row>
    <row r="1850">
      <c r="A1850">
        <f>IF(Sync!$T1846="","",Sync!$T1846)</f>
        <v/>
      </c>
      <c r="B1850">
        <f>IF($A1850="","",IF(ISNUMBER($A1850),IF(AND($A1850&gt;=10000101,$A1850&lt;=99991231),INT($A1850/10000),""),IFERROR(VALUE(TRIM(LEFT($A1850,FIND("/",$A1850)-1))),"")))</f>
        <v/>
      </c>
      <c r="C1850">
        <f>IF(OR($A1850="",$B1850=""),"",IF(ISNUMBER($A1850),INT(MOD($A1850,10000)/100),IFERROR(VALUE(TRIM(LEFT(MID($A1850,FIND("/",$A1850)+1,20),FIND("/",MID($A1850,FIND("/",$A1850)+1,20))-1))),"")))</f>
        <v/>
      </c>
      <c r="D1850">
        <f>IF(OR($A1850="",$B1850=""),"",IF(ISNUMBER($A1850),MOD($A1850,100),IFERROR(VALUE(TRIM(MID(MID($A1850,FIND("/",$A1850)+1,20),FIND("/",MID($A1850,FIND("/",$A1850)+1,20))+1,20))),"")))</f>
        <v/>
      </c>
      <c r="E1850">
        <f>IF($A1850="","",IF(OR($B1850="",$C1850="",$D1850="",$B1850&lt;1300,$B1850&gt;1500,$C1850&lt;1,$C1850&gt;12,$D1850&lt;1,$D1850&gt;31),"نامعتبر",RIGHT("0000"&amp;$B1850,4)&amp;"/"&amp;RIGHT("00"&amp;$C1850,2)&amp;"/"&amp;RIGHT("00"&amp;$D1850,2)))</f>
        <v/>
      </c>
      <c r="F1850">
        <f>IF(OR($E1850="",$E1850="نامعتبر"),"",LEFT($E1850,4)&amp;"/"&amp;MID($E1850,6,2))</f>
        <v/>
      </c>
      <c r="G1850">
        <f>IF(OR($E1850="",$E1850="نامعتبر",Sync!$X1846=""),"",IF(AND(LEFT(UPPER(TRIM(Sync!$X1846)),2)="SL",IFERROR(VLOOKUP(Sync!$W1846,OpTbl,3,0),"")="فروش"),UPPER(TRIM(Sync!$X1846)),""))</f>
        <v/>
      </c>
      <c r="H1850">
        <f>IF($G1850="","",IF(Sync!$W1846="","",Sync!$W1846))</f>
        <v/>
      </c>
      <c r="I1850">
        <f>IF(OR($G1850="",Sync!$Y1846=""),"",Sync!$Y1846)</f>
        <v/>
      </c>
      <c r="J1850">
        <f>IF(OR($G1850="",Sync!$Z1846=""),"",Sync!$Z1846)</f>
        <v/>
      </c>
      <c r="K1850">
        <f>IF($G1850="",0,IF(Sync!$AA1846="",0,Sync!$AA1846))</f>
        <v/>
      </c>
      <c r="L1850">
        <f>IF($G1850="",0,IF(Sync!$AB1846="",0,Sync!$AB1846))</f>
        <v/>
      </c>
      <c r="M1850">
        <f>IF($G1850="","",IF($H1850="مرجوعی فروش",-1,1)*($K1850-$L1850*IFERROR(VLOOKUP("P01",ParamTbl,3,0),1.5)))</f>
        <v/>
      </c>
      <c r="N1850">
        <f>IF($G1850="",0,IF($H1850="مرجوعی فروش",-1,1)*IF(Sync!$AC1846="",0,Sync!$AC1846))</f>
        <v/>
      </c>
      <c r="O1850">
        <f>IF(OR($G1850="",Sync!$V1846=""),"",Sync!$V1846)</f>
        <v/>
      </c>
      <c r="P1850">
        <f>IF(OR($G1850="",Sync!$AD1846=""),"",Sync!$AD1846)</f>
        <v/>
      </c>
      <c r="Q1850">
        <f>IF($G1850="","",IF(Sync!$U1846="","0000",IF(AND(ISNUMBER(Sync!$U1846),Sync!$U1846&gt;=0,Sync!$U1846&lt;1),RIGHT("00"&amp;HOUR(Sync!$U1846),2)&amp;RIGHT("00"&amp;MINUTE(Sync!$U1846),2),IFERROR(RIGHT("00"&amp;VALUE(LEFT(Sync!$U1846,FIND(":",Sync!$U1846)-1)),2)&amp;RIGHT("00"&amp;VALUE(MID(Sync!$U1846,FIND(":",Sync!$U1846)+1,2)),2),"0000"))))</f>
        <v/>
      </c>
    </row>
    <row r="1851">
      <c r="A1851">
        <f>IF(Sync!$T1847="","",Sync!$T1847)</f>
        <v/>
      </c>
      <c r="B1851">
        <f>IF($A1851="","",IF(ISNUMBER($A1851),IF(AND($A1851&gt;=10000101,$A1851&lt;=99991231),INT($A1851/10000),""),IFERROR(VALUE(TRIM(LEFT($A1851,FIND("/",$A1851)-1))),"")))</f>
        <v/>
      </c>
      <c r="C1851">
        <f>IF(OR($A1851="",$B1851=""),"",IF(ISNUMBER($A1851),INT(MOD($A1851,10000)/100),IFERROR(VALUE(TRIM(LEFT(MID($A1851,FIND("/",$A1851)+1,20),FIND("/",MID($A1851,FIND("/",$A1851)+1,20))-1))),"")))</f>
        <v/>
      </c>
      <c r="D1851">
        <f>IF(OR($A1851="",$B1851=""),"",IF(ISNUMBER($A1851),MOD($A1851,100),IFERROR(VALUE(TRIM(MID(MID($A1851,FIND("/",$A1851)+1,20),FIND("/",MID($A1851,FIND("/",$A1851)+1,20))+1,20))),"")))</f>
        <v/>
      </c>
      <c r="E1851">
        <f>IF($A1851="","",IF(OR($B1851="",$C1851="",$D1851="",$B1851&lt;1300,$B1851&gt;1500,$C1851&lt;1,$C1851&gt;12,$D1851&lt;1,$D1851&gt;31),"نامعتبر",RIGHT("0000"&amp;$B1851,4)&amp;"/"&amp;RIGHT("00"&amp;$C1851,2)&amp;"/"&amp;RIGHT("00"&amp;$D1851,2)))</f>
        <v/>
      </c>
      <c r="F1851">
        <f>IF(OR($E1851="",$E1851="نامعتبر"),"",LEFT($E1851,4)&amp;"/"&amp;MID($E1851,6,2))</f>
        <v/>
      </c>
      <c r="G1851">
        <f>IF(OR($E1851="",$E1851="نامعتبر",Sync!$X1847=""),"",IF(AND(LEFT(UPPER(TRIM(Sync!$X1847)),2)="SL",IFERROR(VLOOKUP(Sync!$W1847,OpTbl,3,0),"")="فروش"),UPPER(TRIM(Sync!$X1847)),""))</f>
        <v/>
      </c>
      <c r="H1851">
        <f>IF($G1851="","",IF(Sync!$W1847="","",Sync!$W1847))</f>
        <v/>
      </c>
      <c r="I1851">
        <f>IF(OR($G1851="",Sync!$Y1847=""),"",Sync!$Y1847)</f>
        <v/>
      </c>
      <c r="J1851">
        <f>IF(OR($G1851="",Sync!$Z1847=""),"",Sync!$Z1847)</f>
        <v/>
      </c>
      <c r="K1851">
        <f>IF($G1851="",0,IF(Sync!$AA1847="",0,Sync!$AA1847))</f>
        <v/>
      </c>
      <c r="L1851">
        <f>IF($G1851="",0,IF(Sync!$AB1847="",0,Sync!$AB1847))</f>
        <v/>
      </c>
      <c r="M1851">
        <f>IF($G1851="","",IF($H1851="مرجوعی فروش",-1,1)*($K1851-$L1851*IFERROR(VLOOKUP("P01",ParamTbl,3,0),1.5)))</f>
        <v/>
      </c>
      <c r="N1851">
        <f>IF($G1851="",0,IF($H1851="مرجوعی فروش",-1,1)*IF(Sync!$AC1847="",0,Sync!$AC1847))</f>
        <v/>
      </c>
      <c r="O1851">
        <f>IF(OR($G1851="",Sync!$V1847=""),"",Sync!$V1847)</f>
        <v/>
      </c>
      <c r="P1851">
        <f>IF(OR($G1851="",Sync!$AD1847=""),"",Sync!$AD1847)</f>
        <v/>
      </c>
      <c r="Q1851">
        <f>IF($G1851="","",IF(Sync!$U1847="","0000",IF(AND(ISNUMBER(Sync!$U1847),Sync!$U1847&gt;=0,Sync!$U1847&lt;1),RIGHT("00"&amp;HOUR(Sync!$U1847),2)&amp;RIGHT("00"&amp;MINUTE(Sync!$U1847),2),IFERROR(RIGHT("00"&amp;VALUE(LEFT(Sync!$U1847,FIND(":",Sync!$U1847)-1)),2)&amp;RIGHT("00"&amp;VALUE(MID(Sync!$U1847,FIND(":",Sync!$U1847)+1,2)),2),"0000"))))</f>
        <v/>
      </c>
    </row>
    <row r="1852">
      <c r="A1852">
        <f>IF(Sync!$T1848="","",Sync!$T1848)</f>
        <v/>
      </c>
      <c r="B1852">
        <f>IF($A1852="","",IF(ISNUMBER($A1852),IF(AND($A1852&gt;=10000101,$A1852&lt;=99991231),INT($A1852/10000),""),IFERROR(VALUE(TRIM(LEFT($A1852,FIND("/",$A1852)-1))),"")))</f>
        <v/>
      </c>
      <c r="C1852">
        <f>IF(OR($A1852="",$B1852=""),"",IF(ISNUMBER($A1852),INT(MOD($A1852,10000)/100),IFERROR(VALUE(TRIM(LEFT(MID($A1852,FIND("/",$A1852)+1,20),FIND("/",MID($A1852,FIND("/",$A1852)+1,20))-1))),"")))</f>
        <v/>
      </c>
      <c r="D1852">
        <f>IF(OR($A1852="",$B1852=""),"",IF(ISNUMBER($A1852),MOD($A1852,100),IFERROR(VALUE(TRIM(MID(MID($A1852,FIND("/",$A1852)+1,20),FIND("/",MID($A1852,FIND("/",$A1852)+1,20))+1,20))),"")))</f>
        <v/>
      </c>
      <c r="E1852">
        <f>IF($A1852="","",IF(OR($B1852="",$C1852="",$D1852="",$B1852&lt;1300,$B1852&gt;1500,$C1852&lt;1,$C1852&gt;12,$D1852&lt;1,$D1852&gt;31),"نامعتبر",RIGHT("0000"&amp;$B1852,4)&amp;"/"&amp;RIGHT("00"&amp;$C1852,2)&amp;"/"&amp;RIGHT("00"&amp;$D1852,2)))</f>
        <v/>
      </c>
      <c r="F1852">
        <f>IF(OR($E1852="",$E1852="نامعتبر"),"",LEFT($E1852,4)&amp;"/"&amp;MID($E1852,6,2))</f>
        <v/>
      </c>
      <c r="G1852">
        <f>IF(OR($E1852="",$E1852="نامعتبر",Sync!$X1848=""),"",IF(AND(LEFT(UPPER(TRIM(Sync!$X1848)),2)="SL",IFERROR(VLOOKUP(Sync!$W1848,OpTbl,3,0),"")="فروش"),UPPER(TRIM(Sync!$X1848)),""))</f>
        <v/>
      </c>
      <c r="H1852">
        <f>IF($G1852="","",IF(Sync!$W1848="","",Sync!$W1848))</f>
        <v/>
      </c>
      <c r="I1852">
        <f>IF(OR($G1852="",Sync!$Y1848=""),"",Sync!$Y1848)</f>
        <v/>
      </c>
      <c r="J1852">
        <f>IF(OR($G1852="",Sync!$Z1848=""),"",Sync!$Z1848)</f>
        <v/>
      </c>
      <c r="K1852">
        <f>IF($G1852="",0,IF(Sync!$AA1848="",0,Sync!$AA1848))</f>
        <v/>
      </c>
      <c r="L1852">
        <f>IF($G1852="",0,IF(Sync!$AB1848="",0,Sync!$AB1848))</f>
        <v/>
      </c>
      <c r="M1852">
        <f>IF($G1852="","",IF($H1852="مرجوعی فروش",-1,1)*($K1852-$L1852*IFERROR(VLOOKUP("P01",ParamTbl,3,0),1.5)))</f>
        <v/>
      </c>
      <c r="N1852">
        <f>IF($G1852="",0,IF($H1852="مرجوعی فروش",-1,1)*IF(Sync!$AC1848="",0,Sync!$AC1848))</f>
        <v/>
      </c>
      <c r="O1852">
        <f>IF(OR($G1852="",Sync!$V1848=""),"",Sync!$V1848)</f>
        <v/>
      </c>
      <c r="P1852">
        <f>IF(OR($G1852="",Sync!$AD1848=""),"",Sync!$AD1848)</f>
        <v/>
      </c>
      <c r="Q1852">
        <f>IF($G1852="","",IF(Sync!$U1848="","0000",IF(AND(ISNUMBER(Sync!$U1848),Sync!$U1848&gt;=0,Sync!$U1848&lt;1),RIGHT("00"&amp;HOUR(Sync!$U1848),2)&amp;RIGHT("00"&amp;MINUTE(Sync!$U1848),2),IFERROR(RIGHT("00"&amp;VALUE(LEFT(Sync!$U1848,FIND(":",Sync!$U1848)-1)),2)&amp;RIGHT("00"&amp;VALUE(MID(Sync!$U1848,FIND(":",Sync!$U1848)+1,2)),2),"0000"))))</f>
        <v/>
      </c>
    </row>
    <row r="1853">
      <c r="A1853">
        <f>IF(Sync!$T1849="","",Sync!$T1849)</f>
        <v/>
      </c>
      <c r="B1853">
        <f>IF($A1853="","",IF(ISNUMBER($A1853),IF(AND($A1853&gt;=10000101,$A1853&lt;=99991231),INT($A1853/10000),""),IFERROR(VALUE(TRIM(LEFT($A1853,FIND("/",$A1853)-1))),"")))</f>
        <v/>
      </c>
      <c r="C1853">
        <f>IF(OR($A1853="",$B1853=""),"",IF(ISNUMBER($A1853),INT(MOD($A1853,10000)/100),IFERROR(VALUE(TRIM(LEFT(MID($A1853,FIND("/",$A1853)+1,20),FIND("/",MID($A1853,FIND("/",$A1853)+1,20))-1))),"")))</f>
        <v/>
      </c>
      <c r="D1853">
        <f>IF(OR($A1853="",$B1853=""),"",IF(ISNUMBER($A1853),MOD($A1853,100),IFERROR(VALUE(TRIM(MID(MID($A1853,FIND("/",$A1853)+1,20),FIND("/",MID($A1853,FIND("/",$A1853)+1,20))+1,20))),"")))</f>
        <v/>
      </c>
      <c r="E1853">
        <f>IF($A1853="","",IF(OR($B1853="",$C1853="",$D1853="",$B1853&lt;1300,$B1853&gt;1500,$C1853&lt;1,$C1853&gt;12,$D1853&lt;1,$D1853&gt;31),"نامعتبر",RIGHT("0000"&amp;$B1853,4)&amp;"/"&amp;RIGHT("00"&amp;$C1853,2)&amp;"/"&amp;RIGHT("00"&amp;$D1853,2)))</f>
        <v/>
      </c>
      <c r="F1853">
        <f>IF(OR($E1853="",$E1853="نامعتبر"),"",LEFT($E1853,4)&amp;"/"&amp;MID($E1853,6,2))</f>
        <v/>
      </c>
      <c r="G1853">
        <f>IF(OR($E1853="",$E1853="نامعتبر",Sync!$X1849=""),"",IF(AND(LEFT(UPPER(TRIM(Sync!$X1849)),2)="SL",IFERROR(VLOOKUP(Sync!$W1849,OpTbl,3,0),"")="فروش"),UPPER(TRIM(Sync!$X1849)),""))</f>
        <v/>
      </c>
      <c r="H1853">
        <f>IF($G1853="","",IF(Sync!$W1849="","",Sync!$W1849))</f>
        <v/>
      </c>
      <c r="I1853">
        <f>IF(OR($G1853="",Sync!$Y1849=""),"",Sync!$Y1849)</f>
        <v/>
      </c>
      <c r="J1853">
        <f>IF(OR($G1853="",Sync!$Z1849=""),"",Sync!$Z1849)</f>
        <v/>
      </c>
      <c r="K1853">
        <f>IF($G1853="",0,IF(Sync!$AA1849="",0,Sync!$AA1849))</f>
        <v/>
      </c>
      <c r="L1853">
        <f>IF($G1853="",0,IF(Sync!$AB1849="",0,Sync!$AB1849))</f>
        <v/>
      </c>
      <c r="M1853">
        <f>IF($G1853="","",IF($H1853="مرجوعی فروش",-1,1)*($K1853-$L1853*IFERROR(VLOOKUP("P01",ParamTbl,3,0),1.5)))</f>
        <v/>
      </c>
      <c r="N1853">
        <f>IF($G1853="",0,IF($H1853="مرجوعی فروش",-1,1)*IF(Sync!$AC1849="",0,Sync!$AC1849))</f>
        <v/>
      </c>
      <c r="O1853">
        <f>IF(OR($G1853="",Sync!$V1849=""),"",Sync!$V1849)</f>
        <v/>
      </c>
      <c r="P1853">
        <f>IF(OR($G1853="",Sync!$AD1849=""),"",Sync!$AD1849)</f>
        <v/>
      </c>
      <c r="Q1853">
        <f>IF($G1853="","",IF(Sync!$U1849="","0000",IF(AND(ISNUMBER(Sync!$U1849),Sync!$U1849&gt;=0,Sync!$U1849&lt;1),RIGHT("00"&amp;HOUR(Sync!$U1849),2)&amp;RIGHT("00"&amp;MINUTE(Sync!$U1849),2),IFERROR(RIGHT("00"&amp;VALUE(LEFT(Sync!$U1849,FIND(":",Sync!$U1849)-1)),2)&amp;RIGHT("00"&amp;VALUE(MID(Sync!$U1849,FIND(":",Sync!$U1849)+1,2)),2),"0000"))))</f>
        <v/>
      </c>
    </row>
    <row r="1854">
      <c r="A1854">
        <f>IF(Sync!$T1850="","",Sync!$T1850)</f>
        <v/>
      </c>
      <c r="B1854">
        <f>IF($A1854="","",IF(ISNUMBER($A1854),IF(AND($A1854&gt;=10000101,$A1854&lt;=99991231),INT($A1854/10000),""),IFERROR(VALUE(TRIM(LEFT($A1854,FIND("/",$A1854)-1))),"")))</f>
        <v/>
      </c>
      <c r="C1854">
        <f>IF(OR($A1854="",$B1854=""),"",IF(ISNUMBER($A1854),INT(MOD($A1854,10000)/100),IFERROR(VALUE(TRIM(LEFT(MID($A1854,FIND("/",$A1854)+1,20),FIND("/",MID($A1854,FIND("/",$A1854)+1,20))-1))),"")))</f>
        <v/>
      </c>
      <c r="D1854">
        <f>IF(OR($A1854="",$B1854=""),"",IF(ISNUMBER($A1854),MOD($A1854,100),IFERROR(VALUE(TRIM(MID(MID($A1854,FIND("/",$A1854)+1,20),FIND("/",MID($A1854,FIND("/",$A1854)+1,20))+1,20))),"")))</f>
        <v/>
      </c>
      <c r="E1854">
        <f>IF($A1854="","",IF(OR($B1854="",$C1854="",$D1854="",$B1854&lt;1300,$B1854&gt;1500,$C1854&lt;1,$C1854&gt;12,$D1854&lt;1,$D1854&gt;31),"نامعتبر",RIGHT("0000"&amp;$B1854,4)&amp;"/"&amp;RIGHT("00"&amp;$C1854,2)&amp;"/"&amp;RIGHT("00"&amp;$D1854,2)))</f>
        <v/>
      </c>
      <c r="F1854">
        <f>IF(OR($E1854="",$E1854="نامعتبر"),"",LEFT($E1854,4)&amp;"/"&amp;MID($E1854,6,2))</f>
        <v/>
      </c>
      <c r="G1854">
        <f>IF(OR($E1854="",$E1854="نامعتبر",Sync!$X1850=""),"",IF(AND(LEFT(UPPER(TRIM(Sync!$X1850)),2)="SL",IFERROR(VLOOKUP(Sync!$W1850,OpTbl,3,0),"")="فروش"),UPPER(TRIM(Sync!$X1850)),""))</f>
        <v/>
      </c>
      <c r="H1854">
        <f>IF($G1854="","",IF(Sync!$W1850="","",Sync!$W1850))</f>
        <v/>
      </c>
      <c r="I1854">
        <f>IF(OR($G1854="",Sync!$Y1850=""),"",Sync!$Y1850)</f>
        <v/>
      </c>
      <c r="J1854">
        <f>IF(OR($G1854="",Sync!$Z1850=""),"",Sync!$Z1850)</f>
        <v/>
      </c>
      <c r="K1854">
        <f>IF($G1854="",0,IF(Sync!$AA1850="",0,Sync!$AA1850))</f>
        <v/>
      </c>
      <c r="L1854">
        <f>IF($G1854="",0,IF(Sync!$AB1850="",0,Sync!$AB1850))</f>
        <v/>
      </c>
      <c r="M1854">
        <f>IF($G1854="","",IF($H1854="مرجوعی فروش",-1,1)*($K1854-$L1854*IFERROR(VLOOKUP("P01",ParamTbl,3,0),1.5)))</f>
        <v/>
      </c>
      <c r="N1854">
        <f>IF($G1854="",0,IF($H1854="مرجوعی فروش",-1,1)*IF(Sync!$AC1850="",0,Sync!$AC1850))</f>
        <v/>
      </c>
      <c r="O1854">
        <f>IF(OR($G1854="",Sync!$V1850=""),"",Sync!$V1850)</f>
        <v/>
      </c>
      <c r="P1854">
        <f>IF(OR($G1854="",Sync!$AD1850=""),"",Sync!$AD1850)</f>
        <v/>
      </c>
      <c r="Q1854">
        <f>IF($G1854="","",IF(Sync!$U1850="","0000",IF(AND(ISNUMBER(Sync!$U1850),Sync!$U1850&gt;=0,Sync!$U1850&lt;1),RIGHT("00"&amp;HOUR(Sync!$U1850),2)&amp;RIGHT("00"&amp;MINUTE(Sync!$U1850),2),IFERROR(RIGHT("00"&amp;VALUE(LEFT(Sync!$U1850,FIND(":",Sync!$U1850)-1)),2)&amp;RIGHT("00"&amp;VALUE(MID(Sync!$U1850,FIND(":",Sync!$U1850)+1,2)),2),"0000"))))</f>
        <v/>
      </c>
    </row>
    <row r="1855">
      <c r="A1855">
        <f>IF(Sync!$T1851="","",Sync!$T1851)</f>
        <v/>
      </c>
      <c r="B1855">
        <f>IF($A1855="","",IF(ISNUMBER($A1855),IF(AND($A1855&gt;=10000101,$A1855&lt;=99991231),INT($A1855/10000),""),IFERROR(VALUE(TRIM(LEFT($A1855,FIND("/",$A1855)-1))),"")))</f>
        <v/>
      </c>
      <c r="C1855">
        <f>IF(OR($A1855="",$B1855=""),"",IF(ISNUMBER($A1855),INT(MOD($A1855,10000)/100),IFERROR(VALUE(TRIM(LEFT(MID($A1855,FIND("/",$A1855)+1,20),FIND("/",MID($A1855,FIND("/",$A1855)+1,20))-1))),"")))</f>
        <v/>
      </c>
      <c r="D1855">
        <f>IF(OR($A1855="",$B1855=""),"",IF(ISNUMBER($A1855),MOD($A1855,100),IFERROR(VALUE(TRIM(MID(MID($A1855,FIND("/",$A1855)+1,20),FIND("/",MID($A1855,FIND("/",$A1855)+1,20))+1,20))),"")))</f>
        <v/>
      </c>
      <c r="E1855">
        <f>IF($A1855="","",IF(OR($B1855="",$C1855="",$D1855="",$B1855&lt;1300,$B1855&gt;1500,$C1855&lt;1,$C1855&gt;12,$D1855&lt;1,$D1855&gt;31),"نامعتبر",RIGHT("0000"&amp;$B1855,4)&amp;"/"&amp;RIGHT("00"&amp;$C1855,2)&amp;"/"&amp;RIGHT("00"&amp;$D1855,2)))</f>
        <v/>
      </c>
      <c r="F1855">
        <f>IF(OR($E1855="",$E1855="نامعتبر"),"",LEFT($E1855,4)&amp;"/"&amp;MID($E1855,6,2))</f>
        <v/>
      </c>
      <c r="G1855">
        <f>IF(OR($E1855="",$E1855="نامعتبر",Sync!$X1851=""),"",IF(AND(LEFT(UPPER(TRIM(Sync!$X1851)),2)="SL",IFERROR(VLOOKUP(Sync!$W1851,OpTbl,3,0),"")="فروش"),UPPER(TRIM(Sync!$X1851)),""))</f>
        <v/>
      </c>
      <c r="H1855">
        <f>IF($G1855="","",IF(Sync!$W1851="","",Sync!$W1851))</f>
        <v/>
      </c>
      <c r="I1855">
        <f>IF(OR($G1855="",Sync!$Y1851=""),"",Sync!$Y1851)</f>
        <v/>
      </c>
      <c r="J1855">
        <f>IF(OR($G1855="",Sync!$Z1851=""),"",Sync!$Z1851)</f>
        <v/>
      </c>
      <c r="K1855">
        <f>IF($G1855="",0,IF(Sync!$AA1851="",0,Sync!$AA1851))</f>
        <v/>
      </c>
      <c r="L1855">
        <f>IF($G1855="",0,IF(Sync!$AB1851="",0,Sync!$AB1851))</f>
        <v/>
      </c>
      <c r="M1855">
        <f>IF($G1855="","",IF($H1855="مرجوعی فروش",-1,1)*($K1855-$L1855*IFERROR(VLOOKUP("P01",ParamTbl,3,0),1.5)))</f>
        <v/>
      </c>
      <c r="N1855">
        <f>IF($G1855="",0,IF($H1855="مرجوعی فروش",-1,1)*IF(Sync!$AC1851="",0,Sync!$AC1851))</f>
        <v/>
      </c>
      <c r="O1855">
        <f>IF(OR($G1855="",Sync!$V1851=""),"",Sync!$V1851)</f>
        <v/>
      </c>
      <c r="P1855">
        <f>IF(OR($G1855="",Sync!$AD1851=""),"",Sync!$AD1851)</f>
        <v/>
      </c>
      <c r="Q1855">
        <f>IF($G1855="","",IF(Sync!$U1851="","0000",IF(AND(ISNUMBER(Sync!$U1851),Sync!$U1851&gt;=0,Sync!$U1851&lt;1),RIGHT("00"&amp;HOUR(Sync!$U1851),2)&amp;RIGHT("00"&amp;MINUTE(Sync!$U1851),2),IFERROR(RIGHT("00"&amp;VALUE(LEFT(Sync!$U1851,FIND(":",Sync!$U1851)-1)),2)&amp;RIGHT("00"&amp;VALUE(MID(Sync!$U1851,FIND(":",Sync!$U1851)+1,2)),2),"0000"))))</f>
        <v/>
      </c>
    </row>
    <row r="1856">
      <c r="A1856">
        <f>IF(Sync!$T1852="","",Sync!$T1852)</f>
        <v/>
      </c>
      <c r="B1856">
        <f>IF($A1856="","",IF(ISNUMBER($A1856),IF(AND($A1856&gt;=10000101,$A1856&lt;=99991231),INT($A1856/10000),""),IFERROR(VALUE(TRIM(LEFT($A1856,FIND("/",$A1856)-1))),"")))</f>
        <v/>
      </c>
      <c r="C1856">
        <f>IF(OR($A1856="",$B1856=""),"",IF(ISNUMBER($A1856),INT(MOD($A1856,10000)/100),IFERROR(VALUE(TRIM(LEFT(MID($A1856,FIND("/",$A1856)+1,20),FIND("/",MID($A1856,FIND("/",$A1856)+1,20))-1))),"")))</f>
        <v/>
      </c>
      <c r="D1856">
        <f>IF(OR($A1856="",$B1856=""),"",IF(ISNUMBER($A1856),MOD($A1856,100),IFERROR(VALUE(TRIM(MID(MID($A1856,FIND("/",$A1856)+1,20),FIND("/",MID($A1856,FIND("/",$A1856)+1,20))+1,20))),"")))</f>
        <v/>
      </c>
      <c r="E1856">
        <f>IF($A1856="","",IF(OR($B1856="",$C1856="",$D1856="",$B1856&lt;1300,$B1856&gt;1500,$C1856&lt;1,$C1856&gt;12,$D1856&lt;1,$D1856&gt;31),"نامعتبر",RIGHT("0000"&amp;$B1856,4)&amp;"/"&amp;RIGHT("00"&amp;$C1856,2)&amp;"/"&amp;RIGHT("00"&amp;$D1856,2)))</f>
        <v/>
      </c>
      <c r="F1856">
        <f>IF(OR($E1856="",$E1856="نامعتبر"),"",LEFT($E1856,4)&amp;"/"&amp;MID($E1856,6,2))</f>
        <v/>
      </c>
      <c r="G1856">
        <f>IF(OR($E1856="",$E1856="نامعتبر",Sync!$X1852=""),"",IF(AND(LEFT(UPPER(TRIM(Sync!$X1852)),2)="SL",IFERROR(VLOOKUP(Sync!$W1852,OpTbl,3,0),"")="فروش"),UPPER(TRIM(Sync!$X1852)),""))</f>
        <v/>
      </c>
      <c r="H1856">
        <f>IF($G1856="","",IF(Sync!$W1852="","",Sync!$W1852))</f>
        <v/>
      </c>
      <c r="I1856">
        <f>IF(OR($G1856="",Sync!$Y1852=""),"",Sync!$Y1852)</f>
        <v/>
      </c>
      <c r="J1856">
        <f>IF(OR($G1856="",Sync!$Z1852=""),"",Sync!$Z1852)</f>
        <v/>
      </c>
      <c r="K1856">
        <f>IF($G1856="",0,IF(Sync!$AA1852="",0,Sync!$AA1852))</f>
        <v/>
      </c>
      <c r="L1856">
        <f>IF($G1856="",0,IF(Sync!$AB1852="",0,Sync!$AB1852))</f>
        <v/>
      </c>
      <c r="M1856">
        <f>IF($G1856="","",IF($H1856="مرجوعی فروش",-1,1)*($K1856-$L1856*IFERROR(VLOOKUP("P01",ParamTbl,3,0),1.5)))</f>
        <v/>
      </c>
      <c r="N1856">
        <f>IF($G1856="",0,IF($H1856="مرجوعی فروش",-1,1)*IF(Sync!$AC1852="",0,Sync!$AC1852))</f>
        <v/>
      </c>
      <c r="O1856">
        <f>IF(OR($G1856="",Sync!$V1852=""),"",Sync!$V1852)</f>
        <v/>
      </c>
      <c r="P1856">
        <f>IF(OR($G1856="",Sync!$AD1852=""),"",Sync!$AD1852)</f>
        <v/>
      </c>
      <c r="Q1856">
        <f>IF($G1856="","",IF(Sync!$U1852="","0000",IF(AND(ISNUMBER(Sync!$U1852),Sync!$U1852&gt;=0,Sync!$U1852&lt;1),RIGHT("00"&amp;HOUR(Sync!$U1852),2)&amp;RIGHT("00"&amp;MINUTE(Sync!$U1852),2),IFERROR(RIGHT("00"&amp;VALUE(LEFT(Sync!$U1852,FIND(":",Sync!$U1852)-1)),2)&amp;RIGHT("00"&amp;VALUE(MID(Sync!$U1852,FIND(":",Sync!$U1852)+1,2)),2),"0000"))))</f>
        <v/>
      </c>
    </row>
    <row r="1857">
      <c r="A1857">
        <f>IF(Sync!$T1853="","",Sync!$T1853)</f>
        <v/>
      </c>
      <c r="B1857">
        <f>IF($A1857="","",IF(ISNUMBER($A1857),IF(AND($A1857&gt;=10000101,$A1857&lt;=99991231),INT($A1857/10000),""),IFERROR(VALUE(TRIM(LEFT($A1857,FIND("/",$A1857)-1))),"")))</f>
        <v/>
      </c>
      <c r="C1857">
        <f>IF(OR($A1857="",$B1857=""),"",IF(ISNUMBER($A1857),INT(MOD($A1857,10000)/100),IFERROR(VALUE(TRIM(LEFT(MID($A1857,FIND("/",$A1857)+1,20),FIND("/",MID($A1857,FIND("/",$A1857)+1,20))-1))),"")))</f>
        <v/>
      </c>
      <c r="D1857">
        <f>IF(OR($A1857="",$B1857=""),"",IF(ISNUMBER($A1857),MOD($A1857,100),IFERROR(VALUE(TRIM(MID(MID($A1857,FIND("/",$A1857)+1,20),FIND("/",MID($A1857,FIND("/",$A1857)+1,20))+1,20))),"")))</f>
        <v/>
      </c>
      <c r="E1857">
        <f>IF($A1857="","",IF(OR($B1857="",$C1857="",$D1857="",$B1857&lt;1300,$B1857&gt;1500,$C1857&lt;1,$C1857&gt;12,$D1857&lt;1,$D1857&gt;31),"نامعتبر",RIGHT("0000"&amp;$B1857,4)&amp;"/"&amp;RIGHT("00"&amp;$C1857,2)&amp;"/"&amp;RIGHT("00"&amp;$D1857,2)))</f>
        <v/>
      </c>
      <c r="F1857">
        <f>IF(OR($E1857="",$E1857="نامعتبر"),"",LEFT($E1857,4)&amp;"/"&amp;MID($E1857,6,2))</f>
        <v/>
      </c>
      <c r="G1857">
        <f>IF(OR($E1857="",$E1857="نامعتبر",Sync!$X1853=""),"",IF(AND(LEFT(UPPER(TRIM(Sync!$X1853)),2)="SL",IFERROR(VLOOKUP(Sync!$W1853,OpTbl,3,0),"")="فروش"),UPPER(TRIM(Sync!$X1853)),""))</f>
        <v/>
      </c>
      <c r="H1857">
        <f>IF($G1857="","",IF(Sync!$W1853="","",Sync!$W1853))</f>
        <v/>
      </c>
      <c r="I1857">
        <f>IF(OR($G1857="",Sync!$Y1853=""),"",Sync!$Y1853)</f>
        <v/>
      </c>
      <c r="J1857">
        <f>IF(OR($G1857="",Sync!$Z1853=""),"",Sync!$Z1853)</f>
        <v/>
      </c>
      <c r="K1857">
        <f>IF($G1857="",0,IF(Sync!$AA1853="",0,Sync!$AA1853))</f>
        <v/>
      </c>
      <c r="L1857">
        <f>IF($G1857="",0,IF(Sync!$AB1853="",0,Sync!$AB1853))</f>
        <v/>
      </c>
      <c r="M1857">
        <f>IF($G1857="","",IF($H1857="مرجوعی فروش",-1,1)*($K1857-$L1857*IFERROR(VLOOKUP("P01",ParamTbl,3,0),1.5)))</f>
        <v/>
      </c>
      <c r="N1857">
        <f>IF($G1857="",0,IF($H1857="مرجوعی فروش",-1,1)*IF(Sync!$AC1853="",0,Sync!$AC1853))</f>
        <v/>
      </c>
      <c r="O1857">
        <f>IF(OR($G1857="",Sync!$V1853=""),"",Sync!$V1853)</f>
        <v/>
      </c>
      <c r="P1857">
        <f>IF(OR($G1857="",Sync!$AD1853=""),"",Sync!$AD1853)</f>
        <v/>
      </c>
      <c r="Q1857">
        <f>IF($G1857="","",IF(Sync!$U1853="","0000",IF(AND(ISNUMBER(Sync!$U1853),Sync!$U1853&gt;=0,Sync!$U1853&lt;1),RIGHT("00"&amp;HOUR(Sync!$U1853),2)&amp;RIGHT("00"&amp;MINUTE(Sync!$U1853),2),IFERROR(RIGHT("00"&amp;VALUE(LEFT(Sync!$U1853,FIND(":",Sync!$U1853)-1)),2)&amp;RIGHT("00"&amp;VALUE(MID(Sync!$U1853,FIND(":",Sync!$U1853)+1,2)),2),"0000"))))</f>
        <v/>
      </c>
    </row>
    <row r="1858">
      <c r="A1858">
        <f>IF(Sync!$T1854="","",Sync!$T1854)</f>
        <v/>
      </c>
      <c r="B1858">
        <f>IF($A1858="","",IF(ISNUMBER($A1858),IF(AND($A1858&gt;=10000101,$A1858&lt;=99991231),INT($A1858/10000),""),IFERROR(VALUE(TRIM(LEFT($A1858,FIND("/",$A1858)-1))),"")))</f>
        <v/>
      </c>
      <c r="C1858">
        <f>IF(OR($A1858="",$B1858=""),"",IF(ISNUMBER($A1858),INT(MOD($A1858,10000)/100),IFERROR(VALUE(TRIM(LEFT(MID($A1858,FIND("/",$A1858)+1,20),FIND("/",MID($A1858,FIND("/",$A1858)+1,20))-1))),"")))</f>
        <v/>
      </c>
      <c r="D1858">
        <f>IF(OR($A1858="",$B1858=""),"",IF(ISNUMBER($A1858),MOD($A1858,100),IFERROR(VALUE(TRIM(MID(MID($A1858,FIND("/",$A1858)+1,20),FIND("/",MID($A1858,FIND("/",$A1858)+1,20))+1,20))),"")))</f>
        <v/>
      </c>
      <c r="E1858">
        <f>IF($A1858="","",IF(OR($B1858="",$C1858="",$D1858="",$B1858&lt;1300,$B1858&gt;1500,$C1858&lt;1,$C1858&gt;12,$D1858&lt;1,$D1858&gt;31),"نامعتبر",RIGHT("0000"&amp;$B1858,4)&amp;"/"&amp;RIGHT("00"&amp;$C1858,2)&amp;"/"&amp;RIGHT("00"&amp;$D1858,2)))</f>
        <v/>
      </c>
      <c r="F1858">
        <f>IF(OR($E1858="",$E1858="نامعتبر"),"",LEFT($E1858,4)&amp;"/"&amp;MID($E1858,6,2))</f>
        <v/>
      </c>
      <c r="G1858">
        <f>IF(OR($E1858="",$E1858="نامعتبر",Sync!$X1854=""),"",IF(AND(LEFT(UPPER(TRIM(Sync!$X1854)),2)="SL",IFERROR(VLOOKUP(Sync!$W1854,OpTbl,3,0),"")="فروش"),UPPER(TRIM(Sync!$X1854)),""))</f>
        <v/>
      </c>
      <c r="H1858">
        <f>IF($G1858="","",IF(Sync!$W1854="","",Sync!$W1854))</f>
        <v/>
      </c>
      <c r="I1858">
        <f>IF(OR($G1858="",Sync!$Y1854=""),"",Sync!$Y1854)</f>
        <v/>
      </c>
      <c r="J1858">
        <f>IF(OR($G1858="",Sync!$Z1854=""),"",Sync!$Z1854)</f>
        <v/>
      </c>
      <c r="K1858">
        <f>IF($G1858="",0,IF(Sync!$AA1854="",0,Sync!$AA1854))</f>
        <v/>
      </c>
      <c r="L1858">
        <f>IF($G1858="",0,IF(Sync!$AB1854="",0,Sync!$AB1854))</f>
        <v/>
      </c>
      <c r="M1858">
        <f>IF($G1858="","",IF($H1858="مرجوعی فروش",-1,1)*($K1858-$L1858*IFERROR(VLOOKUP("P01",ParamTbl,3,0),1.5)))</f>
        <v/>
      </c>
      <c r="N1858">
        <f>IF($G1858="",0,IF($H1858="مرجوعی فروش",-1,1)*IF(Sync!$AC1854="",0,Sync!$AC1854))</f>
        <v/>
      </c>
      <c r="O1858">
        <f>IF(OR($G1858="",Sync!$V1854=""),"",Sync!$V1854)</f>
        <v/>
      </c>
      <c r="P1858">
        <f>IF(OR($G1858="",Sync!$AD1854=""),"",Sync!$AD1854)</f>
        <v/>
      </c>
      <c r="Q1858">
        <f>IF($G1858="","",IF(Sync!$U1854="","0000",IF(AND(ISNUMBER(Sync!$U1854),Sync!$U1854&gt;=0,Sync!$U1854&lt;1),RIGHT("00"&amp;HOUR(Sync!$U1854),2)&amp;RIGHT("00"&amp;MINUTE(Sync!$U1854),2),IFERROR(RIGHT("00"&amp;VALUE(LEFT(Sync!$U1854,FIND(":",Sync!$U1854)-1)),2)&amp;RIGHT("00"&amp;VALUE(MID(Sync!$U1854,FIND(":",Sync!$U1854)+1,2)),2),"0000"))))</f>
        <v/>
      </c>
    </row>
    <row r="1859">
      <c r="A1859">
        <f>IF(Sync!$T1855="","",Sync!$T1855)</f>
        <v/>
      </c>
      <c r="B1859">
        <f>IF($A1859="","",IF(ISNUMBER($A1859),IF(AND($A1859&gt;=10000101,$A1859&lt;=99991231),INT($A1859/10000),""),IFERROR(VALUE(TRIM(LEFT($A1859,FIND("/",$A1859)-1))),"")))</f>
        <v/>
      </c>
      <c r="C1859">
        <f>IF(OR($A1859="",$B1859=""),"",IF(ISNUMBER($A1859),INT(MOD($A1859,10000)/100),IFERROR(VALUE(TRIM(LEFT(MID($A1859,FIND("/",$A1859)+1,20),FIND("/",MID($A1859,FIND("/",$A1859)+1,20))-1))),"")))</f>
        <v/>
      </c>
      <c r="D1859">
        <f>IF(OR($A1859="",$B1859=""),"",IF(ISNUMBER($A1859),MOD($A1859,100),IFERROR(VALUE(TRIM(MID(MID($A1859,FIND("/",$A1859)+1,20),FIND("/",MID($A1859,FIND("/",$A1859)+1,20))+1,20))),"")))</f>
        <v/>
      </c>
      <c r="E1859">
        <f>IF($A1859="","",IF(OR($B1859="",$C1859="",$D1859="",$B1859&lt;1300,$B1859&gt;1500,$C1859&lt;1,$C1859&gt;12,$D1859&lt;1,$D1859&gt;31),"نامعتبر",RIGHT("0000"&amp;$B1859,4)&amp;"/"&amp;RIGHT("00"&amp;$C1859,2)&amp;"/"&amp;RIGHT("00"&amp;$D1859,2)))</f>
        <v/>
      </c>
      <c r="F1859">
        <f>IF(OR($E1859="",$E1859="نامعتبر"),"",LEFT($E1859,4)&amp;"/"&amp;MID($E1859,6,2))</f>
        <v/>
      </c>
      <c r="G1859">
        <f>IF(OR($E1859="",$E1859="نامعتبر",Sync!$X1855=""),"",IF(AND(LEFT(UPPER(TRIM(Sync!$X1855)),2)="SL",IFERROR(VLOOKUP(Sync!$W1855,OpTbl,3,0),"")="فروش"),UPPER(TRIM(Sync!$X1855)),""))</f>
        <v/>
      </c>
      <c r="H1859">
        <f>IF($G1859="","",IF(Sync!$W1855="","",Sync!$W1855))</f>
        <v/>
      </c>
      <c r="I1859">
        <f>IF(OR($G1859="",Sync!$Y1855=""),"",Sync!$Y1855)</f>
        <v/>
      </c>
      <c r="J1859">
        <f>IF(OR($G1859="",Sync!$Z1855=""),"",Sync!$Z1855)</f>
        <v/>
      </c>
      <c r="K1859">
        <f>IF($G1859="",0,IF(Sync!$AA1855="",0,Sync!$AA1855))</f>
        <v/>
      </c>
      <c r="L1859">
        <f>IF($G1859="",0,IF(Sync!$AB1855="",0,Sync!$AB1855))</f>
        <v/>
      </c>
      <c r="M1859">
        <f>IF($G1859="","",IF($H1859="مرجوعی فروش",-1,1)*($K1859-$L1859*IFERROR(VLOOKUP("P01",ParamTbl,3,0),1.5)))</f>
        <v/>
      </c>
      <c r="N1859">
        <f>IF($G1859="",0,IF($H1859="مرجوعی فروش",-1,1)*IF(Sync!$AC1855="",0,Sync!$AC1855))</f>
        <v/>
      </c>
      <c r="O1859">
        <f>IF(OR($G1859="",Sync!$V1855=""),"",Sync!$V1855)</f>
        <v/>
      </c>
      <c r="P1859">
        <f>IF(OR($G1859="",Sync!$AD1855=""),"",Sync!$AD1855)</f>
        <v/>
      </c>
      <c r="Q1859">
        <f>IF($G1859="","",IF(Sync!$U1855="","0000",IF(AND(ISNUMBER(Sync!$U1855),Sync!$U1855&gt;=0,Sync!$U1855&lt;1),RIGHT("00"&amp;HOUR(Sync!$U1855),2)&amp;RIGHT("00"&amp;MINUTE(Sync!$U1855),2),IFERROR(RIGHT("00"&amp;VALUE(LEFT(Sync!$U1855,FIND(":",Sync!$U1855)-1)),2)&amp;RIGHT("00"&amp;VALUE(MID(Sync!$U1855,FIND(":",Sync!$U1855)+1,2)),2),"0000"))))</f>
        <v/>
      </c>
    </row>
    <row r="1860">
      <c r="A1860">
        <f>IF(Sync!$T1856="","",Sync!$T1856)</f>
        <v/>
      </c>
      <c r="B1860">
        <f>IF($A1860="","",IF(ISNUMBER($A1860),IF(AND($A1860&gt;=10000101,$A1860&lt;=99991231),INT($A1860/10000),""),IFERROR(VALUE(TRIM(LEFT($A1860,FIND("/",$A1860)-1))),"")))</f>
        <v/>
      </c>
      <c r="C1860">
        <f>IF(OR($A1860="",$B1860=""),"",IF(ISNUMBER($A1860),INT(MOD($A1860,10000)/100),IFERROR(VALUE(TRIM(LEFT(MID($A1860,FIND("/",$A1860)+1,20),FIND("/",MID($A1860,FIND("/",$A1860)+1,20))-1))),"")))</f>
        <v/>
      </c>
      <c r="D1860">
        <f>IF(OR($A1860="",$B1860=""),"",IF(ISNUMBER($A1860),MOD($A1860,100),IFERROR(VALUE(TRIM(MID(MID($A1860,FIND("/",$A1860)+1,20),FIND("/",MID($A1860,FIND("/",$A1860)+1,20))+1,20))),"")))</f>
        <v/>
      </c>
      <c r="E1860">
        <f>IF($A1860="","",IF(OR($B1860="",$C1860="",$D1860="",$B1860&lt;1300,$B1860&gt;1500,$C1860&lt;1,$C1860&gt;12,$D1860&lt;1,$D1860&gt;31),"نامعتبر",RIGHT("0000"&amp;$B1860,4)&amp;"/"&amp;RIGHT("00"&amp;$C1860,2)&amp;"/"&amp;RIGHT("00"&amp;$D1860,2)))</f>
        <v/>
      </c>
      <c r="F1860">
        <f>IF(OR($E1860="",$E1860="نامعتبر"),"",LEFT($E1860,4)&amp;"/"&amp;MID($E1860,6,2))</f>
        <v/>
      </c>
      <c r="G1860">
        <f>IF(OR($E1860="",$E1860="نامعتبر",Sync!$X1856=""),"",IF(AND(LEFT(UPPER(TRIM(Sync!$X1856)),2)="SL",IFERROR(VLOOKUP(Sync!$W1856,OpTbl,3,0),"")="فروش"),UPPER(TRIM(Sync!$X1856)),""))</f>
        <v/>
      </c>
      <c r="H1860">
        <f>IF($G1860="","",IF(Sync!$W1856="","",Sync!$W1856))</f>
        <v/>
      </c>
      <c r="I1860">
        <f>IF(OR($G1860="",Sync!$Y1856=""),"",Sync!$Y1856)</f>
        <v/>
      </c>
      <c r="J1860">
        <f>IF(OR($G1860="",Sync!$Z1856=""),"",Sync!$Z1856)</f>
        <v/>
      </c>
      <c r="K1860">
        <f>IF($G1860="",0,IF(Sync!$AA1856="",0,Sync!$AA1856))</f>
        <v/>
      </c>
      <c r="L1860">
        <f>IF($G1860="",0,IF(Sync!$AB1856="",0,Sync!$AB1856))</f>
        <v/>
      </c>
      <c r="M1860">
        <f>IF($G1860="","",IF($H1860="مرجوعی فروش",-1,1)*($K1860-$L1860*IFERROR(VLOOKUP("P01",ParamTbl,3,0),1.5)))</f>
        <v/>
      </c>
      <c r="N1860">
        <f>IF($G1860="",0,IF($H1860="مرجوعی فروش",-1,1)*IF(Sync!$AC1856="",0,Sync!$AC1856))</f>
        <v/>
      </c>
      <c r="O1860">
        <f>IF(OR($G1860="",Sync!$V1856=""),"",Sync!$V1856)</f>
        <v/>
      </c>
      <c r="P1860">
        <f>IF(OR($G1860="",Sync!$AD1856=""),"",Sync!$AD1856)</f>
        <v/>
      </c>
      <c r="Q1860">
        <f>IF($G1860="","",IF(Sync!$U1856="","0000",IF(AND(ISNUMBER(Sync!$U1856),Sync!$U1856&gt;=0,Sync!$U1856&lt;1),RIGHT("00"&amp;HOUR(Sync!$U1856),2)&amp;RIGHT("00"&amp;MINUTE(Sync!$U1856),2),IFERROR(RIGHT("00"&amp;VALUE(LEFT(Sync!$U1856,FIND(":",Sync!$U1856)-1)),2)&amp;RIGHT("00"&amp;VALUE(MID(Sync!$U1856,FIND(":",Sync!$U1856)+1,2)),2),"0000"))))</f>
        <v/>
      </c>
    </row>
    <row r="1861">
      <c r="A1861">
        <f>IF(Sync!$T1857="","",Sync!$T1857)</f>
        <v/>
      </c>
      <c r="B1861">
        <f>IF($A1861="","",IF(ISNUMBER($A1861),IF(AND($A1861&gt;=10000101,$A1861&lt;=99991231),INT($A1861/10000),""),IFERROR(VALUE(TRIM(LEFT($A1861,FIND("/",$A1861)-1))),"")))</f>
        <v/>
      </c>
      <c r="C1861">
        <f>IF(OR($A1861="",$B1861=""),"",IF(ISNUMBER($A1861),INT(MOD($A1861,10000)/100),IFERROR(VALUE(TRIM(LEFT(MID($A1861,FIND("/",$A1861)+1,20),FIND("/",MID($A1861,FIND("/",$A1861)+1,20))-1))),"")))</f>
        <v/>
      </c>
      <c r="D1861">
        <f>IF(OR($A1861="",$B1861=""),"",IF(ISNUMBER($A1861),MOD($A1861,100),IFERROR(VALUE(TRIM(MID(MID($A1861,FIND("/",$A1861)+1,20),FIND("/",MID($A1861,FIND("/",$A1861)+1,20))+1,20))),"")))</f>
        <v/>
      </c>
      <c r="E1861">
        <f>IF($A1861="","",IF(OR($B1861="",$C1861="",$D1861="",$B1861&lt;1300,$B1861&gt;1500,$C1861&lt;1,$C1861&gt;12,$D1861&lt;1,$D1861&gt;31),"نامعتبر",RIGHT("0000"&amp;$B1861,4)&amp;"/"&amp;RIGHT("00"&amp;$C1861,2)&amp;"/"&amp;RIGHT("00"&amp;$D1861,2)))</f>
        <v/>
      </c>
      <c r="F1861">
        <f>IF(OR($E1861="",$E1861="نامعتبر"),"",LEFT($E1861,4)&amp;"/"&amp;MID($E1861,6,2))</f>
        <v/>
      </c>
      <c r="G1861">
        <f>IF(OR($E1861="",$E1861="نامعتبر",Sync!$X1857=""),"",IF(AND(LEFT(UPPER(TRIM(Sync!$X1857)),2)="SL",IFERROR(VLOOKUP(Sync!$W1857,OpTbl,3,0),"")="فروش"),UPPER(TRIM(Sync!$X1857)),""))</f>
        <v/>
      </c>
      <c r="H1861">
        <f>IF($G1861="","",IF(Sync!$W1857="","",Sync!$W1857))</f>
        <v/>
      </c>
      <c r="I1861">
        <f>IF(OR($G1861="",Sync!$Y1857=""),"",Sync!$Y1857)</f>
        <v/>
      </c>
      <c r="J1861">
        <f>IF(OR($G1861="",Sync!$Z1857=""),"",Sync!$Z1857)</f>
        <v/>
      </c>
      <c r="K1861">
        <f>IF($G1861="",0,IF(Sync!$AA1857="",0,Sync!$AA1857))</f>
        <v/>
      </c>
      <c r="L1861">
        <f>IF($G1861="",0,IF(Sync!$AB1857="",0,Sync!$AB1857))</f>
        <v/>
      </c>
      <c r="M1861">
        <f>IF($G1861="","",IF($H1861="مرجوعی فروش",-1,1)*($K1861-$L1861*IFERROR(VLOOKUP("P01",ParamTbl,3,0),1.5)))</f>
        <v/>
      </c>
      <c r="N1861">
        <f>IF($G1861="",0,IF($H1861="مرجوعی فروش",-1,1)*IF(Sync!$AC1857="",0,Sync!$AC1857))</f>
        <v/>
      </c>
      <c r="O1861">
        <f>IF(OR($G1861="",Sync!$V1857=""),"",Sync!$V1857)</f>
        <v/>
      </c>
      <c r="P1861">
        <f>IF(OR($G1861="",Sync!$AD1857=""),"",Sync!$AD1857)</f>
        <v/>
      </c>
      <c r="Q1861">
        <f>IF($G1861="","",IF(Sync!$U1857="","0000",IF(AND(ISNUMBER(Sync!$U1857),Sync!$U1857&gt;=0,Sync!$U1857&lt;1),RIGHT("00"&amp;HOUR(Sync!$U1857),2)&amp;RIGHT("00"&amp;MINUTE(Sync!$U1857),2),IFERROR(RIGHT("00"&amp;VALUE(LEFT(Sync!$U1857,FIND(":",Sync!$U1857)-1)),2)&amp;RIGHT("00"&amp;VALUE(MID(Sync!$U1857,FIND(":",Sync!$U1857)+1,2)),2),"0000"))))</f>
        <v/>
      </c>
    </row>
    <row r="1862">
      <c r="A1862">
        <f>IF(Sync!$T1858="","",Sync!$T1858)</f>
        <v/>
      </c>
      <c r="B1862">
        <f>IF($A1862="","",IF(ISNUMBER($A1862),IF(AND($A1862&gt;=10000101,$A1862&lt;=99991231),INT($A1862/10000),""),IFERROR(VALUE(TRIM(LEFT($A1862,FIND("/",$A1862)-1))),"")))</f>
        <v/>
      </c>
      <c r="C1862">
        <f>IF(OR($A1862="",$B1862=""),"",IF(ISNUMBER($A1862),INT(MOD($A1862,10000)/100),IFERROR(VALUE(TRIM(LEFT(MID($A1862,FIND("/",$A1862)+1,20),FIND("/",MID($A1862,FIND("/",$A1862)+1,20))-1))),"")))</f>
        <v/>
      </c>
      <c r="D1862">
        <f>IF(OR($A1862="",$B1862=""),"",IF(ISNUMBER($A1862),MOD($A1862,100),IFERROR(VALUE(TRIM(MID(MID($A1862,FIND("/",$A1862)+1,20),FIND("/",MID($A1862,FIND("/",$A1862)+1,20))+1,20))),"")))</f>
        <v/>
      </c>
      <c r="E1862">
        <f>IF($A1862="","",IF(OR($B1862="",$C1862="",$D1862="",$B1862&lt;1300,$B1862&gt;1500,$C1862&lt;1,$C1862&gt;12,$D1862&lt;1,$D1862&gt;31),"نامعتبر",RIGHT("0000"&amp;$B1862,4)&amp;"/"&amp;RIGHT("00"&amp;$C1862,2)&amp;"/"&amp;RIGHT("00"&amp;$D1862,2)))</f>
        <v/>
      </c>
      <c r="F1862">
        <f>IF(OR($E1862="",$E1862="نامعتبر"),"",LEFT($E1862,4)&amp;"/"&amp;MID($E1862,6,2))</f>
        <v/>
      </c>
      <c r="G1862">
        <f>IF(OR($E1862="",$E1862="نامعتبر",Sync!$X1858=""),"",IF(AND(LEFT(UPPER(TRIM(Sync!$X1858)),2)="SL",IFERROR(VLOOKUP(Sync!$W1858,OpTbl,3,0),"")="فروش"),UPPER(TRIM(Sync!$X1858)),""))</f>
        <v/>
      </c>
      <c r="H1862">
        <f>IF($G1862="","",IF(Sync!$W1858="","",Sync!$W1858))</f>
        <v/>
      </c>
      <c r="I1862">
        <f>IF(OR($G1862="",Sync!$Y1858=""),"",Sync!$Y1858)</f>
        <v/>
      </c>
      <c r="J1862">
        <f>IF(OR($G1862="",Sync!$Z1858=""),"",Sync!$Z1858)</f>
        <v/>
      </c>
      <c r="K1862">
        <f>IF($G1862="",0,IF(Sync!$AA1858="",0,Sync!$AA1858))</f>
        <v/>
      </c>
      <c r="L1862">
        <f>IF($G1862="",0,IF(Sync!$AB1858="",0,Sync!$AB1858))</f>
        <v/>
      </c>
      <c r="M1862">
        <f>IF($G1862="","",IF($H1862="مرجوعی فروش",-1,1)*($K1862-$L1862*IFERROR(VLOOKUP("P01",ParamTbl,3,0),1.5)))</f>
        <v/>
      </c>
      <c r="N1862">
        <f>IF($G1862="",0,IF($H1862="مرجوعی فروش",-1,1)*IF(Sync!$AC1858="",0,Sync!$AC1858))</f>
        <v/>
      </c>
      <c r="O1862">
        <f>IF(OR($G1862="",Sync!$V1858=""),"",Sync!$V1858)</f>
        <v/>
      </c>
      <c r="P1862">
        <f>IF(OR($G1862="",Sync!$AD1858=""),"",Sync!$AD1858)</f>
        <v/>
      </c>
      <c r="Q1862">
        <f>IF($G1862="","",IF(Sync!$U1858="","0000",IF(AND(ISNUMBER(Sync!$U1858),Sync!$U1858&gt;=0,Sync!$U1858&lt;1),RIGHT("00"&amp;HOUR(Sync!$U1858),2)&amp;RIGHT("00"&amp;MINUTE(Sync!$U1858),2),IFERROR(RIGHT("00"&amp;VALUE(LEFT(Sync!$U1858,FIND(":",Sync!$U1858)-1)),2)&amp;RIGHT("00"&amp;VALUE(MID(Sync!$U1858,FIND(":",Sync!$U1858)+1,2)),2),"0000"))))</f>
        <v/>
      </c>
    </row>
    <row r="1863">
      <c r="A1863">
        <f>IF(Sync!$T1859="","",Sync!$T1859)</f>
        <v/>
      </c>
      <c r="B1863">
        <f>IF($A1863="","",IF(ISNUMBER($A1863),IF(AND($A1863&gt;=10000101,$A1863&lt;=99991231),INT($A1863/10000),""),IFERROR(VALUE(TRIM(LEFT($A1863,FIND("/",$A1863)-1))),"")))</f>
        <v/>
      </c>
      <c r="C1863">
        <f>IF(OR($A1863="",$B1863=""),"",IF(ISNUMBER($A1863),INT(MOD($A1863,10000)/100),IFERROR(VALUE(TRIM(LEFT(MID($A1863,FIND("/",$A1863)+1,20),FIND("/",MID($A1863,FIND("/",$A1863)+1,20))-1))),"")))</f>
        <v/>
      </c>
      <c r="D1863">
        <f>IF(OR($A1863="",$B1863=""),"",IF(ISNUMBER($A1863),MOD($A1863,100),IFERROR(VALUE(TRIM(MID(MID($A1863,FIND("/",$A1863)+1,20),FIND("/",MID($A1863,FIND("/",$A1863)+1,20))+1,20))),"")))</f>
        <v/>
      </c>
      <c r="E1863">
        <f>IF($A1863="","",IF(OR($B1863="",$C1863="",$D1863="",$B1863&lt;1300,$B1863&gt;1500,$C1863&lt;1,$C1863&gt;12,$D1863&lt;1,$D1863&gt;31),"نامعتبر",RIGHT("0000"&amp;$B1863,4)&amp;"/"&amp;RIGHT("00"&amp;$C1863,2)&amp;"/"&amp;RIGHT("00"&amp;$D1863,2)))</f>
        <v/>
      </c>
      <c r="F1863">
        <f>IF(OR($E1863="",$E1863="نامعتبر"),"",LEFT($E1863,4)&amp;"/"&amp;MID($E1863,6,2))</f>
        <v/>
      </c>
      <c r="G1863">
        <f>IF(OR($E1863="",$E1863="نامعتبر",Sync!$X1859=""),"",IF(AND(LEFT(UPPER(TRIM(Sync!$X1859)),2)="SL",IFERROR(VLOOKUP(Sync!$W1859,OpTbl,3,0),"")="فروش"),UPPER(TRIM(Sync!$X1859)),""))</f>
        <v/>
      </c>
      <c r="H1863">
        <f>IF($G1863="","",IF(Sync!$W1859="","",Sync!$W1859))</f>
        <v/>
      </c>
      <c r="I1863">
        <f>IF(OR($G1863="",Sync!$Y1859=""),"",Sync!$Y1859)</f>
        <v/>
      </c>
      <c r="J1863">
        <f>IF(OR($G1863="",Sync!$Z1859=""),"",Sync!$Z1859)</f>
        <v/>
      </c>
      <c r="K1863">
        <f>IF($G1863="",0,IF(Sync!$AA1859="",0,Sync!$AA1859))</f>
        <v/>
      </c>
      <c r="L1863">
        <f>IF($G1863="",0,IF(Sync!$AB1859="",0,Sync!$AB1859))</f>
        <v/>
      </c>
      <c r="M1863">
        <f>IF($G1863="","",IF($H1863="مرجوعی فروش",-1,1)*($K1863-$L1863*IFERROR(VLOOKUP("P01",ParamTbl,3,0),1.5)))</f>
        <v/>
      </c>
      <c r="N1863">
        <f>IF($G1863="",0,IF($H1863="مرجوعی فروش",-1,1)*IF(Sync!$AC1859="",0,Sync!$AC1859))</f>
        <v/>
      </c>
      <c r="O1863">
        <f>IF(OR($G1863="",Sync!$V1859=""),"",Sync!$V1859)</f>
        <v/>
      </c>
      <c r="P1863">
        <f>IF(OR($G1863="",Sync!$AD1859=""),"",Sync!$AD1859)</f>
        <v/>
      </c>
      <c r="Q1863">
        <f>IF($G1863="","",IF(Sync!$U1859="","0000",IF(AND(ISNUMBER(Sync!$U1859),Sync!$U1859&gt;=0,Sync!$U1859&lt;1),RIGHT("00"&amp;HOUR(Sync!$U1859),2)&amp;RIGHT("00"&amp;MINUTE(Sync!$U1859),2),IFERROR(RIGHT("00"&amp;VALUE(LEFT(Sync!$U1859,FIND(":",Sync!$U1859)-1)),2)&amp;RIGHT("00"&amp;VALUE(MID(Sync!$U1859,FIND(":",Sync!$U1859)+1,2)),2),"0000"))))</f>
        <v/>
      </c>
    </row>
    <row r="1864">
      <c r="A1864">
        <f>IF(Sync!$T1860="","",Sync!$T1860)</f>
        <v/>
      </c>
      <c r="B1864">
        <f>IF($A1864="","",IF(ISNUMBER($A1864),IF(AND($A1864&gt;=10000101,$A1864&lt;=99991231),INT($A1864/10000),""),IFERROR(VALUE(TRIM(LEFT($A1864,FIND("/",$A1864)-1))),"")))</f>
        <v/>
      </c>
      <c r="C1864">
        <f>IF(OR($A1864="",$B1864=""),"",IF(ISNUMBER($A1864),INT(MOD($A1864,10000)/100),IFERROR(VALUE(TRIM(LEFT(MID($A1864,FIND("/",$A1864)+1,20),FIND("/",MID($A1864,FIND("/",$A1864)+1,20))-1))),"")))</f>
        <v/>
      </c>
      <c r="D1864">
        <f>IF(OR($A1864="",$B1864=""),"",IF(ISNUMBER($A1864),MOD($A1864,100),IFERROR(VALUE(TRIM(MID(MID($A1864,FIND("/",$A1864)+1,20),FIND("/",MID($A1864,FIND("/",$A1864)+1,20))+1,20))),"")))</f>
        <v/>
      </c>
      <c r="E1864">
        <f>IF($A1864="","",IF(OR($B1864="",$C1864="",$D1864="",$B1864&lt;1300,$B1864&gt;1500,$C1864&lt;1,$C1864&gt;12,$D1864&lt;1,$D1864&gt;31),"نامعتبر",RIGHT("0000"&amp;$B1864,4)&amp;"/"&amp;RIGHT("00"&amp;$C1864,2)&amp;"/"&amp;RIGHT("00"&amp;$D1864,2)))</f>
        <v/>
      </c>
      <c r="F1864">
        <f>IF(OR($E1864="",$E1864="نامعتبر"),"",LEFT($E1864,4)&amp;"/"&amp;MID($E1864,6,2))</f>
        <v/>
      </c>
      <c r="G1864">
        <f>IF(OR($E1864="",$E1864="نامعتبر",Sync!$X1860=""),"",IF(AND(LEFT(UPPER(TRIM(Sync!$X1860)),2)="SL",IFERROR(VLOOKUP(Sync!$W1860,OpTbl,3,0),"")="فروش"),UPPER(TRIM(Sync!$X1860)),""))</f>
        <v/>
      </c>
      <c r="H1864">
        <f>IF($G1864="","",IF(Sync!$W1860="","",Sync!$W1860))</f>
        <v/>
      </c>
      <c r="I1864">
        <f>IF(OR($G1864="",Sync!$Y1860=""),"",Sync!$Y1860)</f>
        <v/>
      </c>
      <c r="J1864">
        <f>IF(OR($G1864="",Sync!$Z1860=""),"",Sync!$Z1860)</f>
        <v/>
      </c>
      <c r="K1864">
        <f>IF($G1864="",0,IF(Sync!$AA1860="",0,Sync!$AA1860))</f>
        <v/>
      </c>
      <c r="L1864">
        <f>IF($G1864="",0,IF(Sync!$AB1860="",0,Sync!$AB1860))</f>
        <v/>
      </c>
      <c r="M1864">
        <f>IF($G1864="","",IF($H1864="مرجوعی فروش",-1,1)*($K1864-$L1864*IFERROR(VLOOKUP("P01",ParamTbl,3,0),1.5)))</f>
        <v/>
      </c>
      <c r="N1864">
        <f>IF($G1864="",0,IF($H1864="مرجوعی فروش",-1,1)*IF(Sync!$AC1860="",0,Sync!$AC1860))</f>
        <v/>
      </c>
      <c r="O1864">
        <f>IF(OR($G1864="",Sync!$V1860=""),"",Sync!$V1860)</f>
        <v/>
      </c>
      <c r="P1864">
        <f>IF(OR($G1864="",Sync!$AD1860=""),"",Sync!$AD1860)</f>
        <v/>
      </c>
      <c r="Q1864">
        <f>IF($G1864="","",IF(Sync!$U1860="","0000",IF(AND(ISNUMBER(Sync!$U1860),Sync!$U1860&gt;=0,Sync!$U1860&lt;1),RIGHT("00"&amp;HOUR(Sync!$U1860),2)&amp;RIGHT("00"&amp;MINUTE(Sync!$U1860),2),IFERROR(RIGHT("00"&amp;VALUE(LEFT(Sync!$U1860,FIND(":",Sync!$U1860)-1)),2)&amp;RIGHT("00"&amp;VALUE(MID(Sync!$U1860,FIND(":",Sync!$U1860)+1,2)),2),"0000"))))</f>
        <v/>
      </c>
    </row>
    <row r="1865">
      <c r="A1865">
        <f>IF(Sync!$T1861="","",Sync!$T1861)</f>
        <v/>
      </c>
      <c r="B1865">
        <f>IF($A1865="","",IF(ISNUMBER($A1865),IF(AND($A1865&gt;=10000101,$A1865&lt;=99991231),INT($A1865/10000),""),IFERROR(VALUE(TRIM(LEFT($A1865,FIND("/",$A1865)-1))),"")))</f>
        <v/>
      </c>
      <c r="C1865">
        <f>IF(OR($A1865="",$B1865=""),"",IF(ISNUMBER($A1865),INT(MOD($A1865,10000)/100),IFERROR(VALUE(TRIM(LEFT(MID($A1865,FIND("/",$A1865)+1,20),FIND("/",MID($A1865,FIND("/",$A1865)+1,20))-1))),"")))</f>
        <v/>
      </c>
      <c r="D1865">
        <f>IF(OR($A1865="",$B1865=""),"",IF(ISNUMBER($A1865),MOD($A1865,100),IFERROR(VALUE(TRIM(MID(MID($A1865,FIND("/",$A1865)+1,20),FIND("/",MID($A1865,FIND("/",$A1865)+1,20))+1,20))),"")))</f>
        <v/>
      </c>
      <c r="E1865">
        <f>IF($A1865="","",IF(OR($B1865="",$C1865="",$D1865="",$B1865&lt;1300,$B1865&gt;1500,$C1865&lt;1,$C1865&gt;12,$D1865&lt;1,$D1865&gt;31),"نامعتبر",RIGHT("0000"&amp;$B1865,4)&amp;"/"&amp;RIGHT("00"&amp;$C1865,2)&amp;"/"&amp;RIGHT("00"&amp;$D1865,2)))</f>
        <v/>
      </c>
      <c r="F1865">
        <f>IF(OR($E1865="",$E1865="نامعتبر"),"",LEFT($E1865,4)&amp;"/"&amp;MID($E1865,6,2))</f>
        <v/>
      </c>
      <c r="G1865">
        <f>IF(OR($E1865="",$E1865="نامعتبر",Sync!$X1861=""),"",IF(AND(LEFT(UPPER(TRIM(Sync!$X1861)),2)="SL",IFERROR(VLOOKUP(Sync!$W1861,OpTbl,3,0),"")="فروش"),UPPER(TRIM(Sync!$X1861)),""))</f>
        <v/>
      </c>
      <c r="H1865">
        <f>IF($G1865="","",IF(Sync!$W1861="","",Sync!$W1861))</f>
        <v/>
      </c>
      <c r="I1865">
        <f>IF(OR($G1865="",Sync!$Y1861=""),"",Sync!$Y1861)</f>
        <v/>
      </c>
      <c r="J1865">
        <f>IF(OR($G1865="",Sync!$Z1861=""),"",Sync!$Z1861)</f>
        <v/>
      </c>
      <c r="K1865">
        <f>IF($G1865="",0,IF(Sync!$AA1861="",0,Sync!$AA1861))</f>
        <v/>
      </c>
      <c r="L1865">
        <f>IF($G1865="",0,IF(Sync!$AB1861="",0,Sync!$AB1861))</f>
        <v/>
      </c>
      <c r="M1865">
        <f>IF($G1865="","",IF($H1865="مرجوعی فروش",-1,1)*($K1865-$L1865*IFERROR(VLOOKUP("P01",ParamTbl,3,0),1.5)))</f>
        <v/>
      </c>
      <c r="N1865">
        <f>IF($G1865="",0,IF($H1865="مرجوعی فروش",-1,1)*IF(Sync!$AC1861="",0,Sync!$AC1861))</f>
        <v/>
      </c>
      <c r="O1865">
        <f>IF(OR($G1865="",Sync!$V1861=""),"",Sync!$V1861)</f>
        <v/>
      </c>
      <c r="P1865">
        <f>IF(OR($G1865="",Sync!$AD1861=""),"",Sync!$AD1861)</f>
        <v/>
      </c>
      <c r="Q1865">
        <f>IF($G1865="","",IF(Sync!$U1861="","0000",IF(AND(ISNUMBER(Sync!$U1861),Sync!$U1861&gt;=0,Sync!$U1861&lt;1),RIGHT("00"&amp;HOUR(Sync!$U1861),2)&amp;RIGHT("00"&amp;MINUTE(Sync!$U1861),2),IFERROR(RIGHT("00"&amp;VALUE(LEFT(Sync!$U1861,FIND(":",Sync!$U1861)-1)),2)&amp;RIGHT("00"&amp;VALUE(MID(Sync!$U1861,FIND(":",Sync!$U1861)+1,2)),2),"0000"))))</f>
        <v/>
      </c>
    </row>
    <row r="1866">
      <c r="A1866">
        <f>IF(Sync!$T1862="","",Sync!$T1862)</f>
        <v/>
      </c>
      <c r="B1866">
        <f>IF($A1866="","",IF(ISNUMBER($A1866),IF(AND($A1866&gt;=10000101,$A1866&lt;=99991231),INT($A1866/10000),""),IFERROR(VALUE(TRIM(LEFT($A1866,FIND("/",$A1866)-1))),"")))</f>
        <v/>
      </c>
      <c r="C1866">
        <f>IF(OR($A1866="",$B1866=""),"",IF(ISNUMBER($A1866),INT(MOD($A1866,10000)/100),IFERROR(VALUE(TRIM(LEFT(MID($A1866,FIND("/",$A1866)+1,20),FIND("/",MID($A1866,FIND("/",$A1866)+1,20))-1))),"")))</f>
        <v/>
      </c>
      <c r="D1866">
        <f>IF(OR($A1866="",$B1866=""),"",IF(ISNUMBER($A1866),MOD($A1866,100),IFERROR(VALUE(TRIM(MID(MID($A1866,FIND("/",$A1866)+1,20),FIND("/",MID($A1866,FIND("/",$A1866)+1,20))+1,20))),"")))</f>
        <v/>
      </c>
      <c r="E1866">
        <f>IF($A1866="","",IF(OR($B1866="",$C1866="",$D1866="",$B1866&lt;1300,$B1866&gt;1500,$C1866&lt;1,$C1866&gt;12,$D1866&lt;1,$D1866&gt;31),"نامعتبر",RIGHT("0000"&amp;$B1866,4)&amp;"/"&amp;RIGHT("00"&amp;$C1866,2)&amp;"/"&amp;RIGHT("00"&amp;$D1866,2)))</f>
        <v/>
      </c>
      <c r="F1866">
        <f>IF(OR($E1866="",$E1866="نامعتبر"),"",LEFT($E1866,4)&amp;"/"&amp;MID($E1866,6,2))</f>
        <v/>
      </c>
      <c r="G1866">
        <f>IF(OR($E1866="",$E1866="نامعتبر",Sync!$X1862=""),"",IF(AND(LEFT(UPPER(TRIM(Sync!$X1862)),2)="SL",IFERROR(VLOOKUP(Sync!$W1862,OpTbl,3,0),"")="فروش"),UPPER(TRIM(Sync!$X1862)),""))</f>
        <v/>
      </c>
      <c r="H1866">
        <f>IF($G1866="","",IF(Sync!$W1862="","",Sync!$W1862))</f>
        <v/>
      </c>
      <c r="I1866">
        <f>IF(OR($G1866="",Sync!$Y1862=""),"",Sync!$Y1862)</f>
        <v/>
      </c>
      <c r="J1866">
        <f>IF(OR($G1866="",Sync!$Z1862=""),"",Sync!$Z1862)</f>
        <v/>
      </c>
      <c r="K1866">
        <f>IF($G1866="",0,IF(Sync!$AA1862="",0,Sync!$AA1862))</f>
        <v/>
      </c>
      <c r="L1866">
        <f>IF($G1866="",0,IF(Sync!$AB1862="",0,Sync!$AB1862))</f>
        <v/>
      </c>
      <c r="M1866">
        <f>IF($G1866="","",IF($H1866="مرجوعی فروش",-1,1)*($K1866-$L1866*IFERROR(VLOOKUP("P01",ParamTbl,3,0),1.5)))</f>
        <v/>
      </c>
      <c r="N1866">
        <f>IF($G1866="",0,IF($H1866="مرجوعی فروش",-1,1)*IF(Sync!$AC1862="",0,Sync!$AC1862))</f>
        <v/>
      </c>
      <c r="O1866">
        <f>IF(OR($G1866="",Sync!$V1862=""),"",Sync!$V1862)</f>
        <v/>
      </c>
      <c r="P1866">
        <f>IF(OR($G1866="",Sync!$AD1862=""),"",Sync!$AD1862)</f>
        <v/>
      </c>
      <c r="Q1866">
        <f>IF($G1866="","",IF(Sync!$U1862="","0000",IF(AND(ISNUMBER(Sync!$U1862),Sync!$U1862&gt;=0,Sync!$U1862&lt;1),RIGHT("00"&amp;HOUR(Sync!$U1862),2)&amp;RIGHT("00"&amp;MINUTE(Sync!$U1862),2),IFERROR(RIGHT("00"&amp;VALUE(LEFT(Sync!$U1862,FIND(":",Sync!$U1862)-1)),2)&amp;RIGHT("00"&amp;VALUE(MID(Sync!$U1862,FIND(":",Sync!$U1862)+1,2)),2),"0000"))))</f>
        <v/>
      </c>
    </row>
    <row r="1867">
      <c r="A1867">
        <f>IF(Sync!$T1863="","",Sync!$T1863)</f>
        <v/>
      </c>
      <c r="B1867">
        <f>IF($A1867="","",IF(ISNUMBER($A1867),IF(AND($A1867&gt;=10000101,$A1867&lt;=99991231),INT($A1867/10000),""),IFERROR(VALUE(TRIM(LEFT($A1867,FIND("/",$A1867)-1))),"")))</f>
        <v/>
      </c>
      <c r="C1867">
        <f>IF(OR($A1867="",$B1867=""),"",IF(ISNUMBER($A1867),INT(MOD($A1867,10000)/100),IFERROR(VALUE(TRIM(LEFT(MID($A1867,FIND("/",$A1867)+1,20),FIND("/",MID($A1867,FIND("/",$A1867)+1,20))-1))),"")))</f>
        <v/>
      </c>
      <c r="D1867">
        <f>IF(OR($A1867="",$B1867=""),"",IF(ISNUMBER($A1867),MOD($A1867,100),IFERROR(VALUE(TRIM(MID(MID($A1867,FIND("/",$A1867)+1,20),FIND("/",MID($A1867,FIND("/",$A1867)+1,20))+1,20))),"")))</f>
        <v/>
      </c>
      <c r="E1867">
        <f>IF($A1867="","",IF(OR($B1867="",$C1867="",$D1867="",$B1867&lt;1300,$B1867&gt;1500,$C1867&lt;1,$C1867&gt;12,$D1867&lt;1,$D1867&gt;31),"نامعتبر",RIGHT("0000"&amp;$B1867,4)&amp;"/"&amp;RIGHT("00"&amp;$C1867,2)&amp;"/"&amp;RIGHT("00"&amp;$D1867,2)))</f>
        <v/>
      </c>
      <c r="F1867">
        <f>IF(OR($E1867="",$E1867="نامعتبر"),"",LEFT($E1867,4)&amp;"/"&amp;MID($E1867,6,2))</f>
        <v/>
      </c>
      <c r="G1867">
        <f>IF(OR($E1867="",$E1867="نامعتبر",Sync!$X1863=""),"",IF(AND(LEFT(UPPER(TRIM(Sync!$X1863)),2)="SL",IFERROR(VLOOKUP(Sync!$W1863,OpTbl,3,0),"")="فروش"),UPPER(TRIM(Sync!$X1863)),""))</f>
        <v/>
      </c>
      <c r="H1867">
        <f>IF($G1867="","",IF(Sync!$W1863="","",Sync!$W1863))</f>
        <v/>
      </c>
      <c r="I1867">
        <f>IF(OR($G1867="",Sync!$Y1863=""),"",Sync!$Y1863)</f>
        <v/>
      </c>
      <c r="J1867">
        <f>IF(OR($G1867="",Sync!$Z1863=""),"",Sync!$Z1863)</f>
        <v/>
      </c>
      <c r="K1867">
        <f>IF($G1867="",0,IF(Sync!$AA1863="",0,Sync!$AA1863))</f>
        <v/>
      </c>
      <c r="L1867">
        <f>IF($G1867="",0,IF(Sync!$AB1863="",0,Sync!$AB1863))</f>
        <v/>
      </c>
      <c r="M1867">
        <f>IF($G1867="","",IF($H1867="مرجوعی فروش",-1,1)*($K1867-$L1867*IFERROR(VLOOKUP("P01",ParamTbl,3,0),1.5)))</f>
        <v/>
      </c>
      <c r="N1867">
        <f>IF($G1867="",0,IF($H1867="مرجوعی فروش",-1,1)*IF(Sync!$AC1863="",0,Sync!$AC1863))</f>
        <v/>
      </c>
      <c r="O1867">
        <f>IF(OR($G1867="",Sync!$V1863=""),"",Sync!$V1863)</f>
        <v/>
      </c>
      <c r="P1867">
        <f>IF(OR($G1867="",Sync!$AD1863=""),"",Sync!$AD1863)</f>
        <v/>
      </c>
      <c r="Q1867">
        <f>IF($G1867="","",IF(Sync!$U1863="","0000",IF(AND(ISNUMBER(Sync!$U1863),Sync!$U1863&gt;=0,Sync!$U1863&lt;1),RIGHT("00"&amp;HOUR(Sync!$U1863),2)&amp;RIGHT("00"&amp;MINUTE(Sync!$U1863),2),IFERROR(RIGHT("00"&amp;VALUE(LEFT(Sync!$U1863,FIND(":",Sync!$U1863)-1)),2)&amp;RIGHT("00"&amp;VALUE(MID(Sync!$U1863,FIND(":",Sync!$U1863)+1,2)),2),"0000"))))</f>
        <v/>
      </c>
    </row>
    <row r="1868">
      <c r="A1868">
        <f>IF(Sync!$T1864="","",Sync!$T1864)</f>
        <v/>
      </c>
      <c r="B1868">
        <f>IF($A1868="","",IF(ISNUMBER($A1868),IF(AND($A1868&gt;=10000101,$A1868&lt;=99991231),INT($A1868/10000),""),IFERROR(VALUE(TRIM(LEFT($A1868,FIND("/",$A1868)-1))),"")))</f>
        <v/>
      </c>
      <c r="C1868">
        <f>IF(OR($A1868="",$B1868=""),"",IF(ISNUMBER($A1868),INT(MOD($A1868,10000)/100),IFERROR(VALUE(TRIM(LEFT(MID($A1868,FIND("/",$A1868)+1,20),FIND("/",MID($A1868,FIND("/",$A1868)+1,20))-1))),"")))</f>
        <v/>
      </c>
      <c r="D1868">
        <f>IF(OR($A1868="",$B1868=""),"",IF(ISNUMBER($A1868),MOD($A1868,100),IFERROR(VALUE(TRIM(MID(MID($A1868,FIND("/",$A1868)+1,20),FIND("/",MID($A1868,FIND("/",$A1868)+1,20))+1,20))),"")))</f>
        <v/>
      </c>
      <c r="E1868">
        <f>IF($A1868="","",IF(OR($B1868="",$C1868="",$D1868="",$B1868&lt;1300,$B1868&gt;1500,$C1868&lt;1,$C1868&gt;12,$D1868&lt;1,$D1868&gt;31),"نامعتبر",RIGHT("0000"&amp;$B1868,4)&amp;"/"&amp;RIGHT("00"&amp;$C1868,2)&amp;"/"&amp;RIGHT("00"&amp;$D1868,2)))</f>
        <v/>
      </c>
      <c r="F1868">
        <f>IF(OR($E1868="",$E1868="نامعتبر"),"",LEFT($E1868,4)&amp;"/"&amp;MID($E1868,6,2))</f>
        <v/>
      </c>
      <c r="G1868">
        <f>IF(OR($E1868="",$E1868="نامعتبر",Sync!$X1864=""),"",IF(AND(LEFT(UPPER(TRIM(Sync!$X1864)),2)="SL",IFERROR(VLOOKUP(Sync!$W1864,OpTbl,3,0),"")="فروش"),UPPER(TRIM(Sync!$X1864)),""))</f>
        <v/>
      </c>
      <c r="H1868">
        <f>IF($G1868="","",IF(Sync!$W1864="","",Sync!$W1864))</f>
        <v/>
      </c>
      <c r="I1868">
        <f>IF(OR($G1868="",Sync!$Y1864=""),"",Sync!$Y1864)</f>
        <v/>
      </c>
      <c r="J1868">
        <f>IF(OR($G1868="",Sync!$Z1864=""),"",Sync!$Z1864)</f>
        <v/>
      </c>
      <c r="K1868">
        <f>IF($G1868="",0,IF(Sync!$AA1864="",0,Sync!$AA1864))</f>
        <v/>
      </c>
      <c r="L1868">
        <f>IF($G1868="",0,IF(Sync!$AB1864="",0,Sync!$AB1864))</f>
        <v/>
      </c>
      <c r="M1868">
        <f>IF($G1868="","",IF($H1868="مرجوعی فروش",-1,1)*($K1868-$L1868*IFERROR(VLOOKUP("P01",ParamTbl,3,0),1.5)))</f>
        <v/>
      </c>
      <c r="N1868">
        <f>IF($G1868="",0,IF($H1868="مرجوعی فروش",-1,1)*IF(Sync!$AC1864="",0,Sync!$AC1864))</f>
        <v/>
      </c>
      <c r="O1868">
        <f>IF(OR($G1868="",Sync!$V1864=""),"",Sync!$V1864)</f>
        <v/>
      </c>
      <c r="P1868">
        <f>IF(OR($G1868="",Sync!$AD1864=""),"",Sync!$AD1864)</f>
        <v/>
      </c>
      <c r="Q1868">
        <f>IF($G1868="","",IF(Sync!$U1864="","0000",IF(AND(ISNUMBER(Sync!$U1864),Sync!$U1864&gt;=0,Sync!$U1864&lt;1),RIGHT("00"&amp;HOUR(Sync!$U1864),2)&amp;RIGHT("00"&amp;MINUTE(Sync!$U1864),2),IFERROR(RIGHT("00"&amp;VALUE(LEFT(Sync!$U1864,FIND(":",Sync!$U1864)-1)),2)&amp;RIGHT("00"&amp;VALUE(MID(Sync!$U1864,FIND(":",Sync!$U1864)+1,2)),2),"0000"))))</f>
        <v/>
      </c>
    </row>
    <row r="1869">
      <c r="A1869">
        <f>IF(Sync!$T1865="","",Sync!$T1865)</f>
        <v/>
      </c>
      <c r="B1869">
        <f>IF($A1869="","",IF(ISNUMBER($A1869),IF(AND($A1869&gt;=10000101,$A1869&lt;=99991231),INT($A1869/10000),""),IFERROR(VALUE(TRIM(LEFT($A1869,FIND("/",$A1869)-1))),"")))</f>
        <v/>
      </c>
      <c r="C1869">
        <f>IF(OR($A1869="",$B1869=""),"",IF(ISNUMBER($A1869),INT(MOD($A1869,10000)/100),IFERROR(VALUE(TRIM(LEFT(MID($A1869,FIND("/",$A1869)+1,20),FIND("/",MID($A1869,FIND("/",$A1869)+1,20))-1))),"")))</f>
        <v/>
      </c>
      <c r="D1869">
        <f>IF(OR($A1869="",$B1869=""),"",IF(ISNUMBER($A1869),MOD($A1869,100),IFERROR(VALUE(TRIM(MID(MID($A1869,FIND("/",$A1869)+1,20),FIND("/",MID($A1869,FIND("/",$A1869)+1,20))+1,20))),"")))</f>
        <v/>
      </c>
      <c r="E1869">
        <f>IF($A1869="","",IF(OR($B1869="",$C1869="",$D1869="",$B1869&lt;1300,$B1869&gt;1500,$C1869&lt;1,$C1869&gt;12,$D1869&lt;1,$D1869&gt;31),"نامعتبر",RIGHT("0000"&amp;$B1869,4)&amp;"/"&amp;RIGHT("00"&amp;$C1869,2)&amp;"/"&amp;RIGHT("00"&amp;$D1869,2)))</f>
        <v/>
      </c>
      <c r="F1869">
        <f>IF(OR($E1869="",$E1869="نامعتبر"),"",LEFT($E1869,4)&amp;"/"&amp;MID($E1869,6,2))</f>
        <v/>
      </c>
      <c r="G1869">
        <f>IF(OR($E1869="",$E1869="نامعتبر",Sync!$X1865=""),"",IF(AND(LEFT(UPPER(TRIM(Sync!$X1865)),2)="SL",IFERROR(VLOOKUP(Sync!$W1865,OpTbl,3,0),"")="فروش"),UPPER(TRIM(Sync!$X1865)),""))</f>
        <v/>
      </c>
      <c r="H1869">
        <f>IF($G1869="","",IF(Sync!$W1865="","",Sync!$W1865))</f>
        <v/>
      </c>
      <c r="I1869">
        <f>IF(OR($G1869="",Sync!$Y1865=""),"",Sync!$Y1865)</f>
        <v/>
      </c>
      <c r="J1869">
        <f>IF(OR($G1869="",Sync!$Z1865=""),"",Sync!$Z1865)</f>
        <v/>
      </c>
      <c r="K1869">
        <f>IF($G1869="",0,IF(Sync!$AA1865="",0,Sync!$AA1865))</f>
        <v/>
      </c>
      <c r="L1869">
        <f>IF($G1869="",0,IF(Sync!$AB1865="",0,Sync!$AB1865))</f>
        <v/>
      </c>
      <c r="M1869">
        <f>IF($G1869="","",IF($H1869="مرجوعی فروش",-1,1)*($K1869-$L1869*IFERROR(VLOOKUP("P01",ParamTbl,3,0),1.5)))</f>
        <v/>
      </c>
      <c r="N1869">
        <f>IF($G1869="",0,IF($H1869="مرجوعی فروش",-1,1)*IF(Sync!$AC1865="",0,Sync!$AC1865))</f>
        <v/>
      </c>
      <c r="O1869">
        <f>IF(OR($G1869="",Sync!$V1865=""),"",Sync!$V1865)</f>
        <v/>
      </c>
      <c r="P1869">
        <f>IF(OR($G1869="",Sync!$AD1865=""),"",Sync!$AD1865)</f>
        <v/>
      </c>
      <c r="Q1869">
        <f>IF($G1869="","",IF(Sync!$U1865="","0000",IF(AND(ISNUMBER(Sync!$U1865),Sync!$U1865&gt;=0,Sync!$U1865&lt;1),RIGHT("00"&amp;HOUR(Sync!$U1865),2)&amp;RIGHT("00"&amp;MINUTE(Sync!$U1865),2),IFERROR(RIGHT("00"&amp;VALUE(LEFT(Sync!$U1865,FIND(":",Sync!$U1865)-1)),2)&amp;RIGHT("00"&amp;VALUE(MID(Sync!$U1865,FIND(":",Sync!$U1865)+1,2)),2),"0000"))))</f>
        <v/>
      </c>
    </row>
    <row r="1870">
      <c r="A1870">
        <f>IF(Sync!$T1866="","",Sync!$T1866)</f>
        <v/>
      </c>
      <c r="B1870">
        <f>IF($A1870="","",IF(ISNUMBER($A1870),IF(AND($A1870&gt;=10000101,$A1870&lt;=99991231),INT($A1870/10000),""),IFERROR(VALUE(TRIM(LEFT($A1870,FIND("/",$A1870)-1))),"")))</f>
        <v/>
      </c>
      <c r="C1870">
        <f>IF(OR($A1870="",$B1870=""),"",IF(ISNUMBER($A1870),INT(MOD($A1870,10000)/100),IFERROR(VALUE(TRIM(LEFT(MID($A1870,FIND("/",$A1870)+1,20),FIND("/",MID($A1870,FIND("/",$A1870)+1,20))-1))),"")))</f>
        <v/>
      </c>
      <c r="D1870">
        <f>IF(OR($A1870="",$B1870=""),"",IF(ISNUMBER($A1870),MOD($A1870,100),IFERROR(VALUE(TRIM(MID(MID($A1870,FIND("/",$A1870)+1,20),FIND("/",MID($A1870,FIND("/",$A1870)+1,20))+1,20))),"")))</f>
        <v/>
      </c>
      <c r="E1870">
        <f>IF($A1870="","",IF(OR($B1870="",$C1870="",$D1870="",$B1870&lt;1300,$B1870&gt;1500,$C1870&lt;1,$C1870&gt;12,$D1870&lt;1,$D1870&gt;31),"نامعتبر",RIGHT("0000"&amp;$B1870,4)&amp;"/"&amp;RIGHT("00"&amp;$C1870,2)&amp;"/"&amp;RIGHT("00"&amp;$D1870,2)))</f>
        <v/>
      </c>
      <c r="F1870">
        <f>IF(OR($E1870="",$E1870="نامعتبر"),"",LEFT($E1870,4)&amp;"/"&amp;MID($E1870,6,2))</f>
        <v/>
      </c>
      <c r="G1870">
        <f>IF(OR($E1870="",$E1870="نامعتبر",Sync!$X1866=""),"",IF(AND(LEFT(UPPER(TRIM(Sync!$X1866)),2)="SL",IFERROR(VLOOKUP(Sync!$W1866,OpTbl,3,0),"")="فروش"),UPPER(TRIM(Sync!$X1866)),""))</f>
        <v/>
      </c>
      <c r="H1870">
        <f>IF($G1870="","",IF(Sync!$W1866="","",Sync!$W1866))</f>
        <v/>
      </c>
      <c r="I1870">
        <f>IF(OR($G1870="",Sync!$Y1866=""),"",Sync!$Y1866)</f>
        <v/>
      </c>
      <c r="J1870">
        <f>IF(OR($G1870="",Sync!$Z1866=""),"",Sync!$Z1866)</f>
        <v/>
      </c>
      <c r="K1870">
        <f>IF($G1870="",0,IF(Sync!$AA1866="",0,Sync!$AA1866))</f>
        <v/>
      </c>
      <c r="L1870">
        <f>IF($G1870="",0,IF(Sync!$AB1866="",0,Sync!$AB1866))</f>
        <v/>
      </c>
      <c r="M1870">
        <f>IF($G1870="","",IF($H1870="مرجوعی فروش",-1,1)*($K1870-$L1870*IFERROR(VLOOKUP("P01",ParamTbl,3,0),1.5)))</f>
        <v/>
      </c>
      <c r="N1870">
        <f>IF($G1870="",0,IF($H1870="مرجوعی فروش",-1,1)*IF(Sync!$AC1866="",0,Sync!$AC1866))</f>
        <v/>
      </c>
      <c r="O1870">
        <f>IF(OR($G1870="",Sync!$V1866=""),"",Sync!$V1866)</f>
        <v/>
      </c>
      <c r="P1870">
        <f>IF(OR($G1870="",Sync!$AD1866=""),"",Sync!$AD1866)</f>
        <v/>
      </c>
      <c r="Q1870">
        <f>IF($G1870="","",IF(Sync!$U1866="","0000",IF(AND(ISNUMBER(Sync!$U1866),Sync!$U1866&gt;=0,Sync!$U1866&lt;1),RIGHT("00"&amp;HOUR(Sync!$U1866),2)&amp;RIGHT("00"&amp;MINUTE(Sync!$U1866),2),IFERROR(RIGHT("00"&amp;VALUE(LEFT(Sync!$U1866,FIND(":",Sync!$U1866)-1)),2)&amp;RIGHT("00"&amp;VALUE(MID(Sync!$U1866,FIND(":",Sync!$U1866)+1,2)),2),"0000"))))</f>
        <v/>
      </c>
    </row>
    <row r="1871">
      <c r="A1871">
        <f>IF(Sync!$T1867="","",Sync!$T1867)</f>
        <v/>
      </c>
      <c r="B1871">
        <f>IF($A1871="","",IF(ISNUMBER($A1871),IF(AND($A1871&gt;=10000101,$A1871&lt;=99991231),INT($A1871/10000),""),IFERROR(VALUE(TRIM(LEFT($A1871,FIND("/",$A1871)-1))),"")))</f>
        <v/>
      </c>
      <c r="C1871">
        <f>IF(OR($A1871="",$B1871=""),"",IF(ISNUMBER($A1871),INT(MOD($A1871,10000)/100),IFERROR(VALUE(TRIM(LEFT(MID($A1871,FIND("/",$A1871)+1,20),FIND("/",MID($A1871,FIND("/",$A1871)+1,20))-1))),"")))</f>
        <v/>
      </c>
      <c r="D1871">
        <f>IF(OR($A1871="",$B1871=""),"",IF(ISNUMBER($A1871),MOD($A1871,100),IFERROR(VALUE(TRIM(MID(MID($A1871,FIND("/",$A1871)+1,20),FIND("/",MID($A1871,FIND("/",$A1871)+1,20))+1,20))),"")))</f>
        <v/>
      </c>
      <c r="E1871">
        <f>IF($A1871="","",IF(OR($B1871="",$C1871="",$D1871="",$B1871&lt;1300,$B1871&gt;1500,$C1871&lt;1,$C1871&gt;12,$D1871&lt;1,$D1871&gt;31),"نامعتبر",RIGHT("0000"&amp;$B1871,4)&amp;"/"&amp;RIGHT("00"&amp;$C1871,2)&amp;"/"&amp;RIGHT("00"&amp;$D1871,2)))</f>
        <v/>
      </c>
      <c r="F1871">
        <f>IF(OR($E1871="",$E1871="نامعتبر"),"",LEFT($E1871,4)&amp;"/"&amp;MID($E1871,6,2))</f>
        <v/>
      </c>
      <c r="G1871">
        <f>IF(OR($E1871="",$E1871="نامعتبر",Sync!$X1867=""),"",IF(AND(LEFT(UPPER(TRIM(Sync!$X1867)),2)="SL",IFERROR(VLOOKUP(Sync!$W1867,OpTbl,3,0),"")="فروش"),UPPER(TRIM(Sync!$X1867)),""))</f>
        <v/>
      </c>
      <c r="H1871">
        <f>IF($G1871="","",IF(Sync!$W1867="","",Sync!$W1867))</f>
        <v/>
      </c>
      <c r="I1871">
        <f>IF(OR($G1871="",Sync!$Y1867=""),"",Sync!$Y1867)</f>
        <v/>
      </c>
      <c r="J1871">
        <f>IF(OR($G1871="",Sync!$Z1867=""),"",Sync!$Z1867)</f>
        <v/>
      </c>
      <c r="K1871">
        <f>IF($G1871="",0,IF(Sync!$AA1867="",0,Sync!$AA1867))</f>
        <v/>
      </c>
      <c r="L1871">
        <f>IF($G1871="",0,IF(Sync!$AB1867="",0,Sync!$AB1867))</f>
        <v/>
      </c>
      <c r="M1871">
        <f>IF($G1871="","",IF($H1871="مرجوعی فروش",-1,1)*($K1871-$L1871*IFERROR(VLOOKUP("P01",ParamTbl,3,0),1.5)))</f>
        <v/>
      </c>
      <c r="N1871">
        <f>IF($G1871="",0,IF($H1871="مرجوعی فروش",-1,1)*IF(Sync!$AC1867="",0,Sync!$AC1867))</f>
        <v/>
      </c>
      <c r="O1871">
        <f>IF(OR($G1871="",Sync!$V1867=""),"",Sync!$V1867)</f>
        <v/>
      </c>
      <c r="P1871">
        <f>IF(OR($G1871="",Sync!$AD1867=""),"",Sync!$AD1867)</f>
        <v/>
      </c>
      <c r="Q1871">
        <f>IF($G1871="","",IF(Sync!$U1867="","0000",IF(AND(ISNUMBER(Sync!$U1867),Sync!$U1867&gt;=0,Sync!$U1867&lt;1),RIGHT("00"&amp;HOUR(Sync!$U1867),2)&amp;RIGHT("00"&amp;MINUTE(Sync!$U1867),2),IFERROR(RIGHT("00"&amp;VALUE(LEFT(Sync!$U1867,FIND(":",Sync!$U1867)-1)),2)&amp;RIGHT("00"&amp;VALUE(MID(Sync!$U1867,FIND(":",Sync!$U1867)+1,2)),2),"0000"))))</f>
        <v/>
      </c>
    </row>
    <row r="1872">
      <c r="A1872">
        <f>IF(Sync!$T1868="","",Sync!$T1868)</f>
        <v/>
      </c>
      <c r="B1872">
        <f>IF($A1872="","",IF(ISNUMBER($A1872),IF(AND($A1872&gt;=10000101,$A1872&lt;=99991231),INT($A1872/10000),""),IFERROR(VALUE(TRIM(LEFT($A1872,FIND("/",$A1872)-1))),"")))</f>
        <v/>
      </c>
      <c r="C1872">
        <f>IF(OR($A1872="",$B1872=""),"",IF(ISNUMBER($A1872),INT(MOD($A1872,10000)/100),IFERROR(VALUE(TRIM(LEFT(MID($A1872,FIND("/",$A1872)+1,20),FIND("/",MID($A1872,FIND("/",$A1872)+1,20))-1))),"")))</f>
        <v/>
      </c>
      <c r="D1872">
        <f>IF(OR($A1872="",$B1872=""),"",IF(ISNUMBER($A1872),MOD($A1872,100),IFERROR(VALUE(TRIM(MID(MID($A1872,FIND("/",$A1872)+1,20),FIND("/",MID($A1872,FIND("/",$A1872)+1,20))+1,20))),"")))</f>
        <v/>
      </c>
      <c r="E1872">
        <f>IF($A1872="","",IF(OR($B1872="",$C1872="",$D1872="",$B1872&lt;1300,$B1872&gt;1500,$C1872&lt;1,$C1872&gt;12,$D1872&lt;1,$D1872&gt;31),"نامعتبر",RIGHT("0000"&amp;$B1872,4)&amp;"/"&amp;RIGHT("00"&amp;$C1872,2)&amp;"/"&amp;RIGHT("00"&amp;$D1872,2)))</f>
        <v/>
      </c>
      <c r="F1872">
        <f>IF(OR($E1872="",$E1872="نامعتبر"),"",LEFT($E1872,4)&amp;"/"&amp;MID($E1872,6,2))</f>
        <v/>
      </c>
      <c r="G1872">
        <f>IF(OR($E1872="",$E1872="نامعتبر",Sync!$X1868=""),"",IF(AND(LEFT(UPPER(TRIM(Sync!$X1868)),2)="SL",IFERROR(VLOOKUP(Sync!$W1868,OpTbl,3,0),"")="فروش"),UPPER(TRIM(Sync!$X1868)),""))</f>
        <v/>
      </c>
      <c r="H1872">
        <f>IF($G1872="","",IF(Sync!$W1868="","",Sync!$W1868))</f>
        <v/>
      </c>
      <c r="I1872">
        <f>IF(OR($G1872="",Sync!$Y1868=""),"",Sync!$Y1868)</f>
        <v/>
      </c>
      <c r="J1872">
        <f>IF(OR($G1872="",Sync!$Z1868=""),"",Sync!$Z1868)</f>
        <v/>
      </c>
      <c r="K1872">
        <f>IF($G1872="",0,IF(Sync!$AA1868="",0,Sync!$AA1868))</f>
        <v/>
      </c>
      <c r="L1872">
        <f>IF($G1872="",0,IF(Sync!$AB1868="",0,Sync!$AB1868))</f>
        <v/>
      </c>
      <c r="M1872">
        <f>IF($G1872="","",IF($H1872="مرجوعی فروش",-1,1)*($K1872-$L1872*IFERROR(VLOOKUP("P01",ParamTbl,3,0),1.5)))</f>
        <v/>
      </c>
      <c r="N1872">
        <f>IF($G1872="",0,IF($H1872="مرجوعی فروش",-1,1)*IF(Sync!$AC1868="",0,Sync!$AC1868))</f>
        <v/>
      </c>
      <c r="O1872">
        <f>IF(OR($G1872="",Sync!$V1868=""),"",Sync!$V1868)</f>
        <v/>
      </c>
      <c r="P1872">
        <f>IF(OR($G1872="",Sync!$AD1868=""),"",Sync!$AD1868)</f>
        <v/>
      </c>
      <c r="Q1872">
        <f>IF($G1872="","",IF(Sync!$U1868="","0000",IF(AND(ISNUMBER(Sync!$U1868),Sync!$U1868&gt;=0,Sync!$U1868&lt;1),RIGHT("00"&amp;HOUR(Sync!$U1868),2)&amp;RIGHT("00"&amp;MINUTE(Sync!$U1868),2),IFERROR(RIGHT("00"&amp;VALUE(LEFT(Sync!$U1868,FIND(":",Sync!$U1868)-1)),2)&amp;RIGHT("00"&amp;VALUE(MID(Sync!$U1868,FIND(":",Sync!$U1868)+1,2)),2),"0000"))))</f>
        <v/>
      </c>
    </row>
    <row r="1873">
      <c r="A1873">
        <f>IF(Sync!$T1869="","",Sync!$T1869)</f>
        <v/>
      </c>
      <c r="B1873">
        <f>IF($A1873="","",IF(ISNUMBER($A1873),IF(AND($A1873&gt;=10000101,$A1873&lt;=99991231),INT($A1873/10000),""),IFERROR(VALUE(TRIM(LEFT($A1873,FIND("/",$A1873)-1))),"")))</f>
        <v/>
      </c>
      <c r="C1873">
        <f>IF(OR($A1873="",$B1873=""),"",IF(ISNUMBER($A1873),INT(MOD($A1873,10000)/100),IFERROR(VALUE(TRIM(LEFT(MID($A1873,FIND("/",$A1873)+1,20),FIND("/",MID($A1873,FIND("/",$A1873)+1,20))-1))),"")))</f>
        <v/>
      </c>
      <c r="D1873">
        <f>IF(OR($A1873="",$B1873=""),"",IF(ISNUMBER($A1873),MOD($A1873,100),IFERROR(VALUE(TRIM(MID(MID($A1873,FIND("/",$A1873)+1,20),FIND("/",MID($A1873,FIND("/",$A1873)+1,20))+1,20))),"")))</f>
        <v/>
      </c>
      <c r="E1873">
        <f>IF($A1873="","",IF(OR($B1873="",$C1873="",$D1873="",$B1873&lt;1300,$B1873&gt;1500,$C1873&lt;1,$C1873&gt;12,$D1873&lt;1,$D1873&gt;31),"نامعتبر",RIGHT("0000"&amp;$B1873,4)&amp;"/"&amp;RIGHT("00"&amp;$C1873,2)&amp;"/"&amp;RIGHT("00"&amp;$D1873,2)))</f>
        <v/>
      </c>
      <c r="F1873">
        <f>IF(OR($E1873="",$E1873="نامعتبر"),"",LEFT($E1873,4)&amp;"/"&amp;MID($E1873,6,2))</f>
        <v/>
      </c>
      <c r="G1873">
        <f>IF(OR($E1873="",$E1873="نامعتبر",Sync!$X1869=""),"",IF(AND(LEFT(UPPER(TRIM(Sync!$X1869)),2)="SL",IFERROR(VLOOKUP(Sync!$W1869,OpTbl,3,0),"")="فروش"),UPPER(TRIM(Sync!$X1869)),""))</f>
        <v/>
      </c>
      <c r="H1873">
        <f>IF($G1873="","",IF(Sync!$W1869="","",Sync!$W1869))</f>
        <v/>
      </c>
      <c r="I1873">
        <f>IF(OR($G1873="",Sync!$Y1869=""),"",Sync!$Y1869)</f>
        <v/>
      </c>
      <c r="J1873">
        <f>IF(OR($G1873="",Sync!$Z1869=""),"",Sync!$Z1869)</f>
        <v/>
      </c>
      <c r="K1873">
        <f>IF($G1873="",0,IF(Sync!$AA1869="",0,Sync!$AA1869))</f>
        <v/>
      </c>
      <c r="L1873">
        <f>IF($G1873="",0,IF(Sync!$AB1869="",0,Sync!$AB1869))</f>
        <v/>
      </c>
      <c r="M1873">
        <f>IF($G1873="","",IF($H1873="مرجوعی فروش",-1,1)*($K1873-$L1873*IFERROR(VLOOKUP("P01",ParamTbl,3,0),1.5)))</f>
        <v/>
      </c>
      <c r="N1873">
        <f>IF($G1873="",0,IF($H1873="مرجوعی فروش",-1,1)*IF(Sync!$AC1869="",0,Sync!$AC1869))</f>
        <v/>
      </c>
      <c r="O1873">
        <f>IF(OR($G1873="",Sync!$V1869=""),"",Sync!$V1869)</f>
        <v/>
      </c>
      <c r="P1873">
        <f>IF(OR($G1873="",Sync!$AD1869=""),"",Sync!$AD1869)</f>
        <v/>
      </c>
      <c r="Q1873">
        <f>IF($G1873="","",IF(Sync!$U1869="","0000",IF(AND(ISNUMBER(Sync!$U1869),Sync!$U1869&gt;=0,Sync!$U1869&lt;1),RIGHT("00"&amp;HOUR(Sync!$U1869),2)&amp;RIGHT("00"&amp;MINUTE(Sync!$U1869),2),IFERROR(RIGHT("00"&amp;VALUE(LEFT(Sync!$U1869,FIND(":",Sync!$U1869)-1)),2)&amp;RIGHT("00"&amp;VALUE(MID(Sync!$U1869,FIND(":",Sync!$U1869)+1,2)),2),"0000"))))</f>
        <v/>
      </c>
    </row>
    <row r="1874">
      <c r="A1874">
        <f>IF(Sync!$T1870="","",Sync!$T1870)</f>
        <v/>
      </c>
      <c r="B1874">
        <f>IF($A1874="","",IF(ISNUMBER($A1874),IF(AND($A1874&gt;=10000101,$A1874&lt;=99991231),INT($A1874/10000),""),IFERROR(VALUE(TRIM(LEFT($A1874,FIND("/",$A1874)-1))),"")))</f>
        <v/>
      </c>
      <c r="C1874">
        <f>IF(OR($A1874="",$B1874=""),"",IF(ISNUMBER($A1874),INT(MOD($A1874,10000)/100),IFERROR(VALUE(TRIM(LEFT(MID($A1874,FIND("/",$A1874)+1,20),FIND("/",MID($A1874,FIND("/",$A1874)+1,20))-1))),"")))</f>
        <v/>
      </c>
      <c r="D1874">
        <f>IF(OR($A1874="",$B1874=""),"",IF(ISNUMBER($A1874),MOD($A1874,100),IFERROR(VALUE(TRIM(MID(MID($A1874,FIND("/",$A1874)+1,20),FIND("/",MID($A1874,FIND("/",$A1874)+1,20))+1,20))),"")))</f>
        <v/>
      </c>
      <c r="E1874">
        <f>IF($A1874="","",IF(OR($B1874="",$C1874="",$D1874="",$B1874&lt;1300,$B1874&gt;1500,$C1874&lt;1,$C1874&gt;12,$D1874&lt;1,$D1874&gt;31),"نامعتبر",RIGHT("0000"&amp;$B1874,4)&amp;"/"&amp;RIGHT("00"&amp;$C1874,2)&amp;"/"&amp;RIGHT("00"&amp;$D1874,2)))</f>
        <v/>
      </c>
      <c r="F1874">
        <f>IF(OR($E1874="",$E1874="نامعتبر"),"",LEFT($E1874,4)&amp;"/"&amp;MID($E1874,6,2))</f>
        <v/>
      </c>
      <c r="G1874">
        <f>IF(OR($E1874="",$E1874="نامعتبر",Sync!$X1870=""),"",IF(AND(LEFT(UPPER(TRIM(Sync!$X1870)),2)="SL",IFERROR(VLOOKUP(Sync!$W1870,OpTbl,3,0),"")="فروش"),UPPER(TRIM(Sync!$X1870)),""))</f>
        <v/>
      </c>
      <c r="H1874">
        <f>IF($G1874="","",IF(Sync!$W1870="","",Sync!$W1870))</f>
        <v/>
      </c>
      <c r="I1874">
        <f>IF(OR($G1874="",Sync!$Y1870=""),"",Sync!$Y1870)</f>
        <v/>
      </c>
      <c r="J1874">
        <f>IF(OR($G1874="",Sync!$Z1870=""),"",Sync!$Z1870)</f>
        <v/>
      </c>
      <c r="K1874">
        <f>IF($G1874="",0,IF(Sync!$AA1870="",0,Sync!$AA1870))</f>
        <v/>
      </c>
      <c r="L1874">
        <f>IF($G1874="",0,IF(Sync!$AB1870="",0,Sync!$AB1870))</f>
        <v/>
      </c>
      <c r="M1874">
        <f>IF($G1874="","",IF($H1874="مرجوعی فروش",-1,1)*($K1874-$L1874*IFERROR(VLOOKUP("P01",ParamTbl,3,0),1.5)))</f>
        <v/>
      </c>
      <c r="N1874">
        <f>IF($G1874="",0,IF($H1874="مرجوعی فروش",-1,1)*IF(Sync!$AC1870="",0,Sync!$AC1870))</f>
        <v/>
      </c>
      <c r="O1874">
        <f>IF(OR($G1874="",Sync!$V1870=""),"",Sync!$V1870)</f>
        <v/>
      </c>
      <c r="P1874">
        <f>IF(OR($G1874="",Sync!$AD1870=""),"",Sync!$AD1870)</f>
        <v/>
      </c>
      <c r="Q1874">
        <f>IF($G1874="","",IF(Sync!$U1870="","0000",IF(AND(ISNUMBER(Sync!$U1870),Sync!$U1870&gt;=0,Sync!$U1870&lt;1),RIGHT("00"&amp;HOUR(Sync!$U1870),2)&amp;RIGHT("00"&amp;MINUTE(Sync!$U1870),2),IFERROR(RIGHT("00"&amp;VALUE(LEFT(Sync!$U1870,FIND(":",Sync!$U1870)-1)),2)&amp;RIGHT("00"&amp;VALUE(MID(Sync!$U1870,FIND(":",Sync!$U1870)+1,2)),2),"0000"))))</f>
        <v/>
      </c>
    </row>
    <row r="1875">
      <c r="A1875">
        <f>IF(Sync!$T1871="","",Sync!$T1871)</f>
        <v/>
      </c>
      <c r="B1875">
        <f>IF($A1875="","",IF(ISNUMBER($A1875),IF(AND($A1875&gt;=10000101,$A1875&lt;=99991231),INT($A1875/10000),""),IFERROR(VALUE(TRIM(LEFT($A1875,FIND("/",$A1875)-1))),"")))</f>
        <v/>
      </c>
      <c r="C1875">
        <f>IF(OR($A1875="",$B1875=""),"",IF(ISNUMBER($A1875),INT(MOD($A1875,10000)/100),IFERROR(VALUE(TRIM(LEFT(MID($A1875,FIND("/",$A1875)+1,20),FIND("/",MID($A1875,FIND("/",$A1875)+1,20))-1))),"")))</f>
        <v/>
      </c>
      <c r="D1875">
        <f>IF(OR($A1875="",$B1875=""),"",IF(ISNUMBER($A1875),MOD($A1875,100),IFERROR(VALUE(TRIM(MID(MID($A1875,FIND("/",$A1875)+1,20),FIND("/",MID($A1875,FIND("/",$A1875)+1,20))+1,20))),"")))</f>
        <v/>
      </c>
      <c r="E1875">
        <f>IF($A1875="","",IF(OR($B1875="",$C1875="",$D1875="",$B1875&lt;1300,$B1875&gt;1500,$C1875&lt;1,$C1875&gt;12,$D1875&lt;1,$D1875&gt;31),"نامعتبر",RIGHT("0000"&amp;$B1875,4)&amp;"/"&amp;RIGHT("00"&amp;$C1875,2)&amp;"/"&amp;RIGHT("00"&amp;$D1875,2)))</f>
        <v/>
      </c>
      <c r="F1875">
        <f>IF(OR($E1875="",$E1875="نامعتبر"),"",LEFT($E1875,4)&amp;"/"&amp;MID($E1875,6,2))</f>
        <v/>
      </c>
      <c r="G1875">
        <f>IF(OR($E1875="",$E1875="نامعتبر",Sync!$X1871=""),"",IF(AND(LEFT(UPPER(TRIM(Sync!$X1871)),2)="SL",IFERROR(VLOOKUP(Sync!$W1871,OpTbl,3,0),"")="فروش"),UPPER(TRIM(Sync!$X1871)),""))</f>
        <v/>
      </c>
      <c r="H1875">
        <f>IF($G1875="","",IF(Sync!$W1871="","",Sync!$W1871))</f>
        <v/>
      </c>
      <c r="I1875">
        <f>IF(OR($G1875="",Sync!$Y1871=""),"",Sync!$Y1871)</f>
        <v/>
      </c>
      <c r="J1875">
        <f>IF(OR($G1875="",Sync!$Z1871=""),"",Sync!$Z1871)</f>
        <v/>
      </c>
      <c r="K1875">
        <f>IF($G1875="",0,IF(Sync!$AA1871="",0,Sync!$AA1871))</f>
        <v/>
      </c>
      <c r="L1875">
        <f>IF($G1875="",0,IF(Sync!$AB1871="",0,Sync!$AB1871))</f>
        <v/>
      </c>
      <c r="M1875">
        <f>IF($G1875="","",IF($H1875="مرجوعی فروش",-1,1)*($K1875-$L1875*IFERROR(VLOOKUP("P01",ParamTbl,3,0),1.5)))</f>
        <v/>
      </c>
      <c r="N1875">
        <f>IF($G1875="",0,IF($H1875="مرجوعی فروش",-1,1)*IF(Sync!$AC1871="",0,Sync!$AC1871))</f>
        <v/>
      </c>
      <c r="O1875">
        <f>IF(OR($G1875="",Sync!$V1871=""),"",Sync!$V1871)</f>
        <v/>
      </c>
      <c r="P1875">
        <f>IF(OR($G1875="",Sync!$AD1871=""),"",Sync!$AD1871)</f>
        <v/>
      </c>
      <c r="Q1875">
        <f>IF($G1875="","",IF(Sync!$U1871="","0000",IF(AND(ISNUMBER(Sync!$U1871),Sync!$U1871&gt;=0,Sync!$U1871&lt;1),RIGHT("00"&amp;HOUR(Sync!$U1871),2)&amp;RIGHT("00"&amp;MINUTE(Sync!$U1871),2),IFERROR(RIGHT("00"&amp;VALUE(LEFT(Sync!$U1871,FIND(":",Sync!$U1871)-1)),2)&amp;RIGHT("00"&amp;VALUE(MID(Sync!$U1871,FIND(":",Sync!$U1871)+1,2)),2),"0000"))))</f>
        <v/>
      </c>
    </row>
    <row r="1876">
      <c r="A1876">
        <f>IF(Sync!$T1872="","",Sync!$T1872)</f>
        <v/>
      </c>
      <c r="B1876">
        <f>IF($A1876="","",IF(ISNUMBER($A1876),IF(AND($A1876&gt;=10000101,$A1876&lt;=99991231),INT($A1876/10000),""),IFERROR(VALUE(TRIM(LEFT($A1876,FIND("/",$A1876)-1))),"")))</f>
        <v/>
      </c>
      <c r="C1876">
        <f>IF(OR($A1876="",$B1876=""),"",IF(ISNUMBER($A1876),INT(MOD($A1876,10000)/100),IFERROR(VALUE(TRIM(LEFT(MID($A1876,FIND("/",$A1876)+1,20),FIND("/",MID($A1876,FIND("/",$A1876)+1,20))-1))),"")))</f>
        <v/>
      </c>
      <c r="D1876">
        <f>IF(OR($A1876="",$B1876=""),"",IF(ISNUMBER($A1876),MOD($A1876,100),IFERROR(VALUE(TRIM(MID(MID($A1876,FIND("/",$A1876)+1,20),FIND("/",MID($A1876,FIND("/",$A1876)+1,20))+1,20))),"")))</f>
        <v/>
      </c>
      <c r="E1876">
        <f>IF($A1876="","",IF(OR($B1876="",$C1876="",$D1876="",$B1876&lt;1300,$B1876&gt;1500,$C1876&lt;1,$C1876&gt;12,$D1876&lt;1,$D1876&gt;31),"نامعتبر",RIGHT("0000"&amp;$B1876,4)&amp;"/"&amp;RIGHT("00"&amp;$C1876,2)&amp;"/"&amp;RIGHT("00"&amp;$D1876,2)))</f>
        <v/>
      </c>
      <c r="F1876">
        <f>IF(OR($E1876="",$E1876="نامعتبر"),"",LEFT($E1876,4)&amp;"/"&amp;MID($E1876,6,2))</f>
        <v/>
      </c>
      <c r="G1876">
        <f>IF(OR($E1876="",$E1876="نامعتبر",Sync!$X1872=""),"",IF(AND(LEFT(UPPER(TRIM(Sync!$X1872)),2)="SL",IFERROR(VLOOKUP(Sync!$W1872,OpTbl,3,0),"")="فروش"),UPPER(TRIM(Sync!$X1872)),""))</f>
        <v/>
      </c>
      <c r="H1876">
        <f>IF($G1876="","",IF(Sync!$W1872="","",Sync!$W1872))</f>
        <v/>
      </c>
      <c r="I1876">
        <f>IF(OR($G1876="",Sync!$Y1872=""),"",Sync!$Y1872)</f>
        <v/>
      </c>
      <c r="J1876">
        <f>IF(OR($G1876="",Sync!$Z1872=""),"",Sync!$Z1872)</f>
        <v/>
      </c>
      <c r="K1876">
        <f>IF($G1876="",0,IF(Sync!$AA1872="",0,Sync!$AA1872))</f>
        <v/>
      </c>
      <c r="L1876">
        <f>IF($G1876="",0,IF(Sync!$AB1872="",0,Sync!$AB1872))</f>
        <v/>
      </c>
      <c r="M1876">
        <f>IF($G1876="","",IF($H1876="مرجوعی فروش",-1,1)*($K1876-$L1876*IFERROR(VLOOKUP("P01",ParamTbl,3,0),1.5)))</f>
        <v/>
      </c>
      <c r="N1876">
        <f>IF($G1876="",0,IF($H1876="مرجوعی فروش",-1,1)*IF(Sync!$AC1872="",0,Sync!$AC1872))</f>
        <v/>
      </c>
      <c r="O1876">
        <f>IF(OR($G1876="",Sync!$V1872=""),"",Sync!$V1872)</f>
        <v/>
      </c>
      <c r="P1876">
        <f>IF(OR($G1876="",Sync!$AD1872=""),"",Sync!$AD1872)</f>
        <v/>
      </c>
      <c r="Q1876">
        <f>IF($G1876="","",IF(Sync!$U1872="","0000",IF(AND(ISNUMBER(Sync!$U1872),Sync!$U1872&gt;=0,Sync!$U1872&lt;1),RIGHT("00"&amp;HOUR(Sync!$U1872),2)&amp;RIGHT("00"&amp;MINUTE(Sync!$U1872),2),IFERROR(RIGHT("00"&amp;VALUE(LEFT(Sync!$U1872,FIND(":",Sync!$U1872)-1)),2)&amp;RIGHT("00"&amp;VALUE(MID(Sync!$U1872,FIND(":",Sync!$U1872)+1,2)),2),"0000"))))</f>
        <v/>
      </c>
    </row>
    <row r="1877">
      <c r="A1877">
        <f>IF(Sync!$T1873="","",Sync!$T1873)</f>
        <v/>
      </c>
      <c r="B1877">
        <f>IF($A1877="","",IF(ISNUMBER($A1877),IF(AND($A1877&gt;=10000101,$A1877&lt;=99991231),INT($A1877/10000),""),IFERROR(VALUE(TRIM(LEFT($A1877,FIND("/",$A1877)-1))),"")))</f>
        <v/>
      </c>
      <c r="C1877">
        <f>IF(OR($A1877="",$B1877=""),"",IF(ISNUMBER($A1877),INT(MOD($A1877,10000)/100),IFERROR(VALUE(TRIM(LEFT(MID($A1877,FIND("/",$A1877)+1,20),FIND("/",MID($A1877,FIND("/",$A1877)+1,20))-1))),"")))</f>
        <v/>
      </c>
      <c r="D1877">
        <f>IF(OR($A1877="",$B1877=""),"",IF(ISNUMBER($A1877),MOD($A1877,100),IFERROR(VALUE(TRIM(MID(MID($A1877,FIND("/",$A1877)+1,20),FIND("/",MID($A1877,FIND("/",$A1877)+1,20))+1,20))),"")))</f>
        <v/>
      </c>
      <c r="E1877">
        <f>IF($A1877="","",IF(OR($B1877="",$C1877="",$D1877="",$B1877&lt;1300,$B1877&gt;1500,$C1877&lt;1,$C1877&gt;12,$D1877&lt;1,$D1877&gt;31),"نامعتبر",RIGHT("0000"&amp;$B1877,4)&amp;"/"&amp;RIGHT("00"&amp;$C1877,2)&amp;"/"&amp;RIGHT("00"&amp;$D1877,2)))</f>
        <v/>
      </c>
      <c r="F1877">
        <f>IF(OR($E1877="",$E1877="نامعتبر"),"",LEFT($E1877,4)&amp;"/"&amp;MID($E1877,6,2))</f>
        <v/>
      </c>
      <c r="G1877">
        <f>IF(OR($E1877="",$E1877="نامعتبر",Sync!$X1873=""),"",IF(AND(LEFT(UPPER(TRIM(Sync!$X1873)),2)="SL",IFERROR(VLOOKUP(Sync!$W1873,OpTbl,3,0),"")="فروش"),UPPER(TRIM(Sync!$X1873)),""))</f>
        <v/>
      </c>
      <c r="H1877">
        <f>IF($G1877="","",IF(Sync!$W1873="","",Sync!$W1873))</f>
        <v/>
      </c>
      <c r="I1877">
        <f>IF(OR($G1877="",Sync!$Y1873=""),"",Sync!$Y1873)</f>
        <v/>
      </c>
      <c r="J1877">
        <f>IF(OR($G1877="",Sync!$Z1873=""),"",Sync!$Z1873)</f>
        <v/>
      </c>
      <c r="K1877">
        <f>IF($G1877="",0,IF(Sync!$AA1873="",0,Sync!$AA1873))</f>
        <v/>
      </c>
      <c r="L1877">
        <f>IF($G1877="",0,IF(Sync!$AB1873="",0,Sync!$AB1873))</f>
        <v/>
      </c>
      <c r="M1877">
        <f>IF($G1877="","",IF($H1877="مرجوعی فروش",-1,1)*($K1877-$L1877*IFERROR(VLOOKUP("P01",ParamTbl,3,0),1.5)))</f>
        <v/>
      </c>
      <c r="N1877">
        <f>IF($G1877="",0,IF($H1877="مرجوعی فروش",-1,1)*IF(Sync!$AC1873="",0,Sync!$AC1873))</f>
        <v/>
      </c>
      <c r="O1877">
        <f>IF(OR($G1877="",Sync!$V1873=""),"",Sync!$V1873)</f>
        <v/>
      </c>
      <c r="P1877">
        <f>IF(OR($G1877="",Sync!$AD1873=""),"",Sync!$AD1873)</f>
        <v/>
      </c>
      <c r="Q1877">
        <f>IF($G1877="","",IF(Sync!$U1873="","0000",IF(AND(ISNUMBER(Sync!$U1873),Sync!$U1873&gt;=0,Sync!$U1873&lt;1),RIGHT("00"&amp;HOUR(Sync!$U1873),2)&amp;RIGHT("00"&amp;MINUTE(Sync!$U1873),2),IFERROR(RIGHT("00"&amp;VALUE(LEFT(Sync!$U1873,FIND(":",Sync!$U1873)-1)),2)&amp;RIGHT("00"&amp;VALUE(MID(Sync!$U1873,FIND(":",Sync!$U1873)+1,2)),2),"0000"))))</f>
        <v/>
      </c>
    </row>
    <row r="1878">
      <c r="A1878">
        <f>IF(Sync!$T1874="","",Sync!$T1874)</f>
        <v/>
      </c>
      <c r="B1878">
        <f>IF($A1878="","",IF(ISNUMBER($A1878),IF(AND($A1878&gt;=10000101,$A1878&lt;=99991231),INT($A1878/10000),""),IFERROR(VALUE(TRIM(LEFT($A1878,FIND("/",$A1878)-1))),"")))</f>
        <v/>
      </c>
      <c r="C1878">
        <f>IF(OR($A1878="",$B1878=""),"",IF(ISNUMBER($A1878),INT(MOD($A1878,10000)/100),IFERROR(VALUE(TRIM(LEFT(MID($A1878,FIND("/",$A1878)+1,20),FIND("/",MID($A1878,FIND("/",$A1878)+1,20))-1))),"")))</f>
        <v/>
      </c>
      <c r="D1878">
        <f>IF(OR($A1878="",$B1878=""),"",IF(ISNUMBER($A1878),MOD($A1878,100),IFERROR(VALUE(TRIM(MID(MID($A1878,FIND("/",$A1878)+1,20),FIND("/",MID($A1878,FIND("/",$A1878)+1,20))+1,20))),"")))</f>
        <v/>
      </c>
      <c r="E1878">
        <f>IF($A1878="","",IF(OR($B1878="",$C1878="",$D1878="",$B1878&lt;1300,$B1878&gt;1500,$C1878&lt;1,$C1878&gt;12,$D1878&lt;1,$D1878&gt;31),"نامعتبر",RIGHT("0000"&amp;$B1878,4)&amp;"/"&amp;RIGHT("00"&amp;$C1878,2)&amp;"/"&amp;RIGHT("00"&amp;$D1878,2)))</f>
        <v/>
      </c>
      <c r="F1878">
        <f>IF(OR($E1878="",$E1878="نامعتبر"),"",LEFT($E1878,4)&amp;"/"&amp;MID($E1878,6,2))</f>
        <v/>
      </c>
      <c r="G1878">
        <f>IF(OR($E1878="",$E1878="نامعتبر",Sync!$X1874=""),"",IF(AND(LEFT(UPPER(TRIM(Sync!$X1874)),2)="SL",IFERROR(VLOOKUP(Sync!$W1874,OpTbl,3,0),"")="فروش"),UPPER(TRIM(Sync!$X1874)),""))</f>
        <v/>
      </c>
      <c r="H1878">
        <f>IF($G1878="","",IF(Sync!$W1874="","",Sync!$W1874))</f>
        <v/>
      </c>
      <c r="I1878">
        <f>IF(OR($G1878="",Sync!$Y1874=""),"",Sync!$Y1874)</f>
        <v/>
      </c>
      <c r="J1878">
        <f>IF(OR($G1878="",Sync!$Z1874=""),"",Sync!$Z1874)</f>
        <v/>
      </c>
      <c r="K1878">
        <f>IF($G1878="",0,IF(Sync!$AA1874="",0,Sync!$AA1874))</f>
        <v/>
      </c>
      <c r="L1878">
        <f>IF($G1878="",0,IF(Sync!$AB1874="",0,Sync!$AB1874))</f>
        <v/>
      </c>
      <c r="M1878">
        <f>IF($G1878="","",IF($H1878="مرجوعی فروش",-1,1)*($K1878-$L1878*IFERROR(VLOOKUP("P01",ParamTbl,3,0),1.5)))</f>
        <v/>
      </c>
      <c r="N1878">
        <f>IF($G1878="",0,IF($H1878="مرجوعی فروش",-1,1)*IF(Sync!$AC1874="",0,Sync!$AC1874))</f>
        <v/>
      </c>
      <c r="O1878">
        <f>IF(OR($G1878="",Sync!$V1874=""),"",Sync!$V1874)</f>
        <v/>
      </c>
      <c r="P1878">
        <f>IF(OR($G1878="",Sync!$AD1874=""),"",Sync!$AD1874)</f>
        <v/>
      </c>
      <c r="Q1878">
        <f>IF($G1878="","",IF(Sync!$U1874="","0000",IF(AND(ISNUMBER(Sync!$U1874),Sync!$U1874&gt;=0,Sync!$U1874&lt;1),RIGHT("00"&amp;HOUR(Sync!$U1874),2)&amp;RIGHT("00"&amp;MINUTE(Sync!$U1874),2),IFERROR(RIGHT("00"&amp;VALUE(LEFT(Sync!$U1874,FIND(":",Sync!$U1874)-1)),2)&amp;RIGHT("00"&amp;VALUE(MID(Sync!$U1874,FIND(":",Sync!$U1874)+1,2)),2),"0000"))))</f>
        <v/>
      </c>
    </row>
    <row r="1879">
      <c r="A1879">
        <f>IF(Sync!$T1875="","",Sync!$T1875)</f>
        <v/>
      </c>
      <c r="B1879">
        <f>IF($A1879="","",IF(ISNUMBER($A1879),IF(AND($A1879&gt;=10000101,$A1879&lt;=99991231),INT($A1879/10000),""),IFERROR(VALUE(TRIM(LEFT($A1879,FIND("/",$A1879)-1))),"")))</f>
        <v/>
      </c>
      <c r="C1879">
        <f>IF(OR($A1879="",$B1879=""),"",IF(ISNUMBER($A1879),INT(MOD($A1879,10000)/100),IFERROR(VALUE(TRIM(LEFT(MID($A1879,FIND("/",$A1879)+1,20),FIND("/",MID($A1879,FIND("/",$A1879)+1,20))-1))),"")))</f>
        <v/>
      </c>
      <c r="D1879">
        <f>IF(OR($A1879="",$B1879=""),"",IF(ISNUMBER($A1879),MOD($A1879,100),IFERROR(VALUE(TRIM(MID(MID($A1879,FIND("/",$A1879)+1,20),FIND("/",MID($A1879,FIND("/",$A1879)+1,20))+1,20))),"")))</f>
        <v/>
      </c>
      <c r="E1879">
        <f>IF($A1879="","",IF(OR($B1879="",$C1879="",$D1879="",$B1879&lt;1300,$B1879&gt;1500,$C1879&lt;1,$C1879&gt;12,$D1879&lt;1,$D1879&gt;31),"نامعتبر",RIGHT("0000"&amp;$B1879,4)&amp;"/"&amp;RIGHT("00"&amp;$C1879,2)&amp;"/"&amp;RIGHT("00"&amp;$D1879,2)))</f>
        <v/>
      </c>
      <c r="F1879">
        <f>IF(OR($E1879="",$E1879="نامعتبر"),"",LEFT($E1879,4)&amp;"/"&amp;MID($E1879,6,2))</f>
        <v/>
      </c>
      <c r="G1879">
        <f>IF(OR($E1879="",$E1879="نامعتبر",Sync!$X1875=""),"",IF(AND(LEFT(UPPER(TRIM(Sync!$X1875)),2)="SL",IFERROR(VLOOKUP(Sync!$W1875,OpTbl,3,0),"")="فروش"),UPPER(TRIM(Sync!$X1875)),""))</f>
        <v/>
      </c>
      <c r="H1879">
        <f>IF($G1879="","",IF(Sync!$W1875="","",Sync!$W1875))</f>
        <v/>
      </c>
      <c r="I1879">
        <f>IF(OR($G1879="",Sync!$Y1875=""),"",Sync!$Y1875)</f>
        <v/>
      </c>
      <c r="J1879">
        <f>IF(OR($G1879="",Sync!$Z1875=""),"",Sync!$Z1875)</f>
        <v/>
      </c>
      <c r="K1879">
        <f>IF($G1879="",0,IF(Sync!$AA1875="",0,Sync!$AA1875))</f>
        <v/>
      </c>
      <c r="L1879">
        <f>IF($G1879="",0,IF(Sync!$AB1875="",0,Sync!$AB1875))</f>
        <v/>
      </c>
      <c r="M1879">
        <f>IF($G1879="","",IF($H1879="مرجوعی فروش",-1,1)*($K1879-$L1879*IFERROR(VLOOKUP("P01",ParamTbl,3,0),1.5)))</f>
        <v/>
      </c>
      <c r="N1879">
        <f>IF($G1879="",0,IF($H1879="مرجوعی فروش",-1,1)*IF(Sync!$AC1875="",0,Sync!$AC1875))</f>
        <v/>
      </c>
      <c r="O1879">
        <f>IF(OR($G1879="",Sync!$V1875=""),"",Sync!$V1875)</f>
        <v/>
      </c>
      <c r="P1879">
        <f>IF(OR($G1879="",Sync!$AD1875=""),"",Sync!$AD1875)</f>
        <v/>
      </c>
      <c r="Q1879">
        <f>IF($G1879="","",IF(Sync!$U1875="","0000",IF(AND(ISNUMBER(Sync!$U1875),Sync!$U1875&gt;=0,Sync!$U1875&lt;1),RIGHT("00"&amp;HOUR(Sync!$U1875),2)&amp;RIGHT("00"&amp;MINUTE(Sync!$U1875),2),IFERROR(RIGHT("00"&amp;VALUE(LEFT(Sync!$U1875,FIND(":",Sync!$U1875)-1)),2)&amp;RIGHT("00"&amp;VALUE(MID(Sync!$U1875,FIND(":",Sync!$U1875)+1,2)),2),"0000"))))</f>
        <v/>
      </c>
    </row>
    <row r="1880">
      <c r="A1880">
        <f>IF(Sync!$T1876="","",Sync!$T1876)</f>
        <v/>
      </c>
      <c r="B1880">
        <f>IF($A1880="","",IF(ISNUMBER($A1880),IF(AND($A1880&gt;=10000101,$A1880&lt;=99991231),INT($A1880/10000),""),IFERROR(VALUE(TRIM(LEFT($A1880,FIND("/",$A1880)-1))),"")))</f>
        <v/>
      </c>
      <c r="C1880">
        <f>IF(OR($A1880="",$B1880=""),"",IF(ISNUMBER($A1880),INT(MOD($A1880,10000)/100),IFERROR(VALUE(TRIM(LEFT(MID($A1880,FIND("/",$A1880)+1,20),FIND("/",MID($A1880,FIND("/",$A1880)+1,20))-1))),"")))</f>
        <v/>
      </c>
      <c r="D1880">
        <f>IF(OR($A1880="",$B1880=""),"",IF(ISNUMBER($A1880),MOD($A1880,100),IFERROR(VALUE(TRIM(MID(MID($A1880,FIND("/",$A1880)+1,20),FIND("/",MID($A1880,FIND("/",$A1880)+1,20))+1,20))),"")))</f>
        <v/>
      </c>
      <c r="E1880">
        <f>IF($A1880="","",IF(OR($B1880="",$C1880="",$D1880="",$B1880&lt;1300,$B1880&gt;1500,$C1880&lt;1,$C1880&gt;12,$D1880&lt;1,$D1880&gt;31),"نامعتبر",RIGHT("0000"&amp;$B1880,4)&amp;"/"&amp;RIGHT("00"&amp;$C1880,2)&amp;"/"&amp;RIGHT("00"&amp;$D1880,2)))</f>
        <v/>
      </c>
      <c r="F1880">
        <f>IF(OR($E1880="",$E1880="نامعتبر"),"",LEFT($E1880,4)&amp;"/"&amp;MID($E1880,6,2))</f>
        <v/>
      </c>
      <c r="G1880">
        <f>IF(OR($E1880="",$E1880="نامعتبر",Sync!$X1876=""),"",IF(AND(LEFT(UPPER(TRIM(Sync!$X1876)),2)="SL",IFERROR(VLOOKUP(Sync!$W1876,OpTbl,3,0),"")="فروش"),UPPER(TRIM(Sync!$X1876)),""))</f>
        <v/>
      </c>
      <c r="H1880">
        <f>IF($G1880="","",IF(Sync!$W1876="","",Sync!$W1876))</f>
        <v/>
      </c>
      <c r="I1880">
        <f>IF(OR($G1880="",Sync!$Y1876=""),"",Sync!$Y1876)</f>
        <v/>
      </c>
      <c r="J1880">
        <f>IF(OR($G1880="",Sync!$Z1876=""),"",Sync!$Z1876)</f>
        <v/>
      </c>
      <c r="K1880">
        <f>IF($G1880="",0,IF(Sync!$AA1876="",0,Sync!$AA1876))</f>
        <v/>
      </c>
      <c r="L1880">
        <f>IF($G1880="",0,IF(Sync!$AB1876="",0,Sync!$AB1876))</f>
        <v/>
      </c>
      <c r="M1880">
        <f>IF($G1880="","",IF($H1880="مرجوعی فروش",-1,1)*($K1880-$L1880*IFERROR(VLOOKUP("P01",ParamTbl,3,0),1.5)))</f>
        <v/>
      </c>
      <c r="N1880">
        <f>IF($G1880="",0,IF($H1880="مرجوعی فروش",-1,1)*IF(Sync!$AC1876="",0,Sync!$AC1876))</f>
        <v/>
      </c>
      <c r="O1880">
        <f>IF(OR($G1880="",Sync!$V1876=""),"",Sync!$V1876)</f>
        <v/>
      </c>
      <c r="P1880">
        <f>IF(OR($G1880="",Sync!$AD1876=""),"",Sync!$AD1876)</f>
        <v/>
      </c>
      <c r="Q1880">
        <f>IF($G1880="","",IF(Sync!$U1876="","0000",IF(AND(ISNUMBER(Sync!$U1876),Sync!$U1876&gt;=0,Sync!$U1876&lt;1),RIGHT("00"&amp;HOUR(Sync!$U1876),2)&amp;RIGHT("00"&amp;MINUTE(Sync!$U1876),2),IFERROR(RIGHT("00"&amp;VALUE(LEFT(Sync!$U1876,FIND(":",Sync!$U1876)-1)),2)&amp;RIGHT("00"&amp;VALUE(MID(Sync!$U1876,FIND(":",Sync!$U1876)+1,2)),2),"0000"))))</f>
        <v/>
      </c>
    </row>
    <row r="1881">
      <c r="A1881">
        <f>IF(Sync!$T1877="","",Sync!$T1877)</f>
        <v/>
      </c>
      <c r="B1881">
        <f>IF($A1881="","",IF(ISNUMBER($A1881),IF(AND($A1881&gt;=10000101,$A1881&lt;=99991231),INT($A1881/10000),""),IFERROR(VALUE(TRIM(LEFT($A1881,FIND("/",$A1881)-1))),"")))</f>
        <v/>
      </c>
      <c r="C1881">
        <f>IF(OR($A1881="",$B1881=""),"",IF(ISNUMBER($A1881),INT(MOD($A1881,10000)/100),IFERROR(VALUE(TRIM(LEFT(MID($A1881,FIND("/",$A1881)+1,20),FIND("/",MID($A1881,FIND("/",$A1881)+1,20))-1))),"")))</f>
        <v/>
      </c>
      <c r="D1881">
        <f>IF(OR($A1881="",$B1881=""),"",IF(ISNUMBER($A1881),MOD($A1881,100),IFERROR(VALUE(TRIM(MID(MID($A1881,FIND("/",$A1881)+1,20),FIND("/",MID($A1881,FIND("/",$A1881)+1,20))+1,20))),"")))</f>
        <v/>
      </c>
      <c r="E1881">
        <f>IF($A1881="","",IF(OR($B1881="",$C1881="",$D1881="",$B1881&lt;1300,$B1881&gt;1500,$C1881&lt;1,$C1881&gt;12,$D1881&lt;1,$D1881&gt;31),"نامعتبر",RIGHT("0000"&amp;$B1881,4)&amp;"/"&amp;RIGHT("00"&amp;$C1881,2)&amp;"/"&amp;RIGHT("00"&amp;$D1881,2)))</f>
        <v/>
      </c>
      <c r="F1881">
        <f>IF(OR($E1881="",$E1881="نامعتبر"),"",LEFT($E1881,4)&amp;"/"&amp;MID($E1881,6,2))</f>
        <v/>
      </c>
      <c r="G1881">
        <f>IF(OR($E1881="",$E1881="نامعتبر",Sync!$X1877=""),"",IF(AND(LEFT(UPPER(TRIM(Sync!$X1877)),2)="SL",IFERROR(VLOOKUP(Sync!$W1877,OpTbl,3,0),"")="فروش"),UPPER(TRIM(Sync!$X1877)),""))</f>
        <v/>
      </c>
      <c r="H1881">
        <f>IF($G1881="","",IF(Sync!$W1877="","",Sync!$W1877))</f>
        <v/>
      </c>
      <c r="I1881">
        <f>IF(OR($G1881="",Sync!$Y1877=""),"",Sync!$Y1877)</f>
        <v/>
      </c>
      <c r="J1881">
        <f>IF(OR($G1881="",Sync!$Z1877=""),"",Sync!$Z1877)</f>
        <v/>
      </c>
      <c r="K1881">
        <f>IF($G1881="",0,IF(Sync!$AA1877="",0,Sync!$AA1877))</f>
        <v/>
      </c>
      <c r="L1881">
        <f>IF($G1881="",0,IF(Sync!$AB1877="",0,Sync!$AB1877))</f>
        <v/>
      </c>
      <c r="M1881">
        <f>IF($G1881="","",IF($H1881="مرجوعی فروش",-1,1)*($K1881-$L1881*IFERROR(VLOOKUP("P01",ParamTbl,3,0),1.5)))</f>
        <v/>
      </c>
      <c r="N1881">
        <f>IF($G1881="",0,IF($H1881="مرجوعی فروش",-1,1)*IF(Sync!$AC1877="",0,Sync!$AC1877))</f>
        <v/>
      </c>
      <c r="O1881">
        <f>IF(OR($G1881="",Sync!$V1877=""),"",Sync!$V1877)</f>
        <v/>
      </c>
      <c r="P1881">
        <f>IF(OR($G1881="",Sync!$AD1877=""),"",Sync!$AD1877)</f>
        <v/>
      </c>
      <c r="Q1881">
        <f>IF($G1881="","",IF(Sync!$U1877="","0000",IF(AND(ISNUMBER(Sync!$U1877),Sync!$U1877&gt;=0,Sync!$U1877&lt;1),RIGHT("00"&amp;HOUR(Sync!$U1877),2)&amp;RIGHT("00"&amp;MINUTE(Sync!$U1877),2),IFERROR(RIGHT("00"&amp;VALUE(LEFT(Sync!$U1877,FIND(":",Sync!$U1877)-1)),2)&amp;RIGHT("00"&amp;VALUE(MID(Sync!$U1877,FIND(":",Sync!$U1877)+1,2)),2),"0000"))))</f>
        <v/>
      </c>
    </row>
    <row r="1882">
      <c r="A1882">
        <f>IF(Sync!$T1878="","",Sync!$T1878)</f>
        <v/>
      </c>
      <c r="B1882">
        <f>IF($A1882="","",IF(ISNUMBER($A1882),IF(AND($A1882&gt;=10000101,$A1882&lt;=99991231),INT($A1882/10000),""),IFERROR(VALUE(TRIM(LEFT($A1882,FIND("/",$A1882)-1))),"")))</f>
        <v/>
      </c>
      <c r="C1882">
        <f>IF(OR($A1882="",$B1882=""),"",IF(ISNUMBER($A1882),INT(MOD($A1882,10000)/100),IFERROR(VALUE(TRIM(LEFT(MID($A1882,FIND("/",$A1882)+1,20),FIND("/",MID($A1882,FIND("/",$A1882)+1,20))-1))),"")))</f>
        <v/>
      </c>
      <c r="D1882">
        <f>IF(OR($A1882="",$B1882=""),"",IF(ISNUMBER($A1882),MOD($A1882,100),IFERROR(VALUE(TRIM(MID(MID($A1882,FIND("/",$A1882)+1,20),FIND("/",MID($A1882,FIND("/",$A1882)+1,20))+1,20))),"")))</f>
        <v/>
      </c>
      <c r="E1882">
        <f>IF($A1882="","",IF(OR($B1882="",$C1882="",$D1882="",$B1882&lt;1300,$B1882&gt;1500,$C1882&lt;1,$C1882&gt;12,$D1882&lt;1,$D1882&gt;31),"نامعتبر",RIGHT("0000"&amp;$B1882,4)&amp;"/"&amp;RIGHT("00"&amp;$C1882,2)&amp;"/"&amp;RIGHT("00"&amp;$D1882,2)))</f>
        <v/>
      </c>
      <c r="F1882">
        <f>IF(OR($E1882="",$E1882="نامعتبر"),"",LEFT($E1882,4)&amp;"/"&amp;MID($E1882,6,2))</f>
        <v/>
      </c>
      <c r="G1882">
        <f>IF(OR($E1882="",$E1882="نامعتبر",Sync!$X1878=""),"",IF(AND(LEFT(UPPER(TRIM(Sync!$X1878)),2)="SL",IFERROR(VLOOKUP(Sync!$W1878,OpTbl,3,0),"")="فروش"),UPPER(TRIM(Sync!$X1878)),""))</f>
        <v/>
      </c>
      <c r="H1882">
        <f>IF($G1882="","",IF(Sync!$W1878="","",Sync!$W1878))</f>
        <v/>
      </c>
      <c r="I1882">
        <f>IF(OR($G1882="",Sync!$Y1878=""),"",Sync!$Y1878)</f>
        <v/>
      </c>
      <c r="J1882">
        <f>IF(OR($G1882="",Sync!$Z1878=""),"",Sync!$Z1878)</f>
        <v/>
      </c>
      <c r="K1882">
        <f>IF($G1882="",0,IF(Sync!$AA1878="",0,Sync!$AA1878))</f>
        <v/>
      </c>
      <c r="L1882">
        <f>IF($G1882="",0,IF(Sync!$AB1878="",0,Sync!$AB1878))</f>
        <v/>
      </c>
      <c r="M1882">
        <f>IF($G1882="","",IF($H1882="مرجوعی فروش",-1,1)*($K1882-$L1882*IFERROR(VLOOKUP("P01",ParamTbl,3,0),1.5)))</f>
        <v/>
      </c>
      <c r="N1882">
        <f>IF($G1882="",0,IF($H1882="مرجوعی فروش",-1,1)*IF(Sync!$AC1878="",0,Sync!$AC1878))</f>
        <v/>
      </c>
      <c r="O1882">
        <f>IF(OR($G1882="",Sync!$V1878=""),"",Sync!$V1878)</f>
        <v/>
      </c>
      <c r="P1882">
        <f>IF(OR($G1882="",Sync!$AD1878=""),"",Sync!$AD1878)</f>
        <v/>
      </c>
      <c r="Q1882">
        <f>IF($G1882="","",IF(Sync!$U1878="","0000",IF(AND(ISNUMBER(Sync!$U1878),Sync!$U1878&gt;=0,Sync!$U1878&lt;1),RIGHT("00"&amp;HOUR(Sync!$U1878),2)&amp;RIGHT("00"&amp;MINUTE(Sync!$U1878),2),IFERROR(RIGHT("00"&amp;VALUE(LEFT(Sync!$U1878,FIND(":",Sync!$U1878)-1)),2)&amp;RIGHT("00"&amp;VALUE(MID(Sync!$U1878,FIND(":",Sync!$U1878)+1,2)),2),"0000"))))</f>
        <v/>
      </c>
    </row>
    <row r="1883">
      <c r="A1883">
        <f>IF(Sync!$T1879="","",Sync!$T1879)</f>
        <v/>
      </c>
      <c r="B1883">
        <f>IF($A1883="","",IF(ISNUMBER($A1883),IF(AND($A1883&gt;=10000101,$A1883&lt;=99991231),INT($A1883/10000),""),IFERROR(VALUE(TRIM(LEFT($A1883,FIND("/",$A1883)-1))),"")))</f>
        <v/>
      </c>
      <c r="C1883">
        <f>IF(OR($A1883="",$B1883=""),"",IF(ISNUMBER($A1883),INT(MOD($A1883,10000)/100),IFERROR(VALUE(TRIM(LEFT(MID($A1883,FIND("/",$A1883)+1,20),FIND("/",MID($A1883,FIND("/",$A1883)+1,20))-1))),"")))</f>
        <v/>
      </c>
      <c r="D1883">
        <f>IF(OR($A1883="",$B1883=""),"",IF(ISNUMBER($A1883),MOD($A1883,100),IFERROR(VALUE(TRIM(MID(MID($A1883,FIND("/",$A1883)+1,20),FIND("/",MID($A1883,FIND("/",$A1883)+1,20))+1,20))),"")))</f>
        <v/>
      </c>
      <c r="E1883">
        <f>IF($A1883="","",IF(OR($B1883="",$C1883="",$D1883="",$B1883&lt;1300,$B1883&gt;1500,$C1883&lt;1,$C1883&gt;12,$D1883&lt;1,$D1883&gt;31),"نامعتبر",RIGHT("0000"&amp;$B1883,4)&amp;"/"&amp;RIGHT("00"&amp;$C1883,2)&amp;"/"&amp;RIGHT("00"&amp;$D1883,2)))</f>
        <v/>
      </c>
      <c r="F1883">
        <f>IF(OR($E1883="",$E1883="نامعتبر"),"",LEFT($E1883,4)&amp;"/"&amp;MID($E1883,6,2))</f>
        <v/>
      </c>
      <c r="G1883">
        <f>IF(OR($E1883="",$E1883="نامعتبر",Sync!$X1879=""),"",IF(AND(LEFT(UPPER(TRIM(Sync!$X1879)),2)="SL",IFERROR(VLOOKUP(Sync!$W1879,OpTbl,3,0),"")="فروش"),UPPER(TRIM(Sync!$X1879)),""))</f>
        <v/>
      </c>
      <c r="H1883">
        <f>IF($G1883="","",IF(Sync!$W1879="","",Sync!$W1879))</f>
        <v/>
      </c>
      <c r="I1883">
        <f>IF(OR($G1883="",Sync!$Y1879=""),"",Sync!$Y1879)</f>
        <v/>
      </c>
      <c r="J1883">
        <f>IF(OR($G1883="",Sync!$Z1879=""),"",Sync!$Z1879)</f>
        <v/>
      </c>
      <c r="K1883">
        <f>IF($G1883="",0,IF(Sync!$AA1879="",0,Sync!$AA1879))</f>
        <v/>
      </c>
      <c r="L1883">
        <f>IF($G1883="",0,IF(Sync!$AB1879="",0,Sync!$AB1879))</f>
        <v/>
      </c>
      <c r="M1883">
        <f>IF($G1883="","",IF($H1883="مرجوعی فروش",-1,1)*($K1883-$L1883*IFERROR(VLOOKUP("P01",ParamTbl,3,0),1.5)))</f>
        <v/>
      </c>
      <c r="N1883">
        <f>IF($G1883="",0,IF($H1883="مرجوعی فروش",-1,1)*IF(Sync!$AC1879="",0,Sync!$AC1879))</f>
        <v/>
      </c>
      <c r="O1883">
        <f>IF(OR($G1883="",Sync!$V1879=""),"",Sync!$V1879)</f>
        <v/>
      </c>
      <c r="P1883">
        <f>IF(OR($G1883="",Sync!$AD1879=""),"",Sync!$AD1879)</f>
        <v/>
      </c>
      <c r="Q1883">
        <f>IF($G1883="","",IF(Sync!$U1879="","0000",IF(AND(ISNUMBER(Sync!$U1879),Sync!$U1879&gt;=0,Sync!$U1879&lt;1),RIGHT("00"&amp;HOUR(Sync!$U1879),2)&amp;RIGHT("00"&amp;MINUTE(Sync!$U1879),2),IFERROR(RIGHT("00"&amp;VALUE(LEFT(Sync!$U1879,FIND(":",Sync!$U1879)-1)),2)&amp;RIGHT("00"&amp;VALUE(MID(Sync!$U1879,FIND(":",Sync!$U1879)+1,2)),2),"0000"))))</f>
        <v/>
      </c>
    </row>
    <row r="1884">
      <c r="A1884">
        <f>IF(Sync!$T1880="","",Sync!$T1880)</f>
        <v/>
      </c>
      <c r="B1884">
        <f>IF($A1884="","",IF(ISNUMBER($A1884),IF(AND($A1884&gt;=10000101,$A1884&lt;=99991231),INT($A1884/10000),""),IFERROR(VALUE(TRIM(LEFT($A1884,FIND("/",$A1884)-1))),"")))</f>
        <v/>
      </c>
      <c r="C1884">
        <f>IF(OR($A1884="",$B1884=""),"",IF(ISNUMBER($A1884),INT(MOD($A1884,10000)/100),IFERROR(VALUE(TRIM(LEFT(MID($A1884,FIND("/",$A1884)+1,20),FIND("/",MID($A1884,FIND("/",$A1884)+1,20))-1))),"")))</f>
        <v/>
      </c>
      <c r="D1884">
        <f>IF(OR($A1884="",$B1884=""),"",IF(ISNUMBER($A1884),MOD($A1884,100),IFERROR(VALUE(TRIM(MID(MID($A1884,FIND("/",$A1884)+1,20),FIND("/",MID($A1884,FIND("/",$A1884)+1,20))+1,20))),"")))</f>
        <v/>
      </c>
      <c r="E1884">
        <f>IF($A1884="","",IF(OR($B1884="",$C1884="",$D1884="",$B1884&lt;1300,$B1884&gt;1500,$C1884&lt;1,$C1884&gt;12,$D1884&lt;1,$D1884&gt;31),"نامعتبر",RIGHT("0000"&amp;$B1884,4)&amp;"/"&amp;RIGHT("00"&amp;$C1884,2)&amp;"/"&amp;RIGHT("00"&amp;$D1884,2)))</f>
        <v/>
      </c>
      <c r="F1884">
        <f>IF(OR($E1884="",$E1884="نامعتبر"),"",LEFT($E1884,4)&amp;"/"&amp;MID($E1884,6,2))</f>
        <v/>
      </c>
      <c r="G1884">
        <f>IF(OR($E1884="",$E1884="نامعتبر",Sync!$X1880=""),"",IF(AND(LEFT(UPPER(TRIM(Sync!$X1880)),2)="SL",IFERROR(VLOOKUP(Sync!$W1880,OpTbl,3,0),"")="فروش"),UPPER(TRIM(Sync!$X1880)),""))</f>
        <v/>
      </c>
      <c r="H1884">
        <f>IF($G1884="","",IF(Sync!$W1880="","",Sync!$W1880))</f>
        <v/>
      </c>
      <c r="I1884">
        <f>IF(OR($G1884="",Sync!$Y1880=""),"",Sync!$Y1880)</f>
        <v/>
      </c>
      <c r="J1884">
        <f>IF(OR($G1884="",Sync!$Z1880=""),"",Sync!$Z1880)</f>
        <v/>
      </c>
      <c r="K1884">
        <f>IF($G1884="",0,IF(Sync!$AA1880="",0,Sync!$AA1880))</f>
        <v/>
      </c>
      <c r="L1884">
        <f>IF($G1884="",0,IF(Sync!$AB1880="",0,Sync!$AB1880))</f>
        <v/>
      </c>
      <c r="M1884">
        <f>IF($G1884="","",IF($H1884="مرجوعی فروش",-1,1)*($K1884-$L1884*IFERROR(VLOOKUP("P01",ParamTbl,3,0),1.5)))</f>
        <v/>
      </c>
      <c r="N1884">
        <f>IF($G1884="",0,IF($H1884="مرجوعی فروش",-1,1)*IF(Sync!$AC1880="",0,Sync!$AC1880))</f>
        <v/>
      </c>
      <c r="O1884">
        <f>IF(OR($G1884="",Sync!$V1880=""),"",Sync!$V1880)</f>
        <v/>
      </c>
      <c r="P1884">
        <f>IF(OR($G1884="",Sync!$AD1880=""),"",Sync!$AD1880)</f>
        <v/>
      </c>
      <c r="Q1884">
        <f>IF($G1884="","",IF(Sync!$U1880="","0000",IF(AND(ISNUMBER(Sync!$U1880),Sync!$U1880&gt;=0,Sync!$U1880&lt;1),RIGHT("00"&amp;HOUR(Sync!$U1880),2)&amp;RIGHT("00"&amp;MINUTE(Sync!$U1880),2),IFERROR(RIGHT("00"&amp;VALUE(LEFT(Sync!$U1880,FIND(":",Sync!$U1880)-1)),2)&amp;RIGHT("00"&amp;VALUE(MID(Sync!$U1880,FIND(":",Sync!$U1880)+1,2)),2),"0000"))))</f>
        <v/>
      </c>
    </row>
    <row r="1885">
      <c r="A1885">
        <f>IF(Sync!$T1881="","",Sync!$T1881)</f>
        <v/>
      </c>
      <c r="B1885">
        <f>IF($A1885="","",IF(ISNUMBER($A1885),IF(AND($A1885&gt;=10000101,$A1885&lt;=99991231),INT($A1885/10000),""),IFERROR(VALUE(TRIM(LEFT($A1885,FIND("/",$A1885)-1))),"")))</f>
        <v/>
      </c>
      <c r="C1885">
        <f>IF(OR($A1885="",$B1885=""),"",IF(ISNUMBER($A1885),INT(MOD($A1885,10000)/100),IFERROR(VALUE(TRIM(LEFT(MID($A1885,FIND("/",$A1885)+1,20),FIND("/",MID($A1885,FIND("/",$A1885)+1,20))-1))),"")))</f>
        <v/>
      </c>
      <c r="D1885">
        <f>IF(OR($A1885="",$B1885=""),"",IF(ISNUMBER($A1885),MOD($A1885,100),IFERROR(VALUE(TRIM(MID(MID($A1885,FIND("/",$A1885)+1,20),FIND("/",MID($A1885,FIND("/",$A1885)+1,20))+1,20))),"")))</f>
        <v/>
      </c>
      <c r="E1885">
        <f>IF($A1885="","",IF(OR($B1885="",$C1885="",$D1885="",$B1885&lt;1300,$B1885&gt;1500,$C1885&lt;1,$C1885&gt;12,$D1885&lt;1,$D1885&gt;31),"نامعتبر",RIGHT("0000"&amp;$B1885,4)&amp;"/"&amp;RIGHT("00"&amp;$C1885,2)&amp;"/"&amp;RIGHT("00"&amp;$D1885,2)))</f>
        <v/>
      </c>
      <c r="F1885">
        <f>IF(OR($E1885="",$E1885="نامعتبر"),"",LEFT($E1885,4)&amp;"/"&amp;MID($E1885,6,2))</f>
        <v/>
      </c>
      <c r="G1885">
        <f>IF(OR($E1885="",$E1885="نامعتبر",Sync!$X1881=""),"",IF(AND(LEFT(UPPER(TRIM(Sync!$X1881)),2)="SL",IFERROR(VLOOKUP(Sync!$W1881,OpTbl,3,0),"")="فروش"),UPPER(TRIM(Sync!$X1881)),""))</f>
        <v/>
      </c>
      <c r="H1885">
        <f>IF($G1885="","",IF(Sync!$W1881="","",Sync!$W1881))</f>
        <v/>
      </c>
      <c r="I1885">
        <f>IF(OR($G1885="",Sync!$Y1881=""),"",Sync!$Y1881)</f>
        <v/>
      </c>
      <c r="J1885">
        <f>IF(OR($G1885="",Sync!$Z1881=""),"",Sync!$Z1881)</f>
        <v/>
      </c>
      <c r="K1885">
        <f>IF($G1885="",0,IF(Sync!$AA1881="",0,Sync!$AA1881))</f>
        <v/>
      </c>
      <c r="L1885">
        <f>IF($G1885="",0,IF(Sync!$AB1881="",0,Sync!$AB1881))</f>
        <v/>
      </c>
      <c r="M1885">
        <f>IF($G1885="","",IF($H1885="مرجوعی فروش",-1,1)*($K1885-$L1885*IFERROR(VLOOKUP("P01",ParamTbl,3,0),1.5)))</f>
        <v/>
      </c>
      <c r="N1885">
        <f>IF($G1885="",0,IF($H1885="مرجوعی فروش",-1,1)*IF(Sync!$AC1881="",0,Sync!$AC1881))</f>
        <v/>
      </c>
      <c r="O1885">
        <f>IF(OR($G1885="",Sync!$V1881=""),"",Sync!$V1881)</f>
        <v/>
      </c>
      <c r="P1885">
        <f>IF(OR($G1885="",Sync!$AD1881=""),"",Sync!$AD1881)</f>
        <v/>
      </c>
      <c r="Q1885">
        <f>IF($G1885="","",IF(Sync!$U1881="","0000",IF(AND(ISNUMBER(Sync!$U1881),Sync!$U1881&gt;=0,Sync!$U1881&lt;1),RIGHT("00"&amp;HOUR(Sync!$U1881),2)&amp;RIGHT("00"&amp;MINUTE(Sync!$U1881),2),IFERROR(RIGHT("00"&amp;VALUE(LEFT(Sync!$U1881,FIND(":",Sync!$U1881)-1)),2)&amp;RIGHT("00"&amp;VALUE(MID(Sync!$U1881,FIND(":",Sync!$U1881)+1,2)),2),"0000"))))</f>
        <v/>
      </c>
    </row>
    <row r="1886">
      <c r="A1886">
        <f>IF(Sync!$T1882="","",Sync!$T1882)</f>
        <v/>
      </c>
      <c r="B1886">
        <f>IF($A1886="","",IF(ISNUMBER($A1886),IF(AND($A1886&gt;=10000101,$A1886&lt;=99991231),INT($A1886/10000),""),IFERROR(VALUE(TRIM(LEFT($A1886,FIND("/",$A1886)-1))),"")))</f>
        <v/>
      </c>
      <c r="C1886">
        <f>IF(OR($A1886="",$B1886=""),"",IF(ISNUMBER($A1886),INT(MOD($A1886,10000)/100),IFERROR(VALUE(TRIM(LEFT(MID($A1886,FIND("/",$A1886)+1,20),FIND("/",MID($A1886,FIND("/",$A1886)+1,20))-1))),"")))</f>
        <v/>
      </c>
      <c r="D1886">
        <f>IF(OR($A1886="",$B1886=""),"",IF(ISNUMBER($A1886),MOD($A1886,100),IFERROR(VALUE(TRIM(MID(MID($A1886,FIND("/",$A1886)+1,20),FIND("/",MID($A1886,FIND("/",$A1886)+1,20))+1,20))),"")))</f>
        <v/>
      </c>
      <c r="E1886">
        <f>IF($A1886="","",IF(OR($B1886="",$C1886="",$D1886="",$B1886&lt;1300,$B1886&gt;1500,$C1886&lt;1,$C1886&gt;12,$D1886&lt;1,$D1886&gt;31),"نامعتبر",RIGHT("0000"&amp;$B1886,4)&amp;"/"&amp;RIGHT("00"&amp;$C1886,2)&amp;"/"&amp;RIGHT("00"&amp;$D1886,2)))</f>
        <v/>
      </c>
      <c r="F1886">
        <f>IF(OR($E1886="",$E1886="نامعتبر"),"",LEFT($E1886,4)&amp;"/"&amp;MID($E1886,6,2))</f>
        <v/>
      </c>
      <c r="G1886">
        <f>IF(OR($E1886="",$E1886="نامعتبر",Sync!$X1882=""),"",IF(AND(LEFT(UPPER(TRIM(Sync!$X1882)),2)="SL",IFERROR(VLOOKUP(Sync!$W1882,OpTbl,3,0),"")="فروش"),UPPER(TRIM(Sync!$X1882)),""))</f>
        <v/>
      </c>
      <c r="H1886">
        <f>IF($G1886="","",IF(Sync!$W1882="","",Sync!$W1882))</f>
        <v/>
      </c>
      <c r="I1886">
        <f>IF(OR($G1886="",Sync!$Y1882=""),"",Sync!$Y1882)</f>
        <v/>
      </c>
      <c r="J1886">
        <f>IF(OR($G1886="",Sync!$Z1882=""),"",Sync!$Z1882)</f>
        <v/>
      </c>
      <c r="K1886">
        <f>IF($G1886="",0,IF(Sync!$AA1882="",0,Sync!$AA1882))</f>
        <v/>
      </c>
      <c r="L1886">
        <f>IF($G1886="",0,IF(Sync!$AB1882="",0,Sync!$AB1882))</f>
        <v/>
      </c>
      <c r="M1886">
        <f>IF($G1886="","",IF($H1886="مرجوعی فروش",-1,1)*($K1886-$L1886*IFERROR(VLOOKUP("P01",ParamTbl,3,0),1.5)))</f>
        <v/>
      </c>
      <c r="N1886">
        <f>IF($G1886="",0,IF($H1886="مرجوعی فروش",-1,1)*IF(Sync!$AC1882="",0,Sync!$AC1882))</f>
        <v/>
      </c>
      <c r="O1886">
        <f>IF(OR($G1886="",Sync!$V1882=""),"",Sync!$V1882)</f>
        <v/>
      </c>
      <c r="P1886">
        <f>IF(OR($G1886="",Sync!$AD1882=""),"",Sync!$AD1882)</f>
        <v/>
      </c>
      <c r="Q1886">
        <f>IF($G1886="","",IF(Sync!$U1882="","0000",IF(AND(ISNUMBER(Sync!$U1882),Sync!$U1882&gt;=0,Sync!$U1882&lt;1),RIGHT("00"&amp;HOUR(Sync!$U1882),2)&amp;RIGHT("00"&amp;MINUTE(Sync!$U1882),2),IFERROR(RIGHT("00"&amp;VALUE(LEFT(Sync!$U1882,FIND(":",Sync!$U1882)-1)),2)&amp;RIGHT("00"&amp;VALUE(MID(Sync!$U1882,FIND(":",Sync!$U1882)+1,2)),2),"0000"))))</f>
        <v/>
      </c>
    </row>
    <row r="1887">
      <c r="A1887">
        <f>IF(Sync!$T1883="","",Sync!$T1883)</f>
        <v/>
      </c>
      <c r="B1887">
        <f>IF($A1887="","",IF(ISNUMBER($A1887),IF(AND($A1887&gt;=10000101,$A1887&lt;=99991231),INT($A1887/10000),""),IFERROR(VALUE(TRIM(LEFT($A1887,FIND("/",$A1887)-1))),"")))</f>
        <v/>
      </c>
      <c r="C1887">
        <f>IF(OR($A1887="",$B1887=""),"",IF(ISNUMBER($A1887),INT(MOD($A1887,10000)/100),IFERROR(VALUE(TRIM(LEFT(MID($A1887,FIND("/",$A1887)+1,20),FIND("/",MID($A1887,FIND("/",$A1887)+1,20))-1))),"")))</f>
        <v/>
      </c>
      <c r="D1887">
        <f>IF(OR($A1887="",$B1887=""),"",IF(ISNUMBER($A1887),MOD($A1887,100),IFERROR(VALUE(TRIM(MID(MID($A1887,FIND("/",$A1887)+1,20),FIND("/",MID($A1887,FIND("/",$A1887)+1,20))+1,20))),"")))</f>
        <v/>
      </c>
      <c r="E1887">
        <f>IF($A1887="","",IF(OR($B1887="",$C1887="",$D1887="",$B1887&lt;1300,$B1887&gt;1500,$C1887&lt;1,$C1887&gt;12,$D1887&lt;1,$D1887&gt;31),"نامعتبر",RIGHT("0000"&amp;$B1887,4)&amp;"/"&amp;RIGHT("00"&amp;$C1887,2)&amp;"/"&amp;RIGHT("00"&amp;$D1887,2)))</f>
        <v/>
      </c>
      <c r="F1887">
        <f>IF(OR($E1887="",$E1887="نامعتبر"),"",LEFT($E1887,4)&amp;"/"&amp;MID($E1887,6,2))</f>
        <v/>
      </c>
      <c r="G1887">
        <f>IF(OR($E1887="",$E1887="نامعتبر",Sync!$X1883=""),"",IF(AND(LEFT(UPPER(TRIM(Sync!$X1883)),2)="SL",IFERROR(VLOOKUP(Sync!$W1883,OpTbl,3,0),"")="فروش"),UPPER(TRIM(Sync!$X1883)),""))</f>
        <v/>
      </c>
      <c r="H1887">
        <f>IF($G1887="","",IF(Sync!$W1883="","",Sync!$W1883))</f>
        <v/>
      </c>
      <c r="I1887">
        <f>IF(OR($G1887="",Sync!$Y1883=""),"",Sync!$Y1883)</f>
        <v/>
      </c>
      <c r="J1887">
        <f>IF(OR($G1887="",Sync!$Z1883=""),"",Sync!$Z1883)</f>
        <v/>
      </c>
      <c r="K1887">
        <f>IF($G1887="",0,IF(Sync!$AA1883="",0,Sync!$AA1883))</f>
        <v/>
      </c>
      <c r="L1887">
        <f>IF($G1887="",0,IF(Sync!$AB1883="",0,Sync!$AB1883))</f>
        <v/>
      </c>
      <c r="M1887">
        <f>IF($G1887="","",IF($H1887="مرجوعی فروش",-1,1)*($K1887-$L1887*IFERROR(VLOOKUP("P01",ParamTbl,3,0),1.5)))</f>
        <v/>
      </c>
      <c r="N1887">
        <f>IF($G1887="",0,IF($H1887="مرجوعی فروش",-1,1)*IF(Sync!$AC1883="",0,Sync!$AC1883))</f>
        <v/>
      </c>
      <c r="O1887">
        <f>IF(OR($G1887="",Sync!$V1883=""),"",Sync!$V1883)</f>
        <v/>
      </c>
      <c r="P1887">
        <f>IF(OR($G1887="",Sync!$AD1883=""),"",Sync!$AD1883)</f>
        <v/>
      </c>
      <c r="Q1887">
        <f>IF($G1887="","",IF(Sync!$U1883="","0000",IF(AND(ISNUMBER(Sync!$U1883),Sync!$U1883&gt;=0,Sync!$U1883&lt;1),RIGHT("00"&amp;HOUR(Sync!$U1883),2)&amp;RIGHT("00"&amp;MINUTE(Sync!$U1883),2),IFERROR(RIGHT("00"&amp;VALUE(LEFT(Sync!$U1883,FIND(":",Sync!$U1883)-1)),2)&amp;RIGHT("00"&amp;VALUE(MID(Sync!$U1883,FIND(":",Sync!$U1883)+1,2)),2),"0000"))))</f>
        <v/>
      </c>
    </row>
    <row r="1888">
      <c r="A1888">
        <f>IF(Sync!$T1884="","",Sync!$T1884)</f>
        <v/>
      </c>
      <c r="B1888">
        <f>IF($A1888="","",IF(ISNUMBER($A1888),IF(AND($A1888&gt;=10000101,$A1888&lt;=99991231),INT($A1888/10000),""),IFERROR(VALUE(TRIM(LEFT($A1888,FIND("/",$A1888)-1))),"")))</f>
        <v/>
      </c>
      <c r="C1888">
        <f>IF(OR($A1888="",$B1888=""),"",IF(ISNUMBER($A1888),INT(MOD($A1888,10000)/100),IFERROR(VALUE(TRIM(LEFT(MID($A1888,FIND("/",$A1888)+1,20),FIND("/",MID($A1888,FIND("/",$A1888)+1,20))-1))),"")))</f>
        <v/>
      </c>
      <c r="D1888">
        <f>IF(OR($A1888="",$B1888=""),"",IF(ISNUMBER($A1888),MOD($A1888,100),IFERROR(VALUE(TRIM(MID(MID($A1888,FIND("/",$A1888)+1,20),FIND("/",MID($A1888,FIND("/",$A1888)+1,20))+1,20))),"")))</f>
        <v/>
      </c>
      <c r="E1888">
        <f>IF($A1888="","",IF(OR($B1888="",$C1888="",$D1888="",$B1888&lt;1300,$B1888&gt;1500,$C1888&lt;1,$C1888&gt;12,$D1888&lt;1,$D1888&gt;31),"نامعتبر",RIGHT("0000"&amp;$B1888,4)&amp;"/"&amp;RIGHT("00"&amp;$C1888,2)&amp;"/"&amp;RIGHT("00"&amp;$D1888,2)))</f>
        <v/>
      </c>
      <c r="F1888">
        <f>IF(OR($E1888="",$E1888="نامعتبر"),"",LEFT($E1888,4)&amp;"/"&amp;MID($E1888,6,2))</f>
        <v/>
      </c>
      <c r="G1888">
        <f>IF(OR($E1888="",$E1888="نامعتبر",Sync!$X1884=""),"",IF(AND(LEFT(UPPER(TRIM(Sync!$X1884)),2)="SL",IFERROR(VLOOKUP(Sync!$W1884,OpTbl,3,0),"")="فروش"),UPPER(TRIM(Sync!$X1884)),""))</f>
        <v/>
      </c>
      <c r="H1888">
        <f>IF($G1888="","",IF(Sync!$W1884="","",Sync!$W1884))</f>
        <v/>
      </c>
      <c r="I1888">
        <f>IF(OR($G1888="",Sync!$Y1884=""),"",Sync!$Y1884)</f>
        <v/>
      </c>
      <c r="J1888">
        <f>IF(OR($G1888="",Sync!$Z1884=""),"",Sync!$Z1884)</f>
        <v/>
      </c>
      <c r="K1888">
        <f>IF($G1888="",0,IF(Sync!$AA1884="",0,Sync!$AA1884))</f>
        <v/>
      </c>
      <c r="L1888">
        <f>IF($G1888="",0,IF(Sync!$AB1884="",0,Sync!$AB1884))</f>
        <v/>
      </c>
      <c r="M1888">
        <f>IF($G1888="","",IF($H1888="مرجوعی فروش",-1,1)*($K1888-$L1888*IFERROR(VLOOKUP("P01",ParamTbl,3,0),1.5)))</f>
        <v/>
      </c>
      <c r="N1888">
        <f>IF($G1888="",0,IF($H1888="مرجوعی فروش",-1,1)*IF(Sync!$AC1884="",0,Sync!$AC1884))</f>
        <v/>
      </c>
      <c r="O1888">
        <f>IF(OR($G1888="",Sync!$V1884=""),"",Sync!$V1884)</f>
        <v/>
      </c>
      <c r="P1888">
        <f>IF(OR($G1888="",Sync!$AD1884=""),"",Sync!$AD1884)</f>
        <v/>
      </c>
      <c r="Q1888">
        <f>IF($G1888="","",IF(Sync!$U1884="","0000",IF(AND(ISNUMBER(Sync!$U1884),Sync!$U1884&gt;=0,Sync!$U1884&lt;1),RIGHT("00"&amp;HOUR(Sync!$U1884),2)&amp;RIGHT("00"&amp;MINUTE(Sync!$U1884),2),IFERROR(RIGHT("00"&amp;VALUE(LEFT(Sync!$U1884,FIND(":",Sync!$U1884)-1)),2)&amp;RIGHT("00"&amp;VALUE(MID(Sync!$U1884,FIND(":",Sync!$U1884)+1,2)),2),"0000"))))</f>
        <v/>
      </c>
    </row>
    <row r="1889">
      <c r="A1889">
        <f>IF(Sync!$T1885="","",Sync!$T1885)</f>
        <v/>
      </c>
      <c r="B1889">
        <f>IF($A1889="","",IF(ISNUMBER($A1889),IF(AND($A1889&gt;=10000101,$A1889&lt;=99991231),INT($A1889/10000),""),IFERROR(VALUE(TRIM(LEFT($A1889,FIND("/",$A1889)-1))),"")))</f>
        <v/>
      </c>
      <c r="C1889">
        <f>IF(OR($A1889="",$B1889=""),"",IF(ISNUMBER($A1889),INT(MOD($A1889,10000)/100),IFERROR(VALUE(TRIM(LEFT(MID($A1889,FIND("/",$A1889)+1,20),FIND("/",MID($A1889,FIND("/",$A1889)+1,20))-1))),"")))</f>
        <v/>
      </c>
      <c r="D1889">
        <f>IF(OR($A1889="",$B1889=""),"",IF(ISNUMBER($A1889),MOD($A1889,100),IFERROR(VALUE(TRIM(MID(MID($A1889,FIND("/",$A1889)+1,20),FIND("/",MID($A1889,FIND("/",$A1889)+1,20))+1,20))),"")))</f>
        <v/>
      </c>
      <c r="E1889">
        <f>IF($A1889="","",IF(OR($B1889="",$C1889="",$D1889="",$B1889&lt;1300,$B1889&gt;1500,$C1889&lt;1,$C1889&gt;12,$D1889&lt;1,$D1889&gt;31),"نامعتبر",RIGHT("0000"&amp;$B1889,4)&amp;"/"&amp;RIGHT("00"&amp;$C1889,2)&amp;"/"&amp;RIGHT("00"&amp;$D1889,2)))</f>
        <v/>
      </c>
      <c r="F1889">
        <f>IF(OR($E1889="",$E1889="نامعتبر"),"",LEFT($E1889,4)&amp;"/"&amp;MID($E1889,6,2))</f>
        <v/>
      </c>
      <c r="G1889">
        <f>IF(OR($E1889="",$E1889="نامعتبر",Sync!$X1885=""),"",IF(AND(LEFT(UPPER(TRIM(Sync!$X1885)),2)="SL",IFERROR(VLOOKUP(Sync!$W1885,OpTbl,3,0),"")="فروش"),UPPER(TRIM(Sync!$X1885)),""))</f>
        <v/>
      </c>
      <c r="H1889">
        <f>IF($G1889="","",IF(Sync!$W1885="","",Sync!$W1885))</f>
        <v/>
      </c>
      <c r="I1889">
        <f>IF(OR($G1889="",Sync!$Y1885=""),"",Sync!$Y1885)</f>
        <v/>
      </c>
      <c r="J1889">
        <f>IF(OR($G1889="",Sync!$Z1885=""),"",Sync!$Z1885)</f>
        <v/>
      </c>
      <c r="K1889">
        <f>IF($G1889="",0,IF(Sync!$AA1885="",0,Sync!$AA1885))</f>
        <v/>
      </c>
      <c r="L1889">
        <f>IF($G1889="",0,IF(Sync!$AB1885="",0,Sync!$AB1885))</f>
        <v/>
      </c>
      <c r="M1889">
        <f>IF($G1889="","",IF($H1889="مرجوعی فروش",-1,1)*($K1889-$L1889*IFERROR(VLOOKUP("P01",ParamTbl,3,0),1.5)))</f>
        <v/>
      </c>
      <c r="N1889">
        <f>IF($G1889="",0,IF($H1889="مرجوعی فروش",-1,1)*IF(Sync!$AC1885="",0,Sync!$AC1885))</f>
        <v/>
      </c>
      <c r="O1889">
        <f>IF(OR($G1889="",Sync!$V1885=""),"",Sync!$V1885)</f>
        <v/>
      </c>
      <c r="P1889">
        <f>IF(OR($G1889="",Sync!$AD1885=""),"",Sync!$AD1885)</f>
        <v/>
      </c>
      <c r="Q1889">
        <f>IF($G1889="","",IF(Sync!$U1885="","0000",IF(AND(ISNUMBER(Sync!$U1885),Sync!$U1885&gt;=0,Sync!$U1885&lt;1),RIGHT("00"&amp;HOUR(Sync!$U1885),2)&amp;RIGHT("00"&amp;MINUTE(Sync!$U1885),2),IFERROR(RIGHT("00"&amp;VALUE(LEFT(Sync!$U1885,FIND(":",Sync!$U1885)-1)),2)&amp;RIGHT("00"&amp;VALUE(MID(Sync!$U1885,FIND(":",Sync!$U1885)+1,2)),2),"0000"))))</f>
        <v/>
      </c>
    </row>
    <row r="1890">
      <c r="A1890">
        <f>IF(Sync!$T1886="","",Sync!$T1886)</f>
        <v/>
      </c>
      <c r="B1890">
        <f>IF($A1890="","",IF(ISNUMBER($A1890),IF(AND($A1890&gt;=10000101,$A1890&lt;=99991231),INT($A1890/10000),""),IFERROR(VALUE(TRIM(LEFT($A1890,FIND("/",$A1890)-1))),"")))</f>
        <v/>
      </c>
      <c r="C1890">
        <f>IF(OR($A1890="",$B1890=""),"",IF(ISNUMBER($A1890),INT(MOD($A1890,10000)/100),IFERROR(VALUE(TRIM(LEFT(MID($A1890,FIND("/",$A1890)+1,20),FIND("/",MID($A1890,FIND("/",$A1890)+1,20))-1))),"")))</f>
        <v/>
      </c>
      <c r="D1890">
        <f>IF(OR($A1890="",$B1890=""),"",IF(ISNUMBER($A1890),MOD($A1890,100),IFERROR(VALUE(TRIM(MID(MID($A1890,FIND("/",$A1890)+1,20),FIND("/",MID($A1890,FIND("/",$A1890)+1,20))+1,20))),"")))</f>
        <v/>
      </c>
      <c r="E1890">
        <f>IF($A1890="","",IF(OR($B1890="",$C1890="",$D1890="",$B1890&lt;1300,$B1890&gt;1500,$C1890&lt;1,$C1890&gt;12,$D1890&lt;1,$D1890&gt;31),"نامعتبر",RIGHT("0000"&amp;$B1890,4)&amp;"/"&amp;RIGHT("00"&amp;$C1890,2)&amp;"/"&amp;RIGHT("00"&amp;$D1890,2)))</f>
        <v/>
      </c>
      <c r="F1890">
        <f>IF(OR($E1890="",$E1890="نامعتبر"),"",LEFT($E1890,4)&amp;"/"&amp;MID($E1890,6,2))</f>
        <v/>
      </c>
      <c r="G1890">
        <f>IF(OR($E1890="",$E1890="نامعتبر",Sync!$X1886=""),"",IF(AND(LEFT(UPPER(TRIM(Sync!$X1886)),2)="SL",IFERROR(VLOOKUP(Sync!$W1886,OpTbl,3,0),"")="فروش"),UPPER(TRIM(Sync!$X1886)),""))</f>
        <v/>
      </c>
      <c r="H1890">
        <f>IF($G1890="","",IF(Sync!$W1886="","",Sync!$W1886))</f>
        <v/>
      </c>
      <c r="I1890">
        <f>IF(OR($G1890="",Sync!$Y1886=""),"",Sync!$Y1886)</f>
        <v/>
      </c>
      <c r="J1890">
        <f>IF(OR($G1890="",Sync!$Z1886=""),"",Sync!$Z1886)</f>
        <v/>
      </c>
      <c r="K1890">
        <f>IF($G1890="",0,IF(Sync!$AA1886="",0,Sync!$AA1886))</f>
        <v/>
      </c>
      <c r="L1890">
        <f>IF($G1890="",0,IF(Sync!$AB1886="",0,Sync!$AB1886))</f>
        <v/>
      </c>
      <c r="M1890">
        <f>IF($G1890="","",IF($H1890="مرجوعی فروش",-1,1)*($K1890-$L1890*IFERROR(VLOOKUP("P01",ParamTbl,3,0),1.5)))</f>
        <v/>
      </c>
      <c r="N1890">
        <f>IF($G1890="",0,IF($H1890="مرجوعی فروش",-1,1)*IF(Sync!$AC1886="",0,Sync!$AC1886))</f>
        <v/>
      </c>
      <c r="O1890">
        <f>IF(OR($G1890="",Sync!$V1886=""),"",Sync!$V1886)</f>
        <v/>
      </c>
      <c r="P1890">
        <f>IF(OR($G1890="",Sync!$AD1886=""),"",Sync!$AD1886)</f>
        <v/>
      </c>
      <c r="Q1890">
        <f>IF($G1890="","",IF(Sync!$U1886="","0000",IF(AND(ISNUMBER(Sync!$U1886),Sync!$U1886&gt;=0,Sync!$U1886&lt;1),RIGHT("00"&amp;HOUR(Sync!$U1886),2)&amp;RIGHT("00"&amp;MINUTE(Sync!$U1886),2),IFERROR(RIGHT("00"&amp;VALUE(LEFT(Sync!$U1886,FIND(":",Sync!$U1886)-1)),2)&amp;RIGHT("00"&amp;VALUE(MID(Sync!$U1886,FIND(":",Sync!$U1886)+1,2)),2),"0000"))))</f>
        <v/>
      </c>
    </row>
    <row r="1891">
      <c r="A1891">
        <f>IF(Sync!$T1887="","",Sync!$T1887)</f>
        <v/>
      </c>
      <c r="B1891">
        <f>IF($A1891="","",IF(ISNUMBER($A1891),IF(AND($A1891&gt;=10000101,$A1891&lt;=99991231),INT($A1891/10000),""),IFERROR(VALUE(TRIM(LEFT($A1891,FIND("/",$A1891)-1))),"")))</f>
        <v/>
      </c>
      <c r="C1891">
        <f>IF(OR($A1891="",$B1891=""),"",IF(ISNUMBER($A1891),INT(MOD($A1891,10000)/100),IFERROR(VALUE(TRIM(LEFT(MID($A1891,FIND("/",$A1891)+1,20),FIND("/",MID($A1891,FIND("/",$A1891)+1,20))-1))),"")))</f>
        <v/>
      </c>
      <c r="D1891">
        <f>IF(OR($A1891="",$B1891=""),"",IF(ISNUMBER($A1891),MOD($A1891,100),IFERROR(VALUE(TRIM(MID(MID($A1891,FIND("/",$A1891)+1,20),FIND("/",MID($A1891,FIND("/",$A1891)+1,20))+1,20))),"")))</f>
        <v/>
      </c>
      <c r="E1891">
        <f>IF($A1891="","",IF(OR($B1891="",$C1891="",$D1891="",$B1891&lt;1300,$B1891&gt;1500,$C1891&lt;1,$C1891&gt;12,$D1891&lt;1,$D1891&gt;31),"نامعتبر",RIGHT("0000"&amp;$B1891,4)&amp;"/"&amp;RIGHT("00"&amp;$C1891,2)&amp;"/"&amp;RIGHT("00"&amp;$D1891,2)))</f>
        <v/>
      </c>
      <c r="F1891">
        <f>IF(OR($E1891="",$E1891="نامعتبر"),"",LEFT($E1891,4)&amp;"/"&amp;MID($E1891,6,2))</f>
        <v/>
      </c>
      <c r="G1891">
        <f>IF(OR($E1891="",$E1891="نامعتبر",Sync!$X1887=""),"",IF(AND(LEFT(UPPER(TRIM(Sync!$X1887)),2)="SL",IFERROR(VLOOKUP(Sync!$W1887,OpTbl,3,0),"")="فروش"),UPPER(TRIM(Sync!$X1887)),""))</f>
        <v/>
      </c>
      <c r="H1891">
        <f>IF($G1891="","",IF(Sync!$W1887="","",Sync!$W1887))</f>
        <v/>
      </c>
      <c r="I1891">
        <f>IF(OR($G1891="",Sync!$Y1887=""),"",Sync!$Y1887)</f>
        <v/>
      </c>
      <c r="J1891">
        <f>IF(OR($G1891="",Sync!$Z1887=""),"",Sync!$Z1887)</f>
        <v/>
      </c>
      <c r="K1891">
        <f>IF($G1891="",0,IF(Sync!$AA1887="",0,Sync!$AA1887))</f>
        <v/>
      </c>
      <c r="L1891">
        <f>IF($G1891="",0,IF(Sync!$AB1887="",0,Sync!$AB1887))</f>
        <v/>
      </c>
      <c r="M1891">
        <f>IF($G1891="","",IF($H1891="مرجوعی فروش",-1,1)*($K1891-$L1891*IFERROR(VLOOKUP("P01",ParamTbl,3,0),1.5)))</f>
        <v/>
      </c>
      <c r="N1891">
        <f>IF($G1891="",0,IF($H1891="مرجوعی فروش",-1,1)*IF(Sync!$AC1887="",0,Sync!$AC1887))</f>
        <v/>
      </c>
      <c r="O1891">
        <f>IF(OR($G1891="",Sync!$V1887=""),"",Sync!$V1887)</f>
        <v/>
      </c>
      <c r="P1891">
        <f>IF(OR($G1891="",Sync!$AD1887=""),"",Sync!$AD1887)</f>
        <v/>
      </c>
      <c r="Q1891">
        <f>IF($G1891="","",IF(Sync!$U1887="","0000",IF(AND(ISNUMBER(Sync!$U1887),Sync!$U1887&gt;=0,Sync!$U1887&lt;1),RIGHT("00"&amp;HOUR(Sync!$U1887),2)&amp;RIGHT("00"&amp;MINUTE(Sync!$U1887),2),IFERROR(RIGHT("00"&amp;VALUE(LEFT(Sync!$U1887,FIND(":",Sync!$U1887)-1)),2)&amp;RIGHT("00"&amp;VALUE(MID(Sync!$U1887,FIND(":",Sync!$U1887)+1,2)),2),"0000"))))</f>
        <v/>
      </c>
    </row>
    <row r="1892">
      <c r="A1892">
        <f>IF(Sync!$T1888="","",Sync!$T1888)</f>
        <v/>
      </c>
      <c r="B1892">
        <f>IF($A1892="","",IF(ISNUMBER($A1892),IF(AND($A1892&gt;=10000101,$A1892&lt;=99991231),INT($A1892/10000),""),IFERROR(VALUE(TRIM(LEFT($A1892,FIND("/",$A1892)-1))),"")))</f>
        <v/>
      </c>
      <c r="C1892">
        <f>IF(OR($A1892="",$B1892=""),"",IF(ISNUMBER($A1892),INT(MOD($A1892,10000)/100),IFERROR(VALUE(TRIM(LEFT(MID($A1892,FIND("/",$A1892)+1,20),FIND("/",MID($A1892,FIND("/",$A1892)+1,20))-1))),"")))</f>
        <v/>
      </c>
      <c r="D1892">
        <f>IF(OR($A1892="",$B1892=""),"",IF(ISNUMBER($A1892),MOD($A1892,100),IFERROR(VALUE(TRIM(MID(MID($A1892,FIND("/",$A1892)+1,20),FIND("/",MID($A1892,FIND("/",$A1892)+1,20))+1,20))),"")))</f>
        <v/>
      </c>
      <c r="E1892">
        <f>IF($A1892="","",IF(OR($B1892="",$C1892="",$D1892="",$B1892&lt;1300,$B1892&gt;1500,$C1892&lt;1,$C1892&gt;12,$D1892&lt;1,$D1892&gt;31),"نامعتبر",RIGHT("0000"&amp;$B1892,4)&amp;"/"&amp;RIGHT("00"&amp;$C1892,2)&amp;"/"&amp;RIGHT("00"&amp;$D1892,2)))</f>
        <v/>
      </c>
      <c r="F1892">
        <f>IF(OR($E1892="",$E1892="نامعتبر"),"",LEFT($E1892,4)&amp;"/"&amp;MID($E1892,6,2))</f>
        <v/>
      </c>
      <c r="G1892">
        <f>IF(OR($E1892="",$E1892="نامعتبر",Sync!$X1888=""),"",IF(AND(LEFT(UPPER(TRIM(Sync!$X1888)),2)="SL",IFERROR(VLOOKUP(Sync!$W1888,OpTbl,3,0),"")="فروش"),UPPER(TRIM(Sync!$X1888)),""))</f>
        <v/>
      </c>
      <c r="H1892">
        <f>IF($G1892="","",IF(Sync!$W1888="","",Sync!$W1888))</f>
        <v/>
      </c>
      <c r="I1892">
        <f>IF(OR($G1892="",Sync!$Y1888=""),"",Sync!$Y1888)</f>
        <v/>
      </c>
      <c r="J1892">
        <f>IF(OR($G1892="",Sync!$Z1888=""),"",Sync!$Z1888)</f>
        <v/>
      </c>
      <c r="K1892">
        <f>IF($G1892="",0,IF(Sync!$AA1888="",0,Sync!$AA1888))</f>
        <v/>
      </c>
      <c r="L1892">
        <f>IF($G1892="",0,IF(Sync!$AB1888="",0,Sync!$AB1888))</f>
        <v/>
      </c>
      <c r="M1892">
        <f>IF($G1892="","",IF($H1892="مرجوعی فروش",-1,1)*($K1892-$L1892*IFERROR(VLOOKUP("P01",ParamTbl,3,0),1.5)))</f>
        <v/>
      </c>
      <c r="N1892">
        <f>IF($G1892="",0,IF($H1892="مرجوعی فروش",-1,1)*IF(Sync!$AC1888="",0,Sync!$AC1888))</f>
        <v/>
      </c>
      <c r="O1892">
        <f>IF(OR($G1892="",Sync!$V1888=""),"",Sync!$V1888)</f>
        <v/>
      </c>
      <c r="P1892">
        <f>IF(OR($G1892="",Sync!$AD1888=""),"",Sync!$AD1888)</f>
        <v/>
      </c>
      <c r="Q1892">
        <f>IF($G1892="","",IF(Sync!$U1888="","0000",IF(AND(ISNUMBER(Sync!$U1888),Sync!$U1888&gt;=0,Sync!$U1888&lt;1),RIGHT("00"&amp;HOUR(Sync!$U1888),2)&amp;RIGHT("00"&amp;MINUTE(Sync!$U1888),2),IFERROR(RIGHT("00"&amp;VALUE(LEFT(Sync!$U1888,FIND(":",Sync!$U1888)-1)),2)&amp;RIGHT("00"&amp;VALUE(MID(Sync!$U1888,FIND(":",Sync!$U1888)+1,2)),2),"0000"))))</f>
        <v/>
      </c>
    </row>
    <row r="1893">
      <c r="A1893">
        <f>IF(Sync!$T1889="","",Sync!$T1889)</f>
        <v/>
      </c>
      <c r="B1893">
        <f>IF($A1893="","",IF(ISNUMBER($A1893),IF(AND($A1893&gt;=10000101,$A1893&lt;=99991231),INT($A1893/10000),""),IFERROR(VALUE(TRIM(LEFT($A1893,FIND("/",$A1893)-1))),"")))</f>
        <v/>
      </c>
      <c r="C1893">
        <f>IF(OR($A1893="",$B1893=""),"",IF(ISNUMBER($A1893),INT(MOD($A1893,10000)/100),IFERROR(VALUE(TRIM(LEFT(MID($A1893,FIND("/",$A1893)+1,20),FIND("/",MID($A1893,FIND("/",$A1893)+1,20))-1))),"")))</f>
        <v/>
      </c>
      <c r="D1893">
        <f>IF(OR($A1893="",$B1893=""),"",IF(ISNUMBER($A1893),MOD($A1893,100),IFERROR(VALUE(TRIM(MID(MID($A1893,FIND("/",$A1893)+1,20),FIND("/",MID($A1893,FIND("/",$A1893)+1,20))+1,20))),"")))</f>
        <v/>
      </c>
      <c r="E1893">
        <f>IF($A1893="","",IF(OR($B1893="",$C1893="",$D1893="",$B1893&lt;1300,$B1893&gt;1500,$C1893&lt;1,$C1893&gt;12,$D1893&lt;1,$D1893&gt;31),"نامعتبر",RIGHT("0000"&amp;$B1893,4)&amp;"/"&amp;RIGHT("00"&amp;$C1893,2)&amp;"/"&amp;RIGHT("00"&amp;$D1893,2)))</f>
        <v/>
      </c>
      <c r="F1893">
        <f>IF(OR($E1893="",$E1893="نامعتبر"),"",LEFT($E1893,4)&amp;"/"&amp;MID($E1893,6,2))</f>
        <v/>
      </c>
      <c r="G1893">
        <f>IF(OR($E1893="",$E1893="نامعتبر",Sync!$X1889=""),"",IF(AND(LEFT(UPPER(TRIM(Sync!$X1889)),2)="SL",IFERROR(VLOOKUP(Sync!$W1889,OpTbl,3,0),"")="فروش"),UPPER(TRIM(Sync!$X1889)),""))</f>
        <v/>
      </c>
      <c r="H1893">
        <f>IF($G1893="","",IF(Sync!$W1889="","",Sync!$W1889))</f>
        <v/>
      </c>
      <c r="I1893">
        <f>IF(OR($G1893="",Sync!$Y1889=""),"",Sync!$Y1889)</f>
        <v/>
      </c>
      <c r="J1893">
        <f>IF(OR($G1893="",Sync!$Z1889=""),"",Sync!$Z1889)</f>
        <v/>
      </c>
      <c r="K1893">
        <f>IF($G1893="",0,IF(Sync!$AA1889="",0,Sync!$AA1889))</f>
        <v/>
      </c>
      <c r="L1893">
        <f>IF($G1893="",0,IF(Sync!$AB1889="",0,Sync!$AB1889))</f>
        <v/>
      </c>
      <c r="M1893">
        <f>IF($G1893="","",IF($H1893="مرجوعی فروش",-1,1)*($K1893-$L1893*IFERROR(VLOOKUP("P01",ParamTbl,3,0),1.5)))</f>
        <v/>
      </c>
      <c r="N1893">
        <f>IF($G1893="",0,IF($H1893="مرجوعی فروش",-1,1)*IF(Sync!$AC1889="",0,Sync!$AC1889))</f>
        <v/>
      </c>
      <c r="O1893">
        <f>IF(OR($G1893="",Sync!$V1889=""),"",Sync!$V1889)</f>
        <v/>
      </c>
      <c r="P1893">
        <f>IF(OR($G1893="",Sync!$AD1889=""),"",Sync!$AD1889)</f>
        <v/>
      </c>
      <c r="Q1893">
        <f>IF($G1893="","",IF(Sync!$U1889="","0000",IF(AND(ISNUMBER(Sync!$U1889),Sync!$U1889&gt;=0,Sync!$U1889&lt;1),RIGHT("00"&amp;HOUR(Sync!$U1889),2)&amp;RIGHT("00"&amp;MINUTE(Sync!$U1889),2),IFERROR(RIGHT("00"&amp;VALUE(LEFT(Sync!$U1889,FIND(":",Sync!$U1889)-1)),2)&amp;RIGHT("00"&amp;VALUE(MID(Sync!$U1889,FIND(":",Sync!$U1889)+1,2)),2),"0000"))))</f>
        <v/>
      </c>
    </row>
    <row r="1894">
      <c r="A1894">
        <f>IF(Sync!$T1890="","",Sync!$T1890)</f>
        <v/>
      </c>
      <c r="B1894">
        <f>IF($A1894="","",IF(ISNUMBER($A1894),IF(AND($A1894&gt;=10000101,$A1894&lt;=99991231),INT($A1894/10000),""),IFERROR(VALUE(TRIM(LEFT($A1894,FIND("/",$A1894)-1))),"")))</f>
        <v/>
      </c>
      <c r="C1894">
        <f>IF(OR($A1894="",$B1894=""),"",IF(ISNUMBER($A1894),INT(MOD($A1894,10000)/100),IFERROR(VALUE(TRIM(LEFT(MID($A1894,FIND("/",$A1894)+1,20),FIND("/",MID($A1894,FIND("/",$A1894)+1,20))-1))),"")))</f>
        <v/>
      </c>
      <c r="D1894">
        <f>IF(OR($A1894="",$B1894=""),"",IF(ISNUMBER($A1894),MOD($A1894,100),IFERROR(VALUE(TRIM(MID(MID($A1894,FIND("/",$A1894)+1,20),FIND("/",MID($A1894,FIND("/",$A1894)+1,20))+1,20))),"")))</f>
        <v/>
      </c>
      <c r="E1894">
        <f>IF($A1894="","",IF(OR($B1894="",$C1894="",$D1894="",$B1894&lt;1300,$B1894&gt;1500,$C1894&lt;1,$C1894&gt;12,$D1894&lt;1,$D1894&gt;31),"نامعتبر",RIGHT("0000"&amp;$B1894,4)&amp;"/"&amp;RIGHT("00"&amp;$C1894,2)&amp;"/"&amp;RIGHT("00"&amp;$D1894,2)))</f>
        <v/>
      </c>
      <c r="F1894">
        <f>IF(OR($E1894="",$E1894="نامعتبر"),"",LEFT($E1894,4)&amp;"/"&amp;MID($E1894,6,2))</f>
        <v/>
      </c>
      <c r="G1894">
        <f>IF(OR($E1894="",$E1894="نامعتبر",Sync!$X1890=""),"",IF(AND(LEFT(UPPER(TRIM(Sync!$X1890)),2)="SL",IFERROR(VLOOKUP(Sync!$W1890,OpTbl,3,0),"")="فروش"),UPPER(TRIM(Sync!$X1890)),""))</f>
        <v/>
      </c>
      <c r="H1894">
        <f>IF($G1894="","",IF(Sync!$W1890="","",Sync!$W1890))</f>
        <v/>
      </c>
      <c r="I1894">
        <f>IF(OR($G1894="",Sync!$Y1890=""),"",Sync!$Y1890)</f>
        <v/>
      </c>
      <c r="J1894">
        <f>IF(OR($G1894="",Sync!$Z1890=""),"",Sync!$Z1890)</f>
        <v/>
      </c>
      <c r="K1894">
        <f>IF($G1894="",0,IF(Sync!$AA1890="",0,Sync!$AA1890))</f>
        <v/>
      </c>
      <c r="L1894">
        <f>IF($G1894="",0,IF(Sync!$AB1890="",0,Sync!$AB1890))</f>
        <v/>
      </c>
      <c r="M1894">
        <f>IF($G1894="","",IF($H1894="مرجوعی فروش",-1,1)*($K1894-$L1894*IFERROR(VLOOKUP("P01",ParamTbl,3,0),1.5)))</f>
        <v/>
      </c>
      <c r="N1894">
        <f>IF($G1894="",0,IF($H1894="مرجوعی فروش",-1,1)*IF(Sync!$AC1890="",0,Sync!$AC1890))</f>
        <v/>
      </c>
      <c r="O1894">
        <f>IF(OR($G1894="",Sync!$V1890=""),"",Sync!$V1890)</f>
        <v/>
      </c>
      <c r="P1894">
        <f>IF(OR($G1894="",Sync!$AD1890=""),"",Sync!$AD1890)</f>
        <v/>
      </c>
      <c r="Q1894">
        <f>IF($G1894="","",IF(Sync!$U1890="","0000",IF(AND(ISNUMBER(Sync!$U1890),Sync!$U1890&gt;=0,Sync!$U1890&lt;1),RIGHT("00"&amp;HOUR(Sync!$U1890),2)&amp;RIGHT("00"&amp;MINUTE(Sync!$U1890),2),IFERROR(RIGHT("00"&amp;VALUE(LEFT(Sync!$U1890,FIND(":",Sync!$U1890)-1)),2)&amp;RIGHT("00"&amp;VALUE(MID(Sync!$U1890,FIND(":",Sync!$U1890)+1,2)),2),"0000"))))</f>
        <v/>
      </c>
    </row>
    <row r="1895">
      <c r="A1895">
        <f>IF(Sync!$T1891="","",Sync!$T1891)</f>
        <v/>
      </c>
      <c r="B1895">
        <f>IF($A1895="","",IF(ISNUMBER($A1895),IF(AND($A1895&gt;=10000101,$A1895&lt;=99991231),INT($A1895/10000),""),IFERROR(VALUE(TRIM(LEFT($A1895,FIND("/",$A1895)-1))),"")))</f>
        <v/>
      </c>
      <c r="C1895">
        <f>IF(OR($A1895="",$B1895=""),"",IF(ISNUMBER($A1895),INT(MOD($A1895,10000)/100),IFERROR(VALUE(TRIM(LEFT(MID($A1895,FIND("/",$A1895)+1,20),FIND("/",MID($A1895,FIND("/",$A1895)+1,20))-1))),"")))</f>
        <v/>
      </c>
      <c r="D1895">
        <f>IF(OR($A1895="",$B1895=""),"",IF(ISNUMBER($A1895),MOD($A1895,100),IFERROR(VALUE(TRIM(MID(MID($A1895,FIND("/",$A1895)+1,20),FIND("/",MID($A1895,FIND("/",$A1895)+1,20))+1,20))),"")))</f>
        <v/>
      </c>
      <c r="E1895">
        <f>IF($A1895="","",IF(OR($B1895="",$C1895="",$D1895="",$B1895&lt;1300,$B1895&gt;1500,$C1895&lt;1,$C1895&gt;12,$D1895&lt;1,$D1895&gt;31),"نامعتبر",RIGHT("0000"&amp;$B1895,4)&amp;"/"&amp;RIGHT("00"&amp;$C1895,2)&amp;"/"&amp;RIGHT("00"&amp;$D1895,2)))</f>
        <v/>
      </c>
      <c r="F1895">
        <f>IF(OR($E1895="",$E1895="نامعتبر"),"",LEFT($E1895,4)&amp;"/"&amp;MID($E1895,6,2))</f>
        <v/>
      </c>
      <c r="G1895">
        <f>IF(OR($E1895="",$E1895="نامعتبر",Sync!$X1891=""),"",IF(AND(LEFT(UPPER(TRIM(Sync!$X1891)),2)="SL",IFERROR(VLOOKUP(Sync!$W1891,OpTbl,3,0),"")="فروش"),UPPER(TRIM(Sync!$X1891)),""))</f>
        <v/>
      </c>
      <c r="H1895">
        <f>IF($G1895="","",IF(Sync!$W1891="","",Sync!$W1891))</f>
        <v/>
      </c>
      <c r="I1895">
        <f>IF(OR($G1895="",Sync!$Y1891=""),"",Sync!$Y1891)</f>
        <v/>
      </c>
      <c r="J1895">
        <f>IF(OR($G1895="",Sync!$Z1891=""),"",Sync!$Z1891)</f>
        <v/>
      </c>
      <c r="K1895">
        <f>IF($G1895="",0,IF(Sync!$AA1891="",0,Sync!$AA1891))</f>
        <v/>
      </c>
      <c r="L1895">
        <f>IF($G1895="",0,IF(Sync!$AB1891="",0,Sync!$AB1891))</f>
        <v/>
      </c>
      <c r="M1895">
        <f>IF($G1895="","",IF($H1895="مرجوعی فروش",-1,1)*($K1895-$L1895*IFERROR(VLOOKUP("P01",ParamTbl,3,0),1.5)))</f>
        <v/>
      </c>
      <c r="N1895">
        <f>IF($G1895="",0,IF($H1895="مرجوعی فروش",-1,1)*IF(Sync!$AC1891="",0,Sync!$AC1891))</f>
        <v/>
      </c>
      <c r="O1895">
        <f>IF(OR($G1895="",Sync!$V1891=""),"",Sync!$V1891)</f>
        <v/>
      </c>
      <c r="P1895">
        <f>IF(OR($G1895="",Sync!$AD1891=""),"",Sync!$AD1891)</f>
        <v/>
      </c>
      <c r="Q1895">
        <f>IF($G1895="","",IF(Sync!$U1891="","0000",IF(AND(ISNUMBER(Sync!$U1891),Sync!$U1891&gt;=0,Sync!$U1891&lt;1),RIGHT("00"&amp;HOUR(Sync!$U1891),2)&amp;RIGHT("00"&amp;MINUTE(Sync!$U1891),2),IFERROR(RIGHT("00"&amp;VALUE(LEFT(Sync!$U1891,FIND(":",Sync!$U1891)-1)),2)&amp;RIGHT("00"&amp;VALUE(MID(Sync!$U1891,FIND(":",Sync!$U1891)+1,2)),2),"0000"))))</f>
        <v/>
      </c>
    </row>
    <row r="1896">
      <c r="A1896">
        <f>IF(Sync!$T1892="","",Sync!$T1892)</f>
        <v/>
      </c>
      <c r="B1896">
        <f>IF($A1896="","",IF(ISNUMBER($A1896),IF(AND($A1896&gt;=10000101,$A1896&lt;=99991231),INT($A1896/10000),""),IFERROR(VALUE(TRIM(LEFT($A1896,FIND("/",$A1896)-1))),"")))</f>
        <v/>
      </c>
      <c r="C1896">
        <f>IF(OR($A1896="",$B1896=""),"",IF(ISNUMBER($A1896),INT(MOD($A1896,10000)/100),IFERROR(VALUE(TRIM(LEFT(MID($A1896,FIND("/",$A1896)+1,20),FIND("/",MID($A1896,FIND("/",$A1896)+1,20))-1))),"")))</f>
        <v/>
      </c>
      <c r="D1896">
        <f>IF(OR($A1896="",$B1896=""),"",IF(ISNUMBER($A1896),MOD($A1896,100),IFERROR(VALUE(TRIM(MID(MID($A1896,FIND("/",$A1896)+1,20),FIND("/",MID($A1896,FIND("/",$A1896)+1,20))+1,20))),"")))</f>
        <v/>
      </c>
      <c r="E1896">
        <f>IF($A1896="","",IF(OR($B1896="",$C1896="",$D1896="",$B1896&lt;1300,$B1896&gt;1500,$C1896&lt;1,$C1896&gt;12,$D1896&lt;1,$D1896&gt;31),"نامعتبر",RIGHT("0000"&amp;$B1896,4)&amp;"/"&amp;RIGHT("00"&amp;$C1896,2)&amp;"/"&amp;RIGHT("00"&amp;$D1896,2)))</f>
        <v/>
      </c>
      <c r="F1896">
        <f>IF(OR($E1896="",$E1896="نامعتبر"),"",LEFT($E1896,4)&amp;"/"&amp;MID($E1896,6,2))</f>
        <v/>
      </c>
      <c r="G1896">
        <f>IF(OR($E1896="",$E1896="نامعتبر",Sync!$X1892=""),"",IF(AND(LEFT(UPPER(TRIM(Sync!$X1892)),2)="SL",IFERROR(VLOOKUP(Sync!$W1892,OpTbl,3,0),"")="فروش"),UPPER(TRIM(Sync!$X1892)),""))</f>
        <v/>
      </c>
      <c r="H1896">
        <f>IF($G1896="","",IF(Sync!$W1892="","",Sync!$W1892))</f>
        <v/>
      </c>
      <c r="I1896">
        <f>IF(OR($G1896="",Sync!$Y1892=""),"",Sync!$Y1892)</f>
        <v/>
      </c>
      <c r="J1896">
        <f>IF(OR($G1896="",Sync!$Z1892=""),"",Sync!$Z1892)</f>
        <v/>
      </c>
      <c r="K1896">
        <f>IF($G1896="",0,IF(Sync!$AA1892="",0,Sync!$AA1892))</f>
        <v/>
      </c>
      <c r="L1896">
        <f>IF($G1896="",0,IF(Sync!$AB1892="",0,Sync!$AB1892))</f>
        <v/>
      </c>
      <c r="M1896">
        <f>IF($G1896="","",IF($H1896="مرجوعی فروش",-1,1)*($K1896-$L1896*IFERROR(VLOOKUP("P01",ParamTbl,3,0),1.5)))</f>
        <v/>
      </c>
      <c r="N1896">
        <f>IF($G1896="",0,IF($H1896="مرجوعی فروش",-1,1)*IF(Sync!$AC1892="",0,Sync!$AC1892))</f>
        <v/>
      </c>
      <c r="O1896">
        <f>IF(OR($G1896="",Sync!$V1892=""),"",Sync!$V1892)</f>
        <v/>
      </c>
      <c r="P1896">
        <f>IF(OR($G1896="",Sync!$AD1892=""),"",Sync!$AD1892)</f>
        <v/>
      </c>
      <c r="Q1896">
        <f>IF($G1896="","",IF(Sync!$U1892="","0000",IF(AND(ISNUMBER(Sync!$U1892),Sync!$U1892&gt;=0,Sync!$U1892&lt;1),RIGHT("00"&amp;HOUR(Sync!$U1892),2)&amp;RIGHT("00"&amp;MINUTE(Sync!$U1892),2),IFERROR(RIGHT("00"&amp;VALUE(LEFT(Sync!$U1892,FIND(":",Sync!$U1892)-1)),2)&amp;RIGHT("00"&amp;VALUE(MID(Sync!$U1892,FIND(":",Sync!$U1892)+1,2)),2),"0000"))))</f>
        <v/>
      </c>
    </row>
    <row r="1897">
      <c r="A1897">
        <f>IF(Sync!$T1893="","",Sync!$T1893)</f>
        <v/>
      </c>
      <c r="B1897">
        <f>IF($A1897="","",IF(ISNUMBER($A1897),IF(AND($A1897&gt;=10000101,$A1897&lt;=99991231),INT($A1897/10000),""),IFERROR(VALUE(TRIM(LEFT($A1897,FIND("/",$A1897)-1))),"")))</f>
        <v/>
      </c>
      <c r="C1897">
        <f>IF(OR($A1897="",$B1897=""),"",IF(ISNUMBER($A1897),INT(MOD($A1897,10000)/100),IFERROR(VALUE(TRIM(LEFT(MID($A1897,FIND("/",$A1897)+1,20),FIND("/",MID($A1897,FIND("/",$A1897)+1,20))-1))),"")))</f>
        <v/>
      </c>
      <c r="D1897">
        <f>IF(OR($A1897="",$B1897=""),"",IF(ISNUMBER($A1897),MOD($A1897,100),IFERROR(VALUE(TRIM(MID(MID($A1897,FIND("/",$A1897)+1,20),FIND("/",MID($A1897,FIND("/",$A1897)+1,20))+1,20))),"")))</f>
        <v/>
      </c>
      <c r="E1897">
        <f>IF($A1897="","",IF(OR($B1897="",$C1897="",$D1897="",$B1897&lt;1300,$B1897&gt;1500,$C1897&lt;1,$C1897&gt;12,$D1897&lt;1,$D1897&gt;31),"نامعتبر",RIGHT("0000"&amp;$B1897,4)&amp;"/"&amp;RIGHT("00"&amp;$C1897,2)&amp;"/"&amp;RIGHT("00"&amp;$D1897,2)))</f>
        <v/>
      </c>
      <c r="F1897">
        <f>IF(OR($E1897="",$E1897="نامعتبر"),"",LEFT($E1897,4)&amp;"/"&amp;MID($E1897,6,2))</f>
        <v/>
      </c>
      <c r="G1897">
        <f>IF(OR($E1897="",$E1897="نامعتبر",Sync!$X1893=""),"",IF(AND(LEFT(UPPER(TRIM(Sync!$X1893)),2)="SL",IFERROR(VLOOKUP(Sync!$W1893,OpTbl,3,0),"")="فروش"),UPPER(TRIM(Sync!$X1893)),""))</f>
        <v/>
      </c>
      <c r="H1897">
        <f>IF($G1897="","",IF(Sync!$W1893="","",Sync!$W1893))</f>
        <v/>
      </c>
      <c r="I1897">
        <f>IF(OR($G1897="",Sync!$Y1893=""),"",Sync!$Y1893)</f>
        <v/>
      </c>
      <c r="J1897">
        <f>IF(OR($G1897="",Sync!$Z1893=""),"",Sync!$Z1893)</f>
        <v/>
      </c>
      <c r="K1897">
        <f>IF($G1897="",0,IF(Sync!$AA1893="",0,Sync!$AA1893))</f>
        <v/>
      </c>
      <c r="L1897">
        <f>IF($G1897="",0,IF(Sync!$AB1893="",0,Sync!$AB1893))</f>
        <v/>
      </c>
      <c r="M1897">
        <f>IF($G1897="","",IF($H1897="مرجوعی فروش",-1,1)*($K1897-$L1897*IFERROR(VLOOKUP("P01",ParamTbl,3,0),1.5)))</f>
        <v/>
      </c>
      <c r="N1897">
        <f>IF($G1897="",0,IF($H1897="مرجوعی فروش",-1,1)*IF(Sync!$AC1893="",0,Sync!$AC1893))</f>
        <v/>
      </c>
      <c r="O1897">
        <f>IF(OR($G1897="",Sync!$V1893=""),"",Sync!$V1893)</f>
        <v/>
      </c>
      <c r="P1897">
        <f>IF(OR($G1897="",Sync!$AD1893=""),"",Sync!$AD1893)</f>
        <v/>
      </c>
      <c r="Q1897">
        <f>IF($G1897="","",IF(Sync!$U1893="","0000",IF(AND(ISNUMBER(Sync!$U1893),Sync!$U1893&gt;=0,Sync!$U1893&lt;1),RIGHT("00"&amp;HOUR(Sync!$U1893),2)&amp;RIGHT("00"&amp;MINUTE(Sync!$U1893),2),IFERROR(RIGHT("00"&amp;VALUE(LEFT(Sync!$U1893,FIND(":",Sync!$U1893)-1)),2)&amp;RIGHT("00"&amp;VALUE(MID(Sync!$U1893,FIND(":",Sync!$U1893)+1,2)),2),"0000"))))</f>
        <v/>
      </c>
    </row>
    <row r="1898">
      <c r="A1898">
        <f>IF(Sync!$T1894="","",Sync!$T1894)</f>
        <v/>
      </c>
      <c r="B1898">
        <f>IF($A1898="","",IF(ISNUMBER($A1898),IF(AND($A1898&gt;=10000101,$A1898&lt;=99991231),INT($A1898/10000),""),IFERROR(VALUE(TRIM(LEFT($A1898,FIND("/",$A1898)-1))),"")))</f>
        <v/>
      </c>
      <c r="C1898">
        <f>IF(OR($A1898="",$B1898=""),"",IF(ISNUMBER($A1898),INT(MOD($A1898,10000)/100),IFERROR(VALUE(TRIM(LEFT(MID($A1898,FIND("/",$A1898)+1,20),FIND("/",MID($A1898,FIND("/",$A1898)+1,20))-1))),"")))</f>
        <v/>
      </c>
      <c r="D1898">
        <f>IF(OR($A1898="",$B1898=""),"",IF(ISNUMBER($A1898),MOD($A1898,100),IFERROR(VALUE(TRIM(MID(MID($A1898,FIND("/",$A1898)+1,20),FIND("/",MID($A1898,FIND("/",$A1898)+1,20))+1,20))),"")))</f>
        <v/>
      </c>
      <c r="E1898">
        <f>IF($A1898="","",IF(OR($B1898="",$C1898="",$D1898="",$B1898&lt;1300,$B1898&gt;1500,$C1898&lt;1,$C1898&gt;12,$D1898&lt;1,$D1898&gt;31),"نامعتبر",RIGHT("0000"&amp;$B1898,4)&amp;"/"&amp;RIGHT("00"&amp;$C1898,2)&amp;"/"&amp;RIGHT("00"&amp;$D1898,2)))</f>
        <v/>
      </c>
      <c r="F1898">
        <f>IF(OR($E1898="",$E1898="نامعتبر"),"",LEFT($E1898,4)&amp;"/"&amp;MID($E1898,6,2))</f>
        <v/>
      </c>
      <c r="G1898">
        <f>IF(OR($E1898="",$E1898="نامعتبر",Sync!$X1894=""),"",IF(AND(LEFT(UPPER(TRIM(Sync!$X1894)),2)="SL",IFERROR(VLOOKUP(Sync!$W1894,OpTbl,3,0),"")="فروش"),UPPER(TRIM(Sync!$X1894)),""))</f>
        <v/>
      </c>
      <c r="H1898">
        <f>IF($G1898="","",IF(Sync!$W1894="","",Sync!$W1894))</f>
        <v/>
      </c>
      <c r="I1898">
        <f>IF(OR($G1898="",Sync!$Y1894=""),"",Sync!$Y1894)</f>
        <v/>
      </c>
      <c r="J1898">
        <f>IF(OR($G1898="",Sync!$Z1894=""),"",Sync!$Z1894)</f>
        <v/>
      </c>
      <c r="K1898">
        <f>IF($G1898="",0,IF(Sync!$AA1894="",0,Sync!$AA1894))</f>
        <v/>
      </c>
      <c r="L1898">
        <f>IF($G1898="",0,IF(Sync!$AB1894="",0,Sync!$AB1894))</f>
        <v/>
      </c>
      <c r="M1898">
        <f>IF($G1898="","",IF($H1898="مرجوعی فروش",-1,1)*($K1898-$L1898*IFERROR(VLOOKUP("P01",ParamTbl,3,0),1.5)))</f>
        <v/>
      </c>
      <c r="N1898">
        <f>IF($G1898="",0,IF($H1898="مرجوعی فروش",-1,1)*IF(Sync!$AC1894="",0,Sync!$AC1894))</f>
        <v/>
      </c>
      <c r="O1898">
        <f>IF(OR($G1898="",Sync!$V1894=""),"",Sync!$V1894)</f>
        <v/>
      </c>
      <c r="P1898">
        <f>IF(OR($G1898="",Sync!$AD1894=""),"",Sync!$AD1894)</f>
        <v/>
      </c>
      <c r="Q1898">
        <f>IF($G1898="","",IF(Sync!$U1894="","0000",IF(AND(ISNUMBER(Sync!$U1894),Sync!$U1894&gt;=0,Sync!$U1894&lt;1),RIGHT("00"&amp;HOUR(Sync!$U1894),2)&amp;RIGHT("00"&amp;MINUTE(Sync!$U1894),2),IFERROR(RIGHT("00"&amp;VALUE(LEFT(Sync!$U1894,FIND(":",Sync!$U1894)-1)),2)&amp;RIGHT("00"&amp;VALUE(MID(Sync!$U1894,FIND(":",Sync!$U1894)+1,2)),2),"0000"))))</f>
        <v/>
      </c>
    </row>
    <row r="1899">
      <c r="A1899">
        <f>IF(Sync!$T1895="","",Sync!$T1895)</f>
        <v/>
      </c>
      <c r="B1899">
        <f>IF($A1899="","",IF(ISNUMBER($A1899),IF(AND($A1899&gt;=10000101,$A1899&lt;=99991231),INT($A1899/10000),""),IFERROR(VALUE(TRIM(LEFT($A1899,FIND("/",$A1899)-1))),"")))</f>
        <v/>
      </c>
      <c r="C1899">
        <f>IF(OR($A1899="",$B1899=""),"",IF(ISNUMBER($A1899),INT(MOD($A1899,10000)/100),IFERROR(VALUE(TRIM(LEFT(MID($A1899,FIND("/",$A1899)+1,20),FIND("/",MID($A1899,FIND("/",$A1899)+1,20))-1))),"")))</f>
        <v/>
      </c>
      <c r="D1899">
        <f>IF(OR($A1899="",$B1899=""),"",IF(ISNUMBER($A1899),MOD($A1899,100),IFERROR(VALUE(TRIM(MID(MID($A1899,FIND("/",$A1899)+1,20),FIND("/",MID($A1899,FIND("/",$A1899)+1,20))+1,20))),"")))</f>
        <v/>
      </c>
      <c r="E1899">
        <f>IF($A1899="","",IF(OR($B1899="",$C1899="",$D1899="",$B1899&lt;1300,$B1899&gt;1500,$C1899&lt;1,$C1899&gt;12,$D1899&lt;1,$D1899&gt;31),"نامعتبر",RIGHT("0000"&amp;$B1899,4)&amp;"/"&amp;RIGHT("00"&amp;$C1899,2)&amp;"/"&amp;RIGHT("00"&amp;$D1899,2)))</f>
        <v/>
      </c>
      <c r="F1899">
        <f>IF(OR($E1899="",$E1899="نامعتبر"),"",LEFT($E1899,4)&amp;"/"&amp;MID($E1899,6,2))</f>
        <v/>
      </c>
      <c r="G1899">
        <f>IF(OR($E1899="",$E1899="نامعتبر",Sync!$X1895=""),"",IF(AND(LEFT(UPPER(TRIM(Sync!$X1895)),2)="SL",IFERROR(VLOOKUP(Sync!$W1895,OpTbl,3,0),"")="فروش"),UPPER(TRIM(Sync!$X1895)),""))</f>
        <v/>
      </c>
      <c r="H1899">
        <f>IF($G1899="","",IF(Sync!$W1895="","",Sync!$W1895))</f>
        <v/>
      </c>
      <c r="I1899">
        <f>IF(OR($G1899="",Sync!$Y1895=""),"",Sync!$Y1895)</f>
        <v/>
      </c>
      <c r="J1899">
        <f>IF(OR($G1899="",Sync!$Z1895=""),"",Sync!$Z1895)</f>
        <v/>
      </c>
      <c r="K1899">
        <f>IF($G1899="",0,IF(Sync!$AA1895="",0,Sync!$AA1895))</f>
        <v/>
      </c>
      <c r="L1899">
        <f>IF($G1899="",0,IF(Sync!$AB1895="",0,Sync!$AB1895))</f>
        <v/>
      </c>
      <c r="M1899">
        <f>IF($G1899="","",IF($H1899="مرجوعی فروش",-1,1)*($K1899-$L1899*IFERROR(VLOOKUP("P01",ParamTbl,3,0),1.5)))</f>
        <v/>
      </c>
      <c r="N1899">
        <f>IF($G1899="",0,IF($H1899="مرجوعی فروش",-1,1)*IF(Sync!$AC1895="",0,Sync!$AC1895))</f>
        <v/>
      </c>
      <c r="O1899">
        <f>IF(OR($G1899="",Sync!$V1895=""),"",Sync!$V1895)</f>
        <v/>
      </c>
      <c r="P1899">
        <f>IF(OR($G1899="",Sync!$AD1895=""),"",Sync!$AD1895)</f>
        <v/>
      </c>
      <c r="Q1899">
        <f>IF($G1899="","",IF(Sync!$U1895="","0000",IF(AND(ISNUMBER(Sync!$U1895),Sync!$U1895&gt;=0,Sync!$U1895&lt;1),RIGHT("00"&amp;HOUR(Sync!$U1895),2)&amp;RIGHT("00"&amp;MINUTE(Sync!$U1895),2),IFERROR(RIGHT("00"&amp;VALUE(LEFT(Sync!$U1895,FIND(":",Sync!$U1895)-1)),2)&amp;RIGHT("00"&amp;VALUE(MID(Sync!$U1895,FIND(":",Sync!$U1895)+1,2)),2),"0000"))))</f>
        <v/>
      </c>
    </row>
    <row r="1900">
      <c r="A1900">
        <f>IF(Sync!$T1896="","",Sync!$T1896)</f>
        <v/>
      </c>
      <c r="B1900">
        <f>IF($A1900="","",IF(ISNUMBER($A1900),IF(AND($A1900&gt;=10000101,$A1900&lt;=99991231),INT($A1900/10000),""),IFERROR(VALUE(TRIM(LEFT($A1900,FIND("/",$A1900)-1))),"")))</f>
        <v/>
      </c>
      <c r="C1900">
        <f>IF(OR($A1900="",$B1900=""),"",IF(ISNUMBER($A1900),INT(MOD($A1900,10000)/100),IFERROR(VALUE(TRIM(LEFT(MID($A1900,FIND("/",$A1900)+1,20),FIND("/",MID($A1900,FIND("/",$A1900)+1,20))-1))),"")))</f>
        <v/>
      </c>
      <c r="D1900">
        <f>IF(OR($A1900="",$B1900=""),"",IF(ISNUMBER($A1900),MOD($A1900,100),IFERROR(VALUE(TRIM(MID(MID($A1900,FIND("/",$A1900)+1,20),FIND("/",MID($A1900,FIND("/",$A1900)+1,20))+1,20))),"")))</f>
        <v/>
      </c>
      <c r="E1900">
        <f>IF($A1900="","",IF(OR($B1900="",$C1900="",$D1900="",$B1900&lt;1300,$B1900&gt;1500,$C1900&lt;1,$C1900&gt;12,$D1900&lt;1,$D1900&gt;31),"نامعتبر",RIGHT("0000"&amp;$B1900,4)&amp;"/"&amp;RIGHT("00"&amp;$C1900,2)&amp;"/"&amp;RIGHT("00"&amp;$D1900,2)))</f>
        <v/>
      </c>
      <c r="F1900">
        <f>IF(OR($E1900="",$E1900="نامعتبر"),"",LEFT($E1900,4)&amp;"/"&amp;MID($E1900,6,2))</f>
        <v/>
      </c>
      <c r="G1900">
        <f>IF(OR($E1900="",$E1900="نامعتبر",Sync!$X1896=""),"",IF(AND(LEFT(UPPER(TRIM(Sync!$X1896)),2)="SL",IFERROR(VLOOKUP(Sync!$W1896,OpTbl,3,0),"")="فروش"),UPPER(TRIM(Sync!$X1896)),""))</f>
        <v/>
      </c>
      <c r="H1900">
        <f>IF($G1900="","",IF(Sync!$W1896="","",Sync!$W1896))</f>
        <v/>
      </c>
      <c r="I1900">
        <f>IF(OR($G1900="",Sync!$Y1896=""),"",Sync!$Y1896)</f>
        <v/>
      </c>
      <c r="J1900">
        <f>IF(OR($G1900="",Sync!$Z1896=""),"",Sync!$Z1896)</f>
        <v/>
      </c>
      <c r="K1900">
        <f>IF($G1900="",0,IF(Sync!$AA1896="",0,Sync!$AA1896))</f>
        <v/>
      </c>
      <c r="L1900">
        <f>IF($G1900="",0,IF(Sync!$AB1896="",0,Sync!$AB1896))</f>
        <v/>
      </c>
      <c r="M1900">
        <f>IF($G1900="","",IF($H1900="مرجوعی فروش",-1,1)*($K1900-$L1900*IFERROR(VLOOKUP("P01",ParamTbl,3,0),1.5)))</f>
        <v/>
      </c>
      <c r="N1900">
        <f>IF($G1900="",0,IF($H1900="مرجوعی فروش",-1,1)*IF(Sync!$AC1896="",0,Sync!$AC1896))</f>
        <v/>
      </c>
      <c r="O1900">
        <f>IF(OR($G1900="",Sync!$V1896=""),"",Sync!$V1896)</f>
        <v/>
      </c>
      <c r="P1900">
        <f>IF(OR($G1900="",Sync!$AD1896=""),"",Sync!$AD1896)</f>
        <v/>
      </c>
      <c r="Q1900">
        <f>IF($G1900="","",IF(Sync!$U1896="","0000",IF(AND(ISNUMBER(Sync!$U1896),Sync!$U1896&gt;=0,Sync!$U1896&lt;1),RIGHT("00"&amp;HOUR(Sync!$U1896),2)&amp;RIGHT("00"&amp;MINUTE(Sync!$U1896),2),IFERROR(RIGHT("00"&amp;VALUE(LEFT(Sync!$U1896,FIND(":",Sync!$U1896)-1)),2)&amp;RIGHT("00"&amp;VALUE(MID(Sync!$U1896,FIND(":",Sync!$U1896)+1,2)),2),"0000"))))</f>
        <v/>
      </c>
    </row>
    <row r="1901">
      <c r="A1901">
        <f>IF(Sync!$T1897="","",Sync!$T1897)</f>
        <v/>
      </c>
      <c r="B1901">
        <f>IF($A1901="","",IF(ISNUMBER($A1901),IF(AND($A1901&gt;=10000101,$A1901&lt;=99991231),INT($A1901/10000),""),IFERROR(VALUE(TRIM(LEFT($A1901,FIND("/",$A1901)-1))),"")))</f>
        <v/>
      </c>
      <c r="C1901">
        <f>IF(OR($A1901="",$B1901=""),"",IF(ISNUMBER($A1901),INT(MOD($A1901,10000)/100),IFERROR(VALUE(TRIM(LEFT(MID($A1901,FIND("/",$A1901)+1,20),FIND("/",MID($A1901,FIND("/",$A1901)+1,20))-1))),"")))</f>
        <v/>
      </c>
      <c r="D1901">
        <f>IF(OR($A1901="",$B1901=""),"",IF(ISNUMBER($A1901),MOD($A1901,100),IFERROR(VALUE(TRIM(MID(MID($A1901,FIND("/",$A1901)+1,20),FIND("/",MID($A1901,FIND("/",$A1901)+1,20))+1,20))),"")))</f>
        <v/>
      </c>
      <c r="E1901">
        <f>IF($A1901="","",IF(OR($B1901="",$C1901="",$D1901="",$B1901&lt;1300,$B1901&gt;1500,$C1901&lt;1,$C1901&gt;12,$D1901&lt;1,$D1901&gt;31),"نامعتبر",RIGHT("0000"&amp;$B1901,4)&amp;"/"&amp;RIGHT("00"&amp;$C1901,2)&amp;"/"&amp;RIGHT("00"&amp;$D1901,2)))</f>
        <v/>
      </c>
      <c r="F1901">
        <f>IF(OR($E1901="",$E1901="نامعتبر"),"",LEFT($E1901,4)&amp;"/"&amp;MID($E1901,6,2))</f>
        <v/>
      </c>
      <c r="G1901">
        <f>IF(OR($E1901="",$E1901="نامعتبر",Sync!$X1897=""),"",IF(AND(LEFT(UPPER(TRIM(Sync!$X1897)),2)="SL",IFERROR(VLOOKUP(Sync!$W1897,OpTbl,3,0),"")="فروش"),UPPER(TRIM(Sync!$X1897)),""))</f>
        <v/>
      </c>
      <c r="H1901">
        <f>IF($G1901="","",IF(Sync!$W1897="","",Sync!$W1897))</f>
        <v/>
      </c>
      <c r="I1901">
        <f>IF(OR($G1901="",Sync!$Y1897=""),"",Sync!$Y1897)</f>
        <v/>
      </c>
      <c r="J1901">
        <f>IF(OR($G1901="",Sync!$Z1897=""),"",Sync!$Z1897)</f>
        <v/>
      </c>
      <c r="K1901">
        <f>IF($G1901="",0,IF(Sync!$AA1897="",0,Sync!$AA1897))</f>
        <v/>
      </c>
      <c r="L1901">
        <f>IF($G1901="",0,IF(Sync!$AB1897="",0,Sync!$AB1897))</f>
        <v/>
      </c>
      <c r="M1901">
        <f>IF($G1901="","",IF($H1901="مرجوعی فروش",-1,1)*($K1901-$L1901*IFERROR(VLOOKUP("P01",ParamTbl,3,0),1.5)))</f>
        <v/>
      </c>
      <c r="N1901">
        <f>IF($G1901="",0,IF($H1901="مرجوعی فروش",-1,1)*IF(Sync!$AC1897="",0,Sync!$AC1897))</f>
        <v/>
      </c>
      <c r="O1901">
        <f>IF(OR($G1901="",Sync!$V1897=""),"",Sync!$V1897)</f>
        <v/>
      </c>
      <c r="P1901">
        <f>IF(OR($G1901="",Sync!$AD1897=""),"",Sync!$AD1897)</f>
        <v/>
      </c>
      <c r="Q1901">
        <f>IF($G1901="","",IF(Sync!$U1897="","0000",IF(AND(ISNUMBER(Sync!$U1897),Sync!$U1897&gt;=0,Sync!$U1897&lt;1),RIGHT("00"&amp;HOUR(Sync!$U1897),2)&amp;RIGHT("00"&amp;MINUTE(Sync!$U1897),2),IFERROR(RIGHT("00"&amp;VALUE(LEFT(Sync!$U1897,FIND(":",Sync!$U1897)-1)),2)&amp;RIGHT("00"&amp;VALUE(MID(Sync!$U1897,FIND(":",Sync!$U1897)+1,2)),2),"0000"))))</f>
        <v/>
      </c>
    </row>
    <row r="1902">
      <c r="A1902">
        <f>IF(Sync!$T1898="","",Sync!$T1898)</f>
        <v/>
      </c>
      <c r="B1902">
        <f>IF($A1902="","",IF(ISNUMBER($A1902),IF(AND($A1902&gt;=10000101,$A1902&lt;=99991231),INT($A1902/10000),""),IFERROR(VALUE(TRIM(LEFT($A1902,FIND("/",$A1902)-1))),"")))</f>
        <v/>
      </c>
      <c r="C1902">
        <f>IF(OR($A1902="",$B1902=""),"",IF(ISNUMBER($A1902),INT(MOD($A1902,10000)/100),IFERROR(VALUE(TRIM(LEFT(MID($A1902,FIND("/",$A1902)+1,20),FIND("/",MID($A1902,FIND("/",$A1902)+1,20))-1))),"")))</f>
        <v/>
      </c>
      <c r="D1902">
        <f>IF(OR($A1902="",$B1902=""),"",IF(ISNUMBER($A1902),MOD($A1902,100),IFERROR(VALUE(TRIM(MID(MID($A1902,FIND("/",$A1902)+1,20),FIND("/",MID($A1902,FIND("/",$A1902)+1,20))+1,20))),"")))</f>
        <v/>
      </c>
      <c r="E1902">
        <f>IF($A1902="","",IF(OR($B1902="",$C1902="",$D1902="",$B1902&lt;1300,$B1902&gt;1500,$C1902&lt;1,$C1902&gt;12,$D1902&lt;1,$D1902&gt;31),"نامعتبر",RIGHT("0000"&amp;$B1902,4)&amp;"/"&amp;RIGHT("00"&amp;$C1902,2)&amp;"/"&amp;RIGHT("00"&amp;$D1902,2)))</f>
        <v/>
      </c>
      <c r="F1902">
        <f>IF(OR($E1902="",$E1902="نامعتبر"),"",LEFT($E1902,4)&amp;"/"&amp;MID($E1902,6,2))</f>
        <v/>
      </c>
      <c r="G1902">
        <f>IF(OR($E1902="",$E1902="نامعتبر",Sync!$X1898=""),"",IF(AND(LEFT(UPPER(TRIM(Sync!$X1898)),2)="SL",IFERROR(VLOOKUP(Sync!$W1898,OpTbl,3,0),"")="فروش"),UPPER(TRIM(Sync!$X1898)),""))</f>
        <v/>
      </c>
      <c r="H1902">
        <f>IF($G1902="","",IF(Sync!$W1898="","",Sync!$W1898))</f>
        <v/>
      </c>
      <c r="I1902">
        <f>IF(OR($G1902="",Sync!$Y1898=""),"",Sync!$Y1898)</f>
        <v/>
      </c>
      <c r="J1902">
        <f>IF(OR($G1902="",Sync!$Z1898=""),"",Sync!$Z1898)</f>
        <v/>
      </c>
      <c r="K1902">
        <f>IF($G1902="",0,IF(Sync!$AA1898="",0,Sync!$AA1898))</f>
        <v/>
      </c>
      <c r="L1902">
        <f>IF($G1902="",0,IF(Sync!$AB1898="",0,Sync!$AB1898))</f>
        <v/>
      </c>
      <c r="M1902">
        <f>IF($G1902="","",IF($H1902="مرجوعی فروش",-1,1)*($K1902-$L1902*IFERROR(VLOOKUP("P01",ParamTbl,3,0),1.5)))</f>
        <v/>
      </c>
      <c r="N1902">
        <f>IF($G1902="",0,IF($H1902="مرجوعی فروش",-1,1)*IF(Sync!$AC1898="",0,Sync!$AC1898))</f>
        <v/>
      </c>
      <c r="O1902">
        <f>IF(OR($G1902="",Sync!$V1898=""),"",Sync!$V1898)</f>
        <v/>
      </c>
      <c r="P1902">
        <f>IF(OR($G1902="",Sync!$AD1898=""),"",Sync!$AD1898)</f>
        <v/>
      </c>
      <c r="Q1902">
        <f>IF($G1902="","",IF(Sync!$U1898="","0000",IF(AND(ISNUMBER(Sync!$U1898),Sync!$U1898&gt;=0,Sync!$U1898&lt;1),RIGHT("00"&amp;HOUR(Sync!$U1898),2)&amp;RIGHT("00"&amp;MINUTE(Sync!$U1898),2),IFERROR(RIGHT("00"&amp;VALUE(LEFT(Sync!$U1898,FIND(":",Sync!$U1898)-1)),2)&amp;RIGHT("00"&amp;VALUE(MID(Sync!$U1898,FIND(":",Sync!$U1898)+1,2)),2),"0000"))))</f>
        <v/>
      </c>
    </row>
    <row r="1903">
      <c r="A1903">
        <f>IF(Sync!$T1899="","",Sync!$T1899)</f>
        <v/>
      </c>
      <c r="B1903">
        <f>IF($A1903="","",IF(ISNUMBER($A1903),IF(AND($A1903&gt;=10000101,$A1903&lt;=99991231),INT($A1903/10000),""),IFERROR(VALUE(TRIM(LEFT($A1903,FIND("/",$A1903)-1))),"")))</f>
        <v/>
      </c>
      <c r="C1903">
        <f>IF(OR($A1903="",$B1903=""),"",IF(ISNUMBER($A1903),INT(MOD($A1903,10000)/100),IFERROR(VALUE(TRIM(LEFT(MID($A1903,FIND("/",$A1903)+1,20),FIND("/",MID($A1903,FIND("/",$A1903)+1,20))-1))),"")))</f>
        <v/>
      </c>
      <c r="D1903">
        <f>IF(OR($A1903="",$B1903=""),"",IF(ISNUMBER($A1903),MOD($A1903,100),IFERROR(VALUE(TRIM(MID(MID($A1903,FIND("/",$A1903)+1,20),FIND("/",MID($A1903,FIND("/",$A1903)+1,20))+1,20))),"")))</f>
        <v/>
      </c>
      <c r="E1903">
        <f>IF($A1903="","",IF(OR($B1903="",$C1903="",$D1903="",$B1903&lt;1300,$B1903&gt;1500,$C1903&lt;1,$C1903&gt;12,$D1903&lt;1,$D1903&gt;31),"نامعتبر",RIGHT("0000"&amp;$B1903,4)&amp;"/"&amp;RIGHT("00"&amp;$C1903,2)&amp;"/"&amp;RIGHT("00"&amp;$D1903,2)))</f>
        <v/>
      </c>
      <c r="F1903">
        <f>IF(OR($E1903="",$E1903="نامعتبر"),"",LEFT($E1903,4)&amp;"/"&amp;MID($E1903,6,2))</f>
        <v/>
      </c>
      <c r="G1903">
        <f>IF(OR($E1903="",$E1903="نامعتبر",Sync!$X1899=""),"",IF(AND(LEFT(UPPER(TRIM(Sync!$X1899)),2)="SL",IFERROR(VLOOKUP(Sync!$W1899,OpTbl,3,0),"")="فروش"),UPPER(TRIM(Sync!$X1899)),""))</f>
        <v/>
      </c>
      <c r="H1903">
        <f>IF($G1903="","",IF(Sync!$W1899="","",Sync!$W1899))</f>
        <v/>
      </c>
      <c r="I1903">
        <f>IF(OR($G1903="",Sync!$Y1899=""),"",Sync!$Y1899)</f>
        <v/>
      </c>
      <c r="J1903">
        <f>IF(OR($G1903="",Sync!$Z1899=""),"",Sync!$Z1899)</f>
        <v/>
      </c>
      <c r="K1903">
        <f>IF($G1903="",0,IF(Sync!$AA1899="",0,Sync!$AA1899))</f>
        <v/>
      </c>
      <c r="L1903">
        <f>IF($G1903="",0,IF(Sync!$AB1899="",0,Sync!$AB1899))</f>
        <v/>
      </c>
      <c r="M1903">
        <f>IF($G1903="","",IF($H1903="مرجوعی فروش",-1,1)*($K1903-$L1903*IFERROR(VLOOKUP("P01",ParamTbl,3,0),1.5)))</f>
        <v/>
      </c>
      <c r="N1903">
        <f>IF($G1903="",0,IF($H1903="مرجوعی فروش",-1,1)*IF(Sync!$AC1899="",0,Sync!$AC1899))</f>
        <v/>
      </c>
      <c r="O1903">
        <f>IF(OR($G1903="",Sync!$V1899=""),"",Sync!$V1899)</f>
        <v/>
      </c>
      <c r="P1903">
        <f>IF(OR($G1903="",Sync!$AD1899=""),"",Sync!$AD1899)</f>
        <v/>
      </c>
      <c r="Q1903">
        <f>IF($G1903="","",IF(Sync!$U1899="","0000",IF(AND(ISNUMBER(Sync!$U1899),Sync!$U1899&gt;=0,Sync!$U1899&lt;1),RIGHT("00"&amp;HOUR(Sync!$U1899),2)&amp;RIGHT("00"&amp;MINUTE(Sync!$U1899),2),IFERROR(RIGHT("00"&amp;VALUE(LEFT(Sync!$U1899,FIND(":",Sync!$U1899)-1)),2)&amp;RIGHT("00"&amp;VALUE(MID(Sync!$U1899,FIND(":",Sync!$U1899)+1,2)),2),"0000"))))</f>
        <v/>
      </c>
    </row>
    <row r="1904">
      <c r="A1904">
        <f>IF(Sync!$T1900="","",Sync!$T1900)</f>
        <v/>
      </c>
      <c r="B1904">
        <f>IF($A1904="","",IF(ISNUMBER($A1904),IF(AND($A1904&gt;=10000101,$A1904&lt;=99991231),INT($A1904/10000),""),IFERROR(VALUE(TRIM(LEFT($A1904,FIND("/",$A1904)-1))),"")))</f>
        <v/>
      </c>
      <c r="C1904">
        <f>IF(OR($A1904="",$B1904=""),"",IF(ISNUMBER($A1904),INT(MOD($A1904,10000)/100),IFERROR(VALUE(TRIM(LEFT(MID($A1904,FIND("/",$A1904)+1,20),FIND("/",MID($A1904,FIND("/",$A1904)+1,20))-1))),"")))</f>
        <v/>
      </c>
      <c r="D1904">
        <f>IF(OR($A1904="",$B1904=""),"",IF(ISNUMBER($A1904),MOD($A1904,100),IFERROR(VALUE(TRIM(MID(MID($A1904,FIND("/",$A1904)+1,20),FIND("/",MID($A1904,FIND("/",$A1904)+1,20))+1,20))),"")))</f>
        <v/>
      </c>
      <c r="E1904">
        <f>IF($A1904="","",IF(OR($B1904="",$C1904="",$D1904="",$B1904&lt;1300,$B1904&gt;1500,$C1904&lt;1,$C1904&gt;12,$D1904&lt;1,$D1904&gt;31),"نامعتبر",RIGHT("0000"&amp;$B1904,4)&amp;"/"&amp;RIGHT("00"&amp;$C1904,2)&amp;"/"&amp;RIGHT("00"&amp;$D1904,2)))</f>
        <v/>
      </c>
      <c r="F1904">
        <f>IF(OR($E1904="",$E1904="نامعتبر"),"",LEFT($E1904,4)&amp;"/"&amp;MID($E1904,6,2))</f>
        <v/>
      </c>
      <c r="G1904">
        <f>IF(OR($E1904="",$E1904="نامعتبر",Sync!$X1900=""),"",IF(AND(LEFT(UPPER(TRIM(Sync!$X1900)),2)="SL",IFERROR(VLOOKUP(Sync!$W1900,OpTbl,3,0),"")="فروش"),UPPER(TRIM(Sync!$X1900)),""))</f>
        <v/>
      </c>
      <c r="H1904">
        <f>IF($G1904="","",IF(Sync!$W1900="","",Sync!$W1900))</f>
        <v/>
      </c>
      <c r="I1904">
        <f>IF(OR($G1904="",Sync!$Y1900=""),"",Sync!$Y1900)</f>
        <v/>
      </c>
      <c r="J1904">
        <f>IF(OR($G1904="",Sync!$Z1900=""),"",Sync!$Z1900)</f>
        <v/>
      </c>
      <c r="K1904">
        <f>IF($G1904="",0,IF(Sync!$AA1900="",0,Sync!$AA1900))</f>
        <v/>
      </c>
      <c r="L1904">
        <f>IF($G1904="",0,IF(Sync!$AB1900="",0,Sync!$AB1900))</f>
        <v/>
      </c>
      <c r="M1904">
        <f>IF($G1904="","",IF($H1904="مرجوعی فروش",-1,1)*($K1904-$L1904*IFERROR(VLOOKUP("P01",ParamTbl,3,0),1.5)))</f>
        <v/>
      </c>
      <c r="N1904">
        <f>IF($G1904="",0,IF($H1904="مرجوعی فروش",-1,1)*IF(Sync!$AC1900="",0,Sync!$AC1900))</f>
        <v/>
      </c>
      <c r="O1904">
        <f>IF(OR($G1904="",Sync!$V1900=""),"",Sync!$V1900)</f>
        <v/>
      </c>
      <c r="P1904">
        <f>IF(OR($G1904="",Sync!$AD1900=""),"",Sync!$AD1900)</f>
        <v/>
      </c>
      <c r="Q1904">
        <f>IF($G1904="","",IF(Sync!$U1900="","0000",IF(AND(ISNUMBER(Sync!$U1900),Sync!$U1900&gt;=0,Sync!$U1900&lt;1),RIGHT("00"&amp;HOUR(Sync!$U1900),2)&amp;RIGHT("00"&amp;MINUTE(Sync!$U1900),2),IFERROR(RIGHT("00"&amp;VALUE(LEFT(Sync!$U1900,FIND(":",Sync!$U1900)-1)),2)&amp;RIGHT("00"&amp;VALUE(MID(Sync!$U1900,FIND(":",Sync!$U1900)+1,2)),2),"0000"))))</f>
        <v/>
      </c>
    </row>
    <row r="1905">
      <c r="A1905">
        <f>IF(Sync!$T1901="","",Sync!$T1901)</f>
        <v/>
      </c>
      <c r="B1905">
        <f>IF($A1905="","",IF(ISNUMBER($A1905),IF(AND($A1905&gt;=10000101,$A1905&lt;=99991231),INT($A1905/10000),""),IFERROR(VALUE(TRIM(LEFT($A1905,FIND("/",$A1905)-1))),"")))</f>
        <v/>
      </c>
      <c r="C1905">
        <f>IF(OR($A1905="",$B1905=""),"",IF(ISNUMBER($A1905),INT(MOD($A1905,10000)/100),IFERROR(VALUE(TRIM(LEFT(MID($A1905,FIND("/",$A1905)+1,20),FIND("/",MID($A1905,FIND("/",$A1905)+1,20))-1))),"")))</f>
        <v/>
      </c>
      <c r="D1905">
        <f>IF(OR($A1905="",$B1905=""),"",IF(ISNUMBER($A1905),MOD($A1905,100),IFERROR(VALUE(TRIM(MID(MID($A1905,FIND("/",$A1905)+1,20),FIND("/",MID($A1905,FIND("/",$A1905)+1,20))+1,20))),"")))</f>
        <v/>
      </c>
      <c r="E1905">
        <f>IF($A1905="","",IF(OR($B1905="",$C1905="",$D1905="",$B1905&lt;1300,$B1905&gt;1500,$C1905&lt;1,$C1905&gt;12,$D1905&lt;1,$D1905&gt;31),"نامعتبر",RIGHT("0000"&amp;$B1905,4)&amp;"/"&amp;RIGHT("00"&amp;$C1905,2)&amp;"/"&amp;RIGHT("00"&amp;$D1905,2)))</f>
        <v/>
      </c>
      <c r="F1905">
        <f>IF(OR($E1905="",$E1905="نامعتبر"),"",LEFT($E1905,4)&amp;"/"&amp;MID($E1905,6,2))</f>
        <v/>
      </c>
      <c r="G1905">
        <f>IF(OR($E1905="",$E1905="نامعتبر",Sync!$X1901=""),"",IF(AND(LEFT(UPPER(TRIM(Sync!$X1901)),2)="SL",IFERROR(VLOOKUP(Sync!$W1901,OpTbl,3,0),"")="فروش"),UPPER(TRIM(Sync!$X1901)),""))</f>
        <v/>
      </c>
      <c r="H1905">
        <f>IF($G1905="","",IF(Sync!$W1901="","",Sync!$W1901))</f>
        <v/>
      </c>
      <c r="I1905">
        <f>IF(OR($G1905="",Sync!$Y1901=""),"",Sync!$Y1901)</f>
        <v/>
      </c>
      <c r="J1905">
        <f>IF(OR($G1905="",Sync!$Z1901=""),"",Sync!$Z1901)</f>
        <v/>
      </c>
      <c r="K1905">
        <f>IF($G1905="",0,IF(Sync!$AA1901="",0,Sync!$AA1901))</f>
        <v/>
      </c>
      <c r="L1905">
        <f>IF($G1905="",0,IF(Sync!$AB1901="",0,Sync!$AB1901))</f>
        <v/>
      </c>
      <c r="M1905">
        <f>IF($G1905="","",IF($H1905="مرجوعی فروش",-1,1)*($K1905-$L1905*IFERROR(VLOOKUP("P01",ParamTbl,3,0),1.5)))</f>
        <v/>
      </c>
      <c r="N1905">
        <f>IF($G1905="",0,IF($H1905="مرجوعی فروش",-1,1)*IF(Sync!$AC1901="",0,Sync!$AC1901))</f>
        <v/>
      </c>
      <c r="O1905">
        <f>IF(OR($G1905="",Sync!$V1901=""),"",Sync!$V1901)</f>
        <v/>
      </c>
      <c r="P1905">
        <f>IF(OR($G1905="",Sync!$AD1901=""),"",Sync!$AD1901)</f>
        <v/>
      </c>
      <c r="Q1905">
        <f>IF($G1905="","",IF(Sync!$U1901="","0000",IF(AND(ISNUMBER(Sync!$U1901),Sync!$U1901&gt;=0,Sync!$U1901&lt;1),RIGHT("00"&amp;HOUR(Sync!$U1901),2)&amp;RIGHT("00"&amp;MINUTE(Sync!$U1901),2),IFERROR(RIGHT("00"&amp;VALUE(LEFT(Sync!$U1901,FIND(":",Sync!$U1901)-1)),2)&amp;RIGHT("00"&amp;VALUE(MID(Sync!$U1901,FIND(":",Sync!$U1901)+1,2)),2),"0000"))))</f>
        <v/>
      </c>
    </row>
    <row r="1906">
      <c r="A1906">
        <f>IF(Sync!$T1902="","",Sync!$T1902)</f>
        <v/>
      </c>
      <c r="B1906">
        <f>IF($A1906="","",IF(ISNUMBER($A1906),IF(AND($A1906&gt;=10000101,$A1906&lt;=99991231),INT($A1906/10000),""),IFERROR(VALUE(TRIM(LEFT($A1906,FIND("/",$A1906)-1))),"")))</f>
        <v/>
      </c>
      <c r="C1906">
        <f>IF(OR($A1906="",$B1906=""),"",IF(ISNUMBER($A1906),INT(MOD($A1906,10000)/100),IFERROR(VALUE(TRIM(LEFT(MID($A1906,FIND("/",$A1906)+1,20),FIND("/",MID($A1906,FIND("/",$A1906)+1,20))-1))),"")))</f>
        <v/>
      </c>
      <c r="D1906">
        <f>IF(OR($A1906="",$B1906=""),"",IF(ISNUMBER($A1906),MOD($A1906,100),IFERROR(VALUE(TRIM(MID(MID($A1906,FIND("/",$A1906)+1,20),FIND("/",MID($A1906,FIND("/",$A1906)+1,20))+1,20))),"")))</f>
        <v/>
      </c>
      <c r="E1906">
        <f>IF($A1906="","",IF(OR($B1906="",$C1906="",$D1906="",$B1906&lt;1300,$B1906&gt;1500,$C1906&lt;1,$C1906&gt;12,$D1906&lt;1,$D1906&gt;31),"نامعتبر",RIGHT("0000"&amp;$B1906,4)&amp;"/"&amp;RIGHT("00"&amp;$C1906,2)&amp;"/"&amp;RIGHT("00"&amp;$D1906,2)))</f>
        <v/>
      </c>
      <c r="F1906">
        <f>IF(OR($E1906="",$E1906="نامعتبر"),"",LEFT($E1906,4)&amp;"/"&amp;MID($E1906,6,2))</f>
        <v/>
      </c>
      <c r="G1906">
        <f>IF(OR($E1906="",$E1906="نامعتبر",Sync!$X1902=""),"",IF(AND(LEFT(UPPER(TRIM(Sync!$X1902)),2)="SL",IFERROR(VLOOKUP(Sync!$W1902,OpTbl,3,0),"")="فروش"),UPPER(TRIM(Sync!$X1902)),""))</f>
        <v/>
      </c>
      <c r="H1906">
        <f>IF($G1906="","",IF(Sync!$W1902="","",Sync!$W1902))</f>
        <v/>
      </c>
      <c r="I1906">
        <f>IF(OR($G1906="",Sync!$Y1902=""),"",Sync!$Y1902)</f>
        <v/>
      </c>
      <c r="J1906">
        <f>IF(OR($G1906="",Sync!$Z1902=""),"",Sync!$Z1902)</f>
        <v/>
      </c>
      <c r="K1906">
        <f>IF($G1906="",0,IF(Sync!$AA1902="",0,Sync!$AA1902))</f>
        <v/>
      </c>
      <c r="L1906">
        <f>IF($G1906="",0,IF(Sync!$AB1902="",0,Sync!$AB1902))</f>
        <v/>
      </c>
      <c r="M1906">
        <f>IF($G1906="","",IF($H1906="مرجوعی فروش",-1,1)*($K1906-$L1906*IFERROR(VLOOKUP("P01",ParamTbl,3,0),1.5)))</f>
        <v/>
      </c>
      <c r="N1906">
        <f>IF($G1906="",0,IF($H1906="مرجوعی فروش",-1,1)*IF(Sync!$AC1902="",0,Sync!$AC1902))</f>
        <v/>
      </c>
      <c r="O1906">
        <f>IF(OR($G1906="",Sync!$V1902=""),"",Sync!$V1902)</f>
        <v/>
      </c>
      <c r="P1906">
        <f>IF(OR($G1906="",Sync!$AD1902=""),"",Sync!$AD1902)</f>
        <v/>
      </c>
      <c r="Q1906">
        <f>IF($G1906="","",IF(Sync!$U1902="","0000",IF(AND(ISNUMBER(Sync!$U1902),Sync!$U1902&gt;=0,Sync!$U1902&lt;1),RIGHT("00"&amp;HOUR(Sync!$U1902),2)&amp;RIGHT("00"&amp;MINUTE(Sync!$U1902),2),IFERROR(RIGHT("00"&amp;VALUE(LEFT(Sync!$U1902,FIND(":",Sync!$U1902)-1)),2)&amp;RIGHT("00"&amp;VALUE(MID(Sync!$U1902,FIND(":",Sync!$U1902)+1,2)),2),"0000"))))</f>
        <v/>
      </c>
    </row>
    <row r="1907">
      <c r="A1907">
        <f>IF(Sync!$T1903="","",Sync!$T1903)</f>
        <v/>
      </c>
      <c r="B1907">
        <f>IF($A1907="","",IF(ISNUMBER($A1907),IF(AND($A1907&gt;=10000101,$A1907&lt;=99991231),INT($A1907/10000),""),IFERROR(VALUE(TRIM(LEFT($A1907,FIND("/",$A1907)-1))),"")))</f>
        <v/>
      </c>
      <c r="C1907">
        <f>IF(OR($A1907="",$B1907=""),"",IF(ISNUMBER($A1907),INT(MOD($A1907,10000)/100),IFERROR(VALUE(TRIM(LEFT(MID($A1907,FIND("/",$A1907)+1,20),FIND("/",MID($A1907,FIND("/",$A1907)+1,20))-1))),"")))</f>
        <v/>
      </c>
      <c r="D1907">
        <f>IF(OR($A1907="",$B1907=""),"",IF(ISNUMBER($A1907),MOD($A1907,100),IFERROR(VALUE(TRIM(MID(MID($A1907,FIND("/",$A1907)+1,20),FIND("/",MID($A1907,FIND("/",$A1907)+1,20))+1,20))),"")))</f>
        <v/>
      </c>
      <c r="E1907">
        <f>IF($A1907="","",IF(OR($B1907="",$C1907="",$D1907="",$B1907&lt;1300,$B1907&gt;1500,$C1907&lt;1,$C1907&gt;12,$D1907&lt;1,$D1907&gt;31),"نامعتبر",RIGHT("0000"&amp;$B1907,4)&amp;"/"&amp;RIGHT("00"&amp;$C1907,2)&amp;"/"&amp;RIGHT("00"&amp;$D1907,2)))</f>
        <v/>
      </c>
      <c r="F1907">
        <f>IF(OR($E1907="",$E1907="نامعتبر"),"",LEFT($E1907,4)&amp;"/"&amp;MID($E1907,6,2))</f>
        <v/>
      </c>
      <c r="G1907">
        <f>IF(OR($E1907="",$E1907="نامعتبر",Sync!$X1903=""),"",IF(AND(LEFT(UPPER(TRIM(Sync!$X1903)),2)="SL",IFERROR(VLOOKUP(Sync!$W1903,OpTbl,3,0),"")="فروش"),UPPER(TRIM(Sync!$X1903)),""))</f>
        <v/>
      </c>
      <c r="H1907">
        <f>IF($G1907="","",IF(Sync!$W1903="","",Sync!$W1903))</f>
        <v/>
      </c>
      <c r="I1907">
        <f>IF(OR($G1907="",Sync!$Y1903=""),"",Sync!$Y1903)</f>
        <v/>
      </c>
      <c r="J1907">
        <f>IF(OR($G1907="",Sync!$Z1903=""),"",Sync!$Z1903)</f>
        <v/>
      </c>
      <c r="K1907">
        <f>IF($G1907="",0,IF(Sync!$AA1903="",0,Sync!$AA1903))</f>
        <v/>
      </c>
      <c r="L1907">
        <f>IF($G1907="",0,IF(Sync!$AB1903="",0,Sync!$AB1903))</f>
        <v/>
      </c>
      <c r="M1907">
        <f>IF($G1907="","",IF($H1907="مرجوعی فروش",-1,1)*($K1907-$L1907*IFERROR(VLOOKUP("P01",ParamTbl,3,0),1.5)))</f>
        <v/>
      </c>
      <c r="N1907">
        <f>IF($G1907="",0,IF($H1907="مرجوعی فروش",-1,1)*IF(Sync!$AC1903="",0,Sync!$AC1903))</f>
        <v/>
      </c>
      <c r="O1907">
        <f>IF(OR($G1907="",Sync!$V1903=""),"",Sync!$V1903)</f>
        <v/>
      </c>
      <c r="P1907">
        <f>IF(OR($G1907="",Sync!$AD1903=""),"",Sync!$AD1903)</f>
        <v/>
      </c>
      <c r="Q1907">
        <f>IF($G1907="","",IF(Sync!$U1903="","0000",IF(AND(ISNUMBER(Sync!$U1903),Sync!$U1903&gt;=0,Sync!$U1903&lt;1),RIGHT("00"&amp;HOUR(Sync!$U1903),2)&amp;RIGHT("00"&amp;MINUTE(Sync!$U1903),2),IFERROR(RIGHT("00"&amp;VALUE(LEFT(Sync!$U1903,FIND(":",Sync!$U1903)-1)),2)&amp;RIGHT("00"&amp;VALUE(MID(Sync!$U1903,FIND(":",Sync!$U1903)+1,2)),2),"0000"))))</f>
        <v/>
      </c>
    </row>
    <row r="1908">
      <c r="A1908">
        <f>IF(Sync!$T1904="","",Sync!$T1904)</f>
        <v/>
      </c>
      <c r="B1908">
        <f>IF($A1908="","",IF(ISNUMBER($A1908),IF(AND($A1908&gt;=10000101,$A1908&lt;=99991231),INT($A1908/10000),""),IFERROR(VALUE(TRIM(LEFT($A1908,FIND("/",$A1908)-1))),"")))</f>
        <v/>
      </c>
      <c r="C1908">
        <f>IF(OR($A1908="",$B1908=""),"",IF(ISNUMBER($A1908),INT(MOD($A1908,10000)/100),IFERROR(VALUE(TRIM(LEFT(MID($A1908,FIND("/",$A1908)+1,20),FIND("/",MID($A1908,FIND("/",$A1908)+1,20))-1))),"")))</f>
        <v/>
      </c>
      <c r="D1908">
        <f>IF(OR($A1908="",$B1908=""),"",IF(ISNUMBER($A1908),MOD($A1908,100),IFERROR(VALUE(TRIM(MID(MID($A1908,FIND("/",$A1908)+1,20),FIND("/",MID($A1908,FIND("/",$A1908)+1,20))+1,20))),"")))</f>
        <v/>
      </c>
      <c r="E1908">
        <f>IF($A1908="","",IF(OR($B1908="",$C1908="",$D1908="",$B1908&lt;1300,$B1908&gt;1500,$C1908&lt;1,$C1908&gt;12,$D1908&lt;1,$D1908&gt;31),"نامعتبر",RIGHT("0000"&amp;$B1908,4)&amp;"/"&amp;RIGHT("00"&amp;$C1908,2)&amp;"/"&amp;RIGHT("00"&amp;$D1908,2)))</f>
        <v/>
      </c>
      <c r="F1908">
        <f>IF(OR($E1908="",$E1908="نامعتبر"),"",LEFT($E1908,4)&amp;"/"&amp;MID($E1908,6,2))</f>
        <v/>
      </c>
      <c r="G1908">
        <f>IF(OR($E1908="",$E1908="نامعتبر",Sync!$X1904=""),"",IF(AND(LEFT(UPPER(TRIM(Sync!$X1904)),2)="SL",IFERROR(VLOOKUP(Sync!$W1904,OpTbl,3,0),"")="فروش"),UPPER(TRIM(Sync!$X1904)),""))</f>
        <v/>
      </c>
      <c r="H1908">
        <f>IF($G1908="","",IF(Sync!$W1904="","",Sync!$W1904))</f>
        <v/>
      </c>
      <c r="I1908">
        <f>IF(OR($G1908="",Sync!$Y1904=""),"",Sync!$Y1904)</f>
        <v/>
      </c>
      <c r="J1908">
        <f>IF(OR($G1908="",Sync!$Z1904=""),"",Sync!$Z1904)</f>
        <v/>
      </c>
      <c r="K1908">
        <f>IF($G1908="",0,IF(Sync!$AA1904="",0,Sync!$AA1904))</f>
        <v/>
      </c>
      <c r="L1908">
        <f>IF($G1908="",0,IF(Sync!$AB1904="",0,Sync!$AB1904))</f>
        <v/>
      </c>
      <c r="M1908">
        <f>IF($G1908="","",IF($H1908="مرجوعی فروش",-1,1)*($K1908-$L1908*IFERROR(VLOOKUP("P01",ParamTbl,3,0),1.5)))</f>
        <v/>
      </c>
      <c r="N1908">
        <f>IF($G1908="",0,IF($H1908="مرجوعی فروش",-1,1)*IF(Sync!$AC1904="",0,Sync!$AC1904))</f>
        <v/>
      </c>
      <c r="O1908">
        <f>IF(OR($G1908="",Sync!$V1904=""),"",Sync!$V1904)</f>
        <v/>
      </c>
      <c r="P1908">
        <f>IF(OR($G1908="",Sync!$AD1904=""),"",Sync!$AD1904)</f>
        <v/>
      </c>
      <c r="Q1908">
        <f>IF($G1908="","",IF(Sync!$U1904="","0000",IF(AND(ISNUMBER(Sync!$U1904),Sync!$U1904&gt;=0,Sync!$U1904&lt;1),RIGHT("00"&amp;HOUR(Sync!$U1904),2)&amp;RIGHT("00"&amp;MINUTE(Sync!$U1904),2),IFERROR(RIGHT("00"&amp;VALUE(LEFT(Sync!$U1904,FIND(":",Sync!$U1904)-1)),2)&amp;RIGHT("00"&amp;VALUE(MID(Sync!$U1904,FIND(":",Sync!$U1904)+1,2)),2),"0000"))))</f>
        <v/>
      </c>
    </row>
    <row r="1909">
      <c r="A1909">
        <f>IF(Sync!$T1905="","",Sync!$T1905)</f>
        <v/>
      </c>
      <c r="B1909">
        <f>IF($A1909="","",IF(ISNUMBER($A1909),IF(AND($A1909&gt;=10000101,$A1909&lt;=99991231),INT($A1909/10000),""),IFERROR(VALUE(TRIM(LEFT($A1909,FIND("/",$A1909)-1))),"")))</f>
        <v/>
      </c>
      <c r="C1909">
        <f>IF(OR($A1909="",$B1909=""),"",IF(ISNUMBER($A1909),INT(MOD($A1909,10000)/100),IFERROR(VALUE(TRIM(LEFT(MID($A1909,FIND("/",$A1909)+1,20),FIND("/",MID($A1909,FIND("/",$A1909)+1,20))-1))),"")))</f>
        <v/>
      </c>
      <c r="D1909">
        <f>IF(OR($A1909="",$B1909=""),"",IF(ISNUMBER($A1909),MOD($A1909,100),IFERROR(VALUE(TRIM(MID(MID($A1909,FIND("/",$A1909)+1,20),FIND("/",MID($A1909,FIND("/",$A1909)+1,20))+1,20))),"")))</f>
        <v/>
      </c>
      <c r="E1909">
        <f>IF($A1909="","",IF(OR($B1909="",$C1909="",$D1909="",$B1909&lt;1300,$B1909&gt;1500,$C1909&lt;1,$C1909&gt;12,$D1909&lt;1,$D1909&gt;31),"نامعتبر",RIGHT("0000"&amp;$B1909,4)&amp;"/"&amp;RIGHT("00"&amp;$C1909,2)&amp;"/"&amp;RIGHT("00"&amp;$D1909,2)))</f>
        <v/>
      </c>
      <c r="F1909">
        <f>IF(OR($E1909="",$E1909="نامعتبر"),"",LEFT($E1909,4)&amp;"/"&amp;MID($E1909,6,2))</f>
        <v/>
      </c>
      <c r="G1909">
        <f>IF(OR($E1909="",$E1909="نامعتبر",Sync!$X1905=""),"",IF(AND(LEFT(UPPER(TRIM(Sync!$X1905)),2)="SL",IFERROR(VLOOKUP(Sync!$W1905,OpTbl,3,0),"")="فروش"),UPPER(TRIM(Sync!$X1905)),""))</f>
        <v/>
      </c>
      <c r="H1909">
        <f>IF($G1909="","",IF(Sync!$W1905="","",Sync!$W1905))</f>
        <v/>
      </c>
      <c r="I1909">
        <f>IF(OR($G1909="",Sync!$Y1905=""),"",Sync!$Y1905)</f>
        <v/>
      </c>
      <c r="J1909">
        <f>IF(OR($G1909="",Sync!$Z1905=""),"",Sync!$Z1905)</f>
        <v/>
      </c>
      <c r="K1909">
        <f>IF($G1909="",0,IF(Sync!$AA1905="",0,Sync!$AA1905))</f>
        <v/>
      </c>
      <c r="L1909">
        <f>IF($G1909="",0,IF(Sync!$AB1905="",0,Sync!$AB1905))</f>
        <v/>
      </c>
      <c r="M1909">
        <f>IF($G1909="","",IF($H1909="مرجوعی فروش",-1,1)*($K1909-$L1909*IFERROR(VLOOKUP("P01",ParamTbl,3,0),1.5)))</f>
        <v/>
      </c>
      <c r="N1909">
        <f>IF($G1909="",0,IF($H1909="مرجوعی فروش",-1,1)*IF(Sync!$AC1905="",0,Sync!$AC1905))</f>
        <v/>
      </c>
      <c r="O1909">
        <f>IF(OR($G1909="",Sync!$V1905=""),"",Sync!$V1905)</f>
        <v/>
      </c>
      <c r="P1909">
        <f>IF(OR($G1909="",Sync!$AD1905=""),"",Sync!$AD1905)</f>
        <v/>
      </c>
      <c r="Q1909">
        <f>IF($G1909="","",IF(Sync!$U1905="","0000",IF(AND(ISNUMBER(Sync!$U1905),Sync!$U1905&gt;=0,Sync!$U1905&lt;1),RIGHT("00"&amp;HOUR(Sync!$U1905),2)&amp;RIGHT("00"&amp;MINUTE(Sync!$U1905),2),IFERROR(RIGHT("00"&amp;VALUE(LEFT(Sync!$U1905,FIND(":",Sync!$U1905)-1)),2)&amp;RIGHT("00"&amp;VALUE(MID(Sync!$U1905,FIND(":",Sync!$U1905)+1,2)),2),"0000"))))</f>
        <v/>
      </c>
    </row>
    <row r="1910">
      <c r="A1910">
        <f>IF(Sync!$T1906="","",Sync!$T1906)</f>
        <v/>
      </c>
      <c r="B1910">
        <f>IF($A1910="","",IF(ISNUMBER($A1910),IF(AND($A1910&gt;=10000101,$A1910&lt;=99991231),INT($A1910/10000),""),IFERROR(VALUE(TRIM(LEFT($A1910,FIND("/",$A1910)-1))),"")))</f>
        <v/>
      </c>
      <c r="C1910">
        <f>IF(OR($A1910="",$B1910=""),"",IF(ISNUMBER($A1910),INT(MOD($A1910,10000)/100),IFERROR(VALUE(TRIM(LEFT(MID($A1910,FIND("/",$A1910)+1,20),FIND("/",MID($A1910,FIND("/",$A1910)+1,20))-1))),"")))</f>
        <v/>
      </c>
      <c r="D1910">
        <f>IF(OR($A1910="",$B1910=""),"",IF(ISNUMBER($A1910),MOD($A1910,100),IFERROR(VALUE(TRIM(MID(MID($A1910,FIND("/",$A1910)+1,20),FIND("/",MID($A1910,FIND("/",$A1910)+1,20))+1,20))),"")))</f>
        <v/>
      </c>
      <c r="E1910">
        <f>IF($A1910="","",IF(OR($B1910="",$C1910="",$D1910="",$B1910&lt;1300,$B1910&gt;1500,$C1910&lt;1,$C1910&gt;12,$D1910&lt;1,$D1910&gt;31),"نامعتبر",RIGHT("0000"&amp;$B1910,4)&amp;"/"&amp;RIGHT("00"&amp;$C1910,2)&amp;"/"&amp;RIGHT("00"&amp;$D1910,2)))</f>
        <v/>
      </c>
      <c r="F1910">
        <f>IF(OR($E1910="",$E1910="نامعتبر"),"",LEFT($E1910,4)&amp;"/"&amp;MID($E1910,6,2))</f>
        <v/>
      </c>
      <c r="G1910">
        <f>IF(OR($E1910="",$E1910="نامعتبر",Sync!$X1906=""),"",IF(AND(LEFT(UPPER(TRIM(Sync!$X1906)),2)="SL",IFERROR(VLOOKUP(Sync!$W1906,OpTbl,3,0),"")="فروش"),UPPER(TRIM(Sync!$X1906)),""))</f>
        <v/>
      </c>
      <c r="H1910">
        <f>IF($G1910="","",IF(Sync!$W1906="","",Sync!$W1906))</f>
        <v/>
      </c>
      <c r="I1910">
        <f>IF(OR($G1910="",Sync!$Y1906=""),"",Sync!$Y1906)</f>
        <v/>
      </c>
      <c r="J1910">
        <f>IF(OR($G1910="",Sync!$Z1906=""),"",Sync!$Z1906)</f>
        <v/>
      </c>
      <c r="K1910">
        <f>IF($G1910="",0,IF(Sync!$AA1906="",0,Sync!$AA1906))</f>
        <v/>
      </c>
      <c r="L1910">
        <f>IF($G1910="",0,IF(Sync!$AB1906="",0,Sync!$AB1906))</f>
        <v/>
      </c>
      <c r="M1910">
        <f>IF($G1910="","",IF($H1910="مرجوعی فروش",-1,1)*($K1910-$L1910*IFERROR(VLOOKUP("P01",ParamTbl,3,0),1.5)))</f>
        <v/>
      </c>
      <c r="N1910">
        <f>IF($G1910="",0,IF($H1910="مرجوعی فروش",-1,1)*IF(Sync!$AC1906="",0,Sync!$AC1906))</f>
        <v/>
      </c>
      <c r="O1910">
        <f>IF(OR($G1910="",Sync!$V1906=""),"",Sync!$V1906)</f>
        <v/>
      </c>
      <c r="P1910">
        <f>IF(OR($G1910="",Sync!$AD1906=""),"",Sync!$AD1906)</f>
        <v/>
      </c>
      <c r="Q1910">
        <f>IF($G1910="","",IF(Sync!$U1906="","0000",IF(AND(ISNUMBER(Sync!$U1906),Sync!$U1906&gt;=0,Sync!$U1906&lt;1),RIGHT("00"&amp;HOUR(Sync!$U1906),2)&amp;RIGHT("00"&amp;MINUTE(Sync!$U1906),2),IFERROR(RIGHT("00"&amp;VALUE(LEFT(Sync!$U1906,FIND(":",Sync!$U1906)-1)),2)&amp;RIGHT("00"&amp;VALUE(MID(Sync!$U1906,FIND(":",Sync!$U1906)+1,2)),2),"0000"))))</f>
        <v/>
      </c>
    </row>
    <row r="1911">
      <c r="A1911">
        <f>IF(Sync!$T1907="","",Sync!$T1907)</f>
        <v/>
      </c>
      <c r="B1911">
        <f>IF($A1911="","",IF(ISNUMBER($A1911),IF(AND($A1911&gt;=10000101,$A1911&lt;=99991231),INT($A1911/10000),""),IFERROR(VALUE(TRIM(LEFT($A1911,FIND("/",$A1911)-1))),"")))</f>
        <v/>
      </c>
      <c r="C1911">
        <f>IF(OR($A1911="",$B1911=""),"",IF(ISNUMBER($A1911),INT(MOD($A1911,10000)/100),IFERROR(VALUE(TRIM(LEFT(MID($A1911,FIND("/",$A1911)+1,20),FIND("/",MID($A1911,FIND("/",$A1911)+1,20))-1))),"")))</f>
        <v/>
      </c>
      <c r="D1911">
        <f>IF(OR($A1911="",$B1911=""),"",IF(ISNUMBER($A1911),MOD($A1911,100),IFERROR(VALUE(TRIM(MID(MID($A1911,FIND("/",$A1911)+1,20),FIND("/",MID($A1911,FIND("/",$A1911)+1,20))+1,20))),"")))</f>
        <v/>
      </c>
      <c r="E1911">
        <f>IF($A1911="","",IF(OR($B1911="",$C1911="",$D1911="",$B1911&lt;1300,$B1911&gt;1500,$C1911&lt;1,$C1911&gt;12,$D1911&lt;1,$D1911&gt;31),"نامعتبر",RIGHT("0000"&amp;$B1911,4)&amp;"/"&amp;RIGHT("00"&amp;$C1911,2)&amp;"/"&amp;RIGHT("00"&amp;$D1911,2)))</f>
        <v/>
      </c>
      <c r="F1911">
        <f>IF(OR($E1911="",$E1911="نامعتبر"),"",LEFT($E1911,4)&amp;"/"&amp;MID($E1911,6,2))</f>
        <v/>
      </c>
      <c r="G1911">
        <f>IF(OR($E1911="",$E1911="نامعتبر",Sync!$X1907=""),"",IF(AND(LEFT(UPPER(TRIM(Sync!$X1907)),2)="SL",IFERROR(VLOOKUP(Sync!$W1907,OpTbl,3,0),"")="فروش"),UPPER(TRIM(Sync!$X1907)),""))</f>
        <v/>
      </c>
      <c r="H1911">
        <f>IF($G1911="","",IF(Sync!$W1907="","",Sync!$W1907))</f>
        <v/>
      </c>
      <c r="I1911">
        <f>IF(OR($G1911="",Sync!$Y1907=""),"",Sync!$Y1907)</f>
        <v/>
      </c>
      <c r="J1911">
        <f>IF(OR($G1911="",Sync!$Z1907=""),"",Sync!$Z1907)</f>
        <v/>
      </c>
      <c r="K1911">
        <f>IF($G1911="",0,IF(Sync!$AA1907="",0,Sync!$AA1907))</f>
        <v/>
      </c>
      <c r="L1911">
        <f>IF($G1911="",0,IF(Sync!$AB1907="",0,Sync!$AB1907))</f>
        <v/>
      </c>
      <c r="M1911">
        <f>IF($G1911="","",IF($H1911="مرجوعی فروش",-1,1)*($K1911-$L1911*IFERROR(VLOOKUP("P01",ParamTbl,3,0),1.5)))</f>
        <v/>
      </c>
      <c r="N1911">
        <f>IF($G1911="",0,IF($H1911="مرجوعی فروش",-1,1)*IF(Sync!$AC1907="",0,Sync!$AC1907))</f>
        <v/>
      </c>
      <c r="O1911">
        <f>IF(OR($G1911="",Sync!$V1907=""),"",Sync!$V1907)</f>
        <v/>
      </c>
      <c r="P1911">
        <f>IF(OR($G1911="",Sync!$AD1907=""),"",Sync!$AD1907)</f>
        <v/>
      </c>
      <c r="Q1911">
        <f>IF($G1911="","",IF(Sync!$U1907="","0000",IF(AND(ISNUMBER(Sync!$U1907),Sync!$U1907&gt;=0,Sync!$U1907&lt;1),RIGHT("00"&amp;HOUR(Sync!$U1907),2)&amp;RIGHT("00"&amp;MINUTE(Sync!$U1907),2),IFERROR(RIGHT("00"&amp;VALUE(LEFT(Sync!$U1907,FIND(":",Sync!$U1907)-1)),2)&amp;RIGHT("00"&amp;VALUE(MID(Sync!$U1907,FIND(":",Sync!$U1907)+1,2)),2),"0000"))))</f>
        <v/>
      </c>
    </row>
    <row r="1912">
      <c r="A1912">
        <f>IF(Sync!$T1908="","",Sync!$T1908)</f>
        <v/>
      </c>
      <c r="B1912">
        <f>IF($A1912="","",IF(ISNUMBER($A1912),IF(AND($A1912&gt;=10000101,$A1912&lt;=99991231),INT($A1912/10000),""),IFERROR(VALUE(TRIM(LEFT($A1912,FIND("/",$A1912)-1))),"")))</f>
        <v/>
      </c>
      <c r="C1912">
        <f>IF(OR($A1912="",$B1912=""),"",IF(ISNUMBER($A1912),INT(MOD($A1912,10000)/100),IFERROR(VALUE(TRIM(LEFT(MID($A1912,FIND("/",$A1912)+1,20),FIND("/",MID($A1912,FIND("/",$A1912)+1,20))-1))),"")))</f>
        <v/>
      </c>
      <c r="D1912">
        <f>IF(OR($A1912="",$B1912=""),"",IF(ISNUMBER($A1912),MOD($A1912,100),IFERROR(VALUE(TRIM(MID(MID($A1912,FIND("/",$A1912)+1,20),FIND("/",MID($A1912,FIND("/",$A1912)+1,20))+1,20))),"")))</f>
        <v/>
      </c>
      <c r="E1912">
        <f>IF($A1912="","",IF(OR($B1912="",$C1912="",$D1912="",$B1912&lt;1300,$B1912&gt;1500,$C1912&lt;1,$C1912&gt;12,$D1912&lt;1,$D1912&gt;31),"نامعتبر",RIGHT("0000"&amp;$B1912,4)&amp;"/"&amp;RIGHT("00"&amp;$C1912,2)&amp;"/"&amp;RIGHT("00"&amp;$D1912,2)))</f>
        <v/>
      </c>
      <c r="F1912">
        <f>IF(OR($E1912="",$E1912="نامعتبر"),"",LEFT($E1912,4)&amp;"/"&amp;MID($E1912,6,2))</f>
        <v/>
      </c>
      <c r="G1912">
        <f>IF(OR($E1912="",$E1912="نامعتبر",Sync!$X1908=""),"",IF(AND(LEFT(UPPER(TRIM(Sync!$X1908)),2)="SL",IFERROR(VLOOKUP(Sync!$W1908,OpTbl,3,0),"")="فروش"),UPPER(TRIM(Sync!$X1908)),""))</f>
        <v/>
      </c>
      <c r="H1912">
        <f>IF($G1912="","",IF(Sync!$W1908="","",Sync!$W1908))</f>
        <v/>
      </c>
      <c r="I1912">
        <f>IF(OR($G1912="",Sync!$Y1908=""),"",Sync!$Y1908)</f>
        <v/>
      </c>
      <c r="J1912">
        <f>IF(OR($G1912="",Sync!$Z1908=""),"",Sync!$Z1908)</f>
        <v/>
      </c>
      <c r="K1912">
        <f>IF($G1912="",0,IF(Sync!$AA1908="",0,Sync!$AA1908))</f>
        <v/>
      </c>
      <c r="L1912">
        <f>IF($G1912="",0,IF(Sync!$AB1908="",0,Sync!$AB1908))</f>
        <v/>
      </c>
      <c r="M1912">
        <f>IF($G1912="","",IF($H1912="مرجوعی فروش",-1,1)*($K1912-$L1912*IFERROR(VLOOKUP("P01",ParamTbl,3,0),1.5)))</f>
        <v/>
      </c>
      <c r="N1912">
        <f>IF($G1912="",0,IF($H1912="مرجوعی فروش",-1,1)*IF(Sync!$AC1908="",0,Sync!$AC1908))</f>
        <v/>
      </c>
      <c r="O1912">
        <f>IF(OR($G1912="",Sync!$V1908=""),"",Sync!$V1908)</f>
        <v/>
      </c>
      <c r="P1912">
        <f>IF(OR($G1912="",Sync!$AD1908=""),"",Sync!$AD1908)</f>
        <v/>
      </c>
      <c r="Q1912">
        <f>IF($G1912="","",IF(Sync!$U1908="","0000",IF(AND(ISNUMBER(Sync!$U1908),Sync!$U1908&gt;=0,Sync!$U1908&lt;1),RIGHT("00"&amp;HOUR(Sync!$U1908),2)&amp;RIGHT("00"&amp;MINUTE(Sync!$U1908),2),IFERROR(RIGHT("00"&amp;VALUE(LEFT(Sync!$U1908,FIND(":",Sync!$U1908)-1)),2)&amp;RIGHT("00"&amp;VALUE(MID(Sync!$U1908,FIND(":",Sync!$U1908)+1,2)),2),"0000"))))</f>
        <v/>
      </c>
    </row>
    <row r="1913">
      <c r="A1913">
        <f>IF(Sync!$T1909="","",Sync!$T1909)</f>
        <v/>
      </c>
      <c r="B1913">
        <f>IF($A1913="","",IF(ISNUMBER($A1913),IF(AND($A1913&gt;=10000101,$A1913&lt;=99991231),INT($A1913/10000),""),IFERROR(VALUE(TRIM(LEFT($A1913,FIND("/",$A1913)-1))),"")))</f>
        <v/>
      </c>
      <c r="C1913">
        <f>IF(OR($A1913="",$B1913=""),"",IF(ISNUMBER($A1913),INT(MOD($A1913,10000)/100),IFERROR(VALUE(TRIM(LEFT(MID($A1913,FIND("/",$A1913)+1,20),FIND("/",MID($A1913,FIND("/",$A1913)+1,20))-1))),"")))</f>
        <v/>
      </c>
      <c r="D1913">
        <f>IF(OR($A1913="",$B1913=""),"",IF(ISNUMBER($A1913),MOD($A1913,100),IFERROR(VALUE(TRIM(MID(MID($A1913,FIND("/",$A1913)+1,20),FIND("/",MID($A1913,FIND("/",$A1913)+1,20))+1,20))),"")))</f>
        <v/>
      </c>
      <c r="E1913">
        <f>IF($A1913="","",IF(OR($B1913="",$C1913="",$D1913="",$B1913&lt;1300,$B1913&gt;1500,$C1913&lt;1,$C1913&gt;12,$D1913&lt;1,$D1913&gt;31),"نامعتبر",RIGHT("0000"&amp;$B1913,4)&amp;"/"&amp;RIGHT("00"&amp;$C1913,2)&amp;"/"&amp;RIGHT("00"&amp;$D1913,2)))</f>
        <v/>
      </c>
      <c r="F1913">
        <f>IF(OR($E1913="",$E1913="نامعتبر"),"",LEFT($E1913,4)&amp;"/"&amp;MID($E1913,6,2))</f>
        <v/>
      </c>
      <c r="G1913">
        <f>IF(OR($E1913="",$E1913="نامعتبر",Sync!$X1909=""),"",IF(AND(LEFT(UPPER(TRIM(Sync!$X1909)),2)="SL",IFERROR(VLOOKUP(Sync!$W1909,OpTbl,3,0),"")="فروش"),UPPER(TRIM(Sync!$X1909)),""))</f>
        <v/>
      </c>
      <c r="H1913">
        <f>IF($G1913="","",IF(Sync!$W1909="","",Sync!$W1909))</f>
        <v/>
      </c>
      <c r="I1913">
        <f>IF(OR($G1913="",Sync!$Y1909=""),"",Sync!$Y1909)</f>
        <v/>
      </c>
      <c r="J1913">
        <f>IF(OR($G1913="",Sync!$Z1909=""),"",Sync!$Z1909)</f>
        <v/>
      </c>
      <c r="K1913">
        <f>IF($G1913="",0,IF(Sync!$AA1909="",0,Sync!$AA1909))</f>
        <v/>
      </c>
      <c r="L1913">
        <f>IF($G1913="",0,IF(Sync!$AB1909="",0,Sync!$AB1909))</f>
        <v/>
      </c>
      <c r="M1913">
        <f>IF($G1913="","",IF($H1913="مرجوعی فروش",-1,1)*($K1913-$L1913*IFERROR(VLOOKUP("P01",ParamTbl,3,0),1.5)))</f>
        <v/>
      </c>
      <c r="N1913">
        <f>IF($G1913="",0,IF($H1913="مرجوعی فروش",-1,1)*IF(Sync!$AC1909="",0,Sync!$AC1909))</f>
        <v/>
      </c>
      <c r="O1913">
        <f>IF(OR($G1913="",Sync!$V1909=""),"",Sync!$V1909)</f>
        <v/>
      </c>
      <c r="P1913">
        <f>IF(OR($G1913="",Sync!$AD1909=""),"",Sync!$AD1909)</f>
        <v/>
      </c>
      <c r="Q1913">
        <f>IF($G1913="","",IF(Sync!$U1909="","0000",IF(AND(ISNUMBER(Sync!$U1909),Sync!$U1909&gt;=0,Sync!$U1909&lt;1),RIGHT("00"&amp;HOUR(Sync!$U1909),2)&amp;RIGHT("00"&amp;MINUTE(Sync!$U1909),2),IFERROR(RIGHT("00"&amp;VALUE(LEFT(Sync!$U1909,FIND(":",Sync!$U1909)-1)),2)&amp;RIGHT("00"&amp;VALUE(MID(Sync!$U1909,FIND(":",Sync!$U1909)+1,2)),2),"0000"))))</f>
        <v/>
      </c>
    </row>
    <row r="1914">
      <c r="A1914">
        <f>IF(Sync!$T1910="","",Sync!$T1910)</f>
        <v/>
      </c>
      <c r="B1914">
        <f>IF($A1914="","",IF(ISNUMBER($A1914),IF(AND($A1914&gt;=10000101,$A1914&lt;=99991231),INT($A1914/10000),""),IFERROR(VALUE(TRIM(LEFT($A1914,FIND("/",$A1914)-1))),"")))</f>
        <v/>
      </c>
      <c r="C1914">
        <f>IF(OR($A1914="",$B1914=""),"",IF(ISNUMBER($A1914),INT(MOD($A1914,10000)/100),IFERROR(VALUE(TRIM(LEFT(MID($A1914,FIND("/",$A1914)+1,20),FIND("/",MID($A1914,FIND("/",$A1914)+1,20))-1))),"")))</f>
        <v/>
      </c>
      <c r="D1914">
        <f>IF(OR($A1914="",$B1914=""),"",IF(ISNUMBER($A1914),MOD($A1914,100),IFERROR(VALUE(TRIM(MID(MID($A1914,FIND("/",$A1914)+1,20),FIND("/",MID($A1914,FIND("/",$A1914)+1,20))+1,20))),"")))</f>
        <v/>
      </c>
      <c r="E1914">
        <f>IF($A1914="","",IF(OR($B1914="",$C1914="",$D1914="",$B1914&lt;1300,$B1914&gt;1500,$C1914&lt;1,$C1914&gt;12,$D1914&lt;1,$D1914&gt;31),"نامعتبر",RIGHT("0000"&amp;$B1914,4)&amp;"/"&amp;RIGHT("00"&amp;$C1914,2)&amp;"/"&amp;RIGHT("00"&amp;$D1914,2)))</f>
        <v/>
      </c>
      <c r="F1914">
        <f>IF(OR($E1914="",$E1914="نامعتبر"),"",LEFT($E1914,4)&amp;"/"&amp;MID($E1914,6,2))</f>
        <v/>
      </c>
      <c r="G1914">
        <f>IF(OR($E1914="",$E1914="نامعتبر",Sync!$X1910=""),"",IF(AND(LEFT(UPPER(TRIM(Sync!$X1910)),2)="SL",IFERROR(VLOOKUP(Sync!$W1910,OpTbl,3,0),"")="فروش"),UPPER(TRIM(Sync!$X1910)),""))</f>
        <v/>
      </c>
      <c r="H1914">
        <f>IF($G1914="","",IF(Sync!$W1910="","",Sync!$W1910))</f>
        <v/>
      </c>
      <c r="I1914">
        <f>IF(OR($G1914="",Sync!$Y1910=""),"",Sync!$Y1910)</f>
        <v/>
      </c>
      <c r="J1914">
        <f>IF(OR($G1914="",Sync!$Z1910=""),"",Sync!$Z1910)</f>
        <v/>
      </c>
      <c r="K1914">
        <f>IF($G1914="",0,IF(Sync!$AA1910="",0,Sync!$AA1910))</f>
        <v/>
      </c>
      <c r="L1914">
        <f>IF($G1914="",0,IF(Sync!$AB1910="",0,Sync!$AB1910))</f>
        <v/>
      </c>
      <c r="M1914">
        <f>IF($G1914="","",IF($H1914="مرجوعی فروش",-1,1)*($K1914-$L1914*IFERROR(VLOOKUP("P01",ParamTbl,3,0),1.5)))</f>
        <v/>
      </c>
      <c r="N1914">
        <f>IF($G1914="",0,IF($H1914="مرجوعی فروش",-1,1)*IF(Sync!$AC1910="",0,Sync!$AC1910))</f>
        <v/>
      </c>
      <c r="O1914">
        <f>IF(OR($G1914="",Sync!$V1910=""),"",Sync!$V1910)</f>
        <v/>
      </c>
      <c r="P1914">
        <f>IF(OR($G1914="",Sync!$AD1910=""),"",Sync!$AD1910)</f>
        <v/>
      </c>
      <c r="Q1914">
        <f>IF($G1914="","",IF(Sync!$U1910="","0000",IF(AND(ISNUMBER(Sync!$U1910),Sync!$U1910&gt;=0,Sync!$U1910&lt;1),RIGHT("00"&amp;HOUR(Sync!$U1910),2)&amp;RIGHT("00"&amp;MINUTE(Sync!$U1910),2),IFERROR(RIGHT("00"&amp;VALUE(LEFT(Sync!$U1910,FIND(":",Sync!$U1910)-1)),2)&amp;RIGHT("00"&amp;VALUE(MID(Sync!$U1910,FIND(":",Sync!$U1910)+1,2)),2),"0000"))))</f>
        <v/>
      </c>
    </row>
    <row r="1915">
      <c r="A1915">
        <f>IF(Sync!$T1911="","",Sync!$T1911)</f>
        <v/>
      </c>
      <c r="B1915">
        <f>IF($A1915="","",IF(ISNUMBER($A1915),IF(AND($A1915&gt;=10000101,$A1915&lt;=99991231),INT($A1915/10000),""),IFERROR(VALUE(TRIM(LEFT($A1915,FIND("/",$A1915)-1))),"")))</f>
        <v/>
      </c>
      <c r="C1915">
        <f>IF(OR($A1915="",$B1915=""),"",IF(ISNUMBER($A1915),INT(MOD($A1915,10000)/100),IFERROR(VALUE(TRIM(LEFT(MID($A1915,FIND("/",$A1915)+1,20),FIND("/",MID($A1915,FIND("/",$A1915)+1,20))-1))),"")))</f>
        <v/>
      </c>
      <c r="D1915">
        <f>IF(OR($A1915="",$B1915=""),"",IF(ISNUMBER($A1915),MOD($A1915,100),IFERROR(VALUE(TRIM(MID(MID($A1915,FIND("/",$A1915)+1,20),FIND("/",MID($A1915,FIND("/",$A1915)+1,20))+1,20))),"")))</f>
        <v/>
      </c>
      <c r="E1915">
        <f>IF($A1915="","",IF(OR($B1915="",$C1915="",$D1915="",$B1915&lt;1300,$B1915&gt;1500,$C1915&lt;1,$C1915&gt;12,$D1915&lt;1,$D1915&gt;31),"نامعتبر",RIGHT("0000"&amp;$B1915,4)&amp;"/"&amp;RIGHT("00"&amp;$C1915,2)&amp;"/"&amp;RIGHT("00"&amp;$D1915,2)))</f>
        <v/>
      </c>
      <c r="F1915">
        <f>IF(OR($E1915="",$E1915="نامعتبر"),"",LEFT($E1915,4)&amp;"/"&amp;MID($E1915,6,2))</f>
        <v/>
      </c>
      <c r="G1915">
        <f>IF(OR($E1915="",$E1915="نامعتبر",Sync!$X1911=""),"",IF(AND(LEFT(UPPER(TRIM(Sync!$X1911)),2)="SL",IFERROR(VLOOKUP(Sync!$W1911,OpTbl,3,0),"")="فروش"),UPPER(TRIM(Sync!$X1911)),""))</f>
        <v/>
      </c>
      <c r="H1915">
        <f>IF($G1915="","",IF(Sync!$W1911="","",Sync!$W1911))</f>
        <v/>
      </c>
      <c r="I1915">
        <f>IF(OR($G1915="",Sync!$Y1911=""),"",Sync!$Y1911)</f>
        <v/>
      </c>
      <c r="J1915">
        <f>IF(OR($G1915="",Sync!$Z1911=""),"",Sync!$Z1911)</f>
        <v/>
      </c>
      <c r="K1915">
        <f>IF($G1915="",0,IF(Sync!$AA1911="",0,Sync!$AA1911))</f>
        <v/>
      </c>
      <c r="L1915">
        <f>IF($G1915="",0,IF(Sync!$AB1911="",0,Sync!$AB1911))</f>
        <v/>
      </c>
      <c r="M1915">
        <f>IF($G1915="","",IF($H1915="مرجوعی فروش",-1,1)*($K1915-$L1915*IFERROR(VLOOKUP("P01",ParamTbl,3,0),1.5)))</f>
        <v/>
      </c>
      <c r="N1915">
        <f>IF($G1915="",0,IF($H1915="مرجوعی فروش",-1,1)*IF(Sync!$AC1911="",0,Sync!$AC1911))</f>
        <v/>
      </c>
      <c r="O1915">
        <f>IF(OR($G1915="",Sync!$V1911=""),"",Sync!$V1911)</f>
        <v/>
      </c>
      <c r="P1915">
        <f>IF(OR($G1915="",Sync!$AD1911=""),"",Sync!$AD1911)</f>
        <v/>
      </c>
      <c r="Q1915">
        <f>IF($G1915="","",IF(Sync!$U1911="","0000",IF(AND(ISNUMBER(Sync!$U1911),Sync!$U1911&gt;=0,Sync!$U1911&lt;1),RIGHT("00"&amp;HOUR(Sync!$U1911),2)&amp;RIGHT("00"&amp;MINUTE(Sync!$U1911),2),IFERROR(RIGHT("00"&amp;VALUE(LEFT(Sync!$U1911,FIND(":",Sync!$U1911)-1)),2)&amp;RIGHT("00"&amp;VALUE(MID(Sync!$U1911,FIND(":",Sync!$U1911)+1,2)),2),"0000"))))</f>
        <v/>
      </c>
    </row>
    <row r="1916">
      <c r="A1916">
        <f>IF(Sync!$T1912="","",Sync!$T1912)</f>
        <v/>
      </c>
      <c r="B1916">
        <f>IF($A1916="","",IF(ISNUMBER($A1916),IF(AND($A1916&gt;=10000101,$A1916&lt;=99991231),INT($A1916/10000),""),IFERROR(VALUE(TRIM(LEFT($A1916,FIND("/",$A1916)-1))),"")))</f>
        <v/>
      </c>
      <c r="C1916">
        <f>IF(OR($A1916="",$B1916=""),"",IF(ISNUMBER($A1916),INT(MOD($A1916,10000)/100),IFERROR(VALUE(TRIM(LEFT(MID($A1916,FIND("/",$A1916)+1,20),FIND("/",MID($A1916,FIND("/",$A1916)+1,20))-1))),"")))</f>
        <v/>
      </c>
      <c r="D1916">
        <f>IF(OR($A1916="",$B1916=""),"",IF(ISNUMBER($A1916),MOD($A1916,100),IFERROR(VALUE(TRIM(MID(MID($A1916,FIND("/",$A1916)+1,20),FIND("/",MID($A1916,FIND("/",$A1916)+1,20))+1,20))),"")))</f>
        <v/>
      </c>
      <c r="E1916">
        <f>IF($A1916="","",IF(OR($B1916="",$C1916="",$D1916="",$B1916&lt;1300,$B1916&gt;1500,$C1916&lt;1,$C1916&gt;12,$D1916&lt;1,$D1916&gt;31),"نامعتبر",RIGHT("0000"&amp;$B1916,4)&amp;"/"&amp;RIGHT("00"&amp;$C1916,2)&amp;"/"&amp;RIGHT("00"&amp;$D1916,2)))</f>
        <v/>
      </c>
      <c r="F1916">
        <f>IF(OR($E1916="",$E1916="نامعتبر"),"",LEFT($E1916,4)&amp;"/"&amp;MID($E1916,6,2))</f>
        <v/>
      </c>
      <c r="G1916">
        <f>IF(OR($E1916="",$E1916="نامعتبر",Sync!$X1912=""),"",IF(AND(LEFT(UPPER(TRIM(Sync!$X1912)),2)="SL",IFERROR(VLOOKUP(Sync!$W1912,OpTbl,3,0),"")="فروش"),UPPER(TRIM(Sync!$X1912)),""))</f>
        <v/>
      </c>
      <c r="H1916">
        <f>IF($G1916="","",IF(Sync!$W1912="","",Sync!$W1912))</f>
        <v/>
      </c>
      <c r="I1916">
        <f>IF(OR($G1916="",Sync!$Y1912=""),"",Sync!$Y1912)</f>
        <v/>
      </c>
      <c r="J1916">
        <f>IF(OR($G1916="",Sync!$Z1912=""),"",Sync!$Z1912)</f>
        <v/>
      </c>
      <c r="K1916">
        <f>IF($G1916="",0,IF(Sync!$AA1912="",0,Sync!$AA1912))</f>
        <v/>
      </c>
      <c r="L1916">
        <f>IF($G1916="",0,IF(Sync!$AB1912="",0,Sync!$AB1912))</f>
        <v/>
      </c>
      <c r="M1916">
        <f>IF($G1916="","",IF($H1916="مرجوعی فروش",-1,1)*($K1916-$L1916*IFERROR(VLOOKUP("P01",ParamTbl,3,0),1.5)))</f>
        <v/>
      </c>
      <c r="N1916">
        <f>IF($G1916="",0,IF($H1916="مرجوعی فروش",-1,1)*IF(Sync!$AC1912="",0,Sync!$AC1912))</f>
        <v/>
      </c>
      <c r="O1916">
        <f>IF(OR($G1916="",Sync!$V1912=""),"",Sync!$V1912)</f>
        <v/>
      </c>
      <c r="P1916">
        <f>IF(OR($G1916="",Sync!$AD1912=""),"",Sync!$AD1912)</f>
        <v/>
      </c>
      <c r="Q1916">
        <f>IF($G1916="","",IF(Sync!$U1912="","0000",IF(AND(ISNUMBER(Sync!$U1912),Sync!$U1912&gt;=0,Sync!$U1912&lt;1),RIGHT("00"&amp;HOUR(Sync!$U1912),2)&amp;RIGHT("00"&amp;MINUTE(Sync!$U1912),2),IFERROR(RIGHT("00"&amp;VALUE(LEFT(Sync!$U1912,FIND(":",Sync!$U1912)-1)),2)&amp;RIGHT("00"&amp;VALUE(MID(Sync!$U1912,FIND(":",Sync!$U1912)+1,2)),2),"0000"))))</f>
        <v/>
      </c>
    </row>
    <row r="1917">
      <c r="A1917">
        <f>IF(Sync!$T1913="","",Sync!$T1913)</f>
        <v/>
      </c>
      <c r="B1917">
        <f>IF($A1917="","",IF(ISNUMBER($A1917),IF(AND($A1917&gt;=10000101,$A1917&lt;=99991231),INT($A1917/10000),""),IFERROR(VALUE(TRIM(LEFT($A1917,FIND("/",$A1917)-1))),"")))</f>
        <v/>
      </c>
      <c r="C1917">
        <f>IF(OR($A1917="",$B1917=""),"",IF(ISNUMBER($A1917),INT(MOD($A1917,10000)/100),IFERROR(VALUE(TRIM(LEFT(MID($A1917,FIND("/",$A1917)+1,20),FIND("/",MID($A1917,FIND("/",$A1917)+1,20))-1))),"")))</f>
        <v/>
      </c>
      <c r="D1917">
        <f>IF(OR($A1917="",$B1917=""),"",IF(ISNUMBER($A1917),MOD($A1917,100),IFERROR(VALUE(TRIM(MID(MID($A1917,FIND("/",$A1917)+1,20),FIND("/",MID($A1917,FIND("/",$A1917)+1,20))+1,20))),"")))</f>
        <v/>
      </c>
      <c r="E1917">
        <f>IF($A1917="","",IF(OR($B1917="",$C1917="",$D1917="",$B1917&lt;1300,$B1917&gt;1500,$C1917&lt;1,$C1917&gt;12,$D1917&lt;1,$D1917&gt;31),"نامعتبر",RIGHT("0000"&amp;$B1917,4)&amp;"/"&amp;RIGHT("00"&amp;$C1917,2)&amp;"/"&amp;RIGHT("00"&amp;$D1917,2)))</f>
        <v/>
      </c>
      <c r="F1917">
        <f>IF(OR($E1917="",$E1917="نامعتبر"),"",LEFT($E1917,4)&amp;"/"&amp;MID($E1917,6,2))</f>
        <v/>
      </c>
      <c r="G1917">
        <f>IF(OR($E1917="",$E1917="نامعتبر",Sync!$X1913=""),"",IF(AND(LEFT(UPPER(TRIM(Sync!$X1913)),2)="SL",IFERROR(VLOOKUP(Sync!$W1913,OpTbl,3,0),"")="فروش"),UPPER(TRIM(Sync!$X1913)),""))</f>
        <v/>
      </c>
      <c r="H1917">
        <f>IF($G1917="","",IF(Sync!$W1913="","",Sync!$W1913))</f>
        <v/>
      </c>
      <c r="I1917">
        <f>IF(OR($G1917="",Sync!$Y1913=""),"",Sync!$Y1913)</f>
        <v/>
      </c>
      <c r="J1917">
        <f>IF(OR($G1917="",Sync!$Z1913=""),"",Sync!$Z1913)</f>
        <v/>
      </c>
      <c r="K1917">
        <f>IF($G1917="",0,IF(Sync!$AA1913="",0,Sync!$AA1913))</f>
        <v/>
      </c>
      <c r="L1917">
        <f>IF($G1917="",0,IF(Sync!$AB1913="",0,Sync!$AB1913))</f>
        <v/>
      </c>
      <c r="M1917">
        <f>IF($G1917="","",IF($H1917="مرجوعی فروش",-1,1)*($K1917-$L1917*IFERROR(VLOOKUP("P01",ParamTbl,3,0),1.5)))</f>
        <v/>
      </c>
      <c r="N1917">
        <f>IF($G1917="",0,IF($H1917="مرجوعی فروش",-1,1)*IF(Sync!$AC1913="",0,Sync!$AC1913))</f>
        <v/>
      </c>
      <c r="O1917">
        <f>IF(OR($G1917="",Sync!$V1913=""),"",Sync!$V1913)</f>
        <v/>
      </c>
      <c r="P1917">
        <f>IF(OR($G1917="",Sync!$AD1913=""),"",Sync!$AD1913)</f>
        <v/>
      </c>
      <c r="Q1917">
        <f>IF($G1917="","",IF(Sync!$U1913="","0000",IF(AND(ISNUMBER(Sync!$U1913),Sync!$U1913&gt;=0,Sync!$U1913&lt;1),RIGHT("00"&amp;HOUR(Sync!$U1913),2)&amp;RIGHT("00"&amp;MINUTE(Sync!$U1913),2),IFERROR(RIGHT("00"&amp;VALUE(LEFT(Sync!$U1913,FIND(":",Sync!$U1913)-1)),2)&amp;RIGHT("00"&amp;VALUE(MID(Sync!$U1913,FIND(":",Sync!$U1913)+1,2)),2),"0000"))))</f>
        <v/>
      </c>
    </row>
    <row r="1918">
      <c r="A1918">
        <f>IF(Sync!$T1914="","",Sync!$T1914)</f>
        <v/>
      </c>
      <c r="B1918">
        <f>IF($A1918="","",IF(ISNUMBER($A1918),IF(AND($A1918&gt;=10000101,$A1918&lt;=99991231),INT($A1918/10000),""),IFERROR(VALUE(TRIM(LEFT($A1918,FIND("/",$A1918)-1))),"")))</f>
        <v/>
      </c>
      <c r="C1918">
        <f>IF(OR($A1918="",$B1918=""),"",IF(ISNUMBER($A1918),INT(MOD($A1918,10000)/100),IFERROR(VALUE(TRIM(LEFT(MID($A1918,FIND("/",$A1918)+1,20),FIND("/",MID($A1918,FIND("/",$A1918)+1,20))-1))),"")))</f>
        <v/>
      </c>
      <c r="D1918">
        <f>IF(OR($A1918="",$B1918=""),"",IF(ISNUMBER($A1918),MOD($A1918,100),IFERROR(VALUE(TRIM(MID(MID($A1918,FIND("/",$A1918)+1,20),FIND("/",MID($A1918,FIND("/",$A1918)+1,20))+1,20))),"")))</f>
        <v/>
      </c>
      <c r="E1918">
        <f>IF($A1918="","",IF(OR($B1918="",$C1918="",$D1918="",$B1918&lt;1300,$B1918&gt;1500,$C1918&lt;1,$C1918&gt;12,$D1918&lt;1,$D1918&gt;31),"نامعتبر",RIGHT("0000"&amp;$B1918,4)&amp;"/"&amp;RIGHT("00"&amp;$C1918,2)&amp;"/"&amp;RIGHT("00"&amp;$D1918,2)))</f>
        <v/>
      </c>
      <c r="F1918">
        <f>IF(OR($E1918="",$E1918="نامعتبر"),"",LEFT($E1918,4)&amp;"/"&amp;MID($E1918,6,2))</f>
        <v/>
      </c>
      <c r="G1918">
        <f>IF(OR($E1918="",$E1918="نامعتبر",Sync!$X1914=""),"",IF(AND(LEFT(UPPER(TRIM(Sync!$X1914)),2)="SL",IFERROR(VLOOKUP(Sync!$W1914,OpTbl,3,0),"")="فروش"),UPPER(TRIM(Sync!$X1914)),""))</f>
        <v/>
      </c>
      <c r="H1918">
        <f>IF($G1918="","",IF(Sync!$W1914="","",Sync!$W1914))</f>
        <v/>
      </c>
      <c r="I1918">
        <f>IF(OR($G1918="",Sync!$Y1914=""),"",Sync!$Y1914)</f>
        <v/>
      </c>
      <c r="J1918">
        <f>IF(OR($G1918="",Sync!$Z1914=""),"",Sync!$Z1914)</f>
        <v/>
      </c>
      <c r="K1918">
        <f>IF($G1918="",0,IF(Sync!$AA1914="",0,Sync!$AA1914))</f>
        <v/>
      </c>
      <c r="L1918">
        <f>IF($G1918="",0,IF(Sync!$AB1914="",0,Sync!$AB1914))</f>
        <v/>
      </c>
      <c r="M1918">
        <f>IF($G1918="","",IF($H1918="مرجوعی فروش",-1,1)*($K1918-$L1918*IFERROR(VLOOKUP("P01",ParamTbl,3,0),1.5)))</f>
        <v/>
      </c>
      <c r="N1918">
        <f>IF($G1918="",0,IF($H1918="مرجوعی فروش",-1,1)*IF(Sync!$AC1914="",0,Sync!$AC1914))</f>
        <v/>
      </c>
      <c r="O1918">
        <f>IF(OR($G1918="",Sync!$V1914=""),"",Sync!$V1914)</f>
        <v/>
      </c>
      <c r="P1918">
        <f>IF(OR($G1918="",Sync!$AD1914=""),"",Sync!$AD1914)</f>
        <v/>
      </c>
      <c r="Q1918">
        <f>IF($G1918="","",IF(Sync!$U1914="","0000",IF(AND(ISNUMBER(Sync!$U1914),Sync!$U1914&gt;=0,Sync!$U1914&lt;1),RIGHT("00"&amp;HOUR(Sync!$U1914),2)&amp;RIGHT("00"&amp;MINUTE(Sync!$U1914),2),IFERROR(RIGHT("00"&amp;VALUE(LEFT(Sync!$U1914,FIND(":",Sync!$U1914)-1)),2)&amp;RIGHT("00"&amp;VALUE(MID(Sync!$U1914,FIND(":",Sync!$U1914)+1,2)),2),"0000"))))</f>
        <v/>
      </c>
    </row>
    <row r="1919">
      <c r="A1919">
        <f>IF(Sync!$T1915="","",Sync!$T1915)</f>
        <v/>
      </c>
      <c r="B1919">
        <f>IF($A1919="","",IF(ISNUMBER($A1919),IF(AND($A1919&gt;=10000101,$A1919&lt;=99991231),INT($A1919/10000),""),IFERROR(VALUE(TRIM(LEFT($A1919,FIND("/",$A1919)-1))),"")))</f>
        <v/>
      </c>
      <c r="C1919">
        <f>IF(OR($A1919="",$B1919=""),"",IF(ISNUMBER($A1919),INT(MOD($A1919,10000)/100),IFERROR(VALUE(TRIM(LEFT(MID($A1919,FIND("/",$A1919)+1,20),FIND("/",MID($A1919,FIND("/",$A1919)+1,20))-1))),"")))</f>
        <v/>
      </c>
      <c r="D1919">
        <f>IF(OR($A1919="",$B1919=""),"",IF(ISNUMBER($A1919),MOD($A1919,100),IFERROR(VALUE(TRIM(MID(MID($A1919,FIND("/",$A1919)+1,20),FIND("/",MID($A1919,FIND("/",$A1919)+1,20))+1,20))),"")))</f>
        <v/>
      </c>
      <c r="E1919">
        <f>IF($A1919="","",IF(OR($B1919="",$C1919="",$D1919="",$B1919&lt;1300,$B1919&gt;1500,$C1919&lt;1,$C1919&gt;12,$D1919&lt;1,$D1919&gt;31),"نامعتبر",RIGHT("0000"&amp;$B1919,4)&amp;"/"&amp;RIGHT("00"&amp;$C1919,2)&amp;"/"&amp;RIGHT("00"&amp;$D1919,2)))</f>
        <v/>
      </c>
      <c r="F1919">
        <f>IF(OR($E1919="",$E1919="نامعتبر"),"",LEFT($E1919,4)&amp;"/"&amp;MID($E1919,6,2))</f>
        <v/>
      </c>
      <c r="G1919">
        <f>IF(OR($E1919="",$E1919="نامعتبر",Sync!$X1915=""),"",IF(AND(LEFT(UPPER(TRIM(Sync!$X1915)),2)="SL",IFERROR(VLOOKUP(Sync!$W1915,OpTbl,3,0),"")="فروش"),UPPER(TRIM(Sync!$X1915)),""))</f>
        <v/>
      </c>
      <c r="H1919">
        <f>IF($G1919="","",IF(Sync!$W1915="","",Sync!$W1915))</f>
        <v/>
      </c>
      <c r="I1919">
        <f>IF(OR($G1919="",Sync!$Y1915=""),"",Sync!$Y1915)</f>
        <v/>
      </c>
      <c r="J1919">
        <f>IF(OR($G1919="",Sync!$Z1915=""),"",Sync!$Z1915)</f>
        <v/>
      </c>
      <c r="K1919">
        <f>IF($G1919="",0,IF(Sync!$AA1915="",0,Sync!$AA1915))</f>
        <v/>
      </c>
      <c r="L1919">
        <f>IF($G1919="",0,IF(Sync!$AB1915="",0,Sync!$AB1915))</f>
        <v/>
      </c>
      <c r="M1919">
        <f>IF($G1919="","",IF($H1919="مرجوعی فروش",-1,1)*($K1919-$L1919*IFERROR(VLOOKUP("P01",ParamTbl,3,0),1.5)))</f>
        <v/>
      </c>
      <c r="N1919">
        <f>IF($G1919="",0,IF($H1919="مرجوعی فروش",-1,1)*IF(Sync!$AC1915="",0,Sync!$AC1915))</f>
        <v/>
      </c>
      <c r="O1919">
        <f>IF(OR($G1919="",Sync!$V1915=""),"",Sync!$V1915)</f>
        <v/>
      </c>
      <c r="P1919">
        <f>IF(OR($G1919="",Sync!$AD1915=""),"",Sync!$AD1915)</f>
        <v/>
      </c>
      <c r="Q1919">
        <f>IF($G1919="","",IF(Sync!$U1915="","0000",IF(AND(ISNUMBER(Sync!$U1915),Sync!$U1915&gt;=0,Sync!$U1915&lt;1),RIGHT("00"&amp;HOUR(Sync!$U1915),2)&amp;RIGHT("00"&amp;MINUTE(Sync!$U1915),2),IFERROR(RIGHT("00"&amp;VALUE(LEFT(Sync!$U1915,FIND(":",Sync!$U1915)-1)),2)&amp;RIGHT("00"&amp;VALUE(MID(Sync!$U1915,FIND(":",Sync!$U1915)+1,2)),2),"0000"))))</f>
        <v/>
      </c>
    </row>
    <row r="1920">
      <c r="A1920">
        <f>IF(Sync!$T1916="","",Sync!$T1916)</f>
        <v/>
      </c>
      <c r="B1920">
        <f>IF($A1920="","",IF(ISNUMBER($A1920),IF(AND($A1920&gt;=10000101,$A1920&lt;=99991231),INT($A1920/10000),""),IFERROR(VALUE(TRIM(LEFT($A1920,FIND("/",$A1920)-1))),"")))</f>
        <v/>
      </c>
      <c r="C1920">
        <f>IF(OR($A1920="",$B1920=""),"",IF(ISNUMBER($A1920),INT(MOD($A1920,10000)/100),IFERROR(VALUE(TRIM(LEFT(MID($A1920,FIND("/",$A1920)+1,20),FIND("/",MID($A1920,FIND("/",$A1920)+1,20))-1))),"")))</f>
        <v/>
      </c>
      <c r="D1920">
        <f>IF(OR($A1920="",$B1920=""),"",IF(ISNUMBER($A1920),MOD($A1920,100),IFERROR(VALUE(TRIM(MID(MID($A1920,FIND("/",$A1920)+1,20),FIND("/",MID($A1920,FIND("/",$A1920)+1,20))+1,20))),"")))</f>
        <v/>
      </c>
      <c r="E1920">
        <f>IF($A1920="","",IF(OR($B1920="",$C1920="",$D1920="",$B1920&lt;1300,$B1920&gt;1500,$C1920&lt;1,$C1920&gt;12,$D1920&lt;1,$D1920&gt;31),"نامعتبر",RIGHT("0000"&amp;$B1920,4)&amp;"/"&amp;RIGHT("00"&amp;$C1920,2)&amp;"/"&amp;RIGHT("00"&amp;$D1920,2)))</f>
        <v/>
      </c>
      <c r="F1920">
        <f>IF(OR($E1920="",$E1920="نامعتبر"),"",LEFT($E1920,4)&amp;"/"&amp;MID($E1920,6,2))</f>
        <v/>
      </c>
      <c r="G1920">
        <f>IF(OR($E1920="",$E1920="نامعتبر",Sync!$X1916=""),"",IF(AND(LEFT(UPPER(TRIM(Sync!$X1916)),2)="SL",IFERROR(VLOOKUP(Sync!$W1916,OpTbl,3,0),"")="فروش"),UPPER(TRIM(Sync!$X1916)),""))</f>
        <v/>
      </c>
      <c r="H1920">
        <f>IF($G1920="","",IF(Sync!$W1916="","",Sync!$W1916))</f>
        <v/>
      </c>
      <c r="I1920">
        <f>IF(OR($G1920="",Sync!$Y1916=""),"",Sync!$Y1916)</f>
        <v/>
      </c>
      <c r="J1920">
        <f>IF(OR($G1920="",Sync!$Z1916=""),"",Sync!$Z1916)</f>
        <v/>
      </c>
      <c r="K1920">
        <f>IF($G1920="",0,IF(Sync!$AA1916="",0,Sync!$AA1916))</f>
        <v/>
      </c>
      <c r="L1920">
        <f>IF($G1920="",0,IF(Sync!$AB1916="",0,Sync!$AB1916))</f>
        <v/>
      </c>
      <c r="M1920">
        <f>IF($G1920="","",IF($H1920="مرجوعی فروش",-1,1)*($K1920-$L1920*IFERROR(VLOOKUP("P01",ParamTbl,3,0),1.5)))</f>
        <v/>
      </c>
      <c r="N1920">
        <f>IF($G1920="",0,IF($H1920="مرجوعی فروش",-1,1)*IF(Sync!$AC1916="",0,Sync!$AC1916))</f>
        <v/>
      </c>
      <c r="O1920">
        <f>IF(OR($G1920="",Sync!$V1916=""),"",Sync!$V1916)</f>
        <v/>
      </c>
      <c r="P1920">
        <f>IF(OR($G1920="",Sync!$AD1916=""),"",Sync!$AD1916)</f>
        <v/>
      </c>
      <c r="Q1920">
        <f>IF($G1920="","",IF(Sync!$U1916="","0000",IF(AND(ISNUMBER(Sync!$U1916),Sync!$U1916&gt;=0,Sync!$U1916&lt;1),RIGHT("00"&amp;HOUR(Sync!$U1916),2)&amp;RIGHT("00"&amp;MINUTE(Sync!$U1916),2),IFERROR(RIGHT("00"&amp;VALUE(LEFT(Sync!$U1916,FIND(":",Sync!$U1916)-1)),2)&amp;RIGHT("00"&amp;VALUE(MID(Sync!$U1916,FIND(":",Sync!$U1916)+1,2)),2),"0000"))))</f>
        <v/>
      </c>
    </row>
    <row r="1921">
      <c r="A1921">
        <f>IF(Sync!$T1917="","",Sync!$T1917)</f>
        <v/>
      </c>
      <c r="B1921">
        <f>IF($A1921="","",IF(ISNUMBER($A1921),IF(AND($A1921&gt;=10000101,$A1921&lt;=99991231),INT($A1921/10000),""),IFERROR(VALUE(TRIM(LEFT($A1921,FIND("/",$A1921)-1))),"")))</f>
        <v/>
      </c>
      <c r="C1921">
        <f>IF(OR($A1921="",$B1921=""),"",IF(ISNUMBER($A1921),INT(MOD($A1921,10000)/100),IFERROR(VALUE(TRIM(LEFT(MID($A1921,FIND("/",$A1921)+1,20),FIND("/",MID($A1921,FIND("/",$A1921)+1,20))-1))),"")))</f>
        <v/>
      </c>
      <c r="D1921">
        <f>IF(OR($A1921="",$B1921=""),"",IF(ISNUMBER($A1921),MOD($A1921,100),IFERROR(VALUE(TRIM(MID(MID($A1921,FIND("/",$A1921)+1,20),FIND("/",MID($A1921,FIND("/",$A1921)+1,20))+1,20))),"")))</f>
        <v/>
      </c>
      <c r="E1921">
        <f>IF($A1921="","",IF(OR($B1921="",$C1921="",$D1921="",$B1921&lt;1300,$B1921&gt;1500,$C1921&lt;1,$C1921&gt;12,$D1921&lt;1,$D1921&gt;31),"نامعتبر",RIGHT("0000"&amp;$B1921,4)&amp;"/"&amp;RIGHT("00"&amp;$C1921,2)&amp;"/"&amp;RIGHT("00"&amp;$D1921,2)))</f>
        <v/>
      </c>
      <c r="F1921">
        <f>IF(OR($E1921="",$E1921="نامعتبر"),"",LEFT($E1921,4)&amp;"/"&amp;MID($E1921,6,2))</f>
        <v/>
      </c>
      <c r="G1921">
        <f>IF(OR($E1921="",$E1921="نامعتبر",Sync!$X1917=""),"",IF(AND(LEFT(UPPER(TRIM(Sync!$X1917)),2)="SL",IFERROR(VLOOKUP(Sync!$W1917,OpTbl,3,0),"")="فروش"),UPPER(TRIM(Sync!$X1917)),""))</f>
        <v/>
      </c>
      <c r="H1921">
        <f>IF($G1921="","",IF(Sync!$W1917="","",Sync!$W1917))</f>
        <v/>
      </c>
      <c r="I1921">
        <f>IF(OR($G1921="",Sync!$Y1917=""),"",Sync!$Y1917)</f>
        <v/>
      </c>
      <c r="J1921">
        <f>IF(OR($G1921="",Sync!$Z1917=""),"",Sync!$Z1917)</f>
        <v/>
      </c>
      <c r="K1921">
        <f>IF($G1921="",0,IF(Sync!$AA1917="",0,Sync!$AA1917))</f>
        <v/>
      </c>
      <c r="L1921">
        <f>IF($G1921="",0,IF(Sync!$AB1917="",0,Sync!$AB1917))</f>
        <v/>
      </c>
      <c r="M1921">
        <f>IF($G1921="","",IF($H1921="مرجوعی فروش",-1,1)*($K1921-$L1921*IFERROR(VLOOKUP("P01",ParamTbl,3,0),1.5)))</f>
        <v/>
      </c>
      <c r="N1921">
        <f>IF($G1921="",0,IF($H1921="مرجوعی فروش",-1,1)*IF(Sync!$AC1917="",0,Sync!$AC1917))</f>
        <v/>
      </c>
      <c r="O1921">
        <f>IF(OR($G1921="",Sync!$V1917=""),"",Sync!$V1917)</f>
        <v/>
      </c>
      <c r="P1921">
        <f>IF(OR($G1921="",Sync!$AD1917=""),"",Sync!$AD1917)</f>
        <v/>
      </c>
      <c r="Q1921">
        <f>IF($G1921="","",IF(Sync!$U1917="","0000",IF(AND(ISNUMBER(Sync!$U1917),Sync!$U1917&gt;=0,Sync!$U1917&lt;1),RIGHT("00"&amp;HOUR(Sync!$U1917),2)&amp;RIGHT("00"&amp;MINUTE(Sync!$U1917),2),IFERROR(RIGHT("00"&amp;VALUE(LEFT(Sync!$U1917,FIND(":",Sync!$U1917)-1)),2)&amp;RIGHT("00"&amp;VALUE(MID(Sync!$U1917,FIND(":",Sync!$U1917)+1,2)),2),"0000"))))</f>
        <v/>
      </c>
    </row>
    <row r="1922">
      <c r="A1922">
        <f>IF(Sync!$T1918="","",Sync!$T1918)</f>
        <v/>
      </c>
      <c r="B1922">
        <f>IF($A1922="","",IF(ISNUMBER($A1922),IF(AND($A1922&gt;=10000101,$A1922&lt;=99991231),INT($A1922/10000),""),IFERROR(VALUE(TRIM(LEFT($A1922,FIND("/",$A1922)-1))),"")))</f>
        <v/>
      </c>
      <c r="C1922">
        <f>IF(OR($A1922="",$B1922=""),"",IF(ISNUMBER($A1922),INT(MOD($A1922,10000)/100),IFERROR(VALUE(TRIM(LEFT(MID($A1922,FIND("/",$A1922)+1,20),FIND("/",MID($A1922,FIND("/",$A1922)+1,20))-1))),"")))</f>
        <v/>
      </c>
      <c r="D1922">
        <f>IF(OR($A1922="",$B1922=""),"",IF(ISNUMBER($A1922),MOD($A1922,100),IFERROR(VALUE(TRIM(MID(MID($A1922,FIND("/",$A1922)+1,20),FIND("/",MID($A1922,FIND("/",$A1922)+1,20))+1,20))),"")))</f>
        <v/>
      </c>
      <c r="E1922">
        <f>IF($A1922="","",IF(OR($B1922="",$C1922="",$D1922="",$B1922&lt;1300,$B1922&gt;1500,$C1922&lt;1,$C1922&gt;12,$D1922&lt;1,$D1922&gt;31),"نامعتبر",RIGHT("0000"&amp;$B1922,4)&amp;"/"&amp;RIGHT("00"&amp;$C1922,2)&amp;"/"&amp;RIGHT("00"&amp;$D1922,2)))</f>
        <v/>
      </c>
      <c r="F1922">
        <f>IF(OR($E1922="",$E1922="نامعتبر"),"",LEFT($E1922,4)&amp;"/"&amp;MID($E1922,6,2))</f>
        <v/>
      </c>
      <c r="G1922">
        <f>IF(OR($E1922="",$E1922="نامعتبر",Sync!$X1918=""),"",IF(AND(LEFT(UPPER(TRIM(Sync!$X1918)),2)="SL",IFERROR(VLOOKUP(Sync!$W1918,OpTbl,3,0),"")="فروش"),UPPER(TRIM(Sync!$X1918)),""))</f>
        <v/>
      </c>
      <c r="H1922">
        <f>IF($G1922="","",IF(Sync!$W1918="","",Sync!$W1918))</f>
        <v/>
      </c>
      <c r="I1922">
        <f>IF(OR($G1922="",Sync!$Y1918=""),"",Sync!$Y1918)</f>
        <v/>
      </c>
      <c r="J1922">
        <f>IF(OR($G1922="",Sync!$Z1918=""),"",Sync!$Z1918)</f>
        <v/>
      </c>
      <c r="K1922">
        <f>IF($G1922="",0,IF(Sync!$AA1918="",0,Sync!$AA1918))</f>
        <v/>
      </c>
      <c r="L1922">
        <f>IF($G1922="",0,IF(Sync!$AB1918="",0,Sync!$AB1918))</f>
        <v/>
      </c>
      <c r="M1922">
        <f>IF($G1922="","",IF($H1922="مرجوعی فروش",-1,1)*($K1922-$L1922*IFERROR(VLOOKUP("P01",ParamTbl,3,0),1.5)))</f>
        <v/>
      </c>
      <c r="N1922">
        <f>IF($G1922="",0,IF($H1922="مرجوعی فروش",-1,1)*IF(Sync!$AC1918="",0,Sync!$AC1918))</f>
        <v/>
      </c>
      <c r="O1922">
        <f>IF(OR($G1922="",Sync!$V1918=""),"",Sync!$V1918)</f>
        <v/>
      </c>
      <c r="P1922">
        <f>IF(OR($G1922="",Sync!$AD1918=""),"",Sync!$AD1918)</f>
        <v/>
      </c>
      <c r="Q1922">
        <f>IF($G1922="","",IF(Sync!$U1918="","0000",IF(AND(ISNUMBER(Sync!$U1918),Sync!$U1918&gt;=0,Sync!$U1918&lt;1),RIGHT("00"&amp;HOUR(Sync!$U1918),2)&amp;RIGHT("00"&amp;MINUTE(Sync!$U1918),2),IFERROR(RIGHT("00"&amp;VALUE(LEFT(Sync!$U1918,FIND(":",Sync!$U1918)-1)),2)&amp;RIGHT("00"&amp;VALUE(MID(Sync!$U1918,FIND(":",Sync!$U1918)+1,2)),2),"0000"))))</f>
        <v/>
      </c>
    </row>
    <row r="1923">
      <c r="A1923">
        <f>IF(Sync!$T1919="","",Sync!$T1919)</f>
        <v/>
      </c>
      <c r="B1923">
        <f>IF($A1923="","",IF(ISNUMBER($A1923),IF(AND($A1923&gt;=10000101,$A1923&lt;=99991231),INT($A1923/10000),""),IFERROR(VALUE(TRIM(LEFT($A1923,FIND("/",$A1923)-1))),"")))</f>
        <v/>
      </c>
      <c r="C1923">
        <f>IF(OR($A1923="",$B1923=""),"",IF(ISNUMBER($A1923),INT(MOD($A1923,10000)/100),IFERROR(VALUE(TRIM(LEFT(MID($A1923,FIND("/",$A1923)+1,20),FIND("/",MID($A1923,FIND("/",$A1923)+1,20))-1))),"")))</f>
        <v/>
      </c>
      <c r="D1923">
        <f>IF(OR($A1923="",$B1923=""),"",IF(ISNUMBER($A1923),MOD($A1923,100),IFERROR(VALUE(TRIM(MID(MID($A1923,FIND("/",$A1923)+1,20),FIND("/",MID($A1923,FIND("/",$A1923)+1,20))+1,20))),"")))</f>
        <v/>
      </c>
      <c r="E1923">
        <f>IF($A1923="","",IF(OR($B1923="",$C1923="",$D1923="",$B1923&lt;1300,$B1923&gt;1500,$C1923&lt;1,$C1923&gt;12,$D1923&lt;1,$D1923&gt;31),"نامعتبر",RIGHT("0000"&amp;$B1923,4)&amp;"/"&amp;RIGHT("00"&amp;$C1923,2)&amp;"/"&amp;RIGHT("00"&amp;$D1923,2)))</f>
        <v/>
      </c>
      <c r="F1923">
        <f>IF(OR($E1923="",$E1923="نامعتبر"),"",LEFT($E1923,4)&amp;"/"&amp;MID($E1923,6,2))</f>
        <v/>
      </c>
      <c r="G1923">
        <f>IF(OR($E1923="",$E1923="نامعتبر",Sync!$X1919=""),"",IF(AND(LEFT(UPPER(TRIM(Sync!$X1919)),2)="SL",IFERROR(VLOOKUP(Sync!$W1919,OpTbl,3,0),"")="فروش"),UPPER(TRIM(Sync!$X1919)),""))</f>
        <v/>
      </c>
      <c r="H1923">
        <f>IF($G1923="","",IF(Sync!$W1919="","",Sync!$W1919))</f>
        <v/>
      </c>
      <c r="I1923">
        <f>IF(OR($G1923="",Sync!$Y1919=""),"",Sync!$Y1919)</f>
        <v/>
      </c>
      <c r="J1923">
        <f>IF(OR($G1923="",Sync!$Z1919=""),"",Sync!$Z1919)</f>
        <v/>
      </c>
      <c r="K1923">
        <f>IF($G1923="",0,IF(Sync!$AA1919="",0,Sync!$AA1919))</f>
        <v/>
      </c>
      <c r="L1923">
        <f>IF($G1923="",0,IF(Sync!$AB1919="",0,Sync!$AB1919))</f>
        <v/>
      </c>
      <c r="M1923">
        <f>IF($G1923="","",IF($H1923="مرجوعی فروش",-1,1)*($K1923-$L1923*IFERROR(VLOOKUP("P01",ParamTbl,3,0),1.5)))</f>
        <v/>
      </c>
      <c r="N1923">
        <f>IF($G1923="",0,IF($H1923="مرجوعی فروش",-1,1)*IF(Sync!$AC1919="",0,Sync!$AC1919))</f>
        <v/>
      </c>
      <c r="O1923">
        <f>IF(OR($G1923="",Sync!$V1919=""),"",Sync!$V1919)</f>
        <v/>
      </c>
      <c r="P1923">
        <f>IF(OR($G1923="",Sync!$AD1919=""),"",Sync!$AD1919)</f>
        <v/>
      </c>
      <c r="Q1923">
        <f>IF($G1923="","",IF(Sync!$U1919="","0000",IF(AND(ISNUMBER(Sync!$U1919),Sync!$U1919&gt;=0,Sync!$U1919&lt;1),RIGHT("00"&amp;HOUR(Sync!$U1919),2)&amp;RIGHT("00"&amp;MINUTE(Sync!$U1919),2),IFERROR(RIGHT("00"&amp;VALUE(LEFT(Sync!$U1919,FIND(":",Sync!$U1919)-1)),2)&amp;RIGHT("00"&amp;VALUE(MID(Sync!$U1919,FIND(":",Sync!$U1919)+1,2)),2),"0000"))))</f>
        <v/>
      </c>
    </row>
    <row r="1924">
      <c r="A1924">
        <f>IF(Sync!$T1920="","",Sync!$T1920)</f>
        <v/>
      </c>
      <c r="B1924">
        <f>IF($A1924="","",IF(ISNUMBER($A1924),IF(AND($A1924&gt;=10000101,$A1924&lt;=99991231),INT($A1924/10000),""),IFERROR(VALUE(TRIM(LEFT($A1924,FIND("/",$A1924)-1))),"")))</f>
        <v/>
      </c>
      <c r="C1924">
        <f>IF(OR($A1924="",$B1924=""),"",IF(ISNUMBER($A1924),INT(MOD($A1924,10000)/100),IFERROR(VALUE(TRIM(LEFT(MID($A1924,FIND("/",$A1924)+1,20),FIND("/",MID($A1924,FIND("/",$A1924)+1,20))-1))),"")))</f>
        <v/>
      </c>
      <c r="D1924">
        <f>IF(OR($A1924="",$B1924=""),"",IF(ISNUMBER($A1924),MOD($A1924,100),IFERROR(VALUE(TRIM(MID(MID($A1924,FIND("/",$A1924)+1,20),FIND("/",MID($A1924,FIND("/",$A1924)+1,20))+1,20))),"")))</f>
        <v/>
      </c>
      <c r="E1924">
        <f>IF($A1924="","",IF(OR($B1924="",$C1924="",$D1924="",$B1924&lt;1300,$B1924&gt;1500,$C1924&lt;1,$C1924&gt;12,$D1924&lt;1,$D1924&gt;31),"نامعتبر",RIGHT("0000"&amp;$B1924,4)&amp;"/"&amp;RIGHT("00"&amp;$C1924,2)&amp;"/"&amp;RIGHT("00"&amp;$D1924,2)))</f>
        <v/>
      </c>
      <c r="F1924">
        <f>IF(OR($E1924="",$E1924="نامعتبر"),"",LEFT($E1924,4)&amp;"/"&amp;MID($E1924,6,2))</f>
        <v/>
      </c>
      <c r="G1924">
        <f>IF(OR($E1924="",$E1924="نامعتبر",Sync!$X1920=""),"",IF(AND(LEFT(UPPER(TRIM(Sync!$X1920)),2)="SL",IFERROR(VLOOKUP(Sync!$W1920,OpTbl,3,0),"")="فروش"),UPPER(TRIM(Sync!$X1920)),""))</f>
        <v/>
      </c>
      <c r="H1924">
        <f>IF($G1924="","",IF(Sync!$W1920="","",Sync!$W1920))</f>
        <v/>
      </c>
      <c r="I1924">
        <f>IF(OR($G1924="",Sync!$Y1920=""),"",Sync!$Y1920)</f>
        <v/>
      </c>
      <c r="J1924">
        <f>IF(OR($G1924="",Sync!$Z1920=""),"",Sync!$Z1920)</f>
        <v/>
      </c>
      <c r="K1924">
        <f>IF($G1924="",0,IF(Sync!$AA1920="",0,Sync!$AA1920))</f>
        <v/>
      </c>
      <c r="L1924">
        <f>IF($G1924="",0,IF(Sync!$AB1920="",0,Sync!$AB1920))</f>
        <v/>
      </c>
      <c r="M1924">
        <f>IF($G1924="","",IF($H1924="مرجوعی فروش",-1,1)*($K1924-$L1924*IFERROR(VLOOKUP("P01",ParamTbl,3,0),1.5)))</f>
        <v/>
      </c>
      <c r="N1924">
        <f>IF($G1924="",0,IF($H1924="مرجوعی فروش",-1,1)*IF(Sync!$AC1920="",0,Sync!$AC1920))</f>
        <v/>
      </c>
      <c r="O1924">
        <f>IF(OR($G1924="",Sync!$V1920=""),"",Sync!$V1920)</f>
        <v/>
      </c>
      <c r="P1924">
        <f>IF(OR($G1924="",Sync!$AD1920=""),"",Sync!$AD1920)</f>
        <v/>
      </c>
      <c r="Q1924">
        <f>IF($G1924="","",IF(Sync!$U1920="","0000",IF(AND(ISNUMBER(Sync!$U1920),Sync!$U1920&gt;=0,Sync!$U1920&lt;1),RIGHT("00"&amp;HOUR(Sync!$U1920),2)&amp;RIGHT("00"&amp;MINUTE(Sync!$U1920),2),IFERROR(RIGHT("00"&amp;VALUE(LEFT(Sync!$U1920,FIND(":",Sync!$U1920)-1)),2)&amp;RIGHT("00"&amp;VALUE(MID(Sync!$U1920,FIND(":",Sync!$U1920)+1,2)),2),"0000"))))</f>
        <v/>
      </c>
    </row>
    <row r="1925">
      <c r="A1925">
        <f>IF(Sync!$T1921="","",Sync!$T1921)</f>
        <v/>
      </c>
      <c r="B1925">
        <f>IF($A1925="","",IF(ISNUMBER($A1925),IF(AND($A1925&gt;=10000101,$A1925&lt;=99991231),INT($A1925/10000),""),IFERROR(VALUE(TRIM(LEFT($A1925,FIND("/",$A1925)-1))),"")))</f>
        <v/>
      </c>
      <c r="C1925">
        <f>IF(OR($A1925="",$B1925=""),"",IF(ISNUMBER($A1925),INT(MOD($A1925,10000)/100),IFERROR(VALUE(TRIM(LEFT(MID($A1925,FIND("/",$A1925)+1,20),FIND("/",MID($A1925,FIND("/",$A1925)+1,20))-1))),"")))</f>
        <v/>
      </c>
      <c r="D1925">
        <f>IF(OR($A1925="",$B1925=""),"",IF(ISNUMBER($A1925),MOD($A1925,100),IFERROR(VALUE(TRIM(MID(MID($A1925,FIND("/",$A1925)+1,20),FIND("/",MID($A1925,FIND("/",$A1925)+1,20))+1,20))),"")))</f>
        <v/>
      </c>
      <c r="E1925">
        <f>IF($A1925="","",IF(OR($B1925="",$C1925="",$D1925="",$B1925&lt;1300,$B1925&gt;1500,$C1925&lt;1,$C1925&gt;12,$D1925&lt;1,$D1925&gt;31),"نامعتبر",RIGHT("0000"&amp;$B1925,4)&amp;"/"&amp;RIGHT("00"&amp;$C1925,2)&amp;"/"&amp;RIGHT("00"&amp;$D1925,2)))</f>
        <v/>
      </c>
      <c r="F1925">
        <f>IF(OR($E1925="",$E1925="نامعتبر"),"",LEFT($E1925,4)&amp;"/"&amp;MID($E1925,6,2))</f>
        <v/>
      </c>
      <c r="G1925">
        <f>IF(OR($E1925="",$E1925="نامعتبر",Sync!$X1921=""),"",IF(AND(LEFT(UPPER(TRIM(Sync!$X1921)),2)="SL",IFERROR(VLOOKUP(Sync!$W1921,OpTbl,3,0),"")="فروش"),UPPER(TRIM(Sync!$X1921)),""))</f>
        <v/>
      </c>
      <c r="H1925">
        <f>IF($G1925="","",IF(Sync!$W1921="","",Sync!$W1921))</f>
        <v/>
      </c>
      <c r="I1925">
        <f>IF(OR($G1925="",Sync!$Y1921=""),"",Sync!$Y1921)</f>
        <v/>
      </c>
      <c r="J1925">
        <f>IF(OR($G1925="",Sync!$Z1921=""),"",Sync!$Z1921)</f>
        <v/>
      </c>
      <c r="K1925">
        <f>IF($G1925="",0,IF(Sync!$AA1921="",0,Sync!$AA1921))</f>
        <v/>
      </c>
      <c r="L1925">
        <f>IF($G1925="",0,IF(Sync!$AB1921="",0,Sync!$AB1921))</f>
        <v/>
      </c>
      <c r="M1925">
        <f>IF($G1925="","",IF($H1925="مرجوعی فروش",-1,1)*($K1925-$L1925*IFERROR(VLOOKUP("P01",ParamTbl,3,0),1.5)))</f>
        <v/>
      </c>
      <c r="N1925">
        <f>IF($G1925="",0,IF($H1925="مرجوعی فروش",-1,1)*IF(Sync!$AC1921="",0,Sync!$AC1921))</f>
        <v/>
      </c>
      <c r="O1925">
        <f>IF(OR($G1925="",Sync!$V1921=""),"",Sync!$V1921)</f>
        <v/>
      </c>
      <c r="P1925">
        <f>IF(OR($G1925="",Sync!$AD1921=""),"",Sync!$AD1921)</f>
        <v/>
      </c>
      <c r="Q1925">
        <f>IF($G1925="","",IF(Sync!$U1921="","0000",IF(AND(ISNUMBER(Sync!$U1921),Sync!$U1921&gt;=0,Sync!$U1921&lt;1),RIGHT("00"&amp;HOUR(Sync!$U1921),2)&amp;RIGHT("00"&amp;MINUTE(Sync!$U1921),2),IFERROR(RIGHT("00"&amp;VALUE(LEFT(Sync!$U1921,FIND(":",Sync!$U1921)-1)),2)&amp;RIGHT("00"&amp;VALUE(MID(Sync!$U1921,FIND(":",Sync!$U1921)+1,2)),2),"0000"))))</f>
        <v/>
      </c>
    </row>
    <row r="1926">
      <c r="A1926">
        <f>IF(Sync!$T1922="","",Sync!$T1922)</f>
        <v/>
      </c>
      <c r="B1926">
        <f>IF($A1926="","",IF(ISNUMBER($A1926),IF(AND($A1926&gt;=10000101,$A1926&lt;=99991231),INT($A1926/10000),""),IFERROR(VALUE(TRIM(LEFT($A1926,FIND("/",$A1926)-1))),"")))</f>
        <v/>
      </c>
      <c r="C1926">
        <f>IF(OR($A1926="",$B1926=""),"",IF(ISNUMBER($A1926),INT(MOD($A1926,10000)/100),IFERROR(VALUE(TRIM(LEFT(MID($A1926,FIND("/",$A1926)+1,20),FIND("/",MID($A1926,FIND("/",$A1926)+1,20))-1))),"")))</f>
        <v/>
      </c>
      <c r="D1926">
        <f>IF(OR($A1926="",$B1926=""),"",IF(ISNUMBER($A1926),MOD($A1926,100),IFERROR(VALUE(TRIM(MID(MID($A1926,FIND("/",$A1926)+1,20),FIND("/",MID($A1926,FIND("/",$A1926)+1,20))+1,20))),"")))</f>
        <v/>
      </c>
      <c r="E1926">
        <f>IF($A1926="","",IF(OR($B1926="",$C1926="",$D1926="",$B1926&lt;1300,$B1926&gt;1500,$C1926&lt;1,$C1926&gt;12,$D1926&lt;1,$D1926&gt;31),"نامعتبر",RIGHT("0000"&amp;$B1926,4)&amp;"/"&amp;RIGHT("00"&amp;$C1926,2)&amp;"/"&amp;RIGHT("00"&amp;$D1926,2)))</f>
        <v/>
      </c>
      <c r="F1926">
        <f>IF(OR($E1926="",$E1926="نامعتبر"),"",LEFT($E1926,4)&amp;"/"&amp;MID($E1926,6,2))</f>
        <v/>
      </c>
      <c r="G1926">
        <f>IF(OR($E1926="",$E1926="نامعتبر",Sync!$X1922=""),"",IF(AND(LEFT(UPPER(TRIM(Sync!$X1922)),2)="SL",IFERROR(VLOOKUP(Sync!$W1922,OpTbl,3,0),"")="فروش"),UPPER(TRIM(Sync!$X1922)),""))</f>
        <v/>
      </c>
      <c r="H1926">
        <f>IF($G1926="","",IF(Sync!$W1922="","",Sync!$W1922))</f>
        <v/>
      </c>
      <c r="I1926">
        <f>IF(OR($G1926="",Sync!$Y1922=""),"",Sync!$Y1922)</f>
        <v/>
      </c>
      <c r="J1926">
        <f>IF(OR($G1926="",Sync!$Z1922=""),"",Sync!$Z1922)</f>
        <v/>
      </c>
      <c r="K1926">
        <f>IF($G1926="",0,IF(Sync!$AA1922="",0,Sync!$AA1922))</f>
        <v/>
      </c>
      <c r="L1926">
        <f>IF($G1926="",0,IF(Sync!$AB1922="",0,Sync!$AB1922))</f>
        <v/>
      </c>
      <c r="M1926">
        <f>IF($G1926="","",IF($H1926="مرجوعی فروش",-1,1)*($K1926-$L1926*IFERROR(VLOOKUP("P01",ParamTbl,3,0),1.5)))</f>
        <v/>
      </c>
      <c r="N1926">
        <f>IF($G1926="",0,IF($H1926="مرجوعی فروش",-1,1)*IF(Sync!$AC1922="",0,Sync!$AC1922))</f>
        <v/>
      </c>
      <c r="O1926">
        <f>IF(OR($G1926="",Sync!$V1922=""),"",Sync!$V1922)</f>
        <v/>
      </c>
      <c r="P1926">
        <f>IF(OR($G1926="",Sync!$AD1922=""),"",Sync!$AD1922)</f>
        <v/>
      </c>
      <c r="Q1926">
        <f>IF($G1926="","",IF(Sync!$U1922="","0000",IF(AND(ISNUMBER(Sync!$U1922),Sync!$U1922&gt;=0,Sync!$U1922&lt;1),RIGHT("00"&amp;HOUR(Sync!$U1922),2)&amp;RIGHT("00"&amp;MINUTE(Sync!$U1922),2),IFERROR(RIGHT("00"&amp;VALUE(LEFT(Sync!$U1922,FIND(":",Sync!$U1922)-1)),2)&amp;RIGHT("00"&amp;VALUE(MID(Sync!$U1922,FIND(":",Sync!$U1922)+1,2)),2),"0000"))))</f>
        <v/>
      </c>
    </row>
    <row r="1927">
      <c r="A1927">
        <f>IF(Sync!$T1923="","",Sync!$T1923)</f>
        <v/>
      </c>
      <c r="B1927">
        <f>IF($A1927="","",IF(ISNUMBER($A1927),IF(AND($A1927&gt;=10000101,$A1927&lt;=99991231),INT($A1927/10000),""),IFERROR(VALUE(TRIM(LEFT($A1927,FIND("/",$A1927)-1))),"")))</f>
        <v/>
      </c>
      <c r="C1927">
        <f>IF(OR($A1927="",$B1927=""),"",IF(ISNUMBER($A1927),INT(MOD($A1927,10000)/100),IFERROR(VALUE(TRIM(LEFT(MID($A1927,FIND("/",$A1927)+1,20),FIND("/",MID($A1927,FIND("/",$A1927)+1,20))-1))),"")))</f>
        <v/>
      </c>
      <c r="D1927">
        <f>IF(OR($A1927="",$B1927=""),"",IF(ISNUMBER($A1927),MOD($A1927,100),IFERROR(VALUE(TRIM(MID(MID($A1927,FIND("/",$A1927)+1,20),FIND("/",MID($A1927,FIND("/",$A1927)+1,20))+1,20))),"")))</f>
        <v/>
      </c>
      <c r="E1927">
        <f>IF($A1927="","",IF(OR($B1927="",$C1927="",$D1927="",$B1927&lt;1300,$B1927&gt;1500,$C1927&lt;1,$C1927&gt;12,$D1927&lt;1,$D1927&gt;31),"نامعتبر",RIGHT("0000"&amp;$B1927,4)&amp;"/"&amp;RIGHT("00"&amp;$C1927,2)&amp;"/"&amp;RIGHT("00"&amp;$D1927,2)))</f>
        <v/>
      </c>
      <c r="F1927">
        <f>IF(OR($E1927="",$E1927="نامعتبر"),"",LEFT($E1927,4)&amp;"/"&amp;MID($E1927,6,2))</f>
        <v/>
      </c>
      <c r="G1927">
        <f>IF(OR($E1927="",$E1927="نامعتبر",Sync!$X1923=""),"",IF(AND(LEFT(UPPER(TRIM(Sync!$X1923)),2)="SL",IFERROR(VLOOKUP(Sync!$W1923,OpTbl,3,0),"")="فروش"),UPPER(TRIM(Sync!$X1923)),""))</f>
        <v/>
      </c>
      <c r="H1927">
        <f>IF($G1927="","",IF(Sync!$W1923="","",Sync!$W1923))</f>
        <v/>
      </c>
      <c r="I1927">
        <f>IF(OR($G1927="",Sync!$Y1923=""),"",Sync!$Y1923)</f>
        <v/>
      </c>
      <c r="J1927">
        <f>IF(OR($G1927="",Sync!$Z1923=""),"",Sync!$Z1923)</f>
        <v/>
      </c>
      <c r="K1927">
        <f>IF($G1927="",0,IF(Sync!$AA1923="",0,Sync!$AA1923))</f>
        <v/>
      </c>
      <c r="L1927">
        <f>IF($G1927="",0,IF(Sync!$AB1923="",0,Sync!$AB1923))</f>
        <v/>
      </c>
      <c r="M1927">
        <f>IF($G1927="","",IF($H1927="مرجوعی فروش",-1,1)*($K1927-$L1927*IFERROR(VLOOKUP("P01",ParamTbl,3,0),1.5)))</f>
        <v/>
      </c>
      <c r="N1927">
        <f>IF($G1927="",0,IF($H1927="مرجوعی فروش",-1,1)*IF(Sync!$AC1923="",0,Sync!$AC1923))</f>
        <v/>
      </c>
      <c r="O1927">
        <f>IF(OR($G1927="",Sync!$V1923=""),"",Sync!$V1923)</f>
        <v/>
      </c>
      <c r="P1927">
        <f>IF(OR($G1927="",Sync!$AD1923=""),"",Sync!$AD1923)</f>
        <v/>
      </c>
      <c r="Q1927">
        <f>IF($G1927="","",IF(Sync!$U1923="","0000",IF(AND(ISNUMBER(Sync!$U1923),Sync!$U1923&gt;=0,Sync!$U1923&lt;1),RIGHT("00"&amp;HOUR(Sync!$U1923),2)&amp;RIGHT("00"&amp;MINUTE(Sync!$U1923),2),IFERROR(RIGHT("00"&amp;VALUE(LEFT(Sync!$U1923,FIND(":",Sync!$U1923)-1)),2)&amp;RIGHT("00"&amp;VALUE(MID(Sync!$U1923,FIND(":",Sync!$U1923)+1,2)),2),"0000"))))</f>
        <v/>
      </c>
    </row>
    <row r="1928">
      <c r="A1928">
        <f>IF(Sync!$T1924="","",Sync!$T1924)</f>
        <v/>
      </c>
      <c r="B1928">
        <f>IF($A1928="","",IF(ISNUMBER($A1928),IF(AND($A1928&gt;=10000101,$A1928&lt;=99991231),INT($A1928/10000),""),IFERROR(VALUE(TRIM(LEFT($A1928,FIND("/",$A1928)-1))),"")))</f>
        <v/>
      </c>
      <c r="C1928">
        <f>IF(OR($A1928="",$B1928=""),"",IF(ISNUMBER($A1928),INT(MOD($A1928,10000)/100),IFERROR(VALUE(TRIM(LEFT(MID($A1928,FIND("/",$A1928)+1,20),FIND("/",MID($A1928,FIND("/",$A1928)+1,20))-1))),"")))</f>
        <v/>
      </c>
      <c r="D1928">
        <f>IF(OR($A1928="",$B1928=""),"",IF(ISNUMBER($A1928),MOD($A1928,100),IFERROR(VALUE(TRIM(MID(MID($A1928,FIND("/",$A1928)+1,20),FIND("/",MID($A1928,FIND("/",$A1928)+1,20))+1,20))),"")))</f>
        <v/>
      </c>
      <c r="E1928">
        <f>IF($A1928="","",IF(OR($B1928="",$C1928="",$D1928="",$B1928&lt;1300,$B1928&gt;1500,$C1928&lt;1,$C1928&gt;12,$D1928&lt;1,$D1928&gt;31),"نامعتبر",RIGHT("0000"&amp;$B1928,4)&amp;"/"&amp;RIGHT("00"&amp;$C1928,2)&amp;"/"&amp;RIGHT("00"&amp;$D1928,2)))</f>
        <v/>
      </c>
      <c r="F1928">
        <f>IF(OR($E1928="",$E1928="نامعتبر"),"",LEFT($E1928,4)&amp;"/"&amp;MID($E1928,6,2))</f>
        <v/>
      </c>
      <c r="G1928">
        <f>IF(OR($E1928="",$E1928="نامعتبر",Sync!$X1924=""),"",IF(AND(LEFT(UPPER(TRIM(Sync!$X1924)),2)="SL",IFERROR(VLOOKUP(Sync!$W1924,OpTbl,3,0),"")="فروش"),UPPER(TRIM(Sync!$X1924)),""))</f>
        <v/>
      </c>
      <c r="H1928">
        <f>IF($G1928="","",IF(Sync!$W1924="","",Sync!$W1924))</f>
        <v/>
      </c>
      <c r="I1928">
        <f>IF(OR($G1928="",Sync!$Y1924=""),"",Sync!$Y1924)</f>
        <v/>
      </c>
      <c r="J1928">
        <f>IF(OR($G1928="",Sync!$Z1924=""),"",Sync!$Z1924)</f>
        <v/>
      </c>
      <c r="K1928">
        <f>IF($G1928="",0,IF(Sync!$AA1924="",0,Sync!$AA1924))</f>
        <v/>
      </c>
      <c r="L1928">
        <f>IF($G1928="",0,IF(Sync!$AB1924="",0,Sync!$AB1924))</f>
        <v/>
      </c>
      <c r="M1928">
        <f>IF($G1928="","",IF($H1928="مرجوعی فروش",-1,1)*($K1928-$L1928*IFERROR(VLOOKUP("P01",ParamTbl,3,0),1.5)))</f>
        <v/>
      </c>
      <c r="N1928">
        <f>IF($G1928="",0,IF($H1928="مرجوعی فروش",-1,1)*IF(Sync!$AC1924="",0,Sync!$AC1924))</f>
        <v/>
      </c>
      <c r="O1928">
        <f>IF(OR($G1928="",Sync!$V1924=""),"",Sync!$V1924)</f>
        <v/>
      </c>
      <c r="P1928">
        <f>IF(OR($G1928="",Sync!$AD1924=""),"",Sync!$AD1924)</f>
        <v/>
      </c>
      <c r="Q1928">
        <f>IF($G1928="","",IF(Sync!$U1924="","0000",IF(AND(ISNUMBER(Sync!$U1924),Sync!$U1924&gt;=0,Sync!$U1924&lt;1),RIGHT("00"&amp;HOUR(Sync!$U1924),2)&amp;RIGHT("00"&amp;MINUTE(Sync!$U1924),2),IFERROR(RIGHT("00"&amp;VALUE(LEFT(Sync!$U1924,FIND(":",Sync!$U1924)-1)),2)&amp;RIGHT("00"&amp;VALUE(MID(Sync!$U1924,FIND(":",Sync!$U1924)+1,2)),2),"0000"))))</f>
        <v/>
      </c>
    </row>
    <row r="1929">
      <c r="A1929">
        <f>IF(Sync!$T1925="","",Sync!$T1925)</f>
        <v/>
      </c>
      <c r="B1929">
        <f>IF($A1929="","",IF(ISNUMBER($A1929),IF(AND($A1929&gt;=10000101,$A1929&lt;=99991231),INT($A1929/10000),""),IFERROR(VALUE(TRIM(LEFT($A1929,FIND("/",$A1929)-1))),"")))</f>
        <v/>
      </c>
      <c r="C1929">
        <f>IF(OR($A1929="",$B1929=""),"",IF(ISNUMBER($A1929),INT(MOD($A1929,10000)/100),IFERROR(VALUE(TRIM(LEFT(MID($A1929,FIND("/",$A1929)+1,20),FIND("/",MID($A1929,FIND("/",$A1929)+1,20))-1))),"")))</f>
        <v/>
      </c>
      <c r="D1929">
        <f>IF(OR($A1929="",$B1929=""),"",IF(ISNUMBER($A1929),MOD($A1929,100),IFERROR(VALUE(TRIM(MID(MID($A1929,FIND("/",$A1929)+1,20),FIND("/",MID($A1929,FIND("/",$A1929)+1,20))+1,20))),"")))</f>
        <v/>
      </c>
      <c r="E1929">
        <f>IF($A1929="","",IF(OR($B1929="",$C1929="",$D1929="",$B1929&lt;1300,$B1929&gt;1500,$C1929&lt;1,$C1929&gt;12,$D1929&lt;1,$D1929&gt;31),"نامعتبر",RIGHT("0000"&amp;$B1929,4)&amp;"/"&amp;RIGHT("00"&amp;$C1929,2)&amp;"/"&amp;RIGHT("00"&amp;$D1929,2)))</f>
        <v/>
      </c>
      <c r="F1929">
        <f>IF(OR($E1929="",$E1929="نامعتبر"),"",LEFT($E1929,4)&amp;"/"&amp;MID($E1929,6,2))</f>
        <v/>
      </c>
      <c r="G1929">
        <f>IF(OR($E1929="",$E1929="نامعتبر",Sync!$X1925=""),"",IF(AND(LEFT(UPPER(TRIM(Sync!$X1925)),2)="SL",IFERROR(VLOOKUP(Sync!$W1925,OpTbl,3,0),"")="فروش"),UPPER(TRIM(Sync!$X1925)),""))</f>
        <v/>
      </c>
      <c r="H1929">
        <f>IF($G1929="","",IF(Sync!$W1925="","",Sync!$W1925))</f>
        <v/>
      </c>
      <c r="I1929">
        <f>IF(OR($G1929="",Sync!$Y1925=""),"",Sync!$Y1925)</f>
        <v/>
      </c>
      <c r="J1929">
        <f>IF(OR($G1929="",Sync!$Z1925=""),"",Sync!$Z1925)</f>
        <v/>
      </c>
      <c r="K1929">
        <f>IF($G1929="",0,IF(Sync!$AA1925="",0,Sync!$AA1925))</f>
        <v/>
      </c>
      <c r="L1929">
        <f>IF($G1929="",0,IF(Sync!$AB1925="",0,Sync!$AB1925))</f>
        <v/>
      </c>
      <c r="M1929">
        <f>IF($G1929="","",IF($H1929="مرجوعی فروش",-1,1)*($K1929-$L1929*IFERROR(VLOOKUP("P01",ParamTbl,3,0),1.5)))</f>
        <v/>
      </c>
      <c r="N1929">
        <f>IF($G1929="",0,IF($H1929="مرجوعی فروش",-1,1)*IF(Sync!$AC1925="",0,Sync!$AC1925))</f>
        <v/>
      </c>
      <c r="O1929">
        <f>IF(OR($G1929="",Sync!$V1925=""),"",Sync!$V1925)</f>
        <v/>
      </c>
      <c r="P1929">
        <f>IF(OR($G1929="",Sync!$AD1925=""),"",Sync!$AD1925)</f>
        <v/>
      </c>
      <c r="Q1929">
        <f>IF($G1929="","",IF(Sync!$U1925="","0000",IF(AND(ISNUMBER(Sync!$U1925),Sync!$U1925&gt;=0,Sync!$U1925&lt;1),RIGHT("00"&amp;HOUR(Sync!$U1925),2)&amp;RIGHT("00"&amp;MINUTE(Sync!$U1925),2),IFERROR(RIGHT("00"&amp;VALUE(LEFT(Sync!$U1925,FIND(":",Sync!$U1925)-1)),2)&amp;RIGHT("00"&amp;VALUE(MID(Sync!$U1925,FIND(":",Sync!$U1925)+1,2)),2),"0000"))))</f>
        <v/>
      </c>
    </row>
    <row r="1930">
      <c r="A1930">
        <f>IF(Sync!$T1926="","",Sync!$T1926)</f>
        <v/>
      </c>
      <c r="B1930">
        <f>IF($A1930="","",IF(ISNUMBER($A1930),IF(AND($A1930&gt;=10000101,$A1930&lt;=99991231),INT($A1930/10000),""),IFERROR(VALUE(TRIM(LEFT($A1930,FIND("/",$A1930)-1))),"")))</f>
        <v/>
      </c>
      <c r="C1930">
        <f>IF(OR($A1930="",$B1930=""),"",IF(ISNUMBER($A1930),INT(MOD($A1930,10000)/100),IFERROR(VALUE(TRIM(LEFT(MID($A1930,FIND("/",$A1930)+1,20),FIND("/",MID($A1930,FIND("/",$A1930)+1,20))-1))),"")))</f>
        <v/>
      </c>
      <c r="D1930">
        <f>IF(OR($A1930="",$B1930=""),"",IF(ISNUMBER($A1930),MOD($A1930,100),IFERROR(VALUE(TRIM(MID(MID($A1930,FIND("/",$A1930)+1,20),FIND("/",MID($A1930,FIND("/",$A1930)+1,20))+1,20))),"")))</f>
        <v/>
      </c>
      <c r="E1930">
        <f>IF($A1930="","",IF(OR($B1930="",$C1930="",$D1930="",$B1930&lt;1300,$B1930&gt;1500,$C1930&lt;1,$C1930&gt;12,$D1930&lt;1,$D1930&gt;31),"نامعتبر",RIGHT("0000"&amp;$B1930,4)&amp;"/"&amp;RIGHT("00"&amp;$C1930,2)&amp;"/"&amp;RIGHT("00"&amp;$D1930,2)))</f>
        <v/>
      </c>
      <c r="F1930">
        <f>IF(OR($E1930="",$E1930="نامعتبر"),"",LEFT($E1930,4)&amp;"/"&amp;MID($E1930,6,2))</f>
        <v/>
      </c>
      <c r="G1930">
        <f>IF(OR($E1930="",$E1930="نامعتبر",Sync!$X1926=""),"",IF(AND(LEFT(UPPER(TRIM(Sync!$X1926)),2)="SL",IFERROR(VLOOKUP(Sync!$W1926,OpTbl,3,0),"")="فروش"),UPPER(TRIM(Sync!$X1926)),""))</f>
        <v/>
      </c>
      <c r="H1930">
        <f>IF($G1930="","",IF(Sync!$W1926="","",Sync!$W1926))</f>
        <v/>
      </c>
      <c r="I1930">
        <f>IF(OR($G1930="",Sync!$Y1926=""),"",Sync!$Y1926)</f>
        <v/>
      </c>
      <c r="J1930">
        <f>IF(OR($G1930="",Sync!$Z1926=""),"",Sync!$Z1926)</f>
        <v/>
      </c>
      <c r="K1930">
        <f>IF($G1930="",0,IF(Sync!$AA1926="",0,Sync!$AA1926))</f>
        <v/>
      </c>
      <c r="L1930">
        <f>IF($G1930="",0,IF(Sync!$AB1926="",0,Sync!$AB1926))</f>
        <v/>
      </c>
      <c r="M1930">
        <f>IF($G1930="","",IF($H1930="مرجوعی فروش",-1,1)*($K1930-$L1930*IFERROR(VLOOKUP("P01",ParamTbl,3,0),1.5)))</f>
        <v/>
      </c>
      <c r="N1930">
        <f>IF($G1930="",0,IF($H1930="مرجوعی فروش",-1,1)*IF(Sync!$AC1926="",0,Sync!$AC1926))</f>
        <v/>
      </c>
      <c r="O1930">
        <f>IF(OR($G1930="",Sync!$V1926=""),"",Sync!$V1926)</f>
        <v/>
      </c>
      <c r="P1930">
        <f>IF(OR($G1930="",Sync!$AD1926=""),"",Sync!$AD1926)</f>
        <v/>
      </c>
      <c r="Q1930">
        <f>IF($G1930="","",IF(Sync!$U1926="","0000",IF(AND(ISNUMBER(Sync!$U1926),Sync!$U1926&gt;=0,Sync!$U1926&lt;1),RIGHT("00"&amp;HOUR(Sync!$U1926),2)&amp;RIGHT("00"&amp;MINUTE(Sync!$U1926),2),IFERROR(RIGHT("00"&amp;VALUE(LEFT(Sync!$U1926,FIND(":",Sync!$U1926)-1)),2)&amp;RIGHT("00"&amp;VALUE(MID(Sync!$U1926,FIND(":",Sync!$U1926)+1,2)),2),"0000"))))</f>
        <v/>
      </c>
    </row>
    <row r="1931">
      <c r="A1931">
        <f>IF(Sync!$T1927="","",Sync!$T1927)</f>
        <v/>
      </c>
      <c r="B1931">
        <f>IF($A1931="","",IF(ISNUMBER($A1931),IF(AND($A1931&gt;=10000101,$A1931&lt;=99991231),INT($A1931/10000),""),IFERROR(VALUE(TRIM(LEFT($A1931,FIND("/",$A1931)-1))),"")))</f>
        <v/>
      </c>
      <c r="C1931">
        <f>IF(OR($A1931="",$B1931=""),"",IF(ISNUMBER($A1931),INT(MOD($A1931,10000)/100),IFERROR(VALUE(TRIM(LEFT(MID($A1931,FIND("/",$A1931)+1,20),FIND("/",MID($A1931,FIND("/",$A1931)+1,20))-1))),"")))</f>
        <v/>
      </c>
      <c r="D1931">
        <f>IF(OR($A1931="",$B1931=""),"",IF(ISNUMBER($A1931),MOD($A1931,100),IFERROR(VALUE(TRIM(MID(MID($A1931,FIND("/",$A1931)+1,20),FIND("/",MID($A1931,FIND("/",$A1931)+1,20))+1,20))),"")))</f>
        <v/>
      </c>
      <c r="E1931">
        <f>IF($A1931="","",IF(OR($B1931="",$C1931="",$D1931="",$B1931&lt;1300,$B1931&gt;1500,$C1931&lt;1,$C1931&gt;12,$D1931&lt;1,$D1931&gt;31),"نامعتبر",RIGHT("0000"&amp;$B1931,4)&amp;"/"&amp;RIGHT("00"&amp;$C1931,2)&amp;"/"&amp;RIGHT("00"&amp;$D1931,2)))</f>
        <v/>
      </c>
      <c r="F1931">
        <f>IF(OR($E1931="",$E1931="نامعتبر"),"",LEFT($E1931,4)&amp;"/"&amp;MID($E1931,6,2))</f>
        <v/>
      </c>
      <c r="G1931">
        <f>IF(OR($E1931="",$E1931="نامعتبر",Sync!$X1927=""),"",IF(AND(LEFT(UPPER(TRIM(Sync!$X1927)),2)="SL",IFERROR(VLOOKUP(Sync!$W1927,OpTbl,3,0),"")="فروش"),UPPER(TRIM(Sync!$X1927)),""))</f>
        <v/>
      </c>
      <c r="H1931">
        <f>IF($G1931="","",IF(Sync!$W1927="","",Sync!$W1927))</f>
        <v/>
      </c>
      <c r="I1931">
        <f>IF(OR($G1931="",Sync!$Y1927=""),"",Sync!$Y1927)</f>
        <v/>
      </c>
      <c r="J1931">
        <f>IF(OR($G1931="",Sync!$Z1927=""),"",Sync!$Z1927)</f>
        <v/>
      </c>
      <c r="K1931">
        <f>IF($G1931="",0,IF(Sync!$AA1927="",0,Sync!$AA1927))</f>
        <v/>
      </c>
      <c r="L1931">
        <f>IF($G1931="",0,IF(Sync!$AB1927="",0,Sync!$AB1927))</f>
        <v/>
      </c>
      <c r="M1931">
        <f>IF($G1931="","",IF($H1931="مرجوعی فروش",-1,1)*($K1931-$L1931*IFERROR(VLOOKUP("P01",ParamTbl,3,0),1.5)))</f>
        <v/>
      </c>
      <c r="N1931">
        <f>IF($G1931="",0,IF($H1931="مرجوعی فروش",-1,1)*IF(Sync!$AC1927="",0,Sync!$AC1927))</f>
        <v/>
      </c>
      <c r="O1931">
        <f>IF(OR($G1931="",Sync!$V1927=""),"",Sync!$V1927)</f>
        <v/>
      </c>
      <c r="P1931">
        <f>IF(OR($G1931="",Sync!$AD1927=""),"",Sync!$AD1927)</f>
        <v/>
      </c>
      <c r="Q1931">
        <f>IF($G1931="","",IF(Sync!$U1927="","0000",IF(AND(ISNUMBER(Sync!$U1927),Sync!$U1927&gt;=0,Sync!$U1927&lt;1),RIGHT("00"&amp;HOUR(Sync!$U1927),2)&amp;RIGHT("00"&amp;MINUTE(Sync!$U1927),2),IFERROR(RIGHT("00"&amp;VALUE(LEFT(Sync!$U1927,FIND(":",Sync!$U1927)-1)),2)&amp;RIGHT("00"&amp;VALUE(MID(Sync!$U1927,FIND(":",Sync!$U1927)+1,2)),2),"0000"))))</f>
        <v/>
      </c>
    </row>
    <row r="1932">
      <c r="A1932">
        <f>IF(Sync!$T1928="","",Sync!$T1928)</f>
        <v/>
      </c>
      <c r="B1932">
        <f>IF($A1932="","",IF(ISNUMBER($A1932),IF(AND($A1932&gt;=10000101,$A1932&lt;=99991231),INT($A1932/10000),""),IFERROR(VALUE(TRIM(LEFT($A1932,FIND("/",$A1932)-1))),"")))</f>
        <v/>
      </c>
      <c r="C1932">
        <f>IF(OR($A1932="",$B1932=""),"",IF(ISNUMBER($A1932),INT(MOD($A1932,10000)/100),IFERROR(VALUE(TRIM(LEFT(MID($A1932,FIND("/",$A1932)+1,20),FIND("/",MID($A1932,FIND("/",$A1932)+1,20))-1))),"")))</f>
        <v/>
      </c>
      <c r="D1932">
        <f>IF(OR($A1932="",$B1932=""),"",IF(ISNUMBER($A1932),MOD($A1932,100),IFERROR(VALUE(TRIM(MID(MID($A1932,FIND("/",$A1932)+1,20),FIND("/",MID($A1932,FIND("/",$A1932)+1,20))+1,20))),"")))</f>
        <v/>
      </c>
      <c r="E1932">
        <f>IF($A1932="","",IF(OR($B1932="",$C1932="",$D1932="",$B1932&lt;1300,$B1932&gt;1500,$C1932&lt;1,$C1932&gt;12,$D1932&lt;1,$D1932&gt;31),"نامعتبر",RIGHT("0000"&amp;$B1932,4)&amp;"/"&amp;RIGHT("00"&amp;$C1932,2)&amp;"/"&amp;RIGHT("00"&amp;$D1932,2)))</f>
        <v/>
      </c>
      <c r="F1932">
        <f>IF(OR($E1932="",$E1932="نامعتبر"),"",LEFT($E1932,4)&amp;"/"&amp;MID($E1932,6,2))</f>
        <v/>
      </c>
      <c r="G1932">
        <f>IF(OR($E1932="",$E1932="نامعتبر",Sync!$X1928=""),"",IF(AND(LEFT(UPPER(TRIM(Sync!$X1928)),2)="SL",IFERROR(VLOOKUP(Sync!$W1928,OpTbl,3,0),"")="فروش"),UPPER(TRIM(Sync!$X1928)),""))</f>
        <v/>
      </c>
      <c r="H1932">
        <f>IF($G1932="","",IF(Sync!$W1928="","",Sync!$W1928))</f>
        <v/>
      </c>
      <c r="I1932">
        <f>IF(OR($G1932="",Sync!$Y1928=""),"",Sync!$Y1928)</f>
        <v/>
      </c>
      <c r="J1932">
        <f>IF(OR($G1932="",Sync!$Z1928=""),"",Sync!$Z1928)</f>
        <v/>
      </c>
      <c r="K1932">
        <f>IF($G1932="",0,IF(Sync!$AA1928="",0,Sync!$AA1928))</f>
        <v/>
      </c>
      <c r="L1932">
        <f>IF($G1932="",0,IF(Sync!$AB1928="",0,Sync!$AB1928))</f>
        <v/>
      </c>
      <c r="M1932">
        <f>IF($G1932="","",IF($H1932="مرجوعی فروش",-1,1)*($K1932-$L1932*IFERROR(VLOOKUP("P01",ParamTbl,3,0),1.5)))</f>
        <v/>
      </c>
      <c r="N1932">
        <f>IF($G1932="",0,IF($H1932="مرجوعی فروش",-1,1)*IF(Sync!$AC1928="",0,Sync!$AC1928))</f>
        <v/>
      </c>
      <c r="O1932">
        <f>IF(OR($G1932="",Sync!$V1928=""),"",Sync!$V1928)</f>
        <v/>
      </c>
      <c r="P1932">
        <f>IF(OR($G1932="",Sync!$AD1928=""),"",Sync!$AD1928)</f>
        <v/>
      </c>
      <c r="Q1932">
        <f>IF($G1932="","",IF(Sync!$U1928="","0000",IF(AND(ISNUMBER(Sync!$U1928),Sync!$U1928&gt;=0,Sync!$U1928&lt;1),RIGHT("00"&amp;HOUR(Sync!$U1928),2)&amp;RIGHT("00"&amp;MINUTE(Sync!$U1928),2),IFERROR(RIGHT("00"&amp;VALUE(LEFT(Sync!$U1928,FIND(":",Sync!$U1928)-1)),2)&amp;RIGHT("00"&amp;VALUE(MID(Sync!$U1928,FIND(":",Sync!$U1928)+1,2)),2),"0000"))))</f>
        <v/>
      </c>
    </row>
    <row r="1933">
      <c r="A1933">
        <f>IF(Sync!$T1929="","",Sync!$T1929)</f>
        <v/>
      </c>
      <c r="B1933">
        <f>IF($A1933="","",IF(ISNUMBER($A1933),IF(AND($A1933&gt;=10000101,$A1933&lt;=99991231),INT($A1933/10000),""),IFERROR(VALUE(TRIM(LEFT($A1933,FIND("/",$A1933)-1))),"")))</f>
        <v/>
      </c>
      <c r="C1933">
        <f>IF(OR($A1933="",$B1933=""),"",IF(ISNUMBER($A1933),INT(MOD($A1933,10000)/100),IFERROR(VALUE(TRIM(LEFT(MID($A1933,FIND("/",$A1933)+1,20),FIND("/",MID($A1933,FIND("/",$A1933)+1,20))-1))),"")))</f>
        <v/>
      </c>
      <c r="D1933">
        <f>IF(OR($A1933="",$B1933=""),"",IF(ISNUMBER($A1933),MOD($A1933,100),IFERROR(VALUE(TRIM(MID(MID($A1933,FIND("/",$A1933)+1,20),FIND("/",MID($A1933,FIND("/",$A1933)+1,20))+1,20))),"")))</f>
        <v/>
      </c>
      <c r="E1933">
        <f>IF($A1933="","",IF(OR($B1933="",$C1933="",$D1933="",$B1933&lt;1300,$B1933&gt;1500,$C1933&lt;1,$C1933&gt;12,$D1933&lt;1,$D1933&gt;31),"نامعتبر",RIGHT("0000"&amp;$B1933,4)&amp;"/"&amp;RIGHT("00"&amp;$C1933,2)&amp;"/"&amp;RIGHT("00"&amp;$D1933,2)))</f>
        <v/>
      </c>
      <c r="F1933">
        <f>IF(OR($E1933="",$E1933="نامعتبر"),"",LEFT($E1933,4)&amp;"/"&amp;MID($E1933,6,2))</f>
        <v/>
      </c>
      <c r="G1933">
        <f>IF(OR($E1933="",$E1933="نامعتبر",Sync!$X1929=""),"",IF(AND(LEFT(UPPER(TRIM(Sync!$X1929)),2)="SL",IFERROR(VLOOKUP(Sync!$W1929,OpTbl,3,0),"")="فروش"),UPPER(TRIM(Sync!$X1929)),""))</f>
        <v/>
      </c>
      <c r="H1933">
        <f>IF($G1933="","",IF(Sync!$W1929="","",Sync!$W1929))</f>
        <v/>
      </c>
      <c r="I1933">
        <f>IF(OR($G1933="",Sync!$Y1929=""),"",Sync!$Y1929)</f>
        <v/>
      </c>
      <c r="J1933">
        <f>IF(OR($G1933="",Sync!$Z1929=""),"",Sync!$Z1929)</f>
        <v/>
      </c>
      <c r="K1933">
        <f>IF($G1933="",0,IF(Sync!$AA1929="",0,Sync!$AA1929))</f>
        <v/>
      </c>
      <c r="L1933">
        <f>IF($G1933="",0,IF(Sync!$AB1929="",0,Sync!$AB1929))</f>
        <v/>
      </c>
      <c r="M1933">
        <f>IF($G1933="","",IF($H1933="مرجوعی فروش",-1,1)*($K1933-$L1933*IFERROR(VLOOKUP("P01",ParamTbl,3,0),1.5)))</f>
        <v/>
      </c>
      <c r="N1933">
        <f>IF($G1933="",0,IF($H1933="مرجوعی فروش",-1,1)*IF(Sync!$AC1929="",0,Sync!$AC1929))</f>
        <v/>
      </c>
      <c r="O1933">
        <f>IF(OR($G1933="",Sync!$V1929=""),"",Sync!$V1929)</f>
        <v/>
      </c>
      <c r="P1933">
        <f>IF(OR($G1933="",Sync!$AD1929=""),"",Sync!$AD1929)</f>
        <v/>
      </c>
      <c r="Q1933">
        <f>IF($G1933="","",IF(Sync!$U1929="","0000",IF(AND(ISNUMBER(Sync!$U1929),Sync!$U1929&gt;=0,Sync!$U1929&lt;1),RIGHT("00"&amp;HOUR(Sync!$U1929),2)&amp;RIGHT("00"&amp;MINUTE(Sync!$U1929),2),IFERROR(RIGHT("00"&amp;VALUE(LEFT(Sync!$U1929,FIND(":",Sync!$U1929)-1)),2)&amp;RIGHT("00"&amp;VALUE(MID(Sync!$U1929,FIND(":",Sync!$U1929)+1,2)),2),"0000"))))</f>
        <v/>
      </c>
    </row>
    <row r="1934">
      <c r="A1934">
        <f>IF(Sync!$T1930="","",Sync!$T1930)</f>
        <v/>
      </c>
      <c r="B1934">
        <f>IF($A1934="","",IF(ISNUMBER($A1934),IF(AND($A1934&gt;=10000101,$A1934&lt;=99991231),INT($A1934/10000),""),IFERROR(VALUE(TRIM(LEFT($A1934,FIND("/",$A1934)-1))),"")))</f>
        <v/>
      </c>
      <c r="C1934">
        <f>IF(OR($A1934="",$B1934=""),"",IF(ISNUMBER($A1934),INT(MOD($A1934,10000)/100),IFERROR(VALUE(TRIM(LEFT(MID($A1934,FIND("/",$A1934)+1,20),FIND("/",MID($A1934,FIND("/",$A1934)+1,20))-1))),"")))</f>
        <v/>
      </c>
      <c r="D1934">
        <f>IF(OR($A1934="",$B1934=""),"",IF(ISNUMBER($A1934),MOD($A1934,100),IFERROR(VALUE(TRIM(MID(MID($A1934,FIND("/",$A1934)+1,20),FIND("/",MID($A1934,FIND("/",$A1934)+1,20))+1,20))),"")))</f>
        <v/>
      </c>
      <c r="E1934">
        <f>IF($A1934="","",IF(OR($B1934="",$C1934="",$D1934="",$B1934&lt;1300,$B1934&gt;1500,$C1934&lt;1,$C1934&gt;12,$D1934&lt;1,$D1934&gt;31),"نامعتبر",RIGHT("0000"&amp;$B1934,4)&amp;"/"&amp;RIGHT("00"&amp;$C1934,2)&amp;"/"&amp;RIGHT("00"&amp;$D1934,2)))</f>
        <v/>
      </c>
      <c r="F1934">
        <f>IF(OR($E1934="",$E1934="نامعتبر"),"",LEFT($E1934,4)&amp;"/"&amp;MID($E1934,6,2))</f>
        <v/>
      </c>
      <c r="G1934">
        <f>IF(OR($E1934="",$E1934="نامعتبر",Sync!$X1930=""),"",IF(AND(LEFT(UPPER(TRIM(Sync!$X1930)),2)="SL",IFERROR(VLOOKUP(Sync!$W1930,OpTbl,3,0),"")="فروش"),UPPER(TRIM(Sync!$X1930)),""))</f>
        <v/>
      </c>
      <c r="H1934">
        <f>IF($G1934="","",IF(Sync!$W1930="","",Sync!$W1930))</f>
        <v/>
      </c>
      <c r="I1934">
        <f>IF(OR($G1934="",Sync!$Y1930=""),"",Sync!$Y1930)</f>
        <v/>
      </c>
      <c r="J1934">
        <f>IF(OR($G1934="",Sync!$Z1930=""),"",Sync!$Z1930)</f>
        <v/>
      </c>
      <c r="K1934">
        <f>IF($G1934="",0,IF(Sync!$AA1930="",0,Sync!$AA1930))</f>
        <v/>
      </c>
      <c r="L1934">
        <f>IF($G1934="",0,IF(Sync!$AB1930="",0,Sync!$AB1930))</f>
        <v/>
      </c>
      <c r="M1934">
        <f>IF($G1934="","",IF($H1934="مرجوعی فروش",-1,1)*($K1934-$L1934*IFERROR(VLOOKUP("P01",ParamTbl,3,0),1.5)))</f>
        <v/>
      </c>
      <c r="N1934">
        <f>IF($G1934="",0,IF($H1934="مرجوعی فروش",-1,1)*IF(Sync!$AC1930="",0,Sync!$AC1930))</f>
        <v/>
      </c>
      <c r="O1934">
        <f>IF(OR($G1934="",Sync!$V1930=""),"",Sync!$V1930)</f>
        <v/>
      </c>
      <c r="P1934">
        <f>IF(OR($G1934="",Sync!$AD1930=""),"",Sync!$AD1930)</f>
        <v/>
      </c>
      <c r="Q1934">
        <f>IF($G1934="","",IF(Sync!$U1930="","0000",IF(AND(ISNUMBER(Sync!$U1930),Sync!$U1930&gt;=0,Sync!$U1930&lt;1),RIGHT("00"&amp;HOUR(Sync!$U1930),2)&amp;RIGHT("00"&amp;MINUTE(Sync!$U1930),2),IFERROR(RIGHT("00"&amp;VALUE(LEFT(Sync!$U1930,FIND(":",Sync!$U1930)-1)),2)&amp;RIGHT("00"&amp;VALUE(MID(Sync!$U1930,FIND(":",Sync!$U1930)+1,2)),2),"0000"))))</f>
        <v/>
      </c>
    </row>
    <row r="1935">
      <c r="A1935">
        <f>IF(Sync!$T1931="","",Sync!$T1931)</f>
        <v/>
      </c>
      <c r="B1935">
        <f>IF($A1935="","",IF(ISNUMBER($A1935),IF(AND($A1935&gt;=10000101,$A1935&lt;=99991231),INT($A1935/10000),""),IFERROR(VALUE(TRIM(LEFT($A1935,FIND("/",$A1935)-1))),"")))</f>
        <v/>
      </c>
      <c r="C1935">
        <f>IF(OR($A1935="",$B1935=""),"",IF(ISNUMBER($A1935),INT(MOD($A1935,10000)/100),IFERROR(VALUE(TRIM(LEFT(MID($A1935,FIND("/",$A1935)+1,20),FIND("/",MID($A1935,FIND("/",$A1935)+1,20))-1))),"")))</f>
        <v/>
      </c>
      <c r="D1935">
        <f>IF(OR($A1935="",$B1935=""),"",IF(ISNUMBER($A1935),MOD($A1935,100),IFERROR(VALUE(TRIM(MID(MID($A1935,FIND("/",$A1935)+1,20),FIND("/",MID($A1935,FIND("/",$A1935)+1,20))+1,20))),"")))</f>
        <v/>
      </c>
      <c r="E1935">
        <f>IF($A1935="","",IF(OR($B1935="",$C1935="",$D1935="",$B1935&lt;1300,$B1935&gt;1500,$C1935&lt;1,$C1935&gt;12,$D1935&lt;1,$D1935&gt;31),"نامعتبر",RIGHT("0000"&amp;$B1935,4)&amp;"/"&amp;RIGHT("00"&amp;$C1935,2)&amp;"/"&amp;RIGHT("00"&amp;$D1935,2)))</f>
        <v/>
      </c>
      <c r="F1935">
        <f>IF(OR($E1935="",$E1935="نامعتبر"),"",LEFT($E1935,4)&amp;"/"&amp;MID($E1935,6,2))</f>
        <v/>
      </c>
      <c r="G1935">
        <f>IF(OR($E1935="",$E1935="نامعتبر",Sync!$X1931=""),"",IF(AND(LEFT(UPPER(TRIM(Sync!$X1931)),2)="SL",IFERROR(VLOOKUP(Sync!$W1931,OpTbl,3,0),"")="فروش"),UPPER(TRIM(Sync!$X1931)),""))</f>
        <v/>
      </c>
      <c r="H1935">
        <f>IF($G1935="","",IF(Sync!$W1931="","",Sync!$W1931))</f>
        <v/>
      </c>
      <c r="I1935">
        <f>IF(OR($G1935="",Sync!$Y1931=""),"",Sync!$Y1931)</f>
        <v/>
      </c>
      <c r="J1935">
        <f>IF(OR($G1935="",Sync!$Z1931=""),"",Sync!$Z1931)</f>
        <v/>
      </c>
      <c r="K1935">
        <f>IF($G1935="",0,IF(Sync!$AA1931="",0,Sync!$AA1931))</f>
        <v/>
      </c>
      <c r="L1935">
        <f>IF($G1935="",0,IF(Sync!$AB1931="",0,Sync!$AB1931))</f>
        <v/>
      </c>
      <c r="M1935">
        <f>IF($G1935="","",IF($H1935="مرجوعی فروش",-1,1)*($K1935-$L1935*IFERROR(VLOOKUP("P01",ParamTbl,3,0),1.5)))</f>
        <v/>
      </c>
      <c r="N1935">
        <f>IF($G1935="",0,IF($H1935="مرجوعی فروش",-1,1)*IF(Sync!$AC1931="",0,Sync!$AC1931))</f>
        <v/>
      </c>
      <c r="O1935">
        <f>IF(OR($G1935="",Sync!$V1931=""),"",Sync!$V1931)</f>
        <v/>
      </c>
      <c r="P1935">
        <f>IF(OR($G1935="",Sync!$AD1931=""),"",Sync!$AD1931)</f>
        <v/>
      </c>
      <c r="Q1935">
        <f>IF($G1935="","",IF(Sync!$U1931="","0000",IF(AND(ISNUMBER(Sync!$U1931),Sync!$U1931&gt;=0,Sync!$U1931&lt;1),RIGHT("00"&amp;HOUR(Sync!$U1931),2)&amp;RIGHT("00"&amp;MINUTE(Sync!$U1931),2),IFERROR(RIGHT("00"&amp;VALUE(LEFT(Sync!$U1931,FIND(":",Sync!$U1931)-1)),2)&amp;RIGHT("00"&amp;VALUE(MID(Sync!$U1931,FIND(":",Sync!$U1931)+1,2)),2),"0000"))))</f>
        <v/>
      </c>
    </row>
    <row r="1936">
      <c r="A1936">
        <f>IF(Sync!$T1932="","",Sync!$T1932)</f>
        <v/>
      </c>
      <c r="B1936">
        <f>IF($A1936="","",IF(ISNUMBER($A1936),IF(AND($A1936&gt;=10000101,$A1936&lt;=99991231),INT($A1936/10000),""),IFERROR(VALUE(TRIM(LEFT($A1936,FIND("/",$A1936)-1))),"")))</f>
        <v/>
      </c>
      <c r="C1936">
        <f>IF(OR($A1936="",$B1936=""),"",IF(ISNUMBER($A1936),INT(MOD($A1936,10000)/100),IFERROR(VALUE(TRIM(LEFT(MID($A1936,FIND("/",$A1936)+1,20),FIND("/",MID($A1936,FIND("/",$A1936)+1,20))-1))),"")))</f>
        <v/>
      </c>
      <c r="D1936">
        <f>IF(OR($A1936="",$B1936=""),"",IF(ISNUMBER($A1936),MOD($A1936,100),IFERROR(VALUE(TRIM(MID(MID($A1936,FIND("/",$A1936)+1,20),FIND("/",MID($A1936,FIND("/",$A1936)+1,20))+1,20))),"")))</f>
        <v/>
      </c>
      <c r="E1936">
        <f>IF($A1936="","",IF(OR($B1936="",$C1936="",$D1936="",$B1936&lt;1300,$B1936&gt;1500,$C1936&lt;1,$C1936&gt;12,$D1936&lt;1,$D1936&gt;31),"نامعتبر",RIGHT("0000"&amp;$B1936,4)&amp;"/"&amp;RIGHT("00"&amp;$C1936,2)&amp;"/"&amp;RIGHT("00"&amp;$D1936,2)))</f>
        <v/>
      </c>
      <c r="F1936">
        <f>IF(OR($E1936="",$E1936="نامعتبر"),"",LEFT($E1936,4)&amp;"/"&amp;MID($E1936,6,2))</f>
        <v/>
      </c>
      <c r="G1936">
        <f>IF(OR($E1936="",$E1936="نامعتبر",Sync!$X1932=""),"",IF(AND(LEFT(UPPER(TRIM(Sync!$X1932)),2)="SL",IFERROR(VLOOKUP(Sync!$W1932,OpTbl,3,0),"")="فروش"),UPPER(TRIM(Sync!$X1932)),""))</f>
        <v/>
      </c>
      <c r="H1936">
        <f>IF($G1936="","",IF(Sync!$W1932="","",Sync!$W1932))</f>
        <v/>
      </c>
      <c r="I1936">
        <f>IF(OR($G1936="",Sync!$Y1932=""),"",Sync!$Y1932)</f>
        <v/>
      </c>
      <c r="J1936">
        <f>IF(OR($G1936="",Sync!$Z1932=""),"",Sync!$Z1932)</f>
        <v/>
      </c>
      <c r="K1936">
        <f>IF($G1936="",0,IF(Sync!$AA1932="",0,Sync!$AA1932))</f>
        <v/>
      </c>
      <c r="L1936">
        <f>IF($G1936="",0,IF(Sync!$AB1932="",0,Sync!$AB1932))</f>
        <v/>
      </c>
      <c r="M1936">
        <f>IF($G1936="","",IF($H1936="مرجوعی فروش",-1,1)*($K1936-$L1936*IFERROR(VLOOKUP("P01",ParamTbl,3,0),1.5)))</f>
        <v/>
      </c>
      <c r="N1936">
        <f>IF($G1936="",0,IF($H1936="مرجوعی فروش",-1,1)*IF(Sync!$AC1932="",0,Sync!$AC1932))</f>
        <v/>
      </c>
      <c r="O1936">
        <f>IF(OR($G1936="",Sync!$V1932=""),"",Sync!$V1932)</f>
        <v/>
      </c>
      <c r="P1936">
        <f>IF(OR($G1936="",Sync!$AD1932=""),"",Sync!$AD1932)</f>
        <v/>
      </c>
      <c r="Q1936">
        <f>IF($G1936="","",IF(Sync!$U1932="","0000",IF(AND(ISNUMBER(Sync!$U1932),Sync!$U1932&gt;=0,Sync!$U1932&lt;1),RIGHT("00"&amp;HOUR(Sync!$U1932),2)&amp;RIGHT("00"&amp;MINUTE(Sync!$U1932),2),IFERROR(RIGHT("00"&amp;VALUE(LEFT(Sync!$U1932,FIND(":",Sync!$U1932)-1)),2)&amp;RIGHT("00"&amp;VALUE(MID(Sync!$U1932,FIND(":",Sync!$U1932)+1,2)),2),"0000"))))</f>
        <v/>
      </c>
    </row>
    <row r="1937">
      <c r="A1937">
        <f>IF(Sync!$T1933="","",Sync!$T1933)</f>
        <v/>
      </c>
      <c r="B1937">
        <f>IF($A1937="","",IF(ISNUMBER($A1937),IF(AND($A1937&gt;=10000101,$A1937&lt;=99991231),INT($A1937/10000),""),IFERROR(VALUE(TRIM(LEFT($A1937,FIND("/",$A1937)-1))),"")))</f>
        <v/>
      </c>
      <c r="C1937">
        <f>IF(OR($A1937="",$B1937=""),"",IF(ISNUMBER($A1937),INT(MOD($A1937,10000)/100),IFERROR(VALUE(TRIM(LEFT(MID($A1937,FIND("/",$A1937)+1,20),FIND("/",MID($A1937,FIND("/",$A1937)+1,20))-1))),"")))</f>
        <v/>
      </c>
      <c r="D1937">
        <f>IF(OR($A1937="",$B1937=""),"",IF(ISNUMBER($A1937),MOD($A1937,100),IFERROR(VALUE(TRIM(MID(MID($A1937,FIND("/",$A1937)+1,20),FIND("/",MID($A1937,FIND("/",$A1937)+1,20))+1,20))),"")))</f>
        <v/>
      </c>
      <c r="E1937">
        <f>IF($A1937="","",IF(OR($B1937="",$C1937="",$D1937="",$B1937&lt;1300,$B1937&gt;1500,$C1937&lt;1,$C1937&gt;12,$D1937&lt;1,$D1937&gt;31),"نامعتبر",RIGHT("0000"&amp;$B1937,4)&amp;"/"&amp;RIGHT("00"&amp;$C1937,2)&amp;"/"&amp;RIGHT("00"&amp;$D1937,2)))</f>
        <v/>
      </c>
      <c r="F1937">
        <f>IF(OR($E1937="",$E1937="نامعتبر"),"",LEFT($E1937,4)&amp;"/"&amp;MID($E1937,6,2))</f>
        <v/>
      </c>
      <c r="G1937">
        <f>IF(OR($E1937="",$E1937="نامعتبر",Sync!$X1933=""),"",IF(AND(LEFT(UPPER(TRIM(Sync!$X1933)),2)="SL",IFERROR(VLOOKUP(Sync!$W1933,OpTbl,3,0),"")="فروش"),UPPER(TRIM(Sync!$X1933)),""))</f>
        <v/>
      </c>
      <c r="H1937">
        <f>IF($G1937="","",IF(Sync!$W1933="","",Sync!$W1933))</f>
        <v/>
      </c>
      <c r="I1937">
        <f>IF(OR($G1937="",Sync!$Y1933=""),"",Sync!$Y1933)</f>
        <v/>
      </c>
      <c r="J1937">
        <f>IF(OR($G1937="",Sync!$Z1933=""),"",Sync!$Z1933)</f>
        <v/>
      </c>
      <c r="K1937">
        <f>IF($G1937="",0,IF(Sync!$AA1933="",0,Sync!$AA1933))</f>
        <v/>
      </c>
      <c r="L1937">
        <f>IF($G1937="",0,IF(Sync!$AB1933="",0,Sync!$AB1933))</f>
        <v/>
      </c>
      <c r="M1937">
        <f>IF($G1937="","",IF($H1937="مرجوعی فروش",-1,1)*($K1937-$L1937*IFERROR(VLOOKUP("P01",ParamTbl,3,0),1.5)))</f>
        <v/>
      </c>
      <c r="N1937">
        <f>IF($G1937="",0,IF($H1937="مرجوعی فروش",-1,1)*IF(Sync!$AC1933="",0,Sync!$AC1933))</f>
        <v/>
      </c>
      <c r="O1937">
        <f>IF(OR($G1937="",Sync!$V1933=""),"",Sync!$V1933)</f>
        <v/>
      </c>
      <c r="P1937">
        <f>IF(OR($G1937="",Sync!$AD1933=""),"",Sync!$AD1933)</f>
        <v/>
      </c>
      <c r="Q1937">
        <f>IF($G1937="","",IF(Sync!$U1933="","0000",IF(AND(ISNUMBER(Sync!$U1933),Sync!$U1933&gt;=0,Sync!$U1933&lt;1),RIGHT("00"&amp;HOUR(Sync!$U1933),2)&amp;RIGHT("00"&amp;MINUTE(Sync!$U1933),2),IFERROR(RIGHT("00"&amp;VALUE(LEFT(Sync!$U1933,FIND(":",Sync!$U1933)-1)),2)&amp;RIGHT("00"&amp;VALUE(MID(Sync!$U1933,FIND(":",Sync!$U1933)+1,2)),2),"0000"))))</f>
        <v/>
      </c>
    </row>
    <row r="1938">
      <c r="A1938">
        <f>IF(Sync!$T1934="","",Sync!$T1934)</f>
        <v/>
      </c>
      <c r="B1938">
        <f>IF($A1938="","",IF(ISNUMBER($A1938),IF(AND($A1938&gt;=10000101,$A1938&lt;=99991231),INT($A1938/10000),""),IFERROR(VALUE(TRIM(LEFT($A1938,FIND("/",$A1938)-1))),"")))</f>
        <v/>
      </c>
      <c r="C1938">
        <f>IF(OR($A1938="",$B1938=""),"",IF(ISNUMBER($A1938),INT(MOD($A1938,10000)/100),IFERROR(VALUE(TRIM(LEFT(MID($A1938,FIND("/",$A1938)+1,20),FIND("/",MID($A1938,FIND("/",$A1938)+1,20))-1))),"")))</f>
        <v/>
      </c>
      <c r="D1938">
        <f>IF(OR($A1938="",$B1938=""),"",IF(ISNUMBER($A1938),MOD($A1938,100),IFERROR(VALUE(TRIM(MID(MID($A1938,FIND("/",$A1938)+1,20),FIND("/",MID($A1938,FIND("/",$A1938)+1,20))+1,20))),"")))</f>
        <v/>
      </c>
      <c r="E1938">
        <f>IF($A1938="","",IF(OR($B1938="",$C1938="",$D1938="",$B1938&lt;1300,$B1938&gt;1500,$C1938&lt;1,$C1938&gt;12,$D1938&lt;1,$D1938&gt;31),"نامعتبر",RIGHT("0000"&amp;$B1938,4)&amp;"/"&amp;RIGHT("00"&amp;$C1938,2)&amp;"/"&amp;RIGHT("00"&amp;$D1938,2)))</f>
        <v/>
      </c>
      <c r="F1938">
        <f>IF(OR($E1938="",$E1938="نامعتبر"),"",LEFT($E1938,4)&amp;"/"&amp;MID($E1938,6,2))</f>
        <v/>
      </c>
      <c r="G1938">
        <f>IF(OR($E1938="",$E1938="نامعتبر",Sync!$X1934=""),"",IF(AND(LEFT(UPPER(TRIM(Sync!$X1934)),2)="SL",IFERROR(VLOOKUP(Sync!$W1934,OpTbl,3,0),"")="فروش"),UPPER(TRIM(Sync!$X1934)),""))</f>
        <v/>
      </c>
      <c r="H1938">
        <f>IF($G1938="","",IF(Sync!$W1934="","",Sync!$W1934))</f>
        <v/>
      </c>
      <c r="I1938">
        <f>IF(OR($G1938="",Sync!$Y1934=""),"",Sync!$Y1934)</f>
        <v/>
      </c>
      <c r="J1938">
        <f>IF(OR($G1938="",Sync!$Z1934=""),"",Sync!$Z1934)</f>
        <v/>
      </c>
      <c r="K1938">
        <f>IF($G1938="",0,IF(Sync!$AA1934="",0,Sync!$AA1934))</f>
        <v/>
      </c>
      <c r="L1938">
        <f>IF($G1938="",0,IF(Sync!$AB1934="",0,Sync!$AB1934))</f>
        <v/>
      </c>
      <c r="M1938">
        <f>IF($G1938="","",IF($H1938="مرجوعی فروش",-1,1)*($K1938-$L1938*IFERROR(VLOOKUP("P01",ParamTbl,3,0),1.5)))</f>
        <v/>
      </c>
      <c r="N1938">
        <f>IF($G1938="",0,IF($H1938="مرجوعی فروش",-1,1)*IF(Sync!$AC1934="",0,Sync!$AC1934))</f>
        <v/>
      </c>
      <c r="O1938">
        <f>IF(OR($G1938="",Sync!$V1934=""),"",Sync!$V1934)</f>
        <v/>
      </c>
      <c r="P1938">
        <f>IF(OR($G1938="",Sync!$AD1934=""),"",Sync!$AD1934)</f>
        <v/>
      </c>
      <c r="Q1938">
        <f>IF($G1938="","",IF(Sync!$U1934="","0000",IF(AND(ISNUMBER(Sync!$U1934),Sync!$U1934&gt;=0,Sync!$U1934&lt;1),RIGHT("00"&amp;HOUR(Sync!$U1934),2)&amp;RIGHT("00"&amp;MINUTE(Sync!$U1934),2),IFERROR(RIGHT("00"&amp;VALUE(LEFT(Sync!$U1934,FIND(":",Sync!$U1934)-1)),2)&amp;RIGHT("00"&amp;VALUE(MID(Sync!$U1934,FIND(":",Sync!$U1934)+1,2)),2),"0000"))))</f>
        <v/>
      </c>
    </row>
    <row r="1939">
      <c r="A1939">
        <f>IF(Sync!$T1935="","",Sync!$T1935)</f>
        <v/>
      </c>
      <c r="B1939">
        <f>IF($A1939="","",IF(ISNUMBER($A1939),IF(AND($A1939&gt;=10000101,$A1939&lt;=99991231),INT($A1939/10000),""),IFERROR(VALUE(TRIM(LEFT($A1939,FIND("/",$A1939)-1))),"")))</f>
        <v/>
      </c>
      <c r="C1939">
        <f>IF(OR($A1939="",$B1939=""),"",IF(ISNUMBER($A1939),INT(MOD($A1939,10000)/100),IFERROR(VALUE(TRIM(LEFT(MID($A1939,FIND("/",$A1939)+1,20),FIND("/",MID($A1939,FIND("/",$A1939)+1,20))-1))),"")))</f>
        <v/>
      </c>
      <c r="D1939">
        <f>IF(OR($A1939="",$B1939=""),"",IF(ISNUMBER($A1939),MOD($A1939,100),IFERROR(VALUE(TRIM(MID(MID($A1939,FIND("/",$A1939)+1,20),FIND("/",MID($A1939,FIND("/",$A1939)+1,20))+1,20))),"")))</f>
        <v/>
      </c>
      <c r="E1939">
        <f>IF($A1939="","",IF(OR($B1939="",$C1939="",$D1939="",$B1939&lt;1300,$B1939&gt;1500,$C1939&lt;1,$C1939&gt;12,$D1939&lt;1,$D1939&gt;31),"نامعتبر",RIGHT("0000"&amp;$B1939,4)&amp;"/"&amp;RIGHT("00"&amp;$C1939,2)&amp;"/"&amp;RIGHT("00"&amp;$D1939,2)))</f>
        <v/>
      </c>
      <c r="F1939">
        <f>IF(OR($E1939="",$E1939="نامعتبر"),"",LEFT($E1939,4)&amp;"/"&amp;MID($E1939,6,2))</f>
        <v/>
      </c>
      <c r="G1939">
        <f>IF(OR($E1939="",$E1939="نامعتبر",Sync!$X1935=""),"",IF(AND(LEFT(UPPER(TRIM(Sync!$X1935)),2)="SL",IFERROR(VLOOKUP(Sync!$W1935,OpTbl,3,0),"")="فروش"),UPPER(TRIM(Sync!$X1935)),""))</f>
        <v/>
      </c>
      <c r="H1939">
        <f>IF($G1939="","",IF(Sync!$W1935="","",Sync!$W1935))</f>
        <v/>
      </c>
      <c r="I1939">
        <f>IF(OR($G1939="",Sync!$Y1935=""),"",Sync!$Y1935)</f>
        <v/>
      </c>
      <c r="J1939">
        <f>IF(OR($G1939="",Sync!$Z1935=""),"",Sync!$Z1935)</f>
        <v/>
      </c>
      <c r="K1939">
        <f>IF($G1939="",0,IF(Sync!$AA1935="",0,Sync!$AA1935))</f>
        <v/>
      </c>
      <c r="L1939">
        <f>IF($G1939="",0,IF(Sync!$AB1935="",0,Sync!$AB1935))</f>
        <v/>
      </c>
      <c r="M1939">
        <f>IF($G1939="","",IF($H1939="مرجوعی فروش",-1,1)*($K1939-$L1939*IFERROR(VLOOKUP("P01",ParamTbl,3,0),1.5)))</f>
        <v/>
      </c>
      <c r="N1939">
        <f>IF($G1939="",0,IF($H1939="مرجوعی فروش",-1,1)*IF(Sync!$AC1935="",0,Sync!$AC1935))</f>
        <v/>
      </c>
      <c r="O1939">
        <f>IF(OR($G1939="",Sync!$V1935=""),"",Sync!$V1935)</f>
        <v/>
      </c>
      <c r="P1939">
        <f>IF(OR($G1939="",Sync!$AD1935=""),"",Sync!$AD1935)</f>
        <v/>
      </c>
      <c r="Q1939">
        <f>IF($G1939="","",IF(Sync!$U1935="","0000",IF(AND(ISNUMBER(Sync!$U1935),Sync!$U1935&gt;=0,Sync!$U1935&lt;1),RIGHT("00"&amp;HOUR(Sync!$U1935),2)&amp;RIGHT("00"&amp;MINUTE(Sync!$U1935),2),IFERROR(RIGHT("00"&amp;VALUE(LEFT(Sync!$U1935,FIND(":",Sync!$U1935)-1)),2)&amp;RIGHT("00"&amp;VALUE(MID(Sync!$U1935,FIND(":",Sync!$U1935)+1,2)),2),"0000"))))</f>
        <v/>
      </c>
    </row>
    <row r="1940">
      <c r="A1940">
        <f>IF(Sync!$T1936="","",Sync!$T1936)</f>
        <v/>
      </c>
      <c r="B1940">
        <f>IF($A1940="","",IF(ISNUMBER($A1940),IF(AND($A1940&gt;=10000101,$A1940&lt;=99991231),INT($A1940/10000),""),IFERROR(VALUE(TRIM(LEFT($A1940,FIND("/",$A1940)-1))),"")))</f>
        <v/>
      </c>
      <c r="C1940">
        <f>IF(OR($A1940="",$B1940=""),"",IF(ISNUMBER($A1940),INT(MOD($A1940,10000)/100),IFERROR(VALUE(TRIM(LEFT(MID($A1940,FIND("/",$A1940)+1,20),FIND("/",MID($A1940,FIND("/",$A1940)+1,20))-1))),"")))</f>
        <v/>
      </c>
      <c r="D1940">
        <f>IF(OR($A1940="",$B1940=""),"",IF(ISNUMBER($A1940),MOD($A1940,100),IFERROR(VALUE(TRIM(MID(MID($A1940,FIND("/",$A1940)+1,20),FIND("/",MID($A1940,FIND("/",$A1940)+1,20))+1,20))),"")))</f>
        <v/>
      </c>
      <c r="E1940">
        <f>IF($A1940="","",IF(OR($B1940="",$C1940="",$D1940="",$B1940&lt;1300,$B1940&gt;1500,$C1940&lt;1,$C1940&gt;12,$D1940&lt;1,$D1940&gt;31),"نامعتبر",RIGHT("0000"&amp;$B1940,4)&amp;"/"&amp;RIGHT("00"&amp;$C1940,2)&amp;"/"&amp;RIGHT("00"&amp;$D1940,2)))</f>
        <v/>
      </c>
      <c r="F1940">
        <f>IF(OR($E1940="",$E1940="نامعتبر"),"",LEFT($E1940,4)&amp;"/"&amp;MID($E1940,6,2))</f>
        <v/>
      </c>
      <c r="G1940">
        <f>IF(OR($E1940="",$E1940="نامعتبر",Sync!$X1936=""),"",IF(AND(LEFT(UPPER(TRIM(Sync!$X1936)),2)="SL",IFERROR(VLOOKUP(Sync!$W1936,OpTbl,3,0),"")="فروش"),UPPER(TRIM(Sync!$X1936)),""))</f>
        <v/>
      </c>
      <c r="H1940">
        <f>IF($G1940="","",IF(Sync!$W1936="","",Sync!$W1936))</f>
        <v/>
      </c>
      <c r="I1940">
        <f>IF(OR($G1940="",Sync!$Y1936=""),"",Sync!$Y1936)</f>
        <v/>
      </c>
      <c r="J1940">
        <f>IF(OR($G1940="",Sync!$Z1936=""),"",Sync!$Z1936)</f>
        <v/>
      </c>
      <c r="K1940">
        <f>IF($G1940="",0,IF(Sync!$AA1936="",0,Sync!$AA1936))</f>
        <v/>
      </c>
      <c r="L1940">
        <f>IF($G1940="",0,IF(Sync!$AB1936="",0,Sync!$AB1936))</f>
        <v/>
      </c>
      <c r="M1940">
        <f>IF($G1940="","",IF($H1940="مرجوعی فروش",-1,1)*($K1940-$L1940*IFERROR(VLOOKUP("P01",ParamTbl,3,0),1.5)))</f>
        <v/>
      </c>
      <c r="N1940">
        <f>IF($G1940="",0,IF($H1940="مرجوعی فروش",-1,1)*IF(Sync!$AC1936="",0,Sync!$AC1936))</f>
        <v/>
      </c>
      <c r="O1940">
        <f>IF(OR($G1940="",Sync!$V1936=""),"",Sync!$V1936)</f>
        <v/>
      </c>
      <c r="P1940">
        <f>IF(OR($G1940="",Sync!$AD1936=""),"",Sync!$AD1936)</f>
        <v/>
      </c>
      <c r="Q1940">
        <f>IF($G1940="","",IF(Sync!$U1936="","0000",IF(AND(ISNUMBER(Sync!$U1936),Sync!$U1936&gt;=0,Sync!$U1936&lt;1),RIGHT("00"&amp;HOUR(Sync!$U1936),2)&amp;RIGHT("00"&amp;MINUTE(Sync!$U1936),2),IFERROR(RIGHT("00"&amp;VALUE(LEFT(Sync!$U1936,FIND(":",Sync!$U1936)-1)),2)&amp;RIGHT("00"&amp;VALUE(MID(Sync!$U1936,FIND(":",Sync!$U1936)+1,2)),2),"0000"))))</f>
        <v/>
      </c>
    </row>
    <row r="1941">
      <c r="A1941">
        <f>IF(Sync!$T1937="","",Sync!$T1937)</f>
        <v/>
      </c>
      <c r="B1941">
        <f>IF($A1941="","",IF(ISNUMBER($A1941),IF(AND($A1941&gt;=10000101,$A1941&lt;=99991231),INT($A1941/10000),""),IFERROR(VALUE(TRIM(LEFT($A1941,FIND("/",$A1941)-1))),"")))</f>
        <v/>
      </c>
      <c r="C1941">
        <f>IF(OR($A1941="",$B1941=""),"",IF(ISNUMBER($A1941),INT(MOD($A1941,10000)/100),IFERROR(VALUE(TRIM(LEFT(MID($A1941,FIND("/",$A1941)+1,20),FIND("/",MID($A1941,FIND("/",$A1941)+1,20))-1))),"")))</f>
        <v/>
      </c>
      <c r="D1941">
        <f>IF(OR($A1941="",$B1941=""),"",IF(ISNUMBER($A1941),MOD($A1941,100),IFERROR(VALUE(TRIM(MID(MID($A1941,FIND("/",$A1941)+1,20),FIND("/",MID($A1941,FIND("/",$A1941)+1,20))+1,20))),"")))</f>
        <v/>
      </c>
      <c r="E1941">
        <f>IF($A1941="","",IF(OR($B1941="",$C1941="",$D1941="",$B1941&lt;1300,$B1941&gt;1500,$C1941&lt;1,$C1941&gt;12,$D1941&lt;1,$D1941&gt;31),"نامعتبر",RIGHT("0000"&amp;$B1941,4)&amp;"/"&amp;RIGHT("00"&amp;$C1941,2)&amp;"/"&amp;RIGHT("00"&amp;$D1941,2)))</f>
        <v/>
      </c>
      <c r="F1941">
        <f>IF(OR($E1941="",$E1941="نامعتبر"),"",LEFT($E1941,4)&amp;"/"&amp;MID($E1941,6,2))</f>
        <v/>
      </c>
      <c r="G1941">
        <f>IF(OR($E1941="",$E1941="نامعتبر",Sync!$X1937=""),"",IF(AND(LEFT(UPPER(TRIM(Sync!$X1937)),2)="SL",IFERROR(VLOOKUP(Sync!$W1937,OpTbl,3,0),"")="فروش"),UPPER(TRIM(Sync!$X1937)),""))</f>
        <v/>
      </c>
      <c r="H1941">
        <f>IF($G1941="","",IF(Sync!$W1937="","",Sync!$W1937))</f>
        <v/>
      </c>
      <c r="I1941">
        <f>IF(OR($G1941="",Sync!$Y1937=""),"",Sync!$Y1937)</f>
        <v/>
      </c>
      <c r="J1941">
        <f>IF(OR($G1941="",Sync!$Z1937=""),"",Sync!$Z1937)</f>
        <v/>
      </c>
      <c r="K1941">
        <f>IF($G1941="",0,IF(Sync!$AA1937="",0,Sync!$AA1937))</f>
        <v/>
      </c>
      <c r="L1941">
        <f>IF($G1941="",0,IF(Sync!$AB1937="",0,Sync!$AB1937))</f>
        <v/>
      </c>
      <c r="M1941">
        <f>IF($G1941="","",IF($H1941="مرجوعی فروش",-1,1)*($K1941-$L1941*IFERROR(VLOOKUP("P01",ParamTbl,3,0),1.5)))</f>
        <v/>
      </c>
      <c r="N1941">
        <f>IF($G1941="",0,IF($H1941="مرجوعی فروش",-1,1)*IF(Sync!$AC1937="",0,Sync!$AC1937))</f>
        <v/>
      </c>
      <c r="O1941">
        <f>IF(OR($G1941="",Sync!$V1937=""),"",Sync!$V1937)</f>
        <v/>
      </c>
      <c r="P1941">
        <f>IF(OR($G1941="",Sync!$AD1937=""),"",Sync!$AD1937)</f>
        <v/>
      </c>
      <c r="Q1941">
        <f>IF($G1941="","",IF(Sync!$U1937="","0000",IF(AND(ISNUMBER(Sync!$U1937),Sync!$U1937&gt;=0,Sync!$U1937&lt;1),RIGHT("00"&amp;HOUR(Sync!$U1937),2)&amp;RIGHT("00"&amp;MINUTE(Sync!$U1937),2),IFERROR(RIGHT("00"&amp;VALUE(LEFT(Sync!$U1937,FIND(":",Sync!$U1937)-1)),2)&amp;RIGHT("00"&amp;VALUE(MID(Sync!$U1937,FIND(":",Sync!$U1937)+1,2)),2),"0000"))))</f>
        <v/>
      </c>
    </row>
    <row r="1942">
      <c r="A1942">
        <f>IF(Sync!$T1938="","",Sync!$T1938)</f>
        <v/>
      </c>
      <c r="B1942">
        <f>IF($A1942="","",IF(ISNUMBER($A1942),IF(AND($A1942&gt;=10000101,$A1942&lt;=99991231),INT($A1942/10000),""),IFERROR(VALUE(TRIM(LEFT($A1942,FIND("/",$A1942)-1))),"")))</f>
        <v/>
      </c>
      <c r="C1942">
        <f>IF(OR($A1942="",$B1942=""),"",IF(ISNUMBER($A1942),INT(MOD($A1942,10000)/100),IFERROR(VALUE(TRIM(LEFT(MID($A1942,FIND("/",$A1942)+1,20),FIND("/",MID($A1942,FIND("/",$A1942)+1,20))-1))),"")))</f>
        <v/>
      </c>
      <c r="D1942">
        <f>IF(OR($A1942="",$B1942=""),"",IF(ISNUMBER($A1942),MOD($A1942,100),IFERROR(VALUE(TRIM(MID(MID($A1942,FIND("/",$A1942)+1,20),FIND("/",MID($A1942,FIND("/",$A1942)+1,20))+1,20))),"")))</f>
        <v/>
      </c>
      <c r="E1942">
        <f>IF($A1942="","",IF(OR($B1942="",$C1942="",$D1942="",$B1942&lt;1300,$B1942&gt;1500,$C1942&lt;1,$C1942&gt;12,$D1942&lt;1,$D1942&gt;31),"نامعتبر",RIGHT("0000"&amp;$B1942,4)&amp;"/"&amp;RIGHT("00"&amp;$C1942,2)&amp;"/"&amp;RIGHT("00"&amp;$D1942,2)))</f>
        <v/>
      </c>
      <c r="F1942">
        <f>IF(OR($E1942="",$E1942="نامعتبر"),"",LEFT($E1942,4)&amp;"/"&amp;MID($E1942,6,2))</f>
        <v/>
      </c>
      <c r="G1942">
        <f>IF(OR($E1942="",$E1942="نامعتبر",Sync!$X1938=""),"",IF(AND(LEFT(UPPER(TRIM(Sync!$X1938)),2)="SL",IFERROR(VLOOKUP(Sync!$W1938,OpTbl,3,0),"")="فروش"),UPPER(TRIM(Sync!$X1938)),""))</f>
        <v/>
      </c>
      <c r="H1942">
        <f>IF($G1942="","",IF(Sync!$W1938="","",Sync!$W1938))</f>
        <v/>
      </c>
      <c r="I1942">
        <f>IF(OR($G1942="",Sync!$Y1938=""),"",Sync!$Y1938)</f>
        <v/>
      </c>
      <c r="J1942">
        <f>IF(OR($G1942="",Sync!$Z1938=""),"",Sync!$Z1938)</f>
        <v/>
      </c>
      <c r="K1942">
        <f>IF($G1942="",0,IF(Sync!$AA1938="",0,Sync!$AA1938))</f>
        <v/>
      </c>
      <c r="L1942">
        <f>IF($G1942="",0,IF(Sync!$AB1938="",0,Sync!$AB1938))</f>
        <v/>
      </c>
      <c r="M1942">
        <f>IF($G1942="","",IF($H1942="مرجوعی فروش",-1,1)*($K1942-$L1942*IFERROR(VLOOKUP("P01",ParamTbl,3,0),1.5)))</f>
        <v/>
      </c>
      <c r="N1942">
        <f>IF($G1942="",0,IF($H1942="مرجوعی فروش",-1,1)*IF(Sync!$AC1938="",0,Sync!$AC1938))</f>
        <v/>
      </c>
      <c r="O1942">
        <f>IF(OR($G1942="",Sync!$V1938=""),"",Sync!$V1938)</f>
        <v/>
      </c>
      <c r="P1942">
        <f>IF(OR($G1942="",Sync!$AD1938=""),"",Sync!$AD1938)</f>
        <v/>
      </c>
      <c r="Q1942">
        <f>IF($G1942="","",IF(Sync!$U1938="","0000",IF(AND(ISNUMBER(Sync!$U1938),Sync!$U1938&gt;=0,Sync!$U1938&lt;1),RIGHT("00"&amp;HOUR(Sync!$U1938),2)&amp;RIGHT("00"&amp;MINUTE(Sync!$U1938),2),IFERROR(RIGHT("00"&amp;VALUE(LEFT(Sync!$U1938,FIND(":",Sync!$U1938)-1)),2)&amp;RIGHT("00"&amp;VALUE(MID(Sync!$U1938,FIND(":",Sync!$U1938)+1,2)),2),"0000"))))</f>
        <v/>
      </c>
    </row>
    <row r="1943">
      <c r="A1943">
        <f>IF(Sync!$T1939="","",Sync!$T1939)</f>
        <v/>
      </c>
      <c r="B1943">
        <f>IF($A1943="","",IF(ISNUMBER($A1943),IF(AND($A1943&gt;=10000101,$A1943&lt;=99991231),INT($A1943/10000),""),IFERROR(VALUE(TRIM(LEFT($A1943,FIND("/",$A1943)-1))),"")))</f>
        <v/>
      </c>
      <c r="C1943">
        <f>IF(OR($A1943="",$B1943=""),"",IF(ISNUMBER($A1943),INT(MOD($A1943,10000)/100),IFERROR(VALUE(TRIM(LEFT(MID($A1943,FIND("/",$A1943)+1,20),FIND("/",MID($A1943,FIND("/",$A1943)+1,20))-1))),"")))</f>
        <v/>
      </c>
      <c r="D1943">
        <f>IF(OR($A1943="",$B1943=""),"",IF(ISNUMBER($A1943),MOD($A1943,100),IFERROR(VALUE(TRIM(MID(MID($A1943,FIND("/",$A1943)+1,20),FIND("/",MID($A1943,FIND("/",$A1943)+1,20))+1,20))),"")))</f>
        <v/>
      </c>
      <c r="E1943">
        <f>IF($A1943="","",IF(OR($B1943="",$C1943="",$D1943="",$B1943&lt;1300,$B1943&gt;1500,$C1943&lt;1,$C1943&gt;12,$D1943&lt;1,$D1943&gt;31),"نامعتبر",RIGHT("0000"&amp;$B1943,4)&amp;"/"&amp;RIGHT("00"&amp;$C1943,2)&amp;"/"&amp;RIGHT("00"&amp;$D1943,2)))</f>
        <v/>
      </c>
      <c r="F1943">
        <f>IF(OR($E1943="",$E1943="نامعتبر"),"",LEFT($E1943,4)&amp;"/"&amp;MID($E1943,6,2))</f>
        <v/>
      </c>
      <c r="G1943">
        <f>IF(OR($E1943="",$E1943="نامعتبر",Sync!$X1939=""),"",IF(AND(LEFT(UPPER(TRIM(Sync!$X1939)),2)="SL",IFERROR(VLOOKUP(Sync!$W1939,OpTbl,3,0),"")="فروش"),UPPER(TRIM(Sync!$X1939)),""))</f>
        <v/>
      </c>
      <c r="H1943">
        <f>IF($G1943="","",IF(Sync!$W1939="","",Sync!$W1939))</f>
        <v/>
      </c>
      <c r="I1943">
        <f>IF(OR($G1943="",Sync!$Y1939=""),"",Sync!$Y1939)</f>
        <v/>
      </c>
      <c r="J1943">
        <f>IF(OR($G1943="",Sync!$Z1939=""),"",Sync!$Z1939)</f>
        <v/>
      </c>
      <c r="K1943">
        <f>IF($G1943="",0,IF(Sync!$AA1939="",0,Sync!$AA1939))</f>
        <v/>
      </c>
      <c r="L1943">
        <f>IF($G1943="",0,IF(Sync!$AB1939="",0,Sync!$AB1939))</f>
        <v/>
      </c>
      <c r="M1943">
        <f>IF($G1943="","",IF($H1943="مرجوعی فروش",-1,1)*($K1943-$L1943*IFERROR(VLOOKUP("P01",ParamTbl,3,0),1.5)))</f>
        <v/>
      </c>
      <c r="N1943">
        <f>IF($G1943="",0,IF($H1943="مرجوعی فروش",-1,1)*IF(Sync!$AC1939="",0,Sync!$AC1939))</f>
        <v/>
      </c>
      <c r="O1943">
        <f>IF(OR($G1943="",Sync!$V1939=""),"",Sync!$V1939)</f>
        <v/>
      </c>
      <c r="P1943">
        <f>IF(OR($G1943="",Sync!$AD1939=""),"",Sync!$AD1939)</f>
        <v/>
      </c>
      <c r="Q1943">
        <f>IF($G1943="","",IF(Sync!$U1939="","0000",IF(AND(ISNUMBER(Sync!$U1939),Sync!$U1939&gt;=0,Sync!$U1939&lt;1),RIGHT("00"&amp;HOUR(Sync!$U1939),2)&amp;RIGHT("00"&amp;MINUTE(Sync!$U1939),2),IFERROR(RIGHT("00"&amp;VALUE(LEFT(Sync!$U1939,FIND(":",Sync!$U1939)-1)),2)&amp;RIGHT("00"&amp;VALUE(MID(Sync!$U1939,FIND(":",Sync!$U1939)+1,2)),2),"0000"))))</f>
        <v/>
      </c>
    </row>
    <row r="1944">
      <c r="A1944">
        <f>IF(Sync!$T1940="","",Sync!$T1940)</f>
        <v/>
      </c>
      <c r="B1944">
        <f>IF($A1944="","",IF(ISNUMBER($A1944),IF(AND($A1944&gt;=10000101,$A1944&lt;=99991231),INT($A1944/10000),""),IFERROR(VALUE(TRIM(LEFT($A1944,FIND("/",$A1944)-1))),"")))</f>
        <v/>
      </c>
      <c r="C1944">
        <f>IF(OR($A1944="",$B1944=""),"",IF(ISNUMBER($A1944),INT(MOD($A1944,10000)/100),IFERROR(VALUE(TRIM(LEFT(MID($A1944,FIND("/",$A1944)+1,20),FIND("/",MID($A1944,FIND("/",$A1944)+1,20))-1))),"")))</f>
        <v/>
      </c>
      <c r="D1944">
        <f>IF(OR($A1944="",$B1944=""),"",IF(ISNUMBER($A1944),MOD($A1944,100),IFERROR(VALUE(TRIM(MID(MID($A1944,FIND("/",$A1944)+1,20),FIND("/",MID($A1944,FIND("/",$A1944)+1,20))+1,20))),"")))</f>
        <v/>
      </c>
      <c r="E1944">
        <f>IF($A1944="","",IF(OR($B1944="",$C1944="",$D1944="",$B1944&lt;1300,$B1944&gt;1500,$C1944&lt;1,$C1944&gt;12,$D1944&lt;1,$D1944&gt;31),"نامعتبر",RIGHT("0000"&amp;$B1944,4)&amp;"/"&amp;RIGHT("00"&amp;$C1944,2)&amp;"/"&amp;RIGHT("00"&amp;$D1944,2)))</f>
        <v/>
      </c>
      <c r="F1944">
        <f>IF(OR($E1944="",$E1944="نامعتبر"),"",LEFT($E1944,4)&amp;"/"&amp;MID($E1944,6,2))</f>
        <v/>
      </c>
      <c r="G1944">
        <f>IF(OR($E1944="",$E1944="نامعتبر",Sync!$X1940=""),"",IF(AND(LEFT(UPPER(TRIM(Sync!$X1940)),2)="SL",IFERROR(VLOOKUP(Sync!$W1940,OpTbl,3,0),"")="فروش"),UPPER(TRIM(Sync!$X1940)),""))</f>
        <v/>
      </c>
      <c r="H1944">
        <f>IF($G1944="","",IF(Sync!$W1940="","",Sync!$W1940))</f>
        <v/>
      </c>
      <c r="I1944">
        <f>IF(OR($G1944="",Sync!$Y1940=""),"",Sync!$Y1940)</f>
        <v/>
      </c>
      <c r="J1944">
        <f>IF(OR($G1944="",Sync!$Z1940=""),"",Sync!$Z1940)</f>
        <v/>
      </c>
      <c r="K1944">
        <f>IF($G1944="",0,IF(Sync!$AA1940="",0,Sync!$AA1940))</f>
        <v/>
      </c>
      <c r="L1944">
        <f>IF($G1944="",0,IF(Sync!$AB1940="",0,Sync!$AB1940))</f>
        <v/>
      </c>
      <c r="M1944">
        <f>IF($G1944="","",IF($H1944="مرجوعی فروش",-1,1)*($K1944-$L1944*IFERROR(VLOOKUP("P01",ParamTbl,3,0),1.5)))</f>
        <v/>
      </c>
      <c r="N1944">
        <f>IF($G1944="",0,IF($H1944="مرجوعی فروش",-1,1)*IF(Sync!$AC1940="",0,Sync!$AC1940))</f>
        <v/>
      </c>
      <c r="O1944">
        <f>IF(OR($G1944="",Sync!$V1940=""),"",Sync!$V1940)</f>
        <v/>
      </c>
      <c r="P1944">
        <f>IF(OR($G1944="",Sync!$AD1940=""),"",Sync!$AD1940)</f>
        <v/>
      </c>
      <c r="Q1944">
        <f>IF($G1944="","",IF(Sync!$U1940="","0000",IF(AND(ISNUMBER(Sync!$U1940),Sync!$U1940&gt;=0,Sync!$U1940&lt;1),RIGHT("00"&amp;HOUR(Sync!$U1940),2)&amp;RIGHT("00"&amp;MINUTE(Sync!$U1940),2),IFERROR(RIGHT("00"&amp;VALUE(LEFT(Sync!$U1940,FIND(":",Sync!$U1940)-1)),2)&amp;RIGHT("00"&amp;VALUE(MID(Sync!$U1940,FIND(":",Sync!$U1940)+1,2)),2),"0000"))))</f>
        <v/>
      </c>
    </row>
    <row r="1945">
      <c r="A1945">
        <f>IF(Sync!$T1941="","",Sync!$T1941)</f>
        <v/>
      </c>
      <c r="B1945">
        <f>IF($A1945="","",IF(ISNUMBER($A1945),IF(AND($A1945&gt;=10000101,$A1945&lt;=99991231),INT($A1945/10000),""),IFERROR(VALUE(TRIM(LEFT($A1945,FIND("/",$A1945)-1))),"")))</f>
        <v/>
      </c>
      <c r="C1945">
        <f>IF(OR($A1945="",$B1945=""),"",IF(ISNUMBER($A1945),INT(MOD($A1945,10000)/100),IFERROR(VALUE(TRIM(LEFT(MID($A1945,FIND("/",$A1945)+1,20),FIND("/",MID($A1945,FIND("/",$A1945)+1,20))-1))),"")))</f>
        <v/>
      </c>
      <c r="D1945">
        <f>IF(OR($A1945="",$B1945=""),"",IF(ISNUMBER($A1945),MOD($A1945,100),IFERROR(VALUE(TRIM(MID(MID($A1945,FIND("/",$A1945)+1,20),FIND("/",MID($A1945,FIND("/",$A1945)+1,20))+1,20))),"")))</f>
        <v/>
      </c>
      <c r="E1945">
        <f>IF($A1945="","",IF(OR($B1945="",$C1945="",$D1945="",$B1945&lt;1300,$B1945&gt;1500,$C1945&lt;1,$C1945&gt;12,$D1945&lt;1,$D1945&gt;31),"نامعتبر",RIGHT("0000"&amp;$B1945,4)&amp;"/"&amp;RIGHT("00"&amp;$C1945,2)&amp;"/"&amp;RIGHT("00"&amp;$D1945,2)))</f>
        <v/>
      </c>
      <c r="F1945">
        <f>IF(OR($E1945="",$E1945="نامعتبر"),"",LEFT($E1945,4)&amp;"/"&amp;MID($E1945,6,2))</f>
        <v/>
      </c>
      <c r="G1945">
        <f>IF(OR($E1945="",$E1945="نامعتبر",Sync!$X1941=""),"",IF(AND(LEFT(UPPER(TRIM(Sync!$X1941)),2)="SL",IFERROR(VLOOKUP(Sync!$W1941,OpTbl,3,0),"")="فروش"),UPPER(TRIM(Sync!$X1941)),""))</f>
        <v/>
      </c>
      <c r="H1945">
        <f>IF($G1945="","",IF(Sync!$W1941="","",Sync!$W1941))</f>
        <v/>
      </c>
      <c r="I1945">
        <f>IF(OR($G1945="",Sync!$Y1941=""),"",Sync!$Y1941)</f>
        <v/>
      </c>
      <c r="J1945">
        <f>IF(OR($G1945="",Sync!$Z1941=""),"",Sync!$Z1941)</f>
        <v/>
      </c>
      <c r="K1945">
        <f>IF($G1945="",0,IF(Sync!$AA1941="",0,Sync!$AA1941))</f>
        <v/>
      </c>
      <c r="L1945">
        <f>IF($G1945="",0,IF(Sync!$AB1941="",0,Sync!$AB1941))</f>
        <v/>
      </c>
      <c r="M1945">
        <f>IF($G1945="","",IF($H1945="مرجوعی فروش",-1,1)*($K1945-$L1945*IFERROR(VLOOKUP("P01",ParamTbl,3,0),1.5)))</f>
        <v/>
      </c>
      <c r="N1945">
        <f>IF($G1945="",0,IF($H1945="مرجوعی فروش",-1,1)*IF(Sync!$AC1941="",0,Sync!$AC1941))</f>
        <v/>
      </c>
      <c r="O1945">
        <f>IF(OR($G1945="",Sync!$V1941=""),"",Sync!$V1941)</f>
        <v/>
      </c>
      <c r="P1945">
        <f>IF(OR($G1945="",Sync!$AD1941=""),"",Sync!$AD1941)</f>
        <v/>
      </c>
      <c r="Q1945">
        <f>IF($G1945="","",IF(Sync!$U1941="","0000",IF(AND(ISNUMBER(Sync!$U1941),Sync!$U1941&gt;=0,Sync!$U1941&lt;1),RIGHT("00"&amp;HOUR(Sync!$U1941),2)&amp;RIGHT("00"&amp;MINUTE(Sync!$U1941),2),IFERROR(RIGHT("00"&amp;VALUE(LEFT(Sync!$U1941,FIND(":",Sync!$U1941)-1)),2)&amp;RIGHT("00"&amp;VALUE(MID(Sync!$U1941,FIND(":",Sync!$U1941)+1,2)),2),"0000"))))</f>
        <v/>
      </c>
    </row>
    <row r="1946">
      <c r="A1946">
        <f>IF(Sync!$T1942="","",Sync!$T1942)</f>
        <v/>
      </c>
      <c r="B1946">
        <f>IF($A1946="","",IF(ISNUMBER($A1946),IF(AND($A1946&gt;=10000101,$A1946&lt;=99991231),INT($A1946/10000),""),IFERROR(VALUE(TRIM(LEFT($A1946,FIND("/",$A1946)-1))),"")))</f>
        <v/>
      </c>
      <c r="C1946">
        <f>IF(OR($A1946="",$B1946=""),"",IF(ISNUMBER($A1946),INT(MOD($A1946,10000)/100),IFERROR(VALUE(TRIM(LEFT(MID($A1946,FIND("/",$A1946)+1,20),FIND("/",MID($A1946,FIND("/",$A1946)+1,20))-1))),"")))</f>
        <v/>
      </c>
      <c r="D1946">
        <f>IF(OR($A1946="",$B1946=""),"",IF(ISNUMBER($A1946),MOD($A1946,100),IFERROR(VALUE(TRIM(MID(MID($A1946,FIND("/",$A1946)+1,20),FIND("/",MID($A1946,FIND("/",$A1946)+1,20))+1,20))),"")))</f>
        <v/>
      </c>
      <c r="E1946">
        <f>IF($A1946="","",IF(OR($B1946="",$C1946="",$D1946="",$B1946&lt;1300,$B1946&gt;1500,$C1946&lt;1,$C1946&gt;12,$D1946&lt;1,$D1946&gt;31),"نامعتبر",RIGHT("0000"&amp;$B1946,4)&amp;"/"&amp;RIGHT("00"&amp;$C1946,2)&amp;"/"&amp;RIGHT("00"&amp;$D1946,2)))</f>
        <v/>
      </c>
      <c r="F1946">
        <f>IF(OR($E1946="",$E1946="نامعتبر"),"",LEFT($E1946,4)&amp;"/"&amp;MID($E1946,6,2))</f>
        <v/>
      </c>
      <c r="G1946">
        <f>IF(OR($E1946="",$E1946="نامعتبر",Sync!$X1942=""),"",IF(AND(LEFT(UPPER(TRIM(Sync!$X1942)),2)="SL",IFERROR(VLOOKUP(Sync!$W1942,OpTbl,3,0),"")="فروش"),UPPER(TRIM(Sync!$X1942)),""))</f>
        <v/>
      </c>
      <c r="H1946">
        <f>IF($G1946="","",IF(Sync!$W1942="","",Sync!$W1942))</f>
        <v/>
      </c>
      <c r="I1946">
        <f>IF(OR($G1946="",Sync!$Y1942=""),"",Sync!$Y1942)</f>
        <v/>
      </c>
      <c r="J1946">
        <f>IF(OR($G1946="",Sync!$Z1942=""),"",Sync!$Z1942)</f>
        <v/>
      </c>
      <c r="K1946">
        <f>IF($G1946="",0,IF(Sync!$AA1942="",0,Sync!$AA1942))</f>
        <v/>
      </c>
      <c r="L1946">
        <f>IF($G1946="",0,IF(Sync!$AB1942="",0,Sync!$AB1942))</f>
        <v/>
      </c>
      <c r="M1946">
        <f>IF($G1946="","",IF($H1946="مرجوعی فروش",-1,1)*($K1946-$L1946*IFERROR(VLOOKUP("P01",ParamTbl,3,0),1.5)))</f>
        <v/>
      </c>
      <c r="N1946">
        <f>IF($G1946="",0,IF($H1946="مرجوعی فروش",-1,1)*IF(Sync!$AC1942="",0,Sync!$AC1942))</f>
        <v/>
      </c>
      <c r="O1946">
        <f>IF(OR($G1946="",Sync!$V1942=""),"",Sync!$V1942)</f>
        <v/>
      </c>
      <c r="P1946">
        <f>IF(OR($G1946="",Sync!$AD1942=""),"",Sync!$AD1942)</f>
        <v/>
      </c>
      <c r="Q1946">
        <f>IF($G1946="","",IF(Sync!$U1942="","0000",IF(AND(ISNUMBER(Sync!$U1942),Sync!$U1942&gt;=0,Sync!$U1942&lt;1),RIGHT("00"&amp;HOUR(Sync!$U1942),2)&amp;RIGHT("00"&amp;MINUTE(Sync!$U1942),2),IFERROR(RIGHT("00"&amp;VALUE(LEFT(Sync!$U1942,FIND(":",Sync!$U1942)-1)),2)&amp;RIGHT("00"&amp;VALUE(MID(Sync!$U1942,FIND(":",Sync!$U1942)+1,2)),2),"0000"))))</f>
        <v/>
      </c>
    </row>
    <row r="1947">
      <c r="A1947">
        <f>IF(Sync!$T1943="","",Sync!$T1943)</f>
        <v/>
      </c>
      <c r="B1947">
        <f>IF($A1947="","",IF(ISNUMBER($A1947),IF(AND($A1947&gt;=10000101,$A1947&lt;=99991231),INT($A1947/10000),""),IFERROR(VALUE(TRIM(LEFT($A1947,FIND("/",$A1947)-1))),"")))</f>
        <v/>
      </c>
      <c r="C1947">
        <f>IF(OR($A1947="",$B1947=""),"",IF(ISNUMBER($A1947),INT(MOD($A1947,10000)/100),IFERROR(VALUE(TRIM(LEFT(MID($A1947,FIND("/",$A1947)+1,20),FIND("/",MID($A1947,FIND("/",$A1947)+1,20))-1))),"")))</f>
        <v/>
      </c>
      <c r="D1947">
        <f>IF(OR($A1947="",$B1947=""),"",IF(ISNUMBER($A1947),MOD($A1947,100),IFERROR(VALUE(TRIM(MID(MID($A1947,FIND("/",$A1947)+1,20),FIND("/",MID($A1947,FIND("/",$A1947)+1,20))+1,20))),"")))</f>
        <v/>
      </c>
      <c r="E1947">
        <f>IF($A1947="","",IF(OR($B1947="",$C1947="",$D1947="",$B1947&lt;1300,$B1947&gt;1500,$C1947&lt;1,$C1947&gt;12,$D1947&lt;1,$D1947&gt;31),"نامعتبر",RIGHT("0000"&amp;$B1947,4)&amp;"/"&amp;RIGHT("00"&amp;$C1947,2)&amp;"/"&amp;RIGHT("00"&amp;$D1947,2)))</f>
        <v/>
      </c>
      <c r="F1947">
        <f>IF(OR($E1947="",$E1947="نامعتبر"),"",LEFT($E1947,4)&amp;"/"&amp;MID($E1947,6,2))</f>
        <v/>
      </c>
      <c r="G1947">
        <f>IF(OR($E1947="",$E1947="نامعتبر",Sync!$X1943=""),"",IF(AND(LEFT(UPPER(TRIM(Sync!$X1943)),2)="SL",IFERROR(VLOOKUP(Sync!$W1943,OpTbl,3,0),"")="فروش"),UPPER(TRIM(Sync!$X1943)),""))</f>
        <v/>
      </c>
      <c r="H1947">
        <f>IF($G1947="","",IF(Sync!$W1943="","",Sync!$W1943))</f>
        <v/>
      </c>
      <c r="I1947">
        <f>IF(OR($G1947="",Sync!$Y1943=""),"",Sync!$Y1943)</f>
        <v/>
      </c>
      <c r="J1947">
        <f>IF(OR($G1947="",Sync!$Z1943=""),"",Sync!$Z1943)</f>
        <v/>
      </c>
      <c r="K1947">
        <f>IF($G1947="",0,IF(Sync!$AA1943="",0,Sync!$AA1943))</f>
        <v/>
      </c>
      <c r="L1947">
        <f>IF($G1947="",0,IF(Sync!$AB1943="",0,Sync!$AB1943))</f>
        <v/>
      </c>
      <c r="M1947">
        <f>IF($G1947="","",IF($H1947="مرجوعی فروش",-1,1)*($K1947-$L1947*IFERROR(VLOOKUP("P01",ParamTbl,3,0),1.5)))</f>
        <v/>
      </c>
      <c r="N1947">
        <f>IF($G1947="",0,IF($H1947="مرجوعی فروش",-1,1)*IF(Sync!$AC1943="",0,Sync!$AC1943))</f>
        <v/>
      </c>
      <c r="O1947">
        <f>IF(OR($G1947="",Sync!$V1943=""),"",Sync!$V1943)</f>
        <v/>
      </c>
      <c r="P1947">
        <f>IF(OR($G1947="",Sync!$AD1943=""),"",Sync!$AD1943)</f>
        <v/>
      </c>
      <c r="Q1947">
        <f>IF($G1947="","",IF(Sync!$U1943="","0000",IF(AND(ISNUMBER(Sync!$U1943),Sync!$U1943&gt;=0,Sync!$U1943&lt;1),RIGHT("00"&amp;HOUR(Sync!$U1943),2)&amp;RIGHT("00"&amp;MINUTE(Sync!$U1943),2),IFERROR(RIGHT("00"&amp;VALUE(LEFT(Sync!$U1943,FIND(":",Sync!$U1943)-1)),2)&amp;RIGHT("00"&amp;VALUE(MID(Sync!$U1943,FIND(":",Sync!$U1943)+1,2)),2),"0000"))))</f>
        <v/>
      </c>
    </row>
    <row r="1948">
      <c r="A1948">
        <f>IF(Sync!$T1944="","",Sync!$T1944)</f>
        <v/>
      </c>
      <c r="B1948">
        <f>IF($A1948="","",IF(ISNUMBER($A1948),IF(AND($A1948&gt;=10000101,$A1948&lt;=99991231),INT($A1948/10000),""),IFERROR(VALUE(TRIM(LEFT($A1948,FIND("/",$A1948)-1))),"")))</f>
        <v/>
      </c>
      <c r="C1948">
        <f>IF(OR($A1948="",$B1948=""),"",IF(ISNUMBER($A1948),INT(MOD($A1948,10000)/100),IFERROR(VALUE(TRIM(LEFT(MID($A1948,FIND("/",$A1948)+1,20),FIND("/",MID($A1948,FIND("/",$A1948)+1,20))-1))),"")))</f>
        <v/>
      </c>
      <c r="D1948">
        <f>IF(OR($A1948="",$B1948=""),"",IF(ISNUMBER($A1948),MOD($A1948,100),IFERROR(VALUE(TRIM(MID(MID($A1948,FIND("/",$A1948)+1,20),FIND("/",MID($A1948,FIND("/",$A1948)+1,20))+1,20))),"")))</f>
        <v/>
      </c>
      <c r="E1948">
        <f>IF($A1948="","",IF(OR($B1948="",$C1948="",$D1948="",$B1948&lt;1300,$B1948&gt;1500,$C1948&lt;1,$C1948&gt;12,$D1948&lt;1,$D1948&gt;31),"نامعتبر",RIGHT("0000"&amp;$B1948,4)&amp;"/"&amp;RIGHT("00"&amp;$C1948,2)&amp;"/"&amp;RIGHT("00"&amp;$D1948,2)))</f>
        <v/>
      </c>
      <c r="F1948">
        <f>IF(OR($E1948="",$E1948="نامعتبر"),"",LEFT($E1948,4)&amp;"/"&amp;MID($E1948,6,2))</f>
        <v/>
      </c>
      <c r="G1948">
        <f>IF(OR($E1948="",$E1948="نامعتبر",Sync!$X1944=""),"",IF(AND(LEFT(UPPER(TRIM(Sync!$X1944)),2)="SL",IFERROR(VLOOKUP(Sync!$W1944,OpTbl,3,0),"")="فروش"),UPPER(TRIM(Sync!$X1944)),""))</f>
        <v/>
      </c>
      <c r="H1948">
        <f>IF($G1948="","",IF(Sync!$W1944="","",Sync!$W1944))</f>
        <v/>
      </c>
      <c r="I1948">
        <f>IF(OR($G1948="",Sync!$Y1944=""),"",Sync!$Y1944)</f>
        <v/>
      </c>
      <c r="J1948">
        <f>IF(OR($G1948="",Sync!$Z1944=""),"",Sync!$Z1944)</f>
        <v/>
      </c>
      <c r="K1948">
        <f>IF($G1948="",0,IF(Sync!$AA1944="",0,Sync!$AA1944))</f>
        <v/>
      </c>
      <c r="L1948">
        <f>IF($G1948="",0,IF(Sync!$AB1944="",0,Sync!$AB1944))</f>
        <v/>
      </c>
      <c r="M1948">
        <f>IF($G1948="","",IF($H1948="مرجوعی فروش",-1,1)*($K1948-$L1948*IFERROR(VLOOKUP("P01",ParamTbl,3,0),1.5)))</f>
        <v/>
      </c>
      <c r="N1948">
        <f>IF($G1948="",0,IF($H1948="مرجوعی فروش",-1,1)*IF(Sync!$AC1944="",0,Sync!$AC1944))</f>
        <v/>
      </c>
      <c r="O1948">
        <f>IF(OR($G1948="",Sync!$V1944=""),"",Sync!$V1944)</f>
        <v/>
      </c>
      <c r="P1948">
        <f>IF(OR($G1948="",Sync!$AD1944=""),"",Sync!$AD1944)</f>
        <v/>
      </c>
      <c r="Q1948">
        <f>IF($G1948="","",IF(Sync!$U1944="","0000",IF(AND(ISNUMBER(Sync!$U1944),Sync!$U1944&gt;=0,Sync!$U1944&lt;1),RIGHT("00"&amp;HOUR(Sync!$U1944),2)&amp;RIGHT("00"&amp;MINUTE(Sync!$U1944),2),IFERROR(RIGHT("00"&amp;VALUE(LEFT(Sync!$U1944,FIND(":",Sync!$U1944)-1)),2)&amp;RIGHT("00"&amp;VALUE(MID(Sync!$U1944,FIND(":",Sync!$U1944)+1,2)),2),"0000"))))</f>
        <v/>
      </c>
    </row>
    <row r="1949">
      <c r="A1949">
        <f>IF(Sync!$T1945="","",Sync!$T1945)</f>
        <v/>
      </c>
      <c r="B1949">
        <f>IF($A1949="","",IF(ISNUMBER($A1949),IF(AND($A1949&gt;=10000101,$A1949&lt;=99991231),INT($A1949/10000),""),IFERROR(VALUE(TRIM(LEFT($A1949,FIND("/",$A1949)-1))),"")))</f>
        <v/>
      </c>
      <c r="C1949">
        <f>IF(OR($A1949="",$B1949=""),"",IF(ISNUMBER($A1949),INT(MOD($A1949,10000)/100),IFERROR(VALUE(TRIM(LEFT(MID($A1949,FIND("/",$A1949)+1,20),FIND("/",MID($A1949,FIND("/",$A1949)+1,20))-1))),"")))</f>
        <v/>
      </c>
      <c r="D1949">
        <f>IF(OR($A1949="",$B1949=""),"",IF(ISNUMBER($A1949),MOD($A1949,100),IFERROR(VALUE(TRIM(MID(MID($A1949,FIND("/",$A1949)+1,20),FIND("/",MID($A1949,FIND("/",$A1949)+1,20))+1,20))),"")))</f>
        <v/>
      </c>
      <c r="E1949">
        <f>IF($A1949="","",IF(OR($B1949="",$C1949="",$D1949="",$B1949&lt;1300,$B1949&gt;1500,$C1949&lt;1,$C1949&gt;12,$D1949&lt;1,$D1949&gt;31),"نامعتبر",RIGHT("0000"&amp;$B1949,4)&amp;"/"&amp;RIGHT("00"&amp;$C1949,2)&amp;"/"&amp;RIGHT("00"&amp;$D1949,2)))</f>
        <v/>
      </c>
      <c r="F1949">
        <f>IF(OR($E1949="",$E1949="نامعتبر"),"",LEFT($E1949,4)&amp;"/"&amp;MID($E1949,6,2))</f>
        <v/>
      </c>
      <c r="G1949">
        <f>IF(OR($E1949="",$E1949="نامعتبر",Sync!$X1945=""),"",IF(AND(LEFT(UPPER(TRIM(Sync!$X1945)),2)="SL",IFERROR(VLOOKUP(Sync!$W1945,OpTbl,3,0),"")="فروش"),UPPER(TRIM(Sync!$X1945)),""))</f>
        <v/>
      </c>
      <c r="H1949">
        <f>IF($G1949="","",IF(Sync!$W1945="","",Sync!$W1945))</f>
        <v/>
      </c>
      <c r="I1949">
        <f>IF(OR($G1949="",Sync!$Y1945=""),"",Sync!$Y1945)</f>
        <v/>
      </c>
      <c r="J1949">
        <f>IF(OR($G1949="",Sync!$Z1945=""),"",Sync!$Z1945)</f>
        <v/>
      </c>
      <c r="K1949">
        <f>IF($G1949="",0,IF(Sync!$AA1945="",0,Sync!$AA1945))</f>
        <v/>
      </c>
      <c r="L1949">
        <f>IF($G1949="",0,IF(Sync!$AB1945="",0,Sync!$AB1945))</f>
        <v/>
      </c>
      <c r="M1949">
        <f>IF($G1949="","",IF($H1949="مرجوعی فروش",-1,1)*($K1949-$L1949*IFERROR(VLOOKUP("P01",ParamTbl,3,0),1.5)))</f>
        <v/>
      </c>
      <c r="N1949">
        <f>IF($G1949="",0,IF($H1949="مرجوعی فروش",-1,1)*IF(Sync!$AC1945="",0,Sync!$AC1945))</f>
        <v/>
      </c>
      <c r="O1949">
        <f>IF(OR($G1949="",Sync!$V1945=""),"",Sync!$V1945)</f>
        <v/>
      </c>
      <c r="P1949">
        <f>IF(OR($G1949="",Sync!$AD1945=""),"",Sync!$AD1945)</f>
        <v/>
      </c>
      <c r="Q1949">
        <f>IF($G1949="","",IF(Sync!$U1945="","0000",IF(AND(ISNUMBER(Sync!$U1945),Sync!$U1945&gt;=0,Sync!$U1945&lt;1),RIGHT("00"&amp;HOUR(Sync!$U1945),2)&amp;RIGHT("00"&amp;MINUTE(Sync!$U1945),2),IFERROR(RIGHT("00"&amp;VALUE(LEFT(Sync!$U1945,FIND(":",Sync!$U1945)-1)),2)&amp;RIGHT("00"&amp;VALUE(MID(Sync!$U1945,FIND(":",Sync!$U1945)+1,2)),2),"0000"))))</f>
        <v/>
      </c>
    </row>
    <row r="1950">
      <c r="A1950">
        <f>IF(Sync!$T1946="","",Sync!$T1946)</f>
        <v/>
      </c>
      <c r="B1950">
        <f>IF($A1950="","",IF(ISNUMBER($A1950),IF(AND($A1950&gt;=10000101,$A1950&lt;=99991231),INT($A1950/10000),""),IFERROR(VALUE(TRIM(LEFT($A1950,FIND("/",$A1950)-1))),"")))</f>
        <v/>
      </c>
      <c r="C1950">
        <f>IF(OR($A1950="",$B1950=""),"",IF(ISNUMBER($A1950),INT(MOD($A1950,10000)/100),IFERROR(VALUE(TRIM(LEFT(MID($A1950,FIND("/",$A1950)+1,20),FIND("/",MID($A1950,FIND("/",$A1950)+1,20))-1))),"")))</f>
        <v/>
      </c>
      <c r="D1950">
        <f>IF(OR($A1950="",$B1950=""),"",IF(ISNUMBER($A1950),MOD($A1950,100),IFERROR(VALUE(TRIM(MID(MID($A1950,FIND("/",$A1950)+1,20),FIND("/",MID($A1950,FIND("/",$A1950)+1,20))+1,20))),"")))</f>
        <v/>
      </c>
      <c r="E1950">
        <f>IF($A1950="","",IF(OR($B1950="",$C1950="",$D1950="",$B1950&lt;1300,$B1950&gt;1500,$C1950&lt;1,$C1950&gt;12,$D1950&lt;1,$D1950&gt;31),"نامعتبر",RIGHT("0000"&amp;$B1950,4)&amp;"/"&amp;RIGHT("00"&amp;$C1950,2)&amp;"/"&amp;RIGHT("00"&amp;$D1950,2)))</f>
        <v/>
      </c>
      <c r="F1950">
        <f>IF(OR($E1950="",$E1950="نامعتبر"),"",LEFT($E1950,4)&amp;"/"&amp;MID($E1950,6,2))</f>
        <v/>
      </c>
      <c r="G1950">
        <f>IF(OR($E1950="",$E1950="نامعتبر",Sync!$X1946=""),"",IF(AND(LEFT(UPPER(TRIM(Sync!$X1946)),2)="SL",IFERROR(VLOOKUP(Sync!$W1946,OpTbl,3,0),"")="فروش"),UPPER(TRIM(Sync!$X1946)),""))</f>
        <v/>
      </c>
      <c r="H1950">
        <f>IF($G1950="","",IF(Sync!$W1946="","",Sync!$W1946))</f>
        <v/>
      </c>
      <c r="I1950">
        <f>IF(OR($G1950="",Sync!$Y1946=""),"",Sync!$Y1946)</f>
        <v/>
      </c>
      <c r="J1950">
        <f>IF(OR($G1950="",Sync!$Z1946=""),"",Sync!$Z1946)</f>
        <v/>
      </c>
      <c r="K1950">
        <f>IF($G1950="",0,IF(Sync!$AA1946="",0,Sync!$AA1946))</f>
        <v/>
      </c>
      <c r="L1950">
        <f>IF($G1950="",0,IF(Sync!$AB1946="",0,Sync!$AB1946))</f>
        <v/>
      </c>
      <c r="M1950">
        <f>IF($G1950="","",IF($H1950="مرجوعی فروش",-1,1)*($K1950-$L1950*IFERROR(VLOOKUP("P01",ParamTbl,3,0),1.5)))</f>
        <v/>
      </c>
      <c r="N1950">
        <f>IF($G1950="",0,IF($H1950="مرجوعی فروش",-1,1)*IF(Sync!$AC1946="",0,Sync!$AC1946))</f>
        <v/>
      </c>
      <c r="O1950">
        <f>IF(OR($G1950="",Sync!$V1946=""),"",Sync!$V1946)</f>
        <v/>
      </c>
      <c r="P1950">
        <f>IF(OR($G1950="",Sync!$AD1946=""),"",Sync!$AD1946)</f>
        <v/>
      </c>
      <c r="Q1950">
        <f>IF($G1950="","",IF(Sync!$U1946="","0000",IF(AND(ISNUMBER(Sync!$U1946),Sync!$U1946&gt;=0,Sync!$U1946&lt;1),RIGHT("00"&amp;HOUR(Sync!$U1946),2)&amp;RIGHT("00"&amp;MINUTE(Sync!$U1946),2),IFERROR(RIGHT("00"&amp;VALUE(LEFT(Sync!$U1946,FIND(":",Sync!$U1946)-1)),2)&amp;RIGHT("00"&amp;VALUE(MID(Sync!$U1946,FIND(":",Sync!$U1946)+1,2)),2),"0000"))))</f>
        <v/>
      </c>
    </row>
    <row r="1951">
      <c r="A1951">
        <f>IF(Sync!$T1947="","",Sync!$T1947)</f>
        <v/>
      </c>
      <c r="B1951">
        <f>IF($A1951="","",IF(ISNUMBER($A1951),IF(AND($A1951&gt;=10000101,$A1951&lt;=99991231),INT($A1951/10000),""),IFERROR(VALUE(TRIM(LEFT($A1951,FIND("/",$A1951)-1))),"")))</f>
        <v/>
      </c>
      <c r="C1951">
        <f>IF(OR($A1951="",$B1951=""),"",IF(ISNUMBER($A1951),INT(MOD($A1951,10000)/100),IFERROR(VALUE(TRIM(LEFT(MID($A1951,FIND("/",$A1951)+1,20),FIND("/",MID($A1951,FIND("/",$A1951)+1,20))-1))),"")))</f>
        <v/>
      </c>
      <c r="D1951">
        <f>IF(OR($A1951="",$B1951=""),"",IF(ISNUMBER($A1951),MOD($A1951,100),IFERROR(VALUE(TRIM(MID(MID($A1951,FIND("/",$A1951)+1,20),FIND("/",MID($A1951,FIND("/",$A1951)+1,20))+1,20))),"")))</f>
        <v/>
      </c>
      <c r="E1951">
        <f>IF($A1951="","",IF(OR($B1951="",$C1951="",$D1951="",$B1951&lt;1300,$B1951&gt;1500,$C1951&lt;1,$C1951&gt;12,$D1951&lt;1,$D1951&gt;31),"نامعتبر",RIGHT("0000"&amp;$B1951,4)&amp;"/"&amp;RIGHT("00"&amp;$C1951,2)&amp;"/"&amp;RIGHT("00"&amp;$D1951,2)))</f>
        <v/>
      </c>
      <c r="F1951">
        <f>IF(OR($E1951="",$E1951="نامعتبر"),"",LEFT($E1951,4)&amp;"/"&amp;MID($E1951,6,2))</f>
        <v/>
      </c>
      <c r="G1951">
        <f>IF(OR($E1951="",$E1951="نامعتبر",Sync!$X1947=""),"",IF(AND(LEFT(UPPER(TRIM(Sync!$X1947)),2)="SL",IFERROR(VLOOKUP(Sync!$W1947,OpTbl,3,0),"")="فروش"),UPPER(TRIM(Sync!$X1947)),""))</f>
        <v/>
      </c>
      <c r="H1951">
        <f>IF($G1951="","",IF(Sync!$W1947="","",Sync!$W1947))</f>
        <v/>
      </c>
      <c r="I1951">
        <f>IF(OR($G1951="",Sync!$Y1947=""),"",Sync!$Y1947)</f>
        <v/>
      </c>
      <c r="J1951">
        <f>IF(OR($G1951="",Sync!$Z1947=""),"",Sync!$Z1947)</f>
        <v/>
      </c>
      <c r="K1951">
        <f>IF($G1951="",0,IF(Sync!$AA1947="",0,Sync!$AA1947))</f>
        <v/>
      </c>
      <c r="L1951">
        <f>IF($G1951="",0,IF(Sync!$AB1947="",0,Sync!$AB1947))</f>
        <v/>
      </c>
      <c r="M1951">
        <f>IF($G1951="","",IF($H1951="مرجوعی فروش",-1,1)*($K1951-$L1951*IFERROR(VLOOKUP("P01",ParamTbl,3,0),1.5)))</f>
        <v/>
      </c>
      <c r="N1951">
        <f>IF($G1951="",0,IF($H1951="مرجوعی فروش",-1,1)*IF(Sync!$AC1947="",0,Sync!$AC1947))</f>
        <v/>
      </c>
      <c r="O1951">
        <f>IF(OR($G1951="",Sync!$V1947=""),"",Sync!$V1947)</f>
        <v/>
      </c>
      <c r="P1951">
        <f>IF(OR($G1951="",Sync!$AD1947=""),"",Sync!$AD1947)</f>
        <v/>
      </c>
      <c r="Q1951">
        <f>IF($G1951="","",IF(Sync!$U1947="","0000",IF(AND(ISNUMBER(Sync!$U1947),Sync!$U1947&gt;=0,Sync!$U1947&lt;1),RIGHT("00"&amp;HOUR(Sync!$U1947),2)&amp;RIGHT("00"&amp;MINUTE(Sync!$U1947),2),IFERROR(RIGHT("00"&amp;VALUE(LEFT(Sync!$U1947,FIND(":",Sync!$U1947)-1)),2)&amp;RIGHT("00"&amp;VALUE(MID(Sync!$U1947,FIND(":",Sync!$U1947)+1,2)),2),"0000"))))</f>
        <v/>
      </c>
    </row>
    <row r="1952">
      <c r="A1952">
        <f>IF(Sync!$T1948="","",Sync!$T1948)</f>
        <v/>
      </c>
      <c r="B1952">
        <f>IF($A1952="","",IF(ISNUMBER($A1952),IF(AND($A1952&gt;=10000101,$A1952&lt;=99991231),INT($A1952/10000),""),IFERROR(VALUE(TRIM(LEFT($A1952,FIND("/",$A1952)-1))),"")))</f>
        <v/>
      </c>
      <c r="C1952">
        <f>IF(OR($A1952="",$B1952=""),"",IF(ISNUMBER($A1952),INT(MOD($A1952,10000)/100),IFERROR(VALUE(TRIM(LEFT(MID($A1952,FIND("/",$A1952)+1,20),FIND("/",MID($A1952,FIND("/",$A1952)+1,20))-1))),"")))</f>
        <v/>
      </c>
      <c r="D1952">
        <f>IF(OR($A1952="",$B1952=""),"",IF(ISNUMBER($A1952),MOD($A1952,100),IFERROR(VALUE(TRIM(MID(MID($A1952,FIND("/",$A1952)+1,20),FIND("/",MID($A1952,FIND("/",$A1952)+1,20))+1,20))),"")))</f>
        <v/>
      </c>
      <c r="E1952">
        <f>IF($A1952="","",IF(OR($B1952="",$C1952="",$D1952="",$B1952&lt;1300,$B1952&gt;1500,$C1952&lt;1,$C1952&gt;12,$D1952&lt;1,$D1952&gt;31),"نامعتبر",RIGHT("0000"&amp;$B1952,4)&amp;"/"&amp;RIGHT("00"&amp;$C1952,2)&amp;"/"&amp;RIGHT("00"&amp;$D1952,2)))</f>
        <v/>
      </c>
      <c r="F1952">
        <f>IF(OR($E1952="",$E1952="نامعتبر"),"",LEFT($E1952,4)&amp;"/"&amp;MID($E1952,6,2))</f>
        <v/>
      </c>
      <c r="G1952">
        <f>IF(OR($E1952="",$E1952="نامعتبر",Sync!$X1948=""),"",IF(AND(LEFT(UPPER(TRIM(Sync!$X1948)),2)="SL",IFERROR(VLOOKUP(Sync!$W1948,OpTbl,3,0),"")="فروش"),UPPER(TRIM(Sync!$X1948)),""))</f>
        <v/>
      </c>
      <c r="H1952">
        <f>IF($G1952="","",IF(Sync!$W1948="","",Sync!$W1948))</f>
        <v/>
      </c>
      <c r="I1952">
        <f>IF(OR($G1952="",Sync!$Y1948=""),"",Sync!$Y1948)</f>
        <v/>
      </c>
      <c r="J1952">
        <f>IF(OR($G1952="",Sync!$Z1948=""),"",Sync!$Z1948)</f>
        <v/>
      </c>
      <c r="K1952">
        <f>IF($G1952="",0,IF(Sync!$AA1948="",0,Sync!$AA1948))</f>
        <v/>
      </c>
      <c r="L1952">
        <f>IF($G1952="",0,IF(Sync!$AB1948="",0,Sync!$AB1948))</f>
        <v/>
      </c>
      <c r="M1952">
        <f>IF($G1952="","",IF($H1952="مرجوعی فروش",-1,1)*($K1952-$L1952*IFERROR(VLOOKUP("P01",ParamTbl,3,0),1.5)))</f>
        <v/>
      </c>
      <c r="N1952">
        <f>IF($G1952="",0,IF($H1952="مرجوعی فروش",-1,1)*IF(Sync!$AC1948="",0,Sync!$AC1948))</f>
        <v/>
      </c>
      <c r="O1952">
        <f>IF(OR($G1952="",Sync!$V1948=""),"",Sync!$V1948)</f>
        <v/>
      </c>
      <c r="P1952">
        <f>IF(OR($G1952="",Sync!$AD1948=""),"",Sync!$AD1948)</f>
        <v/>
      </c>
      <c r="Q1952">
        <f>IF($G1952="","",IF(Sync!$U1948="","0000",IF(AND(ISNUMBER(Sync!$U1948),Sync!$U1948&gt;=0,Sync!$U1948&lt;1),RIGHT("00"&amp;HOUR(Sync!$U1948),2)&amp;RIGHT("00"&amp;MINUTE(Sync!$U1948),2),IFERROR(RIGHT("00"&amp;VALUE(LEFT(Sync!$U1948,FIND(":",Sync!$U1948)-1)),2)&amp;RIGHT("00"&amp;VALUE(MID(Sync!$U1948,FIND(":",Sync!$U1948)+1,2)),2),"0000"))))</f>
        <v/>
      </c>
    </row>
    <row r="1953">
      <c r="A1953">
        <f>IF(Sync!$T1949="","",Sync!$T1949)</f>
        <v/>
      </c>
      <c r="B1953">
        <f>IF($A1953="","",IF(ISNUMBER($A1953),IF(AND($A1953&gt;=10000101,$A1953&lt;=99991231),INT($A1953/10000),""),IFERROR(VALUE(TRIM(LEFT($A1953,FIND("/",$A1953)-1))),"")))</f>
        <v/>
      </c>
      <c r="C1953">
        <f>IF(OR($A1953="",$B1953=""),"",IF(ISNUMBER($A1953),INT(MOD($A1953,10000)/100),IFERROR(VALUE(TRIM(LEFT(MID($A1953,FIND("/",$A1953)+1,20),FIND("/",MID($A1953,FIND("/",$A1953)+1,20))-1))),"")))</f>
        <v/>
      </c>
      <c r="D1953">
        <f>IF(OR($A1953="",$B1953=""),"",IF(ISNUMBER($A1953),MOD($A1953,100),IFERROR(VALUE(TRIM(MID(MID($A1953,FIND("/",$A1953)+1,20),FIND("/",MID($A1953,FIND("/",$A1953)+1,20))+1,20))),"")))</f>
        <v/>
      </c>
      <c r="E1953">
        <f>IF($A1953="","",IF(OR($B1953="",$C1953="",$D1953="",$B1953&lt;1300,$B1953&gt;1500,$C1953&lt;1,$C1953&gt;12,$D1953&lt;1,$D1953&gt;31),"نامعتبر",RIGHT("0000"&amp;$B1953,4)&amp;"/"&amp;RIGHT("00"&amp;$C1953,2)&amp;"/"&amp;RIGHT("00"&amp;$D1953,2)))</f>
        <v/>
      </c>
      <c r="F1953">
        <f>IF(OR($E1953="",$E1953="نامعتبر"),"",LEFT($E1953,4)&amp;"/"&amp;MID($E1953,6,2))</f>
        <v/>
      </c>
      <c r="G1953">
        <f>IF(OR($E1953="",$E1953="نامعتبر",Sync!$X1949=""),"",IF(AND(LEFT(UPPER(TRIM(Sync!$X1949)),2)="SL",IFERROR(VLOOKUP(Sync!$W1949,OpTbl,3,0),"")="فروش"),UPPER(TRIM(Sync!$X1949)),""))</f>
        <v/>
      </c>
      <c r="H1953">
        <f>IF($G1953="","",IF(Sync!$W1949="","",Sync!$W1949))</f>
        <v/>
      </c>
      <c r="I1953">
        <f>IF(OR($G1953="",Sync!$Y1949=""),"",Sync!$Y1949)</f>
        <v/>
      </c>
      <c r="J1953">
        <f>IF(OR($G1953="",Sync!$Z1949=""),"",Sync!$Z1949)</f>
        <v/>
      </c>
      <c r="K1953">
        <f>IF($G1953="",0,IF(Sync!$AA1949="",0,Sync!$AA1949))</f>
        <v/>
      </c>
      <c r="L1953">
        <f>IF($G1953="",0,IF(Sync!$AB1949="",0,Sync!$AB1949))</f>
        <v/>
      </c>
      <c r="M1953">
        <f>IF($G1953="","",IF($H1953="مرجوعی فروش",-1,1)*($K1953-$L1953*IFERROR(VLOOKUP("P01",ParamTbl,3,0),1.5)))</f>
        <v/>
      </c>
      <c r="N1953">
        <f>IF($G1953="",0,IF($H1953="مرجوعی فروش",-1,1)*IF(Sync!$AC1949="",0,Sync!$AC1949))</f>
        <v/>
      </c>
      <c r="O1953">
        <f>IF(OR($G1953="",Sync!$V1949=""),"",Sync!$V1949)</f>
        <v/>
      </c>
      <c r="P1953">
        <f>IF(OR($G1953="",Sync!$AD1949=""),"",Sync!$AD1949)</f>
        <v/>
      </c>
      <c r="Q1953">
        <f>IF($G1953="","",IF(Sync!$U1949="","0000",IF(AND(ISNUMBER(Sync!$U1949),Sync!$U1949&gt;=0,Sync!$U1949&lt;1),RIGHT("00"&amp;HOUR(Sync!$U1949),2)&amp;RIGHT("00"&amp;MINUTE(Sync!$U1949),2),IFERROR(RIGHT("00"&amp;VALUE(LEFT(Sync!$U1949,FIND(":",Sync!$U1949)-1)),2)&amp;RIGHT("00"&amp;VALUE(MID(Sync!$U1949,FIND(":",Sync!$U1949)+1,2)),2),"0000"))))</f>
        <v/>
      </c>
    </row>
    <row r="1954">
      <c r="A1954">
        <f>IF(Sync!$T1950="","",Sync!$T1950)</f>
        <v/>
      </c>
      <c r="B1954">
        <f>IF($A1954="","",IF(ISNUMBER($A1954),IF(AND($A1954&gt;=10000101,$A1954&lt;=99991231),INT($A1954/10000),""),IFERROR(VALUE(TRIM(LEFT($A1954,FIND("/",$A1954)-1))),"")))</f>
        <v/>
      </c>
      <c r="C1954">
        <f>IF(OR($A1954="",$B1954=""),"",IF(ISNUMBER($A1954),INT(MOD($A1954,10000)/100),IFERROR(VALUE(TRIM(LEFT(MID($A1954,FIND("/",$A1954)+1,20),FIND("/",MID($A1954,FIND("/",$A1954)+1,20))-1))),"")))</f>
        <v/>
      </c>
      <c r="D1954">
        <f>IF(OR($A1954="",$B1954=""),"",IF(ISNUMBER($A1954),MOD($A1954,100),IFERROR(VALUE(TRIM(MID(MID($A1954,FIND("/",$A1954)+1,20),FIND("/",MID($A1954,FIND("/",$A1954)+1,20))+1,20))),"")))</f>
        <v/>
      </c>
      <c r="E1954">
        <f>IF($A1954="","",IF(OR($B1954="",$C1954="",$D1954="",$B1954&lt;1300,$B1954&gt;1500,$C1954&lt;1,$C1954&gt;12,$D1954&lt;1,$D1954&gt;31),"نامعتبر",RIGHT("0000"&amp;$B1954,4)&amp;"/"&amp;RIGHT("00"&amp;$C1954,2)&amp;"/"&amp;RIGHT("00"&amp;$D1954,2)))</f>
        <v/>
      </c>
      <c r="F1954">
        <f>IF(OR($E1954="",$E1954="نامعتبر"),"",LEFT($E1954,4)&amp;"/"&amp;MID($E1954,6,2))</f>
        <v/>
      </c>
      <c r="G1954">
        <f>IF(OR($E1954="",$E1954="نامعتبر",Sync!$X1950=""),"",IF(AND(LEFT(UPPER(TRIM(Sync!$X1950)),2)="SL",IFERROR(VLOOKUP(Sync!$W1950,OpTbl,3,0),"")="فروش"),UPPER(TRIM(Sync!$X1950)),""))</f>
        <v/>
      </c>
      <c r="H1954">
        <f>IF($G1954="","",IF(Sync!$W1950="","",Sync!$W1950))</f>
        <v/>
      </c>
      <c r="I1954">
        <f>IF(OR($G1954="",Sync!$Y1950=""),"",Sync!$Y1950)</f>
        <v/>
      </c>
      <c r="J1954">
        <f>IF(OR($G1954="",Sync!$Z1950=""),"",Sync!$Z1950)</f>
        <v/>
      </c>
      <c r="K1954">
        <f>IF($G1954="",0,IF(Sync!$AA1950="",0,Sync!$AA1950))</f>
        <v/>
      </c>
      <c r="L1954">
        <f>IF($G1954="",0,IF(Sync!$AB1950="",0,Sync!$AB1950))</f>
        <v/>
      </c>
      <c r="M1954">
        <f>IF($G1954="","",IF($H1954="مرجوعی فروش",-1,1)*($K1954-$L1954*IFERROR(VLOOKUP("P01",ParamTbl,3,0),1.5)))</f>
        <v/>
      </c>
      <c r="N1954">
        <f>IF($G1954="",0,IF($H1954="مرجوعی فروش",-1,1)*IF(Sync!$AC1950="",0,Sync!$AC1950))</f>
        <v/>
      </c>
      <c r="O1954">
        <f>IF(OR($G1954="",Sync!$V1950=""),"",Sync!$V1950)</f>
        <v/>
      </c>
      <c r="P1954">
        <f>IF(OR($G1954="",Sync!$AD1950=""),"",Sync!$AD1950)</f>
        <v/>
      </c>
      <c r="Q1954">
        <f>IF($G1954="","",IF(Sync!$U1950="","0000",IF(AND(ISNUMBER(Sync!$U1950),Sync!$U1950&gt;=0,Sync!$U1950&lt;1),RIGHT("00"&amp;HOUR(Sync!$U1950),2)&amp;RIGHT("00"&amp;MINUTE(Sync!$U1950),2),IFERROR(RIGHT("00"&amp;VALUE(LEFT(Sync!$U1950,FIND(":",Sync!$U1950)-1)),2)&amp;RIGHT("00"&amp;VALUE(MID(Sync!$U1950,FIND(":",Sync!$U1950)+1,2)),2),"0000"))))</f>
        <v/>
      </c>
    </row>
    <row r="1955">
      <c r="A1955">
        <f>IF(Sync!$T1951="","",Sync!$T1951)</f>
        <v/>
      </c>
      <c r="B1955">
        <f>IF($A1955="","",IF(ISNUMBER($A1955),IF(AND($A1955&gt;=10000101,$A1955&lt;=99991231),INT($A1955/10000),""),IFERROR(VALUE(TRIM(LEFT($A1955,FIND("/",$A1955)-1))),"")))</f>
        <v/>
      </c>
      <c r="C1955">
        <f>IF(OR($A1955="",$B1955=""),"",IF(ISNUMBER($A1955),INT(MOD($A1955,10000)/100),IFERROR(VALUE(TRIM(LEFT(MID($A1955,FIND("/",$A1955)+1,20),FIND("/",MID($A1955,FIND("/",$A1955)+1,20))-1))),"")))</f>
        <v/>
      </c>
      <c r="D1955">
        <f>IF(OR($A1955="",$B1955=""),"",IF(ISNUMBER($A1955),MOD($A1955,100),IFERROR(VALUE(TRIM(MID(MID($A1955,FIND("/",$A1955)+1,20),FIND("/",MID($A1955,FIND("/",$A1955)+1,20))+1,20))),"")))</f>
        <v/>
      </c>
      <c r="E1955">
        <f>IF($A1955="","",IF(OR($B1955="",$C1955="",$D1955="",$B1955&lt;1300,$B1955&gt;1500,$C1955&lt;1,$C1955&gt;12,$D1955&lt;1,$D1955&gt;31),"نامعتبر",RIGHT("0000"&amp;$B1955,4)&amp;"/"&amp;RIGHT("00"&amp;$C1955,2)&amp;"/"&amp;RIGHT("00"&amp;$D1955,2)))</f>
        <v/>
      </c>
      <c r="F1955">
        <f>IF(OR($E1955="",$E1955="نامعتبر"),"",LEFT($E1955,4)&amp;"/"&amp;MID($E1955,6,2))</f>
        <v/>
      </c>
      <c r="G1955">
        <f>IF(OR($E1955="",$E1955="نامعتبر",Sync!$X1951=""),"",IF(AND(LEFT(UPPER(TRIM(Sync!$X1951)),2)="SL",IFERROR(VLOOKUP(Sync!$W1951,OpTbl,3,0),"")="فروش"),UPPER(TRIM(Sync!$X1951)),""))</f>
        <v/>
      </c>
      <c r="H1955">
        <f>IF($G1955="","",IF(Sync!$W1951="","",Sync!$W1951))</f>
        <v/>
      </c>
      <c r="I1955">
        <f>IF(OR($G1955="",Sync!$Y1951=""),"",Sync!$Y1951)</f>
        <v/>
      </c>
      <c r="J1955">
        <f>IF(OR($G1955="",Sync!$Z1951=""),"",Sync!$Z1951)</f>
        <v/>
      </c>
      <c r="K1955">
        <f>IF($G1955="",0,IF(Sync!$AA1951="",0,Sync!$AA1951))</f>
        <v/>
      </c>
      <c r="L1955">
        <f>IF($G1955="",0,IF(Sync!$AB1951="",0,Sync!$AB1951))</f>
        <v/>
      </c>
      <c r="M1955">
        <f>IF($G1955="","",IF($H1955="مرجوعی فروش",-1,1)*($K1955-$L1955*IFERROR(VLOOKUP("P01",ParamTbl,3,0),1.5)))</f>
        <v/>
      </c>
      <c r="N1955">
        <f>IF($G1955="",0,IF($H1955="مرجوعی فروش",-1,1)*IF(Sync!$AC1951="",0,Sync!$AC1951))</f>
        <v/>
      </c>
      <c r="O1955">
        <f>IF(OR($G1955="",Sync!$V1951=""),"",Sync!$V1951)</f>
        <v/>
      </c>
      <c r="P1955">
        <f>IF(OR($G1955="",Sync!$AD1951=""),"",Sync!$AD1951)</f>
        <v/>
      </c>
      <c r="Q1955">
        <f>IF($G1955="","",IF(Sync!$U1951="","0000",IF(AND(ISNUMBER(Sync!$U1951),Sync!$U1951&gt;=0,Sync!$U1951&lt;1),RIGHT("00"&amp;HOUR(Sync!$U1951),2)&amp;RIGHT("00"&amp;MINUTE(Sync!$U1951),2),IFERROR(RIGHT("00"&amp;VALUE(LEFT(Sync!$U1951,FIND(":",Sync!$U1951)-1)),2)&amp;RIGHT("00"&amp;VALUE(MID(Sync!$U1951,FIND(":",Sync!$U1951)+1,2)),2),"0000"))))</f>
        <v/>
      </c>
    </row>
    <row r="1956">
      <c r="A1956">
        <f>IF(Sync!$T1952="","",Sync!$T1952)</f>
        <v/>
      </c>
      <c r="B1956">
        <f>IF($A1956="","",IF(ISNUMBER($A1956),IF(AND($A1956&gt;=10000101,$A1956&lt;=99991231),INT($A1956/10000),""),IFERROR(VALUE(TRIM(LEFT($A1956,FIND("/",$A1956)-1))),"")))</f>
        <v/>
      </c>
      <c r="C1956">
        <f>IF(OR($A1956="",$B1956=""),"",IF(ISNUMBER($A1956),INT(MOD($A1956,10000)/100),IFERROR(VALUE(TRIM(LEFT(MID($A1956,FIND("/",$A1956)+1,20),FIND("/",MID($A1956,FIND("/",$A1956)+1,20))-1))),"")))</f>
        <v/>
      </c>
      <c r="D1956">
        <f>IF(OR($A1956="",$B1956=""),"",IF(ISNUMBER($A1956),MOD($A1956,100),IFERROR(VALUE(TRIM(MID(MID($A1956,FIND("/",$A1956)+1,20),FIND("/",MID($A1956,FIND("/",$A1956)+1,20))+1,20))),"")))</f>
        <v/>
      </c>
      <c r="E1956">
        <f>IF($A1956="","",IF(OR($B1956="",$C1956="",$D1956="",$B1956&lt;1300,$B1956&gt;1500,$C1956&lt;1,$C1956&gt;12,$D1956&lt;1,$D1956&gt;31),"نامعتبر",RIGHT("0000"&amp;$B1956,4)&amp;"/"&amp;RIGHT("00"&amp;$C1956,2)&amp;"/"&amp;RIGHT("00"&amp;$D1956,2)))</f>
        <v/>
      </c>
      <c r="F1956">
        <f>IF(OR($E1956="",$E1956="نامعتبر"),"",LEFT($E1956,4)&amp;"/"&amp;MID($E1956,6,2))</f>
        <v/>
      </c>
      <c r="G1956">
        <f>IF(OR($E1956="",$E1956="نامعتبر",Sync!$X1952=""),"",IF(AND(LEFT(UPPER(TRIM(Sync!$X1952)),2)="SL",IFERROR(VLOOKUP(Sync!$W1952,OpTbl,3,0),"")="فروش"),UPPER(TRIM(Sync!$X1952)),""))</f>
        <v/>
      </c>
      <c r="H1956">
        <f>IF($G1956="","",IF(Sync!$W1952="","",Sync!$W1952))</f>
        <v/>
      </c>
      <c r="I1956">
        <f>IF(OR($G1956="",Sync!$Y1952=""),"",Sync!$Y1952)</f>
        <v/>
      </c>
      <c r="J1956">
        <f>IF(OR($G1956="",Sync!$Z1952=""),"",Sync!$Z1952)</f>
        <v/>
      </c>
      <c r="K1956">
        <f>IF($G1956="",0,IF(Sync!$AA1952="",0,Sync!$AA1952))</f>
        <v/>
      </c>
      <c r="L1956">
        <f>IF($G1956="",0,IF(Sync!$AB1952="",0,Sync!$AB1952))</f>
        <v/>
      </c>
      <c r="M1956">
        <f>IF($G1956="","",IF($H1956="مرجوعی فروش",-1,1)*($K1956-$L1956*IFERROR(VLOOKUP("P01",ParamTbl,3,0),1.5)))</f>
        <v/>
      </c>
      <c r="N1956">
        <f>IF($G1956="",0,IF($H1956="مرجوعی فروش",-1,1)*IF(Sync!$AC1952="",0,Sync!$AC1952))</f>
        <v/>
      </c>
      <c r="O1956">
        <f>IF(OR($G1956="",Sync!$V1952=""),"",Sync!$V1952)</f>
        <v/>
      </c>
      <c r="P1956">
        <f>IF(OR($G1956="",Sync!$AD1952=""),"",Sync!$AD1952)</f>
        <v/>
      </c>
      <c r="Q1956">
        <f>IF($G1956="","",IF(Sync!$U1952="","0000",IF(AND(ISNUMBER(Sync!$U1952),Sync!$U1952&gt;=0,Sync!$U1952&lt;1),RIGHT("00"&amp;HOUR(Sync!$U1952),2)&amp;RIGHT("00"&amp;MINUTE(Sync!$U1952),2),IFERROR(RIGHT("00"&amp;VALUE(LEFT(Sync!$U1952,FIND(":",Sync!$U1952)-1)),2)&amp;RIGHT("00"&amp;VALUE(MID(Sync!$U1952,FIND(":",Sync!$U1952)+1,2)),2),"0000"))))</f>
        <v/>
      </c>
    </row>
    <row r="1957">
      <c r="A1957">
        <f>IF(Sync!$T1953="","",Sync!$T1953)</f>
        <v/>
      </c>
      <c r="B1957">
        <f>IF($A1957="","",IF(ISNUMBER($A1957),IF(AND($A1957&gt;=10000101,$A1957&lt;=99991231),INT($A1957/10000),""),IFERROR(VALUE(TRIM(LEFT($A1957,FIND("/",$A1957)-1))),"")))</f>
        <v/>
      </c>
      <c r="C1957">
        <f>IF(OR($A1957="",$B1957=""),"",IF(ISNUMBER($A1957),INT(MOD($A1957,10000)/100),IFERROR(VALUE(TRIM(LEFT(MID($A1957,FIND("/",$A1957)+1,20),FIND("/",MID($A1957,FIND("/",$A1957)+1,20))-1))),"")))</f>
        <v/>
      </c>
      <c r="D1957">
        <f>IF(OR($A1957="",$B1957=""),"",IF(ISNUMBER($A1957),MOD($A1957,100),IFERROR(VALUE(TRIM(MID(MID($A1957,FIND("/",$A1957)+1,20),FIND("/",MID($A1957,FIND("/",$A1957)+1,20))+1,20))),"")))</f>
        <v/>
      </c>
      <c r="E1957">
        <f>IF($A1957="","",IF(OR($B1957="",$C1957="",$D1957="",$B1957&lt;1300,$B1957&gt;1500,$C1957&lt;1,$C1957&gt;12,$D1957&lt;1,$D1957&gt;31),"نامعتبر",RIGHT("0000"&amp;$B1957,4)&amp;"/"&amp;RIGHT("00"&amp;$C1957,2)&amp;"/"&amp;RIGHT("00"&amp;$D1957,2)))</f>
        <v/>
      </c>
      <c r="F1957">
        <f>IF(OR($E1957="",$E1957="نامعتبر"),"",LEFT($E1957,4)&amp;"/"&amp;MID($E1957,6,2))</f>
        <v/>
      </c>
      <c r="G1957">
        <f>IF(OR($E1957="",$E1957="نامعتبر",Sync!$X1953=""),"",IF(AND(LEFT(UPPER(TRIM(Sync!$X1953)),2)="SL",IFERROR(VLOOKUP(Sync!$W1953,OpTbl,3,0),"")="فروش"),UPPER(TRIM(Sync!$X1953)),""))</f>
        <v/>
      </c>
      <c r="H1957">
        <f>IF($G1957="","",IF(Sync!$W1953="","",Sync!$W1953))</f>
        <v/>
      </c>
      <c r="I1957">
        <f>IF(OR($G1957="",Sync!$Y1953=""),"",Sync!$Y1953)</f>
        <v/>
      </c>
      <c r="J1957">
        <f>IF(OR($G1957="",Sync!$Z1953=""),"",Sync!$Z1953)</f>
        <v/>
      </c>
      <c r="K1957">
        <f>IF($G1957="",0,IF(Sync!$AA1953="",0,Sync!$AA1953))</f>
        <v/>
      </c>
      <c r="L1957">
        <f>IF($G1957="",0,IF(Sync!$AB1953="",0,Sync!$AB1953))</f>
        <v/>
      </c>
      <c r="M1957">
        <f>IF($G1957="","",IF($H1957="مرجوعی فروش",-1,1)*($K1957-$L1957*IFERROR(VLOOKUP("P01",ParamTbl,3,0),1.5)))</f>
        <v/>
      </c>
      <c r="N1957">
        <f>IF($G1957="",0,IF($H1957="مرجوعی فروش",-1,1)*IF(Sync!$AC1953="",0,Sync!$AC1953))</f>
        <v/>
      </c>
      <c r="O1957">
        <f>IF(OR($G1957="",Sync!$V1953=""),"",Sync!$V1953)</f>
        <v/>
      </c>
      <c r="P1957">
        <f>IF(OR($G1957="",Sync!$AD1953=""),"",Sync!$AD1953)</f>
        <v/>
      </c>
      <c r="Q1957">
        <f>IF($G1957="","",IF(Sync!$U1953="","0000",IF(AND(ISNUMBER(Sync!$U1953),Sync!$U1953&gt;=0,Sync!$U1953&lt;1),RIGHT("00"&amp;HOUR(Sync!$U1953),2)&amp;RIGHT("00"&amp;MINUTE(Sync!$U1953),2),IFERROR(RIGHT("00"&amp;VALUE(LEFT(Sync!$U1953,FIND(":",Sync!$U1953)-1)),2)&amp;RIGHT("00"&amp;VALUE(MID(Sync!$U1953,FIND(":",Sync!$U1953)+1,2)),2),"0000"))))</f>
        <v/>
      </c>
    </row>
    <row r="1958">
      <c r="A1958">
        <f>IF(Sync!$T1954="","",Sync!$T1954)</f>
        <v/>
      </c>
      <c r="B1958">
        <f>IF($A1958="","",IF(ISNUMBER($A1958),IF(AND($A1958&gt;=10000101,$A1958&lt;=99991231),INT($A1958/10000),""),IFERROR(VALUE(TRIM(LEFT($A1958,FIND("/",$A1958)-1))),"")))</f>
        <v/>
      </c>
      <c r="C1958">
        <f>IF(OR($A1958="",$B1958=""),"",IF(ISNUMBER($A1958),INT(MOD($A1958,10000)/100),IFERROR(VALUE(TRIM(LEFT(MID($A1958,FIND("/",$A1958)+1,20),FIND("/",MID($A1958,FIND("/",$A1958)+1,20))-1))),"")))</f>
        <v/>
      </c>
      <c r="D1958">
        <f>IF(OR($A1958="",$B1958=""),"",IF(ISNUMBER($A1958),MOD($A1958,100),IFERROR(VALUE(TRIM(MID(MID($A1958,FIND("/",$A1958)+1,20),FIND("/",MID($A1958,FIND("/",$A1958)+1,20))+1,20))),"")))</f>
        <v/>
      </c>
      <c r="E1958">
        <f>IF($A1958="","",IF(OR($B1958="",$C1958="",$D1958="",$B1958&lt;1300,$B1958&gt;1500,$C1958&lt;1,$C1958&gt;12,$D1958&lt;1,$D1958&gt;31),"نامعتبر",RIGHT("0000"&amp;$B1958,4)&amp;"/"&amp;RIGHT("00"&amp;$C1958,2)&amp;"/"&amp;RIGHT("00"&amp;$D1958,2)))</f>
        <v/>
      </c>
      <c r="F1958">
        <f>IF(OR($E1958="",$E1958="نامعتبر"),"",LEFT($E1958,4)&amp;"/"&amp;MID($E1958,6,2))</f>
        <v/>
      </c>
      <c r="G1958">
        <f>IF(OR($E1958="",$E1958="نامعتبر",Sync!$X1954=""),"",IF(AND(LEFT(UPPER(TRIM(Sync!$X1954)),2)="SL",IFERROR(VLOOKUP(Sync!$W1954,OpTbl,3,0),"")="فروش"),UPPER(TRIM(Sync!$X1954)),""))</f>
        <v/>
      </c>
      <c r="H1958">
        <f>IF($G1958="","",IF(Sync!$W1954="","",Sync!$W1954))</f>
        <v/>
      </c>
      <c r="I1958">
        <f>IF(OR($G1958="",Sync!$Y1954=""),"",Sync!$Y1954)</f>
        <v/>
      </c>
      <c r="J1958">
        <f>IF(OR($G1958="",Sync!$Z1954=""),"",Sync!$Z1954)</f>
        <v/>
      </c>
      <c r="K1958">
        <f>IF($G1958="",0,IF(Sync!$AA1954="",0,Sync!$AA1954))</f>
        <v/>
      </c>
      <c r="L1958">
        <f>IF($G1958="",0,IF(Sync!$AB1954="",0,Sync!$AB1954))</f>
        <v/>
      </c>
      <c r="M1958">
        <f>IF($G1958="","",IF($H1958="مرجوعی فروش",-1,1)*($K1958-$L1958*IFERROR(VLOOKUP("P01",ParamTbl,3,0),1.5)))</f>
        <v/>
      </c>
      <c r="N1958">
        <f>IF($G1958="",0,IF($H1958="مرجوعی فروش",-1,1)*IF(Sync!$AC1954="",0,Sync!$AC1954))</f>
        <v/>
      </c>
      <c r="O1958">
        <f>IF(OR($G1958="",Sync!$V1954=""),"",Sync!$V1954)</f>
        <v/>
      </c>
      <c r="P1958">
        <f>IF(OR($G1958="",Sync!$AD1954=""),"",Sync!$AD1954)</f>
        <v/>
      </c>
      <c r="Q1958">
        <f>IF($G1958="","",IF(Sync!$U1954="","0000",IF(AND(ISNUMBER(Sync!$U1954),Sync!$U1954&gt;=0,Sync!$U1954&lt;1),RIGHT("00"&amp;HOUR(Sync!$U1954),2)&amp;RIGHT("00"&amp;MINUTE(Sync!$U1954),2),IFERROR(RIGHT("00"&amp;VALUE(LEFT(Sync!$U1954,FIND(":",Sync!$U1954)-1)),2)&amp;RIGHT("00"&amp;VALUE(MID(Sync!$U1954,FIND(":",Sync!$U1954)+1,2)),2),"0000"))))</f>
        <v/>
      </c>
    </row>
    <row r="1959">
      <c r="A1959">
        <f>IF(Sync!$T1955="","",Sync!$T1955)</f>
        <v/>
      </c>
      <c r="B1959">
        <f>IF($A1959="","",IF(ISNUMBER($A1959),IF(AND($A1959&gt;=10000101,$A1959&lt;=99991231),INT($A1959/10000),""),IFERROR(VALUE(TRIM(LEFT($A1959,FIND("/",$A1959)-1))),"")))</f>
        <v/>
      </c>
      <c r="C1959">
        <f>IF(OR($A1959="",$B1959=""),"",IF(ISNUMBER($A1959),INT(MOD($A1959,10000)/100),IFERROR(VALUE(TRIM(LEFT(MID($A1959,FIND("/",$A1959)+1,20),FIND("/",MID($A1959,FIND("/",$A1959)+1,20))-1))),"")))</f>
        <v/>
      </c>
      <c r="D1959">
        <f>IF(OR($A1959="",$B1959=""),"",IF(ISNUMBER($A1959),MOD($A1959,100),IFERROR(VALUE(TRIM(MID(MID($A1959,FIND("/",$A1959)+1,20),FIND("/",MID($A1959,FIND("/",$A1959)+1,20))+1,20))),"")))</f>
        <v/>
      </c>
      <c r="E1959">
        <f>IF($A1959="","",IF(OR($B1959="",$C1959="",$D1959="",$B1959&lt;1300,$B1959&gt;1500,$C1959&lt;1,$C1959&gt;12,$D1959&lt;1,$D1959&gt;31),"نامعتبر",RIGHT("0000"&amp;$B1959,4)&amp;"/"&amp;RIGHT("00"&amp;$C1959,2)&amp;"/"&amp;RIGHT("00"&amp;$D1959,2)))</f>
        <v/>
      </c>
      <c r="F1959">
        <f>IF(OR($E1959="",$E1959="نامعتبر"),"",LEFT($E1959,4)&amp;"/"&amp;MID($E1959,6,2))</f>
        <v/>
      </c>
      <c r="G1959">
        <f>IF(OR($E1959="",$E1959="نامعتبر",Sync!$X1955=""),"",IF(AND(LEFT(UPPER(TRIM(Sync!$X1955)),2)="SL",IFERROR(VLOOKUP(Sync!$W1955,OpTbl,3,0),"")="فروش"),UPPER(TRIM(Sync!$X1955)),""))</f>
        <v/>
      </c>
      <c r="H1959">
        <f>IF($G1959="","",IF(Sync!$W1955="","",Sync!$W1955))</f>
        <v/>
      </c>
      <c r="I1959">
        <f>IF(OR($G1959="",Sync!$Y1955=""),"",Sync!$Y1955)</f>
        <v/>
      </c>
      <c r="J1959">
        <f>IF(OR($G1959="",Sync!$Z1955=""),"",Sync!$Z1955)</f>
        <v/>
      </c>
      <c r="K1959">
        <f>IF($G1959="",0,IF(Sync!$AA1955="",0,Sync!$AA1955))</f>
        <v/>
      </c>
      <c r="L1959">
        <f>IF($G1959="",0,IF(Sync!$AB1955="",0,Sync!$AB1955))</f>
        <v/>
      </c>
      <c r="M1959">
        <f>IF($G1959="","",IF($H1959="مرجوعی فروش",-1,1)*($K1959-$L1959*IFERROR(VLOOKUP("P01",ParamTbl,3,0),1.5)))</f>
        <v/>
      </c>
      <c r="N1959">
        <f>IF($G1959="",0,IF($H1959="مرجوعی فروش",-1,1)*IF(Sync!$AC1955="",0,Sync!$AC1955))</f>
        <v/>
      </c>
      <c r="O1959">
        <f>IF(OR($G1959="",Sync!$V1955=""),"",Sync!$V1955)</f>
        <v/>
      </c>
      <c r="P1959">
        <f>IF(OR($G1959="",Sync!$AD1955=""),"",Sync!$AD1955)</f>
        <v/>
      </c>
      <c r="Q1959">
        <f>IF($G1959="","",IF(Sync!$U1955="","0000",IF(AND(ISNUMBER(Sync!$U1955),Sync!$U1955&gt;=0,Sync!$U1955&lt;1),RIGHT("00"&amp;HOUR(Sync!$U1955),2)&amp;RIGHT("00"&amp;MINUTE(Sync!$U1955),2),IFERROR(RIGHT("00"&amp;VALUE(LEFT(Sync!$U1955,FIND(":",Sync!$U1955)-1)),2)&amp;RIGHT("00"&amp;VALUE(MID(Sync!$U1955,FIND(":",Sync!$U1955)+1,2)),2),"0000"))))</f>
        <v/>
      </c>
    </row>
    <row r="1960">
      <c r="A1960">
        <f>IF(Sync!$T1956="","",Sync!$T1956)</f>
        <v/>
      </c>
      <c r="B1960">
        <f>IF($A1960="","",IF(ISNUMBER($A1960),IF(AND($A1960&gt;=10000101,$A1960&lt;=99991231),INT($A1960/10000),""),IFERROR(VALUE(TRIM(LEFT($A1960,FIND("/",$A1960)-1))),"")))</f>
        <v/>
      </c>
      <c r="C1960">
        <f>IF(OR($A1960="",$B1960=""),"",IF(ISNUMBER($A1960),INT(MOD($A1960,10000)/100),IFERROR(VALUE(TRIM(LEFT(MID($A1960,FIND("/",$A1960)+1,20),FIND("/",MID($A1960,FIND("/",$A1960)+1,20))-1))),"")))</f>
        <v/>
      </c>
      <c r="D1960">
        <f>IF(OR($A1960="",$B1960=""),"",IF(ISNUMBER($A1960),MOD($A1960,100),IFERROR(VALUE(TRIM(MID(MID($A1960,FIND("/",$A1960)+1,20),FIND("/",MID($A1960,FIND("/",$A1960)+1,20))+1,20))),"")))</f>
        <v/>
      </c>
      <c r="E1960">
        <f>IF($A1960="","",IF(OR($B1960="",$C1960="",$D1960="",$B1960&lt;1300,$B1960&gt;1500,$C1960&lt;1,$C1960&gt;12,$D1960&lt;1,$D1960&gt;31),"نامعتبر",RIGHT("0000"&amp;$B1960,4)&amp;"/"&amp;RIGHT("00"&amp;$C1960,2)&amp;"/"&amp;RIGHT("00"&amp;$D1960,2)))</f>
        <v/>
      </c>
      <c r="F1960">
        <f>IF(OR($E1960="",$E1960="نامعتبر"),"",LEFT($E1960,4)&amp;"/"&amp;MID($E1960,6,2))</f>
        <v/>
      </c>
      <c r="G1960">
        <f>IF(OR($E1960="",$E1960="نامعتبر",Sync!$X1956=""),"",IF(AND(LEFT(UPPER(TRIM(Sync!$X1956)),2)="SL",IFERROR(VLOOKUP(Sync!$W1956,OpTbl,3,0),"")="فروش"),UPPER(TRIM(Sync!$X1956)),""))</f>
        <v/>
      </c>
      <c r="H1960">
        <f>IF($G1960="","",IF(Sync!$W1956="","",Sync!$W1956))</f>
        <v/>
      </c>
      <c r="I1960">
        <f>IF(OR($G1960="",Sync!$Y1956=""),"",Sync!$Y1956)</f>
        <v/>
      </c>
      <c r="J1960">
        <f>IF(OR($G1960="",Sync!$Z1956=""),"",Sync!$Z1956)</f>
        <v/>
      </c>
      <c r="K1960">
        <f>IF($G1960="",0,IF(Sync!$AA1956="",0,Sync!$AA1956))</f>
        <v/>
      </c>
      <c r="L1960">
        <f>IF($G1960="",0,IF(Sync!$AB1956="",0,Sync!$AB1956))</f>
        <v/>
      </c>
      <c r="M1960">
        <f>IF($G1960="","",IF($H1960="مرجوعی فروش",-1,1)*($K1960-$L1960*IFERROR(VLOOKUP("P01",ParamTbl,3,0),1.5)))</f>
        <v/>
      </c>
      <c r="N1960">
        <f>IF($G1960="",0,IF($H1960="مرجوعی فروش",-1,1)*IF(Sync!$AC1956="",0,Sync!$AC1956))</f>
        <v/>
      </c>
      <c r="O1960">
        <f>IF(OR($G1960="",Sync!$V1956=""),"",Sync!$V1956)</f>
        <v/>
      </c>
      <c r="P1960">
        <f>IF(OR($G1960="",Sync!$AD1956=""),"",Sync!$AD1956)</f>
        <v/>
      </c>
      <c r="Q1960">
        <f>IF($G1960="","",IF(Sync!$U1956="","0000",IF(AND(ISNUMBER(Sync!$U1956),Sync!$U1956&gt;=0,Sync!$U1956&lt;1),RIGHT("00"&amp;HOUR(Sync!$U1956),2)&amp;RIGHT("00"&amp;MINUTE(Sync!$U1956),2),IFERROR(RIGHT("00"&amp;VALUE(LEFT(Sync!$U1956,FIND(":",Sync!$U1956)-1)),2)&amp;RIGHT("00"&amp;VALUE(MID(Sync!$U1956,FIND(":",Sync!$U1956)+1,2)),2),"0000"))))</f>
        <v/>
      </c>
    </row>
    <row r="1961">
      <c r="A1961">
        <f>IF(Sync!$T1957="","",Sync!$T1957)</f>
        <v/>
      </c>
      <c r="B1961">
        <f>IF($A1961="","",IF(ISNUMBER($A1961),IF(AND($A1961&gt;=10000101,$A1961&lt;=99991231),INT($A1961/10000),""),IFERROR(VALUE(TRIM(LEFT($A1961,FIND("/",$A1961)-1))),"")))</f>
        <v/>
      </c>
      <c r="C1961">
        <f>IF(OR($A1961="",$B1961=""),"",IF(ISNUMBER($A1961),INT(MOD($A1961,10000)/100),IFERROR(VALUE(TRIM(LEFT(MID($A1961,FIND("/",$A1961)+1,20),FIND("/",MID($A1961,FIND("/",$A1961)+1,20))-1))),"")))</f>
        <v/>
      </c>
      <c r="D1961">
        <f>IF(OR($A1961="",$B1961=""),"",IF(ISNUMBER($A1961),MOD($A1961,100),IFERROR(VALUE(TRIM(MID(MID($A1961,FIND("/",$A1961)+1,20),FIND("/",MID($A1961,FIND("/",$A1961)+1,20))+1,20))),"")))</f>
        <v/>
      </c>
      <c r="E1961">
        <f>IF($A1961="","",IF(OR($B1961="",$C1961="",$D1961="",$B1961&lt;1300,$B1961&gt;1500,$C1961&lt;1,$C1961&gt;12,$D1961&lt;1,$D1961&gt;31),"نامعتبر",RIGHT("0000"&amp;$B1961,4)&amp;"/"&amp;RIGHT("00"&amp;$C1961,2)&amp;"/"&amp;RIGHT("00"&amp;$D1961,2)))</f>
        <v/>
      </c>
      <c r="F1961">
        <f>IF(OR($E1961="",$E1961="نامعتبر"),"",LEFT($E1961,4)&amp;"/"&amp;MID($E1961,6,2))</f>
        <v/>
      </c>
      <c r="G1961">
        <f>IF(OR($E1961="",$E1961="نامعتبر",Sync!$X1957=""),"",IF(AND(LEFT(UPPER(TRIM(Sync!$X1957)),2)="SL",IFERROR(VLOOKUP(Sync!$W1957,OpTbl,3,0),"")="فروش"),UPPER(TRIM(Sync!$X1957)),""))</f>
        <v/>
      </c>
      <c r="H1961">
        <f>IF($G1961="","",IF(Sync!$W1957="","",Sync!$W1957))</f>
        <v/>
      </c>
      <c r="I1961">
        <f>IF(OR($G1961="",Sync!$Y1957=""),"",Sync!$Y1957)</f>
        <v/>
      </c>
      <c r="J1961">
        <f>IF(OR($G1961="",Sync!$Z1957=""),"",Sync!$Z1957)</f>
        <v/>
      </c>
      <c r="K1961">
        <f>IF($G1961="",0,IF(Sync!$AA1957="",0,Sync!$AA1957))</f>
        <v/>
      </c>
      <c r="L1961">
        <f>IF($G1961="",0,IF(Sync!$AB1957="",0,Sync!$AB1957))</f>
        <v/>
      </c>
      <c r="M1961">
        <f>IF($G1961="","",IF($H1961="مرجوعی فروش",-1,1)*($K1961-$L1961*IFERROR(VLOOKUP("P01",ParamTbl,3,0),1.5)))</f>
        <v/>
      </c>
      <c r="N1961">
        <f>IF($G1961="",0,IF($H1961="مرجوعی فروش",-1,1)*IF(Sync!$AC1957="",0,Sync!$AC1957))</f>
        <v/>
      </c>
      <c r="O1961">
        <f>IF(OR($G1961="",Sync!$V1957=""),"",Sync!$V1957)</f>
        <v/>
      </c>
      <c r="P1961">
        <f>IF(OR($G1961="",Sync!$AD1957=""),"",Sync!$AD1957)</f>
        <v/>
      </c>
      <c r="Q1961">
        <f>IF($G1961="","",IF(Sync!$U1957="","0000",IF(AND(ISNUMBER(Sync!$U1957),Sync!$U1957&gt;=0,Sync!$U1957&lt;1),RIGHT("00"&amp;HOUR(Sync!$U1957),2)&amp;RIGHT("00"&amp;MINUTE(Sync!$U1957),2),IFERROR(RIGHT("00"&amp;VALUE(LEFT(Sync!$U1957,FIND(":",Sync!$U1957)-1)),2)&amp;RIGHT("00"&amp;VALUE(MID(Sync!$U1957,FIND(":",Sync!$U1957)+1,2)),2),"0000"))))</f>
        <v/>
      </c>
    </row>
    <row r="1962">
      <c r="A1962">
        <f>IF(Sync!$T1958="","",Sync!$T1958)</f>
        <v/>
      </c>
      <c r="B1962">
        <f>IF($A1962="","",IF(ISNUMBER($A1962),IF(AND($A1962&gt;=10000101,$A1962&lt;=99991231),INT($A1962/10000),""),IFERROR(VALUE(TRIM(LEFT($A1962,FIND("/",$A1962)-1))),"")))</f>
        <v/>
      </c>
      <c r="C1962">
        <f>IF(OR($A1962="",$B1962=""),"",IF(ISNUMBER($A1962),INT(MOD($A1962,10000)/100),IFERROR(VALUE(TRIM(LEFT(MID($A1962,FIND("/",$A1962)+1,20),FIND("/",MID($A1962,FIND("/",$A1962)+1,20))-1))),"")))</f>
        <v/>
      </c>
      <c r="D1962">
        <f>IF(OR($A1962="",$B1962=""),"",IF(ISNUMBER($A1962),MOD($A1962,100),IFERROR(VALUE(TRIM(MID(MID($A1962,FIND("/",$A1962)+1,20),FIND("/",MID($A1962,FIND("/",$A1962)+1,20))+1,20))),"")))</f>
        <v/>
      </c>
      <c r="E1962">
        <f>IF($A1962="","",IF(OR($B1962="",$C1962="",$D1962="",$B1962&lt;1300,$B1962&gt;1500,$C1962&lt;1,$C1962&gt;12,$D1962&lt;1,$D1962&gt;31),"نامعتبر",RIGHT("0000"&amp;$B1962,4)&amp;"/"&amp;RIGHT("00"&amp;$C1962,2)&amp;"/"&amp;RIGHT("00"&amp;$D1962,2)))</f>
        <v/>
      </c>
      <c r="F1962">
        <f>IF(OR($E1962="",$E1962="نامعتبر"),"",LEFT($E1962,4)&amp;"/"&amp;MID($E1962,6,2))</f>
        <v/>
      </c>
      <c r="G1962">
        <f>IF(OR($E1962="",$E1962="نامعتبر",Sync!$X1958=""),"",IF(AND(LEFT(UPPER(TRIM(Sync!$X1958)),2)="SL",IFERROR(VLOOKUP(Sync!$W1958,OpTbl,3,0),"")="فروش"),UPPER(TRIM(Sync!$X1958)),""))</f>
        <v/>
      </c>
      <c r="H1962">
        <f>IF($G1962="","",IF(Sync!$W1958="","",Sync!$W1958))</f>
        <v/>
      </c>
      <c r="I1962">
        <f>IF(OR($G1962="",Sync!$Y1958=""),"",Sync!$Y1958)</f>
        <v/>
      </c>
      <c r="J1962">
        <f>IF(OR($G1962="",Sync!$Z1958=""),"",Sync!$Z1958)</f>
        <v/>
      </c>
      <c r="K1962">
        <f>IF($G1962="",0,IF(Sync!$AA1958="",0,Sync!$AA1958))</f>
        <v/>
      </c>
      <c r="L1962">
        <f>IF($G1962="",0,IF(Sync!$AB1958="",0,Sync!$AB1958))</f>
        <v/>
      </c>
      <c r="M1962">
        <f>IF($G1962="","",IF($H1962="مرجوعی فروش",-1,1)*($K1962-$L1962*IFERROR(VLOOKUP("P01",ParamTbl,3,0),1.5)))</f>
        <v/>
      </c>
      <c r="N1962">
        <f>IF($G1962="",0,IF($H1962="مرجوعی فروش",-1,1)*IF(Sync!$AC1958="",0,Sync!$AC1958))</f>
        <v/>
      </c>
      <c r="O1962">
        <f>IF(OR($G1962="",Sync!$V1958=""),"",Sync!$V1958)</f>
        <v/>
      </c>
      <c r="P1962">
        <f>IF(OR($G1962="",Sync!$AD1958=""),"",Sync!$AD1958)</f>
        <v/>
      </c>
      <c r="Q1962">
        <f>IF($G1962="","",IF(Sync!$U1958="","0000",IF(AND(ISNUMBER(Sync!$U1958),Sync!$U1958&gt;=0,Sync!$U1958&lt;1),RIGHT("00"&amp;HOUR(Sync!$U1958),2)&amp;RIGHT("00"&amp;MINUTE(Sync!$U1958),2),IFERROR(RIGHT("00"&amp;VALUE(LEFT(Sync!$U1958,FIND(":",Sync!$U1958)-1)),2)&amp;RIGHT("00"&amp;VALUE(MID(Sync!$U1958,FIND(":",Sync!$U1958)+1,2)),2),"0000"))))</f>
        <v/>
      </c>
    </row>
    <row r="1963">
      <c r="A1963">
        <f>IF(Sync!$T1959="","",Sync!$T1959)</f>
        <v/>
      </c>
      <c r="B1963">
        <f>IF($A1963="","",IF(ISNUMBER($A1963),IF(AND($A1963&gt;=10000101,$A1963&lt;=99991231),INT($A1963/10000),""),IFERROR(VALUE(TRIM(LEFT($A1963,FIND("/",$A1963)-1))),"")))</f>
        <v/>
      </c>
      <c r="C1963">
        <f>IF(OR($A1963="",$B1963=""),"",IF(ISNUMBER($A1963),INT(MOD($A1963,10000)/100),IFERROR(VALUE(TRIM(LEFT(MID($A1963,FIND("/",$A1963)+1,20),FIND("/",MID($A1963,FIND("/",$A1963)+1,20))-1))),"")))</f>
        <v/>
      </c>
      <c r="D1963">
        <f>IF(OR($A1963="",$B1963=""),"",IF(ISNUMBER($A1963),MOD($A1963,100),IFERROR(VALUE(TRIM(MID(MID($A1963,FIND("/",$A1963)+1,20),FIND("/",MID($A1963,FIND("/",$A1963)+1,20))+1,20))),"")))</f>
        <v/>
      </c>
      <c r="E1963">
        <f>IF($A1963="","",IF(OR($B1963="",$C1963="",$D1963="",$B1963&lt;1300,$B1963&gt;1500,$C1963&lt;1,$C1963&gt;12,$D1963&lt;1,$D1963&gt;31),"نامعتبر",RIGHT("0000"&amp;$B1963,4)&amp;"/"&amp;RIGHT("00"&amp;$C1963,2)&amp;"/"&amp;RIGHT("00"&amp;$D1963,2)))</f>
        <v/>
      </c>
      <c r="F1963">
        <f>IF(OR($E1963="",$E1963="نامعتبر"),"",LEFT($E1963,4)&amp;"/"&amp;MID($E1963,6,2))</f>
        <v/>
      </c>
      <c r="G1963">
        <f>IF(OR($E1963="",$E1963="نامعتبر",Sync!$X1959=""),"",IF(AND(LEFT(UPPER(TRIM(Sync!$X1959)),2)="SL",IFERROR(VLOOKUP(Sync!$W1959,OpTbl,3,0),"")="فروش"),UPPER(TRIM(Sync!$X1959)),""))</f>
        <v/>
      </c>
      <c r="H1963">
        <f>IF($G1963="","",IF(Sync!$W1959="","",Sync!$W1959))</f>
        <v/>
      </c>
      <c r="I1963">
        <f>IF(OR($G1963="",Sync!$Y1959=""),"",Sync!$Y1959)</f>
        <v/>
      </c>
      <c r="J1963">
        <f>IF(OR($G1963="",Sync!$Z1959=""),"",Sync!$Z1959)</f>
        <v/>
      </c>
      <c r="K1963">
        <f>IF($G1963="",0,IF(Sync!$AA1959="",0,Sync!$AA1959))</f>
        <v/>
      </c>
      <c r="L1963">
        <f>IF($G1963="",0,IF(Sync!$AB1959="",0,Sync!$AB1959))</f>
        <v/>
      </c>
      <c r="M1963">
        <f>IF($G1963="","",IF($H1963="مرجوعی فروش",-1,1)*($K1963-$L1963*IFERROR(VLOOKUP("P01",ParamTbl,3,0),1.5)))</f>
        <v/>
      </c>
      <c r="N1963">
        <f>IF($G1963="",0,IF($H1963="مرجوعی فروش",-1,1)*IF(Sync!$AC1959="",0,Sync!$AC1959))</f>
        <v/>
      </c>
      <c r="O1963">
        <f>IF(OR($G1963="",Sync!$V1959=""),"",Sync!$V1959)</f>
        <v/>
      </c>
      <c r="P1963">
        <f>IF(OR($G1963="",Sync!$AD1959=""),"",Sync!$AD1959)</f>
        <v/>
      </c>
      <c r="Q1963">
        <f>IF($G1963="","",IF(Sync!$U1959="","0000",IF(AND(ISNUMBER(Sync!$U1959),Sync!$U1959&gt;=0,Sync!$U1959&lt;1),RIGHT("00"&amp;HOUR(Sync!$U1959),2)&amp;RIGHT("00"&amp;MINUTE(Sync!$U1959),2),IFERROR(RIGHT("00"&amp;VALUE(LEFT(Sync!$U1959,FIND(":",Sync!$U1959)-1)),2)&amp;RIGHT("00"&amp;VALUE(MID(Sync!$U1959,FIND(":",Sync!$U1959)+1,2)),2),"0000"))))</f>
        <v/>
      </c>
    </row>
    <row r="1964">
      <c r="A1964">
        <f>IF(Sync!$T1960="","",Sync!$T1960)</f>
        <v/>
      </c>
      <c r="B1964">
        <f>IF($A1964="","",IF(ISNUMBER($A1964),IF(AND($A1964&gt;=10000101,$A1964&lt;=99991231),INT($A1964/10000),""),IFERROR(VALUE(TRIM(LEFT($A1964,FIND("/",$A1964)-1))),"")))</f>
        <v/>
      </c>
      <c r="C1964">
        <f>IF(OR($A1964="",$B1964=""),"",IF(ISNUMBER($A1964),INT(MOD($A1964,10000)/100),IFERROR(VALUE(TRIM(LEFT(MID($A1964,FIND("/",$A1964)+1,20),FIND("/",MID($A1964,FIND("/",$A1964)+1,20))-1))),"")))</f>
        <v/>
      </c>
      <c r="D1964">
        <f>IF(OR($A1964="",$B1964=""),"",IF(ISNUMBER($A1964),MOD($A1964,100),IFERROR(VALUE(TRIM(MID(MID($A1964,FIND("/",$A1964)+1,20),FIND("/",MID($A1964,FIND("/",$A1964)+1,20))+1,20))),"")))</f>
        <v/>
      </c>
      <c r="E1964">
        <f>IF($A1964="","",IF(OR($B1964="",$C1964="",$D1964="",$B1964&lt;1300,$B1964&gt;1500,$C1964&lt;1,$C1964&gt;12,$D1964&lt;1,$D1964&gt;31),"نامعتبر",RIGHT("0000"&amp;$B1964,4)&amp;"/"&amp;RIGHT("00"&amp;$C1964,2)&amp;"/"&amp;RIGHT("00"&amp;$D1964,2)))</f>
        <v/>
      </c>
      <c r="F1964">
        <f>IF(OR($E1964="",$E1964="نامعتبر"),"",LEFT($E1964,4)&amp;"/"&amp;MID($E1964,6,2))</f>
        <v/>
      </c>
      <c r="G1964">
        <f>IF(OR($E1964="",$E1964="نامعتبر",Sync!$X1960=""),"",IF(AND(LEFT(UPPER(TRIM(Sync!$X1960)),2)="SL",IFERROR(VLOOKUP(Sync!$W1960,OpTbl,3,0),"")="فروش"),UPPER(TRIM(Sync!$X1960)),""))</f>
        <v/>
      </c>
      <c r="H1964">
        <f>IF($G1964="","",IF(Sync!$W1960="","",Sync!$W1960))</f>
        <v/>
      </c>
      <c r="I1964">
        <f>IF(OR($G1964="",Sync!$Y1960=""),"",Sync!$Y1960)</f>
        <v/>
      </c>
      <c r="J1964">
        <f>IF(OR($G1964="",Sync!$Z1960=""),"",Sync!$Z1960)</f>
        <v/>
      </c>
      <c r="K1964">
        <f>IF($G1964="",0,IF(Sync!$AA1960="",0,Sync!$AA1960))</f>
        <v/>
      </c>
      <c r="L1964">
        <f>IF($G1964="",0,IF(Sync!$AB1960="",0,Sync!$AB1960))</f>
        <v/>
      </c>
      <c r="M1964">
        <f>IF($G1964="","",IF($H1964="مرجوعی فروش",-1,1)*($K1964-$L1964*IFERROR(VLOOKUP("P01",ParamTbl,3,0),1.5)))</f>
        <v/>
      </c>
      <c r="N1964">
        <f>IF($G1964="",0,IF($H1964="مرجوعی فروش",-1,1)*IF(Sync!$AC1960="",0,Sync!$AC1960))</f>
        <v/>
      </c>
      <c r="O1964">
        <f>IF(OR($G1964="",Sync!$V1960=""),"",Sync!$V1960)</f>
        <v/>
      </c>
      <c r="P1964">
        <f>IF(OR($G1964="",Sync!$AD1960=""),"",Sync!$AD1960)</f>
        <v/>
      </c>
      <c r="Q1964">
        <f>IF($G1964="","",IF(Sync!$U1960="","0000",IF(AND(ISNUMBER(Sync!$U1960),Sync!$U1960&gt;=0,Sync!$U1960&lt;1),RIGHT("00"&amp;HOUR(Sync!$U1960),2)&amp;RIGHT("00"&amp;MINUTE(Sync!$U1960),2),IFERROR(RIGHT("00"&amp;VALUE(LEFT(Sync!$U1960,FIND(":",Sync!$U1960)-1)),2)&amp;RIGHT("00"&amp;VALUE(MID(Sync!$U1960,FIND(":",Sync!$U1960)+1,2)),2),"0000"))))</f>
        <v/>
      </c>
    </row>
    <row r="1965">
      <c r="A1965">
        <f>IF(Sync!$T1961="","",Sync!$T1961)</f>
        <v/>
      </c>
      <c r="B1965">
        <f>IF($A1965="","",IF(ISNUMBER($A1965),IF(AND($A1965&gt;=10000101,$A1965&lt;=99991231),INT($A1965/10000),""),IFERROR(VALUE(TRIM(LEFT($A1965,FIND("/",$A1965)-1))),"")))</f>
        <v/>
      </c>
      <c r="C1965">
        <f>IF(OR($A1965="",$B1965=""),"",IF(ISNUMBER($A1965),INT(MOD($A1965,10000)/100),IFERROR(VALUE(TRIM(LEFT(MID($A1965,FIND("/",$A1965)+1,20),FIND("/",MID($A1965,FIND("/",$A1965)+1,20))-1))),"")))</f>
        <v/>
      </c>
      <c r="D1965">
        <f>IF(OR($A1965="",$B1965=""),"",IF(ISNUMBER($A1965),MOD($A1965,100),IFERROR(VALUE(TRIM(MID(MID($A1965,FIND("/",$A1965)+1,20),FIND("/",MID($A1965,FIND("/",$A1965)+1,20))+1,20))),"")))</f>
        <v/>
      </c>
      <c r="E1965">
        <f>IF($A1965="","",IF(OR($B1965="",$C1965="",$D1965="",$B1965&lt;1300,$B1965&gt;1500,$C1965&lt;1,$C1965&gt;12,$D1965&lt;1,$D1965&gt;31),"نامعتبر",RIGHT("0000"&amp;$B1965,4)&amp;"/"&amp;RIGHT("00"&amp;$C1965,2)&amp;"/"&amp;RIGHT("00"&amp;$D1965,2)))</f>
        <v/>
      </c>
      <c r="F1965">
        <f>IF(OR($E1965="",$E1965="نامعتبر"),"",LEFT($E1965,4)&amp;"/"&amp;MID($E1965,6,2))</f>
        <v/>
      </c>
      <c r="G1965">
        <f>IF(OR($E1965="",$E1965="نامعتبر",Sync!$X1961=""),"",IF(AND(LEFT(UPPER(TRIM(Sync!$X1961)),2)="SL",IFERROR(VLOOKUP(Sync!$W1961,OpTbl,3,0),"")="فروش"),UPPER(TRIM(Sync!$X1961)),""))</f>
        <v/>
      </c>
      <c r="H1965">
        <f>IF($G1965="","",IF(Sync!$W1961="","",Sync!$W1961))</f>
        <v/>
      </c>
      <c r="I1965">
        <f>IF(OR($G1965="",Sync!$Y1961=""),"",Sync!$Y1961)</f>
        <v/>
      </c>
      <c r="J1965">
        <f>IF(OR($G1965="",Sync!$Z1961=""),"",Sync!$Z1961)</f>
        <v/>
      </c>
      <c r="K1965">
        <f>IF($G1965="",0,IF(Sync!$AA1961="",0,Sync!$AA1961))</f>
        <v/>
      </c>
      <c r="L1965">
        <f>IF($G1965="",0,IF(Sync!$AB1961="",0,Sync!$AB1961))</f>
        <v/>
      </c>
      <c r="M1965">
        <f>IF($G1965="","",IF($H1965="مرجوعی فروش",-1,1)*($K1965-$L1965*IFERROR(VLOOKUP("P01",ParamTbl,3,0),1.5)))</f>
        <v/>
      </c>
      <c r="N1965">
        <f>IF($G1965="",0,IF($H1965="مرجوعی فروش",-1,1)*IF(Sync!$AC1961="",0,Sync!$AC1961))</f>
        <v/>
      </c>
      <c r="O1965">
        <f>IF(OR($G1965="",Sync!$V1961=""),"",Sync!$V1961)</f>
        <v/>
      </c>
      <c r="P1965">
        <f>IF(OR($G1965="",Sync!$AD1961=""),"",Sync!$AD1961)</f>
        <v/>
      </c>
      <c r="Q1965">
        <f>IF($G1965="","",IF(Sync!$U1961="","0000",IF(AND(ISNUMBER(Sync!$U1961),Sync!$U1961&gt;=0,Sync!$U1961&lt;1),RIGHT("00"&amp;HOUR(Sync!$U1961),2)&amp;RIGHT("00"&amp;MINUTE(Sync!$U1961),2),IFERROR(RIGHT("00"&amp;VALUE(LEFT(Sync!$U1961,FIND(":",Sync!$U1961)-1)),2)&amp;RIGHT("00"&amp;VALUE(MID(Sync!$U1961,FIND(":",Sync!$U1961)+1,2)),2),"0000"))))</f>
        <v/>
      </c>
    </row>
    <row r="1966">
      <c r="A1966">
        <f>IF(Sync!$T1962="","",Sync!$T1962)</f>
        <v/>
      </c>
      <c r="B1966">
        <f>IF($A1966="","",IF(ISNUMBER($A1966),IF(AND($A1966&gt;=10000101,$A1966&lt;=99991231),INT($A1966/10000),""),IFERROR(VALUE(TRIM(LEFT($A1966,FIND("/",$A1966)-1))),"")))</f>
        <v/>
      </c>
      <c r="C1966">
        <f>IF(OR($A1966="",$B1966=""),"",IF(ISNUMBER($A1966),INT(MOD($A1966,10000)/100),IFERROR(VALUE(TRIM(LEFT(MID($A1966,FIND("/",$A1966)+1,20),FIND("/",MID($A1966,FIND("/",$A1966)+1,20))-1))),"")))</f>
        <v/>
      </c>
      <c r="D1966">
        <f>IF(OR($A1966="",$B1966=""),"",IF(ISNUMBER($A1966),MOD($A1966,100),IFERROR(VALUE(TRIM(MID(MID($A1966,FIND("/",$A1966)+1,20),FIND("/",MID($A1966,FIND("/",$A1966)+1,20))+1,20))),"")))</f>
        <v/>
      </c>
      <c r="E1966">
        <f>IF($A1966="","",IF(OR($B1966="",$C1966="",$D1966="",$B1966&lt;1300,$B1966&gt;1500,$C1966&lt;1,$C1966&gt;12,$D1966&lt;1,$D1966&gt;31),"نامعتبر",RIGHT("0000"&amp;$B1966,4)&amp;"/"&amp;RIGHT("00"&amp;$C1966,2)&amp;"/"&amp;RIGHT("00"&amp;$D1966,2)))</f>
        <v/>
      </c>
      <c r="F1966">
        <f>IF(OR($E1966="",$E1966="نامعتبر"),"",LEFT($E1966,4)&amp;"/"&amp;MID($E1966,6,2))</f>
        <v/>
      </c>
      <c r="G1966">
        <f>IF(OR($E1966="",$E1966="نامعتبر",Sync!$X1962=""),"",IF(AND(LEFT(UPPER(TRIM(Sync!$X1962)),2)="SL",IFERROR(VLOOKUP(Sync!$W1962,OpTbl,3,0),"")="فروش"),UPPER(TRIM(Sync!$X1962)),""))</f>
        <v/>
      </c>
      <c r="H1966">
        <f>IF($G1966="","",IF(Sync!$W1962="","",Sync!$W1962))</f>
        <v/>
      </c>
      <c r="I1966">
        <f>IF(OR($G1966="",Sync!$Y1962=""),"",Sync!$Y1962)</f>
        <v/>
      </c>
      <c r="J1966">
        <f>IF(OR($G1966="",Sync!$Z1962=""),"",Sync!$Z1962)</f>
        <v/>
      </c>
      <c r="K1966">
        <f>IF($G1966="",0,IF(Sync!$AA1962="",0,Sync!$AA1962))</f>
        <v/>
      </c>
      <c r="L1966">
        <f>IF($G1966="",0,IF(Sync!$AB1962="",0,Sync!$AB1962))</f>
        <v/>
      </c>
      <c r="M1966">
        <f>IF($G1966="","",IF($H1966="مرجوعی فروش",-1,1)*($K1966-$L1966*IFERROR(VLOOKUP("P01",ParamTbl,3,0),1.5)))</f>
        <v/>
      </c>
      <c r="N1966">
        <f>IF($G1966="",0,IF($H1966="مرجوعی فروش",-1,1)*IF(Sync!$AC1962="",0,Sync!$AC1962))</f>
        <v/>
      </c>
      <c r="O1966">
        <f>IF(OR($G1966="",Sync!$V1962=""),"",Sync!$V1962)</f>
        <v/>
      </c>
      <c r="P1966">
        <f>IF(OR($G1966="",Sync!$AD1962=""),"",Sync!$AD1962)</f>
        <v/>
      </c>
      <c r="Q1966">
        <f>IF($G1966="","",IF(Sync!$U1962="","0000",IF(AND(ISNUMBER(Sync!$U1962),Sync!$U1962&gt;=0,Sync!$U1962&lt;1),RIGHT("00"&amp;HOUR(Sync!$U1962),2)&amp;RIGHT("00"&amp;MINUTE(Sync!$U1962),2),IFERROR(RIGHT("00"&amp;VALUE(LEFT(Sync!$U1962,FIND(":",Sync!$U1962)-1)),2)&amp;RIGHT("00"&amp;VALUE(MID(Sync!$U1962,FIND(":",Sync!$U1962)+1,2)),2),"0000"))))</f>
        <v/>
      </c>
    </row>
    <row r="1967">
      <c r="A1967">
        <f>IF(Sync!$T1963="","",Sync!$T1963)</f>
        <v/>
      </c>
      <c r="B1967">
        <f>IF($A1967="","",IF(ISNUMBER($A1967),IF(AND($A1967&gt;=10000101,$A1967&lt;=99991231),INT($A1967/10000),""),IFERROR(VALUE(TRIM(LEFT($A1967,FIND("/",$A1967)-1))),"")))</f>
        <v/>
      </c>
      <c r="C1967">
        <f>IF(OR($A1967="",$B1967=""),"",IF(ISNUMBER($A1967),INT(MOD($A1967,10000)/100),IFERROR(VALUE(TRIM(LEFT(MID($A1967,FIND("/",$A1967)+1,20),FIND("/",MID($A1967,FIND("/",$A1967)+1,20))-1))),"")))</f>
        <v/>
      </c>
      <c r="D1967">
        <f>IF(OR($A1967="",$B1967=""),"",IF(ISNUMBER($A1967),MOD($A1967,100),IFERROR(VALUE(TRIM(MID(MID($A1967,FIND("/",$A1967)+1,20),FIND("/",MID($A1967,FIND("/",$A1967)+1,20))+1,20))),"")))</f>
        <v/>
      </c>
      <c r="E1967">
        <f>IF($A1967="","",IF(OR($B1967="",$C1967="",$D1967="",$B1967&lt;1300,$B1967&gt;1500,$C1967&lt;1,$C1967&gt;12,$D1967&lt;1,$D1967&gt;31),"نامعتبر",RIGHT("0000"&amp;$B1967,4)&amp;"/"&amp;RIGHT("00"&amp;$C1967,2)&amp;"/"&amp;RIGHT("00"&amp;$D1967,2)))</f>
        <v/>
      </c>
      <c r="F1967">
        <f>IF(OR($E1967="",$E1967="نامعتبر"),"",LEFT($E1967,4)&amp;"/"&amp;MID($E1967,6,2))</f>
        <v/>
      </c>
      <c r="G1967">
        <f>IF(OR($E1967="",$E1967="نامعتبر",Sync!$X1963=""),"",IF(AND(LEFT(UPPER(TRIM(Sync!$X1963)),2)="SL",IFERROR(VLOOKUP(Sync!$W1963,OpTbl,3,0),"")="فروش"),UPPER(TRIM(Sync!$X1963)),""))</f>
        <v/>
      </c>
      <c r="H1967">
        <f>IF($G1967="","",IF(Sync!$W1963="","",Sync!$W1963))</f>
        <v/>
      </c>
      <c r="I1967">
        <f>IF(OR($G1967="",Sync!$Y1963=""),"",Sync!$Y1963)</f>
        <v/>
      </c>
      <c r="J1967">
        <f>IF(OR($G1967="",Sync!$Z1963=""),"",Sync!$Z1963)</f>
        <v/>
      </c>
      <c r="K1967">
        <f>IF($G1967="",0,IF(Sync!$AA1963="",0,Sync!$AA1963))</f>
        <v/>
      </c>
      <c r="L1967">
        <f>IF($G1967="",0,IF(Sync!$AB1963="",0,Sync!$AB1963))</f>
        <v/>
      </c>
      <c r="M1967">
        <f>IF($G1967="","",IF($H1967="مرجوعی فروش",-1,1)*($K1967-$L1967*IFERROR(VLOOKUP("P01",ParamTbl,3,0),1.5)))</f>
        <v/>
      </c>
      <c r="N1967">
        <f>IF($G1967="",0,IF($H1967="مرجوعی فروش",-1,1)*IF(Sync!$AC1963="",0,Sync!$AC1963))</f>
        <v/>
      </c>
      <c r="O1967">
        <f>IF(OR($G1967="",Sync!$V1963=""),"",Sync!$V1963)</f>
        <v/>
      </c>
      <c r="P1967">
        <f>IF(OR($G1967="",Sync!$AD1963=""),"",Sync!$AD1963)</f>
        <v/>
      </c>
      <c r="Q1967">
        <f>IF($G1967="","",IF(Sync!$U1963="","0000",IF(AND(ISNUMBER(Sync!$U1963),Sync!$U1963&gt;=0,Sync!$U1963&lt;1),RIGHT("00"&amp;HOUR(Sync!$U1963),2)&amp;RIGHT("00"&amp;MINUTE(Sync!$U1963),2),IFERROR(RIGHT("00"&amp;VALUE(LEFT(Sync!$U1963,FIND(":",Sync!$U1963)-1)),2)&amp;RIGHT("00"&amp;VALUE(MID(Sync!$U1963,FIND(":",Sync!$U1963)+1,2)),2),"0000"))))</f>
        <v/>
      </c>
    </row>
    <row r="1968">
      <c r="A1968">
        <f>IF(Sync!$T1964="","",Sync!$T1964)</f>
        <v/>
      </c>
      <c r="B1968">
        <f>IF($A1968="","",IF(ISNUMBER($A1968),IF(AND($A1968&gt;=10000101,$A1968&lt;=99991231),INT($A1968/10000),""),IFERROR(VALUE(TRIM(LEFT($A1968,FIND("/",$A1968)-1))),"")))</f>
        <v/>
      </c>
      <c r="C1968">
        <f>IF(OR($A1968="",$B1968=""),"",IF(ISNUMBER($A1968),INT(MOD($A1968,10000)/100),IFERROR(VALUE(TRIM(LEFT(MID($A1968,FIND("/",$A1968)+1,20),FIND("/",MID($A1968,FIND("/",$A1968)+1,20))-1))),"")))</f>
        <v/>
      </c>
      <c r="D1968">
        <f>IF(OR($A1968="",$B1968=""),"",IF(ISNUMBER($A1968),MOD($A1968,100),IFERROR(VALUE(TRIM(MID(MID($A1968,FIND("/",$A1968)+1,20),FIND("/",MID($A1968,FIND("/",$A1968)+1,20))+1,20))),"")))</f>
        <v/>
      </c>
      <c r="E1968">
        <f>IF($A1968="","",IF(OR($B1968="",$C1968="",$D1968="",$B1968&lt;1300,$B1968&gt;1500,$C1968&lt;1,$C1968&gt;12,$D1968&lt;1,$D1968&gt;31),"نامعتبر",RIGHT("0000"&amp;$B1968,4)&amp;"/"&amp;RIGHT("00"&amp;$C1968,2)&amp;"/"&amp;RIGHT("00"&amp;$D1968,2)))</f>
        <v/>
      </c>
      <c r="F1968">
        <f>IF(OR($E1968="",$E1968="نامعتبر"),"",LEFT($E1968,4)&amp;"/"&amp;MID($E1968,6,2))</f>
        <v/>
      </c>
      <c r="G1968">
        <f>IF(OR($E1968="",$E1968="نامعتبر",Sync!$X1964=""),"",IF(AND(LEFT(UPPER(TRIM(Sync!$X1964)),2)="SL",IFERROR(VLOOKUP(Sync!$W1964,OpTbl,3,0),"")="فروش"),UPPER(TRIM(Sync!$X1964)),""))</f>
        <v/>
      </c>
      <c r="H1968">
        <f>IF($G1968="","",IF(Sync!$W1964="","",Sync!$W1964))</f>
        <v/>
      </c>
      <c r="I1968">
        <f>IF(OR($G1968="",Sync!$Y1964=""),"",Sync!$Y1964)</f>
        <v/>
      </c>
      <c r="J1968">
        <f>IF(OR($G1968="",Sync!$Z1964=""),"",Sync!$Z1964)</f>
        <v/>
      </c>
      <c r="K1968">
        <f>IF($G1968="",0,IF(Sync!$AA1964="",0,Sync!$AA1964))</f>
        <v/>
      </c>
      <c r="L1968">
        <f>IF($G1968="",0,IF(Sync!$AB1964="",0,Sync!$AB1964))</f>
        <v/>
      </c>
      <c r="M1968">
        <f>IF($G1968="","",IF($H1968="مرجوعی فروش",-1,1)*($K1968-$L1968*IFERROR(VLOOKUP("P01",ParamTbl,3,0),1.5)))</f>
        <v/>
      </c>
      <c r="N1968">
        <f>IF($G1968="",0,IF($H1968="مرجوعی فروش",-1,1)*IF(Sync!$AC1964="",0,Sync!$AC1964))</f>
        <v/>
      </c>
      <c r="O1968">
        <f>IF(OR($G1968="",Sync!$V1964=""),"",Sync!$V1964)</f>
        <v/>
      </c>
      <c r="P1968">
        <f>IF(OR($G1968="",Sync!$AD1964=""),"",Sync!$AD1964)</f>
        <v/>
      </c>
      <c r="Q1968">
        <f>IF($G1968="","",IF(Sync!$U1964="","0000",IF(AND(ISNUMBER(Sync!$U1964),Sync!$U1964&gt;=0,Sync!$U1964&lt;1),RIGHT("00"&amp;HOUR(Sync!$U1964),2)&amp;RIGHT("00"&amp;MINUTE(Sync!$U1964),2),IFERROR(RIGHT("00"&amp;VALUE(LEFT(Sync!$U1964,FIND(":",Sync!$U1964)-1)),2)&amp;RIGHT("00"&amp;VALUE(MID(Sync!$U1964,FIND(":",Sync!$U1964)+1,2)),2),"0000"))))</f>
        <v/>
      </c>
    </row>
    <row r="1969">
      <c r="A1969">
        <f>IF(Sync!$T1965="","",Sync!$T1965)</f>
        <v/>
      </c>
      <c r="B1969">
        <f>IF($A1969="","",IF(ISNUMBER($A1969),IF(AND($A1969&gt;=10000101,$A1969&lt;=99991231),INT($A1969/10000),""),IFERROR(VALUE(TRIM(LEFT($A1969,FIND("/",$A1969)-1))),"")))</f>
        <v/>
      </c>
      <c r="C1969">
        <f>IF(OR($A1969="",$B1969=""),"",IF(ISNUMBER($A1969),INT(MOD($A1969,10000)/100),IFERROR(VALUE(TRIM(LEFT(MID($A1969,FIND("/",$A1969)+1,20),FIND("/",MID($A1969,FIND("/",$A1969)+1,20))-1))),"")))</f>
        <v/>
      </c>
      <c r="D1969">
        <f>IF(OR($A1969="",$B1969=""),"",IF(ISNUMBER($A1969),MOD($A1969,100),IFERROR(VALUE(TRIM(MID(MID($A1969,FIND("/",$A1969)+1,20),FIND("/",MID($A1969,FIND("/",$A1969)+1,20))+1,20))),"")))</f>
        <v/>
      </c>
      <c r="E1969">
        <f>IF($A1969="","",IF(OR($B1969="",$C1969="",$D1969="",$B1969&lt;1300,$B1969&gt;1500,$C1969&lt;1,$C1969&gt;12,$D1969&lt;1,$D1969&gt;31),"نامعتبر",RIGHT("0000"&amp;$B1969,4)&amp;"/"&amp;RIGHT("00"&amp;$C1969,2)&amp;"/"&amp;RIGHT("00"&amp;$D1969,2)))</f>
        <v/>
      </c>
      <c r="F1969">
        <f>IF(OR($E1969="",$E1969="نامعتبر"),"",LEFT($E1969,4)&amp;"/"&amp;MID($E1969,6,2))</f>
        <v/>
      </c>
      <c r="G1969">
        <f>IF(OR($E1969="",$E1969="نامعتبر",Sync!$X1965=""),"",IF(AND(LEFT(UPPER(TRIM(Sync!$X1965)),2)="SL",IFERROR(VLOOKUP(Sync!$W1965,OpTbl,3,0),"")="فروش"),UPPER(TRIM(Sync!$X1965)),""))</f>
        <v/>
      </c>
      <c r="H1969">
        <f>IF($G1969="","",IF(Sync!$W1965="","",Sync!$W1965))</f>
        <v/>
      </c>
      <c r="I1969">
        <f>IF(OR($G1969="",Sync!$Y1965=""),"",Sync!$Y1965)</f>
        <v/>
      </c>
      <c r="J1969">
        <f>IF(OR($G1969="",Sync!$Z1965=""),"",Sync!$Z1965)</f>
        <v/>
      </c>
      <c r="K1969">
        <f>IF($G1969="",0,IF(Sync!$AA1965="",0,Sync!$AA1965))</f>
        <v/>
      </c>
      <c r="L1969">
        <f>IF($G1969="",0,IF(Sync!$AB1965="",0,Sync!$AB1965))</f>
        <v/>
      </c>
      <c r="M1969">
        <f>IF($G1969="","",IF($H1969="مرجوعی فروش",-1,1)*($K1969-$L1969*IFERROR(VLOOKUP("P01",ParamTbl,3,0),1.5)))</f>
        <v/>
      </c>
      <c r="N1969">
        <f>IF($G1969="",0,IF($H1969="مرجوعی فروش",-1,1)*IF(Sync!$AC1965="",0,Sync!$AC1965))</f>
        <v/>
      </c>
      <c r="O1969">
        <f>IF(OR($G1969="",Sync!$V1965=""),"",Sync!$V1965)</f>
        <v/>
      </c>
      <c r="P1969">
        <f>IF(OR($G1969="",Sync!$AD1965=""),"",Sync!$AD1965)</f>
        <v/>
      </c>
      <c r="Q1969">
        <f>IF($G1969="","",IF(Sync!$U1965="","0000",IF(AND(ISNUMBER(Sync!$U1965),Sync!$U1965&gt;=0,Sync!$U1965&lt;1),RIGHT("00"&amp;HOUR(Sync!$U1965),2)&amp;RIGHT("00"&amp;MINUTE(Sync!$U1965),2),IFERROR(RIGHT("00"&amp;VALUE(LEFT(Sync!$U1965,FIND(":",Sync!$U1965)-1)),2)&amp;RIGHT("00"&amp;VALUE(MID(Sync!$U1965,FIND(":",Sync!$U1965)+1,2)),2),"0000"))))</f>
        <v/>
      </c>
    </row>
    <row r="1970">
      <c r="A1970">
        <f>IF(Sync!$T1966="","",Sync!$T1966)</f>
        <v/>
      </c>
      <c r="B1970">
        <f>IF($A1970="","",IF(ISNUMBER($A1970),IF(AND($A1970&gt;=10000101,$A1970&lt;=99991231),INT($A1970/10000),""),IFERROR(VALUE(TRIM(LEFT($A1970,FIND("/",$A1970)-1))),"")))</f>
        <v/>
      </c>
      <c r="C1970">
        <f>IF(OR($A1970="",$B1970=""),"",IF(ISNUMBER($A1970),INT(MOD($A1970,10000)/100),IFERROR(VALUE(TRIM(LEFT(MID($A1970,FIND("/",$A1970)+1,20),FIND("/",MID($A1970,FIND("/",$A1970)+1,20))-1))),"")))</f>
        <v/>
      </c>
      <c r="D1970">
        <f>IF(OR($A1970="",$B1970=""),"",IF(ISNUMBER($A1970),MOD($A1970,100),IFERROR(VALUE(TRIM(MID(MID($A1970,FIND("/",$A1970)+1,20),FIND("/",MID($A1970,FIND("/",$A1970)+1,20))+1,20))),"")))</f>
        <v/>
      </c>
      <c r="E1970">
        <f>IF($A1970="","",IF(OR($B1970="",$C1970="",$D1970="",$B1970&lt;1300,$B1970&gt;1500,$C1970&lt;1,$C1970&gt;12,$D1970&lt;1,$D1970&gt;31),"نامعتبر",RIGHT("0000"&amp;$B1970,4)&amp;"/"&amp;RIGHT("00"&amp;$C1970,2)&amp;"/"&amp;RIGHT("00"&amp;$D1970,2)))</f>
        <v/>
      </c>
      <c r="F1970">
        <f>IF(OR($E1970="",$E1970="نامعتبر"),"",LEFT($E1970,4)&amp;"/"&amp;MID($E1970,6,2))</f>
        <v/>
      </c>
      <c r="G1970">
        <f>IF(OR($E1970="",$E1970="نامعتبر",Sync!$X1966=""),"",IF(AND(LEFT(UPPER(TRIM(Sync!$X1966)),2)="SL",IFERROR(VLOOKUP(Sync!$W1966,OpTbl,3,0),"")="فروش"),UPPER(TRIM(Sync!$X1966)),""))</f>
        <v/>
      </c>
      <c r="H1970">
        <f>IF($G1970="","",IF(Sync!$W1966="","",Sync!$W1966))</f>
        <v/>
      </c>
      <c r="I1970">
        <f>IF(OR($G1970="",Sync!$Y1966=""),"",Sync!$Y1966)</f>
        <v/>
      </c>
      <c r="J1970">
        <f>IF(OR($G1970="",Sync!$Z1966=""),"",Sync!$Z1966)</f>
        <v/>
      </c>
      <c r="K1970">
        <f>IF($G1970="",0,IF(Sync!$AA1966="",0,Sync!$AA1966))</f>
        <v/>
      </c>
      <c r="L1970">
        <f>IF($G1970="",0,IF(Sync!$AB1966="",0,Sync!$AB1966))</f>
        <v/>
      </c>
      <c r="M1970">
        <f>IF($G1970="","",IF($H1970="مرجوعی فروش",-1,1)*($K1970-$L1970*IFERROR(VLOOKUP("P01",ParamTbl,3,0),1.5)))</f>
        <v/>
      </c>
      <c r="N1970">
        <f>IF($G1970="",0,IF($H1970="مرجوعی فروش",-1,1)*IF(Sync!$AC1966="",0,Sync!$AC1966))</f>
        <v/>
      </c>
      <c r="O1970">
        <f>IF(OR($G1970="",Sync!$V1966=""),"",Sync!$V1966)</f>
        <v/>
      </c>
      <c r="P1970">
        <f>IF(OR($G1970="",Sync!$AD1966=""),"",Sync!$AD1966)</f>
        <v/>
      </c>
      <c r="Q1970">
        <f>IF($G1970="","",IF(Sync!$U1966="","0000",IF(AND(ISNUMBER(Sync!$U1966),Sync!$U1966&gt;=0,Sync!$U1966&lt;1),RIGHT("00"&amp;HOUR(Sync!$U1966),2)&amp;RIGHT("00"&amp;MINUTE(Sync!$U1966),2),IFERROR(RIGHT("00"&amp;VALUE(LEFT(Sync!$U1966,FIND(":",Sync!$U1966)-1)),2)&amp;RIGHT("00"&amp;VALUE(MID(Sync!$U1966,FIND(":",Sync!$U1966)+1,2)),2),"0000"))))</f>
        <v/>
      </c>
    </row>
    <row r="1971">
      <c r="A1971">
        <f>IF(Sync!$T1967="","",Sync!$T1967)</f>
        <v/>
      </c>
      <c r="B1971">
        <f>IF($A1971="","",IF(ISNUMBER($A1971),IF(AND($A1971&gt;=10000101,$A1971&lt;=99991231),INT($A1971/10000),""),IFERROR(VALUE(TRIM(LEFT($A1971,FIND("/",$A1971)-1))),"")))</f>
        <v/>
      </c>
      <c r="C1971">
        <f>IF(OR($A1971="",$B1971=""),"",IF(ISNUMBER($A1971),INT(MOD($A1971,10000)/100),IFERROR(VALUE(TRIM(LEFT(MID($A1971,FIND("/",$A1971)+1,20),FIND("/",MID($A1971,FIND("/",$A1971)+1,20))-1))),"")))</f>
        <v/>
      </c>
      <c r="D1971">
        <f>IF(OR($A1971="",$B1971=""),"",IF(ISNUMBER($A1971),MOD($A1971,100),IFERROR(VALUE(TRIM(MID(MID($A1971,FIND("/",$A1971)+1,20),FIND("/",MID($A1971,FIND("/",$A1971)+1,20))+1,20))),"")))</f>
        <v/>
      </c>
      <c r="E1971">
        <f>IF($A1971="","",IF(OR($B1971="",$C1971="",$D1971="",$B1971&lt;1300,$B1971&gt;1500,$C1971&lt;1,$C1971&gt;12,$D1971&lt;1,$D1971&gt;31),"نامعتبر",RIGHT("0000"&amp;$B1971,4)&amp;"/"&amp;RIGHT("00"&amp;$C1971,2)&amp;"/"&amp;RIGHT("00"&amp;$D1971,2)))</f>
        <v/>
      </c>
      <c r="F1971">
        <f>IF(OR($E1971="",$E1971="نامعتبر"),"",LEFT($E1971,4)&amp;"/"&amp;MID($E1971,6,2))</f>
        <v/>
      </c>
      <c r="G1971">
        <f>IF(OR($E1971="",$E1971="نامعتبر",Sync!$X1967=""),"",IF(AND(LEFT(UPPER(TRIM(Sync!$X1967)),2)="SL",IFERROR(VLOOKUP(Sync!$W1967,OpTbl,3,0),"")="فروش"),UPPER(TRIM(Sync!$X1967)),""))</f>
        <v/>
      </c>
      <c r="H1971">
        <f>IF($G1971="","",IF(Sync!$W1967="","",Sync!$W1967))</f>
        <v/>
      </c>
      <c r="I1971">
        <f>IF(OR($G1971="",Sync!$Y1967=""),"",Sync!$Y1967)</f>
        <v/>
      </c>
      <c r="J1971">
        <f>IF(OR($G1971="",Sync!$Z1967=""),"",Sync!$Z1967)</f>
        <v/>
      </c>
      <c r="K1971">
        <f>IF($G1971="",0,IF(Sync!$AA1967="",0,Sync!$AA1967))</f>
        <v/>
      </c>
      <c r="L1971">
        <f>IF($G1971="",0,IF(Sync!$AB1967="",0,Sync!$AB1967))</f>
        <v/>
      </c>
      <c r="M1971">
        <f>IF($G1971="","",IF($H1971="مرجوعی فروش",-1,1)*($K1971-$L1971*IFERROR(VLOOKUP("P01",ParamTbl,3,0),1.5)))</f>
        <v/>
      </c>
      <c r="N1971">
        <f>IF($G1971="",0,IF($H1971="مرجوعی فروش",-1,1)*IF(Sync!$AC1967="",0,Sync!$AC1967))</f>
        <v/>
      </c>
      <c r="O1971">
        <f>IF(OR($G1971="",Sync!$V1967=""),"",Sync!$V1967)</f>
        <v/>
      </c>
      <c r="P1971">
        <f>IF(OR($G1971="",Sync!$AD1967=""),"",Sync!$AD1967)</f>
        <v/>
      </c>
      <c r="Q1971">
        <f>IF($G1971="","",IF(Sync!$U1967="","0000",IF(AND(ISNUMBER(Sync!$U1967),Sync!$U1967&gt;=0,Sync!$U1967&lt;1),RIGHT("00"&amp;HOUR(Sync!$U1967),2)&amp;RIGHT("00"&amp;MINUTE(Sync!$U1967),2),IFERROR(RIGHT("00"&amp;VALUE(LEFT(Sync!$U1967,FIND(":",Sync!$U1967)-1)),2)&amp;RIGHT("00"&amp;VALUE(MID(Sync!$U1967,FIND(":",Sync!$U1967)+1,2)),2),"0000"))))</f>
        <v/>
      </c>
    </row>
    <row r="1972">
      <c r="A1972">
        <f>IF(Sync!$T1968="","",Sync!$T1968)</f>
        <v/>
      </c>
      <c r="B1972">
        <f>IF($A1972="","",IF(ISNUMBER($A1972),IF(AND($A1972&gt;=10000101,$A1972&lt;=99991231),INT($A1972/10000),""),IFERROR(VALUE(TRIM(LEFT($A1972,FIND("/",$A1972)-1))),"")))</f>
        <v/>
      </c>
      <c r="C1972">
        <f>IF(OR($A1972="",$B1972=""),"",IF(ISNUMBER($A1972),INT(MOD($A1972,10000)/100),IFERROR(VALUE(TRIM(LEFT(MID($A1972,FIND("/",$A1972)+1,20),FIND("/",MID($A1972,FIND("/",$A1972)+1,20))-1))),"")))</f>
        <v/>
      </c>
      <c r="D1972">
        <f>IF(OR($A1972="",$B1972=""),"",IF(ISNUMBER($A1972),MOD($A1972,100),IFERROR(VALUE(TRIM(MID(MID($A1972,FIND("/",$A1972)+1,20),FIND("/",MID($A1972,FIND("/",$A1972)+1,20))+1,20))),"")))</f>
        <v/>
      </c>
      <c r="E1972">
        <f>IF($A1972="","",IF(OR($B1972="",$C1972="",$D1972="",$B1972&lt;1300,$B1972&gt;1500,$C1972&lt;1,$C1972&gt;12,$D1972&lt;1,$D1972&gt;31),"نامعتبر",RIGHT("0000"&amp;$B1972,4)&amp;"/"&amp;RIGHT("00"&amp;$C1972,2)&amp;"/"&amp;RIGHT("00"&amp;$D1972,2)))</f>
        <v/>
      </c>
      <c r="F1972">
        <f>IF(OR($E1972="",$E1972="نامعتبر"),"",LEFT($E1972,4)&amp;"/"&amp;MID($E1972,6,2))</f>
        <v/>
      </c>
      <c r="G1972">
        <f>IF(OR($E1972="",$E1972="نامعتبر",Sync!$X1968=""),"",IF(AND(LEFT(UPPER(TRIM(Sync!$X1968)),2)="SL",IFERROR(VLOOKUP(Sync!$W1968,OpTbl,3,0),"")="فروش"),UPPER(TRIM(Sync!$X1968)),""))</f>
        <v/>
      </c>
      <c r="H1972">
        <f>IF($G1972="","",IF(Sync!$W1968="","",Sync!$W1968))</f>
        <v/>
      </c>
      <c r="I1972">
        <f>IF(OR($G1972="",Sync!$Y1968=""),"",Sync!$Y1968)</f>
        <v/>
      </c>
      <c r="J1972">
        <f>IF(OR($G1972="",Sync!$Z1968=""),"",Sync!$Z1968)</f>
        <v/>
      </c>
      <c r="K1972">
        <f>IF($G1972="",0,IF(Sync!$AA1968="",0,Sync!$AA1968))</f>
        <v/>
      </c>
      <c r="L1972">
        <f>IF($G1972="",0,IF(Sync!$AB1968="",0,Sync!$AB1968))</f>
        <v/>
      </c>
      <c r="M1972">
        <f>IF($G1972="","",IF($H1972="مرجوعی فروش",-1,1)*($K1972-$L1972*IFERROR(VLOOKUP("P01",ParamTbl,3,0),1.5)))</f>
        <v/>
      </c>
      <c r="N1972">
        <f>IF($G1972="",0,IF($H1972="مرجوعی فروش",-1,1)*IF(Sync!$AC1968="",0,Sync!$AC1968))</f>
        <v/>
      </c>
      <c r="O1972">
        <f>IF(OR($G1972="",Sync!$V1968=""),"",Sync!$V1968)</f>
        <v/>
      </c>
      <c r="P1972">
        <f>IF(OR($G1972="",Sync!$AD1968=""),"",Sync!$AD1968)</f>
        <v/>
      </c>
      <c r="Q1972">
        <f>IF($G1972="","",IF(Sync!$U1968="","0000",IF(AND(ISNUMBER(Sync!$U1968),Sync!$U1968&gt;=0,Sync!$U1968&lt;1),RIGHT("00"&amp;HOUR(Sync!$U1968),2)&amp;RIGHT("00"&amp;MINUTE(Sync!$U1968),2),IFERROR(RIGHT("00"&amp;VALUE(LEFT(Sync!$U1968,FIND(":",Sync!$U1968)-1)),2)&amp;RIGHT("00"&amp;VALUE(MID(Sync!$U1968,FIND(":",Sync!$U1968)+1,2)),2),"0000"))))</f>
        <v/>
      </c>
    </row>
    <row r="1973">
      <c r="A1973">
        <f>IF(Sync!$T1969="","",Sync!$T1969)</f>
        <v/>
      </c>
      <c r="B1973">
        <f>IF($A1973="","",IF(ISNUMBER($A1973),IF(AND($A1973&gt;=10000101,$A1973&lt;=99991231),INT($A1973/10000),""),IFERROR(VALUE(TRIM(LEFT($A1973,FIND("/",$A1973)-1))),"")))</f>
        <v/>
      </c>
      <c r="C1973">
        <f>IF(OR($A1973="",$B1973=""),"",IF(ISNUMBER($A1973),INT(MOD($A1973,10000)/100),IFERROR(VALUE(TRIM(LEFT(MID($A1973,FIND("/",$A1973)+1,20),FIND("/",MID($A1973,FIND("/",$A1973)+1,20))-1))),"")))</f>
        <v/>
      </c>
      <c r="D1973">
        <f>IF(OR($A1973="",$B1973=""),"",IF(ISNUMBER($A1973),MOD($A1973,100),IFERROR(VALUE(TRIM(MID(MID($A1973,FIND("/",$A1973)+1,20),FIND("/",MID($A1973,FIND("/",$A1973)+1,20))+1,20))),"")))</f>
        <v/>
      </c>
      <c r="E1973">
        <f>IF($A1973="","",IF(OR($B1973="",$C1973="",$D1973="",$B1973&lt;1300,$B1973&gt;1500,$C1973&lt;1,$C1973&gt;12,$D1973&lt;1,$D1973&gt;31),"نامعتبر",RIGHT("0000"&amp;$B1973,4)&amp;"/"&amp;RIGHT("00"&amp;$C1973,2)&amp;"/"&amp;RIGHT("00"&amp;$D1973,2)))</f>
        <v/>
      </c>
      <c r="F1973">
        <f>IF(OR($E1973="",$E1973="نامعتبر"),"",LEFT($E1973,4)&amp;"/"&amp;MID($E1973,6,2))</f>
        <v/>
      </c>
      <c r="G1973">
        <f>IF(OR($E1973="",$E1973="نامعتبر",Sync!$X1969=""),"",IF(AND(LEFT(UPPER(TRIM(Sync!$X1969)),2)="SL",IFERROR(VLOOKUP(Sync!$W1969,OpTbl,3,0),"")="فروش"),UPPER(TRIM(Sync!$X1969)),""))</f>
        <v/>
      </c>
      <c r="H1973">
        <f>IF($G1973="","",IF(Sync!$W1969="","",Sync!$W1969))</f>
        <v/>
      </c>
      <c r="I1973">
        <f>IF(OR($G1973="",Sync!$Y1969=""),"",Sync!$Y1969)</f>
        <v/>
      </c>
      <c r="J1973">
        <f>IF(OR($G1973="",Sync!$Z1969=""),"",Sync!$Z1969)</f>
        <v/>
      </c>
      <c r="K1973">
        <f>IF($G1973="",0,IF(Sync!$AA1969="",0,Sync!$AA1969))</f>
        <v/>
      </c>
      <c r="L1973">
        <f>IF($G1973="",0,IF(Sync!$AB1969="",0,Sync!$AB1969))</f>
        <v/>
      </c>
      <c r="M1973">
        <f>IF($G1973="","",IF($H1973="مرجوعی فروش",-1,1)*($K1973-$L1973*IFERROR(VLOOKUP("P01",ParamTbl,3,0),1.5)))</f>
        <v/>
      </c>
      <c r="N1973">
        <f>IF($G1973="",0,IF($H1973="مرجوعی فروش",-1,1)*IF(Sync!$AC1969="",0,Sync!$AC1969))</f>
        <v/>
      </c>
      <c r="O1973">
        <f>IF(OR($G1973="",Sync!$V1969=""),"",Sync!$V1969)</f>
        <v/>
      </c>
      <c r="P1973">
        <f>IF(OR($G1973="",Sync!$AD1969=""),"",Sync!$AD1969)</f>
        <v/>
      </c>
      <c r="Q1973">
        <f>IF($G1973="","",IF(Sync!$U1969="","0000",IF(AND(ISNUMBER(Sync!$U1969),Sync!$U1969&gt;=0,Sync!$U1969&lt;1),RIGHT("00"&amp;HOUR(Sync!$U1969),2)&amp;RIGHT("00"&amp;MINUTE(Sync!$U1969),2),IFERROR(RIGHT("00"&amp;VALUE(LEFT(Sync!$U1969,FIND(":",Sync!$U1969)-1)),2)&amp;RIGHT("00"&amp;VALUE(MID(Sync!$U1969,FIND(":",Sync!$U1969)+1,2)),2),"0000"))))</f>
        <v/>
      </c>
    </row>
    <row r="1974">
      <c r="A1974">
        <f>IF(Sync!$T1970="","",Sync!$T1970)</f>
        <v/>
      </c>
      <c r="B1974">
        <f>IF($A1974="","",IF(ISNUMBER($A1974),IF(AND($A1974&gt;=10000101,$A1974&lt;=99991231),INT($A1974/10000),""),IFERROR(VALUE(TRIM(LEFT($A1974,FIND("/",$A1974)-1))),"")))</f>
        <v/>
      </c>
      <c r="C1974">
        <f>IF(OR($A1974="",$B1974=""),"",IF(ISNUMBER($A1974),INT(MOD($A1974,10000)/100),IFERROR(VALUE(TRIM(LEFT(MID($A1974,FIND("/",$A1974)+1,20),FIND("/",MID($A1974,FIND("/",$A1974)+1,20))-1))),"")))</f>
        <v/>
      </c>
      <c r="D1974">
        <f>IF(OR($A1974="",$B1974=""),"",IF(ISNUMBER($A1974),MOD($A1974,100),IFERROR(VALUE(TRIM(MID(MID($A1974,FIND("/",$A1974)+1,20),FIND("/",MID($A1974,FIND("/",$A1974)+1,20))+1,20))),"")))</f>
        <v/>
      </c>
      <c r="E1974">
        <f>IF($A1974="","",IF(OR($B1974="",$C1974="",$D1974="",$B1974&lt;1300,$B1974&gt;1500,$C1974&lt;1,$C1974&gt;12,$D1974&lt;1,$D1974&gt;31),"نامعتبر",RIGHT("0000"&amp;$B1974,4)&amp;"/"&amp;RIGHT("00"&amp;$C1974,2)&amp;"/"&amp;RIGHT("00"&amp;$D1974,2)))</f>
        <v/>
      </c>
      <c r="F1974">
        <f>IF(OR($E1974="",$E1974="نامعتبر"),"",LEFT($E1974,4)&amp;"/"&amp;MID($E1974,6,2))</f>
        <v/>
      </c>
      <c r="G1974">
        <f>IF(OR($E1974="",$E1974="نامعتبر",Sync!$X1970=""),"",IF(AND(LEFT(UPPER(TRIM(Sync!$X1970)),2)="SL",IFERROR(VLOOKUP(Sync!$W1970,OpTbl,3,0),"")="فروش"),UPPER(TRIM(Sync!$X1970)),""))</f>
        <v/>
      </c>
      <c r="H1974">
        <f>IF($G1974="","",IF(Sync!$W1970="","",Sync!$W1970))</f>
        <v/>
      </c>
      <c r="I1974">
        <f>IF(OR($G1974="",Sync!$Y1970=""),"",Sync!$Y1970)</f>
        <v/>
      </c>
      <c r="J1974">
        <f>IF(OR($G1974="",Sync!$Z1970=""),"",Sync!$Z1970)</f>
        <v/>
      </c>
      <c r="K1974">
        <f>IF($G1974="",0,IF(Sync!$AA1970="",0,Sync!$AA1970))</f>
        <v/>
      </c>
      <c r="L1974">
        <f>IF($G1974="",0,IF(Sync!$AB1970="",0,Sync!$AB1970))</f>
        <v/>
      </c>
      <c r="M1974">
        <f>IF($G1974="","",IF($H1974="مرجوعی فروش",-1,1)*($K1974-$L1974*IFERROR(VLOOKUP("P01",ParamTbl,3,0),1.5)))</f>
        <v/>
      </c>
      <c r="N1974">
        <f>IF($G1974="",0,IF($H1974="مرجوعی فروش",-1,1)*IF(Sync!$AC1970="",0,Sync!$AC1970))</f>
        <v/>
      </c>
      <c r="O1974">
        <f>IF(OR($G1974="",Sync!$V1970=""),"",Sync!$V1970)</f>
        <v/>
      </c>
      <c r="P1974">
        <f>IF(OR($G1974="",Sync!$AD1970=""),"",Sync!$AD1970)</f>
        <v/>
      </c>
      <c r="Q1974">
        <f>IF($G1974="","",IF(Sync!$U1970="","0000",IF(AND(ISNUMBER(Sync!$U1970),Sync!$U1970&gt;=0,Sync!$U1970&lt;1),RIGHT("00"&amp;HOUR(Sync!$U1970),2)&amp;RIGHT("00"&amp;MINUTE(Sync!$U1970),2),IFERROR(RIGHT("00"&amp;VALUE(LEFT(Sync!$U1970,FIND(":",Sync!$U1970)-1)),2)&amp;RIGHT("00"&amp;VALUE(MID(Sync!$U1970,FIND(":",Sync!$U1970)+1,2)),2),"0000"))))</f>
        <v/>
      </c>
    </row>
    <row r="1975">
      <c r="A1975">
        <f>IF(Sync!$T1971="","",Sync!$T1971)</f>
        <v/>
      </c>
      <c r="B1975">
        <f>IF($A1975="","",IF(ISNUMBER($A1975),IF(AND($A1975&gt;=10000101,$A1975&lt;=99991231),INT($A1975/10000),""),IFERROR(VALUE(TRIM(LEFT($A1975,FIND("/",$A1975)-1))),"")))</f>
        <v/>
      </c>
      <c r="C1975">
        <f>IF(OR($A1975="",$B1975=""),"",IF(ISNUMBER($A1975),INT(MOD($A1975,10000)/100),IFERROR(VALUE(TRIM(LEFT(MID($A1975,FIND("/",$A1975)+1,20),FIND("/",MID($A1975,FIND("/",$A1975)+1,20))-1))),"")))</f>
        <v/>
      </c>
      <c r="D1975">
        <f>IF(OR($A1975="",$B1975=""),"",IF(ISNUMBER($A1975),MOD($A1975,100),IFERROR(VALUE(TRIM(MID(MID($A1975,FIND("/",$A1975)+1,20),FIND("/",MID($A1975,FIND("/",$A1975)+1,20))+1,20))),"")))</f>
        <v/>
      </c>
      <c r="E1975">
        <f>IF($A1975="","",IF(OR($B1975="",$C1975="",$D1975="",$B1975&lt;1300,$B1975&gt;1500,$C1975&lt;1,$C1975&gt;12,$D1975&lt;1,$D1975&gt;31),"نامعتبر",RIGHT("0000"&amp;$B1975,4)&amp;"/"&amp;RIGHT("00"&amp;$C1975,2)&amp;"/"&amp;RIGHT("00"&amp;$D1975,2)))</f>
        <v/>
      </c>
      <c r="F1975">
        <f>IF(OR($E1975="",$E1975="نامعتبر"),"",LEFT($E1975,4)&amp;"/"&amp;MID($E1975,6,2))</f>
        <v/>
      </c>
      <c r="G1975">
        <f>IF(OR($E1975="",$E1975="نامعتبر",Sync!$X1971=""),"",IF(AND(LEFT(UPPER(TRIM(Sync!$X1971)),2)="SL",IFERROR(VLOOKUP(Sync!$W1971,OpTbl,3,0),"")="فروش"),UPPER(TRIM(Sync!$X1971)),""))</f>
        <v/>
      </c>
      <c r="H1975">
        <f>IF($G1975="","",IF(Sync!$W1971="","",Sync!$W1971))</f>
        <v/>
      </c>
      <c r="I1975">
        <f>IF(OR($G1975="",Sync!$Y1971=""),"",Sync!$Y1971)</f>
        <v/>
      </c>
      <c r="J1975">
        <f>IF(OR($G1975="",Sync!$Z1971=""),"",Sync!$Z1971)</f>
        <v/>
      </c>
      <c r="K1975">
        <f>IF($G1975="",0,IF(Sync!$AA1971="",0,Sync!$AA1971))</f>
        <v/>
      </c>
      <c r="L1975">
        <f>IF($G1975="",0,IF(Sync!$AB1971="",0,Sync!$AB1971))</f>
        <v/>
      </c>
      <c r="M1975">
        <f>IF($G1975="","",IF($H1975="مرجوعی فروش",-1,1)*($K1975-$L1975*IFERROR(VLOOKUP("P01",ParamTbl,3,0),1.5)))</f>
        <v/>
      </c>
      <c r="N1975">
        <f>IF($G1975="",0,IF($H1975="مرجوعی فروش",-1,1)*IF(Sync!$AC1971="",0,Sync!$AC1971))</f>
        <v/>
      </c>
      <c r="O1975">
        <f>IF(OR($G1975="",Sync!$V1971=""),"",Sync!$V1971)</f>
        <v/>
      </c>
      <c r="P1975">
        <f>IF(OR($G1975="",Sync!$AD1971=""),"",Sync!$AD1971)</f>
        <v/>
      </c>
      <c r="Q1975">
        <f>IF($G1975="","",IF(Sync!$U1971="","0000",IF(AND(ISNUMBER(Sync!$U1971),Sync!$U1971&gt;=0,Sync!$U1971&lt;1),RIGHT("00"&amp;HOUR(Sync!$U1971),2)&amp;RIGHT("00"&amp;MINUTE(Sync!$U1971),2),IFERROR(RIGHT("00"&amp;VALUE(LEFT(Sync!$U1971,FIND(":",Sync!$U1971)-1)),2)&amp;RIGHT("00"&amp;VALUE(MID(Sync!$U1971,FIND(":",Sync!$U1971)+1,2)),2),"0000"))))</f>
        <v/>
      </c>
    </row>
    <row r="1976">
      <c r="A1976">
        <f>IF(Sync!$T1972="","",Sync!$T1972)</f>
        <v/>
      </c>
      <c r="B1976">
        <f>IF($A1976="","",IF(ISNUMBER($A1976),IF(AND($A1976&gt;=10000101,$A1976&lt;=99991231),INT($A1976/10000),""),IFERROR(VALUE(TRIM(LEFT($A1976,FIND("/",$A1976)-1))),"")))</f>
        <v/>
      </c>
      <c r="C1976">
        <f>IF(OR($A1976="",$B1976=""),"",IF(ISNUMBER($A1976),INT(MOD($A1976,10000)/100),IFERROR(VALUE(TRIM(LEFT(MID($A1976,FIND("/",$A1976)+1,20),FIND("/",MID($A1976,FIND("/",$A1976)+1,20))-1))),"")))</f>
        <v/>
      </c>
      <c r="D1976">
        <f>IF(OR($A1976="",$B1976=""),"",IF(ISNUMBER($A1976),MOD($A1976,100),IFERROR(VALUE(TRIM(MID(MID($A1976,FIND("/",$A1976)+1,20),FIND("/",MID($A1976,FIND("/",$A1976)+1,20))+1,20))),"")))</f>
        <v/>
      </c>
      <c r="E1976">
        <f>IF($A1976="","",IF(OR($B1976="",$C1976="",$D1976="",$B1976&lt;1300,$B1976&gt;1500,$C1976&lt;1,$C1976&gt;12,$D1976&lt;1,$D1976&gt;31),"نامعتبر",RIGHT("0000"&amp;$B1976,4)&amp;"/"&amp;RIGHT("00"&amp;$C1976,2)&amp;"/"&amp;RIGHT("00"&amp;$D1976,2)))</f>
        <v/>
      </c>
      <c r="F1976">
        <f>IF(OR($E1976="",$E1976="نامعتبر"),"",LEFT($E1976,4)&amp;"/"&amp;MID($E1976,6,2))</f>
        <v/>
      </c>
      <c r="G1976">
        <f>IF(OR($E1976="",$E1976="نامعتبر",Sync!$X1972=""),"",IF(AND(LEFT(UPPER(TRIM(Sync!$X1972)),2)="SL",IFERROR(VLOOKUP(Sync!$W1972,OpTbl,3,0),"")="فروش"),UPPER(TRIM(Sync!$X1972)),""))</f>
        <v/>
      </c>
      <c r="H1976">
        <f>IF($G1976="","",IF(Sync!$W1972="","",Sync!$W1972))</f>
        <v/>
      </c>
      <c r="I1976">
        <f>IF(OR($G1976="",Sync!$Y1972=""),"",Sync!$Y1972)</f>
        <v/>
      </c>
      <c r="J1976">
        <f>IF(OR($G1976="",Sync!$Z1972=""),"",Sync!$Z1972)</f>
        <v/>
      </c>
      <c r="K1976">
        <f>IF($G1976="",0,IF(Sync!$AA1972="",0,Sync!$AA1972))</f>
        <v/>
      </c>
      <c r="L1976">
        <f>IF($G1976="",0,IF(Sync!$AB1972="",0,Sync!$AB1972))</f>
        <v/>
      </c>
      <c r="M1976">
        <f>IF($G1976="","",IF($H1976="مرجوعی فروش",-1,1)*($K1976-$L1976*IFERROR(VLOOKUP("P01",ParamTbl,3,0),1.5)))</f>
        <v/>
      </c>
      <c r="N1976">
        <f>IF($G1976="",0,IF($H1976="مرجوعی فروش",-1,1)*IF(Sync!$AC1972="",0,Sync!$AC1972))</f>
        <v/>
      </c>
      <c r="O1976">
        <f>IF(OR($G1976="",Sync!$V1972=""),"",Sync!$V1972)</f>
        <v/>
      </c>
      <c r="P1976">
        <f>IF(OR($G1976="",Sync!$AD1972=""),"",Sync!$AD1972)</f>
        <v/>
      </c>
      <c r="Q1976">
        <f>IF($G1976="","",IF(Sync!$U1972="","0000",IF(AND(ISNUMBER(Sync!$U1972),Sync!$U1972&gt;=0,Sync!$U1972&lt;1),RIGHT("00"&amp;HOUR(Sync!$U1972),2)&amp;RIGHT("00"&amp;MINUTE(Sync!$U1972),2),IFERROR(RIGHT("00"&amp;VALUE(LEFT(Sync!$U1972,FIND(":",Sync!$U1972)-1)),2)&amp;RIGHT("00"&amp;VALUE(MID(Sync!$U1972,FIND(":",Sync!$U1972)+1,2)),2),"0000"))))</f>
        <v/>
      </c>
    </row>
    <row r="1977">
      <c r="A1977">
        <f>IF(Sync!$T1973="","",Sync!$T1973)</f>
        <v/>
      </c>
      <c r="B1977">
        <f>IF($A1977="","",IF(ISNUMBER($A1977),IF(AND($A1977&gt;=10000101,$A1977&lt;=99991231),INT($A1977/10000),""),IFERROR(VALUE(TRIM(LEFT($A1977,FIND("/",$A1977)-1))),"")))</f>
        <v/>
      </c>
      <c r="C1977">
        <f>IF(OR($A1977="",$B1977=""),"",IF(ISNUMBER($A1977),INT(MOD($A1977,10000)/100),IFERROR(VALUE(TRIM(LEFT(MID($A1977,FIND("/",$A1977)+1,20),FIND("/",MID($A1977,FIND("/",$A1977)+1,20))-1))),"")))</f>
        <v/>
      </c>
      <c r="D1977">
        <f>IF(OR($A1977="",$B1977=""),"",IF(ISNUMBER($A1977),MOD($A1977,100),IFERROR(VALUE(TRIM(MID(MID($A1977,FIND("/",$A1977)+1,20),FIND("/",MID($A1977,FIND("/",$A1977)+1,20))+1,20))),"")))</f>
        <v/>
      </c>
      <c r="E1977">
        <f>IF($A1977="","",IF(OR($B1977="",$C1977="",$D1977="",$B1977&lt;1300,$B1977&gt;1500,$C1977&lt;1,$C1977&gt;12,$D1977&lt;1,$D1977&gt;31),"نامعتبر",RIGHT("0000"&amp;$B1977,4)&amp;"/"&amp;RIGHT("00"&amp;$C1977,2)&amp;"/"&amp;RIGHT("00"&amp;$D1977,2)))</f>
        <v/>
      </c>
      <c r="F1977">
        <f>IF(OR($E1977="",$E1977="نامعتبر"),"",LEFT($E1977,4)&amp;"/"&amp;MID($E1977,6,2))</f>
        <v/>
      </c>
      <c r="G1977">
        <f>IF(OR($E1977="",$E1977="نامعتبر",Sync!$X1973=""),"",IF(AND(LEFT(UPPER(TRIM(Sync!$X1973)),2)="SL",IFERROR(VLOOKUP(Sync!$W1973,OpTbl,3,0),"")="فروش"),UPPER(TRIM(Sync!$X1973)),""))</f>
        <v/>
      </c>
      <c r="H1977">
        <f>IF($G1977="","",IF(Sync!$W1973="","",Sync!$W1973))</f>
        <v/>
      </c>
      <c r="I1977">
        <f>IF(OR($G1977="",Sync!$Y1973=""),"",Sync!$Y1973)</f>
        <v/>
      </c>
      <c r="J1977">
        <f>IF(OR($G1977="",Sync!$Z1973=""),"",Sync!$Z1973)</f>
        <v/>
      </c>
      <c r="K1977">
        <f>IF($G1977="",0,IF(Sync!$AA1973="",0,Sync!$AA1973))</f>
        <v/>
      </c>
      <c r="L1977">
        <f>IF($G1977="",0,IF(Sync!$AB1973="",0,Sync!$AB1973))</f>
        <v/>
      </c>
      <c r="M1977">
        <f>IF($G1977="","",IF($H1977="مرجوعی فروش",-1,1)*($K1977-$L1977*IFERROR(VLOOKUP("P01",ParamTbl,3,0),1.5)))</f>
        <v/>
      </c>
      <c r="N1977">
        <f>IF($G1977="",0,IF($H1977="مرجوعی فروش",-1,1)*IF(Sync!$AC1973="",0,Sync!$AC1973))</f>
        <v/>
      </c>
      <c r="O1977">
        <f>IF(OR($G1977="",Sync!$V1973=""),"",Sync!$V1973)</f>
        <v/>
      </c>
      <c r="P1977">
        <f>IF(OR($G1977="",Sync!$AD1973=""),"",Sync!$AD1973)</f>
        <v/>
      </c>
      <c r="Q1977">
        <f>IF($G1977="","",IF(Sync!$U1973="","0000",IF(AND(ISNUMBER(Sync!$U1973),Sync!$U1973&gt;=0,Sync!$U1973&lt;1),RIGHT("00"&amp;HOUR(Sync!$U1973),2)&amp;RIGHT("00"&amp;MINUTE(Sync!$U1973),2),IFERROR(RIGHT("00"&amp;VALUE(LEFT(Sync!$U1973,FIND(":",Sync!$U1973)-1)),2)&amp;RIGHT("00"&amp;VALUE(MID(Sync!$U1973,FIND(":",Sync!$U1973)+1,2)),2),"0000"))))</f>
        <v/>
      </c>
    </row>
    <row r="1978">
      <c r="A1978">
        <f>IF(Sync!$T1974="","",Sync!$T1974)</f>
        <v/>
      </c>
      <c r="B1978">
        <f>IF($A1978="","",IF(ISNUMBER($A1978),IF(AND($A1978&gt;=10000101,$A1978&lt;=99991231),INT($A1978/10000),""),IFERROR(VALUE(TRIM(LEFT($A1978,FIND("/",$A1978)-1))),"")))</f>
        <v/>
      </c>
      <c r="C1978">
        <f>IF(OR($A1978="",$B1978=""),"",IF(ISNUMBER($A1978),INT(MOD($A1978,10000)/100),IFERROR(VALUE(TRIM(LEFT(MID($A1978,FIND("/",$A1978)+1,20),FIND("/",MID($A1978,FIND("/",$A1978)+1,20))-1))),"")))</f>
        <v/>
      </c>
      <c r="D1978">
        <f>IF(OR($A1978="",$B1978=""),"",IF(ISNUMBER($A1978),MOD($A1978,100),IFERROR(VALUE(TRIM(MID(MID($A1978,FIND("/",$A1978)+1,20),FIND("/",MID($A1978,FIND("/",$A1978)+1,20))+1,20))),"")))</f>
        <v/>
      </c>
      <c r="E1978">
        <f>IF($A1978="","",IF(OR($B1978="",$C1978="",$D1978="",$B1978&lt;1300,$B1978&gt;1500,$C1978&lt;1,$C1978&gt;12,$D1978&lt;1,$D1978&gt;31),"نامعتبر",RIGHT("0000"&amp;$B1978,4)&amp;"/"&amp;RIGHT("00"&amp;$C1978,2)&amp;"/"&amp;RIGHT("00"&amp;$D1978,2)))</f>
        <v/>
      </c>
      <c r="F1978">
        <f>IF(OR($E1978="",$E1978="نامعتبر"),"",LEFT($E1978,4)&amp;"/"&amp;MID($E1978,6,2))</f>
        <v/>
      </c>
      <c r="G1978">
        <f>IF(OR($E1978="",$E1978="نامعتبر",Sync!$X1974=""),"",IF(AND(LEFT(UPPER(TRIM(Sync!$X1974)),2)="SL",IFERROR(VLOOKUP(Sync!$W1974,OpTbl,3,0),"")="فروش"),UPPER(TRIM(Sync!$X1974)),""))</f>
        <v/>
      </c>
      <c r="H1978">
        <f>IF($G1978="","",IF(Sync!$W1974="","",Sync!$W1974))</f>
        <v/>
      </c>
      <c r="I1978">
        <f>IF(OR($G1978="",Sync!$Y1974=""),"",Sync!$Y1974)</f>
        <v/>
      </c>
      <c r="J1978">
        <f>IF(OR($G1978="",Sync!$Z1974=""),"",Sync!$Z1974)</f>
        <v/>
      </c>
      <c r="K1978">
        <f>IF($G1978="",0,IF(Sync!$AA1974="",0,Sync!$AA1974))</f>
        <v/>
      </c>
      <c r="L1978">
        <f>IF($G1978="",0,IF(Sync!$AB1974="",0,Sync!$AB1974))</f>
        <v/>
      </c>
      <c r="M1978">
        <f>IF($G1978="","",IF($H1978="مرجوعی فروش",-1,1)*($K1978-$L1978*IFERROR(VLOOKUP("P01",ParamTbl,3,0),1.5)))</f>
        <v/>
      </c>
      <c r="N1978">
        <f>IF($G1978="",0,IF($H1978="مرجوعی فروش",-1,1)*IF(Sync!$AC1974="",0,Sync!$AC1974))</f>
        <v/>
      </c>
      <c r="O1978">
        <f>IF(OR($G1978="",Sync!$V1974=""),"",Sync!$V1974)</f>
        <v/>
      </c>
      <c r="P1978">
        <f>IF(OR($G1978="",Sync!$AD1974=""),"",Sync!$AD1974)</f>
        <v/>
      </c>
      <c r="Q1978">
        <f>IF($G1978="","",IF(Sync!$U1974="","0000",IF(AND(ISNUMBER(Sync!$U1974),Sync!$U1974&gt;=0,Sync!$U1974&lt;1),RIGHT("00"&amp;HOUR(Sync!$U1974),2)&amp;RIGHT("00"&amp;MINUTE(Sync!$U1974),2),IFERROR(RIGHT("00"&amp;VALUE(LEFT(Sync!$U1974,FIND(":",Sync!$U1974)-1)),2)&amp;RIGHT("00"&amp;VALUE(MID(Sync!$U1974,FIND(":",Sync!$U1974)+1,2)),2),"0000"))))</f>
        <v/>
      </c>
    </row>
    <row r="1979">
      <c r="A1979">
        <f>IF(Sync!$T1975="","",Sync!$T1975)</f>
        <v/>
      </c>
      <c r="B1979">
        <f>IF($A1979="","",IF(ISNUMBER($A1979),IF(AND($A1979&gt;=10000101,$A1979&lt;=99991231),INT($A1979/10000),""),IFERROR(VALUE(TRIM(LEFT($A1979,FIND("/",$A1979)-1))),"")))</f>
        <v/>
      </c>
      <c r="C1979">
        <f>IF(OR($A1979="",$B1979=""),"",IF(ISNUMBER($A1979),INT(MOD($A1979,10000)/100),IFERROR(VALUE(TRIM(LEFT(MID($A1979,FIND("/",$A1979)+1,20),FIND("/",MID($A1979,FIND("/",$A1979)+1,20))-1))),"")))</f>
        <v/>
      </c>
      <c r="D1979">
        <f>IF(OR($A1979="",$B1979=""),"",IF(ISNUMBER($A1979),MOD($A1979,100),IFERROR(VALUE(TRIM(MID(MID($A1979,FIND("/",$A1979)+1,20),FIND("/",MID($A1979,FIND("/",$A1979)+1,20))+1,20))),"")))</f>
        <v/>
      </c>
      <c r="E1979">
        <f>IF($A1979="","",IF(OR($B1979="",$C1979="",$D1979="",$B1979&lt;1300,$B1979&gt;1500,$C1979&lt;1,$C1979&gt;12,$D1979&lt;1,$D1979&gt;31),"نامعتبر",RIGHT("0000"&amp;$B1979,4)&amp;"/"&amp;RIGHT("00"&amp;$C1979,2)&amp;"/"&amp;RIGHT("00"&amp;$D1979,2)))</f>
        <v/>
      </c>
      <c r="F1979">
        <f>IF(OR($E1979="",$E1979="نامعتبر"),"",LEFT($E1979,4)&amp;"/"&amp;MID($E1979,6,2))</f>
        <v/>
      </c>
      <c r="G1979">
        <f>IF(OR($E1979="",$E1979="نامعتبر",Sync!$X1975=""),"",IF(AND(LEFT(UPPER(TRIM(Sync!$X1975)),2)="SL",IFERROR(VLOOKUP(Sync!$W1975,OpTbl,3,0),"")="فروش"),UPPER(TRIM(Sync!$X1975)),""))</f>
        <v/>
      </c>
      <c r="H1979">
        <f>IF($G1979="","",IF(Sync!$W1975="","",Sync!$W1975))</f>
        <v/>
      </c>
      <c r="I1979">
        <f>IF(OR($G1979="",Sync!$Y1975=""),"",Sync!$Y1975)</f>
        <v/>
      </c>
      <c r="J1979">
        <f>IF(OR($G1979="",Sync!$Z1975=""),"",Sync!$Z1975)</f>
        <v/>
      </c>
      <c r="K1979">
        <f>IF($G1979="",0,IF(Sync!$AA1975="",0,Sync!$AA1975))</f>
        <v/>
      </c>
      <c r="L1979">
        <f>IF($G1979="",0,IF(Sync!$AB1975="",0,Sync!$AB1975))</f>
        <v/>
      </c>
      <c r="M1979">
        <f>IF($G1979="","",IF($H1979="مرجوعی فروش",-1,1)*($K1979-$L1979*IFERROR(VLOOKUP("P01",ParamTbl,3,0),1.5)))</f>
        <v/>
      </c>
      <c r="N1979">
        <f>IF($G1979="",0,IF($H1979="مرجوعی فروش",-1,1)*IF(Sync!$AC1975="",0,Sync!$AC1975))</f>
        <v/>
      </c>
      <c r="O1979">
        <f>IF(OR($G1979="",Sync!$V1975=""),"",Sync!$V1975)</f>
        <v/>
      </c>
      <c r="P1979">
        <f>IF(OR($G1979="",Sync!$AD1975=""),"",Sync!$AD1975)</f>
        <v/>
      </c>
      <c r="Q1979">
        <f>IF($G1979="","",IF(Sync!$U1975="","0000",IF(AND(ISNUMBER(Sync!$U1975),Sync!$U1975&gt;=0,Sync!$U1975&lt;1),RIGHT("00"&amp;HOUR(Sync!$U1975),2)&amp;RIGHT("00"&amp;MINUTE(Sync!$U1975),2),IFERROR(RIGHT("00"&amp;VALUE(LEFT(Sync!$U1975,FIND(":",Sync!$U1975)-1)),2)&amp;RIGHT("00"&amp;VALUE(MID(Sync!$U1975,FIND(":",Sync!$U1975)+1,2)),2),"0000"))))</f>
        <v/>
      </c>
    </row>
    <row r="1980">
      <c r="A1980">
        <f>IF(Sync!$T1976="","",Sync!$T1976)</f>
        <v/>
      </c>
      <c r="B1980">
        <f>IF($A1980="","",IF(ISNUMBER($A1980),IF(AND($A1980&gt;=10000101,$A1980&lt;=99991231),INT($A1980/10000),""),IFERROR(VALUE(TRIM(LEFT($A1980,FIND("/",$A1980)-1))),"")))</f>
        <v/>
      </c>
      <c r="C1980">
        <f>IF(OR($A1980="",$B1980=""),"",IF(ISNUMBER($A1980),INT(MOD($A1980,10000)/100),IFERROR(VALUE(TRIM(LEFT(MID($A1980,FIND("/",$A1980)+1,20),FIND("/",MID($A1980,FIND("/",$A1980)+1,20))-1))),"")))</f>
        <v/>
      </c>
      <c r="D1980">
        <f>IF(OR($A1980="",$B1980=""),"",IF(ISNUMBER($A1980),MOD($A1980,100),IFERROR(VALUE(TRIM(MID(MID($A1980,FIND("/",$A1980)+1,20),FIND("/",MID($A1980,FIND("/",$A1980)+1,20))+1,20))),"")))</f>
        <v/>
      </c>
      <c r="E1980">
        <f>IF($A1980="","",IF(OR($B1980="",$C1980="",$D1980="",$B1980&lt;1300,$B1980&gt;1500,$C1980&lt;1,$C1980&gt;12,$D1980&lt;1,$D1980&gt;31),"نامعتبر",RIGHT("0000"&amp;$B1980,4)&amp;"/"&amp;RIGHT("00"&amp;$C1980,2)&amp;"/"&amp;RIGHT("00"&amp;$D1980,2)))</f>
        <v/>
      </c>
      <c r="F1980">
        <f>IF(OR($E1980="",$E1980="نامعتبر"),"",LEFT($E1980,4)&amp;"/"&amp;MID($E1980,6,2))</f>
        <v/>
      </c>
      <c r="G1980">
        <f>IF(OR($E1980="",$E1980="نامعتبر",Sync!$X1976=""),"",IF(AND(LEFT(UPPER(TRIM(Sync!$X1976)),2)="SL",IFERROR(VLOOKUP(Sync!$W1976,OpTbl,3,0),"")="فروش"),UPPER(TRIM(Sync!$X1976)),""))</f>
        <v/>
      </c>
      <c r="H1980">
        <f>IF($G1980="","",IF(Sync!$W1976="","",Sync!$W1976))</f>
        <v/>
      </c>
      <c r="I1980">
        <f>IF(OR($G1980="",Sync!$Y1976=""),"",Sync!$Y1976)</f>
        <v/>
      </c>
      <c r="J1980">
        <f>IF(OR($G1980="",Sync!$Z1976=""),"",Sync!$Z1976)</f>
        <v/>
      </c>
      <c r="K1980">
        <f>IF($G1980="",0,IF(Sync!$AA1976="",0,Sync!$AA1976))</f>
        <v/>
      </c>
      <c r="L1980">
        <f>IF($G1980="",0,IF(Sync!$AB1976="",0,Sync!$AB1976))</f>
        <v/>
      </c>
      <c r="M1980">
        <f>IF($G1980="","",IF($H1980="مرجوعی فروش",-1,1)*($K1980-$L1980*IFERROR(VLOOKUP("P01",ParamTbl,3,0),1.5)))</f>
        <v/>
      </c>
      <c r="N1980">
        <f>IF($G1980="",0,IF($H1980="مرجوعی فروش",-1,1)*IF(Sync!$AC1976="",0,Sync!$AC1976))</f>
        <v/>
      </c>
      <c r="O1980">
        <f>IF(OR($G1980="",Sync!$V1976=""),"",Sync!$V1976)</f>
        <v/>
      </c>
      <c r="P1980">
        <f>IF(OR($G1980="",Sync!$AD1976=""),"",Sync!$AD1976)</f>
        <v/>
      </c>
      <c r="Q1980">
        <f>IF($G1980="","",IF(Sync!$U1976="","0000",IF(AND(ISNUMBER(Sync!$U1976),Sync!$U1976&gt;=0,Sync!$U1976&lt;1),RIGHT("00"&amp;HOUR(Sync!$U1976),2)&amp;RIGHT("00"&amp;MINUTE(Sync!$U1976),2),IFERROR(RIGHT("00"&amp;VALUE(LEFT(Sync!$U1976,FIND(":",Sync!$U1976)-1)),2)&amp;RIGHT("00"&amp;VALUE(MID(Sync!$U1976,FIND(":",Sync!$U1976)+1,2)),2),"0000"))))</f>
        <v/>
      </c>
    </row>
    <row r="1981">
      <c r="A1981">
        <f>IF(Sync!$T1977="","",Sync!$T1977)</f>
        <v/>
      </c>
      <c r="B1981">
        <f>IF($A1981="","",IF(ISNUMBER($A1981),IF(AND($A1981&gt;=10000101,$A1981&lt;=99991231),INT($A1981/10000),""),IFERROR(VALUE(TRIM(LEFT($A1981,FIND("/",$A1981)-1))),"")))</f>
        <v/>
      </c>
      <c r="C1981">
        <f>IF(OR($A1981="",$B1981=""),"",IF(ISNUMBER($A1981),INT(MOD($A1981,10000)/100),IFERROR(VALUE(TRIM(LEFT(MID($A1981,FIND("/",$A1981)+1,20),FIND("/",MID($A1981,FIND("/",$A1981)+1,20))-1))),"")))</f>
        <v/>
      </c>
      <c r="D1981">
        <f>IF(OR($A1981="",$B1981=""),"",IF(ISNUMBER($A1981),MOD($A1981,100),IFERROR(VALUE(TRIM(MID(MID($A1981,FIND("/",$A1981)+1,20),FIND("/",MID($A1981,FIND("/",$A1981)+1,20))+1,20))),"")))</f>
        <v/>
      </c>
      <c r="E1981">
        <f>IF($A1981="","",IF(OR($B1981="",$C1981="",$D1981="",$B1981&lt;1300,$B1981&gt;1500,$C1981&lt;1,$C1981&gt;12,$D1981&lt;1,$D1981&gt;31),"نامعتبر",RIGHT("0000"&amp;$B1981,4)&amp;"/"&amp;RIGHT("00"&amp;$C1981,2)&amp;"/"&amp;RIGHT("00"&amp;$D1981,2)))</f>
        <v/>
      </c>
      <c r="F1981">
        <f>IF(OR($E1981="",$E1981="نامعتبر"),"",LEFT($E1981,4)&amp;"/"&amp;MID($E1981,6,2))</f>
        <v/>
      </c>
      <c r="G1981">
        <f>IF(OR($E1981="",$E1981="نامعتبر",Sync!$X1977=""),"",IF(AND(LEFT(UPPER(TRIM(Sync!$X1977)),2)="SL",IFERROR(VLOOKUP(Sync!$W1977,OpTbl,3,0),"")="فروش"),UPPER(TRIM(Sync!$X1977)),""))</f>
        <v/>
      </c>
      <c r="H1981">
        <f>IF($G1981="","",IF(Sync!$W1977="","",Sync!$W1977))</f>
        <v/>
      </c>
      <c r="I1981">
        <f>IF(OR($G1981="",Sync!$Y1977=""),"",Sync!$Y1977)</f>
        <v/>
      </c>
      <c r="J1981">
        <f>IF(OR($G1981="",Sync!$Z1977=""),"",Sync!$Z1977)</f>
        <v/>
      </c>
      <c r="K1981">
        <f>IF($G1981="",0,IF(Sync!$AA1977="",0,Sync!$AA1977))</f>
        <v/>
      </c>
      <c r="L1981">
        <f>IF($G1981="",0,IF(Sync!$AB1977="",0,Sync!$AB1977))</f>
        <v/>
      </c>
      <c r="M1981">
        <f>IF($G1981="","",IF($H1981="مرجوعی فروش",-1,1)*($K1981-$L1981*IFERROR(VLOOKUP("P01",ParamTbl,3,0),1.5)))</f>
        <v/>
      </c>
      <c r="N1981">
        <f>IF($G1981="",0,IF($H1981="مرجوعی فروش",-1,1)*IF(Sync!$AC1977="",0,Sync!$AC1977))</f>
        <v/>
      </c>
      <c r="O1981">
        <f>IF(OR($G1981="",Sync!$V1977=""),"",Sync!$V1977)</f>
        <v/>
      </c>
      <c r="P1981">
        <f>IF(OR($G1981="",Sync!$AD1977=""),"",Sync!$AD1977)</f>
        <v/>
      </c>
      <c r="Q1981">
        <f>IF($G1981="","",IF(Sync!$U1977="","0000",IF(AND(ISNUMBER(Sync!$U1977),Sync!$U1977&gt;=0,Sync!$U1977&lt;1),RIGHT("00"&amp;HOUR(Sync!$U1977),2)&amp;RIGHT("00"&amp;MINUTE(Sync!$U1977),2),IFERROR(RIGHT("00"&amp;VALUE(LEFT(Sync!$U1977,FIND(":",Sync!$U1977)-1)),2)&amp;RIGHT("00"&amp;VALUE(MID(Sync!$U1977,FIND(":",Sync!$U1977)+1,2)),2),"0000"))))</f>
        <v/>
      </c>
    </row>
    <row r="1982">
      <c r="A1982">
        <f>IF(Sync!$T1978="","",Sync!$T1978)</f>
        <v/>
      </c>
      <c r="B1982">
        <f>IF($A1982="","",IF(ISNUMBER($A1982),IF(AND($A1982&gt;=10000101,$A1982&lt;=99991231),INT($A1982/10000),""),IFERROR(VALUE(TRIM(LEFT($A1982,FIND("/",$A1982)-1))),"")))</f>
        <v/>
      </c>
      <c r="C1982">
        <f>IF(OR($A1982="",$B1982=""),"",IF(ISNUMBER($A1982),INT(MOD($A1982,10000)/100),IFERROR(VALUE(TRIM(LEFT(MID($A1982,FIND("/",$A1982)+1,20),FIND("/",MID($A1982,FIND("/",$A1982)+1,20))-1))),"")))</f>
        <v/>
      </c>
      <c r="D1982">
        <f>IF(OR($A1982="",$B1982=""),"",IF(ISNUMBER($A1982),MOD($A1982,100),IFERROR(VALUE(TRIM(MID(MID($A1982,FIND("/",$A1982)+1,20),FIND("/",MID($A1982,FIND("/",$A1982)+1,20))+1,20))),"")))</f>
        <v/>
      </c>
      <c r="E1982">
        <f>IF($A1982="","",IF(OR($B1982="",$C1982="",$D1982="",$B1982&lt;1300,$B1982&gt;1500,$C1982&lt;1,$C1982&gt;12,$D1982&lt;1,$D1982&gt;31),"نامعتبر",RIGHT("0000"&amp;$B1982,4)&amp;"/"&amp;RIGHT("00"&amp;$C1982,2)&amp;"/"&amp;RIGHT("00"&amp;$D1982,2)))</f>
        <v/>
      </c>
      <c r="F1982">
        <f>IF(OR($E1982="",$E1982="نامعتبر"),"",LEFT($E1982,4)&amp;"/"&amp;MID($E1982,6,2))</f>
        <v/>
      </c>
      <c r="G1982">
        <f>IF(OR($E1982="",$E1982="نامعتبر",Sync!$X1978=""),"",IF(AND(LEFT(UPPER(TRIM(Sync!$X1978)),2)="SL",IFERROR(VLOOKUP(Sync!$W1978,OpTbl,3,0),"")="فروش"),UPPER(TRIM(Sync!$X1978)),""))</f>
        <v/>
      </c>
      <c r="H1982">
        <f>IF($G1982="","",IF(Sync!$W1978="","",Sync!$W1978))</f>
        <v/>
      </c>
      <c r="I1982">
        <f>IF(OR($G1982="",Sync!$Y1978=""),"",Sync!$Y1978)</f>
        <v/>
      </c>
      <c r="J1982">
        <f>IF(OR($G1982="",Sync!$Z1978=""),"",Sync!$Z1978)</f>
        <v/>
      </c>
      <c r="K1982">
        <f>IF($G1982="",0,IF(Sync!$AA1978="",0,Sync!$AA1978))</f>
        <v/>
      </c>
      <c r="L1982">
        <f>IF($G1982="",0,IF(Sync!$AB1978="",0,Sync!$AB1978))</f>
        <v/>
      </c>
      <c r="M1982">
        <f>IF($G1982="","",IF($H1982="مرجوعی فروش",-1,1)*($K1982-$L1982*IFERROR(VLOOKUP("P01",ParamTbl,3,0),1.5)))</f>
        <v/>
      </c>
      <c r="N1982">
        <f>IF($G1982="",0,IF($H1982="مرجوعی فروش",-1,1)*IF(Sync!$AC1978="",0,Sync!$AC1978))</f>
        <v/>
      </c>
      <c r="O1982">
        <f>IF(OR($G1982="",Sync!$V1978=""),"",Sync!$V1978)</f>
        <v/>
      </c>
      <c r="P1982">
        <f>IF(OR($G1982="",Sync!$AD1978=""),"",Sync!$AD1978)</f>
        <v/>
      </c>
      <c r="Q1982">
        <f>IF($G1982="","",IF(Sync!$U1978="","0000",IF(AND(ISNUMBER(Sync!$U1978),Sync!$U1978&gt;=0,Sync!$U1978&lt;1),RIGHT("00"&amp;HOUR(Sync!$U1978),2)&amp;RIGHT("00"&amp;MINUTE(Sync!$U1978),2),IFERROR(RIGHT("00"&amp;VALUE(LEFT(Sync!$U1978,FIND(":",Sync!$U1978)-1)),2)&amp;RIGHT("00"&amp;VALUE(MID(Sync!$U1978,FIND(":",Sync!$U1978)+1,2)),2),"0000"))))</f>
        <v/>
      </c>
    </row>
    <row r="1983">
      <c r="A1983">
        <f>IF(Sync!$T1979="","",Sync!$T1979)</f>
        <v/>
      </c>
      <c r="B1983">
        <f>IF($A1983="","",IF(ISNUMBER($A1983),IF(AND($A1983&gt;=10000101,$A1983&lt;=99991231),INT($A1983/10000),""),IFERROR(VALUE(TRIM(LEFT($A1983,FIND("/",$A1983)-1))),"")))</f>
        <v/>
      </c>
      <c r="C1983">
        <f>IF(OR($A1983="",$B1983=""),"",IF(ISNUMBER($A1983),INT(MOD($A1983,10000)/100),IFERROR(VALUE(TRIM(LEFT(MID($A1983,FIND("/",$A1983)+1,20),FIND("/",MID($A1983,FIND("/",$A1983)+1,20))-1))),"")))</f>
        <v/>
      </c>
      <c r="D1983">
        <f>IF(OR($A1983="",$B1983=""),"",IF(ISNUMBER($A1983),MOD($A1983,100),IFERROR(VALUE(TRIM(MID(MID($A1983,FIND("/",$A1983)+1,20),FIND("/",MID($A1983,FIND("/",$A1983)+1,20))+1,20))),"")))</f>
        <v/>
      </c>
      <c r="E1983">
        <f>IF($A1983="","",IF(OR($B1983="",$C1983="",$D1983="",$B1983&lt;1300,$B1983&gt;1500,$C1983&lt;1,$C1983&gt;12,$D1983&lt;1,$D1983&gt;31),"نامعتبر",RIGHT("0000"&amp;$B1983,4)&amp;"/"&amp;RIGHT("00"&amp;$C1983,2)&amp;"/"&amp;RIGHT("00"&amp;$D1983,2)))</f>
        <v/>
      </c>
      <c r="F1983">
        <f>IF(OR($E1983="",$E1983="نامعتبر"),"",LEFT($E1983,4)&amp;"/"&amp;MID($E1983,6,2))</f>
        <v/>
      </c>
      <c r="G1983">
        <f>IF(OR($E1983="",$E1983="نامعتبر",Sync!$X1979=""),"",IF(AND(LEFT(UPPER(TRIM(Sync!$X1979)),2)="SL",IFERROR(VLOOKUP(Sync!$W1979,OpTbl,3,0),"")="فروش"),UPPER(TRIM(Sync!$X1979)),""))</f>
        <v/>
      </c>
      <c r="H1983">
        <f>IF($G1983="","",IF(Sync!$W1979="","",Sync!$W1979))</f>
        <v/>
      </c>
      <c r="I1983">
        <f>IF(OR($G1983="",Sync!$Y1979=""),"",Sync!$Y1979)</f>
        <v/>
      </c>
      <c r="J1983">
        <f>IF(OR($G1983="",Sync!$Z1979=""),"",Sync!$Z1979)</f>
        <v/>
      </c>
      <c r="K1983">
        <f>IF($G1983="",0,IF(Sync!$AA1979="",0,Sync!$AA1979))</f>
        <v/>
      </c>
      <c r="L1983">
        <f>IF($G1983="",0,IF(Sync!$AB1979="",0,Sync!$AB1979))</f>
        <v/>
      </c>
      <c r="M1983">
        <f>IF($G1983="","",IF($H1983="مرجوعی فروش",-1,1)*($K1983-$L1983*IFERROR(VLOOKUP("P01",ParamTbl,3,0),1.5)))</f>
        <v/>
      </c>
      <c r="N1983">
        <f>IF($G1983="",0,IF($H1983="مرجوعی فروش",-1,1)*IF(Sync!$AC1979="",0,Sync!$AC1979))</f>
        <v/>
      </c>
      <c r="O1983">
        <f>IF(OR($G1983="",Sync!$V1979=""),"",Sync!$V1979)</f>
        <v/>
      </c>
      <c r="P1983">
        <f>IF(OR($G1983="",Sync!$AD1979=""),"",Sync!$AD1979)</f>
        <v/>
      </c>
      <c r="Q1983">
        <f>IF($G1983="","",IF(Sync!$U1979="","0000",IF(AND(ISNUMBER(Sync!$U1979),Sync!$U1979&gt;=0,Sync!$U1979&lt;1),RIGHT("00"&amp;HOUR(Sync!$U1979),2)&amp;RIGHT("00"&amp;MINUTE(Sync!$U1979),2),IFERROR(RIGHT("00"&amp;VALUE(LEFT(Sync!$U1979,FIND(":",Sync!$U1979)-1)),2)&amp;RIGHT("00"&amp;VALUE(MID(Sync!$U1979,FIND(":",Sync!$U1979)+1,2)),2),"0000"))))</f>
        <v/>
      </c>
    </row>
    <row r="1984">
      <c r="A1984">
        <f>IF(Sync!$T1980="","",Sync!$T1980)</f>
        <v/>
      </c>
      <c r="B1984">
        <f>IF($A1984="","",IF(ISNUMBER($A1984),IF(AND($A1984&gt;=10000101,$A1984&lt;=99991231),INT($A1984/10000),""),IFERROR(VALUE(TRIM(LEFT($A1984,FIND("/",$A1984)-1))),"")))</f>
        <v/>
      </c>
      <c r="C1984">
        <f>IF(OR($A1984="",$B1984=""),"",IF(ISNUMBER($A1984),INT(MOD($A1984,10000)/100),IFERROR(VALUE(TRIM(LEFT(MID($A1984,FIND("/",$A1984)+1,20),FIND("/",MID($A1984,FIND("/",$A1984)+1,20))-1))),"")))</f>
        <v/>
      </c>
      <c r="D1984">
        <f>IF(OR($A1984="",$B1984=""),"",IF(ISNUMBER($A1984),MOD($A1984,100),IFERROR(VALUE(TRIM(MID(MID($A1984,FIND("/",$A1984)+1,20),FIND("/",MID($A1984,FIND("/",$A1984)+1,20))+1,20))),"")))</f>
        <v/>
      </c>
      <c r="E1984">
        <f>IF($A1984="","",IF(OR($B1984="",$C1984="",$D1984="",$B1984&lt;1300,$B1984&gt;1500,$C1984&lt;1,$C1984&gt;12,$D1984&lt;1,$D1984&gt;31),"نامعتبر",RIGHT("0000"&amp;$B1984,4)&amp;"/"&amp;RIGHT("00"&amp;$C1984,2)&amp;"/"&amp;RIGHT("00"&amp;$D1984,2)))</f>
        <v/>
      </c>
      <c r="F1984">
        <f>IF(OR($E1984="",$E1984="نامعتبر"),"",LEFT($E1984,4)&amp;"/"&amp;MID($E1984,6,2))</f>
        <v/>
      </c>
      <c r="G1984">
        <f>IF(OR($E1984="",$E1984="نامعتبر",Sync!$X1980=""),"",IF(AND(LEFT(UPPER(TRIM(Sync!$X1980)),2)="SL",IFERROR(VLOOKUP(Sync!$W1980,OpTbl,3,0),"")="فروش"),UPPER(TRIM(Sync!$X1980)),""))</f>
        <v/>
      </c>
      <c r="H1984">
        <f>IF($G1984="","",IF(Sync!$W1980="","",Sync!$W1980))</f>
        <v/>
      </c>
      <c r="I1984">
        <f>IF(OR($G1984="",Sync!$Y1980=""),"",Sync!$Y1980)</f>
        <v/>
      </c>
      <c r="J1984">
        <f>IF(OR($G1984="",Sync!$Z1980=""),"",Sync!$Z1980)</f>
        <v/>
      </c>
      <c r="K1984">
        <f>IF($G1984="",0,IF(Sync!$AA1980="",0,Sync!$AA1980))</f>
        <v/>
      </c>
      <c r="L1984">
        <f>IF($G1984="",0,IF(Sync!$AB1980="",0,Sync!$AB1980))</f>
        <v/>
      </c>
      <c r="M1984">
        <f>IF($G1984="","",IF($H1984="مرجوعی فروش",-1,1)*($K1984-$L1984*IFERROR(VLOOKUP("P01",ParamTbl,3,0),1.5)))</f>
        <v/>
      </c>
      <c r="N1984">
        <f>IF($G1984="",0,IF($H1984="مرجوعی فروش",-1,1)*IF(Sync!$AC1980="",0,Sync!$AC1980))</f>
        <v/>
      </c>
      <c r="O1984">
        <f>IF(OR($G1984="",Sync!$V1980=""),"",Sync!$V1980)</f>
        <v/>
      </c>
      <c r="P1984">
        <f>IF(OR($G1984="",Sync!$AD1980=""),"",Sync!$AD1980)</f>
        <v/>
      </c>
      <c r="Q1984">
        <f>IF($G1984="","",IF(Sync!$U1980="","0000",IF(AND(ISNUMBER(Sync!$U1980),Sync!$U1980&gt;=0,Sync!$U1980&lt;1),RIGHT("00"&amp;HOUR(Sync!$U1980),2)&amp;RIGHT("00"&amp;MINUTE(Sync!$U1980),2),IFERROR(RIGHT("00"&amp;VALUE(LEFT(Sync!$U1980,FIND(":",Sync!$U1980)-1)),2)&amp;RIGHT("00"&amp;VALUE(MID(Sync!$U1980,FIND(":",Sync!$U1980)+1,2)),2),"0000"))))</f>
        <v/>
      </c>
    </row>
    <row r="1985">
      <c r="A1985">
        <f>IF(Sync!$T1981="","",Sync!$T1981)</f>
        <v/>
      </c>
      <c r="B1985">
        <f>IF($A1985="","",IF(ISNUMBER($A1985),IF(AND($A1985&gt;=10000101,$A1985&lt;=99991231),INT($A1985/10000),""),IFERROR(VALUE(TRIM(LEFT($A1985,FIND("/",$A1985)-1))),"")))</f>
        <v/>
      </c>
      <c r="C1985">
        <f>IF(OR($A1985="",$B1985=""),"",IF(ISNUMBER($A1985),INT(MOD($A1985,10000)/100),IFERROR(VALUE(TRIM(LEFT(MID($A1985,FIND("/",$A1985)+1,20),FIND("/",MID($A1985,FIND("/",$A1985)+1,20))-1))),"")))</f>
        <v/>
      </c>
      <c r="D1985">
        <f>IF(OR($A1985="",$B1985=""),"",IF(ISNUMBER($A1985),MOD($A1985,100),IFERROR(VALUE(TRIM(MID(MID($A1985,FIND("/",$A1985)+1,20),FIND("/",MID($A1985,FIND("/",$A1985)+1,20))+1,20))),"")))</f>
        <v/>
      </c>
      <c r="E1985">
        <f>IF($A1985="","",IF(OR($B1985="",$C1985="",$D1985="",$B1985&lt;1300,$B1985&gt;1500,$C1985&lt;1,$C1985&gt;12,$D1985&lt;1,$D1985&gt;31),"نامعتبر",RIGHT("0000"&amp;$B1985,4)&amp;"/"&amp;RIGHT("00"&amp;$C1985,2)&amp;"/"&amp;RIGHT("00"&amp;$D1985,2)))</f>
        <v/>
      </c>
      <c r="F1985">
        <f>IF(OR($E1985="",$E1985="نامعتبر"),"",LEFT($E1985,4)&amp;"/"&amp;MID($E1985,6,2))</f>
        <v/>
      </c>
      <c r="G1985">
        <f>IF(OR($E1985="",$E1985="نامعتبر",Sync!$X1981=""),"",IF(AND(LEFT(UPPER(TRIM(Sync!$X1981)),2)="SL",IFERROR(VLOOKUP(Sync!$W1981,OpTbl,3,0),"")="فروش"),UPPER(TRIM(Sync!$X1981)),""))</f>
        <v/>
      </c>
      <c r="H1985">
        <f>IF($G1985="","",IF(Sync!$W1981="","",Sync!$W1981))</f>
        <v/>
      </c>
      <c r="I1985">
        <f>IF(OR($G1985="",Sync!$Y1981=""),"",Sync!$Y1981)</f>
        <v/>
      </c>
      <c r="J1985">
        <f>IF(OR($G1985="",Sync!$Z1981=""),"",Sync!$Z1981)</f>
        <v/>
      </c>
      <c r="K1985">
        <f>IF($G1985="",0,IF(Sync!$AA1981="",0,Sync!$AA1981))</f>
        <v/>
      </c>
      <c r="L1985">
        <f>IF($G1985="",0,IF(Sync!$AB1981="",0,Sync!$AB1981))</f>
        <v/>
      </c>
      <c r="M1985">
        <f>IF($G1985="","",IF($H1985="مرجوعی فروش",-1,1)*($K1985-$L1985*IFERROR(VLOOKUP("P01",ParamTbl,3,0),1.5)))</f>
        <v/>
      </c>
      <c r="N1985">
        <f>IF($G1985="",0,IF($H1985="مرجوعی فروش",-1,1)*IF(Sync!$AC1981="",0,Sync!$AC1981))</f>
        <v/>
      </c>
      <c r="O1985">
        <f>IF(OR($G1985="",Sync!$V1981=""),"",Sync!$V1981)</f>
        <v/>
      </c>
      <c r="P1985">
        <f>IF(OR($G1985="",Sync!$AD1981=""),"",Sync!$AD1981)</f>
        <v/>
      </c>
      <c r="Q1985">
        <f>IF($G1985="","",IF(Sync!$U1981="","0000",IF(AND(ISNUMBER(Sync!$U1981),Sync!$U1981&gt;=0,Sync!$U1981&lt;1),RIGHT("00"&amp;HOUR(Sync!$U1981),2)&amp;RIGHT("00"&amp;MINUTE(Sync!$U1981),2),IFERROR(RIGHT("00"&amp;VALUE(LEFT(Sync!$U1981,FIND(":",Sync!$U1981)-1)),2)&amp;RIGHT("00"&amp;VALUE(MID(Sync!$U1981,FIND(":",Sync!$U1981)+1,2)),2),"0000"))))</f>
        <v/>
      </c>
    </row>
    <row r="1986">
      <c r="A1986">
        <f>IF(Sync!$T1982="","",Sync!$T1982)</f>
        <v/>
      </c>
      <c r="B1986">
        <f>IF($A1986="","",IF(ISNUMBER($A1986),IF(AND($A1986&gt;=10000101,$A1986&lt;=99991231),INT($A1986/10000),""),IFERROR(VALUE(TRIM(LEFT($A1986,FIND("/",$A1986)-1))),"")))</f>
        <v/>
      </c>
      <c r="C1986">
        <f>IF(OR($A1986="",$B1986=""),"",IF(ISNUMBER($A1986),INT(MOD($A1986,10000)/100),IFERROR(VALUE(TRIM(LEFT(MID($A1986,FIND("/",$A1986)+1,20),FIND("/",MID($A1986,FIND("/",$A1986)+1,20))-1))),"")))</f>
        <v/>
      </c>
      <c r="D1986">
        <f>IF(OR($A1986="",$B1986=""),"",IF(ISNUMBER($A1986),MOD($A1986,100),IFERROR(VALUE(TRIM(MID(MID($A1986,FIND("/",$A1986)+1,20),FIND("/",MID($A1986,FIND("/",$A1986)+1,20))+1,20))),"")))</f>
        <v/>
      </c>
      <c r="E1986">
        <f>IF($A1986="","",IF(OR($B1986="",$C1986="",$D1986="",$B1986&lt;1300,$B1986&gt;1500,$C1986&lt;1,$C1986&gt;12,$D1986&lt;1,$D1986&gt;31),"نامعتبر",RIGHT("0000"&amp;$B1986,4)&amp;"/"&amp;RIGHT("00"&amp;$C1986,2)&amp;"/"&amp;RIGHT("00"&amp;$D1986,2)))</f>
        <v/>
      </c>
      <c r="F1986">
        <f>IF(OR($E1986="",$E1986="نامعتبر"),"",LEFT($E1986,4)&amp;"/"&amp;MID($E1986,6,2))</f>
        <v/>
      </c>
      <c r="G1986">
        <f>IF(OR($E1986="",$E1986="نامعتبر",Sync!$X1982=""),"",IF(AND(LEFT(UPPER(TRIM(Sync!$X1982)),2)="SL",IFERROR(VLOOKUP(Sync!$W1982,OpTbl,3,0),"")="فروش"),UPPER(TRIM(Sync!$X1982)),""))</f>
        <v/>
      </c>
      <c r="H1986">
        <f>IF($G1986="","",IF(Sync!$W1982="","",Sync!$W1982))</f>
        <v/>
      </c>
      <c r="I1986">
        <f>IF(OR($G1986="",Sync!$Y1982=""),"",Sync!$Y1982)</f>
        <v/>
      </c>
      <c r="J1986">
        <f>IF(OR($G1986="",Sync!$Z1982=""),"",Sync!$Z1982)</f>
        <v/>
      </c>
      <c r="K1986">
        <f>IF($G1986="",0,IF(Sync!$AA1982="",0,Sync!$AA1982))</f>
        <v/>
      </c>
      <c r="L1986">
        <f>IF($G1986="",0,IF(Sync!$AB1982="",0,Sync!$AB1982))</f>
        <v/>
      </c>
      <c r="M1986">
        <f>IF($G1986="","",IF($H1986="مرجوعی فروش",-1,1)*($K1986-$L1986*IFERROR(VLOOKUP("P01",ParamTbl,3,0),1.5)))</f>
        <v/>
      </c>
      <c r="N1986">
        <f>IF($G1986="",0,IF($H1986="مرجوعی فروش",-1,1)*IF(Sync!$AC1982="",0,Sync!$AC1982))</f>
        <v/>
      </c>
      <c r="O1986">
        <f>IF(OR($G1986="",Sync!$V1982=""),"",Sync!$V1982)</f>
        <v/>
      </c>
      <c r="P1986">
        <f>IF(OR($G1986="",Sync!$AD1982=""),"",Sync!$AD1982)</f>
        <v/>
      </c>
      <c r="Q1986">
        <f>IF($G1986="","",IF(Sync!$U1982="","0000",IF(AND(ISNUMBER(Sync!$U1982),Sync!$U1982&gt;=0,Sync!$U1982&lt;1),RIGHT("00"&amp;HOUR(Sync!$U1982),2)&amp;RIGHT("00"&amp;MINUTE(Sync!$U1982),2),IFERROR(RIGHT("00"&amp;VALUE(LEFT(Sync!$U1982,FIND(":",Sync!$U1982)-1)),2)&amp;RIGHT("00"&amp;VALUE(MID(Sync!$U1982,FIND(":",Sync!$U1982)+1,2)),2),"0000"))))</f>
        <v/>
      </c>
    </row>
    <row r="1987">
      <c r="A1987">
        <f>IF(Sync!$T1983="","",Sync!$T1983)</f>
        <v/>
      </c>
      <c r="B1987">
        <f>IF($A1987="","",IF(ISNUMBER($A1987),IF(AND($A1987&gt;=10000101,$A1987&lt;=99991231),INT($A1987/10000),""),IFERROR(VALUE(TRIM(LEFT($A1987,FIND("/",$A1987)-1))),"")))</f>
        <v/>
      </c>
      <c r="C1987">
        <f>IF(OR($A1987="",$B1987=""),"",IF(ISNUMBER($A1987),INT(MOD($A1987,10000)/100),IFERROR(VALUE(TRIM(LEFT(MID($A1987,FIND("/",$A1987)+1,20),FIND("/",MID($A1987,FIND("/",$A1987)+1,20))-1))),"")))</f>
        <v/>
      </c>
      <c r="D1987">
        <f>IF(OR($A1987="",$B1987=""),"",IF(ISNUMBER($A1987),MOD($A1987,100),IFERROR(VALUE(TRIM(MID(MID($A1987,FIND("/",$A1987)+1,20),FIND("/",MID($A1987,FIND("/",$A1987)+1,20))+1,20))),"")))</f>
        <v/>
      </c>
      <c r="E1987">
        <f>IF($A1987="","",IF(OR($B1987="",$C1987="",$D1987="",$B1987&lt;1300,$B1987&gt;1500,$C1987&lt;1,$C1987&gt;12,$D1987&lt;1,$D1987&gt;31),"نامعتبر",RIGHT("0000"&amp;$B1987,4)&amp;"/"&amp;RIGHT("00"&amp;$C1987,2)&amp;"/"&amp;RIGHT("00"&amp;$D1987,2)))</f>
        <v/>
      </c>
      <c r="F1987">
        <f>IF(OR($E1987="",$E1987="نامعتبر"),"",LEFT($E1987,4)&amp;"/"&amp;MID($E1987,6,2))</f>
        <v/>
      </c>
      <c r="G1987">
        <f>IF(OR($E1987="",$E1987="نامعتبر",Sync!$X1983=""),"",IF(AND(LEFT(UPPER(TRIM(Sync!$X1983)),2)="SL",IFERROR(VLOOKUP(Sync!$W1983,OpTbl,3,0),"")="فروش"),UPPER(TRIM(Sync!$X1983)),""))</f>
        <v/>
      </c>
      <c r="H1987">
        <f>IF($G1987="","",IF(Sync!$W1983="","",Sync!$W1983))</f>
        <v/>
      </c>
      <c r="I1987">
        <f>IF(OR($G1987="",Sync!$Y1983=""),"",Sync!$Y1983)</f>
        <v/>
      </c>
      <c r="J1987">
        <f>IF(OR($G1987="",Sync!$Z1983=""),"",Sync!$Z1983)</f>
        <v/>
      </c>
      <c r="K1987">
        <f>IF($G1987="",0,IF(Sync!$AA1983="",0,Sync!$AA1983))</f>
        <v/>
      </c>
      <c r="L1987">
        <f>IF($G1987="",0,IF(Sync!$AB1983="",0,Sync!$AB1983))</f>
        <v/>
      </c>
      <c r="M1987">
        <f>IF($G1987="","",IF($H1987="مرجوعی فروش",-1,1)*($K1987-$L1987*IFERROR(VLOOKUP("P01",ParamTbl,3,0),1.5)))</f>
        <v/>
      </c>
      <c r="N1987">
        <f>IF($G1987="",0,IF($H1987="مرجوعی فروش",-1,1)*IF(Sync!$AC1983="",0,Sync!$AC1983))</f>
        <v/>
      </c>
      <c r="O1987">
        <f>IF(OR($G1987="",Sync!$V1983=""),"",Sync!$V1983)</f>
        <v/>
      </c>
      <c r="P1987">
        <f>IF(OR($G1987="",Sync!$AD1983=""),"",Sync!$AD1983)</f>
        <v/>
      </c>
      <c r="Q1987">
        <f>IF($G1987="","",IF(Sync!$U1983="","0000",IF(AND(ISNUMBER(Sync!$U1983),Sync!$U1983&gt;=0,Sync!$U1983&lt;1),RIGHT("00"&amp;HOUR(Sync!$U1983),2)&amp;RIGHT("00"&amp;MINUTE(Sync!$U1983),2),IFERROR(RIGHT("00"&amp;VALUE(LEFT(Sync!$U1983,FIND(":",Sync!$U1983)-1)),2)&amp;RIGHT("00"&amp;VALUE(MID(Sync!$U1983,FIND(":",Sync!$U1983)+1,2)),2),"0000"))))</f>
        <v/>
      </c>
    </row>
    <row r="1988">
      <c r="A1988">
        <f>IF(Sync!$T1984="","",Sync!$T1984)</f>
        <v/>
      </c>
      <c r="B1988">
        <f>IF($A1988="","",IF(ISNUMBER($A1988),IF(AND($A1988&gt;=10000101,$A1988&lt;=99991231),INT($A1988/10000),""),IFERROR(VALUE(TRIM(LEFT($A1988,FIND("/",$A1988)-1))),"")))</f>
        <v/>
      </c>
      <c r="C1988">
        <f>IF(OR($A1988="",$B1988=""),"",IF(ISNUMBER($A1988),INT(MOD($A1988,10000)/100),IFERROR(VALUE(TRIM(LEFT(MID($A1988,FIND("/",$A1988)+1,20),FIND("/",MID($A1988,FIND("/",$A1988)+1,20))-1))),"")))</f>
        <v/>
      </c>
      <c r="D1988">
        <f>IF(OR($A1988="",$B1988=""),"",IF(ISNUMBER($A1988),MOD($A1988,100),IFERROR(VALUE(TRIM(MID(MID($A1988,FIND("/",$A1988)+1,20),FIND("/",MID($A1988,FIND("/",$A1988)+1,20))+1,20))),"")))</f>
        <v/>
      </c>
      <c r="E1988">
        <f>IF($A1988="","",IF(OR($B1988="",$C1988="",$D1988="",$B1988&lt;1300,$B1988&gt;1500,$C1988&lt;1,$C1988&gt;12,$D1988&lt;1,$D1988&gt;31),"نامعتبر",RIGHT("0000"&amp;$B1988,4)&amp;"/"&amp;RIGHT("00"&amp;$C1988,2)&amp;"/"&amp;RIGHT("00"&amp;$D1988,2)))</f>
        <v/>
      </c>
      <c r="F1988">
        <f>IF(OR($E1988="",$E1988="نامعتبر"),"",LEFT($E1988,4)&amp;"/"&amp;MID($E1988,6,2))</f>
        <v/>
      </c>
      <c r="G1988">
        <f>IF(OR($E1988="",$E1988="نامعتبر",Sync!$X1984=""),"",IF(AND(LEFT(UPPER(TRIM(Sync!$X1984)),2)="SL",IFERROR(VLOOKUP(Sync!$W1984,OpTbl,3,0),"")="فروش"),UPPER(TRIM(Sync!$X1984)),""))</f>
        <v/>
      </c>
      <c r="H1988">
        <f>IF($G1988="","",IF(Sync!$W1984="","",Sync!$W1984))</f>
        <v/>
      </c>
      <c r="I1988">
        <f>IF(OR($G1988="",Sync!$Y1984=""),"",Sync!$Y1984)</f>
        <v/>
      </c>
      <c r="J1988">
        <f>IF(OR($G1988="",Sync!$Z1984=""),"",Sync!$Z1984)</f>
        <v/>
      </c>
      <c r="K1988">
        <f>IF($G1988="",0,IF(Sync!$AA1984="",0,Sync!$AA1984))</f>
        <v/>
      </c>
      <c r="L1988">
        <f>IF($G1988="",0,IF(Sync!$AB1984="",0,Sync!$AB1984))</f>
        <v/>
      </c>
      <c r="M1988">
        <f>IF($G1988="","",IF($H1988="مرجوعی فروش",-1,1)*($K1988-$L1988*IFERROR(VLOOKUP("P01",ParamTbl,3,0),1.5)))</f>
        <v/>
      </c>
      <c r="N1988">
        <f>IF($G1988="",0,IF($H1988="مرجوعی فروش",-1,1)*IF(Sync!$AC1984="",0,Sync!$AC1984))</f>
        <v/>
      </c>
      <c r="O1988">
        <f>IF(OR($G1988="",Sync!$V1984=""),"",Sync!$V1984)</f>
        <v/>
      </c>
      <c r="P1988">
        <f>IF(OR($G1988="",Sync!$AD1984=""),"",Sync!$AD1984)</f>
        <v/>
      </c>
      <c r="Q1988">
        <f>IF($G1988="","",IF(Sync!$U1984="","0000",IF(AND(ISNUMBER(Sync!$U1984),Sync!$U1984&gt;=0,Sync!$U1984&lt;1),RIGHT("00"&amp;HOUR(Sync!$U1984),2)&amp;RIGHT("00"&amp;MINUTE(Sync!$U1984),2),IFERROR(RIGHT("00"&amp;VALUE(LEFT(Sync!$U1984,FIND(":",Sync!$U1984)-1)),2)&amp;RIGHT("00"&amp;VALUE(MID(Sync!$U1984,FIND(":",Sync!$U1984)+1,2)),2),"0000"))))</f>
        <v/>
      </c>
    </row>
    <row r="1989">
      <c r="A1989">
        <f>IF(Sync!$T1985="","",Sync!$T1985)</f>
        <v/>
      </c>
      <c r="B1989">
        <f>IF($A1989="","",IF(ISNUMBER($A1989),IF(AND($A1989&gt;=10000101,$A1989&lt;=99991231),INT($A1989/10000),""),IFERROR(VALUE(TRIM(LEFT($A1989,FIND("/",$A1989)-1))),"")))</f>
        <v/>
      </c>
      <c r="C1989">
        <f>IF(OR($A1989="",$B1989=""),"",IF(ISNUMBER($A1989),INT(MOD($A1989,10000)/100),IFERROR(VALUE(TRIM(LEFT(MID($A1989,FIND("/",$A1989)+1,20),FIND("/",MID($A1989,FIND("/",$A1989)+1,20))-1))),"")))</f>
        <v/>
      </c>
      <c r="D1989">
        <f>IF(OR($A1989="",$B1989=""),"",IF(ISNUMBER($A1989),MOD($A1989,100),IFERROR(VALUE(TRIM(MID(MID($A1989,FIND("/",$A1989)+1,20),FIND("/",MID($A1989,FIND("/",$A1989)+1,20))+1,20))),"")))</f>
        <v/>
      </c>
      <c r="E1989">
        <f>IF($A1989="","",IF(OR($B1989="",$C1989="",$D1989="",$B1989&lt;1300,$B1989&gt;1500,$C1989&lt;1,$C1989&gt;12,$D1989&lt;1,$D1989&gt;31),"نامعتبر",RIGHT("0000"&amp;$B1989,4)&amp;"/"&amp;RIGHT("00"&amp;$C1989,2)&amp;"/"&amp;RIGHT("00"&amp;$D1989,2)))</f>
        <v/>
      </c>
      <c r="F1989">
        <f>IF(OR($E1989="",$E1989="نامعتبر"),"",LEFT($E1989,4)&amp;"/"&amp;MID($E1989,6,2))</f>
        <v/>
      </c>
      <c r="G1989">
        <f>IF(OR($E1989="",$E1989="نامعتبر",Sync!$X1985=""),"",IF(AND(LEFT(UPPER(TRIM(Sync!$X1985)),2)="SL",IFERROR(VLOOKUP(Sync!$W1985,OpTbl,3,0),"")="فروش"),UPPER(TRIM(Sync!$X1985)),""))</f>
        <v/>
      </c>
      <c r="H1989">
        <f>IF($G1989="","",IF(Sync!$W1985="","",Sync!$W1985))</f>
        <v/>
      </c>
      <c r="I1989">
        <f>IF(OR($G1989="",Sync!$Y1985=""),"",Sync!$Y1985)</f>
        <v/>
      </c>
      <c r="J1989">
        <f>IF(OR($G1989="",Sync!$Z1985=""),"",Sync!$Z1985)</f>
        <v/>
      </c>
      <c r="K1989">
        <f>IF($G1989="",0,IF(Sync!$AA1985="",0,Sync!$AA1985))</f>
        <v/>
      </c>
      <c r="L1989">
        <f>IF($G1989="",0,IF(Sync!$AB1985="",0,Sync!$AB1985))</f>
        <v/>
      </c>
      <c r="M1989">
        <f>IF($G1989="","",IF($H1989="مرجوعی فروش",-1,1)*($K1989-$L1989*IFERROR(VLOOKUP("P01",ParamTbl,3,0),1.5)))</f>
        <v/>
      </c>
      <c r="N1989">
        <f>IF($G1989="",0,IF($H1989="مرجوعی فروش",-1,1)*IF(Sync!$AC1985="",0,Sync!$AC1985))</f>
        <v/>
      </c>
      <c r="O1989">
        <f>IF(OR($G1989="",Sync!$V1985=""),"",Sync!$V1985)</f>
        <v/>
      </c>
      <c r="P1989">
        <f>IF(OR($G1989="",Sync!$AD1985=""),"",Sync!$AD1985)</f>
        <v/>
      </c>
      <c r="Q1989">
        <f>IF($G1989="","",IF(Sync!$U1985="","0000",IF(AND(ISNUMBER(Sync!$U1985),Sync!$U1985&gt;=0,Sync!$U1985&lt;1),RIGHT("00"&amp;HOUR(Sync!$U1985),2)&amp;RIGHT("00"&amp;MINUTE(Sync!$U1985),2),IFERROR(RIGHT("00"&amp;VALUE(LEFT(Sync!$U1985,FIND(":",Sync!$U1985)-1)),2)&amp;RIGHT("00"&amp;VALUE(MID(Sync!$U1985,FIND(":",Sync!$U1985)+1,2)),2),"0000"))))</f>
        <v/>
      </c>
    </row>
    <row r="1990">
      <c r="A1990">
        <f>IF(Sync!$T1986="","",Sync!$T1986)</f>
        <v/>
      </c>
      <c r="B1990">
        <f>IF($A1990="","",IF(ISNUMBER($A1990),IF(AND($A1990&gt;=10000101,$A1990&lt;=99991231),INT($A1990/10000),""),IFERROR(VALUE(TRIM(LEFT($A1990,FIND("/",$A1990)-1))),"")))</f>
        <v/>
      </c>
      <c r="C1990">
        <f>IF(OR($A1990="",$B1990=""),"",IF(ISNUMBER($A1990),INT(MOD($A1990,10000)/100),IFERROR(VALUE(TRIM(LEFT(MID($A1990,FIND("/",$A1990)+1,20),FIND("/",MID($A1990,FIND("/",$A1990)+1,20))-1))),"")))</f>
        <v/>
      </c>
      <c r="D1990">
        <f>IF(OR($A1990="",$B1990=""),"",IF(ISNUMBER($A1990),MOD($A1990,100),IFERROR(VALUE(TRIM(MID(MID($A1990,FIND("/",$A1990)+1,20),FIND("/",MID($A1990,FIND("/",$A1990)+1,20))+1,20))),"")))</f>
        <v/>
      </c>
      <c r="E1990">
        <f>IF($A1990="","",IF(OR($B1990="",$C1990="",$D1990="",$B1990&lt;1300,$B1990&gt;1500,$C1990&lt;1,$C1990&gt;12,$D1990&lt;1,$D1990&gt;31),"نامعتبر",RIGHT("0000"&amp;$B1990,4)&amp;"/"&amp;RIGHT("00"&amp;$C1990,2)&amp;"/"&amp;RIGHT("00"&amp;$D1990,2)))</f>
        <v/>
      </c>
      <c r="F1990">
        <f>IF(OR($E1990="",$E1990="نامعتبر"),"",LEFT($E1990,4)&amp;"/"&amp;MID($E1990,6,2))</f>
        <v/>
      </c>
      <c r="G1990">
        <f>IF(OR($E1990="",$E1990="نامعتبر",Sync!$X1986=""),"",IF(AND(LEFT(UPPER(TRIM(Sync!$X1986)),2)="SL",IFERROR(VLOOKUP(Sync!$W1986,OpTbl,3,0),"")="فروش"),UPPER(TRIM(Sync!$X1986)),""))</f>
        <v/>
      </c>
      <c r="H1990">
        <f>IF($G1990="","",IF(Sync!$W1986="","",Sync!$W1986))</f>
        <v/>
      </c>
      <c r="I1990">
        <f>IF(OR($G1990="",Sync!$Y1986=""),"",Sync!$Y1986)</f>
        <v/>
      </c>
      <c r="J1990">
        <f>IF(OR($G1990="",Sync!$Z1986=""),"",Sync!$Z1986)</f>
        <v/>
      </c>
      <c r="K1990">
        <f>IF($G1990="",0,IF(Sync!$AA1986="",0,Sync!$AA1986))</f>
        <v/>
      </c>
      <c r="L1990">
        <f>IF($G1990="",0,IF(Sync!$AB1986="",0,Sync!$AB1986))</f>
        <v/>
      </c>
      <c r="M1990">
        <f>IF($G1990="","",IF($H1990="مرجوعی فروش",-1,1)*($K1990-$L1990*IFERROR(VLOOKUP("P01",ParamTbl,3,0),1.5)))</f>
        <v/>
      </c>
      <c r="N1990">
        <f>IF($G1990="",0,IF($H1990="مرجوعی فروش",-1,1)*IF(Sync!$AC1986="",0,Sync!$AC1986))</f>
        <v/>
      </c>
      <c r="O1990">
        <f>IF(OR($G1990="",Sync!$V1986=""),"",Sync!$V1986)</f>
        <v/>
      </c>
      <c r="P1990">
        <f>IF(OR($G1990="",Sync!$AD1986=""),"",Sync!$AD1986)</f>
        <v/>
      </c>
      <c r="Q1990">
        <f>IF($G1990="","",IF(Sync!$U1986="","0000",IF(AND(ISNUMBER(Sync!$U1986),Sync!$U1986&gt;=0,Sync!$U1986&lt;1),RIGHT("00"&amp;HOUR(Sync!$U1986),2)&amp;RIGHT("00"&amp;MINUTE(Sync!$U1986),2),IFERROR(RIGHT("00"&amp;VALUE(LEFT(Sync!$U1986,FIND(":",Sync!$U1986)-1)),2)&amp;RIGHT("00"&amp;VALUE(MID(Sync!$U1986,FIND(":",Sync!$U1986)+1,2)),2),"0000"))))</f>
        <v/>
      </c>
    </row>
    <row r="1991">
      <c r="A1991">
        <f>IF(Sync!$T1987="","",Sync!$T1987)</f>
        <v/>
      </c>
      <c r="B1991">
        <f>IF($A1991="","",IF(ISNUMBER($A1991),IF(AND($A1991&gt;=10000101,$A1991&lt;=99991231),INT($A1991/10000),""),IFERROR(VALUE(TRIM(LEFT($A1991,FIND("/",$A1991)-1))),"")))</f>
        <v/>
      </c>
      <c r="C1991">
        <f>IF(OR($A1991="",$B1991=""),"",IF(ISNUMBER($A1991),INT(MOD($A1991,10000)/100),IFERROR(VALUE(TRIM(LEFT(MID($A1991,FIND("/",$A1991)+1,20),FIND("/",MID($A1991,FIND("/",$A1991)+1,20))-1))),"")))</f>
        <v/>
      </c>
      <c r="D1991">
        <f>IF(OR($A1991="",$B1991=""),"",IF(ISNUMBER($A1991),MOD($A1991,100),IFERROR(VALUE(TRIM(MID(MID($A1991,FIND("/",$A1991)+1,20),FIND("/",MID($A1991,FIND("/",$A1991)+1,20))+1,20))),"")))</f>
        <v/>
      </c>
      <c r="E1991">
        <f>IF($A1991="","",IF(OR($B1991="",$C1991="",$D1991="",$B1991&lt;1300,$B1991&gt;1500,$C1991&lt;1,$C1991&gt;12,$D1991&lt;1,$D1991&gt;31),"نامعتبر",RIGHT("0000"&amp;$B1991,4)&amp;"/"&amp;RIGHT("00"&amp;$C1991,2)&amp;"/"&amp;RIGHT("00"&amp;$D1991,2)))</f>
        <v/>
      </c>
      <c r="F1991">
        <f>IF(OR($E1991="",$E1991="نامعتبر"),"",LEFT($E1991,4)&amp;"/"&amp;MID($E1991,6,2))</f>
        <v/>
      </c>
      <c r="G1991">
        <f>IF(OR($E1991="",$E1991="نامعتبر",Sync!$X1987=""),"",IF(AND(LEFT(UPPER(TRIM(Sync!$X1987)),2)="SL",IFERROR(VLOOKUP(Sync!$W1987,OpTbl,3,0),"")="فروش"),UPPER(TRIM(Sync!$X1987)),""))</f>
        <v/>
      </c>
      <c r="H1991">
        <f>IF($G1991="","",IF(Sync!$W1987="","",Sync!$W1987))</f>
        <v/>
      </c>
      <c r="I1991">
        <f>IF(OR($G1991="",Sync!$Y1987=""),"",Sync!$Y1987)</f>
        <v/>
      </c>
      <c r="J1991">
        <f>IF(OR($G1991="",Sync!$Z1987=""),"",Sync!$Z1987)</f>
        <v/>
      </c>
      <c r="K1991">
        <f>IF($G1991="",0,IF(Sync!$AA1987="",0,Sync!$AA1987))</f>
        <v/>
      </c>
      <c r="L1991">
        <f>IF($G1991="",0,IF(Sync!$AB1987="",0,Sync!$AB1987))</f>
        <v/>
      </c>
      <c r="M1991">
        <f>IF($G1991="","",IF($H1991="مرجوعی فروش",-1,1)*($K1991-$L1991*IFERROR(VLOOKUP("P01",ParamTbl,3,0),1.5)))</f>
        <v/>
      </c>
      <c r="N1991">
        <f>IF($G1991="",0,IF($H1991="مرجوعی فروش",-1,1)*IF(Sync!$AC1987="",0,Sync!$AC1987))</f>
        <v/>
      </c>
      <c r="O1991">
        <f>IF(OR($G1991="",Sync!$V1987=""),"",Sync!$V1987)</f>
        <v/>
      </c>
      <c r="P1991">
        <f>IF(OR($G1991="",Sync!$AD1987=""),"",Sync!$AD1987)</f>
        <v/>
      </c>
      <c r="Q1991">
        <f>IF($G1991="","",IF(Sync!$U1987="","0000",IF(AND(ISNUMBER(Sync!$U1987),Sync!$U1987&gt;=0,Sync!$U1987&lt;1),RIGHT("00"&amp;HOUR(Sync!$U1987),2)&amp;RIGHT("00"&amp;MINUTE(Sync!$U1987),2),IFERROR(RIGHT("00"&amp;VALUE(LEFT(Sync!$U1987,FIND(":",Sync!$U1987)-1)),2)&amp;RIGHT("00"&amp;VALUE(MID(Sync!$U1987,FIND(":",Sync!$U1987)+1,2)),2),"0000"))))</f>
        <v/>
      </c>
    </row>
    <row r="1992">
      <c r="A1992">
        <f>IF(Sync!$T1988="","",Sync!$T1988)</f>
        <v/>
      </c>
      <c r="B1992">
        <f>IF($A1992="","",IF(ISNUMBER($A1992),IF(AND($A1992&gt;=10000101,$A1992&lt;=99991231),INT($A1992/10000),""),IFERROR(VALUE(TRIM(LEFT($A1992,FIND("/",$A1992)-1))),"")))</f>
        <v/>
      </c>
      <c r="C1992">
        <f>IF(OR($A1992="",$B1992=""),"",IF(ISNUMBER($A1992),INT(MOD($A1992,10000)/100),IFERROR(VALUE(TRIM(LEFT(MID($A1992,FIND("/",$A1992)+1,20),FIND("/",MID($A1992,FIND("/",$A1992)+1,20))-1))),"")))</f>
        <v/>
      </c>
      <c r="D1992">
        <f>IF(OR($A1992="",$B1992=""),"",IF(ISNUMBER($A1992),MOD($A1992,100),IFERROR(VALUE(TRIM(MID(MID($A1992,FIND("/",$A1992)+1,20),FIND("/",MID($A1992,FIND("/",$A1992)+1,20))+1,20))),"")))</f>
        <v/>
      </c>
      <c r="E1992">
        <f>IF($A1992="","",IF(OR($B1992="",$C1992="",$D1992="",$B1992&lt;1300,$B1992&gt;1500,$C1992&lt;1,$C1992&gt;12,$D1992&lt;1,$D1992&gt;31),"نامعتبر",RIGHT("0000"&amp;$B1992,4)&amp;"/"&amp;RIGHT("00"&amp;$C1992,2)&amp;"/"&amp;RIGHT("00"&amp;$D1992,2)))</f>
        <v/>
      </c>
      <c r="F1992">
        <f>IF(OR($E1992="",$E1992="نامعتبر"),"",LEFT($E1992,4)&amp;"/"&amp;MID($E1992,6,2))</f>
        <v/>
      </c>
      <c r="G1992">
        <f>IF(OR($E1992="",$E1992="نامعتبر",Sync!$X1988=""),"",IF(AND(LEFT(UPPER(TRIM(Sync!$X1988)),2)="SL",IFERROR(VLOOKUP(Sync!$W1988,OpTbl,3,0),"")="فروش"),UPPER(TRIM(Sync!$X1988)),""))</f>
        <v/>
      </c>
      <c r="H1992">
        <f>IF($G1992="","",IF(Sync!$W1988="","",Sync!$W1988))</f>
        <v/>
      </c>
      <c r="I1992">
        <f>IF(OR($G1992="",Sync!$Y1988=""),"",Sync!$Y1988)</f>
        <v/>
      </c>
      <c r="J1992">
        <f>IF(OR($G1992="",Sync!$Z1988=""),"",Sync!$Z1988)</f>
        <v/>
      </c>
      <c r="K1992">
        <f>IF($G1992="",0,IF(Sync!$AA1988="",0,Sync!$AA1988))</f>
        <v/>
      </c>
      <c r="L1992">
        <f>IF($G1992="",0,IF(Sync!$AB1988="",0,Sync!$AB1988))</f>
        <v/>
      </c>
      <c r="M1992">
        <f>IF($G1992="","",IF($H1992="مرجوعی فروش",-1,1)*($K1992-$L1992*IFERROR(VLOOKUP("P01",ParamTbl,3,0),1.5)))</f>
        <v/>
      </c>
      <c r="N1992">
        <f>IF($G1992="",0,IF($H1992="مرجوعی فروش",-1,1)*IF(Sync!$AC1988="",0,Sync!$AC1988))</f>
        <v/>
      </c>
      <c r="O1992">
        <f>IF(OR($G1992="",Sync!$V1988=""),"",Sync!$V1988)</f>
        <v/>
      </c>
      <c r="P1992">
        <f>IF(OR($G1992="",Sync!$AD1988=""),"",Sync!$AD1988)</f>
        <v/>
      </c>
      <c r="Q1992">
        <f>IF($G1992="","",IF(Sync!$U1988="","0000",IF(AND(ISNUMBER(Sync!$U1988),Sync!$U1988&gt;=0,Sync!$U1988&lt;1),RIGHT("00"&amp;HOUR(Sync!$U1988),2)&amp;RIGHT("00"&amp;MINUTE(Sync!$U1988),2),IFERROR(RIGHT("00"&amp;VALUE(LEFT(Sync!$U1988,FIND(":",Sync!$U1988)-1)),2)&amp;RIGHT("00"&amp;VALUE(MID(Sync!$U1988,FIND(":",Sync!$U1988)+1,2)),2),"0000"))))</f>
        <v/>
      </c>
    </row>
    <row r="1993">
      <c r="A1993">
        <f>IF(Sync!$T1989="","",Sync!$T1989)</f>
        <v/>
      </c>
      <c r="B1993">
        <f>IF($A1993="","",IF(ISNUMBER($A1993),IF(AND($A1993&gt;=10000101,$A1993&lt;=99991231),INT($A1993/10000),""),IFERROR(VALUE(TRIM(LEFT($A1993,FIND("/",$A1993)-1))),"")))</f>
        <v/>
      </c>
      <c r="C1993">
        <f>IF(OR($A1993="",$B1993=""),"",IF(ISNUMBER($A1993),INT(MOD($A1993,10000)/100),IFERROR(VALUE(TRIM(LEFT(MID($A1993,FIND("/",$A1993)+1,20),FIND("/",MID($A1993,FIND("/",$A1993)+1,20))-1))),"")))</f>
        <v/>
      </c>
      <c r="D1993">
        <f>IF(OR($A1993="",$B1993=""),"",IF(ISNUMBER($A1993),MOD($A1993,100),IFERROR(VALUE(TRIM(MID(MID($A1993,FIND("/",$A1993)+1,20),FIND("/",MID($A1993,FIND("/",$A1993)+1,20))+1,20))),"")))</f>
        <v/>
      </c>
      <c r="E1993">
        <f>IF($A1993="","",IF(OR($B1993="",$C1993="",$D1993="",$B1993&lt;1300,$B1993&gt;1500,$C1993&lt;1,$C1993&gt;12,$D1993&lt;1,$D1993&gt;31),"نامعتبر",RIGHT("0000"&amp;$B1993,4)&amp;"/"&amp;RIGHT("00"&amp;$C1993,2)&amp;"/"&amp;RIGHT("00"&amp;$D1993,2)))</f>
        <v/>
      </c>
      <c r="F1993">
        <f>IF(OR($E1993="",$E1993="نامعتبر"),"",LEFT($E1993,4)&amp;"/"&amp;MID($E1993,6,2))</f>
        <v/>
      </c>
      <c r="G1993">
        <f>IF(OR($E1993="",$E1993="نامعتبر",Sync!$X1989=""),"",IF(AND(LEFT(UPPER(TRIM(Sync!$X1989)),2)="SL",IFERROR(VLOOKUP(Sync!$W1989,OpTbl,3,0),"")="فروش"),UPPER(TRIM(Sync!$X1989)),""))</f>
        <v/>
      </c>
      <c r="H1993">
        <f>IF($G1993="","",IF(Sync!$W1989="","",Sync!$W1989))</f>
        <v/>
      </c>
      <c r="I1993">
        <f>IF(OR($G1993="",Sync!$Y1989=""),"",Sync!$Y1989)</f>
        <v/>
      </c>
      <c r="J1993">
        <f>IF(OR($G1993="",Sync!$Z1989=""),"",Sync!$Z1989)</f>
        <v/>
      </c>
      <c r="K1993">
        <f>IF($G1993="",0,IF(Sync!$AA1989="",0,Sync!$AA1989))</f>
        <v/>
      </c>
      <c r="L1993">
        <f>IF($G1993="",0,IF(Sync!$AB1989="",0,Sync!$AB1989))</f>
        <v/>
      </c>
      <c r="M1993">
        <f>IF($G1993="","",IF($H1993="مرجوعی فروش",-1,1)*($K1993-$L1993*IFERROR(VLOOKUP("P01",ParamTbl,3,0),1.5)))</f>
        <v/>
      </c>
      <c r="N1993">
        <f>IF($G1993="",0,IF($H1993="مرجوعی فروش",-1,1)*IF(Sync!$AC1989="",0,Sync!$AC1989))</f>
        <v/>
      </c>
      <c r="O1993">
        <f>IF(OR($G1993="",Sync!$V1989=""),"",Sync!$V1989)</f>
        <v/>
      </c>
      <c r="P1993">
        <f>IF(OR($G1993="",Sync!$AD1989=""),"",Sync!$AD1989)</f>
        <v/>
      </c>
      <c r="Q1993">
        <f>IF($G1993="","",IF(Sync!$U1989="","0000",IF(AND(ISNUMBER(Sync!$U1989),Sync!$U1989&gt;=0,Sync!$U1989&lt;1),RIGHT("00"&amp;HOUR(Sync!$U1989),2)&amp;RIGHT("00"&amp;MINUTE(Sync!$U1989),2),IFERROR(RIGHT("00"&amp;VALUE(LEFT(Sync!$U1989,FIND(":",Sync!$U1989)-1)),2)&amp;RIGHT("00"&amp;VALUE(MID(Sync!$U1989,FIND(":",Sync!$U1989)+1,2)),2),"0000"))))</f>
        <v/>
      </c>
    </row>
    <row r="1994">
      <c r="A1994">
        <f>IF(Sync!$T1990="","",Sync!$T1990)</f>
        <v/>
      </c>
      <c r="B1994">
        <f>IF($A1994="","",IF(ISNUMBER($A1994),IF(AND($A1994&gt;=10000101,$A1994&lt;=99991231),INT($A1994/10000),""),IFERROR(VALUE(TRIM(LEFT($A1994,FIND("/",$A1994)-1))),"")))</f>
        <v/>
      </c>
      <c r="C1994">
        <f>IF(OR($A1994="",$B1994=""),"",IF(ISNUMBER($A1994),INT(MOD($A1994,10000)/100),IFERROR(VALUE(TRIM(LEFT(MID($A1994,FIND("/",$A1994)+1,20),FIND("/",MID($A1994,FIND("/",$A1994)+1,20))-1))),"")))</f>
        <v/>
      </c>
      <c r="D1994">
        <f>IF(OR($A1994="",$B1994=""),"",IF(ISNUMBER($A1994),MOD($A1994,100),IFERROR(VALUE(TRIM(MID(MID($A1994,FIND("/",$A1994)+1,20),FIND("/",MID($A1994,FIND("/",$A1994)+1,20))+1,20))),"")))</f>
        <v/>
      </c>
      <c r="E1994">
        <f>IF($A1994="","",IF(OR($B1994="",$C1994="",$D1994="",$B1994&lt;1300,$B1994&gt;1500,$C1994&lt;1,$C1994&gt;12,$D1994&lt;1,$D1994&gt;31),"نامعتبر",RIGHT("0000"&amp;$B1994,4)&amp;"/"&amp;RIGHT("00"&amp;$C1994,2)&amp;"/"&amp;RIGHT("00"&amp;$D1994,2)))</f>
        <v/>
      </c>
      <c r="F1994">
        <f>IF(OR($E1994="",$E1994="نامعتبر"),"",LEFT($E1994,4)&amp;"/"&amp;MID($E1994,6,2))</f>
        <v/>
      </c>
      <c r="G1994">
        <f>IF(OR($E1994="",$E1994="نامعتبر",Sync!$X1990=""),"",IF(AND(LEFT(UPPER(TRIM(Sync!$X1990)),2)="SL",IFERROR(VLOOKUP(Sync!$W1990,OpTbl,3,0),"")="فروش"),UPPER(TRIM(Sync!$X1990)),""))</f>
        <v/>
      </c>
      <c r="H1994">
        <f>IF($G1994="","",IF(Sync!$W1990="","",Sync!$W1990))</f>
        <v/>
      </c>
      <c r="I1994">
        <f>IF(OR($G1994="",Sync!$Y1990=""),"",Sync!$Y1990)</f>
        <v/>
      </c>
      <c r="J1994">
        <f>IF(OR($G1994="",Sync!$Z1990=""),"",Sync!$Z1990)</f>
        <v/>
      </c>
      <c r="K1994">
        <f>IF($G1994="",0,IF(Sync!$AA1990="",0,Sync!$AA1990))</f>
        <v/>
      </c>
      <c r="L1994">
        <f>IF($G1994="",0,IF(Sync!$AB1990="",0,Sync!$AB1990))</f>
        <v/>
      </c>
      <c r="M1994">
        <f>IF($G1994="","",IF($H1994="مرجوعی فروش",-1,1)*($K1994-$L1994*IFERROR(VLOOKUP("P01",ParamTbl,3,0),1.5)))</f>
        <v/>
      </c>
      <c r="N1994">
        <f>IF($G1994="",0,IF($H1994="مرجوعی فروش",-1,1)*IF(Sync!$AC1990="",0,Sync!$AC1990))</f>
        <v/>
      </c>
      <c r="O1994">
        <f>IF(OR($G1994="",Sync!$V1990=""),"",Sync!$V1990)</f>
        <v/>
      </c>
      <c r="P1994">
        <f>IF(OR($G1994="",Sync!$AD1990=""),"",Sync!$AD1990)</f>
        <v/>
      </c>
      <c r="Q1994">
        <f>IF($G1994="","",IF(Sync!$U1990="","0000",IF(AND(ISNUMBER(Sync!$U1990),Sync!$U1990&gt;=0,Sync!$U1990&lt;1),RIGHT("00"&amp;HOUR(Sync!$U1990),2)&amp;RIGHT("00"&amp;MINUTE(Sync!$U1990),2),IFERROR(RIGHT("00"&amp;VALUE(LEFT(Sync!$U1990,FIND(":",Sync!$U1990)-1)),2)&amp;RIGHT("00"&amp;VALUE(MID(Sync!$U1990,FIND(":",Sync!$U1990)+1,2)),2),"0000"))))</f>
        <v/>
      </c>
    </row>
    <row r="1995">
      <c r="A1995">
        <f>IF(Sync!$T1991="","",Sync!$T1991)</f>
        <v/>
      </c>
      <c r="B1995">
        <f>IF($A1995="","",IF(ISNUMBER($A1995),IF(AND($A1995&gt;=10000101,$A1995&lt;=99991231),INT($A1995/10000),""),IFERROR(VALUE(TRIM(LEFT($A1995,FIND("/",$A1995)-1))),"")))</f>
        <v/>
      </c>
      <c r="C1995">
        <f>IF(OR($A1995="",$B1995=""),"",IF(ISNUMBER($A1995),INT(MOD($A1995,10000)/100),IFERROR(VALUE(TRIM(LEFT(MID($A1995,FIND("/",$A1995)+1,20),FIND("/",MID($A1995,FIND("/",$A1995)+1,20))-1))),"")))</f>
        <v/>
      </c>
      <c r="D1995">
        <f>IF(OR($A1995="",$B1995=""),"",IF(ISNUMBER($A1995),MOD($A1995,100),IFERROR(VALUE(TRIM(MID(MID($A1995,FIND("/",$A1995)+1,20),FIND("/",MID($A1995,FIND("/",$A1995)+1,20))+1,20))),"")))</f>
        <v/>
      </c>
      <c r="E1995">
        <f>IF($A1995="","",IF(OR($B1995="",$C1995="",$D1995="",$B1995&lt;1300,$B1995&gt;1500,$C1995&lt;1,$C1995&gt;12,$D1995&lt;1,$D1995&gt;31),"نامعتبر",RIGHT("0000"&amp;$B1995,4)&amp;"/"&amp;RIGHT("00"&amp;$C1995,2)&amp;"/"&amp;RIGHT("00"&amp;$D1995,2)))</f>
        <v/>
      </c>
      <c r="F1995">
        <f>IF(OR($E1995="",$E1995="نامعتبر"),"",LEFT($E1995,4)&amp;"/"&amp;MID($E1995,6,2))</f>
        <v/>
      </c>
      <c r="G1995">
        <f>IF(OR($E1995="",$E1995="نامعتبر",Sync!$X1991=""),"",IF(AND(LEFT(UPPER(TRIM(Sync!$X1991)),2)="SL",IFERROR(VLOOKUP(Sync!$W1991,OpTbl,3,0),"")="فروش"),UPPER(TRIM(Sync!$X1991)),""))</f>
        <v/>
      </c>
      <c r="H1995">
        <f>IF($G1995="","",IF(Sync!$W1991="","",Sync!$W1991))</f>
        <v/>
      </c>
      <c r="I1995">
        <f>IF(OR($G1995="",Sync!$Y1991=""),"",Sync!$Y1991)</f>
        <v/>
      </c>
      <c r="J1995">
        <f>IF(OR($G1995="",Sync!$Z1991=""),"",Sync!$Z1991)</f>
        <v/>
      </c>
      <c r="K1995">
        <f>IF($G1995="",0,IF(Sync!$AA1991="",0,Sync!$AA1991))</f>
        <v/>
      </c>
      <c r="L1995">
        <f>IF($G1995="",0,IF(Sync!$AB1991="",0,Sync!$AB1991))</f>
        <v/>
      </c>
      <c r="M1995">
        <f>IF($G1995="","",IF($H1995="مرجوعی فروش",-1,1)*($K1995-$L1995*IFERROR(VLOOKUP("P01",ParamTbl,3,0),1.5)))</f>
        <v/>
      </c>
      <c r="N1995">
        <f>IF($G1995="",0,IF($H1995="مرجوعی فروش",-1,1)*IF(Sync!$AC1991="",0,Sync!$AC1991))</f>
        <v/>
      </c>
      <c r="O1995">
        <f>IF(OR($G1995="",Sync!$V1991=""),"",Sync!$V1991)</f>
        <v/>
      </c>
      <c r="P1995">
        <f>IF(OR($G1995="",Sync!$AD1991=""),"",Sync!$AD1991)</f>
        <v/>
      </c>
      <c r="Q1995">
        <f>IF($G1995="","",IF(Sync!$U1991="","0000",IF(AND(ISNUMBER(Sync!$U1991),Sync!$U1991&gt;=0,Sync!$U1991&lt;1),RIGHT("00"&amp;HOUR(Sync!$U1991),2)&amp;RIGHT("00"&amp;MINUTE(Sync!$U1991),2),IFERROR(RIGHT("00"&amp;VALUE(LEFT(Sync!$U1991,FIND(":",Sync!$U1991)-1)),2)&amp;RIGHT("00"&amp;VALUE(MID(Sync!$U1991,FIND(":",Sync!$U1991)+1,2)),2),"0000"))))</f>
        <v/>
      </c>
    </row>
    <row r="1996">
      <c r="A1996">
        <f>IF(Sync!$T1992="","",Sync!$T1992)</f>
        <v/>
      </c>
      <c r="B1996">
        <f>IF($A1996="","",IF(ISNUMBER($A1996),IF(AND($A1996&gt;=10000101,$A1996&lt;=99991231),INT($A1996/10000),""),IFERROR(VALUE(TRIM(LEFT($A1996,FIND("/",$A1996)-1))),"")))</f>
        <v/>
      </c>
      <c r="C1996">
        <f>IF(OR($A1996="",$B1996=""),"",IF(ISNUMBER($A1996),INT(MOD($A1996,10000)/100),IFERROR(VALUE(TRIM(LEFT(MID($A1996,FIND("/",$A1996)+1,20),FIND("/",MID($A1996,FIND("/",$A1996)+1,20))-1))),"")))</f>
        <v/>
      </c>
      <c r="D1996">
        <f>IF(OR($A1996="",$B1996=""),"",IF(ISNUMBER($A1996),MOD($A1996,100),IFERROR(VALUE(TRIM(MID(MID($A1996,FIND("/",$A1996)+1,20),FIND("/",MID($A1996,FIND("/",$A1996)+1,20))+1,20))),"")))</f>
        <v/>
      </c>
      <c r="E1996">
        <f>IF($A1996="","",IF(OR($B1996="",$C1996="",$D1996="",$B1996&lt;1300,$B1996&gt;1500,$C1996&lt;1,$C1996&gt;12,$D1996&lt;1,$D1996&gt;31),"نامعتبر",RIGHT("0000"&amp;$B1996,4)&amp;"/"&amp;RIGHT("00"&amp;$C1996,2)&amp;"/"&amp;RIGHT("00"&amp;$D1996,2)))</f>
        <v/>
      </c>
      <c r="F1996">
        <f>IF(OR($E1996="",$E1996="نامعتبر"),"",LEFT($E1996,4)&amp;"/"&amp;MID($E1996,6,2))</f>
        <v/>
      </c>
      <c r="G1996">
        <f>IF(OR($E1996="",$E1996="نامعتبر",Sync!$X1992=""),"",IF(AND(LEFT(UPPER(TRIM(Sync!$X1992)),2)="SL",IFERROR(VLOOKUP(Sync!$W1992,OpTbl,3,0),"")="فروش"),UPPER(TRIM(Sync!$X1992)),""))</f>
        <v/>
      </c>
      <c r="H1996">
        <f>IF($G1996="","",IF(Sync!$W1992="","",Sync!$W1992))</f>
        <v/>
      </c>
      <c r="I1996">
        <f>IF(OR($G1996="",Sync!$Y1992=""),"",Sync!$Y1992)</f>
        <v/>
      </c>
      <c r="J1996">
        <f>IF(OR($G1996="",Sync!$Z1992=""),"",Sync!$Z1992)</f>
        <v/>
      </c>
      <c r="K1996">
        <f>IF($G1996="",0,IF(Sync!$AA1992="",0,Sync!$AA1992))</f>
        <v/>
      </c>
      <c r="L1996">
        <f>IF($G1996="",0,IF(Sync!$AB1992="",0,Sync!$AB1992))</f>
        <v/>
      </c>
      <c r="M1996">
        <f>IF($G1996="","",IF($H1996="مرجوعی فروش",-1,1)*($K1996-$L1996*IFERROR(VLOOKUP("P01",ParamTbl,3,0),1.5)))</f>
        <v/>
      </c>
      <c r="N1996">
        <f>IF($G1996="",0,IF($H1996="مرجوعی فروش",-1,1)*IF(Sync!$AC1992="",0,Sync!$AC1992))</f>
        <v/>
      </c>
      <c r="O1996">
        <f>IF(OR($G1996="",Sync!$V1992=""),"",Sync!$V1992)</f>
        <v/>
      </c>
      <c r="P1996">
        <f>IF(OR($G1996="",Sync!$AD1992=""),"",Sync!$AD1992)</f>
        <v/>
      </c>
      <c r="Q1996">
        <f>IF($G1996="","",IF(Sync!$U1992="","0000",IF(AND(ISNUMBER(Sync!$U1992),Sync!$U1992&gt;=0,Sync!$U1992&lt;1),RIGHT("00"&amp;HOUR(Sync!$U1992),2)&amp;RIGHT("00"&amp;MINUTE(Sync!$U1992),2),IFERROR(RIGHT("00"&amp;VALUE(LEFT(Sync!$U1992,FIND(":",Sync!$U1992)-1)),2)&amp;RIGHT("00"&amp;VALUE(MID(Sync!$U1992,FIND(":",Sync!$U1992)+1,2)),2),"0000"))))</f>
        <v/>
      </c>
    </row>
    <row r="1997">
      <c r="A1997">
        <f>IF(Sync!$T1993="","",Sync!$T1993)</f>
        <v/>
      </c>
      <c r="B1997">
        <f>IF($A1997="","",IF(ISNUMBER($A1997),IF(AND($A1997&gt;=10000101,$A1997&lt;=99991231),INT($A1997/10000),""),IFERROR(VALUE(TRIM(LEFT($A1997,FIND("/",$A1997)-1))),"")))</f>
        <v/>
      </c>
      <c r="C1997">
        <f>IF(OR($A1997="",$B1997=""),"",IF(ISNUMBER($A1997),INT(MOD($A1997,10000)/100),IFERROR(VALUE(TRIM(LEFT(MID($A1997,FIND("/",$A1997)+1,20),FIND("/",MID($A1997,FIND("/",$A1997)+1,20))-1))),"")))</f>
        <v/>
      </c>
      <c r="D1997">
        <f>IF(OR($A1997="",$B1997=""),"",IF(ISNUMBER($A1997),MOD($A1997,100),IFERROR(VALUE(TRIM(MID(MID($A1997,FIND("/",$A1997)+1,20),FIND("/",MID($A1997,FIND("/",$A1997)+1,20))+1,20))),"")))</f>
        <v/>
      </c>
      <c r="E1997">
        <f>IF($A1997="","",IF(OR($B1997="",$C1997="",$D1997="",$B1997&lt;1300,$B1997&gt;1500,$C1997&lt;1,$C1997&gt;12,$D1997&lt;1,$D1997&gt;31),"نامعتبر",RIGHT("0000"&amp;$B1997,4)&amp;"/"&amp;RIGHT("00"&amp;$C1997,2)&amp;"/"&amp;RIGHT("00"&amp;$D1997,2)))</f>
        <v/>
      </c>
      <c r="F1997">
        <f>IF(OR($E1997="",$E1997="نامعتبر"),"",LEFT($E1997,4)&amp;"/"&amp;MID($E1997,6,2))</f>
        <v/>
      </c>
      <c r="G1997">
        <f>IF(OR($E1997="",$E1997="نامعتبر",Sync!$X1993=""),"",IF(AND(LEFT(UPPER(TRIM(Sync!$X1993)),2)="SL",IFERROR(VLOOKUP(Sync!$W1993,OpTbl,3,0),"")="فروش"),UPPER(TRIM(Sync!$X1993)),""))</f>
        <v/>
      </c>
      <c r="H1997">
        <f>IF($G1997="","",IF(Sync!$W1993="","",Sync!$W1993))</f>
        <v/>
      </c>
      <c r="I1997">
        <f>IF(OR($G1997="",Sync!$Y1993=""),"",Sync!$Y1993)</f>
        <v/>
      </c>
      <c r="J1997">
        <f>IF(OR($G1997="",Sync!$Z1993=""),"",Sync!$Z1993)</f>
        <v/>
      </c>
      <c r="K1997">
        <f>IF($G1997="",0,IF(Sync!$AA1993="",0,Sync!$AA1993))</f>
        <v/>
      </c>
      <c r="L1997">
        <f>IF($G1997="",0,IF(Sync!$AB1993="",0,Sync!$AB1993))</f>
        <v/>
      </c>
      <c r="M1997">
        <f>IF($G1997="","",IF($H1997="مرجوعی فروش",-1,1)*($K1997-$L1997*IFERROR(VLOOKUP("P01",ParamTbl,3,0),1.5)))</f>
        <v/>
      </c>
      <c r="N1997">
        <f>IF($G1997="",0,IF($H1997="مرجوعی فروش",-1,1)*IF(Sync!$AC1993="",0,Sync!$AC1993))</f>
        <v/>
      </c>
      <c r="O1997">
        <f>IF(OR($G1997="",Sync!$V1993=""),"",Sync!$V1993)</f>
        <v/>
      </c>
      <c r="P1997">
        <f>IF(OR($G1997="",Sync!$AD1993=""),"",Sync!$AD1993)</f>
        <v/>
      </c>
      <c r="Q1997">
        <f>IF($G1997="","",IF(Sync!$U1993="","0000",IF(AND(ISNUMBER(Sync!$U1993),Sync!$U1993&gt;=0,Sync!$U1993&lt;1),RIGHT("00"&amp;HOUR(Sync!$U1993),2)&amp;RIGHT("00"&amp;MINUTE(Sync!$U1993),2),IFERROR(RIGHT("00"&amp;VALUE(LEFT(Sync!$U1993,FIND(":",Sync!$U1993)-1)),2)&amp;RIGHT("00"&amp;VALUE(MID(Sync!$U1993,FIND(":",Sync!$U1993)+1,2)),2),"0000"))))</f>
        <v/>
      </c>
    </row>
    <row r="1998">
      <c r="A1998">
        <f>IF(Sync!$T1994="","",Sync!$T1994)</f>
        <v/>
      </c>
      <c r="B1998">
        <f>IF($A1998="","",IF(ISNUMBER($A1998),IF(AND($A1998&gt;=10000101,$A1998&lt;=99991231),INT($A1998/10000),""),IFERROR(VALUE(TRIM(LEFT($A1998,FIND("/",$A1998)-1))),"")))</f>
        <v/>
      </c>
      <c r="C1998">
        <f>IF(OR($A1998="",$B1998=""),"",IF(ISNUMBER($A1998),INT(MOD($A1998,10000)/100),IFERROR(VALUE(TRIM(LEFT(MID($A1998,FIND("/",$A1998)+1,20),FIND("/",MID($A1998,FIND("/",$A1998)+1,20))-1))),"")))</f>
        <v/>
      </c>
      <c r="D1998">
        <f>IF(OR($A1998="",$B1998=""),"",IF(ISNUMBER($A1998),MOD($A1998,100),IFERROR(VALUE(TRIM(MID(MID($A1998,FIND("/",$A1998)+1,20),FIND("/",MID($A1998,FIND("/",$A1998)+1,20))+1,20))),"")))</f>
        <v/>
      </c>
      <c r="E1998">
        <f>IF($A1998="","",IF(OR($B1998="",$C1998="",$D1998="",$B1998&lt;1300,$B1998&gt;1500,$C1998&lt;1,$C1998&gt;12,$D1998&lt;1,$D1998&gt;31),"نامعتبر",RIGHT("0000"&amp;$B1998,4)&amp;"/"&amp;RIGHT("00"&amp;$C1998,2)&amp;"/"&amp;RIGHT("00"&amp;$D1998,2)))</f>
        <v/>
      </c>
      <c r="F1998">
        <f>IF(OR($E1998="",$E1998="نامعتبر"),"",LEFT($E1998,4)&amp;"/"&amp;MID($E1998,6,2))</f>
        <v/>
      </c>
      <c r="G1998">
        <f>IF(OR($E1998="",$E1998="نامعتبر",Sync!$X1994=""),"",IF(AND(LEFT(UPPER(TRIM(Sync!$X1994)),2)="SL",IFERROR(VLOOKUP(Sync!$W1994,OpTbl,3,0),"")="فروش"),UPPER(TRIM(Sync!$X1994)),""))</f>
        <v/>
      </c>
      <c r="H1998">
        <f>IF($G1998="","",IF(Sync!$W1994="","",Sync!$W1994))</f>
        <v/>
      </c>
      <c r="I1998">
        <f>IF(OR($G1998="",Sync!$Y1994=""),"",Sync!$Y1994)</f>
        <v/>
      </c>
      <c r="J1998">
        <f>IF(OR($G1998="",Sync!$Z1994=""),"",Sync!$Z1994)</f>
        <v/>
      </c>
      <c r="K1998">
        <f>IF($G1998="",0,IF(Sync!$AA1994="",0,Sync!$AA1994))</f>
        <v/>
      </c>
      <c r="L1998">
        <f>IF($G1998="",0,IF(Sync!$AB1994="",0,Sync!$AB1994))</f>
        <v/>
      </c>
      <c r="M1998">
        <f>IF($G1998="","",IF($H1998="مرجوعی فروش",-1,1)*($K1998-$L1998*IFERROR(VLOOKUP("P01",ParamTbl,3,0),1.5)))</f>
        <v/>
      </c>
      <c r="N1998">
        <f>IF($G1998="",0,IF($H1998="مرجوعی فروش",-1,1)*IF(Sync!$AC1994="",0,Sync!$AC1994))</f>
        <v/>
      </c>
      <c r="O1998">
        <f>IF(OR($G1998="",Sync!$V1994=""),"",Sync!$V1994)</f>
        <v/>
      </c>
      <c r="P1998">
        <f>IF(OR($G1998="",Sync!$AD1994=""),"",Sync!$AD1994)</f>
        <v/>
      </c>
      <c r="Q1998">
        <f>IF($G1998="","",IF(Sync!$U1994="","0000",IF(AND(ISNUMBER(Sync!$U1994),Sync!$U1994&gt;=0,Sync!$U1994&lt;1),RIGHT("00"&amp;HOUR(Sync!$U1994),2)&amp;RIGHT("00"&amp;MINUTE(Sync!$U1994),2),IFERROR(RIGHT("00"&amp;VALUE(LEFT(Sync!$U1994,FIND(":",Sync!$U1994)-1)),2)&amp;RIGHT("00"&amp;VALUE(MID(Sync!$U1994,FIND(":",Sync!$U1994)+1,2)),2),"0000"))))</f>
        <v/>
      </c>
    </row>
    <row r="1999">
      <c r="A1999">
        <f>IF(Sync!$T1995="","",Sync!$T1995)</f>
        <v/>
      </c>
      <c r="B1999">
        <f>IF($A1999="","",IF(ISNUMBER($A1999),IF(AND($A1999&gt;=10000101,$A1999&lt;=99991231),INT($A1999/10000),""),IFERROR(VALUE(TRIM(LEFT($A1999,FIND("/",$A1999)-1))),"")))</f>
        <v/>
      </c>
      <c r="C1999">
        <f>IF(OR($A1999="",$B1999=""),"",IF(ISNUMBER($A1999),INT(MOD($A1999,10000)/100),IFERROR(VALUE(TRIM(LEFT(MID($A1999,FIND("/",$A1999)+1,20),FIND("/",MID($A1999,FIND("/",$A1999)+1,20))-1))),"")))</f>
        <v/>
      </c>
      <c r="D1999">
        <f>IF(OR($A1999="",$B1999=""),"",IF(ISNUMBER($A1999),MOD($A1999,100),IFERROR(VALUE(TRIM(MID(MID($A1999,FIND("/",$A1999)+1,20),FIND("/",MID($A1999,FIND("/",$A1999)+1,20))+1,20))),"")))</f>
        <v/>
      </c>
      <c r="E1999">
        <f>IF($A1999="","",IF(OR($B1999="",$C1999="",$D1999="",$B1999&lt;1300,$B1999&gt;1500,$C1999&lt;1,$C1999&gt;12,$D1999&lt;1,$D1999&gt;31),"نامعتبر",RIGHT("0000"&amp;$B1999,4)&amp;"/"&amp;RIGHT("00"&amp;$C1999,2)&amp;"/"&amp;RIGHT("00"&amp;$D1999,2)))</f>
        <v/>
      </c>
      <c r="F1999">
        <f>IF(OR($E1999="",$E1999="نامعتبر"),"",LEFT($E1999,4)&amp;"/"&amp;MID($E1999,6,2))</f>
        <v/>
      </c>
      <c r="G1999">
        <f>IF(OR($E1999="",$E1999="نامعتبر",Sync!$X1995=""),"",IF(AND(LEFT(UPPER(TRIM(Sync!$X1995)),2)="SL",IFERROR(VLOOKUP(Sync!$W1995,OpTbl,3,0),"")="فروش"),UPPER(TRIM(Sync!$X1995)),""))</f>
        <v/>
      </c>
      <c r="H1999">
        <f>IF($G1999="","",IF(Sync!$W1995="","",Sync!$W1995))</f>
        <v/>
      </c>
      <c r="I1999">
        <f>IF(OR($G1999="",Sync!$Y1995=""),"",Sync!$Y1995)</f>
        <v/>
      </c>
      <c r="J1999">
        <f>IF(OR($G1999="",Sync!$Z1995=""),"",Sync!$Z1995)</f>
        <v/>
      </c>
      <c r="K1999">
        <f>IF($G1999="",0,IF(Sync!$AA1995="",0,Sync!$AA1995))</f>
        <v/>
      </c>
      <c r="L1999">
        <f>IF($G1999="",0,IF(Sync!$AB1995="",0,Sync!$AB1995))</f>
        <v/>
      </c>
      <c r="M1999">
        <f>IF($G1999="","",IF($H1999="مرجوعی فروش",-1,1)*($K1999-$L1999*IFERROR(VLOOKUP("P01",ParamTbl,3,0),1.5)))</f>
        <v/>
      </c>
      <c r="N1999">
        <f>IF($G1999="",0,IF($H1999="مرجوعی فروش",-1,1)*IF(Sync!$AC1995="",0,Sync!$AC1995))</f>
        <v/>
      </c>
      <c r="O1999">
        <f>IF(OR($G1999="",Sync!$V1995=""),"",Sync!$V1995)</f>
        <v/>
      </c>
      <c r="P1999">
        <f>IF(OR($G1999="",Sync!$AD1995=""),"",Sync!$AD1995)</f>
        <v/>
      </c>
      <c r="Q1999">
        <f>IF($G1999="","",IF(Sync!$U1995="","0000",IF(AND(ISNUMBER(Sync!$U1995),Sync!$U1995&gt;=0,Sync!$U1995&lt;1),RIGHT("00"&amp;HOUR(Sync!$U1995),2)&amp;RIGHT("00"&amp;MINUTE(Sync!$U1995),2),IFERROR(RIGHT("00"&amp;VALUE(LEFT(Sync!$U1995,FIND(":",Sync!$U1995)-1)),2)&amp;RIGHT("00"&amp;VALUE(MID(Sync!$U1995,FIND(":",Sync!$U1995)+1,2)),2),"0000"))))</f>
        <v/>
      </c>
    </row>
    <row r="2000">
      <c r="A2000">
        <f>IF(Sync!$T1996="","",Sync!$T1996)</f>
        <v/>
      </c>
      <c r="B2000">
        <f>IF($A2000="","",IF(ISNUMBER($A2000),IF(AND($A2000&gt;=10000101,$A2000&lt;=99991231),INT($A2000/10000),""),IFERROR(VALUE(TRIM(LEFT($A2000,FIND("/",$A2000)-1))),"")))</f>
        <v/>
      </c>
      <c r="C2000">
        <f>IF(OR($A2000="",$B2000=""),"",IF(ISNUMBER($A2000),INT(MOD($A2000,10000)/100),IFERROR(VALUE(TRIM(LEFT(MID($A2000,FIND("/",$A2000)+1,20),FIND("/",MID($A2000,FIND("/",$A2000)+1,20))-1))),"")))</f>
        <v/>
      </c>
      <c r="D2000">
        <f>IF(OR($A2000="",$B2000=""),"",IF(ISNUMBER($A2000),MOD($A2000,100),IFERROR(VALUE(TRIM(MID(MID($A2000,FIND("/",$A2000)+1,20),FIND("/",MID($A2000,FIND("/",$A2000)+1,20))+1,20))),"")))</f>
        <v/>
      </c>
      <c r="E2000">
        <f>IF($A2000="","",IF(OR($B2000="",$C2000="",$D2000="",$B2000&lt;1300,$B2000&gt;1500,$C2000&lt;1,$C2000&gt;12,$D2000&lt;1,$D2000&gt;31),"نامعتبر",RIGHT("0000"&amp;$B2000,4)&amp;"/"&amp;RIGHT("00"&amp;$C2000,2)&amp;"/"&amp;RIGHT("00"&amp;$D2000,2)))</f>
        <v/>
      </c>
      <c r="F2000">
        <f>IF(OR($E2000="",$E2000="نامعتبر"),"",LEFT($E2000,4)&amp;"/"&amp;MID($E2000,6,2))</f>
        <v/>
      </c>
      <c r="G2000">
        <f>IF(OR($E2000="",$E2000="نامعتبر",Sync!$X1996=""),"",IF(AND(LEFT(UPPER(TRIM(Sync!$X1996)),2)="SL",IFERROR(VLOOKUP(Sync!$W1996,OpTbl,3,0),"")="فروش"),UPPER(TRIM(Sync!$X1996)),""))</f>
        <v/>
      </c>
      <c r="H2000">
        <f>IF($G2000="","",IF(Sync!$W1996="","",Sync!$W1996))</f>
        <v/>
      </c>
      <c r="I2000">
        <f>IF(OR($G2000="",Sync!$Y1996=""),"",Sync!$Y1996)</f>
        <v/>
      </c>
      <c r="J2000">
        <f>IF(OR($G2000="",Sync!$Z1996=""),"",Sync!$Z1996)</f>
        <v/>
      </c>
      <c r="K2000">
        <f>IF($G2000="",0,IF(Sync!$AA1996="",0,Sync!$AA1996))</f>
        <v/>
      </c>
      <c r="L2000">
        <f>IF($G2000="",0,IF(Sync!$AB1996="",0,Sync!$AB1996))</f>
        <v/>
      </c>
      <c r="M2000">
        <f>IF($G2000="","",IF($H2000="مرجوعی فروش",-1,1)*($K2000-$L2000*IFERROR(VLOOKUP("P01",ParamTbl,3,0),1.5)))</f>
        <v/>
      </c>
      <c r="N2000">
        <f>IF($G2000="",0,IF($H2000="مرجوعی فروش",-1,1)*IF(Sync!$AC1996="",0,Sync!$AC1996))</f>
        <v/>
      </c>
      <c r="O2000">
        <f>IF(OR($G2000="",Sync!$V1996=""),"",Sync!$V1996)</f>
        <v/>
      </c>
      <c r="P2000">
        <f>IF(OR($G2000="",Sync!$AD1996=""),"",Sync!$AD1996)</f>
        <v/>
      </c>
      <c r="Q2000">
        <f>IF($G2000="","",IF(Sync!$U1996="","0000",IF(AND(ISNUMBER(Sync!$U1996),Sync!$U1996&gt;=0,Sync!$U1996&lt;1),RIGHT("00"&amp;HOUR(Sync!$U1996),2)&amp;RIGHT("00"&amp;MINUTE(Sync!$U1996),2),IFERROR(RIGHT("00"&amp;VALUE(LEFT(Sync!$U1996,FIND(":",Sync!$U1996)-1)),2)&amp;RIGHT("00"&amp;VALUE(MID(Sync!$U1996,FIND(":",Sync!$U1996)+1,2)),2),"0000"))))</f>
        <v/>
      </c>
    </row>
    <row r="2001">
      <c r="A2001">
        <f>IF(Sync!$T1997="","",Sync!$T1997)</f>
        <v/>
      </c>
      <c r="B2001">
        <f>IF($A2001="","",IF(ISNUMBER($A2001),IF(AND($A2001&gt;=10000101,$A2001&lt;=99991231),INT($A2001/10000),""),IFERROR(VALUE(TRIM(LEFT($A2001,FIND("/",$A2001)-1))),"")))</f>
        <v/>
      </c>
      <c r="C2001">
        <f>IF(OR($A2001="",$B2001=""),"",IF(ISNUMBER($A2001),INT(MOD($A2001,10000)/100),IFERROR(VALUE(TRIM(LEFT(MID($A2001,FIND("/",$A2001)+1,20),FIND("/",MID($A2001,FIND("/",$A2001)+1,20))-1))),"")))</f>
        <v/>
      </c>
      <c r="D2001">
        <f>IF(OR($A2001="",$B2001=""),"",IF(ISNUMBER($A2001),MOD($A2001,100),IFERROR(VALUE(TRIM(MID(MID($A2001,FIND("/",$A2001)+1,20),FIND("/",MID($A2001,FIND("/",$A2001)+1,20))+1,20))),"")))</f>
        <v/>
      </c>
      <c r="E2001">
        <f>IF($A2001="","",IF(OR($B2001="",$C2001="",$D2001="",$B2001&lt;1300,$B2001&gt;1500,$C2001&lt;1,$C2001&gt;12,$D2001&lt;1,$D2001&gt;31),"نامعتبر",RIGHT("0000"&amp;$B2001,4)&amp;"/"&amp;RIGHT("00"&amp;$C2001,2)&amp;"/"&amp;RIGHT("00"&amp;$D2001,2)))</f>
        <v/>
      </c>
      <c r="F2001">
        <f>IF(OR($E2001="",$E2001="نامعتبر"),"",LEFT($E2001,4)&amp;"/"&amp;MID($E2001,6,2))</f>
        <v/>
      </c>
      <c r="G2001">
        <f>IF(OR($E2001="",$E2001="نامعتبر",Sync!$X1997=""),"",IF(AND(LEFT(UPPER(TRIM(Sync!$X1997)),2)="SL",IFERROR(VLOOKUP(Sync!$W1997,OpTbl,3,0),"")="فروش"),UPPER(TRIM(Sync!$X1997)),""))</f>
        <v/>
      </c>
      <c r="H2001">
        <f>IF($G2001="","",IF(Sync!$W1997="","",Sync!$W1997))</f>
        <v/>
      </c>
      <c r="I2001">
        <f>IF(OR($G2001="",Sync!$Y1997=""),"",Sync!$Y1997)</f>
        <v/>
      </c>
      <c r="J2001">
        <f>IF(OR($G2001="",Sync!$Z1997=""),"",Sync!$Z1997)</f>
        <v/>
      </c>
      <c r="K2001">
        <f>IF($G2001="",0,IF(Sync!$AA1997="",0,Sync!$AA1997))</f>
        <v/>
      </c>
      <c r="L2001">
        <f>IF($G2001="",0,IF(Sync!$AB1997="",0,Sync!$AB1997))</f>
        <v/>
      </c>
      <c r="M2001">
        <f>IF($G2001="","",IF($H2001="مرجوعی فروش",-1,1)*($K2001-$L2001*IFERROR(VLOOKUP("P01",ParamTbl,3,0),1.5)))</f>
        <v/>
      </c>
      <c r="N2001">
        <f>IF($G2001="",0,IF($H2001="مرجوعی فروش",-1,1)*IF(Sync!$AC1997="",0,Sync!$AC1997))</f>
        <v/>
      </c>
      <c r="O2001">
        <f>IF(OR($G2001="",Sync!$V1997=""),"",Sync!$V1997)</f>
        <v/>
      </c>
      <c r="P2001">
        <f>IF(OR($G2001="",Sync!$AD1997=""),"",Sync!$AD1997)</f>
        <v/>
      </c>
      <c r="Q2001">
        <f>IF($G2001="","",IF(Sync!$U1997="","0000",IF(AND(ISNUMBER(Sync!$U1997),Sync!$U1997&gt;=0,Sync!$U1997&lt;1),RIGHT("00"&amp;HOUR(Sync!$U1997),2)&amp;RIGHT("00"&amp;MINUTE(Sync!$U1997),2),IFERROR(RIGHT("00"&amp;VALUE(LEFT(Sync!$U1997,FIND(":",Sync!$U1997)-1)),2)&amp;RIGHT("00"&amp;VALUE(MID(Sync!$U1997,FIND(":",Sync!$U1997)+1,2)),2),"0000"))))</f>
        <v/>
      </c>
    </row>
    <row r="2002">
      <c r="A2002">
        <f>IF(Sync!$T1998="","",Sync!$T1998)</f>
        <v/>
      </c>
      <c r="B2002">
        <f>IF($A2002="","",IF(ISNUMBER($A2002),IF(AND($A2002&gt;=10000101,$A2002&lt;=99991231),INT($A2002/10000),""),IFERROR(VALUE(TRIM(LEFT($A2002,FIND("/",$A2002)-1))),"")))</f>
        <v/>
      </c>
      <c r="C2002">
        <f>IF(OR($A2002="",$B2002=""),"",IF(ISNUMBER($A2002),INT(MOD($A2002,10000)/100),IFERROR(VALUE(TRIM(LEFT(MID($A2002,FIND("/",$A2002)+1,20),FIND("/",MID($A2002,FIND("/",$A2002)+1,20))-1))),"")))</f>
        <v/>
      </c>
      <c r="D2002">
        <f>IF(OR($A2002="",$B2002=""),"",IF(ISNUMBER($A2002),MOD($A2002,100),IFERROR(VALUE(TRIM(MID(MID($A2002,FIND("/",$A2002)+1,20),FIND("/",MID($A2002,FIND("/",$A2002)+1,20))+1,20))),"")))</f>
        <v/>
      </c>
      <c r="E2002">
        <f>IF($A2002="","",IF(OR($B2002="",$C2002="",$D2002="",$B2002&lt;1300,$B2002&gt;1500,$C2002&lt;1,$C2002&gt;12,$D2002&lt;1,$D2002&gt;31),"نامعتبر",RIGHT("0000"&amp;$B2002,4)&amp;"/"&amp;RIGHT("00"&amp;$C2002,2)&amp;"/"&amp;RIGHT("00"&amp;$D2002,2)))</f>
        <v/>
      </c>
      <c r="F2002">
        <f>IF(OR($E2002="",$E2002="نامعتبر"),"",LEFT($E2002,4)&amp;"/"&amp;MID($E2002,6,2))</f>
        <v/>
      </c>
      <c r="G2002">
        <f>IF(OR($E2002="",$E2002="نامعتبر",Sync!$X1998=""),"",IF(AND(LEFT(UPPER(TRIM(Sync!$X1998)),2)="SL",IFERROR(VLOOKUP(Sync!$W1998,OpTbl,3,0),"")="فروش"),UPPER(TRIM(Sync!$X1998)),""))</f>
        <v/>
      </c>
      <c r="H2002">
        <f>IF($G2002="","",IF(Sync!$W1998="","",Sync!$W1998))</f>
        <v/>
      </c>
      <c r="I2002">
        <f>IF(OR($G2002="",Sync!$Y1998=""),"",Sync!$Y1998)</f>
        <v/>
      </c>
      <c r="J2002">
        <f>IF(OR($G2002="",Sync!$Z1998=""),"",Sync!$Z1998)</f>
        <v/>
      </c>
      <c r="K2002">
        <f>IF($G2002="",0,IF(Sync!$AA1998="",0,Sync!$AA1998))</f>
        <v/>
      </c>
      <c r="L2002">
        <f>IF($G2002="",0,IF(Sync!$AB1998="",0,Sync!$AB1998))</f>
        <v/>
      </c>
      <c r="M2002">
        <f>IF($G2002="","",IF($H2002="مرجوعی فروش",-1,1)*($K2002-$L2002*IFERROR(VLOOKUP("P01",ParamTbl,3,0),1.5)))</f>
        <v/>
      </c>
      <c r="N2002">
        <f>IF($G2002="",0,IF($H2002="مرجوعی فروش",-1,1)*IF(Sync!$AC1998="",0,Sync!$AC1998))</f>
        <v/>
      </c>
      <c r="O2002">
        <f>IF(OR($G2002="",Sync!$V1998=""),"",Sync!$V1998)</f>
        <v/>
      </c>
      <c r="P2002">
        <f>IF(OR($G2002="",Sync!$AD1998=""),"",Sync!$AD1998)</f>
        <v/>
      </c>
      <c r="Q2002">
        <f>IF($G2002="","",IF(Sync!$U1998="","0000",IF(AND(ISNUMBER(Sync!$U1998),Sync!$U1998&gt;=0,Sync!$U1998&lt;1),RIGHT("00"&amp;HOUR(Sync!$U1998),2)&amp;RIGHT("00"&amp;MINUTE(Sync!$U1998),2),IFERROR(RIGHT("00"&amp;VALUE(LEFT(Sync!$U1998,FIND(":",Sync!$U1998)-1)),2)&amp;RIGHT("00"&amp;VALUE(MID(Sync!$U1998,FIND(":",Sync!$U1998)+1,2)),2),"0000"))))</f>
        <v/>
      </c>
    </row>
    <row r="2003">
      <c r="A2003">
        <f>IF(Sync!$T1999="","",Sync!$T1999)</f>
        <v/>
      </c>
      <c r="B2003">
        <f>IF($A2003="","",IF(ISNUMBER($A2003),IF(AND($A2003&gt;=10000101,$A2003&lt;=99991231),INT($A2003/10000),""),IFERROR(VALUE(TRIM(LEFT($A2003,FIND("/",$A2003)-1))),"")))</f>
        <v/>
      </c>
      <c r="C2003">
        <f>IF(OR($A2003="",$B2003=""),"",IF(ISNUMBER($A2003),INT(MOD($A2003,10000)/100),IFERROR(VALUE(TRIM(LEFT(MID($A2003,FIND("/",$A2003)+1,20),FIND("/",MID($A2003,FIND("/",$A2003)+1,20))-1))),"")))</f>
        <v/>
      </c>
      <c r="D2003">
        <f>IF(OR($A2003="",$B2003=""),"",IF(ISNUMBER($A2003),MOD($A2003,100),IFERROR(VALUE(TRIM(MID(MID($A2003,FIND("/",$A2003)+1,20),FIND("/",MID($A2003,FIND("/",$A2003)+1,20))+1,20))),"")))</f>
        <v/>
      </c>
      <c r="E2003">
        <f>IF($A2003="","",IF(OR($B2003="",$C2003="",$D2003="",$B2003&lt;1300,$B2003&gt;1500,$C2003&lt;1,$C2003&gt;12,$D2003&lt;1,$D2003&gt;31),"نامعتبر",RIGHT("0000"&amp;$B2003,4)&amp;"/"&amp;RIGHT("00"&amp;$C2003,2)&amp;"/"&amp;RIGHT("00"&amp;$D2003,2)))</f>
        <v/>
      </c>
      <c r="F2003">
        <f>IF(OR($E2003="",$E2003="نامعتبر"),"",LEFT($E2003,4)&amp;"/"&amp;MID($E2003,6,2))</f>
        <v/>
      </c>
      <c r="G2003">
        <f>IF(OR($E2003="",$E2003="نامعتبر",Sync!$X1999=""),"",IF(AND(LEFT(UPPER(TRIM(Sync!$X1999)),2)="SL",IFERROR(VLOOKUP(Sync!$W1999,OpTbl,3,0),"")="فروش"),UPPER(TRIM(Sync!$X1999)),""))</f>
        <v/>
      </c>
      <c r="H2003">
        <f>IF($G2003="","",IF(Sync!$W1999="","",Sync!$W1999))</f>
        <v/>
      </c>
      <c r="I2003">
        <f>IF(OR($G2003="",Sync!$Y1999=""),"",Sync!$Y1999)</f>
        <v/>
      </c>
      <c r="J2003">
        <f>IF(OR($G2003="",Sync!$Z1999=""),"",Sync!$Z1999)</f>
        <v/>
      </c>
      <c r="K2003">
        <f>IF($G2003="",0,IF(Sync!$AA1999="",0,Sync!$AA1999))</f>
        <v/>
      </c>
      <c r="L2003">
        <f>IF($G2003="",0,IF(Sync!$AB1999="",0,Sync!$AB1999))</f>
        <v/>
      </c>
      <c r="M2003">
        <f>IF($G2003="","",IF($H2003="مرجوعی فروش",-1,1)*($K2003-$L2003*IFERROR(VLOOKUP("P01",ParamTbl,3,0),1.5)))</f>
        <v/>
      </c>
      <c r="N2003">
        <f>IF($G2003="",0,IF($H2003="مرجوعی فروش",-1,1)*IF(Sync!$AC1999="",0,Sync!$AC1999))</f>
        <v/>
      </c>
      <c r="O2003">
        <f>IF(OR($G2003="",Sync!$V1999=""),"",Sync!$V1999)</f>
        <v/>
      </c>
      <c r="P2003">
        <f>IF(OR($G2003="",Sync!$AD1999=""),"",Sync!$AD1999)</f>
        <v/>
      </c>
      <c r="Q2003">
        <f>IF($G2003="","",IF(Sync!$U1999="","0000",IF(AND(ISNUMBER(Sync!$U1999),Sync!$U1999&gt;=0,Sync!$U1999&lt;1),RIGHT("00"&amp;HOUR(Sync!$U1999),2)&amp;RIGHT("00"&amp;MINUTE(Sync!$U1999),2),IFERROR(RIGHT("00"&amp;VALUE(LEFT(Sync!$U1999,FIND(":",Sync!$U1999)-1)),2)&amp;RIGHT("00"&amp;VALUE(MID(Sync!$U1999,FIND(":",Sync!$U1999)+1,2)),2),"0000"))))</f>
        <v/>
      </c>
    </row>
    <row r="2004">
      <c r="A2004">
        <f>IF(Sync!$T2000="","",Sync!$T2000)</f>
        <v/>
      </c>
      <c r="B2004">
        <f>IF($A2004="","",IF(ISNUMBER($A2004),IF(AND($A2004&gt;=10000101,$A2004&lt;=99991231),INT($A2004/10000),""),IFERROR(VALUE(TRIM(LEFT($A2004,FIND("/",$A2004)-1))),"")))</f>
        <v/>
      </c>
      <c r="C2004">
        <f>IF(OR($A2004="",$B2004=""),"",IF(ISNUMBER($A2004),INT(MOD($A2004,10000)/100),IFERROR(VALUE(TRIM(LEFT(MID($A2004,FIND("/",$A2004)+1,20),FIND("/",MID($A2004,FIND("/",$A2004)+1,20))-1))),"")))</f>
        <v/>
      </c>
      <c r="D2004">
        <f>IF(OR($A2004="",$B2004=""),"",IF(ISNUMBER($A2004),MOD($A2004,100),IFERROR(VALUE(TRIM(MID(MID($A2004,FIND("/",$A2004)+1,20),FIND("/",MID($A2004,FIND("/",$A2004)+1,20))+1,20))),"")))</f>
        <v/>
      </c>
      <c r="E2004">
        <f>IF($A2004="","",IF(OR($B2004="",$C2004="",$D2004="",$B2004&lt;1300,$B2004&gt;1500,$C2004&lt;1,$C2004&gt;12,$D2004&lt;1,$D2004&gt;31),"نامعتبر",RIGHT("0000"&amp;$B2004,4)&amp;"/"&amp;RIGHT("00"&amp;$C2004,2)&amp;"/"&amp;RIGHT("00"&amp;$D2004,2)))</f>
        <v/>
      </c>
      <c r="F2004">
        <f>IF(OR($E2004="",$E2004="نامعتبر"),"",LEFT($E2004,4)&amp;"/"&amp;MID($E2004,6,2))</f>
        <v/>
      </c>
      <c r="G2004">
        <f>IF(OR($E2004="",$E2004="نامعتبر",Sync!$X2000=""),"",IF(AND(LEFT(UPPER(TRIM(Sync!$X2000)),2)="SL",IFERROR(VLOOKUP(Sync!$W2000,OpTbl,3,0),"")="فروش"),UPPER(TRIM(Sync!$X2000)),""))</f>
        <v/>
      </c>
      <c r="H2004">
        <f>IF($G2004="","",IF(Sync!$W2000="","",Sync!$W2000))</f>
        <v/>
      </c>
      <c r="I2004">
        <f>IF(OR($G2004="",Sync!$Y2000=""),"",Sync!$Y2000)</f>
        <v/>
      </c>
      <c r="J2004">
        <f>IF(OR($G2004="",Sync!$Z2000=""),"",Sync!$Z2000)</f>
        <v/>
      </c>
      <c r="K2004">
        <f>IF($G2004="",0,IF(Sync!$AA2000="",0,Sync!$AA2000))</f>
        <v/>
      </c>
      <c r="L2004">
        <f>IF($G2004="",0,IF(Sync!$AB2000="",0,Sync!$AB2000))</f>
        <v/>
      </c>
      <c r="M2004">
        <f>IF($G2004="","",IF($H2004="مرجوعی فروش",-1,1)*($K2004-$L2004*IFERROR(VLOOKUP("P01",ParamTbl,3,0),1.5)))</f>
        <v/>
      </c>
      <c r="N2004">
        <f>IF($G2004="",0,IF($H2004="مرجوعی فروش",-1,1)*IF(Sync!$AC2000="",0,Sync!$AC2000))</f>
        <v/>
      </c>
      <c r="O2004">
        <f>IF(OR($G2004="",Sync!$V2000=""),"",Sync!$V2000)</f>
        <v/>
      </c>
      <c r="P2004">
        <f>IF(OR($G2004="",Sync!$AD2000=""),"",Sync!$AD2000)</f>
        <v/>
      </c>
      <c r="Q2004">
        <f>IF($G2004="","",IF(Sync!$U2000="","0000",IF(AND(ISNUMBER(Sync!$U2000),Sync!$U2000&gt;=0,Sync!$U2000&lt;1),RIGHT("00"&amp;HOUR(Sync!$U2000),2)&amp;RIGHT("00"&amp;MINUTE(Sync!$U2000),2),IFERROR(RIGHT("00"&amp;VALUE(LEFT(Sync!$U2000,FIND(":",Sync!$U2000)-1)),2)&amp;RIGHT("00"&amp;VALUE(MID(Sync!$U2000,FIND(":",Sync!$U2000)+1,2)),2),"0000"))))</f>
        <v/>
      </c>
    </row>
    <row r="2005">
      <c r="A2005">
        <f>IF(Sync!$T2001="","",Sync!$T2001)</f>
        <v/>
      </c>
      <c r="B2005">
        <f>IF($A2005="","",IF(ISNUMBER($A2005),IF(AND($A2005&gt;=10000101,$A2005&lt;=99991231),INT($A2005/10000),""),IFERROR(VALUE(TRIM(LEFT($A2005,FIND("/",$A2005)-1))),"")))</f>
        <v/>
      </c>
      <c r="C2005">
        <f>IF(OR($A2005="",$B2005=""),"",IF(ISNUMBER($A2005),INT(MOD($A2005,10000)/100),IFERROR(VALUE(TRIM(LEFT(MID($A2005,FIND("/",$A2005)+1,20),FIND("/",MID($A2005,FIND("/",$A2005)+1,20))-1))),"")))</f>
        <v/>
      </c>
      <c r="D2005">
        <f>IF(OR($A2005="",$B2005=""),"",IF(ISNUMBER($A2005),MOD($A2005,100),IFERROR(VALUE(TRIM(MID(MID($A2005,FIND("/",$A2005)+1,20),FIND("/",MID($A2005,FIND("/",$A2005)+1,20))+1,20))),"")))</f>
        <v/>
      </c>
      <c r="E2005">
        <f>IF($A2005="","",IF(OR($B2005="",$C2005="",$D2005="",$B2005&lt;1300,$B2005&gt;1500,$C2005&lt;1,$C2005&gt;12,$D2005&lt;1,$D2005&gt;31),"نامعتبر",RIGHT("0000"&amp;$B2005,4)&amp;"/"&amp;RIGHT("00"&amp;$C2005,2)&amp;"/"&amp;RIGHT("00"&amp;$D2005,2)))</f>
        <v/>
      </c>
      <c r="F2005">
        <f>IF(OR($E2005="",$E2005="نامعتبر"),"",LEFT($E2005,4)&amp;"/"&amp;MID($E2005,6,2))</f>
        <v/>
      </c>
      <c r="G2005">
        <f>IF(OR($E2005="",$E2005="نامعتبر",Sync!$X2001=""),"",IF(AND(LEFT(UPPER(TRIM(Sync!$X2001)),2)="SL",IFERROR(VLOOKUP(Sync!$W2001,OpTbl,3,0),"")="فروش"),UPPER(TRIM(Sync!$X2001)),""))</f>
        <v/>
      </c>
      <c r="H2005">
        <f>IF($G2005="","",IF(Sync!$W2001="","",Sync!$W2001))</f>
        <v/>
      </c>
      <c r="I2005">
        <f>IF(OR($G2005="",Sync!$Y2001=""),"",Sync!$Y2001)</f>
        <v/>
      </c>
      <c r="J2005">
        <f>IF(OR($G2005="",Sync!$Z2001=""),"",Sync!$Z2001)</f>
        <v/>
      </c>
      <c r="K2005">
        <f>IF($G2005="",0,IF(Sync!$AA2001="",0,Sync!$AA2001))</f>
        <v/>
      </c>
      <c r="L2005">
        <f>IF($G2005="",0,IF(Sync!$AB2001="",0,Sync!$AB2001))</f>
        <v/>
      </c>
      <c r="M2005">
        <f>IF($G2005="","",IF($H2005="مرجوعی فروش",-1,1)*($K2005-$L2005*IFERROR(VLOOKUP("P01",ParamTbl,3,0),1.5)))</f>
        <v/>
      </c>
      <c r="N2005">
        <f>IF($G2005="",0,IF($H2005="مرجوعی فروش",-1,1)*IF(Sync!$AC2001="",0,Sync!$AC2001))</f>
        <v/>
      </c>
      <c r="O2005">
        <f>IF(OR($G2005="",Sync!$V2001=""),"",Sync!$V2001)</f>
        <v/>
      </c>
      <c r="P2005">
        <f>IF(OR($G2005="",Sync!$AD2001=""),"",Sync!$AD2001)</f>
        <v/>
      </c>
      <c r="Q2005">
        <f>IF($G2005="","",IF(Sync!$U2001="","0000",IF(AND(ISNUMBER(Sync!$U2001),Sync!$U2001&gt;=0,Sync!$U2001&lt;1),RIGHT("00"&amp;HOUR(Sync!$U2001),2)&amp;RIGHT("00"&amp;MINUTE(Sync!$U2001),2),IFERROR(RIGHT("00"&amp;VALUE(LEFT(Sync!$U2001,FIND(":",Sync!$U2001)-1)),2)&amp;RIGHT("00"&amp;VALUE(MID(Sync!$U2001,FIND(":",Sync!$U2001)+1,2)),2),"0000"))))</f>
        <v/>
      </c>
    </row>
    <row r="2006">
      <c r="A2006">
        <f>IF(Sync!$T2002="","",Sync!$T2002)</f>
        <v/>
      </c>
      <c r="B2006">
        <f>IF($A2006="","",IF(ISNUMBER($A2006),IF(AND($A2006&gt;=10000101,$A2006&lt;=99991231),INT($A2006/10000),""),IFERROR(VALUE(TRIM(LEFT($A2006,FIND("/",$A2006)-1))),"")))</f>
        <v/>
      </c>
      <c r="C2006">
        <f>IF(OR($A2006="",$B2006=""),"",IF(ISNUMBER($A2006),INT(MOD($A2006,10000)/100),IFERROR(VALUE(TRIM(LEFT(MID($A2006,FIND("/",$A2006)+1,20),FIND("/",MID($A2006,FIND("/",$A2006)+1,20))-1))),"")))</f>
        <v/>
      </c>
      <c r="D2006">
        <f>IF(OR($A2006="",$B2006=""),"",IF(ISNUMBER($A2006),MOD($A2006,100),IFERROR(VALUE(TRIM(MID(MID($A2006,FIND("/",$A2006)+1,20),FIND("/",MID($A2006,FIND("/",$A2006)+1,20))+1,20))),"")))</f>
        <v/>
      </c>
      <c r="E2006">
        <f>IF($A2006="","",IF(OR($B2006="",$C2006="",$D2006="",$B2006&lt;1300,$B2006&gt;1500,$C2006&lt;1,$C2006&gt;12,$D2006&lt;1,$D2006&gt;31),"نامعتبر",RIGHT("0000"&amp;$B2006,4)&amp;"/"&amp;RIGHT("00"&amp;$C2006,2)&amp;"/"&amp;RIGHT("00"&amp;$D2006,2)))</f>
        <v/>
      </c>
      <c r="F2006">
        <f>IF(OR($E2006="",$E2006="نامعتبر"),"",LEFT($E2006,4)&amp;"/"&amp;MID($E2006,6,2))</f>
        <v/>
      </c>
      <c r="G2006">
        <f>IF(OR($E2006="",$E2006="نامعتبر",Sync!$X2002=""),"",IF(AND(LEFT(UPPER(TRIM(Sync!$X2002)),2)="SL",IFERROR(VLOOKUP(Sync!$W2002,OpTbl,3,0),"")="فروش"),UPPER(TRIM(Sync!$X2002)),""))</f>
        <v/>
      </c>
      <c r="H2006">
        <f>IF($G2006="","",IF(Sync!$W2002="","",Sync!$W2002))</f>
        <v/>
      </c>
      <c r="I2006">
        <f>IF(OR($G2006="",Sync!$Y2002=""),"",Sync!$Y2002)</f>
        <v/>
      </c>
      <c r="J2006">
        <f>IF(OR($G2006="",Sync!$Z2002=""),"",Sync!$Z2002)</f>
        <v/>
      </c>
      <c r="K2006">
        <f>IF($G2006="",0,IF(Sync!$AA2002="",0,Sync!$AA2002))</f>
        <v/>
      </c>
      <c r="L2006">
        <f>IF($G2006="",0,IF(Sync!$AB2002="",0,Sync!$AB2002))</f>
        <v/>
      </c>
      <c r="M2006">
        <f>IF($G2006="","",IF($H2006="مرجوعی فروش",-1,1)*($K2006-$L2006*IFERROR(VLOOKUP("P01",ParamTbl,3,0),1.5)))</f>
        <v/>
      </c>
      <c r="N2006">
        <f>IF($G2006="",0,IF($H2006="مرجوعی فروش",-1,1)*IF(Sync!$AC2002="",0,Sync!$AC2002))</f>
        <v/>
      </c>
      <c r="O2006">
        <f>IF(OR($G2006="",Sync!$V2002=""),"",Sync!$V2002)</f>
        <v/>
      </c>
      <c r="P2006">
        <f>IF(OR($G2006="",Sync!$AD2002=""),"",Sync!$AD2002)</f>
        <v/>
      </c>
      <c r="Q2006">
        <f>IF($G2006="","",IF(Sync!$U2002="","0000",IF(AND(ISNUMBER(Sync!$U2002),Sync!$U2002&gt;=0,Sync!$U2002&lt;1),RIGHT("00"&amp;HOUR(Sync!$U2002),2)&amp;RIGHT("00"&amp;MINUTE(Sync!$U2002),2),IFERROR(RIGHT("00"&amp;VALUE(LEFT(Sync!$U2002,FIND(":",Sync!$U2002)-1)),2)&amp;RIGHT("00"&amp;VALUE(MID(Sync!$U2002,FIND(":",Sync!$U2002)+1,2)),2),"0000"))))</f>
        <v/>
      </c>
    </row>
    <row r="2007">
      <c r="A2007">
        <f>IF(Sync!$T2003="","",Sync!$T2003)</f>
        <v/>
      </c>
      <c r="B2007">
        <f>IF($A2007="","",IF(ISNUMBER($A2007),IF(AND($A2007&gt;=10000101,$A2007&lt;=99991231),INT($A2007/10000),""),IFERROR(VALUE(TRIM(LEFT($A2007,FIND("/",$A2007)-1))),"")))</f>
        <v/>
      </c>
      <c r="C2007">
        <f>IF(OR($A2007="",$B2007=""),"",IF(ISNUMBER($A2007),INT(MOD($A2007,10000)/100),IFERROR(VALUE(TRIM(LEFT(MID($A2007,FIND("/",$A2007)+1,20),FIND("/",MID($A2007,FIND("/",$A2007)+1,20))-1))),"")))</f>
        <v/>
      </c>
      <c r="D2007">
        <f>IF(OR($A2007="",$B2007=""),"",IF(ISNUMBER($A2007),MOD($A2007,100),IFERROR(VALUE(TRIM(MID(MID($A2007,FIND("/",$A2007)+1,20),FIND("/",MID($A2007,FIND("/",$A2007)+1,20))+1,20))),"")))</f>
        <v/>
      </c>
      <c r="E2007">
        <f>IF($A2007="","",IF(OR($B2007="",$C2007="",$D2007="",$B2007&lt;1300,$B2007&gt;1500,$C2007&lt;1,$C2007&gt;12,$D2007&lt;1,$D2007&gt;31),"نامعتبر",RIGHT("0000"&amp;$B2007,4)&amp;"/"&amp;RIGHT("00"&amp;$C2007,2)&amp;"/"&amp;RIGHT("00"&amp;$D2007,2)))</f>
        <v/>
      </c>
      <c r="F2007">
        <f>IF(OR($E2007="",$E2007="نامعتبر"),"",LEFT($E2007,4)&amp;"/"&amp;MID($E2007,6,2))</f>
        <v/>
      </c>
      <c r="G2007">
        <f>IF(OR($E2007="",$E2007="نامعتبر",Sync!$X2003=""),"",IF(AND(LEFT(UPPER(TRIM(Sync!$X2003)),2)="SL",IFERROR(VLOOKUP(Sync!$W2003,OpTbl,3,0),"")="فروش"),UPPER(TRIM(Sync!$X2003)),""))</f>
        <v/>
      </c>
      <c r="H2007">
        <f>IF($G2007="","",IF(Sync!$W2003="","",Sync!$W2003))</f>
        <v/>
      </c>
      <c r="I2007">
        <f>IF(OR($G2007="",Sync!$Y2003=""),"",Sync!$Y2003)</f>
        <v/>
      </c>
      <c r="J2007">
        <f>IF(OR($G2007="",Sync!$Z2003=""),"",Sync!$Z2003)</f>
        <v/>
      </c>
      <c r="K2007">
        <f>IF($G2007="",0,IF(Sync!$AA2003="",0,Sync!$AA2003))</f>
        <v/>
      </c>
      <c r="L2007">
        <f>IF($G2007="",0,IF(Sync!$AB2003="",0,Sync!$AB2003))</f>
        <v/>
      </c>
      <c r="M2007">
        <f>IF($G2007="","",IF($H2007="مرجوعی فروش",-1,1)*($K2007-$L2007*IFERROR(VLOOKUP("P01",ParamTbl,3,0),1.5)))</f>
        <v/>
      </c>
      <c r="N2007">
        <f>IF($G2007="",0,IF($H2007="مرجوعی فروش",-1,1)*IF(Sync!$AC2003="",0,Sync!$AC2003))</f>
        <v/>
      </c>
      <c r="O2007">
        <f>IF(OR($G2007="",Sync!$V2003=""),"",Sync!$V2003)</f>
        <v/>
      </c>
      <c r="P2007">
        <f>IF(OR($G2007="",Sync!$AD2003=""),"",Sync!$AD2003)</f>
        <v/>
      </c>
      <c r="Q2007">
        <f>IF($G2007="","",IF(Sync!$U2003="","0000",IF(AND(ISNUMBER(Sync!$U2003),Sync!$U2003&gt;=0,Sync!$U2003&lt;1),RIGHT("00"&amp;HOUR(Sync!$U2003),2)&amp;RIGHT("00"&amp;MINUTE(Sync!$U2003),2),IFERROR(RIGHT("00"&amp;VALUE(LEFT(Sync!$U2003,FIND(":",Sync!$U2003)-1)),2)&amp;RIGHT("00"&amp;VALUE(MID(Sync!$U2003,FIND(":",Sync!$U2003)+1,2)),2),"0000"))))</f>
        <v/>
      </c>
    </row>
    <row r="2008">
      <c r="A2008">
        <f>IF(Sync!$T2004="","",Sync!$T2004)</f>
        <v/>
      </c>
      <c r="B2008">
        <f>IF($A2008="","",IF(ISNUMBER($A2008),IF(AND($A2008&gt;=10000101,$A2008&lt;=99991231),INT($A2008/10000),""),IFERROR(VALUE(TRIM(LEFT($A2008,FIND("/",$A2008)-1))),"")))</f>
        <v/>
      </c>
      <c r="C2008">
        <f>IF(OR($A2008="",$B2008=""),"",IF(ISNUMBER($A2008),INT(MOD($A2008,10000)/100),IFERROR(VALUE(TRIM(LEFT(MID($A2008,FIND("/",$A2008)+1,20),FIND("/",MID($A2008,FIND("/",$A2008)+1,20))-1))),"")))</f>
        <v/>
      </c>
      <c r="D2008">
        <f>IF(OR($A2008="",$B2008=""),"",IF(ISNUMBER($A2008),MOD($A2008,100),IFERROR(VALUE(TRIM(MID(MID($A2008,FIND("/",$A2008)+1,20),FIND("/",MID($A2008,FIND("/",$A2008)+1,20))+1,20))),"")))</f>
        <v/>
      </c>
      <c r="E2008">
        <f>IF($A2008="","",IF(OR($B2008="",$C2008="",$D2008="",$B2008&lt;1300,$B2008&gt;1500,$C2008&lt;1,$C2008&gt;12,$D2008&lt;1,$D2008&gt;31),"نامعتبر",RIGHT("0000"&amp;$B2008,4)&amp;"/"&amp;RIGHT("00"&amp;$C2008,2)&amp;"/"&amp;RIGHT("00"&amp;$D2008,2)))</f>
        <v/>
      </c>
      <c r="F2008">
        <f>IF(OR($E2008="",$E2008="نامعتبر"),"",LEFT($E2008,4)&amp;"/"&amp;MID($E2008,6,2))</f>
        <v/>
      </c>
      <c r="G2008">
        <f>IF(OR($E2008="",$E2008="نامعتبر",Sync!$X2004=""),"",IF(AND(LEFT(UPPER(TRIM(Sync!$X2004)),2)="SL",IFERROR(VLOOKUP(Sync!$W2004,OpTbl,3,0),"")="فروش"),UPPER(TRIM(Sync!$X2004)),""))</f>
        <v/>
      </c>
      <c r="H2008">
        <f>IF($G2008="","",IF(Sync!$W2004="","",Sync!$W2004))</f>
        <v/>
      </c>
      <c r="I2008">
        <f>IF(OR($G2008="",Sync!$Y2004=""),"",Sync!$Y2004)</f>
        <v/>
      </c>
      <c r="J2008">
        <f>IF(OR($G2008="",Sync!$Z2004=""),"",Sync!$Z2004)</f>
        <v/>
      </c>
      <c r="K2008">
        <f>IF($G2008="",0,IF(Sync!$AA2004="",0,Sync!$AA2004))</f>
        <v/>
      </c>
      <c r="L2008">
        <f>IF($G2008="",0,IF(Sync!$AB2004="",0,Sync!$AB2004))</f>
        <v/>
      </c>
      <c r="M2008">
        <f>IF($G2008="","",IF($H2008="مرجوعی فروش",-1,1)*($K2008-$L2008*IFERROR(VLOOKUP("P01",ParamTbl,3,0),1.5)))</f>
        <v/>
      </c>
      <c r="N2008">
        <f>IF($G2008="",0,IF($H2008="مرجوعی فروش",-1,1)*IF(Sync!$AC2004="",0,Sync!$AC2004))</f>
        <v/>
      </c>
      <c r="O2008">
        <f>IF(OR($G2008="",Sync!$V2004=""),"",Sync!$V2004)</f>
        <v/>
      </c>
      <c r="P2008">
        <f>IF(OR($G2008="",Sync!$AD2004=""),"",Sync!$AD2004)</f>
        <v/>
      </c>
      <c r="Q2008">
        <f>IF($G2008="","",IF(Sync!$U2004="","0000",IF(AND(ISNUMBER(Sync!$U2004),Sync!$U2004&gt;=0,Sync!$U2004&lt;1),RIGHT("00"&amp;HOUR(Sync!$U2004),2)&amp;RIGHT("00"&amp;MINUTE(Sync!$U2004),2),IFERROR(RIGHT("00"&amp;VALUE(LEFT(Sync!$U2004,FIND(":",Sync!$U2004)-1)),2)&amp;RIGHT("00"&amp;VALUE(MID(Sync!$U2004,FIND(":",Sync!$U2004)+1,2)),2),"0000"))))</f>
        <v/>
      </c>
    </row>
    <row r="2009">
      <c r="A2009">
        <f>IF(Sync!$T2005="","",Sync!$T2005)</f>
        <v/>
      </c>
      <c r="B2009">
        <f>IF($A2009="","",IF(ISNUMBER($A2009),IF(AND($A2009&gt;=10000101,$A2009&lt;=99991231),INT($A2009/10000),""),IFERROR(VALUE(TRIM(LEFT($A2009,FIND("/",$A2009)-1))),"")))</f>
        <v/>
      </c>
      <c r="C2009">
        <f>IF(OR($A2009="",$B2009=""),"",IF(ISNUMBER($A2009),INT(MOD($A2009,10000)/100),IFERROR(VALUE(TRIM(LEFT(MID($A2009,FIND("/",$A2009)+1,20),FIND("/",MID($A2009,FIND("/",$A2009)+1,20))-1))),"")))</f>
        <v/>
      </c>
      <c r="D2009">
        <f>IF(OR($A2009="",$B2009=""),"",IF(ISNUMBER($A2009),MOD($A2009,100),IFERROR(VALUE(TRIM(MID(MID($A2009,FIND("/",$A2009)+1,20),FIND("/",MID($A2009,FIND("/",$A2009)+1,20))+1,20))),"")))</f>
        <v/>
      </c>
      <c r="E2009">
        <f>IF($A2009="","",IF(OR($B2009="",$C2009="",$D2009="",$B2009&lt;1300,$B2009&gt;1500,$C2009&lt;1,$C2009&gt;12,$D2009&lt;1,$D2009&gt;31),"نامعتبر",RIGHT("0000"&amp;$B2009,4)&amp;"/"&amp;RIGHT("00"&amp;$C2009,2)&amp;"/"&amp;RIGHT("00"&amp;$D2009,2)))</f>
        <v/>
      </c>
      <c r="F2009">
        <f>IF(OR($E2009="",$E2009="نامعتبر"),"",LEFT($E2009,4)&amp;"/"&amp;MID($E2009,6,2))</f>
        <v/>
      </c>
      <c r="G2009">
        <f>IF(OR($E2009="",$E2009="نامعتبر",Sync!$X2005=""),"",IF(AND(LEFT(UPPER(TRIM(Sync!$X2005)),2)="SL",IFERROR(VLOOKUP(Sync!$W2005,OpTbl,3,0),"")="فروش"),UPPER(TRIM(Sync!$X2005)),""))</f>
        <v/>
      </c>
      <c r="H2009">
        <f>IF($G2009="","",IF(Sync!$W2005="","",Sync!$W2005))</f>
        <v/>
      </c>
      <c r="I2009">
        <f>IF(OR($G2009="",Sync!$Y2005=""),"",Sync!$Y2005)</f>
        <v/>
      </c>
      <c r="J2009">
        <f>IF(OR($G2009="",Sync!$Z2005=""),"",Sync!$Z2005)</f>
        <v/>
      </c>
      <c r="K2009">
        <f>IF($G2009="",0,IF(Sync!$AA2005="",0,Sync!$AA2005))</f>
        <v/>
      </c>
      <c r="L2009">
        <f>IF($G2009="",0,IF(Sync!$AB2005="",0,Sync!$AB2005))</f>
        <v/>
      </c>
      <c r="M2009">
        <f>IF($G2009="","",IF($H2009="مرجوعی فروش",-1,1)*($K2009-$L2009*IFERROR(VLOOKUP("P01",ParamTbl,3,0),1.5)))</f>
        <v/>
      </c>
      <c r="N2009">
        <f>IF($G2009="",0,IF($H2009="مرجوعی فروش",-1,1)*IF(Sync!$AC2005="",0,Sync!$AC2005))</f>
        <v/>
      </c>
      <c r="O2009">
        <f>IF(OR($G2009="",Sync!$V2005=""),"",Sync!$V2005)</f>
        <v/>
      </c>
      <c r="P2009">
        <f>IF(OR($G2009="",Sync!$AD2005=""),"",Sync!$AD2005)</f>
        <v/>
      </c>
      <c r="Q2009">
        <f>IF($G2009="","",IF(Sync!$U2005="","0000",IF(AND(ISNUMBER(Sync!$U2005),Sync!$U2005&gt;=0,Sync!$U2005&lt;1),RIGHT("00"&amp;HOUR(Sync!$U2005),2)&amp;RIGHT("00"&amp;MINUTE(Sync!$U2005),2),IFERROR(RIGHT("00"&amp;VALUE(LEFT(Sync!$U2005,FIND(":",Sync!$U2005)-1)),2)&amp;RIGHT("00"&amp;VALUE(MID(Sync!$U2005,FIND(":",Sync!$U2005)+1,2)),2),"0000"))))</f>
        <v/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0A4AE"/>
    <outlinePr summaryBelow="1" summaryRight="1"/>
    <pageSetUpPr/>
  </sheetPr>
  <dimension ref="A1:N200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7" customWidth="1" min="3" max="3"/>
    <col width="15" customWidth="1" min="4" max="4"/>
    <col width="9" customWidth="1" min="6" max="6"/>
    <col width="6" customWidth="1" min="7" max="7"/>
    <col width="6" customWidth="1" min="8" max="8"/>
    <col width="6" customWidth="1" min="9" max="9"/>
    <col width="12" customWidth="1" min="10" max="10"/>
    <col width="18" customWidth="1" min="11" max="11"/>
    <col width="7" customWidth="1" min="12" max="12"/>
    <col width="15" customWidth="1" min="13" max="13"/>
    <col width="8" customWidth="1" min="14" max="14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1" t="inlineStr">
        <is>
          <t>برگه فنی — موتور صورت‌حساب (ترکیب توزین‌های فروش باسکول و پرداخت‌های بانکی + رتبه‌بندی). فرمول‌ها را تغییر ندهید.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</row>
    <row r="5">
      <c r="A5" s="33" t="inlineStr">
        <is>
          <t>A·Seller</t>
        </is>
      </c>
      <c r="B5" s="33" t="inlineStr">
        <is>
          <t>A·Key</t>
        </is>
      </c>
      <c r="C5" s="33" t="inlineStr">
        <is>
          <t>A·Rank</t>
        </is>
      </c>
      <c r="D5" s="33" t="inlineStr">
        <is>
          <t>A·RankKey</t>
        </is>
      </c>
      <c r="F5" s="34" t="inlineStr">
        <is>
          <t>B·Seller</t>
        </is>
      </c>
      <c r="G5" s="34" t="inlineStr">
        <is>
          <t>B·Y</t>
        </is>
      </c>
      <c r="H5" s="34" t="inlineStr">
        <is>
          <t>B·M</t>
        </is>
      </c>
      <c r="I5" s="34" t="inlineStr">
        <is>
          <t>B·D</t>
        </is>
      </c>
      <c r="J5" s="34" t="inlineStr">
        <is>
          <t>B·Date</t>
        </is>
      </c>
      <c r="K5" s="34" t="inlineStr">
        <is>
          <t>B·Key</t>
        </is>
      </c>
      <c r="L5" s="34" t="inlineStr">
        <is>
          <t>B·Rank</t>
        </is>
      </c>
      <c r="M5" s="34" t="inlineStr">
        <is>
          <t>B·RankKey</t>
        </is>
      </c>
      <c r="N5" s="34" t="inlineStr">
        <is>
          <t>B·Time</t>
        </is>
      </c>
    </row>
    <row r="6">
      <c r="A6">
        <f>IF(OR(Calc!$E10="",Calc!$E10="نامعتبر",Calc!$G10=""),"",Calc!$G10)</f>
        <v/>
      </c>
      <c r="B6">
        <f>IF($A6="","",LEFT(Calc!$E10,4)&amp;MID(Calc!$E10,6,2)&amp;RIGHT(Calc!$E10,2)&amp;Calc!$Q10&amp;"|"&amp;"1"&amp;RIGHT("00000"&amp;1,5))</f>
        <v/>
      </c>
      <c r="C6">
        <f>IF($B6="","",COUNTIFS(LdgSellerA,$A6,LdgKeyA,"&lt;"&amp;$B6)+COUNTIFS(LdgSellerB,$A6,LdgKeyB,"&lt;"&amp;$B6)+1)</f>
        <v/>
      </c>
      <c r="D6">
        <f>IF($C6="","",$A6&amp;"|"&amp;RIGHT("000000"&amp;$C6,6))</f>
        <v/>
      </c>
      <c r="F6">
        <f>IF(Sync!$AH6="","",IF(LEFT(UPPER(TRIM(Sync!$AH6)),2)="SL",UPPER(TRIM(Sync!$AH6)),""))</f>
        <v/>
      </c>
      <c r="G6">
        <f>IF($F6="","",IF(Sync!$AE6="","",IF(ISNUMBER(Sync!$AE6),IF(AND(Sync!$AE6&gt;=10000101,Sync!$AE6&lt;=99991231),INT(Sync!$AE6/10000),""),IFERROR(VALUE(TRIM(LEFT(Sync!$AE6,FIND("/",Sync!$AE6)-1))),""))))</f>
        <v/>
      </c>
      <c r="H6">
        <f>IF(OR($F6="",$G6=""),"",IF(ISNUMBER(Sync!$AE6),INT(MOD(Sync!$AE6,10000)/100),IFERROR(VALUE(TRIM(LEFT(MID(Sync!$AE6,FIND("/",Sync!$AE6)+1,20),FIND("/",MID(Sync!$AE6,FIND("/",Sync!$AE6)+1,20))-1))),"")))</f>
        <v/>
      </c>
      <c r="I6">
        <f>IF(OR($F6="",$G6=""),"",IF(ISNUMBER(Sync!$AE6),MOD(Sync!$AE6,100),IFERROR(VALUE(TRIM(MID(MID(Sync!$AE6,FIND("/",Sync!$AE6)+1,20),FIND("/",MID(Sync!$AE6,FIND("/",Sync!$AE6)+1,20))+1,20))),"")))</f>
        <v/>
      </c>
      <c r="J6">
        <f>IF($F6="","",IF(OR($G6="",$H6="",$I6="",$G6&lt;1300,$G6&gt;1500,$H6&lt;1,$H6&gt;12,$I6&lt;1,$I6&gt;31),"نامعتبر",RIGHT("0000"&amp;$G6,4)&amp;"/"&amp;RIGHT("00"&amp;$H6,2)&amp;"/"&amp;RIGHT("00"&amp;$I6,2)))</f>
        <v/>
      </c>
      <c r="K6">
        <f>IF(OR($F6="",$J6="",$J6="نامعتبر"),"",LEFT($J6,4)&amp;MID($J6,6,2)&amp;RIGHT($J6,2)&amp;$N6&amp;"|"&amp;"2"&amp;RIGHT("00000"&amp;1,5))</f>
        <v/>
      </c>
      <c r="L6">
        <f>IF($K6="","",COUNTIFS(LdgSellerA,$F6,LdgKeyA,"&lt;"&amp;$K6)+COUNTIFS(LdgSellerB,$F6,LdgKeyB,"&lt;"&amp;$K6)+1)</f>
        <v/>
      </c>
      <c r="M6">
        <f>IF($L6="","",$F6&amp;"|"&amp;RIGHT("000000"&amp;$L6,6))</f>
        <v/>
      </c>
      <c r="N6">
        <f>IF($F6="","",IF(Sync!$AF6="","0000",IF(AND(ISNUMBER(Sync!$AF6),Sync!$AF6&gt;=0,Sync!$AF6&lt;1),RIGHT("00"&amp;HOUR(Sync!$AF6),2)&amp;RIGHT("00"&amp;MINUTE(Sync!$AF6),2),IFERROR(RIGHT("00"&amp;VALUE(LEFT(Sync!$AF6,FIND(":",Sync!$AF6)-1)),2)&amp;RIGHT("00"&amp;VALUE(MID(Sync!$AF6,FIND(":",Sync!$AF6)+1,2)),2),"0000"))))</f>
        <v/>
      </c>
    </row>
    <row r="7">
      <c r="A7">
        <f>IF(OR(Calc!$E11="",Calc!$E11="نامعتبر",Calc!$G11=""),"",Calc!$G11)</f>
        <v/>
      </c>
      <c r="B7">
        <f>IF($A7="","",LEFT(Calc!$E11,4)&amp;MID(Calc!$E11,6,2)&amp;RIGHT(Calc!$E11,2)&amp;Calc!$Q11&amp;"|"&amp;"1"&amp;RIGHT("00000"&amp;2,5))</f>
        <v/>
      </c>
      <c r="C7">
        <f>IF($B7="","",COUNTIFS(LdgSellerA,$A7,LdgKeyA,"&lt;"&amp;$B7)+COUNTIFS(LdgSellerB,$A7,LdgKeyB,"&lt;"&amp;$B7)+1)</f>
        <v/>
      </c>
      <c r="D7">
        <f>IF($C7="","",$A7&amp;"|"&amp;RIGHT("000000"&amp;$C7,6))</f>
        <v/>
      </c>
      <c r="F7">
        <f>IF(Sync!$AH7="","",IF(LEFT(UPPER(TRIM(Sync!$AH7)),2)="SL",UPPER(TRIM(Sync!$AH7)),""))</f>
        <v/>
      </c>
      <c r="G7">
        <f>IF($F7="","",IF(Sync!$AE7="","",IF(ISNUMBER(Sync!$AE7),IF(AND(Sync!$AE7&gt;=10000101,Sync!$AE7&lt;=99991231),INT(Sync!$AE7/10000),""),IFERROR(VALUE(TRIM(LEFT(Sync!$AE7,FIND("/",Sync!$AE7)-1))),""))))</f>
        <v/>
      </c>
      <c r="H7">
        <f>IF(OR($F7="",$G7=""),"",IF(ISNUMBER(Sync!$AE7),INT(MOD(Sync!$AE7,10000)/100),IFERROR(VALUE(TRIM(LEFT(MID(Sync!$AE7,FIND("/",Sync!$AE7)+1,20),FIND("/",MID(Sync!$AE7,FIND("/",Sync!$AE7)+1,20))-1))),"")))</f>
        <v/>
      </c>
      <c r="I7">
        <f>IF(OR($F7="",$G7=""),"",IF(ISNUMBER(Sync!$AE7),MOD(Sync!$AE7,100),IFERROR(VALUE(TRIM(MID(MID(Sync!$AE7,FIND("/",Sync!$AE7)+1,20),FIND("/",MID(Sync!$AE7,FIND("/",Sync!$AE7)+1,20))+1,20))),"")))</f>
        <v/>
      </c>
      <c r="J7">
        <f>IF($F7="","",IF(OR($G7="",$H7="",$I7="",$G7&lt;1300,$G7&gt;1500,$H7&lt;1,$H7&gt;12,$I7&lt;1,$I7&gt;31),"نامعتبر",RIGHT("0000"&amp;$G7,4)&amp;"/"&amp;RIGHT("00"&amp;$H7,2)&amp;"/"&amp;RIGHT("00"&amp;$I7,2)))</f>
        <v/>
      </c>
      <c r="K7">
        <f>IF(OR($F7="",$J7="",$J7="نامعتبر"),"",LEFT($J7,4)&amp;MID($J7,6,2)&amp;RIGHT($J7,2)&amp;$N7&amp;"|"&amp;"2"&amp;RIGHT("00000"&amp;2,5))</f>
        <v/>
      </c>
      <c r="L7">
        <f>IF($K7="","",COUNTIFS(LdgSellerA,$F7,LdgKeyA,"&lt;"&amp;$K7)+COUNTIFS(LdgSellerB,$F7,LdgKeyB,"&lt;"&amp;$K7)+1)</f>
        <v/>
      </c>
      <c r="M7">
        <f>IF($L7="","",$F7&amp;"|"&amp;RIGHT("000000"&amp;$L7,6))</f>
        <v/>
      </c>
      <c r="N7">
        <f>IF($F7="","",IF(Sync!$AF7="","0000",IF(AND(ISNUMBER(Sync!$AF7),Sync!$AF7&gt;=0,Sync!$AF7&lt;1),RIGHT("00"&amp;HOUR(Sync!$AF7),2)&amp;RIGHT("00"&amp;MINUTE(Sync!$AF7),2),IFERROR(RIGHT("00"&amp;VALUE(LEFT(Sync!$AF7,FIND(":",Sync!$AF7)-1)),2)&amp;RIGHT("00"&amp;VALUE(MID(Sync!$AF7,FIND(":",Sync!$AF7)+1,2)),2),"0000"))))</f>
        <v/>
      </c>
    </row>
    <row r="8">
      <c r="A8">
        <f>IF(OR(Calc!$E12="",Calc!$E12="نامعتبر",Calc!$G12=""),"",Calc!$G12)</f>
        <v/>
      </c>
      <c r="B8">
        <f>IF($A8="","",LEFT(Calc!$E12,4)&amp;MID(Calc!$E12,6,2)&amp;RIGHT(Calc!$E12,2)&amp;Calc!$Q12&amp;"|"&amp;"1"&amp;RIGHT("00000"&amp;3,5))</f>
        <v/>
      </c>
      <c r="C8">
        <f>IF($B8="","",COUNTIFS(LdgSellerA,$A8,LdgKeyA,"&lt;"&amp;$B8)+COUNTIFS(LdgSellerB,$A8,LdgKeyB,"&lt;"&amp;$B8)+1)</f>
        <v/>
      </c>
      <c r="D8">
        <f>IF($C8="","",$A8&amp;"|"&amp;RIGHT("000000"&amp;$C8,6))</f>
        <v/>
      </c>
      <c r="F8">
        <f>IF(Sync!$AH8="","",IF(LEFT(UPPER(TRIM(Sync!$AH8)),2)="SL",UPPER(TRIM(Sync!$AH8)),""))</f>
        <v/>
      </c>
      <c r="G8">
        <f>IF($F8="","",IF(Sync!$AE8="","",IF(ISNUMBER(Sync!$AE8),IF(AND(Sync!$AE8&gt;=10000101,Sync!$AE8&lt;=99991231),INT(Sync!$AE8/10000),""),IFERROR(VALUE(TRIM(LEFT(Sync!$AE8,FIND("/",Sync!$AE8)-1))),""))))</f>
        <v/>
      </c>
      <c r="H8">
        <f>IF(OR($F8="",$G8=""),"",IF(ISNUMBER(Sync!$AE8),INT(MOD(Sync!$AE8,10000)/100),IFERROR(VALUE(TRIM(LEFT(MID(Sync!$AE8,FIND("/",Sync!$AE8)+1,20),FIND("/",MID(Sync!$AE8,FIND("/",Sync!$AE8)+1,20))-1))),"")))</f>
        <v/>
      </c>
      <c r="I8">
        <f>IF(OR($F8="",$G8=""),"",IF(ISNUMBER(Sync!$AE8),MOD(Sync!$AE8,100),IFERROR(VALUE(TRIM(MID(MID(Sync!$AE8,FIND("/",Sync!$AE8)+1,20),FIND("/",MID(Sync!$AE8,FIND("/",Sync!$AE8)+1,20))+1,20))),"")))</f>
        <v/>
      </c>
      <c r="J8">
        <f>IF($F8="","",IF(OR($G8="",$H8="",$I8="",$G8&lt;1300,$G8&gt;1500,$H8&lt;1,$H8&gt;12,$I8&lt;1,$I8&gt;31),"نامعتبر",RIGHT("0000"&amp;$G8,4)&amp;"/"&amp;RIGHT("00"&amp;$H8,2)&amp;"/"&amp;RIGHT("00"&amp;$I8,2)))</f>
        <v/>
      </c>
      <c r="K8">
        <f>IF(OR($F8="",$J8="",$J8="نامعتبر"),"",LEFT($J8,4)&amp;MID($J8,6,2)&amp;RIGHT($J8,2)&amp;$N8&amp;"|"&amp;"2"&amp;RIGHT("00000"&amp;3,5))</f>
        <v/>
      </c>
      <c r="L8">
        <f>IF($K8="","",COUNTIFS(LdgSellerA,$F8,LdgKeyA,"&lt;"&amp;$K8)+COUNTIFS(LdgSellerB,$F8,LdgKeyB,"&lt;"&amp;$K8)+1)</f>
        <v/>
      </c>
      <c r="M8">
        <f>IF($L8="","",$F8&amp;"|"&amp;RIGHT("000000"&amp;$L8,6))</f>
        <v/>
      </c>
      <c r="N8">
        <f>IF($F8="","",IF(Sync!$AF8="","0000",IF(AND(ISNUMBER(Sync!$AF8),Sync!$AF8&gt;=0,Sync!$AF8&lt;1),RIGHT("00"&amp;HOUR(Sync!$AF8),2)&amp;RIGHT("00"&amp;MINUTE(Sync!$AF8),2),IFERROR(RIGHT("00"&amp;VALUE(LEFT(Sync!$AF8,FIND(":",Sync!$AF8)-1)),2)&amp;RIGHT("00"&amp;VALUE(MID(Sync!$AF8,FIND(":",Sync!$AF8)+1,2)),2),"0000"))))</f>
        <v/>
      </c>
    </row>
    <row r="9">
      <c r="A9">
        <f>IF(OR(Calc!$E13="",Calc!$E13="نامعتبر",Calc!$G13=""),"",Calc!$G13)</f>
        <v/>
      </c>
      <c r="B9">
        <f>IF($A9="","",LEFT(Calc!$E13,4)&amp;MID(Calc!$E13,6,2)&amp;RIGHT(Calc!$E13,2)&amp;Calc!$Q13&amp;"|"&amp;"1"&amp;RIGHT("00000"&amp;4,5))</f>
        <v/>
      </c>
      <c r="C9">
        <f>IF($B9="","",COUNTIFS(LdgSellerA,$A9,LdgKeyA,"&lt;"&amp;$B9)+COUNTIFS(LdgSellerB,$A9,LdgKeyB,"&lt;"&amp;$B9)+1)</f>
        <v/>
      </c>
      <c r="D9">
        <f>IF($C9="","",$A9&amp;"|"&amp;RIGHT("000000"&amp;$C9,6))</f>
        <v/>
      </c>
      <c r="F9">
        <f>IF(Sync!$AH9="","",IF(LEFT(UPPER(TRIM(Sync!$AH9)),2)="SL",UPPER(TRIM(Sync!$AH9)),""))</f>
        <v/>
      </c>
      <c r="G9">
        <f>IF($F9="","",IF(Sync!$AE9="","",IF(ISNUMBER(Sync!$AE9),IF(AND(Sync!$AE9&gt;=10000101,Sync!$AE9&lt;=99991231),INT(Sync!$AE9/10000),""),IFERROR(VALUE(TRIM(LEFT(Sync!$AE9,FIND("/",Sync!$AE9)-1))),""))))</f>
        <v/>
      </c>
      <c r="H9">
        <f>IF(OR($F9="",$G9=""),"",IF(ISNUMBER(Sync!$AE9),INT(MOD(Sync!$AE9,10000)/100),IFERROR(VALUE(TRIM(LEFT(MID(Sync!$AE9,FIND("/",Sync!$AE9)+1,20),FIND("/",MID(Sync!$AE9,FIND("/",Sync!$AE9)+1,20))-1))),"")))</f>
        <v/>
      </c>
      <c r="I9">
        <f>IF(OR($F9="",$G9=""),"",IF(ISNUMBER(Sync!$AE9),MOD(Sync!$AE9,100),IFERROR(VALUE(TRIM(MID(MID(Sync!$AE9,FIND("/",Sync!$AE9)+1,20),FIND("/",MID(Sync!$AE9,FIND("/",Sync!$AE9)+1,20))+1,20))),"")))</f>
        <v/>
      </c>
      <c r="J9">
        <f>IF($F9="","",IF(OR($G9="",$H9="",$I9="",$G9&lt;1300,$G9&gt;1500,$H9&lt;1,$H9&gt;12,$I9&lt;1,$I9&gt;31),"نامعتبر",RIGHT("0000"&amp;$G9,4)&amp;"/"&amp;RIGHT("00"&amp;$H9,2)&amp;"/"&amp;RIGHT("00"&amp;$I9,2)))</f>
        <v/>
      </c>
      <c r="K9">
        <f>IF(OR($F9="",$J9="",$J9="نامعتبر"),"",LEFT($J9,4)&amp;MID($J9,6,2)&amp;RIGHT($J9,2)&amp;$N9&amp;"|"&amp;"2"&amp;RIGHT("00000"&amp;4,5))</f>
        <v/>
      </c>
      <c r="L9">
        <f>IF($K9="","",COUNTIFS(LdgSellerA,$F9,LdgKeyA,"&lt;"&amp;$K9)+COUNTIFS(LdgSellerB,$F9,LdgKeyB,"&lt;"&amp;$K9)+1)</f>
        <v/>
      </c>
      <c r="M9">
        <f>IF($L9="","",$F9&amp;"|"&amp;RIGHT("000000"&amp;$L9,6))</f>
        <v/>
      </c>
      <c r="N9">
        <f>IF($F9="","",IF(Sync!$AF9="","0000",IF(AND(ISNUMBER(Sync!$AF9),Sync!$AF9&gt;=0,Sync!$AF9&lt;1),RIGHT("00"&amp;HOUR(Sync!$AF9),2)&amp;RIGHT("00"&amp;MINUTE(Sync!$AF9),2),IFERROR(RIGHT("00"&amp;VALUE(LEFT(Sync!$AF9,FIND(":",Sync!$AF9)-1)),2)&amp;RIGHT("00"&amp;VALUE(MID(Sync!$AF9,FIND(":",Sync!$AF9)+1,2)),2),"0000"))))</f>
        <v/>
      </c>
    </row>
    <row r="10">
      <c r="A10">
        <f>IF(OR(Calc!$E14="",Calc!$E14="نامعتبر",Calc!$G14=""),"",Calc!$G14)</f>
        <v/>
      </c>
      <c r="B10">
        <f>IF($A10="","",LEFT(Calc!$E14,4)&amp;MID(Calc!$E14,6,2)&amp;RIGHT(Calc!$E14,2)&amp;Calc!$Q14&amp;"|"&amp;"1"&amp;RIGHT("00000"&amp;5,5))</f>
        <v/>
      </c>
      <c r="C10">
        <f>IF($B10="","",COUNTIFS(LdgSellerA,$A10,LdgKeyA,"&lt;"&amp;$B10)+COUNTIFS(LdgSellerB,$A10,LdgKeyB,"&lt;"&amp;$B10)+1)</f>
        <v/>
      </c>
      <c r="D10">
        <f>IF($C10="","",$A10&amp;"|"&amp;RIGHT("000000"&amp;$C10,6))</f>
        <v/>
      </c>
      <c r="F10">
        <f>IF(Sync!$AH10="","",IF(LEFT(UPPER(TRIM(Sync!$AH10)),2)="SL",UPPER(TRIM(Sync!$AH10)),""))</f>
        <v/>
      </c>
      <c r="G10">
        <f>IF($F10="","",IF(Sync!$AE10="","",IF(ISNUMBER(Sync!$AE10),IF(AND(Sync!$AE10&gt;=10000101,Sync!$AE10&lt;=99991231),INT(Sync!$AE10/10000),""),IFERROR(VALUE(TRIM(LEFT(Sync!$AE10,FIND("/",Sync!$AE10)-1))),""))))</f>
        <v/>
      </c>
      <c r="H10">
        <f>IF(OR($F10="",$G10=""),"",IF(ISNUMBER(Sync!$AE10),INT(MOD(Sync!$AE10,10000)/100),IFERROR(VALUE(TRIM(LEFT(MID(Sync!$AE10,FIND("/",Sync!$AE10)+1,20),FIND("/",MID(Sync!$AE10,FIND("/",Sync!$AE10)+1,20))-1))),"")))</f>
        <v/>
      </c>
      <c r="I10">
        <f>IF(OR($F10="",$G10=""),"",IF(ISNUMBER(Sync!$AE10),MOD(Sync!$AE10,100),IFERROR(VALUE(TRIM(MID(MID(Sync!$AE10,FIND("/",Sync!$AE10)+1,20),FIND("/",MID(Sync!$AE10,FIND("/",Sync!$AE10)+1,20))+1,20))),"")))</f>
        <v/>
      </c>
      <c r="J10">
        <f>IF($F10="","",IF(OR($G10="",$H10="",$I10="",$G10&lt;1300,$G10&gt;1500,$H10&lt;1,$H10&gt;12,$I10&lt;1,$I10&gt;31),"نامعتبر",RIGHT("0000"&amp;$G10,4)&amp;"/"&amp;RIGHT("00"&amp;$H10,2)&amp;"/"&amp;RIGHT("00"&amp;$I10,2)))</f>
        <v/>
      </c>
      <c r="K10">
        <f>IF(OR($F10="",$J10="",$J10="نامعتبر"),"",LEFT($J10,4)&amp;MID($J10,6,2)&amp;RIGHT($J10,2)&amp;$N10&amp;"|"&amp;"2"&amp;RIGHT("00000"&amp;5,5))</f>
        <v/>
      </c>
      <c r="L10">
        <f>IF($K10="","",COUNTIFS(LdgSellerA,$F10,LdgKeyA,"&lt;"&amp;$K10)+COUNTIFS(LdgSellerB,$F10,LdgKeyB,"&lt;"&amp;$K10)+1)</f>
        <v/>
      </c>
      <c r="M10">
        <f>IF($L10="","",$F10&amp;"|"&amp;RIGHT("000000"&amp;$L10,6))</f>
        <v/>
      </c>
      <c r="N10">
        <f>IF($F10="","",IF(Sync!$AF10="","0000",IF(AND(ISNUMBER(Sync!$AF10),Sync!$AF10&gt;=0,Sync!$AF10&lt;1),RIGHT("00"&amp;HOUR(Sync!$AF10),2)&amp;RIGHT("00"&amp;MINUTE(Sync!$AF10),2),IFERROR(RIGHT("00"&amp;VALUE(LEFT(Sync!$AF10,FIND(":",Sync!$AF10)-1)),2)&amp;RIGHT("00"&amp;VALUE(MID(Sync!$AF10,FIND(":",Sync!$AF10)+1,2)),2),"0000"))))</f>
        <v/>
      </c>
    </row>
    <row r="11">
      <c r="A11">
        <f>IF(OR(Calc!$E15="",Calc!$E15="نامعتبر",Calc!$G15=""),"",Calc!$G15)</f>
        <v/>
      </c>
      <c r="B11">
        <f>IF($A11="","",LEFT(Calc!$E15,4)&amp;MID(Calc!$E15,6,2)&amp;RIGHT(Calc!$E15,2)&amp;Calc!$Q15&amp;"|"&amp;"1"&amp;RIGHT("00000"&amp;6,5))</f>
        <v/>
      </c>
      <c r="C11">
        <f>IF($B11="","",COUNTIFS(LdgSellerA,$A11,LdgKeyA,"&lt;"&amp;$B11)+COUNTIFS(LdgSellerB,$A11,LdgKeyB,"&lt;"&amp;$B11)+1)</f>
        <v/>
      </c>
      <c r="D11">
        <f>IF($C11="","",$A11&amp;"|"&amp;RIGHT("000000"&amp;$C11,6))</f>
        <v/>
      </c>
      <c r="F11">
        <f>IF(Sync!$AH11="","",IF(LEFT(UPPER(TRIM(Sync!$AH11)),2)="SL",UPPER(TRIM(Sync!$AH11)),""))</f>
        <v/>
      </c>
      <c r="G11">
        <f>IF($F11="","",IF(Sync!$AE11="","",IF(ISNUMBER(Sync!$AE11),IF(AND(Sync!$AE11&gt;=10000101,Sync!$AE11&lt;=99991231),INT(Sync!$AE11/10000),""),IFERROR(VALUE(TRIM(LEFT(Sync!$AE11,FIND("/",Sync!$AE11)-1))),""))))</f>
        <v/>
      </c>
      <c r="H11">
        <f>IF(OR($F11="",$G11=""),"",IF(ISNUMBER(Sync!$AE11),INT(MOD(Sync!$AE11,10000)/100),IFERROR(VALUE(TRIM(LEFT(MID(Sync!$AE11,FIND("/",Sync!$AE11)+1,20),FIND("/",MID(Sync!$AE11,FIND("/",Sync!$AE11)+1,20))-1))),"")))</f>
        <v/>
      </c>
      <c r="I11">
        <f>IF(OR($F11="",$G11=""),"",IF(ISNUMBER(Sync!$AE11),MOD(Sync!$AE11,100),IFERROR(VALUE(TRIM(MID(MID(Sync!$AE11,FIND("/",Sync!$AE11)+1,20),FIND("/",MID(Sync!$AE11,FIND("/",Sync!$AE11)+1,20))+1,20))),"")))</f>
        <v/>
      </c>
      <c r="J11">
        <f>IF($F11="","",IF(OR($G11="",$H11="",$I11="",$G11&lt;1300,$G11&gt;1500,$H11&lt;1,$H11&gt;12,$I11&lt;1,$I11&gt;31),"نامعتبر",RIGHT("0000"&amp;$G11,4)&amp;"/"&amp;RIGHT("00"&amp;$H11,2)&amp;"/"&amp;RIGHT("00"&amp;$I11,2)))</f>
        <v/>
      </c>
      <c r="K11">
        <f>IF(OR($F11="",$J11="",$J11="نامعتبر"),"",LEFT($J11,4)&amp;MID($J11,6,2)&amp;RIGHT($J11,2)&amp;$N11&amp;"|"&amp;"2"&amp;RIGHT("00000"&amp;6,5))</f>
        <v/>
      </c>
      <c r="L11">
        <f>IF($K11="","",COUNTIFS(LdgSellerA,$F11,LdgKeyA,"&lt;"&amp;$K11)+COUNTIFS(LdgSellerB,$F11,LdgKeyB,"&lt;"&amp;$K11)+1)</f>
        <v/>
      </c>
      <c r="M11">
        <f>IF($L11="","",$F11&amp;"|"&amp;RIGHT("000000"&amp;$L11,6))</f>
        <v/>
      </c>
      <c r="N11">
        <f>IF($F11="","",IF(Sync!$AF11="","0000",IF(AND(ISNUMBER(Sync!$AF11),Sync!$AF11&gt;=0,Sync!$AF11&lt;1),RIGHT("00"&amp;HOUR(Sync!$AF11),2)&amp;RIGHT("00"&amp;MINUTE(Sync!$AF11),2),IFERROR(RIGHT("00"&amp;VALUE(LEFT(Sync!$AF11,FIND(":",Sync!$AF11)-1)),2)&amp;RIGHT("00"&amp;VALUE(MID(Sync!$AF11,FIND(":",Sync!$AF11)+1,2)),2),"0000"))))</f>
        <v/>
      </c>
    </row>
    <row r="12">
      <c r="A12">
        <f>IF(OR(Calc!$E16="",Calc!$E16="نامعتبر",Calc!$G16=""),"",Calc!$G16)</f>
        <v/>
      </c>
      <c r="B12">
        <f>IF($A12="","",LEFT(Calc!$E16,4)&amp;MID(Calc!$E16,6,2)&amp;RIGHT(Calc!$E16,2)&amp;Calc!$Q16&amp;"|"&amp;"1"&amp;RIGHT("00000"&amp;7,5))</f>
        <v/>
      </c>
      <c r="C12">
        <f>IF($B12="","",COUNTIFS(LdgSellerA,$A12,LdgKeyA,"&lt;"&amp;$B12)+COUNTIFS(LdgSellerB,$A12,LdgKeyB,"&lt;"&amp;$B12)+1)</f>
        <v/>
      </c>
      <c r="D12">
        <f>IF($C12="","",$A12&amp;"|"&amp;RIGHT("000000"&amp;$C12,6))</f>
        <v/>
      </c>
      <c r="F12">
        <f>IF(Sync!$AH12="","",IF(LEFT(UPPER(TRIM(Sync!$AH12)),2)="SL",UPPER(TRIM(Sync!$AH12)),""))</f>
        <v/>
      </c>
      <c r="G12">
        <f>IF($F12="","",IF(Sync!$AE12="","",IF(ISNUMBER(Sync!$AE12),IF(AND(Sync!$AE12&gt;=10000101,Sync!$AE12&lt;=99991231),INT(Sync!$AE12/10000),""),IFERROR(VALUE(TRIM(LEFT(Sync!$AE12,FIND("/",Sync!$AE12)-1))),""))))</f>
        <v/>
      </c>
      <c r="H12">
        <f>IF(OR($F12="",$G12=""),"",IF(ISNUMBER(Sync!$AE12),INT(MOD(Sync!$AE12,10000)/100),IFERROR(VALUE(TRIM(LEFT(MID(Sync!$AE12,FIND("/",Sync!$AE12)+1,20),FIND("/",MID(Sync!$AE12,FIND("/",Sync!$AE12)+1,20))-1))),"")))</f>
        <v/>
      </c>
      <c r="I12">
        <f>IF(OR($F12="",$G12=""),"",IF(ISNUMBER(Sync!$AE12),MOD(Sync!$AE12,100),IFERROR(VALUE(TRIM(MID(MID(Sync!$AE12,FIND("/",Sync!$AE12)+1,20),FIND("/",MID(Sync!$AE12,FIND("/",Sync!$AE12)+1,20))+1,20))),"")))</f>
        <v/>
      </c>
      <c r="J12">
        <f>IF($F12="","",IF(OR($G12="",$H12="",$I12="",$G12&lt;1300,$G12&gt;1500,$H12&lt;1,$H12&gt;12,$I12&lt;1,$I12&gt;31),"نامعتبر",RIGHT("0000"&amp;$G12,4)&amp;"/"&amp;RIGHT("00"&amp;$H12,2)&amp;"/"&amp;RIGHT("00"&amp;$I12,2)))</f>
        <v/>
      </c>
      <c r="K12">
        <f>IF(OR($F12="",$J12="",$J12="نامعتبر"),"",LEFT($J12,4)&amp;MID($J12,6,2)&amp;RIGHT($J12,2)&amp;$N12&amp;"|"&amp;"2"&amp;RIGHT("00000"&amp;7,5))</f>
        <v/>
      </c>
      <c r="L12">
        <f>IF($K12="","",COUNTIFS(LdgSellerA,$F12,LdgKeyA,"&lt;"&amp;$K12)+COUNTIFS(LdgSellerB,$F12,LdgKeyB,"&lt;"&amp;$K12)+1)</f>
        <v/>
      </c>
      <c r="M12">
        <f>IF($L12="","",$F12&amp;"|"&amp;RIGHT("000000"&amp;$L12,6))</f>
        <v/>
      </c>
      <c r="N12">
        <f>IF($F12="","",IF(Sync!$AF12="","0000",IF(AND(ISNUMBER(Sync!$AF12),Sync!$AF12&gt;=0,Sync!$AF12&lt;1),RIGHT("00"&amp;HOUR(Sync!$AF12),2)&amp;RIGHT("00"&amp;MINUTE(Sync!$AF12),2),IFERROR(RIGHT("00"&amp;VALUE(LEFT(Sync!$AF12,FIND(":",Sync!$AF12)-1)),2)&amp;RIGHT("00"&amp;VALUE(MID(Sync!$AF12,FIND(":",Sync!$AF12)+1,2)),2),"0000"))))</f>
        <v/>
      </c>
    </row>
    <row r="13">
      <c r="A13">
        <f>IF(OR(Calc!$E17="",Calc!$E17="نامعتبر",Calc!$G17=""),"",Calc!$G17)</f>
        <v/>
      </c>
      <c r="B13">
        <f>IF($A13="","",LEFT(Calc!$E17,4)&amp;MID(Calc!$E17,6,2)&amp;RIGHT(Calc!$E17,2)&amp;Calc!$Q17&amp;"|"&amp;"1"&amp;RIGHT("00000"&amp;8,5))</f>
        <v/>
      </c>
      <c r="C13">
        <f>IF($B13="","",COUNTIFS(LdgSellerA,$A13,LdgKeyA,"&lt;"&amp;$B13)+COUNTIFS(LdgSellerB,$A13,LdgKeyB,"&lt;"&amp;$B13)+1)</f>
        <v/>
      </c>
      <c r="D13">
        <f>IF($C13="","",$A13&amp;"|"&amp;RIGHT("000000"&amp;$C13,6))</f>
        <v/>
      </c>
      <c r="F13">
        <f>IF(Sync!$AH13="","",IF(LEFT(UPPER(TRIM(Sync!$AH13)),2)="SL",UPPER(TRIM(Sync!$AH13)),""))</f>
        <v/>
      </c>
      <c r="G13">
        <f>IF($F13="","",IF(Sync!$AE13="","",IF(ISNUMBER(Sync!$AE13),IF(AND(Sync!$AE13&gt;=10000101,Sync!$AE13&lt;=99991231),INT(Sync!$AE13/10000),""),IFERROR(VALUE(TRIM(LEFT(Sync!$AE13,FIND("/",Sync!$AE13)-1))),""))))</f>
        <v/>
      </c>
      <c r="H13">
        <f>IF(OR($F13="",$G13=""),"",IF(ISNUMBER(Sync!$AE13),INT(MOD(Sync!$AE13,10000)/100),IFERROR(VALUE(TRIM(LEFT(MID(Sync!$AE13,FIND("/",Sync!$AE13)+1,20),FIND("/",MID(Sync!$AE13,FIND("/",Sync!$AE13)+1,20))-1))),"")))</f>
        <v/>
      </c>
      <c r="I13">
        <f>IF(OR($F13="",$G13=""),"",IF(ISNUMBER(Sync!$AE13),MOD(Sync!$AE13,100),IFERROR(VALUE(TRIM(MID(MID(Sync!$AE13,FIND("/",Sync!$AE13)+1,20),FIND("/",MID(Sync!$AE13,FIND("/",Sync!$AE13)+1,20))+1,20))),"")))</f>
        <v/>
      </c>
      <c r="J13">
        <f>IF($F13="","",IF(OR($G13="",$H13="",$I13="",$G13&lt;1300,$G13&gt;1500,$H13&lt;1,$H13&gt;12,$I13&lt;1,$I13&gt;31),"نامعتبر",RIGHT("0000"&amp;$G13,4)&amp;"/"&amp;RIGHT("00"&amp;$H13,2)&amp;"/"&amp;RIGHT("00"&amp;$I13,2)))</f>
        <v/>
      </c>
      <c r="K13">
        <f>IF(OR($F13="",$J13="",$J13="نامعتبر"),"",LEFT($J13,4)&amp;MID($J13,6,2)&amp;RIGHT($J13,2)&amp;$N13&amp;"|"&amp;"2"&amp;RIGHT("00000"&amp;8,5))</f>
        <v/>
      </c>
      <c r="L13">
        <f>IF($K13="","",COUNTIFS(LdgSellerA,$F13,LdgKeyA,"&lt;"&amp;$K13)+COUNTIFS(LdgSellerB,$F13,LdgKeyB,"&lt;"&amp;$K13)+1)</f>
        <v/>
      </c>
      <c r="M13">
        <f>IF($L13="","",$F13&amp;"|"&amp;RIGHT("000000"&amp;$L13,6))</f>
        <v/>
      </c>
      <c r="N13">
        <f>IF($F13="","",IF(Sync!$AF13="","0000",IF(AND(ISNUMBER(Sync!$AF13),Sync!$AF13&gt;=0,Sync!$AF13&lt;1),RIGHT("00"&amp;HOUR(Sync!$AF13),2)&amp;RIGHT("00"&amp;MINUTE(Sync!$AF13),2),IFERROR(RIGHT("00"&amp;VALUE(LEFT(Sync!$AF13,FIND(":",Sync!$AF13)-1)),2)&amp;RIGHT("00"&amp;VALUE(MID(Sync!$AF13,FIND(":",Sync!$AF13)+1,2)),2),"0000"))))</f>
        <v/>
      </c>
    </row>
    <row r="14">
      <c r="A14">
        <f>IF(OR(Calc!$E18="",Calc!$E18="نامعتبر",Calc!$G18=""),"",Calc!$G18)</f>
        <v/>
      </c>
      <c r="B14">
        <f>IF($A14="","",LEFT(Calc!$E18,4)&amp;MID(Calc!$E18,6,2)&amp;RIGHT(Calc!$E18,2)&amp;Calc!$Q18&amp;"|"&amp;"1"&amp;RIGHT("00000"&amp;9,5))</f>
        <v/>
      </c>
      <c r="C14">
        <f>IF($B14="","",COUNTIFS(LdgSellerA,$A14,LdgKeyA,"&lt;"&amp;$B14)+COUNTIFS(LdgSellerB,$A14,LdgKeyB,"&lt;"&amp;$B14)+1)</f>
        <v/>
      </c>
      <c r="D14">
        <f>IF($C14="","",$A14&amp;"|"&amp;RIGHT("000000"&amp;$C14,6))</f>
        <v/>
      </c>
      <c r="F14">
        <f>IF(Sync!$AH14="","",IF(LEFT(UPPER(TRIM(Sync!$AH14)),2)="SL",UPPER(TRIM(Sync!$AH14)),""))</f>
        <v/>
      </c>
      <c r="G14">
        <f>IF($F14="","",IF(Sync!$AE14="","",IF(ISNUMBER(Sync!$AE14),IF(AND(Sync!$AE14&gt;=10000101,Sync!$AE14&lt;=99991231),INT(Sync!$AE14/10000),""),IFERROR(VALUE(TRIM(LEFT(Sync!$AE14,FIND("/",Sync!$AE14)-1))),""))))</f>
        <v/>
      </c>
      <c r="H14">
        <f>IF(OR($F14="",$G14=""),"",IF(ISNUMBER(Sync!$AE14),INT(MOD(Sync!$AE14,10000)/100),IFERROR(VALUE(TRIM(LEFT(MID(Sync!$AE14,FIND("/",Sync!$AE14)+1,20),FIND("/",MID(Sync!$AE14,FIND("/",Sync!$AE14)+1,20))-1))),"")))</f>
        <v/>
      </c>
      <c r="I14">
        <f>IF(OR($F14="",$G14=""),"",IF(ISNUMBER(Sync!$AE14),MOD(Sync!$AE14,100),IFERROR(VALUE(TRIM(MID(MID(Sync!$AE14,FIND("/",Sync!$AE14)+1,20),FIND("/",MID(Sync!$AE14,FIND("/",Sync!$AE14)+1,20))+1,20))),"")))</f>
        <v/>
      </c>
      <c r="J14">
        <f>IF($F14="","",IF(OR($G14="",$H14="",$I14="",$G14&lt;1300,$G14&gt;1500,$H14&lt;1,$H14&gt;12,$I14&lt;1,$I14&gt;31),"نامعتبر",RIGHT("0000"&amp;$G14,4)&amp;"/"&amp;RIGHT("00"&amp;$H14,2)&amp;"/"&amp;RIGHT("00"&amp;$I14,2)))</f>
        <v/>
      </c>
      <c r="K14">
        <f>IF(OR($F14="",$J14="",$J14="نامعتبر"),"",LEFT($J14,4)&amp;MID($J14,6,2)&amp;RIGHT($J14,2)&amp;$N14&amp;"|"&amp;"2"&amp;RIGHT("00000"&amp;9,5))</f>
        <v/>
      </c>
      <c r="L14">
        <f>IF($K14="","",COUNTIFS(LdgSellerA,$F14,LdgKeyA,"&lt;"&amp;$K14)+COUNTIFS(LdgSellerB,$F14,LdgKeyB,"&lt;"&amp;$K14)+1)</f>
        <v/>
      </c>
      <c r="M14">
        <f>IF($L14="","",$F14&amp;"|"&amp;RIGHT("000000"&amp;$L14,6))</f>
        <v/>
      </c>
      <c r="N14">
        <f>IF($F14="","",IF(Sync!$AF14="","0000",IF(AND(ISNUMBER(Sync!$AF14),Sync!$AF14&gt;=0,Sync!$AF14&lt;1),RIGHT("00"&amp;HOUR(Sync!$AF14),2)&amp;RIGHT("00"&amp;MINUTE(Sync!$AF14),2),IFERROR(RIGHT("00"&amp;VALUE(LEFT(Sync!$AF14,FIND(":",Sync!$AF14)-1)),2)&amp;RIGHT("00"&amp;VALUE(MID(Sync!$AF14,FIND(":",Sync!$AF14)+1,2)),2),"0000"))))</f>
        <v/>
      </c>
    </row>
    <row r="15">
      <c r="A15">
        <f>IF(OR(Calc!$E19="",Calc!$E19="نامعتبر",Calc!$G19=""),"",Calc!$G19)</f>
        <v/>
      </c>
      <c r="B15">
        <f>IF($A15="","",LEFT(Calc!$E19,4)&amp;MID(Calc!$E19,6,2)&amp;RIGHT(Calc!$E19,2)&amp;Calc!$Q19&amp;"|"&amp;"1"&amp;RIGHT("00000"&amp;10,5))</f>
        <v/>
      </c>
      <c r="C15">
        <f>IF($B15="","",COUNTIFS(LdgSellerA,$A15,LdgKeyA,"&lt;"&amp;$B15)+COUNTIFS(LdgSellerB,$A15,LdgKeyB,"&lt;"&amp;$B15)+1)</f>
        <v/>
      </c>
      <c r="D15">
        <f>IF($C15="","",$A15&amp;"|"&amp;RIGHT("000000"&amp;$C15,6))</f>
        <v/>
      </c>
      <c r="F15">
        <f>IF(Sync!$AH15="","",IF(LEFT(UPPER(TRIM(Sync!$AH15)),2)="SL",UPPER(TRIM(Sync!$AH15)),""))</f>
        <v/>
      </c>
      <c r="G15">
        <f>IF($F15="","",IF(Sync!$AE15="","",IF(ISNUMBER(Sync!$AE15),IF(AND(Sync!$AE15&gt;=10000101,Sync!$AE15&lt;=99991231),INT(Sync!$AE15/10000),""),IFERROR(VALUE(TRIM(LEFT(Sync!$AE15,FIND("/",Sync!$AE15)-1))),""))))</f>
        <v/>
      </c>
      <c r="H15">
        <f>IF(OR($F15="",$G15=""),"",IF(ISNUMBER(Sync!$AE15),INT(MOD(Sync!$AE15,10000)/100),IFERROR(VALUE(TRIM(LEFT(MID(Sync!$AE15,FIND("/",Sync!$AE15)+1,20),FIND("/",MID(Sync!$AE15,FIND("/",Sync!$AE15)+1,20))-1))),"")))</f>
        <v/>
      </c>
      <c r="I15">
        <f>IF(OR($F15="",$G15=""),"",IF(ISNUMBER(Sync!$AE15),MOD(Sync!$AE15,100),IFERROR(VALUE(TRIM(MID(MID(Sync!$AE15,FIND("/",Sync!$AE15)+1,20),FIND("/",MID(Sync!$AE15,FIND("/",Sync!$AE15)+1,20))+1,20))),"")))</f>
        <v/>
      </c>
      <c r="J15">
        <f>IF($F15="","",IF(OR($G15="",$H15="",$I15="",$G15&lt;1300,$G15&gt;1500,$H15&lt;1,$H15&gt;12,$I15&lt;1,$I15&gt;31),"نامعتبر",RIGHT("0000"&amp;$G15,4)&amp;"/"&amp;RIGHT("00"&amp;$H15,2)&amp;"/"&amp;RIGHT("00"&amp;$I15,2)))</f>
        <v/>
      </c>
      <c r="K15">
        <f>IF(OR($F15="",$J15="",$J15="نامعتبر"),"",LEFT($J15,4)&amp;MID($J15,6,2)&amp;RIGHT($J15,2)&amp;$N15&amp;"|"&amp;"2"&amp;RIGHT("00000"&amp;10,5))</f>
        <v/>
      </c>
      <c r="L15">
        <f>IF($K15="","",COUNTIFS(LdgSellerA,$F15,LdgKeyA,"&lt;"&amp;$K15)+COUNTIFS(LdgSellerB,$F15,LdgKeyB,"&lt;"&amp;$K15)+1)</f>
        <v/>
      </c>
      <c r="M15">
        <f>IF($L15="","",$F15&amp;"|"&amp;RIGHT("000000"&amp;$L15,6))</f>
        <v/>
      </c>
      <c r="N15">
        <f>IF($F15="","",IF(Sync!$AF15="","0000",IF(AND(ISNUMBER(Sync!$AF15),Sync!$AF15&gt;=0,Sync!$AF15&lt;1),RIGHT("00"&amp;HOUR(Sync!$AF15),2)&amp;RIGHT("00"&amp;MINUTE(Sync!$AF15),2),IFERROR(RIGHT("00"&amp;VALUE(LEFT(Sync!$AF15,FIND(":",Sync!$AF15)-1)),2)&amp;RIGHT("00"&amp;VALUE(MID(Sync!$AF15,FIND(":",Sync!$AF15)+1,2)),2),"0000"))))</f>
        <v/>
      </c>
    </row>
    <row r="16">
      <c r="A16">
        <f>IF(OR(Calc!$E20="",Calc!$E20="نامعتبر",Calc!$G20=""),"",Calc!$G20)</f>
        <v/>
      </c>
      <c r="B16">
        <f>IF($A16="","",LEFT(Calc!$E20,4)&amp;MID(Calc!$E20,6,2)&amp;RIGHT(Calc!$E20,2)&amp;Calc!$Q20&amp;"|"&amp;"1"&amp;RIGHT("00000"&amp;11,5))</f>
        <v/>
      </c>
      <c r="C16">
        <f>IF($B16="","",COUNTIFS(LdgSellerA,$A16,LdgKeyA,"&lt;"&amp;$B16)+COUNTIFS(LdgSellerB,$A16,LdgKeyB,"&lt;"&amp;$B16)+1)</f>
        <v/>
      </c>
      <c r="D16">
        <f>IF($C16="","",$A16&amp;"|"&amp;RIGHT("000000"&amp;$C16,6))</f>
        <v/>
      </c>
      <c r="F16">
        <f>IF(Sync!$AH16="","",IF(LEFT(UPPER(TRIM(Sync!$AH16)),2)="SL",UPPER(TRIM(Sync!$AH16)),""))</f>
        <v/>
      </c>
      <c r="G16">
        <f>IF($F16="","",IF(Sync!$AE16="","",IF(ISNUMBER(Sync!$AE16),IF(AND(Sync!$AE16&gt;=10000101,Sync!$AE16&lt;=99991231),INT(Sync!$AE16/10000),""),IFERROR(VALUE(TRIM(LEFT(Sync!$AE16,FIND("/",Sync!$AE16)-1))),""))))</f>
        <v/>
      </c>
      <c r="H16">
        <f>IF(OR($F16="",$G16=""),"",IF(ISNUMBER(Sync!$AE16),INT(MOD(Sync!$AE16,10000)/100),IFERROR(VALUE(TRIM(LEFT(MID(Sync!$AE16,FIND("/",Sync!$AE16)+1,20),FIND("/",MID(Sync!$AE16,FIND("/",Sync!$AE16)+1,20))-1))),"")))</f>
        <v/>
      </c>
      <c r="I16">
        <f>IF(OR($F16="",$G16=""),"",IF(ISNUMBER(Sync!$AE16),MOD(Sync!$AE16,100),IFERROR(VALUE(TRIM(MID(MID(Sync!$AE16,FIND("/",Sync!$AE16)+1,20),FIND("/",MID(Sync!$AE16,FIND("/",Sync!$AE16)+1,20))+1,20))),"")))</f>
        <v/>
      </c>
      <c r="J16">
        <f>IF($F16="","",IF(OR($G16="",$H16="",$I16="",$G16&lt;1300,$G16&gt;1500,$H16&lt;1,$H16&gt;12,$I16&lt;1,$I16&gt;31),"نامعتبر",RIGHT("0000"&amp;$G16,4)&amp;"/"&amp;RIGHT("00"&amp;$H16,2)&amp;"/"&amp;RIGHT("00"&amp;$I16,2)))</f>
        <v/>
      </c>
      <c r="K16">
        <f>IF(OR($F16="",$J16="",$J16="نامعتبر"),"",LEFT($J16,4)&amp;MID($J16,6,2)&amp;RIGHT($J16,2)&amp;$N16&amp;"|"&amp;"2"&amp;RIGHT("00000"&amp;11,5))</f>
        <v/>
      </c>
      <c r="L16">
        <f>IF($K16="","",COUNTIFS(LdgSellerA,$F16,LdgKeyA,"&lt;"&amp;$K16)+COUNTIFS(LdgSellerB,$F16,LdgKeyB,"&lt;"&amp;$K16)+1)</f>
        <v/>
      </c>
      <c r="M16">
        <f>IF($L16="","",$F16&amp;"|"&amp;RIGHT("000000"&amp;$L16,6))</f>
        <v/>
      </c>
      <c r="N16">
        <f>IF($F16="","",IF(Sync!$AF16="","0000",IF(AND(ISNUMBER(Sync!$AF16),Sync!$AF16&gt;=0,Sync!$AF16&lt;1),RIGHT("00"&amp;HOUR(Sync!$AF16),2)&amp;RIGHT("00"&amp;MINUTE(Sync!$AF16),2),IFERROR(RIGHT("00"&amp;VALUE(LEFT(Sync!$AF16,FIND(":",Sync!$AF16)-1)),2)&amp;RIGHT("00"&amp;VALUE(MID(Sync!$AF16,FIND(":",Sync!$AF16)+1,2)),2),"0000"))))</f>
        <v/>
      </c>
    </row>
    <row r="17">
      <c r="A17">
        <f>IF(OR(Calc!$E21="",Calc!$E21="نامعتبر",Calc!$G21=""),"",Calc!$G21)</f>
        <v/>
      </c>
      <c r="B17">
        <f>IF($A17="","",LEFT(Calc!$E21,4)&amp;MID(Calc!$E21,6,2)&amp;RIGHT(Calc!$E21,2)&amp;Calc!$Q21&amp;"|"&amp;"1"&amp;RIGHT("00000"&amp;12,5))</f>
        <v/>
      </c>
      <c r="C17">
        <f>IF($B17="","",COUNTIFS(LdgSellerA,$A17,LdgKeyA,"&lt;"&amp;$B17)+COUNTIFS(LdgSellerB,$A17,LdgKeyB,"&lt;"&amp;$B17)+1)</f>
        <v/>
      </c>
      <c r="D17">
        <f>IF($C17="","",$A17&amp;"|"&amp;RIGHT("000000"&amp;$C17,6))</f>
        <v/>
      </c>
      <c r="F17">
        <f>IF(Sync!$AH17="","",IF(LEFT(UPPER(TRIM(Sync!$AH17)),2)="SL",UPPER(TRIM(Sync!$AH17)),""))</f>
        <v/>
      </c>
      <c r="G17">
        <f>IF($F17="","",IF(Sync!$AE17="","",IF(ISNUMBER(Sync!$AE17),IF(AND(Sync!$AE17&gt;=10000101,Sync!$AE17&lt;=99991231),INT(Sync!$AE17/10000),""),IFERROR(VALUE(TRIM(LEFT(Sync!$AE17,FIND("/",Sync!$AE17)-1))),""))))</f>
        <v/>
      </c>
      <c r="H17">
        <f>IF(OR($F17="",$G17=""),"",IF(ISNUMBER(Sync!$AE17),INT(MOD(Sync!$AE17,10000)/100),IFERROR(VALUE(TRIM(LEFT(MID(Sync!$AE17,FIND("/",Sync!$AE17)+1,20),FIND("/",MID(Sync!$AE17,FIND("/",Sync!$AE17)+1,20))-1))),"")))</f>
        <v/>
      </c>
      <c r="I17">
        <f>IF(OR($F17="",$G17=""),"",IF(ISNUMBER(Sync!$AE17),MOD(Sync!$AE17,100),IFERROR(VALUE(TRIM(MID(MID(Sync!$AE17,FIND("/",Sync!$AE17)+1,20),FIND("/",MID(Sync!$AE17,FIND("/",Sync!$AE17)+1,20))+1,20))),"")))</f>
        <v/>
      </c>
      <c r="J17">
        <f>IF($F17="","",IF(OR($G17="",$H17="",$I17="",$G17&lt;1300,$G17&gt;1500,$H17&lt;1,$H17&gt;12,$I17&lt;1,$I17&gt;31),"نامعتبر",RIGHT("0000"&amp;$G17,4)&amp;"/"&amp;RIGHT("00"&amp;$H17,2)&amp;"/"&amp;RIGHT("00"&amp;$I17,2)))</f>
        <v/>
      </c>
      <c r="K17">
        <f>IF(OR($F17="",$J17="",$J17="نامعتبر"),"",LEFT($J17,4)&amp;MID($J17,6,2)&amp;RIGHT($J17,2)&amp;$N17&amp;"|"&amp;"2"&amp;RIGHT("00000"&amp;12,5))</f>
        <v/>
      </c>
      <c r="L17">
        <f>IF($K17="","",COUNTIFS(LdgSellerA,$F17,LdgKeyA,"&lt;"&amp;$K17)+COUNTIFS(LdgSellerB,$F17,LdgKeyB,"&lt;"&amp;$K17)+1)</f>
        <v/>
      </c>
      <c r="M17">
        <f>IF($L17="","",$F17&amp;"|"&amp;RIGHT("000000"&amp;$L17,6))</f>
        <v/>
      </c>
      <c r="N17">
        <f>IF($F17="","",IF(Sync!$AF17="","0000",IF(AND(ISNUMBER(Sync!$AF17),Sync!$AF17&gt;=0,Sync!$AF17&lt;1),RIGHT("00"&amp;HOUR(Sync!$AF17),2)&amp;RIGHT("00"&amp;MINUTE(Sync!$AF17),2),IFERROR(RIGHT("00"&amp;VALUE(LEFT(Sync!$AF17,FIND(":",Sync!$AF17)-1)),2)&amp;RIGHT("00"&amp;VALUE(MID(Sync!$AF17,FIND(":",Sync!$AF17)+1,2)),2),"0000"))))</f>
        <v/>
      </c>
    </row>
    <row r="18">
      <c r="A18">
        <f>IF(OR(Calc!$E22="",Calc!$E22="نامعتبر",Calc!$G22=""),"",Calc!$G22)</f>
        <v/>
      </c>
      <c r="B18">
        <f>IF($A18="","",LEFT(Calc!$E22,4)&amp;MID(Calc!$E22,6,2)&amp;RIGHT(Calc!$E22,2)&amp;Calc!$Q22&amp;"|"&amp;"1"&amp;RIGHT("00000"&amp;13,5))</f>
        <v/>
      </c>
      <c r="C18">
        <f>IF($B18="","",COUNTIFS(LdgSellerA,$A18,LdgKeyA,"&lt;"&amp;$B18)+COUNTIFS(LdgSellerB,$A18,LdgKeyB,"&lt;"&amp;$B18)+1)</f>
        <v/>
      </c>
      <c r="D18">
        <f>IF($C18="","",$A18&amp;"|"&amp;RIGHT("000000"&amp;$C18,6))</f>
        <v/>
      </c>
      <c r="F18">
        <f>IF(Sync!$AH18="","",IF(LEFT(UPPER(TRIM(Sync!$AH18)),2)="SL",UPPER(TRIM(Sync!$AH18)),""))</f>
        <v/>
      </c>
      <c r="G18">
        <f>IF($F18="","",IF(Sync!$AE18="","",IF(ISNUMBER(Sync!$AE18),IF(AND(Sync!$AE18&gt;=10000101,Sync!$AE18&lt;=99991231),INT(Sync!$AE18/10000),""),IFERROR(VALUE(TRIM(LEFT(Sync!$AE18,FIND("/",Sync!$AE18)-1))),""))))</f>
        <v/>
      </c>
      <c r="H18">
        <f>IF(OR($F18="",$G18=""),"",IF(ISNUMBER(Sync!$AE18),INT(MOD(Sync!$AE18,10000)/100),IFERROR(VALUE(TRIM(LEFT(MID(Sync!$AE18,FIND("/",Sync!$AE18)+1,20),FIND("/",MID(Sync!$AE18,FIND("/",Sync!$AE18)+1,20))-1))),"")))</f>
        <v/>
      </c>
      <c r="I18">
        <f>IF(OR($F18="",$G18=""),"",IF(ISNUMBER(Sync!$AE18),MOD(Sync!$AE18,100),IFERROR(VALUE(TRIM(MID(MID(Sync!$AE18,FIND("/",Sync!$AE18)+1,20),FIND("/",MID(Sync!$AE18,FIND("/",Sync!$AE18)+1,20))+1,20))),"")))</f>
        <v/>
      </c>
      <c r="J18">
        <f>IF($F18="","",IF(OR($G18="",$H18="",$I18="",$G18&lt;1300,$G18&gt;1500,$H18&lt;1,$H18&gt;12,$I18&lt;1,$I18&gt;31),"نامعتبر",RIGHT("0000"&amp;$G18,4)&amp;"/"&amp;RIGHT("00"&amp;$H18,2)&amp;"/"&amp;RIGHT("00"&amp;$I18,2)))</f>
        <v/>
      </c>
      <c r="K18">
        <f>IF(OR($F18="",$J18="",$J18="نامعتبر"),"",LEFT($J18,4)&amp;MID($J18,6,2)&amp;RIGHT($J18,2)&amp;$N18&amp;"|"&amp;"2"&amp;RIGHT("00000"&amp;13,5))</f>
        <v/>
      </c>
      <c r="L18">
        <f>IF($K18="","",COUNTIFS(LdgSellerA,$F18,LdgKeyA,"&lt;"&amp;$K18)+COUNTIFS(LdgSellerB,$F18,LdgKeyB,"&lt;"&amp;$K18)+1)</f>
        <v/>
      </c>
      <c r="M18">
        <f>IF($L18="","",$F18&amp;"|"&amp;RIGHT("000000"&amp;$L18,6))</f>
        <v/>
      </c>
      <c r="N18">
        <f>IF($F18="","",IF(Sync!$AF18="","0000",IF(AND(ISNUMBER(Sync!$AF18),Sync!$AF18&gt;=0,Sync!$AF18&lt;1),RIGHT("00"&amp;HOUR(Sync!$AF18),2)&amp;RIGHT("00"&amp;MINUTE(Sync!$AF18),2),IFERROR(RIGHT("00"&amp;VALUE(LEFT(Sync!$AF18,FIND(":",Sync!$AF18)-1)),2)&amp;RIGHT("00"&amp;VALUE(MID(Sync!$AF18,FIND(":",Sync!$AF18)+1,2)),2),"0000"))))</f>
        <v/>
      </c>
    </row>
    <row r="19">
      <c r="A19">
        <f>IF(OR(Calc!$E23="",Calc!$E23="نامعتبر",Calc!$G23=""),"",Calc!$G23)</f>
        <v/>
      </c>
      <c r="B19">
        <f>IF($A19="","",LEFT(Calc!$E23,4)&amp;MID(Calc!$E23,6,2)&amp;RIGHT(Calc!$E23,2)&amp;Calc!$Q23&amp;"|"&amp;"1"&amp;RIGHT("00000"&amp;14,5))</f>
        <v/>
      </c>
      <c r="C19">
        <f>IF($B19="","",COUNTIFS(LdgSellerA,$A19,LdgKeyA,"&lt;"&amp;$B19)+COUNTIFS(LdgSellerB,$A19,LdgKeyB,"&lt;"&amp;$B19)+1)</f>
        <v/>
      </c>
      <c r="D19">
        <f>IF($C19="","",$A19&amp;"|"&amp;RIGHT("000000"&amp;$C19,6))</f>
        <v/>
      </c>
      <c r="F19">
        <f>IF(Sync!$AH19="","",IF(LEFT(UPPER(TRIM(Sync!$AH19)),2)="SL",UPPER(TRIM(Sync!$AH19)),""))</f>
        <v/>
      </c>
      <c r="G19">
        <f>IF($F19="","",IF(Sync!$AE19="","",IF(ISNUMBER(Sync!$AE19),IF(AND(Sync!$AE19&gt;=10000101,Sync!$AE19&lt;=99991231),INT(Sync!$AE19/10000),""),IFERROR(VALUE(TRIM(LEFT(Sync!$AE19,FIND("/",Sync!$AE19)-1))),""))))</f>
        <v/>
      </c>
      <c r="H19">
        <f>IF(OR($F19="",$G19=""),"",IF(ISNUMBER(Sync!$AE19),INT(MOD(Sync!$AE19,10000)/100),IFERROR(VALUE(TRIM(LEFT(MID(Sync!$AE19,FIND("/",Sync!$AE19)+1,20),FIND("/",MID(Sync!$AE19,FIND("/",Sync!$AE19)+1,20))-1))),"")))</f>
        <v/>
      </c>
      <c r="I19">
        <f>IF(OR($F19="",$G19=""),"",IF(ISNUMBER(Sync!$AE19),MOD(Sync!$AE19,100),IFERROR(VALUE(TRIM(MID(MID(Sync!$AE19,FIND("/",Sync!$AE19)+1,20),FIND("/",MID(Sync!$AE19,FIND("/",Sync!$AE19)+1,20))+1,20))),"")))</f>
        <v/>
      </c>
      <c r="J19">
        <f>IF($F19="","",IF(OR($G19="",$H19="",$I19="",$G19&lt;1300,$G19&gt;1500,$H19&lt;1,$H19&gt;12,$I19&lt;1,$I19&gt;31),"نامعتبر",RIGHT("0000"&amp;$G19,4)&amp;"/"&amp;RIGHT("00"&amp;$H19,2)&amp;"/"&amp;RIGHT("00"&amp;$I19,2)))</f>
        <v/>
      </c>
      <c r="K19">
        <f>IF(OR($F19="",$J19="",$J19="نامعتبر"),"",LEFT($J19,4)&amp;MID($J19,6,2)&amp;RIGHT($J19,2)&amp;$N19&amp;"|"&amp;"2"&amp;RIGHT("00000"&amp;14,5))</f>
        <v/>
      </c>
      <c r="L19">
        <f>IF($K19="","",COUNTIFS(LdgSellerA,$F19,LdgKeyA,"&lt;"&amp;$K19)+COUNTIFS(LdgSellerB,$F19,LdgKeyB,"&lt;"&amp;$K19)+1)</f>
        <v/>
      </c>
      <c r="M19">
        <f>IF($L19="","",$F19&amp;"|"&amp;RIGHT("000000"&amp;$L19,6))</f>
        <v/>
      </c>
      <c r="N19">
        <f>IF($F19="","",IF(Sync!$AF19="","0000",IF(AND(ISNUMBER(Sync!$AF19),Sync!$AF19&gt;=0,Sync!$AF19&lt;1),RIGHT("00"&amp;HOUR(Sync!$AF19),2)&amp;RIGHT("00"&amp;MINUTE(Sync!$AF19),2),IFERROR(RIGHT("00"&amp;VALUE(LEFT(Sync!$AF19,FIND(":",Sync!$AF19)-1)),2)&amp;RIGHT("00"&amp;VALUE(MID(Sync!$AF19,FIND(":",Sync!$AF19)+1,2)),2),"0000"))))</f>
        <v/>
      </c>
    </row>
    <row r="20">
      <c r="A20">
        <f>IF(OR(Calc!$E24="",Calc!$E24="نامعتبر",Calc!$G24=""),"",Calc!$G24)</f>
        <v/>
      </c>
      <c r="B20">
        <f>IF($A20="","",LEFT(Calc!$E24,4)&amp;MID(Calc!$E24,6,2)&amp;RIGHT(Calc!$E24,2)&amp;Calc!$Q24&amp;"|"&amp;"1"&amp;RIGHT("00000"&amp;15,5))</f>
        <v/>
      </c>
      <c r="C20">
        <f>IF($B20="","",COUNTIFS(LdgSellerA,$A20,LdgKeyA,"&lt;"&amp;$B20)+COUNTIFS(LdgSellerB,$A20,LdgKeyB,"&lt;"&amp;$B20)+1)</f>
        <v/>
      </c>
      <c r="D20">
        <f>IF($C20="","",$A20&amp;"|"&amp;RIGHT("000000"&amp;$C20,6))</f>
        <v/>
      </c>
      <c r="F20">
        <f>IF(Sync!$AH20="","",IF(LEFT(UPPER(TRIM(Sync!$AH20)),2)="SL",UPPER(TRIM(Sync!$AH20)),""))</f>
        <v/>
      </c>
      <c r="G20">
        <f>IF($F20="","",IF(Sync!$AE20="","",IF(ISNUMBER(Sync!$AE20),IF(AND(Sync!$AE20&gt;=10000101,Sync!$AE20&lt;=99991231),INT(Sync!$AE20/10000),""),IFERROR(VALUE(TRIM(LEFT(Sync!$AE20,FIND("/",Sync!$AE20)-1))),""))))</f>
        <v/>
      </c>
      <c r="H20">
        <f>IF(OR($F20="",$G20=""),"",IF(ISNUMBER(Sync!$AE20),INT(MOD(Sync!$AE20,10000)/100),IFERROR(VALUE(TRIM(LEFT(MID(Sync!$AE20,FIND("/",Sync!$AE20)+1,20),FIND("/",MID(Sync!$AE20,FIND("/",Sync!$AE20)+1,20))-1))),"")))</f>
        <v/>
      </c>
      <c r="I20">
        <f>IF(OR($F20="",$G20=""),"",IF(ISNUMBER(Sync!$AE20),MOD(Sync!$AE20,100),IFERROR(VALUE(TRIM(MID(MID(Sync!$AE20,FIND("/",Sync!$AE20)+1,20),FIND("/",MID(Sync!$AE20,FIND("/",Sync!$AE20)+1,20))+1,20))),"")))</f>
        <v/>
      </c>
      <c r="J20">
        <f>IF($F20="","",IF(OR($G20="",$H20="",$I20="",$G20&lt;1300,$G20&gt;1500,$H20&lt;1,$H20&gt;12,$I20&lt;1,$I20&gt;31),"نامعتبر",RIGHT("0000"&amp;$G20,4)&amp;"/"&amp;RIGHT("00"&amp;$H20,2)&amp;"/"&amp;RIGHT("00"&amp;$I20,2)))</f>
        <v/>
      </c>
      <c r="K20">
        <f>IF(OR($F20="",$J20="",$J20="نامعتبر"),"",LEFT($J20,4)&amp;MID($J20,6,2)&amp;RIGHT($J20,2)&amp;$N20&amp;"|"&amp;"2"&amp;RIGHT("00000"&amp;15,5))</f>
        <v/>
      </c>
      <c r="L20">
        <f>IF($K20="","",COUNTIFS(LdgSellerA,$F20,LdgKeyA,"&lt;"&amp;$K20)+COUNTIFS(LdgSellerB,$F20,LdgKeyB,"&lt;"&amp;$K20)+1)</f>
        <v/>
      </c>
      <c r="M20">
        <f>IF($L20="","",$F20&amp;"|"&amp;RIGHT("000000"&amp;$L20,6))</f>
        <v/>
      </c>
      <c r="N20">
        <f>IF($F20="","",IF(Sync!$AF20="","0000",IF(AND(ISNUMBER(Sync!$AF20),Sync!$AF20&gt;=0,Sync!$AF20&lt;1),RIGHT("00"&amp;HOUR(Sync!$AF20),2)&amp;RIGHT("00"&amp;MINUTE(Sync!$AF20),2),IFERROR(RIGHT("00"&amp;VALUE(LEFT(Sync!$AF20,FIND(":",Sync!$AF20)-1)),2)&amp;RIGHT("00"&amp;VALUE(MID(Sync!$AF20,FIND(":",Sync!$AF20)+1,2)),2),"0000"))))</f>
        <v/>
      </c>
    </row>
    <row r="21">
      <c r="A21">
        <f>IF(OR(Calc!$E25="",Calc!$E25="نامعتبر",Calc!$G25=""),"",Calc!$G25)</f>
        <v/>
      </c>
      <c r="B21">
        <f>IF($A21="","",LEFT(Calc!$E25,4)&amp;MID(Calc!$E25,6,2)&amp;RIGHT(Calc!$E25,2)&amp;Calc!$Q25&amp;"|"&amp;"1"&amp;RIGHT("00000"&amp;16,5))</f>
        <v/>
      </c>
      <c r="C21">
        <f>IF($B21="","",COUNTIFS(LdgSellerA,$A21,LdgKeyA,"&lt;"&amp;$B21)+COUNTIFS(LdgSellerB,$A21,LdgKeyB,"&lt;"&amp;$B21)+1)</f>
        <v/>
      </c>
      <c r="D21">
        <f>IF($C21="","",$A21&amp;"|"&amp;RIGHT("000000"&amp;$C21,6))</f>
        <v/>
      </c>
      <c r="F21">
        <f>IF(Sync!$AH21="","",IF(LEFT(UPPER(TRIM(Sync!$AH21)),2)="SL",UPPER(TRIM(Sync!$AH21)),""))</f>
        <v/>
      </c>
      <c r="G21">
        <f>IF($F21="","",IF(Sync!$AE21="","",IF(ISNUMBER(Sync!$AE21),IF(AND(Sync!$AE21&gt;=10000101,Sync!$AE21&lt;=99991231),INT(Sync!$AE21/10000),""),IFERROR(VALUE(TRIM(LEFT(Sync!$AE21,FIND("/",Sync!$AE21)-1))),""))))</f>
        <v/>
      </c>
      <c r="H21">
        <f>IF(OR($F21="",$G21=""),"",IF(ISNUMBER(Sync!$AE21),INT(MOD(Sync!$AE21,10000)/100),IFERROR(VALUE(TRIM(LEFT(MID(Sync!$AE21,FIND("/",Sync!$AE21)+1,20),FIND("/",MID(Sync!$AE21,FIND("/",Sync!$AE21)+1,20))-1))),"")))</f>
        <v/>
      </c>
      <c r="I21">
        <f>IF(OR($F21="",$G21=""),"",IF(ISNUMBER(Sync!$AE21),MOD(Sync!$AE21,100),IFERROR(VALUE(TRIM(MID(MID(Sync!$AE21,FIND("/",Sync!$AE21)+1,20),FIND("/",MID(Sync!$AE21,FIND("/",Sync!$AE21)+1,20))+1,20))),"")))</f>
        <v/>
      </c>
      <c r="J21">
        <f>IF($F21="","",IF(OR($G21="",$H21="",$I21="",$G21&lt;1300,$G21&gt;1500,$H21&lt;1,$H21&gt;12,$I21&lt;1,$I21&gt;31),"نامعتبر",RIGHT("0000"&amp;$G21,4)&amp;"/"&amp;RIGHT("00"&amp;$H21,2)&amp;"/"&amp;RIGHT("00"&amp;$I21,2)))</f>
        <v/>
      </c>
      <c r="K21">
        <f>IF(OR($F21="",$J21="",$J21="نامعتبر"),"",LEFT($J21,4)&amp;MID($J21,6,2)&amp;RIGHT($J21,2)&amp;$N21&amp;"|"&amp;"2"&amp;RIGHT("00000"&amp;16,5))</f>
        <v/>
      </c>
      <c r="L21">
        <f>IF($K21="","",COUNTIFS(LdgSellerA,$F21,LdgKeyA,"&lt;"&amp;$K21)+COUNTIFS(LdgSellerB,$F21,LdgKeyB,"&lt;"&amp;$K21)+1)</f>
        <v/>
      </c>
      <c r="M21">
        <f>IF($L21="","",$F21&amp;"|"&amp;RIGHT("000000"&amp;$L21,6))</f>
        <v/>
      </c>
      <c r="N21">
        <f>IF($F21="","",IF(Sync!$AF21="","0000",IF(AND(ISNUMBER(Sync!$AF21),Sync!$AF21&gt;=0,Sync!$AF21&lt;1),RIGHT("00"&amp;HOUR(Sync!$AF21),2)&amp;RIGHT("00"&amp;MINUTE(Sync!$AF21),2),IFERROR(RIGHT("00"&amp;VALUE(LEFT(Sync!$AF21,FIND(":",Sync!$AF21)-1)),2)&amp;RIGHT("00"&amp;VALUE(MID(Sync!$AF21,FIND(":",Sync!$AF21)+1,2)),2),"0000"))))</f>
        <v/>
      </c>
    </row>
    <row r="22">
      <c r="A22">
        <f>IF(OR(Calc!$E26="",Calc!$E26="نامعتبر",Calc!$G26=""),"",Calc!$G26)</f>
        <v/>
      </c>
      <c r="B22">
        <f>IF($A22="","",LEFT(Calc!$E26,4)&amp;MID(Calc!$E26,6,2)&amp;RIGHT(Calc!$E26,2)&amp;Calc!$Q26&amp;"|"&amp;"1"&amp;RIGHT("00000"&amp;17,5))</f>
        <v/>
      </c>
      <c r="C22">
        <f>IF($B22="","",COUNTIFS(LdgSellerA,$A22,LdgKeyA,"&lt;"&amp;$B22)+COUNTIFS(LdgSellerB,$A22,LdgKeyB,"&lt;"&amp;$B22)+1)</f>
        <v/>
      </c>
      <c r="D22">
        <f>IF($C22="","",$A22&amp;"|"&amp;RIGHT("000000"&amp;$C22,6))</f>
        <v/>
      </c>
      <c r="F22">
        <f>IF(Sync!$AH22="","",IF(LEFT(UPPER(TRIM(Sync!$AH22)),2)="SL",UPPER(TRIM(Sync!$AH22)),""))</f>
        <v/>
      </c>
      <c r="G22">
        <f>IF($F22="","",IF(Sync!$AE22="","",IF(ISNUMBER(Sync!$AE22),IF(AND(Sync!$AE22&gt;=10000101,Sync!$AE22&lt;=99991231),INT(Sync!$AE22/10000),""),IFERROR(VALUE(TRIM(LEFT(Sync!$AE22,FIND("/",Sync!$AE22)-1))),""))))</f>
        <v/>
      </c>
      <c r="H22">
        <f>IF(OR($F22="",$G22=""),"",IF(ISNUMBER(Sync!$AE22),INT(MOD(Sync!$AE22,10000)/100),IFERROR(VALUE(TRIM(LEFT(MID(Sync!$AE22,FIND("/",Sync!$AE22)+1,20),FIND("/",MID(Sync!$AE22,FIND("/",Sync!$AE22)+1,20))-1))),"")))</f>
        <v/>
      </c>
      <c r="I22">
        <f>IF(OR($F22="",$G22=""),"",IF(ISNUMBER(Sync!$AE22),MOD(Sync!$AE22,100),IFERROR(VALUE(TRIM(MID(MID(Sync!$AE22,FIND("/",Sync!$AE22)+1,20),FIND("/",MID(Sync!$AE22,FIND("/",Sync!$AE22)+1,20))+1,20))),"")))</f>
        <v/>
      </c>
      <c r="J22">
        <f>IF($F22="","",IF(OR($G22="",$H22="",$I22="",$G22&lt;1300,$G22&gt;1500,$H22&lt;1,$H22&gt;12,$I22&lt;1,$I22&gt;31),"نامعتبر",RIGHT("0000"&amp;$G22,4)&amp;"/"&amp;RIGHT("00"&amp;$H22,2)&amp;"/"&amp;RIGHT("00"&amp;$I22,2)))</f>
        <v/>
      </c>
      <c r="K22">
        <f>IF(OR($F22="",$J22="",$J22="نامعتبر"),"",LEFT($J22,4)&amp;MID($J22,6,2)&amp;RIGHT($J22,2)&amp;$N22&amp;"|"&amp;"2"&amp;RIGHT("00000"&amp;17,5))</f>
        <v/>
      </c>
      <c r="L22">
        <f>IF($K22="","",COUNTIFS(LdgSellerA,$F22,LdgKeyA,"&lt;"&amp;$K22)+COUNTIFS(LdgSellerB,$F22,LdgKeyB,"&lt;"&amp;$K22)+1)</f>
        <v/>
      </c>
      <c r="M22">
        <f>IF($L22="","",$F22&amp;"|"&amp;RIGHT("000000"&amp;$L22,6))</f>
        <v/>
      </c>
      <c r="N22">
        <f>IF($F22="","",IF(Sync!$AF22="","0000",IF(AND(ISNUMBER(Sync!$AF22),Sync!$AF22&gt;=0,Sync!$AF22&lt;1),RIGHT("00"&amp;HOUR(Sync!$AF22),2)&amp;RIGHT("00"&amp;MINUTE(Sync!$AF22),2),IFERROR(RIGHT("00"&amp;VALUE(LEFT(Sync!$AF22,FIND(":",Sync!$AF22)-1)),2)&amp;RIGHT("00"&amp;VALUE(MID(Sync!$AF22,FIND(":",Sync!$AF22)+1,2)),2),"0000"))))</f>
        <v/>
      </c>
    </row>
    <row r="23">
      <c r="A23">
        <f>IF(OR(Calc!$E27="",Calc!$E27="نامعتبر",Calc!$G27=""),"",Calc!$G27)</f>
        <v/>
      </c>
      <c r="B23">
        <f>IF($A23="","",LEFT(Calc!$E27,4)&amp;MID(Calc!$E27,6,2)&amp;RIGHT(Calc!$E27,2)&amp;Calc!$Q27&amp;"|"&amp;"1"&amp;RIGHT("00000"&amp;18,5))</f>
        <v/>
      </c>
      <c r="C23">
        <f>IF($B23="","",COUNTIFS(LdgSellerA,$A23,LdgKeyA,"&lt;"&amp;$B23)+COUNTIFS(LdgSellerB,$A23,LdgKeyB,"&lt;"&amp;$B23)+1)</f>
        <v/>
      </c>
      <c r="D23">
        <f>IF($C23="","",$A23&amp;"|"&amp;RIGHT("000000"&amp;$C23,6))</f>
        <v/>
      </c>
      <c r="F23">
        <f>IF(Sync!$AH23="","",IF(LEFT(UPPER(TRIM(Sync!$AH23)),2)="SL",UPPER(TRIM(Sync!$AH23)),""))</f>
        <v/>
      </c>
      <c r="G23">
        <f>IF($F23="","",IF(Sync!$AE23="","",IF(ISNUMBER(Sync!$AE23),IF(AND(Sync!$AE23&gt;=10000101,Sync!$AE23&lt;=99991231),INT(Sync!$AE23/10000),""),IFERROR(VALUE(TRIM(LEFT(Sync!$AE23,FIND("/",Sync!$AE23)-1))),""))))</f>
        <v/>
      </c>
      <c r="H23">
        <f>IF(OR($F23="",$G23=""),"",IF(ISNUMBER(Sync!$AE23),INT(MOD(Sync!$AE23,10000)/100),IFERROR(VALUE(TRIM(LEFT(MID(Sync!$AE23,FIND("/",Sync!$AE23)+1,20),FIND("/",MID(Sync!$AE23,FIND("/",Sync!$AE23)+1,20))-1))),"")))</f>
        <v/>
      </c>
      <c r="I23">
        <f>IF(OR($F23="",$G23=""),"",IF(ISNUMBER(Sync!$AE23),MOD(Sync!$AE23,100),IFERROR(VALUE(TRIM(MID(MID(Sync!$AE23,FIND("/",Sync!$AE23)+1,20),FIND("/",MID(Sync!$AE23,FIND("/",Sync!$AE23)+1,20))+1,20))),"")))</f>
        <v/>
      </c>
      <c r="J23">
        <f>IF($F23="","",IF(OR($G23="",$H23="",$I23="",$G23&lt;1300,$G23&gt;1500,$H23&lt;1,$H23&gt;12,$I23&lt;1,$I23&gt;31),"نامعتبر",RIGHT("0000"&amp;$G23,4)&amp;"/"&amp;RIGHT("00"&amp;$H23,2)&amp;"/"&amp;RIGHT("00"&amp;$I23,2)))</f>
        <v/>
      </c>
      <c r="K23">
        <f>IF(OR($F23="",$J23="",$J23="نامعتبر"),"",LEFT($J23,4)&amp;MID($J23,6,2)&amp;RIGHT($J23,2)&amp;$N23&amp;"|"&amp;"2"&amp;RIGHT("00000"&amp;18,5))</f>
        <v/>
      </c>
      <c r="L23">
        <f>IF($K23="","",COUNTIFS(LdgSellerA,$F23,LdgKeyA,"&lt;"&amp;$K23)+COUNTIFS(LdgSellerB,$F23,LdgKeyB,"&lt;"&amp;$K23)+1)</f>
        <v/>
      </c>
      <c r="M23">
        <f>IF($L23="","",$F23&amp;"|"&amp;RIGHT("000000"&amp;$L23,6))</f>
        <v/>
      </c>
      <c r="N23">
        <f>IF($F23="","",IF(Sync!$AF23="","0000",IF(AND(ISNUMBER(Sync!$AF23),Sync!$AF23&gt;=0,Sync!$AF23&lt;1),RIGHT("00"&amp;HOUR(Sync!$AF23),2)&amp;RIGHT("00"&amp;MINUTE(Sync!$AF23),2),IFERROR(RIGHT("00"&amp;VALUE(LEFT(Sync!$AF23,FIND(":",Sync!$AF23)-1)),2)&amp;RIGHT("00"&amp;VALUE(MID(Sync!$AF23,FIND(":",Sync!$AF23)+1,2)),2),"0000"))))</f>
        <v/>
      </c>
    </row>
    <row r="24">
      <c r="A24">
        <f>IF(OR(Calc!$E28="",Calc!$E28="نامعتبر",Calc!$G28=""),"",Calc!$G28)</f>
        <v/>
      </c>
      <c r="B24">
        <f>IF($A24="","",LEFT(Calc!$E28,4)&amp;MID(Calc!$E28,6,2)&amp;RIGHT(Calc!$E28,2)&amp;Calc!$Q28&amp;"|"&amp;"1"&amp;RIGHT("00000"&amp;19,5))</f>
        <v/>
      </c>
      <c r="C24">
        <f>IF($B24="","",COUNTIFS(LdgSellerA,$A24,LdgKeyA,"&lt;"&amp;$B24)+COUNTIFS(LdgSellerB,$A24,LdgKeyB,"&lt;"&amp;$B24)+1)</f>
        <v/>
      </c>
      <c r="D24">
        <f>IF($C24="","",$A24&amp;"|"&amp;RIGHT("000000"&amp;$C24,6))</f>
        <v/>
      </c>
      <c r="F24">
        <f>IF(Sync!$AH24="","",IF(LEFT(UPPER(TRIM(Sync!$AH24)),2)="SL",UPPER(TRIM(Sync!$AH24)),""))</f>
        <v/>
      </c>
      <c r="G24">
        <f>IF($F24="","",IF(Sync!$AE24="","",IF(ISNUMBER(Sync!$AE24),IF(AND(Sync!$AE24&gt;=10000101,Sync!$AE24&lt;=99991231),INT(Sync!$AE24/10000),""),IFERROR(VALUE(TRIM(LEFT(Sync!$AE24,FIND("/",Sync!$AE24)-1))),""))))</f>
        <v/>
      </c>
      <c r="H24">
        <f>IF(OR($F24="",$G24=""),"",IF(ISNUMBER(Sync!$AE24),INT(MOD(Sync!$AE24,10000)/100),IFERROR(VALUE(TRIM(LEFT(MID(Sync!$AE24,FIND("/",Sync!$AE24)+1,20),FIND("/",MID(Sync!$AE24,FIND("/",Sync!$AE24)+1,20))-1))),"")))</f>
        <v/>
      </c>
      <c r="I24">
        <f>IF(OR($F24="",$G24=""),"",IF(ISNUMBER(Sync!$AE24),MOD(Sync!$AE24,100),IFERROR(VALUE(TRIM(MID(MID(Sync!$AE24,FIND("/",Sync!$AE24)+1,20),FIND("/",MID(Sync!$AE24,FIND("/",Sync!$AE24)+1,20))+1,20))),"")))</f>
        <v/>
      </c>
      <c r="J24">
        <f>IF($F24="","",IF(OR($G24="",$H24="",$I24="",$G24&lt;1300,$G24&gt;1500,$H24&lt;1,$H24&gt;12,$I24&lt;1,$I24&gt;31),"نامعتبر",RIGHT("0000"&amp;$G24,4)&amp;"/"&amp;RIGHT("00"&amp;$H24,2)&amp;"/"&amp;RIGHT("00"&amp;$I24,2)))</f>
        <v/>
      </c>
      <c r="K24">
        <f>IF(OR($F24="",$J24="",$J24="نامعتبر"),"",LEFT($J24,4)&amp;MID($J24,6,2)&amp;RIGHT($J24,2)&amp;$N24&amp;"|"&amp;"2"&amp;RIGHT("00000"&amp;19,5))</f>
        <v/>
      </c>
      <c r="L24">
        <f>IF($K24="","",COUNTIFS(LdgSellerA,$F24,LdgKeyA,"&lt;"&amp;$K24)+COUNTIFS(LdgSellerB,$F24,LdgKeyB,"&lt;"&amp;$K24)+1)</f>
        <v/>
      </c>
      <c r="M24">
        <f>IF($L24="","",$F24&amp;"|"&amp;RIGHT("000000"&amp;$L24,6))</f>
        <v/>
      </c>
      <c r="N24">
        <f>IF($F24="","",IF(Sync!$AF24="","0000",IF(AND(ISNUMBER(Sync!$AF24),Sync!$AF24&gt;=0,Sync!$AF24&lt;1),RIGHT("00"&amp;HOUR(Sync!$AF24),2)&amp;RIGHT("00"&amp;MINUTE(Sync!$AF24),2),IFERROR(RIGHT("00"&amp;VALUE(LEFT(Sync!$AF24,FIND(":",Sync!$AF24)-1)),2)&amp;RIGHT("00"&amp;VALUE(MID(Sync!$AF24,FIND(":",Sync!$AF24)+1,2)),2),"0000"))))</f>
        <v/>
      </c>
    </row>
    <row r="25">
      <c r="A25">
        <f>IF(OR(Calc!$E29="",Calc!$E29="نامعتبر",Calc!$G29=""),"",Calc!$G29)</f>
        <v/>
      </c>
      <c r="B25">
        <f>IF($A25="","",LEFT(Calc!$E29,4)&amp;MID(Calc!$E29,6,2)&amp;RIGHT(Calc!$E29,2)&amp;Calc!$Q29&amp;"|"&amp;"1"&amp;RIGHT("00000"&amp;20,5))</f>
        <v/>
      </c>
      <c r="C25">
        <f>IF($B25="","",COUNTIFS(LdgSellerA,$A25,LdgKeyA,"&lt;"&amp;$B25)+COUNTIFS(LdgSellerB,$A25,LdgKeyB,"&lt;"&amp;$B25)+1)</f>
        <v/>
      </c>
      <c r="D25">
        <f>IF($C25="","",$A25&amp;"|"&amp;RIGHT("000000"&amp;$C25,6))</f>
        <v/>
      </c>
      <c r="F25">
        <f>IF(Sync!$AH25="","",IF(LEFT(UPPER(TRIM(Sync!$AH25)),2)="SL",UPPER(TRIM(Sync!$AH25)),""))</f>
        <v/>
      </c>
      <c r="G25">
        <f>IF($F25="","",IF(Sync!$AE25="","",IF(ISNUMBER(Sync!$AE25),IF(AND(Sync!$AE25&gt;=10000101,Sync!$AE25&lt;=99991231),INT(Sync!$AE25/10000),""),IFERROR(VALUE(TRIM(LEFT(Sync!$AE25,FIND("/",Sync!$AE25)-1))),""))))</f>
        <v/>
      </c>
      <c r="H25">
        <f>IF(OR($F25="",$G25=""),"",IF(ISNUMBER(Sync!$AE25),INT(MOD(Sync!$AE25,10000)/100),IFERROR(VALUE(TRIM(LEFT(MID(Sync!$AE25,FIND("/",Sync!$AE25)+1,20),FIND("/",MID(Sync!$AE25,FIND("/",Sync!$AE25)+1,20))-1))),"")))</f>
        <v/>
      </c>
      <c r="I25">
        <f>IF(OR($F25="",$G25=""),"",IF(ISNUMBER(Sync!$AE25),MOD(Sync!$AE25,100),IFERROR(VALUE(TRIM(MID(MID(Sync!$AE25,FIND("/",Sync!$AE25)+1,20),FIND("/",MID(Sync!$AE25,FIND("/",Sync!$AE25)+1,20))+1,20))),"")))</f>
        <v/>
      </c>
      <c r="J25">
        <f>IF($F25="","",IF(OR($G25="",$H25="",$I25="",$G25&lt;1300,$G25&gt;1500,$H25&lt;1,$H25&gt;12,$I25&lt;1,$I25&gt;31),"نامعتبر",RIGHT("0000"&amp;$G25,4)&amp;"/"&amp;RIGHT("00"&amp;$H25,2)&amp;"/"&amp;RIGHT("00"&amp;$I25,2)))</f>
        <v/>
      </c>
      <c r="K25">
        <f>IF(OR($F25="",$J25="",$J25="نامعتبر"),"",LEFT($J25,4)&amp;MID($J25,6,2)&amp;RIGHT($J25,2)&amp;$N25&amp;"|"&amp;"2"&amp;RIGHT("00000"&amp;20,5))</f>
        <v/>
      </c>
      <c r="L25">
        <f>IF($K25="","",COUNTIFS(LdgSellerA,$F25,LdgKeyA,"&lt;"&amp;$K25)+COUNTIFS(LdgSellerB,$F25,LdgKeyB,"&lt;"&amp;$K25)+1)</f>
        <v/>
      </c>
      <c r="M25">
        <f>IF($L25="","",$F25&amp;"|"&amp;RIGHT("000000"&amp;$L25,6))</f>
        <v/>
      </c>
      <c r="N25">
        <f>IF($F25="","",IF(Sync!$AF25="","0000",IF(AND(ISNUMBER(Sync!$AF25),Sync!$AF25&gt;=0,Sync!$AF25&lt;1),RIGHT("00"&amp;HOUR(Sync!$AF25),2)&amp;RIGHT("00"&amp;MINUTE(Sync!$AF25),2),IFERROR(RIGHT("00"&amp;VALUE(LEFT(Sync!$AF25,FIND(":",Sync!$AF25)-1)),2)&amp;RIGHT("00"&amp;VALUE(MID(Sync!$AF25,FIND(":",Sync!$AF25)+1,2)),2),"0000"))))</f>
        <v/>
      </c>
    </row>
    <row r="26">
      <c r="A26">
        <f>IF(OR(Calc!$E30="",Calc!$E30="نامعتبر",Calc!$G30=""),"",Calc!$G30)</f>
        <v/>
      </c>
      <c r="B26">
        <f>IF($A26="","",LEFT(Calc!$E30,4)&amp;MID(Calc!$E30,6,2)&amp;RIGHT(Calc!$E30,2)&amp;Calc!$Q30&amp;"|"&amp;"1"&amp;RIGHT("00000"&amp;21,5))</f>
        <v/>
      </c>
      <c r="C26">
        <f>IF($B26="","",COUNTIFS(LdgSellerA,$A26,LdgKeyA,"&lt;"&amp;$B26)+COUNTIFS(LdgSellerB,$A26,LdgKeyB,"&lt;"&amp;$B26)+1)</f>
        <v/>
      </c>
      <c r="D26">
        <f>IF($C26="","",$A26&amp;"|"&amp;RIGHT("000000"&amp;$C26,6))</f>
        <v/>
      </c>
      <c r="F26">
        <f>IF(Sync!$AH26="","",IF(LEFT(UPPER(TRIM(Sync!$AH26)),2)="SL",UPPER(TRIM(Sync!$AH26)),""))</f>
        <v/>
      </c>
      <c r="G26">
        <f>IF($F26="","",IF(Sync!$AE26="","",IF(ISNUMBER(Sync!$AE26),IF(AND(Sync!$AE26&gt;=10000101,Sync!$AE26&lt;=99991231),INT(Sync!$AE26/10000),""),IFERROR(VALUE(TRIM(LEFT(Sync!$AE26,FIND("/",Sync!$AE26)-1))),""))))</f>
        <v/>
      </c>
      <c r="H26">
        <f>IF(OR($F26="",$G26=""),"",IF(ISNUMBER(Sync!$AE26),INT(MOD(Sync!$AE26,10000)/100),IFERROR(VALUE(TRIM(LEFT(MID(Sync!$AE26,FIND("/",Sync!$AE26)+1,20),FIND("/",MID(Sync!$AE26,FIND("/",Sync!$AE26)+1,20))-1))),"")))</f>
        <v/>
      </c>
      <c r="I26">
        <f>IF(OR($F26="",$G26=""),"",IF(ISNUMBER(Sync!$AE26),MOD(Sync!$AE26,100),IFERROR(VALUE(TRIM(MID(MID(Sync!$AE26,FIND("/",Sync!$AE26)+1,20),FIND("/",MID(Sync!$AE26,FIND("/",Sync!$AE26)+1,20))+1,20))),"")))</f>
        <v/>
      </c>
      <c r="J26">
        <f>IF($F26="","",IF(OR($G26="",$H26="",$I26="",$G26&lt;1300,$G26&gt;1500,$H26&lt;1,$H26&gt;12,$I26&lt;1,$I26&gt;31),"نامعتبر",RIGHT("0000"&amp;$G26,4)&amp;"/"&amp;RIGHT("00"&amp;$H26,2)&amp;"/"&amp;RIGHT("00"&amp;$I26,2)))</f>
        <v/>
      </c>
      <c r="K26">
        <f>IF(OR($F26="",$J26="",$J26="نامعتبر"),"",LEFT($J26,4)&amp;MID($J26,6,2)&amp;RIGHT($J26,2)&amp;$N26&amp;"|"&amp;"2"&amp;RIGHT("00000"&amp;21,5))</f>
        <v/>
      </c>
      <c r="L26">
        <f>IF($K26="","",COUNTIFS(LdgSellerA,$F26,LdgKeyA,"&lt;"&amp;$K26)+COUNTIFS(LdgSellerB,$F26,LdgKeyB,"&lt;"&amp;$K26)+1)</f>
        <v/>
      </c>
      <c r="M26">
        <f>IF($L26="","",$F26&amp;"|"&amp;RIGHT("000000"&amp;$L26,6))</f>
        <v/>
      </c>
      <c r="N26">
        <f>IF($F26="","",IF(Sync!$AF26="","0000",IF(AND(ISNUMBER(Sync!$AF26),Sync!$AF26&gt;=0,Sync!$AF26&lt;1),RIGHT("00"&amp;HOUR(Sync!$AF26),2)&amp;RIGHT("00"&amp;MINUTE(Sync!$AF26),2),IFERROR(RIGHT("00"&amp;VALUE(LEFT(Sync!$AF26,FIND(":",Sync!$AF26)-1)),2)&amp;RIGHT("00"&amp;VALUE(MID(Sync!$AF26,FIND(":",Sync!$AF26)+1,2)),2),"0000"))))</f>
        <v/>
      </c>
    </row>
    <row r="27">
      <c r="A27">
        <f>IF(OR(Calc!$E31="",Calc!$E31="نامعتبر",Calc!$G31=""),"",Calc!$G31)</f>
        <v/>
      </c>
      <c r="B27">
        <f>IF($A27="","",LEFT(Calc!$E31,4)&amp;MID(Calc!$E31,6,2)&amp;RIGHT(Calc!$E31,2)&amp;Calc!$Q31&amp;"|"&amp;"1"&amp;RIGHT("00000"&amp;22,5))</f>
        <v/>
      </c>
      <c r="C27">
        <f>IF($B27="","",COUNTIFS(LdgSellerA,$A27,LdgKeyA,"&lt;"&amp;$B27)+COUNTIFS(LdgSellerB,$A27,LdgKeyB,"&lt;"&amp;$B27)+1)</f>
        <v/>
      </c>
      <c r="D27">
        <f>IF($C27="","",$A27&amp;"|"&amp;RIGHT("000000"&amp;$C27,6))</f>
        <v/>
      </c>
      <c r="F27">
        <f>IF(Sync!$AH27="","",IF(LEFT(UPPER(TRIM(Sync!$AH27)),2)="SL",UPPER(TRIM(Sync!$AH27)),""))</f>
        <v/>
      </c>
      <c r="G27">
        <f>IF($F27="","",IF(Sync!$AE27="","",IF(ISNUMBER(Sync!$AE27),IF(AND(Sync!$AE27&gt;=10000101,Sync!$AE27&lt;=99991231),INT(Sync!$AE27/10000),""),IFERROR(VALUE(TRIM(LEFT(Sync!$AE27,FIND("/",Sync!$AE27)-1))),""))))</f>
        <v/>
      </c>
      <c r="H27">
        <f>IF(OR($F27="",$G27=""),"",IF(ISNUMBER(Sync!$AE27),INT(MOD(Sync!$AE27,10000)/100),IFERROR(VALUE(TRIM(LEFT(MID(Sync!$AE27,FIND("/",Sync!$AE27)+1,20),FIND("/",MID(Sync!$AE27,FIND("/",Sync!$AE27)+1,20))-1))),"")))</f>
        <v/>
      </c>
      <c r="I27">
        <f>IF(OR($F27="",$G27=""),"",IF(ISNUMBER(Sync!$AE27),MOD(Sync!$AE27,100),IFERROR(VALUE(TRIM(MID(MID(Sync!$AE27,FIND("/",Sync!$AE27)+1,20),FIND("/",MID(Sync!$AE27,FIND("/",Sync!$AE27)+1,20))+1,20))),"")))</f>
        <v/>
      </c>
      <c r="J27">
        <f>IF($F27="","",IF(OR($G27="",$H27="",$I27="",$G27&lt;1300,$G27&gt;1500,$H27&lt;1,$H27&gt;12,$I27&lt;1,$I27&gt;31),"نامعتبر",RIGHT("0000"&amp;$G27,4)&amp;"/"&amp;RIGHT("00"&amp;$H27,2)&amp;"/"&amp;RIGHT("00"&amp;$I27,2)))</f>
        <v/>
      </c>
      <c r="K27">
        <f>IF(OR($F27="",$J27="",$J27="نامعتبر"),"",LEFT($J27,4)&amp;MID($J27,6,2)&amp;RIGHT($J27,2)&amp;$N27&amp;"|"&amp;"2"&amp;RIGHT("00000"&amp;22,5))</f>
        <v/>
      </c>
      <c r="L27">
        <f>IF($K27="","",COUNTIFS(LdgSellerA,$F27,LdgKeyA,"&lt;"&amp;$K27)+COUNTIFS(LdgSellerB,$F27,LdgKeyB,"&lt;"&amp;$K27)+1)</f>
        <v/>
      </c>
      <c r="M27">
        <f>IF($L27="","",$F27&amp;"|"&amp;RIGHT("000000"&amp;$L27,6))</f>
        <v/>
      </c>
      <c r="N27">
        <f>IF($F27="","",IF(Sync!$AF27="","0000",IF(AND(ISNUMBER(Sync!$AF27),Sync!$AF27&gt;=0,Sync!$AF27&lt;1),RIGHT("00"&amp;HOUR(Sync!$AF27),2)&amp;RIGHT("00"&amp;MINUTE(Sync!$AF27),2),IFERROR(RIGHT("00"&amp;VALUE(LEFT(Sync!$AF27,FIND(":",Sync!$AF27)-1)),2)&amp;RIGHT("00"&amp;VALUE(MID(Sync!$AF27,FIND(":",Sync!$AF27)+1,2)),2),"0000"))))</f>
        <v/>
      </c>
    </row>
    <row r="28">
      <c r="A28">
        <f>IF(OR(Calc!$E32="",Calc!$E32="نامعتبر",Calc!$G32=""),"",Calc!$G32)</f>
        <v/>
      </c>
      <c r="B28">
        <f>IF($A28="","",LEFT(Calc!$E32,4)&amp;MID(Calc!$E32,6,2)&amp;RIGHT(Calc!$E32,2)&amp;Calc!$Q32&amp;"|"&amp;"1"&amp;RIGHT("00000"&amp;23,5))</f>
        <v/>
      </c>
      <c r="C28">
        <f>IF($B28="","",COUNTIFS(LdgSellerA,$A28,LdgKeyA,"&lt;"&amp;$B28)+COUNTIFS(LdgSellerB,$A28,LdgKeyB,"&lt;"&amp;$B28)+1)</f>
        <v/>
      </c>
      <c r="D28">
        <f>IF($C28="","",$A28&amp;"|"&amp;RIGHT("000000"&amp;$C28,6))</f>
        <v/>
      </c>
      <c r="F28">
        <f>IF(Sync!$AH28="","",IF(LEFT(UPPER(TRIM(Sync!$AH28)),2)="SL",UPPER(TRIM(Sync!$AH28)),""))</f>
        <v/>
      </c>
      <c r="G28">
        <f>IF($F28="","",IF(Sync!$AE28="","",IF(ISNUMBER(Sync!$AE28),IF(AND(Sync!$AE28&gt;=10000101,Sync!$AE28&lt;=99991231),INT(Sync!$AE28/10000),""),IFERROR(VALUE(TRIM(LEFT(Sync!$AE28,FIND("/",Sync!$AE28)-1))),""))))</f>
        <v/>
      </c>
      <c r="H28">
        <f>IF(OR($F28="",$G28=""),"",IF(ISNUMBER(Sync!$AE28),INT(MOD(Sync!$AE28,10000)/100),IFERROR(VALUE(TRIM(LEFT(MID(Sync!$AE28,FIND("/",Sync!$AE28)+1,20),FIND("/",MID(Sync!$AE28,FIND("/",Sync!$AE28)+1,20))-1))),"")))</f>
        <v/>
      </c>
      <c r="I28">
        <f>IF(OR($F28="",$G28=""),"",IF(ISNUMBER(Sync!$AE28),MOD(Sync!$AE28,100),IFERROR(VALUE(TRIM(MID(MID(Sync!$AE28,FIND("/",Sync!$AE28)+1,20),FIND("/",MID(Sync!$AE28,FIND("/",Sync!$AE28)+1,20))+1,20))),"")))</f>
        <v/>
      </c>
      <c r="J28">
        <f>IF($F28="","",IF(OR($G28="",$H28="",$I28="",$G28&lt;1300,$G28&gt;1500,$H28&lt;1,$H28&gt;12,$I28&lt;1,$I28&gt;31),"نامعتبر",RIGHT("0000"&amp;$G28,4)&amp;"/"&amp;RIGHT("00"&amp;$H28,2)&amp;"/"&amp;RIGHT("00"&amp;$I28,2)))</f>
        <v/>
      </c>
      <c r="K28">
        <f>IF(OR($F28="",$J28="",$J28="نامعتبر"),"",LEFT($J28,4)&amp;MID($J28,6,2)&amp;RIGHT($J28,2)&amp;$N28&amp;"|"&amp;"2"&amp;RIGHT("00000"&amp;23,5))</f>
        <v/>
      </c>
      <c r="L28">
        <f>IF($K28="","",COUNTIFS(LdgSellerA,$F28,LdgKeyA,"&lt;"&amp;$K28)+COUNTIFS(LdgSellerB,$F28,LdgKeyB,"&lt;"&amp;$K28)+1)</f>
        <v/>
      </c>
      <c r="M28">
        <f>IF($L28="","",$F28&amp;"|"&amp;RIGHT("000000"&amp;$L28,6))</f>
        <v/>
      </c>
      <c r="N28">
        <f>IF($F28="","",IF(Sync!$AF28="","0000",IF(AND(ISNUMBER(Sync!$AF28),Sync!$AF28&gt;=0,Sync!$AF28&lt;1),RIGHT("00"&amp;HOUR(Sync!$AF28),2)&amp;RIGHT("00"&amp;MINUTE(Sync!$AF28),2),IFERROR(RIGHT("00"&amp;VALUE(LEFT(Sync!$AF28,FIND(":",Sync!$AF28)-1)),2)&amp;RIGHT("00"&amp;VALUE(MID(Sync!$AF28,FIND(":",Sync!$AF28)+1,2)),2),"0000"))))</f>
        <v/>
      </c>
    </row>
    <row r="29">
      <c r="A29">
        <f>IF(OR(Calc!$E33="",Calc!$E33="نامعتبر",Calc!$G33=""),"",Calc!$G33)</f>
        <v/>
      </c>
      <c r="B29">
        <f>IF($A29="","",LEFT(Calc!$E33,4)&amp;MID(Calc!$E33,6,2)&amp;RIGHT(Calc!$E33,2)&amp;Calc!$Q33&amp;"|"&amp;"1"&amp;RIGHT("00000"&amp;24,5))</f>
        <v/>
      </c>
      <c r="C29">
        <f>IF($B29="","",COUNTIFS(LdgSellerA,$A29,LdgKeyA,"&lt;"&amp;$B29)+COUNTIFS(LdgSellerB,$A29,LdgKeyB,"&lt;"&amp;$B29)+1)</f>
        <v/>
      </c>
      <c r="D29">
        <f>IF($C29="","",$A29&amp;"|"&amp;RIGHT("000000"&amp;$C29,6))</f>
        <v/>
      </c>
      <c r="F29">
        <f>IF(Sync!$AH29="","",IF(LEFT(UPPER(TRIM(Sync!$AH29)),2)="SL",UPPER(TRIM(Sync!$AH29)),""))</f>
        <v/>
      </c>
      <c r="G29">
        <f>IF($F29="","",IF(Sync!$AE29="","",IF(ISNUMBER(Sync!$AE29),IF(AND(Sync!$AE29&gt;=10000101,Sync!$AE29&lt;=99991231),INT(Sync!$AE29/10000),""),IFERROR(VALUE(TRIM(LEFT(Sync!$AE29,FIND("/",Sync!$AE29)-1))),""))))</f>
        <v/>
      </c>
      <c r="H29">
        <f>IF(OR($F29="",$G29=""),"",IF(ISNUMBER(Sync!$AE29),INT(MOD(Sync!$AE29,10000)/100),IFERROR(VALUE(TRIM(LEFT(MID(Sync!$AE29,FIND("/",Sync!$AE29)+1,20),FIND("/",MID(Sync!$AE29,FIND("/",Sync!$AE29)+1,20))-1))),"")))</f>
        <v/>
      </c>
      <c r="I29">
        <f>IF(OR($F29="",$G29=""),"",IF(ISNUMBER(Sync!$AE29),MOD(Sync!$AE29,100),IFERROR(VALUE(TRIM(MID(MID(Sync!$AE29,FIND("/",Sync!$AE29)+1,20),FIND("/",MID(Sync!$AE29,FIND("/",Sync!$AE29)+1,20))+1,20))),"")))</f>
        <v/>
      </c>
      <c r="J29">
        <f>IF($F29="","",IF(OR($G29="",$H29="",$I29="",$G29&lt;1300,$G29&gt;1500,$H29&lt;1,$H29&gt;12,$I29&lt;1,$I29&gt;31),"نامعتبر",RIGHT("0000"&amp;$G29,4)&amp;"/"&amp;RIGHT("00"&amp;$H29,2)&amp;"/"&amp;RIGHT("00"&amp;$I29,2)))</f>
        <v/>
      </c>
      <c r="K29">
        <f>IF(OR($F29="",$J29="",$J29="نامعتبر"),"",LEFT($J29,4)&amp;MID($J29,6,2)&amp;RIGHT($J29,2)&amp;$N29&amp;"|"&amp;"2"&amp;RIGHT("00000"&amp;24,5))</f>
        <v/>
      </c>
      <c r="L29">
        <f>IF($K29="","",COUNTIFS(LdgSellerA,$F29,LdgKeyA,"&lt;"&amp;$K29)+COUNTIFS(LdgSellerB,$F29,LdgKeyB,"&lt;"&amp;$K29)+1)</f>
        <v/>
      </c>
      <c r="M29">
        <f>IF($L29="","",$F29&amp;"|"&amp;RIGHT("000000"&amp;$L29,6))</f>
        <v/>
      </c>
      <c r="N29">
        <f>IF($F29="","",IF(Sync!$AF29="","0000",IF(AND(ISNUMBER(Sync!$AF29),Sync!$AF29&gt;=0,Sync!$AF29&lt;1),RIGHT("00"&amp;HOUR(Sync!$AF29),2)&amp;RIGHT("00"&amp;MINUTE(Sync!$AF29),2),IFERROR(RIGHT("00"&amp;VALUE(LEFT(Sync!$AF29,FIND(":",Sync!$AF29)-1)),2)&amp;RIGHT("00"&amp;VALUE(MID(Sync!$AF29,FIND(":",Sync!$AF29)+1,2)),2),"0000"))))</f>
        <v/>
      </c>
    </row>
    <row r="30">
      <c r="A30">
        <f>IF(OR(Calc!$E34="",Calc!$E34="نامعتبر",Calc!$G34=""),"",Calc!$G34)</f>
        <v/>
      </c>
      <c r="B30">
        <f>IF($A30="","",LEFT(Calc!$E34,4)&amp;MID(Calc!$E34,6,2)&amp;RIGHT(Calc!$E34,2)&amp;Calc!$Q34&amp;"|"&amp;"1"&amp;RIGHT("00000"&amp;25,5))</f>
        <v/>
      </c>
      <c r="C30">
        <f>IF($B30="","",COUNTIFS(LdgSellerA,$A30,LdgKeyA,"&lt;"&amp;$B30)+COUNTIFS(LdgSellerB,$A30,LdgKeyB,"&lt;"&amp;$B30)+1)</f>
        <v/>
      </c>
      <c r="D30">
        <f>IF($C30="","",$A30&amp;"|"&amp;RIGHT("000000"&amp;$C30,6))</f>
        <v/>
      </c>
      <c r="F30">
        <f>IF(Sync!$AH30="","",IF(LEFT(UPPER(TRIM(Sync!$AH30)),2)="SL",UPPER(TRIM(Sync!$AH30)),""))</f>
        <v/>
      </c>
      <c r="G30">
        <f>IF($F30="","",IF(Sync!$AE30="","",IF(ISNUMBER(Sync!$AE30),IF(AND(Sync!$AE30&gt;=10000101,Sync!$AE30&lt;=99991231),INT(Sync!$AE30/10000),""),IFERROR(VALUE(TRIM(LEFT(Sync!$AE30,FIND("/",Sync!$AE30)-1))),""))))</f>
        <v/>
      </c>
      <c r="H30">
        <f>IF(OR($F30="",$G30=""),"",IF(ISNUMBER(Sync!$AE30),INT(MOD(Sync!$AE30,10000)/100),IFERROR(VALUE(TRIM(LEFT(MID(Sync!$AE30,FIND("/",Sync!$AE30)+1,20),FIND("/",MID(Sync!$AE30,FIND("/",Sync!$AE30)+1,20))-1))),"")))</f>
        <v/>
      </c>
      <c r="I30">
        <f>IF(OR($F30="",$G30=""),"",IF(ISNUMBER(Sync!$AE30),MOD(Sync!$AE30,100),IFERROR(VALUE(TRIM(MID(MID(Sync!$AE30,FIND("/",Sync!$AE30)+1,20),FIND("/",MID(Sync!$AE30,FIND("/",Sync!$AE30)+1,20))+1,20))),"")))</f>
        <v/>
      </c>
      <c r="J30">
        <f>IF($F30="","",IF(OR($G30="",$H30="",$I30="",$G30&lt;1300,$G30&gt;1500,$H30&lt;1,$H30&gt;12,$I30&lt;1,$I30&gt;31),"نامعتبر",RIGHT("0000"&amp;$G30,4)&amp;"/"&amp;RIGHT("00"&amp;$H30,2)&amp;"/"&amp;RIGHT("00"&amp;$I30,2)))</f>
        <v/>
      </c>
      <c r="K30">
        <f>IF(OR($F30="",$J30="",$J30="نامعتبر"),"",LEFT($J30,4)&amp;MID($J30,6,2)&amp;RIGHT($J30,2)&amp;$N30&amp;"|"&amp;"2"&amp;RIGHT("00000"&amp;25,5))</f>
        <v/>
      </c>
      <c r="L30">
        <f>IF($K30="","",COUNTIFS(LdgSellerA,$F30,LdgKeyA,"&lt;"&amp;$K30)+COUNTIFS(LdgSellerB,$F30,LdgKeyB,"&lt;"&amp;$K30)+1)</f>
        <v/>
      </c>
      <c r="M30">
        <f>IF($L30="","",$F30&amp;"|"&amp;RIGHT("000000"&amp;$L30,6))</f>
        <v/>
      </c>
      <c r="N30">
        <f>IF($F30="","",IF(Sync!$AF30="","0000",IF(AND(ISNUMBER(Sync!$AF30),Sync!$AF30&gt;=0,Sync!$AF30&lt;1),RIGHT("00"&amp;HOUR(Sync!$AF30),2)&amp;RIGHT("00"&amp;MINUTE(Sync!$AF30),2),IFERROR(RIGHT("00"&amp;VALUE(LEFT(Sync!$AF30,FIND(":",Sync!$AF30)-1)),2)&amp;RIGHT("00"&amp;VALUE(MID(Sync!$AF30,FIND(":",Sync!$AF30)+1,2)),2),"0000"))))</f>
        <v/>
      </c>
    </row>
    <row r="31">
      <c r="A31">
        <f>IF(OR(Calc!$E35="",Calc!$E35="نامعتبر",Calc!$G35=""),"",Calc!$G35)</f>
        <v/>
      </c>
      <c r="B31">
        <f>IF($A31="","",LEFT(Calc!$E35,4)&amp;MID(Calc!$E35,6,2)&amp;RIGHT(Calc!$E35,2)&amp;Calc!$Q35&amp;"|"&amp;"1"&amp;RIGHT("00000"&amp;26,5))</f>
        <v/>
      </c>
      <c r="C31">
        <f>IF($B31="","",COUNTIFS(LdgSellerA,$A31,LdgKeyA,"&lt;"&amp;$B31)+COUNTIFS(LdgSellerB,$A31,LdgKeyB,"&lt;"&amp;$B31)+1)</f>
        <v/>
      </c>
      <c r="D31">
        <f>IF($C31="","",$A31&amp;"|"&amp;RIGHT("000000"&amp;$C31,6))</f>
        <v/>
      </c>
      <c r="F31">
        <f>IF(Sync!$AH31="","",IF(LEFT(UPPER(TRIM(Sync!$AH31)),2)="SL",UPPER(TRIM(Sync!$AH31)),""))</f>
        <v/>
      </c>
      <c r="G31">
        <f>IF($F31="","",IF(Sync!$AE31="","",IF(ISNUMBER(Sync!$AE31),IF(AND(Sync!$AE31&gt;=10000101,Sync!$AE31&lt;=99991231),INT(Sync!$AE31/10000),""),IFERROR(VALUE(TRIM(LEFT(Sync!$AE31,FIND("/",Sync!$AE31)-1))),""))))</f>
        <v/>
      </c>
      <c r="H31">
        <f>IF(OR($F31="",$G31=""),"",IF(ISNUMBER(Sync!$AE31),INT(MOD(Sync!$AE31,10000)/100),IFERROR(VALUE(TRIM(LEFT(MID(Sync!$AE31,FIND("/",Sync!$AE31)+1,20),FIND("/",MID(Sync!$AE31,FIND("/",Sync!$AE31)+1,20))-1))),"")))</f>
        <v/>
      </c>
      <c r="I31">
        <f>IF(OR($F31="",$G31=""),"",IF(ISNUMBER(Sync!$AE31),MOD(Sync!$AE31,100),IFERROR(VALUE(TRIM(MID(MID(Sync!$AE31,FIND("/",Sync!$AE31)+1,20),FIND("/",MID(Sync!$AE31,FIND("/",Sync!$AE31)+1,20))+1,20))),"")))</f>
        <v/>
      </c>
      <c r="J31">
        <f>IF($F31="","",IF(OR($G31="",$H31="",$I31="",$G31&lt;1300,$G31&gt;1500,$H31&lt;1,$H31&gt;12,$I31&lt;1,$I31&gt;31),"نامعتبر",RIGHT("0000"&amp;$G31,4)&amp;"/"&amp;RIGHT("00"&amp;$H31,2)&amp;"/"&amp;RIGHT("00"&amp;$I31,2)))</f>
        <v/>
      </c>
      <c r="K31">
        <f>IF(OR($F31="",$J31="",$J31="نامعتبر"),"",LEFT($J31,4)&amp;MID($J31,6,2)&amp;RIGHT($J31,2)&amp;$N31&amp;"|"&amp;"2"&amp;RIGHT("00000"&amp;26,5))</f>
        <v/>
      </c>
      <c r="L31">
        <f>IF($K31="","",COUNTIFS(LdgSellerA,$F31,LdgKeyA,"&lt;"&amp;$K31)+COUNTIFS(LdgSellerB,$F31,LdgKeyB,"&lt;"&amp;$K31)+1)</f>
        <v/>
      </c>
      <c r="M31">
        <f>IF($L31="","",$F31&amp;"|"&amp;RIGHT("000000"&amp;$L31,6))</f>
        <v/>
      </c>
      <c r="N31">
        <f>IF($F31="","",IF(Sync!$AF31="","0000",IF(AND(ISNUMBER(Sync!$AF31),Sync!$AF31&gt;=0,Sync!$AF31&lt;1),RIGHT("00"&amp;HOUR(Sync!$AF31),2)&amp;RIGHT("00"&amp;MINUTE(Sync!$AF31),2),IFERROR(RIGHT("00"&amp;VALUE(LEFT(Sync!$AF31,FIND(":",Sync!$AF31)-1)),2)&amp;RIGHT("00"&amp;VALUE(MID(Sync!$AF31,FIND(":",Sync!$AF31)+1,2)),2),"0000"))))</f>
        <v/>
      </c>
    </row>
    <row r="32">
      <c r="A32">
        <f>IF(OR(Calc!$E36="",Calc!$E36="نامعتبر",Calc!$G36=""),"",Calc!$G36)</f>
        <v/>
      </c>
      <c r="B32">
        <f>IF($A32="","",LEFT(Calc!$E36,4)&amp;MID(Calc!$E36,6,2)&amp;RIGHT(Calc!$E36,2)&amp;Calc!$Q36&amp;"|"&amp;"1"&amp;RIGHT("00000"&amp;27,5))</f>
        <v/>
      </c>
      <c r="C32">
        <f>IF($B32="","",COUNTIFS(LdgSellerA,$A32,LdgKeyA,"&lt;"&amp;$B32)+COUNTIFS(LdgSellerB,$A32,LdgKeyB,"&lt;"&amp;$B32)+1)</f>
        <v/>
      </c>
      <c r="D32">
        <f>IF($C32="","",$A32&amp;"|"&amp;RIGHT("000000"&amp;$C32,6))</f>
        <v/>
      </c>
      <c r="F32">
        <f>IF(Sync!$AH32="","",IF(LEFT(UPPER(TRIM(Sync!$AH32)),2)="SL",UPPER(TRIM(Sync!$AH32)),""))</f>
        <v/>
      </c>
      <c r="G32">
        <f>IF($F32="","",IF(Sync!$AE32="","",IF(ISNUMBER(Sync!$AE32),IF(AND(Sync!$AE32&gt;=10000101,Sync!$AE32&lt;=99991231),INT(Sync!$AE32/10000),""),IFERROR(VALUE(TRIM(LEFT(Sync!$AE32,FIND("/",Sync!$AE32)-1))),""))))</f>
        <v/>
      </c>
      <c r="H32">
        <f>IF(OR($F32="",$G32=""),"",IF(ISNUMBER(Sync!$AE32),INT(MOD(Sync!$AE32,10000)/100),IFERROR(VALUE(TRIM(LEFT(MID(Sync!$AE32,FIND("/",Sync!$AE32)+1,20),FIND("/",MID(Sync!$AE32,FIND("/",Sync!$AE32)+1,20))-1))),"")))</f>
        <v/>
      </c>
      <c r="I32">
        <f>IF(OR($F32="",$G32=""),"",IF(ISNUMBER(Sync!$AE32),MOD(Sync!$AE32,100),IFERROR(VALUE(TRIM(MID(MID(Sync!$AE32,FIND("/",Sync!$AE32)+1,20),FIND("/",MID(Sync!$AE32,FIND("/",Sync!$AE32)+1,20))+1,20))),"")))</f>
        <v/>
      </c>
      <c r="J32">
        <f>IF($F32="","",IF(OR($G32="",$H32="",$I32="",$G32&lt;1300,$G32&gt;1500,$H32&lt;1,$H32&gt;12,$I32&lt;1,$I32&gt;31),"نامعتبر",RIGHT("0000"&amp;$G32,4)&amp;"/"&amp;RIGHT("00"&amp;$H32,2)&amp;"/"&amp;RIGHT("00"&amp;$I32,2)))</f>
        <v/>
      </c>
      <c r="K32">
        <f>IF(OR($F32="",$J32="",$J32="نامعتبر"),"",LEFT($J32,4)&amp;MID($J32,6,2)&amp;RIGHT($J32,2)&amp;$N32&amp;"|"&amp;"2"&amp;RIGHT("00000"&amp;27,5))</f>
        <v/>
      </c>
      <c r="L32">
        <f>IF($K32="","",COUNTIFS(LdgSellerA,$F32,LdgKeyA,"&lt;"&amp;$K32)+COUNTIFS(LdgSellerB,$F32,LdgKeyB,"&lt;"&amp;$K32)+1)</f>
        <v/>
      </c>
      <c r="M32">
        <f>IF($L32="","",$F32&amp;"|"&amp;RIGHT("000000"&amp;$L32,6))</f>
        <v/>
      </c>
      <c r="N32">
        <f>IF($F32="","",IF(Sync!$AF32="","0000",IF(AND(ISNUMBER(Sync!$AF32),Sync!$AF32&gt;=0,Sync!$AF32&lt;1),RIGHT("00"&amp;HOUR(Sync!$AF32),2)&amp;RIGHT("00"&amp;MINUTE(Sync!$AF32),2),IFERROR(RIGHT("00"&amp;VALUE(LEFT(Sync!$AF32,FIND(":",Sync!$AF32)-1)),2)&amp;RIGHT("00"&amp;VALUE(MID(Sync!$AF32,FIND(":",Sync!$AF32)+1,2)),2),"0000"))))</f>
        <v/>
      </c>
    </row>
    <row r="33">
      <c r="A33">
        <f>IF(OR(Calc!$E37="",Calc!$E37="نامعتبر",Calc!$G37=""),"",Calc!$G37)</f>
        <v/>
      </c>
      <c r="B33">
        <f>IF($A33="","",LEFT(Calc!$E37,4)&amp;MID(Calc!$E37,6,2)&amp;RIGHT(Calc!$E37,2)&amp;Calc!$Q37&amp;"|"&amp;"1"&amp;RIGHT("00000"&amp;28,5))</f>
        <v/>
      </c>
      <c r="C33">
        <f>IF($B33="","",COUNTIFS(LdgSellerA,$A33,LdgKeyA,"&lt;"&amp;$B33)+COUNTIFS(LdgSellerB,$A33,LdgKeyB,"&lt;"&amp;$B33)+1)</f>
        <v/>
      </c>
      <c r="D33">
        <f>IF($C33="","",$A33&amp;"|"&amp;RIGHT("000000"&amp;$C33,6))</f>
        <v/>
      </c>
      <c r="F33">
        <f>IF(Sync!$AH33="","",IF(LEFT(UPPER(TRIM(Sync!$AH33)),2)="SL",UPPER(TRIM(Sync!$AH33)),""))</f>
        <v/>
      </c>
      <c r="G33">
        <f>IF($F33="","",IF(Sync!$AE33="","",IF(ISNUMBER(Sync!$AE33),IF(AND(Sync!$AE33&gt;=10000101,Sync!$AE33&lt;=99991231),INT(Sync!$AE33/10000),""),IFERROR(VALUE(TRIM(LEFT(Sync!$AE33,FIND("/",Sync!$AE33)-1))),""))))</f>
        <v/>
      </c>
      <c r="H33">
        <f>IF(OR($F33="",$G33=""),"",IF(ISNUMBER(Sync!$AE33),INT(MOD(Sync!$AE33,10000)/100),IFERROR(VALUE(TRIM(LEFT(MID(Sync!$AE33,FIND("/",Sync!$AE33)+1,20),FIND("/",MID(Sync!$AE33,FIND("/",Sync!$AE33)+1,20))-1))),"")))</f>
        <v/>
      </c>
      <c r="I33">
        <f>IF(OR($F33="",$G33=""),"",IF(ISNUMBER(Sync!$AE33),MOD(Sync!$AE33,100),IFERROR(VALUE(TRIM(MID(MID(Sync!$AE33,FIND("/",Sync!$AE33)+1,20),FIND("/",MID(Sync!$AE33,FIND("/",Sync!$AE33)+1,20))+1,20))),"")))</f>
        <v/>
      </c>
      <c r="J33">
        <f>IF($F33="","",IF(OR($G33="",$H33="",$I33="",$G33&lt;1300,$G33&gt;1500,$H33&lt;1,$H33&gt;12,$I33&lt;1,$I33&gt;31),"نامعتبر",RIGHT("0000"&amp;$G33,4)&amp;"/"&amp;RIGHT("00"&amp;$H33,2)&amp;"/"&amp;RIGHT("00"&amp;$I33,2)))</f>
        <v/>
      </c>
      <c r="K33">
        <f>IF(OR($F33="",$J33="",$J33="نامعتبر"),"",LEFT($J33,4)&amp;MID($J33,6,2)&amp;RIGHT($J33,2)&amp;$N33&amp;"|"&amp;"2"&amp;RIGHT("00000"&amp;28,5))</f>
        <v/>
      </c>
      <c r="L33">
        <f>IF($K33="","",COUNTIFS(LdgSellerA,$F33,LdgKeyA,"&lt;"&amp;$K33)+COUNTIFS(LdgSellerB,$F33,LdgKeyB,"&lt;"&amp;$K33)+1)</f>
        <v/>
      </c>
      <c r="M33">
        <f>IF($L33="","",$F33&amp;"|"&amp;RIGHT("000000"&amp;$L33,6))</f>
        <v/>
      </c>
      <c r="N33">
        <f>IF($F33="","",IF(Sync!$AF33="","0000",IF(AND(ISNUMBER(Sync!$AF33),Sync!$AF33&gt;=0,Sync!$AF33&lt;1),RIGHT("00"&amp;HOUR(Sync!$AF33),2)&amp;RIGHT("00"&amp;MINUTE(Sync!$AF33),2),IFERROR(RIGHT("00"&amp;VALUE(LEFT(Sync!$AF33,FIND(":",Sync!$AF33)-1)),2)&amp;RIGHT("00"&amp;VALUE(MID(Sync!$AF33,FIND(":",Sync!$AF33)+1,2)),2),"0000"))))</f>
        <v/>
      </c>
    </row>
    <row r="34">
      <c r="A34">
        <f>IF(OR(Calc!$E38="",Calc!$E38="نامعتبر",Calc!$G38=""),"",Calc!$G38)</f>
        <v/>
      </c>
      <c r="B34">
        <f>IF($A34="","",LEFT(Calc!$E38,4)&amp;MID(Calc!$E38,6,2)&amp;RIGHT(Calc!$E38,2)&amp;Calc!$Q38&amp;"|"&amp;"1"&amp;RIGHT("00000"&amp;29,5))</f>
        <v/>
      </c>
      <c r="C34">
        <f>IF($B34="","",COUNTIFS(LdgSellerA,$A34,LdgKeyA,"&lt;"&amp;$B34)+COUNTIFS(LdgSellerB,$A34,LdgKeyB,"&lt;"&amp;$B34)+1)</f>
        <v/>
      </c>
      <c r="D34">
        <f>IF($C34="","",$A34&amp;"|"&amp;RIGHT("000000"&amp;$C34,6))</f>
        <v/>
      </c>
      <c r="F34">
        <f>IF(Sync!$AH34="","",IF(LEFT(UPPER(TRIM(Sync!$AH34)),2)="SL",UPPER(TRIM(Sync!$AH34)),""))</f>
        <v/>
      </c>
      <c r="G34">
        <f>IF($F34="","",IF(Sync!$AE34="","",IF(ISNUMBER(Sync!$AE34),IF(AND(Sync!$AE34&gt;=10000101,Sync!$AE34&lt;=99991231),INT(Sync!$AE34/10000),""),IFERROR(VALUE(TRIM(LEFT(Sync!$AE34,FIND("/",Sync!$AE34)-1))),""))))</f>
        <v/>
      </c>
      <c r="H34">
        <f>IF(OR($F34="",$G34=""),"",IF(ISNUMBER(Sync!$AE34),INT(MOD(Sync!$AE34,10000)/100),IFERROR(VALUE(TRIM(LEFT(MID(Sync!$AE34,FIND("/",Sync!$AE34)+1,20),FIND("/",MID(Sync!$AE34,FIND("/",Sync!$AE34)+1,20))-1))),"")))</f>
        <v/>
      </c>
      <c r="I34">
        <f>IF(OR($F34="",$G34=""),"",IF(ISNUMBER(Sync!$AE34),MOD(Sync!$AE34,100),IFERROR(VALUE(TRIM(MID(MID(Sync!$AE34,FIND("/",Sync!$AE34)+1,20),FIND("/",MID(Sync!$AE34,FIND("/",Sync!$AE34)+1,20))+1,20))),"")))</f>
        <v/>
      </c>
      <c r="J34">
        <f>IF($F34="","",IF(OR($G34="",$H34="",$I34="",$G34&lt;1300,$G34&gt;1500,$H34&lt;1,$H34&gt;12,$I34&lt;1,$I34&gt;31),"نامعتبر",RIGHT("0000"&amp;$G34,4)&amp;"/"&amp;RIGHT("00"&amp;$H34,2)&amp;"/"&amp;RIGHT("00"&amp;$I34,2)))</f>
        <v/>
      </c>
      <c r="K34">
        <f>IF(OR($F34="",$J34="",$J34="نامعتبر"),"",LEFT($J34,4)&amp;MID($J34,6,2)&amp;RIGHT($J34,2)&amp;$N34&amp;"|"&amp;"2"&amp;RIGHT("00000"&amp;29,5))</f>
        <v/>
      </c>
      <c r="L34">
        <f>IF($K34="","",COUNTIFS(LdgSellerA,$F34,LdgKeyA,"&lt;"&amp;$K34)+COUNTIFS(LdgSellerB,$F34,LdgKeyB,"&lt;"&amp;$K34)+1)</f>
        <v/>
      </c>
      <c r="M34">
        <f>IF($L34="","",$F34&amp;"|"&amp;RIGHT("000000"&amp;$L34,6))</f>
        <v/>
      </c>
      <c r="N34">
        <f>IF($F34="","",IF(Sync!$AF34="","0000",IF(AND(ISNUMBER(Sync!$AF34),Sync!$AF34&gt;=0,Sync!$AF34&lt;1),RIGHT("00"&amp;HOUR(Sync!$AF34),2)&amp;RIGHT("00"&amp;MINUTE(Sync!$AF34),2),IFERROR(RIGHT("00"&amp;VALUE(LEFT(Sync!$AF34,FIND(":",Sync!$AF34)-1)),2)&amp;RIGHT("00"&amp;VALUE(MID(Sync!$AF34,FIND(":",Sync!$AF34)+1,2)),2),"0000"))))</f>
        <v/>
      </c>
    </row>
    <row r="35">
      <c r="A35">
        <f>IF(OR(Calc!$E39="",Calc!$E39="نامعتبر",Calc!$G39=""),"",Calc!$G39)</f>
        <v/>
      </c>
      <c r="B35">
        <f>IF($A35="","",LEFT(Calc!$E39,4)&amp;MID(Calc!$E39,6,2)&amp;RIGHT(Calc!$E39,2)&amp;Calc!$Q39&amp;"|"&amp;"1"&amp;RIGHT("00000"&amp;30,5))</f>
        <v/>
      </c>
      <c r="C35">
        <f>IF($B35="","",COUNTIFS(LdgSellerA,$A35,LdgKeyA,"&lt;"&amp;$B35)+COUNTIFS(LdgSellerB,$A35,LdgKeyB,"&lt;"&amp;$B35)+1)</f>
        <v/>
      </c>
      <c r="D35">
        <f>IF($C35="","",$A35&amp;"|"&amp;RIGHT("000000"&amp;$C35,6))</f>
        <v/>
      </c>
      <c r="F35">
        <f>IF(Sync!$AH35="","",IF(LEFT(UPPER(TRIM(Sync!$AH35)),2)="SL",UPPER(TRIM(Sync!$AH35)),""))</f>
        <v/>
      </c>
      <c r="G35">
        <f>IF($F35="","",IF(Sync!$AE35="","",IF(ISNUMBER(Sync!$AE35),IF(AND(Sync!$AE35&gt;=10000101,Sync!$AE35&lt;=99991231),INT(Sync!$AE35/10000),""),IFERROR(VALUE(TRIM(LEFT(Sync!$AE35,FIND("/",Sync!$AE35)-1))),""))))</f>
        <v/>
      </c>
      <c r="H35">
        <f>IF(OR($F35="",$G35=""),"",IF(ISNUMBER(Sync!$AE35),INT(MOD(Sync!$AE35,10000)/100),IFERROR(VALUE(TRIM(LEFT(MID(Sync!$AE35,FIND("/",Sync!$AE35)+1,20),FIND("/",MID(Sync!$AE35,FIND("/",Sync!$AE35)+1,20))-1))),"")))</f>
        <v/>
      </c>
      <c r="I35">
        <f>IF(OR($F35="",$G35=""),"",IF(ISNUMBER(Sync!$AE35),MOD(Sync!$AE35,100),IFERROR(VALUE(TRIM(MID(MID(Sync!$AE35,FIND("/",Sync!$AE35)+1,20),FIND("/",MID(Sync!$AE35,FIND("/",Sync!$AE35)+1,20))+1,20))),"")))</f>
        <v/>
      </c>
      <c r="J35">
        <f>IF($F35="","",IF(OR($G35="",$H35="",$I35="",$G35&lt;1300,$G35&gt;1500,$H35&lt;1,$H35&gt;12,$I35&lt;1,$I35&gt;31),"نامعتبر",RIGHT("0000"&amp;$G35,4)&amp;"/"&amp;RIGHT("00"&amp;$H35,2)&amp;"/"&amp;RIGHT("00"&amp;$I35,2)))</f>
        <v/>
      </c>
      <c r="K35">
        <f>IF(OR($F35="",$J35="",$J35="نامعتبر"),"",LEFT($J35,4)&amp;MID($J35,6,2)&amp;RIGHT($J35,2)&amp;$N35&amp;"|"&amp;"2"&amp;RIGHT("00000"&amp;30,5))</f>
        <v/>
      </c>
      <c r="L35">
        <f>IF($K35="","",COUNTIFS(LdgSellerA,$F35,LdgKeyA,"&lt;"&amp;$K35)+COUNTIFS(LdgSellerB,$F35,LdgKeyB,"&lt;"&amp;$K35)+1)</f>
        <v/>
      </c>
      <c r="M35">
        <f>IF($L35="","",$F35&amp;"|"&amp;RIGHT("000000"&amp;$L35,6))</f>
        <v/>
      </c>
      <c r="N35">
        <f>IF($F35="","",IF(Sync!$AF35="","0000",IF(AND(ISNUMBER(Sync!$AF35),Sync!$AF35&gt;=0,Sync!$AF35&lt;1),RIGHT("00"&amp;HOUR(Sync!$AF35),2)&amp;RIGHT("00"&amp;MINUTE(Sync!$AF35),2),IFERROR(RIGHT("00"&amp;VALUE(LEFT(Sync!$AF35,FIND(":",Sync!$AF35)-1)),2)&amp;RIGHT("00"&amp;VALUE(MID(Sync!$AF35,FIND(":",Sync!$AF35)+1,2)),2),"0000"))))</f>
        <v/>
      </c>
    </row>
    <row r="36">
      <c r="A36">
        <f>IF(OR(Calc!$E40="",Calc!$E40="نامعتبر",Calc!$G40=""),"",Calc!$G40)</f>
        <v/>
      </c>
      <c r="B36">
        <f>IF($A36="","",LEFT(Calc!$E40,4)&amp;MID(Calc!$E40,6,2)&amp;RIGHT(Calc!$E40,2)&amp;Calc!$Q40&amp;"|"&amp;"1"&amp;RIGHT("00000"&amp;31,5))</f>
        <v/>
      </c>
      <c r="C36">
        <f>IF($B36="","",COUNTIFS(LdgSellerA,$A36,LdgKeyA,"&lt;"&amp;$B36)+COUNTIFS(LdgSellerB,$A36,LdgKeyB,"&lt;"&amp;$B36)+1)</f>
        <v/>
      </c>
      <c r="D36">
        <f>IF($C36="","",$A36&amp;"|"&amp;RIGHT("000000"&amp;$C36,6))</f>
        <v/>
      </c>
      <c r="F36">
        <f>IF(Sync!$AH36="","",IF(LEFT(UPPER(TRIM(Sync!$AH36)),2)="SL",UPPER(TRIM(Sync!$AH36)),""))</f>
        <v/>
      </c>
      <c r="G36">
        <f>IF($F36="","",IF(Sync!$AE36="","",IF(ISNUMBER(Sync!$AE36),IF(AND(Sync!$AE36&gt;=10000101,Sync!$AE36&lt;=99991231),INT(Sync!$AE36/10000),""),IFERROR(VALUE(TRIM(LEFT(Sync!$AE36,FIND("/",Sync!$AE36)-1))),""))))</f>
        <v/>
      </c>
      <c r="H36">
        <f>IF(OR($F36="",$G36=""),"",IF(ISNUMBER(Sync!$AE36),INT(MOD(Sync!$AE36,10000)/100),IFERROR(VALUE(TRIM(LEFT(MID(Sync!$AE36,FIND("/",Sync!$AE36)+1,20),FIND("/",MID(Sync!$AE36,FIND("/",Sync!$AE36)+1,20))-1))),"")))</f>
        <v/>
      </c>
      <c r="I36">
        <f>IF(OR($F36="",$G36=""),"",IF(ISNUMBER(Sync!$AE36),MOD(Sync!$AE36,100),IFERROR(VALUE(TRIM(MID(MID(Sync!$AE36,FIND("/",Sync!$AE36)+1,20),FIND("/",MID(Sync!$AE36,FIND("/",Sync!$AE36)+1,20))+1,20))),"")))</f>
        <v/>
      </c>
      <c r="J36">
        <f>IF($F36="","",IF(OR($G36="",$H36="",$I36="",$G36&lt;1300,$G36&gt;1500,$H36&lt;1,$H36&gt;12,$I36&lt;1,$I36&gt;31),"نامعتبر",RIGHT("0000"&amp;$G36,4)&amp;"/"&amp;RIGHT("00"&amp;$H36,2)&amp;"/"&amp;RIGHT("00"&amp;$I36,2)))</f>
        <v/>
      </c>
      <c r="K36">
        <f>IF(OR($F36="",$J36="",$J36="نامعتبر"),"",LEFT($J36,4)&amp;MID($J36,6,2)&amp;RIGHT($J36,2)&amp;$N36&amp;"|"&amp;"2"&amp;RIGHT("00000"&amp;31,5))</f>
        <v/>
      </c>
      <c r="L36">
        <f>IF($K36="","",COUNTIFS(LdgSellerA,$F36,LdgKeyA,"&lt;"&amp;$K36)+COUNTIFS(LdgSellerB,$F36,LdgKeyB,"&lt;"&amp;$K36)+1)</f>
        <v/>
      </c>
      <c r="M36">
        <f>IF($L36="","",$F36&amp;"|"&amp;RIGHT("000000"&amp;$L36,6))</f>
        <v/>
      </c>
      <c r="N36">
        <f>IF($F36="","",IF(Sync!$AF36="","0000",IF(AND(ISNUMBER(Sync!$AF36),Sync!$AF36&gt;=0,Sync!$AF36&lt;1),RIGHT("00"&amp;HOUR(Sync!$AF36),2)&amp;RIGHT("00"&amp;MINUTE(Sync!$AF36),2),IFERROR(RIGHT("00"&amp;VALUE(LEFT(Sync!$AF36,FIND(":",Sync!$AF36)-1)),2)&amp;RIGHT("00"&amp;VALUE(MID(Sync!$AF36,FIND(":",Sync!$AF36)+1,2)),2),"0000"))))</f>
        <v/>
      </c>
    </row>
    <row r="37">
      <c r="A37">
        <f>IF(OR(Calc!$E41="",Calc!$E41="نامعتبر",Calc!$G41=""),"",Calc!$G41)</f>
        <v/>
      </c>
      <c r="B37">
        <f>IF($A37="","",LEFT(Calc!$E41,4)&amp;MID(Calc!$E41,6,2)&amp;RIGHT(Calc!$E41,2)&amp;Calc!$Q41&amp;"|"&amp;"1"&amp;RIGHT("00000"&amp;32,5))</f>
        <v/>
      </c>
      <c r="C37">
        <f>IF($B37="","",COUNTIFS(LdgSellerA,$A37,LdgKeyA,"&lt;"&amp;$B37)+COUNTIFS(LdgSellerB,$A37,LdgKeyB,"&lt;"&amp;$B37)+1)</f>
        <v/>
      </c>
      <c r="D37">
        <f>IF($C37="","",$A37&amp;"|"&amp;RIGHT("000000"&amp;$C37,6))</f>
        <v/>
      </c>
      <c r="F37">
        <f>IF(Sync!$AH37="","",IF(LEFT(UPPER(TRIM(Sync!$AH37)),2)="SL",UPPER(TRIM(Sync!$AH37)),""))</f>
        <v/>
      </c>
      <c r="G37">
        <f>IF($F37="","",IF(Sync!$AE37="","",IF(ISNUMBER(Sync!$AE37),IF(AND(Sync!$AE37&gt;=10000101,Sync!$AE37&lt;=99991231),INT(Sync!$AE37/10000),""),IFERROR(VALUE(TRIM(LEFT(Sync!$AE37,FIND("/",Sync!$AE37)-1))),""))))</f>
        <v/>
      </c>
      <c r="H37">
        <f>IF(OR($F37="",$G37=""),"",IF(ISNUMBER(Sync!$AE37),INT(MOD(Sync!$AE37,10000)/100),IFERROR(VALUE(TRIM(LEFT(MID(Sync!$AE37,FIND("/",Sync!$AE37)+1,20),FIND("/",MID(Sync!$AE37,FIND("/",Sync!$AE37)+1,20))-1))),"")))</f>
        <v/>
      </c>
      <c r="I37">
        <f>IF(OR($F37="",$G37=""),"",IF(ISNUMBER(Sync!$AE37),MOD(Sync!$AE37,100),IFERROR(VALUE(TRIM(MID(MID(Sync!$AE37,FIND("/",Sync!$AE37)+1,20),FIND("/",MID(Sync!$AE37,FIND("/",Sync!$AE37)+1,20))+1,20))),"")))</f>
        <v/>
      </c>
      <c r="J37">
        <f>IF($F37="","",IF(OR($G37="",$H37="",$I37="",$G37&lt;1300,$G37&gt;1500,$H37&lt;1,$H37&gt;12,$I37&lt;1,$I37&gt;31),"نامعتبر",RIGHT("0000"&amp;$G37,4)&amp;"/"&amp;RIGHT("00"&amp;$H37,2)&amp;"/"&amp;RIGHT("00"&amp;$I37,2)))</f>
        <v/>
      </c>
      <c r="K37">
        <f>IF(OR($F37="",$J37="",$J37="نامعتبر"),"",LEFT($J37,4)&amp;MID($J37,6,2)&amp;RIGHT($J37,2)&amp;$N37&amp;"|"&amp;"2"&amp;RIGHT("00000"&amp;32,5))</f>
        <v/>
      </c>
      <c r="L37">
        <f>IF($K37="","",COUNTIFS(LdgSellerA,$F37,LdgKeyA,"&lt;"&amp;$K37)+COUNTIFS(LdgSellerB,$F37,LdgKeyB,"&lt;"&amp;$K37)+1)</f>
        <v/>
      </c>
      <c r="M37">
        <f>IF($L37="","",$F37&amp;"|"&amp;RIGHT("000000"&amp;$L37,6))</f>
        <v/>
      </c>
      <c r="N37">
        <f>IF($F37="","",IF(Sync!$AF37="","0000",IF(AND(ISNUMBER(Sync!$AF37),Sync!$AF37&gt;=0,Sync!$AF37&lt;1),RIGHT("00"&amp;HOUR(Sync!$AF37),2)&amp;RIGHT("00"&amp;MINUTE(Sync!$AF37),2),IFERROR(RIGHT("00"&amp;VALUE(LEFT(Sync!$AF37,FIND(":",Sync!$AF37)-1)),2)&amp;RIGHT("00"&amp;VALUE(MID(Sync!$AF37,FIND(":",Sync!$AF37)+1,2)),2),"0000"))))</f>
        <v/>
      </c>
    </row>
    <row r="38">
      <c r="A38">
        <f>IF(OR(Calc!$E42="",Calc!$E42="نامعتبر",Calc!$G42=""),"",Calc!$G42)</f>
        <v/>
      </c>
      <c r="B38">
        <f>IF($A38="","",LEFT(Calc!$E42,4)&amp;MID(Calc!$E42,6,2)&amp;RIGHT(Calc!$E42,2)&amp;Calc!$Q42&amp;"|"&amp;"1"&amp;RIGHT("00000"&amp;33,5))</f>
        <v/>
      </c>
      <c r="C38">
        <f>IF($B38="","",COUNTIFS(LdgSellerA,$A38,LdgKeyA,"&lt;"&amp;$B38)+COUNTIFS(LdgSellerB,$A38,LdgKeyB,"&lt;"&amp;$B38)+1)</f>
        <v/>
      </c>
      <c r="D38">
        <f>IF($C38="","",$A38&amp;"|"&amp;RIGHT("000000"&amp;$C38,6))</f>
        <v/>
      </c>
      <c r="F38">
        <f>IF(Sync!$AH38="","",IF(LEFT(UPPER(TRIM(Sync!$AH38)),2)="SL",UPPER(TRIM(Sync!$AH38)),""))</f>
        <v/>
      </c>
      <c r="G38">
        <f>IF($F38="","",IF(Sync!$AE38="","",IF(ISNUMBER(Sync!$AE38),IF(AND(Sync!$AE38&gt;=10000101,Sync!$AE38&lt;=99991231),INT(Sync!$AE38/10000),""),IFERROR(VALUE(TRIM(LEFT(Sync!$AE38,FIND("/",Sync!$AE38)-1))),""))))</f>
        <v/>
      </c>
      <c r="H38">
        <f>IF(OR($F38="",$G38=""),"",IF(ISNUMBER(Sync!$AE38),INT(MOD(Sync!$AE38,10000)/100),IFERROR(VALUE(TRIM(LEFT(MID(Sync!$AE38,FIND("/",Sync!$AE38)+1,20),FIND("/",MID(Sync!$AE38,FIND("/",Sync!$AE38)+1,20))-1))),"")))</f>
        <v/>
      </c>
      <c r="I38">
        <f>IF(OR($F38="",$G38=""),"",IF(ISNUMBER(Sync!$AE38),MOD(Sync!$AE38,100),IFERROR(VALUE(TRIM(MID(MID(Sync!$AE38,FIND("/",Sync!$AE38)+1,20),FIND("/",MID(Sync!$AE38,FIND("/",Sync!$AE38)+1,20))+1,20))),"")))</f>
        <v/>
      </c>
      <c r="J38">
        <f>IF($F38="","",IF(OR($G38="",$H38="",$I38="",$G38&lt;1300,$G38&gt;1500,$H38&lt;1,$H38&gt;12,$I38&lt;1,$I38&gt;31),"نامعتبر",RIGHT("0000"&amp;$G38,4)&amp;"/"&amp;RIGHT("00"&amp;$H38,2)&amp;"/"&amp;RIGHT("00"&amp;$I38,2)))</f>
        <v/>
      </c>
      <c r="K38">
        <f>IF(OR($F38="",$J38="",$J38="نامعتبر"),"",LEFT($J38,4)&amp;MID($J38,6,2)&amp;RIGHT($J38,2)&amp;$N38&amp;"|"&amp;"2"&amp;RIGHT("00000"&amp;33,5))</f>
        <v/>
      </c>
      <c r="L38">
        <f>IF($K38="","",COUNTIFS(LdgSellerA,$F38,LdgKeyA,"&lt;"&amp;$K38)+COUNTIFS(LdgSellerB,$F38,LdgKeyB,"&lt;"&amp;$K38)+1)</f>
        <v/>
      </c>
      <c r="M38">
        <f>IF($L38="","",$F38&amp;"|"&amp;RIGHT("000000"&amp;$L38,6))</f>
        <v/>
      </c>
      <c r="N38">
        <f>IF($F38="","",IF(Sync!$AF38="","0000",IF(AND(ISNUMBER(Sync!$AF38),Sync!$AF38&gt;=0,Sync!$AF38&lt;1),RIGHT("00"&amp;HOUR(Sync!$AF38),2)&amp;RIGHT("00"&amp;MINUTE(Sync!$AF38),2),IFERROR(RIGHT("00"&amp;VALUE(LEFT(Sync!$AF38,FIND(":",Sync!$AF38)-1)),2)&amp;RIGHT("00"&amp;VALUE(MID(Sync!$AF38,FIND(":",Sync!$AF38)+1,2)),2),"0000"))))</f>
        <v/>
      </c>
    </row>
    <row r="39">
      <c r="A39">
        <f>IF(OR(Calc!$E43="",Calc!$E43="نامعتبر",Calc!$G43=""),"",Calc!$G43)</f>
        <v/>
      </c>
      <c r="B39">
        <f>IF($A39="","",LEFT(Calc!$E43,4)&amp;MID(Calc!$E43,6,2)&amp;RIGHT(Calc!$E43,2)&amp;Calc!$Q43&amp;"|"&amp;"1"&amp;RIGHT("00000"&amp;34,5))</f>
        <v/>
      </c>
      <c r="C39">
        <f>IF($B39="","",COUNTIFS(LdgSellerA,$A39,LdgKeyA,"&lt;"&amp;$B39)+COUNTIFS(LdgSellerB,$A39,LdgKeyB,"&lt;"&amp;$B39)+1)</f>
        <v/>
      </c>
      <c r="D39">
        <f>IF($C39="","",$A39&amp;"|"&amp;RIGHT("000000"&amp;$C39,6))</f>
        <v/>
      </c>
      <c r="F39">
        <f>IF(Sync!$AH39="","",IF(LEFT(UPPER(TRIM(Sync!$AH39)),2)="SL",UPPER(TRIM(Sync!$AH39)),""))</f>
        <v/>
      </c>
      <c r="G39">
        <f>IF($F39="","",IF(Sync!$AE39="","",IF(ISNUMBER(Sync!$AE39),IF(AND(Sync!$AE39&gt;=10000101,Sync!$AE39&lt;=99991231),INT(Sync!$AE39/10000),""),IFERROR(VALUE(TRIM(LEFT(Sync!$AE39,FIND("/",Sync!$AE39)-1))),""))))</f>
        <v/>
      </c>
      <c r="H39">
        <f>IF(OR($F39="",$G39=""),"",IF(ISNUMBER(Sync!$AE39),INT(MOD(Sync!$AE39,10000)/100),IFERROR(VALUE(TRIM(LEFT(MID(Sync!$AE39,FIND("/",Sync!$AE39)+1,20),FIND("/",MID(Sync!$AE39,FIND("/",Sync!$AE39)+1,20))-1))),"")))</f>
        <v/>
      </c>
      <c r="I39">
        <f>IF(OR($F39="",$G39=""),"",IF(ISNUMBER(Sync!$AE39),MOD(Sync!$AE39,100),IFERROR(VALUE(TRIM(MID(MID(Sync!$AE39,FIND("/",Sync!$AE39)+1,20),FIND("/",MID(Sync!$AE39,FIND("/",Sync!$AE39)+1,20))+1,20))),"")))</f>
        <v/>
      </c>
      <c r="J39">
        <f>IF($F39="","",IF(OR($G39="",$H39="",$I39="",$G39&lt;1300,$G39&gt;1500,$H39&lt;1,$H39&gt;12,$I39&lt;1,$I39&gt;31),"نامعتبر",RIGHT("0000"&amp;$G39,4)&amp;"/"&amp;RIGHT("00"&amp;$H39,2)&amp;"/"&amp;RIGHT("00"&amp;$I39,2)))</f>
        <v/>
      </c>
      <c r="K39">
        <f>IF(OR($F39="",$J39="",$J39="نامعتبر"),"",LEFT($J39,4)&amp;MID($J39,6,2)&amp;RIGHT($J39,2)&amp;$N39&amp;"|"&amp;"2"&amp;RIGHT("00000"&amp;34,5))</f>
        <v/>
      </c>
      <c r="L39">
        <f>IF($K39="","",COUNTIFS(LdgSellerA,$F39,LdgKeyA,"&lt;"&amp;$K39)+COUNTIFS(LdgSellerB,$F39,LdgKeyB,"&lt;"&amp;$K39)+1)</f>
        <v/>
      </c>
      <c r="M39">
        <f>IF($L39="","",$F39&amp;"|"&amp;RIGHT("000000"&amp;$L39,6))</f>
        <v/>
      </c>
      <c r="N39">
        <f>IF($F39="","",IF(Sync!$AF39="","0000",IF(AND(ISNUMBER(Sync!$AF39),Sync!$AF39&gt;=0,Sync!$AF39&lt;1),RIGHT("00"&amp;HOUR(Sync!$AF39),2)&amp;RIGHT("00"&amp;MINUTE(Sync!$AF39),2),IFERROR(RIGHT("00"&amp;VALUE(LEFT(Sync!$AF39,FIND(":",Sync!$AF39)-1)),2)&amp;RIGHT("00"&amp;VALUE(MID(Sync!$AF39,FIND(":",Sync!$AF39)+1,2)),2),"0000"))))</f>
        <v/>
      </c>
    </row>
    <row r="40">
      <c r="A40">
        <f>IF(OR(Calc!$E44="",Calc!$E44="نامعتبر",Calc!$G44=""),"",Calc!$G44)</f>
        <v/>
      </c>
      <c r="B40">
        <f>IF($A40="","",LEFT(Calc!$E44,4)&amp;MID(Calc!$E44,6,2)&amp;RIGHT(Calc!$E44,2)&amp;Calc!$Q44&amp;"|"&amp;"1"&amp;RIGHT("00000"&amp;35,5))</f>
        <v/>
      </c>
      <c r="C40">
        <f>IF($B40="","",COUNTIFS(LdgSellerA,$A40,LdgKeyA,"&lt;"&amp;$B40)+COUNTIFS(LdgSellerB,$A40,LdgKeyB,"&lt;"&amp;$B40)+1)</f>
        <v/>
      </c>
      <c r="D40">
        <f>IF($C40="","",$A40&amp;"|"&amp;RIGHT("000000"&amp;$C40,6))</f>
        <v/>
      </c>
      <c r="F40">
        <f>IF(Sync!$AH40="","",IF(LEFT(UPPER(TRIM(Sync!$AH40)),2)="SL",UPPER(TRIM(Sync!$AH40)),""))</f>
        <v/>
      </c>
      <c r="G40">
        <f>IF($F40="","",IF(Sync!$AE40="","",IF(ISNUMBER(Sync!$AE40),IF(AND(Sync!$AE40&gt;=10000101,Sync!$AE40&lt;=99991231),INT(Sync!$AE40/10000),""),IFERROR(VALUE(TRIM(LEFT(Sync!$AE40,FIND("/",Sync!$AE40)-1))),""))))</f>
        <v/>
      </c>
      <c r="H40">
        <f>IF(OR($F40="",$G40=""),"",IF(ISNUMBER(Sync!$AE40),INT(MOD(Sync!$AE40,10000)/100),IFERROR(VALUE(TRIM(LEFT(MID(Sync!$AE40,FIND("/",Sync!$AE40)+1,20),FIND("/",MID(Sync!$AE40,FIND("/",Sync!$AE40)+1,20))-1))),"")))</f>
        <v/>
      </c>
      <c r="I40">
        <f>IF(OR($F40="",$G40=""),"",IF(ISNUMBER(Sync!$AE40),MOD(Sync!$AE40,100),IFERROR(VALUE(TRIM(MID(MID(Sync!$AE40,FIND("/",Sync!$AE40)+1,20),FIND("/",MID(Sync!$AE40,FIND("/",Sync!$AE40)+1,20))+1,20))),"")))</f>
        <v/>
      </c>
      <c r="J40">
        <f>IF($F40="","",IF(OR($G40="",$H40="",$I40="",$G40&lt;1300,$G40&gt;1500,$H40&lt;1,$H40&gt;12,$I40&lt;1,$I40&gt;31),"نامعتبر",RIGHT("0000"&amp;$G40,4)&amp;"/"&amp;RIGHT("00"&amp;$H40,2)&amp;"/"&amp;RIGHT("00"&amp;$I40,2)))</f>
        <v/>
      </c>
      <c r="K40">
        <f>IF(OR($F40="",$J40="",$J40="نامعتبر"),"",LEFT($J40,4)&amp;MID($J40,6,2)&amp;RIGHT($J40,2)&amp;$N40&amp;"|"&amp;"2"&amp;RIGHT("00000"&amp;35,5))</f>
        <v/>
      </c>
      <c r="L40">
        <f>IF($K40="","",COUNTIFS(LdgSellerA,$F40,LdgKeyA,"&lt;"&amp;$K40)+COUNTIFS(LdgSellerB,$F40,LdgKeyB,"&lt;"&amp;$K40)+1)</f>
        <v/>
      </c>
      <c r="M40">
        <f>IF($L40="","",$F40&amp;"|"&amp;RIGHT("000000"&amp;$L40,6))</f>
        <v/>
      </c>
      <c r="N40">
        <f>IF($F40="","",IF(Sync!$AF40="","0000",IF(AND(ISNUMBER(Sync!$AF40),Sync!$AF40&gt;=0,Sync!$AF40&lt;1),RIGHT("00"&amp;HOUR(Sync!$AF40),2)&amp;RIGHT("00"&amp;MINUTE(Sync!$AF40),2),IFERROR(RIGHT("00"&amp;VALUE(LEFT(Sync!$AF40,FIND(":",Sync!$AF40)-1)),2)&amp;RIGHT("00"&amp;VALUE(MID(Sync!$AF40,FIND(":",Sync!$AF40)+1,2)),2),"0000"))))</f>
        <v/>
      </c>
    </row>
    <row r="41">
      <c r="A41">
        <f>IF(OR(Calc!$E45="",Calc!$E45="نامعتبر",Calc!$G45=""),"",Calc!$G45)</f>
        <v/>
      </c>
      <c r="B41">
        <f>IF($A41="","",LEFT(Calc!$E45,4)&amp;MID(Calc!$E45,6,2)&amp;RIGHT(Calc!$E45,2)&amp;Calc!$Q45&amp;"|"&amp;"1"&amp;RIGHT("00000"&amp;36,5))</f>
        <v/>
      </c>
      <c r="C41">
        <f>IF($B41="","",COUNTIFS(LdgSellerA,$A41,LdgKeyA,"&lt;"&amp;$B41)+COUNTIFS(LdgSellerB,$A41,LdgKeyB,"&lt;"&amp;$B41)+1)</f>
        <v/>
      </c>
      <c r="D41">
        <f>IF($C41="","",$A41&amp;"|"&amp;RIGHT("000000"&amp;$C41,6))</f>
        <v/>
      </c>
      <c r="F41">
        <f>IF(Sync!$AH41="","",IF(LEFT(UPPER(TRIM(Sync!$AH41)),2)="SL",UPPER(TRIM(Sync!$AH41)),""))</f>
        <v/>
      </c>
      <c r="G41">
        <f>IF($F41="","",IF(Sync!$AE41="","",IF(ISNUMBER(Sync!$AE41),IF(AND(Sync!$AE41&gt;=10000101,Sync!$AE41&lt;=99991231),INT(Sync!$AE41/10000),""),IFERROR(VALUE(TRIM(LEFT(Sync!$AE41,FIND("/",Sync!$AE41)-1))),""))))</f>
        <v/>
      </c>
      <c r="H41">
        <f>IF(OR($F41="",$G41=""),"",IF(ISNUMBER(Sync!$AE41),INT(MOD(Sync!$AE41,10000)/100),IFERROR(VALUE(TRIM(LEFT(MID(Sync!$AE41,FIND("/",Sync!$AE41)+1,20),FIND("/",MID(Sync!$AE41,FIND("/",Sync!$AE41)+1,20))-1))),"")))</f>
        <v/>
      </c>
      <c r="I41">
        <f>IF(OR($F41="",$G41=""),"",IF(ISNUMBER(Sync!$AE41),MOD(Sync!$AE41,100),IFERROR(VALUE(TRIM(MID(MID(Sync!$AE41,FIND("/",Sync!$AE41)+1,20),FIND("/",MID(Sync!$AE41,FIND("/",Sync!$AE41)+1,20))+1,20))),"")))</f>
        <v/>
      </c>
      <c r="J41">
        <f>IF($F41="","",IF(OR($G41="",$H41="",$I41="",$G41&lt;1300,$G41&gt;1500,$H41&lt;1,$H41&gt;12,$I41&lt;1,$I41&gt;31),"نامعتبر",RIGHT("0000"&amp;$G41,4)&amp;"/"&amp;RIGHT("00"&amp;$H41,2)&amp;"/"&amp;RIGHT("00"&amp;$I41,2)))</f>
        <v/>
      </c>
      <c r="K41">
        <f>IF(OR($F41="",$J41="",$J41="نامعتبر"),"",LEFT($J41,4)&amp;MID($J41,6,2)&amp;RIGHT($J41,2)&amp;$N41&amp;"|"&amp;"2"&amp;RIGHT("00000"&amp;36,5))</f>
        <v/>
      </c>
      <c r="L41">
        <f>IF($K41="","",COUNTIFS(LdgSellerA,$F41,LdgKeyA,"&lt;"&amp;$K41)+COUNTIFS(LdgSellerB,$F41,LdgKeyB,"&lt;"&amp;$K41)+1)</f>
        <v/>
      </c>
      <c r="M41">
        <f>IF($L41="","",$F41&amp;"|"&amp;RIGHT("000000"&amp;$L41,6))</f>
        <v/>
      </c>
      <c r="N41">
        <f>IF($F41="","",IF(Sync!$AF41="","0000",IF(AND(ISNUMBER(Sync!$AF41),Sync!$AF41&gt;=0,Sync!$AF41&lt;1),RIGHT("00"&amp;HOUR(Sync!$AF41),2)&amp;RIGHT("00"&amp;MINUTE(Sync!$AF41),2),IFERROR(RIGHT("00"&amp;VALUE(LEFT(Sync!$AF41,FIND(":",Sync!$AF41)-1)),2)&amp;RIGHT("00"&amp;VALUE(MID(Sync!$AF41,FIND(":",Sync!$AF41)+1,2)),2),"0000"))))</f>
        <v/>
      </c>
    </row>
    <row r="42">
      <c r="A42">
        <f>IF(OR(Calc!$E46="",Calc!$E46="نامعتبر",Calc!$G46=""),"",Calc!$G46)</f>
        <v/>
      </c>
      <c r="B42">
        <f>IF($A42="","",LEFT(Calc!$E46,4)&amp;MID(Calc!$E46,6,2)&amp;RIGHT(Calc!$E46,2)&amp;Calc!$Q46&amp;"|"&amp;"1"&amp;RIGHT("00000"&amp;37,5))</f>
        <v/>
      </c>
      <c r="C42">
        <f>IF($B42="","",COUNTIFS(LdgSellerA,$A42,LdgKeyA,"&lt;"&amp;$B42)+COUNTIFS(LdgSellerB,$A42,LdgKeyB,"&lt;"&amp;$B42)+1)</f>
        <v/>
      </c>
      <c r="D42">
        <f>IF($C42="","",$A42&amp;"|"&amp;RIGHT("000000"&amp;$C42,6))</f>
        <v/>
      </c>
      <c r="F42">
        <f>IF(Sync!$AH42="","",IF(LEFT(UPPER(TRIM(Sync!$AH42)),2)="SL",UPPER(TRIM(Sync!$AH42)),""))</f>
        <v/>
      </c>
      <c r="G42">
        <f>IF($F42="","",IF(Sync!$AE42="","",IF(ISNUMBER(Sync!$AE42),IF(AND(Sync!$AE42&gt;=10000101,Sync!$AE42&lt;=99991231),INT(Sync!$AE42/10000),""),IFERROR(VALUE(TRIM(LEFT(Sync!$AE42,FIND("/",Sync!$AE42)-1))),""))))</f>
        <v/>
      </c>
      <c r="H42">
        <f>IF(OR($F42="",$G42=""),"",IF(ISNUMBER(Sync!$AE42),INT(MOD(Sync!$AE42,10000)/100),IFERROR(VALUE(TRIM(LEFT(MID(Sync!$AE42,FIND("/",Sync!$AE42)+1,20),FIND("/",MID(Sync!$AE42,FIND("/",Sync!$AE42)+1,20))-1))),"")))</f>
        <v/>
      </c>
      <c r="I42">
        <f>IF(OR($F42="",$G42=""),"",IF(ISNUMBER(Sync!$AE42),MOD(Sync!$AE42,100),IFERROR(VALUE(TRIM(MID(MID(Sync!$AE42,FIND("/",Sync!$AE42)+1,20),FIND("/",MID(Sync!$AE42,FIND("/",Sync!$AE42)+1,20))+1,20))),"")))</f>
        <v/>
      </c>
      <c r="J42">
        <f>IF($F42="","",IF(OR($G42="",$H42="",$I42="",$G42&lt;1300,$G42&gt;1500,$H42&lt;1,$H42&gt;12,$I42&lt;1,$I42&gt;31),"نامعتبر",RIGHT("0000"&amp;$G42,4)&amp;"/"&amp;RIGHT("00"&amp;$H42,2)&amp;"/"&amp;RIGHT("00"&amp;$I42,2)))</f>
        <v/>
      </c>
      <c r="K42">
        <f>IF(OR($F42="",$J42="",$J42="نامعتبر"),"",LEFT($J42,4)&amp;MID($J42,6,2)&amp;RIGHT($J42,2)&amp;$N42&amp;"|"&amp;"2"&amp;RIGHT("00000"&amp;37,5))</f>
        <v/>
      </c>
      <c r="L42">
        <f>IF($K42="","",COUNTIFS(LdgSellerA,$F42,LdgKeyA,"&lt;"&amp;$K42)+COUNTIFS(LdgSellerB,$F42,LdgKeyB,"&lt;"&amp;$K42)+1)</f>
        <v/>
      </c>
      <c r="M42">
        <f>IF($L42="","",$F42&amp;"|"&amp;RIGHT("000000"&amp;$L42,6))</f>
        <v/>
      </c>
      <c r="N42">
        <f>IF($F42="","",IF(Sync!$AF42="","0000",IF(AND(ISNUMBER(Sync!$AF42),Sync!$AF42&gt;=0,Sync!$AF42&lt;1),RIGHT("00"&amp;HOUR(Sync!$AF42),2)&amp;RIGHT("00"&amp;MINUTE(Sync!$AF42),2),IFERROR(RIGHT("00"&amp;VALUE(LEFT(Sync!$AF42,FIND(":",Sync!$AF42)-1)),2)&amp;RIGHT("00"&amp;VALUE(MID(Sync!$AF42,FIND(":",Sync!$AF42)+1,2)),2),"0000"))))</f>
        <v/>
      </c>
    </row>
    <row r="43">
      <c r="A43">
        <f>IF(OR(Calc!$E47="",Calc!$E47="نامعتبر",Calc!$G47=""),"",Calc!$G47)</f>
        <v/>
      </c>
      <c r="B43">
        <f>IF($A43="","",LEFT(Calc!$E47,4)&amp;MID(Calc!$E47,6,2)&amp;RIGHT(Calc!$E47,2)&amp;Calc!$Q47&amp;"|"&amp;"1"&amp;RIGHT("00000"&amp;38,5))</f>
        <v/>
      </c>
      <c r="C43">
        <f>IF($B43="","",COUNTIFS(LdgSellerA,$A43,LdgKeyA,"&lt;"&amp;$B43)+COUNTIFS(LdgSellerB,$A43,LdgKeyB,"&lt;"&amp;$B43)+1)</f>
        <v/>
      </c>
      <c r="D43">
        <f>IF($C43="","",$A43&amp;"|"&amp;RIGHT("000000"&amp;$C43,6))</f>
        <v/>
      </c>
      <c r="F43">
        <f>IF(Sync!$AH43="","",IF(LEFT(UPPER(TRIM(Sync!$AH43)),2)="SL",UPPER(TRIM(Sync!$AH43)),""))</f>
        <v/>
      </c>
      <c r="G43">
        <f>IF($F43="","",IF(Sync!$AE43="","",IF(ISNUMBER(Sync!$AE43),IF(AND(Sync!$AE43&gt;=10000101,Sync!$AE43&lt;=99991231),INT(Sync!$AE43/10000),""),IFERROR(VALUE(TRIM(LEFT(Sync!$AE43,FIND("/",Sync!$AE43)-1))),""))))</f>
        <v/>
      </c>
      <c r="H43">
        <f>IF(OR($F43="",$G43=""),"",IF(ISNUMBER(Sync!$AE43),INT(MOD(Sync!$AE43,10000)/100),IFERROR(VALUE(TRIM(LEFT(MID(Sync!$AE43,FIND("/",Sync!$AE43)+1,20),FIND("/",MID(Sync!$AE43,FIND("/",Sync!$AE43)+1,20))-1))),"")))</f>
        <v/>
      </c>
      <c r="I43">
        <f>IF(OR($F43="",$G43=""),"",IF(ISNUMBER(Sync!$AE43),MOD(Sync!$AE43,100),IFERROR(VALUE(TRIM(MID(MID(Sync!$AE43,FIND("/",Sync!$AE43)+1,20),FIND("/",MID(Sync!$AE43,FIND("/",Sync!$AE43)+1,20))+1,20))),"")))</f>
        <v/>
      </c>
      <c r="J43">
        <f>IF($F43="","",IF(OR($G43="",$H43="",$I43="",$G43&lt;1300,$G43&gt;1500,$H43&lt;1,$H43&gt;12,$I43&lt;1,$I43&gt;31),"نامعتبر",RIGHT("0000"&amp;$G43,4)&amp;"/"&amp;RIGHT("00"&amp;$H43,2)&amp;"/"&amp;RIGHT("00"&amp;$I43,2)))</f>
        <v/>
      </c>
      <c r="K43">
        <f>IF(OR($F43="",$J43="",$J43="نامعتبر"),"",LEFT($J43,4)&amp;MID($J43,6,2)&amp;RIGHT($J43,2)&amp;$N43&amp;"|"&amp;"2"&amp;RIGHT("00000"&amp;38,5))</f>
        <v/>
      </c>
      <c r="L43">
        <f>IF($K43="","",COUNTIFS(LdgSellerA,$F43,LdgKeyA,"&lt;"&amp;$K43)+COUNTIFS(LdgSellerB,$F43,LdgKeyB,"&lt;"&amp;$K43)+1)</f>
        <v/>
      </c>
      <c r="M43">
        <f>IF($L43="","",$F43&amp;"|"&amp;RIGHT("000000"&amp;$L43,6))</f>
        <v/>
      </c>
      <c r="N43">
        <f>IF($F43="","",IF(Sync!$AF43="","0000",IF(AND(ISNUMBER(Sync!$AF43),Sync!$AF43&gt;=0,Sync!$AF43&lt;1),RIGHT("00"&amp;HOUR(Sync!$AF43),2)&amp;RIGHT("00"&amp;MINUTE(Sync!$AF43),2),IFERROR(RIGHT("00"&amp;VALUE(LEFT(Sync!$AF43,FIND(":",Sync!$AF43)-1)),2)&amp;RIGHT("00"&amp;VALUE(MID(Sync!$AF43,FIND(":",Sync!$AF43)+1,2)),2),"0000"))))</f>
        <v/>
      </c>
    </row>
    <row r="44">
      <c r="A44">
        <f>IF(OR(Calc!$E48="",Calc!$E48="نامعتبر",Calc!$G48=""),"",Calc!$G48)</f>
        <v/>
      </c>
      <c r="B44">
        <f>IF($A44="","",LEFT(Calc!$E48,4)&amp;MID(Calc!$E48,6,2)&amp;RIGHT(Calc!$E48,2)&amp;Calc!$Q48&amp;"|"&amp;"1"&amp;RIGHT("00000"&amp;39,5))</f>
        <v/>
      </c>
      <c r="C44">
        <f>IF($B44="","",COUNTIFS(LdgSellerA,$A44,LdgKeyA,"&lt;"&amp;$B44)+COUNTIFS(LdgSellerB,$A44,LdgKeyB,"&lt;"&amp;$B44)+1)</f>
        <v/>
      </c>
      <c r="D44">
        <f>IF($C44="","",$A44&amp;"|"&amp;RIGHT("000000"&amp;$C44,6))</f>
        <v/>
      </c>
      <c r="F44">
        <f>IF(Sync!$AH44="","",IF(LEFT(UPPER(TRIM(Sync!$AH44)),2)="SL",UPPER(TRIM(Sync!$AH44)),""))</f>
        <v/>
      </c>
      <c r="G44">
        <f>IF($F44="","",IF(Sync!$AE44="","",IF(ISNUMBER(Sync!$AE44),IF(AND(Sync!$AE44&gt;=10000101,Sync!$AE44&lt;=99991231),INT(Sync!$AE44/10000),""),IFERROR(VALUE(TRIM(LEFT(Sync!$AE44,FIND("/",Sync!$AE44)-1))),""))))</f>
        <v/>
      </c>
      <c r="H44">
        <f>IF(OR($F44="",$G44=""),"",IF(ISNUMBER(Sync!$AE44),INT(MOD(Sync!$AE44,10000)/100),IFERROR(VALUE(TRIM(LEFT(MID(Sync!$AE44,FIND("/",Sync!$AE44)+1,20),FIND("/",MID(Sync!$AE44,FIND("/",Sync!$AE44)+1,20))-1))),"")))</f>
        <v/>
      </c>
      <c r="I44">
        <f>IF(OR($F44="",$G44=""),"",IF(ISNUMBER(Sync!$AE44),MOD(Sync!$AE44,100),IFERROR(VALUE(TRIM(MID(MID(Sync!$AE44,FIND("/",Sync!$AE44)+1,20),FIND("/",MID(Sync!$AE44,FIND("/",Sync!$AE44)+1,20))+1,20))),"")))</f>
        <v/>
      </c>
      <c r="J44">
        <f>IF($F44="","",IF(OR($G44="",$H44="",$I44="",$G44&lt;1300,$G44&gt;1500,$H44&lt;1,$H44&gt;12,$I44&lt;1,$I44&gt;31),"نامعتبر",RIGHT("0000"&amp;$G44,4)&amp;"/"&amp;RIGHT("00"&amp;$H44,2)&amp;"/"&amp;RIGHT("00"&amp;$I44,2)))</f>
        <v/>
      </c>
      <c r="K44">
        <f>IF(OR($F44="",$J44="",$J44="نامعتبر"),"",LEFT($J44,4)&amp;MID($J44,6,2)&amp;RIGHT($J44,2)&amp;$N44&amp;"|"&amp;"2"&amp;RIGHT("00000"&amp;39,5))</f>
        <v/>
      </c>
      <c r="L44">
        <f>IF($K44="","",COUNTIFS(LdgSellerA,$F44,LdgKeyA,"&lt;"&amp;$K44)+COUNTIFS(LdgSellerB,$F44,LdgKeyB,"&lt;"&amp;$K44)+1)</f>
        <v/>
      </c>
      <c r="M44">
        <f>IF($L44="","",$F44&amp;"|"&amp;RIGHT("000000"&amp;$L44,6))</f>
        <v/>
      </c>
      <c r="N44">
        <f>IF($F44="","",IF(Sync!$AF44="","0000",IF(AND(ISNUMBER(Sync!$AF44),Sync!$AF44&gt;=0,Sync!$AF44&lt;1),RIGHT("00"&amp;HOUR(Sync!$AF44),2)&amp;RIGHT("00"&amp;MINUTE(Sync!$AF44),2),IFERROR(RIGHT("00"&amp;VALUE(LEFT(Sync!$AF44,FIND(":",Sync!$AF44)-1)),2)&amp;RIGHT("00"&amp;VALUE(MID(Sync!$AF44,FIND(":",Sync!$AF44)+1,2)),2),"0000"))))</f>
        <v/>
      </c>
    </row>
    <row r="45">
      <c r="A45">
        <f>IF(OR(Calc!$E49="",Calc!$E49="نامعتبر",Calc!$G49=""),"",Calc!$G49)</f>
        <v/>
      </c>
      <c r="B45">
        <f>IF($A45="","",LEFT(Calc!$E49,4)&amp;MID(Calc!$E49,6,2)&amp;RIGHT(Calc!$E49,2)&amp;Calc!$Q49&amp;"|"&amp;"1"&amp;RIGHT("00000"&amp;40,5))</f>
        <v/>
      </c>
      <c r="C45">
        <f>IF($B45="","",COUNTIFS(LdgSellerA,$A45,LdgKeyA,"&lt;"&amp;$B45)+COUNTIFS(LdgSellerB,$A45,LdgKeyB,"&lt;"&amp;$B45)+1)</f>
        <v/>
      </c>
      <c r="D45">
        <f>IF($C45="","",$A45&amp;"|"&amp;RIGHT("000000"&amp;$C45,6))</f>
        <v/>
      </c>
      <c r="F45">
        <f>IF(Sync!$AH45="","",IF(LEFT(UPPER(TRIM(Sync!$AH45)),2)="SL",UPPER(TRIM(Sync!$AH45)),""))</f>
        <v/>
      </c>
      <c r="G45">
        <f>IF($F45="","",IF(Sync!$AE45="","",IF(ISNUMBER(Sync!$AE45),IF(AND(Sync!$AE45&gt;=10000101,Sync!$AE45&lt;=99991231),INT(Sync!$AE45/10000),""),IFERROR(VALUE(TRIM(LEFT(Sync!$AE45,FIND("/",Sync!$AE45)-1))),""))))</f>
        <v/>
      </c>
      <c r="H45">
        <f>IF(OR($F45="",$G45=""),"",IF(ISNUMBER(Sync!$AE45),INT(MOD(Sync!$AE45,10000)/100),IFERROR(VALUE(TRIM(LEFT(MID(Sync!$AE45,FIND("/",Sync!$AE45)+1,20),FIND("/",MID(Sync!$AE45,FIND("/",Sync!$AE45)+1,20))-1))),"")))</f>
        <v/>
      </c>
      <c r="I45">
        <f>IF(OR($F45="",$G45=""),"",IF(ISNUMBER(Sync!$AE45),MOD(Sync!$AE45,100),IFERROR(VALUE(TRIM(MID(MID(Sync!$AE45,FIND("/",Sync!$AE45)+1,20),FIND("/",MID(Sync!$AE45,FIND("/",Sync!$AE45)+1,20))+1,20))),"")))</f>
        <v/>
      </c>
      <c r="J45">
        <f>IF($F45="","",IF(OR($G45="",$H45="",$I45="",$G45&lt;1300,$G45&gt;1500,$H45&lt;1,$H45&gt;12,$I45&lt;1,$I45&gt;31),"نامعتبر",RIGHT("0000"&amp;$G45,4)&amp;"/"&amp;RIGHT("00"&amp;$H45,2)&amp;"/"&amp;RIGHT("00"&amp;$I45,2)))</f>
        <v/>
      </c>
      <c r="K45">
        <f>IF(OR($F45="",$J45="",$J45="نامعتبر"),"",LEFT($J45,4)&amp;MID($J45,6,2)&amp;RIGHT($J45,2)&amp;$N45&amp;"|"&amp;"2"&amp;RIGHT("00000"&amp;40,5))</f>
        <v/>
      </c>
      <c r="L45">
        <f>IF($K45="","",COUNTIFS(LdgSellerA,$F45,LdgKeyA,"&lt;"&amp;$K45)+COUNTIFS(LdgSellerB,$F45,LdgKeyB,"&lt;"&amp;$K45)+1)</f>
        <v/>
      </c>
      <c r="M45">
        <f>IF($L45="","",$F45&amp;"|"&amp;RIGHT("000000"&amp;$L45,6))</f>
        <v/>
      </c>
      <c r="N45">
        <f>IF($F45="","",IF(Sync!$AF45="","0000",IF(AND(ISNUMBER(Sync!$AF45),Sync!$AF45&gt;=0,Sync!$AF45&lt;1),RIGHT("00"&amp;HOUR(Sync!$AF45),2)&amp;RIGHT("00"&amp;MINUTE(Sync!$AF45),2),IFERROR(RIGHT("00"&amp;VALUE(LEFT(Sync!$AF45,FIND(":",Sync!$AF45)-1)),2)&amp;RIGHT("00"&amp;VALUE(MID(Sync!$AF45,FIND(":",Sync!$AF45)+1,2)),2),"0000"))))</f>
        <v/>
      </c>
    </row>
    <row r="46">
      <c r="A46">
        <f>IF(OR(Calc!$E50="",Calc!$E50="نامعتبر",Calc!$G50=""),"",Calc!$G50)</f>
        <v/>
      </c>
      <c r="B46">
        <f>IF($A46="","",LEFT(Calc!$E50,4)&amp;MID(Calc!$E50,6,2)&amp;RIGHT(Calc!$E50,2)&amp;Calc!$Q50&amp;"|"&amp;"1"&amp;RIGHT("00000"&amp;41,5))</f>
        <v/>
      </c>
      <c r="C46">
        <f>IF($B46="","",COUNTIFS(LdgSellerA,$A46,LdgKeyA,"&lt;"&amp;$B46)+COUNTIFS(LdgSellerB,$A46,LdgKeyB,"&lt;"&amp;$B46)+1)</f>
        <v/>
      </c>
      <c r="D46">
        <f>IF($C46="","",$A46&amp;"|"&amp;RIGHT("000000"&amp;$C46,6))</f>
        <v/>
      </c>
      <c r="F46">
        <f>IF(Sync!$AH46="","",IF(LEFT(UPPER(TRIM(Sync!$AH46)),2)="SL",UPPER(TRIM(Sync!$AH46)),""))</f>
        <v/>
      </c>
      <c r="G46">
        <f>IF($F46="","",IF(Sync!$AE46="","",IF(ISNUMBER(Sync!$AE46),IF(AND(Sync!$AE46&gt;=10000101,Sync!$AE46&lt;=99991231),INT(Sync!$AE46/10000),""),IFERROR(VALUE(TRIM(LEFT(Sync!$AE46,FIND("/",Sync!$AE46)-1))),""))))</f>
        <v/>
      </c>
      <c r="H46">
        <f>IF(OR($F46="",$G46=""),"",IF(ISNUMBER(Sync!$AE46),INT(MOD(Sync!$AE46,10000)/100),IFERROR(VALUE(TRIM(LEFT(MID(Sync!$AE46,FIND("/",Sync!$AE46)+1,20),FIND("/",MID(Sync!$AE46,FIND("/",Sync!$AE46)+1,20))-1))),"")))</f>
        <v/>
      </c>
      <c r="I46">
        <f>IF(OR($F46="",$G46=""),"",IF(ISNUMBER(Sync!$AE46),MOD(Sync!$AE46,100),IFERROR(VALUE(TRIM(MID(MID(Sync!$AE46,FIND("/",Sync!$AE46)+1,20),FIND("/",MID(Sync!$AE46,FIND("/",Sync!$AE46)+1,20))+1,20))),"")))</f>
        <v/>
      </c>
      <c r="J46">
        <f>IF($F46="","",IF(OR($G46="",$H46="",$I46="",$G46&lt;1300,$G46&gt;1500,$H46&lt;1,$H46&gt;12,$I46&lt;1,$I46&gt;31),"نامعتبر",RIGHT("0000"&amp;$G46,4)&amp;"/"&amp;RIGHT("00"&amp;$H46,2)&amp;"/"&amp;RIGHT("00"&amp;$I46,2)))</f>
        <v/>
      </c>
      <c r="K46">
        <f>IF(OR($F46="",$J46="",$J46="نامعتبر"),"",LEFT($J46,4)&amp;MID($J46,6,2)&amp;RIGHT($J46,2)&amp;$N46&amp;"|"&amp;"2"&amp;RIGHT("00000"&amp;41,5))</f>
        <v/>
      </c>
      <c r="L46">
        <f>IF($K46="","",COUNTIFS(LdgSellerA,$F46,LdgKeyA,"&lt;"&amp;$K46)+COUNTIFS(LdgSellerB,$F46,LdgKeyB,"&lt;"&amp;$K46)+1)</f>
        <v/>
      </c>
      <c r="M46">
        <f>IF($L46="","",$F46&amp;"|"&amp;RIGHT("000000"&amp;$L46,6))</f>
        <v/>
      </c>
      <c r="N46">
        <f>IF($F46="","",IF(Sync!$AF46="","0000",IF(AND(ISNUMBER(Sync!$AF46),Sync!$AF46&gt;=0,Sync!$AF46&lt;1),RIGHT("00"&amp;HOUR(Sync!$AF46),2)&amp;RIGHT("00"&amp;MINUTE(Sync!$AF46),2),IFERROR(RIGHT("00"&amp;VALUE(LEFT(Sync!$AF46,FIND(":",Sync!$AF46)-1)),2)&amp;RIGHT("00"&amp;VALUE(MID(Sync!$AF46,FIND(":",Sync!$AF46)+1,2)),2),"0000"))))</f>
        <v/>
      </c>
    </row>
    <row r="47">
      <c r="A47">
        <f>IF(OR(Calc!$E51="",Calc!$E51="نامعتبر",Calc!$G51=""),"",Calc!$G51)</f>
        <v/>
      </c>
      <c r="B47">
        <f>IF($A47="","",LEFT(Calc!$E51,4)&amp;MID(Calc!$E51,6,2)&amp;RIGHT(Calc!$E51,2)&amp;Calc!$Q51&amp;"|"&amp;"1"&amp;RIGHT("00000"&amp;42,5))</f>
        <v/>
      </c>
      <c r="C47">
        <f>IF($B47="","",COUNTIFS(LdgSellerA,$A47,LdgKeyA,"&lt;"&amp;$B47)+COUNTIFS(LdgSellerB,$A47,LdgKeyB,"&lt;"&amp;$B47)+1)</f>
        <v/>
      </c>
      <c r="D47">
        <f>IF($C47="","",$A47&amp;"|"&amp;RIGHT("000000"&amp;$C47,6))</f>
        <v/>
      </c>
      <c r="F47">
        <f>IF(Sync!$AH47="","",IF(LEFT(UPPER(TRIM(Sync!$AH47)),2)="SL",UPPER(TRIM(Sync!$AH47)),""))</f>
        <v/>
      </c>
      <c r="G47">
        <f>IF($F47="","",IF(Sync!$AE47="","",IF(ISNUMBER(Sync!$AE47),IF(AND(Sync!$AE47&gt;=10000101,Sync!$AE47&lt;=99991231),INT(Sync!$AE47/10000),""),IFERROR(VALUE(TRIM(LEFT(Sync!$AE47,FIND("/",Sync!$AE47)-1))),""))))</f>
        <v/>
      </c>
      <c r="H47">
        <f>IF(OR($F47="",$G47=""),"",IF(ISNUMBER(Sync!$AE47),INT(MOD(Sync!$AE47,10000)/100),IFERROR(VALUE(TRIM(LEFT(MID(Sync!$AE47,FIND("/",Sync!$AE47)+1,20),FIND("/",MID(Sync!$AE47,FIND("/",Sync!$AE47)+1,20))-1))),"")))</f>
        <v/>
      </c>
      <c r="I47">
        <f>IF(OR($F47="",$G47=""),"",IF(ISNUMBER(Sync!$AE47),MOD(Sync!$AE47,100),IFERROR(VALUE(TRIM(MID(MID(Sync!$AE47,FIND("/",Sync!$AE47)+1,20),FIND("/",MID(Sync!$AE47,FIND("/",Sync!$AE47)+1,20))+1,20))),"")))</f>
        <v/>
      </c>
      <c r="J47">
        <f>IF($F47="","",IF(OR($G47="",$H47="",$I47="",$G47&lt;1300,$G47&gt;1500,$H47&lt;1,$H47&gt;12,$I47&lt;1,$I47&gt;31),"نامعتبر",RIGHT("0000"&amp;$G47,4)&amp;"/"&amp;RIGHT("00"&amp;$H47,2)&amp;"/"&amp;RIGHT("00"&amp;$I47,2)))</f>
        <v/>
      </c>
      <c r="K47">
        <f>IF(OR($F47="",$J47="",$J47="نامعتبر"),"",LEFT($J47,4)&amp;MID($J47,6,2)&amp;RIGHT($J47,2)&amp;$N47&amp;"|"&amp;"2"&amp;RIGHT("00000"&amp;42,5))</f>
        <v/>
      </c>
      <c r="L47">
        <f>IF($K47="","",COUNTIFS(LdgSellerA,$F47,LdgKeyA,"&lt;"&amp;$K47)+COUNTIFS(LdgSellerB,$F47,LdgKeyB,"&lt;"&amp;$K47)+1)</f>
        <v/>
      </c>
      <c r="M47">
        <f>IF($L47="","",$F47&amp;"|"&amp;RIGHT("000000"&amp;$L47,6))</f>
        <v/>
      </c>
      <c r="N47">
        <f>IF($F47="","",IF(Sync!$AF47="","0000",IF(AND(ISNUMBER(Sync!$AF47),Sync!$AF47&gt;=0,Sync!$AF47&lt;1),RIGHT("00"&amp;HOUR(Sync!$AF47),2)&amp;RIGHT("00"&amp;MINUTE(Sync!$AF47),2),IFERROR(RIGHT("00"&amp;VALUE(LEFT(Sync!$AF47,FIND(":",Sync!$AF47)-1)),2)&amp;RIGHT("00"&amp;VALUE(MID(Sync!$AF47,FIND(":",Sync!$AF47)+1,2)),2),"0000"))))</f>
        <v/>
      </c>
    </row>
    <row r="48">
      <c r="A48">
        <f>IF(OR(Calc!$E52="",Calc!$E52="نامعتبر",Calc!$G52=""),"",Calc!$G52)</f>
        <v/>
      </c>
      <c r="B48">
        <f>IF($A48="","",LEFT(Calc!$E52,4)&amp;MID(Calc!$E52,6,2)&amp;RIGHT(Calc!$E52,2)&amp;Calc!$Q52&amp;"|"&amp;"1"&amp;RIGHT("00000"&amp;43,5))</f>
        <v/>
      </c>
      <c r="C48">
        <f>IF($B48="","",COUNTIFS(LdgSellerA,$A48,LdgKeyA,"&lt;"&amp;$B48)+COUNTIFS(LdgSellerB,$A48,LdgKeyB,"&lt;"&amp;$B48)+1)</f>
        <v/>
      </c>
      <c r="D48">
        <f>IF($C48="","",$A48&amp;"|"&amp;RIGHT("000000"&amp;$C48,6))</f>
        <v/>
      </c>
      <c r="F48">
        <f>IF(Sync!$AH48="","",IF(LEFT(UPPER(TRIM(Sync!$AH48)),2)="SL",UPPER(TRIM(Sync!$AH48)),""))</f>
        <v/>
      </c>
      <c r="G48">
        <f>IF($F48="","",IF(Sync!$AE48="","",IF(ISNUMBER(Sync!$AE48),IF(AND(Sync!$AE48&gt;=10000101,Sync!$AE48&lt;=99991231),INT(Sync!$AE48/10000),""),IFERROR(VALUE(TRIM(LEFT(Sync!$AE48,FIND("/",Sync!$AE48)-1))),""))))</f>
        <v/>
      </c>
      <c r="H48">
        <f>IF(OR($F48="",$G48=""),"",IF(ISNUMBER(Sync!$AE48),INT(MOD(Sync!$AE48,10000)/100),IFERROR(VALUE(TRIM(LEFT(MID(Sync!$AE48,FIND("/",Sync!$AE48)+1,20),FIND("/",MID(Sync!$AE48,FIND("/",Sync!$AE48)+1,20))-1))),"")))</f>
        <v/>
      </c>
      <c r="I48">
        <f>IF(OR($F48="",$G48=""),"",IF(ISNUMBER(Sync!$AE48),MOD(Sync!$AE48,100),IFERROR(VALUE(TRIM(MID(MID(Sync!$AE48,FIND("/",Sync!$AE48)+1,20),FIND("/",MID(Sync!$AE48,FIND("/",Sync!$AE48)+1,20))+1,20))),"")))</f>
        <v/>
      </c>
      <c r="J48">
        <f>IF($F48="","",IF(OR($G48="",$H48="",$I48="",$G48&lt;1300,$G48&gt;1500,$H48&lt;1,$H48&gt;12,$I48&lt;1,$I48&gt;31),"نامعتبر",RIGHT("0000"&amp;$G48,4)&amp;"/"&amp;RIGHT("00"&amp;$H48,2)&amp;"/"&amp;RIGHT("00"&amp;$I48,2)))</f>
        <v/>
      </c>
      <c r="K48">
        <f>IF(OR($F48="",$J48="",$J48="نامعتبر"),"",LEFT($J48,4)&amp;MID($J48,6,2)&amp;RIGHT($J48,2)&amp;$N48&amp;"|"&amp;"2"&amp;RIGHT("00000"&amp;43,5))</f>
        <v/>
      </c>
      <c r="L48">
        <f>IF($K48="","",COUNTIFS(LdgSellerA,$F48,LdgKeyA,"&lt;"&amp;$K48)+COUNTIFS(LdgSellerB,$F48,LdgKeyB,"&lt;"&amp;$K48)+1)</f>
        <v/>
      </c>
      <c r="M48">
        <f>IF($L48="","",$F48&amp;"|"&amp;RIGHT("000000"&amp;$L48,6))</f>
        <v/>
      </c>
      <c r="N48">
        <f>IF($F48="","",IF(Sync!$AF48="","0000",IF(AND(ISNUMBER(Sync!$AF48),Sync!$AF48&gt;=0,Sync!$AF48&lt;1),RIGHT("00"&amp;HOUR(Sync!$AF48),2)&amp;RIGHT("00"&amp;MINUTE(Sync!$AF48),2),IFERROR(RIGHT("00"&amp;VALUE(LEFT(Sync!$AF48,FIND(":",Sync!$AF48)-1)),2)&amp;RIGHT("00"&amp;VALUE(MID(Sync!$AF48,FIND(":",Sync!$AF48)+1,2)),2),"0000"))))</f>
        <v/>
      </c>
    </row>
    <row r="49">
      <c r="A49">
        <f>IF(OR(Calc!$E53="",Calc!$E53="نامعتبر",Calc!$G53=""),"",Calc!$G53)</f>
        <v/>
      </c>
      <c r="B49">
        <f>IF($A49="","",LEFT(Calc!$E53,4)&amp;MID(Calc!$E53,6,2)&amp;RIGHT(Calc!$E53,2)&amp;Calc!$Q53&amp;"|"&amp;"1"&amp;RIGHT("00000"&amp;44,5))</f>
        <v/>
      </c>
      <c r="C49">
        <f>IF($B49="","",COUNTIFS(LdgSellerA,$A49,LdgKeyA,"&lt;"&amp;$B49)+COUNTIFS(LdgSellerB,$A49,LdgKeyB,"&lt;"&amp;$B49)+1)</f>
        <v/>
      </c>
      <c r="D49">
        <f>IF($C49="","",$A49&amp;"|"&amp;RIGHT("000000"&amp;$C49,6))</f>
        <v/>
      </c>
      <c r="F49">
        <f>IF(Sync!$AH49="","",IF(LEFT(UPPER(TRIM(Sync!$AH49)),2)="SL",UPPER(TRIM(Sync!$AH49)),""))</f>
        <v/>
      </c>
      <c r="G49">
        <f>IF($F49="","",IF(Sync!$AE49="","",IF(ISNUMBER(Sync!$AE49),IF(AND(Sync!$AE49&gt;=10000101,Sync!$AE49&lt;=99991231),INT(Sync!$AE49/10000),""),IFERROR(VALUE(TRIM(LEFT(Sync!$AE49,FIND("/",Sync!$AE49)-1))),""))))</f>
        <v/>
      </c>
      <c r="H49">
        <f>IF(OR($F49="",$G49=""),"",IF(ISNUMBER(Sync!$AE49),INT(MOD(Sync!$AE49,10000)/100),IFERROR(VALUE(TRIM(LEFT(MID(Sync!$AE49,FIND("/",Sync!$AE49)+1,20),FIND("/",MID(Sync!$AE49,FIND("/",Sync!$AE49)+1,20))-1))),"")))</f>
        <v/>
      </c>
      <c r="I49">
        <f>IF(OR($F49="",$G49=""),"",IF(ISNUMBER(Sync!$AE49),MOD(Sync!$AE49,100),IFERROR(VALUE(TRIM(MID(MID(Sync!$AE49,FIND("/",Sync!$AE49)+1,20),FIND("/",MID(Sync!$AE49,FIND("/",Sync!$AE49)+1,20))+1,20))),"")))</f>
        <v/>
      </c>
      <c r="J49">
        <f>IF($F49="","",IF(OR($G49="",$H49="",$I49="",$G49&lt;1300,$G49&gt;1500,$H49&lt;1,$H49&gt;12,$I49&lt;1,$I49&gt;31),"نامعتبر",RIGHT("0000"&amp;$G49,4)&amp;"/"&amp;RIGHT("00"&amp;$H49,2)&amp;"/"&amp;RIGHT("00"&amp;$I49,2)))</f>
        <v/>
      </c>
      <c r="K49">
        <f>IF(OR($F49="",$J49="",$J49="نامعتبر"),"",LEFT($J49,4)&amp;MID($J49,6,2)&amp;RIGHT($J49,2)&amp;$N49&amp;"|"&amp;"2"&amp;RIGHT("00000"&amp;44,5))</f>
        <v/>
      </c>
      <c r="L49">
        <f>IF($K49="","",COUNTIFS(LdgSellerA,$F49,LdgKeyA,"&lt;"&amp;$K49)+COUNTIFS(LdgSellerB,$F49,LdgKeyB,"&lt;"&amp;$K49)+1)</f>
        <v/>
      </c>
      <c r="M49">
        <f>IF($L49="","",$F49&amp;"|"&amp;RIGHT("000000"&amp;$L49,6))</f>
        <v/>
      </c>
      <c r="N49">
        <f>IF($F49="","",IF(Sync!$AF49="","0000",IF(AND(ISNUMBER(Sync!$AF49),Sync!$AF49&gt;=0,Sync!$AF49&lt;1),RIGHT("00"&amp;HOUR(Sync!$AF49),2)&amp;RIGHT("00"&amp;MINUTE(Sync!$AF49),2),IFERROR(RIGHT("00"&amp;VALUE(LEFT(Sync!$AF49,FIND(":",Sync!$AF49)-1)),2)&amp;RIGHT("00"&amp;VALUE(MID(Sync!$AF49,FIND(":",Sync!$AF49)+1,2)),2),"0000"))))</f>
        <v/>
      </c>
    </row>
    <row r="50">
      <c r="A50">
        <f>IF(OR(Calc!$E54="",Calc!$E54="نامعتبر",Calc!$G54=""),"",Calc!$G54)</f>
        <v/>
      </c>
      <c r="B50">
        <f>IF($A50="","",LEFT(Calc!$E54,4)&amp;MID(Calc!$E54,6,2)&amp;RIGHT(Calc!$E54,2)&amp;Calc!$Q54&amp;"|"&amp;"1"&amp;RIGHT("00000"&amp;45,5))</f>
        <v/>
      </c>
      <c r="C50">
        <f>IF($B50="","",COUNTIFS(LdgSellerA,$A50,LdgKeyA,"&lt;"&amp;$B50)+COUNTIFS(LdgSellerB,$A50,LdgKeyB,"&lt;"&amp;$B50)+1)</f>
        <v/>
      </c>
      <c r="D50">
        <f>IF($C50="","",$A50&amp;"|"&amp;RIGHT("000000"&amp;$C50,6))</f>
        <v/>
      </c>
      <c r="F50">
        <f>IF(Sync!$AH50="","",IF(LEFT(UPPER(TRIM(Sync!$AH50)),2)="SL",UPPER(TRIM(Sync!$AH50)),""))</f>
        <v/>
      </c>
      <c r="G50">
        <f>IF($F50="","",IF(Sync!$AE50="","",IF(ISNUMBER(Sync!$AE50),IF(AND(Sync!$AE50&gt;=10000101,Sync!$AE50&lt;=99991231),INT(Sync!$AE50/10000),""),IFERROR(VALUE(TRIM(LEFT(Sync!$AE50,FIND("/",Sync!$AE50)-1))),""))))</f>
        <v/>
      </c>
      <c r="H50">
        <f>IF(OR($F50="",$G50=""),"",IF(ISNUMBER(Sync!$AE50),INT(MOD(Sync!$AE50,10000)/100),IFERROR(VALUE(TRIM(LEFT(MID(Sync!$AE50,FIND("/",Sync!$AE50)+1,20),FIND("/",MID(Sync!$AE50,FIND("/",Sync!$AE50)+1,20))-1))),"")))</f>
        <v/>
      </c>
      <c r="I50">
        <f>IF(OR($F50="",$G50=""),"",IF(ISNUMBER(Sync!$AE50),MOD(Sync!$AE50,100),IFERROR(VALUE(TRIM(MID(MID(Sync!$AE50,FIND("/",Sync!$AE50)+1,20),FIND("/",MID(Sync!$AE50,FIND("/",Sync!$AE50)+1,20))+1,20))),"")))</f>
        <v/>
      </c>
      <c r="J50">
        <f>IF($F50="","",IF(OR($G50="",$H50="",$I50="",$G50&lt;1300,$G50&gt;1500,$H50&lt;1,$H50&gt;12,$I50&lt;1,$I50&gt;31),"نامعتبر",RIGHT("0000"&amp;$G50,4)&amp;"/"&amp;RIGHT("00"&amp;$H50,2)&amp;"/"&amp;RIGHT("00"&amp;$I50,2)))</f>
        <v/>
      </c>
      <c r="K50">
        <f>IF(OR($F50="",$J50="",$J50="نامعتبر"),"",LEFT($J50,4)&amp;MID($J50,6,2)&amp;RIGHT($J50,2)&amp;$N50&amp;"|"&amp;"2"&amp;RIGHT("00000"&amp;45,5))</f>
        <v/>
      </c>
      <c r="L50">
        <f>IF($K50="","",COUNTIFS(LdgSellerA,$F50,LdgKeyA,"&lt;"&amp;$K50)+COUNTIFS(LdgSellerB,$F50,LdgKeyB,"&lt;"&amp;$K50)+1)</f>
        <v/>
      </c>
      <c r="M50">
        <f>IF($L50="","",$F50&amp;"|"&amp;RIGHT("000000"&amp;$L50,6))</f>
        <v/>
      </c>
      <c r="N50">
        <f>IF($F50="","",IF(Sync!$AF50="","0000",IF(AND(ISNUMBER(Sync!$AF50),Sync!$AF50&gt;=0,Sync!$AF50&lt;1),RIGHT("00"&amp;HOUR(Sync!$AF50),2)&amp;RIGHT("00"&amp;MINUTE(Sync!$AF50),2),IFERROR(RIGHT("00"&amp;VALUE(LEFT(Sync!$AF50,FIND(":",Sync!$AF50)-1)),2)&amp;RIGHT("00"&amp;VALUE(MID(Sync!$AF50,FIND(":",Sync!$AF50)+1,2)),2),"0000"))))</f>
        <v/>
      </c>
    </row>
    <row r="51">
      <c r="A51">
        <f>IF(OR(Calc!$E55="",Calc!$E55="نامعتبر",Calc!$G55=""),"",Calc!$G55)</f>
        <v/>
      </c>
      <c r="B51">
        <f>IF($A51="","",LEFT(Calc!$E55,4)&amp;MID(Calc!$E55,6,2)&amp;RIGHT(Calc!$E55,2)&amp;Calc!$Q55&amp;"|"&amp;"1"&amp;RIGHT("00000"&amp;46,5))</f>
        <v/>
      </c>
      <c r="C51">
        <f>IF($B51="","",COUNTIFS(LdgSellerA,$A51,LdgKeyA,"&lt;"&amp;$B51)+COUNTIFS(LdgSellerB,$A51,LdgKeyB,"&lt;"&amp;$B51)+1)</f>
        <v/>
      </c>
      <c r="D51">
        <f>IF($C51="","",$A51&amp;"|"&amp;RIGHT("000000"&amp;$C51,6))</f>
        <v/>
      </c>
      <c r="F51">
        <f>IF(Sync!$AH51="","",IF(LEFT(UPPER(TRIM(Sync!$AH51)),2)="SL",UPPER(TRIM(Sync!$AH51)),""))</f>
        <v/>
      </c>
      <c r="G51">
        <f>IF($F51="","",IF(Sync!$AE51="","",IF(ISNUMBER(Sync!$AE51),IF(AND(Sync!$AE51&gt;=10000101,Sync!$AE51&lt;=99991231),INT(Sync!$AE51/10000),""),IFERROR(VALUE(TRIM(LEFT(Sync!$AE51,FIND("/",Sync!$AE51)-1))),""))))</f>
        <v/>
      </c>
      <c r="H51">
        <f>IF(OR($F51="",$G51=""),"",IF(ISNUMBER(Sync!$AE51),INT(MOD(Sync!$AE51,10000)/100),IFERROR(VALUE(TRIM(LEFT(MID(Sync!$AE51,FIND("/",Sync!$AE51)+1,20),FIND("/",MID(Sync!$AE51,FIND("/",Sync!$AE51)+1,20))-1))),"")))</f>
        <v/>
      </c>
      <c r="I51">
        <f>IF(OR($F51="",$G51=""),"",IF(ISNUMBER(Sync!$AE51),MOD(Sync!$AE51,100),IFERROR(VALUE(TRIM(MID(MID(Sync!$AE51,FIND("/",Sync!$AE51)+1,20),FIND("/",MID(Sync!$AE51,FIND("/",Sync!$AE51)+1,20))+1,20))),"")))</f>
        <v/>
      </c>
      <c r="J51">
        <f>IF($F51="","",IF(OR($G51="",$H51="",$I51="",$G51&lt;1300,$G51&gt;1500,$H51&lt;1,$H51&gt;12,$I51&lt;1,$I51&gt;31),"نامعتبر",RIGHT("0000"&amp;$G51,4)&amp;"/"&amp;RIGHT("00"&amp;$H51,2)&amp;"/"&amp;RIGHT("00"&amp;$I51,2)))</f>
        <v/>
      </c>
      <c r="K51">
        <f>IF(OR($F51="",$J51="",$J51="نامعتبر"),"",LEFT($J51,4)&amp;MID($J51,6,2)&amp;RIGHT($J51,2)&amp;$N51&amp;"|"&amp;"2"&amp;RIGHT("00000"&amp;46,5))</f>
        <v/>
      </c>
      <c r="L51">
        <f>IF($K51="","",COUNTIFS(LdgSellerA,$F51,LdgKeyA,"&lt;"&amp;$K51)+COUNTIFS(LdgSellerB,$F51,LdgKeyB,"&lt;"&amp;$K51)+1)</f>
        <v/>
      </c>
      <c r="M51">
        <f>IF($L51="","",$F51&amp;"|"&amp;RIGHT("000000"&amp;$L51,6))</f>
        <v/>
      </c>
      <c r="N51">
        <f>IF($F51="","",IF(Sync!$AF51="","0000",IF(AND(ISNUMBER(Sync!$AF51),Sync!$AF51&gt;=0,Sync!$AF51&lt;1),RIGHT("00"&amp;HOUR(Sync!$AF51),2)&amp;RIGHT("00"&amp;MINUTE(Sync!$AF51),2),IFERROR(RIGHT("00"&amp;VALUE(LEFT(Sync!$AF51,FIND(":",Sync!$AF51)-1)),2)&amp;RIGHT("00"&amp;VALUE(MID(Sync!$AF51,FIND(":",Sync!$AF51)+1,2)),2),"0000"))))</f>
        <v/>
      </c>
    </row>
    <row r="52">
      <c r="A52">
        <f>IF(OR(Calc!$E56="",Calc!$E56="نامعتبر",Calc!$G56=""),"",Calc!$G56)</f>
        <v/>
      </c>
      <c r="B52">
        <f>IF($A52="","",LEFT(Calc!$E56,4)&amp;MID(Calc!$E56,6,2)&amp;RIGHT(Calc!$E56,2)&amp;Calc!$Q56&amp;"|"&amp;"1"&amp;RIGHT("00000"&amp;47,5))</f>
        <v/>
      </c>
      <c r="C52">
        <f>IF($B52="","",COUNTIFS(LdgSellerA,$A52,LdgKeyA,"&lt;"&amp;$B52)+COUNTIFS(LdgSellerB,$A52,LdgKeyB,"&lt;"&amp;$B52)+1)</f>
        <v/>
      </c>
      <c r="D52">
        <f>IF($C52="","",$A52&amp;"|"&amp;RIGHT("000000"&amp;$C52,6))</f>
        <v/>
      </c>
      <c r="F52">
        <f>IF(Sync!$AH52="","",IF(LEFT(UPPER(TRIM(Sync!$AH52)),2)="SL",UPPER(TRIM(Sync!$AH52)),""))</f>
        <v/>
      </c>
      <c r="G52">
        <f>IF($F52="","",IF(Sync!$AE52="","",IF(ISNUMBER(Sync!$AE52),IF(AND(Sync!$AE52&gt;=10000101,Sync!$AE52&lt;=99991231),INT(Sync!$AE52/10000),""),IFERROR(VALUE(TRIM(LEFT(Sync!$AE52,FIND("/",Sync!$AE52)-1))),""))))</f>
        <v/>
      </c>
      <c r="H52">
        <f>IF(OR($F52="",$G52=""),"",IF(ISNUMBER(Sync!$AE52),INT(MOD(Sync!$AE52,10000)/100),IFERROR(VALUE(TRIM(LEFT(MID(Sync!$AE52,FIND("/",Sync!$AE52)+1,20),FIND("/",MID(Sync!$AE52,FIND("/",Sync!$AE52)+1,20))-1))),"")))</f>
        <v/>
      </c>
      <c r="I52">
        <f>IF(OR($F52="",$G52=""),"",IF(ISNUMBER(Sync!$AE52),MOD(Sync!$AE52,100),IFERROR(VALUE(TRIM(MID(MID(Sync!$AE52,FIND("/",Sync!$AE52)+1,20),FIND("/",MID(Sync!$AE52,FIND("/",Sync!$AE52)+1,20))+1,20))),"")))</f>
        <v/>
      </c>
      <c r="J52">
        <f>IF($F52="","",IF(OR($G52="",$H52="",$I52="",$G52&lt;1300,$G52&gt;1500,$H52&lt;1,$H52&gt;12,$I52&lt;1,$I52&gt;31),"نامعتبر",RIGHT("0000"&amp;$G52,4)&amp;"/"&amp;RIGHT("00"&amp;$H52,2)&amp;"/"&amp;RIGHT("00"&amp;$I52,2)))</f>
        <v/>
      </c>
      <c r="K52">
        <f>IF(OR($F52="",$J52="",$J52="نامعتبر"),"",LEFT($J52,4)&amp;MID($J52,6,2)&amp;RIGHT($J52,2)&amp;$N52&amp;"|"&amp;"2"&amp;RIGHT("00000"&amp;47,5))</f>
        <v/>
      </c>
      <c r="L52">
        <f>IF($K52="","",COUNTIFS(LdgSellerA,$F52,LdgKeyA,"&lt;"&amp;$K52)+COUNTIFS(LdgSellerB,$F52,LdgKeyB,"&lt;"&amp;$K52)+1)</f>
        <v/>
      </c>
      <c r="M52">
        <f>IF($L52="","",$F52&amp;"|"&amp;RIGHT("000000"&amp;$L52,6))</f>
        <v/>
      </c>
      <c r="N52">
        <f>IF($F52="","",IF(Sync!$AF52="","0000",IF(AND(ISNUMBER(Sync!$AF52),Sync!$AF52&gt;=0,Sync!$AF52&lt;1),RIGHT("00"&amp;HOUR(Sync!$AF52),2)&amp;RIGHT("00"&amp;MINUTE(Sync!$AF52),2),IFERROR(RIGHT("00"&amp;VALUE(LEFT(Sync!$AF52,FIND(":",Sync!$AF52)-1)),2)&amp;RIGHT("00"&amp;VALUE(MID(Sync!$AF52,FIND(":",Sync!$AF52)+1,2)),2),"0000"))))</f>
        <v/>
      </c>
    </row>
    <row r="53">
      <c r="A53">
        <f>IF(OR(Calc!$E57="",Calc!$E57="نامعتبر",Calc!$G57=""),"",Calc!$G57)</f>
        <v/>
      </c>
      <c r="B53">
        <f>IF($A53="","",LEFT(Calc!$E57,4)&amp;MID(Calc!$E57,6,2)&amp;RIGHT(Calc!$E57,2)&amp;Calc!$Q57&amp;"|"&amp;"1"&amp;RIGHT("00000"&amp;48,5))</f>
        <v/>
      </c>
      <c r="C53">
        <f>IF($B53="","",COUNTIFS(LdgSellerA,$A53,LdgKeyA,"&lt;"&amp;$B53)+COUNTIFS(LdgSellerB,$A53,LdgKeyB,"&lt;"&amp;$B53)+1)</f>
        <v/>
      </c>
      <c r="D53">
        <f>IF($C53="","",$A53&amp;"|"&amp;RIGHT("000000"&amp;$C53,6))</f>
        <v/>
      </c>
      <c r="F53">
        <f>IF(Sync!$AH53="","",IF(LEFT(UPPER(TRIM(Sync!$AH53)),2)="SL",UPPER(TRIM(Sync!$AH53)),""))</f>
        <v/>
      </c>
      <c r="G53">
        <f>IF($F53="","",IF(Sync!$AE53="","",IF(ISNUMBER(Sync!$AE53),IF(AND(Sync!$AE53&gt;=10000101,Sync!$AE53&lt;=99991231),INT(Sync!$AE53/10000),""),IFERROR(VALUE(TRIM(LEFT(Sync!$AE53,FIND("/",Sync!$AE53)-1))),""))))</f>
        <v/>
      </c>
      <c r="H53">
        <f>IF(OR($F53="",$G53=""),"",IF(ISNUMBER(Sync!$AE53),INT(MOD(Sync!$AE53,10000)/100),IFERROR(VALUE(TRIM(LEFT(MID(Sync!$AE53,FIND("/",Sync!$AE53)+1,20),FIND("/",MID(Sync!$AE53,FIND("/",Sync!$AE53)+1,20))-1))),"")))</f>
        <v/>
      </c>
      <c r="I53">
        <f>IF(OR($F53="",$G53=""),"",IF(ISNUMBER(Sync!$AE53),MOD(Sync!$AE53,100),IFERROR(VALUE(TRIM(MID(MID(Sync!$AE53,FIND("/",Sync!$AE53)+1,20),FIND("/",MID(Sync!$AE53,FIND("/",Sync!$AE53)+1,20))+1,20))),"")))</f>
        <v/>
      </c>
      <c r="J53">
        <f>IF($F53="","",IF(OR($G53="",$H53="",$I53="",$G53&lt;1300,$G53&gt;1500,$H53&lt;1,$H53&gt;12,$I53&lt;1,$I53&gt;31),"نامعتبر",RIGHT("0000"&amp;$G53,4)&amp;"/"&amp;RIGHT("00"&amp;$H53,2)&amp;"/"&amp;RIGHT("00"&amp;$I53,2)))</f>
        <v/>
      </c>
      <c r="K53">
        <f>IF(OR($F53="",$J53="",$J53="نامعتبر"),"",LEFT($J53,4)&amp;MID($J53,6,2)&amp;RIGHT($J53,2)&amp;$N53&amp;"|"&amp;"2"&amp;RIGHT("00000"&amp;48,5))</f>
        <v/>
      </c>
      <c r="L53">
        <f>IF($K53="","",COUNTIFS(LdgSellerA,$F53,LdgKeyA,"&lt;"&amp;$K53)+COUNTIFS(LdgSellerB,$F53,LdgKeyB,"&lt;"&amp;$K53)+1)</f>
        <v/>
      </c>
      <c r="M53">
        <f>IF($L53="","",$F53&amp;"|"&amp;RIGHT("000000"&amp;$L53,6))</f>
        <v/>
      </c>
      <c r="N53">
        <f>IF($F53="","",IF(Sync!$AF53="","0000",IF(AND(ISNUMBER(Sync!$AF53),Sync!$AF53&gt;=0,Sync!$AF53&lt;1),RIGHT("00"&amp;HOUR(Sync!$AF53),2)&amp;RIGHT("00"&amp;MINUTE(Sync!$AF53),2),IFERROR(RIGHT("00"&amp;VALUE(LEFT(Sync!$AF53,FIND(":",Sync!$AF53)-1)),2)&amp;RIGHT("00"&amp;VALUE(MID(Sync!$AF53,FIND(":",Sync!$AF53)+1,2)),2),"0000"))))</f>
        <v/>
      </c>
    </row>
    <row r="54">
      <c r="A54">
        <f>IF(OR(Calc!$E58="",Calc!$E58="نامعتبر",Calc!$G58=""),"",Calc!$G58)</f>
        <v/>
      </c>
      <c r="B54">
        <f>IF($A54="","",LEFT(Calc!$E58,4)&amp;MID(Calc!$E58,6,2)&amp;RIGHT(Calc!$E58,2)&amp;Calc!$Q58&amp;"|"&amp;"1"&amp;RIGHT("00000"&amp;49,5))</f>
        <v/>
      </c>
      <c r="C54">
        <f>IF($B54="","",COUNTIFS(LdgSellerA,$A54,LdgKeyA,"&lt;"&amp;$B54)+COUNTIFS(LdgSellerB,$A54,LdgKeyB,"&lt;"&amp;$B54)+1)</f>
        <v/>
      </c>
      <c r="D54">
        <f>IF($C54="","",$A54&amp;"|"&amp;RIGHT("000000"&amp;$C54,6))</f>
        <v/>
      </c>
      <c r="F54">
        <f>IF(Sync!$AH54="","",IF(LEFT(UPPER(TRIM(Sync!$AH54)),2)="SL",UPPER(TRIM(Sync!$AH54)),""))</f>
        <v/>
      </c>
      <c r="G54">
        <f>IF($F54="","",IF(Sync!$AE54="","",IF(ISNUMBER(Sync!$AE54),IF(AND(Sync!$AE54&gt;=10000101,Sync!$AE54&lt;=99991231),INT(Sync!$AE54/10000),""),IFERROR(VALUE(TRIM(LEFT(Sync!$AE54,FIND("/",Sync!$AE54)-1))),""))))</f>
        <v/>
      </c>
      <c r="H54">
        <f>IF(OR($F54="",$G54=""),"",IF(ISNUMBER(Sync!$AE54),INT(MOD(Sync!$AE54,10000)/100),IFERROR(VALUE(TRIM(LEFT(MID(Sync!$AE54,FIND("/",Sync!$AE54)+1,20),FIND("/",MID(Sync!$AE54,FIND("/",Sync!$AE54)+1,20))-1))),"")))</f>
        <v/>
      </c>
      <c r="I54">
        <f>IF(OR($F54="",$G54=""),"",IF(ISNUMBER(Sync!$AE54),MOD(Sync!$AE54,100),IFERROR(VALUE(TRIM(MID(MID(Sync!$AE54,FIND("/",Sync!$AE54)+1,20),FIND("/",MID(Sync!$AE54,FIND("/",Sync!$AE54)+1,20))+1,20))),"")))</f>
        <v/>
      </c>
      <c r="J54">
        <f>IF($F54="","",IF(OR($G54="",$H54="",$I54="",$G54&lt;1300,$G54&gt;1500,$H54&lt;1,$H54&gt;12,$I54&lt;1,$I54&gt;31),"نامعتبر",RIGHT("0000"&amp;$G54,4)&amp;"/"&amp;RIGHT("00"&amp;$H54,2)&amp;"/"&amp;RIGHT("00"&amp;$I54,2)))</f>
        <v/>
      </c>
      <c r="K54">
        <f>IF(OR($F54="",$J54="",$J54="نامعتبر"),"",LEFT($J54,4)&amp;MID($J54,6,2)&amp;RIGHT($J54,2)&amp;$N54&amp;"|"&amp;"2"&amp;RIGHT("00000"&amp;49,5))</f>
        <v/>
      </c>
      <c r="L54">
        <f>IF($K54="","",COUNTIFS(LdgSellerA,$F54,LdgKeyA,"&lt;"&amp;$K54)+COUNTIFS(LdgSellerB,$F54,LdgKeyB,"&lt;"&amp;$K54)+1)</f>
        <v/>
      </c>
      <c r="M54">
        <f>IF($L54="","",$F54&amp;"|"&amp;RIGHT("000000"&amp;$L54,6))</f>
        <v/>
      </c>
      <c r="N54">
        <f>IF($F54="","",IF(Sync!$AF54="","0000",IF(AND(ISNUMBER(Sync!$AF54),Sync!$AF54&gt;=0,Sync!$AF54&lt;1),RIGHT("00"&amp;HOUR(Sync!$AF54),2)&amp;RIGHT("00"&amp;MINUTE(Sync!$AF54),2),IFERROR(RIGHT("00"&amp;VALUE(LEFT(Sync!$AF54,FIND(":",Sync!$AF54)-1)),2)&amp;RIGHT("00"&amp;VALUE(MID(Sync!$AF54,FIND(":",Sync!$AF54)+1,2)),2),"0000"))))</f>
        <v/>
      </c>
    </row>
    <row r="55">
      <c r="A55">
        <f>IF(OR(Calc!$E59="",Calc!$E59="نامعتبر",Calc!$G59=""),"",Calc!$G59)</f>
        <v/>
      </c>
      <c r="B55">
        <f>IF($A55="","",LEFT(Calc!$E59,4)&amp;MID(Calc!$E59,6,2)&amp;RIGHT(Calc!$E59,2)&amp;Calc!$Q59&amp;"|"&amp;"1"&amp;RIGHT("00000"&amp;50,5))</f>
        <v/>
      </c>
      <c r="C55">
        <f>IF($B55="","",COUNTIFS(LdgSellerA,$A55,LdgKeyA,"&lt;"&amp;$B55)+COUNTIFS(LdgSellerB,$A55,LdgKeyB,"&lt;"&amp;$B55)+1)</f>
        <v/>
      </c>
      <c r="D55">
        <f>IF($C55="","",$A55&amp;"|"&amp;RIGHT("000000"&amp;$C55,6))</f>
        <v/>
      </c>
      <c r="F55">
        <f>IF(Sync!$AH55="","",IF(LEFT(UPPER(TRIM(Sync!$AH55)),2)="SL",UPPER(TRIM(Sync!$AH55)),""))</f>
        <v/>
      </c>
      <c r="G55">
        <f>IF($F55="","",IF(Sync!$AE55="","",IF(ISNUMBER(Sync!$AE55),IF(AND(Sync!$AE55&gt;=10000101,Sync!$AE55&lt;=99991231),INT(Sync!$AE55/10000),""),IFERROR(VALUE(TRIM(LEFT(Sync!$AE55,FIND("/",Sync!$AE55)-1))),""))))</f>
        <v/>
      </c>
      <c r="H55">
        <f>IF(OR($F55="",$G55=""),"",IF(ISNUMBER(Sync!$AE55),INT(MOD(Sync!$AE55,10000)/100),IFERROR(VALUE(TRIM(LEFT(MID(Sync!$AE55,FIND("/",Sync!$AE55)+1,20),FIND("/",MID(Sync!$AE55,FIND("/",Sync!$AE55)+1,20))-1))),"")))</f>
        <v/>
      </c>
      <c r="I55">
        <f>IF(OR($F55="",$G55=""),"",IF(ISNUMBER(Sync!$AE55),MOD(Sync!$AE55,100),IFERROR(VALUE(TRIM(MID(MID(Sync!$AE55,FIND("/",Sync!$AE55)+1,20),FIND("/",MID(Sync!$AE55,FIND("/",Sync!$AE55)+1,20))+1,20))),"")))</f>
        <v/>
      </c>
      <c r="J55">
        <f>IF($F55="","",IF(OR($G55="",$H55="",$I55="",$G55&lt;1300,$G55&gt;1500,$H55&lt;1,$H55&gt;12,$I55&lt;1,$I55&gt;31),"نامعتبر",RIGHT("0000"&amp;$G55,4)&amp;"/"&amp;RIGHT("00"&amp;$H55,2)&amp;"/"&amp;RIGHT("00"&amp;$I55,2)))</f>
        <v/>
      </c>
      <c r="K55">
        <f>IF(OR($F55="",$J55="",$J55="نامعتبر"),"",LEFT($J55,4)&amp;MID($J55,6,2)&amp;RIGHT($J55,2)&amp;$N55&amp;"|"&amp;"2"&amp;RIGHT("00000"&amp;50,5))</f>
        <v/>
      </c>
      <c r="L55">
        <f>IF($K55="","",COUNTIFS(LdgSellerA,$F55,LdgKeyA,"&lt;"&amp;$K55)+COUNTIFS(LdgSellerB,$F55,LdgKeyB,"&lt;"&amp;$K55)+1)</f>
        <v/>
      </c>
      <c r="M55">
        <f>IF($L55="","",$F55&amp;"|"&amp;RIGHT("000000"&amp;$L55,6))</f>
        <v/>
      </c>
      <c r="N55">
        <f>IF($F55="","",IF(Sync!$AF55="","0000",IF(AND(ISNUMBER(Sync!$AF55),Sync!$AF55&gt;=0,Sync!$AF55&lt;1),RIGHT("00"&amp;HOUR(Sync!$AF55),2)&amp;RIGHT("00"&amp;MINUTE(Sync!$AF55),2),IFERROR(RIGHT("00"&amp;VALUE(LEFT(Sync!$AF55,FIND(":",Sync!$AF55)-1)),2)&amp;RIGHT("00"&amp;VALUE(MID(Sync!$AF55,FIND(":",Sync!$AF55)+1,2)),2),"0000"))))</f>
        <v/>
      </c>
    </row>
    <row r="56">
      <c r="A56">
        <f>IF(OR(Calc!$E60="",Calc!$E60="نامعتبر",Calc!$G60=""),"",Calc!$G60)</f>
        <v/>
      </c>
      <c r="B56">
        <f>IF($A56="","",LEFT(Calc!$E60,4)&amp;MID(Calc!$E60,6,2)&amp;RIGHT(Calc!$E60,2)&amp;Calc!$Q60&amp;"|"&amp;"1"&amp;RIGHT("00000"&amp;51,5))</f>
        <v/>
      </c>
      <c r="C56">
        <f>IF($B56="","",COUNTIFS(LdgSellerA,$A56,LdgKeyA,"&lt;"&amp;$B56)+COUNTIFS(LdgSellerB,$A56,LdgKeyB,"&lt;"&amp;$B56)+1)</f>
        <v/>
      </c>
      <c r="D56">
        <f>IF($C56="","",$A56&amp;"|"&amp;RIGHT("000000"&amp;$C56,6))</f>
        <v/>
      </c>
      <c r="F56">
        <f>IF(Sync!$AH56="","",IF(LEFT(UPPER(TRIM(Sync!$AH56)),2)="SL",UPPER(TRIM(Sync!$AH56)),""))</f>
        <v/>
      </c>
      <c r="G56">
        <f>IF($F56="","",IF(Sync!$AE56="","",IF(ISNUMBER(Sync!$AE56),IF(AND(Sync!$AE56&gt;=10000101,Sync!$AE56&lt;=99991231),INT(Sync!$AE56/10000),""),IFERROR(VALUE(TRIM(LEFT(Sync!$AE56,FIND("/",Sync!$AE56)-1))),""))))</f>
        <v/>
      </c>
      <c r="H56">
        <f>IF(OR($F56="",$G56=""),"",IF(ISNUMBER(Sync!$AE56),INT(MOD(Sync!$AE56,10000)/100),IFERROR(VALUE(TRIM(LEFT(MID(Sync!$AE56,FIND("/",Sync!$AE56)+1,20),FIND("/",MID(Sync!$AE56,FIND("/",Sync!$AE56)+1,20))-1))),"")))</f>
        <v/>
      </c>
      <c r="I56">
        <f>IF(OR($F56="",$G56=""),"",IF(ISNUMBER(Sync!$AE56),MOD(Sync!$AE56,100),IFERROR(VALUE(TRIM(MID(MID(Sync!$AE56,FIND("/",Sync!$AE56)+1,20),FIND("/",MID(Sync!$AE56,FIND("/",Sync!$AE56)+1,20))+1,20))),"")))</f>
        <v/>
      </c>
      <c r="J56">
        <f>IF($F56="","",IF(OR($G56="",$H56="",$I56="",$G56&lt;1300,$G56&gt;1500,$H56&lt;1,$H56&gt;12,$I56&lt;1,$I56&gt;31),"نامعتبر",RIGHT("0000"&amp;$G56,4)&amp;"/"&amp;RIGHT("00"&amp;$H56,2)&amp;"/"&amp;RIGHT("00"&amp;$I56,2)))</f>
        <v/>
      </c>
      <c r="K56">
        <f>IF(OR($F56="",$J56="",$J56="نامعتبر"),"",LEFT($J56,4)&amp;MID($J56,6,2)&amp;RIGHT($J56,2)&amp;$N56&amp;"|"&amp;"2"&amp;RIGHT("00000"&amp;51,5))</f>
        <v/>
      </c>
      <c r="L56">
        <f>IF($K56="","",COUNTIFS(LdgSellerA,$F56,LdgKeyA,"&lt;"&amp;$K56)+COUNTIFS(LdgSellerB,$F56,LdgKeyB,"&lt;"&amp;$K56)+1)</f>
        <v/>
      </c>
      <c r="M56">
        <f>IF($L56="","",$F56&amp;"|"&amp;RIGHT("000000"&amp;$L56,6))</f>
        <v/>
      </c>
      <c r="N56">
        <f>IF($F56="","",IF(Sync!$AF56="","0000",IF(AND(ISNUMBER(Sync!$AF56),Sync!$AF56&gt;=0,Sync!$AF56&lt;1),RIGHT("00"&amp;HOUR(Sync!$AF56),2)&amp;RIGHT("00"&amp;MINUTE(Sync!$AF56),2),IFERROR(RIGHT("00"&amp;VALUE(LEFT(Sync!$AF56,FIND(":",Sync!$AF56)-1)),2)&amp;RIGHT("00"&amp;VALUE(MID(Sync!$AF56,FIND(":",Sync!$AF56)+1,2)),2),"0000"))))</f>
        <v/>
      </c>
    </row>
    <row r="57">
      <c r="A57">
        <f>IF(OR(Calc!$E61="",Calc!$E61="نامعتبر",Calc!$G61=""),"",Calc!$G61)</f>
        <v/>
      </c>
      <c r="B57">
        <f>IF($A57="","",LEFT(Calc!$E61,4)&amp;MID(Calc!$E61,6,2)&amp;RIGHT(Calc!$E61,2)&amp;Calc!$Q61&amp;"|"&amp;"1"&amp;RIGHT("00000"&amp;52,5))</f>
        <v/>
      </c>
      <c r="C57">
        <f>IF($B57="","",COUNTIFS(LdgSellerA,$A57,LdgKeyA,"&lt;"&amp;$B57)+COUNTIFS(LdgSellerB,$A57,LdgKeyB,"&lt;"&amp;$B57)+1)</f>
        <v/>
      </c>
      <c r="D57">
        <f>IF($C57="","",$A57&amp;"|"&amp;RIGHT("000000"&amp;$C57,6))</f>
        <v/>
      </c>
      <c r="F57">
        <f>IF(Sync!$AH57="","",IF(LEFT(UPPER(TRIM(Sync!$AH57)),2)="SL",UPPER(TRIM(Sync!$AH57)),""))</f>
        <v/>
      </c>
      <c r="G57">
        <f>IF($F57="","",IF(Sync!$AE57="","",IF(ISNUMBER(Sync!$AE57),IF(AND(Sync!$AE57&gt;=10000101,Sync!$AE57&lt;=99991231),INT(Sync!$AE57/10000),""),IFERROR(VALUE(TRIM(LEFT(Sync!$AE57,FIND("/",Sync!$AE57)-1))),""))))</f>
        <v/>
      </c>
      <c r="H57">
        <f>IF(OR($F57="",$G57=""),"",IF(ISNUMBER(Sync!$AE57),INT(MOD(Sync!$AE57,10000)/100),IFERROR(VALUE(TRIM(LEFT(MID(Sync!$AE57,FIND("/",Sync!$AE57)+1,20),FIND("/",MID(Sync!$AE57,FIND("/",Sync!$AE57)+1,20))-1))),"")))</f>
        <v/>
      </c>
      <c r="I57">
        <f>IF(OR($F57="",$G57=""),"",IF(ISNUMBER(Sync!$AE57),MOD(Sync!$AE57,100),IFERROR(VALUE(TRIM(MID(MID(Sync!$AE57,FIND("/",Sync!$AE57)+1,20),FIND("/",MID(Sync!$AE57,FIND("/",Sync!$AE57)+1,20))+1,20))),"")))</f>
        <v/>
      </c>
      <c r="J57">
        <f>IF($F57="","",IF(OR($G57="",$H57="",$I57="",$G57&lt;1300,$G57&gt;1500,$H57&lt;1,$H57&gt;12,$I57&lt;1,$I57&gt;31),"نامعتبر",RIGHT("0000"&amp;$G57,4)&amp;"/"&amp;RIGHT("00"&amp;$H57,2)&amp;"/"&amp;RIGHT("00"&amp;$I57,2)))</f>
        <v/>
      </c>
      <c r="K57">
        <f>IF(OR($F57="",$J57="",$J57="نامعتبر"),"",LEFT($J57,4)&amp;MID($J57,6,2)&amp;RIGHT($J57,2)&amp;$N57&amp;"|"&amp;"2"&amp;RIGHT("00000"&amp;52,5))</f>
        <v/>
      </c>
      <c r="L57">
        <f>IF($K57="","",COUNTIFS(LdgSellerA,$F57,LdgKeyA,"&lt;"&amp;$K57)+COUNTIFS(LdgSellerB,$F57,LdgKeyB,"&lt;"&amp;$K57)+1)</f>
        <v/>
      </c>
      <c r="M57">
        <f>IF($L57="","",$F57&amp;"|"&amp;RIGHT("000000"&amp;$L57,6))</f>
        <v/>
      </c>
      <c r="N57">
        <f>IF($F57="","",IF(Sync!$AF57="","0000",IF(AND(ISNUMBER(Sync!$AF57),Sync!$AF57&gt;=0,Sync!$AF57&lt;1),RIGHT("00"&amp;HOUR(Sync!$AF57),2)&amp;RIGHT("00"&amp;MINUTE(Sync!$AF57),2),IFERROR(RIGHT("00"&amp;VALUE(LEFT(Sync!$AF57,FIND(":",Sync!$AF57)-1)),2)&amp;RIGHT("00"&amp;VALUE(MID(Sync!$AF57,FIND(":",Sync!$AF57)+1,2)),2),"0000"))))</f>
        <v/>
      </c>
    </row>
    <row r="58">
      <c r="A58">
        <f>IF(OR(Calc!$E62="",Calc!$E62="نامعتبر",Calc!$G62=""),"",Calc!$G62)</f>
        <v/>
      </c>
      <c r="B58">
        <f>IF($A58="","",LEFT(Calc!$E62,4)&amp;MID(Calc!$E62,6,2)&amp;RIGHT(Calc!$E62,2)&amp;Calc!$Q62&amp;"|"&amp;"1"&amp;RIGHT("00000"&amp;53,5))</f>
        <v/>
      </c>
      <c r="C58">
        <f>IF($B58="","",COUNTIFS(LdgSellerA,$A58,LdgKeyA,"&lt;"&amp;$B58)+COUNTIFS(LdgSellerB,$A58,LdgKeyB,"&lt;"&amp;$B58)+1)</f>
        <v/>
      </c>
      <c r="D58">
        <f>IF($C58="","",$A58&amp;"|"&amp;RIGHT("000000"&amp;$C58,6))</f>
        <v/>
      </c>
      <c r="F58">
        <f>IF(Sync!$AH58="","",IF(LEFT(UPPER(TRIM(Sync!$AH58)),2)="SL",UPPER(TRIM(Sync!$AH58)),""))</f>
        <v/>
      </c>
      <c r="G58">
        <f>IF($F58="","",IF(Sync!$AE58="","",IF(ISNUMBER(Sync!$AE58),IF(AND(Sync!$AE58&gt;=10000101,Sync!$AE58&lt;=99991231),INT(Sync!$AE58/10000),""),IFERROR(VALUE(TRIM(LEFT(Sync!$AE58,FIND("/",Sync!$AE58)-1))),""))))</f>
        <v/>
      </c>
      <c r="H58">
        <f>IF(OR($F58="",$G58=""),"",IF(ISNUMBER(Sync!$AE58),INT(MOD(Sync!$AE58,10000)/100),IFERROR(VALUE(TRIM(LEFT(MID(Sync!$AE58,FIND("/",Sync!$AE58)+1,20),FIND("/",MID(Sync!$AE58,FIND("/",Sync!$AE58)+1,20))-1))),"")))</f>
        <v/>
      </c>
      <c r="I58">
        <f>IF(OR($F58="",$G58=""),"",IF(ISNUMBER(Sync!$AE58),MOD(Sync!$AE58,100),IFERROR(VALUE(TRIM(MID(MID(Sync!$AE58,FIND("/",Sync!$AE58)+1,20),FIND("/",MID(Sync!$AE58,FIND("/",Sync!$AE58)+1,20))+1,20))),"")))</f>
        <v/>
      </c>
      <c r="J58">
        <f>IF($F58="","",IF(OR($G58="",$H58="",$I58="",$G58&lt;1300,$G58&gt;1500,$H58&lt;1,$H58&gt;12,$I58&lt;1,$I58&gt;31),"نامعتبر",RIGHT("0000"&amp;$G58,4)&amp;"/"&amp;RIGHT("00"&amp;$H58,2)&amp;"/"&amp;RIGHT("00"&amp;$I58,2)))</f>
        <v/>
      </c>
      <c r="K58">
        <f>IF(OR($F58="",$J58="",$J58="نامعتبر"),"",LEFT($J58,4)&amp;MID($J58,6,2)&amp;RIGHT($J58,2)&amp;$N58&amp;"|"&amp;"2"&amp;RIGHT("00000"&amp;53,5))</f>
        <v/>
      </c>
      <c r="L58">
        <f>IF($K58="","",COUNTIFS(LdgSellerA,$F58,LdgKeyA,"&lt;"&amp;$K58)+COUNTIFS(LdgSellerB,$F58,LdgKeyB,"&lt;"&amp;$K58)+1)</f>
        <v/>
      </c>
      <c r="M58">
        <f>IF($L58="","",$F58&amp;"|"&amp;RIGHT("000000"&amp;$L58,6))</f>
        <v/>
      </c>
      <c r="N58">
        <f>IF($F58="","",IF(Sync!$AF58="","0000",IF(AND(ISNUMBER(Sync!$AF58),Sync!$AF58&gt;=0,Sync!$AF58&lt;1),RIGHT("00"&amp;HOUR(Sync!$AF58),2)&amp;RIGHT("00"&amp;MINUTE(Sync!$AF58),2),IFERROR(RIGHT("00"&amp;VALUE(LEFT(Sync!$AF58,FIND(":",Sync!$AF58)-1)),2)&amp;RIGHT("00"&amp;VALUE(MID(Sync!$AF58,FIND(":",Sync!$AF58)+1,2)),2),"0000"))))</f>
        <v/>
      </c>
    </row>
    <row r="59">
      <c r="A59">
        <f>IF(OR(Calc!$E63="",Calc!$E63="نامعتبر",Calc!$G63=""),"",Calc!$G63)</f>
        <v/>
      </c>
      <c r="B59">
        <f>IF($A59="","",LEFT(Calc!$E63,4)&amp;MID(Calc!$E63,6,2)&amp;RIGHT(Calc!$E63,2)&amp;Calc!$Q63&amp;"|"&amp;"1"&amp;RIGHT("00000"&amp;54,5))</f>
        <v/>
      </c>
      <c r="C59">
        <f>IF($B59="","",COUNTIFS(LdgSellerA,$A59,LdgKeyA,"&lt;"&amp;$B59)+COUNTIFS(LdgSellerB,$A59,LdgKeyB,"&lt;"&amp;$B59)+1)</f>
        <v/>
      </c>
      <c r="D59">
        <f>IF($C59="","",$A59&amp;"|"&amp;RIGHT("000000"&amp;$C59,6))</f>
        <v/>
      </c>
      <c r="F59">
        <f>IF(Sync!$AH59="","",IF(LEFT(UPPER(TRIM(Sync!$AH59)),2)="SL",UPPER(TRIM(Sync!$AH59)),""))</f>
        <v/>
      </c>
      <c r="G59">
        <f>IF($F59="","",IF(Sync!$AE59="","",IF(ISNUMBER(Sync!$AE59),IF(AND(Sync!$AE59&gt;=10000101,Sync!$AE59&lt;=99991231),INT(Sync!$AE59/10000),""),IFERROR(VALUE(TRIM(LEFT(Sync!$AE59,FIND("/",Sync!$AE59)-1))),""))))</f>
        <v/>
      </c>
      <c r="H59">
        <f>IF(OR($F59="",$G59=""),"",IF(ISNUMBER(Sync!$AE59),INT(MOD(Sync!$AE59,10000)/100),IFERROR(VALUE(TRIM(LEFT(MID(Sync!$AE59,FIND("/",Sync!$AE59)+1,20),FIND("/",MID(Sync!$AE59,FIND("/",Sync!$AE59)+1,20))-1))),"")))</f>
        <v/>
      </c>
      <c r="I59">
        <f>IF(OR($F59="",$G59=""),"",IF(ISNUMBER(Sync!$AE59),MOD(Sync!$AE59,100),IFERROR(VALUE(TRIM(MID(MID(Sync!$AE59,FIND("/",Sync!$AE59)+1,20),FIND("/",MID(Sync!$AE59,FIND("/",Sync!$AE59)+1,20))+1,20))),"")))</f>
        <v/>
      </c>
      <c r="J59">
        <f>IF($F59="","",IF(OR($G59="",$H59="",$I59="",$G59&lt;1300,$G59&gt;1500,$H59&lt;1,$H59&gt;12,$I59&lt;1,$I59&gt;31),"نامعتبر",RIGHT("0000"&amp;$G59,4)&amp;"/"&amp;RIGHT("00"&amp;$H59,2)&amp;"/"&amp;RIGHT("00"&amp;$I59,2)))</f>
        <v/>
      </c>
      <c r="K59">
        <f>IF(OR($F59="",$J59="",$J59="نامعتبر"),"",LEFT($J59,4)&amp;MID($J59,6,2)&amp;RIGHT($J59,2)&amp;$N59&amp;"|"&amp;"2"&amp;RIGHT("00000"&amp;54,5))</f>
        <v/>
      </c>
      <c r="L59">
        <f>IF($K59="","",COUNTIFS(LdgSellerA,$F59,LdgKeyA,"&lt;"&amp;$K59)+COUNTIFS(LdgSellerB,$F59,LdgKeyB,"&lt;"&amp;$K59)+1)</f>
        <v/>
      </c>
      <c r="M59">
        <f>IF($L59="","",$F59&amp;"|"&amp;RIGHT("000000"&amp;$L59,6))</f>
        <v/>
      </c>
      <c r="N59">
        <f>IF($F59="","",IF(Sync!$AF59="","0000",IF(AND(ISNUMBER(Sync!$AF59),Sync!$AF59&gt;=0,Sync!$AF59&lt;1),RIGHT("00"&amp;HOUR(Sync!$AF59),2)&amp;RIGHT("00"&amp;MINUTE(Sync!$AF59),2),IFERROR(RIGHT("00"&amp;VALUE(LEFT(Sync!$AF59,FIND(":",Sync!$AF59)-1)),2)&amp;RIGHT("00"&amp;VALUE(MID(Sync!$AF59,FIND(":",Sync!$AF59)+1,2)),2),"0000"))))</f>
        <v/>
      </c>
    </row>
    <row r="60">
      <c r="A60">
        <f>IF(OR(Calc!$E64="",Calc!$E64="نامعتبر",Calc!$G64=""),"",Calc!$G64)</f>
        <v/>
      </c>
      <c r="B60">
        <f>IF($A60="","",LEFT(Calc!$E64,4)&amp;MID(Calc!$E64,6,2)&amp;RIGHT(Calc!$E64,2)&amp;Calc!$Q64&amp;"|"&amp;"1"&amp;RIGHT("00000"&amp;55,5))</f>
        <v/>
      </c>
      <c r="C60">
        <f>IF($B60="","",COUNTIFS(LdgSellerA,$A60,LdgKeyA,"&lt;"&amp;$B60)+COUNTIFS(LdgSellerB,$A60,LdgKeyB,"&lt;"&amp;$B60)+1)</f>
        <v/>
      </c>
      <c r="D60">
        <f>IF($C60="","",$A60&amp;"|"&amp;RIGHT("000000"&amp;$C60,6))</f>
        <v/>
      </c>
      <c r="F60">
        <f>IF(Sync!$AH60="","",IF(LEFT(UPPER(TRIM(Sync!$AH60)),2)="SL",UPPER(TRIM(Sync!$AH60)),""))</f>
        <v/>
      </c>
      <c r="G60">
        <f>IF($F60="","",IF(Sync!$AE60="","",IF(ISNUMBER(Sync!$AE60),IF(AND(Sync!$AE60&gt;=10000101,Sync!$AE60&lt;=99991231),INT(Sync!$AE60/10000),""),IFERROR(VALUE(TRIM(LEFT(Sync!$AE60,FIND("/",Sync!$AE60)-1))),""))))</f>
        <v/>
      </c>
      <c r="H60">
        <f>IF(OR($F60="",$G60=""),"",IF(ISNUMBER(Sync!$AE60),INT(MOD(Sync!$AE60,10000)/100),IFERROR(VALUE(TRIM(LEFT(MID(Sync!$AE60,FIND("/",Sync!$AE60)+1,20),FIND("/",MID(Sync!$AE60,FIND("/",Sync!$AE60)+1,20))-1))),"")))</f>
        <v/>
      </c>
      <c r="I60">
        <f>IF(OR($F60="",$G60=""),"",IF(ISNUMBER(Sync!$AE60),MOD(Sync!$AE60,100),IFERROR(VALUE(TRIM(MID(MID(Sync!$AE60,FIND("/",Sync!$AE60)+1,20),FIND("/",MID(Sync!$AE60,FIND("/",Sync!$AE60)+1,20))+1,20))),"")))</f>
        <v/>
      </c>
      <c r="J60">
        <f>IF($F60="","",IF(OR($G60="",$H60="",$I60="",$G60&lt;1300,$G60&gt;1500,$H60&lt;1,$H60&gt;12,$I60&lt;1,$I60&gt;31),"نامعتبر",RIGHT("0000"&amp;$G60,4)&amp;"/"&amp;RIGHT("00"&amp;$H60,2)&amp;"/"&amp;RIGHT("00"&amp;$I60,2)))</f>
        <v/>
      </c>
      <c r="K60">
        <f>IF(OR($F60="",$J60="",$J60="نامعتبر"),"",LEFT($J60,4)&amp;MID($J60,6,2)&amp;RIGHT($J60,2)&amp;$N60&amp;"|"&amp;"2"&amp;RIGHT("00000"&amp;55,5))</f>
        <v/>
      </c>
      <c r="L60">
        <f>IF($K60="","",COUNTIFS(LdgSellerA,$F60,LdgKeyA,"&lt;"&amp;$K60)+COUNTIFS(LdgSellerB,$F60,LdgKeyB,"&lt;"&amp;$K60)+1)</f>
        <v/>
      </c>
      <c r="M60">
        <f>IF($L60="","",$F60&amp;"|"&amp;RIGHT("000000"&amp;$L60,6))</f>
        <v/>
      </c>
      <c r="N60">
        <f>IF($F60="","",IF(Sync!$AF60="","0000",IF(AND(ISNUMBER(Sync!$AF60),Sync!$AF60&gt;=0,Sync!$AF60&lt;1),RIGHT("00"&amp;HOUR(Sync!$AF60),2)&amp;RIGHT("00"&amp;MINUTE(Sync!$AF60),2),IFERROR(RIGHT("00"&amp;VALUE(LEFT(Sync!$AF60,FIND(":",Sync!$AF60)-1)),2)&amp;RIGHT("00"&amp;VALUE(MID(Sync!$AF60,FIND(":",Sync!$AF60)+1,2)),2),"0000"))))</f>
        <v/>
      </c>
    </row>
    <row r="61">
      <c r="A61">
        <f>IF(OR(Calc!$E65="",Calc!$E65="نامعتبر",Calc!$G65=""),"",Calc!$G65)</f>
        <v/>
      </c>
      <c r="B61">
        <f>IF($A61="","",LEFT(Calc!$E65,4)&amp;MID(Calc!$E65,6,2)&amp;RIGHT(Calc!$E65,2)&amp;Calc!$Q65&amp;"|"&amp;"1"&amp;RIGHT("00000"&amp;56,5))</f>
        <v/>
      </c>
      <c r="C61">
        <f>IF($B61="","",COUNTIFS(LdgSellerA,$A61,LdgKeyA,"&lt;"&amp;$B61)+COUNTIFS(LdgSellerB,$A61,LdgKeyB,"&lt;"&amp;$B61)+1)</f>
        <v/>
      </c>
      <c r="D61">
        <f>IF($C61="","",$A61&amp;"|"&amp;RIGHT("000000"&amp;$C61,6))</f>
        <v/>
      </c>
      <c r="F61">
        <f>IF(Sync!$AH61="","",IF(LEFT(UPPER(TRIM(Sync!$AH61)),2)="SL",UPPER(TRIM(Sync!$AH61)),""))</f>
        <v/>
      </c>
      <c r="G61">
        <f>IF($F61="","",IF(Sync!$AE61="","",IF(ISNUMBER(Sync!$AE61),IF(AND(Sync!$AE61&gt;=10000101,Sync!$AE61&lt;=99991231),INT(Sync!$AE61/10000),""),IFERROR(VALUE(TRIM(LEFT(Sync!$AE61,FIND("/",Sync!$AE61)-1))),""))))</f>
        <v/>
      </c>
      <c r="H61">
        <f>IF(OR($F61="",$G61=""),"",IF(ISNUMBER(Sync!$AE61),INT(MOD(Sync!$AE61,10000)/100),IFERROR(VALUE(TRIM(LEFT(MID(Sync!$AE61,FIND("/",Sync!$AE61)+1,20),FIND("/",MID(Sync!$AE61,FIND("/",Sync!$AE61)+1,20))-1))),"")))</f>
        <v/>
      </c>
      <c r="I61">
        <f>IF(OR($F61="",$G61=""),"",IF(ISNUMBER(Sync!$AE61),MOD(Sync!$AE61,100),IFERROR(VALUE(TRIM(MID(MID(Sync!$AE61,FIND("/",Sync!$AE61)+1,20),FIND("/",MID(Sync!$AE61,FIND("/",Sync!$AE61)+1,20))+1,20))),"")))</f>
        <v/>
      </c>
      <c r="J61">
        <f>IF($F61="","",IF(OR($G61="",$H61="",$I61="",$G61&lt;1300,$G61&gt;1500,$H61&lt;1,$H61&gt;12,$I61&lt;1,$I61&gt;31),"نامعتبر",RIGHT("0000"&amp;$G61,4)&amp;"/"&amp;RIGHT("00"&amp;$H61,2)&amp;"/"&amp;RIGHT("00"&amp;$I61,2)))</f>
        <v/>
      </c>
      <c r="K61">
        <f>IF(OR($F61="",$J61="",$J61="نامعتبر"),"",LEFT($J61,4)&amp;MID($J61,6,2)&amp;RIGHT($J61,2)&amp;$N61&amp;"|"&amp;"2"&amp;RIGHT("00000"&amp;56,5))</f>
        <v/>
      </c>
      <c r="L61">
        <f>IF($K61="","",COUNTIFS(LdgSellerA,$F61,LdgKeyA,"&lt;"&amp;$K61)+COUNTIFS(LdgSellerB,$F61,LdgKeyB,"&lt;"&amp;$K61)+1)</f>
        <v/>
      </c>
      <c r="M61">
        <f>IF($L61="","",$F61&amp;"|"&amp;RIGHT("000000"&amp;$L61,6))</f>
        <v/>
      </c>
      <c r="N61">
        <f>IF($F61="","",IF(Sync!$AF61="","0000",IF(AND(ISNUMBER(Sync!$AF61),Sync!$AF61&gt;=0,Sync!$AF61&lt;1),RIGHT("00"&amp;HOUR(Sync!$AF61),2)&amp;RIGHT("00"&amp;MINUTE(Sync!$AF61),2),IFERROR(RIGHT("00"&amp;VALUE(LEFT(Sync!$AF61,FIND(":",Sync!$AF61)-1)),2)&amp;RIGHT("00"&amp;VALUE(MID(Sync!$AF61,FIND(":",Sync!$AF61)+1,2)),2),"0000"))))</f>
        <v/>
      </c>
    </row>
    <row r="62">
      <c r="A62">
        <f>IF(OR(Calc!$E66="",Calc!$E66="نامعتبر",Calc!$G66=""),"",Calc!$G66)</f>
        <v/>
      </c>
      <c r="B62">
        <f>IF($A62="","",LEFT(Calc!$E66,4)&amp;MID(Calc!$E66,6,2)&amp;RIGHT(Calc!$E66,2)&amp;Calc!$Q66&amp;"|"&amp;"1"&amp;RIGHT("00000"&amp;57,5))</f>
        <v/>
      </c>
      <c r="C62">
        <f>IF($B62="","",COUNTIFS(LdgSellerA,$A62,LdgKeyA,"&lt;"&amp;$B62)+COUNTIFS(LdgSellerB,$A62,LdgKeyB,"&lt;"&amp;$B62)+1)</f>
        <v/>
      </c>
      <c r="D62">
        <f>IF($C62="","",$A62&amp;"|"&amp;RIGHT("000000"&amp;$C62,6))</f>
        <v/>
      </c>
      <c r="F62">
        <f>IF(Sync!$AH62="","",IF(LEFT(UPPER(TRIM(Sync!$AH62)),2)="SL",UPPER(TRIM(Sync!$AH62)),""))</f>
        <v/>
      </c>
      <c r="G62">
        <f>IF($F62="","",IF(Sync!$AE62="","",IF(ISNUMBER(Sync!$AE62),IF(AND(Sync!$AE62&gt;=10000101,Sync!$AE62&lt;=99991231),INT(Sync!$AE62/10000),""),IFERROR(VALUE(TRIM(LEFT(Sync!$AE62,FIND("/",Sync!$AE62)-1))),""))))</f>
        <v/>
      </c>
      <c r="H62">
        <f>IF(OR($F62="",$G62=""),"",IF(ISNUMBER(Sync!$AE62),INT(MOD(Sync!$AE62,10000)/100),IFERROR(VALUE(TRIM(LEFT(MID(Sync!$AE62,FIND("/",Sync!$AE62)+1,20),FIND("/",MID(Sync!$AE62,FIND("/",Sync!$AE62)+1,20))-1))),"")))</f>
        <v/>
      </c>
      <c r="I62">
        <f>IF(OR($F62="",$G62=""),"",IF(ISNUMBER(Sync!$AE62),MOD(Sync!$AE62,100),IFERROR(VALUE(TRIM(MID(MID(Sync!$AE62,FIND("/",Sync!$AE62)+1,20),FIND("/",MID(Sync!$AE62,FIND("/",Sync!$AE62)+1,20))+1,20))),"")))</f>
        <v/>
      </c>
      <c r="J62">
        <f>IF($F62="","",IF(OR($G62="",$H62="",$I62="",$G62&lt;1300,$G62&gt;1500,$H62&lt;1,$H62&gt;12,$I62&lt;1,$I62&gt;31),"نامعتبر",RIGHT("0000"&amp;$G62,4)&amp;"/"&amp;RIGHT("00"&amp;$H62,2)&amp;"/"&amp;RIGHT("00"&amp;$I62,2)))</f>
        <v/>
      </c>
      <c r="K62">
        <f>IF(OR($F62="",$J62="",$J62="نامعتبر"),"",LEFT($J62,4)&amp;MID($J62,6,2)&amp;RIGHT($J62,2)&amp;$N62&amp;"|"&amp;"2"&amp;RIGHT("00000"&amp;57,5))</f>
        <v/>
      </c>
      <c r="L62">
        <f>IF($K62="","",COUNTIFS(LdgSellerA,$F62,LdgKeyA,"&lt;"&amp;$K62)+COUNTIFS(LdgSellerB,$F62,LdgKeyB,"&lt;"&amp;$K62)+1)</f>
        <v/>
      </c>
      <c r="M62">
        <f>IF($L62="","",$F62&amp;"|"&amp;RIGHT("000000"&amp;$L62,6))</f>
        <v/>
      </c>
      <c r="N62">
        <f>IF($F62="","",IF(Sync!$AF62="","0000",IF(AND(ISNUMBER(Sync!$AF62),Sync!$AF62&gt;=0,Sync!$AF62&lt;1),RIGHT("00"&amp;HOUR(Sync!$AF62),2)&amp;RIGHT("00"&amp;MINUTE(Sync!$AF62),2),IFERROR(RIGHT("00"&amp;VALUE(LEFT(Sync!$AF62,FIND(":",Sync!$AF62)-1)),2)&amp;RIGHT("00"&amp;VALUE(MID(Sync!$AF62,FIND(":",Sync!$AF62)+1,2)),2),"0000"))))</f>
        <v/>
      </c>
    </row>
    <row r="63">
      <c r="A63">
        <f>IF(OR(Calc!$E67="",Calc!$E67="نامعتبر",Calc!$G67=""),"",Calc!$G67)</f>
        <v/>
      </c>
      <c r="B63">
        <f>IF($A63="","",LEFT(Calc!$E67,4)&amp;MID(Calc!$E67,6,2)&amp;RIGHT(Calc!$E67,2)&amp;Calc!$Q67&amp;"|"&amp;"1"&amp;RIGHT("00000"&amp;58,5))</f>
        <v/>
      </c>
      <c r="C63">
        <f>IF($B63="","",COUNTIFS(LdgSellerA,$A63,LdgKeyA,"&lt;"&amp;$B63)+COUNTIFS(LdgSellerB,$A63,LdgKeyB,"&lt;"&amp;$B63)+1)</f>
        <v/>
      </c>
      <c r="D63">
        <f>IF($C63="","",$A63&amp;"|"&amp;RIGHT("000000"&amp;$C63,6))</f>
        <v/>
      </c>
      <c r="F63">
        <f>IF(Sync!$AH63="","",IF(LEFT(UPPER(TRIM(Sync!$AH63)),2)="SL",UPPER(TRIM(Sync!$AH63)),""))</f>
        <v/>
      </c>
      <c r="G63">
        <f>IF($F63="","",IF(Sync!$AE63="","",IF(ISNUMBER(Sync!$AE63),IF(AND(Sync!$AE63&gt;=10000101,Sync!$AE63&lt;=99991231),INT(Sync!$AE63/10000),""),IFERROR(VALUE(TRIM(LEFT(Sync!$AE63,FIND("/",Sync!$AE63)-1))),""))))</f>
        <v/>
      </c>
      <c r="H63">
        <f>IF(OR($F63="",$G63=""),"",IF(ISNUMBER(Sync!$AE63),INT(MOD(Sync!$AE63,10000)/100),IFERROR(VALUE(TRIM(LEFT(MID(Sync!$AE63,FIND("/",Sync!$AE63)+1,20),FIND("/",MID(Sync!$AE63,FIND("/",Sync!$AE63)+1,20))-1))),"")))</f>
        <v/>
      </c>
      <c r="I63">
        <f>IF(OR($F63="",$G63=""),"",IF(ISNUMBER(Sync!$AE63),MOD(Sync!$AE63,100),IFERROR(VALUE(TRIM(MID(MID(Sync!$AE63,FIND("/",Sync!$AE63)+1,20),FIND("/",MID(Sync!$AE63,FIND("/",Sync!$AE63)+1,20))+1,20))),"")))</f>
        <v/>
      </c>
      <c r="J63">
        <f>IF($F63="","",IF(OR($G63="",$H63="",$I63="",$G63&lt;1300,$G63&gt;1500,$H63&lt;1,$H63&gt;12,$I63&lt;1,$I63&gt;31),"نامعتبر",RIGHT("0000"&amp;$G63,4)&amp;"/"&amp;RIGHT("00"&amp;$H63,2)&amp;"/"&amp;RIGHT("00"&amp;$I63,2)))</f>
        <v/>
      </c>
      <c r="K63">
        <f>IF(OR($F63="",$J63="",$J63="نامعتبر"),"",LEFT($J63,4)&amp;MID($J63,6,2)&amp;RIGHT($J63,2)&amp;$N63&amp;"|"&amp;"2"&amp;RIGHT("00000"&amp;58,5))</f>
        <v/>
      </c>
      <c r="L63">
        <f>IF($K63="","",COUNTIFS(LdgSellerA,$F63,LdgKeyA,"&lt;"&amp;$K63)+COUNTIFS(LdgSellerB,$F63,LdgKeyB,"&lt;"&amp;$K63)+1)</f>
        <v/>
      </c>
      <c r="M63">
        <f>IF($L63="","",$F63&amp;"|"&amp;RIGHT("000000"&amp;$L63,6))</f>
        <v/>
      </c>
      <c r="N63">
        <f>IF($F63="","",IF(Sync!$AF63="","0000",IF(AND(ISNUMBER(Sync!$AF63),Sync!$AF63&gt;=0,Sync!$AF63&lt;1),RIGHT("00"&amp;HOUR(Sync!$AF63),2)&amp;RIGHT("00"&amp;MINUTE(Sync!$AF63),2),IFERROR(RIGHT("00"&amp;VALUE(LEFT(Sync!$AF63,FIND(":",Sync!$AF63)-1)),2)&amp;RIGHT("00"&amp;VALUE(MID(Sync!$AF63,FIND(":",Sync!$AF63)+1,2)),2),"0000"))))</f>
        <v/>
      </c>
    </row>
    <row r="64">
      <c r="A64">
        <f>IF(OR(Calc!$E68="",Calc!$E68="نامعتبر",Calc!$G68=""),"",Calc!$G68)</f>
        <v/>
      </c>
      <c r="B64">
        <f>IF($A64="","",LEFT(Calc!$E68,4)&amp;MID(Calc!$E68,6,2)&amp;RIGHT(Calc!$E68,2)&amp;Calc!$Q68&amp;"|"&amp;"1"&amp;RIGHT("00000"&amp;59,5))</f>
        <v/>
      </c>
      <c r="C64">
        <f>IF($B64="","",COUNTIFS(LdgSellerA,$A64,LdgKeyA,"&lt;"&amp;$B64)+COUNTIFS(LdgSellerB,$A64,LdgKeyB,"&lt;"&amp;$B64)+1)</f>
        <v/>
      </c>
      <c r="D64">
        <f>IF($C64="","",$A64&amp;"|"&amp;RIGHT("000000"&amp;$C64,6))</f>
        <v/>
      </c>
      <c r="F64">
        <f>IF(Sync!$AH64="","",IF(LEFT(UPPER(TRIM(Sync!$AH64)),2)="SL",UPPER(TRIM(Sync!$AH64)),""))</f>
        <v/>
      </c>
      <c r="G64">
        <f>IF($F64="","",IF(Sync!$AE64="","",IF(ISNUMBER(Sync!$AE64),IF(AND(Sync!$AE64&gt;=10000101,Sync!$AE64&lt;=99991231),INT(Sync!$AE64/10000),""),IFERROR(VALUE(TRIM(LEFT(Sync!$AE64,FIND("/",Sync!$AE64)-1))),""))))</f>
        <v/>
      </c>
      <c r="H64">
        <f>IF(OR($F64="",$G64=""),"",IF(ISNUMBER(Sync!$AE64),INT(MOD(Sync!$AE64,10000)/100),IFERROR(VALUE(TRIM(LEFT(MID(Sync!$AE64,FIND("/",Sync!$AE64)+1,20),FIND("/",MID(Sync!$AE64,FIND("/",Sync!$AE64)+1,20))-1))),"")))</f>
        <v/>
      </c>
      <c r="I64">
        <f>IF(OR($F64="",$G64=""),"",IF(ISNUMBER(Sync!$AE64),MOD(Sync!$AE64,100),IFERROR(VALUE(TRIM(MID(MID(Sync!$AE64,FIND("/",Sync!$AE64)+1,20),FIND("/",MID(Sync!$AE64,FIND("/",Sync!$AE64)+1,20))+1,20))),"")))</f>
        <v/>
      </c>
      <c r="J64">
        <f>IF($F64="","",IF(OR($G64="",$H64="",$I64="",$G64&lt;1300,$G64&gt;1500,$H64&lt;1,$H64&gt;12,$I64&lt;1,$I64&gt;31),"نامعتبر",RIGHT("0000"&amp;$G64,4)&amp;"/"&amp;RIGHT("00"&amp;$H64,2)&amp;"/"&amp;RIGHT("00"&amp;$I64,2)))</f>
        <v/>
      </c>
      <c r="K64">
        <f>IF(OR($F64="",$J64="",$J64="نامعتبر"),"",LEFT($J64,4)&amp;MID($J64,6,2)&amp;RIGHT($J64,2)&amp;$N64&amp;"|"&amp;"2"&amp;RIGHT("00000"&amp;59,5))</f>
        <v/>
      </c>
      <c r="L64">
        <f>IF($K64="","",COUNTIFS(LdgSellerA,$F64,LdgKeyA,"&lt;"&amp;$K64)+COUNTIFS(LdgSellerB,$F64,LdgKeyB,"&lt;"&amp;$K64)+1)</f>
        <v/>
      </c>
      <c r="M64">
        <f>IF($L64="","",$F64&amp;"|"&amp;RIGHT("000000"&amp;$L64,6))</f>
        <v/>
      </c>
      <c r="N64">
        <f>IF($F64="","",IF(Sync!$AF64="","0000",IF(AND(ISNUMBER(Sync!$AF64),Sync!$AF64&gt;=0,Sync!$AF64&lt;1),RIGHT("00"&amp;HOUR(Sync!$AF64),2)&amp;RIGHT("00"&amp;MINUTE(Sync!$AF64),2),IFERROR(RIGHT("00"&amp;VALUE(LEFT(Sync!$AF64,FIND(":",Sync!$AF64)-1)),2)&amp;RIGHT("00"&amp;VALUE(MID(Sync!$AF64,FIND(":",Sync!$AF64)+1,2)),2),"0000"))))</f>
        <v/>
      </c>
    </row>
    <row r="65">
      <c r="A65">
        <f>IF(OR(Calc!$E69="",Calc!$E69="نامعتبر",Calc!$G69=""),"",Calc!$G69)</f>
        <v/>
      </c>
      <c r="B65">
        <f>IF($A65="","",LEFT(Calc!$E69,4)&amp;MID(Calc!$E69,6,2)&amp;RIGHT(Calc!$E69,2)&amp;Calc!$Q69&amp;"|"&amp;"1"&amp;RIGHT("00000"&amp;60,5))</f>
        <v/>
      </c>
      <c r="C65">
        <f>IF($B65="","",COUNTIFS(LdgSellerA,$A65,LdgKeyA,"&lt;"&amp;$B65)+COUNTIFS(LdgSellerB,$A65,LdgKeyB,"&lt;"&amp;$B65)+1)</f>
        <v/>
      </c>
      <c r="D65">
        <f>IF($C65="","",$A65&amp;"|"&amp;RIGHT("000000"&amp;$C65,6))</f>
        <v/>
      </c>
      <c r="F65">
        <f>IF(Sync!$AH65="","",IF(LEFT(UPPER(TRIM(Sync!$AH65)),2)="SL",UPPER(TRIM(Sync!$AH65)),""))</f>
        <v/>
      </c>
      <c r="G65">
        <f>IF($F65="","",IF(Sync!$AE65="","",IF(ISNUMBER(Sync!$AE65),IF(AND(Sync!$AE65&gt;=10000101,Sync!$AE65&lt;=99991231),INT(Sync!$AE65/10000),""),IFERROR(VALUE(TRIM(LEFT(Sync!$AE65,FIND("/",Sync!$AE65)-1))),""))))</f>
        <v/>
      </c>
      <c r="H65">
        <f>IF(OR($F65="",$G65=""),"",IF(ISNUMBER(Sync!$AE65),INT(MOD(Sync!$AE65,10000)/100),IFERROR(VALUE(TRIM(LEFT(MID(Sync!$AE65,FIND("/",Sync!$AE65)+1,20),FIND("/",MID(Sync!$AE65,FIND("/",Sync!$AE65)+1,20))-1))),"")))</f>
        <v/>
      </c>
      <c r="I65">
        <f>IF(OR($F65="",$G65=""),"",IF(ISNUMBER(Sync!$AE65),MOD(Sync!$AE65,100),IFERROR(VALUE(TRIM(MID(MID(Sync!$AE65,FIND("/",Sync!$AE65)+1,20),FIND("/",MID(Sync!$AE65,FIND("/",Sync!$AE65)+1,20))+1,20))),"")))</f>
        <v/>
      </c>
      <c r="J65">
        <f>IF($F65="","",IF(OR($G65="",$H65="",$I65="",$G65&lt;1300,$G65&gt;1500,$H65&lt;1,$H65&gt;12,$I65&lt;1,$I65&gt;31),"نامعتبر",RIGHT("0000"&amp;$G65,4)&amp;"/"&amp;RIGHT("00"&amp;$H65,2)&amp;"/"&amp;RIGHT("00"&amp;$I65,2)))</f>
        <v/>
      </c>
      <c r="K65">
        <f>IF(OR($F65="",$J65="",$J65="نامعتبر"),"",LEFT($J65,4)&amp;MID($J65,6,2)&amp;RIGHT($J65,2)&amp;$N65&amp;"|"&amp;"2"&amp;RIGHT("00000"&amp;60,5))</f>
        <v/>
      </c>
      <c r="L65">
        <f>IF($K65="","",COUNTIFS(LdgSellerA,$F65,LdgKeyA,"&lt;"&amp;$K65)+COUNTIFS(LdgSellerB,$F65,LdgKeyB,"&lt;"&amp;$K65)+1)</f>
        <v/>
      </c>
      <c r="M65">
        <f>IF($L65="","",$F65&amp;"|"&amp;RIGHT("000000"&amp;$L65,6))</f>
        <v/>
      </c>
      <c r="N65">
        <f>IF($F65="","",IF(Sync!$AF65="","0000",IF(AND(ISNUMBER(Sync!$AF65),Sync!$AF65&gt;=0,Sync!$AF65&lt;1),RIGHT("00"&amp;HOUR(Sync!$AF65),2)&amp;RIGHT("00"&amp;MINUTE(Sync!$AF65),2),IFERROR(RIGHT("00"&amp;VALUE(LEFT(Sync!$AF65,FIND(":",Sync!$AF65)-1)),2)&amp;RIGHT("00"&amp;VALUE(MID(Sync!$AF65,FIND(":",Sync!$AF65)+1,2)),2),"0000"))))</f>
        <v/>
      </c>
    </row>
    <row r="66">
      <c r="A66">
        <f>IF(OR(Calc!$E70="",Calc!$E70="نامعتبر",Calc!$G70=""),"",Calc!$G70)</f>
        <v/>
      </c>
      <c r="B66">
        <f>IF($A66="","",LEFT(Calc!$E70,4)&amp;MID(Calc!$E70,6,2)&amp;RIGHT(Calc!$E70,2)&amp;Calc!$Q70&amp;"|"&amp;"1"&amp;RIGHT("00000"&amp;61,5))</f>
        <v/>
      </c>
      <c r="C66">
        <f>IF($B66="","",COUNTIFS(LdgSellerA,$A66,LdgKeyA,"&lt;"&amp;$B66)+COUNTIFS(LdgSellerB,$A66,LdgKeyB,"&lt;"&amp;$B66)+1)</f>
        <v/>
      </c>
      <c r="D66">
        <f>IF($C66="","",$A66&amp;"|"&amp;RIGHT("000000"&amp;$C66,6))</f>
        <v/>
      </c>
      <c r="F66">
        <f>IF(Sync!$AH66="","",IF(LEFT(UPPER(TRIM(Sync!$AH66)),2)="SL",UPPER(TRIM(Sync!$AH66)),""))</f>
        <v/>
      </c>
      <c r="G66">
        <f>IF($F66="","",IF(Sync!$AE66="","",IF(ISNUMBER(Sync!$AE66),IF(AND(Sync!$AE66&gt;=10000101,Sync!$AE66&lt;=99991231),INT(Sync!$AE66/10000),""),IFERROR(VALUE(TRIM(LEFT(Sync!$AE66,FIND("/",Sync!$AE66)-1))),""))))</f>
        <v/>
      </c>
      <c r="H66">
        <f>IF(OR($F66="",$G66=""),"",IF(ISNUMBER(Sync!$AE66),INT(MOD(Sync!$AE66,10000)/100),IFERROR(VALUE(TRIM(LEFT(MID(Sync!$AE66,FIND("/",Sync!$AE66)+1,20),FIND("/",MID(Sync!$AE66,FIND("/",Sync!$AE66)+1,20))-1))),"")))</f>
        <v/>
      </c>
      <c r="I66">
        <f>IF(OR($F66="",$G66=""),"",IF(ISNUMBER(Sync!$AE66),MOD(Sync!$AE66,100),IFERROR(VALUE(TRIM(MID(MID(Sync!$AE66,FIND("/",Sync!$AE66)+1,20),FIND("/",MID(Sync!$AE66,FIND("/",Sync!$AE66)+1,20))+1,20))),"")))</f>
        <v/>
      </c>
      <c r="J66">
        <f>IF($F66="","",IF(OR($G66="",$H66="",$I66="",$G66&lt;1300,$G66&gt;1500,$H66&lt;1,$H66&gt;12,$I66&lt;1,$I66&gt;31),"نامعتبر",RIGHT("0000"&amp;$G66,4)&amp;"/"&amp;RIGHT("00"&amp;$H66,2)&amp;"/"&amp;RIGHT("00"&amp;$I66,2)))</f>
        <v/>
      </c>
      <c r="K66">
        <f>IF(OR($F66="",$J66="",$J66="نامعتبر"),"",LEFT($J66,4)&amp;MID($J66,6,2)&amp;RIGHT($J66,2)&amp;$N66&amp;"|"&amp;"2"&amp;RIGHT("00000"&amp;61,5))</f>
        <v/>
      </c>
      <c r="L66">
        <f>IF($K66="","",COUNTIFS(LdgSellerA,$F66,LdgKeyA,"&lt;"&amp;$K66)+COUNTIFS(LdgSellerB,$F66,LdgKeyB,"&lt;"&amp;$K66)+1)</f>
        <v/>
      </c>
      <c r="M66">
        <f>IF($L66="","",$F66&amp;"|"&amp;RIGHT("000000"&amp;$L66,6))</f>
        <v/>
      </c>
      <c r="N66">
        <f>IF($F66="","",IF(Sync!$AF66="","0000",IF(AND(ISNUMBER(Sync!$AF66),Sync!$AF66&gt;=0,Sync!$AF66&lt;1),RIGHT("00"&amp;HOUR(Sync!$AF66),2)&amp;RIGHT("00"&amp;MINUTE(Sync!$AF66),2),IFERROR(RIGHT("00"&amp;VALUE(LEFT(Sync!$AF66,FIND(":",Sync!$AF66)-1)),2)&amp;RIGHT("00"&amp;VALUE(MID(Sync!$AF66,FIND(":",Sync!$AF66)+1,2)),2),"0000"))))</f>
        <v/>
      </c>
    </row>
    <row r="67">
      <c r="A67">
        <f>IF(OR(Calc!$E71="",Calc!$E71="نامعتبر",Calc!$G71=""),"",Calc!$G71)</f>
        <v/>
      </c>
      <c r="B67">
        <f>IF($A67="","",LEFT(Calc!$E71,4)&amp;MID(Calc!$E71,6,2)&amp;RIGHT(Calc!$E71,2)&amp;Calc!$Q71&amp;"|"&amp;"1"&amp;RIGHT("00000"&amp;62,5))</f>
        <v/>
      </c>
      <c r="C67">
        <f>IF($B67="","",COUNTIFS(LdgSellerA,$A67,LdgKeyA,"&lt;"&amp;$B67)+COUNTIFS(LdgSellerB,$A67,LdgKeyB,"&lt;"&amp;$B67)+1)</f>
        <v/>
      </c>
      <c r="D67">
        <f>IF($C67="","",$A67&amp;"|"&amp;RIGHT("000000"&amp;$C67,6))</f>
        <v/>
      </c>
      <c r="F67">
        <f>IF(Sync!$AH67="","",IF(LEFT(UPPER(TRIM(Sync!$AH67)),2)="SL",UPPER(TRIM(Sync!$AH67)),""))</f>
        <v/>
      </c>
      <c r="G67">
        <f>IF($F67="","",IF(Sync!$AE67="","",IF(ISNUMBER(Sync!$AE67),IF(AND(Sync!$AE67&gt;=10000101,Sync!$AE67&lt;=99991231),INT(Sync!$AE67/10000),""),IFERROR(VALUE(TRIM(LEFT(Sync!$AE67,FIND("/",Sync!$AE67)-1))),""))))</f>
        <v/>
      </c>
      <c r="H67">
        <f>IF(OR($F67="",$G67=""),"",IF(ISNUMBER(Sync!$AE67),INT(MOD(Sync!$AE67,10000)/100),IFERROR(VALUE(TRIM(LEFT(MID(Sync!$AE67,FIND("/",Sync!$AE67)+1,20),FIND("/",MID(Sync!$AE67,FIND("/",Sync!$AE67)+1,20))-1))),"")))</f>
        <v/>
      </c>
      <c r="I67">
        <f>IF(OR($F67="",$G67=""),"",IF(ISNUMBER(Sync!$AE67),MOD(Sync!$AE67,100),IFERROR(VALUE(TRIM(MID(MID(Sync!$AE67,FIND("/",Sync!$AE67)+1,20),FIND("/",MID(Sync!$AE67,FIND("/",Sync!$AE67)+1,20))+1,20))),"")))</f>
        <v/>
      </c>
      <c r="J67">
        <f>IF($F67="","",IF(OR($G67="",$H67="",$I67="",$G67&lt;1300,$G67&gt;1500,$H67&lt;1,$H67&gt;12,$I67&lt;1,$I67&gt;31),"نامعتبر",RIGHT("0000"&amp;$G67,4)&amp;"/"&amp;RIGHT("00"&amp;$H67,2)&amp;"/"&amp;RIGHT("00"&amp;$I67,2)))</f>
        <v/>
      </c>
      <c r="K67">
        <f>IF(OR($F67="",$J67="",$J67="نامعتبر"),"",LEFT($J67,4)&amp;MID($J67,6,2)&amp;RIGHT($J67,2)&amp;$N67&amp;"|"&amp;"2"&amp;RIGHT("00000"&amp;62,5))</f>
        <v/>
      </c>
      <c r="L67">
        <f>IF($K67="","",COUNTIFS(LdgSellerA,$F67,LdgKeyA,"&lt;"&amp;$K67)+COUNTIFS(LdgSellerB,$F67,LdgKeyB,"&lt;"&amp;$K67)+1)</f>
        <v/>
      </c>
      <c r="M67">
        <f>IF($L67="","",$F67&amp;"|"&amp;RIGHT("000000"&amp;$L67,6))</f>
        <v/>
      </c>
      <c r="N67">
        <f>IF($F67="","",IF(Sync!$AF67="","0000",IF(AND(ISNUMBER(Sync!$AF67),Sync!$AF67&gt;=0,Sync!$AF67&lt;1),RIGHT("00"&amp;HOUR(Sync!$AF67),2)&amp;RIGHT("00"&amp;MINUTE(Sync!$AF67),2),IFERROR(RIGHT("00"&amp;VALUE(LEFT(Sync!$AF67,FIND(":",Sync!$AF67)-1)),2)&amp;RIGHT("00"&amp;VALUE(MID(Sync!$AF67,FIND(":",Sync!$AF67)+1,2)),2),"0000"))))</f>
        <v/>
      </c>
    </row>
    <row r="68">
      <c r="A68">
        <f>IF(OR(Calc!$E72="",Calc!$E72="نامعتبر",Calc!$G72=""),"",Calc!$G72)</f>
        <v/>
      </c>
      <c r="B68">
        <f>IF($A68="","",LEFT(Calc!$E72,4)&amp;MID(Calc!$E72,6,2)&amp;RIGHT(Calc!$E72,2)&amp;Calc!$Q72&amp;"|"&amp;"1"&amp;RIGHT("00000"&amp;63,5))</f>
        <v/>
      </c>
      <c r="C68">
        <f>IF($B68="","",COUNTIFS(LdgSellerA,$A68,LdgKeyA,"&lt;"&amp;$B68)+COUNTIFS(LdgSellerB,$A68,LdgKeyB,"&lt;"&amp;$B68)+1)</f>
        <v/>
      </c>
      <c r="D68">
        <f>IF($C68="","",$A68&amp;"|"&amp;RIGHT("000000"&amp;$C68,6))</f>
        <v/>
      </c>
      <c r="F68">
        <f>IF(Sync!$AH68="","",IF(LEFT(UPPER(TRIM(Sync!$AH68)),2)="SL",UPPER(TRIM(Sync!$AH68)),""))</f>
        <v/>
      </c>
      <c r="G68">
        <f>IF($F68="","",IF(Sync!$AE68="","",IF(ISNUMBER(Sync!$AE68),IF(AND(Sync!$AE68&gt;=10000101,Sync!$AE68&lt;=99991231),INT(Sync!$AE68/10000),""),IFERROR(VALUE(TRIM(LEFT(Sync!$AE68,FIND("/",Sync!$AE68)-1))),""))))</f>
        <v/>
      </c>
      <c r="H68">
        <f>IF(OR($F68="",$G68=""),"",IF(ISNUMBER(Sync!$AE68),INT(MOD(Sync!$AE68,10000)/100),IFERROR(VALUE(TRIM(LEFT(MID(Sync!$AE68,FIND("/",Sync!$AE68)+1,20),FIND("/",MID(Sync!$AE68,FIND("/",Sync!$AE68)+1,20))-1))),"")))</f>
        <v/>
      </c>
      <c r="I68">
        <f>IF(OR($F68="",$G68=""),"",IF(ISNUMBER(Sync!$AE68),MOD(Sync!$AE68,100),IFERROR(VALUE(TRIM(MID(MID(Sync!$AE68,FIND("/",Sync!$AE68)+1,20),FIND("/",MID(Sync!$AE68,FIND("/",Sync!$AE68)+1,20))+1,20))),"")))</f>
        <v/>
      </c>
      <c r="J68">
        <f>IF($F68="","",IF(OR($G68="",$H68="",$I68="",$G68&lt;1300,$G68&gt;1500,$H68&lt;1,$H68&gt;12,$I68&lt;1,$I68&gt;31),"نامعتبر",RIGHT("0000"&amp;$G68,4)&amp;"/"&amp;RIGHT("00"&amp;$H68,2)&amp;"/"&amp;RIGHT("00"&amp;$I68,2)))</f>
        <v/>
      </c>
      <c r="K68">
        <f>IF(OR($F68="",$J68="",$J68="نامعتبر"),"",LEFT($J68,4)&amp;MID($J68,6,2)&amp;RIGHT($J68,2)&amp;$N68&amp;"|"&amp;"2"&amp;RIGHT("00000"&amp;63,5))</f>
        <v/>
      </c>
      <c r="L68">
        <f>IF($K68="","",COUNTIFS(LdgSellerA,$F68,LdgKeyA,"&lt;"&amp;$K68)+COUNTIFS(LdgSellerB,$F68,LdgKeyB,"&lt;"&amp;$K68)+1)</f>
        <v/>
      </c>
      <c r="M68">
        <f>IF($L68="","",$F68&amp;"|"&amp;RIGHT("000000"&amp;$L68,6))</f>
        <v/>
      </c>
      <c r="N68">
        <f>IF($F68="","",IF(Sync!$AF68="","0000",IF(AND(ISNUMBER(Sync!$AF68),Sync!$AF68&gt;=0,Sync!$AF68&lt;1),RIGHT("00"&amp;HOUR(Sync!$AF68),2)&amp;RIGHT("00"&amp;MINUTE(Sync!$AF68),2),IFERROR(RIGHT("00"&amp;VALUE(LEFT(Sync!$AF68,FIND(":",Sync!$AF68)-1)),2)&amp;RIGHT("00"&amp;VALUE(MID(Sync!$AF68,FIND(":",Sync!$AF68)+1,2)),2),"0000"))))</f>
        <v/>
      </c>
    </row>
    <row r="69">
      <c r="A69">
        <f>IF(OR(Calc!$E73="",Calc!$E73="نامعتبر",Calc!$G73=""),"",Calc!$G73)</f>
        <v/>
      </c>
      <c r="B69">
        <f>IF($A69="","",LEFT(Calc!$E73,4)&amp;MID(Calc!$E73,6,2)&amp;RIGHT(Calc!$E73,2)&amp;Calc!$Q73&amp;"|"&amp;"1"&amp;RIGHT("00000"&amp;64,5))</f>
        <v/>
      </c>
      <c r="C69">
        <f>IF($B69="","",COUNTIFS(LdgSellerA,$A69,LdgKeyA,"&lt;"&amp;$B69)+COUNTIFS(LdgSellerB,$A69,LdgKeyB,"&lt;"&amp;$B69)+1)</f>
        <v/>
      </c>
      <c r="D69">
        <f>IF($C69="","",$A69&amp;"|"&amp;RIGHT("000000"&amp;$C69,6))</f>
        <v/>
      </c>
      <c r="F69">
        <f>IF(Sync!$AH69="","",IF(LEFT(UPPER(TRIM(Sync!$AH69)),2)="SL",UPPER(TRIM(Sync!$AH69)),""))</f>
        <v/>
      </c>
      <c r="G69">
        <f>IF($F69="","",IF(Sync!$AE69="","",IF(ISNUMBER(Sync!$AE69),IF(AND(Sync!$AE69&gt;=10000101,Sync!$AE69&lt;=99991231),INT(Sync!$AE69/10000),""),IFERROR(VALUE(TRIM(LEFT(Sync!$AE69,FIND("/",Sync!$AE69)-1))),""))))</f>
        <v/>
      </c>
      <c r="H69">
        <f>IF(OR($F69="",$G69=""),"",IF(ISNUMBER(Sync!$AE69),INT(MOD(Sync!$AE69,10000)/100),IFERROR(VALUE(TRIM(LEFT(MID(Sync!$AE69,FIND("/",Sync!$AE69)+1,20),FIND("/",MID(Sync!$AE69,FIND("/",Sync!$AE69)+1,20))-1))),"")))</f>
        <v/>
      </c>
      <c r="I69">
        <f>IF(OR($F69="",$G69=""),"",IF(ISNUMBER(Sync!$AE69),MOD(Sync!$AE69,100),IFERROR(VALUE(TRIM(MID(MID(Sync!$AE69,FIND("/",Sync!$AE69)+1,20),FIND("/",MID(Sync!$AE69,FIND("/",Sync!$AE69)+1,20))+1,20))),"")))</f>
        <v/>
      </c>
      <c r="J69">
        <f>IF($F69="","",IF(OR($G69="",$H69="",$I69="",$G69&lt;1300,$G69&gt;1500,$H69&lt;1,$H69&gt;12,$I69&lt;1,$I69&gt;31),"نامعتبر",RIGHT("0000"&amp;$G69,4)&amp;"/"&amp;RIGHT("00"&amp;$H69,2)&amp;"/"&amp;RIGHT("00"&amp;$I69,2)))</f>
        <v/>
      </c>
      <c r="K69">
        <f>IF(OR($F69="",$J69="",$J69="نامعتبر"),"",LEFT($J69,4)&amp;MID($J69,6,2)&amp;RIGHT($J69,2)&amp;$N69&amp;"|"&amp;"2"&amp;RIGHT("00000"&amp;64,5))</f>
        <v/>
      </c>
      <c r="L69">
        <f>IF($K69="","",COUNTIFS(LdgSellerA,$F69,LdgKeyA,"&lt;"&amp;$K69)+COUNTIFS(LdgSellerB,$F69,LdgKeyB,"&lt;"&amp;$K69)+1)</f>
        <v/>
      </c>
      <c r="M69">
        <f>IF($L69="","",$F69&amp;"|"&amp;RIGHT("000000"&amp;$L69,6))</f>
        <v/>
      </c>
      <c r="N69">
        <f>IF($F69="","",IF(Sync!$AF69="","0000",IF(AND(ISNUMBER(Sync!$AF69),Sync!$AF69&gt;=0,Sync!$AF69&lt;1),RIGHT("00"&amp;HOUR(Sync!$AF69),2)&amp;RIGHT("00"&amp;MINUTE(Sync!$AF69),2),IFERROR(RIGHT("00"&amp;VALUE(LEFT(Sync!$AF69,FIND(":",Sync!$AF69)-1)),2)&amp;RIGHT("00"&amp;VALUE(MID(Sync!$AF69,FIND(":",Sync!$AF69)+1,2)),2),"0000"))))</f>
        <v/>
      </c>
    </row>
    <row r="70">
      <c r="A70">
        <f>IF(OR(Calc!$E74="",Calc!$E74="نامعتبر",Calc!$G74=""),"",Calc!$G74)</f>
        <v/>
      </c>
      <c r="B70">
        <f>IF($A70="","",LEFT(Calc!$E74,4)&amp;MID(Calc!$E74,6,2)&amp;RIGHT(Calc!$E74,2)&amp;Calc!$Q74&amp;"|"&amp;"1"&amp;RIGHT("00000"&amp;65,5))</f>
        <v/>
      </c>
      <c r="C70">
        <f>IF($B70="","",COUNTIFS(LdgSellerA,$A70,LdgKeyA,"&lt;"&amp;$B70)+COUNTIFS(LdgSellerB,$A70,LdgKeyB,"&lt;"&amp;$B70)+1)</f>
        <v/>
      </c>
      <c r="D70">
        <f>IF($C70="","",$A70&amp;"|"&amp;RIGHT("000000"&amp;$C70,6))</f>
        <v/>
      </c>
      <c r="F70">
        <f>IF(Sync!$AH70="","",IF(LEFT(UPPER(TRIM(Sync!$AH70)),2)="SL",UPPER(TRIM(Sync!$AH70)),""))</f>
        <v/>
      </c>
      <c r="G70">
        <f>IF($F70="","",IF(Sync!$AE70="","",IF(ISNUMBER(Sync!$AE70),IF(AND(Sync!$AE70&gt;=10000101,Sync!$AE70&lt;=99991231),INT(Sync!$AE70/10000),""),IFERROR(VALUE(TRIM(LEFT(Sync!$AE70,FIND("/",Sync!$AE70)-1))),""))))</f>
        <v/>
      </c>
      <c r="H70">
        <f>IF(OR($F70="",$G70=""),"",IF(ISNUMBER(Sync!$AE70),INT(MOD(Sync!$AE70,10000)/100),IFERROR(VALUE(TRIM(LEFT(MID(Sync!$AE70,FIND("/",Sync!$AE70)+1,20),FIND("/",MID(Sync!$AE70,FIND("/",Sync!$AE70)+1,20))-1))),"")))</f>
        <v/>
      </c>
      <c r="I70">
        <f>IF(OR($F70="",$G70=""),"",IF(ISNUMBER(Sync!$AE70),MOD(Sync!$AE70,100),IFERROR(VALUE(TRIM(MID(MID(Sync!$AE70,FIND("/",Sync!$AE70)+1,20),FIND("/",MID(Sync!$AE70,FIND("/",Sync!$AE70)+1,20))+1,20))),"")))</f>
        <v/>
      </c>
      <c r="J70">
        <f>IF($F70="","",IF(OR($G70="",$H70="",$I70="",$G70&lt;1300,$G70&gt;1500,$H70&lt;1,$H70&gt;12,$I70&lt;1,$I70&gt;31),"نامعتبر",RIGHT("0000"&amp;$G70,4)&amp;"/"&amp;RIGHT("00"&amp;$H70,2)&amp;"/"&amp;RIGHT("00"&amp;$I70,2)))</f>
        <v/>
      </c>
      <c r="K70">
        <f>IF(OR($F70="",$J70="",$J70="نامعتبر"),"",LEFT($J70,4)&amp;MID($J70,6,2)&amp;RIGHT($J70,2)&amp;$N70&amp;"|"&amp;"2"&amp;RIGHT("00000"&amp;65,5))</f>
        <v/>
      </c>
      <c r="L70">
        <f>IF($K70="","",COUNTIFS(LdgSellerA,$F70,LdgKeyA,"&lt;"&amp;$K70)+COUNTIFS(LdgSellerB,$F70,LdgKeyB,"&lt;"&amp;$K70)+1)</f>
        <v/>
      </c>
      <c r="M70">
        <f>IF($L70="","",$F70&amp;"|"&amp;RIGHT("000000"&amp;$L70,6))</f>
        <v/>
      </c>
      <c r="N70">
        <f>IF($F70="","",IF(Sync!$AF70="","0000",IF(AND(ISNUMBER(Sync!$AF70),Sync!$AF70&gt;=0,Sync!$AF70&lt;1),RIGHT("00"&amp;HOUR(Sync!$AF70),2)&amp;RIGHT("00"&amp;MINUTE(Sync!$AF70),2),IFERROR(RIGHT("00"&amp;VALUE(LEFT(Sync!$AF70,FIND(":",Sync!$AF70)-1)),2)&amp;RIGHT("00"&amp;VALUE(MID(Sync!$AF70,FIND(":",Sync!$AF70)+1,2)),2),"0000"))))</f>
        <v/>
      </c>
    </row>
    <row r="71">
      <c r="A71">
        <f>IF(OR(Calc!$E75="",Calc!$E75="نامعتبر",Calc!$G75=""),"",Calc!$G75)</f>
        <v/>
      </c>
      <c r="B71">
        <f>IF($A71="","",LEFT(Calc!$E75,4)&amp;MID(Calc!$E75,6,2)&amp;RIGHT(Calc!$E75,2)&amp;Calc!$Q75&amp;"|"&amp;"1"&amp;RIGHT("00000"&amp;66,5))</f>
        <v/>
      </c>
      <c r="C71">
        <f>IF($B71="","",COUNTIFS(LdgSellerA,$A71,LdgKeyA,"&lt;"&amp;$B71)+COUNTIFS(LdgSellerB,$A71,LdgKeyB,"&lt;"&amp;$B71)+1)</f>
        <v/>
      </c>
      <c r="D71">
        <f>IF($C71="","",$A71&amp;"|"&amp;RIGHT("000000"&amp;$C71,6))</f>
        <v/>
      </c>
      <c r="F71">
        <f>IF(Sync!$AH71="","",IF(LEFT(UPPER(TRIM(Sync!$AH71)),2)="SL",UPPER(TRIM(Sync!$AH71)),""))</f>
        <v/>
      </c>
      <c r="G71">
        <f>IF($F71="","",IF(Sync!$AE71="","",IF(ISNUMBER(Sync!$AE71),IF(AND(Sync!$AE71&gt;=10000101,Sync!$AE71&lt;=99991231),INT(Sync!$AE71/10000),""),IFERROR(VALUE(TRIM(LEFT(Sync!$AE71,FIND("/",Sync!$AE71)-1))),""))))</f>
        <v/>
      </c>
      <c r="H71">
        <f>IF(OR($F71="",$G71=""),"",IF(ISNUMBER(Sync!$AE71),INT(MOD(Sync!$AE71,10000)/100),IFERROR(VALUE(TRIM(LEFT(MID(Sync!$AE71,FIND("/",Sync!$AE71)+1,20),FIND("/",MID(Sync!$AE71,FIND("/",Sync!$AE71)+1,20))-1))),"")))</f>
        <v/>
      </c>
      <c r="I71">
        <f>IF(OR($F71="",$G71=""),"",IF(ISNUMBER(Sync!$AE71),MOD(Sync!$AE71,100),IFERROR(VALUE(TRIM(MID(MID(Sync!$AE71,FIND("/",Sync!$AE71)+1,20),FIND("/",MID(Sync!$AE71,FIND("/",Sync!$AE71)+1,20))+1,20))),"")))</f>
        <v/>
      </c>
      <c r="J71">
        <f>IF($F71="","",IF(OR($G71="",$H71="",$I71="",$G71&lt;1300,$G71&gt;1500,$H71&lt;1,$H71&gt;12,$I71&lt;1,$I71&gt;31),"نامعتبر",RIGHT("0000"&amp;$G71,4)&amp;"/"&amp;RIGHT("00"&amp;$H71,2)&amp;"/"&amp;RIGHT("00"&amp;$I71,2)))</f>
        <v/>
      </c>
      <c r="K71">
        <f>IF(OR($F71="",$J71="",$J71="نامعتبر"),"",LEFT($J71,4)&amp;MID($J71,6,2)&amp;RIGHT($J71,2)&amp;$N71&amp;"|"&amp;"2"&amp;RIGHT("00000"&amp;66,5))</f>
        <v/>
      </c>
      <c r="L71">
        <f>IF($K71="","",COUNTIFS(LdgSellerA,$F71,LdgKeyA,"&lt;"&amp;$K71)+COUNTIFS(LdgSellerB,$F71,LdgKeyB,"&lt;"&amp;$K71)+1)</f>
        <v/>
      </c>
      <c r="M71">
        <f>IF($L71="","",$F71&amp;"|"&amp;RIGHT("000000"&amp;$L71,6))</f>
        <v/>
      </c>
      <c r="N71">
        <f>IF($F71="","",IF(Sync!$AF71="","0000",IF(AND(ISNUMBER(Sync!$AF71),Sync!$AF71&gt;=0,Sync!$AF71&lt;1),RIGHT("00"&amp;HOUR(Sync!$AF71),2)&amp;RIGHT("00"&amp;MINUTE(Sync!$AF71),2),IFERROR(RIGHT("00"&amp;VALUE(LEFT(Sync!$AF71,FIND(":",Sync!$AF71)-1)),2)&amp;RIGHT("00"&amp;VALUE(MID(Sync!$AF71,FIND(":",Sync!$AF71)+1,2)),2),"0000"))))</f>
        <v/>
      </c>
    </row>
    <row r="72">
      <c r="A72">
        <f>IF(OR(Calc!$E76="",Calc!$E76="نامعتبر",Calc!$G76=""),"",Calc!$G76)</f>
        <v/>
      </c>
      <c r="B72">
        <f>IF($A72="","",LEFT(Calc!$E76,4)&amp;MID(Calc!$E76,6,2)&amp;RIGHT(Calc!$E76,2)&amp;Calc!$Q76&amp;"|"&amp;"1"&amp;RIGHT("00000"&amp;67,5))</f>
        <v/>
      </c>
      <c r="C72">
        <f>IF($B72="","",COUNTIFS(LdgSellerA,$A72,LdgKeyA,"&lt;"&amp;$B72)+COUNTIFS(LdgSellerB,$A72,LdgKeyB,"&lt;"&amp;$B72)+1)</f>
        <v/>
      </c>
      <c r="D72">
        <f>IF($C72="","",$A72&amp;"|"&amp;RIGHT("000000"&amp;$C72,6))</f>
        <v/>
      </c>
      <c r="F72">
        <f>IF(Sync!$AH72="","",IF(LEFT(UPPER(TRIM(Sync!$AH72)),2)="SL",UPPER(TRIM(Sync!$AH72)),""))</f>
        <v/>
      </c>
      <c r="G72">
        <f>IF($F72="","",IF(Sync!$AE72="","",IF(ISNUMBER(Sync!$AE72),IF(AND(Sync!$AE72&gt;=10000101,Sync!$AE72&lt;=99991231),INT(Sync!$AE72/10000),""),IFERROR(VALUE(TRIM(LEFT(Sync!$AE72,FIND("/",Sync!$AE72)-1))),""))))</f>
        <v/>
      </c>
      <c r="H72">
        <f>IF(OR($F72="",$G72=""),"",IF(ISNUMBER(Sync!$AE72),INT(MOD(Sync!$AE72,10000)/100),IFERROR(VALUE(TRIM(LEFT(MID(Sync!$AE72,FIND("/",Sync!$AE72)+1,20),FIND("/",MID(Sync!$AE72,FIND("/",Sync!$AE72)+1,20))-1))),"")))</f>
        <v/>
      </c>
      <c r="I72">
        <f>IF(OR($F72="",$G72=""),"",IF(ISNUMBER(Sync!$AE72),MOD(Sync!$AE72,100),IFERROR(VALUE(TRIM(MID(MID(Sync!$AE72,FIND("/",Sync!$AE72)+1,20),FIND("/",MID(Sync!$AE72,FIND("/",Sync!$AE72)+1,20))+1,20))),"")))</f>
        <v/>
      </c>
      <c r="J72">
        <f>IF($F72="","",IF(OR($G72="",$H72="",$I72="",$G72&lt;1300,$G72&gt;1500,$H72&lt;1,$H72&gt;12,$I72&lt;1,$I72&gt;31),"نامعتبر",RIGHT("0000"&amp;$G72,4)&amp;"/"&amp;RIGHT("00"&amp;$H72,2)&amp;"/"&amp;RIGHT("00"&amp;$I72,2)))</f>
        <v/>
      </c>
      <c r="K72">
        <f>IF(OR($F72="",$J72="",$J72="نامعتبر"),"",LEFT($J72,4)&amp;MID($J72,6,2)&amp;RIGHT($J72,2)&amp;$N72&amp;"|"&amp;"2"&amp;RIGHT("00000"&amp;67,5))</f>
        <v/>
      </c>
      <c r="L72">
        <f>IF($K72="","",COUNTIFS(LdgSellerA,$F72,LdgKeyA,"&lt;"&amp;$K72)+COUNTIFS(LdgSellerB,$F72,LdgKeyB,"&lt;"&amp;$K72)+1)</f>
        <v/>
      </c>
      <c r="M72">
        <f>IF($L72="","",$F72&amp;"|"&amp;RIGHT("000000"&amp;$L72,6))</f>
        <v/>
      </c>
      <c r="N72">
        <f>IF($F72="","",IF(Sync!$AF72="","0000",IF(AND(ISNUMBER(Sync!$AF72),Sync!$AF72&gt;=0,Sync!$AF72&lt;1),RIGHT("00"&amp;HOUR(Sync!$AF72),2)&amp;RIGHT("00"&amp;MINUTE(Sync!$AF72),2),IFERROR(RIGHT("00"&amp;VALUE(LEFT(Sync!$AF72,FIND(":",Sync!$AF72)-1)),2)&amp;RIGHT("00"&amp;VALUE(MID(Sync!$AF72,FIND(":",Sync!$AF72)+1,2)),2),"0000"))))</f>
        <v/>
      </c>
    </row>
    <row r="73">
      <c r="A73">
        <f>IF(OR(Calc!$E77="",Calc!$E77="نامعتبر",Calc!$G77=""),"",Calc!$G77)</f>
        <v/>
      </c>
      <c r="B73">
        <f>IF($A73="","",LEFT(Calc!$E77,4)&amp;MID(Calc!$E77,6,2)&amp;RIGHT(Calc!$E77,2)&amp;Calc!$Q77&amp;"|"&amp;"1"&amp;RIGHT("00000"&amp;68,5))</f>
        <v/>
      </c>
      <c r="C73">
        <f>IF($B73="","",COUNTIFS(LdgSellerA,$A73,LdgKeyA,"&lt;"&amp;$B73)+COUNTIFS(LdgSellerB,$A73,LdgKeyB,"&lt;"&amp;$B73)+1)</f>
        <v/>
      </c>
      <c r="D73">
        <f>IF($C73="","",$A73&amp;"|"&amp;RIGHT("000000"&amp;$C73,6))</f>
        <v/>
      </c>
      <c r="F73">
        <f>IF(Sync!$AH73="","",IF(LEFT(UPPER(TRIM(Sync!$AH73)),2)="SL",UPPER(TRIM(Sync!$AH73)),""))</f>
        <v/>
      </c>
      <c r="G73">
        <f>IF($F73="","",IF(Sync!$AE73="","",IF(ISNUMBER(Sync!$AE73),IF(AND(Sync!$AE73&gt;=10000101,Sync!$AE73&lt;=99991231),INT(Sync!$AE73/10000),""),IFERROR(VALUE(TRIM(LEFT(Sync!$AE73,FIND("/",Sync!$AE73)-1))),""))))</f>
        <v/>
      </c>
      <c r="H73">
        <f>IF(OR($F73="",$G73=""),"",IF(ISNUMBER(Sync!$AE73),INT(MOD(Sync!$AE73,10000)/100),IFERROR(VALUE(TRIM(LEFT(MID(Sync!$AE73,FIND("/",Sync!$AE73)+1,20),FIND("/",MID(Sync!$AE73,FIND("/",Sync!$AE73)+1,20))-1))),"")))</f>
        <v/>
      </c>
      <c r="I73">
        <f>IF(OR($F73="",$G73=""),"",IF(ISNUMBER(Sync!$AE73),MOD(Sync!$AE73,100),IFERROR(VALUE(TRIM(MID(MID(Sync!$AE73,FIND("/",Sync!$AE73)+1,20),FIND("/",MID(Sync!$AE73,FIND("/",Sync!$AE73)+1,20))+1,20))),"")))</f>
        <v/>
      </c>
      <c r="J73">
        <f>IF($F73="","",IF(OR($G73="",$H73="",$I73="",$G73&lt;1300,$G73&gt;1500,$H73&lt;1,$H73&gt;12,$I73&lt;1,$I73&gt;31),"نامعتبر",RIGHT("0000"&amp;$G73,4)&amp;"/"&amp;RIGHT("00"&amp;$H73,2)&amp;"/"&amp;RIGHT("00"&amp;$I73,2)))</f>
        <v/>
      </c>
      <c r="K73">
        <f>IF(OR($F73="",$J73="",$J73="نامعتبر"),"",LEFT($J73,4)&amp;MID($J73,6,2)&amp;RIGHT($J73,2)&amp;$N73&amp;"|"&amp;"2"&amp;RIGHT("00000"&amp;68,5))</f>
        <v/>
      </c>
      <c r="L73">
        <f>IF($K73="","",COUNTIFS(LdgSellerA,$F73,LdgKeyA,"&lt;"&amp;$K73)+COUNTIFS(LdgSellerB,$F73,LdgKeyB,"&lt;"&amp;$K73)+1)</f>
        <v/>
      </c>
      <c r="M73">
        <f>IF($L73="","",$F73&amp;"|"&amp;RIGHT("000000"&amp;$L73,6))</f>
        <v/>
      </c>
      <c r="N73">
        <f>IF($F73="","",IF(Sync!$AF73="","0000",IF(AND(ISNUMBER(Sync!$AF73),Sync!$AF73&gt;=0,Sync!$AF73&lt;1),RIGHT("00"&amp;HOUR(Sync!$AF73),2)&amp;RIGHT("00"&amp;MINUTE(Sync!$AF73),2),IFERROR(RIGHT("00"&amp;VALUE(LEFT(Sync!$AF73,FIND(":",Sync!$AF73)-1)),2)&amp;RIGHT("00"&amp;VALUE(MID(Sync!$AF73,FIND(":",Sync!$AF73)+1,2)),2),"0000"))))</f>
        <v/>
      </c>
    </row>
    <row r="74">
      <c r="A74">
        <f>IF(OR(Calc!$E78="",Calc!$E78="نامعتبر",Calc!$G78=""),"",Calc!$G78)</f>
        <v/>
      </c>
      <c r="B74">
        <f>IF($A74="","",LEFT(Calc!$E78,4)&amp;MID(Calc!$E78,6,2)&amp;RIGHT(Calc!$E78,2)&amp;Calc!$Q78&amp;"|"&amp;"1"&amp;RIGHT("00000"&amp;69,5))</f>
        <v/>
      </c>
      <c r="C74">
        <f>IF($B74="","",COUNTIFS(LdgSellerA,$A74,LdgKeyA,"&lt;"&amp;$B74)+COUNTIFS(LdgSellerB,$A74,LdgKeyB,"&lt;"&amp;$B74)+1)</f>
        <v/>
      </c>
      <c r="D74">
        <f>IF($C74="","",$A74&amp;"|"&amp;RIGHT("000000"&amp;$C74,6))</f>
        <v/>
      </c>
      <c r="F74">
        <f>IF(Sync!$AH74="","",IF(LEFT(UPPER(TRIM(Sync!$AH74)),2)="SL",UPPER(TRIM(Sync!$AH74)),""))</f>
        <v/>
      </c>
      <c r="G74">
        <f>IF($F74="","",IF(Sync!$AE74="","",IF(ISNUMBER(Sync!$AE74),IF(AND(Sync!$AE74&gt;=10000101,Sync!$AE74&lt;=99991231),INT(Sync!$AE74/10000),""),IFERROR(VALUE(TRIM(LEFT(Sync!$AE74,FIND("/",Sync!$AE74)-1))),""))))</f>
        <v/>
      </c>
      <c r="H74">
        <f>IF(OR($F74="",$G74=""),"",IF(ISNUMBER(Sync!$AE74),INT(MOD(Sync!$AE74,10000)/100),IFERROR(VALUE(TRIM(LEFT(MID(Sync!$AE74,FIND("/",Sync!$AE74)+1,20),FIND("/",MID(Sync!$AE74,FIND("/",Sync!$AE74)+1,20))-1))),"")))</f>
        <v/>
      </c>
      <c r="I74">
        <f>IF(OR($F74="",$G74=""),"",IF(ISNUMBER(Sync!$AE74),MOD(Sync!$AE74,100),IFERROR(VALUE(TRIM(MID(MID(Sync!$AE74,FIND("/",Sync!$AE74)+1,20),FIND("/",MID(Sync!$AE74,FIND("/",Sync!$AE74)+1,20))+1,20))),"")))</f>
        <v/>
      </c>
      <c r="J74">
        <f>IF($F74="","",IF(OR($G74="",$H74="",$I74="",$G74&lt;1300,$G74&gt;1500,$H74&lt;1,$H74&gt;12,$I74&lt;1,$I74&gt;31),"نامعتبر",RIGHT("0000"&amp;$G74,4)&amp;"/"&amp;RIGHT("00"&amp;$H74,2)&amp;"/"&amp;RIGHT("00"&amp;$I74,2)))</f>
        <v/>
      </c>
      <c r="K74">
        <f>IF(OR($F74="",$J74="",$J74="نامعتبر"),"",LEFT($J74,4)&amp;MID($J74,6,2)&amp;RIGHT($J74,2)&amp;$N74&amp;"|"&amp;"2"&amp;RIGHT("00000"&amp;69,5))</f>
        <v/>
      </c>
      <c r="L74">
        <f>IF($K74="","",COUNTIFS(LdgSellerA,$F74,LdgKeyA,"&lt;"&amp;$K74)+COUNTIFS(LdgSellerB,$F74,LdgKeyB,"&lt;"&amp;$K74)+1)</f>
        <v/>
      </c>
      <c r="M74">
        <f>IF($L74="","",$F74&amp;"|"&amp;RIGHT("000000"&amp;$L74,6))</f>
        <v/>
      </c>
      <c r="N74">
        <f>IF($F74="","",IF(Sync!$AF74="","0000",IF(AND(ISNUMBER(Sync!$AF74),Sync!$AF74&gt;=0,Sync!$AF74&lt;1),RIGHT("00"&amp;HOUR(Sync!$AF74),2)&amp;RIGHT("00"&amp;MINUTE(Sync!$AF74),2),IFERROR(RIGHT("00"&amp;VALUE(LEFT(Sync!$AF74,FIND(":",Sync!$AF74)-1)),2)&amp;RIGHT("00"&amp;VALUE(MID(Sync!$AF74,FIND(":",Sync!$AF74)+1,2)),2),"0000"))))</f>
        <v/>
      </c>
    </row>
    <row r="75">
      <c r="A75">
        <f>IF(OR(Calc!$E79="",Calc!$E79="نامعتبر",Calc!$G79=""),"",Calc!$G79)</f>
        <v/>
      </c>
      <c r="B75">
        <f>IF($A75="","",LEFT(Calc!$E79,4)&amp;MID(Calc!$E79,6,2)&amp;RIGHT(Calc!$E79,2)&amp;Calc!$Q79&amp;"|"&amp;"1"&amp;RIGHT("00000"&amp;70,5))</f>
        <v/>
      </c>
      <c r="C75">
        <f>IF($B75="","",COUNTIFS(LdgSellerA,$A75,LdgKeyA,"&lt;"&amp;$B75)+COUNTIFS(LdgSellerB,$A75,LdgKeyB,"&lt;"&amp;$B75)+1)</f>
        <v/>
      </c>
      <c r="D75">
        <f>IF($C75="","",$A75&amp;"|"&amp;RIGHT("000000"&amp;$C75,6))</f>
        <v/>
      </c>
      <c r="F75">
        <f>IF(Sync!$AH75="","",IF(LEFT(UPPER(TRIM(Sync!$AH75)),2)="SL",UPPER(TRIM(Sync!$AH75)),""))</f>
        <v/>
      </c>
      <c r="G75">
        <f>IF($F75="","",IF(Sync!$AE75="","",IF(ISNUMBER(Sync!$AE75),IF(AND(Sync!$AE75&gt;=10000101,Sync!$AE75&lt;=99991231),INT(Sync!$AE75/10000),""),IFERROR(VALUE(TRIM(LEFT(Sync!$AE75,FIND("/",Sync!$AE75)-1))),""))))</f>
        <v/>
      </c>
      <c r="H75">
        <f>IF(OR($F75="",$G75=""),"",IF(ISNUMBER(Sync!$AE75),INT(MOD(Sync!$AE75,10000)/100),IFERROR(VALUE(TRIM(LEFT(MID(Sync!$AE75,FIND("/",Sync!$AE75)+1,20),FIND("/",MID(Sync!$AE75,FIND("/",Sync!$AE75)+1,20))-1))),"")))</f>
        <v/>
      </c>
      <c r="I75">
        <f>IF(OR($F75="",$G75=""),"",IF(ISNUMBER(Sync!$AE75),MOD(Sync!$AE75,100),IFERROR(VALUE(TRIM(MID(MID(Sync!$AE75,FIND("/",Sync!$AE75)+1,20),FIND("/",MID(Sync!$AE75,FIND("/",Sync!$AE75)+1,20))+1,20))),"")))</f>
        <v/>
      </c>
      <c r="J75">
        <f>IF($F75="","",IF(OR($G75="",$H75="",$I75="",$G75&lt;1300,$G75&gt;1500,$H75&lt;1,$H75&gt;12,$I75&lt;1,$I75&gt;31),"نامعتبر",RIGHT("0000"&amp;$G75,4)&amp;"/"&amp;RIGHT("00"&amp;$H75,2)&amp;"/"&amp;RIGHT("00"&amp;$I75,2)))</f>
        <v/>
      </c>
      <c r="K75">
        <f>IF(OR($F75="",$J75="",$J75="نامعتبر"),"",LEFT($J75,4)&amp;MID($J75,6,2)&amp;RIGHT($J75,2)&amp;$N75&amp;"|"&amp;"2"&amp;RIGHT("00000"&amp;70,5))</f>
        <v/>
      </c>
      <c r="L75">
        <f>IF($K75="","",COUNTIFS(LdgSellerA,$F75,LdgKeyA,"&lt;"&amp;$K75)+COUNTIFS(LdgSellerB,$F75,LdgKeyB,"&lt;"&amp;$K75)+1)</f>
        <v/>
      </c>
      <c r="M75">
        <f>IF($L75="","",$F75&amp;"|"&amp;RIGHT("000000"&amp;$L75,6))</f>
        <v/>
      </c>
      <c r="N75">
        <f>IF($F75="","",IF(Sync!$AF75="","0000",IF(AND(ISNUMBER(Sync!$AF75),Sync!$AF75&gt;=0,Sync!$AF75&lt;1),RIGHT("00"&amp;HOUR(Sync!$AF75),2)&amp;RIGHT("00"&amp;MINUTE(Sync!$AF75),2),IFERROR(RIGHT("00"&amp;VALUE(LEFT(Sync!$AF75,FIND(":",Sync!$AF75)-1)),2)&amp;RIGHT("00"&amp;VALUE(MID(Sync!$AF75,FIND(":",Sync!$AF75)+1,2)),2),"0000"))))</f>
        <v/>
      </c>
    </row>
    <row r="76">
      <c r="A76">
        <f>IF(OR(Calc!$E80="",Calc!$E80="نامعتبر",Calc!$G80=""),"",Calc!$G80)</f>
        <v/>
      </c>
      <c r="B76">
        <f>IF($A76="","",LEFT(Calc!$E80,4)&amp;MID(Calc!$E80,6,2)&amp;RIGHT(Calc!$E80,2)&amp;Calc!$Q80&amp;"|"&amp;"1"&amp;RIGHT("00000"&amp;71,5))</f>
        <v/>
      </c>
      <c r="C76">
        <f>IF($B76="","",COUNTIFS(LdgSellerA,$A76,LdgKeyA,"&lt;"&amp;$B76)+COUNTIFS(LdgSellerB,$A76,LdgKeyB,"&lt;"&amp;$B76)+1)</f>
        <v/>
      </c>
      <c r="D76">
        <f>IF($C76="","",$A76&amp;"|"&amp;RIGHT("000000"&amp;$C76,6))</f>
        <v/>
      </c>
      <c r="F76">
        <f>IF(Sync!$AH76="","",IF(LEFT(UPPER(TRIM(Sync!$AH76)),2)="SL",UPPER(TRIM(Sync!$AH76)),""))</f>
        <v/>
      </c>
      <c r="G76">
        <f>IF($F76="","",IF(Sync!$AE76="","",IF(ISNUMBER(Sync!$AE76),IF(AND(Sync!$AE76&gt;=10000101,Sync!$AE76&lt;=99991231),INT(Sync!$AE76/10000),""),IFERROR(VALUE(TRIM(LEFT(Sync!$AE76,FIND("/",Sync!$AE76)-1))),""))))</f>
        <v/>
      </c>
      <c r="H76">
        <f>IF(OR($F76="",$G76=""),"",IF(ISNUMBER(Sync!$AE76),INT(MOD(Sync!$AE76,10000)/100),IFERROR(VALUE(TRIM(LEFT(MID(Sync!$AE76,FIND("/",Sync!$AE76)+1,20),FIND("/",MID(Sync!$AE76,FIND("/",Sync!$AE76)+1,20))-1))),"")))</f>
        <v/>
      </c>
      <c r="I76">
        <f>IF(OR($F76="",$G76=""),"",IF(ISNUMBER(Sync!$AE76),MOD(Sync!$AE76,100),IFERROR(VALUE(TRIM(MID(MID(Sync!$AE76,FIND("/",Sync!$AE76)+1,20),FIND("/",MID(Sync!$AE76,FIND("/",Sync!$AE76)+1,20))+1,20))),"")))</f>
        <v/>
      </c>
      <c r="J76">
        <f>IF($F76="","",IF(OR($G76="",$H76="",$I76="",$G76&lt;1300,$G76&gt;1500,$H76&lt;1,$H76&gt;12,$I76&lt;1,$I76&gt;31),"نامعتبر",RIGHT("0000"&amp;$G76,4)&amp;"/"&amp;RIGHT("00"&amp;$H76,2)&amp;"/"&amp;RIGHT("00"&amp;$I76,2)))</f>
        <v/>
      </c>
      <c r="K76">
        <f>IF(OR($F76="",$J76="",$J76="نامعتبر"),"",LEFT($J76,4)&amp;MID($J76,6,2)&amp;RIGHT($J76,2)&amp;$N76&amp;"|"&amp;"2"&amp;RIGHT("00000"&amp;71,5))</f>
        <v/>
      </c>
      <c r="L76">
        <f>IF($K76="","",COUNTIFS(LdgSellerA,$F76,LdgKeyA,"&lt;"&amp;$K76)+COUNTIFS(LdgSellerB,$F76,LdgKeyB,"&lt;"&amp;$K76)+1)</f>
        <v/>
      </c>
      <c r="M76">
        <f>IF($L76="","",$F76&amp;"|"&amp;RIGHT("000000"&amp;$L76,6))</f>
        <v/>
      </c>
      <c r="N76">
        <f>IF($F76="","",IF(Sync!$AF76="","0000",IF(AND(ISNUMBER(Sync!$AF76),Sync!$AF76&gt;=0,Sync!$AF76&lt;1),RIGHT("00"&amp;HOUR(Sync!$AF76),2)&amp;RIGHT("00"&amp;MINUTE(Sync!$AF76),2),IFERROR(RIGHT("00"&amp;VALUE(LEFT(Sync!$AF76,FIND(":",Sync!$AF76)-1)),2)&amp;RIGHT("00"&amp;VALUE(MID(Sync!$AF76,FIND(":",Sync!$AF76)+1,2)),2),"0000"))))</f>
        <v/>
      </c>
    </row>
    <row r="77">
      <c r="A77">
        <f>IF(OR(Calc!$E81="",Calc!$E81="نامعتبر",Calc!$G81=""),"",Calc!$G81)</f>
        <v/>
      </c>
      <c r="B77">
        <f>IF($A77="","",LEFT(Calc!$E81,4)&amp;MID(Calc!$E81,6,2)&amp;RIGHT(Calc!$E81,2)&amp;Calc!$Q81&amp;"|"&amp;"1"&amp;RIGHT("00000"&amp;72,5))</f>
        <v/>
      </c>
      <c r="C77">
        <f>IF($B77="","",COUNTIFS(LdgSellerA,$A77,LdgKeyA,"&lt;"&amp;$B77)+COUNTIFS(LdgSellerB,$A77,LdgKeyB,"&lt;"&amp;$B77)+1)</f>
        <v/>
      </c>
      <c r="D77">
        <f>IF($C77="","",$A77&amp;"|"&amp;RIGHT("000000"&amp;$C77,6))</f>
        <v/>
      </c>
      <c r="F77">
        <f>IF(Sync!$AH77="","",IF(LEFT(UPPER(TRIM(Sync!$AH77)),2)="SL",UPPER(TRIM(Sync!$AH77)),""))</f>
        <v/>
      </c>
      <c r="G77">
        <f>IF($F77="","",IF(Sync!$AE77="","",IF(ISNUMBER(Sync!$AE77),IF(AND(Sync!$AE77&gt;=10000101,Sync!$AE77&lt;=99991231),INT(Sync!$AE77/10000),""),IFERROR(VALUE(TRIM(LEFT(Sync!$AE77,FIND("/",Sync!$AE77)-1))),""))))</f>
        <v/>
      </c>
      <c r="H77">
        <f>IF(OR($F77="",$G77=""),"",IF(ISNUMBER(Sync!$AE77),INT(MOD(Sync!$AE77,10000)/100),IFERROR(VALUE(TRIM(LEFT(MID(Sync!$AE77,FIND("/",Sync!$AE77)+1,20),FIND("/",MID(Sync!$AE77,FIND("/",Sync!$AE77)+1,20))-1))),"")))</f>
        <v/>
      </c>
      <c r="I77">
        <f>IF(OR($F77="",$G77=""),"",IF(ISNUMBER(Sync!$AE77),MOD(Sync!$AE77,100),IFERROR(VALUE(TRIM(MID(MID(Sync!$AE77,FIND("/",Sync!$AE77)+1,20),FIND("/",MID(Sync!$AE77,FIND("/",Sync!$AE77)+1,20))+1,20))),"")))</f>
        <v/>
      </c>
      <c r="J77">
        <f>IF($F77="","",IF(OR($G77="",$H77="",$I77="",$G77&lt;1300,$G77&gt;1500,$H77&lt;1,$H77&gt;12,$I77&lt;1,$I77&gt;31),"نامعتبر",RIGHT("0000"&amp;$G77,4)&amp;"/"&amp;RIGHT("00"&amp;$H77,2)&amp;"/"&amp;RIGHT("00"&amp;$I77,2)))</f>
        <v/>
      </c>
      <c r="K77">
        <f>IF(OR($F77="",$J77="",$J77="نامعتبر"),"",LEFT($J77,4)&amp;MID($J77,6,2)&amp;RIGHT($J77,2)&amp;$N77&amp;"|"&amp;"2"&amp;RIGHT("00000"&amp;72,5))</f>
        <v/>
      </c>
      <c r="L77">
        <f>IF($K77="","",COUNTIFS(LdgSellerA,$F77,LdgKeyA,"&lt;"&amp;$K77)+COUNTIFS(LdgSellerB,$F77,LdgKeyB,"&lt;"&amp;$K77)+1)</f>
        <v/>
      </c>
      <c r="M77">
        <f>IF($L77="","",$F77&amp;"|"&amp;RIGHT("000000"&amp;$L77,6))</f>
        <v/>
      </c>
      <c r="N77">
        <f>IF($F77="","",IF(Sync!$AF77="","0000",IF(AND(ISNUMBER(Sync!$AF77),Sync!$AF77&gt;=0,Sync!$AF77&lt;1),RIGHT("00"&amp;HOUR(Sync!$AF77),2)&amp;RIGHT("00"&amp;MINUTE(Sync!$AF77),2),IFERROR(RIGHT("00"&amp;VALUE(LEFT(Sync!$AF77,FIND(":",Sync!$AF77)-1)),2)&amp;RIGHT("00"&amp;VALUE(MID(Sync!$AF77,FIND(":",Sync!$AF77)+1,2)),2),"0000"))))</f>
        <v/>
      </c>
    </row>
    <row r="78">
      <c r="A78">
        <f>IF(OR(Calc!$E82="",Calc!$E82="نامعتبر",Calc!$G82=""),"",Calc!$G82)</f>
        <v/>
      </c>
      <c r="B78">
        <f>IF($A78="","",LEFT(Calc!$E82,4)&amp;MID(Calc!$E82,6,2)&amp;RIGHT(Calc!$E82,2)&amp;Calc!$Q82&amp;"|"&amp;"1"&amp;RIGHT("00000"&amp;73,5))</f>
        <v/>
      </c>
      <c r="C78">
        <f>IF($B78="","",COUNTIFS(LdgSellerA,$A78,LdgKeyA,"&lt;"&amp;$B78)+COUNTIFS(LdgSellerB,$A78,LdgKeyB,"&lt;"&amp;$B78)+1)</f>
        <v/>
      </c>
      <c r="D78">
        <f>IF($C78="","",$A78&amp;"|"&amp;RIGHT("000000"&amp;$C78,6))</f>
        <v/>
      </c>
      <c r="F78">
        <f>IF(Sync!$AH78="","",IF(LEFT(UPPER(TRIM(Sync!$AH78)),2)="SL",UPPER(TRIM(Sync!$AH78)),""))</f>
        <v/>
      </c>
      <c r="G78">
        <f>IF($F78="","",IF(Sync!$AE78="","",IF(ISNUMBER(Sync!$AE78),IF(AND(Sync!$AE78&gt;=10000101,Sync!$AE78&lt;=99991231),INT(Sync!$AE78/10000),""),IFERROR(VALUE(TRIM(LEFT(Sync!$AE78,FIND("/",Sync!$AE78)-1))),""))))</f>
        <v/>
      </c>
      <c r="H78">
        <f>IF(OR($F78="",$G78=""),"",IF(ISNUMBER(Sync!$AE78),INT(MOD(Sync!$AE78,10000)/100),IFERROR(VALUE(TRIM(LEFT(MID(Sync!$AE78,FIND("/",Sync!$AE78)+1,20),FIND("/",MID(Sync!$AE78,FIND("/",Sync!$AE78)+1,20))-1))),"")))</f>
        <v/>
      </c>
      <c r="I78">
        <f>IF(OR($F78="",$G78=""),"",IF(ISNUMBER(Sync!$AE78),MOD(Sync!$AE78,100),IFERROR(VALUE(TRIM(MID(MID(Sync!$AE78,FIND("/",Sync!$AE78)+1,20),FIND("/",MID(Sync!$AE78,FIND("/",Sync!$AE78)+1,20))+1,20))),"")))</f>
        <v/>
      </c>
      <c r="J78">
        <f>IF($F78="","",IF(OR($G78="",$H78="",$I78="",$G78&lt;1300,$G78&gt;1500,$H78&lt;1,$H78&gt;12,$I78&lt;1,$I78&gt;31),"نامعتبر",RIGHT("0000"&amp;$G78,4)&amp;"/"&amp;RIGHT("00"&amp;$H78,2)&amp;"/"&amp;RIGHT("00"&amp;$I78,2)))</f>
        <v/>
      </c>
      <c r="K78">
        <f>IF(OR($F78="",$J78="",$J78="نامعتبر"),"",LEFT($J78,4)&amp;MID($J78,6,2)&amp;RIGHT($J78,2)&amp;$N78&amp;"|"&amp;"2"&amp;RIGHT("00000"&amp;73,5))</f>
        <v/>
      </c>
      <c r="L78">
        <f>IF($K78="","",COUNTIFS(LdgSellerA,$F78,LdgKeyA,"&lt;"&amp;$K78)+COUNTIFS(LdgSellerB,$F78,LdgKeyB,"&lt;"&amp;$K78)+1)</f>
        <v/>
      </c>
      <c r="M78">
        <f>IF($L78="","",$F78&amp;"|"&amp;RIGHT("000000"&amp;$L78,6))</f>
        <v/>
      </c>
      <c r="N78">
        <f>IF($F78="","",IF(Sync!$AF78="","0000",IF(AND(ISNUMBER(Sync!$AF78),Sync!$AF78&gt;=0,Sync!$AF78&lt;1),RIGHT("00"&amp;HOUR(Sync!$AF78),2)&amp;RIGHT("00"&amp;MINUTE(Sync!$AF78),2),IFERROR(RIGHT("00"&amp;VALUE(LEFT(Sync!$AF78,FIND(":",Sync!$AF78)-1)),2)&amp;RIGHT("00"&amp;VALUE(MID(Sync!$AF78,FIND(":",Sync!$AF78)+1,2)),2),"0000"))))</f>
        <v/>
      </c>
    </row>
    <row r="79">
      <c r="A79">
        <f>IF(OR(Calc!$E83="",Calc!$E83="نامعتبر",Calc!$G83=""),"",Calc!$G83)</f>
        <v/>
      </c>
      <c r="B79">
        <f>IF($A79="","",LEFT(Calc!$E83,4)&amp;MID(Calc!$E83,6,2)&amp;RIGHT(Calc!$E83,2)&amp;Calc!$Q83&amp;"|"&amp;"1"&amp;RIGHT("00000"&amp;74,5))</f>
        <v/>
      </c>
      <c r="C79">
        <f>IF($B79="","",COUNTIFS(LdgSellerA,$A79,LdgKeyA,"&lt;"&amp;$B79)+COUNTIFS(LdgSellerB,$A79,LdgKeyB,"&lt;"&amp;$B79)+1)</f>
        <v/>
      </c>
      <c r="D79">
        <f>IF($C79="","",$A79&amp;"|"&amp;RIGHT("000000"&amp;$C79,6))</f>
        <v/>
      </c>
      <c r="F79">
        <f>IF(Sync!$AH79="","",IF(LEFT(UPPER(TRIM(Sync!$AH79)),2)="SL",UPPER(TRIM(Sync!$AH79)),""))</f>
        <v/>
      </c>
      <c r="G79">
        <f>IF($F79="","",IF(Sync!$AE79="","",IF(ISNUMBER(Sync!$AE79),IF(AND(Sync!$AE79&gt;=10000101,Sync!$AE79&lt;=99991231),INT(Sync!$AE79/10000),""),IFERROR(VALUE(TRIM(LEFT(Sync!$AE79,FIND("/",Sync!$AE79)-1))),""))))</f>
        <v/>
      </c>
      <c r="H79">
        <f>IF(OR($F79="",$G79=""),"",IF(ISNUMBER(Sync!$AE79),INT(MOD(Sync!$AE79,10000)/100),IFERROR(VALUE(TRIM(LEFT(MID(Sync!$AE79,FIND("/",Sync!$AE79)+1,20),FIND("/",MID(Sync!$AE79,FIND("/",Sync!$AE79)+1,20))-1))),"")))</f>
        <v/>
      </c>
      <c r="I79">
        <f>IF(OR($F79="",$G79=""),"",IF(ISNUMBER(Sync!$AE79),MOD(Sync!$AE79,100),IFERROR(VALUE(TRIM(MID(MID(Sync!$AE79,FIND("/",Sync!$AE79)+1,20),FIND("/",MID(Sync!$AE79,FIND("/",Sync!$AE79)+1,20))+1,20))),"")))</f>
        <v/>
      </c>
      <c r="J79">
        <f>IF($F79="","",IF(OR($G79="",$H79="",$I79="",$G79&lt;1300,$G79&gt;1500,$H79&lt;1,$H79&gt;12,$I79&lt;1,$I79&gt;31),"نامعتبر",RIGHT("0000"&amp;$G79,4)&amp;"/"&amp;RIGHT("00"&amp;$H79,2)&amp;"/"&amp;RIGHT("00"&amp;$I79,2)))</f>
        <v/>
      </c>
      <c r="K79">
        <f>IF(OR($F79="",$J79="",$J79="نامعتبر"),"",LEFT($J79,4)&amp;MID($J79,6,2)&amp;RIGHT($J79,2)&amp;$N79&amp;"|"&amp;"2"&amp;RIGHT("00000"&amp;74,5))</f>
        <v/>
      </c>
      <c r="L79">
        <f>IF($K79="","",COUNTIFS(LdgSellerA,$F79,LdgKeyA,"&lt;"&amp;$K79)+COUNTIFS(LdgSellerB,$F79,LdgKeyB,"&lt;"&amp;$K79)+1)</f>
        <v/>
      </c>
      <c r="M79">
        <f>IF($L79="","",$F79&amp;"|"&amp;RIGHT("000000"&amp;$L79,6))</f>
        <v/>
      </c>
      <c r="N79">
        <f>IF($F79="","",IF(Sync!$AF79="","0000",IF(AND(ISNUMBER(Sync!$AF79),Sync!$AF79&gt;=0,Sync!$AF79&lt;1),RIGHT("00"&amp;HOUR(Sync!$AF79),2)&amp;RIGHT("00"&amp;MINUTE(Sync!$AF79),2),IFERROR(RIGHT("00"&amp;VALUE(LEFT(Sync!$AF79,FIND(":",Sync!$AF79)-1)),2)&amp;RIGHT("00"&amp;VALUE(MID(Sync!$AF79,FIND(":",Sync!$AF79)+1,2)),2),"0000"))))</f>
        <v/>
      </c>
    </row>
    <row r="80">
      <c r="A80">
        <f>IF(OR(Calc!$E84="",Calc!$E84="نامعتبر",Calc!$G84=""),"",Calc!$G84)</f>
        <v/>
      </c>
      <c r="B80">
        <f>IF($A80="","",LEFT(Calc!$E84,4)&amp;MID(Calc!$E84,6,2)&amp;RIGHT(Calc!$E84,2)&amp;Calc!$Q84&amp;"|"&amp;"1"&amp;RIGHT("00000"&amp;75,5))</f>
        <v/>
      </c>
      <c r="C80">
        <f>IF($B80="","",COUNTIFS(LdgSellerA,$A80,LdgKeyA,"&lt;"&amp;$B80)+COUNTIFS(LdgSellerB,$A80,LdgKeyB,"&lt;"&amp;$B80)+1)</f>
        <v/>
      </c>
      <c r="D80">
        <f>IF($C80="","",$A80&amp;"|"&amp;RIGHT("000000"&amp;$C80,6))</f>
        <v/>
      </c>
      <c r="F80">
        <f>IF(Sync!$AH80="","",IF(LEFT(UPPER(TRIM(Sync!$AH80)),2)="SL",UPPER(TRIM(Sync!$AH80)),""))</f>
        <v/>
      </c>
      <c r="G80">
        <f>IF($F80="","",IF(Sync!$AE80="","",IF(ISNUMBER(Sync!$AE80),IF(AND(Sync!$AE80&gt;=10000101,Sync!$AE80&lt;=99991231),INT(Sync!$AE80/10000),""),IFERROR(VALUE(TRIM(LEFT(Sync!$AE80,FIND("/",Sync!$AE80)-1))),""))))</f>
        <v/>
      </c>
      <c r="H80">
        <f>IF(OR($F80="",$G80=""),"",IF(ISNUMBER(Sync!$AE80),INT(MOD(Sync!$AE80,10000)/100),IFERROR(VALUE(TRIM(LEFT(MID(Sync!$AE80,FIND("/",Sync!$AE80)+1,20),FIND("/",MID(Sync!$AE80,FIND("/",Sync!$AE80)+1,20))-1))),"")))</f>
        <v/>
      </c>
      <c r="I80">
        <f>IF(OR($F80="",$G80=""),"",IF(ISNUMBER(Sync!$AE80),MOD(Sync!$AE80,100),IFERROR(VALUE(TRIM(MID(MID(Sync!$AE80,FIND("/",Sync!$AE80)+1,20),FIND("/",MID(Sync!$AE80,FIND("/",Sync!$AE80)+1,20))+1,20))),"")))</f>
        <v/>
      </c>
      <c r="J80">
        <f>IF($F80="","",IF(OR($G80="",$H80="",$I80="",$G80&lt;1300,$G80&gt;1500,$H80&lt;1,$H80&gt;12,$I80&lt;1,$I80&gt;31),"نامعتبر",RIGHT("0000"&amp;$G80,4)&amp;"/"&amp;RIGHT("00"&amp;$H80,2)&amp;"/"&amp;RIGHT("00"&amp;$I80,2)))</f>
        <v/>
      </c>
      <c r="K80">
        <f>IF(OR($F80="",$J80="",$J80="نامعتبر"),"",LEFT($J80,4)&amp;MID($J80,6,2)&amp;RIGHT($J80,2)&amp;$N80&amp;"|"&amp;"2"&amp;RIGHT("00000"&amp;75,5))</f>
        <v/>
      </c>
      <c r="L80">
        <f>IF($K80="","",COUNTIFS(LdgSellerA,$F80,LdgKeyA,"&lt;"&amp;$K80)+COUNTIFS(LdgSellerB,$F80,LdgKeyB,"&lt;"&amp;$K80)+1)</f>
        <v/>
      </c>
      <c r="M80">
        <f>IF($L80="","",$F80&amp;"|"&amp;RIGHT("000000"&amp;$L80,6))</f>
        <v/>
      </c>
      <c r="N80">
        <f>IF($F80="","",IF(Sync!$AF80="","0000",IF(AND(ISNUMBER(Sync!$AF80),Sync!$AF80&gt;=0,Sync!$AF80&lt;1),RIGHT("00"&amp;HOUR(Sync!$AF80),2)&amp;RIGHT("00"&amp;MINUTE(Sync!$AF80),2),IFERROR(RIGHT("00"&amp;VALUE(LEFT(Sync!$AF80,FIND(":",Sync!$AF80)-1)),2)&amp;RIGHT("00"&amp;VALUE(MID(Sync!$AF80,FIND(":",Sync!$AF80)+1,2)),2),"0000"))))</f>
        <v/>
      </c>
    </row>
    <row r="81">
      <c r="A81">
        <f>IF(OR(Calc!$E85="",Calc!$E85="نامعتبر",Calc!$G85=""),"",Calc!$G85)</f>
        <v/>
      </c>
      <c r="B81">
        <f>IF($A81="","",LEFT(Calc!$E85,4)&amp;MID(Calc!$E85,6,2)&amp;RIGHT(Calc!$E85,2)&amp;Calc!$Q85&amp;"|"&amp;"1"&amp;RIGHT("00000"&amp;76,5))</f>
        <v/>
      </c>
      <c r="C81">
        <f>IF($B81="","",COUNTIFS(LdgSellerA,$A81,LdgKeyA,"&lt;"&amp;$B81)+COUNTIFS(LdgSellerB,$A81,LdgKeyB,"&lt;"&amp;$B81)+1)</f>
        <v/>
      </c>
      <c r="D81">
        <f>IF($C81="","",$A81&amp;"|"&amp;RIGHT("000000"&amp;$C81,6))</f>
        <v/>
      </c>
      <c r="F81">
        <f>IF(Sync!$AH81="","",IF(LEFT(UPPER(TRIM(Sync!$AH81)),2)="SL",UPPER(TRIM(Sync!$AH81)),""))</f>
        <v/>
      </c>
      <c r="G81">
        <f>IF($F81="","",IF(Sync!$AE81="","",IF(ISNUMBER(Sync!$AE81),IF(AND(Sync!$AE81&gt;=10000101,Sync!$AE81&lt;=99991231),INT(Sync!$AE81/10000),""),IFERROR(VALUE(TRIM(LEFT(Sync!$AE81,FIND("/",Sync!$AE81)-1))),""))))</f>
        <v/>
      </c>
      <c r="H81">
        <f>IF(OR($F81="",$G81=""),"",IF(ISNUMBER(Sync!$AE81),INT(MOD(Sync!$AE81,10000)/100),IFERROR(VALUE(TRIM(LEFT(MID(Sync!$AE81,FIND("/",Sync!$AE81)+1,20),FIND("/",MID(Sync!$AE81,FIND("/",Sync!$AE81)+1,20))-1))),"")))</f>
        <v/>
      </c>
      <c r="I81">
        <f>IF(OR($F81="",$G81=""),"",IF(ISNUMBER(Sync!$AE81),MOD(Sync!$AE81,100),IFERROR(VALUE(TRIM(MID(MID(Sync!$AE81,FIND("/",Sync!$AE81)+1,20),FIND("/",MID(Sync!$AE81,FIND("/",Sync!$AE81)+1,20))+1,20))),"")))</f>
        <v/>
      </c>
      <c r="J81">
        <f>IF($F81="","",IF(OR($G81="",$H81="",$I81="",$G81&lt;1300,$G81&gt;1500,$H81&lt;1,$H81&gt;12,$I81&lt;1,$I81&gt;31),"نامعتبر",RIGHT("0000"&amp;$G81,4)&amp;"/"&amp;RIGHT("00"&amp;$H81,2)&amp;"/"&amp;RIGHT("00"&amp;$I81,2)))</f>
        <v/>
      </c>
      <c r="K81">
        <f>IF(OR($F81="",$J81="",$J81="نامعتبر"),"",LEFT($J81,4)&amp;MID($J81,6,2)&amp;RIGHT($J81,2)&amp;$N81&amp;"|"&amp;"2"&amp;RIGHT("00000"&amp;76,5))</f>
        <v/>
      </c>
      <c r="L81">
        <f>IF($K81="","",COUNTIFS(LdgSellerA,$F81,LdgKeyA,"&lt;"&amp;$K81)+COUNTIFS(LdgSellerB,$F81,LdgKeyB,"&lt;"&amp;$K81)+1)</f>
        <v/>
      </c>
      <c r="M81">
        <f>IF($L81="","",$F81&amp;"|"&amp;RIGHT("000000"&amp;$L81,6))</f>
        <v/>
      </c>
      <c r="N81">
        <f>IF($F81="","",IF(Sync!$AF81="","0000",IF(AND(ISNUMBER(Sync!$AF81),Sync!$AF81&gt;=0,Sync!$AF81&lt;1),RIGHT("00"&amp;HOUR(Sync!$AF81),2)&amp;RIGHT("00"&amp;MINUTE(Sync!$AF81),2),IFERROR(RIGHT("00"&amp;VALUE(LEFT(Sync!$AF81,FIND(":",Sync!$AF81)-1)),2)&amp;RIGHT("00"&amp;VALUE(MID(Sync!$AF81,FIND(":",Sync!$AF81)+1,2)),2),"0000"))))</f>
        <v/>
      </c>
    </row>
    <row r="82">
      <c r="A82">
        <f>IF(OR(Calc!$E86="",Calc!$E86="نامعتبر",Calc!$G86=""),"",Calc!$G86)</f>
        <v/>
      </c>
      <c r="B82">
        <f>IF($A82="","",LEFT(Calc!$E86,4)&amp;MID(Calc!$E86,6,2)&amp;RIGHT(Calc!$E86,2)&amp;Calc!$Q86&amp;"|"&amp;"1"&amp;RIGHT("00000"&amp;77,5))</f>
        <v/>
      </c>
      <c r="C82">
        <f>IF($B82="","",COUNTIFS(LdgSellerA,$A82,LdgKeyA,"&lt;"&amp;$B82)+COUNTIFS(LdgSellerB,$A82,LdgKeyB,"&lt;"&amp;$B82)+1)</f>
        <v/>
      </c>
      <c r="D82">
        <f>IF($C82="","",$A82&amp;"|"&amp;RIGHT("000000"&amp;$C82,6))</f>
        <v/>
      </c>
      <c r="F82">
        <f>IF(Sync!$AH82="","",IF(LEFT(UPPER(TRIM(Sync!$AH82)),2)="SL",UPPER(TRIM(Sync!$AH82)),""))</f>
        <v/>
      </c>
      <c r="G82">
        <f>IF($F82="","",IF(Sync!$AE82="","",IF(ISNUMBER(Sync!$AE82),IF(AND(Sync!$AE82&gt;=10000101,Sync!$AE82&lt;=99991231),INT(Sync!$AE82/10000),""),IFERROR(VALUE(TRIM(LEFT(Sync!$AE82,FIND("/",Sync!$AE82)-1))),""))))</f>
        <v/>
      </c>
      <c r="H82">
        <f>IF(OR($F82="",$G82=""),"",IF(ISNUMBER(Sync!$AE82),INT(MOD(Sync!$AE82,10000)/100),IFERROR(VALUE(TRIM(LEFT(MID(Sync!$AE82,FIND("/",Sync!$AE82)+1,20),FIND("/",MID(Sync!$AE82,FIND("/",Sync!$AE82)+1,20))-1))),"")))</f>
        <v/>
      </c>
      <c r="I82">
        <f>IF(OR($F82="",$G82=""),"",IF(ISNUMBER(Sync!$AE82),MOD(Sync!$AE82,100),IFERROR(VALUE(TRIM(MID(MID(Sync!$AE82,FIND("/",Sync!$AE82)+1,20),FIND("/",MID(Sync!$AE82,FIND("/",Sync!$AE82)+1,20))+1,20))),"")))</f>
        <v/>
      </c>
      <c r="J82">
        <f>IF($F82="","",IF(OR($G82="",$H82="",$I82="",$G82&lt;1300,$G82&gt;1500,$H82&lt;1,$H82&gt;12,$I82&lt;1,$I82&gt;31),"نامعتبر",RIGHT("0000"&amp;$G82,4)&amp;"/"&amp;RIGHT("00"&amp;$H82,2)&amp;"/"&amp;RIGHT("00"&amp;$I82,2)))</f>
        <v/>
      </c>
      <c r="K82">
        <f>IF(OR($F82="",$J82="",$J82="نامعتبر"),"",LEFT($J82,4)&amp;MID($J82,6,2)&amp;RIGHT($J82,2)&amp;$N82&amp;"|"&amp;"2"&amp;RIGHT("00000"&amp;77,5))</f>
        <v/>
      </c>
      <c r="L82">
        <f>IF($K82="","",COUNTIFS(LdgSellerA,$F82,LdgKeyA,"&lt;"&amp;$K82)+COUNTIFS(LdgSellerB,$F82,LdgKeyB,"&lt;"&amp;$K82)+1)</f>
        <v/>
      </c>
      <c r="M82">
        <f>IF($L82="","",$F82&amp;"|"&amp;RIGHT("000000"&amp;$L82,6))</f>
        <v/>
      </c>
      <c r="N82">
        <f>IF($F82="","",IF(Sync!$AF82="","0000",IF(AND(ISNUMBER(Sync!$AF82),Sync!$AF82&gt;=0,Sync!$AF82&lt;1),RIGHT("00"&amp;HOUR(Sync!$AF82),2)&amp;RIGHT("00"&amp;MINUTE(Sync!$AF82),2),IFERROR(RIGHT("00"&amp;VALUE(LEFT(Sync!$AF82,FIND(":",Sync!$AF82)-1)),2)&amp;RIGHT("00"&amp;VALUE(MID(Sync!$AF82,FIND(":",Sync!$AF82)+1,2)),2),"0000"))))</f>
        <v/>
      </c>
    </row>
    <row r="83">
      <c r="A83">
        <f>IF(OR(Calc!$E87="",Calc!$E87="نامعتبر",Calc!$G87=""),"",Calc!$G87)</f>
        <v/>
      </c>
      <c r="B83">
        <f>IF($A83="","",LEFT(Calc!$E87,4)&amp;MID(Calc!$E87,6,2)&amp;RIGHT(Calc!$E87,2)&amp;Calc!$Q87&amp;"|"&amp;"1"&amp;RIGHT("00000"&amp;78,5))</f>
        <v/>
      </c>
      <c r="C83">
        <f>IF($B83="","",COUNTIFS(LdgSellerA,$A83,LdgKeyA,"&lt;"&amp;$B83)+COUNTIFS(LdgSellerB,$A83,LdgKeyB,"&lt;"&amp;$B83)+1)</f>
        <v/>
      </c>
      <c r="D83">
        <f>IF($C83="","",$A83&amp;"|"&amp;RIGHT("000000"&amp;$C83,6))</f>
        <v/>
      </c>
      <c r="F83">
        <f>IF(Sync!$AH83="","",IF(LEFT(UPPER(TRIM(Sync!$AH83)),2)="SL",UPPER(TRIM(Sync!$AH83)),""))</f>
        <v/>
      </c>
      <c r="G83">
        <f>IF($F83="","",IF(Sync!$AE83="","",IF(ISNUMBER(Sync!$AE83),IF(AND(Sync!$AE83&gt;=10000101,Sync!$AE83&lt;=99991231),INT(Sync!$AE83/10000),""),IFERROR(VALUE(TRIM(LEFT(Sync!$AE83,FIND("/",Sync!$AE83)-1))),""))))</f>
        <v/>
      </c>
      <c r="H83">
        <f>IF(OR($F83="",$G83=""),"",IF(ISNUMBER(Sync!$AE83),INT(MOD(Sync!$AE83,10000)/100),IFERROR(VALUE(TRIM(LEFT(MID(Sync!$AE83,FIND("/",Sync!$AE83)+1,20),FIND("/",MID(Sync!$AE83,FIND("/",Sync!$AE83)+1,20))-1))),"")))</f>
        <v/>
      </c>
      <c r="I83">
        <f>IF(OR($F83="",$G83=""),"",IF(ISNUMBER(Sync!$AE83),MOD(Sync!$AE83,100),IFERROR(VALUE(TRIM(MID(MID(Sync!$AE83,FIND("/",Sync!$AE83)+1,20),FIND("/",MID(Sync!$AE83,FIND("/",Sync!$AE83)+1,20))+1,20))),"")))</f>
        <v/>
      </c>
      <c r="J83">
        <f>IF($F83="","",IF(OR($G83="",$H83="",$I83="",$G83&lt;1300,$G83&gt;1500,$H83&lt;1,$H83&gt;12,$I83&lt;1,$I83&gt;31),"نامعتبر",RIGHT("0000"&amp;$G83,4)&amp;"/"&amp;RIGHT("00"&amp;$H83,2)&amp;"/"&amp;RIGHT("00"&amp;$I83,2)))</f>
        <v/>
      </c>
      <c r="K83">
        <f>IF(OR($F83="",$J83="",$J83="نامعتبر"),"",LEFT($J83,4)&amp;MID($J83,6,2)&amp;RIGHT($J83,2)&amp;$N83&amp;"|"&amp;"2"&amp;RIGHT("00000"&amp;78,5))</f>
        <v/>
      </c>
      <c r="L83">
        <f>IF($K83="","",COUNTIFS(LdgSellerA,$F83,LdgKeyA,"&lt;"&amp;$K83)+COUNTIFS(LdgSellerB,$F83,LdgKeyB,"&lt;"&amp;$K83)+1)</f>
        <v/>
      </c>
      <c r="M83">
        <f>IF($L83="","",$F83&amp;"|"&amp;RIGHT("000000"&amp;$L83,6))</f>
        <v/>
      </c>
      <c r="N83">
        <f>IF($F83="","",IF(Sync!$AF83="","0000",IF(AND(ISNUMBER(Sync!$AF83),Sync!$AF83&gt;=0,Sync!$AF83&lt;1),RIGHT("00"&amp;HOUR(Sync!$AF83),2)&amp;RIGHT("00"&amp;MINUTE(Sync!$AF83),2),IFERROR(RIGHT("00"&amp;VALUE(LEFT(Sync!$AF83,FIND(":",Sync!$AF83)-1)),2)&amp;RIGHT("00"&amp;VALUE(MID(Sync!$AF83,FIND(":",Sync!$AF83)+1,2)),2),"0000"))))</f>
        <v/>
      </c>
    </row>
    <row r="84">
      <c r="A84">
        <f>IF(OR(Calc!$E88="",Calc!$E88="نامعتبر",Calc!$G88=""),"",Calc!$G88)</f>
        <v/>
      </c>
      <c r="B84">
        <f>IF($A84="","",LEFT(Calc!$E88,4)&amp;MID(Calc!$E88,6,2)&amp;RIGHT(Calc!$E88,2)&amp;Calc!$Q88&amp;"|"&amp;"1"&amp;RIGHT("00000"&amp;79,5))</f>
        <v/>
      </c>
      <c r="C84">
        <f>IF($B84="","",COUNTIFS(LdgSellerA,$A84,LdgKeyA,"&lt;"&amp;$B84)+COUNTIFS(LdgSellerB,$A84,LdgKeyB,"&lt;"&amp;$B84)+1)</f>
        <v/>
      </c>
      <c r="D84">
        <f>IF($C84="","",$A84&amp;"|"&amp;RIGHT("000000"&amp;$C84,6))</f>
        <v/>
      </c>
      <c r="F84">
        <f>IF(Sync!$AH84="","",IF(LEFT(UPPER(TRIM(Sync!$AH84)),2)="SL",UPPER(TRIM(Sync!$AH84)),""))</f>
        <v/>
      </c>
      <c r="G84">
        <f>IF($F84="","",IF(Sync!$AE84="","",IF(ISNUMBER(Sync!$AE84),IF(AND(Sync!$AE84&gt;=10000101,Sync!$AE84&lt;=99991231),INT(Sync!$AE84/10000),""),IFERROR(VALUE(TRIM(LEFT(Sync!$AE84,FIND("/",Sync!$AE84)-1))),""))))</f>
        <v/>
      </c>
      <c r="H84">
        <f>IF(OR($F84="",$G84=""),"",IF(ISNUMBER(Sync!$AE84),INT(MOD(Sync!$AE84,10000)/100),IFERROR(VALUE(TRIM(LEFT(MID(Sync!$AE84,FIND("/",Sync!$AE84)+1,20),FIND("/",MID(Sync!$AE84,FIND("/",Sync!$AE84)+1,20))-1))),"")))</f>
        <v/>
      </c>
      <c r="I84">
        <f>IF(OR($F84="",$G84=""),"",IF(ISNUMBER(Sync!$AE84),MOD(Sync!$AE84,100),IFERROR(VALUE(TRIM(MID(MID(Sync!$AE84,FIND("/",Sync!$AE84)+1,20),FIND("/",MID(Sync!$AE84,FIND("/",Sync!$AE84)+1,20))+1,20))),"")))</f>
        <v/>
      </c>
      <c r="J84">
        <f>IF($F84="","",IF(OR($G84="",$H84="",$I84="",$G84&lt;1300,$G84&gt;1500,$H84&lt;1,$H84&gt;12,$I84&lt;1,$I84&gt;31),"نامعتبر",RIGHT("0000"&amp;$G84,4)&amp;"/"&amp;RIGHT("00"&amp;$H84,2)&amp;"/"&amp;RIGHT("00"&amp;$I84,2)))</f>
        <v/>
      </c>
      <c r="K84">
        <f>IF(OR($F84="",$J84="",$J84="نامعتبر"),"",LEFT($J84,4)&amp;MID($J84,6,2)&amp;RIGHT($J84,2)&amp;$N84&amp;"|"&amp;"2"&amp;RIGHT("00000"&amp;79,5))</f>
        <v/>
      </c>
      <c r="L84">
        <f>IF($K84="","",COUNTIFS(LdgSellerA,$F84,LdgKeyA,"&lt;"&amp;$K84)+COUNTIFS(LdgSellerB,$F84,LdgKeyB,"&lt;"&amp;$K84)+1)</f>
        <v/>
      </c>
      <c r="M84">
        <f>IF($L84="","",$F84&amp;"|"&amp;RIGHT("000000"&amp;$L84,6))</f>
        <v/>
      </c>
      <c r="N84">
        <f>IF($F84="","",IF(Sync!$AF84="","0000",IF(AND(ISNUMBER(Sync!$AF84),Sync!$AF84&gt;=0,Sync!$AF84&lt;1),RIGHT("00"&amp;HOUR(Sync!$AF84),2)&amp;RIGHT("00"&amp;MINUTE(Sync!$AF84),2),IFERROR(RIGHT("00"&amp;VALUE(LEFT(Sync!$AF84,FIND(":",Sync!$AF84)-1)),2)&amp;RIGHT("00"&amp;VALUE(MID(Sync!$AF84,FIND(":",Sync!$AF84)+1,2)),2),"0000"))))</f>
        <v/>
      </c>
    </row>
    <row r="85">
      <c r="A85">
        <f>IF(OR(Calc!$E89="",Calc!$E89="نامعتبر",Calc!$G89=""),"",Calc!$G89)</f>
        <v/>
      </c>
      <c r="B85">
        <f>IF($A85="","",LEFT(Calc!$E89,4)&amp;MID(Calc!$E89,6,2)&amp;RIGHT(Calc!$E89,2)&amp;Calc!$Q89&amp;"|"&amp;"1"&amp;RIGHT("00000"&amp;80,5))</f>
        <v/>
      </c>
      <c r="C85">
        <f>IF($B85="","",COUNTIFS(LdgSellerA,$A85,LdgKeyA,"&lt;"&amp;$B85)+COUNTIFS(LdgSellerB,$A85,LdgKeyB,"&lt;"&amp;$B85)+1)</f>
        <v/>
      </c>
      <c r="D85">
        <f>IF($C85="","",$A85&amp;"|"&amp;RIGHT("000000"&amp;$C85,6))</f>
        <v/>
      </c>
      <c r="F85">
        <f>IF(Sync!$AH85="","",IF(LEFT(UPPER(TRIM(Sync!$AH85)),2)="SL",UPPER(TRIM(Sync!$AH85)),""))</f>
        <v/>
      </c>
      <c r="G85">
        <f>IF($F85="","",IF(Sync!$AE85="","",IF(ISNUMBER(Sync!$AE85),IF(AND(Sync!$AE85&gt;=10000101,Sync!$AE85&lt;=99991231),INT(Sync!$AE85/10000),""),IFERROR(VALUE(TRIM(LEFT(Sync!$AE85,FIND("/",Sync!$AE85)-1))),""))))</f>
        <v/>
      </c>
      <c r="H85">
        <f>IF(OR($F85="",$G85=""),"",IF(ISNUMBER(Sync!$AE85),INT(MOD(Sync!$AE85,10000)/100),IFERROR(VALUE(TRIM(LEFT(MID(Sync!$AE85,FIND("/",Sync!$AE85)+1,20),FIND("/",MID(Sync!$AE85,FIND("/",Sync!$AE85)+1,20))-1))),"")))</f>
        <v/>
      </c>
      <c r="I85">
        <f>IF(OR($F85="",$G85=""),"",IF(ISNUMBER(Sync!$AE85),MOD(Sync!$AE85,100),IFERROR(VALUE(TRIM(MID(MID(Sync!$AE85,FIND("/",Sync!$AE85)+1,20),FIND("/",MID(Sync!$AE85,FIND("/",Sync!$AE85)+1,20))+1,20))),"")))</f>
        <v/>
      </c>
      <c r="J85">
        <f>IF($F85="","",IF(OR($G85="",$H85="",$I85="",$G85&lt;1300,$G85&gt;1500,$H85&lt;1,$H85&gt;12,$I85&lt;1,$I85&gt;31),"نامعتبر",RIGHT("0000"&amp;$G85,4)&amp;"/"&amp;RIGHT("00"&amp;$H85,2)&amp;"/"&amp;RIGHT("00"&amp;$I85,2)))</f>
        <v/>
      </c>
      <c r="K85">
        <f>IF(OR($F85="",$J85="",$J85="نامعتبر"),"",LEFT($J85,4)&amp;MID($J85,6,2)&amp;RIGHT($J85,2)&amp;$N85&amp;"|"&amp;"2"&amp;RIGHT("00000"&amp;80,5))</f>
        <v/>
      </c>
      <c r="L85">
        <f>IF($K85="","",COUNTIFS(LdgSellerA,$F85,LdgKeyA,"&lt;"&amp;$K85)+COUNTIFS(LdgSellerB,$F85,LdgKeyB,"&lt;"&amp;$K85)+1)</f>
        <v/>
      </c>
      <c r="M85">
        <f>IF($L85="","",$F85&amp;"|"&amp;RIGHT("000000"&amp;$L85,6))</f>
        <v/>
      </c>
      <c r="N85">
        <f>IF($F85="","",IF(Sync!$AF85="","0000",IF(AND(ISNUMBER(Sync!$AF85),Sync!$AF85&gt;=0,Sync!$AF85&lt;1),RIGHT("00"&amp;HOUR(Sync!$AF85),2)&amp;RIGHT("00"&amp;MINUTE(Sync!$AF85),2),IFERROR(RIGHT("00"&amp;VALUE(LEFT(Sync!$AF85,FIND(":",Sync!$AF85)-1)),2)&amp;RIGHT("00"&amp;VALUE(MID(Sync!$AF85,FIND(":",Sync!$AF85)+1,2)),2),"0000"))))</f>
        <v/>
      </c>
    </row>
    <row r="86">
      <c r="A86">
        <f>IF(OR(Calc!$E90="",Calc!$E90="نامعتبر",Calc!$G90=""),"",Calc!$G90)</f>
        <v/>
      </c>
      <c r="B86">
        <f>IF($A86="","",LEFT(Calc!$E90,4)&amp;MID(Calc!$E90,6,2)&amp;RIGHT(Calc!$E90,2)&amp;Calc!$Q90&amp;"|"&amp;"1"&amp;RIGHT("00000"&amp;81,5))</f>
        <v/>
      </c>
      <c r="C86">
        <f>IF($B86="","",COUNTIFS(LdgSellerA,$A86,LdgKeyA,"&lt;"&amp;$B86)+COUNTIFS(LdgSellerB,$A86,LdgKeyB,"&lt;"&amp;$B86)+1)</f>
        <v/>
      </c>
      <c r="D86">
        <f>IF($C86="","",$A86&amp;"|"&amp;RIGHT("000000"&amp;$C86,6))</f>
        <v/>
      </c>
      <c r="F86">
        <f>IF(Sync!$AH86="","",IF(LEFT(UPPER(TRIM(Sync!$AH86)),2)="SL",UPPER(TRIM(Sync!$AH86)),""))</f>
        <v/>
      </c>
      <c r="G86">
        <f>IF($F86="","",IF(Sync!$AE86="","",IF(ISNUMBER(Sync!$AE86),IF(AND(Sync!$AE86&gt;=10000101,Sync!$AE86&lt;=99991231),INT(Sync!$AE86/10000),""),IFERROR(VALUE(TRIM(LEFT(Sync!$AE86,FIND("/",Sync!$AE86)-1))),""))))</f>
        <v/>
      </c>
      <c r="H86">
        <f>IF(OR($F86="",$G86=""),"",IF(ISNUMBER(Sync!$AE86),INT(MOD(Sync!$AE86,10000)/100),IFERROR(VALUE(TRIM(LEFT(MID(Sync!$AE86,FIND("/",Sync!$AE86)+1,20),FIND("/",MID(Sync!$AE86,FIND("/",Sync!$AE86)+1,20))-1))),"")))</f>
        <v/>
      </c>
      <c r="I86">
        <f>IF(OR($F86="",$G86=""),"",IF(ISNUMBER(Sync!$AE86),MOD(Sync!$AE86,100),IFERROR(VALUE(TRIM(MID(MID(Sync!$AE86,FIND("/",Sync!$AE86)+1,20),FIND("/",MID(Sync!$AE86,FIND("/",Sync!$AE86)+1,20))+1,20))),"")))</f>
        <v/>
      </c>
      <c r="J86">
        <f>IF($F86="","",IF(OR($G86="",$H86="",$I86="",$G86&lt;1300,$G86&gt;1500,$H86&lt;1,$H86&gt;12,$I86&lt;1,$I86&gt;31),"نامعتبر",RIGHT("0000"&amp;$G86,4)&amp;"/"&amp;RIGHT("00"&amp;$H86,2)&amp;"/"&amp;RIGHT("00"&amp;$I86,2)))</f>
        <v/>
      </c>
      <c r="K86">
        <f>IF(OR($F86="",$J86="",$J86="نامعتبر"),"",LEFT($J86,4)&amp;MID($J86,6,2)&amp;RIGHT($J86,2)&amp;$N86&amp;"|"&amp;"2"&amp;RIGHT("00000"&amp;81,5))</f>
        <v/>
      </c>
      <c r="L86">
        <f>IF($K86="","",COUNTIFS(LdgSellerA,$F86,LdgKeyA,"&lt;"&amp;$K86)+COUNTIFS(LdgSellerB,$F86,LdgKeyB,"&lt;"&amp;$K86)+1)</f>
        <v/>
      </c>
      <c r="M86">
        <f>IF($L86="","",$F86&amp;"|"&amp;RIGHT("000000"&amp;$L86,6))</f>
        <v/>
      </c>
      <c r="N86">
        <f>IF($F86="","",IF(Sync!$AF86="","0000",IF(AND(ISNUMBER(Sync!$AF86),Sync!$AF86&gt;=0,Sync!$AF86&lt;1),RIGHT("00"&amp;HOUR(Sync!$AF86),2)&amp;RIGHT("00"&amp;MINUTE(Sync!$AF86),2),IFERROR(RIGHT("00"&amp;VALUE(LEFT(Sync!$AF86,FIND(":",Sync!$AF86)-1)),2)&amp;RIGHT("00"&amp;VALUE(MID(Sync!$AF86,FIND(":",Sync!$AF86)+1,2)),2),"0000"))))</f>
        <v/>
      </c>
    </row>
    <row r="87">
      <c r="A87">
        <f>IF(OR(Calc!$E91="",Calc!$E91="نامعتبر",Calc!$G91=""),"",Calc!$G91)</f>
        <v/>
      </c>
      <c r="B87">
        <f>IF($A87="","",LEFT(Calc!$E91,4)&amp;MID(Calc!$E91,6,2)&amp;RIGHT(Calc!$E91,2)&amp;Calc!$Q91&amp;"|"&amp;"1"&amp;RIGHT("00000"&amp;82,5))</f>
        <v/>
      </c>
      <c r="C87">
        <f>IF($B87="","",COUNTIFS(LdgSellerA,$A87,LdgKeyA,"&lt;"&amp;$B87)+COUNTIFS(LdgSellerB,$A87,LdgKeyB,"&lt;"&amp;$B87)+1)</f>
        <v/>
      </c>
      <c r="D87">
        <f>IF($C87="","",$A87&amp;"|"&amp;RIGHT("000000"&amp;$C87,6))</f>
        <v/>
      </c>
      <c r="F87">
        <f>IF(Sync!$AH87="","",IF(LEFT(UPPER(TRIM(Sync!$AH87)),2)="SL",UPPER(TRIM(Sync!$AH87)),""))</f>
        <v/>
      </c>
      <c r="G87">
        <f>IF($F87="","",IF(Sync!$AE87="","",IF(ISNUMBER(Sync!$AE87),IF(AND(Sync!$AE87&gt;=10000101,Sync!$AE87&lt;=99991231),INT(Sync!$AE87/10000),""),IFERROR(VALUE(TRIM(LEFT(Sync!$AE87,FIND("/",Sync!$AE87)-1))),""))))</f>
        <v/>
      </c>
      <c r="H87">
        <f>IF(OR($F87="",$G87=""),"",IF(ISNUMBER(Sync!$AE87),INT(MOD(Sync!$AE87,10000)/100),IFERROR(VALUE(TRIM(LEFT(MID(Sync!$AE87,FIND("/",Sync!$AE87)+1,20),FIND("/",MID(Sync!$AE87,FIND("/",Sync!$AE87)+1,20))-1))),"")))</f>
        <v/>
      </c>
      <c r="I87">
        <f>IF(OR($F87="",$G87=""),"",IF(ISNUMBER(Sync!$AE87),MOD(Sync!$AE87,100),IFERROR(VALUE(TRIM(MID(MID(Sync!$AE87,FIND("/",Sync!$AE87)+1,20),FIND("/",MID(Sync!$AE87,FIND("/",Sync!$AE87)+1,20))+1,20))),"")))</f>
        <v/>
      </c>
      <c r="J87">
        <f>IF($F87="","",IF(OR($G87="",$H87="",$I87="",$G87&lt;1300,$G87&gt;1500,$H87&lt;1,$H87&gt;12,$I87&lt;1,$I87&gt;31),"نامعتبر",RIGHT("0000"&amp;$G87,4)&amp;"/"&amp;RIGHT("00"&amp;$H87,2)&amp;"/"&amp;RIGHT("00"&amp;$I87,2)))</f>
        <v/>
      </c>
      <c r="K87">
        <f>IF(OR($F87="",$J87="",$J87="نامعتبر"),"",LEFT($J87,4)&amp;MID($J87,6,2)&amp;RIGHT($J87,2)&amp;$N87&amp;"|"&amp;"2"&amp;RIGHT("00000"&amp;82,5))</f>
        <v/>
      </c>
      <c r="L87">
        <f>IF($K87="","",COUNTIFS(LdgSellerA,$F87,LdgKeyA,"&lt;"&amp;$K87)+COUNTIFS(LdgSellerB,$F87,LdgKeyB,"&lt;"&amp;$K87)+1)</f>
        <v/>
      </c>
      <c r="M87">
        <f>IF($L87="","",$F87&amp;"|"&amp;RIGHT("000000"&amp;$L87,6))</f>
        <v/>
      </c>
      <c r="N87">
        <f>IF($F87="","",IF(Sync!$AF87="","0000",IF(AND(ISNUMBER(Sync!$AF87),Sync!$AF87&gt;=0,Sync!$AF87&lt;1),RIGHT("00"&amp;HOUR(Sync!$AF87),2)&amp;RIGHT("00"&amp;MINUTE(Sync!$AF87),2),IFERROR(RIGHT("00"&amp;VALUE(LEFT(Sync!$AF87,FIND(":",Sync!$AF87)-1)),2)&amp;RIGHT("00"&amp;VALUE(MID(Sync!$AF87,FIND(":",Sync!$AF87)+1,2)),2),"0000"))))</f>
        <v/>
      </c>
    </row>
    <row r="88">
      <c r="A88">
        <f>IF(OR(Calc!$E92="",Calc!$E92="نامعتبر",Calc!$G92=""),"",Calc!$G92)</f>
        <v/>
      </c>
      <c r="B88">
        <f>IF($A88="","",LEFT(Calc!$E92,4)&amp;MID(Calc!$E92,6,2)&amp;RIGHT(Calc!$E92,2)&amp;Calc!$Q92&amp;"|"&amp;"1"&amp;RIGHT("00000"&amp;83,5))</f>
        <v/>
      </c>
      <c r="C88">
        <f>IF($B88="","",COUNTIFS(LdgSellerA,$A88,LdgKeyA,"&lt;"&amp;$B88)+COUNTIFS(LdgSellerB,$A88,LdgKeyB,"&lt;"&amp;$B88)+1)</f>
        <v/>
      </c>
      <c r="D88">
        <f>IF($C88="","",$A88&amp;"|"&amp;RIGHT("000000"&amp;$C88,6))</f>
        <v/>
      </c>
      <c r="F88">
        <f>IF(Sync!$AH88="","",IF(LEFT(UPPER(TRIM(Sync!$AH88)),2)="SL",UPPER(TRIM(Sync!$AH88)),""))</f>
        <v/>
      </c>
      <c r="G88">
        <f>IF($F88="","",IF(Sync!$AE88="","",IF(ISNUMBER(Sync!$AE88),IF(AND(Sync!$AE88&gt;=10000101,Sync!$AE88&lt;=99991231),INT(Sync!$AE88/10000),""),IFERROR(VALUE(TRIM(LEFT(Sync!$AE88,FIND("/",Sync!$AE88)-1))),""))))</f>
        <v/>
      </c>
      <c r="H88">
        <f>IF(OR($F88="",$G88=""),"",IF(ISNUMBER(Sync!$AE88),INT(MOD(Sync!$AE88,10000)/100),IFERROR(VALUE(TRIM(LEFT(MID(Sync!$AE88,FIND("/",Sync!$AE88)+1,20),FIND("/",MID(Sync!$AE88,FIND("/",Sync!$AE88)+1,20))-1))),"")))</f>
        <v/>
      </c>
      <c r="I88">
        <f>IF(OR($F88="",$G88=""),"",IF(ISNUMBER(Sync!$AE88),MOD(Sync!$AE88,100),IFERROR(VALUE(TRIM(MID(MID(Sync!$AE88,FIND("/",Sync!$AE88)+1,20),FIND("/",MID(Sync!$AE88,FIND("/",Sync!$AE88)+1,20))+1,20))),"")))</f>
        <v/>
      </c>
      <c r="J88">
        <f>IF($F88="","",IF(OR($G88="",$H88="",$I88="",$G88&lt;1300,$G88&gt;1500,$H88&lt;1,$H88&gt;12,$I88&lt;1,$I88&gt;31),"نامعتبر",RIGHT("0000"&amp;$G88,4)&amp;"/"&amp;RIGHT("00"&amp;$H88,2)&amp;"/"&amp;RIGHT("00"&amp;$I88,2)))</f>
        <v/>
      </c>
      <c r="K88">
        <f>IF(OR($F88="",$J88="",$J88="نامعتبر"),"",LEFT($J88,4)&amp;MID($J88,6,2)&amp;RIGHT($J88,2)&amp;$N88&amp;"|"&amp;"2"&amp;RIGHT("00000"&amp;83,5))</f>
        <v/>
      </c>
      <c r="L88">
        <f>IF($K88="","",COUNTIFS(LdgSellerA,$F88,LdgKeyA,"&lt;"&amp;$K88)+COUNTIFS(LdgSellerB,$F88,LdgKeyB,"&lt;"&amp;$K88)+1)</f>
        <v/>
      </c>
      <c r="M88">
        <f>IF($L88="","",$F88&amp;"|"&amp;RIGHT("000000"&amp;$L88,6))</f>
        <v/>
      </c>
      <c r="N88">
        <f>IF($F88="","",IF(Sync!$AF88="","0000",IF(AND(ISNUMBER(Sync!$AF88),Sync!$AF88&gt;=0,Sync!$AF88&lt;1),RIGHT("00"&amp;HOUR(Sync!$AF88),2)&amp;RIGHT("00"&amp;MINUTE(Sync!$AF88),2),IFERROR(RIGHT("00"&amp;VALUE(LEFT(Sync!$AF88,FIND(":",Sync!$AF88)-1)),2)&amp;RIGHT("00"&amp;VALUE(MID(Sync!$AF88,FIND(":",Sync!$AF88)+1,2)),2),"0000"))))</f>
        <v/>
      </c>
    </row>
    <row r="89">
      <c r="A89">
        <f>IF(OR(Calc!$E93="",Calc!$E93="نامعتبر",Calc!$G93=""),"",Calc!$G93)</f>
        <v/>
      </c>
      <c r="B89">
        <f>IF($A89="","",LEFT(Calc!$E93,4)&amp;MID(Calc!$E93,6,2)&amp;RIGHT(Calc!$E93,2)&amp;Calc!$Q93&amp;"|"&amp;"1"&amp;RIGHT("00000"&amp;84,5))</f>
        <v/>
      </c>
      <c r="C89">
        <f>IF($B89="","",COUNTIFS(LdgSellerA,$A89,LdgKeyA,"&lt;"&amp;$B89)+COUNTIFS(LdgSellerB,$A89,LdgKeyB,"&lt;"&amp;$B89)+1)</f>
        <v/>
      </c>
      <c r="D89">
        <f>IF($C89="","",$A89&amp;"|"&amp;RIGHT("000000"&amp;$C89,6))</f>
        <v/>
      </c>
      <c r="F89">
        <f>IF(Sync!$AH89="","",IF(LEFT(UPPER(TRIM(Sync!$AH89)),2)="SL",UPPER(TRIM(Sync!$AH89)),""))</f>
        <v/>
      </c>
      <c r="G89">
        <f>IF($F89="","",IF(Sync!$AE89="","",IF(ISNUMBER(Sync!$AE89),IF(AND(Sync!$AE89&gt;=10000101,Sync!$AE89&lt;=99991231),INT(Sync!$AE89/10000),""),IFERROR(VALUE(TRIM(LEFT(Sync!$AE89,FIND("/",Sync!$AE89)-1))),""))))</f>
        <v/>
      </c>
      <c r="H89">
        <f>IF(OR($F89="",$G89=""),"",IF(ISNUMBER(Sync!$AE89),INT(MOD(Sync!$AE89,10000)/100),IFERROR(VALUE(TRIM(LEFT(MID(Sync!$AE89,FIND("/",Sync!$AE89)+1,20),FIND("/",MID(Sync!$AE89,FIND("/",Sync!$AE89)+1,20))-1))),"")))</f>
        <v/>
      </c>
      <c r="I89">
        <f>IF(OR($F89="",$G89=""),"",IF(ISNUMBER(Sync!$AE89),MOD(Sync!$AE89,100),IFERROR(VALUE(TRIM(MID(MID(Sync!$AE89,FIND("/",Sync!$AE89)+1,20),FIND("/",MID(Sync!$AE89,FIND("/",Sync!$AE89)+1,20))+1,20))),"")))</f>
        <v/>
      </c>
      <c r="J89">
        <f>IF($F89="","",IF(OR($G89="",$H89="",$I89="",$G89&lt;1300,$G89&gt;1500,$H89&lt;1,$H89&gt;12,$I89&lt;1,$I89&gt;31),"نامعتبر",RIGHT("0000"&amp;$G89,4)&amp;"/"&amp;RIGHT("00"&amp;$H89,2)&amp;"/"&amp;RIGHT("00"&amp;$I89,2)))</f>
        <v/>
      </c>
      <c r="K89">
        <f>IF(OR($F89="",$J89="",$J89="نامعتبر"),"",LEFT($J89,4)&amp;MID($J89,6,2)&amp;RIGHT($J89,2)&amp;$N89&amp;"|"&amp;"2"&amp;RIGHT("00000"&amp;84,5))</f>
        <v/>
      </c>
      <c r="L89">
        <f>IF($K89="","",COUNTIFS(LdgSellerA,$F89,LdgKeyA,"&lt;"&amp;$K89)+COUNTIFS(LdgSellerB,$F89,LdgKeyB,"&lt;"&amp;$K89)+1)</f>
        <v/>
      </c>
      <c r="M89">
        <f>IF($L89="","",$F89&amp;"|"&amp;RIGHT("000000"&amp;$L89,6))</f>
        <v/>
      </c>
      <c r="N89">
        <f>IF($F89="","",IF(Sync!$AF89="","0000",IF(AND(ISNUMBER(Sync!$AF89),Sync!$AF89&gt;=0,Sync!$AF89&lt;1),RIGHT("00"&amp;HOUR(Sync!$AF89),2)&amp;RIGHT("00"&amp;MINUTE(Sync!$AF89),2),IFERROR(RIGHT("00"&amp;VALUE(LEFT(Sync!$AF89,FIND(":",Sync!$AF89)-1)),2)&amp;RIGHT("00"&amp;VALUE(MID(Sync!$AF89,FIND(":",Sync!$AF89)+1,2)),2),"0000"))))</f>
        <v/>
      </c>
    </row>
    <row r="90">
      <c r="A90">
        <f>IF(OR(Calc!$E94="",Calc!$E94="نامعتبر",Calc!$G94=""),"",Calc!$G94)</f>
        <v/>
      </c>
      <c r="B90">
        <f>IF($A90="","",LEFT(Calc!$E94,4)&amp;MID(Calc!$E94,6,2)&amp;RIGHT(Calc!$E94,2)&amp;Calc!$Q94&amp;"|"&amp;"1"&amp;RIGHT("00000"&amp;85,5))</f>
        <v/>
      </c>
      <c r="C90">
        <f>IF($B90="","",COUNTIFS(LdgSellerA,$A90,LdgKeyA,"&lt;"&amp;$B90)+COUNTIFS(LdgSellerB,$A90,LdgKeyB,"&lt;"&amp;$B90)+1)</f>
        <v/>
      </c>
      <c r="D90">
        <f>IF($C90="","",$A90&amp;"|"&amp;RIGHT("000000"&amp;$C90,6))</f>
        <v/>
      </c>
      <c r="F90">
        <f>IF(Sync!$AH90="","",IF(LEFT(UPPER(TRIM(Sync!$AH90)),2)="SL",UPPER(TRIM(Sync!$AH90)),""))</f>
        <v/>
      </c>
      <c r="G90">
        <f>IF($F90="","",IF(Sync!$AE90="","",IF(ISNUMBER(Sync!$AE90),IF(AND(Sync!$AE90&gt;=10000101,Sync!$AE90&lt;=99991231),INT(Sync!$AE90/10000),""),IFERROR(VALUE(TRIM(LEFT(Sync!$AE90,FIND("/",Sync!$AE90)-1))),""))))</f>
        <v/>
      </c>
      <c r="H90">
        <f>IF(OR($F90="",$G90=""),"",IF(ISNUMBER(Sync!$AE90),INT(MOD(Sync!$AE90,10000)/100),IFERROR(VALUE(TRIM(LEFT(MID(Sync!$AE90,FIND("/",Sync!$AE90)+1,20),FIND("/",MID(Sync!$AE90,FIND("/",Sync!$AE90)+1,20))-1))),"")))</f>
        <v/>
      </c>
      <c r="I90">
        <f>IF(OR($F90="",$G90=""),"",IF(ISNUMBER(Sync!$AE90),MOD(Sync!$AE90,100),IFERROR(VALUE(TRIM(MID(MID(Sync!$AE90,FIND("/",Sync!$AE90)+1,20),FIND("/",MID(Sync!$AE90,FIND("/",Sync!$AE90)+1,20))+1,20))),"")))</f>
        <v/>
      </c>
      <c r="J90">
        <f>IF($F90="","",IF(OR($G90="",$H90="",$I90="",$G90&lt;1300,$G90&gt;1500,$H90&lt;1,$H90&gt;12,$I90&lt;1,$I90&gt;31),"نامعتبر",RIGHT("0000"&amp;$G90,4)&amp;"/"&amp;RIGHT("00"&amp;$H90,2)&amp;"/"&amp;RIGHT("00"&amp;$I90,2)))</f>
        <v/>
      </c>
      <c r="K90">
        <f>IF(OR($F90="",$J90="",$J90="نامعتبر"),"",LEFT($J90,4)&amp;MID($J90,6,2)&amp;RIGHT($J90,2)&amp;$N90&amp;"|"&amp;"2"&amp;RIGHT("00000"&amp;85,5))</f>
        <v/>
      </c>
      <c r="L90">
        <f>IF($K90="","",COUNTIFS(LdgSellerA,$F90,LdgKeyA,"&lt;"&amp;$K90)+COUNTIFS(LdgSellerB,$F90,LdgKeyB,"&lt;"&amp;$K90)+1)</f>
        <v/>
      </c>
      <c r="M90">
        <f>IF($L90="","",$F90&amp;"|"&amp;RIGHT("000000"&amp;$L90,6))</f>
        <v/>
      </c>
      <c r="N90">
        <f>IF($F90="","",IF(Sync!$AF90="","0000",IF(AND(ISNUMBER(Sync!$AF90),Sync!$AF90&gt;=0,Sync!$AF90&lt;1),RIGHT("00"&amp;HOUR(Sync!$AF90),2)&amp;RIGHT("00"&amp;MINUTE(Sync!$AF90),2),IFERROR(RIGHT("00"&amp;VALUE(LEFT(Sync!$AF90,FIND(":",Sync!$AF90)-1)),2)&amp;RIGHT("00"&amp;VALUE(MID(Sync!$AF90,FIND(":",Sync!$AF90)+1,2)),2),"0000"))))</f>
        <v/>
      </c>
    </row>
    <row r="91">
      <c r="A91">
        <f>IF(OR(Calc!$E95="",Calc!$E95="نامعتبر",Calc!$G95=""),"",Calc!$G95)</f>
        <v/>
      </c>
      <c r="B91">
        <f>IF($A91="","",LEFT(Calc!$E95,4)&amp;MID(Calc!$E95,6,2)&amp;RIGHT(Calc!$E95,2)&amp;Calc!$Q95&amp;"|"&amp;"1"&amp;RIGHT("00000"&amp;86,5))</f>
        <v/>
      </c>
      <c r="C91">
        <f>IF($B91="","",COUNTIFS(LdgSellerA,$A91,LdgKeyA,"&lt;"&amp;$B91)+COUNTIFS(LdgSellerB,$A91,LdgKeyB,"&lt;"&amp;$B91)+1)</f>
        <v/>
      </c>
      <c r="D91">
        <f>IF($C91="","",$A91&amp;"|"&amp;RIGHT("000000"&amp;$C91,6))</f>
        <v/>
      </c>
      <c r="F91">
        <f>IF(Sync!$AH91="","",IF(LEFT(UPPER(TRIM(Sync!$AH91)),2)="SL",UPPER(TRIM(Sync!$AH91)),""))</f>
        <v/>
      </c>
      <c r="G91">
        <f>IF($F91="","",IF(Sync!$AE91="","",IF(ISNUMBER(Sync!$AE91),IF(AND(Sync!$AE91&gt;=10000101,Sync!$AE91&lt;=99991231),INT(Sync!$AE91/10000),""),IFERROR(VALUE(TRIM(LEFT(Sync!$AE91,FIND("/",Sync!$AE91)-1))),""))))</f>
        <v/>
      </c>
      <c r="H91">
        <f>IF(OR($F91="",$G91=""),"",IF(ISNUMBER(Sync!$AE91),INT(MOD(Sync!$AE91,10000)/100),IFERROR(VALUE(TRIM(LEFT(MID(Sync!$AE91,FIND("/",Sync!$AE91)+1,20),FIND("/",MID(Sync!$AE91,FIND("/",Sync!$AE91)+1,20))-1))),"")))</f>
        <v/>
      </c>
      <c r="I91">
        <f>IF(OR($F91="",$G91=""),"",IF(ISNUMBER(Sync!$AE91),MOD(Sync!$AE91,100),IFERROR(VALUE(TRIM(MID(MID(Sync!$AE91,FIND("/",Sync!$AE91)+1,20),FIND("/",MID(Sync!$AE91,FIND("/",Sync!$AE91)+1,20))+1,20))),"")))</f>
        <v/>
      </c>
      <c r="J91">
        <f>IF($F91="","",IF(OR($G91="",$H91="",$I91="",$G91&lt;1300,$G91&gt;1500,$H91&lt;1,$H91&gt;12,$I91&lt;1,$I91&gt;31),"نامعتبر",RIGHT("0000"&amp;$G91,4)&amp;"/"&amp;RIGHT("00"&amp;$H91,2)&amp;"/"&amp;RIGHT("00"&amp;$I91,2)))</f>
        <v/>
      </c>
      <c r="K91">
        <f>IF(OR($F91="",$J91="",$J91="نامعتبر"),"",LEFT($J91,4)&amp;MID($J91,6,2)&amp;RIGHT($J91,2)&amp;$N91&amp;"|"&amp;"2"&amp;RIGHT("00000"&amp;86,5))</f>
        <v/>
      </c>
      <c r="L91">
        <f>IF($K91="","",COUNTIFS(LdgSellerA,$F91,LdgKeyA,"&lt;"&amp;$K91)+COUNTIFS(LdgSellerB,$F91,LdgKeyB,"&lt;"&amp;$K91)+1)</f>
        <v/>
      </c>
      <c r="M91">
        <f>IF($L91="","",$F91&amp;"|"&amp;RIGHT("000000"&amp;$L91,6))</f>
        <v/>
      </c>
      <c r="N91">
        <f>IF($F91="","",IF(Sync!$AF91="","0000",IF(AND(ISNUMBER(Sync!$AF91),Sync!$AF91&gt;=0,Sync!$AF91&lt;1),RIGHT("00"&amp;HOUR(Sync!$AF91),2)&amp;RIGHT("00"&amp;MINUTE(Sync!$AF91),2),IFERROR(RIGHT("00"&amp;VALUE(LEFT(Sync!$AF91,FIND(":",Sync!$AF91)-1)),2)&amp;RIGHT("00"&amp;VALUE(MID(Sync!$AF91,FIND(":",Sync!$AF91)+1,2)),2),"0000"))))</f>
        <v/>
      </c>
    </row>
    <row r="92">
      <c r="A92">
        <f>IF(OR(Calc!$E96="",Calc!$E96="نامعتبر",Calc!$G96=""),"",Calc!$G96)</f>
        <v/>
      </c>
      <c r="B92">
        <f>IF($A92="","",LEFT(Calc!$E96,4)&amp;MID(Calc!$E96,6,2)&amp;RIGHT(Calc!$E96,2)&amp;Calc!$Q96&amp;"|"&amp;"1"&amp;RIGHT("00000"&amp;87,5))</f>
        <v/>
      </c>
      <c r="C92">
        <f>IF($B92="","",COUNTIFS(LdgSellerA,$A92,LdgKeyA,"&lt;"&amp;$B92)+COUNTIFS(LdgSellerB,$A92,LdgKeyB,"&lt;"&amp;$B92)+1)</f>
        <v/>
      </c>
      <c r="D92">
        <f>IF($C92="","",$A92&amp;"|"&amp;RIGHT("000000"&amp;$C92,6))</f>
        <v/>
      </c>
      <c r="F92">
        <f>IF(Sync!$AH92="","",IF(LEFT(UPPER(TRIM(Sync!$AH92)),2)="SL",UPPER(TRIM(Sync!$AH92)),""))</f>
        <v/>
      </c>
      <c r="G92">
        <f>IF($F92="","",IF(Sync!$AE92="","",IF(ISNUMBER(Sync!$AE92),IF(AND(Sync!$AE92&gt;=10000101,Sync!$AE92&lt;=99991231),INT(Sync!$AE92/10000),""),IFERROR(VALUE(TRIM(LEFT(Sync!$AE92,FIND("/",Sync!$AE92)-1))),""))))</f>
        <v/>
      </c>
      <c r="H92">
        <f>IF(OR($F92="",$G92=""),"",IF(ISNUMBER(Sync!$AE92),INT(MOD(Sync!$AE92,10000)/100),IFERROR(VALUE(TRIM(LEFT(MID(Sync!$AE92,FIND("/",Sync!$AE92)+1,20),FIND("/",MID(Sync!$AE92,FIND("/",Sync!$AE92)+1,20))-1))),"")))</f>
        <v/>
      </c>
      <c r="I92">
        <f>IF(OR($F92="",$G92=""),"",IF(ISNUMBER(Sync!$AE92),MOD(Sync!$AE92,100),IFERROR(VALUE(TRIM(MID(MID(Sync!$AE92,FIND("/",Sync!$AE92)+1,20),FIND("/",MID(Sync!$AE92,FIND("/",Sync!$AE92)+1,20))+1,20))),"")))</f>
        <v/>
      </c>
      <c r="J92">
        <f>IF($F92="","",IF(OR($G92="",$H92="",$I92="",$G92&lt;1300,$G92&gt;1500,$H92&lt;1,$H92&gt;12,$I92&lt;1,$I92&gt;31),"نامعتبر",RIGHT("0000"&amp;$G92,4)&amp;"/"&amp;RIGHT("00"&amp;$H92,2)&amp;"/"&amp;RIGHT("00"&amp;$I92,2)))</f>
        <v/>
      </c>
      <c r="K92">
        <f>IF(OR($F92="",$J92="",$J92="نامعتبر"),"",LEFT($J92,4)&amp;MID($J92,6,2)&amp;RIGHT($J92,2)&amp;$N92&amp;"|"&amp;"2"&amp;RIGHT("00000"&amp;87,5))</f>
        <v/>
      </c>
      <c r="L92">
        <f>IF($K92="","",COUNTIFS(LdgSellerA,$F92,LdgKeyA,"&lt;"&amp;$K92)+COUNTIFS(LdgSellerB,$F92,LdgKeyB,"&lt;"&amp;$K92)+1)</f>
        <v/>
      </c>
      <c r="M92">
        <f>IF($L92="","",$F92&amp;"|"&amp;RIGHT("000000"&amp;$L92,6))</f>
        <v/>
      </c>
      <c r="N92">
        <f>IF($F92="","",IF(Sync!$AF92="","0000",IF(AND(ISNUMBER(Sync!$AF92),Sync!$AF92&gt;=0,Sync!$AF92&lt;1),RIGHT("00"&amp;HOUR(Sync!$AF92),2)&amp;RIGHT("00"&amp;MINUTE(Sync!$AF92),2),IFERROR(RIGHT("00"&amp;VALUE(LEFT(Sync!$AF92,FIND(":",Sync!$AF92)-1)),2)&amp;RIGHT("00"&amp;VALUE(MID(Sync!$AF92,FIND(":",Sync!$AF92)+1,2)),2),"0000"))))</f>
        <v/>
      </c>
    </row>
    <row r="93">
      <c r="A93">
        <f>IF(OR(Calc!$E97="",Calc!$E97="نامعتبر",Calc!$G97=""),"",Calc!$G97)</f>
        <v/>
      </c>
      <c r="B93">
        <f>IF($A93="","",LEFT(Calc!$E97,4)&amp;MID(Calc!$E97,6,2)&amp;RIGHT(Calc!$E97,2)&amp;Calc!$Q97&amp;"|"&amp;"1"&amp;RIGHT("00000"&amp;88,5))</f>
        <v/>
      </c>
      <c r="C93">
        <f>IF($B93="","",COUNTIFS(LdgSellerA,$A93,LdgKeyA,"&lt;"&amp;$B93)+COUNTIFS(LdgSellerB,$A93,LdgKeyB,"&lt;"&amp;$B93)+1)</f>
        <v/>
      </c>
      <c r="D93">
        <f>IF($C93="","",$A93&amp;"|"&amp;RIGHT("000000"&amp;$C93,6))</f>
        <v/>
      </c>
      <c r="F93">
        <f>IF(Sync!$AH93="","",IF(LEFT(UPPER(TRIM(Sync!$AH93)),2)="SL",UPPER(TRIM(Sync!$AH93)),""))</f>
        <v/>
      </c>
      <c r="G93">
        <f>IF($F93="","",IF(Sync!$AE93="","",IF(ISNUMBER(Sync!$AE93),IF(AND(Sync!$AE93&gt;=10000101,Sync!$AE93&lt;=99991231),INT(Sync!$AE93/10000),""),IFERROR(VALUE(TRIM(LEFT(Sync!$AE93,FIND("/",Sync!$AE93)-1))),""))))</f>
        <v/>
      </c>
      <c r="H93">
        <f>IF(OR($F93="",$G93=""),"",IF(ISNUMBER(Sync!$AE93),INT(MOD(Sync!$AE93,10000)/100),IFERROR(VALUE(TRIM(LEFT(MID(Sync!$AE93,FIND("/",Sync!$AE93)+1,20),FIND("/",MID(Sync!$AE93,FIND("/",Sync!$AE93)+1,20))-1))),"")))</f>
        <v/>
      </c>
      <c r="I93">
        <f>IF(OR($F93="",$G93=""),"",IF(ISNUMBER(Sync!$AE93),MOD(Sync!$AE93,100),IFERROR(VALUE(TRIM(MID(MID(Sync!$AE93,FIND("/",Sync!$AE93)+1,20),FIND("/",MID(Sync!$AE93,FIND("/",Sync!$AE93)+1,20))+1,20))),"")))</f>
        <v/>
      </c>
      <c r="J93">
        <f>IF($F93="","",IF(OR($G93="",$H93="",$I93="",$G93&lt;1300,$G93&gt;1500,$H93&lt;1,$H93&gt;12,$I93&lt;1,$I93&gt;31),"نامعتبر",RIGHT("0000"&amp;$G93,4)&amp;"/"&amp;RIGHT("00"&amp;$H93,2)&amp;"/"&amp;RIGHT("00"&amp;$I93,2)))</f>
        <v/>
      </c>
      <c r="K93">
        <f>IF(OR($F93="",$J93="",$J93="نامعتبر"),"",LEFT($J93,4)&amp;MID($J93,6,2)&amp;RIGHT($J93,2)&amp;$N93&amp;"|"&amp;"2"&amp;RIGHT("00000"&amp;88,5))</f>
        <v/>
      </c>
      <c r="L93">
        <f>IF($K93="","",COUNTIFS(LdgSellerA,$F93,LdgKeyA,"&lt;"&amp;$K93)+COUNTIFS(LdgSellerB,$F93,LdgKeyB,"&lt;"&amp;$K93)+1)</f>
        <v/>
      </c>
      <c r="M93">
        <f>IF($L93="","",$F93&amp;"|"&amp;RIGHT("000000"&amp;$L93,6))</f>
        <v/>
      </c>
      <c r="N93">
        <f>IF($F93="","",IF(Sync!$AF93="","0000",IF(AND(ISNUMBER(Sync!$AF93),Sync!$AF93&gt;=0,Sync!$AF93&lt;1),RIGHT("00"&amp;HOUR(Sync!$AF93),2)&amp;RIGHT("00"&amp;MINUTE(Sync!$AF93),2),IFERROR(RIGHT("00"&amp;VALUE(LEFT(Sync!$AF93,FIND(":",Sync!$AF93)-1)),2)&amp;RIGHT("00"&amp;VALUE(MID(Sync!$AF93,FIND(":",Sync!$AF93)+1,2)),2),"0000"))))</f>
        <v/>
      </c>
    </row>
    <row r="94">
      <c r="A94">
        <f>IF(OR(Calc!$E98="",Calc!$E98="نامعتبر",Calc!$G98=""),"",Calc!$G98)</f>
        <v/>
      </c>
      <c r="B94">
        <f>IF($A94="","",LEFT(Calc!$E98,4)&amp;MID(Calc!$E98,6,2)&amp;RIGHT(Calc!$E98,2)&amp;Calc!$Q98&amp;"|"&amp;"1"&amp;RIGHT("00000"&amp;89,5))</f>
        <v/>
      </c>
      <c r="C94">
        <f>IF($B94="","",COUNTIFS(LdgSellerA,$A94,LdgKeyA,"&lt;"&amp;$B94)+COUNTIFS(LdgSellerB,$A94,LdgKeyB,"&lt;"&amp;$B94)+1)</f>
        <v/>
      </c>
      <c r="D94">
        <f>IF($C94="","",$A94&amp;"|"&amp;RIGHT("000000"&amp;$C94,6))</f>
        <v/>
      </c>
      <c r="F94">
        <f>IF(Sync!$AH94="","",IF(LEFT(UPPER(TRIM(Sync!$AH94)),2)="SL",UPPER(TRIM(Sync!$AH94)),""))</f>
        <v/>
      </c>
      <c r="G94">
        <f>IF($F94="","",IF(Sync!$AE94="","",IF(ISNUMBER(Sync!$AE94),IF(AND(Sync!$AE94&gt;=10000101,Sync!$AE94&lt;=99991231),INT(Sync!$AE94/10000),""),IFERROR(VALUE(TRIM(LEFT(Sync!$AE94,FIND("/",Sync!$AE94)-1))),""))))</f>
        <v/>
      </c>
      <c r="H94">
        <f>IF(OR($F94="",$G94=""),"",IF(ISNUMBER(Sync!$AE94),INT(MOD(Sync!$AE94,10000)/100),IFERROR(VALUE(TRIM(LEFT(MID(Sync!$AE94,FIND("/",Sync!$AE94)+1,20),FIND("/",MID(Sync!$AE94,FIND("/",Sync!$AE94)+1,20))-1))),"")))</f>
        <v/>
      </c>
      <c r="I94">
        <f>IF(OR($F94="",$G94=""),"",IF(ISNUMBER(Sync!$AE94),MOD(Sync!$AE94,100),IFERROR(VALUE(TRIM(MID(MID(Sync!$AE94,FIND("/",Sync!$AE94)+1,20),FIND("/",MID(Sync!$AE94,FIND("/",Sync!$AE94)+1,20))+1,20))),"")))</f>
        <v/>
      </c>
      <c r="J94">
        <f>IF($F94="","",IF(OR($G94="",$H94="",$I94="",$G94&lt;1300,$G94&gt;1500,$H94&lt;1,$H94&gt;12,$I94&lt;1,$I94&gt;31),"نامعتبر",RIGHT("0000"&amp;$G94,4)&amp;"/"&amp;RIGHT("00"&amp;$H94,2)&amp;"/"&amp;RIGHT("00"&amp;$I94,2)))</f>
        <v/>
      </c>
      <c r="K94">
        <f>IF(OR($F94="",$J94="",$J94="نامعتبر"),"",LEFT($J94,4)&amp;MID($J94,6,2)&amp;RIGHT($J94,2)&amp;$N94&amp;"|"&amp;"2"&amp;RIGHT("00000"&amp;89,5))</f>
        <v/>
      </c>
      <c r="L94">
        <f>IF($K94="","",COUNTIFS(LdgSellerA,$F94,LdgKeyA,"&lt;"&amp;$K94)+COUNTIFS(LdgSellerB,$F94,LdgKeyB,"&lt;"&amp;$K94)+1)</f>
        <v/>
      </c>
      <c r="M94">
        <f>IF($L94="","",$F94&amp;"|"&amp;RIGHT("000000"&amp;$L94,6))</f>
        <v/>
      </c>
      <c r="N94">
        <f>IF($F94="","",IF(Sync!$AF94="","0000",IF(AND(ISNUMBER(Sync!$AF94),Sync!$AF94&gt;=0,Sync!$AF94&lt;1),RIGHT("00"&amp;HOUR(Sync!$AF94),2)&amp;RIGHT("00"&amp;MINUTE(Sync!$AF94),2),IFERROR(RIGHT("00"&amp;VALUE(LEFT(Sync!$AF94,FIND(":",Sync!$AF94)-1)),2)&amp;RIGHT("00"&amp;VALUE(MID(Sync!$AF94,FIND(":",Sync!$AF94)+1,2)),2),"0000"))))</f>
        <v/>
      </c>
    </row>
    <row r="95">
      <c r="A95">
        <f>IF(OR(Calc!$E99="",Calc!$E99="نامعتبر",Calc!$G99=""),"",Calc!$G99)</f>
        <v/>
      </c>
      <c r="B95">
        <f>IF($A95="","",LEFT(Calc!$E99,4)&amp;MID(Calc!$E99,6,2)&amp;RIGHT(Calc!$E99,2)&amp;Calc!$Q99&amp;"|"&amp;"1"&amp;RIGHT("00000"&amp;90,5))</f>
        <v/>
      </c>
      <c r="C95">
        <f>IF($B95="","",COUNTIFS(LdgSellerA,$A95,LdgKeyA,"&lt;"&amp;$B95)+COUNTIFS(LdgSellerB,$A95,LdgKeyB,"&lt;"&amp;$B95)+1)</f>
        <v/>
      </c>
      <c r="D95">
        <f>IF($C95="","",$A95&amp;"|"&amp;RIGHT("000000"&amp;$C95,6))</f>
        <v/>
      </c>
      <c r="F95">
        <f>IF(Sync!$AH95="","",IF(LEFT(UPPER(TRIM(Sync!$AH95)),2)="SL",UPPER(TRIM(Sync!$AH95)),""))</f>
        <v/>
      </c>
      <c r="G95">
        <f>IF($F95="","",IF(Sync!$AE95="","",IF(ISNUMBER(Sync!$AE95),IF(AND(Sync!$AE95&gt;=10000101,Sync!$AE95&lt;=99991231),INT(Sync!$AE95/10000),""),IFERROR(VALUE(TRIM(LEFT(Sync!$AE95,FIND("/",Sync!$AE95)-1))),""))))</f>
        <v/>
      </c>
      <c r="H95">
        <f>IF(OR($F95="",$G95=""),"",IF(ISNUMBER(Sync!$AE95),INT(MOD(Sync!$AE95,10000)/100),IFERROR(VALUE(TRIM(LEFT(MID(Sync!$AE95,FIND("/",Sync!$AE95)+1,20),FIND("/",MID(Sync!$AE95,FIND("/",Sync!$AE95)+1,20))-1))),"")))</f>
        <v/>
      </c>
      <c r="I95">
        <f>IF(OR($F95="",$G95=""),"",IF(ISNUMBER(Sync!$AE95),MOD(Sync!$AE95,100),IFERROR(VALUE(TRIM(MID(MID(Sync!$AE95,FIND("/",Sync!$AE95)+1,20),FIND("/",MID(Sync!$AE95,FIND("/",Sync!$AE95)+1,20))+1,20))),"")))</f>
        <v/>
      </c>
      <c r="J95">
        <f>IF($F95="","",IF(OR($G95="",$H95="",$I95="",$G95&lt;1300,$G95&gt;1500,$H95&lt;1,$H95&gt;12,$I95&lt;1,$I95&gt;31),"نامعتبر",RIGHT("0000"&amp;$G95,4)&amp;"/"&amp;RIGHT("00"&amp;$H95,2)&amp;"/"&amp;RIGHT("00"&amp;$I95,2)))</f>
        <v/>
      </c>
      <c r="K95">
        <f>IF(OR($F95="",$J95="",$J95="نامعتبر"),"",LEFT($J95,4)&amp;MID($J95,6,2)&amp;RIGHT($J95,2)&amp;$N95&amp;"|"&amp;"2"&amp;RIGHT("00000"&amp;90,5))</f>
        <v/>
      </c>
      <c r="L95">
        <f>IF($K95="","",COUNTIFS(LdgSellerA,$F95,LdgKeyA,"&lt;"&amp;$K95)+COUNTIFS(LdgSellerB,$F95,LdgKeyB,"&lt;"&amp;$K95)+1)</f>
        <v/>
      </c>
      <c r="M95">
        <f>IF($L95="","",$F95&amp;"|"&amp;RIGHT("000000"&amp;$L95,6))</f>
        <v/>
      </c>
      <c r="N95">
        <f>IF($F95="","",IF(Sync!$AF95="","0000",IF(AND(ISNUMBER(Sync!$AF95),Sync!$AF95&gt;=0,Sync!$AF95&lt;1),RIGHT("00"&amp;HOUR(Sync!$AF95),2)&amp;RIGHT("00"&amp;MINUTE(Sync!$AF95),2),IFERROR(RIGHT("00"&amp;VALUE(LEFT(Sync!$AF95,FIND(":",Sync!$AF95)-1)),2)&amp;RIGHT("00"&amp;VALUE(MID(Sync!$AF95,FIND(":",Sync!$AF95)+1,2)),2),"0000"))))</f>
        <v/>
      </c>
    </row>
    <row r="96">
      <c r="A96">
        <f>IF(OR(Calc!$E100="",Calc!$E100="نامعتبر",Calc!$G100=""),"",Calc!$G100)</f>
        <v/>
      </c>
      <c r="B96">
        <f>IF($A96="","",LEFT(Calc!$E100,4)&amp;MID(Calc!$E100,6,2)&amp;RIGHT(Calc!$E100,2)&amp;Calc!$Q100&amp;"|"&amp;"1"&amp;RIGHT("00000"&amp;91,5))</f>
        <v/>
      </c>
      <c r="C96">
        <f>IF($B96="","",COUNTIFS(LdgSellerA,$A96,LdgKeyA,"&lt;"&amp;$B96)+COUNTIFS(LdgSellerB,$A96,LdgKeyB,"&lt;"&amp;$B96)+1)</f>
        <v/>
      </c>
      <c r="D96">
        <f>IF($C96="","",$A96&amp;"|"&amp;RIGHT("000000"&amp;$C96,6))</f>
        <v/>
      </c>
      <c r="F96">
        <f>IF(Sync!$AH96="","",IF(LEFT(UPPER(TRIM(Sync!$AH96)),2)="SL",UPPER(TRIM(Sync!$AH96)),""))</f>
        <v/>
      </c>
      <c r="G96">
        <f>IF($F96="","",IF(Sync!$AE96="","",IF(ISNUMBER(Sync!$AE96),IF(AND(Sync!$AE96&gt;=10000101,Sync!$AE96&lt;=99991231),INT(Sync!$AE96/10000),""),IFERROR(VALUE(TRIM(LEFT(Sync!$AE96,FIND("/",Sync!$AE96)-1))),""))))</f>
        <v/>
      </c>
      <c r="H96">
        <f>IF(OR($F96="",$G96=""),"",IF(ISNUMBER(Sync!$AE96),INT(MOD(Sync!$AE96,10000)/100),IFERROR(VALUE(TRIM(LEFT(MID(Sync!$AE96,FIND("/",Sync!$AE96)+1,20),FIND("/",MID(Sync!$AE96,FIND("/",Sync!$AE96)+1,20))-1))),"")))</f>
        <v/>
      </c>
      <c r="I96">
        <f>IF(OR($F96="",$G96=""),"",IF(ISNUMBER(Sync!$AE96),MOD(Sync!$AE96,100),IFERROR(VALUE(TRIM(MID(MID(Sync!$AE96,FIND("/",Sync!$AE96)+1,20),FIND("/",MID(Sync!$AE96,FIND("/",Sync!$AE96)+1,20))+1,20))),"")))</f>
        <v/>
      </c>
      <c r="J96">
        <f>IF($F96="","",IF(OR($G96="",$H96="",$I96="",$G96&lt;1300,$G96&gt;1500,$H96&lt;1,$H96&gt;12,$I96&lt;1,$I96&gt;31),"نامعتبر",RIGHT("0000"&amp;$G96,4)&amp;"/"&amp;RIGHT("00"&amp;$H96,2)&amp;"/"&amp;RIGHT("00"&amp;$I96,2)))</f>
        <v/>
      </c>
      <c r="K96">
        <f>IF(OR($F96="",$J96="",$J96="نامعتبر"),"",LEFT($J96,4)&amp;MID($J96,6,2)&amp;RIGHT($J96,2)&amp;$N96&amp;"|"&amp;"2"&amp;RIGHT("00000"&amp;91,5))</f>
        <v/>
      </c>
      <c r="L96">
        <f>IF($K96="","",COUNTIFS(LdgSellerA,$F96,LdgKeyA,"&lt;"&amp;$K96)+COUNTIFS(LdgSellerB,$F96,LdgKeyB,"&lt;"&amp;$K96)+1)</f>
        <v/>
      </c>
      <c r="M96">
        <f>IF($L96="","",$F96&amp;"|"&amp;RIGHT("000000"&amp;$L96,6))</f>
        <v/>
      </c>
      <c r="N96">
        <f>IF($F96="","",IF(Sync!$AF96="","0000",IF(AND(ISNUMBER(Sync!$AF96),Sync!$AF96&gt;=0,Sync!$AF96&lt;1),RIGHT("00"&amp;HOUR(Sync!$AF96),2)&amp;RIGHT("00"&amp;MINUTE(Sync!$AF96),2),IFERROR(RIGHT("00"&amp;VALUE(LEFT(Sync!$AF96,FIND(":",Sync!$AF96)-1)),2)&amp;RIGHT("00"&amp;VALUE(MID(Sync!$AF96,FIND(":",Sync!$AF96)+1,2)),2),"0000"))))</f>
        <v/>
      </c>
    </row>
    <row r="97">
      <c r="A97">
        <f>IF(OR(Calc!$E101="",Calc!$E101="نامعتبر",Calc!$G101=""),"",Calc!$G101)</f>
        <v/>
      </c>
      <c r="B97">
        <f>IF($A97="","",LEFT(Calc!$E101,4)&amp;MID(Calc!$E101,6,2)&amp;RIGHT(Calc!$E101,2)&amp;Calc!$Q101&amp;"|"&amp;"1"&amp;RIGHT("00000"&amp;92,5))</f>
        <v/>
      </c>
      <c r="C97">
        <f>IF($B97="","",COUNTIFS(LdgSellerA,$A97,LdgKeyA,"&lt;"&amp;$B97)+COUNTIFS(LdgSellerB,$A97,LdgKeyB,"&lt;"&amp;$B97)+1)</f>
        <v/>
      </c>
      <c r="D97">
        <f>IF($C97="","",$A97&amp;"|"&amp;RIGHT("000000"&amp;$C97,6))</f>
        <v/>
      </c>
      <c r="F97">
        <f>IF(Sync!$AH97="","",IF(LEFT(UPPER(TRIM(Sync!$AH97)),2)="SL",UPPER(TRIM(Sync!$AH97)),""))</f>
        <v/>
      </c>
      <c r="G97">
        <f>IF($F97="","",IF(Sync!$AE97="","",IF(ISNUMBER(Sync!$AE97),IF(AND(Sync!$AE97&gt;=10000101,Sync!$AE97&lt;=99991231),INT(Sync!$AE97/10000),""),IFERROR(VALUE(TRIM(LEFT(Sync!$AE97,FIND("/",Sync!$AE97)-1))),""))))</f>
        <v/>
      </c>
      <c r="H97">
        <f>IF(OR($F97="",$G97=""),"",IF(ISNUMBER(Sync!$AE97),INT(MOD(Sync!$AE97,10000)/100),IFERROR(VALUE(TRIM(LEFT(MID(Sync!$AE97,FIND("/",Sync!$AE97)+1,20),FIND("/",MID(Sync!$AE97,FIND("/",Sync!$AE97)+1,20))-1))),"")))</f>
        <v/>
      </c>
      <c r="I97">
        <f>IF(OR($F97="",$G97=""),"",IF(ISNUMBER(Sync!$AE97),MOD(Sync!$AE97,100),IFERROR(VALUE(TRIM(MID(MID(Sync!$AE97,FIND("/",Sync!$AE97)+1,20),FIND("/",MID(Sync!$AE97,FIND("/",Sync!$AE97)+1,20))+1,20))),"")))</f>
        <v/>
      </c>
      <c r="J97">
        <f>IF($F97="","",IF(OR($G97="",$H97="",$I97="",$G97&lt;1300,$G97&gt;1500,$H97&lt;1,$H97&gt;12,$I97&lt;1,$I97&gt;31),"نامعتبر",RIGHT("0000"&amp;$G97,4)&amp;"/"&amp;RIGHT("00"&amp;$H97,2)&amp;"/"&amp;RIGHT("00"&amp;$I97,2)))</f>
        <v/>
      </c>
      <c r="K97">
        <f>IF(OR($F97="",$J97="",$J97="نامعتبر"),"",LEFT($J97,4)&amp;MID($J97,6,2)&amp;RIGHT($J97,2)&amp;$N97&amp;"|"&amp;"2"&amp;RIGHT("00000"&amp;92,5))</f>
        <v/>
      </c>
      <c r="L97">
        <f>IF($K97="","",COUNTIFS(LdgSellerA,$F97,LdgKeyA,"&lt;"&amp;$K97)+COUNTIFS(LdgSellerB,$F97,LdgKeyB,"&lt;"&amp;$K97)+1)</f>
        <v/>
      </c>
      <c r="M97">
        <f>IF($L97="","",$F97&amp;"|"&amp;RIGHT("000000"&amp;$L97,6))</f>
        <v/>
      </c>
      <c r="N97">
        <f>IF($F97="","",IF(Sync!$AF97="","0000",IF(AND(ISNUMBER(Sync!$AF97),Sync!$AF97&gt;=0,Sync!$AF97&lt;1),RIGHT("00"&amp;HOUR(Sync!$AF97),2)&amp;RIGHT("00"&amp;MINUTE(Sync!$AF97),2),IFERROR(RIGHT("00"&amp;VALUE(LEFT(Sync!$AF97,FIND(":",Sync!$AF97)-1)),2)&amp;RIGHT("00"&amp;VALUE(MID(Sync!$AF97,FIND(":",Sync!$AF97)+1,2)),2),"0000"))))</f>
        <v/>
      </c>
    </row>
    <row r="98">
      <c r="A98">
        <f>IF(OR(Calc!$E102="",Calc!$E102="نامعتبر",Calc!$G102=""),"",Calc!$G102)</f>
        <v/>
      </c>
      <c r="B98">
        <f>IF($A98="","",LEFT(Calc!$E102,4)&amp;MID(Calc!$E102,6,2)&amp;RIGHT(Calc!$E102,2)&amp;Calc!$Q102&amp;"|"&amp;"1"&amp;RIGHT("00000"&amp;93,5))</f>
        <v/>
      </c>
      <c r="C98">
        <f>IF($B98="","",COUNTIFS(LdgSellerA,$A98,LdgKeyA,"&lt;"&amp;$B98)+COUNTIFS(LdgSellerB,$A98,LdgKeyB,"&lt;"&amp;$B98)+1)</f>
        <v/>
      </c>
      <c r="D98">
        <f>IF($C98="","",$A98&amp;"|"&amp;RIGHT("000000"&amp;$C98,6))</f>
        <v/>
      </c>
      <c r="F98">
        <f>IF(Sync!$AH98="","",IF(LEFT(UPPER(TRIM(Sync!$AH98)),2)="SL",UPPER(TRIM(Sync!$AH98)),""))</f>
        <v/>
      </c>
      <c r="G98">
        <f>IF($F98="","",IF(Sync!$AE98="","",IF(ISNUMBER(Sync!$AE98),IF(AND(Sync!$AE98&gt;=10000101,Sync!$AE98&lt;=99991231),INT(Sync!$AE98/10000),""),IFERROR(VALUE(TRIM(LEFT(Sync!$AE98,FIND("/",Sync!$AE98)-1))),""))))</f>
        <v/>
      </c>
      <c r="H98">
        <f>IF(OR($F98="",$G98=""),"",IF(ISNUMBER(Sync!$AE98),INT(MOD(Sync!$AE98,10000)/100),IFERROR(VALUE(TRIM(LEFT(MID(Sync!$AE98,FIND("/",Sync!$AE98)+1,20),FIND("/",MID(Sync!$AE98,FIND("/",Sync!$AE98)+1,20))-1))),"")))</f>
        <v/>
      </c>
      <c r="I98">
        <f>IF(OR($F98="",$G98=""),"",IF(ISNUMBER(Sync!$AE98),MOD(Sync!$AE98,100),IFERROR(VALUE(TRIM(MID(MID(Sync!$AE98,FIND("/",Sync!$AE98)+1,20),FIND("/",MID(Sync!$AE98,FIND("/",Sync!$AE98)+1,20))+1,20))),"")))</f>
        <v/>
      </c>
      <c r="J98">
        <f>IF($F98="","",IF(OR($G98="",$H98="",$I98="",$G98&lt;1300,$G98&gt;1500,$H98&lt;1,$H98&gt;12,$I98&lt;1,$I98&gt;31),"نامعتبر",RIGHT("0000"&amp;$G98,4)&amp;"/"&amp;RIGHT("00"&amp;$H98,2)&amp;"/"&amp;RIGHT("00"&amp;$I98,2)))</f>
        <v/>
      </c>
      <c r="K98">
        <f>IF(OR($F98="",$J98="",$J98="نامعتبر"),"",LEFT($J98,4)&amp;MID($J98,6,2)&amp;RIGHT($J98,2)&amp;$N98&amp;"|"&amp;"2"&amp;RIGHT("00000"&amp;93,5))</f>
        <v/>
      </c>
      <c r="L98">
        <f>IF($K98="","",COUNTIFS(LdgSellerA,$F98,LdgKeyA,"&lt;"&amp;$K98)+COUNTIFS(LdgSellerB,$F98,LdgKeyB,"&lt;"&amp;$K98)+1)</f>
        <v/>
      </c>
      <c r="M98">
        <f>IF($L98="","",$F98&amp;"|"&amp;RIGHT("000000"&amp;$L98,6))</f>
        <v/>
      </c>
      <c r="N98">
        <f>IF($F98="","",IF(Sync!$AF98="","0000",IF(AND(ISNUMBER(Sync!$AF98),Sync!$AF98&gt;=0,Sync!$AF98&lt;1),RIGHT("00"&amp;HOUR(Sync!$AF98),2)&amp;RIGHT("00"&amp;MINUTE(Sync!$AF98),2),IFERROR(RIGHT("00"&amp;VALUE(LEFT(Sync!$AF98,FIND(":",Sync!$AF98)-1)),2)&amp;RIGHT("00"&amp;VALUE(MID(Sync!$AF98,FIND(":",Sync!$AF98)+1,2)),2),"0000"))))</f>
        <v/>
      </c>
    </row>
    <row r="99">
      <c r="A99">
        <f>IF(OR(Calc!$E103="",Calc!$E103="نامعتبر",Calc!$G103=""),"",Calc!$G103)</f>
        <v/>
      </c>
      <c r="B99">
        <f>IF($A99="","",LEFT(Calc!$E103,4)&amp;MID(Calc!$E103,6,2)&amp;RIGHT(Calc!$E103,2)&amp;Calc!$Q103&amp;"|"&amp;"1"&amp;RIGHT("00000"&amp;94,5))</f>
        <v/>
      </c>
      <c r="C99">
        <f>IF($B99="","",COUNTIFS(LdgSellerA,$A99,LdgKeyA,"&lt;"&amp;$B99)+COUNTIFS(LdgSellerB,$A99,LdgKeyB,"&lt;"&amp;$B99)+1)</f>
        <v/>
      </c>
      <c r="D99">
        <f>IF($C99="","",$A99&amp;"|"&amp;RIGHT("000000"&amp;$C99,6))</f>
        <v/>
      </c>
      <c r="F99">
        <f>IF(Sync!$AH99="","",IF(LEFT(UPPER(TRIM(Sync!$AH99)),2)="SL",UPPER(TRIM(Sync!$AH99)),""))</f>
        <v/>
      </c>
      <c r="G99">
        <f>IF($F99="","",IF(Sync!$AE99="","",IF(ISNUMBER(Sync!$AE99),IF(AND(Sync!$AE99&gt;=10000101,Sync!$AE99&lt;=99991231),INT(Sync!$AE99/10000),""),IFERROR(VALUE(TRIM(LEFT(Sync!$AE99,FIND("/",Sync!$AE99)-1))),""))))</f>
        <v/>
      </c>
      <c r="H99">
        <f>IF(OR($F99="",$G99=""),"",IF(ISNUMBER(Sync!$AE99),INT(MOD(Sync!$AE99,10000)/100),IFERROR(VALUE(TRIM(LEFT(MID(Sync!$AE99,FIND("/",Sync!$AE99)+1,20),FIND("/",MID(Sync!$AE99,FIND("/",Sync!$AE99)+1,20))-1))),"")))</f>
        <v/>
      </c>
      <c r="I99">
        <f>IF(OR($F99="",$G99=""),"",IF(ISNUMBER(Sync!$AE99),MOD(Sync!$AE99,100),IFERROR(VALUE(TRIM(MID(MID(Sync!$AE99,FIND("/",Sync!$AE99)+1,20),FIND("/",MID(Sync!$AE99,FIND("/",Sync!$AE99)+1,20))+1,20))),"")))</f>
        <v/>
      </c>
      <c r="J99">
        <f>IF($F99="","",IF(OR($G99="",$H99="",$I99="",$G99&lt;1300,$G99&gt;1500,$H99&lt;1,$H99&gt;12,$I99&lt;1,$I99&gt;31),"نامعتبر",RIGHT("0000"&amp;$G99,4)&amp;"/"&amp;RIGHT("00"&amp;$H99,2)&amp;"/"&amp;RIGHT("00"&amp;$I99,2)))</f>
        <v/>
      </c>
      <c r="K99">
        <f>IF(OR($F99="",$J99="",$J99="نامعتبر"),"",LEFT($J99,4)&amp;MID($J99,6,2)&amp;RIGHT($J99,2)&amp;$N99&amp;"|"&amp;"2"&amp;RIGHT("00000"&amp;94,5))</f>
        <v/>
      </c>
      <c r="L99">
        <f>IF($K99="","",COUNTIFS(LdgSellerA,$F99,LdgKeyA,"&lt;"&amp;$K99)+COUNTIFS(LdgSellerB,$F99,LdgKeyB,"&lt;"&amp;$K99)+1)</f>
        <v/>
      </c>
      <c r="M99">
        <f>IF($L99="","",$F99&amp;"|"&amp;RIGHT("000000"&amp;$L99,6))</f>
        <v/>
      </c>
      <c r="N99">
        <f>IF($F99="","",IF(Sync!$AF99="","0000",IF(AND(ISNUMBER(Sync!$AF99),Sync!$AF99&gt;=0,Sync!$AF99&lt;1),RIGHT("00"&amp;HOUR(Sync!$AF99),2)&amp;RIGHT("00"&amp;MINUTE(Sync!$AF99),2),IFERROR(RIGHT("00"&amp;VALUE(LEFT(Sync!$AF99,FIND(":",Sync!$AF99)-1)),2)&amp;RIGHT("00"&amp;VALUE(MID(Sync!$AF99,FIND(":",Sync!$AF99)+1,2)),2),"0000"))))</f>
        <v/>
      </c>
    </row>
    <row r="100">
      <c r="A100">
        <f>IF(OR(Calc!$E104="",Calc!$E104="نامعتبر",Calc!$G104=""),"",Calc!$G104)</f>
        <v/>
      </c>
      <c r="B100">
        <f>IF($A100="","",LEFT(Calc!$E104,4)&amp;MID(Calc!$E104,6,2)&amp;RIGHT(Calc!$E104,2)&amp;Calc!$Q104&amp;"|"&amp;"1"&amp;RIGHT("00000"&amp;95,5))</f>
        <v/>
      </c>
      <c r="C100">
        <f>IF($B100="","",COUNTIFS(LdgSellerA,$A100,LdgKeyA,"&lt;"&amp;$B100)+COUNTIFS(LdgSellerB,$A100,LdgKeyB,"&lt;"&amp;$B100)+1)</f>
        <v/>
      </c>
      <c r="D100">
        <f>IF($C100="","",$A100&amp;"|"&amp;RIGHT("000000"&amp;$C100,6))</f>
        <v/>
      </c>
      <c r="F100">
        <f>IF(Sync!$AH100="","",IF(LEFT(UPPER(TRIM(Sync!$AH100)),2)="SL",UPPER(TRIM(Sync!$AH100)),""))</f>
        <v/>
      </c>
      <c r="G100">
        <f>IF($F100="","",IF(Sync!$AE100="","",IF(ISNUMBER(Sync!$AE100),IF(AND(Sync!$AE100&gt;=10000101,Sync!$AE100&lt;=99991231),INT(Sync!$AE100/10000),""),IFERROR(VALUE(TRIM(LEFT(Sync!$AE100,FIND("/",Sync!$AE100)-1))),""))))</f>
        <v/>
      </c>
      <c r="H100">
        <f>IF(OR($F100="",$G100=""),"",IF(ISNUMBER(Sync!$AE100),INT(MOD(Sync!$AE100,10000)/100),IFERROR(VALUE(TRIM(LEFT(MID(Sync!$AE100,FIND("/",Sync!$AE100)+1,20),FIND("/",MID(Sync!$AE100,FIND("/",Sync!$AE100)+1,20))-1))),"")))</f>
        <v/>
      </c>
      <c r="I100">
        <f>IF(OR($F100="",$G100=""),"",IF(ISNUMBER(Sync!$AE100),MOD(Sync!$AE100,100),IFERROR(VALUE(TRIM(MID(MID(Sync!$AE100,FIND("/",Sync!$AE100)+1,20),FIND("/",MID(Sync!$AE100,FIND("/",Sync!$AE100)+1,20))+1,20))),"")))</f>
        <v/>
      </c>
      <c r="J100">
        <f>IF($F100="","",IF(OR($G100="",$H100="",$I100="",$G100&lt;1300,$G100&gt;1500,$H100&lt;1,$H100&gt;12,$I100&lt;1,$I100&gt;31),"نامعتبر",RIGHT("0000"&amp;$G100,4)&amp;"/"&amp;RIGHT("00"&amp;$H100,2)&amp;"/"&amp;RIGHT("00"&amp;$I100,2)))</f>
        <v/>
      </c>
      <c r="K100">
        <f>IF(OR($F100="",$J100="",$J100="نامعتبر"),"",LEFT($J100,4)&amp;MID($J100,6,2)&amp;RIGHT($J100,2)&amp;$N100&amp;"|"&amp;"2"&amp;RIGHT("00000"&amp;95,5))</f>
        <v/>
      </c>
      <c r="L100">
        <f>IF($K100="","",COUNTIFS(LdgSellerA,$F100,LdgKeyA,"&lt;"&amp;$K100)+COUNTIFS(LdgSellerB,$F100,LdgKeyB,"&lt;"&amp;$K100)+1)</f>
        <v/>
      </c>
      <c r="M100">
        <f>IF($L100="","",$F100&amp;"|"&amp;RIGHT("000000"&amp;$L100,6))</f>
        <v/>
      </c>
      <c r="N100">
        <f>IF($F100="","",IF(Sync!$AF100="","0000",IF(AND(ISNUMBER(Sync!$AF100),Sync!$AF100&gt;=0,Sync!$AF100&lt;1),RIGHT("00"&amp;HOUR(Sync!$AF100),2)&amp;RIGHT("00"&amp;MINUTE(Sync!$AF100),2),IFERROR(RIGHT("00"&amp;VALUE(LEFT(Sync!$AF100,FIND(":",Sync!$AF100)-1)),2)&amp;RIGHT("00"&amp;VALUE(MID(Sync!$AF100,FIND(":",Sync!$AF100)+1,2)),2),"0000"))))</f>
        <v/>
      </c>
    </row>
    <row r="101">
      <c r="A101">
        <f>IF(OR(Calc!$E105="",Calc!$E105="نامعتبر",Calc!$G105=""),"",Calc!$G105)</f>
        <v/>
      </c>
      <c r="B101">
        <f>IF($A101="","",LEFT(Calc!$E105,4)&amp;MID(Calc!$E105,6,2)&amp;RIGHT(Calc!$E105,2)&amp;Calc!$Q105&amp;"|"&amp;"1"&amp;RIGHT("00000"&amp;96,5))</f>
        <v/>
      </c>
      <c r="C101">
        <f>IF($B101="","",COUNTIFS(LdgSellerA,$A101,LdgKeyA,"&lt;"&amp;$B101)+COUNTIFS(LdgSellerB,$A101,LdgKeyB,"&lt;"&amp;$B101)+1)</f>
        <v/>
      </c>
      <c r="D101">
        <f>IF($C101="","",$A101&amp;"|"&amp;RIGHT("000000"&amp;$C101,6))</f>
        <v/>
      </c>
      <c r="F101">
        <f>IF(Sync!$AH101="","",IF(LEFT(UPPER(TRIM(Sync!$AH101)),2)="SL",UPPER(TRIM(Sync!$AH101)),""))</f>
        <v/>
      </c>
      <c r="G101">
        <f>IF($F101="","",IF(Sync!$AE101="","",IF(ISNUMBER(Sync!$AE101),IF(AND(Sync!$AE101&gt;=10000101,Sync!$AE101&lt;=99991231),INT(Sync!$AE101/10000),""),IFERROR(VALUE(TRIM(LEFT(Sync!$AE101,FIND("/",Sync!$AE101)-1))),""))))</f>
        <v/>
      </c>
      <c r="H101">
        <f>IF(OR($F101="",$G101=""),"",IF(ISNUMBER(Sync!$AE101),INT(MOD(Sync!$AE101,10000)/100),IFERROR(VALUE(TRIM(LEFT(MID(Sync!$AE101,FIND("/",Sync!$AE101)+1,20),FIND("/",MID(Sync!$AE101,FIND("/",Sync!$AE101)+1,20))-1))),"")))</f>
        <v/>
      </c>
      <c r="I101">
        <f>IF(OR($F101="",$G101=""),"",IF(ISNUMBER(Sync!$AE101),MOD(Sync!$AE101,100),IFERROR(VALUE(TRIM(MID(MID(Sync!$AE101,FIND("/",Sync!$AE101)+1,20),FIND("/",MID(Sync!$AE101,FIND("/",Sync!$AE101)+1,20))+1,20))),"")))</f>
        <v/>
      </c>
      <c r="J101">
        <f>IF($F101="","",IF(OR($G101="",$H101="",$I101="",$G101&lt;1300,$G101&gt;1500,$H101&lt;1,$H101&gt;12,$I101&lt;1,$I101&gt;31),"نامعتبر",RIGHT("0000"&amp;$G101,4)&amp;"/"&amp;RIGHT("00"&amp;$H101,2)&amp;"/"&amp;RIGHT("00"&amp;$I101,2)))</f>
        <v/>
      </c>
      <c r="K101">
        <f>IF(OR($F101="",$J101="",$J101="نامعتبر"),"",LEFT($J101,4)&amp;MID($J101,6,2)&amp;RIGHT($J101,2)&amp;$N101&amp;"|"&amp;"2"&amp;RIGHT("00000"&amp;96,5))</f>
        <v/>
      </c>
      <c r="L101">
        <f>IF($K101="","",COUNTIFS(LdgSellerA,$F101,LdgKeyA,"&lt;"&amp;$K101)+COUNTIFS(LdgSellerB,$F101,LdgKeyB,"&lt;"&amp;$K101)+1)</f>
        <v/>
      </c>
      <c r="M101">
        <f>IF($L101="","",$F101&amp;"|"&amp;RIGHT("000000"&amp;$L101,6))</f>
        <v/>
      </c>
      <c r="N101">
        <f>IF($F101="","",IF(Sync!$AF101="","0000",IF(AND(ISNUMBER(Sync!$AF101),Sync!$AF101&gt;=0,Sync!$AF101&lt;1),RIGHT("00"&amp;HOUR(Sync!$AF101),2)&amp;RIGHT("00"&amp;MINUTE(Sync!$AF101),2),IFERROR(RIGHT("00"&amp;VALUE(LEFT(Sync!$AF101,FIND(":",Sync!$AF101)-1)),2)&amp;RIGHT("00"&amp;VALUE(MID(Sync!$AF101,FIND(":",Sync!$AF101)+1,2)),2),"0000"))))</f>
        <v/>
      </c>
    </row>
    <row r="102">
      <c r="A102">
        <f>IF(OR(Calc!$E106="",Calc!$E106="نامعتبر",Calc!$G106=""),"",Calc!$G106)</f>
        <v/>
      </c>
      <c r="B102">
        <f>IF($A102="","",LEFT(Calc!$E106,4)&amp;MID(Calc!$E106,6,2)&amp;RIGHT(Calc!$E106,2)&amp;Calc!$Q106&amp;"|"&amp;"1"&amp;RIGHT("00000"&amp;97,5))</f>
        <v/>
      </c>
      <c r="C102">
        <f>IF($B102="","",COUNTIFS(LdgSellerA,$A102,LdgKeyA,"&lt;"&amp;$B102)+COUNTIFS(LdgSellerB,$A102,LdgKeyB,"&lt;"&amp;$B102)+1)</f>
        <v/>
      </c>
      <c r="D102">
        <f>IF($C102="","",$A102&amp;"|"&amp;RIGHT("000000"&amp;$C102,6))</f>
        <v/>
      </c>
      <c r="F102">
        <f>IF(Sync!$AH102="","",IF(LEFT(UPPER(TRIM(Sync!$AH102)),2)="SL",UPPER(TRIM(Sync!$AH102)),""))</f>
        <v/>
      </c>
      <c r="G102">
        <f>IF($F102="","",IF(Sync!$AE102="","",IF(ISNUMBER(Sync!$AE102),IF(AND(Sync!$AE102&gt;=10000101,Sync!$AE102&lt;=99991231),INT(Sync!$AE102/10000),""),IFERROR(VALUE(TRIM(LEFT(Sync!$AE102,FIND("/",Sync!$AE102)-1))),""))))</f>
        <v/>
      </c>
      <c r="H102">
        <f>IF(OR($F102="",$G102=""),"",IF(ISNUMBER(Sync!$AE102),INT(MOD(Sync!$AE102,10000)/100),IFERROR(VALUE(TRIM(LEFT(MID(Sync!$AE102,FIND("/",Sync!$AE102)+1,20),FIND("/",MID(Sync!$AE102,FIND("/",Sync!$AE102)+1,20))-1))),"")))</f>
        <v/>
      </c>
      <c r="I102">
        <f>IF(OR($F102="",$G102=""),"",IF(ISNUMBER(Sync!$AE102),MOD(Sync!$AE102,100),IFERROR(VALUE(TRIM(MID(MID(Sync!$AE102,FIND("/",Sync!$AE102)+1,20),FIND("/",MID(Sync!$AE102,FIND("/",Sync!$AE102)+1,20))+1,20))),"")))</f>
        <v/>
      </c>
      <c r="J102">
        <f>IF($F102="","",IF(OR($G102="",$H102="",$I102="",$G102&lt;1300,$G102&gt;1500,$H102&lt;1,$H102&gt;12,$I102&lt;1,$I102&gt;31),"نامعتبر",RIGHT("0000"&amp;$G102,4)&amp;"/"&amp;RIGHT("00"&amp;$H102,2)&amp;"/"&amp;RIGHT("00"&amp;$I102,2)))</f>
        <v/>
      </c>
      <c r="K102">
        <f>IF(OR($F102="",$J102="",$J102="نامعتبر"),"",LEFT($J102,4)&amp;MID($J102,6,2)&amp;RIGHT($J102,2)&amp;$N102&amp;"|"&amp;"2"&amp;RIGHT("00000"&amp;97,5))</f>
        <v/>
      </c>
      <c r="L102">
        <f>IF($K102="","",COUNTIFS(LdgSellerA,$F102,LdgKeyA,"&lt;"&amp;$K102)+COUNTIFS(LdgSellerB,$F102,LdgKeyB,"&lt;"&amp;$K102)+1)</f>
        <v/>
      </c>
      <c r="M102">
        <f>IF($L102="","",$F102&amp;"|"&amp;RIGHT("000000"&amp;$L102,6))</f>
        <v/>
      </c>
      <c r="N102">
        <f>IF($F102="","",IF(Sync!$AF102="","0000",IF(AND(ISNUMBER(Sync!$AF102),Sync!$AF102&gt;=0,Sync!$AF102&lt;1),RIGHT("00"&amp;HOUR(Sync!$AF102),2)&amp;RIGHT("00"&amp;MINUTE(Sync!$AF102),2),IFERROR(RIGHT("00"&amp;VALUE(LEFT(Sync!$AF102,FIND(":",Sync!$AF102)-1)),2)&amp;RIGHT("00"&amp;VALUE(MID(Sync!$AF102,FIND(":",Sync!$AF102)+1,2)),2),"0000"))))</f>
        <v/>
      </c>
    </row>
    <row r="103">
      <c r="A103">
        <f>IF(OR(Calc!$E107="",Calc!$E107="نامعتبر",Calc!$G107=""),"",Calc!$G107)</f>
        <v/>
      </c>
      <c r="B103">
        <f>IF($A103="","",LEFT(Calc!$E107,4)&amp;MID(Calc!$E107,6,2)&amp;RIGHT(Calc!$E107,2)&amp;Calc!$Q107&amp;"|"&amp;"1"&amp;RIGHT("00000"&amp;98,5))</f>
        <v/>
      </c>
      <c r="C103">
        <f>IF($B103="","",COUNTIFS(LdgSellerA,$A103,LdgKeyA,"&lt;"&amp;$B103)+COUNTIFS(LdgSellerB,$A103,LdgKeyB,"&lt;"&amp;$B103)+1)</f>
        <v/>
      </c>
      <c r="D103">
        <f>IF($C103="","",$A103&amp;"|"&amp;RIGHT("000000"&amp;$C103,6))</f>
        <v/>
      </c>
      <c r="F103">
        <f>IF(Sync!$AH103="","",IF(LEFT(UPPER(TRIM(Sync!$AH103)),2)="SL",UPPER(TRIM(Sync!$AH103)),""))</f>
        <v/>
      </c>
      <c r="G103">
        <f>IF($F103="","",IF(Sync!$AE103="","",IF(ISNUMBER(Sync!$AE103),IF(AND(Sync!$AE103&gt;=10000101,Sync!$AE103&lt;=99991231),INT(Sync!$AE103/10000),""),IFERROR(VALUE(TRIM(LEFT(Sync!$AE103,FIND("/",Sync!$AE103)-1))),""))))</f>
        <v/>
      </c>
      <c r="H103">
        <f>IF(OR($F103="",$G103=""),"",IF(ISNUMBER(Sync!$AE103),INT(MOD(Sync!$AE103,10000)/100),IFERROR(VALUE(TRIM(LEFT(MID(Sync!$AE103,FIND("/",Sync!$AE103)+1,20),FIND("/",MID(Sync!$AE103,FIND("/",Sync!$AE103)+1,20))-1))),"")))</f>
        <v/>
      </c>
      <c r="I103">
        <f>IF(OR($F103="",$G103=""),"",IF(ISNUMBER(Sync!$AE103),MOD(Sync!$AE103,100),IFERROR(VALUE(TRIM(MID(MID(Sync!$AE103,FIND("/",Sync!$AE103)+1,20),FIND("/",MID(Sync!$AE103,FIND("/",Sync!$AE103)+1,20))+1,20))),"")))</f>
        <v/>
      </c>
      <c r="J103">
        <f>IF($F103="","",IF(OR($G103="",$H103="",$I103="",$G103&lt;1300,$G103&gt;1500,$H103&lt;1,$H103&gt;12,$I103&lt;1,$I103&gt;31),"نامعتبر",RIGHT("0000"&amp;$G103,4)&amp;"/"&amp;RIGHT("00"&amp;$H103,2)&amp;"/"&amp;RIGHT("00"&amp;$I103,2)))</f>
        <v/>
      </c>
      <c r="K103">
        <f>IF(OR($F103="",$J103="",$J103="نامعتبر"),"",LEFT($J103,4)&amp;MID($J103,6,2)&amp;RIGHT($J103,2)&amp;$N103&amp;"|"&amp;"2"&amp;RIGHT("00000"&amp;98,5))</f>
        <v/>
      </c>
      <c r="L103">
        <f>IF($K103="","",COUNTIFS(LdgSellerA,$F103,LdgKeyA,"&lt;"&amp;$K103)+COUNTIFS(LdgSellerB,$F103,LdgKeyB,"&lt;"&amp;$K103)+1)</f>
        <v/>
      </c>
      <c r="M103">
        <f>IF($L103="","",$F103&amp;"|"&amp;RIGHT("000000"&amp;$L103,6))</f>
        <v/>
      </c>
      <c r="N103">
        <f>IF($F103="","",IF(Sync!$AF103="","0000",IF(AND(ISNUMBER(Sync!$AF103),Sync!$AF103&gt;=0,Sync!$AF103&lt;1),RIGHT("00"&amp;HOUR(Sync!$AF103),2)&amp;RIGHT("00"&amp;MINUTE(Sync!$AF103),2),IFERROR(RIGHT("00"&amp;VALUE(LEFT(Sync!$AF103,FIND(":",Sync!$AF103)-1)),2)&amp;RIGHT("00"&amp;VALUE(MID(Sync!$AF103,FIND(":",Sync!$AF103)+1,2)),2),"0000"))))</f>
        <v/>
      </c>
    </row>
    <row r="104">
      <c r="A104">
        <f>IF(OR(Calc!$E108="",Calc!$E108="نامعتبر",Calc!$G108=""),"",Calc!$G108)</f>
        <v/>
      </c>
      <c r="B104">
        <f>IF($A104="","",LEFT(Calc!$E108,4)&amp;MID(Calc!$E108,6,2)&amp;RIGHT(Calc!$E108,2)&amp;Calc!$Q108&amp;"|"&amp;"1"&amp;RIGHT("00000"&amp;99,5))</f>
        <v/>
      </c>
      <c r="C104">
        <f>IF($B104="","",COUNTIFS(LdgSellerA,$A104,LdgKeyA,"&lt;"&amp;$B104)+COUNTIFS(LdgSellerB,$A104,LdgKeyB,"&lt;"&amp;$B104)+1)</f>
        <v/>
      </c>
      <c r="D104">
        <f>IF($C104="","",$A104&amp;"|"&amp;RIGHT("000000"&amp;$C104,6))</f>
        <v/>
      </c>
      <c r="F104">
        <f>IF(Sync!$AH104="","",IF(LEFT(UPPER(TRIM(Sync!$AH104)),2)="SL",UPPER(TRIM(Sync!$AH104)),""))</f>
        <v/>
      </c>
      <c r="G104">
        <f>IF($F104="","",IF(Sync!$AE104="","",IF(ISNUMBER(Sync!$AE104),IF(AND(Sync!$AE104&gt;=10000101,Sync!$AE104&lt;=99991231),INT(Sync!$AE104/10000),""),IFERROR(VALUE(TRIM(LEFT(Sync!$AE104,FIND("/",Sync!$AE104)-1))),""))))</f>
        <v/>
      </c>
      <c r="H104">
        <f>IF(OR($F104="",$G104=""),"",IF(ISNUMBER(Sync!$AE104),INT(MOD(Sync!$AE104,10000)/100),IFERROR(VALUE(TRIM(LEFT(MID(Sync!$AE104,FIND("/",Sync!$AE104)+1,20),FIND("/",MID(Sync!$AE104,FIND("/",Sync!$AE104)+1,20))-1))),"")))</f>
        <v/>
      </c>
      <c r="I104">
        <f>IF(OR($F104="",$G104=""),"",IF(ISNUMBER(Sync!$AE104),MOD(Sync!$AE104,100),IFERROR(VALUE(TRIM(MID(MID(Sync!$AE104,FIND("/",Sync!$AE104)+1,20),FIND("/",MID(Sync!$AE104,FIND("/",Sync!$AE104)+1,20))+1,20))),"")))</f>
        <v/>
      </c>
      <c r="J104">
        <f>IF($F104="","",IF(OR($G104="",$H104="",$I104="",$G104&lt;1300,$G104&gt;1500,$H104&lt;1,$H104&gt;12,$I104&lt;1,$I104&gt;31),"نامعتبر",RIGHT("0000"&amp;$G104,4)&amp;"/"&amp;RIGHT("00"&amp;$H104,2)&amp;"/"&amp;RIGHT("00"&amp;$I104,2)))</f>
        <v/>
      </c>
      <c r="K104">
        <f>IF(OR($F104="",$J104="",$J104="نامعتبر"),"",LEFT($J104,4)&amp;MID($J104,6,2)&amp;RIGHT($J104,2)&amp;$N104&amp;"|"&amp;"2"&amp;RIGHT("00000"&amp;99,5))</f>
        <v/>
      </c>
      <c r="L104">
        <f>IF($K104="","",COUNTIFS(LdgSellerA,$F104,LdgKeyA,"&lt;"&amp;$K104)+COUNTIFS(LdgSellerB,$F104,LdgKeyB,"&lt;"&amp;$K104)+1)</f>
        <v/>
      </c>
      <c r="M104">
        <f>IF($L104="","",$F104&amp;"|"&amp;RIGHT("000000"&amp;$L104,6))</f>
        <v/>
      </c>
      <c r="N104">
        <f>IF($F104="","",IF(Sync!$AF104="","0000",IF(AND(ISNUMBER(Sync!$AF104),Sync!$AF104&gt;=0,Sync!$AF104&lt;1),RIGHT("00"&amp;HOUR(Sync!$AF104),2)&amp;RIGHT("00"&amp;MINUTE(Sync!$AF104),2),IFERROR(RIGHT("00"&amp;VALUE(LEFT(Sync!$AF104,FIND(":",Sync!$AF104)-1)),2)&amp;RIGHT("00"&amp;VALUE(MID(Sync!$AF104,FIND(":",Sync!$AF104)+1,2)),2),"0000"))))</f>
        <v/>
      </c>
    </row>
    <row r="105">
      <c r="A105">
        <f>IF(OR(Calc!$E109="",Calc!$E109="نامعتبر",Calc!$G109=""),"",Calc!$G109)</f>
        <v/>
      </c>
      <c r="B105">
        <f>IF($A105="","",LEFT(Calc!$E109,4)&amp;MID(Calc!$E109,6,2)&amp;RIGHT(Calc!$E109,2)&amp;Calc!$Q109&amp;"|"&amp;"1"&amp;RIGHT("00000"&amp;100,5))</f>
        <v/>
      </c>
      <c r="C105">
        <f>IF($B105="","",COUNTIFS(LdgSellerA,$A105,LdgKeyA,"&lt;"&amp;$B105)+COUNTIFS(LdgSellerB,$A105,LdgKeyB,"&lt;"&amp;$B105)+1)</f>
        <v/>
      </c>
      <c r="D105">
        <f>IF($C105="","",$A105&amp;"|"&amp;RIGHT("000000"&amp;$C105,6))</f>
        <v/>
      </c>
      <c r="F105">
        <f>IF(Sync!$AH105="","",IF(LEFT(UPPER(TRIM(Sync!$AH105)),2)="SL",UPPER(TRIM(Sync!$AH105)),""))</f>
        <v/>
      </c>
      <c r="G105">
        <f>IF($F105="","",IF(Sync!$AE105="","",IF(ISNUMBER(Sync!$AE105),IF(AND(Sync!$AE105&gt;=10000101,Sync!$AE105&lt;=99991231),INT(Sync!$AE105/10000),""),IFERROR(VALUE(TRIM(LEFT(Sync!$AE105,FIND("/",Sync!$AE105)-1))),""))))</f>
        <v/>
      </c>
      <c r="H105">
        <f>IF(OR($F105="",$G105=""),"",IF(ISNUMBER(Sync!$AE105),INT(MOD(Sync!$AE105,10000)/100),IFERROR(VALUE(TRIM(LEFT(MID(Sync!$AE105,FIND("/",Sync!$AE105)+1,20),FIND("/",MID(Sync!$AE105,FIND("/",Sync!$AE105)+1,20))-1))),"")))</f>
        <v/>
      </c>
      <c r="I105">
        <f>IF(OR($F105="",$G105=""),"",IF(ISNUMBER(Sync!$AE105),MOD(Sync!$AE105,100),IFERROR(VALUE(TRIM(MID(MID(Sync!$AE105,FIND("/",Sync!$AE105)+1,20),FIND("/",MID(Sync!$AE105,FIND("/",Sync!$AE105)+1,20))+1,20))),"")))</f>
        <v/>
      </c>
      <c r="J105">
        <f>IF($F105="","",IF(OR($G105="",$H105="",$I105="",$G105&lt;1300,$G105&gt;1500,$H105&lt;1,$H105&gt;12,$I105&lt;1,$I105&gt;31),"نامعتبر",RIGHT("0000"&amp;$G105,4)&amp;"/"&amp;RIGHT("00"&amp;$H105,2)&amp;"/"&amp;RIGHT("00"&amp;$I105,2)))</f>
        <v/>
      </c>
      <c r="K105">
        <f>IF(OR($F105="",$J105="",$J105="نامعتبر"),"",LEFT($J105,4)&amp;MID($J105,6,2)&amp;RIGHT($J105,2)&amp;$N105&amp;"|"&amp;"2"&amp;RIGHT("00000"&amp;100,5))</f>
        <v/>
      </c>
      <c r="L105">
        <f>IF($K105="","",COUNTIFS(LdgSellerA,$F105,LdgKeyA,"&lt;"&amp;$K105)+COUNTIFS(LdgSellerB,$F105,LdgKeyB,"&lt;"&amp;$K105)+1)</f>
        <v/>
      </c>
      <c r="M105">
        <f>IF($L105="","",$F105&amp;"|"&amp;RIGHT("000000"&amp;$L105,6))</f>
        <v/>
      </c>
      <c r="N105">
        <f>IF($F105="","",IF(Sync!$AF105="","0000",IF(AND(ISNUMBER(Sync!$AF105),Sync!$AF105&gt;=0,Sync!$AF105&lt;1),RIGHT("00"&amp;HOUR(Sync!$AF105),2)&amp;RIGHT("00"&amp;MINUTE(Sync!$AF105),2),IFERROR(RIGHT("00"&amp;VALUE(LEFT(Sync!$AF105,FIND(":",Sync!$AF105)-1)),2)&amp;RIGHT("00"&amp;VALUE(MID(Sync!$AF105,FIND(":",Sync!$AF105)+1,2)),2),"0000"))))</f>
        <v/>
      </c>
    </row>
    <row r="106">
      <c r="A106">
        <f>IF(OR(Calc!$E110="",Calc!$E110="نامعتبر",Calc!$G110=""),"",Calc!$G110)</f>
        <v/>
      </c>
      <c r="B106">
        <f>IF($A106="","",LEFT(Calc!$E110,4)&amp;MID(Calc!$E110,6,2)&amp;RIGHT(Calc!$E110,2)&amp;Calc!$Q110&amp;"|"&amp;"1"&amp;RIGHT("00000"&amp;101,5))</f>
        <v/>
      </c>
      <c r="C106">
        <f>IF($B106="","",COUNTIFS(LdgSellerA,$A106,LdgKeyA,"&lt;"&amp;$B106)+COUNTIFS(LdgSellerB,$A106,LdgKeyB,"&lt;"&amp;$B106)+1)</f>
        <v/>
      </c>
      <c r="D106">
        <f>IF($C106="","",$A106&amp;"|"&amp;RIGHT("000000"&amp;$C106,6))</f>
        <v/>
      </c>
      <c r="F106">
        <f>IF(Sync!$AH106="","",IF(LEFT(UPPER(TRIM(Sync!$AH106)),2)="SL",UPPER(TRIM(Sync!$AH106)),""))</f>
        <v/>
      </c>
      <c r="G106">
        <f>IF($F106="","",IF(Sync!$AE106="","",IF(ISNUMBER(Sync!$AE106),IF(AND(Sync!$AE106&gt;=10000101,Sync!$AE106&lt;=99991231),INT(Sync!$AE106/10000),""),IFERROR(VALUE(TRIM(LEFT(Sync!$AE106,FIND("/",Sync!$AE106)-1))),""))))</f>
        <v/>
      </c>
      <c r="H106">
        <f>IF(OR($F106="",$G106=""),"",IF(ISNUMBER(Sync!$AE106),INT(MOD(Sync!$AE106,10000)/100),IFERROR(VALUE(TRIM(LEFT(MID(Sync!$AE106,FIND("/",Sync!$AE106)+1,20),FIND("/",MID(Sync!$AE106,FIND("/",Sync!$AE106)+1,20))-1))),"")))</f>
        <v/>
      </c>
      <c r="I106">
        <f>IF(OR($F106="",$G106=""),"",IF(ISNUMBER(Sync!$AE106),MOD(Sync!$AE106,100),IFERROR(VALUE(TRIM(MID(MID(Sync!$AE106,FIND("/",Sync!$AE106)+1,20),FIND("/",MID(Sync!$AE106,FIND("/",Sync!$AE106)+1,20))+1,20))),"")))</f>
        <v/>
      </c>
      <c r="J106">
        <f>IF($F106="","",IF(OR($G106="",$H106="",$I106="",$G106&lt;1300,$G106&gt;1500,$H106&lt;1,$H106&gt;12,$I106&lt;1,$I106&gt;31),"نامعتبر",RIGHT("0000"&amp;$G106,4)&amp;"/"&amp;RIGHT("00"&amp;$H106,2)&amp;"/"&amp;RIGHT("00"&amp;$I106,2)))</f>
        <v/>
      </c>
      <c r="K106">
        <f>IF(OR($F106="",$J106="",$J106="نامعتبر"),"",LEFT($J106,4)&amp;MID($J106,6,2)&amp;RIGHT($J106,2)&amp;$N106&amp;"|"&amp;"2"&amp;RIGHT("00000"&amp;101,5))</f>
        <v/>
      </c>
      <c r="L106">
        <f>IF($K106="","",COUNTIFS(LdgSellerA,$F106,LdgKeyA,"&lt;"&amp;$K106)+COUNTIFS(LdgSellerB,$F106,LdgKeyB,"&lt;"&amp;$K106)+1)</f>
        <v/>
      </c>
      <c r="M106">
        <f>IF($L106="","",$F106&amp;"|"&amp;RIGHT("000000"&amp;$L106,6))</f>
        <v/>
      </c>
      <c r="N106">
        <f>IF($F106="","",IF(Sync!$AF106="","0000",IF(AND(ISNUMBER(Sync!$AF106),Sync!$AF106&gt;=0,Sync!$AF106&lt;1),RIGHT("00"&amp;HOUR(Sync!$AF106),2)&amp;RIGHT("00"&amp;MINUTE(Sync!$AF106),2),IFERROR(RIGHT("00"&amp;VALUE(LEFT(Sync!$AF106,FIND(":",Sync!$AF106)-1)),2)&amp;RIGHT("00"&amp;VALUE(MID(Sync!$AF106,FIND(":",Sync!$AF106)+1,2)),2),"0000"))))</f>
        <v/>
      </c>
    </row>
    <row r="107">
      <c r="A107">
        <f>IF(OR(Calc!$E111="",Calc!$E111="نامعتبر",Calc!$G111=""),"",Calc!$G111)</f>
        <v/>
      </c>
      <c r="B107">
        <f>IF($A107="","",LEFT(Calc!$E111,4)&amp;MID(Calc!$E111,6,2)&amp;RIGHT(Calc!$E111,2)&amp;Calc!$Q111&amp;"|"&amp;"1"&amp;RIGHT("00000"&amp;102,5))</f>
        <v/>
      </c>
      <c r="C107">
        <f>IF($B107="","",COUNTIFS(LdgSellerA,$A107,LdgKeyA,"&lt;"&amp;$B107)+COUNTIFS(LdgSellerB,$A107,LdgKeyB,"&lt;"&amp;$B107)+1)</f>
        <v/>
      </c>
      <c r="D107">
        <f>IF($C107="","",$A107&amp;"|"&amp;RIGHT("000000"&amp;$C107,6))</f>
        <v/>
      </c>
      <c r="F107">
        <f>IF(Sync!$AH107="","",IF(LEFT(UPPER(TRIM(Sync!$AH107)),2)="SL",UPPER(TRIM(Sync!$AH107)),""))</f>
        <v/>
      </c>
      <c r="G107">
        <f>IF($F107="","",IF(Sync!$AE107="","",IF(ISNUMBER(Sync!$AE107),IF(AND(Sync!$AE107&gt;=10000101,Sync!$AE107&lt;=99991231),INT(Sync!$AE107/10000),""),IFERROR(VALUE(TRIM(LEFT(Sync!$AE107,FIND("/",Sync!$AE107)-1))),""))))</f>
        <v/>
      </c>
      <c r="H107">
        <f>IF(OR($F107="",$G107=""),"",IF(ISNUMBER(Sync!$AE107),INT(MOD(Sync!$AE107,10000)/100),IFERROR(VALUE(TRIM(LEFT(MID(Sync!$AE107,FIND("/",Sync!$AE107)+1,20),FIND("/",MID(Sync!$AE107,FIND("/",Sync!$AE107)+1,20))-1))),"")))</f>
        <v/>
      </c>
      <c r="I107">
        <f>IF(OR($F107="",$G107=""),"",IF(ISNUMBER(Sync!$AE107),MOD(Sync!$AE107,100),IFERROR(VALUE(TRIM(MID(MID(Sync!$AE107,FIND("/",Sync!$AE107)+1,20),FIND("/",MID(Sync!$AE107,FIND("/",Sync!$AE107)+1,20))+1,20))),"")))</f>
        <v/>
      </c>
      <c r="J107">
        <f>IF($F107="","",IF(OR($G107="",$H107="",$I107="",$G107&lt;1300,$G107&gt;1500,$H107&lt;1,$H107&gt;12,$I107&lt;1,$I107&gt;31),"نامعتبر",RIGHT("0000"&amp;$G107,4)&amp;"/"&amp;RIGHT("00"&amp;$H107,2)&amp;"/"&amp;RIGHT("00"&amp;$I107,2)))</f>
        <v/>
      </c>
      <c r="K107">
        <f>IF(OR($F107="",$J107="",$J107="نامعتبر"),"",LEFT($J107,4)&amp;MID($J107,6,2)&amp;RIGHT($J107,2)&amp;$N107&amp;"|"&amp;"2"&amp;RIGHT("00000"&amp;102,5))</f>
        <v/>
      </c>
      <c r="L107">
        <f>IF($K107="","",COUNTIFS(LdgSellerA,$F107,LdgKeyA,"&lt;"&amp;$K107)+COUNTIFS(LdgSellerB,$F107,LdgKeyB,"&lt;"&amp;$K107)+1)</f>
        <v/>
      </c>
      <c r="M107">
        <f>IF($L107="","",$F107&amp;"|"&amp;RIGHT("000000"&amp;$L107,6))</f>
        <v/>
      </c>
      <c r="N107">
        <f>IF($F107="","",IF(Sync!$AF107="","0000",IF(AND(ISNUMBER(Sync!$AF107),Sync!$AF107&gt;=0,Sync!$AF107&lt;1),RIGHT("00"&amp;HOUR(Sync!$AF107),2)&amp;RIGHT("00"&amp;MINUTE(Sync!$AF107),2),IFERROR(RIGHT("00"&amp;VALUE(LEFT(Sync!$AF107,FIND(":",Sync!$AF107)-1)),2)&amp;RIGHT("00"&amp;VALUE(MID(Sync!$AF107,FIND(":",Sync!$AF107)+1,2)),2),"0000"))))</f>
        <v/>
      </c>
    </row>
    <row r="108">
      <c r="A108">
        <f>IF(OR(Calc!$E112="",Calc!$E112="نامعتبر",Calc!$G112=""),"",Calc!$G112)</f>
        <v/>
      </c>
      <c r="B108">
        <f>IF($A108="","",LEFT(Calc!$E112,4)&amp;MID(Calc!$E112,6,2)&amp;RIGHT(Calc!$E112,2)&amp;Calc!$Q112&amp;"|"&amp;"1"&amp;RIGHT("00000"&amp;103,5))</f>
        <v/>
      </c>
      <c r="C108">
        <f>IF($B108="","",COUNTIFS(LdgSellerA,$A108,LdgKeyA,"&lt;"&amp;$B108)+COUNTIFS(LdgSellerB,$A108,LdgKeyB,"&lt;"&amp;$B108)+1)</f>
        <v/>
      </c>
      <c r="D108">
        <f>IF($C108="","",$A108&amp;"|"&amp;RIGHT("000000"&amp;$C108,6))</f>
        <v/>
      </c>
      <c r="F108">
        <f>IF(Sync!$AH108="","",IF(LEFT(UPPER(TRIM(Sync!$AH108)),2)="SL",UPPER(TRIM(Sync!$AH108)),""))</f>
        <v/>
      </c>
      <c r="G108">
        <f>IF($F108="","",IF(Sync!$AE108="","",IF(ISNUMBER(Sync!$AE108),IF(AND(Sync!$AE108&gt;=10000101,Sync!$AE108&lt;=99991231),INT(Sync!$AE108/10000),""),IFERROR(VALUE(TRIM(LEFT(Sync!$AE108,FIND("/",Sync!$AE108)-1))),""))))</f>
        <v/>
      </c>
      <c r="H108">
        <f>IF(OR($F108="",$G108=""),"",IF(ISNUMBER(Sync!$AE108),INT(MOD(Sync!$AE108,10000)/100),IFERROR(VALUE(TRIM(LEFT(MID(Sync!$AE108,FIND("/",Sync!$AE108)+1,20),FIND("/",MID(Sync!$AE108,FIND("/",Sync!$AE108)+1,20))-1))),"")))</f>
        <v/>
      </c>
      <c r="I108">
        <f>IF(OR($F108="",$G108=""),"",IF(ISNUMBER(Sync!$AE108),MOD(Sync!$AE108,100),IFERROR(VALUE(TRIM(MID(MID(Sync!$AE108,FIND("/",Sync!$AE108)+1,20),FIND("/",MID(Sync!$AE108,FIND("/",Sync!$AE108)+1,20))+1,20))),"")))</f>
        <v/>
      </c>
      <c r="J108">
        <f>IF($F108="","",IF(OR($G108="",$H108="",$I108="",$G108&lt;1300,$G108&gt;1500,$H108&lt;1,$H108&gt;12,$I108&lt;1,$I108&gt;31),"نامعتبر",RIGHT("0000"&amp;$G108,4)&amp;"/"&amp;RIGHT("00"&amp;$H108,2)&amp;"/"&amp;RIGHT("00"&amp;$I108,2)))</f>
        <v/>
      </c>
      <c r="K108">
        <f>IF(OR($F108="",$J108="",$J108="نامعتبر"),"",LEFT($J108,4)&amp;MID($J108,6,2)&amp;RIGHT($J108,2)&amp;$N108&amp;"|"&amp;"2"&amp;RIGHT("00000"&amp;103,5))</f>
        <v/>
      </c>
      <c r="L108">
        <f>IF($K108="","",COUNTIFS(LdgSellerA,$F108,LdgKeyA,"&lt;"&amp;$K108)+COUNTIFS(LdgSellerB,$F108,LdgKeyB,"&lt;"&amp;$K108)+1)</f>
        <v/>
      </c>
      <c r="M108">
        <f>IF($L108="","",$F108&amp;"|"&amp;RIGHT("000000"&amp;$L108,6))</f>
        <v/>
      </c>
      <c r="N108">
        <f>IF($F108="","",IF(Sync!$AF108="","0000",IF(AND(ISNUMBER(Sync!$AF108),Sync!$AF108&gt;=0,Sync!$AF108&lt;1),RIGHT("00"&amp;HOUR(Sync!$AF108),2)&amp;RIGHT("00"&amp;MINUTE(Sync!$AF108),2),IFERROR(RIGHT("00"&amp;VALUE(LEFT(Sync!$AF108,FIND(":",Sync!$AF108)-1)),2)&amp;RIGHT("00"&amp;VALUE(MID(Sync!$AF108,FIND(":",Sync!$AF108)+1,2)),2),"0000"))))</f>
        <v/>
      </c>
    </row>
    <row r="109">
      <c r="A109">
        <f>IF(OR(Calc!$E113="",Calc!$E113="نامعتبر",Calc!$G113=""),"",Calc!$G113)</f>
        <v/>
      </c>
      <c r="B109">
        <f>IF($A109="","",LEFT(Calc!$E113,4)&amp;MID(Calc!$E113,6,2)&amp;RIGHT(Calc!$E113,2)&amp;Calc!$Q113&amp;"|"&amp;"1"&amp;RIGHT("00000"&amp;104,5))</f>
        <v/>
      </c>
      <c r="C109">
        <f>IF($B109="","",COUNTIFS(LdgSellerA,$A109,LdgKeyA,"&lt;"&amp;$B109)+COUNTIFS(LdgSellerB,$A109,LdgKeyB,"&lt;"&amp;$B109)+1)</f>
        <v/>
      </c>
      <c r="D109">
        <f>IF($C109="","",$A109&amp;"|"&amp;RIGHT("000000"&amp;$C109,6))</f>
        <v/>
      </c>
      <c r="F109">
        <f>IF(Sync!$AH109="","",IF(LEFT(UPPER(TRIM(Sync!$AH109)),2)="SL",UPPER(TRIM(Sync!$AH109)),""))</f>
        <v/>
      </c>
      <c r="G109">
        <f>IF($F109="","",IF(Sync!$AE109="","",IF(ISNUMBER(Sync!$AE109),IF(AND(Sync!$AE109&gt;=10000101,Sync!$AE109&lt;=99991231),INT(Sync!$AE109/10000),""),IFERROR(VALUE(TRIM(LEFT(Sync!$AE109,FIND("/",Sync!$AE109)-1))),""))))</f>
        <v/>
      </c>
      <c r="H109">
        <f>IF(OR($F109="",$G109=""),"",IF(ISNUMBER(Sync!$AE109),INT(MOD(Sync!$AE109,10000)/100),IFERROR(VALUE(TRIM(LEFT(MID(Sync!$AE109,FIND("/",Sync!$AE109)+1,20),FIND("/",MID(Sync!$AE109,FIND("/",Sync!$AE109)+1,20))-1))),"")))</f>
        <v/>
      </c>
      <c r="I109">
        <f>IF(OR($F109="",$G109=""),"",IF(ISNUMBER(Sync!$AE109),MOD(Sync!$AE109,100),IFERROR(VALUE(TRIM(MID(MID(Sync!$AE109,FIND("/",Sync!$AE109)+1,20),FIND("/",MID(Sync!$AE109,FIND("/",Sync!$AE109)+1,20))+1,20))),"")))</f>
        <v/>
      </c>
      <c r="J109">
        <f>IF($F109="","",IF(OR($G109="",$H109="",$I109="",$G109&lt;1300,$G109&gt;1500,$H109&lt;1,$H109&gt;12,$I109&lt;1,$I109&gt;31),"نامعتبر",RIGHT("0000"&amp;$G109,4)&amp;"/"&amp;RIGHT("00"&amp;$H109,2)&amp;"/"&amp;RIGHT("00"&amp;$I109,2)))</f>
        <v/>
      </c>
      <c r="K109">
        <f>IF(OR($F109="",$J109="",$J109="نامعتبر"),"",LEFT($J109,4)&amp;MID($J109,6,2)&amp;RIGHT($J109,2)&amp;$N109&amp;"|"&amp;"2"&amp;RIGHT("00000"&amp;104,5))</f>
        <v/>
      </c>
      <c r="L109">
        <f>IF($K109="","",COUNTIFS(LdgSellerA,$F109,LdgKeyA,"&lt;"&amp;$K109)+COUNTIFS(LdgSellerB,$F109,LdgKeyB,"&lt;"&amp;$K109)+1)</f>
        <v/>
      </c>
      <c r="M109">
        <f>IF($L109="","",$F109&amp;"|"&amp;RIGHT("000000"&amp;$L109,6))</f>
        <v/>
      </c>
      <c r="N109">
        <f>IF($F109="","",IF(Sync!$AF109="","0000",IF(AND(ISNUMBER(Sync!$AF109),Sync!$AF109&gt;=0,Sync!$AF109&lt;1),RIGHT("00"&amp;HOUR(Sync!$AF109),2)&amp;RIGHT("00"&amp;MINUTE(Sync!$AF109),2),IFERROR(RIGHT("00"&amp;VALUE(LEFT(Sync!$AF109,FIND(":",Sync!$AF109)-1)),2)&amp;RIGHT("00"&amp;VALUE(MID(Sync!$AF109,FIND(":",Sync!$AF109)+1,2)),2),"0000"))))</f>
        <v/>
      </c>
    </row>
    <row r="110">
      <c r="A110">
        <f>IF(OR(Calc!$E114="",Calc!$E114="نامعتبر",Calc!$G114=""),"",Calc!$G114)</f>
        <v/>
      </c>
      <c r="B110">
        <f>IF($A110="","",LEFT(Calc!$E114,4)&amp;MID(Calc!$E114,6,2)&amp;RIGHT(Calc!$E114,2)&amp;Calc!$Q114&amp;"|"&amp;"1"&amp;RIGHT("00000"&amp;105,5))</f>
        <v/>
      </c>
      <c r="C110">
        <f>IF($B110="","",COUNTIFS(LdgSellerA,$A110,LdgKeyA,"&lt;"&amp;$B110)+COUNTIFS(LdgSellerB,$A110,LdgKeyB,"&lt;"&amp;$B110)+1)</f>
        <v/>
      </c>
      <c r="D110">
        <f>IF($C110="","",$A110&amp;"|"&amp;RIGHT("000000"&amp;$C110,6))</f>
        <v/>
      </c>
      <c r="F110">
        <f>IF(Sync!$AH110="","",IF(LEFT(UPPER(TRIM(Sync!$AH110)),2)="SL",UPPER(TRIM(Sync!$AH110)),""))</f>
        <v/>
      </c>
      <c r="G110">
        <f>IF($F110="","",IF(Sync!$AE110="","",IF(ISNUMBER(Sync!$AE110),IF(AND(Sync!$AE110&gt;=10000101,Sync!$AE110&lt;=99991231),INT(Sync!$AE110/10000),""),IFERROR(VALUE(TRIM(LEFT(Sync!$AE110,FIND("/",Sync!$AE110)-1))),""))))</f>
        <v/>
      </c>
      <c r="H110">
        <f>IF(OR($F110="",$G110=""),"",IF(ISNUMBER(Sync!$AE110),INT(MOD(Sync!$AE110,10000)/100),IFERROR(VALUE(TRIM(LEFT(MID(Sync!$AE110,FIND("/",Sync!$AE110)+1,20),FIND("/",MID(Sync!$AE110,FIND("/",Sync!$AE110)+1,20))-1))),"")))</f>
        <v/>
      </c>
      <c r="I110">
        <f>IF(OR($F110="",$G110=""),"",IF(ISNUMBER(Sync!$AE110),MOD(Sync!$AE110,100),IFERROR(VALUE(TRIM(MID(MID(Sync!$AE110,FIND("/",Sync!$AE110)+1,20),FIND("/",MID(Sync!$AE110,FIND("/",Sync!$AE110)+1,20))+1,20))),"")))</f>
        <v/>
      </c>
      <c r="J110">
        <f>IF($F110="","",IF(OR($G110="",$H110="",$I110="",$G110&lt;1300,$G110&gt;1500,$H110&lt;1,$H110&gt;12,$I110&lt;1,$I110&gt;31),"نامعتبر",RIGHT("0000"&amp;$G110,4)&amp;"/"&amp;RIGHT("00"&amp;$H110,2)&amp;"/"&amp;RIGHT("00"&amp;$I110,2)))</f>
        <v/>
      </c>
      <c r="K110">
        <f>IF(OR($F110="",$J110="",$J110="نامعتبر"),"",LEFT($J110,4)&amp;MID($J110,6,2)&amp;RIGHT($J110,2)&amp;$N110&amp;"|"&amp;"2"&amp;RIGHT("00000"&amp;105,5))</f>
        <v/>
      </c>
      <c r="L110">
        <f>IF($K110="","",COUNTIFS(LdgSellerA,$F110,LdgKeyA,"&lt;"&amp;$K110)+COUNTIFS(LdgSellerB,$F110,LdgKeyB,"&lt;"&amp;$K110)+1)</f>
        <v/>
      </c>
      <c r="M110">
        <f>IF($L110="","",$F110&amp;"|"&amp;RIGHT("000000"&amp;$L110,6))</f>
        <v/>
      </c>
      <c r="N110">
        <f>IF($F110="","",IF(Sync!$AF110="","0000",IF(AND(ISNUMBER(Sync!$AF110),Sync!$AF110&gt;=0,Sync!$AF110&lt;1),RIGHT("00"&amp;HOUR(Sync!$AF110),2)&amp;RIGHT("00"&amp;MINUTE(Sync!$AF110),2),IFERROR(RIGHT("00"&amp;VALUE(LEFT(Sync!$AF110,FIND(":",Sync!$AF110)-1)),2)&amp;RIGHT("00"&amp;VALUE(MID(Sync!$AF110,FIND(":",Sync!$AF110)+1,2)),2),"0000"))))</f>
        <v/>
      </c>
    </row>
    <row r="111">
      <c r="A111">
        <f>IF(OR(Calc!$E115="",Calc!$E115="نامعتبر",Calc!$G115=""),"",Calc!$G115)</f>
        <v/>
      </c>
      <c r="B111">
        <f>IF($A111="","",LEFT(Calc!$E115,4)&amp;MID(Calc!$E115,6,2)&amp;RIGHT(Calc!$E115,2)&amp;Calc!$Q115&amp;"|"&amp;"1"&amp;RIGHT("00000"&amp;106,5))</f>
        <v/>
      </c>
      <c r="C111">
        <f>IF($B111="","",COUNTIFS(LdgSellerA,$A111,LdgKeyA,"&lt;"&amp;$B111)+COUNTIFS(LdgSellerB,$A111,LdgKeyB,"&lt;"&amp;$B111)+1)</f>
        <v/>
      </c>
      <c r="D111">
        <f>IF($C111="","",$A111&amp;"|"&amp;RIGHT("000000"&amp;$C111,6))</f>
        <v/>
      </c>
      <c r="F111">
        <f>IF(Sync!$AH111="","",IF(LEFT(UPPER(TRIM(Sync!$AH111)),2)="SL",UPPER(TRIM(Sync!$AH111)),""))</f>
        <v/>
      </c>
      <c r="G111">
        <f>IF($F111="","",IF(Sync!$AE111="","",IF(ISNUMBER(Sync!$AE111),IF(AND(Sync!$AE111&gt;=10000101,Sync!$AE111&lt;=99991231),INT(Sync!$AE111/10000),""),IFERROR(VALUE(TRIM(LEFT(Sync!$AE111,FIND("/",Sync!$AE111)-1))),""))))</f>
        <v/>
      </c>
      <c r="H111">
        <f>IF(OR($F111="",$G111=""),"",IF(ISNUMBER(Sync!$AE111),INT(MOD(Sync!$AE111,10000)/100),IFERROR(VALUE(TRIM(LEFT(MID(Sync!$AE111,FIND("/",Sync!$AE111)+1,20),FIND("/",MID(Sync!$AE111,FIND("/",Sync!$AE111)+1,20))-1))),"")))</f>
        <v/>
      </c>
      <c r="I111">
        <f>IF(OR($F111="",$G111=""),"",IF(ISNUMBER(Sync!$AE111),MOD(Sync!$AE111,100),IFERROR(VALUE(TRIM(MID(MID(Sync!$AE111,FIND("/",Sync!$AE111)+1,20),FIND("/",MID(Sync!$AE111,FIND("/",Sync!$AE111)+1,20))+1,20))),"")))</f>
        <v/>
      </c>
      <c r="J111">
        <f>IF($F111="","",IF(OR($G111="",$H111="",$I111="",$G111&lt;1300,$G111&gt;1500,$H111&lt;1,$H111&gt;12,$I111&lt;1,$I111&gt;31),"نامعتبر",RIGHT("0000"&amp;$G111,4)&amp;"/"&amp;RIGHT("00"&amp;$H111,2)&amp;"/"&amp;RIGHT("00"&amp;$I111,2)))</f>
        <v/>
      </c>
      <c r="K111">
        <f>IF(OR($F111="",$J111="",$J111="نامعتبر"),"",LEFT($J111,4)&amp;MID($J111,6,2)&amp;RIGHT($J111,2)&amp;$N111&amp;"|"&amp;"2"&amp;RIGHT("00000"&amp;106,5))</f>
        <v/>
      </c>
      <c r="L111">
        <f>IF($K111="","",COUNTIFS(LdgSellerA,$F111,LdgKeyA,"&lt;"&amp;$K111)+COUNTIFS(LdgSellerB,$F111,LdgKeyB,"&lt;"&amp;$K111)+1)</f>
        <v/>
      </c>
      <c r="M111">
        <f>IF($L111="","",$F111&amp;"|"&amp;RIGHT("000000"&amp;$L111,6))</f>
        <v/>
      </c>
      <c r="N111">
        <f>IF($F111="","",IF(Sync!$AF111="","0000",IF(AND(ISNUMBER(Sync!$AF111),Sync!$AF111&gt;=0,Sync!$AF111&lt;1),RIGHT("00"&amp;HOUR(Sync!$AF111),2)&amp;RIGHT("00"&amp;MINUTE(Sync!$AF111),2),IFERROR(RIGHT("00"&amp;VALUE(LEFT(Sync!$AF111,FIND(":",Sync!$AF111)-1)),2)&amp;RIGHT("00"&amp;VALUE(MID(Sync!$AF111,FIND(":",Sync!$AF111)+1,2)),2),"0000"))))</f>
        <v/>
      </c>
    </row>
    <row r="112">
      <c r="A112">
        <f>IF(OR(Calc!$E116="",Calc!$E116="نامعتبر",Calc!$G116=""),"",Calc!$G116)</f>
        <v/>
      </c>
      <c r="B112">
        <f>IF($A112="","",LEFT(Calc!$E116,4)&amp;MID(Calc!$E116,6,2)&amp;RIGHT(Calc!$E116,2)&amp;Calc!$Q116&amp;"|"&amp;"1"&amp;RIGHT("00000"&amp;107,5))</f>
        <v/>
      </c>
      <c r="C112">
        <f>IF($B112="","",COUNTIFS(LdgSellerA,$A112,LdgKeyA,"&lt;"&amp;$B112)+COUNTIFS(LdgSellerB,$A112,LdgKeyB,"&lt;"&amp;$B112)+1)</f>
        <v/>
      </c>
      <c r="D112">
        <f>IF($C112="","",$A112&amp;"|"&amp;RIGHT("000000"&amp;$C112,6))</f>
        <v/>
      </c>
      <c r="F112">
        <f>IF(Sync!$AH112="","",IF(LEFT(UPPER(TRIM(Sync!$AH112)),2)="SL",UPPER(TRIM(Sync!$AH112)),""))</f>
        <v/>
      </c>
      <c r="G112">
        <f>IF($F112="","",IF(Sync!$AE112="","",IF(ISNUMBER(Sync!$AE112),IF(AND(Sync!$AE112&gt;=10000101,Sync!$AE112&lt;=99991231),INT(Sync!$AE112/10000),""),IFERROR(VALUE(TRIM(LEFT(Sync!$AE112,FIND("/",Sync!$AE112)-1))),""))))</f>
        <v/>
      </c>
      <c r="H112">
        <f>IF(OR($F112="",$G112=""),"",IF(ISNUMBER(Sync!$AE112),INT(MOD(Sync!$AE112,10000)/100),IFERROR(VALUE(TRIM(LEFT(MID(Sync!$AE112,FIND("/",Sync!$AE112)+1,20),FIND("/",MID(Sync!$AE112,FIND("/",Sync!$AE112)+1,20))-1))),"")))</f>
        <v/>
      </c>
      <c r="I112">
        <f>IF(OR($F112="",$G112=""),"",IF(ISNUMBER(Sync!$AE112),MOD(Sync!$AE112,100),IFERROR(VALUE(TRIM(MID(MID(Sync!$AE112,FIND("/",Sync!$AE112)+1,20),FIND("/",MID(Sync!$AE112,FIND("/",Sync!$AE112)+1,20))+1,20))),"")))</f>
        <v/>
      </c>
      <c r="J112">
        <f>IF($F112="","",IF(OR($G112="",$H112="",$I112="",$G112&lt;1300,$G112&gt;1500,$H112&lt;1,$H112&gt;12,$I112&lt;1,$I112&gt;31),"نامعتبر",RIGHT("0000"&amp;$G112,4)&amp;"/"&amp;RIGHT("00"&amp;$H112,2)&amp;"/"&amp;RIGHT("00"&amp;$I112,2)))</f>
        <v/>
      </c>
      <c r="K112">
        <f>IF(OR($F112="",$J112="",$J112="نامعتبر"),"",LEFT($J112,4)&amp;MID($J112,6,2)&amp;RIGHT($J112,2)&amp;$N112&amp;"|"&amp;"2"&amp;RIGHT("00000"&amp;107,5))</f>
        <v/>
      </c>
      <c r="L112">
        <f>IF($K112="","",COUNTIFS(LdgSellerA,$F112,LdgKeyA,"&lt;"&amp;$K112)+COUNTIFS(LdgSellerB,$F112,LdgKeyB,"&lt;"&amp;$K112)+1)</f>
        <v/>
      </c>
      <c r="M112">
        <f>IF($L112="","",$F112&amp;"|"&amp;RIGHT("000000"&amp;$L112,6))</f>
        <v/>
      </c>
      <c r="N112">
        <f>IF($F112="","",IF(Sync!$AF112="","0000",IF(AND(ISNUMBER(Sync!$AF112),Sync!$AF112&gt;=0,Sync!$AF112&lt;1),RIGHT("00"&amp;HOUR(Sync!$AF112),2)&amp;RIGHT("00"&amp;MINUTE(Sync!$AF112),2),IFERROR(RIGHT("00"&amp;VALUE(LEFT(Sync!$AF112,FIND(":",Sync!$AF112)-1)),2)&amp;RIGHT("00"&amp;VALUE(MID(Sync!$AF112,FIND(":",Sync!$AF112)+1,2)),2),"0000"))))</f>
        <v/>
      </c>
    </row>
    <row r="113">
      <c r="A113">
        <f>IF(OR(Calc!$E117="",Calc!$E117="نامعتبر",Calc!$G117=""),"",Calc!$G117)</f>
        <v/>
      </c>
      <c r="B113">
        <f>IF($A113="","",LEFT(Calc!$E117,4)&amp;MID(Calc!$E117,6,2)&amp;RIGHT(Calc!$E117,2)&amp;Calc!$Q117&amp;"|"&amp;"1"&amp;RIGHT("00000"&amp;108,5))</f>
        <v/>
      </c>
      <c r="C113">
        <f>IF($B113="","",COUNTIFS(LdgSellerA,$A113,LdgKeyA,"&lt;"&amp;$B113)+COUNTIFS(LdgSellerB,$A113,LdgKeyB,"&lt;"&amp;$B113)+1)</f>
        <v/>
      </c>
      <c r="D113">
        <f>IF($C113="","",$A113&amp;"|"&amp;RIGHT("000000"&amp;$C113,6))</f>
        <v/>
      </c>
      <c r="F113">
        <f>IF(Sync!$AH113="","",IF(LEFT(UPPER(TRIM(Sync!$AH113)),2)="SL",UPPER(TRIM(Sync!$AH113)),""))</f>
        <v/>
      </c>
      <c r="G113">
        <f>IF($F113="","",IF(Sync!$AE113="","",IF(ISNUMBER(Sync!$AE113),IF(AND(Sync!$AE113&gt;=10000101,Sync!$AE113&lt;=99991231),INT(Sync!$AE113/10000),""),IFERROR(VALUE(TRIM(LEFT(Sync!$AE113,FIND("/",Sync!$AE113)-1))),""))))</f>
        <v/>
      </c>
      <c r="H113">
        <f>IF(OR($F113="",$G113=""),"",IF(ISNUMBER(Sync!$AE113),INT(MOD(Sync!$AE113,10000)/100),IFERROR(VALUE(TRIM(LEFT(MID(Sync!$AE113,FIND("/",Sync!$AE113)+1,20),FIND("/",MID(Sync!$AE113,FIND("/",Sync!$AE113)+1,20))-1))),"")))</f>
        <v/>
      </c>
      <c r="I113">
        <f>IF(OR($F113="",$G113=""),"",IF(ISNUMBER(Sync!$AE113),MOD(Sync!$AE113,100),IFERROR(VALUE(TRIM(MID(MID(Sync!$AE113,FIND("/",Sync!$AE113)+1,20),FIND("/",MID(Sync!$AE113,FIND("/",Sync!$AE113)+1,20))+1,20))),"")))</f>
        <v/>
      </c>
      <c r="J113">
        <f>IF($F113="","",IF(OR($G113="",$H113="",$I113="",$G113&lt;1300,$G113&gt;1500,$H113&lt;1,$H113&gt;12,$I113&lt;1,$I113&gt;31),"نامعتبر",RIGHT("0000"&amp;$G113,4)&amp;"/"&amp;RIGHT("00"&amp;$H113,2)&amp;"/"&amp;RIGHT("00"&amp;$I113,2)))</f>
        <v/>
      </c>
      <c r="K113">
        <f>IF(OR($F113="",$J113="",$J113="نامعتبر"),"",LEFT($J113,4)&amp;MID($J113,6,2)&amp;RIGHT($J113,2)&amp;$N113&amp;"|"&amp;"2"&amp;RIGHT("00000"&amp;108,5))</f>
        <v/>
      </c>
      <c r="L113">
        <f>IF($K113="","",COUNTIFS(LdgSellerA,$F113,LdgKeyA,"&lt;"&amp;$K113)+COUNTIFS(LdgSellerB,$F113,LdgKeyB,"&lt;"&amp;$K113)+1)</f>
        <v/>
      </c>
      <c r="M113">
        <f>IF($L113="","",$F113&amp;"|"&amp;RIGHT("000000"&amp;$L113,6))</f>
        <v/>
      </c>
      <c r="N113">
        <f>IF($F113="","",IF(Sync!$AF113="","0000",IF(AND(ISNUMBER(Sync!$AF113),Sync!$AF113&gt;=0,Sync!$AF113&lt;1),RIGHT("00"&amp;HOUR(Sync!$AF113),2)&amp;RIGHT("00"&amp;MINUTE(Sync!$AF113),2),IFERROR(RIGHT("00"&amp;VALUE(LEFT(Sync!$AF113,FIND(":",Sync!$AF113)-1)),2)&amp;RIGHT("00"&amp;VALUE(MID(Sync!$AF113,FIND(":",Sync!$AF113)+1,2)),2),"0000"))))</f>
        <v/>
      </c>
    </row>
    <row r="114">
      <c r="A114">
        <f>IF(OR(Calc!$E118="",Calc!$E118="نامعتبر",Calc!$G118=""),"",Calc!$G118)</f>
        <v/>
      </c>
      <c r="B114">
        <f>IF($A114="","",LEFT(Calc!$E118,4)&amp;MID(Calc!$E118,6,2)&amp;RIGHT(Calc!$E118,2)&amp;Calc!$Q118&amp;"|"&amp;"1"&amp;RIGHT("00000"&amp;109,5))</f>
        <v/>
      </c>
      <c r="C114">
        <f>IF($B114="","",COUNTIFS(LdgSellerA,$A114,LdgKeyA,"&lt;"&amp;$B114)+COUNTIFS(LdgSellerB,$A114,LdgKeyB,"&lt;"&amp;$B114)+1)</f>
        <v/>
      </c>
      <c r="D114">
        <f>IF($C114="","",$A114&amp;"|"&amp;RIGHT("000000"&amp;$C114,6))</f>
        <v/>
      </c>
      <c r="F114">
        <f>IF(Sync!$AH114="","",IF(LEFT(UPPER(TRIM(Sync!$AH114)),2)="SL",UPPER(TRIM(Sync!$AH114)),""))</f>
        <v/>
      </c>
      <c r="G114">
        <f>IF($F114="","",IF(Sync!$AE114="","",IF(ISNUMBER(Sync!$AE114),IF(AND(Sync!$AE114&gt;=10000101,Sync!$AE114&lt;=99991231),INT(Sync!$AE114/10000),""),IFERROR(VALUE(TRIM(LEFT(Sync!$AE114,FIND("/",Sync!$AE114)-1))),""))))</f>
        <v/>
      </c>
      <c r="H114">
        <f>IF(OR($F114="",$G114=""),"",IF(ISNUMBER(Sync!$AE114),INT(MOD(Sync!$AE114,10000)/100),IFERROR(VALUE(TRIM(LEFT(MID(Sync!$AE114,FIND("/",Sync!$AE114)+1,20),FIND("/",MID(Sync!$AE114,FIND("/",Sync!$AE114)+1,20))-1))),"")))</f>
        <v/>
      </c>
      <c r="I114">
        <f>IF(OR($F114="",$G114=""),"",IF(ISNUMBER(Sync!$AE114),MOD(Sync!$AE114,100),IFERROR(VALUE(TRIM(MID(MID(Sync!$AE114,FIND("/",Sync!$AE114)+1,20),FIND("/",MID(Sync!$AE114,FIND("/",Sync!$AE114)+1,20))+1,20))),"")))</f>
        <v/>
      </c>
      <c r="J114">
        <f>IF($F114="","",IF(OR($G114="",$H114="",$I114="",$G114&lt;1300,$G114&gt;1500,$H114&lt;1,$H114&gt;12,$I114&lt;1,$I114&gt;31),"نامعتبر",RIGHT("0000"&amp;$G114,4)&amp;"/"&amp;RIGHT("00"&amp;$H114,2)&amp;"/"&amp;RIGHT("00"&amp;$I114,2)))</f>
        <v/>
      </c>
      <c r="K114">
        <f>IF(OR($F114="",$J114="",$J114="نامعتبر"),"",LEFT($J114,4)&amp;MID($J114,6,2)&amp;RIGHT($J114,2)&amp;$N114&amp;"|"&amp;"2"&amp;RIGHT("00000"&amp;109,5))</f>
        <v/>
      </c>
      <c r="L114">
        <f>IF($K114="","",COUNTIFS(LdgSellerA,$F114,LdgKeyA,"&lt;"&amp;$K114)+COUNTIFS(LdgSellerB,$F114,LdgKeyB,"&lt;"&amp;$K114)+1)</f>
        <v/>
      </c>
      <c r="M114">
        <f>IF($L114="","",$F114&amp;"|"&amp;RIGHT("000000"&amp;$L114,6))</f>
        <v/>
      </c>
      <c r="N114">
        <f>IF($F114="","",IF(Sync!$AF114="","0000",IF(AND(ISNUMBER(Sync!$AF114),Sync!$AF114&gt;=0,Sync!$AF114&lt;1),RIGHT("00"&amp;HOUR(Sync!$AF114),2)&amp;RIGHT("00"&amp;MINUTE(Sync!$AF114),2),IFERROR(RIGHT("00"&amp;VALUE(LEFT(Sync!$AF114,FIND(":",Sync!$AF114)-1)),2)&amp;RIGHT("00"&amp;VALUE(MID(Sync!$AF114,FIND(":",Sync!$AF114)+1,2)),2),"0000"))))</f>
        <v/>
      </c>
    </row>
    <row r="115">
      <c r="A115">
        <f>IF(OR(Calc!$E119="",Calc!$E119="نامعتبر",Calc!$G119=""),"",Calc!$G119)</f>
        <v/>
      </c>
      <c r="B115">
        <f>IF($A115="","",LEFT(Calc!$E119,4)&amp;MID(Calc!$E119,6,2)&amp;RIGHT(Calc!$E119,2)&amp;Calc!$Q119&amp;"|"&amp;"1"&amp;RIGHT("00000"&amp;110,5))</f>
        <v/>
      </c>
      <c r="C115">
        <f>IF($B115="","",COUNTIFS(LdgSellerA,$A115,LdgKeyA,"&lt;"&amp;$B115)+COUNTIFS(LdgSellerB,$A115,LdgKeyB,"&lt;"&amp;$B115)+1)</f>
        <v/>
      </c>
      <c r="D115">
        <f>IF($C115="","",$A115&amp;"|"&amp;RIGHT("000000"&amp;$C115,6))</f>
        <v/>
      </c>
      <c r="F115">
        <f>IF(Sync!$AH115="","",IF(LEFT(UPPER(TRIM(Sync!$AH115)),2)="SL",UPPER(TRIM(Sync!$AH115)),""))</f>
        <v/>
      </c>
      <c r="G115">
        <f>IF($F115="","",IF(Sync!$AE115="","",IF(ISNUMBER(Sync!$AE115),IF(AND(Sync!$AE115&gt;=10000101,Sync!$AE115&lt;=99991231),INT(Sync!$AE115/10000),""),IFERROR(VALUE(TRIM(LEFT(Sync!$AE115,FIND("/",Sync!$AE115)-1))),""))))</f>
        <v/>
      </c>
      <c r="H115">
        <f>IF(OR($F115="",$G115=""),"",IF(ISNUMBER(Sync!$AE115),INT(MOD(Sync!$AE115,10000)/100),IFERROR(VALUE(TRIM(LEFT(MID(Sync!$AE115,FIND("/",Sync!$AE115)+1,20),FIND("/",MID(Sync!$AE115,FIND("/",Sync!$AE115)+1,20))-1))),"")))</f>
        <v/>
      </c>
      <c r="I115">
        <f>IF(OR($F115="",$G115=""),"",IF(ISNUMBER(Sync!$AE115),MOD(Sync!$AE115,100),IFERROR(VALUE(TRIM(MID(MID(Sync!$AE115,FIND("/",Sync!$AE115)+1,20),FIND("/",MID(Sync!$AE115,FIND("/",Sync!$AE115)+1,20))+1,20))),"")))</f>
        <v/>
      </c>
      <c r="J115">
        <f>IF($F115="","",IF(OR($G115="",$H115="",$I115="",$G115&lt;1300,$G115&gt;1500,$H115&lt;1,$H115&gt;12,$I115&lt;1,$I115&gt;31),"نامعتبر",RIGHT("0000"&amp;$G115,4)&amp;"/"&amp;RIGHT("00"&amp;$H115,2)&amp;"/"&amp;RIGHT("00"&amp;$I115,2)))</f>
        <v/>
      </c>
      <c r="K115">
        <f>IF(OR($F115="",$J115="",$J115="نامعتبر"),"",LEFT($J115,4)&amp;MID($J115,6,2)&amp;RIGHT($J115,2)&amp;$N115&amp;"|"&amp;"2"&amp;RIGHT("00000"&amp;110,5))</f>
        <v/>
      </c>
      <c r="L115">
        <f>IF($K115="","",COUNTIFS(LdgSellerA,$F115,LdgKeyA,"&lt;"&amp;$K115)+COUNTIFS(LdgSellerB,$F115,LdgKeyB,"&lt;"&amp;$K115)+1)</f>
        <v/>
      </c>
      <c r="M115">
        <f>IF($L115="","",$F115&amp;"|"&amp;RIGHT("000000"&amp;$L115,6))</f>
        <v/>
      </c>
      <c r="N115">
        <f>IF($F115="","",IF(Sync!$AF115="","0000",IF(AND(ISNUMBER(Sync!$AF115),Sync!$AF115&gt;=0,Sync!$AF115&lt;1),RIGHT("00"&amp;HOUR(Sync!$AF115),2)&amp;RIGHT("00"&amp;MINUTE(Sync!$AF115),2),IFERROR(RIGHT("00"&amp;VALUE(LEFT(Sync!$AF115,FIND(":",Sync!$AF115)-1)),2)&amp;RIGHT("00"&amp;VALUE(MID(Sync!$AF115,FIND(":",Sync!$AF115)+1,2)),2),"0000"))))</f>
        <v/>
      </c>
    </row>
    <row r="116">
      <c r="A116">
        <f>IF(OR(Calc!$E120="",Calc!$E120="نامعتبر",Calc!$G120=""),"",Calc!$G120)</f>
        <v/>
      </c>
      <c r="B116">
        <f>IF($A116="","",LEFT(Calc!$E120,4)&amp;MID(Calc!$E120,6,2)&amp;RIGHT(Calc!$E120,2)&amp;Calc!$Q120&amp;"|"&amp;"1"&amp;RIGHT("00000"&amp;111,5))</f>
        <v/>
      </c>
      <c r="C116">
        <f>IF($B116="","",COUNTIFS(LdgSellerA,$A116,LdgKeyA,"&lt;"&amp;$B116)+COUNTIFS(LdgSellerB,$A116,LdgKeyB,"&lt;"&amp;$B116)+1)</f>
        <v/>
      </c>
      <c r="D116">
        <f>IF($C116="","",$A116&amp;"|"&amp;RIGHT("000000"&amp;$C116,6))</f>
        <v/>
      </c>
      <c r="F116">
        <f>IF(Sync!$AH116="","",IF(LEFT(UPPER(TRIM(Sync!$AH116)),2)="SL",UPPER(TRIM(Sync!$AH116)),""))</f>
        <v/>
      </c>
      <c r="G116">
        <f>IF($F116="","",IF(Sync!$AE116="","",IF(ISNUMBER(Sync!$AE116),IF(AND(Sync!$AE116&gt;=10000101,Sync!$AE116&lt;=99991231),INT(Sync!$AE116/10000),""),IFERROR(VALUE(TRIM(LEFT(Sync!$AE116,FIND("/",Sync!$AE116)-1))),""))))</f>
        <v/>
      </c>
      <c r="H116">
        <f>IF(OR($F116="",$G116=""),"",IF(ISNUMBER(Sync!$AE116),INT(MOD(Sync!$AE116,10000)/100),IFERROR(VALUE(TRIM(LEFT(MID(Sync!$AE116,FIND("/",Sync!$AE116)+1,20),FIND("/",MID(Sync!$AE116,FIND("/",Sync!$AE116)+1,20))-1))),"")))</f>
        <v/>
      </c>
      <c r="I116">
        <f>IF(OR($F116="",$G116=""),"",IF(ISNUMBER(Sync!$AE116),MOD(Sync!$AE116,100),IFERROR(VALUE(TRIM(MID(MID(Sync!$AE116,FIND("/",Sync!$AE116)+1,20),FIND("/",MID(Sync!$AE116,FIND("/",Sync!$AE116)+1,20))+1,20))),"")))</f>
        <v/>
      </c>
      <c r="J116">
        <f>IF($F116="","",IF(OR($G116="",$H116="",$I116="",$G116&lt;1300,$G116&gt;1500,$H116&lt;1,$H116&gt;12,$I116&lt;1,$I116&gt;31),"نامعتبر",RIGHT("0000"&amp;$G116,4)&amp;"/"&amp;RIGHT("00"&amp;$H116,2)&amp;"/"&amp;RIGHT("00"&amp;$I116,2)))</f>
        <v/>
      </c>
      <c r="K116">
        <f>IF(OR($F116="",$J116="",$J116="نامعتبر"),"",LEFT($J116,4)&amp;MID($J116,6,2)&amp;RIGHT($J116,2)&amp;$N116&amp;"|"&amp;"2"&amp;RIGHT("00000"&amp;111,5))</f>
        <v/>
      </c>
      <c r="L116">
        <f>IF($K116="","",COUNTIFS(LdgSellerA,$F116,LdgKeyA,"&lt;"&amp;$K116)+COUNTIFS(LdgSellerB,$F116,LdgKeyB,"&lt;"&amp;$K116)+1)</f>
        <v/>
      </c>
      <c r="M116">
        <f>IF($L116="","",$F116&amp;"|"&amp;RIGHT("000000"&amp;$L116,6))</f>
        <v/>
      </c>
      <c r="N116">
        <f>IF($F116="","",IF(Sync!$AF116="","0000",IF(AND(ISNUMBER(Sync!$AF116),Sync!$AF116&gt;=0,Sync!$AF116&lt;1),RIGHT("00"&amp;HOUR(Sync!$AF116),2)&amp;RIGHT("00"&amp;MINUTE(Sync!$AF116),2),IFERROR(RIGHT("00"&amp;VALUE(LEFT(Sync!$AF116,FIND(":",Sync!$AF116)-1)),2)&amp;RIGHT("00"&amp;VALUE(MID(Sync!$AF116,FIND(":",Sync!$AF116)+1,2)),2),"0000"))))</f>
        <v/>
      </c>
    </row>
    <row r="117">
      <c r="A117">
        <f>IF(OR(Calc!$E121="",Calc!$E121="نامعتبر",Calc!$G121=""),"",Calc!$G121)</f>
        <v/>
      </c>
      <c r="B117">
        <f>IF($A117="","",LEFT(Calc!$E121,4)&amp;MID(Calc!$E121,6,2)&amp;RIGHT(Calc!$E121,2)&amp;Calc!$Q121&amp;"|"&amp;"1"&amp;RIGHT("00000"&amp;112,5))</f>
        <v/>
      </c>
      <c r="C117">
        <f>IF($B117="","",COUNTIFS(LdgSellerA,$A117,LdgKeyA,"&lt;"&amp;$B117)+COUNTIFS(LdgSellerB,$A117,LdgKeyB,"&lt;"&amp;$B117)+1)</f>
        <v/>
      </c>
      <c r="D117">
        <f>IF($C117="","",$A117&amp;"|"&amp;RIGHT("000000"&amp;$C117,6))</f>
        <v/>
      </c>
      <c r="F117">
        <f>IF(Sync!$AH117="","",IF(LEFT(UPPER(TRIM(Sync!$AH117)),2)="SL",UPPER(TRIM(Sync!$AH117)),""))</f>
        <v/>
      </c>
      <c r="G117">
        <f>IF($F117="","",IF(Sync!$AE117="","",IF(ISNUMBER(Sync!$AE117),IF(AND(Sync!$AE117&gt;=10000101,Sync!$AE117&lt;=99991231),INT(Sync!$AE117/10000),""),IFERROR(VALUE(TRIM(LEFT(Sync!$AE117,FIND("/",Sync!$AE117)-1))),""))))</f>
        <v/>
      </c>
      <c r="H117">
        <f>IF(OR($F117="",$G117=""),"",IF(ISNUMBER(Sync!$AE117),INT(MOD(Sync!$AE117,10000)/100),IFERROR(VALUE(TRIM(LEFT(MID(Sync!$AE117,FIND("/",Sync!$AE117)+1,20),FIND("/",MID(Sync!$AE117,FIND("/",Sync!$AE117)+1,20))-1))),"")))</f>
        <v/>
      </c>
      <c r="I117">
        <f>IF(OR($F117="",$G117=""),"",IF(ISNUMBER(Sync!$AE117),MOD(Sync!$AE117,100),IFERROR(VALUE(TRIM(MID(MID(Sync!$AE117,FIND("/",Sync!$AE117)+1,20),FIND("/",MID(Sync!$AE117,FIND("/",Sync!$AE117)+1,20))+1,20))),"")))</f>
        <v/>
      </c>
      <c r="J117">
        <f>IF($F117="","",IF(OR($G117="",$H117="",$I117="",$G117&lt;1300,$G117&gt;1500,$H117&lt;1,$H117&gt;12,$I117&lt;1,$I117&gt;31),"نامعتبر",RIGHT("0000"&amp;$G117,4)&amp;"/"&amp;RIGHT("00"&amp;$H117,2)&amp;"/"&amp;RIGHT("00"&amp;$I117,2)))</f>
        <v/>
      </c>
      <c r="K117">
        <f>IF(OR($F117="",$J117="",$J117="نامعتبر"),"",LEFT($J117,4)&amp;MID($J117,6,2)&amp;RIGHT($J117,2)&amp;$N117&amp;"|"&amp;"2"&amp;RIGHT("00000"&amp;112,5))</f>
        <v/>
      </c>
      <c r="L117">
        <f>IF($K117="","",COUNTIFS(LdgSellerA,$F117,LdgKeyA,"&lt;"&amp;$K117)+COUNTIFS(LdgSellerB,$F117,LdgKeyB,"&lt;"&amp;$K117)+1)</f>
        <v/>
      </c>
      <c r="M117">
        <f>IF($L117="","",$F117&amp;"|"&amp;RIGHT("000000"&amp;$L117,6))</f>
        <v/>
      </c>
      <c r="N117">
        <f>IF($F117="","",IF(Sync!$AF117="","0000",IF(AND(ISNUMBER(Sync!$AF117),Sync!$AF117&gt;=0,Sync!$AF117&lt;1),RIGHT("00"&amp;HOUR(Sync!$AF117),2)&amp;RIGHT("00"&amp;MINUTE(Sync!$AF117),2),IFERROR(RIGHT("00"&amp;VALUE(LEFT(Sync!$AF117,FIND(":",Sync!$AF117)-1)),2)&amp;RIGHT("00"&amp;VALUE(MID(Sync!$AF117,FIND(":",Sync!$AF117)+1,2)),2),"0000"))))</f>
        <v/>
      </c>
    </row>
    <row r="118">
      <c r="A118">
        <f>IF(OR(Calc!$E122="",Calc!$E122="نامعتبر",Calc!$G122=""),"",Calc!$G122)</f>
        <v/>
      </c>
      <c r="B118">
        <f>IF($A118="","",LEFT(Calc!$E122,4)&amp;MID(Calc!$E122,6,2)&amp;RIGHT(Calc!$E122,2)&amp;Calc!$Q122&amp;"|"&amp;"1"&amp;RIGHT("00000"&amp;113,5))</f>
        <v/>
      </c>
      <c r="C118">
        <f>IF($B118="","",COUNTIFS(LdgSellerA,$A118,LdgKeyA,"&lt;"&amp;$B118)+COUNTIFS(LdgSellerB,$A118,LdgKeyB,"&lt;"&amp;$B118)+1)</f>
        <v/>
      </c>
      <c r="D118">
        <f>IF($C118="","",$A118&amp;"|"&amp;RIGHT("000000"&amp;$C118,6))</f>
        <v/>
      </c>
      <c r="F118">
        <f>IF(Sync!$AH118="","",IF(LEFT(UPPER(TRIM(Sync!$AH118)),2)="SL",UPPER(TRIM(Sync!$AH118)),""))</f>
        <v/>
      </c>
      <c r="G118">
        <f>IF($F118="","",IF(Sync!$AE118="","",IF(ISNUMBER(Sync!$AE118),IF(AND(Sync!$AE118&gt;=10000101,Sync!$AE118&lt;=99991231),INT(Sync!$AE118/10000),""),IFERROR(VALUE(TRIM(LEFT(Sync!$AE118,FIND("/",Sync!$AE118)-1))),""))))</f>
        <v/>
      </c>
      <c r="H118">
        <f>IF(OR($F118="",$G118=""),"",IF(ISNUMBER(Sync!$AE118),INT(MOD(Sync!$AE118,10000)/100),IFERROR(VALUE(TRIM(LEFT(MID(Sync!$AE118,FIND("/",Sync!$AE118)+1,20),FIND("/",MID(Sync!$AE118,FIND("/",Sync!$AE118)+1,20))-1))),"")))</f>
        <v/>
      </c>
      <c r="I118">
        <f>IF(OR($F118="",$G118=""),"",IF(ISNUMBER(Sync!$AE118),MOD(Sync!$AE118,100),IFERROR(VALUE(TRIM(MID(MID(Sync!$AE118,FIND("/",Sync!$AE118)+1,20),FIND("/",MID(Sync!$AE118,FIND("/",Sync!$AE118)+1,20))+1,20))),"")))</f>
        <v/>
      </c>
      <c r="J118">
        <f>IF($F118="","",IF(OR($G118="",$H118="",$I118="",$G118&lt;1300,$G118&gt;1500,$H118&lt;1,$H118&gt;12,$I118&lt;1,$I118&gt;31),"نامعتبر",RIGHT("0000"&amp;$G118,4)&amp;"/"&amp;RIGHT("00"&amp;$H118,2)&amp;"/"&amp;RIGHT("00"&amp;$I118,2)))</f>
        <v/>
      </c>
      <c r="K118">
        <f>IF(OR($F118="",$J118="",$J118="نامعتبر"),"",LEFT($J118,4)&amp;MID($J118,6,2)&amp;RIGHT($J118,2)&amp;$N118&amp;"|"&amp;"2"&amp;RIGHT("00000"&amp;113,5))</f>
        <v/>
      </c>
      <c r="L118">
        <f>IF($K118="","",COUNTIFS(LdgSellerA,$F118,LdgKeyA,"&lt;"&amp;$K118)+COUNTIFS(LdgSellerB,$F118,LdgKeyB,"&lt;"&amp;$K118)+1)</f>
        <v/>
      </c>
      <c r="M118">
        <f>IF($L118="","",$F118&amp;"|"&amp;RIGHT("000000"&amp;$L118,6))</f>
        <v/>
      </c>
      <c r="N118">
        <f>IF($F118="","",IF(Sync!$AF118="","0000",IF(AND(ISNUMBER(Sync!$AF118),Sync!$AF118&gt;=0,Sync!$AF118&lt;1),RIGHT("00"&amp;HOUR(Sync!$AF118),2)&amp;RIGHT("00"&amp;MINUTE(Sync!$AF118),2),IFERROR(RIGHT("00"&amp;VALUE(LEFT(Sync!$AF118,FIND(":",Sync!$AF118)-1)),2)&amp;RIGHT("00"&amp;VALUE(MID(Sync!$AF118,FIND(":",Sync!$AF118)+1,2)),2),"0000"))))</f>
        <v/>
      </c>
    </row>
    <row r="119">
      <c r="A119">
        <f>IF(OR(Calc!$E123="",Calc!$E123="نامعتبر",Calc!$G123=""),"",Calc!$G123)</f>
        <v/>
      </c>
      <c r="B119">
        <f>IF($A119="","",LEFT(Calc!$E123,4)&amp;MID(Calc!$E123,6,2)&amp;RIGHT(Calc!$E123,2)&amp;Calc!$Q123&amp;"|"&amp;"1"&amp;RIGHT("00000"&amp;114,5))</f>
        <v/>
      </c>
      <c r="C119">
        <f>IF($B119="","",COUNTIFS(LdgSellerA,$A119,LdgKeyA,"&lt;"&amp;$B119)+COUNTIFS(LdgSellerB,$A119,LdgKeyB,"&lt;"&amp;$B119)+1)</f>
        <v/>
      </c>
      <c r="D119">
        <f>IF($C119="","",$A119&amp;"|"&amp;RIGHT("000000"&amp;$C119,6))</f>
        <v/>
      </c>
      <c r="F119">
        <f>IF(Sync!$AH119="","",IF(LEFT(UPPER(TRIM(Sync!$AH119)),2)="SL",UPPER(TRIM(Sync!$AH119)),""))</f>
        <v/>
      </c>
      <c r="G119">
        <f>IF($F119="","",IF(Sync!$AE119="","",IF(ISNUMBER(Sync!$AE119),IF(AND(Sync!$AE119&gt;=10000101,Sync!$AE119&lt;=99991231),INT(Sync!$AE119/10000),""),IFERROR(VALUE(TRIM(LEFT(Sync!$AE119,FIND("/",Sync!$AE119)-1))),""))))</f>
        <v/>
      </c>
      <c r="H119">
        <f>IF(OR($F119="",$G119=""),"",IF(ISNUMBER(Sync!$AE119),INT(MOD(Sync!$AE119,10000)/100),IFERROR(VALUE(TRIM(LEFT(MID(Sync!$AE119,FIND("/",Sync!$AE119)+1,20),FIND("/",MID(Sync!$AE119,FIND("/",Sync!$AE119)+1,20))-1))),"")))</f>
        <v/>
      </c>
      <c r="I119">
        <f>IF(OR($F119="",$G119=""),"",IF(ISNUMBER(Sync!$AE119),MOD(Sync!$AE119,100),IFERROR(VALUE(TRIM(MID(MID(Sync!$AE119,FIND("/",Sync!$AE119)+1,20),FIND("/",MID(Sync!$AE119,FIND("/",Sync!$AE119)+1,20))+1,20))),"")))</f>
        <v/>
      </c>
      <c r="J119">
        <f>IF($F119="","",IF(OR($G119="",$H119="",$I119="",$G119&lt;1300,$G119&gt;1500,$H119&lt;1,$H119&gt;12,$I119&lt;1,$I119&gt;31),"نامعتبر",RIGHT("0000"&amp;$G119,4)&amp;"/"&amp;RIGHT("00"&amp;$H119,2)&amp;"/"&amp;RIGHT("00"&amp;$I119,2)))</f>
        <v/>
      </c>
      <c r="K119">
        <f>IF(OR($F119="",$J119="",$J119="نامعتبر"),"",LEFT($J119,4)&amp;MID($J119,6,2)&amp;RIGHT($J119,2)&amp;$N119&amp;"|"&amp;"2"&amp;RIGHT("00000"&amp;114,5))</f>
        <v/>
      </c>
      <c r="L119">
        <f>IF($K119="","",COUNTIFS(LdgSellerA,$F119,LdgKeyA,"&lt;"&amp;$K119)+COUNTIFS(LdgSellerB,$F119,LdgKeyB,"&lt;"&amp;$K119)+1)</f>
        <v/>
      </c>
      <c r="M119">
        <f>IF($L119="","",$F119&amp;"|"&amp;RIGHT("000000"&amp;$L119,6))</f>
        <v/>
      </c>
      <c r="N119">
        <f>IF($F119="","",IF(Sync!$AF119="","0000",IF(AND(ISNUMBER(Sync!$AF119),Sync!$AF119&gt;=0,Sync!$AF119&lt;1),RIGHT("00"&amp;HOUR(Sync!$AF119),2)&amp;RIGHT("00"&amp;MINUTE(Sync!$AF119),2),IFERROR(RIGHT("00"&amp;VALUE(LEFT(Sync!$AF119,FIND(":",Sync!$AF119)-1)),2)&amp;RIGHT("00"&amp;VALUE(MID(Sync!$AF119,FIND(":",Sync!$AF119)+1,2)),2),"0000"))))</f>
        <v/>
      </c>
    </row>
    <row r="120">
      <c r="A120">
        <f>IF(OR(Calc!$E124="",Calc!$E124="نامعتبر",Calc!$G124=""),"",Calc!$G124)</f>
        <v/>
      </c>
      <c r="B120">
        <f>IF($A120="","",LEFT(Calc!$E124,4)&amp;MID(Calc!$E124,6,2)&amp;RIGHT(Calc!$E124,2)&amp;Calc!$Q124&amp;"|"&amp;"1"&amp;RIGHT("00000"&amp;115,5))</f>
        <v/>
      </c>
      <c r="C120">
        <f>IF($B120="","",COUNTIFS(LdgSellerA,$A120,LdgKeyA,"&lt;"&amp;$B120)+COUNTIFS(LdgSellerB,$A120,LdgKeyB,"&lt;"&amp;$B120)+1)</f>
        <v/>
      </c>
      <c r="D120">
        <f>IF($C120="","",$A120&amp;"|"&amp;RIGHT("000000"&amp;$C120,6))</f>
        <v/>
      </c>
      <c r="F120">
        <f>IF(Sync!$AH120="","",IF(LEFT(UPPER(TRIM(Sync!$AH120)),2)="SL",UPPER(TRIM(Sync!$AH120)),""))</f>
        <v/>
      </c>
      <c r="G120">
        <f>IF($F120="","",IF(Sync!$AE120="","",IF(ISNUMBER(Sync!$AE120),IF(AND(Sync!$AE120&gt;=10000101,Sync!$AE120&lt;=99991231),INT(Sync!$AE120/10000),""),IFERROR(VALUE(TRIM(LEFT(Sync!$AE120,FIND("/",Sync!$AE120)-1))),""))))</f>
        <v/>
      </c>
      <c r="H120">
        <f>IF(OR($F120="",$G120=""),"",IF(ISNUMBER(Sync!$AE120),INT(MOD(Sync!$AE120,10000)/100),IFERROR(VALUE(TRIM(LEFT(MID(Sync!$AE120,FIND("/",Sync!$AE120)+1,20),FIND("/",MID(Sync!$AE120,FIND("/",Sync!$AE120)+1,20))-1))),"")))</f>
        <v/>
      </c>
      <c r="I120">
        <f>IF(OR($F120="",$G120=""),"",IF(ISNUMBER(Sync!$AE120),MOD(Sync!$AE120,100),IFERROR(VALUE(TRIM(MID(MID(Sync!$AE120,FIND("/",Sync!$AE120)+1,20),FIND("/",MID(Sync!$AE120,FIND("/",Sync!$AE120)+1,20))+1,20))),"")))</f>
        <v/>
      </c>
      <c r="J120">
        <f>IF($F120="","",IF(OR($G120="",$H120="",$I120="",$G120&lt;1300,$G120&gt;1500,$H120&lt;1,$H120&gt;12,$I120&lt;1,$I120&gt;31),"نامعتبر",RIGHT("0000"&amp;$G120,4)&amp;"/"&amp;RIGHT("00"&amp;$H120,2)&amp;"/"&amp;RIGHT("00"&amp;$I120,2)))</f>
        <v/>
      </c>
      <c r="K120">
        <f>IF(OR($F120="",$J120="",$J120="نامعتبر"),"",LEFT($J120,4)&amp;MID($J120,6,2)&amp;RIGHT($J120,2)&amp;$N120&amp;"|"&amp;"2"&amp;RIGHT("00000"&amp;115,5))</f>
        <v/>
      </c>
      <c r="L120">
        <f>IF($K120="","",COUNTIFS(LdgSellerA,$F120,LdgKeyA,"&lt;"&amp;$K120)+COUNTIFS(LdgSellerB,$F120,LdgKeyB,"&lt;"&amp;$K120)+1)</f>
        <v/>
      </c>
      <c r="M120">
        <f>IF($L120="","",$F120&amp;"|"&amp;RIGHT("000000"&amp;$L120,6))</f>
        <v/>
      </c>
      <c r="N120">
        <f>IF($F120="","",IF(Sync!$AF120="","0000",IF(AND(ISNUMBER(Sync!$AF120),Sync!$AF120&gt;=0,Sync!$AF120&lt;1),RIGHT("00"&amp;HOUR(Sync!$AF120),2)&amp;RIGHT("00"&amp;MINUTE(Sync!$AF120),2),IFERROR(RIGHT("00"&amp;VALUE(LEFT(Sync!$AF120,FIND(":",Sync!$AF120)-1)),2)&amp;RIGHT("00"&amp;VALUE(MID(Sync!$AF120,FIND(":",Sync!$AF120)+1,2)),2),"0000"))))</f>
        <v/>
      </c>
    </row>
    <row r="121">
      <c r="A121">
        <f>IF(OR(Calc!$E125="",Calc!$E125="نامعتبر",Calc!$G125=""),"",Calc!$G125)</f>
        <v/>
      </c>
      <c r="B121">
        <f>IF($A121="","",LEFT(Calc!$E125,4)&amp;MID(Calc!$E125,6,2)&amp;RIGHT(Calc!$E125,2)&amp;Calc!$Q125&amp;"|"&amp;"1"&amp;RIGHT("00000"&amp;116,5))</f>
        <v/>
      </c>
      <c r="C121">
        <f>IF($B121="","",COUNTIFS(LdgSellerA,$A121,LdgKeyA,"&lt;"&amp;$B121)+COUNTIFS(LdgSellerB,$A121,LdgKeyB,"&lt;"&amp;$B121)+1)</f>
        <v/>
      </c>
      <c r="D121">
        <f>IF($C121="","",$A121&amp;"|"&amp;RIGHT("000000"&amp;$C121,6))</f>
        <v/>
      </c>
      <c r="F121">
        <f>IF(Sync!$AH121="","",IF(LEFT(UPPER(TRIM(Sync!$AH121)),2)="SL",UPPER(TRIM(Sync!$AH121)),""))</f>
        <v/>
      </c>
      <c r="G121">
        <f>IF($F121="","",IF(Sync!$AE121="","",IF(ISNUMBER(Sync!$AE121),IF(AND(Sync!$AE121&gt;=10000101,Sync!$AE121&lt;=99991231),INT(Sync!$AE121/10000),""),IFERROR(VALUE(TRIM(LEFT(Sync!$AE121,FIND("/",Sync!$AE121)-1))),""))))</f>
        <v/>
      </c>
      <c r="H121">
        <f>IF(OR($F121="",$G121=""),"",IF(ISNUMBER(Sync!$AE121),INT(MOD(Sync!$AE121,10000)/100),IFERROR(VALUE(TRIM(LEFT(MID(Sync!$AE121,FIND("/",Sync!$AE121)+1,20),FIND("/",MID(Sync!$AE121,FIND("/",Sync!$AE121)+1,20))-1))),"")))</f>
        <v/>
      </c>
      <c r="I121">
        <f>IF(OR($F121="",$G121=""),"",IF(ISNUMBER(Sync!$AE121),MOD(Sync!$AE121,100),IFERROR(VALUE(TRIM(MID(MID(Sync!$AE121,FIND("/",Sync!$AE121)+1,20),FIND("/",MID(Sync!$AE121,FIND("/",Sync!$AE121)+1,20))+1,20))),"")))</f>
        <v/>
      </c>
      <c r="J121">
        <f>IF($F121="","",IF(OR($G121="",$H121="",$I121="",$G121&lt;1300,$G121&gt;1500,$H121&lt;1,$H121&gt;12,$I121&lt;1,$I121&gt;31),"نامعتبر",RIGHT("0000"&amp;$G121,4)&amp;"/"&amp;RIGHT("00"&amp;$H121,2)&amp;"/"&amp;RIGHT("00"&amp;$I121,2)))</f>
        <v/>
      </c>
      <c r="K121">
        <f>IF(OR($F121="",$J121="",$J121="نامعتبر"),"",LEFT($J121,4)&amp;MID($J121,6,2)&amp;RIGHT($J121,2)&amp;$N121&amp;"|"&amp;"2"&amp;RIGHT("00000"&amp;116,5))</f>
        <v/>
      </c>
      <c r="L121">
        <f>IF($K121="","",COUNTIFS(LdgSellerA,$F121,LdgKeyA,"&lt;"&amp;$K121)+COUNTIFS(LdgSellerB,$F121,LdgKeyB,"&lt;"&amp;$K121)+1)</f>
        <v/>
      </c>
      <c r="M121">
        <f>IF($L121="","",$F121&amp;"|"&amp;RIGHT("000000"&amp;$L121,6))</f>
        <v/>
      </c>
      <c r="N121">
        <f>IF($F121="","",IF(Sync!$AF121="","0000",IF(AND(ISNUMBER(Sync!$AF121),Sync!$AF121&gt;=0,Sync!$AF121&lt;1),RIGHT("00"&amp;HOUR(Sync!$AF121),2)&amp;RIGHT("00"&amp;MINUTE(Sync!$AF121),2),IFERROR(RIGHT("00"&amp;VALUE(LEFT(Sync!$AF121,FIND(":",Sync!$AF121)-1)),2)&amp;RIGHT("00"&amp;VALUE(MID(Sync!$AF121,FIND(":",Sync!$AF121)+1,2)),2),"0000"))))</f>
        <v/>
      </c>
    </row>
    <row r="122">
      <c r="A122">
        <f>IF(OR(Calc!$E126="",Calc!$E126="نامعتبر",Calc!$G126=""),"",Calc!$G126)</f>
        <v/>
      </c>
      <c r="B122">
        <f>IF($A122="","",LEFT(Calc!$E126,4)&amp;MID(Calc!$E126,6,2)&amp;RIGHT(Calc!$E126,2)&amp;Calc!$Q126&amp;"|"&amp;"1"&amp;RIGHT("00000"&amp;117,5))</f>
        <v/>
      </c>
      <c r="C122">
        <f>IF($B122="","",COUNTIFS(LdgSellerA,$A122,LdgKeyA,"&lt;"&amp;$B122)+COUNTIFS(LdgSellerB,$A122,LdgKeyB,"&lt;"&amp;$B122)+1)</f>
        <v/>
      </c>
      <c r="D122">
        <f>IF($C122="","",$A122&amp;"|"&amp;RIGHT("000000"&amp;$C122,6))</f>
        <v/>
      </c>
      <c r="F122">
        <f>IF(Sync!$AH122="","",IF(LEFT(UPPER(TRIM(Sync!$AH122)),2)="SL",UPPER(TRIM(Sync!$AH122)),""))</f>
        <v/>
      </c>
      <c r="G122">
        <f>IF($F122="","",IF(Sync!$AE122="","",IF(ISNUMBER(Sync!$AE122),IF(AND(Sync!$AE122&gt;=10000101,Sync!$AE122&lt;=99991231),INT(Sync!$AE122/10000),""),IFERROR(VALUE(TRIM(LEFT(Sync!$AE122,FIND("/",Sync!$AE122)-1))),""))))</f>
        <v/>
      </c>
      <c r="H122">
        <f>IF(OR($F122="",$G122=""),"",IF(ISNUMBER(Sync!$AE122),INT(MOD(Sync!$AE122,10000)/100),IFERROR(VALUE(TRIM(LEFT(MID(Sync!$AE122,FIND("/",Sync!$AE122)+1,20),FIND("/",MID(Sync!$AE122,FIND("/",Sync!$AE122)+1,20))-1))),"")))</f>
        <v/>
      </c>
      <c r="I122">
        <f>IF(OR($F122="",$G122=""),"",IF(ISNUMBER(Sync!$AE122),MOD(Sync!$AE122,100),IFERROR(VALUE(TRIM(MID(MID(Sync!$AE122,FIND("/",Sync!$AE122)+1,20),FIND("/",MID(Sync!$AE122,FIND("/",Sync!$AE122)+1,20))+1,20))),"")))</f>
        <v/>
      </c>
      <c r="J122">
        <f>IF($F122="","",IF(OR($G122="",$H122="",$I122="",$G122&lt;1300,$G122&gt;1500,$H122&lt;1,$H122&gt;12,$I122&lt;1,$I122&gt;31),"نامعتبر",RIGHT("0000"&amp;$G122,4)&amp;"/"&amp;RIGHT("00"&amp;$H122,2)&amp;"/"&amp;RIGHT("00"&amp;$I122,2)))</f>
        <v/>
      </c>
      <c r="K122">
        <f>IF(OR($F122="",$J122="",$J122="نامعتبر"),"",LEFT($J122,4)&amp;MID($J122,6,2)&amp;RIGHT($J122,2)&amp;$N122&amp;"|"&amp;"2"&amp;RIGHT("00000"&amp;117,5))</f>
        <v/>
      </c>
      <c r="L122">
        <f>IF($K122="","",COUNTIFS(LdgSellerA,$F122,LdgKeyA,"&lt;"&amp;$K122)+COUNTIFS(LdgSellerB,$F122,LdgKeyB,"&lt;"&amp;$K122)+1)</f>
        <v/>
      </c>
      <c r="M122">
        <f>IF($L122="","",$F122&amp;"|"&amp;RIGHT("000000"&amp;$L122,6))</f>
        <v/>
      </c>
      <c r="N122">
        <f>IF($F122="","",IF(Sync!$AF122="","0000",IF(AND(ISNUMBER(Sync!$AF122),Sync!$AF122&gt;=0,Sync!$AF122&lt;1),RIGHT("00"&amp;HOUR(Sync!$AF122),2)&amp;RIGHT("00"&amp;MINUTE(Sync!$AF122),2),IFERROR(RIGHT("00"&amp;VALUE(LEFT(Sync!$AF122,FIND(":",Sync!$AF122)-1)),2)&amp;RIGHT("00"&amp;VALUE(MID(Sync!$AF122,FIND(":",Sync!$AF122)+1,2)),2),"0000"))))</f>
        <v/>
      </c>
    </row>
    <row r="123">
      <c r="A123">
        <f>IF(OR(Calc!$E127="",Calc!$E127="نامعتبر",Calc!$G127=""),"",Calc!$G127)</f>
        <v/>
      </c>
      <c r="B123">
        <f>IF($A123="","",LEFT(Calc!$E127,4)&amp;MID(Calc!$E127,6,2)&amp;RIGHT(Calc!$E127,2)&amp;Calc!$Q127&amp;"|"&amp;"1"&amp;RIGHT("00000"&amp;118,5))</f>
        <v/>
      </c>
      <c r="C123">
        <f>IF($B123="","",COUNTIFS(LdgSellerA,$A123,LdgKeyA,"&lt;"&amp;$B123)+COUNTIFS(LdgSellerB,$A123,LdgKeyB,"&lt;"&amp;$B123)+1)</f>
        <v/>
      </c>
      <c r="D123">
        <f>IF($C123="","",$A123&amp;"|"&amp;RIGHT("000000"&amp;$C123,6))</f>
        <v/>
      </c>
      <c r="F123">
        <f>IF(Sync!$AH123="","",IF(LEFT(UPPER(TRIM(Sync!$AH123)),2)="SL",UPPER(TRIM(Sync!$AH123)),""))</f>
        <v/>
      </c>
      <c r="G123">
        <f>IF($F123="","",IF(Sync!$AE123="","",IF(ISNUMBER(Sync!$AE123),IF(AND(Sync!$AE123&gt;=10000101,Sync!$AE123&lt;=99991231),INT(Sync!$AE123/10000),""),IFERROR(VALUE(TRIM(LEFT(Sync!$AE123,FIND("/",Sync!$AE123)-1))),""))))</f>
        <v/>
      </c>
      <c r="H123">
        <f>IF(OR($F123="",$G123=""),"",IF(ISNUMBER(Sync!$AE123),INT(MOD(Sync!$AE123,10000)/100),IFERROR(VALUE(TRIM(LEFT(MID(Sync!$AE123,FIND("/",Sync!$AE123)+1,20),FIND("/",MID(Sync!$AE123,FIND("/",Sync!$AE123)+1,20))-1))),"")))</f>
        <v/>
      </c>
      <c r="I123">
        <f>IF(OR($F123="",$G123=""),"",IF(ISNUMBER(Sync!$AE123),MOD(Sync!$AE123,100),IFERROR(VALUE(TRIM(MID(MID(Sync!$AE123,FIND("/",Sync!$AE123)+1,20),FIND("/",MID(Sync!$AE123,FIND("/",Sync!$AE123)+1,20))+1,20))),"")))</f>
        <v/>
      </c>
      <c r="J123">
        <f>IF($F123="","",IF(OR($G123="",$H123="",$I123="",$G123&lt;1300,$G123&gt;1500,$H123&lt;1,$H123&gt;12,$I123&lt;1,$I123&gt;31),"نامعتبر",RIGHT("0000"&amp;$G123,4)&amp;"/"&amp;RIGHT("00"&amp;$H123,2)&amp;"/"&amp;RIGHT("00"&amp;$I123,2)))</f>
        <v/>
      </c>
      <c r="K123">
        <f>IF(OR($F123="",$J123="",$J123="نامعتبر"),"",LEFT($J123,4)&amp;MID($J123,6,2)&amp;RIGHT($J123,2)&amp;$N123&amp;"|"&amp;"2"&amp;RIGHT("00000"&amp;118,5))</f>
        <v/>
      </c>
      <c r="L123">
        <f>IF($K123="","",COUNTIFS(LdgSellerA,$F123,LdgKeyA,"&lt;"&amp;$K123)+COUNTIFS(LdgSellerB,$F123,LdgKeyB,"&lt;"&amp;$K123)+1)</f>
        <v/>
      </c>
      <c r="M123">
        <f>IF($L123="","",$F123&amp;"|"&amp;RIGHT("000000"&amp;$L123,6))</f>
        <v/>
      </c>
      <c r="N123">
        <f>IF($F123="","",IF(Sync!$AF123="","0000",IF(AND(ISNUMBER(Sync!$AF123),Sync!$AF123&gt;=0,Sync!$AF123&lt;1),RIGHT("00"&amp;HOUR(Sync!$AF123),2)&amp;RIGHT("00"&amp;MINUTE(Sync!$AF123),2),IFERROR(RIGHT("00"&amp;VALUE(LEFT(Sync!$AF123,FIND(":",Sync!$AF123)-1)),2)&amp;RIGHT("00"&amp;VALUE(MID(Sync!$AF123,FIND(":",Sync!$AF123)+1,2)),2),"0000"))))</f>
        <v/>
      </c>
    </row>
    <row r="124">
      <c r="A124">
        <f>IF(OR(Calc!$E128="",Calc!$E128="نامعتبر",Calc!$G128=""),"",Calc!$G128)</f>
        <v/>
      </c>
      <c r="B124">
        <f>IF($A124="","",LEFT(Calc!$E128,4)&amp;MID(Calc!$E128,6,2)&amp;RIGHT(Calc!$E128,2)&amp;Calc!$Q128&amp;"|"&amp;"1"&amp;RIGHT("00000"&amp;119,5))</f>
        <v/>
      </c>
      <c r="C124">
        <f>IF($B124="","",COUNTIFS(LdgSellerA,$A124,LdgKeyA,"&lt;"&amp;$B124)+COUNTIFS(LdgSellerB,$A124,LdgKeyB,"&lt;"&amp;$B124)+1)</f>
        <v/>
      </c>
      <c r="D124">
        <f>IF($C124="","",$A124&amp;"|"&amp;RIGHT("000000"&amp;$C124,6))</f>
        <v/>
      </c>
      <c r="F124">
        <f>IF(Sync!$AH124="","",IF(LEFT(UPPER(TRIM(Sync!$AH124)),2)="SL",UPPER(TRIM(Sync!$AH124)),""))</f>
        <v/>
      </c>
      <c r="G124">
        <f>IF($F124="","",IF(Sync!$AE124="","",IF(ISNUMBER(Sync!$AE124),IF(AND(Sync!$AE124&gt;=10000101,Sync!$AE124&lt;=99991231),INT(Sync!$AE124/10000),""),IFERROR(VALUE(TRIM(LEFT(Sync!$AE124,FIND("/",Sync!$AE124)-1))),""))))</f>
        <v/>
      </c>
      <c r="H124">
        <f>IF(OR($F124="",$G124=""),"",IF(ISNUMBER(Sync!$AE124),INT(MOD(Sync!$AE124,10000)/100),IFERROR(VALUE(TRIM(LEFT(MID(Sync!$AE124,FIND("/",Sync!$AE124)+1,20),FIND("/",MID(Sync!$AE124,FIND("/",Sync!$AE124)+1,20))-1))),"")))</f>
        <v/>
      </c>
      <c r="I124">
        <f>IF(OR($F124="",$G124=""),"",IF(ISNUMBER(Sync!$AE124),MOD(Sync!$AE124,100),IFERROR(VALUE(TRIM(MID(MID(Sync!$AE124,FIND("/",Sync!$AE124)+1,20),FIND("/",MID(Sync!$AE124,FIND("/",Sync!$AE124)+1,20))+1,20))),"")))</f>
        <v/>
      </c>
      <c r="J124">
        <f>IF($F124="","",IF(OR($G124="",$H124="",$I124="",$G124&lt;1300,$G124&gt;1500,$H124&lt;1,$H124&gt;12,$I124&lt;1,$I124&gt;31),"نامعتبر",RIGHT("0000"&amp;$G124,4)&amp;"/"&amp;RIGHT("00"&amp;$H124,2)&amp;"/"&amp;RIGHT("00"&amp;$I124,2)))</f>
        <v/>
      </c>
      <c r="K124">
        <f>IF(OR($F124="",$J124="",$J124="نامعتبر"),"",LEFT($J124,4)&amp;MID($J124,6,2)&amp;RIGHT($J124,2)&amp;$N124&amp;"|"&amp;"2"&amp;RIGHT("00000"&amp;119,5))</f>
        <v/>
      </c>
      <c r="L124">
        <f>IF($K124="","",COUNTIFS(LdgSellerA,$F124,LdgKeyA,"&lt;"&amp;$K124)+COUNTIFS(LdgSellerB,$F124,LdgKeyB,"&lt;"&amp;$K124)+1)</f>
        <v/>
      </c>
      <c r="M124">
        <f>IF($L124="","",$F124&amp;"|"&amp;RIGHT("000000"&amp;$L124,6))</f>
        <v/>
      </c>
      <c r="N124">
        <f>IF($F124="","",IF(Sync!$AF124="","0000",IF(AND(ISNUMBER(Sync!$AF124),Sync!$AF124&gt;=0,Sync!$AF124&lt;1),RIGHT("00"&amp;HOUR(Sync!$AF124),2)&amp;RIGHT("00"&amp;MINUTE(Sync!$AF124),2),IFERROR(RIGHT("00"&amp;VALUE(LEFT(Sync!$AF124,FIND(":",Sync!$AF124)-1)),2)&amp;RIGHT("00"&amp;VALUE(MID(Sync!$AF124,FIND(":",Sync!$AF124)+1,2)),2),"0000"))))</f>
        <v/>
      </c>
    </row>
    <row r="125">
      <c r="A125">
        <f>IF(OR(Calc!$E129="",Calc!$E129="نامعتبر",Calc!$G129=""),"",Calc!$G129)</f>
        <v/>
      </c>
      <c r="B125">
        <f>IF($A125="","",LEFT(Calc!$E129,4)&amp;MID(Calc!$E129,6,2)&amp;RIGHT(Calc!$E129,2)&amp;Calc!$Q129&amp;"|"&amp;"1"&amp;RIGHT("00000"&amp;120,5))</f>
        <v/>
      </c>
      <c r="C125">
        <f>IF($B125="","",COUNTIFS(LdgSellerA,$A125,LdgKeyA,"&lt;"&amp;$B125)+COUNTIFS(LdgSellerB,$A125,LdgKeyB,"&lt;"&amp;$B125)+1)</f>
        <v/>
      </c>
      <c r="D125">
        <f>IF($C125="","",$A125&amp;"|"&amp;RIGHT("000000"&amp;$C125,6))</f>
        <v/>
      </c>
      <c r="F125">
        <f>IF(Sync!$AH125="","",IF(LEFT(UPPER(TRIM(Sync!$AH125)),2)="SL",UPPER(TRIM(Sync!$AH125)),""))</f>
        <v/>
      </c>
      <c r="G125">
        <f>IF($F125="","",IF(Sync!$AE125="","",IF(ISNUMBER(Sync!$AE125),IF(AND(Sync!$AE125&gt;=10000101,Sync!$AE125&lt;=99991231),INT(Sync!$AE125/10000),""),IFERROR(VALUE(TRIM(LEFT(Sync!$AE125,FIND("/",Sync!$AE125)-1))),""))))</f>
        <v/>
      </c>
      <c r="H125">
        <f>IF(OR($F125="",$G125=""),"",IF(ISNUMBER(Sync!$AE125),INT(MOD(Sync!$AE125,10000)/100),IFERROR(VALUE(TRIM(LEFT(MID(Sync!$AE125,FIND("/",Sync!$AE125)+1,20),FIND("/",MID(Sync!$AE125,FIND("/",Sync!$AE125)+1,20))-1))),"")))</f>
        <v/>
      </c>
      <c r="I125">
        <f>IF(OR($F125="",$G125=""),"",IF(ISNUMBER(Sync!$AE125),MOD(Sync!$AE125,100),IFERROR(VALUE(TRIM(MID(MID(Sync!$AE125,FIND("/",Sync!$AE125)+1,20),FIND("/",MID(Sync!$AE125,FIND("/",Sync!$AE125)+1,20))+1,20))),"")))</f>
        <v/>
      </c>
      <c r="J125">
        <f>IF($F125="","",IF(OR($G125="",$H125="",$I125="",$G125&lt;1300,$G125&gt;1500,$H125&lt;1,$H125&gt;12,$I125&lt;1,$I125&gt;31),"نامعتبر",RIGHT("0000"&amp;$G125,4)&amp;"/"&amp;RIGHT("00"&amp;$H125,2)&amp;"/"&amp;RIGHT("00"&amp;$I125,2)))</f>
        <v/>
      </c>
      <c r="K125">
        <f>IF(OR($F125="",$J125="",$J125="نامعتبر"),"",LEFT($J125,4)&amp;MID($J125,6,2)&amp;RIGHT($J125,2)&amp;$N125&amp;"|"&amp;"2"&amp;RIGHT("00000"&amp;120,5))</f>
        <v/>
      </c>
      <c r="L125">
        <f>IF($K125="","",COUNTIFS(LdgSellerA,$F125,LdgKeyA,"&lt;"&amp;$K125)+COUNTIFS(LdgSellerB,$F125,LdgKeyB,"&lt;"&amp;$K125)+1)</f>
        <v/>
      </c>
      <c r="M125">
        <f>IF($L125="","",$F125&amp;"|"&amp;RIGHT("000000"&amp;$L125,6))</f>
        <v/>
      </c>
      <c r="N125">
        <f>IF($F125="","",IF(Sync!$AF125="","0000",IF(AND(ISNUMBER(Sync!$AF125),Sync!$AF125&gt;=0,Sync!$AF125&lt;1),RIGHT("00"&amp;HOUR(Sync!$AF125),2)&amp;RIGHT("00"&amp;MINUTE(Sync!$AF125),2),IFERROR(RIGHT("00"&amp;VALUE(LEFT(Sync!$AF125,FIND(":",Sync!$AF125)-1)),2)&amp;RIGHT("00"&amp;VALUE(MID(Sync!$AF125,FIND(":",Sync!$AF125)+1,2)),2),"0000"))))</f>
        <v/>
      </c>
    </row>
    <row r="126">
      <c r="A126">
        <f>IF(OR(Calc!$E130="",Calc!$E130="نامعتبر",Calc!$G130=""),"",Calc!$G130)</f>
        <v/>
      </c>
      <c r="B126">
        <f>IF($A126="","",LEFT(Calc!$E130,4)&amp;MID(Calc!$E130,6,2)&amp;RIGHT(Calc!$E130,2)&amp;Calc!$Q130&amp;"|"&amp;"1"&amp;RIGHT("00000"&amp;121,5))</f>
        <v/>
      </c>
      <c r="C126">
        <f>IF($B126="","",COUNTIFS(LdgSellerA,$A126,LdgKeyA,"&lt;"&amp;$B126)+COUNTIFS(LdgSellerB,$A126,LdgKeyB,"&lt;"&amp;$B126)+1)</f>
        <v/>
      </c>
      <c r="D126">
        <f>IF($C126="","",$A126&amp;"|"&amp;RIGHT("000000"&amp;$C126,6))</f>
        <v/>
      </c>
      <c r="F126">
        <f>IF(Sync!$AH126="","",IF(LEFT(UPPER(TRIM(Sync!$AH126)),2)="SL",UPPER(TRIM(Sync!$AH126)),""))</f>
        <v/>
      </c>
      <c r="G126">
        <f>IF($F126="","",IF(Sync!$AE126="","",IF(ISNUMBER(Sync!$AE126),IF(AND(Sync!$AE126&gt;=10000101,Sync!$AE126&lt;=99991231),INT(Sync!$AE126/10000),""),IFERROR(VALUE(TRIM(LEFT(Sync!$AE126,FIND("/",Sync!$AE126)-1))),""))))</f>
        <v/>
      </c>
      <c r="H126">
        <f>IF(OR($F126="",$G126=""),"",IF(ISNUMBER(Sync!$AE126),INT(MOD(Sync!$AE126,10000)/100),IFERROR(VALUE(TRIM(LEFT(MID(Sync!$AE126,FIND("/",Sync!$AE126)+1,20),FIND("/",MID(Sync!$AE126,FIND("/",Sync!$AE126)+1,20))-1))),"")))</f>
        <v/>
      </c>
      <c r="I126">
        <f>IF(OR($F126="",$G126=""),"",IF(ISNUMBER(Sync!$AE126),MOD(Sync!$AE126,100),IFERROR(VALUE(TRIM(MID(MID(Sync!$AE126,FIND("/",Sync!$AE126)+1,20),FIND("/",MID(Sync!$AE126,FIND("/",Sync!$AE126)+1,20))+1,20))),"")))</f>
        <v/>
      </c>
      <c r="J126">
        <f>IF($F126="","",IF(OR($G126="",$H126="",$I126="",$G126&lt;1300,$G126&gt;1500,$H126&lt;1,$H126&gt;12,$I126&lt;1,$I126&gt;31),"نامعتبر",RIGHT("0000"&amp;$G126,4)&amp;"/"&amp;RIGHT("00"&amp;$H126,2)&amp;"/"&amp;RIGHT("00"&amp;$I126,2)))</f>
        <v/>
      </c>
      <c r="K126">
        <f>IF(OR($F126="",$J126="",$J126="نامعتبر"),"",LEFT($J126,4)&amp;MID($J126,6,2)&amp;RIGHT($J126,2)&amp;$N126&amp;"|"&amp;"2"&amp;RIGHT("00000"&amp;121,5))</f>
        <v/>
      </c>
      <c r="L126">
        <f>IF($K126="","",COUNTIFS(LdgSellerA,$F126,LdgKeyA,"&lt;"&amp;$K126)+COUNTIFS(LdgSellerB,$F126,LdgKeyB,"&lt;"&amp;$K126)+1)</f>
        <v/>
      </c>
      <c r="M126">
        <f>IF($L126="","",$F126&amp;"|"&amp;RIGHT("000000"&amp;$L126,6))</f>
        <v/>
      </c>
      <c r="N126">
        <f>IF($F126="","",IF(Sync!$AF126="","0000",IF(AND(ISNUMBER(Sync!$AF126),Sync!$AF126&gt;=0,Sync!$AF126&lt;1),RIGHT("00"&amp;HOUR(Sync!$AF126),2)&amp;RIGHT("00"&amp;MINUTE(Sync!$AF126),2),IFERROR(RIGHT("00"&amp;VALUE(LEFT(Sync!$AF126,FIND(":",Sync!$AF126)-1)),2)&amp;RIGHT("00"&amp;VALUE(MID(Sync!$AF126,FIND(":",Sync!$AF126)+1,2)),2),"0000"))))</f>
        <v/>
      </c>
    </row>
    <row r="127">
      <c r="A127">
        <f>IF(OR(Calc!$E131="",Calc!$E131="نامعتبر",Calc!$G131=""),"",Calc!$G131)</f>
        <v/>
      </c>
      <c r="B127">
        <f>IF($A127="","",LEFT(Calc!$E131,4)&amp;MID(Calc!$E131,6,2)&amp;RIGHT(Calc!$E131,2)&amp;Calc!$Q131&amp;"|"&amp;"1"&amp;RIGHT("00000"&amp;122,5))</f>
        <v/>
      </c>
      <c r="C127">
        <f>IF($B127="","",COUNTIFS(LdgSellerA,$A127,LdgKeyA,"&lt;"&amp;$B127)+COUNTIFS(LdgSellerB,$A127,LdgKeyB,"&lt;"&amp;$B127)+1)</f>
        <v/>
      </c>
      <c r="D127">
        <f>IF($C127="","",$A127&amp;"|"&amp;RIGHT("000000"&amp;$C127,6))</f>
        <v/>
      </c>
      <c r="F127">
        <f>IF(Sync!$AH127="","",IF(LEFT(UPPER(TRIM(Sync!$AH127)),2)="SL",UPPER(TRIM(Sync!$AH127)),""))</f>
        <v/>
      </c>
      <c r="G127">
        <f>IF($F127="","",IF(Sync!$AE127="","",IF(ISNUMBER(Sync!$AE127),IF(AND(Sync!$AE127&gt;=10000101,Sync!$AE127&lt;=99991231),INT(Sync!$AE127/10000),""),IFERROR(VALUE(TRIM(LEFT(Sync!$AE127,FIND("/",Sync!$AE127)-1))),""))))</f>
        <v/>
      </c>
      <c r="H127">
        <f>IF(OR($F127="",$G127=""),"",IF(ISNUMBER(Sync!$AE127),INT(MOD(Sync!$AE127,10000)/100),IFERROR(VALUE(TRIM(LEFT(MID(Sync!$AE127,FIND("/",Sync!$AE127)+1,20),FIND("/",MID(Sync!$AE127,FIND("/",Sync!$AE127)+1,20))-1))),"")))</f>
        <v/>
      </c>
      <c r="I127">
        <f>IF(OR($F127="",$G127=""),"",IF(ISNUMBER(Sync!$AE127),MOD(Sync!$AE127,100),IFERROR(VALUE(TRIM(MID(MID(Sync!$AE127,FIND("/",Sync!$AE127)+1,20),FIND("/",MID(Sync!$AE127,FIND("/",Sync!$AE127)+1,20))+1,20))),"")))</f>
        <v/>
      </c>
      <c r="J127">
        <f>IF($F127="","",IF(OR($G127="",$H127="",$I127="",$G127&lt;1300,$G127&gt;1500,$H127&lt;1,$H127&gt;12,$I127&lt;1,$I127&gt;31),"نامعتبر",RIGHT("0000"&amp;$G127,4)&amp;"/"&amp;RIGHT("00"&amp;$H127,2)&amp;"/"&amp;RIGHT("00"&amp;$I127,2)))</f>
        <v/>
      </c>
      <c r="K127">
        <f>IF(OR($F127="",$J127="",$J127="نامعتبر"),"",LEFT($J127,4)&amp;MID($J127,6,2)&amp;RIGHT($J127,2)&amp;$N127&amp;"|"&amp;"2"&amp;RIGHT("00000"&amp;122,5))</f>
        <v/>
      </c>
      <c r="L127">
        <f>IF($K127="","",COUNTIFS(LdgSellerA,$F127,LdgKeyA,"&lt;"&amp;$K127)+COUNTIFS(LdgSellerB,$F127,LdgKeyB,"&lt;"&amp;$K127)+1)</f>
        <v/>
      </c>
      <c r="M127">
        <f>IF($L127="","",$F127&amp;"|"&amp;RIGHT("000000"&amp;$L127,6))</f>
        <v/>
      </c>
      <c r="N127">
        <f>IF($F127="","",IF(Sync!$AF127="","0000",IF(AND(ISNUMBER(Sync!$AF127),Sync!$AF127&gt;=0,Sync!$AF127&lt;1),RIGHT("00"&amp;HOUR(Sync!$AF127),2)&amp;RIGHT("00"&amp;MINUTE(Sync!$AF127),2),IFERROR(RIGHT("00"&amp;VALUE(LEFT(Sync!$AF127,FIND(":",Sync!$AF127)-1)),2)&amp;RIGHT("00"&amp;VALUE(MID(Sync!$AF127,FIND(":",Sync!$AF127)+1,2)),2),"0000"))))</f>
        <v/>
      </c>
    </row>
    <row r="128">
      <c r="A128">
        <f>IF(OR(Calc!$E132="",Calc!$E132="نامعتبر",Calc!$G132=""),"",Calc!$G132)</f>
        <v/>
      </c>
      <c r="B128">
        <f>IF($A128="","",LEFT(Calc!$E132,4)&amp;MID(Calc!$E132,6,2)&amp;RIGHT(Calc!$E132,2)&amp;Calc!$Q132&amp;"|"&amp;"1"&amp;RIGHT("00000"&amp;123,5))</f>
        <v/>
      </c>
      <c r="C128">
        <f>IF($B128="","",COUNTIFS(LdgSellerA,$A128,LdgKeyA,"&lt;"&amp;$B128)+COUNTIFS(LdgSellerB,$A128,LdgKeyB,"&lt;"&amp;$B128)+1)</f>
        <v/>
      </c>
      <c r="D128">
        <f>IF($C128="","",$A128&amp;"|"&amp;RIGHT("000000"&amp;$C128,6))</f>
        <v/>
      </c>
      <c r="F128">
        <f>IF(Sync!$AH128="","",IF(LEFT(UPPER(TRIM(Sync!$AH128)),2)="SL",UPPER(TRIM(Sync!$AH128)),""))</f>
        <v/>
      </c>
      <c r="G128">
        <f>IF($F128="","",IF(Sync!$AE128="","",IF(ISNUMBER(Sync!$AE128),IF(AND(Sync!$AE128&gt;=10000101,Sync!$AE128&lt;=99991231),INT(Sync!$AE128/10000),""),IFERROR(VALUE(TRIM(LEFT(Sync!$AE128,FIND("/",Sync!$AE128)-1))),""))))</f>
        <v/>
      </c>
      <c r="H128">
        <f>IF(OR($F128="",$G128=""),"",IF(ISNUMBER(Sync!$AE128),INT(MOD(Sync!$AE128,10000)/100),IFERROR(VALUE(TRIM(LEFT(MID(Sync!$AE128,FIND("/",Sync!$AE128)+1,20),FIND("/",MID(Sync!$AE128,FIND("/",Sync!$AE128)+1,20))-1))),"")))</f>
        <v/>
      </c>
      <c r="I128">
        <f>IF(OR($F128="",$G128=""),"",IF(ISNUMBER(Sync!$AE128),MOD(Sync!$AE128,100),IFERROR(VALUE(TRIM(MID(MID(Sync!$AE128,FIND("/",Sync!$AE128)+1,20),FIND("/",MID(Sync!$AE128,FIND("/",Sync!$AE128)+1,20))+1,20))),"")))</f>
        <v/>
      </c>
      <c r="J128">
        <f>IF($F128="","",IF(OR($G128="",$H128="",$I128="",$G128&lt;1300,$G128&gt;1500,$H128&lt;1,$H128&gt;12,$I128&lt;1,$I128&gt;31),"نامعتبر",RIGHT("0000"&amp;$G128,4)&amp;"/"&amp;RIGHT("00"&amp;$H128,2)&amp;"/"&amp;RIGHT("00"&amp;$I128,2)))</f>
        <v/>
      </c>
      <c r="K128">
        <f>IF(OR($F128="",$J128="",$J128="نامعتبر"),"",LEFT($J128,4)&amp;MID($J128,6,2)&amp;RIGHT($J128,2)&amp;$N128&amp;"|"&amp;"2"&amp;RIGHT("00000"&amp;123,5))</f>
        <v/>
      </c>
      <c r="L128">
        <f>IF($K128="","",COUNTIFS(LdgSellerA,$F128,LdgKeyA,"&lt;"&amp;$K128)+COUNTIFS(LdgSellerB,$F128,LdgKeyB,"&lt;"&amp;$K128)+1)</f>
        <v/>
      </c>
      <c r="M128">
        <f>IF($L128="","",$F128&amp;"|"&amp;RIGHT("000000"&amp;$L128,6))</f>
        <v/>
      </c>
      <c r="N128">
        <f>IF($F128="","",IF(Sync!$AF128="","0000",IF(AND(ISNUMBER(Sync!$AF128),Sync!$AF128&gt;=0,Sync!$AF128&lt;1),RIGHT("00"&amp;HOUR(Sync!$AF128),2)&amp;RIGHT("00"&amp;MINUTE(Sync!$AF128),2),IFERROR(RIGHT("00"&amp;VALUE(LEFT(Sync!$AF128,FIND(":",Sync!$AF128)-1)),2)&amp;RIGHT("00"&amp;VALUE(MID(Sync!$AF128,FIND(":",Sync!$AF128)+1,2)),2),"0000"))))</f>
        <v/>
      </c>
    </row>
    <row r="129">
      <c r="A129">
        <f>IF(OR(Calc!$E133="",Calc!$E133="نامعتبر",Calc!$G133=""),"",Calc!$G133)</f>
        <v/>
      </c>
      <c r="B129">
        <f>IF($A129="","",LEFT(Calc!$E133,4)&amp;MID(Calc!$E133,6,2)&amp;RIGHT(Calc!$E133,2)&amp;Calc!$Q133&amp;"|"&amp;"1"&amp;RIGHT("00000"&amp;124,5))</f>
        <v/>
      </c>
      <c r="C129">
        <f>IF($B129="","",COUNTIFS(LdgSellerA,$A129,LdgKeyA,"&lt;"&amp;$B129)+COUNTIFS(LdgSellerB,$A129,LdgKeyB,"&lt;"&amp;$B129)+1)</f>
        <v/>
      </c>
      <c r="D129">
        <f>IF($C129="","",$A129&amp;"|"&amp;RIGHT("000000"&amp;$C129,6))</f>
        <v/>
      </c>
      <c r="F129">
        <f>IF(Sync!$AH129="","",IF(LEFT(UPPER(TRIM(Sync!$AH129)),2)="SL",UPPER(TRIM(Sync!$AH129)),""))</f>
        <v/>
      </c>
      <c r="G129">
        <f>IF($F129="","",IF(Sync!$AE129="","",IF(ISNUMBER(Sync!$AE129),IF(AND(Sync!$AE129&gt;=10000101,Sync!$AE129&lt;=99991231),INT(Sync!$AE129/10000),""),IFERROR(VALUE(TRIM(LEFT(Sync!$AE129,FIND("/",Sync!$AE129)-1))),""))))</f>
        <v/>
      </c>
      <c r="H129">
        <f>IF(OR($F129="",$G129=""),"",IF(ISNUMBER(Sync!$AE129),INT(MOD(Sync!$AE129,10000)/100),IFERROR(VALUE(TRIM(LEFT(MID(Sync!$AE129,FIND("/",Sync!$AE129)+1,20),FIND("/",MID(Sync!$AE129,FIND("/",Sync!$AE129)+1,20))-1))),"")))</f>
        <v/>
      </c>
      <c r="I129">
        <f>IF(OR($F129="",$G129=""),"",IF(ISNUMBER(Sync!$AE129),MOD(Sync!$AE129,100),IFERROR(VALUE(TRIM(MID(MID(Sync!$AE129,FIND("/",Sync!$AE129)+1,20),FIND("/",MID(Sync!$AE129,FIND("/",Sync!$AE129)+1,20))+1,20))),"")))</f>
        <v/>
      </c>
      <c r="J129">
        <f>IF($F129="","",IF(OR($G129="",$H129="",$I129="",$G129&lt;1300,$G129&gt;1500,$H129&lt;1,$H129&gt;12,$I129&lt;1,$I129&gt;31),"نامعتبر",RIGHT("0000"&amp;$G129,4)&amp;"/"&amp;RIGHT("00"&amp;$H129,2)&amp;"/"&amp;RIGHT("00"&amp;$I129,2)))</f>
        <v/>
      </c>
      <c r="K129">
        <f>IF(OR($F129="",$J129="",$J129="نامعتبر"),"",LEFT($J129,4)&amp;MID($J129,6,2)&amp;RIGHT($J129,2)&amp;$N129&amp;"|"&amp;"2"&amp;RIGHT("00000"&amp;124,5))</f>
        <v/>
      </c>
      <c r="L129">
        <f>IF($K129="","",COUNTIFS(LdgSellerA,$F129,LdgKeyA,"&lt;"&amp;$K129)+COUNTIFS(LdgSellerB,$F129,LdgKeyB,"&lt;"&amp;$K129)+1)</f>
        <v/>
      </c>
      <c r="M129">
        <f>IF($L129="","",$F129&amp;"|"&amp;RIGHT("000000"&amp;$L129,6))</f>
        <v/>
      </c>
      <c r="N129">
        <f>IF($F129="","",IF(Sync!$AF129="","0000",IF(AND(ISNUMBER(Sync!$AF129),Sync!$AF129&gt;=0,Sync!$AF129&lt;1),RIGHT("00"&amp;HOUR(Sync!$AF129),2)&amp;RIGHT("00"&amp;MINUTE(Sync!$AF129),2),IFERROR(RIGHT("00"&amp;VALUE(LEFT(Sync!$AF129,FIND(":",Sync!$AF129)-1)),2)&amp;RIGHT("00"&amp;VALUE(MID(Sync!$AF129,FIND(":",Sync!$AF129)+1,2)),2),"0000"))))</f>
        <v/>
      </c>
    </row>
    <row r="130">
      <c r="A130">
        <f>IF(OR(Calc!$E134="",Calc!$E134="نامعتبر",Calc!$G134=""),"",Calc!$G134)</f>
        <v/>
      </c>
      <c r="B130">
        <f>IF($A130="","",LEFT(Calc!$E134,4)&amp;MID(Calc!$E134,6,2)&amp;RIGHT(Calc!$E134,2)&amp;Calc!$Q134&amp;"|"&amp;"1"&amp;RIGHT("00000"&amp;125,5))</f>
        <v/>
      </c>
      <c r="C130">
        <f>IF($B130="","",COUNTIFS(LdgSellerA,$A130,LdgKeyA,"&lt;"&amp;$B130)+COUNTIFS(LdgSellerB,$A130,LdgKeyB,"&lt;"&amp;$B130)+1)</f>
        <v/>
      </c>
      <c r="D130">
        <f>IF($C130="","",$A130&amp;"|"&amp;RIGHT("000000"&amp;$C130,6))</f>
        <v/>
      </c>
      <c r="F130">
        <f>IF(Sync!$AH130="","",IF(LEFT(UPPER(TRIM(Sync!$AH130)),2)="SL",UPPER(TRIM(Sync!$AH130)),""))</f>
        <v/>
      </c>
      <c r="G130">
        <f>IF($F130="","",IF(Sync!$AE130="","",IF(ISNUMBER(Sync!$AE130),IF(AND(Sync!$AE130&gt;=10000101,Sync!$AE130&lt;=99991231),INT(Sync!$AE130/10000),""),IFERROR(VALUE(TRIM(LEFT(Sync!$AE130,FIND("/",Sync!$AE130)-1))),""))))</f>
        <v/>
      </c>
      <c r="H130">
        <f>IF(OR($F130="",$G130=""),"",IF(ISNUMBER(Sync!$AE130),INT(MOD(Sync!$AE130,10000)/100),IFERROR(VALUE(TRIM(LEFT(MID(Sync!$AE130,FIND("/",Sync!$AE130)+1,20),FIND("/",MID(Sync!$AE130,FIND("/",Sync!$AE130)+1,20))-1))),"")))</f>
        <v/>
      </c>
      <c r="I130">
        <f>IF(OR($F130="",$G130=""),"",IF(ISNUMBER(Sync!$AE130),MOD(Sync!$AE130,100),IFERROR(VALUE(TRIM(MID(MID(Sync!$AE130,FIND("/",Sync!$AE130)+1,20),FIND("/",MID(Sync!$AE130,FIND("/",Sync!$AE130)+1,20))+1,20))),"")))</f>
        <v/>
      </c>
      <c r="J130">
        <f>IF($F130="","",IF(OR($G130="",$H130="",$I130="",$G130&lt;1300,$G130&gt;1500,$H130&lt;1,$H130&gt;12,$I130&lt;1,$I130&gt;31),"نامعتبر",RIGHT("0000"&amp;$G130,4)&amp;"/"&amp;RIGHT("00"&amp;$H130,2)&amp;"/"&amp;RIGHT("00"&amp;$I130,2)))</f>
        <v/>
      </c>
      <c r="K130">
        <f>IF(OR($F130="",$J130="",$J130="نامعتبر"),"",LEFT($J130,4)&amp;MID($J130,6,2)&amp;RIGHT($J130,2)&amp;$N130&amp;"|"&amp;"2"&amp;RIGHT("00000"&amp;125,5))</f>
        <v/>
      </c>
      <c r="L130">
        <f>IF($K130="","",COUNTIFS(LdgSellerA,$F130,LdgKeyA,"&lt;"&amp;$K130)+COUNTIFS(LdgSellerB,$F130,LdgKeyB,"&lt;"&amp;$K130)+1)</f>
        <v/>
      </c>
      <c r="M130">
        <f>IF($L130="","",$F130&amp;"|"&amp;RIGHT("000000"&amp;$L130,6))</f>
        <v/>
      </c>
      <c r="N130">
        <f>IF($F130="","",IF(Sync!$AF130="","0000",IF(AND(ISNUMBER(Sync!$AF130),Sync!$AF130&gt;=0,Sync!$AF130&lt;1),RIGHT("00"&amp;HOUR(Sync!$AF130),2)&amp;RIGHT("00"&amp;MINUTE(Sync!$AF130),2),IFERROR(RIGHT("00"&amp;VALUE(LEFT(Sync!$AF130,FIND(":",Sync!$AF130)-1)),2)&amp;RIGHT("00"&amp;VALUE(MID(Sync!$AF130,FIND(":",Sync!$AF130)+1,2)),2),"0000"))))</f>
        <v/>
      </c>
    </row>
    <row r="131">
      <c r="A131">
        <f>IF(OR(Calc!$E135="",Calc!$E135="نامعتبر",Calc!$G135=""),"",Calc!$G135)</f>
        <v/>
      </c>
      <c r="B131">
        <f>IF($A131="","",LEFT(Calc!$E135,4)&amp;MID(Calc!$E135,6,2)&amp;RIGHT(Calc!$E135,2)&amp;Calc!$Q135&amp;"|"&amp;"1"&amp;RIGHT("00000"&amp;126,5))</f>
        <v/>
      </c>
      <c r="C131">
        <f>IF($B131="","",COUNTIFS(LdgSellerA,$A131,LdgKeyA,"&lt;"&amp;$B131)+COUNTIFS(LdgSellerB,$A131,LdgKeyB,"&lt;"&amp;$B131)+1)</f>
        <v/>
      </c>
      <c r="D131">
        <f>IF($C131="","",$A131&amp;"|"&amp;RIGHT("000000"&amp;$C131,6))</f>
        <v/>
      </c>
      <c r="F131">
        <f>IF(Sync!$AH131="","",IF(LEFT(UPPER(TRIM(Sync!$AH131)),2)="SL",UPPER(TRIM(Sync!$AH131)),""))</f>
        <v/>
      </c>
      <c r="G131">
        <f>IF($F131="","",IF(Sync!$AE131="","",IF(ISNUMBER(Sync!$AE131),IF(AND(Sync!$AE131&gt;=10000101,Sync!$AE131&lt;=99991231),INT(Sync!$AE131/10000),""),IFERROR(VALUE(TRIM(LEFT(Sync!$AE131,FIND("/",Sync!$AE131)-1))),""))))</f>
        <v/>
      </c>
      <c r="H131">
        <f>IF(OR($F131="",$G131=""),"",IF(ISNUMBER(Sync!$AE131),INT(MOD(Sync!$AE131,10000)/100),IFERROR(VALUE(TRIM(LEFT(MID(Sync!$AE131,FIND("/",Sync!$AE131)+1,20),FIND("/",MID(Sync!$AE131,FIND("/",Sync!$AE131)+1,20))-1))),"")))</f>
        <v/>
      </c>
      <c r="I131">
        <f>IF(OR($F131="",$G131=""),"",IF(ISNUMBER(Sync!$AE131),MOD(Sync!$AE131,100),IFERROR(VALUE(TRIM(MID(MID(Sync!$AE131,FIND("/",Sync!$AE131)+1,20),FIND("/",MID(Sync!$AE131,FIND("/",Sync!$AE131)+1,20))+1,20))),"")))</f>
        <v/>
      </c>
      <c r="J131">
        <f>IF($F131="","",IF(OR($G131="",$H131="",$I131="",$G131&lt;1300,$G131&gt;1500,$H131&lt;1,$H131&gt;12,$I131&lt;1,$I131&gt;31),"نامعتبر",RIGHT("0000"&amp;$G131,4)&amp;"/"&amp;RIGHT("00"&amp;$H131,2)&amp;"/"&amp;RIGHT("00"&amp;$I131,2)))</f>
        <v/>
      </c>
      <c r="K131">
        <f>IF(OR($F131="",$J131="",$J131="نامعتبر"),"",LEFT($J131,4)&amp;MID($J131,6,2)&amp;RIGHT($J131,2)&amp;$N131&amp;"|"&amp;"2"&amp;RIGHT("00000"&amp;126,5))</f>
        <v/>
      </c>
      <c r="L131">
        <f>IF($K131="","",COUNTIFS(LdgSellerA,$F131,LdgKeyA,"&lt;"&amp;$K131)+COUNTIFS(LdgSellerB,$F131,LdgKeyB,"&lt;"&amp;$K131)+1)</f>
        <v/>
      </c>
      <c r="M131">
        <f>IF($L131="","",$F131&amp;"|"&amp;RIGHT("000000"&amp;$L131,6))</f>
        <v/>
      </c>
      <c r="N131">
        <f>IF($F131="","",IF(Sync!$AF131="","0000",IF(AND(ISNUMBER(Sync!$AF131),Sync!$AF131&gt;=0,Sync!$AF131&lt;1),RIGHT("00"&amp;HOUR(Sync!$AF131),2)&amp;RIGHT("00"&amp;MINUTE(Sync!$AF131),2),IFERROR(RIGHT("00"&amp;VALUE(LEFT(Sync!$AF131,FIND(":",Sync!$AF131)-1)),2)&amp;RIGHT("00"&amp;VALUE(MID(Sync!$AF131,FIND(":",Sync!$AF131)+1,2)),2),"0000"))))</f>
        <v/>
      </c>
    </row>
    <row r="132">
      <c r="A132">
        <f>IF(OR(Calc!$E136="",Calc!$E136="نامعتبر",Calc!$G136=""),"",Calc!$G136)</f>
        <v/>
      </c>
      <c r="B132">
        <f>IF($A132="","",LEFT(Calc!$E136,4)&amp;MID(Calc!$E136,6,2)&amp;RIGHT(Calc!$E136,2)&amp;Calc!$Q136&amp;"|"&amp;"1"&amp;RIGHT("00000"&amp;127,5))</f>
        <v/>
      </c>
      <c r="C132">
        <f>IF($B132="","",COUNTIFS(LdgSellerA,$A132,LdgKeyA,"&lt;"&amp;$B132)+COUNTIFS(LdgSellerB,$A132,LdgKeyB,"&lt;"&amp;$B132)+1)</f>
        <v/>
      </c>
      <c r="D132">
        <f>IF($C132="","",$A132&amp;"|"&amp;RIGHT("000000"&amp;$C132,6))</f>
        <v/>
      </c>
      <c r="F132">
        <f>IF(Sync!$AH132="","",IF(LEFT(UPPER(TRIM(Sync!$AH132)),2)="SL",UPPER(TRIM(Sync!$AH132)),""))</f>
        <v/>
      </c>
      <c r="G132">
        <f>IF($F132="","",IF(Sync!$AE132="","",IF(ISNUMBER(Sync!$AE132),IF(AND(Sync!$AE132&gt;=10000101,Sync!$AE132&lt;=99991231),INT(Sync!$AE132/10000),""),IFERROR(VALUE(TRIM(LEFT(Sync!$AE132,FIND("/",Sync!$AE132)-1))),""))))</f>
        <v/>
      </c>
      <c r="H132">
        <f>IF(OR($F132="",$G132=""),"",IF(ISNUMBER(Sync!$AE132),INT(MOD(Sync!$AE132,10000)/100),IFERROR(VALUE(TRIM(LEFT(MID(Sync!$AE132,FIND("/",Sync!$AE132)+1,20),FIND("/",MID(Sync!$AE132,FIND("/",Sync!$AE132)+1,20))-1))),"")))</f>
        <v/>
      </c>
      <c r="I132">
        <f>IF(OR($F132="",$G132=""),"",IF(ISNUMBER(Sync!$AE132),MOD(Sync!$AE132,100),IFERROR(VALUE(TRIM(MID(MID(Sync!$AE132,FIND("/",Sync!$AE132)+1,20),FIND("/",MID(Sync!$AE132,FIND("/",Sync!$AE132)+1,20))+1,20))),"")))</f>
        <v/>
      </c>
      <c r="J132">
        <f>IF($F132="","",IF(OR($G132="",$H132="",$I132="",$G132&lt;1300,$G132&gt;1500,$H132&lt;1,$H132&gt;12,$I132&lt;1,$I132&gt;31),"نامعتبر",RIGHT("0000"&amp;$G132,4)&amp;"/"&amp;RIGHT("00"&amp;$H132,2)&amp;"/"&amp;RIGHT("00"&amp;$I132,2)))</f>
        <v/>
      </c>
      <c r="K132">
        <f>IF(OR($F132="",$J132="",$J132="نامعتبر"),"",LEFT($J132,4)&amp;MID($J132,6,2)&amp;RIGHT($J132,2)&amp;$N132&amp;"|"&amp;"2"&amp;RIGHT("00000"&amp;127,5))</f>
        <v/>
      </c>
      <c r="L132">
        <f>IF($K132="","",COUNTIFS(LdgSellerA,$F132,LdgKeyA,"&lt;"&amp;$K132)+COUNTIFS(LdgSellerB,$F132,LdgKeyB,"&lt;"&amp;$K132)+1)</f>
        <v/>
      </c>
      <c r="M132">
        <f>IF($L132="","",$F132&amp;"|"&amp;RIGHT("000000"&amp;$L132,6))</f>
        <v/>
      </c>
      <c r="N132">
        <f>IF($F132="","",IF(Sync!$AF132="","0000",IF(AND(ISNUMBER(Sync!$AF132),Sync!$AF132&gt;=0,Sync!$AF132&lt;1),RIGHT("00"&amp;HOUR(Sync!$AF132),2)&amp;RIGHT("00"&amp;MINUTE(Sync!$AF132),2),IFERROR(RIGHT("00"&amp;VALUE(LEFT(Sync!$AF132,FIND(":",Sync!$AF132)-1)),2)&amp;RIGHT("00"&amp;VALUE(MID(Sync!$AF132,FIND(":",Sync!$AF132)+1,2)),2),"0000"))))</f>
        <v/>
      </c>
    </row>
    <row r="133">
      <c r="A133">
        <f>IF(OR(Calc!$E137="",Calc!$E137="نامعتبر",Calc!$G137=""),"",Calc!$G137)</f>
        <v/>
      </c>
      <c r="B133">
        <f>IF($A133="","",LEFT(Calc!$E137,4)&amp;MID(Calc!$E137,6,2)&amp;RIGHT(Calc!$E137,2)&amp;Calc!$Q137&amp;"|"&amp;"1"&amp;RIGHT("00000"&amp;128,5))</f>
        <v/>
      </c>
      <c r="C133">
        <f>IF($B133="","",COUNTIFS(LdgSellerA,$A133,LdgKeyA,"&lt;"&amp;$B133)+COUNTIFS(LdgSellerB,$A133,LdgKeyB,"&lt;"&amp;$B133)+1)</f>
        <v/>
      </c>
      <c r="D133">
        <f>IF($C133="","",$A133&amp;"|"&amp;RIGHT("000000"&amp;$C133,6))</f>
        <v/>
      </c>
      <c r="F133">
        <f>IF(Sync!$AH133="","",IF(LEFT(UPPER(TRIM(Sync!$AH133)),2)="SL",UPPER(TRIM(Sync!$AH133)),""))</f>
        <v/>
      </c>
      <c r="G133">
        <f>IF($F133="","",IF(Sync!$AE133="","",IF(ISNUMBER(Sync!$AE133),IF(AND(Sync!$AE133&gt;=10000101,Sync!$AE133&lt;=99991231),INT(Sync!$AE133/10000),""),IFERROR(VALUE(TRIM(LEFT(Sync!$AE133,FIND("/",Sync!$AE133)-1))),""))))</f>
        <v/>
      </c>
      <c r="H133">
        <f>IF(OR($F133="",$G133=""),"",IF(ISNUMBER(Sync!$AE133),INT(MOD(Sync!$AE133,10000)/100),IFERROR(VALUE(TRIM(LEFT(MID(Sync!$AE133,FIND("/",Sync!$AE133)+1,20),FIND("/",MID(Sync!$AE133,FIND("/",Sync!$AE133)+1,20))-1))),"")))</f>
        <v/>
      </c>
      <c r="I133">
        <f>IF(OR($F133="",$G133=""),"",IF(ISNUMBER(Sync!$AE133),MOD(Sync!$AE133,100),IFERROR(VALUE(TRIM(MID(MID(Sync!$AE133,FIND("/",Sync!$AE133)+1,20),FIND("/",MID(Sync!$AE133,FIND("/",Sync!$AE133)+1,20))+1,20))),"")))</f>
        <v/>
      </c>
      <c r="J133">
        <f>IF($F133="","",IF(OR($G133="",$H133="",$I133="",$G133&lt;1300,$G133&gt;1500,$H133&lt;1,$H133&gt;12,$I133&lt;1,$I133&gt;31),"نامعتبر",RIGHT("0000"&amp;$G133,4)&amp;"/"&amp;RIGHT("00"&amp;$H133,2)&amp;"/"&amp;RIGHT("00"&amp;$I133,2)))</f>
        <v/>
      </c>
      <c r="K133">
        <f>IF(OR($F133="",$J133="",$J133="نامعتبر"),"",LEFT($J133,4)&amp;MID($J133,6,2)&amp;RIGHT($J133,2)&amp;$N133&amp;"|"&amp;"2"&amp;RIGHT("00000"&amp;128,5))</f>
        <v/>
      </c>
      <c r="L133">
        <f>IF($K133="","",COUNTIFS(LdgSellerA,$F133,LdgKeyA,"&lt;"&amp;$K133)+COUNTIFS(LdgSellerB,$F133,LdgKeyB,"&lt;"&amp;$K133)+1)</f>
        <v/>
      </c>
      <c r="M133">
        <f>IF($L133="","",$F133&amp;"|"&amp;RIGHT("000000"&amp;$L133,6))</f>
        <v/>
      </c>
      <c r="N133">
        <f>IF($F133="","",IF(Sync!$AF133="","0000",IF(AND(ISNUMBER(Sync!$AF133),Sync!$AF133&gt;=0,Sync!$AF133&lt;1),RIGHT("00"&amp;HOUR(Sync!$AF133),2)&amp;RIGHT("00"&amp;MINUTE(Sync!$AF133),2),IFERROR(RIGHT("00"&amp;VALUE(LEFT(Sync!$AF133,FIND(":",Sync!$AF133)-1)),2)&amp;RIGHT("00"&amp;VALUE(MID(Sync!$AF133,FIND(":",Sync!$AF133)+1,2)),2),"0000"))))</f>
        <v/>
      </c>
    </row>
    <row r="134">
      <c r="A134">
        <f>IF(OR(Calc!$E138="",Calc!$E138="نامعتبر",Calc!$G138=""),"",Calc!$G138)</f>
        <v/>
      </c>
      <c r="B134">
        <f>IF($A134="","",LEFT(Calc!$E138,4)&amp;MID(Calc!$E138,6,2)&amp;RIGHT(Calc!$E138,2)&amp;Calc!$Q138&amp;"|"&amp;"1"&amp;RIGHT("00000"&amp;129,5))</f>
        <v/>
      </c>
      <c r="C134">
        <f>IF($B134="","",COUNTIFS(LdgSellerA,$A134,LdgKeyA,"&lt;"&amp;$B134)+COUNTIFS(LdgSellerB,$A134,LdgKeyB,"&lt;"&amp;$B134)+1)</f>
        <v/>
      </c>
      <c r="D134">
        <f>IF($C134="","",$A134&amp;"|"&amp;RIGHT("000000"&amp;$C134,6))</f>
        <v/>
      </c>
      <c r="F134">
        <f>IF(Sync!$AH134="","",IF(LEFT(UPPER(TRIM(Sync!$AH134)),2)="SL",UPPER(TRIM(Sync!$AH134)),""))</f>
        <v/>
      </c>
      <c r="G134">
        <f>IF($F134="","",IF(Sync!$AE134="","",IF(ISNUMBER(Sync!$AE134),IF(AND(Sync!$AE134&gt;=10000101,Sync!$AE134&lt;=99991231),INT(Sync!$AE134/10000),""),IFERROR(VALUE(TRIM(LEFT(Sync!$AE134,FIND("/",Sync!$AE134)-1))),""))))</f>
        <v/>
      </c>
      <c r="H134">
        <f>IF(OR($F134="",$G134=""),"",IF(ISNUMBER(Sync!$AE134),INT(MOD(Sync!$AE134,10000)/100),IFERROR(VALUE(TRIM(LEFT(MID(Sync!$AE134,FIND("/",Sync!$AE134)+1,20),FIND("/",MID(Sync!$AE134,FIND("/",Sync!$AE134)+1,20))-1))),"")))</f>
        <v/>
      </c>
      <c r="I134">
        <f>IF(OR($F134="",$G134=""),"",IF(ISNUMBER(Sync!$AE134),MOD(Sync!$AE134,100),IFERROR(VALUE(TRIM(MID(MID(Sync!$AE134,FIND("/",Sync!$AE134)+1,20),FIND("/",MID(Sync!$AE134,FIND("/",Sync!$AE134)+1,20))+1,20))),"")))</f>
        <v/>
      </c>
      <c r="J134">
        <f>IF($F134="","",IF(OR($G134="",$H134="",$I134="",$G134&lt;1300,$G134&gt;1500,$H134&lt;1,$H134&gt;12,$I134&lt;1,$I134&gt;31),"نامعتبر",RIGHT("0000"&amp;$G134,4)&amp;"/"&amp;RIGHT("00"&amp;$H134,2)&amp;"/"&amp;RIGHT("00"&amp;$I134,2)))</f>
        <v/>
      </c>
      <c r="K134">
        <f>IF(OR($F134="",$J134="",$J134="نامعتبر"),"",LEFT($J134,4)&amp;MID($J134,6,2)&amp;RIGHT($J134,2)&amp;$N134&amp;"|"&amp;"2"&amp;RIGHT("00000"&amp;129,5))</f>
        <v/>
      </c>
      <c r="L134">
        <f>IF($K134="","",COUNTIFS(LdgSellerA,$F134,LdgKeyA,"&lt;"&amp;$K134)+COUNTIFS(LdgSellerB,$F134,LdgKeyB,"&lt;"&amp;$K134)+1)</f>
        <v/>
      </c>
      <c r="M134">
        <f>IF($L134="","",$F134&amp;"|"&amp;RIGHT("000000"&amp;$L134,6))</f>
        <v/>
      </c>
      <c r="N134">
        <f>IF($F134="","",IF(Sync!$AF134="","0000",IF(AND(ISNUMBER(Sync!$AF134),Sync!$AF134&gt;=0,Sync!$AF134&lt;1),RIGHT("00"&amp;HOUR(Sync!$AF134),2)&amp;RIGHT("00"&amp;MINUTE(Sync!$AF134),2),IFERROR(RIGHT("00"&amp;VALUE(LEFT(Sync!$AF134,FIND(":",Sync!$AF134)-1)),2)&amp;RIGHT("00"&amp;VALUE(MID(Sync!$AF134,FIND(":",Sync!$AF134)+1,2)),2),"0000"))))</f>
        <v/>
      </c>
    </row>
    <row r="135">
      <c r="A135">
        <f>IF(OR(Calc!$E139="",Calc!$E139="نامعتبر",Calc!$G139=""),"",Calc!$G139)</f>
        <v/>
      </c>
      <c r="B135">
        <f>IF($A135="","",LEFT(Calc!$E139,4)&amp;MID(Calc!$E139,6,2)&amp;RIGHT(Calc!$E139,2)&amp;Calc!$Q139&amp;"|"&amp;"1"&amp;RIGHT("00000"&amp;130,5))</f>
        <v/>
      </c>
      <c r="C135">
        <f>IF($B135="","",COUNTIFS(LdgSellerA,$A135,LdgKeyA,"&lt;"&amp;$B135)+COUNTIFS(LdgSellerB,$A135,LdgKeyB,"&lt;"&amp;$B135)+1)</f>
        <v/>
      </c>
      <c r="D135">
        <f>IF($C135="","",$A135&amp;"|"&amp;RIGHT("000000"&amp;$C135,6))</f>
        <v/>
      </c>
      <c r="F135">
        <f>IF(Sync!$AH135="","",IF(LEFT(UPPER(TRIM(Sync!$AH135)),2)="SL",UPPER(TRIM(Sync!$AH135)),""))</f>
        <v/>
      </c>
      <c r="G135">
        <f>IF($F135="","",IF(Sync!$AE135="","",IF(ISNUMBER(Sync!$AE135),IF(AND(Sync!$AE135&gt;=10000101,Sync!$AE135&lt;=99991231),INT(Sync!$AE135/10000),""),IFERROR(VALUE(TRIM(LEFT(Sync!$AE135,FIND("/",Sync!$AE135)-1))),""))))</f>
        <v/>
      </c>
      <c r="H135">
        <f>IF(OR($F135="",$G135=""),"",IF(ISNUMBER(Sync!$AE135),INT(MOD(Sync!$AE135,10000)/100),IFERROR(VALUE(TRIM(LEFT(MID(Sync!$AE135,FIND("/",Sync!$AE135)+1,20),FIND("/",MID(Sync!$AE135,FIND("/",Sync!$AE135)+1,20))-1))),"")))</f>
        <v/>
      </c>
      <c r="I135">
        <f>IF(OR($F135="",$G135=""),"",IF(ISNUMBER(Sync!$AE135),MOD(Sync!$AE135,100),IFERROR(VALUE(TRIM(MID(MID(Sync!$AE135,FIND("/",Sync!$AE135)+1,20),FIND("/",MID(Sync!$AE135,FIND("/",Sync!$AE135)+1,20))+1,20))),"")))</f>
        <v/>
      </c>
      <c r="J135">
        <f>IF($F135="","",IF(OR($G135="",$H135="",$I135="",$G135&lt;1300,$G135&gt;1500,$H135&lt;1,$H135&gt;12,$I135&lt;1,$I135&gt;31),"نامعتبر",RIGHT("0000"&amp;$G135,4)&amp;"/"&amp;RIGHT("00"&amp;$H135,2)&amp;"/"&amp;RIGHT("00"&amp;$I135,2)))</f>
        <v/>
      </c>
      <c r="K135">
        <f>IF(OR($F135="",$J135="",$J135="نامعتبر"),"",LEFT($J135,4)&amp;MID($J135,6,2)&amp;RIGHT($J135,2)&amp;$N135&amp;"|"&amp;"2"&amp;RIGHT("00000"&amp;130,5))</f>
        <v/>
      </c>
      <c r="L135">
        <f>IF($K135="","",COUNTIFS(LdgSellerA,$F135,LdgKeyA,"&lt;"&amp;$K135)+COUNTIFS(LdgSellerB,$F135,LdgKeyB,"&lt;"&amp;$K135)+1)</f>
        <v/>
      </c>
      <c r="M135">
        <f>IF($L135="","",$F135&amp;"|"&amp;RIGHT("000000"&amp;$L135,6))</f>
        <v/>
      </c>
      <c r="N135">
        <f>IF($F135="","",IF(Sync!$AF135="","0000",IF(AND(ISNUMBER(Sync!$AF135),Sync!$AF135&gt;=0,Sync!$AF135&lt;1),RIGHT("00"&amp;HOUR(Sync!$AF135),2)&amp;RIGHT("00"&amp;MINUTE(Sync!$AF135),2),IFERROR(RIGHT("00"&amp;VALUE(LEFT(Sync!$AF135,FIND(":",Sync!$AF135)-1)),2)&amp;RIGHT("00"&amp;VALUE(MID(Sync!$AF135,FIND(":",Sync!$AF135)+1,2)),2),"0000"))))</f>
        <v/>
      </c>
    </row>
    <row r="136">
      <c r="A136">
        <f>IF(OR(Calc!$E140="",Calc!$E140="نامعتبر",Calc!$G140=""),"",Calc!$G140)</f>
        <v/>
      </c>
      <c r="B136">
        <f>IF($A136="","",LEFT(Calc!$E140,4)&amp;MID(Calc!$E140,6,2)&amp;RIGHT(Calc!$E140,2)&amp;Calc!$Q140&amp;"|"&amp;"1"&amp;RIGHT("00000"&amp;131,5))</f>
        <v/>
      </c>
      <c r="C136">
        <f>IF($B136="","",COUNTIFS(LdgSellerA,$A136,LdgKeyA,"&lt;"&amp;$B136)+COUNTIFS(LdgSellerB,$A136,LdgKeyB,"&lt;"&amp;$B136)+1)</f>
        <v/>
      </c>
      <c r="D136">
        <f>IF($C136="","",$A136&amp;"|"&amp;RIGHT("000000"&amp;$C136,6))</f>
        <v/>
      </c>
      <c r="F136">
        <f>IF(Sync!$AH136="","",IF(LEFT(UPPER(TRIM(Sync!$AH136)),2)="SL",UPPER(TRIM(Sync!$AH136)),""))</f>
        <v/>
      </c>
      <c r="G136">
        <f>IF($F136="","",IF(Sync!$AE136="","",IF(ISNUMBER(Sync!$AE136),IF(AND(Sync!$AE136&gt;=10000101,Sync!$AE136&lt;=99991231),INT(Sync!$AE136/10000),""),IFERROR(VALUE(TRIM(LEFT(Sync!$AE136,FIND("/",Sync!$AE136)-1))),""))))</f>
        <v/>
      </c>
      <c r="H136">
        <f>IF(OR($F136="",$G136=""),"",IF(ISNUMBER(Sync!$AE136),INT(MOD(Sync!$AE136,10000)/100),IFERROR(VALUE(TRIM(LEFT(MID(Sync!$AE136,FIND("/",Sync!$AE136)+1,20),FIND("/",MID(Sync!$AE136,FIND("/",Sync!$AE136)+1,20))-1))),"")))</f>
        <v/>
      </c>
      <c r="I136">
        <f>IF(OR($F136="",$G136=""),"",IF(ISNUMBER(Sync!$AE136),MOD(Sync!$AE136,100),IFERROR(VALUE(TRIM(MID(MID(Sync!$AE136,FIND("/",Sync!$AE136)+1,20),FIND("/",MID(Sync!$AE136,FIND("/",Sync!$AE136)+1,20))+1,20))),"")))</f>
        <v/>
      </c>
      <c r="J136">
        <f>IF($F136="","",IF(OR($G136="",$H136="",$I136="",$G136&lt;1300,$G136&gt;1500,$H136&lt;1,$H136&gt;12,$I136&lt;1,$I136&gt;31),"نامعتبر",RIGHT("0000"&amp;$G136,4)&amp;"/"&amp;RIGHT("00"&amp;$H136,2)&amp;"/"&amp;RIGHT("00"&amp;$I136,2)))</f>
        <v/>
      </c>
      <c r="K136">
        <f>IF(OR($F136="",$J136="",$J136="نامعتبر"),"",LEFT($J136,4)&amp;MID($J136,6,2)&amp;RIGHT($J136,2)&amp;$N136&amp;"|"&amp;"2"&amp;RIGHT("00000"&amp;131,5))</f>
        <v/>
      </c>
      <c r="L136">
        <f>IF($K136="","",COUNTIFS(LdgSellerA,$F136,LdgKeyA,"&lt;"&amp;$K136)+COUNTIFS(LdgSellerB,$F136,LdgKeyB,"&lt;"&amp;$K136)+1)</f>
        <v/>
      </c>
      <c r="M136">
        <f>IF($L136="","",$F136&amp;"|"&amp;RIGHT("000000"&amp;$L136,6))</f>
        <v/>
      </c>
      <c r="N136">
        <f>IF($F136="","",IF(Sync!$AF136="","0000",IF(AND(ISNUMBER(Sync!$AF136),Sync!$AF136&gt;=0,Sync!$AF136&lt;1),RIGHT("00"&amp;HOUR(Sync!$AF136),2)&amp;RIGHT("00"&amp;MINUTE(Sync!$AF136),2),IFERROR(RIGHT("00"&amp;VALUE(LEFT(Sync!$AF136,FIND(":",Sync!$AF136)-1)),2)&amp;RIGHT("00"&amp;VALUE(MID(Sync!$AF136,FIND(":",Sync!$AF136)+1,2)),2),"0000"))))</f>
        <v/>
      </c>
    </row>
    <row r="137">
      <c r="A137">
        <f>IF(OR(Calc!$E141="",Calc!$E141="نامعتبر",Calc!$G141=""),"",Calc!$G141)</f>
        <v/>
      </c>
      <c r="B137">
        <f>IF($A137="","",LEFT(Calc!$E141,4)&amp;MID(Calc!$E141,6,2)&amp;RIGHT(Calc!$E141,2)&amp;Calc!$Q141&amp;"|"&amp;"1"&amp;RIGHT("00000"&amp;132,5))</f>
        <v/>
      </c>
      <c r="C137">
        <f>IF($B137="","",COUNTIFS(LdgSellerA,$A137,LdgKeyA,"&lt;"&amp;$B137)+COUNTIFS(LdgSellerB,$A137,LdgKeyB,"&lt;"&amp;$B137)+1)</f>
        <v/>
      </c>
      <c r="D137">
        <f>IF($C137="","",$A137&amp;"|"&amp;RIGHT("000000"&amp;$C137,6))</f>
        <v/>
      </c>
      <c r="F137">
        <f>IF(Sync!$AH137="","",IF(LEFT(UPPER(TRIM(Sync!$AH137)),2)="SL",UPPER(TRIM(Sync!$AH137)),""))</f>
        <v/>
      </c>
      <c r="G137">
        <f>IF($F137="","",IF(Sync!$AE137="","",IF(ISNUMBER(Sync!$AE137),IF(AND(Sync!$AE137&gt;=10000101,Sync!$AE137&lt;=99991231),INT(Sync!$AE137/10000),""),IFERROR(VALUE(TRIM(LEFT(Sync!$AE137,FIND("/",Sync!$AE137)-1))),""))))</f>
        <v/>
      </c>
      <c r="H137">
        <f>IF(OR($F137="",$G137=""),"",IF(ISNUMBER(Sync!$AE137),INT(MOD(Sync!$AE137,10000)/100),IFERROR(VALUE(TRIM(LEFT(MID(Sync!$AE137,FIND("/",Sync!$AE137)+1,20),FIND("/",MID(Sync!$AE137,FIND("/",Sync!$AE137)+1,20))-1))),"")))</f>
        <v/>
      </c>
      <c r="I137">
        <f>IF(OR($F137="",$G137=""),"",IF(ISNUMBER(Sync!$AE137),MOD(Sync!$AE137,100),IFERROR(VALUE(TRIM(MID(MID(Sync!$AE137,FIND("/",Sync!$AE137)+1,20),FIND("/",MID(Sync!$AE137,FIND("/",Sync!$AE137)+1,20))+1,20))),"")))</f>
        <v/>
      </c>
      <c r="J137">
        <f>IF($F137="","",IF(OR($G137="",$H137="",$I137="",$G137&lt;1300,$G137&gt;1500,$H137&lt;1,$H137&gt;12,$I137&lt;1,$I137&gt;31),"نامعتبر",RIGHT("0000"&amp;$G137,4)&amp;"/"&amp;RIGHT("00"&amp;$H137,2)&amp;"/"&amp;RIGHT("00"&amp;$I137,2)))</f>
        <v/>
      </c>
      <c r="K137">
        <f>IF(OR($F137="",$J137="",$J137="نامعتبر"),"",LEFT($J137,4)&amp;MID($J137,6,2)&amp;RIGHT($J137,2)&amp;$N137&amp;"|"&amp;"2"&amp;RIGHT("00000"&amp;132,5))</f>
        <v/>
      </c>
      <c r="L137">
        <f>IF($K137="","",COUNTIFS(LdgSellerA,$F137,LdgKeyA,"&lt;"&amp;$K137)+COUNTIFS(LdgSellerB,$F137,LdgKeyB,"&lt;"&amp;$K137)+1)</f>
        <v/>
      </c>
      <c r="M137">
        <f>IF($L137="","",$F137&amp;"|"&amp;RIGHT("000000"&amp;$L137,6))</f>
        <v/>
      </c>
      <c r="N137">
        <f>IF($F137="","",IF(Sync!$AF137="","0000",IF(AND(ISNUMBER(Sync!$AF137),Sync!$AF137&gt;=0,Sync!$AF137&lt;1),RIGHT("00"&amp;HOUR(Sync!$AF137),2)&amp;RIGHT("00"&amp;MINUTE(Sync!$AF137),2),IFERROR(RIGHT("00"&amp;VALUE(LEFT(Sync!$AF137,FIND(":",Sync!$AF137)-1)),2)&amp;RIGHT("00"&amp;VALUE(MID(Sync!$AF137,FIND(":",Sync!$AF137)+1,2)),2),"0000"))))</f>
        <v/>
      </c>
    </row>
    <row r="138">
      <c r="A138">
        <f>IF(OR(Calc!$E142="",Calc!$E142="نامعتبر",Calc!$G142=""),"",Calc!$G142)</f>
        <v/>
      </c>
      <c r="B138">
        <f>IF($A138="","",LEFT(Calc!$E142,4)&amp;MID(Calc!$E142,6,2)&amp;RIGHT(Calc!$E142,2)&amp;Calc!$Q142&amp;"|"&amp;"1"&amp;RIGHT("00000"&amp;133,5))</f>
        <v/>
      </c>
      <c r="C138">
        <f>IF($B138="","",COUNTIFS(LdgSellerA,$A138,LdgKeyA,"&lt;"&amp;$B138)+COUNTIFS(LdgSellerB,$A138,LdgKeyB,"&lt;"&amp;$B138)+1)</f>
        <v/>
      </c>
      <c r="D138">
        <f>IF($C138="","",$A138&amp;"|"&amp;RIGHT("000000"&amp;$C138,6))</f>
        <v/>
      </c>
      <c r="F138">
        <f>IF(Sync!$AH138="","",IF(LEFT(UPPER(TRIM(Sync!$AH138)),2)="SL",UPPER(TRIM(Sync!$AH138)),""))</f>
        <v/>
      </c>
      <c r="G138">
        <f>IF($F138="","",IF(Sync!$AE138="","",IF(ISNUMBER(Sync!$AE138),IF(AND(Sync!$AE138&gt;=10000101,Sync!$AE138&lt;=99991231),INT(Sync!$AE138/10000),""),IFERROR(VALUE(TRIM(LEFT(Sync!$AE138,FIND("/",Sync!$AE138)-1))),""))))</f>
        <v/>
      </c>
      <c r="H138">
        <f>IF(OR($F138="",$G138=""),"",IF(ISNUMBER(Sync!$AE138),INT(MOD(Sync!$AE138,10000)/100),IFERROR(VALUE(TRIM(LEFT(MID(Sync!$AE138,FIND("/",Sync!$AE138)+1,20),FIND("/",MID(Sync!$AE138,FIND("/",Sync!$AE138)+1,20))-1))),"")))</f>
        <v/>
      </c>
      <c r="I138">
        <f>IF(OR($F138="",$G138=""),"",IF(ISNUMBER(Sync!$AE138),MOD(Sync!$AE138,100),IFERROR(VALUE(TRIM(MID(MID(Sync!$AE138,FIND("/",Sync!$AE138)+1,20),FIND("/",MID(Sync!$AE138,FIND("/",Sync!$AE138)+1,20))+1,20))),"")))</f>
        <v/>
      </c>
      <c r="J138">
        <f>IF($F138="","",IF(OR($G138="",$H138="",$I138="",$G138&lt;1300,$G138&gt;1500,$H138&lt;1,$H138&gt;12,$I138&lt;1,$I138&gt;31),"نامعتبر",RIGHT("0000"&amp;$G138,4)&amp;"/"&amp;RIGHT("00"&amp;$H138,2)&amp;"/"&amp;RIGHT("00"&amp;$I138,2)))</f>
        <v/>
      </c>
      <c r="K138">
        <f>IF(OR($F138="",$J138="",$J138="نامعتبر"),"",LEFT($J138,4)&amp;MID($J138,6,2)&amp;RIGHT($J138,2)&amp;$N138&amp;"|"&amp;"2"&amp;RIGHT("00000"&amp;133,5))</f>
        <v/>
      </c>
      <c r="L138">
        <f>IF($K138="","",COUNTIFS(LdgSellerA,$F138,LdgKeyA,"&lt;"&amp;$K138)+COUNTIFS(LdgSellerB,$F138,LdgKeyB,"&lt;"&amp;$K138)+1)</f>
        <v/>
      </c>
      <c r="M138">
        <f>IF($L138="","",$F138&amp;"|"&amp;RIGHT("000000"&amp;$L138,6))</f>
        <v/>
      </c>
      <c r="N138">
        <f>IF($F138="","",IF(Sync!$AF138="","0000",IF(AND(ISNUMBER(Sync!$AF138),Sync!$AF138&gt;=0,Sync!$AF138&lt;1),RIGHT("00"&amp;HOUR(Sync!$AF138),2)&amp;RIGHT("00"&amp;MINUTE(Sync!$AF138),2),IFERROR(RIGHT("00"&amp;VALUE(LEFT(Sync!$AF138,FIND(":",Sync!$AF138)-1)),2)&amp;RIGHT("00"&amp;VALUE(MID(Sync!$AF138,FIND(":",Sync!$AF138)+1,2)),2),"0000"))))</f>
        <v/>
      </c>
    </row>
    <row r="139">
      <c r="A139">
        <f>IF(OR(Calc!$E143="",Calc!$E143="نامعتبر",Calc!$G143=""),"",Calc!$G143)</f>
        <v/>
      </c>
      <c r="B139">
        <f>IF($A139="","",LEFT(Calc!$E143,4)&amp;MID(Calc!$E143,6,2)&amp;RIGHT(Calc!$E143,2)&amp;Calc!$Q143&amp;"|"&amp;"1"&amp;RIGHT("00000"&amp;134,5))</f>
        <v/>
      </c>
      <c r="C139">
        <f>IF($B139="","",COUNTIFS(LdgSellerA,$A139,LdgKeyA,"&lt;"&amp;$B139)+COUNTIFS(LdgSellerB,$A139,LdgKeyB,"&lt;"&amp;$B139)+1)</f>
        <v/>
      </c>
      <c r="D139">
        <f>IF($C139="","",$A139&amp;"|"&amp;RIGHT("000000"&amp;$C139,6))</f>
        <v/>
      </c>
      <c r="F139">
        <f>IF(Sync!$AH139="","",IF(LEFT(UPPER(TRIM(Sync!$AH139)),2)="SL",UPPER(TRIM(Sync!$AH139)),""))</f>
        <v/>
      </c>
      <c r="G139">
        <f>IF($F139="","",IF(Sync!$AE139="","",IF(ISNUMBER(Sync!$AE139),IF(AND(Sync!$AE139&gt;=10000101,Sync!$AE139&lt;=99991231),INT(Sync!$AE139/10000),""),IFERROR(VALUE(TRIM(LEFT(Sync!$AE139,FIND("/",Sync!$AE139)-1))),""))))</f>
        <v/>
      </c>
      <c r="H139">
        <f>IF(OR($F139="",$G139=""),"",IF(ISNUMBER(Sync!$AE139),INT(MOD(Sync!$AE139,10000)/100),IFERROR(VALUE(TRIM(LEFT(MID(Sync!$AE139,FIND("/",Sync!$AE139)+1,20),FIND("/",MID(Sync!$AE139,FIND("/",Sync!$AE139)+1,20))-1))),"")))</f>
        <v/>
      </c>
      <c r="I139">
        <f>IF(OR($F139="",$G139=""),"",IF(ISNUMBER(Sync!$AE139),MOD(Sync!$AE139,100),IFERROR(VALUE(TRIM(MID(MID(Sync!$AE139,FIND("/",Sync!$AE139)+1,20),FIND("/",MID(Sync!$AE139,FIND("/",Sync!$AE139)+1,20))+1,20))),"")))</f>
        <v/>
      </c>
      <c r="J139">
        <f>IF($F139="","",IF(OR($G139="",$H139="",$I139="",$G139&lt;1300,$G139&gt;1500,$H139&lt;1,$H139&gt;12,$I139&lt;1,$I139&gt;31),"نامعتبر",RIGHT("0000"&amp;$G139,4)&amp;"/"&amp;RIGHT("00"&amp;$H139,2)&amp;"/"&amp;RIGHT("00"&amp;$I139,2)))</f>
        <v/>
      </c>
      <c r="K139">
        <f>IF(OR($F139="",$J139="",$J139="نامعتبر"),"",LEFT($J139,4)&amp;MID($J139,6,2)&amp;RIGHT($J139,2)&amp;$N139&amp;"|"&amp;"2"&amp;RIGHT("00000"&amp;134,5))</f>
        <v/>
      </c>
      <c r="L139">
        <f>IF($K139="","",COUNTIFS(LdgSellerA,$F139,LdgKeyA,"&lt;"&amp;$K139)+COUNTIFS(LdgSellerB,$F139,LdgKeyB,"&lt;"&amp;$K139)+1)</f>
        <v/>
      </c>
      <c r="M139">
        <f>IF($L139="","",$F139&amp;"|"&amp;RIGHT("000000"&amp;$L139,6))</f>
        <v/>
      </c>
      <c r="N139">
        <f>IF($F139="","",IF(Sync!$AF139="","0000",IF(AND(ISNUMBER(Sync!$AF139),Sync!$AF139&gt;=0,Sync!$AF139&lt;1),RIGHT("00"&amp;HOUR(Sync!$AF139),2)&amp;RIGHT("00"&amp;MINUTE(Sync!$AF139),2),IFERROR(RIGHT("00"&amp;VALUE(LEFT(Sync!$AF139,FIND(":",Sync!$AF139)-1)),2)&amp;RIGHT("00"&amp;VALUE(MID(Sync!$AF139,FIND(":",Sync!$AF139)+1,2)),2),"0000"))))</f>
        <v/>
      </c>
    </row>
    <row r="140">
      <c r="A140">
        <f>IF(OR(Calc!$E144="",Calc!$E144="نامعتبر",Calc!$G144=""),"",Calc!$G144)</f>
        <v/>
      </c>
      <c r="B140">
        <f>IF($A140="","",LEFT(Calc!$E144,4)&amp;MID(Calc!$E144,6,2)&amp;RIGHT(Calc!$E144,2)&amp;Calc!$Q144&amp;"|"&amp;"1"&amp;RIGHT("00000"&amp;135,5))</f>
        <v/>
      </c>
      <c r="C140">
        <f>IF($B140="","",COUNTIFS(LdgSellerA,$A140,LdgKeyA,"&lt;"&amp;$B140)+COUNTIFS(LdgSellerB,$A140,LdgKeyB,"&lt;"&amp;$B140)+1)</f>
        <v/>
      </c>
      <c r="D140">
        <f>IF($C140="","",$A140&amp;"|"&amp;RIGHT("000000"&amp;$C140,6))</f>
        <v/>
      </c>
      <c r="F140">
        <f>IF(Sync!$AH140="","",IF(LEFT(UPPER(TRIM(Sync!$AH140)),2)="SL",UPPER(TRIM(Sync!$AH140)),""))</f>
        <v/>
      </c>
      <c r="G140">
        <f>IF($F140="","",IF(Sync!$AE140="","",IF(ISNUMBER(Sync!$AE140),IF(AND(Sync!$AE140&gt;=10000101,Sync!$AE140&lt;=99991231),INT(Sync!$AE140/10000),""),IFERROR(VALUE(TRIM(LEFT(Sync!$AE140,FIND("/",Sync!$AE140)-1))),""))))</f>
        <v/>
      </c>
      <c r="H140">
        <f>IF(OR($F140="",$G140=""),"",IF(ISNUMBER(Sync!$AE140),INT(MOD(Sync!$AE140,10000)/100),IFERROR(VALUE(TRIM(LEFT(MID(Sync!$AE140,FIND("/",Sync!$AE140)+1,20),FIND("/",MID(Sync!$AE140,FIND("/",Sync!$AE140)+1,20))-1))),"")))</f>
        <v/>
      </c>
      <c r="I140">
        <f>IF(OR($F140="",$G140=""),"",IF(ISNUMBER(Sync!$AE140),MOD(Sync!$AE140,100),IFERROR(VALUE(TRIM(MID(MID(Sync!$AE140,FIND("/",Sync!$AE140)+1,20),FIND("/",MID(Sync!$AE140,FIND("/",Sync!$AE140)+1,20))+1,20))),"")))</f>
        <v/>
      </c>
      <c r="J140">
        <f>IF($F140="","",IF(OR($G140="",$H140="",$I140="",$G140&lt;1300,$G140&gt;1500,$H140&lt;1,$H140&gt;12,$I140&lt;1,$I140&gt;31),"نامعتبر",RIGHT("0000"&amp;$G140,4)&amp;"/"&amp;RIGHT("00"&amp;$H140,2)&amp;"/"&amp;RIGHT("00"&amp;$I140,2)))</f>
        <v/>
      </c>
      <c r="K140">
        <f>IF(OR($F140="",$J140="",$J140="نامعتبر"),"",LEFT($J140,4)&amp;MID($J140,6,2)&amp;RIGHT($J140,2)&amp;$N140&amp;"|"&amp;"2"&amp;RIGHT("00000"&amp;135,5))</f>
        <v/>
      </c>
      <c r="L140">
        <f>IF($K140="","",COUNTIFS(LdgSellerA,$F140,LdgKeyA,"&lt;"&amp;$K140)+COUNTIFS(LdgSellerB,$F140,LdgKeyB,"&lt;"&amp;$K140)+1)</f>
        <v/>
      </c>
      <c r="M140">
        <f>IF($L140="","",$F140&amp;"|"&amp;RIGHT("000000"&amp;$L140,6))</f>
        <v/>
      </c>
      <c r="N140">
        <f>IF($F140="","",IF(Sync!$AF140="","0000",IF(AND(ISNUMBER(Sync!$AF140),Sync!$AF140&gt;=0,Sync!$AF140&lt;1),RIGHT("00"&amp;HOUR(Sync!$AF140),2)&amp;RIGHT("00"&amp;MINUTE(Sync!$AF140),2),IFERROR(RIGHT("00"&amp;VALUE(LEFT(Sync!$AF140,FIND(":",Sync!$AF140)-1)),2)&amp;RIGHT("00"&amp;VALUE(MID(Sync!$AF140,FIND(":",Sync!$AF140)+1,2)),2),"0000"))))</f>
        <v/>
      </c>
    </row>
    <row r="141">
      <c r="A141">
        <f>IF(OR(Calc!$E145="",Calc!$E145="نامعتبر",Calc!$G145=""),"",Calc!$G145)</f>
        <v/>
      </c>
      <c r="B141">
        <f>IF($A141="","",LEFT(Calc!$E145,4)&amp;MID(Calc!$E145,6,2)&amp;RIGHT(Calc!$E145,2)&amp;Calc!$Q145&amp;"|"&amp;"1"&amp;RIGHT("00000"&amp;136,5))</f>
        <v/>
      </c>
      <c r="C141">
        <f>IF($B141="","",COUNTIFS(LdgSellerA,$A141,LdgKeyA,"&lt;"&amp;$B141)+COUNTIFS(LdgSellerB,$A141,LdgKeyB,"&lt;"&amp;$B141)+1)</f>
        <v/>
      </c>
      <c r="D141">
        <f>IF($C141="","",$A141&amp;"|"&amp;RIGHT("000000"&amp;$C141,6))</f>
        <v/>
      </c>
      <c r="F141">
        <f>IF(Sync!$AH141="","",IF(LEFT(UPPER(TRIM(Sync!$AH141)),2)="SL",UPPER(TRIM(Sync!$AH141)),""))</f>
        <v/>
      </c>
      <c r="G141">
        <f>IF($F141="","",IF(Sync!$AE141="","",IF(ISNUMBER(Sync!$AE141),IF(AND(Sync!$AE141&gt;=10000101,Sync!$AE141&lt;=99991231),INT(Sync!$AE141/10000),""),IFERROR(VALUE(TRIM(LEFT(Sync!$AE141,FIND("/",Sync!$AE141)-1))),""))))</f>
        <v/>
      </c>
      <c r="H141">
        <f>IF(OR($F141="",$G141=""),"",IF(ISNUMBER(Sync!$AE141),INT(MOD(Sync!$AE141,10000)/100),IFERROR(VALUE(TRIM(LEFT(MID(Sync!$AE141,FIND("/",Sync!$AE141)+1,20),FIND("/",MID(Sync!$AE141,FIND("/",Sync!$AE141)+1,20))-1))),"")))</f>
        <v/>
      </c>
      <c r="I141">
        <f>IF(OR($F141="",$G141=""),"",IF(ISNUMBER(Sync!$AE141),MOD(Sync!$AE141,100),IFERROR(VALUE(TRIM(MID(MID(Sync!$AE141,FIND("/",Sync!$AE141)+1,20),FIND("/",MID(Sync!$AE141,FIND("/",Sync!$AE141)+1,20))+1,20))),"")))</f>
        <v/>
      </c>
      <c r="J141">
        <f>IF($F141="","",IF(OR($G141="",$H141="",$I141="",$G141&lt;1300,$G141&gt;1500,$H141&lt;1,$H141&gt;12,$I141&lt;1,$I141&gt;31),"نامعتبر",RIGHT("0000"&amp;$G141,4)&amp;"/"&amp;RIGHT("00"&amp;$H141,2)&amp;"/"&amp;RIGHT("00"&amp;$I141,2)))</f>
        <v/>
      </c>
      <c r="K141">
        <f>IF(OR($F141="",$J141="",$J141="نامعتبر"),"",LEFT($J141,4)&amp;MID($J141,6,2)&amp;RIGHT($J141,2)&amp;$N141&amp;"|"&amp;"2"&amp;RIGHT("00000"&amp;136,5))</f>
        <v/>
      </c>
      <c r="L141">
        <f>IF($K141="","",COUNTIFS(LdgSellerA,$F141,LdgKeyA,"&lt;"&amp;$K141)+COUNTIFS(LdgSellerB,$F141,LdgKeyB,"&lt;"&amp;$K141)+1)</f>
        <v/>
      </c>
      <c r="M141">
        <f>IF($L141="","",$F141&amp;"|"&amp;RIGHT("000000"&amp;$L141,6))</f>
        <v/>
      </c>
      <c r="N141">
        <f>IF($F141="","",IF(Sync!$AF141="","0000",IF(AND(ISNUMBER(Sync!$AF141),Sync!$AF141&gt;=0,Sync!$AF141&lt;1),RIGHT("00"&amp;HOUR(Sync!$AF141),2)&amp;RIGHT("00"&amp;MINUTE(Sync!$AF141),2),IFERROR(RIGHT("00"&amp;VALUE(LEFT(Sync!$AF141,FIND(":",Sync!$AF141)-1)),2)&amp;RIGHT("00"&amp;VALUE(MID(Sync!$AF141,FIND(":",Sync!$AF141)+1,2)),2),"0000"))))</f>
        <v/>
      </c>
    </row>
    <row r="142">
      <c r="A142">
        <f>IF(OR(Calc!$E146="",Calc!$E146="نامعتبر",Calc!$G146=""),"",Calc!$G146)</f>
        <v/>
      </c>
      <c r="B142">
        <f>IF($A142="","",LEFT(Calc!$E146,4)&amp;MID(Calc!$E146,6,2)&amp;RIGHT(Calc!$E146,2)&amp;Calc!$Q146&amp;"|"&amp;"1"&amp;RIGHT("00000"&amp;137,5))</f>
        <v/>
      </c>
      <c r="C142">
        <f>IF($B142="","",COUNTIFS(LdgSellerA,$A142,LdgKeyA,"&lt;"&amp;$B142)+COUNTIFS(LdgSellerB,$A142,LdgKeyB,"&lt;"&amp;$B142)+1)</f>
        <v/>
      </c>
      <c r="D142">
        <f>IF($C142="","",$A142&amp;"|"&amp;RIGHT("000000"&amp;$C142,6))</f>
        <v/>
      </c>
      <c r="F142">
        <f>IF(Sync!$AH142="","",IF(LEFT(UPPER(TRIM(Sync!$AH142)),2)="SL",UPPER(TRIM(Sync!$AH142)),""))</f>
        <v/>
      </c>
      <c r="G142">
        <f>IF($F142="","",IF(Sync!$AE142="","",IF(ISNUMBER(Sync!$AE142),IF(AND(Sync!$AE142&gt;=10000101,Sync!$AE142&lt;=99991231),INT(Sync!$AE142/10000),""),IFERROR(VALUE(TRIM(LEFT(Sync!$AE142,FIND("/",Sync!$AE142)-1))),""))))</f>
        <v/>
      </c>
      <c r="H142">
        <f>IF(OR($F142="",$G142=""),"",IF(ISNUMBER(Sync!$AE142),INT(MOD(Sync!$AE142,10000)/100),IFERROR(VALUE(TRIM(LEFT(MID(Sync!$AE142,FIND("/",Sync!$AE142)+1,20),FIND("/",MID(Sync!$AE142,FIND("/",Sync!$AE142)+1,20))-1))),"")))</f>
        <v/>
      </c>
      <c r="I142">
        <f>IF(OR($F142="",$G142=""),"",IF(ISNUMBER(Sync!$AE142),MOD(Sync!$AE142,100),IFERROR(VALUE(TRIM(MID(MID(Sync!$AE142,FIND("/",Sync!$AE142)+1,20),FIND("/",MID(Sync!$AE142,FIND("/",Sync!$AE142)+1,20))+1,20))),"")))</f>
        <v/>
      </c>
      <c r="J142">
        <f>IF($F142="","",IF(OR($G142="",$H142="",$I142="",$G142&lt;1300,$G142&gt;1500,$H142&lt;1,$H142&gt;12,$I142&lt;1,$I142&gt;31),"نامعتبر",RIGHT("0000"&amp;$G142,4)&amp;"/"&amp;RIGHT("00"&amp;$H142,2)&amp;"/"&amp;RIGHT("00"&amp;$I142,2)))</f>
        <v/>
      </c>
      <c r="K142">
        <f>IF(OR($F142="",$J142="",$J142="نامعتبر"),"",LEFT($J142,4)&amp;MID($J142,6,2)&amp;RIGHT($J142,2)&amp;$N142&amp;"|"&amp;"2"&amp;RIGHT("00000"&amp;137,5))</f>
        <v/>
      </c>
      <c r="L142">
        <f>IF($K142="","",COUNTIFS(LdgSellerA,$F142,LdgKeyA,"&lt;"&amp;$K142)+COUNTIFS(LdgSellerB,$F142,LdgKeyB,"&lt;"&amp;$K142)+1)</f>
        <v/>
      </c>
      <c r="M142">
        <f>IF($L142="","",$F142&amp;"|"&amp;RIGHT("000000"&amp;$L142,6))</f>
        <v/>
      </c>
      <c r="N142">
        <f>IF($F142="","",IF(Sync!$AF142="","0000",IF(AND(ISNUMBER(Sync!$AF142),Sync!$AF142&gt;=0,Sync!$AF142&lt;1),RIGHT("00"&amp;HOUR(Sync!$AF142),2)&amp;RIGHT("00"&amp;MINUTE(Sync!$AF142),2),IFERROR(RIGHT("00"&amp;VALUE(LEFT(Sync!$AF142,FIND(":",Sync!$AF142)-1)),2)&amp;RIGHT("00"&amp;VALUE(MID(Sync!$AF142,FIND(":",Sync!$AF142)+1,2)),2),"0000"))))</f>
        <v/>
      </c>
    </row>
    <row r="143">
      <c r="A143">
        <f>IF(OR(Calc!$E147="",Calc!$E147="نامعتبر",Calc!$G147=""),"",Calc!$G147)</f>
        <v/>
      </c>
      <c r="B143">
        <f>IF($A143="","",LEFT(Calc!$E147,4)&amp;MID(Calc!$E147,6,2)&amp;RIGHT(Calc!$E147,2)&amp;Calc!$Q147&amp;"|"&amp;"1"&amp;RIGHT("00000"&amp;138,5))</f>
        <v/>
      </c>
      <c r="C143">
        <f>IF($B143="","",COUNTIFS(LdgSellerA,$A143,LdgKeyA,"&lt;"&amp;$B143)+COUNTIFS(LdgSellerB,$A143,LdgKeyB,"&lt;"&amp;$B143)+1)</f>
        <v/>
      </c>
      <c r="D143">
        <f>IF($C143="","",$A143&amp;"|"&amp;RIGHT("000000"&amp;$C143,6))</f>
        <v/>
      </c>
      <c r="F143">
        <f>IF(Sync!$AH143="","",IF(LEFT(UPPER(TRIM(Sync!$AH143)),2)="SL",UPPER(TRIM(Sync!$AH143)),""))</f>
        <v/>
      </c>
      <c r="G143">
        <f>IF($F143="","",IF(Sync!$AE143="","",IF(ISNUMBER(Sync!$AE143),IF(AND(Sync!$AE143&gt;=10000101,Sync!$AE143&lt;=99991231),INT(Sync!$AE143/10000),""),IFERROR(VALUE(TRIM(LEFT(Sync!$AE143,FIND("/",Sync!$AE143)-1))),""))))</f>
        <v/>
      </c>
      <c r="H143">
        <f>IF(OR($F143="",$G143=""),"",IF(ISNUMBER(Sync!$AE143),INT(MOD(Sync!$AE143,10000)/100),IFERROR(VALUE(TRIM(LEFT(MID(Sync!$AE143,FIND("/",Sync!$AE143)+1,20),FIND("/",MID(Sync!$AE143,FIND("/",Sync!$AE143)+1,20))-1))),"")))</f>
        <v/>
      </c>
      <c r="I143">
        <f>IF(OR($F143="",$G143=""),"",IF(ISNUMBER(Sync!$AE143),MOD(Sync!$AE143,100),IFERROR(VALUE(TRIM(MID(MID(Sync!$AE143,FIND("/",Sync!$AE143)+1,20),FIND("/",MID(Sync!$AE143,FIND("/",Sync!$AE143)+1,20))+1,20))),"")))</f>
        <v/>
      </c>
      <c r="J143">
        <f>IF($F143="","",IF(OR($G143="",$H143="",$I143="",$G143&lt;1300,$G143&gt;1500,$H143&lt;1,$H143&gt;12,$I143&lt;1,$I143&gt;31),"نامعتبر",RIGHT("0000"&amp;$G143,4)&amp;"/"&amp;RIGHT("00"&amp;$H143,2)&amp;"/"&amp;RIGHT("00"&amp;$I143,2)))</f>
        <v/>
      </c>
      <c r="K143">
        <f>IF(OR($F143="",$J143="",$J143="نامعتبر"),"",LEFT($J143,4)&amp;MID($J143,6,2)&amp;RIGHT($J143,2)&amp;$N143&amp;"|"&amp;"2"&amp;RIGHT("00000"&amp;138,5))</f>
        <v/>
      </c>
      <c r="L143">
        <f>IF($K143="","",COUNTIFS(LdgSellerA,$F143,LdgKeyA,"&lt;"&amp;$K143)+COUNTIFS(LdgSellerB,$F143,LdgKeyB,"&lt;"&amp;$K143)+1)</f>
        <v/>
      </c>
      <c r="M143">
        <f>IF($L143="","",$F143&amp;"|"&amp;RIGHT("000000"&amp;$L143,6))</f>
        <v/>
      </c>
      <c r="N143">
        <f>IF($F143="","",IF(Sync!$AF143="","0000",IF(AND(ISNUMBER(Sync!$AF143),Sync!$AF143&gt;=0,Sync!$AF143&lt;1),RIGHT("00"&amp;HOUR(Sync!$AF143),2)&amp;RIGHT("00"&amp;MINUTE(Sync!$AF143),2),IFERROR(RIGHT("00"&amp;VALUE(LEFT(Sync!$AF143,FIND(":",Sync!$AF143)-1)),2)&amp;RIGHT("00"&amp;VALUE(MID(Sync!$AF143,FIND(":",Sync!$AF143)+1,2)),2),"0000"))))</f>
        <v/>
      </c>
    </row>
    <row r="144">
      <c r="A144">
        <f>IF(OR(Calc!$E148="",Calc!$E148="نامعتبر",Calc!$G148=""),"",Calc!$G148)</f>
        <v/>
      </c>
      <c r="B144">
        <f>IF($A144="","",LEFT(Calc!$E148,4)&amp;MID(Calc!$E148,6,2)&amp;RIGHT(Calc!$E148,2)&amp;Calc!$Q148&amp;"|"&amp;"1"&amp;RIGHT("00000"&amp;139,5))</f>
        <v/>
      </c>
      <c r="C144">
        <f>IF($B144="","",COUNTIFS(LdgSellerA,$A144,LdgKeyA,"&lt;"&amp;$B144)+COUNTIFS(LdgSellerB,$A144,LdgKeyB,"&lt;"&amp;$B144)+1)</f>
        <v/>
      </c>
      <c r="D144">
        <f>IF($C144="","",$A144&amp;"|"&amp;RIGHT("000000"&amp;$C144,6))</f>
        <v/>
      </c>
      <c r="F144">
        <f>IF(Sync!$AH144="","",IF(LEFT(UPPER(TRIM(Sync!$AH144)),2)="SL",UPPER(TRIM(Sync!$AH144)),""))</f>
        <v/>
      </c>
      <c r="G144">
        <f>IF($F144="","",IF(Sync!$AE144="","",IF(ISNUMBER(Sync!$AE144),IF(AND(Sync!$AE144&gt;=10000101,Sync!$AE144&lt;=99991231),INT(Sync!$AE144/10000),""),IFERROR(VALUE(TRIM(LEFT(Sync!$AE144,FIND("/",Sync!$AE144)-1))),""))))</f>
        <v/>
      </c>
      <c r="H144">
        <f>IF(OR($F144="",$G144=""),"",IF(ISNUMBER(Sync!$AE144),INT(MOD(Sync!$AE144,10000)/100),IFERROR(VALUE(TRIM(LEFT(MID(Sync!$AE144,FIND("/",Sync!$AE144)+1,20),FIND("/",MID(Sync!$AE144,FIND("/",Sync!$AE144)+1,20))-1))),"")))</f>
        <v/>
      </c>
      <c r="I144">
        <f>IF(OR($F144="",$G144=""),"",IF(ISNUMBER(Sync!$AE144),MOD(Sync!$AE144,100),IFERROR(VALUE(TRIM(MID(MID(Sync!$AE144,FIND("/",Sync!$AE144)+1,20),FIND("/",MID(Sync!$AE144,FIND("/",Sync!$AE144)+1,20))+1,20))),"")))</f>
        <v/>
      </c>
      <c r="J144">
        <f>IF($F144="","",IF(OR($G144="",$H144="",$I144="",$G144&lt;1300,$G144&gt;1500,$H144&lt;1,$H144&gt;12,$I144&lt;1,$I144&gt;31),"نامعتبر",RIGHT("0000"&amp;$G144,4)&amp;"/"&amp;RIGHT("00"&amp;$H144,2)&amp;"/"&amp;RIGHT("00"&amp;$I144,2)))</f>
        <v/>
      </c>
      <c r="K144">
        <f>IF(OR($F144="",$J144="",$J144="نامعتبر"),"",LEFT($J144,4)&amp;MID($J144,6,2)&amp;RIGHT($J144,2)&amp;$N144&amp;"|"&amp;"2"&amp;RIGHT("00000"&amp;139,5))</f>
        <v/>
      </c>
      <c r="L144">
        <f>IF($K144="","",COUNTIFS(LdgSellerA,$F144,LdgKeyA,"&lt;"&amp;$K144)+COUNTIFS(LdgSellerB,$F144,LdgKeyB,"&lt;"&amp;$K144)+1)</f>
        <v/>
      </c>
      <c r="M144">
        <f>IF($L144="","",$F144&amp;"|"&amp;RIGHT("000000"&amp;$L144,6))</f>
        <v/>
      </c>
      <c r="N144">
        <f>IF($F144="","",IF(Sync!$AF144="","0000",IF(AND(ISNUMBER(Sync!$AF144),Sync!$AF144&gt;=0,Sync!$AF144&lt;1),RIGHT("00"&amp;HOUR(Sync!$AF144),2)&amp;RIGHT("00"&amp;MINUTE(Sync!$AF144),2),IFERROR(RIGHT("00"&amp;VALUE(LEFT(Sync!$AF144,FIND(":",Sync!$AF144)-1)),2)&amp;RIGHT("00"&amp;VALUE(MID(Sync!$AF144,FIND(":",Sync!$AF144)+1,2)),2),"0000"))))</f>
        <v/>
      </c>
    </row>
    <row r="145">
      <c r="A145">
        <f>IF(OR(Calc!$E149="",Calc!$E149="نامعتبر",Calc!$G149=""),"",Calc!$G149)</f>
        <v/>
      </c>
      <c r="B145">
        <f>IF($A145="","",LEFT(Calc!$E149,4)&amp;MID(Calc!$E149,6,2)&amp;RIGHT(Calc!$E149,2)&amp;Calc!$Q149&amp;"|"&amp;"1"&amp;RIGHT("00000"&amp;140,5))</f>
        <v/>
      </c>
      <c r="C145">
        <f>IF($B145="","",COUNTIFS(LdgSellerA,$A145,LdgKeyA,"&lt;"&amp;$B145)+COUNTIFS(LdgSellerB,$A145,LdgKeyB,"&lt;"&amp;$B145)+1)</f>
        <v/>
      </c>
      <c r="D145">
        <f>IF($C145="","",$A145&amp;"|"&amp;RIGHT("000000"&amp;$C145,6))</f>
        <v/>
      </c>
      <c r="F145">
        <f>IF(Sync!$AH145="","",IF(LEFT(UPPER(TRIM(Sync!$AH145)),2)="SL",UPPER(TRIM(Sync!$AH145)),""))</f>
        <v/>
      </c>
      <c r="G145">
        <f>IF($F145="","",IF(Sync!$AE145="","",IF(ISNUMBER(Sync!$AE145),IF(AND(Sync!$AE145&gt;=10000101,Sync!$AE145&lt;=99991231),INT(Sync!$AE145/10000),""),IFERROR(VALUE(TRIM(LEFT(Sync!$AE145,FIND("/",Sync!$AE145)-1))),""))))</f>
        <v/>
      </c>
      <c r="H145">
        <f>IF(OR($F145="",$G145=""),"",IF(ISNUMBER(Sync!$AE145),INT(MOD(Sync!$AE145,10000)/100),IFERROR(VALUE(TRIM(LEFT(MID(Sync!$AE145,FIND("/",Sync!$AE145)+1,20),FIND("/",MID(Sync!$AE145,FIND("/",Sync!$AE145)+1,20))-1))),"")))</f>
        <v/>
      </c>
      <c r="I145">
        <f>IF(OR($F145="",$G145=""),"",IF(ISNUMBER(Sync!$AE145),MOD(Sync!$AE145,100),IFERROR(VALUE(TRIM(MID(MID(Sync!$AE145,FIND("/",Sync!$AE145)+1,20),FIND("/",MID(Sync!$AE145,FIND("/",Sync!$AE145)+1,20))+1,20))),"")))</f>
        <v/>
      </c>
      <c r="J145">
        <f>IF($F145="","",IF(OR($G145="",$H145="",$I145="",$G145&lt;1300,$G145&gt;1500,$H145&lt;1,$H145&gt;12,$I145&lt;1,$I145&gt;31),"نامعتبر",RIGHT("0000"&amp;$G145,4)&amp;"/"&amp;RIGHT("00"&amp;$H145,2)&amp;"/"&amp;RIGHT("00"&amp;$I145,2)))</f>
        <v/>
      </c>
      <c r="K145">
        <f>IF(OR($F145="",$J145="",$J145="نامعتبر"),"",LEFT($J145,4)&amp;MID($J145,6,2)&amp;RIGHT($J145,2)&amp;$N145&amp;"|"&amp;"2"&amp;RIGHT("00000"&amp;140,5))</f>
        <v/>
      </c>
      <c r="L145">
        <f>IF($K145="","",COUNTIFS(LdgSellerA,$F145,LdgKeyA,"&lt;"&amp;$K145)+COUNTIFS(LdgSellerB,$F145,LdgKeyB,"&lt;"&amp;$K145)+1)</f>
        <v/>
      </c>
      <c r="M145">
        <f>IF($L145="","",$F145&amp;"|"&amp;RIGHT("000000"&amp;$L145,6))</f>
        <v/>
      </c>
      <c r="N145">
        <f>IF($F145="","",IF(Sync!$AF145="","0000",IF(AND(ISNUMBER(Sync!$AF145),Sync!$AF145&gt;=0,Sync!$AF145&lt;1),RIGHT("00"&amp;HOUR(Sync!$AF145),2)&amp;RIGHT("00"&amp;MINUTE(Sync!$AF145),2),IFERROR(RIGHT("00"&amp;VALUE(LEFT(Sync!$AF145,FIND(":",Sync!$AF145)-1)),2)&amp;RIGHT("00"&amp;VALUE(MID(Sync!$AF145,FIND(":",Sync!$AF145)+1,2)),2),"0000"))))</f>
        <v/>
      </c>
    </row>
    <row r="146">
      <c r="A146">
        <f>IF(OR(Calc!$E150="",Calc!$E150="نامعتبر",Calc!$G150=""),"",Calc!$G150)</f>
        <v/>
      </c>
      <c r="B146">
        <f>IF($A146="","",LEFT(Calc!$E150,4)&amp;MID(Calc!$E150,6,2)&amp;RIGHT(Calc!$E150,2)&amp;Calc!$Q150&amp;"|"&amp;"1"&amp;RIGHT("00000"&amp;141,5))</f>
        <v/>
      </c>
      <c r="C146">
        <f>IF($B146="","",COUNTIFS(LdgSellerA,$A146,LdgKeyA,"&lt;"&amp;$B146)+COUNTIFS(LdgSellerB,$A146,LdgKeyB,"&lt;"&amp;$B146)+1)</f>
        <v/>
      </c>
      <c r="D146">
        <f>IF($C146="","",$A146&amp;"|"&amp;RIGHT("000000"&amp;$C146,6))</f>
        <v/>
      </c>
      <c r="F146">
        <f>IF(Sync!$AH146="","",IF(LEFT(UPPER(TRIM(Sync!$AH146)),2)="SL",UPPER(TRIM(Sync!$AH146)),""))</f>
        <v/>
      </c>
      <c r="G146">
        <f>IF($F146="","",IF(Sync!$AE146="","",IF(ISNUMBER(Sync!$AE146),IF(AND(Sync!$AE146&gt;=10000101,Sync!$AE146&lt;=99991231),INT(Sync!$AE146/10000),""),IFERROR(VALUE(TRIM(LEFT(Sync!$AE146,FIND("/",Sync!$AE146)-1))),""))))</f>
        <v/>
      </c>
      <c r="H146">
        <f>IF(OR($F146="",$G146=""),"",IF(ISNUMBER(Sync!$AE146),INT(MOD(Sync!$AE146,10000)/100),IFERROR(VALUE(TRIM(LEFT(MID(Sync!$AE146,FIND("/",Sync!$AE146)+1,20),FIND("/",MID(Sync!$AE146,FIND("/",Sync!$AE146)+1,20))-1))),"")))</f>
        <v/>
      </c>
      <c r="I146">
        <f>IF(OR($F146="",$G146=""),"",IF(ISNUMBER(Sync!$AE146),MOD(Sync!$AE146,100),IFERROR(VALUE(TRIM(MID(MID(Sync!$AE146,FIND("/",Sync!$AE146)+1,20),FIND("/",MID(Sync!$AE146,FIND("/",Sync!$AE146)+1,20))+1,20))),"")))</f>
        <v/>
      </c>
      <c r="J146">
        <f>IF($F146="","",IF(OR($G146="",$H146="",$I146="",$G146&lt;1300,$G146&gt;1500,$H146&lt;1,$H146&gt;12,$I146&lt;1,$I146&gt;31),"نامعتبر",RIGHT("0000"&amp;$G146,4)&amp;"/"&amp;RIGHT("00"&amp;$H146,2)&amp;"/"&amp;RIGHT("00"&amp;$I146,2)))</f>
        <v/>
      </c>
      <c r="K146">
        <f>IF(OR($F146="",$J146="",$J146="نامعتبر"),"",LEFT($J146,4)&amp;MID($J146,6,2)&amp;RIGHT($J146,2)&amp;$N146&amp;"|"&amp;"2"&amp;RIGHT("00000"&amp;141,5))</f>
        <v/>
      </c>
      <c r="L146">
        <f>IF($K146="","",COUNTIFS(LdgSellerA,$F146,LdgKeyA,"&lt;"&amp;$K146)+COUNTIFS(LdgSellerB,$F146,LdgKeyB,"&lt;"&amp;$K146)+1)</f>
        <v/>
      </c>
      <c r="M146">
        <f>IF($L146="","",$F146&amp;"|"&amp;RIGHT("000000"&amp;$L146,6))</f>
        <v/>
      </c>
      <c r="N146">
        <f>IF($F146="","",IF(Sync!$AF146="","0000",IF(AND(ISNUMBER(Sync!$AF146),Sync!$AF146&gt;=0,Sync!$AF146&lt;1),RIGHT("00"&amp;HOUR(Sync!$AF146),2)&amp;RIGHT("00"&amp;MINUTE(Sync!$AF146),2),IFERROR(RIGHT("00"&amp;VALUE(LEFT(Sync!$AF146,FIND(":",Sync!$AF146)-1)),2)&amp;RIGHT("00"&amp;VALUE(MID(Sync!$AF146,FIND(":",Sync!$AF146)+1,2)),2),"0000"))))</f>
        <v/>
      </c>
    </row>
    <row r="147">
      <c r="A147">
        <f>IF(OR(Calc!$E151="",Calc!$E151="نامعتبر",Calc!$G151=""),"",Calc!$G151)</f>
        <v/>
      </c>
      <c r="B147">
        <f>IF($A147="","",LEFT(Calc!$E151,4)&amp;MID(Calc!$E151,6,2)&amp;RIGHT(Calc!$E151,2)&amp;Calc!$Q151&amp;"|"&amp;"1"&amp;RIGHT("00000"&amp;142,5))</f>
        <v/>
      </c>
      <c r="C147">
        <f>IF($B147="","",COUNTIFS(LdgSellerA,$A147,LdgKeyA,"&lt;"&amp;$B147)+COUNTIFS(LdgSellerB,$A147,LdgKeyB,"&lt;"&amp;$B147)+1)</f>
        <v/>
      </c>
      <c r="D147">
        <f>IF($C147="","",$A147&amp;"|"&amp;RIGHT("000000"&amp;$C147,6))</f>
        <v/>
      </c>
      <c r="F147">
        <f>IF(Sync!$AH147="","",IF(LEFT(UPPER(TRIM(Sync!$AH147)),2)="SL",UPPER(TRIM(Sync!$AH147)),""))</f>
        <v/>
      </c>
      <c r="G147">
        <f>IF($F147="","",IF(Sync!$AE147="","",IF(ISNUMBER(Sync!$AE147),IF(AND(Sync!$AE147&gt;=10000101,Sync!$AE147&lt;=99991231),INT(Sync!$AE147/10000),""),IFERROR(VALUE(TRIM(LEFT(Sync!$AE147,FIND("/",Sync!$AE147)-1))),""))))</f>
        <v/>
      </c>
      <c r="H147">
        <f>IF(OR($F147="",$G147=""),"",IF(ISNUMBER(Sync!$AE147),INT(MOD(Sync!$AE147,10000)/100),IFERROR(VALUE(TRIM(LEFT(MID(Sync!$AE147,FIND("/",Sync!$AE147)+1,20),FIND("/",MID(Sync!$AE147,FIND("/",Sync!$AE147)+1,20))-1))),"")))</f>
        <v/>
      </c>
      <c r="I147">
        <f>IF(OR($F147="",$G147=""),"",IF(ISNUMBER(Sync!$AE147),MOD(Sync!$AE147,100),IFERROR(VALUE(TRIM(MID(MID(Sync!$AE147,FIND("/",Sync!$AE147)+1,20),FIND("/",MID(Sync!$AE147,FIND("/",Sync!$AE147)+1,20))+1,20))),"")))</f>
        <v/>
      </c>
      <c r="J147">
        <f>IF($F147="","",IF(OR($G147="",$H147="",$I147="",$G147&lt;1300,$G147&gt;1500,$H147&lt;1,$H147&gt;12,$I147&lt;1,$I147&gt;31),"نامعتبر",RIGHT("0000"&amp;$G147,4)&amp;"/"&amp;RIGHT("00"&amp;$H147,2)&amp;"/"&amp;RIGHT("00"&amp;$I147,2)))</f>
        <v/>
      </c>
      <c r="K147">
        <f>IF(OR($F147="",$J147="",$J147="نامعتبر"),"",LEFT($J147,4)&amp;MID($J147,6,2)&amp;RIGHT($J147,2)&amp;$N147&amp;"|"&amp;"2"&amp;RIGHT("00000"&amp;142,5))</f>
        <v/>
      </c>
      <c r="L147">
        <f>IF($K147="","",COUNTIFS(LdgSellerA,$F147,LdgKeyA,"&lt;"&amp;$K147)+COUNTIFS(LdgSellerB,$F147,LdgKeyB,"&lt;"&amp;$K147)+1)</f>
        <v/>
      </c>
      <c r="M147">
        <f>IF($L147="","",$F147&amp;"|"&amp;RIGHT("000000"&amp;$L147,6))</f>
        <v/>
      </c>
      <c r="N147">
        <f>IF($F147="","",IF(Sync!$AF147="","0000",IF(AND(ISNUMBER(Sync!$AF147),Sync!$AF147&gt;=0,Sync!$AF147&lt;1),RIGHT("00"&amp;HOUR(Sync!$AF147),2)&amp;RIGHT("00"&amp;MINUTE(Sync!$AF147),2),IFERROR(RIGHT("00"&amp;VALUE(LEFT(Sync!$AF147,FIND(":",Sync!$AF147)-1)),2)&amp;RIGHT("00"&amp;VALUE(MID(Sync!$AF147,FIND(":",Sync!$AF147)+1,2)),2),"0000"))))</f>
        <v/>
      </c>
    </row>
    <row r="148">
      <c r="A148">
        <f>IF(OR(Calc!$E152="",Calc!$E152="نامعتبر",Calc!$G152=""),"",Calc!$G152)</f>
        <v/>
      </c>
      <c r="B148">
        <f>IF($A148="","",LEFT(Calc!$E152,4)&amp;MID(Calc!$E152,6,2)&amp;RIGHT(Calc!$E152,2)&amp;Calc!$Q152&amp;"|"&amp;"1"&amp;RIGHT("00000"&amp;143,5))</f>
        <v/>
      </c>
      <c r="C148">
        <f>IF($B148="","",COUNTIFS(LdgSellerA,$A148,LdgKeyA,"&lt;"&amp;$B148)+COUNTIFS(LdgSellerB,$A148,LdgKeyB,"&lt;"&amp;$B148)+1)</f>
        <v/>
      </c>
      <c r="D148">
        <f>IF($C148="","",$A148&amp;"|"&amp;RIGHT("000000"&amp;$C148,6))</f>
        <v/>
      </c>
      <c r="F148">
        <f>IF(Sync!$AH148="","",IF(LEFT(UPPER(TRIM(Sync!$AH148)),2)="SL",UPPER(TRIM(Sync!$AH148)),""))</f>
        <v/>
      </c>
      <c r="G148">
        <f>IF($F148="","",IF(Sync!$AE148="","",IF(ISNUMBER(Sync!$AE148),IF(AND(Sync!$AE148&gt;=10000101,Sync!$AE148&lt;=99991231),INT(Sync!$AE148/10000),""),IFERROR(VALUE(TRIM(LEFT(Sync!$AE148,FIND("/",Sync!$AE148)-1))),""))))</f>
        <v/>
      </c>
      <c r="H148">
        <f>IF(OR($F148="",$G148=""),"",IF(ISNUMBER(Sync!$AE148),INT(MOD(Sync!$AE148,10000)/100),IFERROR(VALUE(TRIM(LEFT(MID(Sync!$AE148,FIND("/",Sync!$AE148)+1,20),FIND("/",MID(Sync!$AE148,FIND("/",Sync!$AE148)+1,20))-1))),"")))</f>
        <v/>
      </c>
      <c r="I148">
        <f>IF(OR($F148="",$G148=""),"",IF(ISNUMBER(Sync!$AE148),MOD(Sync!$AE148,100),IFERROR(VALUE(TRIM(MID(MID(Sync!$AE148,FIND("/",Sync!$AE148)+1,20),FIND("/",MID(Sync!$AE148,FIND("/",Sync!$AE148)+1,20))+1,20))),"")))</f>
        <v/>
      </c>
      <c r="J148">
        <f>IF($F148="","",IF(OR($G148="",$H148="",$I148="",$G148&lt;1300,$G148&gt;1500,$H148&lt;1,$H148&gt;12,$I148&lt;1,$I148&gt;31),"نامعتبر",RIGHT("0000"&amp;$G148,4)&amp;"/"&amp;RIGHT("00"&amp;$H148,2)&amp;"/"&amp;RIGHT("00"&amp;$I148,2)))</f>
        <v/>
      </c>
      <c r="K148">
        <f>IF(OR($F148="",$J148="",$J148="نامعتبر"),"",LEFT($J148,4)&amp;MID($J148,6,2)&amp;RIGHT($J148,2)&amp;$N148&amp;"|"&amp;"2"&amp;RIGHT("00000"&amp;143,5))</f>
        <v/>
      </c>
      <c r="L148">
        <f>IF($K148="","",COUNTIFS(LdgSellerA,$F148,LdgKeyA,"&lt;"&amp;$K148)+COUNTIFS(LdgSellerB,$F148,LdgKeyB,"&lt;"&amp;$K148)+1)</f>
        <v/>
      </c>
      <c r="M148">
        <f>IF($L148="","",$F148&amp;"|"&amp;RIGHT("000000"&amp;$L148,6))</f>
        <v/>
      </c>
      <c r="N148">
        <f>IF($F148="","",IF(Sync!$AF148="","0000",IF(AND(ISNUMBER(Sync!$AF148),Sync!$AF148&gt;=0,Sync!$AF148&lt;1),RIGHT("00"&amp;HOUR(Sync!$AF148),2)&amp;RIGHT("00"&amp;MINUTE(Sync!$AF148),2),IFERROR(RIGHT("00"&amp;VALUE(LEFT(Sync!$AF148,FIND(":",Sync!$AF148)-1)),2)&amp;RIGHT("00"&amp;VALUE(MID(Sync!$AF148,FIND(":",Sync!$AF148)+1,2)),2),"0000"))))</f>
        <v/>
      </c>
    </row>
    <row r="149">
      <c r="A149">
        <f>IF(OR(Calc!$E153="",Calc!$E153="نامعتبر",Calc!$G153=""),"",Calc!$G153)</f>
        <v/>
      </c>
      <c r="B149">
        <f>IF($A149="","",LEFT(Calc!$E153,4)&amp;MID(Calc!$E153,6,2)&amp;RIGHT(Calc!$E153,2)&amp;Calc!$Q153&amp;"|"&amp;"1"&amp;RIGHT("00000"&amp;144,5))</f>
        <v/>
      </c>
      <c r="C149">
        <f>IF($B149="","",COUNTIFS(LdgSellerA,$A149,LdgKeyA,"&lt;"&amp;$B149)+COUNTIFS(LdgSellerB,$A149,LdgKeyB,"&lt;"&amp;$B149)+1)</f>
        <v/>
      </c>
      <c r="D149">
        <f>IF($C149="","",$A149&amp;"|"&amp;RIGHT("000000"&amp;$C149,6))</f>
        <v/>
      </c>
      <c r="F149">
        <f>IF(Sync!$AH149="","",IF(LEFT(UPPER(TRIM(Sync!$AH149)),2)="SL",UPPER(TRIM(Sync!$AH149)),""))</f>
        <v/>
      </c>
      <c r="G149">
        <f>IF($F149="","",IF(Sync!$AE149="","",IF(ISNUMBER(Sync!$AE149),IF(AND(Sync!$AE149&gt;=10000101,Sync!$AE149&lt;=99991231),INT(Sync!$AE149/10000),""),IFERROR(VALUE(TRIM(LEFT(Sync!$AE149,FIND("/",Sync!$AE149)-1))),""))))</f>
        <v/>
      </c>
      <c r="H149">
        <f>IF(OR($F149="",$G149=""),"",IF(ISNUMBER(Sync!$AE149),INT(MOD(Sync!$AE149,10000)/100),IFERROR(VALUE(TRIM(LEFT(MID(Sync!$AE149,FIND("/",Sync!$AE149)+1,20),FIND("/",MID(Sync!$AE149,FIND("/",Sync!$AE149)+1,20))-1))),"")))</f>
        <v/>
      </c>
      <c r="I149">
        <f>IF(OR($F149="",$G149=""),"",IF(ISNUMBER(Sync!$AE149),MOD(Sync!$AE149,100),IFERROR(VALUE(TRIM(MID(MID(Sync!$AE149,FIND("/",Sync!$AE149)+1,20),FIND("/",MID(Sync!$AE149,FIND("/",Sync!$AE149)+1,20))+1,20))),"")))</f>
        <v/>
      </c>
      <c r="J149">
        <f>IF($F149="","",IF(OR($G149="",$H149="",$I149="",$G149&lt;1300,$G149&gt;1500,$H149&lt;1,$H149&gt;12,$I149&lt;1,$I149&gt;31),"نامعتبر",RIGHT("0000"&amp;$G149,4)&amp;"/"&amp;RIGHT("00"&amp;$H149,2)&amp;"/"&amp;RIGHT("00"&amp;$I149,2)))</f>
        <v/>
      </c>
      <c r="K149">
        <f>IF(OR($F149="",$J149="",$J149="نامعتبر"),"",LEFT($J149,4)&amp;MID($J149,6,2)&amp;RIGHT($J149,2)&amp;$N149&amp;"|"&amp;"2"&amp;RIGHT("00000"&amp;144,5))</f>
        <v/>
      </c>
      <c r="L149">
        <f>IF($K149="","",COUNTIFS(LdgSellerA,$F149,LdgKeyA,"&lt;"&amp;$K149)+COUNTIFS(LdgSellerB,$F149,LdgKeyB,"&lt;"&amp;$K149)+1)</f>
        <v/>
      </c>
      <c r="M149">
        <f>IF($L149="","",$F149&amp;"|"&amp;RIGHT("000000"&amp;$L149,6))</f>
        <v/>
      </c>
      <c r="N149">
        <f>IF($F149="","",IF(Sync!$AF149="","0000",IF(AND(ISNUMBER(Sync!$AF149),Sync!$AF149&gt;=0,Sync!$AF149&lt;1),RIGHT("00"&amp;HOUR(Sync!$AF149),2)&amp;RIGHT("00"&amp;MINUTE(Sync!$AF149),2),IFERROR(RIGHT("00"&amp;VALUE(LEFT(Sync!$AF149,FIND(":",Sync!$AF149)-1)),2)&amp;RIGHT("00"&amp;VALUE(MID(Sync!$AF149,FIND(":",Sync!$AF149)+1,2)),2),"0000"))))</f>
        <v/>
      </c>
    </row>
    <row r="150">
      <c r="A150">
        <f>IF(OR(Calc!$E154="",Calc!$E154="نامعتبر",Calc!$G154=""),"",Calc!$G154)</f>
        <v/>
      </c>
      <c r="B150">
        <f>IF($A150="","",LEFT(Calc!$E154,4)&amp;MID(Calc!$E154,6,2)&amp;RIGHT(Calc!$E154,2)&amp;Calc!$Q154&amp;"|"&amp;"1"&amp;RIGHT("00000"&amp;145,5))</f>
        <v/>
      </c>
      <c r="C150">
        <f>IF($B150="","",COUNTIFS(LdgSellerA,$A150,LdgKeyA,"&lt;"&amp;$B150)+COUNTIFS(LdgSellerB,$A150,LdgKeyB,"&lt;"&amp;$B150)+1)</f>
        <v/>
      </c>
      <c r="D150">
        <f>IF($C150="","",$A150&amp;"|"&amp;RIGHT("000000"&amp;$C150,6))</f>
        <v/>
      </c>
      <c r="F150">
        <f>IF(Sync!$AH150="","",IF(LEFT(UPPER(TRIM(Sync!$AH150)),2)="SL",UPPER(TRIM(Sync!$AH150)),""))</f>
        <v/>
      </c>
      <c r="G150">
        <f>IF($F150="","",IF(Sync!$AE150="","",IF(ISNUMBER(Sync!$AE150),IF(AND(Sync!$AE150&gt;=10000101,Sync!$AE150&lt;=99991231),INT(Sync!$AE150/10000),""),IFERROR(VALUE(TRIM(LEFT(Sync!$AE150,FIND("/",Sync!$AE150)-1))),""))))</f>
        <v/>
      </c>
      <c r="H150">
        <f>IF(OR($F150="",$G150=""),"",IF(ISNUMBER(Sync!$AE150),INT(MOD(Sync!$AE150,10000)/100),IFERROR(VALUE(TRIM(LEFT(MID(Sync!$AE150,FIND("/",Sync!$AE150)+1,20),FIND("/",MID(Sync!$AE150,FIND("/",Sync!$AE150)+1,20))-1))),"")))</f>
        <v/>
      </c>
      <c r="I150">
        <f>IF(OR($F150="",$G150=""),"",IF(ISNUMBER(Sync!$AE150),MOD(Sync!$AE150,100),IFERROR(VALUE(TRIM(MID(MID(Sync!$AE150,FIND("/",Sync!$AE150)+1,20),FIND("/",MID(Sync!$AE150,FIND("/",Sync!$AE150)+1,20))+1,20))),"")))</f>
        <v/>
      </c>
      <c r="J150">
        <f>IF($F150="","",IF(OR($G150="",$H150="",$I150="",$G150&lt;1300,$G150&gt;1500,$H150&lt;1,$H150&gt;12,$I150&lt;1,$I150&gt;31),"نامعتبر",RIGHT("0000"&amp;$G150,4)&amp;"/"&amp;RIGHT("00"&amp;$H150,2)&amp;"/"&amp;RIGHT("00"&amp;$I150,2)))</f>
        <v/>
      </c>
      <c r="K150">
        <f>IF(OR($F150="",$J150="",$J150="نامعتبر"),"",LEFT($J150,4)&amp;MID($J150,6,2)&amp;RIGHT($J150,2)&amp;$N150&amp;"|"&amp;"2"&amp;RIGHT("00000"&amp;145,5))</f>
        <v/>
      </c>
      <c r="L150">
        <f>IF($K150="","",COUNTIFS(LdgSellerA,$F150,LdgKeyA,"&lt;"&amp;$K150)+COUNTIFS(LdgSellerB,$F150,LdgKeyB,"&lt;"&amp;$K150)+1)</f>
        <v/>
      </c>
      <c r="M150">
        <f>IF($L150="","",$F150&amp;"|"&amp;RIGHT("000000"&amp;$L150,6))</f>
        <v/>
      </c>
      <c r="N150">
        <f>IF($F150="","",IF(Sync!$AF150="","0000",IF(AND(ISNUMBER(Sync!$AF150),Sync!$AF150&gt;=0,Sync!$AF150&lt;1),RIGHT("00"&amp;HOUR(Sync!$AF150),2)&amp;RIGHT("00"&amp;MINUTE(Sync!$AF150),2),IFERROR(RIGHT("00"&amp;VALUE(LEFT(Sync!$AF150,FIND(":",Sync!$AF150)-1)),2)&amp;RIGHT("00"&amp;VALUE(MID(Sync!$AF150,FIND(":",Sync!$AF150)+1,2)),2),"0000"))))</f>
        <v/>
      </c>
    </row>
    <row r="151">
      <c r="A151">
        <f>IF(OR(Calc!$E155="",Calc!$E155="نامعتبر",Calc!$G155=""),"",Calc!$G155)</f>
        <v/>
      </c>
      <c r="B151">
        <f>IF($A151="","",LEFT(Calc!$E155,4)&amp;MID(Calc!$E155,6,2)&amp;RIGHT(Calc!$E155,2)&amp;Calc!$Q155&amp;"|"&amp;"1"&amp;RIGHT("00000"&amp;146,5))</f>
        <v/>
      </c>
      <c r="C151">
        <f>IF($B151="","",COUNTIFS(LdgSellerA,$A151,LdgKeyA,"&lt;"&amp;$B151)+COUNTIFS(LdgSellerB,$A151,LdgKeyB,"&lt;"&amp;$B151)+1)</f>
        <v/>
      </c>
      <c r="D151">
        <f>IF($C151="","",$A151&amp;"|"&amp;RIGHT("000000"&amp;$C151,6))</f>
        <v/>
      </c>
      <c r="F151">
        <f>IF(Sync!$AH151="","",IF(LEFT(UPPER(TRIM(Sync!$AH151)),2)="SL",UPPER(TRIM(Sync!$AH151)),""))</f>
        <v/>
      </c>
      <c r="G151">
        <f>IF($F151="","",IF(Sync!$AE151="","",IF(ISNUMBER(Sync!$AE151),IF(AND(Sync!$AE151&gt;=10000101,Sync!$AE151&lt;=99991231),INT(Sync!$AE151/10000),""),IFERROR(VALUE(TRIM(LEFT(Sync!$AE151,FIND("/",Sync!$AE151)-1))),""))))</f>
        <v/>
      </c>
      <c r="H151">
        <f>IF(OR($F151="",$G151=""),"",IF(ISNUMBER(Sync!$AE151),INT(MOD(Sync!$AE151,10000)/100),IFERROR(VALUE(TRIM(LEFT(MID(Sync!$AE151,FIND("/",Sync!$AE151)+1,20),FIND("/",MID(Sync!$AE151,FIND("/",Sync!$AE151)+1,20))-1))),"")))</f>
        <v/>
      </c>
      <c r="I151">
        <f>IF(OR($F151="",$G151=""),"",IF(ISNUMBER(Sync!$AE151),MOD(Sync!$AE151,100),IFERROR(VALUE(TRIM(MID(MID(Sync!$AE151,FIND("/",Sync!$AE151)+1,20),FIND("/",MID(Sync!$AE151,FIND("/",Sync!$AE151)+1,20))+1,20))),"")))</f>
        <v/>
      </c>
      <c r="J151">
        <f>IF($F151="","",IF(OR($G151="",$H151="",$I151="",$G151&lt;1300,$G151&gt;1500,$H151&lt;1,$H151&gt;12,$I151&lt;1,$I151&gt;31),"نامعتبر",RIGHT("0000"&amp;$G151,4)&amp;"/"&amp;RIGHT("00"&amp;$H151,2)&amp;"/"&amp;RIGHT("00"&amp;$I151,2)))</f>
        <v/>
      </c>
      <c r="K151">
        <f>IF(OR($F151="",$J151="",$J151="نامعتبر"),"",LEFT($J151,4)&amp;MID($J151,6,2)&amp;RIGHT($J151,2)&amp;$N151&amp;"|"&amp;"2"&amp;RIGHT("00000"&amp;146,5))</f>
        <v/>
      </c>
      <c r="L151">
        <f>IF($K151="","",COUNTIFS(LdgSellerA,$F151,LdgKeyA,"&lt;"&amp;$K151)+COUNTIFS(LdgSellerB,$F151,LdgKeyB,"&lt;"&amp;$K151)+1)</f>
        <v/>
      </c>
      <c r="M151">
        <f>IF($L151="","",$F151&amp;"|"&amp;RIGHT("000000"&amp;$L151,6))</f>
        <v/>
      </c>
      <c r="N151">
        <f>IF($F151="","",IF(Sync!$AF151="","0000",IF(AND(ISNUMBER(Sync!$AF151),Sync!$AF151&gt;=0,Sync!$AF151&lt;1),RIGHT("00"&amp;HOUR(Sync!$AF151),2)&amp;RIGHT("00"&amp;MINUTE(Sync!$AF151),2),IFERROR(RIGHT("00"&amp;VALUE(LEFT(Sync!$AF151,FIND(":",Sync!$AF151)-1)),2)&amp;RIGHT("00"&amp;VALUE(MID(Sync!$AF151,FIND(":",Sync!$AF151)+1,2)),2),"0000"))))</f>
        <v/>
      </c>
    </row>
    <row r="152">
      <c r="A152">
        <f>IF(OR(Calc!$E156="",Calc!$E156="نامعتبر",Calc!$G156=""),"",Calc!$G156)</f>
        <v/>
      </c>
      <c r="B152">
        <f>IF($A152="","",LEFT(Calc!$E156,4)&amp;MID(Calc!$E156,6,2)&amp;RIGHT(Calc!$E156,2)&amp;Calc!$Q156&amp;"|"&amp;"1"&amp;RIGHT("00000"&amp;147,5))</f>
        <v/>
      </c>
      <c r="C152">
        <f>IF($B152="","",COUNTIFS(LdgSellerA,$A152,LdgKeyA,"&lt;"&amp;$B152)+COUNTIFS(LdgSellerB,$A152,LdgKeyB,"&lt;"&amp;$B152)+1)</f>
        <v/>
      </c>
      <c r="D152">
        <f>IF($C152="","",$A152&amp;"|"&amp;RIGHT("000000"&amp;$C152,6))</f>
        <v/>
      </c>
      <c r="F152">
        <f>IF(Sync!$AH152="","",IF(LEFT(UPPER(TRIM(Sync!$AH152)),2)="SL",UPPER(TRIM(Sync!$AH152)),""))</f>
        <v/>
      </c>
      <c r="G152">
        <f>IF($F152="","",IF(Sync!$AE152="","",IF(ISNUMBER(Sync!$AE152),IF(AND(Sync!$AE152&gt;=10000101,Sync!$AE152&lt;=99991231),INT(Sync!$AE152/10000),""),IFERROR(VALUE(TRIM(LEFT(Sync!$AE152,FIND("/",Sync!$AE152)-1))),""))))</f>
        <v/>
      </c>
      <c r="H152">
        <f>IF(OR($F152="",$G152=""),"",IF(ISNUMBER(Sync!$AE152),INT(MOD(Sync!$AE152,10000)/100),IFERROR(VALUE(TRIM(LEFT(MID(Sync!$AE152,FIND("/",Sync!$AE152)+1,20),FIND("/",MID(Sync!$AE152,FIND("/",Sync!$AE152)+1,20))-1))),"")))</f>
        <v/>
      </c>
      <c r="I152">
        <f>IF(OR($F152="",$G152=""),"",IF(ISNUMBER(Sync!$AE152),MOD(Sync!$AE152,100),IFERROR(VALUE(TRIM(MID(MID(Sync!$AE152,FIND("/",Sync!$AE152)+1,20),FIND("/",MID(Sync!$AE152,FIND("/",Sync!$AE152)+1,20))+1,20))),"")))</f>
        <v/>
      </c>
      <c r="J152">
        <f>IF($F152="","",IF(OR($G152="",$H152="",$I152="",$G152&lt;1300,$G152&gt;1500,$H152&lt;1,$H152&gt;12,$I152&lt;1,$I152&gt;31),"نامعتبر",RIGHT("0000"&amp;$G152,4)&amp;"/"&amp;RIGHT("00"&amp;$H152,2)&amp;"/"&amp;RIGHT("00"&amp;$I152,2)))</f>
        <v/>
      </c>
      <c r="K152">
        <f>IF(OR($F152="",$J152="",$J152="نامعتبر"),"",LEFT($J152,4)&amp;MID($J152,6,2)&amp;RIGHT($J152,2)&amp;$N152&amp;"|"&amp;"2"&amp;RIGHT("00000"&amp;147,5))</f>
        <v/>
      </c>
      <c r="L152">
        <f>IF($K152="","",COUNTIFS(LdgSellerA,$F152,LdgKeyA,"&lt;"&amp;$K152)+COUNTIFS(LdgSellerB,$F152,LdgKeyB,"&lt;"&amp;$K152)+1)</f>
        <v/>
      </c>
      <c r="M152">
        <f>IF($L152="","",$F152&amp;"|"&amp;RIGHT("000000"&amp;$L152,6))</f>
        <v/>
      </c>
      <c r="N152">
        <f>IF($F152="","",IF(Sync!$AF152="","0000",IF(AND(ISNUMBER(Sync!$AF152),Sync!$AF152&gt;=0,Sync!$AF152&lt;1),RIGHT("00"&amp;HOUR(Sync!$AF152),2)&amp;RIGHT("00"&amp;MINUTE(Sync!$AF152),2),IFERROR(RIGHT("00"&amp;VALUE(LEFT(Sync!$AF152,FIND(":",Sync!$AF152)-1)),2)&amp;RIGHT("00"&amp;VALUE(MID(Sync!$AF152,FIND(":",Sync!$AF152)+1,2)),2),"0000"))))</f>
        <v/>
      </c>
    </row>
    <row r="153">
      <c r="A153">
        <f>IF(OR(Calc!$E157="",Calc!$E157="نامعتبر",Calc!$G157=""),"",Calc!$G157)</f>
        <v/>
      </c>
      <c r="B153">
        <f>IF($A153="","",LEFT(Calc!$E157,4)&amp;MID(Calc!$E157,6,2)&amp;RIGHT(Calc!$E157,2)&amp;Calc!$Q157&amp;"|"&amp;"1"&amp;RIGHT("00000"&amp;148,5))</f>
        <v/>
      </c>
      <c r="C153">
        <f>IF($B153="","",COUNTIFS(LdgSellerA,$A153,LdgKeyA,"&lt;"&amp;$B153)+COUNTIFS(LdgSellerB,$A153,LdgKeyB,"&lt;"&amp;$B153)+1)</f>
        <v/>
      </c>
      <c r="D153">
        <f>IF($C153="","",$A153&amp;"|"&amp;RIGHT("000000"&amp;$C153,6))</f>
        <v/>
      </c>
      <c r="F153">
        <f>IF(Sync!$AH153="","",IF(LEFT(UPPER(TRIM(Sync!$AH153)),2)="SL",UPPER(TRIM(Sync!$AH153)),""))</f>
        <v/>
      </c>
      <c r="G153">
        <f>IF($F153="","",IF(Sync!$AE153="","",IF(ISNUMBER(Sync!$AE153),IF(AND(Sync!$AE153&gt;=10000101,Sync!$AE153&lt;=99991231),INT(Sync!$AE153/10000),""),IFERROR(VALUE(TRIM(LEFT(Sync!$AE153,FIND("/",Sync!$AE153)-1))),""))))</f>
        <v/>
      </c>
      <c r="H153">
        <f>IF(OR($F153="",$G153=""),"",IF(ISNUMBER(Sync!$AE153),INT(MOD(Sync!$AE153,10000)/100),IFERROR(VALUE(TRIM(LEFT(MID(Sync!$AE153,FIND("/",Sync!$AE153)+1,20),FIND("/",MID(Sync!$AE153,FIND("/",Sync!$AE153)+1,20))-1))),"")))</f>
        <v/>
      </c>
      <c r="I153">
        <f>IF(OR($F153="",$G153=""),"",IF(ISNUMBER(Sync!$AE153),MOD(Sync!$AE153,100),IFERROR(VALUE(TRIM(MID(MID(Sync!$AE153,FIND("/",Sync!$AE153)+1,20),FIND("/",MID(Sync!$AE153,FIND("/",Sync!$AE153)+1,20))+1,20))),"")))</f>
        <v/>
      </c>
      <c r="J153">
        <f>IF($F153="","",IF(OR($G153="",$H153="",$I153="",$G153&lt;1300,$G153&gt;1500,$H153&lt;1,$H153&gt;12,$I153&lt;1,$I153&gt;31),"نامعتبر",RIGHT("0000"&amp;$G153,4)&amp;"/"&amp;RIGHT("00"&amp;$H153,2)&amp;"/"&amp;RIGHT("00"&amp;$I153,2)))</f>
        <v/>
      </c>
      <c r="K153">
        <f>IF(OR($F153="",$J153="",$J153="نامعتبر"),"",LEFT($J153,4)&amp;MID($J153,6,2)&amp;RIGHT($J153,2)&amp;$N153&amp;"|"&amp;"2"&amp;RIGHT("00000"&amp;148,5))</f>
        <v/>
      </c>
      <c r="L153">
        <f>IF($K153="","",COUNTIFS(LdgSellerA,$F153,LdgKeyA,"&lt;"&amp;$K153)+COUNTIFS(LdgSellerB,$F153,LdgKeyB,"&lt;"&amp;$K153)+1)</f>
        <v/>
      </c>
      <c r="M153">
        <f>IF($L153="","",$F153&amp;"|"&amp;RIGHT("000000"&amp;$L153,6))</f>
        <v/>
      </c>
      <c r="N153">
        <f>IF($F153="","",IF(Sync!$AF153="","0000",IF(AND(ISNUMBER(Sync!$AF153),Sync!$AF153&gt;=0,Sync!$AF153&lt;1),RIGHT("00"&amp;HOUR(Sync!$AF153),2)&amp;RIGHT("00"&amp;MINUTE(Sync!$AF153),2),IFERROR(RIGHT("00"&amp;VALUE(LEFT(Sync!$AF153,FIND(":",Sync!$AF153)-1)),2)&amp;RIGHT("00"&amp;VALUE(MID(Sync!$AF153,FIND(":",Sync!$AF153)+1,2)),2),"0000"))))</f>
        <v/>
      </c>
    </row>
    <row r="154">
      <c r="A154">
        <f>IF(OR(Calc!$E158="",Calc!$E158="نامعتبر",Calc!$G158=""),"",Calc!$G158)</f>
        <v/>
      </c>
      <c r="B154">
        <f>IF($A154="","",LEFT(Calc!$E158,4)&amp;MID(Calc!$E158,6,2)&amp;RIGHT(Calc!$E158,2)&amp;Calc!$Q158&amp;"|"&amp;"1"&amp;RIGHT("00000"&amp;149,5))</f>
        <v/>
      </c>
      <c r="C154">
        <f>IF($B154="","",COUNTIFS(LdgSellerA,$A154,LdgKeyA,"&lt;"&amp;$B154)+COUNTIFS(LdgSellerB,$A154,LdgKeyB,"&lt;"&amp;$B154)+1)</f>
        <v/>
      </c>
      <c r="D154">
        <f>IF($C154="","",$A154&amp;"|"&amp;RIGHT("000000"&amp;$C154,6))</f>
        <v/>
      </c>
      <c r="F154">
        <f>IF(Sync!$AH154="","",IF(LEFT(UPPER(TRIM(Sync!$AH154)),2)="SL",UPPER(TRIM(Sync!$AH154)),""))</f>
        <v/>
      </c>
      <c r="G154">
        <f>IF($F154="","",IF(Sync!$AE154="","",IF(ISNUMBER(Sync!$AE154),IF(AND(Sync!$AE154&gt;=10000101,Sync!$AE154&lt;=99991231),INT(Sync!$AE154/10000),""),IFERROR(VALUE(TRIM(LEFT(Sync!$AE154,FIND("/",Sync!$AE154)-1))),""))))</f>
        <v/>
      </c>
      <c r="H154">
        <f>IF(OR($F154="",$G154=""),"",IF(ISNUMBER(Sync!$AE154),INT(MOD(Sync!$AE154,10000)/100),IFERROR(VALUE(TRIM(LEFT(MID(Sync!$AE154,FIND("/",Sync!$AE154)+1,20),FIND("/",MID(Sync!$AE154,FIND("/",Sync!$AE154)+1,20))-1))),"")))</f>
        <v/>
      </c>
      <c r="I154">
        <f>IF(OR($F154="",$G154=""),"",IF(ISNUMBER(Sync!$AE154),MOD(Sync!$AE154,100),IFERROR(VALUE(TRIM(MID(MID(Sync!$AE154,FIND("/",Sync!$AE154)+1,20),FIND("/",MID(Sync!$AE154,FIND("/",Sync!$AE154)+1,20))+1,20))),"")))</f>
        <v/>
      </c>
      <c r="J154">
        <f>IF($F154="","",IF(OR($G154="",$H154="",$I154="",$G154&lt;1300,$G154&gt;1500,$H154&lt;1,$H154&gt;12,$I154&lt;1,$I154&gt;31),"نامعتبر",RIGHT("0000"&amp;$G154,4)&amp;"/"&amp;RIGHT("00"&amp;$H154,2)&amp;"/"&amp;RIGHT("00"&amp;$I154,2)))</f>
        <v/>
      </c>
      <c r="K154">
        <f>IF(OR($F154="",$J154="",$J154="نامعتبر"),"",LEFT($J154,4)&amp;MID($J154,6,2)&amp;RIGHT($J154,2)&amp;$N154&amp;"|"&amp;"2"&amp;RIGHT("00000"&amp;149,5))</f>
        <v/>
      </c>
      <c r="L154">
        <f>IF($K154="","",COUNTIFS(LdgSellerA,$F154,LdgKeyA,"&lt;"&amp;$K154)+COUNTIFS(LdgSellerB,$F154,LdgKeyB,"&lt;"&amp;$K154)+1)</f>
        <v/>
      </c>
      <c r="M154">
        <f>IF($L154="","",$F154&amp;"|"&amp;RIGHT("000000"&amp;$L154,6))</f>
        <v/>
      </c>
      <c r="N154">
        <f>IF($F154="","",IF(Sync!$AF154="","0000",IF(AND(ISNUMBER(Sync!$AF154),Sync!$AF154&gt;=0,Sync!$AF154&lt;1),RIGHT("00"&amp;HOUR(Sync!$AF154),2)&amp;RIGHT("00"&amp;MINUTE(Sync!$AF154),2),IFERROR(RIGHT("00"&amp;VALUE(LEFT(Sync!$AF154,FIND(":",Sync!$AF154)-1)),2)&amp;RIGHT("00"&amp;VALUE(MID(Sync!$AF154,FIND(":",Sync!$AF154)+1,2)),2),"0000"))))</f>
        <v/>
      </c>
    </row>
    <row r="155">
      <c r="A155">
        <f>IF(OR(Calc!$E159="",Calc!$E159="نامعتبر",Calc!$G159=""),"",Calc!$G159)</f>
        <v/>
      </c>
      <c r="B155">
        <f>IF($A155="","",LEFT(Calc!$E159,4)&amp;MID(Calc!$E159,6,2)&amp;RIGHT(Calc!$E159,2)&amp;Calc!$Q159&amp;"|"&amp;"1"&amp;RIGHT("00000"&amp;150,5))</f>
        <v/>
      </c>
      <c r="C155">
        <f>IF($B155="","",COUNTIFS(LdgSellerA,$A155,LdgKeyA,"&lt;"&amp;$B155)+COUNTIFS(LdgSellerB,$A155,LdgKeyB,"&lt;"&amp;$B155)+1)</f>
        <v/>
      </c>
      <c r="D155">
        <f>IF($C155="","",$A155&amp;"|"&amp;RIGHT("000000"&amp;$C155,6))</f>
        <v/>
      </c>
      <c r="F155">
        <f>IF(Sync!$AH155="","",IF(LEFT(UPPER(TRIM(Sync!$AH155)),2)="SL",UPPER(TRIM(Sync!$AH155)),""))</f>
        <v/>
      </c>
      <c r="G155">
        <f>IF($F155="","",IF(Sync!$AE155="","",IF(ISNUMBER(Sync!$AE155),IF(AND(Sync!$AE155&gt;=10000101,Sync!$AE155&lt;=99991231),INT(Sync!$AE155/10000),""),IFERROR(VALUE(TRIM(LEFT(Sync!$AE155,FIND("/",Sync!$AE155)-1))),""))))</f>
        <v/>
      </c>
      <c r="H155">
        <f>IF(OR($F155="",$G155=""),"",IF(ISNUMBER(Sync!$AE155),INT(MOD(Sync!$AE155,10000)/100),IFERROR(VALUE(TRIM(LEFT(MID(Sync!$AE155,FIND("/",Sync!$AE155)+1,20),FIND("/",MID(Sync!$AE155,FIND("/",Sync!$AE155)+1,20))-1))),"")))</f>
        <v/>
      </c>
      <c r="I155">
        <f>IF(OR($F155="",$G155=""),"",IF(ISNUMBER(Sync!$AE155),MOD(Sync!$AE155,100),IFERROR(VALUE(TRIM(MID(MID(Sync!$AE155,FIND("/",Sync!$AE155)+1,20),FIND("/",MID(Sync!$AE155,FIND("/",Sync!$AE155)+1,20))+1,20))),"")))</f>
        <v/>
      </c>
      <c r="J155">
        <f>IF($F155="","",IF(OR($G155="",$H155="",$I155="",$G155&lt;1300,$G155&gt;1500,$H155&lt;1,$H155&gt;12,$I155&lt;1,$I155&gt;31),"نامعتبر",RIGHT("0000"&amp;$G155,4)&amp;"/"&amp;RIGHT("00"&amp;$H155,2)&amp;"/"&amp;RIGHT("00"&amp;$I155,2)))</f>
        <v/>
      </c>
      <c r="K155">
        <f>IF(OR($F155="",$J155="",$J155="نامعتبر"),"",LEFT($J155,4)&amp;MID($J155,6,2)&amp;RIGHT($J155,2)&amp;$N155&amp;"|"&amp;"2"&amp;RIGHT("00000"&amp;150,5))</f>
        <v/>
      </c>
      <c r="L155">
        <f>IF($K155="","",COUNTIFS(LdgSellerA,$F155,LdgKeyA,"&lt;"&amp;$K155)+COUNTIFS(LdgSellerB,$F155,LdgKeyB,"&lt;"&amp;$K155)+1)</f>
        <v/>
      </c>
      <c r="M155">
        <f>IF($L155="","",$F155&amp;"|"&amp;RIGHT("000000"&amp;$L155,6))</f>
        <v/>
      </c>
      <c r="N155">
        <f>IF($F155="","",IF(Sync!$AF155="","0000",IF(AND(ISNUMBER(Sync!$AF155),Sync!$AF155&gt;=0,Sync!$AF155&lt;1),RIGHT("00"&amp;HOUR(Sync!$AF155),2)&amp;RIGHT("00"&amp;MINUTE(Sync!$AF155),2),IFERROR(RIGHT("00"&amp;VALUE(LEFT(Sync!$AF155,FIND(":",Sync!$AF155)-1)),2)&amp;RIGHT("00"&amp;VALUE(MID(Sync!$AF155,FIND(":",Sync!$AF155)+1,2)),2),"0000"))))</f>
        <v/>
      </c>
    </row>
    <row r="156">
      <c r="A156">
        <f>IF(OR(Calc!$E160="",Calc!$E160="نامعتبر",Calc!$G160=""),"",Calc!$G160)</f>
        <v/>
      </c>
      <c r="B156">
        <f>IF($A156="","",LEFT(Calc!$E160,4)&amp;MID(Calc!$E160,6,2)&amp;RIGHT(Calc!$E160,2)&amp;Calc!$Q160&amp;"|"&amp;"1"&amp;RIGHT("00000"&amp;151,5))</f>
        <v/>
      </c>
      <c r="C156">
        <f>IF($B156="","",COUNTIFS(LdgSellerA,$A156,LdgKeyA,"&lt;"&amp;$B156)+COUNTIFS(LdgSellerB,$A156,LdgKeyB,"&lt;"&amp;$B156)+1)</f>
        <v/>
      </c>
      <c r="D156">
        <f>IF($C156="","",$A156&amp;"|"&amp;RIGHT("000000"&amp;$C156,6))</f>
        <v/>
      </c>
      <c r="F156">
        <f>IF(Sync!$AH156="","",IF(LEFT(UPPER(TRIM(Sync!$AH156)),2)="SL",UPPER(TRIM(Sync!$AH156)),""))</f>
        <v/>
      </c>
      <c r="G156">
        <f>IF($F156="","",IF(Sync!$AE156="","",IF(ISNUMBER(Sync!$AE156),IF(AND(Sync!$AE156&gt;=10000101,Sync!$AE156&lt;=99991231),INT(Sync!$AE156/10000),""),IFERROR(VALUE(TRIM(LEFT(Sync!$AE156,FIND("/",Sync!$AE156)-1))),""))))</f>
        <v/>
      </c>
      <c r="H156">
        <f>IF(OR($F156="",$G156=""),"",IF(ISNUMBER(Sync!$AE156),INT(MOD(Sync!$AE156,10000)/100),IFERROR(VALUE(TRIM(LEFT(MID(Sync!$AE156,FIND("/",Sync!$AE156)+1,20),FIND("/",MID(Sync!$AE156,FIND("/",Sync!$AE156)+1,20))-1))),"")))</f>
        <v/>
      </c>
      <c r="I156">
        <f>IF(OR($F156="",$G156=""),"",IF(ISNUMBER(Sync!$AE156),MOD(Sync!$AE156,100),IFERROR(VALUE(TRIM(MID(MID(Sync!$AE156,FIND("/",Sync!$AE156)+1,20),FIND("/",MID(Sync!$AE156,FIND("/",Sync!$AE156)+1,20))+1,20))),"")))</f>
        <v/>
      </c>
      <c r="J156">
        <f>IF($F156="","",IF(OR($G156="",$H156="",$I156="",$G156&lt;1300,$G156&gt;1500,$H156&lt;1,$H156&gt;12,$I156&lt;1,$I156&gt;31),"نامعتبر",RIGHT("0000"&amp;$G156,4)&amp;"/"&amp;RIGHT("00"&amp;$H156,2)&amp;"/"&amp;RIGHT("00"&amp;$I156,2)))</f>
        <v/>
      </c>
      <c r="K156">
        <f>IF(OR($F156="",$J156="",$J156="نامعتبر"),"",LEFT($J156,4)&amp;MID($J156,6,2)&amp;RIGHT($J156,2)&amp;$N156&amp;"|"&amp;"2"&amp;RIGHT("00000"&amp;151,5))</f>
        <v/>
      </c>
      <c r="L156">
        <f>IF($K156="","",COUNTIFS(LdgSellerA,$F156,LdgKeyA,"&lt;"&amp;$K156)+COUNTIFS(LdgSellerB,$F156,LdgKeyB,"&lt;"&amp;$K156)+1)</f>
        <v/>
      </c>
      <c r="M156">
        <f>IF($L156="","",$F156&amp;"|"&amp;RIGHT("000000"&amp;$L156,6))</f>
        <v/>
      </c>
      <c r="N156">
        <f>IF($F156="","",IF(Sync!$AF156="","0000",IF(AND(ISNUMBER(Sync!$AF156),Sync!$AF156&gt;=0,Sync!$AF156&lt;1),RIGHT("00"&amp;HOUR(Sync!$AF156),2)&amp;RIGHT("00"&amp;MINUTE(Sync!$AF156),2),IFERROR(RIGHT("00"&amp;VALUE(LEFT(Sync!$AF156,FIND(":",Sync!$AF156)-1)),2)&amp;RIGHT("00"&amp;VALUE(MID(Sync!$AF156,FIND(":",Sync!$AF156)+1,2)),2),"0000"))))</f>
        <v/>
      </c>
    </row>
    <row r="157">
      <c r="A157">
        <f>IF(OR(Calc!$E161="",Calc!$E161="نامعتبر",Calc!$G161=""),"",Calc!$G161)</f>
        <v/>
      </c>
      <c r="B157">
        <f>IF($A157="","",LEFT(Calc!$E161,4)&amp;MID(Calc!$E161,6,2)&amp;RIGHT(Calc!$E161,2)&amp;Calc!$Q161&amp;"|"&amp;"1"&amp;RIGHT("00000"&amp;152,5))</f>
        <v/>
      </c>
      <c r="C157">
        <f>IF($B157="","",COUNTIFS(LdgSellerA,$A157,LdgKeyA,"&lt;"&amp;$B157)+COUNTIFS(LdgSellerB,$A157,LdgKeyB,"&lt;"&amp;$B157)+1)</f>
        <v/>
      </c>
      <c r="D157">
        <f>IF($C157="","",$A157&amp;"|"&amp;RIGHT("000000"&amp;$C157,6))</f>
        <v/>
      </c>
      <c r="F157">
        <f>IF(Sync!$AH157="","",IF(LEFT(UPPER(TRIM(Sync!$AH157)),2)="SL",UPPER(TRIM(Sync!$AH157)),""))</f>
        <v/>
      </c>
      <c r="G157">
        <f>IF($F157="","",IF(Sync!$AE157="","",IF(ISNUMBER(Sync!$AE157),IF(AND(Sync!$AE157&gt;=10000101,Sync!$AE157&lt;=99991231),INT(Sync!$AE157/10000),""),IFERROR(VALUE(TRIM(LEFT(Sync!$AE157,FIND("/",Sync!$AE157)-1))),""))))</f>
        <v/>
      </c>
      <c r="H157">
        <f>IF(OR($F157="",$G157=""),"",IF(ISNUMBER(Sync!$AE157),INT(MOD(Sync!$AE157,10000)/100),IFERROR(VALUE(TRIM(LEFT(MID(Sync!$AE157,FIND("/",Sync!$AE157)+1,20),FIND("/",MID(Sync!$AE157,FIND("/",Sync!$AE157)+1,20))-1))),"")))</f>
        <v/>
      </c>
      <c r="I157">
        <f>IF(OR($F157="",$G157=""),"",IF(ISNUMBER(Sync!$AE157),MOD(Sync!$AE157,100),IFERROR(VALUE(TRIM(MID(MID(Sync!$AE157,FIND("/",Sync!$AE157)+1,20),FIND("/",MID(Sync!$AE157,FIND("/",Sync!$AE157)+1,20))+1,20))),"")))</f>
        <v/>
      </c>
      <c r="J157">
        <f>IF($F157="","",IF(OR($G157="",$H157="",$I157="",$G157&lt;1300,$G157&gt;1500,$H157&lt;1,$H157&gt;12,$I157&lt;1,$I157&gt;31),"نامعتبر",RIGHT("0000"&amp;$G157,4)&amp;"/"&amp;RIGHT("00"&amp;$H157,2)&amp;"/"&amp;RIGHT("00"&amp;$I157,2)))</f>
        <v/>
      </c>
      <c r="K157">
        <f>IF(OR($F157="",$J157="",$J157="نامعتبر"),"",LEFT($J157,4)&amp;MID($J157,6,2)&amp;RIGHT($J157,2)&amp;$N157&amp;"|"&amp;"2"&amp;RIGHT("00000"&amp;152,5))</f>
        <v/>
      </c>
      <c r="L157">
        <f>IF($K157="","",COUNTIFS(LdgSellerA,$F157,LdgKeyA,"&lt;"&amp;$K157)+COUNTIFS(LdgSellerB,$F157,LdgKeyB,"&lt;"&amp;$K157)+1)</f>
        <v/>
      </c>
      <c r="M157">
        <f>IF($L157="","",$F157&amp;"|"&amp;RIGHT("000000"&amp;$L157,6))</f>
        <v/>
      </c>
      <c r="N157">
        <f>IF($F157="","",IF(Sync!$AF157="","0000",IF(AND(ISNUMBER(Sync!$AF157),Sync!$AF157&gt;=0,Sync!$AF157&lt;1),RIGHT("00"&amp;HOUR(Sync!$AF157),2)&amp;RIGHT("00"&amp;MINUTE(Sync!$AF157),2),IFERROR(RIGHT("00"&amp;VALUE(LEFT(Sync!$AF157,FIND(":",Sync!$AF157)-1)),2)&amp;RIGHT("00"&amp;VALUE(MID(Sync!$AF157,FIND(":",Sync!$AF157)+1,2)),2),"0000"))))</f>
        <v/>
      </c>
    </row>
    <row r="158">
      <c r="A158">
        <f>IF(OR(Calc!$E162="",Calc!$E162="نامعتبر",Calc!$G162=""),"",Calc!$G162)</f>
        <v/>
      </c>
      <c r="B158">
        <f>IF($A158="","",LEFT(Calc!$E162,4)&amp;MID(Calc!$E162,6,2)&amp;RIGHT(Calc!$E162,2)&amp;Calc!$Q162&amp;"|"&amp;"1"&amp;RIGHT("00000"&amp;153,5))</f>
        <v/>
      </c>
      <c r="C158">
        <f>IF($B158="","",COUNTIFS(LdgSellerA,$A158,LdgKeyA,"&lt;"&amp;$B158)+COUNTIFS(LdgSellerB,$A158,LdgKeyB,"&lt;"&amp;$B158)+1)</f>
        <v/>
      </c>
      <c r="D158">
        <f>IF($C158="","",$A158&amp;"|"&amp;RIGHT("000000"&amp;$C158,6))</f>
        <v/>
      </c>
      <c r="F158">
        <f>IF(Sync!$AH158="","",IF(LEFT(UPPER(TRIM(Sync!$AH158)),2)="SL",UPPER(TRIM(Sync!$AH158)),""))</f>
        <v/>
      </c>
      <c r="G158">
        <f>IF($F158="","",IF(Sync!$AE158="","",IF(ISNUMBER(Sync!$AE158),IF(AND(Sync!$AE158&gt;=10000101,Sync!$AE158&lt;=99991231),INT(Sync!$AE158/10000),""),IFERROR(VALUE(TRIM(LEFT(Sync!$AE158,FIND("/",Sync!$AE158)-1))),""))))</f>
        <v/>
      </c>
      <c r="H158">
        <f>IF(OR($F158="",$G158=""),"",IF(ISNUMBER(Sync!$AE158),INT(MOD(Sync!$AE158,10000)/100),IFERROR(VALUE(TRIM(LEFT(MID(Sync!$AE158,FIND("/",Sync!$AE158)+1,20),FIND("/",MID(Sync!$AE158,FIND("/",Sync!$AE158)+1,20))-1))),"")))</f>
        <v/>
      </c>
      <c r="I158">
        <f>IF(OR($F158="",$G158=""),"",IF(ISNUMBER(Sync!$AE158),MOD(Sync!$AE158,100),IFERROR(VALUE(TRIM(MID(MID(Sync!$AE158,FIND("/",Sync!$AE158)+1,20),FIND("/",MID(Sync!$AE158,FIND("/",Sync!$AE158)+1,20))+1,20))),"")))</f>
        <v/>
      </c>
      <c r="J158">
        <f>IF($F158="","",IF(OR($G158="",$H158="",$I158="",$G158&lt;1300,$G158&gt;1500,$H158&lt;1,$H158&gt;12,$I158&lt;1,$I158&gt;31),"نامعتبر",RIGHT("0000"&amp;$G158,4)&amp;"/"&amp;RIGHT("00"&amp;$H158,2)&amp;"/"&amp;RIGHT("00"&amp;$I158,2)))</f>
        <v/>
      </c>
      <c r="K158">
        <f>IF(OR($F158="",$J158="",$J158="نامعتبر"),"",LEFT($J158,4)&amp;MID($J158,6,2)&amp;RIGHT($J158,2)&amp;$N158&amp;"|"&amp;"2"&amp;RIGHT("00000"&amp;153,5))</f>
        <v/>
      </c>
      <c r="L158">
        <f>IF($K158="","",COUNTIFS(LdgSellerA,$F158,LdgKeyA,"&lt;"&amp;$K158)+COUNTIFS(LdgSellerB,$F158,LdgKeyB,"&lt;"&amp;$K158)+1)</f>
        <v/>
      </c>
      <c r="M158">
        <f>IF($L158="","",$F158&amp;"|"&amp;RIGHT("000000"&amp;$L158,6))</f>
        <v/>
      </c>
      <c r="N158">
        <f>IF($F158="","",IF(Sync!$AF158="","0000",IF(AND(ISNUMBER(Sync!$AF158),Sync!$AF158&gt;=0,Sync!$AF158&lt;1),RIGHT("00"&amp;HOUR(Sync!$AF158),2)&amp;RIGHT("00"&amp;MINUTE(Sync!$AF158),2),IFERROR(RIGHT("00"&amp;VALUE(LEFT(Sync!$AF158,FIND(":",Sync!$AF158)-1)),2)&amp;RIGHT("00"&amp;VALUE(MID(Sync!$AF158,FIND(":",Sync!$AF158)+1,2)),2),"0000"))))</f>
        <v/>
      </c>
    </row>
    <row r="159">
      <c r="A159">
        <f>IF(OR(Calc!$E163="",Calc!$E163="نامعتبر",Calc!$G163=""),"",Calc!$G163)</f>
        <v/>
      </c>
      <c r="B159">
        <f>IF($A159="","",LEFT(Calc!$E163,4)&amp;MID(Calc!$E163,6,2)&amp;RIGHT(Calc!$E163,2)&amp;Calc!$Q163&amp;"|"&amp;"1"&amp;RIGHT("00000"&amp;154,5))</f>
        <v/>
      </c>
      <c r="C159">
        <f>IF($B159="","",COUNTIFS(LdgSellerA,$A159,LdgKeyA,"&lt;"&amp;$B159)+COUNTIFS(LdgSellerB,$A159,LdgKeyB,"&lt;"&amp;$B159)+1)</f>
        <v/>
      </c>
      <c r="D159">
        <f>IF($C159="","",$A159&amp;"|"&amp;RIGHT("000000"&amp;$C159,6))</f>
        <v/>
      </c>
      <c r="F159">
        <f>IF(Sync!$AH159="","",IF(LEFT(UPPER(TRIM(Sync!$AH159)),2)="SL",UPPER(TRIM(Sync!$AH159)),""))</f>
        <v/>
      </c>
      <c r="G159">
        <f>IF($F159="","",IF(Sync!$AE159="","",IF(ISNUMBER(Sync!$AE159),IF(AND(Sync!$AE159&gt;=10000101,Sync!$AE159&lt;=99991231),INT(Sync!$AE159/10000),""),IFERROR(VALUE(TRIM(LEFT(Sync!$AE159,FIND("/",Sync!$AE159)-1))),""))))</f>
        <v/>
      </c>
      <c r="H159">
        <f>IF(OR($F159="",$G159=""),"",IF(ISNUMBER(Sync!$AE159),INT(MOD(Sync!$AE159,10000)/100),IFERROR(VALUE(TRIM(LEFT(MID(Sync!$AE159,FIND("/",Sync!$AE159)+1,20),FIND("/",MID(Sync!$AE159,FIND("/",Sync!$AE159)+1,20))-1))),"")))</f>
        <v/>
      </c>
      <c r="I159">
        <f>IF(OR($F159="",$G159=""),"",IF(ISNUMBER(Sync!$AE159),MOD(Sync!$AE159,100),IFERROR(VALUE(TRIM(MID(MID(Sync!$AE159,FIND("/",Sync!$AE159)+1,20),FIND("/",MID(Sync!$AE159,FIND("/",Sync!$AE159)+1,20))+1,20))),"")))</f>
        <v/>
      </c>
      <c r="J159">
        <f>IF($F159="","",IF(OR($G159="",$H159="",$I159="",$G159&lt;1300,$G159&gt;1500,$H159&lt;1,$H159&gt;12,$I159&lt;1,$I159&gt;31),"نامعتبر",RIGHT("0000"&amp;$G159,4)&amp;"/"&amp;RIGHT("00"&amp;$H159,2)&amp;"/"&amp;RIGHT("00"&amp;$I159,2)))</f>
        <v/>
      </c>
      <c r="K159">
        <f>IF(OR($F159="",$J159="",$J159="نامعتبر"),"",LEFT($J159,4)&amp;MID($J159,6,2)&amp;RIGHT($J159,2)&amp;$N159&amp;"|"&amp;"2"&amp;RIGHT("00000"&amp;154,5))</f>
        <v/>
      </c>
      <c r="L159">
        <f>IF($K159="","",COUNTIFS(LdgSellerA,$F159,LdgKeyA,"&lt;"&amp;$K159)+COUNTIFS(LdgSellerB,$F159,LdgKeyB,"&lt;"&amp;$K159)+1)</f>
        <v/>
      </c>
      <c r="M159">
        <f>IF($L159="","",$F159&amp;"|"&amp;RIGHT("000000"&amp;$L159,6))</f>
        <v/>
      </c>
      <c r="N159">
        <f>IF($F159="","",IF(Sync!$AF159="","0000",IF(AND(ISNUMBER(Sync!$AF159),Sync!$AF159&gt;=0,Sync!$AF159&lt;1),RIGHT("00"&amp;HOUR(Sync!$AF159),2)&amp;RIGHT("00"&amp;MINUTE(Sync!$AF159),2),IFERROR(RIGHT("00"&amp;VALUE(LEFT(Sync!$AF159,FIND(":",Sync!$AF159)-1)),2)&amp;RIGHT("00"&amp;VALUE(MID(Sync!$AF159,FIND(":",Sync!$AF159)+1,2)),2),"0000"))))</f>
        <v/>
      </c>
    </row>
    <row r="160">
      <c r="A160">
        <f>IF(OR(Calc!$E164="",Calc!$E164="نامعتبر",Calc!$G164=""),"",Calc!$G164)</f>
        <v/>
      </c>
      <c r="B160">
        <f>IF($A160="","",LEFT(Calc!$E164,4)&amp;MID(Calc!$E164,6,2)&amp;RIGHT(Calc!$E164,2)&amp;Calc!$Q164&amp;"|"&amp;"1"&amp;RIGHT("00000"&amp;155,5))</f>
        <v/>
      </c>
      <c r="C160">
        <f>IF($B160="","",COUNTIFS(LdgSellerA,$A160,LdgKeyA,"&lt;"&amp;$B160)+COUNTIFS(LdgSellerB,$A160,LdgKeyB,"&lt;"&amp;$B160)+1)</f>
        <v/>
      </c>
      <c r="D160">
        <f>IF($C160="","",$A160&amp;"|"&amp;RIGHT("000000"&amp;$C160,6))</f>
        <v/>
      </c>
      <c r="F160">
        <f>IF(Sync!$AH160="","",IF(LEFT(UPPER(TRIM(Sync!$AH160)),2)="SL",UPPER(TRIM(Sync!$AH160)),""))</f>
        <v/>
      </c>
      <c r="G160">
        <f>IF($F160="","",IF(Sync!$AE160="","",IF(ISNUMBER(Sync!$AE160),IF(AND(Sync!$AE160&gt;=10000101,Sync!$AE160&lt;=99991231),INT(Sync!$AE160/10000),""),IFERROR(VALUE(TRIM(LEFT(Sync!$AE160,FIND("/",Sync!$AE160)-1))),""))))</f>
        <v/>
      </c>
      <c r="H160">
        <f>IF(OR($F160="",$G160=""),"",IF(ISNUMBER(Sync!$AE160),INT(MOD(Sync!$AE160,10000)/100),IFERROR(VALUE(TRIM(LEFT(MID(Sync!$AE160,FIND("/",Sync!$AE160)+1,20),FIND("/",MID(Sync!$AE160,FIND("/",Sync!$AE160)+1,20))-1))),"")))</f>
        <v/>
      </c>
      <c r="I160">
        <f>IF(OR($F160="",$G160=""),"",IF(ISNUMBER(Sync!$AE160),MOD(Sync!$AE160,100),IFERROR(VALUE(TRIM(MID(MID(Sync!$AE160,FIND("/",Sync!$AE160)+1,20),FIND("/",MID(Sync!$AE160,FIND("/",Sync!$AE160)+1,20))+1,20))),"")))</f>
        <v/>
      </c>
      <c r="J160">
        <f>IF($F160="","",IF(OR($G160="",$H160="",$I160="",$G160&lt;1300,$G160&gt;1500,$H160&lt;1,$H160&gt;12,$I160&lt;1,$I160&gt;31),"نامعتبر",RIGHT("0000"&amp;$G160,4)&amp;"/"&amp;RIGHT("00"&amp;$H160,2)&amp;"/"&amp;RIGHT("00"&amp;$I160,2)))</f>
        <v/>
      </c>
      <c r="K160">
        <f>IF(OR($F160="",$J160="",$J160="نامعتبر"),"",LEFT($J160,4)&amp;MID($J160,6,2)&amp;RIGHT($J160,2)&amp;$N160&amp;"|"&amp;"2"&amp;RIGHT("00000"&amp;155,5))</f>
        <v/>
      </c>
      <c r="L160">
        <f>IF($K160="","",COUNTIFS(LdgSellerA,$F160,LdgKeyA,"&lt;"&amp;$K160)+COUNTIFS(LdgSellerB,$F160,LdgKeyB,"&lt;"&amp;$K160)+1)</f>
        <v/>
      </c>
      <c r="M160">
        <f>IF($L160="","",$F160&amp;"|"&amp;RIGHT("000000"&amp;$L160,6))</f>
        <v/>
      </c>
      <c r="N160">
        <f>IF($F160="","",IF(Sync!$AF160="","0000",IF(AND(ISNUMBER(Sync!$AF160),Sync!$AF160&gt;=0,Sync!$AF160&lt;1),RIGHT("00"&amp;HOUR(Sync!$AF160),2)&amp;RIGHT("00"&amp;MINUTE(Sync!$AF160),2),IFERROR(RIGHT("00"&amp;VALUE(LEFT(Sync!$AF160,FIND(":",Sync!$AF160)-1)),2)&amp;RIGHT("00"&amp;VALUE(MID(Sync!$AF160,FIND(":",Sync!$AF160)+1,2)),2),"0000"))))</f>
        <v/>
      </c>
    </row>
    <row r="161">
      <c r="A161">
        <f>IF(OR(Calc!$E165="",Calc!$E165="نامعتبر",Calc!$G165=""),"",Calc!$G165)</f>
        <v/>
      </c>
      <c r="B161">
        <f>IF($A161="","",LEFT(Calc!$E165,4)&amp;MID(Calc!$E165,6,2)&amp;RIGHT(Calc!$E165,2)&amp;Calc!$Q165&amp;"|"&amp;"1"&amp;RIGHT("00000"&amp;156,5))</f>
        <v/>
      </c>
      <c r="C161">
        <f>IF($B161="","",COUNTIFS(LdgSellerA,$A161,LdgKeyA,"&lt;"&amp;$B161)+COUNTIFS(LdgSellerB,$A161,LdgKeyB,"&lt;"&amp;$B161)+1)</f>
        <v/>
      </c>
      <c r="D161">
        <f>IF($C161="","",$A161&amp;"|"&amp;RIGHT("000000"&amp;$C161,6))</f>
        <v/>
      </c>
      <c r="F161">
        <f>IF(Sync!$AH161="","",IF(LEFT(UPPER(TRIM(Sync!$AH161)),2)="SL",UPPER(TRIM(Sync!$AH161)),""))</f>
        <v/>
      </c>
      <c r="G161">
        <f>IF($F161="","",IF(Sync!$AE161="","",IF(ISNUMBER(Sync!$AE161),IF(AND(Sync!$AE161&gt;=10000101,Sync!$AE161&lt;=99991231),INT(Sync!$AE161/10000),""),IFERROR(VALUE(TRIM(LEFT(Sync!$AE161,FIND("/",Sync!$AE161)-1))),""))))</f>
        <v/>
      </c>
      <c r="H161">
        <f>IF(OR($F161="",$G161=""),"",IF(ISNUMBER(Sync!$AE161),INT(MOD(Sync!$AE161,10000)/100),IFERROR(VALUE(TRIM(LEFT(MID(Sync!$AE161,FIND("/",Sync!$AE161)+1,20),FIND("/",MID(Sync!$AE161,FIND("/",Sync!$AE161)+1,20))-1))),"")))</f>
        <v/>
      </c>
      <c r="I161">
        <f>IF(OR($F161="",$G161=""),"",IF(ISNUMBER(Sync!$AE161),MOD(Sync!$AE161,100),IFERROR(VALUE(TRIM(MID(MID(Sync!$AE161,FIND("/",Sync!$AE161)+1,20),FIND("/",MID(Sync!$AE161,FIND("/",Sync!$AE161)+1,20))+1,20))),"")))</f>
        <v/>
      </c>
      <c r="J161">
        <f>IF($F161="","",IF(OR($G161="",$H161="",$I161="",$G161&lt;1300,$G161&gt;1500,$H161&lt;1,$H161&gt;12,$I161&lt;1,$I161&gt;31),"نامعتبر",RIGHT("0000"&amp;$G161,4)&amp;"/"&amp;RIGHT("00"&amp;$H161,2)&amp;"/"&amp;RIGHT("00"&amp;$I161,2)))</f>
        <v/>
      </c>
      <c r="K161">
        <f>IF(OR($F161="",$J161="",$J161="نامعتبر"),"",LEFT($J161,4)&amp;MID($J161,6,2)&amp;RIGHT($J161,2)&amp;$N161&amp;"|"&amp;"2"&amp;RIGHT("00000"&amp;156,5))</f>
        <v/>
      </c>
      <c r="L161">
        <f>IF($K161="","",COUNTIFS(LdgSellerA,$F161,LdgKeyA,"&lt;"&amp;$K161)+COUNTIFS(LdgSellerB,$F161,LdgKeyB,"&lt;"&amp;$K161)+1)</f>
        <v/>
      </c>
      <c r="M161">
        <f>IF($L161="","",$F161&amp;"|"&amp;RIGHT("000000"&amp;$L161,6))</f>
        <v/>
      </c>
      <c r="N161">
        <f>IF($F161="","",IF(Sync!$AF161="","0000",IF(AND(ISNUMBER(Sync!$AF161),Sync!$AF161&gt;=0,Sync!$AF161&lt;1),RIGHT("00"&amp;HOUR(Sync!$AF161),2)&amp;RIGHT("00"&amp;MINUTE(Sync!$AF161),2),IFERROR(RIGHT("00"&amp;VALUE(LEFT(Sync!$AF161,FIND(":",Sync!$AF161)-1)),2)&amp;RIGHT("00"&amp;VALUE(MID(Sync!$AF161,FIND(":",Sync!$AF161)+1,2)),2),"0000"))))</f>
        <v/>
      </c>
    </row>
    <row r="162">
      <c r="A162">
        <f>IF(OR(Calc!$E166="",Calc!$E166="نامعتبر",Calc!$G166=""),"",Calc!$G166)</f>
        <v/>
      </c>
      <c r="B162">
        <f>IF($A162="","",LEFT(Calc!$E166,4)&amp;MID(Calc!$E166,6,2)&amp;RIGHT(Calc!$E166,2)&amp;Calc!$Q166&amp;"|"&amp;"1"&amp;RIGHT("00000"&amp;157,5))</f>
        <v/>
      </c>
      <c r="C162">
        <f>IF($B162="","",COUNTIFS(LdgSellerA,$A162,LdgKeyA,"&lt;"&amp;$B162)+COUNTIFS(LdgSellerB,$A162,LdgKeyB,"&lt;"&amp;$B162)+1)</f>
        <v/>
      </c>
      <c r="D162">
        <f>IF($C162="","",$A162&amp;"|"&amp;RIGHT("000000"&amp;$C162,6))</f>
        <v/>
      </c>
      <c r="F162">
        <f>IF(Sync!$AH162="","",IF(LEFT(UPPER(TRIM(Sync!$AH162)),2)="SL",UPPER(TRIM(Sync!$AH162)),""))</f>
        <v/>
      </c>
      <c r="G162">
        <f>IF($F162="","",IF(Sync!$AE162="","",IF(ISNUMBER(Sync!$AE162),IF(AND(Sync!$AE162&gt;=10000101,Sync!$AE162&lt;=99991231),INT(Sync!$AE162/10000),""),IFERROR(VALUE(TRIM(LEFT(Sync!$AE162,FIND("/",Sync!$AE162)-1))),""))))</f>
        <v/>
      </c>
      <c r="H162">
        <f>IF(OR($F162="",$G162=""),"",IF(ISNUMBER(Sync!$AE162),INT(MOD(Sync!$AE162,10000)/100),IFERROR(VALUE(TRIM(LEFT(MID(Sync!$AE162,FIND("/",Sync!$AE162)+1,20),FIND("/",MID(Sync!$AE162,FIND("/",Sync!$AE162)+1,20))-1))),"")))</f>
        <v/>
      </c>
      <c r="I162">
        <f>IF(OR($F162="",$G162=""),"",IF(ISNUMBER(Sync!$AE162),MOD(Sync!$AE162,100),IFERROR(VALUE(TRIM(MID(MID(Sync!$AE162,FIND("/",Sync!$AE162)+1,20),FIND("/",MID(Sync!$AE162,FIND("/",Sync!$AE162)+1,20))+1,20))),"")))</f>
        <v/>
      </c>
      <c r="J162">
        <f>IF($F162="","",IF(OR($G162="",$H162="",$I162="",$G162&lt;1300,$G162&gt;1500,$H162&lt;1,$H162&gt;12,$I162&lt;1,$I162&gt;31),"نامعتبر",RIGHT("0000"&amp;$G162,4)&amp;"/"&amp;RIGHT("00"&amp;$H162,2)&amp;"/"&amp;RIGHT("00"&amp;$I162,2)))</f>
        <v/>
      </c>
      <c r="K162">
        <f>IF(OR($F162="",$J162="",$J162="نامعتبر"),"",LEFT($J162,4)&amp;MID($J162,6,2)&amp;RIGHT($J162,2)&amp;$N162&amp;"|"&amp;"2"&amp;RIGHT("00000"&amp;157,5))</f>
        <v/>
      </c>
      <c r="L162">
        <f>IF($K162="","",COUNTIFS(LdgSellerA,$F162,LdgKeyA,"&lt;"&amp;$K162)+COUNTIFS(LdgSellerB,$F162,LdgKeyB,"&lt;"&amp;$K162)+1)</f>
        <v/>
      </c>
      <c r="M162">
        <f>IF($L162="","",$F162&amp;"|"&amp;RIGHT("000000"&amp;$L162,6))</f>
        <v/>
      </c>
      <c r="N162">
        <f>IF($F162="","",IF(Sync!$AF162="","0000",IF(AND(ISNUMBER(Sync!$AF162),Sync!$AF162&gt;=0,Sync!$AF162&lt;1),RIGHT("00"&amp;HOUR(Sync!$AF162),2)&amp;RIGHT("00"&amp;MINUTE(Sync!$AF162),2),IFERROR(RIGHT("00"&amp;VALUE(LEFT(Sync!$AF162,FIND(":",Sync!$AF162)-1)),2)&amp;RIGHT("00"&amp;VALUE(MID(Sync!$AF162,FIND(":",Sync!$AF162)+1,2)),2),"0000"))))</f>
        <v/>
      </c>
    </row>
    <row r="163">
      <c r="A163">
        <f>IF(OR(Calc!$E167="",Calc!$E167="نامعتبر",Calc!$G167=""),"",Calc!$G167)</f>
        <v/>
      </c>
      <c r="B163">
        <f>IF($A163="","",LEFT(Calc!$E167,4)&amp;MID(Calc!$E167,6,2)&amp;RIGHT(Calc!$E167,2)&amp;Calc!$Q167&amp;"|"&amp;"1"&amp;RIGHT("00000"&amp;158,5))</f>
        <v/>
      </c>
      <c r="C163">
        <f>IF($B163="","",COUNTIFS(LdgSellerA,$A163,LdgKeyA,"&lt;"&amp;$B163)+COUNTIFS(LdgSellerB,$A163,LdgKeyB,"&lt;"&amp;$B163)+1)</f>
        <v/>
      </c>
      <c r="D163">
        <f>IF($C163="","",$A163&amp;"|"&amp;RIGHT("000000"&amp;$C163,6))</f>
        <v/>
      </c>
      <c r="F163">
        <f>IF(Sync!$AH163="","",IF(LEFT(UPPER(TRIM(Sync!$AH163)),2)="SL",UPPER(TRIM(Sync!$AH163)),""))</f>
        <v/>
      </c>
      <c r="G163">
        <f>IF($F163="","",IF(Sync!$AE163="","",IF(ISNUMBER(Sync!$AE163),IF(AND(Sync!$AE163&gt;=10000101,Sync!$AE163&lt;=99991231),INT(Sync!$AE163/10000),""),IFERROR(VALUE(TRIM(LEFT(Sync!$AE163,FIND("/",Sync!$AE163)-1))),""))))</f>
        <v/>
      </c>
      <c r="H163">
        <f>IF(OR($F163="",$G163=""),"",IF(ISNUMBER(Sync!$AE163),INT(MOD(Sync!$AE163,10000)/100),IFERROR(VALUE(TRIM(LEFT(MID(Sync!$AE163,FIND("/",Sync!$AE163)+1,20),FIND("/",MID(Sync!$AE163,FIND("/",Sync!$AE163)+1,20))-1))),"")))</f>
        <v/>
      </c>
      <c r="I163">
        <f>IF(OR($F163="",$G163=""),"",IF(ISNUMBER(Sync!$AE163),MOD(Sync!$AE163,100),IFERROR(VALUE(TRIM(MID(MID(Sync!$AE163,FIND("/",Sync!$AE163)+1,20),FIND("/",MID(Sync!$AE163,FIND("/",Sync!$AE163)+1,20))+1,20))),"")))</f>
        <v/>
      </c>
      <c r="J163">
        <f>IF($F163="","",IF(OR($G163="",$H163="",$I163="",$G163&lt;1300,$G163&gt;1500,$H163&lt;1,$H163&gt;12,$I163&lt;1,$I163&gt;31),"نامعتبر",RIGHT("0000"&amp;$G163,4)&amp;"/"&amp;RIGHT("00"&amp;$H163,2)&amp;"/"&amp;RIGHT("00"&amp;$I163,2)))</f>
        <v/>
      </c>
      <c r="K163">
        <f>IF(OR($F163="",$J163="",$J163="نامعتبر"),"",LEFT($J163,4)&amp;MID($J163,6,2)&amp;RIGHT($J163,2)&amp;$N163&amp;"|"&amp;"2"&amp;RIGHT("00000"&amp;158,5))</f>
        <v/>
      </c>
      <c r="L163">
        <f>IF($K163="","",COUNTIFS(LdgSellerA,$F163,LdgKeyA,"&lt;"&amp;$K163)+COUNTIFS(LdgSellerB,$F163,LdgKeyB,"&lt;"&amp;$K163)+1)</f>
        <v/>
      </c>
      <c r="M163">
        <f>IF($L163="","",$F163&amp;"|"&amp;RIGHT("000000"&amp;$L163,6))</f>
        <v/>
      </c>
      <c r="N163">
        <f>IF($F163="","",IF(Sync!$AF163="","0000",IF(AND(ISNUMBER(Sync!$AF163),Sync!$AF163&gt;=0,Sync!$AF163&lt;1),RIGHT("00"&amp;HOUR(Sync!$AF163),2)&amp;RIGHT("00"&amp;MINUTE(Sync!$AF163),2),IFERROR(RIGHT("00"&amp;VALUE(LEFT(Sync!$AF163,FIND(":",Sync!$AF163)-1)),2)&amp;RIGHT("00"&amp;VALUE(MID(Sync!$AF163,FIND(":",Sync!$AF163)+1,2)),2),"0000"))))</f>
        <v/>
      </c>
    </row>
    <row r="164">
      <c r="A164">
        <f>IF(OR(Calc!$E168="",Calc!$E168="نامعتبر",Calc!$G168=""),"",Calc!$G168)</f>
        <v/>
      </c>
      <c r="B164">
        <f>IF($A164="","",LEFT(Calc!$E168,4)&amp;MID(Calc!$E168,6,2)&amp;RIGHT(Calc!$E168,2)&amp;Calc!$Q168&amp;"|"&amp;"1"&amp;RIGHT("00000"&amp;159,5))</f>
        <v/>
      </c>
      <c r="C164">
        <f>IF($B164="","",COUNTIFS(LdgSellerA,$A164,LdgKeyA,"&lt;"&amp;$B164)+COUNTIFS(LdgSellerB,$A164,LdgKeyB,"&lt;"&amp;$B164)+1)</f>
        <v/>
      </c>
      <c r="D164">
        <f>IF($C164="","",$A164&amp;"|"&amp;RIGHT("000000"&amp;$C164,6))</f>
        <v/>
      </c>
      <c r="F164">
        <f>IF(Sync!$AH164="","",IF(LEFT(UPPER(TRIM(Sync!$AH164)),2)="SL",UPPER(TRIM(Sync!$AH164)),""))</f>
        <v/>
      </c>
      <c r="G164">
        <f>IF($F164="","",IF(Sync!$AE164="","",IF(ISNUMBER(Sync!$AE164),IF(AND(Sync!$AE164&gt;=10000101,Sync!$AE164&lt;=99991231),INT(Sync!$AE164/10000),""),IFERROR(VALUE(TRIM(LEFT(Sync!$AE164,FIND("/",Sync!$AE164)-1))),""))))</f>
        <v/>
      </c>
      <c r="H164">
        <f>IF(OR($F164="",$G164=""),"",IF(ISNUMBER(Sync!$AE164),INT(MOD(Sync!$AE164,10000)/100),IFERROR(VALUE(TRIM(LEFT(MID(Sync!$AE164,FIND("/",Sync!$AE164)+1,20),FIND("/",MID(Sync!$AE164,FIND("/",Sync!$AE164)+1,20))-1))),"")))</f>
        <v/>
      </c>
      <c r="I164">
        <f>IF(OR($F164="",$G164=""),"",IF(ISNUMBER(Sync!$AE164),MOD(Sync!$AE164,100),IFERROR(VALUE(TRIM(MID(MID(Sync!$AE164,FIND("/",Sync!$AE164)+1,20),FIND("/",MID(Sync!$AE164,FIND("/",Sync!$AE164)+1,20))+1,20))),"")))</f>
        <v/>
      </c>
      <c r="J164">
        <f>IF($F164="","",IF(OR($G164="",$H164="",$I164="",$G164&lt;1300,$G164&gt;1500,$H164&lt;1,$H164&gt;12,$I164&lt;1,$I164&gt;31),"نامعتبر",RIGHT("0000"&amp;$G164,4)&amp;"/"&amp;RIGHT("00"&amp;$H164,2)&amp;"/"&amp;RIGHT("00"&amp;$I164,2)))</f>
        <v/>
      </c>
      <c r="K164">
        <f>IF(OR($F164="",$J164="",$J164="نامعتبر"),"",LEFT($J164,4)&amp;MID($J164,6,2)&amp;RIGHT($J164,2)&amp;$N164&amp;"|"&amp;"2"&amp;RIGHT("00000"&amp;159,5))</f>
        <v/>
      </c>
      <c r="L164">
        <f>IF($K164="","",COUNTIFS(LdgSellerA,$F164,LdgKeyA,"&lt;"&amp;$K164)+COUNTIFS(LdgSellerB,$F164,LdgKeyB,"&lt;"&amp;$K164)+1)</f>
        <v/>
      </c>
      <c r="M164">
        <f>IF($L164="","",$F164&amp;"|"&amp;RIGHT("000000"&amp;$L164,6))</f>
        <v/>
      </c>
      <c r="N164">
        <f>IF($F164="","",IF(Sync!$AF164="","0000",IF(AND(ISNUMBER(Sync!$AF164),Sync!$AF164&gt;=0,Sync!$AF164&lt;1),RIGHT("00"&amp;HOUR(Sync!$AF164),2)&amp;RIGHT("00"&amp;MINUTE(Sync!$AF164),2),IFERROR(RIGHT("00"&amp;VALUE(LEFT(Sync!$AF164,FIND(":",Sync!$AF164)-1)),2)&amp;RIGHT("00"&amp;VALUE(MID(Sync!$AF164,FIND(":",Sync!$AF164)+1,2)),2),"0000"))))</f>
        <v/>
      </c>
    </row>
    <row r="165">
      <c r="A165">
        <f>IF(OR(Calc!$E169="",Calc!$E169="نامعتبر",Calc!$G169=""),"",Calc!$G169)</f>
        <v/>
      </c>
      <c r="B165">
        <f>IF($A165="","",LEFT(Calc!$E169,4)&amp;MID(Calc!$E169,6,2)&amp;RIGHT(Calc!$E169,2)&amp;Calc!$Q169&amp;"|"&amp;"1"&amp;RIGHT("00000"&amp;160,5))</f>
        <v/>
      </c>
      <c r="C165">
        <f>IF($B165="","",COUNTIFS(LdgSellerA,$A165,LdgKeyA,"&lt;"&amp;$B165)+COUNTIFS(LdgSellerB,$A165,LdgKeyB,"&lt;"&amp;$B165)+1)</f>
        <v/>
      </c>
      <c r="D165">
        <f>IF($C165="","",$A165&amp;"|"&amp;RIGHT("000000"&amp;$C165,6))</f>
        <v/>
      </c>
      <c r="F165">
        <f>IF(Sync!$AH165="","",IF(LEFT(UPPER(TRIM(Sync!$AH165)),2)="SL",UPPER(TRIM(Sync!$AH165)),""))</f>
        <v/>
      </c>
      <c r="G165">
        <f>IF($F165="","",IF(Sync!$AE165="","",IF(ISNUMBER(Sync!$AE165),IF(AND(Sync!$AE165&gt;=10000101,Sync!$AE165&lt;=99991231),INT(Sync!$AE165/10000),""),IFERROR(VALUE(TRIM(LEFT(Sync!$AE165,FIND("/",Sync!$AE165)-1))),""))))</f>
        <v/>
      </c>
      <c r="H165">
        <f>IF(OR($F165="",$G165=""),"",IF(ISNUMBER(Sync!$AE165),INT(MOD(Sync!$AE165,10000)/100),IFERROR(VALUE(TRIM(LEFT(MID(Sync!$AE165,FIND("/",Sync!$AE165)+1,20),FIND("/",MID(Sync!$AE165,FIND("/",Sync!$AE165)+1,20))-1))),"")))</f>
        <v/>
      </c>
      <c r="I165">
        <f>IF(OR($F165="",$G165=""),"",IF(ISNUMBER(Sync!$AE165),MOD(Sync!$AE165,100),IFERROR(VALUE(TRIM(MID(MID(Sync!$AE165,FIND("/",Sync!$AE165)+1,20),FIND("/",MID(Sync!$AE165,FIND("/",Sync!$AE165)+1,20))+1,20))),"")))</f>
        <v/>
      </c>
      <c r="J165">
        <f>IF($F165="","",IF(OR($G165="",$H165="",$I165="",$G165&lt;1300,$G165&gt;1500,$H165&lt;1,$H165&gt;12,$I165&lt;1,$I165&gt;31),"نامعتبر",RIGHT("0000"&amp;$G165,4)&amp;"/"&amp;RIGHT("00"&amp;$H165,2)&amp;"/"&amp;RIGHT("00"&amp;$I165,2)))</f>
        <v/>
      </c>
      <c r="K165">
        <f>IF(OR($F165="",$J165="",$J165="نامعتبر"),"",LEFT($J165,4)&amp;MID($J165,6,2)&amp;RIGHT($J165,2)&amp;$N165&amp;"|"&amp;"2"&amp;RIGHT("00000"&amp;160,5))</f>
        <v/>
      </c>
      <c r="L165">
        <f>IF($K165="","",COUNTIFS(LdgSellerA,$F165,LdgKeyA,"&lt;"&amp;$K165)+COUNTIFS(LdgSellerB,$F165,LdgKeyB,"&lt;"&amp;$K165)+1)</f>
        <v/>
      </c>
      <c r="M165">
        <f>IF($L165="","",$F165&amp;"|"&amp;RIGHT("000000"&amp;$L165,6))</f>
        <v/>
      </c>
      <c r="N165">
        <f>IF($F165="","",IF(Sync!$AF165="","0000",IF(AND(ISNUMBER(Sync!$AF165),Sync!$AF165&gt;=0,Sync!$AF165&lt;1),RIGHT("00"&amp;HOUR(Sync!$AF165),2)&amp;RIGHT("00"&amp;MINUTE(Sync!$AF165),2),IFERROR(RIGHT("00"&amp;VALUE(LEFT(Sync!$AF165,FIND(":",Sync!$AF165)-1)),2)&amp;RIGHT("00"&amp;VALUE(MID(Sync!$AF165,FIND(":",Sync!$AF165)+1,2)),2),"0000"))))</f>
        <v/>
      </c>
    </row>
    <row r="166">
      <c r="A166">
        <f>IF(OR(Calc!$E170="",Calc!$E170="نامعتبر",Calc!$G170=""),"",Calc!$G170)</f>
        <v/>
      </c>
      <c r="B166">
        <f>IF($A166="","",LEFT(Calc!$E170,4)&amp;MID(Calc!$E170,6,2)&amp;RIGHT(Calc!$E170,2)&amp;Calc!$Q170&amp;"|"&amp;"1"&amp;RIGHT("00000"&amp;161,5))</f>
        <v/>
      </c>
      <c r="C166">
        <f>IF($B166="","",COUNTIFS(LdgSellerA,$A166,LdgKeyA,"&lt;"&amp;$B166)+COUNTIFS(LdgSellerB,$A166,LdgKeyB,"&lt;"&amp;$B166)+1)</f>
        <v/>
      </c>
      <c r="D166">
        <f>IF($C166="","",$A166&amp;"|"&amp;RIGHT("000000"&amp;$C166,6))</f>
        <v/>
      </c>
      <c r="F166">
        <f>IF(Sync!$AH166="","",IF(LEFT(UPPER(TRIM(Sync!$AH166)),2)="SL",UPPER(TRIM(Sync!$AH166)),""))</f>
        <v/>
      </c>
      <c r="G166">
        <f>IF($F166="","",IF(Sync!$AE166="","",IF(ISNUMBER(Sync!$AE166),IF(AND(Sync!$AE166&gt;=10000101,Sync!$AE166&lt;=99991231),INT(Sync!$AE166/10000),""),IFERROR(VALUE(TRIM(LEFT(Sync!$AE166,FIND("/",Sync!$AE166)-1))),""))))</f>
        <v/>
      </c>
      <c r="H166">
        <f>IF(OR($F166="",$G166=""),"",IF(ISNUMBER(Sync!$AE166),INT(MOD(Sync!$AE166,10000)/100),IFERROR(VALUE(TRIM(LEFT(MID(Sync!$AE166,FIND("/",Sync!$AE166)+1,20),FIND("/",MID(Sync!$AE166,FIND("/",Sync!$AE166)+1,20))-1))),"")))</f>
        <v/>
      </c>
      <c r="I166">
        <f>IF(OR($F166="",$G166=""),"",IF(ISNUMBER(Sync!$AE166),MOD(Sync!$AE166,100),IFERROR(VALUE(TRIM(MID(MID(Sync!$AE166,FIND("/",Sync!$AE166)+1,20),FIND("/",MID(Sync!$AE166,FIND("/",Sync!$AE166)+1,20))+1,20))),"")))</f>
        <v/>
      </c>
      <c r="J166">
        <f>IF($F166="","",IF(OR($G166="",$H166="",$I166="",$G166&lt;1300,$G166&gt;1500,$H166&lt;1,$H166&gt;12,$I166&lt;1,$I166&gt;31),"نامعتبر",RIGHT("0000"&amp;$G166,4)&amp;"/"&amp;RIGHT("00"&amp;$H166,2)&amp;"/"&amp;RIGHT("00"&amp;$I166,2)))</f>
        <v/>
      </c>
      <c r="K166">
        <f>IF(OR($F166="",$J166="",$J166="نامعتبر"),"",LEFT($J166,4)&amp;MID($J166,6,2)&amp;RIGHT($J166,2)&amp;$N166&amp;"|"&amp;"2"&amp;RIGHT("00000"&amp;161,5))</f>
        <v/>
      </c>
      <c r="L166">
        <f>IF($K166="","",COUNTIFS(LdgSellerA,$F166,LdgKeyA,"&lt;"&amp;$K166)+COUNTIFS(LdgSellerB,$F166,LdgKeyB,"&lt;"&amp;$K166)+1)</f>
        <v/>
      </c>
      <c r="M166">
        <f>IF($L166="","",$F166&amp;"|"&amp;RIGHT("000000"&amp;$L166,6))</f>
        <v/>
      </c>
      <c r="N166">
        <f>IF($F166="","",IF(Sync!$AF166="","0000",IF(AND(ISNUMBER(Sync!$AF166),Sync!$AF166&gt;=0,Sync!$AF166&lt;1),RIGHT("00"&amp;HOUR(Sync!$AF166),2)&amp;RIGHT("00"&amp;MINUTE(Sync!$AF166),2),IFERROR(RIGHT("00"&amp;VALUE(LEFT(Sync!$AF166,FIND(":",Sync!$AF166)-1)),2)&amp;RIGHT("00"&amp;VALUE(MID(Sync!$AF166,FIND(":",Sync!$AF166)+1,2)),2),"0000"))))</f>
        <v/>
      </c>
    </row>
    <row r="167">
      <c r="A167">
        <f>IF(OR(Calc!$E171="",Calc!$E171="نامعتبر",Calc!$G171=""),"",Calc!$G171)</f>
        <v/>
      </c>
      <c r="B167">
        <f>IF($A167="","",LEFT(Calc!$E171,4)&amp;MID(Calc!$E171,6,2)&amp;RIGHT(Calc!$E171,2)&amp;Calc!$Q171&amp;"|"&amp;"1"&amp;RIGHT("00000"&amp;162,5))</f>
        <v/>
      </c>
      <c r="C167">
        <f>IF($B167="","",COUNTIFS(LdgSellerA,$A167,LdgKeyA,"&lt;"&amp;$B167)+COUNTIFS(LdgSellerB,$A167,LdgKeyB,"&lt;"&amp;$B167)+1)</f>
        <v/>
      </c>
      <c r="D167">
        <f>IF($C167="","",$A167&amp;"|"&amp;RIGHT("000000"&amp;$C167,6))</f>
        <v/>
      </c>
      <c r="F167">
        <f>IF(Sync!$AH167="","",IF(LEFT(UPPER(TRIM(Sync!$AH167)),2)="SL",UPPER(TRIM(Sync!$AH167)),""))</f>
        <v/>
      </c>
      <c r="G167">
        <f>IF($F167="","",IF(Sync!$AE167="","",IF(ISNUMBER(Sync!$AE167),IF(AND(Sync!$AE167&gt;=10000101,Sync!$AE167&lt;=99991231),INT(Sync!$AE167/10000),""),IFERROR(VALUE(TRIM(LEFT(Sync!$AE167,FIND("/",Sync!$AE167)-1))),""))))</f>
        <v/>
      </c>
      <c r="H167">
        <f>IF(OR($F167="",$G167=""),"",IF(ISNUMBER(Sync!$AE167),INT(MOD(Sync!$AE167,10000)/100),IFERROR(VALUE(TRIM(LEFT(MID(Sync!$AE167,FIND("/",Sync!$AE167)+1,20),FIND("/",MID(Sync!$AE167,FIND("/",Sync!$AE167)+1,20))-1))),"")))</f>
        <v/>
      </c>
      <c r="I167">
        <f>IF(OR($F167="",$G167=""),"",IF(ISNUMBER(Sync!$AE167),MOD(Sync!$AE167,100),IFERROR(VALUE(TRIM(MID(MID(Sync!$AE167,FIND("/",Sync!$AE167)+1,20),FIND("/",MID(Sync!$AE167,FIND("/",Sync!$AE167)+1,20))+1,20))),"")))</f>
        <v/>
      </c>
      <c r="J167">
        <f>IF($F167="","",IF(OR($G167="",$H167="",$I167="",$G167&lt;1300,$G167&gt;1500,$H167&lt;1,$H167&gt;12,$I167&lt;1,$I167&gt;31),"نامعتبر",RIGHT("0000"&amp;$G167,4)&amp;"/"&amp;RIGHT("00"&amp;$H167,2)&amp;"/"&amp;RIGHT("00"&amp;$I167,2)))</f>
        <v/>
      </c>
      <c r="K167">
        <f>IF(OR($F167="",$J167="",$J167="نامعتبر"),"",LEFT($J167,4)&amp;MID($J167,6,2)&amp;RIGHT($J167,2)&amp;$N167&amp;"|"&amp;"2"&amp;RIGHT("00000"&amp;162,5))</f>
        <v/>
      </c>
      <c r="L167">
        <f>IF($K167="","",COUNTIFS(LdgSellerA,$F167,LdgKeyA,"&lt;"&amp;$K167)+COUNTIFS(LdgSellerB,$F167,LdgKeyB,"&lt;"&amp;$K167)+1)</f>
        <v/>
      </c>
      <c r="M167">
        <f>IF($L167="","",$F167&amp;"|"&amp;RIGHT("000000"&amp;$L167,6))</f>
        <v/>
      </c>
      <c r="N167">
        <f>IF($F167="","",IF(Sync!$AF167="","0000",IF(AND(ISNUMBER(Sync!$AF167),Sync!$AF167&gt;=0,Sync!$AF167&lt;1),RIGHT("00"&amp;HOUR(Sync!$AF167),2)&amp;RIGHT("00"&amp;MINUTE(Sync!$AF167),2),IFERROR(RIGHT("00"&amp;VALUE(LEFT(Sync!$AF167,FIND(":",Sync!$AF167)-1)),2)&amp;RIGHT("00"&amp;VALUE(MID(Sync!$AF167,FIND(":",Sync!$AF167)+1,2)),2),"0000"))))</f>
        <v/>
      </c>
    </row>
    <row r="168">
      <c r="A168">
        <f>IF(OR(Calc!$E172="",Calc!$E172="نامعتبر",Calc!$G172=""),"",Calc!$G172)</f>
        <v/>
      </c>
      <c r="B168">
        <f>IF($A168="","",LEFT(Calc!$E172,4)&amp;MID(Calc!$E172,6,2)&amp;RIGHT(Calc!$E172,2)&amp;Calc!$Q172&amp;"|"&amp;"1"&amp;RIGHT("00000"&amp;163,5))</f>
        <v/>
      </c>
      <c r="C168">
        <f>IF($B168="","",COUNTIFS(LdgSellerA,$A168,LdgKeyA,"&lt;"&amp;$B168)+COUNTIFS(LdgSellerB,$A168,LdgKeyB,"&lt;"&amp;$B168)+1)</f>
        <v/>
      </c>
      <c r="D168">
        <f>IF($C168="","",$A168&amp;"|"&amp;RIGHT("000000"&amp;$C168,6))</f>
        <v/>
      </c>
      <c r="F168">
        <f>IF(Sync!$AH168="","",IF(LEFT(UPPER(TRIM(Sync!$AH168)),2)="SL",UPPER(TRIM(Sync!$AH168)),""))</f>
        <v/>
      </c>
      <c r="G168">
        <f>IF($F168="","",IF(Sync!$AE168="","",IF(ISNUMBER(Sync!$AE168),IF(AND(Sync!$AE168&gt;=10000101,Sync!$AE168&lt;=99991231),INT(Sync!$AE168/10000),""),IFERROR(VALUE(TRIM(LEFT(Sync!$AE168,FIND("/",Sync!$AE168)-1))),""))))</f>
        <v/>
      </c>
      <c r="H168">
        <f>IF(OR($F168="",$G168=""),"",IF(ISNUMBER(Sync!$AE168),INT(MOD(Sync!$AE168,10000)/100),IFERROR(VALUE(TRIM(LEFT(MID(Sync!$AE168,FIND("/",Sync!$AE168)+1,20),FIND("/",MID(Sync!$AE168,FIND("/",Sync!$AE168)+1,20))-1))),"")))</f>
        <v/>
      </c>
      <c r="I168">
        <f>IF(OR($F168="",$G168=""),"",IF(ISNUMBER(Sync!$AE168),MOD(Sync!$AE168,100),IFERROR(VALUE(TRIM(MID(MID(Sync!$AE168,FIND("/",Sync!$AE168)+1,20),FIND("/",MID(Sync!$AE168,FIND("/",Sync!$AE168)+1,20))+1,20))),"")))</f>
        <v/>
      </c>
      <c r="J168">
        <f>IF($F168="","",IF(OR($G168="",$H168="",$I168="",$G168&lt;1300,$G168&gt;1500,$H168&lt;1,$H168&gt;12,$I168&lt;1,$I168&gt;31),"نامعتبر",RIGHT("0000"&amp;$G168,4)&amp;"/"&amp;RIGHT("00"&amp;$H168,2)&amp;"/"&amp;RIGHT("00"&amp;$I168,2)))</f>
        <v/>
      </c>
      <c r="K168">
        <f>IF(OR($F168="",$J168="",$J168="نامعتبر"),"",LEFT($J168,4)&amp;MID($J168,6,2)&amp;RIGHT($J168,2)&amp;$N168&amp;"|"&amp;"2"&amp;RIGHT("00000"&amp;163,5))</f>
        <v/>
      </c>
      <c r="L168">
        <f>IF($K168="","",COUNTIFS(LdgSellerA,$F168,LdgKeyA,"&lt;"&amp;$K168)+COUNTIFS(LdgSellerB,$F168,LdgKeyB,"&lt;"&amp;$K168)+1)</f>
        <v/>
      </c>
      <c r="M168">
        <f>IF($L168="","",$F168&amp;"|"&amp;RIGHT("000000"&amp;$L168,6))</f>
        <v/>
      </c>
      <c r="N168">
        <f>IF($F168="","",IF(Sync!$AF168="","0000",IF(AND(ISNUMBER(Sync!$AF168),Sync!$AF168&gt;=0,Sync!$AF168&lt;1),RIGHT("00"&amp;HOUR(Sync!$AF168),2)&amp;RIGHT("00"&amp;MINUTE(Sync!$AF168),2),IFERROR(RIGHT("00"&amp;VALUE(LEFT(Sync!$AF168,FIND(":",Sync!$AF168)-1)),2)&amp;RIGHT("00"&amp;VALUE(MID(Sync!$AF168,FIND(":",Sync!$AF168)+1,2)),2),"0000"))))</f>
        <v/>
      </c>
    </row>
    <row r="169">
      <c r="A169">
        <f>IF(OR(Calc!$E173="",Calc!$E173="نامعتبر",Calc!$G173=""),"",Calc!$G173)</f>
        <v/>
      </c>
      <c r="B169">
        <f>IF($A169="","",LEFT(Calc!$E173,4)&amp;MID(Calc!$E173,6,2)&amp;RIGHT(Calc!$E173,2)&amp;Calc!$Q173&amp;"|"&amp;"1"&amp;RIGHT("00000"&amp;164,5))</f>
        <v/>
      </c>
      <c r="C169">
        <f>IF($B169="","",COUNTIFS(LdgSellerA,$A169,LdgKeyA,"&lt;"&amp;$B169)+COUNTIFS(LdgSellerB,$A169,LdgKeyB,"&lt;"&amp;$B169)+1)</f>
        <v/>
      </c>
      <c r="D169">
        <f>IF($C169="","",$A169&amp;"|"&amp;RIGHT("000000"&amp;$C169,6))</f>
        <v/>
      </c>
      <c r="F169">
        <f>IF(Sync!$AH169="","",IF(LEFT(UPPER(TRIM(Sync!$AH169)),2)="SL",UPPER(TRIM(Sync!$AH169)),""))</f>
        <v/>
      </c>
      <c r="G169">
        <f>IF($F169="","",IF(Sync!$AE169="","",IF(ISNUMBER(Sync!$AE169),IF(AND(Sync!$AE169&gt;=10000101,Sync!$AE169&lt;=99991231),INT(Sync!$AE169/10000),""),IFERROR(VALUE(TRIM(LEFT(Sync!$AE169,FIND("/",Sync!$AE169)-1))),""))))</f>
        <v/>
      </c>
      <c r="H169">
        <f>IF(OR($F169="",$G169=""),"",IF(ISNUMBER(Sync!$AE169),INT(MOD(Sync!$AE169,10000)/100),IFERROR(VALUE(TRIM(LEFT(MID(Sync!$AE169,FIND("/",Sync!$AE169)+1,20),FIND("/",MID(Sync!$AE169,FIND("/",Sync!$AE169)+1,20))-1))),"")))</f>
        <v/>
      </c>
      <c r="I169">
        <f>IF(OR($F169="",$G169=""),"",IF(ISNUMBER(Sync!$AE169),MOD(Sync!$AE169,100),IFERROR(VALUE(TRIM(MID(MID(Sync!$AE169,FIND("/",Sync!$AE169)+1,20),FIND("/",MID(Sync!$AE169,FIND("/",Sync!$AE169)+1,20))+1,20))),"")))</f>
        <v/>
      </c>
      <c r="J169">
        <f>IF($F169="","",IF(OR($G169="",$H169="",$I169="",$G169&lt;1300,$G169&gt;1500,$H169&lt;1,$H169&gt;12,$I169&lt;1,$I169&gt;31),"نامعتبر",RIGHT("0000"&amp;$G169,4)&amp;"/"&amp;RIGHT("00"&amp;$H169,2)&amp;"/"&amp;RIGHT("00"&amp;$I169,2)))</f>
        <v/>
      </c>
      <c r="K169">
        <f>IF(OR($F169="",$J169="",$J169="نامعتبر"),"",LEFT($J169,4)&amp;MID($J169,6,2)&amp;RIGHT($J169,2)&amp;$N169&amp;"|"&amp;"2"&amp;RIGHT("00000"&amp;164,5))</f>
        <v/>
      </c>
      <c r="L169">
        <f>IF($K169="","",COUNTIFS(LdgSellerA,$F169,LdgKeyA,"&lt;"&amp;$K169)+COUNTIFS(LdgSellerB,$F169,LdgKeyB,"&lt;"&amp;$K169)+1)</f>
        <v/>
      </c>
      <c r="M169">
        <f>IF($L169="","",$F169&amp;"|"&amp;RIGHT("000000"&amp;$L169,6))</f>
        <v/>
      </c>
      <c r="N169">
        <f>IF($F169="","",IF(Sync!$AF169="","0000",IF(AND(ISNUMBER(Sync!$AF169),Sync!$AF169&gt;=0,Sync!$AF169&lt;1),RIGHT("00"&amp;HOUR(Sync!$AF169),2)&amp;RIGHT("00"&amp;MINUTE(Sync!$AF169),2),IFERROR(RIGHT("00"&amp;VALUE(LEFT(Sync!$AF169,FIND(":",Sync!$AF169)-1)),2)&amp;RIGHT("00"&amp;VALUE(MID(Sync!$AF169,FIND(":",Sync!$AF169)+1,2)),2),"0000"))))</f>
        <v/>
      </c>
    </row>
    <row r="170">
      <c r="A170">
        <f>IF(OR(Calc!$E174="",Calc!$E174="نامعتبر",Calc!$G174=""),"",Calc!$G174)</f>
        <v/>
      </c>
      <c r="B170">
        <f>IF($A170="","",LEFT(Calc!$E174,4)&amp;MID(Calc!$E174,6,2)&amp;RIGHT(Calc!$E174,2)&amp;Calc!$Q174&amp;"|"&amp;"1"&amp;RIGHT("00000"&amp;165,5))</f>
        <v/>
      </c>
      <c r="C170">
        <f>IF($B170="","",COUNTIFS(LdgSellerA,$A170,LdgKeyA,"&lt;"&amp;$B170)+COUNTIFS(LdgSellerB,$A170,LdgKeyB,"&lt;"&amp;$B170)+1)</f>
        <v/>
      </c>
      <c r="D170">
        <f>IF($C170="","",$A170&amp;"|"&amp;RIGHT("000000"&amp;$C170,6))</f>
        <v/>
      </c>
      <c r="F170">
        <f>IF(Sync!$AH170="","",IF(LEFT(UPPER(TRIM(Sync!$AH170)),2)="SL",UPPER(TRIM(Sync!$AH170)),""))</f>
        <v/>
      </c>
      <c r="G170">
        <f>IF($F170="","",IF(Sync!$AE170="","",IF(ISNUMBER(Sync!$AE170),IF(AND(Sync!$AE170&gt;=10000101,Sync!$AE170&lt;=99991231),INT(Sync!$AE170/10000),""),IFERROR(VALUE(TRIM(LEFT(Sync!$AE170,FIND("/",Sync!$AE170)-1))),""))))</f>
        <v/>
      </c>
      <c r="H170">
        <f>IF(OR($F170="",$G170=""),"",IF(ISNUMBER(Sync!$AE170),INT(MOD(Sync!$AE170,10000)/100),IFERROR(VALUE(TRIM(LEFT(MID(Sync!$AE170,FIND("/",Sync!$AE170)+1,20),FIND("/",MID(Sync!$AE170,FIND("/",Sync!$AE170)+1,20))-1))),"")))</f>
        <v/>
      </c>
      <c r="I170">
        <f>IF(OR($F170="",$G170=""),"",IF(ISNUMBER(Sync!$AE170),MOD(Sync!$AE170,100),IFERROR(VALUE(TRIM(MID(MID(Sync!$AE170,FIND("/",Sync!$AE170)+1,20),FIND("/",MID(Sync!$AE170,FIND("/",Sync!$AE170)+1,20))+1,20))),"")))</f>
        <v/>
      </c>
      <c r="J170">
        <f>IF($F170="","",IF(OR($G170="",$H170="",$I170="",$G170&lt;1300,$G170&gt;1500,$H170&lt;1,$H170&gt;12,$I170&lt;1,$I170&gt;31),"نامعتبر",RIGHT("0000"&amp;$G170,4)&amp;"/"&amp;RIGHT("00"&amp;$H170,2)&amp;"/"&amp;RIGHT("00"&amp;$I170,2)))</f>
        <v/>
      </c>
      <c r="K170">
        <f>IF(OR($F170="",$J170="",$J170="نامعتبر"),"",LEFT($J170,4)&amp;MID($J170,6,2)&amp;RIGHT($J170,2)&amp;$N170&amp;"|"&amp;"2"&amp;RIGHT("00000"&amp;165,5))</f>
        <v/>
      </c>
      <c r="L170">
        <f>IF($K170="","",COUNTIFS(LdgSellerA,$F170,LdgKeyA,"&lt;"&amp;$K170)+COUNTIFS(LdgSellerB,$F170,LdgKeyB,"&lt;"&amp;$K170)+1)</f>
        <v/>
      </c>
      <c r="M170">
        <f>IF($L170="","",$F170&amp;"|"&amp;RIGHT("000000"&amp;$L170,6))</f>
        <v/>
      </c>
      <c r="N170">
        <f>IF($F170="","",IF(Sync!$AF170="","0000",IF(AND(ISNUMBER(Sync!$AF170),Sync!$AF170&gt;=0,Sync!$AF170&lt;1),RIGHT("00"&amp;HOUR(Sync!$AF170),2)&amp;RIGHT("00"&amp;MINUTE(Sync!$AF170),2),IFERROR(RIGHT("00"&amp;VALUE(LEFT(Sync!$AF170,FIND(":",Sync!$AF170)-1)),2)&amp;RIGHT("00"&amp;VALUE(MID(Sync!$AF170,FIND(":",Sync!$AF170)+1,2)),2),"0000"))))</f>
        <v/>
      </c>
    </row>
    <row r="171">
      <c r="A171">
        <f>IF(OR(Calc!$E175="",Calc!$E175="نامعتبر",Calc!$G175=""),"",Calc!$G175)</f>
        <v/>
      </c>
      <c r="B171">
        <f>IF($A171="","",LEFT(Calc!$E175,4)&amp;MID(Calc!$E175,6,2)&amp;RIGHT(Calc!$E175,2)&amp;Calc!$Q175&amp;"|"&amp;"1"&amp;RIGHT("00000"&amp;166,5))</f>
        <v/>
      </c>
      <c r="C171">
        <f>IF($B171="","",COUNTIFS(LdgSellerA,$A171,LdgKeyA,"&lt;"&amp;$B171)+COUNTIFS(LdgSellerB,$A171,LdgKeyB,"&lt;"&amp;$B171)+1)</f>
        <v/>
      </c>
      <c r="D171">
        <f>IF($C171="","",$A171&amp;"|"&amp;RIGHT("000000"&amp;$C171,6))</f>
        <v/>
      </c>
      <c r="F171">
        <f>IF(Sync!$AH171="","",IF(LEFT(UPPER(TRIM(Sync!$AH171)),2)="SL",UPPER(TRIM(Sync!$AH171)),""))</f>
        <v/>
      </c>
      <c r="G171">
        <f>IF($F171="","",IF(Sync!$AE171="","",IF(ISNUMBER(Sync!$AE171),IF(AND(Sync!$AE171&gt;=10000101,Sync!$AE171&lt;=99991231),INT(Sync!$AE171/10000),""),IFERROR(VALUE(TRIM(LEFT(Sync!$AE171,FIND("/",Sync!$AE171)-1))),""))))</f>
        <v/>
      </c>
      <c r="H171">
        <f>IF(OR($F171="",$G171=""),"",IF(ISNUMBER(Sync!$AE171),INT(MOD(Sync!$AE171,10000)/100),IFERROR(VALUE(TRIM(LEFT(MID(Sync!$AE171,FIND("/",Sync!$AE171)+1,20),FIND("/",MID(Sync!$AE171,FIND("/",Sync!$AE171)+1,20))-1))),"")))</f>
        <v/>
      </c>
      <c r="I171">
        <f>IF(OR($F171="",$G171=""),"",IF(ISNUMBER(Sync!$AE171),MOD(Sync!$AE171,100),IFERROR(VALUE(TRIM(MID(MID(Sync!$AE171,FIND("/",Sync!$AE171)+1,20),FIND("/",MID(Sync!$AE171,FIND("/",Sync!$AE171)+1,20))+1,20))),"")))</f>
        <v/>
      </c>
      <c r="J171">
        <f>IF($F171="","",IF(OR($G171="",$H171="",$I171="",$G171&lt;1300,$G171&gt;1500,$H171&lt;1,$H171&gt;12,$I171&lt;1,$I171&gt;31),"نامعتبر",RIGHT("0000"&amp;$G171,4)&amp;"/"&amp;RIGHT("00"&amp;$H171,2)&amp;"/"&amp;RIGHT("00"&amp;$I171,2)))</f>
        <v/>
      </c>
      <c r="K171">
        <f>IF(OR($F171="",$J171="",$J171="نامعتبر"),"",LEFT($J171,4)&amp;MID($J171,6,2)&amp;RIGHT($J171,2)&amp;$N171&amp;"|"&amp;"2"&amp;RIGHT("00000"&amp;166,5))</f>
        <v/>
      </c>
      <c r="L171">
        <f>IF($K171="","",COUNTIFS(LdgSellerA,$F171,LdgKeyA,"&lt;"&amp;$K171)+COUNTIFS(LdgSellerB,$F171,LdgKeyB,"&lt;"&amp;$K171)+1)</f>
        <v/>
      </c>
      <c r="M171">
        <f>IF($L171="","",$F171&amp;"|"&amp;RIGHT("000000"&amp;$L171,6))</f>
        <v/>
      </c>
      <c r="N171">
        <f>IF($F171="","",IF(Sync!$AF171="","0000",IF(AND(ISNUMBER(Sync!$AF171),Sync!$AF171&gt;=0,Sync!$AF171&lt;1),RIGHT("00"&amp;HOUR(Sync!$AF171),2)&amp;RIGHT("00"&amp;MINUTE(Sync!$AF171),2),IFERROR(RIGHT("00"&amp;VALUE(LEFT(Sync!$AF171,FIND(":",Sync!$AF171)-1)),2)&amp;RIGHT("00"&amp;VALUE(MID(Sync!$AF171,FIND(":",Sync!$AF171)+1,2)),2),"0000"))))</f>
        <v/>
      </c>
    </row>
    <row r="172">
      <c r="A172">
        <f>IF(OR(Calc!$E176="",Calc!$E176="نامعتبر",Calc!$G176=""),"",Calc!$G176)</f>
        <v/>
      </c>
      <c r="B172">
        <f>IF($A172="","",LEFT(Calc!$E176,4)&amp;MID(Calc!$E176,6,2)&amp;RIGHT(Calc!$E176,2)&amp;Calc!$Q176&amp;"|"&amp;"1"&amp;RIGHT("00000"&amp;167,5))</f>
        <v/>
      </c>
      <c r="C172">
        <f>IF($B172="","",COUNTIFS(LdgSellerA,$A172,LdgKeyA,"&lt;"&amp;$B172)+COUNTIFS(LdgSellerB,$A172,LdgKeyB,"&lt;"&amp;$B172)+1)</f>
        <v/>
      </c>
      <c r="D172">
        <f>IF($C172="","",$A172&amp;"|"&amp;RIGHT("000000"&amp;$C172,6))</f>
        <v/>
      </c>
      <c r="F172">
        <f>IF(Sync!$AH172="","",IF(LEFT(UPPER(TRIM(Sync!$AH172)),2)="SL",UPPER(TRIM(Sync!$AH172)),""))</f>
        <v/>
      </c>
      <c r="G172">
        <f>IF($F172="","",IF(Sync!$AE172="","",IF(ISNUMBER(Sync!$AE172),IF(AND(Sync!$AE172&gt;=10000101,Sync!$AE172&lt;=99991231),INT(Sync!$AE172/10000),""),IFERROR(VALUE(TRIM(LEFT(Sync!$AE172,FIND("/",Sync!$AE172)-1))),""))))</f>
        <v/>
      </c>
      <c r="H172">
        <f>IF(OR($F172="",$G172=""),"",IF(ISNUMBER(Sync!$AE172),INT(MOD(Sync!$AE172,10000)/100),IFERROR(VALUE(TRIM(LEFT(MID(Sync!$AE172,FIND("/",Sync!$AE172)+1,20),FIND("/",MID(Sync!$AE172,FIND("/",Sync!$AE172)+1,20))-1))),"")))</f>
        <v/>
      </c>
      <c r="I172">
        <f>IF(OR($F172="",$G172=""),"",IF(ISNUMBER(Sync!$AE172),MOD(Sync!$AE172,100),IFERROR(VALUE(TRIM(MID(MID(Sync!$AE172,FIND("/",Sync!$AE172)+1,20),FIND("/",MID(Sync!$AE172,FIND("/",Sync!$AE172)+1,20))+1,20))),"")))</f>
        <v/>
      </c>
      <c r="J172">
        <f>IF($F172="","",IF(OR($G172="",$H172="",$I172="",$G172&lt;1300,$G172&gt;1500,$H172&lt;1,$H172&gt;12,$I172&lt;1,$I172&gt;31),"نامعتبر",RIGHT("0000"&amp;$G172,4)&amp;"/"&amp;RIGHT("00"&amp;$H172,2)&amp;"/"&amp;RIGHT("00"&amp;$I172,2)))</f>
        <v/>
      </c>
      <c r="K172">
        <f>IF(OR($F172="",$J172="",$J172="نامعتبر"),"",LEFT($J172,4)&amp;MID($J172,6,2)&amp;RIGHT($J172,2)&amp;$N172&amp;"|"&amp;"2"&amp;RIGHT("00000"&amp;167,5))</f>
        <v/>
      </c>
      <c r="L172">
        <f>IF($K172="","",COUNTIFS(LdgSellerA,$F172,LdgKeyA,"&lt;"&amp;$K172)+COUNTIFS(LdgSellerB,$F172,LdgKeyB,"&lt;"&amp;$K172)+1)</f>
        <v/>
      </c>
      <c r="M172">
        <f>IF($L172="","",$F172&amp;"|"&amp;RIGHT("000000"&amp;$L172,6))</f>
        <v/>
      </c>
      <c r="N172">
        <f>IF($F172="","",IF(Sync!$AF172="","0000",IF(AND(ISNUMBER(Sync!$AF172),Sync!$AF172&gt;=0,Sync!$AF172&lt;1),RIGHT("00"&amp;HOUR(Sync!$AF172),2)&amp;RIGHT("00"&amp;MINUTE(Sync!$AF172),2),IFERROR(RIGHT("00"&amp;VALUE(LEFT(Sync!$AF172,FIND(":",Sync!$AF172)-1)),2)&amp;RIGHT("00"&amp;VALUE(MID(Sync!$AF172,FIND(":",Sync!$AF172)+1,2)),2),"0000"))))</f>
        <v/>
      </c>
    </row>
    <row r="173">
      <c r="A173">
        <f>IF(OR(Calc!$E177="",Calc!$E177="نامعتبر",Calc!$G177=""),"",Calc!$G177)</f>
        <v/>
      </c>
      <c r="B173">
        <f>IF($A173="","",LEFT(Calc!$E177,4)&amp;MID(Calc!$E177,6,2)&amp;RIGHT(Calc!$E177,2)&amp;Calc!$Q177&amp;"|"&amp;"1"&amp;RIGHT("00000"&amp;168,5))</f>
        <v/>
      </c>
      <c r="C173">
        <f>IF($B173="","",COUNTIFS(LdgSellerA,$A173,LdgKeyA,"&lt;"&amp;$B173)+COUNTIFS(LdgSellerB,$A173,LdgKeyB,"&lt;"&amp;$B173)+1)</f>
        <v/>
      </c>
      <c r="D173">
        <f>IF($C173="","",$A173&amp;"|"&amp;RIGHT("000000"&amp;$C173,6))</f>
        <v/>
      </c>
      <c r="F173">
        <f>IF(Sync!$AH173="","",IF(LEFT(UPPER(TRIM(Sync!$AH173)),2)="SL",UPPER(TRIM(Sync!$AH173)),""))</f>
        <v/>
      </c>
      <c r="G173">
        <f>IF($F173="","",IF(Sync!$AE173="","",IF(ISNUMBER(Sync!$AE173),IF(AND(Sync!$AE173&gt;=10000101,Sync!$AE173&lt;=99991231),INT(Sync!$AE173/10000),""),IFERROR(VALUE(TRIM(LEFT(Sync!$AE173,FIND("/",Sync!$AE173)-1))),""))))</f>
        <v/>
      </c>
      <c r="H173">
        <f>IF(OR($F173="",$G173=""),"",IF(ISNUMBER(Sync!$AE173),INT(MOD(Sync!$AE173,10000)/100),IFERROR(VALUE(TRIM(LEFT(MID(Sync!$AE173,FIND("/",Sync!$AE173)+1,20),FIND("/",MID(Sync!$AE173,FIND("/",Sync!$AE173)+1,20))-1))),"")))</f>
        <v/>
      </c>
      <c r="I173">
        <f>IF(OR($F173="",$G173=""),"",IF(ISNUMBER(Sync!$AE173),MOD(Sync!$AE173,100),IFERROR(VALUE(TRIM(MID(MID(Sync!$AE173,FIND("/",Sync!$AE173)+1,20),FIND("/",MID(Sync!$AE173,FIND("/",Sync!$AE173)+1,20))+1,20))),"")))</f>
        <v/>
      </c>
      <c r="J173">
        <f>IF($F173="","",IF(OR($G173="",$H173="",$I173="",$G173&lt;1300,$G173&gt;1500,$H173&lt;1,$H173&gt;12,$I173&lt;1,$I173&gt;31),"نامعتبر",RIGHT("0000"&amp;$G173,4)&amp;"/"&amp;RIGHT("00"&amp;$H173,2)&amp;"/"&amp;RIGHT("00"&amp;$I173,2)))</f>
        <v/>
      </c>
      <c r="K173">
        <f>IF(OR($F173="",$J173="",$J173="نامعتبر"),"",LEFT($J173,4)&amp;MID($J173,6,2)&amp;RIGHT($J173,2)&amp;$N173&amp;"|"&amp;"2"&amp;RIGHT("00000"&amp;168,5))</f>
        <v/>
      </c>
      <c r="L173">
        <f>IF($K173="","",COUNTIFS(LdgSellerA,$F173,LdgKeyA,"&lt;"&amp;$K173)+COUNTIFS(LdgSellerB,$F173,LdgKeyB,"&lt;"&amp;$K173)+1)</f>
        <v/>
      </c>
      <c r="M173">
        <f>IF($L173="","",$F173&amp;"|"&amp;RIGHT("000000"&amp;$L173,6))</f>
        <v/>
      </c>
      <c r="N173">
        <f>IF($F173="","",IF(Sync!$AF173="","0000",IF(AND(ISNUMBER(Sync!$AF173),Sync!$AF173&gt;=0,Sync!$AF173&lt;1),RIGHT("00"&amp;HOUR(Sync!$AF173),2)&amp;RIGHT("00"&amp;MINUTE(Sync!$AF173),2),IFERROR(RIGHT("00"&amp;VALUE(LEFT(Sync!$AF173,FIND(":",Sync!$AF173)-1)),2)&amp;RIGHT("00"&amp;VALUE(MID(Sync!$AF173,FIND(":",Sync!$AF173)+1,2)),2),"0000"))))</f>
        <v/>
      </c>
    </row>
    <row r="174">
      <c r="A174">
        <f>IF(OR(Calc!$E178="",Calc!$E178="نامعتبر",Calc!$G178=""),"",Calc!$G178)</f>
        <v/>
      </c>
      <c r="B174">
        <f>IF($A174="","",LEFT(Calc!$E178,4)&amp;MID(Calc!$E178,6,2)&amp;RIGHT(Calc!$E178,2)&amp;Calc!$Q178&amp;"|"&amp;"1"&amp;RIGHT("00000"&amp;169,5))</f>
        <v/>
      </c>
      <c r="C174">
        <f>IF($B174="","",COUNTIFS(LdgSellerA,$A174,LdgKeyA,"&lt;"&amp;$B174)+COUNTIFS(LdgSellerB,$A174,LdgKeyB,"&lt;"&amp;$B174)+1)</f>
        <v/>
      </c>
      <c r="D174">
        <f>IF($C174="","",$A174&amp;"|"&amp;RIGHT("000000"&amp;$C174,6))</f>
        <v/>
      </c>
      <c r="F174">
        <f>IF(Sync!$AH174="","",IF(LEFT(UPPER(TRIM(Sync!$AH174)),2)="SL",UPPER(TRIM(Sync!$AH174)),""))</f>
        <v/>
      </c>
      <c r="G174">
        <f>IF($F174="","",IF(Sync!$AE174="","",IF(ISNUMBER(Sync!$AE174),IF(AND(Sync!$AE174&gt;=10000101,Sync!$AE174&lt;=99991231),INT(Sync!$AE174/10000),""),IFERROR(VALUE(TRIM(LEFT(Sync!$AE174,FIND("/",Sync!$AE174)-1))),""))))</f>
        <v/>
      </c>
      <c r="H174">
        <f>IF(OR($F174="",$G174=""),"",IF(ISNUMBER(Sync!$AE174),INT(MOD(Sync!$AE174,10000)/100),IFERROR(VALUE(TRIM(LEFT(MID(Sync!$AE174,FIND("/",Sync!$AE174)+1,20),FIND("/",MID(Sync!$AE174,FIND("/",Sync!$AE174)+1,20))-1))),"")))</f>
        <v/>
      </c>
      <c r="I174">
        <f>IF(OR($F174="",$G174=""),"",IF(ISNUMBER(Sync!$AE174),MOD(Sync!$AE174,100),IFERROR(VALUE(TRIM(MID(MID(Sync!$AE174,FIND("/",Sync!$AE174)+1,20),FIND("/",MID(Sync!$AE174,FIND("/",Sync!$AE174)+1,20))+1,20))),"")))</f>
        <v/>
      </c>
      <c r="J174">
        <f>IF($F174="","",IF(OR($G174="",$H174="",$I174="",$G174&lt;1300,$G174&gt;1500,$H174&lt;1,$H174&gt;12,$I174&lt;1,$I174&gt;31),"نامعتبر",RIGHT("0000"&amp;$G174,4)&amp;"/"&amp;RIGHT("00"&amp;$H174,2)&amp;"/"&amp;RIGHT("00"&amp;$I174,2)))</f>
        <v/>
      </c>
      <c r="K174">
        <f>IF(OR($F174="",$J174="",$J174="نامعتبر"),"",LEFT($J174,4)&amp;MID($J174,6,2)&amp;RIGHT($J174,2)&amp;$N174&amp;"|"&amp;"2"&amp;RIGHT("00000"&amp;169,5))</f>
        <v/>
      </c>
      <c r="L174">
        <f>IF($K174="","",COUNTIFS(LdgSellerA,$F174,LdgKeyA,"&lt;"&amp;$K174)+COUNTIFS(LdgSellerB,$F174,LdgKeyB,"&lt;"&amp;$K174)+1)</f>
        <v/>
      </c>
      <c r="M174">
        <f>IF($L174="","",$F174&amp;"|"&amp;RIGHT("000000"&amp;$L174,6))</f>
        <v/>
      </c>
      <c r="N174">
        <f>IF($F174="","",IF(Sync!$AF174="","0000",IF(AND(ISNUMBER(Sync!$AF174),Sync!$AF174&gt;=0,Sync!$AF174&lt;1),RIGHT("00"&amp;HOUR(Sync!$AF174),2)&amp;RIGHT("00"&amp;MINUTE(Sync!$AF174),2),IFERROR(RIGHT("00"&amp;VALUE(LEFT(Sync!$AF174,FIND(":",Sync!$AF174)-1)),2)&amp;RIGHT("00"&amp;VALUE(MID(Sync!$AF174,FIND(":",Sync!$AF174)+1,2)),2),"0000"))))</f>
        <v/>
      </c>
    </row>
    <row r="175">
      <c r="A175">
        <f>IF(OR(Calc!$E179="",Calc!$E179="نامعتبر",Calc!$G179=""),"",Calc!$G179)</f>
        <v/>
      </c>
      <c r="B175">
        <f>IF($A175="","",LEFT(Calc!$E179,4)&amp;MID(Calc!$E179,6,2)&amp;RIGHT(Calc!$E179,2)&amp;Calc!$Q179&amp;"|"&amp;"1"&amp;RIGHT("00000"&amp;170,5))</f>
        <v/>
      </c>
      <c r="C175">
        <f>IF($B175="","",COUNTIFS(LdgSellerA,$A175,LdgKeyA,"&lt;"&amp;$B175)+COUNTIFS(LdgSellerB,$A175,LdgKeyB,"&lt;"&amp;$B175)+1)</f>
        <v/>
      </c>
      <c r="D175">
        <f>IF($C175="","",$A175&amp;"|"&amp;RIGHT("000000"&amp;$C175,6))</f>
        <v/>
      </c>
      <c r="F175">
        <f>IF(Sync!$AH175="","",IF(LEFT(UPPER(TRIM(Sync!$AH175)),2)="SL",UPPER(TRIM(Sync!$AH175)),""))</f>
        <v/>
      </c>
      <c r="G175">
        <f>IF($F175="","",IF(Sync!$AE175="","",IF(ISNUMBER(Sync!$AE175),IF(AND(Sync!$AE175&gt;=10000101,Sync!$AE175&lt;=99991231),INT(Sync!$AE175/10000),""),IFERROR(VALUE(TRIM(LEFT(Sync!$AE175,FIND("/",Sync!$AE175)-1))),""))))</f>
        <v/>
      </c>
      <c r="H175">
        <f>IF(OR($F175="",$G175=""),"",IF(ISNUMBER(Sync!$AE175),INT(MOD(Sync!$AE175,10000)/100),IFERROR(VALUE(TRIM(LEFT(MID(Sync!$AE175,FIND("/",Sync!$AE175)+1,20),FIND("/",MID(Sync!$AE175,FIND("/",Sync!$AE175)+1,20))-1))),"")))</f>
        <v/>
      </c>
      <c r="I175">
        <f>IF(OR($F175="",$G175=""),"",IF(ISNUMBER(Sync!$AE175),MOD(Sync!$AE175,100),IFERROR(VALUE(TRIM(MID(MID(Sync!$AE175,FIND("/",Sync!$AE175)+1,20),FIND("/",MID(Sync!$AE175,FIND("/",Sync!$AE175)+1,20))+1,20))),"")))</f>
        <v/>
      </c>
      <c r="J175">
        <f>IF($F175="","",IF(OR($G175="",$H175="",$I175="",$G175&lt;1300,$G175&gt;1500,$H175&lt;1,$H175&gt;12,$I175&lt;1,$I175&gt;31),"نامعتبر",RIGHT("0000"&amp;$G175,4)&amp;"/"&amp;RIGHT("00"&amp;$H175,2)&amp;"/"&amp;RIGHT("00"&amp;$I175,2)))</f>
        <v/>
      </c>
      <c r="K175">
        <f>IF(OR($F175="",$J175="",$J175="نامعتبر"),"",LEFT($J175,4)&amp;MID($J175,6,2)&amp;RIGHT($J175,2)&amp;$N175&amp;"|"&amp;"2"&amp;RIGHT("00000"&amp;170,5))</f>
        <v/>
      </c>
      <c r="L175">
        <f>IF($K175="","",COUNTIFS(LdgSellerA,$F175,LdgKeyA,"&lt;"&amp;$K175)+COUNTIFS(LdgSellerB,$F175,LdgKeyB,"&lt;"&amp;$K175)+1)</f>
        <v/>
      </c>
      <c r="M175">
        <f>IF($L175="","",$F175&amp;"|"&amp;RIGHT("000000"&amp;$L175,6))</f>
        <v/>
      </c>
      <c r="N175">
        <f>IF($F175="","",IF(Sync!$AF175="","0000",IF(AND(ISNUMBER(Sync!$AF175),Sync!$AF175&gt;=0,Sync!$AF175&lt;1),RIGHT("00"&amp;HOUR(Sync!$AF175),2)&amp;RIGHT("00"&amp;MINUTE(Sync!$AF175),2),IFERROR(RIGHT("00"&amp;VALUE(LEFT(Sync!$AF175,FIND(":",Sync!$AF175)-1)),2)&amp;RIGHT("00"&amp;VALUE(MID(Sync!$AF175,FIND(":",Sync!$AF175)+1,2)),2),"0000"))))</f>
        <v/>
      </c>
    </row>
    <row r="176">
      <c r="A176">
        <f>IF(OR(Calc!$E180="",Calc!$E180="نامعتبر",Calc!$G180=""),"",Calc!$G180)</f>
        <v/>
      </c>
      <c r="B176">
        <f>IF($A176="","",LEFT(Calc!$E180,4)&amp;MID(Calc!$E180,6,2)&amp;RIGHT(Calc!$E180,2)&amp;Calc!$Q180&amp;"|"&amp;"1"&amp;RIGHT("00000"&amp;171,5))</f>
        <v/>
      </c>
      <c r="C176">
        <f>IF($B176="","",COUNTIFS(LdgSellerA,$A176,LdgKeyA,"&lt;"&amp;$B176)+COUNTIFS(LdgSellerB,$A176,LdgKeyB,"&lt;"&amp;$B176)+1)</f>
        <v/>
      </c>
      <c r="D176">
        <f>IF($C176="","",$A176&amp;"|"&amp;RIGHT("000000"&amp;$C176,6))</f>
        <v/>
      </c>
      <c r="F176">
        <f>IF(Sync!$AH176="","",IF(LEFT(UPPER(TRIM(Sync!$AH176)),2)="SL",UPPER(TRIM(Sync!$AH176)),""))</f>
        <v/>
      </c>
      <c r="G176">
        <f>IF($F176="","",IF(Sync!$AE176="","",IF(ISNUMBER(Sync!$AE176),IF(AND(Sync!$AE176&gt;=10000101,Sync!$AE176&lt;=99991231),INT(Sync!$AE176/10000),""),IFERROR(VALUE(TRIM(LEFT(Sync!$AE176,FIND("/",Sync!$AE176)-1))),""))))</f>
        <v/>
      </c>
      <c r="H176">
        <f>IF(OR($F176="",$G176=""),"",IF(ISNUMBER(Sync!$AE176),INT(MOD(Sync!$AE176,10000)/100),IFERROR(VALUE(TRIM(LEFT(MID(Sync!$AE176,FIND("/",Sync!$AE176)+1,20),FIND("/",MID(Sync!$AE176,FIND("/",Sync!$AE176)+1,20))-1))),"")))</f>
        <v/>
      </c>
      <c r="I176">
        <f>IF(OR($F176="",$G176=""),"",IF(ISNUMBER(Sync!$AE176),MOD(Sync!$AE176,100),IFERROR(VALUE(TRIM(MID(MID(Sync!$AE176,FIND("/",Sync!$AE176)+1,20),FIND("/",MID(Sync!$AE176,FIND("/",Sync!$AE176)+1,20))+1,20))),"")))</f>
        <v/>
      </c>
      <c r="J176">
        <f>IF($F176="","",IF(OR($G176="",$H176="",$I176="",$G176&lt;1300,$G176&gt;1500,$H176&lt;1,$H176&gt;12,$I176&lt;1,$I176&gt;31),"نامعتبر",RIGHT("0000"&amp;$G176,4)&amp;"/"&amp;RIGHT("00"&amp;$H176,2)&amp;"/"&amp;RIGHT("00"&amp;$I176,2)))</f>
        <v/>
      </c>
      <c r="K176">
        <f>IF(OR($F176="",$J176="",$J176="نامعتبر"),"",LEFT($J176,4)&amp;MID($J176,6,2)&amp;RIGHT($J176,2)&amp;$N176&amp;"|"&amp;"2"&amp;RIGHT("00000"&amp;171,5))</f>
        <v/>
      </c>
      <c r="L176">
        <f>IF($K176="","",COUNTIFS(LdgSellerA,$F176,LdgKeyA,"&lt;"&amp;$K176)+COUNTIFS(LdgSellerB,$F176,LdgKeyB,"&lt;"&amp;$K176)+1)</f>
        <v/>
      </c>
      <c r="M176">
        <f>IF($L176="","",$F176&amp;"|"&amp;RIGHT("000000"&amp;$L176,6))</f>
        <v/>
      </c>
      <c r="N176">
        <f>IF($F176="","",IF(Sync!$AF176="","0000",IF(AND(ISNUMBER(Sync!$AF176),Sync!$AF176&gt;=0,Sync!$AF176&lt;1),RIGHT("00"&amp;HOUR(Sync!$AF176),2)&amp;RIGHT("00"&amp;MINUTE(Sync!$AF176),2),IFERROR(RIGHT("00"&amp;VALUE(LEFT(Sync!$AF176,FIND(":",Sync!$AF176)-1)),2)&amp;RIGHT("00"&amp;VALUE(MID(Sync!$AF176,FIND(":",Sync!$AF176)+1,2)),2),"0000"))))</f>
        <v/>
      </c>
    </row>
    <row r="177">
      <c r="A177">
        <f>IF(OR(Calc!$E181="",Calc!$E181="نامعتبر",Calc!$G181=""),"",Calc!$G181)</f>
        <v/>
      </c>
      <c r="B177">
        <f>IF($A177="","",LEFT(Calc!$E181,4)&amp;MID(Calc!$E181,6,2)&amp;RIGHT(Calc!$E181,2)&amp;Calc!$Q181&amp;"|"&amp;"1"&amp;RIGHT("00000"&amp;172,5))</f>
        <v/>
      </c>
      <c r="C177">
        <f>IF($B177="","",COUNTIFS(LdgSellerA,$A177,LdgKeyA,"&lt;"&amp;$B177)+COUNTIFS(LdgSellerB,$A177,LdgKeyB,"&lt;"&amp;$B177)+1)</f>
        <v/>
      </c>
      <c r="D177">
        <f>IF($C177="","",$A177&amp;"|"&amp;RIGHT("000000"&amp;$C177,6))</f>
        <v/>
      </c>
      <c r="F177">
        <f>IF(Sync!$AH177="","",IF(LEFT(UPPER(TRIM(Sync!$AH177)),2)="SL",UPPER(TRIM(Sync!$AH177)),""))</f>
        <v/>
      </c>
      <c r="G177">
        <f>IF($F177="","",IF(Sync!$AE177="","",IF(ISNUMBER(Sync!$AE177),IF(AND(Sync!$AE177&gt;=10000101,Sync!$AE177&lt;=99991231),INT(Sync!$AE177/10000),""),IFERROR(VALUE(TRIM(LEFT(Sync!$AE177,FIND("/",Sync!$AE177)-1))),""))))</f>
        <v/>
      </c>
      <c r="H177">
        <f>IF(OR($F177="",$G177=""),"",IF(ISNUMBER(Sync!$AE177),INT(MOD(Sync!$AE177,10000)/100),IFERROR(VALUE(TRIM(LEFT(MID(Sync!$AE177,FIND("/",Sync!$AE177)+1,20),FIND("/",MID(Sync!$AE177,FIND("/",Sync!$AE177)+1,20))-1))),"")))</f>
        <v/>
      </c>
      <c r="I177">
        <f>IF(OR($F177="",$G177=""),"",IF(ISNUMBER(Sync!$AE177),MOD(Sync!$AE177,100),IFERROR(VALUE(TRIM(MID(MID(Sync!$AE177,FIND("/",Sync!$AE177)+1,20),FIND("/",MID(Sync!$AE177,FIND("/",Sync!$AE177)+1,20))+1,20))),"")))</f>
        <v/>
      </c>
      <c r="J177">
        <f>IF($F177="","",IF(OR($G177="",$H177="",$I177="",$G177&lt;1300,$G177&gt;1500,$H177&lt;1,$H177&gt;12,$I177&lt;1,$I177&gt;31),"نامعتبر",RIGHT("0000"&amp;$G177,4)&amp;"/"&amp;RIGHT("00"&amp;$H177,2)&amp;"/"&amp;RIGHT("00"&amp;$I177,2)))</f>
        <v/>
      </c>
      <c r="K177">
        <f>IF(OR($F177="",$J177="",$J177="نامعتبر"),"",LEFT($J177,4)&amp;MID($J177,6,2)&amp;RIGHT($J177,2)&amp;$N177&amp;"|"&amp;"2"&amp;RIGHT("00000"&amp;172,5))</f>
        <v/>
      </c>
      <c r="L177">
        <f>IF($K177="","",COUNTIFS(LdgSellerA,$F177,LdgKeyA,"&lt;"&amp;$K177)+COUNTIFS(LdgSellerB,$F177,LdgKeyB,"&lt;"&amp;$K177)+1)</f>
        <v/>
      </c>
      <c r="M177">
        <f>IF($L177="","",$F177&amp;"|"&amp;RIGHT("000000"&amp;$L177,6))</f>
        <v/>
      </c>
      <c r="N177">
        <f>IF($F177="","",IF(Sync!$AF177="","0000",IF(AND(ISNUMBER(Sync!$AF177),Sync!$AF177&gt;=0,Sync!$AF177&lt;1),RIGHT("00"&amp;HOUR(Sync!$AF177),2)&amp;RIGHT("00"&amp;MINUTE(Sync!$AF177),2),IFERROR(RIGHT("00"&amp;VALUE(LEFT(Sync!$AF177,FIND(":",Sync!$AF177)-1)),2)&amp;RIGHT("00"&amp;VALUE(MID(Sync!$AF177,FIND(":",Sync!$AF177)+1,2)),2),"0000"))))</f>
        <v/>
      </c>
    </row>
    <row r="178">
      <c r="A178">
        <f>IF(OR(Calc!$E182="",Calc!$E182="نامعتبر",Calc!$G182=""),"",Calc!$G182)</f>
        <v/>
      </c>
      <c r="B178">
        <f>IF($A178="","",LEFT(Calc!$E182,4)&amp;MID(Calc!$E182,6,2)&amp;RIGHT(Calc!$E182,2)&amp;Calc!$Q182&amp;"|"&amp;"1"&amp;RIGHT("00000"&amp;173,5))</f>
        <v/>
      </c>
      <c r="C178">
        <f>IF($B178="","",COUNTIFS(LdgSellerA,$A178,LdgKeyA,"&lt;"&amp;$B178)+COUNTIFS(LdgSellerB,$A178,LdgKeyB,"&lt;"&amp;$B178)+1)</f>
        <v/>
      </c>
      <c r="D178">
        <f>IF($C178="","",$A178&amp;"|"&amp;RIGHT("000000"&amp;$C178,6))</f>
        <v/>
      </c>
      <c r="F178">
        <f>IF(Sync!$AH178="","",IF(LEFT(UPPER(TRIM(Sync!$AH178)),2)="SL",UPPER(TRIM(Sync!$AH178)),""))</f>
        <v/>
      </c>
      <c r="G178">
        <f>IF($F178="","",IF(Sync!$AE178="","",IF(ISNUMBER(Sync!$AE178),IF(AND(Sync!$AE178&gt;=10000101,Sync!$AE178&lt;=99991231),INT(Sync!$AE178/10000),""),IFERROR(VALUE(TRIM(LEFT(Sync!$AE178,FIND("/",Sync!$AE178)-1))),""))))</f>
        <v/>
      </c>
      <c r="H178">
        <f>IF(OR($F178="",$G178=""),"",IF(ISNUMBER(Sync!$AE178),INT(MOD(Sync!$AE178,10000)/100),IFERROR(VALUE(TRIM(LEFT(MID(Sync!$AE178,FIND("/",Sync!$AE178)+1,20),FIND("/",MID(Sync!$AE178,FIND("/",Sync!$AE178)+1,20))-1))),"")))</f>
        <v/>
      </c>
      <c r="I178">
        <f>IF(OR($F178="",$G178=""),"",IF(ISNUMBER(Sync!$AE178),MOD(Sync!$AE178,100),IFERROR(VALUE(TRIM(MID(MID(Sync!$AE178,FIND("/",Sync!$AE178)+1,20),FIND("/",MID(Sync!$AE178,FIND("/",Sync!$AE178)+1,20))+1,20))),"")))</f>
        <v/>
      </c>
      <c r="J178">
        <f>IF($F178="","",IF(OR($G178="",$H178="",$I178="",$G178&lt;1300,$G178&gt;1500,$H178&lt;1,$H178&gt;12,$I178&lt;1,$I178&gt;31),"نامعتبر",RIGHT("0000"&amp;$G178,4)&amp;"/"&amp;RIGHT("00"&amp;$H178,2)&amp;"/"&amp;RIGHT("00"&amp;$I178,2)))</f>
        <v/>
      </c>
      <c r="K178">
        <f>IF(OR($F178="",$J178="",$J178="نامعتبر"),"",LEFT($J178,4)&amp;MID($J178,6,2)&amp;RIGHT($J178,2)&amp;$N178&amp;"|"&amp;"2"&amp;RIGHT("00000"&amp;173,5))</f>
        <v/>
      </c>
      <c r="L178">
        <f>IF($K178="","",COUNTIFS(LdgSellerA,$F178,LdgKeyA,"&lt;"&amp;$K178)+COUNTIFS(LdgSellerB,$F178,LdgKeyB,"&lt;"&amp;$K178)+1)</f>
        <v/>
      </c>
      <c r="M178">
        <f>IF($L178="","",$F178&amp;"|"&amp;RIGHT("000000"&amp;$L178,6))</f>
        <v/>
      </c>
      <c r="N178">
        <f>IF($F178="","",IF(Sync!$AF178="","0000",IF(AND(ISNUMBER(Sync!$AF178),Sync!$AF178&gt;=0,Sync!$AF178&lt;1),RIGHT("00"&amp;HOUR(Sync!$AF178),2)&amp;RIGHT("00"&amp;MINUTE(Sync!$AF178),2),IFERROR(RIGHT("00"&amp;VALUE(LEFT(Sync!$AF178,FIND(":",Sync!$AF178)-1)),2)&amp;RIGHT("00"&amp;VALUE(MID(Sync!$AF178,FIND(":",Sync!$AF178)+1,2)),2),"0000"))))</f>
        <v/>
      </c>
    </row>
    <row r="179">
      <c r="A179">
        <f>IF(OR(Calc!$E183="",Calc!$E183="نامعتبر",Calc!$G183=""),"",Calc!$G183)</f>
        <v/>
      </c>
      <c r="B179">
        <f>IF($A179="","",LEFT(Calc!$E183,4)&amp;MID(Calc!$E183,6,2)&amp;RIGHT(Calc!$E183,2)&amp;Calc!$Q183&amp;"|"&amp;"1"&amp;RIGHT("00000"&amp;174,5))</f>
        <v/>
      </c>
      <c r="C179">
        <f>IF($B179="","",COUNTIFS(LdgSellerA,$A179,LdgKeyA,"&lt;"&amp;$B179)+COUNTIFS(LdgSellerB,$A179,LdgKeyB,"&lt;"&amp;$B179)+1)</f>
        <v/>
      </c>
      <c r="D179">
        <f>IF($C179="","",$A179&amp;"|"&amp;RIGHT("000000"&amp;$C179,6))</f>
        <v/>
      </c>
      <c r="F179">
        <f>IF(Sync!$AH179="","",IF(LEFT(UPPER(TRIM(Sync!$AH179)),2)="SL",UPPER(TRIM(Sync!$AH179)),""))</f>
        <v/>
      </c>
      <c r="G179">
        <f>IF($F179="","",IF(Sync!$AE179="","",IF(ISNUMBER(Sync!$AE179),IF(AND(Sync!$AE179&gt;=10000101,Sync!$AE179&lt;=99991231),INT(Sync!$AE179/10000),""),IFERROR(VALUE(TRIM(LEFT(Sync!$AE179,FIND("/",Sync!$AE179)-1))),""))))</f>
        <v/>
      </c>
      <c r="H179">
        <f>IF(OR($F179="",$G179=""),"",IF(ISNUMBER(Sync!$AE179),INT(MOD(Sync!$AE179,10000)/100),IFERROR(VALUE(TRIM(LEFT(MID(Sync!$AE179,FIND("/",Sync!$AE179)+1,20),FIND("/",MID(Sync!$AE179,FIND("/",Sync!$AE179)+1,20))-1))),"")))</f>
        <v/>
      </c>
      <c r="I179">
        <f>IF(OR($F179="",$G179=""),"",IF(ISNUMBER(Sync!$AE179),MOD(Sync!$AE179,100),IFERROR(VALUE(TRIM(MID(MID(Sync!$AE179,FIND("/",Sync!$AE179)+1,20),FIND("/",MID(Sync!$AE179,FIND("/",Sync!$AE179)+1,20))+1,20))),"")))</f>
        <v/>
      </c>
      <c r="J179">
        <f>IF($F179="","",IF(OR($G179="",$H179="",$I179="",$G179&lt;1300,$G179&gt;1500,$H179&lt;1,$H179&gt;12,$I179&lt;1,$I179&gt;31),"نامعتبر",RIGHT("0000"&amp;$G179,4)&amp;"/"&amp;RIGHT("00"&amp;$H179,2)&amp;"/"&amp;RIGHT("00"&amp;$I179,2)))</f>
        <v/>
      </c>
      <c r="K179">
        <f>IF(OR($F179="",$J179="",$J179="نامعتبر"),"",LEFT($J179,4)&amp;MID($J179,6,2)&amp;RIGHT($J179,2)&amp;$N179&amp;"|"&amp;"2"&amp;RIGHT("00000"&amp;174,5))</f>
        <v/>
      </c>
      <c r="L179">
        <f>IF($K179="","",COUNTIFS(LdgSellerA,$F179,LdgKeyA,"&lt;"&amp;$K179)+COUNTIFS(LdgSellerB,$F179,LdgKeyB,"&lt;"&amp;$K179)+1)</f>
        <v/>
      </c>
      <c r="M179">
        <f>IF($L179="","",$F179&amp;"|"&amp;RIGHT("000000"&amp;$L179,6))</f>
        <v/>
      </c>
      <c r="N179">
        <f>IF($F179="","",IF(Sync!$AF179="","0000",IF(AND(ISNUMBER(Sync!$AF179),Sync!$AF179&gt;=0,Sync!$AF179&lt;1),RIGHT("00"&amp;HOUR(Sync!$AF179),2)&amp;RIGHT("00"&amp;MINUTE(Sync!$AF179),2),IFERROR(RIGHT("00"&amp;VALUE(LEFT(Sync!$AF179,FIND(":",Sync!$AF179)-1)),2)&amp;RIGHT("00"&amp;VALUE(MID(Sync!$AF179,FIND(":",Sync!$AF179)+1,2)),2),"0000"))))</f>
        <v/>
      </c>
    </row>
    <row r="180">
      <c r="A180">
        <f>IF(OR(Calc!$E184="",Calc!$E184="نامعتبر",Calc!$G184=""),"",Calc!$G184)</f>
        <v/>
      </c>
      <c r="B180">
        <f>IF($A180="","",LEFT(Calc!$E184,4)&amp;MID(Calc!$E184,6,2)&amp;RIGHT(Calc!$E184,2)&amp;Calc!$Q184&amp;"|"&amp;"1"&amp;RIGHT("00000"&amp;175,5))</f>
        <v/>
      </c>
      <c r="C180">
        <f>IF($B180="","",COUNTIFS(LdgSellerA,$A180,LdgKeyA,"&lt;"&amp;$B180)+COUNTIFS(LdgSellerB,$A180,LdgKeyB,"&lt;"&amp;$B180)+1)</f>
        <v/>
      </c>
      <c r="D180">
        <f>IF($C180="","",$A180&amp;"|"&amp;RIGHT("000000"&amp;$C180,6))</f>
        <v/>
      </c>
      <c r="F180">
        <f>IF(Sync!$AH180="","",IF(LEFT(UPPER(TRIM(Sync!$AH180)),2)="SL",UPPER(TRIM(Sync!$AH180)),""))</f>
        <v/>
      </c>
      <c r="G180">
        <f>IF($F180="","",IF(Sync!$AE180="","",IF(ISNUMBER(Sync!$AE180),IF(AND(Sync!$AE180&gt;=10000101,Sync!$AE180&lt;=99991231),INT(Sync!$AE180/10000),""),IFERROR(VALUE(TRIM(LEFT(Sync!$AE180,FIND("/",Sync!$AE180)-1))),""))))</f>
        <v/>
      </c>
      <c r="H180">
        <f>IF(OR($F180="",$G180=""),"",IF(ISNUMBER(Sync!$AE180),INT(MOD(Sync!$AE180,10000)/100),IFERROR(VALUE(TRIM(LEFT(MID(Sync!$AE180,FIND("/",Sync!$AE180)+1,20),FIND("/",MID(Sync!$AE180,FIND("/",Sync!$AE180)+1,20))-1))),"")))</f>
        <v/>
      </c>
      <c r="I180">
        <f>IF(OR($F180="",$G180=""),"",IF(ISNUMBER(Sync!$AE180),MOD(Sync!$AE180,100),IFERROR(VALUE(TRIM(MID(MID(Sync!$AE180,FIND("/",Sync!$AE180)+1,20),FIND("/",MID(Sync!$AE180,FIND("/",Sync!$AE180)+1,20))+1,20))),"")))</f>
        <v/>
      </c>
      <c r="J180">
        <f>IF($F180="","",IF(OR($G180="",$H180="",$I180="",$G180&lt;1300,$G180&gt;1500,$H180&lt;1,$H180&gt;12,$I180&lt;1,$I180&gt;31),"نامعتبر",RIGHT("0000"&amp;$G180,4)&amp;"/"&amp;RIGHT("00"&amp;$H180,2)&amp;"/"&amp;RIGHT("00"&amp;$I180,2)))</f>
        <v/>
      </c>
      <c r="K180">
        <f>IF(OR($F180="",$J180="",$J180="نامعتبر"),"",LEFT($J180,4)&amp;MID($J180,6,2)&amp;RIGHT($J180,2)&amp;$N180&amp;"|"&amp;"2"&amp;RIGHT("00000"&amp;175,5))</f>
        <v/>
      </c>
      <c r="L180">
        <f>IF($K180="","",COUNTIFS(LdgSellerA,$F180,LdgKeyA,"&lt;"&amp;$K180)+COUNTIFS(LdgSellerB,$F180,LdgKeyB,"&lt;"&amp;$K180)+1)</f>
        <v/>
      </c>
      <c r="M180">
        <f>IF($L180="","",$F180&amp;"|"&amp;RIGHT("000000"&amp;$L180,6))</f>
        <v/>
      </c>
      <c r="N180">
        <f>IF($F180="","",IF(Sync!$AF180="","0000",IF(AND(ISNUMBER(Sync!$AF180),Sync!$AF180&gt;=0,Sync!$AF180&lt;1),RIGHT("00"&amp;HOUR(Sync!$AF180),2)&amp;RIGHT("00"&amp;MINUTE(Sync!$AF180),2),IFERROR(RIGHT("00"&amp;VALUE(LEFT(Sync!$AF180,FIND(":",Sync!$AF180)-1)),2)&amp;RIGHT("00"&amp;VALUE(MID(Sync!$AF180,FIND(":",Sync!$AF180)+1,2)),2),"0000"))))</f>
        <v/>
      </c>
    </row>
    <row r="181">
      <c r="A181">
        <f>IF(OR(Calc!$E185="",Calc!$E185="نامعتبر",Calc!$G185=""),"",Calc!$G185)</f>
        <v/>
      </c>
      <c r="B181">
        <f>IF($A181="","",LEFT(Calc!$E185,4)&amp;MID(Calc!$E185,6,2)&amp;RIGHT(Calc!$E185,2)&amp;Calc!$Q185&amp;"|"&amp;"1"&amp;RIGHT("00000"&amp;176,5))</f>
        <v/>
      </c>
      <c r="C181">
        <f>IF($B181="","",COUNTIFS(LdgSellerA,$A181,LdgKeyA,"&lt;"&amp;$B181)+COUNTIFS(LdgSellerB,$A181,LdgKeyB,"&lt;"&amp;$B181)+1)</f>
        <v/>
      </c>
      <c r="D181">
        <f>IF($C181="","",$A181&amp;"|"&amp;RIGHT("000000"&amp;$C181,6))</f>
        <v/>
      </c>
      <c r="F181">
        <f>IF(Sync!$AH181="","",IF(LEFT(UPPER(TRIM(Sync!$AH181)),2)="SL",UPPER(TRIM(Sync!$AH181)),""))</f>
        <v/>
      </c>
      <c r="G181">
        <f>IF($F181="","",IF(Sync!$AE181="","",IF(ISNUMBER(Sync!$AE181),IF(AND(Sync!$AE181&gt;=10000101,Sync!$AE181&lt;=99991231),INT(Sync!$AE181/10000),""),IFERROR(VALUE(TRIM(LEFT(Sync!$AE181,FIND("/",Sync!$AE181)-1))),""))))</f>
        <v/>
      </c>
      <c r="H181">
        <f>IF(OR($F181="",$G181=""),"",IF(ISNUMBER(Sync!$AE181),INT(MOD(Sync!$AE181,10000)/100),IFERROR(VALUE(TRIM(LEFT(MID(Sync!$AE181,FIND("/",Sync!$AE181)+1,20),FIND("/",MID(Sync!$AE181,FIND("/",Sync!$AE181)+1,20))-1))),"")))</f>
        <v/>
      </c>
      <c r="I181">
        <f>IF(OR($F181="",$G181=""),"",IF(ISNUMBER(Sync!$AE181),MOD(Sync!$AE181,100),IFERROR(VALUE(TRIM(MID(MID(Sync!$AE181,FIND("/",Sync!$AE181)+1,20),FIND("/",MID(Sync!$AE181,FIND("/",Sync!$AE181)+1,20))+1,20))),"")))</f>
        <v/>
      </c>
      <c r="J181">
        <f>IF($F181="","",IF(OR($G181="",$H181="",$I181="",$G181&lt;1300,$G181&gt;1500,$H181&lt;1,$H181&gt;12,$I181&lt;1,$I181&gt;31),"نامعتبر",RIGHT("0000"&amp;$G181,4)&amp;"/"&amp;RIGHT("00"&amp;$H181,2)&amp;"/"&amp;RIGHT("00"&amp;$I181,2)))</f>
        <v/>
      </c>
      <c r="K181">
        <f>IF(OR($F181="",$J181="",$J181="نامعتبر"),"",LEFT($J181,4)&amp;MID($J181,6,2)&amp;RIGHT($J181,2)&amp;$N181&amp;"|"&amp;"2"&amp;RIGHT("00000"&amp;176,5))</f>
        <v/>
      </c>
      <c r="L181">
        <f>IF($K181="","",COUNTIFS(LdgSellerA,$F181,LdgKeyA,"&lt;"&amp;$K181)+COUNTIFS(LdgSellerB,$F181,LdgKeyB,"&lt;"&amp;$K181)+1)</f>
        <v/>
      </c>
      <c r="M181">
        <f>IF($L181="","",$F181&amp;"|"&amp;RIGHT("000000"&amp;$L181,6))</f>
        <v/>
      </c>
      <c r="N181">
        <f>IF($F181="","",IF(Sync!$AF181="","0000",IF(AND(ISNUMBER(Sync!$AF181),Sync!$AF181&gt;=0,Sync!$AF181&lt;1),RIGHT("00"&amp;HOUR(Sync!$AF181),2)&amp;RIGHT("00"&amp;MINUTE(Sync!$AF181),2),IFERROR(RIGHT("00"&amp;VALUE(LEFT(Sync!$AF181,FIND(":",Sync!$AF181)-1)),2)&amp;RIGHT("00"&amp;VALUE(MID(Sync!$AF181,FIND(":",Sync!$AF181)+1,2)),2),"0000"))))</f>
        <v/>
      </c>
    </row>
    <row r="182">
      <c r="A182">
        <f>IF(OR(Calc!$E186="",Calc!$E186="نامعتبر",Calc!$G186=""),"",Calc!$G186)</f>
        <v/>
      </c>
      <c r="B182">
        <f>IF($A182="","",LEFT(Calc!$E186,4)&amp;MID(Calc!$E186,6,2)&amp;RIGHT(Calc!$E186,2)&amp;Calc!$Q186&amp;"|"&amp;"1"&amp;RIGHT("00000"&amp;177,5))</f>
        <v/>
      </c>
      <c r="C182">
        <f>IF($B182="","",COUNTIFS(LdgSellerA,$A182,LdgKeyA,"&lt;"&amp;$B182)+COUNTIFS(LdgSellerB,$A182,LdgKeyB,"&lt;"&amp;$B182)+1)</f>
        <v/>
      </c>
      <c r="D182">
        <f>IF($C182="","",$A182&amp;"|"&amp;RIGHT("000000"&amp;$C182,6))</f>
        <v/>
      </c>
      <c r="F182">
        <f>IF(Sync!$AH182="","",IF(LEFT(UPPER(TRIM(Sync!$AH182)),2)="SL",UPPER(TRIM(Sync!$AH182)),""))</f>
        <v/>
      </c>
      <c r="G182">
        <f>IF($F182="","",IF(Sync!$AE182="","",IF(ISNUMBER(Sync!$AE182),IF(AND(Sync!$AE182&gt;=10000101,Sync!$AE182&lt;=99991231),INT(Sync!$AE182/10000),""),IFERROR(VALUE(TRIM(LEFT(Sync!$AE182,FIND("/",Sync!$AE182)-1))),""))))</f>
        <v/>
      </c>
      <c r="H182">
        <f>IF(OR($F182="",$G182=""),"",IF(ISNUMBER(Sync!$AE182),INT(MOD(Sync!$AE182,10000)/100),IFERROR(VALUE(TRIM(LEFT(MID(Sync!$AE182,FIND("/",Sync!$AE182)+1,20),FIND("/",MID(Sync!$AE182,FIND("/",Sync!$AE182)+1,20))-1))),"")))</f>
        <v/>
      </c>
      <c r="I182">
        <f>IF(OR($F182="",$G182=""),"",IF(ISNUMBER(Sync!$AE182),MOD(Sync!$AE182,100),IFERROR(VALUE(TRIM(MID(MID(Sync!$AE182,FIND("/",Sync!$AE182)+1,20),FIND("/",MID(Sync!$AE182,FIND("/",Sync!$AE182)+1,20))+1,20))),"")))</f>
        <v/>
      </c>
      <c r="J182">
        <f>IF($F182="","",IF(OR($G182="",$H182="",$I182="",$G182&lt;1300,$G182&gt;1500,$H182&lt;1,$H182&gt;12,$I182&lt;1,$I182&gt;31),"نامعتبر",RIGHT("0000"&amp;$G182,4)&amp;"/"&amp;RIGHT("00"&amp;$H182,2)&amp;"/"&amp;RIGHT("00"&amp;$I182,2)))</f>
        <v/>
      </c>
      <c r="K182">
        <f>IF(OR($F182="",$J182="",$J182="نامعتبر"),"",LEFT($J182,4)&amp;MID($J182,6,2)&amp;RIGHT($J182,2)&amp;$N182&amp;"|"&amp;"2"&amp;RIGHT("00000"&amp;177,5))</f>
        <v/>
      </c>
      <c r="L182">
        <f>IF($K182="","",COUNTIFS(LdgSellerA,$F182,LdgKeyA,"&lt;"&amp;$K182)+COUNTIFS(LdgSellerB,$F182,LdgKeyB,"&lt;"&amp;$K182)+1)</f>
        <v/>
      </c>
      <c r="M182">
        <f>IF($L182="","",$F182&amp;"|"&amp;RIGHT("000000"&amp;$L182,6))</f>
        <v/>
      </c>
      <c r="N182">
        <f>IF($F182="","",IF(Sync!$AF182="","0000",IF(AND(ISNUMBER(Sync!$AF182),Sync!$AF182&gt;=0,Sync!$AF182&lt;1),RIGHT("00"&amp;HOUR(Sync!$AF182),2)&amp;RIGHT("00"&amp;MINUTE(Sync!$AF182),2),IFERROR(RIGHT("00"&amp;VALUE(LEFT(Sync!$AF182,FIND(":",Sync!$AF182)-1)),2)&amp;RIGHT("00"&amp;VALUE(MID(Sync!$AF182,FIND(":",Sync!$AF182)+1,2)),2),"0000"))))</f>
        <v/>
      </c>
    </row>
    <row r="183">
      <c r="A183">
        <f>IF(OR(Calc!$E187="",Calc!$E187="نامعتبر",Calc!$G187=""),"",Calc!$G187)</f>
        <v/>
      </c>
      <c r="B183">
        <f>IF($A183="","",LEFT(Calc!$E187,4)&amp;MID(Calc!$E187,6,2)&amp;RIGHT(Calc!$E187,2)&amp;Calc!$Q187&amp;"|"&amp;"1"&amp;RIGHT("00000"&amp;178,5))</f>
        <v/>
      </c>
      <c r="C183">
        <f>IF($B183="","",COUNTIFS(LdgSellerA,$A183,LdgKeyA,"&lt;"&amp;$B183)+COUNTIFS(LdgSellerB,$A183,LdgKeyB,"&lt;"&amp;$B183)+1)</f>
        <v/>
      </c>
      <c r="D183">
        <f>IF($C183="","",$A183&amp;"|"&amp;RIGHT("000000"&amp;$C183,6))</f>
        <v/>
      </c>
      <c r="F183">
        <f>IF(Sync!$AH183="","",IF(LEFT(UPPER(TRIM(Sync!$AH183)),2)="SL",UPPER(TRIM(Sync!$AH183)),""))</f>
        <v/>
      </c>
      <c r="G183">
        <f>IF($F183="","",IF(Sync!$AE183="","",IF(ISNUMBER(Sync!$AE183),IF(AND(Sync!$AE183&gt;=10000101,Sync!$AE183&lt;=99991231),INT(Sync!$AE183/10000),""),IFERROR(VALUE(TRIM(LEFT(Sync!$AE183,FIND("/",Sync!$AE183)-1))),""))))</f>
        <v/>
      </c>
      <c r="H183">
        <f>IF(OR($F183="",$G183=""),"",IF(ISNUMBER(Sync!$AE183),INT(MOD(Sync!$AE183,10000)/100),IFERROR(VALUE(TRIM(LEFT(MID(Sync!$AE183,FIND("/",Sync!$AE183)+1,20),FIND("/",MID(Sync!$AE183,FIND("/",Sync!$AE183)+1,20))-1))),"")))</f>
        <v/>
      </c>
      <c r="I183">
        <f>IF(OR($F183="",$G183=""),"",IF(ISNUMBER(Sync!$AE183),MOD(Sync!$AE183,100),IFERROR(VALUE(TRIM(MID(MID(Sync!$AE183,FIND("/",Sync!$AE183)+1,20),FIND("/",MID(Sync!$AE183,FIND("/",Sync!$AE183)+1,20))+1,20))),"")))</f>
        <v/>
      </c>
      <c r="J183">
        <f>IF($F183="","",IF(OR($G183="",$H183="",$I183="",$G183&lt;1300,$G183&gt;1500,$H183&lt;1,$H183&gt;12,$I183&lt;1,$I183&gt;31),"نامعتبر",RIGHT("0000"&amp;$G183,4)&amp;"/"&amp;RIGHT("00"&amp;$H183,2)&amp;"/"&amp;RIGHT("00"&amp;$I183,2)))</f>
        <v/>
      </c>
      <c r="K183">
        <f>IF(OR($F183="",$J183="",$J183="نامعتبر"),"",LEFT($J183,4)&amp;MID($J183,6,2)&amp;RIGHT($J183,2)&amp;$N183&amp;"|"&amp;"2"&amp;RIGHT("00000"&amp;178,5))</f>
        <v/>
      </c>
      <c r="L183">
        <f>IF($K183="","",COUNTIFS(LdgSellerA,$F183,LdgKeyA,"&lt;"&amp;$K183)+COUNTIFS(LdgSellerB,$F183,LdgKeyB,"&lt;"&amp;$K183)+1)</f>
        <v/>
      </c>
      <c r="M183">
        <f>IF($L183="","",$F183&amp;"|"&amp;RIGHT("000000"&amp;$L183,6))</f>
        <v/>
      </c>
      <c r="N183">
        <f>IF($F183="","",IF(Sync!$AF183="","0000",IF(AND(ISNUMBER(Sync!$AF183),Sync!$AF183&gt;=0,Sync!$AF183&lt;1),RIGHT("00"&amp;HOUR(Sync!$AF183),2)&amp;RIGHT("00"&amp;MINUTE(Sync!$AF183),2),IFERROR(RIGHT("00"&amp;VALUE(LEFT(Sync!$AF183,FIND(":",Sync!$AF183)-1)),2)&amp;RIGHT("00"&amp;VALUE(MID(Sync!$AF183,FIND(":",Sync!$AF183)+1,2)),2),"0000"))))</f>
        <v/>
      </c>
    </row>
    <row r="184">
      <c r="A184">
        <f>IF(OR(Calc!$E188="",Calc!$E188="نامعتبر",Calc!$G188=""),"",Calc!$G188)</f>
        <v/>
      </c>
      <c r="B184">
        <f>IF($A184="","",LEFT(Calc!$E188,4)&amp;MID(Calc!$E188,6,2)&amp;RIGHT(Calc!$E188,2)&amp;Calc!$Q188&amp;"|"&amp;"1"&amp;RIGHT("00000"&amp;179,5))</f>
        <v/>
      </c>
      <c r="C184">
        <f>IF($B184="","",COUNTIFS(LdgSellerA,$A184,LdgKeyA,"&lt;"&amp;$B184)+COUNTIFS(LdgSellerB,$A184,LdgKeyB,"&lt;"&amp;$B184)+1)</f>
        <v/>
      </c>
      <c r="D184">
        <f>IF($C184="","",$A184&amp;"|"&amp;RIGHT("000000"&amp;$C184,6))</f>
        <v/>
      </c>
      <c r="F184">
        <f>IF(Sync!$AH184="","",IF(LEFT(UPPER(TRIM(Sync!$AH184)),2)="SL",UPPER(TRIM(Sync!$AH184)),""))</f>
        <v/>
      </c>
      <c r="G184">
        <f>IF($F184="","",IF(Sync!$AE184="","",IF(ISNUMBER(Sync!$AE184),IF(AND(Sync!$AE184&gt;=10000101,Sync!$AE184&lt;=99991231),INT(Sync!$AE184/10000),""),IFERROR(VALUE(TRIM(LEFT(Sync!$AE184,FIND("/",Sync!$AE184)-1))),""))))</f>
        <v/>
      </c>
      <c r="H184">
        <f>IF(OR($F184="",$G184=""),"",IF(ISNUMBER(Sync!$AE184),INT(MOD(Sync!$AE184,10000)/100),IFERROR(VALUE(TRIM(LEFT(MID(Sync!$AE184,FIND("/",Sync!$AE184)+1,20),FIND("/",MID(Sync!$AE184,FIND("/",Sync!$AE184)+1,20))-1))),"")))</f>
        <v/>
      </c>
      <c r="I184">
        <f>IF(OR($F184="",$G184=""),"",IF(ISNUMBER(Sync!$AE184),MOD(Sync!$AE184,100),IFERROR(VALUE(TRIM(MID(MID(Sync!$AE184,FIND("/",Sync!$AE184)+1,20),FIND("/",MID(Sync!$AE184,FIND("/",Sync!$AE184)+1,20))+1,20))),"")))</f>
        <v/>
      </c>
      <c r="J184">
        <f>IF($F184="","",IF(OR($G184="",$H184="",$I184="",$G184&lt;1300,$G184&gt;1500,$H184&lt;1,$H184&gt;12,$I184&lt;1,$I184&gt;31),"نامعتبر",RIGHT("0000"&amp;$G184,4)&amp;"/"&amp;RIGHT("00"&amp;$H184,2)&amp;"/"&amp;RIGHT("00"&amp;$I184,2)))</f>
        <v/>
      </c>
      <c r="K184">
        <f>IF(OR($F184="",$J184="",$J184="نامعتبر"),"",LEFT($J184,4)&amp;MID($J184,6,2)&amp;RIGHT($J184,2)&amp;$N184&amp;"|"&amp;"2"&amp;RIGHT("00000"&amp;179,5))</f>
        <v/>
      </c>
      <c r="L184">
        <f>IF($K184="","",COUNTIFS(LdgSellerA,$F184,LdgKeyA,"&lt;"&amp;$K184)+COUNTIFS(LdgSellerB,$F184,LdgKeyB,"&lt;"&amp;$K184)+1)</f>
        <v/>
      </c>
      <c r="M184">
        <f>IF($L184="","",$F184&amp;"|"&amp;RIGHT("000000"&amp;$L184,6))</f>
        <v/>
      </c>
      <c r="N184">
        <f>IF($F184="","",IF(Sync!$AF184="","0000",IF(AND(ISNUMBER(Sync!$AF184),Sync!$AF184&gt;=0,Sync!$AF184&lt;1),RIGHT("00"&amp;HOUR(Sync!$AF184),2)&amp;RIGHT("00"&amp;MINUTE(Sync!$AF184),2),IFERROR(RIGHT("00"&amp;VALUE(LEFT(Sync!$AF184,FIND(":",Sync!$AF184)-1)),2)&amp;RIGHT("00"&amp;VALUE(MID(Sync!$AF184,FIND(":",Sync!$AF184)+1,2)),2),"0000"))))</f>
        <v/>
      </c>
    </row>
    <row r="185">
      <c r="A185">
        <f>IF(OR(Calc!$E189="",Calc!$E189="نامعتبر",Calc!$G189=""),"",Calc!$G189)</f>
        <v/>
      </c>
      <c r="B185">
        <f>IF($A185="","",LEFT(Calc!$E189,4)&amp;MID(Calc!$E189,6,2)&amp;RIGHT(Calc!$E189,2)&amp;Calc!$Q189&amp;"|"&amp;"1"&amp;RIGHT("00000"&amp;180,5))</f>
        <v/>
      </c>
      <c r="C185">
        <f>IF($B185="","",COUNTIFS(LdgSellerA,$A185,LdgKeyA,"&lt;"&amp;$B185)+COUNTIFS(LdgSellerB,$A185,LdgKeyB,"&lt;"&amp;$B185)+1)</f>
        <v/>
      </c>
      <c r="D185">
        <f>IF($C185="","",$A185&amp;"|"&amp;RIGHT("000000"&amp;$C185,6))</f>
        <v/>
      </c>
      <c r="F185">
        <f>IF(Sync!$AH185="","",IF(LEFT(UPPER(TRIM(Sync!$AH185)),2)="SL",UPPER(TRIM(Sync!$AH185)),""))</f>
        <v/>
      </c>
      <c r="G185">
        <f>IF($F185="","",IF(Sync!$AE185="","",IF(ISNUMBER(Sync!$AE185),IF(AND(Sync!$AE185&gt;=10000101,Sync!$AE185&lt;=99991231),INT(Sync!$AE185/10000),""),IFERROR(VALUE(TRIM(LEFT(Sync!$AE185,FIND("/",Sync!$AE185)-1))),""))))</f>
        <v/>
      </c>
      <c r="H185">
        <f>IF(OR($F185="",$G185=""),"",IF(ISNUMBER(Sync!$AE185),INT(MOD(Sync!$AE185,10000)/100),IFERROR(VALUE(TRIM(LEFT(MID(Sync!$AE185,FIND("/",Sync!$AE185)+1,20),FIND("/",MID(Sync!$AE185,FIND("/",Sync!$AE185)+1,20))-1))),"")))</f>
        <v/>
      </c>
      <c r="I185">
        <f>IF(OR($F185="",$G185=""),"",IF(ISNUMBER(Sync!$AE185),MOD(Sync!$AE185,100),IFERROR(VALUE(TRIM(MID(MID(Sync!$AE185,FIND("/",Sync!$AE185)+1,20),FIND("/",MID(Sync!$AE185,FIND("/",Sync!$AE185)+1,20))+1,20))),"")))</f>
        <v/>
      </c>
      <c r="J185">
        <f>IF($F185="","",IF(OR($G185="",$H185="",$I185="",$G185&lt;1300,$G185&gt;1500,$H185&lt;1,$H185&gt;12,$I185&lt;1,$I185&gt;31),"نامعتبر",RIGHT("0000"&amp;$G185,4)&amp;"/"&amp;RIGHT("00"&amp;$H185,2)&amp;"/"&amp;RIGHT("00"&amp;$I185,2)))</f>
        <v/>
      </c>
      <c r="K185">
        <f>IF(OR($F185="",$J185="",$J185="نامعتبر"),"",LEFT($J185,4)&amp;MID($J185,6,2)&amp;RIGHT($J185,2)&amp;$N185&amp;"|"&amp;"2"&amp;RIGHT("00000"&amp;180,5))</f>
        <v/>
      </c>
      <c r="L185">
        <f>IF($K185="","",COUNTIFS(LdgSellerA,$F185,LdgKeyA,"&lt;"&amp;$K185)+COUNTIFS(LdgSellerB,$F185,LdgKeyB,"&lt;"&amp;$K185)+1)</f>
        <v/>
      </c>
      <c r="M185">
        <f>IF($L185="","",$F185&amp;"|"&amp;RIGHT("000000"&amp;$L185,6))</f>
        <v/>
      </c>
      <c r="N185">
        <f>IF($F185="","",IF(Sync!$AF185="","0000",IF(AND(ISNUMBER(Sync!$AF185),Sync!$AF185&gt;=0,Sync!$AF185&lt;1),RIGHT("00"&amp;HOUR(Sync!$AF185),2)&amp;RIGHT("00"&amp;MINUTE(Sync!$AF185),2),IFERROR(RIGHT("00"&amp;VALUE(LEFT(Sync!$AF185,FIND(":",Sync!$AF185)-1)),2)&amp;RIGHT("00"&amp;VALUE(MID(Sync!$AF185,FIND(":",Sync!$AF185)+1,2)),2),"0000"))))</f>
        <v/>
      </c>
    </row>
    <row r="186">
      <c r="A186">
        <f>IF(OR(Calc!$E190="",Calc!$E190="نامعتبر",Calc!$G190=""),"",Calc!$G190)</f>
        <v/>
      </c>
      <c r="B186">
        <f>IF($A186="","",LEFT(Calc!$E190,4)&amp;MID(Calc!$E190,6,2)&amp;RIGHT(Calc!$E190,2)&amp;Calc!$Q190&amp;"|"&amp;"1"&amp;RIGHT("00000"&amp;181,5))</f>
        <v/>
      </c>
      <c r="C186">
        <f>IF($B186="","",COUNTIFS(LdgSellerA,$A186,LdgKeyA,"&lt;"&amp;$B186)+COUNTIFS(LdgSellerB,$A186,LdgKeyB,"&lt;"&amp;$B186)+1)</f>
        <v/>
      </c>
      <c r="D186">
        <f>IF($C186="","",$A186&amp;"|"&amp;RIGHT("000000"&amp;$C186,6))</f>
        <v/>
      </c>
      <c r="F186">
        <f>IF(Sync!$AH186="","",IF(LEFT(UPPER(TRIM(Sync!$AH186)),2)="SL",UPPER(TRIM(Sync!$AH186)),""))</f>
        <v/>
      </c>
      <c r="G186">
        <f>IF($F186="","",IF(Sync!$AE186="","",IF(ISNUMBER(Sync!$AE186),IF(AND(Sync!$AE186&gt;=10000101,Sync!$AE186&lt;=99991231),INT(Sync!$AE186/10000),""),IFERROR(VALUE(TRIM(LEFT(Sync!$AE186,FIND("/",Sync!$AE186)-1))),""))))</f>
        <v/>
      </c>
      <c r="H186">
        <f>IF(OR($F186="",$G186=""),"",IF(ISNUMBER(Sync!$AE186),INT(MOD(Sync!$AE186,10000)/100),IFERROR(VALUE(TRIM(LEFT(MID(Sync!$AE186,FIND("/",Sync!$AE186)+1,20),FIND("/",MID(Sync!$AE186,FIND("/",Sync!$AE186)+1,20))-1))),"")))</f>
        <v/>
      </c>
      <c r="I186">
        <f>IF(OR($F186="",$G186=""),"",IF(ISNUMBER(Sync!$AE186),MOD(Sync!$AE186,100),IFERROR(VALUE(TRIM(MID(MID(Sync!$AE186,FIND("/",Sync!$AE186)+1,20),FIND("/",MID(Sync!$AE186,FIND("/",Sync!$AE186)+1,20))+1,20))),"")))</f>
        <v/>
      </c>
      <c r="J186">
        <f>IF($F186="","",IF(OR($G186="",$H186="",$I186="",$G186&lt;1300,$G186&gt;1500,$H186&lt;1,$H186&gt;12,$I186&lt;1,$I186&gt;31),"نامعتبر",RIGHT("0000"&amp;$G186,4)&amp;"/"&amp;RIGHT("00"&amp;$H186,2)&amp;"/"&amp;RIGHT("00"&amp;$I186,2)))</f>
        <v/>
      </c>
      <c r="K186">
        <f>IF(OR($F186="",$J186="",$J186="نامعتبر"),"",LEFT($J186,4)&amp;MID($J186,6,2)&amp;RIGHT($J186,2)&amp;$N186&amp;"|"&amp;"2"&amp;RIGHT("00000"&amp;181,5))</f>
        <v/>
      </c>
      <c r="L186">
        <f>IF($K186="","",COUNTIFS(LdgSellerA,$F186,LdgKeyA,"&lt;"&amp;$K186)+COUNTIFS(LdgSellerB,$F186,LdgKeyB,"&lt;"&amp;$K186)+1)</f>
        <v/>
      </c>
      <c r="M186">
        <f>IF($L186="","",$F186&amp;"|"&amp;RIGHT("000000"&amp;$L186,6))</f>
        <v/>
      </c>
      <c r="N186">
        <f>IF($F186="","",IF(Sync!$AF186="","0000",IF(AND(ISNUMBER(Sync!$AF186),Sync!$AF186&gt;=0,Sync!$AF186&lt;1),RIGHT("00"&amp;HOUR(Sync!$AF186),2)&amp;RIGHT("00"&amp;MINUTE(Sync!$AF186),2),IFERROR(RIGHT("00"&amp;VALUE(LEFT(Sync!$AF186,FIND(":",Sync!$AF186)-1)),2)&amp;RIGHT("00"&amp;VALUE(MID(Sync!$AF186,FIND(":",Sync!$AF186)+1,2)),2),"0000"))))</f>
        <v/>
      </c>
    </row>
    <row r="187">
      <c r="A187">
        <f>IF(OR(Calc!$E191="",Calc!$E191="نامعتبر",Calc!$G191=""),"",Calc!$G191)</f>
        <v/>
      </c>
      <c r="B187">
        <f>IF($A187="","",LEFT(Calc!$E191,4)&amp;MID(Calc!$E191,6,2)&amp;RIGHT(Calc!$E191,2)&amp;Calc!$Q191&amp;"|"&amp;"1"&amp;RIGHT("00000"&amp;182,5))</f>
        <v/>
      </c>
      <c r="C187">
        <f>IF($B187="","",COUNTIFS(LdgSellerA,$A187,LdgKeyA,"&lt;"&amp;$B187)+COUNTIFS(LdgSellerB,$A187,LdgKeyB,"&lt;"&amp;$B187)+1)</f>
        <v/>
      </c>
      <c r="D187">
        <f>IF($C187="","",$A187&amp;"|"&amp;RIGHT("000000"&amp;$C187,6))</f>
        <v/>
      </c>
      <c r="F187">
        <f>IF(Sync!$AH187="","",IF(LEFT(UPPER(TRIM(Sync!$AH187)),2)="SL",UPPER(TRIM(Sync!$AH187)),""))</f>
        <v/>
      </c>
      <c r="G187">
        <f>IF($F187="","",IF(Sync!$AE187="","",IF(ISNUMBER(Sync!$AE187),IF(AND(Sync!$AE187&gt;=10000101,Sync!$AE187&lt;=99991231),INT(Sync!$AE187/10000),""),IFERROR(VALUE(TRIM(LEFT(Sync!$AE187,FIND("/",Sync!$AE187)-1))),""))))</f>
        <v/>
      </c>
      <c r="H187">
        <f>IF(OR($F187="",$G187=""),"",IF(ISNUMBER(Sync!$AE187),INT(MOD(Sync!$AE187,10000)/100),IFERROR(VALUE(TRIM(LEFT(MID(Sync!$AE187,FIND("/",Sync!$AE187)+1,20),FIND("/",MID(Sync!$AE187,FIND("/",Sync!$AE187)+1,20))-1))),"")))</f>
        <v/>
      </c>
      <c r="I187">
        <f>IF(OR($F187="",$G187=""),"",IF(ISNUMBER(Sync!$AE187),MOD(Sync!$AE187,100),IFERROR(VALUE(TRIM(MID(MID(Sync!$AE187,FIND("/",Sync!$AE187)+1,20),FIND("/",MID(Sync!$AE187,FIND("/",Sync!$AE187)+1,20))+1,20))),"")))</f>
        <v/>
      </c>
      <c r="J187">
        <f>IF($F187="","",IF(OR($G187="",$H187="",$I187="",$G187&lt;1300,$G187&gt;1500,$H187&lt;1,$H187&gt;12,$I187&lt;1,$I187&gt;31),"نامعتبر",RIGHT("0000"&amp;$G187,4)&amp;"/"&amp;RIGHT("00"&amp;$H187,2)&amp;"/"&amp;RIGHT("00"&amp;$I187,2)))</f>
        <v/>
      </c>
      <c r="K187">
        <f>IF(OR($F187="",$J187="",$J187="نامعتبر"),"",LEFT($J187,4)&amp;MID($J187,6,2)&amp;RIGHT($J187,2)&amp;$N187&amp;"|"&amp;"2"&amp;RIGHT("00000"&amp;182,5))</f>
        <v/>
      </c>
      <c r="L187">
        <f>IF($K187="","",COUNTIFS(LdgSellerA,$F187,LdgKeyA,"&lt;"&amp;$K187)+COUNTIFS(LdgSellerB,$F187,LdgKeyB,"&lt;"&amp;$K187)+1)</f>
        <v/>
      </c>
      <c r="M187">
        <f>IF($L187="","",$F187&amp;"|"&amp;RIGHT("000000"&amp;$L187,6))</f>
        <v/>
      </c>
      <c r="N187">
        <f>IF($F187="","",IF(Sync!$AF187="","0000",IF(AND(ISNUMBER(Sync!$AF187),Sync!$AF187&gt;=0,Sync!$AF187&lt;1),RIGHT("00"&amp;HOUR(Sync!$AF187),2)&amp;RIGHT("00"&amp;MINUTE(Sync!$AF187),2),IFERROR(RIGHT("00"&amp;VALUE(LEFT(Sync!$AF187,FIND(":",Sync!$AF187)-1)),2)&amp;RIGHT("00"&amp;VALUE(MID(Sync!$AF187,FIND(":",Sync!$AF187)+1,2)),2),"0000"))))</f>
        <v/>
      </c>
    </row>
    <row r="188">
      <c r="A188">
        <f>IF(OR(Calc!$E192="",Calc!$E192="نامعتبر",Calc!$G192=""),"",Calc!$G192)</f>
        <v/>
      </c>
      <c r="B188">
        <f>IF($A188="","",LEFT(Calc!$E192,4)&amp;MID(Calc!$E192,6,2)&amp;RIGHT(Calc!$E192,2)&amp;Calc!$Q192&amp;"|"&amp;"1"&amp;RIGHT("00000"&amp;183,5))</f>
        <v/>
      </c>
      <c r="C188">
        <f>IF($B188="","",COUNTIFS(LdgSellerA,$A188,LdgKeyA,"&lt;"&amp;$B188)+COUNTIFS(LdgSellerB,$A188,LdgKeyB,"&lt;"&amp;$B188)+1)</f>
        <v/>
      </c>
      <c r="D188">
        <f>IF($C188="","",$A188&amp;"|"&amp;RIGHT("000000"&amp;$C188,6))</f>
        <v/>
      </c>
      <c r="F188">
        <f>IF(Sync!$AH188="","",IF(LEFT(UPPER(TRIM(Sync!$AH188)),2)="SL",UPPER(TRIM(Sync!$AH188)),""))</f>
        <v/>
      </c>
      <c r="G188">
        <f>IF($F188="","",IF(Sync!$AE188="","",IF(ISNUMBER(Sync!$AE188),IF(AND(Sync!$AE188&gt;=10000101,Sync!$AE188&lt;=99991231),INT(Sync!$AE188/10000),""),IFERROR(VALUE(TRIM(LEFT(Sync!$AE188,FIND("/",Sync!$AE188)-1))),""))))</f>
        <v/>
      </c>
      <c r="H188">
        <f>IF(OR($F188="",$G188=""),"",IF(ISNUMBER(Sync!$AE188),INT(MOD(Sync!$AE188,10000)/100),IFERROR(VALUE(TRIM(LEFT(MID(Sync!$AE188,FIND("/",Sync!$AE188)+1,20),FIND("/",MID(Sync!$AE188,FIND("/",Sync!$AE188)+1,20))-1))),"")))</f>
        <v/>
      </c>
      <c r="I188">
        <f>IF(OR($F188="",$G188=""),"",IF(ISNUMBER(Sync!$AE188),MOD(Sync!$AE188,100),IFERROR(VALUE(TRIM(MID(MID(Sync!$AE188,FIND("/",Sync!$AE188)+1,20),FIND("/",MID(Sync!$AE188,FIND("/",Sync!$AE188)+1,20))+1,20))),"")))</f>
        <v/>
      </c>
      <c r="J188">
        <f>IF($F188="","",IF(OR($G188="",$H188="",$I188="",$G188&lt;1300,$G188&gt;1500,$H188&lt;1,$H188&gt;12,$I188&lt;1,$I188&gt;31),"نامعتبر",RIGHT("0000"&amp;$G188,4)&amp;"/"&amp;RIGHT("00"&amp;$H188,2)&amp;"/"&amp;RIGHT("00"&amp;$I188,2)))</f>
        <v/>
      </c>
      <c r="K188">
        <f>IF(OR($F188="",$J188="",$J188="نامعتبر"),"",LEFT($J188,4)&amp;MID($J188,6,2)&amp;RIGHT($J188,2)&amp;$N188&amp;"|"&amp;"2"&amp;RIGHT("00000"&amp;183,5))</f>
        <v/>
      </c>
      <c r="L188">
        <f>IF($K188="","",COUNTIFS(LdgSellerA,$F188,LdgKeyA,"&lt;"&amp;$K188)+COUNTIFS(LdgSellerB,$F188,LdgKeyB,"&lt;"&amp;$K188)+1)</f>
        <v/>
      </c>
      <c r="M188">
        <f>IF($L188="","",$F188&amp;"|"&amp;RIGHT("000000"&amp;$L188,6))</f>
        <v/>
      </c>
      <c r="N188">
        <f>IF($F188="","",IF(Sync!$AF188="","0000",IF(AND(ISNUMBER(Sync!$AF188),Sync!$AF188&gt;=0,Sync!$AF188&lt;1),RIGHT("00"&amp;HOUR(Sync!$AF188),2)&amp;RIGHT("00"&amp;MINUTE(Sync!$AF188),2),IFERROR(RIGHT("00"&amp;VALUE(LEFT(Sync!$AF188,FIND(":",Sync!$AF188)-1)),2)&amp;RIGHT("00"&amp;VALUE(MID(Sync!$AF188,FIND(":",Sync!$AF188)+1,2)),2),"0000"))))</f>
        <v/>
      </c>
    </row>
    <row r="189">
      <c r="A189">
        <f>IF(OR(Calc!$E193="",Calc!$E193="نامعتبر",Calc!$G193=""),"",Calc!$G193)</f>
        <v/>
      </c>
      <c r="B189">
        <f>IF($A189="","",LEFT(Calc!$E193,4)&amp;MID(Calc!$E193,6,2)&amp;RIGHT(Calc!$E193,2)&amp;Calc!$Q193&amp;"|"&amp;"1"&amp;RIGHT("00000"&amp;184,5))</f>
        <v/>
      </c>
      <c r="C189">
        <f>IF($B189="","",COUNTIFS(LdgSellerA,$A189,LdgKeyA,"&lt;"&amp;$B189)+COUNTIFS(LdgSellerB,$A189,LdgKeyB,"&lt;"&amp;$B189)+1)</f>
        <v/>
      </c>
      <c r="D189">
        <f>IF($C189="","",$A189&amp;"|"&amp;RIGHT("000000"&amp;$C189,6))</f>
        <v/>
      </c>
      <c r="F189">
        <f>IF(Sync!$AH189="","",IF(LEFT(UPPER(TRIM(Sync!$AH189)),2)="SL",UPPER(TRIM(Sync!$AH189)),""))</f>
        <v/>
      </c>
      <c r="G189">
        <f>IF($F189="","",IF(Sync!$AE189="","",IF(ISNUMBER(Sync!$AE189),IF(AND(Sync!$AE189&gt;=10000101,Sync!$AE189&lt;=99991231),INT(Sync!$AE189/10000),""),IFERROR(VALUE(TRIM(LEFT(Sync!$AE189,FIND("/",Sync!$AE189)-1))),""))))</f>
        <v/>
      </c>
      <c r="H189">
        <f>IF(OR($F189="",$G189=""),"",IF(ISNUMBER(Sync!$AE189),INT(MOD(Sync!$AE189,10000)/100),IFERROR(VALUE(TRIM(LEFT(MID(Sync!$AE189,FIND("/",Sync!$AE189)+1,20),FIND("/",MID(Sync!$AE189,FIND("/",Sync!$AE189)+1,20))-1))),"")))</f>
        <v/>
      </c>
      <c r="I189">
        <f>IF(OR($F189="",$G189=""),"",IF(ISNUMBER(Sync!$AE189),MOD(Sync!$AE189,100),IFERROR(VALUE(TRIM(MID(MID(Sync!$AE189,FIND("/",Sync!$AE189)+1,20),FIND("/",MID(Sync!$AE189,FIND("/",Sync!$AE189)+1,20))+1,20))),"")))</f>
        <v/>
      </c>
      <c r="J189">
        <f>IF($F189="","",IF(OR($G189="",$H189="",$I189="",$G189&lt;1300,$G189&gt;1500,$H189&lt;1,$H189&gt;12,$I189&lt;1,$I189&gt;31),"نامعتبر",RIGHT("0000"&amp;$G189,4)&amp;"/"&amp;RIGHT("00"&amp;$H189,2)&amp;"/"&amp;RIGHT("00"&amp;$I189,2)))</f>
        <v/>
      </c>
      <c r="K189">
        <f>IF(OR($F189="",$J189="",$J189="نامعتبر"),"",LEFT($J189,4)&amp;MID($J189,6,2)&amp;RIGHT($J189,2)&amp;$N189&amp;"|"&amp;"2"&amp;RIGHT("00000"&amp;184,5))</f>
        <v/>
      </c>
      <c r="L189">
        <f>IF($K189="","",COUNTIFS(LdgSellerA,$F189,LdgKeyA,"&lt;"&amp;$K189)+COUNTIFS(LdgSellerB,$F189,LdgKeyB,"&lt;"&amp;$K189)+1)</f>
        <v/>
      </c>
      <c r="M189">
        <f>IF($L189="","",$F189&amp;"|"&amp;RIGHT("000000"&amp;$L189,6))</f>
        <v/>
      </c>
      <c r="N189">
        <f>IF($F189="","",IF(Sync!$AF189="","0000",IF(AND(ISNUMBER(Sync!$AF189),Sync!$AF189&gt;=0,Sync!$AF189&lt;1),RIGHT("00"&amp;HOUR(Sync!$AF189),2)&amp;RIGHT("00"&amp;MINUTE(Sync!$AF189),2),IFERROR(RIGHT("00"&amp;VALUE(LEFT(Sync!$AF189,FIND(":",Sync!$AF189)-1)),2)&amp;RIGHT("00"&amp;VALUE(MID(Sync!$AF189,FIND(":",Sync!$AF189)+1,2)),2),"0000"))))</f>
        <v/>
      </c>
    </row>
    <row r="190">
      <c r="A190">
        <f>IF(OR(Calc!$E194="",Calc!$E194="نامعتبر",Calc!$G194=""),"",Calc!$G194)</f>
        <v/>
      </c>
      <c r="B190">
        <f>IF($A190="","",LEFT(Calc!$E194,4)&amp;MID(Calc!$E194,6,2)&amp;RIGHT(Calc!$E194,2)&amp;Calc!$Q194&amp;"|"&amp;"1"&amp;RIGHT("00000"&amp;185,5))</f>
        <v/>
      </c>
      <c r="C190">
        <f>IF($B190="","",COUNTIFS(LdgSellerA,$A190,LdgKeyA,"&lt;"&amp;$B190)+COUNTIFS(LdgSellerB,$A190,LdgKeyB,"&lt;"&amp;$B190)+1)</f>
        <v/>
      </c>
      <c r="D190">
        <f>IF($C190="","",$A190&amp;"|"&amp;RIGHT("000000"&amp;$C190,6))</f>
        <v/>
      </c>
      <c r="F190">
        <f>IF(Sync!$AH190="","",IF(LEFT(UPPER(TRIM(Sync!$AH190)),2)="SL",UPPER(TRIM(Sync!$AH190)),""))</f>
        <v/>
      </c>
      <c r="G190">
        <f>IF($F190="","",IF(Sync!$AE190="","",IF(ISNUMBER(Sync!$AE190),IF(AND(Sync!$AE190&gt;=10000101,Sync!$AE190&lt;=99991231),INT(Sync!$AE190/10000),""),IFERROR(VALUE(TRIM(LEFT(Sync!$AE190,FIND("/",Sync!$AE190)-1))),""))))</f>
        <v/>
      </c>
      <c r="H190">
        <f>IF(OR($F190="",$G190=""),"",IF(ISNUMBER(Sync!$AE190),INT(MOD(Sync!$AE190,10000)/100),IFERROR(VALUE(TRIM(LEFT(MID(Sync!$AE190,FIND("/",Sync!$AE190)+1,20),FIND("/",MID(Sync!$AE190,FIND("/",Sync!$AE190)+1,20))-1))),"")))</f>
        <v/>
      </c>
      <c r="I190">
        <f>IF(OR($F190="",$G190=""),"",IF(ISNUMBER(Sync!$AE190),MOD(Sync!$AE190,100),IFERROR(VALUE(TRIM(MID(MID(Sync!$AE190,FIND("/",Sync!$AE190)+1,20),FIND("/",MID(Sync!$AE190,FIND("/",Sync!$AE190)+1,20))+1,20))),"")))</f>
        <v/>
      </c>
      <c r="J190">
        <f>IF($F190="","",IF(OR($G190="",$H190="",$I190="",$G190&lt;1300,$G190&gt;1500,$H190&lt;1,$H190&gt;12,$I190&lt;1,$I190&gt;31),"نامعتبر",RIGHT("0000"&amp;$G190,4)&amp;"/"&amp;RIGHT("00"&amp;$H190,2)&amp;"/"&amp;RIGHT("00"&amp;$I190,2)))</f>
        <v/>
      </c>
      <c r="K190">
        <f>IF(OR($F190="",$J190="",$J190="نامعتبر"),"",LEFT($J190,4)&amp;MID($J190,6,2)&amp;RIGHT($J190,2)&amp;$N190&amp;"|"&amp;"2"&amp;RIGHT("00000"&amp;185,5))</f>
        <v/>
      </c>
      <c r="L190">
        <f>IF($K190="","",COUNTIFS(LdgSellerA,$F190,LdgKeyA,"&lt;"&amp;$K190)+COUNTIFS(LdgSellerB,$F190,LdgKeyB,"&lt;"&amp;$K190)+1)</f>
        <v/>
      </c>
      <c r="M190">
        <f>IF($L190="","",$F190&amp;"|"&amp;RIGHT("000000"&amp;$L190,6))</f>
        <v/>
      </c>
      <c r="N190">
        <f>IF($F190="","",IF(Sync!$AF190="","0000",IF(AND(ISNUMBER(Sync!$AF190),Sync!$AF190&gt;=0,Sync!$AF190&lt;1),RIGHT("00"&amp;HOUR(Sync!$AF190),2)&amp;RIGHT("00"&amp;MINUTE(Sync!$AF190),2),IFERROR(RIGHT("00"&amp;VALUE(LEFT(Sync!$AF190,FIND(":",Sync!$AF190)-1)),2)&amp;RIGHT("00"&amp;VALUE(MID(Sync!$AF190,FIND(":",Sync!$AF190)+1,2)),2),"0000"))))</f>
        <v/>
      </c>
    </row>
    <row r="191">
      <c r="A191">
        <f>IF(OR(Calc!$E195="",Calc!$E195="نامعتبر",Calc!$G195=""),"",Calc!$G195)</f>
        <v/>
      </c>
      <c r="B191">
        <f>IF($A191="","",LEFT(Calc!$E195,4)&amp;MID(Calc!$E195,6,2)&amp;RIGHT(Calc!$E195,2)&amp;Calc!$Q195&amp;"|"&amp;"1"&amp;RIGHT("00000"&amp;186,5))</f>
        <v/>
      </c>
      <c r="C191">
        <f>IF($B191="","",COUNTIFS(LdgSellerA,$A191,LdgKeyA,"&lt;"&amp;$B191)+COUNTIFS(LdgSellerB,$A191,LdgKeyB,"&lt;"&amp;$B191)+1)</f>
        <v/>
      </c>
      <c r="D191">
        <f>IF($C191="","",$A191&amp;"|"&amp;RIGHT("000000"&amp;$C191,6))</f>
        <v/>
      </c>
      <c r="F191">
        <f>IF(Sync!$AH191="","",IF(LEFT(UPPER(TRIM(Sync!$AH191)),2)="SL",UPPER(TRIM(Sync!$AH191)),""))</f>
        <v/>
      </c>
      <c r="G191">
        <f>IF($F191="","",IF(Sync!$AE191="","",IF(ISNUMBER(Sync!$AE191),IF(AND(Sync!$AE191&gt;=10000101,Sync!$AE191&lt;=99991231),INT(Sync!$AE191/10000),""),IFERROR(VALUE(TRIM(LEFT(Sync!$AE191,FIND("/",Sync!$AE191)-1))),""))))</f>
        <v/>
      </c>
      <c r="H191">
        <f>IF(OR($F191="",$G191=""),"",IF(ISNUMBER(Sync!$AE191),INT(MOD(Sync!$AE191,10000)/100),IFERROR(VALUE(TRIM(LEFT(MID(Sync!$AE191,FIND("/",Sync!$AE191)+1,20),FIND("/",MID(Sync!$AE191,FIND("/",Sync!$AE191)+1,20))-1))),"")))</f>
        <v/>
      </c>
      <c r="I191">
        <f>IF(OR($F191="",$G191=""),"",IF(ISNUMBER(Sync!$AE191),MOD(Sync!$AE191,100),IFERROR(VALUE(TRIM(MID(MID(Sync!$AE191,FIND("/",Sync!$AE191)+1,20),FIND("/",MID(Sync!$AE191,FIND("/",Sync!$AE191)+1,20))+1,20))),"")))</f>
        <v/>
      </c>
      <c r="J191">
        <f>IF($F191="","",IF(OR($G191="",$H191="",$I191="",$G191&lt;1300,$G191&gt;1500,$H191&lt;1,$H191&gt;12,$I191&lt;1,$I191&gt;31),"نامعتبر",RIGHT("0000"&amp;$G191,4)&amp;"/"&amp;RIGHT("00"&amp;$H191,2)&amp;"/"&amp;RIGHT("00"&amp;$I191,2)))</f>
        <v/>
      </c>
      <c r="K191">
        <f>IF(OR($F191="",$J191="",$J191="نامعتبر"),"",LEFT($J191,4)&amp;MID($J191,6,2)&amp;RIGHT($J191,2)&amp;$N191&amp;"|"&amp;"2"&amp;RIGHT("00000"&amp;186,5))</f>
        <v/>
      </c>
      <c r="L191">
        <f>IF($K191="","",COUNTIFS(LdgSellerA,$F191,LdgKeyA,"&lt;"&amp;$K191)+COUNTIFS(LdgSellerB,$F191,LdgKeyB,"&lt;"&amp;$K191)+1)</f>
        <v/>
      </c>
      <c r="M191">
        <f>IF($L191="","",$F191&amp;"|"&amp;RIGHT("000000"&amp;$L191,6))</f>
        <v/>
      </c>
      <c r="N191">
        <f>IF($F191="","",IF(Sync!$AF191="","0000",IF(AND(ISNUMBER(Sync!$AF191),Sync!$AF191&gt;=0,Sync!$AF191&lt;1),RIGHT("00"&amp;HOUR(Sync!$AF191),2)&amp;RIGHT("00"&amp;MINUTE(Sync!$AF191),2),IFERROR(RIGHT("00"&amp;VALUE(LEFT(Sync!$AF191,FIND(":",Sync!$AF191)-1)),2)&amp;RIGHT("00"&amp;VALUE(MID(Sync!$AF191,FIND(":",Sync!$AF191)+1,2)),2),"0000"))))</f>
        <v/>
      </c>
    </row>
    <row r="192">
      <c r="A192">
        <f>IF(OR(Calc!$E196="",Calc!$E196="نامعتبر",Calc!$G196=""),"",Calc!$G196)</f>
        <v/>
      </c>
      <c r="B192">
        <f>IF($A192="","",LEFT(Calc!$E196,4)&amp;MID(Calc!$E196,6,2)&amp;RIGHT(Calc!$E196,2)&amp;Calc!$Q196&amp;"|"&amp;"1"&amp;RIGHT("00000"&amp;187,5))</f>
        <v/>
      </c>
      <c r="C192">
        <f>IF($B192="","",COUNTIFS(LdgSellerA,$A192,LdgKeyA,"&lt;"&amp;$B192)+COUNTIFS(LdgSellerB,$A192,LdgKeyB,"&lt;"&amp;$B192)+1)</f>
        <v/>
      </c>
      <c r="D192">
        <f>IF($C192="","",$A192&amp;"|"&amp;RIGHT("000000"&amp;$C192,6))</f>
        <v/>
      </c>
      <c r="F192">
        <f>IF(Sync!$AH192="","",IF(LEFT(UPPER(TRIM(Sync!$AH192)),2)="SL",UPPER(TRIM(Sync!$AH192)),""))</f>
        <v/>
      </c>
      <c r="G192">
        <f>IF($F192="","",IF(Sync!$AE192="","",IF(ISNUMBER(Sync!$AE192),IF(AND(Sync!$AE192&gt;=10000101,Sync!$AE192&lt;=99991231),INT(Sync!$AE192/10000),""),IFERROR(VALUE(TRIM(LEFT(Sync!$AE192,FIND("/",Sync!$AE192)-1))),""))))</f>
        <v/>
      </c>
      <c r="H192">
        <f>IF(OR($F192="",$G192=""),"",IF(ISNUMBER(Sync!$AE192),INT(MOD(Sync!$AE192,10000)/100),IFERROR(VALUE(TRIM(LEFT(MID(Sync!$AE192,FIND("/",Sync!$AE192)+1,20),FIND("/",MID(Sync!$AE192,FIND("/",Sync!$AE192)+1,20))-1))),"")))</f>
        <v/>
      </c>
      <c r="I192">
        <f>IF(OR($F192="",$G192=""),"",IF(ISNUMBER(Sync!$AE192),MOD(Sync!$AE192,100),IFERROR(VALUE(TRIM(MID(MID(Sync!$AE192,FIND("/",Sync!$AE192)+1,20),FIND("/",MID(Sync!$AE192,FIND("/",Sync!$AE192)+1,20))+1,20))),"")))</f>
        <v/>
      </c>
      <c r="J192">
        <f>IF($F192="","",IF(OR($G192="",$H192="",$I192="",$G192&lt;1300,$G192&gt;1500,$H192&lt;1,$H192&gt;12,$I192&lt;1,$I192&gt;31),"نامعتبر",RIGHT("0000"&amp;$G192,4)&amp;"/"&amp;RIGHT("00"&amp;$H192,2)&amp;"/"&amp;RIGHT("00"&amp;$I192,2)))</f>
        <v/>
      </c>
      <c r="K192">
        <f>IF(OR($F192="",$J192="",$J192="نامعتبر"),"",LEFT($J192,4)&amp;MID($J192,6,2)&amp;RIGHT($J192,2)&amp;$N192&amp;"|"&amp;"2"&amp;RIGHT("00000"&amp;187,5))</f>
        <v/>
      </c>
      <c r="L192">
        <f>IF($K192="","",COUNTIFS(LdgSellerA,$F192,LdgKeyA,"&lt;"&amp;$K192)+COUNTIFS(LdgSellerB,$F192,LdgKeyB,"&lt;"&amp;$K192)+1)</f>
        <v/>
      </c>
      <c r="M192">
        <f>IF($L192="","",$F192&amp;"|"&amp;RIGHT("000000"&amp;$L192,6))</f>
        <v/>
      </c>
      <c r="N192">
        <f>IF($F192="","",IF(Sync!$AF192="","0000",IF(AND(ISNUMBER(Sync!$AF192),Sync!$AF192&gt;=0,Sync!$AF192&lt;1),RIGHT("00"&amp;HOUR(Sync!$AF192),2)&amp;RIGHT("00"&amp;MINUTE(Sync!$AF192),2),IFERROR(RIGHT("00"&amp;VALUE(LEFT(Sync!$AF192,FIND(":",Sync!$AF192)-1)),2)&amp;RIGHT("00"&amp;VALUE(MID(Sync!$AF192,FIND(":",Sync!$AF192)+1,2)),2),"0000"))))</f>
        <v/>
      </c>
    </row>
    <row r="193">
      <c r="A193">
        <f>IF(OR(Calc!$E197="",Calc!$E197="نامعتبر",Calc!$G197=""),"",Calc!$G197)</f>
        <v/>
      </c>
      <c r="B193">
        <f>IF($A193="","",LEFT(Calc!$E197,4)&amp;MID(Calc!$E197,6,2)&amp;RIGHT(Calc!$E197,2)&amp;Calc!$Q197&amp;"|"&amp;"1"&amp;RIGHT("00000"&amp;188,5))</f>
        <v/>
      </c>
      <c r="C193">
        <f>IF($B193="","",COUNTIFS(LdgSellerA,$A193,LdgKeyA,"&lt;"&amp;$B193)+COUNTIFS(LdgSellerB,$A193,LdgKeyB,"&lt;"&amp;$B193)+1)</f>
        <v/>
      </c>
      <c r="D193">
        <f>IF($C193="","",$A193&amp;"|"&amp;RIGHT("000000"&amp;$C193,6))</f>
        <v/>
      </c>
      <c r="F193">
        <f>IF(Sync!$AH193="","",IF(LEFT(UPPER(TRIM(Sync!$AH193)),2)="SL",UPPER(TRIM(Sync!$AH193)),""))</f>
        <v/>
      </c>
      <c r="G193">
        <f>IF($F193="","",IF(Sync!$AE193="","",IF(ISNUMBER(Sync!$AE193),IF(AND(Sync!$AE193&gt;=10000101,Sync!$AE193&lt;=99991231),INT(Sync!$AE193/10000),""),IFERROR(VALUE(TRIM(LEFT(Sync!$AE193,FIND("/",Sync!$AE193)-1))),""))))</f>
        <v/>
      </c>
      <c r="H193">
        <f>IF(OR($F193="",$G193=""),"",IF(ISNUMBER(Sync!$AE193),INT(MOD(Sync!$AE193,10000)/100),IFERROR(VALUE(TRIM(LEFT(MID(Sync!$AE193,FIND("/",Sync!$AE193)+1,20),FIND("/",MID(Sync!$AE193,FIND("/",Sync!$AE193)+1,20))-1))),"")))</f>
        <v/>
      </c>
      <c r="I193">
        <f>IF(OR($F193="",$G193=""),"",IF(ISNUMBER(Sync!$AE193),MOD(Sync!$AE193,100),IFERROR(VALUE(TRIM(MID(MID(Sync!$AE193,FIND("/",Sync!$AE193)+1,20),FIND("/",MID(Sync!$AE193,FIND("/",Sync!$AE193)+1,20))+1,20))),"")))</f>
        <v/>
      </c>
      <c r="J193">
        <f>IF($F193="","",IF(OR($G193="",$H193="",$I193="",$G193&lt;1300,$G193&gt;1500,$H193&lt;1,$H193&gt;12,$I193&lt;1,$I193&gt;31),"نامعتبر",RIGHT("0000"&amp;$G193,4)&amp;"/"&amp;RIGHT("00"&amp;$H193,2)&amp;"/"&amp;RIGHT("00"&amp;$I193,2)))</f>
        <v/>
      </c>
      <c r="K193">
        <f>IF(OR($F193="",$J193="",$J193="نامعتبر"),"",LEFT($J193,4)&amp;MID($J193,6,2)&amp;RIGHT($J193,2)&amp;$N193&amp;"|"&amp;"2"&amp;RIGHT("00000"&amp;188,5))</f>
        <v/>
      </c>
      <c r="L193">
        <f>IF($K193="","",COUNTIFS(LdgSellerA,$F193,LdgKeyA,"&lt;"&amp;$K193)+COUNTIFS(LdgSellerB,$F193,LdgKeyB,"&lt;"&amp;$K193)+1)</f>
        <v/>
      </c>
      <c r="M193">
        <f>IF($L193="","",$F193&amp;"|"&amp;RIGHT("000000"&amp;$L193,6))</f>
        <v/>
      </c>
      <c r="N193">
        <f>IF($F193="","",IF(Sync!$AF193="","0000",IF(AND(ISNUMBER(Sync!$AF193),Sync!$AF193&gt;=0,Sync!$AF193&lt;1),RIGHT("00"&amp;HOUR(Sync!$AF193),2)&amp;RIGHT("00"&amp;MINUTE(Sync!$AF193),2),IFERROR(RIGHT("00"&amp;VALUE(LEFT(Sync!$AF193,FIND(":",Sync!$AF193)-1)),2)&amp;RIGHT("00"&amp;VALUE(MID(Sync!$AF193,FIND(":",Sync!$AF193)+1,2)),2),"0000"))))</f>
        <v/>
      </c>
    </row>
    <row r="194">
      <c r="A194">
        <f>IF(OR(Calc!$E198="",Calc!$E198="نامعتبر",Calc!$G198=""),"",Calc!$G198)</f>
        <v/>
      </c>
      <c r="B194">
        <f>IF($A194="","",LEFT(Calc!$E198,4)&amp;MID(Calc!$E198,6,2)&amp;RIGHT(Calc!$E198,2)&amp;Calc!$Q198&amp;"|"&amp;"1"&amp;RIGHT("00000"&amp;189,5))</f>
        <v/>
      </c>
      <c r="C194">
        <f>IF($B194="","",COUNTIFS(LdgSellerA,$A194,LdgKeyA,"&lt;"&amp;$B194)+COUNTIFS(LdgSellerB,$A194,LdgKeyB,"&lt;"&amp;$B194)+1)</f>
        <v/>
      </c>
      <c r="D194">
        <f>IF($C194="","",$A194&amp;"|"&amp;RIGHT("000000"&amp;$C194,6))</f>
        <v/>
      </c>
      <c r="F194">
        <f>IF(Sync!$AH194="","",IF(LEFT(UPPER(TRIM(Sync!$AH194)),2)="SL",UPPER(TRIM(Sync!$AH194)),""))</f>
        <v/>
      </c>
      <c r="G194">
        <f>IF($F194="","",IF(Sync!$AE194="","",IF(ISNUMBER(Sync!$AE194),IF(AND(Sync!$AE194&gt;=10000101,Sync!$AE194&lt;=99991231),INT(Sync!$AE194/10000),""),IFERROR(VALUE(TRIM(LEFT(Sync!$AE194,FIND("/",Sync!$AE194)-1))),""))))</f>
        <v/>
      </c>
      <c r="H194">
        <f>IF(OR($F194="",$G194=""),"",IF(ISNUMBER(Sync!$AE194),INT(MOD(Sync!$AE194,10000)/100),IFERROR(VALUE(TRIM(LEFT(MID(Sync!$AE194,FIND("/",Sync!$AE194)+1,20),FIND("/",MID(Sync!$AE194,FIND("/",Sync!$AE194)+1,20))-1))),"")))</f>
        <v/>
      </c>
      <c r="I194">
        <f>IF(OR($F194="",$G194=""),"",IF(ISNUMBER(Sync!$AE194),MOD(Sync!$AE194,100),IFERROR(VALUE(TRIM(MID(MID(Sync!$AE194,FIND("/",Sync!$AE194)+1,20),FIND("/",MID(Sync!$AE194,FIND("/",Sync!$AE194)+1,20))+1,20))),"")))</f>
        <v/>
      </c>
      <c r="J194">
        <f>IF($F194="","",IF(OR($G194="",$H194="",$I194="",$G194&lt;1300,$G194&gt;1500,$H194&lt;1,$H194&gt;12,$I194&lt;1,$I194&gt;31),"نامعتبر",RIGHT("0000"&amp;$G194,4)&amp;"/"&amp;RIGHT("00"&amp;$H194,2)&amp;"/"&amp;RIGHT("00"&amp;$I194,2)))</f>
        <v/>
      </c>
      <c r="K194">
        <f>IF(OR($F194="",$J194="",$J194="نامعتبر"),"",LEFT($J194,4)&amp;MID($J194,6,2)&amp;RIGHT($J194,2)&amp;$N194&amp;"|"&amp;"2"&amp;RIGHT("00000"&amp;189,5))</f>
        <v/>
      </c>
      <c r="L194">
        <f>IF($K194="","",COUNTIFS(LdgSellerA,$F194,LdgKeyA,"&lt;"&amp;$K194)+COUNTIFS(LdgSellerB,$F194,LdgKeyB,"&lt;"&amp;$K194)+1)</f>
        <v/>
      </c>
      <c r="M194">
        <f>IF($L194="","",$F194&amp;"|"&amp;RIGHT("000000"&amp;$L194,6))</f>
        <v/>
      </c>
      <c r="N194">
        <f>IF($F194="","",IF(Sync!$AF194="","0000",IF(AND(ISNUMBER(Sync!$AF194),Sync!$AF194&gt;=0,Sync!$AF194&lt;1),RIGHT("00"&amp;HOUR(Sync!$AF194),2)&amp;RIGHT("00"&amp;MINUTE(Sync!$AF194),2),IFERROR(RIGHT("00"&amp;VALUE(LEFT(Sync!$AF194,FIND(":",Sync!$AF194)-1)),2)&amp;RIGHT("00"&amp;VALUE(MID(Sync!$AF194,FIND(":",Sync!$AF194)+1,2)),2),"0000"))))</f>
        <v/>
      </c>
    </row>
    <row r="195">
      <c r="A195">
        <f>IF(OR(Calc!$E199="",Calc!$E199="نامعتبر",Calc!$G199=""),"",Calc!$G199)</f>
        <v/>
      </c>
      <c r="B195">
        <f>IF($A195="","",LEFT(Calc!$E199,4)&amp;MID(Calc!$E199,6,2)&amp;RIGHT(Calc!$E199,2)&amp;Calc!$Q199&amp;"|"&amp;"1"&amp;RIGHT("00000"&amp;190,5))</f>
        <v/>
      </c>
      <c r="C195">
        <f>IF($B195="","",COUNTIFS(LdgSellerA,$A195,LdgKeyA,"&lt;"&amp;$B195)+COUNTIFS(LdgSellerB,$A195,LdgKeyB,"&lt;"&amp;$B195)+1)</f>
        <v/>
      </c>
      <c r="D195">
        <f>IF($C195="","",$A195&amp;"|"&amp;RIGHT("000000"&amp;$C195,6))</f>
        <v/>
      </c>
      <c r="F195">
        <f>IF(Sync!$AH195="","",IF(LEFT(UPPER(TRIM(Sync!$AH195)),2)="SL",UPPER(TRIM(Sync!$AH195)),""))</f>
        <v/>
      </c>
      <c r="G195">
        <f>IF($F195="","",IF(Sync!$AE195="","",IF(ISNUMBER(Sync!$AE195),IF(AND(Sync!$AE195&gt;=10000101,Sync!$AE195&lt;=99991231),INT(Sync!$AE195/10000),""),IFERROR(VALUE(TRIM(LEFT(Sync!$AE195,FIND("/",Sync!$AE195)-1))),""))))</f>
        <v/>
      </c>
      <c r="H195">
        <f>IF(OR($F195="",$G195=""),"",IF(ISNUMBER(Sync!$AE195),INT(MOD(Sync!$AE195,10000)/100),IFERROR(VALUE(TRIM(LEFT(MID(Sync!$AE195,FIND("/",Sync!$AE195)+1,20),FIND("/",MID(Sync!$AE195,FIND("/",Sync!$AE195)+1,20))-1))),"")))</f>
        <v/>
      </c>
      <c r="I195">
        <f>IF(OR($F195="",$G195=""),"",IF(ISNUMBER(Sync!$AE195),MOD(Sync!$AE195,100),IFERROR(VALUE(TRIM(MID(MID(Sync!$AE195,FIND("/",Sync!$AE195)+1,20),FIND("/",MID(Sync!$AE195,FIND("/",Sync!$AE195)+1,20))+1,20))),"")))</f>
        <v/>
      </c>
      <c r="J195">
        <f>IF($F195="","",IF(OR($G195="",$H195="",$I195="",$G195&lt;1300,$G195&gt;1500,$H195&lt;1,$H195&gt;12,$I195&lt;1,$I195&gt;31),"نامعتبر",RIGHT("0000"&amp;$G195,4)&amp;"/"&amp;RIGHT("00"&amp;$H195,2)&amp;"/"&amp;RIGHT("00"&amp;$I195,2)))</f>
        <v/>
      </c>
      <c r="K195">
        <f>IF(OR($F195="",$J195="",$J195="نامعتبر"),"",LEFT($J195,4)&amp;MID($J195,6,2)&amp;RIGHT($J195,2)&amp;$N195&amp;"|"&amp;"2"&amp;RIGHT("00000"&amp;190,5))</f>
        <v/>
      </c>
      <c r="L195">
        <f>IF($K195="","",COUNTIFS(LdgSellerA,$F195,LdgKeyA,"&lt;"&amp;$K195)+COUNTIFS(LdgSellerB,$F195,LdgKeyB,"&lt;"&amp;$K195)+1)</f>
        <v/>
      </c>
      <c r="M195">
        <f>IF($L195="","",$F195&amp;"|"&amp;RIGHT("000000"&amp;$L195,6))</f>
        <v/>
      </c>
      <c r="N195">
        <f>IF($F195="","",IF(Sync!$AF195="","0000",IF(AND(ISNUMBER(Sync!$AF195),Sync!$AF195&gt;=0,Sync!$AF195&lt;1),RIGHT("00"&amp;HOUR(Sync!$AF195),2)&amp;RIGHT("00"&amp;MINUTE(Sync!$AF195),2),IFERROR(RIGHT("00"&amp;VALUE(LEFT(Sync!$AF195,FIND(":",Sync!$AF195)-1)),2)&amp;RIGHT("00"&amp;VALUE(MID(Sync!$AF195,FIND(":",Sync!$AF195)+1,2)),2),"0000"))))</f>
        <v/>
      </c>
    </row>
    <row r="196">
      <c r="A196">
        <f>IF(OR(Calc!$E200="",Calc!$E200="نامعتبر",Calc!$G200=""),"",Calc!$G200)</f>
        <v/>
      </c>
      <c r="B196">
        <f>IF($A196="","",LEFT(Calc!$E200,4)&amp;MID(Calc!$E200,6,2)&amp;RIGHT(Calc!$E200,2)&amp;Calc!$Q200&amp;"|"&amp;"1"&amp;RIGHT("00000"&amp;191,5))</f>
        <v/>
      </c>
      <c r="C196">
        <f>IF($B196="","",COUNTIFS(LdgSellerA,$A196,LdgKeyA,"&lt;"&amp;$B196)+COUNTIFS(LdgSellerB,$A196,LdgKeyB,"&lt;"&amp;$B196)+1)</f>
        <v/>
      </c>
      <c r="D196">
        <f>IF($C196="","",$A196&amp;"|"&amp;RIGHT("000000"&amp;$C196,6))</f>
        <v/>
      </c>
      <c r="F196">
        <f>IF(Sync!$AH196="","",IF(LEFT(UPPER(TRIM(Sync!$AH196)),2)="SL",UPPER(TRIM(Sync!$AH196)),""))</f>
        <v/>
      </c>
      <c r="G196">
        <f>IF($F196="","",IF(Sync!$AE196="","",IF(ISNUMBER(Sync!$AE196),IF(AND(Sync!$AE196&gt;=10000101,Sync!$AE196&lt;=99991231),INT(Sync!$AE196/10000),""),IFERROR(VALUE(TRIM(LEFT(Sync!$AE196,FIND("/",Sync!$AE196)-1))),""))))</f>
        <v/>
      </c>
      <c r="H196">
        <f>IF(OR($F196="",$G196=""),"",IF(ISNUMBER(Sync!$AE196),INT(MOD(Sync!$AE196,10000)/100),IFERROR(VALUE(TRIM(LEFT(MID(Sync!$AE196,FIND("/",Sync!$AE196)+1,20),FIND("/",MID(Sync!$AE196,FIND("/",Sync!$AE196)+1,20))-1))),"")))</f>
        <v/>
      </c>
      <c r="I196">
        <f>IF(OR($F196="",$G196=""),"",IF(ISNUMBER(Sync!$AE196),MOD(Sync!$AE196,100),IFERROR(VALUE(TRIM(MID(MID(Sync!$AE196,FIND("/",Sync!$AE196)+1,20),FIND("/",MID(Sync!$AE196,FIND("/",Sync!$AE196)+1,20))+1,20))),"")))</f>
        <v/>
      </c>
      <c r="J196">
        <f>IF($F196="","",IF(OR($G196="",$H196="",$I196="",$G196&lt;1300,$G196&gt;1500,$H196&lt;1,$H196&gt;12,$I196&lt;1,$I196&gt;31),"نامعتبر",RIGHT("0000"&amp;$G196,4)&amp;"/"&amp;RIGHT("00"&amp;$H196,2)&amp;"/"&amp;RIGHT("00"&amp;$I196,2)))</f>
        <v/>
      </c>
      <c r="K196">
        <f>IF(OR($F196="",$J196="",$J196="نامعتبر"),"",LEFT($J196,4)&amp;MID($J196,6,2)&amp;RIGHT($J196,2)&amp;$N196&amp;"|"&amp;"2"&amp;RIGHT("00000"&amp;191,5))</f>
        <v/>
      </c>
      <c r="L196">
        <f>IF($K196="","",COUNTIFS(LdgSellerA,$F196,LdgKeyA,"&lt;"&amp;$K196)+COUNTIFS(LdgSellerB,$F196,LdgKeyB,"&lt;"&amp;$K196)+1)</f>
        <v/>
      </c>
      <c r="M196">
        <f>IF($L196="","",$F196&amp;"|"&amp;RIGHT("000000"&amp;$L196,6))</f>
        <v/>
      </c>
      <c r="N196">
        <f>IF($F196="","",IF(Sync!$AF196="","0000",IF(AND(ISNUMBER(Sync!$AF196),Sync!$AF196&gt;=0,Sync!$AF196&lt;1),RIGHT("00"&amp;HOUR(Sync!$AF196),2)&amp;RIGHT("00"&amp;MINUTE(Sync!$AF196),2),IFERROR(RIGHT("00"&amp;VALUE(LEFT(Sync!$AF196,FIND(":",Sync!$AF196)-1)),2)&amp;RIGHT("00"&amp;VALUE(MID(Sync!$AF196,FIND(":",Sync!$AF196)+1,2)),2),"0000"))))</f>
        <v/>
      </c>
    </row>
    <row r="197">
      <c r="A197">
        <f>IF(OR(Calc!$E201="",Calc!$E201="نامعتبر",Calc!$G201=""),"",Calc!$G201)</f>
        <v/>
      </c>
      <c r="B197">
        <f>IF($A197="","",LEFT(Calc!$E201,4)&amp;MID(Calc!$E201,6,2)&amp;RIGHT(Calc!$E201,2)&amp;Calc!$Q201&amp;"|"&amp;"1"&amp;RIGHT("00000"&amp;192,5))</f>
        <v/>
      </c>
      <c r="C197">
        <f>IF($B197="","",COUNTIFS(LdgSellerA,$A197,LdgKeyA,"&lt;"&amp;$B197)+COUNTIFS(LdgSellerB,$A197,LdgKeyB,"&lt;"&amp;$B197)+1)</f>
        <v/>
      </c>
      <c r="D197">
        <f>IF($C197="","",$A197&amp;"|"&amp;RIGHT("000000"&amp;$C197,6))</f>
        <v/>
      </c>
      <c r="F197">
        <f>IF(Sync!$AH197="","",IF(LEFT(UPPER(TRIM(Sync!$AH197)),2)="SL",UPPER(TRIM(Sync!$AH197)),""))</f>
        <v/>
      </c>
      <c r="G197">
        <f>IF($F197="","",IF(Sync!$AE197="","",IF(ISNUMBER(Sync!$AE197),IF(AND(Sync!$AE197&gt;=10000101,Sync!$AE197&lt;=99991231),INT(Sync!$AE197/10000),""),IFERROR(VALUE(TRIM(LEFT(Sync!$AE197,FIND("/",Sync!$AE197)-1))),""))))</f>
        <v/>
      </c>
      <c r="H197">
        <f>IF(OR($F197="",$G197=""),"",IF(ISNUMBER(Sync!$AE197),INT(MOD(Sync!$AE197,10000)/100),IFERROR(VALUE(TRIM(LEFT(MID(Sync!$AE197,FIND("/",Sync!$AE197)+1,20),FIND("/",MID(Sync!$AE197,FIND("/",Sync!$AE197)+1,20))-1))),"")))</f>
        <v/>
      </c>
      <c r="I197">
        <f>IF(OR($F197="",$G197=""),"",IF(ISNUMBER(Sync!$AE197),MOD(Sync!$AE197,100),IFERROR(VALUE(TRIM(MID(MID(Sync!$AE197,FIND("/",Sync!$AE197)+1,20),FIND("/",MID(Sync!$AE197,FIND("/",Sync!$AE197)+1,20))+1,20))),"")))</f>
        <v/>
      </c>
      <c r="J197">
        <f>IF($F197="","",IF(OR($G197="",$H197="",$I197="",$G197&lt;1300,$G197&gt;1500,$H197&lt;1,$H197&gt;12,$I197&lt;1,$I197&gt;31),"نامعتبر",RIGHT("0000"&amp;$G197,4)&amp;"/"&amp;RIGHT("00"&amp;$H197,2)&amp;"/"&amp;RIGHT("00"&amp;$I197,2)))</f>
        <v/>
      </c>
      <c r="K197">
        <f>IF(OR($F197="",$J197="",$J197="نامعتبر"),"",LEFT($J197,4)&amp;MID($J197,6,2)&amp;RIGHT($J197,2)&amp;$N197&amp;"|"&amp;"2"&amp;RIGHT("00000"&amp;192,5))</f>
        <v/>
      </c>
      <c r="L197">
        <f>IF($K197="","",COUNTIFS(LdgSellerA,$F197,LdgKeyA,"&lt;"&amp;$K197)+COUNTIFS(LdgSellerB,$F197,LdgKeyB,"&lt;"&amp;$K197)+1)</f>
        <v/>
      </c>
      <c r="M197">
        <f>IF($L197="","",$F197&amp;"|"&amp;RIGHT("000000"&amp;$L197,6))</f>
        <v/>
      </c>
      <c r="N197">
        <f>IF($F197="","",IF(Sync!$AF197="","0000",IF(AND(ISNUMBER(Sync!$AF197),Sync!$AF197&gt;=0,Sync!$AF197&lt;1),RIGHT("00"&amp;HOUR(Sync!$AF197),2)&amp;RIGHT("00"&amp;MINUTE(Sync!$AF197),2),IFERROR(RIGHT("00"&amp;VALUE(LEFT(Sync!$AF197,FIND(":",Sync!$AF197)-1)),2)&amp;RIGHT("00"&amp;VALUE(MID(Sync!$AF197,FIND(":",Sync!$AF197)+1,2)),2),"0000"))))</f>
        <v/>
      </c>
    </row>
    <row r="198">
      <c r="A198">
        <f>IF(OR(Calc!$E202="",Calc!$E202="نامعتبر",Calc!$G202=""),"",Calc!$G202)</f>
        <v/>
      </c>
      <c r="B198">
        <f>IF($A198="","",LEFT(Calc!$E202,4)&amp;MID(Calc!$E202,6,2)&amp;RIGHT(Calc!$E202,2)&amp;Calc!$Q202&amp;"|"&amp;"1"&amp;RIGHT("00000"&amp;193,5))</f>
        <v/>
      </c>
      <c r="C198">
        <f>IF($B198="","",COUNTIFS(LdgSellerA,$A198,LdgKeyA,"&lt;"&amp;$B198)+COUNTIFS(LdgSellerB,$A198,LdgKeyB,"&lt;"&amp;$B198)+1)</f>
        <v/>
      </c>
      <c r="D198">
        <f>IF($C198="","",$A198&amp;"|"&amp;RIGHT("000000"&amp;$C198,6))</f>
        <v/>
      </c>
      <c r="F198">
        <f>IF(Sync!$AH198="","",IF(LEFT(UPPER(TRIM(Sync!$AH198)),2)="SL",UPPER(TRIM(Sync!$AH198)),""))</f>
        <v/>
      </c>
      <c r="G198">
        <f>IF($F198="","",IF(Sync!$AE198="","",IF(ISNUMBER(Sync!$AE198),IF(AND(Sync!$AE198&gt;=10000101,Sync!$AE198&lt;=99991231),INT(Sync!$AE198/10000),""),IFERROR(VALUE(TRIM(LEFT(Sync!$AE198,FIND("/",Sync!$AE198)-1))),""))))</f>
        <v/>
      </c>
      <c r="H198">
        <f>IF(OR($F198="",$G198=""),"",IF(ISNUMBER(Sync!$AE198),INT(MOD(Sync!$AE198,10000)/100),IFERROR(VALUE(TRIM(LEFT(MID(Sync!$AE198,FIND("/",Sync!$AE198)+1,20),FIND("/",MID(Sync!$AE198,FIND("/",Sync!$AE198)+1,20))-1))),"")))</f>
        <v/>
      </c>
      <c r="I198">
        <f>IF(OR($F198="",$G198=""),"",IF(ISNUMBER(Sync!$AE198),MOD(Sync!$AE198,100),IFERROR(VALUE(TRIM(MID(MID(Sync!$AE198,FIND("/",Sync!$AE198)+1,20),FIND("/",MID(Sync!$AE198,FIND("/",Sync!$AE198)+1,20))+1,20))),"")))</f>
        <v/>
      </c>
      <c r="J198">
        <f>IF($F198="","",IF(OR($G198="",$H198="",$I198="",$G198&lt;1300,$G198&gt;1500,$H198&lt;1,$H198&gt;12,$I198&lt;1,$I198&gt;31),"نامعتبر",RIGHT("0000"&amp;$G198,4)&amp;"/"&amp;RIGHT("00"&amp;$H198,2)&amp;"/"&amp;RIGHT("00"&amp;$I198,2)))</f>
        <v/>
      </c>
      <c r="K198">
        <f>IF(OR($F198="",$J198="",$J198="نامعتبر"),"",LEFT($J198,4)&amp;MID($J198,6,2)&amp;RIGHT($J198,2)&amp;$N198&amp;"|"&amp;"2"&amp;RIGHT("00000"&amp;193,5))</f>
        <v/>
      </c>
      <c r="L198">
        <f>IF($K198="","",COUNTIFS(LdgSellerA,$F198,LdgKeyA,"&lt;"&amp;$K198)+COUNTIFS(LdgSellerB,$F198,LdgKeyB,"&lt;"&amp;$K198)+1)</f>
        <v/>
      </c>
      <c r="M198">
        <f>IF($L198="","",$F198&amp;"|"&amp;RIGHT("000000"&amp;$L198,6))</f>
        <v/>
      </c>
      <c r="N198">
        <f>IF($F198="","",IF(Sync!$AF198="","0000",IF(AND(ISNUMBER(Sync!$AF198),Sync!$AF198&gt;=0,Sync!$AF198&lt;1),RIGHT("00"&amp;HOUR(Sync!$AF198),2)&amp;RIGHT("00"&amp;MINUTE(Sync!$AF198),2),IFERROR(RIGHT("00"&amp;VALUE(LEFT(Sync!$AF198,FIND(":",Sync!$AF198)-1)),2)&amp;RIGHT("00"&amp;VALUE(MID(Sync!$AF198,FIND(":",Sync!$AF198)+1,2)),2),"0000"))))</f>
        <v/>
      </c>
    </row>
    <row r="199">
      <c r="A199">
        <f>IF(OR(Calc!$E203="",Calc!$E203="نامعتبر",Calc!$G203=""),"",Calc!$G203)</f>
        <v/>
      </c>
      <c r="B199">
        <f>IF($A199="","",LEFT(Calc!$E203,4)&amp;MID(Calc!$E203,6,2)&amp;RIGHT(Calc!$E203,2)&amp;Calc!$Q203&amp;"|"&amp;"1"&amp;RIGHT("00000"&amp;194,5))</f>
        <v/>
      </c>
      <c r="C199">
        <f>IF($B199="","",COUNTIFS(LdgSellerA,$A199,LdgKeyA,"&lt;"&amp;$B199)+COUNTIFS(LdgSellerB,$A199,LdgKeyB,"&lt;"&amp;$B199)+1)</f>
        <v/>
      </c>
      <c r="D199">
        <f>IF($C199="","",$A199&amp;"|"&amp;RIGHT("000000"&amp;$C199,6))</f>
        <v/>
      </c>
      <c r="F199">
        <f>IF(Sync!$AH199="","",IF(LEFT(UPPER(TRIM(Sync!$AH199)),2)="SL",UPPER(TRIM(Sync!$AH199)),""))</f>
        <v/>
      </c>
      <c r="G199">
        <f>IF($F199="","",IF(Sync!$AE199="","",IF(ISNUMBER(Sync!$AE199),IF(AND(Sync!$AE199&gt;=10000101,Sync!$AE199&lt;=99991231),INT(Sync!$AE199/10000),""),IFERROR(VALUE(TRIM(LEFT(Sync!$AE199,FIND("/",Sync!$AE199)-1))),""))))</f>
        <v/>
      </c>
      <c r="H199">
        <f>IF(OR($F199="",$G199=""),"",IF(ISNUMBER(Sync!$AE199),INT(MOD(Sync!$AE199,10000)/100),IFERROR(VALUE(TRIM(LEFT(MID(Sync!$AE199,FIND("/",Sync!$AE199)+1,20),FIND("/",MID(Sync!$AE199,FIND("/",Sync!$AE199)+1,20))-1))),"")))</f>
        <v/>
      </c>
      <c r="I199">
        <f>IF(OR($F199="",$G199=""),"",IF(ISNUMBER(Sync!$AE199),MOD(Sync!$AE199,100),IFERROR(VALUE(TRIM(MID(MID(Sync!$AE199,FIND("/",Sync!$AE199)+1,20),FIND("/",MID(Sync!$AE199,FIND("/",Sync!$AE199)+1,20))+1,20))),"")))</f>
        <v/>
      </c>
      <c r="J199">
        <f>IF($F199="","",IF(OR($G199="",$H199="",$I199="",$G199&lt;1300,$G199&gt;1500,$H199&lt;1,$H199&gt;12,$I199&lt;1,$I199&gt;31),"نامعتبر",RIGHT("0000"&amp;$G199,4)&amp;"/"&amp;RIGHT("00"&amp;$H199,2)&amp;"/"&amp;RIGHT("00"&amp;$I199,2)))</f>
        <v/>
      </c>
      <c r="K199">
        <f>IF(OR($F199="",$J199="",$J199="نامعتبر"),"",LEFT($J199,4)&amp;MID($J199,6,2)&amp;RIGHT($J199,2)&amp;$N199&amp;"|"&amp;"2"&amp;RIGHT("00000"&amp;194,5))</f>
        <v/>
      </c>
      <c r="L199">
        <f>IF($K199="","",COUNTIFS(LdgSellerA,$F199,LdgKeyA,"&lt;"&amp;$K199)+COUNTIFS(LdgSellerB,$F199,LdgKeyB,"&lt;"&amp;$K199)+1)</f>
        <v/>
      </c>
      <c r="M199">
        <f>IF($L199="","",$F199&amp;"|"&amp;RIGHT("000000"&amp;$L199,6))</f>
        <v/>
      </c>
      <c r="N199">
        <f>IF($F199="","",IF(Sync!$AF199="","0000",IF(AND(ISNUMBER(Sync!$AF199),Sync!$AF199&gt;=0,Sync!$AF199&lt;1),RIGHT("00"&amp;HOUR(Sync!$AF199),2)&amp;RIGHT("00"&amp;MINUTE(Sync!$AF199),2),IFERROR(RIGHT("00"&amp;VALUE(LEFT(Sync!$AF199,FIND(":",Sync!$AF199)-1)),2)&amp;RIGHT("00"&amp;VALUE(MID(Sync!$AF199,FIND(":",Sync!$AF199)+1,2)),2),"0000"))))</f>
        <v/>
      </c>
    </row>
    <row r="200">
      <c r="A200">
        <f>IF(OR(Calc!$E204="",Calc!$E204="نامعتبر",Calc!$G204=""),"",Calc!$G204)</f>
        <v/>
      </c>
      <c r="B200">
        <f>IF($A200="","",LEFT(Calc!$E204,4)&amp;MID(Calc!$E204,6,2)&amp;RIGHT(Calc!$E204,2)&amp;Calc!$Q204&amp;"|"&amp;"1"&amp;RIGHT("00000"&amp;195,5))</f>
        <v/>
      </c>
      <c r="C200">
        <f>IF($B200="","",COUNTIFS(LdgSellerA,$A200,LdgKeyA,"&lt;"&amp;$B200)+COUNTIFS(LdgSellerB,$A200,LdgKeyB,"&lt;"&amp;$B200)+1)</f>
        <v/>
      </c>
      <c r="D200">
        <f>IF($C200="","",$A200&amp;"|"&amp;RIGHT("000000"&amp;$C200,6))</f>
        <v/>
      </c>
      <c r="F200">
        <f>IF(Sync!$AH200="","",IF(LEFT(UPPER(TRIM(Sync!$AH200)),2)="SL",UPPER(TRIM(Sync!$AH200)),""))</f>
        <v/>
      </c>
      <c r="G200">
        <f>IF($F200="","",IF(Sync!$AE200="","",IF(ISNUMBER(Sync!$AE200),IF(AND(Sync!$AE200&gt;=10000101,Sync!$AE200&lt;=99991231),INT(Sync!$AE200/10000),""),IFERROR(VALUE(TRIM(LEFT(Sync!$AE200,FIND("/",Sync!$AE200)-1))),""))))</f>
        <v/>
      </c>
      <c r="H200">
        <f>IF(OR($F200="",$G200=""),"",IF(ISNUMBER(Sync!$AE200),INT(MOD(Sync!$AE200,10000)/100),IFERROR(VALUE(TRIM(LEFT(MID(Sync!$AE200,FIND("/",Sync!$AE200)+1,20),FIND("/",MID(Sync!$AE200,FIND("/",Sync!$AE200)+1,20))-1))),"")))</f>
        <v/>
      </c>
      <c r="I200">
        <f>IF(OR($F200="",$G200=""),"",IF(ISNUMBER(Sync!$AE200),MOD(Sync!$AE200,100),IFERROR(VALUE(TRIM(MID(MID(Sync!$AE200,FIND("/",Sync!$AE200)+1,20),FIND("/",MID(Sync!$AE200,FIND("/",Sync!$AE200)+1,20))+1,20))),"")))</f>
        <v/>
      </c>
      <c r="J200">
        <f>IF($F200="","",IF(OR($G200="",$H200="",$I200="",$G200&lt;1300,$G200&gt;1500,$H200&lt;1,$H200&gt;12,$I200&lt;1,$I200&gt;31),"نامعتبر",RIGHT("0000"&amp;$G200,4)&amp;"/"&amp;RIGHT("00"&amp;$H200,2)&amp;"/"&amp;RIGHT("00"&amp;$I200,2)))</f>
        <v/>
      </c>
      <c r="K200">
        <f>IF(OR($F200="",$J200="",$J200="نامعتبر"),"",LEFT($J200,4)&amp;MID($J200,6,2)&amp;RIGHT($J200,2)&amp;$N200&amp;"|"&amp;"2"&amp;RIGHT("00000"&amp;195,5))</f>
        <v/>
      </c>
      <c r="L200">
        <f>IF($K200="","",COUNTIFS(LdgSellerA,$F200,LdgKeyA,"&lt;"&amp;$K200)+COUNTIFS(LdgSellerB,$F200,LdgKeyB,"&lt;"&amp;$K200)+1)</f>
        <v/>
      </c>
      <c r="M200">
        <f>IF($L200="","",$F200&amp;"|"&amp;RIGHT("000000"&amp;$L200,6))</f>
        <v/>
      </c>
      <c r="N200">
        <f>IF($F200="","",IF(Sync!$AF200="","0000",IF(AND(ISNUMBER(Sync!$AF200),Sync!$AF200&gt;=0,Sync!$AF200&lt;1),RIGHT("00"&amp;HOUR(Sync!$AF200),2)&amp;RIGHT("00"&amp;MINUTE(Sync!$AF200),2),IFERROR(RIGHT("00"&amp;VALUE(LEFT(Sync!$AF200,FIND(":",Sync!$AF200)-1)),2)&amp;RIGHT("00"&amp;VALUE(MID(Sync!$AF200,FIND(":",Sync!$AF200)+1,2)),2),"0000"))))</f>
        <v/>
      </c>
    </row>
    <row r="201">
      <c r="A201">
        <f>IF(OR(Calc!$E205="",Calc!$E205="نامعتبر",Calc!$G205=""),"",Calc!$G205)</f>
        <v/>
      </c>
      <c r="B201">
        <f>IF($A201="","",LEFT(Calc!$E205,4)&amp;MID(Calc!$E205,6,2)&amp;RIGHT(Calc!$E205,2)&amp;Calc!$Q205&amp;"|"&amp;"1"&amp;RIGHT("00000"&amp;196,5))</f>
        <v/>
      </c>
      <c r="C201">
        <f>IF($B201="","",COUNTIFS(LdgSellerA,$A201,LdgKeyA,"&lt;"&amp;$B201)+COUNTIFS(LdgSellerB,$A201,LdgKeyB,"&lt;"&amp;$B201)+1)</f>
        <v/>
      </c>
      <c r="D201">
        <f>IF($C201="","",$A201&amp;"|"&amp;RIGHT("000000"&amp;$C201,6))</f>
        <v/>
      </c>
      <c r="F201">
        <f>IF(Sync!$AH201="","",IF(LEFT(UPPER(TRIM(Sync!$AH201)),2)="SL",UPPER(TRIM(Sync!$AH201)),""))</f>
        <v/>
      </c>
      <c r="G201">
        <f>IF($F201="","",IF(Sync!$AE201="","",IF(ISNUMBER(Sync!$AE201),IF(AND(Sync!$AE201&gt;=10000101,Sync!$AE201&lt;=99991231),INT(Sync!$AE201/10000),""),IFERROR(VALUE(TRIM(LEFT(Sync!$AE201,FIND("/",Sync!$AE201)-1))),""))))</f>
        <v/>
      </c>
      <c r="H201">
        <f>IF(OR($F201="",$G201=""),"",IF(ISNUMBER(Sync!$AE201),INT(MOD(Sync!$AE201,10000)/100),IFERROR(VALUE(TRIM(LEFT(MID(Sync!$AE201,FIND("/",Sync!$AE201)+1,20),FIND("/",MID(Sync!$AE201,FIND("/",Sync!$AE201)+1,20))-1))),"")))</f>
        <v/>
      </c>
      <c r="I201">
        <f>IF(OR($F201="",$G201=""),"",IF(ISNUMBER(Sync!$AE201),MOD(Sync!$AE201,100),IFERROR(VALUE(TRIM(MID(MID(Sync!$AE201,FIND("/",Sync!$AE201)+1,20),FIND("/",MID(Sync!$AE201,FIND("/",Sync!$AE201)+1,20))+1,20))),"")))</f>
        <v/>
      </c>
      <c r="J201">
        <f>IF($F201="","",IF(OR($G201="",$H201="",$I201="",$G201&lt;1300,$G201&gt;1500,$H201&lt;1,$H201&gt;12,$I201&lt;1,$I201&gt;31),"نامعتبر",RIGHT("0000"&amp;$G201,4)&amp;"/"&amp;RIGHT("00"&amp;$H201,2)&amp;"/"&amp;RIGHT("00"&amp;$I201,2)))</f>
        <v/>
      </c>
      <c r="K201">
        <f>IF(OR($F201="",$J201="",$J201="نامعتبر"),"",LEFT($J201,4)&amp;MID($J201,6,2)&amp;RIGHT($J201,2)&amp;$N201&amp;"|"&amp;"2"&amp;RIGHT("00000"&amp;196,5))</f>
        <v/>
      </c>
      <c r="L201">
        <f>IF($K201="","",COUNTIFS(LdgSellerA,$F201,LdgKeyA,"&lt;"&amp;$K201)+COUNTIFS(LdgSellerB,$F201,LdgKeyB,"&lt;"&amp;$K201)+1)</f>
        <v/>
      </c>
      <c r="M201">
        <f>IF($L201="","",$F201&amp;"|"&amp;RIGHT("000000"&amp;$L201,6))</f>
        <v/>
      </c>
      <c r="N201">
        <f>IF($F201="","",IF(Sync!$AF201="","0000",IF(AND(ISNUMBER(Sync!$AF201),Sync!$AF201&gt;=0,Sync!$AF201&lt;1),RIGHT("00"&amp;HOUR(Sync!$AF201),2)&amp;RIGHT("00"&amp;MINUTE(Sync!$AF201),2),IFERROR(RIGHT("00"&amp;VALUE(LEFT(Sync!$AF201,FIND(":",Sync!$AF201)-1)),2)&amp;RIGHT("00"&amp;VALUE(MID(Sync!$AF201,FIND(":",Sync!$AF201)+1,2)),2),"0000"))))</f>
        <v/>
      </c>
    </row>
    <row r="202">
      <c r="A202">
        <f>IF(OR(Calc!$E206="",Calc!$E206="نامعتبر",Calc!$G206=""),"",Calc!$G206)</f>
        <v/>
      </c>
      <c r="B202">
        <f>IF($A202="","",LEFT(Calc!$E206,4)&amp;MID(Calc!$E206,6,2)&amp;RIGHT(Calc!$E206,2)&amp;Calc!$Q206&amp;"|"&amp;"1"&amp;RIGHT("00000"&amp;197,5))</f>
        <v/>
      </c>
      <c r="C202">
        <f>IF($B202="","",COUNTIFS(LdgSellerA,$A202,LdgKeyA,"&lt;"&amp;$B202)+COUNTIFS(LdgSellerB,$A202,LdgKeyB,"&lt;"&amp;$B202)+1)</f>
        <v/>
      </c>
      <c r="D202">
        <f>IF($C202="","",$A202&amp;"|"&amp;RIGHT("000000"&amp;$C202,6))</f>
        <v/>
      </c>
      <c r="F202">
        <f>IF(Sync!$AH202="","",IF(LEFT(UPPER(TRIM(Sync!$AH202)),2)="SL",UPPER(TRIM(Sync!$AH202)),""))</f>
        <v/>
      </c>
      <c r="G202">
        <f>IF($F202="","",IF(Sync!$AE202="","",IF(ISNUMBER(Sync!$AE202),IF(AND(Sync!$AE202&gt;=10000101,Sync!$AE202&lt;=99991231),INT(Sync!$AE202/10000),""),IFERROR(VALUE(TRIM(LEFT(Sync!$AE202,FIND("/",Sync!$AE202)-1))),""))))</f>
        <v/>
      </c>
      <c r="H202">
        <f>IF(OR($F202="",$G202=""),"",IF(ISNUMBER(Sync!$AE202),INT(MOD(Sync!$AE202,10000)/100),IFERROR(VALUE(TRIM(LEFT(MID(Sync!$AE202,FIND("/",Sync!$AE202)+1,20),FIND("/",MID(Sync!$AE202,FIND("/",Sync!$AE202)+1,20))-1))),"")))</f>
        <v/>
      </c>
      <c r="I202">
        <f>IF(OR($F202="",$G202=""),"",IF(ISNUMBER(Sync!$AE202),MOD(Sync!$AE202,100),IFERROR(VALUE(TRIM(MID(MID(Sync!$AE202,FIND("/",Sync!$AE202)+1,20),FIND("/",MID(Sync!$AE202,FIND("/",Sync!$AE202)+1,20))+1,20))),"")))</f>
        <v/>
      </c>
      <c r="J202">
        <f>IF($F202="","",IF(OR($G202="",$H202="",$I202="",$G202&lt;1300,$G202&gt;1500,$H202&lt;1,$H202&gt;12,$I202&lt;1,$I202&gt;31),"نامعتبر",RIGHT("0000"&amp;$G202,4)&amp;"/"&amp;RIGHT("00"&amp;$H202,2)&amp;"/"&amp;RIGHT("00"&amp;$I202,2)))</f>
        <v/>
      </c>
      <c r="K202">
        <f>IF(OR($F202="",$J202="",$J202="نامعتبر"),"",LEFT($J202,4)&amp;MID($J202,6,2)&amp;RIGHT($J202,2)&amp;$N202&amp;"|"&amp;"2"&amp;RIGHT("00000"&amp;197,5))</f>
        <v/>
      </c>
      <c r="L202">
        <f>IF($K202="","",COUNTIFS(LdgSellerA,$F202,LdgKeyA,"&lt;"&amp;$K202)+COUNTIFS(LdgSellerB,$F202,LdgKeyB,"&lt;"&amp;$K202)+1)</f>
        <v/>
      </c>
      <c r="M202">
        <f>IF($L202="","",$F202&amp;"|"&amp;RIGHT("000000"&amp;$L202,6))</f>
        <v/>
      </c>
      <c r="N202">
        <f>IF($F202="","",IF(Sync!$AF202="","0000",IF(AND(ISNUMBER(Sync!$AF202),Sync!$AF202&gt;=0,Sync!$AF202&lt;1),RIGHT("00"&amp;HOUR(Sync!$AF202),2)&amp;RIGHT("00"&amp;MINUTE(Sync!$AF202),2),IFERROR(RIGHT("00"&amp;VALUE(LEFT(Sync!$AF202,FIND(":",Sync!$AF202)-1)),2)&amp;RIGHT("00"&amp;VALUE(MID(Sync!$AF202,FIND(":",Sync!$AF202)+1,2)),2),"0000"))))</f>
        <v/>
      </c>
    </row>
    <row r="203">
      <c r="A203">
        <f>IF(OR(Calc!$E207="",Calc!$E207="نامعتبر",Calc!$G207=""),"",Calc!$G207)</f>
        <v/>
      </c>
      <c r="B203">
        <f>IF($A203="","",LEFT(Calc!$E207,4)&amp;MID(Calc!$E207,6,2)&amp;RIGHT(Calc!$E207,2)&amp;Calc!$Q207&amp;"|"&amp;"1"&amp;RIGHT("00000"&amp;198,5))</f>
        <v/>
      </c>
      <c r="C203">
        <f>IF($B203="","",COUNTIFS(LdgSellerA,$A203,LdgKeyA,"&lt;"&amp;$B203)+COUNTIFS(LdgSellerB,$A203,LdgKeyB,"&lt;"&amp;$B203)+1)</f>
        <v/>
      </c>
      <c r="D203">
        <f>IF($C203="","",$A203&amp;"|"&amp;RIGHT("000000"&amp;$C203,6))</f>
        <v/>
      </c>
      <c r="F203">
        <f>IF(Sync!$AH203="","",IF(LEFT(UPPER(TRIM(Sync!$AH203)),2)="SL",UPPER(TRIM(Sync!$AH203)),""))</f>
        <v/>
      </c>
      <c r="G203">
        <f>IF($F203="","",IF(Sync!$AE203="","",IF(ISNUMBER(Sync!$AE203),IF(AND(Sync!$AE203&gt;=10000101,Sync!$AE203&lt;=99991231),INT(Sync!$AE203/10000),""),IFERROR(VALUE(TRIM(LEFT(Sync!$AE203,FIND("/",Sync!$AE203)-1))),""))))</f>
        <v/>
      </c>
      <c r="H203">
        <f>IF(OR($F203="",$G203=""),"",IF(ISNUMBER(Sync!$AE203),INT(MOD(Sync!$AE203,10000)/100),IFERROR(VALUE(TRIM(LEFT(MID(Sync!$AE203,FIND("/",Sync!$AE203)+1,20),FIND("/",MID(Sync!$AE203,FIND("/",Sync!$AE203)+1,20))-1))),"")))</f>
        <v/>
      </c>
      <c r="I203">
        <f>IF(OR($F203="",$G203=""),"",IF(ISNUMBER(Sync!$AE203),MOD(Sync!$AE203,100),IFERROR(VALUE(TRIM(MID(MID(Sync!$AE203,FIND("/",Sync!$AE203)+1,20),FIND("/",MID(Sync!$AE203,FIND("/",Sync!$AE203)+1,20))+1,20))),"")))</f>
        <v/>
      </c>
      <c r="J203">
        <f>IF($F203="","",IF(OR($G203="",$H203="",$I203="",$G203&lt;1300,$G203&gt;1500,$H203&lt;1,$H203&gt;12,$I203&lt;1,$I203&gt;31),"نامعتبر",RIGHT("0000"&amp;$G203,4)&amp;"/"&amp;RIGHT("00"&amp;$H203,2)&amp;"/"&amp;RIGHT("00"&amp;$I203,2)))</f>
        <v/>
      </c>
      <c r="K203">
        <f>IF(OR($F203="",$J203="",$J203="نامعتبر"),"",LEFT($J203,4)&amp;MID($J203,6,2)&amp;RIGHT($J203,2)&amp;$N203&amp;"|"&amp;"2"&amp;RIGHT("00000"&amp;198,5))</f>
        <v/>
      </c>
      <c r="L203">
        <f>IF($K203="","",COUNTIFS(LdgSellerA,$F203,LdgKeyA,"&lt;"&amp;$K203)+COUNTIFS(LdgSellerB,$F203,LdgKeyB,"&lt;"&amp;$K203)+1)</f>
        <v/>
      </c>
      <c r="M203">
        <f>IF($L203="","",$F203&amp;"|"&amp;RIGHT("000000"&amp;$L203,6))</f>
        <v/>
      </c>
      <c r="N203">
        <f>IF($F203="","",IF(Sync!$AF203="","0000",IF(AND(ISNUMBER(Sync!$AF203),Sync!$AF203&gt;=0,Sync!$AF203&lt;1),RIGHT("00"&amp;HOUR(Sync!$AF203),2)&amp;RIGHT("00"&amp;MINUTE(Sync!$AF203),2),IFERROR(RIGHT("00"&amp;VALUE(LEFT(Sync!$AF203,FIND(":",Sync!$AF203)-1)),2)&amp;RIGHT("00"&amp;VALUE(MID(Sync!$AF203,FIND(":",Sync!$AF203)+1,2)),2),"0000"))))</f>
        <v/>
      </c>
    </row>
    <row r="204">
      <c r="A204">
        <f>IF(OR(Calc!$E208="",Calc!$E208="نامعتبر",Calc!$G208=""),"",Calc!$G208)</f>
        <v/>
      </c>
      <c r="B204">
        <f>IF($A204="","",LEFT(Calc!$E208,4)&amp;MID(Calc!$E208,6,2)&amp;RIGHT(Calc!$E208,2)&amp;Calc!$Q208&amp;"|"&amp;"1"&amp;RIGHT("00000"&amp;199,5))</f>
        <v/>
      </c>
      <c r="C204">
        <f>IF($B204="","",COUNTIFS(LdgSellerA,$A204,LdgKeyA,"&lt;"&amp;$B204)+COUNTIFS(LdgSellerB,$A204,LdgKeyB,"&lt;"&amp;$B204)+1)</f>
        <v/>
      </c>
      <c r="D204">
        <f>IF($C204="","",$A204&amp;"|"&amp;RIGHT("000000"&amp;$C204,6))</f>
        <v/>
      </c>
      <c r="F204">
        <f>IF(Sync!$AH204="","",IF(LEFT(UPPER(TRIM(Sync!$AH204)),2)="SL",UPPER(TRIM(Sync!$AH204)),""))</f>
        <v/>
      </c>
      <c r="G204">
        <f>IF($F204="","",IF(Sync!$AE204="","",IF(ISNUMBER(Sync!$AE204),IF(AND(Sync!$AE204&gt;=10000101,Sync!$AE204&lt;=99991231),INT(Sync!$AE204/10000),""),IFERROR(VALUE(TRIM(LEFT(Sync!$AE204,FIND("/",Sync!$AE204)-1))),""))))</f>
        <v/>
      </c>
      <c r="H204">
        <f>IF(OR($F204="",$G204=""),"",IF(ISNUMBER(Sync!$AE204),INT(MOD(Sync!$AE204,10000)/100),IFERROR(VALUE(TRIM(LEFT(MID(Sync!$AE204,FIND("/",Sync!$AE204)+1,20),FIND("/",MID(Sync!$AE204,FIND("/",Sync!$AE204)+1,20))-1))),"")))</f>
        <v/>
      </c>
      <c r="I204">
        <f>IF(OR($F204="",$G204=""),"",IF(ISNUMBER(Sync!$AE204),MOD(Sync!$AE204,100),IFERROR(VALUE(TRIM(MID(MID(Sync!$AE204,FIND("/",Sync!$AE204)+1,20),FIND("/",MID(Sync!$AE204,FIND("/",Sync!$AE204)+1,20))+1,20))),"")))</f>
        <v/>
      </c>
      <c r="J204">
        <f>IF($F204="","",IF(OR($G204="",$H204="",$I204="",$G204&lt;1300,$G204&gt;1500,$H204&lt;1,$H204&gt;12,$I204&lt;1,$I204&gt;31),"نامعتبر",RIGHT("0000"&amp;$G204,4)&amp;"/"&amp;RIGHT("00"&amp;$H204,2)&amp;"/"&amp;RIGHT("00"&amp;$I204,2)))</f>
        <v/>
      </c>
      <c r="K204">
        <f>IF(OR($F204="",$J204="",$J204="نامعتبر"),"",LEFT($J204,4)&amp;MID($J204,6,2)&amp;RIGHT($J204,2)&amp;$N204&amp;"|"&amp;"2"&amp;RIGHT("00000"&amp;199,5))</f>
        <v/>
      </c>
      <c r="L204">
        <f>IF($K204="","",COUNTIFS(LdgSellerA,$F204,LdgKeyA,"&lt;"&amp;$K204)+COUNTIFS(LdgSellerB,$F204,LdgKeyB,"&lt;"&amp;$K204)+1)</f>
        <v/>
      </c>
      <c r="M204">
        <f>IF($L204="","",$F204&amp;"|"&amp;RIGHT("000000"&amp;$L204,6))</f>
        <v/>
      </c>
      <c r="N204">
        <f>IF($F204="","",IF(Sync!$AF204="","0000",IF(AND(ISNUMBER(Sync!$AF204),Sync!$AF204&gt;=0,Sync!$AF204&lt;1),RIGHT("00"&amp;HOUR(Sync!$AF204),2)&amp;RIGHT("00"&amp;MINUTE(Sync!$AF204),2),IFERROR(RIGHT("00"&amp;VALUE(LEFT(Sync!$AF204,FIND(":",Sync!$AF204)-1)),2)&amp;RIGHT("00"&amp;VALUE(MID(Sync!$AF204,FIND(":",Sync!$AF204)+1,2)),2),"0000"))))</f>
        <v/>
      </c>
    </row>
    <row r="205">
      <c r="A205">
        <f>IF(OR(Calc!$E209="",Calc!$E209="نامعتبر",Calc!$G209=""),"",Calc!$G209)</f>
        <v/>
      </c>
      <c r="B205">
        <f>IF($A205="","",LEFT(Calc!$E209,4)&amp;MID(Calc!$E209,6,2)&amp;RIGHT(Calc!$E209,2)&amp;Calc!$Q209&amp;"|"&amp;"1"&amp;RIGHT("00000"&amp;200,5))</f>
        <v/>
      </c>
      <c r="C205">
        <f>IF($B205="","",COUNTIFS(LdgSellerA,$A205,LdgKeyA,"&lt;"&amp;$B205)+COUNTIFS(LdgSellerB,$A205,LdgKeyB,"&lt;"&amp;$B205)+1)</f>
        <v/>
      </c>
      <c r="D205">
        <f>IF($C205="","",$A205&amp;"|"&amp;RIGHT("000000"&amp;$C205,6))</f>
        <v/>
      </c>
      <c r="F205">
        <f>IF(Sync!$AH205="","",IF(LEFT(UPPER(TRIM(Sync!$AH205)),2)="SL",UPPER(TRIM(Sync!$AH205)),""))</f>
        <v/>
      </c>
      <c r="G205">
        <f>IF($F205="","",IF(Sync!$AE205="","",IF(ISNUMBER(Sync!$AE205),IF(AND(Sync!$AE205&gt;=10000101,Sync!$AE205&lt;=99991231),INT(Sync!$AE205/10000),""),IFERROR(VALUE(TRIM(LEFT(Sync!$AE205,FIND("/",Sync!$AE205)-1))),""))))</f>
        <v/>
      </c>
      <c r="H205">
        <f>IF(OR($F205="",$G205=""),"",IF(ISNUMBER(Sync!$AE205),INT(MOD(Sync!$AE205,10000)/100),IFERROR(VALUE(TRIM(LEFT(MID(Sync!$AE205,FIND("/",Sync!$AE205)+1,20),FIND("/",MID(Sync!$AE205,FIND("/",Sync!$AE205)+1,20))-1))),"")))</f>
        <v/>
      </c>
      <c r="I205">
        <f>IF(OR($F205="",$G205=""),"",IF(ISNUMBER(Sync!$AE205),MOD(Sync!$AE205,100),IFERROR(VALUE(TRIM(MID(MID(Sync!$AE205,FIND("/",Sync!$AE205)+1,20),FIND("/",MID(Sync!$AE205,FIND("/",Sync!$AE205)+1,20))+1,20))),"")))</f>
        <v/>
      </c>
      <c r="J205">
        <f>IF($F205="","",IF(OR($G205="",$H205="",$I205="",$G205&lt;1300,$G205&gt;1500,$H205&lt;1,$H205&gt;12,$I205&lt;1,$I205&gt;31),"نامعتبر",RIGHT("0000"&amp;$G205,4)&amp;"/"&amp;RIGHT("00"&amp;$H205,2)&amp;"/"&amp;RIGHT("00"&amp;$I205,2)))</f>
        <v/>
      </c>
      <c r="K205">
        <f>IF(OR($F205="",$J205="",$J205="نامعتبر"),"",LEFT($J205,4)&amp;MID($J205,6,2)&amp;RIGHT($J205,2)&amp;$N205&amp;"|"&amp;"2"&amp;RIGHT("00000"&amp;200,5))</f>
        <v/>
      </c>
      <c r="L205">
        <f>IF($K205="","",COUNTIFS(LdgSellerA,$F205,LdgKeyA,"&lt;"&amp;$K205)+COUNTIFS(LdgSellerB,$F205,LdgKeyB,"&lt;"&amp;$K205)+1)</f>
        <v/>
      </c>
      <c r="M205">
        <f>IF($L205="","",$F205&amp;"|"&amp;RIGHT("000000"&amp;$L205,6))</f>
        <v/>
      </c>
      <c r="N205">
        <f>IF($F205="","",IF(Sync!$AF205="","0000",IF(AND(ISNUMBER(Sync!$AF205),Sync!$AF205&gt;=0,Sync!$AF205&lt;1),RIGHT("00"&amp;HOUR(Sync!$AF205),2)&amp;RIGHT("00"&amp;MINUTE(Sync!$AF205),2),IFERROR(RIGHT("00"&amp;VALUE(LEFT(Sync!$AF205,FIND(":",Sync!$AF205)-1)),2)&amp;RIGHT("00"&amp;VALUE(MID(Sync!$AF205,FIND(":",Sync!$AF205)+1,2)),2),"0000"))))</f>
        <v/>
      </c>
    </row>
    <row r="206">
      <c r="A206">
        <f>IF(OR(Calc!$E210="",Calc!$E210="نامعتبر",Calc!$G210=""),"",Calc!$G210)</f>
        <v/>
      </c>
      <c r="B206">
        <f>IF($A206="","",LEFT(Calc!$E210,4)&amp;MID(Calc!$E210,6,2)&amp;RIGHT(Calc!$E210,2)&amp;Calc!$Q210&amp;"|"&amp;"1"&amp;RIGHT("00000"&amp;201,5))</f>
        <v/>
      </c>
      <c r="C206">
        <f>IF($B206="","",COUNTIFS(LdgSellerA,$A206,LdgKeyA,"&lt;"&amp;$B206)+COUNTIFS(LdgSellerB,$A206,LdgKeyB,"&lt;"&amp;$B206)+1)</f>
        <v/>
      </c>
      <c r="D206">
        <f>IF($C206="","",$A206&amp;"|"&amp;RIGHT("000000"&amp;$C206,6))</f>
        <v/>
      </c>
      <c r="F206">
        <f>IF(Sync!$AH206="","",IF(LEFT(UPPER(TRIM(Sync!$AH206)),2)="SL",UPPER(TRIM(Sync!$AH206)),""))</f>
        <v/>
      </c>
      <c r="G206">
        <f>IF($F206="","",IF(Sync!$AE206="","",IF(ISNUMBER(Sync!$AE206),IF(AND(Sync!$AE206&gt;=10000101,Sync!$AE206&lt;=99991231),INT(Sync!$AE206/10000),""),IFERROR(VALUE(TRIM(LEFT(Sync!$AE206,FIND("/",Sync!$AE206)-1))),""))))</f>
        <v/>
      </c>
      <c r="H206">
        <f>IF(OR($F206="",$G206=""),"",IF(ISNUMBER(Sync!$AE206),INT(MOD(Sync!$AE206,10000)/100),IFERROR(VALUE(TRIM(LEFT(MID(Sync!$AE206,FIND("/",Sync!$AE206)+1,20),FIND("/",MID(Sync!$AE206,FIND("/",Sync!$AE206)+1,20))-1))),"")))</f>
        <v/>
      </c>
      <c r="I206">
        <f>IF(OR($F206="",$G206=""),"",IF(ISNUMBER(Sync!$AE206),MOD(Sync!$AE206,100),IFERROR(VALUE(TRIM(MID(MID(Sync!$AE206,FIND("/",Sync!$AE206)+1,20),FIND("/",MID(Sync!$AE206,FIND("/",Sync!$AE206)+1,20))+1,20))),"")))</f>
        <v/>
      </c>
      <c r="J206">
        <f>IF($F206="","",IF(OR($G206="",$H206="",$I206="",$G206&lt;1300,$G206&gt;1500,$H206&lt;1,$H206&gt;12,$I206&lt;1,$I206&gt;31),"نامعتبر",RIGHT("0000"&amp;$G206,4)&amp;"/"&amp;RIGHT("00"&amp;$H206,2)&amp;"/"&amp;RIGHT("00"&amp;$I206,2)))</f>
        <v/>
      </c>
      <c r="K206">
        <f>IF(OR($F206="",$J206="",$J206="نامعتبر"),"",LEFT($J206,4)&amp;MID($J206,6,2)&amp;RIGHT($J206,2)&amp;$N206&amp;"|"&amp;"2"&amp;RIGHT("00000"&amp;201,5))</f>
        <v/>
      </c>
      <c r="L206">
        <f>IF($K206="","",COUNTIFS(LdgSellerA,$F206,LdgKeyA,"&lt;"&amp;$K206)+COUNTIFS(LdgSellerB,$F206,LdgKeyB,"&lt;"&amp;$K206)+1)</f>
        <v/>
      </c>
      <c r="M206">
        <f>IF($L206="","",$F206&amp;"|"&amp;RIGHT("000000"&amp;$L206,6))</f>
        <v/>
      </c>
      <c r="N206">
        <f>IF($F206="","",IF(Sync!$AF206="","0000",IF(AND(ISNUMBER(Sync!$AF206),Sync!$AF206&gt;=0,Sync!$AF206&lt;1),RIGHT("00"&amp;HOUR(Sync!$AF206),2)&amp;RIGHT("00"&amp;MINUTE(Sync!$AF206),2),IFERROR(RIGHT("00"&amp;VALUE(LEFT(Sync!$AF206,FIND(":",Sync!$AF206)-1)),2)&amp;RIGHT("00"&amp;VALUE(MID(Sync!$AF206,FIND(":",Sync!$AF206)+1,2)),2),"0000"))))</f>
        <v/>
      </c>
    </row>
    <row r="207">
      <c r="A207">
        <f>IF(OR(Calc!$E211="",Calc!$E211="نامعتبر",Calc!$G211=""),"",Calc!$G211)</f>
        <v/>
      </c>
      <c r="B207">
        <f>IF($A207="","",LEFT(Calc!$E211,4)&amp;MID(Calc!$E211,6,2)&amp;RIGHT(Calc!$E211,2)&amp;Calc!$Q211&amp;"|"&amp;"1"&amp;RIGHT("00000"&amp;202,5))</f>
        <v/>
      </c>
      <c r="C207">
        <f>IF($B207="","",COUNTIFS(LdgSellerA,$A207,LdgKeyA,"&lt;"&amp;$B207)+COUNTIFS(LdgSellerB,$A207,LdgKeyB,"&lt;"&amp;$B207)+1)</f>
        <v/>
      </c>
      <c r="D207">
        <f>IF($C207="","",$A207&amp;"|"&amp;RIGHT("000000"&amp;$C207,6))</f>
        <v/>
      </c>
      <c r="F207">
        <f>IF(Sync!$AH207="","",IF(LEFT(UPPER(TRIM(Sync!$AH207)),2)="SL",UPPER(TRIM(Sync!$AH207)),""))</f>
        <v/>
      </c>
      <c r="G207">
        <f>IF($F207="","",IF(Sync!$AE207="","",IF(ISNUMBER(Sync!$AE207),IF(AND(Sync!$AE207&gt;=10000101,Sync!$AE207&lt;=99991231),INT(Sync!$AE207/10000),""),IFERROR(VALUE(TRIM(LEFT(Sync!$AE207,FIND("/",Sync!$AE207)-1))),""))))</f>
        <v/>
      </c>
      <c r="H207">
        <f>IF(OR($F207="",$G207=""),"",IF(ISNUMBER(Sync!$AE207),INT(MOD(Sync!$AE207,10000)/100),IFERROR(VALUE(TRIM(LEFT(MID(Sync!$AE207,FIND("/",Sync!$AE207)+1,20),FIND("/",MID(Sync!$AE207,FIND("/",Sync!$AE207)+1,20))-1))),"")))</f>
        <v/>
      </c>
      <c r="I207">
        <f>IF(OR($F207="",$G207=""),"",IF(ISNUMBER(Sync!$AE207),MOD(Sync!$AE207,100),IFERROR(VALUE(TRIM(MID(MID(Sync!$AE207,FIND("/",Sync!$AE207)+1,20),FIND("/",MID(Sync!$AE207,FIND("/",Sync!$AE207)+1,20))+1,20))),"")))</f>
        <v/>
      </c>
      <c r="J207">
        <f>IF($F207="","",IF(OR($G207="",$H207="",$I207="",$G207&lt;1300,$G207&gt;1500,$H207&lt;1,$H207&gt;12,$I207&lt;1,$I207&gt;31),"نامعتبر",RIGHT("0000"&amp;$G207,4)&amp;"/"&amp;RIGHT("00"&amp;$H207,2)&amp;"/"&amp;RIGHT("00"&amp;$I207,2)))</f>
        <v/>
      </c>
      <c r="K207">
        <f>IF(OR($F207="",$J207="",$J207="نامعتبر"),"",LEFT($J207,4)&amp;MID($J207,6,2)&amp;RIGHT($J207,2)&amp;$N207&amp;"|"&amp;"2"&amp;RIGHT("00000"&amp;202,5))</f>
        <v/>
      </c>
      <c r="L207">
        <f>IF($K207="","",COUNTIFS(LdgSellerA,$F207,LdgKeyA,"&lt;"&amp;$K207)+COUNTIFS(LdgSellerB,$F207,LdgKeyB,"&lt;"&amp;$K207)+1)</f>
        <v/>
      </c>
      <c r="M207">
        <f>IF($L207="","",$F207&amp;"|"&amp;RIGHT("000000"&amp;$L207,6))</f>
        <v/>
      </c>
      <c r="N207">
        <f>IF($F207="","",IF(Sync!$AF207="","0000",IF(AND(ISNUMBER(Sync!$AF207),Sync!$AF207&gt;=0,Sync!$AF207&lt;1),RIGHT("00"&amp;HOUR(Sync!$AF207),2)&amp;RIGHT("00"&amp;MINUTE(Sync!$AF207),2),IFERROR(RIGHT("00"&amp;VALUE(LEFT(Sync!$AF207,FIND(":",Sync!$AF207)-1)),2)&amp;RIGHT("00"&amp;VALUE(MID(Sync!$AF207,FIND(":",Sync!$AF207)+1,2)),2),"0000"))))</f>
        <v/>
      </c>
    </row>
    <row r="208">
      <c r="A208">
        <f>IF(OR(Calc!$E212="",Calc!$E212="نامعتبر",Calc!$G212=""),"",Calc!$G212)</f>
        <v/>
      </c>
      <c r="B208">
        <f>IF($A208="","",LEFT(Calc!$E212,4)&amp;MID(Calc!$E212,6,2)&amp;RIGHT(Calc!$E212,2)&amp;Calc!$Q212&amp;"|"&amp;"1"&amp;RIGHT("00000"&amp;203,5))</f>
        <v/>
      </c>
      <c r="C208">
        <f>IF($B208="","",COUNTIFS(LdgSellerA,$A208,LdgKeyA,"&lt;"&amp;$B208)+COUNTIFS(LdgSellerB,$A208,LdgKeyB,"&lt;"&amp;$B208)+1)</f>
        <v/>
      </c>
      <c r="D208">
        <f>IF($C208="","",$A208&amp;"|"&amp;RIGHT("000000"&amp;$C208,6))</f>
        <v/>
      </c>
      <c r="F208">
        <f>IF(Sync!$AH208="","",IF(LEFT(UPPER(TRIM(Sync!$AH208)),2)="SL",UPPER(TRIM(Sync!$AH208)),""))</f>
        <v/>
      </c>
      <c r="G208">
        <f>IF($F208="","",IF(Sync!$AE208="","",IF(ISNUMBER(Sync!$AE208),IF(AND(Sync!$AE208&gt;=10000101,Sync!$AE208&lt;=99991231),INT(Sync!$AE208/10000),""),IFERROR(VALUE(TRIM(LEFT(Sync!$AE208,FIND("/",Sync!$AE208)-1))),""))))</f>
        <v/>
      </c>
      <c r="H208">
        <f>IF(OR($F208="",$G208=""),"",IF(ISNUMBER(Sync!$AE208),INT(MOD(Sync!$AE208,10000)/100),IFERROR(VALUE(TRIM(LEFT(MID(Sync!$AE208,FIND("/",Sync!$AE208)+1,20),FIND("/",MID(Sync!$AE208,FIND("/",Sync!$AE208)+1,20))-1))),"")))</f>
        <v/>
      </c>
      <c r="I208">
        <f>IF(OR($F208="",$G208=""),"",IF(ISNUMBER(Sync!$AE208),MOD(Sync!$AE208,100),IFERROR(VALUE(TRIM(MID(MID(Sync!$AE208,FIND("/",Sync!$AE208)+1,20),FIND("/",MID(Sync!$AE208,FIND("/",Sync!$AE208)+1,20))+1,20))),"")))</f>
        <v/>
      </c>
      <c r="J208">
        <f>IF($F208="","",IF(OR($G208="",$H208="",$I208="",$G208&lt;1300,$G208&gt;1500,$H208&lt;1,$H208&gt;12,$I208&lt;1,$I208&gt;31),"نامعتبر",RIGHT("0000"&amp;$G208,4)&amp;"/"&amp;RIGHT("00"&amp;$H208,2)&amp;"/"&amp;RIGHT("00"&amp;$I208,2)))</f>
        <v/>
      </c>
      <c r="K208">
        <f>IF(OR($F208="",$J208="",$J208="نامعتبر"),"",LEFT($J208,4)&amp;MID($J208,6,2)&amp;RIGHT($J208,2)&amp;$N208&amp;"|"&amp;"2"&amp;RIGHT("00000"&amp;203,5))</f>
        <v/>
      </c>
      <c r="L208">
        <f>IF($K208="","",COUNTIFS(LdgSellerA,$F208,LdgKeyA,"&lt;"&amp;$K208)+COUNTIFS(LdgSellerB,$F208,LdgKeyB,"&lt;"&amp;$K208)+1)</f>
        <v/>
      </c>
      <c r="M208">
        <f>IF($L208="","",$F208&amp;"|"&amp;RIGHT("000000"&amp;$L208,6))</f>
        <v/>
      </c>
      <c r="N208">
        <f>IF($F208="","",IF(Sync!$AF208="","0000",IF(AND(ISNUMBER(Sync!$AF208),Sync!$AF208&gt;=0,Sync!$AF208&lt;1),RIGHT("00"&amp;HOUR(Sync!$AF208),2)&amp;RIGHT("00"&amp;MINUTE(Sync!$AF208),2),IFERROR(RIGHT("00"&amp;VALUE(LEFT(Sync!$AF208,FIND(":",Sync!$AF208)-1)),2)&amp;RIGHT("00"&amp;VALUE(MID(Sync!$AF208,FIND(":",Sync!$AF208)+1,2)),2),"0000"))))</f>
        <v/>
      </c>
    </row>
    <row r="209">
      <c r="A209">
        <f>IF(OR(Calc!$E213="",Calc!$E213="نامعتبر",Calc!$G213=""),"",Calc!$G213)</f>
        <v/>
      </c>
      <c r="B209">
        <f>IF($A209="","",LEFT(Calc!$E213,4)&amp;MID(Calc!$E213,6,2)&amp;RIGHT(Calc!$E213,2)&amp;Calc!$Q213&amp;"|"&amp;"1"&amp;RIGHT("00000"&amp;204,5))</f>
        <v/>
      </c>
      <c r="C209">
        <f>IF($B209="","",COUNTIFS(LdgSellerA,$A209,LdgKeyA,"&lt;"&amp;$B209)+COUNTIFS(LdgSellerB,$A209,LdgKeyB,"&lt;"&amp;$B209)+1)</f>
        <v/>
      </c>
      <c r="D209">
        <f>IF($C209="","",$A209&amp;"|"&amp;RIGHT("000000"&amp;$C209,6))</f>
        <v/>
      </c>
      <c r="F209">
        <f>IF(Sync!$AH209="","",IF(LEFT(UPPER(TRIM(Sync!$AH209)),2)="SL",UPPER(TRIM(Sync!$AH209)),""))</f>
        <v/>
      </c>
      <c r="G209">
        <f>IF($F209="","",IF(Sync!$AE209="","",IF(ISNUMBER(Sync!$AE209),IF(AND(Sync!$AE209&gt;=10000101,Sync!$AE209&lt;=99991231),INT(Sync!$AE209/10000),""),IFERROR(VALUE(TRIM(LEFT(Sync!$AE209,FIND("/",Sync!$AE209)-1))),""))))</f>
        <v/>
      </c>
      <c r="H209">
        <f>IF(OR($F209="",$G209=""),"",IF(ISNUMBER(Sync!$AE209),INT(MOD(Sync!$AE209,10000)/100),IFERROR(VALUE(TRIM(LEFT(MID(Sync!$AE209,FIND("/",Sync!$AE209)+1,20),FIND("/",MID(Sync!$AE209,FIND("/",Sync!$AE209)+1,20))-1))),"")))</f>
        <v/>
      </c>
      <c r="I209">
        <f>IF(OR($F209="",$G209=""),"",IF(ISNUMBER(Sync!$AE209),MOD(Sync!$AE209,100),IFERROR(VALUE(TRIM(MID(MID(Sync!$AE209,FIND("/",Sync!$AE209)+1,20),FIND("/",MID(Sync!$AE209,FIND("/",Sync!$AE209)+1,20))+1,20))),"")))</f>
        <v/>
      </c>
      <c r="J209">
        <f>IF($F209="","",IF(OR($G209="",$H209="",$I209="",$G209&lt;1300,$G209&gt;1500,$H209&lt;1,$H209&gt;12,$I209&lt;1,$I209&gt;31),"نامعتبر",RIGHT("0000"&amp;$G209,4)&amp;"/"&amp;RIGHT("00"&amp;$H209,2)&amp;"/"&amp;RIGHT("00"&amp;$I209,2)))</f>
        <v/>
      </c>
      <c r="K209">
        <f>IF(OR($F209="",$J209="",$J209="نامعتبر"),"",LEFT($J209,4)&amp;MID($J209,6,2)&amp;RIGHT($J209,2)&amp;$N209&amp;"|"&amp;"2"&amp;RIGHT("00000"&amp;204,5))</f>
        <v/>
      </c>
      <c r="L209">
        <f>IF($K209="","",COUNTIFS(LdgSellerA,$F209,LdgKeyA,"&lt;"&amp;$K209)+COUNTIFS(LdgSellerB,$F209,LdgKeyB,"&lt;"&amp;$K209)+1)</f>
        <v/>
      </c>
      <c r="M209">
        <f>IF($L209="","",$F209&amp;"|"&amp;RIGHT("000000"&amp;$L209,6))</f>
        <v/>
      </c>
      <c r="N209">
        <f>IF($F209="","",IF(Sync!$AF209="","0000",IF(AND(ISNUMBER(Sync!$AF209),Sync!$AF209&gt;=0,Sync!$AF209&lt;1),RIGHT("00"&amp;HOUR(Sync!$AF209),2)&amp;RIGHT("00"&amp;MINUTE(Sync!$AF209),2),IFERROR(RIGHT("00"&amp;VALUE(LEFT(Sync!$AF209,FIND(":",Sync!$AF209)-1)),2)&amp;RIGHT("00"&amp;VALUE(MID(Sync!$AF209,FIND(":",Sync!$AF209)+1,2)),2),"0000"))))</f>
        <v/>
      </c>
    </row>
    <row r="210">
      <c r="A210">
        <f>IF(OR(Calc!$E214="",Calc!$E214="نامعتبر",Calc!$G214=""),"",Calc!$G214)</f>
        <v/>
      </c>
      <c r="B210">
        <f>IF($A210="","",LEFT(Calc!$E214,4)&amp;MID(Calc!$E214,6,2)&amp;RIGHT(Calc!$E214,2)&amp;Calc!$Q214&amp;"|"&amp;"1"&amp;RIGHT("00000"&amp;205,5))</f>
        <v/>
      </c>
      <c r="C210">
        <f>IF($B210="","",COUNTIFS(LdgSellerA,$A210,LdgKeyA,"&lt;"&amp;$B210)+COUNTIFS(LdgSellerB,$A210,LdgKeyB,"&lt;"&amp;$B210)+1)</f>
        <v/>
      </c>
      <c r="D210">
        <f>IF($C210="","",$A210&amp;"|"&amp;RIGHT("000000"&amp;$C210,6))</f>
        <v/>
      </c>
      <c r="F210">
        <f>IF(Sync!$AH210="","",IF(LEFT(UPPER(TRIM(Sync!$AH210)),2)="SL",UPPER(TRIM(Sync!$AH210)),""))</f>
        <v/>
      </c>
      <c r="G210">
        <f>IF($F210="","",IF(Sync!$AE210="","",IF(ISNUMBER(Sync!$AE210),IF(AND(Sync!$AE210&gt;=10000101,Sync!$AE210&lt;=99991231),INT(Sync!$AE210/10000),""),IFERROR(VALUE(TRIM(LEFT(Sync!$AE210,FIND("/",Sync!$AE210)-1))),""))))</f>
        <v/>
      </c>
      <c r="H210">
        <f>IF(OR($F210="",$G210=""),"",IF(ISNUMBER(Sync!$AE210),INT(MOD(Sync!$AE210,10000)/100),IFERROR(VALUE(TRIM(LEFT(MID(Sync!$AE210,FIND("/",Sync!$AE210)+1,20),FIND("/",MID(Sync!$AE210,FIND("/",Sync!$AE210)+1,20))-1))),"")))</f>
        <v/>
      </c>
      <c r="I210">
        <f>IF(OR($F210="",$G210=""),"",IF(ISNUMBER(Sync!$AE210),MOD(Sync!$AE210,100),IFERROR(VALUE(TRIM(MID(MID(Sync!$AE210,FIND("/",Sync!$AE210)+1,20),FIND("/",MID(Sync!$AE210,FIND("/",Sync!$AE210)+1,20))+1,20))),"")))</f>
        <v/>
      </c>
      <c r="J210">
        <f>IF($F210="","",IF(OR($G210="",$H210="",$I210="",$G210&lt;1300,$G210&gt;1500,$H210&lt;1,$H210&gt;12,$I210&lt;1,$I210&gt;31),"نامعتبر",RIGHT("0000"&amp;$G210,4)&amp;"/"&amp;RIGHT("00"&amp;$H210,2)&amp;"/"&amp;RIGHT("00"&amp;$I210,2)))</f>
        <v/>
      </c>
      <c r="K210">
        <f>IF(OR($F210="",$J210="",$J210="نامعتبر"),"",LEFT($J210,4)&amp;MID($J210,6,2)&amp;RIGHT($J210,2)&amp;$N210&amp;"|"&amp;"2"&amp;RIGHT("00000"&amp;205,5))</f>
        <v/>
      </c>
      <c r="L210">
        <f>IF($K210="","",COUNTIFS(LdgSellerA,$F210,LdgKeyA,"&lt;"&amp;$K210)+COUNTIFS(LdgSellerB,$F210,LdgKeyB,"&lt;"&amp;$K210)+1)</f>
        <v/>
      </c>
      <c r="M210">
        <f>IF($L210="","",$F210&amp;"|"&amp;RIGHT("000000"&amp;$L210,6))</f>
        <v/>
      </c>
      <c r="N210">
        <f>IF($F210="","",IF(Sync!$AF210="","0000",IF(AND(ISNUMBER(Sync!$AF210),Sync!$AF210&gt;=0,Sync!$AF210&lt;1),RIGHT("00"&amp;HOUR(Sync!$AF210),2)&amp;RIGHT("00"&amp;MINUTE(Sync!$AF210),2),IFERROR(RIGHT("00"&amp;VALUE(LEFT(Sync!$AF210,FIND(":",Sync!$AF210)-1)),2)&amp;RIGHT("00"&amp;VALUE(MID(Sync!$AF210,FIND(":",Sync!$AF210)+1,2)),2),"0000"))))</f>
        <v/>
      </c>
    </row>
    <row r="211">
      <c r="A211">
        <f>IF(OR(Calc!$E215="",Calc!$E215="نامعتبر",Calc!$G215=""),"",Calc!$G215)</f>
        <v/>
      </c>
      <c r="B211">
        <f>IF($A211="","",LEFT(Calc!$E215,4)&amp;MID(Calc!$E215,6,2)&amp;RIGHT(Calc!$E215,2)&amp;Calc!$Q215&amp;"|"&amp;"1"&amp;RIGHT("00000"&amp;206,5))</f>
        <v/>
      </c>
      <c r="C211">
        <f>IF($B211="","",COUNTIFS(LdgSellerA,$A211,LdgKeyA,"&lt;"&amp;$B211)+COUNTIFS(LdgSellerB,$A211,LdgKeyB,"&lt;"&amp;$B211)+1)</f>
        <v/>
      </c>
      <c r="D211">
        <f>IF($C211="","",$A211&amp;"|"&amp;RIGHT("000000"&amp;$C211,6))</f>
        <v/>
      </c>
      <c r="F211">
        <f>IF(Sync!$AH211="","",IF(LEFT(UPPER(TRIM(Sync!$AH211)),2)="SL",UPPER(TRIM(Sync!$AH211)),""))</f>
        <v/>
      </c>
      <c r="G211">
        <f>IF($F211="","",IF(Sync!$AE211="","",IF(ISNUMBER(Sync!$AE211),IF(AND(Sync!$AE211&gt;=10000101,Sync!$AE211&lt;=99991231),INT(Sync!$AE211/10000),""),IFERROR(VALUE(TRIM(LEFT(Sync!$AE211,FIND("/",Sync!$AE211)-1))),""))))</f>
        <v/>
      </c>
      <c r="H211">
        <f>IF(OR($F211="",$G211=""),"",IF(ISNUMBER(Sync!$AE211),INT(MOD(Sync!$AE211,10000)/100),IFERROR(VALUE(TRIM(LEFT(MID(Sync!$AE211,FIND("/",Sync!$AE211)+1,20),FIND("/",MID(Sync!$AE211,FIND("/",Sync!$AE211)+1,20))-1))),"")))</f>
        <v/>
      </c>
      <c r="I211">
        <f>IF(OR($F211="",$G211=""),"",IF(ISNUMBER(Sync!$AE211),MOD(Sync!$AE211,100),IFERROR(VALUE(TRIM(MID(MID(Sync!$AE211,FIND("/",Sync!$AE211)+1,20),FIND("/",MID(Sync!$AE211,FIND("/",Sync!$AE211)+1,20))+1,20))),"")))</f>
        <v/>
      </c>
      <c r="J211">
        <f>IF($F211="","",IF(OR($G211="",$H211="",$I211="",$G211&lt;1300,$G211&gt;1500,$H211&lt;1,$H211&gt;12,$I211&lt;1,$I211&gt;31),"نامعتبر",RIGHT("0000"&amp;$G211,4)&amp;"/"&amp;RIGHT("00"&amp;$H211,2)&amp;"/"&amp;RIGHT("00"&amp;$I211,2)))</f>
        <v/>
      </c>
      <c r="K211">
        <f>IF(OR($F211="",$J211="",$J211="نامعتبر"),"",LEFT($J211,4)&amp;MID($J211,6,2)&amp;RIGHT($J211,2)&amp;$N211&amp;"|"&amp;"2"&amp;RIGHT("00000"&amp;206,5))</f>
        <v/>
      </c>
      <c r="L211">
        <f>IF($K211="","",COUNTIFS(LdgSellerA,$F211,LdgKeyA,"&lt;"&amp;$K211)+COUNTIFS(LdgSellerB,$F211,LdgKeyB,"&lt;"&amp;$K211)+1)</f>
        <v/>
      </c>
      <c r="M211">
        <f>IF($L211="","",$F211&amp;"|"&amp;RIGHT("000000"&amp;$L211,6))</f>
        <v/>
      </c>
      <c r="N211">
        <f>IF($F211="","",IF(Sync!$AF211="","0000",IF(AND(ISNUMBER(Sync!$AF211),Sync!$AF211&gt;=0,Sync!$AF211&lt;1),RIGHT("00"&amp;HOUR(Sync!$AF211),2)&amp;RIGHT("00"&amp;MINUTE(Sync!$AF211),2),IFERROR(RIGHT("00"&amp;VALUE(LEFT(Sync!$AF211,FIND(":",Sync!$AF211)-1)),2)&amp;RIGHT("00"&amp;VALUE(MID(Sync!$AF211,FIND(":",Sync!$AF211)+1,2)),2),"0000"))))</f>
        <v/>
      </c>
    </row>
    <row r="212">
      <c r="A212">
        <f>IF(OR(Calc!$E216="",Calc!$E216="نامعتبر",Calc!$G216=""),"",Calc!$G216)</f>
        <v/>
      </c>
      <c r="B212">
        <f>IF($A212="","",LEFT(Calc!$E216,4)&amp;MID(Calc!$E216,6,2)&amp;RIGHT(Calc!$E216,2)&amp;Calc!$Q216&amp;"|"&amp;"1"&amp;RIGHT("00000"&amp;207,5))</f>
        <v/>
      </c>
      <c r="C212">
        <f>IF($B212="","",COUNTIFS(LdgSellerA,$A212,LdgKeyA,"&lt;"&amp;$B212)+COUNTIFS(LdgSellerB,$A212,LdgKeyB,"&lt;"&amp;$B212)+1)</f>
        <v/>
      </c>
      <c r="D212">
        <f>IF($C212="","",$A212&amp;"|"&amp;RIGHT("000000"&amp;$C212,6))</f>
        <v/>
      </c>
      <c r="F212">
        <f>IF(Sync!$AH212="","",IF(LEFT(UPPER(TRIM(Sync!$AH212)),2)="SL",UPPER(TRIM(Sync!$AH212)),""))</f>
        <v/>
      </c>
      <c r="G212">
        <f>IF($F212="","",IF(Sync!$AE212="","",IF(ISNUMBER(Sync!$AE212),IF(AND(Sync!$AE212&gt;=10000101,Sync!$AE212&lt;=99991231),INT(Sync!$AE212/10000),""),IFERROR(VALUE(TRIM(LEFT(Sync!$AE212,FIND("/",Sync!$AE212)-1))),""))))</f>
        <v/>
      </c>
      <c r="H212">
        <f>IF(OR($F212="",$G212=""),"",IF(ISNUMBER(Sync!$AE212),INT(MOD(Sync!$AE212,10000)/100),IFERROR(VALUE(TRIM(LEFT(MID(Sync!$AE212,FIND("/",Sync!$AE212)+1,20),FIND("/",MID(Sync!$AE212,FIND("/",Sync!$AE212)+1,20))-1))),"")))</f>
        <v/>
      </c>
      <c r="I212">
        <f>IF(OR($F212="",$G212=""),"",IF(ISNUMBER(Sync!$AE212),MOD(Sync!$AE212,100),IFERROR(VALUE(TRIM(MID(MID(Sync!$AE212,FIND("/",Sync!$AE212)+1,20),FIND("/",MID(Sync!$AE212,FIND("/",Sync!$AE212)+1,20))+1,20))),"")))</f>
        <v/>
      </c>
      <c r="J212">
        <f>IF($F212="","",IF(OR($G212="",$H212="",$I212="",$G212&lt;1300,$G212&gt;1500,$H212&lt;1,$H212&gt;12,$I212&lt;1,$I212&gt;31),"نامعتبر",RIGHT("0000"&amp;$G212,4)&amp;"/"&amp;RIGHT("00"&amp;$H212,2)&amp;"/"&amp;RIGHT("00"&amp;$I212,2)))</f>
        <v/>
      </c>
      <c r="K212">
        <f>IF(OR($F212="",$J212="",$J212="نامعتبر"),"",LEFT($J212,4)&amp;MID($J212,6,2)&amp;RIGHT($J212,2)&amp;$N212&amp;"|"&amp;"2"&amp;RIGHT("00000"&amp;207,5))</f>
        <v/>
      </c>
      <c r="L212">
        <f>IF($K212="","",COUNTIFS(LdgSellerA,$F212,LdgKeyA,"&lt;"&amp;$K212)+COUNTIFS(LdgSellerB,$F212,LdgKeyB,"&lt;"&amp;$K212)+1)</f>
        <v/>
      </c>
      <c r="M212">
        <f>IF($L212="","",$F212&amp;"|"&amp;RIGHT("000000"&amp;$L212,6))</f>
        <v/>
      </c>
      <c r="N212">
        <f>IF($F212="","",IF(Sync!$AF212="","0000",IF(AND(ISNUMBER(Sync!$AF212),Sync!$AF212&gt;=0,Sync!$AF212&lt;1),RIGHT("00"&amp;HOUR(Sync!$AF212),2)&amp;RIGHT("00"&amp;MINUTE(Sync!$AF212),2),IFERROR(RIGHT("00"&amp;VALUE(LEFT(Sync!$AF212,FIND(":",Sync!$AF212)-1)),2)&amp;RIGHT("00"&amp;VALUE(MID(Sync!$AF212,FIND(":",Sync!$AF212)+1,2)),2),"0000"))))</f>
        <v/>
      </c>
    </row>
    <row r="213">
      <c r="A213">
        <f>IF(OR(Calc!$E217="",Calc!$E217="نامعتبر",Calc!$G217=""),"",Calc!$G217)</f>
        <v/>
      </c>
      <c r="B213">
        <f>IF($A213="","",LEFT(Calc!$E217,4)&amp;MID(Calc!$E217,6,2)&amp;RIGHT(Calc!$E217,2)&amp;Calc!$Q217&amp;"|"&amp;"1"&amp;RIGHT("00000"&amp;208,5))</f>
        <v/>
      </c>
      <c r="C213">
        <f>IF($B213="","",COUNTIFS(LdgSellerA,$A213,LdgKeyA,"&lt;"&amp;$B213)+COUNTIFS(LdgSellerB,$A213,LdgKeyB,"&lt;"&amp;$B213)+1)</f>
        <v/>
      </c>
      <c r="D213">
        <f>IF($C213="","",$A213&amp;"|"&amp;RIGHT("000000"&amp;$C213,6))</f>
        <v/>
      </c>
      <c r="F213">
        <f>IF(Sync!$AH213="","",IF(LEFT(UPPER(TRIM(Sync!$AH213)),2)="SL",UPPER(TRIM(Sync!$AH213)),""))</f>
        <v/>
      </c>
      <c r="G213">
        <f>IF($F213="","",IF(Sync!$AE213="","",IF(ISNUMBER(Sync!$AE213),IF(AND(Sync!$AE213&gt;=10000101,Sync!$AE213&lt;=99991231),INT(Sync!$AE213/10000),""),IFERROR(VALUE(TRIM(LEFT(Sync!$AE213,FIND("/",Sync!$AE213)-1))),""))))</f>
        <v/>
      </c>
      <c r="H213">
        <f>IF(OR($F213="",$G213=""),"",IF(ISNUMBER(Sync!$AE213),INT(MOD(Sync!$AE213,10000)/100),IFERROR(VALUE(TRIM(LEFT(MID(Sync!$AE213,FIND("/",Sync!$AE213)+1,20),FIND("/",MID(Sync!$AE213,FIND("/",Sync!$AE213)+1,20))-1))),"")))</f>
        <v/>
      </c>
      <c r="I213">
        <f>IF(OR($F213="",$G213=""),"",IF(ISNUMBER(Sync!$AE213),MOD(Sync!$AE213,100),IFERROR(VALUE(TRIM(MID(MID(Sync!$AE213,FIND("/",Sync!$AE213)+1,20),FIND("/",MID(Sync!$AE213,FIND("/",Sync!$AE213)+1,20))+1,20))),"")))</f>
        <v/>
      </c>
      <c r="J213">
        <f>IF($F213="","",IF(OR($G213="",$H213="",$I213="",$G213&lt;1300,$G213&gt;1500,$H213&lt;1,$H213&gt;12,$I213&lt;1,$I213&gt;31),"نامعتبر",RIGHT("0000"&amp;$G213,4)&amp;"/"&amp;RIGHT("00"&amp;$H213,2)&amp;"/"&amp;RIGHT("00"&amp;$I213,2)))</f>
        <v/>
      </c>
      <c r="K213">
        <f>IF(OR($F213="",$J213="",$J213="نامعتبر"),"",LEFT($J213,4)&amp;MID($J213,6,2)&amp;RIGHT($J213,2)&amp;$N213&amp;"|"&amp;"2"&amp;RIGHT("00000"&amp;208,5))</f>
        <v/>
      </c>
      <c r="L213">
        <f>IF($K213="","",COUNTIFS(LdgSellerA,$F213,LdgKeyA,"&lt;"&amp;$K213)+COUNTIFS(LdgSellerB,$F213,LdgKeyB,"&lt;"&amp;$K213)+1)</f>
        <v/>
      </c>
      <c r="M213">
        <f>IF($L213="","",$F213&amp;"|"&amp;RIGHT("000000"&amp;$L213,6))</f>
        <v/>
      </c>
      <c r="N213">
        <f>IF($F213="","",IF(Sync!$AF213="","0000",IF(AND(ISNUMBER(Sync!$AF213),Sync!$AF213&gt;=0,Sync!$AF213&lt;1),RIGHT("00"&amp;HOUR(Sync!$AF213),2)&amp;RIGHT("00"&amp;MINUTE(Sync!$AF213),2),IFERROR(RIGHT("00"&amp;VALUE(LEFT(Sync!$AF213,FIND(":",Sync!$AF213)-1)),2)&amp;RIGHT("00"&amp;VALUE(MID(Sync!$AF213,FIND(":",Sync!$AF213)+1,2)),2),"0000"))))</f>
        <v/>
      </c>
    </row>
    <row r="214">
      <c r="A214">
        <f>IF(OR(Calc!$E218="",Calc!$E218="نامعتبر",Calc!$G218=""),"",Calc!$G218)</f>
        <v/>
      </c>
      <c r="B214">
        <f>IF($A214="","",LEFT(Calc!$E218,4)&amp;MID(Calc!$E218,6,2)&amp;RIGHT(Calc!$E218,2)&amp;Calc!$Q218&amp;"|"&amp;"1"&amp;RIGHT("00000"&amp;209,5))</f>
        <v/>
      </c>
      <c r="C214">
        <f>IF($B214="","",COUNTIFS(LdgSellerA,$A214,LdgKeyA,"&lt;"&amp;$B214)+COUNTIFS(LdgSellerB,$A214,LdgKeyB,"&lt;"&amp;$B214)+1)</f>
        <v/>
      </c>
      <c r="D214">
        <f>IF($C214="","",$A214&amp;"|"&amp;RIGHT("000000"&amp;$C214,6))</f>
        <v/>
      </c>
      <c r="F214">
        <f>IF(Sync!$AH214="","",IF(LEFT(UPPER(TRIM(Sync!$AH214)),2)="SL",UPPER(TRIM(Sync!$AH214)),""))</f>
        <v/>
      </c>
      <c r="G214">
        <f>IF($F214="","",IF(Sync!$AE214="","",IF(ISNUMBER(Sync!$AE214),IF(AND(Sync!$AE214&gt;=10000101,Sync!$AE214&lt;=99991231),INT(Sync!$AE214/10000),""),IFERROR(VALUE(TRIM(LEFT(Sync!$AE214,FIND("/",Sync!$AE214)-1))),""))))</f>
        <v/>
      </c>
      <c r="H214">
        <f>IF(OR($F214="",$G214=""),"",IF(ISNUMBER(Sync!$AE214),INT(MOD(Sync!$AE214,10000)/100),IFERROR(VALUE(TRIM(LEFT(MID(Sync!$AE214,FIND("/",Sync!$AE214)+1,20),FIND("/",MID(Sync!$AE214,FIND("/",Sync!$AE214)+1,20))-1))),"")))</f>
        <v/>
      </c>
      <c r="I214">
        <f>IF(OR($F214="",$G214=""),"",IF(ISNUMBER(Sync!$AE214),MOD(Sync!$AE214,100),IFERROR(VALUE(TRIM(MID(MID(Sync!$AE214,FIND("/",Sync!$AE214)+1,20),FIND("/",MID(Sync!$AE214,FIND("/",Sync!$AE214)+1,20))+1,20))),"")))</f>
        <v/>
      </c>
      <c r="J214">
        <f>IF($F214="","",IF(OR($G214="",$H214="",$I214="",$G214&lt;1300,$G214&gt;1500,$H214&lt;1,$H214&gt;12,$I214&lt;1,$I214&gt;31),"نامعتبر",RIGHT("0000"&amp;$G214,4)&amp;"/"&amp;RIGHT("00"&amp;$H214,2)&amp;"/"&amp;RIGHT("00"&amp;$I214,2)))</f>
        <v/>
      </c>
      <c r="K214">
        <f>IF(OR($F214="",$J214="",$J214="نامعتبر"),"",LEFT($J214,4)&amp;MID($J214,6,2)&amp;RIGHT($J214,2)&amp;$N214&amp;"|"&amp;"2"&amp;RIGHT("00000"&amp;209,5))</f>
        <v/>
      </c>
      <c r="L214">
        <f>IF($K214="","",COUNTIFS(LdgSellerA,$F214,LdgKeyA,"&lt;"&amp;$K214)+COUNTIFS(LdgSellerB,$F214,LdgKeyB,"&lt;"&amp;$K214)+1)</f>
        <v/>
      </c>
      <c r="M214">
        <f>IF($L214="","",$F214&amp;"|"&amp;RIGHT("000000"&amp;$L214,6))</f>
        <v/>
      </c>
      <c r="N214">
        <f>IF($F214="","",IF(Sync!$AF214="","0000",IF(AND(ISNUMBER(Sync!$AF214),Sync!$AF214&gt;=0,Sync!$AF214&lt;1),RIGHT("00"&amp;HOUR(Sync!$AF214),2)&amp;RIGHT("00"&amp;MINUTE(Sync!$AF214),2),IFERROR(RIGHT("00"&amp;VALUE(LEFT(Sync!$AF214,FIND(":",Sync!$AF214)-1)),2)&amp;RIGHT("00"&amp;VALUE(MID(Sync!$AF214,FIND(":",Sync!$AF214)+1,2)),2),"0000"))))</f>
        <v/>
      </c>
    </row>
    <row r="215">
      <c r="A215">
        <f>IF(OR(Calc!$E219="",Calc!$E219="نامعتبر",Calc!$G219=""),"",Calc!$G219)</f>
        <v/>
      </c>
      <c r="B215">
        <f>IF($A215="","",LEFT(Calc!$E219,4)&amp;MID(Calc!$E219,6,2)&amp;RIGHT(Calc!$E219,2)&amp;Calc!$Q219&amp;"|"&amp;"1"&amp;RIGHT("00000"&amp;210,5))</f>
        <v/>
      </c>
      <c r="C215">
        <f>IF($B215="","",COUNTIFS(LdgSellerA,$A215,LdgKeyA,"&lt;"&amp;$B215)+COUNTIFS(LdgSellerB,$A215,LdgKeyB,"&lt;"&amp;$B215)+1)</f>
        <v/>
      </c>
      <c r="D215">
        <f>IF($C215="","",$A215&amp;"|"&amp;RIGHT("000000"&amp;$C215,6))</f>
        <v/>
      </c>
      <c r="F215">
        <f>IF(Sync!$AH215="","",IF(LEFT(UPPER(TRIM(Sync!$AH215)),2)="SL",UPPER(TRIM(Sync!$AH215)),""))</f>
        <v/>
      </c>
      <c r="G215">
        <f>IF($F215="","",IF(Sync!$AE215="","",IF(ISNUMBER(Sync!$AE215),IF(AND(Sync!$AE215&gt;=10000101,Sync!$AE215&lt;=99991231),INT(Sync!$AE215/10000),""),IFERROR(VALUE(TRIM(LEFT(Sync!$AE215,FIND("/",Sync!$AE215)-1))),""))))</f>
        <v/>
      </c>
      <c r="H215">
        <f>IF(OR($F215="",$G215=""),"",IF(ISNUMBER(Sync!$AE215),INT(MOD(Sync!$AE215,10000)/100),IFERROR(VALUE(TRIM(LEFT(MID(Sync!$AE215,FIND("/",Sync!$AE215)+1,20),FIND("/",MID(Sync!$AE215,FIND("/",Sync!$AE215)+1,20))-1))),"")))</f>
        <v/>
      </c>
      <c r="I215">
        <f>IF(OR($F215="",$G215=""),"",IF(ISNUMBER(Sync!$AE215),MOD(Sync!$AE215,100),IFERROR(VALUE(TRIM(MID(MID(Sync!$AE215,FIND("/",Sync!$AE215)+1,20),FIND("/",MID(Sync!$AE215,FIND("/",Sync!$AE215)+1,20))+1,20))),"")))</f>
        <v/>
      </c>
      <c r="J215">
        <f>IF($F215="","",IF(OR($G215="",$H215="",$I215="",$G215&lt;1300,$G215&gt;1500,$H215&lt;1,$H215&gt;12,$I215&lt;1,$I215&gt;31),"نامعتبر",RIGHT("0000"&amp;$G215,4)&amp;"/"&amp;RIGHT("00"&amp;$H215,2)&amp;"/"&amp;RIGHT("00"&amp;$I215,2)))</f>
        <v/>
      </c>
      <c r="K215">
        <f>IF(OR($F215="",$J215="",$J215="نامعتبر"),"",LEFT($J215,4)&amp;MID($J215,6,2)&amp;RIGHT($J215,2)&amp;$N215&amp;"|"&amp;"2"&amp;RIGHT("00000"&amp;210,5))</f>
        <v/>
      </c>
      <c r="L215">
        <f>IF($K215="","",COUNTIFS(LdgSellerA,$F215,LdgKeyA,"&lt;"&amp;$K215)+COUNTIFS(LdgSellerB,$F215,LdgKeyB,"&lt;"&amp;$K215)+1)</f>
        <v/>
      </c>
      <c r="M215">
        <f>IF($L215="","",$F215&amp;"|"&amp;RIGHT("000000"&amp;$L215,6))</f>
        <v/>
      </c>
      <c r="N215">
        <f>IF($F215="","",IF(Sync!$AF215="","0000",IF(AND(ISNUMBER(Sync!$AF215),Sync!$AF215&gt;=0,Sync!$AF215&lt;1),RIGHT("00"&amp;HOUR(Sync!$AF215),2)&amp;RIGHT("00"&amp;MINUTE(Sync!$AF215),2),IFERROR(RIGHT("00"&amp;VALUE(LEFT(Sync!$AF215,FIND(":",Sync!$AF215)-1)),2)&amp;RIGHT("00"&amp;VALUE(MID(Sync!$AF215,FIND(":",Sync!$AF215)+1,2)),2),"0000"))))</f>
        <v/>
      </c>
    </row>
    <row r="216">
      <c r="A216">
        <f>IF(OR(Calc!$E220="",Calc!$E220="نامعتبر",Calc!$G220=""),"",Calc!$G220)</f>
        <v/>
      </c>
      <c r="B216">
        <f>IF($A216="","",LEFT(Calc!$E220,4)&amp;MID(Calc!$E220,6,2)&amp;RIGHT(Calc!$E220,2)&amp;Calc!$Q220&amp;"|"&amp;"1"&amp;RIGHT("00000"&amp;211,5))</f>
        <v/>
      </c>
      <c r="C216">
        <f>IF($B216="","",COUNTIFS(LdgSellerA,$A216,LdgKeyA,"&lt;"&amp;$B216)+COUNTIFS(LdgSellerB,$A216,LdgKeyB,"&lt;"&amp;$B216)+1)</f>
        <v/>
      </c>
      <c r="D216">
        <f>IF($C216="","",$A216&amp;"|"&amp;RIGHT("000000"&amp;$C216,6))</f>
        <v/>
      </c>
      <c r="F216">
        <f>IF(Sync!$AH216="","",IF(LEFT(UPPER(TRIM(Sync!$AH216)),2)="SL",UPPER(TRIM(Sync!$AH216)),""))</f>
        <v/>
      </c>
      <c r="G216">
        <f>IF($F216="","",IF(Sync!$AE216="","",IF(ISNUMBER(Sync!$AE216),IF(AND(Sync!$AE216&gt;=10000101,Sync!$AE216&lt;=99991231),INT(Sync!$AE216/10000),""),IFERROR(VALUE(TRIM(LEFT(Sync!$AE216,FIND("/",Sync!$AE216)-1))),""))))</f>
        <v/>
      </c>
      <c r="H216">
        <f>IF(OR($F216="",$G216=""),"",IF(ISNUMBER(Sync!$AE216),INT(MOD(Sync!$AE216,10000)/100),IFERROR(VALUE(TRIM(LEFT(MID(Sync!$AE216,FIND("/",Sync!$AE216)+1,20),FIND("/",MID(Sync!$AE216,FIND("/",Sync!$AE216)+1,20))-1))),"")))</f>
        <v/>
      </c>
      <c r="I216">
        <f>IF(OR($F216="",$G216=""),"",IF(ISNUMBER(Sync!$AE216),MOD(Sync!$AE216,100),IFERROR(VALUE(TRIM(MID(MID(Sync!$AE216,FIND("/",Sync!$AE216)+1,20),FIND("/",MID(Sync!$AE216,FIND("/",Sync!$AE216)+1,20))+1,20))),"")))</f>
        <v/>
      </c>
      <c r="J216">
        <f>IF($F216="","",IF(OR($G216="",$H216="",$I216="",$G216&lt;1300,$G216&gt;1500,$H216&lt;1,$H216&gt;12,$I216&lt;1,$I216&gt;31),"نامعتبر",RIGHT("0000"&amp;$G216,4)&amp;"/"&amp;RIGHT("00"&amp;$H216,2)&amp;"/"&amp;RIGHT("00"&amp;$I216,2)))</f>
        <v/>
      </c>
      <c r="K216">
        <f>IF(OR($F216="",$J216="",$J216="نامعتبر"),"",LEFT($J216,4)&amp;MID($J216,6,2)&amp;RIGHT($J216,2)&amp;$N216&amp;"|"&amp;"2"&amp;RIGHT("00000"&amp;211,5))</f>
        <v/>
      </c>
      <c r="L216">
        <f>IF($K216="","",COUNTIFS(LdgSellerA,$F216,LdgKeyA,"&lt;"&amp;$K216)+COUNTIFS(LdgSellerB,$F216,LdgKeyB,"&lt;"&amp;$K216)+1)</f>
        <v/>
      </c>
      <c r="M216">
        <f>IF($L216="","",$F216&amp;"|"&amp;RIGHT("000000"&amp;$L216,6))</f>
        <v/>
      </c>
      <c r="N216">
        <f>IF($F216="","",IF(Sync!$AF216="","0000",IF(AND(ISNUMBER(Sync!$AF216),Sync!$AF216&gt;=0,Sync!$AF216&lt;1),RIGHT("00"&amp;HOUR(Sync!$AF216),2)&amp;RIGHT("00"&amp;MINUTE(Sync!$AF216),2),IFERROR(RIGHT("00"&amp;VALUE(LEFT(Sync!$AF216,FIND(":",Sync!$AF216)-1)),2)&amp;RIGHT("00"&amp;VALUE(MID(Sync!$AF216,FIND(":",Sync!$AF216)+1,2)),2),"0000"))))</f>
        <v/>
      </c>
    </row>
    <row r="217">
      <c r="A217">
        <f>IF(OR(Calc!$E221="",Calc!$E221="نامعتبر",Calc!$G221=""),"",Calc!$G221)</f>
        <v/>
      </c>
      <c r="B217">
        <f>IF($A217="","",LEFT(Calc!$E221,4)&amp;MID(Calc!$E221,6,2)&amp;RIGHT(Calc!$E221,2)&amp;Calc!$Q221&amp;"|"&amp;"1"&amp;RIGHT("00000"&amp;212,5))</f>
        <v/>
      </c>
      <c r="C217">
        <f>IF($B217="","",COUNTIFS(LdgSellerA,$A217,LdgKeyA,"&lt;"&amp;$B217)+COUNTIFS(LdgSellerB,$A217,LdgKeyB,"&lt;"&amp;$B217)+1)</f>
        <v/>
      </c>
      <c r="D217">
        <f>IF($C217="","",$A217&amp;"|"&amp;RIGHT("000000"&amp;$C217,6))</f>
        <v/>
      </c>
      <c r="F217">
        <f>IF(Sync!$AH217="","",IF(LEFT(UPPER(TRIM(Sync!$AH217)),2)="SL",UPPER(TRIM(Sync!$AH217)),""))</f>
        <v/>
      </c>
      <c r="G217">
        <f>IF($F217="","",IF(Sync!$AE217="","",IF(ISNUMBER(Sync!$AE217),IF(AND(Sync!$AE217&gt;=10000101,Sync!$AE217&lt;=99991231),INT(Sync!$AE217/10000),""),IFERROR(VALUE(TRIM(LEFT(Sync!$AE217,FIND("/",Sync!$AE217)-1))),""))))</f>
        <v/>
      </c>
      <c r="H217">
        <f>IF(OR($F217="",$G217=""),"",IF(ISNUMBER(Sync!$AE217),INT(MOD(Sync!$AE217,10000)/100),IFERROR(VALUE(TRIM(LEFT(MID(Sync!$AE217,FIND("/",Sync!$AE217)+1,20),FIND("/",MID(Sync!$AE217,FIND("/",Sync!$AE217)+1,20))-1))),"")))</f>
        <v/>
      </c>
      <c r="I217">
        <f>IF(OR($F217="",$G217=""),"",IF(ISNUMBER(Sync!$AE217),MOD(Sync!$AE217,100),IFERROR(VALUE(TRIM(MID(MID(Sync!$AE217,FIND("/",Sync!$AE217)+1,20),FIND("/",MID(Sync!$AE217,FIND("/",Sync!$AE217)+1,20))+1,20))),"")))</f>
        <v/>
      </c>
      <c r="J217">
        <f>IF($F217="","",IF(OR($G217="",$H217="",$I217="",$G217&lt;1300,$G217&gt;1500,$H217&lt;1,$H217&gt;12,$I217&lt;1,$I217&gt;31),"نامعتبر",RIGHT("0000"&amp;$G217,4)&amp;"/"&amp;RIGHT("00"&amp;$H217,2)&amp;"/"&amp;RIGHT("00"&amp;$I217,2)))</f>
        <v/>
      </c>
      <c r="K217">
        <f>IF(OR($F217="",$J217="",$J217="نامعتبر"),"",LEFT($J217,4)&amp;MID($J217,6,2)&amp;RIGHT($J217,2)&amp;$N217&amp;"|"&amp;"2"&amp;RIGHT("00000"&amp;212,5))</f>
        <v/>
      </c>
      <c r="L217">
        <f>IF($K217="","",COUNTIFS(LdgSellerA,$F217,LdgKeyA,"&lt;"&amp;$K217)+COUNTIFS(LdgSellerB,$F217,LdgKeyB,"&lt;"&amp;$K217)+1)</f>
        <v/>
      </c>
      <c r="M217">
        <f>IF($L217="","",$F217&amp;"|"&amp;RIGHT("000000"&amp;$L217,6))</f>
        <v/>
      </c>
      <c r="N217">
        <f>IF($F217="","",IF(Sync!$AF217="","0000",IF(AND(ISNUMBER(Sync!$AF217),Sync!$AF217&gt;=0,Sync!$AF217&lt;1),RIGHT("00"&amp;HOUR(Sync!$AF217),2)&amp;RIGHT("00"&amp;MINUTE(Sync!$AF217),2),IFERROR(RIGHT("00"&amp;VALUE(LEFT(Sync!$AF217,FIND(":",Sync!$AF217)-1)),2)&amp;RIGHT("00"&amp;VALUE(MID(Sync!$AF217,FIND(":",Sync!$AF217)+1,2)),2),"0000"))))</f>
        <v/>
      </c>
    </row>
    <row r="218">
      <c r="A218">
        <f>IF(OR(Calc!$E222="",Calc!$E222="نامعتبر",Calc!$G222=""),"",Calc!$G222)</f>
        <v/>
      </c>
      <c r="B218">
        <f>IF($A218="","",LEFT(Calc!$E222,4)&amp;MID(Calc!$E222,6,2)&amp;RIGHT(Calc!$E222,2)&amp;Calc!$Q222&amp;"|"&amp;"1"&amp;RIGHT("00000"&amp;213,5))</f>
        <v/>
      </c>
      <c r="C218">
        <f>IF($B218="","",COUNTIFS(LdgSellerA,$A218,LdgKeyA,"&lt;"&amp;$B218)+COUNTIFS(LdgSellerB,$A218,LdgKeyB,"&lt;"&amp;$B218)+1)</f>
        <v/>
      </c>
      <c r="D218">
        <f>IF($C218="","",$A218&amp;"|"&amp;RIGHT("000000"&amp;$C218,6))</f>
        <v/>
      </c>
      <c r="F218">
        <f>IF(Sync!$AH218="","",IF(LEFT(UPPER(TRIM(Sync!$AH218)),2)="SL",UPPER(TRIM(Sync!$AH218)),""))</f>
        <v/>
      </c>
      <c r="G218">
        <f>IF($F218="","",IF(Sync!$AE218="","",IF(ISNUMBER(Sync!$AE218),IF(AND(Sync!$AE218&gt;=10000101,Sync!$AE218&lt;=99991231),INT(Sync!$AE218/10000),""),IFERROR(VALUE(TRIM(LEFT(Sync!$AE218,FIND("/",Sync!$AE218)-1))),""))))</f>
        <v/>
      </c>
      <c r="H218">
        <f>IF(OR($F218="",$G218=""),"",IF(ISNUMBER(Sync!$AE218),INT(MOD(Sync!$AE218,10000)/100),IFERROR(VALUE(TRIM(LEFT(MID(Sync!$AE218,FIND("/",Sync!$AE218)+1,20),FIND("/",MID(Sync!$AE218,FIND("/",Sync!$AE218)+1,20))-1))),"")))</f>
        <v/>
      </c>
      <c r="I218">
        <f>IF(OR($F218="",$G218=""),"",IF(ISNUMBER(Sync!$AE218),MOD(Sync!$AE218,100),IFERROR(VALUE(TRIM(MID(MID(Sync!$AE218,FIND("/",Sync!$AE218)+1,20),FIND("/",MID(Sync!$AE218,FIND("/",Sync!$AE218)+1,20))+1,20))),"")))</f>
        <v/>
      </c>
      <c r="J218">
        <f>IF($F218="","",IF(OR($G218="",$H218="",$I218="",$G218&lt;1300,$G218&gt;1500,$H218&lt;1,$H218&gt;12,$I218&lt;1,$I218&gt;31),"نامعتبر",RIGHT("0000"&amp;$G218,4)&amp;"/"&amp;RIGHT("00"&amp;$H218,2)&amp;"/"&amp;RIGHT("00"&amp;$I218,2)))</f>
        <v/>
      </c>
      <c r="K218">
        <f>IF(OR($F218="",$J218="",$J218="نامعتبر"),"",LEFT($J218,4)&amp;MID($J218,6,2)&amp;RIGHT($J218,2)&amp;$N218&amp;"|"&amp;"2"&amp;RIGHT("00000"&amp;213,5))</f>
        <v/>
      </c>
      <c r="L218">
        <f>IF($K218="","",COUNTIFS(LdgSellerA,$F218,LdgKeyA,"&lt;"&amp;$K218)+COUNTIFS(LdgSellerB,$F218,LdgKeyB,"&lt;"&amp;$K218)+1)</f>
        <v/>
      </c>
      <c r="M218">
        <f>IF($L218="","",$F218&amp;"|"&amp;RIGHT("000000"&amp;$L218,6))</f>
        <v/>
      </c>
      <c r="N218">
        <f>IF($F218="","",IF(Sync!$AF218="","0000",IF(AND(ISNUMBER(Sync!$AF218),Sync!$AF218&gt;=0,Sync!$AF218&lt;1),RIGHT("00"&amp;HOUR(Sync!$AF218),2)&amp;RIGHT("00"&amp;MINUTE(Sync!$AF218),2),IFERROR(RIGHT("00"&amp;VALUE(LEFT(Sync!$AF218,FIND(":",Sync!$AF218)-1)),2)&amp;RIGHT("00"&amp;VALUE(MID(Sync!$AF218,FIND(":",Sync!$AF218)+1,2)),2),"0000"))))</f>
        <v/>
      </c>
    </row>
    <row r="219">
      <c r="A219">
        <f>IF(OR(Calc!$E223="",Calc!$E223="نامعتبر",Calc!$G223=""),"",Calc!$G223)</f>
        <v/>
      </c>
      <c r="B219">
        <f>IF($A219="","",LEFT(Calc!$E223,4)&amp;MID(Calc!$E223,6,2)&amp;RIGHT(Calc!$E223,2)&amp;Calc!$Q223&amp;"|"&amp;"1"&amp;RIGHT("00000"&amp;214,5))</f>
        <v/>
      </c>
      <c r="C219">
        <f>IF($B219="","",COUNTIFS(LdgSellerA,$A219,LdgKeyA,"&lt;"&amp;$B219)+COUNTIFS(LdgSellerB,$A219,LdgKeyB,"&lt;"&amp;$B219)+1)</f>
        <v/>
      </c>
      <c r="D219">
        <f>IF($C219="","",$A219&amp;"|"&amp;RIGHT("000000"&amp;$C219,6))</f>
        <v/>
      </c>
      <c r="F219">
        <f>IF(Sync!$AH219="","",IF(LEFT(UPPER(TRIM(Sync!$AH219)),2)="SL",UPPER(TRIM(Sync!$AH219)),""))</f>
        <v/>
      </c>
      <c r="G219">
        <f>IF($F219="","",IF(Sync!$AE219="","",IF(ISNUMBER(Sync!$AE219),IF(AND(Sync!$AE219&gt;=10000101,Sync!$AE219&lt;=99991231),INT(Sync!$AE219/10000),""),IFERROR(VALUE(TRIM(LEFT(Sync!$AE219,FIND("/",Sync!$AE219)-1))),""))))</f>
        <v/>
      </c>
      <c r="H219">
        <f>IF(OR($F219="",$G219=""),"",IF(ISNUMBER(Sync!$AE219),INT(MOD(Sync!$AE219,10000)/100),IFERROR(VALUE(TRIM(LEFT(MID(Sync!$AE219,FIND("/",Sync!$AE219)+1,20),FIND("/",MID(Sync!$AE219,FIND("/",Sync!$AE219)+1,20))-1))),"")))</f>
        <v/>
      </c>
      <c r="I219">
        <f>IF(OR($F219="",$G219=""),"",IF(ISNUMBER(Sync!$AE219),MOD(Sync!$AE219,100),IFERROR(VALUE(TRIM(MID(MID(Sync!$AE219,FIND("/",Sync!$AE219)+1,20),FIND("/",MID(Sync!$AE219,FIND("/",Sync!$AE219)+1,20))+1,20))),"")))</f>
        <v/>
      </c>
      <c r="J219">
        <f>IF($F219="","",IF(OR($G219="",$H219="",$I219="",$G219&lt;1300,$G219&gt;1500,$H219&lt;1,$H219&gt;12,$I219&lt;1,$I219&gt;31),"نامعتبر",RIGHT("0000"&amp;$G219,4)&amp;"/"&amp;RIGHT("00"&amp;$H219,2)&amp;"/"&amp;RIGHT("00"&amp;$I219,2)))</f>
        <v/>
      </c>
      <c r="K219">
        <f>IF(OR($F219="",$J219="",$J219="نامعتبر"),"",LEFT($J219,4)&amp;MID($J219,6,2)&amp;RIGHT($J219,2)&amp;$N219&amp;"|"&amp;"2"&amp;RIGHT("00000"&amp;214,5))</f>
        <v/>
      </c>
      <c r="L219">
        <f>IF($K219="","",COUNTIFS(LdgSellerA,$F219,LdgKeyA,"&lt;"&amp;$K219)+COUNTIFS(LdgSellerB,$F219,LdgKeyB,"&lt;"&amp;$K219)+1)</f>
        <v/>
      </c>
      <c r="M219">
        <f>IF($L219="","",$F219&amp;"|"&amp;RIGHT("000000"&amp;$L219,6))</f>
        <v/>
      </c>
      <c r="N219">
        <f>IF($F219="","",IF(Sync!$AF219="","0000",IF(AND(ISNUMBER(Sync!$AF219),Sync!$AF219&gt;=0,Sync!$AF219&lt;1),RIGHT("00"&amp;HOUR(Sync!$AF219),2)&amp;RIGHT("00"&amp;MINUTE(Sync!$AF219),2),IFERROR(RIGHT("00"&amp;VALUE(LEFT(Sync!$AF219,FIND(":",Sync!$AF219)-1)),2)&amp;RIGHT("00"&amp;VALUE(MID(Sync!$AF219,FIND(":",Sync!$AF219)+1,2)),2),"0000"))))</f>
        <v/>
      </c>
    </row>
    <row r="220">
      <c r="A220">
        <f>IF(OR(Calc!$E224="",Calc!$E224="نامعتبر",Calc!$G224=""),"",Calc!$G224)</f>
        <v/>
      </c>
      <c r="B220">
        <f>IF($A220="","",LEFT(Calc!$E224,4)&amp;MID(Calc!$E224,6,2)&amp;RIGHT(Calc!$E224,2)&amp;Calc!$Q224&amp;"|"&amp;"1"&amp;RIGHT("00000"&amp;215,5))</f>
        <v/>
      </c>
      <c r="C220">
        <f>IF($B220="","",COUNTIFS(LdgSellerA,$A220,LdgKeyA,"&lt;"&amp;$B220)+COUNTIFS(LdgSellerB,$A220,LdgKeyB,"&lt;"&amp;$B220)+1)</f>
        <v/>
      </c>
      <c r="D220">
        <f>IF($C220="","",$A220&amp;"|"&amp;RIGHT("000000"&amp;$C220,6))</f>
        <v/>
      </c>
      <c r="F220">
        <f>IF(Sync!$AH220="","",IF(LEFT(UPPER(TRIM(Sync!$AH220)),2)="SL",UPPER(TRIM(Sync!$AH220)),""))</f>
        <v/>
      </c>
      <c r="G220">
        <f>IF($F220="","",IF(Sync!$AE220="","",IF(ISNUMBER(Sync!$AE220),IF(AND(Sync!$AE220&gt;=10000101,Sync!$AE220&lt;=99991231),INT(Sync!$AE220/10000),""),IFERROR(VALUE(TRIM(LEFT(Sync!$AE220,FIND("/",Sync!$AE220)-1))),""))))</f>
        <v/>
      </c>
      <c r="H220">
        <f>IF(OR($F220="",$G220=""),"",IF(ISNUMBER(Sync!$AE220),INT(MOD(Sync!$AE220,10000)/100),IFERROR(VALUE(TRIM(LEFT(MID(Sync!$AE220,FIND("/",Sync!$AE220)+1,20),FIND("/",MID(Sync!$AE220,FIND("/",Sync!$AE220)+1,20))-1))),"")))</f>
        <v/>
      </c>
      <c r="I220">
        <f>IF(OR($F220="",$G220=""),"",IF(ISNUMBER(Sync!$AE220),MOD(Sync!$AE220,100),IFERROR(VALUE(TRIM(MID(MID(Sync!$AE220,FIND("/",Sync!$AE220)+1,20),FIND("/",MID(Sync!$AE220,FIND("/",Sync!$AE220)+1,20))+1,20))),"")))</f>
        <v/>
      </c>
      <c r="J220">
        <f>IF($F220="","",IF(OR($G220="",$H220="",$I220="",$G220&lt;1300,$G220&gt;1500,$H220&lt;1,$H220&gt;12,$I220&lt;1,$I220&gt;31),"نامعتبر",RIGHT("0000"&amp;$G220,4)&amp;"/"&amp;RIGHT("00"&amp;$H220,2)&amp;"/"&amp;RIGHT("00"&amp;$I220,2)))</f>
        <v/>
      </c>
      <c r="K220">
        <f>IF(OR($F220="",$J220="",$J220="نامعتبر"),"",LEFT($J220,4)&amp;MID($J220,6,2)&amp;RIGHT($J220,2)&amp;$N220&amp;"|"&amp;"2"&amp;RIGHT("00000"&amp;215,5))</f>
        <v/>
      </c>
      <c r="L220">
        <f>IF($K220="","",COUNTIFS(LdgSellerA,$F220,LdgKeyA,"&lt;"&amp;$K220)+COUNTIFS(LdgSellerB,$F220,LdgKeyB,"&lt;"&amp;$K220)+1)</f>
        <v/>
      </c>
      <c r="M220">
        <f>IF($L220="","",$F220&amp;"|"&amp;RIGHT("000000"&amp;$L220,6))</f>
        <v/>
      </c>
      <c r="N220">
        <f>IF($F220="","",IF(Sync!$AF220="","0000",IF(AND(ISNUMBER(Sync!$AF220),Sync!$AF220&gt;=0,Sync!$AF220&lt;1),RIGHT("00"&amp;HOUR(Sync!$AF220),2)&amp;RIGHT("00"&amp;MINUTE(Sync!$AF220),2),IFERROR(RIGHT("00"&amp;VALUE(LEFT(Sync!$AF220,FIND(":",Sync!$AF220)-1)),2)&amp;RIGHT("00"&amp;VALUE(MID(Sync!$AF220,FIND(":",Sync!$AF220)+1,2)),2),"0000"))))</f>
        <v/>
      </c>
    </row>
    <row r="221">
      <c r="A221">
        <f>IF(OR(Calc!$E225="",Calc!$E225="نامعتبر",Calc!$G225=""),"",Calc!$G225)</f>
        <v/>
      </c>
      <c r="B221">
        <f>IF($A221="","",LEFT(Calc!$E225,4)&amp;MID(Calc!$E225,6,2)&amp;RIGHT(Calc!$E225,2)&amp;Calc!$Q225&amp;"|"&amp;"1"&amp;RIGHT("00000"&amp;216,5))</f>
        <v/>
      </c>
      <c r="C221">
        <f>IF($B221="","",COUNTIFS(LdgSellerA,$A221,LdgKeyA,"&lt;"&amp;$B221)+COUNTIFS(LdgSellerB,$A221,LdgKeyB,"&lt;"&amp;$B221)+1)</f>
        <v/>
      </c>
      <c r="D221">
        <f>IF($C221="","",$A221&amp;"|"&amp;RIGHT("000000"&amp;$C221,6))</f>
        <v/>
      </c>
      <c r="F221">
        <f>IF(Sync!$AH221="","",IF(LEFT(UPPER(TRIM(Sync!$AH221)),2)="SL",UPPER(TRIM(Sync!$AH221)),""))</f>
        <v/>
      </c>
      <c r="G221">
        <f>IF($F221="","",IF(Sync!$AE221="","",IF(ISNUMBER(Sync!$AE221),IF(AND(Sync!$AE221&gt;=10000101,Sync!$AE221&lt;=99991231),INT(Sync!$AE221/10000),""),IFERROR(VALUE(TRIM(LEFT(Sync!$AE221,FIND("/",Sync!$AE221)-1))),""))))</f>
        <v/>
      </c>
      <c r="H221">
        <f>IF(OR($F221="",$G221=""),"",IF(ISNUMBER(Sync!$AE221),INT(MOD(Sync!$AE221,10000)/100),IFERROR(VALUE(TRIM(LEFT(MID(Sync!$AE221,FIND("/",Sync!$AE221)+1,20),FIND("/",MID(Sync!$AE221,FIND("/",Sync!$AE221)+1,20))-1))),"")))</f>
        <v/>
      </c>
      <c r="I221">
        <f>IF(OR($F221="",$G221=""),"",IF(ISNUMBER(Sync!$AE221),MOD(Sync!$AE221,100),IFERROR(VALUE(TRIM(MID(MID(Sync!$AE221,FIND("/",Sync!$AE221)+1,20),FIND("/",MID(Sync!$AE221,FIND("/",Sync!$AE221)+1,20))+1,20))),"")))</f>
        <v/>
      </c>
      <c r="J221">
        <f>IF($F221="","",IF(OR($G221="",$H221="",$I221="",$G221&lt;1300,$G221&gt;1500,$H221&lt;1,$H221&gt;12,$I221&lt;1,$I221&gt;31),"نامعتبر",RIGHT("0000"&amp;$G221,4)&amp;"/"&amp;RIGHT("00"&amp;$H221,2)&amp;"/"&amp;RIGHT("00"&amp;$I221,2)))</f>
        <v/>
      </c>
      <c r="K221">
        <f>IF(OR($F221="",$J221="",$J221="نامعتبر"),"",LEFT($J221,4)&amp;MID($J221,6,2)&amp;RIGHT($J221,2)&amp;$N221&amp;"|"&amp;"2"&amp;RIGHT("00000"&amp;216,5))</f>
        <v/>
      </c>
      <c r="L221">
        <f>IF($K221="","",COUNTIFS(LdgSellerA,$F221,LdgKeyA,"&lt;"&amp;$K221)+COUNTIFS(LdgSellerB,$F221,LdgKeyB,"&lt;"&amp;$K221)+1)</f>
        <v/>
      </c>
      <c r="M221">
        <f>IF($L221="","",$F221&amp;"|"&amp;RIGHT("000000"&amp;$L221,6))</f>
        <v/>
      </c>
      <c r="N221">
        <f>IF($F221="","",IF(Sync!$AF221="","0000",IF(AND(ISNUMBER(Sync!$AF221),Sync!$AF221&gt;=0,Sync!$AF221&lt;1),RIGHT("00"&amp;HOUR(Sync!$AF221),2)&amp;RIGHT("00"&amp;MINUTE(Sync!$AF221),2),IFERROR(RIGHT("00"&amp;VALUE(LEFT(Sync!$AF221,FIND(":",Sync!$AF221)-1)),2)&amp;RIGHT("00"&amp;VALUE(MID(Sync!$AF221,FIND(":",Sync!$AF221)+1,2)),2),"0000"))))</f>
        <v/>
      </c>
    </row>
    <row r="222">
      <c r="A222">
        <f>IF(OR(Calc!$E226="",Calc!$E226="نامعتبر",Calc!$G226=""),"",Calc!$G226)</f>
        <v/>
      </c>
      <c r="B222">
        <f>IF($A222="","",LEFT(Calc!$E226,4)&amp;MID(Calc!$E226,6,2)&amp;RIGHT(Calc!$E226,2)&amp;Calc!$Q226&amp;"|"&amp;"1"&amp;RIGHT("00000"&amp;217,5))</f>
        <v/>
      </c>
      <c r="C222">
        <f>IF($B222="","",COUNTIFS(LdgSellerA,$A222,LdgKeyA,"&lt;"&amp;$B222)+COUNTIFS(LdgSellerB,$A222,LdgKeyB,"&lt;"&amp;$B222)+1)</f>
        <v/>
      </c>
      <c r="D222">
        <f>IF($C222="","",$A222&amp;"|"&amp;RIGHT("000000"&amp;$C222,6))</f>
        <v/>
      </c>
      <c r="F222">
        <f>IF(Sync!$AH222="","",IF(LEFT(UPPER(TRIM(Sync!$AH222)),2)="SL",UPPER(TRIM(Sync!$AH222)),""))</f>
        <v/>
      </c>
      <c r="G222">
        <f>IF($F222="","",IF(Sync!$AE222="","",IF(ISNUMBER(Sync!$AE222),IF(AND(Sync!$AE222&gt;=10000101,Sync!$AE222&lt;=99991231),INT(Sync!$AE222/10000),""),IFERROR(VALUE(TRIM(LEFT(Sync!$AE222,FIND("/",Sync!$AE222)-1))),""))))</f>
        <v/>
      </c>
      <c r="H222">
        <f>IF(OR($F222="",$G222=""),"",IF(ISNUMBER(Sync!$AE222),INT(MOD(Sync!$AE222,10000)/100),IFERROR(VALUE(TRIM(LEFT(MID(Sync!$AE222,FIND("/",Sync!$AE222)+1,20),FIND("/",MID(Sync!$AE222,FIND("/",Sync!$AE222)+1,20))-1))),"")))</f>
        <v/>
      </c>
      <c r="I222">
        <f>IF(OR($F222="",$G222=""),"",IF(ISNUMBER(Sync!$AE222),MOD(Sync!$AE222,100),IFERROR(VALUE(TRIM(MID(MID(Sync!$AE222,FIND("/",Sync!$AE222)+1,20),FIND("/",MID(Sync!$AE222,FIND("/",Sync!$AE222)+1,20))+1,20))),"")))</f>
        <v/>
      </c>
      <c r="J222">
        <f>IF($F222="","",IF(OR($G222="",$H222="",$I222="",$G222&lt;1300,$G222&gt;1500,$H222&lt;1,$H222&gt;12,$I222&lt;1,$I222&gt;31),"نامعتبر",RIGHT("0000"&amp;$G222,4)&amp;"/"&amp;RIGHT("00"&amp;$H222,2)&amp;"/"&amp;RIGHT("00"&amp;$I222,2)))</f>
        <v/>
      </c>
      <c r="K222">
        <f>IF(OR($F222="",$J222="",$J222="نامعتبر"),"",LEFT($J222,4)&amp;MID($J222,6,2)&amp;RIGHT($J222,2)&amp;$N222&amp;"|"&amp;"2"&amp;RIGHT("00000"&amp;217,5))</f>
        <v/>
      </c>
      <c r="L222">
        <f>IF($K222="","",COUNTIFS(LdgSellerA,$F222,LdgKeyA,"&lt;"&amp;$K222)+COUNTIFS(LdgSellerB,$F222,LdgKeyB,"&lt;"&amp;$K222)+1)</f>
        <v/>
      </c>
      <c r="M222">
        <f>IF($L222="","",$F222&amp;"|"&amp;RIGHT("000000"&amp;$L222,6))</f>
        <v/>
      </c>
      <c r="N222">
        <f>IF($F222="","",IF(Sync!$AF222="","0000",IF(AND(ISNUMBER(Sync!$AF222),Sync!$AF222&gt;=0,Sync!$AF222&lt;1),RIGHT("00"&amp;HOUR(Sync!$AF222),2)&amp;RIGHT("00"&amp;MINUTE(Sync!$AF222),2),IFERROR(RIGHT("00"&amp;VALUE(LEFT(Sync!$AF222,FIND(":",Sync!$AF222)-1)),2)&amp;RIGHT("00"&amp;VALUE(MID(Sync!$AF222,FIND(":",Sync!$AF222)+1,2)),2),"0000"))))</f>
        <v/>
      </c>
    </row>
    <row r="223">
      <c r="A223">
        <f>IF(OR(Calc!$E227="",Calc!$E227="نامعتبر",Calc!$G227=""),"",Calc!$G227)</f>
        <v/>
      </c>
      <c r="B223">
        <f>IF($A223="","",LEFT(Calc!$E227,4)&amp;MID(Calc!$E227,6,2)&amp;RIGHT(Calc!$E227,2)&amp;Calc!$Q227&amp;"|"&amp;"1"&amp;RIGHT("00000"&amp;218,5))</f>
        <v/>
      </c>
      <c r="C223">
        <f>IF($B223="","",COUNTIFS(LdgSellerA,$A223,LdgKeyA,"&lt;"&amp;$B223)+COUNTIFS(LdgSellerB,$A223,LdgKeyB,"&lt;"&amp;$B223)+1)</f>
        <v/>
      </c>
      <c r="D223">
        <f>IF($C223="","",$A223&amp;"|"&amp;RIGHT("000000"&amp;$C223,6))</f>
        <v/>
      </c>
      <c r="F223">
        <f>IF(Sync!$AH223="","",IF(LEFT(UPPER(TRIM(Sync!$AH223)),2)="SL",UPPER(TRIM(Sync!$AH223)),""))</f>
        <v/>
      </c>
      <c r="G223">
        <f>IF($F223="","",IF(Sync!$AE223="","",IF(ISNUMBER(Sync!$AE223),IF(AND(Sync!$AE223&gt;=10000101,Sync!$AE223&lt;=99991231),INT(Sync!$AE223/10000),""),IFERROR(VALUE(TRIM(LEFT(Sync!$AE223,FIND("/",Sync!$AE223)-1))),""))))</f>
        <v/>
      </c>
      <c r="H223">
        <f>IF(OR($F223="",$G223=""),"",IF(ISNUMBER(Sync!$AE223),INT(MOD(Sync!$AE223,10000)/100),IFERROR(VALUE(TRIM(LEFT(MID(Sync!$AE223,FIND("/",Sync!$AE223)+1,20),FIND("/",MID(Sync!$AE223,FIND("/",Sync!$AE223)+1,20))-1))),"")))</f>
        <v/>
      </c>
      <c r="I223">
        <f>IF(OR($F223="",$G223=""),"",IF(ISNUMBER(Sync!$AE223),MOD(Sync!$AE223,100),IFERROR(VALUE(TRIM(MID(MID(Sync!$AE223,FIND("/",Sync!$AE223)+1,20),FIND("/",MID(Sync!$AE223,FIND("/",Sync!$AE223)+1,20))+1,20))),"")))</f>
        <v/>
      </c>
      <c r="J223">
        <f>IF($F223="","",IF(OR($G223="",$H223="",$I223="",$G223&lt;1300,$G223&gt;1500,$H223&lt;1,$H223&gt;12,$I223&lt;1,$I223&gt;31),"نامعتبر",RIGHT("0000"&amp;$G223,4)&amp;"/"&amp;RIGHT("00"&amp;$H223,2)&amp;"/"&amp;RIGHT("00"&amp;$I223,2)))</f>
        <v/>
      </c>
      <c r="K223">
        <f>IF(OR($F223="",$J223="",$J223="نامعتبر"),"",LEFT($J223,4)&amp;MID($J223,6,2)&amp;RIGHT($J223,2)&amp;$N223&amp;"|"&amp;"2"&amp;RIGHT("00000"&amp;218,5))</f>
        <v/>
      </c>
      <c r="L223">
        <f>IF($K223="","",COUNTIFS(LdgSellerA,$F223,LdgKeyA,"&lt;"&amp;$K223)+COUNTIFS(LdgSellerB,$F223,LdgKeyB,"&lt;"&amp;$K223)+1)</f>
        <v/>
      </c>
      <c r="M223">
        <f>IF($L223="","",$F223&amp;"|"&amp;RIGHT("000000"&amp;$L223,6))</f>
        <v/>
      </c>
      <c r="N223">
        <f>IF($F223="","",IF(Sync!$AF223="","0000",IF(AND(ISNUMBER(Sync!$AF223),Sync!$AF223&gt;=0,Sync!$AF223&lt;1),RIGHT("00"&amp;HOUR(Sync!$AF223),2)&amp;RIGHT("00"&amp;MINUTE(Sync!$AF223),2),IFERROR(RIGHT("00"&amp;VALUE(LEFT(Sync!$AF223,FIND(":",Sync!$AF223)-1)),2)&amp;RIGHT("00"&amp;VALUE(MID(Sync!$AF223,FIND(":",Sync!$AF223)+1,2)),2),"0000"))))</f>
        <v/>
      </c>
    </row>
    <row r="224">
      <c r="A224">
        <f>IF(OR(Calc!$E228="",Calc!$E228="نامعتبر",Calc!$G228=""),"",Calc!$G228)</f>
        <v/>
      </c>
      <c r="B224">
        <f>IF($A224="","",LEFT(Calc!$E228,4)&amp;MID(Calc!$E228,6,2)&amp;RIGHT(Calc!$E228,2)&amp;Calc!$Q228&amp;"|"&amp;"1"&amp;RIGHT("00000"&amp;219,5))</f>
        <v/>
      </c>
      <c r="C224">
        <f>IF($B224="","",COUNTIFS(LdgSellerA,$A224,LdgKeyA,"&lt;"&amp;$B224)+COUNTIFS(LdgSellerB,$A224,LdgKeyB,"&lt;"&amp;$B224)+1)</f>
        <v/>
      </c>
      <c r="D224">
        <f>IF($C224="","",$A224&amp;"|"&amp;RIGHT("000000"&amp;$C224,6))</f>
        <v/>
      </c>
      <c r="F224">
        <f>IF(Sync!$AH224="","",IF(LEFT(UPPER(TRIM(Sync!$AH224)),2)="SL",UPPER(TRIM(Sync!$AH224)),""))</f>
        <v/>
      </c>
      <c r="G224">
        <f>IF($F224="","",IF(Sync!$AE224="","",IF(ISNUMBER(Sync!$AE224),IF(AND(Sync!$AE224&gt;=10000101,Sync!$AE224&lt;=99991231),INT(Sync!$AE224/10000),""),IFERROR(VALUE(TRIM(LEFT(Sync!$AE224,FIND("/",Sync!$AE224)-1))),""))))</f>
        <v/>
      </c>
      <c r="H224">
        <f>IF(OR($F224="",$G224=""),"",IF(ISNUMBER(Sync!$AE224),INT(MOD(Sync!$AE224,10000)/100),IFERROR(VALUE(TRIM(LEFT(MID(Sync!$AE224,FIND("/",Sync!$AE224)+1,20),FIND("/",MID(Sync!$AE224,FIND("/",Sync!$AE224)+1,20))-1))),"")))</f>
        <v/>
      </c>
      <c r="I224">
        <f>IF(OR($F224="",$G224=""),"",IF(ISNUMBER(Sync!$AE224),MOD(Sync!$AE224,100),IFERROR(VALUE(TRIM(MID(MID(Sync!$AE224,FIND("/",Sync!$AE224)+1,20),FIND("/",MID(Sync!$AE224,FIND("/",Sync!$AE224)+1,20))+1,20))),"")))</f>
        <v/>
      </c>
      <c r="J224">
        <f>IF($F224="","",IF(OR($G224="",$H224="",$I224="",$G224&lt;1300,$G224&gt;1500,$H224&lt;1,$H224&gt;12,$I224&lt;1,$I224&gt;31),"نامعتبر",RIGHT("0000"&amp;$G224,4)&amp;"/"&amp;RIGHT("00"&amp;$H224,2)&amp;"/"&amp;RIGHT("00"&amp;$I224,2)))</f>
        <v/>
      </c>
      <c r="K224">
        <f>IF(OR($F224="",$J224="",$J224="نامعتبر"),"",LEFT($J224,4)&amp;MID($J224,6,2)&amp;RIGHT($J224,2)&amp;$N224&amp;"|"&amp;"2"&amp;RIGHT("00000"&amp;219,5))</f>
        <v/>
      </c>
      <c r="L224">
        <f>IF($K224="","",COUNTIFS(LdgSellerA,$F224,LdgKeyA,"&lt;"&amp;$K224)+COUNTIFS(LdgSellerB,$F224,LdgKeyB,"&lt;"&amp;$K224)+1)</f>
        <v/>
      </c>
      <c r="M224">
        <f>IF($L224="","",$F224&amp;"|"&amp;RIGHT("000000"&amp;$L224,6))</f>
        <v/>
      </c>
      <c r="N224">
        <f>IF($F224="","",IF(Sync!$AF224="","0000",IF(AND(ISNUMBER(Sync!$AF224),Sync!$AF224&gt;=0,Sync!$AF224&lt;1),RIGHT("00"&amp;HOUR(Sync!$AF224),2)&amp;RIGHT("00"&amp;MINUTE(Sync!$AF224),2),IFERROR(RIGHT("00"&amp;VALUE(LEFT(Sync!$AF224,FIND(":",Sync!$AF224)-1)),2)&amp;RIGHT("00"&amp;VALUE(MID(Sync!$AF224,FIND(":",Sync!$AF224)+1,2)),2),"0000"))))</f>
        <v/>
      </c>
    </row>
    <row r="225">
      <c r="A225">
        <f>IF(OR(Calc!$E229="",Calc!$E229="نامعتبر",Calc!$G229=""),"",Calc!$G229)</f>
        <v/>
      </c>
      <c r="B225">
        <f>IF($A225="","",LEFT(Calc!$E229,4)&amp;MID(Calc!$E229,6,2)&amp;RIGHT(Calc!$E229,2)&amp;Calc!$Q229&amp;"|"&amp;"1"&amp;RIGHT("00000"&amp;220,5))</f>
        <v/>
      </c>
      <c r="C225">
        <f>IF($B225="","",COUNTIFS(LdgSellerA,$A225,LdgKeyA,"&lt;"&amp;$B225)+COUNTIFS(LdgSellerB,$A225,LdgKeyB,"&lt;"&amp;$B225)+1)</f>
        <v/>
      </c>
      <c r="D225">
        <f>IF($C225="","",$A225&amp;"|"&amp;RIGHT("000000"&amp;$C225,6))</f>
        <v/>
      </c>
      <c r="F225">
        <f>IF(Sync!$AH225="","",IF(LEFT(UPPER(TRIM(Sync!$AH225)),2)="SL",UPPER(TRIM(Sync!$AH225)),""))</f>
        <v/>
      </c>
      <c r="G225">
        <f>IF($F225="","",IF(Sync!$AE225="","",IF(ISNUMBER(Sync!$AE225),IF(AND(Sync!$AE225&gt;=10000101,Sync!$AE225&lt;=99991231),INT(Sync!$AE225/10000),""),IFERROR(VALUE(TRIM(LEFT(Sync!$AE225,FIND("/",Sync!$AE225)-1))),""))))</f>
        <v/>
      </c>
      <c r="H225">
        <f>IF(OR($F225="",$G225=""),"",IF(ISNUMBER(Sync!$AE225),INT(MOD(Sync!$AE225,10000)/100),IFERROR(VALUE(TRIM(LEFT(MID(Sync!$AE225,FIND("/",Sync!$AE225)+1,20),FIND("/",MID(Sync!$AE225,FIND("/",Sync!$AE225)+1,20))-1))),"")))</f>
        <v/>
      </c>
      <c r="I225">
        <f>IF(OR($F225="",$G225=""),"",IF(ISNUMBER(Sync!$AE225),MOD(Sync!$AE225,100),IFERROR(VALUE(TRIM(MID(MID(Sync!$AE225,FIND("/",Sync!$AE225)+1,20),FIND("/",MID(Sync!$AE225,FIND("/",Sync!$AE225)+1,20))+1,20))),"")))</f>
        <v/>
      </c>
      <c r="J225">
        <f>IF($F225="","",IF(OR($G225="",$H225="",$I225="",$G225&lt;1300,$G225&gt;1500,$H225&lt;1,$H225&gt;12,$I225&lt;1,$I225&gt;31),"نامعتبر",RIGHT("0000"&amp;$G225,4)&amp;"/"&amp;RIGHT("00"&amp;$H225,2)&amp;"/"&amp;RIGHT("00"&amp;$I225,2)))</f>
        <v/>
      </c>
      <c r="K225">
        <f>IF(OR($F225="",$J225="",$J225="نامعتبر"),"",LEFT($J225,4)&amp;MID($J225,6,2)&amp;RIGHT($J225,2)&amp;$N225&amp;"|"&amp;"2"&amp;RIGHT("00000"&amp;220,5))</f>
        <v/>
      </c>
      <c r="L225">
        <f>IF($K225="","",COUNTIFS(LdgSellerA,$F225,LdgKeyA,"&lt;"&amp;$K225)+COUNTIFS(LdgSellerB,$F225,LdgKeyB,"&lt;"&amp;$K225)+1)</f>
        <v/>
      </c>
      <c r="M225">
        <f>IF($L225="","",$F225&amp;"|"&amp;RIGHT("000000"&amp;$L225,6))</f>
        <v/>
      </c>
      <c r="N225">
        <f>IF($F225="","",IF(Sync!$AF225="","0000",IF(AND(ISNUMBER(Sync!$AF225),Sync!$AF225&gt;=0,Sync!$AF225&lt;1),RIGHT("00"&amp;HOUR(Sync!$AF225),2)&amp;RIGHT("00"&amp;MINUTE(Sync!$AF225),2),IFERROR(RIGHT("00"&amp;VALUE(LEFT(Sync!$AF225,FIND(":",Sync!$AF225)-1)),2)&amp;RIGHT("00"&amp;VALUE(MID(Sync!$AF225,FIND(":",Sync!$AF225)+1,2)),2),"0000"))))</f>
        <v/>
      </c>
    </row>
    <row r="226">
      <c r="A226">
        <f>IF(OR(Calc!$E230="",Calc!$E230="نامعتبر",Calc!$G230=""),"",Calc!$G230)</f>
        <v/>
      </c>
      <c r="B226">
        <f>IF($A226="","",LEFT(Calc!$E230,4)&amp;MID(Calc!$E230,6,2)&amp;RIGHT(Calc!$E230,2)&amp;Calc!$Q230&amp;"|"&amp;"1"&amp;RIGHT("00000"&amp;221,5))</f>
        <v/>
      </c>
      <c r="C226">
        <f>IF($B226="","",COUNTIFS(LdgSellerA,$A226,LdgKeyA,"&lt;"&amp;$B226)+COUNTIFS(LdgSellerB,$A226,LdgKeyB,"&lt;"&amp;$B226)+1)</f>
        <v/>
      </c>
      <c r="D226">
        <f>IF($C226="","",$A226&amp;"|"&amp;RIGHT("000000"&amp;$C226,6))</f>
        <v/>
      </c>
      <c r="F226">
        <f>IF(Sync!$AH226="","",IF(LEFT(UPPER(TRIM(Sync!$AH226)),2)="SL",UPPER(TRIM(Sync!$AH226)),""))</f>
        <v/>
      </c>
      <c r="G226">
        <f>IF($F226="","",IF(Sync!$AE226="","",IF(ISNUMBER(Sync!$AE226),IF(AND(Sync!$AE226&gt;=10000101,Sync!$AE226&lt;=99991231),INT(Sync!$AE226/10000),""),IFERROR(VALUE(TRIM(LEFT(Sync!$AE226,FIND("/",Sync!$AE226)-1))),""))))</f>
        <v/>
      </c>
      <c r="H226">
        <f>IF(OR($F226="",$G226=""),"",IF(ISNUMBER(Sync!$AE226),INT(MOD(Sync!$AE226,10000)/100),IFERROR(VALUE(TRIM(LEFT(MID(Sync!$AE226,FIND("/",Sync!$AE226)+1,20),FIND("/",MID(Sync!$AE226,FIND("/",Sync!$AE226)+1,20))-1))),"")))</f>
        <v/>
      </c>
      <c r="I226">
        <f>IF(OR($F226="",$G226=""),"",IF(ISNUMBER(Sync!$AE226),MOD(Sync!$AE226,100),IFERROR(VALUE(TRIM(MID(MID(Sync!$AE226,FIND("/",Sync!$AE226)+1,20),FIND("/",MID(Sync!$AE226,FIND("/",Sync!$AE226)+1,20))+1,20))),"")))</f>
        <v/>
      </c>
      <c r="J226">
        <f>IF($F226="","",IF(OR($G226="",$H226="",$I226="",$G226&lt;1300,$G226&gt;1500,$H226&lt;1,$H226&gt;12,$I226&lt;1,$I226&gt;31),"نامعتبر",RIGHT("0000"&amp;$G226,4)&amp;"/"&amp;RIGHT("00"&amp;$H226,2)&amp;"/"&amp;RIGHT("00"&amp;$I226,2)))</f>
        <v/>
      </c>
      <c r="K226">
        <f>IF(OR($F226="",$J226="",$J226="نامعتبر"),"",LEFT($J226,4)&amp;MID($J226,6,2)&amp;RIGHT($J226,2)&amp;$N226&amp;"|"&amp;"2"&amp;RIGHT("00000"&amp;221,5))</f>
        <v/>
      </c>
      <c r="L226">
        <f>IF($K226="","",COUNTIFS(LdgSellerA,$F226,LdgKeyA,"&lt;"&amp;$K226)+COUNTIFS(LdgSellerB,$F226,LdgKeyB,"&lt;"&amp;$K226)+1)</f>
        <v/>
      </c>
      <c r="M226">
        <f>IF($L226="","",$F226&amp;"|"&amp;RIGHT("000000"&amp;$L226,6))</f>
        <v/>
      </c>
      <c r="N226">
        <f>IF($F226="","",IF(Sync!$AF226="","0000",IF(AND(ISNUMBER(Sync!$AF226),Sync!$AF226&gt;=0,Sync!$AF226&lt;1),RIGHT("00"&amp;HOUR(Sync!$AF226),2)&amp;RIGHT("00"&amp;MINUTE(Sync!$AF226),2),IFERROR(RIGHT("00"&amp;VALUE(LEFT(Sync!$AF226,FIND(":",Sync!$AF226)-1)),2)&amp;RIGHT("00"&amp;VALUE(MID(Sync!$AF226,FIND(":",Sync!$AF226)+1,2)),2),"0000"))))</f>
        <v/>
      </c>
    </row>
    <row r="227">
      <c r="A227">
        <f>IF(OR(Calc!$E231="",Calc!$E231="نامعتبر",Calc!$G231=""),"",Calc!$G231)</f>
        <v/>
      </c>
      <c r="B227">
        <f>IF($A227="","",LEFT(Calc!$E231,4)&amp;MID(Calc!$E231,6,2)&amp;RIGHT(Calc!$E231,2)&amp;Calc!$Q231&amp;"|"&amp;"1"&amp;RIGHT("00000"&amp;222,5))</f>
        <v/>
      </c>
      <c r="C227">
        <f>IF($B227="","",COUNTIFS(LdgSellerA,$A227,LdgKeyA,"&lt;"&amp;$B227)+COUNTIFS(LdgSellerB,$A227,LdgKeyB,"&lt;"&amp;$B227)+1)</f>
        <v/>
      </c>
      <c r="D227">
        <f>IF($C227="","",$A227&amp;"|"&amp;RIGHT("000000"&amp;$C227,6))</f>
        <v/>
      </c>
      <c r="F227">
        <f>IF(Sync!$AH227="","",IF(LEFT(UPPER(TRIM(Sync!$AH227)),2)="SL",UPPER(TRIM(Sync!$AH227)),""))</f>
        <v/>
      </c>
      <c r="G227">
        <f>IF($F227="","",IF(Sync!$AE227="","",IF(ISNUMBER(Sync!$AE227),IF(AND(Sync!$AE227&gt;=10000101,Sync!$AE227&lt;=99991231),INT(Sync!$AE227/10000),""),IFERROR(VALUE(TRIM(LEFT(Sync!$AE227,FIND("/",Sync!$AE227)-1))),""))))</f>
        <v/>
      </c>
      <c r="H227">
        <f>IF(OR($F227="",$G227=""),"",IF(ISNUMBER(Sync!$AE227),INT(MOD(Sync!$AE227,10000)/100),IFERROR(VALUE(TRIM(LEFT(MID(Sync!$AE227,FIND("/",Sync!$AE227)+1,20),FIND("/",MID(Sync!$AE227,FIND("/",Sync!$AE227)+1,20))-1))),"")))</f>
        <v/>
      </c>
      <c r="I227">
        <f>IF(OR($F227="",$G227=""),"",IF(ISNUMBER(Sync!$AE227),MOD(Sync!$AE227,100),IFERROR(VALUE(TRIM(MID(MID(Sync!$AE227,FIND("/",Sync!$AE227)+1,20),FIND("/",MID(Sync!$AE227,FIND("/",Sync!$AE227)+1,20))+1,20))),"")))</f>
        <v/>
      </c>
      <c r="J227">
        <f>IF($F227="","",IF(OR($G227="",$H227="",$I227="",$G227&lt;1300,$G227&gt;1500,$H227&lt;1,$H227&gt;12,$I227&lt;1,$I227&gt;31),"نامعتبر",RIGHT("0000"&amp;$G227,4)&amp;"/"&amp;RIGHT("00"&amp;$H227,2)&amp;"/"&amp;RIGHT("00"&amp;$I227,2)))</f>
        <v/>
      </c>
      <c r="K227">
        <f>IF(OR($F227="",$J227="",$J227="نامعتبر"),"",LEFT($J227,4)&amp;MID($J227,6,2)&amp;RIGHT($J227,2)&amp;$N227&amp;"|"&amp;"2"&amp;RIGHT("00000"&amp;222,5))</f>
        <v/>
      </c>
      <c r="L227">
        <f>IF($K227="","",COUNTIFS(LdgSellerA,$F227,LdgKeyA,"&lt;"&amp;$K227)+COUNTIFS(LdgSellerB,$F227,LdgKeyB,"&lt;"&amp;$K227)+1)</f>
        <v/>
      </c>
      <c r="M227">
        <f>IF($L227="","",$F227&amp;"|"&amp;RIGHT("000000"&amp;$L227,6))</f>
        <v/>
      </c>
      <c r="N227">
        <f>IF($F227="","",IF(Sync!$AF227="","0000",IF(AND(ISNUMBER(Sync!$AF227),Sync!$AF227&gt;=0,Sync!$AF227&lt;1),RIGHT("00"&amp;HOUR(Sync!$AF227),2)&amp;RIGHT("00"&amp;MINUTE(Sync!$AF227),2),IFERROR(RIGHT("00"&amp;VALUE(LEFT(Sync!$AF227,FIND(":",Sync!$AF227)-1)),2)&amp;RIGHT("00"&amp;VALUE(MID(Sync!$AF227,FIND(":",Sync!$AF227)+1,2)),2),"0000"))))</f>
        <v/>
      </c>
    </row>
    <row r="228">
      <c r="A228">
        <f>IF(OR(Calc!$E232="",Calc!$E232="نامعتبر",Calc!$G232=""),"",Calc!$G232)</f>
        <v/>
      </c>
      <c r="B228">
        <f>IF($A228="","",LEFT(Calc!$E232,4)&amp;MID(Calc!$E232,6,2)&amp;RIGHT(Calc!$E232,2)&amp;Calc!$Q232&amp;"|"&amp;"1"&amp;RIGHT("00000"&amp;223,5))</f>
        <v/>
      </c>
      <c r="C228">
        <f>IF($B228="","",COUNTIFS(LdgSellerA,$A228,LdgKeyA,"&lt;"&amp;$B228)+COUNTIFS(LdgSellerB,$A228,LdgKeyB,"&lt;"&amp;$B228)+1)</f>
        <v/>
      </c>
      <c r="D228">
        <f>IF($C228="","",$A228&amp;"|"&amp;RIGHT("000000"&amp;$C228,6))</f>
        <v/>
      </c>
      <c r="F228">
        <f>IF(Sync!$AH228="","",IF(LEFT(UPPER(TRIM(Sync!$AH228)),2)="SL",UPPER(TRIM(Sync!$AH228)),""))</f>
        <v/>
      </c>
      <c r="G228">
        <f>IF($F228="","",IF(Sync!$AE228="","",IF(ISNUMBER(Sync!$AE228),IF(AND(Sync!$AE228&gt;=10000101,Sync!$AE228&lt;=99991231),INT(Sync!$AE228/10000),""),IFERROR(VALUE(TRIM(LEFT(Sync!$AE228,FIND("/",Sync!$AE228)-1))),""))))</f>
        <v/>
      </c>
      <c r="H228">
        <f>IF(OR($F228="",$G228=""),"",IF(ISNUMBER(Sync!$AE228),INT(MOD(Sync!$AE228,10000)/100),IFERROR(VALUE(TRIM(LEFT(MID(Sync!$AE228,FIND("/",Sync!$AE228)+1,20),FIND("/",MID(Sync!$AE228,FIND("/",Sync!$AE228)+1,20))-1))),"")))</f>
        <v/>
      </c>
      <c r="I228">
        <f>IF(OR($F228="",$G228=""),"",IF(ISNUMBER(Sync!$AE228),MOD(Sync!$AE228,100),IFERROR(VALUE(TRIM(MID(MID(Sync!$AE228,FIND("/",Sync!$AE228)+1,20),FIND("/",MID(Sync!$AE228,FIND("/",Sync!$AE228)+1,20))+1,20))),"")))</f>
        <v/>
      </c>
      <c r="J228">
        <f>IF($F228="","",IF(OR($G228="",$H228="",$I228="",$G228&lt;1300,$G228&gt;1500,$H228&lt;1,$H228&gt;12,$I228&lt;1,$I228&gt;31),"نامعتبر",RIGHT("0000"&amp;$G228,4)&amp;"/"&amp;RIGHT("00"&amp;$H228,2)&amp;"/"&amp;RIGHT("00"&amp;$I228,2)))</f>
        <v/>
      </c>
      <c r="K228">
        <f>IF(OR($F228="",$J228="",$J228="نامعتبر"),"",LEFT($J228,4)&amp;MID($J228,6,2)&amp;RIGHT($J228,2)&amp;$N228&amp;"|"&amp;"2"&amp;RIGHT("00000"&amp;223,5))</f>
        <v/>
      </c>
      <c r="L228">
        <f>IF($K228="","",COUNTIFS(LdgSellerA,$F228,LdgKeyA,"&lt;"&amp;$K228)+COUNTIFS(LdgSellerB,$F228,LdgKeyB,"&lt;"&amp;$K228)+1)</f>
        <v/>
      </c>
      <c r="M228">
        <f>IF($L228="","",$F228&amp;"|"&amp;RIGHT("000000"&amp;$L228,6))</f>
        <v/>
      </c>
      <c r="N228">
        <f>IF($F228="","",IF(Sync!$AF228="","0000",IF(AND(ISNUMBER(Sync!$AF228),Sync!$AF228&gt;=0,Sync!$AF228&lt;1),RIGHT("00"&amp;HOUR(Sync!$AF228),2)&amp;RIGHT("00"&amp;MINUTE(Sync!$AF228),2),IFERROR(RIGHT("00"&amp;VALUE(LEFT(Sync!$AF228,FIND(":",Sync!$AF228)-1)),2)&amp;RIGHT("00"&amp;VALUE(MID(Sync!$AF228,FIND(":",Sync!$AF228)+1,2)),2),"0000"))))</f>
        <v/>
      </c>
    </row>
    <row r="229">
      <c r="A229">
        <f>IF(OR(Calc!$E233="",Calc!$E233="نامعتبر",Calc!$G233=""),"",Calc!$G233)</f>
        <v/>
      </c>
      <c r="B229">
        <f>IF($A229="","",LEFT(Calc!$E233,4)&amp;MID(Calc!$E233,6,2)&amp;RIGHT(Calc!$E233,2)&amp;Calc!$Q233&amp;"|"&amp;"1"&amp;RIGHT("00000"&amp;224,5))</f>
        <v/>
      </c>
      <c r="C229">
        <f>IF($B229="","",COUNTIFS(LdgSellerA,$A229,LdgKeyA,"&lt;"&amp;$B229)+COUNTIFS(LdgSellerB,$A229,LdgKeyB,"&lt;"&amp;$B229)+1)</f>
        <v/>
      </c>
      <c r="D229">
        <f>IF($C229="","",$A229&amp;"|"&amp;RIGHT("000000"&amp;$C229,6))</f>
        <v/>
      </c>
      <c r="F229">
        <f>IF(Sync!$AH229="","",IF(LEFT(UPPER(TRIM(Sync!$AH229)),2)="SL",UPPER(TRIM(Sync!$AH229)),""))</f>
        <v/>
      </c>
      <c r="G229">
        <f>IF($F229="","",IF(Sync!$AE229="","",IF(ISNUMBER(Sync!$AE229),IF(AND(Sync!$AE229&gt;=10000101,Sync!$AE229&lt;=99991231),INT(Sync!$AE229/10000),""),IFERROR(VALUE(TRIM(LEFT(Sync!$AE229,FIND("/",Sync!$AE229)-1))),""))))</f>
        <v/>
      </c>
      <c r="H229">
        <f>IF(OR($F229="",$G229=""),"",IF(ISNUMBER(Sync!$AE229),INT(MOD(Sync!$AE229,10000)/100),IFERROR(VALUE(TRIM(LEFT(MID(Sync!$AE229,FIND("/",Sync!$AE229)+1,20),FIND("/",MID(Sync!$AE229,FIND("/",Sync!$AE229)+1,20))-1))),"")))</f>
        <v/>
      </c>
      <c r="I229">
        <f>IF(OR($F229="",$G229=""),"",IF(ISNUMBER(Sync!$AE229),MOD(Sync!$AE229,100),IFERROR(VALUE(TRIM(MID(MID(Sync!$AE229,FIND("/",Sync!$AE229)+1,20),FIND("/",MID(Sync!$AE229,FIND("/",Sync!$AE229)+1,20))+1,20))),"")))</f>
        <v/>
      </c>
      <c r="J229">
        <f>IF($F229="","",IF(OR($G229="",$H229="",$I229="",$G229&lt;1300,$G229&gt;1500,$H229&lt;1,$H229&gt;12,$I229&lt;1,$I229&gt;31),"نامعتبر",RIGHT("0000"&amp;$G229,4)&amp;"/"&amp;RIGHT("00"&amp;$H229,2)&amp;"/"&amp;RIGHT("00"&amp;$I229,2)))</f>
        <v/>
      </c>
      <c r="K229">
        <f>IF(OR($F229="",$J229="",$J229="نامعتبر"),"",LEFT($J229,4)&amp;MID($J229,6,2)&amp;RIGHT($J229,2)&amp;$N229&amp;"|"&amp;"2"&amp;RIGHT("00000"&amp;224,5))</f>
        <v/>
      </c>
      <c r="L229">
        <f>IF($K229="","",COUNTIFS(LdgSellerA,$F229,LdgKeyA,"&lt;"&amp;$K229)+COUNTIFS(LdgSellerB,$F229,LdgKeyB,"&lt;"&amp;$K229)+1)</f>
        <v/>
      </c>
      <c r="M229">
        <f>IF($L229="","",$F229&amp;"|"&amp;RIGHT("000000"&amp;$L229,6))</f>
        <v/>
      </c>
      <c r="N229">
        <f>IF($F229="","",IF(Sync!$AF229="","0000",IF(AND(ISNUMBER(Sync!$AF229),Sync!$AF229&gt;=0,Sync!$AF229&lt;1),RIGHT("00"&amp;HOUR(Sync!$AF229),2)&amp;RIGHT("00"&amp;MINUTE(Sync!$AF229),2),IFERROR(RIGHT("00"&amp;VALUE(LEFT(Sync!$AF229,FIND(":",Sync!$AF229)-1)),2)&amp;RIGHT("00"&amp;VALUE(MID(Sync!$AF229,FIND(":",Sync!$AF229)+1,2)),2),"0000"))))</f>
        <v/>
      </c>
    </row>
    <row r="230">
      <c r="A230">
        <f>IF(OR(Calc!$E234="",Calc!$E234="نامعتبر",Calc!$G234=""),"",Calc!$G234)</f>
        <v/>
      </c>
      <c r="B230">
        <f>IF($A230="","",LEFT(Calc!$E234,4)&amp;MID(Calc!$E234,6,2)&amp;RIGHT(Calc!$E234,2)&amp;Calc!$Q234&amp;"|"&amp;"1"&amp;RIGHT("00000"&amp;225,5))</f>
        <v/>
      </c>
      <c r="C230">
        <f>IF($B230="","",COUNTIFS(LdgSellerA,$A230,LdgKeyA,"&lt;"&amp;$B230)+COUNTIFS(LdgSellerB,$A230,LdgKeyB,"&lt;"&amp;$B230)+1)</f>
        <v/>
      </c>
      <c r="D230">
        <f>IF($C230="","",$A230&amp;"|"&amp;RIGHT("000000"&amp;$C230,6))</f>
        <v/>
      </c>
      <c r="F230">
        <f>IF(Sync!$AH230="","",IF(LEFT(UPPER(TRIM(Sync!$AH230)),2)="SL",UPPER(TRIM(Sync!$AH230)),""))</f>
        <v/>
      </c>
      <c r="G230">
        <f>IF($F230="","",IF(Sync!$AE230="","",IF(ISNUMBER(Sync!$AE230),IF(AND(Sync!$AE230&gt;=10000101,Sync!$AE230&lt;=99991231),INT(Sync!$AE230/10000),""),IFERROR(VALUE(TRIM(LEFT(Sync!$AE230,FIND("/",Sync!$AE230)-1))),""))))</f>
        <v/>
      </c>
      <c r="H230">
        <f>IF(OR($F230="",$G230=""),"",IF(ISNUMBER(Sync!$AE230),INT(MOD(Sync!$AE230,10000)/100),IFERROR(VALUE(TRIM(LEFT(MID(Sync!$AE230,FIND("/",Sync!$AE230)+1,20),FIND("/",MID(Sync!$AE230,FIND("/",Sync!$AE230)+1,20))-1))),"")))</f>
        <v/>
      </c>
      <c r="I230">
        <f>IF(OR($F230="",$G230=""),"",IF(ISNUMBER(Sync!$AE230),MOD(Sync!$AE230,100),IFERROR(VALUE(TRIM(MID(MID(Sync!$AE230,FIND("/",Sync!$AE230)+1,20),FIND("/",MID(Sync!$AE230,FIND("/",Sync!$AE230)+1,20))+1,20))),"")))</f>
        <v/>
      </c>
      <c r="J230">
        <f>IF($F230="","",IF(OR($G230="",$H230="",$I230="",$G230&lt;1300,$G230&gt;1500,$H230&lt;1,$H230&gt;12,$I230&lt;1,$I230&gt;31),"نامعتبر",RIGHT("0000"&amp;$G230,4)&amp;"/"&amp;RIGHT("00"&amp;$H230,2)&amp;"/"&amp;RIGHT("00"&amp;$I230,2)))</f>
        <v/>
      </c>
      <c r="K230">
        <f>IF(OR($F230="",$J230="",$J230="نامعتبر"),"",LEFT($J230,4)&amp;MID($J230,6,2)&amp;RIGHT($J230,2)&amp;$N230&amp;"|"&amp;"2"&amp;RIGHT("00000"&amp;225,5))</f>
        <v/>
      </c>
      <c r="L230">
        <f>IF($K230="","",COUNTIFS(LdgSellerA,$F230,LdgKeyA,"&lt;"&amp;$K230)+COUNTIFS(LdgSellerB,$F230,LdgKeyB,"&lt;"&amp;$K230)+1)</f>
        <v/>
      </c>
      <c r="M230">
        <f>IF($L230="","",$F230&amp;"|"&amp;RIGHT("000000"&amp;$L230,6))</f>
        <v/>
      </c>
      <c r="N230">
        <f>IF($F230="","",IF(Sync!$AF230="","0000",IF(AND(ISNUMBER(Sync!$AF230),Sync!$AF230&gt;=0,Sync!$AF230&lt;1),RIGHT("00"&amp;HOUR(Sync!$AF230),2)&amp;RIGHT("00"&amp;MINUTE(Sync!$AF230),2),IFERROR(RIGHT("00"&amp;VALUE(LEFT(Sync!$AF230,FIND(":",Sync!$AF230)-1)),2)&amp;RIGHT("00"&amp;VALUE(MID(Sync!$AF230,FIND(":",Sync!$AF230)+1,2)),2),"0000"))))</f>
        <v/>
      </c>
    </row>
    <row r="231">
      <c r="A231">
        <f>IF(OR(Calc!$E235="",Calc!$E235="نامعتبر",Calc!$G235=""),"",Calc!$G235)</f>
        <v/>
      </c>
      <c r="B231">
        <f>IF($A231="","",LEFT(Calc!$E235,4)&amp;MID(Calc!$E235,6,2)&amp;RIGHT(Calc!$E235,2)&amp;Calc!$Q235&amp;"|"&amp;"1"&amp;RIGHT("00000"&amp;226,5))</f>
        <v/>
      </c>
      <c r="C231">
        <f>IF($B231="","",COUNTIFS(LdgSellerA,$A231,LdgKeyA,"&lt;"&amp;$B231)+COUNTIFS(LdgSellerB,$A231,LdgKeyB,"&lt;"&amp;$B231)+1)</f>
        <v/>
      </c>
      <c r="D231">
        <f>IF($C231="","",$A231&amp;"|"&amp;RIGHT("000000"&amp;$C231,6))</f>
        <v/>
      </c>
      <c r="F231">
        <f>IF(Sync!$AH231="","",IF(LEFT(UPPER(TRIM(Sync!$AH231)),2)="SL",UPPER(TRIM(Sync!$AH231)),""))</f>
        <v/>
      </c>
      <c r="G231">
        <f>IF($F231="","",IF(Sync!$AE231="","",IF(ISNUMBER(Sync!$AE231),IF(AND(Sync!$AE231&gt;=10000101,Sync!$AE231&lt;=99991231),INT(Sync!$AE231/10000),""),IFERROR(VALUE(TRIM(LEFT(Sync!$AE231,FIND("/",Sync!$AE231)-1))),""))))</f>
        <v/>
      </c>
      <c r="H231">
        <f>IF(OR($F231="",$G231=""),"",IF(ISNUMBER(Sync!$AE231),INT(MOD(Sync!$AE231,10000)/100),IFERROR(VALUE(TRIM(LEFT(MID(Sync!$AE231,FIND("/",Sync!$AE231)+1,20),FIND("/",MID(Sync!$AE231,FIND("/",Sync!$AE231)+1,20))-1))),"")))</f>
        <v/>
      </c>
      <c r="I231">
        <f>IF(OR($F231="",$G231=""),"",IF(ISNUMBER(Sync!$AE231),MOD(Sync!$AE231,100),IFERROR(VALUE(TRIM(MID(MID(Sync!$AE231,FIND("/",Sync!$AE231)+1,20),FIND("/",MID(Sync!$AE231,FIND("/",Sync!$AE231)+1,20))+1,20))),"")))</f>
        <v/>
      </c>
      <c r="J231">
        <f>IF($F231="","",IF(OR($G231="",$H231="",$I231="",$G231&lt;1300,$G231&gt;1500,$H231&lt;1,$H231&gt;12,$I231&lt;1,$I231&gt;31),"نامعتبر",RIGHT("0000"&amp;$G231,4)&amp;"/"&amp;RIGHT("00"&amp;$H231,2)&amp;"/"&amp;RIGHT("00"&amp;$I231,2)))</f>
        <v/>
      </c>
      <c r="K231">
        <f>IF(OR($F231="",$J231="",$J231="نامعتبر"),"",LEFT($J231,4)&amp;MID($J231,6,2)&amp;RIGHT($J231,2)&amp;$N231&amp;"|"&amp;"2"&amp;RIGHT("00000"&amp;226,5))</f>
        <v/>
      </c>
      <c r="L231">
        <f>IF($K231="","",COUNTIFS(LdgSellerA,$F231,LdgKeyA,"&lt;"&amp;$K231)+COUNTIFS(LdgSellerB,$F231,LdgKeyB,"&lt;"&amp;$K231)+1)</f>
        <v/>
      </c>
      <c r="M231">
        <f>IF($L231="","",$F231&amp;"|"&amp;RIGHT("000000"&amp;$L231,6))</f>
        <v/>
      </c>
      <c r="N231">
        <f>IF($F231="","",IF(Sync!$AF231="","0000",IF(AND(ISNUMBER(Sync!$AF231),Sync!$AF231&gt;=0,Sync!$AF231&lt;1),RIGHT("00"&amp;HOUR(Sync!$AF231),2)&amp;RIGHT("00"&amp;MINUTE(Sync!$AF231),2),IFERROR(RIGHT("00"&amp;VALUE(LEFT(Sync!$AF231,FIND(":",Sync!$AF231)-1)),2)&amp;RIGHT("00"&amp;VALUE(MID(Sync!$AF231,FIND(":",Sync!$AF231)+1,2)),2),"0000"))))</f>
        <v/>
      </c>
    </row>
    <row r="232">
      <c r="A232">
        <f>IF(OR(Calc!$E236="",Calc!$E236="نامعتبر",Calc!$G236=""),"",Calc!$G236)</f>
        <v/>
      </c>
      <c r="B232">
        <f>IF($A232="","",LEFT(Calc!$E236,4)&amp;MID(Calc!$E236,6,2)&amp;RIGHT(Calc!$E236,2)&amp;Calc!$Q236&amp;"|"&amp;"1"&amp;RIGHT("00000"&amp;227,5))</f>
        <v/>
      </c>
      <c r="C232">
        <f>IF($B232="","",COUNTIFS(LdgSellerA,$A232,LdgKeyA,"&lt;"&amp;$B232)+COUNTIFS(LdgSellerB,$A232,LdgKeyB,"&lt;"&amp;$B232)+1)</f>
        <v/>
      </c>
      <c r="D232">
        <f>IF($C232="","",$A232&amp;"|"&amp;RIGHT("000000"&amp;$C232,6))</f>
        <v/>
      </c>
      <c r="F232">
        <f>IF(Sync!$AH232="","",IF(LEFT(UPPER(TRIM(Sync!$AH232)),2)="SL",UPPER(TRIM(Sync!$AH232)),""))</f>
        <v/>
      </c>
      <c r="G232">
        <f>IF($F232="","",IF(Sync!$AE232="","",IF(ISNUMBER(Sync!$AE232),IF(AND(Sync!$AE232&gt;=10000101,Sync!$AE232&lt;=99991231),INT(Sync!$AE232/10000),""),IFERROR(VALUE(TRIM(LEFT(Sync!$AE232,FIND("/",Sync!$AE232)-1))),""))))</f>
        <v/>
      </c>
      <c r="H232">
        <f>IF(OR($F232="",$G232=""),"",IF(ISNUMBER(Sync!$AE232),INT(MOD(Sync!$AE232,10000)/100),IFERROR(VALUE(TRIM(LEFT(MID(Sync!$AE232,FIND("/",Sync!$AE232)+1,20),FIND("/",MID(Sync!$AE232,FIND("/",Sync!$AE232)+1,20))-1))),"")))</f>
        <v/>
      </c>
      <c r="I232">
        <f>IF(OR($F232="",$G232=""),"",IF(ISNUMBER(Sync!$AE232),MOD(Sync!$AE232,100),IFERROR(VALUE(TRIM(MID(MID(Sync!$AE232,FIND("/",Sync!$AE232)+1,20),FIND("/",MID(Sync!$AE232,FIND("/",Sync!$AE232)+1,20))+1,20))),"")))</f>
        <v/>
      </c>
      <c r="J232">
        <f>IF($F232="","",IF(OR($G232="",$H232="",$I232="",$G232&lt;1300,$G232&gt;1500,$H232&lt;1,$H232&gt;12,$I232&lt;1,$I232&gt;31),"نامعتبر",RIGHT("0000"&amp;$G232,4)&amp;"/"&amp;RIGHT("00"&amp;$H232,2)&amp;"/"&amp;RIGHT("00"&amp;$I232,2)))</f>
        <v/>
      </c>
      <c r="K232">
        <f>IF(OR($F232="",$J232="",$J232="نامعتبر"),"",LEFT($J232,4)&amp;MID($J232,6,2)&amp;RIGHT($J232,2)&amp;$N232&amp;"|"&amp;"2"&amp;RIGHT("00000"&amp;227,5))</f>
        <v/>
      </c>
      <c r="L232">
        <f>IF($K232="","",COUNTIFS(LdgSellerA,$F232,LdgKeyA,"&lt;"&amp;$K232)+COUNTIFS(LdgSellerB,$F232,LdgKeyB,"&lt;"&amp;$K232)+1)</f>
        <v/>
      </c>
      <c r="M232">
        <f>IF($L232="","",$F232&amp;"|"&amp;RIGHT("000000"&amp;$L232,6))</f>
        <v/>
      </c>
      <c r="N232">
        <f>IF($F232="","",IF(Sync!$AF232="","0000",IF(AND(ISNUMBER(Sync!$AF232),Sync!$AF232&gt;=0,Sync!$AF232&lt;1),RIGHT("00"&amp;HOUR(Sync!$AF232),2)&amp;RIGHT("00"&amp;MINUTE(Sync!$AF232),2),IFERROR(RIGHT("00"&amp;VALUE(LEFT(Sync!$AF232,FIND(":",Sync!$AF232)-1)),2)&amp;RIGHT("00"&amp;VALUE(MID(Sync!$AF232,FIND(":",Sync!$AF232)+1,2)),2),"0000"))))</f>
        <v/>
      </c>
    </row>
    <row r="233">
      <c r="A233">
        <f>IF(OR(Calc!$E237="",Calc!$E237="نامعتبر",Calc!$G237=""),"",Calc!$G237)</f>
        <v/>
      </c>
      <c r="B233">
        <f>IF($A233="","",LEFT(Calc!$E237,4)&amp;MID(Calc!$E237,6,2)&amp;RIGHT(Calc!$E237,2)&amp;Calc!$Q237&amp;"|"&amp;"1"&amp;RIGHT("00000"&amp;228,5))</f>
        <v/>
      </c>
      <c r="C233">
        <f>IF($B233="","",COUNTIFS(LdgSellerA,$A233,LdgKeyA,"&lt;"&amp;$B233)+COUNTIFS(LdgSellerB,$A233,LdgKeyB,"&lt;"&amp;$B233)+1)</f>
        <v/>
      </c>
      <c r="D233">
        <f>IF($C233="","",$A233&amp;"|"&amp;RIGHT("000000"&amp;$C233,6))</f>
        <v/>
      </c>
      <c r="F233">
        <f>IF(Sync!$AH233="","",IF(LEFT(UPPER(TRIM(Sync!$AH233)),2)="SL",UPPER(TRIM(Sync!$AH233)),""))</f>
        <v/>
      </c>
      <c r="G233">
        <f>IF($F233="","",IF(Sync!$AE233="","",IF(ISNUMBER(Sync!$AE233),IF(AND(Sync!$AE233&gt;=10000101,Sync!$AE233&lt;=99991231),INT(Sync!$AE233/10000),""),IFERROR(VALUE(TRIM(LEFT(Sync!$AE233,FIND("/",Sync!$AE233)-1))),""))))</f>
        <v/>
      </c>
      <c r="H233">
        <f>IF(OR($F233="",$G233=""),"",IF(ISNUMBER(Sync!$AE233),INT(MOD(Sync!$AE233,10000)/100),IFERROR(VALUE(TRIM(LEFT(MID(Sync!$AE233,FIND("/",Sync!$AE233)+1,20),FIND("/",MID(Sync!$AE233,FIND("/",Sync!$AE233)+1,20))-1))),"")))</f>
        <v/>
      </c>
      <c r="I233">
        <f>IF(OR($F233="",$G233=""),"",IF(ISNUMBER(Sync!$AE233),MOD(Sync!$AE233,100),IFERROR(VALUE(TRIM(MID(MID(Sync!$AE233,FIND("/",Sync!$AE233)+1,20),FIND("/",MID(Sync!$AE233,FIND("/",Sync!$AE233)+1,20))+1,20))),"")))</f>
        <v/>
      </c>
      <c r="J233">
        <f>IF($F233="","",IF(OR($G233="",$H233="",$I233="",$G233&lt;1300,$G233&gt;1500,$H233&lt;1,$H233&gt;12,$I233&lt;1,$I233&gt;31),"نامعتبر",RIGHT("0000"&amp;$G233,4)&amp;"/"&amp;RIGHT("00"&amp;$H233,2)&amp;"/"&amp;RIGHT("00"&amp;$I233,2)))</f>
        <v/>
      </c>
      <c r="K233">
        <f>IF(OR($F233="",$J233="",$J233="نامعتبر"),"",LEFT($J233,4)&amp;MID($J233,6,2)&amp;RIGHT($J233,2)&amp;$N233&amp;"|"&amp;"2"&amp;RIGHT("00000"&amp;228,5))</f>
        <v/>
      </c>
      <c r="L233">
        <f>IF($K233="","",COUNTIFS(LdgSellerA,$F233,LdgKeyA,"&lt;"&amp;$K233)+COUNTIFS(LdgSellerB,$F233,LdgKeyB,"&lt;"&amp;$K233)+1)</f>
        <v/>
      </c>
      <c r="M233">
        <f>IF($L233="","",$F233&amp;"|"&amp;RIGHT("000000"&amp;$L233,6))</f>
        <v/>
      </c>
      <c r="N233">
        <f>IF($F233="","",IF(Sync!$AF233="","0000",IF(AND(ISNUMBER(Sync!$AF233),Sync!$AF233&gt;=0,Sync!$AF233&lt;1),RIGHT("00"&amp;HOUR(Sync!$AF233),2)&amp;RIGHT("00"&amp;MINUTE(Sync!$AF233),2),IFERROR(RIGHT("00"&amp;VALUE(LEFT(Sync!$AF233,FIND(":",Sync!$AF233)-1)),2)&amp;RIGHT("00"&amp;VALUE(MID(Sync!$AF233,FIND(":",Sync!$AF233)+1,2)),2),"0000"))))</f>
        <v/>
      </c>
    </row>
    <row r="234">
      <c r="A234">
        <f>IF(OR(Calc!$E238="",Calc!$E238="نامعتبر",Calc!$G238=""),"",Calc!$G238)</f>
        <v/>
      </c>
      <c r="B234">
        <f>IF($A234="","",LEFT(Calc!$E238,4)&amp;MID(Calc!$E238,6,2)&amp;RIGHT(Calc!$E238,2)&amp;Calc!$Q238&amp;"|"&amp;"1"&amp;RIGHT("00000"&amp;229,5))</f>
        <v/>
      </c>
      <c r="C234">
        <f>IF($B234="","",COUNTIFS(LdgSellerA,$A234,LdgKeyA,"&lt;"&amp;$B234)+COUNTIFS(LdgSellerB,$A234,LdgKeyB,"&lt;"&amp;$B234)+1)</f>
        <v/>
      </c>
      <c r="D234">
        <f>IF($C234="","",$A234&amp;"|"&amp;RIGHT("000000"&amp;$C234,6))</f>
        <v/>
      </c>
      <c r="F234">
        <f>IF(Sync!$AH234="","",IF(LEFT(UPPER(TRIM(Sync!$AH234)),2)="SL",UPPER(TRIM(Sync!$AH234)),""))</f>
        <v/>
      </c>
      <c r="G234">
        <f>IF($F234="","",IF(Sync!$AE234="","",IF(ISNUMBER(Sync!$AE234),IF(AND(Sync!$AE234&gt;=10000101,Sync!$AE234&lt;=99991231),INT(Sync!$AE234/10000),""),IFERROR(VALUE(TRIM(LEFT(Sync!$AE234,FIND("/",Sync!$AE234)-1))),""))))</f>
        <v/>
      </c>
      <c r="H234">
        <f>IF(OR($F234="",$G234=""),"",IF(ISNUMBER(Sync!$AE234),INT(MOD(Sync!$AE234,10000)/100),IFERROR(VALUE(TRIM(LEFT(MID(Sync!$AE234,FIND("/",Sync!$AE234)+1,20),FIND("/",MID(Sync!$AE234,FIND("/",Sync!$AE234)+1,20))-1))),"")))</f>
        <v/>
      </c>
      <c r="I234">
        <f>IF(OR($F234="",$G234=""),"",IF(ISNUMBER(Sync!$AE234),MOD(Sync!$AE234,100),IFERROR(VALUE(TRIM(MID(MID(Sync!$AE234,FIND("/",Sync!$AE234)+1,20),FIND("/",MID(Sync!$AE234,FIND("/",Sync!$AE234)+1,20))+1,20))),"")))</f>
        <v/>
      </c>
      <c r="J234">
        <f>IF($F234="","",IF(OR($G234="",$H234="",$I234="",$G234&lt;1300,$G234&gt;1500,$H234&lt;1,$H234&gt;12,$I234&lt;1,$I234&gt;31),"نامعتبر",RIGHT("0000"&amp;$G234,4)&amp;"/"&amp;RIGHT("00"&amp;$H234,2)&amp;"/"&amp;RIGHT("00"&amp;$I234,2)))</f>
        <v/>
      </c>
      <c r="K234">
        <f>IF(OR($F234="",$J234="",$J234="نامعتبر"),"",LEFT($J234,4)&amp;MID($J234,6,2)&amp;RIGHT($J234,2)&amp;$N234&amp;"|"&amp;"2"&amp;RIGHT("00000"&amp;229,5))</f>
        <v/>
      </c>
      <c r="L234">
        <f>IF($K234="","",COUNTIFS(LdgSellerA,$F234,LdgKeyA,"&lt;"&amp;$K234)+COUNTIFS(LdgSellerB,$F234,LdgKeyB,"&lt;"&amp;$K234)+1)</f>
        <v/>
      </c>
      <c r="M234">
        <f>IF($L234="","",$F234&amp;"|"&amp;RIGHT("000000"&amp;$L234,6))</f>
        <v/>
      </c>
      <c r="N234">
        <f>IF($F234="","",IF(Sync!$AF234="","0000",IF(AND(ISNUMBER(Sync!$AF234),Sync!$AF234&gt;=0,Sync!$AF234&lt;1),RIGHT("00"&amp;HOUR(Sync!$AF234),2)&amp;RIGHT("00"&amp;MINUTE(Sync!$AF234),2),IFERROR(RIGHT("00"&amp;VALUE(LEFT(Sync!$AF234,FIND(":",Sync!$AF234)-1)),2)&amp;RIGHT("00"&amp;VALUE(MID(Sync!$AF234,FIND(":",Sync!$AF234)+1,2)),2),"0000"))))</f>
        <v/>
      </c>
    </row>
    <row r="235">
      <c r="A235">
        <f>IF(OR(Calc!$E239="",Calc!$E239="نامعتبر",Calc!$G239=""),"",Calc!$G239)</f>
        <v/>
      </c>
      <c r="B235">
        <f>IF($A235="","",LEFT(Calc!$E239,4)&amp;MID(Calc!$E239,6,2)&amp;RIGHT(Calc!$E239,2)&amp;Calc!$Q239&amp;"|"&amp;"1"&amp;RIGHT("00000"&amp;230,5))</f>
        <v/>
      </c>
      <c r="C235">
        <f>IF($B235="","",COUNTIFS(LdgSellerA,$A235,LdgKeyA,"&lt;"&amp;$B235)+COUNTIFS(LdgSellerB,$A235,LdgKeyB,"&lt;"&amp;$B235)+1)</f>
        <v/>
      </c>
      <c r="D235">
        <f>IF($C235="","",$A235&amp;"|"&amp;RIGHT("000000"&amp;$C235,6))</f>
        <v/>
      </c>
      <c r="F235">
        <f>IF(Sync!$AH235="","",IF(LEFT(UPPER(TRIM(Sync!$AH235)),2)="SL",UPPER(TRIM(Sync!$AH235)),""))</f>
        <v/>
      </c>
      <c r="G235">
        <f>IF($F235="","",IF(Sync!$AE235="","",IF(ISNUMBER(Sync!$AE235),IF(AND(Sync!$AE235&gt;=10000101,Sync!$AE235&lt;=99991231),INT(Sync!$AE235/10000),""),IFERROR(VALUE(TRIM(LEFT(Sync!$AE235,FIND("/",Sync!$AE235)-1))),""))))</f>
        <v/>
      </c>
      <c r="H235">
        <f>IF(OR($F235="",$G235=""),"",IF(ISNUMBER(Sync!$AE235),INT(MOD(Sync!$AE235,10000)/100),IFERROR(VALUE(TRIM(LEFT(MID(Sync!$AE235,FIND("/",Sync!$AE235)+1,20),FIND("/",MID(Sync!$AE235,FIND("/",Sync!$AE235)+1,20))-1))),"")))</f>
        <v/>
      </c>
      <c r="I235">
        <f>IF(OR($F235="",$G235=""),"",IF(ISNUMBER(Sync!$AE235),MOD(Sync!$AE235,100),IFERROR(VALUE(TRIM(MID(MID(Sync!$AE235,FIND("/",Sync!$AE235)+1,20),FIND("/",MID(Sync!$AE235,FIND("/",Sync!$AE235)+1,20))+1,20))),"")))</f>
        <v/>
      </c>
      <c r="J235">
        <f>IF($F235="","",IF(OR($G235="",$H235="",$I235="",$G235&lt;1300,$G235&gt;1500,$H235&lt;1,$H235&gt;12,$I235&lt;1,$I235&gt;31),"نامعتبر",RIGHT("0000"&amp;$G235,4)&amp;"/"&amp;RIGHT("00"&amp;$H235,2)&amp;"/"&amp;RIGHT("00"&amp;$I235,2)))</f>
        <v/>
      </c>
      <c r="K235">
        <f>IF(OR($F235="",$J235="",$J235="نامعتبر"),"",LEFT($J235,4)&amp;MID($J235,6,2)&amp;RIGHT($J235,2)&amp;$N235&amp;"|"&amp;"2"&amp;RIGHT("00000"&amp;230,5))</f>
        <v/>
      </c>
      <c r="L235">
        <f>IF($K235="","",COUNTIFS(LdgSellerA,$F235,LdgKeyA,"&lt;"&amp;$K235)+COUNTIFS(LdgSellerB,$F235,LdgKeyB,"&lt;"&amp;$K235)+1)</f>
        <v/>
      </c>
      <c r="M235">
        <f>IF($L235="","",$F235&amp;"|"&amp;RIGHT("000000"&amp;$L235,6))</f>
        <v/>
      </c>
      <c r="N235">
        <f>IF($F235="","",IF(Sync!$AF235="","0000",IF(AND(ISNUMBER(Sync!$AF235),Sync!$AF235&gt;=0,Sync!$AF235&lt;1),RIGHT("00"&amp;HOUR(Sync!$AF235),2)&amp;RIGHT("00"&amp;MINUTE(Sync!$AF235),2),IFERROR(RIGHT("00"&amp;VALUE(LEFT(Sync!$AF235,FIND(":",Sync!$AF235)-1)),2)&amp;RIGHT("00"&amp;VALUE(MID(Sync!$AF235,FIND(":",Sync!$AF235)+1,2)),2),"0000"))))</f>
        <v/>
      </c>
    </row>
    <row r="236">
      <c r="A236">
        <f>IF(OR(Calc!$E240="",Calc!$E240="نامعتبر",Calc!$G240=""),"",Calc!$G240)</f>
        <v/>
      </c>
      <c r="B236">
        <f>IF($A236="","",LEFT(Calc!$E240,4)&amp;MID(Calc!$E240,6,2)&amp;RIGHT(Calc!$E240,2)&amp;Calc!$Q240&amp;"|"&amp;"1"&amp;RIGHT("00000"&amp;231,5))</f>
        <v/>
      </c>
      <c r="C236">
        <f>IF($B236="","",COUNTIFS(LdgSellerA,$A236,LdgKeyA,"&lt;"&amp;$B236)+COUNTIFS(LdgSellerB,$A236,LdgKeyB,"&lt;"&amp;$B236)+1)</f>
        <v/>
      </c>
      <c r="D236">
        <f>IF($C236="","",$A236&amp;"|"&amp;RIGHT("000000"&amp;$C236,6))</f>
        <v/>
      </c>
      <c r="F236">
        <f>IF(Sync!$AH236="","",IF(LEFT(UPPER(TRIM(Sync!$AH236)),2)="SL",UPPER(TRIM(Sync!$AH236)),""))</f>
        <v/>
      </c>
      <c r="G236">
        <f>IF($F236="","",IF(Sync!$AE236="","",IF(ISNUMBER(Sync!$AE236),IF(AND(Sync!$AE236&gt;=10000101,Sync!$AE236&lt;=99991231),INT(Sync!$AE236/10000),""),IFERROR(VALUE(TRIM(LEFT(Sync!$AE236,FIND("/",Sync!$AE236)-1))),""))))</f>
        <v/>
      </c>
      <c r="H236">
        <f>IF(OR($F236="",$G236=""),"",IF(ISNUMBER(Sync!$AE236),INT(MOD(Sync!$AE236,10000)/100),IFERROR(VALUE(TRIM(LEFT(MID(Sync!$AE236,FIND("/",Sync!$AE236)+1,20),FIND("/",MID(Sync!$AE236,FIND("/",Sync!$AE236)+1,20))-1))),"")))</f>
        <v/>
      </c>
      <c r="I236">
        <f>IF(OR($F236="",$G236=""),"",IF(ISNUMBER(Sync!$AE236),MOD(Sync!$AE236,100),IFERROR(VALUE(TRIM(MID(MID(Sync!$AE236,FIND("/",Sync!$AE236)+1,20),FIND("/",MID(Sync!$AE236,FIND("/",Sync!$AE236)+1,20))+1,20))),"")))</f>
        <v/>
      </c>
      <c r="J236">
        <f>IF($F236="","",IF(OR($G236="",$H236="",$I236="",$G236&lt;1300,$G236&gt;1500,$H236&lt;1,$H236&gt;12,$I236&lt;1,$I236&gt;31),"نامعتبر",RIGHT("0000"&amp;$G236,4)&amp;"/"&amp;RIGHT("00"&amp;$H236,2)&amp;"/"&amp;RIGHT("00"&amp;$I236,2)))</f>
        <v/>
      </c>
      <c r="K236">
        <f>IF(OR($F236="",$J236="",$J236="نامعتبر"),"",LEFT($J236,4)&amp;MID($J236,6,2)&amp;RIGHT($J236,2)&amp;$N236&amp;"|"&amp;"2"&amp;RIGHT("00000"&amp;231,5))</f>
        <v/>
      </c>
      <c r="L236">
        <f>IF($K236="","",COUNTIFS(LdgSellerA,$F236,LdgKeyA,"&lt;"&amp;$K236)+COUNTIFS(LdgSellerB,$F236,LdgKeyB,"&lt;"&amp;$K236)+1)</f>
        <v/>
      </c>
      <c r="M236">
        <f>IF($L236="","",$F236&amp;"|"&amp;RIGHT("000000"&amp;$L236,6))</f>
        <v/>
      </c>
      <c r="N236">
        <f>IF($F236="","",IF(Sync!$AF236="","0000",IF(AND(ISNUMBER(Sync!$AF236),Sync!$AF236&gt;=0,Sync!$AF236&lt;1),RIGHT("00"&amp;HOUR(Sync!$AF236),2)&amp;RIGHT("00"&amp;MINUTE(Sync!$AF236),2),IFERROR(RIGHT("00"&amp;VALUE(LEFT(Sync!$AF236,FIND(":",Sync!$AF236)-1)),2)&amp;RIGHT("00"&amp;VALUE(MID(Sync!$AF236,FIND(":",Sync!$AF236)+1,2)),2),"0000"))))</f>
        <v/>
      </c>
    </row>
    <row r="237">
      <c r="A237">
        <f>IF(OR(Calc!$E241="",Calc!$E241="نامعتبر",Calc!$G241=""),"",Calc!$G241)</f>
        <v/>
      </c>
      <c r="B237">
        <f>IF($A237="","",LEFT(Calc!$E241,4)&amp;MID(Calc!$E241,6,2)&amp;RIGHT(Calc!$E241,2)&amp;Calc!$Q241&amp;"|"&amp;"1"&amp;RIGHT("00000"&amp;232,5))</f>
        <v/>
      </c>
      <c r="C237">
        <f>IF($B237="","",COUNTIFS(LdgSellerA,$A237,LdgKeyA,"&lt;"&amp;$B237)+COUNTIFS(LdgSellerB,$A237,LdgKeyB,"&lt;"&amp;$B237)+1)</f>
        <v/>
      </c>
      <c r="D237">
        <f>IF($C237="","",$A237&amp;"|"&amp;RIGHT("000000"&amp;$C237,6))</f>
        <v/>
      </c>
      <c r="F237">
        <f>IF(Sync!$AH237="","",IF(LEFT(UPPER(TRIM(Sync!$AH237)),2)="SL",UPPER(TRIM(Sync!$AH237)),""))</f>
        <v/>
      </c>
      <c r="G237">
        <f>IF($F237="","",IF(Sync!$AE237="","",IF(ISNUMBER(Sync!$AE237),IF(AND(Sync!$AE237&gt;=10000101,Sync!$AE237&lt;=99991231),INT(Sync!$AE237/10000),""),IFERROR(VALUE(TRIM(LEFT(Sync!$AE237,FIND("/",Sync!$AE237)-1))),""))))</f>
        <v/>
      </c>
      <c r="H237">
        <f>IF(OR($F237="",$G237=""),"",IF(ISNUMBER(Sync!$AE237),INT(MOD(Sync!$AE237,10000)/100),IFERROR(VALUE(TRIM(LEFT(MID(Sync!$AE237,FIND("/",Sync!$AE237)+1,20),FIND("/",MID(Sync!$AE237,FIND("/",Sync!$AE237)+1,20))-1))),"")))</f>
        <v/>
      </c>
      <c r="I237">
        <f>IF(OR($F237="",$G237=""),"",IF(ISNUMBER(Sync!$AE237),MOD(Sync!$AE237,100),IFERROR(VALUE(TRIM(MID(MID(Sync!$AE237,FIND("/",Sync!$AE237)+1,20),FIND("/",MID(Sync!$AE237,FIND("/",Sync!$AE237)+1,20))+1,20))),"")))</f>
        <v/>
      </c>
      <c r="J237">
        <f>IF($F237="","",IF(OR($G237="",$H237="",$I237="",$G237&lt;1300,$G237&gt;1500,$H237&lt;1,$H237&gt;12,$I237&lt;1,$I237&gt;31),"نامعتبر",RIGHT("0000"&amp;$G237,4)&amp;"/"&amp;RIGHT("00"&amp;$H237,2)&amp;"/"&amp;RIGHT("00"&amp;$I237,2)))</f>
        <v/>
      </c>
      <c r="K237">
        <f>IF(OR($F237="",$J237="",$J237="نامعتبر"),"",LEFT($J237,4)&amp;MID($J237,6,2)&amp;RIGHT($J237,2)&amp;$N237&amp;"|"&amp;"2"&amp;RIGHT("00000"&amp;232,5))</f>
        <v/>
      </c>
      <c r="L237">
        <f>IF($K237="","",COUNTIFS(LdgSellerA,$F237,LdgKeyA,"&lt;"&amp;$K237)+COUNTIFS(LdgSellerB,$F237,LdgKeyB,"&lt;"&amp;$K237)+1)</f>
        <v/>
      </c>
      <c r="M237">
        <f>IF($L237="","",$F237&amp;"|"&amp;RIGHT("000000"&amp;$L237,6))</f>
        <v/>
      </c>
      <c r="N237">
        <f>IF($F237="","",IF(Sync!$AF237="","0000",IF(AND(ISNUMBER(Sync!$AF237),Sync!$AF237&gt;=0,Sync!$AF237&lt;1),RIGHT("00"&amp;HOUR(Sync!$AF237),2)&amp;RIGHT("00"&amp;MINUTE(Sync!$AF237),2),IFERROR(RIGHT("00"&amp;VALUE(LEFT(Sync!$AF237,FIND(":",Sync!$AF237)-1)),2)&amp;RIGHT("00"&amp;VALUE(MID(Sync!$AF237,FIND(":",Sync!$AF237)+1,2)),2),"0000"))))</f>
        <v/>
      </c>
    </row>
    <row r="238">
      <c r="A238">
        <f>IF(OR(Calc!$E242="",Calc!$E242="نامعتبر",Calc!$G242=""),"",Calc!$G242)</f>
        <v/>
      </c>
      <c r="B238">
        <f>IF($A238="","",LEFT(Calc!$E242,4)&amp;MID(Calc!$E242,6,2)&amp;RIGHT(Calc!$E242,2)&amp;Calc!$Q242&amp;"|"&amp;"1"&amp;RIGHT("00000"&amp;233,5))</f>
        <v/>
      </c>
      <c r="C238">
        <f>IF($B238="","",COUNTIFS(LdgSellerA,$A238,LdgKeyA,"&lt;"&amp;$B238)+COUNTIFS(LdgSellerB,$A238,LdgKeyB,"&lt;"&amp;$B238)+1)</f>
        <v/>
      </c>
      <c r="D238">
        <f>IF($C238="","",$A238&amp;"|"&amp;RIGHT("000000"&amp;$C238,6))</f>
        <v/>
      </c>
      <c r="F238">
        <f>IF(Sync!$AH238="","",IF(LEFT(UPPER(TRIM(Sync!$AH238)),2)="SL",UPPER(TRIM(Sync!$AH238)),""))</f>
        <v/>
      </c>
      <c r="G238">
        <f>IF($F238="","",IF(Sync!$AE238="","",IF(ISNUMBER(Sync!$AE238),IF(AND(Sync!$AE238&gt;=10000101,Sync!$AE238&lt;=99991231),INT(Sync!$AE238/10000),""),IFERROR(VALUE(TRIM(LEFT(Sync!$AE238,FIND("/",Sync!$AE238)-1))),""))))</f>
        <v/>
      </c>
      <c r="H238">
        <f>IF(OR($F238="",$G238=""),"",IF(ISNUMBER(Sync!$AE238),INT(MOD(Sync!$AE238,10000)/100),IFERROR(VALUE(TRIM(LEFT(MID(Sync!$AE238,FIND("/",Sync!$AE238)+1,20),FIND("/",MID(Sync!$AE238,FIND("/",Sync!$AE238)+1,20))-1))),"")))</f>
        <v/>
      </c>
      <c r="I238">
        <f>IF(OR($F238="",$G238=""),"",IF(ISNUMBER(Sync!$AE238),MOD(Sync!$AE238,100),IFERROR(VALUE(TRIM(MID(MID(Sync!$AE238,FIND("/",Sync!$AE238)+1,20),FIND("/",MID(Sync!$AE238,FIND("/",Sync!$AE238)+1,20))+1,20))),"")))</f>
        <v/>
      </c>
      <c r="J238">
        <f>IF($F238="","",IF(OR($G238="",$H238="",$I238="",$G238&lt;1300,$G238&gt;1500,$H238&lt;1,$H238&gt;12,$I238&lt;1,$I238&gt;31),"نامعتبر",RIGHT("0000"&amp;$G238,4)&amp;"/"&amp;RIGHT("00"&amp;$H238,2)&amp;"/"&amp;RIGHT("00"&amp;$I238,2)))</f>
        <v/>
      </c>
      <c r="K238">
        <f>IF(OR($F238="",$J238="",$J238="نامعتبر"),"",LEFT($J238,4)&amp;MID($J238,6,2)&amp;RIGHT($J238,2)&amp;$N238&amp;"|"&amp;"2"&amp;RIGHT("00000"&amp;233,5))</f>
        <v/>
      </c>
      <c r="L238">
        <f>IF($K238="","",COUNTIFS(LdgSellerA,$F238,LdgKeyA,"&lt;"&amp;$K238)+COUNTIFS(LdgSellerB,$F238,LdgKeyB,"&lt;"&amp;$K238)+1)</f>
        <v/>
      </c>
      <c r="M238">
        <f>IF($L238="","",$F238&amp;"|"&amp;RIGHT("000000"&amp;$L238,6))</f>
        <v/>
      </c>
      <c r="N238">
        <f>IF($F238="","",IF(Sync!$AF238="","0000",IF(AND(ISNUMBER(Sync!$AF238),Sync!$AF238&gt;=0,Sync!$AF238&lt;1),RIGHT("00"&amp;HOUR(Sync!$AF238),2)&amp;RIGHT("00"&amp;MINUTE(Sync!$AF238),2),IFERROR(RIGHT("00"&amp;VALUE(LEFT(Sync!$AF238,FIND(":",Sync!$AF238)-1)),2)&amp;RIGHT("00"&amp;VALUE(MID(Sync!$AF238,FIND(":",Sync!$AF238)+1,2)),2),"0000"))))</f>
        <v/>
      </c>
    </row>
    <row r="239">
      <c r="A239">
        <f>IF(OR(Calc!$E243="",Calc!$E243="نامعتبر",Calc!$G243=""),"",Calc!$G243)</f>
        <v/>
      </c>
      <c r="B239">
        <f>IF($A239="","",LEFT(Calc!$E243,4)&amp;MID(Calc!$E243,6,2)&amp;RIGHT(Calc!$E243,2)&amp;Calc!$Q243&amp;"|"&amp;"1"&amp;RIGHT("00000"&amp;234,5))</f>
        <v/>
      </c>
      <c r="C239">
        <f>IF($B239="","",COUNTIFS(LdgSellerA,$A239,LdgKeyA,"&lt;"&amp;$B239)+COUNTIFS(LdgSellerB,$A239,LdgKeyB,"&lt;"&amp;$B239)+1)</f>
        <v/>
      </c>
      <c r="D239">
        <f>IF($C239="","",$A239&amp;"|"&amp;RIGHT("000000"&amp;$C239,6))</f>
        <v/>
      </c>
      <c r="F239">
        <f>IF(Sync!$AH239="","",IF(LEFT(UPPER(TRIM(Sync!$AH239)),2)="SL",UPPER(TRIM(Sync!$AH239)),""))</f>
        <v/>
      </c>
      <c r="G239">
        <f>IF($F239="","",IF(Sync!$AE239="","",IF(ISNUMBER(Sync!$AE239),IF(AND(Sync!$AE239&gt;=10000101,Sync!$AE239&lt;=99991231),INT(Sync!$AE239/10000),""),IFERROR(VALUE(TRIM(LEFT(Sync!$AE239,FIND("/",Sync!$AE239)-1))),""))))</f>
        <v/>
      </c>
      <c r="H239">
        <f>IF(OR($F239="",$G239=""),"",IF(ISNUMBER(Sync!$AE239),INT(MOD(Sync!$AE239,10000)/100),IFERROR(VALUE(TRIM(LEFT(MID(Sync!$AE239,FIND("/",Sync!$AE239)+1,20),FIND("/",MID(Sync!$AE239,FIND("/",Sync!$AE239)+1,20))-1))),"")))</f>
        <v/>
      </c>
      <c r="I239">
        <f>IF(OR($F239="",$G239=""),"",IF(ISNUMBER(Sync!$AE239),MOD(Sync!$AE239,100),IFERROR(VALUE(TRIM(MID(MID(Sync!$AE239,FIND("/",Sync!$AE239)+1,20),FIND("/",MID(Sync!$AE239,FIND("/",Sync!$AE239)+1,20))+1,20))),"")))</f>
        <v/>
      </c>
      <c r="J239">
        <f>IF($F239="","",IF(OR($G239="",$H239="",$I239="",$G239&lt;1300,$G239&gt;1500,$H239&lt;1,$H239&gt;12,$I239&lt;1,$I239&gt;31),"نامعتبر",RIGHT("0000"&amp;$G239,4)&amp;"/"&amp;RIGHT("00"&amp;$H239,2)&amp;"/"&amp;RIGHT("00"&amp;$I239,2)))</f>
        <v/>
      </c>
      <c r="K239">
        <f>IF(OR($F239="",$J239="",$J239="نامعتبر"),"",LEFT($J239,4)&amp;MID($J239,6,2)&amp;RIGHT($J239,2)&amp;$N239&amp;"|"&amp;"2"&amp;RIGHT("00000"&amp;234,5))</f>
        <v/>
      </c>
      <c r="L239">
        <f>IF($K239="","",COUNTIFS(LdgSellerA,$F239,LdgKeyA,"&lt;"&amp;$K239)+COUNTIFS(LdgSellerB,$F239,LdgKeyB,"&lt;"&amp;$K239)+1)</f>
        <v/>
      </c>
      <c r="M239">
        <f>IF($L239="","",$F239&amp;"|"&amp;RIGHT("000000"&amp;$L239,6))</f>
        <v/>
      </c>
      <c r="N239">
        <f>IF($F239="","",IF(Sync!$AF239="","0000",IF(AND(ISNUMBER(Sync!$AF239),Sync!$AF239&gt;=0,Sync!$AF239&lt;1),RIGHT("00"&amp;HOUR(Sync!$AF239),2)&amp;RIGHT("00"&amp;MINUTE(Sync!$AF239),2),IFERROR(RIGHT("00"&amp;VALUE(LEFT(Sync!$AF239,FIND(":",Sync!$AF239)-1)),2)&amp;RIGHT("00"&amp;VALUE(MID(Sync!$AF239,FIND(":",Sync!$AF239)+1,2)),2),"0000"))))</f>
        <v/>
      </c>
    </row>
    <row r="240">
      <c r="A240">
        <f>IF(OR(Calc!$E244="",Calc!$E244="نامعتبر",Calc!$G244=""),"",Calc!$G244)</f>
        <v/>
      </c>
      <c r="B240">
        <f>IF($A240="","",LEFT(Calc!$E244,4)&amp;MID(Calc!$E244,6,2)&amp;RIGHT(Calc!$E244,2)&amp;Calc!$Q244&amp;"|"&amp;"1"&amp;RIGHT("00000"&amp;235,5))</f>
        <v/>
      </c>
      <c r="C240">
        <f>IF($B240="","",COUNTIFS(LdgSellerA,$A240,LdgKeyA,"&lt;"&amp;$B240)+COUNTIFS(LdgSellerB,$A240,LdgKeyB,"&lt;"&amp;$B240)+1)</f>
        <v/>
      </c>
      <c r="D240">
        <f>IF($C240="","",$A240&amp;"|"&amp;RIGHT("000000"&amp;$C240,6))</f>
        <v/>
      </c>
      <c r="F240">
        <f>IF(Sync!$AH240="","",IF(LEFT(UPPER(TRIM(Sync!$AH240)),2)="SL",UPPER(TRIM(Sync!$AH240)),""))</f>
        <v/>
      </c>
      <c r="G240">
        <f>IF($F240="","",IF(Sync!$AE240="","",IF(ISNUMBER(Sync!$AE240),IF(AND(Sync!$AE240&gt;=10000101,Sync!$AE240&lt;=99991231),INT(Sync!$AE240/10000),""),IFERROR(VALUE(TRIM(LEFT(Sync!$AE240,FIND("/",Sync!$AE240)-1))),""))))</f>
        <v/>
      </c>
      <c r="H240">
        <f>IF(OR($F240="",$G240=""),"",IF(ISNUMBER(Sync!$AE240),INT(MOD(Sync!$AE240,10000)/100),IFERROR(VALUE(TRIM(LEFT(MID(Sync!$AE240,FIND("/",Sync!$AE240)+1,20),FIND("/",MID(Sync!$AE240,FIND("/",Sync!$AE240)+1,20))-1))),"")))</f>
        <v/>
      </c>
      <c r="I240">
        <f>IF(OR($F240="",$G240=""),"",IF(ISNUMBER(Sync!$AE240),MOD(Sync!$AE240,100),IFERROR(VALUE(TRIM(MID(MID(Sync!$AE240,FIND("/",Sync!$AE240)+1,20),FIND("/",MID(Sync!$AE240,FIND("/",Sync!$AE240)+1,20))+1,20))),"")))</f>
        <v/>
      </c>
      <c r="J240">
        <f>IF($F240="","",IF(OR($G240="",$H240="",$I240="",$G240&lt;1300,$G240&gt;1500,$H240&lt;1,$H240&gt;12,$I240&lt;1,$I240&gt;31),"نامعتبر",RIGHT("0000"&amp;$G240,4)&amp;"/"&amp;RIGHT("00"&amp;$H240,2)&amp;"/"&amp;RIGHT("00"&amp;$I240,2)))</f>
        <v/>
      </c>
      <c r="K240">
        <f>IF(OR($F240="",$J240="",$J240="نامعتبر"),"",LEFT($J240,4)&amp;MID($J240,6,2)&amp;RIGHT($J240,2)&amp;$N240&amp;"|"&amp;"2"&amp;RIGHT("00000"&amp;235,5))</f>
        <v/>
      </c>
      <c r="L240">
        <f>IF($K240="","",COUNTIFS(LdgSellerA,$F240,LdgKeyA,"&lt;"&amp;$K240)+COUNTIFS(LdgSellerB,$F240,LdgKeyB,"&lt;"&amp;$K240)+1)</f>
        <v/>
      </c>
      <c r="M240">
        <f>IF($L240="","",$F240&amp;"|"&amp;RIGHT("000000"&amp;$L240,6))</f>
        <v/>
      </c>
      <c r="N240">
        <f>IF($F240="","",IF(Sync!$AF240="","0000",IF(AND(ISNUMBER(Sync!$AF240),Sync!$AF240&gt;=0,Sync!$AF240&lt;1),RIGHT("00"&amp;HOUR(Sync!$AF240),2)&amp;RIGHT("00"&amp;MINUTE(Sync!$AF240),2),IFERROR(RIGHT("00"&amp;VALUE(LEFT(Sync!$AF240,FIND(":",Sync!$AF240)-1)),2)&amp;RIGHT("00"&amp;VALUE(MID(Sync!$AF240,FIND(":",Sync!$AF240)+1,2)),2),"0000"))))</f>
        <v/>
      </c>
    </row>
    <row r="241">
      <c r="A241">
        <f>IF(OR(Calc!$E245="",Calc!$E245="نامعتبر",Calc!$G245=""),"",Calc!$G245)</f>
        <v/>
      </c>
      <c r="B241">
        <f>IF($A241="","",LEFT(Calc!$E245,4)&amp;MID(Calc!$E245,6,2)&amp;RIGHT(Calc!$E245,2)&amp;Calc!$Q245&amp;"|"&amp;"1"&amp;RIGHT("00000"&amp;236,5))</f>
        <v/>
      </c>
      <c r="C241">
        <f>IF($B241="","",COUNTIFS(LdgSellerA,$A241,LdgKeyA,"&lt;"&amp;$B241)+COUNTIFS(LdgSellerB,$A241,LdgKeyB,"&lt;"&amp;$B241)+1)</f>
        <v/>
      </c>
      <c r="D241">
        <f>IF($C241="","",$A241&amp;"|"&amp;RIGHT("000000"&amp;$C241,6))</f>
        <v/>
      </c>
      <c r="F241">
        <f>IF(Sync!$AH241="","",IF(LEFT(UPPER(TRIM(Sync!$AH241)),2)="SL",UPPER(TRIM(Sync!$AH241)),""))</f>
        <v/>
      </c>
      <c r="G241">
        <f>IF($F241="","",IF(Sync!$AE241="","",IF(ISNUMBER(Sync!$AE241),IF(AND(Sync!$AE241&gt;=10000101,Sync!$AE241&lt;=99991231),INT(Sync!$AE241/10000),""),IFERROR(VALUE(TRIM(LEFT(Sync!$AE241,FIND("/",Sync!$AE241)-1))),""))))</f>
        <v/>
      </c>
      <c r="H241">
        <f>IF(OR($F241="",$G241=""),"",IF(ISNUMBER(Sync!$AE241),INT(MOD(Sync!$AE241,10000)/100),IFERROR(VALUE(TRIM(LEFT(MID(Sync!$AE241,FIND("/",Sync!$AE241)+1,20),FIND("/",MID(Sync!$AE241,FIND("/",Sync!$AE241)+1,20))-1))),"")))</f>
        <v/>
      </c>
      <c r="I241">
        <f>IF(OR($F241="",$G241=""),"",IF(ISNUMBER(Sync!$AE241),MOD(Sync!$AE241,100),IFERROR(VALUE(TRIM(MID(MID(Sync!$AE241,FIND("/",Sync!$AE241)+1,20),FIND("/",MID(Sync!$AE241,FIND("/",Sync!$AE241)+1,20))+1,20))),"")))</f>
        <v/>
      </c>
      <c r="J241">
        <f>IF($F241="","",IF(OR($G241="",$H241="",$I241="",$G241&lt;1300,$G241&gt;1500,$H241&lt;1,$H241&gt;12,$I241&lt;1,$I241&gt;31),"نامعتبر",RIGHT("0000"&amp;$G241,4)&amp;"/"&amp;RIGHT("00"&amp;$H241,2)&amp;"/"&amp;RIGHT("00"&amp;$I241,2)))</f>
        <v/>
      </c>
      <c r="K241">
        <f>IF(OR($F241="",$J241="",$J241="نامعتبر"),"",LEFT($J241,4)&amp;MID($J241,6,2)&amp;RIGHT($J241,2)&amp;$N241&amp;"|"&amp;"2"&amp;RIGHT("00000"&amp;236,5))</f>
        <v/>
      </c>
      <c r="L241">
        <f>IF($K241="","",COUNTIFS(LdgSellerA,$F241,LdgKeyA,"&lt;"&amp;$K241)+COUNTIFS(LdgSellerB,$F241,LdgKeyB,"&lt;"&amp;$K241)+1)</f>
        <v/>
      </c>
      <c r="M241">
        <f>IF($L241="","",$F241&amp;"|"&amp;RIGHT("000000"&amp;$L241,6))</f>
        <v/>
      </c>
      <c r="N241">
        <f>IF($F241="","",IF(Sync!$AF241="","0000",IF(AND(ISNUMBER(Sync!$AF241),Sync!$AF241&gt;=0,Sync!$AF241&lt;1),RIGHT("00"&amp;HOUR(Sync!$AF241),2)&amp;RIGHT("00"&amp;MINUTE(Sync!$AF241),2),IFERROR(RIGHT("00"&amp;VALUE(LEFT(Sync!$AF241,FIND(":",Sync!$AF241)-1)),2)&amp;RIGHT("00"&amp;VALUE(MID(Sync!$AF241,FIND(":",Sync!$AF241)+1,2)),2),"0000"))))</f>
        <v/>
      </c>
    </row>
    <row r="242">
      <c r="A242">
        <f>IF(OR(Calc!$E246="",Calc!$E246="نامعتبر",Calc!$G246=""),"",Calc!$G246)</f>
        <v/>
      </c>
      <c r="B242">
        <f>IF($A242="","",LEFT(Calc!$E246,4)&amp;MID(Calc!$E246,6,2)&amp;RIGHT(Calc!$E246,2)&amp;Calc!$Q246&amp;"|"&amp;"1"&amp;RIGHT("00000"&amp;237,5))</f>
        <v/>
      </c>
      <c r="C242">
        <f>IF($B242="","",COUNTIFS(LdgSellerA,$A242,LdgKeyA,"&lt;"&amp;$B242)+COUNTIFS(LdgSellerB,$A242,LdgKeyB,"&lt;"&amp;$B242)+1)</f>
        <v/>
      </c>
      <c r="D242">
        <f>IF($C242="","",$A242&amp;"|"&amp;RIGHT("000000"&amp;$C242,6))</f>
        <v/>
      </c>
      <c r="F242">
        <f>IF(Sync!$AH242="","",IF(LEFT(UPPER(TRIM(Sync!$AH242)),2)="SL",UPPER(TRIM(Sync!$AH242)),""))</f>
        <v/>
      </c>
      <c r="G242">
        <f>IF($F242="","",IF(Sync!$AE242="","",IF(ISNUMBER(Sync!$AE242),IF(AND(Sync!$AE242&gt;=10000101,Sync!$AE242&lt;=99991231),INT(Sync!$AE242/10000),""),IFERROR(VALUE(TRIM(LEFT(Sync!$AE242,FIND("/",Sync!$AE242)-1))),""))))</f>
        <v/>
      </c>
      <c r="H242">
        <f>IF(OR($F242="",$G242=""),"",IF(ISNUMBER(Sync!$AE242),INT(MOD(Sync!$AE242,10000)/100),IFERROR(VALUE(TRIM(LEFT(MID(Sync!$AE242,FIND("/",Sync!$AE242)+1,20),FIND("/",MID(Sync!$AE242,FIND("/",Sync!$AE242)+1,20))-1))),"")))</f>
        <v/>
      </c>
      <c r="I242">
        <f>IF(OR($F242="",$G242=""),"",IF(ISNUMBER(Sync!$AE242),MOD(Sync!$AE242,100),IFERROR(VALUE(TRIM(MID(MID(Sync!$AE242,FIND("/",Sync!$AE242)+1,20),FIND("/",MID(Sync!$AE242,FIND("/",Sync!$AE242)+1,20))+1,20))),"")))</f>
        <v/>
      </c>
      <c r="J242">
        <f>IF($F242="","",IF(OR($G242="",$H242="",$I242="",$G242&lt;1300,$G242&gt;1500,$H242&lt;1,$H242&gt;12,$I242&lt;1,$I242&gt;31),"نامعتبر",RIGHT("0000"&amp;$G242,4)&amp;"/"&amp;RIGHT("00"&amp;$H242,2)&amp;"/"&amp;RIGHT("00"&amp;$I242,2)))</f>
        <v/>
      </c>
      <c r="K242">
        <f>IF(OR($F242="",$J242="",$J242="نامعتبر"),"",LEFT($J242,4)&amp;MID($J242,6,2)&amp;RIGHT($J242,2)&amp;$N242&amp;"|"&amp;"2"&amp;RIGHT("00000"&amp;237,5))</f>
        <v/>
      </c>
      <c r="L242">
        <f>IF($K242="","",COUNTIFS(LdgSellerA,$F242,LdgKeyA,"&lt;"&amp;$K242)+COUNTIFS(LdgSellerB,$F242,LdgKeyB,"&lt;"&amp;$K242)+1)</f>
        <v/>
      </c>
      <c r="M242">
        <f>IF($L242="","",$F242&amp;"|"&amp;RIGHT("000000"&amp;$L242,6))</f>
        <v/>
      </c>
      <c r="N242">
        <f>IF($F242="","",IF(Sync!$AF242="","0000",IF(AND(ISNUMBER(Sync!$AF242),Sync!$AF242&gt;=0,Sync!$AF242&lt;1),RIGHT("00"&amp;HOUR(Sync!$AF242),2)&amp;RIGHT("00"&amp;MINUTE(Sync!$AF242),2),IFERROR(RIGHT("00"&amp;VALUE(LEFT(Sync!$AF242,FIND(":",Sync!$AF242)-1)),2)&amp;RIGHT("00"&amp;VALUE(MID(Sync!$AF242,FIND(":",Sync!$AF242)+1,2)),2),"0000"))))</f>
        <v/>
      </c>
    </row>
    <row r="243">
      <c r="A243">
        <f>IF(OR(Calc!$E247="",Calc!$E247="نامعتبر",Calc!$G247=""),"",Calc!$G247)</f>
        <v/>
      </c>
      <c r="B243">
        <f>IF($A243="","",LEFT(Calc!$E247,4)&amp;MID(Calc!$E247,6,2)&amp;RIGHT(Calc!$E247,2)&amp;Calc!$Q247&amp;"|"&amp;"1"&amp;RIGHT("00000"&amp;238,5))</f>
        <v/>
      </c>
      <c r="C243">
        <f>IF($B243="","",COUNTIFS(LdgSellerA,$A243,LdgKeyA,"&lt;"&amp;$B243)+COUNTIFS(LdgSellerB,$A243,LdgKeyB,"&lt;"&amp;$B243)+1)</f>
        <v/>
      </c>
      <c r="D243">
        <f>IF($C243="","",$A243&amp;"|"&amp;RIGHT("000000"&amp;$C243,6))</f>
        <v/>
      </c>
      <c r="F243">
        <f>IF(Sync!$AH243="","",IF(LEFT(UPPER(TRIM(Sync!$AH243)),2)="SL",UPPER(TRIM(Sync!$AH243)),""))</f>
        <v/>
      </c>
      <c r="G243">
        <f>IF($F243="","",IF(Sync!$AE243="","",IF(ISNUMBER(Sync!$AE243),IF(AND(Sync!$AE243&gt;=10000101,Sync!$AE243&lt;=99991231),INT(Sync!$AE243/10000),""),IFERROR(VALUE(TRIM(LEFT(Sync!$AE243,FIND("/",Sync!$AE243)-1))),""))))</f>
        <v/>
      </c>
      <c r="H243">
        <f>IF(OR($F243="",$G243=""),"",IF(ISNUMBER(Sync!$AE243),INT(MOD(Sync!$AE243,10000)/100),IFERROR(VALUE(TRIM(LEFT(MID(Sync!$AE243,FIND("/",Sync!$AE243)+1,20),FIND("/",MID(Sync!$AE243,FIND("/",Sync!$AE243)+1,20))-1))),"")))</f>
        <v/>
      </c>
      <c r="I243">
        <f>IF(OR($F243="",$G243=""),"",IF(ISNUMBER(Sync!$AE243),MOD(Sync!$AE243,100),IFERROR(VALUE(TRIM(MID(MID(Sync!$AE243,FIND("/",Sync!$AE243)+1,20),FIND("/",MID(Sync!$AE243,FIND("/",Sync!$AE243)+1,20))+1,20))),"")))</f>
        <v/>
      </c>
      <c r="J243">
        <f>IF($F243="","",IF(OR($G243="",$H243="",$I243="",$G243&lt;1300,$G243&gt;1500,$H243&lt;1,$H243&gt;12,$I243&lt;1,$I243&gt;31),"نامعتبر",RIGHT("0000"&amp;$G243,4)&amp;"/"&amp;RIGHT("00"&amp;$H243,2)&amp;"/"&amp;RIGHT("00"&amp;$I243,2)))</f>
        <v/>
      </c>
      <c r="K243">
        <f>IF(OR($F243="",$J243="",$J243="نامعتبر"),"",LEFT($J243,4)&amp;MID($J243,6,2)&amp;RIGHT($J243,2)&amp;$N243&amp;"|"&amp;"2"&amp;RIGHT("00000"&amp;238,5))</f>
        <v/>
      </c>
      <c r="L243">
        <f>IF($K243="","",COUNTIFS(LdgSellerA,$F243,LdgKeyA,"&lt;"&amp;$K243)+COUNTIFS(LdgSellerB,$F243,LdgKeyB,"&lt;"&amp;$K243)+1)</f>
        <v/>
      </c>
      <c r="M243">
        <f>IF($L243="","",$F243&amp;"|"&amp;RIGHT("000000"&amp;$L243,6))</f>
        <v/>
      </c>
      <c r="N243">
        <f>IF($F243="","",IF(Sync!$AF243="","0000",IF(AND(ISNUMBER(Sync!$AF243),Sync!$AF243&gt;=0,Sync!$AF243&lt;1),RIGHT("00"&amp;HOUR(Sync!$AF243),2)&amp;RIGHT("00"&amp;MINUTE(Sync!$AF243),2),IFERROR(RIGHT("00"&amp;VALUE(LEFT(Sync!$AF243,FIND(":",Sync!$AF243)-1)),2)&amp;RIGHT("00"&amp;VALUE(MID(Sync!$AF243,FIND(":",Sync!$AF243)+1,2)),2),"0000"))))</f>
        <v/>
      </c>
    </row>
    <row r="244">
      <c r="A244">
        <f>IF(OR(Calc!$E248="",Calc!$E248="نامعتبر",Calc!$G248=""),"",Calc!$G248)</f>
        <v/>
      </c>
      <c r="B244">
        <f>IF($A244="","",LEFT(Calc!$E248,4)&amp;MID(Calc!$E248,6,2)&amp;RIGHT(Calc!$E248,2)&amp;Calc!$Q248&amp;"|"&amp;"1"&amp;RIGHT("00000"&amp;239,5))</f>
        <v/>
      </c>
      <c r="C244">
        <f>IF($B244="","",COUNTIFS(LdgSellerA,$A244,LdgKeyA,"&lt;"&amp;$B244)+COUNTIFS(LdgSellerB,$A244,LdgKeyB,"&lt;"&amp;$B244)+1)</f>
        <v/>
      </c>
      <c r="D244">
        <f>IF($C244="","",$A244&amp;"|"&amp;RIGHT("000000"&amp;$C244,6))</f>
        <v/>
      </c>
      <c r="F244">
        <f>IF(Sync!$AH244="","",IF(LEFT(UPPER(TRIM(Sync!$AH244)),2)="SL",UPPER(TRIM(Sync!$AH244)),""))</f>
        <v/>
      </c>
      <c r="G244">
        <f>IF($F244="","",IF(Sync!$AE244="","",IF(ISNUMBER(Sync!$AE244),IF(AND(Sync!$AE244&gt;=10000101,Sync!$AE244&lt;=99991231),INT(Sync!$AE244/10000),""),IFERROR(VALUE(TRIM(LEFT(Sync!$AE244,FIND("/",Sync!$AE244)-1))),""))))</f>
        <v/>
      </c>
      <c r="H244">
        <f>IF(OR($F244="",$G244=""),"",IF(ISNUMBER(Sync!$AE244),INT(MOD(Sync!$AE244,10000)/100),IFERROR(VALUE(TRIM(LEFT(MID(Sync!$AE244,FIND("/",Sync!$AE244)+1,20),FIND("/",MID(Sync!$AE244,FIND("/",Sync!$AE244)+1,20))-1))),"")))</f>
        <v/>
      </c>
      <c r="I244">
        <f>IF(OR($F244="",$G244=""),"",IF(ISNUMBER(Sync!$AE244),MOD(Sync!$AE244,100),IFERROR(VALUE(TRIM(MID(MID(Sync!$AE244,FIND("/",Sync!$AE244)+1,20),FIND("/",MID(Sync!$AE244,FIND("/",Sync!$AE244)+1,20))+1,20))),"")))</f>
        <v/>
      </c>
      <c r="J244">
        <f>IF($F244="","",IF(OR($G244="",$H244="",$I244="",$G244&lt;1300,$G244&gt;1500,$H244&lt;1,$H244&gt;12,$I244&lt;1,$I244&gt;31),"نامعتبر",RIGHT("0000"&amp;$G244,4)&amp;"/"&amp;RIGHT("00"&amp;$H244,2)&amp;"/"&amp;RIGHT("00"&amp;$I244,2)))</f>
        <v/>
      </c>
      <c r="K244">
        <f>IF(OR($F244="",$J244="",$J244="نامعتبر"),"",LEFT($J244,4)&amp;MID($J244,6,2)&amp;RIGHT($J244,2)&amp;$N244&amp;"|"&amp;"2"&amp;RIGHT("00000"&amp;239,5))</f>
        <v/>
      </c>
      <c r="L244">
        <f>IF($K244="","",COUNTIFS(LdgSellerA,$F244,LdgKeyA,"&lt;"&amp;$K244)+COUNTIFS(LdgSellerB,$F244,LdgKeyB,"&lt;"&amp;$K244)+1)</f>
        <v/>
      </c>
      <c r="M244">
        <f>IF($L244="","",$F244&amp;"|"&amp;RIGHT("000000"&amp;$L244,6))</f>
        <v/>
      </c>
      <c r="N244">
        <f>IF($F244="","",IF(Sync!$AF244="","0000",IF(AND(ISNUMBER(Sync!$AF244),Sync!$AF244&gt;=0,Sync!$AF244&lt;1),RIGHT("00"&amp;HOUR(Sync!$AF244),2)&amp;RIGHT("00"&amp;MINUTE(Sync!$AF244),2),IFERROR(RIGHT("00"&amp;VALUE(LEFT(Sync!$AF244,FIND(":",Sync!$AF244)-1)),2)&amp;RIGHT("00"&amp;VALUE(MID(Sync!$AF244,FIND(":",Sync!$AF244)+1,2)),2),"0000"))))</f>
        <v/>
      </c>
    </row>
    <row r="245">
      <c r="A245">
        <f>IF(OR(Calc!$E249="",Calc!$E249="نامعتبر",Calc!$G249=""),"",Calc!$G249)</f>
        <v/>
      </c>
      <c r="B245">
        <f>IF($A245="","",LEFT(Calc!$E249,4)&amp;MID(Calc!$E249,6,2)&amp;RIGHT(Calc!$E249,2)&amp;Calc!$Q249&amp;"|"&amp;"1"&amp;RIGHT("00000"&amp;240,5))</f>
        <v/>
      </c>
      <c r="C245">
        <f>IF($B245="","",COUNTIFS(LdgSellerA,$A245,LdgKeyA,"&lt;"&amp;$B245)+COUNTIFS(LdgSellerB,$A245,LdgKeyB,"&lt;"&amp;$B245)+1)</f>
        <v/>
      </c>
      <c r="D245">
        <f>IF($C245="","",$A245&amp;"|"&amp;RIGHT("000000"&amp;$C245,6))</f>
        <v/>
      </c>
      <c r="F245">
        <f>IF(Sync!$AH245="","",IF(LEFT(UPPER(TRIM(Sync!$AH245)),2)="SL",UPPER(TRIM(Sync!$AH245)),""))</f>
        <v/>
      </c>
      <c r="G245">
        <f>IF($F245="","",IF(Sync!$AE245="","",IF(ISNUMBER(Sync!$AE245),IF(AND(Sync!$AE245&gt;=10000101,Sync!$AE245&lt;=99991231),INT(Sync!$AE245/10000),""),IFERROR(VALUE(TRIM(LEFT(Sync!$AE245,FIND("/",Sync!$AE245)-1))),""))))</f>
        <v/>
      </c>
      <c r="H245">
        <f>IF(OR($F245="",$G245=""),"",IF(ISNUMBER(Sync!$AE245),INT(MOD(Sync!$AE245,10000)/100),IFERROR(VALUE(TRIM(LEFT(MID(Sync!$AE245,FIND("/",Sync!$AE245)+1,20),FIND("/",MID(Sync!$AE245,FIND("/",Sync!$AE245)+1,20))-1))),"")))</f>
        <v/>
      </c>
      <c r="I245">
        <f>IF(OR($F245="",$G245=""),"",IF(ISNUMBER(Sync!$AE245),MOD(Sync!$AE245,100),IFERROR(VALUE(TRIM(MID(MID(Sync!$AE245,FIND("/",Sync!$AE245)+1,20),FIND("/",MID(Sync!$AE245,FIND("/",Sync!$AE245)+1,20))+1,20))),"")))</f>
        <v/>
      </c>
      <c r="J245">
        <f>IF($F245="","",IF(OR($G245="",$H245="",$I245="",$G245&lt;1300,$G245&gt;1500,$H245&lt;1,$H245&gt;12,$I245&lt;1,$I245&gt;31),"نامعتبر",RIGHT("0000"&amp;$G245,4)&amp;"/"&amp;RIGHT("00"&amp;$H245,2)&amp;"/"&amp;RIGHT("00"&amp;$I245,2)))</f>
        <v/>
      </c>
      <c r="K245">
        <f>IF(OR($F245="",$J245="",$J245="نامعتبر"),"",LEFT($J245,4)&amp;MID($J245,6,2)&amp;RIGHT($J245,2)&amp;$N245&amp;"|"&amp;"2"&amp;RIGHT("00000"&amp;240,5))</f>
        <v/>
      </c>
      <c r="L245">
        <f>IF($K245="","",COUNTIFS(LdgSellerA,$F245,LdgKeyA,"&lt;"&amp;$K245)+COUNTIFS(LdgSellerB,$F245,LdgKeyB,"&lt;"&amp;$K245)+1)</f>
        <v/>
      </c>
      <c r="M245">
        <f>IF($L245="","",$F245&amp;"|"&amp;RIGHT("000000"&amp;$L245,6))</f>
        <v/>
      </c>
      <c r="N245">
        <f>IF($F245="","",IF(Sync!$AF245="","0000",IF(AND(ISNUMBER(Sync!$AF245),Sync!$AF245&gt;=0,Sync!$AF245&lt;1),RIGHT("00"&amp;HOUR(Sync!$AF245),2)&amp;RIGHT("00"&amp;MINUTE(Sync!$AF245),2),IFERROR(RIGHT("00"&amp;VALUE(LEFT(Sync!$AF245,FIND(":",Sync!$AF245)-1)),2)&amp;RIGHT("00"&amp;VALUE(MID(Sync!$AF245,FIND(":",Sync!$AF245)+1,2)),2),"0000"))))</f>
        <v/>
      </c>
    </row>
    <row r="246">
      <c r="A246">
        <f>IF(OR(Calc!$E250="",Calc!$E250="نامعتبر",Calc!$G250=""),"",Calc!$G250)</f>
        <v/>
      </c>
      <c r="B246">
        <f>IF($A246="","",LEFT(Calc!$E250,4)&amp;MID(Calc!$E250,6,2)&amp;RIGHT(Calc!$E250,2)&amp;Calc!$Q250&amp;"|"&amp;"1"&amp;RIGHT("00000"&amp;241,5))</f>
        <v/>
      </c>
      <c r="C246">
        <f>IF($B246="","",COUNTIFS(LdgSellerA,$A246,LdgKeyA,"&lt;"&amp;$B246)+COUNTIFS(LdgSellerB,$A246,LdgKeyB,"&lt;"&amp;$B246)+1)</f>
        <v/>
      </c>
      <c r="D246">
        <f>IF($C246="","",$A246&amp;"|"&amp;RIGHT("000000"&amp;$C246,6))</f>
        <v/>
      </c>
      <c r="F246">
        <f>IF(Sync!$AH246="","",IF(LEFT(UPPER(TRIM(Sync!$AH246)),2)="SL",UPPER(TRIM(Sync!$AH246)),""))</f>
        <v/>
      </c>
      <c r="G246">
        <f>IF($F246="","",IF(Sync!$AE246="","",IF(ISNUMBER(Sync!$AE246),IF(AND(Sync!$AE246&gt;=10000101,Sync!$AE246&lt;=99991231),INT(Sync!$AE246/10000),""),IFERROR(VALUE(TRIM(LEFT(Sync!$AE246,FIND("/",Sync!$AE246)-1))),""))))</f>
        <v/>
      </c>
      <c r="H246">
        <f>IF(OR($F246="",$G246=""),"",IF(ISNUMBER(Sync!$AE246),INT(MOD(Sync!$AE246,10000)/100),IFERROR(VALUE(TRIM(LEFT(MID(Sync!$AE246,FIND("/",Sync!$AE246)+1,20),FIND("/",MID(Sync!$AE246,FIND("/",Sync!$AE246)+1,20))-1))),"")))</f>
        <v/>
      </c>
      <c r="I246">
        <f>IF(OR($F246="",$G246=""),"",IF(ISNUMBER(Sync!$AE246),MOD(Sync!$AE246,100),IFERROR(VALUE(TRIM(MID(MID(Sync!$AE246,FIND("/",Sync!$AE246)+1,20),FIND("/",MID(Sync!$AE246,FIND("/",Sync!$AE246)+1,20))+1,20))),"")))</f>
        <v/>
      </c>
      <c r="J246">
        <f>IF($F246="","",IF(OR($G246="",$H246="",$I246="",$G246&lt;1300,$G246&gt;1500,$H246&lt;1,$H246&gt;12,$I246&lt;1,$I246&gt;31),"نامعتبر",RIGHT("0000"&amp;$G246,4)&amp;"/"&amp;RIGHT("00"&amp;$H246,2)&amp;"/"&amp;RIGHT("00"&amp;$I246,2)))</f>
        <v/>
      </c>
      <c r="K246">
        <f>IF(OR($F246="",$J246="",$J246="نامعتبر"),"",LEFT($J246,4)&amp;MID($J246,6,2)&amp;RIGHT($J246,2)&amp;$N246&amp;"|"&amp;"2"&amp;RIGHT("00000"&amp;241,5))</f>
        <v/>
      </c>
      <c r="L246">
        <f>IF($K246="","",COUNTIFS(LdgSellerA,$F246,LdgKeyA,"&lt;"&amp;$K246)+COUNTIFS(LdgSellerB,$F246,LdgKeyB,"&lt;"&amp;$K246)+1)</f>
        <v/>
      </c>
      <c r="M246">
        <f>IF($L246="","",$F246&amp;"|"&amp;RIGHT("000000"&amp;$L246,6))</f>
        <v/>
      </c>
      <c r="N246">
        <f>IF($F246="","",IF(Sync!$AF246="","0000",IF(AND(ISNUMBER(Sync!$AF246),Sync!$AF246&gt;=0,Sync!$AF246&lt;1),RIGHT("00"&amp;HOUR(Sync!$AF246),2)&amp;RIGHT("00"&amp;MINUTE(Sync!$AF246),2),IFERROR(RIGHT("00"&amp;VALUE(LEFT(Sync!$AF246,FIND(":",Sync!$AF246)-1)),2)&amp;RIGHT("00"&amp;VALUE(MID(Sync!$AF246,FIND(":",Sync!$AF246)+1,2)),2),"0000"))))</f>
        <v/>
      </c>
    </row>
    <row r="247">
      <c r="A247">
        <f>IF(OR(Calc!$E251="",Calc!$E251="نامعتبر",Calc!$G251=""),"",Calc!$G251)</f>
        <v/>
      </c>
      <c r="B247">
        <f>IF($A247="","",LEFT(Calc!$E251,4)&amp;MID(Calc!$E251,6,2)&amp;RIGHT(Calc!$E251,2)&amp;Calc!$Q251&amp;"|"&amp;"1"&amp;RIGHT("00000"&amp;242,5))</f>
        <v/>
      </c>
      <c r="C247">
        <f>IF($B247="","",COUNTIFS(LdgSellerA,$A247,LdgKeyA,"&lt;"&amp;$B247)+COUNTIFS(LdgSellerB,$A247,LdgKeyB,"&lt;"&amp;$B247)+1)</f>
        <v/>
      </c>
      <c r="D247">
        <f>IF($C247="","",$A247&amp;"|"&amp;RIGHT("000000"&amp;$C247,6))</f>
        <v/>
      </c>
      <c r="F247">
        <f>IF(Sync!$AH247="","",IF(LEFT(UPPER(TRIM(Sync!$AH247)),2)="SL",UPPER(TRIM(Sync!$AH247)),""))</f>
        <v/>
      </c>
      <c r="G247">
        <f>IF($F247="","",IF(Sync!$AE247="","",IF(ISNUMBER(Sync!$AE247),IF(AND(Sync!$AE247&gt;=10000101,Sync!$AE247&lt;=99991231),INT(Sync!$AE247/10000),""),IFERROR(VALUE(TRIM(LEFT(Sync!$AE247,FIND("/",Sync!$AE247)-1))),""))))</f>
        <v/>
      </c>
      <c r="H247">
        <f>IF(OR($F247="",$G247=""),"",IF(ISNUMBER(Sync!$AE247),INT(MOD(Sync!$AE247,10000)/100),IFERROR(VALUE(TRIM(LEFT(MID(Sync!$AE247,FIND("/",Sync!$AE247)+1,20),FIND("/",MID(Sync!$AE247,FIND("/",Sync!$AE247)+1,20))-1))),"")))</f>
        <v/>
      </c>
      <c r="I247">
        <f>IF(OR($F247="",$G247=""),"",IF(ISNUMBER(Sync!$AE247),MOD(Sync!$AE247,100),IFERROR(VALUE(TRIM(MID(MID(Sync!$AE247,FIND("/",Sync!$AE247)+1,20),FIND("/",MID(Sync!$AE247,FIND("/",Sync!$AE247)+1,20))+1,20))),"")))</f>
        <v/>
      </c>
      <c r="J247">
        <f>IF($F247="","",IF(OR($G247="",$H247="",$I247="",$G247&lt;1300,$G247&gt;1500,$H247&lt;1,$H247&gt;12,$I247&lt;1,$I247&gt;31),"نامعتبر",RIGHT("0000"&amp;$G247,4)&amp;"/"&amp;RIGHT("00"&amp;$H247,2)&amp;"/"&amp;RIGHT("00"&amp;$I247,2)))</f>
        <v/>
      </c>
      <c r="K247">
        <f>IF(OR($F247="",$J247="",$J247="نامعتبر"),"",LEFT($J247,4)&amp;MID($J247,6,2)&amp;RIGHT($J247,2)&amp;$N247&amp;"|"&amp;"2"&amp;RIGHT("00000"&amp;242,5))</f>
        <v/>
      </c>
      <c r="L247">
        <f>IF($K247="","",COUNTIFS(LdgSellerA,$F247,LdgKeyA,"&lt;"&amp;$K247)+COUNTIFS(LdgSellerB,$F247,LdgKeyB,"&lt;"&amp;$K247)+1)</f>
        <v/>
      </c>
      <c r="M247">
        <f>IF($L247="","",$F247&amp;"|"&amp;RIGHT("000000"&amp;$L247,6))</f>
        <v/>
      </c>
      <c r="N247">
        <f>IF($F247="","",IF(Sync!$AF247="","0000",IF(AND(ISNUMBER(Sync!$AF247),Sync!$AF247&gt;=0,Sync!$AF247&lt;1),RIGHT("00"&amp;HOUR(Sync!$AF247),2)&amp;RIGHT("00"&amp;MINUTE(Sync!$AF247),2),IFERROR(RIGHT("00"&amp;VALUE(LEFT(Sync!$AF247,FIND(":",Sync!$AF247)-1)),2)&amp;RIGHT("00"&amp;VALUE(MID(Sync!$AF247,FIND(":",Sync!$AF247)+1,2)),2),"0000"))))</f>
        <v/>
      </c>
    </row>
    <row r="248">
      <c r="A248">
        <f>IF(OR(Calc!$E252="",Calc!$E252="نامعتبر",Calc!$G252=""),"",Calc!$G252)</f>
        <v/>
      </c>
      <c r="B248">
        <f>IF($A248="","",LEFT(Calc!$E252,4)&amp;MID(Calc!$E252,6,2)&amp;RIGHT(Calc!$E252,2)&amp;Calc!$Q252&amp;"|"&amp;"1"&amp;RIGHT("00000"&amp;243,5))</f>
        <v/>
      </c>
      <c r="C248">
        <f>IF($B248="","",COUNTIFS(LdgSellerA,$A248,LdgKeyA,"&lt;"&amp;$B248)+COUNTIFS(LdgSellerB,$A248,LdgKeyB,"&lt;"&amp;$B248)+1)</f>
        <v/>
      </c>
      <c r="D248">
        <f>IF($C248="","",$A248&amp;"|"&amp;RIGHT("000000"&amp;$C248,6))</f>
        <v/>
      </c>
      <c r="F248">
        <f>IF(Sync!$AH248="","",IF(LEFT(UPPER(TRIM(Sync!$AH248)),2)="SL",UPPER(TRIM(Sync!$AH248)),""))</f>
        <v/>
      </c>
      <c r="G248">
        <f>IF($F248="","",IF(Sync!$AE248="","",IF(ISNUMBER(Sync!$AE248),IF(AND(Sync!$AE248&gt;=10000101,Sync!$AE248&lt;=99991231),INT(Sync!$AE248/10000),""),IFERROR(VALUE(TRIM(LEFT(Sync!$AE248,FIND("/",Sync!$AE248)-1))),""))))</f>
        <v/>
      </c>
      <c r="H248">
        <f>IF(OR($F248="",$G248=""),"",IF(ISNUMBER(Sync!$AE248),INT(MOD(Sync!$AE248,10000)/100),IFERROR(VALUE(TRIM(LEFT(MID(Sync!$AE248,FIND("/",Sync!$AE248)+1,20),FIND("/",MID(Sync!$AE248,FIND("/",Sync!$AE248)+1,20))-1))),"")))</f>
        <v/>
      </c>
      <c r="I248">
        <f>IF(OR($F248="",$G248=""),"",IF(ISNUMBER(Sync!$AE248),MOD(Sync!$AE248,100),IFERROR(VALUE(TRIM(MID(MID(Sync!$AE248,FIND("/",Sync!$AE248)+1,20),FIND("/",MID(Sync!$AE248,FIND("/",Sync!$AE248)+1,20))+1,20))),"")))</f>
        <v/>
      </c>
      <c r="J248">
        <f>IF($F248="","",IF(OR($G248="",$H248="",$I248="",$G248&lt;1300,$G248&gt;1500,$H248&lt;1,$H248&gt;12,$I248&lt;1,$I248&gt;31),"نامعتبر",RIGHT("0000"&amp;$G248,4)&amp;"/"&amp;RIGHT("00"&amp;$H248,2)&amp;"/"&amp;RIGHT("00"&amp;$I248,2)))</f>
        <v/>
      </c>
      <c r="K248">
        <f>IF(OR($F248="",$J248="",$J248="نامعتبر"),"",LEFT($J248,4)&amp;MID($J248,6,2)&amp;RIGHT($J248,2)&amp;$N248&amp;"|"&amp;"2"&amp;RIGHT("00000"&amp;243,5))</f>
        <v/>
      </c>
      <c r="L248">
        <f>IF($K248="","",COUNTIFS(LdgSellerA,$F248,LdgKeyA,"&lt;"&amp;$K248)+COUNTIFS(LdgSellerB,$F248,LdgKeyB,"&lt;"&amp;$K248)+1)</f>
        <v/>
      </c>
      <c r="M248">
        <f>IF($L248="","",$F248&amp;"|"&amp;RIGHT("000000"&amp;$L248,6))</f>
        <v/>
      </c>
      <c r="N248">
        <f>IF($F248="","",IF(Sync!$AF248="","0000",IF(AND(ISNUMBER(Sync!$AF248),Sync!$AF248&gt;=0,Sync!$AF248&lt;1),RIGHT("00"&amp;HOUR(Sync!$AF248),2)&amp;RIGHT("00"&amp;MINUTE(Sync!$AF248),2),IFERROR(RIGHT("00"&amp;VALUE(LEFT(Sync!$AF248,FIND(":",Sync!$AF248)-1)),2)&amp;RIGHT("00"&amp;VALUE(MID(Sync!$AF248,FIND(":",Sync!$AF248)+1,2)),2),"0000"))))</f>
        <v/>
      </c>
    </row>
    <row r="249">
      <c r="A249">
        <f>IF(OR(Calc!$E253="",Calc!$E253="نامعتبر",Calc!$G253=""),"",Calc!$G253)</f>
        <v/>
      </c>
      <c r="B249">
        <f>IF($A249="","",LEFT(Calc!$E253,4)&amp;MID(Calc!$E253,6,2)&amp;RIGHT(Calc!$E253,2)&amp;Calc!$Q253&amp;"|"&amp;"1"&amp;RIGHT("00000"&amp;244,5))</f>
        <v/>
      </c>
      <c r="C249">
        <f>IF($B249="","",COUNTIFS(LdgSellerA,$A249,LdgKeyA,"&lt;"&amp;$B249)+COUNTIFS(LdgSellerB,$A249,LdgKeyB,"&lt;"&amp;$B249)+1)</f>
        <v/>
      </c>
      <c r="D249">
        <f>IF($C249="","",$A249&amp;"|"&amp;RIGHT("000000"&amp;$C249,6))</f>
        <v/>
      </c>
      <c r="F249">
        <f>IF(Sync!$AH249="","",IF(LEFT(UPPER(TRIM(Sync!$AH249)),2)="SL",UPPER(TRIM(Sync!$AH249)),""))</f>
        <v/>
      </c>
      <c r="G249">
        <f>IF($F249="","",IF(Sync!$AE249="","",IF(ISNUMBER(Sync!$AE249),IF(AND(Sync!$AE249&gt;=10000101,Sync!$AE249&lt;=99991231),INT(Sync!$AE249/10000),""),IFERROR(VALUE(TRIM(LEFT(Sync!$AE249,FIND("/",Sync!$AE249)-1))),""))))</f>
        <v/>
      </c>
      <c r="H249">
        <f>IF(OR($F249="",$G249=""),"",IF(ISNUMBER(Sync!$AE249),INT(MOD(Sync!$AE249,10000)/100),IFERROR(VALUE(TRIM(LEFT(MID(Sync!$AE249,FIND("/",Sync!$AE249)+1,20),FIND("/",MID(Sync!$AE249,FIND("/",Sync!$AE249)+1,20))-1))),"")))</f>
        <v/>
      </c>
      <c r="I249">
        <f>IF(OR($F249="",$G249=""),"",IF(ISNUMBER(Sync!$AE249),MOD(Sync!$AE249,100),IFERROR(VALUE(TRIM(MID(MID(Sync!$AE249,FIND("/",Sync!$AE249)+1,20),FIND("/",MID(Sync!$AE249,FIND("/",Sync!$AE249)+1,20))+1,20))),"")))</f>
        <v/>
      </c>
      <c r="J249">
        <f>IF($F249="","",IF(OR($G249="",$H249="",$I249="",$G249&lt;1300,$G249&gt;1500,$H249&lt;1,$H249&gt;12,$I249&lt;1,$I249&gt;31),"نامعتبر",RIGHT("0000"&amp;$G249,4)&amp;"/"&amp;RIGHT("00"&amp;$H249,2)&amp;"/"&amp;RIGHT("00"&amp;$I249,2)))</f>
        <v/>
      </c>
      <c r="K249">
        <f>IF(OR($F249="",$J249="",$J249="نامعتبر"),"",LEFT($J249,4)&amp;MID($J249,6,2)&amp;RIGHT($J249,2)&amp;$N249&amp;"|"&amp;"2"&amp;RIGHT("00000"&amp;244,5))</f>
        <v/>
      </c>
      <c r="L249">
        <f>IF($K249="","",COUNTIFS(LdgSellerA,$F249,LdgKeyA,"&lt;"&amp;$K249)+COUNTIFS(LdgSellerB,$F249,LdgKeyB,"&lt;"&amp;$K249)+1)</f>
        <v/>
      </c>
      <c r="M249">
        <f>IF($L249="","",$F249&amp;"|"&amp;RIGHT("000000"&amp;$L249,6))</f>
        <v/>
      </c>
      <c r="N249">
        <f>IF($F249="","",IF(Sync!$AF249="","0000",IF(AND(ISNUMBER(Sync!$AF249),Sync!$AF249&gt;=0,Sync!$AF249&lt;1),RIGHT("00"&amp;HOUR(Sync!$AF249),2)&amp;RIGHT("00"&amp;MINUTE(Sync!$AF249),2),IFERROR(RIGHT("00"&amp;VALUE(LEFT(Sync!$AF249,FIND(":",Sync!$AF249)-1)),2)&amp;RIGHT("00"&amp;VALUE(MID(Sync!$AF249,FIND(":",Sync!$AF249)+1,2)),2),"0000"))))</f>
        <v/>
      </c>
    </row>
    <row r="250">
      <c r="A250">
        <f>IF(OR(Calc!$E254="",Calc!$E254="نامعتبر",Calc!$G254=""),"",Calc!$G254)</f>
        <v/>
      </c>
      <c r="B250">
        <f>IF($A250="","",LEFT(Calc!$E254,4)&amp;MID(Calc!$E254,6,2)&amp;RIGHT(Calc!$E254,2)&amp;Calc!$Q254&amp;"|"&amp;"1"&amp;RIGHT("00000"&amp;245,5))</f>
        <v/>
      </c>
      <c r="C250">
        <f>IF($B250="","",COUNTIFS(LdgSellerA,$A250,LdgKeyA,"&lt;"&amp;$B250)+COUNTIFS(LdgSellerB,$A250,LdgKeyB,"&lt;"&amp;$B250)+1)</f>
        <v/>
      </c>
      <c r="D250">
        <f>IF($C250="","",$A250&amp;"|"&amp;RIGHT("000000"&amp;$C250,6))</f>
        <v/>
      </c>
      <c r="F250">
        <f>IF(Sync!$AH250="","",IF(LEFT(UPPER(TRIM(Sync!$AH250)),2)="SL",UPPER(TRIM(Sync!$AH250)),""))</f>
        <v/>
      </c>
      <c r="G250">
        <f>IF($F250="","",IF(Sync!$AE250="","",IF(ISNUMBER(Sync!$AE250),IF(AND(Sync!$AE250&gt;=10000101,Sync!$AE250&lt;=99991231),INT(Sync!$AE250/10000),""),IFERROR(VALUE(TRIM(LEFT(Sync!$AE250,FIND("/",Sync!$AE250)-1))),""))))</f>
        <v/>
      </c>
      <c r="H250">
        <f>IF(OR($F250="",$G250=""),"",IF(ISNUMBER(Sync!$AE250),INT(MOD(Sync!$AE250,10000)/100),IFERROR(VALUE(TRIM(LEFT(MID(Sync!$AE250,FIND("/",Sync!$AE250)+1,20),FIND("/",MID(Sync!$AE250,FIND("/",Sync!$AE250)+1,20))-1))),"")))</f>
        <v/>
      </c>
      <c r="I250">
        <f>IF(OR($F250="",$G250=""),"",IF(ISNUMBER(Sync!$AE250),MOD(Sync!$AE250,100),IFERROR(VALUE(TRIM(MID(MID(Sync!$AE250,FIND("/",Sync!$AE250)+1,20),FIND("/",MID(Sync!$AE250,FIND("/",Sync!$AE250)+1,20))+1,20))),"")))</f>
        <v/>
      </c>
      <c r="J250">
        <f>IF($F250="","",IF(OR($G250="",$H250="",$I250="",$G250&lt;1300,$G250&gt;1500,$H250&lt;1,$H250&gt;12,$I250&lt;1,$I250&gt;31),"نامعتبر",RIGHT("0000"&amp;$G250,4)&amp;"/"&amp;RIGHT("00"&amp;$H250,2)&amp;"/"&amp;RIGHT("00"&amp;$I250,2)))</f>
        <v/>
      </c>
      <c r="K250">
        <f>IF(OR($F250="",$J250="",$J250="نامعتبر"),"",LEFT($J250,4)&amp;MID($J250,6,2)&amp;RIGHT($J250,2)&amp;$N250&amp;"|"&amp;"2"&amp;RIGHT("00000"&amp;245,5))</f>
        <v/>
      </c>
      <c r="L250">
        <f>IF($K250="","",COUNTIFS(LdgSellerA,$F250,LdgKeyA,"&lt;"&amp;$K250)+COUNTIFS(LdgSellerB,$F250,LdgKeyB,"&lt;"&amp;$K250)+1)</f>
        <v/>
      </c>
      <c r="M250">
        <f>IF($L250="","",$F250&amp;"|"&amp;RIGHT("000000"&amp;$L250,6))</f>
        <v/>
      </c>
      <c r="N250">
        <f>IF($F250="","",IF(Sync!$AF250="","0000",IF(AND(ISNUMBER(Sync!$AF250),Sync!$AF250&gt;=0,Sync!$AF250&lt;1),RIGHT("00"&amp;HOUR(Sync!$AF250),2)&amp;RIGHT("00"&amp;MINUTE(Sync!$AF250),2),IFERROR(RIGHT("00"&amp;VALUE(LEFT(Sync!$AF250,FIND(":",Sync!$AF250)-1)),2)&amp;RIGHT("00"&amp;VALUE(MID(Sync!$AF250,FIND(":",Sync!$AF250)+1,2)),2),"0000"))))</f>
        <v/>
      </c>
    </row>
    <row r="251">
      <c r="A251">
        <f>IF(OR(Calc!$E255="",Calc!$E255="نامعتبر",Calc!$G255=""),"",Calc!$G255)</f>
        <v/>
      </c>
      <c r="B251">
        <f>IF($A251="","",LEFT(Calc!$E255,4)&amp;MID(Calc!$E255,6,2)&amp;RIGHT(Calc!$E255,2)&amp;Calc!$Q255&amp;"|"&amp;"1"&amp;RIGHT("00000"&amp;246,5))</f>
        <v/>
      </c>
      <c r="C251">
        <f>IF($B251="","",COUNTIFS(LdgSellerA,$A251,LdgKeyA,"&lt;"&amp;$B251)+COUNTIFS(LdgSellerB,$A251,LdgKeyB,"&lt;"&amp;$B251)+1)</f>
        <v/>
      </c>
      <c r="D251">
        <f>IF($C251="","",$A251&amp;"|"&amp;RIGHT("000000"&amp;$C251,6))</f>
        <v/>
      </c>
      <c r="F251">
        <f>IF(Sync!$AH251="","",IF(LEFT(UPPER(TRIM(Sync!$AH251)),2)="SL",UPPER(TRIM(Sync!$AH251)),""))</f>
        <v/>
      </c>
      <c r="G251">
        <f>IF($F251="","",IF(Sync!$AE251="","",IF(ISNUMBER(Sync!$AE251),IF(AND(Sync!$AE251&gt;=10000101,Sync!$AE251&lt;=99991231),INT(Sync!$AE251/10000),""),IFERROR(VALUE(TRIM(LEFT(Sync!$AE251,FIND("/",Sync!$AE251)-1))),""))))</f>
        <v/>
      </c>
      <c r="H251">
        <f>IF(OR($F251="",$G251=""),"",IF(ISNUMBER(Sync!$AE251),INT(MOD(Sync!$AE251,10000)/100),IFERROR(VALUE(TRIM(LEFT(MID(Sync!$AE251,FIND("/",Sync!$AE251)+1,20),FIND("/",MID(Sync!$AE251,FIND("/",Sync!$AE251)+1,20))-1))),"")))</f>
        <v/>
      </c>
      <c r="I251">
        <f>IF(OR($F251="",$G251=""),"",IF(ISNUMBER(Sync!$AE251),MOD(Sync!$AE251,100),IFERROR(VALUE(TRIM(MID(MID(Sync!$AE251,FIND("/",Sync!$AE251)+1,20),FIND("/",MID(Sync!$AE251,FIND("/",Sync!$AE251)+1,20))+1,20))),"")))</f>
        <v/>
      </c>
      <c r="J251">
        <f>IF($F251="","",IF(OR($G251="",$H251="",$I251="",$G251&lt;1300,$G251&gt;1500,$H251&lt;1,$H251&gt;12,$I251&lt;1,$I251&gt;31),"نامعتبر",RIGHT("0000"&amp;$G251,4)&amp;"/"&amp;RIGHT("00"&amp;$H251,2)&amp;"/"&amp;RIGHT("00"&amp;$I251,2)))</f>
        <v/>
      </c>
      <c r="K251">
        <f>IF(OR($F251="",$J251="",$J251="نامعتبر"),"",LEFT($J251,4)&amp;MID($J251,6,2)&amp;RIGHT($J251,2)&amp;$N251&amp;"|"&amp;"2"&amp;RIGHT("00000"&amp;246,5))</f>
        <v/>
      </c>
      <c r="L251">
        <f>IF($K251="","",COUNTIFS(LdgSellerA,$F251,LdgKeyA,"&lt;"&amp;$K251)+COUNTIFS(LdgSellerB,$F251,LdgKeyB,"&lt;"&amp;$K251)+1)</f>
        <v/>
      </c>
      <c r="M251">
        <f>IF($L251="","",$F251&amp;"|"&amp;RIGHT("000000"&amp;$L251,6))</f>
        <v/>
      </c>
      <c r="N251">
        <f>IF($F251="","",IF(Sync!$AF251="","0000",IF(AND(ISNUMBER(Sync!$AF251),Sync!$AF251&gt;=0,Sync!$AF251&lt;1),RIGHT("00"&amp;HOUR(Sync!$AF251),2)&amp;RIGHT("00"&amp;MINUTE(Sync!$AF251),2),IFERROR(RIGHT("00"&amp;VALUE(LEFT(Sync!$AF251,FIND(":",Sync!$AF251)-1)),2)&amp;RIGHT("00"&amp;VALUE(MID(Sync!$AF251,FIND(":",Sync!$AF251)+1,2)),2),"0000"))))</f>
        <v/>
      </c>
    </row>
    <row r="252">
      <c r="A252">
        <f>IF(OR(Calc!$E256="",Calc!$E256="نامعتبر",Calc!$G256=""),"",Calc!$G256)</f>
        <v/>
      </c>
      <c r="B252">
        <f>IF($A252="","",LEFT(Calc!$E256,4)&amp;MID(Calc!$E256,6,2)&amp;RIGHT(Calc!$E256,2)&amp;Calc!$Q256&amp;"|"&amp;"1"&amp;RIGHT("00000"&amp;247,5))</f>
        <v/>
      </c>
      <c r="C252">
        <f>IF($B252="","",COUNTIFS(LdgSellerA,$A252,LdgKeyA,"&lt;"&amp;$B252)+COUNTIFS(LdgSellerB,$A252,LdgKeyB,"&lt;"&amp;$B252)+1)</f>
        <v/>
      </c>
      <c r="D252">
        <f>IF($C252="","",$A252&amp;"|"&amp;RIGHT("000000"&amp;$C252,6))</f>
        <v/>
      </c>
      <c r="F252">
        <f>IF(Sync!$AH252="","",IF(LEFT(UPPER(TRIM(Sync!$AH252)),2)="SL",UPPER(TRIM(Sync!$AH252)),""))</f>
        <v/>
      </c>
      <c r="G252">
        <f>IF($F252="","",IF(Sync!$AE252="","",IF(ISNUMBER(Sync!$AE252),IF(AND(Sync!$AE252&gt;=10000101,Sync!$AE252&lt;=99991231),INT(Sync!$AE252/10000),""),IFERROR(VALUE(TRIM(LEFT(Sync!$AE252,FIND("/",Sync!$AE252)-1))),""))))</f>
        <v/>
      </c>
      <c r="H252">
        <f>IF(OR($F252="",$G252=""),"",IF(ISNUMBER(Sync!$AE252),INT(MOD(Sync!$AE252,10000)/100),IFERROR(VALUE(TRIM(LEFT(MID(Sync!$AE252,FIND("/",Sync!$AE252)+1,20),FIND("/",MID(Sync!$AE252,FIND("/",Sync!$AE252)+1,20))-1))),"")))</f>
        <v/>
      </c>
      <c r="I252">
        <f>IF(OR($F252="",$G252=""),"",IF(ISNUMBER(Sync!$AE252),MOD(Sync!$AE252,100),IFERROR(VALUE(TRIM(MID(MID(Sync!$AE252,FIND("/",Sync!$AE252)+1,20),FIND("/",MID(Sync!$AE252,FIND("/",Sync!$AE252)+1,20))+1,20))),"")))</f>
        <v/>
      </c>
      <c r="J252">
        <f>IF($F252="","",IF(OR($G252="",$H252="",$I252="",$G252&lt;1300,$G252&gt;1500,$H252&lt;1,$H252&gt;12,$I252&lt;1,$I252&gt;31),"نامعتبر",RIGHT("0000"&amp;$G252,4)&amp;"/"&amp;RIGHT("00"&amp;$H252,2)&amp;"/"&amp;RIGHT("00"&amp;$I252,2)))</f>
        <v/>
      </c>
      <c r="K252">
        <f>IF(OR($F252="",$J252="",$J252="نامعتبر"),"",LEFT($J252,4)&amp;MID($J252,6,2)&amp;RIGHT($J252,2)&amp;$N252&amp;"|"&amp;"2"&amp;RIGHT("00000"&amp;247,5))</f>
        <v/>
      </c>
      <c r="L252">
        <f>IF($K252="","",COUNTIFS(LdgSellerA,$F252,LdgKeyA,"&lt;"&amp;$K252)+COUNTIFS(LdgSellerB,$F252,LdgKeyB,"&lt;"&amp;$K252)+1)</f>
        <v/>
      </c>
      <c r="M252">
        <f>IF($L252="","",$F252&amp;"|"&amp;RIGHT("000000"&amp;$L252,6))</f>
        <v/>
      </c>
      <c r="N252">
        <f>IF($F252="","",IF(Sync!$AF252="","0000",IF(AND(ISNUMBER(Sync!$AF252),Sync!$AF252&gt;=0,Sync!$AF252&lt;1),RIGHT("00"&amp;HOUR(Sync!$AF252),2)&amp;RIGHT("00"&amp;MINUTE(Sync!$AF252),2),IFERROR(RIGHT("00"&amp;VALUE(LEFT(Sync!$AF252,FIND(":",Sync!$AF252)-1)),2)&amp;RIGHT("00"&amp;VALUE(MID(Sync!$AF252,FIND(":",Sync!$AF252)+1,2)),2),"0000"))))</f>
        <v/>
      </c>
    </row>
    <row r="253">
      <c r="A253">
        <f>IF(OR(Calc!$E257="",Calc!$E257="نامعتبر",Calc!$G257=""),"",Calc!$G257)</f>
        <v/>
      </c>
      <c r="B253">
        <f>IF($A253="","",LEFT(Calc!$E257,4)&amp;MID(Calc!$E257,6,2)&amp;RIGHT(Calc!$E257,2)&amp;Calc!$Q257&amp;"|"&amp;"1"&amp;RIGHT("00000"&amp;248,5))</f>
        <v/>
      </c>
      <c r="C253">
        <f>IF($B253="","",COUNTIFS(LdgSellerA,$A253,LdgKeyA,"&lt;"&amp;$B253)+COUNTIFS(LdgSellerB,$A253,LdgKeyB,"&lt;"&amp;$B253)+1)</f>
        <v/>
      </c>
      <c r="D253">
        <f>IF($C253="","",$A253&amp;"|"&amp;RIGHT("000000"&amp;$C253,6))</f>
        <v/>
      </c>
      <c r="F253">
        <f>IF(Sync!$AH253="","",IF(LEFT(UPPER(TRIM(Sync!$AH253)),2)="SL",UPPER(TRIM(Sync!$AH253)),""))</f>
        <v/>
      </c>
      <c r="G253">
        <f>IF($F253="","",IF(Sync!$AE253="","",IF(ISNUMBER(Sync!$AE253),IF(AND(Sync!$AE253&gt;=10000101,Sync!$AE253&lt;=99991231),INT(Sync!$AE253/10000),""),IFERROR(VALUE(TRIM(LEFT(Sync!$AE253,FIND("/",Sync!$AE253)-1))),""))))</f>
        <v/>
      </c>
      <c r="H253">
        <f>IF(OR($F253="",$G253=""),"",IF(ISNUMBER(Sync!$AE253),INT(MOD(Sync!$AE253,10000)/100),IFERROR(VALUE(TRIM(LEFT(MID(Sync!$AE253,FIND("/",Sync!$AE253)+1,20),FIND("/",MID(Sync!$AE253,FIND("/",Sync!$AE253)+1,20))-1))),"")))</f>
        <v/>
      </c>
      <c r="I253">
        <f>IF(OR($F253="",$G253=""),"",IF(ISNUMBER(Sync!$AE253),MOD(Sync!$AE253,100),IFERROR(VALUE(TRIM(MID(MID(Sync!$AE253,FIND("/",Sync!$AE253)+1,20),FIND("/",MID(Sync!$AE253,FIND("/",Sync!$AE253)+1,20))+1,20))),"")))</f>
        <v/>
      </c>
      <c r="J253">
        <f>IF($F253="","",IF(OR($G253="",$H253="",$I253="",$G253&lt;1300,$G253&gt;1500,$H253&lt;1,$H253&gt;12,$I253&lt;1,$I253&gt;31),"نامعتبر",RIGHT("0000"&amp;$G253,4)&amp;"/"&amp;RIGHT("00"&amp;$H253,2)&amp;"/"&amp;RIGHT("00"&amp;$I253,2)))</f>
        <v/>
      </c>
      <c r="K253">
        <f>IF(OR($F253="",$J253="",$J253="نامعتبر"),"",LEFT($J253,4)&amp;MID($J253,6,2)&amp;RIGHT($J253,2)&amp;$N253&amp;"|"&amp;"2"&amp;RIGHT("00000"&amp;248,5))</f>
        <v/>
      </c>
      <c r="L253">
        <f>IF($K253="","",COUNTIFS(LdgSellerA,$F253,LdgKeyA,"&lt;"&amp;$K253)+COUNTIFS(LdgSellerB,$F253,LdgKeyB,"&lt;"&amp;$K253)+1)</f>
        <v/>
      </c>
      <c r="M253">
        <f>IF($L253="","",$F253&amp;"|"&amp;RIGHT("000000"&amp;$L253,6))</f>
        <v/>
      </c>
      <c r="N253">
        <f>IF($F253="","",IF(Sync!$AF253="","0000",IF(AND(ISNUMBER(Sync!$AF253),Sync!$AF253&gt;=0,Sync!$AF253&lt;1),RIGHT("00"&amp;HOUR(Sync!$AF253),2)&amp;RIGHT("00"&amp;MINUTE(Sync!$AF253),2),IFERROR(RIGHT("00"&amp;VALUE(LEFT(Sync!$AF253,FIND(":",Sync!$AF253)-1)),2)&amp;RIGHT("00"&amp;VALUE(MID(Sync!$AF253,FIND(":",Sync!$AF253)+1,2)),2),"0000"))))</f>
        <v/>
      </c>
    </row>
    <row r="254">
      <c r="A254">
        <f>IF(OR(Calc!$E258="",Calc!$E258="نامعتبر",Calc!$G258=""),"",Calc!$G258)</f>
        <v/>
      </c>
      <c r="B254">
        <f>IF($A254="","",LEFT(Calc!$E258,4)&amp;MID(Calc!$E258,6,2)&amp;RIGHT(Calc!$E258,2)&amp;Calc!$Q258&amp;"|"&amp;"1"&amp;RIGHT("00000"&amp;249,5))</f>
        <v/>
      </c>
      <c r="C254">
        <f>IF($B254="","",COUNTIFS(LdgSellerA,$A254,LdgKeyA,"&lt;"&amp;$B254)+COUNTIFS(LdgSellerB,$A254,LdgKeyB,"&lt;"&amp;$B254)+1)</f>
        <v/>
      </c>
      <c r="D254">
        <f>IF($C254="","",$A254&amp;"|"&amp;RIGHT("000000"&amp;$C254,6))</f>
        <v/>
      </c>
      <c r="F254">
        <f>IF(Sync!$AH254="","",IF(LEFT(UPPER(TRIM(Sync!$AH254)),2)="SL",UPPER(TRIM(Sync!$AH254)),""))</f>
        <v/>
      </c>
      <c r="G254">
        <f>IF($F254="","",IF(Sync!$AE254="","",IF(ISNUMBER(Sync!$AE254),IF(AND(Sync!$AE254&gt;=10000101,Sync!$AE254&lt;=99991231),INT(Sync!$AE254/10000),""),IFERROR(VALUE(TRIM(LEFT(Sync!$AE254,FIND("/",Sync!$AE254)-1))),""))))</f>
        <v/>
      </c>
      <c r="H254">
        <f>IF(OR($F254="",$G254=""),"",IF(ISNUMBER(Sync!$AE254),INT(MOD(Sync!$AE254,10000)/100),IFERROR(VALUE(TRIM(LEFT(MID(Sync!$AE254,FIND("/",Sync!$AE254)+1,20),FIND("/",MID(Sync!$AE254,FIND("/",Sync!$AE254)+1,20))-1))),"")))</f>
        <v/>
      </c>
      <c r="I254">
        <f>IF(OR($F254="",$G254=""),"",IF(ISNUMBER(Sync!$AE254),MOD(Sync!$AE254,100),IFERROR(VALUE(TRIM(MID(MID(Sync!$AE254,FIND("/",Sync!$AE254)+1,20),FIND("/",MID(Sync!$AE254,FIND("/",Sync!$AE254)+1,20))+1,20))),"")))</f>
        <v/>
      </c>
      <c r="J254">
        <f>IF($F254="","",IF(OR($G254="",$H254="",$I254="",$G254&lt;1300,$G254&gt;1500,$H254&lt;1,$H254&gt;12,$I254&lt;1,$I254&gt;31),"نامعتبر",RIGHT("0000"&amp;$G254,4)&amp;"/"&amp;RIGHT("00"&amp;$H254,2)&amp;"/"&amp;RIGHT("00"&amp;$I254,2)))</f>
        <v/>
      </c>
      <c r="K254">
        <f>IF(OR($F254="",$J254="",$J254="نامعتبر"),"",LEFT($J254,4)&amp;MID($J254,6,2)&amp;RIGHT($J254,2)&amp;$N254&amp;"|"&amp;"2"&amp;RIGHT("00000"&amp;249,5))</f>
        <v/>
      </c>
      <c r="L254">
        <f>IF($K254="","",COUNTIFS(LdgSellerA,$F254,LdgKeyA,"&lt;"&amp;$K254)+COUNTIFS(LdgSellerB,$F254,LdgKeyB,"&lt;"&amp;$K254)+1)</f>
        <v/>
      </c>
      <c r="M254">
        <f>IF($L254="","",$F254&amp;"|"&amp;RIGHT("000000"&amp;$L254,6))</f>
        <v/>
      </c>
      <c r="N254">
        <f>IF($F254="","",IF(Sync!$AF254="","0000",IF(AND(ISNUMBER(Sync!$AF254),Sync!$AF254&gt;=0,Sync!$AF254&lt;1),RIGHT("00"&amp;HOUR(Sync!$AF254),2)&amp;RIGHT("00"&amp;MINUTE(Sync!$AF254),2),IFERROR(RIGHT("00"&amp;VALUE(LEFT(Sync!$AF254,FIND(":",Sync!$AF254)-1)),2)&amp;RIGHT("00"&amp;VALUE(MID(Sync!$AF254,FIND(":",Sync!$AF254)+1,2)),2),"0000"))))</f>
        <v/>
      </c>
    </row>
    <row r="255">
      <c r="A255">
        <f>IF(OR(Calc!$E259="",Calc!$E259="نامعتبر",Calc!$G259=""),"",Calc!$G259)</f>
        <v/>
      </c>
      <c r="B255">
        <f>IF($A255="","",LEFT(Calc!$E259,4)&amp;MID(Calc!$E259,6,2)&amp;RIGHT(Calc!$E259,2)&amp;Calc!$Q259&amp;"|"&amp;"1"&amp;RIGHT("00000"&amp;250,5))</f>
        <v/>
      </c>
      <c r="C255">
        <f>IF($B255="","",COUNTIFS(LdgSellerA,$A255,LdgKeyA,"&lt;"&amp;$B255)+COUNTIFS(LdgSellerB,$A255,LdgKeyB,"&lt;"&amp;$B255)+1)</f>
        <v/>
      </c>
      <c r="D255">
        <f>IF($C255="","",$A255&amp;"|"&amp;RIGHT("000000"&amp;$C255,6))</f>
        <v/>
      </c>
      <c r="F255">
        <f>IF(Sync!$AH255="","",IF(LEFT(UPPER(TRIM(Sync!$AH255)),2)="SL",UPPER(TRIM(Sync!$AH255)),""))</f>
        <v/>
      </c>
      <c r="G255">
        <f>IF($F255="","",IF(Sync!$AE255="","",IF(ISNUMBER(Sync!$AE255),IF(AND(Sync!$AE255&gt;=10000101,Sync!$AE255&lt;=99991231),INT(Sync!$AE255/10000),""),IFERROR(VALUE(TRIM(LEFT(Sync!$AE255,FIND("/",Sync!$AE255)-1))),""))))</f>
        <v/>
      </c>
      <c r="H255">
        <f>IF(OR($F255="",$G255=""),"",IF(ISNUMBER(Sync!$AE255),INT(MOD(Sync!$AE255,10000)/100),IFERROR(VALUE(TRIM(LEFT(MID(Sync!$AE255,FIND("/",Sync!$AE255)+1,20),FIND("/",MID(Sync!$AE255,FIND("/",Sync!$AE255)+1,20))-1))),"")))</f>
        <v/>
      </c>
      <c r="I255">
        <f>IF(OR($F255="",$G255=""),"",IF(ISNUMBER(Sync!$AE255),MOD(Sync!$AE255,100),IFERROR(VALUE(TRIM(MID(MID(Sync!$AE255,FIND("/",Sync!$AE255)+1,20),FIND("/",MID(Sync!$AE255,FIND("/",Sync!$AE255)+1,20))+1,20))),"")))</f>
        <v/>
      </c>
      <c r="J255">
        <f>IF($F255="","",IF(OR($G255="",$H255="",$I255="",$G255&lt;1300,$G255&gt;1500,$H255&lt;1,$H255&gt;12,$I255&lt;1,$I255&gt;31),"نامعتبر",RIGHT("0000"&amp;$G255,4)&amp;"/"&amp;RIGHT("00"&amp;$H255,2)&amp;"/"&amp;RIGHT("00"&amp;$I255,2)))</f>
        <v/>
      </c>
      <c r="K255">
        <f>IF(OR($F255="",$J255="",$J255="نامعتبر"),"",LEFT($J255,4)&amp;MID($J255,6,2)&amp;RIGHT($J255,2)&amp;$N255&amp;"|"&amp;"2"&amp;RIGHT("00000"&amp;250,5))</f>
        <v/>
      </c>
      <c r="L255">
        <f>IF($K255="","",COUNTIFS(LdgSellerA,$F255,LdgKeyA,"&lt;"&amp;$K255)+COUNTIFS(LdgSellerB,$F255,LdgKeyB,"&lt;"&amp;$K255)+1)</f>
        <v/>
      </c>
      <c r="M255">
        <f>IF($L255="","",$F255&amp;"|"&amp;RIGHT("000000"&amp;$L255,6))</f>
        <v/>
      </c>
      <c r="N255">
        <f>IF($F255="","",IF(Sync!$AF255="","0000",IF(AND(ISNUMBER(Sync!$AF255),Sync!$AF255&gt;=0,Sync!$AF255&lt;1),RIGHT("00"&amp;HOUR(Sync!$AF255),2)&amp;RIGHT("00"&amp;MINUTE(Sync!$AF255),2),IFERROR(RIGHT("00"&amp;VALUE(LEFT(Sync!$AF255,FIND(":",Sync!$AF255)-1)),2)&amp;RIGHT("00"&amp;VALUE(MID(Sync!$AF255,FIND(":",Sync!$AF255)+1,2)),2),"0000"))))</f>
        <v/>
      </c>
    </row>
    <row r="256">
      <c r="A256">
        <f>IF(OR(Calc!$E260="",Calc!$E260="نامعتبر",Calc!$G260=""),"",Calc!$G260)</f>
        <v/>
      </c>
      <c r="B256">
        <f>IF($A256="","",LEFT(Calc!$E260,4)&amp;MID(Calc!$E260,6,2)&amp;RIGHT(Calc!$E260,2)&amp;Calc!$Q260&amp;"|"&amp;"1"&amp;RIGHT("00000"&amp;251,5))</f>
        <v/>
      </c>
      <c r="C256">
        <f>IF($B256="","",COUNTIFS(LdgSellerA,$A256,LdgKeyA,"&lt;"&amp;$B256)+COUNTIFS(LdgSellerB,$A256,LdgKeyB,"&lt;"&amp;$B256)+1)</f>
        <v/>
      </c>
      <c r="D256">
        <f>IF($C256="","",$A256&amp;"|"&amp;RIGHT("000000"&amp;$C256,6))</f>
        <v/>
      </c>
      <c r="F256">
        <f>IF(Sync!$AH256="","",IF(LEFT(UPPER(TRIM(Sync!$AH256)),2)="SL",UPPER(TRIM(Sync!$AH256)),""))</f>
        <v/>
      </c>
      <c r="G256">
        <f>IF($F256="","",IF(Sync!$AE256="","",IF(ISNUMBER(Sync!$AE256),IF(AND(Sync!$AE256&gt;=10000101,Sync!$AE256&lt;=99991231),INT(Sync!$AE256/10000),""),IFERROR(VALUE(TRIM(LEFT(Sync!$AE256,FIND("/",Sync!$AE256)-1))),""))))</f>
        <v/>
      </c>
      <c r="H256">
        <f>IF(OR($F256="",$G256=""),"",IF(ISNUMBER(Sync!$AE256),INT(MOD(Sync!$AE256,10000)/100),IFERROR(VALUE(TRIM(LEFT(MID(Sync!$AE256,FIND("/",Sync!$AE256)+1,20),FIND("/",MID(Sync!$AE256,FIND("/",Sync!$AE256)+1,20))-1))),"")))</f>
        <v/>
      </c>
      <c r="I256">
        <f>IF(OR($F256="",$G256=""),"",IF(ISNUMBER(Sync!$AE256),MOD(Sync!$AE256,100),IFERROR(VALUE(TRIM(MID(MID(Sync!$AE256,FIND("/",Sync!$AE256)+1,20),FIND("/",MID(Sync!$AE256,FIND("/",Sync!$AE256)+1,20))+1,20))),"")))</f>
        <v/>
      </c>
      <c r="J256">
        <f>IF($F256="","",IF(OR($G256="",$H256="",$I256="",$G256&lt;1300,$G256&gt;1500,$H256&lt;1,$H256&gt;12,$I256&lt;1,$I256&gt;31),"نامعتبر",RIGHT("0000"&amp;$G256,4)&amp;"/"&amp;RIGHT("00"&amp;$H256,2)&amp;"/"&amp;RIGHT("00"&amp;$I256,2)))</f>
        <v/>
      </c>
      <c r="K256">
        <f>IF(OR($F256="",$J256="",$J256="نامعتبر"),"",LEFT($J256,4)&amp;MID($J256,6,2)&amp;RIGHT($J256,2)&amp;$N256&amp;"|"&amp;"2"&amp;RIGHT("00000"&amp;251,5))</f>
        <v/>
      </c>
      <c r="L256">
        <f>IF($K256="","",COUNTIFS(LdgSellerA,$F256,LdgKeyA,"&lt;"&amp;$K256)+COUNTIFS(LdgSellerB,$F256,LdgKeyB,"&lt;"&amp;$K256)+1)</f>
        <v/>
      </c>
      <c r="M256">
        <f>IF($L256="","",$F256&amp;"|"&amp;RIGHT("000000"&amp;$L256,6))</f>
        <v/>
      </c>
      <c r="N256">
        <f>IF($F256="","",IF(Sync!$AF256="","0000",IF(AND(ISNUMBER(Sync!$AF256),Sync!$AF256&gt;=0,Sync!$AF256&lt;1),RIGHT("00"&amp;HOUR(Sync!$AF256),2)&amp;RIGHT("00"&amp;MINUTE(Sync!$AF256),2),IFERROR(RIGHT("00"&amp;VALUE(LEFT(Sync!$AF256,FIND(":",Sync!$AF256)-1)),2)&amp;RIGHT("00"&amp;VALUE(MID(Sync!$AF256,FIND(":",Sync!$AF256)+1,2)),2),"0000"))))</f>
        <v/>
      </c>
    </row>
    <row r="257">
      <c r="A257">
        <f>IF(OR(Calc!$E261="",Calc!$E261="نامعتبر",Calc!$G261=""),"",Calc!$G261)</f>
        <v/>
      </c>
      <c r="B257">
        <f>IF($A257="","",LEFT(Calc!$E261,4)&amp;MID(Calc!$E261,6,2)&amp;RIGHT(Calc!$E261,2)&amp;Calc!$Q261&amp;"|"&amp;"1"&amp;RIGHT("00000"&amp;252,5))</f>
        <v/>
      </c>
      <c r="C257">
        <f>IF($B257="","",COUNTIFS(LdgSellerA,$A257,LdgKeyA,"&lt;"&amp;$B257)+COUNTIFS(LdgSellerB,$A257,LdgKeyB,"&lt;"&amp;$B257)+1)</f>
        <v/>
      </c>
      <c r="D257">
        <f>IF($C257="","",$A257&amp;"|"&amp;RIGHT("000000"&amp;$C257,6))</f>
        <v/>
      </c>
      <c r="F257">
        <f>IF(Sync!$AH257="","",IF(LEFT(UPPER(TRIM(Sync!$AH257)),2)="SL",UPPER(TRIM(Sync!$AH257)),""))</f>
        <v/>
      </c>
      <c r="G257">
        <f>IF($F257="","",IF(Sync!$AE257="","",IF(ISNUMBER(Sync!$AE257),IF(AND(Sync!$AE257&gt;=10000101,Sync!$AE257&lt;=99991231),INT(Sync!$AE257/10000),""),IFERROR(VALUE(TRIM(LEFT(Sync!$AE257,FIND("/",Sync!$AE257)-1))),""))))</f>
        <v/>
      </c>
      <c r="H257">
        <f>IF(OR($F257="",$G257=""),"",IF(ISNUMBER(Sync!$AE257),INT(MOD(Sync!$AE257,10000)/100),IFERROR(VALUE(TRIM(LEFT(MID(Sync!$AE257,FIND("/",Sync!$AE257)+1,20),FIND("/",MID(Sync!$AE257,FIND("/",Sync!$AE257)+1,20))-1))),"")))</f>
        <v/>
      </c>
      <c r="I257">
        <f>IF(OR($F257="",$G257=""),"",IF(ISNUMBER(Sync!$AE257),MOD(Sync!$AE257,100),IFERROR(VALUE(TRIM(MID(MID(Sync!$AE257,FIND("/",Sync!$AE257)+1,20),FIND("/",MID(Sync!$AE257,FIND("/",Sync!$AE257)+1,20))+1,20))),"")))</f>
        <v/>
      </c>
      <c r="J257">
        <f>IF($F257="","",IF(OR($G257="",$H257="",$I257="",$G257&lt;1300,$G257&gt;1500,$H257&lt;1,$H257&gt;12,$I257&lt;1,$I257&gt;31),"نامعتبر",RIGHT("0000"&amp;$G257,4)&amp;"/"&amp;RIGHT("00"&amp;$H257,2)&amp;"/"&amp;RIGHT("00"&amp;$I257,2)))</f>
        <v/>
      </c>
      <c r="K257">
        <f>IF(OR($F257="",$J257="",$J257="نامعتبر"),"",LEFT($J257,4)&amp;MID($J257,6,2)&amp;RIGHT($J257,2)&amp;$N257&amp;"|"&amp;"2"&amp;RIGHT("00000"&amp;252,5))</f>
        <v/>
      </c>
      <c r="L257">
        <f>IF($K257="","",COUNTIFS(LdgSellerA,$F257,LdgKeyA,"&lt;"&amp;$K257)+COUNTIFS(LdgSellerB,$F257,LdgKeyB,"&lt;"&amp;$K257)+1)</f>
        <v/>
      </c>
      <c r="M257">
        <f>IF($L257="","",$F257&amp;"|"&amp;RIGHT("000000"&amp;$L257,6))</f>
        <v/>
      </c>
      <c r="N257">
        <f>IF($F257="","",IF(Sync!$AF257="","0000",IF(AND(ISNUMBER(Sync!$AF257),Sync!$AF257&gt;=0,Sync!$AF257&lt;1),RIGHT("00"&amp;HOUR(Sync!$AF257),2)&amp;RIGHT("00"&amp;MINUTE(Sync!$AF257),2),IFERROR(RIGHT("00"&amp;VALUE(LEFT(Sync!$AF257,FIND(":",Sync!$AF257)-1)),2)&amp;RIGHT("00"&amp;VALUE(MID(Sync!$AF257,FIND(":",Sync!$AF257)+1,2)),2),"0000"))))</f>
        <v/>
      </c>
    </row>
    <row r="258">
      <c r="A258">
        <f>IF(OR(Calc!$E262="",Calc!$E262="نامعتبر",Calc!$G262=""),"",Calc!$G262)</f>
        <v/>
      </c>
      <c r="B258">
        <f>IF($A258="","",LEFT(Calc!$E262,4)&amp;MID(Calc!$E262,6,2)&amp;RIGHT(Calc!$E262,2)&amp;Calc!$Q262&amp;"|"&amp;"1"&amp;RIGHT("00000"&amp;253,5))</f>
        <v/>
      </c>
      <c r="C258">
        <f>IF($B258="","",COUNTIFS(LdgSellerA,$A258,LdgKeyA,"&lt;"&amp;$B258)+COUNTIFS(LdgSellerB,$A258,LdgKeyB,"&lt;"&amp;$B258)+1)</f>
        <v/>
      </c>
      <c r="D258">
        <f>IF($C258="","",$A258&amp;"|"&amp;RIGHT("000000"&amp;$C258,6))</f>
        <v/>
      </c>
      <c r="F258">
        <f>IF(Sync!$AH258="","",IF(LEFT(UPPER(TRIM(Sync!$AH258)),2)="SL",UPPER(TRIM(Sync!$AH258)),""))</f>
        <v/>
      </c>
      <c r="G258">
        <f>IF($F258="","",IF(Sync!$AE258="","",IF(ISNUMBER(Sync!$AE258),IF(AND(Sync!$AE258&gt;=10000101,Sync!$AE258&lt;=99991231),INT(Sync!$AE258/10000),""),IFERROR(VALUE(TRIM(LEFT(Sync!$AE258,FIND("/",Sync!$AE258)-1))),""))))</f>
        <v/>
      </c>
      <c r="H258">
        <f>IF(OR($F258="",$G258=""),"",IF(ISNUMBER(Sync!$AE258),INT(MOD(Sync!$AE258,10000)/100),IFERROR(VALUE(TRIM(LEFT(MID(Sync!$AE258,FIND("/",Sync!$AE258)+1,20),FIND("/",MID(Sync!$AE258,FIND("/",Sync!$AE258)+1,20))-1))),"")))</f>
        <v/>
      </c>
      <c r="I258">
        <f>IF(OR($F258="",$G258=""),"",IF(ISNUMBER(Sync!$AE258),MOD(Sync!$AE258,100),IFERROR(VALUE(TRIM(MID(MID(Sync!$AE258,FIND("/",Sync!$AE258)+1,20),FIND("/",MID(Sync!$AE258,FIND("/",Sync!$AE258)+1,20))+1,20))),"")))</f>
        <v/>
      </c>
      <c r="J258">
        <f>IF($F258="","",IF(OR($G258="",$H258="",$I258="",$G258&lt;1300,$G258&gt;1500,$H258&lt;1,$H258&gt;12,$I258&lt;1,$I258&gt;31),"نامعتبر",RIGHT("0000"&amp;$G258,4)&amp;"/"&amp;RIGHT("00"&amp;$H258,2)&amp;"/"&amp;RIGHT("00"&amp;$I258,2)))</f>
        <v/>
      </c>
      <c r="K258">
        <f>IF(OR($F258="",$J258="",$J258="نامعتبر"),"",LEFT($J258,4)&amp;MID($J258,6,2)&amp;RIGHT($J258,2)&amp;$N258&amp;"|"&amp;"2"&amp;RIGHT("00000"&amp;253,5))</f>
        <v/>
      </c>
      <c r="L258">
        <f>IF($K258="","",COUNTIFS(LdgSellerA,$F258,LdgKeyA,"&lt;"&amp;$K258)+COUNTIFS(LdgSellerB,$F258,LdgKeyB,"&lt;"&amp;$K258)+1)</f>
        <v/>
      </c>
      <c r="M258">
        <f>IF($L258="","",$F258&amp;"|"&amp;RIGHT("000000"&amp;$L258,6))</f>
        <v/>
      </c>
      <c r="N258">
        <f>IF($F258="","",IF(Sync!$AF258="","0000",IF(AND(ISNUMBER(Sync!$AF258),Sync!$AF258&gt;=0,Sync!$AF258&lt;1),RIGHT("00"&amp;HOUR(Sync!$AF258),2)&amp;RIGHT("00"&amp;MINUTE(Sync!$AF258),2),IFERROR(RIGHT("00"&amp;VALUE(LEFT(Sync!$AF258,FIND(":",Sync!$AF258)-1)),2)&amp;RIGHT("00"&amp;VALUE(MID(Sync!$AF258,FIND(":",Sync!$AF258)+1,2)),2),"0000"))))</f>
        <v/>
      </c>
    </row>
    <row r="259">
      <c r="A259">
        <f>IF(OR(Calc!$E263="",Calc!$E263="نامعتبر",Calc!$G263=""),"",Calc!$G263)</f>
        <v/>
      </c>
      <c r="B259">
        <f>IF($A259="","",LEFT(Calc!$E263,4)&amp;MID(Calc!$E263,6,2)&amp;RIGHT(Calc!$E263,2)&amp;Calc!$Q263&amp;"|"&amp;"1"&amp;RIGHT("00000"&amp;254,5))</f>
        <v/>
      </c>
      <c r="C259">
        <f>IF($B259="","",COUNTIFS(LdgSellerA,$A259,LdgKeyA,"&lt;"&amp;$B259)+COUNTIFS(LdgSellerB,$A259,LdgKeyB,"&lt;"&amp;$B259)+1)</f>
        <v/>
      </c>
      <c r="D259">
        <f>IF($C259="","",$A259&amp;"|"&amp;RIGHT("000000"&amp;$C259,6))</f>
        <v/>
      </c>
      <c r="F259">
        <f>IF(Sync!$AH259="","",IF(LEFT(UPPER(TRIM(Sync!$AH259)),2)="SL",UPPER(TRIM(Sync!$AH259)),""))</f>
        <v/>
      </c>
      <c r="G259">
        <f>IF($F259="","",IF(Sync!$AE259="","",IF(ISNUMBER(Sync!$AE259),IF(AND(Sync!$AE259&gt;=10000101,Sync!$AE259&lt;=99991231),INT(Sync!$AE259/10000),""),IFERROR(VALUE(TRIM(LEFT(Sync!$AE259,FIND("/",Sync!$AE259)-1))),""))))</f>
        <v/>
      </c>
      <c r="H259">
        <f>IF(OR($F259="",$G259=""),"",IF(ISNUMBER(Sync!$AE259),INT(MOD(Sync!$AE259,10000)/100),IFERROR(VALUE(TRIM(LEFT(MID(Sync!$AE259,FIND("/",Sync!$AE259)+1,20),FIND("/",MID(Sync!$AE259,FIND("/",Sync!$AE259)+1,20))-1))),"")))</f>
        <v/>
      </c>
      <c r="I259">
        <f>IF(OR($F259="",$G259=""),"",IF(ISNUMBER(Sync!$AE259),MOD(Sync!$AE259,100),IFERROR(VALUE(TRIM(MID(MID(Sync!$AE259,FIND("/",Sync!$AE259)+1,20),FIND("/",MID(Sync!$AE259,FIND("/",Sync!$AE259)+1,20))+1,20))),"")))</f>
        <v/>
      </c>
      <c r="J259">
        <f>IF($F259="","",IF(OR($G259="",$H259="",$I259="",$G259&lt;1300,$G259&gt;1500,$H259&lt;1,$H259&gt;12,$I259&lt;1,$I259&gt;31),"نامعتبر",RIGHT("0000"&amp;$G259,4)&amp;"/"&amp;RIGHT("00"&amp;$H259,2)&amp;"/"&amp;RIGHT("00"&amp;$I259,2)))</f>
        <v/>
      </c>
      <c r="K259">
        <f>IF(OR($F259="",$J259="",$J259="نامعتبر"),"",LEFT($J259,4)&amp;MID($J259,6,2)&amp;RIGHT($J259,2)&amp;$N259&amp;"|"&amp;"2"&amp;RIGHT("00000"&amp;254,5))</f>
        <v/>
      </c>
      <c r="L259">
        <f>IF($K259="","",COUNTIFS(LdgSellerA,$F259,LdgKeyA,"&lt;"&amp;$K259)+COUNTIFS(LdgSellerB,$F259,LdgKeyB,"&lt;"&amp;$K259)+1)</f>
        <v/>
      </c>
      <c r="M259">
        <f>IF($L259="","",$F259&amp;"|"&amp;RIGHT("000000"&amp;$L259,6))</f>
        <v/>
      </c>
      <c r="N259">
        <f>IF($F259="","",IF(Sync!$AF259="","0000",IF(AND(ISNUMBER(Sync!$AF259),Sync!$AF259&gt;=0,Sync!$AF259&lt;1),RIGHT("00"&amp;HOUR(Sync!$AF259),2)&amp;RIGHT("00"&amp;MINUTE(Sync!$AF259),2),IFERROR(RIGHT("00"&amp;VALUE(LEFT(Sync!$AF259,FIND(":",Sync!$AF259)-1)),2)&amp;RIGHT("00"&amp;VALUE(MID(Sync!$AF259,FIND(":",Sync!$AF259)+1,2)),2),"0000"))))</f>
        <v/>
      </c>
    </row>
    <row r="260">
      <c r="A260">
        <f>IF(OR(Calc!$E264="",Calc!$E264="نامعتبر",Calc!$G264=""),"",Calc!$G264)</f>
        <v/>
      </c>
      <c r="B260">
        <f>IF($A260="","",LEFT(Calc!$E264,4)&amp;MID(Calc!$E264,6,2)&amp;RIGHT(Calc!$E264,2)&amp;Calc!$Q264&amp;"|"&amp;"1"&amp;RIGHT("00000"&amp;255,5))</f>
        <v/>
      </c>
      <c r="C260">
        <f>IF($B260="","",COUNTIFS(LdgSellerA,$A260,LdgKeyA,"&lt;"&amp;$B260)+COUNTIFS(LdgSellerB,$A260,LdgKeyB,"&lt;"&amp;$B260)+1)</f>
        <v/>
      </c>
      <c r="D260">
        <f>IF($C260="","",$A260&amp;"|"&amp;RIGHT("000000"&amp;$C260,6))</f>
        <v/>
      </c>
      <c r="F260">
        <f>IF(Sync!$AH260="","",IF(LEFT(UPPER(TRIM(Sync!$AH260)),2)="SL",UPPER(TRIM(Sync!$AH260)),""))</f>
        <v/>
      </c>
      <c r="G260">
        <f>IF($F260="","",IF(Sync!$AE260="","",IF(ISNUMBER(Sync!$AE260),IF(AND(Sync!$AE260&gt;=10000101,Sync!$AE260&lt;=99991231),INT(Sync!$AE260/10000),""),IFERROR(VALUE(TRIM(LEFT(Sync!$AE260,FIND("/",Sync!$AE260)-1))),""))))</f>
        <v/>
      </c>
      <c r="H260">
        <f>IF(OR($F260="",$G260=""),"",IF(ISNUMBER(Sync!$AE260),INT(MOD(Sync!$AE260,10000)/100),IFERROR(VALUE(TRIM(LEFT(MID(Sync!$AE260,FIND("/",Sync!$AE260)+1,20),FIND("/",MID(Sync!$AE260,FIND("/",Sync!$AE260)+1,20))-1))),"")))</f>
        <v/>
      </c>
      <c r="I260">
        <f>IF(OR($F260="",$G260=""),"",IF(ISNUMBER(Sync!$AE260),MOD(Sync!$AE260,100),IFERROR(VALUE(TRIM(MID(MID(Sync!$AE260,FIND("/",Sync!$AE260)+1,20),FIND("/",MID(Sync!$AE260,FIND("/",Sync!$AE260)+1,20))+1,20))),"")))</f>
        <v/>
      </c>
      <c r="J260">
        <f>IF($F260="","",IF(OR($G260="",$H260="",$I260="",$G260&lt;1300,$G260&gt;1500,$H260&lt;1,$H260&gt;12,$I260&lt;1,$I260&gt;31),"نامعتبر",RIGHT("0000"&amp;$G260,4)&amp;"/"&amp;RIGHT("00"&amp;$H260,2)&amp;"/"&amp;RIGHT("00"&amp;$I260,2)))</f>
        <v/>
      </c>
      <c r="K260">
        <f>IF(OR($F260="",$J260="",$J260="نامعتبر"),"",LEFT($J260,4)&amp;MID($J260,6,2)&amp;RIGHT($J260,2)&amp;$N260&amp;"|"&amp;"2"&amp;RIGHT("00000"&amp;255,5))</f>
        <v/>
      </c>
      <c r="L260">
        <f>IF($K260="","",COUNTIFS(LdgSellerA,$F260,LdgKeyA,"&lt;"&amp;$K260)+COUNTIFS(LdgSellerB,$F260,LdgKeyB,"&lt;"&amp;$K260)+1)</f>
        <v/>
      </c>
      <c r="M260">
        <f>IF($L260="","",$F260&amp;"|"&amp;RIGHT("000000"&amp;$L260,6))</f>
        <v/>
      </c>
      <c r="N260">
        <f>IF($F260="","",IF(Sync!$AF260="","0000",IF(AND(ISNUMBER(Sync!$AF260),Sync!$AF260&gt;=0,Sync!$AF260&lt;1),RIGHT("00"&amp;HOUR(Sync!$AF260),2)&amp;RIGHT("00"&amp;MINUTE(Sync!$AF260),2),IFERROR(RIGHT("00"&amp;VALUE(LEFT(Sync!$AF260,FIND(":",Sync!$AF260)-1)),2)&amp;RIGHT("00"&amp;VALUE(MID(Sync!$AF260,FIND(":",Sync!$AF260)+1,2)),2),"0000"))))</f>
        <v/>
      </c>
    </row>
    <row r="261">
      <c r="A261">
        <f>IF(OR(Calc!$E265="",Calc!$E265="نامعتبر",Calc!$G265=""),"",Calc!$G265)</f>
        <v/>
      </c>
      <c r="B261">
        <f>IF($A261="","",LEFT(Calc!$E265,4)&amp;MID(Calc!$E265,6,2)&amp;RIGHT(Calc!$E265,2)&amp;Calc!$Q265&amp;"|"&amp;"1"&amp;RIGHT("00000"&amp;256,5))</f>
        <v/>
      </c>
      <c r="C261">
        <f>IF($B261="","",COUNTIFS(LdgSellerA,$A261,LdgKeyA,"&lt;"&amp;$B261)+COUNTIFS(LdgSellerB,$A261,LdgKeyB,"&lt;"&amp;$B261)+1)</f>
        <v/>
      </c>
      <c r="D261">
        <f>IF($C261="","",$A261&amp;"|"&amp;RIGHT("000000"&amp;$C261,6))</f>
        <v/>
      </c>
      <c r="F261">
        <f>IF(Sync!$AH261="","",IF(LEFT(UPPER(TRIM(Sync!$AH261)),2)="SL",UPPER(TRIM(Sync!$AH261)),""))</f>
        <v/>
      </c>
      <c r="G261">
        <f>IF($F261="","",IF(Sync!$AE261="","",IF(ISNUMBER(Sync!$AE261),IF(AND(Sync!$AE261&gt;=10000101,Sync!$AE261&lt;=99991231),INT(Sync!$AE261/10000),""),IFERROR(VALUE(TRIM(LEFT(Sync!$AE261,FIND("/",Sync!$AE261)-1))),""))))</f>
        <v/>
      </c>
      <c r="H261">
        <f>IF(OR($F261="",$G261=""),"",IF(ISNUMBER(Sync!$AE261),INT(MOD(Sync!$AE261,10000)/100),IFERROR(VALUE(TRIM(LEFT(MID(Sync!$AE261,FIND("/",Sync!$AE261)+1,20),FIND("/",MID(Sync!$AE261,FIND("/",Sync!$AE261)+1,20))-1))),"")))</f>
        <v/>
      </c>
      <c r="I261">
        <f>IF(OR($F261="",$G261=""),"",IF(ISNUMBER(Sync!$AE261),MOD(Sync!$AE261,100),IFERROR(VALUE(TRIM(MID(MID(Sync!$AE261,FIND("/",Sync!$AE261)+1,20),FIND("/",MID(Sync!$AE261,FIND("/",Sync!$AE261)+1,20))+1,20))),"")))</f>
        <v/>
      </c>
      <c r="J261">
        <f>IF($F261="","",IF(OR($G261="",$H261="",$I261="",$G261&lt;1300,$G261&gt;1500,$H261&lt;1,$H261&gt;12,$I261&lt;1,$I261&gt;31),"نامعتبر",RIGHT("0000"&amp;$G261,4)&amp;"/"&amp;RIGHT("00"&amp;$H261,2)&amp;"/"&amp;RIGHT("00"&amp;$I261,2)))</f>
        <v/>
      </c>
      <c r="K261">
        <f>IF(OR($F261="",$J261="",$J261="نامعتبر"),"",LEFT($J261,4)&amp;MID($J261,6,2)&amp;RIGHT($J261,2)&amp;$N261&amp;"|"&amp;"2"&amp;RIGHT("00000"&amp;256,5))</f>
        <v/>
      </c>
      <c r="L261">
        <f>IF($K261="","",COUNTIFS(LdgSellerA,$F261,LdgKeyA,"&lt;"&amp;$K261)+COUNTIFS(LdgSellerB,$F261,LdgKeyB,"&lt;"&amp;$K261)+1)</f>
        <v/>
      </c>
      <c r="M261">
        <f>IF($L261="","",$F261&amp;"|"&amp;RIGHT("000000"&amp;$L261,6))</f>
        <v/>
      </c>
      <c r="N261">
        <f>IF($F261="","",IF(Sync!$AF261="","0000",IF(AND(ISNUMBER(Sync!$AF261),Sync!$AF261&gt;=0,Sync!$AF261&lt;1),RIGHT("00"&amp;HOUR(Sync!$AF261),2)&amp;RIGHT("00"&amp;MINUTE(Sync!$AF261),2),IFERROR(RIGHT("00"&amp;VALUE(LEFT(Sync!$AF261,FIND(":",Sync!$AF261)-1)),2)&amp;RIGHT("00"&amp;VALUE(MID(Sync!$AF261,FIND(":",Sync!$AF261)+1,2)),2),"0000"))))</f>
        <v/>
      </c>
    </row>
    <row r="262">
      <c r="A262">
        <f>IF(OR(Calc!$E266="",Calc!$E266="نامعتبر",Calc!$G266=""),"",Calc!$G266)</f>
        <v/>
      </c>
      <c r="B262">
        <f>IF($A262="","",LEFT(Calc!$E266,4)&amp;MID(Calc!$E266,6,2)&amp;RIGHT(Calc!$E266,2)&amp;Calc!$Q266&amp;"|"&amp;"1"&amp;RIGHT("00000"&amp;257,5))</f>
        <v/>
      </c>
      <c r="C262">
        <f>IF($B262="","",COUNTIFS(LdgSellerA,$A262,LdgKeyA,"&lt;"&amp;$B262)+COUNTIFS(LdgSellerB,$A262,LdgKeyB,"&lt;"&amp;$B262)+1)</f>
        <v/>
      </c>
      <c r="D262">
        <f>IF($C262="","",$A262&amp;"|"&amp;RIGHT("000000"&amp;$C262,6))</f>
        <v/>
      </c>
      <c r="F262">
        <f>IF(Sync!$AH262="","",IF(LEFT(UPPER(TRIM(Sync!$AH262)),2)="SL",UPPER(TRIM(Sync!$AH262)),""))</f>
        <v/>
      </c>
      <c r="G262">
        <f>IF($F262="","",IF(Sync!$AE262="","",IF(ISNUMBER(Sync!$AE262),IF(AND(Sync!$AE262&gt;=10000101,Sync!$AE262&lt;=99991231),INT(Sync!$AE262/10000),""),IFERROR(VALUE(TRIM(LEFT(Sync!$AE262,FIND("/",Sync!$AE262)-1))),""))))</f>
        <v/>
      </c>
      <c r="H262">
        <f>IF(OR($F262="",$G262=""),"",IF(ISNUMBER(Sync!$AE262),INT(MOD(Sync!$AE262,10000)/100),IFERROR(VALUE(TRIM(LEFT(MID(Sync!$AE262,FIND("/",Sync!$AE262)+1,20),FIND("/",MID(Sync!$AE262,FIND("/",Sync!$AE262)+1,20))-1))),"")))</f>
        <v/>
      </c>
      <c r="I262">
        <f>IF(OR($F262="",$G262=""),"",IF(ISNUMBER(Sync!$AE262),MOD(Sync!$AE262,100),IFERROR(VALUE(TRIM(MID(MID(Sync!$AE262,FIND("/",Sync!$AE262)+1,20),FIND("/",MID(Sync!$AE262,FIND("/",Sync!$AE262)+1,20))+1,20))),"")))</f>
        <v/>
      </c>
      <c r="J262">
        <f>IF($F262="","",IF(OR($G262="",$H262="",$I262="",$G262&lt;1300,$G262&gt;1500,$H262&lt;1,$H262&gt;12,$I262&lt;1,$I262&gt;31),"نامعتبر",RIGHT("0000"&amp;$G262,4)&amp;"/"&amp;RIGHT("00"&amp;$H262,2)&amp;"/"&amp;RIGHT("00"&amp;$I262,2)))</f>
        <v/>
      </c>
      <c r="K262">
        <f>IF(OR($F262="",$J262="",$J262="نامعتبر"),"",LEFT($J262,4)&amp;MID($J262,6,2)&amp;RIGHT($J262,2)&amp;$N262&amp;"|"&amp;"2"&amp;RIGHT("00000"&amp;257,5))</f>
        <v/>
      </c>
      <c r="L262">
        <f>IF($K262="","",COUNTIFS(LdgSellerA,$F262,LdgKeyA,"&lt;"&amp;$K262)+COUNTIFS(LdgSellerB,$F262,LdgKeyB,"&lt;"&amp;$K262)+1)</f>
        <v/>
      </c>
      <c r="M262">
        <f>IF($L262="","",$F262&amp;"|"&amp;RIGHT("000000"&amp;$L262,6))</f>
        <v/>
      </c>
      <c r="N262">
        <f>IF($F262="","",IF(Sync!$AF262="","0000",IF(AND(ISNUMBER(Sync!$AF262),Sync!$AF262&gt;=0,Sync!$AF262&lt;1),RIGHT("00"&amp;HOUR(Sync!$AF262),2)&amp;RIGHT("00"&amp;MINUTE(Sync!$AF262),2),IFERROR(RIGHT("00"&amp;VALUE(LEFT(Sync!$AF262,FIND(":",Sync!$AF262)-1)),2)&amp;RIGHT("00"&amp;VALUE(MID(Sync!$AF262,FIND(":",Sync!$AF262)+1,2)),2),"0000"))))</f>
        <v/>
      </c>
    </row>
    <row r="263">
      <c r="A263">
        <f>IF(OR(Calc!$E267="",Calc!$E267="نامعتبر",Calc!$G267=""),"",Calc!$G267)</f>
        <v/>
      </c>
      <c r="B263">
        <f>IF($A263="","",LEFT(Calc!$E267,4)&amp;MID(Calc!$E267,6,2)&amp;RIGHT(Calc!$E267,2)&amp;Calc!$Q267&amp;"|"&amp;"1"&amp;RIGHT("00000"&amp;258,5))</f>
        <v/>
      </c>
      <c r="C263">
        <f>IF($B263="","",COUNTIFS(LdgSellerA,$A263,LdgKeyA,"&lt;"&amp;$B263)+COUNTIFS(LdgSellerB,$A263,LdgKeyB,"&lt;"&amp;$B263)+1)</f>
        <v/>
      </c>
      <c r="D263">
        <f>IF($C263="","",$A263&amp;"|"&amp;RIGHT("000000"&amp;$C263,6))</f>
        <v/>
      </c>
      <c r="F263">
        <f>IF(Sync!$AH263="","",IF(LEFT(UPPER(TRIM(Sync!$AH263)),2)="SL",UPPER(TRIM(Sync!$AH263)),""))</f>
        <v/>
      </c>
      <c r="G263">
        <f>IF($F263="","",IF(Sync!$AE263="","",IF(ISNUMBER(Sync!$AE263),IF(AND(Sync!$AE263&gt;=10000101,Sync!$AE263&lt;=99991231),INT(Sync!$AE263/10000),""),IFERROR(VALUE(TRIM(LEFT(Sync!$AE263,FIND("/",Sync!$AE263)-1))),""))))</f>
        <v/>
      </c>
      <c r="H263">
        <f>IF(OR($F263="",$G263=""),"",IF(ISNUMBER(Sync!$AE263),INT(MOD(Sync!$AE263,10000)/100),IFERROR(VALUE(TRIM(LEFT(MID(Sync!$AE263,FIND("/",Sync!$AE263)+1,20),FIND("/",MID(Sync!$AE263,FIND("/",Sync!$AE263)+1,20))-1))),"")))</f>
        <v/>
      </c>
      <c r="I263">
        <f>IF(OR($F263="",$G263=""),"",IF(ISNUMBER(Sync!$AE263),MOD(Sync!$AE263,100),IFERROR(VALUE(TRIM(MID(MID(Sync!$AE263,FIND("/",Sync!$AE263)+1,20),FIND("/",MID(Sync!$AE263,FIND("/",Sync!$AE263)+1,20))+1,20))),"")))</f>
        <v/>
      </c>
      <c r="J263">
        <f>IF($F263="","",IF(OR($G263="",$H263="",$I263="",$G263&lt;1300,$G263&gt;1500,$H263&lt;1,$H263&gt;12,$I263&lt;1,$I263&gt;31),"نامعتبر",RIGHT("0000"&amp;$G263,4)&amp;"/"&amp;RIGHT("00"&amp;$H263,2)&amp;"/"&amp;RIGHT("00"&amp;$I263,2)))</f>
        <v/>
      </c>
      <c r="K263">
        <f>IF(OR($F263="",$J263="",$J263="نامعتبر"),"",LEFT($J263,4)&amp;MID($J263,6,2)&amp;RIGHT($J263,2)&amp;$N263&amp;"|"&amp;"2"&amp;RIGHT("00000"&amp;258,5))</f>
        <v/>
      </c>
      <c r="L263">
        <f>IF($K263="","",COUNTIFS(LdgSellerA,$F263,LdgKeyA,"&lt;"&amp;$K263)+COUNTIFS(LdgSellerB,$F263,LdgKeyB,"&lt;"&amp;$K263)+1)</f>
        <v/>
      </c>
      <c r="M263">
        <f>IF($L263="","",$F263&amp;"|"&amp;RIGHT("000000"&amp;$L263,6))</f>
        <v/>
      </c>
      <c r="N263">
        <f>IF($F263="","",IF(Sync!$AF263="","0000",IF(AND(ISNUMBER(Sync!$AF263),Sync!$AF263&gt;=0,Sync!$AF263&lt;1),RIGHT("00"&amp;HOUR(Sync!$AF263),2)&amp;RIGHT("00"&amp;MINUTE(Sync!$AF263),2),IFERROR(RIGHT("00"&amp;VALUE(LEFT(Sync!$AF263,FIND(":",Sync!$AF263)-1)),2)&amp;RIGHT("00"&amp;VALUE(MID(Sync!$AF263,FIND(":",Sync!$AF263)+1,2)),2),"0000"))))</f>
        <v/>
      </c>
    </row>
    <row r="264">
      <c r="A264">
        <f>IF(OR(Calc!$E268="",Calc!$E268="نامعتبر",Calc!$G268=""),"",Calc!$G268)</f>
        <v/>
      </c>
      <c r="B264">
        <f>IF($A264="","",LEFT(Calc!$E268,4)&amp;MID(Calc!$E268,6,2)&amp;RIGHT(Calc!$E268,2)&amp;Calc!$Q268&amp;"|"&amp;"1"&amp;RIGHT("00000"&amp;259,5))</f>
        <v/>
      </c>
      <c r="C264">
        <f>IF($B264="","",COUNTIFS(LdgSellerA,$A264,LdgKeyA,"&lt;"&amp;$B264)+COUNTIFS(LdgSellerB,$A264,LdgKeyB,"&lt;"&amp;$B264)+1)</f>
        <v/>
      </c>
      <c r="D264">
        <f>IF($C264="","",$A264&amp;"|"&amp;RIGHT("000000"&amp;$C264,6))</f>
        <v/>
      </c>
      <c r="F264">
        <f>IF(Sync!$AH264="","",IF(LEFT(UPPER(TRIM(Sync!$AH264)),2)="SL",UPPER(TRIM(Sync!$AH264)),""))</f>
        <v/>
      </c>
      <c r="G264">
        <f>IF($F264="","",IF(Sync!$AE264="","",IF(ISNUMBER(Sync!$AE264),IF(AND(Sync!$AE264&gt;=10000101,Sync!$AE264&lt;=99991231),INT(Sync!$AE264/10000),""),IFERROR(VALUE(TRIM(LEFT(Sync!$AE264,FIND("/",Sync!$AE264)-1))),""))))</f>
        <v/>
      </c>
      <c r="H264">
        <f>IF(OR($F264="",$G264=""),"",IF(ISNUMBER(Sync!$AE264),INT(MOD(Sync!$AE264,10000)/100),IFERROR(VALUE(TRIM(LEFT(MID(Sync!$AE264,FIND("/",Sync!$AE264)+1,20),FIND("/",MID(Sync!$AE264,FIND("/",Sync!$AE264)+1,20))-1))),"")))</f>
        <v/>
      </c>
      <c r="I264">
        <f>IF(OR($F264="",$G264=""),"",IF(ISNUMBER(Sync!$AE264),MOD(Sync!$AE264,100),IFERROR(VALUE(TRIM(MID(MID(Sync!$AE264,FIND("/",Sync!$AE264)+1,20),FIND("/",MID(Sync!$AE264,FIND("/",Sync!$AE264)+1,20))+1,20))),"")))</f>
        <v/>
      </c>
      <c r="J264">
        <f>IF($F264="","",IF(OR($G264="",$H264="",$I264="",$G264&lt;1300,$G264&gt;1500,$H264&lt;1,$H264&gt;12,$I264&lt;1,$I264&gt;31),"نامعتبر",RIGHT("0000"&amp;$G264,4)&amp;"/"&amp;RIGHT("00"&amp;$H264,2)&amp;"/"&amp;RIGHT("00"&amp;$I264,2)))</f>
        <v/>
      </c>
      <c r="K264">
        <f>IF(OR($F264="",$J264="",$J264="نامعتبر"),"",LEFT($J264,4)&amp;MID($J264,6,2)&amp;RIGHT($J264,2)&amp;$N264&amp;"|"&amp;"2"&amp;RIGHT("00000"&amp;259,5))</f>
        <v/>
      </c>
      <c r="L264">
        <f>IF($K264="","",COUNTIFS(LdgSellerA,$F264,LdgKeyA,"&lt;"&amp;$K264)+COUNTIFS(LdgSellerB,$F264,LdgKeyB,"&lt;"&amp;$K264)+1)</f>
        <v/>
      </c>
      <c r="M264">
        <f>IF($L264="","",$F264&amp;"|"&amp;RIGHT("000000"&amp;$L264,6))</f>
        <v/>
      </c>
      <c r="N264">
        <f>IF($F264="","",IF(Sync!$AF264="","0000",IF(AND(ISNUMBER(Sync!$AF264),Sync!$AF264&gt;=0,Sync!$AF264&lt;1),RIGHT("00"&amp;HOUR(Sync!$AF264),2)&amp;RIGHT("00"&amp;MINUTE(Sync!$AF264),2),IFERROR(RIGHT("00"&amp;VALUE(LEFT(Sync!$AF264,FIND(":",Sync!$AF264)-1)),2)&amp;RIGHT("00"&amp;VALUE(MID(Sync!$AF264,FIND(":",Sync!$AF264)+1,2)),2),"0000"))))</f>
        <v/>
      </c>
    </row>
    <row r="265">
      <c r="A265">
        <f>IF(OR(Calc!$E269="",Calc!$E269="نامعتبر",Calc!$G269=""),"",Calc!$G269)</f>
        <v/>
      </c>
      <c r="B265">
        <f>IF($A265="","",LEFT(Calc!$E269,4)&amp;MID(Calc!$E269,6,2)&amp;RIGHT(Calc!$E269,2)&amp;Calc!$Q269&amp;"|"&amp;"1"&amp;RIGHT("00000"&amp;260,5))</f>
        <v/>
      </c>
      <c r="C265">
        <f>IF($B265="","",COUNTIFS(LdgSellerA,$A265,LdgKeyA,"&lt;"&amp;$B265)+COUNTIFS(LdgSellerB,$A265,LdgKeyB,"&lt;"&amp;$B265)+1)</f>
        <v/>
      </c>
      <c r="D265">
        <f>IF($C265="","",$A265&amp;"|"&amp;RIGHT("000000"&amp;$C265,6))</f>
        <v/>
      </c>
      <c r="F265">
        <f>IF(Sync!$AH265="","",IF(LEFT(UPPER(TRIM(Sync!$AH265)),2)="SL",UPPER(TRIM(Sync!$AH265)),""))</f>
        <v/>
      </c>
      <c r="G265">
        <f>IF($F265="","",IF(Sync!$AE265="","",IF(ISNUMBER(Sync!$AE265),IF(AND(Sync!$AE265&gt;=10000101,Sync!$AE265&lt;=99991231),INT(Sync!$AE265/10000),""),IFERROR(VALUE(TRIM(LEFT(Sync!$AE265,FIND("/",Sync!$AE265)-1))),""))))</f>
        <v/>
      </c>
      <c r="H265">
        <f>IF(OR($F265="",$G265=""),"",IF(ISNUMBER(Sync!$AE265),INT(MOD(Sync!$AE265,10000)/100),IFERROR(VALUE(TRIM(LEFT(MID(Sync!$AE265,FIND("/",Sync!$AE265)+1,20),FIND("/",MID(Sync!$AE265,FIND("/",Sync!$AE265)+1,20))-1))),"")))</f>
        <v/>
      </c>
      <c r="I265">
        <f>IF(OR($F265="",$G265=""),"",IF(ISNUMBER(Sync!$AE265),MOD(Sync!$AE265,100),IFERROR(VALUE(TRIM(MID(MID(Sync!$AE265,FIND("/",Sync!$AE265)+1,20),FIND("/",MID(Sync!$AE265,FIND("/",Sync!$AE265)+1,20))+1,20))),"")))</f>
        <v/>
      </c>
      <c r="J265">
        <f>IF($F265="","",IF(OR($G265="",$H265="",$I265="",$G265&lt;1300,$G265&gt;1500,$H265&lt;1,$H265&gt;12,$I265&lt;1,$I265&gt;31),"نامعتبر",RIGHT("0000"&amp;$G265,4)&amp;"/"&amp;RIGHT("00"&amp;$H265,2)&amp;"/"&amp;RIGHT("00"&amp;$I265,2)))</f>
        <v/>
      </c>
      <c r="K265">
        <f>IF(OR($F265="",$J265="",$J265="نامعتبر"),"",LEFT($J265,4)&amp;MID($J265,6,2)&amp;RIGHT($J265,2)&amp;$N265&amp;"|"&amp;"2"&amp;RIGHT("00000"&amp;260,5))</f>
        <v/>
      </c>
      <c r="L265">
        <f>IF($K265="","",COUNTIFS(LdgSellerA,$F265,LdgKeyA,"&lt;"&amp;$K265)+COUNTIFS(LdgSellerB,$F265,LdgKeyB,"&lt;"&amp;$K265)+1)</f>
        <v/>
      </c>
      <c r="M265">
        <f>IF($L265="","",$F265&amp;"|"&amp;RIGHT("000000"&amp;$L265,6))</f>
        <v/>
      </c>
      <c r="N265">
        <f>IF($F265="","",IF(Sync!$AF265="","0000",IF(AND(ISNUMBER(Sync!$AF265),Sync!$AF265&gt;=0,Sync!$AF265&lt;1),RIGHT("00"&amp;HOUR(Sync!$AF265),2)&amp;RIGHT("00"&amp;MINUTE(Sync!$AF265),2),IFERROR(RIGHT("00"&amp;VALUE(LEFT(Sync!$AF265,FIND(":",Sync!$AF265)-1)),2)&amp;RIGHT("00"&amp;VALUE(MID(Sync!$AF265,FIND(":",Sync!$AF265)+1,2)),2),"0000"))))</f>
        <v/>
      </c>
    </row>
    <row r="266">
      <c r="A266">
        <f>IF(OR(Calc!$E270="",Calc!$E270="نامعتبر",Calc!$G270=""),"",Calc!$G270)</f>
        <v/>
      </c>
      <c r="B266">
        <f>IF($A266="","",LEFT(Calc!$E270,4)&amp;MID(Calc!$E270,6,2)&amp;RIGHT(Calc!$E270,2)&amp;Calc!$Q270&amp;"|"&amp;"1"&amp;RIGHT("00000"&amp;261,5))</f>
        <v/>
      </c>
      <c r="C266">
        <f>IF($B266="","",COUNTIFS(LdgSellerA,$A266,LdgKeyA,"&lt;"&amp;$B266)+COUNTIFS(LdgSellerB,$A266,LdgKeyB,"&lt;"&amp;$B266)+1)</f>
        <v/>
      </c>
      <c r="D266">
        <f>IF($C266="","",$A266&amp;"|"&amp;RIGHT("000000"&amp;$C266,6))</f>
        <v/>
      </c>
      <c r="F266">
        <f>IF(Sync!$AH266="","",IF(LEFT(UPPER(TRIM(Sync!$AH266)),2)="SL",UPPER(TRIM(Sync!$AH266)),""))</f>
        <v/>
      </c>
      <c r="G266">
        <f>IF($F266="","",IF(Sync!$AE266="","",IF(ISNUMBER(Sync!$AE266),IF(AND(Sync!$AE266&gt;=10000101,Sync!$AE266&lt;=99991231),INT(Sync!$AE266/10000),""),IFERROR(VALUE(TRIM(LEFT(Sync!$AE266,FIND("/",Sync!$AE266)-1))),""))))</f>
        <v/>
      </c>
      <c r="H266">
        <f>IF(OR($F266="",$G266=""),"",IF(ISNUMBER(Sync!$AE266),INT(MOD(Sync!$AE266,10000)/100),IFERROR(VALUE(TRIM(LEFT(MID(Sync!$AE266,FIND("/",Sync!$AE266)+1,20),FIND("/",MID(Sync!$AE266,FIND("/",Sync!$AE266)+1,20))-1))),"")))</f>
        <v/>
      </c>
      <c r="I266">
        <f>IF(OR($F266="",$G266=""),"",IF(ISNUMBER(Sync!$AE266),MOD(Sync!$AE266,100),IFERROR(VALUE(TRIM(MID(MID(Sync!$AE266,FIND("/",Sync!$AE266)+1,20),FIND("/",MID(Sync!$AE266,FIND("/",Sync!$AE266)+1,20))+1,20))),"")))</f>
        <v/>
      </c>
      <c r="J266">
        <f>IF($F266="","",IF(OR($G266="",$H266="",$I266="",$G266&lt;1300,$G266&gt;1500,$H266&lt;1,$H266&gt;12,$I266&lt;1,$I266&gt;31),"نامعتبر",RIGHT("0000"&amp;$G266,4)&amp;"/"&amp;RIGHT("00"&amp;$H266,2)&amp;"/"&amp;RIGHT("00"&amp;$I266,2)))</f>
        <v/>
      </c>
      <c r="K266">
        <f>IF(OR($F266="",$J266="",$J266="نامعتبر"),"",LEFT($J266,4)&amp;MID($J266,6,2)&amp;RIGHT($J266,2)&amp;$N266&amp;"|"&amp;"2"&amp;RIGHT("00000"&amp;261,5))</f>
        <v/>
      </c>
      <c r="L266">
        <f>IF($K266="","",COUNTIFS(LdgSellerA,$F266,LdgKeyA,"&lt;"&amp;$K266)+COUNTIFS(LdgSellerB,$F266,LdgKeyB,"&lt;"&amp;$K266)+1)</f>
        <v/>
      </c>
      <c r="M266">
        <f>IF($L266="","",$F266&amp;"|"&amp;RIGHT("000000"&amp;$L266,6))</f>
        <v/>
      </c>
      <c r="N266">
        <f>IF($F266="","",IF(Sync!$AF266="","0000",IF(AND(ISNUMBER(Sync!$AF266),Sync!$AF266&gt;=0,Sync!$AF266&lt;1),RIGHT("00"&amp;HOUR(Sync!$AF266),2)&amp;RIGHT("00"&amp;MINUTE(Sync!$AF266),2),IFERROR(RIGHT("00"&amp;VALUE(LEFT(Sync!$AF266,FIND(":",Sync!$AF266)-1)),2)&amp;RIGHT("00"&amp;VALUE(MID(Sync!$AF266,FIND(":",Sync!$AF266)+1,2)),2),"0000"))))</f>
        <v/>
      </c>
    </row>
    <row r="267">
      <c r="A267">
        <f>IF(OR(Calc!$E271="",Calc!$E271="نامعتبر",Calc!$G271=""),"",Calc!$G271)</f>
        <v/>
      </c>
      <c r="B267">
        <f>IF($A267="","",LEFT(Calc!$E271,4)&amp;MID(Calc!$E271,6,2)&amp;RIGHT(Calc!$E271,2)&amp;Calc!$Q271&amp;"|"&amp;"1"&amp;RIGHT("00000"&amp;262,5))</f>
        <v/>
      </c>
      <c r="C267">
        <f>IF($B267="","",COUNTIFS(LdgSellerA,$A267,LdgKeyA,"&lt;"&amp;$B267)+COUNTIFS(LdgSellerB,$A267,LdgKeyB,"&lt;"&amp;$B267)+1)</f>
        <v/>
      </c>
      <c r="D267">
        <f>IF($C267="","",$A267&amp;"|"&amp;RIGHT("000000"&amp;$C267,6))</f>
        <v/>
      </c>
      <c r="F267">
        <f>IF(Sync!$AH267="","",IF(LEFT(UPPER(TRIM(Sync!$AH267)),2)="SL",UPPER(TRIM(Sync!$AH267)),""))</f>
        <v/>
      </c>
      <c r="G267">
        <f>IF($F267="","",IF(Sync!$AE267="","",IF(ISNUMBER(Sync!$AE267),IF(AND(Sync!$AE267&gt;=10000101,Sync!$AE267&lt;=99991231),INT(Sync!$AE267/10000),""),IFERROR(VALUE(TRIM(LEFT(Sync!$AE267,FIND("/",Sync!$AE267)-1))),""))))</f>
        <v/>
      </c>
      <c r="H267">
        <f>IF(OR($F267="",$G267=""),"",IF(ISNUMBER(Sync!$AE267),INT(MOD(Sync!$AE267,10000)/100),IFERROR(VALUE(TRIM(LEFT(MID(Sync!$AE267,FIND("/",Sync!$AE267)+1,20),FIND("/",MID(Sync!$AE267,FIND("/",Sync!$AE267)+1,20))-1))),"")))</f>
        <v/>
      </c>
      <c r="I267">
        <f>IF(OR($F267="",$G267=""),"",IF(ISNUMBER(Sync!$AE267),MOD(Sync!$AE267,100),IFERROR(VALUE(TRIM(MID(MID(Sync!$AE267,FIND("/",Sync!$AE267)+1,20),FIND("/",MID(Sync!$AE267,FIND("/",Sync!$AE267)+1,20))+1,20))),"")))</f>
        <v/>
      </c>
      <c r="J267">
        <f>IF($F267="","",IF(OR($G267="",$H267="",$I267="",$G267&lt;1300,$G267&gt;1500,$H267&lt;1,$H267&gt;12,$I267&lt;1,$I267&gt;31),"نامعتبر",RIGHT("0000"&amp;$G267,4)&amp;"/"&amp;RIGHT("00"&amp;$H267,2)&amp;"/"&amp;RIGHT("00"&amp;$I267,2)))</f>
        <v/>
      </c>
      <c r="K267">
        <f>IF(OR($F267="",$J267="",$J267="نامعتبر"),"",LEFT($J267,4)&amp;MID($J267,6,2)&amp;RIGHT($J267,2)&amp;$N267&amp;"|"&amp;"2"&amp;RIGHT("00000"&amp;262,5))</f>
        <v/>
      </c>
      <c r="L267">
        <f>IF($K267="","",COUNTIFS(LdgSellerA,$F267,LdgKeyA,"&lt;"&amp;$K267)+COUNTIFS(LdgSellerB,$F267,LdgKeyB,"&lt;"&amp;$K267)+1)</f>
        <v/>
      </c>
      <c r="M267">
        <f>IF($L267="","",$F267&amp;"|"&amp;RIGHT("000000"&amp;$L267,6))</f>
        <v/>
      </c>
      <c r="N267">
        <f>IF($F267="","",IF(Sync!$AF267="","0000",IF(AND(ISNUMBER(Sync!$AF267),Sync!$AF267&gt;=0,Sync!$AF267&lt;1),RIGHT("00"&amp;HOUR(Sync!$AF267),2)&amp;RIGHT("00"&amp;MINUTE(Sync!$AF267),2),IFERROR(RIGHT("00"&amp;VALUE(LEFT(Sync!$AF267,FIND(":",Sync!$AF267)-1)),2)&amp;RIGHT("00"&amp;VALUE(MID(Sync!$AF267,FIND(":",Sync!$AF267)+1,2)),2),"0000"))))</f>
        <v/>
      </c>
    </row>
    <row r="268">
      <c r="A268">
        <f>IF(OR(Calc!$E272="",Calc!$E272="نامعتبر",Calc!$G272=""),"",Calc!$G272)</f>
        <v/>
      </c>
      <c r="B268">
        <f>IF($A268="","",LEFT(Calc!$E272,4)&amp;MID(Calc!$E272,6,2)&amp;RIGHT(Calc!$E272,2)&amp;Calc!$Q272&amp;"|"&amp;"1"&amp;RIGHT("00000"&amp;263,5))</f>
        <v/>
      </c>
      <c r="C268">
        <f>IF($B268="","",COUNTIFS(LdgSellerA,$A268,LdgKeyA,"&lt;"&amp;$B268)+COUNTIFS(LdgSellerB,$A268,LdgKeyB,"&lt;"&amp;$B268)+1)</f>
        <v/>
      </c>
      <c r="D268">
        <f>IF($C268="","",$A268&amp;"|"&amp;RIGHT("000000"&amp;$C268,6))</f>
        <v/>
      </c>
      <c r="F268">
        <f>IF(Sync!$AH268="","",IF(LEFT(UPPER(TRIM(Sync!$AH268)),2)="SL",UPPER(TRIM(Sync!$AH268)),""))</f>
        <v/>
      </c>
      <c r="G268">
        <f>IF($F268="","",IF(Sync!$AE268="","",IF(ISNUMBER(Sync!$AE268),IF(AND(Sync!$AE268&gt;=10000101,Sync!$AE268&lt;=99991231),INT(Sync!$AE268/10000),""),IFERROR(VALUE(TRIM(LEFT(Sync!$AE268,FIND("/",Sync!$AE268)-1))),""))))</f>
        <v/>
      </c>
      <c r="H268">
        <f>IF(OR($F268="",$G268=""),"",IF(ISNUMBER(Sync!$AE268),INT(MOD(Sync!$AE268,10000)/100),IFERROR(VALUE(TRIM(LEFT(MID(Sync!$AE268,FIND("/",Sync!$AE268)+1,20),FIND("/",MID(Sync!$AE268,FIND("/",Sync!$AE268)+1,20))-1))),"")))</f>
        <v/>
      </c>
      <c r="I268">
        <f>IF(OR($F268="",$G268=""),"",IF(ISNUMBER(Sync!$AE268),MOD(Sync!$AE268,100),IFERROR(VALUE(TRIM(MID(MID(Sync!$AE268,FIND("/",Sync!$AE268)+1,20),FIND("/",MID(Sync!$AE268,FIND("/",Sync!$AE268)+1,20))+1,20))),"")))</f>
        <v/>
      </c>
      <c r="J268">
        <f>IF($F268="","",IF(OR($G268="",$H268="",$I268="",$G268&lt;1300,$G268&gt;1500,$H268&lt;1,$H268&gt;12,$I268&lt;1,$I268&gt;31),"نامعتبر",RIGHT("0000"&amp;$G268,4)&amp;"/"&amp;RIGHT("00"&amp;$H268,2)&amp;"/"&amp;RIGHT("00"&amp;$I268,2)))</f>
        <v/>
      </c>
      <c r="K268">
        <f>IF(OR($F268="",$J268="",$J268="نامعتبر"),"",LEFT($J268,4)&amp;MID($J268,6,2)&amp;RIGHT($J268,2)&amp;$N268&amp;"|"&amp;"2"&amp;RIGHT("00000"&amp;263,5))</f>
        <v/>
      </c>
      <c r="L268">
        <f>IF($K268="","",COUNTIFS(LdgSellerA,$F268,LdgKeyA,"&lt;"&amp;$K268)+COUNTIFS(LdgSellerB,$F268,LdgKeyB,"&lt;"&amp;$K268)+1)</f>
        <v/>
      </c>
      <c r="M268">
        <f>IF($L268="","",$F268&amp;"|"&amp;RIGHT("000000"&amp;$L268,6))</f>
        <v/>
      </c>
      <c r="N268">
        <f>IF($F268="","",IF(Sync!$AF268="","0000",IF(AND(ISNUMBER(Sync!$AF268),Sync!$AF268&gt;=0,Sync!$AF268&lt;1),RIGHT("00"&amp;HOUR(Sync!$AF268),2)&amp;RIGHT("00"&amp;MINUTE(Sync!$AF268),2),IFERROR(RIGHT("00"&amp;VALUE(LEFT(Sync!$AF268,FIND(":",Sync!$AF268)-1)),2)&amp;RIGHT("00"&amp;VALUE(MID(Sync!$AF268,FIND(":",Sync!$AF268)+1,2)),2),"0000"))))</f>
        <v/>
      </c>
    </row>
    <row r="269">
      <c r="A269">
        <f>IF(OR(Calc!$E273="",Calc!$E273="نامعتبر",Calc!$G273=""),"",Calc!$G273)</f>
        <v/>
      </c>
      <c r="B269">
        <f>IF($A269="","",LEFT(Calc!$E273,4)&amp;MID(Calc!$E273,6,2)&amp;RIGHT(Calc!$E273,2)&amp;Calc!$Q273&amp;"|"&amp;"1"&amp;RIGHT("00000"&amp;264,5))</f>
        <v/>
      </c>
      <c r="C269">
        <f>IF($B269="","",COUNTIFS(LdgSellerA,$A269,LdgKeyA,"&lt;"&amp;$B269)+COUNTIFS(LdgSellerB,$A269,LdgKeyB,"&lt;"&amp;$B269)+1)</f>
        <v/>
      </c>
      <c r="D269">
        <f>IF($C269="","",$A269&amp;"|"&amp;RIGHT("000000"&amp;$C269,6))</f>
        <v/>
      </c>
      <c r="F269">
        <f>IF(Sync!$AH269="","",IF(LEFT(UPPER(TRIM(Sync!$AH269)),2)="SL",UPPER(TRIM(Sync!$AH269)),""))</f>
        <v/>
      </c>
      <c r="G269">
        <f>IF($F269="","",IF(Sync!$AE269="","",IF(ISNUMBER(Sync!$AE269),IF(AND(Sync!$AE269&gt;=10000101,Sync!$AE269&lt;=99991231),INT(Sync!$AE269/10000),""),IFERROR(VALUE(TRIM(LEFT(Sync!$AE269,FIND("/",Sync!$AE269)-1))),""))))</f>
        <v/>
      </c>
      <c r="H269">
        <f>IF(OR($F269="",$G269=""),"",IF(ISNUMBER(Sync!$AE269),INT(MOD(Sync!$AE269,10000)/100),IFERROR(VALUE(TRIM(LEFT(MID(Sync!$AE269,FIND("/",Sync!$AE269)+1,20),FIND("/",MID(Sync!$AE269,FIND("/",Sync!$AE269)+1,20))-1))),"")))</f>
        <v/>
      </c>
      <c r="I269">
        <f>IF(OR($F269="",$G269=""),"",IF(ISNUMBER(Sync!$AE269),MOD(Sync!$AE269,100),IFERROR(VALUE(TRIM(MID(MID(Sync!$AE269,FIND("/",Sync!$AE269)+1,20),FIND("/",MID(Sync!$AE269,FIND("/",Sync!$AE269)+1,20))+1,20))),"")))</f>
        <v/>
      </c>
      <c r="J269">
        <f>IF($F269="","",IF(OR($G269="",$H269="",$I269="",$G269&lt;1300,$G269&gt;1500,$H269&lt;1,$H269&gt;12,$I269&lt;1,$I269&gt;31),"نامعتبر",RIGHT("0000"&amp;$G269,4)&amp;"/"&amp;RIGHT("00"&amp;$H269,2)&amp;"/"&amp;RIGHT("00"&amp;$I269,2)))</f>
        <v/>
      </c>
      <c r="K269">
        <f>IF(OR($F269="",$J269="",$J269="نامعتبر"),"",LEFT($J269,4)&amp;MID($J269,6,2)&amp;RIGHT($J269,2)&amp;$N269&amp;"|"&amp;"2"&amp;RIGHT("00000"&amp;264,5))</f>
        <v/>
      </c>
      <c r="L269">
        <f>IF($K269="","",COUNTIFS(LdgSellerA,$F269,LdgKeyA,"&lt;"&amp;$K269)+COUNTIFS(LdgSellerB,$F269,LdgKeyB,"&lt;"&amp;$K269)+1)</f>
        <v/>
      </c>
      <c r="M269">
        <f>IF($L269="","",$F269&amp;"|"&amp;RIGHT("000000"&amp;$L269,6))</f>
        <v/>
      </c>
      <c r="N269">
        <f>IF($F269="","",IF(Sync!$AF269="","0000",IF(AND(ISNUMBER(Sync!$AF269),Sync!$AF269&gt;=0,Sync!$AF269&lt;1),RIGHT("00"&amp;HOUR(Sync!$AF269),2)&amp;RIGHT("00"&amp;MINUTE(Sync!$AF269),2),IFERROR(RIGHT("00"&amp;VALUE(LEFT(Sync!$AF269,FIND(":",Sync!$AF269)-1)),2)&amp;RIGHT("00"&amp;VALUE(MID(Sync!$AF269,FIND(":",Sync!$AF269)+1,2)),2),"0000"))))</f>
        <v/>
      </c>
    </row>
    <row r="270">
      <c r="A270">
        <f>IF(OR(Calc!$E274="",Calc!$E274="نامعتبر",Calc!$G274=""),"",Calc!$G274)</f>
        <v/>
      </c>
      <c r="B270">
        <f>IF($A270="","",LEFT(Calc!$E274,4)&amp;MID(Calc!$E274,6,2)&amp;RIGHT(Calc!$E274,2)&amp;Calc!$Q274&amp;"|"&amp;"1"&amp;RIGHT("00000"&amp;265,5))</f>
        <v/>
      </c>
      <c r="C270">
        <f>IF($B270="","",COUNTIFS(LdgSellerA,$A270,LdgKeyA,"&lt;"&amp;$B270)+COUNTIFS(LdgSellerB,$A270,LdgKeyB,"&lt;"&amp;$B270)+1)</f>
        <v/>
      </c>
      <c r="D270">
        <f>IF($C270="","",$A270&amp;"|"&amp;RIGHT("000000"&amp;$C270,6))</f>
        <v/>
      </c>
      <c r="F270">
        <f>IF(Sync!$AH270="","",IF(LEFT(UPPER(TRIM(Sync!$AH270)),2)="SL",UPPER(TRIM(Sync!$AH270)),""))</f>
        <v/>
      </c>
      <c r="G270">
        <f>IF($F270="","",IF(Sync!$AE270="","",IF(ISNUMBER(Sync!$AE270),IF(AND(Sync!$AE270&gt;=10000101,Sync!$AE270&lt;=99991231),INT(Sync!$AE270/10000),""),IFERROR(VALUE(TRIM(LEFT(Sync!$AE270,FIND("/",Sync!$AE270)-1))),""))))</f>
        <v/>
      </c>
      <c r="H270">
        <f>IF(OR($F270="",$G270=""),"",IF(ISNUMBER(Sync!$AE270),INT(MOD(Sync!$AE270,10000)/100),IFERROR(VALUE(TRIM(LEFT(MID(Sync!$AE270,FIND("/",Sync!$AE270)+1,20),FIND("/",MID(Sync!$AE270,FIND("/",Sync!$AE270)+1,20))-1))),"")))</f>
        <v/>
      </c>
      <c r="I270">
        <f>IF(OR($F270="",$G270=""),"",IF(ISNUMBER(Sync!$AE270),MOD(Sync!$AE270,100),IFERROR(VALUE(TRIM(MID(MID(Sync!$AE270,FIND("/",Sync!$AE270)+1,20),FIND("/",MID(Sync!$AE270,FIND("/",Sync!$AE270)+1,20))+1,20))),"")))</f>
        <v/>
      </c>
      <c r="J270">
        <f>IF($F270="","",IF(OR($G270="",$H270="",$I270="",$G270&lt;1300,$G270&gt;1500,$H270&lt;1,$H270&gt;12,$I270&lt;1,$I270&gt;31),"نامعتبر",RIGHT("0000"&amp;$G270,4)&amp;"/"&amp;RIGHT("00"&amp;$H270,2)&amp;"/"&amp;RIGHT("00"&amp;$I270,2)))</f>
        <v/>
      </c>
      <c r="K270">
        <f>IF(OR($F270="",$J270="",$J270="نامعتبر"),"",LEFT($J270,4)&amp;MID($J270,6,2)&amp;RIGHT($J270,2)&amp;$N270&amp;"|"&amp;"2"&amp;RIGHT("00000"&amp;265,5))</f>
        <v/>
      </c>
      <c r="L270">
        <f>IF($K270="","",COUNTIFS(LdgSellerA,$F270,LdgKeyA,"&lt;"&amp;$K270)+COUNTIFS(LdgSellerB,$F270,LdgKeyB,"&lt;"&amp;$K270)+1)</f>
        <v/>
      </c>
      <c r="M270">
        <f>IF($L270="","",$F270&amp;"|"&amp;RIGHT("000000"&amp;$L270,6))</f>
        <v/>
      </c>
      <c r="N270">
        <f>IF($F270="","",IF(Sync!$AF270="","0000",IF(AND(ISNUMBER(Sync!$AF270),Sync!$AF270&gt;=0,Sync!$AF270&lt;1),RIGHT("00"&amp;HOUR(Sync!$AF270),2)&amp;RIGHT("00"&amp;MINUTE(Sync!$AF270),2),IFERROR(RIGHT("00"&amp;VALUE(LEFT(Sync!$AF270,FIND(":",Sync!$AF270)-1)),2)&amp;RIGHT("00"&amp;VALUE(MID(Sync!$AF270,FIND(":",Sync!$AF270)+1,2)),2),"0000"))))</f>
        <v/>
      </c>
    </row>
    <row r="271">
      <c r="A271">
        <f>IF(OR(Calc!$E275="",Calc!$E275="نامعتبر",Calc!$G275=""),"",Calc!$G275)</f>
        <v/>
      </c>
      <c r="B271">
        <f>IF($A271="","",LEFT(Calc!$E275,4)&amp;MID(Calc!$E275,6,2)&amp;RIGHT(Calc!$E275,2)&amp;Calc!$Q275&amp;"|"&amp;"1"&amp;RIGHT("00000"&amp;266,5))</f>
        <v/>
      </c>
      <c r="C271">
        <f>IF($B271="","",COUNTIFS(LdgSellerA,$A271,LdgKeyA,"&lt;"&amp;$B271)+COUNTIFS(LdgSellerB,$A271,LdgKeyB,"&lt;"&amp;$B271)+1)</f>
        <v/>
      </c>
      <c r="D271">
        <f>IF($C271="","",$A271&amp;"|"&amp;RIGHT("000000"&amp;$C271,6))</f>
        <v/>
      </c>
      <c r="F271">
        <f>IF(Sync!$AH271="","",IF(LEFT(UPPER(TRIM(Sync!$AH271)),2)="SL",UPPER(TRIM(Sync!$AH271)),""))</f>
        <v/>
      </c>
      <c r="G271">
        <f>IF($F271="","",IF(Sync!$AE271="","",IF(ISNUMBER(Sync!$AE271),IF(AND(Sync!$AE271&gt;=10000101,Sync!$AE271&lt;=99991231),INT(Sync!$AE271/10000),""),IFERROR(VALUE(TRIM(LEFT(Sync!$AE271,FIND("/",Sync!$AE271)-1))),""))))</f>
        <v/>
      </c>
      <c r="H271">
        <f>IF(OR($F271="",$G271=""),"",IF(ISNUMBER(Sync!$AE271),INT(MOD(Sync!$AE271,10000)/100),IFERROR(VALUE(TRIM(LEFT(MID(Sync!$AE271,FIND("/",Sync!$AE271)+1,20),FIND("/",MID(Sync!$AE271,FIND("/",Sync!$AE271)+1,20))-1))),"")))</f>
        <v/>
      </c>
      <c r="I271">
        <f>IF(OR($F271="",$G271=""),"",IF(ISNUMBER(Sync!$AE271),MOD(Sync!$AE271,100),IFERROR(VALUE(TRIM(MID(MID(Sync!$AE271,FIND("/",Sync!$AE271)+1,20),FIND("/",MID(Sync!$AE271,FIND("/",Sync!$AE271)+1,20))+1,20))),"")))</f>
        <v/>
      </c>
      <c r="J271">
        <f>IF($F271="","",IF(OR($G271="",$H271="",$I271="",$G271&lt;1300,$G271&gt;1500,$H271&lt;1,$H271&gt;12,$I271&lt;1,$I271&gt;31),"نامعتبر",RIGHT("0000"&amp;$G271,4)&amp;"/"&amp;RIGHT("00"&amp;$H271,2)&amp;"/"&amp;RIGHT("00"&amp;$I271,2)))</f>
        <v/>
      </c>
      <c r="K271">
        <f>IF(OR($F271="",$J271="",$J271="نامعتبر"),"",LEFT($J271,4)&amp;MID($J271,6,2)&amp;RIGHT($J271,2)&amp;$N271&amp;"|"&amp;"2"&amp;RIGHT("00000"&amp;266,5))</f>
        <v/>
      </c>
      <c r="L271">
        <f>IF($K271="","",COUNTIFS(LdgSellerA,$F271,LdgKeyA,"&lt;"&amp;$K271)+COUNTIFS(LdgSellerB,$F271,LdgKeyB,"&lt;"&amp;$K271)+1)</f>
        <v/>
      </c>
      <c r="M271">
        <f>IF($L271="","",$F271&amp;"|"&amp;RIGHT("000000"&amp;$L271,6))</f>
        <v/>
      </c>
      <c r="N271">
        <f>IF($F271="","",IF(Sync!$AF271="","0000",IF(AND(ISNUMBER(Sync!$AF271),Sync!$AF271&gt;=0,Sync!$AF271&lt;1),RIGHT("00"&amp;HOUR(Sync!$AF271),2)&amp;RIGHT("00"&amp;MINUTE(Sync!$AF271),2),IFERROR(RIGHT("00"&amp;VALUE(LEFT(Sync!$AF271,FIND(":",Sync!$AF271)-1)),2)&amp;RIGHT("00"&amp;VALUE(MID(Sync!$AF271,FIND(":",Sync!$AF271)+1,2)),2),"0000"))))</f>
        <v/>
      </c>
    </row>
    <row r="272">
      <c r="A272">
        <f>IF(OR(Calc!$E276="",Calc!$E276="نامعتبر",Calc!$G276=""),"",Calc!$G276)</f>
        <v/>
      </c>
      <c r="B272">
        <f>IF($A272="","",LEFT(Calc!$E276,4)&amp;MID(Calc!$E276,6,2)&amp;RIGHT(Calc!$E276,2)&amp;Calc!$Q276&amp;"|"&amp;"1"&amp;RIGHT("00000"&amp;267,5))</f>
        <v/>
      </c>
      <c r="C272">
        <f>IF($B272="","",COUNTIFS(LdgSellerA,$A272,LdgKeyA,"&lt;"&amp;$B272)+COUNTIFS(LdgSellerB,$A272,LdgKeyB,"&lt;"&amp;$B272)+1)</f>
        <v/>
      </c>
      <c r="D272">
        <f>IF($C272="","",$A272&amp;"|"&amp;RIGHT("000000"&amp;$C272,6))</f>
        <v/>
      </c>
      <c r="F272">
        <f>IF(Sync!$AH272="","",IF(LEFT(UPPER(TRIM(Sync!$AH272)),2)="SL",UPPER(TRIM(Sync!$AH272)),""))</f>
        <v/>
      </c>
      <c r="G272">
        <f>IF($F272="","",IF(Sync!$AE272="","",IF(ISNUMBER(Sync!$AE272),IF(AND(Sync!$AE272&gt;=10000101,Sync!$AE272&lt;=99991231),INT(Sync!$AE272/10000),""),IFERROR(VALUE(TRIM(LEFT(Sync!$AE272,FIND("/",Sync!$AE272)-1))),""))))</f>
        <v/>
      </c>
      <c r="H272">
        <f>IF(OR($F272="",$G272=""),"",IF(ISNUMBER(Sync!$AE272),INT(MOD(Sync!$AE272,10000)/100),IFERROR(VALUE(TRIM(LEFT(MID(Sync!$AE272,FIND("/",Sync!$AE272)+1,20),FIND("/",MID(Sync!$AE272,FIND("/",Sync!$AE272)+1,20))-1))),"")))</f>
        <v/>
      </c>
      <c r="I272">
        <f>IF(OR($F272="",$G272=""),"",IF(ISNUMBER(Sync!$AE272),MOD(Sync!$AE272,100),IFERROR(VALUE(TRIM(MID(MID(Sync!$AE272,FIND("/",Sync!$AE272)+1,20),FIND("/",MID(Sync!$AE272,FIND("/",Sync!$AE272)+1,20))+1,20))),"")))</f>
        <v/>
      </c>
      <c r="J272">
        <f>IF($F272="","",IF(OR($G272="",$H272="",$I272="",$G272&lt;1300,$G272&gt;1500,$H272&lt;1,$H272&gt;12,$I272&lt;1,$I272&gt;31),"نامعتبر",RIGHT("0000"&amp;$G272,4)&amp;"/"&amp;RIGHT("00"&amp;$H272,2)&amp;"/"&amp;RIGHT("00"&amp;$I272,2)))</f>
        <v/>
      </c>
      <c r="K272">
        <f>IF(OR($F272="",$J272="",$J272="نامعتبر"),"",LEFT($J272,4)&amp;MID($J272,6,2)&amp;RIGHT($J272,2)&amp;$N272&amp;"|"&amp;"2"&amp;RIGHT("00000"&amp;267,5))</f>
        <v/>
      </c>
      <c r="L272">
        <f>IF($K272="","",COUNTIFS(LdgSellerA,$F272,LdgKeyA,"&lt;"&amp;$K272)+COUNTIFS(LdgSellerB,$F272,LdgKeyB,"&lt;"&amp;$K272)+1)</f>
        <v/>
      </c>
      <c r="M272">
        <f>IF($L272="","",$F272&amp;"|"&amp;RIGHT("000000"&amp;$L272,6))</f>
        <v/>
      </c>
      <c r="N272">
        <f>IF($F272="","",IF(Sync!$AF272="","0000",IF(AND(ISNUMBER(Sync!$AF272),Sync!$AF272&gt;=0,Sync!$AF272&lt;1),RIGHT("00"&amp;HOUR(Sync!$AF272),2)&amp;RIGHT("00"&amp;MINUTE(Sync!$AF272),2),IFERROR(RIGHT("00"&amp;VALUE(LEFT(Sync!$AF272,FIND(":",Sync!$AF272)-1)),2)&amp;RIGHT("00"&amp;VALUE(MID(Sync!$AF272,FIND(":",Sync!$AF272)+1,2)),2),"0000"))))</f>
        <v/>
      </c>
    </row>
    <row r="273">
      <c r="A273">
        <f>IF(OR(Calc!$E277="",Calc!$E277="نامعتبر",Calc!$G277=""),"",Calc!$G277)</f>
        <v/>
      </c>
      <c r="B273">
        <f>IF($A273="","",LEFT(Calc!$E277,4)&amp;MID(Calc!$E277,6,2)&amp;RIGHT(Calc!$E277,2)&amp;Calc!$Q277&amp;"|"&amp;"1"&amp;RIGHT("00000"&amp;268,5))</f>
        <v/>
      </c>
      <c r="C273">
        <f>IF($B273="","",COUNTIFS(LdgSellerA,$A273,LdgKeyA,"&lt;"&amp;$B273)+COUNTIFS(LdgSellerB,$A273,LdgKeyB,"&lt;"&amp;$B273)+1)</f>
        <v/>
      </c>
      <c r="D273">
        <f>IF($C273="","",$A273&amp;"|"&amp;RIGHT("000000"&amp;$C273,6))</f>
        <v/>
      </c>
      <c r="F273">
        <f>IF(Sync!$AH273="","",IF(LEFT(UPPER(TRIM(Sync!$AH273)),2)="SL",UPPER(TRIM(Sync!$AH273)),""))</f>
        <v/>
      </c>
      <c r="G273">
        <f>IF($F273="","",IF(Sync!$AE273="","",IF(ISNUMBER(Sync!$AE273),IF(AND(Sync!$AE273&gt;=10000101,Sync!$AE273&lt;=99991231),INT(Sync!$AE273/10000),""),IFERROR(VALUE(TRIM(LEFT(Sync!$AE273,FIND("/",Sync!$AE273)-1))),""))))</f>
        <v/>
      </c>
      <c r="H273">
        <f>IF(OR($F273="",$G273=""),"",IF(ISNUMBER(Sync!$AE273),INT(MOD(Sync!$AE273,10000)/100),IFERROR(VALUE(TRIM(LEFT(MID(Sync!$AE273,FIND("/",Sync!$AE273)+1,20),FIND("/",MID(Sync!$AE273,FIND("/",Sync!$AE273)+1,20))-1))),"")))</f>
        <v/>
      </c>
      <c r="I273">
        <f>IF(OR($F273="",$G273=""),"",IF(ISNUMBER(Sync!$AE273),MOD(Sync!$AE273,100),IFERROR(VALUE(TRIM(MID(MID(Sync!$AE273,FIND("/",Sync!$AE273)+1,20),FIND("/",MID(Sync!$AE273,FIND("/",Sync!$AE273)+1,20))+1,20))),"")))</f>
        <v/>
      </c>
      <c r="J273">
        <f>IF($F273="","",IF(OR($G273="",$H273="",$I273="",$G273&lt;1300,$G273&gt;1500,$H273&lt;1,$H273&gt;12,$I273&lt;1,$I273&gt;31),"نامعتبر",RIGHT("0000"&amp;$G273,4)&amp;"/"&amp;RIGHT("00"&amp;$H273,2)&amp;"/"&amp;RIGHT("00"&amp;$I273,2)))</f>
        <v/>
      </c>
      <c r="K273">
        <f>IF(OR($F273="",$J273="",$J273="نامعتبر"),"",LEFT($J273,4)&amp;MID($J273,6,2)&amp;RIGHT($J273,2)&amp;$N273&amp;"|"&amp;"2"&amp;RIGHT("00000"&amp;268,5))</f>
        <v/>
      </c>
      <c r="L273">
        <f>IF($K273="","",COUNTIFS(LdgSellerA,$F273,LdgKeyA,"&lt;"&amp;$K273)+COUNTIFS(LdgSellerB,$F273,LdgKeyB,"&lt;"&amp;$K273)+1)</f>
        <v/>
      </c>
      <c r="M273">
        <f>IF($L273="","",$F273&amp;"|"&amp;RIGHT("000000"&amp;$L273,6))</f>
        <v/>
      </c>
      <c r="N273">
        <f>IF($F273="","",IF(Sync!$AF273="","0000",IF(AND(ISNUMBER(Sync!$AF273),Sync!$AF273&gt;=0,Sync!$AF273&lt;1),RIGHT("00"&amp;HOUR(Sync!$AF273),2)&amp;RIGHT("00"&amp;MINUTE(Sync!$AF273),2),IFERROR(RIGHT("00"&amp;VALUE(LEFT(Sync!$AF273,FIND(":",Sync!$AF273)-1)),2)&amp;RIGHT("00"&amp;VALUE(MID(Sync!$AF273,FIND(":",Sync!$AF273)+1,2)),2),"0000"))))</f>
        <v/>
      </c>
    </row>
    <row r="274">
      <c r="A274">
        <f>IF(OR(Calc!$E278="",Calc!$E278="نامعتبر",Calc!$G278=""),"",Calc!$G278)</f>
        <v/>
      </c>
      <c r="B274">
        <f>IF($A274="","",LEFT(Calc!$E278,4)&amp;MID(Calc!$E278,6,2)&amp;RIGHT(Calc!$E278,2)&amp;Calc!$Q278&amp;"|"&amp;"1"&amp;RIGHT("00000"&amp;269,5))</f>
        <v/>
      </c>
      <c r="C274">
        <f>IF($B274="","",COUNTIFS(LdgSellerA,$A274,LdgKeyA,"&lt;"&amp;$B274)+COUNTIFS(LdgSellerB,$A274,LdgKeyB,"&lt;"&amp;$B274)+1)</f>
        <v/>
      </c>
      <c r="D274">
        <f>IF($C274="","",$A274&amp;"|"&amp;RIGHT("000000"&amp;$C274,6))</f>
        <v/>
      </c>
      <c r="F274">
        <f>IF(Sync!$AH274="","",IF(LEFT(UPPER(TRIM(Sync!$AH274)),2)="SL",UPPER(TRIM(Sync!$AH274)),""))</f>
        <v/>
      </c>
      <c r="G274">
        <f>IF($F274="","",IF(Sync!$AE274="","",IF(ISNUMBER(Sync!$AE274),IF(AND(Sync!$AE274&gt;=10000101,Sync!$AE274&lt;=99991231),INT(Sync!$AE274/10000),""),IFERROR(VALUE(TRIM(LEFT(Sync!$AE274,FIND("/",Sync!$AE274)-1))),""))))</f>
        <v/>
      </c>
      <c r="H274">
        <f>IF(OR($F274="",$G274=""),"",IF(ISNUMBER(Sync!$AE274),INT(MOD(Sync!$AE274,10000)/100),IFERROR(VALUE(TRIM(LEFT(MID(Sync!$AE274,FIND("/",Sync!$AE274)+1,20),FIND("/",MID(Sync!$AE274,FIND("/",Sync!$AE274)+1,20))-1))),"")))</f>
        <v/>
      </c>
      <c r="I274">
        <f>IF(OR($F274="",$G274=""),"",IF(ISNUMBER(Sync!$AE274),MOD(Sync!$AE274,100),IFERROR(VALUE(TRIM(MID(MID(Sync!$AE274,FIND("/",Sync!$AE274)+1,20),FIND("/",MID(Sync!$AE274,FIND("/",Sync!$AE274)+1,20))+1,20))),"")))</f>
        <v/>
      </c>
      <c r="J274">
        <f>IF($F274="","",IF(OR($G274="",$H274="",$I274="",$G274&lt;1300,$G274&gt;1500,$H274&lt;1,$H274&gt;12,$I274&lt;1,$I274&gt;31),"نامعتبر",RIGHT("0000"&amp;$G274,4)&amp;"/"&amp;RIGHT("00"&amp;$H274,2)&amp;"/"&amp;RIGHT("00"&amp;$I274,2)))</f>
        <v/>
      </c>
      <c r="K274">
        <f>IF(OR($F274="",$J274="",$J274="نامعتبر"),"",LEFT($J274,4)&amp;MID($J274,6,2)&amp;RIGHT($J274,2)&amp;$N274&amp;"|"&amp;"2"&amp;RIGHT("00000"&amp;269,5))</f>
        <v/>
      </c>
      <c r="L274">
        <f>IF($K274="","",COUNTIFS(LdgSellerA,$F274,LdgKeyA,"&lt;"&amp;$K274)+COUNTIFS(LdgSellerB,$F274,LdgKeyB,"&lt;"&amp;$K274)+1)</f>
        <v/>
      </c>
      <c r="M274">
        <f>IF($L274="","",$F274&amp;"|"&amp;RIGHT("000000"&amp;$L274,6))</f>
        <v/>
      </c>
      <c r="N274">
        <f>IF($F274="","",IF(Sync!$AF274="","0000",IF(AND(ISNUMBER(Sync!$AF274),Sync!$AF274&gt;=0,Sync!$AF274&lt;1),RIGHT("00"&amp;HOUR(Sync!$AF274),2)&amp;RIGHT("00"&amp;MINUTE(Sync!$AF274),2),IFERROR(RIGHT("00"&amp;VALUE(LEFT(Sync!$AF274,FIND(":",Sync!$AF274)-1)),2)&amp;RIGHT("00"&amp;VALUE(MID(Sync!$AF274,FIND(":",Sync!$AF274)+1,2)),2),"0000"))))</f>
        <v/>
      </c>
    </row>
    <row r="275">
      <c r="A275">
        <f>IF(OR(Calc!$E279="",Calc!$E279="نامعتبر",Calc!$G279=""),"",Calc!$G279)</f>
        <v/>
      </c>
      <c r="B275">
        <f>IF($A275="","",LEFT(Calc!$E279,4)&amp;MID(Calc!$E279,6,2)&amp;RIGHT(Calc!$E279,2)&amp;Calc!$Q279&amp;"|"&amp;"1"&amp;RIGHT("00000"&amp;270,5))</f>
        <v/>
      </c>
      <c r="C275">
        <f>IF($B275="","",COUNTIFS(LdgSellerA,$A275,LdgKeyA,"&lt;"&amp;$B275)+COUNTIFS(LdgSellerB,$A275,LdgKeyB,"&lt;"&amp;$B275)+1)</f>
        <v/>
      </c>
      <c r="D275">
        <f>IF($C275="","",$A275&amp;"|"&amp;RIGHT("000000"&amp;$C275,6))</f>
        <v/>
      </c>
      <c r="F275">
        <f>IF(Sync!$AH275="","",IF(LEFT(UPPER(TRIM(Sync!$AH275)),2)="SL",UPPER(TRIM(Sync!$AH275)),""))</f>
        <v/>
      </c>
      <c r="G275">
        <f>IF($F275="","",IF(Sync!$AE275="","",IF(ISNUMBER(Sync!$AE275),IF(AND(Sync!$AE275&gt;=10000101,Sync!$AE275&lt;=99991231),INT(Sync!$AE275/10000),""),IFERROR(VALUE(TRIM(LEFT(Sync!$AE275,FIND("/",Sync!$AE275)-1))),""))))</f>
        <v/>
      </c>
      <c r="H275">
        <f>IF(OR($F275="",$G275=""),"",IF(ISNUMBER(Sync!$AE275),INT(MOD(Sync!$AE275,10000)/100),IFERROR(VALUE(TRIM(LEFT(MID(Sync!$AE275,FIND("/",Sync!$AE275)+1,20),FIND("/",MID(Sync!$AE275,FIND("/",Sync!$AE275)+1,20))-1))),"")))</f>
        <v/>
      </c>
      <c r="I275">
        <f>IF(OR($F275="",$G275=""),"",IF(ISNUMBER(Sync!$AE275),MOD(Sync!$AE275,100),IFERROR(VALUE(TRIM(MID(MID(Sync!$AE275,FIND("/",Sync!$AE275)+1,20),FIND("/",MID(Sync!$AE275,FIND("/",Sync!$AE275)+1,20))+1,20))),"")))</f>
        <v/>
      </c>
      <c r="J275">
        <f>IF($F275="","",IF(OR($G275="",$H275="",$I275="",$G275&lt;1300,$G275&gt;1500,$H275&lt;1,$H275&gt;12,$I275&lt;1,$I275&gt;31),"نامعتبر",RIGHT("0000"&amp;$G275,4)&amp;"/"&amp;RIGHT("00"&amp;$H275,2)&amp;"/"&amp;RIGHT("00"&amp;$I275,2)))</f>
        <v/>
      </c>
      <c r="K275">
        <f>IF(OR($F275="",$J275="",$J275="نامعتبر"),"",LEFT($J275,4)&amp;MID($J275,6,2)&amp;RIGHT($J275,2)&amp;$N275&amp;"|"&amp;"2"&amp;RIGHT("00000"&amp;270,5))</f>
        <v/>
      </c>
      <c r="L275">
        <f>IF($K275="","",COUNTIFS(LdgSellerA,$F275,LdgKeyA,"&lt;"&amp;$K275)+COUNTIFS(LdgSellerB,$F275,LdgKeyB,"&lt;"&amp;$K275)+1)</f>
        <v/>
      </c>
      <c r="M275">
        <f>IF($L275="","",$F275&amp;"|"&amp;RIGHT("000000"&amp;$L275,6))</f>
        <v/>
      </c>
      <c r="N275">
        <f>IF($F275="","",IF(Sync!$AF275="","0000",IF(AND(ISNUMBER(Sync!$AF275),Sync!$AF275&gt;=0,Sync!$AF275&lt;1),RIGHT("00"&amp;HOUR(Sync!$AF275),2)&amp;RIGHT("00"&amp;MINUTE(Sync!$AF275),2),IFERROR(RIGHT("00"&amp;VALUE(LEFT(Sync!$AF275,FIND(":",Sync!$AF275)-1)),2)&amp;RIGHT("00"&amp;VALUE(MID(Sync!$AF275,FIND(":",Sync!$AF275)+1,2)),2),"0000"))))</f>
        <v/>
      </c>
    </row>
    <row r="276">
      <c r="A276">
        <f>IF(OR(Calc!$E280="",Calc!$E280="نامعتبر",Calc!$G280=""),"",Calc!$G280)</f>
        <v/>
      </c>
      <c r="B276">
        <f>IF($A276="","",LEFT(Calc!$E280,4)&amp;MID(Calc!$E280,6,2)&amp;RIGHT(Calc!$E280,2)&amp;Calc!$Q280&amp;"|"&amp;"1"&amp;RIGHT("00000"&amp;271,5))</f>
        <v/>
      </c>
      <c r="C276">
        <f>IF($B276="","",COUNTIFS(LdgSellerA,$A276,LdgKeyA,"&lt;"&amp;$B276)+COUNTIFS(LdgSellerB,$A276,LdgKeyB,"&lt;"&amp;$B276)+1)</f>
        <v/>
      </c>
      <c r="D276">
        <f>IF($C276="","",$A276&amp;"|"&amp;RIGHT("000000"&amp;$C276,6))</f>
        <v/>
      </c>
      <c r="F276">
        <f>IF(Sync!$AH276="","",IF(LEFT(UPPER(TRIM(Sync!$AH276)),2)="SL",UPPER(TRIM(Sync!$AH276)),""))</f>
        <v/>
      </c>
      <c r="G276">
        <f>IF($F276="","",IF(Sync!$AE276="","",IF(ISNUMBER(Sync!$AE276),IF(AND(Sync!$AE276&gt;=10000101,Sync!$AE276&lt;=99991231),INT(Sync!$AE276/10000),""),IFERROR(VALUE(TRIM(LEFT(Sync!$AE276,FIND("/",Sync!$AE276)-1))),""))))</f>
        <v/>
      </c>
      <c r="H276">
        <f>IF(OR($F276="",$G276=""),"",IF(ISNUMBER(Sync!$AE276),INT(MOD(Sync!$AE276,10000)/100),IFERROR(VALUE(TRIM(LEFT(MID(Sync!$AE276,FIND("/",Sync!$AE276)+1,20),FIND("/",MID(Sync!$AE276,FIND("/",Sync!$AE276)+1,20))-1))),"")))</f>
        <v/>
      </c>
      <c r="I276">
        <f>IF(OR($F276="",$G276=""),"",IF(ISNUMBER(Sync!$AE276),MOD(Sync!$AE276,100),IFERROR(VALUE(TRIM(MID(MID(Sync!$AE276,FIND("/",Sync!$AE276)+1,20),FIND("/",MID(Sync!$AE276,FIND("/",Sync!$AE276)+1,20))+1,20))),"")))</f>
        <v/>
      </c>
      <c r="J276">
        <f>IF($F276="","",IF(OR($G276="",$H276="",$I276="",$G276&lt;1300,$G276&gt;1500,$H276&lt;1,$H276&gt;12,$I276&lt;1,$I276&gt;31),"نامعتبر",RIGHT("0000"&amp;$G276,4)&amp;"/"&amp;RIGHT("00"&amp;$H276,2)&amp;"/"&amp;RIGHT("00"&amp;$I276,2)))</f>
        <v/>
      </c>
      <c r="K276">
        <f>IF(OR($F276="",$J276="",$J276="نامعتبر"),"",LEFT($J276,4)&amp;MID($J276,6,2)&amp;RIGHT($J276,2)&amp;$N276&amp;"|"&amp;"2"&amp;RIGHT("00000"&amp;271,5))</f>
        <v/>
      </c>
      <c r="L276">
        <f>IF($K276="","",COUNTIFS(LdgSellerA,$F276,LdgKeyA,"&lt;"&amp;$K276)+COUNTIFS(LdgSellerB,$F276,LdgKeyB,"&lt;"&amp;$K276)+1)</f>
        <v/>
      </c>
      <c r="M276">
        <f>IF($L276="","",$F276&amp;"|"&amp;RIGHT("000000"&amp;$L276,6))</f>
        <v/>
      </c>
      <c r="N276">
        <f>IF($F276="","",IF(Sync!$AF276="","0000",IF(AND(ISNUMBER(Sync!$AF276),Sync!$AF276&gt;=0,Sync!$AF276&lt;1),RIGHT("00"&amp;HOUR(Sync!$AF276),2)&amp;RIGHT("00"&amp;MINUTE(Sync!$AF276),2),IFERROR(RIGHT("00"&amp;VALUE(LEFT(Sync!$AF276,FIND(":",Sync!$AF276)-1)),2)&amp;RIGHT("00"&amp;VALUE(MID(Sync!$AF276,FIND(":",Sync!$AF276)+1,2)),2),"0000"))))</f>
        <v/>
      </c>
    </row>
    <row r="277">
      <c r="A277">
        <f>IF(OR(Calc!$E281="",Calc!$E281="نامعتبر",Calc!$G281=""),"",Calc!$G281)</f>
        <v/>
      </c>
      <c r="B277">
        <f>IF($A277="","",LEFT(Calc!$E281,4)&amp;MID(Calc!$E281,6,2)&amp;RIGHT(Calc!$E281,2)&amp;Calc!$Q281&amp;"|"&amp;"1"&amp;RIGHT("00000"&amp;272,5))</f>
        <v/>
      </c>
      <c r="C277">
        <f>IF($B277="","",COUNTIFS(LdgSellerA,$A277,LdgKeyA,"&lt;"&amp;$B277)+COUNTIFS(LdgSellerB,$A277,LdgKeyB,"&lt;"&amp;$B277)+1)</f>
        <v/>
      </c>
      <c r="D277">
        <f>IF($C277="","",$A277&amp;"|"&amp;RIGHT("000000"&amp;$C277,6))</f>
        <v/>
      </c>
      <c r="F277">
        <f>IF(Sync!$AH277="","",IF(LEFT(UPPER(TRIM(Sync!$AH277)),2)="SL",UPPER(TRIM(Sync!$AH277)),""))</f>
        <v/>
      </c>
      <c r="G277">
        <f>IF($F277="","",IF(Sync!$AE277="","",IF(ISNUMBER(Sync!$AE277),IF(AND(Sync!$AE277&gt;=10000101,Sync!$AE277&lt;=99991231),INT(Sync!$AE277/10000),""),IFERROR(VALUE(TRIM(LEFT(Sync!$AE277,FIND("/",Sync!$AE277)-1))),""))))</f>
        <v/>
      </c>
      <c r="H277">
        <f>IF(OR($F277="",$G277=""),"",IF(ISNUMBER(Sync!$AE277),INT(MOD(Sync!$AE277,10000)/100),IFERROR(VALUE(TRIM(LEFT(MID(Sync!$AE277,FIND("/",Sync!$AE277)+1,20),FIND("/",MID(Sync!$AE277,FIND("/",Sync!$AE277)+1,20))-1))),"")))</f>
        <v/>
      </c>
      <c r="I277">
        <f>IF(OR($F277="",$G277=""),"",IF(ISNUMBER(Sync!$AE277),MOD(Sync!$AE277,100),IFERROR(VALUE(TRIM(MID(MID(Sync!$AE277,FIND("/",Sync!$AE277)+1,20),FIND("/",MID(Sync!$AE277,FIND("/",Sync!$AE277)+1,20))+1,20))),"")))</f>
        <v/>
      </c>
      <c r="J277">
        <f>IF($F277="","",IF(OR($G277="",$H277="",$I277="",$G277&lt;1300,$G277&gt;1500,$H277&lt;1,$H277&gt;12,$I277&lt;1,$I277&gt;31),"نامعتبر",RIGHT("0000"&amp;$G277,4)&amp;"/"&amp;RIGHT("00"&amp;$H277,2)&amp;"/"&amp;RIGHT("00"&amp;$I277,2)))</f>
        <v/>
      </c>
      <c r="K277">
        <f>IF(OR($F277="",$J277="",$J277="نامعتبر"),"",LEFT($J277,4)&amp;MID($J277,6,2)&amp;RIGHT($J277,2)&amp;$N277&amp;"|"&amp;"2"&amp;RIGHT("00000"&amp;272,5))</f>
        <v/>
      </c>
      <c r="L277">
        <f>IF($K277="","",COUNTIFS(LdgSellerA,$F277,LdgKeyA,"&lt;"&amp;$K277)+COUNTIFS(LdgSellerB,$F277,LdgKeyB,"&lt;"&amp;$K277)+1)</f>
        <v/>
      </c>
      <c r="M277">
        <f>IF($L277="","",$F277&amp;"|"&amp;RIGHT("000000"&amp;$L277,6))</f>
        <v/>
      </c>
      <c r="N277">
        <f>IF($F277="","",IF(Sync!$AF277="","0000",IF(AND(ISNUMBER(Sync!$AF277),Sync!$AF277&gt;=0,Sync!$AF277&lt;1),RIGHT("00"&amp;HOUR(Sync!$AF277),2)&amp;RIGHT("00"&amp;MINUTE(Sync!$AF277),2),IFERROR(RIGHT("00"&amp;VALUE(LEFT(Sync!$AF277,FIND(":",Sync!$AF277)-1)),2)&amp;RIGHT("00"&amp;VALUE(MID(Sync!$AF277,FIND(":",Sync!$AF277)+1,2)),2),"0000"))))</f>
        <v/>
      </c>
    </row>
    <row r="278">
      <c r="A278">
        <f>IF(OR(Calc!$E282="",Calc!$E282="نامعتبر",Calc!$G282=""),"",Calc!$G282)</f>
        <v/>
      </c>
      <c r="B278">
        <f>IF($A278="","",LEFT(Calc!$E282,4)&amp;MID(Calc!$E282,6,2)&amp;RIGHT(Calc!$E282,2)&amp;Calc!$Q282&amp;"|"&amp;"1"&amp;RIGHT("00000"&amp;273,5))</f>
        <v/>
      </c>
      <c r="C278">
        <f>IF($B278="","",COUNTIFS(LdgSellerA,$A278,LdgKeyA,"&lt;"&amp;$B278)+COUNTIFS(LdgSellerB,$A278,LdgKeyB,"&lt;"&amp;$B278)+1)</f>
        <v/>
      </c>
      <c r="D278">
        <f>IF($C278="","",$A278&amp;"|"&amp;RIGHT("000000"&amp;$C278,6))</f>
        <v/>
      </c>
      <c r="F278">
        <f>IF(Sync!$AH278="","",IF(LEFT(UPPER(TRIM(Sync!$AH278)),2)="SL",UPPER(TRIM(Sync!$AH278)),""))</f>
        <v/>
      </c>
      <c r="G278">
        <f>IF($F278="","",IF(Sync!$AE278="","",IF(ISNUMBER(Sync!$AE278),IF(AND(Sync!$AE278&gt;=10000101,Sync!$AE278&lt;=99991231),INT(Sync!$AE278/10000),""),IFERROR(VALUE(TRIM(LEFT(Sync!$AE278,FIND("/",Sync!$AE278)-1))),""))))</f>
        <v/>
      </c>
      <c r="H278">
        <f>IF(OR($F278="",$G278=""),"",IF(ISNUMBER(Sync!$AE278),INT(MOD(Sync!$AE278,10000)/100),IFERROR(VALUE(TRIM(LEFT(MID(Sync!$AE278,FIND("/",Sync!$AE278)+1,20),FIND("/",MID(Sync!$AE278,FIND("/",Sync!$AE278)+1,20))-1))),"")))</f>
        <v/>
      </c>
      <c r="I278">
        <f>IF(OR($F278="",$G278=""),"",IF(ISNUMBER(Sync!$AE278),MOD(Sync!$AE278,100),IFERROR(VALUE(TRIM(MID(MID(Sync!$AE278,FIND("/",Sync!$AE278)+1,20),FIND("/",MID(Sync!$AE278,FIND("/",Sync!$AE278)+1,20))+1,20))),"")))</f>
        <v/>
      </c>
      <c r="J278">
        <f>IF($F278="","",IF(OR($G278="",$H278="",$I278="",$G278&lt;1300,$G278&gt;1500,$H278&lt;1,$H278&gt;12,$I278&lt;1,$I278&gt;31),"نامعتبر",RIGHT("0000"&amp;$G278,4)&amp;"/"&amp;RIGHT("00"&amp;$H278,2)&amp;"/"&amp;RIGHT("00"&amp;$I278,2)))</f>
        <v/>
      </c>
      <c r="K278">
        <f>IF(OR($F278="",$J278="",$J278="نامعتبر"),"",LEFT($J278,4)&amp;MID($J278,6,2)&amp;RIGHT($J278,2)&amp;$N278&amp;"|"&amp;"2"&amp;RIGHT("00000"&amp;273,5))</f>
        <v/>
      </c>
      <c r="L278">
        <f>IF($K278="","",COUNTIFS(LdgSellerA,$F278,LdgKeyA,"&lt;"&amp;$K278)+COUNTIFS(LdgSellerB,$F278,LdgKeyB,"&lt;"&amp;$K278)+1)</f>
        <v/>
      </c>
      <c r="M278">
        <f>IF($L278="","",$F278&amp;"|"&amp;RIGHT("000000"&amp;$L278,6))</f>
        <v/>
      </c>
      <c r="N278">
        <f>IF($F278="","",IF(Sync!$AF278="","0000",IF(AND(ISNUMBER(Sync!$AF278),Sync!$AF278&gt;=0,Sync!$AF278&lt;1),RIGHT("00"&amp;HOUR(Sync!$AF278),2)&amp;RIGHT("00"&amp;MINUTE(Sync!$AF278),2),IFERROR(RIGHT("00"&amp;VALUE(LEFT(Sync!$AF278,FIND(":",Sync!$AF278)-1)),2)&amp;RIGHT("00"&amp;VALUE(MID(Sync!$AF278,FIND(":",Sync!$AF278)+1,2)),2),"0000"))))</f>
        <v/>
      </c>
    </row>
    <row r="279">
      <c r="A279">
        <f>IF(OR(Calc!$E283="",Calc!$E283="نامعتبر",Calc!$G283=""),"",Calc!$G283)</f>
        <v/>
      </c>
      <c r="B279">
        <f>IF($A279="","",LEFT(Calc!$E283,4)&amp;MID(Calc!$E283,6,2)&amp;RIGHT(Calc!$E283,2)&amp;Calc!$Q283&amp;"|"&amp;"1"&amp;RIGHT("00000"&amp;274,5))</f>
        <v/>
      </c>
      <c r="C279">
        <f>IF($B279="","",COUNTIFS(LdgSellerA,$A279,LdgKeyA,"&lt;"&amp;$B279)+COUNTIFS(LdgSellerB,$A279,LdgKeyB,"&lt;"&amp;$B279)+1)</f>
        <v/>
      </c>
      <c r="D279">
        <f>IF($C279="","",$A279&amp;"|"&amp;RIGHT("000000"&amp;$C279,6))</f>
        <v/>
      </c>
      <c r="F279">
        <f>IF(Sync!$AH279="","",IF(LEFT(UPPER(TRIM(Sync!$AH279)),2)="SL",UPPER(TRIM(Sync!$AH279)),""))</f>
        <v/>
      </c>
      <c r="G279">
        <f>IF($F279="","",IF(Sync!$AE279="","",IF(ISNUMBER(Sync!$AE279),IF(AND(Sync!$AE279&gt;=10000101,Sync!$AE279&lt;=99991231),INT(Sync!$AE279/10000),""),IFERROR(VALUE(TRIM(LEFT(Sync!$AE279,FIND("/",Sync!$AE279)-1))),""))))</f>
        <v/>
      </c>
      <c r="H279">
        <f>IF(OR($F279="",$G279=""),"",IF(ISNUMBER(Sync!$AE279),INT(MOD(Sync!$AE279,10000)/100),IFERROR(VALUE(TRIM(LEFT(MID(Sync!$AE279,FIND("/",Sync!$AE279)+1,20),FIND("/",MID(Sync!$AE279,FIND("/",Sync!$AE279)+1,20))-1))),"")))</f>
        <v/>
      </c>
      <c r="I279">
        <f>IF(OR($F279="",$G279=""),"",IF(ISNUMBER(Sync!$AE279),MOD(Sync!$AE279,100),IFERROR(VALUE(TRIM(MID(MID(Sync!$AE279,FIND("/",Sync!$AE279)+1,20),FIND("/",MID(Sync!$AE279,FIND("/",Sync!$AE279)+1,20))+1,20))),"")))</f>
        <v/>
      </c>
      <c r="J279">
        <f>IF($F279="","",IF(OR($G279="",$H279="",$I279="",$G279&lt;1300,$G279&gt;1500,$H279&lt;1,$H279&gt;12,$I279&lt;1,$I279&gt;31),"نامعتبر",RIGHT("0000"&amp;$G279,4)&amp;"/"&amp;RIGHT("00"&amp;$H279,2)&amp;"/"&amp;RIGHT("00"&amp;$I279,2)))</f>
        <v/>
      </c>
      <c r="K279">
        <f>IF(OR($F279="",$J279="",$J279="نامعتبر"),"",LEFT($J279,4)&amp;MID($J279,6,2)&amp;RIGHT($J279,2)&amp;$N279&amp;"|"&amp;"2"&amp;RIGHT("00000"&amp;274,5))</f>
        <v/>
      </c>
      <c r="L279">
        <f>IF($K279="","",COUNTIFS(LdgSellerA,$F279,LdgKeyA,"&lt;"&amp;$K279)+COUNTIFS(LdgSellerB,$F279,LdgKeyB,"&lt;"&amp;$K279)+1)</f>
        <v/>
      </c>
      <c r="M279">
        <f>IF($L279="","",$F279&amp;"|"&amp;RIGHT("000000"&amp;$L279,6))</f>
        <v/>
      </c>
      <c r="N279">
        <f>IF($F279="","",IF(Sync!$AF279="","0000",IF(AND(ISNUMBER(Sync!$AF279),Sync!$AF279&gt;=0,Sync!$AF279&lt;1),RIGHT("00"&amp;HOUR(Sync!$AF279),2)&amp;RIGHT("00"&amp;MINUTE(Sync!$AF279),2),IFERROR(RIGHT("00"&amp;VALUE(LEFT(Sync!$AF279,FIND(":",Sync!$AF279)-1)),2)&amp;RIGHT("00"&amp;VALUE(MID(Sync!$AF279,FIND(":",Sync!$AF279)+1,2)),2),"0000"))))</f>
        <v/>
      </c>
    </row>
    <row r="280">
      <c r="A280">
        <f>IF(OR(Calc!$E284="",Calc!$E284="نامعتبر",Calc!$G284=""),"",Calc!$G284)</f>
        <v/>
      </c>
      <c r="B280">
        <f>IF($A280="","",LEFT(Calc!$E284,4)&amp;MID(Calc!$E284,6,2)&amp;RIGHT(Calc!$E284,2)&amp;Calc!$Q284&amp;"|"&amp;"1"&amp;RIGHT("00000"&amp;275,5))</f>
        <v/>
      </c>
      <c r="C280">
        <f>IF($B280="","",COUNTIFS(LdgSellerA,$A280,LdgKeyA,"&lt;"&amp;$B280)+COUNTIFS(LdgSellerB,$A280,LdgKeyB,"&lt;"&amp;$B280)+1)</f>
        <v/>
      </c>
      <c r="D280">
        <f>IF($C280="","",$A280&amp;"|"&amp;RIGHT("000000"&amp;$C280,6))</f>
        <v/>
      </c>
      <c r="F280">
        <f>IF(Sync!$AH280="","",IF(LEFT(UPPER(TRIM(Sync!$AH280)),2)="SL",UPPER(TRIM(Sync!$AH280)),""))</f>
        <v/>
      </c>
      <c r="G280">
        <f>IF($F280="","",IF(Sync!$AE280="","",IF(ISNUMBER(Sync!$AE280),IF(AND(Sync!$AE280&gt;=10000101,Sync!$AE280&lt;=99991231),INT(Sync!$AE280/10000),""),IFERROR(VALUE(TRIM(LEFT(Sync!$AE280,FIND("/",Sync!$AE280)-1))),""))))</f>
        <v/>
      </c>
      <c r="H280">
        <f>IF(OR($F280="",$G280=""),"",IF(ISNUMBER(Sync!$AE280),INT(MOD(Sync!$AE280,10000)/100),IFERROR(VALUE(TRIM(LEFT(MID(Sync!$AE280,FIND("/",Sync!$AE280)+1,20),FIND("/",MID(Sync!$AE280,FIND("/",Sync!$AE280)+1,20))-1))),"")))</f>
        <v/>
      </c>
      <c r="I280">
        <f>IF(OR($F280="",$G280=""),"",IF(ISNUMBER(Sync!$AE280),MOD(Sync!$AE280,100),IFERROR(VALUE(TRIM(MID(MID(Sync!$AE280,FIND("/",Sync!$AE280)+1,20),FIND("/",MID(Sync!$AE280,FIND("/",Sync!$AE280)+1,20))+1,20))),"")))</f>
        <v/>
      </c>
      <c r="J280">
        <f>IF($F280="","",IF(OR($G280="",$H280="",$I280="",$G280&lt;1300,$G280&gt;1500,$H280&lt;1,$H280&gt;12,$I280&lt;1,$I280&gt;31),"نامعتبر",RIGHT("0000"&amp;$G280,4)&amp;"/"&amp;RIGHT("00"&amp;$H280,2)&amp;"/"&amp;RIGHT("00"&amp;$I280,2)))</f>
        <v/>
      </c>
      <c r="K280">
        <f>IF(OR($F280="",$J280="",$J280="نامعتبر"),"",LEFT($J280,4)&amp;MID($J280,6,2)&amp;RIGHT($J280,2)&amp;$N280&amp;"|"&amp;"2"&amp;RIGHT("00000"&amp;275,5))</f>
        <v/>
      </c>
      <c r="L280">
        <f>IF($K280="","",COUNTIFS(LdgSellerA,$F280,LdgKeyA,"&lt;"&amp;$K280)+COUNTIFS(LdgSellerB,$F280,LdgKeyB,"&lt;"&amp;$K280)+1)</f>
        <v/>
      </c>
      <c r="M280">
        <f>IF($L280="","",$F280&amp;"|"&amp;RIGHT("000000"&amp;$L280,6))</f>
        <v/>
      </c>
      <c r="N280">
        <f>IF($F280="","",IF(Sync!$AF280="","0000",IF(AND(ISNUMBER(Sync!$AF280),Sync!$AF280&gt;=0,Sync!$AF280&lt;1),RIGHT("00"&amp;HOUR(Sync!$AF280),2)&amp;RIGHT("00"&amp;MINUTE(Sync!$AF280),2),IFERROR(RIGHT("00"&amp;VALUE(LEFT(Sync!$AF280,FIND(":",Sync!$AF280)-1)),2)&amp;RIGHT("00"&amp;VALUE(MID(Sync!$AF280,FIND(":",Sync!$AF280)+1,2)),2),"0000"))))</f>
        <v/>
      </c>
    </row>
    <row r="281">
      <c r="A281">
        <f>IF(OR(Calc!$E285="",Calc!$E285="نامعتبر",Calc!$G285=""),"",Calc!$G285)</f>
        <v/>
      </c>
      <c r="B281">
        <f>IF($A281="","",LEFT(Calc!$E285,4)&amp;MID(Calc!$E285,6,2)&amp;RIGHT(Calc!$E285,2)&amp;Calc!$Q285&amp;"|"&amp;"1"&amp;RIGHT("00000"&amp;276,5))</f>
        <v/>
      </c>
      <c r="C281">
        <f>IF($B281="","",COUNTIFS(LdgSellerA,$A281,LdgKeyA,"&lt;"&amp;$B281)+COUNTIFS(LdgSellerB,$A281,LdgKeyB,"&lt;"&amp;$B281)+1)</f>
        <v/>
      </c>
      <c r="D281">
        <f>IF($C281="","",$A281&amp;"|"&amp;RIGHT("000000"&amp;$C281,6))</f>
        <v/>
      </c>
      <c r="F281">
        <f>IF(Sync!$AH281="","",IF(LEFT(UPPER(TRIM(Sync!$AH281)),2)="SL",UPPER(TRIM(Sync!$AH281)),""))</f>
        <v/>
      </c>
      <c r="G281">
        <f>IF($F281="","",IF(Sync!$AE281="","",IF(ISNUMBER(Sync!$AE281),IF(AND(Sync!$AE281&gt;=10000101,Sync!$AE281&lt;=99991231),INT(Sync!$AE281/10000),""),IFERROR(VALUE(TRIM(LEFT(Sync!$AE281,FIND("/",Sync!$AE281)-1))),""))))</f>
        <v/>
      </c>
      <c r="H281">
        <f>IF(OR($F281="",$G281=""),"",IF(ISNUMBER(Sync!$AE281),INT(MOD(Sync!$AE281,10000)/100),IFERROR(VALUE(TRIM(LEFT(MID(Sync!$AE281,FIND("/",Sync!$AE281)+1,20),FIND("/",MID(Sync!$AE281,FIND("/",Sync!$AE281)+1,20))-1))),"")))</f>
        <v/>
      </c>
      <c r="I281">
        <f>IF(OR($F281="",$G281=""),"",IF(ISNUMBER(Sync!$AE281),MOD(Sync!$AE281,100),IFERROR(VALUE(TRIM(MID(MID(Sync!$AE281,FIND("/",Sync!$AE281)+1,20),FIND("/",MID(Sync!$AE281,FIND("/",Sync!$AE281)+1,20))+1,20))),"")))</f>
        <v/>
      </c>
      <c r="J281">
        <f>IF($F281="","",IF(OR($G281="",$H281="",$I281="",$G281&lt;1300,$G281&gt;1500,$H281&lt;1,$H281&gt;12,$I281&lt;1,$I281&gt;31),"نامعتبر",RIGHT("0000"&amp;$G281,4)&amp;"/"&amp;RIGHT("00"&amp;$H281,2)&amp;"/"&amp;RIGHT("00"&amp;$I281,2)))</f>
        <v/>
      </c>
      <c r="K281">
        <f>IF(OR($F281="",$J281="",$J281="نامعتبر"),"",LEFT($J281,4)&amp;MID($J281,6,2)&amp;RIGHT($J281,2)&amp;$N281&amp;"|"&amp;"2"&amp;RIGHT("00000"&amp;276,5))</f>
        <v/>
      </c>
      <c r="L281">
        <f>IF($K281="","",COUNTIFS(LdgSellerA,$F281,LdgKeyA,"&lt;"&amp;$K281)+COUNTIFS(LdgSellerB,$F281,LdgKeyB,"&lt;"&amp;$K281)+1)</f>
        <v/>
      </c>
      <c r="M281">
        <f>IF($L281="","",$F281&amp;"|"&amp;RIGHT("000000"&amp;$L281,6))</f>
        <v/>
      </c>
      <c r="N281">
        <f>IF($F281="","",IF(Sync!$AF281="","0000",IF(AND(ISNUMBER(Sync!$AF281),Sync!$AF281&gt;=0,Sync!$AF281&lt;1),RIGHT("00"&amp;HOUR(Sync!$AF281),2)&amp;RIGHT("00"&amp;MINUTE(Sync!$AF281),2),IFERROR(RIGHT("00"&amp;VALUE(LEFT(Sync!$AF281,FIND(":",Sync!$AF281)-1)),2)&amp;RIGHT("00"&amp;VALUE(MID(Sync!$AF281,FIND(":",Sync!$AF281)+1,2)),2),"0000"))))</f>
        <v/>
      </c>
    </row>
    <row r="282">
      <c r="A282">
        <f>IF(OR(Calc!$E286="",Calc!$E286="نامعتبر",Calc!$G286=""),"",Calc!$G286)</f>
        <v/>
      </c>
      <c r="B282">
        <f>IF($A282="","",LEFT(Calc!$E286,4)&amp;MID(Calc!$E286,6,2)&amp;RIGHT(Calc!$E286,2)&amp;Calc!$Q286&amp;"|"&amp;"1"&amp;RIGHT("00000"&amp;277,5))</f>
        <v/>
      </c>
      <c r="C282">
        <f>IF($B282="","",COUNTIFS(LdgSellerA,$A282,LdgKeyA,"&lt;"&amp;$B282)+COUNTIFS(LdgSellerB,$A282,LdgKeyB,"&lt;"&amp;$B282)+1)</f>
        <v/>
      </c>
      <c r="D282">
        <f>IF($C282="","",$A282&amp;"|"&amp;RIGHT("000000"&amp;$C282,6))</f>
        <v/>
      </c>
      <c r="F282">
        <f>IF(Sync!$AH282="","",IF(LEFT(UPPER(TRIM(Sync!$AH282)),2)="SL",UPPER(TRIM(Sync!$AH282)),""))</f>
        <v/>
      </c>
      <c r="G282">
        <f>IF($F282="","",IF(Sync!$AE282="","",IF(ISNUMBER(Sync!$AE282),IF(AND(Sync!$AE282&gt;=10000101,Sync!$AE282&lt;=99991231),INT(Sync!$AE282/10000),""),IFERROR(VALUE(TRIM(LEFT(Sync!$AE282,FIND("/",Sync!$AE282)-1))),""))))</f>
        <v/>
      </c>
      <c r="H282">
        <f>IF(OR($F282="",$G282=""),"",IF(ISNUMBER(Sync!$AE282),INT(MOD(Sync!$AE282,10000)/100),IFERROR(VALUE(TRIM(LEFT(MID(Sync!$AE282,FIND("/",Sync!$AE282)+1,20),FIND("/",MID(Sync!$AE282,FIND("/",Sync!$AE282)+1,20))-1))),"")))</f>
        <v/>
      </c>
      <c r="I282">
        <f>IF(OR($F282="",$G282=""),"",IF(ISNUMBER(Sync!$AE282),MOD(Sync!$AE282,100),IFERROR(VALUE(TRIM(MID(MID(Sync!$AE282,FIND("/",Sync!$AE282)+1,20),FIND("/",MID(Sync!$AE282,FIND("/",Sync!$AE282)+1,20))+1,20))),"")))</f>
        <v/>
      </c>
      <c r="J282">
        <f>IF($F282="","",IF(OR($G282="",$H282="",$I282="",$G282&lt;1300,$G282&gt;1500,$H282&lt;1,$H282&gt;12,$I282&lt;1,$I282&gt;31),"نامعتبر",RIGHT("0000"&amp;$G282,4)&amp;"/"&amp;RIGHT("00"&amp;$H282,2)&amp;"/"&amp;RIGHT("00"&amp;$I282,2)))</f>
        <v/>
      </c>
      <c r="K282">
        <f>IF(OR($F282="",$J282="",$J282="نامعتبر"),"",LEFT($J282,4)&amp;MID($J282,6,2)&amp;RIGHT($J282,2)&amp;$N282&amp;"|"&amp;"2"&amp;RIGHT("00000"&amp;277,5))</f>
        <v/>
      </c>
      <c r="L282">
        <f>IF($K282="","",COUNTIFS(LdgSellerA,$F282,LdgKeyA,"&lt;"&amp;$K282)+COUNTIFS(LdgSellerB,$F282,LdgKeyB,"&lt;"&amp;$K282)+1)</f>
        <v/>
      </c>
      <c r="M282">
        <f>IF($L282="","",$F282&amp;"|"&amp;RIGHT("000000"&amp;$L282,6))</f>
        <v/>
      </c>
      <c r="N282">
        <f>IF($F282="","",IF(Sync!$AF282="","0000",IF(AND(ISNUMBER(Sync!$AF282),Sync!$AF282&gt;=0,Sync!$AF282&lt;1),RIGHT("00"&amp;HOUR(Sync!$AF282),2)&amp;RIGHT("00"&amp;MINUTE(Sync!$AF282),2),IFERROR(RIGHT("00"&amp;VALUE(LEFT(Sync!$AF282,FIND(":",Sync!$AF282)-1)),2)&amp;RIGHT("00"&amp;VALUE(MID(Sync!$AF282,FIND(":",Sync!$AF282)+1,2)),2),"0000"))))</f>
        <v/>
      </c>
    </row>
    <row r="283">
      <c r="A283">
        <f>IF(OR(Calc!$E287="",Calc!$E287="نامعتبر",Calc!$G287=""),"",Calc!$G287)</f>
        <v/>
      </c>
      <c r="B283">
        <f>IF($A283="","",LEFT(Calc!$E287,4)&amp;MID(Calc!$E287,6,2)&amp;RIGHT(Calc!$E287,2)&amp;Calc!$Q287&amp;"|"&amp;"1"&amp;RIGHT("00000"&amp;278,5))</f>
        <v/>
      </c>
      <c r="C283">
        <f>IF($B283="","",COUNTIFS(LdgSellerA,$A283,LdgKeyA,"&lt;"&amp;$B283)+COUNTIFS(LdgSellerB,$A283,LdgKeyB,"&lt;"&amp;$B283)+1)</f>
        <v/>
      </c>
      <c r="D283">
        <f>IF($C283="","",$A283&amp;"|"&amp;RIGHT("000000"&amp;$C283,6))</f>
        <v/>
      </c>
      <c r="F283">
        <f>IF(Sync!$AH283="","",IF(LEFT(UPPER(TRIM(Sync!$AH283)),2)="SL",UPPER(TRIM(Sync!$AH283)),""))</f>
        <v/>
      </c>
      <c r="G283">
        <f>IF($F283="","",IF(Sync!$AE283="","",IF(ISNUMBER(Sync!$AE283),IF(AND(Sync!$AE283&gt;=10000101,Sync!$AE283&lt;=99991231),INT(Sync!$AE283/10000),""),IFERROR(VALUE(TRIM(LEFT(Sync!$AE283,FIND("/",Sync!$AE283)-1))),""))))</f>
        <v/>
      </c>
      <c r="H283">
        <f>IF(OR($F283="",$G283=""),"",IF(ISNUMBER(Sync!$AE283),INT(MOD(Sync!$AE283,10000)/100),IFERROR(VALUE(TRIM(LEFT(MID(Sync!$AE283,FIND("/",Sync!$AE283)+1,20),FIND("/",MID(Sync!$AE283,FIND("/",Sync!$AE283)+1,20))-1))),"")))</f>
        <v/>
      </c>
      <c r="I283">
        <f>IF(OR($F283="",$G283=""),"",IF(ISNUMBER(Sync!$AE283),MOD(Sync!$AE283,100),IFERROR(VALUE(TRIM(MID(MID(Sync!$AE283,FIND("/",Sync!$AE283)+1,20),FIND("/",MID(Sync!$AE283,FIND("/",Sync!$AE283)+1,20))+1,20))),"")))</f>
        <v/>
      </c>
      <c r="J283">
        <f>IF($F283="","",IF(OR($G283="",$H283="",$I283="",$G283&lt;1300,$G283&gt;1500,$H283&lt;1,$H283&gt;12,$I283&lt;1,$I283&gt;31),"نامعتبر",RIGHT("0000"&amp;$G283,4)&amp;"/"&amp;RIGHT("00"&amp;$H283,2)&amp;"/"&amp;RIGHT("00"&amp;$I283,2)))</f>
        <v/>
      </c>
      <c r="K283">
        <f>IF(OR($F283="",$J283="",$J283="نامعتبر"),"",LEFT($J283,4)&amp;MID($J283,6,2)&amp;RIGHT($J283,2)&amp;$N283&amp;"|"&amp;"2"&amp;RIGHT("00000"&amp;278,5))</f>
        <v/>
      </c>
      <c r="L283">
        <f>IF($K283="","",COUNTIFS(LdgSellerA,$F283,LdgKeyA,"&lt;"&amp;$K283)+COUNTIFS(LdgSellerB,$F283,LdgKeyB,"&lt;"&amp;$K283)+1)</f>
        <v/>
      </c>
      <c r="M283">
        <f>IF($L283="","",$F283&amp;"|"&amp;RIGHT("000000"&amp;$L283,6))</f>
        <v/>
      </c>
      <c r="N283">
        <f>IF($F283="","",IF(Sync!$AF283="","0000",IF(AND(ISNUMBER(Sync!$AF283),Sync!$AF283&gt;=0,Sync!$AF283&lt;1),RIGHT("00"&amp;HOUR(Sync!$AF283),2)&amp;RIGHT("00"&amp;MINUTE(Sync!$AF283),2),IFERROR(RIGHT("00"&amp;VALUE(LEFT(Sync!$AF283,FIND(":",Sync!$AF283)-1)),2)&amp;RIGHT("00"&amp;VALUE(MID(Sync!$AF283,FIND(":",Sync!$AF283)+1,2)),2),"0000"))))</f>
        <v/>
      </c>
    </row>
    <row r="284">
      <c r="A284">
        <f>IF(OR(Calc!$E288="",Calc!$E288="نامعتبر",Calc!$G288=""),"",Calc!$G288)</f>
        <v/>
      </c>
      <c r="B284">
        <f>IF($A284="","",LEFT(Calc!$E288,4)&amp;MID(Calc!$E288,6,2)&amp;RIGHT(Calc!$E288,2)&amp;Calc!$Q288&amp;"|"&amp;"1"&amp;RIGHT("00000"&amp;279,5))</f>
        <v/>
      </c>
      <c r="C284">
        <f>IF($B284="","",COUNTIFS(LdgSellerA,$A284,LdgKeyA,"&lt;"&amp;$B284)+COUNTIFS(LdgSellerB,$A284,LdgKeyB,"&lt;"&amp;$B284)+1)</f>
        <v/>
      </c>
      <c r="D284">
        <f>IF($C284="","",$A284&amp;"|"&amp;RIGHT("000000"&amp;$C284,6))</f>
        <v/>
      </c>
      <c r="F284">
        <f>IF(Sync!$AH284="","",IF(LEFT(UPPER(TRIM(Sync!$AH284)),2)="SL",UPPER(TRIM(Sync!$AH284)),""))</f>
        <v/>
      </c>
      <c r="G284">
        <f>IF($F284="","",IF(Sync!$AE284="","",IF(ISNUMBER(Sync!$AE284),IF(AND(Sync!$AE284&gt;=10000101,Sync!$AE284&lt;=99991231),INT(Sync!$AE284/10000),""),IFERROR(VALUE(TRIM(LEFT(Sync!$AE284,FIND("/",Sync!$AE284)-1))),""))))</f>
        <v/>
      </c>
      <c r="H284">
        <f>IF(OR($F284="",$G284=""),"",IF(ISNUMBER(Sync!$AE284),INT(MOD(Sync!$AE284,10000)/100),IFERROR(VALUE(TRIM(LEFT(MID(Sync!$AE284,FIND("/",Sync!$AE284)+1,20),FIND("/",MID(Sync!$AE284,FIND("/",Sync!$AE284)+1,20))-1))),"")))</f>
        <v/>
      </c>
      <c r="I284">
        <f>IF(OR($F284="",$G284=""),"",IF(ISNUMBER(Sync!$AE284),MOD(Sync!$AE284,100),IFERROR(VALUE(TRIM(MID(MID(Sync!$AE284,FIND("/",Sync!$AE284)+1,20),FIND("/",MID(Sync!$AE284,FIND("/",Sync!$AE284)+1,20))+1,20))),"")))</f>
        <v/>
      </c>
      <c r="J284">
        <f>IF($F284="","",IF(OR($G284="",$H284="",$I284="",$G284&lt;1300,$G284&gt;1500,$H284&lt;1,$H284&gt;12,$I284&lt;1,$I284&gt;31),"نامعتبر",RIGHT("0000"&amp;$G284,4)&amp;"/"&amp;RIGHT("00"&amp;$H284,2)&amp;"/"&amp;RIGHT("00"&amp;$I284,2)))</f>
        <v/>
      </c>
      <c r="K284">
        <f>IF(OR($F284="",$J284="",$J284="نامعتبر"),"",LEFT($J284,4)&amp;MID($J284,6,2)&amp;RIGHT($J284,2)&amp;$N284&amp;"|"&amp;"2"&amp;RIGHT("00000"&amp;279,5))</f>
        <v/>
      </c>
      <c r="L284">
        <f>IF($K284="","",COUNTIFS(LdgSellerA,$F284,LdgKeyA,"&lt;"&amp;$K284)+COUNTIFS(LdgSellerB,$F284,LdgKeyB,"&lt;"&amp;$K284)+1)</f>
        <v/>
      </c>
      <c r="M284">
        <f>IF($L284="","",$F284&amp;"|"&amp;RIGHT("000000"&amp;$L284,6))</f>
        <v/>
      </c>
      <c r="N284">
        <f>IF($F284="","",IF(Sync!$AF284="","0000",IF(AND(ISNUMBER(Sync!$AF284),Sync!$AF284&gt;=0,Sync!$AF284&lt;1),RIGHT("00"&amp;HOUR(Sync!$AF284),2)&amp;RIGHT("00"&amp;MINUTE(Sync!$AF284),2),IFERROR(RIGHT("00"&amp;VALUE(LEFT(Sync!$AF284,FIND(":",Sync!$AF284)-1)),2)&amp;RIGHT("00"&amp;VALUE(MID(Sync!$AF284,FIND(":",Sync!$AF284)+1,2)),2),"0000"))))</f>
        <v/>
      </c>
    </row>
    <row r="285">
      <c r="A285">
        <f>IF(OR(Calc!$E289="",Calc!$E289="نامعتبر",Calc!$G289=""),"",Calc!$G289)</f>
        <v/>
      </c>
      <c r="B285">
        <f>IF($A285="","",LEFT(Calc!$E289,4)&amp;MID(Calc!$E289,6,2)&amp;RIGHT(Calc!$E289,2)&amp;Calc!$Q289&amp;"|"&amp;"1"&amp;RIGHT("00000"&amp;280,5))</f>
        <v/>
      </c>
      <c r="C285">
        <f>IF($B285="","",COUNTIFS(LdgSellerA,$A285,LdgKeyA,"&lt;"&amp;$B285)+COUNTIFS(LdgSellerB,$A285,LdgKeyB,"&lt;"&amp;$B285)+1)</f>
        <v/>
      </c>
      <c r="D285">
        <f>IF($C285="","",$A285&amp;"|"&amp;RIGHT("000000"&amp;$C285,6))</f>
        <v/>
      </c>
      <c r="F285">
        <f>IF(Sync!$AH285="","",IF(LEFT(UPPER(TRIM(Sync!$AH285)),2)="SL",UPPER(TRIM(Sync!$AH285)),""))</f>
        <v/>
      </c>
      <c r="G285">
        <f>IF($F285="","",IF(Sync!$AE285="","",IF(ISNUMBER(Sync!$AE285),IF(AND(Sync!$AE285&gt;=10000101,Sync!$AE285&lt;=99991231),INT(Sync!$AE285/10000),""),IFERROR(VALUE(TRIM(LEFT(Sync!$AE285,FIND("/",Sync!$AE285)-1))),""))))</f>
        <v/>
      </c>
      <c r="H285">
        <f>IF(OR($F285="",$G285=""),"",IF(ISNUMBER(Sync!$AE285),INT(MOD(Sync!$AE285,10000)/100),IFERROR(VALUE(TRIM(LEFT(MID(Sync!$AE285,FIND("/",Sync!$AE285)+1,20),FIND("/",MID(Sync!$AE285,FIND("/",Sync!$AE285)+1,20))-1))),"")))</f>
        <v/>
      </c>
      <c r="I285">
        <f>IF(OR($F285="",$G285=""),"",IF(ISNUMBER(Sync!$AE285),MOD(Sync!$AE285,100),IFERROR(VALUE(TRIM(MID(MID(Sync!$AE285,FIND("/",Sync!$AE285)+1,20),FIND("/",MID(Sync!$AE285,FIND("/",Sync!$AE285)+1,20))+1,20))),"")))</f>
        <v/>
      </c>
      <c r="J285">
        <f>IF($F285="","",IF(OR($G285="",$H285="",$I285="",$G285&lt;1300,$G285&gt;1500,$H285&lt;1,$H285&gt;12,$I285&lt;1,$I285&gt;31),"نامعتبر",RIGHT("0000"&amp;$G285,4)&amp;"/"&amp;RIGHT("00"&amp;$H285,2)&amp;"/"&amp;RIGHT("00"&amp;$I285,2)))</f>
        <v/>
      </c>
      <c r="K285">
        <f>IF(OR($F285="",$J285="",$J285="نامعتبر"),"",LEFT($J285,4)&amp;MID($J285,6,2)&amp;RIGHT($J285,2)&amp;$N285&amp;"|"&amp;"2"&amp;RIGHT("00000"&amp;280,5))</f>
        <v/>
      </c>
      <c r="L285">
        <f>IF($K285="","",COUNTIFS(LdgSellerA,$F285,LdgKeyA,"&lt;"&amp;$K285)+COUNTIFS(LdgSellerB,$F285,LdgKeyB,"&lt;"&amp;$K285)+1)</f>
        <v/>
      </c>
      <c r="M285">
        <f>IF($L285="","",$F285&amp;"|"&amp;RIGHT("000000"&amp;$L285,6))</f>
        <v/>
      </c>
      <c r="N285">
        <f>IF($F285="","",IF(Sync!$AF285="","0000",IF(AND(ISNUMBER(Sync!$AF285),Sync!$AF285&gt;=0,Sync!$AF285&lt;1),RIGHT("00"&amp;HOUR(Sync!$AF285),2)&amp;RIGHT("00"&amp;MINUTE(Sync!$AF285),2),IFERROR(RIGHT("00"&amp;VALUE(LEFT(Sync!$AF285,FIND(":",Sync!$AF285)-1)),2)&amp;RIGHT("00"&amp;VALUE(MID(Sync!$AF285,FIND(":",Sync!$AF285)+1,2)),2),"0000"))))</f>
        <v/>
      </c>
    </row>
    <row r="286">
      <c r="A286">
        <f>IF(OR(Calc!$E290="",Calc!$E290="نامعتبر",Calc!$G290=""),"",Calc!$G290)</f>
        <v/>
      </c>
      <c r="B286">
        <f>IF($A286="","",LEFT(Calc!$E290,4)&amp;MID(Calc!$E290,6,2)&amp;RIGHT(Calc!$E290,2)&amp;Calc!$Q290&amp;"|"&amp;"1"&amp;RIGHT("00000"&amp;281,5))</f>
        <v/>
      </c>
      <c r="C286">
        <f>IF($B286="","",COUNTIFS(LdgSellerA,$A286,LdgKeyA,"&lt;"&amp;$B286)+COUNTIFS(LdgSellerB,$A286,LdgKeyB,"&lt;"&amp;$B286)+1)</f>
        <v/>
      </c>
      <c r="D286">
        <f>IF($C286="","",$A286&amp;"|"&amp;RIGHT("000000"&amp;$C286,6))</f>
        <v/>
      </c>
      <c r="F286">
        <f>IF(Sync!$AH286="","",IF(LEFT(UPPER(TRIM(Sync!$AH286)),2)="SL",UPPER(TRIM(Sync!$AH286)),""))</f>
        <v/>
      </c>
      <c r="G286">
        <f>IF($F286="","",IF(Sync!$AE286="","",IF(ISNUMBER(Sync!$AE286),IF(AND(Sync!$AE286&gt;=10000101,Sync!$AE286&lt;=99991231),INT(Sync!$AE286/10000),""),IFERROR(VALUE(TRIM(LEFT(Sync!$AE286,FIND("/",Sync!$AE286)-1))),""))))</f>
        <v/>
      </c>
      <c r="H286">
        <f>IF(OR($F286="",$G286=""),"",IF(ISNUMBER(Sync!$AE286),INT(MOD(Sync!$AE286,10000)/100),IFERROR(VALUE(TRIM(LEFT(MID(Sync!$AE286,FIND("/",Sync!$AE286)+1,20),FIND("/",MID(Sync!$AE286,FIND("/",Sync!$AE286)+1,20))-1))),"")))</f>
        <v/>
      </c>
      <c r="I286">
        <f>IF(OR($F286="",$G286=""),"",IF(ISNUMBER(Sync!$AE286),MOD(Sync!$AE286,100),IFERROR(VALUE(TRIM(MID(MID(Sync!$AE286,FIND("/",Sync!$AE286)+1,20),FIND("/",MID(Sync!$AE286,FIND("/",Sync!$AE286)+1,20))+1,20))),"")))</f>
        <v/>
      </c>
      <c r="J286">
        <f>IF($F286="","",IF(OR($G286="",$H286="",$I286="",$G286&lt;1300,$G286&gt;1500,$H286&lt;1,$H286&gt;12,$I286&lt;1,$I286&gt;31),"نامعتبر",RIGHT("0000"&amp;$G286,4)&amp;"/"&amp;RIGHT("00"&amp;$H286,2)&amp;"/"&amp;RIGHT("00"&amp;$I286,2)))</f>
        <v/>
      </c>
      <c r="K286">
        <f>IF(OR($F286="",$J286="",$J286="نامعتبر"),"",LEFT($J286,4)&amp;MID($J286,6,2)&amp;RIGHT($J286,2)&amp;$N286&amp;"|"&amp;"2"&amp;RIGHT("00000"&amp;281,5))</f>
        <v/>
      </c>
      <c r="L286">
        <f>IF($K286="","",COUNTIFS(LdgSellerA,$F286,LdgKeyA,"&lt;"&amp;$K286)+COUNTIFS(LdgSellerB,$F286,LdgKeyB,"&lt;"&amp;$K286)+1)</f>
        <v/>
      </c>
      <c r="M286">
        <f>IF($L286="","",$F286&amp;"|"&amp;RIGHT("000000"&amp;$L286,6))</f>
        <v/>
      </c>
      <c r="N286">
        <f>IF($F286="","",IF(Sync!$AF286="","0000",IF(AND(ISNUMBER(Sync!$AF286),Sync!$AF286&gt;=0,Sync!$AF286&lt;1),RIGHT("00"&amp;HOUR(Sync!$AF286),2)&amp;RIGHT("00"&amp;MINUTE(Sync!$AF286),2),IFERROR(RIGHT("00"&amp;VALUE(LEFT(Sync!$AF286,FIND(":",Sync!$AF286)-1)),2)&amp;RIGHT("00"&amp;VALUE(MID(Sync!$AF286,FIND(":",Sync!$AF286)+1,2)),2),"0000"))))</f>
        <v/>
      </c>
    </row>
    <row r="287">
      <c r="A287">
        <f>IF(OR(Calc!$E291="",Calc!$E291="نامعتبر",Calc!$G291=""),"",Calc!$G291)</f>
        <v/>
      </c>
      <c r="B287">
        <f>IF($A287="","",LEFT(Calc!$E291,4)&amp;MID(Calc!$E291,6,2)&amp;RIGHT(Calc!$E291,2)&amp;Calc!$Q291&amp;"|"&amp;"1"&amp;RIGHT("00000"&amp;282,5))</f>
        <v/>
      </c>
      <c r="C287">
        <f>IF($B287="","",COUNTIFS(LdgSellerA,$A287,LdgKeyA,"&lt;"&amp;$B287)+COUNTIFS(LdgSellerB,$A287,LdgKeyB,"&lt;"&amp;$B287)+1)</f>
        <v/>
      </c>
      <c r="D287">
        <f>IF($C287="","",$A287&amp;"|"&amp;RIGHT("000000"&amp;$C287,6))</f>
        <v/>
      </c>
      <c r="F287">
        <f>IF(Sync!$AH287="","",IF(LEFT(UPPER(TRIM(Sync!$AH287)),2)="SL",UPPER(TRIM(Sync!$AH287)),""))</f>
        <v/>
      </c>
      <c r="G287">
        <f>IF($F287="","",IF(Sync!$AE287="","",IF(ISNUMBER(Sync!$AE287),IF(AND(Sync!$AE287&gt;=10000101,Sync!$AE287&lt;=99991231),INT(Sync!$AE287/10000),""),IFERROR(VALUE(TRIM(LEFT(Sync!$AE287,FIND("/",Sync!$AE287)-1))),""))))</f>
        <v/>
      </c>
      <c r="H287">
        <f>IF(OR($F287="",$G287=""),"",IF(ISNUMBER(Sync!$AE287),INT(MOD(Sync!$AE287,10000)/100),IFERROR(VALUE(TRIM(LEFT(MID(Sync!$AE287,FIND("/",Sync!$AE287)+1,20),FIND("/",MID(Sync!$AE287,FIND("/",Sync!$AE287)+1,20))-1))),"")))</f>
        <v/>
      </c>
      <c r="I287">
        <f>IF(OR($F287="",$G287=""),"",IF(ISNUMBER(Sync!$AE287),MOD(Sync!$AE287,100),IFERROR(VALUE(TRIM(MID(MID(Sync!$AE287,FIND("/",Sync!$AE287)+1,20),FIND("/",MID(Sync!$AE287,FIND("/",Sync!$AE287)+1,20))+1,20))),"")))</f>
        <v/>
      </c>
      <c r="J287">
        <f>IF($F287="","",IF(OR($G287="",$H287="",$I287="",$G287&lt;1300,$G287&gt;1500,$H287&lt;1,$H287&gt;12,$I287&lt;1,$I287&gt;31),"نامعتبر",RIGHT("0000"&amp;$G287,4)&amp;"/"&amp;RIGHT("00"&amp;$H287,2)&amp;"/"&amp;RIGHT("00"&amp;$I287,2)))</f>
        <v/>
      </c>
      <c r="K287">
        <f>IF(OR($F287="",$J287="",$J287="نامعتبر"),"",LEFT($J287,4)&amp;MID($J287,6,2)&amp;RIGHT($J287,2)&amp;$N287&amp;"|"&amp;"2"&amp;RIGHT("00000"&amp;282,5))</f>
        <v/>
      </c>
      <c r="L287">
        <f>IF($K287="","",COUNTIFS(LdgSellerA,$F287,LdgKeyA,"&lt;"&amp;$K287)+COUNTIFS(LdgSellerB,$F287,LdgKeyB,"&lt;"&amp;$K287)+1)</f>
        <v/>
      </c>
      <c r="M287">
        <f>IF($L287="","",$F287&amp;"|"&amp;RIGHT("000000"&amp;$L287,6))</f>
        <v/>
      </c>
      <c r="N287">
        <f>IF($F287="","",IF(Sync!$AF287="","0000",IF(AND(ISNUMBER(Sync!$AF287),Sync!$AF287&gt;=0,Sync!$AF287&lt;1),RIGHT("00"&amp;HOUR(Sync!$AF287),2)&amp;RIGHT("00"&amp;MINUTE(Sync!$AF287),2),IFERROR(RIGHT("00"&amp;VALUE(LEFT(Sync!$AF287,FIND(":",Sync!$AF287)-1)),2)&amp;RIGHT("00"&amp;VALUE(MID(Sync!$AF287,FIND(":",Sync!$AF287)+1,2)),2),"0000"))))</f>
        <v/>
      </c>
    </row>
    <row r="288">
      <c r="A288">
        <f>IF(OR(Calc!$E292="",Calc!$E292="نامعتبر",Calc!$G292=""),"",Calc!$G292)</f>
        <v/>
      </c>
      <c r="B288">
        <f>IF($A288="","",LEFT(Calc!$E292,4)&amp;MID(Calc!$E292,6,2)&amp;RIGHT(Calc!$E292,2)&amp;Calc!$Q292&amp;"|"&amp;"1"&amp;RIGHT("00000"&amp;283,5))</f>
        <v/>
      </c>
      <c r="C288">
        <f>IF($B288="","",COUNTIFS(LdgSellerA,$A288,LdgKeyA,"&lt;"&amp;$B288)+COUNTIFS(LdgSellerB,$A288,LdgKeyB,"&lt;"&amp;$B288)+1)</f>
        <v/>
      </c>
      <c r="D288">
        <f>IF($C288="","",$A288&amp;"|"&amp;RIGHT("000000"&amp;$C288,6))</f>
        <v/>
      </c>
      <c r="F288">
        <f>IF(Sync!$AH288="","",IF(LEFT(UPPER(TRIM(Sync!$AH288)),2)="SL",UPPER(TRIM(Sync!$AH288)),""))</f>
        <v/>
      </c>
      <c r="G288">
        <f>IF($F288="","",IF(Sync!$AE288="","",IF(ISNUMBER(Sync!$AE288),IF(AND(Sync!$AE288&gt;=10000101,Sync!$AE288&lt;=99991231),INT(Sync!$AE288/10000),""),IFERROR(VALUE(TRIM(LEFT(Sync!$AE288,FIND("/",Sync!$AE288)-1))),""))))</f>
        <v/>
      </c>
      <c r="H288">
        <f>IF(OR($F288="",$G288=""),"",IF(ISNUMBER(Sync!$AE288),INT(MOD(Sync!$AE288,10000)/100),IFERROR(VALUE(TRIM(LEFT(MID(Sync!$AE288,FIND("/",Sync!$AE288)+1,20),FIND("/",MID(Sync!$AE288,FIND("/",Sync!$AE288)+1,20))-1))),"")))</f>
        <v/>
      </c>
      <c r="I288">
        <f>IF(OR($F288="",$G288=""),"",IF(ISNUMBER(Sync!$AE288),MOD(Sync!$AE288,100),IFERROR(VALUE(TRIM(MID(MID(Sync!$AE288,FIND("/",Sync!$AE288)+1,20),FIND("/",MID(Sync!$AE288,FIND("/",Sync!$AE288)+1,20))+1,20))),"")))</f>
        <v/>
      </c>
      <c r="J288">
        <f>IF($F288="","",IF(OR($G288="",$H288="",$I288="",$G288&lt;1300,$G288&gt;1500,$H288&lt;1,$H288&gt;12,$I288&lt;1,$I288&gt;31),"نامعتبر",RIGHT("0000"&amp;$G288,4)&amp;"/"&amp;RIGHT("00"&amp;$H288,2)&amp;"/"&amp;RIGHT("00"&amp;$I288,2)))</f>
        <v/>
      </c>
      <c r="K288">
        <f>IF(OR($F288="",$J288="",$J288="نامعتبر"),"",LEFT($J288,4)&amp;MID($J288,6,2)&amp;RIGHT($J288,2)&amp;$N288&amp;"|"&amp;"2"&amp;RIGHT("00000"&amp;283,5))</f>
        <v/>
      </c>
      <c r="L288">
        <f>IF($K288="","",COUNTIFS(LdgSellerA,$F288,LdgKeyA,"&lt;"&amp;$K288)+COUNTIFS(LdgSellerB,$F288,LdgKeyB,"&lt;"&amp;$K288)+1)</f>
        <v/>
      </c>
      <c r="M288">
        <f>IF($L288="","",$F288&amp;"|"&amp;RIGHT("000000"&amp;$L288,6))</f>
        <v/>
      </c>
      <c r="N288">
        <f>IF($F288="","",IF(Sync!$AF288="","0000",IF(AND(ISNUMBER(Sync!$AF288),Sync!$AF288&gt;=0,Sync!$AF288&lt;1),RIGHT("00"&amp;HOUR(Sync!$AF288),2)&amp;RIGHT("00"&amp;MINUTE(Sync!$AF288),2),IFERROR(RIGHT("00"&amp;VALUE(LEFT(Sync!$AF288,FIND(":",Sync!$AF288)-1)),2)&amp;RIGHT("00"&amp;VALUE(MID(Sync!$AF288,FIND(":",Sync!$AF288)+1,2)),2),"0000"))))</f>
        <v/>
      </c>
    </row>
    <row r="289">
      <c r="A289">
        <f>IF(OR(Calc!$E293="",Calc!$E293="نامعتبر",Calc!$G293=""),"",Calc!$G293)</f>
        <v/>
      </c>
      <c r="B289">
        <f>IF($A289="","",LEFT(Calc!$E293,4)&amp;MID(Calc!$E293,6,2)&amp;RIGHT(Calc!$E293,2)&amp;Calc!$Q293&amp;"|"&amp;"1"&amp;RIGHT("00000"&amp;284,5))</f>
        <v/>
      </c>
      <c r="C289">
        <f>IF($B289="","",COUNTIFS(LdgSellerA,$A289,LdgKeyA,"&lt;"&amp;$B289)+COUNTIFS(LdgSellerB,$A289,LdgKeyB,"&lt;"&amp;$B289)+1)</f>
        <v/>
      </c>
      <c r="D289">
        <f>IF($C289="","",$A289&amp;"|"&amp;RIGHT("000000"&amp;$C289,6))</f>
        <v/>
      </c>
      <c r="F289">
        <f>IF(Sync!$AH289="","",IF(LEFT(UPPER(TRIM(Sync!$AH289)),2)="SL",UPPER(TRIM(Sync!$AH289)),""))</f>
        <v/>
      </c>
      <c r="G289">
        <f>IF($F289="","",IF(Sync!$AE289="","",IF(ISNUMBER(Sync!$AE289),IF(AND(Sync!$AE289&gt;=10000101,Sync!$AE289&lt;=99991231),INT(Sync!$AE289/10000),""),IFERROR(VALUE(TRIM(LEFT(Sync!$AE289,FIND("/",Sync!$AE289)-1))),""))))</f>
        <v/>
      </c>
      <c r="H289">
        <f>IF(OR($F289="",$G289=""),"",IF(ISNUMBER(Sync!$AE289),INT(MOD(Sync!$AE289,10000)/100),IFERROR(VALUE(TRIM(LEFT(MID(Sync!$AE289,FIND("/",Sync!$AE289)+1,20),FIND("/",MID(Sync!$AE289,FIND("/",Sync!$AE289)+1,20))-1))),"")))</f>
        <v/>
      </c>
      <c r="I289">
        <f>IF(OR($F289="",$G289=""),"",IF(ISNUMBER(Sync!$AE289),MOD(Sync!$AE289,100),IFERROR(VALUE(TRIM(MID(MID(Sync!$AE289,FIND("/",Sync!$AE289)+1,20),FIND("/",MID(Sync!$AE289,FIND("/",Sync!$AE289)+1,20))+1,20))),"")))</f>
        <v/>
      </c>
      <c r="J289">
        <f>IF($F289="","",IF(OR($G289="",$H289="",$I289="",$G289&lt;1300,$G289&gt;1500,$H289&lt;1,$H289&gt;12,$I289&lt;1,$I289&gt;31),"نامعتبر",RIGHT("0000"&amp;$G289,4)&amp;"/"&amp;RIGHT("00"&amp;$H289,2)&amp;"/"&amp;RIGHT("00"&amp;$I289,2)))</f>
        <v/>
      </c>
      <c r="K289">
        <f>IF(OR($F289="",$J289="",$J289="نامعتبر"),"",LEFT($J289,4)&amp;MID($J289,6,2)&amp;RIGHT($J289,2)&amp;$N289&amp;"|"&amp;"2"&amp;RIGHT("00000"&amp;284,5))</f>
        <v/>
      </c>
      <c r="L289">
        <f>IF($K289="","",COUNTIFS(LdgSellerA,$F289,LdgKeyA,"&lt;"&amp;$K289)+COUNTIFS(LdgSellerB,$F289,LdgKeyB,"&lt;"&amp;$K289)+1)</f>
        <v/>
      </c>
      <c r="M289">
        <f>IF($L289="","",$F289&amp;"|"&amp;RIGHT("000000"&amp;$L289,6))</f>
        <v/>
      </c>
      <c r="N289">
        <f>IF($F289="","",IF(Sync!$AF289="","0000",IF(AND(ISNUMBER(Sync!$AF289),Sync!$AF289&gt;=0,Sync!$AF289&lt;1),RIGHT("00"&amp;HOUR(Sync!$AF289),2)&amp;RIGHT("00"&amp;MINUTE(Sync!$AF289),2),IFERROR(RIGHT("00"&amp;VALUE(LEFT(Sync!$AF289,FIND(":",Sync!$AF289)-1)),2)&amp;RIGHT("00"&amp;VALUE(MID(Sync!$AF289,FIND(":",Sync!$AF289)+1,2)),2),"0000"))))</f>
        <v/>
      </c>
    </row>
    <row r="290">
      <c r="A290">
        <f>IF(OR(Calc!$E294="",Calc!$E294="نامعتبر",Calc!$G294=""),"",Calc!$G294)</f>
        <v/>
      </c>
      <c r="B290">
        <f>IF($A290="","",LEFT(Calc!$E294,4)&amp;MID(Calc!$E294,6,2)&amp;RIGHT(Calc!$E294,2)&amp;Calc!$Q294&amp;"|"&amp;"1"&amp;RIGHT("00000"&amp;285,5))</f>
        <v/>
      </c>
      <c r="C290">
        <f>IF($B290="","",COUNTIFS(LdgSellerA,$A290,LdgKeyA,"&lt;"&amp;$B290)+COUNTIFS(LdgSellerB,$A290,LdgKeyB,"&lt;"&amp;$B290)+1)</f>
        <v/>
      </c>
      <c r="D290">
        <f>IF($C290="","",$A290&amp;"|"&amp;RIGHT("000000"&amp;$C290,6))</f>
        <v/>
      </c>
      <c r="F290">
        <f>IF(Sync!$AH290="","",IF(LEFT(UPPER(TRIM(Sync!$AH290)),2)="SL",UPPER(TRIM(Sync!$AH290)),""))</f>
        <v/>
      </c>
      <c r="G290">
        <f>IF($F290="","",IF(Sync!$AE290="","",IF(ISNUMBER(Sync!$AE290),IF(AND(Sync!$AE290&gt;=10000101,Sync!$AE290&lt;=99991231),INT(Sync!$AE290/10000),""),IFERROR(VALUE(TRIM(LEFT(Sync!$AE290,FIND("/",Sync!$AE290)-1))),""))))</f>
        <v/>
      </c>
      <c r="H290">
        <f>IF(OR($F290="",$G290=""),"",IF(ISNUMBER(Sync!$AE290),INT(MOD(Sync!$AE290,10000)/100),IFERROR(VALUE(TRIM(LEFT(MID(Sync!$AE290,FIND("/",Sync!$AE290)+1,20),FIND("/",MID(Sync!$AE290,FIND("/",Sync!$AE290)+1,20))-1))),"")))</f>
        <v/>
      </c>
      <c r="I290">
        <f>IF(OR($F290="",$G290=""),"",IF(ISNUMBER(Sync!$AE290),MOD(Sync!$AE290,100),IFERROR(VALUE(TRIM(MID(MID(Sync!$AE290,FIND("/",Sync!$AE290)+1,20),FIND("/",MID(Sync!$AE290,FIND("/",Sync!$AE290)+1,20))+1,20))),"")))</f>
        <v/>
      </c>
      <c r="J290">
        <f>IF($F290="","",IF(OR($G290="",$H290="",$I290="",$G290&lt;1300,$G290&gt;1500,$H290&lt;1,$H290&gt;12,$I290&lt;1,$I290&gt;31),"نامعتبر",RIGHT("0000"&amp;$G290,4)&amp;"/"&amp;RIGHT("00"&amp;$H290,2)&amp;"/"&amp;RIGHT("00"&amp;$I290,2)))</f>
        <v/>
      </c>
      <c r="K290">
        <f>IF(OR($F290="",$J290="",$J290="نامعتبر"),"",LEFT($J290,4)&amp;MID($J290,6,2)&amp;RIGHT($J290,2)&amp;$N290&amp;"|"&amp;"2"&amp;RIGHT("00000"&amp;285,5))</f>
        <v/>
      </c>
      <c r="L290">
        <f>IF($K290="","",COUNTIFS(LdgSellerA,$F290,LdgKeyA,"&lt;"&amp;$K290)+COUNTIFS(LdgSellerB,$F290,LdgKeyB,"&lt;"&amp;$K290)+1)</f>
        <v/>
      </c>
      <c r="M290">
        <f>IF($L290="","",$F290&amp;"|"&amp;RIGHT("000000"&amp;$L290,6))</f>
        <v/>
      </c>
      <c r="N290">
        <f>IF($F290="","",IF(Sync!$AF290="","0000",IF(AND(ISNUMBER(Sync!$AF290),Sync!$AF290&gt;=0,Sync!$AF290&lt;1),RIGHT("00"&amp;HOUR(Sync!$AF290),2)&amp;RIGHT("00"&amp;MINUTE(Sync!$AF290),2),IFERROR(RIGHT("00"&amp;VALUE(LEFT(Sync!$AF290,FIND(":",Sync!$AF290)-1)),2)&amp;RIGHT("00"&amp;VALUE(MID(Sync!$AF290,FIND(":",Sync!$AF290)+1,2)),2),"0000"))))</f>
        <v/>
      </c>
    </row>
    <row r="291">
      <c r="A291">
        <f>IF(OR(Calc!$E295="",Calc!$E295="نامعتبر",Calc!$G295=""),"",Calc!$G295)</f>
        <v/>
      </c>
      <c r="B291">
        <f>IF($A291="","",LEFT(Calc!$E295,4)&amp;MID(Calc!$E295,6,2)&amp;RIGHT(Calc!$E295,2)&amp;Calc!$Q295&amp;"|"&amp;"1"&amp;RIGHT("00000"&amp;286,5))</f>
        <v/>
      </c>
      <c r="C291">
        <f>IF($B291="","",COUNTIFS(LdgSellerA,$A291,LdgKeyA,"&lt;"&amp;$B291)+COUNTIFS(LdgSellerB,$A291,LdgKeyB,"&lt;"&amp;$B291)+1)</f>
        <v/>
      </c>
      <c r="D291">
        <f>IF($C291="","",$A291&amp;"|"&amp;RIGHT("000000"&amp;$C291,6))</f>
        <v/>
      </c>
      <c r="F291">
        <f>IF(Sync!$AH291="","",IF(LEFT(UPPER(TRIM(Sync!$AH291)),2)="SL",UPPER(TRIM(Sync!$AH291)),""))</f>
        <v/>
      </c>
      <c r="G291">
        <f>IF($F291="","",IF(Sync!$AE291="","",IF(ISNUMBER(Sync!$AE291),IF(AND(Sync!$AE291&gt;=10000101,Sync!$AE291&lt;=99991231),INT(Sync!$AE291/10000),""),IFERROR(VALUE(TRIM(LEFT(Sync!$AE291,FIND("/",Sync!$AE291)-1))),""))))</f>
        <v/>
      </c>
      <c r="H291">
        <f>IF(OR($F291="",$G291=""),"",IF(ISNUMBER(Sync!$AE291),INT(MOD(Sync!$AE291,10000)/100),IFERROR(VALUE(TRIM(LEFT(MID(Sync!$AE291,FIND("/",Sync!$AE291)+1,20),FIND("/",MID(Sync!$AE291,FIND("/",Sync!$AE291)+1,20))-1))),"")))</f>
        <v/>
      </c>
      <c r="I291">
        <f>IF(OR($F291="",$G291=""),"",IF(ISNUMBER(Sync!$AE291),MOD(Sync!$AE291,100),IFERROR(VALUE(TRIM(MID(MID(Sync!$AE291,FIND("/",Sync!$AE291)+1,20),FIND("/",MID(Sync!$AE291,FIND("/",Sync!$AE291)+1,20))+1,20))),"")))</f>
        <v/>
      </c>
      <c r="J291">
        <f>IF($F291="","",IF(OR($G291="",$H291="",$I291="",$G291&lt;1300,$G291&gt;1500,$H291&lt;1,$H291&gt;12,$I291&lt;1,$I291&gt;31),"نامعتبر",RIGHT("0000"&amp;$G291,4)&amp;"/"&amp;RIGHT("00"&amp;$H291,2)&amp;"/"&amp;RIGHT("00"&amp;$I291,2)))</f>
        <v/>
      </c>
      <c r="K291">
        <f>IF(OR($F291="",$J291="",$J291="نامعتبر"),"",LEFT($J291,4)&amp;MID($J291,6,2)&amp;RIGHT($J291,2)&amp;$N291&amp;"|"&amp;"2"&amp;RIGHT("00000"&amp;286,5))</f>
        <v/>
      </c>
      <c r="L291">
        <f>IF($K291="","",COUNTIFS(LdgSellerA,$F291,LdgKeyA,"&lt;"&amp;$K291)+COUNTIFS(LdgSellerB,$F291,LdgKeyB,"&lt;"&amp;$K291)+1)</f>
        <v/>
      </c>
      <c r="M291">
        <f>IF($L291="","",$F291&amp;"|"&amp;RIGHT("000000"&amp;$L291,6))</f>
        <v/>
      </c>
      <c r="N291">
        <f>IF($F291="","",IF(Sync!$AF291="","0000",IF(AND(ISNUMBER(Sync!$AF291),Sync!$AF291&gt;=0,Sync!$AF291&lt;1),RIGHT("00"&amp;HOUR(Sync!$AF291),2)&amp;RIGHT("00"&amp;MINUTE(Sync!$AF291),2),IFERROR(RIGHT("00"&amp;VALUE(LEFT(Sync!$AF291,FIND(":",Sync!$AF291)-1)),2)&amp;RIGHT("00"&amp;VALUE(MID(Sync!$AF291,FIND(":",Sync!$AF291)+1,2)),2),"0000"))))</f>
        <v/>
      </c>
    </row>
    <row r="292">
      <c r="A292">
        <f>IF(OR(Calc!$E296="",Calc!$E296="نامعتبر",Calc!$G296=""),"",Calc!$G296)</f>
        <v/>
      </c>
      <c r="B292">
        <f>IF($A292="","",LEFT(Calc!$E296,4)&amp;MID(Calc!$E296,6,2)&amp;RIGHT(Calc!$E296,2)&amp;Calc!$Q296&amp;"|"&amp;"1"&amp;RIGHT("00000"&amp;287,5))</f>
        <v/>
      </c>
      <c r="C292">
        <f>IF($B292="","",COUNTIFS(LdgSellerA,$A292,LdgKeyA,"&lt;"&amp;$B292)+COUNTIFS(LdgSellerB,$A292,LdgKeyB,"&lt;"&amp;$B292)+1)</f>
        <v/>
      </c>
      <c r="D292">
        <f>IF($C292="","",$A292&amp;"|"&amp;RIGHT("000000"&amp;$C292,6))</f>
        <v/>
      </c>
      <c r="F292">
        <f>IF(Sync!$AH292="","",IF(LEFT(UPPER(TRIM(Sync!$AH292)),2)="SL",UPPER(TRIM(Sync!$AH292)),""))</f>
        <v/>
      </c>
      <c r="G292">
        <f>IF($F292="","",IF(Sync!$AE292="","",IF(ISNUMBER(Sync!$AE292),IF(AND(Sync!$AE292&gt;=10000101,Sync!$AE292&lt;=99991231),INT(Sync!$AE292/10000),""),IFERROR(VALUE(TRIM(LEFT(Sync!$AE292,FIND("/",Sync!$AE292)-1))),""))))</f>
        <v/>
      </c>
      <c r="H292">
        <f>IF(OR($F292="",$G292=""),"",IF(ISNUMBER(Sync!$AE292),INT(MOD(Sync!$AE292,10000)/100),IFERROR(VALUE(TRIM(LEFT(MID(Sync!$AE292,FIND("/",Sync!$AE292)+1,20),FIND("/",MID(Sync!$AE292,FIND("/",Sync!$AE292)+1,20))-1))),"")))</f>
        <v/>
      </c>
      <c r="I292">
        <f>IF(OR($F292="",$G292=""),"",IF(ISNUMBER(Sync!$AE292),MOD(Sync!$AE292,100),IFERROR(VALUE(TRIM(MID(MID(Sync!$AE292,FIND("/",Sync!$AE292)+1,20),FIND("/",MID(Sync!$AE292,FIND("/",Sync!$AE292)+1,20))+1,20))),"")))</f>
        <v/>
      </c>
      <c r="J292">
        <f>IF($F292="","",IF(OR($G292="",$H292="",$I292="",$G292&lt;1300,$G292&gt;1500,$H292&lt;1,$H292&gt;12,$I292&lt;1,$I292&gt;31),"نامعتبر",RIGHT("0000"&amp;$G292,4)&amp;"/"&amp;RIGHT("00"&amp;$H292,2)&amp;"/"&amp;RIGHT("00"&amp;$I292,2)))</f>
        <v/>
      </c>
      <c r="K292">
        <f>IF(OR($F292="",$J292="",$J292="نامعتبر"),"",LEFT($J292,4)&amp;MID($J292,6,2)&amp;RIGHT($J292,2)&amp;$N292&amp;"|"&amp;"2"&amp;RIGHT("00000"&amp;287,5))</f>
        <v/>
      </c>
      <c r="L292">
        <f>IF($K292="","",COUNTIFS(LdgSellerA,$F292,LdgKeyA,"&lt;"&amp;$K292)+COUNTIFS(LdgSellerB,$F292,LdgKeyB,"&lt;"&amp;$K292)+1)</f>
        <v/>
      </c>
      <c r="M292">
        <f>IF($L292="","",$F292&amp;"|"&amp;RIGHT("000000"&amp;$L292,6))</f>
        <v/>
      </c>
      <c r="N292">
        <f>IF($F292="","",IF(Sync!$AF292="","0000",IF(AND(ISNUMBER(Sync!$AF292),Sync!$AF292&gt;=0,Sync!$AF292&lt;1),RIGHT("00"&amp;HOUR(Sync!$AF292),2)&amp;RIGHT("00"&amp;MINUTE(Sync!$AF292),2),IFERROR(RIGHT("00"&amp;VALUE(LEFT(Sync!$AF292,FIND(":",Sync!$AF292)-1)),2)&amp;RIGHT("00"&amp;VALUE(MID(Sync!$AF292,FIND(":",Sync!$AF292)+1,2)),2),"0000"))))</f>
        <v/>
      </c>
    </row>
    <row r="293">
      <c r="A293">
        <f>IF(OR(Calc!$E297="",Calc!$E297="نامعتبر",Calc!$G297=""),"",Calc!$G297)</f>
        <v/>
      </c>
      <c r="B293">
        <f>IF($A293="","",LEFT(Calc!$E297,4)&amp;MID(Calc!$E297,6,2)&amp;RIGHT(Calc!$E297,2)&amp;Calc!$Q297&amp;"|"&amp;"1"&amp;RIGHT("00000"&amp;288,5))</f>
        <v/>
      </c>
      <c r="C293">
        <f>IF($B293="","",COUNTIFS(LdgSellerA,$A293,LdgKeyA,"&lt;"&amp;$B293)+COUNTIFS(LdgSellerB,$A293,LdgKeyB,"&lt;"&amp;$B293)+1)</f>
        <v/>
      </c>
      <c r="D293">
        <f>IF($C293="","",$A293&amp;"|"&amp;RIGHT("000000"&amp;$C293,6))</f>
        <v/>
      </c>
      <c r="F293">
        <f>IF(Sync!$AH293="","",IF(LEFT(UPPER(TRIM(Sync!$AH293)),2)="SL",UPPER(TRIM(Sync!$AH293)),""))</f>
        <v/>
      </c>
      <c r="G293">
        <f>IF($F293="","",IF(Sync!$AE293="","",IF(ISNUMBER(Sync!$AE293),IF(AND(Sync!$AE293&gt;=10000101,Sync!$AE293&lt;=99991231),INT(Sync!$AE293/10000),""),IFERROR(VALUE(TRIM(LEFT(Sync!$AE293,FIND("/",Sync!$AE293)-1))),""))))</f>
        <v/>
      </c>
      <c r="H293">
        <f>IF(OR($F293="",$G293=""),"",IF(ISNUMBER(Sync!$AE293),INT(MOD(Sync!$AE293,10000)/100),IFERROR(VALUE(TRIM(LEFT(MID(Sync!$AE293,FIND("/",Sync!$AE293)+1,20),FIND("/",MID(Sync!$AE293,FIND("/",Sync!$AE293)+1,20))-1))),"")))</f>
        <v/>
      </c>
      <c r="I293">
        <f>IF(OR($F293="",$G293=""),"",IF(ISNUMBER(Sync!$AE293),MOD(Sync!$AE293,100),IFERROR(VALUE(TRIM(MID(MID(Sync!$AE293,FIND("/",Sync!$AE293)+1,20),FIND("/",MID(Sync!$AE293,FIND("/",Sync!$AE293)+1,20))+1,20))),"")))</f>
        <v/>
      </c>
      <c r="J293">
        <f>IF($F293="","",IF(OR($G293="",$H293="",$I293="",$G293&lt;1300,$G293&gt;1500,$H293&lt;1,$H293&gt;12,$I293&lt;1,$I293&gt;31),"نامعتبر",RIGHT("0000"&amp;$G293,4)&amp;"/"&amp;RIGHT("00"&amp;$H293,2)&amp;"/"&amp;RIGHT("00"&amp;$I293,2)))</f>
        <v/>
      </c>
      <c r="K293">
        <f>IF(OR($F293="",$J293="",$J293="نامعتبر"),"",LEFT($J293,4)&amp;MID($J293,6,2)&amp;RIGHT($J293,2)&amp;$N293&amp;"|"&amp;"2"&amp;RIGHT("00000"&amp;288,5))</f>
        <v/>
      </c>
      <c r="L293">
        <f>IF($K293="","",COUNTIFS(LdgSellerA,$F293,LdgKeyA,"&lt;"&amp;$K293)+COUNTIFS(LdgSellerB,$F293,LdgKeyB,"&lt;"&amp;$K293)+1)</f>
        <v/>
      </c>
      <c r="M293">
        <f>IF($L293="","",$F293&amp;"|"&amp;RIGHT("000000"&amp;$L293,6))</f>
        <v/>
      </c>
      <c r="N293">
        <f>IF($F293="","",IF(Sync!$AF293="","0000",IF(AND(ISNUMBER(Sync!$AF293),Sync!$AF293&gt;=0,Sync!$AF293&lt;1),RIGHT("00"&amp;HOUR(Sync!$AF293),2)&amp;RIGHT("00"&amp;MINUTE(Sync!$AF293),2),IFERROR(RIGHT("00"&amp;VALUE(LEFT(Sync!$AF293,FIND(":",Sync!$AF293)-1)),2)&amp;RIGHT("00"&amp;VALUE(MID(Sync!$AF293,FIND(":",Sync!$AF293)+1,2)),2),"0000"))))</f>
        <v/>
      </c>
    </row>
    <row r="294">
      <c r="A294">
        <f>IF(OR(Calc!$E298="",Calc!$E298="نامعتبر",Calc!$G298=""),"",Calc!$G298)</f>
        <v/>
      </c>
      <c r="B294">
        <f>IF($A294="","",LEFT(Calc!$E298,4)&amp;MID(Calc!$E298,6,2)&amp;RIGHT(Calc!$E298,2)&amp;Calc!$Q298&amp;"|"&amp;"1"&amp;RIGHT("00000"&amp;289,5))</f>
        <v/>
      </c>
      <c r="C294">
        <f>IF($B294="","",COUNTIFS(LdgSellerA,$A294,LdgKeyA,"&lt;"&amp;$B294)+COUNTIFS(LdgSellerB,$A294,LdgKeyB,"&lt;"&amp;$B294)+1)</f>
        <v/>
      </c>
      <c r="D294">
        <f>IF($C294="","",$A294&amp;"|"&amp;RIGHT("000000"&amp;$C294,6))</f>
        <v/>
      </c>
      <c r="F294">
        <f>IF(Sync!$AH294="","",IF(LEFT(UPPER(TRIM(Sync!$AH294)),2)="SL",UPPER(TRIM(Sync!$AH294)),""))</f>
        <v/>
      </c>
      <c r="G294">
        <f>IF($F294="","",IF(Sync!$AE294="","",IF(ISNUMBER(Sync!$AE294),IF(AND(Sync!$AE294&gt;=10000101,Sync!$AE294&lt;=99991231),INT(Sync!$AE294/10000),""),IFERROR(VALUE(TRIM(LEFT(Sync!$AE294,FIND("/",Sync!$AE294)-1))),""))))</f>
        <v/>
      </c>
      <c r="H294">
        <f>IF(OR($F294="",$G294=""),"",IF(ISNUMBER(Sync!$AE294),INT(MOD(Sync!$AE294,10000)/100),IFERROR(VALUE(TRIM(LEFT(MID(Sync!$AE294,FIND("/",Sync!$AE294)+1,20),FIND("/",MID(Sync!$AE294,FIND("/",Sync!$AE294)+1,20))-1))),"")))</f>
        <v/>
      </c>
      <c r="I294">
        <f>IF(OR($F294="",$G294=""),"",IF(ISNUMBER(Sync!$AE294),MOD(Sync!$AE294,100),IFERROR(VALUE(TRIM(MID(MID(Sync!$AE294,FIND("/",Sync!$AE294)+1,20),FIND("/",MID(Sync!$AE294,FIND("/",Sync!$AE294)+1,20))+1,20))),"")))</f>
        <v/>
      </c>
      <c r="J294">
        <f>IF($F294="","",IF(OR($G294="",$H294="",$I294="",$G294&lt;1300,$G294&gt;1500,$H294&lt;1,$H294&gt;12,$I294&lt;1,$I294&gt;31),"نامعتبر",RIGHT("0000"&amp;$G294,4)&amp;"/"&amp;RIGHT("00"&amp;$H294,2)&amp;"/"&amp;RIGHT("00"&amp;$I294,2)))</f>
        <v/>
      </c>
      <c r="K294">
        <f>IF(OR($F294="",$J294="",$J294="نامعتبر"),"",LEFT($J294,4)&amp;MID($J294,6,2)&amp;RIGHT($J294,2)&amp;$N294&amp;"|"&amp;"2"&amp;RIGHT("00000"&amp;289,5))</f>
        <v/>
      </c>
      <c r="L294">
        <f>IF($K294="","",COUNTIFS(LdgSellerA,$F294,LdgKeyA,"&lt;"&amp;$K294)+COUNTIFS(LdgSellerB,$F294,LdgKeyB,"&lt;"&amp;$K294)+1)</f>
        <v/>
      </c>
      <c r="M294">
        <f>IF($L294="","",$F294&amp;"|"&amp;RIGHT("000000"&amp;$L294,6))</f>
        <v/>
      </c>
      <c r="N294">
        <f>IF($F294="","",IF(Sync!$AF294="","0000",IF(AND(ISNUMBER(Sync!$AF294),Sync!$AF294&gt;=0,Sync!$AF294&lt;1),RIGHT("00"&amp;HOUR(Sync!$AF294),2)&amp;RIGHT("00"&amp;MINUTE(Sync!$AF294),2),IFERROR(RIGHT("00"&amp;VALUE(LEFT(Sync!$AF294,FIND(":",Sync!$AF294)-1)),2)&amp;RIGHT("00"&amp;VALUE(MID(Sync!$AF294,FIND(":",Sync!$AF294)+1,2)),2),"0000"))))</f>
        <v/>
      </c>
    </row>
    <row r="295">
      <c r="A295">
        <f>IF(OR(Calc!$E299="",Calc!$E299="نامعتبر",Calc!$G299=""),"",Calc!$G299)</f>
        <v/>
      </c>
      <c r="B295">
        <f>IF($A295="","",LEFT(Calc!$E299,4)&amp;MID(Calc!$E299,6,2)&amp;RIGHT(Calc!$E299,2)&amp;Calc!$Q299&amp;"|"&amp;"1"&amp;RIGHT("00000"&amp;290,5))</f>
        <v/>
      </c>
      <c r="C295">
        <f>IF($B295="","",COUNTIFS(LdgSellerA,$A295,LdgKeyA,"&lt;"&amp;$B295)+COUNTIFS(LdgSellerB,$A295,LdgKeyB,"&lt;"&amp;$B295)+1)</f>
        <v/>
      </c>
      <c r="D295">
        <f>IF($C295="","",$A295&amp;"|"&amp;RIGHT("000000"&amp;$C295,6))</f>
        <v/>
      </c>
      <c r="F295">
        <f>IF(Sync!$AH295="","",IF(LEFT(UPPER(TRIM(Sync!$AH295)),2)="SL",UPPER(TRIM(Sync!$AH295)),""))</f>
        <v/>
      </c>
      <c r="G295">
        <f>IF($F295="","",IF(Sync!$AE295="","",IF(ISNUMBER(Sync!$AE295),IF(AND(Sync!$AE295&gt;=10000101,Sync!$AE295&lt;=99991231),INT(Sync!$AE295/10000),""),IFERROR(VALUE(TRIM(LEFT(Sync!$AE295,FIND("/",Sync!$AE295)-1))),""))))</f>
        <v/>
      </c>
      <c r="H295">
        <f>IF(OR($F295="",$G295=""),"",IF(ISNUMBER(Sync!$AE295),INT(MOD(Sync!$AE295,10000)/100),IFERROR(VALUE(TRIM(LEFT(MID(Sync!$AE295,FIND("/",Sync!$AE295)+1,20),FIND("/",MID(Sync!$AE295,FIND("/",Sync!$AE295)+1,20))-1))),"")))</f>
        <v/>
      </c>
      <c r="I295">
        <f>IF(OR($F295="",$G295=""),"",IF(ISNUMBER(Sync!$AE295),MOD(Sync!$AE295,100),IFERROR(VALUE(TRIM(MID(MID(Sync!$AE295,FIND("/",Sync!$AE295)+1,20),FIND("/",MID(Sync!$AE295,FIND("/",Sync!$AE295)+1,20))+1,20))),"")))</f>
        <v/>
      </c>
      <c r="J295">
        <f>IF($F295="","",IF(OR($G295="",$H295="",$I295="",$G295&lt;1300,$G295&gt;1500,$H295&lt;1,$H295&gt;12,$I295&lt;1,$I295&gt;31),"نامعتبر",RIGHT("0000"&amp;$G295,4)&amp;"/"&amp;RIGHT("00"&amp;$H295,2)&amp;"/"&amp;RIGHT("00"&amp;$I295,2)))</f>
        <v/>
      </c>
      <c r="K295">
        <f>IF(OR($F295="",$J295="",$J295="نامعتبر"),"",LEFT($J295,4)&amp;MID($J295,6,2)&amp;RIGHT($J295,2)&amp;$N295&amp;"|"&amp;"2"&amp;RIGHT("00000"&amp;290,5))</f>
        <v/>
      </c>
      <c r="L295">
        <f>IF($K295="","",COUNTIFS(LdgSellerA,$F295,LdgKeyA,"&lt;"&amp;$K295)+COUNTIFS(LdgSellerB,$F295,LdgKeyB,"&lt;"&amp;$K295)+1)</f>
        <v/>
      </c>
      <c r="M295">
        <f>IF($L295="","",$F295&amp;"|"&amp;RIGHT("000000"&amp;$L295,6))</f>
        <v/>
      </c>
      <c r="N295">
        <f>IF($F295="","",IF(Sync!$AF295="","0000",IF(AND(ISNUMBER(Sync!$AF295),Sync!$AF295&gt;=0,Sync!$AF295&lt;1),RIGHT("00"&amp;HOUR(Sync!$AF295),2)&amp;RIGHT("00"&amp;MINUTE(Sync!$AF295),2),IFERROR(RIGHT("00"&amp;VALUE(LEFT(Sync!$AF295,FIND(":",Sync!$AF295)-1)),2)&amp;RIGHT("00"&amp;VALUE(MID(Sync!$AF295,FIND(":",Sync!$AF295)+1,2)),2),"0000"))))</f>
        <v/>
      </c>
    </row>
    <row r="296">
      <c r="A296">
        <f>IF(OR(Calc!$E300="",Calc!$E300="نامعتبر",Calc!$G300=""),"",Calc!$G300)</f>
        <v/>
      </c>
      <c r="B296">
        <f>IF($A296="","",LEFT(Calc!$E300,4)&amp;MID(Calc!$E300,6,2)&amp;RIGHT(Calc!$E300,2)&amp;Calc!$Q300&amp;"|"&amp;"1"&amp;RIGHT("00000"&amp;291,5))</f>
        <v/>
      </c>
      <c r="C296">
        <f>IF($B296="","",COUNTIFS(LdgSellerA,$A296,LdgKeyA,"&lt;"&amp;$B296)+COUNTIFS(LdgSellerB,$A296,LdgKeyB,"&lt;"&amp;$B296)+1)</f>
        <v/>
      </c>
      <c r="D296">
        <f>IF($C296="","",$A296&amp;"|"&amp;RIGHT("000000"&amp;$C296,6))</f>
        <v/>
      </c>
      <c r="F296">
        <f>IF(Sync!$AH296="","",IF(LEFT(UPPER(TRIM(Sync!$AH296)),2)="SL",UPPER(TRIM(Sync!$AH296)),""))</f>
        <v/>
      </c>
      <c r="G296">
        <f>IF($F296="","",IF(Sync!$AE296="","",IF(ISNUMBER(Sync!$AE296),IF(AND(Sync!$AE296&gt;=10000101,Sync!$AE296&lt;=99991231),INT(Sync!$AE296/10000),""),IFERROR(VALUE(TRIM(LEFT(Sync!$AE296,FIND("/",Sync!$AE296)-1))),""))))</f>
        <v/>
      </c>
      <c r="H296">
        <f>IF(OR($F296="",$G296=""),"",IF(ISNUMBER(Sync!$AE296),INT(MOD(Sync!$AE296,10000)/100),IFERROR(VALUE(TRIM(LEFT(MID(Sync!$AE296,FIND("/",Sync!$AE296)+1,20),FIND("/",MID(Sync!$AE296,FIND("/",Sync!$AE296)+1,20))-1))),"")))</f>
        <v/>
      </c>
      <c r="I296">
        <f>IF(OR($F296="",$G296=""),"",IF(ISNUMBER(Sync!$AE296),MOD(Sync!$AE296,100),IFERROR(VALUE(TRIM(MID(MID(Sync!$AE296,FIND("/",Sync!$AE296)+1,20),FIND("/",MID(Sync!$AE296,FIND("/",Sync!$AE296)+1,20))+1,20))),"")))</f>
        <v/>
      </c>
      <c r="J296">
        <f>IF($F296="","",IF(OR($G296="",$H296="",$I296="",$G296&lt;1300,$G296&gt;1500,$H296&lt;1,$H296&gt;12,$I296&lt;1,$I296&gt;31),"نامعتبر",RIGHT("0000"&amp;$G296,4)&amp;"/"&amp;RIGHT("00"&amp;$H296,2)&amp;"/"&amp;RIGHT("00"&amp;$I296,2)))</f>
        <v/>
      </c>
      <c r="K296">
        <f>IF(OR($F296="",$J296="",$J296="نامعتبر"),"",LEFT($J296,4)&amp;MID($J296,6,2)&amp;RIGHT($J296,2)&amp;$N296&amp;"|"&amp;"2"&amp;RIGHT("00000"&amp;291,5))</f>
        <v/>
      </c>
      <c r="L296">
        <f>IF($K296="","",COUNTIFS(LdgSellerA,$F296,LdgKeyA,"&lt;"&amp;$K296)+COUNTIFS(LdgSellerB,$F296,LdgKeyB,"&lt;"&amp;$K296)+1)</f>
        <v/>
      </c>
      <c r="M296">
        <f>IF($L296="","",$F296&amp;"|"&amp;RIGHT("000000"&amp;$L296,6))</f>
        <v/>
      </c>
      <c r="N296">
        <f>IF($F296="","",IF(Sync!$AF296="","0000",IF(AND(ISNUMBER(Sync!$AF296),Sync!$AF296&gt;=0,Sync!$AF296&lt;1),RIGHT("00"&amp;HOUR(Sync!$AF296),2)&amp;RIGHT("00"&amp;MINUTE(Sync!$AF296),2),IFERROR(RIGHT("00"&amp;VALUE(LEFT(Sync!$AF296,FIND(":",Sync!$AF296)-1)),2)&amp;RIGHT("00"&amp;VALUE(MID(Sync!$AF296,FIND(":",Sync!$AF296)+1,2)),2),"0000"))))</f>
        <v/>
      </c>
    </row>
    <row r="297">
      <c r="A297">
        <f>IF(OR(Calc!$E301="",Calc!$E301="نامعتبر",Calc!$G301=""),"",Calc!$G301)</f>
        <v/>
      </c>
      <c r="B297">
        <f>IF($A297="","",LEFT(Calc!$E301,4)&amp;MID(Calc!$E301,6,2)&amp;RIGHT(Calc!$E301,2)&amp;Calc!$Q301&amp;"|"&amp;"1"&amp;RIGHT("00000"&amp;292,5))</f>
        <v/>
      </c>
      <c r="C297">
        <f>IF($B297="","",COUNTIFS(LdgSellerA,$A297,LdgKeyA,"&lt;"&amp;$B297)+COUNTIFS(LdgSellerB,$A297,LdgKeyB,"&lt;"&amp;$B297)+1)</f>
        <v/>
      </c>
      <c r="D297">
        <f>IF($C297="","",$A297&amp;"|"&amp;RIGHT("000000"&amp;$C297,6))</f>
        <v/>
      </c>
      <c r="F297">
        <f>IF(Sync!$AH297="","",IF(LEFT(UPPER(TRIM(Sync!$AH297)),2)="SL",UPPER(TRIM(Sync!$AH297)),""))</f>
        <v/>
      </c>
      <c r="G297">
        <f>IF($F297="","",IF(Sync!$AE297="","",IF(ISNUMBER(Sync!$AE297),IF(AND(Sync!$AE297&gt;=10000101,Sync!$AE297&lt;=99991231),INT(Sync!$AE297/10000),""),IFERROR(VALUE(TRIM(LEFT(Sync!$AE297,FIND("/",Sync!$AE297)-1))),""))))</f>
        <v/>
      </c>
      <c r="H297">
        <f>IF(OR($F297="",$G297=""),"",IF(ISNUMBER(Sync!$AE297),INT(MOD(Sync!$AE297,10000)/100),IFERROR(VALUE(TRIM(LEFT(MID(Sync!$AE297,FIND("/",Sync!$AE297)+1,20),FIND("/",MID(Sync!$AE297,FIND("/",Sync!$AE297)+1,20))-1))),"")))</f>
        <v/>
      </c>
      <c r="I297">
        <f>IF(OR($F297="",$G297=""),"",IF(ISNUMBER(Sync!$AE297),MOD(Sync!$AE297,100),IFERROR(VALUE(TRIM(MID(MID(Sync!$AE297,FIND("/",Sync!$AE297)+1,20),FIND("/",MID(Sync!$AE297,FIND("/",Sync!$AE297)+1,20))+1,20))),"")))</f>
        <v/>
      </c>
      <c r="J297">
        <f>IF($F297="","",IF(OR($G297="",$H297="",$I297="",$G297&lt;1300,$G297&gt;1500,$H297&lt;1,$H297&gt;12,$I297&lt;1,$I297&gt;31),"نامعتبر",RIGHT("0000"&amp;$G297,4)&amp;"/"&amp;RIGHT("00"&amp;$H297,2)&amp;"/"&amp;RIGHT("00"&amp;$I297,2)))</f>
        <v/>
      </c>
      <c r="K297">
        <f>IF(OR($F297="",$J297="",$J297="نامعتبر"),"",LEFT($J297,4)&amp;MID($J297,6,2)&amp;RIGHT($J297,2)&amp;$N297&amp;"|"&amp;"2"&amp;RIGHT("00000"&amp;292,5))</f>
        <v/>
      </c>
      <c r="L297">
        <f>IF($K297="","",COUNTIFS(LdgSellerA,$F297,LdgKeyA,"&lt;"&amp;$K297)+COUNTIFS(LdgSellerB,$F297,LdgKeyB,"&lt;"&amp;$K297)+1)</f>
        <v/>
      </c>
      <c r="M297">
        <f>IF($L297="","",$F297&amp;"|"&amp;RIGHT("000000"&amp;$L297,6))</f>
        <v/>
      </c>
      <c r="N297">
        <f>IF($F297="","",IF(Sync!$AF297="","0000",IF(AND(ISNUMBER(Sync!$AF297),Sync!$AF297&gt;=0,Sync!$AF297&lt;1),RIGHT("00"&amp;HOUR(Sync!$AF297),2)&amp;RIGHT("00"&amp;MINUTE(Sync!$AF297),2),IFERROR(RIGHT("00"&amp;VALUE(LEFT(Sync!$AF297,FIND(":",Sync!$AF297)-1)),2)&amp;RIGHT("00"&amp;VALUE(MID(Sync!$AF297,FIND(":",Sync!$AF297)+1,2)),2),"0000"))))</f>
        <v/>
      </c>
    </row>
    <row r="298">
      <c r="A298">
        <f>IF(OR(Calc!$E302="",Calc!$E302="نامعتبر",Calc!$G302=""),"",Calc!$G302)</f>
        <v/>
      </c>
      <c r="B298">
        <f>IF($A298="","",LEFT(Calc!$E302,4)&amp;MID(Calc!$E302,6,2)&amp;RIGHT(Calc!$E302,2)&amp;Calc!$Q302&amp;"|"&amp;"1"&amp;RIGHT("00000"&amp;293,5))</f>
        <v/>
      </c>
      <c r="C298">
        <f>IF($B298="","",COUNTIFS(LdgSellerA,$A298,LdgKeyA,"&lt;"&amp;$B298)+COUNTIFS(LdgSellerB,$A298,LdgKeyB,"&lt;"&amp;$B298)+1)</f>
        <v/>
      </c>
      <c r="D298">
        <f>IF($C298="","",$A298&amp;"|"&amp;RIGHT("000000"&amp;$C298,6))</f>
        <v/>
      </c>
      <c r="F298">
        <f>IF(Sync!$AH298="","",IF(LEFT(UPPER(TRIM(Sync!$AH298)),2)="SL",UPPER(TRIM(Sync!$AH298)),""))</f>
        <v/>
      </c>
      <c r="G298">
        <f>IF($F298="","",IF(Sync!$AE298="","",IF(ISNUMBER(Sync!$AE298),IF(AND(Sync!$AE298&gt;=10000101,Sync!$AE298&lt;=99991231),INT(Sync!$AE298/10000),""),IFERROR(VALUE(TRIM(LEFT(Sync!$AE298,FIND("/",Sync!$AE298)-1))),""))))</f>
        <v/>
      </c>
      <c r="H298">
        <f>IF(OR($F298="",$G298=""),"",IF(ISNUMBER(Sync!$AE298),INT(MOD(Sync!$AE298,10000)/100),IFERROR(VALUE(TRIM(LEFT(MID(Sync!$AE298,FIND("/",Sync!$AE298)+1,20),FIND("/",MID(Sync!$AE298,FIND("/",Sync!$AE298)+1,20))-1))),"")))</f>
        <v/>
      </c>
      <c r="I298">
        <f>IF(OR($F298="",$G298=""),"",IF(ISNUMBER(Sync!$AE298),MOD(Sync!$AE298,100),IFERROR(VALUE(TRIM(MID(MID(Sync!$AE298,FIND("/",Sync!$AE298)+1,20),FIND("/",MID(Sync!$AE298,FIND("/",Sync!$AE298)+1,20))+1,20))),"")))</f>
        <v/>
      </c>
      <c r="J298">
        <f>IF($F298="","",IF(OR($G298="",$H298="",$I298="",$G298&lt;1300,$G298&gt;1500,$H298&lt;1,$H298&gt;12,$I298&lt;1,$I298&gt;31),"نامعتبر",RIGHT("0000"&amp;$G298,4)&amp;"/"&amp;RIGHT("00"&amp;$H298,2)&amp;"/"&amp;RIGHT("00"&amp;$I298,2)))</f>
        <v/>
      </c>
      <c r="K298">
        <f>IF(OR($F298="",$J298="",$J298="نامعتبر"),"",LEFT($J298,4)&amp;MID($J298,6,2)&amp;RIGHT($J298,2)&amp;$N298&amp;"|"&amp;"2"&amp;RIGHT("00000"&amp;293,5))</f>
        <v/>
      </c>
      <c r="L298">
        <f>IF($K298="","",COUNTIFS(LdgSellerA,$F298,LdgKeyA,"&lt;"&amp;$K298)+COUNTIFS(LdgSellerB,$F298,LdgKeyB,"&lt;"&amp;$K298)+1)</f>
        <v/>
      </c>
      <c r="M298">
        <f>IF($L298="","",$F298&amp;"|"&amp;RIGHT("000000"&amp;$L298,6))</f>
        <v/>
      </c>
      <c r="N298">
        <f>IF($F298="","",IF(Sync!$AF298="","0000",IF(AND(ISNUMBER(Sync!$AF298),Sync!$AF298&gt;=0,Sync!$AF298&lt;1),RIGHT("00"&amp;HOUR(Sync!$AF298),2)&amp;RIGHT("00"&amp;MINUTE(Sync!$AF298),2),IFERROR(RIGHT("00"&amp;VALUE(LEFT(Sync!$AF298,FIND(":",Sync!$AF298)-1)),2)&amp;RIGHT("00"&amp;VALUE(MID(Sync!$AF298,FIND(":",Sync!$AF298)+1,2)),2),"0000"))))</f>
        <v/>
      </c>
    </row>
    <row r="299">
      <c r="A299">
        <f>IF(OR(Calc!$E303="",Calc!$E303="نامعتبر",Calc!$G303=""),"",Calc!$G303)</f>
        <v/>
      </c>
      <c r="B299">
        <f>IF($A299="","",LEFT(Calc!$E303,4)&amp;MID(Calc!$E303,6,2)&amp;RIGHT(Calc!$E303,2)&amp;Calc!$Q303&amp;"|"&amp;"1"&amp;RIGHT("00000"&amp;294,5))</f>
        <v/>
      </c>
      <c r="C299">
        <f>IF($B299="","",COUNTIFS(LdgSellerA,$A299,LdgKeyA,"&lt;"&amp;$B299)+COUNTIFS(LdgSellerB,$A299,LdgKeyB,"&lt;"&amp;$B299)+1)</f>
        <v/>
      </c>
      <c r="D299">
        <f>IF($C299="","",$A299&amp;"|"&amp;RIGHT("000000"&amp;$C299,6))</f>
        <v/>
      </c>
      <c r="F299">
        <f>IF(Sync!$AH299="","",IF(LEFT(UPPER(TRIM(Sync!$AH299)),2)="SL",UPPER(TRIM(Sync!$AH299)),""))</f>
        <v/>
      </c>
      <c r="G299">
        <f>IF($F299="","",IF(Sync!$AE299="","",IF(ISNUMBER(Sync!$AE299),IF(AND(Sync!$AE299&gt;=10000101,Sync!$AE299&lt;=99991231),INT(Sync!$AE299/10000),""),IFERROR(VALUE(TRIM(LEFT(Sync!$AE299,FIND("/",Sync!$AE299)-1))),""))))</f>
        <v/>
      </c>
      <c r="H299">
        <f>IF(OR($F299="",$G299=""),"",IF(ISNUMBER(Sync!$AE299),INT(MOD(Sync!$AE299,10000)/100),IFERROR(VALUE(TRIM(LEFT(MID(Sync!$AE299,FIND("/",Sync!$AE299)+1,20),FIND("/",MID(Sync!$AE299,FIND("/",Sync!$AE299)+1,20))-1))),"")))</f>
        <v/>
      </c>
      <c r="I299">
        <f>IF(OR($F299="",$G299=""),"",IF(ISNUMBER(Sync!$AE299),MOD(Sync!$AE299,100),IFERROR(VALUE(TRIM(MID(MID(Sync!$AE299,FIND("/",Sync!$AE299)+1,20),FIND("/",MID(Sync!$AE299,FIND("/",Sync!$AE299)+1,20))+1,20))),"")))</f>
        <v/>
      </c>
      <c r="J299">
        <f>IF($F299="","",IF(OR($G299="",$H299="",$I299="",$G299&lt;1300,$G299&gt;1500,$H299&lt;1,$H299&gt;12,$I299&lt;1,$I299&gt;31),"نامعتبر",RIGHT("0000"&amp;$G299,4)&amp;"/"&amp;RIGHT("00"&amp;$H299,2)&amp;"/"&amp;RIGHT("00"&amp;$I299,2)))</f>
        <v/>
      </c>
      <c r="K299">
        <f>IF(OR($F299="",$J299="",$J299="نامعتبر"),"",LEFT($J299,4)&amp;MID($J299,6,2)&amp;RIGHT($J299,2)&amp;$N299&amp;"|"&amp;"2"&amp;RIGHT("00000"&amp;294,5))</f>
        <v/>
      </c>
      <c r="L299">
        <f>IF($K299="","",COUNTIFS(LdgSellerA,$F299,LdgKeyA,"&lt;"&amp;$K299)+COUNTIFS(LdgSellerB,$F299,LdgKeyB,"&lt;"&amp;$K299)+1)</f>
        <v/>
      </c>
      <c r="M299">
        <f>IF($L299="","",$F299&amp;"|"&amp;RIGHT("000000"&amp;$L299,6))</f>
        <v/>
      </c>
      <c r="N299">
        <f>IF($F299="","",IF(Sync!$AF299="","0000",IF(AND(ISNUMBER(Sync!$AF299),Sync!$AF299&gt;=0,Sync!$AF299&lt;1),RIGHT("00"&amp;HOUR(Sync!$AF299),2)&amp;RIGHT("00"&amp;MINUTE(Sync!$AF299),2),IFERROR(RIGHT("00"&amp;VALUE(LEFT(Sync!$AF299,FIND(":",Sync!$AF299)-1)),2)&amp;RIGHT("00"&amp;VALUE(MID(Sync!$AF299,FIND(":",Sync!$AF299)+1,2)),2),"0000"))))</f>
        <v/>
      </c>
    </row>
    <row r="300">
      <c r="A300">
        <f>IF(OR(Calc!$E304="",Calc!$E304="نامعتبر",Calc!$G304=""),"",Calc!$G304)</f>
        <v/>
      </c>
      <c r="B300">
        <f>IF($A300="","",LEFT(Calc!$E304,4)&amp;MID(Calc!$E304,6,2)&amp;RIGHT(Calc!$E304,2)&amp;Calc!$Q304&amp;"|"&amp;"1"&amp;RIGHT("00000"&amp;295,5))</f>
        <v/>
      </c>
      <c r="C300">
        <f>IF($B300="","",COUNTIFS(LdgSellerA,$A300,LdgKeyA,"&lt;"&amp;$B300)+COUNTIFS(LdgSellerB,$A300,LdgKeyB,"&lt;"&amp;$B300)+1)</f>
        <v/>
      </c>
      <c r="D300">
        <f>IF($C300="","",$A300&amp;"|"&amp;RIGHT("000000"&amp;$C300,6))</f>
        <v/>
      </c>
      <c r="F300">
        <f>IF(Sync!$AH300="","",IF(LEFT(UPPER(TRIM(Sync!$AH300)),2)="SL",UPPER(TRIM(Sync!$AH300)),""))</f>
        <v/>
      </c>
      <c r="G300">
        <f>IF($F300="","",IF(Sync!$AE300="","",IF(ISNUMBER(Sync!$AE300),IF(AND(Sync!$AE300&gt;=10000101,Sync!$AE300&lt;=99991231),INT(Sync!$AE300/10000),""),IFERROR(VALUE(TRIM(LEFT(Sync!$AE300,FIND("/",Sync!$AE300)-1))),""))))</f>
        <v/>
      </c>
      <c r="H300">
        <f>IF(OR($F300="",$G300=""),"",IF(ISNUMBER(Sync!$AE300),INT(MOD(Sync!$AE300,10000)/100),IFERROR(VALUE(TRIM(LEFT(MID(Sync!$AE300,FIND("/",Sync!$AE300)+1,20),FIND("/",MID(Sync!$AE300,FIND("/",Sync!$AE300)+1,20))-1))),"")))</f>
        <v/>
      </c>
      <c r="I300">
        <f>IF(OR($F300="",$G300=""),"",IF(ISNUMBER(Sync!$AE300),MOD(Sync!$AE300,100),IFERROR(VALUE(TRIM(MID(MID(Sync!$AE300,FIND("/",Sync!$AE300)+1,20),FIND("/",MID(Sync!$AE300,FIND("/",Sync!$AE300)+1,20))+1,20))),"")))</f>
        <v/>
      </c>
      <c r="J300">
        <f>IF($F300="","",IF(OR($G300="",$H300="",$I300="",$G300&lt;1300,$G300&gt;1500,$H300&lt;1,$H300&gt;12,$I300&lt;1,$I300&gt;31),"نامعتبر",RIGHT("0000"&amp;$G300,4)&amp;"/"&amp;RIGHT("00"&amp;$H300,2)&amp;"/"&amp;RIGHT("00"&amp;$I300,2)))</f>
        <v/>
      </c>
      <c r="K300">
        <f>IF(OR($F300="",$J300="",$J300="نامعتبر"),"",LEFT($J300,4)&amp;MID($J300,6,2)&amp;RIGHT($J300,2)&amp;$N300&amp;"|"&amp;"2"&amp;RIGHT("00000"&amp;295,5))</f>
        <v/>
      </c>
      <c r="L300">
        <f>IF($K300="","",COUNTIFS(LdgSellerA,$F300,LdgKeyA,"&lt;"&amp;$K300)+COUNTIFS(LdgSellerB,$F300,LdgKeyB,"&lt;"&amp;$K300)+1)</f>
        <v/>
      </c>
      <c r="M300">
        <f>IF($L300="","",$F300&amp;"|"&amp;RIGHT("000000"&amp;$L300,6))</f>
        <v/>
      </c>
      <c r="N300">
        <f>IF($F300="","",IF(Sync!$AF300="","0000",IF(AND(ISNUMBER(Sync!$AF300),Sync!$AF300&gt;=0,Sync!$AF300&lt;1),RIGHT("00"&amp;HOUR(Sync!$AF300),2)&amp;RIGHT("00"&amp;MINUTE(Sync!$AF300),2),IFERROR(RIGHT("00"&amp;VALUE(LEFT(Sync!$AF300,FIND(":",Sync!$AF300)-1)),2)&amp;RIGHT("00"&amp;VALUE(MID(Sync!$AF300,FIND(":",Sync!$AF300)+1,2)),2),"0000"))))</f>
        <v/>
      </c>
    </row>
    <row r="301">
      <c r="A301">
        <f>IF(OR(Calc!$E305="",Calc!$E305="نامعتبر",Calc!$G305=""),"",Calc!$G305)</f>
        <v/>
      </c>
      <c r="B301">
        <f>IF($A301="","",LEFT(Calc!$E305,4)&amp;MID(Calc!$E305,6,2)&amp;RIGHT(Calc!$E305,2)&amp;Calc!$Q305&amp;"|"&amp;"1"&amp;RIGHT("00000"&amp;296,5))</f>
        <v/>
      </c>
      <c r="C301">
        <f>IF($B301="","",COUNTIFS(LdgSellerA,$A301,LdgKeyA,"&lt;"&amp;$B301)+COUNTIFS(LdgSellerB,$A301,LdgKeyB,"&lt;"&amp;$B301)+1)</f>
        <v/>
      </c>
      <c r="D301">
        <f>IF($C301="","",$A301&amp;"|"&amp;RIGHT("000000"&amp;$C301,6))</f>
        <v/>
      </c>
      <c r="F301">
        <f>IF(Sync!$AH301="","",IF(LEFT(UPPER(TRIM(Sync!$AH301)),2)="SL",UPPER(TRIM(Sync!$AH301)),""))</f>
        <v/>
      </c>
      <c r="G301">
        <f>IF($F301="","",IF(Sync!$AE301="","",IF(ISNUMBER(Sync!$AE301),IF(AND(Sync!$AE301&gt;=10000101,Sync!$AE301&lt;=99991231),INT(Sync!$AE301/10000),""),IFERROR(VALUE(TRIM(LEFT(Sync!$AE301,FIND("/",Sync!$AE301)-1))),""))))</f>
        <v/>
      </c>
      <c r="H301">
        <f>IF(OR($F301="",$G301=""),"",IF(ISNUMBER(Sync!$AE301),INT(MOD(Sync!$AE301,10000)/100),IFERROR(VALUE(TRIM(LEFT(MID(Sync!$AE301,FIND("/",Sync!$AE301)+1,20),FIND("/",MID(Sync!$AE301,FIND("/",Sync!$AE301)+1,20))-1))),"")))</f>
        <v/>
      </c>
      <c r="I301">
        <f>IF(OR($F301="",$G301=""),"",IF(ISNUMBER(Sync!$AE301),MOD(Sync!$AE301,100),IFERROR(VALUE(TRIM(MID(MID(Sync!$AE301,FIND("/",Sync!$AE301)+1,20),FIND("/",MID(Sync!$AE301,FIND("/",Sync!$AE301)+1,20))+1,20))),"")))</f>
        <v/>
      </c>
      <c r="J301">
        <f>IF($F301="","",IF(OR($G301="",$H301="",$I301="",$G301&lt;1300,$G301&gt;1500,$H301&lt;1,$H301&gt;12,$I301&lt;1,$I301&gt;31),"نامعتبر",RIGHT("0000"&amp;$G301,4)&amp;"/"&amp;RIGHT("00"&amp;$H301,2)&amp;"/"&amp;RIGHT("00"&amp;$I301,2)))</f>
        <v/>
      </c>
      <c r="K301">
        <f>IF(OR($F301="",$J301="",$J301="نامعتبر"),"",LEFT($J301,4)&amp;MID($J301,6,2)&amp;RIGHT($J301,2)&amp;$N301&amp;"|"&amp;"2"&amp;RIGHT("00000"&amp;296,5))</f>
        <v/>
      </c>
      <c r="L301">
        <f>IF($K301="","",COUNTIFS(LdgSellerA,$F301,LdgKeyA,"&lt;"&amp;$K301)+COUNTIFS(LdgSellerB,$F301,LdgKeyB,"&lt;"&amp;$K301)+1)</f>
        <v/>
      </c>
      <c r="M301">
        <f>IF($L301="","",$F301&amp;"|"&amp;RIGHT("000000"&amp;$L301,6))</f>
        <v/>
      </c>
      <c r="N301">
        <f>IF($F301="","",IF(Sync!$AF301="","0000",IF(AND(ISNUMBER(Sync!$AF301),Sync!$AF301&gt;=0,Sync!$AF301&lt;1),RIGHT("00"&amp;HOUR(Sync!$AF301),2)&amp;RIGHT("00"&amp;MINUTE(Sync!$AF301),2),IFERROR(RIGHT("00"&amp;VALUE(LEFT(Sync!$AF301,FIND(":",Sync!$AF301)-1)),2)&amp;RIGHT("00"&amp;VALUE(MID(Sync!$AF301,FIND(":",Sync!$AF301)+1,2)),2),"0000"))))</f>
        <v/>
      </c>
    </row>
    <row r="302">
      <c r="A302">
        <f>IF(OR(Calc!$E306="",Calc!$E306="نامعتبر",Calc!$G306=""),"",Calc!$G306)</f>
        <v/>
      </c>
      <c r="B302">
        <f>IF($A302="","",LEFT(Calc!$E306,4)&amp;MID(Calc!$E306,6,2)&amp;RIGHT(Calc!$E306,2)&amp;Calc!$Q306&amp;"|"&amp;"1"&amp;RIGHT("00000"&amp;297,5))</f>
        <v/>
      </c>
      <c r="C302">
        <f>IF($B302="","",COUNTIFS(LdgSellerA,$A302,LdgKeyA,"&lt;"&amp;$B302)+COUNTIFS(LdgSellerB,$A302,LdgKeyB,"&lt;"&amp;$B302)+1)</f>
        <v/>
      </c>
      <c r="D302">
        <f>IF($C302="","",$A302&amp;"|"&amp;RIGHT("000000"&amp;$C302,6))</f>
        <v/>
      </c>
      <c r="F302">
        <f>IF(Sync!$AH302="","",IF(LEFT(UPPER(TRIM(Sync!$AH302)),2)="SL",UPPER(TRIM(Sync!$AH302)),""))</f>
        <v/>
      </c>
      <c r="G302">
        <f>IF($F302="","",IF(Sync!$AE302="","",IF(ISNUMBER(Sync!$AE302),IF(AND(Sync!$AE302&gt;=10000101,Sync!$AE302&lt;=99991231),INT(Sync!$AE302/10000),""),IFERROR(VALUE(TRIM(LEFT(Sync!$AE302,FIND("/",Sync!$AE302)-1))),""))))</f>
        <v/>
      </c>
      <c r="H302">
        <f>IF(OR($F302="",$G302=""),"",IF(ISNUMBER(Sync!$AE302),INT(MOD(Sync!$AE302,10000)/100),IFERROR(VALUE(TRIM(LEFT(MID(Sync!$AE302,FIND("/",Sync!$AE302)+1,20),FIND("/",MID(Sync!$AE302,FIND("/",Sync!$AE302)+1,20))-1))),"")))</f>
        <v/>
      </c>
      <c r="I302">
        <f>IF(OR($F302="",$G302=""),"",IF(ISNUMBER(Sync!$AE302),MOD(Sync!$AE302,100),IFERROR(VALUE(TRIM(MID(MID(Sync!$AE302,FIND("/",Sync!$AE302)+1,20),FIND("/",MID(Sync!$AE302,FIND("/",Sync!$AE302)+1,20))+1,20))),"")))</f>
        <v/>
      </c>
      <c r="J302">
        <f>IF($F302="","",IF(OR($G302="",$H302="",$I302="",$G302&lt;1300,$G302&gt;1500,$H302&lt;1,$H302&gt;12,$I302&lt;1,$I302&gt;31),"نامعتبر",RIGHT("0000"&amp;$G302,4)&amp;"/"&amp;RIGHT("00"&amp;$H302,2)&amp;"/"&amp;RIGHT("00"&amp;$I302,2)))</f>
        <v/>
      </c>
      <c r="K302">
        <f>IF(OR($F302="",$J302="",$J302="نامعتبر"),"",LEFT($J302,4)&amp;MID($J302,6,2)&amp;RIGHT($J302,2)&amp;$N302&amp;"|"&amp;"2"&amp;RIGHT("00000"&amp;297,5))</f>
        <v/>
      </c>
      <c r="L302">
        <f>IF($K302="","",COUNTIFS(LdgSellerA,$F302,LdgKeyA,"&lt;"&amp;$K302)+COUNTIFS(LdgSellerB,$F302,LdgKeyB,"&lt;"&amp;$K302)+1)</f>
        <v/>
      </c>
      <c r="M302">
        <f>IF($L302="","",$F302&amp;"|"&amp;RIGHT("000000"&amp;$L302,6))</f>
        <v/>
      </c>
      <c r="N302">
        <f>IF($F302="","",IF(Sync!$AF302="","0000",IF(AND(ISNUMBER(Sync!$AF302),Sync!$AF302&gt;=0,Sync!$AF302&lt;1),RIGHT("00"&amp;HOUR(Sync!$AF302),2)&amp;RIGHT("00"&amp;MINUTE(Sync!$AF302),2),IFERROR(RIGHT("00"&amp;VALUE(LEFT(Sync!$AF302,FIND(":",Sync!$AF302)-1)),2)&amp;RIGHT("00"&amp;VALUE(MID(Sync!$AF302,FIND(":",Sync!$AF302)+1,2)),2),"0000"))))</f>
        <v/>
      </c>
    </row>
    <row r="303">
      <c r="A303">
        <f>IF(OR(Calc!$E307="",Calc!$E307="نامعتبر",Calc!$G307=""),"",Calc!$G307)</f>
        <v/>
      </c>
      <c r="B303">
        <f>IF($A303="","",LEFT(Calc!$E307,4)&amp;MID(Calc!$E307,6,2)&amp;RIGHT(Calc!$E307,2)&amp;Calc!$Q307&amp;"|"&amp;"1"&amp;RIGHT("00000"&amp;298,5))</f>
        <v/>
      </c>
      <c r="C303">
        <f>IF($B303="","",COUNTIFS(LdgSellerA,$A303,LdgKeyA,"&lt;"&amp;$B303)+COUNTIFS(LdgSellerB,$A303,LdgKeyB,"&lt;"&amp;$B303)+1)</f>
        <v/>
      </c>
      <c r="D303">
        <f>IF($C303="","",$A303&amp;"|"&amp;RIGHT("000000"&amp;$C303,6))</f>
        <v/>
      </c>
      <c r="F303">
        <f>IF(Sync!$AH303="","",IF(LEFT(UPPER(TRIM(Sync!$AH303)),2)="SL",UPPER(TRIM(Sync!$AH303)),""))</f>
        <v/>
      </c>
      <c r="G303">
        <f>IF($F303="","",IF(Sync!$AE303="","",IF(ISNUMBER(Sync!$AE303),IF(AND(Sync!$AE303&gt;=10000101,Sync!$AE303&lt;=99991231),INT(Sync!$AE303/10000),""),IFERROR(VALUE(TRIM(LEFT(Sync!$AE303,FIND("/",Sync!$AE303)-1))),""))))</f>
        <v/>
      </c>
      <c r="H303">
        <f>IF(OR($F303="",$G303=""),"",IF(ISNUMBER(Sync!$AE303),INT(MOD(Sync!$AE303,10000)/100),IFERROR(VALUE(TRIM(LEFT(MID(Sync!$AE303,FIND("/",Sync!$AE303)+1,20),FIND("/",MID(Sync!$AE303,FIND("/",Sync!$AE303)+1,20))-1))),"")))</f>
        <v/>
      </c>
      <c r="I303">
        <f>IF(OR($F303="",$G303=""),"",IF(ISNUMBER(Sync!$AE303),MOD(Sync!$AE303,100),IFERROR(VALUE(TRIM(MID(MID(Sync!$AE303,FIND("/",Sync!$AE303)+1,20),FIND("/",MID(Sync!$AE303,FIND("/",Sync!$AE303)+1,20))+1,20))),"")))</f>
        <v/>
      </c>
      <c r="J303">
        <f>IF($F303="","",IF(OR($G303="",$H303="",$I303="",$G303&lt;1300,$G303&gt;1500,$H303&lt;1,$H303&gt;12,$I303&lt;1,$I303&gt;31),"نامعتبر",RIGHT("0000"&amp;$G303,4)&amp;"/"&amp;RIGHT("00"&amp;$H303,2)&amp;"/"&amp;RIGHT("00"&amp;$I303,2)))</f>
        <v/>
      </c>
      <c r="K303">
        <f>IF(OR($F303="",$J303="",$J303="نامعتبر"),"",LEFT($J303,4)&amp;MID($J303,6,2)&amp;RIGHT($J303,2)&amp;$N303&amp;"|"&amp;"2"&amp;RIGHT("00000"&amp;298,5))</f>
        <v/>
      </c>
      <c r="L303">
        <f>IF($K303="","",COUNTIFS(LdgSellerA,$F303,LdgKeyA,"&lt;"&amp;$K303)+COUNTIFS(LdgSellerB,$F303,LdgKeyB,"&lt;"&amp;$K303)+1)</f>
        <v/>
      </c>
      <c r="M303">
        <f>IF($L303="","",$F303&amp;"|"&amp;RIGHT("000000"&amp;$L303,6))</f>
        <v/>
      </c>
      <c r="N303">
        <f>IF($F303="","",IF(Sync!$AF303="","0000",IF(AND(ISNUMBER(Sync!$AF303),Sync!$AF303&gt;=0,Sync!$AF303&lt;1),RIGHT("00"&amp;HOUR(Sync!$AF303),2)&amp;RIGHT("00"&amp;MINUTE(Sync!$AF303),2),IFERROR(RIGHT("00"&amp;VALUE(LEFT(Sync!$AF303,FIND(":",Sync!$AF303)-1)),2)&amp;RIGHT("00"&amp;VALUE(MID(Sync!$AF303,FIND(":",Sync!$AF303)+1,2)),2),"0000"))))</f>
        <v/>
      </c>
    </row>
    <row r="304">
      <c r="A304">
        <f>IF(OR(Calc!$E308="",Calc!$E308="نامعتبر",Calc!$G308=""),"",Calc!$G308)</f>
        <v/>
      </c>
      <c r="B304">
        <f>IF($A304="","",LEFT(Calc!$E308,4)&amp;MID(Calc!$E308,6,2)&amp;RIGHT(Calc!$E308,2)&amp;Calc!$Q308&amp;"|"&amp;"1"&amp;RIGHT("00000"&amp;299,5))</f>
        <v/>
      </c>
      <c r="C304">
        <f>IF($B304="","",COUNTIFS(LdgSellerA,$A304,LdgKeyA,"&lt;"&amp;$B304)+COUNTIFS(LdgSellerB,$A304,LdgKeyB,"&lt;"&amp;$B304)+1)</f>
        <v/>
      </c>
      <c r="D304">
        <f>IF($C304="","",$A304&amp;"|"&amp;RIGHT("000000"&amp;$C304,6))</f>
        <v/>
      </c>
      <c r="F304">
        <f>IF(Sync!$AH304="","",IF(LEFT(UPPER(TRIM(Sync!$AH304)),2)="SL",UPPER(TRIM(Sync!$AH304)),""))</f>
        <v/>
      </c>
      <c r="G304">
        <f>IF($F304="","",IF(Sync!$AE304="","",IF(ISNUMBER(Sync!$AE304),IF(AND(Sync!$AE304&gt;=10000101,Sync!$AE304&lt;=99991231),INT(Sync!$AE304/10000),""),IFERROR(VALUE(TRIM(LEFT(Sync!$AE304,FIND("/",Sync!$AE304)-1))),""))))</f>
        <v/>
      </c>
      <c r="H304">
        <f>IF(OR($F304="",$G304=""),"",IF(ISNUMBER(Sync!$AE304),INT(MOD(Sync!$AE304,10000)/100),IFERROR(VALUE(TRIM(LEFT(MID(Sync!$AE304,FIND("/",Sync!$AE304)+1,20),FIND("/",MID(Sync!$AE304,FIND("/",Sync!$AE304)+1,20))-1))),"")))</f>
        <v/>
      </c>
      <c r="I304">
        <f>IF(OR($F304="",$G304=""),"",IF(ISNUMBER(Sync!$AE304),MOD(Sync!$AE304,100),IFERROR(VALUE(TRIM(MID(MID(Sync!$AE304,FIND("/",Sync!$AE304)+1,20),FIND("/",MID(Sync!$AE304,FIND("/",Sync!$AE304)+1,20))+1,20))),"")))</f>
        <v/>
      </c>
      <c r="J304">
        <f>IF($F304="","",IF(OR($G304="",$H304="",$I304="",$G304&lt;1300,$G304&gt;1500,$H304&lt;1,$H304&gt;12,$I304&lt;1,$I304&gt;31),"نامعتبر",RIGHT("0000"&amp;$G304,4)&amp;"/"&amp;RIGHT("00"&amp;$H304,2)&amp;"/"&amp;RIGHT("00"&amp;$I304,2)))</f>
        <v/>
      </c>
      <c r="K304">
        <f>IF(OR($F304="",$J304="",$J304="نامعتبر"),"",LEFT($J304,4)&amp;MID($J304,6,2)&amp;RIGHT($J304,2)&amp;$N304&amp;"|"&amp;"2"&amp;RIGHT("00000"&amp;299,5))</f>
        <v/>
      </c>
      <c r="L304">
        <f>IF($K304="","",COUNTIFS(LdgSellerA,$F304,LdgKeyA,"&lt;"&amp;$K304)+COUNTIFS(LdgSellerB,$F304,LdgKeyB,"&lt;"&amp;$K304)+1)</f>
        <v/>
      </c>
      <c r="M304">
        <f>IF($L304="","",$F304&amp;"|"&amp;RIGHT("000000"&amp;$L304,6))</f>
        <v/>
      </c>
      <c r="N304">
        <f>IF($F304="","",IF(Sync!$AF304="","0000",IF(AND(ISNUMBER(Sync!$AF304),Sync!$AF304&gt;=0,Sync!$AF304&lt;1),RIGHT("00"&amp;HOUR(Sync!$AF304),2)&amp;RIGHT("00"&amp;MINUTE(Sync!$AF304),2),IFERROR(RIGHT("00"&amp;VALUE(LEFT(Sync!$AF304,FIND(":",Sync!$AF304)-1)),2)&amp;RIGHT("00"&amp;VALUE(MID(Sync!$AF304,FIND(":",Sync!$AF304)+1,2)),2),"0000"))))</f>
        <v/>
      </c>
    </row>
    <row r="305">
      <c r="A305">
        <f>IF(OR(Calc!$E309="",Calc!$E309="نامعتبر",Calc!$G309=""),"",Calc!$G309)</f>
        <v/>
      </c>
      <c r="B305">
        <f>IF($A305="","",LEFT(Calc!$E309,4)&amp;MID(Calc!$E309,6,2)&amp;RIGHT(Calc!$E309,2)&amp;Calc!$Q309&amp;"|"&amp;"1"&amp;RIGHT("00000"&amp;300,5))</f>
        <v/>
      </c>
      <c r="C305">
        <f>IF($B305="","",COUNTIFS(LdgSellerA,$A305,LdgKeyA,"&lt;"&amp;$B305)+COUNTIFS(LdgSellerB,$A305,LdgKeyB,"&lt;"&amp;$B305)+1)</f>
        <v/>
      </c>
      <c r="D305">
        <f>IF($C305="","",$A305&amp;"|"&amp;RIGHT("000000"&amp;$C305,6))</f>
        <v/>
      </c>
      <c r="F305">
        <f>IF(Sync!$AH305="","",IF(LEFT(UPPER(TRIM(Sync!$AH305)),2)="SL",UPPER(TRIM(Sync!$AH305)),""))</f>
        <v/>
      </c>
      <c r="G305">
        <f>IF($F305="","",IF(Sync!$AE305="","",IF(ISNUMBER(Sync!$AE305),IF(AND(Sync!$AE305&gt;=10000101,Sync!$AE305&lt;=99991231),INT(Sync!$AE305/10000),""),IFERROR(VALUE(TRIM(LEFT(Sync!$AE305,FIND("/",Sync!$AE305)-1))),""))))</f>
        <v/>
      </c>
      <c r="H305">
        <f>IF(OR($F305="",$G305=""),"",IF(ISNUMBER(Sync!$AE305),INT(MOD(Sync!$AE305,10000)/100),IFERROR(VALUE(TRIM(LEFT(MID(Sync!$AE305,FIND("/",Sync!$AE305)+1,20),FIND("/",MID(Sync!$AE305,FIND("/",Sync!$AE305)+1,20))-1))),"")))</f>
        <v/>
      </c>
      <c r="I305">
        <f>IF(OR($F305="",$G305=""),"",IF(ISNUMBER(Sync!$AE305),MOD(Sync!$AE305,100),IFERROR(VALUE(TRIM(MID(MID(Sync!$AE305,FIND("/",Sync!$AE305)+1,20),FIND("/",MID(Sync!$AE305,FIND("/",Sync!$AE305)+1,20))+1,20))),"")))</f>
        <v/>
      </c>
      <c r="J305">
        <f>IF($F305="","",IF(OR($G305="",$H305="",$I305="",$G305&lt;1300,$G305&gt;1500,$H305&lt;1,$H305&gt;12,$I305&lt;1,$I305&gt;31),"نامعتبر",RIGHT("0000"&amp;$G305,4)&amp;"/"&amp;RIGHT("00"&amp;$H305,2)&amp;"/"&amp;RIGHT("00"&amp;$I305,2)))</f>
        <v/>
      </c>
      <c r="K305">
        <f>IF(OR($F305="",$J305="",$J305="نامعتبر"),"",LEFT($J305,4)&amp;MID($J305,6,2)&amp;RIGHT($J305,2)&amp;$N305&amp;"|"&amp;"2"&amp;RIGHT("00000"&amp;300,5))</f>
        <v/>
      </c>
      <c r="L305">
        <f>IF($K305="","",COUNTIFS(LdgSellerA,$F305,LdgKeyA,"&lt;"&amp;$K305)+COUNTIFS(LdgSellerB,$F305,LdgKeyB,"&lt;"&amp;$K305)+1)</f>
        <v/>
      </c>
      <c r="M305">
        <f>IF($L305="","",$F305&amp;"|"&amp;RIGHT("000000"&amp;$L305,6))</f>
        <v/>
      </c>
      <c r="N305">
        <f>IF($F305="","",IF(Sync!$AF305="","0000",IF(AND(ISNUMBER(Sync!$AF305),Sync!$AF305&gt;=0,Sync!$AF305&lt;1),RIGHT("00"&amp;HOUR(Sync!$AF305),2)&amp;RIGHT("00"&amp;MINUTE(Sync!$AF305),2),IFERROR(RIGHT("00"&amp;VALUE(LEFT(Sync!$AF305,FIND(":",Sync!$AF305)-1)),2)&amp;RIGHT("00"&amp;VALUE(MID(Sync!$AF305,FIND(":",Sync!$AF305)+1,2)),2),"0000"))))</f>
        <v/>
      </c>
    </row>
    <row r="306">
      <c r="A306">
        <f>IF(OR(Calc!$E310="",Calc!$E310="نامعتبر",Calc!$G310=""),"",Calc!$G310)</f>
        <v/>
      </c>
      <c r="B306">
        <f>IF($A306="","",LEFT(Calc!$E310,4)&amp;MID(Calc!$E310,6,2)&amp;RIGHT(Calc!$E310,2)&amp;Calc!$Q310&amp;"|"&amp;"1"&amp;RIGHT("00000"&amp;301,5))</f>
        <v/>
      </c>
      <c r="C306">
        <f>IF($B306="","",COUNTIFS(LdgSellerA,$A306,LdgKeyA,"&lt;"&amp;$B306)+COUNTIFS(LdgSellerB,$A306,LdgKeyB,"&lt;"&amp;$B306)+1)</f>
        <v/>
      </c>
      <c r="D306">
        <f>IF($C306="","",$A306&amp;"|"&amp;RIGHT("000000"&amp;$C306,6))</f>
        <v/>
      </c>
      <c r="F306">
        <f>IF(Sync!$AH306="","",IF(LEFT(UPPER(TRIM(Sync!$AH306)),2)="SL",UPPER(TRIM(Sync!$AH306)),""))</f>
        <v/>
      </c>
      <c r="G306">
        <f>IF($F306="","",IF(Sync!$AE306="","",IF(ISNUMBER(Sync!$AE306),IF(AND(Sync!$AE306&gt;=10000101,Sync!$AE306&lt;=99991231),INT(Sync!$AE306/10000),""),IFERROR(VALUE(TRIM(LEFT(Sync!$AE306,FIND("/",Sync!$AE306)-1))),""))))</f>
        <v/>
      </c>
      <c r="H306">
        <f>IF(OR($F306="",$G306=""),"",IF(ISNUMBER(Sync!$AE306),INT(MOD(Sync!$AE306,10000)/100),IFERROR(VALUE(TRIM(LEFT(MID(Sync!$AE306,FIND("/",Sync!$AE306)+1,20),FIND("/",MID(Sync!$AE306,FIND("/",Sync!$AE306)+1,20))-1))),"")))</f>
        <v/>
      </c>
      <c r="I306">
        <f>IF(OR($F306="",$G306=""),"",IF(ISNUMBER(Sync!$AE306),MOD(Sync!$AE306,100),IFERROR(VALUE(TRIM(MID(MID(Sync!$AE306,FIND("/",Sync!$AE306)+1,20),FIND("/",MID(Sync!$AE306,FIND("/",Sync!$AE306)+1,20))+1,20))),"")))</f>
        <v/>
      </c>
      <c r="J306">
        <f>IF($F306="","",IF(OR($G306="",$H306="",$I306="",$G306&lt;1300,$G306&gt;1500,$H306&lt;1,$H306&gt;12,$I306&lt;1,$I306&gt;31),"نامعتبر",RIGHT("0000"&amp;$G306,4)&amp;"/"&amp;RIGHT("00"&amp;$H306,2)&amp;"/"&amp;RIGHT("00"&amp;$I306,2)))</f>
        <v/>
      </c>
      <c r="K306">
        <f>IF(OR($F306="",$J306="",$J306="نامعتبر"),"",LEFT($J306,4)&amp;MID($J306,6,2)&amp;RIGHT($J306,2)&amp;$N306&amp;"|"&amp;"2"&amp;RIGHT("00000"&amp;301,5))</f>
        <v/>
      </c>
      <c r="L306">
        <f>IF($K306="","",COUNTIFS(LdgSellerA,$F306,LdgKeyA,"&lt;"&amp;$K306)+COUNTIFS(LdgSellerB,$F306,LdgKeyB,"&lt;"&amp;$K306)+1)</f>
        <v/>
      </c>
      <c r="M306">
        <f>IF($L306="","",$F306&amp;"|"&amp;RIGHT("000000"&amp;$L306,6))</f>
        <v/>
      </c>
      <c r="N306">
        <f>IF($F306="","",IF(Sync!$AF306="","0000",IF(AND(ISNUMBER(Sync!$AF306),Sync!$AF306&gt;=0,Sync!$AF306&lt;1),RIGHT("00"&amp;HOUR(Sync!$AF306),2)&amp;RIGHT("00"&amp;MINUTE(Sync!$AF306),2),IFERROR(RIGHT("00"&amp;VALUE(LEFT(Sync!$AF306,FIND(":",Sync!$AF306)-1)),2)&amp;RIGHT("00"&amp;VALUE(MID(Sync!$AF306,FIND(":",Sync!$AF306)+1,2)),2),"0000"))))</f>
        <v/>
      </c>
    </row>
    <row r="307">
      <c r="A307">
        <f>IF(OR(Calc!$E311="",Calc!$E311="نامعتبر",Calc!$G311=""),"",Calc!$G311)</f>
        <v/>
      </c>
      <c r="B307">
        <f>IF($A307="","",LEFT(Calc!$E311,4)&amp;MID(Calc!$E311,6,2)&amp;RIGHT(Calc!$E311,2)&amp;Calc!$Q311&amp;"|"&amp;"1"&amp;RIGHT("00000"&amp;302,5))</f>
        <v/>
      </c>
      <c r="C307">
        <f>IF($B307="","",COUNTIFS(LdgSellerA,$A307,LdgKeyA,"&lt;"&amp;$B307)+COUNTIFS(LdgSellerB,$A307,LdgKeyB,"&lt;"&amp;$B307)+1)</f>
        <v/>
      </c>
      <c r="D307">
        <f>IF($C307="","",$A307&amp;"|"&amp;RIGHT("000000"&amp;$C307,6))</f>
        <v/>
      </c>
      <c r="F307">
        <f>IF(Sync!$AH307="","",IF(LEFT(UPPER(TRIM(Sync!$AH307)),2)="SL",UPPER(TRIM(Sync!$AH307)),""))</f>
        <v/>
      </c>
      <c r="G307">
        <f>IF($F307="","",IF(Sync!$AE307="","",IF(ISNUMBER(Sync!$AE307),IF(AND(Sync!$AE307&gt;=10000101,Sync!$AE307&lt;=99991231),INT(Sync!$AE307/10000),""),IFERROR(VALUE(TRIM(LEFT(Sync!$AE307,FIND("/",Sync!$AE307)-1))),""))))</f>
        <v/>
      </c>
      <c r="H307">
        <f>IF(OR($F307="",$G307=""),"",IF(ISNUMBER(Sync!$AE307),INT(MOD(Sync!$AE307,10000)/100),IFERROR(VALUE(TRIM(LEFT(MID(Sync!$AE307,FIND("/",Sync!$AE307)+1,20),FIND("/",MID(Sync!$AE307,FIND("/",Sync!$AE307)+1,20))-1))),"")))</f>
        <v/>
      </c>
      <c r="I307">
        <f>IF(OR($F307="",$G307=""),"",IF(ISNUMBER(Sync!$AE307),MOD(Sync!$AE307,100),IFERROR(VALUE(TRIM(MID(MID(Sync!$AE307,FIND("/",Sync!$AE307)+1,20),FIND("/",MID(Sync!$AE307,FIND("/",Sync!$AE307)+1,20))+1,20))),"")))</f>
        <v/>
      </c>
      <c r="J307">
        <f>IF($F307="","",IF(OR($G307="",$H307="",$I307="",$G307&lt;1300,$G307&gt;1500,$H307&lt;1,$H307&gt;12,$I307&lt;1,$I307&gt;31),"نامعتبر",RIGHT("0000"&amp;$G307,4)&amp;"/"&amp;RIGHT("00"&amp;$H307,2)&amp;"/"&amp;RIGHT("00"&amp;$I307,2)))</f>
        <v/>
      </c>
      <c r="K307">
        <f>IF(OR($F307="",$J307="",$J307="نامعتبر"),"",LEFT($J307,4)&amp;MID($J307,6,2)&amp;RIGHT($J307,2)&amp;$N307&amp;"|"&amp;"2"&amp;RIGHT("00000"&amp;302,5))</f>
        <v/>
      </c>
      <c r="L307">
        <f>IF($K307="","",COUNTIFS(LdgSellerA,$F307,LdgKeyA,"&lt;"&amp;$K307)+COUNTIFS(LdgSellerB,$F307,LdgKeyB,"&lt;"&amp;$K307)+1)</f>
        <v/>
      </c>
      <c r="M307">
        <f>IF($L307="","",$F307&amp;"|"&amp;RIGHT("000000"&amp;$L307,6))</f>
        <v/>
      </c>
      <c r="N307">
        <f>IF($F307="","",IF(Sync!$AF307="","0000",IF(AND(ISNUMBER(Sync!$AF307),Sync!$AF307&gt;=0,Sync!$AF307&lt;1),RIGHT("00"&amp;HOUR(Sync!$AF307),2)&amp;RIGHT("00"&amp;MINUTE(Sync!$AF307),2),IFERROR(RIGHT("00"&amp;VALUE(LEFT(Sync!$AF307,FIND(":",Sync!$AF307)-1)),2)&amp;RIGHT("00"&amp;VALUE(MID(Sync!$AF307,FIND(":",Sync!$AF307)+1,2)),2),"0000"))))</f>
        <v/>
      </c>
    </row>
    <row r="308">
      <c r="A308">
        <f>IF(OR(Calc!$E312="",Calc!$E312="نامعتبر",Calc!$G312=""),"",Calc!$G312)</f>
        <v/>
      </c>
      <c r="B308">
        <f>IF($A308="","",LEFT(Calc!$E312,4)&amp;MID(Calc!$E312,6,2)&amp;RIGHT(Calc!$E312,2)&amp;Calc!$Q312&amp;"|"&amp;"1"&amp;RIGHT("00000"&amp;303,5))</f>
        <v/>
      </c>
      <c r="C308">
        <f>IF($B308="","",COUNTIFS(LdgSellerA,$A308,LdgKeyA,"&lt;"&amp;$B308)+COUNTIFS(LdgSellerB,$A308,LdgKeyB,"&lt;"&amp;$B308)+1)</f>
        <v/>
      </c>
      <c r="D308">
        <f>IF($C308="","",$A308&amp;"|"&amp;RIGHT("000000"&amp;$C308,6))</f>
        <v/>
      </c>
      <c r="F308">
        <f>IF(Sync!$AH308="","",IF(LEFT(UPPER(TRIM(Sync!$AH308)),2)="SL",UPPER(TRIM(Sync!$AH308)),""))</f>
        <v/>
      </c>
      <c r="G308">
        <f>IF($F308="","",IF(Sync!$AE308="","",IF(ISNUMBER(Sync!$AE308),IF(AND(Sync!$AE308&gt;=10000101,Sync!$AE308&lt;=99991231),INT(Sync!$AE308/10000),""),IFERROR(VALUE(TRIM(LEFT(Sync!$AE308,FIND("/",Sync!$AE308)-1))),""))))</f>
        <v/>
      </c>
      <c r="H308">
        <f>IF(OR($F308="",$G308=""),"",IF(ISNUMBER(Sync!$AE308),INT(MOD(Sync!$AE308,10000)/100),IFERROR(VALUE(TRIM(LEFT(MID(Sync!$AE308,FIND("/",Sync!$AE308)+1,20),FIND("/",MID(Sync!$AE308,FIND("/",Sync!$AE308)+1,20))-1))),"")))</f>
        <v/>
      </c>
      <c r="I308">
        <f>IF(OR($F308="",$G308=""),"",IF(ISNUMBER(Sync!$AE308),MOD(Sync!$AE308,100),IFERROR(VALUE(TRIM(MID(MID(Sync!$AE308,FIND("/",Sync!$AE308)+1,20),FIND("/",MID(Sync!$AE308,FIND("/",Sync!$AE308)+1,20))+1,20))),"")))</f>
        <v/>
      </c>
      <c r="J308">
        <f>IF($F308="","",IF(OR($G308="",$H308="",$I308="",$G308&lt;1300,$G308&gt;1500,$H308&lt;1,$H308&gt;12,$I308&lt;1,$I308&gt;31),"نامعتبر",RIGHT("0000"&amp;$G308,4)&amp;"/"&amp;RIGHT("00"&amp;$H308,2)&amp;"/"&amp;RIGHT("00"&amp;$I308,2)))</f>
        <v/>
      </c>
      <c r="K308">
        <f>IF(OR($F308="",$J308="",$J308="نامعتبر"),"",LEFT($J308,4)&amp;MID($J308,6,2)&amp;RIGHT($J308,2)&amp;$N308&amp;"|"&amp;"2"&amp;RIGHT("00000"&amp;303,5))</f>
        <v/>
      </c>
      <c r="L308">
        <f>IF($K308="","",COUNTIFS(LdgSellerA,$F308,LdgKeyA,"&lt;"&amp;$K308)+COUNTIFS(LdgSellerB,$F308,LdgKeyB,"&lt;"&amp;$K308)+1)</f>
        <v/>
      </c>
      <c r="M308">
        <f>IF($L308="","",$F308&amp;"|"&amp;RIGHT("000000"&amp;$L308,6))</f>
        <v/>
      </c>
      <c r="N308">
        <f>IF($F308="","",IF(Sync!$AF308="","0000",IF(AND(ISNUMBER(Sync!$AF308),Sync!$AF308&gt;=0,Sync!$AF308&lt;1),RIGHT("00"&amp;HOUR(Sync!$AF308),2)&amp;RIGHT("00"&amp;MINUTE(Sync!$AF308),2),IFERROR(RIGHT("00"&amp;VALUE(LEFT(Sync!$AF308,FIND(":",Sync!$AF308)-1)),2)&amp;RIGHT("00"&amp;VALUE(MID(Sync!$AF308,FIND(":",Sync!$AF308)+1,2)),2),"0000"))))</f>
        <v/>
      </c>
    </row>
    <row r="309">
      <c r="A309">
        <f>IF(OR(Calc!$E313="",Calc!$E313="نامعتبر",Calc!$G313=""),"",Calc!$G313)</f>
        <v/>
      </c>
      <c r="B309">
        <f>IF($A309="","",LEFT(Calc!$E313,4)&amp;MID(Calc!$E313,6,2)&amp;RIGHT(Calc!$E313,2)&amp;Calc!$Q313&amp;"|"&amp;"1"&amp;RIGHT("00000"&amp;304,5))</f>
        <v/>
      </c>
      <c r="C309">
        <f>IF($B309="","",COUNTIFS(LdgSellerA,$A309,LdgKeyA,"&lt;"&amp;$B309)+COUNTIFS(LdgSellerB,$A309,LdgKeyB,"&lt;"&amp;$B309)+1)</f>
        <v/>
      </c>
      <c r="D309">
        <f>IF($C309="","",$A309&amp;"|"&amp;RIGHT("000000"&amp;$C309,6))</f>
        <v/>
      </c>
      <c r="F309">
        <f>IF(Sync!$AH309="","",IF(LEFT(UPPER(TRIM(Sync!$AH309)),2)="SL",UPPER(TRIM(Sync!$AH309)),""))</f>
        <v/>
      </c>
      <c r="G309">
        <f>IF($F309="","",IF(Sync!$AE309="","",IF(ISNUMBER(Sync!$AE309),IF(AND(Sync!$AE309&gt;=10000101,Sync!$AE309&lt;=99991231),INT(Sync!$AE309/10000),""),IFERROR(VALUE(TRIM(LEFT(Sync!$AE309,FIND("/",Sync!$AE309)-1))),""))))</f>
        <v/>
      </c>
      <c r="H309">
        <f>IF(OR($F309="",$G309=""),"",IF(ISNUMBER(Sync!$AE309),INT(MOD(Sync!$AE309,10000)/100),IFERROR(VALUE(TRIM(LEFT(MID(Sync!$AE309,FIND("/",Sync!$AE309)+1,20),FIND("/",MID(Sync!$AE309,FIND("/",Sync!$AE309)+1,20))-1))),"")))</f>
        <v/>
      </c>
      <c r="I309">
        <f>IF(OR($F309="",$G309=""),"",IF(ISNUMBER(Sync!$AE309),MOD(Sync!$AE309,100),IFERROR(VALUE(TRIM(MID(MID(Sync!$AE309,FIND("/",Sync!$AE309)+1,20),FIND("/",MID(Sync!$AE309,FIND("/",Sync!$AE309)+1,20))+1,20))),"")))</f>
        <v/>
      </c>
      <c r="J309">
        <f>IF($F309="","",IF(OR($G309="",$H309="",$I309="",$G309&lt;1300,$G309&gt;1500,$H309&lt;1,$H309&gt;12,$I309&lt;1,$I309&gt;31),"نامعتبر",RIGHT("0000"&amp;$G309,4)&amp;"/"&amp;RIGHT("00"&amp;$H309,2)&amp;"/"&amp;RIGHT("00"&amp;$I309,2)))</f>
        <v/>
      </c>
      <c r="K309">
        <f>IF(OR($F309="",$J309="",$J309="نامعتبر"),"",LEFT($J309,4)&amp;MID($J309,6,2)&amp;RIGHT($J309,2)&amp;$N309&amp;"|"&amp;"2"&amp;RIGHT("00000"&amp;304,5))</f>
        <v/>
      </c>
      <c r="L309">
        <f>IF($K309="","",COUNTIFS(LdgSellerA,$F309,LdgKeyA,"&lt;"&amp;$K309)+COUNTIFS(LdgSellerB,$F309,LdgKeyB,"&lt;"&amp;$K309)+1)</f>
        <v/>
      </c>
      <c r="M309">
        <f>IF($L309="","",$F309&amp;"|"&amp;RIGHT("000000"&amp;$L309,6))</f>
        <v/>
      </c>
      <c r="N309">
        <f>IF($F309="","",IF(Sync!$AF309="","0000",IF(AND(ISNUMBER(Sync!$AF309),Sync!$AF309&gt;=0,Sync!$AF309&lt;1),RIGHT("00"&amp;HOUR(Sync!$AF309),2)&amp;RIGHT("00"&amp;MINUTE(Sync!$AF309),2),IFERROR(RIGHT("00"&amp;VALUE(LEFT(Sync!$AF309,FIND(":",Sync!$AF309)-1)),2)&amp;RIGHT("00"&amp;VALUE(MID(Sync!$AF309,FIND(":",Sync!$AF309)+1,2)),2),"0000"))))</f>
        <v/>
      </c>
    </row>
    <row r="310">
      <c r="A310">
        <f>IF(OR(Calc!$E314="",Calc!$E314="نامعتبر",Calc!$G314=""),"",Calc!$G314)</f>
        <v/>
      </c>
      <c r="B310">
        <f>IF($A310="","",LEFT(Calc!$E314,4)&amp;MID(Calc!$E314,6,2)&amp;RIGHT(Calc!$E314,2)&amp;Calc!$Q314&amp;"|"&amp;"1"&amp;RIGHT("00000"&amp;305,5))</f>
        <v/>
      </c>
      <c r="C310">
        <f>IF($B310="","",COUNTIFS(LdgSellerA,$A310,LdgKeyA,"&lt;"&amp;$B310)+COUNTIFS(LdgSellerB,$A310,LdgKeyB,"&lt;"&amp;$B310)+1)</f>
        <v/>
      </c>
      <c r="D310">
        <f>IF($C310="","",$A310&amp;"|"&amp;RIGHT("000000"&amp;$C310,6))</f>
        <v/>
      </c>
      <c r="F310">
        <f>IF(Sync!$AH310="","",IF(LEFT(UPPER(TRIM(Sync!$AH310)),2)="SL",UPPER(TRIM(Sync!$AH310)),""))</f>
        <v/>
      </c>
      <c r="G310">
        <f>IF($F310="","",IF(Sync!$AE310="","",IF(ISNUMBER(Sync!$AE310),IF(AND(Sync!$AE310&gt;=10000101,Sync!$AE310&lt;=99991231),INT(Sync!$AE310/10000),""),IFERROR(VALUE(TRIM(LEFT(Sync!$AE310,FIND("/",Sync!$AE310)-1))),""))))</f>
        <v/>
      </c>
      <c r="H310">
        <f>IF(OR($F310="",$G310=""),"",IF(ISNUMBER(Sync!$AE310),INT(MOD(Sync!$AE310,10000)/100),IFERROR(VALUE(TRIM(LEFT(MID(Sync!$AE310,FIND("/",Sync!$AE310)+1,20),FIND("/",MID(Sync!$AE310,FIND("/",Sync!$AE310)+1,20))-1))),"")))</f>
        <v/>
      </c>
      <c r="I310">
        <f>IF(OR($F310="",$G310=""),"",IF(ISNUMBER(Sync!$AE310),MOD(Sync!$AE310,100),IFERROR(VALUE(TRIM(MID(MID(Sync!$AE310,FIND("/",Sync!$AE310)+1,20),FIND("/",MID(Sync!$AE310,FIND("/",Sync!$AE310)+1,20))+1,20))),"")))</f>
        <v/>
      </c>
      <c r="J310">
        <f>IF($F310="","",IF(OR($G310="",$H310="",$I310="",$G310&lt;1300,$G310&gt;1500,$H310&lt;1,$H310&gt;12,$I310&lt;1,$I310&gt;31),"نامعتبر",RIGHT("0000"&amp;$G310,4)&amp;"/"&amp;RIGHT("00"&amp;$H310,2)&amp;"/"&amp;RIGHT("00"&amp;$I310,2)))</f>
        <v/>
      </c>
      <c r="K310">
        <f>IF(OR($F310="",$J310="",$J310="نامعتبر"),"",LEFT($J310,4)&amp;MID($J310,6,2)&amp;RIGHT($J310,2)&amp;$N310&amp;"|"&amp;"2"&amp;RIGHT("00000"&amp;305,5))</f>
        <v/>
      </c>
      <c r="L310">
        <f>IF($K310="","",COUNTIFS(LdgSellerA,$F310,LdgKeyA,"&lt;"&amp;$K310)+COUNTIFS(LdgSellerB,$F310,LdgKeyB,"&lt;"&amp;$K310)+1)</f>
        <v/>
      </c>
      <c r="M310">
        <f>IF($L310="","",$F310&amp;"|"&amp;RIGHT("000000"&amp;$L310,6))</f>
        <v/>
      </c>
      <c r="N310">
        <f>IF($F310="","",IF(Sync!$AF310="","0000",IF(AND(ISNUMBER(Sync!$AF310),Sync!$AF310&gt;=0,Sync!$AF310&lt;1),RIGHT("00"&amp;HOUR(Sync!$AF310),2)&amp;RIGHT("00"&amp;MINUTE(Sync!$AF310),2),IFERROR(RIGHT("00"&amp;VALUE(LEFT(Sync!$AF310,FIND(":",Sync!$AF310)-1)),2)&amp;RIGHT("00"&amp;VALUE(MID(Sync!$AF310,FIND(":",Sync!$AF310)+1,2)),2),"0000"))))</f>
        <v/>
      </c>
    </row>
    <row r="311">
      <c r="A311">
        <f>IF(OR(Calc!$E315="",Calc!$E315="نامعتبر",Calc!$G315=""),"",Calc!$G315)</f>
        <v/>
      </c>
      <c r="B311">
        <f>IF($A311="","",LEFT(Calc!$E315,4)&amp;MID(Calc!$E315,6,2)&amp;RIGHT(Calc!$E315,2)&amp;Calc!$Q315&amp;"|"&amp;"1"&amp;RIGHT("00000"&amp;306,5))</f>
        <v/>
      </c>
      <c r="C311">
        <f>IF($B311="","",COUNTIFS(LdgSellerA,$A311,LdgKeyA,"&lt;"&amp;$B311)+COUNTIFS(LdgSellerB,$A311,LdgKeyB,"&lt;"&amp;$B311)+1)</f>
        <v/>
      </c>
      <c r="D311">
        <f>IF($C311="","",$A311&amp;"|"&amp;RIGHT("000000"&amp;$C311,6))</f>
        <v/>
      </c>
      <c r="F311">
        <f>IF(Sync!$AH311="","",IF(LEFT(UPPER(TRIM(Sync!$AH311)),2)="SL",UPPER(TRIM(Sync!$AH311)),""))</f>
        <v/>
      </c>
      <c r="G311">
        <f>IF($F311="","",IF(Sync!$AE311="","",IF(ISNUMBER(Sync!$AE311),IF(AND(Sync!$AE311&gt;=10000101,Sync!$AE311&lt;=99991231),INT(Sync!$AE311/10000),""),IFERROR(VALUE(TRIM(LEFT(Sync!$AE311,FIND("/",Sync!$AE311)-1))),""))))</f>
        <v/>
      </c>
      <c r="H311">
        <f>IF(OR($F311="",$G311=""),"",IF(ISNUMBER(Sync!$AE311),INT(MOD(Sync!$AE311,10000)/100),IFERROR(VALUE(TRIM(LEFT(MID(Sync!$AE311,FIND("/",Sync!$AE311)+1,20),FIND("/",MID(Sync!$AE311,FIND("/",Sync!$AE311)+1,20))-1))),"")))</f>
        <v/>
      </c>
      <c r="I311">
        <f>IF(OR($F311="",$G311=""),"",IF(ISNUMBER(Sync!$AE311),MOD(Sync!$AE311,100),IFERROR(VALUE(TRIM(MID(MID(Sync!$AE311,FIND("/",Sync!$AE311)+1,20),FIND("/",MID(Sync!$AE311,FIND("/",Sync!$AE311)+1,20))+1,20))),"")))</f>
        <v/>
      </c>
      <c r="J311">
        <f>IF($F311="","",IF(OR($G311="",$H311="",$I311="",$G311&lt;1300,$G311&gt;1500,$H311&lt;1,$H311&gt;12,$I311&lt;1,$I311&gt;31),"نامعتبر",RIGHT("0000"&amp;$G311,4)&amp;"/"&amp;RIGHT("00"&amp;$H311,2)&amp;"/"&amp;RIGHT("00"&amp;$I311,2)))</f>
        <v/>
      </c>
      <c r="K311">
        <f>IF(OR($F311="",$J311="",$J311="نامعتبر"),"",LEFT($J311,4)&amp;MID($J311,6,2)&amp;RIGHT($J311,2)&amp;$N311&amp;"|"&amp;"2"&amp;RIGHT("00000"&amp;306,5))</f>
        <v/>
      </c>
      <c r="L311">
        <f>IF($K311="","",COUNTIFS(LdgSellerA,$F311,LdgKeyA,"&lt;"&amp;$K311)+COUNTIFS(LdgSellerB,$F311,LdgKeyB,"&lt;"&amp;$K311)+1)</f>
        <v/>
      </c>
      <c r="M311">
        <f>IF($L311="","",$F311&amp;"|"&amp;RIGHT("000000"&amp;$L311,6))</f>
        <v/>
      </c>
      <c r="N311">
        <f>IF($F311="","",IF(Sync!$AF311="","0000",IF(AND(ISNUMBER(Sync!$AF311),Sync!$AF311&gt;=0,Sync!$AF311&lt;1),RIGHT("00"&amp;HOUR(Sync!$AF311),2)&amp;RIGHT("00"&amp;MINUTE(Sync!$AF311),2),IFERROR(RIGHT("00"&amp;VALUE(LEFT(Sync!$AF311,FIND(":",Sync!$AF311)-1)),2)&amp;RIGHT("00"&amp;VALUE(MID(Sync!$AF311,FIND(":",Sync!$AF311)+1,2)),2),"0000"))))</f>
        <v/>
      </c>
    </row>
    <row r="312">
      <c r="A312">
        <f>IF(OR(Calc!$E316="",Calc!$E316="نامعتبر",Calc!$G316=""),"",Calc!$G316)</f>
        <v/>
      </c>
      <c r="B312">
        <f>IF($A312="","",LEFT(Calc!$E316,4)&amp;MID(Calc!$E316,6,2)&amp;RIGHT(Calc!$E316,2)&amp;Calc!$Q316&amp;"|"&amp;"1"&amp;RIGHT("00000"&amp;307,5))</f>
        <v/>
      </c>
      <c r="C312">
        <f>IF($B312="","",COUNTIFS(LdgSellerA,$A312,LdgKeyA,"&lt;"&amp;$B312)+COUNTIFS(LdgSellerB,$A312,LdgKeyB,"&lt;"&amp;$B312)+1)</f>
        <v/>
      </c>
      <c r="D312">
        <f>IF($C312="","",$A312&amp;"|"&amp;RIGHT("000000"&amp;$C312,6))</f>
        <v/>
      </c>
      <c r="F312">
        <f>IF(Sync!$AH312="","",IF(LEFT(UPPER(TRIM(Sync!$AH312)),2)="SL",UPPER(TRIM(Sync!$AH312)),""))</f>
        <v/>
      </c>
      <c r="G312">
        <f>IF($F312="","",IF(Sync!$AE312="","",IF(ISNUMBER(Sync!$AE312),IF(AND(Sync!$AE312&gt;=10000101,Sync!$AE312&lt;=99991231),INT(Sync!$AE312/10000),""),IFERROR(VALUE(TRIM(LEFT(Sync!$AE312,FIND("/",Sync!$AE312)-1))),""))))</f>
        <v/>
      </c>
      <c r="H312">
        <f>IF(OR($F312="",$G312=""),"",IF(ISNUMBER(Sync!$AE312),INT(MOD(Sync!$AE312,10000)/100),IFERROR(VALUE(TRIM(LEFT(MID(Sync!$AE312,FIND("/",Sync!$AE312)+1,20),FIND("/",MID(Sync!$AE312,FIND("/",Sync!$AE312)+1,20))-1))),"")))</f>
        <v/>
      </c>
      <c r="I312">
        <f>IF(OR($F312="",$G312=""),"",IF(ISNUMBER(Sync!$AE312),MOD(Sync!$AE312,100),IFERROR(VALUE(TRIM(MID(MID(Sync!$AE312,FIND("/",Sync!$AE312)+1,20),FIND("/",MID(Sync!$AE312,FIND("/",Sync!$AE312)+1,20))+1,20))),"")))</f>
        <v/>
      </c>
      <c r="J312">
        <f>IF($F312="","",IF(OR($G312="",$H312="",$I312="",$G312&lt;1300,$G312&gt;1500,$H312&lt;1,$H312&gt;12,$I312&lt;1,$I312&gt;31),"نامعتبر",RIGHT("0000"&amp;$G312,4)&amp;"/"&amp;RIGHT("00"&amp;$H312,2)&amp;"/"&amp;RIGHT("00"&amp;$I312,2)))</f>
        <v/>
      </c>
      <c r="K312">
        <f>IF(OR($F312="",$J312="",$J312="نامعتبر"),"",LEFT($J312,4)&amp;MID($J312,6,2)&amp;RIGHT($J312,2)&amp;$N312&amp;"|"&amp;"2"&amp;RIGHT("00000"&amp;307,5))</f>
        <v/>
      </c>
      <c r="L312">
        <f>IF($K312="","",COUNTIFS(LdgSellerA,$F312,LdgKeyA,"&lt;"&amp;$K312)+COUNTIFS(LdgSellerB,$F312,LdgKeyB,"&lt;"&amp;$K312)+1)</f>
        <v/>
      </c>
      <c r="M312">
        <f>IF($L312="","",$F312&amp;"|"&amp;RIGHT("000000"&amp;$L312,6))</f>
        <v/>
      </c>
      <c r="N312">
        <f>IF($F312="","",IF(Sync!$AF312="","0000",IF(AND(ISNUMBER(Sync!$AF312),Sync!$AF312&gt;=0,Sync!$AF312&lt;1),RIGHT("00"&amp;HOUR(Sync!$AF312),2)&amp;RIGHT("00"&amp;MINUTE(Sync!$AF312),2),IFERROR(RIGHT("00"&amp;VALUE(LEFT(Sync!$AF312,FIND(":",Sync!$AF312)-1)),2)&amp;RIGHT("00"&amp;VALUE(MID(Sync!$AF312,FIND(":",Sync!$AF312)+1,2)),2),"0000"))))</f>
        <v/>
      </c>
    </row>
    <row r="313">
      <c r="A313">
        <f>IF(OR(Calc!$E317="",Calc!$E317="نامعتبر",Calc!$G317=""),"",Calc!$G317)</f>
        <v/>
      </c>
      <c r="B313">
        <f>IF($A313="","",LEFT(Calc!$E317,4)&amp;MID(Calc!$E317,6,2)&amp;RIGHT(Calc!$E317,2)&amp;Calc!$Q317&amp;"|"&amp;"1"&amp;RIGHT("00000"&amp;308,5))</f>
        <v/>
      </c>
      <c r="C313">
        <f>IF($B313="","",COUNTIFS(LdgSellerA,$A313,LdgKeyA,"&lt;"&amp;$B313)+COUNTIFS(LdgSellerB,$A313,LdgKeyB,"&lt;"&amp;$B313)+1)</f>
        <v/>
      </c>
      <c r="D313">
        <f>IF($C313="","",$A313&amp;"|"&amp;RIGHT("000000"&amp;$C313,6))</f>
        <v/>
      </c>
      <c r="F313">
        <f>IF(Sync!$AH313="","",IF(LEFT(UPPER(TRIM(Sync!$AH313)),2)="SL",UPPER(TRIM(Sync!$AH313)),""))</f>
        <v/>
      </c>
      <c r="G313">
        <f>IF($F313="","",IF(Sync!$AE313="","",IF(ISNUMBER(Sync!$AE313),IF(AND(Sync!$AE313&gt;=10000101,Sync!$AE313&lt;=99991231),INT(Sync!$AE313/10000),""),IFERROR(VALUE(TRIM(LEFT(Sync!$AE313,FIND("/",Sync!$AE313)-1))),""))))</f>
        <v/>
      </c>
      <c r="H313">
        <f>IF(OR($F313="",$G313=""),"",IF(ISNUMBER(Sync!$AE313),INT(MOD(Sync!$AE313,10000)/100),IFERROR(VALUE(TRIM(LEFT(MID(Sync!$AE313,FIND("/",Sync!$AE313)+1,20),FIND("/",MID(Sync!$AE313,FIND("/",Sync!$AE313)+1,20))-1))),"")))</f>
        <v/>
      </c>
      <c r="I313">
        <f>IF(OR($F313="",$G313=""),"",IF(ISNUMBER(Sync!$AE313),MOD(Sync!$AE313,100),IFERROR(VALUE(TRIM(MID(MID(Sync!$AE313,FIND("/",Sync!$AE313)+1,20),FIND("/",MID(Sync!$AE313,FIND("/",Sync!$AE313)+1,20))+1,20))),"")))</f>
        <v/>
      </c>
      <c r="J313">
        <f>IF($F313="","",IF(OR($G313="",$H313="",$I313="",$G313&lt;1300,$G313&gt;1500,$H313&lt;1,$H313&gt;12,$I313&lt;1,$I313&gt;31),"نامعتبر",RIGHT("0000"&amp;$G313,4)&amp;"/"&amp;RIGHT("00"&amp;$H313,2)&amp;"/"&amp;RIGHT("00"&amp;$I313,2)))</f>
        <v/>
      </c>
      <c r="K313">
        <f>IF(OR($F313="",$J313="",$J313="نامعتبر"),"",LEFT($J313,4)&amp;MID($J313,6,2)&amp;RIGHT($J313,2)&amp;$N313&amp;"|"&amp;"2"&amp;RIGHT("00000"&amp;308,5))</f>
        <v/>
      </c>
      <c r="L313">
        <f>IF($K313="","",COUNTIFS(LdgSellerA,$F313,LdgKeyA,"&lt;"&amp;$K313)+COUNTIFS(LdgSellerB,$F313,LdgKeyB,"&lt;"&amp;$K313)+1)</f>
        <v/>
      </c>
      <c r="M313">
        <f>IF($L313="","",$F313&amp;"|"&amp;RIGHT("000000"&amp;$L313,6))</f>
        <v/>
      </c>
      <c r="N313">
        <f>IF($F313="","",IF(Sync!$AF313="","0000",IF(AND(ISNUMBER(Sync!$AF313),Sync!$AF313&gt;=0,Sync!$AF313&lt;1),RIGHT("00"&amp;HOUR(Sync!$AF313),2)&amp;RIGHT("00"&amp;MINUTE(Sync!$AF313),2),IFERROR(RIGHT("00"&amp;VALUE(LEFT(Sync!$AF313,FIND(":",Sync!$AF313)-1)),2)&amp;RIGHT("00"&amp;VALUE(MID(Sync!$AF313,FIND(":",Sync!$AF313)+1,2)),2),"0000"))))</f>
        <v/>
      </c>
    </row>
    <row r="314">
      <c r="A314">
        <f>IF(OR(Calc!$E318="",Calc!$E318="نامعتبر",Calc!$G318=""),"",Calc!$G318)</f>
        <v/>
      </c>
      <c r="B314">
        <f>IF($A314="","",LEFT(Calc!$E318,4)&amp;MID(Calc!$E318,6,2)&amp;RIGHT(Calc!$E318,2)&amp;Calc!$Q318&amp;"|"&amp;"1"&amp;RIGHT("00000"&amp;309,5))</f>
        <v/>
      </c>
      <c r="C314">
        <f>IF($B314="","",COUNTIFS(LdgSellerA,$A314,LdgKeyA,"&lt;"&amp;$B314)+COUNTIFS(LdgSellerB,$A314,LdgKeyB,"&lt;"&amp;$B314)+1)</f>
        <v/>
      </c>
      <c r="D314">
        <f>IF($C314="","",$A314&amp;"|"&amp;RIGHT("000000"&amp;$C314,6))</f>
        <v/>
      </c>
      <c r="F314">
        <f>IF(Sync!$AH314="","",IF(LEFT(UPPER(TRIM(Sync!$AH314)),2)="SL",UPPER(TRIM(Sync!$AH314)),""))</f>
        <v/>
      </c>
      <c r="G314">
        <f>IF($F314="","",IF(Sync!$AE314="","",IF(ISNUMBER(Sync!$AE314),IF(AND(Sync!$AE314&gt;=10000101,Sync!$AE314&lt;=99991231),INT(Sync!$AE314/10000),""),IFERROR(VALUE(TRIM(LEFT(Sync!$AE314,FIND("/",Sync!$AE314)-1))),""))))</f>
        <v/>
      </c>
      <c r="H314">
        <f>IF(OR($F314="",$G314=""),"",IF(ISNUMBER(Sync!$AE314),INT(MOD(Sync!$AE314,10000)/100),IFERROR(VALUE(TRIM(LEFT(MID(Sync!$AE314,FIND("/",Sync!$AE314)+1,20),FIND("/",MID(Sync!$AE314,FIND("/",Sync!$AE314)+1,20))-1))),"")))</f>
        <v/>
      </c>
      <c r="I314">
        <f>IF(OR($F314="",$G314=""),"",IF(ISNUMBER(Sync!$AE314),MOD(Sync!$AE314,100),IFERROR(VALUE(TRIM(MID(MID(Sync!$AE314,FIND("/",Sync!$AE314)+1,20),FIND("/",MID(Sync!$AE314,FIND("/",Sync!$AE314)+1,20))+1,20))),"")))</f>
        <v/>
      </c>
      <c r="J314">
        <f>IF($F314="","",IF(OR($G314="",$H314="",$I314="",$G314&lt;1300,$G314&gt;1500,$H314&lt;1,$H314&gt;12,$I314&lt;1,$I314&gt;31),"نامعتبر",RIGHT("0000"&amp;$G314,4)&amp;"/"&amp;RIGHT("00"&amp;$H314,2)&amp;"/"&amp;RIGHT("00"&amp;$I314,2)))</f>
        <v/>
      </c>
      <c r="K314">
        <f>IF(OR($F314="",$J314="",$J314="نامعتبر"),"",LEFT($J314,4)&amp;MID($J314,6,2)&amp;RIGHT($J314,2)&amp;$N314&amp;"|"&amp;"2"&amp;RIGHT("00000"&amp;309,5))</f>
        <v/>
      </c>
      <c r="L314">
        <f>IF($K314="","",COUNTIFS(LdgSellerA,$F314,LdgKeyA,"&lt;"&amp;$K314)+COUNTIFS(LdgSellerB,$F314,LdgKeyB,"&lt;"&amp;$K314)+1)</f>
        <v/>
      </c>
      <c r="M314">
        <f>IF($L314="","",$F314&amp;"|"&amp;RIGHT("000000"&amp;$L314,6))</f>
        <v/>
      </c>
      <c r="N314">
        <f>IF($F314="","",IF(Sync!$AF314="","0000",IF(AND(ISNUMBER(Sync!$AF314),Sync!$AF314&gt;=0,Sync!$AF314&lt;1),RIGHT("00"&amp;HOUR(Sync!$AF314),2)&amp;RIGHT("00"&amp;MINUTE(Sync!$AF314),2),IFERROR(RIGHT("00"&amp;VALUE(LEFT(Sync!$AF314,FIND(":",Sync!$AF314)-1)),2)&amp;RIGHT("00"&amp;VALUE(MID(Sync!$AF314,FIND(":",Sync!$AF314)+1,2)),2),"0000"))))</f>
        <v/>
      </c>
    </row>
    <row r="315">
      <c r="A315">
        <f>IF(OR(Calc!$E319="",Calc!$E319="نامعتبر",Calc!$G319=""),"",Calc!$G319)</f>
        <v/>
      </c>
      <c r="B315">
        <f>IF($A315="","",LEFT(Calc!$E319,4)&amp;MID(Calc!$E319,6,2)&amp;RIGHT(Calc!$E319,2)&amp;Calc!$Q319&amp;"|"&amp;"1"&amp;RIGHT("00000"&amp;310,5))</f>
        <v/>
      </c>
      <c r="C315">
        <f>IF($B315="","",COUNTIFS(LdgSellerA,$A315,LdgKeyA,"&lt;"&amp;$B315)+COUNTIFS(LdgSellerB,$A315,LdgKeyB,"&lt;"&amp;$B315)+1)</f>
        <v/>
      </c>
      <c r="D315">
        <f>IF($C315="","",$A315&amp;"|"&amp;RIGHT("000000"&amp;$C315,6))</f>
        <v/>
      </c>
      <c r="F315">
        <f>IF(Sync!$AH315="","",IF(LEFT(UPPER(TRIM(Sync!$AH315)),2)="SL",UPPER(TRIM(Sync!$AH315)),""))</f>
        <v/>
      </c>
      <c r="G315">
        <f>IF($F315="","",IF(Sync!$AE315="","",IF(ISNUMBER(Sync!$AE315),IF(AND(Sync!$AE315&gt;=10000101,Sync!$AE315&lt;=99991231),INT(Sync!$AE315/10000),""),IFERROR(VALUE(TRIM(LEFT(Sync!$AE315,FIND("/",Sync!$AE315)-1))),""))))</f>
        <v/>
      </c>
      <c r="H315">
        <f>IF(OR($F315="",$G315=""),"",IF(ISNUMBER(Sync!$AE315),INT(MOD(Sync!$AE315,10000)/100),IFERROR(VALUE(TRIM(LEFT(MID(Sync!$AE315,FIND("/",Sync!$AE315)+1,20),FIND("/",MID(Sync!$AE315,FIND("/",Sync!$AE315)+1,20))-1))),"")))</f>
        <v/>
      </c>
      <c r="I315">
        <f>IF(OR($F315="",$G315=""),"",IF(ISNUMBER(Sync!$AE315),MOD(Sync!$AE315,100),IFERROR(VALUE(TRIM(MID(MID(Sync!$AE315,FIND("/",Sync!$AE315)+1,20),FIND("/",MID(Sync!$AE315,FIND("/",Sync!$AE315)+1,20))+1,20))),"")))</f>
        <v/>
      </c>
      <c r="J315">
        <f>IF($F315="","",IF(OR($G315="",$H315="",$I315="",$G315&lt;1300,$G315&gt;1500,$H315&lt;1,$H315&gt;12,$I315&lt;1,$I315&gt;31),"نامعتبر",RIGHT("0000"&amp;$G315,4)&amp;"/"&amp;RIGHT("00"&amp;$H315,2)&amp;"/"&amp;RIGHT("00"&amp;$I315,2)))</f>
        <v/>
      </c>
      <c r="K315">
        <f>IF(OR($F315="",$J315="",$J315="نامعتبر"),"",LEFT($J315,4)&amp;MID($J315,6,2)&amp;RIGHT($J315,2)&amp;$N315&amp;"|"&amp;"2"&amp;RIGHT("00000"&amp;310,5))</f>
        <v/>
      </c>
      <c r="L315">
        <f>IF($K315="","",COUNTIFS(LdgSellerA,$F315,LdgKeyA,"&lt;"&amp;$K315)+COUNTIFS(LdgSellerB,$F315,LdgKeyB,"&lt;"&amp;$K315)+1)</f>
        <v/>
      </c>
      <c r="M315">
        <f>IF($L315="","",$F315&amp;"|"&amp;RIGHT("000000"&amp;$L315,6))</f>
        <v/>
      </c>
      <c r="N315">
        <f>IF($F315="","",IF(Sync!$AF315="","0000",IF(AND(ISNUMBER(Sync!$AF315),Sync!$AF315&gt;=0,Sync!$AF315&lt;1),RIGHT("00"&amp;HOUR(Sync!$AF315),2)&amp;RIGHT("00"&amp;MINUTE(Sync!$AF315),2),IFERROR(RIGHT("00"&amp;VALUE(LEFT(Sync!$AF315,FIND(":",Sync!$AF315)-1)),2)&amp;RIGHT("00"&amp;VALUE(MID(Sync!$AF315,FIND(":",Sync!$AF315)+1,2)),2),"0000"))))</f>
        <v/>
      </c>
    </row>
    <row r="316">
      <c r="A316">
        <f>IF(OR(Calc!$E320="",Calc!$E320="نامعتبر",Calc!$G320=""),"",Calc!$G320)</f>
        <v/>
      </c>
      <c r="B316">
        <f>IF($A316="","",LEFT(Calc!$E320,4)&amp;MID(Calc!$E320,6,2)&amp;RIGHT(Calc!$E320,2)&amp;Calc!$Q320&amp;"|"&amp;"1"&amp;RIGHT("00000"&amp;311,5))</f>
        <v/>
      </c>
      <c r="C316">
        <f>IF($B316="","",COUNTIFS(LdgSellerA,$A316,LdgKeyA,"&lt;"&amp;$B316)+COUNTIFS(LdgSellerB,$A316,LdgKeyB,"&lt;"&amp;$B316)+1)</f>
        <v/>
      </c>
      <c r="D316">
        <f>IF($C316="","",$A316&amp;"|"&amp;RIGHT("000000"&amp;$C316,6))</f>
        <v/>
      </c>
      <c r="F316">
        <f>IF(Sync!$AH316="","",IF(LEFT(UPPER(TRIM(Sync!$AH316)),2)="SL",UPPER(TRIM(Sync!$AH316)),""))</f>
        <v/>
      </c>
      <c r="G316">
        <f>IF($F316="","",IF(Sync!$AE316="","",IF(ISNUMBER(Sync!$AE316),IF(AND(Sync!$AE316&gt;=10000101,Sync!$AE316&lt;=99991231),INT(Sync!$AE316/10000),""),IFERROR(VALUE(TRIM(LEFT(Sync!$AE316,FIND("/",Sync!$AE316)-1))),""))))</f>
        <v/>
      </c>
      <c r="H316">
        <f>IF(OR($F316="",$G316=""),"",IF(ISNUMBER(Sync!$AE316),INT(MOD(Sync!$AE316,10000)/100),IFERROR(VALUE(TRIM(LEFT(MID(Sync!$AE316,FIND("/",Sync!$AE316)+1,20),FIND("/",MID(Sync!$AE316,FIND("/",Sync!$AE316)+1,20))-1))),"")))</f>
        <v/>
      </c>
      <c r="I316">
        <f>IF(OR($F316="",$G316=""),"",IF(ISNUMBER(Sync!$AE316),MOD(Sync!$AE316,100),IFERROR(VALUE(TRIM(MID(MID(Sync!$AE316,FIND("/",Sync!$AE316)+1,20),FIND("/",MID(Sync!$AE316,FIND("/",Sync!$AE316)+1,20))+1,20))),"")))</f>
        <v/>
      </c>
      <c r="J316">
        <f>IF($F316="","",IF(OR($G316="",$H316="",$I316="",$G316&lt;1300,$G316&gt;1500,$H316&lt;1,$H316&gt;12,$I316&lt;1,$I316&gt;31),"نامعتبر",RIGHT("0000"&amp;$G316,4)&amp;"/"&amp;RIGHT("00"&amp;$H316,2)&amp;"/"&amp;RIGHT("00"&amp;$I316,2)))</f>
        <v/>
      </c>
      <c r="K316">
        <f>IF(OR($F316="",$J316="",$J316="نامعتبر"),"",LEFT($J316,4)&amp;MID($J316,6,2)&amp;RIGHT($J316,2)&amp;$N316&amp;"|"&amp;"2"&amp;RIGHT("00000"&amp;311,5))</f>
        <v/>
      </c>
      <c r="L316">
        <f>IF($K316="","",COUNTIFS(LdgSellerA,$F316,LdgKeyA,"&lt;"&amp;$K316)+COUNTIFS(LdgSellerB,$F316,LdgKeyB,"&lt;"&amp;$K316)+1)</f>
        <v/>
      </c>
      <c r="M316">
        <f>IF($L316="","",$F316&amp;"|"&amp;RIGHT("000000"&amp;$L316,6))</f>
        <v/>
      </c>
      <c r="N316">
        <f>IF($F316="","",IF(Sync!$AF316="","0000",IF(AND(ISNUMBER(Sync!$AF316),Sync!$AF316&gt;=0,Sync!$AF316&lt;1),RIGHT("00"&amp;HOUR(Sync!$AF316),2)&amp;RIGHT("00"&amp;MINUTE(Sync!$AF316),2),IFERROR(RIGHT("00"&amp;VALUE(LEFT(Sync!$AF316,FIND(":",Sync!$AF316)-1)),2)&amp;RIGHT("00"&amp;VALUE(MID(Sync!$AF316,FIND(":",Sync!$AF316)+1,2)),2),"0000"))))</f>
        <v/>
      </c>
    </row>
    <row r="317">
      <c r="A317">
        <f>IF(OR(Calc!$E321="",Calc!$E321="نامعتبر",Calc!$G321=""),"",Calc!$G321)</f>
        <v/>
      </c>
      <c r="B317">
        <f>IF($A317="","",LEFT(Calc!$E321,4)&amp;MID(Calc!$E321,6,2)&amp;RIGHT(Calc!$E321,2)&amp;Calc!$Q321&amp;"|"&amp;"1"&amp;RIGHT("00000"&amp;312,5))</f>
        <v/>
      </c>
      <c r="C317">
        <f>IF($B317="","",COUNTIFS(LdgSellerA,$A317,LdgKeyA,"&lt;"&amp;$B317)+COUNTIFS(LdgSellerB,$A317,LdgKeyB,"&lt;"&amp;$B317)+1)</f>
        <v/>
      </c>
      <c r="D317">
        <f>IF($C317="","",$A317&amp;"|"&amp;RIGHT("000000"&amp;$C317,6))</f>
        <v/>
      </c>
      <c r="F317">
        <f>IF(Sync!$AH317="","",IF(LEFT(UPPER(TRIM(Sync!$AH317)),2)="SL",UPPER(TRIM(Sync!$AH317)),""))</f>
        <v/>
      </c>
      <c r="G317">
        <f>IF($F317="","",IF(Sync!$AE317="","",IF(ISNUMBER(Sync!$AE317),IF(AND(Sync!$AE317&gt;=10000101,Sync!$AE317&lt;=99991231),INT(Sync!$AE317/10000),""),IFERROR(VALUE(TRIM(LEFT(Sync!$AE317,FIND("/",Sync!$AE317)-1))),""))))</f>
        <v/>
      </c>
      <c r="H317">
        <f>IF(OR($F317="",$G317=""),"",IF(ISNUMBER(Sync!$AE317),INT(MOD(Sync!$AE317,10000)/100),IFERROR(VALUE(TRIM(LEFT(MID(Sync!$AE317,FIND("/",Sync!$AE317)+1,20),FIND("/",MID(Sync!$AE317,FIND("/",Sync!$AE317)+1,20))-1))),"")))</f>
        <v/>
      </c>
      <c r="I317">
        <f>IF(OR($F317="",$G317=""),"",IF(ISNUMBER(Sync!$AE317),MOD(Sync!$AE317,100),IFERROR(VALUE(TRIM(MID(MID(Sync!$AE317,FIND("/",Sync!$AE317)+1,20),FIND("/",MID(Sync!$AE317,FIND("/",Sync!$AE317)+1,20))+1,20))),"")))</f>
        <v/>
      </c>
      <c r="J317">
        <f>IF($F317="","",IF(OR($G317="",$H317="",$I317="",$G317&lt;1300,$G317&gt;1500,$H317&lt;1,$H317&gt;12,$I317&lt;1,$I317&gt;31),"نامعتبر",RIGHT("0000"&amp;$G317,4)&amp;"/"&amp;RIGHT("00"&amp;$H317,2)&amp;"/"&amp;RIGHT("00"&amp;$I317,2)))</f>
        <v/>
      </c>
      <c r="K317">
        <f>IF(OR($F317="",$J317="",$J317="نامعتبر"),"",LEFT($J317,4)&amp;MID($J317,6,2)&amp;RIGHT($J317,2)&amp;$N317&amp;"|"&amp;"2"&amp;RIGHT("00000"&amp;312,5))</f>
        <v/>
      </c>
      <c r="L317">
        <f>IF($K317="","",COUNTIFS(LdgSellerA,$F317,LdgKeyA,"&lt;"&amp;$K317)+COUNTIFS(LdgSellerB,$F317,LdgKeyB,"&lt;"&amp;$K317)+1)</f>
        <v/>
      </c>
      <c r="M317">
        <f>IF($L317="","",$F317&amp;"|"&amp;RIGHT("000000"&amp;$L317,6))</f>
        <v/>
      </c>
      <c r="N317">
        <f>IF($F317="","",IF(Sync!$AF317="","0000",IF(AND(ISNUMBER(Sync!$AF317),Sync!$AF317&gt;=0,Sync!$AF317&lt;1),RIGHT("00"&amp;HOUR(Sync!$AF317),2)&amp;RIGHT("00"&amp;MINUTE(Sync!$AF317),2),IFERROR(RIGHT("00"&amp;VALUE(LEFT(Sync!$AF317,FIND(":",Sync!$AF317)-1)),2)&amp;RIGHT("00"&amp;VALUE(MID(Sync!$AF317,FIND(":",Sync!$AF317)+1,2)),2),"0000"))))</f>
        <v/>
      </c>
    </row>
    <row r="318">
      <c r="A318">
        <f>IF(OR(Calc!$E322="",Calc!$E322="نامعتبر",Calc!$G322=""),"",Calc!$G322)</f>
        <v/>
      </c>
      <c r="B318">
        <f>IF($A318="","",LEFT(Calc!$E322,4)&amp;MID(Calc!$E322,6,2)&amp;RIGHT(Calc!$E322,2)&amp;Calc!$Q322&amp;"|"&amp;"1"&amp;RIGHT("00000"&amp;313,5))</f>
        <v/>
      </c>
      <c r="C318">
        <f>IF($B318="","",COUNTIFS(LdgSellerA,$A318,LdgKeyA,"&lt;"&amp;$B318)+COUNTIFS(LdgSellerB,$A318,LdgKeyB,"&lt;"&amp;$B318)+1)</f>
        <v/>
      </c>
      <c r="D318">
        <f>IF($C318="","",$A318&amp;"|"&amp;RIGHT("000000"&amp;$C318,6))</f>
        <v/>
      </c>
      <c r="F318">
        <f>IF(Sync!$AH318="","",IF(LEFT(UPPER(TRIM(Sync!$AH318)),2)="SL",UPPER(TRIM(Sync!$AH318)),""))</f>
        <v/>
      </c>
      <c r="G318">
        <f>IF($F318="","",IF(Sync!$AE318="","",IF(ISNUMBER(Sync!$AE318),IF(AND(Sync!$AE318&gt;=10000101,Sync!$AE318&lt;=99991231),INT(Sync!$AE318/10000),""),IFERROR(VALUE(TRIM(LEFT(Sync!$AE318,FIND("/",Sync!$AE318)-1))),""))))</f>
        <v/>
      </c>
      <c r="H318">
        <f>IF(OR($F318="",$G318=""),"",IF(ISNUMBER(Sync!$AE318),INT(MOD(Sync!$AE318,10000)/100),IFERROR(VALUE(TRIM(LEFT(MID(Sync!$AE318,FIND("/",Sync!$AE318)+1,20),FIND("/",MID(Sync!$AE318,FIND("/",Sync!$AE318)+1,20))-1))),"")))</f>
        <v/>
      </c>
      <c r="I318">
        <f>IF(OR($F318="",$G318=""),"",IF(ISNUMBER(Sync!$AE318),MOD(Sync!$AE318,100),IFERROR(VALUE(TRIM(MID(MID(Sync!$AE318,FIND("/",Sync!$AE318)+1,20),FIND("/",MID(Sync!$AE318,FIND("/",Sync!$AE318)+1,20))+1,20))),"")))</f>
        <v/>
      </c>
      <c r="J318">
        <f>IF($F318="","",IF(OR($G318="",$H318="",$I318="",$G318&lt;1300,$G318&gt;1500,$H318&lt;1,$H318&gt;12,$I318&lt;1,$I318&gt;31),"نامعتبر",RIGHT("0000"&amp;$G318,4)&amp;"/"&amp;RIGHT("00"&amp;$H318,2)&amp;"/"&amp;RIGHT("00"&amp;$I318,2)))</f>
        <v/>
      </c>
      <c r="K318">
        <f>IF(OR($F318="",$J318="",$J318="نامعتبر"),"",LEFT($J318,4)&amp;MID($J318,6,2)&amp;RIGHT($J318,2)&amp;$N318&amp;"|"&amp;"2"&amp;RIGHT("00000"&amp;313,5))</f>
        <v/>
      </c>
      <c r="L318">
        <f>IF($K318="","",COUNTIFS(LdgSellerA,$F318,LdgKeyA,"&lt;"&amp;$K318)+COUNTIFS(LdgSellerB,$F318,LdgKeyB,"&lt;"&amp;$K318)+1)</f>
        <v/>
      </c>
      <c r="M318">
        <f>IF($L318="","",$F318&amp;"|"&amp;RIGHT("000000"&amp;$L318,6))</f>
        <v/>
      </c>
      <c r="N318">
        <f>IF($F318="","",IF(Sync!$AF318="","0000",IF(AND(ISNUMBER(Sync!$AF318),Sync!$AF318&gt;=0,Sync!$AF318&lt;1),RIGHT("00"&amp;HOUR(Sync!$AF318),2)&amp;RIGHT("00"&amp;MINUTE(Sync!$AF318),2),IFERROR(RIGHT("00"&amp;VALUE(LEFT(Sync!$AF318,FIND(":",Sync!$AF318)-1)),2)&amp;RIGHT("00"&amp;VALUE(MID(Sync!$AF318,FIND(":",Sync!$AF318)+1,2)),2),"0000"))))</f>
        <v/>
      </c>
    </row>
    <row r="319">
      <c r="A319">
        <f>IF(OR(Calc!$E323="",Calc!$E323="نامعتبر",Calc!$G323=""),"",Calc!$G323)</f>
        <v/>
      </c>
      <c r="B319">
        <f>IF($A319="","",LEFT(Calc!$E323,4)&amp;MID(Calc!$E323,6,2)&amp;RIGHT(Calc!$E323,2)&amp;Calc!$Q323&amp;"|"&amp;"1"&amp;RIGHT("00000"&amp;314,5))</f>
        <v/>
      </c>
      <c r="C319">
        <f>IF($B319="","",COUNTIFS(LdgSellerA,$A319,LdgKeyA,"&lt;"&amp;$B319)+COUNTIFS(LdgSellerB,$A319,LdgKeyB,"&lt;"&amp;$B319)+1)</f>
        <v/>
      </c>
      <c r="D319">
        <f>IF($C319="","",$A319&amp;"|"&amp;RIGHT("000000"&amp;$C319,6))</f>
        <v/>
      </c>
      <c r="F319">
        <f>IF(Sync!$AH319="","",IF(LEFT(UPPER(TRIM(Sync!$AH319)),2)="SL",UPPER(TRIM(Sync!$AH319)),""))</f>
        <v/>
      </c>
      <c r="G319">
        <f>IF($F319="","",IF(Sync!$AE319="","",IF(ISNUMBER(Sync!$AE319),IF(AND(Sync!$AE319&gt;=10000101,Sync!$AE319&lt;=99991231),INT(Sync!$AE319/10000),""),IFERROR(VALUE(TRIM(LEFT(Sync!$AE319,FIND("/",Sync!$AE319)-1))),""))))</f>
        <v/>
      </c>
      <c r="H319">
        <f>IF(OR($F319="",$G319=""),"",IF(ISNUMBER(Sync!$AE319),INT(MOD(Sync!$AE319,10000)/100),IFERROR(VALUE(TRIM(LEFT(MID(Sync!$AE319,FIND("/",Sync!$AE319)+1,20),FIND("/",MID(Sync!$AE319,FIND("/",Sync!$AE319)+1,20))-1))),"")))</f>
        <v/>
      </c>
      <c r="I319">
        <f>IF(OR($F319="",$G319=""),"",IF(ISNUMBER(Sync!$AE319),MOD(Sync!$AE319,100),IFERROR(VALUE(TRIM(MID(MID(Sync!$AE319,FIND("/",Sync!$AE319)+1,20),FIND("/",MID(Sync!$AE319,FIND("/",Sync!$AE319)+1,20))+1,20))),"")))</f>
        <v/>
      </c>
      <c r="J319">
        <f>IF($F319="","",IF(OR($G319="",$H319="",$I319="",$G319&lt;1300,$G319&gt;1500,$H319&lt;1,$H319&gt;12,$I319&lt;1,$I319&gt;31),"نامعتبر",RIGHT("0000"&amp;$G319,4)&amp;"/"&amp;RIGHT("00"&amp;$H319,2)&amp;"/"&amp;RIGHT("00"&amp;$I319,2)))</f>
        <v/>
      </c>
      <c r="K319">
        <f>IF(OR($F319="",$J319="",$J319="نامعتبر"),"",LEFT($J319,4)&amp;MID($J319,6,2)&amp;RIGHT($J319,2)&amp;$N319&amp;"|"&amp;"2"&amp;RIGHT("00000"&amp;314,5))</f>
        <v/>
      </c>
      <c r="L319">
        <f>IF($K319="","",COUNTIFS(LdgSellerA,$F319,LdgKeyA,"&lt;"&amp;$K319)+COUNTIFS(LdgSellerB,$F319,LdgKeyB,"&lt;"&amp;$K319)+1)</f>
        <v/>
      </c>
      <c r="M319">
        <f>IF($L319="","",$F319&amp;"|"&amp;RIGHT("000000"&amp;$L319,6))</f>
        <v/>
      </c>
      <c r="N319">
        <f>IF($F319="","",IF(Sync!$AF319="","0000",IF(AND(ISNUMBER(Sync!$AF319),Sync!$AF319&gt;=0,Sync!$AF319&lt;1),RIGHT("00"&amp;HOUR(Sync!$AF319),2)&amp;RIGHT("00"&amp;MINUTE(Sync!$AF319),2),IFERROR(RIGHT("00"&amp;VALUE(LEFT(Sync!$AF319,FIND(":",Sync!$AF319)-1)),2)&amp;RIGHT("00"&amp;VALUE(MID(Sync!$AF319,FIND(":",Sync!$AF319)+1,2)),2),"0000"))))</f>
        <v/>
      </c>
    </row>
    <row r="320">
      <c r="A320">
        <f>IF(OR(Calc!$E324="",Calc!$E324="نامعتبر",Calc!$G324=""),"",Calc!$G324)</f>
        <v/>
      </c>
      <c r="B320">
        <f>IF($A320="","",LEFT(Calc!$E324,4)&amp;MID(Calc!$E324,6,2)&amp;RIGHT(Calc!$E324,2)&amp;Calc!$Q324&amp;"|"&amp;"1"&amp;RIGHT("00000"&amp;315,5))</f>
        <v/>
      </c>
      <c r="C320">
        <f>IF($B320="","",COUNTIFS(LdgSellerA,$A320,LdgKeyA,"&lt;"&amp;$B320)+COUNTIFS(LdgSellerB,$A320,LdgKeyB,"&lt;"&amp;$B320)+1)</f>
        <v/>
      </c>
      <c r="D320">
        <f>IF($C320="","",$A320&amp;"|"&amp;RIGHT("000000"&amp;$C320,6))</f>
        <v/>
      </c>
      <c r="F320">
        <f>IF(Sync!$AH320="","",IF(LEFT(UPPER(TRIM(Sync!$AH320)),2)="SL",UPPER(TRIM(Sync!$AH320)),""))</f>
        <v/>
      </c>
      <c r="G320">
        <f>IF($F320="","",IF(Sync!$AE320="","",IF(ISNUMBER(Sync!$AE320),IF(AND(Sync!$AE320&gt;=10000101,Sync!$AE320&lt;=99991231),INT(Sync!$AE320/10000),""),IFERROR(VALUE(TRIM(LEFT(Sync!$AE320,FIND("/",Sync!$AE320)-1))),""))))</f>
        <v/>
      </c>
      <c r="H320">
        <f>IF(OR($F320="",$G320=""),"",IF(ISNUMBER(Sync!$AE320),INT(MOD(Sync!$AE320,10000)/100),IFERROR(VALUE(TRIM(LEFT(MID(Sync!$AE320,FIND("/",Sync!$AE320)+1,20),FIND("/",MID(Sync!$AE320,FIND("/",Sync!$AE320)+1,20))-1))),"")))</f>
        <v/>
      </c>
      <c r="I320">
        <f>IF(OR($F320="",$G320=""),"",IF(ISNUMBER(Sync!$AE320),MOD(Sync!$AE320,100),IFERROR(VALUE(TRIM(MID(MID(Sync!$AE320,FIND("/",Sync!$AE320)+1,20),FIND("/",MID(Sync!$AE320,FIND("/",Sync!$AE320)+1,20))+1,20))),"")))</f>
        <v/>
      </c>
      <c r="J320">
        <f>IF($F320="","",IF(OR($G320="",$H320="",$I320="",$G320&lt;1300,$G320&gt;1500,$H320&lt;1,$H320&gt;12,$I320&lt;1,$I320&gt;31),"نامعتبر",RIGHT("0000"&amp;$G320,4)&amp;"/"&amp;RIGHT("00"&amp;$H320,2)&amp;"/"&amp;RIGHT("00"&amp;$I320,2)))</f>
        <v/>
      </c>
      <c r="K320">
        <f>IF(OR($F320="",$J320="",$J320="نامعتبر"),"",LEFT($J320,4)&amp;MID($J320,6,2)&amp;RIGHT($J320,2)&amp;$N320&amp;"|"&amp;"2"&amp;RIGHT("00000"&amp;315,5))</f>
        <v/>
      </c>
      <c r="L320">
        <f>IF($K320="","",COUNTIFS(LdgSellerA,$F320,LdgKeyA,"&lt;"&amp;$K320)+COUNTIFS(LdgSellerB,$F320,LdgKeyB,"&lt;"&amp;$K320)+1)</f>
        <v/>
      </c>
      <c r="M320">
        <f>IF($L320="","",$F320&amp;"|"&amp;RIGHT("000000"&amp;$L320,6))</f>
        <v/>
      </c>
      <c r="N320">
        <f>IF($F320="","",IF(Sync!$AF320="","0000",IF(AND(ISNUMBER(Sync!$AF320),Sync!$AF320&gt;=0,Sync!$AF320&lt;1),RIGHT("00"&amp;HOUR(Sync!$AF320),2)&amp;RIGHT("00"&amp;MINUTE(Sync!$AF320),2),IFERROR(RIGHT("00"&amp;VALUE(LEFT(Sync!$AF320,FIND(":",Sync!$AF320)-1)),2)&amp;RIGHT("00"&amp;VALUE(MID(Sync!$AF320,FIND(":",Sync!$AF320)+1,2)),2),"0000"))))</f>
        <v/>
      </c>
    </row>
    <row r="321">
      <c r="A321">
        <f>IF(OR(Calc!$E325="",Calc!$E325="نامعتبر",Calc!$G325=""),"",Calc!$G325)</f>
        <v/>
      </c>
      <c r="B321">
        <f>IF($A321="","",LEFT(Calc!$E325,4)&amp;MID(Calc!$E325,6,2)&amp;RIGHT(Calc!$E325,2)&amp;Calc!$Q325&amp;"|"&amp;"1"&amp;RIGHT("00000"&amp;316,5))</f>
        <v/>
      </c>
      <c r="C321">
        <f>IF($B321="","",COUNTIFS(LdgSellerA,$A321,LdgKeyA,"&lt;"&amp;$B321)+COUNTIFS(LdgSellerB,$A321,LdgKeyB,"&lt;"&amp;$B321)+1)</f>
        <v/>
      </c>
      <c r="D321">
        <f>IF($C321="","",$A321&amp;"|"&amp;RIGHT("000000"&amp;$C321,6))</f>
        <v/>
      </c>
      <c r="F321">
        <f>IF(Sync!$AH321="","",IF(LEFT(UPPER(TRIM(Sync!$AH321)),2)="SL",UPPER(TRIM(Sync!$AH321)),""))</f>
        <v/>
      </c>
      <c r="G321">
        <f>IF($F321="","",IF(Sync!$AE321="","",IF(ISNUMBER(Sync!$AE321),IF(AND(Sync!$AE321&gt;=10000101,Sync!$AE321&lt;=99991231),INT(Sync!$AE321/10000),""),IFERROR(VALUE(TRIM(LEFT(Sync!$AE321,FIND("/",Sync!$AE321)-1))),""))))</f>
        <v/>
      </c>
      <c r="H321">
        <f>IF(OR($F321="",$G321=""),"",IF(ISNUMBER(Sync!$AE321),INT(MOD(Sync!$AE321,10000)/100),IFERROR(VALUE(TRIM(LEFT(MID(Sync!$AE321,FIND("/",Sync!$AE321)+1,20),FIND("/",MID(Sync!$AE321,FIND("/",Sync!$AE321)+1,20))-1))),"")))</f>
        <v/>
      </c>
      <c r="I321">
        <f>IF(OR($F321="",$G321=""),"",IF(ISNUMBER(Sync!$AE321),MOD(Sync!$AE321,100),IFERROR(VALUE(TRIM(MID(MID(Sync!$AE321,FIND("/",Sync!$AE321)+1,20),FIND("/",MID(Sync!$AE321,FIND("/",Sync!$AE321)+1,20))+1,20))),"")))</f>
        <v/>
      </c>
      <c r="J321">
        <f>IF($F321="","",IF(OR($G321="",$H321="",$I321="",$G321&lt;1300,$G321&gt;1500,$H321&lt;1,$H321&gt;12,$I321&lt;1,$I321&gt;31),"نامعتبر",RIGHT("0000"&amp;$G321,4)&amp;"/"&amp;RIGHT("00"&amp;$H321,2)&amp;"/"&amp;RIGHT("00"&amp;$I321,2)))</f>
        <v/>
      </c>
      <c r="K321">
        <f>IF(OR($F321="",$J321="",$J321="نامعتبر"),"",LEFT($J321,4)&amp;MID($J321,6,2)&amp;RIGHT($J321,2)&amp;$N321&amp;"|"&amp;"2"&amp;RIGHT("00000"&amp;316,5))</f>
        <v/>
      </c>
      <c r="L321">
        <f>IF($K321="","",COUNTIFS(LdgSellerA,$F321,LdgKeyA,"&lt;"&amp;$K321)+COUNTIFS(LdgSellerB,$F321,LdgKeyB,"&lt;"&amp;$K321)+1)</f>
        <v/>
      </c>
      <c r="M321">
        <f>IF($L321="","",$F321&amp;"|"&amp;RIGHT("000000"&amp;$L321,6))</f>
        <v/>
      </c>
      <c r="N321">
        <f>IF($F321="","",IF(Sync!$AF321="","0000",IF(AND(ISNUMBER(Sync!$AF321),Sync!$AF321&gt;=0,Sync!$AF321&lt;1),RIGHT("00"&amp;HOUR(Sync!$AF321),2)&amp;RIGHT("00"&amp;MINUTE(Sync!$AF321),2),IFERROR(RIGHT("00"&amp;VALUE(LEFT(Sync!$AF321,FIND(":",Sync!$AF321)-1)),2)&amp;RIGHT("00"&amp;VALUE(MID(Sync!$AF321,FIND(":",Sync!$AF321)+1,2)),2),"0000"))))</f>
        <v/>
      </c>
    </row>
    <row r="322">
      <c r="A322">
        <f>IF(OR(Calc!$E326="",Calc!$E326="نامعتبر",Calc!$G326=""),"",Calc!$G326)</f>
        <v/>
      </c>
      <c r="B322">
        <f>IF($A322="","",LEFT(Calc!$E326,4)&amp;MID(Calc!$E326,6,2)&amp;RIGHT(Calc!$E326,2)&amp;Calc!$Q326&amp;"|"&amp;"1"&amp;RIGHT("00000"&amp;317,5))</f>
        <v/>
      </c>
      <c r="C322">
        <f>IF($B322="","",COUNTIFS(LdgSellerA,$A322,LdgKeyA,"&lt;"&amp;$B322)+COUNTIFS(LdgSellerB,$A322,LdgKeyB,"&lt;"&amp;$B322)+1)</f>
        <v/>
      </c>
      <c r="D322">
        <f>IF($C322="","",$A322&amp;"|"&amp;RIGHT("000000"&amp;$C322,6))</f>
        <v/>
      </c>
      <c r="F322">
        <f>IF(Sync!$AH322="","",IF(LEFT(UPPER(TRIM(Sync!$AH322)),2)="SL",UPPER(TRIM(Sync!$AH322)),""))</f>
        <v/>
      </c>
      <c r="G322">
        <f>IF($F322="","",IF(Sync!$AE322="","",IF(ISNUMBER(Sync!$AE322),IF(AND(Sync!$AE322&gt;=10000101,Sync!$AE322&lt;=99991231),INT(Sync!$AE322/10000),""),IFERROR(VALUE(TRIM(LEFT(Sync!$AE322,FIND("/",Sync!$AE322)-1))),""))))</f>
        <v/>
      </c>
      <c r="H322">
        <f>IF(OR($F322="",$G322=""),"",IF(ISNUMBER(Sync!$AE322),INT(MOD(Sync!$AE322,10000)/100),IFERROR(VALUE(TRIM(LEFT(MID(Sync!$AE322,FIND("/",Sync!$AE322)+1,20),FIND("/",MID(Sync!$AE322,FIND("/",Sync!$AE322)+1,20))-1))),"")))</f>
        <v/>
      </c>
      <c r="I322">
        <f>IF(OR($F322="",$G322=""),"",IF(ISNUMBER(Sync!$AE322),MOD(Sync!$AE322,100),IFERROR(VALUE(TRIM(MID(MID(Sync!$AE322,FIND("/",Sync!$AE322)+1,20),FIND("/",MID(Sync!$AE322,FIND("/",Sync!$AE322)+1,20))+1,20))),"")))</f>
        <v/>
      </c>
      <c r="J322">
        <f>IF($F322="","",IF(OR($G322="",$H322="",$I322="",$G322&lt;1300,$G322&gt;1500,$H322&lt;1,$H322&gt;12,$I322&lt;1,$I322&gt;31),"نامعتبر",RIGHT("0000"&amp;$G322,4)&amp;"/"&amp;RIGHT("00"&amp;$H322,2)&amp;"/"&amp;RIGHT("00"&amp;$I322,2)))</f>
        <v/>
      </c>
      <c r="K322">
        <f>IF(OR($F322="",$J322="",$J322="نامعتبر"),"",LEFT($J322,4)&amp;MID($J322,6,2)&amp;RIGHT($J322,2)&amp;$N322&amp;"|"&amp;"2"&amp;RIGHT("00000"&amp;317,5))</f>
        <v/>
      </c>
      <c r="L322">
        <f>IF($K322="","",COUNTIFS(LdgSellerA,$F322,LdgKeyA,"&lt;"&amp;$K322)+COUNTIFS(LdgSellerB,$F322,LdgKeyB,"&lt;"&amp;$K322)+1)</f>
        <v/>
      </c>
      <c r="M322">
        <f>IF($L322="","",$F322&amp;"|"&amp;RIGHT("000000"&amp;$L322,6))</f>
        <v/>
      </c>
      <c r="N322">
        <f>IF($F322="","",IF(Sync!$AF322="","0000",IF(AND(ISNUMBER(Sync!$AF322),Sync!$AF322&gt;=0,Sync!$AF322&lt;1),RIGHT("00"&amp;HOUR(Sync!$AF322),2)&amp;RIGHT("00"&amp;MINUTE(Sync!$AF322),2),IFERROR(RIGHT("00"&amp;VALUE(LEFT(Sync!$AF322,FIND(":",Sync!$AF322)-1)),2)&amp;RIGHT("00"&amp;VALUE(MID(Sync!$AF322,FIND(":",Sync!$AF322)+1,2)),2),"0000"))))</f>
        <v/>
      </c>
    </row>
    <row r="323">
      <c r="A323">
        <f>IF(OR(Calc!$E327="",Calc!$E327="نامعتبر",Calc!$G327=""),"",Calc!$G327)</f>
        <v/>
      </c>
      <c r="B323">
        <f>IF($A323="","",LEFT(Calc!$E327,4)&amp;MID(Calc!$E327,6,2)&amp;RIGHT(Calc!$E327,2)&amp;Calc!$Q327&amp;"|"&amp;"1"&amp;RIGHT("00000"&amp;318,5))</f>
        <v/>
      </c>
      <c r="C323">
        <f>IF($B323="","",COUNTIFS(LdgSellerA,$A323,LdgKeyA,"&lt;"&amp;$B323)+COUNTIFS(LdgSellerB,$A323,LdgKeyB,"&lt;"&amp;$B323)+1)</f>
        <v/>
      </c>
      <c r="D323">
        <f>IF($C323="","",$A323&amp;"|"&amp;RIGHT("000000"&amp;$C323,6))</f>
        <v/>
      </c>
      <c r="F323">
        <f>IF(Sync!$AH323="","",IF(LEFT(UPPER(TRIM(Sync!$AH323)),2)="SL",UPPER(TRIM(Sync!$AH323)),""))</f>
        <v/>
      </c>
      <c r="G323">
        <f>IF($F323="","",IF(Sync!$AE323="","",IF(ISNUMBER(Sync!$AE323),IF(AND(Sync!$AE323&gt;=10000101,Sync!$AE323&lt;=99991231),INT(Sync!$AE323/10000),""),IFERROR(VALUE(TRIM(LEFT(Sync!$AE323,FIND("/",Sync!$AE323)-1))),""))))</f>
        <v/>
      </c>
      <c r="H323">
        <f>IF(OR($F323="",$G323=""),"",IF(ISNUMBER(Sync!$AE323),INT(MOD(Sync!$AE323,10000)/100),IFERROR(VALUE(TRIM(LEFT(MID(Sync!$AE323,FIND("/",Sync!$AE323)+1,20),FIND("/",MID(Sync!$AE323,FIND("/",Sync!$AE323)+1,20))-1))),"")))</f>
        <v/>
      </c>
      <c r="I323">
        <f>IF(OR($F323="",$G323=""),"",IF(ISNUMBER(Sync!$AE323),MOD(Sync!$AE323,100),IFERROR(VALUE(TRIM(MID(MID(Sync!$AE323,FIND("/",Sync!$AE323)+1,20),FIND("/",MID(Sync!$AE323,FIND("/",Sync!$AE323)+1,20))+1,20))),"")))</f>
        <v/>
      </c>
      <c r="J323">
        <f>IF($F323="","",IF(OR($G323="",$H323="",$I323="",$G323&lt;1300,$G323&gt;1500,$H323&lt;1,$H323&gt;12,$I323&lt;1,$I323&gt;31),"نامعتبر",RIGHT("0000"&amp;$G323,4)&amp;"/"&amp;RIGHT("00"&amp;$H323,2)&amp;"/"&amp;RIGHT("00"&amp;$I323,2)))</f>
        <v/>
      </c>
      <c r="K323">
        <f>IF(OR($F323="",$J323="",$J323="نامعتبر"),"",LEFT($J323,4)&amp;MID($J323,6,2)&amp;RIGHT($J323,2)&amp;$N323&amp;"|"&amp;"2"&amp;RIGHT("00000"&amp;318,5))</f>
        <v/>
      </c>
      <c r="L323">
        <f>IF($K323="","",COUNTIFS(LdgSellerA,$F323,LdgKeyA,"&lt;"&amp;$K323)+COUNTIFS(LdgSellerB,$F323,LdgKeyB,"&lt;"&amp;$K323)+1)</f>
        <v/>
      </c>
      <c r="M323">
        <f>IF($L323="","",$F323&amp;"|"&amp;RIGHT("000000"&amp;$L323,6))</f>
        <v/>
      </c>
      <c r="N323">
        <f>IF($F323="","",IF(Sync!$AF323="","0000",IF(AND(ISNUMBER(Sync!$AF323),Sync!$AF323&gt;=0,Sync!$AF323&lt;1),RIGHT("00"&amp;HOUR(Sync!$AF323),2)&amp;RIGHT("00"&amp;MINUTE(Sync!$AF323),2),IFERROR(RIGHT("00"&amp;VALUE(LEFT(Sync!$AF323,FIND(":",Sync!$AF323)-1)),2)&amp;RIGHT("00"&amp;VALUE(MID(Sync!$AF323,FIND(":",Sync!$AF323)+1,2)),2),"0000"))))</f>
        <v/>
      </c>
    </row>
    <row r="324">
      <c r="A324">
        <f>IF(OR(Calc!$E328="",Calc!$E328="نامعتبر",Calc!$G328=""),"",Calc!$G328)</f>
        <v/>
      </c>
      <c r="B324">
        <f>IF($A324="","",LEFT(Calc!$E328,4)&amp;MID(Calc!$E328,6,2)&amp;RIGHT(Calc!$E328,2)&amp;Calc!$Q328&amp;"|"&amp;"1"&amp;RIGHT("00000"&amp;319,5))</f>
        <v/>
      </c>
      <c r="C324">
        <f>IF($B324="","",COUNTIFS(LdgSellerA,$A324,LdgKeyA,"&lt;"&amp;$B324)+COUNTIFS(LdgSellerB,$A324,LdgKeyB,"&lt;"&amp;$B324)+1)</f>
        <v/>
      </c>
      <c r="D324">
        <f>IF($C324="","",$A324&amp;"|"&amp;RIGHT("000000"&amp;$C324,6))</f>
        <v/>
      </c>
      <c r="F324">
        <f>IF(Sync!$AH324="","",IF(LEFT(UPPER(TRIM(Sync!$AH324)),2)="SL",UPPER(TRIM(Sync!$AH324)),""))</f>
        <v/>
      </c>
      <c r="G324">
        <f>IF($F324="","",IF(Sync!$AE324="","",IF(ISNUMBER(Sync!$AE324),IF(AND(Sync!$AE324&gt;=10000101,Sync!$AE324&lt;=99991231),INT(Sync!$AE324/10000),""),IFERROR(VALUE(TRIM(LEFT(Sync!$AE324,FIND("/",Sync!$AE324)-1))),""))))</f>
        <v/>
      </c>
      <c r="H324">
        <f>IF(OR($F324="",$G324=""),"",IF(ISNUMBER(Sync!$AE324),INT(MOD(Sync!$AE324,10000)/100),IFERROR(VALUE(TRIM(LEFT(MID(Sync!$AE324,FIND("/",Sync!$AE324)+1,20),FIND("/",MID(Sync!$AE324,FIND("/",Sync!$AE324)+1,20))-1))),"")))</f>
        <v/>
      </c>
      <c r="I324">
        <f>IF(OR($F324="",$G324=""),"",IF(ISNUMBER(Sync!$AE324),MOD(Sync!$AE324,100),IFERROR(VALUE(TRIM(MID(MID(Sync!$AE324,FIND("/",Sync!$AE324)+1,20),FIND("/",MID(Sync!$AE324,FIND("/",Sync!$AE324)+1,20))+1,20))),"")))</f>
        <v/>
      </c>
      <c r="J324">
        <f>IF($F324="","",IF(OR($G324="",$H324="",$I324="",$G324&lt;1300,$G324&gt;1500,$H324&lt;1,$H324&gt;12,$I324&lt;1,$I324&gt;31),"نامعتبر",RIGHT("0000"&amp;$G324,4)&amp;"/"&amp;RIGHT("00"&amp;$H324,2)&amp;"/"&amp;RIGHT("00"&amp;$I324,2)))</f>
        <v/>
      </c>
      <c r="K324">
        <f>IF(OR($F324="",$J324="",$J324="نامعتبر"),"",LEFT($J324,4)&amp;MID($J324,6,2)&amp;RIGHT($J324,2)&amp;$N324&amp;"|"&amp;"2"&amp;RIGHT("00000"&amp;319,5))</f>
        <v/>
      </c>
      <c r="L324">
        <f>IF($K324="","",COUNTIFS(LdgSellerA,$F324,LdgKeyA,"&lt;"&amp;$K324)+COUNTIFS(LdgSellerB,$F324,LdgKeyB,"&lt;"&amp;$K324)+1)</f>
        <v/>
      </c>
      <c r="M324">
        <f>IF($L324="","",$F324&amp;"|"&amp;RIGHT("000000"&amp;$L324,6))</f>
        <v/>
      </c>
      <c r="N324">
        <f>IF($F324="","",IF(Sync!$AF324="","0000",IF(AND(ISNUMBER(Sync!$AF324),Sync!$AF324&gt;=0,Sync!$AF324&lt;1),RIGHT("00"&amp;HOUR(Sync!$AF324),2)&amp;RIGHT("00"&amp;MINUTE(Sync!$AF324),2),IFERROR(RIGHT("00"&amp;VALUE(LEFT(Sync!$AF324,FIND(":",Sync!$AF324)-1)),2)&amp;RIGHT("00"&amp;VALUE(MID(Sync!$AF324,FIND(":",Sync!$AF324)+1,2)),2),"0000"))))</f>
        <v/>
      </c>
    </row>
    <row r="325">
      <c r="A325">
        <f>IF(OR(Calc!$E329="",Calc!$E329="نامعتبر",Calc!$G329=""),"",Calc!$G329)</f>
        <v/>
      </c>
      <c r="B325">
        <f>IF($A325="","",LEFT(Calc!$E329,4)&amp;MID(Calc!$E329,6,2)&amp;RIGHT(Calc!$E329,2)&amp;Calc!$Q329&amp;"|"&amp;"1"&amp;RIGHT("00000"&amp;320,5))</f>
        <v/>
      </c>
      <c r="C325">
        <f>IF($B325="","",COUNTIFS(LdgSellerA,$A325,LdgKeyA,"&lt;"&amp;$B325)+COUNTIFS(LdgSellerB,$A325,LdgKeyB,"&lt;"&amp;$B325)+1)</f>
        <v/>
      </c>
      <c r="D325">
        <f>IF($C325="","",$A325&amp;"|"&amp;RIGHT("000000"&amp;$C325,6))</f>
        <v/>
      </c>
      <c r="F325">
        <f>IF(Sync!$AH325="","",IF(LEFT(UPPER(TRIM(Sync!$AH325)),2)="SL",UPPER(TRIM(Sync!$AH325)),""))</f>
        <v/>
      </c>
      <c r="G325">
        <f>IF($F325="","",IF(Sync!$AE325="","",IF(ISNUMBER(Sync!$AE325),IF(AND(Sync!$AE325&gt;=10000101,Sync!$AE325&lt;=99991231),INT(Sync!$AE325/10000),""),IFERROR(VALUE(TRIM(LEFT(Sync!$AE325,FIND("/",Sync!$AE325)-1))),""))))</f>
        <v/>
      </c>
      <c r="H325">
        <f>IF(OR($F325="",$G325=""),"",IF(ISNUMBER(Sync!$AE325),INT(MOD(Sync!$AE325,10000)/100),IFERROR(VALUE(TRIM(LEFT(MID(Sync!$AE325,FIND("/",Sync!$AE325)+1,20),FIND("/",MID(Sync!$AE325,FIND("/",Sync!$AE325)+1,20))-1))),"")))</f>
        <v/>
      </c>
      <c r="I325">
        <f>IF(OR($F325="",$G325=""),"",IF(ISNUMBER(Sync!$AE325),MOD(Sync!$AE325,100),IFERROR(VALUE(TRIM(MID(MID(Sync!$AE325,FIND("/",Sync!$AE325)+1,20),FIND("/",MID(Sync!$AE325,FIND("/",Sync!$AE325)+1,20))+1,20))),"")))</f>
        <v/>
      </c>
      <c r="J325">
        <f>IF($F325="","",IF(OR($G325="",$H325="",$I325="",$G325&lt;1300,$G325&gt;1500,$H325&lt;1,$H325&gt;12,$I325&lt;1,$I325&gt;31),"نامعتبر",RIGHT("0000"&amp;$G325,4)&amp;"/"&amp;RIGHT("00"&amp;$H325,2)&amp;"/"&amp;RIGHT("00"&amp;$I325,2)))</f>
        <v/>
      </c>
      <c r="K325">
        <f>IF(OR($F325="",$J325="",$J325="نامعتبر"),"",LEFT($J325,4)&amp;MID($J325,6,2)&amp;RIGHT($J325,2)&amp;$N325&amp;"|"&amp;"2"&amp;RIGHT("00000"&amp;320,5))</f>
        <v/>
      </c>
      <c r="L325">
        <f>IF($K325="","",COUNTIFS(LdgSellerA,$F325,LdgKeyA,"&lt;"&amp;$K325)+COUNTIFS(LdgSellerB,$F325,LdgKeyB,"&lt;"&amp;$K325)+1)</f>
        <v/>
      </c>
      <c r="M325">
        <f>IF($L325="","",$F325&amp;"|"&amp;RIGHT("000000"&amp;$L325,6))</f>
        <v/>
      </c>
      <c r="N325">
        <f>IF($F325="","",IF(Sync!$AF325="","0000",IF(AND(ISNUMBER(Sync!$AF325),Sync!$AF325&gt;=0,Sync!$AF325&lt;1),RIGHT("00"&amp;HOUR(Sync!$AF325),2)&amp;RIGHT("00"&amp;MINUTE(Sync!$AF325),2),IFERROR(RIGHT("00"&amp;VALUE(LEFT(Sync!$AF325,FIND(":",Sync!$AF325)-1)),2)&amp;RIGHT("00"&amp;VALUE(MID(Sync!$AF325,FIND(":",Sync!$AF325)+1,2)),2),"0000"))))</f>
        <v/>
      </c>
    </row>
    <row r="326">
      <c r="A326">
        <f>IF(OR(Calc!$E330="",Calc!$E330="نامعتبر",Calc!$G330=""),"",Calc!$G330)</f>
        <v/>
      </c>
      <c r="B326">
        <f>IF($A326="","",LEFT(Calc!$E330,4)&amp;MID(Calc!$E330,6,2)&amp;RIGHT(Calc!$E330,2)&amp;Calc!$Q330&amp;"|"&amp;"1"&amp;RIGHT("00000"&amp;321,5))</f>
        <v/>
      </c>
      <c r="C326">
        <f>IF($B326="","",COUNTIFS(LdgSellerA,$A326,LdgKeyA,"&lt;"&amp;$B326)+COUNTIFS(LdgSellerB,$A326,LdgKeyB,"&lt;"&amp;$B326)+1)</f>
        <v/>
      </c>
      <c r="D326">
        <f>IF($C326="","",$A326&amp;"|"&amp;RIGHT("000000"&amp;$C326,6))</f>
        <v/>
      </c>
      <c r="F326">
        <f>IF(Sync!$AH326="","",IF(LEFT(UPPER(TRIM(Sync!$AH326)),2)="SL",UPPER(TRIM(Sync!$AH326)),""))</f>
        <v/>
      </c>
      <c r="G326">
        <f>IF($F326="","",IF(Sync!$AE326="","",IF(ISNUMBER(Sync!$AE326),IF(AND(Sync!$AE326&gt;=10000101,Sync!$AE326&lt;=99991231),INT(Sync!$AE326/10000),""),IFERROR(VALUE(TRIM(LEFT(Sync!$AE326,FIND("/",Sync!$AE326)-1))),""))))</f>
        <v/>
      </c>
      <c r="H326">
        <f>IF(OR($F326="",$G326=""),"",IF(ISNUMBER(Sync!$AE326),INT(MOD(Sync!$AE326,10000)/100),IFERROR(VALUE(TRIM(LEFT(MID(Sync!$AE326,FIND("/",Sync!$AE326)+1,20),FIND("/",MID(Sync!$AE326,FIND("/",Sync!$AE326)+1,20))-1))),"")))</f>
        <v/>
      </c>
      <c r="I326">
        <f>IF(OR($F326="",$G326=""),"",IF(ISNUMBER(Sync!$AE326),MOD(Sync!$AE326,100),IFERROR(VALUE(TRIM(MID(MID(Sync!$AE326,FIND("/",Sync!$AE326)+1,20),FIND("/",MID(Sync!$AE326,FIND("/",Sync!$AE326)+1,20))+1,20))),"")))</f>
        <v/>
      </c>
      <c r="J326">
        <f>IF($F326="","",IF(OR($G326="",$H326="",$I326="",$G326&lt;1300,$G326&gt;1500,$H326&lt;1,$H326&gt;12,$I326&lt;1,$I326&gt;31),"نامعتبر",RIGHT("0000"&amp;$G326,4)&amp;"/"&amp;RIGHT("00"&amp;$H326,2)&amp;"/"&amp;RIGHT("00"&amp;$I326,2)))</f>
        <v/>
      </c>
      <c r="K326">
        <f>IF(OR($F326="",$J326="",$J326="نامعتبر"),"",LEFT($J326,4)&amp;MID($J326,6,2)&amp;RIGHT($J326,2)&amp;$N326&amp;"|"&amp;"2"&amp;RIGHT("00000"&amp;321,5))</f>
        <v/>
      </c>
      <c r="L326">
        <f>IF($K326="","",COUNTIFS(LdgSellerA,$F326,LdgKeyA,"&lt;"&amp;$K326)+COUNTIFS(LdgSellerB,$F326,LdgKeyB,"&lt;"&amp;$K326)+1)</f>
        <v/>
      </c>
      <c r="M326">
        <f>IF($L326="","",$F326&amp;"|"&amp;RIGHT("000000"&amp;$L326,6))</f>
        <v/>
      </c>
      <c r="N326">
        <f>IF($F326="","",IF(Sync!$AF326="","0000",IF(AND(ISNUMBER(Sync!$AF326),Sync!$AF326&gt;=0,Sync!$AF326&lt;1),RIGHT("00"&amp;HOUR(Sync!$AF326),2)&amp;RIGHT("00"&amp;MINUTE(Sync!$AF326),2),IFERROR(RIGHT("00"&amp;VALUE(LEFT(Sync!$AF326,FIND(":",Sync!$AF326)-1)),2)&amp;RIGHT("00"&amp;VALUE(MID(Sync!$AF326,FIND(":",Sync!$AF326)+1,2)),2),"0000"))))</f>
        <v/>
      </c>
    </row>
    <row r="327">
      <c r="A327">
        <f>IF(OR(Calc!$E331="",Calc!$E331="نامعتبر",Calc!$G331=""),"",Calc!$G331)</f>
        <v/>
      </c>
      <c r="B327">
        <f>IF($A327="","",LEFT(Calc!$E331,4)&amp;MID(Calc!$E331,6,2)&amp;RIGHT(Calc!$E331,2)&amp;Calc!$Q331&amp;"|"&amp;"1"&amp;RIGHT("00000"&amp;322,5))</f>
        <v/>
      </c>
      <c r="C327">
        <f>IF($B327="","",COUNTIFS(LdgSellerA,$A327,LdgKeyA,"&lt;"&amp;$B327)+COUNTIFS(LdgSellerB,$A327,LdgKeyB,"&lt;"&amp;$B327)+1)</f>
        <v/>
      </c>
      <c r="D327">
        <f>IF($C327="","",$A327&amp;"|"&amp;RIGHT("000000"&amp;$C327,6))</f>
        <v/>
      </c>
      <c r="F327">
        <f>IF(Sync!$AH327="","",IF(LEFT(UPPER(TRIM(Sync!$AH327)),2)="SL",UPPER(TRIM(Sync!$AH327)),""))</f>
        <v/>
      </c>
      <c r="G327">
        <f>IF($F327="","",IF(Sync!$AE327="","",IF(ISNUMBER(Sync!$AE327),IF(AND(Sync!$AE327&gt;=10000101,Sync!$AE327&lt;=99991231),INT(Sync!$AE327/10000),""),IFERROR(VALUE(TRIM(LEFT(Sync!$AE327,FIND("/",Sync!$AE327)-1))),""))))</f>
        <v/>
      </c>
      <c r="H327">
        <f>IF(OR($F327="",$G327=""),"",IF(ISNUMBER(Sync!$AE327),INT(MOD(Sync!$AE327,10000)/100),IFERROR(VALUE(TRIM(LEFT(MID(Sync!$AE327,FIND("/",Sync!$AE327)+1,20),FIND("/",MID(Sync!$AE327,FIND("/",Sync!$AE327)+1,20))-1))),"")))</f>
        <v/>
      </c>
      <c r="I327">
        <f>IF(OR($F327="",$G327=""),"",IF(ISNUMBER(Sync!$AE327),MOD(Sync!$AE327,100),IFERROR(VALUE(TRIM(MID(MID(Sync!$AE327,FIND("/",Sync!$AE327)+1,20),FIND("/",MID(Sync!$AE327,FIND("/",Sync!$AE327)+1,20))+1,20))),"")))</f>
        <v/>
      </c>
      <c r="J327">
        <f>IF($F327="","",IF(OR($G327="",$H327="",$I327="",$G327&lt;1300,$G327&gt;1500,$H327&lt;1,$H327&gt;12,$I327&lt;1,$I327&gt;31),"نامعتبر",RIGHT("0000"&amp;$G327,4)&amp;"/"&amp;RIGHT("00"&amp;$H327,2)&amp;"/"&amp;RIGHT("00"&amp;$I327,2)))</f>
        <v/>
      </c>
      <c r="K327">
        <f>IF(OR($F327="",$J327="",$J327="نامعتبر"),"",LEFT($J327,4)&amp;MID($J327,6,2)&amp;RIGHT($J327,2)&amp;$N327&amp;"|"&amp;"2"&amp;RIGHT("00000"&amp;322,5))</f>
        <v/>
      </c>
      <c r="L327">
        <f>IF($K327="","",COUNTIFS(LdgSellerA,$F327,LdgKeyA,"&lt;"&amp;$K327)+COUNTIFS(LdgSellerB,$F327,LdgKeyB,"&lt;"&amp;$K327)+1)</f>
        <v/>
      </c>
      <c r="M327">
        <f>IF($L327="","",$F327&amp;"|"&amp;RIGHT("000000"&amp;$L327,6))</f>
        <v/>
      </c>
      <c r="N327">
        <f>IF($F327="","",IF(Sync!$AF327="","0000",IF(AND(ISNUMBER(Sync!$AF327),Sync!$AF327&gt;=0,Sync!$AF327&lt;1),RIGHT("00"&amp;HOUR(Sync!$AF327),2)&amp;RIGHT("00"&amp;MINUTE(Sync!$AF327),2),IFERROR(RIGHT("00"&amp;VALUE(LEFT(Sync!$AF327,FIND(":",Sync!$AF327)-1)),2)&amp;RIGHT("00"&amp;VALUE(MID(Sync!$AF327,FIND(":",Sync!$AF327)+1,2)),2),"0000"))))</f>
        <v/>
      </c>
    </row>
    <row r="328">
      <c r="A328">
        <f>IF(OR(Calc!$E332="",Calc!$E332="نامعتبر",Calc!$G332=""),"",Calc!$G332)</f>
        <v/>
      </c>
      <c r="B328">
        <f>IF($A328="","",LEFT(Calc!$E332,4)&amp;MID(Calc!$E332,6,2)&amp;RIGHT(Calc!$E332,2)&amp;Calc!$Q332&amp;"|"&amp;"1"&amp;RIGHT("00000"&amp;323,5))</f>
        <v/>
      </c>
      <c r="C328">
        <f>IF($B328="","",COUNTIFS(LdgSellerA,$A328,LdgKeyA,"&lt;"&amp;$B328)+COUNTIFS(LdgSellerB,$A328,LdgKeyB,"&lt;"&amp;$B328)+1)</f>
        <v/>
      </c>
      <c r="D328">
        <f>IF($C328="","",$A328&amp;"|"&amp;RIGHT("000000"&amp;$C328,6))</f>
        <v/>
      </c>
      <c r="F328">
        <f>IF(Sync!$AH328="","",IF(LEFT(UPPER(TRIM(Sync!$AH328)),2)="SL",UPPER(TRIM(Sync!$AH328)),""))</f>
        <v/>
      </c>
      <c r="G328">
        <f>IF($F328="","",IF(Sync!$AE328="","",IF(ISNUMBER(Sync!$AE328),IF(AND(Sync!$AE328&gt;=10000101,Sync!$AE328&lt;=99991231),INT(Sync!$AE328/10000),""),IFERROR(VALUE(TRIM(LEFT(Sync!$AE328,FIND("/",Sync!$AE328)-1))),""))))</f>
        <v/>
      </c>
      <c r="H328">
        <f>IF(OR($F328="",$G328=""),"",IF(ISNUMBER(Sync!$AE328),INT(MOD(Sync!$AE328,10000)/100),IFERROR(VALUE(TRIM(LEFT(MID(Sync!$AE328,FIND("/",Sync!$AE328)+1,20),FIND("/",MID(Sync!$AE328,FIND("/",Sync!$AE328)+1,20))-1))),"")))</f>
        <v/>
      </c>
      <c r="I328">
        <f>IF(OR($F328="",$G328=""),"",IF(ISNUMBER(Sync!$AE328),MOD(Sync!$AE328,100),IFERROR(VALUE(TRIM(MID(MID(Sync!$AE328,FIND("/",Sync!$AE328)+1,20),FIND("/",MID(Sync!$AE328,FIND("/",Sync!$AE328)+1,20))+1,20))),"")))</f>
        <v/>
      </c>
      <c r="J328">
        <f>IF($F328="","",IF(OR($G328="",$H328="",$I328="",$G328&lt;1300,$G328&gt;1500,$H328&lt;1,$H328&gt;12,$I328&lt;1,$I328&gt;31),"نامعتبر",RIGHT("0000"&amp;$G328,4)&amp;"/"&amp;RIGHT("00"&amp;$H328,2)&amp;"/"&amp;RIGHT("00"&amp;$I328,2)))</f>
        <v/>
      </c>
      <c r="K328">
        <f>IF(OR($F328="",$J328="",$J328="نامعتبر"),"",LEFT($J328,4)&amp;MID($J328,6,2)&amp;RIGHT($J328,2)&amp;$N328&amp;"|"&amp;"2"&amp;RIGHT("00000"&amp;323,5))</f>
        <v/>
      </c>
      <c r="L328">
        <f>IF($K328="","",COUNTIFS(LdgSellerA,$F328,LdgKeyA,"&lt;"&amp;$K328)+COUNTIFS(LdgSellerB,$F328,LdgKeyB,"&lt;"&amp;$K328)+1)</f>
        <v/>
      </c>
      <c r="M328">
        <f>IF($L328="","",$F328&amp;"|"&amp;RIGHT("000000"&amp;$L328,6))</f>
        <v/>
      </c>
      <c r="N328">
        <f>IF($F328="","",IF(Sync!$AF328="","0000",IF(AND(ISNUMBER(Sync!$AF328),Sync!$AF328&gt;=0,Sync!$AF328&lt;1),RIGHT("00"&amp;HOUR(Sync!$AF328),2)&amp;RIGHT("00"&amp;MINUTE(Sync!$AF328),2),IFERROR(RIGHT("00"&amp;VALUE(LEFT(Sync!$AF328,FIND(":",Sync!$AF328)-1)),2)&amp;RIGHT("00"&amp;VALUE(MID(Sync!$AF328,FIND(":",Sync!$AF328)+1,2)),2),"0000"))))</f>
        <v/>
      </c>
    </row>
    <row r="329">
      <c r="A329">
        <f>IF(OR(Calc!$E333="",Calc!$E333="نامعتبر",Calc!$G333=""),"",Calc!$G333)</f>
        <v/>
      </c>
      <c r="B329">
        <f>IF($A329="","",LEFT(Calc!$E333,4)&amp;MID(Calc!$E333,6,2)&amp;RIGHT(Calc!$E333,2)&amp;Calc!$Q333&amp;"|"&amp;"1"&amp;RIGHT("00000"&amp;324,5))</f>
        <v/>
      </c>
      <c r="C329">
        <f>IF($B329="","",COUNTIFS(LdgSellerA,$A329,LdgKeyA,"&lt;"&amp;$B329)+COUNTIFS(LdgSellerB,$A329,LdgKeyB,"&lt;"&amp;$B329)+1)</f>
        <v/>
      </c>
      <c r="D329">
        <f>IF($C329="","",$A329&amp;"|"&amp;RIGHT("000000"&amp;$C329,6))</f>
        <v/>
      </c>
      <c r="F329">
        <f>IF(Sync!$AH329="","",IF(LEFT(UPPER(TRIM(Sync!$AH329)),2)="SL",UPPER(TRIM(Sync!$AH329)),""))</f>
        <v/>
      </c>
      <c r="G329">
        <f>IF($F329="","",IF(Sync!$AE329="","",IF(ISNUMBER(Sync!$AE329),IF(AND(Sync!$AE329&gt;=10000101,Sync!$AE329&lt;=99991231),INT(Sync!$AE329/10000),""),IFERROR(VALUE(TRIM(LEFT(Sync!$AE329,FIND("/",Sync!$AE329)-1))),""))))</f>
        <v/>
      </c>
      <c r="H329">
        <f>IF(OR($F329="",$G329=""),"",IF(ISNUMBER(Sync!$AE329),INT(MOD(Sync!$AE329,10000)/100),IFERROR(VALUE(TRIM(LEFT(MID(Sync!$AE329,FIND("/",Sync!$AE329)+1,20),FIND("/",MID(Sync!$AE329,FIND("/",Sync!$AE329)+1,20))-1))),"")))</f>
        <v/>
      </c>
      <c r="I329">
        <f>IF(OR($F329="",$G329=""),"",IF(ISNUMBER(Sync!$AE329),MOD(Sync!$AE329,100),IFERROR(VALUE(TRIM(MID(MID(Sync!$AE329,FIND("/",Sync!$AE329)+1,20),FIND("/",MID(Sync!$AE329,FIND("/",Sync!$AE329)+1,20))+1,20))),"")))</f>
        <v/>
      </c>
      <c r="J329">
        <f>IF($F329="","",IF(OR($G329="",$H329="",$I329="",$G329&lt;1300,$G329&gt;1500,$H329&lt;1,$H329&gt;12,$I329&lt;1,$I329&gt;31),"نامعتبر",RIGHT("0000"&amp;$G329,4)&amp;"/"&amp;RIGHT("00"&amp;$H329,2)&amp;"/"&amp;RIGHT("00"&amp;$I329,2)))</f>
        <v/>
      </c>
      <c r="K329">
        <f>IF(OR($F329="",$J329="",$J329="نامعتبر"),"",LEFT($J329,4)&amp;MID($J329,6,2)&amp;RIGHT($J329,2)&amp;$N329&amp;"|"&amp;"2"&amp;RIGHT("00000"&amp;324,5))</f>
        <v/>
      </c>
      <c r="L329">
        <f>IF($K329="","",COUNTIFS(LdgSellerA,$F329,LdgKeyA,"&lt;"&amp;$K329)+COUNTIFS(LdgSellerB,$F329,LdgKeyB,"&lt;"&amp;$K329)+1)</f>
        <v/>
      </c>
      <c r="M329">
        <f>IF($L329="","",$F329&amp;"|"&amp;RIGHT("000000"&amp;$L329,6))</f>
        <v/>
      </c>
      <c r="N329">
        <f>IF($F329="","",IF(Sync!$AF329="","0000",IF(AND(ISNUMBER(Sync!$AF329),Sync!$AF329&gt;=0,Sync!$AF329&lt;1),RIGHT("00"&amp;HOUR(Sync!$AF329),2)&amp;RIGHT("00"&amp;MINUTE(Sync!$AF329),2),IFERROR(RIGHT("00"&amp;VALUE(LEFT(Sync!$AF329,FIND(":",Sync!$AF329)-1)),2)&amp;RIGHT("00"&amp;VALUE(MID(Sync!$AF329,FIND(":",Sync!$AF329)+1,2)),2),"0000"))))</f>
        <v/>
      </c>
    </row>
    <row r="330">
      <c r="A330">
        <f>IF(OR(Calc!$E334="",Calc!$E334="نامعتبر",Calc!$G334=""),"",Calc!$G334)</f>
        <v/>
      </c>
      <c r="B330">
        <f>IF($A330="","",LEFT(Calc!$E334,4)&amp;MID(Calc!$E334,6,2)&amp;RIGHT(Calc!$E334,2)&amp;Calc!$Q334&amp;"|"&amp;"1"&amp;RIGHT("00000"&amp;325,5))</f>
        <v/>
      </c>
      <c r="C330">
        <f>IF($B330="","",COUNTIFS(LdgSellerA,$A330,LdgKeyA,"&lt;"&amp;$B330)+COUNTIFS(LdgSellerB,$A330,LdgKeyB,"&lt;"&amp;$B330)+1)</f>
        <v/>
      </c>
      <c r="D330">
        <f>IF($C330="","",$A330&amp;"|"&amp;RIGHT("000000"&amp;$C330,6))</f>
        <v/>
      </c>
      <c r="F330">
        <f>IF(Sync!$AH330="","",IF(LEFT(UPPER(TRIM(Sync!$AH330)),2)="SL",UPPER(TRIM(Sync!$AH330)),""))</f>
        <v/>
      </c>
      <c r="G330">
        <f>IF($F330="","",IF(Sync!$AE330="","",IF(ISNUMBER(Sync!$AE330),IF(AND(Sync!$AE330&gt;=10000101,Sync!$AE330&lt;=99991231),INT(Sync!$AE330/10000),""),IFERROR(VALUE(TRIM(LEFT(Sync!$AE330,FIND("/",Sync!$AE330)-1))),""))))</f>
        <v/>
      </c>
      <c r="H330">
        <f>IF(OR($F330="",$G330=""),"",IF(ISNUMBER(Sync!$AE330),INT(MOD(Sync!$AE330,10000)/100),IFERROR(VALUE(TRIM(LEFT(MID(Sync!$AE330,FIND("/",Sync!$AE330)+1,20),FIND("/",MID(Sync!$AE330,FIND("/",Sync!$AE330)+1,20))-1))),"")))</f>
        <v/>
      </c>
      <c r="I330">
        <f>IF(OR($F330="",$G330=""),"",IF(ISNUMBER(Sync!$AE330),MOD(Sync!$AE330,100),IFERROR(VALUE(TRIM(MID(MID(Sync!$AE330,FIND("/",Sync!$AE330)+1,20),FIND("/",MID(Sync!$AE330,FIND("/",Sync!$AE330)+1,20))+1,20))),"")))</f>
        <v/>
      </c>
      <c r="J330">
        <f>IF($F330="","",IF(OR($G330="",$H330="",$I330="",$G330&lt;1300,$G330&gt;1500,$H330&lt;1,$H330&gt;12,$I330&lt;1,$I330&gt;31),"نامعتبر",RIGHT("0000"&amp;$G330,4)&amp;"/"&amp;RIGHT("00"&amp;$H330,2)&amp;"/"&amp;RIGHT("00"&amp;$I330,2)))</f>
        <v/>
      </c>
      <c r="K330">
        <f>IF(OR($F330="",$J330="",$J330="نامعتبر"),"",LEFT($J330,4)&amp;MID($J330,6,2)&amp;RIGHT($J330,2)&amp;$N330&amp;"|"&amp;"2"&amp;RIGHT("00000"&amp;325,5))</f>
        <v/>
      </c>
      <c r="L330">
        <f>IF($K330="","",COUNTIFS(LdgSellerA,$F330,LdgKeyA,"&lt;"&amp;$K330)+COUNTIFS(LdgSellerB,$F330,LdgKeyB,"&lt;"&amp;$K330)+1)</f>
        <v/>
      </c>
      <c r="M330">
        <f>IF($L330="","",$F330&amp;"|"&amp;RIGHT("000000"&amp;$L330,6))</f>
        <v/>
      </c>
      <c r="N330">
        <f>IF($F330="","",IF(Sync!$AF330="","0000",IF(AND(ISNUMBER(Sync!$AF330),Sync!$AF330&gt;=0,Sync!$AF330&lt;1),RIGHT("00"&amp;HOUR(Sync!$AF330),2)&amp;RIGHT("00"&amp;MINUTE(Sync!$AF330),2),IFERROR(RIGHT("00"&amp;VALUE(LEFT(Sync!$AF330,FIND(":",Sync!$AF330)-1)),2)&amp;RIGHT("00"&amp;VALUE(MID(Sync!$AF330,FIND(":",Sync!$AF330)+1,2)),2),"0000"))))</f>
        <v/>
      </c>
    </row>
    <row r="331">
      <c r="A331">
        <f>IF(OR(Calc!$E335="",Calc!$E335="نامعتبر",Calc!$G335=""),"",Calc!$G335)</f>
        <v/>
      </c>
      <c r="B331">
        <f>IF($A331="","",LEFT(Calc!$E335,4)&amp;MID(Calc!$E335,6,2)&amp;RIGHT(Calc!$E335,2)&amp;Calc!$Q335&amp;"|"&amp;"1"&amp;RIGHT("00000"&amp;326,5))</f>
        <v/>
      </c>
      <c r="C331">
        <f>IF($B331="","",COUNTIFS(LdgSellerA,$A331,LdgKeyA,"&lt;"&amp;$B331)+COUNTIFS(LdgSellerB,$A331,LdgKeyB,"&lt;"&amp;$B331)+1)</f>
        <v/>
      </c>
      <c r="D331">
        <f>IF($C331="","",$A331&amp;"|"&amp;RIGHT("000000"&amp;$C331,6))</f>
        <v/>
      </c>
      <c r="F331">
        <f>IF(Sync!$AH331="","",IF(LEFT(UPPER(TRIM(Sync!$AH331)),2)="SL",UPPER(TRIM(Sync!$AH331)),""))</f>
        <v/>
      </c>
      <c r="G331">
        <f>IF($F331="","",IF(Sync!$AE331="","",IF(ISNUMBER(Sync!$AE331),IF(AND(Sync!$AE331&gt;=10000101,Sync!$AE331&lt;=99991231),INT(Sync!$AE331/10000),""),IFERROR(VALUE(TRIM(LEFT(Sync!$AE331,FIND("/",Sync!$AE331)-1))),""))))</f>
        <v/>
      </c>
      <c r="H331">
        <f>IF(OR($F331="",$G331=""),"",IF(ISNUMBER(Sync!$AE331),INT(MOD(Sync!$AE331,10000)/100),IFERROR(VALUE(TRIM(LEFT(MID(Sync!$AE331,FIND("/",Sync!$AE331)+1,20),FIND("/",MID(Sync!$AE331,FIND("/",Sync!$AE331)+1,20))-1))),"")))</f>
        <v/>
      </c>
      <c r="I331">
        <f>IF(OR($F331="",$G331=""),"",IF(ISNUMBER(Sync!$AE331),MOD(Sync!$AE331,100),IFERROR(VALUE(TRIM(MID(MID(Sync!$AE331,FIND("/",Sync!$AE331)+1,20),FIND("/",MID(Sync!$AE331,FIND("/",Sync!$AE331)+1,20))+1,20))),"")))</f>
        <v/>
      </c>
      <c r="J331">
        <f>IF($F331="","",IF(OR($G331="",$H331="",$I331="",$G331&lt;1300,$G331&gt;1500,$H331&lt;1,$H331&gt;12,$I331&lt;1,$I331&gt;31),"نامعتبر",RIGHT("0000"&amp;$G331,4)&amp;"/"&amp;RIGHT("00"&amp;$H331,2)&amp;"/"&amp;RIGHT("00"&amp;$I331,2)))</f>
        <v/>
      </c>
      <c r="K331">
        <f>IF(OR($F331="",$J331="",$J331="نامعتبر"),"",LEFT($J331,4)&amp;MID($J331,6,2)&amp;RIGHT($J331,2)&amp;$N331&amp;"|"&amp;"2"&amp;RIGHT("00000"&amp;326,5))</f>
        <v/>
      </c>
      <c r="L331">
        <f>IF($K331="","",COUNTIFS(LdgSellerA,$F331,LdgKeyA,"&lt;"&amp;$K331)+COUNTIFS(LdgSellerB,$F331,LdgKeyB,"&lt;"&amp;$K331)+1)</f>
        <v/>
      </c>
      <c r="M331">
        <f>IF($L331="","",$F331&amp;"|"&amp;RIGHT("000000"&amp;$L331,6))</f>
        <v/>
      </c>
      <c r="N331">
        <f>IF($F331="","",IF(Sync!$AF331="","0000",IF(AND(ISNUMBER(Sync!$AF331),Sync!$AF331&gt;=0,Sync!$AF331&lt;1),RIGHT("00"&amp;HOUR(Sync!$AF331),2)&amp;RIGHT("00"&amp;MINUTE(Sync!$AF331),2),IFERROR(RIGHT("00"&amp;VALUE(LEFT(Sync!$AF331,FIND(":",Sync!$AF331)-1)),2)&amp;RIGHT("00"&amp;VALUE(MID(Sync!$AF331,FIND(":",Sync!$AF331)+1,2)),2),"0000"))))</f>
        <v/>
      </c>
    </row>
    <row r="332">
      <c r="A332">
        <f>IF(OR(Calc!$E336="",Calc!$E336="نامعتبر",Calc!$G336=""),"",Calc!$G336)</f>
        <v/>
      </c>
      <c r="B332">
        <f>IF($A332="","",LEFT(Calc!$E336,4)&amp;MID(Calc!$E336,6,2)&amp;RIGHT(Calc!$E336,2)&amp;Calc!$Q336&amp;"|"&amp;"1"&amp;RIGHT("00000"&amp;327,5))</f>
        <v/>
      </c>
      <c r="C332">
        <f>IF($B332="","",COUNTIFS(LdgSellerA,$A332,LdgKeyA,"&lt;"&amp;$B332)+COUNTIFS(LdgSellerB,$A332,LdgKeyB,"&lt;"&amp;$B332)+1)</f>
        <v/>
      </c>
      <c r="D332">
        <f>IF($C332="","",$A332&amp;"|"&amp;RIGHT("000000"&amp;$C332,6))</f>
        <v/>
      </c>
      <c r="F332">
        <f>IF(Sync!$AH332="","",IF(LEFT(UPPER(TRIM(Sync!$AH332)),2)="SL",UPPER(TRIM(Sync!$AH332)),""))</f>
        <v/>
      </c>
      <c r="G332">
        <f>IF($F332="","",IF(Sync!$AE332="","",IF(ISNUMBER(Sync!$AE332),IF(AND(Sync!$AE332&gt;=10000101,Sync!$AE332&lt;=99991231),INT(Sync!$AE332/10000),""),IFERROR(VALUE(TRIM(LEFT(Sync!$AE332,FIND("/",Sync!$AE332)-1))),""))))</f>
        <v/>
      </c>
      <c r="H332">
        <f>IF(OR($F332="",$G332=""),"",IF(ISNUMBER(Sync!$AE332),INT(MOD(Sync!$AE332,10000)/100),IFERROR(VALUE(TRIM(LEFT(MID(Sync!$AE332,FIND("/",Sync!$AE332)+1,20),FIND("/",MID(Sync!$AE332,FIND("/",Sync!$AE332)+1,20))-1))),"")))</f>
        <v/>
      </c>
      <c r="I332">
        <f>IF(OR($F332="",$G332=""),"",IF(ISNUMBER(Sync!$AE332),MOD(Sync!$AE332,100),IFERROR(VALUE(TRIM(MID(MID(Sync!$AE332,FIND("/",Sync!$AE332)+1,20),FIND("/",MID(Sync!$AE332,FIND("/",Sync!$AE332)+1,20))+1,20))),"")))</f>
        <v/>
      </c>
      <c r="J332">
        <f>IF($F332="","",IF(OR($G332="",$H332="",$I332="",$G332&lt;1300,$G332&gt;1500,$H332&lt;1,$H332&gt;12,$I332&lt;1,$I332&gt;31),"نامعتبر",RIGHT("0000"&amp;$G332,4)&amp;"/"&amp;RIGHT("00"&amp;$H332,2)&amp;"/"&amp;RIGHT("00"&amp;$I332,2)))</f>
        <v/>
      </c>
      <c r="K332">
        <f>IF(OR($F332="",$J332="",$J332="نامعتبر"),"",LEFT($J332,4)&amp;MID($J332,6,2)&amp;RIGHT($J332,2)&amp;$N332&amp;"|"&amp;"2"&amp;RIGHT("00000"&amp;327,5))</f>
        <v/>
      </c>
      <c r="L332">
        <f>IF($K332="","",COUNTIFS(LdgSellerA,$F332,LdgKeyA,"&lt;"&amp;$K332)+COUNTIFS(LdgSellerB,$F332,LdgKeyB,"&lt;"&amp;$K332)+1)</f>
        <v/>
      </c>
      <c r="M332">
        <f>IF($L332="","",$F332&amp;"|"&amp;RIGHT("000000"&amp;$L332,6))</f>
        <v/>
      </c>
      <c r="N332">
        <f>IF($F332="","",IF(Sync!$AF332="","0000",IF(AND(ISNUMBER(Sync!$AF332),Sync!$AF332&gt;=0,Sync!$AF332&lt;1),RIGHT("00"&amp;HOUR(Sync!$AF332),2)&amp;RIGHT("00"&amp;MINUTE(Sync!$AF332),2),IFERROR(RIGHT("00"&amp;VALUE(LEFT(Sync!$AF332,FIND(":",Sync!$AF332)-1)),2)&amp;RIGHT("00"&amp;VALUE(MID(Sync!$AF332,FIND(":",Sync!$AF332)+1,2)),2),"0000"))))</f>
        <v/>
      </c>
    </row>
    <row r="333">
      <c r="A333">
        <f>IF(OR(Calc!$E337="",Calc!$E337="نامعتبر",Calc!$G337=""),"",Calc!$G337)</f>
        <v/>
      </c>
      <c r="B333">
        <f>IF($A333="","",LEFT(Calc!$E337,4)&amp;MID(Calc!$E337,6,2)&amp;RIGHT(Calc!$E337,2)&amp;Calc!$Q337&amp;"|"&amp;"1"&amp;RIGHT("00000"&amp;328,5))</f>
        <v/>
      </c>
      <c r="C333">
        <f>IF($B333="","",COUNTIFS(LdgSellerA,$A333,LdgKeyA,"&lt;"&amp;$B333)+COUNTIFS(LdgSellerB,$A333,LdgKeyB,"&lt;"&amp;$B333)+1)</f>
        <v/>
      </c>
      <c r="D333">
        <f>IF($C333="","",$A333&amp;"|"&amp;RIGHT("000000"&amp;$C333,6))</f>
        <v/>
      </c>
      <c r="F333">
        <f>IF(Sync!$AH333="","",IF(LEFT(UPPER(TRIM(Sync!$AH333)),2)="SL",UPPER(TRIM(Sync!$AH333)),""))</f>
        <v/>
      </c>
      <c r="G333">
        <f>IF($F333="","",IF(Sync!$AE333="","",IF(ISNUMBER(Sync!$AE333),IF(AND(Sync!$AE333&gt;=10000101,Sync!$AE333&lt;=99991231),INT(Sync!$AE333/10000),""),IFERROR(VALUE(TRIM(LEFT(Sync!$AE333,FIND("/",Sync!$AE333)-1))),""))))</f>
        <v/>
      </c>
      <c r="H333">
        <f>IF(OR($F333="",$G333=""),"",IF(ISNUMBER(Sync!$AE333),INT(MOD(Sync!$AE333,10000)/100),IFERROR(VALUE(TRIM(LEFT(MID(Sync!$AE333,FIND("/",Sync!$AE333)+1,20),FIND("/",MID(Sync!$AE333,FIND("/",Sync!$AE333)+1,20))-1))),"")))</f>
        <v/>
      </c>
      <c r="I333">
        <f>IF(OR($F333="",$G333=""),"",IF(ISNUMBER(Sync!$AE333),MOD(Sync!$AE333,100),IFERROR(VALUE(TRIM(MID(MID(Sync!$AE333,FIND("/",Sync!$AE333)+1,20),FIND("/",MID(Sync!$AE333,FIND("/",Sync!$AE333)+1,20))+1,20))),"")))</f>
        <v/>
      </c>
      <c r="J333">
        <f>IF($F333="","",IF(OR($G333="",$H333="",$I333="",$G333&lt;1300,$G333&gt;1500,$H333&lt;1,$H333&gt;12,$I333&lt;1,$I333&gt;31),"نامعتبر",RIGHT("0000"&amp;$G333,4)&amp;"/"&amp;RIGHT("00"&amp;$H333,2)&amp;"/"&amp;RIGHT("00"&amp;$I333,2)))</f>
        <v/>
      </c>
      <c r="K333">
        <f>IF(OR($F333="",$J333="",$J333="نامعتبر"),"",LEFT($J333,4)&amp;MID($J333,6,2)&amp;RIGHT($J333,2)&amp;$N333&amp;"|"&amp;"2"&amp;RIGHT("00000"&amp;328,5))</f>
        <v/>
      </c>
      <c r="L333">
        <f>IF($K333="","",COUNTIFS(LdgSellerA,$F333,LdgKeyA,"&lt;"&amp;$K333)+COUNTIFS(LdgSellerB,$F333,LdgKeyB,"&lt;"&amp;$K333)+1)</f>
        <v/>
      </c>
      <c r="M333">
        <f>IF($L333="","",$F333&amp;"|"&amp;RIGHT("000000"&amp;$L333,6))</f>
        <v/>
      </c>
      <c r="N333">
        <f>IF($F333="","",IF(Sync!$AF333="","0000",IF(AND(ISNUMBER(Sync!$AF333),Sync!$AF333&gt;=0,Sync!$AF333&lt;1),RIGHT("00"&amp;HOUR(Sync!$AF333),2)&amp;RIGHT("00"&amp;MINUTE(Sync!$AF333),2),IFERROR(RIGHT("00"&amp;VALUE(LEFT(Sync!$AF333,FIND(":",Sync!$AF333)-1)),2)&amp;RIGHT("00"&amp;VALUE(MID(Sync!$AF333,FIND(":",Sync!$AF333)+1,2)),2),"0000"))))</f>
        <v/>
      </c>
    </row>
    <row r="334">
      <c r="A334">
        <f>IF(OR(Calc!$E338="",Calc!$E338="نامعتبر",Calc!$G338=""),"",Calc!$G338)</f>
        <v/>
      </c>
      <c r="B334">
        <f>IF($A334="","",LEFT(Calc!$E338,4)&amp;MID(Calc!$E338,6,2)&amp;RIGHT(Calc!$E338,2)&amp;Calc!$Q338&amp;"|"&amp;"1"&amp;RIGHT("00000"&amp;329,5))</f>
        <v/>
      </c>
      <c r="C334">
        <f>IF($B334="","",COUNTIFS(LdgSellerA,$A334,LdgKeyA,"&lt;"&amp;$B334)+COUNTIFS(LdgSellerB,$A334,LdgKeyB,"&lt;"&amp;$B334)+1)</f>
        <v/>
      </c>
      <c r="D334">
        <f>IF($C334="","",$A334&amp;"|"&amp;RIGHT("000000"&amp;$C334,6))</f>
        <v/>
      </c>
      <c r="F334">
        <f>IF(Sync!$AH334="","",IF(LEFT(UPPER(TRIM(Sync!$AH334)),2)="SL",UPPER(TRIM(Sync!$AH334)),""))</f>
        <v/>
      </c>
      <c r="G334">
        <f>IF($F334="","",IF(Sync!$AE334="","",IF(ISNUMBER(Sync!$AE334),IF(AND(Sync!$AE334&gt;=10000101,Sync!$AE334&lt;=99991231),INT(Sync!$AE334/10000),""),IFERROR(VALUE(TRIM(LEFT(Sync!$AE334,FIND("/",Sync!$AE334)-1))),""))))</f>
        <v/>
      </c>
      <c r="H334">
        <f>IF(OR($F334="",$G334=""),"",IF(ISNUMBER(Sync!$AE334),INT(MOD(Sync!$AE334,10000)/100),IFERROR(VALUE(TRIM(LEFT(MID(Sync!$AE334,FIND("/",Sync!$AE334)+1,20),FIND("/",MID(Sync!$AE334,FIND("/",Sync!$AE334)+1,20))-1))),"")))</f>
        <v/>
      </c>
      <c r="I334">
        <f>IF(OR($F334="",$G334=""),"",IF(ISNUMBER(Sync!$AE334),MOD(Sync!$AE334,100),IFERROR(VALUE(TRIM(MID(MID(Sync!$AE334,FIND("/",Sync!$AE334)+1,20),FIND("/",MID(Sync!$AE334,FIND("/",Sync!$AE334)+1,20))+1,20))),"")))</f>
        <v/>
      </c>
      <c r="J334">
        <f>IF($F334="","",IF(OR($G334="",$H334="",$I334="",$G334&lt;1300,$G334&gt;1500,$H334&lt;1,$H334&gt;12,$I334&lt;1,$I334&gt;31),"نامعتبر",RIGHT("0000"&amp;$G334,4)&amp;"/"&amp;RIGHT("00"&amp;$H334,2)&amp;"/"&amp;RIGHT("00"&amp;$I334,2)))</f>
        <v/>
      </c>
      <c r="K334">
        <f>IF(OR($F334="",$J334="",$J334="نامعتبر"),"",LEFT($J334,4)&amp;MID($J334,6,2)&amp;RIGHT($J334,2)&amp;$N334&amp;"|"&amp;"2"&amp;RIGHT("00000"&amp;329,5))</f>
        <v/>
      </c>
      <c r="L334">
        <f>IF($K334="","",COUNTIFS(LdgSellerA,$F334,LdgKeyA,"&lt;"&amp;$K334)+COUNTIFS(LdgSellerB,$F334,LdgKeyB,"&lt;"&amp;$K334)+1)</f>
        <v/>
      </c>
      <c r="M334">
        <f>IF($L334="","",$F334&amp;"|"&amp;RIGHT("000000"&amp;$L334,6))</f>
        <v/>
      </c>
      <c r="N334">
        <f>IF($F334="","",IF(Sync!$AF334="","0000",IF(AND(ISNUMBER(Sync!$AF334),Sync!$AF334&gt;=0,Sync!$AF334&lt;1),RIGHT("00"&amp;HOUR(Sync!$AF334),2)&amp;RIGHT("00"&amp;MINUTE(Sync!$AF334),2),IFERROR(RIGHT("00"&amp;VALUE(LEFT(Sync!$AF334,FIND(":",Sync!$AF334)-1)),2)&amp;RIGHT("00"&amp;VALUE(MID(Sync!$AF334,FIND(":",Sync!$AF334)+1,2)),2),"0000"))))</f>
        <v/>
      </c>
    </row>
    <row r="335">
      <c r="A335">
        <f>IF(OR(Calc!$E339="",Calc!$E339="نامعتبر",Calc!$G339=""),"",Calc!$G339)</f>
        <v/>
      </c>
      <c r="B335">
        <f>IF($A335="","",LEFT(Calc!$E339,4)&amp;MID(Calc!$E339,6,2)&amp;RIGHT(Calc!$E339,2)&amp;Calc!$Q339&amp;"|"&amp;"1"&amp;RIGHT("00000"&amp;330,5))</f>
        <v/>
      </c>
      <c r="C335">
        <f>IF($B335="","",COUNTIFS(LdgSellerA,$A335,LdgKeyA,"&lt;"&amp;$B335)+COUNTIFS(LdgSellerB,$A335,LdgKeyB,"&lt;"&amp;$B335)+1)</f>
        <v/>
      </c>
      <c r="D335">
        <f>IF($C335="","",$A335&amp;"|"&amp;RIGHT("000000"&amp;$C335,6))</f>
        <v/>
      </c>
      <c r="F335">
        <f>IF(Sync!$AH335="","",IF(LEFT(UPPER(TRIM(Sync!$AH335)),2)="SL",UPPER(TRIM(Sync!$AH335)),""))</f>
        <v/>
      </c>
      <c r="G335">
        <f>IF($F335="","",IF(Sync!$AE335="","",IF(ISNUMBER(Sync!$AE335),IF(AND(Sync!$AE335&gt;=10000101,Sync!$AE335&lt;=99991231),INT(Sync!$AE335/10000),""),IFERROR(VALUE(TRIM(LEFT(Sync!$AE335,FIND("/",Sync!$AE335)-1))),""))))</f>
        <v/>
      </c>
      <c r="H335">
        <f>IF(OR($F335="",$G335=""),"",IF(ISNUMBER(Sync!$AE335),INT(MOD(Sync!$AE335,10000)/100),IFERROR(VALUE(TRIM(LEFT(MID(Sync!$AE335,FIND("/",Sync!$AE335)+1,20),FIND("/",MID(Sync!$AE335,FIND("/",Sync!$AE335)+1,20))-1))),"")))</f>
        <v/>
      </c>
      <c r="I335">
        <f>IF(OR($F335="",$G335=""),"",IF(ISNUMBER(Sync!$AE335),MOD(Sync!$AE335,100),IFERROR(VALUE(TRIM(MID(MID(Sync!$AE335,FIND("/",Sync!$AE335)+1,20),FIND("/",MID(Sync!$AE335,FIND("/",Sync!$AE335)+1,20))+1,20))),"")))</f>
        <v/>
      </c>
      <c r="J335">
        <f>IF($F335="","",IF(OR($G335="",$H335="",$I335="",$G335&lt;1300,$G335&gt;1500,$H335&lt;1,$H335&gt;12,$I335&lt;1,$I335&gt;31),"نامعتبر",RIGHT("0000"&amp;$G335,4)&amp;"/"&amp;RIGHT("00"&amp;$H335,2)&amp;"/"&amp;RIGHT("00"&amp;$I335,2)))</f>
        <v/>
      </c>
      <c r="K335">
        <f>IF(OR($F335="",$J335="",$J335="نامعتبر"),"",LEFT($J335,4)&amp;MID($J335,6,2)&amp;RIGHT($J335,2)&amp;$N335&amp;"|"&amp;"2"&amp;RIGHT("00000"&amp;330,5))</f>
        <v/>
      </c>
      <c r="L335">
        <f>IF($K335="","",COUNTIFS(LdgSellerA,$F335,LdgKeyA,"&lt;"&amp;$K335)+COUNTIFS(LdgSellerB,$F335,LdgKeyB,"&lt;"&amp;$K335)+1)</f>
        <v/>
      </c>
      <c r="M335">
        <f>IF($L335="","",$F335&amp;"|"&amp;RIGHT("000000"&amp;$L335,6))</f>
        <v/>
      </c>
      <c r="N335">
        <f>IF($F335="","",IF(Sync!$AF335="","0000",IF(AND(ISNUMBER(Sync!$AF335),Sync!$AF335&gt;=0,Sync!$AF335&lt;1),RIGHT("00"&amp;HOUR(Sync!$AF335),2)&amp;RIGHT("00"&amp;MINUTE(Sync!$AF335),2),IFERROR(RIGHT("00"&amp;VALUE(LEFT(Sync!$AF335,FIND(":",Sync!$AF335)-1)),2)&amp;RIGHT("00"&amp;VALUE(MID(Sync!$AF335,FIND(":",Sync!$AF335)+1,2)),2),"0000"))))</f>
        <v/>
      </c>
    </row>
    <row r="336">
      <c r="A336">
        <f>IF(OR(Calc!$E340="",Calc!$E340="نامعتبر",Calc!$G340=""),"",Calc!$G340)</f>
        <v/>
      </c>
      <c r="B336">
        <f>IF($A336="","",LEFT(Calc!$E340,4)&amp;MID(Calc!$E340,6,2)&amp;RIGHT(Calc!$E340,2)&amp;Calc!$Q340&amp;"|"&amp;"1"&amp;RIGHT("00000"&amp;331,5))</f>
        <v/>
      </c>
      <c r="C336">
        <f>IF($B336="","",COUNTIFS(LdgSellerA,$A336,LdgKeyA,"&lt;"&amp;$B336)+COUNTIFS(LdgSellerB,$A336,LdgKeyB,"&lt;"&amp;$B336)+1)</f>
        <v/>
      </c>
      <c r="D336">
        <f>IF($C336="","",$A336&amp;"|"&amp;RIGHT("000000"&amp;$C336,6))</f>
        <v/>
      </c>
      <c r="F336">
        <f>IF(Sync!$AH336="","",IF(LEFT(UPPER(TRIM(Sync!$AH336)),2)="SL",UPPER(TRIM(Sync!$AH336)),""))</f>
        <v/>
      </c>
      <c r="G336">
        <f>IF($F336="","",IF(Sync!$AE336="","",IF(ISNUMBER(Sync!$AE336),IF(AND(Sync!$AE336&gt;=10000101,Sync!$AE336&lt;=99991231),INT(Sync!$AE336/10000),""),IFERROR(VALUE(TRIM(LEFT(Sync!$AE336,FIND("/",Sync!$AE336)-1))),""))))</f>
        <v/>
      </c>
      <c r="H336">
        <f>IF(OR($F336="",$G336=""),"",IF(ISNUMBER(Sync!$AE336),INT(MOD(Sync!$AE336,10000)/100),IFERROR(VALUE(TRIM(LEFT(MID(Sync!$AE336,FIND("/",Sync!$AE336)+1,20),FIND("/",MID(Sync!$AE336,FIND("/",Sync!$AE336)+1,20))-1))),"")))</f>
        <v/>
      </c>
      <c r="I336">
        <f>IF(OR($F336="",$G336=""),"",IF(ISNUMBER(Sync!$AE336),MOD(Sync!$AE336,100),IFERROR(VALUE(TRIM(MID(MID(Sync!$AE336,FIND("/",Sync!$AE336)+1,20),FIND("/",MID(Sync!$AE336,FIND("/",Sync!$AE336)+1,20))+1,20))),"")))</f>
        <v/>
      </c>
      <c r="J336">
        <f>IF($F336="","",IF(OR($G336="",$H336="",$I336="",$G336&lt;1300,$G336&gt;1500,$H336&lt;1,$H336&gt;12,$I336&lt;1,$I336&gt;31),"نامعتبر",RIGHT("0000"&amp;$G336,4)&amp;"/"&amp;RIGHT("00"&amp;$H336,2)&amp;"/"&amp;RIGHT("00"&amp;$I336,2)))</f>
        <v/>
      </c>
      <c r="K336">
        <f>IF(OR($F336="",$J336="",$J336="نامعتبر"),"",LEFT($J336,4)&amp;MID($J336,6,2)&amp;RIGHT($J336,2)&amp;$N336&amp;"|"&amp;"2"&amp;RIGHT("00000"&amp;331,5))</f>
        <v/>
      </c>
      <c r="L336">
        <f>IF($K336="","",COUNTIFS(LdgSellerA,$F336,LdgKeyA,"&lt;"&amp;$K336)+COUNTIFS(LdgSellerB,$F336,LdgKeyB,"&lt;"&amp;$K336)+1)</f>
        <v/>
      </c>
      <c r="M336">
        <f>IF($L336="","",$F336&amp;"|"&amp;RIGHT("000000"&amp;$L336,6))</f>
        <v/>
      </c>
      <c r="N336">
        <f>IF($F336="","",IF(Sync!$AF336="","0000",IF(AND(ISNUMBER(Sync!$AF336),Sync!$AF336&gt;=0,Sync!$AF336&lt;1),RIGHT("00"&amp;HOUR(Sync!$AF336),2)&amp;RIGHT("00"&amp;MINUTE(Sync!$AF336),2),IFERROR(RIGHT("00"&amp;VALUE(LEFT(Sync!$AF336,FIND(":",Sync!$AF336)-1)),2)&amp;RIGHT("00"&amp;VALUE(MID(Sync!$AF336,FIND(":",Sync!$AF336)+1,2)),2),"0000"))))</f>
        <v/>
      </c>
    </row>
    <row r="337">
      <c r="A337">
        <f>IF(OR(Calc!$E341="",Calc!$E341="نامعتبر",Calc!$G341=""),"",Calc!$G341)</f>
        <v/>
      </c>
      <c r="B337">
        <f>IF($A337="","",LEFT(Calc!$E341,4)&amp;MID(Calc!$E341,6,2)&amp;RIGHT(Calc!$E341,2)&amp;Calc!$Q341&amp;"|"&amp;"1"&amp;RIGHT("00000"&amp;332,5))</f>
        <v/>
      </c>
      <c r="C337">
        <f>IF($B337="","",COUNTIFS(LdgSellerA,$A337,LdgKeyA,"&lt;"&amp;$B337)+COUNTIFS(LdgSellerB,$A337,LdgKeyB,"&lt;"&amp;$B337)+1)</f>
        <v/>
      </c>
      <c r="D337">
        <f>IF($C337="","",$A337&amp;"|"&amp;RIGHT("000000"&amp;$C337,6))</f>
        <v/>
      </c>
      <c r="F337">
        <f>IF(Sync!$AH337="","",IF(LEFT(UPPER(TRIM(Sync!$AH337)),2)="SL",UPPER(TRIM(Sync!$AH337)),""))</f>
        <v/>
      </c>
      <c r="G337">
        <f>IF($F337="","",IF(Sync!$AE337="","",IF(ISNUMBER(Sync!$AE337),IF(AND(Sync!$AE337&gt;=10000101,Sync!$AE337&lt;=99991231),INT(Sync!$AE337/10000),""),IFERROR(VALUE(TRIM(LEFT(Sync!$AE337,FIND("/",Sync!$AE337)-1))),""))))</f>
        <v/>
      </c>
      <c r="H337">
        <f>IF(OR($F337="",$G337=""),"",IF(ISNUMBER(Sync!$AE337),INT(MOD(Sync!$AE337,10000)/100),IFERROR(VALUE(TRIM(LEFT(MID(Sync!$AE337,FIND("/",Sync!$AE337)+1,20),FIND("/",MID(Sync!$AE337,FIND("/",Sync!$AE337)+1,20))-1))),"")))</f>
        <v/>
      </c>
      <c r="I337">
        <f>IF(OR($F337="",$G337=""),"",IF(ISNUMBER(Sync!$AE337),MOD(Sync!$AE337,100),IFERROR(VALUE(TRIM(MID(MID(Sync!$AE337,FIND("/",Sync!$AE337)+1,20),FIND("/",MID(Sync!$AE337,FIND("/",Sync!$AE337)+1,20))+1,20))),"")))</f>
        <v/>
      </c>
      <c r="J337">
        <f>IF($F337="","",IF(OR($G337="",$H337="",$I337="",$G337&lt;1300,$G337&gt;1500,$H337&lt;1,$H337&gt;12,$I337&lt;1,$I337&gt;31),"نامعتبر",RIGHT("0000"&amp;$G337,4)&amp;"/"&amp;RIGHT("00"&amp;$H337,2)&amp;"/"&amp;RIGHT("00"&amp;$I337,2)))</f>
        <v/>
      </c>
      <c r="K337">
        <f>IF(OR($F337="",$J337="",$J337="نامعتبر"),"",LEFT($J337,4)&amp;MID($J337,6,2)&amp;RIGHT($J337,2)&amp;$N337&amp;"|"&amp;"2"&amp;RIGHT("00000"&amp;332,5))</f>
        <v/>
      </c>
      <c r="L337">
        <f>IF($K337="","",COUNTIFS(LdgSellerA,$F337,LdgKeyA,"&lt;"&amp;$K337)+COUNTIFS(LdgSellerB,$F337,LdgKeyB,"&lt;"&amp;$K337)+1)</f>
        <v/>
      </c>
      <c r="M337">
        <f>IF($L337="","",$F337&amp;"|"&amp;RIGHT("000000"&amp;$L337,6))</f>
        <v/>
      </c>
      <c r="N337">
        <f>IF($F337="","",IF(Sync!$AF337="","0000",IF(AND(ISNUMBER(Sync!$AF337),Sync!$AF337&gt;=0,Sync!$AF337&lt;1),RIGHT("00"&amp;HOUR(Sync!$AF337),2)&amp;RIGHT("00"&amp;MINUTE(Sync!$AF337),2),IFERROR(RIGHT("00"&amp;VALUE(LEFT(Sync!$AF337,FIND(":",Sync!$AF337)-1)),2)&amp;RIGHT("00"&amp;VALUE(MID(Sync!$AF337,FIND(":",Sync!$AF337)+1,2)),2),"0000"))))</f>
        <v/>
      </c>
    </row>
    <row r="338">
      <c r="A338">
        <f>IF(OR(Calc!$E342="",Calc!$E342="نامعتبر",Calc!$G342=""),"",Calc!$G342)</f>
        <v/>
      </c>
      <c r="B338">
        <f>IF($A338="","",LEFT(Calc!$E342,4)&amp;MID(Calc!$E342,6,2)&amp;RIGHT(Calc!$E342,2)&amp;Calc!$Q342&amp;"|"&amp;"1"&amp;RIGHT("00000"&amp;333,5))</f>
        <v/>
      </c>
      <c r="C338">
        <f>IF($B338="","",COUNTIFS(LdgSellerA,$A338,LdgKeyA,"&lt;"&amp;$B338)+COUNTIFS(LdgSellerB,$A338,LdgKeyB,"&lt;"&amp;$B338)+1)</f>
        <v/>
      </c>
      <c r="D338">
        <f>IF($C338="","",$A338&amp;"|"&amp;RIGHT("000000"&amp;$C338,6))</f>
        <v/>
      </c>
      <c r="F338">
        <f>IF(Sync!$AH338="","",IF(LEFT(UPPER(TRIM(Sync!$AH338)),2)="SL",UPPER(TRIM(Sync!$AH338)),""))</f>
        <v/>
      </c>
      <c r="G338">
        <f>IF($F338="","",IF(Sync!$AE338="","",IF(ISNUMBER(Sync!$AE338),IF(AND(Sync!$AE338&gt;=10000101,Sync!$AE338&lt;=99991231),INT(Sync!$AE338/10000),""),IFERROR(VALUE(TRIM(LEFT(Sync!$AE338,FIND("/",Sync!$AE338)-1))),""))))</f>
        <v/>
      </c>
      <c r="H338">
        <f>IF(OR($F338="",$G338=""),"",IF(ISNUMBER(Sync!$AE338),INT(MOD(Sync!$AE338,10000)/100),IFERROR(VALUE(TRIM(LEFT(MID(Sync!$AE338,FIND("/",Sync!$AE338)+1,20),FIND("/",MID(Sync!$AE338,FIND("/",Sync!$AE338)+1,20))-1))),"")))</f>
        <v/>
      </c>
      <c r="I338">
        <f>IF(OR($F338="",$G338=""),"",IF(ISNUMBER(Sync!$AE338),MOD(Sync!$AE338,100),IFERROR(VALUE(TRIM(MID(MID(Sync!$AE338,FIND("/",Sync!$AE338)+1,20),FIND("/",MID(Sync!$AE338,FIND("/",Sync!$AE338)+1,20))+1,20))),"")))</f>
        <v/>
      </c>
      <c r="J338">
        <f>IF($F338="","",IF(OR($G338="",$H338="",$I338="",$G338&lt;1300,$G338&gt;1500,$H338&lt;1,$H338&gt;12,$I338&lt;1,$I338&gt;31),"نامعتبر",RIGHT("0000"&amp;$G338,4)&amp;"/"&amp;RIGHT("00"&amp;$H338,2)&amp;"/"&amp;RIGHT("00"&amp;$I338,2)))</f>
        <v/>
      </c>
      <c r="K338">
        <f>IF(OR($F338="",$J338="",$J338="نامعتبر"),"",LEFT($J338,4)&amp;MID($J338,6,2)&amp;RIGHT($J338,2)&amp;$N338&amp;"|"&amp;"2"&amp;RIGHT("00000"&amp;333,5))</f>
        <v/>
      </c>
      <c r="L338">
        <f>IF($K338="","",COUNTIFS(LdgSellerA,$F338,LdgKeyA,"&lt;"&amp;$K338)+COUNTIFS(LdgSellerB,$F338,LdgKeyB,"&lt;"&amp;$K338)+1)</f>
        <v/>
      </c>
      <c r="M338">
        <f>IF($L338="","",$F338&amp;"|"&amp;RIGHT("000000"&amp;$L338,6))</f>
        <v/>
      </c>
      <c r="N338">
        <f>IF($F338="","",IF(Sync!$AF338="","0000",IF(AND(ISNUMBER(Sync!$AF338),Sync!$AF338&gt;=0,Sync!$AF338&lt;1),RIGHT("00"&amp;HOUR(Sync!$AF338),2)&amp;RIGHT("00"&amp;MINUTE(Sync!$AF338),2),IFERROR(RIGHT("00"&amp;VALUE(LEFT(Sync!$AF338,FIND(":",Sync!$AF338)-1)),2)&amp;RIGHT("00"&amp;VALUE(MID(Sync!$AF338,FIND(":",Sync!$AF338)+1,2)),2),"0000"))))</f>
        <v/>
      </c>
    </row>
    <row r="339">
      <c r="A339">
        <f>IF(OR(Calc!$E343="",Calc!$E343="نامعتبر",Calc!$G343=""),"",Calc!$G343)</f>
        <v/>
      </c>
      <c r="B339">
        <f>IF($A339="","",LEFT(Calc!$E343,4)&amp;MID(Calc!$E343,6,2)&amp;RIGHT(Calc!$E343,2)&amp;Calc!$Q343&amp;"|"&amp;"1"&amp;RIGHT("00000"&amp;334,5))</f>
        <v/>
      </c>
      <c r="C339">
        <f>IF($B339="","",COUNTIFS(LdgSellerA,$A339,LdgKeyA,"&lt;"&amp;$B339)+COUNTIFS(LdgSellerB,$A339,LdgKeyB,"&lt;"&amp;$B339)+1)</f>
        <v/>
      </c>
      <c r="D339">
        <f>IF($C339="","",$A339&amp;"|"&amp;RIGHT("000000"&amp;$C339,6))</f>
        <v/>
      </c>
      <c r="F339">
        <f>IF(Sync!$AH339="","",IF(LEFT(UPPER(TRIM(Sync!$AH339)),2)="SL",UPPER(TRIM(Sync!$AH339)),""))</f>
        <v/>
      </c>
      <c r="G339">
        <f>IF($F339="","",IF(Sync!$AE339="","",IF(ISNUMBER(Sync!$AE339),IF(AND(Sync!$AE339&gt;=10000101,Sync!$AE339&lt;=99991231),INT(Sync!$AE339/10000),""),IFERROR(VALUE(TRIM(LEFT(Sync!$AE339,FIND("/",Sync!$AE339)-1))),""))))</f>
        <v/>
      </c>
      <c r="H339">
        <f>IF(OR($F339="",$G339=""),"",IF(ISNUMBER(Sync!$AE339),INT(MOD(Sync!$AE339,10000)/100),IFERROR(VALUE(TRIM(LEFT(MID(Sync!$AE339,FIND("/",Sync!$AE339)+1,20),FIND("/",MID(Sync!$AE339,FIND("/",Sync!$AE339)+1,20))-1))),"")))</f>
        <v/>
      </c>
      <c r="I339">
        <f>IF(OR($F339="",$G339=""),"",IF(ISNUMBER(Sync!$AE339),MOD(Sync!$AE339,100),IFERROR(VALUE(TRIM(MID(MID(Sync!$AE339,FIND("/",Sync!$AE339)+1,20),FIND("/",MID(Sync!$AE339,FIND("/",Sync!$AE339)+1,20))+1,20))),"")))</f>
        <v/>
      </c>
      <c r="J339">
        <f>IF($F339="","",IF(OR($G339="",$H339="",$I339="",$G339&lt;1300,$G339&gt;1500,$H339&lt;1,$H339&gt;12,$I339&lt;1,$I339&gt;31),"نامعتبر",RIGHT("0000"&amp;$G339,4)&amp;"/"&amp;RIGHT("00"&amp;$H339,2)&amp;"/"&amp;RIGHT("00"&amp;$I339,2)))</f>
        <v/>
      </c>
      <c r="K339">
        <f>IF(OR($F339="",$J339="",$J339="نامعتبر"),"",LEFT($J339,4)&amp;MID($J339,6,2)&amp;RIGHT($J339,2)&amp;$N339&amp;"|"&amp;"2"&amp;RIGHT("00000"&amp;334,5))</f>
        <v/>
      </c>
      <c r="L339">
        <f>IF($K339="","",COUNTIFS(LdgSellerA,$F339,LdgKeyA,"&lt;"&amp;$K339)+COUNTIFS(LdgSellerB,$F339,LdgKeyB,"&lt;"&amp;$K339)+1)</f>
        <v/>
      </c>
      <c r="M339">
        <f>IF($L339="","",$F339&amp;"|"&amp;RIGHT("000000"&amp;$L339,6))</f>
        <v/>
      </c>
      <c r="N339">
        <f>IF($F339="","",IF(Sync!$AF339="","0000",IF(AND(ISNUMBER(Sync!$AF339),Sync!$AF339&gt;=0,Sync!$AF339&lt;1),RIGHT("00"&amp;HOUR(Sync!$AF339),2)&amp;RIGHT("00"&amp;MINUTE(Sync!$AF339),2),IFERROR(RIGHT("00"&amp;VALUE(LEFT(Sync!$AF339,FIND(":",Sync!$AF339)-1)),2)&amp;RIGHT("00"&amp;VALUE(MID(Sync!$AF339,FIND(":",Sync!$AF339)+1,2)),2),"0000"))))</f>
        <v/>
      </c>
    </row>
    <row r="340">
      <c r="A340">
        <f>IF(OR(Calc!$E344="",Calc!$E344="نامعتبر",Calc!$G344=""),"",Calc!$G344)</f>
        <v/>
      </c>
      <c r="B340">
        <f>IF($A340="","",LEFT(Calc!$E344,4)&amp;MID(Calc!$E344,6,2)&amp;RIGHT(Calc!$E344,2)&amp;Calc!$Q344&amp;"|"&amp;"1"&amp;RIGHT("00000"&amp;335,5))</f>
        <v/>
      </c>
      <c r="C340">
        <f>IF($B340="","",COUNTIFS(LdgSellerA,$A340,LdgKeyA,"&lt;"&amp;$B340)+COUNTIFS(LdgSellerB,$A340,LdgKeyB,"&lt;"&amp;$B340)+1)</f>
        <v/>
      </c>
      <c r="D340">
        <f>IF($C340="","",$A340&amp;"|"&amp;RIGHT("000000"&amp;$C340,6))</f>
        <v/>
      </c>
      <c r="F340">
        <f>IF(Sync!$AH340="","",IF(LEFT(UPPER(TRIM(Sync!$AH340)),2)="SL",UPPER(TRIM(Sync!$AH340)),""))</f>
        <v/>
      </c>
      <c r="G340">
        <f>IF($F340="","",IF(Sync!$AE340="","",IF(ISNUMBER(Sync!$AE340),IF(AND(Sync!$AE340&gt;=10000101,Sync!$AE340&lt;=99991231),INT(Sync!$AE340/10000),""),IFERROR(VALUE(TRIM(LEFT(Sync!$AE340,FIND("/",Sync!$AE340)-1))),""))))</f>
        <v/>
      </c>
      <c r="H340">
        <f>IF(OR($F340="",$G340=""),"",IF(ISNUMBER(Sync!$AE340),INT(MOD(Sync!$AE340,10000)/100),IFERROR(VALUE(TRIM(LEFT(MID(Sync!$AE340,FIND("/",Sync!$AE340)+1,20),FIND("/",MID(Sync!$AE340,FIND("/",Sync!$AE340)+1,20))-1))),"")))</f>
        <v/>
      </c>
      <c r="I340">
        <f>IF(OR($F340="",$G340=""),"",IF(ISNUMBER(Sync!$AE340),MOD(Sync!$AE340,100),IFERROR(VALUE(TRIM(MID(MID(Sync!$AE340,FIND("/",Sync!$AE340)+1,20),FIND("/",MID(Sync!$AE340,FIND("/",Sync!$AE340)+1,20))+1,20))),"")))</f>
        <v/>
      </c>
      <c r="J340">
        <f>IF($F340="","",IF(OR($G340="",$H340="",$I340="",$G340&lt;1300,$G340&gt;1500,$H340&lt;1,$H340&gt;12,$I340&lt;1,$I340&gt;31),"نامعتبر",RIGHT("0000"&amp;$G340,4)&amp;"/"&amp;RIGHT("00"&amp;$H340,2)&amp;"/"&amp;RIGHT("00"&amp;$I340,2)))</f>
        <v/>
      </c>
      <c r="K340">
        <f>IF(OR($F340="",$J340="",$J340="نامعتبر"),"",LEFT($J340,4)&amp;MID($J340,6,2)&amp;RIGHT($J340,2)&amp;$N340&amp;"|"&amp;"2"&amp;RIGHT("00000"&amp;335,5))</f>
        <v/>
      </c>
      <c r="L340">
        <f>IF($K340="","",COUNTIFS(LdgSellerA,$F340,LdgKeyA,"&lt;"&amp;$K340)+COUNTIFS(LdgSellerB,$F340,LdgKeyB,"&lt;"&amp;$K340)+1)</f>
        <v/>
      </c>
      <c r="M340">
        <f>IF($L340="","",$F340&amp;"|"&amp;RIGHT("000000"&amp;$L340,6))</f>
        <v/>
      </c>
      <c r="N340">
        <f>IF($F340="","",IF(Sync!$AF340="","0000",IF(AND(ISNUMBER(Sync!$AF340),Sync!$AF340&gt;=0,Sync!$AF340&lt;1),RIGHT("00"&amp;HOUR(Sync!$AF340),2)&amp;RIGHT("00"&amp;MINUTE(Sync!$AF340),2),IFERROR(RIGHT("00"&amp;VALUE(LEFT(Sync!$AF340,FIND(":",Sync!$AF340)-1)),2)&amp;RIGHT("00"&amp;VALUE(MID(Sync!$AF340,FIND(":",Sync!$AF340)+1,2)),2),"0000"))))</f>
        <v/>
      </c>
    </row>
    <row r="341">
      <c r="A341">
        <f>IF(OR(Calc!$E345="",Calc!$E345="نامعتبر",Calc!$G345=""),"",Calc!$G345)</f>
        <v/>
      </c>
      <c r="B341">
        <f>IF($A341="","",LEFT(Calc!$E345,4)&amp;MID(Calc!$E345,6,2)&amp;RIGHT(Calc!$E345,2)&amp;Calc!$Q345&amp;"|"&amp;"1"&amp;RIGHT("00000"&amp;336,5))</f>
        <v/>
      </c>
      <c r="C341">
        <f>IF($B341="","",COUNTIFS(LdgSellerA,$A341,LdgKeyA,"&lt;"&amp;$B341)+COUNTIFS(LdgSellerB,$A341,LdgKeyB,"&lt;"&amp;$B341)+1)</f>
        <v/>
      </c>
      <c r="D341">
        <f>IF($C341="","",$A341&amp;"|"&amp;RIGHT("000000"&amp;$C341,6))</f>
        <v/>
      </c>
      <c r="F341">
        <f>IF(Sync!$AH341="","",IF(LEFT(UPPER(TRIM(Sync!$AH341)),2)="SL",UPPER(TRIM(Sync!$AH341)),""))</f>
        <v/>
      </c>
      <c r="G341">
        <f>IF($F341="","",IF(Sync!$AE341="","",IF(ISNUMBER(Sync!$AE341),IF(AND(Sync!$AE341&gt;=10000101,Sync!$AE341&lt;=99991231),INT(Sync!$AE341/10000),""),IFERROR(VALUE(TRIM(LEFT(Sync!$AE341,FIND("/",Sync!$AE341)-1))),""))))</f>
        <v/>
      </c>
      <c r="H341">
        <f>IF(OR($F341="",$G341=""),"",IF(ISNUMBER(Sync!$AE341),INT(MOD(Sync!$AE341,10000)/100),IFERROR(VALUE(TRIM(LEFT(MID(Sync!$AE341,FIND("/",Sync!$AE341)+1,20),FIND("/",MID(Sync!$AE341,FIND("/",Sync!$AE341)+1,20))-1))),"")))</f>
        <v/>
      </c>
      <c r="I341">
        <f>IF(OR($F341="",$G341=""),"",IF(ISNUMBER(Sync!$AE341),MOD(Sync!$AE341,100),IFERROR(VALUE(TRIM(MID(MID(Sync!$AE341,FIND("/",Sync!$AE341)+1,20),FIND("/",MID(Sync!$AE341,FIND("/",Sync!$AE341)+1,20))+1,20))),"")))</f>
        <v/>
      </c>
      <c r="J341">
        <f>IF($F341="","",IF(OR($G341="",$H341="",$I341="",$G341&lt;1300,$G341&gt;1500,$H341&lt;1,$H341&gt;12,$I341&lt;1,$I341&gt;31),"نامعتبر",RIGHT("0000"&amp;$G341,4)&amp;"/"&amp;RIGHT("00"&amp;$H341,2)&amp;"/"&amp;RIGHT("00"&amp;$I341,2)))</f>
        <v/>
      </c>
      <c r="K341">
        <f>IF(OR($F341="",$J341="",$J341="نامعتبر"),"",LEFT($J341,4)&amp;MID($J341,6,2)&amp;RIGHT($J341,2)&amp;$N341&amp;"|"&amp;"2"&amp;RIGHT("00000"&amp;336,5))</f>
        <v/>
      </c>
      <c r="L341">
        <f>IF($K341="","",COUNTIFS(LdgSellerA,$F341,LdgKeyA,"&lt;"&amp;$K341)+COUNTIFS(LdgSellerB,$F341,LdgKeyB,"&lt;"&amp;$K341)+1)</f>
        <v/>
      </c>
      <c r="M341">
        <f>IF($L341="","",$F341&amp;"|"&amp;RIGHT("000000"&amp;$L341,6))</f>
        <v/>
      </c>
      <c r="N341">
        <f>IF($F341="","",IF(Sync!$AF341="","0000",IF(AND(ISNUMBER(Sync!$AF341),Sync!$AF341&gt;=0,Sync!$AF341&lt;1),RIGHT("00"&amp;HOUR(Sync!$AF341),2)&amp;RIGHT("00"&amp;MINUTE(Sync!$AF341),2),IFERROR(RIGHT("00"&amp;VALUE(LEFT(Sync!$AF341,FIND(":",Sync!$AF341)-1)),2)&amp;RIGHT("00"&amp;VALUE(MID(Sync!$AF341,FIND(":",Sync!$AF341)+1,2)),2),"0000"))))</f>
        <v/>
      </c>
    </row>
    <row r="342">
      <c r="A342">
        <f>IF(OR(Calc!$E346="",Calc!$E346="نامعتبر",Calc!$G346=""),"",Calc!$G346)</f>
        <v/>
      </c>
      <c r="B342">
        <f>IF($A342="","",LEFT(Calc!$E346,4)&amp;MID(Calc!$E346,6,2)&amp;RIGHT(Calc!$E346,2)&amp;Calc!$Q346&amp;"|"&amp;"1"&amp;RIGHT("00000"&amp;337,5))</f>
        <v/>
      </c>
      <c r="C342">
        <f>IF($B342="","",COUNTIFS(LdgSellerA,$A342,LdgKeyA,"&lt;"&amp;$B342)+COUNTIFS(LdgSellerB,$A342,LdgKeyB,"&lt;"&amp;$B342)+1)</f>
        <v/>
      </c>
      <c r="D342">
        <f>IF($C342="","",$A342&amp;"|"&amp;RIGHT("000000"&amp;$C342,6))</f>
        <v/>
      </c>
      <c r="F342">
        <f>IF(Sync!$AH342="","",IF(LEFT(UPPER(TRIM(Sync!$AH342)),2)="SL",UPPER(TRIM(Sync!$AH342)),""))</f>
        <v/>
      </c>
      <c r="G342">
        <f>IF($F342="","",IF(Sync!$AE342="","",IF(ISNUMBER(Sync!$AE342),IF(AND(Sync!$AE342&gt;=10000101,Sync!$AE342&lt;=99991231),INT(Sync!$AE342/10000),""),IFERROR(VALUE(TRIM(LEFT(Sync!$AE342,FIND("/",Sync!$AE342)-1))),""))))</f>
        <v/>
      </c>
      <c r="H342">
        <f>IF(OR($F342="",$G342=""),"",IF(ISNUMBER(Sync!$AE342),INT(MOD(Sync!$AE342,10000)/100),IFERROR(VALUE(TRIM(LEFT(MID(Sync!$AE342,FIND("/",Sync!$AE342)+1,20),FIND("/",MID(Sync!$AE342,FIND("/",Sync!$AE342)+1,20))-1))),"")))</f>
        <v/>
      </c>
      <c r="I342">
        <f>IF(OR($F342="",$G342=""),"",IF(ISNUMBER(Sync!$AE342),MOD(Sync!$AE342,100),IFERROR(VALUE(TRIM(MID(MID(Sync!$AE342,FIND("/",Sync!$AE342)+1,20),FIND("/",MID(Sync!$AE342,FIND("/",Sync!$AE342)+1,20))+1,20))),"")))</f>
        <v/>
      </c>
      <c r="J342">
        <f>IF($F342="","",IF(OR($G342="",$H342="",$I342="",$G342&lt;1300,$G342&gt;1500,$H342&lt;1,$H342&gt;12,$I342&lt;1,$I342&gt;31),"نامعتبر",RIGHT("0000"&amp;$G342,4)&amp;"/"&amp;RIGHT("00"&amp;$H342,2)&amp;"/"&amp;RIGHT("00"&amp;$I342,2)))</f>
        <v/>
      </c>
      <c r="K342">
        <f>IF(OR($F342="",$J342="",$J342="نامعتبر"),"",LEFT($J342,4)&amp;MID($J342,6,2)&amp;RIGHT($J342,2)&amp;$N342&amp;"|"&amp;"2"&amp;RIGHT("00000"&amp;337,5))</f>
        <v/>
      </c>
      <c r="L342">
        <f>IF($K342="","",COUNTIFS(LdgSellerA,$F342,LdgKeyA,"&lt;"&amp;$K342)+COUNTIFS(LdgSellerB,$F342,LdgKeyB,"&lt;"&amp;$K342)+1)</f>
        <v/>
      </c>
      <c r="M342">
        <f>IF($L342="","",$F342&amp;"|"&amp;RIGHT("000000"&amp;$L342,6))</f>
        <v/>
      </c>
      <c r="N342">
        <f>IF($F342="","",IF(Sync!$AF342="","0000",IF(AND(ISNUMBER(Sync!$AF342),Sync!$AF342&gt;=0,Sync!$AF342&lt;1),RIGHT("00"&amp;HOUR(Sync!$AF342),2)&amp;RIGHT("00"&amp;MINUTE(Sync!$AF342),2),IFERROR(RIGHT("00"&amp;VALUE(LEFT(Sync!$AF342,FIND(":",Sync!$AF342)-1)),2)&amp;RIGHT("00"&amp;VALUE(MID(Sync!$AF342,FIND(":",Sync!$AF342)+1,2)),2),"0000"))))</f>
        <v/>
      </c>
    </row>
    <row r="343">
      <c r="A343">
        <f>IF(OR(Calc!$E347="",Calc!$E347="نامعتبر",Calc!$G347=""),"",Calc!$G347)</f>
        <v/>
      </c>
      <c r="B343">
        <f>IF($A343="","",LEFT(Calc!$E347,4)&amp;MID(Calc!$E347,6,2)&amp;RIGHT(Calc!$E347,2)&amp;Calc!$Q347&amp;"|"&amp;"1"&amp;RIGHT("00000"&amp;338,5))</f>
        <v/>
      </c>
      <c r="C343">
        <f>IF($B343="","",COUNTIFS(LdgSellerA,$A343,LdgKeyA,"&lt;"&amp;$B343)+COUNTIFS(LdgSellerB,$A343,LdgKeyB,"&lt;"&amp;$B343)+1)</f>
        <v/>
      </c>
      <c r="D343">
        <f>IF($C343="","",$A343&amp;"|"&amp;RIGHT("000000"&amp;$C343,6))</f>
        <v/>
      </c>
      <c r="F343">
        <f>IF(Sync!$AH343="","",IF(LEFT(UPPER(TRIM(Sync!$AH343)),2)="SL",UPPER(TRIM(Sync!$AH343)),""))</f>
        <v/>
      </c>
      <c r="G343">
        <f>IF($F343="","",IF(Sync!$AE343="","",IF(ISNUMBER(Sync!$AE343),IF(AND(Sync!$AE343&gt;=10000101,Sync!$AE343&lt;=99991231),INT(Sync!$AE343/10000),""),IFERROR(VALUE(TRIM(LEFT(Sync!$AE343,FIND("/",Sync!$AE343)-1))),""))))</f>
        <v/>
      </c>
      <c r="H343">
        <f>IF(OR($F343="",$G343=""),"",IF(ISNUMBER(Sync!$AE343),INT(MOD(Sync!$AE343,10000)/100),IFERROR(VALUE(TRIM(LEFT(MID(Sync!$AE343,FIND("/",Sync!$AE343)+1,20),FIND("/",MID(Sync!$AE343,FIND("/",Sync!$AE343)+1,20))-1))),"")))</f>
        <v/>
      </c>
      <c r="I343">
        <f>IF(OR($F343="",$G343=""),"",IF(ISNUMBER(Sync!$AE343),MOD(Sync!$AE343,100),IFERROR(VALUE(TRIM(MID(MID(Sync!$AE343,FIND("/",Sync!$AE343)+1,20),FIND("/",MID(Sync!$AE343,FIND("/",Sync!$AE343)+1,20))+1,20))),"")))</f>
        <v/>
      </c>
      <c r="J343">
        <f>IF($F343="","",IF(OR($G343="",$H343="",$I343="",$G343&lt;1300,$G343&gt;1500,$H343&lt;1,$H343&gt;12,$I343&lt;1,$I343&gt;31),"نامعتبر",RIGHT("0000"&amp;$G343,4)&amp;"/"&amp;RIGHT("00"&amp;$H343,2)&amp;"/"&amp;RIGHT("00"&amp;$I343,2)))</f>
        <v/>
      </c>
      <c r="K343">
        <f>IF(OR($F343="",$J343="",$J343="نامعتبر"),"",LEFT($J343,4)&amp;MID($J343,6,2)&amp;RIGHT($J343,2)&amp;$N343&amp;"|"&amp;"2"&amp;RIGHT("00000"&amp;338,5))</f>
        <v/>
      </c>
      <c r="L343">
        <f>IF($K343="","",COUNTIFS(LdgSellerA,$F343,LdgKeyA,"&lt;"&amp;$K343)+COUNTIFS(LdgSellerB,$F343,LdgKeyB,"&lt;"&amp;$K343)+1)</f>
        <v/>
      </c>
      <c r="M343">
        <f>IF($L343="","",$F343&amp;"|"&amp;RIGHT("000000"&amp;$L343,6))</f>
        <v/>
      </c>
      <c r="N343">
        <f>IF($F343="","",IF(Sync!$AF343="","0000",IF(AND(ISNUMBER(Sync!$AF343),Sync!$AF343&gt;=0,Sync!$AF343&lt;1),RIGHT("00"&amp;HOUR(Sync!$AF343),2)&amp;RIGHT("00"&amp;MINUTE(Sync!$AF343),2),IFERROR(RIGHT("00"&amp;VALUE(LEFT(Sync!$AF343,FIND(":",Sync!$AF343)-1)),2)&amp;RIGHT("00"&amp;VALUE(MID(Sync!$AF343,FIND(":",Sync!$AF343)+1,2)),2),"0000"))))</f>
        <v/>
      </c>
    </row>
    <row r="344">
      <c r="A344">
        <f>IF(OR(Calc!$E348="",Calc!$E348="نامعتبر",Calc!$G348=""),"",Calc!$G348)</f>
        <v/>
      </c>
      <c r="B344">
        <f>IF($A344="","",LEFT(Calc!$E348,4)&amp;MID(Calc!$E348,6,2)&amp;RIGHT(Calc!$E348,2)&amp;Calc!$Q348&amp;"|"&amp;"1"&amp;RIGHT("00000"&amp;339,5))</f>
        <v/>
      </c>
      <c r="C344">
        <f>IF($B344="","",COUNTIFS(LdgSellerA,$A344,LdgKeyA,"&lt;"&amp;$B344)+COUNTIFS(LdgSellerB,$A344,LdgKeyB,"&lt;"&amp;$B344)+1)</f>
        <v/>
      </c>
      <c r="D344">
        <f>IF($C344="","",$A344&amp;"|"&amp;RIGHT("000000"&amp;$C344,6))</f>
        <v/>
      </c>
      <c r="F344">
        <f>IF(Sync!$AH344="","",IF(LEFT(UPPER(TRIM(Sync!$AH344)),2)="SL",UPPER(TRIM(Sync!$AH344)),""))</f>
        <v/>
      </c>
      <c r="G344">
        <f>IF($F344="","",IF(Sync!$AE344="","",IF(ISNUMBER(Sync!$AE344),IF(AND(Sync!$AE344&gt;=10000101,Sync!$AE344&lt;=99991231),INT(Sync!$AE344/10000),""),IFERROR(VALUE(TRIM(LEFT(Sync!$AE344,FIND("/",Sync!$AE344)-1))),""))))</f>
        <v/>
      </c>
      <c r="H344">
        <f>IF(OR($F344="",$G344=""),"",IF(ISNUMBER(Sync!$AE344),INT(MOD(Sync!$AE344,10000)/100),IFERROR(VALUE(TRIM(LEFT(MID(Sync!$AE344,FIND("/",Sync!$AE344)+1,20),FIND("/",MID(Sync!$AE344,FIND("/",Sync!$AE344)+1,20))-1))),"")))</f>
        <v/>
      </c>
      <c r="I344">
        <f>IF(OR($F344="",$G344=""),"",IF(ISNUMBER(Sync!$AE344),MOD(Sync!$AE344,100),IFERROR(VALUE(TRIM(MID(MID(Sync!$AE344,FIND("/",Sync!$AE344)+1,20),FIND("/",MID(Sync!$AE344,FIND("/",Sync!$AE344)+1,20))+1,20))),"")))</f>
        <v/>
      </c>
      <c r="J344">
        <f>IF($F344="","",IF(OR($G344="",$H344="",$I344="",$G344&lt;1300,$G344&gt;1500,$H344&lt;1,$H344&gt;12,$I344&lt;1,$I344&gt;31),"نامعتبر",RIGHT("0000"&amp;$G344,4)&amp;"/"&amp;RIGHT("00"&amp;$H344,2)&amp;"/"&amp;RIGHT("00"&amp;$I344,2)))</f>
        <v/>
      </c>
      <c r="K344">
        <f>IF(OR($F344="",$J344="",$J344="نامعتبر"),"",LEFT($J344,4)&amp;MID($J344,6,2)&amp;RIGHT($J344,2)&amp;$N344&amp;"|"&amp;"2"&amp;RIGHT("00000"&amp;339,5))</f>
        <v/>
      </c>
      <c r="L344">
        <f>IF($K344="","",COUNTIFS(LdgSellerA,$F344,LdgKeyA,"&lt;"&amp;$K344)+COUNTIFS(LdgSellerB,$F344,LdgKeyB,"&lt;"&amp;$K344)+1)</f>
        <v/>
      </c>
      <c r="M344">
        <f>IF($L344="","",$F344&amp;"|"&amp;RIGHT("000000"&amp;$L344,6))</f>
        <v/>
      </c>
      <c r="N344">
        <f>IF($F344="","",IF(Sync!$AF344="","0000",IF(AND(ISNUMBER(Sync!$AF344),Sync!$AF344&gt;=0,Sync!$AF344&lt;1),RIGHT("00"&amp;HOUR(Sync!$AF344),2)&amp;RIGHT("00"&amp;MINUTE(Sync!$AF344),2),IFERROR(RIGHT("00"&amp;VALUE(LEFT(Sync!$AF344,FIND(":",Sync!$AF344)-1)),2)&amp;RIGHT("00"&amp;VALUE(MID(Sync!$AF344,FIND(":",Sync!$AF344)+1,2)),2),"0000"))))</f>
        <v/>
      </c>
    </row>
    <row r="345">
      <c r="A345">
        <f>IF(OR(Calc!$E349="",Calc!$E349="نامعتبر",Calc!$G349=""),"",Calc!$G349)</f>
        <v/>
      </c>
      <c r="B345">
        <f>IF($A345="","",LEFT(Calc!$E349,4)&amp;MID(Calc!$E349,6,2)&amp;RIGHT(Calc!$E349,2)&amp;Calc!$Q349&amp;"|"&amp;"1"&amp;RIGHT("00000"&amp;340,5))</f>
        <v/>
      </c>
      <c r="C345">
        <f>IF($B345="","",COUNTIFS(LdgSellerA,$A345,LdgKeyA,"&lt;"&amp;$B345)+COUNTIFS(LdgSellerB,$A345,LdgKeyB,"&lt;"&amp;$B345)+1)</f>
        <v/>
      </c>
      <c r="D345">
        <f>IF($C345="","",$A345&amp;"|"&amp;RIGHT("000000"&amp;$C345,6))</f>
        <v/>
      </c>
      <c r="F345">
        <f>IF(Sync!$AH345="","",IF(LEFT(UPPER(TRIM(Sync!$AH345)),2)="SL",UPPER(TRIM(Sync!$AH345)),""))</f>
        <v/>
      </c>
      <c r="G345">
        <f>IF($F345="","",IF(Sync!$AE345="","",IF(ISNUMBER(Sync!$AE345),IF(AND(Sync!$AE345&gt;=10000101,Sync!$AE345&lt;=99991231),INT(Sync!$AE345/10000),""),IFERROR(VALUE(TRIM(LEFT(Sync!$AE345,FIND("/",Sync!$AE345)-1))),""))))</f>
        <v/>
      </c>
      <c r="H345">
        <f>IF(OR($F345="",$G345=""),"",IF(ISNUMBER(Sync!$AE345),INT(MOD(Sync!$AE345,10000)/100),IFERROR(VALUE(TRIM(LEFT(MID(Sync!$AE345,FIND("/",Sync!$AE345)+1,20),FIND("/",MID(Sync!$AE345,FIND("/",Sync!$AE345)+1,20))-1))),"")))</f>
        <v/>
      </c>
      <c r="I345">
        <f>IF(OR($F345="",$G345=""),"",IF(ISNUMBER(Sync!$AE345),MOD(Sync!$AE345,100),IFERROR(VALUE(TRIM(MID(MID(Sync!$AE345,FIND("/",Sync!$AE345)+1,20),FIND("/",MID(Sync!$AE345,FIND("/",Sync!$AE345)+1,20))+1,20))),"")))</f>
        <v/>
      </c>
      <c r="J345">
        <f>IF($F345="","",IF(OR($G345="",$H345="",$I345="",$G345&lt;1300,$G345&gt;1500,$H345&lt;1,$H345&gt;12,$I345&lt;1,$I345&gt;31),"نامعتبر",RIGHT("0000"&amp;$G345,4)&amp;"/"&amp;RIGHT("00"&amp;$H345,2)&amp;"/"&amp;RIGHT("00"&amp;$I345,2)))</f>
        <v/>
      </c>
      <c r="K345">
        <f>IF(OR($F345="",$J345="",$J345="نامعتبر"),"",LEFT($J345,4)&amp;MID($J345,6,2)&amp;RIGHT($J345,2)&amp;$N345&amp;"|"&amp;"2"&amp;RIGHT("00000"&amp;340,5))</f>
        <v/>
      </c>
      <c r="L345">
        <f>IF($K345="","",COUNTIFS(LdgSellerA,$F345,LdgKeyA,"&lt;"&amp;$K345)+COUNTIFS(LdgSellerB,$F345,LdgKeyB,"&lt;"&amp;$K345)+1)</f>
        <v/>
      </c>
      <c r="M345">
        <f>IF($L345="","",$F345&amp;"|"&amp;RIGHT("000000"&amp;$L345,6))</f>
        <v/>
      </c>
      <c r="N345">
        <f>IF($F345="","",IF(Sync!$AF345="","0000",IF(AND(ISNUMBER(Sync!$AF345),Sync!$AF345&gt;=0,Sync!$AF345&lt;1),RIGHT("00"&amp;HOUR(Sync!$AF345),2)&amp;RIGHT("00"&amp;MINUTE(Sync!$AF345),2),IFERROR(RIGHT("00"&amp;VALUE(LEFT(Sync!$AF345,FIND(":",Sync!$AF345)-1)),2)&amp;RIGHT("00"&amp;VALUE(MID(Sync!$AF345,FIND(":",Sync!$AF345)+1,2)),2),"0000"))))</f>
        <v/>
      </c>
    </row>
    <row r="346">
      <c r="A346">
        <f>IF(OR(Calc!$E350="",Calc!$E350="نامعتبر",Calc!$G350=""),"",Calc!$G350)</f>
        <v/>
      </c>
      <c r="B346">
        <f>IF($A346="","",LEFT(Calc!$E350,4)&amp;MID(Calc!$E350,6,2)&amp;RIGHT(Calc!$E350,2)&amp;Calc!$Q350&amp;"|"&amp;"1"&amp;RIGHT("00000"&amp;341,5))</f>
        <v/>
      </c>
      <c r="C346">
        <f>IF($B346="","",COUNTIFS(LdgSellerA,$A346,LdgKeyA,"&lt;"&amp;$B346)+COUNTIFS(LdgSellerB,$A346,LdgKeyB,"&lt;"&amp;$B346)+1)</f>
        <v/>
      </c>
      <c r="D346">
        <f>IF($C346="","",$A346&amp;"|"&amp;RIGHT("000000"&amp;$C346,6))</f>
        <v/>
      </c>
      <c r="F346">
        <f>IF(Sync!$AH346="","",IF(LEFT(UPPER(TRIM(Sync!$AH346)),2)="SL",UPPER(TRIM(Sync!$AH346)),""))</f>
        <v/>
      </c>
      <c r="G346">
        <f>IF($F346="","",IF(Sync!$AE346="","",IF(ISNUMBER(Sync!$AE346),IF(AND(Sync!$AE346&gt;=10000101,Sync!$AE346&lt;=99991231),INT(Sync!$AE346/10000),""),IFERROR(VALUE(TRIM(LEFT(Sync!$AE346,FIND("/",Sync!$AE346)-1))),""))))</f>
        <v/>
      </c>
      <c r="H346">
        <f>IF(OR($F346="",$G346=""),"",IF(ISNUMBER(Sync!$AE346),INT(MOD(Sync!$AE346,10000)/100),IFERROR(VALUE(TRIM(LEFT(MID(Sync!$AE346,FIND("/",Sync!$AE346)+1,20),FIND("/",MID(Sync!$AE346,FIND("/",Sync!$AE346)+1,20))-1))),"")))</f>
        <v/>
      </c>
      <c r="I346">
        <f>IF(OR($F346="",$G346=""),"",IF(ISNUMBER(Sync!$AE346),MOD(Sync!$AE346,100),IFERROR(VALUE(TRIM(MID(MID(Sync!$AE346,FIND("/",Sync!$AE346)+1,20),FIND("/",MID(Sync!$AE346,FIND("/",Sync!$AE346)+1,20))+1,20))),"")))</f>
        <v/>
      </c>
      <c r="J346">
        <f>IF($F346="","",IF(OR($G346="",$H346="",$I346="",$G346&lt;1300,$G346&gt;1500,$H346&lt;1,$H346&gt;12,$I346&lt;1,$I346&gt;31),"نامعتبر",RIGHT("0000"&amp;$G346,4)&amp;"/"&amp;RIGHT("00"&amp;$H346,2)&amp;"/"&amp;RIGHT("00"&amp;$I346,2)))</f>
        <v/>
      </c>
      <c r="K346">
        <f>IF(OR($F346="",$J346="",$J346="نامعتبر"),"",LEFT($J346,4)&amp;MID($J346,6,2)&amp;RIGHT($J346,2)&amp;$N346&amp;"|"&amp;"2"&amp;RIGHT("00000"&amp;341,5))</f>
        <v/>
      </c>
      <c r="L346">
        <f>IF($K346="","",COUNTIFS(LdgSellerA,$F346,LdgKeyA,"&lt;"&amp;$K346)+COUNTIFS(LdgSellerB,$F346,LdgKeyB,"&lt;"&amp;$K346)+1)</f>
        <v/>
      </c>
      <c r="M346">
        <f>IF($L346="","",$F346&amp;"|"&amp;RIGHT("000000"&amp;$L346,6))</f>
        <v/>
      </c>
      <c r="N346">
        <f>IF($F346="","",IF(Sync!$AF346="","0000",IF(AND(ISNUMBER(Sync!$AF346),Sync!$AF346&gt;=0,Sync!$AF346&lt;1),RIGHT("00"&amp;HOUR(Sync!$AF346),2)&amp;RIGHT("00"&amp;MINUTE(Sync!$AF346),2),IFERROR(RIGHT("00"&amp;VALUE(LEFT(Sync!$AF346,FIND(":",Sync!$AF346)-1)),2)&amp;RIGHT("00"&amp;VALUE(MID(Sync!$AF346,FIND(":",Sync!$AF346)+1,2)),2),"0000"))))</f>
        <v/>
      </c>
    </row>
    <row r="347">
      <c r="A347">
        <f>IF(OR(Calc!$E351="",Calc!$E351="نامعتبر",Calc!$G351=""),"",Calc!$G351)</f>
        <v/>
      </c>
      <c r="B347">
        <f>IF($A347="","",LEFT(Calc!$E351,4)&amp;MID(Calc!$E351,6,2)&amp;RIGHT(Calc!$E351,2)&amp;Calc!$Q351&amp;"|"&amp;"1"&amp;RIGHT("00000"&amp;342,5))</f>
        <v/>
      </c>
      <c r="C347">
        <f>IF($B347="","",COUNTIFS(LdgSellerA,$A347,LdgKeyA,"&lt;"&amp;$B347)+COUNTIFS(LdgSellerB,$A347,LdgKeyB,"&lt;"&amp;$B347)+1)</f>
        <v/>
      </c>
      <c r="D347">
        <f>IF($C347="","",$A347&amp;"|"&amp;RIGHT("000000"&amp;$C347,6))</f>
        <v/>
      </c>
      <c r="F347">
        <f>IF(Sync!$AH347="","",IF(LEFT(UPPER(TRIM(Sync!$AH347)),2)="SL",UPPER(TRIM(Sync!$AH347)),""))</f>
        <v/>
      </c>
      <c r="G347">
        <f>IF($F347="","",IF(Sync!$AE347="","",IF(ISNUMBER(Sync!$AE347),IF(AND(Sync!$AE347&gt;=10000101,Sync!$AE347&lt;=99991231),INT(Sync!$AE347/10000),""),IFERROR(VALUE(TRIM(LEFT(Sync!$AE347,FIND("/",Sync!$AE347)-1))),""))))</f>
        <v/>
      </c>
      <c r="H347">
        <f>IF(OR($F347="",$G347=""),"",IF(ISNUMBER(Sync!$AE347),INT(MOD(Sync!$AE347,10000)/100),IFERROR(VALUE(TRIM(LEFT(MID(Sync!$AE347,FIND("/",Sync!$AE347)+1,20),FIND("/",MID(Sync!$AE347,FIND("/",Sync!$AE347)+1,20))-1))),"")))</f>
        <v/>
      </c>
      <c r="I347">
        <f>IF(OR($F347="",$G347=""),"",IF(ISNUMBER(Sync!$AE347),MOD(Sync!$AE347,100),IFERROR(VALUE(TRIM(MID(MID(Sync!$AE347,FIND("/",Sync!$AE347)+1,20),FIND("/",MID(Sync!$AE347,FIND("/",Sync!$AE347)+1,20))+1,20))),"")))</f>
        <v/>
      </c>
      <c r="J347">
        <f>IF($F347="","",IF(OR($G347="",$H347="",$I347="",$G347&lt;1300,$G347&gt;1500,$H347&lt;1,$H347&gt;12,$I347&lt;1,$I347&gt;31),"نامعتبر",RIGHT("0000"&amp;$G347,4)&amp;"/"&amp;RIGHT("00"&amp;$H347,2)&amp;"/"&amp;RIGHT("00"&amp;$I347,2)))</f>
        <v/>
      </c>
      <c r="K347">
        <f>IF(OR($F347="",$J347="",$J347="نامعتبر"),"",LEFT($J347,4)&amp;MID($J347,6,2)&amp;RIGHT($J347,2)&amp;$N347&amp;"|"&amp;"2"&amp;RIGHT("00000"&amp;342,5))</f>
        <v/>
      </c>
      <c r="L347">
        <f>IF($K347="","",COUNTIFS(LdgSellerA,$F347,LdgKeyA,"&lt;"&amp;$K347)+COUNTIFS(LdgSellerB,$F347,LdgKeyB,"&lt;"&amp;$K347)+1)</f>
        <v/>
      </c>
      <c r="M347">
        <f>IF($L347="","",$F347&amp;"|"&amp;RIGHT("000000"&amp;$L347,6))</f>
        <v/>
      </c>
      <c r="N347">
        <f>IF($F347="","",IF(Sync!$AF347="","0000",IF(AND(ISNUMBER(Sync!$AF347),Sync!$AF347&gt;=0,Sync!$AF347&lt;1),RIGHT("00"&amp;HOUR(Sync!$AF347),2)&amp;RIGHT("00"&amp;MINUTE(Sync!$AF347),2),IFERROR(RIGHT("00"&amp;VALUE(LEFT(Sync!$AF347,FIND(":",Sync!$AF347)-1)),2)&amp;RIGHT("00"&amp;VALUE(MID(Sync!$AF347,FIND(":",Sync!$AF347)+1,2)),2),"0000"))))</f>
        <v/>
      </c>
    </row>
    <row r="348">
      <c r="A348">
        <f>IF(OR(Calc!$E352="",Calc!$E352="نامعتبر",Calc!$G352=""),"",Calc!$G352)</f>
        <v/>
      </c>
      <c r="B348">
        <f>IF($A348="","",LEFT(Calc!$E352,4)&amp;MID(Calc!$E352,6,2)&amp;RIGHT(Calc!$E352,2)&amp;Calc!$Q352&amp;"|"&amp;"1"&amp;RIGHT("00000"&amp;343,5))</f>
        <v/>
      </c>
      <c r="C348">
        <f>IF($B348="","",COUNTIFS(LdgSellerA,$A348,LdgKeyA,"&lt;"&amp;$B348)+COUNTIFS(LdgSellerB,$A348,LdgKeyB,"&lt;"&amp;$B348)+1)</f>
        <v/>
      </c>
      <c r="D348">
        <f>IF($C348="","",$A348&amp;"|"&amp;RIGHT("000000"&amp;$C348,6))</f>
        <v/>
      </c>
      <c r="F348">
        <f>IF(Sync!$AH348="","",IF(LEFT(UPPER(TRIM(Sync!$AH348)),2)="SL",UPPER(TRIM(Sync!$AH348)),""))</f>
        <v/>
      </c>
      <c r="G348">
        <f>IF($F348="","",IF(Sync!$AE348="","",IF(ISNUMBER(Sync!$AE348),IF(AND(Sync!$AE348&gt;=10000101,Sync!$AE348&lt;=99991231),INT(Sync!$AE348/10000),""),IFERROR(VALUE(TRIM(LEFT(Sync!$AE348,FIND("/",Sync!$AE348)-1))),""))))</f>
        <v/>
      </c>
      <c r="H348">
        <f>IF(OR($F348="",$G348=""),"",IF(ISNUMBER(Sync!$AE348),INT(MOD(Sync!$AE348,10000)/100),IFERROR(VALUE(TRIM(LEFT(MID(Sync!$AE348,FIND("/",Sync!$AE348)+1,20),FIND("/",MID(Sync!$AE348,FIND("/",Sync!$AE348)+1,20))-1))),"")))</f>
        <v/>
      </c>
      <c r="I348">
        <f>IF(OR($F348="",$G348=""),"",IF(ISNUMBER(Sync!$AE348),MOD(Sync!$AE348,100),IFERROR(VALUE(TRIM(MID(MID(Sync!$AE348,FIND("/",Sync!$AE348)+1,20),FIND("/",MID(Sync!$AE348,FIND("/",Sync!$AE348)+1,20))+1,20))),"")))</f>
        <v/>
      </c>
      <c r="J348">
        <f>IF($F348="","",IF(OR($G348="",$H348="",$I348="",$G348&lt;1300,$G348&gt;1500,$H348&lt;1,$H348&gt;12,$I348&lt;1,$I348&gt;31),"نامعتبر",RIGHT("0000"&amp;$G348,4)&amp;"/"&amp;RIGHT("00"&amp;$H348,2)&amp;"/"&amp;RIGHT("00"&amp;$I348,2)))</f>
        <v/>
      </c>
      <c r="K348">
        <f>IF(OR($F348="",$J348="",$J348="نامعتبر"),"",LEFT($J348,4)&amp;MID($J348,6,2)&amp;RIGHT($J348,2)&amp;$N348&amp;"|"&amp;"2"&amp;RIGHT("00000"&amp;343,5))</f>
        <v/>
      </c>
      <c r="L348">
        <f>IF($K348="","",COUNTIFS(LdgSellerA,$F348,LdgKeyA,"&lt;"&amp;$K348)+COUNTIFS(LdgSellerB,$F348,LdgKeyB,"&lt;"&amp;$K348)+1)</f>
        <v/>
      </c>
      <c r="M348">
        <f>IF($L348="","",$F348&amp;"|"&amp;RIGHT("000000"&amp;$L348,6))</f>
        <v/>
      </c>
      <c r="N348">
        <f>IF($F348="","",IF(Sync!$AF348="","0000",IF(AND(ISNUMBER(Sync!$AF348),Sync!$AF348&gt;=0,Sync!$AF348&lt;1),RIGHT("00"&amp;HOUR(Sync!$AF348),2)&amp;RIGHT("00"&amp;MINUTE(Sync!$AF348),2),IFERROR(RIGHT("00"&amp;VALUE(LEFT(Sync!$AF348,FIND(":",Sync!$AF348)-1)),2)&amp;RIGHT("00"&amp;VALUE(MID(Sync!$AF348,FIND(":",Sync!$AF348)+1,2)),2),"0000"))))</f>
        <v/>
      </c>
    </row>
    <row r="349">
      <c r="A349">
        <f>IF(OR(Calc!$E353="",Calc!$E353="نامعتبر",Calc!$G353=""),"",Calc!$G353)</f>
        <v/>
      </c>
      <c r="B349">
        <f>IF($A349="","",LEFT(Calc!$E353,4)&amp;MID(Calc!$E353,6,2)&amp;RIGHT(Calc!$E353,2)&amp;Calc!$Q353&amp;"|"&amp;"1"&amp;RIGHT("00000"&amp;344,5))</f>
        <v/>
      </c>
      <c r="C349">
        <f>IF($B349="","",COUNTIFS(LdgSellerA,$A349,LdgKeyA,"&lt;"&amp;$B349)+COUNTIFS(LdgSellerB,$A349,LdgKeyB,"&lt;"&amp;$B349)+1)</f>
        <v/>
      </c>
      <c r="D349">
        <f>IF($C349="","",$A349&amp;"|"&amp;RIGHT("000000"&amp;$C349,6))</f>
        <v/>
      </c>
      <c r="F349">
        <f>IF(Sync!$AH349="","",IF(LEFT(UPPER(TRIM(Sync!$AH349)),2)="SL",UPPER(TRIM(Sync!$AH349)),""))</f>
        <v/>
      </c>
      <c r="G349">
        <f>IF($F349="","",IF(Sync!$AE349="","",IF(ISNUMBER(Sync!$AE349),IF(AND(Sync!$AE349&gt;=10000101,Sync!$AE349&lt;=99991231),INT(Sync!$AE349/10000),""),IFERROR(VALUE(TRIM(LEFT(Sync!$AE349,FIND("/",Sync!$AE349)-1))),""))))</f>
        <v/>
      </c>
      <c r="H349">
        <f>IF(OR($F349="",$G349=""),"",IF(ISNUMBER(Sync!$AE349),INT(MOD(Sync!$AE349,10000)/100),IFERROR(VALUE(TRIM(LEFT(MID(Sync!$AE349,FIND("/",Sync!$AE349)+1,20),FIND("/",MID(Sync!$AE349,FIND("/",Sync!$AE349)+1,20))-1))),"")))</f>
        <v/>
      </c>
      <c r="I349">
        <f>IF(OR($F349="",$G349=""),"",IF(ISNUMBER(Sync!$AE349),MOD(Sync!$AE349,100),IFERROR(VALUE(TRIM(MID(MID(Sync!$AE349,FIND("/",Sync!$AE349)+1,20),FIND("/",MID(Sync!$AE349,FIND("/",Sync!$AE349)+1,20))+1,20))),"")))</f>
        <v/>
      </c>
      <c r="J349">
        <f>IF($F349="","",IF(OR($G349="",$H349="",$I349="",$G349&lt;1300,$G349&gt;1500,$H349&lt;1,$H349&gt;12,$I349&lt;1,$I349&gt;31),"نامعتبر",RIGHT("0000"&amp;$G349,4)&amp;"/"&amp;RIGHT("00"&amp;$H349,2)&amp;"/"&amp;RIGHT("00"&amp;$I349,2)))</f>
        <v/>
      </c>
      <c r="K349">
        <f>IF(OR($F349="",$J349="",$J349="نامعتبر"),"",LEFT($J349,4)&amp;MID($J349,6,2)&amp;RIGHT($J349,2)&amp;$N349&amp;"|"&amp;"2"&amp;RIGHT("00000"&amp;344,5))</f>
        <v/>
      </c>
      <c r="L349">
        <f>IF($K349="","",COUNTIFS(LdgSellerA,$F349,LdgKeyA,"&lt;"&amp;$K349)+COUNTIFS(LdgSellerB,$F349,LdgKeyB,"&lt;"&amp;$K349)+1)</f>
        <v/>
      </c>
      <c r="M349">
        <f>IF($L349="","",$F349&amp;"|"&amp;RIGHT("000000"&amp;$L349,6))</f>
        <v/>
      </c>
      <c r="N349">
        <f>IF($F349="","",IF(Sync!$AF349="","0000",IF(AND(ISNUMBER(Sync!$AF349),Sync!$AF349&gt;=0,Sync!$AF349&lt;1),RIGHT("00"&amp;HOUR(Sync!$AF349),2)&amp;RIGHT("00"&amp;MINUTE(Sync!$AF349),2),IFERROR(RIGHT("00"&amp;VALUE(LEFT(Sync!$AF349,FIND(":",Sync!$AF349)-1)),2)&amp;RIGHT("00"&amp;VALUE(MID(Sync!$AF349,FIND(":",Sync!$AF349)+1,2)),2),"0000"))))</f>
        <v/>
      </c>
    </row>
    <row r="350">
      <c r="A350">
        <f>IF(OR(Calc!$E354="",Calc!$E354="نامعتبر",Calc!$G354=""),"",Calc!$G354)</f>
        <v/>
      </c>
      <c r="B350">
        <f>IF($A350="","",LEFT(Calc!$E354,4)&amp;MID(Calc!$E354,6,2)&amp;RIGHT(Calc!$E354,2)&amp;Calc!$Q354&amp;"|"&amp;"1"&amp;RIGHT("00000"&amp;345,5))</f>
        <v/>
      </c>
      <c r="C350">
        <f>IF($B350="","",COUNTIFS(LdgSellerA,$A350,LdgKeyA,"&lt;"&amp;$B350)+COUNTIFS(LdgSellerB,$A350,LdgKeyB,"&lt;"&amp;$B350)+1)</f>
        <v/>
      </c>
      <c r="D350">
        <f>IF($C350="","",$A350&amp;"|"&amp;RIGHT("000000"&amp;$C350,6))</f>
        <v/>
      </c>
      <c r="F350">
        <f>IF(Sync!$AH350="","",IF(LEFT(UPPER(TRIM(Sync!$AH350)),2)="SL",UPPER(TRIM(Sync!$AH350)),""))</f>
        <v/>
      </c>
      <c r="G350">
        <f>IF($F350="","",IF(Sync!$AE350="","",IF(ISNUMBER(Sync!$AE350),IF(AND(Sync!$AE350&gt;=10000101,Sync!$AE350&lt;=99991231),INT(Sync!$AE350/10000),""),IFERROR(VALUE(TRIM(LEFT(Sync!$AE350,FIND("/",Sync!$AE350)-1))),""))))</f>
        <v/>
      </c>
      <c r="H350">
        <f>IF(OR($F350="",$G350=""),"",IF(ISNUMBER(Sync!$AE350),INT(MOD(Sync!$AE350,10000)/100),IFERROR(VALUE(TRIM(LEFT(MID(Sync!$AE350,FIND("/",Sync!$AE350)+1,20),FIND("/",MID(Sync!$AE350,FIND("/",Sync!$AE350)+1,20))-1))),"")))</f>
        <v/>
      </c>
      <c r="I350">
        <f>IF(OR($F350="",$G350=""),"",IF(ISNUMBER(Sync!$AE350),MOD(Sync!$AE350,100),IFERROR(VALUE(TRIM(MID(MID(Sync!$AE350,FIND("/",Sync!$AE350)+1,20),FIND("/",MID(Sync!$AE350,FIND("/",Sync!$AE350)+1,20))+1,20))),"")))</f>
        <v/>
      </c>
      <c r="J350">
        <f>IF($F350="","",IF(OR($G350="",$H350="",$I350="",$G350&lt;1300,$G350&gt;1500,$H350&lt;1,$H350&gt;12,$I350&lt;1,$I350&gt;31),"نامعتبر",RIGHT("0000"&amp;$G350,4)&amp;"/"&amp;RIGHT("00"&amp;$H350,2)&amp;"/"&amp;RIGHT("00"&amp;$I350,2)))</f>
        <v/>
      </c>
      <c r="K350">
        <f>IF(OR($F350="",$J350="",$J350="نامعتبر"),"",LEFT($J350,4)&amp;MID($J350,6,2)&amp;RIGHT($J350,2)&amp;$N350&amp;"|"&amp;"2"&amp;RIGHT("00000"&amp;345,5))</f>
        <v/>
      </c>
      <c r="L350">
        <f>IF($K350="","",COUNTIFS(LdgSellerA,$F350,LdgKeyA,"&lt;"&amp;$K350)+COUNTIFS(LdgSellerB,$F350,LdgKeyB,"&lt;"&amp;$K350)+1)</f>
        <v/>
      </c>
      <c r="M350">
        <f>IF($L350="","",$F350&amp;"|"&amp;RIGHT("000000"&amp;$L350,6))</f>
        <v/>
      </c>
      <c r="N350">
        <f>IF($F350="","",IF(Sync!$AF350="","0000",IF(AND(ISNUMBER(Sync!$AF350),Sync!$AF350&gt;=0,Sync!$AF350&lt;1),RIGHT("00"&amp;HOUR(Sync!$AF350),2)&amp;RIGHT("00"&amp;MINUTE(Sync!$AF350),2),IFERROR(RIGHT("00"&amp;VALUE(LEFT(Sync!$AF350,FIND(":",Sync!$AF350)-1)),2)&amp;RIGHT("00"&amp;VALUE(MID(Sync!$AF350,FIND(":",Sync!$AF350)+1,2)),2),"0000"))))</f>
        <v/>
      </c>
    </row>
    <row r="351">
      <c r="A351">
        <f>IF(OR(Calc!$E355="",Calc!$E355="نامعتبر",Calc!$G355=""),"",Calc!$G355)</f>
        <v/>
      </c>
      <c r="B351">
        <f>IF($A351="","",LEFT(Calc!$E355,4)&amp;MID(Calc!$E355,6,2)&amp;RIGHT(Calc!$E355,2)&amp;Calc!$Q355&amp;"|"&amp;"1"&amp;RIGHT("00000"&amp;346,5))</f>
        <v/>
      </c>
      <c r="C351">
        <f>IF($B351="","",COUNTIFS(LdgSellerA,$A351,LdgKeyA,"&lt;"&amp;$B351)+COUNTIFS(LdgSellerB,$A351,LdgKeyB,"&lt;"&amp;$B351)+1)</f>
        <v/>
      </c>
      <c r="D351">
        <f>IF($C351="","",$A351&amp;"|"&amp;RIGHT("000000"&amp;$C351,6))</f>
        <v/>
      </c>
      <c r="F351">
        <f>IF(Sync!$AH351="","",IF(LEFT(UPPER(TRIM(Sync!$AH351)),2)="SL",UPPER(TRIM(Sync!$AH351)),""))</f>
        <v/>
      </c>
      <c r="G351">
        <f>IF($F351="","",IF(Sync!$AE351="","",IF(ISNUMBER(Sync!$AE351),IF(AND(Sync!$AE351&gt;=10000101,Sync!$AE351&lt;=99991231),INT(Sync!$AE351/10000),""),IFERROR(VALUE(TRIM(LEFT(Sync!$AE351,FIND("/",Sync!$AE351)-1))),""))))</f>
        <v/>
      </c>
      <c r="H351">
        <f>IF(OR($F351="",$G351=""),"",IF(ISNUMBER(Sync!$AE351),INT(MOD(Sync!$AE351,10000)/100),IFERROR(VALUE(TRIM(LEFT(MID(Sync!$AE351,FIND("/",Sync!$AE351)+1,20),FIND("/",MID(Sync!$AE351,FIND("/",Sync!$AE351)+1,20))-1))),"")))</f>
        <v/>
      </c>
      <c r="I351">
        <f>IF(OR($F351="",$G351=""),"",IF(ISNUMBER(Sync!$AE351),MOD(Sync!$AE351,100),IFERROR(VALUE(TRIM(MID(MID(Sync!$AE351,FIND("/",Sync!$AE351)+1,20),FIND("/",MID(Sync!$AE351,FIND("/",Sync!$AE351)+1,20))+1,20))),"")))</f>
        <v/>
      </c>
      <c r="J351">
        <f>IF($F351="","",IF(OR($G351="",$H351="",$I351="",$G351&lt;1300,$G351&gt;1500,$H351&lt;1,$H351&gt;12,$I351&lt;1,$I351&gt;31),"نامعتبر",RIGHT("0000"&amp;$G351,4)&amp;"/"&amp;RIGHT("00"&amp;$H351,2)&amp;"/"&amp;RIGHT("00"&amp;$I351,2)))</f>
        <v/>
      </c>
      <c r="K351">
        <f>IF(OR($F351="",$J351="",$J351="نامعتبر"),"",LEFT($J351,4)&amp;MID($J351,6,2)&amp;RIGHT($J351,2)&amp;$N351&amp;"|"&amp;"2"&amp;RIGHT("00000"&amp;346,5))</f>
        <v/>
      </c>
      <c r="L351">
        <f>IF($K351="","",COUNTIFS(LdgSellerA,$F351,LdgKeyA,"&lt;"&amp;$K351)+COUNTIFS(LdgSellerB,$F351,LdgKeyB,"&lt;"&amp;$K351)+1)</f>
        <v/>
      </c>
      <c r="M351">
        <f>IF($L351="","",$F351&amp;"|"&amp;RIGHT("000000"&amp;$L351,6))</f>
        <v/>
      </c>
      <c r="N351">
        <f>IF($F351="","",IF(Sync!$AF351="","0000",IF(AND(ISNUMBER(Sync!$AF351),Sync!$AF351&gt;=0,Sync!$AF351&lt;1),RIGHT("00"&amp;HOUR(Sync!$AF351),2)&amp;RIGHT("00"&amp;MINUTE(Sync!$AF351),2),IFERROR(RIGHT("00"&amp;VALUE(LEFT(Sync!$AF351,FIND(":",Sync!$AF351)-1)),2)&amp;RIGHT("00"&amp;VALUE(MID(Sync!$AF351,FIND(":",Sync!$AF351)+1,2)),2),"0000"))))</f>
        <v/>
      </c>
    </row>
    <row r="352">
      <c r="A352">
        <f>IF(OR(Calc!$E356="",Calc!$E356="نامعتبر",Calc!$G356=""),"",Calc!$G356)</f>
        <v/>
      </c>
      <c r="B352">
        <f>IF($A352="","",LEFT(Calc!$E356,4)&amp;MID(Calc!$E356,6,2)&amp;RIGHT(Calc!$E356,2)&amp;Calc!$Q356&amp;"|"&amp;"1"&amp;RIGHT("00000"&amp;347,5))</f>
        <v/>
      </c>
      <c r="C352">
        <f>IF($B352="","",COUNTIFS(LdgSellerA,$A352,LdgKeyA,"&lt;"&amp;$B352)+COUNTIFS(LdgSellerB,$A352,LdgKeyB,"&lt;"&amp;$B352)+1)</f>
        <v/>
      </c>
      <c r="D352">
        <f>IF($C352="","",$A352&amp;"|"&amp;RIGHT("000000"&amp;$C352,6))</f>
        <v/>
      </c>
      <c r="F352">
        <f>IF(Sync!$AH352="","",IF(LEFT(UPPER(TRIM(Sync!$AH352)),2)="SL",UPPER(TRIM(Sync!$AH352)),""))</f>
        <v/>
      </c>
      <c r="G352">
        <f>IF($F352="","",IF(Sync!$AE352="","",IF(ISNUMBER(Sync!$AE352),IF(AND(Sync!$AE352&gt;=10000101,Sync!$AE352&lt;=99991231),INT(Sync!$AE352/10000),""),IFERROR(VALUE(TRIM(LEFT(Sync!$AE352,FIND("/",Sync!$AE352)-1))),""))))</f>
        <v/>
      </c>
      <c r="H352">
        <f>IF(OR($F352="",$G352=""),"",IF(ISNUMBER(Sync!$AE352),INT(MOD(Sync!$AE352,10000)/100),IFERROR(VALUE(TRIM(LEFT(MID(Sync!$AE352,FIND("/",Sync!$AE352)+1,20),FIND("/",MID(Sync!$AE352,FIND("/",Sync!$AE352)+1,20))-1))),"")))</f>
        <v/>
      </c>
      <c r="I352">
        <f>IF(OR($F352="",$G352=""),"",IF(ISNUMBER(Sync!$AE352),MOD(Sync!$AE352,100),IFERROR(VALUE(TRIM(MID(MID(Sync!$AE352,FIND("/",Sync!$AE352)+1,20),FIND("/",MID(Sync!$AE352,FIND("/",Sync!$AE352)+1,20))+1,20))),"")))</f>
        <v/>
      </c>
      <c r="J352">
        <f>IF($F352="","",IF(OR($G352="",$H352="",$I352="",$G352&lt;1300,$G352&gt;1500,$H352&lt;1,$H352&gt;12,$I352&lt;1,$I352&gt;31),"نامعتبر",RIGHT("0000"&amp;$G352,4)&amp;"/"&amp;RIGHT("00"&amp;$H352,2)&amp;"/"&amp;RIGHT("00"&amp;$I352,2)))</f>
        <v/>
      </c>
      <c r="K352">
        <f>IF(OR($F352="",$J352="",$J352="نامعتبر"),"",LEFT($J352,4)&amp;MID($J352,6,2)&amp;RIGHT($J352,2)&amp;$N352&amp;"|"&amp;"2"&amp;RIGHT("00000"&amp;347,5))</f>
        <v/>
      </c>
      <c r="L352">
        <f>IF($K352="","",COUNTIFS(LdgSellerA,$F352,LdgKeyA,"&lt;"&amp;$K352)+COUNTIFS(LdgSellerB,$F352,LdgKeyB,"&lt;"&amp;$K352)+1)</f>
        <v/>
      </c>
      <c r="M352">
        <f>IF($L352="","",$F352&amp;"|"&amp;RIGHT("000000"&amp;$L352,6))</f>
        <v/>
      </c>
      <c r="N352">
        <f>IF($F352="","",IF(Sync!$AF352="","0000",IF(AND(ISNUMBER(Sync!$AF352),Sync!$AF352&gt;=0,Sync!$AF352&lt;1),RIGHT("00"&amp;HOUR(Sync!$AF352),2)&amp;RIGHT("00"&amp;MINUTE(Sync!$AF352),2),IFERROR(RIGHT("00"&amp;VALUE(LEFT(Sync!$AF352,FIND(":",Sync!$AF352)-1)),2)&amp;RIGHT("00"&amp;VALUE(MID(Sync!$AF352,FIND(":",Sync!$AF352)+1,2)),2),"0000"))))</f>
        <v/>
      </c>
    </row>
    <row r="353">
      <c r="A353">
        <f>IF(OR(Calc!$E357="",Calc!$E357="نامعتبر",Calc!$G357=""),"",Calc!$G357)</f>
        <v/>
      </c>
      <c r="B353">
        <f>IF($A353="","",LEFT(Calc!$E357,4)&amp;MID(Calc!$E357,6,2)&amp;RIGHT(Calc!$E357,2)&amp;Calc!$Q357&amp;"|"&amp;"1"&amp;RIGHT("00000"&amp;348,5))</f>
        <v/>
      </c>
      <c r="C353">
        <f>IF($B353="","",COUNTIFS(LdgSellerA,$A353,LdgKeyA,"&lt;"&amp;$B353)+COUNTIFS(LdgSellerB,$A353,LdgKeyB,"&lt;"&amp;$B353)+1)</f>
        <v/>
      </c>
      <c r="D353">
        <f>IF($C353="","",$A353&amp;"|"&amp;RIGHT("000000"&amp;$C353,6))</f>
        <v/>
      </c>
      <c r="F353">
        <f>IF(Sync!$AH353="","",IF(LEFT(UPPER(TRIM(Sync!$AH353)),2)="SL",UPPER(TRIM(Sync!$AH353)),""))</f>
        <v/>
      </c>
      <c r="G353">
        <f>IF($F353="","",IF(Sync!$AE353="","",IF(ISNUMBER(Sync!$AE353),IF(AND(Sync!$AE353&gt;=10000101,Sync!$AE353&lt;=99991231),INT(Sync!$AE353/10000),""),IFERROR(VALUE(TRIM(LEFT(Sync!$AE353,FIND("/",Sync!$AE353)-1))),""))))</f>
        <v/>
      </c>
      <c r="H353">
        <f>IF(OR($F353="",$G353=""),"",IF(ISNUMBER(Sync!$AE353),INT(MOD(Sync!$AE353,10000)/100),IFERROR(VALUE(TRIM(LEFT(MID(Sync!$AE353,FIND("/",Sync!$AE353)+1,20),FIND("/",MID(Sync!$AE353,FIND("/",Sync!$AE353)+1,20))-1))),"")))</f>
        <v/>
      </c>
      <c r="I353">
        <f>IF(OR($F353="",$G353=""),"",IF(ISNUMBER(Sync!$AE353),MOD(Sync!$AE353,100),IFERROR(VALUE(TRIM(MID(MID(Sync!$AE353,FIND("/",Sync!$AE353)+1,20),FIND("/",MID(Sync!$AE353,FIND("/",Sync!$AE353)+1,20))+1,20))),"")))</f>
        <v/>
      </c>
      <c r="J353">
        <f>IF($F353="","",IF(OR($G353="",$H353="",$I353="",$G353&lt;1300,$G353&gt;1500,$H353&lt;1,$H353&gt;12,$I353&lt;1,$I353&gt;31),"نامعتبر",RIGHT("0000"&amp;$G353,4)&amp;"/"&amp;RIGHT("00"&amp;$H353,2)&amp;"/"&amp;RIGHT("00"&amp;$I353,2)))</f>
        <v/>
      </c>
      <c r="K353">
        <f>IF(OR($F353="",$J353="",$J353="نامعتبر"),"",LEFT($J353,4)&amp;MID($J353,6,2)&amp;RIGHT($J353,2)&amp;$N353&amp;"|"&amp;"2"&amp;RIGHT("00000"&amp;348,5))</f>
        <v/>
      </c>
      <c r="L353">
        <f>IF($K353="","",COUNTIFS(LdgSellerA,$F353,LdgKeyA,"&lt;"&amp;$K353)+COUNTIFS(LdgSellerB,$F353,LdgKeyB,"&lt;"&amp;$K353)+1)</f>
        <v/>
      </c>
      <c r="M353">
        <f>IF($L353="","",$F353&amp;"|"&amp;RIGHT("000000"&amp;$L353,6))</f>
        <v/>
      </c>
      <c r="N353">
        <f>IF($F353="","",IF(Sync!$AF353="","0000",IF(AND(ISNUMBER(Sync!$AF353),Sync!$AF353&gt;=0,Sync!$AF353&lt;1),RIGHT("00"&amp;HOUR(Sync!$AF353),2)&amp;RIGHT("00"&amp;MINUTE(Sync!$AF353),2),IFERROR(RIGHT("00"&amp;VALUE(LEFT(Sync!$AF353,FIND(":",Sync!$AF353)-1)),2)&amp;RIGHT("00"&amp;VALUE(MID(Sync!$AF353,FIND(":",Sync!$AF353)+1,2)),2),"0000"))))</f>
        <v/>
      </c>
    </row>
    <row r="354">
      <c r="A354">
        <f>IF(OR(Calc!$E358="",Calc!$E358="نامعتبر",Calc!$G358=""),"",Calc!$G358)</f>
        <v/>
      </c>
      <c r="B354">
        <f>IF($A354="","",LEFT(Calc!$E358,4)&amp;MID(Calc!$E358,6,2)&amp;RIGHT(Calc!$E358,2)&amp;Calc!$Q358&amp;"|"&amp;"1"&amp;RIGHT("00000"&amp;349,5))</f>
        <v/>
      </c>
      <c r="C354">
        <f>IF($B354="","",COUNTIFS(LdgSellerA,$A354,LdgKeyA,"&lt;"&amp;$B354)+COUNTIFS(LdgSellerB,$A354,LdgKeyB,"&lt;"&amp;$B354)+1)</f>
        <v/>
      </c>
      <c r="D354">
        <f>IF($C354="","",$A354&amp;"|"&amp;RIGHT("000000"&amp;$C354,6))</f>
        <v/>
      </c>
      <c r="F354">
        <f>IF(Sync!$AH354="","",IF(LEFT(UPPER(TRIM(Sync!$AH354)),2)="SL",UPPER(TRIM(Sync!$AH354)),""))</f>
        <v/>
      </c>
      <c r="G354">
        <f>IF($F354="","",IF(Sync!$AE354="","",IF(ISNUMBER(Sync!$AE354),IF(AND(Sync!$AE354&gt;=10000101,Sync!$AE354&lt;=99991231),INT(Sync!$AE354/10000),""),IFERROR(VALUE(TRIM(LEFT(Sync!$AE354,FIND("/",Sync!$AE354)-1))),""))))</f>
        <v/>
      </c>
      <c r="H354">
        <f>IF(OR($F354="",$G354=""),"",IF(ISNUMBER(Sync!$AE354),INT(MOD(Sync!$AE354,10000)/100),IFERROR(VALUE(TRIM(LEFT(MID(Sync!$AE354,FIND("/",Sync!$AE354)+1,20),FIND("/",MID(Sync!$AE354,FIND("/",Sync!$AE354)+1,20))-1))),"")))</f>
        <v/>
      </c>
      <c r="I354">
        <f>IF(OR($F354="",$G354=""),"",IF(ISNUMBER(Sync!$AE354),MOD(Sync!$AE354,100),IFERROR(VALUE(TRIM(MID(MID(Sync!$AE354,FIND("/",Sync!$AE354)+1,20),FIND("/",MID(Sync!$AE354,FIND("/",Sync!$AE354)+1,20))+1,20))),"")))</f>
        <v/>
      </c>
      <c r="J354">
        <f>IF($F354="","",IF(OR($G354="",$H354="",$I354="",$G354&lt;1300,$G354&gt;1500,$H354&lt;1,$H354&gt;12,$I354&lt;1,$I354&gt;31),"نامعتبر",RIGHT("0000"&amp;$G354,4)&amp;"/"&amp;RIGHT("00"&amp;$H354,2)&amp;"/"&amp;RIGHT("00"&amp;$I354,2)))</f>
        <v/>
      </c>
      <c r="K354">
        <f>IF(OR($F354="",$J354="",$J354="نامعتبر"),"",LEFT($J354,4)&amp;MID($J354,6,2)&amp;RIGHT($J354,2)&amp;$N354&amp;"|"&amp;"2"&amp;RIGHT("00000"&amp;349,5))</f>
        <v/>
      </c>
      <c r="L354">
        <f>IF($K354="","",COUNTIFS(LdgSellerA,$F354,LdgKeyA,"&lt;"&amp;$K354)+COUNTIFS(LdgSellerB,$F354,LdgKeyB,"&lt;"&amp;$K354)+1)</f>
        <v/>
      </c>
      <c r="M354">
        <f>IF($L354="","",$F354&amp;"|"&amp;RIGHT("000000"&amp;$L354,6))</f>
        <v/>
      </c>
      <c r="N354">
        <f>IF($F354="","",IF(Sync!$AF354="","0000",IF(AND(ISNUMBER(Sync!$AF354),Sync!$AF354&gt;=0,Sync!$AF354&lt;1),RIGHT("00"&amp;HOUR(Sync!$AF354),2)&amp;RIGHT("00"&amp;MINUTE(Sync!$AF354),2),IFERROR(RIGHT("00"&amp;VALUE(LEFT(Sync!$AF354,FIND(":",Sync!$AF354)-1)),2)&amp;RIGHT("00"&amp;VALUE(MID(Sync!$AF354,FIND(":",Sync!$AF354)+1,2)),2),"0000"))))</f>
        <v/>
      </c>
    </row>
    <row r="355">
      <c r="A355">
        <f>IF(OR(Calc!$E359="",Calc!$E359="نامعتبر",Calc!$G359=""),"",Calc!$G359)</f>
        <v/>
      </c>
      <c r="B355">
        <f>IF($A355="","",LEFT(Calc!$E359,4)&amp;MID(Calc!$E359,6,2)&amp;RIGHT(Calc!$E359,2)&amp;Calc!$Q359&amp;"|"&amp;"1"&amp;RIGHT("00000"&amp;350,5))</f>
        <v/>
      </c>
      <c r="C355">
        <f>IF($B355="","",COUNTIFS(LdgSellerA,$A355,LdgKeyA,"&lt;"&amp;$B355)+COUNTIFS(LdgSellerB,$A355,LdgKeyB,"&lt;"&amp;$B355)+1)</f>
        <v/>
      </c>
      <c r="D355">
        <f>IF($C355="","",$A355&amp;"|"&amp;RIGHT("000000"&amp;$C355,6))</f>
        <v/>
      </c>
      <c r="F355">
        <f>IF(Sync!$AH355="","",IF(LEFT(UPPER(TRIM(Sync!$AH355)),2)="SL",UPPER(TRIM(Sync!$AH355)),""))</f>
        <v/>
      </c>
      <c r="G355">
        <f>IF($F355="","",IF(Sync!$AE355="","",IF(ISNUMBER(Sync!$AE355),IF(AND(Sync!$AE355&gt;=10000101,Sync!$AE355&lt;=99991231),INT(Sync!$AE355/10000),""),IFERROR(VALUE(TRIM(LEFT(Sync!$AE355,FIND("/",Sync!$AE355)-1))),""))))</f>
        <v/>
      </c>
      <c r="H355">
        <f>IF(OR($F355="",$G355=""),"",IF(ISNUMBER(Sync!$AE355),INT(MOD(Sync!$AE355,10000)/100),IFERROR(VALUE(TRIM(LEFT(MID(Sync!$AE355,FIND("/",Sync!$AE355)+1,20),FIND("/",MID(Sync!$AE355,FIND("/",Sync!$AE355)+1,20))-1))),"")))</f>
        <v/>
      </c>
      <c r="I355">
        <f>IF(OR($F355="",$G355=""),"",IF(ISNUMBER(Sync!$AE355),MOD(Sync!$AE355,100),IFERROR(VALUE(TRIM(MID(MID(Sync!$AE355,FIND("/",Sync!$AE355)+1,20),FIND("/",MID(Sync!$AE355,FIND("/",Sync!$AE355)+1,20))+1,20))),"")))</f>
        <v/>
      </c>
      <c r="J355">
        <f>IF($F355="","",IF(OR($G355="",$H355="",$I355="",$G355&lt;1300,$G355&gt;1500,$H355&lt;1,$H355&gt;12,$I355&lt;1,$I355&gt;31),"نامعتبر",RIGHT("0000"&amp;$G355,4)&amp;"/"&amp;RIGHT("00"&amp;$H355,2)&amp;"/"&amp;RIGHT("00"&amp;$I355,2)))</f>
        <v/>
      </c>
      <c r="K355">
        <f>IF(OR($F355="",$J355="",$J355="نامعتبر"),"",LEFT($J355,4)&amp;MID($J355,6,2)&amp;RIGHT($J355,2)&amp;$N355&amp;"|"&amp;"2"&amp;RIGHT("00000"&amp;350,5))</f>
        <v/>
      </c>
      <c r="L355">
        <f>IF($K355="","",COUNTIFS(LdgSellerA,$F355,LdgKeyA,"&lt;"&amp;$K355)+COUNTIFS(LdgSellerB,$F355,LdgKeyB,"&lt;"&amp;$K355)+1)</f>
        <v/>
      </c>
      <c r="M355">
        <f>IF($L355="","",$F355&amp;"|"&amp;RIGHT("000000"&amp;$L355,6))</f>
        <v/>
      </c>
      <c r="N355">
        <f>IF($F355="","",IF(Sync!$AF355="","0000",IF(AND(ISNUMBER(Sync!$AF355),Sync!$AF355&gt;=0,Sync!$AF355&lt;1),RIGHT("00"&amp;HOUR(Sync!$AF355),2)&amp;RIGHT("00"&amp;MINUTE(Sync!$AF355),2),IFERROR(RIGHT("00"&amp;VALUE(LEFT(Sync!$AF355,FIND(":",Sync!$AF355)-1)),2)&amp;RIGHT("00"&amp;VALUE(MID(Sync!$AF355,FIND(":",Sync!$AF355)+1,2)),2),"0000"))))</f>
        <v/>
      </c>
    </row>
    <row r="356">
      <c r="A356">
        <f>IF(OR(Calc!$E360="",Calc!$E360="نامعتبر",Calc!$G360=""),"",Calc!$G360)</f>
        <v/>
      </c>
      <c r="B356">
        <f>IF($A356="","",LEFT(Calc!$E360,4)&amp;MID(Calc!$E360,6,2)&amp;RIGHT(Calc!$E360,2)&amp;Calc!$Q360&amp;"|"&amp;"1"&amp;RIGHT("00000"&amp;351,5))</f>
        <v/>
      </c>
      <c r="C356">
        <f>IF($B356="","",COUNTIFS(LdgSellerA,$A356,LdgKeyA,"&lt;"&amp;$B356)+COUNTIFS(LdgSellerB,$A356,LdgKeyB,"&lt;"&amp;$B356)+1)</f>
        <v/>
      </c>
      <c r="D356">
        <f>IF($C356="","",$A356&amp;"|"&amp;RIGHT("000000"&amp;$C356,6))</f>
        <v/>
      </c>
      <c r="F356">
        <f>IF(Sync!$AH356="","",IF(LEFT(UPPER(TRIM(Sync!$AH356)),2)="SL",UPPER(TRIM(Sync!$AH356)),""))</f>
        <v/>
      </c>
      <c r="G356">
        <f>IF($F356="","",IF(Sync!$AE356="","",IF(ISNUMBER(Sync!$AE356),IF(AND(Sync!$AE356&gt;=10000101,Sync!$AE356&lt;=99991231),INT(Sync!$AE356/10000),""),IFERROR(VALUE(TRIM(LEFT(Sync!$AE356,FIND("/",Sync!$AE356)-1))),""))))</f>
        <v/>
      </c>
      <c r="H356">
        <f>IF(OR($F356="",$G356=""),"",IF(ISNUMBER(Sync!$AE356),INT(MOD(Sync!$AE356,10000)/100),IFERROR(VALUE(TRIM(LEFT(MID(Sync!$AE356,FIND("/",Sync!$AE356)+1,20),FIND("/",MID(Sync!$AE356,FIND("/",Sync!$AE356)+1,20))-1))),"")))</f>
        <v/>
      </c>
      <c r="I356">
        <f>IF(OR($F356="",$G356=""),"",IF(ISNUMBER(Sync!$AE356),MOD(Sync!$AE356,100),IFERROR(VALUE(TRIM(MID(MID(Sync!$AE356,FIND("/",Sync!$AE356)+1,20),FIND("/",MID(Sync!$AE356,FIND("/",Sync!$AE356)+1,20))+1,20))),"")))</f>
        <v/>
      </c>
      <c r="J356">
        <f>IF($F356="","",IF(OR($G356="",$H356="",$I356="",$G356&lt;1300,$G356&gt;1500,$H356&lt;1,$H356&gt;12,$I356&lt;1,$I356&gt;31),"نامعتبر",RIGHT("0000"&amp;$G356,4)&amp;"/"&amp;RIGHT("00"&amp;$H356,2)&amp;"/"&amp;RIGHT("00"&amp;$I356,2)))</f>
        <v/>
      </c>
      <c r="K356">
        <f>IF(OR($F356="",$J356="",$J356="نامعتبر"),"",LEFT($J356,4)&amp;MID($J356,6,2)&amp;RIGHT($J356,2)&amp;$N356&amp;"|"&amp;"2"&amp;RIGHT("00000"&amp;351,5))</f>
        <v/>
      </c>
      <c r="L356">
        <f>IF($K356="","",COUNTIFS(LdgSellerA,$F356,LdgKeyA,"&lt;"&amp;$K356)+COUNTIFS(LdgSellerB,$F356,LdgKeyB,"&lt;"&amp;$K356)+1)</f>
        <v/>
      </c>
      <c r="M356">
        <f>IF($L356="","",$F356&amp;"|"&amp;RIGHT("000000"&amp;$L356,6))</f>
        <v/>
      </c>
      <c r="N356">
        <f>IF($F356="","",IF(Sync!$AF356="","0000",IF(AND(ISNUMBER(Sync!$AF356),Sync!$AF356&gt;=0,Sync!$AF356&lt;1),RIGHT("00"&amp;HOUR(Sync!$AF356),2)&amp;RIGHT("00"&amp;MINUTE(Sync!$AF356),2),IFERROR(RIGHT("00"&amp;VALUE(LEFT(Sync!$AF356,FIND(":",Sync!$AF356)-1)),2)&amp;RIGHT("00"&amp;VALUE(MID(Sync!$AF356,FIND(":",Sync!$AF356)+1,2)),2),"0000"))))</f>
        <v/>
      </c>
    </row>
    <row r="357">
      <c r="A357">
        <f>IF(OR(Calc!$E361="",Calc!$E361="نامعتبر",Calc!$G361=""),"",Calc!$G361)</f>
        <v/>
      </c>
      <c r="B357">
        <f>IF($A357="","",LEFT(Calc!$E361,4)&amp;MID(Calc!$E361,6,2)&amp;RIGHT(Calc!$E361,2)&amp;Calc!$Q361&amp;"|"&amp;"1"&amp;RIGHT("00000"&amp;352,5))</f>
        <v/>
      </c>
      <c r="C357">
        <f>IF($B357="","",COUNTIFS(LdgSellerA,$A357,LdgKeyA,"&lt;"&amp;$B357)+COUNTIFS(LdgSellerB,$A357,LdgKeyB,"&lt;"&amp;$B357)+1)</f>
        <v/>
      </c>
      <c r="D357">
        <f>IF($C357="","",$A357&amp;"|"&amp;RIGHT("000000"&amp;$C357,6))</f>
        <v/>
      </c>
      <c r="F357">
        <f>IF(Sync!$AH357="","",IF(LEFT(UPPER(TRIM(Sync!$AH357)),2)="SL",UPPER(TRIM(Sync!$AH357)),""))</f>
        <v/>
      </c>
      <c r="G357">
        <f>IF($F357="","",IF(Sync!$AE357="","",IF(ISNUMBER(Sync!$AE357),IF(AND(Sync!$AE357&gt;=10000101,Sync!$AE357&lt;=99991231),INT(Sync!$AE357/10000),""),IFERROR(VALUE(TRIM(LEFT(Sync!$AE357,FIND("/",Sync!$AE357)-1))),""))))</f>
        <v/>
      </c>
      <c r="H357">
        <f>IF(OR($F357="",$G357=""),"",IF(ISNUMBER(Sync!$AE357),INT(MOD(Sync!$AE357,10000)/100),IFERROR(VALUE(TRIM(LEFT(MID(Sync!$AE357,FIND("/",Sync!$AE357)+1,20),FIND("/",MID(Sync!$AE357,FIND("/",Sync!$AE357)+1,20))-1))),"")))</f>
        <v/>
      </c>
      <c r="I357">
        <f>IF(OR($F357="",$G357=""),"",IF(ISNUMBER(Sync!$AE357),MOD(Sync!$AE357,100),IFERROR(VALUE(TRIM(MID(MID(Sync!$AE357,FIND("/",Sync!$AE357)+1,20),FIND("/",MID(Sync!$AE357,FIND("/",Sync!$AE357)+1,20))+1,20))),"")))</f>
        <v/>
      </c>
      <c r="J357">
        <f>IF($F357="","",IF(OR($G357="",$H357="",$I357="",$G357&lt;1300,$G357&gt;1500,$H357&lt;1,$H357&gt;12,$I357&lt;1,$I357&gt;31),"نامعتبر",RIGHT("0000"&amp;$G357,4)&amp;"/"&amp;RIGHT("00"&amp;$H357,2)&amp;"/"&amp;RIGHT("00"&amp;$I357,2)))</f>
        <v/>
      </c>
      <c r="K357">
        <f>IF(OR($F357="",$J357="",$J357="نامعتبر"),"",LEFT($J357,4)&amp;MID($J357,6,2)&amp;RIGHT($J357,2)&amp;$N357&amp;"|"&amp;"2"&amp;RIGHT("00000"&amp;352,5))</f>
        <v/>
      </c>
      <c r="L357">
        <f>IF($K357="","",COUNTIFS(LdgSellerA,$F357,LdgKeyA,"&lt;"&amp;$K357)+COUNTIFS(LdgSellerB,$F357,LdgKeyB,"&lt;"&amp;$K357)+1)</f>
        <v/>
      </c>
      <c r="M357">
        <f>IF($L357="","",$F357&amp;"|"&amp;RIGHT("000000"&amp;$L357,6))</f>
        <v/>
      </c>
      <c r="N357">
        <f>IF($F357="","",IF(Sync!$AF357="","0000",IF(AND(ISNUMBER(Sync!$AF357),Sync!$AF357&gt;=0,Sync!$AF357&lt;1),RIGHT("00"&amp;HOUR(Sync!$AF357),2)&amp;RIGHT("00"&amp;MINUTE(Sync!$AF357),2),IFERROR(RIGHT("00"&amp;VALUE(LEFT(Sync!$AF357,FIND(":",Sync!$AF357)-1)),2)&amp;RIGHT("00"&amp;VALUE(MID(Sync!$AF357,FIND(":",Sync!$AF357)+1,2)),2),"0000"))))</f>
        <v/>
      </c>
    </row>
    <row r="358">
      <c r="A358">
        <f>IF(OR(Calc!$E362="",Calc!$E362="نامعتبر",Calc!$G362=""),"",Calc!$G362)</f>
        <v/>
      </c>
      <c r="B358">
        <f>IF($A358="","",LEFT(Calc!$E362,4)&amp;MID(Calc!$E362,6,2)&amp;RIGHT(Calc!$E362,2)&amp;Calc!$Q362&amp;"|"&amp;"1"&amp;RIGHT("00000"&amp;353,5))</f>
        <v/>
      </c>
      <c r="C358">
        <f>IF($B358="","",COUNTIFS(LdgSellerA,$A358,LdgKeyA,"&lt;"&amp;$B358)+COUNTIFS(LdgSellerB,$A358,LdgKeyB,"&lt;"&amp;$B358)+1)</f>
        <v/>
      </c>
      <c r="D358">
        <f>IF($C358="","",$A358&amp;"|"&amp;RIGHT("000000"&amp;$C358,6))</f>
        <v/>
      </c>
      <c r="F358">
        <f>IF(Sync!$AH358="","",IF(LEFT(UPPER(TRIM(Sync!$AH358)),2)="SL",UPPER(TRIM(Sync!$AH358)),""))</f>
        <v/>
      </c>
      <c r="G358">
        <f>IF($F358="","",IF(Sync!$AE358="","",IF(ISNUMBER(Sync!$AE358),IF(AND(Sync!$AE358&gt;=10000101,Sync!$AE358&lt;=99991231),INT(Sync!$AE358/10000),""),IFERROR(VALUE(TRIM(LEFT(Sync!$AE358,FIND("/",Sync!$AE358)-1))),""))))</f>
        <v/>
      </c>
      <c r="H358">
        <f>IF(OR($F358="",$G358=""),"",IF(ISNUMBER(Sync!$AE358),INT(MOD(Sync!$AE358,10000)/100),IFERROR(VALUE(TRIM(LEFT(MID(Sync!$AE358,FIND("/",Sync!$AE358)+1,20),FIND("/",MID(Sync!$AE358,FIND("/",Sync!$AE358)+1,20))-1))),"")))</f>
        <v/>
      </c>
      <c r="I358">
        <f>IF(OR($F358="",$G358=""),"",IF(ISNUMBER(Sync!$AE358),MOD(Sync!$AE358,100),IFERROR(VALUE(TRIM(MID(MID(Sync!$AE358,FIND("/",Sync!$AE358)+1,20),FIND("/",MID(Sync!$AE358,FIND("/",Sync!$AE358)+1,20))+1,20))),"")))</f>
        <v/>
      </c>
      <c r="J358">
        <f>IF($F358="","",IF(OR($G358="",$H358="",$I358="",$G358&lt;1300,$G358&gt;1500,$H358&lt;1,$H358&gt;12,$I358&lt;1,$I358&gt;31),"نامعتبر",RIGHT("0000"&amp;$G358,4)&amp;"/"&amp;RIGHT("00"&amp;$H358,2)&amp;"/"&amp;RIGHT("00"&amp;$I358,2)))</f>
        <v/>
      </c>
      <c r="K358">
        <f>IF(OR($F358="",$J358="",$J358="نامعتبر"),"",LEFT($J358,4)&amp;MID($J358,6,2)&amp;RIGHT($J358,2)&amp;$N358&amp;"|"&amp;"2"&amp;RIGHT("00000"&amp;353,5))</f>
        <v/>
      </c>
      <c r="L358">
        <f>IF($K358="","",COUNTIFS(LdgSellerA,$F358,LdgKeyA,"&lt;"&amp;$K358)+COUNTIFS(LdgSellerB,$F358,LdgKeyB,"&lt;"&amp;$K358)+1)</f>
        <v/>
      </c>
      <c r="M358">
        <f>IF($L358="","",$F358&amp;"|"&amp;RIGHT("000000"&amp;$L358,6))</f>
        <v/>
      </c>
      <c r="N358">
        <f>IF($F358="","",IF(Sync!$AF358="","0000",IF(AND(ISNUMBER(Sync!$AF358),Sync!$AF358&gt;=0,Sync!$AF358&lt;1),RIGHT("00"&amp;HOUR(Sync!$AF358),2)&amp;RIGHT("00"&amp;MINUTE(Sync!$AF358),2),IFERROR(RIGHT("00"&amp;VALUE(LEFT(Sync!$AF358,FIND(":",Sync!$AF358)-1)),2)&amp;RIGHT("00"&amp;VALUE(MID(Sync!$AF358,FIND(":",Sync!$AF358)+1,2)),2),"0000"))))</f>
        <v/>
      </c>
    </row>
    <row r="359">
      <c r="A359">
        <f>IF(OR(Calc!$E363="",Calc!$E363="نامعتبر",Calc!$G363=""),"",Calc!$G363)</f>
        <v/>
      </c>
      <c r="B359">
        <f>IF($A359="","",LEFT(Calc!$E363,4)&amp;MID(Calc!$E363,6,2)&amp;RIGHT(Calc!$E363,2)&amp;Calc!$Q363&amp;"|"&amp;"1"&amp;RIGHT("00000"&amp;354,5))</f>
        <v/>
      </c>
      <c r="C359">
        <f>IF($B359="","",COUNTIFS(LdgSellerA,$A359,LdgKeyA,"&lt;"&amp;$B359)+COUNTIFS(LdgSellerB,$A359,LdgKeyB,"&lt;"&amp;$B359)+1)</f>
        <v/>
      </c>
      <c r="D359">
        <f>IF($C359="","",$A359&amp;"|"&amp;RIGHT("000000"&amp;$C359,6))</f>
        <v/>
      </c>
      <c r="F359">
        <f>IF(Sync!$AH359="","",IF(LEFT(UPPER(TRIM(Sync!$AH359)),2)="SL",UPPER(TRIM(Sync!$AH359)),""))</f>
        <v/>
      </c>
      <c r="G359">
        <f>IF($F359="","",IF(Sync!$AE359="","",IF(ISNUMBER(Sync!$AE359),IF(AND(Sync!$AE359&gt;=10000101,Sync!$AE359&lt;=99991231),INT(Sync!$AE359/10000),""),IFERROR(VALUE(TRIM(LEFT(Sync!$AE359,FIND("/",Sync!$AE359)-1))),""))))</f>
        <v/>
      </c>
      <c r="H359">
        <f>IF(OR($F359="",$G359=""),"",IF(ISNUMBER(Sync!$AE359),INT(MOD(Sync!$AE359,10000)/100),IFERROR(VALUE(TRIM(LEFT(MID(Sync!$AE359,FIND("/",Sync!$AE359)+1,20),FIND("/",MID(Sync!$AE359,FIND("/",Sync!$AE359)+1,20))-1))),"")))</f>
        <v/>
      </c>
      <c r="I359">
        <f>IF(OR($F359="",$G359=""),"",IF(ISNUMBER(Sync!$AE359),MOD(Sync!$AE359,100),IFERROR(VALUE(TRIM(MID(MID(Sync!$AE359,FIND("/",Sync!$AE359)+1,20),FIND("/",MID(Sync!$AE359,FIND("/",Sync!$AE359)+1,20))+1,20))),"")))</f>
        <v/>
      </c>
      <c r="J359">
        <f>IF($F359="","",IF(OR($G359="",$H359="",$I359="",$G359&lt;1300,$G359&gt;1500,$H359&lt;1,$H359&gt;12,$I359&lt;1,$I359&gt;31),"نامعتبر",RIGHT("0000"&amp;$G359,4)&amp;"/"&amp;RIGHT("00"&amp;$H359,2)&amp;"/"&amp;RIGHT("00"&amp;$I359,2)))</f>
        <v/>
      </c>
      <c r="K359">
        <f>IF(OR($F359="",$J359="",$J359="نامعتبر"),"",LEFT($J359,4)&amp;MID($J359,6,2)&amp;RIGHT($J359,2)&amp;$N359&amp;"|"&amp;"2"&amp;RIGHT("00000"&amp;354,5))</f>
        <v/>
      </c>
      <c r="L359">
        <f>IF($K359="","",COUNTIFS(LdgSellerA,$F359,LdgKeyA,"&lt;"&amp;$K359)+COUNTIFS(LdgSellerB,$F359,LdgKeyB,"&lt;"&amp;$K359)+1)</f>
        <v/>
      </c>
      <c r="M359">
        <f>IF($L359="","",$F359&amp;"|"&amp;RIGHT("000000"&amp;$L359,6))</f>
        <v/>
      </c>
      <c r="N359">
        <f>IF($F359="","",IF(Sync!$AF359="","0000",IF(AND(ISNUMBER(Sync!$AF359),Sync!$AF359&gt;=0,Sync!$AF359&lt;1),RIGHT("00"&amp;HOUR(Sync!$AF359),2)&amp;RIGHT("00"&amp;MINUTE(Sync!$AF359),2),IFERROR(RIGHT("00"&amp;VALUE(LEFT(Sync!$AF359,FIND(":",Sync!$AF359)-1)),2)&amp;RIGHT("00"&amp;VALUE(MID(Sync!$AF359,FIND(":",Sync!$AF359)+1,2)),2),"0000"))))</f>
        <v/>
      </c>
    </row>
    <row r="360">
      <c r="A360">
        <f>IF(OR(Calc!$E364="",Calc!$E364="نامعتبر",Calc!$G364=""),"",Calc!$G364)</f>
        <v/>
      </c>
      <c r="B360">
        <f>IF($A360="","",LEFT(Calc!$E364,4)&amp;MID(Calc!$E364,6,2)&amp;RIGHT(Calc!$E364,2)&amp;Calc!$Q364&amp;"|"&amp;"1"&amp;RIGHT("00000"&amp;355,5))</f>
        <v/>
      </c>
      <c r="C360">
        <f>IF($B360="","",COUNTIFS(LdgSellerA,$A360,LdgKeyA,"&lt;"&amp;$B360)+COUNTIFS(LdgSellerB,$A360,LdgKeyB,"&lt;"&amp;$B360)+1)</f>
        <v/>
      </c>
      <c r="D360">
        <f>IF($C360="","",$A360&amp;"|"&amp;RIGHT("000000"&amp;$C360,6))</f>
        <v/>
      </c>
      <c r="F360">
        <f>IF(Sync!$AH360="","",IF(LEFT(UPPER(TRIM(Sync!$AH360)),2)="SL",UPPER(TRIM(Sync!$AH360)),""))</f>
        <v/>
      </c>
      <c r="G360">
        <f>IF($F360="","",IF(Sync!$AE360="","",IF(ISNUMBER(Sync!$AE360),IF(AND(Sync!$AE360&gt;=10000101,Sync!$AE360&lt;=99991231),INT(Sync!$AE360/10000),""),IFERROR(VALUE(TRIM(LEFT(Sync!$AE360,FIND("/",Sync!$AE360)-1))),""))))</f>
        <v/>
      </c>
      <c r="H360">
        <f>IF(OR($F360="",$G360=""),"",IF(ISNUMBER(Sync!$AE360),INT(MOD(Sync!$AE360,10000)/100),IFERROR(VALUE(TRIM(LEFT(MID(Sync!$AE360,FIND("/",Sync!$AE360)+1,20),FIND("/",MID(Sync!$AE360,FIND("/",Sync!$AE360)+1,20))-1))),"")))</f>
        <v/>
      </c>
      <c r="I360">
        <f>IF(OR($F360="",$G360=""),"",IF(ISNUMBER(Sync!$AE360),MOD(Sync!$AE360,100),IFERROR(VALUE(TRIM(MID(MID(Sync!$AE360,FIND("/",Sync!$AE360)+1,20),FIND("/",MID(Sync!$AE360,FIND("/",Sync!$AE360)+1,20))+1,20))),"")))</f>
        <v/>
      </c>
      <c r="J360">
        <f>IF($F360="","",IF(OR($G360="",$H360="",$I360="",$G360&lt;1300,$G360&gt;1500,$H360&lt;1,$H360&gt;12,$I360&lt;1,$I360&gt;31),"نامعتبر",RIGHT("0000"&amp;$G360,4)&amp;"/"&amp;RIGHT("00"&amp;$H360,2)&amp;"/"&amp;RIGHT("00"&amp;$I360,2)))</f>
        <v/>
      </c>
      <c r="K360">
        <f>IF(OR($F360="",$J360="",$J360="نامعتبر"),"",LEFT($J360,4)&amp;MID($J360,6,2)&amp;RIGHT($J360,2)&amp;$N360&amp;"|"&amp;"2"&amp;RIGHT("00000"&amp;355,5))</f>
        <v/>
      </c>
      <c r="L360">
        <f>IF($K360="","",COUNTIFS(LdgSellerA,$F360,LdgKeyA,"&lt;"&amp;$K360)+COUNTIFS(LdgSellerB,$F360,LdgKeyB,"&lt;"&amp;$K360)+1)</f>
        <v/>
      </c>
      <c r="M360">
        <f>IF($L360="","",$F360&amp;"|"&amp;RIGHT("000000"&amp;$L360,6))</f>
        <v/>
      </c>
      <c r="N360">
        <f>IF($F360="","",IF(Sync!$AF360="","0000",IF(AND(ISNUMBER(Sync!$AF360),Sync!$AF360&gt;=0,Sync!$AF360&lt;1),RIGHT("00"&amp;HOUR(Sync!$AF360),2)&amp;RIGHT("00"&amp;MINUTE(Sync!$AF360),2),IFERROR(RIGHT("00"&amp;VALUE(LEFT(Sync!$AF360,FIND(":",Sync!$AF360)-1)),2)&amp;RIGHT("00"&amp;VALUE(MID(Sync!$AF360,FIND(":",Sync!$AF360)+1,2)),2),"0000"))))</f>
        <v/>
      </c>
    </row>
    <row r="361">
      <c r="A361">
        <f>IF(OR(Calc!$E365="",Calc!$E365="نامعتبر",Calc!$G365=""),"",Calc!$G365)</f>
        <v/>
      </c>
      <c r="B361">
        <f>IF($A361="","",LEFT(Calc!$E365,4)&amp;MID(Calc!$E365,6,2)&amp;RIGHT(Calc!$E365,2)&amp;Calc!$Q365&amp;"|"&amp;"1"&amp;RIGHT("00000"&amp;356,5))</f>
        <v/>
      </c>
      <c r="C361">
        <f>IF($B361="","",COUNTIFS(LdgSellerA,$A361,LdgKeyA,"&lt;"&amp;$B361)+COUNTIFS(LdgSellerB,$A361,LdgKeyB,"&lt;"&amp;$B361)+1)</f>
        <v/>
      </c>
      <c r="D361">
        <f>IF($C361="","",$A361&amp;"|"&amp;RIGHT("000000"&amp;$C361,6))</f>
        <v/>
      </c>
      <c r="F361">
        <f>IF(Sync!$AH361="","",IF(LEFT(UPPER(TRIM(Sync!$AH361)),2)="SL",UPPER(TRIM(Sync!$AH361)),""))</f>
        <v/>
      </c>
      <c r="G361">
        <f>IF($F361="","",IF(Sync!$AE361="","",IF(ISNUMBER(Sync!$AE361),IF(AND(Sync!$AE361&gt;=10000101,Sync!$AE361&lt;=99991231),INT(Sync!$AE361/10000),""),IFERROR(VALUE(TRIM(LEFT(Sync!$AE361,FIND("/",Sync!$AE361)-1))),""))))</f>
        <v/>
      </c>
      <c r="H361">
        <f>IF(OR($F361="",$G361=""),"",IF(ISNUMBER(Sync!$AE361),INT(MOD(Sync!$AE361,10000)/100),IFERROR(VALUE(TRIM(LEFT(MID(Sync!$AE361,FIND("/",Sync!$AE361)+1,20),FIND("/",MID(Sync!$AE361,FIND("/",Sync!$AE361)+1,20))-1))),"")))</f>
        <v/>
      </c>
      <c r="I361">
        <f>IF(OR($F361="",$G361=""),"",IF(ISNUMBER(Sync!$AE361),MOD(Sync!$AE361,100),IFERROR(VALUE(TRIM(MID(MID(Sync!$AE361,FIND("/",Sync!$AE361)+1,20),FIND("/",MID(Sync!$AE361,FIND("/",Sync!$AE361)+1,20))+1,20))),"")))</f>
        <v/>
      </c>
      <c r="J361">
        <f>IF($F361="","",IF(OR($G361="",$H361="",$I361="",$G361&lt;1300,$G361&gt;1500,$H361&lt;1,$H361&gt;12,$I361&lt;1,$I361&gt;31),"نامعتبر",RIGHT("0000"&amp;$G361,4)&amp;"/"&amp;RIGHT("00"&amp;$H361,2)&amp;"/"&amp;RIGHT("00"&amp;$I361,2)))</f>
        <v/>
      </c>
      <c r="K361">
        <f>IF(OR($F361="",$J361="",$J361="نامعتبر"),"",LEFT($J361,4)&amp;MID($J361,6,2)&amp;RIGHT($J361,2)&amp;$N361&amp;"|"&amp;"2"&amp;RIGHT("00000"&amp;356,5))</f>
        <v/>
      </c>
      <c r="L361">
        <f>IF($K361="","",COUNTIFS(LdgSellerA,$F361,LdgKeyA,"&lt;"&amp;$K361)+COUNTIFS(LdgSellerB,$F361,LdgKeyB,"&lt;"&amp;$K361)+1)</f>
        <v/>
      </c>
      <c r="M361">
        <f>IF($L361="","",$F361&amp;"|"&amp;RIGHT("000000"&amp;$L361,6))</f>
        <v/>
      </c>
      <c r="N361">
        <f>IF($F361="","",IF(Sync!$AF361="","0000",IF(AND(ISNUMBER(Sync!$AF361),Sync!$AF361&gt;=0,Sync!$AF361&lt;1),RIGHT("00"&amp;HOUR(Sync!$AF361),2)&amp;RIGHT("00"&amp;MINUTE(Sync!$AF361),2),IFERROR(RIGHT("00"&amp;VALUE(LEFT(Sync!$AF361,FIND(":",Sync!$AF361)-1)),2)&amp;RIGHT("00"&amp;VALUE(MID(Sync!$AF361,FIND(":",Sync!$AF361)+1,2)),2),"0000"))))</f>
        <v/>
      </c>
    </row>
    <row r="362">
      <c r="A362">
        <f>IF(OR(Calc!$E366="",Calc!$E366="نامعتبر",Calc!$G366=""),"",Calc!$G366)</f>
        <v/>
      </c>
      <c r="B362">
        <f>IF($A362="","",LEFT(Calc!$E366,4)&amp;MID(Calc!$E366,6,2)&amp;RIGHT(Calc!$E366,2)&amp;Calc!$Q366&amp;"|"&amp;"1"&amp;RIGHT("00000"&amp;357,5))</f>
        <v/>
      </c>
      <c r="C362">
        <f>IF($B362="","",COUNTIFS(LdgSellerA,$A362,LdgKeyA,"&lt;"&amp;$B362)+COUNTIFS(LdgSellerB,$A362,LdgKeyB,"&lt;"&amp;$B362)+1)</f>
        <v/>
      </c>
      <c r="D362">
        <f>IF($C362="","",$A362&amp;"|"&amp;RIGHT("000000"&amp;$C362,6))</f>
        <v/>
      </c>
      <c r="F362">
        <f>IF(Sync!$AH362="","",IF(LEFT(UPPER(TRIM(Sync!$AH362)),2)="SL",UPPER(TRIM(Sync!$AH362)),""))</f>
        <v/>
      </c>
      <c r="G362">
        <f>IF($F362="","",IF(Sync!$AE362="","",IF(ISNUMBER(Sync!$AE362),IF(AND(Sync!$AE362&gt;=10000101,Sync!$AE362&lt;=99991231),INT(Sync!$AE362/10000),""),IFERROR(VALUE(TRIM(LEFT(Sync!$AE362,FIND("/",Sync!$AE362)-1))),""))))</f>
        <v/>
      </c>
      <c r="H362">
        <f>IF(OR($F362="",$G362=""),"",IF(ISNUMBER(Sync!$AE362),INT(MOD(Sync!$AE362,10000)/100),IFERROR(VALUE(TRIM(LEFT(MID(Sync!$AE362,FIND("/",Sync!$AE362)+1,20),FIND("/",MID(Sync!$AE362,FIND("/",Sync!$AE362)+1,20))-1))),"")))</f>
        <v/>
      </c>
      <c r="I362">
        <f>IF(OR($F362="",$G362=""),"",IF(ISNUMBER(Sync!$AE362),MOD(Sync!$AE362,100),IFERROR(VALUE(TRIM(MID(MID(Sync!$AE362,FIND("/",Sync!$AE362)+1,20),FIND("/",MID(Sync!$AE362,FIND("/",Sync!$AE362)+1,20))+1,20))),"")))</f>
        <v/>
      </c>
      <c r="J362">
        <f>IF($F362="","",IF(OR($G362="",$H362="",$I362="",$G362&lt;1300,$G362&gt;1500,$H362&lt;1,$H362&gt;12,$I362&lt;1,$I362&gt;31),"نامعتبر",RIGHT("0000"&amp;$G362,4)&amp;"/"&amp;RIGHT("00"&amp;$H362,2)&amp;"/"&amp;RIGHT("00"&amp;$I362,2)))</f>
        <v/>
      </c>
      <c r="K362">
        <f>IF(OR($F362="",$J362="",$J362="نامعتبر"),"",LEFT($J362,4)&amp;MID($J362,6,2)&amp;RIGHT($J362,2)&amp;$N362&amp;"|"&amp;"2"&amp;RIGHT("00000"&amp;357,5))</f>
        <v/>
      </c>
      <c r="L362">
        <f>IF($K362="","",COUNTIFS(LdgSellerA,$F362,LdgKeyA,"&lt;"&amp;$K362)+COUNTIFS(LdgSellerB,$F362,LdgKeyB,"&lt;"&amp;$K362)+1)</f>
        <v/>
      </c>
      <c r="M362">
        <f>IF($L362="","",$F362&amp;"|"&amp;RIGHT("000000"&amp;$L362,6))</f>
        <v/>
      </c>
      <c r="N362">
        <f>IF($F362="","",IF(Sync!$AF362="","0000",IF(AND(ISNUMBER(Sync!$AF362),Sync!$AF362&gt;=0,Sync!$AF362&lt;1),RIGHT("00"&amp;HOUR(Sync!$AF362),2)&amp;RIGHT("00"&amp;MINUTE(Sync!$AF362),2),IFERROR(RIGHT("00"&amp;VALUE(LEFT(Sync!$AF362,FIND(":",Sync!$AF362)-1)),2)&amp;RIGHT("00"&amp;VALUE(MID(Sync!$AF362,FIND(":",Sync!$AF362)+1,2)),2),"0000"))))</f>
        <v/>
      </c>
    </row>
    <row r="363">
      <c r="A363">
        <f>IF(OR(Calc!$E367="",Calc!$E367="نامعتبر",Calc!$G367=""),"",Calc!$G367)</f>
        <v/>
      </c>
      <c r="B363">
        <f>IF($A363="","",LEFT(Calc!$E367,4)&amp;MID(Calc!$E367,6,2)&amp;RIGHT(Calc!$E367,2)&amp;Calc!$Q367&amp;"|"&amp;"1"&amp;RIGHT("00000"&amp;358,5))</f>
        <v/>
      </c>
      <c r="C363">
        <f>IF($B363="","",COUNTIFS(LdgSellerA,$A363,LdgKeyA,"&lt;"&amp;$B363)+COUNTIFS(LdgSellerB,$A363,LdgKeyB,"&lt;"&amp;$B363)+1)</f>
        <v/>
      </c>
      <c r="D363">
        <f>IF($C363="","",$A363&amp;"|"&amp;RIGHT("000000"&amp;$C363,6))</f>
        <v/>
      </c>
      <c r="F363">
        <f>IF(Sync!$AH363="","",IF(LEFT(UPPER(TRIM(Sync!$AH363)),2)="SL",UPPER(TRIM(Sync!$AH363)),""))</f>
        <v/>
      </c>
      <c r="G363">
        <f>IF($F363="","",IF(Sync!$AE363="","",IF(ISNUMBER(Sync!$AE363),IF(AND(Sync!$AE363&gt;=10000101,Sync!$AE363&lt;=99991231),INT(Sync!$AE363/10000),""),IFERROR(VALUE(TRIM(LEFT(Sync!$AE363,FIND("/",Sync!$AE363)-1))),""))))</f>
        <v/>
      </c>
      <c r="H363">
        <f>IF(OR($F363="",$G363=""),"",IF(ISNUMBER(Sync!$AE363),INT(MOD(Sync!$AE363,10000)/100),IFERROR(VALUE(TRIM(LEFT(MID(Sync!$AE363,FIND("/",Sync!$AE363)+1,20),FIND("/",MID(Sync!$AE363,FIND("/",Sync!$AE363)+1,20))-1))),"")))</f>
        <v/>
      </c>
      <c r="I363">
        <f>IF(OR($F363="",$G363=""),"",IF(ISNUMBER(Sync!$AE363),MOD(Sync!$AE363,100),IFERROR(VALUE(TRIM(MID(MID(Sync!$AE363,FIND("/",Sync!$AE363)+1,20),FIND("/",MID(Sync!$AE363,FIND("/",Sync!$AE363)+1,20))+1,20))),"")))</f>
        <v/>
      </c>
      <c r="J363">
        <f>IF($F363="","",IF(OR($G363="",$H363="",$I363="",$G363&lt;1300,$G363&gt;1500,$H363&lt;1,$H363&gt;12,$I363&lt;1,$I363&gt;31),"نامعتبر",RIGHT("0000"&amp;$G363,4)&amp;"/"&amp;RIGHT("00"&amp;$H363,2)&amp;"/"&amp;RIGHT("00"&amp;$I363,2)))</f>
        <v/>
      </c>
      <c r="K363">
        <f>IF(OR($F363="",$J363="",$J363="نامعتبر"),"",LEFT($J363,4)&amp;MID($J363,6,2)&amp;RIGHT($J363,2)&amp;$N363&amp;"|"&amp;"2"&amp;RIGHT("00000"&amp;358,5))</f>
        <v/>
      </c>
      <c r="L363">
        <f>IF($K363="","",COUNTIFS(LdgSellerA,$F363,LdgKeyA,"&lt;"&amp;$K363)+COUNTIFS(LdgSellerB,$F363,LdgKeyB,"&lt;"&amp;$K363)+1)</f>
        <v/>
      </c>
      <c r="M363">
        <f>IF($L363="","",$F363&amp;"|"&amp;RIGHT("000000"&amp;$L363,6))</f>
        <v/>
      </c>
      <c r="N363">
        <f>IF($F363="","",IF(Sync!$AF363="","0000",IF(AND(ISNUMBER(Sync!$AF363),Sync!$AF363&gt;=0,Sync!$AF363&lt;1),RIGHT("00"&amp;HOUR(Sync!$AF363),2)&amp;RIGHT("00"&amp;MINUTE(Sync!$AF363),2),IFERROR(RIGHT("00"&amp;VALUE(LEFT(Sync!$AF363,FIND(":",Sync!$AF363)-1)),2)&amp;RIGHT("00"&amp;VALUE(MID(Sync!$AF363,FIND(":",Sync!$AF363)+1,2)),2),"0000"))))</f>
        <v/>
      </c>
    </row>
    <row r="364">
      <c r="A364">
        <f>IF(OR(Calc!$E368="",Calc!$E368="نامعتبر",Calc!$G368=""),"",Calc!$G368)</f>
        <v/>
      </c>
      <c r="B364">
        <f>IF($A364="","",LEFT(Calc!$E368,4)&amp;MID(Calc!$E368,6,2)&amp;RIGHT(Calc!$E368,2)&amp;Calc!$Q368&amp;"|"&amp;"1"&amp;RIGHT("00000"&amp;359,5))</f>
        <v/>
      </c>
      <c r="C364">
        <f>IF($B364="","",COUNTIFS(LdgSellerA,$A364,LdgKeyA,"&lt;"&amp;$B364)+COUNTIFS(LdgSellerB,$A364,LdgKeyB,"&lt;"&amp;$B364)+1)</f>
        <v/>
      </c>
      <c r="D364">
        <f>IF($C364="","",$A364&amp;"|"&amp;RIGHT("000000"&amp;$C364,6))</f>
        <v/>
      </c>
      <c r="F364">
        <f>IF(Sync!$AH364="","",IF(LEFT(UPPER(TRIM(Sync!$AH364)),2)="SL",UPPER(TRIM(Sync!$AH364)),""))</f>
        <v/>
      </c>
      <c r="G364">
        <f>IF($F364="","",IF(Sync!$AE364="","",IF(ISNUMBER(Sync!$AE364),IF(AND(Sync!$AE364&gt;=10000101,Sync!$AE364&lt;=99991231),INT(Sync!$AE364/10000),""),IFERROR(VALUE(TRIM(LEFT(Sync!$AE364,FIND("/",Sync!$AE364)-1))),""))))</f>
        <v/>
      </c>
      <c r="H364">
        <f>IF(OR($F364="",$G364=""),"",IF(ISNUMBER(Sync!$AE364),INT(MOD(Sync!$AE364,10000)/100),IFERROR(VALUE(TRIM(LEFT(MID(Sync!$AE364,FIND("/",Sync!$AE364)+1,20),FIND("/",MID(Sync!$AE364,FIND("/",Sync!$AE364)+1,20))-1))),"")))</f>
        <v/>
      </c>
      <c r="I364">
        <f>IF(OR($F364="",$G364=""),"",IF(ISNUMBER(Sync!$AE364),MOD(Sync!$AE364,100),IFERROR(VALUE(TRIM(MID(MID(Sync!$AE364,FIND("/",Sync!$AE364)+1,20),FIND("/",MID(Sync!$AE364,FIND("/",Sync!$AE364)+1,20))+1,20))),"")))</f>
        <v/>
      </c>
      <c r="J364">
        <f>IF($F364="","",IF(OR($G364="",$H364="",$I364="",$G364&lt;1300,$G364&gt;1500,$H364&lt;1,$H364&gt;12,$I364&lt;1,$I364&gt;31),"نامعتبر",RIGHT("0000"&amp;$G364,4)&amp;"/"&amp;RIGHT("00"&amp;$H364,2)&amp;"/"&amp;RIGHT("00"&amp;$I364,2)))</f>
        <v/>
      </c>
      <c r="K364">
        <f>IF(OR($F364="",$J364="",$J364="نامعتبر"),"",LEFT($J364,4)&amp;MID($J364,6,2)&amp;RIGHT($J364,2)&amp;$N364&amp;"|"&amp;"2"&amp;RIGHT("00000"&amp;359,5))</f>
        <v/>
      </c>
      <c r="L364">
        <f>IF($K364="","",COUNTIFS(LdgSellerA,$F364,LdgKeyA,"&lt;"&amp;$K364)+COUNTIFS(LdgSellerB,$F364,LdgKeyB,"&lt;"&amp;$K364)+1)</f>
        <v/>
      </c>
      <c r="M364">
        <f>IF($L364="","",$F364&amp;"|"&amp;RIGHT("000000"&amp;$L364,6))</f>
        <v/>
      </c>
      <c r="N364">
        <f>IF($F364="","",IF(Sync!$AF364="","0000",IF(AND(ISNUMBER(Sync!$AF364),Sync!$AF364&gt;=0,Sync!$AF364&lt;1),RIGHT("00"&amp;HOUR(Sync!$AF364),2)&amp;RIGHT("00"&amp;MINUTE(Sync!$AF364),2),IFERROR(RIGHT("00"&amp;VALUE(LEFT(Sync!$AF364,FIND(":",Sync!$AF364)-1)),2)&amp;RIGHT("00"&amp;VALUE(MID(Sync!$AF364,FIND(":",Sync!$AF364)+1,2)),2),"0000"))))</f>
        <v/>
      </c>
    </row>
    <row r="365">
      <c r="A365">
        <f>IF(OR(Calc!$E369="",Calc!$E369="نامعتبر",Calc!$G369=""),"",Calc!$G369)</f>
        <v/>
      </c>
      <c r="B365">
        <f>IF($A365="","",LEFT(Calc!$E369,4)&amp;MID(Calc!$E369,6,2)&amp;RIGHT(Calc!$E369,2)&amp;Calc!$Q369&amp;"|"&amp;"1"&amp;RIGHT("00000"&amp;360,5))</f>
        <v/>
      </c>
      <c r="C365">
        <f>IF($B365="","",COUNTIFS(LdgSellerA,$A365,LdgKeyA,"&lt;"&amp;$B365)+COUNTIFS(LdgSellerB,$A365,LdgKeyB,"&lt;"&amp;$B365)+1)</f>
        <v/>
      </c>
      <c r="D365">
        <f>IF($C365="","",$A365&amp;"|"&amp;RIGHT("000000"&amp;$C365,6))</f>
        <v/>
      </c>
      <c r="F365">
        <f>IF(Sync!$AH365="","",IF(LEFT(UPPER(TRIM(Sync!$AH365)),2)="SL",UPPER(TRIM(Sync!$AH365)),""))</f>
        <v/>
      </c>
      <c r="G365">
        <f>IF($F365="","",IF(Sync!$AE365="","",IF(ISNUMBER(Sync!$AE365),IF(AND(Sync!$AE365&gt;=10000101,Sync!$AE365&lt;=99991231),INT(Sync!$AE365/10000),""),IFERROR(VALUE(TRIM(LEFT(Sync!$AE365,FIND("/",Sync!$AE365)-1))),""))))</f>
        <v/>
      </c>
      <c r="H365">
        <f>IF(OR($F365="",$G365=""),"",IF(ISNUMBER(Sync!$AE365),INT(MOD(Sync!$AE365,10000)/100),IFERROR(VALUE(TRIM(LEFT(MID(Sync!$AE365,FIND("/",Sync!$AE365)+1,20),FIND("/",MID(Sync!$AE365,FIND("/",Sync!$AE365)+1,20))-1))),"")))</f>
        <v/>
      </c>
      <c r="I365">
        <f>IF(OR($F365="",$G365=""),"",IF(ISNUMBER(Sync!$AE365),MOD(Sync!$AE365,100),IFERROR(VALUE(TRIM(MID(MID(Sync!$AE365,FIND("/",Sync!$AE365)+1,20),FIND("/",MID(Sync!$AE365,FIND("/",Sync!$AE365)+1,20))+1,20))),"")))</f>
        <v/>
      </c>
      <c r="J365">
        <f>IF($F365="","",IF(OR($G365="",$H365="",$I365="",$G365&lt;1300,$G365&gt;1500,$H365&lt;1,$H365&gt;12,$I365&lt;1,$I365&gt;31),"نامعتبر",RIGHT("0000"&amp;$G365,4)&amp;"/"&amp;RIGHT("00"&amp;$H365,2)&amp;"/"&amp;RIGHT("00"&amp;$I365,2)))</f>
        <v/>
      </c>
      <c r="K365">
        <f>IF(OR($F365="",$J365="",$J365="نامعتبر"),"",LEFT($J365,4)&amp;MID($J365,6,2)&amp;RIGHT($J365,2)&amp;$N365&amp;"|"&amp;"2"&amp;RIGHT("00000"&amp;360,5))</f>
        <v/>
      </c>
      <c r="L365">
        <f>IF($K365="","",COUNTIFS(LdgSellerA,$F365,LdgKeyA,"&lt;"&amp;$K365)+COUNTIFS(LdgSellerB,$F365,LdgKeyB,"&lt;"&amp;$K365)+1)</f>
        <v/>
      </c>
      <c r="M365">
        <f>IF($L365="","",$F365&amp;"|"&amp;RIGHT("000000"&amp;$L365,6))</f>
        <v/>
      </c>
      <c r="N365">
        <f>IF($F365="","",IF(Sync!$AF365="","0000",IF(AND(ISNUMBER(Sync!$AF365),Sync!$AF365&gt;=0,Sync!$AF365&lt;1),RIGHT("00"&amp;HOUR(Sync!$AF365),2)&amp;RIGHT("00"&amp;MINUTE(Sync!$AF365),2),IFERROR(RIGHT("00"&amp;VALUE(LEFT(Sync!$AF365,FIND(":",Sync!$AF365)-1)),2)&amp;RIGHT("00"&amp;VALUE(MID(Sync!$AF365,FIND(":",Sync!$AF365)+1,2)),2),"0000"))))</f>
        <v/>
      </c>
    </row>
    <row r="366">
      <c r="A366">
        <f>IF(OR(Calc!$E370="",Calc!$E370="نامعتبر",Calc!$G370=""),"",Calc!$G370)</f>
        <v/>
      </c>
      <c r="B366">
        <f>IF($A366="","",LEFT(Calc!$E370,4)&amp;MID(Calc!$E370,6,2)&amp;RIGHT(Calc!$E370,2)&amp;Calc!$Q370&amp;"|"&amp;"1"&amp;RIGHT("00000"&amp;361,5))</f>
        <v/>
      </c>
      <c r="C366">
        <f>IF($B366="","",COUNTIFS(LdgSellerA,$A366,LdgKeyA,"&lt;"&amp;$B366)+COUNTIFS(LdgSellerB,$A366,LdgKeyB,"&lt;"&amp;$B366)+1)</f>
        <v/>
      </c>
      <c r="D366">
        <f>IF($C366="","",$A366&amp;"|"&amp;RIGHT("000000"&amp;$C366,6))</f>
        <v/>
      </c>
      <c r="F366">
        <f>IF(Sync!$AH366="","",IF(LEFT(UPPER(TRIM(Sync!$AH366)),2)="SL",UPPER(TRIM(Sync!$AH366)),""))</f>
        <v/>
      </c>
      <c r="G366">
        <f>IF($F366="","",IF(Sync!$AE366="","",IF(ISNUMBER(Sync!$AE366),IF(AND(Sync!$AE366&gt;=10000101,Sync!$AE366&lt;=99991231),INT(Sync!$AE366/10000),""),IFERROR(VALUE(TRIM(LEFT(Sync!$AE366,FIND("/",Sync!$AE366)-1))),""))))</f>
        <v/>
      </c>
      <c r="H366">
        <f>IF(OR($F366="",$G366=""),"",IF(ISNUMBER(Sync!$AE366),INT(MOD(Sync!$AE366,10000)/100),IFERROR(VALUE(TRIM(LEFT(MID(Sync!$AE366,FIND("/",Sync!$AE366)+1,20),FIND("/",MID(Sync!$AE366,FIND("/",Sync!$AE366)+1,20))-1))),"")))</f>
        <v/>
      </c>
      <c r="I366">
        <f>IF(OR($F366="",$G366=""),"",IF(ISNUMBER(Sync!$AE366),MOD(Sync!$AE366,100),IFERROR(VALUE(TRIM(MID(MID(Sync!$AE366,FIND("/",Sync!$AE366)+1,20),FIND("/",MID(Sync!$AE366,FIND("/",Sync!$AE366)+1,20))+1,20))),"")))</f>
        <v/>
      </c>
      <c r="J366">
        <f>IF($F366="","",IF(OR($G366="",$H366="",$I366="",$G366&lt;1300,$G366&gt;1500,$H366&lt;1,$H366&gt;12,$I366&lt;1,$I366&gt;31),"نامعتبر",RIGHT("0000"&amp;$G366,4)&amp;"/"&amp;RIGHT("00"&amp;$H366,2)&amp;"/"&amp;RIGHT("00"&amp;$I366,2)))</f>
        <v/>
      </c>
      <c r="K366">
        <f>IF(OR($F366="",$J366="",$J366="نامعتبر"),"",LEFT($J366,4)&amp;MID($J366,6,2)&amp;RIGHT($J366,2)&amp;$N366&amp;"|"&amp;"2"&amp;RIGHT("00000"&amp;361,5))</f>
        <v/>
      </c>
      <c r="L366">
        <f>IF($K366="","",COUNTIFS(LdgSellerA,$F366,LdgKeyA,"&lt;"&amp;$K366)+COUNTIFS(LdgSellerB,$F366,LdgKeyB,"&lt;"&amp;$K366)+1)</f>
        <v/>
      </c>
      <c r="M366">
        <f>IF($L366="","",$F366&amp;"|"&amp;RIGHT("000000"&amp;$L366,6))</f>
        <v/>
      </c>
      <c r="N366">
        <f>IF($F366="","",IF(Sync!$AF366="","0000",IF(AND(ISNUMBER(Sync!$AF366),Sync!$AF366&gt;=0,Sync!$AF366&lt;1),RIGHT("00"&amp;HOUR(Sync!$AF366),2)&amp;RIGHT("00"&amp;MINUTE(Sync!$AF366),2),IFERROR(RIGHT("00"&amp;VALUE(LEFT(Sync!$AF366,FIND(":",Sync!$AF366)-1)),2)&amp;RIGHT("00"&amp;VALUE(MID(Sync!$AF366,FIND(":",Sync!$AF366)+1,2)),2),"0000"))))</f>
        <v/>
      </c>
    </row>
    <row r="367">
      <c r="A367">
        <f>IF(OR(Calc!$E371="",Calc!$E371="نامعتبر",Calc!$G371=""),"",Calc!$G371)</f>
        <v/>
      </c>
      <c r="B367">
        <f>IF($A367="","",LEFT(Calc!$E371,4)&amp;MID(Calc!$E371,6,2)&amp;RIGHT(Calc!$E371,2)&amp;Calc!$Q371&amp;"|"&amp;"1"&amp;RIGHT("00000"&amp;362,5))</f>
        <v/>
      </c>
      <c r="C367">
        <f>IF($B367="","",COUNTIFS(LdgSellerA,$A367,LdgKeyA,"&lt;"&amp;$B367)+COUNTIFS(LdgSellerB,$A367,LdgKeyB,"&lt;"&amp;$B367)+1)</f>
        <v/>
      </c>
      <c r="D367">
        <f>IF($C367="","",$A367&amp;"|"&amp;RIGHT("000000"&amp;$C367,6))</f>
        <v/>
      </c>
      <c r="F367">
        <f>IF(Sync!$AH367="","",IF(LEFT(UPPER(TRIM(Sync!$AH367)),2)="SL",UPPER(TRIM(Sync!$AH367)),""))</f>
        <v/>
      </c>
      <c r="G367">
        <f>IF($F367="","",IF(Sync!$AE367="","",IF(ISNUMBER(Sync!$AE367),IF(AND(Sync!$AE367&gt;=10000101,Sync!$AE367&lt;=99991231),INT(Sync!$AE367/10000),""),IFERROR(VALUE(TRIM(LEFT(Sync!$AE367,FIND("/",Sync!$AE367)-1))),""))))</f>
        <v/>
      </c>
      <c r="H367">
        <f>IF(OR($F367="",$G367=""),"",IF(ISNUMBER(Sync!$AE367),INT(MOD(Sync!$AE367,10000)/100),IFERROR(VALUE(TRIM(LEFT(MID(Sync!$AE367,FIND("/",Sync!$AE367)+1,20),FIND("/",MID(Sync!$AE367,FIND("/",Sync!$AE367)+1,20))-1))),"")))</f>
        <v/>
      </c>
      <c r="I367">
        <f>IF(OR($F367="",$G367=""),"",IF(ISNUMBER(Sync!$AE367),MOD(Sync!$AE367,100),IFERROR(VALUE(TRIM(MID(MID(Sync!$AE367,FIND("/",Sync!$AE367)+1,20),FIND("/",MID(Sync!$AE367,FIND("/",Sync!$AE367)+1,20))+1,20))),"")))</f>
        <v/>
      </c>
      <c r="J367">
        <f>IF($F367="","",IF(OR($G367="",$H367="",$I367="",$G367&lt;1300,$G367&gt;1500,$H367&lt;1,$H367&gt;12,$I367&lt;1,$I367&gt;31),"نامعتبر",RIGHT("0000"&amp;$G367,4)&amp;"/"&amp;RIGHT("00"&amp;$H367,2)&amp;"/"&amp;RIGHT("00"&amp;$I367,2)))</f>
        <v/>
      </c>
      <c r="K367">
        <f>IF(OR($F367="",$J367="",$J367="نامعتبر"),"",LEFT($J367,4)&amp;MID($J367,6,2)&amp;RIGHT($J367,2)&amp;$N367&amp;"|"&amp;"2"&amp;RIGHT("00000"&amp;362,5))</f>
        <v/>
      </c>
      <c r="L367">
        <f>IF($K367="","",COUNTIFS(LdgSellerA,$F367,LdgKeyA,"&lt;"&amp;$K367)+COUNTIFS(LdgSellerB,$F367,LdgKeyB,"&lt;"&amp;$K367)+1)</f>
        <v/>
      </c>
      <c r="M367">
        <f>IF($L367="","",$F367&amp;"|"&amp;RIGHT("000000"&amp;$L367,6))</f>
        <v/>
      </c>
      <c r="N367">
        <f>IF($F367="","",IF(Sync!$AF367="","0000",IF(AND(ISNUMBER(Sync!$AF367),Sync!$AF367&gt;=0,Sync!$AF367&lt;1),RIGHT("00"&amp;HOUR(Sync!$AF367),2)&amp;RIGHT("00"&amp;MINUTE(Sync!$AF367),2),IFERROR(RIGHT("00"&amp;VALUE(LEFT(Sync!$AF367,FIND(":",Sync!$AF367)-1)),2)&amp;RIGHT("00"&amp;VALUE(MID(Sync!$AF367,FIND(":",Sync!$AF367)+1,2)),2),"0000"))))</f>
        <v/>
      </c>
    </row>
    <row r="368">
      <c r="A368">
        <f>IF(OR(Calc!$E372="",Calc!$E372="نامعتبر",Calc!$G372=""),"",Calc!$G372)</f>
        <v/>
      </c>
      <c r="B368">
        <f>IF($A368="","",LEFT(Calc!$E372,4)&amp;MID(Calc!$E372,6,2)&amp;RIGHT(Calc!$E372,2)&amp;Calc!$Q372&amp;"|"&amp;"1"&amp;RIGHT("00000"&amp;363,5))</f>
        <v/>
      </c>
      <c r="C368">
        <f>IF($B368="","",COUNTIFS(LdgSellerA,$A368,LdgKeyA,"&lt;"&amp;$B368)+COUNTIFS(LdgSellerB,$A368,LdgKeyB,"&lt;"&amp;$B368)+1)</f>
        <v/>
      </c>
      <c r="D368">
        <f>IF($C368="","",$A368&amp;"|"&amp;RIGHT("000000"&amp;$C368,6))</f>
        <v/>
      </c>
      <c r="F368">
        <f>IF(Sync!$AH368="","",IF(LEFT(UPPER(TRIM(Sync!$AH368)),2)="SL",UPPER(TRIM(Sync!$AH368)),""))</f>
        <v/>
      </c>
      <c r="G368">
        <f>IF($F368="","",IF(Sync!$AE368="","",IF(ISNUMBER(Sync!$AE368),IF(AND(Sync!$AE368&gt;=10000101,Sync!$AE368&lt;=99991231),INT(Sync!$AE368/10000),""),IFERROR(VALUE(TRIM(LEFT(Sync!$AE368,FIND("/",Sync!$AE368)-1))),""))))</f>
        <v/>
      </c>
      <c r="H368">
        <f>IF(OR($F368="",$G368=""),"",IF(ISNUMBER(Sync!$AE368),INT(MOD(Sync!$AE368,10000)/100),IFERROR(VALUE(TRIM(LEFT(MID(Sync!$AE368,FIND("/",Sync!$AE368)+1,20),FIND("/",MID(Sync!$AE368,FIND("/",Sync!$AE368)+1,20))-1))),"")))</f>
        <v/>
      </c>
      <c r="I368">
        <f>IF(OR($F368="",$G368=""),"",IF(ISNUMBER(Sync!$AE368),MOD(Sync!$AE368,100),IFERROR(VALUE(TRIM(MID(MID(Sync!$AE368,FIND("/",Sync!$AE368)+1,20),FIND("/",MID(Sync!$AE368,FIND("/",Sync!$AE368)+1,20))+1,20))),"")))</f>
        <v/>
      </c>
      <c r="J368">
        <f>IF($F368="","",IF(OR($G368="",$H368="",$I368="",$G368&lt;1300,$G368&gt;1500,$H368&lt;1,$H368&gt;12,$I368&lt;1,$I368&gt;31),"نامعتبر",RIGHT("0000"&amp;$G368,4)&amp;"/"&amp;RIGHT("00"&amp;$H368,2)&amp;"/"&amp;RIGHT("00"&amp;$I368,2)))</f>
        <v/>
      </c>
      <c r="K368">
        <f>IF(OR($F368="",$J368="",$J368="نامعتبر"),"",LEFT($J368,4)&amp;MID($J368,6,2)&amp;RIGHT($J368,2)&amp;$N368&amp;"|"&amp;"2"&amp;RIGHT("00000"&amp;363,5))</f>
        <v/>
      </c>
      <c r="L368">
        <f>IF($K368="","",COUNTIFS(LdgSellerA,$F368,LdgKeyA,"&lt;"&amp;$K368)+COUNTIFS(LdgSellerB,$F368,LdgKeyB,"&lt;"&amp;$K368)+1)</f>
        <v/>
      </c>
      <c r="M368">
        <f>IF($L368="","",$F368&amp;"|"&amp;RIGHT("000000"&amp;$L368,6))</f>
        <v/>
      </c>
      <c r="N368">
        <f>IF($F368="","",IF(Sync!$AF368="","0000",IF(AND(ISNUMBER(Sync!$AF368),Sync!$AF368&gt;=0,Sync!$AF368&lt;1),RIGHT("00"&amp;HOUR(Sync!$AF368),2)&amp;RIGHT("00"&amp;MINUTE(Sync!$AF368),2),IFERROR(RIGHT("00"&amp;VALUE(LEFT(Sync!$AF368,FIND(":",Sync!$AF368)-1)),2)&amp;RIGHT("00"&amp;VALUE(MID(Sync!$AF368,FIND(":",Sync!$AF368)+1,2)),2),"0000"))))</f>
        <v/>
      </c>
    </row>
    <row r="369">
      <c r="A369">
        <f>IF(OR(Calc!$E373="",Calc!$E373="نامعتبر",Calc!$G373=""),"",Calc!$G373)</f>
        <v/>
      </c>
      <c r="B369">
        <f>IF($A369="","",LEFT(Calc!$E373,4)&amp;MID(Calc!$E373,6,2)&amp;RIGHT(Calc!$E373,2)&amp;Calc!$Q373&amp;"|"&amp;"1"&amp;RIGHT("00000"&amp;364,5))</f>
        <v/>
      </c>
      <c r="C369">
        <f>IF($B369="","",COUNTIFS(LdgSellerA,$A369,LdgKeyA,"&lt;"&amp;$B369)+COUNTIFS(LdgSellerB,$A369,LdgKeyB,"&lt;"&amp;$B369)+1)</f>
        <v/>
      </c>
      <c r="D369">
        <f>IF($C369="","",$A369&amp;"|"&amp;RIGHT("000000"&amp;$C369,6))</f>
        <v/>
      </c>
      <c r="F369">
        <f>IF(Sync!$AH369="","",IF(LEFT(UPPER(TRIM(Sync!$AH369)),2)="SL",UPPER(TRIM(Sync!$AH369)),""))</f>
        <v/>
      </c>
      <c r="G369">
        <f>IF($F369="","",IF(Sync!$AE369="","",IF(ISNUMBER(Sync!$AE369),IF(AND(Sync!$AE369&gt;=10000101,Sync!$AE369&lt;=99991231),INT(Sync!$AE369/10000),""),IFERROR(VALUE(TRIM(LEFT(Sync!$AE369,FIND("/",Sync!$AE369)-1))),""))))</f>
        <v/>
      </c>
      <c r="H369">
        <f>IF(OR($F369="",$G369=""),"",IF(ISNUMBER(Sync!$AE369),INT(MOD(Sync!$AE369,10000)/100),IFERROR(VALUE(TRIM(LEFT(MID(Sync!$AE369,FIND("/",Sync!$AE369)+1,20),FIND("/",MID(Sync!$AE369,FIND("/",Sync!$AE369)+1,20))-1))),"")))</f>
        <v/>
      </c>
      <c r="I369">
        <f>IF(OR($F369="",$G369=""),"",IF(ISNUMBER(Sync!$AE369),MOD(Sync!$AE369,100),IFERROR(VALUE(TRIM(MID(MID(Sync!$AE369,FIND("/",Sync!$AE369)+1,20),FIND("/",MID(Sync!$AE369,FIND("/",Sync!$AE369)+1,20))+1,20))),"")))</f>
        <v/>
      </c>
      <c r="J369">
        <f>IF($F369="","",IF(OR($G369="",$H369="",$I369="",$G369&lt;1300,$G369&gt;1500,$H369&lt;1,$H369&gt;12,$I369&lt;1,$I369&gt;31),"نامعتبر",RIGHT("0000"&amp;$G369,4)&amp;"/"&amp;RIGHT("00"&amp;$H369,2)&amp;"/"&amp;RIGHT("00"&amp;$I369,2)))</f>
        <v/>
      </c>
      <c r="K369">
        <f>IF(OR($F369="",$J369="",$J369="نامعتبر"),"",LEFT($J369,4)&amp;MID($J369,6,2)&amp;RIGHT($J369,2)&amp;$N369&amp;"|"&amp;"2"&amp;RIGHT("00000"&amp;364,5))</f>
        <v/>
      </c>
      <c r="L369">
        <f>IF($K369="","",COUNTIFS(LdgSellerA,$F369,LdgKeyA,"&lt;"&amp;$K369)+COUNTIFS(LdgSellerB,$F369,LdgKeyB,"&lt;"&amp;$K369)+1)</f>
        <v/>
      </c>
      <c r="M369">
        <f>IF($L369="","",$F369&amp;"|"&amp;RIGHT("000000"&amp;$L369,6))</f>
        <v/>
      </c>
      <c r="N369">
        <f>IF($F369="","",IF(Sync!$AF369="","0000",IF(AND(ISNUMBER(Sync!$AF369),Sync!$AF369&gt;=0,Sync!$AF369&lt;1),RIGHT("00"&amp;HOUR(Sync!$AF369),2)&amp;RIGHT("00"&amp;MINUTE(Sync!$AF369),2),IFERROR(RIGHT("00"&amp;VALUE(LEFT(Sync!$AF369,FIND(":",Sync!$AF369)-1)),2)&amp;RIGHT("00"&amp;VALUE(MID(Sync!$AF369,FIND(":",Sync!$AF369)+1,2)),2),"0000"))))</f>
        <v/>
      </c>
    </row>
    <row r="370">
      <c r="A370">
        <f>IF(OR(Calc!$E374="",Calc!$E374="نامعتبر",Calc!$G374=""),"",Calc!$G374)</f>
        <v/>
      </c>
      <c r="B370">
        <f>IF($A370="","",LEFT(Calc!$E374,4)&amp;MID(Calc!$E374,6,2)&amp;RIGHT(Calc!$E374,2)&amp;Calc!$Q374&amp;"|"&amp;"1"&amp;RIGHT("00000"&amp;365,5))</f>
        <v/>
      </c>
      <c r="C370">
        <f>IF($B370="","",COUNTIFS(LdgSellerA,$A370,LdgKeyA,"&lt;"&amp;$B370)+COUNTIFS(LdgSellerB,$A370,LdgKeyB,"&lt;"&amp;$B370)+1)</f>
        <v/>
      </c>
      <c r="D370">
        <f>IF($C370="","",$A370&amp;"|"&amp;RIGHT("000000"&amp;$C370,6))</f>
        <v/>
      </c>
      <c r="F370">
        <f>IF(Sync!$AH370="","",IF(LEFT(UPPER(TRIM(Sync!$AH370)),2)="SL",UPPER(TRIM(Sync!$AH370)),""))</f>
        <v/>
      </c>
      <c r="G370">
        <f>IF($F370="","",IF(Sync!$AE370="","",IF(ISNUMBER(Sync!$AE370),IF(AND(Sync!$AE370&gt;=10000101,Sync!$AE370&lt;=99991231),INT(Sync!$AE370/10000),""),IFERROR(VALUE(TRIM(LEFT(Sync!$AE370,FIND("/",Sync!$AE370)-1))),""))))</f>
        <v/>
      </c>
      <c r="H370">
        <f>IF(OR($F370="",$G370=""),"",IF(ISNUMBER(Sync!$AE370),INT(MOD(Sync!$AE370,10000)/100),IFERROR(VALUE(TRIM(LEFT(MID(Sync!$AE370,FIND("/",Sync!$AE370)+1,20),FIND("/",MID(Sync!$AE370,FIND("/",Sync!$AE370)+1,20))-1))),"")))</f>
        <v/>
      </c>
      <c r="I370">
        <f>IF(OR($F370="",$G370=""),"",IF(ISNUMBER(Sync!$AE370),MOD(Sync!$AE370,100),IFERROR(VALUE(TRIM(MID(MID(Sync!$AE370,FIND("/",Sync!$AE370)+1,20),FIND("/",MID(Sync!$AE370,FIND("/",Sync!$AE370)+1,20))+1,20))),"")))</f>
        <v/>
      </c>
      <c r="J370">
        <f>IF($F370="","",IF(OR($G370="",$H370="",$I370="",$G370&lt;1300,$G370&gt;1500,$H370&lt;1,$H370&gt;12,$I370&lt;1,$I370&gt;31),"نامعتبر",RIGHT("0000"&amp;$G370,4)&amp;"/"&amp;RIGHT("00"&amp;$H370,2)&amp;"/"&amp;RIGHT("00"&amp;$I370,2)))</f>
        <v/>
      </c>
      <c r="K370">
        <f>IF(OR($F370="",$J370="",$J370="نامعتبر"),"",LEFT($J370,4)&amp;MID($J370,6,2)&amp;RIGHT($J370,2)&amp;$N370&amp;"|"&amp;"2"&amp;RIGHT("00000"&amp;365,5))</f>
        <v/>
      </c>
      <c r="L370">
        <f>IF($K370="","",COUNTIFS(LdgSellerA,$F370,LdgKeyA,"&lt;"&amp;$K370)+COUNTIFS(LdgSellerB,$F370,LdgKeyB,"&lt;"&amp;$K370)+1)</f>
        <v/>
      </c>
      <c r="M370">
        <f>IF($L370="","",$F370&amp;"|"&amp;RIGHT("000000"&amp;$L370,6))</f>
        <v/>
      </c>
      <c r="N370">
        <f>IF($F370="","",IF(Sync!$AF370="","0000",IF(AND(ISNUMBER(Sync!$AF370),Sync!$AF370&gt;=0,Sync!$AF370&lt;1),RIGHT("00"&amp;HOUR(Sync!$AF370),2)&amp;RIGHT("00"&amp;MINUTE(Sync!$AF370),2),IFERROR(RIGHT("00"&amp;VALUE(LEFT(Sync!$AF370,FIND(":",Sync!$AF370)-1)),2)&amp;RIGHT("00"&amp;VALUE(MID(Sync!$AF370,FIND(":",Sync!$AF370)+1,2)),2),"0000"))))</f>
        <v/>
      </c>
    </row>
    <row r="371">
      <c r="A371">
        <f>IF(OR(Calc!$E375="",Calc!$E375="نامعتبر",Calc!$G375=""),"",Calc!$G375)</f>
        <v/>
      </c>
      <c r="B371">
        <f>IF($A371="","",LEFT(Calc!$E375,4)&amp;MID(Calc!$E375,6,2)&amp;RIGHT(Calc!$E375,2)&amp;Calc!$Q375&amp;"|"&amp;"1"&amp;RIGHT("00000"&amp;366,5))</f>
        <v/>
      </c>
      <c r="C371">
        <f>IF($B371="","",COUNTIFS(LdgSellerA,$A371,LdgKeyA,"&lt;"&amp;$B371)+COUNTIFS(LdgSellerB,$A371,LdgKeyB,"&lt;"&amp;$B371)+1)</f>
        <v/>
      </c>
      <c r="D371">
        <f>IF($C371="","",$A371&amp;"|"&amp;RIGHT("000000"&amp;$C371,6))</f>
        <v/>
      </c>
      <c r="F371">
        <f>IF(Sync!$AH371="","",IF(LEFT(UPPER(TRIM(Sync!$AH371)),2)="SL",UPPER(TRIM(Sync!$AH371)),""))</f>
        <v/>
      </c>
      <c r="G371">
        <f>IF($F371="","",IF(Sync!$AE371="","",IF(ISNUMBER(Sync!$AE371),IF(AND(Sync!$AE371&gt;=10000101,Sync!$AE371&lt;=99991231),INT(Sync!$AE371/10000),""),IFERROR(VALUE(TRIM(LEFT(Sync!$AE371,FIND("/",Sync!$AE371)-1))),""))))</f>
        <v/>
      </c>
      <c r="H371">
        <f>IF(OR($F371="",$G371=""),"",IF(ISNUMBER(Sync!$AE371),INT(MOD(Sync!$AE371,10000)/100),IFERROR(VALUE(TRIM(LEFT(MID(Sync!$AE371,FIND("/",Sync!$AE371)+1,20),FIND("/",MID(Sync!$AE371,FIND("/",Sync!$AE371)+1,20))-1))),"")))</f>
        <v/>
      </c>
      <c r="I371">
        <f>IF(OR($F371="",$G371=""),"",IF(ISNUMBER(Sync!$AE371),MOD(Sync!$AE371,100),IFERROR(VALUE(TRIM(MID(MID(Sync!$AE371,FIND("/",Sync!$AE371)+1,20),FIND("/",MID(Sync!$AE371,FIND("/",Sync!$AE371)+1,20))+1,20))),"")))</f>
        <v/>
      </c>
      <c r="J371">
        <f>IF($F371="","",IF(OR($G371="",$H371="",$I371="",$G371&lt;1300,$G371&gt;1500,$H371&lt;1,$H371&gt;12,$I371&lt;1,$I371&gt;31),"نامعتبر",RIGHT("0000"&amp;$G371,4)&amp;"/"&amp;RIGHT("00"&amp;$H371,2)&amp;"/"&amp;RIGHT("00"&amp;$I371,2)))</f>
        <v/>
      </c>
      <c r="K371">
        <f>IF(OR($F371="",$J371="",$J371="نامعتبر"),"",LEFT($J371,4)&amp;MID($J371,6,2)&amp;RIGHT($J371,2)&amp;$N371&amp;"|"&amp;"2"&amp;RIGHT("00000"&amp;366,5))</f>
        <v/>
      </c>
      <c r="L371">
        <f>IF($K371="","",COUNTIFS(LdgSellerA,$F371,LdgKeyA,"&lt;"&amp;$K371)+COUNTIFS(LdgSellerB,$F371,LdgKeyB,"&lt;"&amp;$K371)+1)</f>
        <v/>
      </c>
      <c r="M371">
        <f>IF($L371="","",$F371&amp;"|"&amp;RIGHT("000000"&amp;$L371,6))</f>
        <v/>
      </c>
      <c r="N371">
        <f>IF($F371="","",IF(Sync!$AF371="","0000",IF(AND(ISNUMBER(Sync!$AF371),Sync!$AF371&gt;=0,Sync!$AF371&lt;1),RIGHT("00"&amp;HOUR(Sync!$AF371),2)&amp;RIGHT("00"&amp;MINUTE(Sync!$AF371),2),IFERROR(RIGHT("00"&amp;VALUE(LEFT(Sync!$AF371,FIND(":",Sync!$AF371)-1)),2)&amp;RIGHT("00"&amp;VALUE(MID(Sync!$AF371,FIND(":",Sync!$AF371)+1,2)),2),"0000"))))</f>
        <v/>
      </c>
    </row>
    <row r="372">
      <c r="A372">
        <f>IF(OR(Calc!$E376="",Calc!$E376="نامعتبر",Calc!$G376=""),"",Calc!$G376)</f>
        <v/>
      </c>
      <c r="B372">
        <f>IF($A372="","",LEFT(Calc!$E376,4)&amp;MID(Calc!$E376,6,2)&amp;RIGHT(Calc!$E376,2)&amp;Calc!$Q376&amp;"|"&amp;"1"&amp;RIGHT("00000"&amp;367,5))</f>
        <v/>
      </c>
      <c r="C372">
        <f>IF($B372="","",COUNTIFS(LdgSellerA,$A372,LdgKeyA,"&lt;"&amp;$B372)+COUNTIFS(LdgSellerB,$A372,LdgKeyB,"&lt;"&amp;$B372)+1)</f>
        <v/>
      </c>
      <c r="D372">
        <f>IF($C372="","",$A372&amp;"|"&amp;RIGHT("000000"&amp;$C372,6))</f>
        <v/>
      </c>
      <c r="F372">
        <f>IF(Sync!$AH372="","",IF(LEFT(UPPER(TRIM(Sync!$AH372)),2)="SL",UPPER(TRIM(Sync!$AH372)),""))</f>
        <v/>
      </c>
      <c r="G372">
        <f>IF($F372="","",IF(Sync!$AE372="","",IF(ISNUMBER(Sync!$AE372),IF(AND(Sync!$AE372&gt;=10000101,Sync!$AE372&lt;=99991231),INT(Sync!$AE372/10000),""),IFERROR(VALUE(TRIM(LEFT(Sync!$AE372,FIND("/",Sync!$AE372)-1))),""))))</f>
        <v/>
      </c>
      <c r="H372">
        <f>IF(OR($F372="",$G372=""),"",IF(ISNUMBER(Sync!$AE372),INT(MOD(Sync!$AE372,10000)/100),IFERROR(VALUE(TRIM(LEFT(MID(Sync!$AE372,FIND("/",Sync!$AE372)+1,20),FIND("/",MID(Sync!$AE372,FIND("/",Sync!$AE372)+1,20))-1))),"")))</f>
        <v/>
      </c>
      <c r="I372">
        <f>IF(OR($F372="",$G372=""),"",IF(ISNUMBER(Sync!$AE372),MOD(Sync!$AE372,100),IFERROR(VALUE(TRIM(MID(MID(Sync!$AE372,FIND("/",Sync!$AE372)+1,20),FIND("/",MID(Sync!$AE372,FIND("/",Sync!$AE372)+1,20))+1,20))),"")))</f>
        <v/>
      </c>
      <c r="J372">
        <f>IF($F372="","",IF(OR($G372="",$H372="",$I372="",$G372&lt;1300,$G372&gt;1500,$H372&lt;1,$H372&gt;12,$I372&lt;1,$I372&gt;31),"نامعتبر",RIGHT("0000"&amp;$G372,4)&amp;"/"&amp;RIGHT("00"&amp;$H372,2)&amp;"/"&amp;RIGHT("00"&amp;$I372,2)))</f>
        <v/>
      </c>
      <c r="K372">
        <f>IF(OR($F372="",$J372="",$J372="نامعتبر"),"",LEFT($J372,4)&amp;MID($J372,6,2)&amp;RIGHT($J372,2)&amp;$N372&amp;"|"&amp;"2"&amp;RIGHT("00000"&amp;367,5))</f>
        <v/>
      </c>
      <c r="L372">
        <f>IF($K372="","",COUNTIFS(LdgSellerA,$F372,LdgKeyA,"&lt;"&amp;$K372)+COUNTIFS(LdgSellerB,$F372,LdgKeyB,"&lt;"&amp;$K372)+1)</f>
        <v/>
      </c>
      <c r="M372">
        <f>IF($L372="","",$F372&amp;"|"&amp;RIGHT("000000"&amp;$L372,6))</f>
        <v/>
      </c>
      <c r="N372">
        <f>IF($F372="","",IF(Sync!$AF372="","0000",IF(AND(ISNUMBER(Sync!$AF372),Sync!$AF372&gt;=0,Sync!$AF372&lt;1),RIGHT("00"&amp;HOUR(Sync!$AF372),2)&amp;RIGHT("00"&amp;MINUTE(Sync!$AF372),2),IFERROR(RIGHT("00"&amp;VALUE(LEFT(Sync!$AF372,FIND(":",Sync!$AF372)-1)),2)&amp;RIGHT("00"&amp;VALUE(MID(Sync!$AF372,FIND(":",Sync!$AF372)+1,2)),2),"0000"))))</f>
        <v/>
      </c>
    </row>
    <row r="373">
      <c r="A373">
        <f>IF(OR(Calc!$E377="",Calc!$E377="نامعتبر",Calc!$G377=""),"",Calc!$G377)</f>
        <v/>
      </c>
      <c r="B373">
        <f>IF($A373="","",LEFT(Calc!$E377,4)&amp;MID(Calc!$E377,6,2)&amp;RIGHT(Calc!$E377,2)&amp;Calc!$Q377&amp;"|"&amp;"1"&amp;RIGHT("00000"&amp;368,5))</f>
        <v/>
      </c>
      <c r="C373">
        <f>IF($B373="","",COUNTIFS(LdgSellerA,$A373,LdgKeyA,"&lt;"&amp;$B373)+COUNTIFS(LdgSellerB,$A373,LdgKeyB,"&lt;"&amp;$B373)+1)</f>
        <v/>
      </c>
      <c r="D373">
        <f>IF($C373="","",$A373&amp;"|"&amp;RIGHT("000000"&amp;$C373,6))</f>
        <v/>
      </c>
      <c r="F373">
        <f>IF(Sync!$AH373="","",IF(LEFT(UPPER(TRIM(Sync!$AH373)),2)="SL",UPPER(TRIM(Sync!$AH373)),""))</f>
        <v/>
      </c>
      <c r="G373">
        <f>IF($F373="","",IF(Sync!$AE373="","",IF(ISNUMBER(Sync!$AE373),IF(AND(Sync!$AE373&gt;=10000101,Sync!$AE373&lt;=99991231),INT(Sync!$AE373/10000),""),IFERROR(VALUE(TRIM(LEFT(Sync!$AE373,FIND("/",Sync!$AE373)-1))),""))))</f>
        <v/>
      </c>
      <c r="H373">
        <f>IF(OR($F373="",$G373=""),"",IF(ISNUMBER(Sync!$AE373),INT(MOD(Sync!$AE373,10000)/100),IFERROR(VALUE(TRIM(LEFT(MID(Sync!$AE373,FIND("/",Sync!$AE373)+1,20),FIND("/",MID(Sync!$AE373,FIND("/",Sync!$AE373)+1,20))-1))),"")))</f>
        <v/>
      </c>
      <c r="I373">
        <f>IF(OR($F373="",$G373=""),"",IF(ISNUMBER(Sync!$AE373),MOD(Sync!$AE373,100),IFERROR(VALUE(TRIM(MID(MID(Sync!$AE373,FIND("/",Sync!$AE373)+1,20),FIND("/",MID(Sync!$AE373,FIND("/",Sync!$AE373)+1,20))+1,20))),"")))</f>
        <v/>
      </c>
      <c r="J373">
        <f>IF($F373="","",IF(OR($G373="",$H373="",$I373="",$G373&lt;1300,$G373&gt;1500,$H373&lt;1,$H373&gt;12,$I373&lt;1,$I373&gt;31),"نامعتبر",RIGHT("0000"&amp;$G373,4)&amp;"/"&amp;RIGHT("00"&amp;$H373,2)&amp;"/"&amp;RIGHT("00"&amp;$I373,2)))</f>
        <v/>
      </c>
      <c r="K373">
        <f>IF(OR($F373="",$J373="",$J373="نامعتبر"),"",LEFT($J373,4)&amp;MID($J373,6,2)&amp;RIGHT($J373,2)&amp;$N373&amp;"|"&amp;"2"&amp;RIGHT("00000"&amp;368,5))</f>
        <v/>
      </c>
      <c r="L373">
        <f>IF($K373="","",COUNTIFS(LdgSellerA,$F373,LdgKeyA,"&lt;"&amp;$K373)+COUNTIFS(LdgSellerB,$F373,LdgKeyB,"&lt;"&amp;$K373)+1)</f>
        <v/>
      </c>
      <c r="M373">
        <f>IF($L373="","",$F373&amp;"|"&amp;RIGHT("000000"&amp;$L373,6))</f>
        <v/>
      </c>
      <c r="N373">
        <f>IF($F373="","",IF(Sync!$AF373="","0000",IF(AND(ISNUMBER(Sync!$AF373),Sync!$AF373&gt;=0,Sync!$AF373&lt;1),RIGHT("00"&amp;HOUR(Sync!$AF373),2)&amp;RIGHT("00"&amp;MINUTE(Sync!$AF373),2),IFERROR(RIGHT("00"&amp;VALUE(LEFT(Sync!$AF373,FIND(":",Sync!$AF373)-1)),2)&amp;RIGHT("00"&amp;VALUE(MID(Sync!$AF373,FIND(":",Sync!$AF373)+1,2)),2),"0000"))))</f>
        <v/>
      </c>
    </row>
    <row r="374">
      <c r="A374">
        <f>IF(OR(Calc!$E378="",Calc!$E378="نامعتبر",Calc!$G378=""),"",Calc!$G378)</f>
        <v/>
      </c>
      <c r="B374">
        <f>IF($A374="","",LEFT(Calc!$E378,4)&amp;MID(Calc!$E378,6,2)&amp;RIGHT(Calc!$E378,2)&amp;Calc!$Q378&amp;"|"&amp;"1"&amp;RIGHT("00000"&amp;369,5))</f>
        <v/>
      </c>
      <c r="C374">
        <f>IF($B374="","",COUNTIFS(LdgSellerA,$A374,LdgKeyA,"&lt;"&amp;$B374)+COUNTIFS(LdgSellerB,$A374,LdgKeyB,"&lt;"&amp;$B374)+1)</f>
        <v/>
      </c>
      <c r="D374">
        <f>IF($C374="","",$A374&amp;"|"&amp;RIGHT("000000"&amp;$C374,6))</f>
        <v/>
      </c>
      <c r="F374">
        <f>IF(Sync!$AH374="","",IF(LEFT(UPPER(TRIM(Sync!$AH374)),2)="SL",UPPER(TRIM(Sync!$AH374)),""))</f>
        <v/>
      </c>
      <c r="G374">
        <f>IF($F374="","",IF(Sync!$AE374="","",IF(ISNUMBER(Sync!$AE374),IF(AND(Sync!$AE374&gt;=10000101,Sync!$AE374&lt;=99991231),INT(Sync!$AE374/10000),""),IFERROR(VALUE(TRIM(LEFT(Sync!$AE374,FIND("/",Sync!$AE374)-1))),""))))</f>
        <v/>
      </c>
      <c r="H374">
        <f>IF(OR($F374="",$G374=""),"",IF(ISNUMBER(Sync!$AE374),INT(MOD(Sync!$AE374,10000)/100),IFERROR(VALUE(TRIM(LEFT(MID(Sync!$AE374,FIND("/",Sync!$AE374)+1,20),FIND("/",MID(Sync!$AE374,FIND("/",Sync!$AE374)+1,20))-1))),"")))</f>
        <v/>
      </c>
      <c r="I374">
        <f>IF(OR($F374="",$G374=""),"",IF(ISNUMBER(Sync!$AE374),MOD(Sync!$AE374,100),IFERROR(VALUE(TRIM(MID(MID(Sync!$AE374,FIND("/",Sync!$AE374)+1,20),FIND("/",MID(Sync!$AE374,FIND("/",Sync!$AE374)+1,20))+1,20))),"")))</f>
        <v/>
      </c>
      <c r="J374">
        <f>IF($F374="","",IF(OR($G374="",$H374="",$I374="",$G374&lt;1300,$G374&gt;1500,$H374&lt;1,$H374&gt;12,$I374&lt;1,$I374&gt;31),"نامعتبر",RIGHT("0000"&amp;$G374,4)&amp;"/"&amp;RIGHT("00"&amp;$H374,2)&amp;"/"&amp;RIGHT("00"&amp;$I374,2)))</f>
        <v/>
      </c>
      <c r="K374">
        <f>IF(OR($F374="",$J374="",$J374="نامعتبر"),"",LEFT($J374,4)&amp;MID($J374,6,2)&amp;RIGHT($J374,2)&amp;$N374&amp;"|"&amp;"2"&amp;RIGHT("00000"&amp;369,5))</f>
        <v/>
      </c>
      <c r="L374">
        <f>IF($K374="","",COUNTIFS(LdgSellerA,$F374,LdgKeyA,"&lt;"&amp;$K374)+COUNTIFS(LdgSellerB,$F374,LdgKeyB,"&lt;"&amp;$K374)+1)</f>
        <v/>
      </c>
      <c r="M374">
        <f>IF($L374="","",$F374&amp;"|"&amp;RIGHT("000000"&amp;$L374,6))</f>
        <v/>
      </c>
      <c r="N374">
        <f>IF($F374="","",IF(Sync!$AF374="","0000",IF(AND(ISNUMBER(Sync!$AF374),Sync!$AF374&gt;=0,Sync!$AF374&lt;1),RIGHT("00"&amp;HOUR(Sync!$AF374),2)&amp;RIGHT("00"&amp;MINUTE(Sync!$AF374),2),IFERROR(RIGHT("00"&amp;VALUE(LEFT(Sync!$AF374,FIND(":",Sync!$AF374)-1)),2)&amp;RIGHT("00"&amp;VALUE(MID(Sync!$AF374,FIND(":",Sync!$AF374)+1,2)),2),"0000"))))</f>
        <v/>
      </c>
    </row>
    <row r="375">
      <c r="A375">
        <f>IF(OR(Calc!$E379="",Calc!$E379="نامعتبر",Calc!$G379=""),"",Calc!$G379)</f>
        <v/>
      </c>
      <c r="B375">
        <f>IF($A375="","",LEFT(Calc!$E379,4)&amp;MID(Calc!$E379,6,2)&amp;RIGHT(Calc!$E379,2)&amp;Calc!$Q379&amp;"|"&amp;"1"&amp;RIGHT("00000"&amp;370,5))</f>
        <v/>
      </c>
      <c r="C375">
        <f>IF($B375="","",COUNTIFS(LdgSellerA,$A375,LdgKeyA,"&lt;"&amp;$B375)+COUNTIFS(LdgSellerB,$A375,LdgKeyB,"&lt;"&amp;$B375)+1)</f>
        <v/>
      </c>
      <c r="D375">
        <f>IF($C375="","",$A375&amp;"|"&amp;RIGHT("000000"&amp;$C375,6))</f>
        <v/>
      </c>
      <c r="F375">
        <f>IF(Sync!$AH375="","",IF(LEFT(UPPER(TRIM(Sync!$AH375)),2)="SL",UPPER(TRIM(Sync!$AH375)),""))</f>
        <v/>
      </c>
      <c r="G375">
        <f>IF($F375="","",IF(Sync!$AE375="","",IF(ISNUMBER(Sync!$AE375),IF(AND(Sync!$AE375&gt;=10000101,Sync!$AE375&lt;=99991231),INT(Sync!$AE375/10000),""),IFERROR(VALUE(TRIM(LEFT(Sync!$AE375,FIND("/",Sync!$AE375)-1))),""))))</f>
        <v/>
      </c>
      <c r="H375">
        <f>IF(OR($F375="",$G375=""),"",IF(ISNUMBER(Sync!$AE375),INT(MOD(Sync!$AE375,10000)/100),IFERROR(VALUE(TRIM(LEFT(MID(Sync!$AE375,FIND("/",Sync!$AE375)+1,20),FIND("/",MID(Sync!$AE375,FIND("/",Sync!$AE375)+1,20))-1))),"")))</f>
        <v/>
      </c>
      <c r="I375">
        <f>IF(OR($F375="",$G375=""),"",IF(ISNUMBER(Sync!$AE375),MOD(Sync!$AE375,100),IFERROR(VALUE(TRIM(MID(MID(Sync!$AE375,FIND("/",Sync!$AE375)+1,20),FIND("/",MID(Sync!$AE375,FIND("/",Sync!$AE375)+1,20))+1,20))),"")))</f>
        <v/>
      </c>
      <c r="J375">
        <f>IF($F375="","",IF(OR($G375="",$H375="",$I375="",$G375&lt;1300,$G375&gt;1500,$H375&lt;1,$H375&gt;12,$I375&lt;1,$I375&gt;31),"نامعتبر",RIGHT("0000"&amp;$G375,4)&amp;"/"&amp;RIGHT("00"&amp;$H375,2)&amp;"/"&amp;RIGHT("00"&amp;$I375,2)))</f>
        <v/>
      </c>
      <c r="K375">
        <f>IF(OR($F375="",$J375="",$J375="نامعتبر"),"",LEFT($J375,4)&amp;MID($J375,6,2)&amp;RIGHT($J375,2)&amp;$N375&amp;"|"&amp;"2"&amp;RIGHT("00000"&amp;370,5))</f>
        <v/>
      </c>
      <c r="L375">
        <f>IF($K375="","",COUNTIFS(LdgSellerA,$F375,LdgKeyA,"&lt;"&amp;$K375)+COUNTIFS(LdgSellerB,$F375,LdgKeyB,"&lt;"&amp;$K375)+1)</f>
        <v/>
      </c>
      <c r="M375">
        <f>IF($L375="","",$F375&amp;"|"&amp;RIGHT("000000"&amp;$L375,6))</f>
        <v/>
      </c>
      <c r="N375">
        <f>IF($F375="","",IF(Sync!$AF375="","0000",IF(AND(ISNUMBER(Sync!$AF375),Sync!$AF375&gt;=0,Sync!$AF375&lt;1),RIGHT("00"&amp;HOUR(Sync!$AF375),2)&amp;RIGHT("00"&amp;MINUTE(Sync!$AF375),2),IFERROR(RIGHT("00"&amp;VALUE(LEFT(Sync!$AF375,FIND(":",Sync!$AF375)-1)),2)&amp;RIGHT("00"&amp;VALUE(MID(Sync!$AF375,FIND(":",Sync!$AF375)+1,2)),2),"0000"))))</f>
        <v/>
      </c>
    </row>
    <row r="376">
      <c r="A376">
        <f>IF(OR(Calc!$E380="",Calc!$E380="نامعتبر",Calc!$G380=""),"",Calc!$G380)</f>
        <v/>
      </c>
      <c r="B376">
        <f>IF($A376="","",LEFT(Calc!$E380,4)&amp;MID(Calc!$E380,6,2)&amp;RIGHT(Calc!$E380,2)&amp;Calc!$Q380&amp;"|"&amp;"1"&amp;RIGHT("00000"&amp;371,5))</f>
        <v/>
      </c>
      <c r="C376">
        <f>IF($B376="","",COUNTIFS(LdgSellerA,$A376,LdgKeyA,"&lt;"&amp;$B376)+COUNTIFS(LdgSellerB,$A376,LdgKeyB,"&lt;"&amp;$B376)+1)</f>
        <v/>
      </c>
      <c r="D376">
        <f>IF($C376="","",$A376&amp;"|"&amp;RIGHT("000000"&amp;$C376,6))</f>
        <v/>
      </c>
      <c r="F376">
        <f>IF(Sync!$AH376="","",IF(LEFT(UPPER(TRIM(Sync!$AH376)),2)="SL",UPPER(TRIM(Sync!$AH376)),""))</f>
        <v/>
      </c>
      <c r="G376">
        <f>IF($F376="","",IF(Sync!$AE376="","",IF(ISNUMBER(Sync!$AE376),IF(AND(Sync!$AE376&gt;=10000101,Sync!$AE376&lt;=99991231),INT(Sync!$AE376/10000),""),IFERROR(VALUE(TRIM(LEFT(Sync!$AE376,FIND("/",Sync!$AE376)-1))),""))))</f>
        <v/>
      </c>
      <c r="H376">
        <f>IF(OR($F376="",$G376=""),"",IF(ISNUMBER(Sync!$AE376),INT(MOD(Sync!$AE376,10000)/100),IFERROR(VALUE(TRIM(LEFT(MID(Sync!$AE376,FIND("/",Sync!$AE376)+1,20),FIND("/",MID(Sync!$AE376,FIND("/",Sync!$AE376)+1,20))-1))),"")))</f>
        <v/>
      </c>
      <c r="I376">
        <f>IF(OR($F376="",$G376=""),"",IF(ISNUMBER(Sync!$AE376),MOD(Sync!$AE376,100),IFERROR(VALUE(TRIM(MID(MID(Sync!$AE376,FIND("/",Sync!$AE376)+1,20),FIND("/",MID(Sync!$AE376,FIND("/",Sync!$AE376)+1,20))+1,20))),"")))</f>
        <v/>
      </c>
      <c r="J376">
        <f>IF($F376="","",IF(OR($G376="",$H376="",$I376="",$G376&lt;1300,$G376&gt;1500,$H376&lt;1,$H376&gt;12,$I376&lt;1,$I376&gt;31),"نامعتبر",RIGHT("0000"&amp;$G376,4)&amp;"/"&amp;RIGHT("00"&amp;$H376,2)&amp;"/"&amp;RIGHT("00"&amp;$I376,2)))</f>
        <v/>
      </c>
      <c r="K376">
        <f>IF(OR($F376="",$J376="",$J376="نامعتبر"),"",LEFT($J376,4)&amp;MID($J376,6,2)&amp;RIGHT($J376,2)&amp;$N376&amp;"|"&amp;"2"&amp;RIGHT("00000"&amp;371,5))</f>
        <v/>
      </c>
      <c r="L376">
        <f>IF($K376="","",COUNTIFS(LdgSellerA,$F376,LdgKeyA,"&lt;"&amp;$K376)+COUNTIFS(LdgSellerB,$F376,LdgKeyB,"&lt;"&amp;$K376)+1)</f>
        <v/>
      </c>
      <c r="M376">
        <f>IF($L376="","",$F376&amp;"|"&amp;RIGHT("000000"&amp;$L376,6))</f>
        <v/>
      </c>
      <c r="N376">
        <f>IF($F376="","",IF(Sync!$AF376="","0000",IF(AND(ISNUMBER(Sync!$AF376),Sync!$AF376&gt;=0,Sync!$AF376&lt;1),RIGHT("00"&amp;HOUR(Sync!$AF376),2)&amp;RIGHT("00"&amp;MINUTE(Sync!$AF376),2),IFERROR(RIGHT("00"&amp;VALUE(LEFT(Sync!$AF376,FIND(":",Sync!$AF376)-1)),2)&amp;RIGHT("00"&amp;VALUE(MID(Sync!$AF376,FIND(":",Sync!$AF376)+1,2)),2),"0000"))))</f>
        <v/>
      </c>
    </row>
    <row r="377">
      <c r="A377">
        <f>IF(OR(Calc!$E381="",Calc!$E381="نامعتبر",Calc!$G381=""),"",Calc!$G381)</f>
        <v/>
      </c>
      <c r="B377">
        <f>IF($A377="","",LEFT(Calc!$E381,4)&amp;MID(Calc!$E381,6,2)&amp;RIGHT(Calc!$E381,2)&amp;Calc!$Q381&amp;"|"&amp;"1"&amp;RIGHT("00000"&amp;372,5))</f>
        <v/>
      </c>
      <c r="C377">
        <f>IF($B377="","",COUNTIFS(LdgSellerA,$A377,LdgKeyA,"&lt;"&amp;$B377)+COUNTIFS(LdgSellerB,$A377,LdgKeyB,"&lt;"&amp;$B377)+1)</f>
        <v/>
      </c>
      <c r="D377">
        <f>IF($C377="","",$A377&amp;"|"&amp;RIGHT("000000"&amp;$C377,6))</f>
        <v/>
      </c>
      <c r="F377">
        <f>IF(Sync!$AH377="","",IF(LEFT(UPPER(TRIM(Sync!$AH377)),2)="SL",UPPER(TRIM(Sync!$AH377)),""))</f>
        <v/>
      </c>
      <c r="G377">
        <f>IF($F377="","",IF(Sync!$AE377="","",IF(ISNUMBER(Sync!$AE377),IF(AND(Sync!$AE377&gt;=10000101,Sync!$AE377&lt;=99991231),INT(Sync!$AE377/10000),""),IFERROR(VALUE(TRIM(LEFT(Sync!$AE377,FIND("/",Sync!$AE377)-1))),""))))</f>
        <v/>
      </c>
      <c r="H377">
        <f>IF(OR($F377="",$G377=""),"",IF(ISNUMBER(Sync!$AE377),INT(MOD(Sync!$AE377,10000)/100),IFERROR(VALUE(TRIM(LEFT(MID(Sync!$AE377,FIND("/",Sync!$AE377)+1,20),FIND("/",MID(Sync!$AE377,FIND("/",Sync!$AE377)+1,20))-1))),"")))</f>
        <v/>
      </c>
      <c r="I377">
        <f>IF(OR($F377="",$G377=""),"",IF(ISNUMBER(Sync!$AE377),MOD(Sync!$AE377,100),IFERROR(VALUE(TRIM(MID(MID(Sync!$AE377,FIND("/",Sync!$AE377)+1,20),FIND("/",MID(Sync!$AE377,FIND("/",Sync!$AE377)+1,20))+1,20))),"")))</f>
        <v/>
      </c>
      <c r="J377">
        <f>IF($F377="","",IF(OR($G377="",$H377="",$I377="",$G377&lt;1300,$G377&gt;1500,$H377&lt;1,$H377&gt;12,$I377&lt;1,$I377&gt;31),"نامعتبر",RIGHT("0000"&amp;$G377,4)&amp;"/"&amp;RIGHT("00"&amp;$H377,2)&amp;"/"&amp;RIGHT("00"&amp;$I377,2)))</f>
        <v/>
      </c>
      <c r="K377">
        <f>IF(OR($F377="",$J377="",$J377="نامعتبر"),"",LEFT($J377,4)&amp;MID($J377,6,2)&amp;RIGHT($J377,2)&amp;$N377&amp;"|"&amp;"2"&amp;RIGHT("00000"&amp;372,5))</f>
        <v/>
      </c>
      <c r="L377">
        <f>IF($K377="","",COUNTIFS(LdgSellerA,$F377,LdgKeyA,"&lt;"&amp;$K377)+COUNTIFS(LdgSellerB,$F377,LdgKeyB,"&lt;"&amp;$K377)+1)</f>
        <v/>
      </c>
      <c r="M377">
        <f>IF($L377="","",$F377&amp;"|"&amp;RIGHT("000000"&amp;$L377,6))</f>
        <v/>
      </c>
      <c r="N377">
        <f>IF($F377="","",IF(Sync!$AF377="","0000",IF(AND(ISNUMBER(Sync!$AF377),Sync!$AF377&gt;=0,Sync!$AF377&lt;1),RIGHT("00"&amp;HOUR(Sync!$AF377),2)&amp;RIGHT("00"&amp;MINUTE(Sync!$AF377),2),IFERROR(RIGHT("00"&amp;VALUE(LEFT(Sync!$AF377,FIND(":",Sync!$AF377)-1)),2)&amp;RIGHT("00"&amp;VALUE(MID(Sync!$AF377,FIND(":",Sync!$AF377)+1,2)),2),"0000"))))</f>
        <v/>
      </c>
    </row>
    <row r="378">
      <c r="A378">
        <f>IF(OR(Calc!$E382="",Calc!$E382="نامعتبر",Calc!$G382=""),"",Calc!$G382)</f>
        <v/>
      </c>
      <c r="B378">
        <f>IF($A378="","",LEFT(Calc!$E382,4)&amp;MID(Calc!$E382,6,2)&amp;RIGHT(Calc!$E382,2)&amp;Calc!$Q382&amp;"|"&amp;"1"&amp;RIGHT("00000"&amp;373,5))</f>
        <v/>
      </c>
      <c r="C378">
        <f>IF($B378="","",COUNTIFS(LdgSellerA,$A378,LdgKeyA,"&lt;"&amp;$B378)+COUNTIFS(LdgSellerB,$A378,LdgKeyB,"&lt;"&amp;$B378)+1)</f>
        <v/>
      </c>
      <c r="D378">
        <f>IF($C378="","",$A378&amp;"|"&amp;RIGHT("000000"&amp;$C378,6))</f>
        <v/>
      </c>
      <c r="F378">
        <f>IF(Sync!$AH378="","",IF(LEFT(UPPER(TRIM(Sync!$AH378)),2)="SL",UPPER(TRIM(Sync!$AH378)),""))</f>
        <v/>
      </c>
      <c r="G378">
        <f>IF($F378="","",IF(Sync!$AE378="","",IF(ISNUMBER(Sync!$AE378),IF(AND(Sync!$AE378&gt;=10000101,Sync!$AE378&lt;=99991231),INT(Sync!$AE378/10000),""),IFERROR(VALUE(TRIM(LEFT(Sync!$AE378,FIND("/",Sync!$AE378)-1))),""))))</f>
        <v/>
      </c>
      <c r="H378">
        <f>IF(OR($F378="",$G378=""),"",IF(ISNUMBER(Sync!$AE378),INT(MOD(Sync!$AE378,10000)/100),IFERROR(VALUE(TRIM(LEFT(MID(Sync!$AE378,FIND("/",Sync!$AE378)+1,20),FIND("/",MID(Sync!$AE378,FIND("/",Sync!$AE378)+1,20))-1))),"")))</f>
        <v/>
      </c>
      <c r="I378">
        <f>IF(OR($F378="",$G378=""),"",IF(ISNUMBER(Sync!$AE378),MOD(Sync!$AE378,100),IFERROR(VALUE(TRIM(MID(MID(Sync!$AE378,FIND("/",Sync!$AE378)+1,20),FIND("/",MID(Sync!$AE378,FIND("/",Sync!$AE378)+1,20))+1,20))),"")))</f>
        <v/>
      </c>
      <c r="J378">
        <f>IF($F378="","",IF(OR($G378="",$H378="",$I378="",$G378&lt;1300,$G378&gt;1500,$H378&lt;1,$H378&gt;12,$I378&lt;1,$I378&gt;31),"نامعتبر",RIGHT("0000"&amp;$G378,4)&amp;"/"&amp;RIGHT("00"&amp;$H378,2)&amp;"/"&amp;RIGHT("00"&amp;$I378,2)))</f>
        <v/>
      </c>
      <c r="K378">
        <f>IF(OR($F378="",$J378="",$J378="نامعتبر"),"",LEFT($J378,4)&amp;MID($J378,6,2)&amp;RIGHT($J378,2)&amp;$N378&amp;"|"&amp;"2"&amp;RIGHT("00000"&amp;373,5))</f>
        <v/>
      </c>
      <c r="L378">
        <f>IF($K378="","",COUNTIFS(LdgSellerA,$F378,LdgKeyA,"&lt;"&amp;$K378)+COUNTIFS(LdgSellerB,$F378,LdgKeyB,"&lt;"&amp;$K378)+1)</f>
        <v/>
      </c>
      <c r="M378">
        <f>IF($L378="","",$F378&amp;"|"&amp;RIGHT("000000"&amp;$L378,6))</f>
        <v/>
      </c>
      <c r="N378">
        <f>IF($F378="","",IF(Sync!$AF378="","0000",IF(AND(ISNUMBER(Sync!$AF378),Sync!$AF378&gt;=0,Sync!$AF378&lt;1),RIGHT("00"&amp;HOUR(Sync!$AF378),2)&amp;RIGHT("00"&amp;MINUTE(Sync!$AF378),2),IFERROR(RIGHT("00"&amp;VALUE(LEFT(Sync!$AF378,FIND(":",Sync!$AF378)-1)),2)&amp;RIGHT("00"&amp;VALUE(MID(Sync!$AF378,FIND(":",Sync!$AF378)+1,2)),2),"0000"))))</f>
        <v/>
      </c>
    </row>
    <row r="379">
      <c r="A379">
        <f>IF(OR(Calc!$E383="",Calc!$E383="نامعتبر",Calc!$G383=""),"",Calc!$G383)</f>
        <v/>
      </c>
      <c r="B379">
        <f>IF($A379="","",LEFT(Calc!$E383,4)&amp;MID(Calc!$E383,6,2)&amp;RIGHT(Calc!$E383,2)&amp;Calc!$Q383&amp;"|"&amp;"1"&amp;RIGHT("00000"&amp;374,5))</f>
        <v/>
      </c>
      <c r="C379">
        <f>IF($B379="","",COUNTIFS(LdgSellerA,$A379,LdgKeyA,"&lt;"&amp;$B379)+COUNTIFS(LdgSellerB,$A379,LdgKeyB,"&lt;"&amp;$B379)+1)</f>
        <v/>
      </c>
      <c r="D379">
        <f>IF($C379="","",$A379&amp;"|"&amp;RIGHT("000000"&amp;$C379,6))</f>
        <v/>
      </c>
      <c r="F379">
        <f>IF(Sync!$AH379="","",IF(LEFT(UPPER(TRIM(Sync!$AH379)),2)="SL",UPPER(TRIM(Sync!$AH379)),""))</f>
        <v/>
      </c>
      <c r="G379">
        <f>IF($F379="","",IF(Sync!$AE379="","",IF(ISNUMBER(Sync!$AE379),IF(AND(Sync!$AE379&gt;=10000101,Sync!$AE379&lt;=99991231),INT(Sync!$AE379/10000),""),IFERROR(VALUE(TRIM(LEFT(Sync!$AE379,FIND("/",Sync!$AE379)-1))),""))))</f>
        <v/>
      </c>
      <c r="H379">
        <f>IF(OR($F379="",$G379=""),"",IF(ISNUMBER(Sync!$AE379),INT(MOD(Sync!$AE379,10000)/100),IFERROR(VALUE(TRIM(LEFT(MID(Sync!$AE379,FIND("/",Sync!$AE379)+1,20),FIND("/",MID(Sync!$AE379,FIND("/",Sync!$AE379)+1,20))-1))),"")))</f>
        <v/>
      </c>
      <c r="I379">
        <f>IF(OR($F379="",$G379=""),"",IF(ISNUMBER(Sync!$AE379),MOD(Sync!$AE379,100),IFERROR(VALUE(TRIM(MID(MID(Sync!$AE379,FIND("/",Sync!$AE379)+1,20),FIND("/",MID(Sync!$AE379,FIND("/",Sync!$AE379)+1,20))+1,20))),"")))</f>
        <v/>
      </c>
      <c r="J379">
        <f>IF($F379="","",IF(OR($G379="",$H379="",$I379="",$G379&lt;1300,$G379&gt;1500,$H379&lt;1,$H379&gt;12,$I379&lt;1,$I379&gt;31),"نامعتبر",RIGHT("0000"&amp;$G379,4)&amp;"/"&amp;RIGHT("00"&amp;$H379,2)&amp;"/"&amp;RIGHT("00"&amp;$I379,2)))</f>
        <v/>
      </c>
      <c r="K379">
        <f>IF(OR($F379="",$J379="",$J379="نامعتبر"),"",LEFT($J379,4)&amp;MID($J379,6,2)&amp;RIGHT($J379,2)&amp;$N379&amp;"|"&amp;"2"&amp;RIGHT("00000"&amp;374,5))</f>
        <v/>
      </c>
      <c r="L379">
        <f>IF($K379="","",COUNTIFS(LdgSellerA,$F379,LdgKeyA,"&lt;"&amp;$K379)+COUNTIFS(LdgSellerB,$F379,LdgKeyB,"&lt;"&amp;$K379)+1)</f>
        <v/>
      </c>
      <c r="M379">
        <f>IF($L379="","",$F379&amp;"|"&amp;RIGHT("000000"&amp;$L379,6))</f>
        <v/>
      </c>
      <c r="N379">
        <f>IF($F379="","",IF(Sync!$AF379="","0000",IF(AND(ISNUMBER(Sync!$AF379),Sync!$AF379&gt;=0,Sync!$AF379&lt;1),RIGHT("00"&amp;HOUR(Sync!$AF379),2)&amp;RIGHT("00"&amp;MINUTE(Sync!$AF379),2),IFERROR(RIGHT("00"&amp;VALUE(LEFT(Sync!$AF379,FIND(":",Sync!$AF379)-1)),2)&amp;RIGHT("00"&amp;VALUE(MID(Sync!$AF379,FIND(":",Sync!$AF379)+1,2)),2),"0000"))))</f>
        <v/>
      </c>
    </row>
    <row r="380">
      <c r="A380">
        <f>IF(OR(Calc!$E384="",Calc!$E384="نامعتبر",Calc!$G384=""),"",Calc!$G384)</f>
        <v/>
      </c>
      <c r="B380">
        <f>IF($A380="","",LEFT(Calc!$E384,4)&amp;MID(Calc!$E384,6,2)&amp;RIGHT(Calc!$E384,2)&amp;Calc!$Q384&amp;"|"&amp;"1"&amp;RIGHT("00000"&amp;375,5))</f>
        <v/>
      </c>
      <c r="C380">
        <f>IF($B380="","",COUNTIFS(LdgSellerA,$A380,LdgKeyA,"&lt;"&amp;$B380)+COUNTIFS(LdgSellerB,$A380,LdgKeyB,"&lt;"&amp;$B380)+1)</f>
        <v/>
      </c>
      <c r="D380">
        <f>IF($C380="","",$A380&amp;"|"&amp;RIGHT("000000"&amp;$C380,6))</f>
        <v/>
      </c>
      <c r="F380">
        <f>IF(Sync!$AH380="","",IF(LEFT(UPPER(TRIM(Sync!$AH380)),2)="SL",UPPER(TRIM(Sync!$AH380)),""))</f>
        <v/>
      </c>
      <c r="G380">
        <f>IF($F380="","",IF(Sync!$AE380="","",IF(ISNUMBER(Sync!$AE380),IF(AND(Sync!$AE380&gt;=10000101,Sync!$AE380&lt;=99991231),INT(Sync!$AE380/10000),""),IFERROR(VALUE(TRIM(LEFT(Sync!$AE380,FIND("/",Sync!$AE380)-1))),""))))</f>
        <v/>
      </c>
      <c r="H380">
        <f>IF(OR($F380="",$G380=""),"",IF(ISNUMBER(Sync!$AE380),INT(MOD(Sync!$AE380,10000)/100),IFERROR(VALUE(TRIM(LEFT(MID(Sync!$AE380,FIND("/",Sync!$AE380)+1,20),FIND("/",MID(Sync!$AE380,FIND("/",Sync!$AE380)+1,20))-1))),"")))</f>
        <v/>
      </c>
      <c r="I380">
        <f>IF(OR($F380="",$G380=""),"",IF(ISNUMBER(Sync!$AE380),MOD(Sync!$AE380,100),IFERROR(VALUE(TRIM(MID(MID(Sync!$AE380,FIND("/",Sync!$AE380)+1,20),FIND("/",MID(Sync!$AE380,FIND("/",Sync!$AE380)+1,20))+1,20))),"")))</f>
        <v/>
      </c>
      <c r="J380">
        <f>IF($F380="","",IF(OR($G380="",$H380="",$I380="",$G380&lt;1300,$G380&gt;1500,$H380&lt;1,$H380&gt;12,$I380&lt;1,$I380&gt;31),"نامعتبر",RIGHT("0000"&amp;$G380,4)&amp;"/"&amp;RIGHT("00"&amp;$H380,2)&amp;"/"&amp;RIGHT("00"&amp;$I380,2)))</f>
        <v/>
      </c>
      <c r="K380">
        <f>IF(OR($F380="",$J380="",$J380="نامعتبر"),"",LEFT($J380,4)&amp;MID($J380,6,2)&amp;RIGHT($J380,2)&amp;$N380&amp;"|"&amp;"2"&amp;RIGHT("00000"&amp;375,5))</f>
        <v/>
      </c>
      <c r="L380">
        <f>IF($K380="","",COUNTIFS(LdgSellerA,$F380,LdgKeyA,"&lt;"&amp;$K380)+COUNTIFS(LdgSellerB,$F380,LdgKeyB,"&lt;"&amp;$K380)+1)</f>
        <v/>
      </c>
      <c r="M380">
        <f>IF($L380="","",$F380&amp;"|"&amp;RIGHT("000000"&amp;$L380,6))</f>
        <v/>
      </c>
      <c r="N380">
        <f>IF($F380="","",IF(Sync!$AF380="","0000",IF(AND(ISNUMBER(Sync!$AF380),Sync!$AF380&gt;=0,Sync!$AF380&lt;1),RIGHT("00"&amp;HOUR(Sync!$AF380),2)&amp;RIGHT("00"&amp;MINUTE(Sync!$AF380),2),IFERROR(RIGHT("00"&amp;VALUE(LEFT(Sync!$AF380,FIND(":",Sync!$AF380)-1)),2)&amp;RIGHT("00"&amp;VALUE(MID(Sync!$AF380,FIND(":",Sync!$AF380)+1,2)),2),"0000"))))</f>
        <v/>
      </c>
    </row>
    <row r="381">
      <c r="A381">
        <f>IF(OR(Calc!$E385="",Calc!$E385="نامعتبر",Calc!$G385=""),"",Calc!$G385)</f>
        <v/>
      </c>
      <c r="B381">
        <f>IF($A381="","",LEFT(Calc!$E385,4)&amp;MID(Calc!$E385,6,2)&amp;RIGHT(Calc!$E385,2)&amp;Calc!$Q385&amp;"|"&amp;"1"&amp;RIGHT("00000"&amp;376,5))</f>
        <v/>
      </c>
      <c r="C381">
        <f>IF($B381="","",COUNTIFS(LdgSellerA,$A381,LdgKeyA,"&lt;"&amp;$B381)+COUNTIFS(LdgSellerB,$A381,LdgKeyB,"&lt;"&amp;$B381)+1)</f>
        <v/>
      </c>
      <c r="D381">
        <f>IF($C381="","",$A381&amp;"|"&amp;RIGHT("000000"&amp;$C381,6))</f>
        <v/>
      </c>
      <c r="F381">
        <f>IF(Sync!$AH381="","",IF(LEFT(UPPER(TRIM(Sync!$AH381)),2)="SL",UPPER(TRIM(Sync!$AH381)),""))</f>
        <v/>
      </c>
      <c r="G381">
        <f>IF($F381="","",IF(Sync!$AE381="","",IF(ISNUMBER(Sync!$AE381),IF(AND(Sync!$AE381&gt;=10000101,Sync!$AE381&lt;=99991231),INT(Sync!$AE381/10000),""),IFERROR(VALUE(TRIM(LEFT(Sync!$AE381,FIND("/",Sync!$AE381)-1))),""))))</f>
        <v/>
      </c>
      <c r="H381">
        <f>IF(OR($F381="",$G381=""),"",IF(ISNUMBER(Sync!$AE381),INT(MOD(Sync!$AE381,10000)/100),IFERROR(VALUE(TRIM(LEFT(MID(Sync!$AE381,FIND("/",Sync!$AE381)+1,20),FIND("/",MID(Sync!$AE381,FIND("/",Sync!$AE381)+1,20))-1))),"")))</f>
        <v/>
      </c>
      <c r="I381">
        <f>IF(OR($F381="",$G381=""),"",IF(ISNUMBER(Sync!$AE381),MOD(Sync!$AE381,100),IFERROR(VALUE(TRIM(MID(MID(Sync!$AE381,FIND("/",Sync!$AE381)+1,20),FIND("/",MID(Sync!$AE381,FIND("/",Sync!$AE381)+1,20))+1,20))),"")))</f>
        <v/>
      </c>
      <c r="J381">
        <f>IF($F381="","",IF(OR($G381="",$H381="",$I381="",$G381&lt;1300,$G381&gt;1500,$H381&lt;1,$H381&gt;12,$I381&lt;1,$I381&gt;31),"نامعتبر",RIGHT("0000"&amp;$G381,4)&amp;"/"&amp;RIGHT("00"&amp;$H381,2)&amp;"/"&amp;RIGHT("00"&amp;$I381,2)))</f>
        <v/>
      </c>
      <c r="K381">
        <f>IF(OR($F381="",$J381="",$J381="نامعتبر"),"",LEFT($J381,4)&amp;MID($J381,6,2)&amp;RIGHT($J381,2)&amp;$N381&amp;"|"&amp;"2"&amp;RIGHT("00000"&amp;376,5))</f>
        <v/>
      </c>
      <c r="L381">
        <f>IF($K381="","",COUNTIFS(LdgSellerA,$F381,LdgKeyA,"&lt;"&amp;$K381)+COUNTIFS(LdgSellerB,$F381,LdgKeyB,"&lt;"&amp;$K381)+1)</f>
        <v/>
      </c>
      <c r="M381">
        <f>IF($L381="","",$F381&amp;"|"&amp;RIGHT("000000"&amp;$L381,6))</f>
        <v/>
      </c>
      <c r="N381">
        <f>IF($F381="","",IF(Sync!$AF381="","0000",IF(AND(ISNUMBER(Sync!$AF381),Sync!$AF381&gt;=0,Sync!$AF381&lt;1),RIGHT("00"&amp;HOUR(Sync!$AF381),2)&amp;RIGHT("00"&amp;MINUTE(Sync!$AF381),2),IFERROR(RIGHT("00"&amp;VALUE(LEFT(Sync!$AF381,FIND(":",Sync!$AF381)-1)),2)&amp;RIGHT("00"&amp;VALUE(MID(Sync!$AF381,FIND(":",Sync!$AF381)+1,2)),2),"0000"))))</f>
        <v/>
      </c>
    </row>
    <row r="382">
      <c r="A382">
        <f>IF(OR(Calc!$E386="",Calc!$E386="نامعتبر",Calc!$G386=""),"",Calc!$G386)</f>
        <v/>
      </c>
      <c r="B382">
        <f>IF($A382="","",LEFT(Calc!$E386,4)&amp;MID(Calc!$E386,6,2)&amp;RIGHT(Calc!$E386,2)&amp;Calc!$Q386&amp;"|"&amp;"1"&amp;RIGHT("00000"&amp;377,5))</f>
        <v/>
      </c>
      <c r="C382">
        <f>IF($B382="","",COUNTIFS(LdgSellerA,$A382,LdgKeyA,"&lt;"&amp;$B382)+COUNTIFS(LdgSellerB,$A382,LdgKeyB,"&lt;"&amp;$B382)+1)</f>
        <v/>
      </c>
      <c r="D382">
        <f>IF($C382="","",$A382&amp;"|"&amp;RIGHT("000000"&amp;$C382,6))</f>
        <v/>
      </c>
      <c r="F382">
        <f>IF(Sync!$AH382="","",IF(LEFT(UPPER(TRIM(Sync!$AH382)),2)="SL",UPPER(TRIM(Sync!$AH382)),""))</f>
        <v/>
      </c>
      <c r="G382">
        <f>IF($F382="","",IF(Sync!$AE382="","",IF(ISNUMBER(Sync!$AE382),IF(AND(Sync!$AE382&gt;=10000101,Sync!$AE382&lt;=99991231),INT(Sync!$AE382/10000),""),IFERROR(VALUE(TRIM(LEFT(Sync!$AE382,FIND("/",Sync!$AE382)-1))),""))))</f>
        <v/>
      </c>
      <c r="H382">
        <f>IF(OR($F382="",$G382=""),"",IF(ISNUMBER(Sync!$AE382),INT(MOD(Sync!$AE382,10000)/100),IFERROR(VALUE(TRIM(LEFT(MID(Sync!$AE382,FIND("/",Sync!$AE382)+1,20),FIND("/",MID(Sync!$AE382,FIND("/",Sync!$AE382)+1,20))-1))),"")))</f>
        <v/>
      </c>
      <c r="I382">
        <f>IF(OR($F382="",$G382=""),"",IF(ISNUMBER(Sync!$AE382),MOD(Sync!$AE382,100),IFERROR(VALUE(TRIM(MID(MID(Sync!$AE382,FIND("/",Sync!$AE382)+1,20),FIND("/",MID(Sync!$AE382,FIND("/",Sync!$AE382)+1,20))+1,20))),"")))</f>
        <v/>
      </c>
      <c r="J382">
        <f>IF($F382="","",IF(OR($G382="",$H382="",$I382="",$G382&lt;1300,$G382&gt;1500,$H382&lt;1,$H382&gt;12,$I382&lt;1,$I382&gt;31),"نامعتبر",RIGHT("0000"&amp;$G382,4)&amp;"/"&amp;RIGHT("00"&amp;$H382,2)&amp;"/"&amp;RIGHT("00"&amp;$I382,2)))</f>
        <v/>
      </c>
      <c r="K382">
        <f>IF(OR($F382="",$J382="",$J382="نامعتبر"),"",LEFT($J382,4)&amp;MID($J382,6,2)&amp;RIGHT($J382,2)&amp;$N382&amp;"|"&amp;"2"&amp;RIGHT("00000"&amp;377,5))</f>
        <v/>
      </c>
      <c r="L382">
        <f>IF($K382="","",COUNTIFS(LdgSellerA,$F382,LdgKeyA,"&lt;"&amp;$K382)+COUNTIFS(LdgSellerB,$F382,LdgKeyB,"&lt;"&amp;$K382)+1)</f>
        <v/>
      </c>
      <c r="M382">
        <f>IF($L382="","",$F382&amp;"|"&amp;RIGHT("000000"&amp;$L382,6))</f>
        <v/>
      </c>
      <c r="N382">
        <f>IF($F382="","",IF(Sync!$AF382="","0000",IF(AND(ISNUMBER(Sync!$AF382),Sync!$AF382&gt;=0,Sync!$AF382&lt;1),RIGHT("00"&amp;HOUR(Sync!$AF382),2)&amp;RIGHT("00"&amp;MINUTE(Sync!$AF382),2),IFERROR(RIGHT("00"&amp;VALUE(LEFT(Sync!$AF382,FIND(":",Sync!$AF382)-1)),2)&amp;RIGHT("00"&amp;VALUE(MID(Sync!$AF382,FIND(":",Sync!$AF382)+1,2)),2),"0000"))))</f>
        <v/>
      </c>
    </row>
    <row r="383">
      <c r="A383">
        <f>IF(OR(Calc!$E387="",Calc!$E387="نامعتبر",Calc!$G387=""),"",Calc!$G387)</f>
        <v/>
      </c>
      <c r="B383">
        <f>IF($A383="","",LEFT(Calc!$E387,4)&amp;MID(Calc!$E387,6,2)&amp;RIGHT(Calc!$E387,2)&amp;Calc!$Q387&amp;"|"&amp;"1"&amp;RIGHT("00000"&amp;378,5))</f>
        <v/>
      </c>
      <c r="C383">
        <f>IF($B383="","",COUNTIFS(LdgSellerA,$A383,LdgKeyA,"&lt;"&amp;$B383)+COUNTIFS(LdgSellerB,$A383,LdgKeyB,"&lt;"&amp;$B383)+1)</f>
        <v/>
      </c>
      <c r="D383">
        <f>IF($C383="","",$A383&amp;"|"&amp;RIGHT("000000"&amp;$C383,6))</f>
        <v/>
      </c>
      <c r="F383">
        <f>IF(Sync!$AH383="","",IF(LEFT(UPPER(TRIM(Sync!$AH383)),2)="SL",UPPER(TRIM(Sync!$AH383)),""))</f>
        <v/>
      </c>
      <c r="G383">
        <f>IF($F383="","",IF(Sync!$AE383="","",IF(ISNUMBER(Sync!$AE383),IF(AND(Sync!$AE383&gt;=10000101,Sync!$AE383&lt;=99991231),INT(Sync!$AE383/10000),""),IFERROR(VALUE(TRIM(LEFT(Sync!$AE383,FIND("/",Sync!$AE383)-1))),""))))</f>
        <v/>
      </c>
      <c r="H383">
        <f>IF(OR($F383="",$G383=""),"",IF(ISNUMBER(Sync!$AE383),INT(MOD(Sync!$AE383,10000)/100),IFERROR(VALUE(TRIM(LEFT(MID(Sync!$AE383,FIND("/",Sync!$AE383)+1,20),FIND("/",MID(Sync!$AE383,FIND("/",Sync!$AE383)+1,20))-1))),"")))</f>
        <v/>
      </c>
      <c r="I383">
        <f>IF(OR($F383="",$G383=""),"",IF(ISNUMBER(Sync!$AE383),MOD(Sync!$AE383,100),IFERROR(VALUE(TRIM(MID(MID(Sync!$AE383,FIND("/",Sync!$AE383)+1,20),FIND("/",MID(Sync!$AE383,FIND("/",Sync!$AE383)+1,20))+1,20))),"")))</f>
        <v/>
      </c>
      <c r="J383">
        <f>IF($F383="","",IF(OR($G383="",$H383="",$I383="",$G383&lt;1300,$G383&gt;1500,$H383&lt;1,$H383&gt;12,$I383&lt;1,$I383&gt;31),"نامعتبر",RIGHT("0000"&amp;$G383,4)&amp;"/"&amp;RIGHT("00"&amp;$H383,2)&amp;"/"&amp;RIGHT("00"&amp;$I383,2)))</f>
        <v/>
      </c>
      <c r="K383">
        <f>IF(OR($F383="",$J383="",$J383="نامعتبر"),"",LEFT($J383,4)&amp;MID($J383,6,2)&amp;RIGHT($J383,2)&amp;$N383&amp;"|"&amp;"2"&amp;RIGHT("00000"&amp;378,5))</f>
        <v/>
      </c>
      <c r="L383">
        <f>IF($K383="","",COUNTIFS(LdgSellerA,$F383,LdgKeyA,"&lt;"&amp;$K383)+COUNTIFS(LdgSellerB,$F383,LdgKeyB,"&lt;"&amp;$K383)+1)</f>
        <v/>
      </c>
      <c r="M383">
        <f>IF($L383="","",$F383&amp;"|"&amp;RIGHT("000000"&amp;$L383,6))</f>
        <v/>
      </c>
      <c r="N383">
        <f>IF($F383="","",IF(Sync!$AF383="","0000",IF(AND(ISNUMBER(Sync!$AF383),Sync!$AF383&gt;=0,Sync!$AF383&lt;1),RIGHT("00"&amp;HOUR(Sync!$AF383),2)&amp;RIGHT("00"&amp;MINUTE(Sync!$AF383),2),IFERROR(RIGHT("00"&amp;VALUE(LEFT(Sync!$AF383,FIND(":",Sync!$AF383)-1)),2)&amp;RIGHT("00"&amp;VALUE(MID(Sync!$AF383,FIND(":",Sync!$AF383)+1,2)),2),"0000"))))</f>
        <v/>
      </c>
    </row>
    <row r="384">
      <c r="A384">
        <f>IF(OR(Calc!$E388="",Calc!$E388="نامعتبر",Calc!$G388=""),"",Calc!$G388)</f>
        <v/>
      </c>
      <c r="B384">
        <f>IF($A384="","",LEFT(Calc!$E388,4)&amp;MID(Calc!$E388,6,2)&amp;RIGHT(Calc!$E388,2)&amp;Calc!$Q388&amp;"|"&amp;"1"&amp;RIGHT("00000"&amp;379,5))</f>
        <v/>
      </c>
      <c r="C384">
        <f>IF($B384="","",COUNTIFS(LdgSellerA,$A384,LdgKeyA,"&lt;"&amp;$B384)+COUNTIFS(LdgSellerB,$A384,LdgKeyB,"&lt;"&amp;$B384)+1)</f>
        <v/>
      </c>
      <c r="D384">
        <f>IF($C384="","",$A384&amp;"|"&amp;RIGHT("000000"&amp;$C384,6))</f>
        <v/>
      </c>
      <c r="F384">
        <f>IF(Sync!$AH384="","",IF(LEFT(UPPER(TRIM(Sync!$AH384)),2)="SL",UPPER(TRIM(Sync!$AH384)),""))</f>
        <v/>
      </c>
      <c r="G384">
        <f>IF($F384="","",IF(Sync!$AE384="","",IF(ISNUMBER(Sync!$AE384),IF(AND(Sync!$AE384&gt;=10000101,Sync!$AE384&lt;=99991231),INT(Sync!$AE384/10000),""),IFERROR(VALUE(TRIM(LEFT(Sync!$AE384,FIND("/",Sync!$AE384)-1))),""))))</f>
        <v/>
      </c>
      <c r="H384">
        <f>IF(OR($F384="",$G384=""),"",IF(ISNUMBER(Sync!$AE384),INT(MOD(Sync!$AE384,10000)/100),IFERROR(VALUE(TRIM(LEFT(MID(Sync!$AE384,FIND("/",Sync!$AE384)+1,20),FIND("/",MID(Sync!$AE384,FIND("/",Sync!$AE384)+1,20))-1))),"")))</f>
        <v/>
      </c>
      <c r="I384">
        <f>IF(OR($F384="",$G384=""),"",IF(ISNUMBER(Sync!$AE384),MOD(Sync!$AE384,100),IFERROR(VALUE(TRIM(MID(MID(Sync!$AE384,FIND("/",Sync!$AE384)+1,20),FIND("/",MID(Sync!$AE384,FIND("/",Sync!$AE384)+1,20))+1,20))),"")))</f>
        <v/>
      </c>
      <c r="J384">
        <f>IF($F384="","",IF(OR($G384="",$H384="",$I384="",$G384&lt;1300,$G384&gt;1500,$H384&lt;1,$H384&gt;12,$I384&lt;1,$I384&gt;31),"نامعتبر",RIGHT("0000"&amp;$G384,4)&amp;"/"&amp;RIGHT("00"&amp;$H384,2)&amp;"/"&amp;RIGHT("00"&amp;$I384,2)))</f>
        <v/>
      </c>
      <c r="K384">
        <f>IF(OR($F384="",$J384="",$J384="نامعتبر"),"",LEFT($J384,4)&amp;MID($J384,6,2)&amp;RIGHT($J384,2)&amp;$N384&amp;"|"&amp;"2"&amp;RIGHT("00000"&amp;379,5))</f>
        <v/>
      </c>
      <c r="L384">
        <f>IF($K384="","",COUNTIFS(LdgSellerA,$F384,LdgKeyA,"&lt;"&amp;$K384)+COUNTIFS(LdgSellerB,$F384,LdgKeyB,"&lt;"&amp;$K384)+1)</f>
        <v/>
      </c>
      <c r="M384">
        <f>IF($L384="","",$F384&amp;"|"&amp;RIGHT("000000"&amp;$L384,6))</f>
        <v/>
      </c>
      <c r="N384">
        <f>IF($F384="","",IF(Sync!$AF384="","0000",IF(AND(ISNUMBER(Sync!$AF384),Sync!$AF384&gt;=0,Sync!$AF384&lt;1),RIGHT("00"&amp;HOUR(Sync!$AF384),2)&amp;RIGHT("00"&amp;MINUTE(Sync!$AF384),2),IFERROR(RIGHT("00"&amp;VALUE(LEFT(Sync!$AF384,FIND(":",Sync!$AF384)-1)),2)&amp;RIGHT("00"&amp;VALUE(MID(Sync!$AF384,FIND(":",Sync!$AF384)+1,2)),2),"0000"))))</f>
        <v/>
      </c>
    </row>
    <row r="385">
      <c r="A385">
        <f>IF(OR(Calc!$E389="",Calc!$E389="نامعتبر",Calc!$G389=""),"",Calc!$G389)</f>
        <v/>
      </c>
      <c r="B385">
        <f>IF($A385="","",LEFT(Calc!$E389,4)&amp;MID(Calc!$E389,6,2)&amp;RIGHT(Calc!$E389,2)&amp;Calc!$Q389&amp;"|"&amp;"1"&amp;RIGHT("00000"&amp;380,5))</f>
        <v/>
      </c>
      <c r="C385">
        <f>IF($B385="","",COUNTIFS(LdgSellerA,$A385,LdgKeyA,"&lt;"&amp;$B385)+COUNTIFS(LdgSellerB,$A385,LdgKeyB,"&lt;"&amp;$B385)+1)</f>
        <v/>
      </c>
      <c r="D385">
        <f>IF($C385="","",$A385&amp;"|"&amp;RIGHT("000000"&amp;$C385,6))</f>
        <v/>
      </c>
      <c r="F385">
        <f>IF(Sync!$AH385="","",IF(LEFT(UPPER(TRIM(Sync!$AH385)),2)="SL",UPPER(TRIM(Sync!$AH385)),""))</f>
        <v/>
      </c>
      <c r="G385">
        <f>IF($F385="","",IF(Sync!$AE385="","",IF(ISNUMBER(Sync!$AE385),IF(AND(Sync!$AE385&gt;=10000101,Sync!$AE385&lt;=99991231),INT(Sync!$AE385/10000),""),IFERROR(VALUE(TRIM(LEFT(Sync!$AE385,FIND("/",Sync!$AE385)-1))),""))))</f>
        <v/>
      </c>
      <c r="H385">
        <f>IF(OR($F385="",$G385=""),"",IF(ISNUMBER(Sync!$AE385),INT(MOD(Sync!$AE385,10000)/100),IFERROR(VALUE(TRIM(LEFT(MID(Sync!$AE385,FIND("/",Sync!$AE385)+1,20),FIND("/",MID(Sync!$AE385,FIND("/",Sync!$AE385)+1,20))-1))),"")))</f>
        <v/>
      </c>
      <c r="I385">
        <f>IF(OR($F385="",$G385=""),"",IF(ISNUMBER(Sync!$AE385),MOD(Sync!$AE385,100),IFERROR(VALUE(TRIM(MID(MID(Sync!$AE385,FIND("/",Sync!$AE385)+1,20),FIND("/",MID(Sync!$AE385,FIND("/",Sync!$AE385)+1,20))+1,20))),"")))</f>
        <v/>
      </c>
      <c r="J385">
        <f>IF($F385="","",IF(OR($G385="",$H385="",$I385="",$G385&lt;1300,$G385&gt;1500,$H385&lt;1,$H385&gt;12,$I385&lt;1,$I385&gt;31),"نامعتبر",RIGHT("0000"&amp;$G385,4)&amp;"/"&amp;RIGHT("00"&amp;$H385,2)&amp;"/"&amp;RIGHT("00"&amp;$I385,2)))</f>
        <v/>
      </c>
      <c r="K385">
        <f>IF(OR($F385="",$J385="",$J385="نامعتبر"),"",LEFT($J385,4)&amp;MID($J385,6,2)&amp;RIGHT($J385,2)&amp;$N385&amp;"|"&amp;"2"&amp;RIGHT("00000"&amp;380,5))</f>
        <v/>
      </c>
      <c r="L385">
        <f>IF($K385="","",COUNTIFS(LdgSellerA,$F385,LdgKeyA,"&lt;"&amp;$K385)+COUNTIFS(LdgSellerB,$F385,LdgKeyB,"&lt;"&amp;$K385)+1)</f>
        <v/>
      </c>
      <c r="M385">
        <f>IF($L385="","",$F385&amp;"|"&amp;RIGHT("000000"&amp;$L385,6))</f>
        <v/>
      </c>
      <c r="N385">
        <f>IF($F385="","",IF(Sync!$AF385="","0000",IF(AND(ISNUMBER(Sync!$AF385),Sync!$AF385&gt;=0,Sync!$AF385&lt;1),RIGHT("00"&amp;HOUR(Sync!$AF385),2)&amp;RIGHT("00"&amp;MINUTE(Sync!$AF385),2),IFERROR(RIGHT("00"&amp;VALUE(LEFT(Sync!$AF385,FIND(":",Sync!$AF385)-1)),2)&amp;RIGHT("00"&amp;VALUE(MID(Sync!$AF385,FIND(":",Sync!$AF385)+1,2)),2),"0000"))))</f>
        <v/>
      </c>
    </row>
    <row r="386">
      <c r="A386">
        <f>IF(OR(Calc!$E390="",Calc!$E390="نامعتبر",Calc!$G390=""),"",Calc!$G390)</f>
        <v/>
      </c>
      <c r="B386">
        <f>IF($A386="","",LEFT(Calc!$E390,4)&amp;MID(Calc!$E390,6,2)&amp;RIGHT(Calc!$E390,2)&amp;Calc!$Q390&amp;"|"&amp;"1"&amp;RIGHT("00000"&amp;381,5))</f>
        <v/>
      </c>
      <c r="C386">
        <f>IF($B386="","",COUNTIFS(LdgSellerA,$A386,LdgKeyA,"&lt;"&amp;$B386)+COUNTIFS(LdgSellerB,$A386,LdgKeyB,"&lt;"&amp;$B386)+1)</f>
        <v/>
      </c>
      <c r="D386">
        <f>IF($C386="","",$A386&amp;"|"&amp;RIGHT("000000"&amp;$C386,6))</f>
        <v/>
      </c>
      <c r="F386">
        <f>IF(Sync!$AH386="","",IF(LEFT(UPPER(TRIM(Sync!$AH386)),2)="SL",UPPER(TRIM(Sync!$AH386)),""))</f>
        <v/>
      </c>
      <c r="G386">
        <f>IF($F386="","",IF(Sync!$AE386="","",IF(ISNUMBER(Sync!$AE386),IF(AND(Sync!$AE386&gt;=10000101,Sync!$AE386&lt;=99991231),INT(Sync!$AE386/10000),""),IFERROR(VALUE(TRIM(LEFT(Sync!$AE386,FIND("/",Sync!$AE386)-1))),""))))</f>
        <v/>
      </c>
      <c r="H386">
        <f>IF(OR($F386="",$G386=""),"",IF(ISNUMBER(Sync!$AE386),INT(MOD(Sync!$AE386,10000)/100),IFERROR(VALUE(TRIM(LEFT(MID(Sync!$AE386,FIND("/",Sync!$AE386)+1,20),FIND("/",MID(Sync!$AE386,FIND("/",Sync!$AE386)+1,20))-1))),"")))</f>
        <v/>
      </c>
      <c r="I386">
        <f>IF(OR($F386="",$G386=""),"",IF(ISNUMBER(Sync!$AE386),MOD(Sync!$AE386,100),IFERROR(VALUE(TRIM(MID(MID(Sync!$AE386,FIND("/",Sync!$AE386)+1,20),FIND("/",MID(Sync!$AE386,FIND("/",Sync!$AE386)+1,20))+1,20))),"")))</f>
        <v/>
      </c>
      <c r="J386">
        <f>IF($F386="","",IF(OR($G386="",$H386="",$I386="",$G386&lt;1300,$G386&gt;1500,$H386&lt;1,$H386&gt;12,$I386&lt;1,$I386&gt;31),"نامعتبر",RIGHT("0000"&amp;$G386,4)&amp;"/"&amp;RIGHT("00"&amp;$H386,2)&amp;"/"&amp;RIGHT("00"&amp;$I386,2)))</f>
        <v/>
      </c>
      <c r="K386">
        <f>IF(OR($F386="",$J386="",$J386="نامعتبر"),"",LEFT($J386,4)&amp;MID($J386,6,2)&amp;RIGHT($J386,2)&amp;$N386&amp;"|"&amp;"2"&amp;RIGHT("00000"&amp;381,5))</f>
        <v/>
      </c>
      <c r="L386">
        <f>IF($K386="","",COUNTIFS(LdgSellerA,$F386,LdgKeyA,"&lt;"&amp;$K386)+COUNTIFS(LdgSellerB,$F386,LdgKeyB,"&lt;"&amp;$K386)+1)</f>
        <v/>
      </c>
      <c r="M386">
        <f>IF($L386="","",$F386&amp;"|"&amp;RIGHT("000000"&amp;$L386,6))</f>
        <v/>
      </c>
      <c r="N386">
        <f>IF($F386="","",IF(Sync!$AF386="","0000",IF(AND(ISNUMBER(Sync!$AF386),Sync!$AF386&gt;=0,Sync!$AF386&lt;1),RIGHT("00"&amp;HOUR(Sync!$AF386),2)&amp;RIGHT("00"&amp;MINUTE(Sync!$AF386),2),IFERROR(RIGHT("00"&amp;VALUE(LEFT(Sync!$AF386,FIND(":",Sync!$AF386)-1)),2)&amp;RIGHT("00"&amp;VALUE(MID(Sync!$AF386,FIND(":",Sync!$AF386)+1,2)),2),"0000"))))</f>
        <v/>
      </c>
    </row>
    <row r="387">
      <c r="A387">
        <f>IF(OR(Calc!$E391="",Calc!$E391="نامعتبر",Calc!$G391=""),"",Calc!$G391)</f>
        <v/>
      </c>
      <c r="B387">
        <f>IF($A387="","",LEFT(Calc!$E391,4)&amp;MID(Calc!$E391,6,2)&amp;RIGHT(Calc!$E391,2)&amp;Calc!$Q391&amp;"|"&amp;"1"&amp;RIGHT("00000"&amp;382,5))</f>
        <v/>
      </c>
      <c r="C387">
        <f>IF($B387="","",COUNTIFS(LdgSellerA,$A387,LdgKeyA,"&lt;"&amp;$B387)+COUNTIFS(LdgSellerB,$A387,LdgKeyB,"&lt;"&amp;$B387)+1)</f>
        <v/>
      </c>
      <c r="D387">
        <f>IF($C387="","",$A387&amp;"|"&amp;RIGHT("000000"&amp;$C387,6))</f>
        <v/>
      </c>
      <c r="F387">
        <f>IF(Sync!$AH387="","",IF(LEFT(UPPER(TRIM(Sync!$AH387)),2)="SL",UPPER(TRIM(Sync!$AH387)),""))</f>
        <v/>
      </c>
      <c r="G387">
        <f>IF($F387="","",IF(Sync!$AE387="","",IF(ISNUMBER(Sync!$AE387),IF(AND(Sync!$AE387&gt;=10000101,Sync!$AE387&lt;=99991231),INT(Sync!$AE387/10000),""),IFERROR(VALUE(TRIM(LEFT(Sync!$AE387,FIND("/",Sync!$AE387)-1))),""))))</f>
        <v/>
      </c>
      <c r="H387">
        <f>IF(OR($F387="",$G387=""),"",IF(ISNUMBER(Sync!$AE387),INT(MOD(Sync!$AE387,10000)/100),IFERROR(VALUE(TRIM(LEFT(MID(Sync!$AE387,FIND("/",Sync!$AE387)+1,20),FIND("/",MID(Sync!$AE387,FIND("/",Sync!$AE387)+1,20))-1))),"")))</f>
        <v/>
      </c>
      <c r="I387">
        <f>IF(OR($F387="",$G387=""),"",IF(ISNUMBER(Sync!$AE387),MOD(Sync!$AE387,100),IFERROR(VALUE(TRIM(MID(MID(Sync!$AE387,FIND("/",Sync!$AE387)+1,20),FIND("/",MID(Sync!$AE387,FIND("/",Sync!$AE387)+1,20))+1,20))),"")))</f>
        <v/>
      </c>
      <c r="J387">
        <f>IF($F387="","",IF(OR($G387="",$H387="",$I387="",$G387&lt;1300,$G387&gt;1500,$H387&lt;1,$H387&gt;12,$I387&lt;1,$I387&gt;31),"نامعتبر",RIGHT("0000"&amp;$G387,4)&amp;"/"&amp;RIGHT("00"&amp;$H387,2)&amp;"/"&amp;RIGHT("00"&amp;$I387,2)))</f>
        <v/>
      </c>
      <c r="K387">
        <f>IF(OR($F387="",$J387="",$J387="نامعتبر"),"",LEFT($J387,4)&amp;MID($J387,6,2)&amp;RIGHT($J387,2)&amp;$N387&amp;"|"&amp;"2"&amp;RIGHT("00000"&amp;382,5))</f>
        <v/>
      </c>
      <c r="L387">
        <f>IF($K387="","",COUNTIFS(LdgSellerA,$F387,LdgKeyA,"&lt;"&amp;$K387)+COUNTIFS(LdgSellerB,$F387,LdgKeyB,"&lt;"&amp;$K387)+1)</f>
        <v/>
      </c>
      <c r="M387">
        <f>IF($L387="","",$F387&amp;"|"&amp;RIGHT("000000"&amp;$L387,6))</f>
        <v/>
      </c>
      <c r="N387">
        <f>IF($F387="","",IF(Sync!$AF387="","0000",IF(AND(ISNUMBER(Sync!$AF387),Sync!$AF387&gt;=0,Sync!$AF387&lt;1),RIGHT("00"&amp;HOUR(Sync!$AF387),2)&amp;RIGHT("00"&amp;MINUTE(Sync!$AF387),2),IFERROR(RIGHT("00"&amp;VALUE(LEFT(Sync!$AF387,FIND(":",Sync!$AF387)-1)),2)&amp;RIGHT("00"&amp;VALUE(MID(Sync!$AF387,FIND(":",Sync!$AF387)+1,2)),2),"0000"))))</f>
        <v/>
      </c>
    </row>
    <row r="388">
      <c r="A388">
        <f>IF(OR(Calc!$E392="",Calc!$E392="نامعتبر",Calc!$G392=""),"",Calc!$G392)</f>
        <v/>
      </c>
      <c r="B388">
        <f>IF($A388="","",LEFT(Calc!$E392,4)&amp;MID(Calc!$E392,6,2)&amp;RIGHT(Calc!$E392,2)&amp;Calc!$Q392&amp;"|"&amp;"1"&amp;RIGHT("00000"&amp;383,5))</f>
        <v/>
      </c>
      <c r="C388">
        <f>IF($B388="","",COUNTIFS(LdgSellerA,$A388,LdgKeyA,"&lt;"&amp;$B388)+COUNTIFS(LdgSellerB,$A388,LdgKeyB,"&lt;"&amp;$B388)+1)</f>
        <v/>
      </c>
      <c r="D388">
        <f>IF($C388="","",$A388&amp;"|"&amp;RIGHT("000000"&amp;$C388,6))</f>
        <v/>
      </c>
      <c r="F388">
        <f>IF(Sync!$AH388="","",IF(LEFT(UPPER(TRIM(Sync!$AH388)),2)="SL",UPPER(TRIM(Sync!$AH388)),""))</f>
        <v/>
      </c>
      <c r="G388">
        <f>IF($F388="","",IF(Sync!$AE388="","",IF(ISNUMBER(Sync!$AE388),IF(AND(Sync!$AE388&gt;=10000101,Sync!$AE388&lt;=99991231),INT(Sync!$AE388/10000),""),IFERROR(VALUE(TRIM(LEFT(Sync!$AE388,FIND("/",Sync!$AE388)-1))),""))))</f>
        <v/>
      </c>
      <c r="H388">
        <f>IF(OR($F388="",$G388=""),"",IF(ISNUMBER(Sync!$AE388),INT(MOD(Sync!$AE388,10000)/100),IFERROR(VALUE(TRIM(LEFT(MID(Sync!$AE388,FIND("/",Sync!$AE388)+1,20),FIND("/",MID(Sync!$AE388,FIND("/",Sync!$AE388)+1,20))-1))),"")))</f>
        <v/>
      </c>
      <c r="I388">
        <f>IF(OR($F388="",$G388=""),"",IF(ISNUMBER(Sync!$AE388),MOD(Sync!$AE388,100),IFERROR(VALUE(TRIM(MID(MID(Sync!$AE388,FIND("/",Sync!$AE388)+1,20),FIND("/",MID(Sync!$AE388,FIND("/",Sync!$AE388)+1,20))+1,20))),"")))</f>
        <v/>
      </c>
      <c r="J388">
        <f>IF($F388="","",IF(OR($G388="",$H388="",$I388="",$G388&lt;1300,$G388&gt;1500,$H388&lt;1,$H388&gt;12,$I388&lt;1,$I388&gt;31),"نامعتبر",RIGHT("0000"&amp;$G388,4)&amp;"/"&amp;RIGHT("00"&amp;$H388,2)&amp;"/"&amp;RIGHT("00"&amp;$I388,2)))</f>
        <v/>
      </c>
      <c r="K388">
        <f>IF(OR($F388="",$J388="",$J388="نامعتبر"),"",LEFT($J388,4)&amp;MID($J388,6,2)&amp;RIGHT($J388,2)&amp;$N388&amp;"|"&amp;"2"&amp;RIGHT("00000"&amp;383,5))</f>
        <v/>
      </c>
      <c r="L388">
        <f>IF($K388="","",COUNTIFS(LdgSellerA,$F388,LdgKeyA,"&lt;"&amp;$K388)+COUNTIFS(LdgSellerB,$F388,LdgKeyB,"&lt;"&amp;$K388)+1)</f>
        <v/>
      </c>
      <c r="M388">
        <f>IF($L388="","",$F388&amp;"|"&amp;RIGHT("000000"&amp;$L388,6))</f>
        <v/>
      </c>
      <c r="N388">
        <f>IF($F388="","",IF(Sync!$AF388="","0000",IF(AND(ISNUMBER(Sync!$AF388),Sync!$AF388&gt;=0,Sync!$AF388&lt;1),RIGHT("00"&amp;HOUR(Sync!$AF388),2)&amp;RIGHT("00"&amp;MINUTE(Sync!$AF388),2),IFERROR(RIGHT("00"&amp;VALUE(LEFT(Sync!$AF388,FIND(":",Sync!$AF388)-1)),2)&amp;RIGHT("00"&amp;VALUE(MID(Sync!$AF388,FIND(":",Sync!$AF388)+1,2)),2),"0000"))))</f>
        <v/>
      </c>
    </row>
    <row r="389">
      <c r="A389">
        <f>IF(OR(Calc!$E393="",Calc!$E393="نامعتبر",Calc!$G393=""),"",Calc!$G393)</f>
        <v/>
      </c>
      <c r="B389">
        <f>IF($A389="","",LEFT(Calc!$E393,4)&amp;MID(Calc!$E393,6,2)&amp;RIGHT(Calc!$E393,2)&amp;Calc!$Q393&amp;"|"&amp;"1"&amp;RIGHT("00000"&amp;384,5))</f>
        <v/>
      </c>
      <c r="C389">
        <f>IF($B389="","",COUNTIFS(LdgSellerA,$A389,LdgKeyA,"&lt;"&amp;$B389)+COUNTIFS(LdgSellerB,$A389,LdgKeyB,"&lt;"&amp;$B389)+1)</f>
        <v/>
      </c>
      <c r="D389">
        <f>IF($C389="","",$A389&amp;"|"&amp;RIGHT("000000"&amp;$C389,6))</f>
        <v/>
      </c>
      <c r="F389">
        <f>IF(Sync!$AH389="","",IF(LEFT(UPPER(TRIM(Sync!$AH389)),2)="SL",UPPER(TRIM(Sync!$AH389)),""))</f>
        <v/>
      </c>
      <c r="G389">
        <f>IF($F389="","",IF(Sync!$AE389="","",IF(ISNUMBER(Sync!$AE389),IF(AND(Sync!$AE389&gt;=10000101,Sync!$AE389&lt;=99991231),INT(Sync!$AE389/10000),""),IFERROR(VALUE(TRIM(LEFT(Sync!$AE389,FIND("/",Sync!$AE389)-1))),""))))</f>
        <v/>
      </c>
      <c r="H389">
        <f>IF(OR($F389="",$G389=""),"",IF(ISNUMBER(Sync!$AE389),INT(MOD(Sync!$AE389,10000)/100),IFERROR(VALUE(TRIM(LEFT(MID(Sync!$AE389,FIND("/",Sync!$AE389)+1,20),FIND("/",MID(Sync!$AE389,FIND("/",Sync!$AE389)+1,20))-1))),"")))</f>
        <v/>
      </c>
      <c r="I389">
        <f>IF(OR($F389="",$G389=""),"",IF(ISNUMBER(Sync!$AE389),MOD(Sync!$AE389,100),IFERROR(VALUE(TRIM(MID(MID(Sync!$AE389,FIND("/",Sync!$AE389)+1,20),FIND("/",MID(Sync!$AE389,FIND("/",Sync!$AE389)+1,20))+1,20))),"")))</f>
        <v/>
      </c>
      <c r="J389">
        <f>IF($F389="","",IF(OR($G389="",$H389="",$I389="",$G389&lt;1300,$G389&gt;1500,$H389&lt;1,$H389&gt;12,$I389&lt;1,$I389&gt;31),"نامعتبر",RIGHT("0000"&amp;$G389,4)&amp;"/"&amp;RIGHT("00"&amp;$H389,2)&amp;"/"&amp;RIGHT("00"&amp;$I389,2)))</f>
        <v/>
      </c>
      <c r="K389">
        <f>IF(OR($F389="",$J389="",$J389="نامعتبر"),"",LEFT($J389,4)&amp;MID($J389,6,2)&amp;RIGHT($J389,2)&amp;$N389&amp;"|"&amp;"2"&amp;RIGHT("00000"&amp;384,5))</f>
        <v/>
      </c>
      <c r="L389">
        <f>IF($K389="","",COUNTIFS(LdgSellerA,$F389,LdgKeyA,"&lt;"&amp;$K389)+COUNTIFS(LdgSellerB,$F389,LdgKeyB,"&lt;"&amp;$K389)+1)</f>
        <v/>
      </c>
      <c r="M389">
        <f>IF($L389="","",$F389&amp;"|"&amp;RIGHT("000000"&amp;$L389,6))</f>
        <v/>
      </c>
      <c r="N389">
        <f>IF($F389="","",IF(Sync!$AF389="","0000",IF(AND(ISNUMBER(Sync!$AF389),Sync!$AF389&gt;=0,Sync!$AF389&lt;1),RIGHT("00"&amp;HOUR(Sync!$AF389),2)&amp;RIGHT("00"&amp;MINUTE(Sync!$AF389),2),IFERROR(RIGHT("00"&amp;VALUE(LEFT(Sync!$AF389,FIND(":",Sync!$AF389)-1)),2)&amp;RIGHT("00"&amp;VALUE(MID(Sync!$AF389,FIND(":",Sync!$AF389)+1,2)),2),"0000"))))</f>
        <v/>
      </c>
    </row>
    <row r="390">
      <c r="A390">
        <f>IF(OR(Calc!$E394="",Calc!$E394="نامعتبر",Calc!$G394=""),"",Calc!$G394)</f>
        <v/>
      </c>
      <c r="B390">
        <f>IF($A390="","",LEFT(Calc!$E394,4)&amp;MID(Calc!$E394,6,2)&amp;RIGHT(Calc!$E394,2)&amp;Calc!$Q394&amp;"|"&amp;"1"&amp;RIGHT("00000"&amp;385,5))</f>
        <v/>
      </c>
      <c r="C390">
        <f>IF($B390="","",COUNTIFS(LdgSellerA,$A390,LdgKeyA,"&lt;"&amp;$B390)+COUNTIFS(LdgSellerB,$A390,LdgKeyB,"&lt;"&amp;$B390)+1)</f>
        <v/>
      </c>
      <c r="D390">
        <f>IF($C390="","",$A390&amp;"|"&amp;RIGHT("000000"&amp;$C390,6))</f>
        <v/>
      </c>
      <c r="F390">
        <f>IF(Sync!$AH390="","",IF(LEFT(UPPER(TRIM(Sync!$AH390)),2)="SL",UPPER(TRIM(Sync!$AH390)),""))</f>
        <v/>
      </c>
      <c r="G390">
        <f>IF($F390="","",IF(Sync!$AE390="","",IF(ISNUMBER(Sync!$AE390),IF(AND(Sync!$AE390&gt;=10000101,Sync!$AE390&lt;=99991231),INT(Sync!$AE390/10000),""),IFERROR(VALUE(TRIM(LEFT(Sync!$AE390,FIND("/",Sync!$AE390)-1))),""))))</f>
        <v/>
      </c>
      <c r="H390">
        <f>IF(OR($F390="",$G390=""),"",IF(ISNUMBER(Sync!$AE390),INT(MOD(Sync!$AE390,10000)/100),IFERROR(VALUE(TRIM(LEFT(MID(Sync!$AE390,FIND("/",Sync!$AE390)+1,20),FIND("/",MID(Sync!$AE390,FIND("/",Sync!$AE390)+1,20))-1))),"")))</f>
        <v/>
      </c>
      <c r="I390">
        <f>IF(OR($F390="",$G390=""),"",IF(ISNUMBER(Sync!$AE390),MOD(Sync!$AE390,100),IFERROR(VALUE(TRIM(MID(MID(Sync!$AE390,FIND("/",Sync!$AE390)+1,20),FIND("/",MID(Sync!$AE390,FIND("/",Sync!$AE390)+1,20))+1,20))),"")))</f>
        <v/>
      </c>
      <c r="J390">
        <f>IF($F390="","",IF(OR($G390="",$H390="",$I390="",$G390&lt;1300,$G390&gt;1500,$H390&lt;1,$H390&gt;12,$I390&lt;1,$I390&gt;31),"نامعتبر",RIGHT("0000"&amp;$G390,4)&amp;"/"&amp;RIGHT("00"&amp;$H390,2)&amp;"/"&amp;RIGHT("00"&amp;$I390,2)))</f>
        <v/>
      </c>
      <c r="K390">
        <f>IF(OR($F390="",$J390="",$J390="نامعتبر"),"",LEFT($J390,4)&amp;MID($J390,6,2)&amp;RIGHT($J390,2)&amp;$N390&amp;"|"&amp;"2"&amp;RIGHT("00000"&amp;385,5))</f>
        <v/>
      </c>
      <c r="L390">
        <f>IF($K390="","",COUNTIFS(LdgSellerA,$F390,LdgKeyA,"&lt;"&amp;$K390)+COUNTIFS(LdgSellerB,$F390,LdgKeyB,"&lt;"&amp;$K390)+1)</f>
        <v/>
      </c>
      <c r="M390">
        <f>IF($L390="","",$F390&amp;"|"&amp;RIGHT("000000"&amp;$L390,6))</f>
        <v/>
      </c>
      <c r="N390">
        <f>IF($F390="","",IF(Sync!$AF390="","0000",IF(AND(ISNUMBER(Sync!$AF390),Sync!$AF390&gt;=0,Sync!$AF390&lt;1),RIGHT("00"&amp;HOUR(Sync!$AF390),2)&amp;RIGHT("00"&amp;MINUTE(Sync!$AF390),2),IFERROR(RIGHT("00"&amp;VALUE(LEFT(Sync!$AF390,FIND(":",Sync!$AF390)-1)),2)&amp;RIGHT("00"&amp;VALUE(MID(Sync!$AF390,FIND(":",Sync!$AF390)+1,2)),2),"0000"))))</f>
        <v/>
      </c>
    </row>
    <row r="391">
      <c r="A391">
        <f>IF(OR(Calc!$E395="",Calc!$E395="نامعتبر",Calc!$G395=""),"",Calc!$G395)</f>
        <v/>
      </c>
      <c r="B391">
        <f>IF($A391="","",LEFT(Calc!$E395,4)&amp;MID(Calc!$E395,6,2)&amp;RIGHT(Calc!$E395,2)&amp;Calc!$Q395&amp;"|"&amp;"1"&amp;RIGHT("00000"&amp;386,5))</f>
        <v/>
      </c>
      <c r="C391">
        <f>IF($B391="","",COUNTIFS(LdgSellerA,$A391,LdgKeyA,"&lt;"&amp;$B391)+COUNTIFS(LdgSellerB,$A391,LdgKeyB,"&lt;"&amp;$B391)+1)</f>
        <v/>
      </c>
      <c r="D391">
        <f>IF($C391="","",$A391&amp;"|"&amp;RIGHT("000000"&amp;$C391,6))</f>
        <v/>
      </c>
      <c r="F391">
        <f>IF(Sync!$AH391="","",IF(LEFT(UPPER(TRIM(Sync!$AH391)),2)="SL",UPPER(TRIM(Sync!$AH391)),""))</f>
        <v/>
      </c>
      <c r="G391">
        <f>IF($F391="","",IF(Sync!$AE391="","",IF(ISNUMBER(Sync!$AE391),IF(AND(Sync!$AE391&gt;=10000101,Sync!$AE391&lt;=99991231),INT(Sync!$AE391/10000),""),IFERROR(VALUE(TRIM(LEFT(Sync!$AE391,FIND("/",Sync!$AE391)-1))),""))))</f>
        <v/>
      </c>
      <c r="H391">
        <f>IF(OR($F391="",$G391=""),"",IF(ISNUMBER(Sync!$AE391),INT(MOD(Sync!$AE391,10000)/100),IFERROR(VALUE(TRIM(LEFT(MID(Sync!$AE391,FIND("/",Sync!$AE391)+1,20),FIND("/",MID(Sync!$AE391,FIND("/",Sync!$AE391)+1,20))-1))),"")))</f>
        <v/>
      </c>
      <c r="I391">
        <f>IF(OR($F391="",$G391=""),"",IF(ISNUMBER(Sync!$AE391),MOD(Sync!$AE391,100),IFERROR(VALUE(TRIM(MID(MID(Sync!$AE391,FIND("/",Sync!$AE391)+1,20),FIND("/",MID(Sync!$AE391,FIND("/",Sync!$AE391)+1,20))+1,20))),"")))</f>
        <v/>
      </c>
      <c r="J391">
        <f>IF($F391="","",IF(OR($G391="",$H391="",$I391="",$G391&lt;1300,$G391&gt;1500,$H391&lt;1,$H391&gt;12,$I391&lt;1,$I391&gt;31),"نامعتبر",RIGHT("0000"&amp;$G391,4)&amp;"/"&amp;RIGHT("00"&amp;$H391,2)&amp;"/"&amp;RIGHT("00"&amp;$I391,2)))</f>
        <v/>
      </c>
      <c r="K391">
        <f>IF(OR($F391="",$J391="",$J391="نامعتبر"),"",LEFT($J391,4)&amp;MID($J391,6,2)&amp;RIGHT($J391,2)&amp;$N391&amp;"|"&amp;"2"&amp;RIGHT("00000"&amp;386,5))</f>
        <v/>
      </c>
      <c r="L391">
        <f>IF($K391="","",COUNTIFS(LdgSellerA,$F391,LdgKeyA,"&lt;"&amp;$K391)+COUNTIFS(LdgSellerB,$F391,LdgKeyB,"&lt;"&amp;$K391)+1)</f>
        <v/>
      </c>
      <c r="M391">
        <f>IF($L391="","",$F391&amp;"|"&amp;RIGHT("000000"&amp;$L391,6))</f>
        <v/>
      </c>
      <c r="N391">
        <f>IF($F391="","",IF(Sync!$AF391="","0000",IF(AND(ISNUMBER(Sync!$AF391),Sync!$AF391&gt;=0,Sync!$AF391&lt;1),RIGHT("00"&amp;HOUR(Sync!$AF391),2)&amp;RIGHT("00"&amp;MINUTE(Sync!$AF391),2),IFERROR(RIGHT("00"&amp;VALUE(LEFT(Sync!$AF391,FIND(":",Sync!$AF391)-1)),2)&amp;RIGHT("00"&amp;VALUE(MID(Sync!$AF391,FIND(":",Sync!$AF391)+1,2)),2),"0000"))))</f>
        <v/>
      </c>
    </row>
    <row r="392">
      <c r="A392">
        <f>IF(OR(Calc!$E396="",Calc!$E396="نامعتبر",Calc!$G396=""),"",Calc!$G396)</f>
        <v/>
      </c>
      <c r="B392">
        <f>IF($A392="","",LEFT(Calc!$E396,4)&amp;MID(Calc!$E396,6,2)&amp;RIGHT(Calc!$E396,2)&amp;Calc!$Q396&amp;"|"&amp;"1"&amp;RIGHT("00000"&amp;387,5))</f>
        <v/>
      </c>
      <c r="C392">
        <f>IF($B392="","",COUNTIFS(LdgSellerA,$A392,LdgKeyA,"&lt;"&amp;$B392)+COUNTIFS(LdgSellerB,$A392,LdgKeyB,"&lt;"&amp;$B392)+1)</f>
        <v/>
      </c>
      <c r="D392">
        <f>IF($C392="","",$A392&amp;"|"&amp;RIGHT("000000"&amp;$C392,6))</f>
        <v/>
      </c>
      <c r="F392">
        <f>IF(Sync!$AH392="","",IF(LEFT(UPPER(TRIM(Sync!$AH392)),2)="SL",UPPER(TRIM(Sync!$AH392)),""))</f>
        <v/>
      </c>
      <c r="G392">
        <f>IF($F392="","",IF(Sync!$AE392="","",IF(ISNUMBER(Sync!$AE392),IF(AND(Sync!$AE392&gt;=10000101,Sync!$AE392&lt;=99991231),INT(Sync!$AE392/10000),""),IFERROR(VALUE(TRIM(LEFT(Sync!$AE392,FIND("/",Sync!$AE392)-1))),""))))</f>
        <v/>
      </c>
      <c r="H392">
        <f>IF(OR($F392="",$G392=""),"",IF(ISNUMBER(Sync!$AE392),INT(MOD(Sync!$AE392,10000)/100),IFERROR(VALUE(TRIM(LEFT(MID(Sync!$AE392,FIND("/",Sync!$AE392)+1,20),FIND("/",MID(Sync!$AE392,FIND("/",Sync!$AE392)+1,20))-1))),"")))</f>
        <v/>
      </c>
      <c r="I392">
        <f>IF(OR($F392="",$G392=""),"",IF(ISNUMBER(Sync!$AE392),MOD(Sync!$AE392,100),IFERROR(VALUE(TRIM(MID(MID(Sync!$AE392,FIND("/",Sync!$AE392)+1,20),FIND("/",MID(Sync!$AE392,FIND("/",Sync!$AE392)+1,20))+1,20))),"")))</f>
        <v/>
      </c>
      <c r="J392">
        <f>IF($F392="","",IF(OR($G392="",$H392="",$I392="",$G392&lt;1300,$G392&gt;1500,$H392&lt;1,$H392&gt;12,$I392&lt;1,$I392&gt;31),"نامعتبر",RIGHT("0000"&amp;$G392,4)&amp;"/"&amp;RIGHT("00"&amp;$H392,2)&amp;"/"&amp;RIGHT("00"&amp;$I392,2)))</f>
        <v/>
      </c>
      <c r="K392">
        <f>IF(OR($F392="",$J392="",$J392="نامعتبر"),"",LEFT($J392,4)&amp;MID($J392,6,2)&amp;RIGHT($J392,2)&amp;$N392&amp;"|"&amp;"2"&amp;RIGHT("00000"&amp;387,5))</f>
        <v/>
      </c>
      <c r="L392">
        <f>IF($K392="","",COUNTIFS(LdgSellerA,$F392,LdgKeyA,"&lt;"&amp;$K392)+COUNTIFS(LdgSellerB,$F392,LdgKeyB,"&lt;"&amp;$K392)+1)</f>
        <v/>
      </c>
      <c r="M392">
        <f>IF($L392="","",$F392&amp;"|"&amp;RIGHT("000000"&amp;$L392,6))</f>
        <v/>
      </c>
      <c r="N392">
        <f>IF($F392="","",IF(Sync!$AF392="","0000",IF(AND(ISNUMBER(Sync!$AF392),Sync!$AF392&gt;=0,Sync!$AF392&lt;1),RIGHT("00"&amp;HOUR(Sync!$AF392),2)&amp;RIGHT("00"&amp;MINUTE(Sync!$AF392),2),IFERROR(RIGHT("00"&amp;VALUE(LEFT(Sync!$AF392,FIND(":",Sync!$AF392)-1)),2)&amp;RIGHT("00"&amp;VALUE(MID(Sync!$AF392,FIND(":",Sync!$AF392)+1,2)),2),"0000"))))</f>
        <v/>
      </c>
    </row>
    <row r="393">
      <c r="A393">
        <f>IF(OR(Calc!$E397="",Calc!$E397="نامعتبر",Calc!$G397=""),"",Calc!$G397)</f>
        <v/>
      </c>
      <c r="B393">
        <f>IF($A393="","",LEFT(Calc!$E397,4)&amp;MID(Calc!$E397,6,2)&amp;RIGHT(Calc!$E397,2)&amp;Calc!$Q397&amp;"|"&amp;"1"&amp;RIGHT("00000"&amp;388,5))</f>
        <v/>
      </c>
      <c r="C393">
        <f>IF($B393="","",COUNTIFS(LdgSellerA,$A393,LdgKeyA,"&lt;"&amp;$B393)+COUNTIFS(LdgSellerB,$A393,LdgKeyB,"&lt;"&amp;$B393)+1)</f>
        <v/>
      </c>
      <c r="D393">
        <f>IF($C393="","",$A393&amp;"|"&amp;RIGHT("000000"&amp;$C393,6))</f>
        <v/>
      </c>
      <c r="F393">
        <f>IF(Sync!$AH393="","",IF(LEFT(UPPER(TRIM(Sync!$AH393)),2)="SL",UPPER(TRIM(Sync!$AH393)),""))</f>
        <v/>
      </c>
      <c r="G393">
        <f>IF($F393="","",IF(Sync!$AE393="","",IF(ISNUMBER(Sync!$AE393),IF(AND(Sync!$AE393&gt;=10000101,Sync!$AE393&lt;=99991231),INT(Sync!$AE393/10000),""),IFERROR(VALUE(TRIM(LEFT(Sync!$AE393,FIND("/",Sync!$AE393)-1))),""))))</f>
        <v/>
      </c>
      <c r="H393">
        <f>IF(OR($F393="",$G393=""),"",IF(ISNUMBER(Sync!$AE393),INT(MOD(Sync!$AE393,10000)/100),IFERROR(VALUE(TRIM(LEFT(MID(Sync!$AE393,FIND("/",Sync!$AE393)+1,20),FIND("/",MID(Sync!$AE393,FIND("/",Sync!$AE393)+1,20))-1))),"")))</f>
        <v/>
      </c>
      <c r="I393">
        <f>IF(OR($F393="",$G393=""),"",IF(ISNUMBER(Sync!$AE393),MOD(Sync!$AE393,100),IFERROR(VALUE(TRIM(MID(MID(Sync!$AE393,FIND("/",Sync!$AE393)+1,20),FIND("/",MID(Sync!$AE393,FIND("/",Sync!$AE393)+1,20))+1,20))),"")))</f>
        <v/>
      </c>
      <c r="J393">
        <f>IF($F393="","",IF(OR($G393="",$H393="",$I393="",$G393&lt;1300,$G393&gt;1500,$H393&lt;1,$H393&gt;12,$I393&lt;1,$I393&gt;31),"نامعتبر",RIGHT("0000"&amp;$G393,4)&amp;"/"&amp;RIGHT("00"&amp;$H393,2)&amp;"/"&amp;RIGHT("00"&amp;$I393,2)))</f>
        <v/>
      </c>
      <c r="K393">
        <f>IF(OR($F393="",$J393="",$J393="نامعتبر"),"",LEFT($J393,4)&amp;MID($J393,6,2)&amp;RIGHT($J393,2)&amp;$N393&amp;"|"&amp;"2"&amp;RIGHT("00000"&amp;388,5))</f>
        <v/>
      </c>
      <c r="L393">
        <f>IF($K393="","",COUNTIFS(LdgSellerA,$F393,LdgKeyA,"&lt;"&amp;$K393)+COUNTIFS(LdgSellerB,$F393,LdgKeyB,"&lt;"&amp;$K393)+1)</f>
        <v/>
      </c>
      <c r="M393">
        <f>IF($L393="","",$F393&amp;"|"&amp;RIGHT("000000"&amp;$L393,6))</f>
        <v/>
      </c>
      <c r="N393">
        <f>IF($F393="","",IF(Sync!$AF393="","0000",IF(AND(ISNUMBER(Sync!$AF393),Sync!$AF393&gt;=0,Sync!$AF393&lt;1),RIGHT("00"&amp;HOUR(Sync!$AF393),2)&amp;RIGHT("00"&amp;MINUTE(Sync!$AF393),2),IFERROR(RIGHT("00"&amp;VALUE(LEFT(Sync!$AF393,FIND(":",Sync!$AF393)-1)),2)&amp;RIGHT("00"&amp;VALUE(MID(Sync!$AF393,FIND(":",Sync!$AF393)+1,2)),2),"0000"))))</f>
        <v/>
      </c>
    </row>
    <row r="394">
      <c r="A394">
        <f>IF(OR(Calc!$E398="",Calc!$E398="نامعتبر",Calc!$G398=""),"",Calc!$G398)</f>
        <v/>
      </c>
      <c r="B394">
        <f>IF($A394="","",LEFT(Calc!$E398,4)&amp;MID(Calc!$E398,6,2)&amp;RIGHT(Calc!$E398,2)&amp;Calc!$Q398&amp;"|"&amp;"1"&amp;RIGHT("00000"&amp;389,5))</f>
        <v/>
      </c>
      <c r="C394">
        <f>IF($B394="","",COUNTIFS(LdgSellerA,$A394,LdgKeyA,"&lt;"&amp;$B394)+COUNTIFS(LdgSellerB,$A394,LdgKeyB,"&lt;"&amp;$B394)+1)</f>
        <v/>
      </c>
      <c r="D394">
        <f>IF($C394="","",$A394&amp;"|"&amp;RIGHT("000000"&amp;$C394,6))</f>
        <v/>
      </c>
      <c r="F394">
        <f>IF(Sync!$AH394="","",IF(LEFT(UPPER(TRIM(Sync!$AH394)),2)="SL",UPPER(TRIM(Sync!$AH394)),""))</f>
        <v/>
      </c>
      <c r="G394">
        <f>IF($F394="","",IF(Sync!$AE394="","",IF(ISNUMBER(Sync!$AE394),IF(AND(Sync!$AE394&gt;=10000101,Sync!$AE394&lt;=99991231),INT(Sync!$AE394/10000),""),IFERROR(VALUE(TRIM(LEFT(Sync!$AE394,FIND("/",Sync!$AE394)-1))),""))))</f>
        <v/>
      </c>
      <c r="H394">
        <f>IF(OR($F394="",$G394=""),"",IF(ISNUMBER(Sync!$AE394),INT(MOD(Sync!$AE394,10000)/100),IFERROR(VALUE(TRIM(LEFT(MID(Sync!$AE394,FIND("/",Sync!$AE394)+1,20),FIND("/",MID(Sync!$AE394,FIND("/",Sync!$AE394)+1,20))-1))),"")))</f>
        <v/>
      </c>
      <c r="I394">
        <f>IF(OR($F394="",$G394=""),"",IF(ISNUMBER(Sync!$AE394),MOD(Sync!$AE394,100),IFERROR(VALUE(TRIM(MID(MID(Sync!$AE394,FIND("/",Sync!$AE394)+1,20),FIND("/",MID(Sync!$AE394,FIND("/",Sync!$AE394)+1,20))+1,20))),"")))</f>
        <v/>
      </c>
      <c r="J394">
        <f>IF($F394="","",IF(OR($G394="",$H394="",$I394="",$G394&lt;1300,$G394&gt;1500,$H394&lt;1,$H394&gt;12,$I394&lt;1,$I394&gt;31),"نامعتبر",RIGHT("0000"&amp;$G394,4)&amp;"/"&amp;RIGHT("00"&amp;$H394,2)&amp;"/"&amp;RIGHT("00"&amp;$I394,2)))</f>
        <v/>
      </c>
      <c r="K394">
        <f>IF(OR($F394="",$J394="",$J394="نامعتبر"),"",LEFT($J394,4)&amp;MID($J394,6,2)&amp;RIGHT($J394,2)&amp;$N394&amp;"|"&amp;"2"&amp;RIGHT("00000"&amp;389,5))</f>
        <v/>
      </c>
      <c r="L394">
        <f>IF($K394="","",COUNTIFS(LdgSellerA,$F394,LdgKeyA,"&lt;"&amp;$K394)+COUNTIFS(LdgSellerB,$F394,LdgKeyB,"&lt;"&amp;$K394)+1)</f>
        <v/>
      </c>
      <c r="M394">
        <f>IF($L394="","",$F394&amp;"|"&amp;RIGHT("000000"&amp;$L394,6))</f>
        <v/>
      </c>
      <c r="N394">
        <f>IF($F394="","",IF(Sync!$AF394="","0000",IF(AND(ISNUMBER(Sync!$AF394),Sync!$AF394&gt;=0,Sync!$AF394&lt;1),RIGHT("00"&amp;HOUR(Sync!$AF394),2)&amp;RIGHT("00"&amp;MINUTE(Sync!$AF394),2),IFERROR(RIGHT("00"&amp;VALUE(LEFT(Sync!$AF394,FIND(":",Sync!$AF394)-1)),2)&amp;RIGHT("00"&amp;VALUE(MID(Sync!$AF394,FIND(":",Sync!$AF394)+1,2)),2),"0000"))))</f>
        <v/>
      </c>
    </row>
    <row r="395">
      <c r="A395">
        <f>IF(OR(Calc!$E399="",Calc!$E399="نامعتبر",Calc!$G399=""),"",Calc!$G399)</f>
        <v/>
      </c>
      <c r="B395">
        <f>IF($A395="","",LEFT(Calc!$E399,4)&amp;MID(Calc!$E399,6,2)&amp;RIGHT(Calc!$E399,2)&amp;Calc!$Q399&amp;"|"&amp;"1"&amp;RIGHT("00000"&amp;390,5))</f>
        <v/>
      </c>
      <c r="C395">
        <f>IF($B395="","",COUNTIFS(LdgSellerA,$A395,LdgKeyA,"&lt;"&amp;$B395)+COUNTIFS(LdgSellerB,$A395,LdgKeyB,"&lt;"&amp;$B395)+1)</f>
        <v/>
      </c>
      <c r="D395">
        <f>IF($C395="","",$A395&amp;"|"&amp;RIGHT("000000"&amp;$C395,6))</f>
        <v/>
      </c>
      <c r="F395">
        <f>IF(Sync!$AH395="","",IF(LEFT(UPPER(TRIM(Sync!$AH395)),2)="SL",UPPER(TRIM(Sync!$AH395)),""))</f>
        <v/>
      </c>
      <c r="G395">
        <f>IF($F395="","",IF(Sync!$AE395="","",IF(ISNUMBER(Sync!$AE395),IF(AND(Sync!$AE395&gt;=10000101,Sync!$AE395&lt;=99991231),INT(Sync!$AE395/10000),""),IFERROR(VALUE(TRIM(LEFT(Sync!$AE395,FIND("/",Sync!$AE395)-1))),""))))</f>
        <v/>
      </c>
      <c r="H395">
        <f>IF(OR($F395="",$G395=""),"",IF(ISNUMBER(Sync!$AE395),INT(MOD(Sync!$AE395,10000)/100),IFERROR(VALUE(TRIM(LEFT(MID(Sync!$AE395,FIND("/",Sync!$AE395)+1,20),FIND("/",MID(Sync!$AE395,FIND("/",Sync!$AE395)+1,20))-1))),"")))</f>
        <v/>
      </c>
      <c r="I395">
        <f>IF(OR($F395="",$G395=""),"",IF(ISNUMBER(Sync!$AE395),MOD(Sync!$AE395,100),IFERROR(VALUE(TRIM(MID(MID(Sync!$AE395,FIND("/",Sync!$AE395)+1,20),FIND("/",MID(Sync!$AE395,FIND("/",Sync!$AE395)+1,20))+1,20))),"")))</f>
        <v/>
      </c>
      <c r="J395">
        <f>IF($F395="","",IF(OR($G395="",$H395="",$I395="",$G395&lt;1300,$G395&gt;1500,$H395&lt;1,$H395&gt;12,$I395&lt;1,$I395&gt;31),"نامعتبر",RIGHT("0000"&amp;$G395,4)&amp;"/"&amp;RIGHT("00"&amp;$H395,2)&amp;"/"&amp;RIGHT("00"&amp;$I395,2)))</f>
        <v/>
      </c>
      <c r="K395">
        <f>IF(OR($F395="",$J395="",$J395="نامعتبر"),"",LEFT($J395,4)&amp;MID($J395,6,2)&amp;RIGHT($J395,2)&amp;$N395&amp;"|"&amp;"2"&amp;RIGHT("00000"&amp;390,5))</f>
        <v/>
      </c>
      <c r="L395">
        <f>IF($K395="","",COUNTIFS(LdgSellerA,$F395,LdgKeyA,"&lt;"&amp;$K395)+COUNTIFS(LdgSellerB,$F395,LdgKeyB,"&lt;"&amp;$K395)+1)</f>
        <v/>
      </c>
      <c r="M395">
        <f>IF($L395="","",$F395&amp;"|"&amp;RIGHT("000000"&amp;$L395,6))</f>
        <v/>
      </c>
      <c r="N395">
        <f>IF($F395="","",IF(Sync!$AF395="","0000",IF(AND(ISNUMBER(Sync!$AF395),Sync!$AF395&gt;=0,Sync!$AF395&lt;1),RIGHT("00"&amp;HOUR(Sync!$AF395),2)&amp;RIGHT("00"&amp;MINUTE(Sync!$AF395),2),IFERROR(RIGHT("00"&amp;VALUE(LEFT(Sync!$AF395,FIND(":",Sync!$AF395)-1)),2)&amp;RIGHT("00"&amp;VALUE(MID(Sync!$AF395,FIND(":",Sync!$AF395)+1,2)),2),"0000"))))</f>
        <v/>
      </c>
    </row>
    <row r="396">
      <c r="A396">
        <f>IF(OR(Calc!$E400="",Calc!$E400="نامعتبر",Calc!$G400=""),"",Calc!$G400)</f>
        <v/>
      </c>
      <c r="B396">
        <f>IF($A396="","",LEFT(Calc!$E400,4)&amp;MID(Calc!$E400,6,2)&amp;RIGHT(Calc!$E400,2)&amp;Calc!$Q400&amp;"|"&amp;"1"&amp;RIGHT("00000"&amp;391,5))</f>
        <v/>
      </c>
      <c r="C396">
        <f>IF($B396="","",COUNTIFS(LdgSellerA,$A396,LdgKeyA,"&lt;"&amp;$B396)+COUNTIFS(LdgSellerB,$A396,LdgKeyB,"&lt;"&amp;$B396)+1)</f>
        <v/>
      </c>
      <c r="D396">
        <f>IF($C396="","",$A396&amp;"|"&amp;RIGHT("000000"&amp;$C396,6))</f>
        <v/>
      </c>
      <c r="F396">
        <f>IF(Sync!$AH396="","",IF(LEFT(UPPER(TRIM(Sync!$AH396)),2)="SL",UPPER(TRIM(Sync!$AH396)),""))</f>
        <v/>
      </c>
      <c r="G396">
        <f>IF($F396="","",IF(Sync!$AE396="","",IF(ISNUMBER(Sync!$AE396),IF(AND(Sync!$AE396&gt;=10000101,Sync!$AE396&lt;=99991231),INT(Sync!$AE396/10000),""),IFERROR(VALUE(TRIM(LEFT(Sync!$AE396,FIND("/",Sync!$AE396)-1))),""))))</f>
        <v/>
      </c>
      <c r="H396">
        <f>IF(OR($F396="",$G396=""),"",IF(ISNUMBER(Sync!$AE396),INT(MOD(Sync!$AE396,10000)/100),IFERROR(VALUE(TRIM(LEFT(MID(Sync!$AE396,FIND("/",Sync!$AE396)+1,20),FIND("/",MID(Sync!$AE396,FIND("/",Sync!$AE396)+1,20))-1))),"")))</f>
        <v/>
      </c>
      <c r="I396">
        <f>IF(OR($F396="",$G396=""),"",IF(ISNUMBER(Sync!$AE396),MOD(Sync!$AE396,100),IFERROR(VALUE(TRIM(MID(MID(Sync!$AE396,FIND("/",Sync!$AE396)+1,20),FIND("/",MID(Sync!$AE396,FIND("/",Sync!$AE396)+1,20))+1,20))),"")))</f>
        <v/>
      </c>
      <c r="J396">
        <f>IF($F396="","",IF(OR($G396="",$H396="",$I396="",$G396&lt;1300,$G396&gt;1500,$H396&lt;1,$H396&gt;12,$I396&lt;1,$I396&gt;31),"نامعتبر",RIGHT("0000"&amp;$G396,4)&amp;"/"&amp;RIGHT("00"&amp;$H396,2)&amp;"/"&amp;RIGHT("00"&amp;$I396,2)))</f>
        <v/>
      </c>
      <c r="K396">
        <f>IF(OR($F396="",$J396="",$J396="نامعتبر"),"",LEFT($J396,4)&amp;MID($J396,6,2)&amp;RIGHT($J396,2)&amp;$N396&amp;"|"&amp;"2"&amp;RIGHT("00000"&amp;391,5))</f>
        <v/>
      </c>
      <c r="L396">
        <f>IF($K396="","",COUNTIFS(LdgSellerA,$F396,LdgKeyA,"&lt;"&amp;$K396)+COUNTIFS(LdgSellerB,$F396,LdgKeyB,"&lt;"&amp;$K396)+1)</f>
        <v/>
      </c>
      <c r="M396">
        <f>IF($L396="","",$F396&amp;"|"&amp;RIGHT("000000"&amp;$L396,6))</f>
        <v/>
      </c>
      <c r="N396">
        <f>IF($F396="","",IF(Sync!$AF396="","0000",IF(AND(ISNUMBER(Sync!$AF396),Sync!$AF396&gt;=0,Sync!$AF396&lt;1),RIGHT("00"&amp;HOUR(Sync!$AF396),2)&amp;RIGHT("00"&amp;MINUTE(Sync!$AF396),2),IFERROR(RIGHT("00"&amp;VALUE(LEFT(Sync!$AF396,FIND(":",Sync!$AF396)-1)),2)&amp;RIGHT("00"&amp;VALUE(MID(Sync!$AF396,FIND(":",Sync!$AF396)+1,2)),2),"0000"))))</f>
        <v/>
      </c>
    </row>
    <row r="397">
      <c r="A397">
        <f>IF(OR(Calc!$E401="",Calc!$E401="نامعتبر",Calc!$G401=""),"",Calc!$G401)</f>
        <v/>
      </c>
      <c r="B397">
        <f>IF($A397="","",LEFT(Calc!$E401,4)&amp;MID(Calc!$E401,6,2)&amp;RIGHT(Calc!$E401,2)&amp;Calc!$Q401&amp;"|"&amp;"1"&amp;RIGHT("00000"&amp;392,5))</f>
        <v/>
      </c>
      <c r="C397">
        <f>IF($B397="","",COUNTIFS(LdgSellerA,$A397,LdgKeyA,"&lt;"&amp;$B397)+COUNTIFS(LdgSellerB,$A397,LdgKeyB,"&lt;"&amp;$B397)+1)</f>
        <v/>
      </c>
      <c r="D397">
        <f>IF($C397="","",$A397&amp;"|"&amp;RIGHT("000000"&amp;$C397,6))</f>
        <v/>
      </c>
      <c r="F397">
        <f>IF(Sync!$AH397="","",IF(LEFT(UPPER(TRIM(Sync!$AH397)),2)="SL",UPPER(TRIM(Sync!$AH397)),""))</f>
        <v/>
      </c>
      <c r="G397">
        <f>IF($F397="","",IF(Sync!$AE397="","",IF(ISNUMBER(Sync!$AE397),IF(AND(Sync!$AE397&gt;=10000101,Sync!$AE397&lt;=99991231),INT(Sync!$AE397/10000),""),IFERROR(VALUE(TRIM(LEFT(Sync!$AE397,FIND("/",Sync!$AE397)-1))),""))))</f>
        <v/>
      </c>
      <c r="H397">
        <f>IF(OR($F397="",$G397=""),"",IF(ISNUMBER(Sync!$AE397),INT(MOD(Sync!$AE397,10000)/100),IFERROR(VALUE(TRIM(LEFT(MID(Sync!$AE397,FIND("/",Sync!$AE397)+1,20),FIND("/",MID(Sync!$AE397,FIND("/",Sync!$AE397)+1,20))-1))),"")))</f>
        <v/>
      </c>
      <c r="I397">
        <f>IF(OR($F397="",$G397=""),"",IF(ISNUMBER(Sync!$AE397),MOD(Sync!$AE397,100),IFERROR(VALUE(TRIM(MID(MID(Sync!$AE397,FIND("/",Sync!$AE397)+1,20),FIND("/",MID(Sync!$AE397,FIND("/",Sync!$AE397)+1,20))+1,20))),"")))</f>
        <v/>
      </c>
      <c r="J397">
        <f>IF($F397="","",IF(OR($G397="",$H397="",$I397="",$G397&lt;1300,$G397&gt;1500,$H397&lt;1,$H397&gt;12,$I397&lt;1,$I397&gt;31),"نامعتبر",RIGHT("0000"&amp;$G397,4)&amp;"/"&amp;RIGHT("00"&amp;$H397,2)&amp;"/"&amp;RIGHT("00"&amp;$I397,2)))</f>
        <v/>
      </c>
      <c r="K397">
        <f>IF(OR($F397="",$J397="",$J397="نامعتبر"),"",LEFT($J397,4)&amp;MID($J397,6,2)&amp;RIGHT($J397,2)&amp;$N397&amp;"|"&amp;"2"&amp;RIGHT("00000"&amp;392,5))</f>
        <v/>
      </c>
      <c r="L397">
        <f>IF($K397="","",COUNTIFS(LdgSellerA,$F397,LdgKeyA,"&lt;"&amp;$K397)+COUNTIFS(LdgSellerB,$F397,LdgKeyB,"&lt;"&amp;$K397)+1)</f>
        <v/>
      </c>
      <c r="M397">
        <f>IF($L397="","",$F397&amp;"|"&amp;RIGHT("000000"&amp;$L397,6))</f>
        <v/>
      </c>
      <c r="N397">
        <f>IF($F397="","",IF(Sync!$AF397="","0000",IF(AND(ISNUMBER(Sync!$AF397),Sync!$AF397&gt;=0,Sync!$AF397&lt;1),RIGHT("00"&amp;HOUR(Sync!$AF397),2)&amp;RIGHT("00"&amp;MINUTE(Sync!$AF397),2),IFERROR(RIGHT("00"&amp;VALUE(LEFT(Sync!$AF397,FIND(":",Sync!$AF397)-1)),2)&amp;RIGHT("00"&amp;VALUE(MID(Sync!$AF397,FIND(":",Sync!$AF397)+1,2)),2),"0000"))))</f>
        <v/>
      </c>
    </row>
    <row r="398">
      <c r="A398">
        <f>IF(OR(Calc!$E402="",Calc!$E402="نامعتبر",Calc!$G402=""),"",Calc!$G402)</f>
        <v/>
      </c>
      <c r="B398">
        <f>IF($A398="","",LEFT(Calc!$E402,4)&amp;MID(Calc!$E402,6,2)&amp;RIGHT(Calc!$E402,2)&amp;Calc!$Q402&amp;"|"&amp;"1"&amp;RIGHT("00000"&amp;393,5))</f>
        <v/>
      </c>
      <c r="C398">
        <f>IF($B398="","",COUNTIFS(LdgSellerA,$A398,LdgKeyA,"&lt;"&amp;$B398)+COUNTIFS(LdgSellerB,$A398,LdgKeyB,"&lt;"&amp;$B398)+1)</f>
        <v/>
      </c>
      <c r="D398">
        <f>IF($C398="","",$A398&amp;"|"&amp;RIGHT("000000"&amp;$C398,6))</f>
        <v/>
      </c>
      <c r="F398">
        <f>IF(Sync!$AH398="","",IF(LEFT(UPPER(TRIM(Sync!$AH398)),2)="SL",UPPER(TRIM(Sync!$AH398)),""))</f>
        <v/>
      </c>
      <c r="G398">
        <f>IF($F398="","",IF(Sync!$AE398="","",IF(ISNUMBER(Sync!$AE398),IF(AND(Sync!$AE398&gt;=10000101,Sync!$AE398&lt;=99991231),INT(Sync!$AE398/10000),""),IFERROR(VALUE(TRIM(LEFT(Sync!$AE398,FIND("/",Sync!$AE398)-1))),""))))</f>
        <v/>
      </c>
      <c r="H398">
        <f>IF(OR($F398="",$G398=""),"",IF(ISNUMBER(Sync!$AE398),INT(MOD(Sync!$AE398,10000)/100),IFERROR(VALUE(TRIM(LEFT(MID(Sync!$AE398,FIND("/",Sync!$AE398)+1,20),FIND("/",MID(Sync!$AE398,FIND("/",Sync!$AE398)+1,20))-1))),"")))</f>
        <v/>
      </c>
      <c r="I398">
        <f>IF(OR($F398="",$G398=""),"",IF(ISNUMBER(Sync!$AE398),MOD(Sync!$AE398,100),IFERROR(VALUE(TRIM(MID(MID(Sync!$AE398,FIND("/",Sync!$AE398)+1,20),FIND("/",MID(Sync!$AE398,FIND("/",Sync!$AE398)+1,20))+1,20))),"")))</f>
        <v/>
      </c>
      <c r="J398">
        <f>IF($F398="","",IF(OR($G398="",$H398="",$I398="",$G398&lt;1300,$G398&gt;1500,$H398&lt;1,$H398&gt;12,$I398&lt;1,$I398&gt;31),"نامعتبر",RIGHT("0000"&amp;$G398,4)&amp;"/"&amp;RIGHT("00"&amp;$H398,2)&amp;"/"&amp;RIGHT("00"&amp;$I398,2)))</f>
        <v/>
      </c>
      <c r="K398">
        <f>IF(OR($F398="",$J398="",$J398="نامعتبر"),"",LEFT($J398,4)&amp;MID($J398,6,2)&amp;RIGHT($J398,2)&amp;$N398&amp;"|"&amp;"2"&amp;RIGHT("00000"&amp;393,5))</f>
        <v/>
      </c>
      <c r="L398">
        <f>IF($K398="","",COUNTIFS(LdgSellerA,$F398,LdgKeyA,"&lt;"&amp;$K398)+COUNTIFS(LdgSellerB,$F398,LdgKeyB,"&lt;"&amp;$K398)+1)</f>
        <v/>
      </c>
      <c r="M398">
        <f>IF($L398="","",$F398&amp;"|"&amp;RIGHT("000000"&amp;$L398,6))</f>
        <v/>
      </c>
      <c r="N398">
        <f>IF($F398="","",IF(Sync!$AF398="","0000",IF(AND(ISNUMBER(Sync!$AF398),Sync!$AF398&gt;=0,Sync!$AF398&lt;1),RIGHT("00"&amp;HOUR(Sync!$AF398),2)&amp;RIGHT("00"&amp;MINUTE(Sync!$AF398),2),IFERROR(RIGHT("00"&amp;VALUE(LEFT(Sync!$AF398,FIND(":",Sync!$AF398)-1)),2)&amp;RIGHT("00"&amp;VALUE(MID(Sync!$AF398,FIND(":",Sync!$AF398)+1,2)),2),"0000"))))</f>
        <v/>
      </c>
    </row>
    <row r="399">
      <c r="A399">
        <f>IF(OR(Calc!$E403="",Calc!$E403="نامعتبر",Calc!$G403=""),"",Calc!$G403)</f>
        <v/>
      </c>
      <c r="B399">
        <f>IF($A399="","",LEFT(Calc!$E403,4)&amp;MID(Calc!$E403,6,2)&amp;RIGHT(Calc!$E403,2)&amp;Calc!$Q403&amp;"|"&amp;"1"&amp;RIGHT("00000"&amp;394,5))</f>
        <v/>
      </c>
      <c r="C399">
        <f>IF($B399="","",COUNTIFS(LdgSellerA,$A399,LdgKeyA,"&lt;"&amp;$B399)+COUNTIFS(LdgSellerB,$A399,LdgKeyB,"&lt;"&amp;$B399)+1)</f>
        <v/>
      </c>
      <c r="D399">
        <f>IF($C399="","",$A399&amp;"|"&amp;RIGHT("000000"&amp;$C399,6))</f>
        <v/>
      </c>
      <c r="F399">
        <f>IF(Sync!$AH399="","",IF(LEFT(UPPER(TRIM(Sync!$AH399)),2)="SL",UPPER(TRIM(Sync!$AH399)),""))</f>
        <v/>
      </c>
      <c r="G399">
        <f>IF($F399="","",IF(Sync!$AE399="","",IF(ISNUMBER(Sync!$AE399),IF(AND(Sync!$AE399&gt;=10000101,Sync!$AE399&lt;=99991231),INT(Sync!$AE399/10000),""),IFERROR(VALUE(TRIM(LEFT(Sync!$AE399,FIND("/",Sync!$AE399)-1))),""))))</f>
        <v/>
      </c>
      <c r="H399">
        <f>IF(OR($F399="",$G399=""),"",IF(ISNUMBER(Sync!$AE399),INT(MOD(Sync!$AE399,10000)/100),IFERROR(VALUE(TRIM(LEFT(MID(Sync!$AE399,FIND("/",Sync!$AE399)+1,20),FIND("/",MID(Sync!$AE399,FIND("/",Sync!$AE399)+1,20))-1))),"")))</f>
        <v/>
      </c>
      <c r="I399">
        <f>IF(OR($F399="",$G399=""),"",IF(ISNUMBER(Sync!$AE399),MOD(Sync!$AE399,100),IFERROR(VALUE(TRIM(MID(MID(Sync!$AE399,FIND("/",Sync!$AE399)+1,20),FIND("/",MID(Sync!$AE399,FIND("/",Sync!$AE399)+1,20))+1,20))),"")))</f>
        <v/>
      </c>
      <c r="J399">
        <f>IF($F399="","",IF(OR($G399="",$H399="",$I399="",$G399&lt;1300,$G399&gt;1500,$H399&lt;1,$H399&gt;12,$I399&lt;1,$I399&gt;31),"نامعتبر",RIGHT("0000"&amp;$G399,4)&amp;"/"&amp;RIGHT("00"&amp;$H399,2)&amp;"/"&amp;RIGHT("00"&amp;$I399,2)))</f>
        <v/>
      </c>
      <c r="K399">
        <f>IF(OR($F399="",$J399="",$J399="نامعتبر"),"",LEFT($J399,4)&amp;MID($J399,6,2)&amp;RIGHT($J399,2)&amp;$N399&amp;"|"&amp;"2"&amp;RIGHT("00000"&amp;394,5))</f>
        <v/>
      </c>
      <c r="L399">
        <f>IF($K399="","",COUNTIFS(LdgSellerA,$F399,LdgKeyA,"&lt;"&amp;$K399)+COUNTIFS(LdgSellerB,$F399,LdgKeyB,"&lt;"&amp;$K399)+1)</f>
        <v/>
      </c>
      <c r="M399">
        <f>IF($L399="","",$F399&amp;"|"&amp;RIGHT("000000"&amp;$L399,6))</f>
        <v/>
      </c>
      <c r="N399">
        <f>IF($F399="","",IF(Sync!$AF399="","0000",IF(AND(ISNUMBER(Sync!$AF399),Sync!$AF399&gt;=0,Sync!$AF399&lt;1),RIGHT("00"&amp;HOUR(Sync!$AF399),2)&amp;RIGHT("00"&amp;MINUTE(Sync!$AF399),2),IFERROR(RIGHT("00"&amp;VALUE(LEFT(Sync!$AF399,FIND(":",Sync!$AF399)-1)),2)&amp;RIGHT("00"&amp;VALUE(MID(Sync!$AF399,FIND(":",Sync!$AF399)+1,2)),2),"0000"))))</f>
        <v/>
      </c>
    </row>
    <row r="400">
      <c r="A400">
        <f>IF(OR(Calc!$E404="",Calc!$E404="نامعتبر",Calc!$G404=""),"",Calc!$G404)</f>
        <v/>
      </c>
      <c r="B400">
        <f>IF($A400="","",LEFT(Calc!$E404,4)&amp;MID(Calc!$E404,6,2)&amp;RIGHT(Calc!$E404,2)&amp;Calc!$Q404&amp;"|"&amp;"1"&amp;RIGHT("00000"&amp;395,5))</f>
        <v/>
      </c>
      <c r="C400">
        <f>IF($B400="","",COUNTIFS(LdgSellerA,$A400,LdgKeyA,"&lt;"&amp;$B400)+COUNTIFS(LdgSellerB,$A400,LdgKeyB,"&lt;"&amp;$B400)+1)</f>
        <v/>
      </c>
      <c r="D400">
        <f>IF($C400="","",$A400&amp;"|"&amp;RIGHT("000000"&amp;$C400,6))</f>
        <v/>
      </c>
      <c r="F400">
        <f>IF(Sync!$AH400="","",IF(LEFT(UPPER(TRIM(Sync!$AH400)),2)="SL",UPPER(TRIM(Sync!$AH400)),""))</f>
        <v/>
      </c>
      <c r="G400">
        <f>IF($F400="","",IF(Sync!$AE400="","",IF(ISNUMBER(Sync!$AE400),IF(AND(Sync!$AE400&gt;=10000101,Sync!$AE400&lt;=99991231),INT(Sync!$AE400/10000),""),IFERROR(VALUE(TRIM(LEFT(Sync!$AE400,FIND("/",Sync!$AE400)-1))),""))))</f>
        <v/>
      </c>
      <c r="H400">
        <f>IF(OR($F400="",$G400=""),"",IF(ISNUMBER(Sync!$AE400),INT(MOD(Sync!$AE400,10000)/100),IFERROR(VALUE(TRIM(LEFT(MID(Sync!$AE400,FIND("/",Sync!$AE400)+1,20),FIND("/",MID(Sync!$AE400,FIND("/",Sync!$AE400)+1,20))-1))),"")))</f>
        <v/>
      </c>
      <c r="I400">
        <f>IF(OR($F400="",$G400=""),"",IF(ISNUMBER(Sync!$AE400),MOD(Sync!$AE400,100),IFERROR(VALUE(TRIM(MID(MID(Sync!$AE400,FIND("/",Sync!$AE400)+1,20),FIND("/",MID(Sync!$AE400,FIND("/",Sync!$AE400)+1,20))+1,20))),"")))</f>
        <v/>
      </c>
      <c r="J400">
        <f>IF($F400="","",IF(OR($G400="",$H400="",$I400="",$G400&lt;1300,$G400&gt;1500,$H400&lt;1,$H400&gt;12,$I400&lt;1,$I400&gt;31),"نامعتبر",RIGHT("0000"&amp;$G400,4)&amp;"/"&amp;RIGHT("00"&amp;$H400,2)&amp;"/"&amp;RIGHT("00"&amp;$I400,2)))</f>
        <v/>
      </c>
      <c r="K400">
        <f>IF(OR($F400="",$J400="",$J400="نامعتبر"),"",LEFT($J400,4)&amp;MID($J400,6,2)&amp;RIGHT($J400,2)&amp;$N400&amp;"|"&amp;"2"&amp;RIGHT("00000"&amp;395,5))</f>
        <v/>
      </c>
      <c r="L400">
        <f>IF($K400="","",COUNTIFS(LdgSellerA,$F400,LdgKeyA,"&lt;"&amp;$K400)+COUNTIFS(LdgSellerB,$F400,LdgKeyB,"&lt;"&amp;$K400)+1)</f>
        <v/>
      </c>
      <c r="M400">
        <f>IF($L400="","",$F400&amp;"|"&amp;RIGHT("000000"&amp;$L400,6))</f>
        <v/>
      </c>
      <c r="N400">
        <f>IF($F400="","",IF(Sync!$AF400="","0000",IF(AND(ISNUMBER(Sync!$AF400),Sync!$AF400&gt;=0,Sync!$AF400&lt;1),RIGHT("00"&amp;HOUR(Sync!$AF400),2)&amp;RIGHT("00"&amp;MINUTE(Sync!$AF400),2),IFERROR(RIGHT("00"&amp;VALUE(LEFT(Sync!$AF400,FIND(":",Sync!$AF400)-1)),2)&amp;RIGHT("00"&amp;VALUE(MID(Sync!$AF400,FIND(":",Sync!$AF400)+1,2)),2),"0000"))))</f>
        <v/>
      </c>
    </row>
    <row r="401">
      <c r="A401">
        <f>IF(OR(Calc!$E405="",Calc!$E405="نامعتبر",Calc!$G405=""),"",Calc!$G405)</f>
        <v/>
      </c>
      <c r="B401">
        <f>IF($A401="","",LEFT(Calc!$E405,4)&amp;MID(Calc!$E405,6,2)&amp;RIGHT(Calc!$E405,2)&amp;Calc!$Q405&amp;"|"&amp;"1"&amp;RIGHT("00000"&amp;396,5))</f>
        <v/>
      </c>
      <c r="C401">
        <f>IF($B401="","",COUNTIFS(LdgSellerA,$A401,LdgKeyA,"&lt;"&amp;$B401)+COUNTIFS(LdgSellerB,$A401,LdgKeyB,"&lt;"&amp;$B401)+1)</f>
        <v/>
      </c>
      <c r="D401">
        <f>IF($C401="","",$A401&amp;"|"&amp;RIGHT("000000"&amp;$C401,6))</f>
        <v/>
      </c>
      <c r="F401">
        <f>IF(Sync!$AH401="","",IF(LEFT(UPPER(TRIM(Sync!$AH401)),2)="SL",UPPER(TRIM(Sync!$AH401)),""))</f>
        <v/>
      </c>
      <c r="G401">
        <f>IF($F401="","",IF(Sync!$AE401="","",IF(ISNUMBER(Sync!$AE401),IF(AND(Sync!$AE401&gt;=10000101,Sync!$AE401&lt;=99991231),INT(Sync!$AE401/10000),""),IFERROR(VALUE(TRIM(LEFT(Sync!$AE401,FIND("/",Sync!$AE401)-1))),""))))</f>
        <v/>
      </c>
      <c r="H401">
        <f>IF(OR($F401="",$G401=""),"",IF(ISNUMBER(Sync!$AE401),INT(MOD(Sync!$AE401,10000)/100),IFERROR(VALUE(TRIM(LEFT(MID(Sync!$AE401,FIND("/",Sync!$AE401)+1,20),FIND("/",MID(Sync!$AE401,FIND("/",Sync!$AE401)+1,20))-1))),"")))</f>
        <v/>
      </c>
      <c r="I401">
        <f>IF(OR($F401="",$G401=""),"",IF(ISNUMBER(Sync!$AE401),MOD(Sync!$AE401,100),IFERROR(VALUE(TRIM(MID(MID(Sync!$AE401,FIND("/",Sync!$AE401)+1,20),FIND("/",MID(Sync!$AE401,FIND("/",Sync!$AE401)+1,20))+1,20))),"")))</f>
        <v/>
      </c>
      <c r="J401">
        <f>IF($F401="","",IF(OR($G401="",$H401="",$I401="",$G401&lt;1300,$G401&gt;1500,$H401&lt;1,$H401&gt;12,$I401&lt;1,$I401&gt;31),"نامعتبر",RIGHT("0000"&amp;$G401,4)&amp;"/"&amp;RIGHT("00"&amp;$H401,2)&amp;"/"&amp;RIGHT("00"&amp;$I401,2)))</f>
        <v/>
      </c>
      <c r="K401">
        <f>IF(OR($F401="",$J401="",$J401="نامعتبر"),"",LEFT($J401,4)&amp;MID($J401,6,2)&amp;RIGHT($J401,2)&amp;$N401&amp;"|"&amp;"2"&amp;RIGHT("00000"&amp;396,5))</f>
        <v/>
      </c>
      <c r="L401">
        <f>IF($K401="","",COUNTIFS(LdgSellerA,$F401,LdgKeyA,"&lt;"&amp;$K401)+COUNTIFS(LdgSellerB,$F401,LdgKeyB,"&lt;"&amp;$K401)+1)</f>
        <v/>
      </c>
      <c r="M401">
        <f>IF($L401="","",$F401&amp;"|"&amp;RIGHT("000000"&amp;$L401,6))</f>
        <v/>
      </c>
      <c r="N401">
        <f>IF($F401="","",IF(Sync!$AF401="","0000",IF(AND(ISNUMBER(Sync!$AF401),Sync!$AF401&gt;=0,Sync!$AF401&lt;1),RIGHT("00"&amp;HOUR(Sync!$AF401),2)&amp;RIGHT("00"&amp;MINUTE(Sync!$AF401),2),IFERROR(RIGHT("00"&amp;VALUE(LEFT(Sync!$AF401,FIND(":",Sync!$AF401)-1)),2)&amp;RIGHT("00"&amp;VALUE(MID(Sync!$AF401,FIND(":",Sync!$AF401)+1,2)),2),"0000"))))</f>
        <v/>
      </c>
    </row>
    <row r="402">
      <c r="A402">
        <f>IF(OR(Calc!$E406="",Calc!$E406="نامعتبر",Calc!$G406=""),"",Calc!$G406)</f>
        <v/>
      </c>
      <c r="B402">
        <f>IF($A402="","",LEFT(Calc!$E406,4)&amp;MID(Calc!$E406,6,2)&amp;RIGHT(Calc!$E406,2)&amp;Calc!$Q406&amp;"|"&amp;"1"&amp;RIGHT("00000"&amp;397,5))</f>
        <v/>
      </c>
      <c r="C402">
        <f>IF($B402="","",COUNTIFS(LdgSellerA,$A402,LdgKeyA,"&lt;"&amp;$B402)+COUNTIFS(LdgSellerB,$A402,LdgKeyB,"&lt;"&amp;$B402)+1)</f>
        <v/>
      </c>
      <c r="D402">
        <f>IF($C402="","",$A402&amp;"|"&amp;RIGHT("000000"&amp;$C402,6))</f>
        <v/>
      </c>
      <c r="F402">
        <f>IF(Sync!$AH402="","",IF(LEFT(UPPER(TRIM(Sync!$AH402)),2)="SL",UPPER(TRIM(Sync!$AH402)),""))</f>
        <v/>
      </c>
      <c r="G402">
        <f>IF($F402="","",IF(Sync!$AE402="","",IF(ISNUMBER(Sync!$AE402),IF(AND(Sync!$AE402&gt;=10000101,Sync!$AE402&lt;=99991231),INT(Sync!$AE402/10000),""),IFERROR(VALUE(TRIM(LEFT(Sync!$AE402,FIND("/",Sync!$AE402)-1))),""))))</f>
        <v/>
      </c>
      <c r="H402">
        <f>IF(OR($F402="",$G402=""),"",IF(ISNUMBER(Sync!$AE402),INT(MOD(Sync!$AE402,10000)/100),IFERROR(VALUE(TRIM(LEFT(MID(Sync!$AE402,FIND("/",Sync!$AE402)+1,20),FIND("/",MID(Sync!$AE402,FIND("/",Sync!$AE402)+1,20))-1))),"")))</f>
        <v/>
      </c>
      <c r="I402">
        <f>IF(OR($F402="",$G402=""),"",IF(ISNUMBER(Sync!$AE402),MOD(Sync!$AE402,100),IFERROR(VALUE(TRIM(MID(MID(Sync!$AE402,FIND("/",Sync!$AE402)+1,20),FIND("/",MID(Sync!$AE402,FIND("/",Sync!$AE402)+1,20))+1,20))),"")))</f>
        <v/>
      </c>
      <c r="J402">
        <f>IF($F402="","",IF(OR($G402="",$H402="",$I402="",$G402&lt;1300,$G402&gt;1500,$H402&lt;1,$H402&gt;12,$I402&lt;1,$I402&gt;31),"نامعتبر",RIGHT("0000"&amp;$G402,4)&amp;"/"&amp;RIGHT("00"&amp;$H402,2)&amp;"/"&amp;RIGHT("00"&amp;$I402,2)))</f>
        <v/>
      </c>
      <c r="K402">
        <f>IF(OR($F402="",$J402="",$J402="نامعتبر"),"",LEFT($J402,4)&amp;MID($J402,6,2)&amp;RIGHT($J402,2)&amp;$N402&amp;"|"&amp;"2"&amp;RIGHT("00000"&amp;397,5))</f>
        <v/>
      </c>
      <c r="L402">
        <f>IF($K402="","",COUNTIFS(LdgSellerA,$F402,LdgKeyA,"&lt;"&amp;$K402)+COUNTIFS(LdgSellerB,$F402,LdgKeyB,"&lt;"&amp;$K402)+1)</f>
        <v/>
      </c>
      <c r="M402">
        <f>IF($L402="","",$F402&amp;"|"&amp;RIGHT("000000"&amp;$L402,6))</f>
        <v/>
      </c>
      <c r="N402">
        <f>IF($F402="","",IF(Sync!$AF402="","0000",IF(AND(ISNUMBER(Sync!$AF402),Sync!$AF402&gt;=0,Sync!$AF402&lt;1),RIGHT("00"&amp;HOUR(Sync!$AF402),2)&amp;RIGHT("00"&amp;MINUTE(Sync!$AF402),2),IFERROR(RIGHT("00"&amp;VALUE(LEFT(Sync!$AF402,FIND(":",Sync!$AF402)-1)),2)&amp;RIGHT("00"&amp;VALUE(MID(Sync!$AF402,FIND(":",Sync!$AF402)+1,2)),2),"0000"))))</f>
        <v/>
      </c>
    </row>
    <row r="403">
      <c r="A403">
        <f>IF(OR(Calc!$E407="",Calc!$E407="نامعتبر",Calc!$G407=""),"",Calc!$G407)</f>
        <v/>
      </c>
      <c r="B403">
        <f>IF($A403="","",LEFT(Calc!$E407,4)&amp;MID(Calc!$E407,6,2)&amp;RIGHT(Calc!$E407,2)&amp;Calc!$Q407&amp;"|"&amp;"1"&amp;RIGHT("00000"&amp;398,5))</f>
        <v/>
      </c>
      <c r="C403">
        <f>IF($B403="","",COUNTIFS(LdgSellerA,$A403,LdgKeyA,"&lt;"&amp;$B403)+COUNTIFS(LdgSellerB,$A403,LdgKeyB,"&lt;"&amp;$B403)+1)</f>
        <v/>
      </c>
      <c r="D403">
        <f>IF($C403="","",$A403&amp;"|"&amp;RIGHT("000000"&amp;$C403,6))</f>
        <v/>
      </c>
      <c r="F403">
        <f>IF(Sync!$AH403="","",IF(LEFT(UPPER(TRIM(Sync!$AH403)),2)="SL",UPPER(TRIM(Sync!$AH403)),""))</f>
        <v/>
      </c>
      <c r="G403">
        <f>IF($F403="","",IF(Sync!$AE403="","",IF(ISNUMBER(Sync!$AE403),IF(AND(Sync!$AE403&gt;=10000101,Sync!$AE403&lt;=99991231),INT(Sync!$AE403/10000),""),IFERROR(VALUE(TRIM(LEFT(Sync!$AE403,FIND("/",Sync!$AE403)-1))),""))))</f>
        <v/>
      </c>
      <c r="H403">
        <f>IF(OR($F403="",$G403=""),"",IF(ISNUMBER(Sync!$AE403),INT(MOD(Sync!$AE403,10000)/100),IFERROR(VALUE(TRIM(LEFT(MID(Sync!$AE403,FIND("/",Sync!$AE403)+1,20),FIND("/",MID(Sync!$AE403,FIND("/",Sync!$AE403)+1,20))-1))),"")))</f>
        <v/>
      </c>
      <c r="I403">
        <f>IF(OR($F403="",$G403=""),"",IF(ISNUMBER(Sync!$AE403),MOD(Sync!$AE403,100),IFERROR(VALUE(TRIM(MID(MID(Sync!$AE403,FIND("/",Sync!$AE403)+1,20),FIND("/",MID(Sync!$AE403,FIND("/",Sync!$AE403)+1,20))+1,20))),"")))</f>
        <v/>
      </c>
      <c r="J403">
        <f>IF($F403="","",IF(OR($G403="",$H403="",$I403="",$G403&lt;1300,$G403&gt;1500,$H403&lt;1,$H403&gt;12,$I403&lt;1,$I403&gt;31),"نامعتبر",RIGHT("0000"&amp;$G403,4)&amp;"/"&amp;RIGHT("00"&amp;$H403,2)&amp;"/"&amp;RIGHT("00"&amp;$I403,2)))</f>
        <v/>
      </c>
      <c r="K403">
        <f>IF(OR($F403="",$J403="",$J403="نامعتبر"),"",LEFT($J403,4)&amp;MID($J403,6,2)&amp;RIGHT($J403,2)&amp;$N403&amp;"|"&amp;"2"&amp;RIGHT("00000"&amp;398,5))</f>
        <v/>
      </c>
      <c r="L403">
        <f>IF($K403="","",COUNTIFS(LdgSellerA,$F403,LdgKeyA,"&lt;"&amp;$K403)+COUNTIFS(LdgSellerB,$F403,LdgKeyB,"&lt;"&amp;$K403)+1)</f>
        <v/>
      </c>
      <c r="M403">
        <f>IF($L403="","",$F403&amp;"|"&amp;RIGHT("000000"&amp;$L403,6))</f>
        <v/>
      </c>
      <c r="N403">
        <f>IF($F403="","",IF(Sync!$AF403="","0000",IF(AND(ISNUMBER(Sync!$AF403),Sync!$AF403&gt;=0,Sync!$AF403&lt;1),RIGHT("00"&amp;HOUR(Sync!$AF403),2)&amp;RIGHT("00"&amp;MINUTE(Sync!$AF403),2),IFERROR(RIGHT("00"&amp;VALUE(LEFT(Sync!$AF403,FIND(":",Sync!$AF403)-1)),2)&amp;RIGHT("00"&amp;VALUE(MID(Sync!$AF403,FIND(":",Sync!$AF403)+1,2)),2),"0000"))))</f>
        <v/>
      </c>
    </row>
    <row r="404">
      <c r="A404">
        <f>IF(OR(Calc!$E408="",Calc!$E408="نامعتبر",Calc!$G408=""),"",Calc!$G408)</f>
        <v/>
      </c>
      <c r="B404">
        <f>IF($A404="","",LEFT(Calc!$E408,4)&amp;MID(Calc!$E408,6,2)&amp;RIGHT(Calc!$E408,2)&amp;Calc!$Q408&amp;"|"&amp;"1"&amp;RIGHT("00000"&amp;399,5))</f>
        <v/>
      </c>
      <c r="C404">
        <f>IF($B404="","",COUNTIFS(LdgSellerA,$A404,LdgKeyA,"&lt;"&amp;$B404)+COUNTIFS(LdgSellerB,$A404,LdgKeyB,"&lt;"&amp;$B404)+1)</f>
        <v/>
      </c>
      <c r="D404">
        <f>IF($C404="","",$A404&amp;"|"&amp;RIGHT("000000"&amp;$C404,6))</f>
        <v/>
      </c>
      <c r="F404">
        <f>IF(Sync!$AH404="","",IF(LEFT(UPPER(TRIM(Sync!$AH404)),2)="SL",UPPER(TRIM(Sync!$AH404)),""))</f>
        <v/>
      </c>
      <c r="G404">
        <f>IF($F404="","",IF(Sync!$AE404="","",IF(ISNUMBER(Sync!$AE404),IF(AND(Sync!$AE404&gt;=10000101,Sync!$AE404&lt;=99991231),INT(Sync!$AE404/10000),""),IFERROR(VALUE(TRIM(LEFT(Sync!$AE404,FIND("/",Sync!$AE404)-1))),""))))</f>
        <v/>
      </c>
      <c r="H404">
        <f>IF(OR($F404="",$G404=""),"",IF(ISNUMBER(Sync!$AE404),INT(MOD(Sync!$AE404,10000)/100),IFERROR(VALUE(TRIM(LEFT(MID(Sync!$AE404,FIND("/",Sync!$AE404)+1,20),FIND("/",MID(Sync!$AE404,FIND("/",Sync!$AE404)+1,20))-1))),"")))</f>
        <v/>
      </c>
      <c r="I404">
        <f>IF(OR($F404="",$G404=""),"",IF(ISNUMBER(Sync!$AE404),MOD(Sync!$AE404,100),IFERROR(VALUE(TRIM(MID(MID(Sync!$AE404,FIND("/",Sync!$AE404)+1,20),FIND("/",MID(Sync!$AE404,FIND("/",Sync!$AE404)+1,20))+1,20))),"")))</f>
        <v/>
      </c>
      <c r="J404">
        <f>IF($F404="","",IF(OR($G404="",$H404="",$I404="",$G404&lt;1300,$G404&gt;1500,$H404&lt;1,$H404&gt;12,$I404&lt;1,$I404&gt;31),"نامعتبر",RIGHT("0000"&amp;$G404,4)&amp;"/"&amp;RIGHT("00"&amp;$H404,2)&amp;"/"&amp;RIGHT("00"&amp;$I404,2)))</f>
        <v/>
      </c>
      <c r="K404">
        <f>IF(OR($F404="",$J404="",$J404="نامعتبر"),"",LEFT($J404,4)&amp;MID($J404,6,2)&amp;RIGHT($J404,2)&amp;$N404&amp;"|"&amp;"2"&amp;RIGHT("00000"&amp;399,5))</f>
        <v/>
      </c>
      <c r="L404">
        <f>IF($K404="","",COUNTIFS(LdgSellerA,$F404,LdgKeyA,"&lt;"&amp;$K404)+COUNTIFS(LdgSellerB,$F404,LdgKeyB,"&lt;"&amp;$K404)+1)</f>
        <v/>
      </c>
      <c r="M404">
        <f>IF($L404="","",$F404&amp;"|"&amp;RIGHT("000000"&amp;$L404,6))</f>
        <v/>
      </c>
      <c r="N404">
        <f>IF($F404="","",IF(Sync!$AF404="","0000",IF(AND(ISNUMBER(Sync!$AF404),Sync!$AF404&gt;=0,Sync!$AF404&lt;1),RIGHT("00"&amp;HOUR(Sync!$AF404),2)&amp;RIGHT("00"&amp;MINUTE(Sync!$AF404),2),IFERROR(RIGHT("00"&amp;VALUE(LEFT(Sync!$AF404,FIND(":",Sync!$AF404)-1)),2)&amp;RIGHT("00"&amp;VALUE(MID(Sync!$AF404,FIND(":",Sync!$AF404)+1,2)),2),"0000"))))</f>
        <v/>
      </c>
    </row>
    <row r="405">
      <c r="A405">
        <f>IF(OR(Calc!$E409="",Calc!$E409="نامعتبر",Calc!$G409=""),"",Calc!$G409)</f>
        <v/>
      </c>
      <c r="B405">
        <f>IF($A405="","",LEFT(Calc!$E409,4)&amp;MID(Calc!$E409,6,2)&amp;RIGHT(Calc!$E409,2)&amp;Calc!$Q409&amp;"|"&amp;"1"&amp;RIGHT("00000"&amp;400,5))</f>
        <v/>
      </c>
      <c r="C405">
        <f>IF($B405="","",COUNTIFS(LdgSellerA,$A405,LdgKeyA,"&lt;"&amp;$B405)+COUNTIFS(LdgSellerB,$A405,LdgKeyB,"&lt;"&amp;$B405)+1)</f>
        <v/>
      </c>
      <c r="D405">
        <f>IF($C405="","",$A405&amp;"|"&amp;RIGHT("000000"&amp;$C405,6))</f>
        <v/>
      </c>
      <c r="F405">
        <f>IF(Sync!$AH405="","",IF(LEFT(UPPER(TRIM(Sync!$AH405)),2)="SL",UPPER(TRIM(Sync!$AH405)),""))</f>
        <v/>
      </c>
      <c r="G405">
        <f>IF($F405="","",IF(Sync!$AE405="","",IF(ISNUMBER(Sync!$AE405),IF(AND(Sync!$AE405&gt;=10000101,Sync!$AE405&lt;=99991231),INT(Sync!$AE405/10000),""),IFERROR(VALUE(TRIM(LEFT(Sync!$AE405,FIND("/",Sync!$AE405)-1))),""))))</f>
        <v/>
      </c>
      <c r="H405">
        <f>IF(OR($F405="",$G405=""),"",IF(ISNUMBER(Sync!$AE405),INT(MOD(Sync!$AE405,10000)/100),IFERROR(VALUE(TRIM(LEFT(MID(Sync!$AE405,FIND("/",Sync!$AE405)+1,20),FIND("/",MID(Sync!$AE405,FIND("/",Sync!$AE405)+1,20))-1))),"")))</f>
        <v/>
      </c>
      <c r="I405">
        <f>IF(OR($F405="",$G405=""),"",IF(ISNUMBER(Sync!$AE405),MOD(Sync!$AE405,100),IFERROR(VALUE(TRIM(MID(MID(Sync!$AE405,FIND("/",Sync!$AE405)+1,20),FIND("/",MID(Sync!$AE405,FIND("/",Sync!$AE405)+1,20))+1,20))),"")))</f>
        <v/>
      </c>
      <c r="J405">
        <f>IF($F405="","",IF(OR($G405="",$H405="",$I405="",$G405&lt;1300,$G405&gt;1500,$H405&lt;1,$H405&gt;12,$I405&lt;1,$I405&gt;31),"نامعتبر",RIGHT("0000"&amp;$G405,4)&amp;"/"&amp;RIGHT("00"&amp;$H405,2)&amp;"/"&amp;RIGHT("00"&amp;$I405,2)))</f>
        <v/>
      </c>
      <c r="K405">
        <f>IF(OR($F405="",$J405="",$J405="نامعتبر"),"",LEFT($J405,4)&amp;MID($J405,6,2)&amp;RIGHT($J405,2)&amp;$N405&amp;"|"&amp;"2"&amp;RIGHT("00000"&amp;400,5))</f>
        <v/>
      </c>
      <c r="L405">
        <f>IF($K405="","",COUNTIFS(LdgSellerA,$F405,LdgKeyA,"&lt;"&amp;$K405)+COUNTIFS(LdgSellerB,$F405,LdgKeyB,"&lt;"&amp;$K405)+1)</f>
        <v/>
      </c>
      <c r="M405">
        <f>IF($L405="","",$F405&amp;"|"&amp;RIGHT("000000"&amp;$L405,6))</f>
        <v/>
      </c>
      <c r="N405">
        <f>IF($F405="","",IF(Sync!$AF405="","0000",IF(AND(ISNUMBER(Sync!$AF405),Sync!$AF405&gt;=0,Sync!$AF405&lt;1),RIGHT("00"&amp;HOUR(Sync!$AF405),2)&amp;RIGHT("00"&amp;MINUTE(Sync!$AF405),2),IFERROR(RIGHT("00"&amp;VALUE(LEFT(Sync!$AF405,FIND(":",Sync!$AF405)-1)),2)&amp;RIGHT("00"&amp;VALUE(MID(Sync!$AF405,FIND(":",Sync!$AF405)+1,2)),2),"0000"))))</f>
        <v/>
      </c>
    </row>
    <row r="406">
      <c r="A406">
        <f>IF(OR(Calc!$E410="",Calc!$E410="نامعتبر",Calc!$G410=""),"",Calc!$G410)</f>
        <v/>
      </c>
      <c r="B406">
        <f>IF($A406="","",LEFT(Calc!$E410,4)&amp;MID(Calc!$E410,6,2)&amp;RIGHT(Calc!$E410,2)&amp;Calc!$Q410&amp;"|"&amp;"1"&amp;RIGHT("00000"&amp;401,5))</f>
        <v/>
      </c>
      <c r="C406">
        <f>IF($B406="","",COUNTIFS(LdgSellerA,$A406,LdgKeyA,"&lt;"&amp;$B406)+COUNTIFS(LdgSellerB,$A406,LdgKeyB,"&lt;"&amp;$B406)+1)</f>
        <v/>
      </c>
      <c r="D406">
        <f>IF($C406="","",$A406&amp;"|"&amp;RIGHT("000000"&amp;$C406,6))</f>
        <v/>
      </c>
      <c r="F406">
        <f>IF(Sync!$AH406="","",IF(LEFT(UPPER(TRIM(Sync!$AH406)),2)="SL",UPPER(TRIM(Sync!$AH406)),""))</f>
        <v/>
      </c>
      <c r="G406">
        <f>IF($F406="","",IF(Sync!$AE406="","",IF(ISNUMBER(Sync!$AE406),IF(AND(Sync!$AE406&gt;=10000101,Sync!$AE406&lt;=99991231),INT(Sync!$AE406/10000),""),IFERROR(VALUE(TRIM(LEFT(Sync!$AE406,FIND("/",Sync!$AE406)-1))),""))))</f>
        <v/>
      </c>
      <c r="H406">
        <f>IF(OR($F406="",$G406=""),"",IF(ISNUMBER(Sync!$AE406),INT(MOD(Sync!$AE406,10000)/100),IFERROR(VALUE(TRIM(LEFT(MID(Sync!$AE406,FIND("/",Sync!$AE406)+1,20),FIND("/",MID(Sync!$AE406,FIND("/",Sync!$AE406)+1,20))-1))),"")))</f>
        <v/>
      </c>
      <c r="I406">
        <f>IF(OR($F406="",$G406=""),"",IF(ISNUMBER(Sync!$AE406),MOD(Sync!$AE406,100),IFERROR(VALUE(TRIM(MID(MID(Sync!$AE406,FIND("/",Sync!$AE406)+1,20),FIND("/",MID(Sync!$AE406,FIND("/",Sync!$AE406)+1,20))+1,20))),"")))</f>
        <v/>
      </c>
      <c r="J406">
        <f>IF($F406="","",IF(OR($G406="",$H406="",$I406="",$G406&lt;1300,$G406&gt;1500,$H406&lt;1,$H406&gt;12,$I406&lt;1,$I406&gt;31),"نامعتبر",RIGHT("0000"&amp;$G406,4)&amp;"/"&amp;RIGHT("00"&amp;$H406,2)&amp;"/"&amp;RIGHT("00"&amp;$I406,2)))</f>
        <v/>
      </c>
      <c r="K406">
        <f>IF(OR($F406="",$J406="",$J406="نامعتبر"),"",LEFT($J406,4)&amp;MID($J406,6,2)&amp;RIGHT($J406,2)&amp;$N406&amp;"|"&amp;"2"&amp;RIGHT("00000"&amp;401,5))</f>
        <v/>
      </c>
      <c r="L406">
        <f>IF($K406="","",COUNTIFS(LdgSellerA,$F406,LdgKeyA,"&lt;"&amp;$K406)+COUNTIFS(LdgSellerB,$F406,LdgKeyB,"&lt;"&amp;$K406)+1)</f>
        <v/>
      </c>
      <c r="M406">
        <f>IF($L406="","",$F406&amp;"|"&amp;RIGHT("000000"&amp;$L406,6))</f>
        <v/>
      </c>
      <c r="N406">
        <f>IF($F406="","",IF(Sync!$AF406="","0000",IF(AND(ISNUMBER(Sync!$AF406),Sync!$AF406&gt;=0,Sync!$AF406&lt;1),RIGHT("00"&amp;HOUR(Sync!$AF406),2)&amp;RIGHT("00"&amp;MINUTE(Sync!$AF406),2),IFERROR(RIGHT("00"&amp;VALUE(LEFT(Sync!$AF406,FIND(":",Sync!$AF406)-1)),2)&amp;RIGHT("00"&amp;VALUE(MID(Sync!$AF406,FIND(":",Sync!$AF406)+1,2)),2),"0000"))))</f>
        <v/>
      </c>
    </row>
    <row r="407">
      <c r="A407">
        <f>IF(OR(Calc!$E411="",Calc!$E411="نامعتبر",Calc!$G411=""),"",Calc!$G411)</f>
        <v/>
      </c>
      <c r="B407">
        <f>IF($A407="","",LEFT(Calc!$E411,4)&amp;MID(Calc!$E411,6,2)&amp;RIGHT(Calc!$E411,2)&amp;Calc!$Q411&amp;"|"&amp;"1"&amp;RIGHT("00000"&amp;402,5))</f>
        <v/>
      </c>
      <c r="C407">
        <f>IF($B407="","",COUNTIFS(LdgSellerA,$A407,LdgKeyA,"&lt;"&amp;$B407)+COUNTIFS(LdgSellerB,$A407,LdgKeyB,"&lt;"&amp;$B407)+1)</f>
        <v/>
      </c>
      <c r="D407">
        <f>IF($C407="","",$A407&amp;"|"&amp;RIGHT("000000"&amp;$C407,6))</f>
        <v/>
      </c>
      <c r="F407">
        <f>IF(Sync!$AH407="","",IF(LEFT(UPPER(TRIM(Sync!$AH407)),2)="SL",UPPER(TRIM(Sync!$AH407)),""))</f>
        <v/>
      </c>
      <c r="G407">
        <f>IF($F407="","",IF(Sync!$AE407="","",IF(ISNUMBER(Sync!$AE407),IF(AND(Sync!$AE407&gt;=10000101,Sync!$AE407&lt;=99991231),INT(Sync!$AE407/10000),""),IFERROR(VALUE(TRIM(LEFT(Sync!$AE407,FIND("/",Sync!$AE407)-1))),""))))</f>
        <v/>
      </c>
      <c r="H407">
        <f>IF(OR($F407="",$G407=""),"",IF(ISNUMBER(Sync!$AE407),INT(MOD(Sync!$AE407,10000)/100),IFERROR(VALUE(TRIM(LEFT(MID(Sync!$AE407,FIND("/",Sync!$AE407)+1,20),FIND("/",MID(Sync!$AE407,FIND("/",Sync!$AE407)+1,20))-1))),"")))</f>
        <v/>
      </c>
      <c r="I407">
        <f>IF(OR($F407="",$G407=""),"",IF(ISNUMBER(Sync!$AE407),MOD(Sync!$AE407,100),IFERROR(VALUE(TRIM(MID(MID(Sync!$AE407,FIND("/",Sync!$AE407)+1,20),FIND("/",MID(Sync!$AE407,FIND("/",Sync!$AE407)+1,20))+1,20))),"")))</f>
        <v/>
      </c>
      <c r="J407">
        <f>IF($F407="","",IF(OR($G407="",$H407="",$I407="",$G407&lt;1300,$G407&gt;1500,$H407&lt;1,$H407&gt;12,$I407&lt;1,$I407&gt;31),"نامعتبر",RIGHT("0000"&amp;$G407,4)&amp;"/"&amp;RIGHT("00"&amp;$H407,2)&amp;"/"&amp;RIGHT("00"&amp;$I407,2)))</f>
        <v/>
      </c>
      <c r="K407">
        <f>IF(OR($F407="",$J407="",$J407="نامعتبر"),"",LEFT($J407,4)&amp;MID($J407,6,2)&amp;RIGHT($J407,2)&amp;$N407&amp;"|"&amp;"2"&amp;RIGHT("00000"&amp;402,5))</f>
        <v/>
      </c>
      <c r="L407">
        <f>IF($K407="","",COUNTIFS(LdgSellerA,$F407,LdgKeyA,"&lt;"&amp;$K407)+COUNTIFS(LdgSellerB,$F407,LdgKeyB,"&lt;"&amp;$K407)+1)</f>
        <v/>
      </c>
      <c r="M407">
        <f>IF($L407="","",$F407&amp;"|"&amp;RIGHT("000000"&amp;$L407,6))</f>
        <v/>
      </c>
      <c r="N407">
        <f>IF($F407="","",IF(Sync!$AF407="","0000",IF(AND(ISNUMBER(Sync!$AF407),Sync!$AF407&gt;=0,Sync!$AF407&lt;1),RIGHT("00"&amp;HOUR(Sync!$AF407),2)&amp;RIGHT("00"&amp;MINUTE(Sync!$AF407),2),IFERROR(RIGHT("00"&amp;VALUE(LEFT(Sync!$AF407,FIND(":",Sync!$AF407)-1)),2)&amp;RIGHT("00"&amp;VALUE(MID(Sync!$AF407,FIND(":",Sync!$AF407)+1,2)),2),"0000"))))</f>
        <v/>
      </c>
    </row>
    <row r="408">
      <c r="A408">
        <f>IF(OR(Calc!$E412="",Calc!$E412="نامعتبر",Calc!$G412=""),"",Calc!$G412)</f>
        <v/>
      </c>
      <c r="B408">
        <f>IF($A408="","",LEFT(Calc!$E412,4)&amp;MID(Calc!$E412,6,2)&amp;RIGHT(Calc!$E412,2)&amp;Calc!$Q412&amp;"|"&amp;"1"&amp;RIGHT("00000"&amp;403,5))</f>
        <v/>
      </c>
      <c r="C408">
        <f>IF($B408="","",COUNTIFS(LdgSellerA,$A408,LdgKeyA,"&lt;"&amp;$B408)+COUNTIFS(LdgSellerB,$A408,LdgKeyB,"&lt;"&amp;$B408)+1)</f>
        <v/>
      </c>
      <c r="D408">
        <f>IF($C408="","",$A408&amp;"|"&amp;RIGHT("000000"&amp;$C408,6))</f>
        <v/>
      </c>
      <c r="F408">
        <f>IF(Sync!$AH408="","",IF(LEFT(UPPER(TRIM(Sync!$AH408)),2)="SL",UPPER(TRIM(Sync!$AH408)),""))</f>
        <v/>
      </c>
      <c r="G408">
        <f>IF($F408="","",IF(Sync!$AE408="","",IF(ISNUMBER(Sync!$AE408),IF(AND(Sync!$AE408&gt;=10000101,Sync!$AE408&lt;=99991231),INT(Sync!$AE408/10000),""),IFERROR(VALUE(TRIM(LEFT(Sync!$AE408,FIND("/",Sync!$AE408)-1))),""))))</f>
        <v/>
      </c>
      <c r="H408">
        <f>IF(OR($F408="",$G408=""),"",IF(ISNUMBER(Sync!$AE408),INT(MOD(Sync!$AE408,10000)/100),IFERROR(VALUE(TRIM(LEFT(MID(Sync!$AE408,FIND("/",Sync!$AE408)+1,20),FIND("/",MID(Sync!$AE408,FIND("/",Sync!$AE408)+1,20))-1))),"")))</f>
        <v/>
      </c>
      <c r="I408">
        <f>IF(OR($F408="",$G408=""),"",IF(ISNUMBER(Sync!$AE408),MOD(Sync!$AE408,100),IFERROR(VALUE(TRIM(MID(MID(Sync!$AE408,FIND("/",Sync!$AE408)+1,20),FIND("/",MID(Sync!$AE408,FIND("/",Sync!$AE408)+1,20))+1,20))),"")))</f>
        <v/>
      </c>
      <c r="J408">
        <f>IF($F408="","",IF(OR($G408="",$H408="",$I408="",$G408&lt;1300,$G408&gt;1500,$H408&lt;1,$H408&gt;12,$I408&lt;1,$I408&gt;31),"نامعتبر",RIGHT("0000"&amp;$G408,4)&amp;"/"&amp;RIGHT("00"&amp;$H408,2)&amp;"/"&amp;RIGHT("00"&amp;$I408,2)))</f>
        <v/>
      </c>
      <c r="K408">
        <f>IF(OR($F408="",$J408="",$J408="نامعتبر"),"",LEFT($J408,4)&amp;MID($J408,6,2)&amp;RIGHT($J408,2)&amp;$N408&amp;"|"&amp;"2"&amp;RIGHT("00000"&amp;403,5))</f>
        <v/>
      </c>
      <c r="L408">
        <f>IF($K408="","",COUNTIFS(LdgSellerA,$F408,LdgKeyA,"&lt;"&amp;$K408)+COUNTIFS(LdgSellerB,$F408,LdgKeyB,"&lt;"&amp;$K408)+1)</f>
        <v/>
      </c>
      <c r="M408">
        <f>IF($L408="","",$F408&amp;"|"&amp;RIGHT("000000"&amp;$L408,6))</f>
        <v/>
      </c>
      <c r="N408">
        <f>IF($F408="","",IF(Sync!$AF408="","0000",IF(AND(ISNUMBER(Sync!$AF408),Sync!$AF408&gt;=0,Sync!$AF408&lt;1),RIGHT("00"&amp;HOUR(Sync!$AF408),2)&amp;RIGHT("00"&amp;MINUTE(Sync!$AF408),2),IFERROR(RIGHT("00"&amp;VALUE(LEFT(Sync!$AF408,FIND(":",Sync!$AF408)-1)),2)&amp;RIGHT("00"&amp;VALUE(MID(Sync!$AF408,FIND(":",Sync!$AF408)+1,2)),2),"0000"))))</f>
        <v/>
      </c>
    </row>
    <row r="409">
      <c r="A409">
        <f>IF(OR(Calc!$E413="",Calc!$E413="نامعتبر",Calc!$G413=""),"",Calc!$G413)</f>
        <v/>
      </c>
      <c r="B409">
        <f>IF($A409="","",LEFT(Calc!$E413,4)&amp;MID(Calc!$E413,6,2)&amp;RIGHT(Calc!$E413,2)&amp;Calc!$Q413&amp;"|"&amp;"1"&amp;RIGHT("00000"&amp;404,5))</f>
        <v/>
      </c>
      <c r="C409">
        <f>IF($B409="","",COUNTIFS(LdgSellerA,$A409,LdgKeyA,"&lt;"&amp;$B409)+COUNTIFS(LdgSellerB,$A409,LdgKeyB,"&lt;"&amp;$B409)+1)</f>
        <v/>
      </c>
      <c r="D409">
        <f>IF($C409="","",$A409&amp;"|"&amp;RIGHT("000000"&amp;$C409,6))</f>
        <v/>
      </c>
      <c r="F409">
        <f>IF(Sync!$AH409="","",IF(LEFT(UPPER(TRIM(Sync!$AH409)),2)="SL",UPPER(TRIM(Sync!$AH409)),""))</f>
        <v/>
      </c>
      <c r="G409">
        <f>IF($F409="","",IF(Sync!$AE409="","",IF(ISNUMBER(Sync!$AE409),IF(AND(Sync!$AE409&gt;=10000101,Sync!$AE409&lt;=99991231),INT(Sync!$AE409/10000),""),IFERROR(VALUE(TRIM(LEFT(Sync!$AE409,FIND("/",Sync!$AE409)-1))),""))))</f>
        <v/>
      </c>
      <c r="H409">
        <f>IF(OR($F409="",$G409=""),"",IF(ISNUMBER(Sync!$AE409),INT(MOD(Sync!$AE409,10000)/100),IFERROR(VALUE(TRIM(LEFT(MID(Sync!$AE409,FIND("/",Sync!$AE409)+1,20),FIND("/",MID(Sync!$AE409,FIND("/",Sync!$AE409)+1,20))-1))),"")))</f>
        <v/>
      </c>
      <c r="I409">
        <f>IF(OR($F409="",$G409=""),"",IF(ISNUMBER(Sync!$AE409),MOD(Sync!$AE409,100),IFERROR(VALUE(TRIM(MID(MID(Sync!$AE409,FIND("/",Sync!$AE409)+1,20),FIND("/",MID(Sync!$AE409,FIND("/",Sync!$AE409)+1,20))+1,20))),"")))</f>
        <v/>
      </c>
      <c r="J409">
        <f>IF($F409="","",IF(OR($G409="",$H409="",$I409="",$G409&lt;1300,$G409&gt;1500,$H409&lt;1,$H409&gt;12,$I409&lt;1,$I409&gt;31),"نامعتبر",RIGHT("0000"&amp;$G409,4)&amp;"/"&amp;RIGHT("00"&amp;$H409,2)&amp;"/"&amp;RIGHT("00"&amp;$I409,2)))</f>
        <v/>
      </c>
      <c r="K409">
        <f>IF(OR($F409="",$J409="",$J409="نامعتبر"),"",LEFT($J409,4)&amp;MID($J409,6,2)&amp;RIGHT($J409,2)&amp;$N409&amp;"|"&amp;"2"&amp;RIGHT("00000"&amp;404,5))</f>
        <v/>
      </c>
      <c r="L409">
        <f>IF($K409="","",COUNTIFS(LdgSellerA,$F409,LdgKeyA,"&lt;"&amp;$K409)+COUNTIFS(LdgSellerB,$F409,LdgKeyB,"&lt;"&amp;$K409)+1)</f>
        <v/>
      </c>
      <c r="M409">
        <f>IF($L409="","",$F409&amp;"|"&amp;RIGHT("000000"&amp;$L409,6))</f>
        <v/>
      </c>
      <c r="N409">
        <f>IF($F409="","",IF(Sync!$AF409="","0000",IF(AND(ISNUMBER(Sync!$AF409),Sync!$AF409&gt;=0,Sync!$AF409&lt;1),RIGHT("00"&amp;HOUR(Sync!$AF409),2)&amp;RIGHT("00"&amp;MINUTE(Sync!$AF409),2),IFERROR(RIGHT("00"&amp;VALUE(LEFT(Sync!$AF409,FIND(":",Sync!$AF409)-1)),2)&amp;RIGHT("00"&amp;VALUE(MID(Sync!$AF409,FIND(":",Sync!$AF409)+1,2)),2),"0000"))))</f>
        <v/>
      </c>
    </row>
    <row r="410">
      <c r="A410">
        <f>IF(OR(Calc!$E414="",Calc!$E414="نامعتبر",Calc!$G414=""),"",Calc!$G414)</f>
        <v/>
      </c>
      <c r="B410">
        <f>IF($A410="","",LEFT(Calc!$E414,4)&amp;MID(Calc!$E414,6,2)&amp;RIGHT(Calc!$E414,2)&amp;Calc!$Q414&amp;"|"&amp;"1"&amp;RIGHT("00000"&amp;405,5))</f>
        <v/>
      </c>
      <c r="C410">
        <f>IF($B410="","",COUNTIFS(LdgSellerA,$A410,LdgKeyA,"&lt;"&amp;$B410)+COUNTIFS(LdgSellerB,$A410,LdgKeyB,"&lt;"&amp;$B410)+1)</f>
        <v/>
      </c>
      <c r="D410">
        <f>IF($C410="","",$A410&amp;"|"&amp;RIGHT("000000"&amp;$C410,6))</f>
        <v/>
      </c>
      <c r="F410">
        <f>IF(Sync!$AH410="","",IF(LEFT(UPPER(TRIM(Sync!$AH410)),2)="SL",UPPER(TRIM(Sync!$AH410)),""))</f>
        <v/>
      </c>
      <c r="G410">
        <f>IF($F410="","",IF(Sync!$AE410="","",IF(ISNUMBER(Sync!$AE410),IF(AND(Sync!$AE410&gt;=10000101,Sync!$AE410&lt;=99991231),INT(Sync!$AE410/10000),""),IFERROR(VALUE(TRIM(LEFT(Sync!$AE410,FIND("/",Sync!$AE410)-1))),""))))</f>
        <v/>
      </c>
      <c r="H410">
        <f>IF(OR($F410="",$G410=""),"",IF(ISNUMBER(Sync!$AE410),INT(MOD(Sync!$AE410,10000)/100),IFERROR(VALUE(TRIM(LEFT(MID(Sync!$AE410,FIND("/",Sync!$AE410)+1,20),FIND("/",MID(Sync!$AE410,FIND("/",Sync!$AE410)+1,20))-1))),"")))</f>
        <v/>
      </c>
      <c r="I410">
        <f>IF(OR($F410="",$G410=""),"",IF(ISNUMBER(Sync!$AE410),MOD(Sync!$AE410,100),IFERROR(VALUE(TRIM(MID(MID(Sync!$AE410,FIND("/",Sync!$AE410)+1,20),FIND("/",MID(Sync!$AE410,FIND("/",Sync!$AE410)+1,20))+1,20))),"")))</f>
        <v/>
      </c>
      <c r="J410">
        <f>IF($F410="","",IF(OR($G410="",$H410="",$I410="",$G410&lt;1300,$G410&gt;1500,$H410&lt;1,$H410&gt;12,$I410&lt;1,$I410&gt;31),"نامعتبر",RIGHT("0000"&amp;$G410,4)&amp;"/"&amp;RIGHT("00"&amp;$H410,2)&amp;"/"&amp;RIGHT("00"&amp;$I410,2)))</f>
        <v/>
      </c>
      <c r="K410">
        <f>IF(OR($F410="",$J410="",$J410="نامعتبر"),"",LEFT($J410,4)&amp;MID($J410,6,2)&amp;RIGHT($J410,2)&amp;$N410&amp;"|"&amp;"2"&amp;RIGHT("00000"&amp;405,5))</f>
        <v/>
      </c>
      <c r="L410">
        <f>IF($K410="","",COUNTIFS(LdgSellerA,$F410,LdgKeyA,"&lt;"&amp;$K410)+COUNTIFS(LdgSellerB,$F410,LdgKeyB,"&lt;"&amp;$K410)+1)</f>
        <v/>
      </c>
      <c r="M410">
        <f>IF($L410="","",$F410&amp;"|"&amp;RIGHT("000000"&amp;$L410,6))</f>
        <v/>
      </c>
      <c r="N410">
        <f>IF($F410="","",IF(Sync!$AF410="","0000",IF(AND(ISNUMBER(Sync!$AF410),Sync!$AF410&gt;=0,Sync!$AF410&lt;1),RIGHT("00"&amp;HOUR(Sync!$AF410),2)&amp;RIGHT("00"&amp;MINUTE(Sync!$AF410),2),IFERROR(RIGHT("00"&amp;VALUE(LEFT(Sync!$AF410,FIND(":",Sync!$AF410)-1)),2)&amp;RIGHT("00"&amp;VALUE(MID(Sync!$AF410,FIND(":",Sync!$AF410)+1,2)),2),"0000"))))</f>
        <v/>
      </c>
    </row>
    <row r="411">
      <c r="A411">
        <f>IF(OR(Calc!$E415="",Calc!$E415="نامعتبر",Calc!$G415=""),"",Calc!$G415)</f>
        <v/>
      </c>
      <c r="B411">
        <f>IF($A411="","",LEFT(Calc!$E415,4)&amp;MID(Calc!$E415,6,2)&amp;RIGHT(Calc!$E415,2)&amp;Calc!$Q415&amp;"|"&amp;"1"&amp;RIGHT("00000"&amp;406,5))</f>
        <v/>
      </c>
      <c r="C411">
        <f>IF($B411="","",COUNTIFS(LdgSellerA,$A411,LdgKeyA,"&lt;"&amp;$B411)+COUNTIFS(LdgSellerB,$A411,LdgKeyB,"&lt;"&amp;$B411)+1)</f>
        <v/>
      </c>
      <c r="D411">
        <f>IF($C411="","",$A411&amp;"|"&amp;RIGHT("000000"&amp;$C411,6))</f>
        <v/>
      </c>
      <c r="F411">
        <f>IF(Sync!$AH411="","",IF(LEFT(UPPER(TRIM(Sync!$AH411)),2)="SL",UPPER(TRIM(Sync!$AH411)),""))</f>
        <v/>
      </c>
      <c r="G411">
        <f>IF($F411="","",IF(Sync!$AE411="","",IF(ISNUMBER(Sync!$AE411),IF(AND(Sync!$AE411&gt;=10000101,Sync!$AE411&lt;=99991231),INT(Sync!$AE411/10000),""),IFERROR(VALUE(TRIM(LEFT(Sync!$AE411,FIND("/",Sync!$AE411)-1))),""))))</f>
        <v/>
      </c>
      <c r="H411">
        <f>IF(OR($F411="",$G411=""),"",IF(ISNUMBER(Sync!$AE411),INT(MOD(Sync!$AE411,10000)/100),IFERROR(VALUE(TRIM(LEFT(MID(Sync!$AE411,FIND("/",Sync!$AE411)+1,20),FIND("/",MID(Sync!$AE411,FIND("/",Sync!$AE411)+1,20))-1))),"")))</f>
        <v/>
      </c>
      <c r="I411">
        <f>IF(OR($F411="",$G411=""),"",IF(ISNUMBER(Sync!$AE411),MOD(Sync!$AE411,100),IFERROR(VALUE(TRIM(MID(MID(Sync!$AE411,FIND("/",Sync!$AE411)+1,20),FIND("/",MID(Sync!$AE411,FIND("/",Sync!$AE411)+1,20))+1,20))),"")))</f>
        <v/>
      </c>
      <c r="J411">
        <f>IF($F411="","",IF(OR($G411="",$H411="",$I411="",$G411&lt;1300,$G411&gt;1500,$H411&lt;1,$H411&gt;12,$I411&lt;1,$I411&gt;31),"نامعتبر",RIGHT("0000"&amp;$G411,4)&amp;"/"&amp;RIGHT("00"&amp;$H411,2)&amp;"/"&amp;RIGHT("00"&amp;$I411,2)))</f>
        <v/>
      </c>
      <c r="K411">
        <f>IF(OR($F411="",$J411="",$J411="نامعتبر"),"",LEFT($J411,4)&amp;MID($J411,6,2)&amp;RIGHT($J411,2)&amp;$N411&amp;"|"&amp;"2"&amp;RIGHT("00000"&amp;406,5))</f>
        <v/>
      </c>
      <c r="L411">
        <f>IF($K411="","",COUNTIFS(LdgSellerA,$F411,LdgKeyA,"&lt;"&amp;$K411)+COUNTIFS(LdgSellerB,$F411,LdgKeyB,"&lt;"&amp;$K411)+1)</f>
        <v/>
      </c>
      <c r="M411">
        <f>IF($L411="","",$F411&amp;"|"&amp;RIGHT("000000"&amp;$L411,6))</f>
        <v/>
      </c>
      <c r="N411">
        <f>IF($F411="","",IF(Sync!$AF411="","0000",IF(AND(ISNUMBER(Sync!$AF411),Sync!$AF411&gt;=0,Sync!$AF411&lt;1),RIGHT("00"&amp;HOUR(Sync!$AF411),2)&amp;RIGHT("00"&amp;MINUTE(Sync!$AF411),2),IFERROR(RIGHT("00"&amp;VALUE(LEFT(Sync!$AF411,FIND(":",Sync!$AF411)-1)),2)&amp;RIGHT("00"&amp;VALUE(MID(Sync!$AF411,FIND(":",Sync!$AF411)+1,2)),2),"0000"))))</f>
        <v/>
      </c>
    </row>
    <row r="412">
      <c r="A412">
        <f>IF(OR(Calc!$E416="",Calc!$E416="نامعتبر",Calc!$G416=""),"",Calc!$G416)</f>
        <v/>
      </c>
      <c r="B412">
        <f>IF($A412="","",LEFT(Calc!$E416,4)&amp;MID(Calc!$E416,6,2)&amp;RIGHT(Calc!$E416,2)&amp;Calc!$Q416&amp;"|"&amp;"1"&amp;RIGHT("00000"&amp;407,5))</f>
        <v/>
      </c>
      <c r="C412">
        <f>IF($B412="","",COUNTIFS(LdgSellerA,$A412,LdgKeyA,"&lt;"&amp;$B412)+COUNTIFS(LdgSellerB,$A412,LdgKeyB,"&lt;"&amp;$B412)+1)</f>
        <v/>
      </c>
      <c r="D412">
        <f>IF($C412="","",$A412&amp;"|"&amp;RIGHT("000000"&amp;$C412,6))</f>
        <v/>
      </c>
      <c r="F412">
        <f>IF(Sync!$AH412="","",IF(LEFT(UPPER(TRIM(Sync!$AH412)),2)="SL",UPPER(TRIM(Sync!$AH412)),""))</f>
        <v/>
      </c>
      <c r="G412">
        <f>IF($F412="","",IF(Sync!$AE412="","",IF(ISNUMBER(Sync!$AE412),IF(AND(Sync!$AE412&gt;=10000101,Sync!$AE412&lt;=99991231),INT(Sync!$AE412/10000),""),IFERROR(VALUE(TRIM(LEFT(Sync!$AE412,FIND("/",Sync!$AE412)-1))),""))))</f>
        <v/>
      </c>
      <c r="H412">
        <f>IF(OR($F412="",$G412=""),"",IF(ISNUMBER(Sync!$AE412),INT(MOD(Sync!$AE412,10000)/100),IFERROR(VALUE(TRIM(LEFT(MID(Sync!$AE412,FIND("/",Sync!$AE412)+1,20),FIND("/",MID(Sync!$AE412,FIND("/",Sync!$AE412)+1,20))-1))),"")))</f>
        <v/>
      </c>
      <c r="I412">
        <f>IF(OR($F412="",$G412=""),"",IF(ISNUMBER(Sync!$AE412),MOD(Sync!$AE412,100),IFERROR(VALUE(TRIM(MID(MID(Sync!$AE412,FIND("/",Sync!$AE412)+1,20),FIND("/",MID(Sync!$AE412,FIND("/",Sync!$AE412)+1,20))+1,20))),"")))</f>
        <v/>
      </c>
      <c r="J412">
        <f>IF($F412="","",IF(OR($G412="",$H412="",$I412="",$G412&lt;1300,$G412&gt;1500,$H412&lt;1,$H412&gt;12,$I412&lt;1,$I412&gt;31),"نامعتبر",RIGHT("0000"&amp;$G412,4)&amp;"/"&amp;RIGHT("00"&amp;$H412,2)&amp;"/"&amp;RIGHT("00"&amp;$I412,2)))</f>
        <v/>
      </c>
      <c r="K412">
        <f>IF(OR($F412="",$J412="",$J412="نامعتبر"),"",LEFT($J412,4)&amp;MID($J412,6,2)&amp;RIGHT($J412,2)&amp;$N412&amp;"|"&amp;"2"&amp;RIGHT("00000"&amp;407,5))</f>
        <v/>
      </c>
      <c r="L412">
        <f>IF($K412="","",COUNTIFS(LdgSellerA,$F412,LdgKeyA,"&lt;"&amp;$K412)+COUNTIFS(LdgSellerB,$F412,LdgKeyB,"&lt;"&amp;$K412)+1)</f>
        <v/>
      </c>
      <c r="M412">
        <f>IF($L412="","",$F412&amp;"|"&amp;RIGHT("000000"&amp;$L412,6))</f>
        <v/>
      </c>
      <c r="N412">
        <f>IF($F412="","",IF(Sync!$AF412="","0000",IF(AND(ISNUMBER(Sync!$AF412),Sync!$AF412&gt;=0,Sync!$AF412&lt;1),RIGHT("00"&amp;HOUR(Sync!$AF412),2)&amp;RIGHT("00"&amp;MINUTE(Sync!$AF412),2),IFERROR(RIGHT("00"&amp;VALUE(LEFT(Sync!$AF412,FIND(":",Sync!$AF412)-1)),2)&amp;RIGHT("00"&amp;VALUE(MID(Sync!$AF412,FIND(":",Sync!$AF412)+1,2)),2),"0000"))))</f>
        <v/>
      </c>
    </row>
    <row r="413">
      <c r="A413">
        <f>IF(OR(Calc!$E417="",Calc!$E417="نامعتبر",Calc!$G417=""),"",Calc!$G417)</f>
        <v/>
      </c>
      <c r="B413">
        <f>IF($A413="","",LEFT(Calc!$E417,4)&amp;MID(Calc!$E417,6,2)&amp;RIGHT(Calc!$E417,2)&amp;Calc!$Q417&amp;"|"&amp;"1"&amp;RIGHT("00000"&amp;408,5))</f>
        <v/>
      </c>
      <c r="C413">
        <f>IF($B413="","",COUNTIFS(LdgSellerA,$A413,LdgKeyA,"&lt;"&amp;$B413)+COUNTIFS(LdgSellerB,$A413,LdgKeyB,"&lt;"&amp;$B413)+1)</f>
        <v/>
      </c>
      <c r="D413">
        <f>IF($C413="","",$A413&amp;"|"&amp;RIGHT("000000"&amp;$C413,6))</f>
        <v/>
      </c>
      <c r="F413">
        <f>IF(Sync!$AH413="","",IF(LEFT(UPPER(TRIM(Sync!$AH413)),2)="SL",UPPER(TRIM(Sync!$AH413)),""))</f>
        <v/>
      </c>
      <c r="G413">
        <f>IF($F413="","",IF(Sync!$AE413="","",IF(ISNUMBER(Sync!$AE413),IF(AND(Sync!$AE413&gt;=10000101,Sync!$AE413&lt;=99991231),INT(Sync!$AE413/10000),""),IFERROR(VALUE(TRIM(LEFT(Sync!$AE413,FIND("/",Sync!$AE413)-1))),""))))</f>
        <v/>
      </c>
      <c r="H413">
        <f>IF(OR($F413="",$G413=""),"",IF(ISNUMBER(Sync!$AE413),INT(MOD(Sync!$AE413,10000)/100),IFERROR(VALUE(TRIM(LEFT(MID(Sync!$AE413,FIND("/",Sync!$AE413)+1,20),FIND("/",MID(Sync!$AE413,FIND("/",Sync!$AE413)+1,20))-1))),"")))</f>
        <v/>
      </c>
      <c r="I413">
        <f>IF(OR($F413="",$G413=""),"",IF(ISNUMBER(Sync!$AE413),MOD(Sync!$AE413,100),IFERROR(VALUE(TRIM(MID(MID(Sync!$AE413,FIND("/",Sync!$AE413)+1,20),FIND("/",MID(Sync!$AE413,FIND("/",Sync!$AE413)+1,20))+1,20))),"")))</f>
        <v/>
      </c>
      <c r="J413">
        <f>IF($F413="","",IF(OR($G413="",$H413="",$I413="",$G413&lt;1300,$G413&gt;1500,$H413&lt;1,$H413&gt;12,$I413&lt;1,$I413&gt;31),"نامعتبر",RIGHT("0000"&amp;$G413,4)&amp;"/"&amp;RIGHT("00"&amp;$H413,2)&amp;"/"&amp;RIGHT("00"&amp;$I413,2)))</f>
        <v/>
      </c>
      <c r="K413">
        <f>IF(OR($F413="",$J413="",$J413="نامعتبر"),"",LEFT($J413,4)&amp;MID($J413,6,2)&amp;RIGHT($J413,2)&amp;$N413&amp;"|"&amp;"2"&amp;RIGHT("00000"&amp;408,5))</f>
        <v/>
      </c>
      <c r="L413">
        <f>IF($K413="","",COUNTIFS(LdgSellerA,$F413,LdgKeyA,"&lt;"&amp;$K413)+COUNTIFS(LdgSellerB,$F413,LdgKeyB,"&lt;"&amp;$K413)+1)</f>
        <v/>
      </c>
      <c r="M413">
        <f>IF($L413="","",$F413&amp;"|"&amp;RIGHT("000000"&amp;$L413,6))</f>
        <v/>
      </c>
      <c r="N413">
        <f>IF($F413="","",IF(Sync!$AF413="","0000",IF(AND(ISNUMBER(Sync!$AF413),Sync!$AF413&gt;=0,Sync!$AF413&lt;1),RIGHT("00"&amp;HOUR(Sync!$AF413),2)&amp;RIGHT("00"&amp;MINUTE(Sync!$AF413),2),IFERROR(RIGHT("00"&amp;VALUE(LEFT(Sync!$AF413,FIND(":",Sync!$AF413)-1)),2)&amp;RIGHT("00"&amp;VALUE(MID(Sync!$AF413,FIND(":",Sync!$AF413)+1,2)),2),"0000"))))</f>
        <v/>
      </c>
    </row>
    <row r="414">
      <c r="A414">
        <f>IF(OR(Calc!$E418="",Calc!$E418="نامعتبر",Calc!$G418=""),"",Calc!$G418)</f>
        <v/>
      </c>
      <c r="B414">
        <f>IF($A414="","",LEFT(Calc!$E418,4)&amp;MID(Calc!$E418,6,2)&amp;RIGHT(Calc!$E418,2)&amp;Calc!$Q418&amp;"|"&amp;"1"&amp;RIGHT("00000"&amp;409,5))</f>
        <v/>
      </c>
      <c r="C414">
        <f>IF($B414="","",COUNTIFS(LdgSellerA,$A414,LdgKeyA,"&lt;"&amp;$B414)+COUNTIFS(LdgSellerB,$A414,LdgKeyB,"&lt;"&amp;$B414)+1)</f>
        <v/>
      </c>
      <c r="D414">
        <f>IF($C414="","",$A414&amp;"|"&amp;RIGHT("000000"&amp;$C414,6))</f>
        <v/>
      </c>
      <c r="F414">
        <f>IF(Sync!$AH414="","",IF(LEFT(UPPER(TRIM(Sync!$AH414)),2)="SL",UPPER(TRIM(Sync!$AH414)),""))</f>
        <v/>
      </c>
      <c r="G414">
        <f>IF($F414="","",IF(Sync!$AE414="","",IF(ISNUMBER(Sync!$AE414),IF(AND(Sync!$AE414&gt;=10000101,Sync!$AE414&lt;=99991231),INT(Sync!$AE414/10000),""),IFERROR(VALUE(TRIM(LEFT(Sync!$AE414,FIND("/",Sync!$AE414)-1))),""))))</f>
        <v/>
      </c>
      <c r="H414">
        <f>IF(OR($F414="",$G414=""),"",IF(ISNUMBER(Sync!$AE414),INT(MOD(Sync!$AE414,10000)/100),IFERROR(VALUE(TRIM(LEFT(MID(Sync!$AE414,FIND("/",Sync!$AE414)+1,20),FIND("/",MID(Sync!$AE414,FIND("/",Sync!$AE414)+1,20))-1))),"")))</f>
        <v/>
      </c>
      <c r="I414">
        <f>IF(OR($F414="",$G414=""),"",IF(ISNUMBER(Sync!$AE414),MOD(Sync!$AE414,100),IFERROR(VALUE(TRIM(MID(MID(Sync!$AE414,FIND("/",Sync!$AE414)+1,20),FIND("/",MID(Sync!$AE414,FIND("/",Sync!$AE414)+1,20))+1,20))),"")))</f>
        <v/>
      </c>
      <c r="J414">
        <f>IF($F414="","",IF(OR($G414="",$H414="",$I414="",$G414&lt;1300,$G414&gt;1500,$H414&lt;1,$H414&gt;12,$I414&lt;1,$I414&gt;31),"نامعتبر",RIGHT("0000"&amp;$G414,4)&amp;"/"&amp;RIGHT("00"&amp;$H414,2)&amp;"/"&amp;RIGHT("00"&amp;$I414,2)))</f>
        <v/>
      </c>
      <c r="K414">
        <f>IF(OR($F414="",$J414="",$J414="نامعتبر"),"",LEFT($J414,4)&amp;MID($J414,6,2)&amp;RIGHT($J414,2)&amp;$N414&amp;"|"&amp;"2"&amp;RIGHT("00000"&amp;409,5))</f>
        <v/>
      </c>
      <c r="L414">
        <f>IF($K414="","",COUNTIFS(LdgSellerA,$F414,LdgKeyA,"&lt;"&amp;$K414)+COUNTIFS(LdgSellerB,$F414,LdgKeyB,"&lt;"&amp;$K414)+1)</f>
        <v/>
      </c>
      <c r="M414">
        <f>IF($L414="","",$F414&amp;"|"&amp;RIGHT("000000"&amp;$L414,6))</f>
        <v/>
      </c>
      <c r="N414">
        <f>IF($F414="","",IF(Sync!$AF414="","0000",IF(AND(ISNUMBER(Sync!$AF414),Sync!$AF414&gt;=0,Sync!$AF414&lt;1),RIGHT("00"&amp;HOUR(Sync!$AF414),2)&amp;RIGHT("00"&amp;MINUTE(Sync!$AF414),2),IFERROR(RIGHT("00"&amp;VALUE(LEFT(Sync!$AF414,FIND(":",Sync!$AF414)-1)),2)&amp;RIGHT("00"&amp;VALUE(MID(Sync!$AF414,FIND(":",Sync!$AF414)+1,2)),2),"0000"))))</f>
        <v/>
      </c>
    </row>
    <row r="415">
      <c r="A415">
        <f>IF(OR(Calc!$E419="",Calc!$E419="نامعتبر",Calc!$G419=""),"",Calc!$G419)</f>
        <v/>
      </c>
      <c r="B415">
        <f>IF($A415="","",LEFT(Calc!$E419,4)&amp;MID(Calc!$E419,6,2)&amp;RIGHT(Calc!$E419,2)&amp;Calc!$Q419&amp;"|"&amp;"1"&amp;RIGHT("00000"&amp;410,5))</f>
        <v/>
      </c>
      <c r="C415">
        <f>IF($B415="","",COUNTIFS(LdgSellerA,$A415,LdgKeyA,"&lt;"&amp;$B415)+COUNTIFS(LdgSellerB,$A415,LdgKeyB,"&lt;"&amp;$B415)+1)</f>
        <v/>
      </c>
      <c r="D415">
        <f>IF($C415="","",$A415&amp;"|"&amp;RIGHT("000000"&amp;$C415,6))</f>
        <v/>
      </c>
      <c r="F415">
        <f>IF(Sync!$AH415="","",IF(LEFT(UPPER(TRIM(Sync!$AH415)),2)="SL",UPPER(TRIM(Sync!$AH415)),""))</f>
        <v/>
      </c>
      <c r="G415">
        <f>IF($F415="","",IF(Sync!$AE415="","",IF(ISNUMBER(Sync!$AE415),IF(AND(Sync!$AE415&gt;=10000101,Sync!$AE415&lt;=99991231),INT(Sync!$AE415/10000),""),IFERROR(VALUE(TRIM(LEFT(Sync!$AE415,FIND("/",Sync!$AE415)-1))),""))))</f>
        <v/>
      </c>
      <c r="H415">
        <f>IF(OR($F415="",$G415=""),"",IF(ISNUMBER(Sync!$AE415),INT(MOD(Sync!$AE415,10000)/100),IFERROR(VALUE(TRIM(LEFT(MID(Sync!$AE415,FIND("/",Sync!$AE415)+1,20),FIND("/",MID(Sync!$AE415,FIND("/",Sync!$AE415)+1,20))-1))),"")))</f>
        <v/>
      </c>
      <c r="I415">
        <f>IF(OR($F415="",$G415=""),"",IF(ISNUMBER(Sync!$AE415),MOD(Sync!$AE415,100),IFERROR(VALUE(TRIM(MID(MID(Sync!$AE415,FIND("/",Sync!$AE415)+1,20),FIND("/",MID(Sync!$AE415,FIND("/",Sync!$AE415)+1,20))+1,20))),"")))</f>
        <v/>
      </c>
      <c r="J415">
        <f>IF($F415="","",IF(OR($G415="",$H415="",$I415="",$G415&lt;1300,$G415&gt;1500,$H415&lt;1,$H415&gt;12,$I415&lt;1,$I415&gt;31),"نامعتبر",RIGHT("0000"&amp;$G415,4)&amp;"/"&amp;RIGHT("00"&amp;$H415,2)&amp;"/"&amp;RIGHT("00"&amp;$I415,2)))</f>
        <v/>
      </c>
      <c r="K415">
        <f>IF(OR($F415="",$J415="",$J415="نامعتبر"),"",LEFT($J415,4)&amp;MID($J415,6,2)&amp;RIGHT($J415,2)&amp;$N415&amp;"|"&amp;"2"&amp;RIGHT("00000"&amp;410,5))</f>
        <v/>
      </c>
      <c r="L415">
        <f>IF($K415="","",COUNTIFS(LdgSellerA,$F415,LdgKeyA,"&lt;"&amp;$K415)+COUNTIFS(LdgSellerB,$F415,LdgKeyB,"&lt;"&amp;$K415)+1)</f>
        <v/>
      </c>
      <c r="M415">
        <f>IF($L415="","",$F415&amp;"|"&amp;RIGHT("000000"&amp;$L415,6))</f>
        <v/>
      </c>
      <c r="N415">
        <f>IF($F415="","",IF(Sync!$AF415="","0000",IF(AND(ISNUMBER(Sync!$AF415),Sync!$AF415&gt;=0,Sync!$AF415&lt;1),RIGHT("00"&amp;HOUR(Sync!$AF415),2)&amp;RIGHT("00"&amp;MINUTE(Sync!$AF415),2),IFERROR(RIGHT("00"&amp;VALUE(LEFT(Sync!$AF415,FIND(":",Sync!$AF415)-1)),2)&amp;RIGHT("00"&amp;VALUE(MID(Sync!$AF415,FIND(":",Sync!$AF415)+1,2)),2),"0000"))))</f>
        <v/>
      </c>
    </row>
    <row r="416">
      <c r="A416">
        <f>IF(OR(Calc!$E420="",Calc!$E420="نامعتبر",Calc!$G420=""),"",Calc!$G420)</f>
        <v/>
      </c>
      <c r="B416">
        <f>IF($A416="","",LEFT(Calc!$E420,4)&amp;MID(Calc!$E420,6,2)&amp;RIGHT(Calc!$E420,2)&amp;Calc!$Q420&amp;"|"&amp;"1"&amp;RIGHT("00000"&amp;411,5))</f>
        <v/>
      </c>
      <c r="C416">
        <f>IF($B416="","",COUNTIFS(LdgSellerA,$A416,LdgKeyA,"&lt;"&amp;$B416)+COUNTIFS(LdgSellerB,$A416,LdgKeyB,"&lt;"&amp;$B416)+1)</f>
        <v/>
      </c>
      <c r="D416">
        <f>IF($C416="","",$A416&amp;"|"&amp;RIGHT("000000"&amp;$C416,6))</f>
        <v/>
      </c>
      <c r="F416">
        <f>IF(Sync!$AH416="","",IF(LEFT(UPPER(TRIM(Sync!$AH416)),2)="SL",UPPER(TRIM(Sync!$AH416)),""))</f>
        <v/>
      </c>
      <c r="G416">
        <f>IF($F416="","",IF(Sync!$AE416="","",IF(ISNUMBER(Sync!$AE416),IF(AND(Sync!$AE416&gt;=10000101,Sync!$AE416&lt;=99991231),INT(Sync!$AE416/10000),""),IFERROR(VALUE(TRIM(LEFT(Sync!$AE416,FIND("/",Sync!$AE416)-1))),""))))</f>
        <v/>
      </c>
      <c r="H416">
        <f>IF(OR($F416="",$G416=""),"",IF(ISNUMBER(Sync!$AE416),INT(MOD(Sync!$AE416,10000)/100),IFERROR(VALUE(TRIM(LEFT(MID(Sync!$AE416,FIND("/",Sync!$AE416)+1,20),FIND("/",MID(Sync!$AE416,FIND("/",Sync!$AE416)+1,20))-1))),"")))</f>
        <v/>
      </c>
      <c r="I416">
        <f>IF(OR($F416="",$G416=""),"",IF(ISNUMBER(Sync!$AE416),MOD(Sync!$AE416,100),IFERROR(VALUE(TRIM(MID(MID(Sync!$AE416,FIND("/",Sync!$AE416)+1,20),FIND("/",MID(Sync!$AE416,FIND("/",Sync!$AE416)+1,20))+1,20))),"")))</f>
        <v/>
      </c>
      <c r="J416">
        <f>IF($F416="","",IF(OR($G416="",$H416="",$I416="",$G416&lt;1300,$G416&gt;1500,$H416&lt;1,$H416&gt;12,$I416&lt;1,$I416&gt;31),"نامعتبر",RIGHT("0000"&amp;$G416,4)&amp;"/"&amp;RIGHT("00"&amp;$H416,2)&amp;"/"&amp;RIGHT("00"&amp;$I416,2)))</f>
        <v/>
      </c>
      <c r="K416">
        <f>IF(OR($F416="",$J416="",$J416="نامعتبر"),"",LEFT($J416,4)&amp;MID($J416,6,2)&amp;RIGHT($J416,2)&amp;$N416&amp;"|"&amp;"2"&amp;RIGHT("00000"&amp;411,5))</f>
        <v/>
      </c>
      <c r="L416">
        <f>IF($K416="","",COUNTIFS(LdgSellerA,$F416,LdgKeyA,"&lt;"&amp;$K416)+COUNTIFS(LdgSellerB,$F416,LdgKeyB,"&lt;"&amp;$K416)+1)</f>
        <v/>
      </c>
      <c r="M416">
        <f>IF($L416="","",$F416&amp;"|"&amp;RIGHT("000000"&amp;$L416,6))</f>
        <v/>
      </c>
      <c r="N416">
        <f>IF($F416="","",IF(Sync!$AF416="","0000",IF(AND(ISNUMBER(Sync!$AF416),Sync!$AF416&gt;=0,Sync!$AF416&lt;1),RIGHT("00"&amp;HOUR(Sync!$AF416),2)&amp;RIGHT("00"&amp;MINUTE(Sync!$AF416),2),IFERROR(RIGHT("00"&amp;VALUE(LEFT(Sync!$AF416,FIND(":",Sync!$AF416)-1)),2)&amp;RIGHT("00"&amp;VALUE(MID(Sync!$AF416,FIND(":",Sync!$AF416)+1,2)),2),"0000"))))</f>
        <v/>
      </c>
    </row>
    <row r="417">
      <c r="A417">
        <f>IF(OR(Calc!$E421="",Calc!$E421="نامعتبر",Calc!$G421=""),"",Calc!$G421)</f>
        <v/>
      </c>
      <c r="B417">
        <f>IF($A417="","",LEFT(Calc!$E421,4)&amp;MID(Calc!$E421,6,2)&amp;RIGHT(Calc!$E421,2)&amp;Calc!$Q421&amp;"|"&amp;"1"&amp;RIGHT("00000"&amp;412,5))</f>
        <v/>
      </c>
      <c r="C417">
        <f>IF($B417="","",COUNTIFS(LdgSellerA,$A417,LdgKeyA,"&lt;"&amp;$B417)+COUNTIFS(LdgSellerB,$A417,LdgKeyB,"&lt;"&amp;$B417)+1)</f>
        <v/>
      </c>
      <c r="D417">
        <f>IF($C417="","",$A417&amp;"|"&amp;RIGHT("000000"&amp;$C417,6))</f>
        <v/>
      </c>
      <c r="F417">
        <f>IF(Sync!$AH417="","",IF(LEFT(UPPER(TRIM(Sync!$AH417)),2)="SL",UPPER(TRIM(Sync!$AH417)),""))</f>
        <v/>
      </c>
      <c r="G417">
        <f>IF($F417="","",IF(Sync!$AE417="","",IF(ISNUMBER(Sync!$AE417),IF(AND(Sync!$AE417&gt;=10000101,Sync!$AE417&lt;=99991231),INT(Sync!$AE417/10000),""),IFERROR(VALUE(TRIM(LEFT(Sync!$AE417,FIND("/",Sync!$AE417)-1))),""))))</f>
        <v/>
      </c>
      <c r="H417">
        <f>IF(OR($F417="",$G417=""),"",IF(ISNUMBER(Sync!$AE417),INT(MOD(Sync!$AE417,10000)/100),IFERROR(VALUE(TRIM(LEFT(MID(Sync!$AE417,FIND("/",Sync!$AE417)+1,20),FIND("/",MID(Sync!$AE417,FIND("/",Sync!$AE417)+1,20))-1))),"")))</f>
        <v/>
      </c>
      <c r="I417">
        <f>IF(OR($F417="",$G417=""),"",IF(ISNUMBER(Sync!$AE417),MOD(Sync!$AE417,100),IFERROR(VALUE(TRIM(MID(MID(Sync!$AE417,FIND("/",Sync!$AE417)+1,20),FIND("/",MID(Sync!$AE417,FIND("/",Sync!$AE417)+1,20))+1,20))),"")))</f>
        <v/>
      </c>
      <c r="J417">
        <f>IF($F417="","",IF(OR($G417="",$H417="",$I417="",$G417&lt;1300,$G417&gt;1500,$H417&lt;1,$H417&gt;12,$I417&lt;1,$I417&gt;31),"نامعتبر",RIGHT("0000"&amp;$G417,4)&amp;"/"&amp;RIGHT("00"&amp;$H417,2)&amp;"/"&amp;RIGHT("00"&amp;$I417,2)))</f>
        <v/>
      </c>
      <c r="K417">
        <f>IF(OR($F417="",$J417="",$J417="نامعتبر"),"",LEFT($J417,4)&amp;MID($J417,6,2)&amp;RIGHT($J417,2)&amp;$N417&amp;"|"&amp;"2"&amp;RIGHT("00000"&amp;412,5))</f>
        <v/>
      </c>
      <c r="L417">
        <f>IF($K417="","",COUNTIFS(LdgSellerA,$F417,LdgKeyA,"&lt;"&amp;$K417)+COUNTIFS(LdgSellerB,$F417,LdgKeyB,"&lt;"&amp;$K417)+1)</f>
        <v/>
      </c>
      <c r="M417">
        <f>IF($L417="","",$F417&amp;"|"&amp;RIGHT("000000"&amp;$L417,6))</f>
        <v/>
      </c>
      <c r="N417">
        <f>IF($F417="","",IF(Sync!$AF417="","0000",IF(AND(ISNUMBER(Sync!$AF417),Sync!$AF417&gt;=0,Sync!$AF417&lt;1),RIGHT("00"&amp;HOUR(Sync!$AF417),2)&amp;RIGHT("00"&amp;MINUTE(Sync!$AF417),2),IFERROR(RIGHT("00"&amp;VALUE(LEFT(Sync!$AF417,FIND(":",Sync!$AF417)-1)),2)&amp;RIGHT("00"&amp;VALUE(MID(Sync!$AF417,FIND(":",Sync!$AF417)+1,2)),2),"0000"))))</f>
        <v/>
      </c>
    </row>
    <row r="418">
      <c r="A418">
        <f>IF(OR(Calc!$E422="",Calc!$E422="نامعتبر",Calc!$G422=""),"",Calc!$G422)</f>
        <v/>
      </c>
      <c r="B418">
        <f>IF($A418="","",LEFT(Calc!$E422,4)&amp;MID(Calc!$E422,6,2)&amp;RIGHT(Calc!$E422,2)&amp;Calc!$Q422&amp;"|"&amp;"1"&amp;RIGHT("00000"&amp;413,5))</f>
        <v/>
      </c>
      <c r="C418">
        <f>IF($B418="","",COUNTIFS(LdgSellerA,$A418,LdgKeyA,"&lt;"&amp;$B418)+COUNTIFS(LdgSellerB,$A418,LdgKeyB,"&lt;"&amp;$B418)+1)</f>
        <v/>
      </c>
      <c r="D418">
        <f>IF($C418="","",$A418&amp;"|"&amp;RIGHT("000000"&amp;$C418,6))</f>
        <v/>
      </c>
      <c r="F418">
        <f>IF(Sync!$AH418="","",IF(LEFT(UPPER(TRIM(Sync!$AH418)),2)="SL",UPPER(TRIM(Sync!$AH418)),""))</f>
        <v/>
      </c>
      <c r="G418">
        <f>IF($F418="","",IF(Sync!$AE418="","",IF(ISNUMBER(Sync!$AE418),IF(AND(Sync!$AE418&gt;=10000101,Sync!$AE418&lt;=99991231),INT(Sync!$AE418/10000),""),IFERROR(VALUE(TRIM(LEFT(Sync!$AE418,FIND("/",Sync!$AE418)-1))),""))))</f>
        <v/>
      </c>
      <c r="H418">
        <f>IF(OR($F418="",$G418=""),"",IF(ISNUMBER(Sync!$AE418),INT(MOD(Sync!$AE418,10000)/100),IFERROR(VALUE(TRIM(LEFT(MID(Sync!$AE418,FIND("/",Sync!$AE418)+1,20),FIND("/",MID(Sync!$AE418,FIND("/",Sync!$AE418)+1,20))-1))),"")))</f>
        <v/>
      </c>
      <c r="I418">
        <f>IF(OR($F418="",$G418=""),"",IF(ISNUMBER(Sync!$AE418),MOD(Sync!$AE418,100),IFERROR(VALUE(TRIM(MID(MID(Sync!$AE418,FIND("/",Sync!$AE418)+1,20),FIND("/",MID(Sync!$AE418,FIND("/",Sync!$AE418)+1,20))+1,20))),"")))</f>
        <v/>
      </c>
      <c r="J418">
        <f>IF($F418="","",IF(OR($G418="",$H418="",$I418="",$G418&lt;1300,$G418&gt;1500,$H418&lt;1,$H418&gt;12,$I418&lt;1,$I418&gt;31),"نامعتبر",RIGHT("0000"&amp;$G418,4)&amp;"/"&amp;RIGHT("00"&amp;$H418,2)&amp;"/"&amp;RIGHT("00"&amp;$I418,2)))</f>
        <v/>
      </c>
      <c r="K418">
        <f>IF(OR($F418="",$J418="",$J418="نامعتبر"),"",LEFT($J418,4)&amp;MID($J418,6,2)&amp;RIGHT($J418,2)&amp;$N418&amp;"|"&amp;"2"&amp;RIGHT("00000"&amp;413,5))</f>
        <v/>
      </c>
      <c r="L418">
        <f>IF($K418="","",COUNTIFS(LdgSellerA,$F418,LdgKeyA,"&lt;"&amp;$K418)+COUNTIFS(LdgSellerB,$F418,LdgKeyB,"&lt;"&amp;$K418)+1)</f>
        <v/>
      </c>
      <c r="M418">
        <f>IF($L418="","",$F418&amp;"|"&amp;RIGHT("000000"&amp;$L418,6))</f>
        <v/>
      </c>
      <c r="N418">
        <f>IF($F418="","",IF(Sync!$AF418="","0000",IF(AND(ISNUMBER(Sync!$AF418),Sync!$AF418&gt;=0,Sync!$AF418&lt;1),RIGHT("00"&amp;HOUR(Sync!$AF418),2)&amp;RIGHT("00"&amp;MINUTE(Sync!$AF418),2),IFERROR(RIGHT("00"&amp;VALUE(LEFT(Sync!$AF418,FIND(":",Sync!$AF418)-1)),2)&amp;RIGHT("00"&amp;VALUE(MID(Sync!$AF418,FIND(":",Sync!$AF418)+1,2)),2),"0000"))))</f>
        <v/>
      </c>
    </row>
    <row r="419">
      <c r="A419">
        <f>IF(OR(Calc!$E423="",Calc!$E423="نامعتبر",Calc!$G423=""),"",Calc!$G423)</f>
        <v/>
      </c>
      <c r="B419">
        <f>IF($A419="","",LEFT(Calc!$E423,4)&amp;MID(Calc!$E423,6,2)&amp;RIGHT(Calc!$E423,2)&amp;Calc!$Q423&amp;"|"&amp;"1"&amp;RIGHT("00000"&amp;414,5))</f>
        <v/>
      </c>
      <c r="C419">
        <f>IF($B419="","",COUNTIFS(LdgSellerA,$A419,LdgKeyA,"&lt;"&amp;$B419)+COUNTIFS(LdgSellerB,$A419,LdgKeyB,"&lt;"&amp;$B419)+1)</f>
        <v/>
      </c>
      <c r="D419">
        <f>IF($C419="","",$A419&amp;"|"&amp;RIGHT("000000"&amp;$C419,6))</f>
        <v/>
      </c>
      <c r="F419">
        <f>IF(Sync!$AH419="","",IF(LEFT(UPPER(TRIM(Sync!$AH419)),2)="SL",UPPER(TRIM(Sync!$AH419)),""))</f>
        <v/>
      </c>
      <c r="G419">
        <f>IF($F419="","",IF(Sync!$AE419="","",IF(ISNUMBER(Sync!$AE419),IF(AND(Sync!$AE419&gt;=10000101,Sync!$AE419&lt;=99991231),INT(Sync!$AE419/10000),""),IFERROR(VALUE(TRIM(LEFT(Sync!$AE419,FIND("/",Sync!$AE419)-1))),""))))</f>
        <v/>
      </c>
      <c r="H419">
        <f>IF(OR($F419="",$G419=""),"",IF(ISNUMBER(Sync!$AE419),INT(MOD(Sync!$AE419,10000)/100),IFERROR(VALUE(TRIM(LEFT(MID(Sync!$AE419,FIND("/",Sync!$AE419)+1,20),FIND("/",MID(Sync!$AE419,FIND("/",Sync!$AE419)+1,20))-1))),"")))</f>
        <v/>
      </c>
      <c r="I419">
        <f>IF(OR($F419="",$G419=""),"",IF(ISNUMBER(Sync!$AE419),MOD(Sync!$AE419,100),IFERROR(VALUE(TRIM(MID(MID(Sync!$AE419,FIND("/",Sync!$AE419)+1,20),FIND("/",MID(Sync!$AE419,FIND("/",Sync!$AE419)+1,20))+1,20))),"")))</f>
        <v/>
      </c>
      <c r="J419">
        <f>IF($F419="","",IF(OR($G419="",$H419="",$I419="",$G419&lt;1300,$G419&gt;1500,$H419&lt;1,$H419&gt;12,$I419&lt;1,$I419&gt;31),"نامعتبر",RIGHT("0000"&amp;$G419,4)&amp;"/"&amp;RIGHT("00"&amp;$H419,2)&amp;"/"&amp;RIGHT("00"&amp;$I419,2)))</f>
        <v/>
      </c>
      <c r="K419">
        <f>IF(OR($F419="",$J419="",$J419="نامعتبر"),"",LEFT($J419,4)&amp;MID($J419,6,2)&amp;RIGHT($J419,2)&amp;$N419&amp;"|"&amp;"2"&amp;RIGHT("00000"&amp;414,5))</f>
        <v/>
      </c>
      <c r="L419">
        <f>IF($K419="","",COUNTIFS(LdgSellerA,$F419,LdgKeyA,"&lt;"&amp;$K419)+COUNTIFS(LdgSellerB,$F419,LdgKeyB,"&lt;"&amp;$K419)+1)</f>
        <v/>
      </c>
      <c r="M419">
        <f>IF($L419="","",$F419&amp;"|"&amp;RIGHT("000000"&amp;$L419,6))</f>
        <v/>
      </c>
      <c r="N419">
        <f>IF($F419="","",IF(Sync!$AF419="","0000",IF(AND(ISNUMBER(Sync!$AF419),Sync!$AF419&gt;=0,Sync!$AF419&lt;1),RIGHT("00"&amp;HOUR(Sync!$AF419),2)&amp;RIGHT("00"&amp;MINUTE(Sync!$AF419),2),IFERROR(RIGHT("00"&amp;VALUE(LEFT(Sync!$AF419,FIND(":",Sync!$AF419)-1)),2)&amp;RIGHT("00"&amp;VALUE(MID(Sync!$AF419,FIND(":",Sync!$AF419)+1,2)),2),"0000"))))</f>
        <v/>
      </c>
    </row>
    <row r="420">
      <c r="A420">
        <f>IF(OR(Calc!$E424="",Calc!$E424="نامعتبر",Calc!$G424=""),"",Calc!$G424)</f>
        <v/>
      </c>
      <c r="B420">
        <f>IF($A420="","",LEFT(Calc!$E424,4)&amp;MID(Calc!$E424,6,2)&amp;RIGHT(Calc!$E424,2)&amp;Calc!$Q424&amp;"|"&amp;"1"&amp;RIGHT("00000"&amp;415,5))</f>
        <v/>
      </c>
      <c r="C420">
        <f>IF($B420="","",COUNTIFS(LdgSellerA,$A420,LdgKeyA,"&lt;"&amp;$B420)+COUNTIFS(LdgSellerB,$A420,LdgKeyB,"&lt;"&amp;$B420)+1)</f>
        <v/>
      </c>
      <c r="D420">
        <f>IF($C420="","",$A420&amp;"|"&amp;RIGHT("000000"&amp;$C420,6))</f>
        <v/>
      </c>
      <c r="F420">
        <f>IF(Sync!$AH420="","",IF(LEFT(UPPER(TRIM(Sync!$AH420)),2)="SL",UPPER(TRIM(Sync!$AH420)),""))</f>
        <v/>
      </c>
      <c r="G420">
        <f>IF($F420="","",IF(Sync!$AE420="","",IF(ISNUMBER(Sync!$AE420),IF(AND(Sync!$AE420&gt;=10000101,Sync!$AE420&lt;=99991231),INT(Sync!$AE420/10000),""),IFERROR(VALUE(TRIM(LEFT(Sync!$AE420,FIND("/",Sync!$AE420)-1))),""))))</f>
        <v/>
      </c>
      <c r="H420">
        <f>IF(OR($F420="",$G420=""),"",IF(ISNUMBER(Sync!$AE420),INT(MOD(Sync!$AE420,10000)/100),IFERROR(VALUE(TRIM(LEFT(MID(Sync!$AE420,FIND("/",Sync!$AE420)+1,20),FIND("/",MID(Sync!$AE420,FIND("/",Sync!$AE420)+1,20))-1))),"")))</f>
        <v/>
      </c>
      <c r="I420">
        <f>IF(OR($F420="",$G420=""),"",IF(ISNUMBER(Sync!$AE420),MOD(Sync!$AE420,100),IFERROR(VALUE(TRIM(MID(MID(Sync!$AE420,FIND("/",Sync!$AE420)+1,20),FIND("/",MID(Sync!$AE420,FIND("/",Sync!$AE420)+1,20))+1,20))),"")))</f>
        <v/>
      </c>
      <c r="J420">
        <f>IF($F420="","",IF(OR($G420="",$H420="",$I420="",$G420&lt;1300,$G420&gt;1500,$H420&lt;1,$H420&gt;12,$I420&lt;1,$I420&gt;31),"نامعتبر",RIGHT("0000"&amp;$G420,4)&amp;"/"&amp;RIGHT("00"&amp;$H420,2)&amp;"/"&amp;RIGHT("00"&amp;$I420,2)))</f>
        <v/>
      </c>
      <c r="K420">
        <f>IF(OR($F420="",$J420="",$J420="نامعتبر"),"",LEFT($J420,4)&amp;MID($J420,6,2)&amp;RIGHT($J420,2)&amp;$N420&amp;"|"&amp;"2"&amp;RIGHT("00000"&amp;415,5))</f>
        <v/>
      </c>
      <c r="L420">
        <f>IF($K420="","",COUNTIFS(LdgSellerA,$F420,LdgKeyA,"&lt;"&amp;$K420)+COUNTIFS(LdgSellerB,$F420,LdgKeyB,"&lt;"&amp;$K420)+1)</f>
        <v/>
      </c>
      <c r="M420">
        <f>IF($L420="","",$F420&amp;"|"&amp;RIGHT("000000"&amp;$L420,6))</f>
        <v/>
      </c>
      <c r="N420">
        <f>IF($F420="","",IF(Sync!$AF420="","0000",IF(AND(ISNUMBER(Sync!$AF420),Sync!$AF420&gt;=0,Sync!$AF420&lt;1),RIGHT("00"&amp;HOUR(Sync!$AF420),2)&amp;RIGHT("00"&amp;MINUTE(Sync!$AF420),2),IFERROR(RIGHT("00"&amp;VALUE(LEFT(Sync!$AF420,FIND(":",Sync!$AF420)-1)),2)&amp;RIGHT("00"&amp;VALUE(MID(Sync!$AF420,FIND(":",Sync!$AF420)+1,2)),2),"0000"))))</f>
        <v/>
      </c>
    </row>
    <row r="421">
      <c r="A421">
        <f>IF(OR(Calc!$E425="",Calc!$E425="نامعتبر",Calc!$G425=""),"",Calc!$G425)</f>
        <v/>
      </c>
      <c r="B421">
        <f>IF($A421="","",LEFT(Calc!$E425,4)&amp;MID(Calc!$E425,6,2)&amp;RIGHT(Calc!$E425,2)&amp;Calc!$Q425&amp;"|"&amp;"1"&amp;RIGHT("00000"&amp;416,5))</f>
        <v/>
      </c>
      <c r="C421">
        <f>IF($B421="","",COUNTIFS(LdgSellerA,$A421,LdgKeyA,"&lt;"&amp;$B421)+COUNTIFS(LdgSellerB,$A421,LdgKeyB,"&lt;"&amp;$B421)+1)</f>
        <v/>
      </c>
      <c r="D421">
        <f>IF($C421="","",$A421&amp;"|"&amp;RIGHT("000000"&amp;$C421,6))</f>
        <v/>
      </c>
      <c r="F421">
        <f>IF(Sync!$AH421="","",IF(LEFT(UPPER(TRIM(Sync!$AH421)),2)="SL",UPPER(TRIM(Sync!$AH421)),""))</f>
        <v/>
      </c>
      <c r="G421">
        <f>IF($F421="","",IF(Sync!$AE421="","",IF(ISNUMBER(Sync!$AE421),IF(AND(Sync!$AE421&gt;=10000101,Sync!$AE421&lt;=99991231),INT(Sync!$AE421/10000),""),IFERROR(VALUE(TRIM(LEFT(Sync!$AE421,FIND("/",Sync!$AE421)-1))),""))))</f>
        <v/>
      </c>
      <c r="H421">
        <f>IF(OR($F421="",$G421=""),"",IF(ISNUMBER(Sync!$AE421),INT(MOD(Sync!$AE421,10000)/100),IFERROR(VALUE(TRIM(LEFT(MID(Sync!$AE421,FIND("/",Sync!$AE421)+1,20),FIND("/",MID(Sync!$AE421,FIND("/",Sync!$AE421)+1,20))-1))),"")))</f>
        <v/>
      </c>
      <c r="I421">
        <f>IF(OR($F421="",$G421=""),"",IF(ISNUMBER(Sync!$AE421),MOD(Sync!$AE421,100),IFERROR(VALUE(TRIM(MID(MID(Sync!$AE421,FIND("/",Sync!$AE421)+1,20),FIND("/",MID(Sync!$AE421,FIND("/",Sync!$AE421)+1,20))+1,20))),"")))</f>
        <v/>
      </c>
      <c r="J421">
        <f>IF($F421="","",IF(OR($G421="",$H421="",$I421="",$G421&lt;1300,$G421&gt;1500,$H421&lt;1,$H421&gt;12,$I421&lt;1,$I421&gt;31),"نامعتبر",RIGHT("0000"&amp;$G421,4)&amp;"/"&amp;RIGHT("00"&amp;$H421,2)&amp;"/"&amp;RIGHT("00"&amp;$I421,2)))</f>
        <v/>
      </c>
      <c r="K421">
        <f>IF(OR($F421="",$J421="",$J421="نامعتبر"),"",LEFT($J421,4)&amp;MID($J421,6,2)&amp;RIGHT($J421,2)&amp;$N421&amp;"|"&amp;"2"&amp;RIGHT("00000"&amp;416,5))</f>
        <v/>
      </c>
      <c r="L421">
        <f>IF($K421="","",COUNTIFS(LdgSellerA,$F421,LdgKeyA,"&lt;"&amp;$K421)+COUNTIFS(LdgSellerB,$F421,LdgKeyB,"&lt;"&amp;$K421)+1)</f>
        <v/>
      </c>
      <c r="M421">
        <f>IF($L421="","",$F421&amp;"|"&amp;RIGHT("000000"&amp;$L421,6))</f>
        <v/>
      </c>
      <c r="N421">
        <f>IF($F421="","",IF(Sync!$AF421="","0000",IF(AND(ISNUMBER(Sync!$AF421),Sync!$AF421&gt;=0,Sync!$AF421&lt;1),RIGHT("00"&amp;HOUR(Sync!$AF421),2)&amp;RIGHT("00"&amp;MINUTE(Sync!$AF421),2),IFERROR(RIGHT("00"&amp;VALUE(LEFT(Sync!$AF421,FIND(":",Sync!$AF421)-1)),2)&amp;RIGHT("00"&amp;VALUE(MID(Sync!$AF421,FIND(":",Sync!$AF421)+1,2)),2),"0000"))))</f>
        <v/>
      </c>
    </row>
    <row r="422">
      <c r="A422">
        <f>IF(OR(Calc!$E426="",Calc!$E426="نامعتبر",Calc!$G426=""),"",Calc!$G426)</f>
        <v/>
      </c>
      <c r="B422">
        <f>IF($A422="","",LEFT(Calc!$E426,4)&amp;MID(Calc!$E426,6,2)&amp;RIGHT(Calc!$E426,2)&amp;Calc!$Q426&amp;"|"&amp;"1"&amp;RIGHT("00000"&amp;417,5))</f>
        <v/>
      </c>
      <c r="C422">
        <f>IF($B422="","",COUNTIFS(LdgSellerA,$A422,LdgKeyA,"&lt;"&amp;$B422)+COUNTIFS(LdgSellerB,$A422,LdgKeyB,"&lt;"&amp;$B422)+1)</f>
        <v/>
      </c>
      <c r="D422">
        <f>IF($C422="","",$A422&amp;"|"&amp;RIGHT("000000"&amp;$C422,6))</f>
        <v/>
      </c>
      <c r="F422">
        <f>IF(Sync!$AH422="","",IF(LEFT(UPPER(TRIM(Sync!$AH422)),2)="SL",UPPER(TRIM(Sync!$AH422)),""))</f>
        <v/>
      </c>
      <c r="G422">
        <f>IF($F422="","",IF(Sync!$AE422="","",IF(ISNUMBER(Sync!$AE422),IF(AND(Sync!$AE422&gt;=10000101,Sync!$AE422&lt;=99991231),INT(Sync!$AE422/10000),""),IFERROR(VALUE(TRIM(LEFT(Sync!$AE422,FIND("/",Sync!$AE422)-1))),""))))</f>
        <v/>
      </c>
      <c r="H422">
        <f>IF(OR($F422="",$G422=""),"",IF(ISNUMBER(Sync!$AE422),INT(MOD(Sync!$AE422,10000)/100),IFERROR(VALUE(TRIM(LEFT(MID(Sync!$AE422,FIND("/",Sync!$AE422)+1,20),FIND("/",MID(Sync!$AE422,FIND("/",Sync!$AE422)+1,20))-1))),"")))</f>
        <v/>
      </c>
      <c r="I422">
        <f>IF(OR($F422="",$G422=""),"",IF(ISNUMBER(Sync!$AE422),MOD(Sync!$AE422,100),IFERROR(VALUE(TRIM(MID(MID(Sync!$AE422,FIND("/",Sync!$AE422)+1,20),FIND("/",MID(Sync!$AE422,FIND("/",Sync!$AE422)+1,20))+1,20))),"")))</f>
        <v/>
      </c>
      <c r="J422">
        <f>IF($F422="","",IF(OR($G422="",$H422="",$I422="",$G422&lt;1300,$G422&gt;1500,$H422&lt;1,$H422&gt;12,$I422&lt;1,$I422&gt;31),"نامعتبر",RIGHT("0000"&amp;$G422,4)&amp;"/"&amp;RIGHT("00"&amp;$H422,2)&amp;"/"&amp;RIGHT("00"&amp;$I422,2)))</f>
        <v/>
      </c>
      <c r="K422">
        <f>IF(OR($F422="",$J422="",$J422="نامعتبر"),"",LEFT($J422,4)&amp;MID($J422,6,2)&amp;RIGHT($J422,2)&amp;$N422&amp;"|"&amp;"2"&amp;RIGHT("00000"&amp;417,5))</f>
        <v/>
      </c>
      <c r="L422">
        <f>IF($K422="","",COUNTIFS(LdgSellerA,$F422,LdgKeyA,"&lt;"&amp;$K422)+COUNTIFS(LdgSellerB,$F422,LdgKeyB,"&lt;"&amp;$K422)+1)</f>
        <v/>
      </c>
      <c r="M422">
        <f>IF($L422="","",$F422&amp;"|"&amp;RIGHT("000000"&amp;$L422,6))</f>
        <v/>
      </c>
      <c r="N422">
        <f>IF($F422="","",IF(Sync!$AF422="","0000",IF(AND(ISNUMBER(Sync!$AF422),Sync!$AF422&gt;=0,Sync!$AF422&lt;1),RIGHT("00"&amp;HOUR(Sync!$AF422),2)&amp;RIGHT("00"&amp;MINUTE(Sync!$AF422),2),IFERROR(RIGHT("00"&amp;VALUE(LEFT(Sync!$AF422,FIND(":",Sync!$AF422)-1)),2)&amp;RIGHT("00"&amp;VALUE(MID(Sync!$AF422,FIND(":",Sync!$AF422)+1,2)),2),"0000"))))</f>
        <v/>
      </c>
    </row>
    <row r="423">
      <c r="A423">
        <f>IF(OR(Calc!$E427="",Calc!$E427="نامعتبر",Calc!$G427=""),"",Calc!$G427)</f>
        <v/>
      </c>
      <c r="B423">
        <f>IF($A423="","",LEFT(Calc!$E427,4)&amp;MID(Calc!$E427,6,2)&amp;RIGHT(Calc!$E427,2)&amp;Calc!$Q427&amp;"|"&amp;"1"&amp;RIGHT("00000"&amp;418,5))</f>
        <v/>
      </c>
      <c r="C423">
        <f>IF($B423="","",COUNTIFS(LdgSellerA,$A423,LdgKeyA,"&lt;"&amp;$B423)+COUNTIFS(LdgSellerB,$A423,LdgKeyB,"&lt;"&amp;$B423)+1)</f>
        <v/>
      </c>
      <c r="D423">
        <f>IF($C423="","",$A423&amp;"|"&amp;RIGHT("000000"&amp;$C423,6))</f>
        <v/>
      </c>
      <c r="F423">
        <f>IF(Sync!$AH423="","",IF(LEFT(UPPER(TRIM(Sync!$AH423)),2)="SL",UPPER(TRIM(Sync!$AH423)),""))</f>
        <v/>
      </c>
      <c r="G423">
        <f>IF($F423="","",IF(Sync!$AE423="","",IF(ISNUMBER(Sync!$AE423),IF(AND(Sync!$AE423&gt;=10000101,Sync!$AE423&lt;=99991231),INT(Sync!$AE423/10000),""),IFERROR(VALUE(TRIM(LEFT(Sync!$AE423,FIND("/",Sync!$AE423)-1))),""))))</f>
        <v/>
      </c>
      <c r="H423">
        <f>IF(OR($F423="",$G423=""),"",IF(ISNUMBER(Sync!$AE423),INT(MOD(Sync!$AE423,10000)/100),IFERROR(VALUE(TRIM(LEFT(MID(Sync!$AE423,FIND("/",Sync!$AE423)+1,20),FIND("/",MID(Sync!$AE423,FIND("/",Sync!$AE423)+1,20))-1))),"")))</f>
        <v/>
      </c>
      <c r="I423">
        <f>IF(OR($F423="",$G423=""),"",IF(ISNUMBER(Sync!$AE423),MOD(Sync!$AE423,100),IFERROR(VALUE(TRIM(MID(MID(Sync!$AE423,FIND("/",Sync!$AE423)+1,20),FIND("/",MID(Sync!$AE423,FIND("/",Sync!$AE423)+1,20))+1,20))),"")))</f>
        <v/>
      </c>
      <c r="J423">
        <f>IF($F423="","",IF(OR($G423="",$H423="",$I423="",$G423&lt;1300,$G423&gt;1500,$H423&lt;1,$H423&gt;12,$I423&lt;1,$I423&gt;31),"نامعتبر",RIGHT("0000"&amp;$G423,4)&amp;"/"&amp;RIGHT("00"&amp;$H423,2)&amp;"/"&amp;RIGHT("00"&amp;$I423,2)))</f>
        <v/>
      </c>
      <c r="K423">
        <f>IF(OR($F423="",$J423="",$J423="نامعتبر"),"",LEFT($J423,4)&amp;MID($J423,6,2)&amp;RIGHT($J423,2)&amp;$N423&amp;"|"&amp;"2"&amp;RIGHT("00000"&amp;418,5))</f>
        <v/>
      </c>
      <c r="L423">
        <f>IF($K423="","",COUNTIFS(LdgSellerA,$F423,LdgKeyA,"&lt;"&amp;$K423)+COUNTIFS(LdgSellerB,$F423,LdgKeyB,"&lt;"&amp;$K423)+1)</f>
        <v/>
      </c>
      <c r="M423">
        <f>IF($L423="","",$F423&amp;"|"&amp;RIGHT("000000"&amp;$L423,6))</f>
        <v/>
      </c>
      <c r="N423">
        <f>IF($F423="","",IF(Sync!$AF423="","0000",IF(AND(ISNUMBER(Sync!$AF423),Sync!$AF423&gt;=0,Sync!$AF423&lt;1),RIGHT("00"&amp;HOUR(Sync!$AF423),2)&amp;RIGHT("00"&amp;MINUTE(Sync!$AF423),2),IFERROR(RIGHT("00"&amp;VALUE(LEFT(Sync!$AF423,FIND(":",Sync!$AF423)-1)),2)&amp;RIGHT("00"&amp;VALUE(MID(Sync!$AF423,FIND(":",Sync!$AF423)+1,2)),2),"0000"))))</f>
        <v/>
      </c>
    </row>
    <row r="424">
      <c r="A424">
        <f>IF(OR(Calc!$E428="",Calc!$E428="نامعتبر",Calc!$G428=""),"",Calc!$G428)</f>
        <v/>
      </c>
      <c r="B424">
        <f>IF($A424="","",LEFT(Calc!$E428,4)&amp;MID(Calc!$E428,6,2)&amp;RIGHT(Calc!$E428,2)&amp;Calc!$Q428&amp;"|"&amp;"1"&amp;RIGHT("00000"&amp;419,5))</f>
        <v/>
      </c>
      <c r="C424">
        <f>IF($B424="","",COUNTIFS(LdgSellerA,$A424,LdgKeyA,"&lt;"&amp;$B424)+COUNTIFS(LdgSellerB,$A424,LdgKeyB,"&lt;"&amp;$B424)+1)</f>
        <v/>
      </c>
      <c r="D424">
        <f>IF($C424="","",$A424&amp;"|"&amp;RIGHT("000000"&amp;$C424,6))</f>
        <v/>
      </c>
      <c r="F424">
        <f>IF(Sync!$AH424="","",IF(LEFT(UPPER(TRIM(Sync!$AH424)),2)="SL",UPPER(TRIM(Sync!$AH424)),""))</f>
        <v/>
      </c>
      <c r="G424">
        <f>IF($F424="","",IF(Sync!$AE424="","",IF(ISNUMBER(Sync!$AE424),IF(AND(Sync!$AE424&gt;=10000101,Sync!$AE424&lt;=99991231),INT(Sync!$AE424/10000),""),IFERROR(VALUE(TRIM(LEFT(Sync!$AE424,FIND("/",Sync!$AE424)-1))),""))))</f>
        <v/>
      </c>
      <c r="H424">
        <f>IF(OR($F424="",$G424=""),"",IF(ISNUMBER(Sync!$AE424),INT(MOD(Sync!$AE424,10000)/100),IFERROR(VALUE(TRIM(LEFT(MID(Sync!$AE424,FIND("/",Sync!$AE424)+1,20),FIND("/",MID(Sync!$AE424,FIND("/",Sync!$AE424)+1,20))-1))),"")))</f>
        <v/>
      </c>
      <c r="I424">
        <f>IF(OR($F424="",$G424=""),"",IF(ISNUMBER(Sync!$AE424),MOD(Sync!$AE424,100),IFERROR(VALUE(TRIM(MID(MID(Sync!$AE424,FIND("/",Sync!$AE424)+1,20),FIND("/",MID(Sync!$AE424,FIND("/",Sync!$AE424)+1,20))+1,20))),"")))</f>
        <v/>
      </c>
      <c r="J424">
        <f>IF($F424="","",IF(OR($G424="",$H424="",$I424="",$G424&lt;1300,$G424&gt;1500,$H424&lt;1,$H424&gt;12,$I424&lt;1,$I424&gt;31),"نامعتبر",RIGHT("0000"&amp;$G424,4)&amp;"/"&amp;RIGHT("00"&amp;$H424,2)&amp;"/"&amp;RIGHT("00"&amp;$I424,2)))</f>
        <v/>
      </c>
      <c r="K424">
        <f>IF(OR($F424="",$J424="",$J424="نامعتبر"),"",LEFT($J424,4)&amp;MID($J424,6,2)&amp;RIGHT($J424,2)&amp;$N424&amp;"|"&amp;"2"&amp;RIGHT("00000"&amp;419,5))</f>
        <v/>
      </c>
      <c r="L424">
        <f>IF($K424="","",COUNTIFS(LdgSellerA,$F424,LdgKeyA,"&lt;"&amp;$K424)+COUNTIFS(LdgSellerB,$F424,LdgKeyB,"&lt;"&amp;$K424)+1)</f>
        <v/>
      </c>
      <c r="M424">
        <f>IF($L424="","",$F424&amp;"|"&amp;RIGHT("000000"&amp;$L424,6))</f>
        <v/>
      </c>
      <c r="N424">
        <f>IF($F424="","",IF(Sync!$AF424="","0000",IF(AND(ISNUMBER(Sync!$AF424),Sync!$AF424&gt;=0,Sync!$AF424&lt;1),RIGHT("00"&amp;HOUR(Sync!$AF424),2)&amp;RIGHT("00"&amp;MINUTE(Sync!$AF424),2),IFERROR(RIGHT("00"&amp;VALUE(LEFT(Sync!$AF424,FIND(":",Sync!$AF424)-1)),2)&amp;RIGHT("00"&amp;VALUE(MID(Sync!$AF424,FIND(":",Sync!$AF424)+1,2)),2),"0000"))))</f>
        <v/>
      </c>
    </row>
    <row r="425">
      <c r="A425">
        <f>IF(OR(Calc!$E429="",Calc!$E429="نامعتبر",Calc!$G429=""),"",Calc!$G429)</f>
        <v/>
      </c>
      <c r="B425">
        <f>IF($A425="","",LEFT(Calc!$E429,4)&amp;MID(Calc!$E429,6,2)&amp;RIGHT(Calc!$E429,2)&amp;Calc!$Q429&amp;"|"&amp;"1"&amp;RIGHT("00000"&amp;420,5))</f>
        <v/>
      </c>
      <c r="C425">
        <f>IF($B425="","",COUNTIFS(LdgSellerA,$A425,LdgKeyA,"&lt;"&amp;$B425)+COUNTIFS(LdgSellerB,$A425,LdgKeyB,"&lt;"&amp;$B425)+1)</f>
        <v/>
      </c>
      <c r="D425">
        <f>IF($C425="","",$A425&amp;"|"&amp;RIGHT("000000"&amp;$C425,6))</f>
        <v/>
      </c>
      <c r="F425">
        <f>IF(Sync!$AH425="","",IF(LEFT(UPPER(TRIM(Sync!$AH425)),2)="SL",UPPER(TRIM(Sync!$AH425)),""))</f>
        <v/>
      </c>
      <c r="G425">
        <f>IF($F425="","",IF(Sync!$AE425="","",IF(ISNUMBER(Sync!$AE425),IF(AND(Sync!$AE425&gt;=10000101,Sync!$AE425&lt;=99991231),INT(Sync!$AE425/10000),""),IFERROR(VALUE(TRIM(LEFT(Sync!$AE425,FIND("/",Sync!$AE425)-1))),""))))</f>
        <v/>
      </c>
      <c r="H425">
        <f>IF(OR($F425="",$G425=""),"",IF(ISNUMBER(Sync!$AE425),INT(MOD(Sync!$AE425,10000)/100),IFERROR(VALUE(TRIM(LEFT(MID(Sync!$AE425,FIND("/",Sync!$AE425)+1,20),FIND("/",MID(Sync!$AE425,FIND("/",Sync!$AE425)+1,20))-1))),"")))</f>
        <v/>
      </c>
      <c r="I425">
        <f>IF(OR($F425="",$G425=""),"",IF(ISNUMBER(Sync!$AE425),MOD(Sync!$AE425,100),IFERROR(VALUE(TRIM(MID(MID(Sync!$AE425,FIND("/",Sync!$AE425)+1,20),FIND("/",MID(Sync!$AE425,FIND("/",Sync!$AE425)+1,20))+1,20))),"")))</f>
        <v/>
      </c>
      <c r="J425">
        <f>IF($F425="","",IF(OR($G425="",$H425="",$I425="",$G425&lt;1300,$G425&gt;1500,$H425&lt;1,$H425&gt;12,$I425&lt;1,$I425&gt;31),"نامعتبر",RIGHT("0000"&amp;$G425,4)&amp;"/"&amp;RIGHT("00"&amp;$H425,2)&amp;"/"&amp;RIGHT("00"&amp;$I425,2)))</f>
        <v/>
      </c>
      <c r="K425">
        <f>IF(OR($F425="",$J425="",$J425="نامعتبر"),"",LEFT($J425,4)&amp;MID($J425,6,2)&amp;RIGHT($J425,2)&amp;$N425&amp;"|"&amp;"2"&amp;RIGHT("00000"&amp;420,5))</f>
        <v/>
      </c>
      <c r="L425">
        <f>IF($K425="","",COUNTIFS(LdgSellerA,$F425,LdgKeyA,"&lt;"&amp;$K425)+COUNTIFS(LdgSellerB,$F425,LdgKeyB,"&lt;"&amp;$K425)+1)</f>
        <v/>
      </c>
      <c r="M425">
        <f>IF($L425="","",$F425&amp;"|"&amp;RIGHT("000000"&amp;$L425,6))</f>
        <v/>
      </c>
      <c r="N425">
        <f>IF($F425="","",IF(Sync!$AF425="","0000",IF(AND(ISNUMBER(Sync!$AF425),Sync!$AF425&gt;=0,Sync!$AF425&lt;1),RIGHT("00"&amp;HOUR(Sync!$AF425),2)&amp;RIGHT("00"&amp;MINUTE(Sync!$AF425),2),IFERROR(RIGHT("00"&amp;VALUE(LEFT(Sync!$AF425,FIND(":",Sync!$AF425)-1)),2)&amp;RIGHT("00"&amp;VALUE(MID(Sync!$AF425,FIND(":",Sync!$AF425)+1,2)),2),"0000"))))</f>
        <v/>
      </c>
    </row>
    <row r="426">
      <c r="A426">
        <f>IF(OR(Calc!$E430="",Calc!$E430="نامعتبر",Calc!$G430=""),"",Calc!$G430)</f>
        <v/>
      </c>
      <c r="B426">
        <f>IF($A426="","",LEFT(Calc!$E430,4)&amp;MID(Calc!$E430,6,2)&amp;RIGHT(Calc!$E430,2)&amp;Calc!$Q430&amp;"|"&amp;"1"&amp;RIGHT("00000"&amp;421,5))</f>
        <v/>
      </c>
      <c r="C426">
        <f>IF($B426="","",COUNTIFS(LdgSellerA,$A426,LdgKeyA,"&lt;"&amp;$B426)+COUNTIFS(LdgSellerB,$A426,LdgKeyB,"&lt;"&amp;$B426)+1)</f>
        <v/>
      </c>
      <c r="D426">
        <f>IF($C426="","",$A426&amp;"|"&amp;RIGHT("000000"&amp;$C426,6))</f>
        <v/>
      </c>
      <c r="F426">
        <f>IF(Sync!$AH426="","",IF(LEFT(UPPER(TRIM(Sync!$AH426)),2)="SL",UPPER(TRIM(Sync!$AH426)),""))</f>
        <v/>
      </c>
      <c r="G426">
        <f>IF($F426="","",IF(Sync!$AE426="","",IF(ISNUMBER(Sync!$AE426),IF(AND(Sync!$AE426&gt;=10000101,Sync!$AE426&lt;=99991231),INT(Sync!$AE426/10000),""),IFERROR(VALUE(TRIM(LEFT(Sync!$AE426,FIND("/",Sync!$AE426)-1))),""))))</f>
        <v/>
      </c>
      <c r="H426">
        <f>IF(OR($F426="",$G426=""),"",IF(ISNUMBER(Sync!$AE426),INT(MOD(Sync!$AE426,10000)/100),IFERROR(VALUE(TRIM(LEFT(MID(Sync!$AE426,FIND("/",Sync!$AE426)+1,20),FIND("/",MID(Sync!$AE426,FIND("/",Sync!$AE426)+1,20))-1))),"")))</f>
        <v/>
      </c>
      <c r="I426">
        <f>IF(OR($F426="",$G426=""),"",IF(ISNUMBER(Sync!$AE426),MOD(Sync!$AE426,100),IFERROR(VALUE(TRIM(MID(MID(Sync!$AE426,FIND("/",Sync!$AE426)+1,20),FIND("/",MID(Sync!$AE426,FIND("/",Sync!$AE426)+1,20))+1,20))),"")))</f>
        <v/>
      </c>
      <c r="J426">
        <f>IF($F426="","",IF(OR($G426="",$H426="",$I426="",$G426&lt;1300,$G426&gt;1500,$H426&lt;1,$H426&gt;12,$I426&lt;1,$I426&gt;31),"نامعتبر",RIGHT("0000"&amp;$G426,4)&amp;"/"&amp;RIGHT("00"&amp;$H426,2)&amp;"/"&amp;RIGHT("00"&amp;$I426,2)))</f>
        <v/>
      </c>
      <c r="K426">
        <f>IF(OR($F426="",$J426="",$J426="نامعتبر"),"",LEFT($J426,4)&amp;MID($J426,6,2)&amp;RIGHT($J426,2)&amp;$N426&amp;"|"&amp;"2"&amp;RIGHT("00000"&amp;421,5))</f>
        <v/>
      </c>
      <c r="L426">
        <f>IF($K426="","",COUNTIFS(LdgSellerA,$F426,LdgKeyA,"&lt;"&amp;$K426)+COUNTIFS(LdgSellerB,$F426,LdgKeyB,"&lt;"&amp;$K426)+1)</f>
        <v/>
      </c>
      <c r="M426">
        <f>IF($L426="","",$F426&amp;"|"&amp;RIGHT("000000"&amp;$L426,6))</f>
        <v/>
      </c>
      <c r="N426">
        <f>IF($F426="","",IF(Sync!$AF426="","0000",IF(AND(ISNUMBER(Sync!$AF426),Sync!$AF426&gt;=0,Sync!$AF426&lt;1),RIGHT("00"&amp;HOUR(Sync!$AF426),2)&amp;RIGHT("00"&amp;MINUTE(Sync!$AF426),2),IFERROR(RIGHT("00"&amp;VALUE(LEFT(Sync!$AF426,FIND(":",Sync!$AF426)-1)),2)&amp;RIGHT("00"&amp;VALUE(MID(Sync!$AF426,FIND(":",Sync!$AF426)+1,2)),2),"0000"))))</f>
        <v/>
      </c>
    </row>
    <row r="427">
      <c r="A427">
        <f>IF(OR(Calc!$E431="",Calc!$E431="نامعتبر",Calc!$G431=""),"",Calc!$G431)</f>
        <v/>
      </c>
      <c r="B427">
        <f>IF($A427="","",LEFT(Calc!$E431,4)&amp;MID(Calc!$E431,6,2)&amp;RIGHT(Calc!$E431,2)&amp;Calc!$Q431&amp;"|"&amp;"1"&amp;RIGHT("00000"&amp;422,5))</f>
        <v/>
      </c>
      <c r="C427">
        <f>IF($B427="","",COUNTIFS(LdgSellerA,$A427,LdgKeyA,"&lt;"&amp;$B427)+COUNTIFS(LdgSellerB,$A427,LdgKeyB,"&lt;"&amp;$B427)+1)</f>
        <v/>
      </c>
      <c r="D427">
        <f>IF($C427="","",$A427&amp;"|"&amp;RIGHT("000000"&amp;$C427,6))</f>
        <v/>
      </c>
      <c r="F427">
        <f>IF(Sync!$AH427="","",IF(LEFT(UPPER(TRIM(Sync!$AH427)),2)="SL",UPPER(TRIM(Sync!$AH427)),""))</f>
        <v/>
      </c>
      <c r="G427">
        <f>IF($F427="","",IF(Sync!$AE427="","",IF(ISNUMBER(Sync!$AE427),IF(AND(Sync!$AE427&gt;=10000101,Sync!$AE427&lt;=99991231),INT(Sync!$AE427/10000),""),IFERROR(VALUE(TRIM(LEFT(Sync!$AE427,FIND("/",Sync!$AE427)-1))),""))))</f>
        <v/>
      </c>
      <c r="H427">
        <f>IF(OR($F427="",$G427=""),"",IF(ISNUMBER(Sync!$AE427),INT(MOD(Sync!$AE427,10000)/100),IFERROR(VALUE(TRIM(LEFT(MID(Sync!$AE427,FIND("/",Sync!$AE427)+1,20),FIND("/",MID(Sync!$AE427,FIND("/",Sync!$AE427)+1,20))-1))),"")))</f>
        <v/>
      </c>
      <c r="I427">
        <f>IF(OR($F427="",$G427=""),"",IF(ISNUMBER(Sync!$AE427),MOD(Sync!$AE427,100),IFERROR(VALUE(TRIM(MID(MID(Sync!$AE427,FIND("/",Sync!$AE427)+1,20),FIND("/",MID(Sync!$AE427,FIND("/",Sync!$AE427)+1,20))+1,20))),"")))</f>
        <v/>
      </c>
      <c r="J427">
        <f>IF($F427="","",IF(OR($G427="",$H427="",$I427="",$G427&lt;1300,$G427&gt;1500,$H427&lt;1,$H427&gt;12,$I427&lt;1,$I427&gt;31),"نامعتبر",RIGHT("0000"&amp;$G427,4)&amp;"/"&amp;RIGHT("00"&amp;$H427,2)&amp;"/"&amp;RIGHT("00"&amp;$I427,2)))</f>
        <v/>
      </c>
      <c r="K427">
        <f>IF(OR($F427="",$J427="",$J427="نامعتبر"),"",LEFT($J427,4)&amp;MID($J427,6,2)&amp;RIGHT($J427,2)&amp;$N427&amp;"|"&amp;"2"&amp;RIGHT("00000"&amp;422,5))</f>
        <v/>
      </c>
      <c r="L427">
        <f>IF($K427="","",COUNTIFS(LdgSellerA,$F427,LdgKeyA,"&lt;"&amp;$K427)+COUNTIFS(LdgSellerB,$F427,LdgKeyB,"&lt;"&amp;$K427)+1)</f>
        <v/>
      </c>
      <c r="M427">
        <f>IF($L427="","",$F427&amp;"|"&amp;RIGHT("000000"&amp;$L427,6))</f>
        <v/>
      </c>
      <c r="N427">
        <f>IF($F427="","",IF(Sync!$AF427="","0000",IF(AND(ISNUMBER(Sync!$AF427),Sync!$AF427&gt;=0,Sync!$AF427&lt;1),RIGHT("00"&amp;HOUR(Sync!$AF427),2)&amp;RIGHT("00"&amp;MINUTE(Sync!$AF427),2),IFERROR(RIGHT("00"&amp;VALUE(LEFT(Sync!$AF427,FIND(":",Sync!$AF427)-1)),2)&amp;RIGHT("00"&amp;VALUE(MID(Sync!$AF427,FIND(":",Sync!$AF427)+1,2)),2),"0000"))))</f>
        <v/>
      </c>
    </row>
    <row r="428">
      <c r="A428">
        <f>IF(OR(Calc!$E432="",Calc!$E432="نامعتبر",Calc!$G432=""),"",Calc!$G432)</f>
        <v/>
      </c>
      <c r="B428">
        <f>IF($A428="","",LEFT(Calc!$E432,4)&amp;MID(Calc!$E432,6,2)&amp;RIGHT(Calc!$E432,2)&amp;Calc!$Q432&amp;"|"&amp;"1"&amp;RIGHT("00000"&amp;423,5))</f>
        <v/>
      </c>
      <c r="C428">
        <f>IF($B428="","",COUNTIFS(LdgSellerA,$A428,LdgKeyA,"&lt;"&amp;$B428)+COUNTIFS(LdgSellerB,$A428,LdgKeyB,"&lt;"&amp;$B428)+1)</f>
        <v/>
      </c>
      <c r="D428">
        <f>IF($C428="","",$A428&amp;"|"&amp;RIGHT("000000"&amp;$C428,6))</f>
        <v/>
      </c>
      <c r="F428">
        <f>IF(Sync!$AH428="","",IF(LEFT(UPPER(TRIM(Sync!$AH428)),2)="SL",UPPER(TRIM(Sync!$AH428)),""))</f>
        <v/>
      </c>
      <c r="G428">
        <f>IF($F428="","",IF(Sync!$AE428="","",IF(ISNUMBER(Sync!$AE428),IF(AND(Sync!$AE428&gt;=10000101,Sync!$AE428&lt;=99991231),INT(Sync!$AE428/10000),""),IFERROR(VALUE(TRIM(LEFT(Sync!$AE428,FIND("/",Sync!$AE428)-1))),""))))</f>
        <v/>
      </c>
      <c r="H428">
        <f>IF(OR($F428="",$G428=""),"",IF(ISNUMBER(Sync!$AE428),INT(MOD(Sync!$AE428,10000)/100),IFERROR(VALUE(TRIM(LEFT(MID(Sync!$AE428,FIND("/",Sync!$AE428)+1,20),FIND("/",MID(Sync!$AE428,FIND("/",Sync!$AE428)+1,20))-1))),"")))</f>
        <v/>
      </c>
      <c r="I428">
        <f>IF(OR($F428="",$G428=""),"",IF(ISNUMBER(Sync!$AE428),MOD(Sync!$AE428,100),IFERROR(VALUE(TRIM(MID(MID(Sync!$AE428,FIND("/",Sync!$AE428)+1,20),FIND("/",MID(Sync!$AE428,FIND("/",Sync!$AE428)+1,20))+1,20))),"")))</f>
        <v/>
      </c>
      <c r="J428">
        <f>IF($F428="","",IF(OR($G428="",$H428="",$I428="",$G428&lt;1300,$G428&gt;1500,$H428&lt;1,$H428&gt;12,$I428&lt;1,$I428&gt;31),"نامعتبر",RIGHT("0000"&amp;$G428,4)&amp;"/"&amp;RIGHT("00"&amp;$H428,2)&amp;"/"&amp;RIGHT("00"&amp;$I428,2)))</f>
        <v/>
      </c>
      <c r="K428">
        <f>IF(OR($F428="",$J428="",$J428="نامعتبر"),"",LEFT($J428,4)&amp;MID($J428,6,2)&amp;RIGHT($J428,2)&amp;$N428&amp;"|"&amp;"2"&amp;RIGHT("00000"&amp;423,5))</f>
        <v/>
      </c>
      <c r="L428">
        <f>IF($K428="","",COUNTIFS(LdgSellerA,$F428,LdgKeyA,"&lt;"&amp;$K428)+COUNTIFS(LdgSellerB,$F428,LdgKeyB,"&lt;"&amp;$K428)+1)</f>
        <v/>
      </c>
      <c r="M428">
        <f>IF($L428="","",$F428&amp;"|"&amp;RIGHT("000000"&amp;$L428,6))</f>
        <v/>
      </c>
      <c r="N428">
        <f>IF($F428="","",IF(Sync!$AF428="","0000",IF(AND(ISNUMBER(Sync!$AF428),Sync!$AF428&gt;=0,Sync!$AF428&lt;1),RIGHT("00"&amp;HOUR(Sync!$AF428),2)&amp;RIGHT("00"&amp;MINUTE(Sync!$AF428),2),IFERROR(RIGHT("00"&amp;VALUE(LEFT(Sync!$AF428,FIND(":",Sync!$AF428)-1)),2)&amp;RIGHT("00"&amp;VALUE(MID(Sync!$AF428,FIND(":",Sync!$AF428)+1,2)),2),"0000"))))</f>
        <v/>
      </c>
    </row>
    <row r="429">
      <c r="A429">
        <f>IF(OR(Calc!$E433="",Calc!$E433="نامعتبر",Calc!$G433=""),"",Calc!$G433)</f>
        <v/>
      </c>
      <c r="B429">
        <f>IF($A429="","",LEFT(Calc!$E433,4)&amp;MID(Calc!$E433,6,2)&amp;RIGHT(Calc!$E433,2)&amp;Calc!$Q433&amp;"|"&amp;"1"&amp;RIGHT("00000"&amp;424,5))</f>
        <v/>
      </c>
      <c r="C429">
        <f>IF($B429="","",COUNTIFS(LdgSellerA,$A429,LdgKeyA,"&lt;"&amp;$B429)+COUNTIFS(LdgSellerB,$A429,LdgKeyB,"&lt;"&amp;$B429)+1)</f>
        <v/>
      </c>
      <c r="D429">
        <f>IF($C429="","",$A429&amp;"|"&amp;RIGHT("000000"&amp;$C429,6))</f>
        <v/>
      </c>
      <c r="F429">
        <f>IF(Sync!$AH429="","",IF(LEFT(UPPER(TRIM(Sync!$AH429)),2)="SL",UPPER(TRIM(Sync!$AH429)),""))</f>
        <v/>
      </c>
      <c r="G429">
        <f>IF($F429="","",IF(Sync!$AE429="","",IF(ISNUMBER(Sync!$AE429),IF(AND(Sync!$AE429&gt;=10000101,Sync!$AE429&lt;=99991231),INT(Sync!$AE429/10000),""),IFERROR(VALUE(TRIM(LEFT(Sync!$AE429,FIND("/",Sync!$AE429)-1))),""))))</f>
        <v/>
      </c>
      <c r="H429">
        <f>IF(OR($F429="",$G429=""),"",IF(ISNUMBER(Sync!$AE429),INT(MOD(Sync!$AE429,10000)/100),IFERROR(VALUE(TRIM(LEFT(MID(Sync!$AE429,FIND("/",Sync!$AE429)+1,20),FIND("/",MID(Sync!$AE429,FIND("/",Sync!$AE429)+1,20))-1))),"")))</f>
        <v/>
      </c>
      <c r="I429">
        <f>IF(OR($F429="",$G429=""),"",IF(ISNUMBER(Sync!$AE429),MOD(Sync!$AE429,100),IFERROR(VALUE(TRIM(MID(MID(Sync!$AE429,FIND("/",Sync!$AE429)+1,20),FIND("/",MID(Sync!$AE429,FIND("/",Sync!$AE429)+1,20))+1,20))),"")))</f>
        <v/>
      </c>
      <c r="J429">
        <f>IF($F429="","",IF(OR($G429="",$H429="",$I429="",$G429&lt;1300,$G429&gt;1500,$H429&lt;1,$H429&gt;12,$I429&lt;1,$I429&gt;31),"نامعتبر",RIGHT("0000"&amp;$G429,4)&amp;"/"&amp;RIGHT("00"&amp;$H429,2)&amp;"/"&amp;RIGHT("00"&amp;$I429,2)))</f>
        <v/>
      </c>
      <c r="K429">
        <f>IF(OR($F429="",$J429="",$J429="نامعتبر"),"",LEFT($J429,4)&amp;MID($J429,6,2)&amp;RIGHT($J429,2)&amp;$N429&amp;"|"&amp;"2"&amp;RIGHT("00000"&amp;424,5))</f>
        <v/>
      </c>
      <c r="L429">
        <f>IF($K429="","",COUNTIFS(LdgSellerA,$F429,LdgKeyA,"&lt;"&amp;$K429)+COUNTIFS(LdgSellerB,$F429,LdgKeyB,"&lt;"&amp;$K429)+1)</f>
        <v/>
      </c>
      <c r="M429">
        <f>IF($L429="","",$F429&amp;"|"&amp;RIGHT("000000"&amp;$L429,6))</f>
        <v/>
      </c>
      <c r="N429">
        <f>IF($F429="","",IF(Sync!$AF429="","0000",IF(AND(ISNUMBER(Sync!$AF429),Sync!$AF429&gt;=0,Sync!$AF429&lt;1),RIGHT("00"&amp;HOUR(Sync!$AF429),2)&amp;RIGHT("00"&amp;MINUTE(Sync!$AF429),2),IFERROR(RIGHT("00"&amp;VALUE(LEFT(Sync!$AF429,FIND(":",Sync!$AF429)-1)),2)&amp;RIGHT("00"&amp;VALUE(MID(Sync!$AF429,FIND(":",Sync!$AF429)+1,2)),2),"0000"))))</f>
        <v/>
      </c>
    </row>
    <row r="430">
      <c r="A430">
        <f>IF(OR(Calc!$E434="",Calc!$E434="نامعتبر",Calc!$G434=""),"",Calc!$G434)</f>
        <v/>
      </c>
      <c r="B430">
        <f>IF($A430="","",LEFT(Calc!$E434,4)&amp;MID(Calc!$E434,6,2)&amp;RIGHT(Calc!$E434,2)&amp;Calc!$Q434&amp;"|"&amp;"1"&amp;RIGHT("00000"&amp;425,5))</f>
        <v/>
      </c>
      <c r="C430">
        <f>IF($B430="","",COUNTIFS(LdgSellerA,$A430,LdgKeyA,"&lt;"&amp;$B430)+COUNTIFS(LdgSellerB,$A430,LdgKeyB,"&lt;"&amp;$B430)+1)</f>
        <v/>
      </c>
      <c r="D430">
        <f>IF($C430="","",$A430&amp;"|"&amp;RIGHT("000000"&amp;$C430,6))</f>
        <v/>
      </c>
      <c r="F430">
        <f>IF(Sync!$AH430="","",IF(LEFT(UPPER(TRIM(Sync!$AH430)),2)="SL",UPPER(TRIM(Sync!$AH430)),""))</f>
        <v/>
      </c>
      <c r="G430">
        <f>IF($F430="","",IF(Sync!$AE430="","",IF(ISNUMBER(Sync!$AE430),IF(AND(Sync!$AE430&gt;=10000101,Sync!$AE430&lt;=99991231),INT(Sync!$AE430/10000),""),IFERROR(VALUE(TRIM(LEFT(Sync!$AE430,FIND("/",Sync!$AE430)-1))),""))))</f>
        <v/>
      </c>
      <c r="H430">
        <f>IF(OR($F430="",$G430=""),"",IF(ISNUMBER(Sync!$AE430),INT(MOD(Sync!$AE430,10000)/100),IFERROR(VALUE(TRIM(LEFT(MID(Sync!$AE430,FIND("/",Sync!$AE430)+1,20),FIND("/",MID(Sync!$AE430,FIND("/",Sync!$AE430)+1,20))-1))),"")))</f>
        <v/>
      </c>
      <c r="I430">
        <f>IF(OR($F430="",$G430=""),"",IF(ISNUMBER(Sync!$AE430),MOD(Sync!$AE430,100),IFERROR(VALUE(TRIM(MID(MID(Sync!$AE430,FIND("/",Sync!$AE430)+1,20),FIND("/",MID(Sync!$AE430,FIND("/",Sync!$AE430)+1,20))+1,20))),"")))</f>
        <v/>
      </c>
      <c r="J430">
        <f>IF($F430="","",IF(OR($G430="",$H430="",$I430="",$G430&lt;1300,$G430&gt;1500,$H430&lt;1,$H430&gt;12,$I430&lt;1,$I430&gt;31),"نامعتبر",RIGHT("0000"&amp;$G430,4)&amp;"/"&amp;RIGHT("00"&amp;$H430,2)&amp;"/"&amp;RIGHT("00"&amp;$I430,2)))</f>
        <v/>
      </c>
      <c r="K430">
        <f>IF(OR($F430="",$J430="",$J430="نامعتبر"),"",LEFT($J430,4)&amp;MID($J430,6,2)&amp;RIGHT($J430,2)&amp;$N430&amp;"|"&amp;"2"&amp;RIGHT("00000"&amp;425,5))</f>
        <v/>
      </c>
      <c r="L430">
        <f>IF($K430="","",COUNTIFS(LdgSellerA,$F430,LdgKeyA,"&lt;"&amp;$K430)+COUNTIFS(LdgSellerB,$F430,LdgKeyB,"&lt;"&amp;$K430)+1)</f>
        <v/>
      </c>
      <c r="M430">
        <f>IF($L430="","",$F430&amp;"|"&amp;RIGHT("000000"&amp;$L430,6))</f>
        <v/>
      </c>
      <c r="N430">
        <f>IF($F430="","",IF(Sync!$AF430="","0000",IF(AND(ISNUMBER(Sync!$AF430),Sync!$AF430&gt;=0,Sync!$AF430&lt;1),RIGHT("00"&amp;HOUR(Sync!$AF430),2)&amp;RIGHT("00"&amp;MINUTE(Sync!$AF430),2),IFERROR(RIGHT("00"&amp;VALUE(LEFT(Sync!$AF430,FIND(":",Sync!$AF430)-1)),2)&amp;RIGHT("00"&amp;VALUE(MID(Sync!$AF430,FIND(":",Sync!$AF430)+1,2)),2),"0000"))))</f>
        <v/>
      </c>
    </row>
    <row r="431">
      <c r="A431">
        <f>IF(OR(Calc!$E435="",Calc!$E435="نامعتبر",Calc!$G435=""),"",Calc!$G435)</f>
        <v/>
      </c>
      <c r="B431">
        <f>IF($A431="","",LEFT(Calc!$E435,4)&amp;MID(Calc!$E435,6,2)&amp;RIGHT(Calc!$E435,2)&amp;Calc!$Q435&amp;"|"&amp;"1"&amp;RIGHT("00000"&amp;426,5))</f>
        <v/>
      </c>
      <c r="C431">
        <f>IF($B431="","",COUNTIFS(LdgSellerA,$A431,LdgKeyA,"&lt;"&amp;$B431)+COUNTIFS(LdgSellerB,$A431,LdgKeyB,"&lt;"&amp;$B431)+1)</f>
        <v/>
      </c>
      <c r="D431">
        <f>IF($C431="","",$A431&amp;"|"&amp;RIGHT("000000"&amp;$C431,6))</f>
        <v/>
      </c>
      <c r="F431">
        <f>IF(Sync!$AH431="","",IF(LEFT(UPPER(TRIM(Sync!$AH431)),2)="SL",UPPER(TRIM(Sync!$AH431)),""))</f>
        <v/>
      </c>
      <c r="G431">
        <f>IF($F431="","",IF(Sync!$AE431="","",IF(ISNUMBER(Sync!$AE431),IF(AND(Sync!$AE431&gt;=10000101,Sync!$AE431&lt;=99991231),INT(Sync!$AE431/10000),""),IFERROR(VALUE(TRIM(LEFT(Sync!$AE431,FIND("/",Sync!$AE431)-1))),""))))</f>
        <v/>
      </c>
      <c r="H431">
        <f>IF(OR($F431="",$G431=""),"",IF(ISNUMBER(Sync!$AE431),INT(MOD(Sync!$AE431,10000)/100),IFERROR(VALUE(TRIM(LEFT(MID(Sync!$AE431,FIND("/",Sync!$AE431)+1,20),FIND("/",MID(Sync!$AE431,FIND("/",Sync!$AE431)+1,20))-1))),"")))</f>
        <v/>
      </c>
      <c r="I431">
        <f>IF(OR($F431="",$G431=""),"",IF(ISNUMBER(Sync!$AE431),MOD(Sync!$AE431,100),IFERROR(VALUE(TRIM(MID(MID(Sync!$AE431,FIND("/",Sync!$AE431)+1,20),FIND("/",MID(Sync!$AE431,FIND("/",Sync!$AE431)+1,20))+1,20))),"")))</f>
        <v/>
      </c>
      <c r="J431">
        <f>IF($F431="","",IF(OR($G431="",$H431="",$I431="",$G431&lt;1300,$G431&gt;1500,$H431&lt;1,$H431&gt;12,$I431&lt;1,$I431&gt;31),"نامعتبر",RIGHT("0000"&amp;$G431,4)&amp;"/"&amp;RIGHT("00"&amp;$H431,2)&amp;"/"&amp;RIGHT("00"&amp;$I431,2)))</f>
        <v/>
      </c>
      <c r="K431">
        <f>IF(OR($F431="",$J431="",$J431="نامعتبر"),"",LEFT($J431,4)&amp;MID($J431,6,2)&amp;RIGHT($J431,2)&amp;$N431&amp;"|"&amp;"2"&amp;RIGHT("00000"&amp;426,5))</f>
        <v/>
      </c>
      <c r="L431">
        <f>IF($K431="","",COUNTIFS(LdgSellerA,$F431,LdgKeyA,"&lt;"&amp;$K431)+COUNTIFS(LdgSellerB,$F431,LdgKeyB,"&lt;"&amp;$K431)+1)</f>
        <v/>
      </c>
      <c r="M431">
        <f>IF($L431="","",$F431&amp;"|"&amp;RIGHT("000000"&amp;$L431,6))</f>
        <v/>
      </c>
      <c r="N431">
        <f>IF($F431="","",IF(Sync!$AF431="","0000",IF(AND(ISNUMBER(Sync!$AF431),Sync!$AF431&gt;=0,Sync!$AF431&lt;1),RIGHT("00"&amp;HOUR(Sync!$AF431),2)&amp;RIGHT("00"&amp;MINUTE(Sync!$AF431),2),IFERROR(RIGHT("00"&amp;VALUE(LEFT(Sync!$AF431,FIND(":",Sync!$AF431)-1)),2)&amp;RIGHT("00"&amp;VALUE(MID(Sync!$AF431,FIND(":",Sync!$AF431)+1,2)),2),"0000"))))</f>
        <v/>
      </c>
    </row>
    <row r="432">
      <c r="A432">
        <f>IF(OR(Calc!$E436="",Calc!$E436="نامعتبر",Calc!$G436=""),"",Calc!$G436)</f>
        <v/>
      </c>
      <c r="B432">
        <f>IF($A432="","",LEFT(Calc!$E436,4)&amp;MID(Calc!$E436,6,2)&amp;RIGHT(Calc!$E436,2)&amp;Calc!$Q436&amp;"|"&amp;"1"&amp;RIGHT("00000"&amp;427,5))</f>
        <v/>
      </c>
      <c r="C432">
        <f>IF($B432="","",COUNTIFS(LdgSellerA,$A432,LdgKeyA,"&lt;"&amp;$B432)+COUNTIFS(LdgSellerB,$A432,LdgKeyB,"&lt;"&amp;$B432)+1)</f>
        <v/>
      </c>
      <c r="D432">
        <f>IF($C432="","",$A432&amp;"|"&amp;RIGHT("000000"&amp;$C432,6))</f>
        <v/>
      </c>
      <c r="F432">
        <f>IF(Sync!$AH432="","",IF(LEFT(UPPER(TRIM(Sync!$AH432)),2)="SL",UPPER(TRIM(Sync!$AH432)),""))</f>
        <v/>
      </c>
      <c r="G432">
        <f>IF($F432="","",IF(Sync!$AE432="","",IF(ISNUMBER(Sync!$AE432),IF(AND(Sync!$AE432&gt;=10000101,Sync!$AE432&lt;=99991231),INT(Sync!$AE432/10000),""),IFERROR(VALUE(TRIM(LEFT(Sync!$AE432,FIND("/",Sync!$AE432)-1))),""))))</f>
        <v/>
      </c>
      <c r="H432">
        <f>IF(OR($F432="",$G432=""),"",IF(ISNUMBER(Sync!$AE432),INT(MOD(Sync!$AE432,10000)/100),IFERROR(VALUE(TRIM(LEFT(MID(Sync!$AE432,FIND("/",Sync!$AE432)+1,20),FIND("/",MID(Sync!$AE432,FIND("/",Sync!$AE432)+1,20))-1))),"")))</f>
        <v/>
      </c>
      <c r="I432">
        <f>IF(OR($F432="",$G432=""),"",IF(ISNUMBER(Sync!$AE432),MOD(Sync!$AE432,100),IFERROR(VALUE(TRIM(MID(MID(Sync!$AE432,FIND("/",Sync!$AE432)+1,20),FIND("/",MID(Sync!$AE432,FIND("/",Sync!$AE432)+1,20))+1,20))),"")))</f>
        <v/>
      </c>
      <c r="J432">
        <f>IF($F432="","",IF(OR($G432="",$H432="",$I432="",$G432&lt;1300,$G432&gt;1500,$H432&lt;1,$H432&gt;12,$I432&lt;1,$I432&gt;31),"نامعتبر",RIGHT("0000"&amp;$G432,4)&amp;"/"&amp;RIGHT("00"&amp;$H432,2)&amp;"/"&amp;RIGHT("00"&amp;$I432,2)))</f>
        <v/>
      </c>
      <c r="K432">
        <f>IF(OR($F432="",$J432="",$J432="نامعتبر"),"",LEFT($J432,4)&amp;MID($J432,6,2)&amp;RIGHT($J432,2)&amp;$N432&amp;"|"&amp;"2"&amp;RIGHT("00000"&amp;427,5))</f>
        <v/>
      </c>
      <c r="L432">
        <f>IF($K432="","",COUNTIFS(LdgSellerA,$F432,LdgKeyA,"&lt;"&amp;$K432)+COUNTIFS(LdgSellerB,$F432,LdgKeyB,"&lt;"&amp;$K432)+1)</f>
        <v/>
      </c>
      <c r="M432">
        <f>IF($L432="","",$F432&amp;"|"&amp;RIGHT("000000"&amp;$L432,6))</f>
        <v/>
      </c>
      <c r="N432">
        <f>IF($F432="","",IF(Sync!$AF432="","0000",IF(AND(ISNUMBER(Sync!$AF432),Sync!$AF432&gt;=0,Sync!$AF432&lt;1),RIGHT("00"&amp;HOUR(Sync!$AF432),2)&amp;RIGHT("00"&amp;MINUTE(Sync!$AF432),2),IFERROR(RIGHT("00"&amp;VALUE(LEFT(Sync!$AF432,FIND(":",Sync!$AF432)-1)),2)&amp;RIGHT("00"&amp;VALUE(MID(Sync!$AF432,FIND(":",Sync!$AF432)+1,2)),2),"0000"))))</f>
        <v/>
      </c>
    </row>
    <row r="433">
      <c r="A433">
        <f>IF(OR(Calc!$E437="",Calc!$E437="نامعتبر",Calc!$G437=""),"",Calc!$G437)</f>
        <v/>
      </c>
      <c r="B433">
        <f>IF($A433="","",LEFT(Calc!$E437,4)&amp;MID(Calc!$E437,6,2)&amp;RIGHT(Calc!$E437,2)&amp;Calc!$Q437&amp;"|"&amp;"1"&amp;RIGHT("00000"&amp;428,5))</f>
        <v/>
      </c>
      <c r="C433">
        <f>IF($B433="","",COUNTIFS(LdgSellerA,$A433,LdgKeyA,"&lt;"&amp;$B433)+COUNTIFS(LdgSellerB,$A433,LdgKeyB,"&lt;"&amp;$B433)+1)</f>
        <v/>
      </c>
      <c r="D433">
        <f>IF($C433="","",$A433&amp;"|"&amp;RIGHT("000000"&amp;$C433,6))</f>
        <v/>
      </c>
      <c r="F433">
        <f>IF(Sync!$AH433="","",IF(LEFT(UPPER(TRIM(Sync!$AH433)),2)="SL",UPPER(TRIM(Sync!$AH433)),""))</f>
        <v/>
      </c>
      <c r="G433">
        <f>IF($F433="","",IF(Sync!$AE433="","",IF(ISNUMBER(Sync!$AE433),IF(AND(Sync!$AE433&gt;=10000101,Sync!$AE433&lt;=99991231),INT(Sync!$AE433/10000),""),IFERROR(VALUE(TRIM(LEFT(Sync!$AE433,FIND("/",Sync!$AE433)-1))),""))))</f>
        <v/>
      </c>
      <c r="H433">
        <f>IF(OR($F433="",$G433=""),"",IF(ISNUMBER(Sync!$AE433),INT(MOD(Sync!$AE433,10000)/100),IFERROR(VALUE(TRIM(LEFT(MID(Sync!$AE433,FIND("/",Sync!$AE433)+1,20),FIND("/",MID(Sync!$AE433,FIND("/",Sync!$AE433)+1,20))-1))),"")))</f>
        <v/>
      </c>
      <c r="I433">
        <f>IF(OR($F433="",$G433=""),"",IF(ISNUMBER(Sync!$AE433),MOD(Sync!$AE433,100),IFERROR(VALUE(TRIM(MID(MID(Sync!$AE433,FIND("/",Sync!$AE433)+1,20),FIND("/",MID(Sync!$AE433,FIND("/",Sync!$AE433)+1,20))+1,20))),"")))</f>
        <v/>
      </c>
      <c r="J433">
        <f>IF($F433="","",IF(OR($G433="",$H433="",$I433="",$G433&lt;1300,$G433&gt;1500,$H433&lt;1,$H433&gt;12,$I433&lt;1,$I433&gt;31),"نامعتبر",RIGHT("0000"&amp;$G433,4)&amp;"/"&amp;RIGHT("00"&amp;$H433,2)&amp;"/"&amp;RIGHT("00"&amp;$I433,2)))</f>
        <v/>
      </c>
      <c r="K433">
        <f>IF(OR($F433="",$J433="",$J433="نامعتبر"),"",LEFT($J433,4)&amp;MID($J433,6,2)&amp;RIGHT($J433,2)&amp;$N433&amp;"|"&amp;"2"&amp;RIGHT("00000"&amp;428,5))</f>
        <v/>
      </c>
      <c r="L433">
        <f>IF($K433="","",COUNTIFS(LdgSellerA,$F433,LdgKeyA,"&lt;"&amp;$K433)+COUNTIFS(LdgSellerB,$F433,LdgKeyB,"&lt;"&amp;$K433)+1)</f>
        <v/>
      </c>
      <c r="M433">
        <f>IF($L433="","",$F433&amp;"|"&amp;RIGHT("000000"&amp;$L433,6))</f>
        <v/>
      </c>
      <c r="N433">
        <f>IF($F433="","",IF(Sync!$AF433="","0000",IF(AND(ISNUMBER(Sync!$AF433),Sync!$AF433&gt;=0,Sync!$AF433&lt;1),RIGHT("00"&amp;HOUR(Sync!$AF433),2)&amp;RIGHT("00"&amp;MINUTE(Sync!$AF433),2),IFERROR(RIGHT("00"&amp;VALUE(LEFT(Sync!$AF433,FIND(":",Sync!$AF433)-1)),2)&amp;RIGHT("00"&amp;VALUE(MID(Sync!$AF433,FIND(":",Sync!$AF433)+1,2)),2),"0000"))))</f>
        <v/>
      </c>
    </row>
    <row r="434">
      <c r="A434">
        <f>IF(OR(Calc!$E438="",Calc!$E438="نامعتبر",Calc!$G438=""),"",Calc!$G438)</f>
        <v/>
      </c>
      <c r="B434">
        <f>IF($A434="","",LEFT(Calc!$E438,4)&amp;MID(Calc!$E438,6,2)&amp;RIGHT(Calc!$E438,2)&amp;Calc!$Q438&amp;"|"&amp;"1"&amp;RIGHT("00000"&amp;429,5))</f>
        <v/>
      </c>
      <c r="C434">
        <f>IF($B434="","",COUNTIFS(LdgSellerA,$A434,LdgKeyA,"&lt;"&amp;$B434)+COUNTIFS(LdgSellerB,$A434,LdgKeyB,"&lt;"&amp;$B434)+1)</f>
        <v/>
      </c>
      <c r="D434">
        <f>IF($C434="","",$A434&amp;"|"&amp;RIGHT("000000"&amp;$C434,6))</f>
        <v/>
      </c>
      <c r="F434">
        <f>IF(Sync!$AH434="","",IF(LEFT(UPPER(TRIM(Sync!$AH434)),2)="SL",UPPER(TRIM(Sync!$AH434)),""))</f>
        <v/>
      </c>
      <c r="G434">
        <f>IF($F434="","",IF(Sync!$AE434="","",IF(ISNUMBER(Sync!$AE434),IF(AND(Sync!$AE434&gt;=10000101,Sync!$AE434&lt;=99991231),INT(Sync!$AE434/10000),""),IFERROR(VALUE(TRIM(LEFT(Sync!$AE434,FIND("/",Sync!$AE434)-1))),""))))</f>
        <v/>
      </c>
      <c r="H434">
        <f>IF(OR($F434="",$G434=""),"",IF(ISNUMBER(Sync!$AE434),INT(MOD(Sync!$AE434,10000)/100),IFERROR(VALUE(TRIM(LEFT(MID(Sync!$AE434,FIND("/",Sync!$AE434)+1,20),FIND("/",MID(Sync!$AE434,FIND("/",Sync!$AE434)+1,20))-1))),"")))</f>
        <v/>
      </c>
      <c r="I434">
        <f>IF(OR($F434="",$G434=""),"",IF(ISNUMBER(Sync!$AE434),MOD(Sync!$AE434,100),IFERROR(VALUE(TRIM(MID(MID(Sync!$AE434,FIND("/",Sync!$AE434)+1,20),FIND("/",MID(Sync!$AE434,FIND("/",Sync!$AE434)+1,20))+1,20))),"")))</f>
        <v/>
      </c>
      <c r="J434">
        <f>IF($F434="","",IF(OR($G434="",$H434="",$I434="",$G434&lt;1300,$G434&gt;1500,$H434&lt;1,$H434&gt;12,$I434&lt;1,$I434&gt;31),"نامعتبر",RIGHT("0000"&amp;$G434,4)&amp;"/"&amp;RIGHT("00"&amp;$H434,2)&amp;"/"&amp;RIGHT("00"&amp;$I434,2)))</f>
        <v/>
      </c>
      <c r="K434">
        <f>IF(OR($F434="",$J434="",$J434="نامعتبر"),"",LEFT($J434,4)&amp;MID($J434,6,2)&amp;RIGHT($J434,2)&amp;$N434&amp;"|"&amp;"2"&amp;RIGHT("00000"&amp;429,5))</f>
        <v/>
      </c>
      <c r="L434">
        <f>IF($K434="","",COUNTIFS(LdgSellerA,$F434,LdgKeyA,"&lt;"&amp;$K434)+COUNTIFS(LdgSellerB,$F434,LdgKeyB,"&lt;"&amp;$K434)+1)</f>
        <v/>
      </c>
      <c r="M434">
        <f>IF($L434="","",$F434&amp;"|"&amp;RIGHT("000000"&amp;$L434,6))</f>
        <v/>
      </c>
      <c r="N434">
        <f>IF($F434="","",IF(Sync!$AF434="","0000",IF(AND(ISNUMBER(Sync!$AF434),Sync!$AF434&gt;=0,Sync!$AF434&lt;1),RIGHT("00"&amp;HOUR(Sync!$AF434),2)&amp;RIGHT("00"&amp;MINUTE(Sync!$AF434),2),IFERROR(RIGHT("00"&amp;VALUE(LEFT(Sync!$AF434,FIND(":",Sync!$AF434)-1)),2)&amp;RIGHT("00"&amp;VALUE(MID(Sync!$AF434,FIND(":",Sync!$AF434)+1,2)),2),"0000"))))</f>
        <v/>
      </c>
    </row>
    <row r="435">
      <c r="A435">
        <f>IF(OR(Calc!$E439="",Calc!$E439="نامعتبر",Calc!$G439=""),"",Calc!$G439)</f>
        <v/>
      </c>
      <c r="B435">
        <f>IF($A435="","",LEFT(Calc!$E439,4)&amp;MID(Calc!$E439,6,2)&amp;RIGHT(Calc!$E439,2)&amp;Calc!$Q439&amp;"|"&amp;"1"&amp;RIGHT("00000"&amp;430,5))</f>
        <v/>
      </c>
      <c r="C435">
        <f>IF($B435="","",COUNTIFS(LdgSellerA,$A435,LdgKeyA,"&lt;"&amp;$B435)+COUNTIFS(LdgSellerB,$A435,LdgKeyB,"&lt;"&amp;$B435)+1)</f>
        <v/>
      </c>
      <c r="D435">
        <f>IF($C435="","",$A435&amp;"|"&amp;RIGHT("000000"&amp;$C435,6))</f>
        <v/>
      </c>
      <c r="F435">
        <f>IF(Sync!$AH435="","",IF(LEFT(UPPER(TRIM(Sync!$AH435)),2)="SL",UPPER(TRIM(Sync!$AH435)),""))</f>
        <v/>
      </c>
      <c r="G435">
        <f>IF($F435="","",IF(Sync!$AE435="","",IF(ISNUMBER(Sync!$AE435),IF(AND(Sync!$AE435&gt;=10000101,Sync!$AE435&lt;=99991231),INT(Sync!$AE435/10000),""),IFERROR(VALUE(TRIM(LEFT(Sync!$AE435,FIND("/",Sync!$AE435)-1))),""))))</f>
        <v/>
      </c>
      <c r="H435">
        <f>IF(OR($F435="",$G435=""),"",IF(ISNUMBER(Sync!$AE435),INT(MOD(Sync!$AE435,10000)/100),IFERROR(VALUE(TRIM(LEFT(MID(Sync!$AE435,FIND("/",Sync!$AE435)+1,20),FIND("/",MID(Sync!$AE435,FIND("/",Sync!$AE435)+1,20))-1))),"")))</f>
        <v/>
      </c>
      <c r="I435">
        <f>IF(OR($F435="",$G435=""),"",IF(ISNUMBER(Sync!$AE435),MOD(Sync!$AE435,100),IFERROR(VALUE(TRIM(MID(MID(Sync!$AE435,FIND("/",Sync!$AE435)+1,20),FIND("/",MID(Sync!$AE435,FIND("/",Sync!$AE435)+1,20))+1,20))),"")))</f>
        <v/>
      </c>
      <c r="J435">
        <f>IF($F435="","",IF(OR($G435="",$H435="",$I435="",$G435&lt;1300,$G435&gt;1500,$H435&lt;1,$H435&gt;12,$I435&lt;1,$I435&gt;31),"نامعتبر",RIGHT("0000"&amp;$G435,4)&amp;"/"&amp;RIGHT("00"&amp;$H435,2)&amp;"/"&amp;RIGHT("00"&amp;$I435,2)))</f>
        <v/>
      </c>
      <c r="K435">
        <f>IF(OR($F435="",$J435="",$J435="نامعتبر"),"",LEFT($J435,4)&amp;MID($J435,6,2)&amp;RIGHT($J435,2)&amp;$N435&amp;"|"&amp;"2"&amp;RIGHT("00000"&amp;430,5))</f>
        <v/>
      </c>
      <c r="L435">
        <f>IF($K435="","",COUNTIFS(LdgSellerA,$F435,LdgKeyA,"&lt;"&amp;$K435)+COUNTIFS(LdgSellerB,$F435,LdgKeyB,"&lt;"&amp;$K435)+1)</f>
        <v/>
      </c>
      <c r="M435">
        <f>IF($L435="","",$F435&amp;"|"&amp;RIGHT("000000"&amp;$L435,6))</f>
        <v/>
      </c>
      <c r="N435">
        <f>IF($F435="","",IF(Sync!$AF435="","0000",IF(AND(ISNUMBER(Sync!$AF435),Sync!$AF435&gt;=0,Sync!$AF435&lt;1),RIGHT("00"&amp;HOUR(Sync!$AF435),2)&amp;RIGHT("00"&amp;MINUTE(Sync!$AF435),2),IFERROR(RIGHT("00"&amp;VALUE(LEFT(Sync!$AF435,FIND(":",Sync!$AF435)-1)),2)&amp;RIGHT("00"&amp;VALUE(MID(Sync!$AF435,FIND(":",Sync!$AF435)+1,2)),2),"0000"))))</f>
        <v/>
      </c>
    </row>
    <row r="436">
      <c r="A436">
        <f>IF(OR(Calc!$E440="",Calc!$E440="نامعتبر",Calc!$G440=""),"",Calc!$G440)</f>
        <v/>
      </c>
      <c r="B436">
        <f>IF($A436="","",LEFT(Calc!$E440,4)&amp;MID(Calc!$E440,6,2)&amp;RIGHT(Calc!$E440,2)&amp;Calc!$Q440&amp;"|"&amp;"1"&amp;RIGHT("00000"&amp;431,5))</f>
        <v/>
      </c>
      <c r="C436">
        <f>IF($B436="","",COUNTIFS(LdgSellerA,$A436,LdgKeyA,"&lt;"&amp;$B436)+COUNTIFS(LdgSellerB,$A436,LdgKeyB,"&lt;"&amp;$B436)+1)</f>
        <v/>
      </c>
      <c r="D436">
        <f>IF($C436="","",$A436&amp;"|"&amp;RIGHT("000000"&amp;$C436,6))</f>
        <v/>
      </c>
      <c r="F436">
        <f>IF(Sync!$AH436="","",IF(LEFT(UPPER(TRIM(Sync!$AH436)),2)="SL",UPPER(TRIM(Sync!$AH436)),""))</f>
        <v/>
      </c>
      <c r="G436">
        <f>IF($F436="","",IF(Sync!$AE436="","",IF(ISNUMBER(Sync!$AE436),IF(AND(Sync!$AE436&gt;=10000101,Sync!$AE436&lt;=99991231),INT(Sync!$AE436/10000),""),IFERROR(VALUE(TRIM(LEFT(Sync!$AE436,FIND("/",Sync!$AE436)-1))),""))))</f>
        <v/>
      </c>
      <c r="H436">
        <f>IF(OR($F436="",$G436=""),"",IF(ISNUMBER(Sync!$AE436),INT(MOD(Sync!$AE436,10000)/100),IFERROR(VALUE(TRIM(LEFT(MID(Sync!$AE436,FIND("/",Sync!$AE436)+1,20),FIND("/",MID(Sync!$AE436,FIND("/",Sync!$AE436)+1,20))-1))),"")))</f>
        <v/>
      </c>
      <c r="I436">
        <f>IF(OR($F436="",$G436=""),"",IF(ISNUMBER(Sync!$AE436),MOD(Sync!$AE436,100),IFERROR(VALUE(TRIM(MID(MID(Sync!$AE436,FIND("/",Sync!$AE436)+1,20),FIND("/",MID(Sync!$AE436,FIND("/",Sync!$AE436)+1,20))+1,20))),"")))</f>
        <v/>
      </c>
      <c r="J436">
        <f>IF($F436="","",IF(OR($G436="",$H436="",$I436="",$G436&lt;1300,$G436&gt;1500,$H436&lt;1,$H436&gt;12,$I436&lt;1,$I436&gt;31),"نامعتبر",RIGHT("0000"&amp;$G436,4)&amp;"/"&amp;RIGHT("00"&amp;$H436,2)&amp;"/"&amp;RIGHT("00"&amp;$I436,2)))</f>
        <v/>
      </c>
      <c r="K436">
        <f>IF(OR($F436="",$J436="",$J436="نامعتبر"),"",LEFT($J436,4)&amp;MID($J436,6,2)&amp;RIGHT($J436,2)&amp;$N436&amp;"|"&amp;"2"&amp;RIGHT("00000"&amp;431,5))</f>
        <v/>
      </c>
      <c r="L436">
        <f>IF($K436="","",COUNTIFS(LdgSellerA,$F436,LdgKeyA,"&lt;"&amp;$K436)+COUNTIFS(LdgSellerB,$F436,LdgKeyB,"&lt;"&amp;$K436)+1)</f>
        <v/>
      </c>
      <c r="M436">
        <f>IF($L436="","",$F436&amp;"|"&amp;RIGHT("000000"&amp;$L436,6))</f>
        <v/>
      </c>
      <c r="N436">
        <f>IF($F436="","",IF(Sync!$AF436="","0000",IF(AND(ISNUMBER(Sync!$AF436),Sync!$AF436&gt;=0,Sync!$AF436&lt;1),RIGHT("00"&amp;HOUR(Sync!$AF436),2)&amp;RIGHT("00"&amp;MINUTE(Sync!$AF436),2),IFERROR(RIGHT("00"&amp;VALUE(LEFT(Sync!$AF436,FIND(":",Sync!$AF436)-1)),2)&amp;RIGHT("00"&amp;VALUE(MID(Sync!$AF436,FIND(":",Sync!$AF436)+1,2)),2),"0000"))))</f>
        <v/>
      </c>
    </row>
    <row r="437">
      <c r="A437">
        <f>IF(OR(Calc!$E441="",Calc!$E441="نامعتبر",Calc!$G441=""),"",Calc!$G441)</f>
        <v/>
      </c>
      <c r="B437">
        <f>IF($A437="","",LEFT(Calc!$E441,4)&amp;MID(Calc!$E441,6,2)&amp;RIGHT(Calc!$E441,2)&amp;Calc!$Q441&amp;"|"&amp;"1"&amp;RIGHT("00000"&amp;432,5))</f>
        <v/>
      </c>
      <c r="C437">
        <f>IF($B437="","",COUNTIFS(LdgSellerA,$A437,LdgKeyA,"&lt;"&amp;$B437)+COUNTIFS(LdgSellerB,$A437,LdgKeyB,"&lt;"&amp;$B437)+1)</f>
        <v/>
      </c>
      <c r="D437">
        <f>IF($C437="","",$A437&amp;"|"&amp;RIGHT("000000"&amp;$C437,6))</f>
        <v/>
      </c>
      <c r="F437">
        <f>IF(Sync!$AH437="","",IF(LEFT(UPPER(TRIM(Sync!$AH437)),2)="SL",UPPER(TRIM(Sync!$AH437)),""))</f>
        <v/>
      </c>
      <c r="G437">
        <f>IF($F437="","",IF(Sync!$AE437="","",IF(ISNUMBER(Sync!$AE437),IF(AND(Sync!$AE437&gt;=10000101,Sync!$AE437&lt;=99991231),INT(Sync!$AE437/10000),""),IFERROR(VALUE(TRIM(LEFT(Sync!$AE437,FIND("/",Sync!$AE437)-1))),""))))</f>
        <v/>
      </c>
      <c r="H437">
        <f>IF(OR($F437="",$G437=""),"",IF(ISNUMBER(Sync!$AE437),INT(MOD(Sync!$AE437,10000)/100),IFERROR(VALUE(TRIM(LEFT(MID(Sync!$AE437,FIND("/",Sync!$AE437)+1,20),FIND("/",MID(Sync!$AE437,FIND("/",Sync!$AE437)+1,20))-1))),"")))</f>
        <v/>
      </c>
      <c r="I437">
        <f>IF(OR($F437="",$G437=""),"",IF(ISNUMBER(Sync!$AE437),MOD(Sync!$AE437,100),IFERROR(VALUE(TRIM(MID(MID(Sync!$AE437,FIND("/",Sync!$AE437)+1,20),FIND("/",MID(Sync!$AE437,FIND("/",Sync!$AE437)+1,20))+1,20))),"")))</f>
        <v/>
      </c>
      <c r="J437">
        <f>IF($F437="","",IF(OR($G437="",$H437="",$I437="",$G437&lt;1300,$G437&gt;1500,$H437&lt;1,$H437&gt;12,$I437&lt;1,$I437&gt;31),"نامعتبر",RIGHT("0000"&amp;$G437,4)&amp;"/"&amp;RIGHT("00"&amp;$H437,2)&amp;"/"&amp;RIGHT("00"&amp;$I437,2)))</f>
        <v/>
      </c>
      <c r="K437">
        <f>IF(OR($F437="",$J437="",$J437="نامعتبر"),"",LEFT($J437,4)&amp;MID($J437,6,2)&amp;RIGHT($J437,2)&amp;$N437&amp;"|"&amp;"2"&amp;RIGHT("00000"&amp;432,5))</f>
        <v/>
      </c>
      <c r="L437">
        <f>IF($K437="","",COUNTIFS(LdgSellerA,$F437,LdgKeyA,"&lt;"&amp;$K437)+COUNTIFS(LdgSellerB,$F437,LdgKeyB,"&lt;"&amp;$K437)+1)</f>
        <v/>
      </c>
      <c r="M437">
        <f>IF($L437="","",$F437&amp;"|"&amp;RIGHT("000000"&amp;$L437,6))</f>
        <v/>
      </c>
      <c r="N437">
        <f>IF($F437="","",IF(Sync!$AF437="","0000",IF(AND(ISNUMBER(Sync!$AF437),Sync!$AF437&gt;=0,Sync!$AF437&lt;1),RIGHT("00"&amp;HOUR(Sync!$AF437),2)&amp;RIGHT("00"&amp;MINUTE(Sync!$AF437),2),IFERROR(RIGHT("00"&amp;VALUE(LEFT(Sync!$AF437,FIND(":",Sync!$AF437)-1)),2)&amp;RIGHT("00"&amp;VALUE(MID(Sync!$AF437,FIND(":",Sync!$AF437)+1,2)),2),"0000"))))</f>
        <v/>
      </c>
    </row>
    <row r="438">
      <c r="A438">
        <f>IF(OR(Calc!$E442="",Calc!$E442="نامعتبر",Calc!$G442=""),"",Calc!$G442)</f>
        <v/>
      </c>
      <c r="B438">
        <f>IF($A438="","",LEFT(Calc!$E442,4)&amp;MID(Calc!$E442,6,2)&amp;RIGHT(Calc!$E442,2)&amp;Calc!$Q442&amp;"|"&amp;"1"&amp;RIGHT("00000"&amp;433,5))</f>
        <v/>
      </c>
      <c r="C438">
        <f>IF($B438="","",COUNTIFS(LdgSellerA,$A438,LdgKeyA,"&lt;"&amp;$B438)+COUNTIFS(LdgSellerB,$A438,LdgKeyB,"&lt;"&amp;$B438)+1)</f>
        <v/>
      </c>
      <c r="D438">
        <f>IF($C438="","",$A438&amp;"|"&amp;RIGHT("000000"&amp;$C438,6))</f>
        <v/>
      </c>
      <c r="F438">
        <f>IF(Sync!$AH438="","",IF(LEFT(UPPER(TRIM(Sync!$AH438)),2)="SL",UPPER(TRIM(Sync!$AH438)),""))</f>
        <v/>
      </c>
      <c r="G438">
        <f>IF($F438="","",IF(Sync!$AE438="","",IF(ISNUMBER(Sync!$AE438),IF(AND(Sync!$AE438&gt;=10000101,Sync!$AE438&lt;=99991231),INT(Sync!$AE438/10000),""),IFERROR(VALUE(TRIM(LEFT(Sync!$AE438,FIND("/",Sync!$AE438)-1))),""))))</f>
        <v/>
      </c>
      <c r="H438">
        <f>IF(OR($F438="",$G438=""),"",IF(ISNUMBER(Sync!$AE438),INT(MOD(Sync!$AE438,10000)/100),IFERROR(VALUE(TRIM(LEFT(MID(Sync!$AE438,FIND("/",Sync!$AE438)+1,20),FIND("/",MID(Sync!$AE438,FIND("/",Sync!$AE438)+1,20))-1))),"")))</f>
        <v/>
      </c>
      <c r="I438">
        <f>IF(OR($F438="",$G438=""),"",IF(ISNUMBER(Sync!$AE438),MOD(Sync!$AE438,100),IFERROR(VALUE(TRIM(MID(MID(Sync!$AE438,FIND("/",Sync!$AE438)+1,20),FIND("/",MID(Sync!$AE438,FIND("/",Sync!$AE438)+1,20))+1,20))),"")))</f>
        <v/>
      </c>
      <c r="J438">
        <f>IF($F438="","",IF(OR($G438="",$H438="",$I438="",$G438&lt;1300,$G438&gt;1500,$H438&lt;1,$H438&gt;12,$I438&lt;1,$I438&gt;31),"نامعتبر",RIGHT("0000"&amp;$G438,4)&amp;"/"&amp;RIGHT("00"&amp;$H438,2)&amp;"/"&amp;RIGHT("00"&amp;$I438,2)))</f>
        <v/>
      </c>
      <c r="K438">
        <f>IF(OR($F438="",$J438="",$J438="نامعتبر"),"",LEFT($J438,4)&amp;MID($J438,6,2)&amp;RIGHT($J438,2)&amp;$N438&amp;"|"&amp;"2"&amp;RIGHT("00000"&amp;433,5))</f>
        <v/>
      </c>
      <c r="L438">
        <f>IF($K438="","",COUNTIFS(LdgSellerA,$F438,LdgKeyA,"&lt;"&amp;$K438)+COUNTIFS(LdgSellerB,$F438,LdgKeyB,"&lt;"&amp;$K438)+1)</f>
        <v/>
      </c>
      <c r="M438">
        <f>IF($L438="","",$F438&amp;"|"&amp;RIGHT("000000"&amp;$L438,6))</f>
        <v/>
      </c>
      <c r="N438">
        <f>IF($F438="","",IF(Sync!$AF438="","0000",IF(AND(ISNUMBER(Sync!$AF438),Sync!$AF438&gt;=0,Sync!$AF438&lt;1),RIGHT("00"&amp;HOUR(Sync!$AF438),2)&amp;RIGHT("00"&amp;MINUTE(Sync!$AF438),2),IFERROR(RIGHT("00"&amp;VALUE(LEFT(Sync!$AF438,FIND(":",Sync!$AF438)-1)),2)&amp;RIGHT("00"&amp;VALUE(MID(Sync!$AF438,FIND(":",Sync!$AF438)+1,2)),2),"0000"))))</f>
        <v/>
      </c>
    </row>
    <row r="439">
      <c r="A439">
        <f>IF(OR(Calc!$E443="",Calc!$E443="نامعتبر",Calc!$G443=""),"",Calc!$G443)</f>
        <v/>
      </c>
      <c r="B439">
        <f>IF($A439="","",LEFT(Calc!$E443,4)&amp;MID(Calc!$E443,6,2)&amp;RIGHT(Calc!$E443,2)&amp;Calc!$Q443&amp;"|"&amp;"1"&amp;RIGHT("00000"&amp;434,5))</f>
        <v/>
      </c>
      <c r="C439">
        <f>IF($B439="","",COUNTIFS(LdgSellerA,$A439,LdgKeyA,"&lt;"&amp;$B439)+COUNTIFS(LdgSellerB,$A439,LdgKeyB,"&lt;"&amp;$B439)+1)</f>
        <v/>
      </c>
      <c r="D439">
        <f>IF($C439="","",$A439&amp;"|"&amp;RIGHT("000000"&amp;$C439,6))</f>
        <v/>
      </c>
      <c r="F439">
        <f>IF(Sync!$AH439="","",IF(LEFT(UPPER(TRIM(Sync!$AH439)),2)="SL",UPPER(TRIM(Sync!$AH439)),""))</f>
        <v/>
      </c>
      <c r="G439">
        <f>IF($F439="","",IF(Sync!$AE439="","",IF(ISNUMBER(Sync!$AE439),IF(AND(Sync!$AE439&gt;=10000101,Sync!$AE439&lt;=99991231),INT(Sync!$AE439/10000),""),IFERROR(VALUE(TRIM(LEFT(Sync!$AE439,FIND("/",Sync!$AE439)-1))),""))))</f>
        <v/>
      </c>
      <c r="H439">
        <f>IF(OR($F439="",$G439=""),"",IF(ISNUMBER(Sync!$AE439),INT(MOD(Sync!$AE439,10000)/100),IFERROR(VALUE(TRIM(LEFT(MID(Sync!$AE439,FIND("/",Sync!$AE439)+1,20),FIND("/",MID(Sync!$AE439,FIND("/",Sync!$AE439)+1,20))-1))),"")))</f>
        <v/>
      </c>
      <c r="I439">
        <f>IF(OR($F439="",$G439=""),"",IF(ISNUMBER(Sync!$AE439),MOD(Sync!$AE439,100),IFERROR(VALUE(TRIM(MID(MID(Sync!$AE439,FIND("/",Sync!$AE439)+1,20),FIND("/",MID(Sync!$AE439,FIND("/",Sync!$AE439)+1,20))+1,20))),"")))</f>
        <v/>
      </c>
      <c r="J439">
        <f>IF($F439="","",IF(OR($G439="",$H439="",$I439="",$G439&lt;1300,$G439&gt;1500,$H439&lt;1,$H439&gt;12,$I439&lt;1,$I439&gt;31),"نامعتبر",RIGHT("0000"&amp;$G439,4)&amp;"/"&amp;RIGHT("00"&amp;$H439,2)&amp;"/"&amp;RIGHT("00"&amp;$I439,2)))</f>
        <v/>
      </c>
      <c r="K439">
        <f>IF(OR($F439="",$J439="",$J439="نامعتبر"),"",LEFT($J439,4)&amp;MID($J439,6,2)&amp;RIGHT($J439,2)&amp;$N439&amp;"|"&amp;"2"&amp;RIGHT("00000"&amp;434,5))</f>
        <v/>
      </c>
      <c r="L439">
        <f>IF($K439="","",COUNTIFS(LdgSellerA,$F439,LdgKeyA,"&lt;"&amp;$K439)+COUNTIFS(LdgSellerB,$F439,LdgKeyB,"&lt;"&amp;$K439)+1)</f>
        <v/>
      </c>
      <c r="M439">
        <f>IF($L439="","",$F439&amp;"|"&amp;RIGHT("000000"&amp;$L439,6))</f>
        <v/>
      </c>
      <c r="N439">
        <f>IF($F439="","",IF(Sync!$AF439="","0000",IF(AND(ISNUMBER(Sync!$AF439),Sync!$AF439&gt;=0,Sync!$AF439&lt;1),RIGHT("00"&amp;HOUR(Sync!$AF439),2)&amp;RIGHT("00"&amp;MINUTE(Sync!$AF439),2),IFERROR(RIGHT("00"&amp;VALUE(LEFT(Sync!$AF439,FIND(":",Sync!$AF439)-1)),2)&amp;RIGHT("00"&amp;VALUE(MID(Sync!$AF439,FIND(":",Sync!$AF439)+1,2)),2),"0000"))))</f>
        <v/>
      </c>
    </row>
    <row r="440">
      <c r="A440">
        <f>IF(OR(Calc!$E444="",Calc!$E444="نامعتبر",Calc!$G444=""),"",Calc!$G444)</f>
        <v/>
      </c>
      <c r="B440">
        <f>IF($A440="","",LEFT(Calc!$E444,4)&amp;MID(Calc!$E444,6,2)&amp;RIGHT(Calc!$E444,2)&amp;Calc!$Q444&amp;"|"&amp;"1"&amp;RIGHT("00000"&amp;435,5))</f>
        <v/>
      </c>
      <c r="C440">
        <f>IF($B440="","",COUNTIFS(LdgSellerA,$A440,LdgKeyA,"&lt;"&amp;$B440)+COUNTIFS(LdgSellerB,$A440,LdgKeyB,"&lt;"&amp;$B440)+1)</f>
        <v/>
      </c>
      <c r="D440">
        <f>IF($C440="","",$A440&amp;"|"&amp;RIGHT("000000"&amp;$C440,6))</f>
        <v/>
      </c>
      <c r="F440">
        <f>IF(Sync!$AH440="","",IF(LEFT(UPPER(TRIM(Sync!$AH440)),2)="SL",UPPER(TRIM(Sync!$AH440)),""))</f>
        <v/>
      </c>
      <c r="G440">
        <f>IF($F440="","",IF(Sync!$AE440="","",IF(ISNUMBER(Sync!$AE440),IF(AND(Sync!$AE440&gt;=10000101,Sync!$AE440&lt;=99991231),INT(Sync!$AE440/10000),""),IFERROR(VALUE(TRIM(LEFT(Sync!$AE440,FIND("/",Sync!$AE440)-1))),""))))</f>
        <v/>
      </c>
      <c r="H440">
        <f>IF(OR($F440="",$G440=""),"",IF(ISNUMBER(Sync!$AE440),INT(MOD(Sync!$AE440,10000)/100),IFERROR(VALUE(TRIM(LEFT(MID(Sync!$AE440,FIND("/",Sync!$AE440)+1,20),FIND("/",MID(Sync!$AE440,FIND("/",Sync!$AE440)+1,20))-1))),"")))</f>
        <v/>
      </c>
      <c r="I440">
        <f>IF(OR($F440="",$G440=""),"",IF(ISNUMBER(Sync!$AE440),MOD(Sync!$AE440,100),IFERROR(VALUE(TRIM(MID(MID(Sync!$AE440,FIND("/",Sync!$AE440)+1,20),FIND("/",MID(Sync!$AE440,FIND("/",Sync!$AE440)+1,20))+1,20))),"")))</f>
        <v/>
      </c>
      <c r="J440">
        <f>IF($F440="","",IF(OR($G440="",$H440="",$I440="",$G440&lt;1300,$G440&gt;1500,$H440&lt;1,$H440&gt;12,$I440&lt;1,$I440&gt;31),"نامعتبر",RIGHT("0000"&amp;$G440,4)&amp;"/"&amp;RIGHT("00"&amp;$H440,2)&amp;"/"&amp;RIGHT("00"&amp;$I440,2)))</f>
        <v/>
      </c>
      <c r="K440">
        <f>IF(OR($F440="",$J440="",$J440="نامعتبر"),"",LEFT($J440,4)&amp;MID($J440,6,2)&amp;RIGHT($J440,2)&amp;$N440&amp;"|"&amp;"2"&amp;RIGHT("00000"&amp;435,5))</f>
        <v/>
      </c>
      <c r="L440">
        <f>IF($K440="","",COUNTIFS(LdgSellerA,$F440,LdgKeyA,"&lt;"&amp;$K440)+COUNTIFS(LdgSellerB,$F440,LdgKeyB,"&lt;"&amp;$K440)+1)</f>
        <v/>
      </c>
      <c r="M440">
        <f>IF($L440="","",$F440&amp;"|"&amp;RIGHT("000000"&amp;$L440,6))</f>
        <v/>
      </c>
      <c r="N440">
        <f>IF($F440="","",IF(Sync!$AF440="","0000",IF(AND(ISNUMBER(Sync!$AF440),Sync!$AF440&gt;=0,Sync!$AF440&lt;1),RIGHT("00"&amp;HOUR(Sync!$AF440),2)&amp;RIGHT("00"&amp;MINUTE(Sync!$AF440),2),IFERROR(RIGHT("00"&amp;VALUE(LEFT(Sync!$AF440,FIND(":",Sync!$AF440)-1)),2)&amp;RIGHT("00"&amp;VALUE(MID(Sync!$AF440,FIND(":",Sync!$AF440)+1,2)),2),"0000"))))</f>
        <v/>
      </c>
    </row>
    <row r="441">
      <c r="A441">
        <f>IF(OR(Calc!$E445="",Calc!$E445="نامعتبر",Calc!$G445=""),"",Calc!$G445)</f>
        <v/>
      </c>
      <c r="B441">
        <f>IF($A441="","",LEFT(Calc!$E445,4)&amp;MID(Calc!$E445,6,2)&amp;RIGHT(Calc!$E445,2)&amp;Calc!$Q445&amp;"|"&amp;"1"&amp;RIGHT("00000"&amp;436,5))</f>
        <v/>
      </c>
      <c r="C441">
        <f>IF($B441="","",COUNTIFS(LdgSellerA,$A441,LdgKeyA,"&lt;"&amp;$B441)+COUNTIFS(LdgSellerB,$A441,LdgKeyB,"&lt;"&amp;$B441)+1)</f>
        <v/>
      </c>
      <c r="D441">
        <f>IF($C441="","",$A441&amp;"|"&amp;RIGHT("000000"&amp;$C441,6))</f>
        <v/>
      </c>
      <c r="F441">
        <f>IF(Sync!$AH441="","",IF(LEFT(UPPER(TRIM(Sync!$AH441)),2)="SL",UPPER(TRIM(Sync!$AH441)),""))</f>
        <v/>
      </c>
      <c r="G441">
        <f>IF($F441="","",IF(Sync!$AE441="","",IF(ISNUMBER(Sync!$AE441),IF(AND(Sync!$AE441&gt;=10000101,Sync!$AE441&lt;=99991231),INT(Sync!$AE441/10000),""),IFERROR(VALUE(TRIM(LEFT(Sync!$AE441,FIND("/",Sync!$AE441)-1))),""))))</f>
        <v/>
      </c>
      <c r="H441">
        <f>IF(OR($F441="",$G441=""),"",IF(ISNUMBER(Sync!$AE441),INT(MOD(Sync!$AE441,10000)/100),IFERROR(VALUE(TRIM(LEFT(MID(Sync!$AE441,FIND("/",Sync!$AE441)+1,20),FIND("/",MID(Sync!$AE441,FIND("/",Sync!$AE441)+1,20))-1))),"")))</f>
        <v/>
      </c>
      <c r="I441">
        <f>IF(OR($F441="",$G441=""),"",IF(ISNUMBER(Sync!$AE441),MOD(Sync!$AE441,100),IFERROR(VALUE(TRIM(MID(MID(Sync!$AE441,FIND("/",Sync!$AE441)+1,20),FIND("/",MID(Sync!$AE441,FIND("/",Sync!$AE441)+1,20))+1,20))),"")))</f>
        <v/>
      </c>
      <c r="J441">
        <f>IF($F441="","",IF(OR($G441="",$H441="",$I441="",$G441&lt;1300,$G441&gt;1500,$H441&lt;1,$H441&gt;12,$I441&lt;1,$I441&gt;31),"نامعتبر",RIGHT("0000"&amp;$G441,4)&amp;"/"&amp;RIGHT("00"&amp;$H441,2)&amp;"/"&amp;RIGHT("00"&amp;$I441,2)))</f>
        <v/>
      </c>
      <c r="K441">
        <f>IF(OR($F441="",$J441="",$J441="نامعتبر"),"",LEFT($J441,4)&amp;MID($J441,6,2)&amp;RIGHT($J441,2)&amp;$N441&amp;"|"&amp;"2"&amp;RIGHT("00000"&amp;436,5))</f>
        <v/>
      </c>
      <c r="L441">
        <f>IF($K441="","",COUNTIFS(LdgSellerA,$F441,LdgKeyA,"&lt;"&amp;$K441)+COUNTIFS(LdgSellerB,$F441,LdgKeyB,"&lt;"&amp;$K441)+1)</f>
        <v/>
      </c>
      <c r="M441">
        <f>IF($L441="","",$F441&amp;"|"&amp;RIGHT("000000"&amp;$L441,6))</f>
        <v/>
      </c>
      <c r="N441">
        <f>IF($F441="","",IF(Sync!$AF441="","0000",IF(AND(ISNUMBER(Sync!$AF441),Sync!$AF441&gt;=0,Sync!$AF441&lt;1),RIGHT("00"&amp;HOUR(Sync!$AF441),2)&amp;RIGHT("00"&amp;MINUTE(Sync!$AF441),2),IFERROR(RIGHT("00"&amp;VALUE(LEFT(Sync!$AF441,FIND(":",Sync!$AF441)-1)),2)&amp;RIGHT("00"&amp;VALUE(MID(Sync!$AF441,FIND(":",Sync!$AF441)+1,2)),2),"0000"))))</f>
        <v/>
      </c>
    </row>
    <row r="442">
      <c r="A442">
        <f>IF(OR(Calc!$E446="",Calc!$E446="نامعتبر",Calc!$G446=""),"",Calc!$G446)</f>
        <v/>
      </c>
      <c r="B442">
        <f>IF($A442="","",LEFT(Calc!$E446,4)&amp;MID(Calc!$E446,6,2)&amp;RIGHT(Calc!$E446,2)&amp;Calc!$Q446&amp;"|"&amp;"1"&amp;RIGHT("00000"&amp;437,5))</f>
        <v/>
      </c>
      <c r="C442">
        <f>IF($B442="","",COUNTIFS(LdgSellerA,$A442,LdgKeyA,"&lt;"&amp;$B442)+COUNTIFS(LdgSellerB,$A442,LdgKeyB,"&lt;"&amp;$B442)+1)</f>
        <v/>
      </c>
      <c r="D442">
        <f>IF($C442="","",$A442&amp;"|"&amp;RIGHT("000000"&amp;$C442,6))</f>
        <v/>
      </c>
      <c r="F442">
        <f>IF(Sync!$AH442="","",IF(LEFT(UPPER(TRIM(Sync!$AH442)),2)="SL",UPPER(TRIM(Sync!$AH442)),""))</f>
        <v/>
      </c>
      <c r="G442">
        <f>IF($F442="","",IF(Sync!$AE442="","",IF(ISNUMBER(Sync!$AE442),IF(AND(Sync!$AE442&gt;=10000101,Sync!$AE442&lt;=99991231),INT(Sync!$AE442/10000),""),IFERROR(VALUE(TRIM(LEFT(Sync!$AE442,FIND("/",Sync!$AE442)-1))),""))))</f>
        <v/>
      </c>
      <c r="H442">
        <f>IF(OR($F442="",$G442=""),"",IF(ISNUMBER(Sync!$AE442),INT(MOD(Sync!$AE442,10000)/100),IFERROR(VALUE(TRIM(LEFT(MID(Sync!$AE442,FIND("/",Sync!$AE442)+1,20),FIND("/",MID(Sync!$AE442,FIND("/",Sync!$AE442)+1,20))-1))),"")))</f>
        <v/>
      </c>
      <c r="I442">
        <f>IF(OR($F442="",$G442=""),"",IF(ISNUMBER(Sync!$AE442),MOD(Sync!$AE442,100),IFERROR(VALUE(TRIM(MID(MID(Sync!$AE442,FIND("/",Sync!$AE442)+1,20),FIND("/",MID(Sync!$AE442,FIND("/",Sync!$AE442)+1,20))+1,20))),"")))</f>
        <v/>
      </c>
      <c r="J442">
        <f>IF($F442="","",IF(OR($G442="",$H442="",$I442="",$G442&lt;1300,$G442&gt;1500,$H442&lt;1,$H442&gt;12,$I442&lt;1,$I442&gt;31),"نامعتبر",RIGHT("0000"&amp;$G442,4)&amp;"/"&amp;RIGHT("00"&amp;$H442,2)&amp;"/"&amp;RIGHT("00"&amp;$I442,2)))</f>
        <v/>
      </c>
      <c r="K442">
        <f>IF(OR($F442="",$J442="",$J442="نامعتبر"),"",LEFT($J442,4)&amp;MID($J442,6,2)&amp;RIGHT($J442,2)&amp;$N442&amp;"|"&amp;"2"&amp;RIGHT("00000"&amp;437,5))</f>
        <v/>
      </c>
      <c r="L442">
        <f>IF($K442="","",COUNTIFS(LdgSellerA,$F442,LdgKeyA,"&lt;"&amp;$K442)+COUNTIFS(LdgSellerB,$F442,LdgKeyB,"&lt;"&amp;$K442)+1)</f>
        <v/>
      </c>
      <c r="M442">
        <f>IF($L442="","",$F442&amp;"|"&amp;RIGHT("000000"&amp;$L442,6))</f>
        <v/>
      </c>
      <c r="N442">
        <f>IF($F442="","",IF(Sync!$AF442="","0000",IF(AND(ISNUMBER(Sync!$AF442),Sync!$AF442&gt;=0,Sync!$AF442&lt;1),RIGHT("00"&amp;HOUR(Sync!$AF442),2)&amp;RIGHT("00"&amp;MINUTE(Sync!$AF442),2),IFERROR(RIGHT("00"&amp;VALUE(LEFT(Sync!$AF442,FIND(":",Sync!$AF442)-1)),2)&amp;RIGHT("00"&amp;VALUE(MID(Sync!$AF442,FIND(":",Sync!$AF442)+1,2)),2),"0000"))))</f>
        <v/>
      </c>
    </row>
    <row r="443">
      <c r="A443">
        <f>IF(OR(Calc!$E447="",Calc!$E447="نامعتبر",Calc!$G447=""),"",Calc!$G447)</f>
        <v/>
      </c>
      <c r="B443">
        <f>IF($A443="","",LEFT(Calc!$E447,4)&amp;MID(Calc!$E447,6,2)&amp;RIGHT(Calc!$E447,2)&amp;Calc!$Q447&amp;"|"&amp;"1"&amp;RIGHT("00000"&amp;438,5))</f>
        <v/>
      </c>
      <c r="C443">
        <f>IF($B443="","",COUNTIFS(LdgSellerA,$A443,LdgKeyA,"&lt;"&amp;$B443)+COUNTIFS(LdgSellerB,$A443,LdgKeyB,"&lt;"&amp;$B443)+1)</f>
        <v/>
      </c>
      <c r="D443">
        <f>IF($C443="","",$A443&amp;"|"&amp;RIGHT("000000"&amp;$C443,6))</f>
        <v/>
      </c>
      <c r="F443">
        <f>IF(Sync!$AH443="","",IF(LEFT(UPPER(TRIM(Sync!$AH443)),2)="SL",UPPER(TRIM(Sync!$AH443)),""))</f>
        <v/>
      </c>
      <c r="G443">
        <f>IF($F443="","",IF(Sync!$AE443="","",IF(ISNUMBER(Sync!$AE443),IF(AND(Sync!$AE443&gt;=10000101,Sync!$AE443&lt;=99991231),INT(Sync!$AE443/10000),""),IFERROR(VALUE(TRIM(LEFT(Sync!$AE443,FIND("/",Sync!$AE443)-1))),""))))</f>
        <v/>
      </c>
      <c r="H443">
        <f>IF(OR($F443="",$G443=""),"",IF(ISNUMBER(Sync!$AE443),INT(MOD(Sync!$AE443,10000)/100),IFERROR(VALUE(TRIM(LEFT(MID(Sync!$AE443,FIND("/",Sync!$AE443)+1,20),FIND("/",MID(Sync!$AE443,FIND("/",Sync!$AE443)+1,20))-1))),"")))</f>
        <v/>
      </c>
      <c r="I443">
        <f>IF(OR($F443="",$G443=""),"",IF(ISNUMBER(Sync!$AE443),MOD(Sync!$AE443,100),IFERROR(VALUE(TRIM(MID(MID(Sync!$AE443,FIND("/",Sync!$AE443)+1,20),FIND("/",MID(Sync!$AE443,FIND("/",Sync!$AE443)+1,20))+1,20))),"")))</f>
        <v/>
      </c>
      <c r="J443">
        <f>IF($F443="","",IF(OR($G443="",$H443="",$I443="",$G443&lt;1300,$G443&gt;1500,$H443&lt;1,$H443&gt;12,$I443&lt;1,$I443&gt;31),"نامعتبر",RIGHT("0000"&amp;$G443,4)&amp;"/"&amp;RIGHT("00"&amp;$H443,2)&amp;"/"&amp;RIGHT("00"&amp;$I443,2)))</f>
        <v/>
      </c>
      <c r="K443">
        <f>IF(OR($F443="",$J443="",$J443="نامعتبر"),"",LEFT($J443,4)&amp;MID($J443,6,2)&amp;RIGHT($J443,2)&amp;$N443&amp;"|"&amp;"2"&amp;RIGHT("00000"&amp;438,5))</f>
        <v/>
      </c>
      <c r="L443">
        <f>IF($K443="","",COUNTIFS(LdgSellerA,$F443,LdgKeyA,"&lt;"&amp;$K443)+COUNTIFS(LdgSellerB,$F443,LdgKeyB,"&lt;"&amp;$K443)+1)</f>
        <v/>
      </c>
      <c r="M443">
        <f>IF($L443="","",$F443&amp;"|"&amp;RIGHT("000000"&amp;$L443,6))</f>
        <v/>
      </c>
      <c r="N443">
        <f>IF($F443="","",IF(Sync!$AF443="","0000",IF(AND(ISNUMBER(Sync!$AF443),Sync!$AF443&gt;=0,Sync!$AF443&lt;1),RIGHT("00"&amp;HOUR(Sync!$AF443),2)&amp;RIGHT("00"&amp;MINUTE(Sync!$AF443),2),IFERROR(RIGHT("00"&amp;VALUE(LEFT(Sync!$AF443,FIND(":",Sync!$AF443)-1)),2)&amp;RIGHT("00"&amp;VALUE(MID(Sync!$AF443,FIND(":",Sync!$AF443)+1,2)),2),"0000"))))</f>
        <v/>
      </c>
    </row>
    <row r="444">
      <c r="A444">
        <f>IF(OR(Calc!$E448="",Calc!$E448="نامعتبر",Calc!$G448=""),"",Calc!$G448)</f>
        <v/>
      </c>
      <c r="B444">
        <f>IF($A444="","",LEFT(Calc!$E448,4)&amp;MID(Calc!$E448,6,2)&amp;RIGHT(Calc!$E448,2)&amp;Calc!$Q448&amp;"|"&amp;"1"&amp;RIGHT("00000"&amp;439,5))</f>
        <v/>
      </c>
      <c r="C444">
        <f>IF($B444="","",COUNTIFS(LdgSellerA,$A444,LdgKeyA,"&lt;"&amp;$B444)+COUNTIFS(LdgSellerB,$A444,LdgKeyB,"&lt;"&amp;$B444)+1)</f>
        <v/>
      </c>
      <c r="D444">
        <f>IF($C444="","",$A444&amp;"|"&amp;RIGHT("000000"&amp;$C444,6))</f>
        <v/>
      </c>
      <c r="F444">
        <f>IF(Sync!$AH444="","",IF(LEFT(UPPER(TRIM(Sync!$AH444)),2)="SL",UPPER(TRIM(Sync!$AH444)),""))</f>
        <v/>
      </c>
      <c r="G444">
        <f>IF($F444="","",IF(Sync!$AE444="","",IF(ISNUMBER(Sync!$AE444),IF(AND(Sync!$AE444&gt;=10000101,Sync!$AE444&lt;=99991231),INT(Sync!$AE444/10000),""),IFERROR(VALUE(TRIM(LEFT(Sync!$AE444,FIND("/",Sync!$AE444)-1))),""))))</f>
        <v/>
      </c>
      <c r="H444">
        <f>IF(OR($F444="",$G444=""),"",IF(ISNUMBER(Sync!$AE444),INT(MOD(Sync!$AE444,10000)/100),IFERROR(VALUE(TRIM(LEFT(MID(Sync!$AE444,FIND("/",Sync!$AE444)+1,20),FIND("/",MID(Sync!$AE444,FIND("/",Sync!$AE444)+1,20))-1))),"")))</f>
        <v/>
      </c>
      <c r="I444">
        <f>IF(OR($F444="",$G444=""),"",IF(ISNUMBER(Sync!$AE444),MOD(Sync!$AE444,100),IFERROR(VALUE(TRIM(MID(MID(Sync!$AE444,FIND("/",Sync!$AE444)+1,20),FIND("/",MID(Sync!$AE444,FIND("/",Sync!$AE444)+1,20))+1,20))),"")))</f>
        <v/>
      </c>
      <c r="J444">
        <f>IF($F444="","",IF(OR($G444="",$H444="",$I444="",$G444&lt;1300,$G444&gt;1500,$H444&lt;1,$H444&gt;12,$I444&lt;1,$I444&gt;31),"نامعتبر",RIGHT("0000"&amp;$G444,4)&amp;"/"&amp;RIGHT("00"&amp;$H444,2)&amp;"/"&amp;RIGHT("00"&amp;$I444,2)))</f>
        <v/>
      </c>
      <c r="K444">
        <f>IF(OR($F444="",$J444="",$J444="نامعتبر"),"",LEFT($J444,4)&amp;MID($J444,6,2)&amp;RIGHT($J444,2)&amp;$N444&amp;"|"&amp;"2"&amp;RIGHT("00000"&amp;439,5))</f>
        <v/>
      </c>
      <c r="L444">
        <f>IF($K444="","",COUNTIFS(LdgSellerA,$F444,LdgKeyA,"&lt;"&amp;$K444)+COUNTIFS(LdgSellerB,$F444,LdgKeyB,"&lt;"&amp;$K444)+1)</f>
        <v/>
      </c>
      <c r="M444">
        <f>IF($L444="","",$F444&amp;"|"&amp;RIGHT("000000"&amp;$L444,6))</f>
        <v/>
      </c>
      <c r="N444">
        <f>IF($F444="","",IF(Sync!$AF444="","0000",IF(AND(ISNUMBER(Sync!$AF444),Sync!$AF444&gt;=0,Sync!$AF444&lt;1),RIGHT("00"&amp;HOUR(Sync!$AF444),2)&amp;RIGHT("00"&amp;MINUTE(Sync!$AF444),2),IFERROR(RIGHT("00"&amp;VALUE(LEFT(Sync!$AF444,FIND(":",Sync!$AF444)-1)),2)&amp;RIGHT("00"&amp;VALUE(MID(Sync!$AF444,FIND(":",Sync!$AF444)+1,2)),2),"0000"))))</f>
        <v/>
      </c>
    </row>
    <row r="445">
      <c r="A445">
        <f>IF(OR(Calc!$E449="",Calc!$E449="نامعتبر",Calc!$G449=""),"",Calc!$G449)</f>
        <v/>
      </c>
      <c r="B445">
        <f>IF($A445="","",LEFT(Calc!$E449,4)&amp;MID(Calc!$E449,6,2)&amp;RIGHT(Calc!$E449,2)&amp;Calc!$Q449&amp;"|"&amp;"1"&amp;RIGHT("00000"&amp;440,5))</f>
        <v/>
      </c>
      <c r="C445">
        <f>IF($B445="","",COUNTIFS(LdgSellerA,$A445,LdgKeyA,"&lt;"&amp;$B445)+COUNTIFS(LdgSellerB,$A445,LdgKeyB,"&lt;"&amp;$B445)+1)</f>
        <v/>
      </c>
      <c r="D445">
        <f>IF($C445="","",$A445&amp;"|"&amp;RIGHT("000000"&amp;$C445,6))</f>
        <v/>
      </c>
      <c r="F445">
        <f>IF(Sync!$AH445="","",IF(LEFT(UPPER(TRIM(Sync!$AH445)),2)="SL",UPPER(TRIM(Sync!$AH445)),""))</f>
        <v/>
      </c>
      <c r="G445">
        <f>IF($F445="","",IF(Sync!$AE445="","",IF(ISNUMBER(Sync!$AE445),IF(AND(Sync!$AE445&gt;=10000101,Sync!$AE445&lt;=99991231),INT(Sync!$AE445/10000),""),IFERROR(VALUE(TRIM(LEFT(Sync!$AE445,FIND("/",Sync!$AE445)-1))),""))))</f>
        <v/>
      </c>
      <c r="H445">
        <f>IF(OR($F445="",$G445=""),"",IF(ISNUMBER(Sync!$AE445),INT(MOD(Sync!$AE445,10000)/100),IFERROR(VALUE(TRIM(LEFT(MID(Sync!$AE445,FIND("/",Sync!$AE445)+1,20),FIND("/",MID(Sync!$AE445,FIND("/",Sync!$AE445)+1,20))-1))),"")))</f>
        <v/>
      </c>
      <c r="I445">
        <f>IF(OR($F445="",$G445=""),"",IF(ISNUMBER(Sync!$AE445),MOD(Sync!$AE445,100),IFERROR(VALUE(TRIM(MID(MID(Sync!$AE445,FIND("/",Sync!$AE445)+1,20),FIND("/",MID(Sync!$AE445,FIND("/",Sync!$AE445)+1,20))+1,20))),"")))</f>
        <v/>
      </c>
      <c r="J445">
        <f>IF($F445="","",IF(OR($G445="",$H445="",$I445="",$G445&lt;1300,$G445&gt;1500,$H445&lt;1,$H445&gt;12,$I445&lt;1,$I445&gt;31),"نامعتبر",RIGHT("0000"&amp;$G445,4)&amp;"/"&amp;RIGHT("00"&amp;$H445,2)&amp;"/"&amp;RIGHT("00"&amp;$I445,2)))</f>
        <v/>
      </c>
      <c r="K445">
        <f>IF(OR($F445="",$J445="",$J445="نامعتبر"),"",LEFT($J445,4)&amp;MID($J445,6,2)&amp;RIGHT($J445,2)&amp;$N445&amp;"|"&amp;"2"&amp;RIGHT("00000"&amp;440,5))</f>
        <v/>
      </c>
      <c r="L445">
        <f>IF($K445="","",COUNTIFS(LdgSellerA,$F445,LdgKeyA,"&lt;"&amp;$K445)+COUNTIFS(LdgSellerB,$F445,LdgKeyB,"&lt;"&amp;$K445)+1)</f>
        <v/>
      </c>
      <c r="M445">
        <f>IF($L445="","",$F445&amp;"|"&amp;RIGHT("000000"&amp;$L445,6))</f>
        <v/>
      </c>
      <c r="N445">
        <f>IF($F445="","",IF(Sync!$AF445="","0000",IF(AND(ISNUMBER(Sync!$AF445),Sync!$AF445&gt;=0,Sync!$AF445&lt;1),RIGHT("00"&amp;HOUR(Sync!$AF445),2)&amp;RIGHT("00"&amp;MINUTE(Sync!$AF445),2),IFERROR(RIGHT("00"&amp;VALUE(LEFT(Sync!$AF445,FIND(":",Sync!$AF445)-1)),2)&amp;RIGHT("00"&amp;VALUE(MID(Sync!$AF445,FIND(":",Sync!$AF445)+1,2)),2),"0000"))))</f>
        <v/>
      </c>
    </row>
    <row r="446">
      <c r="A446">
        <f>IF(OR(Calc!$E450="",Calc!$E450="نامعتبر",Calc!$G450=""),"",Calc!$G450)</f>
        <v/>
      </c>
      <c r="B446">
        <f>IF($A446="","",LEFT(Calc!$E450,4)&amp;MID(Calc!$E450,6,2)&amp;RIGHT(Calc!$E450,2)&amp;Calc!$Q450&amp;"|"&amp;"1"&amp;RIGHT("00000"&amp;441,5))</f>
        <v/>
      </c>
      <c r="C446">
        <f>IF($B446="","",COUNTIFS(LdgSellerA,$A446,LdgKeyA,"&lt;"&amp;$B446)+COUNTIFS(LdgSellerB,$A446,LdgKeyB,"&lt;"&amp;$B446)+1)</f>
        <v/>
      </c>
      <c r="D446">
        <f>IF($C446="","",$A446&amp;"|"&amp;RIGHT("000000"&amp;$C446,6))</f>
        <v/>
      </c>
      <c r="F446">
        <f>IF(Sync!$AH446="","",IF(LEFT(UPPER(TRIM(Sync!$AH446)),2)="SL",UPPER(TRIM(Sync!$AH446)),""))</f>
        <v/>
      </c>
      <c r="G446">
        <f>IF($F446="","",IF(Sync!$AE446="","",IF(ISNUMBER(Sync!$AE446),IF(AND(Sync!$AE446&gt;=10000101,Sync!$AE446&lt;=99991231),INT(Sync!$AE446/10000),""),IFERROR(VALUE(TRIM(LEFT(Sync!$AE446,FIND("/",Sync!$AE446)-1))),""))))</f>
        <v/>
      </c>
      <c r="H446">
        <f>IF(OR($F446="",$G446=""),"",IF(ISNUMBER(Sync!$AE446),INT(MOD(Sync!$AE446,10000)/100),IFERROR(VALUE(TRIM(LEFT(MID(Sync!$AE446,FIND("/",Sync!$AE446)+1,20),FIND("/",MID(Sync!$AE446,FIND("/",Sync!$AE446)+1,20))-1))),"")))</f>
        <v/>
      </c>
      <c r="I446">
        <f>IF(OR($F446="",$G446=""),"",IF(ISNUMBER(Sync!$AE446),MOD(Sync!$AE446,100),IFERROR(VALUE(TRIM(MID(MID(Sync!$AE446,FIND("/",Sync!$AE446)+1,20),FIND("/",MID(Sync!$AE446,FIND("/",Sync!$AE446)+1,20))+1,20))),"")))</f>
        <v/>
      </c>
      <c r="J446">
        <f>IF($F446="","",IF(OR($G446="",$H446="",$I446="",$G446&lt;1300,$G446&gt;1500,$H446&lt;1,$H446&gt;12,$I446&lt;1,$I446&gt;31),"نامعتبر",RIGHT("0000"&amp;$G446,4)&amp;"/"&amp;RIGHT("00"&amp;$H446,2)&amp;"/"&amp;RIGHT("00"&amp;$I446,2)))</f>
        <v/>
      </c>
      <c r="K446">
        <f>IF(OR($F446="",$J446="",$J446="نامعتبر"),"",LEFT($J446,4)&amp;MID($J446,6,2)&amp;RIGHT($J446,2)&amp;$N446&amp;"|"&amp;"2"&amp;RIGHT("00000"&amp;441,5))</f>
        <v/>
      </c>
      <c r="L446">
        <f>IF($K446="","",COUNTIFS(LdgSellerA,$F446,LdgKeyA,"&lt;"&amp;$K446)+COUNTIFS(LdgSellerB,$F446,LdgKeyB,"&lt;"&amp;$K446)+1)</f>
        <v/>
      </c>
      <c r="M446">
        <f>IF($L446="","",$F446&amp;"|"&amp;RIGHT("000000"&amp;$L446,6))</f>
        <v/>
      </c>
      <c r="N446">
        <f>IF($F446="","",IF(Sync!$AF446="","0000",IF(AND(ISNUMBER(Sync!$AF446),Sync!$AF446&gt;=0,Sync!$AF446&lt;1),RIGHT("00"&amp;HOUR(Sync!$AF446),2)&amp;RIGHT("00"&amp;MINUTE(Sync!$AF446),2),IFERROR(RIGHT("00"&amp;VALUE(LEFT(Sync!$AF446,FIND(":",Sync!$AF446)-1)),2)&amp;RIGHT("00"&amp;VALUE(MID(Sync!$AF446,FIND(":",Sync!$AF446)+1,2)),2),"0000"))))</f>
        <v/>
      </c>
    </row>
    <row r="447">
      <c r="A447">
        <f>IF(OR(Calc!$E451="",Calc!$E451="نامعتبر",Calc!$G451=""),"",Calc!$G451)</f>
        <v/>
      </c>
      <c r="B447">
        <f>IF($A447="","",LEFT(Calc!$E451,4)&amp;MID(Calc!$E451,6,2)&amp;RIGHT(Calc!$E451,2)&amp;Calc!$Q451&amp;"|"&amp;"1"&amp;RIGHT("00000"&amp;442,5))</f>
        <v/>
      </c>
      <c r="C447">
        <f>IF($B447="","",COUNTIFS(LdgSellerA,$A447,LdgKeyA,"&lt;"&amp;$B447)+COUNTIFS(LdgSellerB,$A447,LdgKeyB,"&lt;"&amp;$B447)+1)</f>
        <v/>
      </c>
      <c r="D447">
        <f>IF($C447="","",$A447&amp;"|"&amp;RIGHT("000000"&amp;$C447,6))</f>
        <v/>
      </c>
      <c r="F447">
        <f>IF(Sync!$AH447="","",IF(LEFT(UPPER(TRIM(Sync!$AH447)),2)="SL",UPPER(TRIM(Sync!$AH447)),""))</f>
        <v/>
      </c>
      <c r="G447">
        <f>IF($F447="","",IF(Sync!$AE447="","",IF(ISNUMBER(Sync!$AE447),IF(AND(Sync!$AE447&gt;=10000101,Sync!$AE447&lt;=99991231),INT(Sync!$AE447/10000),""),IFERROR(VALUE(TRIM(LEFT(Sync!$AE447,FIND("/",Sync!$AE447)-1))),""))))</f>
        <v/>
      </c>
      <c r="H447">
        <f>IF(OR($F447="",$G447=""),"",IF(ISNUMBER(Sync!$AE447),INT(MOD(Sync!$AE447,10000)/100),IFERROR(VALUE(TRIM(LEFT(MID(Sync!$AE447,FIND("/",Sync!$AE447)+1,20),FIND("/",MID(Sync!$AE447,FIND("/",Sync!$AE447)+1,20))-1))),"")))</f>
        <v/>
      </c>
      <c r="I447">
        <f>IF(OR($F447="",$G447=""),"",IF(ISNUMBER(Sync!$AE447),MOD(Sync!$AE447,100),IFERROR(VALUE(TRIM(MID(MID(Sync!$AE447,FIND("/",Sync!$AE447)+1,20),FIND("/",MID(Sync!$AE447,FIND("/",Sync!$AE447)+1,20))+1,20))),"")))</f>
        <v/>
      </c>
      <c r="J447">
        <f>IF($F447="","",IF(OR($G447="",$H447="",$I447="",$G447&lt;1300,$G447&gt;1500,$H447&lt;1,$H447&gt;12,$I447&lt;1,$I447&gt;31),"نامعتبر",RIGHT("0000"&amp;$G447,4)&amp;"/"&amp;RIGHT("00"&amp;$H447,2)&amp;"/"&amp;RIGHT("00"&amp;$I447,2)))</f>
        <v/>
      </c>
      <c r="K447">
        <f>IF(OR($F447="",$J447="",$J447="نامعتبر"),"",LEFT($J447,4)&amp;MID($J447,6,2)&amp;RIGHT($J447,2)&amp;$N447&amp;"|"&amp;"2"&amp;RIGHT("00000"&amp;442,5))</f>
        <v/>
      </c>
      <c r="L447">
        <f>IF($K447="","",COUNTIFS(LdgSellerA,$F447,LdgKeyA,"&lt;"&amp;$K447)+COUNTIFS(LdgSellerB,$F447,LdgKeyB,"&lt;"&amp;$K447)+1)</f>
        <v/>
      </c>
      <c r="M447">
        <f>IF($L447="","",$F447&amp;"|"&amp;RIGHT("000000"&amp;$L447,6))</f>
        <v/>
      </c>
      <c r="N447">
        <f>IF($F447="","",IF(Sync!$AF447="","0000",IF(AND(ISNUMBER(Sync!$AF447),Sync!$AF447&gt;=0,Sync!$AF447&lt;1),RIGHT("00"&amp;HOUR(Sync!$AF447),2)&amp;RIGHT("00"&amp;MINUTE(Sync!$AF447),2),IFERROR(RIGHT("00"&amp;VALUE(LEFT(Sync!$AF447,FIND(":",Sync!$AF447)-1)),2)&amp;RIGHT("00"&amp;VALUE(MID(Sync!$AF447,FIND(":",Sync!$AF447)+1,2)),2),"0000"))))</f>
        <v/>
      </c>
    </row>
    <row r="448">
      <c r="A448">
        <f>IF(OR(Calc!$E452="",Calc!$E452="نامعتبر",Calc!$G452=""),"",Calc!$G452)</f>
        <v/>
      </c>
      <c r="B448">
        <f>IF($A448="","",LEFT(Calc!$E452,4)&amp;MID(Calc!$E452,6,2)&amp;RIGHT(Calc!$E452,2)&amp;Calc!$Q452&amp;"|"&amp;"1"&amp;RIGHT("00000"&amp;443,5))</f>
        <v/>
      </c>
      <c r="C448">
        <f>IF($B448="","",COUNTIFS(LdgSellerA,$A448,LdgKeyA,"&lt;"&amp;$B448)+COUNTIFS(LdgSellerB,$A448,LdgKeyB,"&lt;"&amp;$B448)+1)</f>
        <v/>
      </c>
      <c r="D448">
        <f>IF($C448="","",$A448&amp;"|"&amp;RIGHT("000000"&amp;$C448,6))</f>
        <v/>
      </c>
      <c r="F448">
        <f>IF(Sync!$AH448="","",IF(LEFT(UPPER(TRIM(Sync!$AH448)),2)="SL",UPPER(TRIM(Sync!$AH448)),""))</f>
        <v/>
      </c>
      <c r="G448">
        <f>IF($F448="","",IF(Sync!$AE448="","",IF(ISNUMBER(Sync!$AE448),IF(AND(Sync!$AE448&gt;=10000101,Sync!$AE448&lt;=99991231),INT(Sync!$AE448/10000),""),IFERROR(VALUE(TRIM(LEFT(Sync!$AE448,FIND("/",Sync!$AE448)-1))),""))))</f>
        <v/>
      </c>
      <c r="H448">
        <f>IF(OR($F448="",$G448=""),"",IF(ISNUMBER(Sync!$AE448),INT(MOD(Sync!$AE448,10000)/100),IFERROR(VALUE(TRIM(LEFT(MID(Sync!$AE448,FIND("/",Sync!$AE448)+1,20),FIND("/",MID(Sync!$AE448,FIND("/",Sync!$AE448)+1,20))-1))),"")))</f>
        <v/>
      </c>
      <c r="I448">
        <f>IF(OR($F448="",$G448=""),"",IF(ISNUMBER(Sync!$AE448),MOD(Sync!$AE448,100),IFERROR(VALUE(TRIM(MID(MID(Sync!$AE448,FIND("/",Sync!$AE448)+1,20),FIND("/",MID(Sync!$AE448,FIND("/",Sync!$AE448)+1,20))+1,20))),"")))</f>
        <v/>
      </c>
      <c r="J448">
        <f>IF($F448="","",IF(OR($G448="",$H448="",$I448="",$G448&lt;1300,$G448&gt;1500,$H448&lt;1,$H448&gt;12,$I448&lt;1,$I448&gt;31),"نامعتبر",RIGHT("0000"&amp;$G448,4)&amp;"/"&amp;RIGHT("00"&amp;$H448,2)&amp;"/"&amp;RIGHT("00"&amp;$I448,2)))</f>
        <v/>
      </c>
      <c r="K448">
        <f>IF(OR($F448="",$J448="",$J448="نامعتبر"),"",LEFT($J448,4)&amp;MID($J448,6,2)&amp;RIGHT($J448,2)&amp;$N448&amp;"|"&amp;"2"&amp;RIGHT("00000"&amp;443,5))</f>
        <v/>
      </c>
      <c r="L448">
        <f>IF($K448="","",COUNTIFS(LdgSellerA,$F448,LdgKeyA,"&lt;"&amp;$K448)+COUNTIFS(LdgSellerB,$F448,LdgKeyB,"&lt;"&amp;$K448)+1)</f>
        <v/>
      </c>
      <c r="M448">
        <f>IF($L448="","",$F448&amp;"|"&amp;RIGHT("000000"&amp;$L448,6))</f>
        <v/>
      </c>
      <c r="N448">
        <f>IF($F448="","",IF(Sync!$AF448="","0000",IF(AND(ISNUMBER(Sync!$AF448),Sync!$AF448&gt;=0,Sync!$AF448&lt;1),RIGHT("00"&amp;HOUR(Sync!$AF448),2)&amp;RIGHT("00"&amp;MINUTE(Sync!$AF448),2),IFERROR(RIGHT("00"&amp;VALUE(LEFT(Sync!$AF448,FIND(":",Sync!$AF448)-1)),2)&amp;RIGHT("00"&amp;VALUE(MID(Sync!$AF448,FIND(":",Sync!$AF448)+1,2)),2),"0000"))))</f>
        <v/>
      </c>
    </row>
    <row r="449">
      <c r="A449">
        <f>IF(OR(Calc!$E453="",Calc!$E453="نامعتبر",Calc!$G453=""),"",Calc!$G453)</f>
        <v/>
      </c>
      <c r="B449">
        <f>IF($A449="","",LEFT(Calc!$E453,4)&amp;MID(Calc!$E453,6,2)&amp;RIGHT(Calc!$E453,2)&amp;Calc!$Q453&amp;"|"&amp;"1"&amp;RIGHT("00000"&amp;444,5))</f>
        <v/>
      </c>
      <c r="C449">
        <f>IF($B449="","",COUNTIFS(LdgSellerA,$A449,LdgKeyA,"&lt;"&amp;$B449)+COUNTIFS(LdgSellerB,$A449,LdgKeyB,"&lt;"&amp;$B449)+1)</f>
        <v/>
      </c>
      <c r="D449">
        <f>IF($C449="","",$A449&amp;"|"&amp;RIGHT("000000"&amp;$C449,6))</f>
        <v/>
      </c>
      <c r="F449">
        <f>IF(Sync!$AH449="","",IF(LEFT(UPPER(TRIM(Sync!$AH449)),2)="SL",UPPER(TRIM(Sync!$AH449)),""))</f>
        <v/>
      </c>
      <c r="G449">
        <f>IF($F449="","",IF(Sync!$AE449="","",IF(ISNUMBER(Sync!$AE449),IF(AND(Sync!$AE449&gt;=10000101,Sync!$AE449&lt;=99991231),INT(Sync!$AE449/10000),""),IFERROR(VALUE(TRIM(LEFT(Sync!$AE449,FIND("/",Sync!$AE449)-1))),""))))</f>
        <v/>
      </c>
      <c r="H449">
        <f>IF(OR($F449="",$G449=""),"",IF(ISNUMBER(Sync!$AE449),INT(MOD(Sync!$AE449,10000)/100),IFERROR(VALUE(TRIM(LEFT(MID(Sync!$AE449,FIND("/",Sync!$AE449)+1,20),FIND("/",MID(Sync!$AE449,FIND("/",Sync!$AE449)+1,20))-1))),"")))</f>
        <v/>
      </c>
      <c r="I449">
        <f>IF(OR($F449="",$G449=""),"",IF(ISNUMBER(Sync!$AE449),MOD(Sync!$AE449,100),IFERROR(VALUE(TRIM(MID(MID(Sync!$AE449,FIND("/",Sync!$AE449)+1,20),FIND("/",MID(Sync!$AE449,FIND("/",Sync!$AE449)+1,20))+1,20))),"")))</f>
        <v/>
      </c>
      <c r="J449">
        <f>IF($F449="","",IF(OR($G449="",$H449="",$I449="",$G449&lt;1300,$G449&gt;1500,$H449&lt;1,$H449&gt;12,$I449&lt;1,$I449&gt;31),"نامعتبر",RIGHT("0000"&amp;$G449,4)&amp;"/"&amp;RIGHT("00"&amp;$H449,2)&amp;"/"&amp;RIGHT("00"&amp;$I449,2)))</f>
        <v/>
      </c>
      <c r="K449">
        <f>IF(OR($F449="",$J449="",$J449="نامعتبر"),"",LEFT($J449,4)&amp;MID($J449,6,2)&amp;RIGHT($J449,2)&amp;$N449&amp;"|"&amp;"2"&amp;RIGHT("00000"&amp;444,5))</f>
        <v/>
      </c>
      <c r="L449">
        <f>IF($K449="","",COUNTIFS(LdgSellerA,$F449,LdgKeyA,"&lt;"&amp;$K449)+COUNTIFS(LdgSellerB,$F449,LdgKeyB,"&lt;"&amp;$K449)+1)</f>
        <v/>
      </c>
      <c r="M449">
        <f>IF($L449="","",$F449&amp;"|"&amp;RIGHT("000000"&amp;$L449,6))</f>
        <v/>
      </c>
      <c r="N449">
        <f>IF($F449="","",IF(Sync!$AF449="","0000",IF(AND(ISNUMBER(Sync!$AF449),Sync!$AF449&gt;=0,Sync!$AF449&lt;1),RIGHT("00"&amp;HOUR(Sync!$AF449),2)&amp;RIGHT("00"&amp;MINUTE(Sync!$AF449),2),IFERROR(RIGHT("00"&amp;VALUE(LEFT(Sync!$AF449,FIND(":",Sync!$AF449)-1)),2)&amp;RIGHT("00"&amp;VALUE(MID(Sync!$AF449,FIND(":",Sync!$AF449)+1,2)),2),"0000"))))</f>
        <v/>
      </c>
    </row>
    <row r="450">
      <c r="A450">
        <f>IF(OR(Calc!$E454="",Calc!$E454="نامعتبر",Calc!$G454=""),"",Calc!$G454)</f>
        <v/>
      </c>
      <c r="B450">
        <f>IF($A450="","",LEFT(Calc!$E454,4)&amp;MID(Calc!$E454,6,2)&amp;RIGHT(Calc!$E454,2)&amp;Calc!$Q454&amp;"|"&amp;"1"&amp;RIGHT("00000"&amp;445,5))</f>
        <v/>
      </c>
      <c r="C450">
        <f>IF($B450="","",COUNTIFS(LdgSellerA,$A450,LdgKeyA,"&lt;"&amp;$B450)+COUNTIFS(LdgSellerB,$A450,LdgKeyB,"&lt;"&amp;$B450)+1)</f>
        <v/>
      </c>
      <c r="D450">
        <f>IF($C450="","",$A450&amp;"|"&amp;RIGHT("000000"&amp;$C450,6))</f>
        <v/>
      </c>
      <c r="F450">
        <f>IF(Sync!$AH450="","",IF(LEFT(UPPER(TRIM(Sync!$AH450)),2)="SL",UPPER(TRIM(Sync!$AH450)),""))</f>
        <v/>
      </c>
      <c r="G450">
        <f>IF($F450="","",IF(Sync!$AE450="","",IF(ISNUMBER(Sync!$AE450),IF(AND(Sync!$AE450&gt;=10000101,Sync!$AE450&lt;=99991231),INT(Sync!$AE450/10000),""),IFERROR(VALUE(TRIM(LEFT(Sync!$AE450,FIND("/",Sync!$AE450)-1))),""))))</f>
        <v/>
      </c>
      <c r="H450">
        <f>IF(OR($F450="",$G450=""),"",IF(ISNUMBER(Sync!$AE450),INT(MOD(Sync!$AE450,10000)/100),IFERROR(VALUE(TRIM(LEFT(MID(Sync!$AE450,FIND("/",Sync!$AE450)+1,20),FIND("/",MID(Sync!$AE450,FIND("/",Sync!$AE450)+1,20))-1))),"")))</f>
        <v/>
      </c>
      <c r="I450">
        <f>IF(OR($F450="",$G450=""),"",IF(ISNUMBER(Sync!$AE450),MOD(Sync!$AE450,100),IFERROR(VALUE(TRIM(MID(MID(Sync!$AE450,FIND("/",Sync!$AE450)+1,20),FIND("/",MID(Sync!$AE450,FIND("/",Sync!$AE450)+1,20))+1,20))),"")))</f>
        <v/>
      </c>
      <c r="J450">
        <f>IF($F450="","",IF(OR($G450="",$H450="",$I450="",$G450&lt;1300,$G450&gt;1500,$H450&lt;1,$H450&gt;12,$I450&lt;1,$I450&gt;31),"نامعتبر",RIGHT("0000"&amp;$G450,4)&amp;"/"&amp;RIGHT("00"&amp;$H450,2)&amp;"/"&amp;RIGHT("00"&amp;$I450,2)))</f>
        <v/>
      </c>
      <c r="K450">
        <f>IF(OR($F450="",$J450="",$J450="نامعتبر"),"",LEFT($J450,4)&amp;MID($J450,6,2)&amp;RIGHT($J450,2)&amp;$N450&amp;"|"&amp;"2"&amp;RIGHT("00000"&amp;445,5))</f>
        <v/>
      </c>
      <c r="L450">
        <f>IF($K450="","",COUNTIFS(LdgSellerA,$F450,LdgKeyA,"&lt;"&amp;$K450)+COUNTIFS(LdgSellerB,$F450,LdgKeyB,"&lt;"&amp;$K450)+1)</f>
        <v/>
      </c>
      <c r="M450">
        <f>IF($L450="","",$F450&amp;"|"&amp;RIGHT("000000"&amp;$L450,6))</f>
        <v/>
      </c>
      <c r="N450">
        <f>IF($F450="","",IF(Sync!$AF450="","0000",IF(AND(ISNUMBER(Sync!$AF450),Sync!$AF450&gt;=0,Sync!$AF450&lt;1),RIGHT("00"&amp;HOUR(Sync!$AF450),2)&amp;RIGHT("00"&amp;MINUTE(Sync!$AF450),2),IFERROR(RIGHT("00"&amp;VALUE(LEFT(Sync!$AF450,FIND(":",Sync!$AF450)-1)),2)&amp;RIGHT("00"&amp;VALUE(MID(Sync!$AF450,FIND(":",Sync!$AF450)+1,2)),2),"0000"))))</f>
        <v/>
      </c>
    </row>
    <row r="451">
      <c r="A451">
        <f>IF(OR(Calc!$E455="",Calc!$E455="نامعتبر",Calc!$G455=""),"",Calc!$G455)</f>
        <v/>
      </c>
      <c r="B451">
        <f>IF($A451="","",LEFT(Calc!$E455,4)&amp;MID(Calc!$E455,6,2)&amp;RIGHT(Calc!$E455,2)&amp;Calc!$Q455&amp;"|"&amp;"1"&amp;RIGHT("00000"&amp;446,5))</f>
        <v/>
      </c>
      <c r="C451">
        <f>IF($B451="","",COUNTIFS(LdgSellerA,$A451,LdgKeyA,"&lt;"&amp;$B451)+COUNTIFS(LdgSellerB,$A451,LdgKeyB,"&lt;"&amp;$B451)+1)</f>
        <v/>
      </c>
      <c r="D451">
        <f>IF($C451="","",$A451&amp;"|"&amp;RIGHT("000000"&amp;$C451,6))</f>
        <v/>
      </c>
      <c r="F451">
        <f>IF(Sync!$AH451="","",IF(LEFT(UPPER(TRIM(Sync!$AH451)),2)="SL",UPPER(TRIM(Sync!$AH451)),""))</f>
        <v/>
      </c>
      <c r="G451">
        <f>IF($F451="","",IF(Sync!$AE451="","",IF(ISNUMBER(Sync!$AE451),IF(AND(Sync!$AE451&gt;=10000101,Sync!$AE451&lt;=99991231),INT(Sync!$AE451/10000),""),IFERROR(VALUE(TRIM(LEFT(Sync!$AE451,FIND("/",Sync!$AE451)-1))),""))))</f>
        <v/>
      </c>
      <c r="H451">
        <f>IF(OR($F451="",$G451=""),"",IF(ISNUMBER(Sync!$AE451),INT(MOD(Sync!$AE451,10000)/100),IFERROR(VALUE(TRIM(LEFT(MID(Sync!$AE451,FIND("/",Sync!$AE451)+1,20),FIND("/",MID(Sync!$AE451,FIND("/",Sync!$AE451)+1,20))-1))),"")))</f>
        <v/>
      </c>
      <c r="I451">
        <f>IF(OR($F451="",$G451=""),"",IF(ISNUMBER(Sync!$AE451),MOD(Sync!$AE451,100),IFERROR(VALUE(TRIM(MID(MID(Sync!$AE451,FIND("/",Sync!$AE451)+1,20),FIND("/",MID(Sync!$AE451,FIND("/",Sync!$AE451)+1,20))+1,20))),"")))</f>
        <v/>
      </c>
      <c r="J451">
        <f>IF($F451="","",IF(OR($G451="",$H451="",$I451="",$G451&lt;1300,$G451&gt;1500,$H451&lt;1,$H451&gt;12,$I451&lt;1,$I451&gt;31),"نامعتبر",RIGHT("0000"&amp;$G451,4)&amp;"/"&amp;RIGHT("00"&amp;$H451,2)&amp;"/"&amp;RIGHT("00"&amp;$I451,2)))</f>
        <v/>
      </c>
      <c r="K451">
        <f>IF(OR($F451="",$J451="",$J451="نامعتبر"),"",LEFT($J451,4)&amp;MID($J451,6,2)&amp;RIGHT($J451,2)&amp;$N451&amp;"|"&amp;"2"&amp;RIGHT("00000"&amp;446,5))</f>
        <v/>
      </c>
      <c r="L451">
        <f>IF($K451="","",COUNTIFS(LdgSellerA,$F451,LdgKeyA,"&lt;"&amp;$K451)+COUNTIFS(LdgSellerB,$F451,LdgKeyB,"&lt;"&amp;$K451)+1)</f>
        <v/>
      </c>
      <c r="M451">
        <f>IF($L451="","",$F451&amp;"|"&amp;RIGHT("000000"&amp;$L451,6))</f>
        <v/>
      </c>
      <c r="N451">
        <f>IF($F451="","",IF(Sync!$AF451="","0000",IF(AND(ISNUMBER(Sync!$AF451),Sync!$AF451&gt;=0,Sync!$AF451&lt;1),RIGHT("00"&amp;HOUR(Sync!$AF451),2)&amp;RIGHT("00"&amp;MINUTE(Sync!$AF451),2),IFERROR(RIGHT("00"&amp;VALUE(LEFT(Sync!$AF451,FIND(":",Sync!$AF451)-1)),2)&amp;RIGHT("00"&amp;VALUE(MID(Sync!$AF451,FIND(":",Sync!$AF451)+1,2)),2),"0000"))))</f>
        <v/>
      </c>
    </row>
    <row r="452">
      <c r="A452">
        <f>IF(OR(Calc!$E456="",Calc!$E456="نامعتبر",Calc!$G456=""),"",Calc!$G456)</f>
        <v/>
      </c>
      <c r="B452">
        <f>IF($A452="","",LEFT(Calc!$E456,4)&amp;MID(Calc!$E456,6,2)&amp;RIGHT(Calc!$E456,2)&amp;Calc!$Q456&amp;"|"&amp;"1"&amp;RIGHT("00000"&amp;447,5))</f>
        <v/>
      </c>
      <c r="C452">
        <f>IF($B452="","",COUNTIFS(LdgSellerA,$A452,LdgKeyA,"&lt;"&amp;$B452)+COUNTIFS(LdgSellerB,$A452,LdgKeyB,"&lt;"&amp;$B452)+1)</f>
        <v/>
      </c>
      <c r="D452">
        <f>IF($C452="","",$A452&amp;"|"&amp;RIGHT("000000"&amp;$C452,6))</f>
        <v/>
      </c>
      <c r="F452">
        <f>IF(Sync!$AH452="","",IF(LEFT(UPPER(TRIM(Sync!$AH452)),2)="SL",UPPER(TRIM(Sync!$AH452)),""))</f>
        <v/>
      </c>
      <c r="G452">
        <f>IF($F452="","",IF(Sync!$AE452="","",IF(ISNUMBER(Sync!$AE452),IF(AND(Sync!$AE452&gt;=10000101,Sync!$AE452&lt;=99991231),INT(Sync!$AE452/10000),""),IFERROR(VALUE(TRIM(LEFT(Sync!$AE452,FIND("/",Sync!$AE452)-1))),""))))</f>
        <v/>
      </c>
      <c r="H452">
        <f>IF(OR($F452="",$G452=""),"",IF(ISNUMBER(Sync!$AE452),INT(MOD(Sync!$AE452,10000)/100),IFERROR(VALUE(TRIM(LEFT(MID(Sync!$AE452,FIND("/",Sync!$AE452)+1,20),FIND("/",MID(Sync!$AE452,FIND("/",Sync!$AE452)+1,20))-1))),"")))</f>
        <v/>
      </c>
      <c r="I452">
        <f>IF(OR($F452="",$G452=""),"",IF(ISNUMBER(Sync!$AE452),MOD(Sync!$AE452,100),IFERROR(VALUE(TRIM(MID(MID(Sync!$AE452,FIND("/",Sync!$AE452)+1,20),FIND("/",MID(Sync!$AE452,FIND("/",Sync!$AE452)+1,20))+1,20))),"")))</f>
        <v/>
      </c>
      <c r="J452">
        <f>IF($F452="","",IF(OR($G452="",$H452="",$I452="",$G452&lt;1300,$G452&gt;1500,$H452&lt;1,$H452&gt;12,$I452&lt;1,$I452&gt;31),"نامعتبر",RIGHT("0000"&amp;$G452,4)&amp;"/"&amp;RIGHT("00"&amp;$H452,2)&amp;"/"&amp;RIGHT("00"&amp;$I452,2)))</f>
        <v/>
      </c>
      <c r="K452">
        <f>IF(OR($F452="",$J452="",$J452="نامعتبر"),"",LEFT($J452,4)&amp;MID($J452,6,2)&amp;RIGHT($J452,2)&amp;$N452&amp;"|"&amp;"2"&amp;RIGHT("00000"&amp;447,5))</f>
        <v/>
      </c>
      <c r="L452">
        <f>IF($K452="","",COUNTIFS(LdgSellerA,$F452,LdgKeyA,"&lt;"&amp;$K452)+COUNTIFS(LdgSellerB,$F452,LdgKeyB,"&lt;"&amp;$K452)+1)</f>
        <v/>
      </c>
      <c r="M452">
        <f>IF($L452="","",$F452&amp;"|"&amp;RIGHT("000000"&amp;$L452,6))</f>
        <v/>
      </c>
      <c r="N452">
        <f>IF($F452="","",IF(Sync!$AF452="","0000",IF(AND(ISNUMBER(Sync!$AF452),Sync!$AF452&gt;=0,Sync!$AF452&lt;1),RIGHT("00"&amp;HOUR(Sync!$AF452),2)&amp;RIGHT("00"&amp;MINUTE(Sync!$AF452),2),IFERROR(RIGHT("00"&amp;VALUE(LEFT(Sync!$AF452,FIND(":",Sync!$AF452)-1)),2)&amp;RIGHT("00"&amp;VALUE(MID(Sync!$AF452,FIND(":",Sync!$AF452)+1,2)),2),"0000"))))</f>
        <v/>
      </c>
    </row>
    <row r="453">
      <c r="A453">
        <f>IF(OR(Calc!$E457="",Calc!$E457="نامعتبر",Calc!$G457=""),"",Calc!$G457)</f>
        <v/>
      </c>
      <c r="B453">
        <f>IF($A453="","",LEFT(Calc!$E457,4)&amp;MID(Calc!$E457,6,2)&amp;RIGHT(Calc!$E457,2)&amp;Calc!$Q457&amp;"|"&amp;"1"&amp;RIGHT("00000"&amp;448,5))</f>
        <v/>
      </c>
      <c r="C453">
        <f>IF($B453="","",COUNTIFS(LdgSellerA,$A453,LdgKeyA,"&lt;"&amp;$B453)+COUNTIFS(LdgSellerB,$A453,LdgKeyB,"&lt;"&amp;$B453)+1)</f>
        <v/>
      </c>
      <c r="D453">
        <f>IF($C453="","",$A453&amp;"|"&amp;RIGHT("000000"&amp;$C453,6))</f>
        <v/>
      </c>
      <c r="F453">
        <f>IF(Sync!$AH453="","",IF(LEFT(UPPER(TRIM(Sync!$AH453)),2)="SL",UPPER(TRIM(Sync!$AH453)),""))</f>
        <v/>
      </c>
      <c r="G453">
        <f>IF($F453="","",IF(Sync!$AE453="","",IF(ISNUMBER(Sync!$AE453),IF(AND(Sync!$AE453&gt;=10000101,Sync!$AE453&lt;=99991231),INT(Sync!$AE453/10000),""),IFERROR(VALUE(TRIM(LEFT(Sync!$AE453,FIND("/",Sync!$AE453)-1))),""))))</f>
        <v/>
      </c>
      <c r="H453">
        <f>IF(OR($F453="",$G453=""),"",IF(ISNUMBER(Sync!$AE453),INT(MOD(Sync!$AE453,10000)/100),IFERROR(VALUE(TRIM(LEFT(MID(Sync!$AE453,FIND("/",Sync!$AE453)+1,20),FIND("/",MID(Sync!$AE453,FIND("/",Sync!$AE453)+1,20))-1))),"")))</f>
        <v/>
      </c>
      <c r="I453">
        <f>IF(OR($F453="",$G453=""),"",IF(ISNUMBER(Sync!$AE453),MOD(Sync!$AE453,100),IFERROR(VALUE(TRIM(MID(MID(Sync!$AE453,FIND("/",Sync!$AE453)+1,20),FIND("/",MID(Sync!$AE453,FIND("/",Sync!$AE453)+1,20))+1,20))),"")))</f>
        <v/>
      </c>
      <c r="J453">
        <f>IF($F453="","",IF(OR($G453="",$H453="",$I453="",$G453&lt;1300,$G453&gt;1500,$H453&lt;1,$H453&gt;12,$I453&lt;1,$I453&gt;31),"نامعتبر",RIGHT("0000"&amp;$G453,4)&amp;"/"&amp;RIGHT("00"&amp;$H453,2)&amp;"/"&amp;RIGHT("00"&amp;$I453,2)))</f>
        <v/>
      </c>
      <c r="K453">
        <f>IF(OR($F453="",$J453="",$J453="نامعتبر"),"",LEFT($J453,4)&amp;MID($J453,6,2)&amp;RIGHT($J453,2)&amp;$N453&amp;"|"&amp;"2"&amp;RIGHT("00000"&amp;448,5))</f>
        <v/>
      </c>
      <c r="L453">
        <f>IF($K453="","",COUNTIFS(LdgSellerA,$F453,LdgKeyA,"&lt;"&amp;$K453)+COUNTIFS(LdgSellerB,$F453,LdgKeyB,"&lt;"&amp;$K453)+1)</f>
        <v/>
      </c>
      <c r="M453">
        <f>IF($L453="","",$F453&amp;"|"&amp;RIGHT("000000"&amp;$L453,6))</f>
        <v/>
      </c>
      <c r="N453">
        <f>IF($F453="","",IF(Sync!$AF453="","0000",IF(AND(ISNUMBER(Sync!$AF453),Sync!$AF453&gt;=0,Sync!$AF453&lt;1),RIGHT("00"&amp;HOUR(Sync!$AF453),2)&amp;RIGHT("00"&amp;MINUTE(Sync!$AF453),2),IFERROR(RIGHT("00"&amp;VALUE(LEFT(Sync!$AF453,FIND(":",Sync!$AF453)-1)),2)&amp;RIGHT("00"&amp;VALUE(MID(Sync!$AF453,FIND(":",Sync!$AF453)+1,2)),2),"0000"))))</f>
        <v/>
      </c>
    </row>
    <row r="454">
      <c r="A454">
        <f>IF(OR(Calc!$E458="",Calc!$E458="نامعتبر",Calc!$G458=""),"",Calc!$G458)</f>
        <v/>
      </c>
      <c r="B454">
        <f>IF($A454="","",LEFT(Calc!$E458,4)&amp;MID(Calc!$E458,6,2)&amp;RIGHT(Calc!$E458,2)&amp;Calc!$Q458&amp;"|"&amp;"1"&amp;RIGHT("00000"&amp;449,5))</f>
        <v/>
      </c>
      <c r="C454">
        <f>IF($B454="","",COUNTIFS(LdgSellerA,$A454,LdgKeyA,"&lt;"&amp;$B454)+COUNTIFS(LdgSellerB,$A454,LdgKeyB,"&lt;"&amp;$B454)+1)</f>
        <v/>
      </c>
      <c r="D454">
        <f>IF($C454="","",$A454&amp;"|"&amp;RIGHT("000000"&amp;$C454,6))</f>
        <v/>
      </c>
      <c r="F454">
        <f>IF(Sync!$AH454="","",IF(LEFT(UPPER(TRIM(Sync!$AH454)),2)="SL",UPPER(TRIM(Sync!$AH454)),""))</f>
        <v/>
      </c>
      <c r="G454">
        <f>IF($F454="","",IF(Sync!$AE454="","",IF(ISNUMBER(Sync!$AE454),IF(AND(Sync!$AE454&gt;=10000101,Sync!$AE454&lt;=99991231),INT(Sync!$AE454/10000),""),IFERROR(VALUE(TRIM(LEFT(Sync!$AE454,FIND("/",Sync!$AE454)-1))),""))))</f>
        <v/>
      </c>
      <c r="H454">
        <f>IF(OR($F454="",$G454=""),"",IF(ISNUMBER(Sync!$AE454),INT(MOD(Sync!$AE454,10000)/100),IFERROR(VALUE(TRIM(LEFT(MID(Sync!$AE454,FIND("/",Sync!$AE454)+1,20),FIND("/",MID(Sync!$AE454,FIND("/",Sync!$AE454)+1,20))-1))),"")))</f>
        <v/>
      </c>
      <c r="I454">
        <f>IF(OR($F454="",$G454=""),"",IF(ISNUMBER(Sync!$AE454),MOD(Sync!$AE454,100),IFERROR(VALUE(TRIM(MID(MID(Sync!$AE454,FIND("/",Sync!$AE454)+1,20),FIND("/",MID(Sync!$AE454,FIND("/",Sync!$AE454)+1,20))+1,20))),"")))</f>
        <v/>
      </c>
      <c r="J454">
        <f>IF($F454="","",IF(OR($G454="",$H454="",$I454="",$G454&lt;1300,$G454&gt;1500,$H454&lt;1,$H454&gt;12,$I454&lt;1,$I454&gt;31),"نامعتبر",RIGHT("0000"&amp;$G454,4)&amp;"/"&amp;RIGHT("00"&amp;$H454,2)&amp;"/"&amp;RIGHT("00"&amp;$I454,2)))</f>
        <v/>
      </c>
      <c r="K454">
        <f>IF(OR($F454="",$J454="",$J454="نامعتبر"),"",LEFT($J454,4)&amp;MID($J454,6,2)&amp;RIGHT($J454,2)&amp;$N454&amp;"|"&amp;"2"&amp;RIGHT("00000"&amp;449,5))</f>
        <v/>
      </c>
      <c r="L454">
        <f>IF($K454="","",COUNTIFS(LdgSellerA,$F454,LdgKeyA,"&lt;"&amp;$K454)+COUNTIFS(LdgSellerB,$F454,LdgKeyB,"&lt;"&amp;$K454)+1)</f>
        <v/>
      </c>
      <c r="M454">
        <f>IF($L454="","",$F454&amp;"|"&amp;RIGHT("000000"&amp;$L454,6))</f>
        <v/>
      </c>
      <c r="N454">
        <f>IF($F454="","",IF(Sync!$AF454="","0000",IF(AND(ISNUMBER(Sync!$AF454),Sync!$AF454&gt;=0,Sync!$AF454&lt;1),RIGHT("00"&amp;HOUR(Sync!$AF454),2)&amp;RIGHT("00"&amp;MINUTE(Sync!$AF454),2),IFERROR(RIGHT("00"&amp;VALUE(LEFT(Sync!$AF454,FIND(":",Sync!$AF454)-1)),2)&amp;RIGHT("00"&amp;VALUE(MID(Sync!$AF454,FIND(":",Sync!$AF454)+1,2)),2),"0000"))))</f>
        <v/>
      </c>
    </row>
    <row r="455">
      <c r="A455">
        <f>IF(OR(Calc!$E459="",Calc!$E459="نامعتبر",Calc!$G459=""),"",Calc!$G459)</f>
        <v/>
      </c>
      <c r="B455">
        <f>IF($A455="","",LEFT(Calc!$E459,4)&amp;MID(Calc!$E459,6,2)&amp;RIGHT(Calc!$E459,2)&amp;Calc!$Q459&amp;"|"&amp;"1"&amp;RIGHT("00000"&amp;450,5))</f>
        <v/>
      </c>
      <c r="C455">
        <f>IF($B455="","",COUNTIFS(LdgSellerA,$A455,LdgKeyA,"&lt;"&amp;$B455)+COUNTIFS(LdgSellerB,$A455,LdgKeyB,"&lt;"&amp;$B455)+1)</f>
        <v/>
      </c>
      <c r="D455">
        <f>IF($C455="","",$A455&amp;"|"&amp;RIGHT("000000"&amp;$C455,6))</f>
        <v/>
      </c>
      <c r="F455">
        <f>IF(Sync!$AH455="","",IF(LEFT(UPPER(TRIM(Sync!$AH455)),2)="SL",UPPER(TRIM(Sync!$AH455)),""))</f>
        <v/>
      </c>
      <c r="G455">
        <f>IF($F455="","",IF(Sync!$AE455="","",IF(ISNUMBER(Sync!$AE455),IF(AND(Sync!$AE455&gt;=10000101,Sync!$AE455&lt;=99991231),INT(Sync!$AE455/10000),""),IFERROR(VALUE(TRIM(LEFT(Sync!$AE455,FIND("/",Sync!$AE455)-1))),""))))</f>
        <v/>
      </c>
      <c r="H455">
        <f>IF(OR($F455="",$G455=""),"",IF(ISNUMBER(Sync!$AE455),INT(MOD(Sync!$AE455,10000)/100),IFERROR(VALUE(TRIM(LEFT(MID(Sync!$AE455,FIND("/",Sync!$AE455)+1,20),FIND("/",MID(Sync!$AE455,FIND("/",Sync!$AE455)+1,20))-1))),"")))</f>
        <v/>
      </c>
      <c r="I455">
        <f>IF(OR($F455="",$G455=""),"",IF(ISNUMBER(Sync!$AE455),MOD(Sync!$AE455,100),IFERROR(VALUE(TRIM(MID(MID(Sync!$AE455,FIND("/",Sync!$AE455)+1,20),FIND("/",MID(Sync!$AE455,FIND("/",Sync!$AE455)+1,20))+1,20))),"")))</f>
        <v/>
      </c>
      <c r="J455">
        <f>IF($F455="","",IF(OR($G455="",$H455="",$I455="",$G455&lt;1300,$G455&gt;1500,$H455&lt;1,$H455&gt;12,$I455&lt;1,$I455&gt;31),"نامعتبر",RIGHT("0000"&amp;$G455,4)&amp;"/"&amp;RIGHT("00"&amp;$H455,2)&amp;"/"&amp;RIGHT("00"&amp;$I455,2)))</f>
        <v/>
      </c>
      <c r="K455">
        <f>IF(OR($F455="",$J455="",$J455="نامعتبر"),"",LEFT($J455,4)&amp;MID($J455,6,2)&amp;RIGHT($J455,2)&amp;$N455&amp;"|"&amp;"2"&amp;RIGHT("00000"&amp;450,5))</f>
        <v/>
      </c>
      <c r="L455">
        <f>IF($K455="","",COUNTIFS(LdgSellerA,$F455,LdgKeyA,"&lt;"&amp;$K455)+COUNTIFS(LdgSellerB,$F455,LdgKeyB,"&lt;"&amp;$K455)+1)</f>
        <v/>
      </c>
      <c r="M455">
        <f>IF($L455="","",$F455&amp;"|"&amp;RIGHT("000000"&amp;$L455,6))</f>
        <v/>
      </c>
      <c r="N455">
        <f>IF($F455="","",IF(Sync!$AF455="","0000",IF(AND(ISNUMBER(Sync!$AF455),Sync!$AF455&gt;=0,Sync!$AF455&lt;1),RIGHT("00"&amp;HOUR(Sync!$AF455),2)&amp;RIGHT("00"&amp;MINUTE(Sync!$AF455),2),IFERROR(RIGHT("00"&amp;VALUE(LEFT(Sync!$AF455,FIND(":",Sync!$AF455)-1)),2)&amp;RIGHT("00"&amp;VALUE(MID(Sync!$AF455,FIND(":",Sync!$AF455)+1,2)),2),"0000"))))</f>
        <v/>
      </c>
    </row>
    <row r="456">
      <c r="A456">
        <f>IF(OR(Calc!$E460="",Calc!$E460="نامعتبر",Calc!$G460=""),"",Calc!$G460)</f>
        <v/>
      </c>
      <c r="B456">
        <f>IF($A456="","",LEFT(Calc!$E460,4)&amp;MID(Calc!$E460,6,2)&amp;RIGHT(Calc!$E460,2)&amp;Calc!$Q460&amp;"|"&amp;"1"&amp;RIGHT("00000"&amp;451,5))</f>
        <v/>
      </c>
      <c r="C456">
        <f>IF($B456="","",COUNTIFS(LdgSellerA,$A456,LdgKeyA,"&lt;"&amp;$B456)+COUNTIFS(LdgSellerB,$A456,LdgKeyB,"&lt;"&amp;$B456)+1)</f>
        <v/>
      </c>
      <c r="D456">
        <f>IF($C456="","",$A456&amp;"|"&amp;RIGHT("000000"&amp;$C456,6))</f>
        <v/>
      </c>
      <c r="F456">
        <f>IF(Sync!$AH456="","",IF(LEFT(UPPER(TRIM(Sync!$AH456)),2)="SL",UPPER(TRIM(Sync!$AH456)),""))</f>
        <v/>
      </c>
      <c r="G456">
        <f>IF($F456="","",IF(Sync!$AE456="","",IF(ISNUMBER(Sync!$AE456),IF(AND(Sync!$AE456&gt;=10000101,Sync!$AE456&lt;=99991231),INT(Sync!$AE456/10000),""),IFERROR(VALUE(TRIM(LEFT(Sync!$AE456,FIND("/",Sync!$AE456)-1))),""))))</f>
        <v/>
      </c>
      <c r="H456">
        <f>IF(OR($F456="",$G456=""),"",IF(ISNUMBER(Sync!$AE456),INT(MOD(Sync!$AE456,10000)/100),IFERROR(VALUE(TRIM(LEFT(MID(Sync!$AE456,FIND("/",Sync!$AE456)+1,20),FIND("/",MID(Sync!$AE456,FIND("/",Sync!$AE456)+1,20))-1))),"")))</f>
        <v/>
      </c>
      <c r="I456">
        <f>IF(OR($F456="",$G456=""),"",IF(ISNUMBER(Sync!$AE456),MOD(Sync!$AE456,100),IFERROR(VALUE(TRIM(MID(MID(Sync!$AE456,FIND("/",Sync!$AE456)+1,20),FIND("/",MID(Sync!$AE456,FIND("/",Sync!$AE456)+1,20))+1,20))),"")))</f>
        <v/>
      </c>
      <c r="J456">
        <f>IF($F456="","",IF(OR($G456="",$H456="",$I456="",$G456&lt;1300,$G456&gt;1500,$H456&lt;1,$H456&gt;12,$I456&lt;1,$I456&gt;31),"نامعتبر",RIGHT("0000"&amp;$G456,4)&amp;"/"&amp;RIGHT("00"&amp;$H456,2)&amp;"/"&amp;RIGHT("00"&amp;$I456,2)))</f>
        <v/>
      </c>
      <c r="K456">
        <f>IF(OR($F456="",$J456="",$J456="نامعتبر"),"",LEFT($J456,4)&amp;MID($J456,6,2)&amp;RIGHT($J456,2)&amp;$N456&amp;"|"&amp;"2"&amp;RIGHT("00000"&amp;451,5))</f>
        <v/>
      </c>
      <c r="L456">
        <f>IF($K456="","",COUNTIFS(LdgSellerA,$F456,LdgKeyA,"&lt;"&amp;$K456)+COUNTIFS(LdgSellerB,$F456,LdgKeyB,"&lt;"&amp;$K456)+1)</f>
        <v/>
      </c>
      <c r="M456">
        <f>IF($L456="","",$F456&amp;"|"&amp;RIGHT("000000"&amp;$L456,6))</f>
        <v/>
      </c>
      <c r="N456">
        <f>IF($F456="","",IF(Sync!$AF456="","0000",IF(AND(ISNUMBER(Sync!$AF456),Sync!$AF456&gt;=0,Sync!$AF456&lt;1),RIGHT("00"&amp;HOUR(Sync!$AF456),2)&amp;RIGHT("00"&amp;MINUTE(Sync!$AF456),2),IFERROR(RIGHT("00"&amp;VALUE(LEFT(Sync!$AF456,FIND(":",Sync!$AF456)-1)),2)&amp;RIGHT("00"&amp;VALUE(MID(Sync!$AF456,FIND(":",Sync!$AF456)+1,2)),2),"0000"))))</f>
        <v/>
      </c>
    </row>
    <row r="457">
      <c r="A457">
        <f>IF(OR(Calc!$E461="",Calc!$E461="نامعتبر",Calc!$G461=""),"",Calc!$G461)</f>
        <v/>
      </c>
      <c r="B457">
        <f>IF($A457="","",LEFT(Calc!$E461,4)&amp;MID(Calc!$E461,6,2)&amp;RIGHT(Calc!$E461,2)&amp;Calc!$Q461&amp;"|"&amp;"1"&amp;RIGHT("00000"&amp;452,5))</f>
        <v/>
      </c>
      <c r="C457">
        <f>IF($B457="","",COUNTIFS(LdgSellerA,$A457,LdgKeyA,"&lt;"&amp;$B457)+COUNTIFS(LdgSellerB,$A457,LdgKeyB,"&lt;"&amp;$B457)+1)</f>
        <v/>
      </c>
      <c r="D457">
        <f>IF($C457="","",$A457&amp;"|"&amp;RIGHT("000000"&amp;$C457,6))</f>
        <v/>
      </c>
      <c r="F457">
        <f>IF(Sync!$AH457="","",IF(LEFT(UPPER(TRIM(Sync!$AH457)),2)="SL",UPPER(TRIM(Sync!$AH457)),""))</f>
        <v/>
      </c>
      <c r="G457">
        <f>IF($F457="","",IF(Sync!$AE457="","",IF(ISNUMBER(Sync!$AE457),IF(AND(Sync!$AE457&gt;=10000101,Sync!$AE457&lt;=99991231),INT(Sync!$AE457/10000),""),IFERROR(VALUE(TRIM(LEFT(Sync!$AE457,FIND("/",Sync!$AE457)-1))),""))))</f>
        <v/>
      </c>
      <c r="H457">
        <f>IF(OR($F457="",$G457=""),"",IF(ISNUMBER(Sync!$AE457),INT(MOD(Sync!$AE457,10000)/100),IFERROR(VALUE(TRIM(LEFT(MID(Sync!$AE457,FIND("/",Sync!$AE457)+1,20),FIND("/",MID(Sync!$AE457,FIND("/",Sync!$AE457)+1,20))-1))),"")))</f>
        <v/>
      </c>
      <c r="I457">
        <f>IF(OR($F457="",$G457=""),"",IF(ISNUMBER(Sync!$AE457),MOD(Sync!$AE457,100),IFERROR(VALUE(TRIM(MID(MID(Sync!$AE457,FIND("/",Sync!$AE457)+1,20),FIND("/",MID(Sync!$AE457,FIND("/",Sync!$AE457)+1,20))+1,20))),"")))</f>
        <v/>
      </c>
      <c r="J457">
        <f>IF($F457="","",IF(OR($G457="",$H457="",$I457="",$G457&lt;1300,$G457&gt;1500,$H457&lt;1,$H457&gt;12,$I457&lt;1,$I457&gt;31),"نامعتبر",RIGHT("0000"&amp;$G457,4)&amp;"/"&amp;RIGHT("00"&amp;$H457,2)&amp;"/"&amp;RIGHT("00"&amp;$I457,2)))</f>
        <v/>
      </c>
      <c r="K457">
        <f>IF(OR($F457="",$J457="",$J457="نامعتبر"),"",LEFT($J457,4)&amp;MID($J457,6,2)&amp;RIGHT($J457,2)&amp;$N457&amp;"|"&amp;"2"&amp;RIGHT("00000"&amp;452,5))</f>
        <v/>
      </c>
      <c r="L457">
        <f>IF($K457="","",COUNTIFS(LdgSellerA,$F457,LdgKeyA,"&lt;"&amp;$K457)+COUNTIFS(LdgSellerB,$F457,LdgKeyB,"&lt;"&amp;$K457)+1)</f>
        <v/>
      </c>
      <c r="M457">
        <f>IF($L457="","",$F457&amp;"|"&amp;RIGHT("000000"&amp;$L457,6))</f>
        <v/>
      </c>
      <c r="N457">
        <f>IF($F457="","",IF(Sync!$AF457="","0000",IF(AND(ISNUMBER(Sync!$AF457),Sync!$AF457&gt;=0,Sync!$AF457&lt;1),RIGHT("00"&amp;HOUR(Sync!$AF457),2)&amp;RIGHT("00"&amp;MINUTE(Sync!$AF457),2),IFERROR(RIGHT("00"&amp;VALUE(LEFT(Sync!$AF457,FIND(":",Sync!$AF457)-1)),2)&amp;RIGHT("00"&amp;VALUE(MID(Sync!$AF457,FIND(":",Sync!$AF457)+1,2)),2),"0000"))))</f>
        <v/>
      </c>
    </row>
    <row r="458">
      <c r="A458">
        <f>IF(OR(Calc!$E462="",Calc!$E462="نامعتبر",Calc!$G462=""),"",Calc!$G462)</f>
        <v/>
      </c>
      <c r="B458">
        <f>IF($A458="","",LEFT(Calc!$E462,4)&amp;MID(Calc!$E462,6,2)&amp;RIGHT(Calc!$E462,2)&amp;Calc!$Q462&amp;"|"&amp;"1"&amp;RIGHT("00000"&amp;453,5))</f>
        <v/>
      </c>
      <c r="C458">
        <f>IF($B458="","",COUNTIFS(LdgSellerA,$A458,LdgKeyA,"&lt;"&amp;$B458)+COUNTIFS(LdgSellerB,$A458,LdgKeyB,"&lt;"&amp;$B458)+1)</f>
        <v/>
      </c>
      <c r="D458">
        <f>IF($C458="","",$A458&amp;"|"&amp;RIGHT("000000"&amp;$C458,6))</f>
        <v/>
      </c>
      <c r="F458">
        <f>IF(Sync!$AH458="","",IF(LEFT(UPPER(TRIM(Sync!$AH458)),2)="SL",UPPER(TRIM(Sync!$AH458)),""))</f>
        <v/>
      </c>
      <c r="G458">
        <f>IF($F458="","",IF(Sync!$AE458="","",IF(ISNUMBER(Sync!$AE458),IF(AND(Sync!$AE458&gt;=10000101,Sync!$AE458&lt;=99991231),INT(Sync!$AE458/10000),""),IFERROR(VALUE(TRIM(LEFT(Sync!$AE458,FIND("/",Sync!$AE458)-1))),""))))</f>
        <v/>
      </c>
      <c r="H458">
        <f>IF(OR($F458="",$G458=""),"",IF(ISNUMBER(Sync!$AE458),INT(MOD(Sync!$AE458,10000)/100),IFERROR(VALUE(TRIM(LEFT(MID(Sync!$AE458,FIND("/",Sync!$AE458)+1,20),FIND("/",MID(Sync!$AE458,FIND("/",Sync!$AE458)+1,20))-1))),"")))</f>
        <v/>
      </c>
      <c r="I458">
        <f>IF(OR($F458="",$G458=""),"",IF(ISNUMBER(Sync!$AE458),MOD(Sync!$AE458,100),IFERROR(VALUE(TRIM(MID(MID(Sync!$AE458,FIND("/",Sync!$AE458)+1,20),FIND("/",MID(Sync!$AE458,FIND("/",Sync!$AE458)+1,20))+1,20))),"")))</f>
        <v/>
      </c>
      <c r="J458">
        <f>IF($F458="","",IF(OR($G458="",$H458="",$I458="",$G458&lt;1300,$G458&gt;1500,$H458&lt;1,$H458&gt;12,$I458&lt;1,$I458&gt;31),"نامعتبر",RIGHT("0000"&amp;$G458,4)&amp;"/"&amp;RIGHT("00"&amp;$H458,2)&amp;"/"&amp;RIGHT("00"&amp;$I458,2)))</f>
        <v/>
      </c>
      <c r="K458">
        <f>IF(OR($F458="",$J458="",$J458="نامعتبر"),"",LEFT($J458,4)&amp;MID($J458,6,2)&amp;RIGHT($J458,2)&amp;$N458&amp;"|"&amp;"2"&amp;RIGHT("00000"&amp;453,5))</f>
        <v/>
      </c>
      <c r="L458">
        <f>IF($K458="","",COUNTIFS(LdgSellerA,$F458,LdgKeyA,"&lt;"&amp;$K458)+COUNTIFS(LdgSellerB,$F458,LdgKeyB,"&lt;"&amp;$K458)+1)</f>
        <v/>
      </c>
      <c r="M458">
        <f>IF($L458="","",$F458&amp;"|"&amp;RIGHT("000000"&amp;$L458,6))</f>
        <v/>
      </c>
      <c r="N458">
        <f>IF($F458="","",IF(Sync!$AF458="","0000",IF(AND(ISNUMBER(Sync!$AF458),Sync!$AF458&gt;=0,Sync!$AF458&lt;1),RIGHT("00"&amp;HOUR(Sync!$AF458),2)&amp;RIGHT("00"&amp;MINUTE(Sync!$AF458),2),IFERROR(RIGHT("00"&amp;VALUE(LEFT(Sync!$AF458,FIND(":",Sync!$AF458)-1)),2)&amp;RIGHT("00"&amp;VALUE(MID(Sync!$AF458,FIND(":",Sync!$AF458)+1,2)),2),"0000"))))</f>
        <v/>
      </c>
    </row>
    <row r="459">
      <c r="A459">
        <f>IF(OR(Calc!$E463="",Calc!$E463="نامعتبر",Calc!$G463=""),"",Calc!$G463)</f>
        <v/>
      </c>
      <c r="B459">
        <f>IF($A459="","",LEFT(Calc!$E463,4)&amp;MID(Calc!$E463,6,2)&amp;RIGHT(Calc!$E463,2)&amp;Calc!$Q463&amp;"|"&amp;"1"&amp;RIGHT("00000"&amp;454,5))</f>
        <v/>
      </c>
      <c r="C459">
        <f>IF($B459="","",COUNTIFS(LdgSellerA,$A459,LdgKeyA,"&lt;"&amp;$B459)+COUNTIFS(LdgSellerB,$A459,LdgKeyB,"&lt;"&amp;$B459)+1)</f>
        <v/>
      </c>
      <c r="D459">
        <f>IF($C459="","",$A459&amp;"|"&amp;RIGHT("000000"&amp;$C459,6))</f>
        <v/>
      </c>
      <c r="F459">
        <f>IF(Sync!$AH459="","",IF(LEFT(UPPER(TRIM(Sync!$AH459)),2)="SL",UPPER(TRIM(Sync!$AH459)),""))</f>
        <v/>
      </c>
      <c r="G459">
        <f>IF($F459="","",IF(Sync!$AE459="","",IF(ISNUMBER(Sync!$AE459),IF(AND(Sync!$AE459&gt;=10000101,Sync!$AE459&lt;=99991231),INT(Sync!$AE459/10000),""),IFERROR(VALUE(TRIM(LEFT(Sync!$AE459,FIND("/",Sync!$AE459)-1))),""))))</f>
        <v/>
      </c>
      <c r="H459">
        <f>IF(OR($F459="",$G459=""),"",IF(ISNUMBER(Sync!$AE459),INT(MOD(Sync!$AE459,10000)/100),IFERROR(VALUE(TRIM(LEFT(MID(Sync!$AE459,FIND("/",Sync!$AE459)+1,20),FIND("/",MID(Sync!$AE459,FIND("/",Sync!$AE459)+1,20))-1))),"")))</f>
        <v/>
      </c>
      <c r="I459">
        <f>IF(OR($F459="",$G459=""),"",IF(ISNUMBER(Sync!$AE459),MOD(Sync!$AE459,100),IFERROR(VALUE(TRIM(MID(MID(Sync!$AE459,FIND("/",Sync!$AE459)+1,20),FIND("/",MID(Sync!$AE459,FIND("/",Sync!$AE459)+1,20))+1,20))),"")))</f>
        <v/>
      </c>
      <c r="J459">
        <f>IF($F459="","",IF(OR($G459="",$H459="",$I459="",$G459&lt;1300,$G459&gt;1500,$H459&lt;1,$H459&gt;12,$I459&lt;1,$I459&gt;31),"نامعتبر",RIGHT("0000"&amp;$G459,4)&amp;"/"&amp;RIGHT("00"&amp;$H459,2)&amp;"/"&amp;RIGHT("00"&amp;$I459,2)))</f>
        <v/>
      </c>
      <c r="K459">
        <f>IF(OR($F459="",$J459="",$J459="نامعتبر"),"",LEFT($J459,4)&amp;MID($J459,6,2)&amp;RIGHT($J459,2)&amp;$N459&amp;"|"&amp;"2"&amp;RIGHT("00000"&amp;454,5))</f>
        <v/>
      </c>
      <c r="L459">
        <f>IF($K459="","",COUNTIFS(LdgSellerA,$F459,LdgKeyA,"&lt;"&amp;$K459)+COUNTIFS(LdgSellerB,$F459,LdgKeyB,"&lt;"&amp;$K459)+1)</f>
        <v/>
      </c>
      <c r="M459">
        <f>IF($L459="","",$F459&amp;"|"&amp;RIGHT("000000"&amp;$L459,6))</f>
        <v/>
      </c>
      <c r="N459">
        <f>IF($F459="","",IF(Sync!$AF459="","0000",IF(AND(ISNUMBER(Sync!$AF459),Sync!$AF459&gt;=0,Sync!$AF459&lt;1),RIGHT("00"&amp;HOUR(Sync!$AF459),2)&amp;RIGHT("00"&amp;MINUTE(Sync!$AF459),2),IFERROR(RIGHT("00"&amp;VALUE(LEFT(Sync!$AF459,FIND(":",Sync!$AF459)-1)),2)&amp;RIGHT("00"&amp;VALUE(MID(Sync!$AF459,FIND(":",Sync!$AF459)+1,2)),2),"0000"))))</f>
        <v/>
      </c>
    </row>
    <row r="460">
      <c r="A460">
        <f>IF(OR(Calc!$E464="",Calc!$E464="نامعتبر",Calc!$G464=""),"",Calc!$G464)</f>
        <v/>
      </c>
      <c r="B460">
        <f>IF($A460="","",LEFT(Calc!$E464,4)&amp;MID(Calc!$E464,6,2)&amp;RIGHT(Calc!$E464,2)&amp;Calc!$Q464&amp;"|"&amp;"1"&amp;RIGHT("00000"&amp;455,5))</f>
        <v/>
      </c>
      <c r="C460">
        <f>IF($B460="","",COUNTIFS(LdgSellerA,$A460,LdgKeyA,"&lt;"&amp;$B460)+COUNTIFS(LdgSellerB,$A460,LdgKeyB,"&lt;"&amp;$B460)+1)</f>
        <v/>
      </c>
      <c r="D460">
        <f>IF($C460="","",$A460&amp;"|"&amp;RIGHT("000000"&amp;$C460,6))</f>
        <v/>
      </c>
      <c r="F460">
        <f>IF(Sync!$AH460="","",IF(LEFT(UPPER(TRIM(Sync!$AH460)),2)="SL",UPPER(TRIM(Sync!$AH460)),""))</f>
        <v/>
      </c>
      <c r="G460">
        <f>IF($F460="","",IF(Sync!$AE460="","",IF(ISNUMBER(Sync!$AE460),IF(AND(Sync!$AE460&gt;=10000101,Sync!$AE460&lt;=99991231),INT(Sync!$AE460/10000),""),IFERROR(VALUE(TRIM(LEFT(Sync!$AE460,FIND("/",Sync!$AE460)-1))),""))))</f>
        <v/>
      </c>
      <c r="H460">
        <f>IF(OR($F460="",$G460=""),"",IF(ISNUMBER(Sync!$AE460),INT(MOD(Sync!$AE460,10000)/100),IFERROR(VALUE(TRIM(LEFT(MID(Sync!$AE460,FIND("/",Sync!$AE460)+1,20),FIND("/",MID(Sync!$AE460,FIND("/",Sync!$AE460)+1,20))-1))),"")))</f>
        <v/>
      </c>
      <c r="I460">
        <f>IF(OR($F460="",$G460=""),"",IF(ISNUMBER(Sync!$AE460),MOD(Sync!$AE460,100),IFERROR(VALUE(TRIM(MID(MID(Sync!$AE460,FIND("/",Sync!$AE460)+1,20),FIND("/",MID(Sync!$AE460,FIND("/",Sync!$AE460)+1,20))+1,20))),"")))</f>
        <v/>
      </c>
      <c r="J460">
        <f>IF($F460="","",IF(OR($G460="",$H460="",$I460="",$G460&lt;1300,$G460&gt;1500,$H460&lt;1,$H460&gt;12,$I460&lt;1,$I460&gt;31),"نامعتبر",RIGHT("0000"&amp;$G460,4)&amp;"/"&amp;RIGHT("00"&amp;$H460,2)&amp;"/"&amp;RIGHT("00"&amp;$I460,2)))</f>
        <v/>
      </c>
      <c r="K460">
        <f>IF(OR($F460="",$J460="",$J460="نامعتبر"),"",LEFT($J460,4)&amp;MID($J460,6,2)&amp;RIGHT($J460,2)&amp;$N460&amp;"|"&amp;"2"&amp;RIGHT("00000"&amp;455,5))</f>
        <v/>
      </c>
      <c r="L460">
        <f>IF($K460="","",COUNTIFS(LdgSellerA,$F460,LdgKeyA,"&lt;"&amp;$K460)+COUNTIFS(LdgSellerB,$F460,LdgKeyB,"&lt;"&amp;$K460)+1)</f>
        <v/>
      </c>
      <c r="M460">
        <f>IF($L460="","",$F460&amp;"|"&amp;RIGHT("000000"&amp;$L460,6))</f>
        <v/>
      </c>
      <c r="N460">
        <f>IF($F460="","",IF(Sync!$AF460="","0000",IF(AND(ISNUMBER(Sync!$AF460),Sync!$AF460&gt;=0,Sync!$AF460&lt;1),RIGHT("00"&amp;HOUR(Sync!$AF460),2)&amp;RIGHT("00"&amp;MINUTE(Sync!$AF460),2),IFERROR(RIGHT("00"&amp;VALUE(LEFT(Sync!$AF460,FIND(":",Sync!$AF460)-1)),2)&amp;RIGHT("00"&amp;VALUE(MID(Sync!$AF460,FIND(":",Sync!$AF460)+1,2)),2),"0000"))))</f>
        <v/>
      </c>
    </row>
    <row r="461">
      <c r="A461">
        <f>IF(OR(Calc!$E465="",Calc!$E465="نامعتبر",Calc!$G465=""),"",Calc!$G465)</f>
        <v/>
      </c>
      <c r="B461">
        <f>IF($A461="","",LEFT(Calc!$E465,4)&amp;MID(Calc!$E465,6,2)&amp;RIGHT(Calc!$E465,2)&amp;Calc!$Q465&amp;"|"&amp;"1"&amp;RIGHT("00000"&amp;456,5))</f>
        <v/>
      </c>
      <c r="C461">
        <f>IF($B461="","",COUNTIFS(LdgSellerA,$A461,LdgKeyA,"&lt;"&amp;$B461)+COUNTIFS(LdgSellerB,$A461,LdgKeyB,"&lt;"&amp;$B461)+1)</f>
        <v/>
      </c>
      <c r="D461">
        <f>IF($C461="","",$A461&amp;"|"&amp;RIGHT("000000"&amp;$C461,6))</f>
        <v/>
      </c>
      <c r="F461">
        <f>IF(Sync!$AH461="","",IF(LEFT(UPPER(TRIM(Sync!$AH461)),2)="SL",UPPER(TRIM(Sync!$AH461)),""))</f>
        <v/>
      </c>
      <c r="G461">
        <f>IF($F461="","",IF(Sync!$AE461="","",IF(ISNUMBER(Sync!$AE461),IF(AND(Sync!$AE461&gt;=10000101,Sync!$AE461&lt;=99991231),INT(Sync!$AE461/10000),""),IFERROR(VALUE(TRIM(LEFT(Sync!$AE461,FIND("/",Sync!$AE461)-1))),""))))</f>
        <v/>
      </c>
      <c r="H461">
        <f>IF(OR($F461="",$G461=""),"",IF(ISNUMBER(Sync!$AE461),INT(MOD(Sync!$AE461,10000)/100),IFERROR(VALUE(TRIM(LEFT(MID(Sync!$AE461,FIND("/",Sync!$AE461)+1,20),FIND("/",MID(Sync!$AE461,FIND("/",Sync!$AE461)+1,20))-1))),"")))</f>
        <v/>
      </c>
      <c r="I461">
        <f>IF(OR($F461="",$G461=""),"",IF(ISNUMBER(Sync!$AE461),MOD(Sync!$AE461,100),IFERROR(VALUE(TRIM(MID(MID(Sync!$AE461,FIND("/",Sync!$AE461)+1,20),FIND("/",MID(Sync!$AE461,FIND("/",Sync!$AE461)+1,20))+1,20))),"")))</f>
        <v/>
      </c>
      <c r="J461">
        <f>IF($F461="","",IF(OR($G461="",$H461="",$I461="",$G461&lt;1300,$G461&gt;1500,$H461&lt;1,$H461&gt;12,$I461&lt;1,$I461&gt;31),"نامعتبر",RIGHT("0000"&amp;$G461,4)&amp;"/"&amp;RIGHT("00"&amp;$H461,2)&amp;"/"&amp;RIGHT("00"&amp;$I461,2)))</f>
        <v/>
      </c>
      <c r="K461">
        <f>IF(OR($F461="",$J461="",$J461="نامعتبر"),"",LEFT($J461,4)&amp;MID($J461,6,2)&amp;RIGHT($J461,2)&amp;$N461&amp;"|"&amp;"2"&amp;RIGHT("00000"&amp;456,5))</f>
        <v/>
      </c>
      <c r="L461">
        <f>IF($K461="","",COUNTIFS(LdgSellerA,$F461,LdgKeyA,"&lt;"&amp;$K461)+COUNTIFS(LdgSellerB,$F461,LdgKeyB,"&lt;"&amp;$K461)+1)</f>
        <v/>
      </c>
      <c r="M461">
        <f>IF($L461="","",$F461&amp;"|"&amp;RIGHT("000000"&amp;$L461,6))</f>
        <v/>
      </c>
      <c r="N461">
        <f>IF($F461="","",IF(Sync!$AF461="","0000",IF(AND(ISNUMBER(Sync!$AF461),Sync!$AF461&gt;=0,Sync!$AF461&lt;1),RIGHT("00"&amp;HOUR(Sync!$AF461),2)&amp;RIGHT("00"&amp;MINUTE(Sync!$AF461),2),IFERROR(RIGHT("00"&amp;VALUE(LEFT(Sync!$AF461,FIND(":",Sync!$AF461)-1)),2)&amp;RIGHT("00"&amp;VALUE(MID(Sync!$AF461,FIND(":",Sync!$AF461)+1,2)),2),"0000"))))</f>
        <v/>
      </c>
    </row>
    <row r="462">
      <c r="A462">
        <f>IF(OR(Calc!$E466="",Calc!$E466="نامعتبر",Calc!$G466=""),"",Calc!$G466)</f>
        <v/>
      </c>
      <c r="B462">
        <f>IF($A462="","",LEFT(Calc!$E466,4)&amp;MID(Calc!$E466,6,2)&amp;RIGHT(Calc!$E466,2)&amp;Calc!$Q466&amp;"|"&amp;"1"&amp;RIGHT("00000"&amp;457,5))</f>
        <v/>
      </c>
      <c r="C462">
        <f>IF($B462="","",COUNTIFS(LdgSellerA,$A462,LdgKeyA,"&lt;"&amp;$B462)+COUNTIFS(LdgSellerB,$A462,LdgKeyB,"&lt;"&amp;$B462)+1)</f>
        <v/>
      </c>
      <c r="D462">
        <f>IF($C462="","",$A462&amp;"|"&amp;RIGHT("000000"&amp;$C462,6))</f>
        <v/>
      </c>
      <c r="F462">
        <f>IF(Sync!$AH462="","",IF(LEFT(UPPER(TRIM(Sync!$AH462)),2)="SL",UPPER(TRIM(Sync!$AH462)),""))</f>
        <v/>
      </c>
      <c r="G462">
        <f>IF($F462="","",IF(Sync!$AE462="","",IF(ISNUMBER(Sync!$AE462),IF(AND(Sync!$AE462&gt;=10000101,Sync!$AE462&lt;=99991231),INT(Sync!$AE462/10000),""),IFERROR(VALUE(TRIM(LEFT(Sync!$AE462,FIND("/",Sync!$AE462)-1))),""))))</f>
        <v/>
      </c>
      <c r="H462">
        <f>IF(OR($F462="",$G462=""),"",IF(ISNUMBER(Sync!$AE462),INT(MOD(Sync!$AE462,10000)/100),IFERROR(VALUE(TRIM(LEFT(MID(Sync!$AE462,FIND("/",Sync!$AE462)+1,20),FIND("/",MID(Sync!$AE462,FIND("/",Sync!$AE462)+1,20))-1))),"")))</f>
        <v/>
      </c>
      <c r="I462">
        <f>IF(OR($F462="",$G462=""),"",IF(ISNUMBER(Sync!$AE462),MOD(Sync!$AE462,100),IFERROR(VALUE(TRIM(MID(MID(Sync!$AE462,FIND("/",Sync!$AE462)+1,20),FIND("/",MID(Sync!$AE462,FIND("/",Sync!$AE462)+1,20))+1,20))),"")))</f>
        <v/>
      </c>
      <c r="J462">
        <f>IF($F462="","",IF(OR($G462="",$H462="",$I462="",$G462&lt;1300,$G462&gt;1500,$H462&lt;1,$H462&gt;12,$I462&lt;1,$I462&gt;31),"نامعتبر",RIGHT("0000"&amp;$G462,4)&amp;"/"&amp;RIGHT("00"&amp;$H462,2)&amp;"/"&amp;RIGHT("00"&amp;$I462,2)))</f>
        <v/>
      </c>
      <c r="K462">
        <f>IF(OR($F462="",$J462="",$J462="نامعتبر"),"",LEFT($J462,4)&amp;MID($J462,6,2)&amp;RIGHT($J462,2)&amp;$N462&amp;"|"&amp;"2"&amp;RIGHT("00000"&amp;457,5))</f>
        <v/>
      </c>
      <c r="L462">
        <f>IF($K462="","",COUNTIFS(LdgSellerA,$F462,LdgKeyA,"&lt;"&amp;$K462)+COUNTIFS(LdgSellerB,$F462,LdgKeyB,"&lt;"&amp;$K462)+1)</f>
        <v/>
      </c>
      <c r="M462">
        <f>IF($L462="","",$F462&amp;"|"&amp;RIGHT("000000"&amp;$L462,6))</f>
        <v/>
      </c>
      <c r="N462">
        <f>IF($F462="","",IF(Sync!$AF462="","0000",IF(AND(ISNUMBER(Sync!$AF462),Sync!$AF462&gt;=0,Sync!$AF462&lt;1),RIGHT("00"&amp;HOUR(Sync!$AF462),2)&amp;RIGHT("00"&amp;MINUTE(Sync!$AF462),2),IFERROR(RIGHT("00"&amp;VALUE(LEFT(Sync!$AF462,FIND(":",Sync!$AF462)-1)),2)&amp;RIGHT("00"&amp;VALUE(MID(Sync!$AF462,FIND(":",Sync!$AF462)+1,2)),2),"0000"))))</f>
        <v/>
      </c>
    </row>
    <row r="463">
      <c r="A463">
        <f>IF(OR(Calc!$E467="",Calc!$E467="نامعتبر",Calc!$G467=""),"",Calc!$G467)</f>
        <v/>
      </c>
      <c r="B463">
        <f>IF($A463="","",LEFT(Calc!$E467,4)&amp;MID(Calc!$E467,6,2)&amp;RIGHT(Calc!$E467,2)&amp;Calc!$Q467&amp;"|"&amp;"1"&amp;RIGHT("00000"&amp;458,5))</f>
        <v/>
      </c>
      <c r="C463">
        <f>IF($B463="","",COUNTIFS(LdgSellerA,$A463,LdgKeyA,"&lt;"&amp;$B463)+COUNTIFS(LdgSellerB,$A463,LdgKeyB,"&lt;"&amp;$B463)+1)</f>
        <v/>
      </c>
      <c r="D463">
        <f>IF($C463="","",$A463&amp;"|"&amp;RIGHT("000000"&amp;$C463,6))</f>
        <v/>
      </c>
      <c r="F463">
        <f>IF(Sync!$AH463="","",IF(LEFT(UPPER(TRIM(Sync!$AH463)),2)="SL",UPPER(TRIM(Sync!$AH463)),""))</f>
        <v/>
      </c>
      <c r="G463">
        <f>IF($F463="","",IF(Sync!$AE463="","",IF(ISNUMBER(Sync!$AE463),IF(AND(Sync!$AE463&gt;=10000101,Sync!$AE463&lt;=99991231),INT(Sync!$AE463/10000),""),IFERROR(VALUE(TRIM(LEFT(Sync!$AE463,FIND("/",Sync!$AE463)-1))),""))))</f>
        <v/>
      </c>
      <c r="H463">
        <f>IF(OR($F463="",$G463=""),"",IF(ISNUMBER(Sync!$AE463),INT(MOD(Sync!$AE463,10000)/100),IFERROR(VALUE(TRIM(LEFT(MID(Sync!$AE463,FIND("/",Sync!$AE463)+1,20),FIND("/",MID(Sync!$AE463,FIND("/",Sync!$AE463)+1,20))-1))),"")))</f>
        <v/>
      </c>
      <c r="I463">
        <f>IF(OR($F463="",$G463=""),"",IF(ISNUMBER(Sync!$AE463),MOD(Sync!$AE463,100),IFERROR(VALUE(TRIM(MID(MID(Sync!$AE463,FIND("/",Sync!$AE463)+1,20),FIND("/",MID(Sync!$AE463,FIND("/",Sync!$AE463)+1,20))+1,20))),"")))</f>
        <v/>
      </c>
      <c r="J463">
        <f>IF($F463="","",IF(OR($G463="",$H463="",$I463="",$G463&lt;1300,$G463&gt;1500,$H463&lt;1,$H463&gt;12,$I463&lt;1,$I463&gt;31),"نامعتبر",RIGHT("0000"&amp;$G463,4)&amp;"/"&amp;RIGHT("00"&amp;$H463,2)&amp;"/"&amp;RIGHT("00"&amp;$I463,2)))</f>
        <v/>
      </c>
      <c r="K463">
        <f>IF(OR($F463="",$J463="",$J463="نامعتبر"),"",LEFT($J463,4)&amp;MID($J463,6,2)&amp;RIGHT($J463,2)&amp;$N463&amp;"|"&amp;"2"&amp;RIGHT("00000"&amp;458,5))</f>
        <v/>
      </c>
      <c r="L463">
        <f>IF($K463="","",COUNTIFS(LdgSellerA,$F463,LdgKeyA,"&lt;"&amp;$K463)+COUNTIFS(LdgSellerB,$F463,LdgKeyB,"&lt;"&amp;$K463)+1)</f>
        <v/>
      </c>
      <c r="M463">
        <f>IF($L463="","",$F463&amp;"|"&amp;RIGHT("000000"&amp;$L463,6))</f>
        <v/>
      </c>
      <c r="N463">
        <f>IF($F463="","",IF(Sync!$AF463="","0000",IF(AND(ISNUMBER(Sync!$AF463),Sync!$AF463&gt;=0,Sync!$AF463&lt;1),RIGHT("00"&amp;HOUR(Sync!$AF463),2)&amp;RIGHT("00"&amp;MINUTE(Sync!$AF463),2),IFERROR(RIGHT("00"&amp;VALUE(LEFT(Sync!$AF463,FIND(":",Sync!$AF463)-1)),2)&amp;RIGHT("00"&amp;VALUE(MID(Sync!$AF463,FIND(":",Sync!$AF463)+1,2)),2),"0000"))))</f>
        <v/>
      </c>
    </row>
    <row r="464">
      <c r="A464">
        <f>IF(OR(Calc!$E468="",Calc!$E468="نامعتبر",Calc!$G468=""),"",Calc!$G468)</f>
        <v/>
      </c>
      <c r="B464">
        <f>IF($A464="","",LEFT(Calc!$E468,4)&amp;MID(Calc!$E468,6,2)&amp;RIGHT(Calc!$E468,2)&amp;Calc!$Q468&amp;"|"&amp;"1"&amp;RIGHT("00000"&amp;459,5))</f>
        <v/>
      </c>
      <c r="C464">
        <f>IF($B464="","",COUNTIFS(LdgSellerA,$A464,LdgKeyA,"&lt;"&amp;$B464)+COUNTIFS(LdgSellerB,$A464,LdgKeyB,"&lt;"&amp;$B464)+1)</f>
        <v/>
      </c>
      <c r="D464">
        <f>IF($C464="","",$A464&amp;"|"&amp;RIGHT("000000"&amp;$C464,6))</f>
        <v/>
      </c>
      <c r="F464">
        <f>IF(Sync!$AH464="","",IF(LEFT(UPPER(TRIM(Sync!$AH464)),2)="SL",UPPER(TRIM(Sync!$AH464)),""))</f>
        <v/>
      </c>
      <c r="G464">
        <f>IF($F464="","",IF(Sync!$AE464="","",IF(ISNUMBER(Sync!$AE464),IF(AND(Sync!$AE464&gt;=10000101,Sync!$AE464&lt;=99991231),INT(Sync!$AE464/10000),""),IFERROR(VALUE(TRIM(LEFT(Sync!$AE464,FIND("/",Sync!$AE464)-1))),""))))</f>
        <v/>
      </c>
      <c r="H464">
        <f>IF(OR($F464="",$G464=""),"",IF(ISNUMBER(Sync!$AE464),INT(MOD(Sync!$AE464,10000)/100),IFERROR(VALUE(TRIM(LEFT(MID(Sync!$AE464,FIND("/",Sync!$AE464)+1,20),FIND("/",MID(Sync!$AE464,FIND("/",Sync!$AE464)+1,20))-1))),"")))</f>
        <v/>
      </c>
      <c r="I464">
        <f>IF(OR($F464="",$G464=""),"",IF(ISNUMBER(Sync!$AE464),MOD(Sync!$AE464,100),IFERROR(VALUE(TRIM(MID(MID(Sync!$AE464,FIND("/",Sync!$AE464)+1,20),FIND("/",MID(Sync!$AE464,FIND("/",Sync!$AE464)+1,20))+1,20))),"")))</f>
        <v/>
      </c>
      <c r="J464">
        <f>IF($F464="","",IF(OR($G464="",$H464="",$I464="",$G464&lt;1300,$G464&gt;1500,$H464&lt;1,$H464&gt;12,$I464&lt;1,$I464&gt;31),"نامعتبر",RIGHT("0000"&amp;$G464,4)&amp;"/"&amp;RIGHT("00"&amp;$H464,2)&amp;"/"&amp;RIGHT("00"&amp;$I464,2)))</f>
        <v/>
      </c>
      <c r="K464">
        <f>IF(OR($F464="",$J464="",$J464="نامعتبر"),"",LEFT($J464,4)&amp;MID($J464,6,2)&amp;RIGHT($J464,2)&amp;$N464&amp;"|"&amp;"2"&amp;RIGHT("00000"&amp;459,5))</f>
        <v/>
      </c>
      <c r="L464">
        <f>IF($K464="","",COUNTIFS(LdgSellerA,$F464,LdgKeyA,"&lt;"&amp;$K464)+COUNTIFS(LdgSellerB,$F464,LdgKeyB,"&lt;"&amp;$K464)+1)</f>
        <v/>
      </c>
      <c r="M464">
        <f>IF($L464="","",$F464&amp;"|"&amp;RIGHT("000000"&amp;$L464,6))</f>
        <v/>
      </c>
      <c r="N464">
        <f>IF($F464="","",IF(Sync!$AF464="","0000",IF(AND(ISNUMBER(Sync!$AF464),Sync!$AF464&gt;=0,Sync!$AF464&lt;1),RIGHT("00"&amp;HOUR(Sync!$AF464),2)&amp;RIGHT("00"&amp;MINUTE(Sync!$AF464),2),IFERROR(RIGHT("00"&amp;VALUE(LEFT(Sync!$AF464,FIND(":",Sync!$AF464)-1)),2)&amp;RIGHT("00"&amp;VALUE(MID(Sync!$AF464,FIND(":",Sync!$AF464)+1,2)),2),"0000"))))</f>
        <v/>
      </c>
    </row>
    <row r="465">
      <c r="A465">
        <f>IF(OR(Calc!$E469="",Calc!$E469="نامعتبر",Calc!$G469=""),"",Calc!$G469)</f>
        <v/>
      </c>
      <c r="B465">
        <f>IF($A465="","",LEFT(Calc!$E469,4)&amp;MID(Calc!$E469,6,2)&amp;RIGHT(Calc!$E469,2)&amp;Calc!$Q469&amp;"|"&amp;"1"&amp;RIGHT("00000"&amp;460,5))</f>
        <v/>
      </c>
      <c r="C465">
        <f>IF($B465="","",COUNTIFS(LdgSellerA,$A465,LdgKeyA,"&lt;"&amp;$B465)+COUNTIFS(LdgSellerB,$A465,LdgKeyB,"&lt;"&amp;$B465)+1)</f>
        <v/>
      </c>
      <c r="D465">
        <f>IF($C465="","",$A465&amp;"|"&amp;RIGHT("000000"&amp;$C465,6))</f>
        <v/>
      </c>
      <c r="F465">
        <f>IF(Sync!$AH465="","",IF(LEFT(UPPER(TRIM(Sync!$AH465)),2)="SL",UPPER(TRIM(Sync!$AH465)),""))</f>
        <v/>
      </c>
      <c r="G465">
        <f>IF($F465="","",IF(Sync!$AE465="","",IF(ISNUMBER(Sync!$AE465),IF(AND(Sync!$AE465&gt;=10000101,Sync!$AE465&lt;=99991231),INT(Sync!$AE465/10000),""),IFERROR(VALUE(TRIM(LEFT(Sync!$AE465,FIND("/",Sync!$AE465)-1))),""))))</f>
        <v/>
      </c>
      <c r="H465">
        <f>IF(OR($F465="",$G465=""),"",IF(ISNUMBER(Sync!$AE465),INT(MOD(Sync!$AE465,10000)/100),IFERROR(VALUE(TRIM(LEFT(MID(Sync!$AE465,FIND("/",Sync!$AE465)+1,20),FIND("/",MID(Sync!$AE465,FIND("/",Sync!$AE465)+1,20))-1))),"")))</f>
        <v/>
      </c>
      <c r="I465">
        <f>IF(OR($F465="",$G465=""),"",IF(ISNUMBER(Sync!$AE465),MOD(Sync!$AE465,100),IFERROR(VALUE(TRIM(MID(MID(Sync!$AE465,FIND("/",Sync!$AE465)+1,20),FIND("/",MID(Sync!$AE465,FIND("/",Sync!$AE465)+1,20))+1,20))),"")))</f>
        <v/>
      </c>
      <c r="J465">
        <f>IF($F465="","",IF(OR($G465="",$H465="",$I465="",$G465&lt;1300,$G465&gt;1500,$H465&lt;1,$H465&gt;12,$I465&lt;1,$I465&gt;31),"نامعتبر",RIGHT("0000"&amp;$G465,4)&amp;"/"&amp;RIGHT("00"&amp;$H465,2)&amp;"/"&amp;RIGHT("00"&amp;$I465,2)))</f>
        <v/>
      </c>
      <c r="K465">
        <f>IF(OR($F465="",$J465="",$J465="نامعتبر"),"",LEFT($J465,4)&amp;MID($J465,6,2)&amp;RIGHT($J465,2)&amp;$N465&amp;"|"&amp;"2"&amp;RIGHT("00000"&amp;460,5))</f>
        <v/>
      </c>
      <c r="L465">
        <f>IF($K465="","",COUNTIFS(LdgSellerA,$F465,LdgKeyA,"&lt;"&amp;$K465)+COUNTIFS(LdgSellerB,$F465,LdgKeyB,"&lt;"&amp;$K465)+1)</f>
        <v/>
      </c>
      <c r="M465">
        <f>IF($L465="","",$F465&amp;"|"&amp;RIGHT("000000"&amp;$L465,6))</f>
        <v/>
      </c>
      <c r="N465">
        <f>IF($F465="","",IF(Sync!$AF465="","0000",IF(AND(ISNUMBER(Sync!$AF465),Sync!$AF465&gt;=0,Sync!$AF465&lt;1),RIGHT("00"&amp;HOUR(Sync!$AF465),2)&amp;RIGHT("00"&amp;MINUTE(Sync!$AF465),2),IFERROR(RIGHT("00"&amp;VALUE(LEFT(Sync!$AF465,FIND(":",Sync!$AF465)-1)),2)&amp;RIGHT("00"&amp;VALUE(MID(Sync!$AF465,FIND(":",Sync!$AF465)+1,2)),2),"0000"))))</f>
        <v/>
      </c>
    </row>
    <row r="466">
      <c r="A466">
        <f>IF(OR(Calc!$E470="",Calc!$E470="نامعتبر",Calc!$G470=""),"",Calc!$G470)</f>
        <v/>
      </c>
      <c r="B466">
        <f>IF($A466="","",LEFT(Calc!$E470,4)&amp;MID(Calc!$E470,6,2)&amp;RIGHT(Calc!$E470,2)&amp;Calc!$Q470&amp;"|"&amp;"1"&amp;RIGHT("00000"&amp;461,5))</f>
        <v/>
      </c>
      <c r="C466">
        <f>IF($B466="","",COUNTIFS(LdgSellerA,$A466,LdgKeyA,"&lt;"&amp;$B466)+COUNTIFS(LdgSellerB,$A466,LdgKeyB,"&lt;"&amp;$B466)+1)</f>
        <v/>
      </c>
      <c r="D466">
        <f>IF($C466="","",$A466&amp;"|"&amp;RIGHT("000000"&amp;$C466,6))</f>
        <v/>
      </c>
      <c r="F466">
        <f>IF(Sync!$AH466="","",IF(LEFT(UPPER(TRIM(Sync!$AH466)),2)="SL",UPPER(TRIM(Sync!$AH466)),""))</f>
        <v/>
      </c>
      <c r="G466">
        <f>IF($F466="","",IF(Sync!$AE466="","",IF(ISNUMBER(Sync!$AE466),IF(AND(Sync!$AE466&gt;=10000101,Sync!$AE466&lt;=99991231),INT(Sync!$AE466/10000),""),IFERROR(VALUE(TRIM(LEFT(Sync!$AE466,FIND("/",Sync!$AE466)-1))),""))))</f>
        <v/>
      </c>
      <c r="H466">
        <f>IF(OR($F466="",$G466=""),"",IF(ISNUMBER(Sync!$AE466),INT(MOD(Sync!$AE466,10000)/100),IFERROR(VALUE(TRIM(LEFT(MID(Sync!$AE466,FIND("/",Sync!$AE466)+1,20),FIND("/",MID(Sync!$AE466,FIND("/",Sync!$AE466)+1,20))-1))),"")))</f>
        <v/>
      </c>
      <c r="I466">
        <f>IF(OR($F466="",$G466=""),"",IF(ISNUMBER(Sync!$AE466),MOD(Sync!$AE466,100),IFERROR(VALUE(TRIM(MID(MID(Sync!$AE466,FIND("/",Sync!$AE466)+1,20),FIND("/",MID(Sync!$AE466,FIND("/",Sync!$AE466)+1,20))+1,20))),"")))</f>
        <v/>
      </c>
      <c r="J466">
        <f>IF($F466="","",IF(OR($G466="",$H466="",$I466="",$G466&lt;1300,$G466&gt;1500,$H466&lt;1,$H466&gt;12,$I466&lt;1,$I466&gt;31),"نامعتبر",RIGHT("0000"&amp;$G466,4)&amp;"/"&amp;RIGHT("00"&amp;$H466,2)&amp;"/"&amp;RIGHT("00"&amp;$I466,2)))</f>
        <v/>
      </c>
      <c r="K466">
        <f>IF(OR($F466="",$J466="",$J466="نامعتبر"),"",LEFT($J466,4)&amp;MID($J466,6,2)&amp;RIGHT($J466,2)&amp;$N466&amp;"|"&amp;"2"&amp;RIGHT("00000"&amp;461,5))</f>
        <v/>
      </c>
      <c r="L466">
        <f>IF($K466="","",COUNTIFS(LdgSellerA,$F466,LdgKeyA,"&lt;"&amp;$K466)+COUNTIFS(LdgSellerB,$F466,LdgKeyB,"&lt;"&amp;$K466)+1)</f>
        <v/>
      </c>
      <c r="M466">
        <f>IF($L466="","",$F466&amp;"|"&amp;RIGHT("000000"&amp;$L466,6))</f>
        <v/>
      </c>
      <c r="N466">
        <f>IF($F466="","",IF(Sync!$AF466="","0000",IF(AND(ISNUMBER(Sync!$AF466),Sync!$AF466&gt;=0,Sync!$AF466&lt;1),RIGHT("00"&amp;HOUR(Sync!$AF466),2)&amp;RIGHT("00"&amp;MINUTE(Sync!$AF466),2),IFERROR(RIGHT("00"&amp;VALUE(LEFT(Sync!$AF466,FIND(":",Sync!$AF466)-1)),2)&amp;RIGHT("00"&amp;VALUE(MID(Sync!$AF466,FIND(":",Sync!$AF466)+1,2)),2),"0000"))))</f>
        <v/>
      </c>
    </row>
    <row r="467">
      <c r="A467">
        <f>IF(OR(Calc!$E471="",Calc!$E471="نامعتبر",Calc!$G471=""),"",Calc!$G471)</f>
        <v/>
      </c>
      <c r="B467">
        <f>IF($A467="","",LEFT(Calc!$E471,4)&amp;MID(Calc!$E471,6,2)&amp;RIGHT(Calc!$E471,2)&amp;Calc!$Q471&amp;"|"&amp;"1"&amp;RIGHT("00000"&amp;462,5))</f>
        <v/>
      </c>
      <c r="C467">
        <f>IF($B467="","",COUNTIFS(LdgSellerA,$A467,LdgKeyA,"&lt;"&amp;$B467)+COUNTIFS(LdgSellerB,$A467,LdgKeyB,"&lt;"&amp;$B467)+1)</f>
        <v/>
      </c>
      <c r="D467">
        <f>IF($C467="","",$A467&amp;"|"&amp;RIGHT("000000"&amp;$C467,6))</f>
        <v/>
      </c>
      <c r="F467">
        <f>IF(Sync!$AH467="","",IF(LEFT(UPPER(TRIM(Sync!$AH467)),2)="SL",UPPER(TRIM(Sync!$AH467)),""))</f>
        <v/>
      </c>
      <c r="G467">
        <f>IF($F467="","",IF(Sync!$AE467="","",IF(ISNUMBER(Sync!$AE467),IF(AND(Sync!$AE467&gt;=10000101,Sync!$AE467&lt;=99991231),INT(Sync!$AE467/10000),""),IFERROR(VALUE(TRIM(LEFT(Sync!$AE467,FIND("/",Sync!$AE467)-1))),""))))</f>
        <v/>
      </c>
      <c r="H467">
        <f>IF(OR($F467="",$G467=""),"",IF(ISNUMBER(Sync!$AE467),INT(MOD(Sync!$AE467,10000)/100),IFERROR(VALUE(TRIM(LEFT(MID(Sync!$AE467,FIND("/",Sync!$AE467)+1,20),FIND("/",MID(Sync!$AE467,FIND("/",Sync!$AE467)+1,20))-1))),"")))</f>
        <v/>
      </c>
      <c r="I467">
        <f>IF(OR($F467="",$G467=""),"",IF(ISNUMBER(Sync!$AE467),MOD(Sync!$AE467,100),IFERROR(VALUE(TRIM(MID(MID(Sync!$AE467,FIND("/",Sync!$AE467)+1,20),FIND("/",MID(Sync!$AE467,FIND("/",Sync!$AE467)+1,20))+1,20))),"")))</f>
        <v/>
      </c>
      <c r="J467">
        <f>IF($F467="","",IF(OR($G467="",$H467="",$I467="",$G467&lt;1300,$G467&gt;1500,$H467&lt;1,$H467&gt;12,$I467&lt;1,$I467&gt;31),"نامعتبر",RIGHT("0000"&amp;$G467,4)&amp;"/"&amp;RIGHT("00"&amp;$H467,2)&amp;"/"&amp;RIGHT("00"&amp;$I467,2)))</f>
        <v/>
      </c>
      <c r="K467">
        <f>IF(OR($F467="",$J467="",$J467="نامعتبر"),"",LEFT($J467,4)&amp;MID($J467,6,2)&amp;RIGHT($J467,2)&amp;$N467&amp;"|"&amp;"2"&amp;RIGHT("00000"&amp;462,5))</f>
        <v/>
      </c>
      <c r="L467">
        <f>IF($K467="","",COUNTIFS(LdgSellerA,$F467,LdgKeyA,"&lt;"&amp;$K467)+COUNTIFS(LdgSellerB,$F467,LdgKeyB,"&lt;"&amp;$K467)+1)</f>
        <v/>
      </c>
      <c r="M467">
        <f>IF($L467="","",$F467&amp;"|"&amp;RIGHT("000000"&amp;$L467,6))</f>
        <v/>
      </c>
      <c r="N467">
        <f>IF($F467="","",IF(Sync!$AF467="","0000",IF(AND(ISNUMBER(Sync!$AF467),Sync!$AF467&gt;=0,Sync!$AF467&lt;1),RIGHT("00"&amp;HOUR(Sync!$AF467),2)&amp;RIGHT("00"&amp;MINUTE(Sync!$AF467),2),IFERROR(RIGHT("00"&amp;VALUE(LEFT(Sync!$AF467,FIND(":",Sync!$AF467)-1)),2)&amp;RIGHT("00"&amp;VALUE(MID(Sync!$AF467,FIND(":",Sync!$AF467)+1,2)),2),"0000"))))</f>
        <v/>
      </c>
    </row>
    <row r="468">
      <c r="A468">
        <f>IF(OR(Calc!$E472="",Calc!$E472="نامعتبر",Calc!$G472=""),"",Calc!$G472)</f>
        <v/>
      </c>
      <c r="B468">
        <f>IF($A468="","",LEFT(Calc!$E472,4)&amp;MID(Calc!$E472,6,2)&amp;RIGHT(Calc!$E472,2)&amp;Calc!$Q472&amp;"|"&amp;"1"&amp;RIGHT("00000"&amp;463,5))</f>
        <v/>
      </c>
      <c r="C468">
        <f>IF($B468="","",COUNTIFS(LdgSellerA,$A468,LdgKeyA,"&lt;"&amp;$B468)+COUNTIFS(LdgSellerB,$A468,LdgKeyB,"&lt;"&amp;$B468)+1)</f>
        <v/>
      </c>
      <c r="D468">
        <f>IF($C468="","",$A468&amp;"|"&amp;RIGHT("000000"&amp;$C468,6))</f>
        <v/>
      </c>
      <c r="F468">
        <f>IF(Sync!$AH468="","",IF(LEFT(UPPER(TRIM(Sync!$AH468)),2)="SL",UPPER(TRIM(Sync!$AH468)),""))</f>
        <v/>
      </c>
      <c r="G468">
        <f>IF($F468="","",IF(Sync!$AE468="","",IF(ISNUMBER(Sync!$AE468),IF(AND(Sync!$AE468&gt;=10000101,Sync!$AE468&lt;=99991231),INT(Sync!$AE468/10000),""),IFERROR(VALUE(TRIM(LEFT(Sync!$AE468,FIND("/",Sync!$AE468)-1))),""))))</f>
        <v/>
      </c>
      <c r="H468">
        <f>IF(OR($F468="",$G468=""),"",IF(ISNUMBER(Sync!$AE468),INT(MOD(Sync!$AE468,10000)/100),IFERROR(VALUE(TRIM(LEFT(MID(Sync!$AE468,FIND("/",Sync!$AE468)+1,20),FIND("/",MID(Sync!$AE468,FIND("/",Sync!$AE468)+1,20))-1))),"")))</f>
        <v/>
      </c>
      <c r="I468">
        <f>IF(OR($F468="",$G468=""),"",IF(ISNUMBER(Sync!$AE468),MOD(Sync!$AE468,100),IFERROR(VALUE(TRIM(MID(MID(Sync!$AE468,FIND("/",Sync!$AE468)+1,20),FIND("/",MID(Sync!$AE468,FIND("/",Sync!$AE468)+1,20))+1,20))),"")))</f>
        <v/>
      </c>
      <c r="J468">
        <f>IF($F468="","",IF(OR($G468="",$H468="",$I468="",$G468&lt;1300,$G468&gt;1500,$H468&lt;1,$H468&gt;12,$I468&lt;1,$I468&gt;31),"نامعتبر",RIGHT("0000"&amp;$G468,4)&amp;"/"&amp;RIGHT("00"&amp;$H468,2)&amp;"/"&amp;RIGHT("00"&amp;$I468,2)))</f>
        <v/>
      </c>
      <c r="K468">
        <f>IF(OR($F468="",$J468="",$J468="نامعتبر"),"",LEFT($J468,4)&amp;MID($J468,6,2)&amp;RIGHT($J468,2)&amp;$N468&amp;"|"&amp;"2"&amp;RIGHT("00000"&amp;463,5))</f>
        <v/>
      </c>
      <c r="L468">
        <f>IF($K468="","",COUNTIFS(LdgSellerA,$F468,LdgKeyA,"&lt;"&amp;$K468)+COUNTIFS(LdgSellerB,$F468,LdgKeyB,"&lt;"&amp;$K468)+1)</f>
        <v/>
      </c>
      <c r="M468">
        <f>IF($L468="","",$F468&amp;"|"&amp;RIGHT("000000"&amp;$L468,6))</f>
        <v/>
      </c>
      <c r="N468">
        <f>IF($F468="","",IF(Sync!$AF468="","0000",IF(AND(ISNUMBER(Sync!$AF468),Sync!$AF468&gt;=0,Sync!$AF468&lt;1),RIGHT("00"&amp;HOUR(Sync!$AF468),2)&amp;RIGHT("00"&amp;MINUTE(Sync!$AF468),2),IFERROR(RIGHT("00"&amp;VALUE(LEFT(Sync!$AF468,FIND(":",Sync!$AF468)-1)),2)&amp;RIGHT("00"&amp;VALUE(MID(Sync!$AF468,FIND(":",Sync!$AF468)+1,2)),2),"0000"))))</f>
        <v/>
      </c>
    </row>
    <row r="469">
      <c r="A469">
        <f>IF(OR(Calc!$E473="",Calc!$E473="نامعتبر",Calc!$G473=""),"",Calc!$G473)</f>
        <v/>
      </c>
      <c r="B469">
        <f>IF($A469="","",LEFT(Calc!$E473,4)&amp;MID(Calc!$E473,6,2)&amp;RIGHT(Calc!$E473,2)&amp;Calc!$Q473&amp;"|"&amp;"1"&amp;RIGHT("00000"&amp;464,5))</f>
        <v/>
      </c>
      <c r="C469">
        <f>IF($B469="","",COUNTIFS(LdgSellerA,$A469,LdgKeyA,"&lt;"&amp;$B469)+COUNTIFS(LdgSellerB,$A469,LdgKeyB,"&lt;"&amp;$B469)+1)</f>
        <v/>
      </c>
      <c r="D469">
        <f>IF($C469="","",$A469&amp;"|"&amp;RIGHT("000000"&amp;$C469,6))</f>
        <v/>
      </c>
      <c r="F469">
        <f>IF(Sync!$AH469="","",IF(LEFT(UPPER(TRIM(Sync!$AH469)),2)="SL",UPPER(TRIM(Sync!$AH469)),""))</f>
        <v/>
      </c>
      <c r="G469">
        <f>IF($F469="","",IF(Sync!$AE469="","",IF(ISNUMBER(Sync!$AE469),IF(AND(Sync!$AE469&gt;=10000101,Sync!$AE469&lt;=99991231),INT(Sync!$AE469/10000),""),IFERROR(VALUE(TRIM(LEFT(Sync!$AE469,FIND("/",Sync!$AE469)-1))),""))))</f>
        <v/>
      </c>
      <c r="H469">
        <f>IF(OR($F469="",$G469=""),"",IF(ISNUMBER(Sync!$AE469),INT(MOD(Sync!$AE469,10000)/100),IFERROR(VALUE(TRIM(LEFT(MID(Sync!$AE469,FIND("/",Sync!$AE469)+1,20),FIND("/",MID(Sync!$AE469,FIND("/",Sync!$AE469)+1,20))-1))),"")))</f>
        <v/>
      </c>
      <c r="I469">
        <f>IF(OR($F469="",$G469=""),"",IF(ISNUMBER(Sync!$AE469),MOD(Sync!$AE469,100),IFERROR(VALUE(TRIM(MID(MID(Sync!$AE469,FIND("/",Sync!$AE469)+1,20),FIND("/",MID(Sync!$AE469,FIND("/",Sync!$AE469)+1,20))+1,20))),"")))</f>
        <v/>
      </c>
      <c r="J469">
        <f>IF($F469="","",IF(OR($G469="",$H469="",$I469="",$G469&lt;1300,$G469&gt;1500,$H469&lt;1,$H469&gt;12,$I469&lt;1,$I469&gt;31),"نامعتبر",RIGHT("0000"&amp;$G469,4)&amp;"/"&amp;RIGHT("00"&amp;$H469,2)&amp;"/"&amp;RIGHT("00"&amp;$I469,2)))</f>
        <v/>
      </c>
      <c r="K469">
        <f>IF(OR($F469="",$J469="",$J469="نامعتبر"),"",LEFT($J469,4)&amp;MID($J469,6,2)&amp;RIGHT($J469,2)&amp;$N469&amp;"|"&amp;"2"&amp;RIGHT("00000"&amp;464,5))</f>
        <v/>
      </c>
      <c r="L469">
        <f>IF($K469="","",COUNTIFS(LdgSellerA,$F469,LdgKeyA,"&lt;"&amp;$K469)+COUNTIFS(LdgSellerB,$F469,LdgKeyB,"&lt;"&amp;$K469)+1)</f>
        <v/>
      </c>
      <c r="M469">
        <f>IF($L469="","",$F469&amp;"|"&amp;RIGHT("000000"&amp;$L469,6))</f>
        <v/>
      </c>
      <c r="N469">
        <f>IF($F469="","",IF(Sync!$AF469="","0000",IF(AND(ISNUMBER(Sync!$AF469),Sync!$AF469&gt;=0,Sync!$AF469&lt;1),RIGHT("00"&amp;HOUR(Sync!$AF469),2)&amp;RIGHT("00"&amp;MINUTE(Sync!$AF469),2),IFERROR(RIGHT("00"&amp;VALUE(LEFT(Sync!$AF469,FIND(":",Sync!$AF469)-1)),2)&amp;RIGHT("00"&amp;VALUE(MID(Sync!$AF469,FIND(":",Sync!$AF469)+1,2)),2),"0000"))))</f>
        <v/>
      </c>
    </row>
    <row r="470">
      <c r="A470">
        <f>IF(OR(Calc!$E474="",Calc!$E474="نامعتبر",Calc!$G474=""),"",Calc!$G474)</f>
        <v/>
      </c>
      <c r="B470">
        <f>IF($A470="","",LEFT(Calc!$E474,4)&amp;MID(Calc!$E474,6,2)&amp;RIGHT(Calc!$E474,2)&amp;Calc!$Q474&amp;"|"&amp;"1"&amp;RIGHT("00000"&amp;465,5))</f>
        <v/>
      </c>
      <c r="C470">
        <f>IF($B470="","",COUNTIFS(LdgSellerA,$A470,LdgKeyA,"&lt;"&amp;$B470)+COUNTIFS(LdgSellerB,$A470,LdgKeyB,"&lt;"&amp;$B470)+1)</f>
        <v/>
      </c>
      <c r="D470">
        <f>IF($C470="","",$A470&amp;"|"&amp;RIGHT("000000"&amp;$C470,6))</f>
        <v/>
      </c>
      <c r="F470">
        <f>IF(Sync!$AH470="","",IF(LEFT(UPPER(TRIM(Sync!$AH470)),2)="SL",UPPER(TRIM(Sync!$AH470)),""))</f>
        <v/>
      </c>
      <c r="G470">
        <f>IF($F470="","",IF(Sync!$AE470="","",IF(ISNUMBER(Sync!$AE470),IF(AND(Sync!$AE470&gt;=10000101,Sync!$AE470&lt;=99991231),INT(Sync!$AE470/10000),""),IFERROR(VALUE(TRIM(LEFT(Sync!$AE470,FIND("/",Sync!$AE470)-1))),""))))</f>
        <v/>
      </c>
      <c r="H470">
        <f>IF(OR($F470="",$G470=""),"",IF(ISNUMBER(Sync!$AE470),INT(MOD(Sync!$AE470,10000)/100),IFERROR(VALUE(TRIM(LEFT(MID(Sync!$AE470,FIND("/",Sync!$AE470)+1,20),FIND("/",MID(Sync!$AE470,FIND("/",Sync!$AE470)+1,20))-1))),"")))</f>
        <v/>
      </c>
      <c r="I470">
        <f>IF(OR($F470="",$G470=""),"",IF(ISNUMBER(Sync!$AE470),MOD(Sync!$AE470,100),IFERROR(VALUE(TRIM(MID(MID(Sync!$AE470,FIND("/",Sync!$AE470)+1,20),FIND("/",MID(Sync!$AE470,FIND("/",Sync!$AE470)+1,20))+1,20))),"")))</f>
        <v/>
      </c>
      <c r="J470">
        <f>IF($F470="","",IF(OR($G470="",$H470="",$I470="",$G470&lt;1300,$G470&gt;1500,$H470&lt;1,$H470&gt;12,$I470&lt;1,$I470&gt;31),"نامعتبر",RIGHT("0000"&amp;$G470,4)&amp;"/"&amp;RIGHT("00"&amp;$H470,2)&amp;"/"&amp;RIGHT("00"&amp;$I470,2)))</f>
        <v/>
      </c>
      <c r="K470">
        <f>IF(OR($F470="",$J470="",$J470="نامعتبر"),"",LEFT($J470,4)&amp;MID($J470,6,2)&amp;RIGHT($J470,2)&amp;$N470&amp;"|"&amp;"2"&amp;RIGHT("00000"&amp;465,5))</f>
        <v/>
      </c>
      <c r="L470">
        <f>IF($K470="","",COUNTIFS(LdgSellerA,$F470,LdgKeyA,"&lt;"&amp;$K470)+COUNTIFS(LdgSellerB,$F470,LdgKeyB,"&lt;"&amp;$K470)+1)</f>
        <v/>
      </c>
      <c r="M470">
        <f>IF($L470="","",$F470&amp;"|"&amp;RIGHT("000000"&amp;$L470,6))</f>
        <v/>
      </c>
      <c r="N470">
        <f>IF($F470="","",IF(Sync!$AF470="","0000",IF(AND(ISNUMBER(Sync!$AF470),Sync!$AF470&gt;=0,Sync!$AF470&lt;1),RIGHT("00"&amp;HOUR(Sync!$AF470),2)&amp;RIGHT("00"&amp;MINUTE(Sync!$AF470),2),IFERROR(RIGHT("00"&amp;VALUE(LEFT(Sync!$AF470,FIND(":",Sync!$AF470)-1)),2)&amp;RIGHT("00"&amp;VALUE(MID(Sync!$AF470,FIND(":",Sync!$AF470)+1,2)),2),"0000"))))</f>
        <v/>
      </c>
    </row>
    <row r="471">
      <c r="A471">
        <f>IF(OR(Calc!$E475="",Calc!$E475="نامعتبر",Calc!$G475=""),"",Calc!$G475)</f>
        <v/>
      </c>
      <c r="B471">
        <f>IF($A471="","",LEFT(Calc!$E475,4)&amp;MID(Calc!$E475,6,2)&amp;RIGHT(Calc!$E475,2)&amp;Calc!$Q475&amp;"|"&amp;"1"&amp;RIGHT("00000"&amp;466,5))</f>
        <v/>
      </c>
      <c r="C471">
        <f>IF($B471="","",COUNTIFS(LdgSellerA,$A471,LdgKeyA,"&lt;"&amp;$B471)+COUNTIFS(LdgSellerB,$A471,LdgKeyB,"&lt;"&amp;$B471)+1)</f>
        <v/>
      </c>
      <c r="D471">
        <f>IF($C471="","",$A471&amp;"|"&amp;RIGHT("000000"&amp;$C471,6))</f>
        <v/>
      </c>
      <c r="F471">
        <f>IF(Sync!$AH471="","",IF(LEFT(UPPER(TRIM(Sync!$AH471)),2)="SL",UPPER(TRIM(Sync!$AH471)),""))</f>
        <v/>
      </c>
      <c r="G471">
        <f>IF($F471="","",IF(Sync!$AE471="","",IF(ISNUMBER(Sync!$AE471),IF(AND(Sync!$AE471&gt;=10000101,Sync!$AE471&lt;=99991231),INT(Sync!$AE471/10000),""),IFERROR(VALUE(TRIM(LEFT(Sync!$AE471,FIND("/",Sync!$AE471)-1))),""))))</f>
        <v/>
      </c>
      <c r="H471">
        <f>IF(OR($F471="",$G471=""),"",IF(ISNUMBER(Sync!$AE471),INT(MOD(Sync!$AE471,10000)/100),IFERROR(VALUE(TRIM(LEFT(MID(Sync!$AE471,FIND("/",Sync!$AE471)+1,20),FIND("/",MID(Sync!$AE471,FIND("/",Sync!$AE471)+1,20))-1))),"")))</f>
        <v/>
      </c>
      <c r="I471">
        <f>IF(OR($F471="",$G471=""),"",IF(ISNUMBER(Sync!$AE471),MOD(Sync!$AE471,100),IFERROR(VALUE(TRIM(MID(MID(Sync!$AE471,FIND("/",Sync!$AE471)+1,20),FIND("/",MID(Sync!$AE471,FIND("/",Sync!$AE471)+1,20))+1,20))),"")))</f>
        <v/>
      </c>
      <c r="J471">
        <f>IF($F471="","",IF(OR($G471="",$H471="",$I471="",$G471&lt;1300,$G471&gt;1500,$H471&lt;1,$H471&gt;12,$I471&lt;1,$I471&gt;31),"نامعتبر",RIGHT("0000"&amp;$G471,4)&amp;"/"&amp;RIGHT("00"&amp;$H471,2)&amp;"/"&amp;RIGHT("00"&amp;$I471,2)))</f>
        <v/>
      </c>
      <c r="K471">
        <f>IF(OR($F471="",$J471="",$J471="نامعتبر"),"",LEFT($J471,4)&amp;MID($J471,6,2)&amp;RIGHT($J471,2)&amp;$N471&amp;"|"&amp;"2"&amp;RIGHT("00000"&amp;466,5))</f>
        <v/>
      </c>
      <c r="L471">
        <f>IF($K471="","",COUNTIFS(LdgSellerA,$F471,LdgKeyA,"&lt;"&amp;$K471)+COUNTIFS(LdgSellerB,$F471,LdgKeyB,"&lt;"&amp;$K471)+1)</f>
        <v/>
      </c>
      <c r="M471">
        <f>IF($L471="","",$F471&amp;"|"&amp;RIGHT("000000"&amp;$L471,6))</f>
        <v/>
      </c>
      <c r="N471">
        <f>IF($F471="","",IF(Sync!$AF471="","0000",IF(AND(ISNUMBER(Sync!$AF471),Sync!$AF471&gt;=0,Sync!$AF471&lt;1),RIGHT("00"&amp;HOUR(Sync!$AF471),2)&amp;RIGHT("00"&amp;MINUTE(Sync!$AF471),2),IFERROR(RIGHT("00"&amp;VALUE(LEFT(Sync!$AF471,FIND(":",Sync!$AF471)-1)),2)&amp;RIGHT("00"&amp;VALUE(MID(Sync!$AF471,FIND(":",Sync!$AF471)+1,2)),2),"0000"))))</f>
        <v/>
      </c>
    </row>
    <row r="472">
      <c r="A472">
        <f>IF(OR(Calc!$E476="",Calc!$E476="نامعتبر",Calc!$G476=""),"",Calc!$G476)</f>
        <v/>
      </c>
      <c r="B472">
        <f>IF($A472="","",LEFT(Calc!$E476,4)&amp;MID(Calc!$E476,6,2)&amp;RIGHT(Calc!$E476,2)&amp;Calc!$Q476&amp;"|"&amp;"1"&amp;RIGHT("00000"&amp;467,5))</f>
        <v/>
      </c>
      <c r="C472">
        <f>IF($B472="","",COUNTIFS(LdgSellerA,$A472,LdgKeyA,"&lt;"&amp;$B472)+COUNTIFS(LdgSellerB,$A472,LdgKeyB,"&lt;"&amp;$B472)+1)</f>
        <v/>
      </c>
      <c r="D472">
        <f>IF($C472="","",$A472&amp;"|"&amp;RIGHT("000000"&amp;$C472,6))</f>
        <v/>
      </c>
      <c r="F472">
        <f>IF(Sync!$AH472="","",IF(LEFT(UPPER(TRIM(Sync!$AH472)),2)="SL",UPPER(TRIM(Sync!$AH472)),""))</f>
        <v/>
      </c>
      <c r="G472">
        <f>IF($F472="","",IF(Sync!$AE472="","",IF(ISNUMBER(Sync!$AE472),IF(AND(Sync!$AE472&gt;=10000101,Sync!$AE472&lt;=99991231),INT(Sync!$AE472/10000),""),IFERROR(VALUE(TRIM(LEFT(Sync!$AE472,FIND("/",Sync!$AE472)-1))),""))))</f>
        <v/>
      </c>
      <c r="H472">
        <f>IF(OR($F472="",$G472=""),"",IF(ISNUMBER(Sync!$AE472),INT(MOD(Sync!$AE472,10000)/100),IFERROR(VALUE(TRIM(LEFT(MID(Sync!$AE472,FIND("/",Sync!$AE472)+1,20),FIND("/",MID(Sync!$AE472,FIND("/",Sync!$AE472)+1,20))-1))),"")))</f>
        <v/>
      </c>
      <c r="I472">
        <f>IF(OR($F472="",$G472=""),"",IF(ISNUMBER(Sync!$AE472),MOD(Sync!$AE472,100),IFERROR(VALUE(TRIM(MID(MID(Sync!$AE472,FIND("/",Sync!$AE472)+1,20),FIND("/",MID(Sync!$AE472,FIND("/",Sync!$AE472)+1,20))+1,20))),"")))</f>
        <v/>
      </c>
      <c r="J472">
        <f>IF($F472="","",IF(OR($G472="",$H472="",$I472="",$G472&lt;1300,$G472&gt;1500,$H472&lt;1,$H472&gt;12,$I472&lt;1,$I472&gt;31),"نامعتبر",RIGHT("0000"&amp;$G472,4)&amp;"/"&amp;RIGHT("00"&amp;$H472,2)&amp;"/"&amp;RIGHT("00"&amp;$I472,2)))</f>
        <v/>
      </c>
      <c r="K472">
        <f>IF(OR($F472="",$J472="",$J472="نامعتبر"),"",LEFT($J472,4)&amp;MID($J472,6,2)&amp;RIGHT($J472,2)&amp;$N472&amp;"|"&amp;"2"&amp;RIGHT("00000"&amp;467,5))</f>
        <v/>
      </c>
      <c r="L472">
        <f>IF($K472="","",COUNTIFS(LdgSellerA,$F472,LdgKeyA,"&lt;"&amp;$K472)+COUNTIFS(LdgSellerB,$F472,LdgKeyB,"&lt;"&amp;$K472)+1)</f>
        <v/>
      </c>
      <c r="M472">
        <f>IF($L472="","",$F472&amp;"|"&amp;RIGHT("000000"&amp;$L472,6))</f>
        <v/>
      </c>
      <c r="N472">
        <f>IF($F472="","",IF(Sync!$AF472="","0000",IF(AND(ISNUMBER(Sync!$AF472),Sync!$AF472&gt;=0,Sync!$AF472&lt;1),RIGHT("00"&amp;HOUR(Sync!$AF472),2)&amp;RIGHT("00"&amp;MINUTE(Sync!$AF472),2),IFERROR(RIGHT("00"&amp;VALUE(LEFT(Sync!$AF472,FIND(":",Sync!$AF472)-1)),2)&amp;RIGHT("00"&amp;VALUE(MID(Sync!$AF472,FIND(":",Sync!$AF472)+1,2)),2),"0000"))))</f>
        <v/>
      </c>
    </row>
    <row r="473">
      <c r="A473">
        <f>IF(OR(Calc!$E477="",Calc!$E477="نامعتبر",Calc!$G477=""),"",Calc!$G477)</f>
        <v/>
      </c>
      <c r="B473">
        <f>IF($A473="","",LEFT(Calc!$E477,4)&amp;MID(Calc!$E477,6,2)&amp;RIGHT(Calc!$E477,2)&amp;Calc!$Q477&amp;"|"&amp;"1"&amp;RIGHT("00000"&amp;468,5))</f>
        <v/>
      </c>
      <c r="C473">
        <f>IF($B473="","",COUNTIFS(LdgSellerA,$A473,LdgKeyA,"&lt;"&amp;$B473)+COUNTIFS(LdgSellerB,$A473,LdgKeyB,"&lt;"&amp;$B473)+1)</f>
        <v/>
      </c>
      <c r="D473">
        <f>IF($C473="","",$A473&amp;"|"&amp;RIGHT("000000"&amp;$C473,6))</f>
        <v/>
      </c>
      <c r="F473">
        <f>IF(Sync!$AH473="","",IF(LEFT(UPPER(TRIM(Sync!$AH473)),2)="SL",UPPER(TRIM(Sync!$AH473)),""))</f>
        <v/>
      </c>
      <c r="G473">
        <f>IF($F473="","",IF(Sync!$AE473="","",IF(ISNUMBER(Sync!$AE473),IF(AND(Sync!$AE473&gt;=10000101,Sync!$AE473&lt;=99991231),INT(Sync!$AE473/10000),""),IFERROR(VALUE(TRIM(LEFT(Sync!$AE473,FIND("/",Sync!$AE473)-1))),""))))</f>
        <v/>
      </c>
      <c r="H473">
        <f>IF(OR($F473="",$G473=""),"",IF(ISNUMBER(Sync!$AE473),INT(MOD(Sync!$AE473,10000)/100),IFERROR(VALUE(TRIM(LEFT(MID(Sync!$AE473,FIND("/",Sync!$AE473)+1,20),FIND("/",MID(Sync!$AE473,FIND("/",Sync!$AE473)+1,20))-1))),"")))</f>
        <v/>
      </c>
      <c r="I473">
        <f>IF(OR($F473="",$G473=""),"",IF(ISNUMBER(Sync!$AE473),MOD(Sync!$AE473,100),IFERROR(VALUE(TRIM(MID(MID(Sync!$AE473,FIND("/",Sync!$AE473)+1,20),FIND("/",MID(Sync!$AE473,FIND("/",Sync!$AE473)+1,20))+1,20))),"")))</f>
        <v/>
      </c>
      <c r="J473">
        <f>IF($F473="","",IF(OR($G473="",$H473="",$I473="",$G473&lt;1300,$G473&gt;1500,$H473&lt;1,$H473&gt;12,$I473&lt;1,$I473&gt;31),"نامعتبر",RIGHT("0000"&amp;$G473,4)&amp;"/"&amp;RIGHT("00"&amp;$H473,2)&amp;"/"&amp;RIGHT("00"&amp;$I473,2)))</f>
        <v/>
      </c>
      <c r="K473">
        <f>IF(OR($F473="",$J473="",$J473="نامعتبر"),"",LEFT($J473,4)&amp;MID($J473,6,2)&amp;RIGHT($J473,2)&amp;$N473&amp;"|"&amp;"2"&amp;RIGHT("00000"&amp;468,5))</f>
        <v/>
      </c>
      <c r="L473">
        <f>IF($K473="","",COUNTIFS(LdgSellerA,$F473,LdgKeyA,"&lt;"&amp;$K473)+COUNTIFS(LdgSellerB,$F473,LdgKeyB,"&lt;"&amp;$K473)+1)</f>
        <v/>
      </c>
      <c r="M473">
        <f>IF($L473="","",$F473&amp;"|"&amp;RIGHT("000000"&amp;$L473,6))</f>
        <v/>
      </c>
      <c r="N473">
        <f>IF($F473="","",IF(Sync!$AF473="","0000",IF(AND(ISNUMBER(Sync!$AF473),Sync!$AF473&gt;=0,Sync!$AF473&lt;1),RIGHT("00"&amp;HOUR(Sync!$AF473),2)&amp;RIGHT("00"&amp;MINUTE(Sync!$AF473),2),IFERROR(RIGHT("00"&amp;VALUE(LEFT(Sync!$AF473,FIND(":",Sync!$AF473)-1)),2)&amp;RIGHT("00"&amp;VALUE(MID(Sync!$AF473,FIND(":",Sync!$AF473)+1,2)),2),"0000"))))</f>
        <v/>
      </c>
    </row>
    <row r="474">
      <c r="A474">
        <f>IF(OR(Calc!$E478="",Calc!$E478="نامعتبر",Calc!$G478=""),"",Calc!$G478)</f>
        <v/>
      </c>
      <c r="B474">
        <f>IF($A474="","",LEFT(Calc!$E478,4)&amp;MID(Calc!$E478,6,2)&amp;RIGHT(Calc!$E478,2)&amp;Calc!$Q478&amp;"|"&amp;"1"&amp;RIGHT("00000"&amp;469,5))</f>
        <v/>
      </c>
      <c r="C474">
        <f>IF($B474="","",COUNTIFS(LdgSellerA,$A474,LdgKeyA,"&lt;"&amp;$B474)+COUNTIFS(LdgSellerB,$A474,LdgKeyB,"&lt;"&amp;$B474)+1)</f>
        <v/>
      </c>
      <c r="D474">
        <f>IF($C474="","",$A474&amp;"|"&amp;RIGHT("000000"&amp;$C474,6))</f>
        <v/>
      </c>
      <c r="F474">
        <f>IF(Sync!$AH474="","",IF(LEFT(UPPER(TRIM(Sync!$AH474)),2)="SL",UPPER(TRIM(Sync!$AH474)),""))</f>
        <v/>
      </c>
      <c r="G474">
        <f>IF($F474="","",IF(Sync!$AE474="","",IF(ISNUMBER(Sync!$AE474),IF(AND(Sync!$AE474&gt;=10000101,Sync!$AE474&lt;=99991231),INT(Sync!$AE474/10000),""),IFERROR(VALUE(TRIM(LEFT(Sync!$AE474,FIND("/",Sync!$AE474)-1))),""))))</f>
        <v/>
      </c>
      <c r="H474">
        <f>IF(OR($F474="",$G474=""),"",IF(ISNUMBER(Sync!$AE474),INT(MOD(Sync!$AE474,10000)/100),IFERROR(VALUE(TRIM(LEFT(MID(Sync!$AE474,FIND("/",Sync!$AE474)+1,20),FIND("/",MID(Sync!$AE474,FIND("/",Sync!$AE474)+1,20))-1))),"")))</f>
        <v/>
      </c>
      <c r="I474">
        <f>IF(OR($F474="",$G474=""),"",IF(ISNUMBER(Sync!$AE474),MOD(Sync!$AE474,100),IFERROR(VALUE(TRIM(MID(MID(Sync!$AE474,FIND("/",Sync!$AE474)+1,20),FIND("/",MID(Sync!$AE474,FIND("/",Sync!$AE474)+1,20))+1,20))),"")))</f>
        <v/>
      </c>
      <c r="J474">
        <f>IF($F474="","",IF(OR($G474="",$H474="",$I474="",$G474&lt;1300,$G474&gt;1500,$H474&lt;1,$H474&gt;12,$I474&lt;1,$I474&gt;31),"نامعتبر",RIGHT("0000"&amp;$G474,4)&amp;"/"&amp;RIGHT("00"&amp;$H474,2)&amp;"/"&amp;RIGHT("00"&amp;$I474,2)))</f>
        <v/>
      </c>
      <c r="K474">
        <f>IF(OR($F474="",$J474="",$J474="نامعتبر"),"",LEFT($J474,4)&amp;MID($J474,6,2)&amp;RIGHT($J474,2)&amp;$N474&amp;"|"&amp;"2"&amp;RIGHT("00000"&amp;469,5))</f>
        <v/>
      </c>
      <c r="L474">
        <f>IF($K474="","",COUNTIFS(LdgSellerA,$F474,LdgKeyA,"&lt;"&amp;$K474)+COUNTIFS(LdgSellerB,$F474,LdgKeyB,"&lt;"&amp;$K474)+1)</f>
        <v/>
      </c>
      <c r="M474">
        <f>IF($L474="","",$F474&amp;"|"&amp;RIGHT("000000"&amp;$L474,6))</f>
        <v/>
      </c>
      <c r="N474">
        <f>IF($F474="","",IF(Sync!$AF474="","0000",IF(AND(ISNUMBER(Sync!$AF474),Sync!$AF474&gt;=0,Sync!$AF474&lt;1),RIGHT("00"&amp;HOUR(Sync!$AF474),2)&amp;RIGHT("00"&amp;MINUTE(Sync!$AF474),2),IFERROR(RIGHT("00"&amp;VALUE(LEFT(Sync!$AF474,FIND(":",Sync!$AF474)-1)),2)&amp;RIGHT("00"&amp;VALUE(MID(Sync!$AF474,FIND(":",Sync!$AF474)+1,2)),2),"0000"))))</f>
        <v/>
      </c>
    </row>
    <row r="475">
      <c r="A475">
        <f>IF(OR(Calc!$E479="",Calc!$E479="نامعتبر",Calc!$G479=""),"",Calc!$G479)</f>
        <v/>
      </c>
      <c r="B475">
        <f>IF($A475="","",LEFT(Calc!$E479,4)&amp;MID(Calc!$E479,6,2)&amp;RIGHT(Calc!$E479,2)&amp;Calc!$Q479&amp;"|"&amp;"1"&amp;RIGHT("00000"&amp;470,5))</f>
        <v/>
      </c>
      <c r="C475">
        <f>IF($B475="","",COUNTIFS(LdgSellerA,$A475,LdgKeyA,"&lt;"&amp;$B475)+COUNTIFS(LdgSellerB,$A475,LdgKeyB,"&lt;"&amp;$B475)+1)</f>
        <v/>
      </c>
      <c r="D475">
        <f>IF($C475="","",$A475&amp;"|"&amp;RIGHT("000000"&amp;$C475,6))</f>
        <v/>
      </c>
      <c r="F475">
        <f>IF(Sync!$AH475="","",IF(LEFT(UPPER(TRIM(Sync!$AH475)),2)="SL",UPPER(TRIM(Sync!$AH475)),""))</f>
        <v/>
      </c>
      <c r="G475">
        <f>IF($F475="","",IF(Sync!$AE475="","",IF(ISNUMBER(Sync!$AE475),IF(AND(Sync!$AE475&gt;=10000101,Sync!$AE475&lt;=99991231),INT(Sync!$AE475/10000),""),IFERROR(VALUE(TRIM(LEFT(Sync!$AE475,FIND("/",Sync!$AE475)-1))),""))))</f>
        <v/>
      </c>
      <c r="H475">
        <f>IF(OR($F475="",$G475=""),"",IF(ISNUMBER(Sync!$AE475),INT(MOD(Sync!$AE475,10000)/100),IFERROR(VALUE(TRIM(LEFT(MID(Sync!$AE475,FIND("/",Sync!$AE475)+1,20),FIND("/",MID(Sync!$AE475,FIND("/",Sync!$AE475)+1,20))-1))),"")))</f>
        <v/>
      </c>
      <c r="I475">
        <f>IF(OR($F475="",$G475=""),"",IF(ISNUMBER(Sync!$AE475),MOD(Sync!$AE475,100),IFERROR(VALUE(TRIM(MID(MID(Sync!$AE475,FIND("/",Sync!$AE475)+1,20),FIND("/",MID(Sync!$AE475,FIND("/",Sync!$AE475)+1,20))+1,20))),"")))</f>
        <v/>
      </c>
      <c r="J475">
        <f>IF($F475="","",IF(OR($G475="",$H475="",$I475="",$G475&lt;1300,$G475&gt;1500,$H475&lt;1,$H475&gt;12,$I475&lt;1,$I475&gt;31),"نامعتبر",RIGHT("0000"&amp;$G475,4)&amp;"/"&amp;RIGHT("00"&amp;$H475,2)&amp;"/"&amp;RIGHT("00"&amp;$I475,2)))</f>
        <v/>
      </c>
      <c r="K475">
        <f>IF(OR($F475="",$J475="",$J475="نامعتبر"),"",LEFT($J475,4)&amp;MID($J475,6,2)&amp;RIGHT($J475,2)&amp;$N475&amp;"|"&amp;"2"&amp;RIGHT("00000"&amp;470,5))</f>
        <v/>
      </c>
      <c r="L475">
        <f>IF($K475="","",COUNTIFS(LdgSellerA,$F475,LdgKeyA,"&lt;"&amp;$K475)+COUNTIFS(LdgSellerB,$F475,LdgKeyB,"&lt;"&amp;$K475)+1)</f>
        <v/>
      </c>
      <c r="M475">
        <f>IF($L475="","",$F475&amp;"|"&amp;RIGHT("000000"&amp;$L475,6))</f>
        <v/>
      </c>
      <c r="N475">
        <f>IF($F475="","",IF(Sync!$AF475="","0000",IF(AND(ISNUMBER(Sync!$AF475),Sync!$AF475&gt;=0,Sync!$AF475&lt;1),RIGHT("00"&amp;HOUR(Sync!$AF475),2)&amp;RIGHT("00"&amp;MINUTE(Sync!$AF475),2),IFERROR(RIGHT("00"&amp;VALUE(LEFT(Sync!$AF475,FIND(":",Sync!$AF475)-1)),2)&amp;RIGHT("00"&amp;VALUE(MID(Sync!$AF475,FIND(":",Sync!$AF475)+1,2)),2),"0000"))))</f>
        <v/>
      </c>
    </row>
    <row r="476">
      <c r="A476">
        <f>IF(OR(Calc!$E480="",Calc!$E480="نامعتبر",Calc!$G480=""),"",Calc!$G480)</f>
        <v/>
      </c>
      <c r="B476">
        <f>IF($A476="","",LEFT(Calc!$E480,4)&amp;MID(Calc!$E480,6,2)&amp;RIGHT(Calc!$E480,2)&amp;Calc!$Q480&amp;"|"&amp;"1"&amp;RIGHT("00000"&amp;471,5))</f>
        <v/>
      </c>
      <c r="C476">
        <f>IF($B476="","",COUNTIFS(LdgSellerA,$A476,LdgKeyA,"&lt;"&amp;$B476)+COUNTIFS(LdgSellerB,$A476,LdgKeyB,"&lt;"&amp;$B476)+1)</f>
        <v/>
      </c>
      <c r="D476">
        <f>IF($C476="","",$A476&amp;"|"&amp;RIGHT("000000"&amp;$C476,6))</f>
        <v/>
      </c>
      <c r="F476">
        <f>IF(Sync!$AH476="","",IF(LEFT(UPPER(TRIM(Sync!$AH476)),2)="SL",UPPER(TRIM(Sync!$AH476)),""))</f>
        <v/>
      </c>
      <c r="G476">
        <f>IF($F476="","",IF(Sync!$AE476="","",IF(ISNUMBER(Sync!$AE476),IF(AND(Sync!$AE476&gt;=10000101,Sync!$AE476&lt;=99991231),INT(Sync!$AE476/10000),""),IFERROR(VALUE(TRIM(LEFT(Sync!$AE476,FIND("/",Sync!$AE476)-1))),""))))</f>
        <v/>
      </c>
      <c r="H476">
        <f>IF(OR($F476="",$G476=""),"",IF(ISNUMBER(Sync!$AE476),INT(MOD(Sync!$AE476,10000)/100),IFERROR(VALUE(TRIM(LEFT(MID(Sync!$AE476,FIND("/",Sync!$AE476)+1,20),FIND("/",MID(Sync!$AE476,FIND("/",Sync!$AE476)+1,20))-1))),"")))</f>
        <v/>
      </c>
      <c r="I476">
        <f>IF(OR($F476="",$G476=""),"",IF(ISNUMBER(Sync!$AE476),MOD(Sync!$AE476,100),IFERROR(VALUE(TRIM(MID(MID(Sync!$AE476,FIND("/",Sync!$AE476)+1,20),FIND("/",MID(Sync!$AE476,FIND("/",Sync!$AE476)+1,20))+1,20))),"")))</f>
        <v/>
      </c>
      <c r="J476">
        <f>IF($F476="","",IF(OR($G476="",$H476="",$I476="",$G476&lt;1300,$G476&gt;1500,$H476&lt;1,$H476&gt;12,$I476&lt;1,$I476&gt;31),"نامعتبر",RIGHT("0000"&amp;$G476,4)&amp;"/"&amp;RIGHT("00"&amp;$H476,2)&amp;"/"&amp;RIGHT("00"&amp;$I476,2)))</f>
        <v/>
      </c>
      <c r="K476">
        <f>IF(OR($F476="",$J476="",$J476="نامعتبر"),"",LEFT($J476,4)&amp;MID($J476,6,2)&amp;RIGHT($J476,2)&amp;$N476&amp;"|"&amp;"2"&amp;RIGHT("00000"&amp;471,5))</f>
        <v/>
      </c>
      <c r="L476">
        <f>IF($K476="","",COUNTIFS(LdgSellerA,$F476,LdgKeyA,"&lt;"&amp;$K476)+COUNTIFS(LdgSellerB,$F476,LdgKeyB,"&lt;"&amp;$K476)+1)</f>
        <v/>
      </c>
      <c r="M476">
        <f>IF($L476="","",$F476&amp;"|"&amp;RIGHT("000000"&amp;$L476,6))</f>
        <v/>
      </c>
      <c r="N476">
        <f>IF($F476="","",IF(Sync!$AF476="","0000",IF(AND(ISNUMBER(Sync!$AF476),Sync!$AF476&gt;=0,Sync!$AF476&lt;1),RIGHT("00"&amp;HOUR(Sync!$AF476),2)&amp;RIGHT("00"&amp;MINUTE(Sync!$AF476),2),IFERROR(RIGHT("00"&amp;VALUE(LEFT(Sync!$AF476,FIND(":",Sync!$AF476)-1)),2)&amp;RIGHT("00"&amp;VALUE(MID(Sync!$AF476,FIND(":",Sync!$AF476)+1,2)),2),"0000"))))</f>
        <v/>
      </c>
    </row>
    <row r="477">
      <c r="A477">
        <f>IF(OR(Calc!$E481="",Calc!$E481="نامعتبر",Calc!$G481=""),"",Calc!$G481)</f>
        <v/>
      </c>
      <c r="B477">
        <f>IF($A477="","",LEFT(Calc!$E481,4)&amp;MID(Calc!$E481,6,2)&amp;RIGHT(Calc!$E481,2)&amp;Calc!$Q481&amp;"|"&amp;"1"&amp;RIGHT("00000"&amp;472,5))</f>
        <v/>
      </c>
      <c r="C477">
        <f>IF($B477="","",COUNTIFS(LdgSellerA,$A477,LdgKeyA,"&lt;"&amp;$B477)+COUNTIFS(LdgSellerB,$A477,LdgKeyB,"&lt;"&amp;$B477)+1)</f>
        <v/>
      </c>
      <c r="D477">
        <f>IF($C477="","",$A477&amp;"|"&amp;RIGHT("000000"&amp;$C477,6))</f>
        <v/>
      </c>
      <c r="F477">
        <f>IF(Sync!$AH477="","",IF(LEFT(UPPER(TRIM(Sync!$AH477)),2)="SL",UPPER(TRIM(Sync!$AH477)),""))</f>
        <v/>
      </c>
      <c r="G477">
        <f>IF($F477="","",IF(Sync!$AE477="","",IF(ISNUMBER(Sync!$AE477),IF(AND(Sync!$AE477&gt;=10000101,Sync!$AE477&lt;=99991231),INT(Sync!$AE477/10000),""),IFERROR(VALUE(TRIM(LEFT(Sync!$AE477,FIND("/",Sync!$AE477)-1))),""))))</f>
        <v/>
      </c>
      <c r="H477">
        <f>IF(OR($F477="",$G477=""),"",IF(ISNUMBER(Sync!$AE477),INT(MOD(Sync!$AE477,10000)/100),IFERROR(VALUE(TRIM(LEFT(MID(Sync!$AE477,FIND("/",Sync!$AE477)+1,20),FIND("/",MID(Sync!$AE477,FIND("/",Sync!$AE477)+1,20))-1))),"")))</f>
        <v/>
      </c>
      <c r="I477">
        <f>IF(OR($F477="",$G477=""),"",IF(ISNUMBER(Sync!$AE477),MOD(Sync!$AE477,100),IFERROR(VALUE(TRIM(MID(MID(Sync!$AE477,FIND("/",Sync!$AE477)+1,20),FIND("/",MID(Sync!$AE477,FIND("/",Sync!$AE477)+1,20))+1,20))),"")))</f>
        <v/>
      </c>
      <c r="J477">
        <f>IF($F477="","",IF(OR($G477="",$H477="",$I477="",$G477&lt;1300,$G477&gt;1500,$H477&lt;1,$H477&gt;12,$I477&lt;1,$I477&gt;31),"نامعتبر",RIGHT("0000"&amp;$G477,4)&amp;"/"&amp;RIGHT("00"&amp;$H477,2)&amp;"/"&amp;RIGHT("00"&amp;$I477,2)))</f>
        <v/>
      </c>
      <c r="K477">
        <f>IF(OR($F477="",$J477="",$J477="نامعتبر"),"",LEFT($J477,4)&amp;MID($J477,6,2)&amp;RIGHT($J477,2)&amp;$N477&amp;"|"&amp;"2"&amp;RIGHT("00000"&amp;472,5))</f>
        <v/>
      </c>
      <c r="L477">
        <f>IF($K477="","",COUNTIFS(LdgSellerA,$F477,LdgKeyA,"&lt;"&amp;$K477)+COUNTIFS(LdgSellerB,$F477,LdgKeyB,"&lt;"&amp;$K477)+1)</f>
        <v/>
      </c>
      <c r="M477">
        <f>IF($L477="","",$F477&amp;"|"&amp;RIGHT("000000"&amp;$L477,6))</f>
        <v/>
      </c>
      <c r="N477">
        <f>IF($F477="","",IF(Sync!$AF477="","0000",IF(AND(ISNUMBER(Sync!$AF477),Sync!$AF477&gt;=0,Sync!$AF477&lt;1),RIGHT("00"&amp;HOUR(Sync!$AF477),2)&amp;RIGHT("00"&amp;MINUTE(Sync!$AF477),2),IFERROR(RIGHT("00"&amp;VALUE(LEFT(Sync!$AF477,FIND(":",Sync!$AF477)-1)),2)&amp;RIGHT("00"&amp;VALUE(MID(Sync!$AF477,FIND(":",Sync!$AF477)+1,2)),2),"0000"))))</f>
        <v/>
      </c>
    </row>
    <row r="478">
      <c r="A478">
        <f>IF(OR(Calc!$E482="",Calc!$E482="نامعتبر",Calc!$G482=""),"",Calc!$G482)</f>
        <v/>
      </c>
      <c r="B478">
        <f>IF($A478="","",LEFT(Calc!$E482,4)&amp;MID(Calc!$E482,6,2)&amp;RIGHT(Calc!$E482,2)&amp;Calc!$Q482&amp;"|"&amp;"1"&amp;RIGHT("00000"&amp;473,5))</f>
        <v/>
      </c>
      <c r="C478">
        <f>IF($B478="","",COUNTIFS(LdgSellerA,$A478,LdgKeyA,"&lt;"&amp;$B478)+COUNTIFS(LdgSellerB,$A478,LdgKeyB,"&lt;"&amp;$B478)+1)</f>
        <v/>
      </c>
      <c r="D478">
        <f>IF($C478="","",$A478&amp;"|"&amp;RIGHT("000000"&amp;$C478,6))</f>
        <v/>
      </c>
      <c r="F478">
        <f>IF(Sync!$AH478="","",IF(LEFT(UPPER(TRIM(Sync!$AH478)),2)="SL",UPPER(TRIM(Sync!$AH478)),""))</f>
        <v/>
      </c>
      <c r="G478">
        <f>IF($F478="","",IF(Sync!$AE478="","",IF(ISNUMBER(Sync!$AE478),IF(AND(Sync!$AE478&gt;=10000101,Sync!$AE478&lt;=99991231),INT(Sync!$AE478/10000),""),IFERROR(VALUE(TRIM(LEFT(Sync!$AE478,FIND("/",Sync!$AE478)-1))),""))))</f>
        <v/>
      </c>
      <c r="H478">
        <f>IF(OR($F478="",$G478=""),"",IF(ISNUMBER(Sync!$AE478),INT(MOD(Sync!$AE478,10000)/100),IFERROR(VALUE(TRIM(LEFT(MID(Sync!$AE478,FIND("/",Sync!$AE478)+1,20),FIND("/",MID(Sync!$AE478,FIND("/",Sync!$AE478)+1,20))-1))),"")))</f>
        <v/>
      </c>
      <c r="I478">
        <f>IF(OR($F478="",$G478=""),"",IF(ISNUMBER(Sync!$AE478),MOD(Sync!$AE478,100),IFERROR(VALUE(TRIM(MID(MID(Sync!$AE478,FIND("/",Sync!$AE478)+1,20),FIND("/",MID(Sync!$AE478,FIND("/",Sync!$AE478)+1,20))+1,20))),"")))</f>
        <v/>
      </c>
      <c r="J478">
        <f>IF($F478="","",IF(OR($G478="",$H478="",$I478="",$G478&lt;1300,$G478&gt;1500,$H478&lt;1,$H478&gt;12,$I478&lt;1,$I478&gt;31),"نامعتبر",RIGHT("0000"&amp;$G478,4)&amp;"/"&amp;RIGHT("00"&amp;$H478,2)&amp;"/"&amp;RIGHT("00"&amp;$I478,2)))</f>
        <v/>
      </c>
      <c r="K478">
        <f>IF(OR($F478="",$J478="",$J478="نامعتبر"),"",LEFT($J478,4)&amp;MID($J478,6,2)&amp;RIGHT($J478,2)&amp;$N478&amp;"|"&amp;"2"&amp;RIGHT("00000"&amp;473,5))</f>
        <v/>
      </c>
      <c r="L478">
        <f>IF($K478="","",COUNTIFS(LdgSellerA,$F478,LdgKeyA,"&lt;"&amp;$K478)+COUNTIFS(LdgSellerB,$F478,LdgKeyB,"&lt;"&amp;$K478)+1)</f>
        <v/>
      </c>
      <c r="M478">
        <f>IF($L478="","",$F478&amp;"|"&amp;RIGHT("000000"&amp;$L478,6))</f>
        <v/>
      </c>
      <c r="N478">
        <f>IF($F478="","",IF(Sync!$AF478="","0000",IF(AND(ISNUMBER(Sync!$AF478),Sync!$AF478&gt;=0,Sync!$AF478&lt;1),RIGHT("00"&amp;HOUR(Sync!$AF478),2)&amp;RIGHT("00"&amp;MINUTE(Sync!$AF478),2),IFERROR(RIGHT("00"&amp;VALUE(LEFT(Sync!$AF478,FIND(":",Sync!$AF478)-1)),2)&amp;RIGHT("00"&amp;VALUE(MID(Sync!$AF478,FIND(":",Sync!$AF478)+1,2)),2),"0000"))))</f>
        <v/>
      </c>
    </row>
    <row r="479">
      <c r="A479">
        <f>IF(OR(Calc!$E483="",Calc!$E483="نامعتبر",Calc!$G483=""),"",Calc!$G483)</f>
        <v/>
      </c>
      <c r="B479">
        <f>IF($A479="","",LEFT(Calc!$E483,4)&amp;MID(Calc!$E483,6,2)&amp;RIGHT(Calc!$E483,2)&amp;Calc!$Q483&amp;"|"&amp;"1"&amp;RIGHT("00000"&amp;474,5))</f>
        <v/>
      </c>
      <c r="C479">
        <f>IF($B479="","",COUNTIFS(LdgSellerA,$A479,LdgKeyA,"&lt;"&amp;$B479)+COUNTIFS(LdgSellerB,$A479,LdgKeyB,"&lt;"&amp;$B479)+1)</f>
        <v/>
      </c>
      <c r="D479">
        <f>IF($C479="","",$A479&amp;"|"&amp;RIGHT("000000"&amp;$C479,6))</f>
        <v/>
      </c>
      <c r="F479">
        <f>IF(Sync!$AH479="","",IF(LEFT(UPPER(TRIM(Sync!$AH479)),2)="SL",UPPER(TRIM(Sync!$AH479)),""))</f>
        <v/>
      </c>
      <c r="G479">
        <f>IF($F479="","",IF(Sync!$AE479="","",IF(ISNUMBER(Sync!$AE479),IF(AND(Sync!$AE479&gt;=10000101,Sync!$AE479&lt;=99991231),INT(Sync!$AE479/10000),""),IFERROR(VALUE(TRIM(LEFT(Sync!$AE479,FIND("/",Sync!$AE479)-1))),""))))</f>
        <v/>
      </c>
      <c r="H479">
        <f>IF(OR($F479="",$G479=""),"",IF(ISNUMBER(Sync!$AE479),INT(MOD(Sync!$AE479,10000)/100),IFERROR(VALUE(TRIM(LEFT(MID(Sync!$AE479,FIND("/",Sync!$AE479)+1,20),FIND("/",MID(Sync!$AE479,FIND("/",Sync!$AE479)+1,20))-1))),"")))</f>
        <v/>
      </c>
      <c r="I479">
        <f>IF(OR($F479="",$G479=""),"",IF(ISNUMBER(Sync!$AE479),MOD(Sync!$AE479,100),IFERROR(VALUE(TRIM(MID(MID(Sync!$AE479,FIND("/",Sync!$AE479)+1,20),FIND("/",MID(Sync!$AE479,FIND("/",Sync!$AE479)+1,20))+1,20))),"")))</f>
        <v/>
      </c>
      <c r="J479">
        <f>IF($F479="","",IF(OR($G479="",$H479="",$I479="",$G479&lt;1300,$G479&gt;1500,$H479&lt;1,$H479&gt;12,$I479&lt;1,$I479&gt;31),"نامعتبر",RIGHT("0000"&amp;$G479,4)&amp;"/"&amp;RIGHT("00"&amp;$H479,2)&amp;"/"&amp;RIGHT("00"&amp;$I479,2)))</f>
        <v/>
      </c>
      <c r="K479">
        <f>IF(OR($F479="",$J479="",$J479="نامعتبر"),"",LEFT($J479,4)&amp;MID($J479,6,2)&amp;RIGHT($J479,2)&amp;$N479&amp;"|"&amp;"2"&amp;RIGHT("00000"&amp;474,5))</f>
        <v/>
      </c>
      <c r="L479">
        <f>IF($K479="","",COUNTIFS(LdgSellerA,$F479,LdgKeyA,"&lt;"&amp;$K479)+COUNTIFS(LdgSellerB,$F479,LdgKeyB,"&lt;"&amp;$K479)+1)</f>
        <v/>
      </c>
      <c r="M479">
        <f>IF($L479="","",$F479&amp;"|"&amp;RIGHT("000000"&amp;$L479,6))</f>
        <v/>
      </c>
      <c r="N479">
        <f>IF($F479="","",IF(Sync!$AF479="","0000",IF(AND(ISNUMBER(Sync!$AF479),Sync!$AF479&gt;=0,Sync!$AF479&lt;1),RIGHT("00"&amp;HOUR(Sync!$AF479),2)&amp;RIGHT("00"&amp;MINUTE(Sync!$AF479),2),IFERROR(RIGHT("00"&amp;VALUE(LEFT(Sync!$AF479,FIND(":",Sync!$AF479)-1)),2)&amp;RIGHT("00"&amp;VALUE(MID(Sync!$AF479,FIND(":",Sync!$AF479)+1,2)),2),"0000"))))</f>
        <v/>
      </c>
    </row>
    <row r="480">
      <c r="A480">
        <f>IF(OR(Calc!$E484="",Calc!$E484="نامعتبر",Calc!$G484=""),"",Calc!$G484)</f>
        <v/>
      </c>
      <c r="B480">
        <f>IF($A480="","",LEFT(Calc!$E484,4)&amp;MID(Calc!$E484,6,2)&amp;RIGHT(Calc!$E484,2)&amp;Calc!$Q484&amp;"|"&amp;"1"&amp;RIGHT("00000"&amp;475,5))</f>
        <v/>
      </c>
      <c r="C480">
        <f>IF($B480="","",COUNTIFS(LdgSellerA,$A480,LdgKeyA,"&lt;"&amp;$B480)+COUNTIFS(LdgSellerB,$A480,LdgKeyB,"&lt;"&amp;$B480)+1)</f>
        <v/>
      </c>
      <c r="D480">
        <f>IF($C480="","",$A480&amp;"|"&amp;RIGHT("000000"&amp;$C480,6))</f>
        <v/>
      </c>
      <c r="F480">
        <f>IF(Sync!$AH480="","",IF(LEFT(UPPER(TRIM(Sync!$AH480)),2)="SL",UPPER(TRIM(Sync!$AH480)),""))</f>
        <v/>
      </c>
      <c r="G480">
        <f>IF($F480="","",IF(Sync!$AE480="","",IF(ISNUMBER(Sync!$AE480),IF(AND(Sync!$AE480&gt;=10000101,Sync!$AE480&lt;=99991231),INT(Sync!$AE480/10000),""),IFERROR(VALUE(TRIM(LEFT(Sync!$AE480,FIND("/",Sync!$AE480)-1))),""))))</f>
        <v/>
      </c>
      <c r="H480">
        <f>IF(OR($F480="",$G480=""),"",IF(ISNUMBER(Sync!$AE480),INT(MOD(Sync!$AE480,10000)/100),IFERROR(VALUE(TRIM(LEFT(MID(Sync!$AE480,FIND("/",Sync!$AE480)+1,20),FIND("/",MID(Sync!$AE480,FIND("/",Sync!$AE480)+1,20))-1))),"")))</f>
        <v/>
      </c>
      <c r="I480">
        <f>IF(OR($F480="",$G480=""),"",IF(ISNUMBER(Sync!$AE480),MOD(Sync!$AE480,100),IFERROR(VALUE(TRIM(MID(MID(Sync!$AE480,FIND("/",Sync!$AE480)+1,20),FIND("/",MID(Sync!$AE480,FIND("/",Sync!$AE480)+1,20))+1,20))),"")))</f>
        <v/>
      </c>
      <c r="J480">
        <f>IF($F480="","",IF(OR($G480="",$H480="",$I480="",$G480&lt;1300,$G480&gt;1500,$H480&lt;1,$H480&gt;12,$I480&lt;1,$I480&gt;31),"نامعتبر",RIGHT("0000"&amp;$G480,4)&amp;"/"&amp;RIGHT("00"&amp;$H480,2)&amp;"/"&amp;RIGHT("00"&amp;$I480,2)))</f>
        <v/>
      </c>
      <c r="K480">
        <f>IF(OR($F480="",$J480="",$J480="نامعتبر"),"",LEFT($J480,4)&amp;MID($J480,6,2)&amp;RIGHT($J480,2)&amp;$N480&amp;"|"&amp;"2"&amp;RIGHT("00000"&amp;475,5))</f>
        <v/>
      </c>
      <c r="L480">
        <f>IF($K480="","",COUNTIFS(LdgSellerA,$F480,LdgKeyA,"&lt;"&amp;$K480)+COUNTIFS(LdgSellerB,$F480,LdgKeyB,"&lt;"&amp;$K480)+1)</f>
        <v/>
      </c>
      <c r="M480">
        <f>IF($L480="","",$F480&amp;"|"&amp;RIGHT("000000"&amp;$L480,6))</f>
        <v/>
      </c>
      <c r="N480">
        <f>IF($F480="","",IF(Sync!$AF480="","0000",IF(AND(ISNUMBER(Sync!$AF480),Sync!$AF480&gt;=0,Sync!$AF480&lt;1),RIGHT("00"&amp;HOUR(Sync!$AF480),2)&amp;RIGHT("00"&amp;MINUTE(Sync!$AF480),2),IFERROR(RIGHT("00"&amp;VALUE(LEFT(Sync!$AF480,FIND(":",Sync!$AF480)-1)),2)&amp;RIGHT("00"&amp;VALUE(MID(Sync!$AF480,FIND(":",Sync!$AF480)+1,2)),2),"0000"))))</f>
        <v/>
      </c>
    </row>
    <row r="481">
      <c r="A481">
        <f>IF(OR(Calc!$E485="",Calc!$E485="نامعتبر",Calc!$G485=""),"",Calc!$G485)</f>
        <v/>
      </c>
      <c r="B481">
        <f>IF($A481="","",LEFT(Calc!$E485,4)&amp;MID(Calc!$E485,6,2)&amp;RIGHT(Calc!$E485,2)&amp;Calc!$Q485&amp;"|"&amp;"1"&amp;RIGHT("00000"&amp;476,5))</f>
        <v/>
      </c>
      <c r="C481">
        <f>IF($B481="","",COUNTIFS(LdgSellerA,$A481,LdgKeyA,"&lt;"&amp;$B481)+COUNTIFS(LdgSellerB,$A481,LdgKeyB,"&lt;"&amp;$B481)+1)</f>
        <v/>
      </c>
      <c r="D481">
        <f>IF($C481="","",$A481&amp;"|"&amp;RIGHT("000000"&amp;$C481,6))</f>
        <v/>
      </c>
      <c r="F481">
        <f>IF(Sync!$AH481="","",IF(LEFT(UPPER(TRIM(Sync!$AH481)),2)="SL",UPPER(TRIM(Sync!$AH481)),""))</f>
        <v/>
      </c>
      <c r="G481">
        <f>IF($F481="","",IF(Sync!$AE481="","",IF(ISNUMBER(Sync!$AE481),IF(AND(Sync!$AE481&gt;=10000101,Sync!$AE481&lt;=99991231),INT(Sync!$AE481/10000),""),IFERROR(VALUE(TRIM(LEFT(Sync!$AE481,FIND("/",Sync!$AE481)-1))),""))))</f>
        <v/>
      </c>
      <c r="H481">
        <f>IF(OR($F481="",$G481=""),"",IF(ISNUMBER(Sync!$AE481),INT(MOD(Sync!$AE481,10000)/100),IFERROR(VALUE(TRIM(LEFT(MID(Sync!$AE481,FIND("/",Sync!$AE481)+1,20),FIND("/",MID(Sync!$AE481,FIND("/",Sync!$AE481)+1,20))-1))),"")))</f>
        <v/>
      </c>
      <c r="I481">
        <f>IF(OR($F481="",$G481=""),"",IF(ISNUMBER(Sync!$AE481),MOD(Sync!$AE481,100),IFERROR(VALUE(TRIM(MID(MID(Sync!$AE481,FIND("/",Sync!$AE481)+1,20),FIND("/",MID(Sync!$AE481,FIND("/",Sync!$AE481)+1,20))+1,20))),"")))</f>
        <v/>
      </c>
      <c r="J481">
        <f>IF($F481="","",IF(OR($G481="",$H481="",$I481="",$G481&lt;1300,$G481&gt;1500,$H481&lt;1,$H481&gt;12,$I481&lt;1,$I481&gt;31),"نامعتبر",RIGHT("0000"&amp;$G481,4)&amp;"/"&amp;RIGHT("00"&amp;$H481,2)&amp;"/"&amp;RIGHT("00"&amp;$I481,2)))</f>
        <v/>
      </c>
      <c r="K481">
        <f>IF(OR($F481="",$J481="",$J481="نامعتبر"),"",LEFT($J481,4)&amp;MID($J481,6,2)&amp;RIGHT($J481,2)&amp;$N481&amp;"|"&amp;"2"&amp;RIGHT("00000"&amp;476,5))</f>
        <v/>
      </c>
      <c r="L481">
        <f>IF($K481="","",COUNTIFS(LdgSellerA,$F481,LdgKeyA,"&lt;"&amp;$K481)+COUNTIFS(LdgSellerB,$F481,LdgKeyB,"&lt;"&amp;$K481)+1)</f>
        <v/>
      </c>
      <c r="M481">
        <f>IF($L481="","",$F481&amp;"|"&amp;RIGHT("000000"&amp;$L481,6))</f>
        <v/>
      </c>
      <c r="N481">
        <f>IF($F481="","",IF(Sync!$AF481="","0000",IF(AND(ISNUMBER(Sync!$AF481),Sync!$AF481&gt;=0,Sync!$AF481&lt;1),RIGHT("00"&amp;HOUR(Sync!$AF481),2)&amp;RIGHT("00"&amp;MINUTE(Sync!$AF481),2),IFERROR(RIGHT("00"&amp;VALUE(LEFT(Sync!$AF481,FIND(":",Sync!$AF481)-1)),2)&amp;RIGHT("00"&amp;VALUE(MID(Sync!$AF481,FIND(":",Sync!$AF481)+1,2)),2),"0000"))))</f>
        <v/>
      </c>
    </row>
    <row r="482">
      <c r="A482">
        <f>IF(OR(Calc!$E486="",Calc!$E486="نامعتبر",Calc!$G486=""),"",Calc!$G486)</f>
        <v/>
      </c>
      <c r="B482">
        <f>IF($A482="","",LEFT(Calc!$E486,4)&amp;MID(Calc!$E486,6,2)&amp;RIGHT(Calc!$E486,2)&amp;Calc!$Q486&amp;"|"&amp;"1"&amp;RIGHT("00000"&amp;477,5))</f>
        <v/>
      </c>
      <c r="C482">
        <f>IF($B482="","",COUNTIFS(LdgSellerA,$A482,LdgKeyA,"&lt;"&amp;$B482)+COUNTIFS(LdgSellerB,$A482,LdgKeyB,"&lt;"&amp;$B482)+1)</f>
        <v/>
      </c>
      <c r="D482">
        <f>IF($C482="","",$A482&amp;"|"&amp;RIGHT("000000"&amp;$C482,6))</f>
        <v/>
      </c>
      <c r="F482">
        <f>IF(Sync!$AH482="","",IF(LEFT(UPPER(TRIM(Sync!$AH482)),2)="SL",UPPER(TRIM(Sync!$AH482)),""))</f>
        <v/>
      </c>
      <c r="G482">
        <f>IF($F482="","",IF(Sync!$AE482="","",IF(ISNUMBER(Sync!$AE482),IF(AND(Sync!$AE482&gt;=10000101,Sync!$AE482&lt;=99991231),INT(Sync!$AE482/10000),""),IFERROR(VALUE(TRIM(LEFT(Sync!$AE482,FIND("/",Sync!$AE482)-1))),""))))</f>
        <v/>
      </c>
      <c r="H482">
        <f>IF(OR($F482="",$G482=""),"",IF(ISNUMBER(Sync!$AE482),INT(MOD(Sync!$AE482,10000)/100),IFERROR(VALUE(TRIM(LEFT(MID(Sync!$AE482,FIND("/",Sync!$AE482)+1,20),FIND("/",MID(Sync!$AE482,FIND("/",Sync!$AE482)+1,20))-1))),"")))</f>
        <v/>
      </c>
      <c r="I482">
        <f>IF(OR($F482="",$G482=""),"",IF(ISNUMBER(Sync!$AE482),MOD(Sync!$AE482,100),IFERROR(VALUE(TRIM(MID(MID(Sync!$AE482,FIND("/",Sync!$AE482)+1,20),FIND("/",MID(Sync!$AE482,FIND("/",Sync!$AE482)+1,20))+1,20))),"")))</f>
        <v/>
      </c>
      <c r="J482">
        <f>IF($F482="","",IF(OR($G482="",$H482="",$I482="",$G482&lt;1300,$G482&gt;1500,$H482&lt;1,$H482&gt;12,$I482&lt;1,$I482&gt;31),"نامعتبر",RIGHT("0000"&amp;$G482,4)&amp;"/"&amp;RIGHT("00"&amp;$H482,2)&amp;"/"&amp;RIGHT("00"&amp;$I482,2)))</f>
        <v/>
      </c>
      <c r="K482">
        <f>IF(OR($F482="",$J482="",$J482="نامعتبر"),"",LEFT($J482,4)&amp;MID($J482,6,2)&amp;RIGHT($J482,2)&amp;$N482&amp;"|"&amp;"2"&amp;RIGHT("00000"&amp;477,5))</f>
        <v/>
      </c>
      <c r="L482">
        <f>IF($K482="","",COUNTIFS(LdgSellerA,$F482,LdgKeyA,"&lt;"&amp;$K482)+COUNTIFS(LdgSellerB,$F482,LdgKeyB,"&lt;"&amp;$K482)+1)</f>
        <v/>
      </c>
      <c r="M482">
        <f>IF($L482="","",$F482&amp;"|"&amp;RIGHT("000000"&amp;$L482,6))</f>
        <v/>
      </c>
      <c r="N482">
        <f>IF($F482="","",IF(Sync!$AF482="","0000",IF(AND(ISNUMBER(Sync!$AF482),Sync!$AF482&gt;=0,Sync!$AF482&lt;1),RIGHT("00"&amp;HOUR(Sync!$AF482),2)&amp;RIGHT("00"&amp;MINUTE(Sync!$AF482),2),IFERROR(RIGHT("00"&amp;VALUE(LEFT(Sync!$AF482,FIND(":",Sync!$AF482)-1)),2)&amp;RIGHT("00"&amp;VALUE(MID(Sync!$AF482,FIND(":",Sync!$AF482)+1,2)),2),"0000"))))</f>
        <v/>
      </c>
    </row>
    <row r="483">
      <c r="A483">
        <f>IF(OR(Calc!$E487="",Calc!$E487="نامعتبر",Calc!$G487=""),"",Calc!$G487)</f>
        <v/>
      </c>
      <c r="B483">
        <f>IF($A483="","",LEFT(Calc!$E487,4)&amp;MID(Calc!$E487,6,2)&amp;RIGHT(Calc!$E487,2)&amp;Calc!$Q487&amp;"|"&amp;"1"&amp;RIGHT("00000"&amp;478,5))</f>
        <v/>
      </c>
      <c r="C483">
        <f>IF($B483="","",COUNTIFS(LdgSellerA,$A483,LdgKeyA,"&lt;"&amp;$B483)+COUNTIFS(LdgSellerB,$A483,LdgKeyB,"&lt;"&amp;$B483)+1)</f>
        <v/>
      </c>
      <c r="D483">
        <f>IF($C483="","",$A483&amp;"|"&amp;RIGHT("000000"&amp;$C483,6))</f>
        <v/>
      </c>
      <c r="F483">
        <f>IF(Sync!$AH483="","",IF(LEFT(UPPER(TRIM(Sync!$AH483)),2)="SL",UPPER(TRIM(Sync!$AH483)),""))</f>
        <v/>
      </c>
      <c r="G483">
        <f>IF($F483="","",IF(Sync!$AE483="","",IF(ISNUMBER(Sync!$AE483),IF(AND(Sync!$AE483&gt;=10000101,Sync!$AE483&lt;=99991231),INT(Sync!$AE483/10000),""),IFERROR(VALUE(TRIM(LEFT(Sync!$AE483,FIND("/",Sync!$AE483)-1))),""))))</f>
        <v/>
      </c>
      <c r="H483">
        <f>IF(OR($F483="",$G483=""),"",IF(ISNUMBER(Sync!$AE483),INT(MOD(Sync!$AE483,10000)/100),IFERROR(VALUE(TRIM(LEFT(MID(Sync!$AE483,FIND("/",Sync!$AE483)+1,20),FIND("/",MID(Sync!$AE483,FIND("/",Sync!$AE483)+1,20))-1))),"")))</f>
        <v/>
      </c>
      <c r="I483">
        <f>IF(OR($F483="",$G483=""),"",IF(ISNUMBER(Sync!$AE483),MOD(Sync!$AE483,100),IFERROR(VALUE(TRIM(MID(MID(Sync!$AE483,FIND("/",Sync!$AE483)+1,20),FIND("/",MID(Sync!$AE483,FIND("/",Sync!$AE483)+1,20))+1,20))),"")))</f>
        <v/>
      </c>
      <c r="J483">
        <f>IF($F483="","",IF(OR($G483="",$H483="",$I483="",$G483&lt;1300,$G483&gt;1500,$H483&lt;1,$H483&gt;12,$I483&lt;1,$I483&gt;31),"نامعتبر",RIGHT("0000"&amp;$G483,4)&amp;"/"&amp;RIGHT("00"&amp;$H483,2)&amp;"/"&amp;RIGHT("00"&amp;$I483,2)))</f>
        <v/>
      </c>
      <c r="K483">
        <f>IF(OR($F483="",$J483="",$J483="نامعتبر"),"",LEFT($J483,4)&amp;MID($J483,6,2)&amp;RIGHT($J483,2)&amp;$N483&amp;"|"&amp;"2"&amp;RIGHT("00000"&amp;478,5))</f>
        <v/>
      </c>
      <c r="L483">
        <f>IF($K483="","",COUNTIFS(LdgSellerA,$F483,LdgKeyA,"&lt;"&amp;$K483)+COUNTIFS(LdgSellerB,$F483,LdgKeyB,"&lt;"&amp;$K483)+1)</f>
        <v/>
      </c>
      <c r="M483">
        <f>IF($L483="","",$F483&amp;"|"&amp;RIGHT("000000"&amp;$L483,6))</f>
        <v/>
      </c>
      <c r="N483">
        <f>IF($F483="","",IF(Sync!$AF483="","0000",IF(AND(ISNUMBER(Sync!$AF483),Sync!$AF483&gt;=0,Sync!$AF483&lt;1),RIGHT("00"&amp;HOUR(Sync!$AF483),2)&amp;RIGHT("00"&amp;MINUTE(Sync!$AF483),2),IFERROR(RIGHT("00"&amp;VALUE(LEFT(Sync!$AF483,FIND(":",Sync!$AF483)-1)),2)&amp;RIGHT("00"&amp;VALUE(MID(Sync!$AF483,FIND(":",Sync!$AF483)+1,2)),2),"0000"))))</f>
        <v/>
      </c>
    </row>
    <row r="484">
      <c r="A484">
        <f>IF(OR(Calc!$E488="",Calc!$E488="نامعتبر",Calc!$G488=""),"",Calc!$G488)</f>
        <v/>
      </c>
      <c r="B484">
        <f>IF($A484="","",LEFT(Calc!$E488,4)&amp;MID(Calc!$E488,6,2)&amp;RIGHT(Calc!$E488,2)&amp;Calc!$Q488&amp;"|"&amp;"1"&amp;RIGHT("00000"&amp;479,5))</f>
        <v/>
      </c>
      <c r="C484">
        <f>IF($B484="","",COUNTIFS(LdgSellerA,$A484,LdgKeyA,"&lt;"&amp;$B484)+COUNTIFS(LdgSellerB,$A484,LdgKeyB,"&lt;"&amp;$B484)+1)</f>
        <v/>
      </c>
      <c r="D484">
        <f>IF($C484="","",$A484&amp;"|"&amp;RIGHT("000000"&amp;$C484,6))</f>
        <v/>
      </c>
      <c r="F484">
        <f>IF(Sync!$AH484="","",IF(LEFT(UPPER(TRIM(Sync!$AH484)),2)="SL",UPPER(TRIM(Sync!$AH484)),""))</f>
        <v/>
      </c>
      <c r="G484">
        <f>IF($F484="","",IF(Sync!$AE484="","",IF(ISNUMBER(Sync!$AE484),IF(AND(Sync!$AE484&gt;=10000101,Sync!$AE484&lt;=99991231),INT(Sync!$AE484/10000),""),IFERROR(VALUE(TRIM(LEFT(Sync!$AE484,FIND("/",Sync!$AE484)-1))),""))))</f>
        <v/>
      </c>
      <c r="H484">
        <f>IF(OR($F484="",$G484=""),"",IF(ISNUMBER(Sync!$AE484),INT(MOD(Sync!$AE484,10000)/100),IFERROR(VALUE(TRIM(LEFT(MID(Sync!$AE484,FIND("/",Sync!$AE484)+1,20),FIND("/",MID(Sync!$AE484,FIND("/",Sync!$AE484)+1,20))-1))),"")))</f>
        <v/>
      </c>
      <c r="I484">
        <f>IF(OR($F484="",$G484=""),"",IF(ISNUMBER(Sync!$AE484),MOD(Sync!$AE484,100),IFERROR(VALUE(TRIM(MID(MID(Sync!$AE484,FIND("/",Sync!$AE484)+1,20),FIND("/",MID(Sync!$AE484,FIND("/",Sync!$AE484)+1,20))+1,20))),"")))</f>
        <v/>
      </c>
      <c r="J484">
        <f>IF($F484="","",IF(OR($G484="",$H484="",$I484="",$G484&lt;1300,$G484&gt;1500,$H484&lt;1,$H484&gt;12,$I484&lt;1,$I484&gt;31),"نامعتبر",RIGHT("0000"&amp;$G484,4)&amp;"/"&amp;RIGHT("00"&amp;$H484,2)&amp;"/"&amp;RIGHT("00"&amp;$I484,2)))</f>
        <v/>
      </c>
      <c r="K484">
        <f>IF(OR($F484="",$J484="",$J484="نامعتبر"),"",LEFT($J484,4)&amp;MID($J484,6,2)&amp;RIGHT($J484,2)&amp;$N484&amp;"|"&amp;"2"&amp;RIGHT("00000"&amp;479,5))</f>
        <v/>
      </c>
      <c r="L484">
        <f>IF($K484="","",COUNTIFS(LdgSellerA,$F484,LdgKeyA,"&lt;"&amp;$K484)+COUNTIFS(LdgSellerB,$F484,LdgKeyB,"&lt;"&amp;$K484)+1)</f>
        <v/>
      </c>
      <c r="M484">
        <f>IF($L484="","",$F484&amp;"|"&amp;RIGHT("000000"&amp;$L484,6))</f>
        <v/>
      </c>
      <c r="N484">
        <f>IF($F484="","",IF(Sync!$AF484="","0000",IF(AND(ISNUMBER(Sync!$AF484),Sync!$AF484&gt;=0,Sync!$AF484&lt;1),RIGHT("00"&amp;HOUR(Sync!$AF484),2)&amp;RIGHT("00"&amp;MINUTE(Sync!$AF484),2),IFERROR(RIGHT("00"&amp;VALUE(LEFT(Sync!$AF484,FIND(":",Sync!$AF484)-1)),2)&amp;RIGHT("00"&amp;VALUE(MID(Sync!$AF484,FIND(":",Sync!$AF484)+1,2)),2),"0000"))))</f>
        <v/>
      </c>
    </row>
    <row r="485">
      <c r="A485">
        <f>IF(OR(Calc!$E489="",Calc!$E489="نامعتبر",Calc!$G489=""),"",Calc!$G489)</f>
        <v/>
      </c>
      <c r="B485">
        <f>IF($A485="","",LEFT(Calc!$E489,4)&amp;MID(Calc!$E489,6,2)&amp;RIGHT(Calc!$E489,2)&amp;Calc!$Q489&amp;"|"&amp;"1"&amp;RIGHT("00000"&amp;480,5))</f>
        <v/>
      </c>
      <c r="C485">
        <f>IF($B485="","",COUNTIFS(LdgSellerA,$A485,LdgKeyA,"&lt;"&amp;$B485)+COUNTIFS(LdgSellerB,$A485,LdgKeyB,"&lt;"&amp;$B485)+1)</f>
        <v/>
      </c>
      <c r="D485">
        <f>IF($C485="","",$A485&amp;"|"&amp;RIGHT("000000"&amp;$C485,6))</f>
        <v/>
      </c>
      <c r="F485">
        <f>IF(Sync!$AH485="","",IF(LEFT(UPPER(TRIM(Sync!$AH485)),2)="SL",UPPER(TRIM(Sync!$AH485)),""))</f>
        <v/>
      </c>
      <c r="G485">
        <f>IF($F485="","",IF(Sync!$AE485="","",IF(ISNUMBER(Sync!$AE485),IF(AND(Sync!$AE485&gt;=10000101,Sync!$AE485&lt;=99991231),INT(Sync!$AE485/10000),""),IFERROR(VALUE(TRIM(LEFT(Sync!$AE485,FIND("/",Sync!$AE485)-1))),""))))</f>
        <v/>
      </c>
      <c r="H485">
        <f>IF(OR($F485="",$G485=""),"",IF(ISNUMBER(Sync!$AE485),INT(MOD(Sync!$AE485,10000)/100),IFERROR(VALUE(TRIM(LEFT(MID(Sync!$AE485,FIND("/",Sync!$AE485)+1,20),FIND("/",MID(Sync!$AE485,FIND("/",Sync!$AE485)+1,20))-1))),"")))</f>
        <v/>
      </c>
      <c r="I485">
        <f>IF(OR($F485="",$G485=""),"",IF(ISNUMBER(Sync!$AE485),MOD(Sync!$AE485,100),IFERROR(VALUE(TRIM(MID(MID(Sync!$AE485,FIND("/",Sync!$AE485)+1,20),FIND("/",MID(Sync!$AE485,FIND("/",Sync!$AE485)+1,20))+1,20))),"")))</f>
        <v/>
      </c>
      <c r="J485">
        <f>IF($F485="","",IF(OR($G485="",$H485="",$I485="",$G485&lt;1300,$G485&gt;1500,$H485&lt;1,$H485&gt;12,$I485&lt;1,$I485&gt;31),"نامعتبر",RIGHT("0000"&amp;$G485,4)&amp;"/"&amp;RIGHT("00"&amp;$H485,2)&amp;"/"&amp;RIGHT("00"&amp;$I485,2)))</f>
        <v/>
      </c>
      <c r="K485">
        <f>IF(OR($F485="",$J485="",$J485="نامعتبر"),"",LEFT($J485,4)&amp;MID($J485,6,2)&amp;RIGHT($J485,2)&amp;$N485&amp;"|"&amp;"2"&amp;RIGHT("00000"&amp;480,5))</f>
        <v/>
      </c>
      <c r="L485">
        <f>IF($K485="","",COUNTIFS(LdgSellerA,$F485,LdgKeyA,"&lt;"&amp;$K485)+COUNTIFS(LdgSellerB,$F485,LdgKeyB,"&lt;"&amp;$K485)+1)</f>
        <v/>
      </c>
      <c r="M485">
        <f>IF($L485="","",$F485&amp;"|"&amp;RIGHT("000000"&amp;$L485,6))</f>
        <v/>
      </c>
      <c r="N485">
        <f>IF($F485="","",IF(Sync!$AF485="","0000",IF(AND(ISNUMBER(Sync!$AF485),Sync!$AF485&gt;=0,Sync!$AF485&lt;1),RIGHT("00"&amp;HOUR(Sync!$AF485),2)&amp;RIGHT("00"&amp;MINUTE(Sync!$AF485),2),IFERROR(RIGHT("00"&amp;VALUE(LEFT(Sync!$AF485,FIND(":",Sync!$AF485)-1)),2)&amp;RIGHT("00"&amp;VALUE(MID(Sync!$AF485,FIND(":",Sync!$AF485)+1,2)),2),"0000"))))</f>
        <v/>
      </c>
    </row>
    <row r="486">
      <c r="A486">
        <f>IF(OR(Calc!$E490="",Calc!$E490="نامعتبر",Calc!$G490=""),"",Calc!$G490)</f>
        <v/>
      </c>
      <c r="B486">
        <f>IF($A486="","",LEFT(Calc!$E490,4)&amp;MID(Calc!$E490,6,2)&amp;RIGHT(Calc!$E490,2)&amp;Calc!$Q490&amp;"|"&amp;"1"&amp;RIGHT("00000"&amp;481,5))</f>
        <v/>
      </c>
      <c r="C486">
        <f>IF($B486="","",COUNTIFS(LdgSellerA,$A486,LdgKeyA,"&lt;"&amp;$B486)+COUNTIFS(LdgSellerB,$A486,LdgKeyB,"&lt;"&amp;$B486)+1)</f>
        <v/>
      </c>
      <c r="D486">
        <f>IF($C486="","",$A486&amp;"|"&amp;RIGHT("000000"&amp;$C486,6))</f>
        <v/>
      </c>
      <c r="F486">
        <f>IF(Sync!$AH486="","",IF(LEFT(UPPER(TRIM(Sync!$AH486)),2)="SL",UPPER(TRIM(Sync!$AH486)),""))</f>
        <v/>
      </c>
      <c r="G486">
        <f>IF($F486="","",IF(Sync!$AE486="","",IF(ISNUMBER(Sync!$AE486),IF(AND(Sync!$AE486&gt;=10000101,Sync!$AE486&lt;=99991231),INT(Sync!$AE486/10000),""),IFERROR(VALUE(TRIM(LEFT(Sync!$AE486,FIND("/",Sync!$AE486)-1))),""))))</f>
        <v/>
      </c>
      <c r="H486">
        <f>IF(OR($F486="",$G486=""),"",IF(ISNUMBER(Sync!$AE486),INT(MOD(Sync!$AE486,10000)/100),IFERROR(VALUE(TRIM(LEFT(MID(Sync!$AE486,FIND("/",Sync!$AE486)+1,20),FIND("/",MID(Sync!$AE486,FIND("/",Sync!$AE486)+1,20))-1))),"")))</f>
        <v/>
      </c>
      <c r="I486">
        <f>IF(OR($F486="",$G486=""),"",IF(ISNUMBER(Sync!$AE486),MOD(Sync!$AE486,100),IFERROR(VALUE(TRIM(MID(MID(Sync!$AE486,FIND("/",Sync!$AE486)+1,20),FIND("/",MID(Sync!$AE486,FIND("/",Sync!$AE486)+1,20))+1,20))),"")))</f>
        <v/>
      </c>
      <c r="J486">
        <f>IF($F486="","",IF(OR($G486="",$H486="",$I486="",$G486&lt;1300,$G486&gt;1500,$H486&lt;1,$H486&gt;12,$I486&lt;1,$I486&gt;31),"نامعتبر",RIGHT("0000"&amp;$G486,4)&amp;"/"&amp;RIGHT("00"&amp;$H486,2)&amp;"/"&amp;RIGHT("00"&amp;$I486,2)))</f>
        <v/>
      </c>
      <c r="K486">
        <f>IF(OR($F486="",$J486="",$J486="نامعتبر"),"",LEFT($J486,4)&amp;MID($J486,6,2)&amp;RIGHT($J486,2)&amp;$N486&amp;"|"&amp;"2"&amp;RIGHT("00000"&amp;481,5))</f>
        <v/>
      </c>
      <c r="L486">
        <f>IF($K486="","",COUNTIFS(LdgSellerA,$F486,LdgKeyA,"&lt;"&amp;$K486)+COUNTIFS(LdgSellerB,$F486,LdgKeyB,"&lt;"&amp;$K486)+1)</f>
        <v/>
      </c>
      <c r="M486">
        <f>IF($L486="","",$F486&amp;"|"&amp;RIGHT("000000"&amp;$L486,6))</f>
        <v/>
      </c>
      <c r="N486">
        <f>IF($F486="","",IF(Sync!$AF486="","0000",IF(AND(ISNUMBER(Sync!$AF486),Sync!$AF486&gt;=0,Sync!$AF486&lt;1),RIGHT("00"&amp;HOUR(Sync!$AF486),2)&amp;RIGHT("00"&amp;MINUTE(Sync!$AF486),2),IFERROR(RIGHT("00"&amp;VALUE(LEFT(Sync!$AF486,FIND(":",Sync!$AF486)-1)),2)&amp;RIGHT("00"&amp;VALUE(MID(Sync!$AF486,FIND(":",Sync!$AF486)+1,2)),2),"0000"))))</f>
        <v/>
      </c>
    </row>
    <row r="487">
      <c r="A487">
        <f>IF(OR(Calc!$E491="",Calc!$E491="نامعتبر",Calc!$G491=""),"",Calc!$G491)</f>
        <v/>
      </c>
      <c r="B487">
        <f>IF($A487="","",LEFT(Calc!$E491,4)&amp;MID(Calc!$E491,6,2)&amp;RIGHT(Calc!$E491,2)&amp;Calc!$Q491&amp;"|"&amp;"1"&amp;RIGHT("00000"&amp;482,5))</f>
        <v/>
      </c>
      <c r="C487">
        <f>IF($B487="","",COUNTIFS(LdgSellerA,$A487,LdgKeyA,"&lt;"&amp;$B487)+COUNTIFS(LdgSellerB,$A487,LdgKeyB,"&lt;"&amp;$B487)+1)</f>
        <v/>
      </c>
      <c r="D487">
        <f>IF($C487="","",$A487&amp;"|"&amp;RIGHT("000000"&amp;$C487,6))</f>
        <v/>
      </c>
      <c r="F487">
        <f>IF(Sync!$AH487="","",IF(LEFT(UPPER(TRIM(Sync!$AH487)),2)="SL",UPPER(TRIM(Sync!$AH487)),""))</f>
        <v/>
      </c>
      <c r="G487">
        <f>IF($F487="","",IF(Sync!$AE487="","",IF(ISNUMBER(Sync!$AE487),IF(AND(Sync!$AE487&gt;=10000101,Sync!$AE487&lt;=99991231),INT(Sync!$AE487/10000),""),IFERROR(VALUE(TRIM(LEFT(Sync!$AE487,FIND("/",Sync!$AE487)-1))),""))))</f>
        <v/>
      </c>
      <c r="H487">
        <f>IF(OR($F487="",$G487=""),"",IF(ISNUMBER(Sync!$AE487),INT(MOD(Sync!$AE487,10000)/100),IFERROR(VALUE(TRIM(LEFT(MID(Sync!$AE487,FIND("/",Sync!$AE487)+1,20),FIND("/",MID(Sync!$AE487,FIND("/",Sync!$AE487)+1,20))-1))),"")))</f>
        <v/>
      </c>
      <c r="I487">
        <f>IF(OR($F487="",$G487=""),"",IF(ISNUMBER(Sync!$AE487),MOD(Sync!$AE487,100),IFERROR(VALUE(TRIM(MID(MID(Sync!$AE487,FIND("/",Sync!$AE487)+1,20),FIND("/",MID(Sync!$AE487,FIND("/",Sync!$AE487)+1,20))+1,20))),"")))</f>
        <v/>
      </c>
      <c r="J487">
        <f>IF($F487="","",IF(OR($G487="",$H487="",$I487="",$G487&lt;1300,$G487&gt;1500,$H487&lt;1,$H487&gt;12,$I487&lt;1,$I487&gt;31),"نامعتبر",RIGHT("0000"&amp;$G487,4)&amp;"/"&amp;RIGHT("00"&amp;$H487,2)&amp;"/"&amp;RIGHT("00"&amp;$I487,2)))</f>
        <v/>
      </c>
      <c r="K487">
        <f>IF(OR($F487="",$J487="",$J487="نامعتبر"),"",LEFT($J487,4)&amp;MID($J487,6,2)&amp;RIGHT($J487,2)&amp;$N487&amp;"|"&amp;"2"&amp;RIGHT("00000"&amp;482,5))</f>
        <v/>
      </c>
      <c r="L487">
        <f>IF($K487="","",COUNTIFS(LdgSellerA,$F487,LdgKeyA,"&lt;"&amp;$K487)+COUNTIFS(LdgSellerB,$F487,LdgKeyB,"&lt;"&amp;$K487)+1)</f>
        <v/>
      </c>
      <c r="M487">
        <f>IF($L487="","",$F487&amp;"|"&amp;RIGHT("000000"&amp;$L487,6))</f>
        <v/>
      </c>
      <c r="N487">
        <f>IF($F487="","",IF(Sync!$AF487="","0000",IF(AND(ISNUMBER(Sync!$AF487),Sync!$AF487&gt;=0,Sync!$AF487&lt;1),RIGHT("00"&amp;HOUR(Sync!$AF487),2)&amp;RIGHT("00"&amp;MINUTE(Sync!$AF487),2),IFERROR(RIGHT("00"&amp;VALUE(LEFT(Sync!$AF487,FIND(":",Sync!$AF487)-1)),2)&amp;RIGHT("00"&amp;VALUE(MID(Sync!$AF487,FIND(":",Sync!$AF487)+1,2)),2),"0000"))))</f>
        <v/>
      </c>
    </row>
    <row r="488">
      <c r="A488">
        <f>IF(OR(Calc!$E492="",Calc!$E492="نامعتبر",Calc!$G492=""),"",Calc!$G492)</f>
        <v/>
      </c>
      <c r="B488">
        <f>IF($A488="","",LEFT(Calc!$E492,4)&amp;MID(Calc!$E492,6,2)&amp;RIGHT(Calc!$E492,2)&amp;Calc!$Q492&amp;"|"&amp;"1"&amp;RIGHT("00000"&amp;483,5))</f>
        <v/>
      </c>
      <c r="C488">
        <f>IF($B488="","",COUNTIFS(LdgSellerA,$A488,LdgKeyA,"&lt;"&amp;$B488)+COUNTIFS(LdgSellerB,$A488,LdgKeyB,"&lt;"&amp;$B488)+1)</f>
        <v/>
      </c>
      <c r="D488">
        <f>IF($C488="","",$A488&amp;"|"&amp;RIGHT("000000"&amp;$C488,6))</f>
        <v/>
      </c>
      <c r="F488">
        <f>IF(Sync!$AH488="","",IF(LEFT(UPPER(TRIM(Sync!$AH488)),2)="SL",UPPER(TRIM(Sync!$AH488)),""))</f>
        <v/>
      </c>
      <c r="G488">
        <f>IF($F488="","",IF(Sync!$AE488="","",IF(ISNUMBER(Sync!$AE488),IF(AND(Sync!$AE488&gt;=10000101,Sync!$AE488&lt;=99991231),INT(Sync!$AE488/10000),""),IFERROR(VALUE(TRIM(LEFT(Sync!$AE488,FIND("/",Sync!$AE488)-1))),""))))</f>
        <v/>
      </c>
      <c r="H488">
        <f>IF(OR($F488="",$G488=""),"",IF(ISNUMBER(Sync!$AE488),INT(MOD(Sync!$AE488,10000)/100),IFERROR(VALUE(TRIM(LEFT(MID(Sync!$AE488,FIND("/",Sync!$AE488)+1,20),FIND("/",MID(Sync!$AE488,FIND("/",Sync!$AE488)+1,20))-1))),"")))</f>
        <v/>
      </c>
      <c r="I488">
        <f>IF(OR($F488="",$G488=""),"",IF(ISNUMBER(Sync!$AE488),MOD(Sync!$AE488,100),IFERROR(VALUE(TRIM(MID(MID(Sync!$AE488,FIND("/",Sync!$AE488)+1,20),FIND("/",MID(Sync!$AE488,FIND("/",Sync!$AE488)+1,20))+1,20))),"")))</f>
        <v/>
      </c>
      <c r="J488">
        <f>IF($F488="","",IF(OR($G488="",$H488="",$I488="",$G488&lt;1300,$G488&gt;1500,$H488&lt;1,$H488&gt;12,$I488&lt;1,$I488&gt;31),"نامعتبر",RIGHT("0000"&amp;$G488,4)&amp;"/"&amp;RIGHT("00"&amp;$H488,2)&amp;"/"&amp;RIGHT("00"&amp;$I488,2)))</f>
        <v/>
      </c>
      <c r="K488">
        <f>IF(OR($F488="",$J488="",$J488="نامعتبر"),"",LEFT($J488,4)&amp;MID($J488,6,2)&amp;RIGHT($J488,2)&amp;$N488&amp;"|"&amp;"2"&amp;RIGHT("00000"&amp;483,5))</f>
        <v/>
      </c>
      <c r="L488">
        <f>IF($K488="","",COUNTIFS(LdgSellerA,$F488,LdgKeyA,"&lt;"&amp;$K488)+COUNTIFS(LdgSellerB,$F488,LdgKeyB,"&lt;"&amp;$K488)+1)</f>
        <v/>
      </c>
      <c r="M488">
        <f>IF($L488="","",$F488&amp;"|"&amp;RIGHT("000000"&amp;$L488,6))</f>
        <v/>
      </c>
      <c r="N488">
        <f>IF($F488="","",IF(Sync!$AF488="","0000",IF(AND(ISNUMBER(Sync!$AF488),Sync!$AF488&gt;=0,Sync!$AF488&lt;1),RIGHT("00"&amp;HOUR(Sync!$AF488),2)&amp;RIGHT("00"&amp;MINUTE(Sync!$AF488),2),IFERROR(RIGHT("00"&amp;VALUE(LEFT(Sync!$AF488,FIND(":",Sync!$AF488)-1)),2)&amp;RIGHT("00"&amp;VALUE(MID(Sync!$AF488,FIND(":",Sync!$AF488)+1,2)),2),"0000"))))</f>
        <v/>
      </c>
    </row>
    <row r="489">
      <c r="A489">
        <f>IF(OR(Calc!$E493="",Calc!$E493="نامعتبر",Calc!$G493=""),"",Calc!$G493)</f>
        <v/>
      </c>
      <c r="B489">
        <f>IF($A489="","",LEFT(Calc!$E493,4)&amp;MID(Calc!$E493,6,2)&amp;RIGHT(Calc!$E493,2)&amp;Calc!$Q493&amp;"|"&amp;"1"&amp;RIGHT("00000"&amp;484,5))</f>
        <v/>
      </c>
      <c r="C489">
        <f>IF($B489="","",COUNTIFS(LdgSellerA,$A489,LdgKeyA,"&lt;"&amp;$B489)+COUNTIFS(LdgSellerB,$A489,LdgKeyB,"&lt;"&amp;$B489)+1)</f>
        <v/>
      </c>
      <c r="D489">
        <f>IF($C489="","",$A489&amp;"|"&amp;RIGHT("000000"&amp;$C489,6))</f>
        <v/>
      </c>
      <c r="F489">
        <f>IF(Sync!$AH489="","",IF(LEFT(UPPER(TRIM(Sync!$AH489)),2)="SL",UPPER(TRIM(Sync!$AH489)),""))</f>
        <v/>
      </c>
      <c r="G489">
        <f>IF($F489="","",IF(Sync!$AE489="","",IF(ISNUMBER(Sync!$AE489),IF(AND(Sync!$AE489&gt;=10000101,Sync!$AE489&lt;=99991231),INT(Sync!$AE489/10000),""),IFERROR(VALUE(TRIM(LEFT(Sync!$AE489,FIND("/",Sync!$AE489)-1))),""))))</f>
        <v/>
      </c>
      <c r="H489">
        <f>IF(OR($F489="",$G489=""),"",IF(ISNUMBER(Sync!$AE489),INT(MOD(Sync!$AE489,10000)/100),IFERROR(VALUE(TRIM(LEFT(MID(Sync!$AE489,FIND("/",Sync!$AE489)+1,20),FIND("/",MID(Sync!$AE489,FIND("/",Sync!$AE489)+1,20))-1))),"")))</f>
        <v/>
      </c>
      <c r="I489">
        <f>IF(OR($F489="",$G489=""),"",IF(ISNUMBER(Sync!$AE489),MOD(Sync!$AE489,100),IFERROR(VALUE(TRIM(MID(MID(Sync!$AE489,FIND("/",Sync!$AE489)+1,20),FIND("/",MID(Sync!$AE489,FIND("/",Sync!$AE489)+1,20))+1,20))),"")))</f>
        <v/>
      </c>
      <c r="J489">
        <f>IF($F489="","",IF(OR($G489="",$H489="",$I489="",$G489&lt;1300,$G489&gt;1500,$H489&lt;1,$H489&gt;12,$I489&lt;1,$I489&gt;31),"نامعتبر",RIGHT("0000"&amp;$G489,4)&amp;"/"&amp;RIGHT("00"&amp;$H489,2)&amp;"/"&amp;RIGHT("00"&amp;$I489,2)))</f>
        <v/>
      </c>
      <c r="K489">
        <f>IF(OR($F489="",$J489="",$J489="نامعتبر"),"",LEFT($J489,4)&amp;MID($J489,6,2)&amp;RIGHT($J489,2)&amp;$N489&amp;"|"&amp;"2"&amp;RIGHT("00000"&amp;484,5))</f>
        <v/>
      </c>
      <c r="L489">
        <f>IF($K489="","",COUNTIFS(LdgSellerA,$F489,LdgKeyA,"&lt;"&amp;$K489)+COUNTIFS(LdgSellerB,$F489,LdgKeyB,"&lt;"&amp;$K489)+1)</f>
        <v/>
      </c>
      <c r="M489">
        <f>IF($L489="","",$F489&amp;"|"&amp;RIGHT("000000"&amp;$L489,6))</f>
        <v/>
      </c>
      <c r="N489">
        <f>IF($F489="","",IF(Sync!$AF489="","0000",IF(AND(ISNUMBER(Sync!$AF489),Sync!$AF489&gt;=0,Sync!$AF489&lt;1),RIGHT("00"&amp;HOUR(Sync!$AF489),2)&amp;RIGHT("00"&amp;MINUTE(Sync!$AF489),2),IFERROR(RIGHT("00"&amp;VALUE(LEFT(Sync!$AF489,FIND(":",Sync!$AF489)-1)),2)&amp;RIGHT("00"&amp;VALUE(MID(Sync!$AF489,FIND(":",Sync!$AF489)+1,2)),2),"0000"))))</f>
        <v/>
      </c>
    </row>
    <row r="490">
      <c r="A490">
        <f>IF(OR(Calc!$E494="",Calc!$E494="نامعتبر",Calc!$G494=""),"",Calc!$G494)</f>
        <v/>
      </c>
      <c r="B490">
        <f>IF($A490="","",LEFT(Calc!$E494,4)&amp;MID(Calc!$E494,6,2)&amp;RIGHT(Calc!$E494,2)&amp;Calc!$Q494&amp;"|"&amp;"1"&amp;RIGHT("00000"&amp;485,5))</f>
        <v/>
      </c>
      <c r="C490">
        <f>IF($B490="","",COUNTIFS(LdgSellerA,$A490,LdgKeyA,"&lt;"&amp;$B490)+COUNTIFS(LdgSellerB,$A490,LdgKeyB,"&lt;"&amp;$B490)+1)</f>
        <v/>
      </c>
      <c r="D490">
        <f>IF($C490="","",$A490&amp;"|"&amp;RIGHT("000000"&amp;$C490,6))</f>
        <v/>
      </c>
      <c r="F490">
        <f>IF(Sync!$AH490="","",IF(LEFT(UPPER(TRIM(Sync!$AH490)),2)="SL",UPPER(TRIM(Sync!$AH490)),""))</f>
        <v/>
      </c>
      <c r="G490">
        <f>IF($F490="","",IF(Sync!$AE490="","",IF(ISNUMBER(Sync!$AE490),IF(AND(Sync!$AE490&gt;=10000101,Sync!$AE490&lt;=99991231),INT(Sync!$AE490/10000),""),IFERROR(VALUE(TRIM(LEFT(Sync!$AE490,FIND("/",Sync!$AE490)-1))),""))))</f>
        <v/>
      </c>
      <c r="H490">
        <f>IF(OR($F490="",$G490=""),"",IF(ISNUMBER(Sync!$AE490),INT(MOD(Sync!$AE490,10000)/100),IFERROR(VALUE(TRIM(LEFT(MID(Sync!$AE490,FIND("/",Sync!$AE490)+1,20),FIND("/",MID(Sync!$AE490,FIND("/",Sync!$AE490)+1,20))-1))),"")))</f>
        <v/>
      </c>
      <c r="I490">
        <f>IF(OR($F490="",$G490=""),"",IF(ISNUMBER(Sync!$AE490),MOD(Sync!$AE490,100),IFERROR(VALUE(TRIM(MID(MID(Sync!$AE490,FIND("/",Sync!$AE490)+1,20),FIND("/",MID(Sync!$AE490,FIND("/",Sync!$AE490)+1,20))+1,20))),"")))</f>
        <v/>
      </c>
      <c r="J490">
        <f>IF($F490="","",IF(OR($G490="",$H490="",$I490="",$G490&lt;1300,$G490&gt;1500,$H490&lt;1,$H490&gt;12,$I490&lt;1,$I490&gt;31),"نامعتبر",RIGHT("0000"&amp;$G490,4)&amp;"/"&amp;RIGHT("00"&amp;$H490,2)&amp;"/"&amp;RIGHT("00"&amp;$I490,2)))</f>
        <v/>
      </c>
      <c r="K490">
        <f>IF(OR($F490="",$J490="",$J490="نامعتبر"),"",LEFT($J490,4)&amp;MID($J490,6,2)&amp;RIGHT($J490,2)&amp;$N490&amp;"|"&amp;"2"&amp;RIGHT("00000"&amp;485,5))</f>
        <v/>
      </c>
      <c r="L490">
        <f>IF($K490="","",COUNTIFS(LdgSellerA,$F490,LdgKeyA,"&lt;"&amp;$K490)+COUNTIFS(LdgSellerB,$F490,LdgKeyB,"&lt;"&amp;$K490)+1)</f>
        <v/>
      </c>
      <c r="M490">
        <f>IF($L490="","",$F490&amp;"|"&amp;RIGHT("000000"&amp;$L490,6))</f>
        <v/>
      </c>
      <c r="N490">
        <f>IF($F490="","",IF(Sync!$AF490="","0000",IF(AND(ISNUMBER(Sync!$AF490),Sync!$AF490&gt;=0,Sync!$AF490&lt;1),RIGHT("00"&amp;HOUR(Sync!$AF490),2)&amp;RIGHT("00"&amp;MINUTE(Sync!$AF490),2),IFERROR(RIGHT("00"&amp;VALUE(LEFT(Sync!$AF490,FIND(":",Sync!$AF490)-1)),2)&amp;RIGHT("00"&amp;VALUE(MID(Sync!$AF490,FIND(":",Sync!$AF490)+1,2)),2),"0000"))))</f>
        <v/>
      </c>
    </row>
    <row r="491">
      <c r="A491">
        <f>IF(OR(Calc!$E495="",Calc!$E495="نامعتبر",Calc!$G495=""),"",Calc!$G495)</f>
        <v/>
      </c>
      <c r="B491">
        <f>IF($A491="","",LEFT(Calc!$E495,4)&amp;MID(Calc!$E495,6,2)&amp;RIGHT(Calc!$E495,2)&amp;Calc!$Q495&amp;"|"&amp;"1"&amp;RIGHT("00000"&amp;486,5))</f>
        <v/>
      </c>
      <c r="C491">
        <f>IF($B491="","",COUNTIFS(LdgSellerA,$A491,LdgKeyA,"&lt;"&amp;$B491)+COUNTIFS(LdgSellerB,$A491,LdgKeyB,"&lt;"&amp;$B491)+1)</f>
        <v/>
      </c>
      <c r="D491">
        <f>IF($C491="","",$A491&amp;"|"&amp;RIGHT("000000"&amp;$C491,6))</f>
        <v/>
      </c>
      <c r="F491">
        <f>IF(Sync!$AH491="","",IF(LEFT(UPPER(TRIM(Sync!$AH491)),2)="SL",UPPER(TRIM(Sync!$AH491)),""))</f>
        <v/>
      </c>
      <c r="G491">
        <f>IF($F491="","",IF(Sync!$AE491="","",IF(ISNUMBER(Sync!$AE491),IF(AND(Sync!$AE491&gt;=10000101,Sync!$AE491&lt;=99991231),INT(Sync!$AE491/10000),""),IFERROR(VALUE(TRIM(LEFT(Sync!$AE491,FIND("/",Sync!$AE491)-1))),""))))</f>
        <v/>
      </c>
      <c r="H491">
        <f>IF(OR($F491="",$G491=""),"",IF(ISNUMBER(Sync!$AE491),INT(MOD(Sync!$AE491,10000)/100),IFERROR(VALUE(TRIM(LEFT(MID(Sync!$AE491,FIND("/",Sync!$AE491)+1,20),FIND("/",MID(Sync!$AE491,FIND("/",Sync!$AE491)+1,20))-1))),"")))</f>
        <v/>
      </c>
      <c r="I491">
        <f>IF(OR($F491="",$G491=""),"",IF(ISNUMBER(Sync!$AE491),MOD(Sync!$AE491,100),IFERROR(VALUE(TRIM(MID(MID(Sync!$AE491,FIND("/",Sync!$AE491)+1,20),FIND("/",MID(Sync!$AE491,FIND("/",Sync!$AE491)+1,20))+1,20))),"")))</f>
        <v/>
      </c>
      <c r="J491">
        <f>IF($F491="","",IF(OR($G491="",$H491="",$I491="",$G491&lt;1300,$G491&gt;1500,$H491&lt;1,$H491&gt;12,$I491&lt;1,$I491&gt;31),"نامعتبر",RIGHT("0000"&amp;$G491,4)&amp;"/"&amp;RIGHT("00"&amp;$H491,2)&amp;"/"&amp;RIGHT("00"&amp;$I491,2)))</f>
        <v/>
      </c>
      <c r="K491">
        <f>IF(OR($F491="",$J491="",$J491="نامعتبر"),"",LEFT($J491,4)&amp;MID($J491,6,2)&amp;RIGHT($J491,2)&amp;$N491&amp;"|"&amp;"2"&amp;RIGHT("00000"&amp;486,5))</f>
        <v/>
      </c>
      <c r="L491">
        <f>IF($K491="","",COUNTIFS(LdgSellerA,$F491,LdgKeyA,"&lt;"&amp;$K491)+COUNTIFS(LdgSellerB,$F491,LdgKeyB,"&lt;"&amp;$K491)+1)</f>
        <v/>
      </c>
      <c r="M491">
        <f>IF($L491="","",$F491&amp;"|"&amp;RIGHT("000000"&amp;$L491,6))</f>
        <v/>
      </c>
      <c r="N491">
        <f>IF($F491="","",IF(Sync!$AF491="","0000",IF(AND(ISNUMBER(Sync!$AF491),Sync!$AF491&gt;=0,Sync!$AF491&lt;1),RIGHT("00"&amp;HOUR(Sync!$AF491),2)&amp;RIGHT("00"&amp;MINUTE(Sync!$AF491),2),IFERROR(RIGHT("00"&amp;VALUE(LEFT(Sync!$AF491,FIND(":",Sync!$AF491)-1)),2)&amp;RIGHT("00"&amp;VALUE(MID(Sync!$AF491,FIND(":",Sync!$AF491)+1,2)),2),"0000"))))</f>
        <v/>
      </c>
    </row>
    <row r="492">
      <c r="A492">
        <f>IF(OR(Calc!$E496="",Calc!$E496="نامعتبر",Calc!$G496=""),"",Calc!$G496)</f>
        <v/>
      </c>
      <c r="B492">
        <f>IF($A492="","",LEFT(Calc!$E496,4)&amp;MID(Calc!$E496,6,2)&amp;RIGHT(Calc!$E496,2)&amp;Calc!$Q496&amp;"|"&amp;"1"&amp;RIGHT("00000"&amp;487,5))</f>
        <v/>
      </c>
      <c r="C492">
        <f>IF($B492="","",COUNTIFS(LdgSellerA,$A492,LdgKeyA,"&lt;"&amp;$B492)+COUNTIFS(LdgSellerB,$A492,LdgKeyB,"&lt;"&amp;$B492)+1)</f>
        <v/>
      </c>
      <c r="D492">
        <f>IF($C492="","",$A492&amp;"|"&amp;RIGHT("000000"&amp;$C492,6))</f>
        <v/>
      </c>
      <c r="F492">
        <f>IF(Sync!$AH492="","",IF(LEFT(UPPER(TRIM(Sync!$AH492)),2)="SL",UPPER(TRIM(Sync!$AH492)),""))</f>
        <v/>
      </c>
      <c r="G492">
        <f>IF($F492="","",IF(Sync!$AE492="","",IF(ISNUMBER(Sync!$AE492),IF(AND(Sync!$AE492&gt;=10000101,Sync!$AE492&lt;=99991231),INT(Sync!$AE492/10000),""),IFERROR(VALUE(TRIM(LEFT(Sync!$AE492,FIND("/",Sync!$AE492)-1))),""))))</f>
        <v/>
      </c>
      <c r="H492">
        <f>IF(OR($F492="",$G492=""),"",IF(ISNUMBER(Sync!$AE492),INT(MOD(Sync!$AE492,10000)/100),IFERROR(VALUE(TRIM(LEFT(MID(Sync!$AE492,FIND("/",Sync!$AE492)+1,20),FIND("/",MID(Sync!$AE492,FIND("/",Sync!$AE492)+1,20))-1))),"")))</f>
        <v/>
      </c>
      <c r="I492">
        <f>IF(OR($F492="",$G492=""),"",IF(ISNUMBER(Sync!$AE492),MOD(Sync!$AE492,100),IFERROR(VALUE(TRIM(MID(MID(Sync!$AE492,FIND("/",Sync!$AE492)+1,20),FIND("/",MID(Sync!$AE492,FIND("/",Sync!$AE492)+1,20))+1,20))),"")))</f>
        <v/>
      </c>
      <c r="J492">
        <f>IF($F492="","",IF(OR($G492="",$H492="",$I492="",$G492&lt;1300,$G492&gt;1500,$H492&lt;1,$H492&gt;12,$I492&lt;1,$I492&gt;31),"نامعتبر",RIGHT("0000"&amp;$G492,4)&amp;"/"&amp;RIGHT("00"&amp;$H492,2)&amp;"/"&amp;RIGHT("00"&amp;$I492,2)))</f>
        <v/>
      </c>
      <c r="K492">
        <f>IF(OR($F492="",$J492="",$J492="نامعتبر"),"",LEFT($J492,4)&amp;MID($J492,6,2)&amp;RIGHT($J492,2)&amp;$N492&amp;"|"&amp;"2"&amp;RIGHT("00000"&amp;487,5))</f>
        <v/>
      </c>
      <c r="L492">
        <f>IF($K492="","",COUNTIFS(LdgSellerA,$F492,LdgKeyA,"&lt;"&amp;$K492)+COUNTIFS(LdgSellerB,$F492,LdgKeyB,"&lt;"&amp;$K492)+1)</f>
        <v/>
      </c>
      <c r="M492">
        <f>IF($L492="","",$F492&amp;"|"&amp;RIGHT("000000"&amp;$L492,6))</f>
        <v/>
      </c>
      <c r="N492">
        <f>IF($F492="","",IF(Sync!$AF492="","0000",IF(AND(ISNUMBER(Sync!$AF492),Sync!$AF492&gt;=0,Sync!$AF492&lt;1),RIGHT("00"&amp;HOUR(Sync!$AF492),2)&amp;RIGHT("00"&amp;MINUTE(Sync!$AF492),2),IFERROR(RIGHT("00"&amp;VALUE(LEFT(Sync!$AF492,FIND(":",Sync!$AF492)-1)),2)&amp;RIGHT("00"&amp;VALUE(MID(Sync!$AF492,FIND(":",Sync!$AF492)+1,2)),2),"0000"))))</f>
        <v/>
      </c>
    </row>
    <row r="493">
      <c r="A493">
        <f>IF(OR(Calc!$E497="",Calc!$E497="نامعتبر",Calc!$G497=""),"",Calc!$G497)</f>
        <v/>
      </c>
      <c r="B493">
        <f>IF($A493="","",LEFT(Calc!$E497,4)&amp;MID(Calc!$E497,6,2)&amp;RIGHT(Calc!$E497,2)&amp;Calc!$Q497&amp;"|"&amp;"1"&amp;RIGHT("00000"&amp;488,5))</f>
        <v/>
      </c>
      <c r="C493">
        <f>IF($B493="","",COUNTIFS(LdgSellerA,$A493,LdgKeyA,"&lt;"&amp;$B493)+COUNTIFS(LdgSellerB,$A493,LdgKeyB,"&lt;"&amp;$B493)+1)</f>
        <v/>
      </c>
      <c r="D493">
        <f>IF($C493="","",$A493&amp;"|"&amp;RIGHT("000000"&amp;$C493,6))</f>
        <v/>
      </c>
      <c r="F493">
        <f>IF(Sync!$AH493="","",IF(LEFT(UPPER(TRIM(Sync!$AH493)),2)="SL",UPPER(TRIM(Sync!$AH493)),""))</f>
        <v/>
      </c>
      <c r="G493">
        <f>IF($F493="","",IF(Sync!$AE493="","",IF(ISNUMBER(Sync!$AE493),IF(AND(Sync!$AE493&gt;=10000101,Sync!$AE493&lt;=99991231),INT(Sync!$AE493/10000),""),IFERROR(VALUE(TRIM(LEFT(Sync!$AE493,FIND("/",Sync!$AE493)-1))),""))))</f>
        <v/>
      </c>
      <c r="H493">
        <f>IF(OR($F493="",$G493=""),"",IF(ISNUMBER(Sync!$AE493),INT(MOD(Sync!$AE493,10000)/100),IFERROR(VALUE(TRIM(LEFT(MID(Sync!$AE493,FIND("/",Sync!$AE493)+1,20),FIND("/",MID(Sync!$AE493,FIND("/",Sync!$AE493)+1,20))-1))),"")))</f>
        <v/>
      </c>
      <c r="I493">
        <f>IF(OR($F493="",$G493=""),"",IF(ISNUMBER(Sync!$AE493),MOD(Sync!$AE493,100),IFERROR(VALUE(TRIM(MID(MID(Sync!$AE493,FIND("/",Sync!$AE493)+1,20),FIND("/",MID(Sync!$AE493,FIND("/",Sync!$AE493)+1,20))+1,20))),"")))</f>
        <v/>
      </c>
      <c r="J493">
        <f>IF($F493="","",IF(OR($G493="",$H493="",$I493="",$G493&lt;1300,$G493&gt;1500,$H493&lt;1,$H493&gt;12,$I493&lt;1,$I493&gt;31),"نامعتبر",RIGHT("0000"&amp;$G493,4)&amp;"/"&amp;RIGHT("00"&amp;$H493,2)&amp;"/"&amp;RIGHT("00"&amp;$I493,2)))</f>
        <v/>
      </c>
      <c r="K493">
        <f>IF(OR($F493="",$J493="",$J493="نامعتبر"),"",LEFT($J493,4)&amp;MID($J493,6,2)&amp;RIGHT($J493,2)&amp;$N493&amp;"|"&amp;"2"&amp;RIGHT("00000"&amp;488,5))</f>
        <v/>
      </c>
      <c r="L493">
        <f>IF($K493="","",COUNTIFS(LdgSellerA,$F493,LdgKeyA,"&lt;"&amp;$K493)+COUNTIFS(LdgSellerB,$F493,LdgKeyB,"&lt;"&amp;$K493)+1)</f>
        <v/>
      </c>
      <c r="M493">
        <f>IF($L493="","",$F493&amp;"|"&amp;RIGHT("000000"&amp;$L493,6))</f>
        <v/>
      </c>
      <c r="N493">
        <f>IF($F493="","",IF(Sync!$AF493="","0000",IF(AND(ISNUMBER(Sync!$AF493),Sync!$AF493&gt;=0,Sync!$AF493&lt;1),RIGHT("00"&amp;HOUR(Sync!$AF493),2)&amp;RIGHT("00"&amp;MINUTE(Sync!$AF493),2),IFERROR(RIGHT("00"&amp;VALUE(LEFT(Sync!$AF493,FIND(":",Sync!$AF493)-1)),2)&amp;RIGHT("00"&amp;VALUE(MID(Sync!$AF493,FIND(":",Sync!$AF493)+1,2)),2),"0000"))))</f>
        <v/>
      </c>
    </row>
    <row r="494">
      <c r="A494">
        <f>IF(OR(Calc!$E498="",Calc!$E498="نامعتبر",Calc!$G498=""),"",Calc!$G498)</f>
        <v/>
      </c>
      <c r="B494">
        <f>IF($A494="","",LEFT(Calc!$E498,4)&amp;MID(Calc!$E498,6,2)&amp;RIGHT(Calc!$E498,2)&amp;Calc!$Q498&amp;"|"&amp;"1"&amp;RIGHT("00000"&amp;489,5))</f>
        <v/>
      </c>
      <c r="C494">
        <f>IF($B494="","",COUNTIFS(LdgSellerA,$A494,LdgKeyA,"&lt;"&amp;$B494)+COUNTIFS(LdgSellerB,$A494,LdgKeyB,"&lt;"&amp;$B494)+1)</f>
        <v/>
      </c>
      <c r="D494">
        <f>IF($C494="","",$A494&amp;"|"&amp;RIGHT("000000"&amp;$C494,6))</f>
        <v/>
      </c>
      <c r="F494">
        <f>IF(Sync!$AH494="","",IF(LEFT(UPPER(TRIM(Sync!$AH494)),2)="SL",UPPER(TRIM(Sync!$AH494)),""))</f>
        <v/>
      </c>
      <c r="G494">
        <f>IF($F494="","",IF(Sync!$AE494="","",IF(ISNUMBER(Sync!$AE494),IF(AND(Sync!$AE494&gt;=10000101,Sync!$AE494&lt;=99991231),INT(Sync!$AE494/10000),""),IFERROR(VALUE(TRIM(LEFT(Sync!$AE494,FIND("/",Sync!$AE494)-1))),""))))</f>
        <v/>
      </c>
      <c r="H494">
        <f>IF(OR($F494="",$G494=""),"",IF(ISNUMBER(Sync!$AE494),INT(MOD(Sync!$AE494,10000)/100),IFERROR(VALUE(TRIM(LEFT(MID(Sync!$AE494,FIND("/",Sync!$AE494)+1,20),FIND("/",MID(Sync!$AE494,FIND("/",Sync!$AE494)+1,20))-1))),"")))</f>
        <v/>
      </c>
      <c r="I494">
        <f>IF(OR($F494="",$G494=""),"",IF(ISNUMBER(Sync!$AE494),MOD(Sync!$AE494,100),IFERROR(VALUE(TRIM(MID(MID(Sync!$AE494,FIND("/",Sync!$AE494)+1,20),FIND("/",MID(Sync!$AE494,FIND("/",Sync!$AE494)+1,20))+1,20))),"")))</f>
        <v/>
      </c>
      <c r="J494">
        <f>IF($F494="","",IF(OR($G494="",$H494="",$I494="",$G494&lt;1300,$G494&gt;1500,$H494&lt;1,$H494&gt;12,$I494&lt;1,$I494&gt;31),"نامعتبر",RIGHT("0000"&amp;$G494,4)&amp;"/"&amp;RIGHT("00"&amp;$H494,2)&amp;"/"&amp;RIGHT("00"&amp;$I494,2)))</f>
        <v/>
      </c>
      <c r="K494">
        <f>IF(OR($F494="",$J494="",$J494="نامعتبر"),"",LEFT($J494,4)&amp;MID($J494,6,2)&amp;RIGHT($J494,2)&amp;$N494&amp;"|"&amp;"2"&amp;RIGHT("00000"&amp;489,5))</f>
        <v/>
      </c>
      <c r="L494">
        <f>IF($K494="","",COUNTIFS(LdgSellerA,$F494,LdgKeyA,"&lt;"&amp;$K494)+COUNTIFS(LdgSellerB,$F494,LdgKeyB,"&lt;"&amp;$K494)+1)</f>
        <v/>
      </c>
      <c r="M494">
        <f>IF($L494="","",$F494&amp;"|"&amp;RIGHT("000000"&amp;$L494,6))</f>
        <v/>
      </c>
      <c r="N494">
        <f>IF($F494="","",IF(Sync!$AF494="","0000",IF(AND(ISNUMBER(Sync!$AF494),Sync!$AF494&gt;=0,Sync!$AF494&lt;1),RIGHT("00"&amp;HOUR(Sync!$AF494),2)&amp;RIGHT("00"&amp;MINUTE(Sync!$AF494),2),IFERROR(RIGHT("00"&amp;VALUE(LEFT(Sync!$AF494,FIND(":",Sync!$AF494)-1)),2)&amp;RIGHT("00"&amp;VALUE(MID(Sync!$AF494,FIND(":",Sync!$AF494)+1,2)),2),"0000"))))</f>
        <v/>
      </c>
    </row>
    <row r="495">
      <c r="A495">
        <f>IF(OR(Calc!$E499="",Calc!$E499="نامعتبر",Calc!$G499=""),"",Calc!$G499)</f>
        <v/>
      </c>
      <c r="B495">
        <f>IF($A495="","",LEFT(Calc!$E499,4)&amp;MID(Calc!$E499,6,2)&amp;RIGHT(Calc!$E499,2)&amp;Calc!$Q499&amp;"|"&amp;"1"&amp;RIGHT("00000"&amp;490,5))</f>
        <v/>
      </c>
      <c r="C495">
        <f>IF($B495="","",COUNTIFS(LdgSellerA,$A495,LdgKeyA,"&lt;"&amp;$B495)+COUNTIFS(LdgSellerB,$A495,LdgKeyB,"&lt;"&amp;$B495)+1)</f>
        <v/>
      </c>
      <c r="D495">
        <f>IF($C495="","",$A495&amp;"|"&amp;RIGHT("000000"&amp;$C495,6))</f>
        <v/>
      </c>
      <c r="F495">
        <f>IF(Sync!$AH495="","",IF(LEFT(UPPER(TRIM(Sync!$AH495)),2)="SL",UPPER(TRIM(Sync!$AH495)),""))</f>
        <v/>
      </c>
      <c r="G495">
        <f>IF($F495="","",IF(Sync!$AE495="","",IF(ISNUMBER(Sync!$AE495),IF(AND(Sync!$AE495&gt;=10000101,Sync!$AE495&lt;=99991231),INT(Sync!$AE495/10000),""),IFERROR(VALUE(TRIM(LEFT(Sync!$AE495,FIND("/",Sync!$AE495)-1))),""))))</f>
        <v/>
      </c>
      <c r="H495">
        <f>IF(OR($F495="",$G495=""),"",IF(ISNUMBER(Sync!$AE495),INT(MOD(Sync!$AE495,10000)/100),IFERROR(VALUE(TRIM(LEFT(MID(Sync!$AE495,FIND("/",Sync!$AE495)+1,20),FIND("/",MID(Sync!$AE495,FIND("/",Sync!$AE495)+1,20))-1))),"")))</f>
        <v/>
      </c>
      <c r="I495">
        <f>IF(OR($F495="",$G495=""),"",IF(ISNUMBER(Sync!$AE495),MOD(Sync!$AE495,100),IFERROR(VALUE(TRIM(MID(MID(Sync!$AE495,FIND("/",Sync!$AE495)+1,20),FIND("/",MID(Sync!$AE495,FIND("/",Sync!$AE495)+1,20))+1,20))),"")))</f>
        <v/>
      </c>
      <c r="J495">
        <f>IF($F495="","",IF(OR($G495="",$H495="",$I495="",$G495&lt;1300,$G495&gt;1500,$H495&lt;1,$H495&gt;12,$I495&lt;1,$I495&gt;31),"نامعتبر",RIGHT("0000"&amp;$G495,4)&amp;"/"&amp;RIGHT("00"&amp;$H495,2)&amp;"/"&amp;RIGHT("00"&amp;$I495,2)))</f>
        <v/>
      </c>
      <c r="K495">
        <f>IF(OR($F495="",$J495="",$J495="نامعتبر"),"",LEFT($J495,4)&amp;MID($J495,6,2)&amp;RIGHT($J495,2)&amp;$N495&amp;"|"&amp;"2"&amp;RIGHT("00000"&amp;490,5))</f>
        <v/>
      </c>
      <c r="L495">
        <f>IF($K495="","",COUNTIFS(LdgSellerA,$F495,LdgKeyA,"&lt;"&amp;$K495)+COUNTIFS(LdgSellerB,$F495,LdgKeyB,"&lt;"&amp;$K495)+1)</f>
        <v/>
      </c>
      <c r="M495">
        <f>IF($L495="","",$F495&amp;"|"&amp;RIGHT("000000"&amp;$L495,6))</f>
        <v/>
      </c>
      <c r="N495">
        <f>IF($F495="","",IF(Sync!$AF495="","0000",IF(AND(ISNUMBER(Sync!$AF495),Sync!$AF495&gt;=0,Sync!$AF495&lt;1),RIGHT("00"&amp;HOUR(Sync!$AF495),2)&amp;RIGHT("00"&amp;MINUTE(Sync!$AF495),2),IFERROR(RIGHT("00"&amp;VALUE(LEFT(Sync!$AF495,FIND(":",Sync!$AF495)-1)),2)&amp;RIGHT("00"&amp;VALUE(MID(Sync!$AF495,FIND(":",Sync!$AF495)+1,2)),2),"0000"))))</f>
        <v/>
      </c>
    </row>
    <row r="496">
      <c r="A496">
        <f>IF(OR(Calc!$E500="",Calc!$E500="نامعتبر",Calc!$G500=""),"",Calc!$G500)</f>
        <v/>
      </c>
      <c r="B496">
        <f>IF($A496="","",LEFT(Calc!$E500,4)&amp;MID(Calc!$E500,6,2)&amp;RIGHT(Calc!$E500,2)&amp;Calc!$Q500&amp;"|"&amp;"1"&amp;RIGHT("00000"&amp;491,5))</f>
        <v/>
      </c>
      <c r="C496">
        <f>IF($B496="","",COUNTIFS(LdgSellerA,$A496,LdgKeyA,"&lt;"&amp;$B496)+COUNTIFS(LdgSellerB,$A496,LdgKeyB,"&lt;"&amp;$B496)+1)</f>
        <v/>
      </c>
      <c r="D496">
        <f>IF($C496="","",$A496&amp;"|"&amp;RIGHT("000000"&amp;$C496,6))</f>
        <v/>
      </c>
      <c r="F496">
        <f>IF(Sync!$AH496="","",IF(LEFT(UPPER(TRIM(Sync!$AH496)),2)="SL",UPPER(TRIM(Sync!$AH496)),""))</f>
        <v/>
      </c>
      <c r="G496">
        <f>IF($F496="","",IF(Sync!$AE496="","",IF(ISNUMBER(Sync!$AE496),IF(AND(Sync!$AE496&gt;=10000101,Sync!$AE496&lt;=99991231),INT(Sync!$AE496/10000),""),IFERROR(VALUE(TRIM(LEFT(Sync!$AE496,FIND("/",Sync!$AE496)-1))),""))))</f>
        <v/>
      </c>
      <c r="H496">
        <f>IF(OR($F496="",$G496=""),"",IF(ISNUMBER(Sync!$AE496),INT(MOD(Sync!$AE496,10000)/100),IFERROR(VALUE(TRIM(LEFT(MID(Sync!$AE496,FIND("/",Sync!$AE496)+1,20),FIND("/",MID(Sync!$AE496,FIND("/",Sync!$AE496)+1,20))-1))),"")))</f>
        <v/>
      </c>
      <c r="I496">
        <f>IF(OR($F496="",$G496=""),"",IF(ISNUMBER(Sync!$AE496),MOD(Sync!$AE496,100),IFERROR(VALUE(TRIM(MID(MID(Sync!$AE496,FIND("/",Sync!$AE496)+1,20),FIND("/",MID(Sync!$AE496,FIND("/",Sync!$AE496)+1,20))+1,20))),"")))</f>
        <v/>
      </c>
      <c r="J496">
        <f>IF($F496="","",IF(OR($G496="",$H496="",$I496="",$G496&lt;1300,$G496&gt;1500,$H496&lt;1,$H496&gt;12,$I496&lt;1,$I496&gt;31),"نامعتبر",RIGHT("0000"&amp;$G496,4)&amp;"/"&amp;RIGHT("00"&amp;$H496,2)&amp;"/"&amp;RIGHT("00"&amp;$I496,2)))</f>
        <v/>
      </c>
      <c r="K496">
        <f>IF(OR($F496="",$J496="",$J496="نامعتبر"),"",LEFT($J496,4)&amp;MID($J496,6,2)&amp;RIGHT($J496,2)&amp;$N496&amp;"|"&amp;"2"&amp;RIGHT("00000"&amp;491,5))</f>
        <v/>
      </c>
      <c r="L496">
        <f>IF($K496="","",COUNTIFS(LdgSellerA,$F496,LdgKeyA,"&lt;"&amp;$K496)+COUNTIFS(LdgSellerB,$F496,LdgKeyB,"&lt;"&amp;$K496)+1)</f>
        <v/>
      </c>
      <c r="M496">
        <f>IF($L496="","",$F496&amp;"|"&amp;RIGHT("000000"&amp;$L496,6))</f>
        <v/>
      </c>
      <c r="N496">
        <f>IF($F496="","",IF(Sync!$AF496="","0000",IF(AND(ISNUMBER(Sync!$AF496),Sync!$AF496&gt;=0,Sync!$AF496&lt;1),RIGHT("00"&amp;HOUR(Sync!$AF496),2)&amp;RIGHT("00"&amp;MINUTE(Sync!$AF496),2),IFERROR(RIGHT("00"&amp;VALUE(LEFT(Sync!$AF496,FIND(":",Sync!$AF496)-1)),2)&amp;RIGHT("00"&amp;VALUE(MID(Sync!$AF496,FIND(":",Sync!$AF496)+1,2)),2),"0000"))))</f>
        <v/>
      </c>
    </row>
    <row r="497">
      <c r="A497">
        <f>IF(OR(Calc!$E501="",Calc!$E501="نامعتبر",Calc!$G501=""),"",Calc!$G501)</f>
        <v/>
      </c>
      <c r="B497">
        <f>IF($A497="","",LEFT(Calc!$E501,4)&amp;MID(Calc!$E501,6,2)&amp;RIGHT(Calc!$E501,2)&amp;Calc!$Q501&amp;"|"&amp;"1"&amp;RIGHT("00000"&amp;492,5))</f>
        <v/>
      </c>
      <c r="C497">
        <f>IF($B497="","",COUNTIFS(LdgSellerA,$A497,LdgKeyA,"&lt;"&amp;$B497)+COUNTIFS(LdgSellerB,$A497,LdgKeyB,"&lt;"&amp;$B497)+1)</f>
        <v/>
      </c>
      <c r="D497">
        <f>IF($C497="","",$A497&amp;"|"&amp;RIGHT("000000"&amp;$C497,6))</f>
        <v/>
      </c>
      <c r="F497">
        <f>IF(Sync!$AH497="","",IF(LEFT(UPPER(TRIM(Sync!$AH497)),2)="SL",UPPER(TRIM(Sync!$AH497)),""))</f>
        <v/>
      </c>
      <c r="G497">
        <f>IF($F497="","",IF(Sync!$AE497="","",IF(ISNUMBER(Sync!$AE497),IF(AND(Sync!$AE497&gt;=10000101,Sync!$AE497&lt;=99991231),INT(Sync!$AE497/10000),""),IFERROR(VALUE(TRIM(LEFT(Sync!$AE497,FIND("/",Sync!$AE497)-1))),""))))</f>
        <v/>
      </c>
      <c r="H497">
        <f>IF(OR($F497="",$G497=""),"",IF(ISNUMBER(Sync!$AE497),INT(MOD(Sync!$AE497,10000)/100),IFERROR(VALUE(TRIM(LEFT(MID(Sync!$AE497,FIND("/",Sync!$AE497)+1,20),FIND("/",MID(Sync!$AE497,FIND("/",Sync!$AE497)+1,20))-1))),"")))</f>
        <v/>
      </c>
      <c r="I497">
        <f>IF(OR($F497="",$G497=""),"",IF(ISNUMBER(Sync!$AE497),MOD(Sync!$AE497,100),IFERROR(VALUE(TRIM(MID(MID(Sync!$AE497,FIND("/",Sync!$AE497)+1,20),FIND("/",MID(Sync!$AE497,FIND("/",Sync!$AE497)+1,20))+1,20))),"")))</f>
        <v/>
      </c>
      <c r="J497">
        <f>IF($F497="","",IF(OR($G497="",$H497="",$I497="",$G497&lt;1300,$G497&gt;1500,$H497&lt;1,$H497&gt;12,$I497&lt;1,$I497&gt;31),"نامعتبر",RIGHT("0000"&amp;$G497,4)&amp;"/"&amp;RIGHT("00"&amp;$H497,2)&amp;"/"&amp;RIGHT("00"&amp;$I497,2)))</f>
        <v/>
      </c>
      <c r="K497">
        <f>IF(OR($F497="",$J497="",$J497="نامعتبر"),"",LEFT($J497,4)&amp;MID($J497,6,2)&amp;RIGHT($J497,2)&amp;$N497&amp;"|"&amp;"2"&amp;RIGHT("00000"&amp;492,5))</f>
        <v/>
      </c>
      <c r="L497">
        <f>IF($K497="","",COUNTIFS(LdgSellerA,$F497,LdgKeyA,"&lt;"&amp;$K497)+COUNTIFS(LdgSellerB,$F497,LdgKeyB,"&lt;"&amp;$K497)+1)</f>
        <v/>
      </c>
      <c r="M497">
        <f>IF($L497="","",$F497&amp;"|"&amp;RIGHT("000000"&amp;$L497,6))</f>
        <v/>
      </c>
      <c r="N497">
        <f>IF($F497="","",IF(Sync!$AF497="","0000",IF(AND(ISNUMBER(Sync!$AF497),Sync!$AF497&gt;=0,Sync!$AF497&lt;1),RIGHT("00"&amp;HOUR(Sync!$AF497),2)&amp;RIGHT("00"&amp;MINUTE(Sync!$AF497),2),IFERROR(RIGHT("00"&amp;VALUE(LEFT(Sync!$AF497,FIND(":",Sync!$AF497)-1)),2)&amp;RIGHT("00"&amp;VALUE(MID(Sync!$AF497,FIND(":",Sync!$AF497)+1,2)),2),"0000"))))</f>
        <v/>
      </c>
    </row>
    <row r="498">
      <c r="A498">
        <f>IF(OR(Calc!$E502="",Calc!$E502="نامعتبر",Calc!$G502=""),"",Calc!$G502)</f>
        <v/>
      </c>
      <c r="B498">
        <f>IF($A498="","",LEFT(Calc!$E502,4)&amp;MID(Calc!$E502,6,2)&amp;RIGHT(Calc!$E502,2)&amp;Calc!$Q502&amp;"|"&amp;"1"&amp;RIGHT("00000"&amp;493,5))</f>
        <v/>
      </c>
      <c r="C498">
        <f>IF($B498="","",COUNTIFS(LdgSellerA,$A498,LdgKeyA,"&lt;"&amp;$B498)+COUNTIFS(LdgSellerB,$A498,LdgKeyB,"&lt;"&amp;$B498)+1)</f>
        <v/>
      </c>
      <c r="D498">
        <f>IF($C498="","",$A498&amp;"|"&amp;RIGHT("000000"&amp;$C498,6))</f>
        <v/>
      </c>
      <c r="F498">
        <f>IF(Sync!$AH498="","",IF(LEFT(UPPER(TRIM(Sync!$AH498)),2)="SL",UPPER(TRIM(Sync!$AH498)),""))</f>
        <v/>
      </c>
      <c r="G498">
        <f>IF($F498="","",IF(Sync!$AE498="","",IF(ISNUMBER(Sync!$AE498),IF(AND(Sync!$AE498&gt;=10000101,Sync!$AE498&lt;=99991231),INT(Sync!$AE498/10000),""),IFERROR(VALUE(TRIM(LEFT(Sync!$AE498,FIND("/",Sync!$AE498)-1))),""))))</f>
        <v/>
      </c>
      <c r="H498">
        <f>IF(OR($F498="",$G498=""),"",IF(ISNUMBER(Sync!$AE498),INT(MOD(Sync!$AE498,10000)/100),IFERROR(VALUE(TRIM(LEFT(MID(Sync!$AE498,FIND("/",Sync!$AE498)+1,20),FIND("/",MID(Sync!$AE498,FIND("/",Sync!$AE498)+1,20))-1))),"")))</f>
        <v/>
      </c>
      <c r="I498">
        <f>IF(OR($F498="",$G498=""),"",IF(ISNUMBER(Sync!$AE498),MOD(Sync!$AE498,100),IFERROR(VALUE(TRIM(MID(MID(Sync!$AE498,FIND("/",Sync!$AE498)+1,20),FIND("/",MID(Sync!$AE498,FIND("/",Sync!$AE498)+1,20))+1,20))),"")))</f>
        <v/>
      </c>
      <c r="J498">
        <f>IF($F498="","",IF(OR($G498="",$H498="",$I498="",$G498&lt;1300,$G498&gt;1500,$H498&lt;1,$H498&gt;12,$I498&lt;1,$I498&gt;31),"نامعتبر",RIGHT("0000"&amp;$G498,4)&amp;"/"&amp;RIGHT("00"&amp;$H498,2)&amp;"/"&amp;RIGHT("00"&amp;$I498,2)))</f>
        <v/>
      </c>
      <c r="K498">
        <f>IF(OR($F498="",$J498="",$J498="نامعتبر"),"",LEFT($J498,4)&amp;MID($J498,6,2)&amp;RIGHT($J498,2)&amp;$N498&amp;"|"&amp;"2"&amp;RIGHT("00000"&amp;493,5))</f>
        <v/>
      </c>
      <c r="L498">
        <f>IF($K498="","",COUNTIFS(LdgSellerA,$F498,LdgKeyA,"&lt;"&amp;$K498)+COUNTIFS(LdgSellerB,$F498,LdgKeyB,"&lt;"&amp;$K498)+1)</f>
        <v/>
      </c>
      <c r="M498">
        <f>IF($L498="","",$F498&amp;"|"&amp;RIGHT("000000"&amp;$L498,6))</f>
        <v/>
      </c>
      <c r="N498">
        <f>IF($F498="","",IF(Sync!$AF498="","0000",IF(AND(ISNUMBER(Sync!$AF498),Sync!$AF498&gt;=0,Sync!$AF498&lt;1),RIGHT("00"&amp;HOUR(Sync!$AF498),2)&amp;RIGHT("00"&amp;MINUTE(Sync!$AF498),2),IFERROR(RIGHT("00"&amp;VALUE(LEFT(Sync!$AF498,FIND(":",Sync!$AF498)-1)),2)&amp;RIGHT("00"&amp;VALUE(MID(Sync!$AF498,FIND(":",Sync!$AF498)+1,2)),2),"0000"))))</f>
        <v/>
      </c>
    </row>
    <row r="499">
      <c r="A499">
        <f>IF(OR(Calc!$E503="",Calc!$E503="نامعتبر",Calc!$G503=""),"",Calc!$G503)</f>
        <v/>
      </c>
      <c r="B499">
        <f>IF($A499="","",LEFT(Calc!$E503,4)&amp;MID(Calc!$E503,6,2)&amp;RIGHT(Calc!$E503,2)&amp;Calc!$Q503&amp;"|"&amp;"1"&amp;RIGHT("00000"&amp;494,5))</f>
        <v/>
      </c>
      <c r="C499">
        <f>IF($B499="","",COUNTIFS(LdgSellerA,$A499,LdgKeyA,"&lt;"&amp;$B499)+COUNTIFS(LdgSellerB,$A499,LdgKeyB,"&lt;"&amp;$B499)+1)</f>
        <v/>
      </c>
      <c r="D499">
        <f>IF($C499="","",$A499&amp;"|"&amp;RIGHT("000000"&amp;$C499,6))</f>
        <v/>
      </c>
      <c r="F499">
        <f>IF(Sync!$AH499="","",IF(LEFT(UPPER(TRIM(Sync!$AH499)),2)="SL",UPPER(TRIM(Sync!$AH499)),""))</f>
        <v/>
      </c>
      <c r="G499">
        <f>IF($F499="","",IF(Sync!$AE499="","",IF(ISNUMBER(Sync!$AE499),IF(AND(Sync!$AE499&gt;=10000101,Sync!$AE499&lt;=99991231),INT(Sync!$AE499/10000),""),IFERROR(VALUE(TRIM(LEFT(Sync!$AE499,FIND("/",Sync!$AE499)-1))),""))))</f>
        <v/>
      </c>
      <c r="H499">
        <f>IF(OR($F499="",$G499=""),"",IF(ISNUMBER(Sync!$AE499),INT(MOD(Sync!$AE499,10000)/100),IFERROR(VALUE(TRIM(LEFT(MID(Sync!$AE499,FIND("/",Sync!$AE499)+1,20),FIND("/",MID(Sync!$AE499,FIND("/",Sync!$AE499)+1,20))-1))),"")))</f>
        <v/>
      </c>
      <c r="I499">
        <f>IF(OR($F499="",$G499=""),"",IF(ISNUMBER(Sync!$AE499),MOD(Sync!$AE499,100),IFERROR(VALUE(TRIM(MID(MID(Sync!$AE499,FIND("/",Sync!$AE499)+1,20),FIND("/",MID(Sync!$AE499,FIND("/",Sync!$AE499)+1,20))+1,20))),"")))</f>
        <v/>
      </c>
      <c r="J499">
        <f>IF($F499="","",IF(OR($G499="",$H499="",$I499="",$G499&lt;1300,$G499&gt;1500,$H499&lt;1,$H499&gt;12,$I499&lt;1,$I499&gt;31),"نامعتبر",RIGHT("0000"&amp;$G499,4)&amp;"/"&amp;RIGHT("00"&amp;$H499,2)&amp;"/"&amp;RIGHT("00"&amp;$I499,2)))</f>
        <v/>
      </c>
      <c r="K499">
        <f>IF(OR($F499="",$J499="",$J499="نامعتبر"),"",LEFT($J499,4)&amp;MID($J499,6,2)&amp;RIGHT($J499,2)&amp;$N499&amp;"|"&amp;"2"&amp;RIGHT("00000"&amp;494,5))</f>
        <v/>
      </c>
      <c r="L499">
        <f>IF($K499="","",COUNTIFS(LdgSellerA,$F499,LdgKeyA,"&lt;"&amp;$K499)+COUNTIFS(LdgSellerB,$F499,LdgKeyB,"&lt;"&amp;$K499)+1)</f>
        <v/>
      </c>
      <c r="M499">
        <f>IF($L499="","",$F499&amp;"|"&amp;RIGHT("000000"&amp;$L499,6))</f>
        <v/>
      </c>
      <c r="N499">
        <f>IF($F499="","",IF(Sync!$AF499="","0000",IF(AND(ISNUMBER(Sync!$AF499),Sync!$AF499&gt;=0,Sync!$AF499&lt;1),RIGHT("00"&amp;HOUR(Sync!$AF499),2)&amp;RIGHT("00"&amp;MINUTE(Sync!$AF499),2),IFERROR(RIGHT("00"&amp;VALUE(LEFT(Sync!$AF499,FIND(":",Sync!$AF499)-1)),2)&amp;RIGHT("00"&amp;VALUE(MID(Sync!$AF499,FIND(":",Sync!$AF499)+1,2)),2),"0000"))))</f>
        <v/>
      </c>
    </row>
    <row r="500">
      <c r="A500">
        <f>IF(OR(Calc!$E504="",Calc!$E504="نامعتبر",Calc!$G504=""),"",Calc!$G504)</f>
        <v/>
      </c>
      <c r="B500">
        <f>IF($A500="","",LEFT(Calc!$E504,4)&amp;MID(Calc!$E504,6,2)&amp;RIGHT(Calc!$E504,2)&amp;Calc!$Q504&amp;"|"&amp;"1"&amp;RIGHT("00000"&amp;495,5))</f>
        <v/>
      </c>
      <c r="C500">
        <f>IF($B500="","",COUNTIFS(LdgSellerA,$A500,LdgKeyA,"&lt;"&amp;$B500)+COUNTIFS(LdgSellerB,$A500,LdgKeyB,"&lt;"&amp;$B500)+1)</f>
        <v/>
      </c>
      <c r="D500">
        <f>IF($C500="","",$A500&amp;"|"&amp;RIGHT("000000"&amp;$C500,6))</f>
        <v/>
      </c>
      <c r="F500">
        <f>IF(Sync!$AH500="","",IF(LEFT(UPPER(TRIM(Sync!$AH500)),2)="SL",UPPER(TRIM(Sync!$AH500)),""))</f>
        <v/>
      </c>
      <c r="G500">
        <f>IF($F500="","",IF(Sync!$AE500="","",IF(ISNUMBER(Sync!$AE500),IF(AND(Sync!$AE500&gt;=10000101,Sync!$AE500&lt;=99991231),INT(Sync!$AE500/10000),""),IFERROR(VALUE(TRIM(LEFT(Sync!$AE500,FIND("/",Sync!$AE500)-1))),""))))</f>
        <v/>
      </c>
      <c r="H500">
        <f>IF(OR($F500="",$G500=""),"",IF(ISNUMBER(Sync!$AE500),INT(MOD(Sync!$AE500,10000)/100),IFERROR(VALUE(TRIM(LEFT(MID(Sync!$AE500,FIND("/",Sync!$AE500)+1,20),FIND("/",MID(Sync!$AE500,FIND("/",Sync!$AE500)+1,20))-1))),"")))</f>
        <v/>
      </c>
      <c r="I500">
        <f>IF(OR($F500="",$G500=""),"",IF(ISNUMBER(Sync!$AE500),MOD(Sync!$AE500,100),IFERROR(VALUE(TRIM(MID(MID(Sync!$AE500,FIND("/",Sync!$AE500)+1,20),FIND("/",MID(Sync!$AE500,FIND("/",Sync!$AE500)+1,20))+1,20))),"")))</f>
        <v/>
      </c>
      <c r="J500">
        <f>IF($F500="","",IF(OR($G500="",$H500="",$I500="",$G500&lt;1300,$G500&gt;1500,$H500&lt;1,$H500&gt;12,$I500&lt;1,$I500&gt;31),"نامعتبر",RIGHT("0000"&amp;$G500,4)&amp;"/"&amp;RIGHT("00"&amp;$H500,2)&amp;"/"&amp;RIGHT("00"&amp;$I500,2)))</f>
        <v/>
      </c>
      <c r="K500">
        <f>IF(OR($F500="",$J500="",$J500="نامعتبر"),"",LEFT($J500,4)&amp;MID($J500,6,2)&amp;RIGHT($J500,2)&amp;$N500&amp;"|"&amp;"2"&amp;RIGHT("00000"&amp;495,5))</f>
        <v/>
      </c>
      <c r="L500">
        <f>IF($K500="","",COUNTIFS(LdgSellerA,$F500,LdgKeyA,"&lt;"&amp;$K500)+COUNTIFS(LdgSellerB,$F500,LdgKeyB,"&lt;"&amp;$K500)+1)</f>
        <v/>
      </c>
      <c r="M500">
        <f>IF($L500="","",$F500&amp;"|"&amp;RIGHT("000000"&amp;$L500,6))</f>
        <v/>
      </c>
      <c r="N500">
        <f>IF($F500="","",IF(Sync!$AF500="","0000",IF(AND(ISNUMBER(Sync!$AF500),Sync!$AF500&gt;=0,Sync!$AF500&lt;1),RIGHT("00"&amp;HOUR(Sync!$AF500),2)&amp;RIGHT("00"&amp;MINUTE(Sync!$AF500),2),IFERROR(RIGHT("00"&amp;VALUE(LEFT(Sync!$AF500,FIND(":",Sync!$AF500)-1)),2)&amp;RIGHT("00"&amp;VALUE(MID(Sync!$AF500,FIND(":",Sync!$AF500)+1,2)),2),"0000"))))</f>
        <v/>
      </c>
    </row>
    <row r="501">
      <c r="A501">
        <f>IF(OR(Calc!$E505="",Calc!$E505="نامعتبر",Calc!$G505=""),"",Calc!$G505)</f>
        <v/>
      </c>
      <c r="B501">
        <f>IF($A501="","",LEFT(Calc!$E505,4)&amp;MID(Calc!$E505,6,2)&amp;RIGHT(Calc!$E505,2)&amp;Calc!$Q505&amp;"|"&amp;"1"&amp;RIGHT("00000"&amp;496,5))</f>
        <v/>
      </c>
      <c r="C501">
        <f>IF($B501="","",COUNTIFS(LdgSellerA,$A501,LdgKeyA,"&lt;"&amp;$B501)+COUNTIFS(LdgSellerB,$A501,LdgKeyB,"&lt;"&amp;$B501)+1)</f>
        <v/>
      </c>
      <c r="D501">
        <f>IF($C501="","",$A501&amp;"|"&amp;RIGHT("000000"&amp;$C501,6))</f>
        <v/>
      </c>
      <c r="F501">
        <f>IF(Sync!$AH501="","",IF(LEFT(UPPER(TRIM(Sync!$AH501)),2)="SL",UPPER(TRIM(Sync!$AH501)),""))</f>
        <v/>
      </c>
      <c r="G501">
        <f>IF($F501="","",IF(Sync!$AE501="","",IF(ISNUMBER(Sync!$AE501),IF(AND(Sync!$AE501&gt;=10000101,Sync!$AE501&lt;=99991231),INT(Sync!$AE501/10000),""),IFERROR(VALUE(TRIM(LEFT(Sync!$AE501,FIND("/",Sync!$AE501)-1))),""))))</f>
        <v/>
      </c>
      <c r="H501">
        <f>IF(OR($F501="",$G501=""),"",IF(ISNUMBER(Sync!$AE501),INT(MOD(Sync!$AE501,10000)/100),IFERROR(VALUE(TRIM(LEFT(MID(Sync!$AE501,FIND("/",Sync!$AE501)+1,20),FIND("/",MID(Sync!$AE501,FIND("/",Sync!$AE501)+1,20))-1))),"")))</f>
        <v/>
      </c>
      <c r="I501">
        <f>IF(OR($F501="",$G501=""),"",IF(ISNUMBER(Sync!$AE501),MOD(Sync!$AE501,100),IFERROR(VALUE(TRIM(MID(MID(Sync!$AE501,FIND("/",Sync!$AE501)+1,20),FIND("/",MID(Sync!$AE501,FIND("/",Sync!$AE501)+1,20))+1,20))),"")))</f>
        <v/>
      </c>
      <c r="J501">
        <f>IF($F501="","",IF(OR($G501="",$H501="",$I501="",$G501&lt;1300,$G501&gt;1500,$H501&lt;1,$H501&gt;12,$I501&lt;1,$I501&gt;31),"نامعتبر",RIGHT("0000"&amp;$G501,4)&amp;"/"&amp;RIGHT("00"&amp;$H501,2)&amp;"/"&amp;RIGHT("00"&amp;$I501,2)))</f>
        <v/>
      </c>
      <c r="K501">
        <f>IF(OR($F501="",$J501="",$J501="نامعتبر"),"",LEFT($J501,4)&amp;MID($J501,6,2)&amp;RIGHT($J501,2)&amp;$N501&amp;"|"&amp;"2"&amp;RIGHT("00000"&amp;496,5))</f>
        <v/>
      </c>
      <c r="L501">
        <f>IF($K501="","",COUNTIFS(LdgSellerA,$F501,LdgKeyA,"&lt;"&amp;$K501)+COUNTIFS(LdgSellerB,$F501,LdgKeyB,"&lt;"&amp;$K501)+1)</f>
        <v/>
      </c>
      <c r="M501">
        <f>IF($L501="","",$F501&amp;"|"&amp;RIGHT("000000"&amp;$L501,6))</f>
        <v/>
      </c>
      <c r="N501">
        <f>IF($F501="","",IF(Sync!$AF501="","0000",IF(AND(ISNUMBER(Sync!$AF501),Sync!$AF501&gt;=0,Sync!$AF501&lt;1),RIGHT("00"&amp;HOUR(Sync!$AF501),2)&amp;RIGHT("00"&amp;MINUTE(Sync!$AF501),2),IFERROR(RIGHT("00"&amp;VALUE(LEFT(Sync!$AF501,FIND(":",Sync!$AF501)-1)),2)&amp;RIGHT("00"&amp;VALUE(MID(Sync!$AF501,FIND(":",Sync!$AF501)+1,2)),2),"0000"))))</f>
        <v/>
      </c>
    </row>
    <row r="502">
      <c r="A502">
        <f>IF(OR(Calc!$E506="",Calc!$E506="نامعتبر",Calc!$G506=""),"",Calc!$G506)</f>
        <v/>
      </c>
      <c r="B502">
        <f>IF($A502="","",LEFT(Calc!$E506,4)&amp;MID(Calc!$E506,6,2)&amp;RIGHT(Calc!$E506,2)&amp;Calc!$Q506&amp;"|"&amp;"1"&amp;RIGHT("00000"&amp;497,5))</f>
        <v/>
      </c>
      <c r="C502">
        <f>IF($B502="","",COUNTIFS(LdgSellerA,$A502,LdgKeyA,"&lt;"&amp;$B502)+COUNTIFS(LdgSellerB,$A502,LdgKeyB,"&lt;"&amp;$B502)+1)</f>
        <v/>
      </c>
      <c r="D502">
        <f>IF($C502="","",$A502&amp;"|"&amp;RIGHT("000000"&amp;$C502,6))</f>
        <v/>
      </c>
      <c r="F502">
        <f>IF(Sync!$AH502="","",IF(LEFT(UPPER(TRIM(Sync!$AH502)),2)="SL",UPPER(TRIM(Sync!$AH502)),""))</f>
        <v/>
      </c>
      <c r="G502">
        <f>IF($F502="","",IF(Sync!$AE502="","",IF(ISNUMBER(Sync!$AE502),IF(AND(Sync!$AE502&gt;=10000101,Sync!$AE502&lt;=99991231),INT(Sync!$AE502/10000),""),IFERROR(VALUE(TRIM(LEFT(Sync!$AE502,FIND("/",Sync!$AE502)-1))),""))))</f>
        <v/>
      </c>
      <c r="H502">
        <f>IF(OR($F502="",$G502=""),"",IF(ISNUMBER(Sync!$AE502),INT(MOD(Sync!$AE502,10000)/100),IFERROR(VALUE(TRIM(LEFT(MID(Sync!$AE502,FIND("/",Sync!$AE502)+1,20),FIND("/",MID(Sync!$AE502,FIND("/",Sync!$AE502)+1,20))-1))),"")))</f>
        <v/>
      </c>
      <c r="I502">
        <f>IF(OR($F502="",$G502=""),"",IF(ISNUMBER(Sync!$AE502),MOD(Sync!$AE502,100),IFERROR(VALUE(TRIM(MID(MID(Sync!$AE502,FIND("/",Sync!$AE502)+1,20),FIND("/",MID(Sync!$AE502,FIND("/",Sync!$AE502)+1,20))+1,20))),"")))</f>
        <v/>
      </c>
      <c r="J502">
        <f>IF($F502="","",IF(OR($G502="",$H502="",$I502="",$G502&lt;1300,$G502&gt;1500,$H502&lt;1,$H502&gt;12,$I502&lt;1,$I502&gt;31),"نامعتبر",RIGHT("0000"&amp;$G502,4)&amp;"/"&amp;RIGHT("00"&amp;$H502,2)&amp;"/"&amp;RIGHT("00"&amp;$I502,2)))</f>
        <v/>
      </c>
      <c r="K502">
        <f>IF(OR($F502="",$J502="",$J502="نامعتبر"),"",LEFT($J502,4)&amp;MID($J502,6,2)&amp;RIGHT($J502,2)&amp;$N502&amp;"|"&amp;"2"&amp;RIGHT("00000"&amp;497,5))</f>
        <v/>
      </c>
      <c r="L502">
        <f>IF($K502="","",COUNTIFS(LdgSellerA,$F502,LdgKeyA,"&lt;"&amp;$K502)+COUNTIFS(LdgSellerB,$F502,LdgKeyB,"&lt;"&amp;$K502)+1)</f>
        <v/>
      </c>
      <c r="M502">
        <f>IF($L502="","",$F502&amp;"|"&amp;RIGHT("000000"&amp;$L502,6))</f>
        <v/>
      </c>
      <c r="N502">
        <f>IF($F502="","",IF(Sync!$AF502="","0000",IF(AND(ISNUMBER(Sync!$AF502),Sync!$AF502&gt;=0,Sync!$AF502&lt;1),RIGHT("00"&amp;HOUR(Sync!$AF502),2)&amp;RIGHT("00"&amp;MINUTE(Sync!$AF502),2),IFERROR(RIGHT("00"&amp;VALUE(LEFT(Sync!$AF502,FIND(":",Sync!$AF502)-1)),2)&amp;RIGHT("00"&amp;VALUE(MID(Sync!$AF502,FIND(":",Sync!$AF502)+1,2)),2),"0000"))))</f>
        <v/>
      </c>
    </row>
    <row r="503">
      <c r="A503">
        <f>IF(OR(Calc!$E507="",Calc!$E507="نامعتبر",Calc!$G507=""),"",Calc!$G507)</f>
        <v/>
      </c>
      <c r="B503">
        <f>IF($A503="","",LEFT(Calc!$E507,4)&amp;MID(Calc!$E507,6,2)&amp;RIGHT(Calc!$E507,2)&amp;Calc!$Q507&amp;"|"&amp;"1"&amp;RIGHT("00000"&amp;498,5))</f>
        <v/>
      </c>
      <c r="C503">
        <f>IF($B503="","",COUNTIFS(LdgSellerA,$A503,LdgKeyA,"&lt;"&amp;$B503)+COUNTIFS(LdgSellerB,$A503,LdgKeyB,"&lt;"&amp;$B503)+1)</f>
        <v/>
      </c>
      <c r="D503">
        <f>IF($C503="","",$A503&amp;"|"&amp;RIGHT("000000"&amp;$C503,6))</f>
        <v/>
      </c>
      <c r="F503">
        <f>IF(Sync!$AH503="","",IF(LEFT(UPPER(TRIM(Sync!$AH503)),2)="SL",UPPER(TRIM(Sync!$AH503)),""))</f>
        <v/>
      </c>
      <c r="G503">
        <f>IF($F503="","",IF(Sync!$AE503="","",IF(ISNUMBER(Sync!$AE503),IF(AND(Sync!$AE503&gt;=10000101,Sync!$AE503&lt;=99991231),INT(Sync!$AE503/10000),""),IFERROR(VALUE(TRIM(LEFT(Sync!$AE503,FIND("/",Sync!$AE503)-1))),""))))</f>
        <v/>
      </c>
      <c r="H503">
        <f>IF(OR($F503="",$G503=""),"",IF(ISNUMBER(Sync!$AE503),INT(MOD(Sync!$AE503,10000)/100),IFERROR(VALUE(TRIM(LEFT(MID(Sync!$AE503,FIND("/",Sync!$AE503)+1,20),FIND("/",MID(Sync!$AE503,FIND("/",Sync!$AE503)+1,20))-1))),"")))</f>
        <v/>
      </c>
      <c r="I503">
        <f>IF(OR($F503="",$G503=""),"",IF(ISNUMBER(Sync!$AE503),MOD(Sync!$AE503,100),IFERROR(VALUE(TRIM(MID(MID(Sync!$AE503,FIND("/",Sync!$AE503)+1,20),FIND("/",MID(Sync!$AE503,FIND("/",Sync!$AE503)+1,20))+1,20))),"")))</f>
        <v/>
      </c>
      <c r="J503">
        <f>IF($F503="","",IF(OR($G503="",$H503="",$I503="",$G503&lt;1300,$G503&gt;1500,$H503&lt;1,$H503&gt;12,$I503&lt;1,$I503&gt;31),"نامعتبر",RIGHT("0000"&amp;$G503,4)&amp;"/"&amp;RIGHT("00"&amp;$H503,2)&amp;"/"&amp;RIGHT("00"&amp;$I503,2)))</f>
        <v/>
      </c>
      <c r="K503">
        <f>IF(OR($F503="",$J503="",$J503="نامعتبر"),"",LEFT($J503,4)&amp;MID($J503,6,2)&amp;RIGHT($J503,2)&amp;$N503&amp;"|"&amp;"2"&amp;RIGHT("00000"&amp;498,5))</f>
        <v/>
      </c>
      <c r="L503">
        <f>IF($K503="","",COUNTIFS(LdgSellerA,$F503,LdgKeyA,"&lt;"&amp;$K503)+COUNTIFS(LdgSellerB,$F503,LdgKeyB,"&lt;"&amp;$K503)+1)</f>
        <v/>
      </c>
      <c r="M503">
        <f>IF($L503="","",$F503&amp;"|"&amp;RIGHT("000000"&amp;$L503,6))</f>
        <v/>
      </c>
      <c r="N503">
        <f>IF($F503="","",IF(Sync!$AF503="","0000",IF(AND(ISNUMBER(Sync!$AF503),Sync!$AF503&gt;=0,Sync!$AF503&lt;1),RIGHT("00"&amp;HOUR(Sync!$AF503),2)&amp;RIGHT("00"&amp;MINUTE(Sync!$AF503),2),IFERROR(RIGHT("00"&amp;VALUE(LEFT(Sync!$AF503,FIND(":",Sync!$AF503)-1)),2)&amp;RIGHT("00"&amp;VALUE(MID(Sync!$AF503,FIND(":",Sync!$AF503)+1,2)),2),"0000"))))</f>
        <v/>
      </c>
    </row>
    <row r="504">
      <c r="A504">
        <f>IF(OR(Calc!$E508="",Calc!$E508="نامعتبر",Calc!$G508=""),"",Calc!$G508)</f>
        <v/>
      </c>
      <c r="B504">
        <f>IF($A504="","",LEFT(Calc!$E508,4)&amp;MID(Calc!$E508,6,2)&amp;RIGHT(Calc!$E508,2)&amp;Calc!$Q508&amp;"|"&amp;"1"&amp;RIGHT("00000"&amp;499,5))</f>
        <v/>
      </c>
      <c r="C504">
        <f>IF($B504="","",COUNTIFS(LdgSellerA,$A504,LdgKeyA,"&lt;"&amp;$B504)+COUNTIFS(LdgSellerB,$A504,LdgKeyB,"&lt;"&amp;$B504)+1)</f>
        <v/>
      </c>
      <c r="D504">
        <f>IF($C504="","",$A504&amp;"|"&amp;RIGHT("000000"&amp;$C504,6))</f>
        <v/>
      </c>
      <c r="F504">
        <f>IF(Sync!$AH504="","",IF(LEFT(UPPER(TRIM(Sync!$AH504)),2)="SL",UPPER(TRIM(Sync!$AH504)),""))</f>
        <v/>
      </c>
      <c r="G504">
        <f>IF($F504="","",IF(Sync!$AE504="","",IF(ISNUMBER(Sync!$AE504),IF(AND(Sync!$AE504&gt;=10000101,Sync!$AE504&lt;=99991231),INT(Sync!$AE504/10000),""),IFERROR(VALUE(TRIM(LEFT(Sync!$AE504,FIND("/",Sync!$AE504)-1))),""))))</f>
        <v/>
      </c>
      <c r="H504">
        <f>IF(OR($F504="",$G504=""),"",IF(ISNUMBER(Sync!$AE504),INT(MOD(Sync!$AE504,10000)/100),IFERROR(VALUE(TRIM(LEFT(MID(Sync!$AE504,FIND("/",Sync!$AE504)+1,20),FIND("/",MID(Sync!$AE504,FIND("/",Sync!$AE504)+1,20))-1))),"")))</f>
        <v/>
      </c>
      <c r="I504">
        <f>IF(OR($F504="",$G504=""),"",IF(ISNUMBER(Sync!$AE504),MOD(Sync!$AE504,100),IFERROR(VALUE(TRIM(MID(MID(Sync!$AE504,FIND("/",Sync!$AE504)+1,20),FIND("/",MID(Sync!$AE504,FIND("/",Sync!$AE504)+1,20))+1,20))),"")))</f>
        <v/>
      </c>
      <c r="J504">
        <f>IF($F504="","",IF(OR($G504="",$H504="",$I504="",$G504&lt;1300,$G504&gt;1500,$H504&lt;1,$H504&gt;12,$I504&lt;1,$I504&gt;31),"نامعتبر",RIGHT("0000"&amp;$G504,4)&amp;"/"&amp;RIGHT("00"&amp;$H504,2)&amp;"/"&amp;RIGHT("00"&amp;$I504,2)))</f>
        <v/>
      </c>
      <c r="K504">
        <f>IF(OR($F504="",$J504="",$J504="نامعتبر"),"",LEFT($J504,4)&amp;MID($J504,6,2)&amp;RIGHT($J504,2)&amp;$N504&amp;"|"&amp;"2"&amp;RIGHT("00000"&amp;499,5))</f>
        <v/>
      </c>
      <c r="L504">
        <f>IF($K504="","",COUNTIFS(LdgSellerA,$F504,LdgKeyA,"&lt;"&amp;$K504)+COUNTIFS(LdgSellerB,$F504,LdgKeyB,"&lt;"&amp;$K504)+1)</f>
        <v/>
      </c>
      <c r="M504">
        <f>IF($L504="","",$F504&amp;"|"&amp;RIGHT("000000"&amp;$L504,6))</f>
        <v/>
      </c>
      <c r="N504">
        <f>IF($F504="","",IF(Sync!$AF504="","0000",IF(AND(ISNUMBER(Sync!$AF504),Sync!$AF504&gt;=0,Sync!$AF504&lt;1),RIGHT("00"&amp;HOUR(Sync!$AF504),2)&amp;RIGHT("00"&amp;MINUTE(Sync!$AF504),2),IFERROR(RIGHT("00"&amp;VALUE(LEFT(Sync!$AF504,FIND(":",Sync!$AF504)-1)),2)&amp;RIGHT("00"&amp;VALUE(MID(Sync!$AF504,FIND(":",Sync!$AF504)+1,2)),2),"0000"))))</f>
        <v/>
      </c>
    </row>
    <row r="505">
      <c r="A505">
        <f>IF(OR(Calc!$E509="",Calc!$E509="نامعتبر",Calc!$G509=""),"",Calc!$G509)</f>
        <v/>
      </c>
      <c r="B505">
        <f>IF($A505="","",LEFT(Calc!$E509,4)&amp;MID(Calc!$E509,6,2)&amp;RIGHT(Calc!$E509,2)&amp;Calc!$Q509&amp;"|"&amp;"1"&amp;RIGHT("00000"&amp;500,5))</f>
        <v/>
      </c>
      <c r="C505">
        <f>IF($B505="","",COUNTIFS(LdgSellerA,$A505,LdgKeyA,"&lt;"&amp;$B505)+COUNTIFS(LdgSellerB,$A505,LdgKeyB,"&lt;"&amp;$B505)+1)</f>
        <v/>
      </c>
      <c r="D505">
        <f>IF($C505="","",$A505&amp;"|"&amp;RIGHT("000000"&amp;$C505,6))</f>
        <v/>
      </c>
      <c r="F505">
        <f>IF(Sync!$AH505="","",IF(LEFT(UPPER(TRIM(Sync!$AH505)),2)="SL",UPPER(TRIM(Sync!$AH505)),""))</f>
        <v/>
      </c>
      <c r="G505">
        <f>IF($F505="","",IF(Sync!$AE505="","",IF(ISNUMBER(Sync!$AE505),IF(AND(Sync!$AE505&gt;=10000101,Sync!$AE505&lt;=99991231),INT(Sync!$AE505/10000),""),IFERROR(VALUE(TRIM(LEFT(Sync!$AE505,FIND("/",Sync!$AE505)-1))),""))))</f>
        <v/>
      </c>
      <c r="H505">
        <f>IF(OR($F505="",$G505=""),"",IF(ISNUMBER(Sync!$AE505),INT(MOD(Sync!$AE505,10000)/100),IFERROR(VALUE(TRIM(LEFT(MID(Sync!$AE505,FIND("/",Sync!$AE505)+1,20),FIND("/",MID(Sync!$AE505,FIND("/",Sync!$AE505)+1,20))-1))),"")))</f>
        <v/>
      </c>
      <c r="I505">
        <f>IF(OR($F505="",$G505=""),"",IF(ISNUMBER(Sync!$AE505),MOD(Sync!$AE505,100),IFERROR(VALUE(TRIM(MID(MID(Sync!$AE505,FIND("/",Sync!$AE505)+1,20),FIND("/",MID(Sync!$AE505,FIND("/",Sync!$AE505)+1,20))+1,20))),"")))</f>
        <v/>
      </c>
      <c r="J505">
        <f>IF($F505="","",IF(OR($G505="",$H505="",$I505="",$G505&lt;1300,$G505&gt;1500,$H505&lt;1,$H505&gt;12,$I505&lt;1,$I505&gt;31),"نامعتبر",RIGHT("0000"&amp;$G505,4)&amp;"/"&amp;RIGHT("00"&amp;$H505,2)&amp;"/"&amp;RIGHT("00"&amp;$I505,2)))</f>
        <v/>
      </c>
      <c r="K505">
        <f>IF(OR($F505="",$J505="",$J505="نامعتبر"),"",LEFT($J505,4)&amp;MID($J505,6,2)&amp;RIGHT($J505,2)&amp;$N505&amp;"|"&amp;"2"&amp;RIGHT("00000"&amp;500,5))</f>
        <v/>
      </c>
      <c r="L505">
        <f>IF($K505="","",COUNTIFS(LdgSellerA,$F505,LdgKeyA,"&lt;"&amp;$K505)+COUNTIFS(LdgSellerB,$F505,LdgKeyB,"&lt;"&amp;$K505)+1)</f>
        <v/>
      </c>
      <c r="M505">
        <f>IF($L505="","",$F505&amp;"|"&amp;RIGHT("000000"&amp;$L505,6))</f>
        <v/>
      </c>
      <c r="N505">
        <f>IF($F505="","",IF(Sync!$AF505="","0000",IF(AND(ISNUMBER(Sync!$AF505),Sync!$AF505&gt;=0,Sync!$AF505&lt;1),RIGHT("00"&amp;HOUR(Sync!$AF505),2)&amp;RIGHT("00"&amp;MINUTE(Sync!$AF505),2),IFERROR(RIGHT("00"&amp;VALUE(LEFT(Sync!$AF505,FIND(":",Sync!$AF505)-1)),2)&amp;RIGHT("00"&amp;VALUE(MID(Sync!$AF505,FIND(":",Sync!$AF505)+1,2)),2),"0000"))))</f>
        <v/>
      </c>
    </row>
    <row r="506">
      <c r="A506">
        <f>IF(OR(Calc!$E510="",Calc!$E510="نامعتبر",Calc!$G510=""),"",Calc!$G510)</f>
        <v/>
      </c>
      <c r="B506">
        <f>IF($A506="","",LEFT(Calc!$E510,4)&amp;MID(Calc!$E510,6,2)&amp;RIGHT(Calc!$E510,2)&amp;Calc!$Q510&amp;"|"&amp;"1"&amp;RIGHT("00000"&amp;501,5))</f>
        <v/>
      </c>
      <c r="C506">
        <f>IF($B506="","",COUNTIFS(LdgSellerA,$A506,LdgKeyA,"&lt;"&amp;$B506)+COUNTIFS(LdgSellerB,$A506,LdgKeyB,"&lt;"&amp;$B506)+1)</f>
        <v/>
      </c>
      <c r="D506">
        <f>IF($C506="","",$A506&amp;"|"&amp;RIGHT("000000"&amp;$C506,6))</f>
        <v/>
      </c>
      <c r="F506">
        <f>IF(Sync!$AH506="","",IF(LEFT(UPPER(TRIM(Sync!$AH506)),2)="SL",UPPER(TRIM(Sync!$AH506)),""))</f>
        <v/>
      </c>
      <c r="G506">
        <f>IF($F506="","",IF(Sync!$AE506="","",IF(ISNUMBER(Sync!$AE506),IF(AND(Sync!$AE506&gt;=10000101,Sync!$AE506&lt;=99991231),INT(Sync!$AE506/10000),""),IFERROR(VALUE(TRIM(LEFT(Sync!$AE506,FIND("/",Sync!$AE506)-1))),""))))</f>
        <v/>
      </c>
      <c r="H506">
        <f>IF(OR($F506="",$G506=""),"",IF(ISNUMBER(Sync!$AE506),INT(MOD(Sync!$AE506,10000)/100),IFERROR(VALUE(TRIM(LEFT(MID(Sync!$AE506,FIND("/",Sync!$AE506)+1,20),FIND("/",MID(Sync!$AE506,FIND("/",Sync!$AE506)+1,20))-1))),"")))</f>
        <v/>
      </c>
      <c r="I506">
        <f>IF(OR($F506="",$G506=""),"",IF(ISNUMBER(Sync!$AE506),MOD(Sync!$AE506,100),IFERROR(VALUE(TRIM(MID(MID(Sync!$AE506,FIND("/",Sync!$AE506)+1,20),FIND("/",MID(Sync!$AE506,FIND("/",Sync!$AE506)+1,20))+1,20))),"")))</f>
        <v/>
      </c>
      <c r="J506">
        <f>IF($F506="","",IF(OR($G506="",$H506="",$I506="",$G506&lt;1300,$G506&gt;1500,$H506&lt;1,$H506&gt;12,$I506&lt;1,$I506&gt;31),"نامعتبر",RIGHT("0000"&amp;$G506,4)&amp;"/"&amp;RIGHT("00"&amp;$H506,2)&amp;"/"&amp;RIGHT("00"&amp;$I506,2)))</f>
        <v/>
      </c>
      <c r="K506">
        <f>IF(OR($F506="",$J506="",$J506="نامعتبر"),"",LEFT($J506,4)&amp;MID($J506,6,2)&amp;RIGHT($J506,2)&amp;$N506&amp;"|"&amp;"2"&amp;RIGHT("00000"&amp;501,5))</f>
        <v/>
      </c>
      <c r="L506">
        <f>IF($K506="","",COUNTIFS(LdgSellerA,$F506,LdgKeyA,"&lt;"&amp;$K506)+COUNTIFS(LdgSellerB,$F506,LdgKeyB,"&lt;"&amp;$K506)+1)</f>
        <v/>
      </c>
      <c r="M506">
        <f>IF($L506="","",$F506&amp;"|"&amp;RIGHT("000000"&amp;$L506,6))</f>
        <v/>
      </c>
      <c r="N506">
        <f>IF($F506="","",IF(Sync!$AF506="","0000",IF(AND(ISNUMBER(Sync!$AF506),Sync!$AF506&gt;=0,Sync!$AF506&lt;1),RIGHT("00"&amp;HOUR(Sync!$AF506),2)&amp;RIGHT("00"&amp;MINUTE(Sync!$AF506),2),IFERROR(RIGHT("00"&amp;VALUE(LEFT(Sync!$AF506,FIND(":",Sync!$AF506)-1)),2)&amp;RIGHT("00"&amp;VALUE(MID(Sync!$AF506,FIND(":",Sync!$AF506)+1,2)),2),"0000"))))</f>
        <v/>
      </c>
    </row>
    <row r="507">
      <c r="A507">
        <f>IF(OR(Calc!$E511="",Calc!$E511="نامعتبر",Calc!$G511=""),"",Calc!$G511)</f>
        <v/>
      </c>
      <c r="B507">
        <f>IF($A507="","",LEFT(Calc!$E511,4)&amp;MID(Calc!$E511,6,2)&amp;RIGHT(Calc!$E511,2)&amp;Calc!$Q511&amp;"|"&amp;"1"&amp;RIGHT("00000"&amp;502,5))</f>
        <v/>
      </c>
      <c r="C507">
        <f>IF($B507="","",COUNTIFS(LdgSellerA,$A507,LdgKeyA,"&lt;"&amp;$B507)+COUNTIFS(LdgSellerB,$A507,LdgKeyB,"&lt;"&amp;$B507)+1)</f>
        <v/>
      </c>
      <c r="D507">
        <f>IF($C507="","",$A507&amp;"|"&amp;RIGHT("000000"&amp;$C507,6))</f>
        <v/>
      </c>
      <c r="F507">
        <f>IF(Sync!$AH507="","",IF(LEFT(UPPER(TRIM(Sync!$AH507)),2)="SL",UPPER(TRIM(Sync!$AH507)),""))</f>
        <v/>
      </c>
      <c r="G507">
        <f>IF($F507="","",IF(Sync!$AE507="","",IF(ISNUMBER(Sync!$AE507),IF(AND(Sync!$AE507&gt;=10000101,Sync!$AE507&lt;=99991231),INT(Sync!$AE507/10000),""),IFERROR(VALUE(TRIM(LEFT(Sync!$AE507,FIND("/",Sync!$AE507)-1))),""))))</f>
        <v/>
      </c>
      <c r="H507">
        <f>IF(OR($F507="",$G507=""),"",IF(ISNUMBER(Sync!$AE507),INT(MOD(Sync!$AE507,10000)/100),IFERROR(VALUE(TRIM(LEFT(MID(Sync!$AE507,FIND("/",Sync!$AE507)+1,20),FIND("/",MID(Sync!$AE507,FIND("/",Sync!$AE507)+1,20))-1))),"")))</f>
        <v/>
      </c>
      <c r="I507">
        <f>IF(OR($F507="",$G507=""),"",IF(ISNUMBER(Sync!$AE507),MOD(Sync!$AE507,100),IFERROR(VALUE(TRIM(MID(MID(Sync!$AE507,FIND("/",Sync!$AE507)+1,20),FIND("/",MID(Sync!$AE507,FIND("/",Sync!$AE507)+1,20))+1,20))),"")))</f>
        <v/>
      </c>
      <c r="J507">
        <f>IF($F507="","",IF(OR($G507="",$H507="",$I507="",$G507&lt;1300,$G507&gt;1500,$H507&lt;1,$H507&gt;12,$I507&lt;1,$I507&gt;31),"نامعتبر",RIGHT("0000"&amp;$G507,4)&amp;"/"&amp;RIGHT("00"&amp;$H507,2)&amp;"/"&amp;RIGHT("00"&amp;$I507,2)))</f>
        <v/>
      </c>
      <c r="K507">
        <f>IF(OR($F507="",$J507="",$J507="نامعتبر"),"",LEFT($J507,4)&amp;MID($J507,6,2)&amp;RIGHT($J507,2)&amp;$N507&amp;"|"&amp;"2"&amp;RIGHT("00000"&amp;502,5))</f>
        <v/>
      </c>
      <c r="L507">
        <f>IF($K507="","",COUNTIFS(LdgSellerA,$F507,LdgKeyA,"&lt;"&amp;$K507)+COUNTIFS(LdgSellerB,$F507,LdgKeyB,"&lt;"&amp;$K507)+1)</f>
        <v/>
      </c>
      <c r="M507">
        <f>IF($L507="","",$F507&amp;"|"&amp;RIGHT("000000"&amp;$L507,6))</f>
        <v/>
      </c>
      <c r="N507">
        <f>IF($F507="","",IF(Sync!$AF507="","0000",IF(AND(ISNUMBER(Sync!$AF507),Sync!$AF507&gt;=0,Sync!$AF507&lt;1),RIGHT("00"&amp;HOUR(Sync!$AF507),2)&amp;RIGHT("00"&amp;MINUTE(Sync!$AF507),2),IFERROR(RIGHT("00"&amp;VALUE(LEFT(Sync!$AF507,FIND(":",Sync!$AF507)-1)),2)&amp;RIGHT("00"&amp;VALUE(MID(Sync!$AF507,FIND(":",Sync!$AF507)+1,2)),2),"0000"))))</f>
        <v/>
      </c>
    </row>
    <row r="508">
      <c r="A508">
        <f>IF(OR(Calc!$E512="",Calc!$E512="نامعتبر",Calc!$G512=""),"",Calc!$G512)</f>
        <v/>
      </c>
      <c r="B508">
        <f>IF($A508="","",LEFT(Calc!$E512,4)&amp;MID(Calc!$E512,6,2)&amp;RIGHT(Calc!$E512,2)&amp;Calc!$Q512&amp;"|"&amp;"1"&amp;RIGHT("00000"&amp;503,5))</f>
        <v/>
      </c>
      <c r="C508">
        <f>IF($B508="","",COUNTIFS(LdgSellerA,$A508,LdgKeyA,"&lt;"&amp;$B508)+COUNTIFS(LdgSellerB,$A508,LdgKeyB,"&lt;"&amp;$B508)+1)</f>
        <v/>
      </c>
      <c r="D508">
        <f>IF($C508="","",$A508&amp;"|"&amp;RIGHT("000000"&amp;$C508,6))</f>
        <v/>
      </c>
      <c r="F508">
        <f>IF(Sync!$AH508="","",IF(LEFT(UPPER(TRIM(Sync!$AH508)),2)="SL",UPPER(TRIM(Sync!$AH508)),""))</f>
        <v/>
      </c>
      <c r="G508">
        <f>IF($F508="","",IF(Sync!$AE508="","",IF(ISNUMBER(Sync!$AE508),IF(AND(Sync!$AE508&gt;=10000101,Sync!$AE508&lt;=99991231),INT(Sync!$AE508/10000),""),IFERROR(VALUE(TRIM(LEFT(Sync!$AE508,FIND("/",Sync!$AE508)-1))),""))))</f>
        <v/>
      </c>
      <c r="H508">
        <f>IF(OR($F508="",$G508=""),"",IF(ISNUMBER(Sync!$AE508),INT(MOD(Sync!$AE508,10000)/100),IFERROR(VALUE(TRIM(LEFT(MID(Sync!$AE508,FIND("/",Sync!$AE508)+1,20),FIND("/",MID(Sync!$AE508,FIND("/",Sync!$AE508)+1,20))-1))),"")))</f>
        <v/>
      </c>
      <c r="I508">
        <f>IF(OR($F508="",$G508=""),"",IF(ISNUMBER(Sync!$AE508),MOD(Sync!$AE508,100),IFERROR(VALUE(TRIM(MID(MID(Sync!$AE508,FIND("/",Sync!$AE508)+1,20),FIND("/",MID(Sync!$AE508,FIND("/",Sync!$AE508)+1,20))+1,20))),"")))</f>
        <v/>
      </c>
      <c r="J508">
        <f>IF($F508="","",IF(OR($G508="",$H508="",$I508="",$G508&lt;1300,$G508&gt;1500,$H508&lt;1,$H508&gt;12,$I508&lt;1,$I508&gt;31),"نامعتبر",RIGHT("0000"&amp;$G508,4)&amp;"/"&amp;RIGHT("00"&amp;$H508,2)&amp;"/"&amp;RIGHT("00"&amp;$I508,2)))</f>
        <v/>
      </c>
      <c r="K508">
        <f>IF(OR($F508="",$J508="",$J508="نامعتبر"),"",LEFT($J508,4)&amp;MID($J508,6,2)&amp;RIGHT($J508,2)&amp;$N508&amp;"|"&amp;"2"&amp;RIGHT("00000"&amp;503,5))</f>
        <v/>
      </c>
      <c r="L508">
        <f>IF($K508="","",COUNTIFS(LdgSellerA,$F508,LdgKeyA,"&lt;"&amp;$K508)+COUNTIFS(LdgSellerB,$F508,LdgKeyB,"&lt;"&amp;$K508)+1)</f>
        <v/>
      </c>
      <c r="M508">
        <f>IF($L508="","",$F508&amp;"|"&amp;RIGHT("000000"&amp;$L508,6))</f>
        <v/>
      </c>
      <c r="N508">
        <f>IF($F508="","",IF(Sync!$AF508="","0000",IF(AND(ISNUMBER(Sync!$AF508),Sync!$AF508&gt;=0,Sync!$AF508&lt;1),RIGHT("00"&amp;HOUR(Sync!$AF508),2)&amp;RIGHT("00"&amp;MINUTE(Sync!$AF508),2),IFERROR(RIGHT("00"&amp;VALUE(LEFT(Sync!$AF508,FIND(":",Sync!$AF508)-1)),2)&amp;RIGHT("00"&amp;VALUE(MID(Sync!$AF508,FIND(":",Sync!$AF508)+1,2)),2),"0000"))))</f>
        <v/>
      </c>
    </row>
    <row r="509">
      <c r="A509">
        <f>IF(OR(Calc!$E513="",Calc!$E513="نامعتبر",Calc!$G513=""),"",Calc!$G513)</f>
        <v/>
      </c>
      <c r="B509">
        <f>IF($A509="","",LEFT(Calc!$E513,4)&amp;MID(Calc!$E513,6,2)&amp;RIGHT(Calc!$E513,2)&amp;Calc!$Q513&amp;"|"&amp;"1"&amp;RIGHT("00000"&amp;504,5))</f>
        <v/>
      </c>
      <c r="C509">
        <f>IF($B509="","",COUNTIFS(LdgSellerA,$A509,LdgKeyA,"&lt;"&amp;$B509)+COUNTIFS(LdgSellerB,$A509,LdgKeyB,"&lt;"&amp;$B509)+1)</f>
        <v/>
      </c>
      <c r="D509">
        <f>IF($C509="","",$A509&amp;"|"&amp;RIGHT("000000"&amp;$C509,6))</f>
        <v/>
      </c>
      <c r="F509">
        <f>IF(Sync!$AH509="","",IF(LEFT(UPPER(TRIM(Sync!$AH509)),2)="SL",UPPER(TRIM(Sync!$AH509)),""))</f>
        <v/>
      </c>
      <c r="G509">
        <f>IF($F509="","",IF(Sync!$AE509="","",IF(ISNUMBER(Sync!$AE509),IF(AND(Sync!$AE509&gt;=10000101,Sync!$AE509&lt;=99991231),INT(Sync!$AE509/10000),""),IFERROR(VALUE(TRIM(LEFT(Sync!$AE509,FIND("/",Sync!$AE509)-1))),""))))</f>
        <v/>
      </c>
      <c r="H509">
        <f>IF(OR($F509="",$G509=""),"",IF(ISNUMBER(Sync!$AE509),INT(MOD(Sync!$AE509,10000)/100),IFERROR(VALUE(TRIM(LEFT(MID(Sync!$AE509,FIND("/",Sync!$AE509)+1,20),FIND("/",MID(Sync!$AE509,FIND("/",Sync!$AE509)+1,20))-1))),"")))</f>
        <v/>
      </c>
      <c r="I509">
        <f>IF(OR($F509="",$G509=""),"",IF(ISNUMBER(Sync!$AE509),MOD(Sync!$AE509,100),IFERROR(VALUE(TRIM(MID(MID(Sync!$AE509,FIND("/",Sync!$AE509)+1,20),FIND("/",MID(Sync!$AE509,FIND("/",Sync!$AE509)+1,20))+1,20))),"")))</f>
        <v/>
      </c>
      <c r="J509">
        <f>IF($F509="","",IF(OR($G509="",$H509="",$I509="",$G509&lt;1300,$G509&gt;1500,$H509&lt;1,$H509&gt;12,$I509&lt;1,$I509&gt;31),"نامعتبر",RIGHT("0000"&amp;$G509,4)&amp;"/"&amp;RIGHT("00"&amp;$H509,2)&amp;"/"&amp;RIGHT("00"&amp;$I509,2)))</f>
        <v/>
      </c>
      <c r="K509">
        <f>IF(OR($F509="",$J509="",$J509="نامعتبر"),"",LEFT($J509,4)&amp;MID($J509,6,2)&amp;RIGHT($J509,2)&amp;$N509&amp;"|"&amp;"2"&amp;RIGHT("00000"&amp;504,5))</f>
        <v/>
      </c>
      <c r="L509">
        <f>IF($K509="","",COUNTIFS(LdgSellerA,$F509,LdgKeyA,"&lt;"&amp;$K509)+COUNTIFS(LdgSellerB,$F509,LdgKeyB,"&lt;"&amp;$K509)+1)</f>
        <v/>
      </c>
      <c r="M509">
        <f>IF($L509="","",$F509&amp;"|"&amp;RIGHT("000000"&amp;$L509,6))</f>
        <v/>
      </c>
      <c r="N509">
        <f>IF($F509="","",IF(Sync!$AF509="","0000",IF(AND(ISNUMBER(Sync!$AF509),Sync!$AF509&gt;=0,Sync!$AF509&lt;1),RIGHT("00"&amp;HOUR(Sync!$AF509),2)&amp;RIGHT("00"&amp;MINUTE(Sync!$AF509),2),IFERROR(RIGHT("00"&amp;VALUE(LEFT(Sync!$AF509,FIND(":",Sync!$AF509)-1)),2)&amp;RIGHT("00"&amp;VALUE(MID(Sync!$AF509,FIND(":",Sync!$AF509)+1,2)),2),"0000"))))</f>
        <v/>
      </c>
    </row>
    <row r="510">
      <c r="A510">
        <f>IF(OR(Calc!$E514="",Calc!$E514="نامعتبر",Calc!$G514=""),"",Calc!$G514)</f>
        <v/>
      </c>
      <c r="B510">
        <f>IF($A510="","",LEFT(Calc!$E514,4)&amp;MID(Calc!$E514,6,2)&amp;RIGHT(Calc!$E514,2)&amp;Calc!$Q514&amp;"|"&amp;"1"&amp;RIGHT("00000"&amp;505,5))</f>
        <v/>
      </c>
      <c r="C510">
        <f>IF($B510="","",COUNTIFS(LdgSellerA,$A510,LdgKeyA,"&lt;"&amp;$B510)+COUNTIFS(LdgSellerB,$A510,LdgKeyB,"&lt;"&amp;$B510)+1)</f>
        <v/>
      </c>
      <c r="D510">
        <f>IF($C510="","",$A510&amp;"|"&amp;RIGHT("000000"&amp;$C510,6))</f>
        <v/>
      </c>
      <c r="F510">
        <f>IF(Sync!$AH510="","",IF(LEFT(UPPER(TRIM(Sync!$AH510)),2)="SL",UPPER(TRIM(Sync!$AH510)),""))</f>
        <v/>
      </c>
      <c r="G510">
        <f>IF($F510="","",IF(Sync!$AE510="","",IF(ISNUMBER(Sync!$AE510),IF(AND(Sync!$AE510&gt;=10000101,Sync!$AE510&lt;=99991231),INT(Sync!$AE510/10000),""),IFERROR(VALUE(TRIM(LEFT(Sync!$AE510,FIND("/",Sync!$AE510)-1))),""))))</f>
        <v/>
      </c>
      <c r="H510">
        <f>IF(OR($F510="",$G510=""),"",IF(ISNUMBER(Sync!$AE510),INT(MOD(Sync!$AE510,10000)/100),IFERROR(VALUE(TRIM(LEFT(MID(Sync!$AE510,FIND("/",Sync!$AE510)+1,20),FIND("/",MID(Sync!$AE510,FIND("/",Sync!$AE510)+1,20))-1))),"")))</f>
        <v/>
      </c>
      <c r="I510">
        <f>IF(OR($F510="",$G510=""),"",IF(ISNUMBER(Sync!$AE510),MOD(Sync!$AE510,100),IFERROR(VALUE(TRIM(MID(MID(Sync!$AE510,FIND("/",Sync!$AE510)+1,20),FIND("/",MID(Sync!$AE510,FIND("/",Sync!$AE510)+1,20))+1,20))),"")))</f>
        <v/>
      </c>
      <c r="J510">
        <f>IF($F510="","",IF(OR($G510="",$H510="",$I510="",$G510&lt;1300,$G510&gt;1500,$H510&lt;1,$H510&gt;12,$I510&lt;1,$I510&gt;31),"نامعتبر",RIGHT("0000"&amp;$G510,4)&amp;"/"&amp;RIGHT("00"&amp;$H510,2)&amp;"/"&amp;RIGHT("00"&amp;$I510,2)))</f>
        <v/>
      </c>
      <c r="K510">
        <f>IF(OR($F510="",$J510="",$J510="نامعتبر"),"",LEFT($J510,4)&amp;MID($J510,6,2)&amp;RIGHT($J510,2)&amp;$N510&amp;"|"&amp;"2"&amp;RIGHT("00000"&amp;505,5))</f>
        <v/>
      </c>
      <c r="L510">
        <f>IF($K510="","",COUNTIFS(LdgSellerA,$F510,LdgKeyA,"&lt;"&amp;$K510)+COUNTIFS(LdgSellerB,$F510,LdgKeyB,"&lt;"&amp;$K510)+1)</f>
        <v/>
      </c>
      <c r="M510">
        <f>IF($L510="","",$F510&amp;"|"&amp;RIGHT("000000"&amp;$L510,6))</f>
        <v/>
      </c>
      <c r="N510">
        <f>IF($F510="","",IF(Sync!$AF510="","0000",IF(AND(ISNUMBER(Sync!$AF510),Sync!$AF510&gt;=0,Sync!$AF510&lt;1),RIGHT("00"&amp;HOUR(Sync!$AF510),2)&amp;RIGHT("00"&amp;MINUTE(Sync!$AF510),2),IFERROR(RIGHT("00"&amp;VALUE(LEFT(Sync!$AF510,FIND(":",Sync!$AF510)-1)),2)&amp;RIGHT("00"&amp;VALUE(MID(Sync!$AF510,FIND(":",Sync!$AF510)+1,2)),2),"0000"))))</f>
        <v/>
      </c>
    </row>
    <row r="511">
      <c r="A511">
        <f>IF(OR(Calc!$E515="",Calc!$E515="نامعتبر",Calc!$G515=""),"",Calc!$G515)</f>
        <v/>
      </c>
      <c r="B511">
        <f>IF($A511="","",LEFT(Calc!$E515,4)&amp;MID(Calc!$E515,6,2)&amp;RIGHT(Calc!$E515,2)&amp;Calc!$Q515&amp;"|"&amp;"1"&amp;RIGHT("00000"&amp;506,5))</f>
        <v/>
      </c>
      <c r="C511">
        <f>IF($B511="","",COUNTIFS(LdgSellerA,$A511,LdgKeyA,"&lt;"&amp;$B511)+COUNTIFS(LdgSellerB,$A511,LdgKeyB,"&lt;"&amp;$B511)+1)</f>
        <v/>
      </c>
      <c r="D511">
        <f>IF($C511="","",$A511&amp;"|"&amp;RIGHT("000000"&amp;$C511,6))</f>
        <v/>
      </c>
      <c r="F511">
        <f>IF(Sync!$AH511="","",IF(LEFT(UPPER(TRIM(Sync!$AH511)),2)="SL",UPPER(TRIM(Sync!$AH511)),""))</f>
        <v/>
      </c>
      <c r="G511">
        <f>IF($F511="","",IF(Sync!$AE511="","",IF(ISNUMBER(Sync!$AE511),IF(AND(Sync!$AE511&gt;=10000101,Sync!$AE511&lt;=99991231),INT(Sync!$AE511/10000),""),IFERROR(VALUE(TRIM(LEFT(Sync!$AE511,FIND("/",Sync!$AE511)-1))),""))))</f>
        <v/>
      </c>
      <c r="H511">
        <f>IF(OR($F511="",$G511=""),"",IF(ISNUMBER(Sync!$AE511),INT(MOD(Sync!$AE511,10000)/100),IFERROR(VALUE(TRIM(LEFT(MID(Sync!$AE511,FIND("/",Sync!$AE511)+1,20),FIND("/",MID(Sync!$AE511,FIND("/",Sync!$AE511)+1,20))-1))),"")))</f>
        <v/>
      </c>
      <c r="I511">
        <f>IF(OR($F511="",$G511=""),"",IF(ISNUMBER(Sync!$AE511),MOD(Sync!$AE511,100),IFERROR(VALUE(TRIM(MID(MID(Sync!$AE511,FIND("/",Sync!$AE511)+1,20),FIND("/",MID(Sync!$AE511,FIND("/",Sync!$AE511)+1,20))+1,20))),"")))</f>
        <v/>
      </c>
      <c r="J511">
        <f>IF($F511="","",IF(OR($G511="",$H511="",$I511="",$G511&lt;1300,$G511&gt;1500,$H511&lt;1,$H511&gt;12,$I511&lt;1,$I511&gt;31),"نامعتبر",RIGHT("0000"&amp;$G511,4)&amp;"/"&amp;RIGHT("00"&amp;$H511,2)&amp;"/"&amp;RIGHT("00"&amp;$I511,2)))</f>
        <v/>
      </c>
      <c r="K511">
        <f>IF(OR($F511="",$J511="",$J511="نامعتبر"),"",LEFT($J511,4)&amp;MID($J511,6,2)&amp;RIGHT($J511,2)&amp;$N511&amp;"|"&amp;"2"&amp;RIGHT("00000"&amp;506,5))</f>
        <v/>
      </c>
      <c r="L511">
        <f>IF($K511="","",COUNTIFS(LdgSellerA,$F511,LdgKeyA,"&lt;"&amp;$K511)+COUNTIFS(LdgSellerB,$F511,LdgKeyB,"&lt;"&amp;$K511)+1)</f>
        <v/>
      </c>
      <c r="M511">
        <f>IF($L511="","",$F511&amp;"|"&amp;RIGHT("000000"&amp;$L511,6))</f>
        <v/>
      </c>
      <c r="N511">
        <f>IF($F511="","",IF(Sync!$AF511="","0000",IF(AND(ISNUMBER(Sync!$AF511),Sync!$AF511&gt;=0,Sync!$AF511&lt;1),RIGHT("00"&amp;HOUR(Sync!$AF511),2)&amp;RIGHT("00"&amp;MINUTE(Sync!$AF511),2),IFERROR(RIGHT("00"&amp;VALUE(LEFT(Sync!$AF511,FIND(":",Sync!$AF511)-1)),2)&amp;RIGHT("00"&amp;VALUE(MID(Sync!$AF511,FIND(":",Sync!$AF511)+1,2)),2),"0000"))))</f>
        <v/>
      </c>
    </row>
    <row r="512">
      <c r="A512">
        <f>IF(OR(Calc!$E516="",Calc!$E516="نامعتبر",Calc!$G516=""),"",Calc!$G516)</f>
        <v/>
      </c>
      <c r="B512">
        <f>IF($A512="","",LEFT(Calc!$E516,4)&amp;MID(Calc!$E516,6,2)&amp;RIGHT(Calc!$E516,2)&amp;Calc!$Q516&amp;"|"&amp;"1"&amp;RIGHT("00000"&amp;507,5))</f>
        <v/>
      </c>
      <c r="C512">
        <f>IF($B512="","",COUNTIFS(LdgSellerA,$A512,LdgKeyA,"&lt;"&amp;$B512)+COUNTIFS(LdgSellerB,$A512,LdgKeyB,"&lt;"&amp;$B512)+1)</f>
        <v/>
      </c>
      <c r="D512">
        <f>IF($C512="","",$A512&amp;"|"&amp;RIGHT("000000"&amp;$C512,6))</f>
        <v/>
      </c>
      <c r="F512">
        <f>IF(Sync!$AH512="","",IF(LEFT(UPPER(TRIM(Sync!$AH512)),2)="SL",UPPER(TRIM(Sync!$AH512)),""))</f>
        <v/>
      </c>
      <c r="G512">
        <f>IF($F512="","",IF(Sync!$AE512="","",IF(ISNUMBER(Sync!$AE512),IF(AND(Sync!$AE512&gt;=10000101,Sync!$AE512&lt;=99991231),INT(Sync!$AE512/10000),""),IFERROR(VALUE(TRIM(LEFT(Sync!$AE512,FIND("/",Sync!$AE512)-1))),""))))</f>
        <v/>
      </c>
      <c r="H512">
        <f>IF(OR($F512="",$G512=""),"",IF(ISNUMBER(Sync!$AE512),INT(MOD(Sync!$AE512,10000)/100),IFERROR(VALUE(TRIM(LEFT(MID(Sync!$AE512,FIND("/",Sync!$AE512)+1,20),FIND("/",MID(Sync!$AE512,FIND("/",Sync!$AE512)+1,20))-1))),"")))</f>
        <v/>
      </c>
      <c r="I512">
        <f>IF(OR($F512="",$G512=""),"",IF(ISNUMBER(Sync!$AE512),MOD(Sync!$AE512,100),IFERROR(VALUE(TRIM(MID(MID(Sync!$AE512,FIND("/",Sync!$AE512)+1,20),FIND("/",MID(Sync!$AE512,FIND("/",Sync!$AE512)+1,20))+1,20))),"")))</f>
        <v/>
      </c>
      <c r="J512">
        <f>IF($F512="","",IF(OR($G512="",$H512="",$I512="",$G512&lt;1300,$G512&gt;1500,$H512&lt;1,$H512&gt;12,$I512&lt;1,$I512&gt;31),"نامعتبر",RIGHT("0000"&amp;$G512,4)&amp;"/"&amp;RIGHT("00"&amp;$H512,2)&amp;"/"&amp;RIGHT("00"&amp;$I512,2)))</f>
        <v/>
      </c>
      <c r="K512">
        <f>IF(OR($F512="",$J512="",$J512="نامعتبر"),"",LEFT($J512,4)&amp;MID($J512,6,2)&amp;RIGHT($J512,2)&amp;$N512&amp;"|"&amp;"2"&amp;RIGHT("00000"&amp;507,5))</f>
        <v/>
      </c>
      <c r="L512">
        <f>IF($K512="","",COUNTIFS(LdgSellerA,$F512,LdgKeyA,"&lt;"&amp;$K512)+COUNTIFS(LdgSellerB,$F512,LdgKeyB,"&lt;"&amp;$K512)+1)</f>
        <v/>
      </c>
      <c r="M512">
        <f>IF($L512="","",$F512&amp;"|"&amp;RIGHT("000000"&amp;$L512,6))</f>
        <v/>
      </c>
      <c r="N512">
        <f>IF($F512="","",IF(Sync!$AF512="","0000",IF(AND(ISNUMBER(Sync!$AF512),Sync!$AF512&gt;=0,Sync!$AF512&lt;1),RIGHT("00"&amp;HOUR(Sync!$AF512),2)&amp;RIGHT("00"&amp;MINUTE(Sync!$AF512),2),IFERROR(RIGHT("00"&amp;VALUE(LEFT(Sync!$AF512,FIND(":",Sync!$AF512)-1)),2)&amp;RIGHT("00"&amp;VALUE(MID(Sync!$AF512,FIND(":",Sync!$AF512)+1,2)),2),"0000"))))</f>
        <v/>
      </c>
    </row>
    <row r="513">
      <c r="A513">
        <f>IF(OR(Calc!$E517="",Calc!$E517="نامعتبر",Calc!$G517=""),"",Calc!$G517)</f>
        <v/>
      </c>
      <c r="B513">
        <f>IF($A513="","",LEFT(Calc!$E517,4)&amp;MID(Calc!$E517,6,2)&amp;RIGHT(Calc!$E517,2)&amp;Calc!$Q517&amp;"|"&amp;"1"&amp;RIGHT("00000"&amp;508,5))</f>
        <v/>
      </c>
      <c r="C513">
        <f>IF($B513="","",COUNTIFS(LdgSellerA,$A513,LdgKeyA,"&lt;"&amp;$B513)+COUNTIFS(LdgSellerB,$A513,LdgKeyB,"&lt;"&amp;$B513)+1)</f>
        <v/>
      </c>
      <c r="D513">
        <f>IF($C513="","",$A513&amp;"|"&amp;RIGHT("000000"&amp;$C513,6))</f>
        <v/>
      </c>
      <c r="F513">
        <f>IF(Sync!$AH513="","",IF(LEFT(UPPER(TRIM(Sync!$AH513)),2)="SL",UPPER(TRIM(Sync!$AH513)),""))</f>
        <v/>
      </c>
      <c r="G513">
        <f>IF($F513="","",IF(Sync!$AE513="","",IF(ISNUMBER(Sync!$AE513),IF(AND(Sync!$AE513&gt;=10000101,Sync!$AE513&lt;=99991231),INT(Sync!$AE513/10000),""),IFERROR(VALUE(TRIM(LEFT(Sync!$AE513,FIND("/",Sync!$AE513)-1))),""))))</f>
        <v/>
      </c>
      <c r="H513">
        <f>IF(OR($F513="",$G513=""),"",IF(ISNUMBER(Sync!$AE513),INT(MOD(Sync!$AE513,10000)/100),IFERROR(VALUE(TRIM(LEFT(MID(Sync!$AE513,FIND("/",Sync!$AE513)+1,20),FIND("/",MID(Sync!$AE513,FIND("/",Sync!$AE513)+1,20))-1))),"")))</f>
        <v/>
      </c>
      <c r="I513">
        <f>IF(OR($F513="",$G513=""),"",IF(ISNUMBER(Sync!$AE513),MOD(Sync!$AE513,100),IFERROR(VALUE(TRIM(MID(MID(Sync!$AE513,FIND("/",Sync!$AE513)+1,20),FIND("/",MID(Sync!$AE513,FIND("/",Sync!$AE513)+1,20))+1,20))),"")))</f>
        <v/>
      </c>
      <c r="J513">
        <f>IF($F513="","",IF(OR($G513="",$H513="",$I513="",$G513&lt;1300,$G513&gt;1500,$H513&lt;1,$H513&gt;12,$I513&lt;1,$I513&gt;31),"نامعتبر",RIGHT("0000"&amp;$G513,4)&amp;"/"&amp;RIGHT("00"&amp;$H513,2)&amp;"/"&amp;RIGHT("00"&amp;$I513,2)))</f>
        <v/>
      </c>
      <c r="K513">
        <f>IF(OR($F513="",$J513="",$J513="نامعتبر"),"",LEFT($J513,4)&amp;MID($J513,6,2)&amp;RIGHT($J513,2)&amp;$N513&amp;"|"&amp;"2"&amp;RIGHT("00000"&amp;508,5))</f>
        <v/>
      </c>
      <c r="L513">
        <f>IF($K513="","",COUNTIFS(LdgSellerA,$F513,LdgKeyA,"&lt;"&amp;$K513)+COUNTIFS(LdgSellerB,$F513,LdgKeyB,"&lt;"&amp;$K513)+1)</f>
        <v/>
      </c>
      <c r="M513">
        <f>IF($L513="","",$F513&amp;"|"&amp;RIGHT("000000"&amp;$L513,6))</f>
        <v/>
      </c>
      <c r="N513">
        <f>IF($F513="","",IF(Sync!$AF513="","0000",IF(AND(ISNUMBER(Sync!$AF513),Sync!$AF513&gt;=0,Sync!$AF513&lt;1),RIGHT("00"&amp;HOUR(Sync!$AF513),2)&amp;RIGHT("00"&amp;MINUTE(Sync!$AF513),2),IFERROR(RIGHT("00"&amp;VALUE(LEFT(Sync!$AF513,FIND(":",Sync!$AF513)-1)),2)&amp;RIGHT("00"&amp;VALUE(MID(Sync!$AF513,FIND(":",Sync!$AF513)+1,2)),2),"0000"))))</f>
        <v/>
      </c>
    </row>
    <row r="514">
      <c r="A514">
        <f>IF(OR(Calc!$E518="",Calc!$E518="نامعتبر",Calc!$G518=""),"",Calc!$G518)</f>
        <v/>
      </c>
      <c r="B514">
        <f>IF($A514="","",LEFT(Calc!$E518,4)&amp;MID(Calc!$E518,6,2)&amp;RIGHT(Calc!$E518,2)&amp;Calc!$Q518&amp;"|"&amp;"1"&amp;RIGHT("00000"&amp;509,5))</f>
        <v/>
      </c>
      <c r="C514">
        <f>IF($B514="","",COUNTIFS(LdgSellerA,$A514,LdgKeyA,"&lt;"&amp;$B514)+COUNTIFS(LdgSellerB,$A514,LdgKeyB,"&lt;"&amp;$B514)+1)</f>
        <v/>
      </c>
      <c r="D514">
        <f>IF($C514="","",$A514&amp;"|"&amp;RIGHT("000000"&amp;$C514,6))</f>
        <v/>
      </c>
      <c r="F514">
        <f>IF(Sync!$AH514="","",IF(LEFT(UPPER(TRIM(Sync!$AH514)),2)="SL",UPPER(TRIM(Sync!$AH514)),""))</f>
        <v/>
      </c>
      <c r="G514">
        <f>IF($F514="","",IF(Sync!$AE514="","",IF(ISNUMBER(Sync!$AE514),IF(AND(Sync!$AE514&gt;=10000101,Sync!$AE514&lt;=99991231),INT(Sync!$AE514/10000),""),IFERROR(VALUE(TRIM(LEFT(Sync!$AE514,FIND("/",Sync!$AE514)-1))),""))))</f>
        <v/>
      </c>
      <c r="H514">
        <f>IF(OR($F514="",$G514=""),"",IF(ISNUMBER(Sync!$AE514),INT(MOD(Sync!$AE514,10000)/100),IFERROR(VALUE(TRIM(LEFT(MID(Sync!$AE514,FIND("/",Sync!$AE514)+1,20),FIND("/",MID(Sync!$AE514,FIND("/",Sync!$AE514)+1,20))-1))),"")))</f>
        <v/>
      </c>
      <c r="I514">
        <f>IF(OR($F514="",$G514=""),"",IF(ISNUMBER(Sync!$AE514),MOD(Sync!$AE514,100),IFERROR(VALUE(TRIM(MID(MID(Sync!$AE514,FIND("/",Sync!$AE514)+1,20),FIND("/",MID(Sync!$AE514,FIND("/",Sync!$AE514)+1,20))+1,20))),"")))</f>
        <v/>
      </c>
      <c r="J514">
        <f>IF($F514="","",IF(OR($G514="",$H514="",$I514="",$G514&lt;1300,$G514&gt;1500,$H514&lt;1,$H514&gt;12,$I514&lt;1,$I514&gt;31),"نامعتبر",RIGHT("0000"&amp;$G514,4)&amp;"/"&amp;RIGHT("00"&amp;$H514,2)&amp;"/"&amp;RIGHT("00"&amp;$I514,2)))</f>
        <v/>
      </c>
      <c r="K514">
        <f>IF(OR($F514="",$J514="",$J514="نامعتبر"),"",LEFT($J514,4)&amp;MID($J514,6,2)&amp;RIGHT($J514,2)&amp;$N514&amp;"|"&amp;"2"&amp;RIGHT("00000"&amp;509,5))</f>
        <v/>
      </c>
      <c r="L514">
        <f>IF($K514="","",COUNTIFS(LdgSellerA,$F514,LdgKeyA,"&lt;"&amp;$K514)+COUNTIFS(LdgSellerB,$F514,LdgKeyB,"&lt;"&amp;$K514)+1)</f>
        <v/>
      </c>
      <c r="M514">
        <f>IF($L514="","",$F514&amp;"|"&amp;RIGHT("000000"&amp;$L514,6))</f>
        <v/>
      </c>
      <c r="N514">
        <f>IF($F514="","",IF(Sync!$AF514="","0000",IF(AND(ISNUMBER(Sync!$AF514),Sync!$AF514&gt;=0,Sync!$AF514&lt;1),RIGHT("00"&amp;HOUR(Sync!$AF514),2)&amp;RIGHT("00"&amp;MINUTE(Sync!$AF514),2),IFERROR(RIGHT("00"&amp;VALUE(LEFT(Sync!$AF514,FIND(":",Sync!$AF514)-1)),2)&amp;RIGHT("00"&amp;VALUE(MID(Sync!$AF514,FIND(":",Sync!$AF514)+1,2)),2),"0000"))))</f>
        <v/>
      </c>
    </row>
    <row r="515">
      <c r="A515">
        <f>IF(OR(Calc!$E519="",Calc!$E519="نامعتبر",Calc!$G519=""),"",Calc!$G519)</f>
        <v/>
      </c>
      <c r="B515">
        <f>IF($A515="","",LEFT(Calc!$E519,4)&amp;MID(Calc!$E519,6,2)&amp;RIGHT(Calc!$E519,2)&amp;Calc!$Q519&amp;"|"&amp;"1"&amp;RIGHT("00000"&amp;510,5))</f>
        <v/>
      </c>
      <c r="C515">
        <f>IF($B515="","",COUNTIFS(LdgSellerA,$A515,LdgKeyA,"&lt;"&amp;$B515)+COUNTIFS(LdgSellerB,$A515,LdgKeyB,"&lt;"&amp;$B515)+1)</f>
        <v/>
      </c>
      <c r="D515">
        <f>IF($C515="","",$A515&amp;"|"&amp;RIGHT("000000"&amp;$C515,6))</f>
        <v/>
      </c>
      <c r="F515">
        <f>IF(Sync!$AH515="","",IF(LEFT(UPPER(TRIM(Sync!$AH515)),2)="SL",UPPER(TRIM(Sync!$AH515)),""))</f>
        <v/>
      </c>
      <c r="G515">
        <f>IF($F515="","",IF(Sync!$AE515="","",IF(ISNUMBER(Sync!$AE515),IF(AND(Sync!$AE515&gt;=10000101,Sync!$AE515&lt;=99991231),INT(Sync!$AE515/10000),""),IFERROR(VALUE(TRIM(LEFT(Sync!$AE515,FIND("/",Sync!$AE515)-1))),""))))</f>
        <v/>
      </c>
      <c r="H515">
        <f>IF(OR($F515="",$G515=""),"",IF(ISNUMBER(Sync!$AE515),INT(MOD(Sync!$AE515,10000)/100),IFERROR(VALUE(TRIM(LEFT(MID(Sync!$AE515,FIND("/",Sync!$AE515)+1,20),FIND("/",MID(Sync!$AE515,FIND("/",Sync!$AE515)+1,20))-1))),"")))</f>
        <v/>
      </c>
      <c r="I515">
        <f>IF(OR($F515="",$G515=""),"",IF(ISNUMBER(Sync!$AE515),MOD(Sync!$AE515,100),IFERROR(VALUE(TRIM(MID(MID(Sync!$AE515,FIND("/",Sync!$AE515)+1,20),FIND("/",MID(Sync!$AE515,FIND("/",Sync!$AE515)+1,20))+1,20))),"")))</f>
        <v/>
      </c>
      <c r="J515">
        <f>IF($F515="","",IF(OR($G515="",$H515="",$I515="",$G515&lt;1300,$G515&gt;1500,$H515&lt;1,$H515&gt;12,$I515&lt;1,$I515&gt;31),"نامعتبر",RIGHT("0000"&amp;$G515,4)&amp;"/"&amp;RIGHT("00"&amp;$H515,2)&amp;"/"&amp;RIGHT("00"&amp;$I515,2)))</f>
        <v/>
      </c>
      <c r="K515">
        <f>IF(OR($F515="",$J515="",$J515="نامعتبر"),"",LEFT($J515,4)&amp;MID($J515,6,2)&amp;RIGHT($J515,2)&amp;$N515&amp;"|"&amp;"2"&amp;RIGHT("00000"&amp;510,5))</f>
        <v/>
      </c>
      <c r="L515">
        <f>IF($K515="","",COUNTIFS(LdgSellerA,$F515,LdgKeyA,"&lt;"&amp;$K515)+COUNTIFS(LdgSellerB,$F515,LdgKeyB,"&lt;"&amp;$K515)+1)</f>
        <v/>
      </c>
      <c r="M515">
        <f>IF($L515="","",$F515&amp;"|"&amp;RIGHT("000000"&amp;$L515,6))</f>
        <v/>
      </c>
      <c r="N515">
        <f>IF($F515="","",IF(Sync!$AF515="","0000",IF(AND(ISNUMBER(Sync!$AF515),Sync!$AF515&gt;=0,Sync!$AF515&lt;1),RIGHT("00"&amp;HOUR(Sync!$AF515),2)&amp;RIGHT("00"&amp;MINUTE(Sync!$AF515),2),IFERROR(RIGHT("00"&amp;VALUE(LEFT(Sync!$AF515,FIND(":",Sync!$AF515)-1)),2)&amp;RIGHT("00"&amp;VALUE(MID(Sync!$AF515,FIND(":",Sync!$AF515)+1,2)),2),"0000"))))</f>
        <v/>
      </c>
    </row>
    <row r="516">
      <c r="A516">
        <f>IF(OR(Calc!$E520="",Calc!$E520="نامعتبر",Calc!$G520=""),"",Calc!$G520)</f>
        <v/>
      </c>
      <c r="B516">
        <f>IF($A516="","",LEFT(Calc!$E520,4)&amp;MID(Calc!$E520,6,2)&amp;RIGHT(Calc!$E520,2)&amp;Calc!$Q520&amp;"|"&amp;"1"&amp;RIGHT("00000"&amp;511,5))</f>
        <v/>
      </c>
      <c r="C516">
        <f>IF($B516="","",COUNTIFS(LdgSellerA,$A516,LdgKeyA,"&lt;"&amp;$B516)+COUNTIFS(LdgSellerB,$A516,LdgKeyB,"&lt;"&amp;$B516)+1)</f>
        <v/>
      </c>
      <c r="D516">
        <f>IF($C516="","",$A516&amp;"|"&amp;RIGHT("000000"&amp;$C516,6))</f>
        <v/>
      </c>
      <c r="F516">
        <f>IF(Sync!$AH516="","",IF(LEFT(UPPER(TRIM(Sync!$AH516)),2)="SL",UPPER(TRIM(Sync!$AH516)),""))</f>
        <v/>
      </c>
      <c r="G516">
        <f>IF($F516="","",IF(Sync!$AE516="","",IF(ISNUMBER(Sync!$AE516),IF(AND(Sync!$AE516&gt;=10000101,Sync!$AE516&lt;=99991231),INT(Sync!$AE516/10000),""),IFERROR(VALUE(TRIM(LEFT(Sync!$AE516,FIND("/",Sync!$AE516)-1))),""))))</f>
        <v/>
      </c>
      <c r="H516">
        <f>IF(OR($F516="",$G516=""),"",IF(ISNUMBER(Sync!$AE516),INT(MOD(Sync!$AE516,10000)/100),IFERROR(VALUE(TRIM(LEFT(MID(Sync!$AE516,FIND("/",Sync!$AE516)+1,20),FIND("/",MID(Sync!$AE516,FIND("/",Sync!$AE516)+1,20))-1))),"")))</f>
        <v/>
      </c>
      <c r="I516">
        <f>IF(OR($F516="",$G516=""),"",IF(ISNUMBER(Sync!$AE516),MOD(Sync!$AE516,100),IFERROR(VALUE(TRIM(MID(MID(Sync!$AE516,FIND("/",Sync!$AE516)+1,20),FIND("/",MID(Sync!$AE516,FIND("/",Sync!$AE516)+1,20))+1,20))),"")))</f>
        <v/>
      </c>
      <c r="J516">
        <f>IF($F516="","",IF(OR($G516="",$H516="",$I516="",$G516&lt;1300,$G516&gt;1500,$H516&lt;1,$H516&gt;12,$I516&lt;1,$I516&gt;31),"نامعتبر",RIGHT("0000"&amp;$G516,4)&amp;"/"&amp;RIGHT("00"&amp;$H516,2)&amp;"/"&amp;RIGHT("00"&amp;$I516,2)))</f>
        <v/>
      </c>
      <c r="K516">
        <f>IF(OR($F516="",$J516="",$J516="نامعتبر"),"",LEFT($J516,4)&amp;MID($J516,6,2)&amp;RIGHT($J516,2)&amp;$N516&amp;"|"&amp;"2"&amp;RIGHT("00000"&amp;511,5))</f>
        <v/>
      </c>
      <c r="L516">
        <f>IF($K516="","",COUNTIFS(LdgSellerA,$F516,LdgKeyA,"&lt;"&amp;$K516)+COUNTIFS(LdgSellerB,$F516,LdgKeyB,"&lt;"&amp;$K516)+1)</f>
        <v/>
      </c>
      <c r="M516">
        <f>IF($L516="","",$F516&amp;"|"&amp;RIGHT("000000"&amp;$L516,6))</f>
        <v/>
      </c>
      <c r="N516">
        <f>IF($F516="","",IF(Sync!$AF516="","0000",IF(AND(ISNUMBER(Sync!$AF516),Sync!$AF516&gt;=0,Sync!$AF516&lt;1),RIGHT("00"&amp;HOUR(Sync!$AF516),2)&amp;RIGHT("00"&amp;MINUTE(Sync!$AF516),2),IFERROR(RIGHT("00"&amp;VALUE(LEFT(Sync!$AF516,FIND(":",Sync!$AF516)-1)),2)&amp;RIGHT("00"&amp;VALUE(MID(Sync!$AF516,FIND(":",Sync!$AF516)+1,2)),2),"0000"))))</f>
        <v/>
      </c>
    </row>
    <row r="517">
      <c r="A517">
        <f>IF(OR(Calc!$E521="",Calc!$E521="نامعتبر",Calc!$G521=""),"",Calc!$G521)</f>
        <v/>
      </c>
      <c r="B517">
        <f>IF($A517="","",LEFT(Calc!$E521,4)&amp;MID(Calc!$E521,6,2)&amp;RIGHT(Calc!$E521,2)&amp;Calc!$Q521&amp;"|"&amp;"1"&amp;RIGHT("00000"&amp;512,5))</f>
        <v/>
      </c>
      <c r="C517">
        <f>IF($B517="","",COUNTIFS(LdgSellerA,$A517,LdgKeyA,"&lt;"&amp;$B517)+COUNTIFS(LdgSellerB,$A517,LdgKeyB,"&lt;"&amp;$B517)+1)</f>
        <v/>
      </c>
      <c r="D517">
        <f>IF($C517="","",$A517&amp;"|"&amp;RIGHT("000000"&amp;$C517,6))</f>
        <v/>
      </c>
      <c r="F517">
        <f>IF(Sync!$AH517="","",IF(LEFT(UPPER(TRIM(Sync!$AH517)),2)="SL",UPPER(TRIM(Sync!$AH517)),""))</f>
        <v/>
      </c>
      <c r="G517">
        <f>IF($F517="","",IF(Sync!$AE517="","",IF(ISNUMBER(Sync!$AE517),IF(AND(Sync!$AE517&gt;=10000101,Sync!$AE517&lt;=99991231),INT(Sync!$AE517/10000),""),IFERROR(VALUE(TRIM(LEFT(Sync!$AE517,FIND("/",Sync!$AE517)-1))),""))))</f>
        <v/>
      </c>
      <c r="H517">
        <f>IF(OR($F517="",$G517=""),"",IF(ISNUMBER(Sync!$AE517),INT(MOD(Sync!$AE517,10000)/100),IFERROR(VALUE(TRIM(LEFT(MID(Sync!$AE517,FIND("/",Sync!$AE517)+1,20),FIND("/",MID(Sync!$AE517,FIND("/",Sync!$AE517)+1,20))-1))),"")))</f>
        <v/>
      </c>
      <c r="I517">
        <f>IF(OR($F517="",$G517=""),"",IF(ISNUMBER(Sync!$AE517),MOD(Sync!$AE517,100),IFERROR(VALUE(TRIM(MID(MID(Sync!$AE517,FIND("/",Sync!$AE517)+1,20),FIND("/",MID(Sync!$AE517,FIND("/",Sync!$AE517)+1,20))+1,20))),"")))</f>
        <v/>
      </c>
      <c r="J517">
        <f>IF($F517="","",IF(OR($G517="",$H517="",$I517="",$G517&lt;1300,$G517&gt;1500,$H517&lt;1,$H517&gt;12,$I517&lt;1,$I517&gt;31),"نامعتبر",RIGHT("0000"&amp;$G517,4)&amp;"/"&amp;RIGHT("00"&amp;$H517,2)&amp;"/"&amp;RIGHT("00"&amp;$I517,2)))</f>
        <v/>
      </c>
      <c r="K517">
        <f>IF(OR($F517="",$J517="",$J517="نامعتبر"),"",LEFT($J517,4)&amp;MID($J517,6,2)&amp;RIGHT($J517,2)&amp;$N517&amp;"|"&amp;"2"&amp;RIGHT("00000"&amp;512,5))</f>
        <v/>
      </c>
      <c r="L517">
        <f>IF($K517="","",COUNTIFS(LdgSellerA,$F517,LdgKeyA,"&lt;"&amp;$K517)+COUNTIFS(LdgSellerB,$F517,LdgKeyB,"&lt;"&amp;$K517)+1)</f>
        <v/>
      </c>
      <c r="M517">
        <f>IF($L517="","",$F517&amp;"|"&amp;RIGHT("000000"&amp;$L517,6))</f>
        <v/>
      </c>
      <c r="N517">
        <f>IF($F517="","",IF(Sync!$AF517="","0000",IF(AND(ISNUMBER(Sync!$AF517),Sync!$AF517&gt;=0,Sync!$AF517&lt;1),RIGHT("00"&amp;HOUR(Sync!$AF517),2)&amp;RIGHT("00"&amp;MINUTE(Sync!$AF517),2),IFERROR(RIGHT("00"&amp;VALUE(LEFT(Sync!$AF517,FIND(":",Sync!$AF517)-1)),2)&amp;RIGHT("00"&amp;VALUE(MID(Sync!$AF517,FIND(":",Sync!$AF517)+1,2)),2),"0000"))))</f>
        <v/>
      </c>
    </row>
    <row r="518">
      <c r="A518">
        <f>IF(OR(Calc!$E522="",Calc!$E522="نامعتبر",Calc!$G522=""),"",Calc!$G522)</f>
        <v/>
      </c>
      <c r="B518">
        <f>IF($A518="","",LEFT(Calc!$E522,4)&amp;MID(Calc!$E522,6,2)&amp;RIGHT(Calc!$E522,2)&amp;Calc!$Q522&amp;"|"&amp;"1"&amp;RIGHT("00000"&amp;513,5))</f>
        <v/>
      </c>
      <c r="C518">
        <f>IF($B518="","",COUNTIFS(LdgSellerA,$A518,LdgKeyA,"&lt;"&amp;$B518)+COUNTIFS(LdgSellerB,$A518,LdgKeyB,"&lt;"&amp;$B518)+1)</f>
        <v/>
      </c>
      <c r="D518">
        <f>IF($C518="","",$A518&amp;"|"&amp;RIGHT("000000"&amp;$C518,6))</f>
        <v/>
      </c>
      <c r="F518">
        <f>IF(Sync!$AH518="","",IF(LEFT(UPPER(TRIM(Sync!$AH518)),2)="SL",UPPER(TRIM(Sync!$AH518)),""))</f>
        <v/>
      </c>
      <c r="G518">
        <f>IF($F518="","",IF(Sync!$AE518="","",IF(ISNUMBER(Sync!$AE518),IF(AND(Sync!$AE518&gt;=10000101,Sync!$AE518&lt;=99991231),INT(Sync!$AE518/10000),""),IFERROR(VALUE(TRIM(LEFT(Sync!$AE518,FIND("/",Sync!$AE518)-1))),""))))</f>
        <v/>
      </c>
      <c r="H518">
        <f>IF(OR($F518="",$G518=""),"",IF(ISNUMBER(Sync!$AE518),INT(MOD(Sync!$AE518,10000)/100),IFERROR(VALUE(TRIM(LEFT(MID(Sync!$AE518,FIND("/",Sync!$AE518)+1,20),FIND("/",MID(Sync!$AE518,FIND("/",Sync!$AE518)+1,20))-1))),"")))</f>
        <v/>
      </c>
      <c r="I518">
        <f>IF(OR($F518="",$G518=""),"",IF(ISNUMBER(Sync!$AE518),MOD(Sync!$AE518,100),IFERROR(VALUE(TRIM(MID(MID(Sync!$AE518,FIND("/",Sync!$AE518)+1,20),FIND("/",MID(Sync!$AE518,FIND("/",Sync!$AE518)+1,20))+1,20))),"")))</f>
        <v/>
      </c>
      <c r="J518">
        <f>IF($F518="","",IF(OR($G518="",$H518="",$I518="",$G518&lt;1300,$G518&gt;1500,$H518&lt;1,$H518&gt;12,$I518&lt;1,$I518&gt;31),"نامعتبر",RIGHT("0000"&amp;$G518,4)&amp;"/"&amp;RIGHT("00"&amp;$H518,2)&amp;"/"&amp;RIGHT("00"&amp;$I518,2)))</f>
        <v/>
      </c>
      <c r="K518">
        <f>IF(OR($F518="",$J518="",$J518="نامعتبر"),"",LEFT($J518,4)&amp;MID($J518,6,2)&amp;RIGHT($J518,2)&amp;$N518&amp;"|"&amp;"2"&amp;RIGHT("00000"&amp;513,5))</f>
        <v/>
      </c>
      <c r="L518">
        <f>IF($K518="","",COUNTIFS(LdgSellerA,$F518,LdgKeyA,"&lt;"&amp;$K518)+COUNTIFS(LdgSellerB,$F518,LdgKeyB,"&lt;"&amp;$K518)+1)</f>
        <v/>
      </c>
      <c r="M518">
        <f>IF($L518="","",$F518&amp;"|"&amp;RIGHT("000000"&amp;$L518,6))</f>
        <v/>
      </c>
      <c r="N518">
        <f>IF($F518="","",IF(Sync!$AF518="","0000",IF(AND(ISNUMBER(Sync!$AF518),Sync!$AF518&gt;=0,Sync!$AF518&lt;1),RIGHT("00"&amp;HOUR(Sync!$AF518),2)&amp;RIGHT("00"&amp;MINUTE(Sync!$AF518),2),IFERROR(RIGHT("00"&amp;VALUE(LEFT(Sync!$AF518,FIND(":",Sync!$AF518)-1)),2)&amp;RIGHT("00"&amp;VALUE(MID(Sync!$AF518,FIND(":",Sync!$AF518)+1,2)),2),"0000"))))</f>
        <v/>
      </c>
    </row>
    <row r="519">
      <c r="A519">
        <f>IF(OR(Calc!$E523="",Calc!$E523="نامعتبر",Calc!$G523=""),"",Calc!$G523)</f>
        <v/>
      </c>
      <c r="B519">
        <f>IF($A519="","",LEFT(Calc!$E523,4)&amp;MID(Calc!$E523,6,2)&amp;RIGHT(Calc!$E523,2)&amp;Calc!$Q523&amp;"|"&amp;"1"&amp;RIGHT("00000"&amp;514,5))</f>
        <v/>
      </c>
      <c r="C519">
        <f>IF($B519="","",COUNTIFS(LdgSellerA,$A519,LdgKeyA,"&lt;"&amp;$B519)+COUNTIFS(LdgSellerB,$A519,LdgKeyB,"&lt;"&amp;$B519)+1)</f>
        <v/>
      </c>
      <c r="D519">
        <f>IF($C519="","",$A519&amp;"|"&amp;RIGHT("000000"&amp;$C519,6))</f>
        <v/>
      </c>
      <c r="F519">
        <f>IF(Sync!$AH519="","",IF(LEFT(UPPER(TRIM(Sync!$AH519)),2)="SL",UPPER(TRIM(Sync!$AH519)),""))</f>
        <v/>
      </c>
      <c r="G519">
        <f>IF($F519="","",IF(Sync!$AE519="","",IF(ISNUMBER(Sync!$AE519),IF(AND(Sync!$AE519&gt;=10000101,Sync!$AE519&lt;=99991231),INT(Sync!$AE519/10000),""),IFERROR(VALUE(TRIM(LEFT(Sync!$AE519,FIND("/",Sync!$AE519)-1))),""))))</f>
        <v/>
      </c>
      <c r="H519">
        <f>IF(OR($F519="",$G519=""),"",IF(ISNUMBER(Sync!$AE519),INT(MOD(Sync!$AE519,10000)/100),IFERROR(VALUE(TRIM(LEFT(MID(Sync!$AE519,FIND("/",Sync!$AE519)+1,20),FIND("/",MID(Sync!$AE519,FIND("/",Sync!$AE519)+1,20))-1))),"")))</f>
        <v/>
      </c>
      <c r="I519">
        <f>IF(OR($F519="",$G519=""),"",IF(ISNUMBER(Sync!$AE519),MOD(Sync!$AE519,100),IFERROR(VALUE(TRIM(MID(MID(Sync!$AE519,FIND("/",Sync!$AE519)+1,20),FIND("/",MID(Sync!$AE519,FIND("/",Sync!$AE519)+1,20))+1,20))),"")))</f>
        <v/>
      </c>
      <c r="J519">
        <f>IF($F519="","",IF(OR($G519="",$H519="",$I519="",$G519&lt;1300,$G519&gt;1500,$H519&lt;1,$H519&gt;12,$I519&lt;1,$I519&gt;31),"نامعتبر",RIGHT("0000"&amp;$G519,4)&amp;"/"&amp;RIGHT("00"&amp;$H519,2)&amp;"/"&amp;RIGHT("00"&amp;$I519,2)))</f>
        <v/>
      </c>
      <c r="K519">
        <f>IF(OR($F519="",$J519="",$J519="نامعتبر"),"",LEFT($J519,4)&amp;MID($J519,6,2)&amp;RIGHT($J519,2)&amp;$N519&amp;"|"&amp;"2"&amp;RIGHT("00000"&amp;514,5))</f>
        <v/>
      </c>
      <c r="L519">
        <f>IF($K519="","",COUNTIFS(LdgSellerA,$F519,LdgKeyA,"&lt;"&amp;$K519)+COUNTIFS(LdgSellerB,$F519,LdgKeyB,"&lt;"&amp;$K519)+1)</f>
        <v/>
      </c>
      <c r="M519">
        <f>IF($L519="","",$F519&amp;"|"&amp;RIGHT("000000"&amp;$L519,6))</f>
        <v/>
      </c>
      <c r="N519">
        <f>IF($F519="","",IF(Sync!$AF519="","0000",IF(AND(ISNUMBER(Sync!$AF519),Sync!$AF519&gt;=0,Sync!$AF519&lt;1),RIGHT("00"&amp;HOUR(Sync!$AF519),2)&amp;RIGHT("00"&amp;MINUTE(Sync!$AF519),2),IFERROR(RIGHT("00"&amp;VALUE(LEFT(Sync!$AF519,FIND(":",Sync!$AF519)-1)),2)&amp;RIGHT("00"&amp;VALUE(MID(Sync!$AF519,FIND(":",Sync!$AF519)+1,2)),2),"0000"))))</f>
        <v/>
      </c>
    </row>
    <row r="520">
      <c r="A520">
        <f>IF(OR(Calc!$E524="",Calc!$E524="نامعتبر",Calc!$G524=""),"",Calc!$G524)</f>
        <v/>
      </c>
      <c r="B520">
        <f>IF($A520="","",LEFT(Calc!$E524,4)&amp;MID(Calc!$E524,6,2)&amp;RIGHT(Calc!$E524,2)&amp;Calc!$Q524&amp;"|"&amp;"1"&amp;RIGHT("00000"&amp;515,5))</f>
        <v/>
      </c>
      <c r="C520">
        <f>IF($B520="","",COUNTIFS(LdgSellerA,$A520,LdgKeyA,"&lt;"&amp;$B520)+COUNTIFS(LdgSellerB,$A520,LdgKeyB,"&lt;"&amp;$B520)+1)</f>
        <v/>
      </c>
      <c r="D520">
        <f>IF($C520="","",$A520&amp;"|"&amp;RIGHT("000000"&amp;$C520,6))</f>
        <v/>
      </c>
      <c r="F520">
        <f>IF(Sync!$AH520="","",IF(LEFT(UPPER(TRIM(Sync!$AH520)),2)="SL",UPPER(TRIM(Sync!$AH520)),""))</f>
        <v/>
      </c>
      <c r="G520">
        <f>IF($F520="","",IF(Sync!$AE520="","",IF(ISNUMBER(Sync!$AE520),IF(AND(Sync!$AE520&gt;=10000101,Sync!$AE520&lt;=99991231),INT(Sync!$AE520/10000),""),IFERROR(VALUE(TRIM(LEFT(Sync!$AE520,FIND("/",Sync!$AE520)-1))),""))))</f>
        <v/>
      </c>
      <c r="H520">
        <f>IF(OR($F520="",$G520=""),"",IF(ISNUMBER(Sync!$AE520),INT(MOD(Sync!$AE520,10000)/100),IFERROR(VALUE(TRIM(LEFT(MID(Sync!$AE520,FIND("/",Sync!$AE520)+1,20),FIND("/",MID(Sync!$AE520,FIND("/",Sync!$AE520)+1,20))-1))),"")))</f>
        <v/>
      </c>
      <c r="I520">
        <f>IF(OR($F520="",$G520=""),"",IF(ISNUMBER(Sync!$AE520),MOD(Sync!$AE520,100),IFERROR(VALUE(TRIM(MID(MID(Sync!$AE520,FIND("/",Sync!$AE520)+1,20),FIND("/",MID(Sync!$AE520,FIND("/",Sync!$AE520)+1,20))+1,20))),"")))</f>
        <v/>
      </c>
      <c r="J520">
        <f>IF($F520="","",IF(OR($G520="",$H520="",$I520="",$G520&lt;1300,$G520&gt;1500,$H520&lt;1,$H520&gt;12,$I520&lt;1,$I520&gt;31),"نامعتبر",RIGHT("0000"&amp;$G520,4)&amp;"/"&amp;RIGHT("00"&amp;$H520,2)&amp;"/"&amp;RIGHT("00"&amp;$I520,2)))</f>
        <v/>
      </c>
      <c r="K520">
        <f>IF(OR($F520="",$J520="",$J520="نامعتبر"),"",LEFT($J520,4)&amp;MID($J520,6,2)&amp;RIGHT($J520,2)&amp;$N520&amp;"|"&amp;"2"&amp;RIGHT("00000"&amp;515,5))</f>
        <v/>
      </c>
      <c r="L520">
        <f>IF($K520="","",COUNTIFS(LdgSellerA,$F520,LdgKeyA,"&lt;"&amp;$K520)+COUNTIFS(LdgSellerB,$F520,LdgKeyB,"&lt;"&amp;$K520)+1)</f>
        <v/>
      </c>
      <c r="M520">
        <f>IF($L520="","",$F520&amp;"|"&amp;RIGHT("000000"&amp;$L520,6))</f>
        <v/>
      </c>
      <c r="N520">
        <f>IF($F520="","",IF(Sync!$AF520="","0000",IF(AND(ISNUMBER(Sync!$AF520),Sync!$AF520&gt;=0,Sync!$AF520&lt;1),RIGHT("00"&amp;HOUR(Sync!$AF520),2)&amp;RIGHT("00"&amp;MINUTE(Sync!$AF520),2),IFERROR(RIGHT("00"&amp;VALUE(LEFT(Sync!$AF520,FIND(":",Sync!$AF520)-1)),2)&amp;RIGHT("00"&amp;VALUE(MID(Sync!$AF520,FIND(":",Sync!$AF520)+1,2)),2),"0000"))))</f>
        <v/>
      </c>
    </row>
    <row r="521">
      <c r="A521">
        <f>IF(OR(Calc!$E525="",Calc!$E525="نامعتبر",Calc!$G525=""),"",Calc!$G525)</f>
        <v/>
      </c>
      <c r="B521">
        <f>IF($A521="","",LEFT(Calc!$E525,4)&amp;MID(Calc!$E525,6,2)&amp;RIGHT(Calc!$E525,2)&amp;Calc!$Q525&amp;"|"&amp;"1"&amp;RIGHT("00000"&amp;516,5))</f>
        <v/>
      </c>
      <c r="C521">
        <f>IF($B521="","",COUNTIFS(LdgSellerA,$A521,LdgKeyA,"&lt;"&amp;$B521)+COUNTIFS(LdgSellerB,$A521,LdgKeyB,"&lt;"&amp;$B521)+1)</f>
        <v/>
      </c>
      <c r="D521">
        <f>IF($C521="","",$A521&amp;"|"&amp;RIGHT("000000"&amp;$C521,6))</f>
        <v/>
      </c>
      <c r="F521">
        <f>IF(Sync!$AH521="","",IF(LEFT(UPPER(TRIM(Sync!$AH521)),2)="SL",UPPER(TRIM(Sync!$AH521)),""))</f>
        <v/>
      </c>
      <c r="G521">
        <f>IF($F521="","",IF(Sync!$AE521="","",IF(ISNUMBER(Sync!$AE521),IF(AND(Sync!$AE521&gt;=10000101,Sync!$AE521&lt;=99991231),INT(Sync!$AE521/10000),""),IFERROR(VALUE(TRIM(LEFT(Sync!$AE521,FIND("/",Sync!$AE521)-1))),""))))</f>
        <v/>
      </c>
      <c r="H521">
        <f>IF(OR($F521="",$G521=""),"",IF(ISNUMBER(Sync!$AE521),INT(MOD(Sync!$AE521,10000)/100),IFERROR(VALUE(TRIM(LEFT(MID(Sync!$AE521,FIND("/",Sync!$AE521)+1,20),FIND("/",MID(Sync!$AE521,FIND("/",Sync!$AE521)+1,20))-1))),"")))</f>
        <v/>
      </c>
      <c r="I521">
        <f>IF(OR($F521="",$G521=""),"",IF(ISNUMBER(Sync!$AE521),MOD(Sync!$AE521,100),IFERROR(VALUE(TRIM(MID(MID(Sync!$AE521,FIND("/",Sync!$AE521)+1,20),FIND("/",MID(Sync!$AE521,FIND("/",Sync!$AE521)+1,20))+1,20))),"")))</f>
        <v/>
      </c>
      <c r="J521">
        <f>IF($F521="","",IF(OR($G521="",$H521="",$I521="",$G521&lt;1300,$G521&gt;1500,$H521&lt;1,$H521&gt;12,$I521&lt;1,$I521&gt;31),"نامعتبر",RIGHT("0000"&amp;$G521,4)&amp;"/"&amp;RIGHT("00"&amp;$H521,2)&amp;"/"&amp;RIGHT("00"&amp;$I521,2)))</f>
        <v/>
      </c>
      <c r="K521">
        <f>IF(OR($F521="",$J521="",$J521="نامعتبر"),"",LEFT($J521,4)&amp;MID($J521,6,2)&amp;RIGHT($J521,2)&amp;$N521&amp;"|"&amp;"2"&amp;RIGHT("00000"&amp;516,5))</f>
        <v/>
      </c>
      <c r="L521">
        <f>IF($K521="","",COUNTIFS(LdgSellerA,$F521,LdgKeyA,"&lt;"&amp;$K521)+COUNTIFS(LdgSellerB,$F521,LdgKeyB,"&lt;"&amp;$K521)+1)</f>
        <v/>
      </c>
      <c r="M521">
        <f>IF($L521="","",$F521&amp;"|"&amp;RIGHT("000000"&amp;$L521,6))</f>
        <v/>
      </c>
      <c r="N521">
        <f>IF($F521="","",IF(Sync!$AF521="","0000",IF(AND(ISNUMBER(Sync!$AF521),Sync!$AF521&gt;=0,Sync!$AF521&lt;1),RIGHT("00"&amp;HOUR(Sync!$AF521),2)&amp;RIGHT("00"&amp;MINUTE(Sync!$AF521),2),IFERROR(RIGHT("00"&amp;VALUE(LEFT(Sync!$AF521,FIND(":",Sync!$AF521)-1)),2)&amp;RIGHT("00"&amp;VALUE(MID(Sync!$AF521,FIND(":",Sync!$AF521)+1,2)),2),"0000"))))</f>
        <v/>
      </c>
    </row>
    <row r="522">
      <c r="A522">
        <f>IF(OR(Calc!$E526="",Calc!$E526="نامعتبر",Calc!$G526=""),"",Calc!$G526)</f>
        <v/>
      </c>
      <c r="B522">
        <f>IF($A522="","",LEFT(Calc!$E526,4)&amp;MID(Calc!$E526,6,2)&amp;RIGHT(Calc!$E526,2)&amp;Calc!$Q526&amp;"|"&amp;"1"&amp;RIGHT("00000"&amp;517,5))</f>
        <v/>
      </c>
      <c r="C522">
        <f>IF($B522="","",COUNTIFS(LdgSellerA,$A522,LdgKeyA,"&lt;"&amp;$B522)+COUNTIFS(LdgSellerB,$A522,LdgKeyB,"&lt;"&amp;$B522)+1)</f>
        <v/>
      </c>
      <c r="D522">
        <f>IF($C522="","",$A522&amp;"|"&amp;RIGHT("000000"&amp;$C522,6))</f>
        <v/>
      </c>
      <c r="F522">
        <f>IF(Sync!$AH522="","",IF(LEFT(UPPER(TRIM(Sync!$AH522)),2)="SL",UPPER(TRIM(Sync!$AH522)),""))</f>
        <v/>
      </c>
      <c r="G522">
        <f>IF($F522="","",IF(Sync!$AE522="","",IF(ISNUMBER(Sync!$AE522),IF(AND(Sync!$AE522&gt;=10000101,Sync!$AE522&lt;=99991231),INT(Sync!$AE522/10000),""),IFERROR(VALUE(TRIM(LEFT(Sync!$AE522,FIND("/",Sync!$AE522)-1))),""))))</f>
        <v/>
      </c>
      <c r="H522">
        <f>IF(OR($F522="",$G522=""),"",IF(ISNUMBER(Sync!$AE522),INT(MOD(Sync!$AE522,10000)/100),IFERROR(VALUE(TRIM(LEFT(MID(Sync!$AE522,FIND("/",Sync!$AE522)+1,20),FIND("/",MID(Sync!$AE522,FIND("/",Sync!$AE522)+1,20))-1))),"")))</f>
        <v/>
      </c>
      <c r="I522">
        <f>IF(OR($F522="",$G522=""),"",IF(ISNUMBER(Sync!$AE522),MOD(Sync!$AE522,100),IFERROR(VALUE(TRIM(MID(MID(Sync!$AE522,FIND("/",Sync!$AE522)+1,20),FIND("/",MID(Sync!$AE522,FIND("/",Sync!$AE522)+1,20))+1,20))),"")))</f>
        <v/>
      </c>
      <c r="J522">
        <f>IF($F522="","",IF(OR($G522="",$H522="",$I522="",$G522&lt;1300,$G522&gt;1500,$H522&lt;1,$H522&gt;12,$I522&lt;1,$I522&gt;31),"نامعتبر",RIGHT("0000"&amp;$G522,4)&amp;"/"&amp;RIGHT("00"&amp;$H522,2)&amp;"/"&amp;RIGHT("00"&amp;$I522,2)))</f>
        <v/>
      </c>
      <c r="K522">
        <f>IF(OR($F522="",$J522="",$J522="نامعتبر"),"",LEFT($J522,4)&amp;MID($J522,6,2)&amp;RIGHT($J522,2)&amp;$N522&amp;"|"&amp;"2"&amp;RIGHT("00000"&amp;517,5))</f>
        <v/>
      </c>
      <c r="L522">
        <f>IF($K522="","",COUNTIFS(LdgSellerA,$F522,LdgKeyA,"&lt;"&amp;$K522)+COUNTIFS(LdgSellerB,$F522,LdgKeyB,"&lt;"&amp;$K522)+1)</f>
        <v/>
      </c>
      <c r="M522">
        <f>IF($L522="","",$F522&amp;"|"&amp;RIGHT("000000"&amp;$L522,6))</f>
        <v/>
      </c>
      <c r="N522">
        <f>IF($F522="","",IF(Sync!$AF522="","0000",IF(AND(ISNUMBER(Sync!$AF522),Sync!$AF522&gt;=0,Sync!$AF522&lt;1),RIGHT("00"&amp;HOUR(Sync!$AF522),2)&amp;RIGHT("00"&amp;MINUTE(Sync!$AF522),2),IFERROR(RIGHT("00"&amp;VALUE(LEFT(Sync!$AF522,FIND(":",Sync!$AF522)-1)),2)&amp;RIGHT("00"&amp;VALUE(MID(Sync!$AF522,FIND(":",Sync!$AF522)+1,2)),2),"0000"))))</f>
        <v/>
      </c>
    </row>
    <row r="523">
      <c r="A523">
        <f>IF(OR(Calc!$E527="",Calc!$E527="نامعتبر",Calc!$G527=""),"",Calc!$G527)</f>
        <v/>
      </c>
      <c r="B523">
        <f>IF($A523="","",LEFT(Calc!$E527,4)&amp;MID(Calc!$E527,6,2)&amp;RIGHT(Calc!$E527,2)&amp;Calc!$Q527&amp;"|"&amp;"1"&amp;RIGHT("00000"&amp;518,5))</f>
        <v/>
      </c>
      <c r="C523">
        <f>IF($B523="","",COUNTIFS(LdgSellerA,$A523,LdgKeyA,"&lt;"&amp;$B523)+COUNTIFS(LdgSellerB,$A523,LdgKeyB,"&lt;"&amp;$B523)+1)</f>
        <v/>
      </c>
      <c r="D523">
        <f>IF($C523="","",$A523&amp;"|"&amp;RIGHT("000000"&amp;$C523,6))</f>
        <v/>
      </c>
      <c r="F523">
        <f>IF(Sync!$AH523="","",IF(LEFT(UPPER(TRIM(Sync!$AH523)),2)="SL",UPPER(TRIM(Sync!$AH523)),""))</f>
        <v/>
      </c>
      <c r="G523">
        <f>IF($F523="","",IF(Sync!$AE523="","",IF(ISNUMBER(Sync!$AE523),IF(AND(Sync!$AE523&gt;=10000101,Sync!$AE523&lt;=99991231),INT(Sync!$AE523/10000),""),IFERROR(VALUE(TRIM(LEFT(Sync!$AE523,FIND("/",Sync!$AE523)-1))),""))))</f>
        <v/>
      </c>
      <c r="H523">
        <f>IF(OR($F523="",$G523=""),"",IF(ISNUMBER(Sync!$AE523),INT(MOD(Sync!$AE523,10000)/100),IFERROR(VALUE(TRIM(LEFT(MID(Sync!$AE523,FIND("/",Sync!$AE523)+1,20),FIND("/",MID(Sync!$AE523,FIND("/",Sync!$AE523)+1,20))-1))),"")))</f>
        <v/>
      </c>
      <c r="I523">
        <f>IF(OR($F523="",$G523=""),"",IF(ISNUMBER(Sync!$AE523),MOD(Sync!$AE523,100),IFERROR(VALUE(TRIM(MID(MID(Sync!$AE523,FIND("/",Sync!$AE523)+1,20),FIND("/",MID(Sync!$AE523,FIND("/",Sync!$AE523)+1,20))+1,20))),"")))</f>
        <v/>
      </c>
      <c r="J523">
        <f>IF($F523="","",IF(OR($G523="",$H523="",$I523="",$G523&lt;1300,$G523&gt;1500,$H523&lt;1,$H523&gt;12,$I523&lt;1,$I523&gt;31),"نامعتبر",RIGHT("0000"&amp;$G523,4)&amp;"/"&amp;RIGHT("00"&amp;$H523,2)&amp;"/"&amp;RIGHT("00"&amp;$I523,2)))</f>
        <v/>
      </c>
      <c r="K523">
        <f>IF(OR($F523="",$J523="",$J523="نامعتبر"),"",LEFT($J523,4)&amp;MID($J523,6,2)&amp;RIGHT($J523,2)&amp;$N523&amp;"|"&amp;"2"&amp;RIGHT("00000"&amp;518,5))</f>
        <v/>
      </c>
      <c r="L523">
        <f>IF($K523="","",COUNTIFS(LdgSellerA,$F523,LdgKeyA,"&lt;"&amp;$K523)+COUNTIFS(LdgSellerB,$F523,LdgKeyB,"&lt;"&amp;$K523)+1)</f>
        <v/>
      </c>
      <c r="M523">
        <f>IF($L523="","",$F523&amp;"|"&amp;RIGHT("000000"&amp;$L523,6))</f>
        <v/>
      </c>
      <c r="N523">
        <f>IF($F523="","",IF(Sync!$AF523="","0000",IF(AND(ISNUMBER(Sync!$AF523),Sync!$AF523&gt;=0,Sync!$AF523&lt;1),RIGHT("00"&amp;HOUR(Sync!$AF523),2)&amp;RIGHT("00"&amp;MINUTE(Sync!$AF523),2),IFERROR(RIGHT("00"&amp;VALUE(LEFT(Sync!$AF523,FIND(":",Sync!$AF523)-1)),2)&amp;RIGHT("00"&amp;VALUE(MID(Sync!$AF523,FIND(":",Sync!$AF523)+1,2)),2),"0000"))))</f>
        <v/>
      </c>
    </row>
    <row r="524">
      <c r="A524">
        <f>IF(OR(Calc!$E528="",Calc!$E528="نامعتبر",Calc!$G528=""),"",Calc!$G528)</f>
        <v/>
      </c>
      <c r="B524">
        <f>IF($A524="","",LEFT(Calc!$E528,4)&amp;MID(Calc!$E528,6,2)&amp;RIGHT(Calc!$E528,2)&amp;Calc!$Q528&amp;"|"&amp;"1"&amp;RIGHT("00000"&amp;519,5))</f>
        <v/>
      </c>
      <c r="C524">
        <f>IF($B524="","",COUNTIFS(LdgSellerA,$A524,LdgKeyA,"&lt;"&amp;$B524)+COUNTIFS(LdgSellerB,$A524,LdgKeyB,"&lt;"&amp;$B524)+1)</f>
        <v/>
      </c>
      <c r="D524">
        <f>IF($C524="","",$A524&amp;"|"&amp;RIGHT("000000"&amp;$C524,6))</f>
        <v/>
      </c>
      <c r="F524">
        <f>IF(Sync!$AH524="","",IF(LEFT(UPPER(TRIM(Sync!$AH524)),2)="SL",UPPER(TRIM(Sync!$AH524)),""))</f>
        <v/>
      </c>
      <c r="G524">
        <f>IF($F524="","",IF(Sync!$AE524="","",IF(ISNUMBER(Sync!$AE524),IF(AND(Sync!$AE524&gt;=10000101,Sync!$AE524&lt;=99991231),INT(Sync!$AE524/10000),""),IFERROR(VALUE(TRIM(LEFT(Sync!$AE524,FIND("/",Sync!$AE524)-1))),""))))</f>
        <v/>
      </c>
      <c r="H524">
        <f>IF(OR($F524="",$G524=""),"",IF(ISNUMBER(Sync!$AE524),INT(MOD(Sync!$AE524,10000)/100),IFERROR(VALUE(TRIM(LEFT(MID(Sync!$AE524,FIND("/",Sync!$AE524)+1,20),FIND("/",MID(Sync!$AE524,FIND("/",Sync!$AE524)+1,20))-1))),"")))</f>
        <v/>
      </c>
      <c r="I524">
        <f>IF(OR($F524="",$G524=""),"",IF(ISNUMBER(Sync!$AE524),MOD(Sync!$AE524,100),IFERROR(VALUE(TRIM(MID(MID(Sync!$AE524,FIND("/",Sync!$AE524)+1,20),FIND("/",MID(Sync!$AE524,FIND("/",Sync!$AE524)+1,20))+1,20))),"")))</f>
        <v/>
      </c>
      <c r="J524">
        <f>IF($F524="","",IF(OR($G524="",$H524="",$I524="",$G524&lt;1300,$G524&gt;1500,$H524&lt;1,$H524&gt;12,$I524&lt;1,$I524&gt;31),"نامعتبر",RIGHT("0000"&amp;$G524,4)&amp;"/"&amp;RIGHT("00"&amp;$H524,2)&amp;"/"&amp;RIGHT("00"&amp;$I524,2)))</f>
        <v/>
      </c>
      <c r="K524">
        <f>IF(OR($F524="",$J524="",$J524="نامعتبر"),"",LEFT($J524,4)&amp;MID($J524,6,2)&amp;RIGHT($J524,2)&amp;$N524&amp;"|"&amp;"2"&amp;RIGHT("00000"&amp;519,5))</f>
        <v/>
      </c>
      <c r="L524">
        <f>IF($K524="","",COUNTIFS(LdgSellerA,$F524,LdgKeyA,"&lt;"&amp;$K524)+COUNTIFS(LdgSellerB,$F524,LdgKeyB,"&lt;"&amp;$K524)+1)</f>
        <v/>
      </c>
      <c r="M524">
        <f>IF($L524="","",$F524&amp;"|"&amp;RIGHT("000000"&amp;$L524,6))</f>
        <v/>
      </c>
      <c r="N524">
        <f>IF($F524="","",IF(Sync!$AF524="","0000",IF(AND(ISNUMBER(Sync!$AF524),Sync!$AF524&gt;=0,Sync!$AF524&lt;1),RIGHT("00"&amp;HOUR(Sync!$AF524),2)&amp;RIGHT("00"&amp;MINUTE(Sync!$AF524),2),IFERROR(RIGHT("00"&amp;VALUE(LEFT(Sync!$AF524,FIND(":",Sync!$AF524)-1)),2)&amp;RIGHT("00"&amp;VALUE(MID(Sync!$AF524,FIND(":",Sync!$AF524)+1,2)),2),"0000"))))</f>
        <v/>
      </c>
    </row>
    <row r="525">
      <c r="A525">
        <f>IF(OR(Calc!$E529="",Calc!$E529="نامعتبر",Calc!$G529=""),"",Calc!$G529)</f>
        <v/>
      </c>
      <c r="B525">
        <f>IF($A525="","",LEFT(Calc!$E529,4)&amp;MID(Calc!$E529,6,2)&amp;RIGHT(Calc!$E529,2)&amp;Calc!$Q529&amp;"|"&amp;"1"&amp;RIGHT("00000"&amp;520,5))</f>
        <v/>
      </c>
      <c r="C525">
        <f>IF($B525="","",COUNTIFS(LdgSellerA,$A525,LdgKeyA,"&lt;"&amp;$B525)+COUNTIFS(LdgSellerB,$A525,LdgKeyB,"&lt;"&amp;$B525)+1)</f>
        <v/>
      </c>
      <c r="D525">
        <f>IF($C525="","",$A525&amp;"|"&amp;RIGHT("000000"&amp;$C525,6))</f>
        <v/>
      </c>
      <c r="F525">
        <f>IF(Sync!$AH525="","",IF(LEFT(UPPER(TRIM(Sync!$AH525)),2)="SL",UPPER(TRIM(Sync!$AH525)),""))</f>
        <v/>
      </c>
      <c r="G525">
        <f>IF($F525="","",IF(Sync!$AE525="","",IF(ISNUMBER(Sync!$AE525),IF(AND(Sync!$AE525&gt;=10000101,Sync!$AE525&lt;=99991231),INT(Sync!$AE525/10000),""),IFERROR(VALUE(TRIM(LEFT(Sync!$AE525,FIND("/",Sync!$AE525)-1))),""))))</f>
        <v/>
      </c>
      <c r="H525">
        <f>IF(OR($F525="",$G525=""),"",IF(ISNUMBER(Sync!$AE525),INT(MOD(Sync!$AE525,10000)/100),IFERROR(VALUE(TRIM(LEFT(MID(Sync!$AE525,FIND("/",Sync!$AE525)+1,20),FIND("/",MID(Sync!$AE525,FIND("/",Sync!$AE525)+1,20))-1))),"")))</f>
        <v/>
      </c>
      <c r="I525">
        <f>IF(OR($F525="",$G525=""),"",IF(ISNUMBER(Sync!$AE525),MOD(Sync!$AE525,100),IFERROR(VALUE(TRIM(MID(MID(Sync!$AE525,FIND("/",Sync!$AE525)+1,20),FIND("/",MID(Sync!$AE525,FIND("/",Sync!$AE525)+1,20))+1,20))),"")))</f>
        <v/>
      </c>
      <c r="J525">
        <f>IF($F525="","",IF(OR($G525="",$H525="",$I525="",$G525&lt;1300,$G525&gt;1500,$H525&lt;1,$H525&gt;12,$I525&lt;1,$I525&gt;31),"نامعتبر",RIGHT("0000"&amp;$G525,4)&amp;"/"&amp;RIGHT("00"&amp;$H525,2)&amp;"/"&amp;RIGHT("00"&amp;$I525,2)))</f>
        <v/>
      </c>
      <c r="K525">
        <f>IF(OR($F525="",$J525="",$J525="نامعتبر"),"",LEFT($J525,4)&amp;MID($J525,6,2)&amp;RIGHT($J525,2)&amp;$N525&amp;"|"&amp;"2"&amp;RIGHT("00000"&amp;520,5))</f>
        <v/>
      </c>
      <c r="L525">
        <f>IF($K525="","",COUNTIFS(LdgSellerA,$F525,LdgKeyA,"&lt;"&amp;$K525)+COUNTIFS(LdgSellerB,$F525,LdgKeyB,"&lt;"&amp;$K525)+1)</f>
        <v/>
      </c>
      <c r="M525">
        <f>IF($L525="","",$F525&amp;"|"&amp;RIGHT("000000"&amp;$L525,6))</f>
        <v/>
      </c>
      <c r="N525">
        <f>IF($F525="","",IF(Sync!$AF525="","0000",IF(AND(ISNUMBER(Sync!$AF525),Sync!$AF525&gt;=0,Sync!$AF525&lt;1),RIGHT("00"&amp;HOUR(Sync!$AF525),2)&amp;RIGHT("00"&amp;MINUTE(Sync!$AF525),2),IFERROR(RIGHT("00"&amp;VALUE(LEFT(Sync!$AF525,FIND(":",Sync!$AF525)-1)),2)&amp;RIGHT("00"&amp;VALUE(MID(Sync!$AF525,FIND(":",Sync!$AF525)+1,2)),2),"0000"))))</f>
        <v/>
      </c>
    </row>
    <row r="526">
      <c r="A526">
        <f>IF(OR(Calc!$E530="",Calc!$E530="نامعتبر",Calc!$G530=""),"",Calc!$G530)</f>
        <v/>
      </c>
      <c r="B526">
        <f>IF($A526="","",LEFT(Calc!$E530,4)&amp;MID(Calc!$E530,6,2)&amp;RIGHT(Calc!$E530,2)&amp;Calc!$Q530&amp;"|"&amp;"1"&amp;RIGHT("00000"&amp;521,5))</f>
        <v/>
      </c>
      <c r="C526">
        <f>IF($B526="","",COUNTIFS(LdgSellerA,$A526,LdgKeyA,"&lt;"&amp;$B526)+COUNTIFS(LdgSellerB,$A526,LdgKeyB,"&lt;"&amp;$B526)+1)</f>
        <v/>
      </c>
      <c r="D526">
        <f>IF($C526="","",$A526&amp;"|"&amp;RIGHT("000000"&amp;$C526,6))</f>
        <v/>
      </c>
      <c r="F526">
        <f>IF(Sync!$AH526="","",IF(LEFT(UPPER(TRIM(Sync!$AH526)),2)="SL",UPPER(TRIM(Sync!$AH526)),""))</f>
        <v/>
      </c>
      <c r="G526">
        <f>IF($F526="","",IF(Sync!$AE526="","",IF(ISNUMBER(Sync!$AE526),IF(AND(Sync!$AE526&gt;=10000101,Sync!$AE526&lt;=99991231),INT(Sync!$AE526/10000),""),IFERROR(VALUE(TRIM(LEFT(Sync!$AE526,FIND("/",Sync!$AE526)-1))),""))))</f>
        <v/>
      </c>
      <c r="H526">
        <f>IF(OR($F526="",$G526=""),"",IF(ISNUMBER(Sync!$AE526),INT(MOD(Sync!$AE526,10000)/100),IFERROR(VALUE(TRIM(LEFT(MID(Sync!$AE526,FIND("/",Sync!$AE526)+1,20),FIND("/",MID(Sync!$AE526,FIND("/",Sync!$AE526)+1,20))-1))),"")))</f>
        <v/>
      </c>
      <c r="I526">
        <f>IF(OR($F526="",$G526=""),"",IF(ISNUMBER(Sync!$AE526),MOD(Sync!$AE526,100),IFERROR(VALUE(TRIM(MID(MID(Sync!$AE526,FIND("/",Sync!$AE526)+1,20),FIND("/",MID(Sync!$AE526,FIND("/",Sync!$AE526)+1,20))+1,20))),"")))</f>
        <v/>
      </c>
      <c r="J526">
        <f>IF($F526="","",IF(OR($G526="",$H526="",$I526="",$G526&lt;1300,$G526&gt;1500,$H526&lt;1,$H526&gt;12,$I526&lt;1,$I526&gt;31),"نامعتبر",RIGHT("0000"&amp;$G526,4)&amp;"/"&amp;RIGHT("00"&amp;$H526,2)&amp;"/"&amp;RIGHT("00"&amp;$I526,2)))</f>
        <v/>
      </c>
      <c r="K526">
        <f>IF(OR($F526="",$J526="",$J526="نامعتبر"),"",LEFT($J526,4)&amp;MID($J526,6,2)&amp;RIGHT($J526,2)&amp;$N526&amp;"|"&amp;"2"&amp;RIGHT("00000"&amp;521,5))</f>
        <v/>
      </c>
      <c r="L526">
        <f>IF($K526="","",COUNTIFS(LdgSellerA,$F526,LdgKeyA,"&lt;"&amp;$K526)+COUNTIFS(LdgSellerB,$F526,LdgKeyB,"&lt;"&amp;$K526)+1)</f>
        <v/>
      </c>
      <c r="M526">
        <f>IF($L526="","",$F526&amp;"|"&amp;RIGHT("000000"&amp;$L526,6))</f>
        <v/>
      </c>
      <c r="N526">
        <f>IF($F526="","",IF(Sync!$AF526="","0000",IF(AND(ISNUMBER(Sync!$AF526),Sync!$AF526&gt;=0,Sync!$AF526&lt;1),RIGHT("00"&amp;HOUR(Sync!$AF526),2)&amp;RIGHT("00"&amp;MINUTE(Sync!$AF526),2),IFERROR(RIGHT("00"&amp;VALUE(LEFT(Sync!$AF526,FIND(":",Sync!$AF526)-1)),2)&amp;RIGHT("00"&amp;VALUE(MID(Sync!$AF526,FIND(":",Sync!$AF526)+1,2)),2),"0000"))))</f>
        <v/>
      </c>
    </row>
    <row r="527">
      <c r="A527">
        <f>IF(OR(Calc!$E531="",Calc!$E531="نامعتبر",Calc!$G531=""),"",Calc!$G531)</f>
        <v/>
      </c>
      <c r="B527">
        <f>IF($A527="","",LEFT(Calc!$E531,4)&amp;MID(Calc!$E531,6,2)&amp;RIGHT(Calc!$E531,2)&amp;Calc!$Q531&amp;"|"&amp;"1"&amp;RIGHT("00000"&amp;522,5))</f>
        <v/>
      </c>
      <c r="C527">
        <f>IF($B527="","",COUNTIFS(LdgSellerA,$A527,LdgKeyA,"&lt;"&amp;$B527)+COUNTIFS(LdgSellerB,$A527,LdgKeyB,"&lt;"&amp;$B527)+1)</f>
        <v/>
      </c>
      <c r="D527">
        <f>IF($C527="","",$A527&amp;"|"&amp;RIGHT("000000"&amp;$C527,6))</f>
        <v/>
      </c>
      <c r="F527">
        <f>IF(Sync!$AH527="","",IF(LEFT(UPPER(TRIM(Sync!$AH527)),2)="SL",UPPER(TRIM(Sync!$AH527)),""))</f>
        <v/>
      </c>
      <c r="G527">
        <f>IF($F527="","",IF(Sync!$AE527="","",IF(ISNUMBER(Sync!$AE527),IF(AND(Sync!$AE527&gt;=10000101,Sync!$AE527&lt;=99991231),INT(Sync!$AE527/10000),""),IFERROR(VALUE(TRIM(LEFT(Sync!$AE527,FIND("/",Sync!$AE527)-1))),""))))</f>
        <v/>
      </c>
      <c r="H527">
        <f>IF(OR($F527="",$G527=""),"",IF(ISNUMBER(Sync!$AE527),INT(MOD(Sync!$AE527,10000)/100),IFERROR(VALUE(TRIM(LEFT(MID(Sync!$AE527,FIND("/",Sync!$AE527)+1,20),FIND("/",MID(Sync!$AE527,FIND("/",Sync!$AE527)+1,20))-1))),"")))</f>
        <v/>
      </c>
      <c r="I527">
        <f>IF(OR($F527="",$G527=""),"",IF(ISNUMBER(Sync!$AE527),MOD(Sync!$AE527,100),IFERROR(VALUE(TRIM(MID(MID(Sync!$AE527,FIND("/",Sync!$AE527)+1,20),FIND("/",MID(Sync!$AE527,FIND("/",Sync!$AE527)+1,20))+1,20))),"")))</f>
        <v/>
      </c>
      <c r="J527">
        <f>IF($F527="","",IF(OR($G527="",$H527="",$I527="",$G527&lt;1300,$G527&gt;1500,$H527&lt;1,$H527&gt;12,$I527&lt;1,$I527&gt;31),"نامعتبر",RIGHT("0000"&amp;$G527,4)&amp;"/"&amp;RIGHT("00"&amp;$H527,2)&amp;"/"&amp;RIGHT("00"&amp;$I527,2)))</f>
        <v/>
      </c>
      <c r="K527">
        <f>IF(OR($F527="",$J527="",$J527="نامعتبر"),"",LEFT($J527,4)&amp;MID($J527,6,2)&amp;RIGHT($J527,2)&amp;$N527&amp;"|"&amp;"2"&amp;RIGHT("00000"&amp;522,5))</f>
        <v/>
      </c>
      <c r="L527">
        <f>IF($K527="","",COUNTIFS(LdgSellerA,$F527,LdgKeyA,"&lt;"&amp;$K527)+COUNTIFS(LdgSellerB,$F527,LdgKeyB,"&lt;"&amp;$K527)+1)</f>
        <v/>
      </c>
      <c r="M527">
        <f>IF($L527="","",$F527&amp;"|"&amp;RIGHT("000000"&amp;$L527,6))</f>
        <v/>
      </c>
      <c r="N527">
        <f>IF($F527="","",IF(Sync!$AF527="","0000",IF(AND(ISNUMBER(Sync!$AF527),Sync!$AF527&gt;=0,Sync!$AF527&lt;1),RIGHT("00"&amp;HOUR(Sync!$AF527),2)&amp;RIGHT("00"&amp;MINUTE(Sync!$AF527),2),IFERROR(RIGHT("00"&amp;VALUE(LEFT(Sync!$AF527,FIND(":",Sync!$AF527)-1)),2)&amp;RIGHT("00"&amp;VALUE(MID(Sync!$AF527,FIND(":",Sync!$AF527)+1,2)),2),"0000"))))</f>
        <v/>
      </c>
    </row>
    <row r="528">
      <c r="A528">
        <f>IF(OR(Calc!$E532="",Calc!$E532="نامعتبر",Calc!$G532=""),"",Calc!$G532)</f>
        <v/>
      </c>
      <c r="B528">
        <f>IF($A528="","",LEFT(Calc!$E532,4)&amp;MID(Calc!$E532,6,2)&amp;RIGHT(Calc!$E532,2)&amp;Calc!$Q532&amp;"|"&amp;"1"&amp;RIGHT("00000"&amp;523,5))</f>
        <v/>
      </c>
      <c r="C528">
        <f>IF($B528="","",COUNTIFS(LdgSellerA,$A528,LdgKeyA,"&lt;"&amp;$B528)+COUNTIFS(LdgSellerB,$A528,LdgKeyB,"&lt;"&amp;$B528)+1)</f>
        <v/>
      </c>
      <c r="D528">
        <f>IF($C528="","",$A528&amp;"|"&amp;RIGHT("000000"&amp;$C528,6))</f>
        <v/>
      </c>
      <c r="F528">
        <f>IF(Sync!$AH528="","",IF(LEFT(UPPER(TRIM(Sync!$AH528)),2)="SL",UPPER(TRIM(Sync!$AH528)),""))</f>
        <v/>
      </c>
      <c r="G528">
        <f>IF($F528="","",IF(Sync!$AE528="","",IF(ISNUMBER(Sync!$AE528),IF(AND(Sync!$AE528&gt;=10000101,Sync!$AE528&lt;=99991231),INT(Sync!$AE528/10000),""),IFERROR(VALUE(TRIM(LEFT(Sync!$AE528,FIND("/",Sync!$AE528)-1))),""))))</f>
        <v/>
      </c>
      <c r="H528">
        <f>IF(OR($F528="",$G528=""),"",IF(ISNUMBER(Sync!$AE528),INT(MOD(Sync!$AE528,10000)/100),IFERROR(VALUE(TRIM(LEFT(MID(Sync!$AE528,FIND("/",Sync!$AE528)+1,20),FIND("/",MID(Sync!$AE528,FIND("/",Sync!$AE528)+1,20))-1))),"")))</f>
        <v/>
      </c>
      <c r="I528">
        <f>IF(OR($F528="",$G528=""),"",IF(ISNUMBER(Sync!$AE528),MOD(Sync!$AE528,100),IFERROR(VALUE(TRIM(MID(MID(Sync!$AE528,FIND("/",Sync!$AE528)+1,20),FIND("/",MID(Sync!$AE528,FIND("/",Sync!$AE528)+1,20))+1,20))),"")))</f>
        <v/>
      </c>
      <c r="J528">
        <f>IF($F528="","",IF(OR($G528="",$H528="",$I528="",$G528&lt;1300,$G528&gt;1500,$H528&lt;1,$H528&gt;12,$I528&lt;1,$I528&gt;31),"نامعتبر",RIGHT("0000"&amp;$G528,4)&amp;"/"&amp;RIGHT("00"&amp;$H528,2)&amp;"/"&amp;RIGHT("00"&amp;$I528,2)))</f>
        <v/>
      </c>
      <c r="K528">
        <f>IF(OR($F528="",$J528="",$J528="نامعتبر"),"",LEFT($J528,4)&amp;MID($J528,6,2)&amp;RIGHT($J528,2)&amp;$N528&amp;"|"&amp;"2"&amp;RIGHT("00000"&amp;523,5))</f>
        <v/>
      </c>
      <c r="L528">
        <f>IF($K528="","",COUNTIFS(LdgSellerA,$F528,LdgKeyA,"&lt;"&amp;$K528)+COUNTIFS(LdgSellerB,$F528,LdgKeyB,"&lt;"&amp;$K528)+1)</f>
        <v/>
      </c>
      <c r="M528">
        <f>IF($L528="","",$F528&amp;"|"&amp;RIGHT("000000"&amp;$L528,6))</f>
        <v/>
      </c>
      <c r="N528">
        <f>IF($F528="","",IF(Sync!$AF528="","0000",IF(AND(ISNUMBER(Sync!$AF528),Sync!$AF528&gt;=0,Sync!$AF528&lt;1),RIGHT("00"&amp;HOUR(Sync!$AF528),2)&amp;RIGHT("00"&amp;MINUTE(Sync!$AF528),2),IFERROR(RIGHT("00"&amp;VALUE(LEFT(Sync!$AF528,FIND(":",Sync!$AF528)-1)),2)&amp;RIGHT("00"&amp;VALUE(MID(Sync!$AF528,FIND(":",Sync!$AF528)+1,2)),2),"0000"))))</f>
        <v/>
      </c>
    </row>
    <row r="529">
      <c r="A529">
        <f>IF(OR(Calc!$E533="",Calc!$E533="نامعتبر",Calc!$G533=""),"",Calc!$G533)</f>
        <v/>
      </c>
      <c r="B529">
        <f>IF($A529="","",LEFT(Calc!$E533,4)&amp;MID(Calc!$E533,6,2)&amp;RIGHT(Calc!$E533,2)&amp;Calc!$Q533&amp;"|"&amp;"1"&amp;RIGHT("00000"&amp;524,5))</f>
        <v/>
      </c>
      <c r="C529">
        <f>IF($B529="","",COUNTIFS(LdgSellerA,$A529,LdgKeyA,"&lt;"&amp;$B529)+COUNTIFS(LdgSellerB,$A529,LdgKeyB,"&lt;"&amp;$B529)+1)</f>
        <v/>
      </c>
      <c r="D529">
        <f>IF($C529="","",$A529&amp;"|"&amp;RIGHT("000000"&amp;$C529,6))</f>
        <v/>
      </c>
      <c r="F529">
        <f>IF(Sync!$AH529="","",IF(LEFT(UPPER(TRIM(Sync!$AH529)),2)="SL",UPPER(TRIM(Sync!$AH529)),""))</f>
        <v/>
      </c>
      <c r="G529">
        <f>IF($F529="","",IF(Sync!$AE529="","",IF(ISNUMBER(Sync!$AE529),IF(AND(Sync!$AE529&gt;=10000101,Sync!$AE529&lt;=99991231),INT(Sync!$AE529/10000),""),IFERROR(VALUE(TRIM(LEFT(Sync!$AE529,FIND("/",Sync!$AE529)-1))),""))))</f>
        <v/>
      </c>
      <c r="H529">
        <f>IF(OR($F529="",$G529=""),"",IF(ISNUMBER(Sync!$AE529),INT(MOD(Sync!$AE529,10000)/100),IFERROR(VALUE(TRIM(LEFT(MID(Sync!$AE529,FIND("/",Sync!$AE529)+1,20),FIND("/",MID(Sync!$AE529,FIND("/",Sync!$AE529)+1,20))-1))),"")))</f>
        <v/>
      </c>
      <c r="I529">
        <f>IF(OR($F529="",$G529=""),"",IF(ISNUMBER(Sync!$AE529),MOD(Sync!$AE529,100),IFERROR(VALUE(TRIM(MID(MID(Sync!$AE529,FIND("/",Sync!$AE529)+1,20),FIND("/",MID(Sync!$AE529,FIND("/",Sync!$AE529)+1,20))+1,20))),"")))</f>
        <v/>
      </c>
      <c r="J529">
        <f>IF($F529="","",IF(OR($G529="",$H529="",$I529="",$G529&lt;1300,$G529&gt;1500,$H529&lt;1,$H529&gt;12,$I529&lt;1,$I529&gt;31),"نامعتبر",RIGHT("0000"&amp;$G529,4)&amp;"/"&amp;RIGHT("00"&amp;$H529,2)&amp;"/"&amp;RIGHT("00"&amp;$I529,2)))</f>
        <v/>
      </c>
      <c r="K529">
        <f>IF(OR($F529="",$J529="",$J529="نامعتبر"),"",LEFT($J529,4)&amp;MID($J529,6,2)&amp;RIGHT($J529,2)&amp;$N529&amp;"|"&amp;"2"&amp;RIGHT("00000"&amp;524,5))</f>
        <v/>
      </c>
      <c r="L529">
        <f>IF($K529="","",COUNTIFS(LdgSellerA,$F529,LdgKeyA,"&lt;"&amp;$K529)+COUNTIFS(LdgSellerB,$F529,LdgKeyB,"&lt;"&amp;$K529)+1)</f>
        <v/>
      </c>
      <c r="M529">
        <f>IF($L529="","",$F529&amp;"|"&amp;RIGHT("000000"&amp;$L529,6))</f>
        <v/>
      </c>
      <c r="N529">
        <f>IF($F529="","",IF(Sync!$AF529="","0000",IF(AND(ISNUMBER(Sync!$AF529),Sync!$AF529&gt;=0,Sync!$AF529&lt;1),RIGHT("00"&amp;HOUR(Sync!$AF529),2)&amp;RIGHT("00"&amp;MINUTE(Sync!$AF529),2),IFERROR(RIGHT("00"&amp;VALUE(LEFT(Sync!$AF529,FIND(":",Sync!$AF529)-1)),2)&amp;RIGHT("00"&amp;VALUE(MID(Sync!$AF529,FIND(":",Sync!$AF529)+1,2)),2),"0000"))))</f>
        <v/>
      </c>
    </row>
    <row r="530">
      <c r="A530">
        <f>IF(OR(Calc!$E534="",Calc!$E534="نامعتبر",Calc!$G534=""),"",Calc!$G534)</f>
        <v/>
      </c>
      <c r="B530">
        <f>IF($A530="","",LEFT(Calc!$E534,4)&amp;MID(Calc!$E534,6,2)&amp;RIGHT(Calc!$E534,2)&amp;Calc!$Q534&amp;"|"&amp;"1"&amp;RIGHT("00000"&amp;525,5))</f>
        <v/>
      </c>
      <c r="C530">
        <f>IF($B530="","",COUNTIFS(LdgSellerA,$A530,LdgKeyA,"&lt;"&amp;$B530)+COUNTIFS(LdgSellerB,$A530,LdgKeyB,"&lt;"&amp;$B530)+1)</f>
        <v/>
      </c>
      <c r="D530">
        <f>IF($C530="","",$A530&amp;"|"&amp;RIGHT("000000"&amp;$C530,6))</f>
        <v/>
      </c>
      <c r="F530">
        <f>IF(Sync!$AH530="","",IF(LEFT(UPPER(TRIM(Sync!$AH530)),2)="SL",UPPER(TRIM(Sync!$AH530)),""))</f>
        <v/>
      </c>
      <c r="G530">
        <f>IF($F530="","",IF(Sync!$AE530="","",IF(ISNUMBER(Sync!$AE530),IF(AND(Sync!$AE530&gt;=10000101,Sync!$AE530&lt;=99991231),INT(Sync!$AE530/10000),""),IFERROR(VALUE(TRIM(LEFT(Sync!$AE530,FIND("/",Sync!$AE530)-1))),""))))</f>
        <v/>
      </c>
      <c r="H530">
        <f>IF(OR($F530="",$G530=""),"",IF(ISNUMBER(Sync!$AE530),INT(MOD(Sync!$AE530,10000)/100),IFERROR(VALUE(TRIM(LEFT(MID(Sync!$AE530,FIND("/",Sync!$AE530)+1,20),FIND("/",MID(Sync!$AE530,FIND("/",Sync!$AE530)+1,20))-1))),"")))</f>
        <v/>
      </c>
      <c r="I530">
        <f>IF(OR($F530="",$G530=""),"",IF(ISNUMBER(Sync!$AE530),MOD(Sync!$AE530,100),IFERROR(VALUE(TRIM(MID(MID(Sync!$AE530,FIND("/",Sync!$AE530)+1,20),FIND("/",MID(Sync!$AE530,FIND("/",Sync!$AE530)+1,20))+1,20))),"")))</f>
        <v/>
      </c>
      <c r="J530">
        <f>IF($F530="","",IF(OR($G530="",$H530="",$I530="",$G530&lt;1300,$G530&gt;1500,$H530&lt;1,$H530&gt;12,$I530&lt;1,$I530&gt;31),"نامعتبر",RIGHT("0000"&amp;$G530,4)&amp;"/"&amp;RIGHT("00"&amp;$H530,2)&amp;"/"&amp;RIGHT("00"&amp;$I530,2)))</f>
        <v/>
      </c>
      <c r="K530">
        <f>IF(OR($F530="",$J530="",$J530="نامعتبر"),"",LEFT($J530,4)&amp;MID($J530,6,2)&amp;RIGHT($J530,2)&amp;$N530&amp;"|"&amp;"2"&amp;RIGHT("00000"&amp;525,5))</f>
        <v/>
      </c>
      <c r="L530">
        <f>IF($K530="","",COUNTIFS(LdgSellerA,$F530,LdgKeyA,"&lt;"&amp;$K530)+COUNTIFS(LdgSellerB,$F530,LdgKeyB,"&lt;"&amp;$K530)+1)</f>
        <v/>
      </c>
      <c r="M530">
        <f>IF($L530="","",$F530&amp;"|"&amp;RIGHT("000000"&amp;$L530,6))</f>
        <v/>
      </c>
      <c r="N530">
        <f>IF($F530="","",IF(Sync!$AF530="","0000",IF(AND(ISNUMBER(Sync!$AF530),Sync!$AF530&gt;=0,Sync!$AF530&lt;1),RIGHT("00"&amp;HOUR(Sync!$AF530),2)&amp;RIGHT("00"&amp;MINUTE(Sync!$AF530),2),IFERROR(RIGHT("00"&amp;VALUE(LEFT(Sync!$AF530,FIND(":",Sync!$AF530)-1)),2)&amp;RIGHT("00"&amp;VALUE(MID(Sync!$AF530,FIND(":",Sync!$AF530)+1,2)),2),"0000"))))</f>
        <v/>
      </c>
    </row>
    <row r="531">
      <c r="A531">
        <f>IF(OR(Calc!$E535="",Calc!$E535="نامعتبر",Calc!$G535=""),"",Calc!$G535)</f>
        <v/>
      </c>
      <c r="B531">
        <f>IF($A531="","",LEFT(Calc!$E535,4)&amp;MID(Calc!$E535,6,2)&amp;RIGHT(Calc!$E535,2)&amp;Calc!$Q535&amp;"|"&amp;"1"&amp;RIGHT("00000"&amp;526,5))</f>
        <v/>
      </c>
      <c r="C531">
        <f>IF($B531="","",COUNTIFS(LdgSellerA,$A531,LdgKeyA,"&lt;"&amp;$B531)+COUNTIFS(LdgSellerB,$A531,LdgKeyB,"&lt;"&amp;$B531)+1)</f>
        <v/>
      </c>
      <c r="D531">
        <f>IF($C531="","",$A531&amp;"|"&amp;RIGHT("000000"&amp;$C531,6))</f>
        <v/>
      </c>
      <c r="F531">
        <f>IF(Sync!$AH531="","",IF(LEFT(UPPER(TRIM(Sync!$AH531)),2)="SL",UPPER(TRIM(Sync!$AH531)),""))</f>
        <v/>
      </c>
      <c r="G531">
        <f>IF($F531="","",IF(Sync!$AE531="","",IF(ISNUMBER(Sync!$AE531),IF(AND(Sync!$AE531&gt;=10000101,Sync!$AE531&lt;=99991231),INT(Sync!$AE531/10000),""),IFERROR(VALUE(TRIM(LEFT(Sync!$AE531,FIND("/",Sync!$AE531)-1))),""))))</f>
        <v/>
      </c>
      <c r="H531">
        <f>IF(OR($F531="",$G531=""),"",IF(ISNUMBER(Sync!$AE531),INT(MOD(Sync!$AE531,10000)/100),IFERROR(VALUE(TRIM(LEFT(MID(Sync!$AE531,FIND("/",Sync!$AE531)+1,20),FIND("/",MID(Sync!$AE531,FIND("/",Sync!$AE531)+1,20))-1))),"")))</f>
        <v/>
      </c>
      <c r="I531">
        <f>IF(OR($F531="",$G531=""),"",IF(ISNUMBER(Sync!$AE531),MOD(Sync!$AE531,100),IFERROR(VALUE(TRIM(MID(MID(Sync!$AE531,FIND("/",Sync!$AE531)+1,20),FIND("/",MID(Sync!$AE531,FIND("/",Sync!$AE531)+1,20))+1,20))),"")))</f>
        <v/>
      </c>
      <c r="J531">
        <f>IF($F531="","",IF(OR($G531="",$H531="",$I531="",$G531&lt;1300,$G531&gt;1500,$H531&lt;1,$H531&gt;12,$I531&lt;1,$I531&gt;31),"نامعتبر",RIGHT("0000"&amp;$G531,4)&amp;"/"&amp;RIGHT("00"&amp;$H531,2)&amp;"/"&amp;RIGHT("00"&amp;$I531,2)))</f>
        <v/>
      </c>
      <c r="K531">
        <f>IF(OR($F531="",$J531="",$J531="نامعتبر"),"",LEFT($J531,4)&amp;MID($J531,6,2)&amp;RIGHT($J531,2)&amp;$N531&amp;"|"&amp;"2"&amp;RIGHT("00000"&amp;526,5))</f>
        <v/>
      </c>
      <c r="L531">
        <f>IF($K531="","",COUNTIFS(LdgSellerA,$F531,LdgKeyA,"&lt;"&amp;$K531)+COUNTIFS(LdgSellerB,$F531,LdgKeyB,"&lt;"&amp;$K531)+1)</f>
        <v/>
      </c>
      <c r="M531">
        <f>IF($L531="","",$F531&amp;"|"&amp;RIGHT("000000"&amp;$L531,6))</f>
        <v/>
      </c>
      <c r="N531">
        <f>IF($F531="","",IF(Sync!$AF531="","0000",IF(AND(ISNUMBER(Sync!$AF531),Sync!$AF531&gt;=0,Sync!$AF531&lt;1),RIGHT("00"&amp;HOUR(Sync!$AF531),2)&amp;RIGHT("00"&amp;MINUTE(Sync!$AF531),2),IFERROR(RIGHT("00"&amp;VALUE(LEFT(Sync!$AF531,FIND(":",Sync!$AF531)-1)),2)&amp;RIGHT("00"&amp;VALUE(MID(Sync!$AF531,FIND(":",Sync!$AF531)+1,2)),2),"0000"))))</f>
        <v/>
      </c>
    </row>
    <row r="532">
      <c r="A532">
        <f>IF(OR(Calc!$E536="",Calc!$E536="نامعتبر",Calc!$G536=""),"",Calc!$G536)</f>
        <v/>
      </c>
      <c r="B532">
        <f>IF($A532="","",LEFT(Calc!$E536,4)&amp;MID(Calc!$E536,6,2)&amp;RIGHT(Calc!$E536,2)&amp;Calc!$Q536&amp;"|"&amp;"1"&amp;RIGHT("00000"&amp;527,5))</f>
        <v/>
      </c>
      <c r="C532">
        <f>IF($B532="","",COUNTIFS(LdgSellerA,$A532,LdgKeyA,"&lt;"&amp;$B532)+COUNTIFS(LdgSellerB,$A532,LdgKeyB,"&lt;"&amp;$B532)+1)</f>
        <v/>
      </c>
      <c r="D532">
        <f>IF($C532="","",$A532&amp;"|"&amp;RIGHT("000000"&amp;$C532,6))</f>
        <v/>
      </c>
      <c r="F532">
        <f>IF(Sync!$AH532="","",IF(LEFT(UPPER(TRIM(Sync!$AH532)),2)="SL",UPPER(TRIM(Sync!$AH532)),""))</f>
        <v/>
      </c>
      <c r="G532">
        <f>IF($F532="","",IF(Sync!$AE532="","",IF(ISNUMBER(Sync!$AE532),IF(AND(Sync!$AE532&gt;=10000101,Sync!$AE532&lt;=99991231),INT(Sync!$AE532/10000),""),IFERROR(VALUE(TRIM(LEFT(Sync!$AE532,FIND("/",Sync!$AE532)-1))),""))))</f>
        <v/>
      </c>
      <c r="H532">
        <f>IF(OR($F532="",$G532=""),"",IF(ISNUMBER(Sync!$AE532),INT(MOD(Sync!$AE532,10000)/100),IFERROR(VALUE(TRIM(LEFT(MID(Sync!$AE532,FIND("/",Sync!$AE532)+1,20),FIND("/",MID(Sync!$AE532,FIND("/",Sync!$AE532)+1,20))-1))),"")))</f>
        <v/>
      </c>
      <c r="I532">
        <f>IF(OR($F532="",$G532=""),"",IF(ISNUMBER(Sync!$AE532),MOD(Sync!$AE532,100),IFERROR(VALUE(TRIM(MID(MID(Sync!$AE532,FIND("/",Sync!$AE532)+1,20),FIND("/",MID(Sync!$AE532,FIND("/",Sync!$AE532)+1,20))+1,20))),"")))</f>
        <v/>
      </c>
      <c r="J532">
        <f>IF($F532="","",IF(OR($G532="",$H532="",$I532="",$G532&lt;1300,$G532&gt;1500,$H532&lt;1,$H532&gt;12,$I532&lt;1,$I532&gt;31),"نامعتبر",RIGHT("0000"&amp;$G532,4)&amp;"/"&amp;RIGHT("00"&amp;$H532,2)&amp;"/"&amp;RIGHT("00"&amp;$I532,2)))</f>
        <v/>
      </c>
      <c r="K532">
        <f>IF(OR($F532="",$J532="",$J532="نامعتبر"),"",LEFT($J532,4)&amp;MID($J532,6,2)&amp;RIGHT($J532,2)&amp;$N532&amp;"|"&amp;"2"&amp;RIGHT("00000"&amp;527,5))</f>
        <v/>
      </c>
      <c r="L532">
        <f>IF($K532="","",COUNTIFS(LdgSellerA,$F532,LdgKeyA,"&lt;"&amp;$K532)+COUNTIFS(LdgSellerB,$F532,LdgKeyB,"&lt;"&amp;$K532)+1)</f>
        <v/>
      </c>
      <c r="M532">
        <f>IF($L532="","",$F532&amp;"|"&amp;RIGHT("000000"&amp;$L532,6))</f>
        <v/>
      </c>
      <c r="N532">
        <f>IF($F532="","",IF(Sync!$AF532="","0000",IF(AND(ISNUMBER(Sync!$AF532),Sync!$AF532&gt;=0,Sync!$AF532&lt;1),RIGHT("00"&amp;HOUR(Sync!$AF532),2)&amp;RIGHT("00"&amp;MINUTE(Sync!$AF532),2),IFERROR(RIGHT("00"&amp;VALUE(LEFT(Sync!$AF532,FIND(":",Sync!$AF532)-1)),2)&amp;RIGHT("00"&amp;VALUE(MID(Sync!$AF532,FIND(":",Sync!$AF532)+1,2)),2),"0000"))))</f>
        <v/>
      </c>
    </row>
    <row r="533">
      <c r="A533">
        <f>IF(OR(Calc!$E537="",Calc!$E537="نامعتبر",Calc!$G537=""),"",Calc!$G537)</f>
        <v/>
      </c>
      <c r="B533">
        <f>IF($A533="","",LEFT(Calc!$E537,4)&amp;MID(Calc!$E537,6,2)&amp;RIGHT(Calc!$E537,2)&amp;Calc!$Q537&amp;"|"&amp;"1"&amp;RIGHT("00000"&amp;528,5))</f>
        <v/>
      </c>
      <c r="C533">
        <f>IF($B533="","",COUNTIFS(LdgSellerA,$A533,LdgKeyA,"&lt;"&amp;$B533)+COUNTIFS(LdgSellerB,$A533,LdgKeyB,"&lt;"&amp;$B533)+1)</f>
        <v/>
      </c>
      <c r="D533">
        <f>IF($C533="","",$A533&amp;"|"&amp;RIGHT("000000"&amp;$C533,6))</f>
        <v/>
      </c>
      <c r="F533">
        <f>IF(Sync!$AH533="","",IF(LEFT(UPPER(TRIM(Sync!$AH533)),2)="SL",UPPER(TRIM(Sync!$AH533)),""))</f>
        <v/>
      </c>
      <c r="G533">
        <f>IF($F533="","",IF(Sync!$AE533="","",IF(ISNUMBER(Sync!$AE533),IF(AND(Sync!$AE533&gt;=10000101,Sync!$AE533&lt;=99991231),INT(Sync!$AE533/10000),""),IFERROR(VALUE(TRIM(LEFT(Sync!$AE533,FIND("/",Sync!$AE533)-1))),""))))</f>
        <v/>
      </c>
      <c r="H533">
        <f>IF(OR($F533="",$G533=""),"",IF(ISNUMBER(Sync!$AE533),INT(MOD(Sync!$AE533,10000)/100),IFERROR(VALUE(TRIM(LEFT(MID(Sync!$AE533,FIND("/",Sync!$AE533)+1,20),FIND("/",MID(Sync!$AE533,FIND("/",Sync!$AE533)+1,20))-1))),"")))</f>
        <v/>
      </c>
      <c r="I533">
        <f>IF(OR($F533="",$G533=""),"",IF(ISNUMBER(Sync!$AE533),MOD(Sync!$AE533,100),IFERROR(VALUE(TRIM(MID(MID(Sync!$AE533,FIND("/",Sync!$AE533)+1,20),FIND("/",MID(Sync!$AE533,FIND("/",Sync!$AE533)+1,20))+1,20))),"")))</f>
        <v/>
      </c>
      <c r="J533">
        <f>IF($F533="","",IF(OR($G533="",$H533="",$I533="",$G533&lt;1300,$G533&gt;1500,$H533&lt;1,$H533&gt;12,$I533&lt;1,$I533&gt;31),"نامعتبر",RIGHT("0000"&amp;$G533,4)&amp;"/"&amp;RIGHT("00"&amp;$H533,2)&amp;"/"&amp;RIGHT("00"&amp;$I533,2)))</f>
        <v/>
      </c>
      <c r="K533">
        <f>IF(OR($F533="",$J533="",$J533="نامعتبر"),"",LEFT($J533,4)&amp;MID($J533,6,2)&amp;RIGHT($J533,2)&amp;$N533&amp;"|"&amp;"2"&amp;RIGHT("00000"&amp;528,5))</f>
        <v/>
      </c>
      <c r="L533">
        <f>IF($K533="","",COUNTIFS(LdgSellerA,$F533,LdgKeyA,"&lt;"&amp;$K533)+COUNTIFS(LdgSellerB,$F533,LdgKeyB,"&lt;"&amp;$K533)+1)</f>
        <v/>
      </c>
      <c r="M533">
        <f>IF($L533="","",$F533&amp;"|"&amp;RIGHT("000000"&amp;$L533,6))</f>
        <v/>
      </c>
      <c r="N533">
        <f>IF($F533="","",IF(Sync!$AF533="","0000",IF(AND(ISNUMBER(Sync!$AF533),Sync!$AF533&gt;=0,Sync!$AF533&lt;1),RIGHT("00"&amp;HOUR(Sync!$AF533),2)&amp;RIGHT("00"&amp;MINUTE(Sync!$AF533),2),IFERROR(RIGHT("00"&amp;VALUE(LEFT(Sync!$AF533,FIND(":",Sync!$AF533)-1)),2)&amp;RIGHT("00"&amp;VALUE(MID(Sync!$AF533,FIND(":",Sync!$AF533)+1,2)),2),"0000"))))</f>
        <v/>
      </c>
    </row>
    <row r="534">
      <c r="A534">
        <f>IF(OR(Calc!$E538="",Calc!$E538="نامعتبر",Calc!$G538=""),"",Calc!$G538)</f>
        <v/>
      </c>
      <c r="B534">
        <f>IF($A534="","",LEFT(Calc!$E538,4)&amp;MID(Calc!$E538,6,2)&amp;RIGHT(Calc!$E538,2)&amp;Calc!$Q538&amp;"|"&amp;"1"&amp;RIGHT("00000"&amp;529,5))</f>
        <v/>
      </c>
      <c r="C534">
        <f>IF($B534="","",COUNTIFS(LdgSellerA,$A534,LdgKeyA,"&lt;"&amp;$B534)+COUNTIFS(LdgSellerB,$A534,LdgKeyB,"&lt;"&amp;$B534)+1)</f>
        <v/>
      </c>
      <c r="D534">
        <f>IF($C534="","",$A534&amp;"|"&amp;RIGHT("000000"&amp;$C534,6))</f>
        <v/>
      </c>
      <c r="F534">
        <f>IF(Sync!$AH534="","",IF(LEFT(UPPER(TRIM(Sync!$AH534)),2)="SL",UPPER(TRIM(Sync!$AH534)),""))</f>
        <v/>
      </c>
      <c r="G534">
        <f>IF($F534="","",IF(Sync!$AE534="","",IF(ISNUMBER(Sync!$AE534),IF(AND(Sync!$AE534&gt;=10000101,Sync!$AE534&lt;=99991231),INT(Sync!$AE534/10000),""),IFERROR(VALUE(TRIM(LEFT(Sync!$AE534,FIND("/",Sync!$AE534)-1))),""))))</f>
        <v/>
      </c>
      <c r="H534">
        <f>IF(OR($F534="",$G534=""),"",IF(ISNUMBER(Sync!$AE534),INT(MOD(Sync!$AE534,10000)/100),IFERROR(VALUE(TRIM(LEFT(MID(Sync!$AE534,FIND("/",Sync!$AE534)+1,20),FIND("/",MID(Sync!$AE534,FIND("/",Sync!$AE534)+1,20))-1))),"")))</f>
        <v/>
      </c>
      <c r="I534">
        <f>IF(OR($F534="",$G534=""),"",IF(ISNUMBER(Sync!$AE534),MOD(Sync!$AE534,100),IFERROR(VALUE(TRIM(MID(MID(Sync!$AE534,FIND("/",Sync!$AE534)+1,20),FIND("/",MID(Sync!$AE534,FIND("/",Sync!$AE534)+1,20))+1,20))),"")))</f>
        <v/>
      </c>
      <c r="J534">
        <f>IF($F534="","",IF(OR($G534="",$H534="",$I534="",$G534&lt;1300,$G534&gt;1500,$H534&lt;1,$H534&gt;12,$I534&lt;1,$I534&gt;31),"نامعتبر",RIGHT("0000"&amp;$G534,4)&amp;"/"&amp;RIGHT("00"&amp;$H534,2)&amp;"/"&amp;RIGHT("00"&amp;$I534,2)))</f>
        <v/>
      </c>
      <c r="K534">
        <f>IF(OR($F534="",$J534="",$J534="نامعتبر"),"",LEFT($J534,4)&amp;MID($J534,6,2)&amp;RIGHT($J534,2)&amp;$N534&amp;"|"&amp;"2"&amp;RIGHT("00000"&amp;529,5))</f>
        <v/>
      </c>
      <c r="L534">
        <f>IF($K534="","",COUNTIFS(LdgSellerA,$F534,LdgKeyA,"&lt;"&amp;$K534)+COUNTIFS(LdgSellerB,$F534,LdgKeyB,"&lt;"&amp;$K534)+1)</f>
        <v/>
      </c>
      <c r="M534">
        <f>IF($L534="","",$F534&amp;"|"&amp;RIGHT("000000"&amp;$L534,6))</f>
        <v/>
      </c>
      <c r="N534">
        <f>IF($F534="","",IF(Sync!$AF534="","0000",IF(AND(ISNUMBER(Sync!$AF534),Sync!$AF534&gt;=0,Sync!$AF534&lt;1),RIGHT("00"&amp;HOUR(Sync!$AF534),2)&amp;RIGHT("00"&amp;MINUTE(Sync!$AF534),2),IFERROR(RIGHT("00"&amp;VALUE(LEFT(Sync!$AF534,FIND(":",Sync!$AF534)-1)),2)&amp;RIGHT("00"&amp;VALUE(MID(Sync!$AF534,FIND(":",Sync!$AF534)+1,2)),2),"0000"))))</f>
        <v/>
      </c>
    </row>
    <row r="535">
      <c r="A535">
        <f>IF(OR(Calc!$E539="",Calc!$E539="نامعتبر",Calc!$G539=""),"",Calc!$G539)</f>
        <v/>
      </c>
      <c r="B535">
        <f>IF($A535="","",LEFT(Calc!$E539,4)&amp;MID(Calc!$E539,6,2)&amp;RIGHT(Calc!$E539,2)&amp;Calc!$Q539&amp;"|"&amp;"1"&amp;RIGHT("00000"&amp;530,5))</f>
        <v/>
      </c>
      <c r="C535">
        <f>IF($B535="","",COUNTIFS(LdgSellerA,$A535,LdgKeyA,"&lt;"&amp;$B535)+COUNTIFS(LdgSellerB,$A535,LdgKeyB,"&lt;"&amp;$B535)+1)</f>
        <v/>
      </c>
      <c r="D535">
        <f>IF($C535="","",$A535&amp;"|"&amp;RIGHT("000000"&amp;$C535,6))</f>
        <v/>
      </c>
      <c r="F535">
        <f>IF(Sync!$AH535="","",IF(LEFT(UPPER(TRIM(Sync!$AH535)),2)="SL",UPPER(TRIM(Sync!$AH535)),""))</f>
        <v/>
      </c>
      <c r="G535">
        <f>IF($F535="","",IF(Sync!$AE535="","",IF(ISNUMBER(Sync!$AE535),IF(AND(Sync!$AE535&gt;=10000101,Sync!$AE535&lt;=99991231),INT(Sync!$AE535/10000),""),IFERROR(VALUE(TRIM(LEFT(Sync!$AE535,FIND("/",Sync!$AE535)-1))),""))))</f>
        <v/>
      </c>
      <c r="H535">
        <f>IF(OR($F535="",$G535=""),"",IF(ISNUMBER(Sync!$AE535),INT(MOD(Sync!$AE535,10000)/100),IFERROR(VALUE(TRIM(LEFT(MID(Sync!$AE535,FIND("/",Sync!$AE535)+1,20),FIND("/",MID(Sync!$AE535,FIND("/",Sync!$AE535)+1,20))-1))),"")))</f>
        <v/>
      </c>
      <c r="I535">
        <f>IF(OR($F535="",$G535=""),"",IF(ISNUMBER(Sync!$AE535),MOD(Sync!$AE535,100),IFERROR(VALUE(TRIM(MID(MID(Sync!$AE535,FIND("/",Sync!$AE535)+1,20),FIND("/",MID(Sync!$AE535,FIND("/",Sync!$AE535)+1,20))+1,20))),"")))</f>
        <v/>
      </c>
      <c r="J535">
        <f>IF($F535="","",IF(OR($G535="",$H535="",$I535="",$G535&lt;1300,$G535&gt;1500,$H535&lt;1,$H535&gt;12,$I535&lt;1,$I535&gt;31),"نامعتبر",RIGHT("0000"&amp;$G535,4)&amp;"/"&amp;RIGHT("00"&amp;$H535,2)&amp;"/"&amp;RIGHT("00"&amp;$I535,2)))</f>
        <v/>
      </c>
      <c r="K535">
        <f>IF(OR($F535="",$J535="",$J535="نامعتبر"),"",LEFT($J535,4)&amp;MID($J535,6,2)&amp;RIGHT($J535,2)&amp;$N535&amp;"|"&amp;"2"&amp;RIGHT("00000"&amp;530,5))</f>
        <v/>
      </c>
      <c r="L535">
        <f>IF($K535="","",COUNTIFS(LdgSellerA,$F535,LdgKeyA,"&lt;"&amp;$K535)+COUNTIFS(LdgSellerB,$F535,LdgKeyB,"&lt;"&amp;$K535)+1)</f>
        <v/>
      </c>
      <c r="M535">
        <f>IF($L535="","",$F535&amp;"|"&amp;RIGHT("000000"&amp;$L535,6))</f>
        <v/>
      </c>
      <c r="N535">
        <f>IF($F535="","",IF(Sync!$AF535="","0000",IF(AND(ISNUMBER(Sync!$AF535),Sync!$AF535&gt;=0,Sync!$AF535&lt;1),RIGHT("00"&amp;HOUR(Sync!$AF535),2)&amp;RIGHT("00"&amp;MINUTE(Sync!$AF535),2),IFERROR(RIGHT("00"&amp;VALUE(LEFT(Sync!$AF535,FIND(":",Sync!$AF535)-1)),2)&amp;RIGHT("00"&amp;VALUE(MID(Sync!$AF535,FIND(":",Sync!$AF535)+1,2)),2),"0000"))))</f>
        <v/>
      </c>
    </row>
    <row r="536">
      <c r="A536">
        <f>IF(OR(Calc!$E540="",Calc!$E540="نامعتبر",Calc!$G540=""),"",Calc!$G540)</f>
        <v/>
      </c>
      <c r="B536">
        <f>IF($A536="","",LEFT(Calc!$E540,4)&amp;MID(Calc!$E540,6,2)&amp;RIGHT(Calc!$E540,2)&amp;Calc!$Q540&amp;"|"&amp;"1"&amp;RIGHT("00000"&amp;531,5))</f>
        <v/>
      </c>
      <c r="C536">
        <f>IF($B536="","",COUNTIFS(LdgSellerA,$A536,LdgKeyA,"&lt;"&amp;$B536)+COUNTIFS(LdgSellerB,$A536,LdgKeyB,"&lt;"&amp;$B536)+1)</f>
        <v/>
      </c>
      <c r="D536">
        <f>IF($C536="","",$A536&amp;"|"&amp;RIGHT("000000"&amp;$C536,6))</f>
        <v/>
      </c>
      <c r="F536">
        <f>IF(Sync!$AH536="","",IF(LEFT(UPPER(TRIM(Sync!$AH536)),2)="SL",UPPER(TRIM(Sync!$AH536)),""))</f>
        <v/>
      </c>
      <c r="G536">
        <f>IF($F536="","",IF(Sync!$AE536="","",IF(ISNUMBER(Sync!$AE536),IF(AND(Sync!$AE536&gt;=10000101,Sync!$AE536&lt;=99991231),INT(Sync!$AE536/10000),""),IFERROR(VALUE(TRIM(LEFT(Sync!$AE536,FIND("/",Sync!$AE536)-1))),""))))</f>
        <v/>
      </c>
      <c r="H536">
        <f>IF(OR($F536="",$G536=""),"",IF(ISNUMBER(Sync!$AE536),INT(MOD(Sync!$AE536,10000)/100),IFERROR(VALUE(TRIM(LEFT(MID(Sync!$AE536,FIND("/",Sync!$AE536)+1,20),FIND("/",MID(Sync!$AE536,FIND("/",Sync!$AE536)+1,20))-1))),"")))</f>
        <v/>
      </c>
      <c r="I536">
        <f>IF(OR($F536="",$G536=""),"",IF(ISNUMBER(Sync!$AE536),MOD(Sync!$AE536,100),IFERROR(VALUE(TRIM(MID(MID(Sync!$AE536,FIND("/",Sync!$AE536)+1,20),FIND("/",MID(Sync!$AE536,FIND("/",Sync!$AE536)+1,20))+1,20))),"")))</f>
        <v/>
      </c>
      <c r="J536">
        <f>IF($F536="","",IF(OR($G536="",$H536="",$I536="",$G536&lt;1300,$G536&gt;1500,$H536&lt;1,$H536&gt;12,$I536&lt;1,$I536&gt;31),"نامعتبر",RIGHT("0000"&amp;$G536,4)&amp;"/"&amp;RIGHT("00"&amp;$H536,2)&amp;"/"&amp;RIGHT("00"&amp;$I536,2)))</f>
        <v/>
      </c>
      <c r="K536">
        <f>IF(OR($F536="",$J536="",$J536="نامعتبر"),"",LEFT($J536,4)&amp;MID($J536,6,2)&amp;RIGHT($J536,2)&amp;$N536&amp;"|"&amp;"2"&amp;RIGHT("00000"&amp;531,5))</f>
        <v/>
      </c>
      <c r="L536">
        <f>IF($K536="","",COUNTIFS(LdgSellerA,$F536,LdgKeyA,"&lt;"&amp;$K536)+COUNTIFS(LdgSellerB,$F536,LdgKeyB,"&lt;"&amp;$K536)+1)</f>
        <v/>
      </c>
      <c r="M536">
        <f>IF($L536="","",$F536&amp;"|"&amp;RIGHT("000000"&amp;$L536,6))</f>
        <v/>
      </c>
      <c r="N536">
        <f>IF($F536="","",IF(Sync!$AF536="","0000",IF(AND(ISNUMBER(Sync!$AF536),Sync!$AF536&gt;=0,Sync!$AF536&lt;1),RIGHT("00"&amp;HOUR(Sync!$AF536),2)&amp;RIGHT("00"&amp;MINUTE(Sync!$AF536),2),IFERROR(RIGHT("00"&amp;VALUE(LEFT(Sync!$AF536,FIND(":",Sync!$AF536)-1)),2)&amp;RIGHT("00"&amp;VALUE(MID(Sync!$AF536,FIND(":",Sync!$AF536)+1,2)),2),"0000"))))</f>
        <v/>
      </c>
    </row>
    <row r="537">
      <c r="A537">
        <f>IF(OR(Calc!$E541="",Calc!$E541="نامعتبر",Calc!$G541=""),"",Calc!$G541)</f>
        <v/>
      </c>
      <c r="B537">
        <f>IF($A537="","",LEFT(Calc!$E541,4)&amp;MID(Calc!$E541,6,2)&amp;RIGHT(Calc!$E541,2)&amp;Calc!$Q541&amp;"|"&amp;"1"&amp;RIGHT("00000"&amp;532,5))</f>
        <v/>
      </c>
      <c r="C537">
        <f>IF($B537="","",COUNTIFS(LdgSellerA,$A537,LdgKeyA,"&lt;"&amp;$B537)+COUNTIFS(LdgSellerB,$A537,LdgKeyB,"&lt;"&amp;$B537)+1)</f>
        <v/>
      </c>
      <c r="D537">
        <f>IF($C537="","",$A537&amp;"|"&amp;RIGHT("000000"&amp;$C537,6))</f>
        <v/>
      </c>
      <c r="F537">
        <f>IF(Sync!$AH537="","",IF(LEFT(UPPER(TRIM(Sync!$AH537)),2)="SL",UPPER(TRIM(Sync!$AH537)),""))</f>
        <v/>
      </c>
      <c r="G537">
        <f>IF($F537="","",IF(Sync!$AE537="","",IF(ISNUMBER(Sync!$AE537),IF(AND(Sync!$AE537&gt;=10000101,Sync!$AE537&lt;=99991231),INT(Sync!$AE537/10000),""),IFERROR(VALUE(TRIM(LEFT(Sync!$AE537,FIND("/",Sync!$AE537)-1))),""))))</f>
        <v/>
      </c>
      <c r="H537">
        <f>IF(OR($F537="",$G537=""),"",IF(ISNUMBER(Sync!$AE537),INT(MOD(Sync!$AE537,10000)/100),IFERROR(VALUE(TRIM(LEFT(MID(Sync!$AE537,FIND("/",Sync!$AE537)+1,20),FIND("/",MID(Sync!$AE537,FIND("/",Sync!$AE537)+1,20))-1))),"")))</f>
        <v/>
      </c>
      <c r="I537">
        <f>IF(OR($F537="",$G537=""),"",IF(ISNUMBER(Sync!$AE537),MOD(Sync!$AE537,100),IFERROR(VALUE(TRIM(MID(MID(Sync!$AE537,FIND("/",Sync!$AE537)+1,20),FIND("/",MID(Sync!$AE537,FIND("/",Sync!$AE537)+1,20))+1,20))),"")))</f>
        <v/>
      </c>
      <c r="J537">
        <f>IF($F537="","",IF(OR($G537="",$H537="",$I537="",$G537&lt;1300,$G537&gt;1500,$H537&lt;1,$H537&gt;12,$I537&lt;1,$I537&gt;31),"نامعتبر",RIGHT("0000"&amp;$G537,4)&amp;"/"&amp;RIGHT("00"&amp;$H537,2)&amp;"/"&amp;RIGHT("00"&amp;$I537,2)))</f>
        <v/>
      </c>
      <c r="K537">
        <f>IF(OR($F537="",$J537="",$J537="نامعتبر"),"",LEFT($J537,4)&amp;MID($J537,6,2)&amp;RIGHT($J537,2)&amp;$N537&amp;"|"&amp;"2"&amp;RIGHT("00000"&amp;532,5))</f>
        <v/>
      </c>
      <c r="L537">
        <f>IF($K537="","",COUNTIFS(LdgSellerA,$F537,LdgKeyA,"&lt;"&amp;$K537)+COUNTIFS(LdgSellerB,$F537,LdgKeyB,"&lt;"&amp;$K537)+1)</f>
        <v/>
      </c>
      <c r="M537">
        <f>IF($L537="","",$F537&amp;"|"&amp;RIGHT("000000"&amp;$L537,6))</f>
        <v/>
      </c>
      <c r="N537">
        <f>IF($F537="","",IF(Sync!$AF537="","0000",IF(AND(ISNUMBER(Sync!$AF537),Sync!$AF537&gt;=0,Sync!$AF537&lt;1),RIGHT("00"&amp;HOUR(Sync!$AF537),2)&amp;RIGHT("00"&amp;MINUTE(Sync!$AF537),2),IFERROR(RIGHT("00"&amp;VALUE(LEFT(Sync!$AF537,FIND(":",Sync!$AF537)-1)),2)&amp;RIGHT("00"&amp;VALUE(MID(Sync!$AF537,FIND(":",Sync!$AF537)+1,2)),2),"0000"))))</f>
        <v/>
      </c>
    </row>
    <row r="538">
      <c r="A538">
        <f>IF(OR(Calc!$E542="",Calc!$E542="نامعتبر",Calc!$G542=""),"",Calc!$G542)</f>
        <v/>
      </c>
      <c r="B538">
        <f>IF($A538="","",LEFT(Calc!$E542,4)&amp;MID(Calc!$E542,6,2)&amp;RIGHT(Calc!$E542,2)&amp;Calc!$Q542&amp;"|"&amp;"1"&amp;RIGHT("00000"&amp;533,5))</f>
        <v/>
      </c>
      <c r="C538">
        <f>IF($B538="","",COUNTIFS(LdgSellerA,$A538,LdgKeyA,"&lt;"&amp;$B538)+COUNTIFS(LdgSellerB,$A538,LdgKeyB,"&lt;"&amp;$B538)+1)</f>
        <v/>
      </c>
      <c r="D538">
        <f>IF($C538="","",$A538&amp;"|"&amp;RIGHT("000000"&amp;$C538,6))</f>
        <v/>
      </c>
      <c r="F538">
        <f>IF(Sync!$AH538="","",IF(LEFT(UPPER(TRIM(Sync!$AH538)),2)="SL",UPPER(TRIM(Sync!$AH538)),""))</f>
        <v/>
      </c>
      <c r="G538">
        <f>IF($F538="","",IF(Sync!$AE538="","",IF(ISNUMBER(Sync!$AE538),IF(AND(Sync!$AE538&gt;=10000101,Sync!$AE538&lt;=99991231),INT(Sync!$AE538/10000),""),IFERROR(VALUE(TRIM(LEFT(Sync!$AE538,FIND("/",Sync!$AE538)-1))),""))))</f>
        <v/>
      </c>
      <c r="H538">
        <f>IF(OR($F538="",$G538=""),"",IF(ISNUMBER(Sync!$AE538),INT(MOD(Sync!$AE538,10000)/100),IFERROR(VALUE(TRIM(LEFT(MID(Sync!$AE538,FIND("/",Sync!$AE538)+1,20),FIND("/",MID(Sync!$AE538,FIND("/",Sync!$AE538)+1,20))-1))),"")))</f>
        <v/>
      </c>
      <c r="I538">
        <f>IF(OR($F538="",$G538=""),"",IF(ISNUMBER(Sync!$AE538),MOD(Sync!$AE538,100),IFERROR(VALUE(TRIM(MID(MID(Sync!$AE538,FIND("/",Sync!$AE538)+1,20),FIND("/",MID(Sync!$AE538,FIND("/",Sync!$AE538)+1,20))+1,20))),"")))</f>
        <v/>
      </c>
      <c r="J538">
        <f>IF($F538="","",IF(OR($G538="",$H538="",$I538="",$G538&lt;1300,$G538&gt;1500,$H538&lt;1,$H538&gt;12,$I538&lt;1,$I538&gt;31),"نامعتبر",RIGHT("0000"&amp;$G538,4)&amp;"/"&amp;RIGHT("00"&amp;$H538,2)&amp;"/"&amp;RIGHT("00"&amp;$I538,2)))</f>
        <v/>
      </c>
      <c r="K538">
        <f>IF(OR($F538="",$J538="",$J538="نامعتبر"),"",LEFT($J538,4)&amp;MID($J538,6,2)&amp;RIGHT($J538,2)&amp;$N538&amp;"|"&amp;"2"&amp;RIGHT("00000"&amp;533,5))</f>
        <v/>
      </c>
      <c r="L538">
        <f>IF($K538="","",COUNTIFS(LdgSellerA,$F538,LdgKeyA,"&lt;"&amp;$K538)+COUNTIFS(LdgSellerB,$F538,LdgKeyB,"&lt;"&amp;$K538)+1)</f>
        <v/>
      </c>
      <c r="M538">
        <f>IF($L538="","",$F538&amp;"|"&amp;RIGHT("000000"&amp;$L538,6))</f>
        <v/>
      </c>
      <c r="N538">
        <f>IF($F538="","",IF(Sync!$AF538="","0000",IF(AND(ISNUMBER(Sync!$AF538),Sync!$AF538&gt;=0,Sync!$AF538&lt;1),RIGHT("00"&amp;HOUR(Sync!$AF538),2)&amp;RIGHT("00"&amp;MINUTE(Sync!$AF538),2),IFERROR(RIGHT("00"&amp;VALUE(LEFT(Sync!$AF538,FIND(":",Sync!$AF538)-1)),2)&amp;RIGHT("00"&amp;VALUE(MID(Sync!$AF538,FIND(":",Sync!$AF538)+1,2)),2),"0000"))))</f>
        <v/>
      </c>
    </row>
    <row r="539">
      <c r="A539">
        <f>IF(OR(Calc!$E543="",Calc!$E543="نامعتبر",Calc!$G543=""),"",Calc!$G543)</f>
        <v/>
      </c>
      <c r="B539">
        <f>IF($A539="","",LEFT(Calc!$E543,4)&amp;MID(Calc!$E543,6,2)&amp;RIGHT(Calc!$E543,2)&amp;Calc!$Q543&amp;"|"&amp;"1"&amp;RIGHT("00000"&amp;534,5))</f>
        <v/>
      </c>
      <c r="C539">
        <f>IF($B539="","",COUNTIFS(LdgSellerA,$A539,LdgKeyA,"&lt;"&amp;$B539)+COUNTIFS(LdgSellerB,$A539,LdgKeyB,"&lt;"&amp;$B539)+1)</f>
        <v/>
      </c>
      <c r="D539">
        <f>IF($C539="","",$A539&amp;"|"&amp;RIGHT("000000"&amp;$C539,6))</f>
        <v/>
      </c>
      <c r="F539">
        <f>IF(Sync!$AH539="","",IF(LEFT(UPPER(TRIM(Sync!$AH539)),2)="SL",UPPER(TRIM(Sync!$AH539)),""))</f>
        <v/>
      </c>
      <c r="G539">
        <f>IF($F539="","",IF(Sync!$AE539="","",IF(ISNUMBER(Sync!$AE539),IF(AND(Sync!$AE539&gt;=10000101,Sync!$AE539&lt;=99991231),INT(Sync!$AE539/10000),""),IFERROR(VALUE(TRIM(LEFT(Sync!$AE539,FIND("/",Sync!$AE539)-1))),""))))</f>
        <v/>
      </c>
      <c r="H539">
        <f>IF(OR($F539="",$G539=""),"",IF(ISNUMBER(Sync!$AE539),INT(MOD(Sync!$AE539,10000)/100),IFERROR(VALUE(TRIM(LEFT(MID(Sync!$AE539,FIND("/",Sync!$AE539)+1,20),FIND("/",MID(Sync!$AE539,FIND("/",Sync!$AE539)+1,20))-1))),"")))</f>
        <v/>
      </c>
      <c r="I539">
        <f>IF(OR($F539="",$G539=""),"",IF(ISNUMBER(Sync!$AE539),MOD(Sync!$AE539,100),IFERROR(VALUE(TRIM(MID(MID(Sync!$AE539,FIND("/",Sync!$AE539)+1,20),FIND("/",MID(Sync!$AE539,FIND("/",Sync!$AE539)+1,20))+1,20))),"")))</f>
        <v/>
      </c>
      <c r="J539">
        <f>IF($F539="","",IF(OR($G539="",$H539="",$I539="",$G539&lt;1300,$G539&gt;1500,$H539&lt;1,$H539&gt;12,$I539&lt;1,$I539&gt;31),"نامعتبر",RIGHT("0000"&amp;$G539,4)&amp;"/"&amp;RIGHT("00"&amp;$H539,2)&amp;"/"&amp;RIGHT("00"&amp;$I539,2)))</f>
        <v/>
      </c>
      <c r="K539">
        <f>IF(OR($F539="",$J539="",$J539="نامعتبر"),"",LEFT($J539,4)&amp;MID($J539,6,2)&amp;RIGHT($J539,2)&amp;$N539&amp;"|"&amp;"2"&amp;RIGHT("00000"&amp;534,5))</f>
        <v/>
      </c>
      <c r="L539">
        <f>IF($K539="","",COUNTIFS(LdgSellerA,$F539,LdgKeyA,"&lt;"&amp;$K539)+COUNTIFS(LdgSellerB,$F539,LdgKeyB,"&lt;"&amp;$K539)+1)</f>
        <v/>
      </c>
      <c r="M539">
        <f>IF($L539="","",$F539&amp;"|"&amp;RIGHT("000000"&amp;$L539,6))</f>
        <v/>
      </c>
      <c r="N539">
        <f>IF($F539="","",IF(Sync!$AF539="","0000",IF(AND(ISNUMBER(Sync!$AF539),Sync!$AF539&gt;=0,Sync!$AF539&lt;1),RIGHT("00"&amp;HOUR(Sync!$AF539),2)&amp;RIGHT("00"&amp;MINUTE(Sync!$AF539),2),IFERROR(RIGHT("00"&amp;VALUE(LEFT(Sync!$AF539,FIND(":",Sync!$AF539)-1)),2)&amp;RIGHT("00"&amp;VALUE(MID(Sync!$AF539,FIND(":",Sync!$AF539)+1,2)),2),"0000"))))</f>
        <v/>
      </c>
    </row>
    <row r="540">
      <c r="A540">
        <f>IF(OR(Calc!$E544="",Calc!$E544="نامعتبر",Calc!$G544=""),"",Calc!$G544)</f>
        <v/>
      </c>
      <c r="B540">
        <f>IF($A540="","",LEFT(Calc!$E544,4)&amp;MID(Calc!$E544,6,2)&amp;RIGHT(Calc!$E544,2)&amp;Calc!$Q544&amp;"|"&amp;"1"&amp;RIGHT("00000"&amp;535,5))</f>
        <v/>
      </c>
      <c r="C540">
        <f>IF($B540="","",COUNTIFS(LdgSellerA,$A540,LdgKeyA,"&lt;"&amp;$B540)+COUNTIFS(LdgSellerB,$A540,LdgKeyB,"&lt;"&amp;$B540)+1)</f>
        <v/>
      </c>
      <c r="D540">
        <f>IF($C540="","",$A540&amp;"|"&amp;RIGHT("000000"&amp;$C540,6))</f>
        <v/>
      </c>
      <c r="F540">
        <f>IF(Sync!$AH540="","",IF(LEFT(UPPER(TRIM(Sync!$AH540)),2)="SL",UPPER(TRIM(Sync!$AH540)),""))</f>
        <v/>
      </c>
      <c r="G540">
        <f>IF($F540="","",IF(Sync!$AE540="","",IF(ISNUMBER(Sync!$AE540),IF(AND(Sync!$AE540&gt;=10000101,Sync!$AE540&lt;=99991231),INT(Sync!$AE540/10000),""),IFERROR(VALUE(TRIM(LEFT(Sync!$AE540,FIND("/",Sync!$AE540)-1))),""))))</f>
        <v/>
      </c>
      <c r="H540">
        <f>IF(OR($F540="",$G540=""),"",IF(ISNUMBER(Sync!$AE540),INT(MOD(Sync!$AE540,10000)/100),IFERROR(VALUE(TRIM(LEFT(MID(Sync!$AE540,FIND("/",Sync!$AE540)+1,20),FIND("/",MID(Sync!$AE540,FIND("/",Sync!$AE540)+1,20))-1))),"")))</f>
        <v/>
      </c>
      <c r="I540">
        <f>IF(OR($F540="",$G540=""),"",IF(ISNUMBER(Sync!$AE540),MOD(Sync!$AE540,100),IFERROR(VALUE(TRIM(MID(MID(Sync!$AE540,FIND("/",Sync!$AE540)+1,20),FIND("/",MID(Sync!$AE540,FIND("/",Sync!$AE540)+1,20))+1,20))),"")))</f>
        <v/>
      </c>
      <c r="J540">
        <f>IF($F540="","",IF(OR($G540="",$H540="",$I540="",$G540&lt;1300,$G540&gt;1500,$H540&lt;1,$H540&gt;12,$I540&lt;1,$I540&gt;31),"نامعتبر",RIGHT("0000"&amp;$G540,4)&amp;"/"&amp;RIGHT("00"&amp;$H540,2)&amp;"/"&amp;RIGHT("00"&amp;$I540,2)))</f>
        <v/>
      </c>
      <c r="K540">
        <f>IF(OR($F540="",$J540="",$J540="نامعتبر"),"",LEFT($J540,4)&amp;MID($J540,6,2)&amp;RIGHT($J540,2)&amp;$N540&amp;"|"&amp;"2"&amp;RIGHT("00000"&amp;535,5))</f>
        <v/>
      </c>
      <c r="L540">
        <f>IF($K540="","",COUNTIFS(LdgSellerA,$F540,LdgKeyA,"&lt;"&amp;$K540)+COUNTIFS(LdgSellerB,$F540,LdgKeyB,"&lt;"&amp;$K540)+1)</f>
        <v/>
      </c>
      <c r="M540">
        <f>IF($L540="","",$F540&amp;"|"&amp;RIGHT("000000"&amp;$L540,6))</f>
        <v/>
      </c>
      <c r="N540">
        <f>IF($F540="","",IF(Sync!$AF540="","0000",IF(AND(ISNUMBER(Sync!$AF540),Sync!$AF540&gt;=0,Sync!$AF540&lt;1),RIGHT("00"&amp;HOUR(Sync!$AF540),2)&amp;RIGHT("00"&amp;MINUTE(Sync!$AF540),2),IFERROR(RIGHT("00"&amp;VALUE(LEFT(Sync!$AF540,FIND(":",Sync!$AF540)-1)),2)&amp;RIGHT("00"&amp;VALUE(MID(Sync!$AF540,FIND(":",Sync!$AF540)+1,2)),2),"0000"))))</f>
        <v/>
      </c>
    </row>
    <row r="541">
      <c r="A541">
        <f>IF(OR(Calc!$E545="",Calc!$E545="نامعتبر",Calc!$G545=""),"",Calc!$G545)</f>
        <v/>
      </c>
      <c r="B541">
        <f>IF($A541="","",LEFT(Calc!$E545,4)&amp;MID(Calc!$E545,6,2)&amp;RIGHT(Calc!$E545,2)&amp;Calc!$Q545&amp;"|"&amp;"1"&amp;RIGHT("00000"&amp;536,5))</f>
        <v/>
      </c>
      <c r="C541">
        <f>IF($B541="","",COUNTIFS(LdgSellerA,$A541,LdgKeyA,"&lt;"&amp;$B541)+COUNTIFS(LdgSellerB,$A541,LdgKeyB,"&lt;"&amp;$B541)+1)</f>
        <v/>
      </c>
      <c r="D541">
        <f>IF($C541="","",$A541&amp;"|"&amp;RIGHT("000000"&amp;$C541,6))</f>
        <v/>
      </c>
      <c r="F541">
        <f>IF(Sync!$AH541="","",IF(LEFT(UPPER(TRIM(Sync!$AH541)),2)="SL",UPPER(TRIM(Sync!$AH541)),""))</f>
        <v/>
      </c>
      <c r="G541">
        <f>IF($F541="","",IF(Sync!$AE541="","",IF(ISNUMBER(Sync!$AE541),IF(AND(Sync!$AE541&gt;=10000101,Sync!$AE541&lt;=99991231),INT(Sync!$AE541/10000),""),IFERROR(VALUE(TRIM(LEFT(Sync!$AE541,FIND("/",Sync!$AE541)-1))),""))))</f>
        <v/>
      </c>
      <c r="H541">
        <f>IF(OR($F541="",$G541=""),"",IF(ISNUMBER(Sync!$AE541),INT(MOD(Sync!$AE541,10000)/100),IFERROR(VALUE(TRIM(LEFT(MID(Sync!$AE541,FIND("/",Sync!$AE541)+1,20),FIND("/",MID(Sync!$AE541,FIND("/",Sync!$AE541)+1,20))-1))),"")))</f>
        <v/>
      </c>
      <c r="I541">
        <f>IF(OR($F541="",$G541=""),"",IF(ISNUMBER(Sync!$AE541),MOD(Sync!$AE541,100),IFERROR(VALUE(TRIM(MID(MID(Sync!$AE541,FIND("/",Sync!$AE541)+1,20),FIND("/",MID(Sync!$AE541,FIND("/",Sync!$AE541)+1,20))+1,20))),"")))</f>
        <v/>
      </c>
      <c r="J541">
        <f>IF($F541="","",IF(OR($G541="",$H541="",$I541="",$G541&lt;1300,$G541&gt;1500,$H541&lt;1,$H541&gt;12,$I541&lt;1,$I541&gt;31),"نامعتبر",RIGHT("0000"&amp;$G541,4)&amp;"/"&amp;RIGHT("00"&amp;$H541,2)&amp;"/"&amp;RIGHT("00"&amp;$I541,2)))</f>
        <v/>
      </c>
      <c r="K541">
        <f>IF(OR($F541="",$J541="",$J541="نامعتبر"),"",LEFT($J541,4)&amp;MID($J541,6,2)&amp;RIGHT($J541,2)&amp;$N541&amp;"|"&amp;"2"&amp;RIGHT("00000"&amp;536,5))</f>
        <v/>
      </c>
      <c r="L541">
        <f>IF($K541="","",COUNTIFS(LdgSellerA,$F541,LdgKeyA,"&lt;"&amp;$K541)+COUNTIFS(LdgSellerB,$F541,LdgKeyB,"&lt;"&amp;$K541)+1)</f>
        <v/>
      </c>
      <c r="M541">
        <f>IF($L541="","",$F541&amp;"|"&amp;RIGHT("000000"&amp;$L541,6))</f>
        <v/>
      </c>
      <c r="N541">
        <f>IF($F541="","",IF(Sync!$AF541="","0000",IF(AND(ISNUMBER(Sync!$AF541),Sync!$AF541&gt;=0,Sync!$AF541&lt;1),RIGHT("00"&amp;HOUR(Sync!$AF541),2)&amp;RIGHT("00"&amp;MINUTE(Sync!$AF541),2),IFERROR(RIGHT("00"&amp;VALUE(LEFT(Sync!$AF541,FIND(":",Sync!$AF541)-1)),2)&amp;RIGHT("00"&amp;VALUE(MID(Sync!$AF541,FIND(":",Sync!$AF541)+1,2)),2),"0000"))))</f>
        <v/>
      </c>
    </row>
    <row r="542">
      <c r="A542">
        <f>IF(OR(Calc!$E546="",Calc!$E546="نامعتبر",Calc!$G546=""),"",Calc!$G546)</f>
        <v/>
      </c>
      <c r="B542">
        <f>IF($A542="","",LEFT(Calc!$E546,4)&amp;MID(Calc!$E546,6,2)&amp;RIGHT(Calc!$E546,2)&amp;Calc!$Q546&amp;"|"&amp;"1"&amp;RIGHT("00000"&amp;537,5))</f>
        <v/>
      </c>
      <c r="C542">
        <f>IF($B542="","",COUNTIFS(LdgSellerA,$A542,LdgKeyA,"&lt;"&amp;$B542)+COUNTIFS(LdgSellerB,$A542,LdgKeyB,"&lt;"&amp;$B542)+1)</f>
        <v/>
      </c>
      <c r="D542">
        <f>IF($C542="","",$A542&amp;"|"&amp;RIGHT("000000"&amp;$C542,6))</f>
        <v/>
      </c>
      <c r="F542">
        <f>IF(Sync!$AH542="","",IF(LEFT(UPPER(TRIM(Sync!$AH542)),2)="SL",UPPER(TRIM(Sync!$AH542)),""))</f>
        <v/>
      </c>
      <c r="G542">
        <f>IF($F542="","",IF(Sync!$AE542="","",IF(ISNUMBER(Sync!$AE542),IF(AND(Sync!$AE542&gt;=10000101,Sync!$AE542&lt;=99991231),INT(Sync!$AE542/10000),""),IFERROR(VALUE(TRIM(LEFT(Sync!$AE542,FIND("/",Sync!$AE542)-1))),""))))</f>
        <v/>
      </c>
      <c r="H542">
        <f>IF(OR($F542="",$G542=""),"",IF(ISNUMBER(Sync!$AE542),INT(MOD(Sync!$AE542,10000)/100),IFERROR(VALUE(TRIM(LEFT(MID(Sync!$AE542,FIND("/",Sync!$AE542)+1,20),FIND("/",MID(Sync!$AE542,FIND("/",Sync!$AE542)+1,20))-1))),"")))</f>
        <v/>
      </c>
      <c r="I542">
        <f>IF(OR($F542="",$G542=""),"",IF(ISNUMBER(Sync!$AE542),MOD(Sync!$AE542,100),IFERROR(VALUE(TRIM(MID(MID(Sync!$AE542,FIND("/",Sync!$AE542)+1,20),FIND("/",MID(Sync!$AE542,FIND("/",Sync!$AE542)+1,20))+1,20))),"")))</f>
        <v/>
      </c>
      <c r="J542">
        <f>IF($F542="","",IF(OR($G542="",$H542="",$I542="",$G542&lt;1300,$G542&gt;1500,$H542&lt;1,$H542&gt;12,$I542&lt;1,$I542&gt;31),"نامعتبر",RIGHT("0000"&amp;$G542,4)&amp;"/"&amp;RIGHT("00"&amp;$H542,2)&amp;"/"&amp;RIGHT("00"&amp;$I542,2)))</f>
        <v/>
      </c>
      <c r="K542">
        <f>IF(OR($F542="",$J542="",$J542="نامعتبر"),"",LEFT($J542,4)&amp;MID($J542,6,2)&amp;RIGHT($J542,2)&amp;$N542&amp;"|"&amp;"2"&amp;RIGHT("00000"&amp;537,5))</f>
        <v/>
      </c>
      <c r="L542">
        <f>IF($K542="","",COUNTIFS(LdgSellerA,$F542,LdgKeyA,"&lt;"&amp;$K542)+COUNTIFS(LdgSellerB,$F542,LdgKeyB,"&lt;"&amp;$K542)+1)</f>
        <v/>
      </c>
      <c r="M542">
        <f>IF($L542="","",$F542&amp;"|"&amp;RIGHT("000000"&amp;$L542,6))</f>
        <v/>
      </c>
      <c r="N542">
        <f>IF($F542="","",IF(Sync!$AF542="","0000",IF(AND(ISNUMBER(Sync!$AF542),Sync!$AF542&gt;=0,Sync!$AF542&lt;1),RIGHT("00"&amp;HOUR(Sync!$AF542),2)&amp;RIGHT("00"&amp;MINUTE(Sync!$AF542),2),IFERROR(RIGHT("00"&amp;VALUE(LEFT(Sync!$AF542,FIND(":",Sync!$AF542)-1)),2)&amp;RIGHT("00"&amp;VALUE(MID(Sync!$AF542,FIND(":",Sync!$AF542)+1,2)),2),"0000"))))</f>
        <v/>
      </c>
    </row>
    <row r="543">
      <c r="A543">
        <f>IF(OR(Calc!$E547="",Calc!$E547="نامعتبر",Calc!$G547=""),"",Calc!$G547)</f>
        <v/>
      </c>
      <c r="B543">
        <f>IF($A543="","",LEFT(Calc!$E547,4)&amp;MID(Calc!$E547,6,2)&amp;RIGHT(Calc!$E547,2)&amp;Calc!$Q547&amp;"|"&amp;"1"&amp;RIGHT("00000"&amp;538,5))</f>
        <v/>
      </c>
      <c r="C543">
        <f>IF($B543="","",COUNTIFS(LdgSellerA,$A543,LdgKeyA,"&lt;"&amp;$B543)+COUNTIFS(LdgSellerB,$A543,LdgKeyB,"&lt;"&amp;$B543)+1)</f>
        <v/>
      </c>
      <c r="D543">
        <f>IF($C543="","",$A543&amp;"|"&amp;RIGHT("000000"&amp;$C543,6))</f>
        <v/>
      </c>
      <c r="F543">
        <f>IF(Sync!$AH543="","",IF(LEFT(UPPER(TRIM(Sync!$AH543)),2)="SL",UPPER(TRIM(Sync!$AH543)),""))</f>
        <v/>
      </c>
      <c r="G543">
        <f>IF($F543="","",IF(Sync!$AE543="","",IF(ISNUMBER(Sync!$AE543),IF(AND(Sync!$AE543&gt;=10000101,Sync!$AE543&lt;=99991231),INT(Sync!$AE543/10000),""),IFERROR(VALUE(TRIM(LEFT(Sync!$AE543,FIND("/",Sync!$AE543)-1))),""))))</f>
        <v/>
      </c>
      <c r="H543">
        <f>IF(OR($F543="",$G543=""),"",IF(ISNUMBER(Sync!$AE543),INT(MOD(Sync!$AE543,10000)/100),IFERROR(VALUE(TRIM(LEFT(MID(Sync!$AE543,FIND("/",Sync!$AE543)+1,20),FIND("/",MID(Sync!$AE543,FIND("/",Sync!$AE543)+1,20))-1))),"")))</f>
        <v/>
      </c>
      <c r="I543">
        <f>IF(OR($F543="",$G543=""),"",IF(ISNUMBER(Sync!$AE543),MOD(Sync!$AE543,100),IFERROR(VALUE(TRIM(MID(MID(Sync!$AE543,FIND("/",Sync!$AE543)+1,20),FIND("/",MID(Sync!$AE543,FIND("/",Sync!$AE543)+1,20))+1,20))),"")))</f>
        <v/>
      </c>
      <c r="J543">
        <f>IF($F543="","",IF(OR($G543="",$H543="",$I543="",$G543&lt;1300,$G543&gt;1500,$H543&lt;1,$H543&gt;12,$I543&lt;1,$I543&gt;31),"نامعتبر",RIGHT("0000"&amp;$G543,4)&amp;"/"&amp;RIGHT("00"&amp;$H543,2)&amp;"/"&amp;RIGHT("00"&amp;$I543,2)))</f>
        <v/>
      </c>
      <c r="K543">
        <f>IF(OR($F543="",$J543="",$J543="نامعتبر"),"",LEFT($J543,4)&amp;MID($J543,6,2)&amp;RIGHT($J543,2)&amp;$N543&amp;"|"&amp;"2"&amp;RIGHT("00000"&amp;538,5))</f>
        <v/>
      </c>
      <c r="L543">
        <f>IF($K543="","",COUNTIFS(LdgSellerA,$F543,LdgKeyA,"&lt;"&amp;$K543)+COUNTIFS(LdgSellerB,$F543,LdgKeyB,"&lt;"&amp;$K543)+1)</f>
        <v/>
      </c>
      <c r="M543">
        <f>IF($L543="","",$F543&amp;"|"&amp;RIGHT("000000"&amp;$L543,6))</f>
        <v/>
      </c>
      <c r="N543">
        <f>IF($F543="","",IF(Sync!$AF543="","0000",IF(AND(ISNUMBER(Sync!$AF543),Sync!$AF543&gt;=0,Sync!$AF543&lt;1),RIGHT("00"&amp;HOUR(Sync!$AF543),2)&amp;RIGHT("00"&amp;MINUTE(Sync!$AF543),2),IFERROR(RIGHT("00"&amp;VALUE(LEFT(Sync!$AF543,FIND(":",Sync!$AF543)-1)),2)&amp;RIGHT("00"&amp;VALUE(MID(Sync!$AF543,FIND(":",Sync!$AF543)+1,2)),2),"0000"))))</f>
        <v/>
      </c>
    </row>
    <row r="544">
      <c r="A544">
        <f>IF(OR(Calc!$E548="",Calc!$E548="نامعتبر",Calc!$G548=""),"",Calc!$G548)</f>
        <v/>
      </c>
      <c r="B544">
        <f>IF($A544="","",LEFT(Calc!$E548,4)&amp;MID(Calc!$E548,6,2)&amp;RIGHT(Calc!$E548,2)&amp;Calc!$Q548&amp;"|"&amp;"1"&amp;RIGHT("00000"&amp;539,5))</f>
        <v/>
      </c>
      <c r="C544">
        <f>IF($B544="","",COUNTIFS(LdgSellerA,$A544,LdgKeyA,"&lt;"&amp;$B544)+COUNTIFS(LdgSellerB,$A544,LdgKeyB,"&lt;"&amp;$B544)+1)</f>
        <v/>
      </c>
      <c r="D544">
        <f>IF($C544="","",$A544&amp;"|"&amp;RIGHT("000000"&amp;$C544,6))</f>
        <v/>
      </c>
      <c r="F544">
        <f>IF(Sync!$AH544="","",IF(LEFT(UPPER(TRIM(Sync!$AH544)),2)="SL",UPPER(TRIM(Sync!$AH544)),""))</f>
        <v/>
      </c>
      <c r="G544">
        <f>IF($F544="","",IF(Sync!$AE544="","",IF(ISNUMBER(Sync!$AE544),IF(AND(Sync!$AE544&gt;=10000101,Sync!$AE544&lt;=99991231),INT(Sync!$AE544/10000),""),IFERROR(VALUE(TRIM(LEFT(Sync!$AE544,FIND("/",Sync!$AE544)-1))),""))))</f>
        <v/>
      </c>
      <c r="H544">
        <f>IF(OR($F544="",$G544=""),"",IF(ISNUMBER(Sync!$AE544),INT(MOD(Sync!$AE544,10000)/100),IFERROR(VALUE(TRIM(LEFT(MID(Sync!$AE544,FIND("/",Sync!$AE544)+1,20),FIND("/",MID(Sync!$AE544,FIND("/",Sync!$AE544)+1,20))-1))),"")))</f>
        <v/>
      </c>
      <c r="I544">
        <f>IF(OR($F544="",$G544=""),"",IF(ISNUMBER(Sync!$AE544),MOD(Sync!$AE544,100),IFERROR(VALUE(TRIM(MID(MID(Sync!$AE544,FIND("/",Sync!$AE544)+1,20),FIND("/",MID(Sync!$AE544,FIND("/",Sync!$AE544)+1,20))+1,20))),"")))</f>
        <v/>
      </c>
      <c r="J544">
        <f>IF($F544="","",IF(OR($G544="",$H544="",$I544="",$G544&lt;1300,$G544&gt;1500,$H544&lt;1,$H544&gt;12,$I544&lt;1,$I544&gt;31),"نامعتبر",RIGHT("0000"&amp;$G544,4)&amp;"/"&amp;RIGHT("00"&amp;$H544,2)&amp;"/"&amp;RIGHT("00"&amp;$I544,2)))</f>
        <v/>
      </c>
      <c r="K544">
        <f>IF(OR($F544="",$J544="",$J544="نامعتبر"),"",LEFT($J544,4)&amp;MID($J544,6,2)&amp;RIGHT($J544,2)&amp;$N544&amp;"|"&amp;"2"&amp;RIGHT("00000"&amp;539,5))</f>
        <v/>
      </c>
      <c r="L544">
        <f>IF($K544="","",COUNTIFS(LdgSellerA,$F544,LdgKeyA,"&lt;"&amp;$K544)+COUNTIFS(LdgSellerB,$F544,LdgKeyB,"&lt;"&amp;$K544)+1)</f>
        <v/>
      </c>
      <c r="M544">
        <f>IF($L544="","",$F544&amp;"|"&amp;RIGHT("000000"&amp;$L544,6))</f>
        <v/>
      </c>
      <c r="N544">
        <f>IF($F544="","",IF(Sync!$AF544="","0000",IF(AND(ISNUMBER(Sync!$AF544),Sync!$AF544&gt;=0,Sync!$AF544&lt;1),RIGHT("00"&amp;HOUR(Sync!$AF544),2)&amp;RIGHT("00"&amp;MINUTE(Sync!$AF544),2),IFERROR(RIGHT("00"&amp;VALUE(LEFT(Sync!$AF544,FIND(":",Sync!$AF544)-1)),2)&amp;RIGHT("00"&amp;VALUE(MID(Sync!$AF544,FIND(":",Sync!$AF544)+1,2)),2),"0000"))))</f>
        <v/>
      </c>
    </row>
    <row r="545">
      <c r="A545">
        <f>IF(OR(Calc!$E549="",Calc!$E549="نامعتبر",Calc!$G549=""),"",Calc!$G549)</f>
        <v/>
      </c>
      <c r="B545">
        <f>IF($A545="","",LEFT(Calc!$E549,4)&amp;MID(Calc!$E549,6,2)&amp;RIGHT(Calc!$E549,2)&amp;Calc!$Q549&amp;"|"&amp;"1"&amp;RIGHT("00000"&amp;540,5))</f>
        <v/>
      </c>
      <c r="C545">
        <f>IF($B545="","",COUNTIFS(LdgSellerA,$A545,LdgKeyA,"&lt;"&amp;$B545)+COUNTIFS(LdgSellerB,$A545,LdgKeyB,"&lt;"&amp;$B545)+1)</f>
        <v/>
      </c>
      <c r="D545">
        <f>IF($C545="","",$A545&amp;"|"&amp;RIGHT("000000"&amp;$C545,6))</f>
        <v/>
      </c>
      <c r="F545">
        <f>IF(Sync!$AH545="","",IF(LEFT(UPPER(TRIM(Sync!$AH545)),2)="SL",UPPER(TRIM(Sync!$AH545)),""))</f>
        <v/>
      </c>
      <c r="G545">
        <f>IF($F545="","",IF(Sync!$AE545="","",IF(ISNUMBER(Sync!$AE545),IF(AND(Sync!$AE545&gt;=10000101,Sync!$AE545&lt;=99991231),INT(Sync!$AE545/10000),""),IFERROR(VALUE(TRIM(LEFT(Sync!$AE545,FIND("/",Sync!$AE545)-1))),""))))</f>
        <v/>
      </c>
      <c r="H545">
        <f>IF(OR($F545="",$G545=""),"",IF(ISNUMBER(Sync!$AE545),INT(MOD(Sync!$AE545,10000)/100),IFERROR(VALUE(TRIM(LEFT(MID(Sync!$AE545,FIND("/",Sync!$AE545)+1,20),FIND("/",MID(Sync!$AE545,FIND("/",Sync!$AE545)+1,20))-1))),"")))</f>
        <v/>
      </c>
      <c r="I545">
        <f>IF(OR($F545="",$G545=""),"",IF(ISNUMBER(Sync!$AE545),MOD(Sync!$AE545,100),IFERROR(VALUE(TRIM(MID(MID(Sync!$AE545,FIND("/",Sync!$AE545)+1,20),FIND("/",MID(Sync!$AE545,FIND("/",Sync!$AE545)+1,20))+1,20))),"")))</f>
        <v/>
      </c>
      <c r="J545">
        <f>IF($F545="","",IF(OR($G545="",$H545="",$I545="",$G545&lt;1300,$G545&gt;1500,$H545&lt;1,$H545&gt;12,$I545&lt;1,$I545&gt;31),"نامعتبر",RIGHT("0000"&amp;$G545,4)&amp;"/"&amp;RIGHT("00"&amp;$H545,2)&amp;"/"&amp;RIGHT("00"&amp;$I545,2)))</f>
        <v/>
      </c>
      <c r="K545">
        <f>IF(OR($F545="",$J545="",$J545="نامعتبر"),"",LEFT($J545,4)&amp;MID($J545,6,2)&amp;RIGHT($J545,2)&amp;$N545&amp;"|"&amp;"2"&amp;RIGHT("00000"&amp;540,5))</f>
        <v/>
      </c>
      <c r="L545">
        <f>IF($K545="","",COUNTIFS(LdgSellerA,$F545,LdgKeyA,"&lt;"&amp;$K545)+COUNTIFS(LdgSellerB,$F545,LdgKeyB,"&lt;"&amp;$K545)+1)</f>
        <v/>
      </c>
      <c r="M545">
        <f>IF($L545="","",$F545&amp;"|"&amp;RIGHT("000000"&amp;$L545,6))</f>
        <v/>
      </c>
      <c r="N545">
        <f>IF($F545="","",IF(Sync!$AF545="","0000",IF(AND(ISNUMBER(Sync!$AF545),Sync!$AF545&gt;=0,Sync!$AF545&lt;1),RIGHT("00"&amp;HOUR(Sync!$AF545),2)&amp;RIGHT("00"&amp;MINUTE(Sync!$AF545),2),IFERROR(RIGHT("00"&amp;VALUE(LEFT(Sync!$AF545,FIND(":",Sync!$AF545)-1)),2)&amp;RIGHT("00"&amp;VALUE(MID(Sync!$AF545,FIND(":",Sync!$AF545)+1,2)),2),"0000"))))</f>
        <v/>
      </c>
    </row>
    <row r="546">
      <c r="A546">
        <f>IF(OR(Calc!$E550="",Calc!$E550="نامعتبر",Calc!$G550=""),"",Calc!$G550)</f>
        <v/>
      </c>
      <c r="B546">
        <f>IF($A546="","",LEFT(Calc!$E550,4)&amp;MID(Calc!$E550,6,2)&amp;RIGHT(Calc!$E550,2)&amp;Calc!$Q550&amp;"|"&amp;"1"&amp;RIGHT("00000"&amp;541,5))</f>
        <v/>
      </c>
      <c r="C546">
        <f>IF($B546="","",COUNTIFS(LdgSellerA,$A546,LdgKeyA,"&lt;"&amp;$B546)+COUNTIFS(LdgSellerB,$A546,LdgKeyB,"&lt;"&amp;$B546)+1)</f>
        <v/>
      </c>
      <c r="D546">
        <f>IF($C546="","",$A546&amp;"|"&amp;RIGHT("000000"&amp;$C546,6))</f>
        <v/>
      </c>
      <c r="F546">
        <f>IF(Sync!$AH546="","",IF(LEFT(UPPER(TRIM(Sync!$AH546)),2)="SL",UPPER(TRIM(Sync!$AH546)),""))</f>
        <v/>
      </c>
      <c r="G546">
        <f>IF($F546="","",IF(Sync!$AE546="","",IF(ISNUMBER(Sync!$AE546),IF(AND(Sync!$AE546&gt;=10000101,Sync!$AE546&lt;=99991231),INT(Sync!$AE546/10000),""),IFERROR(VALUE(TRIM(LEFT(Sync!$AE546,FIND("/",Sync!$AE546)-1))),""))))</f>
        <v/>
      </c>
      <c r="H546">
        <f>IF(OR($F546="",$G546=""),"",IF(ISNUMBER(Sync!$AE546),INT(MOD(Sync!$AE546,10000)/100),IFERROR(VALUE(TRIM(LEFT(MID(Sync!$AE546,FIND("/",Sync!$AE546)+1,20),FIND("/",MID(Sync!$AE546,FIND("/",Sync!$AE546)+1,20))-1))),"")))</f>
        <v/>
      </c>
      <c r="I546">
        <f>IF(OR($F546="",$G546=""),"",IF(ISNUMBER(Sync!$AE546),MOD(Sync!$AE546,100),IFERROR(VALUE(TRIM(MID(MID(Sync!$AE546,FIND("/",Sync!$AE546)+1,20),FIND("/",MID(Sync!$AE546,FIND("/",Sync!$AE546)+1,20))+1,20))),"")))</f>
        <v/>
      </c>
      <c r="J546">
        <f>IF($F546="","",IF(OR($G546="",$H546="",$I546="",$G546&lt;1300,$G546&gt;1500,$H546&lt;1,$H546&gt;12,$I546&lt;1,$I546&gt;31),"نامعتبر",RIGHT("0000"&amp;$G546,4)&amp;"/"&amp;RIGHT("00"&amp;$H546,2)&amp;"/"&amp;RIGHT("00"&amp;$I546,2)))</f>
        <v/>
      </c>
      <c r="K546">
        <f>IF(OR($F546="",$J546="",$J546="نامعتبر"),"",LEFT($J546,4)&amp;MID($J546,6,2)&amp;RIGHT($J546,2)&amp;$N546&amp;"|"&amp;"2"&amp;RIGHT("00000"&amp;541,5))</f>
        <v/>
      </c>
      <c r="L546">
        <f>IF($K546="","",COUNTIFS(LdgSellerA,$F546,LdgKeyA,"&lt;"&amp;$K546)+COUNTIFS(LdgSellerB,$F546,LdgKeyB,"&lt;"&amp;$K546)+1)</f>
        <v/>
      </c>
      <c r="M546">
        <f>IF($L546="","",$F546&amp;"|"&amp;RIGHT("000000"&amp;$L546,6))</f>
        <v/>
      </c>
      <c r="N546">
        <f>IF($F546="","",IF(Sync!$AF546="","0000",IF(AND(ISNUMBER(Sync!$AF546),Sync!$AF546&gt;=0,Sync!$AF546&lt;1),RIGHT("00"&amp;HOUR(Sync!$AF546),2)&amp;RIGHT("00"&amp;MINUTE(Sync!$AF546),2),IFERROR(RIGHT("00"&amp;VALUE(LEFT(Sync!$AF546,FIND(":",Sync!$AF546)-1)),2)&amp;RIGHT("00"&amp;VALUE(MID(Sync!$AF546,FIND(":",Sync!$AF546)+1,2)),2),"0000"))))</f>
        <v/>
      </c>
    </row>
    <row r="547">
      <c r="A547">
        <f>IF(OR(Calc!$E551="",Calc!$E551="نامعتبر",Calc!$G551=""),"",Calc!$G551)</f>
        <v/>
      </c>
      <c r="B547">
        <f>IF($A547="","",LEFT(Calc!$E551,4)&amp;MID(Calc!$E551,6,2)&amp;RIGHT(Calc!$E551,2)&amp;Calc!$Q551&amp;"|"&amp;"1"&amp;RIGHT("00000"&amp;542,5))</f>
        <v/>
      </c>
      <c r="C547">
        <f>IF($B547="","",COUNTIFS(LdgSellerA,$A547,LdgKeyA,"&lt;"&amp;$B547)+COUNTIFS(LdgSellerB,$A547,LdgKeyB,"&lt;"&amp;$B547)+1)</f>
        <v/>
      </c>
      <c r="D547">
        <f>IF($C547="","",$A547&amp;"|"&amp;RIGHT("000000"&amp;$C547,6))</f>
        <v/>
      </c>
      <c r="F547">
        <f>IF(Sync!$AH547="","",IF(LEFT(UPPER(TRIM(Sync!$AH547)),2)="SL",UPPER(TRIM(Sync!$AH547)),""))</f>
        <v/>
      </c>
      <c r="G547">
        <f>IF($F547="","",IF(Sync!$AE547="","",IF(ISNUMBER(Sync!$AE547),IF(AND(Sync!$AE547&gt;=10000101,Sync!$AE547&lt;=99991231),INT(Sync!$AE547/10000),""),IFERROR(VALUE(TRIM(LEFT(Sync!$AE547,FIND("/",Sync!$AE547)-1))),""))))</f>
        <v/>
      </c>
      <c r="H547">
        <f>IF(OR($F547="",$G547=""),"",IF(ISNUMBER(Sync!$AE547),INT(MOD(Sync!$AE547,10000)/100),IFERROR(VALUE(TRIM(LEFT(MID(Sync!$AE547,FIND("/",Sync!$AE547)+1,20),FIND("/",MID(Sync!$AE547,FIND("/",Sync!$AE547)+1,20))-1))),"")))</f>
        <v/>
      </c>
      <c r="I547">
        <f>IF(OR($F547="",$G547=""),"",IF(ISNUMBER(Sync!$AE547),MOD(Sync!$AE547,100),IFERROR(VALUE(TRIM(MID(MID(Sync!$AE547,FIND("/",Sync!$AE547)+1,20),FIND("/",MID(Sync!$AE547,FIND("/",Sync!$AE547)+1,20))+1,20))),"")))</f>
        <v/>
      </c>
      <c r="J547">
        <f>IF($F547="","",IF(OR($G547="",$H547="",$I547="",$G547&lt;1300,$G547&gt;1500,$H547&lt;1,$H547&gt;12,$I547&lt;1,$I547&gt;31),"نامعتبر",RIGHT("0000"&amp;$G547,4)&amp;"/"&amp;RIGHT("00"&amp;$H547,2)&amp;"/"&amp;RIGHT("00"&amp;$I547,2)))</f>
        <v/>
      </c>
      <c r="K547">
        <f>IF(OR($F547="",$J547="",$J547="نامعتبر"),"",LEFT($J547,4)&amp;MID($J547,6,2)&amp;RIGHT($J547,2)&amp;$N547&amp;"|"&amp;"2"&amp;RIGHT("00000"&amp;542,5))</f>
        <v/>
      </c>
      <c r="L547">
        <f>IF($K547="","",COUNTIFS(LdgSellerA,$F547,LdgKeyA,"&lt;"&amp;$K547)+COUNTIFS(LdgSellerB,$F547,LdgKeyB,"&lt;"&amp;$K547)+1)</f>
        <v/>
      </c>
      <c r="M547">
        <f>IF($L547="","",$F547&amp;"|"&amp;RIGHT("000000"&amp;$L547,6))</f>
        <v/>
      </c>
      <c r="N547">
        <f>IF($F547="","",IF(Sync!$AF547="","0000",IF(AND(ISNUMBER(Sync!$AF547),Sync!$AF547&gt;=0,Sync!$AF547&lt;1),RIGHT("00"&amp;HOUR(Sync!$AF547),2)&amp;RIGHT("00"&amp;MINUTE(Sync!$AF547),2),IFERROR(RIGHT("00"&amp;VALUE(LEFT(Sync!$AF547,FIND(":",Sync!$AF547)-1)),2)&amp;RIGHT("00"&amp;VALUE(MID(Sync!$AF547,FIND(":",Sync!$AF547)+1,2)),2),"0000"))))</f>
        <v/>
      </c>
    </row>
    <row r="548">
      <c r="A548">
        <f>IF(OR(Calc!$E552="",Calc!$E552="نامعتبر",Calc!$G552=""),"",Calc!$G552)</f>
        <v/>
      </c>
      <c r="B548">
        <f>IF($A548="","",LEFT(Calc!$E552,4)&amp;MID(Calc!$E552,6,2)&amp;RIGHT(Calc!$E552,2)&amp;Calc!$Q552&amp;"|"&amp;"1"&amp;RIGHT("00000"&amp;543,5))</f>
        <v/>
      </c>
      <c r="C548">
        <f>IF($B548="","",COUNTIFS(LdgSellerA,$A548,LdgKeyA,"&lt;"&amp;$B548)+COUNTIFS(LdgSellerB,$A548,LdgKeyB,"&lt;"&amp;$B548)+1)</f>
        <v/>
      </c>
      <c r="D548">
        <f>IF($C548="","",$A548&amp;"|"&amp;RIGHT("000000"&amp;$C548,6))</f>
        <v/>
      </c>
      <c r="F548">
        <f>IF(Sync!$AH548="","",IF(LEFT(UPPER(TRIM(Sync!$AH548)),2)="SL",UPPER(TRIM(Sync!$AH548)),""))</f>
        <v/>
      </c>
      <c r="G548">
        <f>IF($F548="","",IF(Sync!$AE548="","",IF(ISNUMBER(Sync!$AE548),IF(AND(Sync!$AE548&gt;=10000101,Sync!$AE548&lt;=99991231),INT(Sync!$AE548/10000),""),IFERROR(VALUE(TRIM(LEFT(Sync!$AE548,FIND("/",Sync!$AE548)-1))),""))))</f>
        <v/>
      </c>
      <c r="H548">
        <f>IF(OR($F548="",$G548=""),"",IF(ISNUMBER(Sync!$AE548),INT(MOD(Sync!$AE548,10000)/100),IFERROR(VALUE(TRIM(LEFT(MID(Sync!$AE548,FIND("/",Sync!$AE548)+1,20),FIND("/",MID(Sync!$AE548,FIND("/",Sync!$AE548)+1,20))-1))),"")))</f>
        <v/>
      </c>
      <c r="I548">
        <f>IF(OR($F548="",$G548=""),"",IF(ISNUMBER(Sync!$AE548),MOD(Sync!$AE548,100),IFERROR(VALUE(TRIM(MID(MID(Sync!$AE548,FIND("/",Sync!$AE548)+1,20),FIND("/",MID(Sync!$AE548,FIND("/",Sync!$AE548)+1,20))+1,20))),"")))</f>
        <v/>
      </c>
      <c r="J548">
        <f>IF($F548="","",IF(OR($G548="",$H548="",$I548="",$G548&lt;1300,$G548&gt;1500,$H548&lt;1,$H548&gt;12,$I548&lt;1,$I548&gt;31),"نامعتبر",RIGHT("0000"&amp;$G548,4)&amp;"/"&amp;RIGHT("00"&amp;$H548,2)&amp;"/"&amp;RIGHT("00"&amp;$I548,2)))</f>
        <v/>
      </c>
      <c r="K548">
        <f>IF(OR($F548="",$J548="",$J548="نامعتبر"),"",LEFT($J548,4)&amp;MID($J548,6,2)&amp;RIGHT($J548,2)&amp;$N548&amp;"|"&amp;"2"&amp;RIGHT("00000"&amp;543,5))</f>
        <v/>
      </c>
      <c r="L548">
        <f>IF($K548="","",COUNTIFS(LdgSellerA,$F548,LdgKeyA,"&lt;"&amp;$K548)+COUNTIFS(LdgSellerB,$F548,LdgKeyB,"&lt;"&amp;$K548)+1)</f>
        <v/>
      </c>
      <c r="M548">
        <f>IF($L548="","",$F548&amp;"|"&amp;RIGHT("000000"&amp;$L548,6))</f>
        <v/>
      </c>
      <c r="N548">
        <f>IF($F548="","",IF(Sync!$AF548="","0000",IF(AND(ISNUMBER(Sync!$AF548),Sync!$AF548&gt;=0,Sync!$AF548&lt;1),RIGHT("00"&amp;HOUR(Sync!$AF548),2)&amp;RIGHT("00"&amp;MINUTE(Sync!$AF548),2),IFERROR(RIGHT("00"&amp;VALUE(LEFT(Sync!$AF548,FIND(":",Sync!$AF548)-1)),2)&amp;RIGHT("00"&amp;VALUE(MID(Sync!$AF548,FIND(":",Sync!$AF548)+1,2)),2),"0000"))))</f>
        <v/>
      </c>
    </row>
    <row r="549">
      <c r="A549">
        <f>IF(OR(Calc!$E553="",Calc!$E553="نامعتبر",Calc!$G553=""),"",Calc!$G553)</f>
        <v/>
      </c>
      <c r="B549">
        <f>IF($A549="","",LEFT(Calc!$E553,4)&amp;MID(Calc!$E553,6,2)&amp;RIGHT(Calc!$E553,2)&amp;Calc!$Q553&amp;"|"&amp;"1"&amp;RIGHT("00000"&amp;544,5))</f>
        <v/>
      </c>
      <c r="C549">
        <f>IF($B549="","",COUNTIFS(LdgSellerA,$A549,LdgKeyA,"&lt;"&amp;$B549)+COUNTIFS(LdgSellerB,$A549,LdgKeyB,"&lt;"&amp;$B549)+1)</f>
        <v/>
      </c>
      <c r="D549">
        <f>IF($C549="","",$A549&amp;"|"&amp;RIGHT("000000"&amp;$C549,6))</f>
        <v/>
      </c>
      <c r="F549">
        <f>IF(Sync!$AH549="","",IF(LEFT(UPPER(TRIM(Sync!$AH549)),2)="SL",UPPER(TRIM(Sync!$AH549)),""))</f>
        <v/>
      </c>
      <c r="G549">
        <f>IF($F549="","",IF(Sync!$AE549="","",IF(ISNUMBER(Sync!$AE549),IF(AND(Sync!$AE549&gt;=10000101,Sync!$AE549&lt;=99991231),INT(Sync!$AE549/10000),""),IFERROR(VALUE(TRIM(LEFT(Sync!$AE549,FIND("/",Sync!$AE549)-1))),""))))</f>
        <v/>
      </c>
      <c r="H549">
        <f>IF(OR($F549="",$G549=""),"",IF(ISNUMBER(Sync!$AE549),INT(MOD(Sync!$AE549,10000)/100),IFERROR(VALUE(TRIM(LEFT(MID(Sync!$AE549,FIND("/",Sync!$AE549)+1,20),FIND("/",MID(Sync!$AE549,FIND("/",Sync!$AE549)+1,20))-1))),"")))</f>
        <v/>
      </c>
      <c r="I549">
        <f>IF(OR($F549="",$G549=""),"",IF(ISNUMBER(Sync!$AE549),MOD(Sync!$AE549,100),IFERROR(VALUE(TRIM(MID(MID(Sync!$AE549,FIND("/",Sync!$AE549)+1,20),FIND("/",MID(Sync!$AE549,FIND("/",Sync!$AE549)+1,20))+1,20))),"")))</f>
        <v/>
      </c>
      <c r="J549">
        <f>IF($F549="","",IF(OR($G549="",$H549="",$I549="",$G549&lt;1300,$G549&gt;1500,$H549&lt;1,$H549&gt;12,$I549&lt;1,$I549&gt;31),"نامعتبر",RIGHT("0000"&amp;$G549,4)&amp;"/"&amp;RIGHT("00"&amp;$H549,2)&amp;"/"&amp;RIGHT("00"&amp;$I549,2)))</f>
        <v/>
      </c>
      <c r="K549">
        <f>IF(OR($F549="",$J549="",$J549="نامعتبر"),"",LEFT($J549,4)&amp;MID($J549,6,2)&amp;RIGHT($J549,2)&amp;$N549&amp;"|"&amp;"2"&amp;RIGHT("00000"&amp;544,5))</f>
        <v/>
      </c>
      <c r="L549">
        <f>IF($K549="","",COUNTIFS(LdgSellerA,$F549,LdgKeyA,"&lt;"&amp;$K549)+COUNTIFS(LdgSellerB,$F549,LdgKeyB,"&lt;"&amp;$K549)+1)</f>
        <v/>
      </c>
      <c r="M549">
        <f>IF($L549="","",$F549&amp;"|"&amp;RIGHT("000000"&amp;$L549,6))</f>
        <v/>
      </c>
      <c r="N549">
        <f>IF($F549="","",IF(Sync!$AF549="","0000",IF(AND(ISNUMBER(Sync!$AF549),Sync!$AF549&gt;=0,Sync!$AF549&lt;1),RIGHT("00"&amp;HOUR(Sync!$AF549),2)&amp;RIGHT("00"&amp;MINUTE(Sync!$AF549),2),IFERROR(RIGHT("00"&amp;VALUE(LEFT(Sync!$AF549,FIND(":",Sync!$AF549)-1)),2)&amp;RIGHT("00"&amp;VALUE(MID(Sync!$AF549,FIND(":",Sync!$AF549)+1,2)),2),"0000"))))</f>
        <v/>
      </c>
    </row>
    <row r="550">
      <c r="A550">
        <f>IF(OR(Calc!$E554="",Calc!$E554="نامعتبر",Calc!$G554=""),"",Calc!$G554)</f>
        <v/>
      </c>
      <c r="B550">
        <f>IF($A550="","",LEFT(Calc!$E554,4)&amp;MID(Calc!$E554,6,2)&amp;RIGHT(Calc!$E554,2)&amp;Calc!$Q554&amp;"|"&amp;"1"&amp;RIGHT("00000"&amp;545,5))</f>
        <v/>
      </c>
      <c r="C550">
        <f>IF($B550="","",COUNTIFS(LdgSellerA,$A550,LdgKeyA,"&lt;"&amp;$B550)+COUNTIFS(LdgSellerB,$A550,LdgKeyB,"&lt;"&amp;$B550)+1)</f>
        <v/>
      </c>
      <c r="D550">
        <f>IF($C550="","",$A550&amp;"|"&amp;RIGHT("000000"&amp;$C550,6))</f>
        <v/>
      </c>
      <c r="F550">
        <f>IF(Sync!$AH550="","",IF(LEFT(UPPER(TRIM(Sync!$AH550)),2)="SL",UPPER(TRIM(Sync!$AH550)),""))</f>
        <v/>
      </c>
      <c r="G550">
        <f>IF($F550="","",IF(Sync!$AE550="","",IF(ISNUMBER(Sync!$AE550),IF(AND(Sync!$AE550&gt;=10000101,Sync!$AE550&lt;=99991231),INT(Sync!$AE550/10000),""),IFERROR(VALUE(TRIM(LEFT(Sync!$AE550,FIND("/",Sync!$AE550)-1))),""))))</f>
        <v/>
      </c>
      <c r="H550">
        <f>IF(OR($F550="",$G550=""),"",IF(ISNUMBER(Sync!$AE550),INT(MOD(Sync!$AE550,10000)/100),IFERROR(VALUE(TRIM(LEFT(MID(Sync!$AE550,FIND("/",Sync!$AE550)+1,20),FIND("/",MID(Sync!$AE550,FIND("/",Sync!$AE550)+1,20))-1))),"")))</f>
        <v/>
      </c>
      <c r="I550">
        <f>IF(OR($F550="",$G550=""),"",IF(ISNUMBER(Sync!$AE550),MOD(Sync!$AE550,100),IFERROR(VALUE(TRIM(MID(MID(Sync!$AE550,FIND("/",Sync!$AE550)+1,20),FIND("/",MID(Sync!$AE550,FIND("/",Sync!$AE550)+1,20))+1,20))),"")))</f>
        <v/>
      </c>
      <c r="J550">
        <f>IF($F550="","",IF(OR($G550="",$H550="",$I550="",$G550&lt;1300,$G550&gt;1500,$H550&lt;1,$H550&gt;12,$I550&lt;1,$I550&gt;31),"نامعتبر",RIGHT("0000"&amp;$G550,4)&amp;"/"&amp;RIGHT("00"&amp;$H550,2)&amp;"/"&amp;RIGHT("00"&amp;$I550,2)))</f>
        <v/>
      </c>
      <c r="K550">
        <f>IF(OR($F550="",$J550="",$J550="نامعتبر"),"",LEFT($J550,4)&amp;MID($J550,6,2)&amp;RIGHT($J550,2)&amp;$N550&amp;"|"&amp;"2"&amp;RIGHT("00000"&amp;545,5))</f>
        <v/>
      </c>
      <c r="L550">
        <f>IF($K550="","",COUNTIFS(LdgSellerA,$F550,LdgKeyA,"&lt;"&amp;$K550)+COUNTIFS(LdgSellerB,$F550,LdgKeyB,"&lt;"&amp;$K550)+1)</f>
        <v/>
      </c>
      <c r="M550">
        <f>IF($L550="","",$F550&amp;"|"&amp;RIGHT("000000"&amp;$L550,6))</f>
        <v/>
      </c>
      <c r="N550">
        <f>IF($F550="","",IF(Sync!$AF550="","0000",IF(AND(ISNUMBER(Sync!$AF550),Sync!$AF550&gt;=0,Sync!$AF550&lt;1),RIGHT("00"&amp;HOUR(Sync!$AF550),2)&amp;RIGHT("00"&amp;MINUTE(Sync!$AF550),2),IFERROR(RIGHT("00"&amp;VALUE(LEFT(Sync!$AF550,FIND(":",Sync!$AF550)-1)),2)&amp;RIGHT("00"&amp;VALUE(MID(Sync!$AF550,FIND(":",Sync!$AF550)+1,2)),2),"0000"))))</f>
        <v/>
      </c>
    </row>
    <row r="551">
      <c r="A551">
        <f>IF(OR(Calc!$E555="",Calc!$E555="نامعتبر",Calc!$G555=""),"",Calc!$G555)</f>
        <v/>
      </c>
      <c r="B551">
        <f>IF($A551="","",LEFT(Calc!$E555,4)&amp;MID(Calc!$E555,6,2)&amp;RIGHT(Calc!$E555,2)&amp;Calc!$Q555&amp;"|"&amp;"1"&amp;RIGHT("00000"&amp;546,5))</f>
        <v/>
      </c>
      <c r="C551">
        <f>IF($B551="","",COUNTIFS(LdgSellerA,$A551,LdgKeyA,"&lt;"&amp;$B551)+COUNTIFS(LdgSellerB,$A551,LdgKeyB,"&lt;"&amp;$B551)+1)</f>
        <v/>
      </c>
      <c r="D551">
        <f>IF($C551="","",$A551&amp;"|"&amp;RIGHT("000000"&amp;$C551,6))</f>
        <v/>
      </c>
      <c r="F551">
        <f>IF(Sync!$AH551="","",IF(LEFT(UPPER(TRIM(Sync!$AH551)),2)="SL",UPPER(TRIM(Sync!$AH551)),""))</f>
        <v/>
      </c>
      <c r="G551">
        <f>IF($F551="","",IF(Sync!$AE551="","",IF(ISNUMBER(Sync!$AE551),IF(AND(Sync!$AE551&gt;=10000101,Sync!$AE551&lt;=99991231),INT(Sync!$AE551/10000),""),IFERROR(VALUE(TRIM(LEFT(Sync!$AE551,FIND("/",Sync!$AE551)-1))),""))))</f>
        <v/>
      </c>
      <c r="H551">
        <f>IF(OR($F551="",$G551=""),"",IF(ISNUMBER(Sync!$AE551),INT(MOD(Sync!$AE551,10000)/100),IFERROR(VALUE(TRIM(LEFT(MID(Sync!$AE551,FIND("/",Sync!$AE551)+1,20),FIND("/",MID(Sync!$AE551,FIND("/",Sync!$AE551)+1,20))-1))),"")))</f>
        <v/>
      </c>
      <c r="I551">
        <f>IF(OR($F551="",$G551=""),"",IF(ISNUMBER(Sync!$AE551),MOD(Sync!$AE551,100),IFERROR(VALUE(TRIM(MID(MID(Sync!$AE551,FIND("/",Sync!$AE551)+1,20),FIND("/",MID(Sync!$AE551,FIND("/",Sync!$AE551)+1,20))+1,20))),"")))</f>
        <v/>
      </c>
      <c r="J551">
        <f>IF($F551="","",IF(OR($G551="",$H551="",$I551="",$G551&lt;1300,$G551&gt;1500,$H551&lt;1,$H551&gt;12,$I551&lt;1,$I551&gt;31),"نامعتبر",RIGHT("0000"&amp;$G551,4)&amp;"/"&amp;RIGHT("00"&amp;$H551,2)&amp;"/"&amp;RIGHT("00"&amp;$I551,2)))</f>
        <v/>
      </c>
      <c r="K551">
        <f>IF(OR($F551="",$J551="",$J551="نامعتبر"),"",LEFT($J551,4)&amp;MID($J551,6,2)&amp;RIGHT($J551,2)&amp;$N551&amp;"|"&amp;"2"&amp;RIGHT("00000"&amp;546,5))</f>
        <v/>
      </c>
      <c r="L551">
        <f>IF($K551="","",COUNTIFS(LdgSellerA,$F551,LdgKeyA,"&lt;"&amp;$K551)+COUNTIFS(LdgSellerB,$F551,LdgKeyB,"&lt;"&amp;$K551)+1)</f>
        <v/>
      </c>
      <c r="M551">
        <f>IF($L551="","",$F551&amp;"|"&amp;RIGHT("000000"&amp;$L551,6))</f>
        <v/>
      </c>
      <c r="N551">
        <f>IF($F551="","",IF(Sync!$AF551="","0000",IF(AND(ISNUMBER(Sync!$AF551),Sync!$AF551&gt;=0,Sync!$AF551&lt;1),RIGHT("00"&amp;HOUR(Sync!$AF551),2)&amp;RIGHT("00"&amp;MINUTE(Sync!$AF551),2),IFERROR(RIGHT("00"&amp;VALUE(LEFT(Sync!$AF551,FIND(":",Sync!$AF551)-1)),2)&amp;RIGHT("00"&amp;VALUE(MID(Sync!$AF551,FIND(":",Sync!$AF551)+1,2)),2),"0000"))))</f>
        <v/>
      </c>
    </row>
    <row r="552">
      <c r="A552">
        <f>IF(OR(Calc!$E556="",Calc!$E556="نامعتبر",Calc!$G556=""),"",Calc!$G556)</f>
        <v/>
      </c>
      <c r="B552">
        <f>IF($A552="","",LEFT(Calc!$E556,4)&amp;MID(Calc!$E556,6,2)&amp;RIGHT(Calc!$E556,2)&amp;Calc!$Q556&amp;"|"&amp;"1"&amp;RIGHT("00000"&amp;547,5))</f>
        <v/>
      </c>
      <c r="C552">
        <f>IF($B552="","",COUNTIFS(LdgSellerA,$A552,LdgKeyA,"&lt;"&amp;$B552)+COUNTIFS(LdgSellerB,$A552,LdgKeyB,"&lt;"&amp;$B552)+1)</f>
        <v/>
      </c>
      <c r="D552">
        <f>IF($C552="","",$A552&amp;"|"&amp;RIGHT("000000"&amp;$C552,6))</f>
        <v/>
      </c>
      <c r="F552">
        <f>IF(Sync!$AH552="","",IF(LEFT(UPPER(TRIM(Sync!$AH552)),2)="SL",UPPER(TRIM(Sync!$AH552)),""))</f>
        <v/>
      </c>
      <c r="G552">
        <f>IF($F552="","",IF(Sync!$AE552="","",IF(ISNUMBER(Sync!$AE552),IF(AND(Sync!$AE552&gt;=10000101,Sync!$AE552&lt;=99991231),INT(Sync!$AE552/10000),""),IFERROR(VALUE(TRIM(LEFT(Sync!$AE552,FIND("/",Sync!$AE552)-1))),""))))</f>
        <v/>
      </c>
      <c r="H552">
        <f>IF(OR($F552="",$G552=""),"",IF(ISNUMBER(Sync!$AE552),INT(MOD(Sync!$AE552,10000)/100),IFERROR(VALUE(TRIM(LEFT(MID(Sync!$AE552,FIND("/",Sync!$AE552)+1,20),FIND("/",MID(Sync!$AE552,FIND("/",Sync!$AE552)+1,20))-1))),"")))</f>
        <v/>
      </c>
      <c r="I552">
        <f>IF(OR($F552="",$G552=""),"",IF(ISNUMBER(Sync!$AE552),MOD(Sync!$AE552,100),IFERROR(VALUE(TRIM(MID(MID(Sync!$AE552,FIND("/",Sync!$AE552)+1,20),FIND("/",MID(Sync!$AE552,FIND("/",Sync!$AE552)+1,20))+1,20))),"")))</f>
        <v/>
      </c>
      <c r="J552">
        <f>IF($F552="","",IF(OR($G552="",$H552="",$I552="",$G552&lt;1300,$G552&gt;1500,$H552&lt;1,$H552&gt;12,$I552&lt;1,$I552&gt;31),"نامعتبر",RIGHT("0000"&amp;$G552,4)&amp;"/"&amp;RIGHT("00"&amp;$H552,2)&amp;"/"&amp;RIGHT("00"&amp;$I552,2)))</f>
        <v/>
      </c>
      <c r="K552">
        <f>IF(OR($F552="",$J552="",$J552="نامعتبر"),"",LEFT($J552,4)&amp;MID($J552,6,2)&amp;RIGHT($J552,2)&amp;$N552&amp;"|"&amp;"2"&amp;RIGHT("00000"&amp;547,5))</f>
        <v/>
      </c>
      <c r="L552">
        <f>IF($K552="","",COUNTIFS(LdgSellerA,$F552,LdgKeyA,"&lt;"&amp;$K552)+COUNTIFS(LdgSellerB,$F552,LdgKeyB,"&lt;"&amp;$K552)+1)</f>
        <v/>
      </c>
      <c r="M552">
        <f>IF($L552="","",$F552&amp;"|"&amp;RIGHT("000000"&amp;$L552,6))</f>
        <v/>
      </c>
      <c r="N552">
        <f>IF($F552="","",IF(Sync!$AF552="","0000",IF(AND(ISNUMBER(Sync!$AF552),Sync!$AF552&gt;=0,Sync!$AF552&lt;1),RIGHT("00"&amp;HOUR(Sync!$AF552),2)&amp;RIGHT("00"&amp;MINUTE(Sync!$AF552),2),IFERROR(RIGHT("00"&amp;VALUE(LEFT(Sync!$AF552,FIND(":",Sync!$AF552)-1)),2)&amp;RIGHT("00"&amp;VALUE(MID(Sync!$AF552,FIND(":",Sync!$AF552)+1,2)),2),"0000"))))</f>
        <v/>
      </c>
    </row>
    <row r="553">
      <c r="A553">
        <f>IF(OR(Calc!$E557="",Calc!$E557="نامعتبر",Calc!$G557=""),"",Calc!$G557)</f>
        <v/>
      </c>
      <c r="B553">
        <f>IF($A553="","",LEFT(Calc!$E557,4)&amp;MID(Calc!$E557,6,2)&amp;RIGHT(Calc!$E557,2)&amp;Calc!$Q557&amp;"|"&amp;"1"&amp;RIGHT("00000"&amp;548,5))</f>
        <v/>
      </c>
      <c r="C553">
        <f>IF($B553="","",COUNTIFS(LdgSellerA,$A553,LdgKeyA,"&lt;"&amp;$B553)+COUNTIFS(LdgSellerB,$A553,LdgKeyB,"&lt;"&amp;$B553)+1)</f>
        <v/>
      </c>
      <c r="D553">
        <f>IF($C553="","",$A553&amp;"|"&amp;RIGHT("000000"&amp;$C553,6))</f>
        <v/>
      </c>
      <c r="F553">
        <f>IF(Sync!$AH553="","",IF(LEFT(UPPER(TRIM(Sync!$AH553)),2)="SL",UPPER(TRIM(Sync!$AH553)),""))</f>
        <v/>
      </c>
      <c r="G553">
        <f>IF($F553="","",IF(Sync!$AE553="","",IF(ISNUMBER(Sync!$AE553),IF(AND(Sync!$AE553&gt;=10000101,Sync!$AE553&lt;=99991231),INT(Sync!$AE553/10000),""),IFERROR(VALUE(TRIM(LEFT(Sync!$AE553,FIND("/",Sync!$AE553)-1))),""))))</f>
        <v/>
      </c>
      <c r="H553">
        <f>IF(OR($F553="",$G553=""),"",IF(ISNUMBER(Sync!$AE553),INT(MOD(Sync!$AE553,10000)/100),IFERROR(VALUE(TRIM(LEFT(MID(Sync!$AE553,FIND("/",Sync!$AE553)+1,20),FIND("/",MID(Sync!$AE553,FIND("/",Sync!$AE553)+1,20))-1))),"")))</f>
        <v/>
      </c>
      <c r="I553">
        <f>IF(OR($F553="",$G553=""),"",IF(ISNUMBER(Sync!$AE553),MOD(Sync!$AE553,100),IFERROR(VALUE(TRIM(MID(MID(Sync!$AE553,FIND("/",Sync!$AE553)+1,20),FIND("/",MID(Sync!$AE553,FIND("/",Sync!$AE553)+1,20))+1,20))),"")))</f>
        <v/>
      </c>
      <c r="J553">
        <f>IF($F553="","",IF(OR($G553="",$H553="",$I553="",$G553&lt;1300,$G553&gt;1500,$H553&lt;1,$H553&gt;12,$I553&lt;1,$I553&gt;31),"نامعتبر",RIGHT("0000"&amp;$G553,4)&amp;"/"&amp;RIGHT("00"&amp;$H553,2)&amp;"/"&amp;RIGHT("00"&amp;$I553,2)))</f>
        <v/>
      </c>
      <c r="K553">
        <f>IF(OR($F553="",$J553="",$J553="نامعتبر"),"",LEFT($J553,4)&amp;MID($J553,6,2)&amp;RIGHT($J553,2)&amp;$N553&amp;"|"&amp;"2"&amp;RIGHT("00000"&amp;548,5))</f>
        <v/>
      </c>
      <c r="L553">
        <f>IF($K553="","",COUNTIFS(LdgSellerA,$F553,LdgKeyA,"&lt;"&amp;$K553)+COUNTIFS(LdgSellerB,$F553,LdgKeyB,"&lt;"&amp;$K553)+1)</f>
        <v/>
      </c>
      <c r="M553">
        <f>IF($L553="","",$F553&amp;"|"&amp;RIGHT("000000"&amp;$L553,6))</f>
        <v/>
      </c>
      <c r="N553">
        <f>IF($F553="","",IF(Sync!$AF553="","0000",IF(AND(ISNUMBER(Sync!$AF553),Sync!$AF553&gt;=0,Sync!$AF553&lt;1),RIGHT("00"&amp;HOUR(Sync!$AF553),2)&amp;RIGHT("00"&amp;MINUTE(Sync!$AF553),2),IFERROR(RIGHT("00"&amp;VALUE(LEFT(Sync!$AF553,FIND(":",Sync!$AF553)-1)),2)&amp;RIGHT("00"&amp;VALUE(MID(Sync!$AF553,FIND(":",Sync!$AF553)+1,2)),2),"0000"))))</f>
        <v/>
      </c>
    </row>
    <row r="554">
      <c r="A554">
        <f>IF(OR(Calc!$E558="",Calc!$E558="نامعتبر",Calc!$G558=""),"",Calc!$G558)</f>
        <v/>
      </c>
      <c r="B554">
        <f>IF($A554="","",LEFT(Calc!$E558,4)&amp;MID(Calc!$E558,6,2)&amp;RIGHT(Calc!$E558,2)&amp;Calc!$Q558&amp;"|"&amp;"1"&amp;RIGHT("00000"&amp;549,5))</f>
        <v/>
      </c>
      <c r="C554">
        <f>IF($B554="","",COUNTIFS(LdgSellerA,$A554,LdgKeyA,"&lt;"&amp;$B554)+COUNTIFS(LdgSellerB,$A554,LdgKeyB,"&lt;"&amp;$B554)+1)</f>
        <v/>
      </c>
      <c r="D554">
        <f>IF($C554="","",$A554&amp;"|"&amp;RIGHT("000000"&amp;$C554,6))</f>
        <v/>
      </c>
      <c r="F554">
        <f>IF(Sync!$AH554="","",IF(LEFT(UPPER(TRIM(Sync!$AH554)),2)="SL",UPPER(TRIM(Sync!$AH554)),""))</f>
        <v/>
      </c>
      <c r="G554">
        <f>IF($F554="","",IF(Sync!$AE554="","",IF(ISNUMBER(Sync!$AE554),IF(AND(Sync!$AE554&gt;=10000101,Sync!$AE554&lt;=99991231),INT(Sync!$AE554/10000),""),IFERROR(VALUE(TRIM(LEFT(Sync!$AE554,FIND("/",Sync!$AE554)-1))),""))))</f>
        <v/>
      </c>
      <c r="H554">
        <f>IF(OR($F554="",$G554=""),"",IF(ISNUMBER(Sync!$AE554),INT(MOD(Sync!$AE554,10000)/100),IFERROR(VALUE(TRIM(LEFT(MID(Sync!$AE554,FIND("/",Sync!$AE554)+1,20),FIND("/",MID(Sync!$AE554,FIND("/",Sync!$AE554)+1,20))-1))),"")))</f>
        <v/>
      </c>
      <c r="I554">
        <f>IF(OR($F554="",$G554=""),"",IF(ISNUMBER(Sync!$AE554),MOD(Sync!$AE554,100),IFERROR(VALUE(TRIM(MID(MID(Sync!$AE554,FIND("/",Sync!$AE554)+1,20),FIND("/",MID(Sync!$AE554,FIND("/",Sync!$AE554)+1,20))+1,20))),"")))</f>
        <v/>
      </c>
      <c r="J554">
        <f>IF($F554="","",IF(OR($G554="",$H554="",$I554="",$G554&lt;1300,$G554&gt;1500,$H554&lt;1,$H554&gt;12,$I554&lt;1,$I554&gt;31),"نامعتبر",RIGHT("0000"&amp;$G554,4)&amp;"/"&amp;RIGHT("00"&amp;$H554,2)&amp;"/"&amp;RIGHT("00"&amp;$I554,2)))</f>
        <v/>
      </c>
      <c r="K554">
        <f>IF(OR($F554="",$J554="",$J554="نامعتبر"),"",LEFT($J554,4)&amp;MID($J554,6,2)&amp;RIGHT($J554,2)&amp;$N554&amp;"|"&amp;"2"&amp;RIGHT("00000"&amp;549,5))</f>
        <v/>
      </c>
      <c r="L554">
        <f>IF($K554="","",COUNTIFS(LdgSellerA,$F554,LdgKeyA,"&lt;"&amp;$K554)+COUNTIFS(LdgSellerB,$F554,LdgKeyB,"&lt;"&amp;$K554)+1)</f>
        <v/>
      </c>
      <c r="M554">
        <f>IF($L554="","",$F554&amp;"|"&amp;RIGHT("000000"&amp;$L554,6))</f>
        <v/>
      </c>
      <c r="N554">
        <f>IF($F554="","",IF(Sync!$AF554="","0000",IF(AND(ISNUMBER(Sync!$AF554),Sync!$AF554&gt;=0,Sync!$AF554&lt;1),RIGHT("00"&amp;HOUR(Sync!$AF554),2)&amp;RIGHT("00"&amp;MINUTE(Sync!$AF554),2),IFERROR(RIGHT("00"&amp;VALUE(LEFT(Sync!$AF554,FIND(":",Sync!$AF554)-1)),2)&amp;RIGHT("00"&amp;VALUE(MID(Sync!$AF554,FIND(":",Sync!$AF554)+1,2)),2),"0000"))))</f>
        <v/>
      </c>
    </row>
    <row r="555">
      <c r="A555">
        <f>IF(OR(Calc!$E559="",Calc!$E559="نامعتبر",Calc!$G559=""),"",Calc!$G559)</f>
        <v/>
      </c>
      <c r="B555">
        <f>IF($A555="","",LEFT(Calc!$E559,4)&amp;MID(Calc!$E559,6,2)&amp;RIGHT(Calc!$E559,2)&amp;Calc!$Q559&amp;"|"&amp;"1"&amp;RIGHT("00000"&amp;550,5))</f>
        <v/>
      </c>
      <c r="C555">
        <f>IF($B555="","",COUNTIFS(LdgSellerA,$A555,LdgKeyA,"&lt;"&amp;$B555)+COUNTIFS(LdgSellerB,$A555,LdgKeyB,"&lt;"&amp;$B555)+1)</f>
        <v/>
      </c>
      <c r="D555">
        <f>IF($C555="","",$A555&amp;"|"&amp;RIGHT("000000"&amp;$C555,6))</f>
        <v/>
      </c>
      <c r="F555">
        <f>IF(Sync!$AH555="","",IF(LEFT(UPPER(TRIM(Sync!$AH555)),2)="SL",UPPER(TRIM(Sync!$AH555)),""))</f>
        <v/>
      </c>
      <c r="G555">
        <f>IF($F555="","",IF(Sync!$AE555="","",IF(ISNUMBER(Sync!$AE555),IF(AND(Sync!$AE555&gt;=10000101,Sync!$AE555&lt;=99991231),INT(Sync!$AE555/10000),""),IFERROR(VALUE(TRIM(LEFT(Sync!$AE555,FIND("/",Sync!$AE555)-1))),""))))</f>
        <v/>
      </c>
      <c r="H555">
        <f>IF(OR($F555="",$G555=""),"",IF(ISNUMBER(Sync!$AE555),INT(MOD(Sync!$AE555,10000)/100),IFERROR(VALUE(TRIM(LEFT(MID(Sync!$AE555,FIND("/",Sync!$AE555)+1,20),FIND("/",MID(Sync!$AE555,FIND("/",Sync!$AE555)+1,20))-1))),"")))</f>
        <v/>
      </c>
      <c r="I555">
        <f>IF(OR($F555="",$G555=""),"",IF(ISNUMBER(Sync!$AE555),MOD(Sync!$AE555,100),IFERROR(VALUE(TRIM(MID(MID(Sync!$AE555,FIND("/",Sync!$AE555)+1,20),FIND("/",MID(Sync!$AE555,FIND("/",Sync!$AE555)+1,20))+1,20))),"")))</f>
        <v/>
      </c>
      <c r="J555">
        <f>IF($F555="","",IF(OR($G555="",$H555="",$I555="",$G555&lt;1300,$G555&gt;1500,$H555&lt;1,$H555&gt;12,$I555&lt;1,$I555&gt;31),"نامعتبر",RIGHT("0000"&amp;$G555,4)&amp;"/"&amp;RIGHT("00"&amp;$H555,2)&amp;"/"&amp;RIGHT("00"&amp;$I555,2)))</f>
        <v/>
      </c>
      <c r="K555">
        <f>IF(OR($F555="",$J555="",$J555="نامعتبر"),"",LEFT($J555,4)&amp;MID($J555,6,2)&amp;RIGHT($J555,2)&amp;$N555&amp;"|"&amp;"2"&amp;RIGHT("00000"&amp;550,5))</f>
        <v/>
      </c>
      <c r="L555">
        <f>IF($K555="","",COUNTIFS(LdgSellerA,$F555,LdgKeyA,"&lt;"&amp;$K555)+COUNTIFS(LdgSellerB,$F555,LdgKeyB,"&lt;"&amp;$K555)+1)</f>
        <v/>
      </c>
      <c r="M555">
        <f>IF($L555="","",$F555&amp;"|"&amp;RIGHT("000000"&amp;$L555,6))</f>
        <v/>
      </c>
      <c r="N555">
        <f>IF($F555="","",IF(Sync!$AF555="","0000",IF(AND(ISNUMBER(Sync!$AF555),Sync!$AF555&gt;=0,Sync!$AF555&lt;1),RIGHT("00"&amp;HOUR(Sync!$AF555),2)&amp;RIGHT("00"&amp;MINUTE(Sync!$AF555),2),IFERROR(RIGHT("00"&amp;VALUE(LEFT(Sync!$AF555,FIND(":",Sync!$AF555)-1)),2)&amp;RIGHT("00"&amp;VALUE(MID(Sync!$AF555,FIND(":",Sync!$AF555)+1,2)),2),"0000"))))</f>
        <v/>
      </c>
    </row>
    <row r="556">
      <c r="A556">
        <f>IF(OR(Calc!$E560="",Calc!$E560="نامعتبر",Calc!$G560=""),"",Calc!$G560)</f>
        <v/>
      </c>
      <c r="B556">
        <f>IF($A556="","",LEFT(Calc!$E560,4)&amp;MID(Calc!$E560,6,2)&amp;RIGHT(Calc!$E560,2)&amp;Calc!$Q560&amp;"|"&amp;"1"&amp;RIGHT("00000"&amp;551,5))</f>
        <v/>
      </c>
      <c r="C556">
        <f>IF($B556="","",COUNTIFS(LdgSellerA,$A556,LdgKeyA,"&lt;"&amp;$B556)+COUNTIFS(LdgSellerB,$A556,LdgKeyB,"&lt;"&amp;$B556)+1)</f>
        <v/>
      </c>
      <c r="D556">
        <f>IF($C556="","",$A556&amp;"|"&amp;RIGHT("000000"&amp;$C556,6))</f>
        <v/>
      </c>
      <c r="F556">
        <f>IF(Sync!$AH556="","",IF(LEFT(UPPER(TRIM(Sync!$AH556)),2)="SL",UPPER(TRIM(Sync!$AH556)),""))</f>
        <v/>
      </c>
      <c r="G556">
        <f>IF($F556="","",IF(Sync!$AE556="","",IF(ISNUMBER(Sync!$AE556),IF(AND(Sync!$AE556&gt;=10000101,Sync!$AE556&lt;=99991231),INT(Sync!$AE556/10000),""),IFERROR(VALUE(TRIM(LEFT(Sync!$AE556,FIND("/",Sync!$AE556)-1))),""))))</f>
        <v/>
      </c>
      <c r="H556">
        <f>IF(OR($F556="",$G556=""),"",IF(ISNUMBER(Sync!$AE556),INT(MOD(Sync!$AE556,10000)/100),IFERROR(VALUE(TRIM(LEFT(MID(Sync!$AE556,FIND("/",Sync!$AE556)+1,20),FIND("/",MID(Sync!$AE556,FIND("/",Sync!$AE556)+1,20))-1))),"")))</f>
        <v/>
      </c>
      <c r="I556">
        <f>IF(OR($F556="",$G556=""),"",IF(ISNUMBER(Sync!$AE556),MOD(Sync!$AE556,100),IFERROR(VALUE(TRIM(MID(MID(Sync!$AE556,FIND("/",Sync!$AE556)+1,20),FIND("/",MID(Sync!$AE556,FIND("/",Sync!$AE556)+1,20))+1,20))),"")))</f>
        <v/>
      </c>
      <c r="J556">
        <f>IF($F556="","",IF(OR($G556="",$H556="",$I556="",$G556&lt;1300,$G556&gt;1500,$H556&lt;1,$H556&gt;12,$I556&lt;1,$I556&gt;31),"نامعتبر",RIGHT("0000"&amp;$G556,4)&amp;"/"&amp;RIGHT("00"&amp;$H556,2)&amp;"/"&amp;RIGHT("00"&amp;$I556,2)))</f>
        <v/>
      </c>
      <c r="K556">
        <f>IF(OR($F556="",$J556="",$J556="نامعتبر"),"",LEFT($J556,4)&amp;MID($J556,6,2)&amp;RIGHT($J556,2)&amp;$N556&amp;"|"&amp;"2"&amp;RIGHT("00000"&amp;551,5))</f>
        <v/>
      </c>
      <c r="L556">
        <f>IF($K556="","",COUNTIFS(LdgSellerA,$F556,LdgKeyA,"&lt;"&amp;$K556)+COUNTIFS(LdgSellerB,$F556,LdgKeyB,"&lt;"&amp;$K556)+1)</f>
        <v/>
      </c>
      <c r="M556">
        <f>IF($L556="","",$F556&amp;"|"&amp;RIGHT("000000"&amp;$L556,6))</f>
        <v/>
      </c>
      <c r="N556">
        <f>IF($F556="","",IF(Sync!$AF556="","0000",IF(AND(ISNUMBER(Sync!$AF556),Sync!$AF556&gt;=0,Sync!$AF556&lt;1),RIGHT("00"&amp;HOUR(Sync!$AF556),2)&amp;RIGHT("00"&amp;MINUTE(Sync!$AF556),2),IFERROR(RIGHT("00"&amp;VALUE(LEFT(Sync!$AF556,FIND(":",Sync!$AF556)-1)),2)&amp;RIGHT("00"&amp;VALUE(MID(Sync!$AF556,FIND(":",Sync!$AF556)+1,2)),2),"0000"))))</f>
        <v/>
      </c>
    </row>
    <row r="557">
      <c r="A557">
        <f>IF(OR(Calc!$E561="",Calc!$E561="نامعتبر",Calc!$G561=""),"",Calc!$G561)</f>
        <v/>
      </c>
      <c r="B557">
        <f>IF($A557="","",LEFT(Calc!$E561,4)&amp;MID(Calc!$E561,6,2)&amp;RIGHT(Calc!$E561,2)&amp;Calc!$Q561&amp;"|"&amp;"1"&amp;RIGHT("00000"&amp;552,5))</f>
        <v/>
      </c>
      <c r="C557">
        <f>IF($B557="","",COUNTIFS(LdgSellerA,$A557,LdgKeyA,"&lt;"&amp;$B557)+COUNTIFS(LdgSellerB,$A557,LdgKeyB,"&lt;"&amp;$B557)+1)</f>
        <v/>
      </c>
      <c r="D557">
        <f>IF($C557="","",$A557&amp;"|"&amp;RIGHT("000000"&amp;$C557,6))</f>
        <v/>
      </c>
      <c r="F557">
        <f>IF(Sync!$AH557="","",IF(LEFT(UPPER(TRIM(Sync!$AH557)),2)="SL",UPPER(TRIM(Sync!$AH557)),""))</f>
        <v/>
      </c>
      <c r="G557">
        <f>IF($F557="","",IF(Sync!$AE557="","",IF(ISNUMBER(Sync!$AE557),IF(AND(Sync!$AE557&gt;=10000101,Sync!$AE557&lt;=99991231),INT(Sync!$AE557/10000),""),IFERROR(VALUE(TRIM(LEFT(Sync!$AE557,FIND("/",Sync!$AE557)-1))),""))))</f>
        <v/>
      </c>
      <c r="H557">
        <f>IF(OR($F557="",$G557=""),"",IF(ISNUMBER(Sync!$AE557),INT(MOD(Sync!$AE557,10000)/100),IFERROR(VALUE(TRIM(LEFT(MID(Sync!$AE557,FIND("/",Sync!$AE557)+1,20),FIND("/",MID(Sync!$AE557,FIND("/",Sync!$AE557)+1,20))-1))),"")))</f>
        <v/>
      </c>
      <c r="I557">
        <f>IF(OR($F557="",$G557=""),"",IF(ISNUMBER(Sync!$AE557),MOD(Sync!$AE557,100),IFERROR(VALUE(TRIM(MID(MID(Sync!$AE557,FIND("/",Sync!$AE557)+1,20),FIND("/",MID(Sync!$AE557,FIND("/",Sync!$AE557)+1,20))+1,20))),"")))</f>
        <v/>
      </c>
      <c r="J557">
        <f>IF($F557="","",IF(OR($G557="",$H557="",$I557="",$G557&lt;1300,$G557&gt;1500,$H557&lt;1,$H557&gt;12,$I557&lt;1,$I557&gt;31),"نامعتبر",RIGHT("0000"&amp;$G557,4)&amp;"/"&amp;RIGHT("00"&amp;$H557,2)&amp;"/"&amp;RIGHT("00"&amp;$I557,2)))</f>
        <v/>
      </c>
      <c r="K557">
        <f>IF(OR($F557="",$J557="",$J557="نامعتبر"),"",LEFT($J557,4)&amp;MID($J557,6,2)&amp;RIGHT($J557,2)&amp;$N557&amp;"|"&amp;"2"&amp;RIGHT("00000"&amp;552,5))</f>
        <v/>
      </c>
      <c r="L557">
        <f>IF($K557="","",COUNTIFS(LdgSellerA,$F557,LdgKeyA,"&lt;"&amp;$K557)+COUNTIFS(LdgSellerB,$F557,LdgKeyB,"&lt;"&amp;$K557)+1)</f>
        <v/>
      </c>
      <c r="M557">
        <f>IF($L557="","",$F557&amp;"|"&amp;RIGHT("000000"&amp;$L557,6))</f>
        <v/>
      </c>
      <c r="N557">
        <f>IF($F557="","",IF(Sync!$AF557="","0000",IF(AND(ISNUMBER(Sync!$AF557),Sync!$AF557&gt;=0,Sync!$AF557&lt;1),RIGHT("00"&amp;HOUR(Sync!$AF557),2)&amp;RIGHT("00"&amp;MINUTE(Sync!$AF557),2),IFERROR(RIGHT("00"&amp;VALUE(LEFT(Sync!$AF557,FIND(":",Sync!$AF557)-1)),2)&amp;RIGHT("00"&amp;VALUE(MID(Sync!$AF557,FIND(":",Sync!$AF557)+1,2)),2),"0000"))))</f>
        <v/>
      </c>
    </row>
    <row r="558">
      <c r="A558">
        <f>IF(OR(Calc!$E562="",Calc!$E562="نامعتبر",Calc!$G562=""),"",Calc!$G562)</f>
        <v/>
      </c>
      <c r="B558">
        <f>IF($A558="","",LEFT(Calc!$E562,4)&amp;MID(Calc!$E562,6,2)&amp;RIGHT(Calc!$E562,2)&amp;Calc!$Q562&amp;"|"&amp;"1"&amp;RIGHT("00000"&amp;553,5))</f>
        <v/>
      </c>
      <c r="C558">
        <f>IF($B558="","",COUNTIFS(LdgSellerA,$A558,LdgKeyA,"&lt;"&amp;$B558)+COUNTIFS(LdgSellerB,$A558,LdgKeyB,"&lt;"&amp;$B558)+1)</f>
        <v/>
      </c>
      <c r="D558">
        <f>IF($C558="","",$A558&amp;"|"&amp;RIGHT("000000"&amp;$C558,6))</f>
        <v/>
      </c>
      <c r="F558">
        <f>IF(Sync!$AH558="","",IF(LEFT(UPPER(TRIM(Sync!$AH558)),2)="SL",UPPER(TRIM(Sync!$AH558)),""))</f>
        <v/>
      </c>
      <c r="G558">
        <f>IF($F558="","",IF(Sync!$AE558="","",IF(ISNUMBER(Sync!$AE558),IF(AND(Sync!$AE558&gt;=10000101,Sync!$AE558&lt;=99991231),INT(Sync!$AE558/10000),""),IFERROR(VALUE(TRIM(LEFT(Sync!$AE558,FIND("/",Sync!$AE558)-1))),""))))</f>
        <v/>
      </c>
      <c r="H558">
        <f>IF(OR($F558="",$G558=""),"",IF(ISNUMBER(Sync!$AE558),INT(MOD(Sync!$AE558,10000)/100),IFERROR(VALUE(TRIM(LEFT(MID(Sync!$AE558,FIND("/",Sync!$AE558)+1,20),FIND("/",MID(Sync!$AE558,FIND("/",Sync!$AE558)+1,20))-1))),"")))</f>
        <v/>
      </c>
      <c r="I558">
        <f>IF(OR($F558="",$G558=""),"",IF(ISNUMBER(Sync!$AE558),MOD(Sync!$AE558,100),IFERROR(VALUE(TRIM(MID(MID(Sync!$AE558,FIND("/",Sync!$AE558)+1,20),FIND("/",MID(Sync!$AE558,FIND("/",Sync!$AE558)+1,20))+1,20))),"")))</f>
        <v/>
      </c>
      <c r="J558">
        <f>IF($F558="","",IF(OR($G558="",$H558="",$I558="",$G558&lt;1300,$G558&gt;1500,$H558&lt;1,$H558&gt;12,$I558&lt;1,$I558&gt;31),"نامعتبر",RIGHT("0000"&amp;$G558,4)&amp;"/"&amp;RIGHT("00"&amp;$H558,2)&amp;"/"&amp;RIGHT("00"&amp;$I558,2)))</f>
        <v/>
      </c>
      <c r="K558">
        <f>IF(OR($F558="",$J558="",$J558="نامعتبر"),"",LEFT($J558,4)&amp;MID($J558,6,2)&amp;RIGHT($J558,2)&amp;$N558&amp;"|"&amp;"2"&amp;RIGHT("00000"&amp;553,5))</f>
        <v/>
      </c>
      <c r="L558">
        <f>IF($K558="","",COUNTIFS(LdgSellerA,$F558,LdgKeyA,"&lt;"&amp;$K558)+COUNTIFS(LdgSellerB,$F558,LdgKeyB,"&lt;"&amp;$K558)+1)</f>
        <v/>
      </c>
      <c r="M558">
        <f>IF($L558="","",$F558&amp;"|"&amp;RIGHT("000000"&amp;$L558,6))</f>
        <v/>
      </c>
      <c r="N558">
        <f>IF($F558="","",IF(Sync!$AF558="","0000",IF(AND(ISNUMBER(Sync!$AF558),Sync!$AF558&gt;=0,Sync!$AF558&lt;1),RIGHT("00"&amp;HOUR(Sync!$AF558),2)&amp;RIGHT("00"&amp;MINUTE(Sync!$AF558),2),IFERROR(RIGHT("00"&amp;VALUE(LEFT(Sync!$AF558,FIND(":",Sync!$AF558)-1)),2)&amp;RIGHT("00"&amp;VALUE(MID(Sync!$AF558,FIND(":",Sync!$AF558)+1,2)),2),"0000"))))</f>
        <v/>
      </c>
    </row>
    <row r="559">
      <c r="A559">
        <f>IF(OR(Calc!$E563="",Calc!$E563="نامعتبر",Calc!$G563=""),"",Calc!$G563)</f>
        <v/>
      </c>
      <c r="B559">
        <f>IF($A559="","",LEFT(Calc!$E563,4)&amp;MID(Calc!$E563,6,2)&amp;RIGHT(Calc!$E563,2)&amp;Calc!$Q563&amp;"|"&amp;"1"&amp;RIGHT("00000"&amp;554,5))</f>
        <v/>
      </c>
      <c r="C559">
        <f>IF($B559="","",COUNTIFS(LdgSellerA,$A559,LdgKeyA,"&lt;"&amp;$B559)+COUNTIFS(LdgSellerB,$A559,LdgKeyB,"&lt;"&amp;$B559)+1)</f>
        <v/>
      </c>
      <c r="D559">
        <f>IF($C559="","",$A559&amp;"|"&amp;RIGHT("000000"&amp;$C559,6))</f>
        <v/>
      </c>
      <c r="F559">
        <f>IF(Sync!$AH559="","",IF(LEFT(UPPER(TRIM(Sync!$AH559)),2)="SL",UPPER(TRIM(Sync!$AH559)),""))</f>
        <v/>
      </c>
      <c r="G559">
        <f>IF($F559="","",IF(Sync!$AE559="","",IF(ISNUMBER(Sync!$AE559),IF(AND(Sync!$AE559&gt;=10000101,Sync!$AE559&lt;=99991231),INT(Sync!$AE559/10000),""),IFERROR(VALUE(TRIM(LEFT(Sync!$AE559,FIND("/",Sync!$AE559)-1))),""))))</f>
        <v/>
      </c>
      <c r="H559">
        <f>IF(OR($F559="",$G559=""),"",IF(ISNUMBER(Sync!$AE559),INT(MOD(Sync!$AE559,10000)/100),IFERROR(VALUE(TRIM(LEFT(MID(Sync!$AE559,FIND("/",Sync!$AE559)+1,20),FIND("/",MID(Sync!$AE559,FIND("/",Sync!$AE559)+1,20))-1))),"")))</f>
        <v/>
      </c>
      <c r="I559">
        <f>IF(OR($F559="",$G559=""),"",IF(ISNUMBER(Sync!$AE559),MOD(Sync!$AE559,100),IFERROR(VALUE(TRIM(MID(MID(Sync!$AE559,FIND("/",Sync!$AE559)+1,20),FIND("/",MID(Sync!$AE559,FIND("/",Sync!$AE559)+1,20))+1,20))),"")))</f>
        <v/>
      </c>
      <c r="J559">
        <f>IF($F559="","",IF(OR($G559="",$H559="",$I559="",$G559&lt;1300,$G559&gt;1500,$H559&lt;1,$H559&gt;12,$I559&lt;1,$I559&gt;31),"نامعتبر",RIGHT("0000"&amp;$G559,4)&amp;"/"&amp;RIGHT("00"&amp;$H559,2)&amp;"/"&amp;RIGHT("00"&amp;$I559,2)))</f>
        <v/>
      </c>
      <c r="K559">
        <f>IF(OR($F559="",$J559="",$J559="نامعتبر"),"",LEFT($J559,4)&amp;MID($J559,6,2)&amp;RIGHT($J559,2)&amp;$N559&amp;"|"&amp;"2"&amp;RIGHT("00000"&amp;554,5))</f>
        <v/>
      </c>
      <c r="L559">
        <f>IF($K559="","",COUNTIFS(LdgSellerA,$F559,LdgKeyA,"&lt;"&amp;$K559)+COUNTIFS(LdgSellerB,$F559,LdgKeyB,"&lt;"&amp;$K559)+1)</f>
        <v/>
      </c>
      <c r="M559">
        <f>IF($L559="","",$F559&amp;"|"&amp;RIGHT("000000"&amp;$L559,6))</f>
        <v/>
      </c>
      <c r="N559">
        <f>IF($F559="","",IF(Sync!$AF559="","0000",IF(AND(ISNUMBER(Sync!$AF559),Sync!$AF559&gt;=0,Sync!$AF559&lt;1),RIGHT("00"&amp;HOUR(Sync!$AF559),2)&amp;RIGHT("00"&amp;MINUTE(Sync!$AF559),2),IFERROR(RIGHT("00"&amp;VALUE(LEFT(Sync!$AF559,FIND(":",Sync!$AF559)-1)),2)&amp;RIGHT("00"&amp;VALUE(MID(Sync!$AF559,FIND(":",Sync!$AF559)+1,2)),2),"0000"))))</f>
        <v/>
      </c>
    </row>
    <row r="560">
      <c r="A560">
        <f>IF(OR(Calc!$E564="",Calc!$E564="نامعتبر",Calc!$G564=""),"",Calc!$G564)</f>
        <v/>
      </c>
      <c r="B560">
        <f>IF($A560="","",LEFT(Calc!$E564,4)&amp;MID(Calc!$E564,6,2)&amp;RIGHT(Calc!$E564,2)&amp;Calc!$Q564&amp;"|"&amp;"1"&amp;RIGHT("00000"&amp;555,5))</f>
        <v/>
      </c>
      <c r="C560">
        <f>IF($B560="","",COUNTIFS(LdgSellerA,$A560,LdgKeyA,"&lt;"&amp;$B560)+COUNTIFS(LdgSellerB,$A560,LdgKeyB,"&lt;"&amp;$B560)+1)</f>
        <v/>
      </c>
      <c r="D560">
        <f>IF($C560="","",$A560&amp;"|"&amp;RIGHT("000000"&amp;$C560,6))</f>
        <v/>
      </c>
      <c r="F560">
        <f>IF(Sync!$AH560="","",IF(LEFT(UPPER(TRIM(Sync!$AH560)),2)="SL",UPPER(TRIM(Sync!$AH560)),""))</f>
        <v/>
      </c>
      <c r="G560">
        <f>IF($F560="","",IF(Sync!$AE560="","",IF(ISNUMBER(Sync!$AE560),IF(AND(Sync!$AE560&gt;=10000101,Sync!$AE560&lt;=99991231),INT(Sync!$AE560/10000),""),IFERROR(VALUE(TRIM(LEFT(Sync!$AE560,FIND("/",Sync!$AE560)-1))),""))))</f>
        <v/>
      </c>
      <c r="H560">
        <f>IF(OR($F560="",$G560=""),"",IF(ISNUMBER(Sync!$AE560),INT(MOD(Sync!$AE560,10000)/100),IFERROR(VALUE(TRIM(LEFT(MID(Sync!$AE560,FIND("/",Sync!$AE560)+1,20),FIND("/",MID(Sync!$AE560,FIND("/",Sync!$AE560)+1,20))-1))),"")))</f>
        <v/>
      </c>
      <c r="I560">
        <f>IF(OR($F560="",$G560=""),"",IF(ISNUMBER(Sync!$AE560),MOD(Sync!$AE560,100),IFERROR(VALUE(TRIM(MID(MID(Sync!$AE560,FIND("/",Sync!$AE560)+1,20),FIND("/",MID(Sync!$AE560,FIND("/",Sync!$AE560)+1,20))+1,20))),"")))</f>
        <v/>
      </c>
      <c r="J560">
        <f>IF($F560="","",IF(OR($G560="",$H560="",$I560="",$G560&lt;1300,$G560&gt;1500,$H560&lt;1,$H560&gt;12,$I560&lt;1,$I560&gt;31),"نامعتبر",RIGHT("0000"&amp;$G560,4)&amp;"/"&amp;RIGHT("00"&amp;$H560,2)&amp;"/"&amp;RIGHT("00"&amp;$I560,2)))</f>
        <v/>
      </c>
      <c r="K560">
        <f>IF(OR($F560="",$J560="",$J560="نامعتبر"),"",LEFT($J560,4)&amp;MID($J560,6,2)&amp;RIGHT($J560,2)&amp;$N560&amp;"|"&amp;"2"&amp;RIGHT("00000"&amp;555,5))</f>
        <v/>
      </c>
      <c r="L560">
        <f>IF($K560="","",COUNTIFS(LdgSellerA,$F560,LdgKeyA,"&lt;"&amp;$K560)+COUNTIFS(LdgSellerB,$F560,LdgKeyB,"&lt;"&amp;$K560)+1)</f>
        <v/>
      </c>
      <c r="M560">
        <f>IF($L560="","",$F560&amp;"|"&amp;RIGHT("000000"&amp;$L560,6))</f>
        <v/>
      </c>
      <c r="N560">
        <f>IF($F560="","",IF(Sync!$AF560="","0000",IF(AND(ISNUMBER(Sync!$AF560),Sync!$AF560&gt;=0,Sync!$AF560&lt;1),RIGHT("00"&amp;HOUR(Sync!$AF560),2)&amp;RIGHT("00"&amp;MINUTE(Sync!$AF560),2),IFERROR(RIGHT("00"&amp;VALUE(LEFT(Sync!$AF560,FIND(":",Sync!$AF560)-1)),2)&amp;RIGHT("00"&amp;VALUE(MID(Sync!$AF560,FIND(":",Sync!$AF560)+1,2)),2),"0000"))))</f>
        <v/>
      </c>
    </row>
    <row r="561">
      <c r="A561">
        <f>IF(OR(Calc!$E565="",Calc!$E565="نامعتبر",Calc!$G565=""),"",Calc!$G565)</f>
        <v/>
      </c>
      <c r="B561">
        <f>IF($A561="","",LEFT(Calc!$E565,4)&amp;MID(Calc!$E565,6,2)&amp;RIGHT(Calc!$E565,2)&amp;Calc!$Q565&amp;"|"&amp;"1"&amp;RIGHT("00000"&amp;556,5))</f>
        <v/>
      </c>
      <c r="C561">
        <f>IF($B561="","",COUNTIFS(LdgSellerA,$A561,LdgKeyA,"&lt;"&amp;$B561)+COUNTIFS(LdgSellerB,$A561,LdgKeyB,"&lt;"&amp;$B561)+1)</f>
        <v/>
      </c>
      <c r="D561">
        <f>IF($C561="","",$A561&amp;"|"&amp;RIGHT("000000"&amp;$C561,6))</f>
        <v/>
      </c>
      <c r="F561">
        <f>IF(Sync!$AH561="","",IF(LEFT(UPPER(TRIM(Sync!$AH561)),2)="SL",UPPER(TRIM(Sync!$AH561)),""))</f>
        <v/>
      </c>
      <c r="G561">
        <f>IF($F561="","",IF(Sync!$AE561="","",IF(ISNUMBER(Sync!$AE561),IF(AND(Sync!$AE561&gt;=10000101,Sync!$AE561&lt;=99991231),INT(Sync!$AE561/10000),""),IFERROR(VALUE(TRIM(LEFT(Sync!$AE561,FIND("/",Sync!$AE561)-1))),""))))</f>
        <v/>
      </c>
      <c r="H561">
        <f>IF(OR($F561="",$G561=""),"",IF(ISNUMBER(Sync!$AE561),INT(MOD(Sync!$AE561,10000)/100),IFERROR(VALUE(TRIM(LEFT(MID(Sync!$AE561,FIND("/",Sync!$AE561)+1,20),FIND("/",MID(Sync!$AE561,FIND("/",Sync!$AE561)+1,20))-1))),"")))</f>
        <v/>
      </c>
      <c r="I561">
        <f>IF(OR($F561="",$G561=""),"",IF(ISNUMBER(Sync!$AE561),MOD(Sync!$AE561,100),IFERROR(VALUE(TRIM(MID(MID(Sync!$AE561,FIND("/",Sync!$AE561)+1,20),FIND("/",MID(Sync!$AE561,FIND("/",Sync!$AE561)+1,20))+1,20))),"")))</f>
        <v/>
      </c>
      <c r="J561">
        <f>IF($F561="","",IF(OR($G561="",$H561="",$I561="",$G561&lt;1300,$G561&gt;1500,$H561&lt;1,$H561&gt;12,$I561&lt;1,$I561&gt;31),"نامعتبر",RIGHT("0000"&amp;$G561,4)&amp;"/"&amp;RIGHT("00"&amp;$H561,2)&amp;"/"&amp;RIGHT("00"&amp;$I561,2)))</f>
        <v/>
      </c>
      <c r="K561">
        <f>IF(OR($F561="",$J561="",$J561="نامعتبر"),"",LEFT($J561,4)&amp;MID($J561,6,2)&amp;RIGHT($J561,2)&amp;$N561&amp;"|"&amp;"2"&amp;RIGHT("00000"&amp;556,5))</f>
        <v/>
      </c>
      <c r="L561">
        <f>IF($K561="","",COUNTIFS(LdgSellerA,$F561,LdgKeyA,"&lt;"&amp;$K561)+COUNTIFS(LdgSellerB,$F561,LdgKeyB,"&lt;"&amp;$K561)+1)</f>
        <v/>
      </c>
      <c r="M561">
        <f>IF($L561="","",$F561&amp;"|"&amp;RIGHT("000000"&amp;$L561,6))</f>
        <v/>
      </c>
      <c r="N561">
        <f>IF($F561="","",IF(Sync!$AF561="","0000",IF(AND(ISNUMBER(Sync!$AF561),Sync!$AF561&gt;=0,Sync!$AF561&lt;1),RIGHT("00"&amp;HOUR(Sync!$AF561),2)&amp;RIGHT("00"&amp;MINUTE(Sync!$AF561),2),IFERROR(RIGHT("00"&amp;VALUE(LEFT(Sync!$AF561,FIND(":",Sync!$AF561)-1)),2)&amp;RIGHT("00"&amp;VALUE(MID(Sync!$AF561,FIND(":",Sync!$AF561)+1,2)),2),"0000"))))</f>
        <v/>
      </c>
    </row>
    <row r="562">
      <c r="A562">
        <f>IF(OR(Calc!$E566="",Calc!$E566="نامعتبر",Calc!$G566=""),"",Calc!$G566)</f>
        <v/>
      </c>
      <c r="B562">
        <f>IF($A562="","",LEFT(Calc!$E566,4)&amp;MID(Calc!$E566,6,2)&amp;RIGHT(Calc!$E566,2)&amp;Calc!$Q566&amp;"|"&amp;"1"&amp;RIGHT("00000"&amp;557,5))</f>
        <v/>
      </c>
      <c r="C562">
        <f>IF($B562="","",COUNTIFS(LdgSellerA,$A562,LdgKeyA,"&lt;"&amp;$B562)+COUNTIFS(LdgSellerB,$A562,LdgKeyB,"&lt;"&amp;$B562)+1)</f>
        <v/>
      </c>
      <c r="D562">
        <f>IF($C562="","",$A562&amp;"|"&amp;RIGHT("000000"&amp;$C562,6))</f>
        <v/>
      </c>
      <c r="F562">
        <f>IF(Sync!$AH562="","",IF(LEFT(UPPER(TRIM(Sync!$AH562)),2)="SL",UPPER(TRIM(Sync!$AH562)),""))</f>
        <v/>
      </c>
      <c r="G562">
        <f>IF($F562="","",IF(Sync!$AE562="","",IF(ISNUMBER(Sync!$AE562),IF(AND(Sync!$AE562&gt;=10000101,Sync!$AE562&lt;=99991231),INT(Sync!$AE562/10000),""),IFERROR(VALUE(TRIM(LEFT(Sync!$AE562,FIND("/",Sync!$AE562)-1))),""))))</f>
        <v/>
      </c>
      <c r="H562">
        <f>IF(OR($F562="",$G562=""),"",IF(ISNUMBER(Sync!$AE562),INT(MOD(Sync!$AE562,10000)/100),IFERROR(VALUE(TRIM(LEFT(MID(Sync!$AE562,FIND("/",Sync!$AE562)+1,20),FIND("/",MID(Sync!$AE562,FIND("/",Sync!$AE562)+1,20))-1))),"")))</f>
        <v/>
      </c>
      <c r="I562">
        <f>IF(OR($F562="",$G562=""),"",IF(ISNUMBER(Sync!$AE562),MOD(Sync!$AE562,100),IFERROR(VALUE(TRIM(MID(MID(Sync!$AE562,FIND("/",Sync!$AE562)+1,20),FIND("/",MID(Sync!$AE562,FIND("/",Sync!$AE562)+1,20))+1,20))),"")))</f>
        <v/>
      </c>
      <c r="J562">
        <f>IF($F562="","",IF(OR($G562="",$H562="",$I562="",$G562&lt;1300,$G562&gt;1500,$H562&lt;1,$H562&gt;12,$I562&lt;1,$I562&gt;31),"نامعتبر",RIGHT("0000"&amp;$G562,4)&amp;"/"&amp;RIGHT("00"&amp;$H562,2)&amp;"/"&amp;RIGHT("00"&amp;$I562,2)))</f>
        <v/>
      </c>
      <c r="K562">
        <f>IF(OR($F562="",$J562="",$J562="نامعتبر"),"",LEFT($J562,4)&amp;MID($J562,6,2)&amp;RIGHT($J562,2)&amp;$N562&amp;"|"&amp;"2"&amp;RIGHT("00000"&amp;557,5))</f>
        <v/>
      </c>
      <c r="L562">
        <f>IF($K562="","",COUNTIFS(LdgSellerA,$F562,LdgKeyA,"&lt;"&amp;$K562)+COUNTIFS(LdgSellerB,$F562,LdgKeyB,"&lt;"&amp;$K562)+1)</f>
        <v/>
      </c>
      <c r="M562">
        <f>IF($L562="","",$F562&amp;"|"&amp;RIGHT("000000"&amp;$L562,6))</f>
        <v/>
      </c>
      <c r="N562">
        <f>IF($F562="","",IF(Sync!$AF562="","0000",IF(AND(ISNUMBER(Sync!$AF562),Sync!$AF562&gt;=0,Sync!$AF562&lt;1),RIGHT("00"&amp;HOUR(Sync!$AF562),2)&amp;RIGHT("00"&amp;MINUTE(Sync!$AF562),2),IFERROR(RIGHT("00"&amp;VALUE(LEFT(Sync!$AF562,FIND(":",Sync!$AF562)-1)),2)&amp;RIGHT("00"&amp;VALUE(MID(Sync!$AF562,FIND(":",Sync!$AF562)+1,2)),2),"0000"))))</f>
        <v/>
      </c>
    </row>
    <row r="563">
      <c r="A563">
        <f>IF(OR(Calc!$E567="",Calc!$E567="نامعتبر",Calc!$G567=""),"",Calc!$G567)</f>
        <v/>
      </c>
      <c r="B563">
        <f>IF($A563="","",LEFT(Calc!$E567,4)&amp;MID(Calc!$E567,6,2)&amp;RIGHT(Calc!$E567,2)&amp;Calc!$Q567&amp;"|"&amp;"1"&amp;RIGHT("00000"&amp;558,5))</f>
        <v/>
      </c>
      <c r="C563">
        <f>IF($B563="","",COUNTIFS(LdgSellerA,$A563,LdgKeyA,"&lt;"&amp;$B563)+COUNTIFS(LdgSellerB,$A563,LdgKeyB,"&lt;"&amp;$B563)+1)</f>
        <v/>
      </c>
      <c r="D563">
        <f>IF($C563="","",$A563&amp;"|"&amp;RIGHT("000000"&amp;$C563,6))</f>
        <v/>
      </c>
      <c r="F563">
        <f>IF(Sync!$AH563="","",IF(LEFT(UPPER(TRIM(Sync!$AH563)),2)="SL",UPPER(TRIM(Sync!$AH563)),""))</f>
        <v/>
      </c>
      <c r="G563">
        <f>IF($F563="","",IF(Sync!$AE563="","",IF(ISNUMBER(Sync!$AE563),IF(AND(Sync!$AE563&gt;=10000101,Sync!$AE563&lt;=99991231),INT(Sync!$AE563/10000),""),IFERROR(VALUE(TRIM(LEFT(Sync!$AE563,FIND("/",Sync!$AE563)-1))),""))))</f>
        <v/>
      </c>
      <c r="H563">
        <f>IF(OR($F563="",$G563=""),"",IF(ISNUMBER(Sync!$AE563),INT(MOD(Sync!$AE563,10000)/100),IFERROR(VALUE(TRIM(LEFT(MID(Sync!$AE563,FIND("/",Sync!$AE563)+1,20),FIND("/",MID(Sync!$AE563,FIND("/",Sync!$AE563)+1,20))-1))),"")))</f>
        <v/>
      </c>
      <c r="I563">
        <f>IF(OR($F563="",$G563=""),"",IF(ISNUMBER(Sync!$AE563),MOD(Sync!$AE563,100),IFERROR(VALUE(TRIM(MID(MID(Sync!$AE563,FIND("/",Sync!$AE563)+1,20),FIND("/",MID(Sync!$AE563,FIND("/",Sync!$AE563)+1,20))+1,20))),"")))</f>
        <v/>
      </c>
      <c r="J563">
        <f>IF($F563="","",IF(OR($G563="",$H563="",$I563="",$G563&lt;1300,$G563&gt;1500,$H563&lt;1,$H563&gt;12,$I563&lt;1,$I563&gt;31),"نامعتبر",RIGHT("0000"&amp;$G563,4)&amp;"/"&amp;RIGHT("00"&amp;$H563,2)&amp;"/"&amp;RIGHT("00"&amp;$I563,2)))</f>
        <v/>
      </c>
      <c r="K563">
        <f>IF(OR($F563="",$J563="",$J563="نامعتبر"),"",LEFT($J563,4)&amp;MID($J563,6,2)&amp;RIGHT($J563,2)&amp;$N563&amp;"|"&amp;"2"&amp;RIGHT("00000"&amp;558,5))</f>
        <v/>
      </c>
      <c r="L563">
        <f>IF($K563="","",COUNTIFS(LdgSellerA,$F563,LdgKeyA,"&lt;"&amp;$K563)+COUNTIFS(LdgSellerB,$F563,LdgKeyB,"&lt;"&amp;$K563)+1)</f>
        <v/>
      </c>
      <c r="M563">
        <f>IF($L563="","",$F563&amp;"|"&amp;RIGHT("000000"&amp;$L563,6))</f>
        <v/>
      </c>
      <c r="N563">
        <f>IF($F563="","",IF(Sync!$AF563="","0000",IF(AND(ISNUMBER(Sync!$AF563),Sync!$AF563&gt;=0,Sync!$AF563&lt;1),RIGHT("00"&amp;HOUR(Sync!$AF563),2)&amp;RIGHT("00"&amp;MINUTE(Sync!$AF563),2),IFERROR(RIGHT("00"&amp;VALUE(LEFT(Sync!$AF563,FIND(":",Sync!$AF563)-1)),2)&amp;RIGHT("00"&amp;VALUE(MID(Sync!$AF563,FIND(":",Sync!$AF563)+1,2)),2),"0000"))))</f>
        <v/>
      </c>
    </row>
    <row r="564">
      <c r="A564">
        <f>IF(OR(Calc!$E568="",Calc!$E568="نامعتبر",Calc!$G568=""),"",Calc!$G568)</f>
        <v/>
      </c>
      <c r="B564">
        <f>IF($A564="","",LEFT(Calc!$E568,4)&amp;MID(Calc!$E568,6,2)&amp;RIGHT(Calc!$E568,2)&amp;Calc!$Q568&amp;"|"&amp;"1"&amp;RIGHT("00000"&amp;559,5))</f>
        <v/>
      </c>
      <c r="C564">
        <f>IF($B564="","",COUNTIFS(LdgSellerA,$A564,LdgKeyA,"&lt;"&amp;$B564)+COUNTIFS(LdgSellerB,$A564,LdgKeyB,"&lt;"&amp;$B564)+1)</f>
        <v/>
      </c>
      <c r="D564">
        <f>IF($C564="","",$A564&amp;"|"&amp;RIGHT("000000"&amp;$C564,6))</f>
        <v/>
      </c>
      <c r="F564">
        <f>IF(Sync!$AH564="","",IF(LEFT(UPPER(TRIM(Sync!$AH564)),2)="SL",UPPER(TRIM(Sync!$AH564)),""))</f>
        <v/>
      </c>
      <c r="G564">
        <f>IF($F564="","",IF(Sync!$AE564="","",IF(ISNUMBER(Sync!$AE564),IF(AND(Sync!$AE564&gt;=10000101,Sync!$AE564&lt;=99991231),INT(Sync!$AE564/10000),""),IFERROR(VALUE(TRIM(LEFT(Sync!$AE564,FIND("/",Sync!$AE564)-1))),""))))</f>
        <v/>
      </c>
      <c r="H564">
        <f>IF(OR($F564="",$G564=""),"",IF(ISNUMBER(Sync!$AE564),INT(MOD(Sync!$AE564,10000)/100),IFERROR(VALUE(TRIM(LEFT(MID(Sync!$AE564,FIND("/",Sync!$AE564)+1,20),FIND("/",MID(Sync!$AE564,FIND("/",Sync!$AE564)+1,20))-1))),"")))</f>
        <v/>
      </c>
      <c r="I564">
        <f>IF(OR($F564="",$G564=""),"",IF(ISNUMBER(Sync!$AE564),MOD(Sync!$AE564,100),IFERROR(VALUE(TRIM(MID(MID(Sync!$AE564,FIND("/",Sync!$AE564)+1,20),FIND("/",MID(Sync!$AE564,FIND("/",Sync!$AE564)+1,20))+1,20))),"")))</f>
        <v/>
      </c>
      <c r="J564">
        <f>IF($F564="","",IF(OR($G564="",$H564="",$I564="",$G564&lt;1300,$G564&gt;1500,$H564&lt;1,$H564&gt;12,$I564&lt;1,$I564&gt;31),"نامعتبر",RIGHT("0000"&amp;$G564,4)&amp;"/"&amp;RIGHT("00"&amp;$H564,2)&amp;"/"&amp;RIGHT("00"&amp;$I564,2)))</f>
        <v/>
      </c>
      <c r="K564">
        <f>IF(OR($F564="",$J564="",$J564="نامعتبر"),"",LEFT($J564,4)&amp;MID($J564,6,2)&amp;RIGHT($J564,2)&amp;$N564&amp;"|"&amp;"2"&amp;RIGHT("00000"&amp;559,5))</f>
        <v/>
      </c>
      <c r="L564">
        <f>IF($K564="","",COUNTIFS(LdgSellerA,$F564,LdgKeyA,"&lt;"&amp;$K564)+COUNTIFS(LdgSellerB,$F564,LdgKeyB,"&lt;"&amp;$K564)+1)</f>
        <v/>
      </c>
      <c r="M564">
        <f>IF($L564="","",$F564&amp;"|"&amp;RIGHT("000000"&amp;$L564,6))</f>
        <v/>
      </c>
      <c r="N564">
        <f>IF($F564="","",IF(Sync!$AF564="","0000",IF(AND(ISNUMBER(Sync!$AF564),Sync!$AF564&gt;=0,Sync!$AF564&lt;1),RIGHT("00"&amp;HOUR(Sync!$AF564),2)&amp;RIGHT("00"&amp;MINUTE(Sync!$AF564),2),IFERROR(RIGHT("00"&amp;VALUE(LEFT(Sync!$AF564,FIND(":",Sync!$AF564)-1)),2)&amp;RIGHT("00"&amp;VALUE(MID(Sync!$AF564,FIND(":",Sync!$AF564)+1,2)),2),"0000"))))</f>
        <v/>
      </c>
    </row>
    <row r="565">
      <c r="A565">
        <f>IF(OR(Calc!$E569="",Calc!$E569="نامعتبر",Calc!$G569=""),"",Calc!$G569)</f>
        <v/>
      </c>
      <c r="B565">
        <f>IF($A565="","",LEFT(Calc!$E569,4)&amp;MID(Calc!$E569,6,2)&amp;RIGHT(Calc!$E569,2)&amp;Calc!$Q569&amp;"|"&amp;"1"&amp;RIGHT("00000"&amp;560,5))</f>
        <v/>
      </c>
      <c r="C565">
        <f>IF($B565="","",COUNTIFS(LdgSellerA,$A565,LdgKeyA,"&lt;"&amp;$B565)+COUNTIFS(LdgSellerB,$A565,LdgKeyB,"&lt;"&amp;$B565)+1)</f>
        <v/>
      </c>
      <c r="D565">
        <f>IF($C565="","",$A565&amp;"|"&amp;RIGHT("000000"&amp;$C565,6))</f>
        <v/>
      </c>
      <c r="F565">
        <f>IF(Sync!$AH565="","",IF(LEFT(UPPER(TRIM(Sync!$AH565)),2)="SL",UPPER(TRIM(Sync!$AH565)),""))</f>
        <v/>
      </c>
      <c r="G565">
        <f>IF($F565="","",IF(Sync!$AE565="","",IF(ISNUMBER(Sync!$AE565),IF(AND(Sync!$AE565&gt;=10000101,Sync!$AE565&lt;=99991231),INT(Sync!$AE565/10000),""),IFERROR(VALUE(TRIM(LEFT(Sync!$AE565,FIND("/",Sync!$AE565)-1))),""))))</f>
        <v/>
      </c>
      <c r="H565">
        <f>IF(OR($F565="",$G565=""),"",IF(ISNUMBER(Sync!$AE565),INT(MOD(Sync!$AE565,10000)/100),IFERROR(VALUE(TRIM(LEFT(MID(Sync!$AE565,FIND("/",Sync!$AE565)+1,20),FIND("/",MID(Sync!$AE565,FIND("/",Sync!$AE565)+1,20))-1))),"")))</f>
        <v/>
      </c>
      <c r="I565">
        <f>IF(OR($F565="",$G565=""),"",IF(ISNUMBER(Sync!$AE565),MOD(Sync!$AE565,100),IFERROR(VALUE(TRIM(MID(MID(Sync!$AE565,FIND("/",Sync!$AE565)+1,20),FIND("/",MID(Sync!$AE565,FIND("/",Sync!$AE565)+1,20))+1,20))),"")))</f>
        <v/>
      </c>
      <c r="J565">
        <f>IF($F565="","",IF(OR($G565="",$H565="",$I565="",$G565&lt;1300,$G565&gt;1500,$H565&lt;1,$H565&gt;12,$I565&lt;1,$I565&gt;31),"نامعتبر",RIGHT("0000"&amp;$G565,4)&amp;"/"&amp;RIGHT("00"&amp;$H565,2)&amp;"/"&amp;RIGHT("00"&amp;$I565,2)))</f>
        <v/>
      </c>
      <c r="K565">
        <f>IF(OR($F565="",$J565="",$J565="نامعتبر"),"",LEFT($J565,4)&amp;MID($J565,6,2)&amp;RIGHT($J565,2)&amp;$N565&amp;"|"&amp;"2"&amp;RIGHT("00000"&amp;560,5))</f>
        <v/>
      </c>
      <c r="L565">
        <f>IF($K565="","",COUNTIFS(LdgSellerA,$F565,LdgKeyA,"&lt;"&amp;$K565)+COUNTIFS(LdgSellerB,$F565,LdgKeyB,"&lt;"&amp;$K565)+1)</f>
        <v/>
      </c>
      <c r="M565">
        <f>IF($L565="","",$F565&amp;"|"&amp;RIGHT("000000"&amp;$L565,6))</f>
        <v/>
      </c>
      <c r="N565">
        <f>IF($F565="","",IF(Sync!$AF565="","0000",IF(AND(ISNUMBER(Sync!$AF565),Sync!$AF565&gt;=0,Sync!$AF565&lt;1),RIGHT("00"&amp;HOUR(Sync!$AF565),2)&amp;RIGHT("00"&amp;MINUTE(Sync!$AF565),2),IFERROR(RIGHT("00"&amp;VALUE(LEFT(Sync!$AF565,FIND(":",Sync!$AF565)-1)),2)&amp;RIGHT("00"&amp;VALUE(MID(Sync!$AF565,FIND(":",Sync!$AF565)+1,2)),2),"0000"))))</f>
        <v/>
      </c>
    </row>
    <row r="566">
      <c r="A566">
        <f>IF(OR(Calc!$E570="",Calc!$E570="نامعتبر",Calc!$G570=""),"",Calc!$G570)</f>
        <v/>
      </c>
      <c r="B566">
        <f>IF($A566="","",LEFT(Calc!$E570,4)&amp;MID(Calc!$E570,6,2)&amp;RIGHT(Calc!$E570,2)&amp;Calc!$Q570&amp;"|"&amp;"1"&amp;RIGHT("00000"&amp;561,5))</f>
        <v/>
      </c>
      <c r="C566">
        <f>IF($B566="","",COUNTIFS(LdgSellerA,$A566,LdgKeyA,"&lt;"&amp;$B566)+COUNTIFS(LdgSellerB,$A566,LdgKeyB,"&lt;"&amp;$B566)+1)</f>
        <v/>
      </c>
      <c r="D566">
        <f>IF($C566="","",$A566&amp;"|"&amp;RIGHT("000000"&amp;$C566,6))</f>
        <v/>
      </c>
      <c r="F566">
        <f>IF(Sync!$AH566="","",IF(LEFT(UPPER(TRIM(Sync!$AH566)),2)="SL",UPPER(TRIM(Sync!$AH566)),""))</f>
        <v/>
      </c>
      <c r="G566">
        <f>IF($F566="","",IF(Sync!$AE566="","",IF(ISNUMBER(Sync!$AE566),IF(AND(Sync!$AE566&gt;=10000101,Sync!$AE566&lt;=99991231),INT(Sync!$AE566/10000),""),IFERROR(VALUE(TRIM(LEFT(Sync!$AE566,FIND("/",Sync!$AE566)-1))),""))))</f>
        <v/>
      </c>
      <c r="H566">
        <f>IF(OR($F566="",$G566=""),"",IF(ISNUMBER(Sync!$AE566),INT(MOD(Sync!$AE566,10000)/100),IFERROR(VALUE(TRIM(LEFT(MID(Sync!$AE566,FIND("/",Sync!$AE566)+1,20),FIND("/",MID(Sync!$AE566,FIND("/",Sync!$AE566)+1,20))-1))),"")))</f>
        <v/>
      </c>
      <c r="I566">
        <f>IF(OR($F566="",$G566=""),"",IF(ISNUMBER(Sync!$AE566),MOD(Sync!$AE566,100),IFERROR(VALUE(TRIM(MID(MID(Sync!$AE566,FIND("/",Sync!$AE566)+1,20),FIND("/",MID(Sync!$AE566,FIND("/",Sync!$AE566)+1,20))+1,20))),"")))</f>
        <v/>
      </c>
      <c r="J566">
        <f>IF($F566="","",IF(OR($G566="",$H566="",$I566="",$G566&lt;1300,$G566&gt;1500,$H566&lt;1,$H566&gt;12,$I566&lt;1,$I566&gt;31),"نامعتبر",RIGHT("0000"&amp;$G566,4)&amp;"/"&amp;RIGHT("00"&amp;$H566,2)&amp;"/"&amp;RIGHT("00"&amp;$I566,2)))</f>
        <v/>
      </c>
      <c r="K566">
        <f>IF(OR($F566="",$J566="",$J566="نامعتبر"),"",LEFT($J566,4)&amp;MID($J566,6,2)&amp;RIGHT($J566,2)&amp;$N566&amp;"|"&amp;"2"&amp;RIGHT("00000"&amp;561,5))</f>
        <v/>
      </c>
      <c r="L566">
        <f>IF($K566="","",COUNTIFS(LdgSellerA,$F566,LdgKeyA,"&lt;"&amp;$K566)+COUNTIFS(LdgSellerB,$F566,LdgKeyB,"&lt;"&amp;$K566)+1)</f>
        <v/>
      </c>
      <c r="M566">
        <f>IF($L566="","",$F566&amp;"|"&amp;RIGHT("000000"&amp;$L566,6))</f>
        <v/>
      </c>
      <c r="N566">
        <f>IF($F566="","",IF(Sync!$AF566="","0000",IF(AND(ISNUMBER(Sync!$AF566),Sync!$AF566&gt;=0,Sync!$AF566&lt;1),RIGHT("00"&amp;HOUR(Sync!$AF566),2)&amp;RIGHT("00"&amp;MINUTE(Sync!$AF566),2),IFERROR(RIGHT("00"&amp;VALUE(LEFT(Sync!$AF566,FIND(":",Sync!$AF566)-1)),2)&amp;RIGHT("00"&amp;VALUE(MID(Sync!$AF566,FIND(":",Sync!$AF566)+1,2)),2),"0000"))))</f>
        <v/>
      </c>
    </row>
    <row r="567">
      <c r="A567">
        <f>IF(OR(Calc!$E571="",Calc!$E571="نامعتبر",Calc!$G571=""),"",Calc!$G571)</f>
        <v/>
      </c>
      <c r="B567">
        <f>IF($A567="","",LEFT(Calc!$E571,4)&amp;MID(Calc!$E571,6,2)&amp;RIGHT(Calc!$E571,2)&amp;Calc!$Q571&amp;"|"&amp;"1"&amp;RIGHT("00000"&amp;562,5))</f>
        <v/>
      </c>
      <c r="C567">
        <f>IF($B567="","",COUNTIFS(LdgSellerA,$A567,LdgKeyA,"&lt;"&amp;$B567)+COUNTIFS(LdgSellerB,$A567,LdgKeyB,"&lt;"&amp;$B567)+1)</f>
        <v/>
      </c>
      <c r="D567">
        <f>IF($C567="","",$A567&amp;"|"&amp;RIGHT("000000"&amp;$C567,6))</f>
        <v/>
      </c>
      <c r="F567">
        <f>IF(Sync!$AH567="","",IF(LEFT(UPPER(TRIM(Sync!$AH567)),2)="SL",UPPER(TRIM(Sync!$AH567)),""))</f>
        <v/>
      </c>
      <c r="G567">
        <f>IF($F567="","",IF(Sync!$AE567="","",IF(ISNUMBER(Sync!$AE567),IF(AND(Sync!$AE567&gt;=10000101,Sync!$AE567&lt;=99991231),INT(Sync!$AE567/10000),""),IFERROR(VALUE(TRIM(LEFT(Sync!$AE567,FIND("/",Sync!$AE567)-1))),""))))</f>
        <v/>
      </c>
      <c r="H567">
        <f>IF(OR($F567="",$G567=""),"",IF(ISNUMBER(Sync!$AE567),INT(MOD(Sync!$AE567,10000)/100),IFERROR(VALUE(TRIM(LEFT(MID(Sync!$AE567,FIND("/",Sync!$AE567)+1,20),FIND("/",MID(Sync!$AE567,FIND("/",Sync!$AE567)+1,20))-1))),"")))</f>
        <v/>
      </c>
      <c r="I567">
        <f>IF(OR($F567="",$G567=""),"",IF(ISNUMBER(Sync!$AE567),MOD(Sync!$AE567,100),IFERROR(VALUE(TRIM(MID(MID(Sync!$AE567,FIND("/",Sync!$AE567)+1,20),FIND("/",MID(Sync!$AE567,FIND("/",Sync!$AE567)+1,20))+1,20))),"")))</f>
        <v/>
      </c>
      <c r="J567">
        <f>IF($F567="","",IF(OR($G567="",$H567="",$I567="",$G567&lt;1300,$G567&gt;1500,$H567&lt;1,$H567&gt;12,$I567&lt;1,$I567&gt;31),"نامعتبر",RIGHT("0000"&amp;$G567,4)&amp;"/"&amp;RIGHT("00"&amp;$H567,2)&amp;"/"&amp;RIGHT("00"&amp;$I567,2)))</f>
        <v/>
      </c>
      <c r="K567">
        <f>IF(OR($F567="",$J567="",$J567="نامعتبر"),"",LEFT($J567,4)&amp;MID($J567,6,2)&amp;RIGHT($J567,2)&amp;$N567&amp;"|"&amp;"2"&amp;RIGHT("00000"&amp;562,5))</f>
        <v/>
      </c>
      <c r="L567">
        <f>IF($K567="","",COUNTIFS(LdgSellerA,$F567,LdgKeyA,"&lt;"&amp;$K567)+COUNTIFS(LdgSellerB,$F567,LdgKeyB,"&lt;"&amp;$K567)+1)</f>
        <v/>
      </c>
      <c r="M567">
        <f>IF($L567="","",$F567&amp;"|"&amp;RIGHT("000000"&amp;$L567,6))</f>
        <v/>
      </c>
      <c r="N567">
        <f>IF($F567="","",IF(Sync!$AF567="","0000",IF(AND(ISNUMBER(Sync!$AF567),Sync!$AF567&gt;=0,Sync!$AF567&lt;1),RIGHT("00"&amp;HOUR(Sync!$AF567),2)&amp;RIGHT("00"&amp;MINUTE(Sync!$AF567),2),IFERROR(RIGHT("00"&amp;VALUE(LEFT(Sync!$AF567,FIND(":",Sync!$AF567)-1)),2)&amp;RIGHT("00"&amp;VALUE(MID(Sync!$AF567,FIND(":",Sync!$AF567)+1,2)),2),"0000"))))</f>
        <v/>
      </c>
    </row>
    <row r="568">
      <c r="A568">
        <f>IF(OR(Calc!$E572="",Calc!$E572="نامعتبر",Calc!$G572=""),"",Calc!$G572)</f>
        <v/>
      </c>
      <c r="B568">
        <f>IF($A568="","",LEFT(Calc!$E572,4)&amp;MID(Calc!$E572,6,2)&amp;RIGHT(Calc!$E572,2)&amp;Calc!$Q572&amp;"|"&amp;"1"&amp;RIGHT("00000"&amp;563,5))</f>
        <v/>
      </c>
      <c r="C568">
        <f>IF($B568="","",COUNTIFS(LdgSellerA,$A568,LdgKeyA,"&lt;"&amp;$B568)+COUNTIFS(LdgSellerB,$A568,LdgKeyB,"&lt;"&amp;$B568)+1)</f>
        <v/>
      </c>
      <c r="D568">
        <f>IF($C568="","",$A568&amp;"|"&amp;RIGHT("000000"&amp;$C568,6))</f>
        <v/>
      </c>
      <c r="F568">
        <f>IF(Sync!$AH568="","",IF(LEFT(UPPER(TRIM(Sync!$AH568)),2)="SL",UPPER(TRIM(Sync!$AH568)),""))</f>
        <v/>
      </c>
      <c r="G568">
        <f>IF($F568="","",IF(Sync!$AE568="","",IF(ISNUMBER(Sync!$AE568),IF(AND(Sync!$AE568&gt;=10000101,Sync!$AE568&lt;=99991231),INT(Sync!$AE568/10000),""),IFERROR(VALUE(TRIM(LEFT(Sync!$AE568,FIND("/",Sync!$AE568)-1))),""))))</f>
        <v/>
      </c>
      <c r="H568">
        <f>IF(OR($F568="",$G568=""),"",IF(ISNUMBER(Sync!$AE568),INT(MOD(Sync!$AE568,10000)/100),IFERROR(VALUE(TRIM(LEFT(MID(Sync!$AE568,FIND("/",Sync!$AE568)+1,20),FIND("/",MID(Sync!$AE568,FIND("/",Sync!$AE568)+1,20))-1))),"")))</f>
        <v/>
      </c>
      <c r="I568">
        <f>IF(OR($F568="",$G568=""),"",IF(ISNUMBER(Sync!$AE568),MOD(Sync!$AE568,100),IFERROR(VALUE(TRIM(MID(MID(Sync!$AE568,FIND("/",Sync!$AE568)+1,20),FIND("/",MID(Sync!$AE568,FIND("/",Sync!$AE568)+1,20))+1,20))),"")))</f>
        <v/>
      </c>
      <c r="J568">
        <f>IF($F568="","",IF(OR($G568="",$H568="",$I568="",$G568&lt;1300,$G568&gt;1500,$H568&lt;1,$H568&gt;12,$I568&lt;1,$I568&gt;31),"نامعتبر",RIGHT("0000"&amp;$G568,4)&amp;"/"&amp;RIGHT("00"&amp;$H568,2)&amp;"/"&amp;RIGHT("00"&amp;$I568,2)))</f>
        <v/>
      </c>
      <c r="K568">
        <f>IF(OR($F568="",$J568="",$J568="نامعتبر"),"",LEFT($J568,4)&amp;MID($J568,6,2)&amp;RIGHT($J568,2)&amp;$N568&amp;"|"&amp;"2"&amp;RIGHT("00000"&amp;563,5))</f>
        <v/>
      </c>
      <c r="L568">
        <f>IF($K568="","",COUNTIFS(LdgSellerA,$F568,LdgKeyA,"&lt;"&amp;$K568)+COUNTIFS(LdgSellerB,$F568,LdgKeyB,"&lt;"&amp;$K568)+1)</f>
        <v/>
      </c>
      <c r="M568">
        <f>IF($L568="","",$F568&amp;"|"&amp;RIGHT("000000"&amp;$L568,6))</f>
        <v/>
      </c>
      <c r="N568">
        <f>IF($F568="","",IF(Sync!$AF568="","0000",IF(AND(ISNUMBER(Sync!$AF568),Sync!$AF568&gt;=0,Sync!$AF568&lt;1),RIGHT("00"&amp;HOUR(Sync!$AF568),2)&amp;RIGHT("00"&amp;MINUTE(Sync!$AF568),2),IFERROR(RIGHT("00"&amp;VALUE(LEFT(Sync!$AF568,FIND(":",Sync!$AF568)-1)),2)&amp;RIGHT("00"&amp;VALUE(MID(Sync!$AF568,FIND(":",Sync!$AF568)+1,2)),2),"0000"))))</f>
        <v/>
      </c>
    </row>
    <row r="569">
      <c r="A569">
        <f>IF(OR(Calc!$E573="",Calc!$E573="نامعتبر",Calc!$G573=""),"",Calc!$G573)</f>
        <v/>
      </c>
      <c r="B569">
        <f>IF($A569="","",LEFT(Calc!$E573,4)&amp;MID(Calc!$E573,6,2)&amp;RIGHT(Calc!$E573,2)&amp;Calc!$Q573&amp;"|"&amp;"1"&amp;RIGHT("00000"&amp;564,5))</f>
        <v/>
      </c>
      <c r="C569">
        <f>IF($B569="","",COUNTIFS(LdgSellerA,$A569,LdgKeyA,"&lt;"&amp;$B569)+COUNTIFS(LdgSellerB,$A569,LdgKeyB,"&lt;"&amp;$B569)+1)</f>
        <v/>
      </c>
      <c r="D569">
        <f>IF($C569="","",$A569&amp;"|"&amp;RIGHT("000000"&amp;$C569,6))</f>
        <v/>
      </c>
      <c r="F569">
        <f>IF(Sync!$AH569="","",IF(LEFT(UPPER(TRIM(Sync!$AH569)),2)="SL",UPPER(TRIM(Sync!$AH569)),""))</f>
        <v/>
      </c>
      <c r="G569">
        <f>IF($F569="","",IF(Sync!$AE569="","",IF(ISNUMBER(Sync!$AE569),IF(AND(Sync!$AE569&gt;=10000101,Sync!$AE569&lt;=99991231),INT(Sync!$AE569/10000),""),IFERROR(VALUE(TRIM(LEFT(Sync!$AE569,FIND("/",Sync!$AE569)-1))),""))))</f>
        <v/>
      </c>
      <c r="H569">
        <f>IF(OR($F569="",$G569=""),"",IF(ISNUMBER(Sync!$AE569),INT(MOD(Sync!$AE569,10000)/100),IFERROR(VALUE(TRIM(LEFT(MID(Sync!$AE569,FIND("/",Sync!$AE569)+1,20),FIND("/",MID(Sync!$AE569,FIND("/",Sync!$AE569)+1,20))-1))),"")))</f>
        <v/>
      </c>
      <c r="I569">
        <f>IF(OR($F569="",$G569=""),"",IF(ISNUMBER(Sync!$AE569),MOD(Sync!$AE569,100),IFERROR(VALUE(TRIM(MID(MID(Sync!$AE569,FIND("/",Sync!$AE569)+1,20),FIND("/",MID(Sync!$AE569,FIND("/",Sync!$AE569)+1,20))+1,20))),"")))</f>
        <v/>
      </c>
      <c r="J569">
        <f>IF($F569="","",IF(OR($G569="",$H569="",$I569="",$G569&lt;1300,$G569&gt;1500,$H569&lt;1,$H569&gt;12,$I569&lt;1,$I569&gt;31),"نامعتبر",RIGHT("0000"&amp;$G569,4)&amp;"/"&amp;RIGHT("00"&amp;$H569,2)&amp;"/"&amp;RIGHT("00"&amp;$I569,2)))</f>
        <v/>
      </c>
      <c r="K569">
        <f>IF(OR($F569="",$J569="",$J569="نامعتبر"),"",LEFT($J569,4)&amp;MID($J569,6,2)&amp;RIGHT($J569,2)&amp;$N569&amp;"|"&amp;"2"&amp;RIGHT("00000"&amp;564,5))</f>
        <v/>
      </c>
      <c r="L569">
        <f>IF($K569="","",COUNTIFS(LdgSellerA,$F569,LdgKeyA,"&lt;"&amp;$K569)+COUNTIFS(LdgSellerB,$F569,LdgKeyB,"&lt;"&amp;$K569)+1)</f>
        <v/>
      </c>
      <c r="M569">
        <f>IF($L569="","",$F569&amp;"|"&amp;RIGHT("000000"&amp;$L569,6))</f>
        <v/>
      </c>
      <c r="N569">
        <f>IF($F569="","",IF(Sync!$AF569="","0000",IF(AND(ISNUMBER(Sync!$AF569),Sync!$AF569&gt;=0,Sync!$AF569&lt;1),RIGHT("00"&amp;HOUR(Sync!$AF569),2)&amp;RIGHT("00"&amp;MINUTE(Sync!$AF569),2),IFERROR(RIGHT("00"&amp;VALUE(LEFT(Sync!$AF569,FIND(":",Sync!$AF569)-1)),2)&amp;RIGHT("00"&amp;VALUE(MID(Sync!$AF569,FIND(":",Sync!$AF569)+1,2)),2),"0000"))))</f>
        <v/>
      </c>
    </row>
    <row r="570">
      <c r="A570">
        <f>IF(OR(Calc!$E574="",Calc!$E574="نامعتبر",Calc!$G574=""),"",Calc!$G574)</f>
        <v/>
      </c>
      <c r="B570">
        <f>IF($A570="","",LEFT(Calc!$E574,4)&amp;MID(Calc!$E574,6,2)&amp;RIGHT(Calc!$E574,2)&amp;Calc!$Q574&amp;"|"&amp;"1"&amp;RIGHT("00000"&amp;565,5))</f>
        <v/>
      </c>
      <c r="C570">
        <f>IF($B570="","",COUNTIFS(LdgSellerA,$A570,LdgKeyA,"&lt;"&amp;$B570)+COUNTIFS(LdgSellerB,$A570,LdgKeyB,"&lt;"&amp;$B570)+1)</f>
        <v/>
      </c>
      <c r="D570">
        <f>IF($C570="","",$A570&amp;"|"&amp;RIGHT("000000"&amp;$C570,6))</f>
        <v/>
      </c>
      <c r="F570">
        <f>IF(Sync!$AH570="","",IF(LEFT(UPPER(TRIM(Sync!$AH570)),2)="SL",UPPER(TRIM(Sync!$AH570)),""))</f>
        <v/>
      </c>
      <c r="G570">
        <f>IF($F570="","",IF(Sync!$AE570="","",IF(ISNUMBER(Sync!$AE570),IF(AND(Sync!$AE570&gt;=10000101,Sync!$AE570&lt;=99991231),INT(Sync!$AE570/10000),""),IFERROR(VALUE(TRIM(LEFT(Sync!$AE570,FIND("/",Sync!$AE570)-1))),""))))</f>
        <v/>
      </c>
      <c r="H570">
        <f>IF(OR($F570="",$G570=""),"",IF(ISNUMBER(Sync!$AE570),INT(MOD(Sync!$AE570,10000)/100),IFERROR(VALUE(TRIM(LEFT(MID(Sync!$AE570,FIND("/",Sync!$AE570)+1,20),FIND("/",MID(Sync!$AE570,FIND("/",Sync!$AE570)+1,20))-1))),"")))</f>
        <v/>
      </c>
      <c r="I570">
        <f>IF(OR($F570="",$G570=""),"",IF(ISNUMBER(Sync!$AE570),MOD(Sync!$AE570,100),IFERROR(VALUE(TRIM(MID(MID(Sync!$AE570,FIND("/",Sync!$AE570)+1,20),FIND("/",MID(Sync!$AE570,FIND("/",Sync!$AE570)+1,20))+1,20))),"")))</f>
        <v/>
      </c>
      <c r="J570">
        <f>IF($F570="","",IF(OR($G570="",$H570="",$I570="",$G570&lt;1300,$G570&gt;1500,$H570&lt;1,$H570&gt;12,$I570&lt;1,$I570&gt;31),"نامعتبر",RIGHT("0000"&amp;$G570,4)&amp;"/"&amp;RIGHT("00"&amp;$H570,2)&amp;"/"&amp;RIGHT("00"&amp;$I570,2)))</f>
        <v/>
      </c>
      <c r="K570">
        <f>IF(OR($F570="",$J570="",$J570="نامعتبر"),"",LEFT($J570,4)&amp;MID($J570,6,2)&amp;RIGHT($J570,2)&amp;$N570&amp;"|"&amp;"2"&amp;RIGHT("00000"&amp;565,5))</f>
        <v/>
      </c>
      <c r="L570">
        <f>IF($K570="","",COUNTIFS(LdgSellerA,$F570,LdgKeyA,"&lt;"&amp;$K570)+COUNTIFS(LdgSellerB,$F570,LdgKeyB,"&lt;"&amp;$K570)+1)</f>
        <v/>
      </c>
      <c r="M570">
        <f>IF($L570="","",$F570&amp;"|"&amp;RIGHT("000000"&amp;$L570,6))</f>
        <v/>
      </c>
      <c r="N570">
        <f>IF($F570="","",IF(Sync!$AF570="","0000",IF(AND(ISNUMBER(Sync!$AF570),Sync!$AF570&gt;=0,Sync!$AF570&lt;1),RIGHT("00"&amp;HOUR(Sync!$AF570),2)&amp;RIGHT("00"&amp;MINUTE(Sync!$AF570),2),IFERROR(RIGHT("00"&amp;VALUE(LEFT(Sync!$AF570,FIND(":",Sync!$AF570)-1)),2)&amp;RIGHT("00"&amp;VALUE(MID(Sync!$AF570,FIND(":",Sync!$AF570)+1,2)),2),"0000"))))</f>
        <v/>
      </c>
    </row>
    <row r="571">
      <c r="A571">
        <f>IF(OR(Calc!$E575="",Calc!$E575="نامعتبر",Calc!$G575=""),"",Calc!$G575)</f>
        <v/>
      </c>
      <c r="B571">
        <f>IF($A571="","",LEFT(Calc!$E575,4)&amp;MID(Calc!$E575,6,2)&amp;RIGHT(Calc!$E575,2)&amp;Calc!$Q575&amp;"|"&amp;"1"&amp;RIGHT("00000"&amp;566,5))</f>
        <v/>
      </c>
      <c r="C571">
        <f>IF($B571="","",COUNTIFS(LdgSellerA,$A571,LdgKeyA,"&lt;"&amp;$B571)+COUNTIFS(LdgSellerB,$A571,LdgKeyB,"&lt;"&amp;$B571)+1)</f>
        <v/>
      </c>
      <c r="D571">
        <f>IF($C571="","",$A571&amp;"|"&amp;RIGHT("000000"&amp;$C571,6))</f>
        <v/>
      </c>
      <c r="F571">
        <f>IF(Sync!$AH571="","",IF(LEFT(UPPER(TRIM(Sync!$AH571)),2)="SL",UPPER(TRIM(Sync!$AH571)),""))</f>
        <v/>
      </c>
      <c r="G571">
        <f>IF($F571="","",IF(Sync!$AE571="","",IF(ISNUMBER(Sync!$AE571),IF(AND(Sync!$AE571&gt;=10000101,Sync!$AE571&lt;=99991231),INT(Sync!$AE571/10000),""),IFERROR(VALUE(TRIM(LEFT(Sync!$AE571,FIND("/",Sync!$AE571)-1))),""))))</f>
        <v/>
      </c>
      <c r="H571">
        <f>IF(OR($F571="",$G571=""),"",IF(ISNUMBER(Sync!$AE571),INT(MOD(Sync!$AE571,10000)/100),IFERROR(VALUE(TRIM(LEFT(MID(Sync!$AE571,FIND("/",Sync!$AE571)+1,20),FIND("/",MID(Sync!$AE571,FIND("/",Sync!$AE571)+1,20))-1))),"")))</f>
        <v/>
      </c>
      <c r="I571">
        <f>IF(OR($F571="",$G571=""),"",IF(ISNUMBER(Sync!$AE571),MOD(Sync!$AE571,100),IFERROR(VALUE(TRIM(MID(MID(Sync!$AE571,FIND("/",Sync!$AE571)+1,20),FIND("/",MID(Sync!$AE571,FIND("/",Sync!$AE571)+1,20))+1,20))),"")))</f>
        <v/>
      </c>
      <c r="J571">
        <f>IF($F571="","",IF(OR($G571="",$H571="",$I571="",$G571&lt;1300,$G571&gt;1500,$H571&lt;1,$H571&gt;12,$I571&lt;1,$I571&gt;31),"نامعتبر",RIGHT("0000"&amp;$G571,4)&amp;"/"&amp;RIGHT("00"&amp;$H571,2)&amp;"/"&amp;RIGHT("00"&amp;$I571,2)))</f>
        <v/>
      </c>
      <c r="K571">
        <f>IF(OR($F571="",$J571="",$J571="نامعتبر"),"",LEFT($J571,4)&amp;MID($J571,6,2)&amp;RIGHT($J571,2)&amp;$N571&amp;"|"&amp;"2"&amp;RIGHT("00000"&amp;566,5))</f>
        <v/>
      </c>
      <c r="L571">
        <f>IF($K571="","",COUNTIFS(LdgSellerA,$F571,LdgKeyA,"&lt;"&amp;$K571)+COUNTIFS(LdgSellerB,$F571,LdgKeyB,"&lt;"&amp;$K571)+1)</f>
        <v/>
      </c>
      <c r="M571">
        <f>IF($L571="","",$F571&amp;"|"&amp;RIGHT("000000"&amp;$L571,6))</f>
        <v/>
      </c>
      <c r="N571">
        <f>IF($F571="","",IF(Sync!$AF571="","0000",IF(AND(ISNUMBER(Sync!$AF571),Sync!$AF571&gt;=0,Sync!$AF571&lt;1),RIGHT("00"&amp;HOUR(Sync!$AF571),2)&amp;RIGHT("00"&amp;MINUTE(Sync!$AF571),2),IFERROR(RIGHT("00"&amp;VALUE(LEFT(Sync!$AF571,FIND(":",Sync!$AF571)-1)),2)&amp;RIGHT("00"&amp;VALUE(MID(Sync!$AF571,FIND(":",Sync!$AF571)+1,2)),2),"0000"))))</f>
        <v/>
      </c>
    </row>
    <row r="572">
      <c r="A572">
        <f>IF(OR(Calc!$E576="",Calc!$E576="نامعتبر",Calc!$G576=""),"",Calc!$G576)</f>
        <v/>
      </c>
      <c r="B572">
        <f>IF($A572="","",LEFT(Calc!$E576,4)&amp;MID(Calc!$E576,6,2)&amp;RIGHT(Calc!$E576,2)&amp;Calc!$Q576&amp;"|"&amp;"1"&amp;RIGHT("00000"&amp;567,5))</f>
        <v/>
      </c>
      <c r="C572">
        <f>IF($B572="","",COUNTIFS(LdgSellerA,$A572,LdgKeyA,"&lt;"&amp;$B572)+COUNTIFS(LdgSellerB,$A572,LdgKeyB,"&lt;"&amp;$B572)+1)</f>
        <v/>
      </c>
      <c r="D572">
        <f>IF($C572="","",$A572&amp;"|"&amp;RIGHT("000000"&amp;$C572,6))</f>
        <v/>
      </c>
      <c r="F572">
        <f>IF(Sync!$AH572="","",IF(LEFT(UPPER(TRIM(Sync!$AH572)),2)="SL",UPPER(TRIM(Sync!$AH572)),""))</f>
        <v/>
      </c>
      <c r="G572">
        <f>IF($F572="","",IF(Sync!$AE572="","",IF(ISNUMBER(Sync!$AE572),IF(AND(Sync!$AE572&gt;=10000101,Sync!$AE572&lt;=99991231),INT(Sync!$AE572/10000),""),IFERROR(VALUE(TRIM(LEFT(Sync!$AE572,FIND("/",Sync!$AE572)-1))),""))))</f>
        <v/>
      </c>
      <c r="H572">
        <f>IF(OR($F572="",$G572=""),"",IF(ISNUMBER(Sync!$AE572),INT(MOD(Sync!$AE572,10000)/100),IFERROR(VALUE(TRIM(LEFT(MID(Sync!$AE572,FIND("/",Sync!$AE572)+1,20),FIND("/",MID(Sync!$AE572,FIND("/",Sync!$AE572)+1,20))-1))),"")))</f>
        <v/>
      </c>
      <c r="I572">
        <f>IF(OR($F572="",$G572=""),"",IF(ISNUMBER(Sync!$AE572),MOD(Sync!$AE572,100),IFERROR(VALUE(TRIM(MID(MID(Sync!$AE572,FIND("/",Sync!$AE572)+1,20),FIND("/",MID(Sync!$AE572,FIND("/",Sync!$AE572)+1,20))+1,20))),"")))</f>
        <v/>
      </c>
      <c r="J572">
        <f>IF($F572="","",IF(OR($G572="",$H572="",$I572="",$G572&lt;1300,$G572&gt;1500,$H572&lt;1,$H572&gt;12,$I572&lt;1,$I572&gt;31),"نامعتبر",RIGHT("0000"&amp;$G572,4)&amp;"/"&amp;RIGHT("00"&amp;$H572,2)&amp;"/"&amp;RIGHT("00"&amp;$I572,2)))</f>
        <v/>
      </c>
      <c r="K572">
        <f>IF(OR($F572="",$J572="",$J572="نامعتبر"),"",LEFT($J572,4)&amp;MID($J572,6,2)&amp;RIGHT($J572,2)&amp;$N572&amp;"|"&amp;"2"&amp;RIGHT("00000"&amp;567,5))</f>
        <v/>
      </c>
      <c r="L572">
        <f>IF($K572="","",COUNTIFS(LdgSellerA,$F572,LdgKeyA,"&lt;"&amp;$K572)+COUNTIFS(LdgSellerB,$F572,LdgKeyB,"&lt;"&amp;$K572)+1)</f>
        <v/>
      </c>
      <c r="M572">
        <f>IF($L572="","",$F572&amp;"|"&amp;RIGHT("000000"&amp;$L572,6))</f>
        <v/>
      </c>
      <c r="N572">
        <f>IF($F572="","",IF(Sync!$AF572="","0000",IF(AND(ISNUMBER(Sync!$AF572),Sync!$AF572&gt;=0,Sync!$AF572&lt;1),RIGHT("00"&amp;HOUR(Sync!$AF572),2)&amp;RIGHT("00"&amp;MINUTE(Sync!$AF572),2),IFERROR(RIGHT("00"&amp;VALUE(LEFT(Sync!$AF572,FIND(":",Sync!$AF572)-1)),2)&amp;RIGHT("00"&amp;VALUE(MID(Sync!$AF572,FIND(":",Sync!$AF572)+1,2)),2),"0000"))))</f>
        <v/>
      </c>
    </row>
    <row r="573">
      <c r="A573">
        <f>IF(OR(Calc!$E577="",Calc!$E577="نامعتبر",Calc!$G577=""),"",Calc!$G577)</f>
        <v/>
      </c>
      <c r="B573">
        <f>IF($A573="","",LEFT(Calc!$E577,4)&amp;MID(Calc!$E577,6,2)&amp;RIGHT(Calc!$E577,2)&amp;Calc!$Q577&amp;"|"&amp;"1"&amp;RIGHT("00000"&amp;568,5))</f>
        <v/>
      </c>
      <c r="C573">
        <f>IF($B573="","",COUNTIFS(LdgSellerA,$A573,LdgKeyA,"&lt;"&amp;$B573)+COUNTIFS(LdgSellerB,$A573,LdgKeyB,"&lt;"&amp;$B573)+1)</f>
        <v/>
      </c>
      <c r="D573">
        <f>IF($C573="","",$A573&amp;"|"&amp;RIGHT("000000"&amp;$C573,6))</f>
        <v/>
      </c>
      <c r="F573">
        <f>IF(Sync!$AH573="","",IF(LEFT(UPPER(TRIM(Sync!$AH573)),2)="SL",UPPER(TRIM(Sync!$AH573)),""))</f>
        <v/>
      </c>
      <c r="G573">
        <f>IF($F573="","",IF(Sync!$AE573="","",IF(ISNUMBER(Sync!$AE573),IF(AND(Sync!$AE573&gt;=10000101,Sync!$AE573&lt;=99991231),INT(Sync!$AE573/10000),""),IFERROR(VALUE(TRIM(LEFT(Sync!$AE573,FIND("/",Sync!$AE573)-1))),""))))</f>
        <v/>
      </c>
      <c r="H573">
        <f>IF(OR($F573="",$G573=""),"",IF(ISNUMBER(Sync!$AE573),INT(MOD(Sync!$AE573,10000)/100),IFERROR(VALUE(TRIM(LEFT(MID(Sync!$AE573,FIND("/",Sync!$AE573)+1,20),FIND("/",MID(Sync!$AE573,FIND("/",Sync!$AE573)+1,20))-1))),"")))</f>
        <v/>
      </c>
      <c r="I573">
        <f>IF(OR($F573="",$G573=""),"",IF(ISNUMBER(Sync!$AE573),MOD(Sync!$AE573,100),IFERROR(VALUE(TRIM(MID(MID(Sync!$AE573,FIND("/",Sync!$AE573)+1,20),FIND("/",MID(Sync!$AE573,FIND("/",Sync!$AE573)+1,20))+1,20))),"")))</f>
        <v/>
      </c>
      <c r="J573">
        <f>IF($F573="","",IF(OR($G573="",$H573="",$I573="",$G573&lt;1300,$G573&gt;1500,$H573&lt;1,$H573&gt;12,$I573&lt;1,$I573&gt;31),"نامعتبر",RIGHT("0000"&amp;$G573,4)&amp;"/"&amp;RIGHT("00"&amp;$H573,2)&amp;"/"&amp;RIGHT("00"&amp;$I573,2)))</f>
        <v/>
      </c>
      <c r="K573">
        <f>IF(OR($F573="",$J573="",$J573="نامعتبر"),"",LEFT($J573,4)&amp;MID($J573,6,2)&amp;RIGHT($J573,2)&amp;$N573&amp;"|"&amp;"2"&amp;RIGHT("00000"&amp;568,5))</f>
        <v/>
      </c>
      <c r="L573">
        <f>IF($K573="","",COUNTIFS(LdgSellerA,$F573,LdgKeyA,"&lt;"&amp;$K573)+COUNTIFS(LdgSellerB,$F573,LdgKeyB,"&lt;"&amp;$K573)+1)</f>
        <v/>
      </c>
      <c r="M573">
        <f>IF($L573="","",$F573&amp;"|"&amp;RIGHT("000000"&amp;$L573,6))</f>
        <v/>
      </c>
      <c r="N573">
        <f>IF($F573="","",IF(Sync!$AF573="","0000",IF(AND(ISNUMBER(Sync!$AF573),Sync!$AF573&gt;=0,Sync!$AF573&lt;1),RIGHT("00"&amp;HOUR(Sync!$AF573),2)&amp;RIGHT("00"&amp;MINUTE(Sync!$AF573),2),IFERROR(RIGHT("00"&amp;VALUE(LEFT(Sync!$AF573,FIND(":",Sync!$AF573)-1)),2)&amp;RIGHT("00"&amp;VALUE(MID(Sync!$AF573,FIND(":",Sync!$AF573)+1,2)),2),"0000"))))</f>
        <v/>
      </c>
    </row>
    <row r="574">
      <c r="A574">
        <f>IF(OR(Calc!$E578="",Calc!$E578="نامعتبر",Calc!$G578=""),"",Calc!$G578)</f>
        <v/>
      </c>
      <c r="B574">
        <f>IF($A574="","",LEFT(Calc!$E578,4)&amp;MID(Calc!$E578,6,2)&amp;RIGHT(Calc!$E578,2)&amp;Calc!$Q578&amp;"|"&amp;"1"&amp;RIGHT("00000"&amp;569,5))</f>
        <v/>
      </c>
      <c r="C574">
        <f>IF($B574="","",COUNTIFS(LdgSellerA,$A574,LdgKeyA,"&lt;"&amp;$B574)+COUNTIFS(LdgSellerB,$A574,LdgKeyB,"&lt;"&amp;$B574)+1)</f>
        <v/>
      </c>
      <c r="D574">
        <f>IF($C574="","",$A574&amp;"|"&amp;RIGHT("000000"&amp;$C574,6))</f>
        <v/>
      </c>
      <c r="F574">
        <f>IF(Sync!$AH574="","",IF(LEFT(UPPER(TRIM(Sync!$AH574)),2)="SL",UPPER(TRIM(Sync!$AH574)),""))</f>
        <v/>
      </c>
      <c r="G574">
        <f>IF($F574="","",IF(Sync!$AE574="","",IF(ISNUMBER(Sync!$AE574),IF(AND(Sync!$AE574&gt;=10000101,Sync!$AE574&lt;=99991231),INT(Sync!$AE574/10000),""),IFERROR(VALUE(TRIM(LEFT(Sync!$AE574,FIND("/",Sync!$AE574)-1))),""))))</f>
        <v/>
      </c>
      <c r="H574">
        <f>IF(OR($F574="",$G574=""),"",IF(ISNUMBER(Sync!$AE574),INT(MOD(Sync!$AE574,10000)/100),IFERROR(VALUE(TRIM(LEFT(MID(Sync!$AE574,FIND("/",Sync!$AE574)+1,20),FIND("/",MID(Sync!$AE574,FIND("/",Sync!$AE574)+1,20))-1))),"")))</f>
        <v/>
      </c>
      <c r="I574">
        <f>IF(OR($F574="",$G574=""),"",IF(ISNUMBER(Sync!$AE574),MOD(Sync!$AE574,100),IFERROR(VALUE(TRIM(MID(MID(Sync!$AE574,FIND("/",Sync!$AE574)+1,20),FIND("/",MID(Sync!$AE574,FIND("/",Sync!$AE574)+1,20))+1,20))),"")))</f>
        <v/>
      </c>
      <c r="J574">
        <f>IF($F574="","",IF(OR($G574="",$H574="",$I574="",$G574&lt;1300,$G574&gt;1500,$H574&lt;1,$H574&gt;12,$I574&lt;1,$I574&gt;31),"نامعتبر",RIGHT("0000"&amp;$G574,4)&amp;"/"&amp;RIGHT("00"&amp;$H574,2)&amp;"/"&amp;RIGHT("00"&amp;$I574,2)))</f>
        <v/>
      </c>
      <c r="K574">
        <f>IF(OR($F574="",$J574="",$J574="نامعتبر"),"",LEFT($J574,4)&amp;MID($J574,6,2)&amp;RIGHT($J574,2)&amp;$N574&amp;"|"&amp;"2"&amp;RIGHT("00000"&amp;569,5))</f>
        <v/>
      </c>
      <c r="L574">
        <f>IF($K574="","",COUNTIFS(LdgSellerA,$F574,LdgKeyA,"&lt;"&amp;$K574)+COUNTIFS(LdgSellerB,$F574,LdgKeyB,"&lt;"&amp;$K574)+1)</f>
        <v/>
      </c>
      <c r="M574">
        <f>IF($L574="","",$F574&amp;"|"&amp;RIGHT("000000"&amp;$L574,6))</f>
        <v/>
      </c>
      <c r="N574">
        <f>IF($F574="","",IF(Sync!$AF574="","0000",IF(AND(ISNUMBER(Sync!$AF574),Sync!$AF574&gt;=0,Sync!$AF574&lt;1),RIGHT("00"&amp;HOUR(Sync!$AF574),2)&amp;RIGHT("00"&amp;MINUTE(Sync!$AF574),2),IFERROR(RIGHT("00"&amp;VALUE(LEFT(Sync!$AF574,FIND(":",Sync!$AF574)-1)),2)&amp;RIGHT("00"&amp;VALUE(MID(Sync!$AF574,FIND(":",Sync!$AF574)+1,2)),2),"0000"))))</f>
        <v/>
      </c>
    </row>
    <row r="575">
      <c r="A575">
        <f>IF(OR(Calc!$E579="",Calc!$E579="نامعتبر",Calc!$G579=""),"",Calc!$G579)</f>
        <v/>
      </c>
      <c r="B575">
        <f>IF($A575="","",LEFT(Calc!$E579,4)&amp;MID(Calc!$E579,6,2)&amp;RIGHT(Calc!$E579,2)&amp;Calc!$Q579&amp;"|"&amp;"1"&amp;RIGHT("00000"&amp;570,5))</f>
        <v/>
      </c>
      <c r="C575">
        <f>IF($B575="","",COUNTIFS(LdgSellerA,$A575,LdgKeyA,"&lt;"&amp;$B575)+COUNTIFS(LdgSellerB,$A575,LdgKeyB,"&lt;"&amp;$B575)+1)</f>
        <v/>
      </c>
      <c r="D575">
        <f>IF($C575="","",$A575&amp;"|"&amp;RIGHT("000000"&amp;$C575,6))</f>
        <v/>
      </c>
      <c r="F575">
        <f>IF(Sync!$AH575="","",IF(LEFT(UPPER(TRIM(Sync!$AH575)),2)="SL",UPPER(TRIM(Sync!$AH575)),""))</f>
        <v/>
      </c>
      <c r="G575">
        <f>IF($F575="","",IF(Sync!$AE575="","",IF(ISNUMBER(Sync!$AE575),IF(AND(Sync!$AE575&gt;=10000101,Sync!$AE575&lt;=99991231),INT(Sync!$AE575/10000),""),IFERROR(VALUE(TRIM(LEFT(Sync!$AE575,FIND("/",Sync!$AE575)-1))),""))))</f>
        <v/>
      </c>
      <c r="H575">
        <f>IF(OR($F575="",$G575=""),"",IF(ISNUMBER(Sync!$AE575),INT(MOD(Sync!$AE575,10000)/100),IFERROR(VALUE(TRIM(LEFT(MID(Sync!$AE575,FIND("/",Sync!$AE575)+1,20),FIND("/",MID(Sync!$AE575,FIND("/",Sync!$AE575)+1,20))-1))),"")))</f>
        <v/>
      </c>
      <c r="I575">
        <f>IF(OR($F575="",$G575=""),"",IF(ISNUMBER(Sync!$AE575),MOD(Sync!$AE575,100),IFERROR(VALUE(TRIM(MID(MID(Sync!$AE575,FIND("/",Sync!$AE575)+1,20),FIND("/",MID(Sync!$AE575,FIND("/",Sync!$AE575)+1,20))+1,20))),"")))</f>
        <v/>
      </c>
      <c r="J575">
        <f>IF($F575="","",IF(OR($G575="",$H575="",$I575="",$G575&lt;1300,$G575&gt;1500,$H575&lt;1,$H575&gt;12,$I575&lt;1,$I575&gt;31),"نامعتبر",RIGHT("0000"&amp;$G575,4)&amp;"/"&amp;RIGHT("00"&amp;$H575,2)&amp;"/"&amp;RIGHT("00"&amp;$I575,2)))</f>
        <v/>
      </c>
      <c r="K575">
        <f>IF(OR($F575="",$J575="",$J575="نامعتبر"),"",LEFT($J575,4)&amp;MID($J575,6,2)&amp;RIGHT($J575,2)&amp;$N575&amp;"|"&amp;"2"&amp;RIGHT("00000"&amp;570,5))</f>
        <v/>
      </c>
      <c r="L575">
        <f>IF($K575="","",COUNTIFS(LdgSellerA,$F575,LdgKeyA,"&lt;"&amp;$K575)+COUNTIFS(LdgSellerB,$F575,LdgKeyB,"&lt;"&amp;$K575)+1)</f>
        <v/>
      </c>
      <c r="M575">
        <f>IF($L575="","",$F575&amp;"|"&amp;RIGHT("000000"&amp;$L575,6))</f>
        <v/>
      </c>
      <c r="N575">
        <f>IF($F575="","",IF(Sync!$AF575="","0000",IF(AND(ISNUMBER(Sync!$AF575),Sync!$AF575&gt;=0,Sync!$AF575&lt;1),RIGHT("00"&amp;HOUR(Sync!$AF575),2)&amp;RIGHT("00"&amp;MINUTE(Sync!$AF575),2),IFERROR(RIGHT("00"&amp;VALUE(LEFT(Sync!$AF575,FIND(":",Sync!$AF575)-1)),2)&amp;RIGHT("00"&amp;VALUE(MID(Sync!$AF575,FIND(":",Sync!$AF575)+1,2)),2),"0000"))))</f>
        <v/>
      </c>
    </row>
    <row r="576">
      <c r="A576">
        <f>IF(OR(Calc!$E580="",Calc!$E580="نامعتبر",Calc!$G580=""),"",Calc!$G580)</f>
        <v/>
      </c>
      <c r="B576">
        <f>IF($A576="","",LEFT(Calc!$E580,4)&amp;MID(Calc!$E580,6,2)&amp;RIGHT(Calc!$E580,2)&amp;Calc!$Q580&amp;"|"&amp;"1"&amp;RIGHT("00000"&amp;571,5))</f>
        <v/>
      </c>
      <c r="C576">
        <f>IF($B576="","",COUNTIFS(LdgSellerA,$A576,LdgKeyA,"&lt;"&amp;$B576)+COUNTIFS(LdgSellerB,$A576,LdgKeyB,"&lt;"&amp;$B576)+1)</f>
        <v/>
      </c>
      <c r="D576">
        <f>IF($C576="","",$A576&amp;"|"&amp;RIGHT("000000"&amp;$C576,6))</f>
        <v/>
      </c>
      <c r="F576">
        <f>IF(Sync!$AH576="","",IF(LEFT(UPPER(TRIM(Sync!$AH576)),2)="SL",UPPER(TRIM(Sync!$AH576)),""))</f>
        <v/>
      </c>
      <c r="G576">
        <f>IF($F576="","",IF(Sync!$AE576="","",IF(ISNUMBER(Sync!$AE576),IF(AND(Sync!$AE576&gt;=10000101,Sync!$AE576&lt;=99991231),INT(Sync!$AE576/10000),""),IFERROR(VALUE(TRIM(LEFT(Sync!$AE576,FIND("/",Sync!$AE576)-1))),""))))</f>
        <v/>
      </c>
      <c r="H576">
        <f>IF(OR($F576="",$G576=""),"",IF(ISNUMBER(Sync!$AE576),INT(MOD(Sync!$AE576,10000)/100),IFERROR(VALUE(TRIM(LEFT(MID(Sync!$AE576,FIND("/",Sync!$AE576)+1,20),FIND("/",MID(Sync!$AE576,FIND("/",Sync!$AE576)+1,20))-1))),"")))</f>
        <v/>
      </c>
      <c r="I576">
        <f>IF(OR($F576="",$G576=""),"",IF(ISNUMBER(Sync!$AE576),MOD(Sync!$AE576,100),IFERROR(VALUE(TRIM(MID(MID(Sync!$AE576,FIND("/",Sync!$AE576)+1,20),FIND("/",MID(Sync!$AE576,FIND("/",Sync!$AE576)+1,20))+1,20))),"")))</f>
        <v/>
      </c>
      <c r="J576">
        <f>IF($F576="","",IF(OR($G576="",$H576="",$I576="",$G576&lt;1300,$G576&gt;1500,$H576&lt;1,$H576&gt;12,$I576&lt;1,$I576&gt;31),"نامعتبر",RIGHT("0000"&amp;$G576,4)&amp;"/"&amp;RIGHT("00"&amp;$H576,2)&amp;"/"&amp;RIGHT("00"&amp;$I576,2)))</f>
        <v/>
      </c>
      <c r="K576">
        <f>IF(OR($F576="",$J576="",$J576="نامعتبر"),"",LEFT($J576,4)&amp;MID($J576,6,2)&amp;RIGHT($J576,2)&amp;$N576&amp;"|"&amp;"2"&amp;RIGHT("00000"&amp;571,5))</f>
        <v/>
      </c>
      <c r="L576">
        <f>IF($K576="","",COUNTIFS(LdgSellerA,$F576,LdgKeyA,"&lt;"&amp;$K576)+COUNTIFS(LdgSellerB,$F576,LdgKeyB,"&lt;"&amp;$K576)+1)</f>
        <v/>
      </c>
      <c r="M576">
        <f>IF($L576="","",$F576&amp;"|"&amp;RIGHT("000000"&amp;$L576,6))</f>
        <v/>
      </c>
      <c r="N576">
        <f>IF($F576="","",IF(Sync!$AF576="","0000",IF(AND(ISNUMBER(Sync!$AF576),Sync!$AF576&gt;=0,Sync!$AF576&lt;1),RIGHT("00"&amp;HOUR(Sync!$AF576),2)&amp;RIGHT("00"&amp;MINUTE(Sync!$AF576),2),IFERROR(RIGHT("00"&amp;VALUE(LEFT(Sync!$AF576,FIND(":",Sync!$AF576)-1)),2)&amp;RIGHT("00"&amp;VALUE(MID(Sync!$AF576,FIND(":",Sync!$AF576)+1,2)),2),"0000"))))</f>
        <v/>
      </c>
    </row>
    <row r="577">
      <c r="A577">
        <f>IF(OR(Calc!$E581="",Calc!$E581="نامعتبر",Calc!$G581=""),"",Calc!$G581)</f>
        <v/>
      </c>
      <c r="B577">
        <f>IF($A577="","",LEFT(Calc!$E581,4)&amp;MID(Calc!$E581,6,2)&amp;RIGHT(Calc!$E581,2)&amp;Calc!$Q581&amp;"|"&amp;"1"&amp;RIGHT("00000"&amp;572,5))</f>
        <v/>
      </c>
      <c r="C577">
        <f>IF($B577="","",COUNTIFS(LdgSellerA,$A577,LdgKeyA,"&lt;"&amp;$B577)+COUNTIFS(LdgSellerB,$A577,LdgKeyB,"&lt;"&amp;$B577)+1)</f>
        <v/>
      </c>
      <c r="D577">
        <f>IF($C577="","",$A577&amp;"|"&amp;RIGHT("000000"&amp;$C577,6))</f>
        <v/>
      </c>
      <c r="F577">
        <f>IF(Sync!$AH577="","",IF(LEFT(UPPER(TRIM(Sync!$AH577)),2)="SL",UPPER(TRIM(Sync!$AH577)),""))</f>
        <v/>
      </c>
      <c r="G577">
        <f>IF($F577="","",IF(Sync!$AE577="","",IF(ISNUMBER(Sync!$AE577),IF(AND(Sync!$AE577&gt;=10000101,Sync!$AE577&lt;=99991231),INT(Sync!$AE577/10000),""),IFERROR(VALUE(TRIM(LEFT(Sync!$AE577,FIND("/",Sync!$AE577)-1))),""))))</f>
        <v/>
      </c>
      <c r="H577">
        <f>IF(OR($F577="",$G577=""),"",IF(ISNUMBER(Sync!$AE577),INT(MOD(Sync!$AE577,10000)/100),IFERROR(VALUE(TRIM(LEFT(MID(Sync!$AE577,FIND("/",Sync!$AE577)+1,20),FIND("/",MID(Sync!$AE577,FIND("/",Sync!$AE577)+1,20))-1))),"")))</f>
        <v/>
      </c>
      <c r="I577">
        <f>IF(OR($F577="",$G577=""),"",IF(ISNUMBER(Sync!$AE577),MOD(Sync!$AE577,100),IFERROR(VALUE(TRIM(MID(MID(Sync!$AE577,FIND("/",Sync!$AE577)+1,20),FIND("/",MID(Sync!$AE577,FIND("/",Sync!$AE577)+1,20))+1,20))),"")))</f>
        <v/>
      </c>
      <c r="J577">
        <f>IF($F577="","",IF(OR($G577="",$H577="",$I577="",$G577&lt;1300,$G577&gt;1500,$H577&lt;1,$H577&gt;12,$I577&lt;1,$I577&gt;31),"نامعتبر",RIGHT("0000"&amp;$G577,4)&amp;"/"&amp;RIGHT("00"&amp;$H577,2)&amp;"/"&amp;RIGHT("00"&amp;$I577,2)))</f>
        <v/>
      </c>
      <c r="K577">
        <f>IF(OR($F577="",$J577="",$J577="نامعتبر"),"",LEFT($J577,4)&amp;MID($J577,6,2)&amp;RIGHT($J577,2)&amp;$N577&amp;"|"&amp;"2"&amp;RIGHT("00000"&amp;572,5))</f>
        <v/>
      </c>
      <c r="L577">
        <f>IF($K577="","",COUNTIFS(LdgSellerA,$F577,LdgKeyA,"&lt;"&amp;$K577)+COUNTIFS(LdgSellerB,$F577,LdgKeyB,"&lt;"&amp;$K577)+1)</f>
        <v/>
      </c>
      <c r="M577">
        <f>IF($L577="","",$F577&amp;"|"&amp;RIGHT("000000"&amp;$L577,6))</f>
        <v/>
      </c>
      <c r="N577">
        <f>IF($F577="","",IF(Sync!$AF577="","0000",IF(AND(ISNUMBER(Sync!$AF577),Sync!$AF577&gt;=0,Sync!$AF577&lt;1),RIGHT("00"&amp;HOUR(Sync!$AF577),2)&amp;RIGHT("00"&amp;MINUTE(Sync!$AF577),2),IFERROR(RIGHT("00"&amp;VALUE(LEFT(Sync!$AF577,FIND(":",Sync!$AF577)-1)),2)&amp;RIGHT("00"&amp;VALUE(MID(Sync!$AF577,FIND(":",Sync!$AF577)+1,2)),2),"0000"))))</f>
        <v/>
      </c>
    </row>
    <row r="578">
      <c r="A578">
        <f>IF(OR(Calc!$E582="",Calc!$E582="نامعتبر",Calc!$G582=""),"",Calc!$G582)</f>
        <v/>
      </c>
      <c r="B578">
        <f>IF($A578="","",LEFT(Calc!$E582,4)&amp;MID(Calc!$E582,6,2)&amp;RIGHT(Calc!$E582,2)&amp;Calc!$Q582&amp;"|"&amp;"1"&amp;RIGHT("00000"&amp;573,5))</f>
        <v/>
      </c>
      <c r="C578">
        <f>IF($B578="","",COUNTIFS(LdgSellerA,$A578,LdgKeyA,"&lt;"&amp;$B578)+COUNTIFS(LdgSellerB,$A578,LdgKeyB,"&lt;"&amp;$B578)+1)</f>
        <v/>
      </c>
      <c r="D578">
        <f>IF($C578="","",$A578&amp;"|"&amp;RIGHT("000000"&amp;$C578,6))</f>
        <v/>
      </c>
      <c r="F578">
        <f>IF(Sync!$AH578="","",IF(LEFT(UPPER(TRIM(Sync!$AH578)),2)="SL",UPPER(TRIM(Sync!$AH578)),""))</f>
        <v/>
      </c>
      <c r="G578">
        <f>IF($F578="","",IF(Sync!$AE578="","",IF(ISNUMBER(Sync!$AE578),IF(AND(Sync!$AE578&gt;=10000101,Sync!$AE578&lt;=99991231),INT(Sync!$AE578/10000),""),IFERROR(VALUE(TRIM(LEFT(Sync!$AE578,FIND("/",Sync!$AE578)-1))),""))))</f>
        <v/>
      </c>
      <c r="H578">
        <f>IF(OR($F578="",$G578=""),"",IF(ISNUMBER(Sync!$AE578),INT(MOD(Sync!$AE578,10000)/100),IFERROR(VALUE(TRIM(LEFT(MID(Sync!$AE578,FIND("/",Sync!$AE578)+1,20),FIND("/",MID(Sync!$AE578,FIND("/",Sync!$AE578)+1,20))-1))),"")))</f>
        <v/>
      </c>
      <c r="I578">
        <f>IF(OR($F578="",$G578=""),"",IF(ISNUMBER(Sync!$AE578),MOD(Sync!$AE578,100),IFERROR(VALUE(TRIM(MID(MID(Sync!$AE578,FIND("/",Sync!$AE578)+1,20),FIND("/",MID(Sync!$AE578,FIND("/",Sync!$AE578)+1,20))+1,20))),"")))</f>
        <v/>
      </c>
      <c r="J578">
        <f>IF($F578="","",IF(OR($G578="",$H578="",$I578="",$G578&lt;1300,$G578&gt;1500,$H578&lt;1,$H578&gt;12,$I578&lt;1,$I578&gt;31),"نامعتبر",RIGHT("0000"&amp;$G578,4)&amp;"/"&amp;RIGHT("00"&amp;$H578,2)&amp;"/"&amp;RIGHT("00"&amp;$I578,2)))</f>
        <v/>
      </c>
      <c r="K578">
        <f>IF(OR($F578="",$J578="",$J578="نامعتبر"),"",LEFT($J578,4)&amp;MID($J578,6,2)&amp;RIGHT($J578,2)&amp;$N578&amp;"|"&amp;"2"&amp;RIGHT("00000"&amp;573,5))</f>
        <v/>
      </c>
      <c r="L578">
        <f>IF($K578="","",COUNTIFS(LdgSellerA,$F578,LdgKeyA,"&lt;"&amp;$K578)+COUNTIFS(LdgSellerB,$F578,LdgKeyB,"&lt;"&amp;$K578)+1)</f>
        <v/>
      </c>
      <c r="M578">
        <f>IF($L578="","",$F578&amp;"|"&amp;RIGHT("000000"&amp;$L578,6))</f>
        <v/>
      </c>
      <c r="N578">
        <f>IF($F578="","",IF(Sync!$AF578="","0000",IF(AND(ISNUMBER(Sync!$AF578),Sync!$AF578&gt;=0,Sync!$AF578&lt;1),RIGHT("00"&amp;HOUR(Sync!$AF578),2)&amp;RIGHT("00"&amp;MINUTE(Sync!$AF578),2),IFERROR(RIGHT("00"&amp;VALUE(LEFT(Sync!$AF578,FIND(":",Sync!$AF578)-1)),2)&amp;RIGHT("00"&amp;VALUE(MID(Sync!$AF578,FIND(":",Sync!$AF578)+1,2)),2),"0000"))))</f>
        <v/>
      </c>
    </row>
    <row r="579">
      <c r="A579">
        <f>IF(OR(Calc!$E583="",Calc!$E583="نامعتبر",Calc!$G583=""),"",Calc!$G583)</f>
        <v/>
      </c>
      <c r="B579">
        <f>IF($A579="","",LEFT(Calc!$E583,4)&amp;MID(Calc!$E583,6,2)&amp;RIGHT(Calc!$E583,2)&amp;Calc!$Q583&amp;"|"&amp;"1"&amp;RIGHT("00000"&amp;574,5))</f>
        <v/>
      </c>
      <c r="C579">
        <f>IF($B579="","",COUNTIFS(LdgSellerA,$A579,LdgKeyA,"&lt;"&amp;$B579)+COUNTIFS(LdgSellerB,$A579,LdgKeyB,"&lt;"&amp;$B579)+1)</f>
        <v/>
      </c>
      <c r="D579">
        <f>IF($C579="","",$A579&amp;"|"&amp;RIGHT("000000"&amp;$C579,6))</f>
        <v/>
      </c>
      <c r="F579">
        <f>IF(Sync!$AH579="","",IF(LEFT(UPPER(TRIM(Sync!$AH579)),2)="SL",UPPER(TRIM(Sync!$AH579)),""))</f>
        <v/>
      </c>
      <c r="G579">
        <f>IF($F579="","",IF(Sync!$AE579="","",IF(ISNUMBER(Sync!$AE579),IF(AND(Sync!$AE579&gt;=10000101,Sync!$AE579&lt;=99991231),INT(Sync!$AE579/10000),""),IFERROR(VALUE(TRIM(LEFT(Sync!$AE579,FIND("/",Sync!$AE579)-1))),""))))</f>
        <v/>
      </c>
      <c r="H579">
        <f>IF(OR($F579="",$G579=""),"",IF(ISNUMBER(Sync!$AE579),INT(MOD(Sync!$AE579,10000)/100),IFERROR(VALUE(TRIM(LEFT(MID(Sync!$AE579,FIND("/",Sync!$AE579)+1,20),FIND("/",MID(Sync!$AE579,FIND("/",Sync!$AE579)+1,20))-1))),"")))</f>
        <v/>
      </c>
      <c r="I579">
        <f>IF(OR($F579="",$G579=""),"",IF(ISNUMBER(Sync!$AE579),MOD(Sync!$AE579,100),IFERROR(VALUE(TRIM(MID(MID(Sync!$AE579,FIND("/",Sync!$AE579)+1,20),FIND("/",MID(Sync!$AE579,FIND("/",Sync!$AE579)+1,20))+1,20))),"")))</f>
        <v/>
      </c>
      <c r="J579">
        <f>IF($F579="","",IF(OR($G579="",$H579="",$I579="",$G579&lt;1300,$G579&gt;1500,$H579&lt;1,$H579&gt;12,$I579&lt;1,$I579&gt;31),"نامعتبر",RIGHT("0000"&amp;$G579,4)&amp;"/"&amp;RIGHT("00"&amp;$H579,2)&amp;"/"&amp;RIGHT("00"&amp;$I579,2)))</f>
        <v/>
      </c>
      <c r="K579">
        <f>IF(OR($F579="",$J579="",$J579="نامعتبر"),"",LEFT($J579,4)&amp;MID($J579,6,2)&amp;RIGHT($J579,2)&amp;$N579&amp;"|"&amp;"2"&amp;RIGHT("00000"&amp;574,5))</f>
        <v/>
      </c>
      <c r="L579">
        <f>IF($K579="","",COUNTIFS(LdgSellerA,$F579,LdgKeyA,"&lt;"&amp;$K579)+COUNTIFS(LdgSellerB,$F579,LdgKeyB,"&lt;"&amp;$K579)+1)</f>
        <v/>
      </c>
      <c r="M579">
        <f>IF($L579="","",$F579&amp;"|"&amp;RIGHT("000000"&amp;$L579,6))</f>
        <v/>
      </c>
      <c r="N579">
        <f>IF($F579="","",IF(Sync!$AF579="","0000",IF(AND(ISNUMBER(Sync!$AF579),Sync!$AF579&gt;=0,Sync!$AF579&lt;1),RIGHT("00"&amp;HOUR(Sync!$AF579),2)&amp;RIGHT("00"&amp;MINUTE(Sync!$AF579),2),IFERROR(RIGHT("00"&amp;VALUE(LEFT(Sync!$AF579,FIND(":",Sync!$AF579)-1)),2)&amp;RIGHT("00"&amp;VALUE(MID(Sync!$AF579,FIND(":",Sync!$AF579)+1,2)),2),"0000"))))</f>
        <v/>
      </c>
    </row>
    <row r="580">
      <c r="A580">
        <f>IF(OR(Calc!$E584="",Calc!$E584="نامعتبر",Calc!$G584=""),"",Calc!$G584)</f>
        <v/>
      </c>
      <c r="B580">
        <f>IF($A580="","",LEFT(Calc!$E584,4)&amp;MID(Calc!$E584,6,2)&amp;RIGHT(Calc!$E584,2)&amp;Calc!$Q584&amp;"|"&amp;"1"&amp;RIGHT("00000"&amp;575,5))</f>
        <v/>
      </c>
      <c r="C580">
        <f>IF($B580="","",COUNTIFS(LdgSellerA,$A580,LdgKeyA,"&lt;"&amp;$B580)+COUNTIFS(LdgSellerB,$A580,LdgKeyB,"&lt;"&amp;$B580)+1)</f>
        <v/>
      </c>
      <c r="D580">
        <f>IF($C580="","",$A580&amp;"|"&amp;RIGHT("000000"&amp;$C580,6))</f>
        <v/>
      </c>
      <c r="F580">
        <f>IF(Sync!$AH580="","",IF(LEFT(UPPER(TRIM(Sync!$AH580)),2)="SL",UPPER(TRIM(Sync!$AH580)),""))</f>
        <v/>
      </c>
      <c r="G580">
        <f>IF($F580="","",IF(Sync!$AE580="","",IF(ISNUMBER(Sync!$AE580),IF(AND(Sync!$AE580&gt;=10000101,Sync!$AE580&lt;=99991231),INT(Sync!$AE580/10000),""),IFERROR(VALUE(TRIM(LEFT(Sync!$AE580,FIND("/",Sync!$AE580)-1))),""))))</f>
        <v/>
      </c>
      <c r="H580">
        <f>IF(OR($F580="",$G580=""),"",IF(ISNUMBER(Sync!$AE580),INT(MOD(Sync!$AE580,10000)/100),IFERROR(VALUE(TRIM(LEFT(MID(Sync!$AE580,FIND("/",Sync!$AE580)+1,20),FIND("/",MID(Sync!$AE580,FIND("/",Sync!$AE580)+1,20))-1))),"")))</f>
        <v/>
      </c>
      <c r="I580">
        <f>IF(OR($F580="",$G580=""),"",IF(ISNUMBER(Sync!$AE580),MOD(Sync!$AE580,100),IFERROR(VALUE(TRIM(MID(MID(Sync!$AE580,FIND("/",Sync!$AE580)+1,20),FIND("/",MID(Sync!$AE580,FIND("/",Sync!$AE580)+1,20))+1,20))),"")))</f>
        <v/>
      </c>
      <c r="J580">
        <f>IF($F580="","",IF(OR($G580="",$H580="",$I580="",$G580&lt;1300,$G580&gt;1500,$H580&lt;1,$H580&gt;12,$I580&lt;1,$I580&gt;31),"نامعتبر",RIGHT("0000"&amp;$G580,4)&amp;"/"&amp;RIGHT("00"&amp;$H580,2)&amp;"/"&amp;RIGHT("00"&amp;$I580,2)))</f>
        <v/>
      </c>
      <c r="K580">
        <f>IF(OR($F580="",$J580="",$J580="نامعتبر"),"",LEFT($J580,4)&amp;MID($J580,6,2)&amp;RIGHT($J580,2)&amp;$N580&amp;"|"&amp;"2"&amp;RIGHT("00000"&amp;575,5))</f>
        <v/>
      </c>
      <c r="L580">
        <f>IF($K580="","",COUNTIFS(LdgSellerA,$F580,LdgKeyA,"&lt;"&amp;$K580)+COUNTIFS(LdgSellerB,$F580,LdgKeyB,"&lt;"&amp;$K580)+1)</f>
        <v/>
      </c>
      <c r="M580">
        <f>IF($L580="","",$F580&amp;"|"&amp;RIGHT("000000"&amp;$L580,6))</f>
        <v/>
      </c>
      <c r="N580">
        <f>IF($F580="","",IF(Sync!$AF580="","0000",IF(AND(ISNUMBER(Sync!$AF580),Sync!$AF580&gt;=0,Sync!$AF580&lt;1),RIGHT("00"&amp;HOUR(Sync!$AF580),2)&amp;RIGHT("00"&amp;MINUTE(Sync!$AF580),2),IFERROR(RIGHT("00"&amp;VALUE(LEFT(Sync!$AF580,FIND(":",Sync!$AF580)-1)),2)&amp;RIGHT("00"&amp;VALUE(MID(Sync!$AF580,FIND(":",Sync!$AF580)+1,2)),2),"0000"))))</f>
        <v/>
      </c>
    </row>
    <row r="581">
      <c r="A581">
        <f>IF(OR(Calc!$E585="",Calc!$E585="نامعتبر",Calc!$G585=""),"",Calc!$G585)</f>
        <v/>
      </c>
      <c r="B581">
        <f>IF($A581="","",LEFT(Calc!$E585,4)&amp;MID(Calc!$E585,6,2)&amp;RIGHT(Calc!$E585,2)&amp;Calc!$Q585&amp;"|"&amp;"1"&amp;RIGHT("00000"&amp;576,5))</f>
        <v/>
      </c>
      <c r="C581">
        <f>IF($B581="","",COUNTIFS(LdgSellerA,$A581,LdgKeyA,"&lt;"&amp;$B581)+COUNTIFS(LdgSellerB,$A581,LdgKeyB,"&lt;"&amp;$B581)+1)</f>
        <v/>
      </c>
      <c r="D581">
        <f>IF($C581="","",$A581&amp;"|"&amp;RIGHT("000000"&amp;$C581,6))</f>
        <v/>
      </c>
      <c r="F581">
        <f>IF(Sync!$AH581="","",IF(LEFT(UPPER(TRIM(Sync!$AH581)),2)="SL",UPPER(TRIM(Sync!$AH581)),""))</f>
        <v/>
      </c>
      <c r="G581">
        <f>IF($F581="","",IF(Sync!$AE581="","",IF(ISNUMBER(Sync!$AE581),IF(AND(Sync!$AE581&gt;=10000101,Sync!$AE581&lt;=99991231),INT(Sync!$AE581/10000),""),IFERROR(VALUE(TRIM(LEFT(Sync!$AE581,FIND("/",Sync!$AE581)-1))),""))))</f>
        <v/>
      </c>
      <c r="H581">
        <f>IF(OR($F581="",$G581=""),"",IF(ISNUMBER(Sync!$AE581),INT(MOD(Sync!$AE581,10000)/100),IFERROR(VALUE(TRIM(LEFT(MID(Sync!$AE581,FIND("/",Sync!$AE581)+1,20),FIND("/",MID(Sync!$AE581,FIND("/",Sync!$AE581)+1,20))-1))),"")))</f>
        <v/>
      </c>
      <c r="I581">
        <f>IF(OR($F581="",$G581=""),"",IF(ISNUMBER(Sync!$AE581),MOD(Sync!$AE581,100),IFERROR(VALUE(TRIM(MID(MID(Sync!$AE581,FIND("/",Sync!$AE581)+1,20),FIND("/",MID(Sync!$AE581,FIND("/",Sync!$AE581)+1,20))+1,20))),"")))</f>
        <v/>
      </c>
      <c r="J581">
        <f>IF($F581="","",IF(OR($G581="",$H581="",$I581="",$G581&lt;1300,$G581&gt;1500,$H581&lt;1,$H581&gt;12,$I581&lt;1,$I581&gt;31),"نامعتبر",RIGHT("0000"&amp;$G581,4)&amp;"/"&amp;RIGHT("00"&amp;$H581,2)&amp;"/"&amp;RIGHT("00"&amp;$I581,2)))</f>
        <v/>
      </c>
      <c r="K581">
        <f>IF(OR($F581="",$J581="",$J581="نامعتبر"),"",LEFT($J581,4)&amp;MID($J581,6,2)&amp;RIGHT($J581,2)&amp;$N581&amp;"|"&amp;"2"&amp;RIGHT("00000"&amp;576,5))</f>
        <v/>
      </c>
      <c r="L581">
        <f>IF($K581="","",COUNTIFS(LdgSellerA,$F581,LdgKeyA,"&lt;"&amp;$K581)+COUNTIFS(LdgSellerB,$F581,LdgKeyB,"&lt;"&amp;$K581)+1)</f>
        <v/>
      </c>
      <c r="M581">
        <f>IF($L581="","",$F581&amp;"|"&amp;RIGHT("000000"&amp;$L581,6))</f>
        <v/>
      </c>
      <c r="N581">
        <f>IF($F581="","",IF(Sync!$AF581="","0000",IF(AND(ISNUMBER(Sync!$AF581),Sync!$AF581&gt;=0,Sync!$AF581&lt;1),RIGHT("00"&amp;HOUR(Sync!$AF581),2)&amp;RIGHT("00"&amp;MINUTE(Sync!$AF581),2),IFERROR(RIGHT("00"&amp;VALUE(LEFT(Sync!$AF581,FIND(":",Sync!$AF581)-1)),2)&amp;RIGHT("00"&amp;VALUE(MID(Sync!$AF581,FIND(":",Sync!$AF581)+1,2)),2),"0000"))))</f>
        <v/>
      </c>
    </row>
    <row r="582">
      <c r="A582">
        <f>IF(OR(Calc!$E586="",Calc!$E586="نامعتبر",Calc!$G586=""),"",Calc!$G586)</f>
        <v/>
      </c>
      <c r="B582">
        <f>IF($A582="","",LEFT(Calc!$E586,4)&amp;MID(Calc!$E586,6,2)&amp;RIGHT(Calc!$E586,2)&amp;Calc!$Q586&amp;"|"&amp;"1"&amp;RIGHT("00000"&amp;577,5))</f>
        <v/>
      </c>
      <c r="C582">
        <f>IF($B582="","",COUNTIFS(LdgSellerA,$A582,LdgKeyA,"&lt;"&amp;$B582)+COUNTIFS(LdgSellerB,$A582,LdgKeyB,"&lt;"&amp;$B582)+1)</f>
        <v/>
      </c>
      <c r="D582">
        <f>IF($C582="","",$A582&amp;"|"&amp;RIGHT("000000"&amp;$C582,6))</f>
        <v/>
      </c>
      <c r="F582">
        <f>IF(Sync!$AH582="","",IF(LEFT(UPPER(TRIM(Sync!$AH582)),2)="SL",UPPER(TRIM(Sync!$AH582)),""))</f>
        <v/>
      </c>
      <c r="G582">
        <f>IF($F582="","",IF(Sync!$AE582="","",IF(ISNUMBER(Sync!$AE582),IF(AND(Sync!$AE582&gt;=10000101,Sync!$AE582&lt;=99991231),INT(Sync!$AE582/10000),""),IFERROR(VALUE(TRIM(LEFT(Sync!$AE582,FIND("/",Sync!$AE582)-1))),""))))</f>
        <v/>
      </c>
      <c r="H582">
        <f>IF(OR($F582="",$G582=""),"",IF(ISNUMBER(Sync!$AE582),INT(MOD(Sync!$AE582,10000)/100),IFERROR(VALUE(TRIM(LEFT(MID(Sync!$AE582,FIND("/",Sync!$AE582)+1,20),FIND("/",MID(Sync!$AE582,FIND("/",Sync!$AE582)+1,20))-1))),"")))</f>
        <v/>
      </c>
      <c r="I582">
        <f>IF(OR($F582="",$G582=""),"",IF(ISNUMBER(Sync!$AE582),MOD(Sync!$AE582,100),IFERROR(VALUE(TRIM(MID(MID(Sync!$AE582,FIND("/",Sync!$AE582)+1,20),FIND("/",MID(Sync!$AE582,FIND("/",Sync!$AE582)+1,20))+1,20))),"")))</f>
        <v/>
      </c>
      <c r="J582">
        <f>IF($F582="","",IF(OR($G582="",$H582="",$I582="",$G582&lt;1300,$G582&gt;1500,$H582&lt;1,$H582&gt;12,$I582&lt;1,$I582&gt;31),"نامعتبر",RIGHT("0000"&amp;$G582,4)&amp;"/"&amp;RIGHT("00"&amp;$H582,2)&amp;"/"&amp;RIGHT("00"&amp;$I582,2)))</f>
        <v/>
      </c>
      <c r="K582">
        <f>IF(OR($F582="",$J582="",$J582="نامعتبر"),"",LEFT($J582,4)&amp;MID($J582,6,2)&amp;RIGHT($J582,2)&amp;$N582&amp;"|"&amp;"2"&amp;RIGHT("00000"&amp;577,5))</f>
        <v/>
      </c>
      <c r="L582">
        <f>IF($K582="","",COUNTIFS(LdgSellerA,$F582,LdgKeyA,"&lt;"&amp;$K582)+COUNTIFS(LdgSellerB,$F582,LdgKeyB,"&lt;"&amp;$K582)+1)</f>
        <v/>
      </c>
      <c r="M582">
        <f>IF($L582="","",$F582&amp;"|"&amp;RIGHT("000000"&amp;$L582,6))</f>
        <v/>
      </c>
      <c r="N582">
        <f>IF($F582="","",IF(Sync!$AF582="","0000",IF(AND(ISNUMBER(Sync!$AF582),Sync!$AF582&gt;=0,Sync!$AF582&lt;1),RIGHT("00"&amp;HOUR(Sync!$AF582),2)&amp;RIGHT("00"&amp;MINUTE(Sync!$AF582),2),IFERROR(RIGHT("00"&amp;VALUE(LEFT(Sync!$AF582,FIND(":",Sync!$AF582)-1)),2)&amp;RIGHT("00"&amp;VALUE(MID(Sync!$AF582,FIND(":",Sync!$AF582)+1,2)),2),"0000"))))</f>
        <v/>
      </c>
    </row>
    <row r="583">
      <c r="A583">
        <f>IF(OR(Calc!$E587="",Calc!$E587="نامعتبر",Calc!$G587=""),"",Calc!$G587)</f>
        <v/>
      </c>
      <c r="B583">
        <f>IF($A583="","",LEFT(Calc!$E587,4)&amp;MID(Calc!$E587,6,2)&amp;RIGHT(Calc!$E587,2)&amp;Calc!$Q587&amp;"|"&amp;"1"&amp;RIGHT("00000"&amp;578,5))</f>
        <v/>
      </c>
      <c r="C583">
        <f>IF($B583="","",COUNTIFS(LdgSellerA,$A583,LdgKeyA,"&lt;"&amp;$B583)+COUNTIFS(LdgSellerB,$A583,LdgKeyB,"&lt;"&amp;$B583)+1)</f>
        <v/>
      </c>
      <c r="D583">
        <f>IF($C583="","",$A583&amp;"|"&amp;RIGHT("000000"&amp;$C583,6))</f>
        <v/>
      </c>
      <c r="F583">
        <f>IF(Sync!$AH583="","",IF(LEFT(UPPER(TRIM(Sync!$AH583)),2)="SL",UPPER(TRIM(Sync!$AH583)),""))</f>
        <v/>
      </c>
      <c r="G583">
        <f>IF($F583="","",IF(Sync!$AE583="","",IF(ISNUMBER(Sync!$AE583),IF(AND(Sync!$AE583&gt;=10000101,Sync!$AE583&lt;=99991231),INT(Sync!$AE583/10000),""),IFERROR(VALUE(TRIM(LEFT(Sync!$AE583,FIND("/",Sync!$AE583)-1))),""))))</f>
        <v/>
      </c>
      <c r="H583">
        <f>IF(OR($F583="",$G583=""),"",IF(ISNUMBER(Sync!$AE583),INT(MOD(Sync!$AE583,10000)/100),IFERROR(VALUE(TRIM(LEFT(MID(Sync!$AE583,FIND("/",Sync!$AE583)+1,20),FIND("/",MID(Sync!$AE583,FIND("/",Sync!$AE583)+1,20))-1))),"")))</f>
        <v/>
      </c>
      <c r="I583">
        <f>IF(OR($F583="",$G583=""),"",IF(ISNUMBER(Sync!$AE583),MOD(Sync!$AE583,100),IFERROR(VALUE(TRIM(MID(MID(Sync!$AE583,FIND("/",Sync!$AE583)+1,20),FIND("/",MID(Sync!$AE583,FIND("/",Sync!$AE583)+1,20))+1,20))),"")))</f>
        <v/>
      </c>
      <c r="J583">
        <f>IF($F583="","",IF(OR($G583="",$H583="",$I583="",$G583&lt;1300,$G583&gt;1500,$H583&lt;1,$H583&gt;12,$I583&lt;1,$I583&gt;31),"نامعتبر",RIGHT("0000"&amp;$G583,4)&amp;"/"&amp;RIGHT("00"&amp;$H583,2)&amp;"/"&amp;RIGHT("00"&amp;$I583,2)))</f>
        <v/>
      </c>
      <c r="K583">
        <f>IF(OR($F583="",$J583="",$J583="نامعتبر"),"",LEFT($J583,4)&amp;MID($J583,6,2)&amp;RIGHT($J583,2)&amp;$N583&amp;"|"&amp;"2"&amp;RIGHT("00000"&amp;578,5))</f>
        <v/>
      </c>
      <c r="L583">
        <f>IF($K583="","",COUNTIFS(LdgSellerA,$F583,LdgKeyA,"&lt;"&amp;$K583)+COUNTIFS(LdgSellerB,$F583,LdgKeyB,"&lt;"&amp;$K583)+1)</f>
        <v/>
      </c>
      <c r="M583">
        <f>IF($L583="","",$F583&amp;"|"&amp;RIGHT("000000"&amp;$L583,6))</f>
        <v/>
      </c>
      <c r="N583">
        <f>IF($F583="","",IF(Sync!$AF583="","0000",IF(AND(ISNUMBER(Sync!$AF583),Sync!$AF583&gt;=0,Sync!$AF583&lt;1),RIGHT("00"&amp;HOUR(Sync!$AF583),2)&amp;RIGHT("00"&amp;MINUTE(Sync!$AF583),2),IFERROR(RIGHT("00"&amp;VALUE(LEFT(Sync!$AF583,FIND(":",Sync!$AF583)-1)),2)&amp;RIGHT("00"&amp;VALUE(MID(Sync!$AF583,FIND(":",Sync!$AF583)+1,2)),2),"0000"))))</f>
        <v/>
      </c>
    </row>
    <row r="584">
      <c r="A584">
        <f>IF(OR(Calc!$E588="",Calc!$E588="نامعتبر",Calc!$G588=""),"",Calc!$G588)</f>
        <v/>
      </c>
      <c r="B584">
        <f>IF($A584="","",LEFT(Calc!$E588,4)&amp;MID(Calc!$E588,6,2)&amp;RIGHT(Calc!$E588,2)&amp;Calc!$Q588&amp;"|"&amp;"1"&amp;RIGHT("00000"&amp;579,5))</f>
        <v/>
      </c>
      <c r="C584">
        <f>IF($B584="","",COUNTIFS(LdgSellerA,$A584,LdgKeyA,"&lt;"&amp;$B584)+COUNTIFS(LdgSellerB,$A584,LdgKeyB,"&lt;"&amp;$B584)+1)</f>
        <v/>
      </c>
      <c r="D584">
        <f>IF($C584="","",$A584&amp;"|"&amp;RIGHT("000000"&amp;$C584,6))</f>
        <v/>
      </c>
      <c r="F584">
        <f>IF(Sync!$AH584="","",IF(LEFT(UPPER(TRIM(Sync!$AH584)),2)="SL",UPPER(TRIM(Sync!$AH584)),""))</f>
        <v/>
      </c>
      <c r="G584">
        <f>IF($F584="","",IF(Sync!$AE584="","",IF(ISNUMBER(Sync!$AE584),IF(AND(Sync!$AE584&gt;=10000101,Sync!$AE584&lt;=99991231),INT(Sync!$AE584/10000),""),IFERROR(VALUE(TRIM(LEFT(Sync!$AE584,FIND("/",Sync!$AE584)-1))),""))))</f>
        <v/>
      </c>
      <c r="H584">
        <f>IF(OR($F584="",$G584=""),"",IF(ISNUMBER(Sync!$AE584),INT(MOD(Sync!$AE584,10000)/100),IFERROR(VALUE(TRIM(LEFT(MID(Sync!$AE584,FIND("/",Sync!$AE584)+1,20),FIND("/",MID(Sync!$AE584,FIND("/",Sync!$AE584)+1,20))-1))),"")))</f>
        <v/>
      </c>
      <c r="I584">
        <f>IF(OR($F584="",$G584=""),"",IF(ISNUMBER(Sync!$AE584),MOD(Sync!$AE584,100),IFERROR(VALUE(TRIM(MID(MID(Sync!$AE584,FIND("/",Sync!$AE584)+1,20),FIND("/",MID(Sync!$AE584,FIND("/",Sync!$AE584)+1,20))+1,20))),"")))</f>
        <v/>
      </c>
      <c r="J584">
        <f>IF($F584="","",IF(OR($G584="",$H584="",$I584="",$G584&lt;1300,$G584&gt;1500,$H584&lt;1,$H584&gt;12,$I584&lt;1,$I584&gt;31),"نامعتبر",RIGHT("0000"&amp;$G584,4)&amp;"/"&amp;RIGHT("00"&amp;$H584,2)&amp;"/"&amp;RIGHT("00"&amp;$I584,2)))</f>
        <v/>
      </c>
      <c r="K584">
        <f>IF(OR($F584="",$J584="",$J584="نامعتبر"),"",LEFT($J584,4)&amp;MID($J584,6,2)&amp;RIGHT($J584,2)&amp;$N584&amp;"|"&amp;"2"&amp;RIGHT("00000"&amp;579,5))</f>
        <v/>
      </c>
      <c r="L584">
        <f>IF($K584="","",COUNTIFS(LdgSellerA,$F584,LdgKeyA,"&lt;"&amp;$K584)+COUNTIFS(LdgSellerB,$F584,LdgKeyB,"&lt;"&amp;$K584)+1)</f>
        <v/>
      </c>
      <c r="M584">
        <f>IF($L584="","",$F584&amp;"|"&amp;RIGHT("000000"&amp;$L584,6))</f>
        <v/>
      </c>
      <c r="N584">
        <f>IF($F584="","",IF(Sync!$AF584="","0000",IF(AND(ISNUMBER(Sync!$AF584),Sync!$AF584&gt;=0,Sync!$AF584&lt;1),RIGHT("00"&amp;HOUR(Sync!$AF584),2)&amp;RIGHT("00"&amp;MINUTE(Sync!$AF584),2),IFERROR(RIGHT("00"&amp;VALUE(LEFT(Sync!$AF584,FIND(":",Sync!$AF584)-1)),2)&amp;RIGHT("00"&amp;VALUE(MID(Sync!$AF584,FIND(":",Sync!$AF584)+1,2)),2),"0000"))))</f>
        <v/>
      </c>
    </row>
    <row r="585">
      <c r="A585">
        <f>IF(OR(Calc!$E589="",Calc!$E589="نامعتبر",Calc!$G589=""),"",Calc!$G589)</f>
        <v/>
      </c>
      <c r="B585">
        <f>IF($A585="","",LEFT(Calc!$E589,4)&amp;MID(Calc!$E589,6,2)&amp;RIGHT(Calc!$E589,2)&amp;Calc!$Q589&amp;"|"&amp;"1"&amp;RIGHT("00000"&amp;580,5))</f>
        <v/>
      </c>
      <c r="C585">
        <f>IF($B585="","",COUNTIFS(LdgSellerA,$A585,LdgKeyA,"&lt;"&amp;$B585)+COUNTIFS(LdgSellerB,$A585,LdgKeyB,"&lt;"&amp;$B585)+1)</f>
        <v/>
      </c>
      <c r="D585">
        <f>IF($C585="","",$A585&amp;"|"&amp;RIGHT("000000"&amp;$C585,6))</f>
        <v/>
      </c>
      <c r="F585">
        <f>IF(Sync!$AH585="","",IF(LEFT(UPPER(TRIM(Sync!$AH585)),2)="SL",UPPER(TRIM(Sync!$AH585)),""))</f>
        <v/>
      </c>
      <c r="G585">
        <f>IF($F585="","",IF(Sync!$AE585="","",IF(ISNUMBER(Sync!$AE585),IF(AND(Sync!$AE585&gt;=10000101,Sync!$AE585&lt;=99991231),INT(Sync!$AE585/10000),""),IFERROR(VALUE(TRIM(LEFT(Sync!$AE585,FIND("/",Sync!$AE585)-1))),""))))</f>
        <v/>
      </c>
      <c r="H585">
        <f>IF(OR($F585="",$G585=""),"",IF(ISNUMBER(Sync!$AE585),INT(MOD(Sync!$AE585,10000)/100),IFERROR(VALUE(TRIM(LEFT(MID(Sync!$AE585,FIND("/",Sync!$AE585)+1,20),FIND("/",MID(Sync!$AE585,FIND("/",Sync!$AE585)+1,20))-1))),"")))</f>
        <v/>
      </c>
      <c r="I585">
        <f>IF(OR($F585="",$G585=""),"",IF(ISNUMBER(Sync!$AE585),MOD(Sync!$AE585,100),IFERROR(VALUE(TRIM(MID(MID(Sync!$AE585,FIND("/",Sync!$AE585)+1,20),FIND("/",MID(Sync!$AE585,FIND("/",Sync!$AE585)+1,20))+1,20))),"")))</f>
        <v/>
      </c>
      <c r="J585">
        <f>IF($F585="","",IF(OR($G585="",$H585="",$I585="",$G585&lt;1300,$G585&gt;1500,$H585&lt;1,$H585&gt;12,$I585&lt;1,$I585&gt;31),"نامعتبر",RIGHT("0000"&amp;$G585,4)&amp;"/"&amp;RIGHT("00"&amp;$H585,2)&amp;"/"&amp;RIGHT("00"&amp;$I585,2)))</f>
        <v/>
      </c>
      <c r="K585">
        <f>IF(OR($F585="",$J585="",$J585="نامعتبر"),"",LEFT($J585,4)&amp;MID($J585,6,2)&amp;RIGHT($J585,2)&amp;$N585&amp;"|"&amp;"2"&amp;RIGHT("00000"&amp;580,5))</f>
        <v/>
      </c>
      <c r="L585">
        <f>IF($K585="","",COUNTIFS(LdgSellerA,$F585,LdgKeyA,"&lt;"&amp;$K585)+COUNTIFS(LdgSellerB,$F585,LdgKeyB,"&lt;"&amp;$K585)+1)</f>
        <v/>
      </c>
      <c r="M585">
        <f>IF($L585="","",$F585&amp;"|"&amp;RIGHT("000000"&amp;$L585,6))</f>
        <v/>
      </c>
      <c r="N585">
        <f>IF($F585="","",IF(Sync!$AF585="","0000",IF(AND(ISNUMBER(Sync!$AF585),Sync!$AF585&gt;=0,Sync!$AF585&lt;1),RIGHT("00"&amp;HOUR(Sync!$AF585),2)&amp;RIGHT("00"&amp;MINUTE(Sync!$AF585),2),IFERROR(RIGHT("00"&amp;VALUE(LEFT(Sync!$AF585,FIND(":",Sync!$AF585)-1)),2)&amp;RIGHT("00"&amp;VALUE(MID(Sync!$AF585,FIND(":",Sync!$AF585)+1,2)),2),"0000"))))</f>
        <v/>
      </c>
    </row>
    <row r="586">
      <c r="A586">
        <f>IF(OR(Calc!$E590="",Calc!$E590="نامعتبر",Calc!$G590=""),"",Calc!$G590)</f>
        <v/>
      </c>
      <c r="B586">
        <f>IF($A586="","",LEFT(Calc!$E590,4)&amp;MID(Calc!$E590,6,2)&amp;RIGHT(Calc!$E590,2)&amp;Calc!$Q590&amp;"|"&amp;"1"&amp;RIGHT("00000"&amp;581,5))</f>
        <v/>
      </c>
      <c r="C586">
        <f>IF($B586="","",COUNTIFS(LdgSellerA,$A586,LdgKeyA,"&lt;"&amp;$B586)+COUNTIFS(LdgSellerB,$A586,LdgKeyB,"&lt;"&amp;$B586)+1)</f>
        <v/>
      </c>
      <c r="D586">
        <f>IF($C586="","",$A586&amp;"|"&amp;RIGHT("000000"&amp;$C586,6))</f>
        <v/>
      </c>
      <c r="F586">
        <f>IF(Sync!$AH586="","",IF(LEFT(UPPER(TRIM(Sync!$AH586)),2)="SL",UPPER(TRIM(Sync!$AH586)),""))</f>
        <v/>
      </c>
      <c r="G586">
        <f>IF($F586="","",IF(Sync!$AE586="","",IF(ISNUMBER(Sync!$AE586),IF(AND(Sync!$AE586&gt;=10000101,Sync!$AE586&lt;=99991231),INT(Sync!$AE586/10000),""),IFERROR(VALUE(TRIM(LEFT(Sync!$AE586,FIND("/",Sync!$AE586)-1))),""))))</f>
        <v/>
      </c>
      <c r="H586">
        <f>IF(OR($F586="",$G586=""),"",IF(ISNUMBER(Sync!$AE586),INT(MOD(Sync!$AE586,10000)/100),IFERROR(VALUE(TRIM(LEFT(MID(Sync!$AE586,FIND("/",Sync!$AE586)+1,20),FIND("/",MID(Sync!$AE586,FIND("/",Sync!$AE586)+1,20))-1))),"")))</f>
        <v/>
      </c>
      <c r="I586">
        <f>IF(OR($F586="",$G586=""),"",IF(ISNUMBER(Sync!$AE586),MOD(Sync!$AE586,100),IFERROR(VALUE(TRIM(MID(MID(Sync!$AE586,FIND("/",Sync!$AE586)+1,20),FIND("/",MID(Sync!$AE586,FIND("/",Sync!$AE586)+1,20))+1,20))),"")))</f>
        <v/>
      </c>
      <c r="J586">
        <f>IF($F586="","",IF(OR($G586="",$H586="",$I586="",$G586&lt;1300,$G586&gt;1500,$H586&lt;1,$H586&gt;12,$I586&lt;1,$I586&gt;31),"نامعتبر",RIGHT("0000"&amp;$G586,4)&amp;"/"&amp;RIGHT("00"&amp;$H586,2)&amp;"/"&amp;RIGHT("00"&amp;$I586,2)))</f>
        <v/>
      </c>
      <c r="K586">
        <f>IF(OR($F586="",$J586="",$J586="نامعتبر"),"",LEFT($J586,4)&amp;MID($J586,6,2)&amp;RIGHT($J586,2)&amp;$N586&amp;"|"&amp;"2"&amp;RIGHT("00000"&amp;581,5))</f>
        <v/>
      </c>
      <c r="L586">
        <f>IF($K586="","",COUNTIFS(LdgSellerA,$F586,LdgKeyA,"&lt;"&amp;$K586)+COUNTIFS(LdgSellerB,$F586,LdgKeyB,"&lt;"&amp;$K586)+1)</f>
        <v/>
      </c>
      <c r="M586">
        <f>IF($L586="","",$F586&amp;"|"&amp;RIGHT("000000"&amp;$L586,6))</f>
        <v/>
      </c>
      <c r="N586">
        <f>IF($F586="","",IF(Sync!$AF586="","0000",IF(AND(ISNUMBER(Sync!$AF586),Sync!$AF586&gt;=0,Sync!$AF586&lt;1),RIGHT("00"&amp;HOUR(Sync!$AF586),2)&amp;RIGHT("00"&amp;MINUTE(Sync!$AF586),2),IFERROR(RIGHT("00"&amp;VALUE(LEFT(Sync!$AF586,FIND(":",Sync!$AF586)-1)),2)&amp;RIGHT("00"&amp;VALUE(MID(Sync!$AF586,FIND(":",Sync!$AF586)+1,2)),2),"0000"))))</f>
        <v/>
      </c>
    </row>
    <row r="587">
      <c r="A587">
        <f>IF(OR(Calc!$E591="",Calc!$E591="نامعتبر",Calc!$G591=""),"",Calc!$G591)</f>
        <v/>
      </c>
      <c r="B587">
        <f>IF($A587="","",LEFT(Calc!$E591,4)&amp;MID(Calc!$E591,6,2)&amp;RIGHT(Calc!$E591,2)&amp;Calc!$Q591&amp;"|"&amp;"1"&amp;RIGHT("00000"&amp;582,5))</f>
        <v/>
      </c>
      <c r="C587">
        <f>IF($B587="","",COUNTIFS(LdgSellerA,$A587,LdgKeyA,"&lt;"&amp;$B587)+COUNTIFS(LdgSellerB,$A587,LdgKeyB,"&lt;"&amp;$B587)+1)</f>
        <v/>
      </c>
      <c r="D587">
        <f>IF($C587="","",$A587&amp;"|"&amp;RIGHT("000000"&amp;$C587,6))</f>
        <v/>
      </c>
      <c r="F587">
        <f>IF(Sync!$AH587="","",IF(LEFT(UPPER(TRIM(Sync!$AH587)),2)="SL",UPPER(TRIM(Sync!$AH587)),""))</f>
        <v/>
      </c>
      <c r="G587">
        <f>IF($F587="","",IF(Sync!$AE587="","",IF(ISNUMBER(Sync!$AE587),IF(AND(Sync!$AE587&gt;=10000101,Sync!$AE587&lt;=99991231),INT(Sync!$AE587/10000),""),IFERROR(VALUE(TRIM(LEFT(Sync!$AE587,FIND("/",Sync!$AE587)-1))),""))))</f>
        <v/>
      </c>
      <c r="H587">
        <f>IF(OR($F587="",$G587=""),"",IF(ISNUMBER(Sync!$AE587),INT(MOD(Sync!$AE587,10000)/100),IFERROR(VALUE(TRIM(LEFT(MID(Sync!$AE587,FIND("/",Sync!$AE587)+1,20),FIND("/",MID(Sync!$AE587,FIND("/",Sync!$AE587)+1,20))-1))),"")))</f>
        <v/>
      </c>
      <c r="I587">
        <f>IF(OR($F587="",$G587=""),"",IF(ISNUMBER(Sync!$AE587),MOD(Sync!$AE587,100),IFERROR(VALUE(TRIM(MID(MID(Sync!$AE587,FIND("/",Sync!$AE587)+1,20),FIND("/",MID(Sync!$AE587,FIND("/",Sync!$AE587)+1,20))+1,20))),"")))</f>
        <v/>
      </c>
      <c r="J587">
        <f>IF($F587="","",IF(OR($G587="",$H587="",$I587="",$G587&lt;1300,$G587&gt;1500,$H587&lt;1,$H587&gt;12,$I587&lt;1,$I587&gt;31),"نامعتبر",RIGHT("0000"&amp;$G587,4)&amp;"/"&amp;RIGHT("00"&amp;$H587,2)&amp;"/"&amp;RIGHT("00"&amp;$I587,2)))</f>
        <v/>
      </c>
      <c r="K587">
        <f>IF(OR($F587="",$J587="",$J587="نامعتبر"),"",LEFT($J587,4)&amp;MID($J587,6,2)&amp;RIGHT($J587,2)&amp;$N587&amp;"|"&amp;"2"&amp;RIGHT("00000"&amp;582,5))</f>
        <v/>
      </c>
      <c r="L587">
        <f>IF($K587="","",COUNTIFS(LdgSellerA,$F587,LdgKeyA,"&lt;"&amp;$K587)+COUNTIFS(LdgSellerB,$F587,LdgKeyB,"&lt;"&amp;$K587)+1)</f>
        <v/>
      </c>
      <c r="M587">
        <f>IF($L587="","",$F587&amp;"|"&amp;RIGHT("000000"&amp;$L587,6))</f>
        <v/>
      </c>
      <c r="N587">
        <f>IF($F587="","",IF(Sync!$AF587="","0000",IF(AND(ISNUMBER(Sync!$AF587),Sync!$AF587&gt;=0,Sync!$AF587&lt;1),RIGHT("00"&amp;HOUR(Sync!$AF587),2)&amp;RIGHT("00"&amp;MINUTE(Sync!$AF587),2),IFERROR(RIGHT("00"&amp;VALUE(LEFT(Sync!$AF587,FIND(":",Sync!$AF587)-1)),2)&amp;RIGHT("00"&amp;VALUE(MID(Sync!$AF587,FIND(":",Sync!$AF587)+1,2)),2),"0000"))))</f>
        <v/>
      </c>
    </row>
    <row r="588">
      <c r="A588">
        <f>IF(OR(Calc!$E592="",Calc!$E592="نامعتبر",Calc!$G592=""),"",Calc!$G592)</f>
        <v/>
      </c>
      <c r="B588">
        <f>IF($A588="","",LEFT(Calc!$E592,4)&amp;MID(Calc!$E592,6,2)&amp;RIGHT(Calc!$E592,2)&amp;Calc!$Q592&amp;"|"&amp;"1"&amp;RIGHT("00000"&amp;583,5))</f>
        <v/>
      </c>
      <c r="C588">
        <f>IF($B588="","",COUNTIFS(LdgSellerA,$A588,LdgKeyA,"&lt;"&amp;$B588)+COUNTIFS(LdgSellerB,$A588,LdgKeyB,"&lt;"&amp;$B588)+1)</f>
        <v/>
      </c>
      <c r="D588">
        <f>IF($C588="","",$A588&amp;"|"&amp;RIGHT("000000"&amp;$C588,6))</f>
        <v/>
      </c>
      <c r="F588">
        <f>IF(Sync!$AH588="","",IF(LEFT(UPPER(TRIM(Sync!$AH588)),2)="SL",UPPER(TRIM(Sync!$AH588)),""))</f>
        <v/>
      </c>
      <c r="G588">
        <f>IF($F588="","",IF(Sync!$AE588="","",IF(ISNUMBER(Sync!$AE588),IF(AND(Sync!$AE588&gt;=10000101,Sync!$AE588&lt;=99991231),INT(Sync!$AE588/10000),""),IFERROR(VALUE(TRIM(LEFT(Sync!$AE588,FIND("/",Sync!$AE588)-1))),""))))</f>
        <v/>
      </c>
      <c r="H588">
        <f>IF(OR($F588="",$G588=""),"",IF(ISNUMBER(Sync!$AE588),INT(MOD(Sync!$AE588,10000)/100),IFERROR(VALUE(TRIM(LEFT(MID(Sync!$AE588,FIND("/",Sync!$AE588)+1,20),FIND("/",MID(Sync!$AE588,FIND("/",Sync!$AE588)+1,20))-1))),"")))</f>
        <v/>
      </c>
      <c r="I588">
        <f>IF(OR($F588="",$G588=""),"",IF(ISNUMBER(Sync!$AE588),MOD(Sync!$AE588,100),IFERROR(VALUE(TRIM(MID(MID(Sync!$AE588,FIND("/",Sync!$AE588)+1,20),FIND("/",MID(Sync!$AE588,FIND("/",Sync!$AE588)+1,20))+1,20))),"")))</f>
        <v/>
      </c>
      <c r="J588">
        <f>IF($F588="","",IF(OR($G588="",$H588="",$I588="",$G588&lt;1300,$G588&gt;1500,$H588&lt;1,$H588&gt;12,$I588&lt;1,$I588&gt;31),"نامعتبر",RIGHT("0000"&amp;$G588,4)&amp;"/"&amp;RIGHT("00"&amp;$H588,2)&amp;"/"&amp;RIGHT("00"&amp;$I588,2)))</f>
        <v/>
      </c>
      <c r="K588">
        <f>IF(OR($F588="",$J588="",$J588="نامعتبر"),"",LEFT($J588,4)&amp;MID($J588,6,2)&amp;RIGHT($J588,2)&amp;$N588&amp;"|"&amp;"2"&amp;RIGHT("00000"&amp;583,5))</f>
        <v/>
      </c>
      <c r="L588">
        <f>IF($K588="","",COUNTIFS(LdgSellerA,$F588,LdgKeyA,"&lt;"&amp;$K588)+COUNTIFS(LdgSellerB,$F588,LdgKeyB,"&lt;"&amp;$K588)+1)</f>
        <v/>
      </c>
      <c r="M588">
        <f>IF($L588="","",$F588&amp;"|"&amp;RIGHT("000000"&amp;$L588,6))</f>
        <v/>
      </c>
      <c r="N588">
        <f>IF($F588="","",IF(Sync!$AF588="","0000",IF(AND(ISNUMBER(Sync!$AF588),Sync!$AF588&gt;=0,Sync!$AF588&lt;1),RIGHT("00"&amp;HOUR(Sync!$AF588),2)&amp;RIGHT("00"&amp;MINUTE(Sync!$AF588),2),IFERROR(RIGHT("00"&amp;VALUE(LEFT(Sync!$AF588,FIND(":",Sync!$AF588)-1)),2)&amp;RIGHT("00"&amp;VALUE(MID(Sync!$AF588,FIND(":",Sync!$AF588)+1,2)),2),"0000"))))</f>
        <v/>
      </c>
    </row>
    <row r="589">
      <c r="A589">
        <f>IF(OR(Calc!$E593="",Calc!$E593="نامعتبر",Calc!$G593=""),"",Calc!$G593)</f>
        <v/>
      </c>
      <c r="B589">
        <f>IF($A589="","",LEFT(Calc!$E593,4)&amp;MID(Calc!$E593,6,2)&amp;RIGHT(Calc!$E593,2)&amp;Calc!$Q593&amp;"|"&amp;"1"&amp;RIGHT("00000"&amp;584,5))</f>
        <v/>
      </c>
      <c r="C589">
        <f>IF($B589="","",COUNTIFS(LdgSellerA,$A589,LdgKeyA,"&lt;"&amp;$B589)+COUNTIFS(LdgSellerB,$A589,LdgKeyB,"&lt;"&amp;$B589)+1)</f>
        <v/>
      </c>
      <c r="D589">
        <f>IF($C589="","",$A589&amp;"|"&amp;RIGHT("000000"&amp;$C589,6))</f>
        <v/>
      </c>
      <c r="F589">
        <f>IF(Sync!$AH589="","",IF(LEFT(UPPER(TRIM(Sync!$AH589)),2)="SL",UPPER(TRIM(Sync!$AH589)),""))</f>
        <v/>
      </c>
      <c r="G589">
        <f>IF($F589="","",IF(Sync!$AE589="","",IF(ISNUMBER(Sync!$AE589),IF(AND(Sync!$AE589&gt;=10000101,Sync!$AE589&lt;=99991231),INT(Sync!$AE589/10000),""),IFERROR(VALUE(TRIM(LEFT(Sync!$AE589,FIND("/",Sync!$AE589)-1))),""))))</f>
        <v/>
      </c>
      <c r="H589">
        <f>IF(OR($F589="",$G589=""),"",IF(ISNUMBER(Sync!$AE589),INT(MOD(Sync!$AE589,10000)/100),IFERROR(VALUE(TRIM(LEFT(MID(Sync!$AE589,FIND("/",Sync!$AE589)+1,20),FIND("/",MID(Sync!$AE589,FIND("/",Sync!$AE589)+1,20))-1))),"")))</f>
        <v/>
      </c>
      <c r="I589">
        <f>IF(OR($F589="",$G589=""),"",IF(ISNUMBER(Sync!$AE589),MOD(Sync!$AE589,100),IFERROR(VALUE(TRIM(MID(MID(Sync!$AE589,FIND("/",Sync!$AE589)+1,20),FIND("/",MID(Sync!$AE589,FIND("/",Sync!$AE589)+1,20))+1,20))),"")))</f>
        <v/>
      </c>
      <c r="J589">
        <f>IF($F589="","",IF(OR($G589="",$H589="",$I589="",$G589&lt;1300,$G589&gt;1500,$H589&lt;1,$H589&gt;12,$I589&lt;1,$I589&gt;31),"نامعتبر",RIGHT("0000"&amp;$G589,4)&amp;"/"&amp;RIGHT("00"&amp;$H589,2)&amp;"/"&amp;RIGHT("00"&amp;$I589,2)))</f>
        <v/>
      </c>
      <c r="K589">
        <f>IF(OR($F589="",$J589="",$J589="نامعتبر"),"",LEFT($J589,4)&amp;MID($J589,6,2)&amp;RIGHT($J589,2)&amp;$N589&amp;"|"&amp;"2"&amp;RIGHT("00000"&amp;584,5))</f>
        <v/>
      </c>
      <c r="L589">
        <f>IF($K589="","",COUNTIFS(LdgSellerA,$F589,LdgKeyA,"&lt;"&amp;$K589)+COUNTIFS(LdgSellerB,$F589,LdgKeyB,"&lt;"&amp;$K589)+1)</f>
        <v/>
      </c>
      <c r="M589">
        <f>IF($L589="","",$F589&amp;"|"&amp;RIGHT("000000"&amp;$L589,6))</f>
        <v/>
      </c>
      <c r="N589">
        <f>IF($F589="","",IF(Sync!$AF589="","0000",IF(AND(ISNUMBER(Sync!$AF589),Sync!$AF589&gt;=0,Sync!$AF589&lt;1),RIGHT("00"&amp;HOUR(Sync!$AF589),2)&amp;RIGHT("00"&amp;MINUTE(Sync!$AF589),2),IFERROR(RIGHT("00"&amp;VALUE(LEFT(Sync!$AF589,FIND(":",Sync!$AF589)-1)),2)&amp;RIGHT("00"&amp;VALUE(MID(Sync!$AF589,FIND(":",Sync!$AF589)+1,2)),2),"0000"))))</f>
        <v/>
      </c>
    </row>
    <row r="590">
      <c r="A590">
        <f>IF(OR(Calc!$E594="",Calc!$E594="نامعتبر",Calc!$G594=""),"",Calc!$G594)</f>
        <v/>
      </c>
      <c r="B590">
        <f>IF($A590="","",LEFT(Calc!$E594,4)&amp;MID(Calc!$E594,6,2)&amp;RIGHT(Calc!$E594,2)&amp;Calc!$Q594&amp;"|"&amp;"1"&amp;RIGHT("00000"&amp;585,5))</f>
        <v/>
      </c>
      <c r="C590">
        <f>IF($B590="","",COUNTIFS(LdgSellerA,$A590,LdgKeyA,"&lt;"&amp;$B590)+COUNTIFS(LdgSellerB,$A590,LdgKeyB,"&lt;"&amp;$B590)+1)</f>
        <v/>
      </c>
      <c r="D590">
        <f>IF($C590="","",$A590&amp;"|"&amp;RIGHT("000000"&amp;$C590,6))</f>
        <v/>
      </c>
      <c r="F590">
        <f>IF(Sync!$AH590="","",IF(LEFT(UPPER(TRIM(Sync!$AH590)),2)="SL",UPPER(TRIM(Sync!$AH590)),""))</f>
        <v/>
      </c>
      <c r="G590">
        <f>IF($F590="","",IF(Sync!$AE590="","",IF(ISNUMBER(Sync!$AE590),IF(AND(Sync!$AE590&gt;=10000101,Sync!$AE590&lt;=99991231),INT(Sync!$AE590/10000),""),IFERROR(VALUE(TRIM(LEFT(Sync!$AE590,FIND("/",Sync!$AE590)-1))),""))))</f>
        <v/>
      </c>
      <c r="H590">
        <f>IF(OR($F590="",$G590=""),"",IF(ISNUMBER(Sync!$AE590),INT(MOD(Sync!$AE590,10000)/100),IFERROR(VALUE(TRIM(LEFT(MID(Sync!$AE590,FIND("/",Sync!$AE590)+1,20),FIND("/",MID(Sync!$AE590,FIND("/",Sync!$AE590)+1,20))-1))),"")))</f>
        <v/>
      </c>
      <c r="I590">
        <f>IF(OR($F590="",$G590=""),"",IF(ISNUMBER(Sync!$AE590),MOD(Sync!$AE590,100),IFERROR(VALUE(TRIM(MID(MID(Sync!$AE590,FIND("/",Sync!$AE590)+1,20),FIND("/",MID(Sync!$AE590,FIND("/",Sync!$AE590)+1,20))+1,20))),"")))</f>
        <v/>
      </c>
      <c r="J590">
        <f>IF($F590="","",IF(OR($G590="",$H590="",$I590="",$G590&lt;1300,$G590&gt;1500,$H590&lt;1,$H590&gt;12,$I590&lt;1,$I590&gt;31),"نامعتبر",RIGHT("0000"&amp;$G590,4)&amp;"/"&amp;RIGHT("00"&amp;$H590,2)&amp;"/"&amp;RIGHT("00"&amp;$I590,2)))</f>
        <v/>
      </c>
      <c r="K590">
        <f>IF(OR($F590="",$J590="",$J590="نامعتبر"),"",LEFT($J590,4)&amp;MID($J590,6,2)&amp;RIGHT($J590,2)&amp;$N590&amp;"|"&amp;"2"&amp;RIGHT("00000"&amp;585,5))</f>
        <v/>
      </c>
      <c r="L590">
        <f>IF($K590="","",COUNTIFS(LdgSellerA,$F590,LdgKeyA,"&lt;"&amp;$K590)+COUNTIFS(LdgSellerB,$F590,LdgKeyB,"&lt;"&amp;$K590)+1)</f>
        <v/>
      </c>
      <c r="M590">
        <f>IF($L590="","",$F590&amp;"|"&amp;RIGHT("000000"&amp;$L590,6))</f>
        <v/>
      </c>
      <c r="N590">
        <f>IF($F590="","",IF(Sync!$AF590="","0000",IF(AND(ISNUMBER(Sync!$AF590),Sync!$AF590&gt;=0,Sync!$AF590&lt;1),RIGHT("00"&amp;HOUR(Sync!$AF590),2)&amp;RIGHT("00"&amp;MINUTE(Sync!$AF590),2),IFERROR(RIGHT("00"&amp;VALUE(LEFT(Sync!$AF590,FIND(":",Sync!$AF590)-1)),2)&amp;RIGHT("00"&amp;VALUE(MID(Sync!$AF590,FIND(":",Sync!$AF590)+1,2)),2),"0000"))))</f>
        <v/>
      </c>
    </row>
    <row r="591">
      <c r="A591">
        <f>IF(OR(Calc!$E595="",Calc!$E595="نامعتبر",Calc!$G595=""),"",Calc!$G595)</f>
        <v/>
      </c>
      <c r="B591">
        <f>IF($A591="","",LEFT(Calc!$E595,4)&amp;MID(Calc!$E595,6,2)&amp;RIGHT(Calc!$E595,2)&amp;Calc!$Q595&amp;"|"&amp;"1"&amp;RIGHT("00000"&amp;586,5))</f>
        <v/>
      </c>
      <c r="C591">
        <f>IF($B591="","",COUNTIFS(LdgSellerA,$A591,LdgKeyA,"&lt;"&amp;$B591)+COUNTIFS(LdgSellerB,$A591,LdgKeyB,"&lt;"&amp;$B591)+1)</f>
        <v/>
      </c>
      <c r="D591">
        <f>IF($C591="","",$A591&amp;"|"&amp;RIGHT("000000"&amp;$C591,6))</f>
        <v/>
      </c>
      <c r="F591">
        <f>IF(Sync!$AH591="","",IF(LEFT(UPPER(TRIM(Sync!$AH591)),2)="SL",UPPER(TRIM(Sync!$AH591)),""))</f>
        <v/>
      </c>
      <c r="G591">
        <f>IF($F591="","",IF(Sync!$AE591="","",IF(ISNUMBER(Sync!$AE591),IF(AND(Sync!$AE591&gt;=10000101,Sync!$AE591&lt;=99991231),INT(Sync!$AE591/10000),""),IFERROR(VALUE(TRIM(LEFT(Sync!$AE591,FIND("/",Sync!$AE591)-1))),""))))</f>
        <v/>
      </c>
      <c r="H591">
        <f>IF(OR($F591="",$G591=""),"",IF(ISNUMBER(Sync!$AE591),INT(MOD(Sync!$AE591,10000)/100),IFERROR(VALUE(TRIM(LEFT(MID(Sync!$AE591,FIND("/",Sync!$AE591)+1,20),FIND("/",MID(Sync!$AE591,FIND("/",Sync!$AE591)+1,20))-1))),"")))</f>
        <v/>
      </c>
      <c r="I591">
        <f>IF(OR($F591="",$G591=""),"",IF(ISNUMBER(Sync!$AE591),MOD(Sync!$AE591,100),IFERROR(VALUE(TRIM(MID(MID(Sync!$AE591,FIND("/",Sync!$AE591)+1,20),FIND("/",MID(Sync!$AE591,FIND("/",Sync!$AE591)+1,20))+1,20))),"")))</f>
        <v/>
      </c>
      <c r="J591">
        <f>IF($F591="","",IF(OR($G591="",$H591="",$I591="",$G591&lt;1300,$G591&gt;1500,$H591&lt;1,$H591&gt;12,$I591&lt;1,$I591&gt;31),"نامعتبر",RIGHT("0000"&amp;$G591,4)&amp;"/"&amp;RIGHT("00"&amp;$H591,2)&amp;"/"&amp;RIGHT("00"&amp;$I591,2)))</f>
        <v/>
      </c>
      <c r="K591">
        <f>IF(OR($F591="",$J591="",$J591="نامعتبر"),"",LEFT($J591,4)&amp;MID($J591,6,2)&amp;RIGHT($J591,2)&amp;$N591&amp;"|"&amp;"2"&amp;RIGHT("00000"&amp;586,5))</f>
        <v/>
      </c>
      <c r="L591">
        <f>IF($K591="","",COUNTIFS(LdgSellerA,$F591,LdgKeyA,"&lt;"&amp;$K591)+COUNTIFS(LdgSellerB,$F591,LdgKeyB,"&lt;"&amp;$K591)+1)</f>
        <v/>
      </c>
      <c r="M591">
        <f>IF($L591="","",$F591&amp;"|"&amp;RIGHT("000000"&amp;$L591,6))</f>
        <v/>
      </c>
      <c r="N591">
        <f>IF($F591="","",IF(Sync!$AF591="","0000",IF(AND(ISNUMBER(Sync!$AF591),Sync!$AF591&gt;=0,Sync!$AF591&lt;1),RIGHT("00"&amp;HOUR(Sync!$AF591),2)&amp;RIGHT("00"&amp;MINUTE(Sync!$AF591),2),IFERROR(RIGHT("00"&amp;VALUE(LEFT(Sync!$AF591,FIND(":",Sync!$AF591)-1)),2)&amp;RIGHT("00"&amp;VALUE(MID(Sync!$AF591,FIND(":",Sync!$AF591)+1,2)),2),"0000"))))</f>
        <v/>
      </c>
    </row>
    <row r="592">
      <c r="A592">
        <f>IF(OR(Calc!$E596="",Calc!$E596="نامعتبر",Calc!$G596=""),"",Calc!$G596)</f>
        <v/>
      </c>
      <c r="B592">
        <f>IF($A592="","",LEFT(Calc!$E596,4)&amp;MID(Calc!$E596,6,2)&amp;RIGHT(Calc!$E596,2)&amp;Calc!$Q596&amp;"|"&amp;"1"&amp;RIGHT("00000"&amp;587,5))</f>
        <v/>
      </c>
      <c r="C592">
        <f>IF($B592="","",COUNTIFS(LdgSellerA,$A592,LdgKeyA,"&lt;"&amp;$B592)+COUNTIFS(LdgSellerB,$A592,LdgKeyB,"&lt;"&amp;$B592)+1)</f>
        <v/>
      </c>
      <c r="D592">
        <f>IF($C592="","",$A592&amp;"|"&amp;RIGHT("000000"&amp;$C592,6))</f>
        <v/>
      </c>
      <c r="F592">
        <f>IF(Sync!$AH592="","",IF(LEFT(UPPER(TRIM(Sync!$AH592)),2)="SL",UPPER(TRIM(Sync!$AH592)),""))</f>
        <v/>
      </c>
      <c r="G592">
        <f>IF($F592="","",IF(Sync!$AE592="","",IF(ISNUMBER(Sync!$AE592),IF(AND(Sync!$AE592&gt;=10000101,Sync!$AE592&lt;=99991231),INT(Sync!$AE592/10000),""),IFERROR(VALUE(TRIM(LEFT(Sync!$AE592,FIND("/",Sync!$AE592)-1))),""))))</f>
        <v/>
      </c>
      <c r="H592">
        <f>IF(OR($F592="",$G592=""),"",IF(ISNUMBER(Sync!$AE592),INT(MOD(Sync!$AE592,10000)/100),IFERROR(VALUE(TRIM(LEFT(MID(Sync!$AE592,FIND("/",Sync!$AE592)+1,20),FIND("/",MID(Sync!$AE592,FIND("/",Sync!$AE592)+1,20))-1))),"")))</f>
        <v/>
      </c>
      <c r="I592">
        <f>IF(OR($F592="",$G592=""),"",IF(ISNUMBER(Sync!$AE592),MOD(Sync!$AE592,100),IFERROR(VALUE(TRIM(MID(MID(Sync!$AE592,FIND("/",Sync!$AE592)+1,20),FIND("/",MID(Sync!$AE592,FIND("/",Sync!$AE592)+1,20))+1,20))),"")))</f>
        <v/>
      </c>
      <c r="J592">
        <f>IF($F592="","",IF(OR($G592="",$H592="",$I592="",$G592&lt;1300,$G592&gt;1500,$H592&lt;1,$H592&gt;12,$I592&lt;1,$I592&gt;31),"نامعتبر",RIGHT("0000"&amp;$G592,4)&amp;"/"&amp;RIGHT("00"&amp;$H592,2)&amp;"/"&amp;RIGHT("00"&amp;$I592,2)))</f>
        <v/>
      </c>
      <c r="K592">
        <f>IF(OR($F592="",$J592="",$J592="نامعتبر"),"",LEFT($J592,4)&amp;MID($J592,6,2)&amp;RIGHT($J592,2)&amp;$N592&amp;"|"&amp;"2"&amp;RIGHT("00000"&amp;587,5))</f>
        <v/>
      </c>
      <c r="L592">
        <f>IF($K592="","",COUNTIFS(LdgSellerA,$F592,LdgKeyA,"&lt;"&amp;$K592)+COUNTIFS(LdgSellerB,$F592,LdgKeyB,"&lt;"&amp;$K592)+1)</f>
        <v/>
      </c>
      <c r="M592">
        <f>IF($L592="","",$F592&amp;"|"&amp;RIGHT("000000"&amp;$L592,6))</f>
        <v/>
      </c>
      <c r="N592">
        <f>IF($F592="","",IF(Sync!$AF592="","0000",IF(AND(ISNUMBER(Sync!$AF592),Sync!$AF592&gt;=0,Sync!$AF592&lt;1),RIGHT("00"&amp;HOUR(Sync!$AF592),2)&amp;RIGHT("00"&amp;MINUTE(Sync!$AF592),2),IFERROR(RIGHT("00"&amp;VALUE(LEFT(Sync!$AF592,FIND(":",Sync!$AF592)-1)),2)&amp;RIGHT("00"&amp;VALUE(MID(Sync!$AF592,FIND(":",Sync!$AF592)+1,2)),2),"0000"))))</f>
        <v/>
      </c>
    </row>
    <row r="593">
      <c r="A593">
        <f>IF(OR(Calc!$E597="",Calc!$E597="نامعتبر",Calc!$G597=""),"",Calc!$G597)</f>
        <v/>
      </c>
      <c r="B593">
        <f>IF($A593="","",LEFT(Calc!$E597,4)&amp;MID(Calc!$E597,6,2)&amp;RIGHT(Calc!$E597,2)&amp;Calc!$Q597&amp;"|"&amp;"1"&amp;RIGHT("00000"&amp;588,5))</f>
        <v/>
      </c>
      <c r="C593">
        <f>IF($B593="","",COUNTIFS(LdgSellerA,$A593,LdgKeyA,"&lt;"&amp;$B593)+COUNTIFS(LdgSellerB,$A593,LdgKeyB,"&lt;"&amp;$B593)+1)</f>
        <v/>
      </c>
      <c r="D593">
        <f>IF($C593="","",$A593&amp;"|"&amp;RIGHT("000000"&amp;$C593,6))</f>
        <v/>
      </c>
      <c r="F593">
        <f>IF(Sync!$AH593="","",IF(LEFT(UPPER(TRIM(Sync!$AH593)),2)="SL",UPPER(TRIM(Sync!$AH593)),""))</f>
        <v/>
      </c>
      <c r="G593">
        <f>IF($F593="","",IF(Sync!$AE593="","",IF(ISNUMBER(Sync!$AE593),IF(AND(Sync!$AE593&gt;=10000101,Sync!$AE593&lt;=99991231),INT(Sync!$AE593/10000),""),IFERROR(VALUE(TRIM(LEFT(Sync!$AE593,FIND("/",Sync!$AE593)-1))),""))))</f>
        <v/>
      </c>
      <c r="H593">
        <f>IF(OR($F593="",$G593=""),"",IF(ISNUMBER(Sync!$AE593),INT(MOD(Sync!$AE593,10000)/100),IFERROR(VALUE(TRIM(LEFT(MID(Sync!$AE593,FIND("/",Sync!$AE593)+1,20),FIND("/",MID(Sync!$AE593,FIND("/",Sync!$AE593)+1,20))-1))),"")))</f>
        <v/>
      </c>
      <c r="I593">
        <f>IF(OR($F593="",$G593=""),"",IF(ISNUMBER(Sync!$AE593),MOD(Sync!$AE593,100),IFERROR(VALUE(TRIM(MID(MID(Sync!$AE593,FIND("/",Sync!$AE593)+1,20),FIND("/",MID(Sync!$AE593,FIND("/",Sync!$AE593)+1,20))+1,20))),"")))</f>
        <v/>
      </c>
      <c r="J593">
        <f>IF($F593="","",IF(OR($G593="",$H593="",$I593="",$G593&lt;1300,$G593&gt;1500,$H593&lt;1,$H593&gt;12,$I593&lt;1,$I593&gt;31),"نامعتبر",RIGHT("0000"&amp;$G593,4)&amp;"/"&amp;RIGHT("00"&amp;$H593,2)&amp;"/"&amp;RIGHT("00"&amp;$I593,2)))</f>
        <v/>
      </c>
      <c r="K593">
        <f>IF(OR($F593="",$J593="",$J593="نامعتبر"),"",LEFT($J593,4)&amp;MID($J593,6,2)&amp;RIGHT($J593,2)&amp;$N593&amp;"|"&amp;"2"&amp;RIGHT("00000"&amp;588,5))</f>
        <v/>
      </c>
      <c r="L593">
        <f>IF($K593="","",COUNTIFS(LdgSellerA,$F593,LdgKeyA,"&lt;"&amp;$K593)+COUNTIFS(LdgSellerB,$F593,LdgKeyB,"&lt;"&amp;$K593)+1)</f>
        <v/>
      </c>
      <c r="M593">
        <f>IF($L593="","",$F593&amp;"|"&amp;RIGHT("000000"&amp;$L593,6))</f>
        <v/>
      </c>
      <c r="N593">
        <f>IF($F593="","",IF(Sync!$AF593="","0000",IF(AND(ISNUMBER(Sync!$AF593),Sync!$AF593&gt;=0,Sync!$AF593&lt;1),RIGHT("00"&amp;HOUR(Sync!$AF593),2)&amp;RIGHT("00"&amp;MINUTE(Sync!$AF593),2),IFERROR(RIGHT("00"&amp;VALUE(LEFT(Sync!$AF593,FIND(":",Sync!$AF593)-1)),2)&amp;RIGHT("00"&amp;VALUE(MID(Sync!$AF593,FIND(":",Sync!$AF593)+1,2)),2),"0000"))))</f>
        <v/>
      </c>
    </row>
    <row r="594">
      <c r="A594">
        <f>IF(OR(Calc!$E598="",Calc!$E598="نامعتبر",Calc!$G598=""),"",Calc!$G598)</f>
        <v/>
      </c>
      <c r="B594">
        <f>IF($A594="","",LEFT(Calc!$E598,4)&amp;MID(Calc!$E598,6,2)&amp;RIGHT(Calc!$E598,2)&amp;Calc!$Q598&amp;"|"&amp;"1"&amp;RIGHT("00000"&amp;589,5))</f>
        <v/>
      </c>
      <c r="C594">
        <f>IF($B594="","",COUNTIFS(LdgSellerA,$A594,LdgKeyA,"&lt;"&amp;$B594)+COUNTIFS(LdgSellerB,$A594,LdgKeyB,"&lt;"&amp;$B594)+1)</f>
        <v/>
      </c>
      <c r="D594">
        <f>IF($C594="","",$A594&amp;"|"&amp;RIGHT("000000"&amp;$C594,6))</f>
        <v/>
      </c>
      <c r="F594">
        <f>IF(Sync!$AH594="","",IF(LEFT(UPPER(TRIM(Sync!$AH594)),2)="SL",UPPER(TRIM(Sync!$AH594)),""))</f>
        <v/>
      </c>
      <c r="G594">
        <f>IF($F594="","",IF(Sync!$AE594="","",IF(ISNUMBER(Sync!$AE594),IF(AND(Sync!$AE594&gt;=10000101,Sync!$AE594&lt;=99991231),INT(Sync!$AE594/10000),""),IFERROR(VALUE(TRIM(LEFT(Sync!$AE594,FIND("/",Sync!$AE594)-1))),""))))</f>
        <v/>
      </c>
      <c r="H594">
        <f>IF(OR($F594="",$G594=""),"",IF(ISNUMBER(Sync!$AE594),INT(MOD(Sync!$AE594,10000)/100),IFERROR(VALUE(TRIM(LEFT(MID(Sync!$AE594,FIND("/",Sync!$AE594)+1,20),FIND("/",MID(Sync!$AE594,FIND("/",Sync!$AE594)+1,20))-1))),"")))</f>
        <v/>
      </c>
      <c r="I594">
        <f>IF(OR($F594="",$G594=""),"",IF(ISNUMBER(Sync!$AE594),MOD(Sync!$AE594,100),IFERROR(VALUE(TRIM(MID(MID(Sync!$AE594,FIND("/",Sync!$AE594)+1,20),FIND("/",MID(Sync!$AE594,FIND("/",Sync!$AE594)+1,20))+1,20))),"")))</f>
        <v/>
      </c>
      <c r="J594">
        <f>IF($F594="","",IF(OR($G594="",$H594="",$I594="",$G594&lt;1300,$G594&gt;1500,$H594&lt;1,$H594&gt;12,$I594&lt;1,$I594&gt;31),"نامعتبر",RIGHT("0000"&amp;$G594,4)&amp;"/"&amp;RIGHT("00"&amp;$H594,2)&amp;"/"&amp;RIGHT("00"&amp;$I594,2)))</f>
        <v/>
      </c>
      <c r="K594">
        <f>IF(OR($F594="",$J594="",$J594="نامعتبر"),"",LEFT($J594,4)&amp;MID($J594,6,2)&amp;RIGHT($J594,2)&amp;$N594&amp;"|"&amp;"2"&amp;RIGHT("00000"&amp;589,5))</f>
        <v/>
      </c>
      <c r="L594">
        <f>IF($K594="","",COUNTIFS(LdgSellerA,$F594,LdgKeyA,"&lt;"&amp;$K594)+COUNTIFS(LdgSellerB,$F594,LdgKeyB,"&lt;"&amp;$K594)+1)</f>
        <v/>
      </c>
      <c r="M594">
        <f>IF($L594="","",$F594&amp;"|"&amp;RIGHT("000000"&amp;$L594,6))</f>
        <v/>
      </c>
      <c r="N594">
        <f>IF($F594="","",IF(Sync!$AF594="","0000",IF(AND(ISNUMBER(Sync!$AF594),Sync!$AF594&gt;=0,Sync!$AF594&lt;1),RIGHT("00"&amp;HOUR(Sync!$AF594),2)&amp;RIGHT("00"&amp;MINUTE(Sync!$AF594),2),IFERROR(RIGHT("00"&amp;VALUE(LEFT(Sync!$AF594,FIND(":",Sync!$AF594)-1)),2)&amp;RIGHT("00"&amp;VALUE(MID(Sync!$AF594,FIND(":",Sync!$AF594)+1,2)),2),"0000"))))</f>
        <v/>
      </c>
    </row>
    <row r="595">
      <c r="A595">
        <f>IF(OR(Calc!$E599="",Calc!$E599="نامعتبر",Calc!$G599=""),"",Calc!$G599)</f>
        <v/>
      </c>
      <c r="B595">
        <f>IF($A595="","",LEFT(Calc!$E599,4)&amp;MID(Calc!$E599,6,2)&amp;RIGHT(Calc!$E599,2)&amp;Calc!$Q599&amp;"|"&amp;"1"&amp;RIGHT("00000"&amp;590,5))</f>
        <v/>
      </c>
      <c r="C595">
        <f>IF($B595="","",COUNTIFS(LdgSellerA,$A595,LdgKeyA,"&lt;"&amp;$B595)+COUNTIFS(LdgSellerB,$A595,LdgKeyB,"&lt;"&amp;$B595)+1)</f>
        <v/>
      </c>
      <c r="D595">
        <f>IF($C595="","",$A595&amp;"|"&amp;RIGHT("000000"&amp;$C595,6))</f>
        <v/>
      </c>
      <c r="F595">
        <f>IF(Sync!$AH595="","",IF(LEFT(UPPER(TRIM(Sync!$AH595)),2)="SL",UPPER(TRIM(Sync!$AH595)),""))</f>
        <v/>
      </c>
      <c r="G595">
        <f>IF($F595="","",IF(Sync!$AE595="","",IF(ISNUMBER(Sync!$AE595),IF(AND(Sync!$AE595&gt;=10000101,Sync!$AE595&lt;=99991231),INT(Sync!$AE595/10000),""),IFERROR(VALUE(TRIM(LEFT(Sync!$AE595,FIND("/",Sync!$AE595)-1))),""))))</f>
        <v/>
      </c>
      <c r="H595">
        <f>IF(OR($F595="",$G595=""),"",IF(ISNUMBER(Sync!$AE595),INT(MOD(Sync!$AE595,10000)/100),IFERROR(VALUE(TRIM(LEFT(MID(Sync!$AE595,FIND("/",Sync!$AE595)+1,20),FIND("/",MID(Sync!$AE595,FIND("/",Sync!$AE595)+1,20))-1))),"")))</f>
        <v/>
      </c>
      <c r="I595">
        <f>IF(OR($F595="",$G595=""),"",IF(ISNUMBER(Sync!$AE595),MOD(Sync!$AE595,100),IFERROR(VALUE(TRIM(MID(MID(Sync!$AE595,FIND("/",Sync!$AE595)+1,20),FIND("/",MID(Sync!$AE595,FIND("/",Sync!$AE595)+1,20))+1,20))),"")))</f>
        <v/>
      </c>
      <c r="J595">
        <f>IF($F595="","",IF(OR($G595="",$H595="",$I595="",$G595&lt;1300,$G595&gt;1500,$H595&lt;1,$H595&gt;12,$I595&lt;1,$I595&gt;31),"نامعتبر",RIGHT("0000"&amp;$G595,4)&amp;"/"&amp;RIGHT("00"&amp;$H595,2)&amp;"/"&amp;RIGHT("00"&amp;$I595,2)))</f>
        <v/>
      </c>
      <c r="K595">
        <f>IF(OR($F595="",$J595="",$J595="نامعتبر"),"",LEFT($J595,4)&amp;MID($J595,6,2)&amp;RIGHT($J595,2)&amp;$N595&amp;"|"&amp;"2"&amp;RIGHT("00000"&amp;590,5))</f>
        <v/>
      </c>
      <c r="L595">
        <f>IF($K595="","",COUNTIFS(LdgSellerA,$F595,LdgKeyA,"&lt;"&amp;$K595)+COUNTIFS(LdgSellerB,$F595,LdgKeyB,"&lt;"&amp;$K595)+1)</f>
        <v/>
      </c>
      <c r="M595">
        <f>IF($L595="","",$F595&amp;"|"&amp;RIGHT("000000"&amp;$L595,6))</f>
        <v/>
      </c>
      <c r="N595">
        <f>IF($F595="","",IF(Sync!$AF595="","0000",IF(AND(ISNUMBER(Sync!$AF595),Sync!$AF595&gt;=0,Sync!$AF595&lt;1),RIGHT("00"&amp;HOUR(Sync!$AF595),2)&amp;RIGHT("00"&amp;MINUTE(Sync!$AF595),2),IFERROR(RIGHT("00"&amp;VALUE(LEFT(Sync!$AF595,FIND(":",Sync!$AF595)-1)),2)&amp;RIGHT("00"&amp;VALUE(MID(Sync!$AF595,FIND(":",Sync!$AF595)+1,2)),2),"0000"))))</f>
        <v/>
      </c>
    </row>
    <row r="596">
      <c r="A596">
        <f>IF(OR(Calc!$E600="",Calc!$E600="نامعتبر",Calc!$G600=""),"",Calc!$G600)</f>
        <v/>
      </c>
      <c r="B596">
        <f>IF($A596="","",LEFT(Calc!$E600,4)&amp;MID(Calc!$E600,6,2)&amp;RIGHT(Calc!$E600,2)&amp;Calc!$Q600&amp;"|"&amp;"1"&amp;RIGHT("00000"&amp;591,5))</f>
        <v/>
      </c>
      <c r="C596">
        <f>IF($B596="","",COUNTIFS(LdgSellerA,$A596,LdgKeyA,"&lt;"&amp;$B596)+COUNTIFS(LdgSellerB,$A596,LdgKeyB,"&lt;"&amp;$B596)+1)</f>
        <v/>
      </c>
      <c r="D596">
        <f>IF($C596="","",$A596&amp;"|"&amp;RIGHT("000000"&amp;$C596,6))</f>
        <v/>
      </c>
      <c r="F596">
        <f>IF(Sync!$AH596="","",IF(LEFT(UPPER(TRIM(Sync!$AH596)),2)="SL",UPPER(TRIM(Sync!$AH596)),""))</f>
        <v/>
      </c>
      <c r="G596">
        <f>IF($F596="","",IF(Sync!$AE596="","",IF(ISNUMBER(Sync!$AE596),IF(AND(Sync!$AE596&gt;=10000101,Sync!$AE596&lt;=99991231),INT(Sync!$AE596/10000),""),IFERROR(VALUE(TRIM(LEFT(Sync!$AE596,FIND("/",Sync!$AE596)-1))),""))))</f>
        <v/>
      </c>
      <c r="H596">
        <f>IF(OR($F596="",$G596=""),"",IF(ISNUMBER(Sync!$AE596),INT(MOD(Sync!$AE596,10000)/100),IFERROR(VALUE(TRIM(LEFT(MID(Sync!$AE596,FIND("/",Sync!$AE596)+1,20),FIND("/",MID(Sync!$AE596,FIND("/",Sync!$AE596)+1,20))-1))),"")))</f>
        <v/>
      </c>
      <c r="I596">
        <f>IF(OR($F596="",$G596=""),"",IF(ISNUMBER(Sync!$AE596),MOD(Sync!$AE596,100),IFERROR(VALUE(TRIM(MID(MID(Sync!$AE596,FIND("/",Sync!$AE596)+1,20),FIND("/",MID(Sync!$AE596,FIND("/",Sync!$AE596)+1,20))+1,20))),"")))</f>
        <v/>
      </c>
      <c r="J596">
        <f>IF($F596="","",IF(OR($G596="",$H596="",$I596="",$G596&lt;1300,$G596&gt;1500,$H596&lt;1,$H596&gt;12,$I596&lt;1,$I596&gt;31),"نامعتبر",RIGHT("0000"&amp;$G596,4)&amp;"/"&amp;RIGHT("00"&amp;$H596,2)&amp;"/"&amp;RIGHT("00"&amp;$I596,2)))</f>
        <v/>
      </c>
      <c r="K596">
        <f>IF(OR($F596="",$J596="",$J596="نامعتبر"),"",LEFT($J596,4)&amp;MID($J596,6,2)&amp;RIGHT($J596,2)&amp;$N596&amp;"|"&amp;"2"&amp;RIGHT("00000"&amp;591,5))</f>
        <v/>
      </c>
      <c r="L596">
        <f>IF($K596="","",COUNTIFS(LdgSellerA,$F596,LdgKeyA,"&lt;"&amp;$K596)+COUNTIFS(LdgSellerB,$F596,LdgKeyB,"&lt;"&amp;$K596)+1)</f>
        <v/>
      </c>
      <c r="M596">
        <f>IF($L596="","",$F596&amp;"|"&amp;RIGHT("000000"&amp;$L596,6))</f>
        <v/>
      </c>
      <c r="N596">
        <f>IF($F596="","",IF(Sync!$AF596="","0000",IF(AND(ISNUMBER(Sync!$AF596),Sync!$AF596&gt;=0,Sync!$AF596&lt;1),RIGHT("00"&amp;HOUR(Sync!$AF596),2)&amp;RIGHT("00"&amp;MINUTE(Sync!$AF596),2),IFERROR(RIGHT("00"&amp;VALUE(LEFT(Sync!$AF596,FIND(":",Sync!$AF596)-1)),2)&amp;RIGHT("00"&amp;VALUE(MID(Sync!$AF596,FIND(":",Sync!$AF596)+1,2)),2),"0000"))))</f>
        <v/>
      </c>
    </row>
    <row r="597">
      <c r="A597">
        <f>IF(OR(Calc!$E601="",Calc!$E601="نامعتبر",Calc!$G601=""),"",Calc!$G601)</f>
        <v/>
      </c>
      <c r="B597">
        <f>IF($A597="","",LEFT(Calc!$E601,4)&amp;MID(Calc!$E601,6,2)&amp;RIGHT(Calc!$E601,2)&amp;Calc!$Q601&amp;"|"&amp;"1"&amp;RIGHT("00000"&amp;592,5))</f>
        <v/>
      </c>
      <c r="C597">
        <f>IF($B597="","",COUNTIFS(LdgSellerA,$A597,LdgKeyA,"&lt;"&amp;$B597)+COUNTIFS(LdgSellerB,$A597,LdgKeyB,"&lt;"&amp;$B597)+1)</f>
        <v/>
      </c>
      <c r="D597">
        <f>IF($C597="","",$A597&amp;"|"&amp;RIGHT("000000"&amp;$C597,6))</f>
        <v/>
      </c>
      <c r="F597">
        <f>IF(Sync!$AH597="","",IF(LEFT(UPPER(TRIM(Sync!$AH597)),2)="SL",UPPER(TRIM(Sync!$AH597)),""))</f>
        <v/>
      </c>
      <c r="G597">
        <f>IF($F597="","",IF(Sync!$AE597="","",IF(ISNUMBER(Sync!$AE597),IF(AND(Sync!$AE597&gt;=10000101,Sync!$AE597&lt;=99991231),INT(Sync!$AE597/10000),""),IFERROR(VALUE(TRIM(LEFT(Sync!$AE597,FIND("/",Sync!$AE597)-1))),""))))</f>
        <v/>
      </c>
      <c r="H597">
        <f>IF(OR($F597="",$G597=""),"",IF(ISNUMBER(Sync!$AE597),INT(MOD(Sync!$AE597,10000)/100),IFERROR(VALUE(TRIM(LEFT(MID(Sync!$AE597,FIND("/",Sync!$AE597)+1,20),FIND("/",MID(Sync!$AE597,FIND("/",Sync!$AE597)+1,20))-1))),"")))</f>
        <v/>
      </c>
      <c r="I597">
        <f>IF(OR($F597="",$G597=""),"",IF(ISNUMBER(Sync!$AE597),MOD(Sync!$AE597,100),IFERROR(VALUE(TRIM(MID(MID(Sync!$AE597,FIND("/",Sync!$AE597)+1,20),FIND("/",MID(Sync!$AE597,FIND("/",Sync!$AE597)+1,20))+1,20))),"")))</f>
        <v/>
      </c>
      <c r="J597">
        <f>IF($F597="","",IF(OR($G597="",$H597="",$I597="",$G597&lt;1300,$G597&gt;1500,$H597&lt;1,$H597&gt;12,$I597&lt;1,$I597&gt;31),"نامعتبر",RIGHT("0000"&amp;$G597,4)&amp;"/"&amp;RIGHT("00"&amp;$H597,2)&amp;"/"&amp;RIGHT("00"&amp;$I597,2)))</f>
        <v/>
      </c>
      <c r="K597">
        <f>IF(OR($F597="",$J597="",$J597="نامعتبر"),"",LEFT($J597,4)&amp;MID($J597,6,2)&amp;RIGHT($J597,2)&amp;$N597&amp;"|"&amp;"2"&amp;RIGHT("00000"&amp;592,5))</f>
        <v/>
      </c>
      <c r="L597">
        <f>IF($K597="","",COUNTIFS(LdgSellerA,$F597,LdgKeyA,"&lt;"&amp;$K597)+COUNTIFS(LdgSellerB,$F597,LdgKeyB,"&lt;"&amp;$K597)+1)</f>
        <v/>
      </c>
      <c r="M597">
        <f>IF($L597="","",$F597&amp;"|"&amp;RIGHT("000000"&amp;$L597,6))</f>
        <v/>
      </c>
      <c r="N597">
        <f>IF($F597="","",IF(Sync!$AF597="","0000",IF(AND(ISNUMBER(Sync!$AF597),Sync!$AF597&gt;=0,Sync!$AF597&lt;1),RIGHT("00"&amp;HOUR(Sync!$AF597),2)&amp;RIGHT("00"&amp;MINUTE(Sync!$AF597),2),IFERROR(RIGHT("00"&amp;VALUE(LEFT(Sync!$AF597,FIND(":",Sync!$AF597)-1)),2)&amp;RIGHT("00"&amp;VALUE(MID(Sync!$AF597,FIND(":",Sync!$AF597)+1,2)),2),"0000"))))</f>
        <v/>
      </c>
    </row>
    <row r="598">
      <c r="A598">
        <f>IF(OR(Calc!$E602="",Calc!$E602="نامعتبر",Calc!$G602=""),"",Calc!$G602)</f>
        <v/>
      </c>
      <c r="B598">
        <f>IF($A598="","",LEFT(Calc!$E602,4)&amp;MID(Calc!$E602,6,2)&amp;RIGHT(Calc!$E602,2)&amp;Calc!$Q602&amp;"|"&amp;"1"&amp;RIGHT("00000"&amp;593,5))</f>
        <v/>
      </c>
      <c r="C598">
        <f>IF($B598="","",COUNTIFS(LdgSellerA,$A598,LdgKeyA,"&lt;"&amp;$B598)+COUNTIFS(LdgSellerB,$A598,LdgKeyB,"&lt;"&amp;$B598)+1)</f>
        <v/>
      </c>
      <c r="D598">
        <f>IF($C598="","",$A598&amp;"|"&amp;RIGHT("000000"&amp;$C598,6))</f>
        <v/>
      </c>
      <c r="F598">
        <f>IF(Sync!$AH598="","",IF(LEFT(UPPER(TRIM(Sync!$AH598)),2)="SL",UPPER(TRIM(Sync!$AH598)),""))</f>
        <v/>
      </c>
      <c r="G598">
        <f>IF($F598="","",IF(Sync!$AE598="","",IF(ISNUMBER(Sync!$AE598),IF(AND(Sync!$AE598&gt;=10000101,Sync!$AE598&lt;=99991231),INT(Sync!$AE598/10000),""),IFERROR(VALUE(TRIM(LEFT(Sync!$AE598,FIND("/",Sync!$AE598)-1))),""))))</f>
        <v/>
      </c>
      <c r="H598">
        <f>IF(OR($F598="",$G598=""),"",IF(ISNUMBER(Sync!$AE598),INT(MOD(Sync!$AE598,10000)/100),IFERROR(VALUE(TRIM(LEFT(MID(Sync!$AE598,FIND("/",Sync!$AE598)+1,20),FIND("/",MID(Sync!$AE598,FIND("/",Sync!$AE598)+1,20))-1))),"")))</f>
        <v/>
      </c>
      <c r="I598">
        <f>IF(OR($F598="",$G598=""),"",IF(ISNUMBER(Sync!$AE598),MOD(Sync!$AE598,100),IFERROR(VALUE(TRIM(MID(MID(Sync!$AE598,FIND("/",Sync!$AE598)+1,20),FIND("/",MID(Sync!$AE598,FIND("/",Sync!$AE598)+1,20))+1,20))),"")))</f>
        <v/>
      </c>
      <c r="J598">
        <f>IF($F598="","",IF(OR($G598="",$H598="",$I598="",$G598&lt;1300,$G598&gt;1500,$H598&lt;1,$H598&gt;12,$I598&lt;1,$I598&gt;31),"نامعتبر",RIGHT("0000"&amp;$G598,4)&amp;"/"&amp;RIGHT("00"&amp;$H598,2)&amp;"/"&amp;RIGHT("00"&amp;$I598,2)))</f>
        <v/>
      </c>
      <c r="K598">
        <f>IF(OR($F598="",$J598="",$J598="نامعتبر"),"",LEFT($J598,4)&amp;MID($J598,6,2)&amp;RIGHT($J598,2)&amp;$N598&amp;"|"&amp;"2"&amp;RIGHT("00000"&amp;593,5))</f>
        <v/>
      </c>
      <c r="L598">
        <f>IF($K598="","",COUNTIFS(LdgSellerA,$F598,LdgKeyA,"&lt;"&amp;$K598)+COUNTIFS(LdgSellerB,$F598,LdgKeyB,"&lt;"&amp;$K598)+1)</f>
        <v/>
      </c>
      <c r="M598">
        <f>IF($L598="","",$F598&amp;"|"&amp;RIGHT("000000"&amp;$L598,6))</f>
        <v/>
      </c>
      <c r="N598">
        <f>IF($F598="","",IF(Sync!$AF598="","0000",IF(AND(ISNUMBER(Sync!$AF598),Sync!$AF598&gt;=0,Sync!$AF598&lt;1),RIGHT("00"&amp;HOUR(Sync!$AF598),2)&amp;RIGHT("00"&amp;MINUTE(Sync!$AF598),2),IFERROR(RIGHT("00"&amp;VALUE(LEFT(Sync!$AF598,FIND(":",Sync!$AF598)-1)),2)&amp;RIGHT("00"&amp;VALUE(MID(Sync!$AF598,FIND(":",Sync!$AF598)+1,2)),2),"0000"))))</f>
        <v/>
      </c>
    </row>
    <row r="599">
      <c r="A599">
        <f>IF(OR(Calc!$E603="",Calc!$E603="نامعتبر",Calc!$G603=""),"",Calc!$G603)</f>
        <v/>
      </c>
      <c r="B599">
        <f>IF($A599="","",LEFT(Calc!$E603,4)&amp;MID(Calc!$E603,6,2)&amp;RIGHT(Calc!$E603,2)&amp;Calc!$Q603&amp;"|"&amp;"1"&amp;RIGHT("00000"&amp;594,5))</f>
        <v/>
      </c>
      <c r="C599">
        <f>IF($B599="","",COUNTIFS(LdgSellerA,$A599,LdgKeyA,"&lt;"&amp;$B599)+COUNTIFS(LdgSellerB,$A599,LdgKeyB,"&lt;"&amp;$B599)+1)</f>
        <v/>
      </c>
      <c r="D599">
        <f>IF($C599="","",$A599&amp;"|"&amp;RIGHT("000000"&amp;$C599,6))</f>
        <v/>
      </c>
      <c r="F599">
        <f>IF(Sync!$AH599="","",IF(LEFT(UPPER(TRIM(Sync!$AH599)),2)="SL",UPPER(TRIM(Sync!$AH599)),""))</f>
        <v/>
      </c>
      <c r="G599">
        <f>IF($F599="","",IF(Sync!$AE599="","",IF(ISNUMBER(Sync!$AE599),IF(AND(Sync!$AE599&gt;=10000101,Sync!$AE599&lt;=99991231),INT(Sync!$AE599/10000),""),IFERROR(VALUE(TRIM(LEFT(Sync!$AE599,FIND("/",Sync!$AE599)-1))),""))))</f>
        <v/>
      </c>
      <c r="H599">
        <f>IF(OR($F599="",$G599=""),"",IF(ISNUMBER(Sync!$AE599),INT(MOD(Sync!$AE599,10000)/100),IFERROR(VALUE(TRIM(LEFT(MID(Sync!$AE599,FIND("/",Sync!$AE599)+1,20),FIND("/",MID(Sync!$AE599,FIND("/",Sync!$AE599)+1,20))-1))),"")))</f>
        <v/>
      </c>
      <c r="I599">
        <f>IF(OR($F599="",$G599=""),"",IF(ISNUMBER(Sync!$AE599),MOD(Sync!$AE599,100),IFERROR(VALUE(TRIM(MID(MID(Sync!$AE599,FIND("/",Sync!$AE599)+1,20),FIND("/",MID(Sync!$AE599,FIND("/",Sync!$AE599)+1,20))+1,20))),"")))</f>
        <v/>
      </c>
      <c r="J599">
        <f>IF($F599="","",IF(OR($G599="",$H599="",$I599="",$G599&lt;1300,$G599&gt;1500,$H599&lt;1,$H599&gt;12,$I599&lt;1,$I599&gt;31),"نامعتبر",RIGHT("0000"&amp;$G599,4)&amp;"/"&amp;RIGHT("00"&amp;$H599,2)&amp;"/"&amp;RIGHT("00"&amp;$I599,2)))</f>
        <v/>
      </c>
      <c r="K599">
        <f>IF(OR($F599="",$J599="",$J599="نامعتبر"),"",LEFT($J599,4)&amp;MID($J599,6,2)&amp;RIGHT($J599,2)&amp;$N599&amp;"|"&amp;"2"&amp;RIGHT("00000"&amp;594,5))</f>
        <v/>
      </c>
      <c r="L599">
        <f>IF($K599="","",COUNTIFS(LdgSellerA,$F599,LdgKeyA,"&lt;"&amp;$K599)+COUNTIFS(LdgSellerB,$F599,LdgKeyB,"&lt;"&amp;$K599)+1)</f>
        <v/>
      </c>
      <c r="M599">
        <f>IF($L599="","",$F599&amp;"|"&amp;RIGHT("000000"&amp;$L599,6))</f>
        <v/>
      </c>
      <c r="N599">
        <f>IF($F599="","",IF(Sync!$AF599="","0000",IF(AND(ISNUMBER(Sync!$AF599),Sync!$AF599&gt;=0,Sync!$AF599&lt;1),RIGHT("00"&amp;HOUR(Sync!$AF599),2)&amp;RIGHT("00"&amp;MINUTE(Sync!$AF599),2),IFERROR(RIGHT("00"&amp;VALUE(LEFT(Sync!$AF599,FIND(":",Sync!$AF599)-1)),2)&amp;RIGHT("00"&amp;VALUE(MID(Sync!$AF599,FIND(":",Sync!$AF599)+1,2)),2),"0000"))))</f>
        <v/>
      </c>
    </row>
    <row r="600">
      <c r="A600">
        <f>IF(OR(Calc!$E604="",Calc!$E604="نامعتبر",Calc!$G604=""),"",Calc!$G604)</f>
        <v/>
      </c>
      <c r="B600">
        <f>IF($A600="","",LEFT(Calc!$E604,4)&amp;MID(Calc!$E604,6,2)&amp;RIGHT(Calc!$E604,2)&amp;Calc!$Q604&amp;"|"&amp;"1"&amp;RIGHT("00000"&amp;595,5))</f>
        <v/>
      </c>
      <c r="C600">
        <f>IF($B600="","",COUNTIFS(LdgSellerA,$A600,LdgKeyA,"&lt;"&amp;$B600)+COUNTIFS(LdgSellerB,$A600,LdgKeyB,"&lt;"&amp;$B600)+1)</f>
        <v/>
      </c>
      <c r="D600">
        <f>IF($C600="","",$A600&amp;"|"&amp;RIGHT("000000"&amp;$C600,6))</f>
        <v/>
      </c>
      <c r="F600">
        <f>IF(Sync!$AH600="","",IF(LEFT(UPPER(TRIM(Sync!$AH600)),2)="SL",UPPER(TRIM(Sync!$AH600)),""))</f>
        <v/>
      </c>
      <c r="G600">
        <f>IF($F600="","",IF(Sync!$AE600="","",IF(ISNUMBER(Sync!$AE600),IF(AND(Sync!$AE600&gt;=10000101,Sync!$AE600&lt;=99991231),INT(Sync!$AE600/10000),""),IFERROR(VALUE(TRIM(LEFT(Sync!$AE600,FIND("/",Sync!$AE600)-1))),""))))</f>
        <v/>
      </c>
      <c r="H600">
        <f>IF(OR($F600="",$G600=""),"",IF(ISNUMBER(Sync!$AE600),INT(MOD(Sync!$AE600,10000)/100),IFERROR(VALUE(TRIM(LEFT(MID(Sync!$AE600,FIND("/",Sync!$AE600)+1,20),FIND("/",MID(Sync!$AE600,FIND("/",Sync!$AE600)+1,20))-1))),"")))</f>
        <v/>
      </c>
      <c r="I600">
        <f>IF(OR($F600="",$G600=""),"",IF(ISNUMBER(Sync!$AE600),MOD(Sync!$AE600,100),IFERROR(VALUE(TRIM(MID(MID(Sync!$AE600,FIND("/",Sync!$AE600)+1,20),FIND("/",MID(Sync!$AE600,FIND("/",Sync!$AE600)+1,20))+1,20))),"")))</f>
        <v/>
      </c>
      <c r="J600">
        <f>IF($F600="","",IF(OR($G600="",$H600="",$I600="",$G600&lt;1300,$G600&gt;1500,$H600&lt;1,$H600&gt;12,$I600&lt;1,$I600&gt;31),"نامعتبر",RIGHT("0000"&amp;$G600,4)&amp;"/"&amp;RIGHT("00"&amp;$H600,2)&amp;"/"&amp;RIGHT("00"&amp;$I600,2)))</f>
        <v/>
      </c>
      <c r="K600">
        <f>IF(OR($F600="",$J600="",$J600="نامعتبر"),"",LEFT($J600,4)&amp;MID($J600,6,2)&amp;RIGHT($J600,2)&amp;$N600&amp;"|"&amp;"2"&amp;RIGHT("00000"&amp;595,5))</f>
        <v/>
      </c>
      <c r="L600">
        <f>IF($K600="","",COUNTIFS(LdgSellerA,$F600,LdgKeyA,"&lt;"&amp;$K600)+COUNTIFS(LdgSellerB,$F600,LdgKeyB,"&lt;"&amp;$K600)+1)</f>
        <v/>
      </c>
      <c r="M600">
        <f>IF($L600="","",$F600&amp;"|"&amp;RIGHT("000000"&amp;$L600,6))</f>
        <v/>
      </c>
      <c r="N600">
        <f>IF($F600="","",IF(Sync!$AF600="","0000",IF(AND(ISNUMBER(Sync!$AF600),Sync!$AF600&gt;=0,Sync!$AF600&lt;1),RIGHT("00"&amp;HOUR(Sync!$AF600),2)&amp;RIGHT("00"&amp;MINUTE(Sync!$AF600),2),IFERROR(RIGHT("00"&amp;VALUE(LEFT(Sync!$AF600,FIND(":",Sync!$AF600)-1)),2)&amp;RIGHT("00"&amp;VALUE(MID(Sync!$AF600,FIND(":",Sync!$AF600)+1,2)),2),"0000"))))</f>
        <v/>
      </c>
    </row>
    <row r="601">
      <c r="A601">
        <f>IF(OR(Calc!$E605="",Calc!$E605="نامعتبر",Calc!$G605=""),"",Calc!$G605)</f>
        <v/>
      </c>
      <c r="B601">
        <f>IF($A601="","",LEFT(Calc!$E605,4)&amp;MID(Calc!$E605,6,2)&amp;RIGHT(Calc!$E605,2)&amp;Calc!$Q605&amp;"|"&amp;"1"&amp;RIGHT("00000"&amp;596,5))</f>
        <v/>
      </c>
      <c r="C601">
        <f>IF($B601="","",COUNTIFS(LdgSellerA,$A601,LdgKeyA,"&lt;"&amp;$B601)+COUNTIFS(LdgSellerB,$A601,LdgKeyB,"&lt;"&amp;$B601)+1)</f>
        <v/>
      </c>
      <c r="D601">
        <f>IF($C601="","",$A601&amp;"|"&amp;RIGHT("000000"&amp;$C601,6))</f>
        <v/>
      </c>
      <c r="F601">
        <f>IF(Sync!$AH601="","",IF(LEFT(UPPER(TRIM(Sync!$AH601)),2)="SL",UPPER(TRIM(Sync!$AH601)),""))</f>
        <v/>
      </c>
      <c r="G601">
        <f>IF($F601="","",IF(Sync!$AE601="","",IF(ISNUMBER(Sync!$AE601),IF(AND(Sync!$AE601&gt;=10000101,Sync!$AE601&lt;=99991231),INT(Sync!$AE601/10000),""),IFERROR(VALUE(TRIM(LEFT(Sync!$AE601,FIND("/",Sync!$AE601)-1))),""))))</f>
        <v/>
      </c>
      <c r="H601">
        <f>IF(OR($F601="",$G601=""),"",IF(ISNUMBER(Sync!$AE601),INT(MOD(Sync!$AE601,10000)/100),IFERROR(VALUE(TRIM(LEFT(MID(Sync!$AE601,FIND("/",Sync!$AE601)+1,20),FIND("/",MID(Sync!$AE601,FIND("/",Sync!$AE601)+1,20))-1))),"")))</f>
        <v/>
      </c>
      <c r="I601">
        <f>IF(OR($F601="",$G601=""),"",IF(ISNUMBER(Sync!$AE601),MOD(Sync!$AE601,100),IFERROR(VALUE(TRIM(MID(MID(Sync!$AE601,FIND("/",Sync!$AE601)+1,20),FIND("/",MID(Sync!$AE601,FIND("/",Sync!$AE601)+1,20))+1,20))),"")))</f>
        <v/>
      </c>
      <c r="J601">
        <f>IF($F601="","",IF(OR($G601="",$H601="",$I601="",$G601&lt;1300,$G601&gt;1500,$H601&lt;1,$H601&gt;12,$I601&lt;1,$I601&gt;31),"نامعتبر",RIGHT("0000"&amp;$G601,4)&amp;"/"&amp;RIGHT("00"&amp;$H601,2)&amp;"/"&amp;RIGHT("00"&amp;$I601,2)))</f>
        <v/>
      </c>
      <c r="K601">
        <f>IF(OR($F601="",$J601="",$J601="نامعتبر"),"",LEFT($J601,4)&amp;MID($J601,6,2)&amp;RIGHT($J601,2)&amp;$N601&amp;"|"&amp;"2"&amp;RIGHT("00000"&amp;596,5))</f>
        <v/>
      </c>
      <c r="L601">
        <f>IF($K601="","",COUNTIFS(LdgSellerA,$F601,LdgKeyA,"&lt;"&amp;$K601)+COUNTIFS(LdgSellerB,$F601,LdgKeyB,"&lt;"&amp;$K601)+1)</f>
        <v/>
      </c>
      <c r="M601">
        <f>IF($L601="","",$F601&amp;"|"&amp;RIGHT("000000"&amp;$L601,6))</f>
        <v/>
      </c>
      <c r="N601">
        <f>IF($F601="","",IF(Sync!$AF601="","0000",IF(AND(ISNUMBER(Sync!$AF601),Sync!$AF601&gt;=0,Sync!$AF601&lt;1),RIGHT("00"&amp;HOUR(Sync!$AF601),2)&amp;RIGHT("00"&amp;MINUTE(Sync!$AF601),2),IFERROR(RIGHT("00"&amp;VALUE(LEFT(Sync!$AF601,FIND(":",Sync!$AF601)-1)),2)&amp;RIGHT("00"&amp;VALUE(MID(Sync!$AF601,FIND(":",Sync!$AF601)+1,2)),2),"0000"))))</f>
        <v/>
      </c>
    </row>
    <row r="602">
      <c r="A602">
        <f>IF(OR(Calc!$E606="",Calc!$E606="نامعتبر",Calc!$G606=""),"",Calc!$G606)</f>
        <v/>
      </c>
      <c r="B602">
        <f>IF($A602="","",LEFT(Calc!$E606,4)&amp;MID(Calc!$E606,6,2)&amp;RIGHT(Calc!$E606,2)&amp;Calc!$Q606&amp;"|"&amp;"1"&amp;RIGHT("00000"&amp;597,5))</f>
        <v/>
      </c>
      <c r="C602">
        <f>IF($B602="","",COUNTIFS(LdgSellerA,$A602,LdgKeyA,"&lt;"&amp;$B602)+COUNTIFS(LdgSellerB,$A602,LdgKeyB,"&lt;"&amp;$B602)+1)</f>
        <v/>
      </c>
      <c r="D602">
        <f>IF($C602="","",$A602&amp;"|"&amp;RIGHT("000000"&amp;$C602,6))</f>
        <v/>
      </c>
      <c r="F602">
        <f>IF(Sync!$AH602="","",IF(LEFT(UPPER(TRIM(Sync!$AH602)),2)="SL",UPPER(TRIM(Sync!$AH602)),""))</f>
        <v/>
      </c>
      <c r="G602">
        <f>IF($F602="","",IF(Sync!$AE602="","",IF(ISNUMBER(Sync!$AE602),IF(AND(Sync!$AE602&gt;=10000101,Sync!$AE602&lt;=99991231),INT(Sync!$AE602/10000),""),IFERROR(VALUE(TRIM(LEFT(Sync!$AE602,FIND("/",Sync!$AE602)-1))),""))))</f>
        <v/>
      </c>
      <c r="H602">
        <f>IF(OR($F602="",$G602=""),"",IF(ISNUMBER(Sync!$AE602),INT(MOD(Sync!$AE602,10000)/100),IFERROR(VALUE(TRIM(LEFT(MID(Sync!$AE602,FIND("/",Sync!$AE602)+1,20),FIND("/",MID(Sync!$AE602,FIND("/",Sync!$AE602)+1,20))-1))),"")))</f>
        <v/>
      </c>
      <c r="I602">
        <f>IF(OR($F602="",$G602=""),"",IF(ISNUMBER(Sync!$AE602),MOD(Sync!$AE602,100),IFERROR(VALUE(TRIM(MID(MID(Sync!$AE602,FIND("/",Sync!$AE602)+1,20),FIND("/",MID(Sync!$AE602,FIND("/",Sync!$AE602)+1,20))+1,20))),"")))</f>
        <v/>
      </c>
      <c r="J602">
        <f>IF($F602="","",IF(OR($G602="",$H602="",$I602="",$G602&lt;1300,$G602&gt;1500,$H602&lt;1,$H602&gt;12,$I602&lt;1,$I602&gt;31),"نامعتبر",RIGHT("0000"&amp;$G602,4)&amp;"/"&amp;RIGHT("00"&amp;$H602,2)&amp;"/"&amp;RIGHT("00"&amp;$I602,2)))</f>
        <v/>
      </c>
      <c r="K602">
        <f>IF(OR($F602="",$J602="",$J602="نامعتبر"),"",LEFT($J602,4)&amp;MID($J602,6,2)&amp;RIGHT($J602,2)&amp;$N602&amp;"|"&amp;"2"&amp;RIGHT("00000"&amp;597,5))</f>
        <v/>
      </c>
      <c r="L602">
        <f>IF($K602="","",COUNTIFS(LdgSellerA,$F602,LdgKeyA,"&lt;"&amp;$K602)+COUNTIFS(LdgSellerB,$F602,LdgKeyB,"&lt;"&amp;$K602)+1)</f>
        <v/>
      </c>
      <c r="M602">
        <f>IF($L602="","",$F602&amp;"|"&amp;RIGHT("000000"&amp;$L602,6))</f>
        <v/>
      </c>
      <c r="N602">
        <f>IF($F602="","",IF(Sync!$AF602="","0000",IF(AND(ISNUMBER(Sync!$AF602),Sync!$AF602&gt;=0,Sync!$AF602&lt;1),RIGHT("00"&amp;HOUR(Sync!$AF602),2)&amp;RIGHT("00"&amp;MINUTE(Sync!$AF602),2),IFERROR(RIGHT("00"&amp;VALUE(LEFT(Sync!$AF602,FIND(":",Sync!$AF602)-1)),2)&amp;RIGHT("00"&amp;VALUE(MID(Sync!$AF602,FIND(":",Sync!$AF602)+1,2)),2),"0000"))))</f>
        <v/>
      </c>
    </row>
    <row r="603">
      <c r="A603">
        <f>IF(OR(Calc!$E607="",Calc!$E607="نامعتبر",Calc!$G607=""),"",Calc!$G607)</f>
        <v/>
      </c>
      <c r="B603">
        <f>IF($A603="","",LEFT(Calc!$E607,4)&amp;MID(Calc!$E607,6,2)&amp;RIGHT(Calc!$E607,2)&amp;Calc!$Q607&amp;"|"&amp;"1"&amp;RIGHT("00000"&amp;598,5))</f>
        <v/>
      </c>
      <c r="C603">
        <f>IF($B603="","",COUNTIFS(LdgSellerA,$A603,LdgKeyA,"&lt;"&amp;$B603)+COUNTIFS(LdgSellerB,$A603,LdgKeyB,"&lt;"&amp;$B603)+1)</f>
        <v/>
      </c>
      <c r="D603">
        <f>IF($C603="","",$A603&amp;"|"&amp;RIGHT("000000"&amp;$C603,6))</f>
        <v/>
      </c>
      <c r="F603">
        <f>IF(Sync!$AH603="","",IF(LEFT(UPPER(TRIM(Sync!$AH603)),2)="SL",UPPER(TRIM(Sync!$AH603)),""))</f>
        <v/>
      </c>
      <c r="G603">
        <f>IF($F603="","",IF(Sync!$AE603="","",IF(ISNUMBER(Sync!$AE603),IF(AND(Sync!$AE603&gt;=10000101,Sync!$AE603&lt;=99991231),INT(Sync!$AE603/10000),""),IFERROR(VALUE(TRIM(LEFT(Sync!$AE603,FIND("/",Sync!$AE603)-1))),""))))</f>
        <v/>
      </c>
      <c r="H603">
        <f>IF(OR($F603="",$G603=""),"",IF(ISNUMBER(Sync!$AE603),INT(MOD(Sync!$AE603,10000)/100),IFERROR(VALUE(TRIM(LEFT(MID(Sync!$AE603,FIND("/",Sync!$AE603)+1,20),FIND("/",MID(Sync!$AE603,FIND("/",Sync!$AE603)+1,20))-1))),"")))</f>
        <v/>
      </c>
      <c r="I603">
        <f>IF(OR($F603="",$G603=""),"",IF(ISNUMBER(Sync!$AE603),MOD(Sync!$AE603,100),IFERROR(VALUE(TRIM(MID(MID(Sync!$AE603,FIND("/",Sync!$AE603)+1,20),FIND("/",MID(Sync!$AE603,FIND("/",Sync!$AE603)+1,20))+1,20))),"")))</f>
        <v/>
      </c>
      <c r="J603">
        <f>IF($F603="","",IF(OR($G603="",$H603="",$I603="",$G603&lt;1300,$G603&gt;1500,$H603&lt;1,$H603&gt;12,$I603&lt;1,$I603&gt;31),"نامعتبر",RIGHT("0000"&amp;$G603,4)&amp;"/"&amp;RIGHT("00"&amp;$H603,2)&amp;"/"&amp;RIGHT("00"&amp;$I603,2)))</f>
        <v/>
      </c>
      <c r="K603">
        <f>IF(OR($F603="",$J603="",$J603="نامعتبر"),"",LEFT($J603,4)&amp;MID($J603,6,2)&amp;RIGHT($J603,2)&amp;$N603&amp;"|"&amp;"2"&amp;RIGHT("00000"&amp;598,5))</f>
        <v/>
      </c>
      <c r="L603">
        <f>IF($K603="","",COUNTIFS(LdgSellerA,$F603,LdgKeyA,"&lt;"&amp;$K603)+COUNTIFS(LdgSellerB,$F603,LdgKeyB,"&lt;"&amp;$K603)+1)</f>
        <v/>
      </c>
      <c r="M603">
        <f>IF($L603="","",$F603&amp;"|"&amp;RIGHT("000000"&amp;$L603,6))</f>
        <v/>
      </c>
      <c r="N603">
        <f>IF($F603="","",IF(Sync!$AF603="","0000",IF(AND(ISNUMBER(Sync!$AF603),Sync!$AF603&gt;=0,Sync!$AF603&lt;1),RIGHT("00"&amp;HOUR(Sync!$AF603),2)&amp;RIGHT("00"&amp;MINUTE(Sync!$AF603),2),IFERROR(RIGHT("00"&amp;VALUE(LEFT(Sync!$AF603,FIND(":",Sync!$AF603)-1)),2)&amp;RIGHT("00"&amp;VALUE(MID(Sync!$AF603,FIND(":",Sync!$AF603)+1,2)),2),"0000"))))</f>
        <v/>
      </c>
    </row>
    <row r="604">
      <c r="A604">
        <f>IF(OR(Calc!$E608="",Calc!$E608="نامعتبر",Calc!$G608=""),"",Calc!$G608)</f>
        <v/>
      </c>
      <c r="B604">
        <f>IF($A604="","",LEFT(Calc!$E608,4)&amp;MID(Calc!$E608,6,2)&amp;RIGHT(Calc!$E608,2)&amp;Calc!$Q608&amp;"|"&amp;"1"&amp;RIGHT("00000"&amp;599,5))</f>
        <v/>
      </c>
      <c r="C604">
        <f>IF($B604="","",COUNTIFS(LdgSellerA,$A604,LdgKeyA,"&lt;"&amp;$B604)+COUNTIFS(LdgSellerB,$A604,LdgKeyB,"&lt;"&amp;$B604)+1)</f>
        <v/>
      </c>
      <c r="D604">
        <f>IF($C604="","",$A604&amp;"|"&amp;RIGHT("000000"&amp;$C604,6))</f>
        <v/>
      </c>
      <c r="F604">
        <f>IF(Sync!$AH604="","",IF(LEFT(UPPER(TRIM(Sync!$AH604)),2)="SL",UPPER(TRIM(Sync!$AH604)),""))</f>
        <v/>
      </c>
      <c r="G604">
        <f>IF($F604="","",IF(Sync!$AE604="","",IF(ISNUMBER(Sync!$AE604),IF(AND(Sync!$AE604&gt;=10000101,Sync!$AE604&lt;=99991231),INT(Sync!$AE604/10000),""),IFERROR(VALUE(TRIM(LEFT(Sync!$AE604,FIND("/",Sync!$AE604)-1))),""))))</f>
        <v/>
      </c>
      <c r="H604">
        <f>IF(OR($F604="",$G604=""),"",IF(ISNUMBER(Sync!$AE604),INT(MOD(Sync!$AE604,10000)/100),IFERROR(VALUE(TRIM(LEFT(MID(Sync!$AE604,FIND("/",Sync!$AE604)+1,20),FIND("/",MID(Sync!$AE604,FIND("/",Sync!$AE604)+1,20))-1))),"")))</f>
        <v/>
      </c>
      <c r="I604">
        <f>IF(OR($F604="",$G604=""),"",IF(ISNUMBER(Sync!$AE604),MOD(Sync!$AE604,100),IFERROR(VALUE(TRIM(MID(MID(Sync!$AE604,FIND("/",Sync!$AE604)+1,20),FIND("/",MID(Sync!$AE604,FIND("/",Sync!$AE604)+1,20))+1,20))),"")))</f>
        <v/>
      </c>
      <c r="J604">
        <f>IF($F604="","",IF(OR($G604="",$H604="",$I604="",$G604&lt;1300,$G604&gt;1500,$H604&lt;1,$H604&gt;12,$I604&lt;1,$I604&gt;31),"نامعتبر",RIGHT("0000"&amp;$G604,4)&amp;"/"&amp;RIGHT("00"&amp;$H604,2)&amp;"/"&amp;RIGHT("00"&amp;$I604,2)))</f>
        <v/>
      </c>
      <c r="K604">
        <f>IF(OR($F604="",$J604="",$J604="نامعتبر"),"",LEFT($J604,4)&amp;MID($J604,6,2)&amp;RIGHT($J604,2)&amp;$N604&amp;"|"&amp;"2"&amp;RIGHT("00000"&amp;599,5))</f>
        <v/>
      </c>
      <c r="L604">
        <f>IF($K604="","",COUNTIFS(LdgSellerA,$F604,LdgKeyA,"&lt;"&amp;$K604)+COUNTIFS(LdgSellerB,$F604,LdgKeyB,"&lt;"&amp;$K604)+1)</f>
        <v/>
      </c>
      <c r="M604">
        <f>IF($L604="","",$F604&amp;"|"&amp;RIGHT("000000"&amp;$L604,6))</f>
        <v/>
      </c>
      <c r="N604">
        <f>IF($F604="","",IF(Sync!$AF604="","0000",IF(AND(ISNUMBER(Sync!$AF604),Sync!$AF604&gt;=0,Sync!$AF604&lt;1),RIGHT("00"&amp;HOUR(Sync!$AF604),2)&amp;RIGHT("00"&amp;MINUTE(Sync!$AF604),2),IFERROR(RIGHT("00"&amp;VALUE(LEFT(Sync!$AF604,FIND(":",Sync!$AF604)-1)),2)&amp;RIGHT("00"&amp;VALUE(MID(Sync!$AF604,FIND(":",Sync!$AF604)+1,2)),2),"0000"))))</f>
        <v/>
      </c>
    </row>
    <row r="605">
      <c r="A605">
        <f>IF(OR(Calc!$E609="",Calc!$E609="نامعتبر",Calc!$G609=""),"",Calc!$G609)</f>
        <v/>
      </c>
      <c r="B605">
        <f>IF($A605="","",LEFT(Calc!$E609,4)&amp;MID(Calc!$E609,6,2)&amp;RIGHT(Calc!$E609,2)&amp;Calc!$Q609&amp;"|"&amp;"1"&amp;RIGHT("00000"&amp;600,5))</f>
        <v/>
      </c>
      <c r="C605">
        <f>IF($B605="","",COUNTIFS(LdgSellerA,$A605,LdgKeyA,"&lt;"&amp;$B605)+COUNTIFS(LdgSellerB,$A605,LdgKeyB,"&lt;"&amp;$B605)+1)</f>
        <v/>
      </c>
      <c r="D605">
        <f>IF($C605="","",$A605&amp;"|"&amp;RIGHT("000000"&amp;$C605,6))</f>
        <v/>
      </c>
      <c r="F605">
        <f>IF(Sync!$AH605="","",IF(LEFT(UPPER(TRIM(Sync!$AH605)),2)="SL",UPPER(TRIM(Sync!$AH605)),""))</f>
        <v/>
      </c>
      <c r="G605">
        <f>IF($F605="","",IF(Sync!$AE605="","",IF(ISNUMBER(Sync!$AE605),IF(AND(Sync!$AE605&gt;=10000101,Sync!$AE605&lt;=99991231),INT(Sync!$AE605/10000),""),IFERROR(VALUE(TRIM(LEFT(Sync!$AE605,FIND("/",Sync!$AE605)-1))),""))))</f>
        <v/>
      </c>
      <c r="H605">
        <f>IF(OR($F605="",$G605=""),"",IF(ISNUMBER(Sync!$AE605),INT(MOD(Sync!$AE605,10000)/100),IFERROR(VALUE(TRIM(LEFT(MID(Sync!$AE605,FIND("/",Sync!$AE605)+1,20),FIND("/",MID(Sync!$AE605,FIND("/",Sync!$AE605)+1,20))-1))),"")))</f>
        <v/>
      </c>
      <c r="I605">
        <f>IF(OR($F605="",$G605=""),"",IF(ISNUMBER(Sync!$AE605),MOD(Sync!$AE605,100),IFERROR(VALUE(TRIM(MID(MID(Sync!$AE605,FIND("/",Sync!$AE605)+1,20),FIND("/",MID(Sync!$AE605,FIND("/",Sync!$AE605)+1,20))+1,20))),"")))</f>
        <v/>
      </c>
      <c r="J605">
        <f>IF($F605="","",IF(OR($G605="",$H605="",$I605="",$G605&lt;1300,$G605&gt;1500,$H605&lt;1,$H605&gt;12,$I605&lt;1,$I605&gt;31),"نامعتبر",RIGHT("0000"&amp;$G605,4)&amp;"/"&amp;RIGHT("00"&amp;$H605,2)&amp;"/"&amp;RIGHT("00"&amp;$I605,2)))</f>
        <v/>
      </c>
      <c r="K605">
        <f>IF(OR($F605="",$J605="",$J605="نامعتبر"),"",LEFT($J605,4)&amp;MID($J605,6,2)&amp;RIGHT($J605,2)&amp;$N605&amp;"|"&amp;"2"&amp;RIGHT("00000"&amp;600,5))</f>
        <v/>
      </c>
      <c r="L605">
        <f>IF($K605="","",COUNTIFS(LdgSellerA,$F605,LdgKeyA,"&lt;"&amp;$K605)+COUNTIFS(LdgSellerB,$F605,LdgKeyB,"&lt;"&amp;$K605)+1)</f>
        <v/>
      </c>
      <c r="M605">
        <f>IF($L605="","",$F605&amp;"|"&amp;RIGHT("000000"&amp;$L605,6))</f>
        <v/>
      </c>
      <c r="N605">
        <f>IF($F605="","",IF(Sync!$AF605="","0000",IF(AND(ISNUMBER(Sync!$AF605),Sync!$AF605&gt;=0,Sync!$AF605&lt;1),RIGHT("00"&amp;HOUR(Sync!$AF605),2)&amp;RIGHT("00"&amp;MINUTE(Sync!$AF605),2),IFERROR(RIGHT("00"&amp;VALUE(LEFT(Sync!$AF605,FIND(":",Sync!$AF605)-1)),2)&amp;RIGHT("00"&amp;VALUE(MID(Sync!$AF605,FIND(":",Sync!$AF605)+1,2)),2),"0000"))))</f>
        <v/>
      </c>
    </row>
    <row r="606">
      <c r="A606">
        <f>IF(OR(Calc!$E610="",Calc!$E610="نامعتبر",Calc!$G610=""),"",Calc!$G610)</f>
        <v/>
      </c>
      <c r="B606">
        <f>IF($A606="","",LEFT(Calc!$E610,4)&amp;MID(Calc!$E610,6,2)&amp;RIGHT(Calc!$E610,2)&amp;Calc!$Q610&amp;"|"&amp;"1"&amp;RIGHT("00000"&amp;601,5))</f>
        <v/>
      </c>
      <c r="C606">
        <f>IF($B606="","",COUNTIFS(LdgSellerA,$A606,LdgKeyA,"&lt;"&amp;$B606)+COUNTIFS(LdgSellerB,$A606,LdgKeyB,"&lt;"&amp;$B606)+1)</f>
        <v/>
      </c>
      <c r="D606">
        <f>IF($C606="","",$A606&amp;"|"&amp;RIGHT("000000"&amp;$C606,6))</f>
        <v/>
      </c>
      <c r="F606">
        <f>IF(Sync!$AH606="","",IF(LEFT(UPPER(TRIM(Sync!$AH606)),2)="SL",UPPER(TRIM(Sync!$AH606)),""))</f>
        <v/>
      </c>
      <c r="G606">
        <f>IF($F606="","",IF(Sync!$AE606="","",IF(ISNUMBER(Sync!$AE606),IF(AND(Sync!$AE606&gt;=10000101,Sync!$AE606&lt;=99991231),INT(Sync!$AE606/10000),""),IFERROR(VALUE(TRIM(LEFT(Sync!$AE606,FIND("/",Sync!$AE606)-1))),""))))</f>
        <v/>
      </c>
      <c r="H606">
        <f>IF(OR($F606="",$G606=""),"",IF(ISNUMBER(Sync!$AE606),INT(MOD(Sync!$AE606,10000)/100),IFERROR(VALUE(TRIM(LEFT(MID(Sync!$AE606,FIND("/",Sync!$AE606)+1,20),FIND("/",MID(Sync!$AE606,FIND("/",Sync!$AE606)+1,20))-1))),"")))</f>
        <v/>
      </c>
      <c r="I606">
        <f>IF(OR($F606="",$G606=""),"",IF(ISNUMBER(Sync!$AE606),MOD(Sync!$AE606,100),IFERROR(VALUE(TRIM(MID(MID(Sync!$AE606,FIND("/",Sync!$AE606)+1,20),FIND("/",MID(Sync!$AE606,FIND("/",Sync!$AE606)+1,20))+1,20))),"")))</f>
        <v/>
      </c>
      <c r="J606">
        <f>IF($F606="","",IF(OR($G606="",$H606="",$I606="",$G606&lt;1300,$G606&gt;1500,$H606&lt;1,$H606&gt;12,$I606&lt;1,$I606&gt;31),"نامعتبر",RIGHT("0000"&amp;$G606,4)&amp;"/"&amp;RIGHT("00"&amp;$H606,2)&amp;"/"&amp;RIGHT("00"&amp;$I606,2)))</f>
        <v/>
      </c>
      <c r="K606">
        <f>IF(OR($F606="",$J606="",$J606="نامعتبر"),"",LEFT($J606,4)&amp;MID($J606,6,2)&amp;RIGHT($J606,2)&amp;$N606&amp;"|"&amp;"2"&amp;RIGHT("00000"&amp;601,5))</f>
        <v/>
      </c>
      <c r="L606">
        <f>IF($K606="","",COUNTIFS(LdgSellerA,$F606,LdgKeyA,"&lt;"&amp;$K606)+COUNTIFS(LdgSellerB,$F606,LdgKeyB,"&lt;"&amp;$K606)+1)</f>
        <v/>
      </c>
      <c r="M606">
        <f>IF($L606="","",$F606&amp;"|"&amp;RIGHT("000000"&amp;$L606,6))</f>
        <v/>
      </c>
      <c r="N606">
        <f>IF($F606="","",IF(Sync!$AF606="","0000",IF(AND(ISNUMBER(Sync!$AF606),Sync!$AF606&gt;=0,Sync!$AF606&lt;1),RIGHT("00"&amp;HOUR(Sync!$AF606),2)&amp;RIGHT("00"&amp;MINUTE(Sync!$AF606),2),IFERROR(RIGHT("00"&amp;VALUE(LEFT(Sync!$AF606,FIND(":",Sync!$AF606)-1)),2)&amp;RIGHT("00"&amp;VALUE(MID(Sync!$AF606,FIND(":",Sync!$AF606)+1,2)),2),"0000"))))</f>
        <v/>
      </c>
    </row>
    <row r="607">
      <c r="A607">
        <f>IF(OR(Calc!$E611="",Calc!$E611="نامعتبر",Calc!$G611=""),"",Calc!$G611)</f>
        <v/>
      </c>
      <c r="B607">
        <f>IF($A607="","",LEFT(Calc!$E611,4)&amp;MID(Calc!$E611,6,2)&amp;RIGHT(Calc!$E611,2)&amp;Calc!$Q611&amp;"|"&amp;"1"&amp;RIGHT("00000"&amp;602,5))</f>
        <v/>
      </c>
      <c r="C607">
        <f>IF($B607="","",COUNTIFS(LdgSellerA,$A607,LdgKeyA,"&lt;"&amp;$B607)+COUNTIFS(LdgSellerB,$A607,LdgKeyB,"&lt;"&amp;$B607)+1)</f>
        <v/>
      </c>
      <c r="D607">
        <f>IF($C607="","",$A607&amp;"|"&amp;RIGHT("000000"&amp;$C607,6))</f>
        <v/>
      </c>
      <c r="F607">
        <f>IF(Sync!$AH607="","",IF(LEFT(UPPER(TRIM(Sync!$AH607)),2)="SL",UPPER(TRIM(Sync!$AH607)),""))</f>
        <v/>
      </c>
      <c r="G607">
        <f>IF($F607="","",IF(Sync!$AE607="","",IF(ISNUMBER(Sync!$AE607),IF(AND(Sync!$AE607&gt;=10000101,Sync!$AE607&lt;=99991231),INT(Sync!$AE607/10000),""),IFERROR(VALUE(TRIM(LEFT(Sync!$AE607,FIND("/",Sync!$AE607)-1))),""))))</f>
        <v/>
      </c>
      <c r="H607">
        <f>IF(OR($F607="",$G607=""),"",IF(ISNUMBER(Sync!$AE607),INT(MOD(Sync!$AE607,10000)/100),IFERROR(VALUE(TRIM(LEFT(MID(Sync!$AE607,FIND("/",Sync!$AE607)+1,20),FIND("/",MID(Sync!$AE607,FIND("/",Sync!$AE607)+1,20))-1))),"")))</f>
        <v/>
      </c>
      <c r="I607">
        <f>IF(OR($F607="",$G607=""),"",IF(ISNUMBER(Sync!$AE607),MOD(Sync!$AE607,100),IFERROR(VALUE(TRIM(MID(MID(Sync!$AE607,FIND("/",Sync!$AE607)+1,20),FIND("/",MID(Sync!$AE607,FIND("/",Sync!$AE607)+1,20))+1,20))),"")))</f>
        <v/>
      </c>
      <c r="J607">
        <f>IF($F607="","",IF(OR($G607="",$H607="",$I607="",$G607&lt;1300,$G607&gt;1500,$H607&lt;1,$H607&gt;12,$I607&lt;1,$I607&gt;31),"نامعتبر",RIGHT("0000"&amp;$G607,4)&amp;"/"&amp;RIGHT("00"&amp;$H607,2)&amp;"/"&amp;RIGHT("00"&amp;$I607,2)))</f>
        <v/>
      </c>
      <c r="K607">
        <f>IF(OR($F607="",$J607="",$J607="نامعتبر"),"",LEFT($J607,4)&amp;MID($J607,6,2)&amp;RIGHT($J607,2)&amp;$N607&amp;"|"&amp;"2"&amp;RIGHT("00000"&amp;602,5))</f>
        <v/>
      </c>
      <c r="L607">
        <f>IF($K607="","",COUNTIFS(LdgSellerA,$F607,LdgKeyA,"&lt;"&amp;$K607)+COUNTIFS(LdgSellerB,$F607,LdgKeyB,"&lt;"&amp;$K607)+1)</f>
        <v/>
      </c>
      <c r="M607">
        <f>IF($L607="","",$F607&amp;"|"&amp;RIGHT("000000"&amp;$L607,6))</f>
        <v/>
      </c>
      <c r="N607">
        <f>IF($F607="","",IF(Sync!$AF607="","0000",IF(AND(ISNUMBER(Sync!$AF607),Sync!$AF607&gt;=0,Sync!$AF607&lt;1),RIGHT("00"&amp;HOUR(Sync!$AF607),2)&amp;RIGHT("00"&amp;MINUTE(Sync!$AF607),2),IFERROR(RIGHT("00"&amp;VALUE(LEFT(Sync!$AF607,FIND(":",Sync!$AF607)-1)),2)&amp;RIGHT("00"&amp;VALUE(MID(Sync!$AF607,FIND(":",Sync!$AF607)+1,2)),2),"0000"))))</f>
        <v/>
      </c>
    </row>
    <row r="608">
      <c r="A608">
        <f>IF(OR(Calc!$E612="",Calc!$E612="نامعتبر",Calc!$G612=""),"",Calc!$G612)</f>
        <v/>
      </c>
      <c r="B608">
        <f>IF($A608="","",LEFT(Calc!$E612,4)&amp;MID(Calc!$E612,6,2)&amp;RIGHT(Calc!$E612,2)&amp;Calc!$Q612&amp;"|"&amp;"1"&amp;RIGHT("00000"&amp;603,5))</f>
        <v/>
      </c>
      <c r="C608">
        <f>IF($B608="","",COUNTIFS(LdgSellerA,$A608,LdgKeyA,"&lt;"&amp;$B608)+COUNTIFS(LdgSellerB,$A608,LdgKeyB,"&lt;"&amp;$B608)+1)</f>
        <v/>
      </c>
      <c r="D608">
        <f>IF($C608="","",$A608&amp;"|"&amp;RIGHT("000000"&amp;$C608,6))</f>
        <v/>
      </c>
      <c r="F608">
        <f>IF(Sync!$AH608="","",IF(LEFT(UPPER(TRIM(Sync!$AH608)),2)="SL",UPPER(TRIM(Sync!$AH608)),""))</f>
        <v/>
      </c>
      <c r="G608">
        <f>IF($F608="","",IF(Sync!$AE608="","",IF(ISNUMBER(Sync!$AE608),IF(AND(Sync!$AE608&gt;=10000101,Sync!$AE608&lt;=99991231),INT(Sync!$AE608/10000),""),IFERROR(VALUE(TRIM(LEFT(Sync!$AE608,FIND("/",Sync!$AE608)-1))),""))))</f>
        <v/>
      </c>
      <c r="H608">
        <f>IF(OR($F608="",$G608=""),"",IF(ISNUMBER(Sync!$AE608),INT(MOD(Sync!$AE608,10000)/100),IFERROR(VALUE(TRIM(LEFT(MID(Sync!$AE608,FIND("/",Sync!$AE608)+1,20),FIND("/",MID(Sync!$AE608,FIND("/",Sync!$AE608)+1,20))-1))),"")))</f>
        <v/>
      </c>
      <c r="I608">
        <f>IF(OR($F608="",$G608=""),"",IF(ISNUMBER(Sync!$AE608),MOD(Sync!$AE608,100),IFERROR(VALUE(TRIM(MID(MID(Sync!$AE608,FIND("/",Sync!$AE608)+1,20),FIND("/",MID(Sync!$AE608,FIND("/",Sync!$AE608)+1,20))+1,20))),"")))</f>
        <v/>
      </c>
      <c r="J608">
        <f>IF($F608="","",IF(OR($G608="",$H608="",$I608="",$G608&lt;1300,$G608&gt;1500,$H608&lt;1,$H608&gt;12,$I608&lt;1,$I608&gt;31),"نامعتبر",RIGHT("0000"&amp;$G608,4)&amp;"/"&amp;RIGHT("00"&amp;$H608,2)&amp;"/"&amp;RIGHT("00"&amp;$I608,2)))</f>
        <v/>
      </c>
      <c r="K608">
        <f>IF(OR($F608="",$J608="",$J608="نامعتبر"),"",LEFT($J608,4)&amp;MID($J608,6,2)&amp;RIGHT($J608,2)&amp;$N608&amp;"|"&amp;"2"&amp;RIGHT("00000"&amp;603,5))</f>
        <v/>
      </c>
      <c r="L608">
        <f>IF($K608="","",COUNTIFS(LdgSellerA,$F608,LdgKeyA,"&lt;"&amp;$K608)+COUNTIFS(LdgSellerB,$F608,LdgKeyB,"&lt;"&amp;$K608)+1)</f>
        <v/>
      </c>
      <c r="M608">
        <f>IF($L608="","",$F608&amp;"|"&amp;RIGHT("000000"&amp;$L608,6))</f>
        <v/>
      </c>
      <c r="N608">
        <f>IF($F608="","",IF(Sync!$AF608="","0000",IF(AND(ISNUMBER(Sync!$AF608),Sync!$AF608&gt;=0,Sync!$AF608&lt;1),RIGHT("00"&amp;HOUR(Sync!$AF608),2)&amp;RIGHT("00"&amp;MINUTE(Sync!$AF608),2),IFERROR(RIGHT("00"&amp;VALUE(LEFT(Sync!$AF608,FIND(":",Sync!$AF608)-1)),2)&amp;RIGHT("00"&amp;VALUE(MID(Sync!$AF608,FIND(":",Sync!$AF608)+1,2)),2),"0000"))))</f>
        <v/>
      </c>
    </row>
    <row r="609">
      <c r="A609">
        <f>IF(OR(Calc!$E613="",Calc!$E613="نامعتبر",Calc!$G613=""),"",Calc!$G613)</f>
        <v/>
      </c>
      <c r="B609">
        <f>IF($A609="","",LEFT(Calc!$E613,4)&amp;MID(Calc!$E613,6,2)&amp;RIGHT(Calc!$E613,2)&amp;Calc!$Q613&amp;"|"&amp;"1"&amp;RIGHT("00000"&amp;604,5))</f>
        <v/>
      </c>
      <c r="C609">
        <f>IF($B609="","",COUNTIFS(LdgSellerA,$A609,LdgKeyA,"&lt;"&amp;$B609)+COUNTIFS(LdgSellerB,$A609,LdgKeyB,"&lt;"&amp;$B609)+1)</f>
        <v/>
      </c>
      <c r="D609">
        <f>IF($C609="","",$A609&amp;"|"&amp;RIGHT("000000"&amp;$C609,6))</f>
        <v/>
      </c>
      <c r="F609">
        <f>IF(Sync!$AH609="","",IF(LEFT(UPPER(TRIM(Sync!$AH609)),2)="SL",UPPER(TRIM(Sync!$AH609)),""))</f>
        <v/>
      </c>
      <c r="G609">
        <f>IF($F609="","",IF(Sync!$AE609="","",IF(ISNUMBER(Sync!$AE609),IF(AND(Sync!$AE609&gt;=10000101,Sync!$AE609&lt;=99991231),INT(Sync!$AE609/10000),""),IFERROR(VALUE(TRIM(LEFT(Sync!$AE609,FIND("/",Sync!$AE609)-1))),""))))</f>
        <v/>
      </c>
      <c r="H609">
        <f>IF(OR($F609="",$G609=""),"",IF(ISNUMBER(Sync!$AE609),INT(MOD(Sync!$AE609,10000)/100),IFERROR(VALUE(TRIM(LEFT(MID(Sync!$AE609,FIND("/",Sync!$AE609)+1,20),FIND("/",MID(Sync!$AE609,FIND("/",Sync!$AE609)+1,20))-1))),"")))</f>
        <v/>
      </c>
      <c r="I609">
        <f>IF(OR($F609="",$G609=""),"",IF(ISNUMBER(Sync!$AE609),MOD(Sync!$AE609,100),IFERROR(VALUE(TRIM(MID(MID(Sync!$AE609,FIND("/",Sync!$AE609)+1,20),FIND("/",MID(Sync!$AE609,FIND("/",Sync!$AE609)+1,20))+1,20))),"")))</f>
        <v/>
      </c>
      <c r="J609">
        <f>IF($F609="","",IF(OR($G609="",$H609="",$I609="",$G609&lt;1300,$G609&gt;1500,$H609&lt;1,$H609&gt;12,$I609&lt;1,$I609&gt;31),"نامعتبر",RIGHT("0000"&amp;$G609,4)&amp;"/"&amp;RIGHT("00"&amp;$H609,2)&amp;"/"&amp;RIGHT("00"&amp;$I609,2)))</f>
        <v/>
      </c>
      <c r="K609">
        <f>IF(OR($F609="",$J609="",$J609="نامعتبر"),"",LEFT($J609,4)&amp;MID($J609,6,2)&amp;RIGHT($J609,2)&amp;$N609&amp;"|"&amp;"2"&amp;RIGHT("00000"&amp;604,5))</f>
        <v/>
      </c>
      <c r="L609">
        <f>IF($K609="","",COUNTIFS(LdgSellerA,$F609,LdgKeyA,"&lt;"&amp;$K609)+COUNTIFS(LdgSellerB,$F609,LdgKeyB,"&lt;"&amp;$K609)+1)</f>
        <v/>
      </c>
      <c r="M609">
        <f>IF($L609="","",$F609&amp;"|"&amp;RIGHT("000000"&amp;$L609,6))</f>
        <v/>
      </c>
      <c r="N609">
        <f>IF($F609="","",IF(Sync!$AF609="","0000",IF(AND(ISNUMBER(Sync!$AF609),Sync!$AF609&gt;=0,Sync!$AF609&lt;1),RIGHT("00"&amp;HOUR(Sync!$AF609),2)&amp;RIGHT("00"&amp;MINUTE(Sync!$AF609),2),IFERROR(RIGHT("00"&amp;VALUE(LEFT(Sync!$AF609,FIND(":",Sync!$AF609)-1)),2)&amp;RIGHT("00"&amp;VALUE(MID(Sync!$AF609,FIND(":",Sync!$AF609)+1,2)),2),"0000"))))</f>
        <v/>
      </c>
    </row>
    <row r="610">
      <c r="A610">
        <f>IF(OR(Calc!$E614="",Calc!$E614="نامعتبر",Calc!$G614=""),"",Calc!$G614)</f>
        <v/>
      </c>
      <c r="B610">
        <f>IF($A610="","",LEFT(Calc!$E614,4)&amp;MID(Calc!$E614,6,2)&amp;RIGHT(Calc!$E614,2)&amp;Calc!$Q614&amp;"|"&amp;"1"&amp;RIGHT("00000"&amp;605,5))</f>
        <v/>
      </c>
      <c r="C610">
        <f>IF($B610="","",COUNTIFS(LdgSellerA,$A610,LdgKeyA,"&lt;"&amp;$B610)+COUNTIFS(LdgSellerB,$A610,LdgKeyB,"&lt;"&amp;$B610)+1)</f>
        <v/>
      </c>
      <c r="D610">
        <f>IF($C610="","",$A610&amp;"|"&amp;RIGHT("000000"&amp;$C610,6))</f>
        <v/>
      </c>
      <c r="F610">
        <f>IF(Sync!$AH610="","",IF(LEFT(UPPER(TRIM(Sync!$AH610)),2)="SL",UPPER(TRIM(Sync!$AH610)),""))</f>
        <v/>
      </c>
      <c r="G610">
        <f>IF($F610="","",IF(Sync!$AE610="","",IF(ISNUMBER(Sync!$AE610),IF(AND(Sync!$AE610&gt;=10000101,Sync!$AE610&lt;=99991231),INT(Sync!$AE610/10000),""),IFERROR(VALUE(TRIM(LEFT(Sync!$AE610,FIND("/",Sync!$AE610)-1))),""))))</f>
        <v/>
      </c>
      <c r="H610">
        <f>IF(OR($F610="",$G610=""),"",IF(ISNUMBER(Sync!$AE610),INT(MOD(Sync!$AE610,10000)/100),IFERROR(VALUE(TRIM(LEFT(MID(Sync!$AE610,FIND("/",Sync!$AE610)+1,20),FIND("/",MID(Sync!$AE610,FIND("/",Sync!$AE610)+1,20))-1))),"")))</f>
        <v/>
      </c>
      <c r="I610">
        <f>IF(OR($F610="",$G610=""),"",IF(ISNUMBER(Sync!$AE610),MOD(Sync!$AE610,100),IFERROR(VALUE(TRIM(MID(MID(Sync!$AE610,FIND("/",Sync!$AE610)+1,20),FIND("/",MID(Sync!$AE610,FIND("/",Sync!$AE610)+1,20))+1,20))),"")))</f>
        <v/>
      </c>
      <c r="J610">
        <f>IF($F610="","",IF(OR($G610="",$H610="",$I610="",$G610&lt;1300,$G610&gt;1500,$H610&lt;1,$H610&gt;12,$I610&lt;1,$I610&gt;31),"نامعتبر",RIGHT("0000"&amp;$G610,4)&amp;"/"&amp;RIGHT("00"&amp;$H610,2)&amp;"/"&amp;RIGHT("00"&amp;$I610,2)))</f>
        <v/>
      </c>
      <c r="K610">
        <f>IF(OR($F610="",$J610="",$J610="نامعتبر"),"",LEFT($J610,4)&amp;MID($J610,6,2)&amp;RIGHT($J610,2)&amp;$N610&amp;"|"&amp;"2"&amp;RIGHT("00000"&amp;605,5))</f>
        <v/>
      </c>
      <c r="L610">
        <f>IF($K610="","",COUNTIFS(LdgSellerA,$F610,LdgKeyA,"&lt;"&amp;$K610)+COUNTIFS(LdgSellerB,$F610,LdgKeyB,"&lt;"&amp;$K610)+1)</f>
        <v/>
      </c>
      <c r="M610">
        <f>IF($L610="","",$F610&amp;"|"&amp;RIGHT("000000"&amp;$L610,6))</f>
        <v/>
      </c>
      <c r="N610">
        <f>IF($F610="","",IF(Sync!$AF610="","0000",IF(AND(ISNUMBER(Sync!$AF610),Sync!$AF610&gt;=0,Sync!$AF610&lt;1),RIGHT("00"&amp;HOUR(Sync!$AF610),2)&amp;RIGHT("00"&amp;MINUTE(Sync!$AF610),2),IFERROR(RIGHT("00"&amp;VALUE(LEFT(Sync!$AF610,FIND(":",Sync!$AF610)-1)),2)&amp;RIGHT("00"&amp;VALUE(MID(Sync!$AF610,FIND(":",Sync!$AF610)+1,2)),2),"0000"))))</f>
        <v/>
      </c>
    </row>
    <row r="611">
      <c r="A611">
        <f>IF(OR(Calc!$E615="",Calc!$E615="نامعتبر",Calc!$G615=""),"",Calc!$G615)</f>
        <v/>
      </c>
      <c r="B611">
        <f>IF($A611="","",LEFT(Calc!$E615,4)&amp;MID(Calc!$E615,6,2)&amp;RIGHT(Calc!$E615,2)&amp;Calc!$Q615&amp;"|"&amp;"1"&amp;RIGHT("00000"&amp;606,5))</f>
        <v/>
      </c>
      <c r="C611">
        <f>IF($B611="","",COUNTIFS(LdgSellerA,$A611,LdgKeyA,"&lt;"&amp;$B611)+COUNTIFS(LdgSellerB,$A611,LdgKeyB,"&lt;"&amp;$B611)+1)</f>
        <v/>
      </c>
      <c r="D611">
        <f>IF($C611="","",$A611&amp;"|"&amp;RIGHT("000000"&amp;$C611,6))</f>
        <v/>
      </c>
      <c r="F611">
        <f>IF(Sync!$AH611="","",IF(LEFT(UPPER(TRIM(Sync!$AH611)),2)="SL",UPPER(TRIM(Sync!$AH611)),""))</f>
        <v/>
      </c>
      <c r="G611">
        <f>IF($F611="","",IF(Sync!$AE611="","",IF(ISNUMBER(Sync!$AE611),IF(AND(Sync!$AE611&gt;=10000101,Sync!$AE611&lt;=99991231),INT(Sync!$AE611/10000),""),IFERROR(VALUE(TRIM(LEFT(Sync!$AE611,FIND("/",Sync!$AE611)-1))),""))))</f>
        <v/>
      </c>
      <c r="H611">
        <f>IF(OR($F611="",$G611=""),"",IF(ISNUMBER(Sync!$AE611),INT(MOD(Sync!$AE611,10000)/100),IFERROR(VALUE(TRIM(LEFT(MID(Sync!$AE611,FIND("/",Sync!$AE611)+1,20),FIND("/",MID(Sync!$AE611,FIND("/",Sync!$AE611)+1,20))-1))),"")))</f>
        <v/>
      </c>
      <c r="I611">
        <f>IF(OR($F611="",$G611=""),"",IF(ISNUMBER(Sync!$AE611),MOD(Sync!$AE611,100),IFERROR(VALUE(TRIM(MID(MID(Sync!$AE611,FIND("/",Sync!$AE611)+1,20),FIND("/",MID(Sync!$AE611,FIND("/",Sync!$AE611)+1,20))+1,20))),"")))</f>
        <v/>
      </c>
      <c r="J611">
        <f>IF($F611="","",IF(OR($G611="",$H611="",$I611="",$G611&lt;1300,$G611&gt;1500,$H611&lt;1,$H611&gt;12,$I611&lt;1,$I611&gt;31),"نامعتبر",RIGHT("0000"&amp;$G611,4)&amp;"/"&amp;RIGHT("00"&amp;$H611,2)&amp;"/"&amp;RIGHT("00"&amp;$I611,2)))</f>
        <v/>
      </c>
      <c r="K611">
        <f>IF(OR($F611="",$J611="",$J611="نامعتبر"),"",LEFT($J611,4)&amp;MID($J611,6,2)&amp;RIGHT($J611,2)&amp;$N611&amp;"|"&amp;"2"&amp;RIGHT("00000"&amp;606,5))</f>
        <v/>
      </c>
      <c r="L611">
        <f>IF($K611="","",COUNTIFS(LdgSellerA,$F611,LdgKeyA,"&lt;"&amp;$K611)+COUNTIFS(LdgSellerB,$F611,LdgKeyB,"&lt;"&amp;$K611)+1)</f>
        <v/>
      </c>
      <c r="M611">
        <f>IF($L611="","",$F611&amp;"|"&amp;RIGHT("000000"&amp;$L611,6))</f>
        <v/>
      </c>
      <c r="N611">
        <f>IF($F611="","",IF(Sync!$AF611="","0000",IF(AND(ISNUMBER(Sync!$AF611),Sync!$AF611&gt;=0,Sync!$AF611&lt;1),RIGHT("00"&amp;HOUR(Sync!$AF611),2)&amp;RIGHT("00"&amp;MINUTE(Sync!$AF611),2),IFERROR(RIGHT("00"&amp;VALUE(LEFT(Sync!$AF611,FIND(":",Sync!$AF611)-1)),2)&amp;RIGHT("00"&amp;VALUE(MID(Sync!$AF611,FIND(":",Sync!$AF611)+1,2)),2),"0000"))))</f>
        <v/>
      </c>
    </row>
    <row r="612">
      <c r="A612">
        <f>IF(OR(Calc!$E616="",Calc!$E616="نامعتبر",Calc!$G616=""),"",Calc!$G616)</f>
        <v/>
      </c>
      <c r="B612">
        <f>IF($A612="","",LEFT(Calc!$E616,4)&amp;MID(Calc!$E616,6,2)&amp;RIGHT(Calc!$E616,2)&amp;Calc!$Q616&amp;"|"&amp;"1"&amp;RIGHT("00000"&amp;607,5))</f>
        <v/>
      </c>
      <c r="C612">
        <f>IF($B612="","",COUNTIFS(LdgSellerA,$A612,LdgKeyA,"&lt;"&amp;$B612)+COUNTIFS(LdgSellerB,$A612,LdgKeyB,"&lt;"&amp;$B612)+1)</f>
        <v/>
      </c>
      <c r="D612">
        <f>IF($C612="","",$A612&amp;"|"&amp;RIGHT("000000"&amp;$C612,6))</f>
        <v/>
      </c>
      <c r="F612">
        <f>IF(Sync!$AH612="","",IF(LEFT(UPPER(TRIM(Sync!$AH612)),2)="SL",UPPER(TRIM(Sync!$AH612)),""))</f>
        <v/>
      </c>
      <c r="G612">
        <f>IF($F612="","",IF(Sync!$AE612="","",IF(ISNUMBER(Sync!$AE612),IF(AND(Sync!$AE612&gt;=10000101,Sync!$AE612&lt;=99991231),INT(Sync!$AE612/10000),""),IFERROR(VALUE(TRIM(LEFT(Sync!$AE612,FIND("/",Sync!$AE612)-1))),""))))</f>
        <v/>
      </c>
      <c r="H612">
        <f>IF(OR($F612="",$G612=""),"",IF(ISNUMBER(Sync!$AE612),INT(MOD(Sync!$AE612,10000)/100),IFERROR(VALUE(TRIM(LEFT(MID(Sync!$AE612,FIND("/",Sync!$AE612)+1,20),FIND("/",MID(Sync!$AE612,FIND("/",Sync!$AE612)+1,20))-1))),"")))</f>
        <v/>
      </c>
      <c r="I612">
        <f>IF(OR($F612="",$G612=""),"",IF(ISNUMBER(Sync!$AE612),MOD(Sync!$AE612,100),IFERROR(VALUE(TRIM(MID(MID(Sync!$AE612,FIND("/",Sync!$AE612)+1,20),FIND("/",MID(Sync!$AE612,FIND("/",Sync!$AE612)+1,20))+1,20))),"")))</f>
        <v/>
      </c>
      <c r="J612">
        <f>IF($F612="","",IF(OR($G612="",$H612="",$I612="",$G612&lt;1300,$G612&gt;1500,$H612&lt;1,$H612&gt;12,$I612&lt;1,$I612&gt;31),"نامعتبر",RIGHT("0000"&amp;$G612,4)&amp;"/"&amp;RIGHT("00"&amp;$H612,2)&amp;"/"&amp;RIGHT("00"&amp;$I612,2)))</f>
        <v/>
      </c>
      <c r="K612">
        <f>IF(OR($F612="",$J612="",$J612="نامعتبر"),"",LEFT($J612,4)&amp;MID($J612,6,2)&amp;RIGHT($J612,2)&amp;$N612&amp;"|"&amp;"2"&amp;RIGHT("00000"&amp;607,5))</f>
        <v/>
      </c>
      <c r="L612">
        <f>IF($K612="","",COUNTIFS(LdgSellerA,$F612,LdgKeyA,"&lt;"&amp;$K612)+COUNTIFS(LdgSellerB,$F612,LdgKeyB,"&lt;"&amp;$K612)+1)</f>
        <v/>
      </c>
      <c r="M612">
        <f>IF($L612="","",$F612&amp;"|"&amp;RIGHT("000000"&amp;$L612,6))</f>
        <v/>
      </c>
      <c r="N612">
        <f>IF($F612="","",IF(Sync!$AF612="","0000",IF(AND(ISNUMBER(Sync!$AF612),Sync!$AF612&gt;=0,Sync!$AF612&lt;1),RIGHT("00"&amp;HOUR(Sync!$AF612),2)&amp;RIGHT("00"&amp;MINUTE(Sync!$AF612),2),IFERROR(RIGHT("00"&amp;VALUE(LEFT(Sync!$AF612,FIND(":",Sync!$AF612)-1)),2)&amp;RIGHT("00"&amp;VALUE(MID(Sync!$AF612,FIND(":",Sync!$AF612)+1,2)),2),"0000"))))</f>
        <v/>
      </c>
    </row>
    <row r="613">
      <c r="A613">
        <f>IF(OR(Calc!$E617="",Calc!$E617="نامعتبر",Calc!$G617=""),"",Calc!$G617)</f>
        <v/>
      </c>
      <c r="B613">
        <f>IF($A613="","",LEFT(Calc!$E617,4)&amp;MID(Calc!$E617,6,2)&amp;RIGHT(Calc!$E617,2)&amp;Calc!$Q617&amp;"|"&amp;"1"&amp;RIGHT("00000"&amp;608,5))</f>
        <v/>
      </c>
      <c r="C613">
        <f>IF($B613="","",COUNTIFS(LdgSellerA,$A613,LdgKeyA,"&lt;"&amp;$B613)+COUNTIFS(LdgSellerB,$A613,LdgKeyB,"&lt;"&amp;$B613)+1)</f>
        <v/>
      </c>
      <c r="D613">
        <f>IF($C613="","",$A613&amp;"|"&amp;RIGHT("000000"&amp;$C613,6))</f>
        <v/>
      </c>
      <c r="F613">
        <f>IF(Sync!$AH613="","",IF(LEFT(UPPER(TRIM(Sync!$AH613)),2)="SL",UPPER(TRIM(Sync!$AH613)),""))</f>
        <v/>
      </c>
      <c r="G613">
        <f>IF($F613="","",IF(Sync!$AE613="","",IF(ISNUMBER(Sync!$AE613),IF(AND(Sync!$AE613&gt;=10000101,Sync!$AE613&lt;=99991231),INT(Sync!$AE613/10000),""),IFERROR(VALUE(TRIM(LEFT(Sync!$AE613,FIND("/",Sync!$AE613)-1))),""))))</f>
        <v/>
      </c>
      <c r="H613">
        <f>IF(OR($F613="",$G613=""),"",IF(ISNUMBER(Sync!$AE613),INT(MOD(Sync!$AE613,10000)/100),IFERROR(VALUE(TRIM(LEFT(MID(Sync!$AE613,FIND("/",Sync!$AE613)+1,20),FIND("/",MID(Sync!$AE613,FIND("/",Sync!$AE613)+1,20))-1))),"")))</f>
        <v/>
      </c>
      <c r="I613">
        <f>IF(OR($F613="",$G613=""),"",IF(ISNUMBER(Sync!$AE613),MOD(Sync!$AE613,100),IFERROR(VALUE(TRIM(MID(MID(Sync!$AE613,FIND("/",Sync!$AE613)+1,20),FIND("/",MID(Sync!$AE613,FIND("/",Sync!$AE613)+1,20))+1,20))),"")))</f>
        <v/>
      </c>
      <c r="J613">
        <f>IF($F613="","",IF(OR($G613="",$H613="",$I613="",$G613&lt;1300,$G613&gt;1500,$H613&lt;1,$H613&gt;12,$I613&lt;1,$I613&gt;31),"نامعتبر",RIGHT("0000"&amp;$G613,4)&amp;"/"&amp;RIGHT("00"&amp;$H613,2)&amp;"/"&amp;RIGHT("00"&amp;$I613,2)))</f>
        <v/>
      </c>
      <c r="K613">
        <f>IF(OR($F613="",$J613="",$J613="نامعتبر"),"",LEFT($J613,4)&amp;MID($J613,6,2)&amp;RIGHT($J613,2)&amp;$N613&amp;"|"&amp;"2"&amp;RIGHT("00000"&amp;608,5))</f>
        <v/>
      </c>
      <c r="L613">
        <f>IF($K613="","",COUNTIFS(LdgSellerA,$F613,LdgKeyA,"&lt;"&amp;$K613)+COUNTIFS(LdgSellerB,$F613,LdgKeyB,"&lt;"&amp;$K613)+1)</f>
        <v/>
      </c>
      <c r="M613">
        <f>IF($L613="","",$F613&amp;"|"&amp;RIGHT("000000"&amp;$L613,6))</f>
        <v/>
      </c>
      <c r="N613">
        <f>IF($F613="","",IF(Sync!$AF613="","0000",IF(AND(ISNUMBER(Sync!$AF613),Sync!$AF613&gt;=0,Sync!$AF613&lt;1),RIGHT("00"&amp;HOUR(Sync!$AF613),2)&amp;RIGHT("00"&amp;MINUTE(Sync!$AF613),2),IFERROR(RIGHT("00"&amp;VALUE(LEFT(Sync!$AF613,FIND(":",Sync!$AF613)-1)),2)&amp;RIGHT("00"&amp;VALUE(MID(Sync!$AF613,FIND(":",Sync!$AF613)+1,2)),2),"0000"))))</f>
        <v/>
      </c>
    </row>
    <row r="614">
      <c r="A614">
        <f>IF(OR(Calc!$E618="",Calc!$E618="نامعتبر",Calc!$G618=""),"",Calc!$G618)</f>
        <v/>
      </c>
      <c r="B614">
        <f>IF($A614="","",LEFT(Calc!$E618,4)&amp;MID(Calc!$E618,6,2)&amp;RIGHT(Calc!$E618,2)&amp;Calc!$Q618&amp;"|"&amp;"1"&amp;RIGHT("00000"&amp;609,5))</f>
        <v/>
      </c>
      <c r="C614">
        <f>IF($B614="","",COUNTIFS(LdgSellerA,$A614,LdgKeyA,"&lt;"&amp;$B614)+COUNTIFS(LdgSellerB,$A614,LdgKeyB,"&lt;"&amp;$B614)+1)</f>
        <v/>
      </c>
      <c r="D614">
        <f>IF($C614="","",$A614&amp;"|"&amp;RIGHT("000000"&amp;$C614,6))</f>
        <v/>
      </c>
      <c r="F614">
        <f>IF(Sync!$AH614="","",IF(LEFT(UPPER(TRIM(Sync!$AH614)),2)="SL",UPPER(TRIM(Sync!$AH614)),""))</f>
        <v/>
      </c>
      <c r="G614">
        <f>IF($F614="","",IF(Sync!$AE614="","",IF(ISNUMBER(Sync!$AE614),IF(AND(Sync!$AE614&gt;=10000101,Sync!$AE614&lt;=99991231),INT(Sync!$AE614/10000),""),IFERROR(VALUE(TRIM(LEFT(Sync!$AE614,FIND("/",Sync!$AE614)-1))),""))))</f>
        <v/>
      </c>
      <c r="H614">
        <f>IF(OR($F614="",$G614=""),"",IF(ISNUMBER(Sync!$AE614),INT(MOD(Sync!$AE614,10000)/100),IFERROR(VALUE(TRIM(LEFT(MID(Sync!$AE614,FIND("/",Sync!$AE614)+1,20),FIND("/",MID(Sync!$AE614,FIND("/",Sync!$AE614)+1,20))-1))),"")))</f>
        <v/>
      </c>
      <c r="I614">
        <f>IF(OR($F614="",$G614=""),"",IF(ISNUMBER(Sync!$AE614),MOD(Sync!$AE614,100),IFERROR(VALUE(TRIM(MID(MID(Sync!$AE614,FIND("/",Sync!$AE614)+1,20),FIND("/",MID(Sync!$AE614,FIND("/",Sync!$AE614)+1,20))+1,20))),"")))</f>
        <v/>
      </c>
      <c r="J614">
        <f>IF($F614="","",IF(OR($G614="",$H614="",$I614="",$G614&lt;1300,$G614&gt;1500,$H614&lt;1,$H614&gt;12,$I614&lt;1,$I614&gt;31),"نامعتبر",RIGHT("0000"&amp;$G614,4)&amp;"/"&amp;RIGHT("00"&amp;$H614,2)&amp;"/"&amp;RIGHT("00"&amp;$I614,2)))</f>
        <v/>
      </c>
      <c r="K614">
        <f>IF(OR($F614="",$J614="",$J614="نامعتبر"),"",LEFT($J614,4)&amp;MID($J614,6,2)&amp;RIGHT($J614,2)&amp;$N614&amp;"|"&amp;"2"&amp;RIGHT("00000"&amp;609,5))</f>
        <v/>
      </c>
      <c r="L614">
        <f>IF($K614="","",COUNTIFS(LdgSellerA,$F614,LdgKeyA,"&lt;"&amp;$K614)+COUNTIFS(LdgSellerB,$F614,LdgKeyB,"&lt;"&amp;$K614)+1)</f>
        <v/>
      </c>
      <c r="M614">
        <f>IF($L614="","",$F614&amp;"|"&amp;RIGHT("000000"&amp;$L614,6))</f>
        <v/>
      </c>
      <c r="N614">
        <f>IF($F614="","",IF(Sync!$AF614="","0000",IF(AND(ISNUMBER(Sync!$AF614),Sync!$AF614&gt;=0,Sync!$AF614&lt;1),RIGHT("00"&amp;HOUR(Sync!$AF614),2)&amp;RIGHT("00"&amp;MINUTE(Sync!$AF614),2),IFERROR(RIGHT("00"&amp;VALUE(LEFT(Sync!$AF614,FIND(":",Sync!$AF614)-1)),2)&amp;RIGHT("00"&amp;VALUE(MID(Sync!$AF614,FIND(":",Sync!$AF614)+1,2)),2),"0000"))))</f>
        <v/>
      </c>
    </row>
    <row r="615">
      <c r="A615">
        <f>IF(OR(Calc!$E619="",Calc!$E619="نامعتبر",Calc!$G619=""),"",Calc!$G619)</f>
        <v/>
      </c>
      <c r="B615">
        <f>IF($A615="","",LEFT(Calc!$E619,4)&amp;MID(Calc!$E619,6,2)&amp;RIGHT(Calc!$E619,2)&amp;Calc!$Q619&amp;"|"&amp;"1"&amp;RIGHT("00000"&amp;610,5))</f>
        <v/>
      </c>
      <c r="C615">
        <f>IF($B615="","",COUNTIFS(LdgSellerA,$A615,LdgKeyA,"&lt;"&amp;$B615)+COUNTIFS(LdgSellerB,$A615,LdgKeyB,"&lt;"&amp;$B615)+1)</f>
        <v/>
      </c>
      <c r="D615">
        <f>IF($C615="","",$A615&amp;"|"&amp;RIGHT("000000"&amp;$C615,6))</f>
        <v/>
      </c>
      <c r="F615">
        <f>IF(Sync!$AH615="","",IF(LEFT(UPPER(TRIM(Sync!$AH615)),2)="SL",UPPER(TRIM(Sync!$AH615)),""))</f>
        <v/>
      </c>
      <c r="G615">
        <f>IF($F615="","",IF(Sync!$AE615="","",IF(ISNUMBER(Sync!$AE615),IF(AND(Sync!$AE615&gt;=10000101,Sync!$AE615&lt;=99991231),INT(Sync!$AE615/10000),""),IFERROR(VALUE(TRIM(LEFT(Sync!$AE615,FIND("/",Sync!$AE615)-1))),""))))</f>
        <v/>
      </c>
      <c r="H615">
        <f>IF(OR($F615="",$G615=""),"",IF(ISNUMBER(Sync!$AE615),INT(MOD(Sync!$AE615,10000)/100),IFERROR(VALUE(TRIM(LEFT(MID(Sync!$AE615,FIND("/",Sync!$AE615)+1,20),FIND("/",MID(Sync!$AE615,FIND("/",Sync!$AE615)+1,20))-1))),"")))</f>
        <v/>
      </c>
      <c r="I615">
        <f>IF(OR($F615="",$G615=""),"",IF(ISNUMBER(Sync!$AE615),MOD(Sync!$AE615,100),IFERROR(VALUE(TRIM(MID(MID(Sync!$AE615,FIND("/",Sync!$AE615)+1,20),FIND("/",MID(Sync!$AE615,FIND("/",Sync!$AE615)+1,20))+1,20))),"")))</f>
        <v/>
      </c>
      <c r="J615">
        <f>IF($F615="","",IF(OR($G615="",$H615="",$I615="",$G615&lt;1300,$G615&gt;1500,$H615&lt;1,$H615&gt;12,$I615&lt;1,$I615&gt;31),"نامعتبر",RIGHT("0000"&amp;$G615,4)&amp;"/"&amp;RIGHT("00"&amp;$H615,2)&amp;"/"&amp;RIGHT("00"&amp;$I615,2)))</f>
        <v/>
      </c>
      <c r="K615">
        <f>IF(OR($F615="",$J615="",$J615="نامعتبر"),"",LEFT($J615,4)&amp;MID($J615,6,2)&amp;RIGHT($J615,2)&amp;$N615&amp;"|"&amp;"2"&amp;RIGHT("00000"&amp;610,5))</f>
        <v/>
      </c>
      <c r="L615">
        <f>IF($K615="","",COUNTIFS(LdgSellerA,$F615,LdgKeyA,"&lt;"&amp;$K615)+COUNTIFS(LdgSellerB,$F615,LdgKeyB,"&lt;"&amp;$K615)+1)</f>
        <v/>
      </c>
      <c r="M615">
        <f>IF($L615="","",$F615&amp;"|"&amp;RIGHT("000000"&amp;$L615,6))</f>
        <v/>
      </c>
      <c r="N615">
        <f>IF($F615="","",IF(Sync!$AF615="","0000",IF(AND(ISNUMBER(Sync!$AF615),Sync!$AF615&gt;=0,Sync!$AF615&lt;1),RIGHT("00"&amp;HOUR(Sync!$AF615),2)&amp;RIGHT("00"&amp;MINUTE(Sync!$AF615),2),IFERROR(RIGHT("00"&amp;VALUE(LEFT(Sync!$AF615,FIND(":",Sync!$AF615)-1)),2)&amp;RIGHT("00"&amp;VALUE(MID(Sync!$AF615,FIND(":",Sync!$AF615)+1,2)),2),"0000"))))</f>
        <v/>
      </c>
    </row>
    <row r="616">
      <c r="A616">
        <f>IF(OR(Calc!$E620="",Calc!$E620="نامعتبر",Calc!$G620=""),"",Calc!$G620)</f>
        <v/>
      </c>
      <c r="B616">
        <f>IF($A616="","",LEFT(Calc!$E620,4)&amp;MID(Calc!$E620,6,2)&amp;RIGHT(Calc!$E620,2)&amp;Calc!$Q620&amp;"|"&amp;"1"&amp;RIGHT("00000"&amp;611,5))</f>
        <v/>
      </c>
      <c r="C616">
        <f>IF($B616="","",COUNTIFS(LdgSellerA,$A616,LdgKeyA,"&lt;"&amp;$B616)+COUNTIFS(LdgSellerB,$A616,LdgKeyB,"&lt;"&amp;$B616)+1)</f>
        <v/>
      </c>
      <c r="D616">
        <f>IF($C616="","",$A616&amp;"|"&amp;RIGHT("000000"&amp;$C616,6))</f>
        <v/>
      </c>
      <c r="F616">
        <f>IF(Sync!$AH616="","",IF(LEFT(UPPER(TRIM(Sync!$AH616)),2)="SL",UPPER(TRIM(Sync!$AH616)),""))</f>
        <v/>
      </c>
      <c r="G616">
        <f>IF($F616="","",IF(Sync!$AE616="","",IF(ISNUMBER(Sync!$AE616),IF(AND(Sync!$AE616&gt;=10000101,Sync!$AE616&lt;=99991231),INT(Sync!$AE616/10000),""),IFERROR(VALUE(TRIM(LEFT(Sync!$AE616,FIND("/",Sync!$AE616)-1))),""))))</f>
        <v/>
      </c>
      <c r="H616">
        <f>IF(OR($F616="",$G616=""),"",IF(ISNUMBER(Sync!$AE616),INT(MOD(Sync!$AE616,10000)/100),IFERROR(VALUE(TRIM(LEFT(MID(Sync!$AE616,FIND("/",Sync!$AE616)+1,20),FIND("/",MID(Sync!$AE616,FIND("/",Sync!$AE616)+1,20))-1))),"")))</f>
        <v/>
      </c>
      <c r="I616">
        <f>IF(OR($F616="",$G616=""),"",IF(ISNUMBER(Sync!$AE616),MOD(Sync!$AE616,100),IFERROR(VALUE(TRIM(MID(MID(Sync!$AE616,FIND("/",Sync!$AE616)+1,20),FIND("/",MID(Sync!$AE616,FIND("/",Sync!$AE616)+1,20))+1,20))),"")))</f>
        <v/>
      </c>
      <c r="J616">
        <f>IF($F616="","",IF(OR($G616="",$H616="",$I616="",$G616&lt;1300,$G616&gt;1500,$H616&lt;1,$H616&gt;12,$I616&lt;1,$I616&gt;31),"نامعتبر",RIGHT("0000"&amp;$G616,4)&amp;"/"&amp;RIGHT("00"&amp;$H616,2)&amp;"/"&amp;RIGHT("00"&amp;$I616,2)))</f>
        <v/>
      </c>
      <c r="K616">
        <f>IF(OR($F616="",$J616="",$J616="نامعتبر"),"",LEFT($J616,4)&amp;MID($J616,6,2)&amp;RIGHT($J616,2)&amp;$N616&amp;"|"&amp;"2"&amp;RIGHT("00000"&amp;611,5))</f>
        <v/>
      </c>
      <c r="L616">
        <f>IF($K616="","",COUNTIFS(LdgSellerA,$F616,LdgKeyA,"&lt;"&amp;$K616)+COUNTIFS(LdgSellerB,$F616,LdgKeyB,"&lt;"&amp;$K616)+1)</f>
        <v/>
      </c>
      <c r="M616">
        <f>IF($L616="","",$F616&amp;"|"&amp;RIGHT("000000"&amp;$L616,6))</f>
        <v/>
      </c>
      <c r="N616">
        <f>IF($F616="","",IF(Sync!$AF616="","0000",IF(AND(ISNUMBER(Sync!$AF616),Sync!$AF616&gt;=0,Sync!$AF616&lt;1),RIGHT("00"&amp;HOUR(Sync!$AF616),2)&amp;RIGHT("00"&amp;MINUTE(Sync!$AF616),2),IFERROR(RIGHT("00"&amp;VALUE(LEFT(Sync!$AF616,FIND(":",Sync!$AF616)-1)),2)&amp;RIGHT("00"&amp;VALUE(MID(Sync!$AF616,FIND(":",Sync!$AF616)+1,2)),2),"0000"))))</f>
        <v/>
      </c>
    </row>
    <row r="617">
      <c r="A617">
        <f>IF(OR(Calc!$E621="",Calc!$E621="نامعتبر",Calc!$G621=""),"",Calc!$G621)</f>
        <v/>
      </c>
      <c r="B617">
        <f>IF($A617="","",LEFT(Calc!$E621,4)&amp;MID(Calc!$E621,6,2)&amp;RIGHT(Calc!$E621,2)&amp;Calc!$Q621&amp;"|"&amp;"1"&amp;RIGHT("00000"&amp;612,5))</f>
        <v/>
      </c>
      <c r="C617">
        <f>IF($B617="","",COUNTIFS(LdgSellerA,$A617,LdgKeyA,"&lt;"&amp;$B617)+COUNTIFS(LdgSellerB,$A617,LdgKeyB,"&lt;"&amp;$B617)+1)</f>
        <v/>
      </c>
      <c r="D617">
        <f>IF($C617="","",$A617&amp;"|"&amp;RIGHT("000000"&amp;$C617,6))</f>
        <v/>
      </c>
      <c r="F617">
        <f>IF(Sync!$AH617="","",IF(LEFT(UPPER(TRIM(Sync!$AH617)),2)="SL",UPPER(TRIM(Sync!$AH617)),""))</f>
        <v/>
      </c>
      <c r="G617">
        <f>IF($F617="","",IF(Sync!$AE617="","",IF(ISNUMBER(Sync!$AE617),IF(AND(Sync!$AE617&gt;=10000101,Sync!$AE617&lt;=99991231),INT(Sync!$AE617/10000),""),IFERROR(VALUE(TRIM(LEFT(Sync!$AE617,FIND("/",Sync!$AE617)-1))),""))))</f>
        <v/>
      </c>
      <c r="H617">
        <f>IF(OR($F617="",$G617=""),"",IF(ISNUMBER(Sync!$AE617),INT(MOD(Sync!$AE617,10000)/100),IFERROR(VALUE(TRIM(LEFT(MID(Sync!$AE617,FIND("/",Sync!$AE617)+1,20),FIND("/",MID(Sync!$AE617,FIND("/",Sync!$AE617)+1,20))-1))),"")))</f>
        <v/>
      </c>
      <c r="I617">
        <f>IF(OR($F617="",$G617=""),"",IF(ISNUMBER(Sync!$AE617),MOD(Sync!$AE617,100),IFERROR(VALUE(TRIM(MID(MID(Sync!$AE617,FIND("/",Sync!$AE617)+1,20),FIND("/",MID(Sync!$AE617,FIND("/",Sync!$AE617)+1,20))+1,20))),"")))</f>
        <v/>
      </c>
      <c r="J617">
        <f>IF($F617="","",IF(OR($G617="",$H617="",$I617="",$G617&lt;1300,$G617&gt;1500,$H617&lt;1,$H617&gt;12,$I617&lt;1,$I617&gt;31),"نامعتبر",RIGHT("0000"&amp;$G617,4)&amp;"/"&amp;RIGHT("00"&amp;$H617,2)&amp;"/"&amp;RIGHT("00"&amp;$I617,2)))</f>
        <v/>
      </c>
      <c r="K617">
        <f>IF(OR($F617="",$J617="",$J617="نامعتبر"),"",LEFT($J617,4)&amp;MID($J617,6,2)&amp;RIGHT($J617,2)&amp;$N617&amp;"|"&amp;"2"&amp;RIGHT("00000"&amp;612,5))</f>
        <v/>
      </c>
      <c r="L617">
        <f>IF($K617="","",COUNTIFS(LdgSellerA,$F617,LdgKeyA,"&lt;"&amp;$K617)+COUNTIFS(LdgSellerB,$F617,LdgKeyB,"&lt;"&amp;$K617)+1)</f>
        <v/>
      </c>
      <c r="M617">
        <f>IF($L617="","",$F617&amp;"|"&amp;RIGHT("000000"&amp;$L617,6))</f>
        <v/>
      </c>
      <c r="N617">
        <f>IF($F617="","",IF(Sync!$AF617="","0000",IF(AND(ISNUMBER(Sync!$AF617),Sync!$AF617&gt;=0,Sync!$AF617&lt;1),RIGHT("00"&amp;HOUR(Sync!$AF617),2)&amp;RIGHT("00"&amp;MINUTE(Sync!$AF617),2),IFERROR(RIGHT("00"&amp;VALUE(LEFT(Sync!$AF617,FIND(":",Sync!$AF617)-1)),2)&amp;RIGHT("00"&amp;VALUE(MID(Sync!$AF617,FIND(":",Sync!$AF617)+1,2)),2),"0000"))))</f>
        <v/>
      </c>
    </row>
    <row r="618">
      <c r="A618">
        <f>IF(OR(Calc!$E622="",Calc!$E622="نامعتبر",Calc!$G622=""),"",Calc!$G622)</f>
        <v/>
      </c>
      <c r="B618">
        <f>IF($A618="","",LEFT(Calc!$E622,4)&amp;MID(Calc!$E622,6,2)&amp;RIGHT(Calc!$E622,2)&amp;Calc!$Q622&amp;"|"&amp;"1"&amp;RIGHT("00000"&amp;613,5))</f>
        <v/>
      </c>
      <c r="C618">
        <f>IF($B618="","",COUNTIFS(LdgSellerA,$A618,LdgKeyA,"&lt;"&amp;$B618)+COUNTIFS(LdgSellerB,$A618,LdgKeyB,"&lt;"&amp;$B618)+1)</f>
        <v/>
      </c>
      <c r="D618">
        <f>IF($C618="","",$A618&amp;"|"&amp;RIGHT("000000"&amp;$C618,6))</f>
        <v/>
      </c>
      <c r="F618">
        <f>IF(Sync!$AH618="","",IF(LEFT(UPPER(TRIM(Sync!$AH618)),2)="SL",UPPER(TRIM(Sync!$AH618)),""))</f>
        <v/>
      </c>
      <c r="G618">
        <f>IF($F618="","",IF(Sync!$AE618="","",IF(ISNUMBER(Sync!$AE618),IF(AND(Sync!$AE618&gt;=10000101,Sync!$AE618&lt;=99991231),INT(Sync!$AE618/10000),""),IFERROR(VALUE(TRIM(LEFT(Sync!$AE618,FIND("/",Sync!$AE618)-1))),""))))</f>
        <v/>
      </c>
      <c r="H618">
        <f>IF(OR($F618="",$G618=""),"",IF(ISNUMBER(Sync!$AE618),INT(MOD(Sync!$AE618,10000)/100),IFERROR(VALUE(TRIM(LEFT(MID(Sync!$AE618,FIND("/",Sync!$AE618)+1,20),FIND("/",MID(Sync!$AE618,FIND("/",Sync!$AE618)+1,20))-1))),"")))</f>
        <v/>
      </c>
      <c r="I618">
        <f>IF(OR($F618="",$G618=""),"",IF(ISNUMBER(Sync!$AE618),MOD(Sync!$AE618,100),IFERROR(VALUE(TRIM(MID(MID(Sync!$AE618,FIND("/",Sync!$AE618)+1,20),FIND("/",MID(Sync!$AE618,FIND("/",Sync!$AE618)+1,20))+1,20))),"")))</f>
        <v/>
      </c>
      <c r="J618">
        <f>IF($F618="","",IF(OR($G618="",$H618="",$I618="",$G618&lt;1300,$G618&gt;1500,$H618&lt;1,$H618&gt;12,$I618&lt;1,$I618&gt;31),"نامعتبر",RIGHT("0000"&amp;$G618,4)&amp;"/"&amp;RIGHT("00"&amp;$H618,2)&amp;"/"&amp;RIGHT("00"&amp;$I618,2)))</f>
        <v/>
      </c>
      <c r="K618">
        <f>IF(OR($F618="",$J618="",$J618="نامعتبر"),"",LEFT($J618,4)&amp;MID($J618,6,2)&amp;RIGHT($J618,2)&amp;$N618&amp;"|"&amp;"2"&amp;RIGHT("00000"&amp;613,5))</f>
        <v/>
      </c>
      <c r="L618">
        <f>IF($K618="","",COUNTIFS(LdgSellerA,$F618,LdgKeyA,"&lt;"&amp;$K618)+COUNTIFS(LdgSellerB,$F618,LdgKeyB,"&lt;"&amp;$K618)+1)</f>
        <v/>
      </c>
      <c r="M618">
        <f>IF($L618="","",$F618&amp;"|"&amp;RIGHT("000000"&amp;$L618,6))</f>
        <v/>
      </c>
      <c r="N618">
        <f>IF($F618="","",IF(Sync!$AF618="","0000",IF(AND(ISNUMBER(Sync!$AF618),Sync!$AF618&gt;=0,Sync!$AF618&lt;1),RIGHT("00"&amp;HOUR(Sync!$AF618),2)&amp;RIGHT("00"&amp;MINUTE(Sync!$AF618),2),IFERROR(RIGHT("00"&amp;VALUE(LEFT(Sync!$AF618,FIND(":",Sync!$AF618)-1)),2)&amp;RIGHT("00"&amp;VALUE(MID(Sync!$AF618,FIND(":",Sync!$AF618)+1,2)),2),"0000"))))</f>
        <v/>
      </c>
    </row>
    <row r="619">
      <c r="A619">
        <f>IF(OR(Calc!$E623="",Calc!$E623="نامعتبر",Calc!$G623=""),"",Calc!$G623)</f>
        <v/>
      </c>
      <c r="B619">
        <f>IF($A619="","",LEFT(Calc!$E623,4)&amp;MID(Calc!$E623,6,2)&amp;RIGHT(Calc!$E623,2)&amp;Calc!$Q623&amp;"|"&amp;"1"&amp;RIGHT("00000"&amp;614,5))</f>
        <v/>
      </c>
      <c r="C619">
        <f>IF($B619="","",COUNTIFS(LdgSellerA,$A619,LdgKeyA,"&lt;"&amp;$B619)+COUNTIFS(LdgSellerB,$A619,LdgKeyB,"&lt;"&amp;$B619)+1)</f>
        <v/>
      </c>
      <c r="D619">
        <f>IF($C619="","",$A619&amp;"|"&amp;RIGHT("000000"&amp;$C619,6))</f>
        <v/>
      </c>
      <c r="F619">
        <f>IF(Sync!$AH619="","",IF(LEFT(UPPER(TRIM(Sync!$AH619)),2)="SL",UPPER(TRIM(Sync!$AH619)),""))</f>
        <v/>
      </c>
      <c r="G619">
        <f>IF($F619="","",IF(Sync!$AE619="","",IF(ISNUMBER(Sync!$AE619),IF(AND(Sync!$AE619&gt;=10000101,Sync!$AE619&lt;=99991231),INT(Sync!$AE619/10000),""),IFERROR(VALUE(TRIM(LEFT(Sync!$AE619,FIND("/",Sync!$AE619)-1))),""))))</f>
        <v/>
      </c>
      <c r="H619">
        <f>IF(OR($F619="",$G619=""),"",IF(ISNUMBER(Sync!$AE619),INT(MOD(Sync!$AE619,10000)/100),IFERROR(VALUE(TRIM(LEFT(MID(Sync!$AE619,FIND("/",Sync!$AE619)+1,20),FIND("/",MID(Sync!$AE619,FIND("/",Sync!$AE619)+1,20))-1))),"")))</f>
        <v/>
      </c>
      <c r="I619">
        <f>IF(OR($F619="",$G619=""),"",IF(ISNUMBER(Sync!$AE619),MOD(Sync!$AE619,100),IFERROR(VALUE(TRIM(MID(MID(Sync!$AE619,FIND("/",Sync!$AE619)+1,20),FIND("/",MID(Sync!$AE619,FIND("/",Sync!$AE619)+1,20))+1,20))),"")))</f>
        <v/>
      </c>
      <c r="J619">
        <f>IF($F619="","",IF(OR($G619="",$H619="",$I619="",$G619&lt;1300,$G619&gt;1500,$H619&lt;1,$H619&gt;12,$I619&lt;1,$I619&gt;31),"نامعتبر",RIGHT("0000"&amp;$G619,4)&amp;"/"&amp;RIGHT("00"&amp;$H619,2)&amp;"/"&amp;RIGHT("00"&amp;$I619,2)))</f>
        <v/>
      </c>
      <c r="K619">
        <f>IF(OR($F619="",$J619="",$J619="نامعتبر"),"",LEFT($J619,4)&amp;MID($J619,6,2)&amp;RIGHT($J619,2)&amp;$N619&amp;"|"&amp;"2"&amp;RIGHT("00000"&amp;614,5))</f>
        <v/>
      </c>
      <c r="L619">
        <f>IF($K619="","",COUNTIFS(LdgSellerA,$F619,LdgKeyA,"&lt;"&amp;$K619)+COUNTIFS(LdgSellerB,$F619,LdgKeyB,"&lt;"&amp;$K619)+1)</f>
        <v/>
      </c>
      <c r="M619">
        <f>IF($L619="","",$F619&amp;"|"&amp;RIGHT("000000"&amp;$L619,6))</f>
        <v/>
      </c>
      <c r="N619">
        <f>IF($F619="","",IF(Sync!$AF619="","0000",IF(AND(ISNUMBER(Sync!$AF619),Sync!$AF619&gt;=0,Sync!$AF619&lt;1),RIGHT("00"&amp;HOUR(Sync!$AF619),2)&amp;RIGHT("00"&amp;MINUTE(Sync!$AF619),2),IFERROR(RIGHT("00"&amp;VALUE(LEFT(Sync!$AF619,FIND(":",Sync!$AF619)-1)),2)&amp;RIGHT("00"&amp;VALUE(MID(Sync!$AF619,FIND(":",Sync!$AF619)+1,2)),2),"0000"))))</f>
        <v/>
      </c>
    </row>
    <row r="620">
      <c r="A620">
        <f>IF(OR(Calc!$E624="",Calc!$E624="نامعتبر",Calc!$G624=""),"",Calc!$G624)</f>
        <v/>
      </c>
      <c r="B620">
        <f>IF($A620="","",LEFT(Calc!$E624,4)&amp;MID(Calc!$E624,6,2)&amp;RIGHT(Calc!$E624,2)&amp;Calc!$Q624&amp;"|"&amp;"1"&amp;RIGHT("00000"&amp;615,5))</f>
        <v/>
      </c>
      <c r="C620">
        <f>IF($B620="","",COUNTIFS(LdgSellerA,$A620,LdgKeyA,"&lt;"&amp;$B620)+COUNTIFS(LdgSellerB,$A620,LdgKeyB,"&lt;"&amp;$B620)+1)</f>
        <v/>
      </c>
      <c r="D620">
        <f>IF($C620="","",$A620&amp;"|"&amp;RIGHT("000000"&amp;$C620,6))</f>
        <v/>
      </c>
      <c r="F620">
        <f>IF(Sync!$AH620="","",IF(LEFT(UPPER(TRIM(Sync!$AH620)),2)="SL",UPPER(TRIM(Sync!$AH620)),""))</f>
        <v/>
      </c>
      <c r="G620">
        <f>IF($F620="","",IF(Sync!$AE620="","",IF(ISNUMBER(Sync!$AE620),IF(AND(Sync!$AE620&gt;=10000101,Sync!$AE620&lt;=99991231),INT(Sync!$AE620/10000),""),IFERROR(VALUE(TRIM(LEFT(Sync!$AE620,FIND("/",Sync!$AE620)-1))),""))))</f>
        <v/>
      </c>
      <c r="H620">
        <f>IF(OR($F620="",$G620=""),"",IF(ISNUMBER(Sync!$AE620),INT(MOD(Sync!$AE620,10000)/100),IFERROR(VALUE(TRIM(LEFT(MID(Sync!$AE620,FIND("/",Sync!$AE620)+1,20),FIND("/",MID(Sync!$AE620,FIND("/",Sync!$AE620)+1,20))-1))),"")))</f>
        <v/>
      </c>
      <c r="I620">
        <f>IF(OR($F620="",$G620=""),"",IF(ISNUMBER(Sync!$AE620),MOD(Sync!$AE620,100),IFERROR(VALUE(TRIM(MID(MID(Sync!$AE620,FIND("/",Sync!$AE620)+1,20),FIND("/",MID(Sync!$AE620,FIND("/",Sync!$AE620)+1,20))+1,20))),"")))</f>
        <v/>
      </c>
      <c r="J620">
        <f>IF($F620="","",IF(OR($G620="",$H620="",$I620="",$G620&lt;1300,$G620&gt;1500,$H620&lt;1,$H620&gt;12,$I620&lt;1,$I620&gt;31),"نامعتبر",RIGHT("0000"&amp;$G620,4)&amp;"/"&amp;RIGHT("00"&amp;$H620,2)&amp;"/"&amp;RIGHT("00"&amp;$I620,2)))</f>
        <v/>
      </c>
      <c r="K620">
        <f>IF(OR($F620="",$J620="",$J620="نامعتبر"),"",LEFT($J620,4)&amp;MID($J620,6,2)&amp;RIGHT($J620,2)&amp;$N620&amp;"|"&amp;"2"&amp;RIGHT("00000"&amp;615,5))</f>
        <v/>
      </c>
      <c r="L620">
        <f>IF($K620="","",COUNTIFS(LdgSellerA,$F620,LdgKeyA,"&lt;"&amp;$K620)+COUNTIFS(LdgSellerB,$F620,LdgKeyB,"&lt;"&amp;$K620)+1)</f>
        <v/>
      </c>
      <c r="M620">
        <f>IF($L620="","",$F620&amp;"|"&amp;RIGHT("000000"&amp;$L620,6))</f>
        <v/>
      </c>
      <c r="N620">
        <f>IF($F620="","",IF(Sync!$AF620="","0000",IF(AND(ISNUMBER(Sync!$AF620),Sync!$AF620&gt;=0,Sync!$AF620&lt;1),RIGHT("00"&amp;HOUR(Sync!$AF620),2)&amp;RIGHT("00"&amp;MINUTE(Sync!$AF620),2),IFERROR(RIGHT("00"&amp;VALUE(LEFT(Sync!$AF620,FIND(":",Sync!$AF620)-1)),2)&amp;RIGHT("00"&amp;VALUE(MID(Sync!$AF620,FIND(":",Sync!$AF620)+1,2)),2),"0000"))))</f>
        <v/>
      </c>
    </row>
    <row r="621">
      <c r="A621">
        <f>IF(OR(Calc!$E625="",Calc!$E625="نامعتبر",Calc!$G625=""),"",Calc!$G625)</f>
        <v/>
      </c>
      <c r="B621">
        <f>IF($A621="","",LEFT(Calc!$E625,4)&amp;MID(Calc!$E625,6,2)&amp;RIGHT(Calc!$E625,2)&amp;Calc!$Q625&amp;"|"&amp;"1"&amp;RIGHT("00000"&amp;616,5))</f>
        <v/>
      </c>
      <c r="C621">
        <f>IF($B621="","",COUNTIFS(LdgSellerA,$A621,LdgKeyA,"&lt;"&amp;$B621)+COUNTIFS(LdgSellerB,$A621,LdgKeyB,"&lt;"&amp;$B621)+1)</f>
        <v/>
      </c>
      <c r="D621">
        <f>IF($C621="","",$A621&amp;"|"&amp;RIGHT("000000"&amp;$C621,6))</f>
        <v/>
      </c>
      <c r="F621">
        <f>IF(Sync!$AH621="","",IF(LEFT(UPPER(TRIM(Sync!$AH621)),2)="SL",UPPER(TRIM(Sync!$AH621)),""))</f>
        <v/>
      </c>
      <c r="G621">
        <f>IF($F621="","",IF(Sync!$AE621="","",IF(ISNUMBER(Sync!$AE621),IF(AND(Sync!$AE621&gt;=10000101,Sync!$AE621&lt;=99991231),INT(Sync!$AE621/10000),""),IFERROR(VALUE(TRIM(LEFT(Sync!$AE621,FIND("/",Sync!$AE621)-1))),""))))</f>
        <v/>
      </c>
      <c r="H621">
        <f>IF(OR($F621="",$G621=""),"",IF(ISNUMBER(Sync!$AE621),INT(MOD(Sync!$AE621,10000)/100),IFERROR(VALUE(TRIM(LEFT(MID(Sync!$AE621,FIND("/",Sync!$AE621)+1,20),FIND("/",MID(Sync!$AE621,FIND("/",Sync!$AE621)+1,20))-1))),"")))</f>
        <v/>
      </c>
      <c r="I621">
        <f>IF(OR($F621="",$G621=""),"",IF(ISNUMBER(Sync!$AE621),MOD(Sync!$AE621,100),IFERROR(VALUE(TRIM(MID(MID(Sync!$AE621,FIND("/",Sync!$AE621)+1,20),FIND("/",MID(Sync!$AE621,FIND("/",Sync!$AE621)+1,20))+1,20))),"")))</f>
        <v/>
      </c>
      <c r="J621">
        <f>IF($F621="","",IF(OR($G621="",$H621="",$I621="",$G621&lt;1300,$G621&gt;1500,$H621&lt;1,$H621&gt;12,$I621&lt;1,$I621&gt;31),"نامعتبر",RIGHT("0000"&amp;$G621,4)&amp;"/"&amp;RIGHT("00"&amp;$H621,2)&amp;"/"&amp;RIGHT("00"&amp;$I621,2)))</f>
        <v/>
      </c>
      <c r="K621">
        <f>IF(OR($F621="",$J621="",$J621="نامعتبر"),"",LEFT($J621,4)&amp;MID($J621,6,2)&amp;RIGHT($J621,2)&amp;$N621&amp;"|"&amp;"2"&amp;RIGHT("00000"&amp;616,5))</f>
        <v/>
      </c>
      <c r="L621">
        <f>IF($K621="","",COUNTIFS(LdgSellerA,$F621,LdgKeyA,"&lt;"&amp;$K621)+COUNTIFS(LdgSellerB,$F621,LdgKeyB,"&lt;"&amp;$K621)+1)</f>
        <v/>
      </c>
      <c r="M621">
        <f>IF($L621="","",$F621&amp;"|"&amp;RIGHT("000000"&amp;$L621,6))</f>
        <v/>
      </c>
      <c r="N621">
        <f>IF($F621="","",IF(Sync!$AF621="","0000",IF(AND(ISNUMBER(Sync!$AF621),Sync!$AF621&gt;=0,Sync!$AF621&lt;1),RIGHT("00"&amp;HOUR(Sync!$AF621),2)&amp;RIGHT("00"&amp;MINUTE(Sync!$AF621),2),IFERROR(RIGHT("00"&amp;VALUE(LEFT(Sync!$AF621,FIND(":",Sync!$AF621)-1)),2)&amp;RIGHT("00"&amp;VALUE(MID(Sync!$AF621,FIND(":",Sync!$AF621)+1,2)),2),"0000"))))</f>
        <v/>
      </c>
    </row>
    <row r="622">
      <c r="A622">
        <f>IF(OR(Calc!$E626="",Calc!$E626="نامعتبر",Calc!$G626=""),"",Calc!$G626)</f>
        <v/>
      </c>
      <c r="B622">
        <f>IF($A622="","",LEFT(Calc!$E626,4)&amp;MID(Calc!$E626,6,2)&amp;RIGHT(Calc!$E626,2)&amp;Calc!$Q626&amp;"|"&amp;"1"&amp;RIGHT("00000"&amp;617,5))</f>
        <v/>
      </c>
      <c r="C622">
        <f>IF($B622="","",COUNTIFS(LdgSellerA,$A622,LdgKeyA,"&lt;"&amp;$B622)+COUNTIFS(LdgSellerB,$A622,LdgKeyB,"&lt;"&amp;$B622)+1)</f>
        <v/>
      </c>
      <c r="D622">
        <f>IF($C622="","",$A622&amp;"|"&amp;RIGHT("000000"&amp;$C622,6))</f>
        <v/>
      </c>
      <c r="F622">
        <f>IF(Sync!$AH622="","",IF(LEFT(UPPER(TRIM(Sync!$AH622)),2)="SL",UPPER(TRIM(Sync!$AH622)),""))</f>
        <v/>
      </c>
      <c r="G622">
        <f>IF($F622="","",IF(Sync!$AE622="","",IF(ISNUMBER(Sync!$AE622),IF(AND(Sync!$AE622&gt;=10000101,Sync!$AE622&lt;=99991231),INT(Sync!$AE622/10000),""),IFERROR(VALUE(TRIM(LEFT(Sync!$AE622,FIND("/",Sync!$AE622)-1))),""))))</f>
        <v/>
      </c>
      <c r="H622">
        <f>IF(OR($F622="",$G622=""),"",IF(ISNUMBER(Sync!$AE622),INT(MOD(Sync!$AE622,10000)/100),IFERROR(VALUE(TRIM(LEFT(MID(Sync!$AE622,FIND("/",Sync!$AE622)+1,20),FIND("/",MID(Sync!$AE622,FIND("/",Sync!$AE622)+1,20))-1))),"")))</f>
        <v/>
      </c>
      <c r="I622">
        <f>IF(OR($F622="",$G622=""),"",IF(ISNUMBER(Sync!$AE622),MOD(Sync!$AE622,100),IFERROR(VALUE(TRIM(MID(MID(Sync!$AE622,FIND("/",Sync!$AE622)+1,20),FIND("/",MID(Sync!$AE622,FIND("/",Sync!$AE622)+1,20))+1,20))),"")))</f>
        <v/>
      </c>
      <c r="J622">
        <f>IF($F622="","",IF(OR($G622="",$H622="",$I622="",$G622&lt;1300,$G622&gt;1500,$H622&lt;1,$H622&gt;12,$I622&lt;1,$I622&gt;31),"نامعتبر",RIGHT("0000"&amp;$G622,4)&amp;"/"&amp;RIGHT("00"&amp;$H622,2)&amp;"/"&amp;RIGHT("00"&amp;$I622,2)))</f>
        <v/>
      </c>
      <c r="K622">
        <f>IF(OR($F622="",$J622="",$J622="نامعتبر"),"",LEFT($J622,4)&amp;MID($J622,6,2)&amp;RIGHT($J622,2)&amp;$N622&amp;"|"&amp;"2"&amp;RIGHT("00000"&amp;617,5))</f>
        <v/>
      </c>
      <c r="L622">
        <f>IF($K622="","",COUNTIFS(LdgSellerA,$F622,LdgKeyA,"&lt;"&amp;$K622)+COUNTIFS(LdgSellerB,$F622,LdgKeyB,"&lt;"&amp;$K622)+1)</f>
        <v/>
      </c>
      <c r="M622">
        <f>IF($L622="","",$F622&amp;"|"&amp;RIGHT("000000"&amp;$L622,6))</f>
        <v/>
      </c>
      <c r="N622">
        <f>IF($F622="","",IF(Sync!$AF622="","0000",IF(AND(ISNUMBER(Sync!$AF622),Sync!$AF622&gt;=0,Sync!$AF622&lt;1),RIGHT("00"&amp;HOUR(Sync!$AF622),2)&amp;RIGHT("00"&amp;MINUTE(Sync!$AF622),2),IFERROR(RIGHT("00"&amp;VALUE(LEFT(Sync!$AF622,FIND(":",Sync!$AF622)-1)),2)&amp;RIGHT("00"&amp;VALUE(MID(Sync!$AF622,FIND(":",Sync!$AF622)+1,2)),2),"0000"))))</f>
        <v/>
      </c>
    </row>
    <row r="623">
      <c r="A623">
        <f>IF(OR(Calc!$E627="",Calc!$E627="نامعتبر",Calc!$G627=""),"",Calc!$G627)</f>
        <v/>
      </c>
      <c r="B623">
        <f>IF($A623="","",LEFT(Calc!$E627,4)&amp;MID(Calc!$E627,6,2)&amp;RIGHT(Calc!$E627,2)&amp;Calc!$Q627&amp;"|"&amp;"1"&amp;RIGHT("00000"&amp;618,5))</f>
        <v/>
      </c>
      <c r="C623">
        <f>IF($B623="","",COUNTIFS(LdgSellerA,$A623,LdgKeyA,"&lt;"&amp;$B623)+COUNTIFS(LdgSellerB,$A623,LdgKeyB,"&lt;"&amp;$B623)+1)</f>
        <v/>
      </c>
      <c r="D623">
        <f>IF($C623="","",$A623&amp;"|"&amp;RIGHT("000000"&amp;$C623,6))</f>
        <v/>
      </c>
      <c r="F623">
        <f>IF(Sync!$AH623="","",IF(LEFT(UPPER(TRIM(Sync!$AH623)),2)="SL",UPPER(TRIM(Sync!$AH623)),""))</f>
        <v/>
      </c>
      <c r="G623">
        <f>IF($F623="","",IF(Sync!$AE623="","",IF(ISNUMBER(Sync!$AE623),IF(AND(Sync!$AE623&gt;=10000101,Sync!$AE623&lt;=99991231),INT(Sync!$AE623/10000),""),IFERROR(VALUE(TRIM(LEFT(Sync!$AE623,FIND("/",Sync!$AE623)-1))),""))))</f>
        <v/>
      </c>
      <c r="H623">
        <f>IF(OR($F623="",$G623=""),"",IF(ISNUMBER(Sync!$AE623),INT(MOD(Sync!$AE623,10000)/100),IFERROR(VALUE(TRIM(LEFT(MID(Sync!$AE623,FIND("/",Sync!$AE623)+1,20),FIND("/",MID(Sync!$AE623,FIND("/",Sync!$AE623)+1,20))-1))),"")))</f>
        <v/>
      </c>
      <c r="I623">
        <f>IF(OR($F623="",$G623=""),"",IF(ISNUMBER(Sync!$AE623),MOD(Sync!$AE623,100),IFERROR(VALUE(TRIM(MID(MID(Sync!$AE623,FIND("/",Sync!$AE623)+1,20),FIND("/",MID(Sync!$AE623,FIND("/",Sync!$AE623)+1,20))+1,20))),"")))</f>
        <v/>
      </c>
      <c r="J623">
        <f>IF($F623="","",IF(OR($G623="",$H623="",$I623="",$G623&lt;1300,$G623&gt;1500,$H623&lt;1,$H623&gt;12,$I623&lt;1,$I623&gt;31),"نامعتبر",RIGHT("0000"&amp;$G623,4)&amp;"/"&amp;RIGHT("00"&amp;$H623,2)&amp;"/"&amp;RIGHT("00"&amp;$I623,2)))</f>
        <v/>
      </c>
      <c r="K623">
        <f>IF(OR($F623="",$J623="",$J623="نامعتبر"),"",LEFT($J623,4)&amp;MID($J623,6,2)&amp;RIGHT($J623,2)&amp;$N623&amp;"|"&amp;"2"&amp;RIGHT("00000"&amp;618,5))</f>
        <v/>
      </c>
      <c r="L623">
        <f>IF($K623="","",COUNTIFS(LdgSellerA,$F623,LdgKeyA,"&lt;"&amp;$K623)+COUNTIFS(LdgSellerB,$F623,LdgKeyB,"&lt;"&amp;$K623)+1)</f>
        <v/>
      </c>
      <c r="M623">
        <f>IF($L623="","",$F623&amp;"|"&amp;RIGHT("000000"&amp;$L623,6))</f>
        <v/>
      </c>
      <c r="N623">
        <f>IF($F623="","",IF(Sync!$AF623="","0000",IF(AND(ISNUMBER(Sync!$AF623),Sync!$AF623&gt;=0,Sync!$AF623&lt;1),RIGHT("00"&amp;HOUR(Sync!$AF623),2)&amp;RIGHT("00"&amp;MINUTE(Sync!$AF623),2),IFERROR(RIGHT("00"&amp;VALUE(LEFT(Sync!$AF623,FIND(":",Sync!$AF623)-1)),2)&amp;RIGHT("00"&amp;VALUE(MID(Sync!$AF623,FIND(":",Sync!$AF623)+1,2)),2),"0000"))))</f>
        <v/>
      </c>
    </row>
    <row r="624">
      <c r="A624">
        <f>IF(OR(Calc!$E628="",Calc!$E628="نامعتبر",Calc!$G628=""),"",Calc!$G628)</f>
        <v/>
      </c>
      <c r="B624">
        <f>IF($A624="","",LEFT(Calc!$E628,4)&amp;MID(Calc!$E628,6,2)&amp;RIGHT(Calc!$E628,2)&amp;Calc!$Q628&amp;"|"&amp;"1"&amp;RIGHT("00000"&amp;619,5))</f>
        <v/>
      </c>
      <c r="C624">
        <f>IF($B624="","",COUNTIFS(LdgSellerA,$A624,LdgKeyA,"&lt;"&amp;$B624)+COUNTIFS(LdgSellerB,$A624,LdgKeyB,"&lt;"&amp;$B624)+1)</f>
        <v/>
      </c>
      <c r="D624">
        <f>IF($C624="","",$A624&amp;"|"&amp;RIGHT("000000"&amp;$C624,6))</f>
        <v/>
      </c>
      <c r="F624">
        <f>IF(Sync!$AH624="","",IF(LEFT(UPPER(TRIM(Sync!$AH624)),2)="SL",UPPER(TRIM(Sync!$AH624)),""))</f>
        <v/>
      </c>
      <c r="G624">
        <f>IF($F624="","",IF(Sync!$AE624="","",IF(ISNUMBER(Sync!$AE624),IF(AND(Sync!$AE624&gt;=10000101,Sync!$AE624&lt;=99991231),INT(Sync!$AE624/10000),""),IFERROR(VALUE(TRIM(LEFT(Sync!$AE624,FIND("/",Sync!$AE624)-1))),""))))</f>
        <v/>
      </c>
      <c r="H624">
        <f>IF(OR($F624="",$G624=""),"",IF(ISNUMBER(Sync!$AE624),INT(MOD(Sync!$AE624,10000)/100),IFERROR(VALUE(TRIM(LEFT(MID(Sync!$AE624,FIND("/",Sync!$AE624)+1,20),FIND("/",MID(Sync!$AE624,FIND("/",Sync!$AE624)+1,20))-1))),"")))</f>
        <v/>
      </c>
      <c r="I624">
        <f>IF(OR($F624="",$G624=""),"",IF(ISNUMBER(Sync!$AE624),MOD(Sync!$AE624,100),IFERROR(VALUE(TRIM(MID(MID(Sync!$AE624,FIND("/",Sync!$AE624)+1,20),FIND("/",MID(Sync!$AE624,FIND("/",Sync!$AE624)+1,20))+1,20))),"")))</f>
        <v/>
      </c>
      <c r="J624">
        <f>IF($F624="","",IF(OR($G624="",$H624="",$I624="",$G624&lt;1300,$G624&gt;1500,$H624&lt;1,$H624&gt;12,$I624&lt;1,$I624&gt;31),"نامعتبر",RIGHT("0000"&amp;$G624,4)&amp;"/"&amp;RIGHT("00"&amp;$H624,2)&amp;"/"&amp;RIGHT("00"&amp;$I624,2)))</f>
        <v/>
      </c>
      <c r="K624">
        <f>IF(OR($F624="",$J624="",$J624="نامعتبر"),"",LEFT($J624,4)&amp;MID($J624,6,2)&amp;RIGHT($J624,2)&amp;$N624&amp;"|"&amp;"2"&amp;RIGHT("00000"&amp;619,5))</f>
        <v/>
      </c>
      <c r="L624">
        <f>IF($K624="","",COUNTIFS(LdgSellerA,$F624,LdgKeyA,"&lt;"&amp;$K624)+COUNTIFS(LdgSellerB,$F624,LdgKeyB,"&lt;"&amp;$K624)+1)</f>
        <v/>
      </c>
      <c r="M624">
        <f>IF($L624="","",$F624&amp;"|"&amp;RIGHT("000000"&amp;$L624,6))</f>
        <v/>
      </c>
      <c r="N624">
        <f>IF($F624="","",IF(Sync!$AF624="","0000",IF(AND(ISNUMBER(Sync!$AF624),Sync!$AF624&gt;=0,Sync!$AF624&lt;1),RIGHT("00"&amp;HOUR(Sync!$AF624),2)&amp;RIGHT("00"&amp;MINUTE(Sync!$AF624),2),IFERROR(RIGHT("00"&amp;VALUE(LEFT(Sync!$AF624,FIND(":",Sync!$AF624)-1)),2)&amp;RIGHT("00"&amp;VALUE(MID(Sync!$AF624,FIND(":",Sync!$AF624)+1,2)),2),"0000"))))</f>
        <v/>
      </c>
    </row>
    <row r="625">
      <c r="A625">
        <f>IF(OR(Calc!$E629="",Calc!$E629="نامعتبر",Calc!$G629=""),"",Calc!$G629)</f>
        <v/>
      </c>
      <c r="B625">
        <f>IF($A625="","",LEFT(Calc!$E629,4)&amp;MID(Calc!$E629,6,2)&amp;RIGHT(Calc!$E629,2)&amp;Calc!$Q629&amp;"|"&amp;"1"&amp;RIGHT("00000"&amp;620,5))</f>
        <v/>
      </c>
      <c r="C625">
        <f>IF($B625="","",COUNTIFS(LdgSellerA,$A625,LdgKeyA,"&lt;"&amp;$B625)+COUNTIFS(LdgSellerB,$A625,LdgKeyB,"&lt;"&amp;$B625)+1)</f>
        <v/>
      </c>
      <c r="D625">
        <f>IF($C625="","",$A625&amp;"|"&amp;RIGHT("000000"&amp;$C625,6))</f>
        <v/>
      </c>
      <c r="F625">
        <f>IF(Sync!$AH625="","",IF(LEFT(UPPER(TRIM(Sync!$AH625)),2)="SL",UPPER(TRIM(Sync!$AH625)),""))</f>
        <v/>
      </c>
      <c r="G625">
        <f>IF($F625="","",IF(Sync!$AE625="","",IF(ISNUMBER(Sync!$AE625),IF(AND(Sync!$AE625&gt;=10000101,Sync!$AE625&lt;=99991231),INT(Sync!$AE625/10000),""),IFERROR(VALUE(TRIM(LEFT(Sync!$AE625,FIND("/",Sync!$AE625)-1))),""))))</f>
        <v/>
      </c>
      <c r="H625">
        <f>IF(OR($F625="",$G625=""),"",IF(ISNUMBER(Sync!$AE625),INT(MOD(Sync!$AE625,10000)/100),IFERROR(VALUE(TRIM(LEFT(MID(Sync!$AE625,FIND("/",Sync!$AE625)+1,20),FIND("/",MID(Sync!$AE625,FIND("/",Sync!$AE625)+1,20))-1))),"")))</f>
        <v/>
      </c>
      <c r="I625">
        <f>IF(OR($F625="",$G625=""),"",IF(ISNUMBER(Sync!$AE625),MOD(Sync!$AE625,100),IFERROR(VALUE(TRIM(MID(MID(Sync!$AE625,FIND("/",Sync!$AE625)+1,20),FIND("/",MID(Sync!$AE625,FIND("/",Sync!$AE625)+1,20))+1,20))),"")))</f>
        <v/>
      </c>
      <c r="J625">
        <f>IF($F625="","",IF(OR($G625="",$H625="",$I625="",$G625&lt;1300,$G625&gt;1500,$H625&lt;1,$H625&gt;12,$I625&lt;1,$I625&gt;31),"نامعتبر",RIGHT("0000"&amp;$G625,4)&amp;"/"&amp;RIGHT("00"&amp;$H625,2)&amp;"/"&amp;RIGHT("00"&amp;$I625,2)))</f>
        <v/>
      </c>
      <c r="K625">
        <f>IF(OR($F625="",$J625="",$J625="نامعتبر"),"",LEFT($J625,4)&amp;MID($J625,6,2)&amp;RIGHT($J625,2)&amp;$N625&amp;"|"&amp;"2"&amp;RIGHT("00000"&amp;620,5))</f>
        <v/>
      </c>
      <c r="L625">
        <f>IF($K625="","",COUNTIFS(LdgSellerA,$F625,LdgKeyA,"&lt;"&amp;$K625)+COUNTIFS(LdgSellerB,$F625,LdgKeyB,"&lt;"&amp;$K625)+1)</f>
        <v/>
      </c>
      <c r="M625">
        <f>IF($L625="","",$F625&amp;"|"&amp;RIGHT("000000"&amp;$L625,6))</f>
        <v/>
      </c>
      <c r="N625">
        <f>IF($F625="","",IF(Sync!$AF625="","0000",IF(AND(ISNUMBER(Sync!$AF625),Sync!$AF625&gt;=0,Sync!$AF625&lt;1),RIGHT("00"&amp;HOUR(Sync!$AF625),2)&amp;RIGHT("00"&amp;MINUTE(Sync!$AF625),2),IFERROR(RIGHT("00"&amp;VALUE(LEFT(Sync!$AF625,FIND(":",Sync!$AF625)-1)),2)&amp;RIGHT("00"&amp;VALUE(MID(Sync!$AF625,FIND(":",Sync!$AF625)+1,2)),2),"0000"))))</f>
        <v/>
      </c>
    </row>
    <row r="626">
      <c r="A626">
        <f>IF(OR(Calc!$E630="",Calc!$E630="نامعتبر",Calc!$G630=""),"",Calc!$G630)</f>
        <v/>
      </c>
      <c r="B626">
        <f>IF($A626="","",LEFT(Calc!$E630,4)&amp;MID(Calc!$E630,6,2)&amp;RIGHT(Calc!$E630,2)&amp;Calc!$Q630&amp;"|"&amp;"1"&amp;RIGHT("00000"&amp;621,5))</f>
        <v/>
      </c>
      <c r="C626">
        <f>IF($B626="","",COUNTIFS(LdgSellerA,$A626,LdgKeyA,"&lt;"&amp;$B626)+COUNTIFS(LdgSellerB,$A626,LdgKeyB,"&lt;"&amp;$B626)+1)</f>
        <v/>
      </c>
      <c r="D626">
        <f>IF($C626="","",$A626&amp;"|"&amp;RIGHT("000000"&amp;$C626,6))</f>
        <v/>
      </c>
      <c r="F626">
        <f>IF(Sync!$AH626="","",IF(LEFT(UPPER(TRIM(Sync!$AH626)),2)="SL",UPPER(TRIM(Sync!$AH626)),""))</f>
        <v/>
      </c>
      <c r="G626">
        <f>IF($F626="","",IF(Sync!$AE626="","",IF(ISNUMBER(Sync!$AE626),IF(AND(Sync!$AE626&gt;=10000101,Sync!$AE626&lt;=99991231),INT(Sync!$AE626/10000),""),IFERROR(VALUE(TRIM(LEFT(Sync!$AE626,FIND("/",Sync!$AE626)-1))),""))))</f>
        <v/>
      </c>
      <c r="H626">
        <f>IF(OR($F626="",$G626=""),"",IF(ISNUMBER(Sync!$AE626),INT(MOD(Sync!$AE626,10000)/100),IFERROR(VALUE(TRIM(LEFT(MID(Sync!$AE626,FIND("/",Sync!$AE626)+1,20),FIND("/",MID(Sync!$AE626,FIND("/",Sync!$AE626)+1,20))-1))),"")))</f>
        <v/>
      </c>
      <c r="I626">
        <f>IF(OR($F626="",$G626=""),"",IF(ISNUMBER(Sync!$AE626),MOD(Sync!$AE626,100),IFERROR(VALUE(TRIM(MID(MID(Sync!$AE626,FIND("/",Sync!$AE626)+1,20),FIND("/",MID(Sync!$AE626,FIND("/",Sync!$AE626)+1,20))+1,20))),"")))</f>
        <v/>
      </c>
      <c r="J626">
        <f>IF($F626="","",IF(OR($G626="",$H626="",$I626="",$G626&lt;1300,$G626&gt;1500,$H626&lt;1,$H626&gt;12,$I626&lt;1,$I626&gt;31),"نامعتبر",RIGHT("0000"&amp;$G626,4)&amp;"/"&amp;RIGHT("00"&amp;$H626,2)&amp;"/"&amp;RIGHT("00"&amp;$I626,2)))</f>
        <v/>
      </c>
      <c r="K626">
        <f>IF(OR($F626="",$J626="",$J626="نامعتبر"),"",LEFT($J626,4)&amp;MID($J626,6,2)&amp;RIGHT($J626,2)&amp;$N626&amp;"|"&amp;"2"&amp;RIGHT("00000"&amp;621,5))</f>
        <v/>
      </c>
      <c r="L626">
        <f>IF($K626="","",COUNTIFS(LdgSellerA,$F626,LdgKeyA,"&lt;"&amp;$K626)+COUNTIFS(LdgSellerB,$F626,LdgKeyB,"&lt;"&amp;$K626)+1)</f>
        <v/>
      </c>
      <c r="M626">
        <f>IF($L626="","",$F626&amp;"|"&amp;RIGHT("000000"&amp;$L626,6))</f>
        <v/>
      </c>
      <c r="N626">
        <f>IF($F626="","",IF(Sync!$AF626="","0000",IF(AND(ISNUMBER(Sync!$AF626),Sync!$AF626&gt;=0,Sync!$AF626&lt;1),RIGHT("00"&amp;HOUR(Sync!$AF626),2)&amp;RIGHT("00"&amp;MINUTE(Sync!$AF626),2),IFERROR(RIGHT("00"&amp;VALUE(LEFT(Sync!$AF626,FIND(":",Sync!$AF626)-1)),2)&amp;RIGHT("00"&amp;VALUE(MID(Sync!$AF626,FIND(":",Sync!$AF626)+1,2)),2),"0000"))))</f>
        <v/>
      </c>
    </row>
    <row r="627">
      <c r="A627">
        <f>IF(OR(Calc!$E631="",Calc!$E631="نامعتبر",Calc!$G631=""),"",Calc!$G631)</f>
        <v/>
      </c>
      <c r="B627">
        <f>IF($A627="","",LEFT(Calc!$E631,4)&amp;MID(Calc!$E631,6,2)&amp;RIGHT(Calc!$E631,2)&amp;Calc!$Q631&amp;"|"&amp;"1"&amp;RIGHT("00000"&amp;622,5))</f>
        <v/>
      </c>
      <c r="C627">
        <f>IF($B627="","",COUNTIFS(LdgSellerA,$A627,LdgKeyA,"&lt;"&amp;$B627)+COUNTIFS(LdgSellerB,$A627,LdgKeyB,"&lt;"&amp;$B627)+1)</f>
        <v/>
      </c>
      <c r="D627">
        <f>IF($C627="","",$A627&amp;"|"&amp;RIGHT("000000"&amp;$C627,6))</f>
        <v/>
      </c>
      <c r="F627">
        <f>IF(Sync!$AH627="","",IF(LEFT(UPPER(TRIM(Sync!$AH627)),2)="SL",UPPER(TRIM(Sync!$AH627)),""))</f>
        <v/>
      </c>
      <c r="G627">
        <f>IF($F627="","",IF(Sync!$AE627="","",IF(ISNUMBER(Sync!$AE627),IF(AND(Sync!$AE627&gt;=10000101,Sync!$AE627&lt;=99991231),INT(Sync!$AE627/10000),""),IFERROR(VALUE(TRIM(LEFT(Sync!$AE627,FIND("/",Sync!$AE627)-1))),""))))</f>
        <v/>
      </c>
      <c r="H627">
        <f>IF(OR($F627="",$G627=""),"",IF(ISNUMBER(Sync!$AE627),INT(MOD(Sync!$AE627,10000)/100),IFERROR(VALUE(TRIM(LEFT(MID(Sync!$AE627,FIND("/",Sync!$AE627)+1,20),FIND("/",MID(Sync!$AE627,FIND("/",Sync!$AE627)+1,20))-1))),"")))</f>
        <v/>
      </c>
      <c r="I627">
        <f>IF(OR($F627="",$G627=""),"",IF(ISNUMBER(Sync!$AE627),MOD(Sync!$AE627,100),IFERROR(VALUE(TRIM(MID(MID(Sync!$AE627,FIND("/",Sync!$AE627)+1,20),FIND("/",MID(Sync!$AE627,FIND("/",Sync!$AE627)+1,20))+1,20))),"")))</f>
        <v/>
      </c>
      <c r="J627">
        <f>IF($F627="","",IF(OR($G627="",$H627="",$I627="",$G627&lt;1300,$G627&gt;1500,$H627&lt;1,$H627&gt;12,$I627&lt;1,$I627&gt;31),"نامعتبر",RIGHT("0000"&amp;$G627,4)&amp;"/"&amp;RIGHT("00"&amp;$H627,2)&amp;"/"&amp;RIGHT("00"&amp;$I627,2)))</f>
        <v/>
      </c>
      <c r="K627">
        <f>IF(OR($F627="",$J627="",$J627="نامعتبر"),"",LEFT($J627,4)&amp;MID($J627,6,2)&amp;RIGHT($J627,2)&amp;$N627&amp;"|"&amp;"2"&amp;RIGHT("00000"&amp;622,5))</f>
        <v/>
      </c>
      <c r="L627">
        <f>IF($K627="","",COUNTIFS(LdgSellerA,$F627,LdgKeyA,"&lt;"&amp;$K627)+COUNTIFS(LdgSellerB,$F627,LdgKeyB,"&lt;"&amp;$K627)+1)</f>
        <v/>
      </c>
      <c r="M627">
        <f>IF($L627="","",$F627&amp;"|"&amp;RIGHT("000000"&amp;$L627,6))</f>
        <v/>
      </c>
      <c r="N627">
        <f>IF($F627="","",IF(Sync!$AF627="","0000",IF(AND(ISNUMBER(Sync!$AF627),Sync!$AF627&gt;=0,Sync!$AF627&lt;1),RIGHT("00"&amp;HOUR(Sync!$AF627),2)&amp;RIGHT("00"&amp;MINUTE(Sync!$AF627),2),IFERROR(RIGHT("00"&amp;VALUE(LEFT(Sync!$AF627,FIND(":",Sync!$AF627)-1)),2)&amp;RIGHT("00"&amp;VALUE(MID(Sync!$AF627,FIND(":",Sync!$AF627)+1,2)),2),"0000"))))</f>
        <v/>
      </c>
    </row>
    <row r="628">
      <c r="A628">
        <f>IF(OR(Calc!$E632="",Calc!$E632="نامعتبر",Calc!$G632=""),"",Calc!$G632)</f>
        <v/>
      </c>
      <c r="B628">
        <f>IF($A628="","",LEFT(Calc!$E632,4)&amp;MID(Calc!$E632,6,2)&amp;RIGHT(Calc!$E632,2)&amp;Calc!$Q632&amp;"|"&amp;"1"&amp;RIGHT("00000"&amp;623,5))</f>
        <v/>
      </c>
      <c r="C628">
        <f>IF($B628="","",COUNTIFS(LdgSellerA,$A628,LdgKeyA,"&lt;"&amp;$B628)+COUNTIFS(LdgSellerB,$A628,LdgKeyB,"&lt;"&amp;$B628)+1)</f>
        <v/>
      </c>
      <c r="D628">
        <f>IF($C628="","",$A628&amp;"|"&amp;RIGHT("000000"&amp;$C628,6))</f>
        <v/>
      </c>
      <c r="F628">
        <f>IF(Sync!$AH628="","",IF(LEFT(UPPER(TRIM(Sync!$AH628)),2)="SL",UPPER(TRIM(Sync!$AH628)),""))</f>
        <v/>
      </c>
      <c r="G628">
        <f>IF($F628="","",IF(Sync!$AE628="","",IF(ISNUMBER(Sync!$AE628),IF(AND(Sync!$AE628&gt;=10000101,Sync!$AE628&lt;=99991231),INT(Sync!$AE628/10000),""),IFERROR(VALUE(TRIM(LEFT(Sync!$AE628,FIND("/",Sync!$AE628)-1))),""))))</f>
        <v/>
      </c>
      <c r="H628">
        <f>IF(OR($F628="",$G628=""),"",IF(ISNUMBER(Sync!$AE628),INT(MOD(Sync!$AE628,10000)/100),IFERROR(VALUE(TRIM(LEFT(MID(Sync!$AE628,FIND("/",Sync!$AE628)+1,20),FIND("/",MID(Sync!$AE628,FIND("/",Sync!$AE628)+1,20))-1))),"")))</f>
        <v/>
      </c>
      <c r="I628">
        <f>IF(OR($F628="",$G628=""),"",IF(ISNUMBER(Sync!$AE628),MOD(Sync!$AE628,100),IFERROR(VALUE(TRIM(MID(MID(Sync!$AE628,FIND("/",Sync!$AE628)+1,20),FIND("/",MID(Sync!$AE628,FIND("/",Sync!$AE628)+1,20))+1,20))),"")))</f>
        <v/>
      </c>
      <c r="J628">
        <f>IF($F628="","",IF(OR($G628="",$H628="",$I628="",$G628&lt;1300,$G628&gt;1500,$H628&lt;1,$H628&gt;12,$I628&lt;1,$I628&gt;31),"نامعتبر",RIGHT("0000"&amp;$G628,4)&amp;"/"&amp;RIGHT("00"&amp;$H628,2)&amp;"/"&amp;RIGHT("00"&amp;$I628,2)))</f>
        <v/>
      </c>
      <c r="K628">
        <f>IF(OR($F628="",$J628="",$J628="نامعتبر"),"",LEFT($J628,4)&amp;MID($J628,6,2)&amp;RIGHT($J628,2)&amp;$N628&amp;"|"&amp;"2"&amp;RIGHT("00000"&amp;623,5))</f>
        <v/>
      </c>
      <c r="L628">
        <f>IF($K628="","",COUNTIFS(LdgSellerA,$F628,LdgKeyA,"&lt;"&amp;$K628)+COUNTIFS(LdgSellerB,$F628,LdgKeyB,"&lt;"&amp;$K628)+1)</f>
        <v/>
      </c>
      <c r="M628">
        <f>IF($L628="","",$F628&amp;"|"&amp;RIGHT("000000"&amp;$L628,6))</f>
        <v/>
      </c>
      <c r="N628">
        <f>IF($F628="","",IF(Sync!$AF628="","0000",IF(AND(ISNUMBER(Sync!$AF628),Sync!$AF628&gt;=0,Sync!$AF628&lt;1),RIGHT("00"&amp;HOUR(Sync!$AF628),2)&amp;RIGHT("00"&amp;MINUTE(Sync!$AF628),2),IFERROR(RIGHT("00"&amp;VALUE(LEFT(Sync!$AF628,FIND(":",Sync!$AF628)-1)),2)&amp;RIGHT("00"&amp;VALUE(MID(Sync!$AF628,FIND(":",Sync!$AF628)+1,2)),2),"0000"))))</f>
        <v/>
      </c>
    </row>
    <row r="629">
      <c r="A629">
        <f>IF(OR(Calc!$E633="",Calc!$E633="نامعتبر",Calc!$G633=""),"",Calc!$G633)</f>
        <v/>
      </c>
      <c r="B629">
        <f>IF($A629="","",LEFT(Calc!$E633,4)&amp;MID(Calc!$E633,6,2)&amp;RIGHT(Calc!$E633,2)&amp;Calc!$Q633&amp;"|"&amp;"1"&amp;RIGHT("00000"&amp;624,5))</f>
        <v/>
      </c>
      <c r="C629">
        <f>IF($B629="","",COUNTIFS(LdgSellerA,$A629,LdgKeyA,"&lt;"&amp;$B629)+COUNTIFS(LdgSellerB,$A629,LdgKeyB,"&lt;"&amp;$B629)+1)</f>
        <v/>
      </c>
      <c r="D629">
        <f>IF($C629="","",$A629&amp;"|"&amp;RIGHT("000000"&amp;$C629,6))</f>
        <v/>
      </c>
      <c r="F629">
        <f>IF(Sync!$AH629="","",IF(LEFT(UPPER(TRIM(Sync!$AH629)),2)="SL",UPPER(TRIM(Sync!$AH629)),""))</f>
        <v/>
      </c>
      <c r="G629">
        <f>IF($F629="","",IF(Sync!$AE629="","",IF(ISNUMBER(Sync!$AE629),IF(AND(Sync!$AE629&gt;=10000101,Sync!$AE629&lt;=99991231),INT(Sync!$AE629/10000),""),IFERROR(VALUE(TRIM(LEFT(Sync!$AE629,FIND("/",Sync!$AE629)-1))),""))))</f>
        <v/>
      </c>
      <c r="H629">
        <f>IF(OR($F629="",$G629=""),"",IF(ISNUMBER(Sync!$AE629),INT(MOD(Sync!$AE629,10000)/100),IFERROR(VALUE(TRIM(LEFT(MID(Sync!$AE629,FIND("/",Sync!$AE629)+1,20),FIND("/",MID(Sync!$AE629,FIND("/",Sync!$AE629)+1,20))-1))),"")))</f>
        <v/>
      </c>
      <c r="I629">
        <f>IF(OR($F629="",$G629=""),"",IF(ISNUMBER(Sync!$AE629),MOD(Sync!$AE629,100),IFERROR(VALUE(TRIM(MID(MID(Sync!$AE629,FIND("/",Sync!$AE629)+1,20),FIND("/",MID(Sync!$AE629,FIND("/",Sync!$AE629)+1,20))+1,20))),"")))</f>
        <v/>
      </c>
      <c r="J629">
        <f>IF($F629="","",IF(OR($G629="",$H629="",$I629="",$G629&lt;1300,$G629&gt;1500,$H629&lt;1,$H629&gt;12,$I629&lt;1,$I629&gt;31),"نامعتبر",RIGHT("0000"&amp;$G629,4)&amp;"/"&amp;RIGHT("00"&amp;$H629,2)&amp;"/"&amp;RIGHT("00"&amp;$I629,2)))</f>
        <v/>
      </c>
      <c r="K629">
        <f>IF(OR($F629="",$J629="",$J629="نامعتبر"),"",LEFT($J629,4)&amp;MID($J629,6,2)&amp;RIGHT($J629,2)&amp;$N629&amp;"|"&amp;"2"&amp;RIGHT("00000"&amp;624,5))</f>
        <v/>
      </c>
      <c r="L629">
        <f>IF($K629="","",COUNTIFS(LdgSellerA,$F629,LdgKeyA,"&lt;"&amp;$K629)+COUNTIFS(LdgSellerB,$F629,LdgKeyB,"&lt;"&amp;$K629)+1)</f>
        <v/>
      </c>
      <c r="M629">
        <f>IF($L629="","",$F629&amp;"|"&amp;RIGHT("000000"&amp;$L629,6))</f>
        <v/>
      </c>
      <c r="N629">
        <f>IF($F629="","",IF(Sync!$AF629="","0000",IF(AND(ISNUMBER(Sync!$AF629),Sync!$AF629&gt;=0,Sync!$AF629&lt;1),RIGHT("00"&amp;HOUR(Sync!$AF629),2)&amp;RIGHT("00"&amp;MINUTE(Sync!$AF629),2),IFERROR(RIGHT("00"&amp;VALUE(LEFT(Sync!$AF629,FIND(":",Sync!$AF629)-1)),2)&amp;RIGHT("00"&amp;VALUE(MID(Sync!$AF629,FIND(":",Sync!$AF629)+1,2)),2),"0000"))))</f>
        <v/>
      </c>
    </row>
    <row r="630">
      <c r="A630">
        <f>IF(OR(Calc!$E634="",Calc!$E634="نامعتبر",Calc!$G634=""),"",Calc!$G634)</f>
        <v/>
      </c>
      <c r="B630">
        <f>IF($A630="","",LEFT(Calc!$E634,4)&amp;MID(Calc!$E634,6,2)&amp;RIGHT(Calc!$E634,2)&amp;Calc!$Q634&amp;"|"&amp;"1"&amp;RIGHT("00000"&amp;625,5))</f>
        <v/>
      </c>
      <c r="C630">
        <f>IF($B630="","",COUNTIFS(LdgSellerA,$A630,LdgKeyA,"&lt;"&amp;$B630)+COUNTIFS(LdgSellerB,$A630,LdgKeyB,"&lt;"&amp;$B630)+1)</f>
        <v/>
      </c>
      <c r="D630">
        <f>IF($C630="","",$A630&amp;"|"&amp;RIGHT("000000"&amp;$C630,6))</f>
        <v/>
      </c>
      <c r="F630">
        <f>IF(Sync!$AH630="","",IF(LEFT(UPPER(TRIM(Sync!$AH630)),2)="SL",UPPER(TRIM(Sync!$AH630)),""))</f>
        <v/>
      </c>
      <c r="G630">
        <f>IF($F630="","",IF(Sync!$AE630="","",IF(ISNUMBER(Sync!$AE630),IF(AND(Sync!$AE630&gt;=10000101,Sync!$AE630&lt;=99991231),INT(Sync!$AE630/10000),""),IFERROR(VALUE(TRIM(LEFT(Sync!$AE630,FIND("/",Sync!$AE630)-1))),""))))</f>
        <v/>
      </c>
      <c r="H630">
        <f>IF(OR($F630="",$G630=""),"",IF(ISNUMBER(Sync!$AE630),INT(MOD(Sync!$AE630,10000)/100),IFERROR(VALUE(TRIM(LEFT(MID(Sync!$AE630,FIND("/",Sync!$AE630)+1,20),FIND("/",MID(Sync!$AE630,FIND("/",Sync!$AE630)+1,20))-1))),"")))</f>
        <v/>
      </c>
      <c r="I630">
        <f>IF(OR($F630="",$G630=""),"",IF(ISNUMBER(Sync!$AE630),MOD(Sync!$AE630,100),IFERROR(VALUE(TRIM(MID(MID(Sync!$AE630,FIND("/",Sync!$AE630)+1,20),FIND("/",MID(Sync!$AE630,FIND("/",Sync!$AE630)+1,20))+1,20))),"")))</f>
        <v/>
      </c>
      <c r="J630">
        <f>IF($F630="","",IF(OR($G630="",$H630="",$I630="",$G630&lt;1300,$G630&gt;1500,$H630&lt;1,$H630&gt;12,$I630&lt;1,$I630&gt;31),"نامعتبر",RIGHT("0000"&amp;$G630,4)&amp;"/"&amp;RIGHT("00"&amp;$H630,2)&amp;"/"&amp;RIGHT("00"&amp;$I630,2)))</f>
        <v/>
      </c>
      <c r="K630">
        <f>IF(OR($F630="",$J630="",$J630="نامعتبر"),"",LEFT($J630,4)&amp;MID($J630,6,2)&amp;RIGHT($J630,2)&amp;$N630&amp;"|"&amp;"2"&amp;RIGHT("00000"&amp;625,5))</f>
        <v/>
      </c>
      <c r="L630">
        <f>IF($K630="","",COUNTIFS(LdgSellerA,$F630,LdgKeyA,"&lt;"&amp;$K630)+COUNTIFS(LdgSellerB,$F630,LdgKeyB,"&lt;"&amp;$K630)+1)</f>
        <v/>
      </c>
      <c r="M630">
        <f>IF($L630="","",$F630&amp;"|"&amp;RIGHT("000000"&amp;$L630,6))</f>
        <v/>
      </c>
      <c r="N630">
        <f>IF($F630="","",IF(Sync!$AF630="","0000",IF(AND(ISNUMBER(Sync!$AF630),Sync!$AF630&gt;=0,Sync!$AF630&lt;1),RIGHT("00"&amp;HOUR(Sync!$AF630),2)&amp;RIGHT("00"&amp;MINUTE(Sync!$AF630),2),IFERROR(RIGHT("00"&amp;VALUE(LEFT(Sync!$AF630,FIND(":",Sync!$AF630)-1)),2)&amp;RIGHT("00"&amp;VALUE(MID(Sync!$AF630,FIND(":",Sync!$AF630)+1,2)),2),"0000"))))</f>
        <v/>
      </c>
    </row>
    <row r="631">
      <c r="A631">
        <f>IF(OR(Calc!$E635="",Calc!$E635="نامعتبر",Calc!$G635=""),"",Calc!$G635)</f>
        <v/>
      </c>
      <c r="B631">
        <f>IF($A631="","",LEFT(Calc!$E635,4)&amp;MID(Calc!$E635,6,2)&amp;RIGHT(Calc!$E635,2)&amp;Calc!$Q635&amp;"|"&amp;"1"&amp;RIGHT("00000"&amp;626,5))</f>
        <v/>
      </c>
      <c r="C631">
        <f>IF($B631="","",COUNTIFS(LdgSellerA,$A631,LdgKeyA,"&lt;"&amp;$B631)+COUNTIFS(LdgSellerB,$A631,LdgKeyB,"&lt;"&amp;$B631)+1)</f>
        <v/>
      </c>
      <c r="D631">
        <f>IF($C631="","",$A631&amp;"|"&amp;RIGHT("000000"&amp;$C631,6))</f>
        <v/>
      </c>
      <c r="F631">
        <f>IF(Sync!$AH631="","",IF(LEFT(UPPER(TRIM(Sync!$AH631)),2)="SL",UPPER(TRIM(Sync!$AH631)),""))</f>
        <v/>
      </c>
      <c r="G631">
        <f>IF($F631="","",IF(Sync!$AE631="","",IF(ISNUMBER(Sync!$AE631),IF(AND(Sync!$AE631&gt;=10000101,Sync!$AE631&lt;=99991231),INT(Sync!$AE631/10000),""),IFERROR(VALUE(TRIM(LEFT(Sync!$AE631,FIND("/",Sync!$AE631)-1))),""))))</f>
        <v/>
      </c>
      <c r="H631">
        <f>IF(OR($F631="",$G631=""),"",IF(ISNUMBER(Sync!$AE631),INT(MOD(Sync!$AE631,10000)/100),IFERROR(VALUE(TRIM(LEFT(MID(Sync!$AE631,FIND("/",Sync!$AE631)+1,20),FIND("/",MID(Sync!$AE631,FIND("/",Sync!$AE631)+1,20))-1))),"")))</f>
        <v/>
      </c>
      <c r="I631">
        <f>IF(OR($F631="",$G631=""),"",IF(ISNUMBER(Sync!$AE631),MOD(Sync!$AE631,100),IFERROR(VALUE(TRIM(MID(MID(Sync!$AE631,FIND("/",Sync!$AE631)+1,20),FIND("/",MID(Sync!$AE631,FIND("/",Sync!$AE631)+1,20))+1,20))),"")))</f>
        <v/>
      </c>
      <c r="J631">
        <f>IF($F631="","",IF(OR($G631="",$H631="",$I631="",$G631&lt;1300,$G631&gt;1500,$H631&lt;1,$H631&gt;12,$I631&lt;1,$I631&gt;31),"نامعتبر",RIGHT("0000"&amp;$G631,4)&amp;"/"&amp;RIGHT("00"&amp;$H631,2)&amp;"/"&amp;RIGHT("00"&amp;$I631,2)))</f>
        <v/>
      </c>
      <c r="K631">
        <f>IF(OR($F631="",$J631="",$J631="نامعتبر"),"",LEFT($J631,4)&amp;MID($J631,6,2)&amp;RIGHT($J631,2)&amp;$N631&amp;"|"&amp;"2"&amp;RIGHT("00000"&amp;626,5))</f>
        <v/>
      </c>
      <c r="L631">
        <f>IF($K631="","",COUNTIFS(LdgSellerA,$F631,LdgKeyA,"&lt;"&amp;$K631)+COUNTIFS(LdgSellerB,$F631,LdgKeyB,"&lt;"&amp;$K631)+1)</f>
        <v/>
      </c>
      <c r="M631">
        <f>IF($L631="","",$F631&amp;"|"&amp;RIGHT("000000"&amp;$L631,6))</f>
        <v/>
      </c>
      <c r="N631">
        <f>IF($F631="","",IF(Sync!$AF631="","0000",IF(AND(ISNUMBER(Sync!$AF631),Sync!$AF631&gt;=0,Sync!$AF631&lt;1),RIGHT("00"&amp;HOUR(Sync!$AF631),2)&amp;RIGHT("00"&amp;MINUTE(Sync!$AF631),2),IFERROR(RIGHT("00"&amp;VALUE(LEFT(Sync!$AF631,FIND(":",Sync!$AF631)-1)),2)&amp;RIGHT("00"&amp;VALUE(MID(Sync!$AF631,FIND(":",Sync!$AF631)+1,2)),2),"0000"))))</f>
        <v/>
      </c>
    </row>
    <row r="632">
      <c r="A632">
        <f>IF(OR(Calc!$E636="",Calc!$E636="نامعتبر",Calc!$G636=""),"",Calc!$G636)</f>
        <v/>
      </c>
      <c r="B632">
        <f>IF($A632="","",LEFT(Calc!$E636,4)&amp;MID(Calc!$E636,6,2)&amp;RIGHT(Calc!$E636,2)&amp;Calc!$Q636&amp;"|"&amp;"1"&amp;RIGHT("00000"&amp;627,5))</f>
        <v/>
      </c>
      <c r="C632">
        <f>IF($B632="","",COUNTIFS(LdgSellerA,$A632,LdgKeyA,"&lt;"&amp;$B632)+COUNTIFS(LdgSellerB,$A632,LdgKeyB,"&lt;"&amp;$B632)+1)</f>
        <v/>
      </c>
      <c r="D632">
        <f>IF($C632="","",$A632&amp;"|"&amp;RIGHT("000000"&amp;$C632,6))</f>
        <v/>
      </c>
      <c r="F632">
        <f>IF(Sync!$AH632="","",IF(LEFT(UPPER(TRIM(Sync!$AH632)),2)="SL",UPPER(TRIM(Sync!$AH632)),""))</f>
        <v/>
      </c>
      <c r="G632">
        <f>IF($F632="","",IF(Sync!$AE632="","",IF(ISNUMBER(Sync!$AE632),IF(AND(Sync!$AE632&gt;=10000101,Sync!$AE632&lt;=99991231),INT(Sync!$AE632/10000),""),IFERROR(VALUE(TRIM(LEFT(Sync!$AE632,FIND("/",Sync!$AE632)-1))),""))))</f>
        <v/>
      </c>
      <c r="H632">
        <f>IF(OR($F632="",$G632=""),"",IF(ISNUMBER(Sync!$AE632),INT(MOD(Sync!$AE632,10000)/100),IFERROR(VALUE(TRIM(LEFT(MID(Sync!$AE632,FIND("/",Sync!$AE632)+1,20),FIND("/",MID(Sync!$AE632,FIND("/",Sync!$AE632)+1,20))-1))),"")))</f>
        <v/>
      </c>
      <c r="I632">
        <f>IF(OR($F632="",$G632=""),"",IF(ISNUMBER(Sync!$AE632),MOD(Sync!$AE632,100),IFERROR(VALUE(TRIM(MID(MID(Sync!$AE632,FIND("/",Sync!$AE632)+1,20),FIND("/",MID(Sync!$AE632,FIND("/",Sync!$AE632)+1,20))+1,20))),"")))</f>
        <v/>
      </c>
      <c r="J632">
        <f>IF($F632="","",IF(OR($G632="",$H632="",$I632="",$G632&lt;1300,$G632&gt;1500,$H632&lt;1,$H632&gt;12,$I632&lt;1,$I632&gt;31),"نامعتبر",RIGHT("0000"&amp;$G632,4)&amp;"/"&amp;RIGHT("00"&amp;$H632,2)&amp;"/"&amp;RIGHT("00"&amp;$I632,2)))</f>
        <v/>
      </c>
      <c r="K632">
        <f>IF(OR($F632="",$J632="",$J632="نامعتبر"),"",LEFT($J632,4)&amp;MID($J632,6,2)&amp;RIGHT($J632,2)&amp;$N632&amp;"|"&amp;"2"&amp;RIGHT("00000"&amp;627,5))</f>
        <v/>
      </c>
      <c r="L632">
        <f>IF($K632="","",COUNTIFS(LdgSellerA,$F632,LdgKeyA,"&lt;"&amp;$K632)+COUNTIFS(LdgSellerB,$F632,LdgKeyB,"&lt;"&amp;$K632)+1)</f>
        <v/>
      </c>
      <c r="M632">
        <f>IF($L632="","",$F632&amp;"|"&amp;RIGHT("000000"&amp;$L632,6))</f>
        <v/>
      </c>
      <c r="N632">
        <f>IF($F632="","",IF(Sync!$AF632="","0000",IF(AND(ISNUMBER(Sync!$AF632),Sync!$AF632&gt;=0,Sync!$AF632&lt;1),RIGHT("00"&amp;HOUR(Sync!$AF632),2)&amp;RIGHT("00"&amp;MINUTE(Sync!$AF632),2),IFERROR(RIGHT("00"&amp;VALUE(LEFT(Sync!$AF632,FIND(":",Sync!$AF632)-1)),2)&amp;RIGHT("00"&amp;VALUE(MID(Sync!$AF632,FIND(":",Sync!$AF632)+1,2)),2),"0000"))))</f>
        <v/>
      </c>
    </row>
    <row r="633">
      <c r="A633">
        <f>IF(OR(Calc!$E637="",Calc!$E637="نامعتبر",Calc!$G637=""),"",Calc!$G637)</f>
        <v/>
      </c>
      <c r="B633">
        <f>IF($A633="","",LEFT(Calc!$E637,4)&amp;MID(Calc!$E637,6,2)&amp;RIGHT(Calc!$E637,2)&amp;Calc!$Q637&amp;"|"&amp;"1"&amp;RIGHT("00000"&amp;628,5))</f>
        <v/>
      </c>
      <c r="C633">
        <f>IF($B633="","",COUNTIFS(LdgSellerA,$A633,LdgKeyA,"&lt;"&amp;$B633)+COUNTIFS(LdgSellerB,$A633,LdgKeyB,"&lt;"&amp;$B633)+1)</f>
        <v/>
      </c>
      <c r="D633">
        <f>IF($C633="","",$A633&amp;"|"&amp;RIGHT("000000"&amp;$C633,6))</f>
        <v/>
      </c>
      <c r="F633">
        <f>IF(Sync!$AH633="","",IF(LEFT(UPPER(TRIM(Sync!$AH633)),2)="SL",UPPER(TRIM(Sync!$AH633)),""))</f>
        <v/>
      </c>
      <c r="G633">
        <f>IF($F633="","",IF(Sync!$AE633="","",IF(ISNUMBER(Sync!$AE633),IF(AND(Sync!$AE633&gt;=10000101,Sync!$AE633&lt;=99991231),INT(Sync!$AE633/10000),""),IFERROR(VALUE(TRIM(LEFT(Sync!$AE633,FIND("/",Sync!$AE633)-1))),""))))</f>
        <v/>
      </c>
      <c r="H633">
        <f>IF(OR($F633="",$G633=""),"",IF(ISNUMBER(Sync!$AE633),INT(MOD(Sync!$AE633,10000)/100),IFERROR(VALUE(TRIM(LEFT(MID(Sync!$AE633,FIND("/",Sync!$AE633)+1,20),FIND("/",MID(Sync!$AE633,FIND("/",Sync!$AE633)+1,20))-1))),"")))</f>
        <v/>
      </c>
      <c r="I633">
        <f>IF(OR($F633="",$G633=""),"",IF(ISNUMBER(Sync!$AE633),MOD(Sync!$AE633,100),IFERROR(VALUE(TRIM(MID(MID(Sync!$AE633,FIND("/",Sync!$AE633)+1,20),FIND("/",MID(Sync!$AE633,FIND("/",Sync!$AE633)+1,20))+1,20))),"")))</f>
        <v/>
      </c>
      <c r="J633">
        <f>IF($F633="","",IF(OR($G633="",$H633="",$I633="",$G633&lt;1300,$G633&gt;1500,$H633&lt;1,$H633&gt;12,$I633&lt;1,$I633&gt;31),"نامعتبر",RIGHT("0000"&amp;$G633,4)&amp;"/"&amp;RIGHT("00"&amp;$H633,2)&amp;"/"&amp;RIGHT("00"&amp;$I633,2)))</f>
        <v/>
      </c>
      <c r="K633">
        <f>IF(OR($F633="",$J633="",$J633="نامعتبر"),"",LEFT($J633,4)&amp;MID($J633,6,2)&amp;RIGHT($J633,2)&amp;$N633&amp;"|"&amp;"2"&amp;RIGHT("00000"&amp;628,5))</f>
        <v/>
      </c>
      <c r="L633">
        <f>IF($K633="","",COUNTIFS(LdgSellerA,$F633,LdgKeyA,"&lt;"&amp;$K633)+COUNTIFS(LdgSellerB,$F633,LdgKeyB,"&lt;"&amp;$K633)+1)</f>
        <v/>
      </c>
      <c r="M633">
        <f>IF($L633="","",$F633&amp;"|"&amp;RIGHT("000000"&amp;$L633,6))</f>
        <v/>
      </c>
      <c r="N633">
        <f>IF($F633="","",IF(Sync!$AF633="","0000",IF(AND(ISNUMBER(Sync!$AF633),Sync!$AF633&gt;=0,Sync!$AF633&lt;1),RIGHT("00"&amp;HOUR(Sync!$AF633),2)&amp;RIGHT("00"&amp;MINUTE(Sync!$AF633),2),IFERROR(RIGHT("00"&amp;VALUE(LEFT(Sync!$AF633,FIND(":",Sync!$AF633)-1)),2)&amp;RIGHT("00"&amp;VALUE(MID(Sync!$AF633,FIND(":",Sync!$AF633)+1,2)),2),"0000"))))</f>
        <v/>
      </c>
    </row>
    <row r="634">
      <c r="A634">
        <f>IF(OR(Calc!$E638="",Calc!$E638="نامعتبر",Calc!$G638=""),"",Calc!$G638)</f>
        <v/>
      </c>
      <c r="B634">
        <f>IF($A634="","",LEFT(Calc!$E638,4)&amp;MID(Calc!$E638,6,2)&amp;RIGHT(Calc!$E638,2)&amp;Calc!$Q638&amp;"|"&amp;"1"&amp;RIGHT("00000"&amp;629,5))</f>
        <v/>
      </c>
      <c r="C634">
        <f>IF($B634="","",COUNTIFS(LdgSellerA,$A634,LdgKeyA,"&lt;"&amp;$B634)+COUNTIFS(LdgSellerB,$A634,LdgKeyB,"&lt;"&amp;$B634)+1)</f>
        <v/>
      </c>
      <c r="D634">
        <f>IF($C634="","",$A634&amp;"|"&amp;RIGHT("000000"&amp;$C634,6))</f>
        <v/>
      </c>
      <c r="F634">
        <f>IF(Sync!$AH634="","",IF(LEFT(UPPER(TRIM(Sync!$AH634)),2)="SL",UPPER(TRIM(Sync!$AH634)),""))</f>
        <v/>
      </c>
      <c r="G634">
        <f>IF($F634="","",IF(Sync!$AE634="","",IF(ISNUMBER(Sync!$AE634),IF(AND(Sync!$AE634&gt;=10000101,Sync!$AE634&lt;=99991231),INT(Sync!$AE634/10000),""),IFERROR(VALUE(TRIM(LEFT(Sync!$AE634,FIND("/",Sync!$AE634)-1))),""))))</f>
        <v/>
      </c>
      <c r="H634">
        <f>IF(OR($F634="",$G634=""),"",IF(ISNUMBER(Sync!$AE634),INT(MOD(Sync!$AE634,10000)/100),IFERROR(VALUE(TRIM(LEFT(MID(Sync!$AE634,FIND("/",Sync!$AE634)+1,20),FIND("/",MID(Sync!$AE634,FIND("/",Sync!$AE634)+1,20))-1))),"")))</f>
        <v/>
      </c>
      <c r="I634">
        <f>IF(OR($F634="",$G634=""),"",IF(ISNUMBER(Sync!$AE634),MOD(Sync!$AE634,100),IFERROR(VALUE(TRIM(MID(MID(Sync!$AE634,FIND("/",Sync!$AE634)+1,20),FIND("/",MID(Sync!$AE634,FIND("/",Sync!$AE634)+1,20))+1,20))),"")))</f>
        <v/>
      </c>
      <c r="J634">
        <f>IF($F634="","",IF(OR($G634="",$H634="",$I634="",$G634&lt;1300,$G634&gt;1500,$H634&lt;1,$H634&gt;12,$I634&lt;1,$I634&gt;31),"نامعتبر",RIGHT("0000"&amp;$G634,4)&amp;"/"&amp;RIGHT("00"&amp;$H634,2)&amp;"/"&amp;RIGHT("00"&amp;$I634,2)))</f>
        <v/>
      </c>
      <c r="K634">
        <f>IF(OR($F634="",$J634="",$J634="نامعتبر"),"",LEFT($J634,4)&amp;MID($J634,6,2)&amp;RIGHT($J634,2)&amp;$N634&amp;"|"&amp;"2"&amp;RIGHT("00000"&amp;629,5))</f>
        <v/>
      </c>
      <c r="L634">
        <f>IF($K634="","",COUNTIFS(LdgSellerA,$F634,LdgKeyA,"&lt;"&amp;$K634)+COUNTIFS(LdgSellerB,$F634,LdgKeyB,"&lt;"&amp;$K634)+1)</f>
        <v/>
      </c>
      <c r="M634">
        <f>IF($L634="","",$F634&amp;"|"&amp;RIGHT("000000"&amp;$L634,6))</f>
        <v/>
      </c>
      <c r="N634">
        <f>IF($F634="","",IF(Sync!$AF634="","0000",IF(AND(ISNUMBER(Sync!$AF634),Sync!$AF634&gt;=0,Sync!$AF634&lt;1),RIGHT("00"&amp;HOUR(Sync!$AF634),2)&amp;RIGHT("00"&amp;MINUTE(Sync!$AF634),2),IFERROR(RIGHT("00"&amp;VALUE(LEFT(Sync!$AF634,FIND(":",Sync!$AF634)-1)),2)&amp;RIGHT("00"&amp;VALUE(MID(Sync!$AF634,FIND(":",Sync!$AF634)+1,2)),2),"0000"))))</f>
        <v/>
      </c>
    </row>
    <row r="635">
      <c r="A635">
        <f>IF(OR(Calc!$E639="",Calc!$E639="نامعتبر",Calc!$G639=""),"",Calc!$G639)</f>
        <v/>
      </c>
      <c r="B635">
        <f>IF($A635="","",LEFT(Calc!$E639,4)&amp;MID(Calc!$E639,6,2)&amp;RIGHT(Calc!$E639,2)&amp;Calc!$Q639&amp;"|"&amp;"1"&amp;RIGHT("00000"&amp;630,5))</f>
        <v/>
      </c>
      <c r="C635">
        <f>IF($B635="","",COUNTIFS(LdgSellerA,$A635,LdgKeyA,"&lt;"&amp;$B635)+COUNTIFS(LdgSellerB,$A635,LdgKeyB,"&lt;"&amp;$B635)+1)</f>
        <v/>
      </c>
      <c r="D635">
        <f>IF($C635="","",$A635&amp;"|"&amp;RIGHT("000000"&amp;$C635,6))</f>
        <v/>
      </c>
      <c r="F635">
        <f>IF(Sync!$AH635="","",IF(LEFT(UPPER(TRIM(Sync!$AH635)),2)="SL",UPPER(TRIM(Sync!$AH635)),""))</f>
        <v/>
      </c>
      <c r="G635">
        <f>IF($F635="","",IF(Sync!$AE635="","",IF(ISNUMBER(Sync!$AE635),IF(AND(Sync!$AE635&gt;=10000101,Sync!$AE635&lt;=99991231),INT(Sync!$AE635/10000),""),IFERROR(VALUE(TRIM(LEFT(Sync!$AE635,FIND("/",Sync!$AE635)-1))),""))))</f>
        <v/>
      </c>
      <c r="H635">
        <f>IF(OR($F635="",$G635=""),"",IF(ISNUMBER(Sync!$AE635),INT(MOD(Sync!$AE635,10000)/100),IFERROR(VALUE(TRIM(LEFT(MID(Sync!$AE635,FIND("/",Sync!$AE635)+1,20),FIND("/",MID(Sync!$AE635,FIND("/",Sync!$AE635)+1,20))-1))),"")))</f>
        <v/>
      </c>
      <c r="I635">
        <f>IF(OR($F635="",$G635=""),"",IF(ISNUMBER(Sync!$AE635),MOD(Sync!$AE635,100),IFERROR(VALUE(TRIM(MID(MID(Sync!$AE635,FIND("/",Sync!$AE635)+1,20),FIND("/",MID(Sync!$AE635,FIND("/",Sync!$AE635)+1,20))+1,20))),"")))</f>
        <v/>
      </c>
      <c r="J635">
        <f>IF($F635="","",IF(OR($G635="",$H635="",$I635="",$G635&lt;1300,$G635&gt;1500,$H635&lt;1,$H635&gt;12,$I635&lt;1,$I635&gt;31),"نامعتبر",RIGHT("0000"&amp;$G635,4)&amp;"/"&amp;RIGHT("00"&amp;$H635,2)&amp;"/"&amp;RIGHT("00"&amp;$I635,2)))</f>
        <v/>
      </c>
      <c r="K635">
        <f>IF(OR($F635="",$J635="",$J635="نامعتبر"),"",LEFT($J635,4)&amp;MID($J635,6,2)&amp;RIGHT($J635,2)&amp;$N635&amp;"|"&amp;"2"&amp;RIGHT("00000"&amp;630,5))</f>
        <v/>
      </c>
      <c r="L635">
        <f>IF($K635="","",COUNTIFS(LdgSellerA,$F635,LdgKeyA,"&lt;"&amp;$K635)+COUNTIFS(LdgSellerB,$F635,LdgKeyB,"&lt;"&amp;$K635)+1)</f>
        <v/>
      </c>
      <c r="M635">
        <f>IF($L635="","",$F635&amp;"|"&amp;RIGHT("000000"&amp;$L635,6))</f>
        <v/>
      </c>
      <c r="N635">
        <f>IF($F635="","",IF(Sync!$AF635="","0000",IF(AND(ISNUMBER(Sync!$AF635),Sync!$AF635&gt;=0,Sync!$AF635&lt;1),RIGHT("00"&amp;HOUR(Sync!$AF635),2)&amp;RIGHT("00"&amp;MINUTE(Sync!$AF635),2),IFERROR(RIGHT("00"&amp;VALUE(LEFT(Sync!$AF635,FIND(":",Sync!$AF635)-1)),2)&amp;RIGHT("00"&amp;VALUE(MID(Sync!$AF635,FIND(":",Sync!$AF635)+1,2)),2),"0000"))))</f>
        <v/>
      </c>
    </row>
    <row r="636">
      <c r="A636">
        <f>IF(OR(Calc!$E640="",Calc!$E640="نامعتبر",Calc!$G640=""),"",Calc!$G640)</f>
        <v/>
      </c>
      <c r="B636">
        <f>IF($A636="","",LEFT(Calc!$E640,4)&amp;MID(Calc!$E640,6,2)&amp;RIGHT(Calc!$E640,2)&amp;Calc!$Q640&amp;"|"&amp;"1"&amp;RIGHT("00000"&amp;631,5))</f>
        <v/>
      </c>
      <c r="C636">
        <f>IF($B636="","",COUNTIFS(LdgSellerA,$A636,LdgKeyA,"&lt;"&amp;$B636)+COUNTIFS(LdgSellerB,$A636,LdgKeyB,"&lt;"&amp;$B636)+1)</f>
        <v/>
      </c>
      <c r="D636">
        <f>IF($C636="","",$A636&amp;"|"&amp;RIGHT("000000"&amp;$C636,6))</f>
        <v/>
      </c>
      <c r="F636">
        <f>IF(Sync!$AH636="","",IF(LEFT(UPPER(TRIM(Sync!$AH636)),2)="SL",UPPER(TRIM(Sync!$AH636)),""))</f>
        <v/>
      </c>
      <c r="G636">
        <f>IF($F636="","",IF(Sync!$AE636="","",IF(ISNUMBER(Sync!$AE636),IF(AND(Sync!$AE636&gt;=10000101,Sync!$AE636&lt;=99991231),INT(Sync!$AE636/10000),""),IFERROR(VALUE(TRIM(LEFT(Sync!$AE636,FIND("/",Sync!$AE636)-1))),""))))</f>
        <v/>
      </c>
      <c r="H636">
        <f>IF(OR($F636="",$G636=""),"",IF(ISNUMBER(Sync!$AE636),INT(MOD(Sync!$AE636,10000)/100),IFERROR(VALUE(TRIM(LEFT(MID(Sync!$AE636,FIND("/",Sync!$AE636)+1,20),FIND("/",MID(Sync!$AE636,FIND("/",Sync!$AE636)+1,20))-1))),"")))</f>
        <v/>
      </c>
      <c r="I636">
        <f>IF(OR($F636="",$G636=""),"",IF(ISNUMBER(Sync!$AE636),MOD(Sync!$AE636,100),IFERROR(VALUE(TRIM(MID(MID(Sync!$AE636,FIND("/",Sync!$AE636)+1,20),FIND("/",MID(Sync!$AE636,FIND("/",Sync!$AE636)+1,20))+1,20))),"")))</f>
        <v/>
      </c>
      <c r="J636">
        <f>IF($F636="","",IF(OR($G636="",$H636="",$I636="",$G636&lt;1300,$G636&gt;1500,$H636&lt;1,$H636&gt;12,$I636&lt;1,$I636&gt;31),"نامعتبر",RIGHT("0000"&amp;$G636,4)&amp;"/"&amp;RIGHT("00"&amp;$H636,2)&amp;"/"&amp;RIGHT("00"&amp;$I636,2)))</f>
        <v/>
      </c>
      <c r="K636">
        <f>IF(OR($F636="",$J636="",$J636="نامعتبر"),"",LEFT($J636,4)&amp;MID($J636,6,2)&amp;RIGHT($J636,2)&amp;$N636&amp;"|"&amp;"2"&amp;RIGHT("00000"&amp;631,5))</f>
        <v/>
      </c>
      <c r="L636">
        <f>IF($K636="","",COUNTIFS(LdgSellerA,$F636,LdgKeyA,"&lt;"&amp;$K636)+COUNTIFS(LdgSellerB,$F636,LdgKeyB,"&lt;"&amp;$K636)+1)</f>
        <v/>
      </c>
      <c r="M636">
        <f>IF($L636="","",$F636&amp;"|"&amp;RIGHT("000000"&amp;$L636,6))</f>
        <v/>
      </c>
      <c r="N636">
        <f>IF($F636="","",IF(Sync!$AF636="","0000",IF(AND(ISNUMBER(Sync!$AF636),Sync!$AF636&gt;=0,Sync!$AF636&lt;1),RIGHT("00"&amp;HOUR(Sync!$AF636),2)&amp;RIGHT("00"&amp;MINUTE(Sync!$AF636),2),IFERROR(RIGHT("00"&amp;VALUE(LEFT(Sync!$AF636,FIND(":",Sync!$AF636)-1)),2)&amp;RIGHT("00"&amp;VALUE(MID(Sync!$AF636,FIND(":",Sync!$AF636)+1,2)),2),"0000"))))</f>
        <v/>
      </c>
    </row>
    <row r="637">
      <c r="A637">
        <f>IF(OR(Calc!$E641="",Calc!$E641="نامعتبر",Calc!$G641=""),"",Calc!$G641)</f>
        <v/>
      </c>
      <c r="B637">
        <f>IF($A637="","",LEFT(Calc!$E641,4)&amp;MID(Calc!$E641,6,2)&amp;RIGHT(Calc!$E641,2)&amp;Calc!$Q641&amp;"|"&amp;"1"&amp;RIGHT("00000"&amp;632,5))</f>
        <v/>
      </c>
      <c r="C637">
        <f>IF($B637="","",COUNTIFS(LdgSellerA,$A637,LdgKeyA,"&lt;"&amp;$B637)+COUNTIFS(LdgSellerB,$A637,LdgKeyB,"&lt;"&amp;$B637)+1)</f>
        <v/>
      </c>
      <c r="D637">
        <f>IF($C637="","",$A637&amp;"|"&amp;RIGHT("000000"&amp;$C637,6))</f>
        <v/>
      </c>
      <c r="F637">
        <f>IF(Sync!$AH637="","",IF(LEFT(UPPER(TRIM(Sync!$AH637)),2)="SL",UPPER(TRIM(Sync!$AH637)),""))</f>
        <v/>
      </c>
      <c r="G637">
        <f>IF($F637="","",IF(Sync!$AE637="","",IF(ISNUMBER(Sync!$AE637),IF(AND(Sync!$AE637&gt;=10000101,Sync!$AE637&lt;=99991231),INT(Sync!$AE637/10000),""),IFERROR(VALUE(TRIM(LEFT(Sync!$AE637,FIND("/",Sync!$AE637)-1))),""))))</f>
        <v/>
      </c>
      <c r="H637">
        <f>IF(OR($F637="",$G637=""),"",IF(ISNUMBER(Sync!$AE637),INT(MOD(Sync!$AE637,10000)/100),IFERROR(VALUE(TRIM(LEFT(MID(Sync!$AE637,FIND("/",Sync!$AE637)+1,20),FIND("/",MID(Sync!$AE637,FIND("/",Sync!$AE637)+1,20))-1))),"")))</f>
        <v/>
      </c>
      <c r="I637">
        <f>IF(OR($F637="",$G637=""),"",IF(ISNUMBER(Sync!$AE637),MOD(Sync!$AE637,100),IFERROR(VALUE(TRIM(MID(MID(Sync!$AE637,FIND("/",Sync!$AE637)+1,20),FIND("/",MID(Sync!$AE637,FIND("/",Sync!$AE637)+1,20))+1,20))),"")))</f>
        <v/>
      </c>
      <c r="J637">
        <f>IF($F637="","",IF(OR($G637="",$H637="",$I637="",$G637&lt;1300,$G637&gt;1500,$H637&lt;1,$H637&gt;12,$I637&lt;1,$I637&gt;31),"نامعتبر",RIGHT("0000"&amp;$G637,4)&amp;"/"&amp;RIGHT("00"&amp;$H637,2)&amp;"/"&amp;RIGHT("00"&amp;$I637,2)))</f>
        <v/>
      </c>
      <c r="K637">
        <f>IF(OR($F637="",$J637="",$J637="نامعتبر"),"",LEFT($J637,4)&amp;MID($J637,6,2)&amp;RIGHT($J637,2)&amp;$N637&amp;"|"&amp;"2"&amp;RIGHT("00000"&amp;632,5))</f>
        <v/>
      </c>
      <c r="L637">
        <f>IF($K637="","",COUNTIFS(LdgSellerA,$F637,LdgKeyA,"&lt;"&amp;$K637)+COUNTIFS(LdgSellerB,$F637,LdgKeyB,"&lt;"&amp;$K637)+1)</f>
        <v/>
      </c>
      <c r="M637">
        <f>IF($L637="","",$F637&amp;"|"&amp;RIGHT("000000"&amp;$L637,6))</f>
        <v/>
      </c>
      <c r="N637">
        <f>IF($F637="","",IF(Sync!$AF637="","0000",IF(AND(ISNUMBER(Sync!$AF637),Sync!$AF637&gt;=0,Sync!$AF637&lt;1),RIGHT("00"&amp;HOUR(Sync!$AF637),2)&amp;RIGHT("00"&amp;MINUTE(Sync!$AF637),2),IFERROR(RIGHT("00"&amp;VALUE(LEFT(Sync!$AF637,FIND(":",Sync!$AF637)-1)),2)&amp;RIGHT("00"&amp;VALUE(MID(Sync!$AF637,FIND(":",Sync!$AF637)+1,2)),2),"0000"))))</f>
        <v/>
      </c>
    </row>
    <row r="638">
      <c r="A638">
        <f>IF(OR(Calc!$E642="",Calc!$E642="نامعتبر",Calc!$G642=""),"",Calc!$G642)</f>
        <v/>
      </c>
      <c r="B638">
        <f>IF($A638="","",LEFT(Calc!$E642,4)&amp;MID(Calc!$E642,6,2)&amp;RIGHT(Calc!$E642,2)&amp;Calc!$Q642&amp;"|"&amp;"1"&amp;RIGHT("00000"&amp;633,5))</f>
        <v/>
      </c>
      <c r="C638">
        <f>IF($B638="","",COUNTIFS(LdgSellerA,$A638,LdgKeyA,"&lt;"&amp;$B638)+COUNTIFS(LdgSellerB,$A638,LdgKeyB,"&lt;"&amp;$B638)+1)</f>
        <v/>
      </c>
      <c r="D638">
        <f>IF($C638="","",$A638&amp;"|"&amp;RIGHT("000000"&amp;$C638,6))</f>
        <v/>
      </c>
      <c r="F638">
        <f>IF(Sync!$AH638="","",IF(LEFT(UPPER(TRIM(Sync!$AH638)),2)="SL",UPPER(TRIM(Sync!$AH638)),""))</f>
        <v/>
      </c>
      <c r="G638">
        <f>IF($F638="","",IF(Sync!$AE638="","",IF(ISNUMBER(Sync!$AE638),IF(AND(Sync!$AE638&gt;=10000101,Sync!$AE638&lt;=99991231),INT(Sync!$AE638/10000),""),IFERROR(VALUE(TRIM(LEFT(Sync!$AE638,FIND("/",Sync!$AE638)-1))),""))))</f>
        <v/>
      </c>
      <c r="H638">
        <f>IF(OR($F638="",$G638=""),"",IF(ISNUMBER(Sync!$AE638),INT(MOD(Sync!$AE638,10000)/100),IFERROR(VALUE(TRIM(LEFT(MID(Sync!$AE638,FIND("/",Sync!$AE638)+1,20),FIND("/",MID(Sync!$AE638,FIND("/",Sync!$AE638)+1,20))-1))),"")))</f>
        <v/>
      </c>
      <c r="I638">
        <f>IF(OR($F638="",$G638=""),"",IF(ISNUMBER(Sync!$AE638),MOD(Sync!$AE638,100),IFERROR(VALUE(TRIM(MID(MID(Sync!$AE638,FIND("/",Sync!$AE638)+1,20),FIND("/",MID(Sync!$AE638,FIND("/",Sync!$AE638)+1,20))+1,20))),"")))</f>
        <v/>
      </c>
      <c r="J638">
        <f>IF($F638="","",IF(OR($G638="",$H638="",$I638="",$G638&lt;1300,$G638&gt;1500,$H638&lt;1,$H638&gt;12,$I638&lt;1,$I638&gt;31),"نامعتبر",RIGHT("0000"&amp;$G638,4)&amp;"/"&amp;RIGHT("00"&amp;$H638,2)&amp;"/"&amp;RIGHT("00"&amp;$I638,2)))</f>
        <v/>
      </c>
      <c r="K638">
        <f>IF(OR($F638="",$J638="",$J638="نامعتبر"),"",LEFT($J638,4)&amp;MID($J638,6,2)&amp;RIGHT($J638,2)&amp;$N638&amp;"|"&amp;"2"&amp;RIGHT("00000"&amp;633,5))</f>
        <v/>
      </c>
      <c r="L638">
        <f>IF($K638="","",COUNTIFS(LdgSellerA,$F638,LdgKeyA,"&lt;"&amp;$K638)+COUNTIFS(LdgSellerB,$F638,LdgKeyB,"&lt;"&amp;$K638)+1)</f>
        <v/>
      </c>
      <c r="M638">
        <f>IF($L638="","",$F638&amp;"|"&amp;RIGHT("000000"&amp;$L638,6))</f>
        <v/>
      </c>
      <c r="N638">
        <f>IF($F638="","",IF(Sync!$AF638="","0000",IF(AND(ISNUMBER(Sync!$AF638),Sync!$AF638&gt;=0,Sync!$AF638&lt;1),RIGHT("00"&amp;HOUR(Sync!$AF638),2)&amp;RIGHT("00"&amp;MINUTE(Sync!$AF638),2),IFERROR(RIGHT("00"&amp;VALUE(LEFT(Sync!$AF638,FIND(":",Sync!$AF638)-1)),2)&amp;RIGHT("00"&amp;VALUE(MID(Sync!$AF638,FIND(":",Sync!$AF638)+1,2)),2),"0000"))))</f>
        <v/>
      </c>
    </row>
    <row r="639">
      <c r="A639">
        <f>IF(OR(Calc!$E643="",Calc!$E643="نامعتبر",Calc!$G643=""),"",Calc!$G643)</f>
        <v/>
      </c>
      <c r="B639">
        <f>IF($A639="","",LEFT(Calc!$E643,4)&amp;MID(Calc!$E643,6,2)&amp;RIGHT(Calc!$E643,2)&amp;Calc!$Q643&amp;"|"&amp;"1"&amp;RIGHT("00000"&amp;634,5))</f>
        <v/>
      </c>
      <c r="C639">
        <f>IF($B639="","",COUNTIFS(LdgSellerA,$A639,LdgKeyA,"&lt;"&amp;$B639)+COUNTIFS(LdgSellerB,$A639,LdgKeyB,"&lt;"&amp;$B639)+1)</f>
        <v/>
      </c>
      <c r="D639">
        <f>IF($C639="","",$A639&amp;"|"&amp;RIGHT("000000"&amp;$C639,6))</f>
        <v/>
      </c>
      <c r="F639">
        <f>IF(Sync!$AH639="","",IF(LEFT(UPPER(TRIM(Sync!$AH639)),2)="SL",UPPER(TRIM(Sync!$AH639)),""))</f>
        <v/>
      </c>
      <c r="G639">
        <f>IF($F639="","",IF(Sync!$AE639="","",IF(ISNUMBER(Sync!$AE639),IF(AND(Sync!$AE639&gt;=10000101,Sync!$AE639&lt;=99991231),INT(Sync!$AE639/10000),""),IFERROR(VALUE(TRIM(LEFT(Sync!$AE639,FIND("/",Sync!$AE639)-1))),""))))</f>
        <v/>
      </c>
      <c r="H639">
        <f>IF(OR($F639="",$G639=""),"",IF(ISNUMBER(Sync!$AE639),INT(MOD(Sync!$AE639,10000)/100),IFERROR(VALUE(TRIM(LEFT(MID(Sync!$AE639,FIND("/",Sync!$AE639)+1,20),FIND("/",MID(Sync!$AE639,FIND("/",Sync!$AE639)+1,20))-1))),"")))</f>
        <v/>
      </c>
      <c r="I639">
        <f>IF(OR($F639="",$G639=""),"",IF(ISNUMBER(Sync!$AE639),MOD(Sync!$AE639,100),IFERROR(VALUE(TRIM(MID(MID(Sync!$AE639,FIND("/",Sync!$AE639)+1,20),FIND("/",MID(Sync!$AE639,FIND("/",Sync!$AE639)+1,20))+1,20))),"")))</f>
        <v/>
      </c>
      <c r="J639">
        <f>IF($F639="","",IF(OR($G639="",$H639="",$I639="",$G639&lt;1300,$G639&gt;1500,$H639&lt;1,$H639&gt;12,$I639&lt;1,$I639&gt;31),"نامعتبر",RIGHT("0000"&amp;$G639,4)&amp;"/"&amp;RIGHT("00"&amp;$H639,2)&amp;"/"&amp;RIGHT("00"&amp;$I639,2)))</f>
        <v/>
      </c>
      <c r="K639">
        <f>IF(OR($F639="",$J639="",$J639="نامعتبر"),"",LEFT($J639,4)&amp;MID($J639,6,2)&amp;RIGHT($J639,2)&amp;$N639&amp;"|"&amp;"2"&amp;RIGHT("00000"&amp;634,5))</f>
        <v/>
      </c>
      <c r="L639">
        <f>IF($K639="","",COUNTIFS(LdgSellerA,$F639,LdgKeyA,"&lt;"&amp;$K639)+COUNTIFS(LdgSellerB,$F639,LdgKeyB,"&lt;"&amp;$K639)+1)</f>
        <v/>
      </c>
      <c r="M639">
        <f>IF($L639="","",$F639&amp;"|"&amp;RIGHT("000000"&amp;$L639,6))</f>
        <v/>
      </c>
      <c r="N639">
        <f>IF($F639="","",IF(Sync!$AF639="","0000",IF(AND(ISNUMBER(Sync!$AF639),Sync!$AF639&gt;=0,Sync!$AF639&lt;1),RIGHT("00"&amp;HOUR(Sync!$AF639),2)&amp;RIGHT("00"&amp;MINUTE(Sync!$AF639),2),IFERROR(RIGHT("00"&amp;VALUE(LEFT(Sync!$AF639,FIND(":",Sync!$AF639)-1)),2)&amp;RIGHT("00"&amp;VALUE(MID(Sync!$AF639,FIND(":",Sync!$AF639)+1,2)),2),"0000"))))</f>
        <v/>
      </c>
    </row>
    <row r="640">
      <c r="A640">
        <f>IF(OR(Calc!$E644="",Calc!$E644="نامعتبر",Calc!$G644=""),"",Calc!$G644)</f>
        <v/>
      </c>
      <c r="B640">
        <f>IF($A640="","",LEFT(Calc!$E644,4)&amp;MID(Calc!$E644,6,2)&amp;RIGHT(Calc!$E644,2)&amp;Calc!$Q644&amp;"|"&amp;"1"&amp;RIGHT("00000"&amp;635,5))</f>
        <v/>
      </c>
      <c r="C640">
        <f>IF($B640="","",COUNTIFS(LdgSellerA,$A640,LdgKeyA,"&lt;"&amp;$B640)+COUNTIFS(LdgSellerB,$A640,LdgKeyB,"&lt;"&amp;$B640)+1)</f>
        <v/>
      </c>
      <c r="D640">
        <f>IF($C640="","",$A640&amp;"|"&amp;RIGHT("000000"&amp;$C640,6))</f>
        <v/>
      </c>
      <c r="F640">
        <f>IF(Sync!$AH640="","",IF(LEFT(UPPER(TRIM(Sync!$AH640)),2)="SL",UPPER(TRIM(Sync!$AH640)),""))</f>
        <v/>
      </c>
      <c r="G640">
        <f>IF($F640="","",IF(Sync!$AE640="","",IF(ISNUMBER(Sync!$AE640),IF(AND(Sync!$AE640&gt;=10000101,Sync!$AE640&lt;=99991231),INT(Sync!$AE640/10000),""),IFERROR(VALUE(TRIM(LEFT(Sync!$AE640,FIND("/",Sync!$AE640)-1))),""))))</f>
        <v/>
      </c>
      <c r="H640">
        <f>IF(OR($F640="",$G640=""),"",IF(ISNUMBER(Sync!$AE640),INT(MOD(Sync!$AE640,10000)/100),IFERROR(VALUE(TRIM(LEFT(MID(Sync!$AE640,FIND("/",Sync!$AE640)+1,20),FIND("/",MID(Sync!$AE640,FIND("/",Sync!$AE640)+1,20))-1))),"")))</f>
        <v/>
      </c>
      <c r="I640">
        <f>IF(OR($F640="",$G640=""),"",IF(ISNUMBER(Sync!$AE640),MOD(Sync!$AE640,100),IFERROR(VALUE(TRIM(MID(MID(Sync!$AE640,FIND("/",Sync!$AE640)+1,20),FIND("/",MID(Sync!$AE640,FIND("/",Sync!$AE640)+1,20))+1,20))),"")))</f>
        <v/>
      </c>
      <c r="J640">
        <f>IF($F640="","",IF(OR($G640="",$H640="",$I640="",$G640&lt;1300,$G640&gt;1500,$H640&lt;1,$H640&gt;12,$I640&lt;1,$I640&gt;31),"نامعتبر",RIGHT("0000"&amp;$G640,4)&amp;"/"&amp;RIGHT("00"&amp;$H640,2)&amp;"/"&amp;RIGHT("00"&amp;$I640,2)))</f>
        <v/>
      </c>
      <c r="K640">
        <f>IF(OR($F640="",$J640="",$J640="نامعتبر"),"",LEFT($J640,4)&amp;MID($J640,6,2)&amp;RIGHT($J640,2)&amp;$N640&amp;"|"&amp;"2"&amp;RIGHT("00000"&amp;635,5))</f>
        <v/>
      </c>
      <c r="L640">
        <f>IF($K640="","",COUNTIFS(LdgSellerA,$F640,LdgKeyA,"&lt;"&amp;$K640)+COUNTIFS(LdgSellerB,$F640,LdgKeyB,"&lt;"&amp;$K640)+1)</f>
        <v/>
      </c>
      <c r="M640">
        <f>IF($L640="","",$F640&amp;"|"&amp;RIGHT("000000"&amp;$L640,6))</f>
        <v/>
      </c>
      <c r="N640">
        <f>IF($F640="","",IF(Sync!$AF640="","0000",IF(AND(ISNUMBER(Sync!$AF640),Sync!$AF640&gt;=0,Sync!$AF640&lt;1),RIGHT("00"&amp;HOUR(Sync!$AF640),2)&amp;RIGHT("00"&amp;MINUTE(Sync!$AF640),2),IFERROR(RIGHT("00"&amp;VALUE(LEFT(Sync!$AF640,FIND(":",Sync!$AF640)-1)),2)&amp;RIGHT("00"&amp;VALUE(MID(Sync!$AF640,FIND(":",Sync!$AF640)+1,2)),2),"0000"))))</f>
        <v/>
      </c>
    </row>
    <row r="641">
      <c r="A641">
        <f>IF(OR(Calc!$E645="",Calc!$E645="نامعتبر",Calc!$G645=""),"",Calc!$G645)</f>
        <v/>
      </c>
      <c r="B641">
        <f>IF($A641="","",LEFT(Calc!$E645,4)&amp;MID(Calc!$E645,6,2)&amp;RIGHT(Calc!$E645,2)&amp;Calc!$Q645&amp;"|"&amp;"1"&amp;RIGHT("00000"&amp;636,5))</f>
        <v/>
      </c>
      <c r="C641">
        <f>IF($B641="","",COUNTIFS(LdgSellerA,$A641,LdgKeyA,"&lt;"&amp;$B641)+COUNTIFS(LdgSellerB,$A641,LdgKeyB,"&lt;"&amp;$B641)+1)</f>
        <v/>
      </c>
      <c r="D641">
        <f>IF($C641="","",$A641&amp;"|"&amp;RIGHT("000000"&amp;$C641,6))</f>
        <v/>
      </c>
      <c r="F641">
        <f>IF(Sync!$AH641="","",IF(LEFT(UPPER(TRIM(Sync!$AH641)),2)="SL",UPPER(TRIM(Sync!$AH641)),""))</f>
        <v/>
      </c>
      <c r="G641">
        <f>IF($F641="","",IF(Sync!$AE641="","",IF(ISNUMBER(Sync!$AE641),IF(AND(Sync!$AE641&gt;=10000101,Sync!$AE641&lt;=99991231),INT(Sync!$AE641/10000),""),IFERROR(VALUE(TRIM(LEFT(Sync!$AE641,FIND("/",Sync!$AE641)-1))),""))))</f>
        <v/>
      </c>
      <c r="H641">
        <f>IF(OR($F641="",$G641=""),"",IF(ISNUMBER(Sync!$AE641),INT(MOD(Sync!$AE641,10000)/100),IFERROR(VALUE(TRIM(LEFT(MID(Sync!$AE641,FIND("/",Sync!$AE641)+1,20),FIND("/",MID(Sync!$AE641,FIND("/",Sync!$AE641)+1,20))-1))),"")))</f>
        <v/>
      </c>
      <c r="I641">
        <f>IF(OR($F641="",$G641=""),"",IF(ISNUMBER(Sync!$AE641),MOD(Sync!$AE641,100),IFERROR(VALUE(TRIM(MID(MID(Sync!$AE641,FIND("/",Sync!$AE641)+1,20),FIND("/",MID(Sync!$AE641,FIND("/",Sync!$AE641)+1,20))+1,20))),"")))</f>
        <v/>
      </c>
      <c r="J641">
        <f>IF($F641="","",IF(OR($G641="",$H641="",$I641="",$G641&lt;1300,$G641&gt;1500,$H641&lt;1,$H641&gt;12,$I641&lt;1,$I641&gt;31),"نامعتبر",RIGHT("0000"&amp;$G641,4)&amp;"/"&amp;RIGHT("00"&amp;$H641,2)&amp;"/"&amp;RIGHT("00"&amp;$I641,2)))</f>
        <v/>
      </c>
      <c r="K641">
        <f>IF(OR($F641="",$J641="",$J641="نامعتبر"),"",LEFT($J641,4)&amp;MID($J641,6,2)&amp;RIGHT($J641,2)&amp;$N641&amp;"|"&amp;"2"&amp;RIGHT("00000"&amp;636,5))</f>
        <v/>
      </c>
      <c r="L641">
        <f>IF($K641="","",COUNTIFS(LdgSellerA,$F641,LdgKeyA,"&lt;"&amp;$K641)+COUNTIFS(LdgSellerB,$F641,LdgKeyB,"&lt;"&amp;$K641)+1)</f>
        <v/>
      </c>
      <c r="M641">
        <f>IF($L641="","",$F641&amp;"|"&amp;RIGHT("000000"&amp;$L641,6))</f>
        <v/>
      </c>
      <c r="N641">
        <f>IF($F641="","",IF(Sync!$AF641="","0000",IF(AND(ISNUMBER(Sync!$AF641),Sync!$AF641&gt;=0,Sync!$AF641&lt;1),RIGHT("00"&amp;HOUR(Sync!$AF641),2)&amp;RIGHT("00"&amp;MINUTE(Sync!$AF641),2),IFERROR(RIGHT("00"&amp;VALUE(LEFT(Sync!$AF641,FIND(":",Sync!$AF641)-1)),2)&amp;RIGHT("00"&amp;VALUE(MID(Sync!$AF641,FIND(":",Sync!$AF641)+1,2)),2),"0000"))))</f>
        <v/>
      </c>
    </row>
    <row r="642">
      <c r="A642">
        <f>IF(OR(Calc!$E646="",Calc!$E646="نامعتبر",Calc!$G646=""),"",Calc!$G646)</f>
        <v/>
      </c>
      <c r="B642">
        <f>IF($A642="","",LEFT(Calc!$E646,4)&amp;MID(Calc!$E646,6,2)&amp;RIGHT(Calc!$E646,2)&amp;Calc!$Q646&amp;"|"&amp;"1"&amp;RIGHT("00000"&amp;637,5))</f>
        <v/>
      </c>
      <c r="C642">
        <f>IF($B642="","",COUNTIFS(LdgSellerA,$A642,LdgKeyA,"&lt;"&amp;$B642)+COUNTIFS(LdgSellerB,$A642,LdgKeyB,"&lt;"&amp;$B642)+1)</f>
        <v/>
      </c>
      <c r="D642">
        <f>IF($C642="","",$A642&amp;"|"&amp;RIGHT("000000"&amp;$C642,6))</f>
        <v/>
      </c>
      <c r="F642">
        <f>IF(Sync!$AH642="","",IF(LEFT(UPPER(TRIM(Sync!$AH642)),2)="SL",UPPER(TRIM(Sync!$AH642)),""))</f>
        <v/>
      </c>
      <c r="G642">
        <f>IF($F642="","",IF(Sync!$AE642="","",IF(ISNUMBER(Sync!$AE642),IF(AND(Sync!$AE642&gt;=10000101,Sync!$AE642&lt;=99991231),INT(Sync!$AE642/10000),""),IFERROR(VALUE(TRIM(LEFT(Sync!$AE642,FIND("/",Sync!$AE642)-1))),""))))</f>
        <v/>
      </c>
      <c r="H642">
        <f>IF(OR($F642="",$G642=""),"",IF(ISNUMBER(Sync!$AE642),INT(MOD(Sync!$AE642,10000)/100),IFERROR(VALUE(TRIM(LEFT(MID(Sync!$AE642,FIND("/",Sync!$AE642)+1,20),FIND("/",MID(Sync!$AE642,FIND("/",Sync!$AE642)+1,20))-1))),"")))</f>
        <v/>
      </c>
      <c r="I642">
        <f>IF(OR($F642="",$G642=""),"",IF(ISNUMBER(Sync!$AE642),MOD(Sync!$AE642,100),IFERROR(VALUE(TRIM(MID(MID(Sync!$AE642,FIND("/",Sync!$AE642)+1,20),FIND("/",MID(Sync!$AE642,FIND("/",Sync!$AE642)+1,20))+1,20))),"")))</f>
        <v/>
      </c>
      <c r="J642">
        <f>IF($F642="","",IF(OR($G642="",$H642="",$I642="",$G642&lt;1300,$G642&gt;1500,$H642&lt;1,$H642&gt;12,$I642&lt;1,$I642&gt;31),"نامعتبر",RIGHT("0000"&amp;$G642,4)&amp;"/"&amp;RIGHT("00"&amp;$H642,2)&amp;"/"&amp;RIGHT("00"&amp;$I642,2)))</f>
        <v/>
      </c>
      <c r="K642">
        <f>IF(OR($F642="",$J642="",$J642="نامعتبر"),"",LEFT($J642,4)&amp;MID($J642,6,2)&amp;RIGHT($J642,2)&amp;$N642&amp;"|"&amp;"2"&amp;RIGHT("00000"&amp;637,5))</f>
        <v/>
      </c>
      <c r="L642">
        <f>IF($K642="","",COUNTIFS(LdgSellerA,$F642,LdgKeyA,"&lt;"&amp;$K642)+COUNTIFS(LdgSellerB,$F642,LdgKeyB,"&lt;"&amp;$K642)+1)</f>
        <v/>
      </c>
      <c r="M642">
        <f>IF($L642="","",$F642&amp;"|"&amp;RIGHT("000000"&amp;$L642,6))</f>
        <v/>
      </c>
      <c r="N642">
        <f>IF($F642="","",IF(Sync!$AF642="","0000",IF(AND(ISNUMBER(Sync!$AF642),Sync!$AF642&gt;=0,Sync!$AF642&lt;1),RIGHT("00"&amp;HOUR(Sync!$AF642),2)&amp;RIGHT("00"&amp;MINUTE(Sync!$AF642),2),IFERROR(RIGHT("00"&amp;VALUE(LEFT(Sync!$AF642,FIND(":",Sync!$AF642)-1)),2)&amp;RIGHT("00"&amp;VALUE(MID(Sync!$AF642,FIND(":",Sync!$AF642)+1,2)),2),"0000"))))</f>
        <v/>
      </c>
    </row>
    <row r="643">
      <c r="A643">
        <f>IF(OR(Calc!$E647="",Calc!$E647="نامعتبر",Calc!$G647=""),"",Calc!$G647)</f>
        <v/>
      </c>
      <c r="B643">
        <f>IF($A643="","",LEFT(Calc!$E647,4)&amp;MID(Calc!$E647,6,2)&amp;RIGHT(Calc!$E647,2)&amp;Calc!$Q647&amp;"|"&amp;"1"&amp;RIGHT("00000"&amp;638,5))</f>
        <v/>
      </c>
      <c r="C643">
        <f>IF($B643="","",COUNTIFS(LdgSellerA,$A643,LdgKeyA,"&lt;"&amp;$B643)+COUNTIFS(LdgSellerB,$A643,LdgKeyB,"&lt;"&amp;$B643)+1)</f>
        <v/>
      </c>
      <c r="D643">
        <f>IF($C643="","",$A643&amp;"|"&amp;RIGHT("000000"&amp;$C643,6))</f>
        <v/>
      </c>
      <c r="F643">
        <f>IF(Sync!$AH643="","",IF(LEFT(UPPER(TRIM(Sync!$AH643)),2)="SL",UPPER(TRIM(Sync!$AH643)),""))</f>
        <v/>
      </c>
      <c r="G643">
        <f>IF($F643="","",IF(Sync!$AE643="","",IF(ISNUMBER(Sync!$AE643),IF(AND(Sync!$AE643&gt;=10000101,Sync!$AE643&lt;=99991231),INT(Sync!$AE643/10000),""),IFERROR(VALUE(TRIM(LEFT(Sync!$AE643,FIND("/",Sync!$AE643)-1))),""))))</f>
        <v/>
      </c>
      <c r="H643">
        <f>IF(OR($F643="",$G643=""),"",IF(ISNUMBER(Sync!$AE643),INT(MOD(Sync!$AE643,10000)/100),IFERROR(VALUE(TRIM(LEFT(MID(Sync!$AE643,FIND("/",Sync!$AE643)+1,20),FIND("/",MID(Sync!$AE643,FIND("/",Sync!$AE643)+1,20))-1))),"")))</f>
        <v/>
      </c>
      <c r="I643">
        <f>IF(OR($F643="",$G643=""),"",IF(ISNUMBER(Sync!$AE643),MOD(Sync!$AE643,100),IFERROR(VALUE(TRIM(MID(MID(Sync!$AE643,FIND("/",Sync!$AE643)+1,20),FIND("/",MID(Sync!$AE643,FIND("/",Sync!$AE643)+1,20))+1,20))),"")))</f>
        <v/>
      </c>
      <c r="J643">
        <f>IF($F643="","",IF(OR($G643="",$H643="",$I643="",$G643&lt;1300,$G643&gt;1500,$H643&lt;1,$H643&gt;12,$I643&lt;1,$I643&gt;31),"نامعتبر",RIGHT("0000"&amp;$G643,4)&amp;"/"&amp;RIGHT("00"&amp;$H643,2)&amp;"/"&amp;RIGHT("00"&amp;$I643,2)))</f>
        <v/>
      </c>
      <c r="K643">
        <f>IF(OR($F643="",$J643="",$J643="نامعتبر"),"",LEFT($J643,4)&amp;MID($J643,6,2)&amp;RIGHT($J643,2)&amp;$N643&amp;"|"&amp;"2"&amp;RIGHT("00000"&amp;638,5))</f>
        <v/>
      </c>
      <c r="L643">
        <f>IF($K643="","",COUNTIFS(LdgSellerA,$F643,LdgKeyA,"&lt;"&amp;$K643)+COUNTIFS(LdgSellerB,$F643,LdgKeyB,"&lt;"&amp;$K643)+1)</f>
        <v/>
      </c>
      <c r="M643">
        <f>IF($L643="","",$F643&amp;"|"&amp;RIGHT("000000"&amp;$L643,6))</f>
        <v/>
      </c>
      <c r="N643">
        <f>IF($F643="","",IF(Sync!$AF643="","0000",IF(AND(ISNUMBER(Sync!$AF643),Sync!$AF643&gt;=0,Sync!$AF643&lt;1),RIGHT("00"&amp;HOUR(Sync!$AF643),2)&amp;RIGHT("00"&amp;MINUTE(Sync!$AF643),2),IFERROR(RIGHT("00"&amp;VALUE(LEFT(Sync!$AF643,FIND(":",Sync!$AF643)-1)),2)&amp;RIGHT("00"&amp;VALUE(MID(Sync!$AF643,FIND(":",Sync!$AF643)+1,2)),2),"0000"))))</f>
        <v/>
      </c>
    </row>
    <row r="644">
      <c r="A644">
        <f>IF(OR(Calc!$E648="",Calc!$E648="نامعتبر",Calc!$G648=""),"",Calc!$G648)</f>
        <v/>
      </c>
      <c r="B644">
        <f>IF($A644="","",LEFT(Calc!$E648,4)&amp;MID(Calc!$E648,6,2)&amp;RIGHT(Calc!$E648,2)&amp;Calc!$Q648&amp;"|"&amp;"1"&amp;RIGHT("00000"&amp;639,5))</f>
        <v/>
      </c>
      <c r="C644">
        <f>IF($B644="","",COUNTIFS(LdgSellerA,$A644,LdgKeyA,"&lt;"&amp;$B644)+COUNTIFS(LdgSellerB,$A644,LdgKeyB,"&lt;"&amp;$B644)+1)</f>
        <v/>
      </c>
      <c r="D644">
        <f>IF($C644="","",$A644&amp;"|"&amp;RIGHT("000000"&amp;$C644,6))</f>
        <v/>
      </c>
      <c r="F644">
        <f>IF(Sync!$AH644="","",IF(LEFT(UPPER(TRIM(Sync!$AH644)),2)="SL",UPPER(TRIM(Sync!$AH644)),""))</f>
        <v/>
      </c>
      <c r="G644">
        <f>IF($F644="","",IF(Sync!$AE644="","",IF(ISNUMBER(Sync!$AE644),IF(AND(Sync!$AE644&gt;=10000101,Sync!$AE644&lt;=99991231),INT(Sync!$AE644/10000),""),IFERROR(VALUE(TRIM(LEFT(Sync!$AE644,FIND("/",Sync!$AE644)-1))),""))))</f>
        <v/>
      </c>
      <c r="H644">
        <f>IF(OR($F644="",$G644=""),"",IF(ISNUMBER(Sync!$AE644),INT(MOD(Sync!$AE644,10000)/100),IFERROR(VALUE(TRIM(LEFT(MID(Sync!$AE644,FIND("/",Sync!$AE644)+1,20),FIND("/",MID(Sync!$AE644,FIND("/",Sync!$AE644)+1,20))-1))),"")))</f>
        <v/>
      </c>
      <c r="I644">
        <f>IF(OR($F644="",$G644=""),"",IF(ISNUMBER(Sync!$AE644),MOD(Sync!$AE644,100),IFERROR(VALUE(TRIM(MID(MID(Sync!$AE644,FIND("/",Sync!$AE644)+1,20),FIND("/",MID(Sync!$AE644,FIND("/",Sync!$AE644)+1,20))+1,20))),"")))</f>
        <v/>
      </c>
      <c r="J644">
        <f>IF($F644="","",IF(OR($G644="",$H644="",$I644="",$G644&lt;1300,$G644&gt;1500,$H644&lt;1,$H644&gt;12,$I644&lt;1,$I644&gt;31),"نامعتبر",RIGHT("0000"&amp;$G644,4)&amp;"/"&amp;RIGHT("00"&amp;$H644,2)&amp;"/"&amp;RIGHT("00"&amp;$I644,2)))</f>
        <v/>
      </c>
      <c r="K644">
        <f>IF(OR($F644="",$J644="",$J644="نامعتبر"),"",LEFT($J644,4)&amp;MID($J644,6,2)&amp;RIGHT($J644,2)&amp;$N644&amp;"|"&amp;"2"&amp;RIGHT("00000"&amp;639,5))</f>
        <v/>
      </c>
      <c r="L644">
        <f>IF($K644="","",COUNTIFS(LdgSellerA,$F644,LdgKeyA,"&lt;"&amp;$K644)+COUNTIFS(LdgSellerB,$F644,LdgKeyB,"&lt;"&amp;$K644)+1)</f>
        <v/>
      </c>
      <c r="M644">
        <f>IF($L644="","",$F644&amp;"|"&amp;RIGHT("000000"&amp;$L644,6))</f>
        <v/>
      </c>
      <c r="N644">
        <f>IF($F644="","",IF(Sync!$AF644="","0000",IF(AND(ISNUMBER(Sync!$AF644),Sync!$AF644&gt;=0,Sync!$AF644&lt;1),RIGHT("00"&amp;HOUR(Sync!$AF644),2)&amp;RIGHT("00"&amp;MINUTE(Sync!$AF644),2),IFERROR(RIGHT("00"&amp;VALUE(LEFT(Sync!$AF644,FIND(":",Sync!$AF644)-1)),2)&amp;RIGHT("00"&amp;VALUE(MID(Sync!$AF644,FIND(":",Sync!$AF644)+1,2)),2),"0000"))))</f>
        <v/>
      </c>
    </row>
    <row r="645">
      <c r="A645">
        <f>IF(OR(Calc!$E649="",Calc!$E649="نامعتبر",Calc!$G649=""),"",Calc!$G649)</f>
        <v/>
      </c>
      <c r="B645">
        <f>IF($A645="","",LEFT(Calc!$E649,4)&amp;MID(Calc!$E649,6,2)&amp;RIGHT(Calc!$E649,2)&amp;Calc!$Q649&amp;"|"&amp;"1"&amp;RIGHT("00000"&amp;640,5))</f>
        <v/>
      </c>
      <c r="C645">
        <f>IF($B645="","",COUNTIFS(LdgSellerA,$A645,LdgKeyA,"&lt;"&amp;$B645)+COUNTIFS(LdgSellerB,$A645,LdgKeyB,"&lt;"&amp;$B645)+1)</f>
        <v/>
      </c>
      <c r="D645">
        <f>IF($C645="","",$A645&amp;"|"&amp;RIGHT("000000"&amp;$C645,6))</f>
        <v/>
      </c>
      <c r="F645">
        <f>IF(Sync!$AH645="","",IF(LEFT(UPPER(TRIM(Sync!$AH645)),2)="SL",UPPER(TRIM(Sync!$AH645)),""))</f>
        <v/>
      </c>
      <c r="G645">
        <f>IF($F645="","",IF(Sync!$AE645="","",IF(ISNUMBER(Sync!$AE645),IF(AND(Sync!$AE645&gt;=10000101,Sync!$AE645&lt;=99991231),INT(Sync!$AE645/10000),""),IFERROR(VALUE(TRIM(LEFT(Sync!$AE645,FIND("/",Sync!$AE645)-1))),""))))</f>
        <v/>
      </c>
      <c r="H645">
        <f>IF(OR($F645="",$G645=""),"",IF(ISNUMBER(Sync!$AE645),INT(MOD(Sync!$AE645,10000)/100),IFERROR(VALUE(TRIM(LEFT(MID(Sync!$AE645,FIND("/",Sync!$AE645)+1,20),FIND("/",MID(Sync!$AE645,FIND("/",Sync!$AE645)+1,20))-1))),"")))</f>
        <v/>
      </c>
      <c r="I645">
        <f>IF(OR($F645="",$G645=""),"",IF(ISNUMBER(Sync!$AE645),MOD(Sync!$AE645,100),IFERROR(VALUE(TRIM(MID(MID(Sync!$AE645,FIND("/",Sync!$AE645)+1,20),FIND("/",MID(Sync!$AE645,FIND("/",Sync!$AE645)+1,20))+1,20))),"")))</f>
        <v/>
      </c>
      <c r="J645">
        <f>IF($F645="","",IF(OR($G645="",$H645="",$I645="",$G645&lt;1300,$G645&gt;1500,$H645&lt;1,$H645&gt;12,$I645&lt;1,$I645&gt;31),"نامعتبر",RIGHT("0000"&amp;$G645,4)&amp;"/"&amp;RIGHT("00"&amp;$H645,2)&amp;"/"&amp;RIGHT("00"&amp;$I645,2)))</f>
        <v/>
      </c>
      <c r="K645">
        <f>IF(OR($F645="",$J645="",$J645="نامعتبر"),"",LEFT($J645,4)&amp;MID($J645,6,2)&amp;RIGHT($J645,2)&amp;$N645&amp;"|"&amp;"2"&amp;RIGHT("00000"&amp;640,5))</f>
        <v/>
      </c>
      <c r="L645">
        <f>IF($K645="","",COUNTIFS(LdgSellerA,$F645,LdgKeyA,"&lt;"&amp;$K645)+COUNTIFS(LdgSellerB,$F645,LdgKeyB,"&lt;"&amp;$K645)+1)</f>
        <v/>
      </c>
      <c r="M645">
        <f>IF($L645="","",$F645&amp;"|"&amp;RIGHT("000000"&amp;$L645,6))</f>
        <v/>
      </c>
      <c r="N645">
        <f>IF($F645="","",IF(Sync!$AF645="","0000",IF(AND(ISNUMBER(Sync!$AF645),Sync!$AF645&gt;=0,Sync!$AF645&lt;1),RIGHT("00"&amp;HOUR(Sync!$AF645),2)&amp;RIGHT("00"&amp;MINUTE(Sync!$AF645),2),IFERROR(RIGHT("00"&amp;VALUE(LEFT(Sync!$AF645,FIND(":",Sync!$AF645)-1)),2)&amp;RIGHT("00"&amp;VALUE(MID(Sync!$AF645,FIND(":",Sync!$AF645)+1,2)),2),"0000"))))</f>
        <v/>
      </c>
    </row>
    <row r="646">
      <c r="A646">
        <f>IF(OR(Calc!$E650="",Calc!$E650="نامعتبر",Calc!$G650=""),"",Calc!$G650)</f>
        <v/>
      </c>
      <c r="B646">
        <f>IF($A646="","",LEFT(Calc!$E650,4)&amp;MID(Calc!$E650,6,2)&amp;RIGHT(Calc!$E650,2)&amp;Calc!$Q650&amp;"|"&amp;"1"&amp;RIGHT("00000"&amp;641,5))</f>
        <v/>
      </c>
      <c r="C646">
        <f>IF($B646="","",COUNTIFS(LdgSellerA,$A646,LdgKeyA,"&lt;"&amp;$B646)+COUNTIFS(LdgSellerB,$A646,LdgKeyB,"&lt;"&amp;$B646)+1)</f>
        <v/>
      </c>
      <c r="D646">
        <f>IF($C646="","",$A646&amp;"|"&amp;RIGHT("000000"&amp;$C646,6))</f>
        <v/>
      </c>
      <c r="F646">
        <f>IF(Sync!$AH646="","",IF(LEFT(UPPER(TRIM(Sync!$AH646)),2)="SL",UPPER(TRIM(Sync!$AH646)),""))</f>
        <v/>
      </c>
      <c r="G646">
        <f>IF($F646="","",IF(Sync!$AE646="","",IF(ISNUMBER(Sync!$AE646),IF(AND(Sync!$AE646&gt;=10000101,Sync!$AE646&lt;=99991231),INT(Sync!$AE646/10000),""),IFERROR(VALUE(TRIM(LEFT(Sync!$AE646,FIND("/",Sync!$AE646)-1))),""))))</f>
        <v/>
      </c>
      <c r="H646">
        <f>IF(OR($F646="",$G646=""),"",IF(ISNUMBER(Sync!$AE646),INT(MOD(Sync!$AE646,10000)/100),IFERROR(VALUE(TRIM(LEFT(MID(Sync!$AE646,FIND("/",Sync!$AE646)+1,20),FIND("/",MID(Sync!$AE646,FIND("/",Sync!$AE646)+1,20))-1))),"")))</f>
        <v/>
      </c>
      <c r="I646">
        <f>IF(OR($F646="",$G646=""),"",IF(ISNUMBER(Sync!$AE646),MOD(Sync!$AE646,100),IFERROR(VALUE(TRIM(MID(MID(Sync!$AE646,FIND("/",Sync!$AE646)+1,20),FIND("/",MID(Sync!$AE646,FIND("/",Sync!$AE646)+1,20))+1,20))),"")))</f>
        <v/>
      </c>
      <c r="J646">
        <f>IF($F646="","",IF(OR($G646="",$H646="",$I646="",$G646&lt;1300,$G646&gt;1500,$H646&lt;1,$H646&gt;12,$I646&lt;1,$I646&gt;31),"نامعتبر",RIGHT("0000"&amp;$G646,4)&amp;"/"&amp;RIGHT("00"&amp;$H646,2)&amp;"/"&amp;RIGHT("00"&amp;$I646,2)))</f>
        <v/>
      </c>
      <c r="K646">
        <f>IF(OR($F646="",$J646="",$J646="نامعتبر"),"",LEFT($J646,4)&amp;MID($J646,6,2)&amp;RIGHT($J646,2)&amp;$N646&amp;"|"&amp;"2"&amp;RIGHT("00000"&amp;641,5))</f>
        <v/>
      </c>
      <c r="L646">
        <f>IF($K646="","",COUNTIFS(LdgSellerA,$F646,LdgKeyA,"&lt;"&amp;$K646)+COUNTIFS(LdgSellerB,$F646,LdgKeyB,"&lt;"&amp;$K646)+1)</f>
        <v/>
      </c>
      <c r="M646">
        <f>IF($L646="","",$F646&amp;"|"&amp;RIGHT("000000"&amp;$L646,6))</f>
        <v/>
      </c>
      <c r="N646">
        <f>IF($F646="","",IF(Sync!$AF646="","0000",IF(AND(ISNUMBER(Sync!$AF646),Sync!$AF646&gt;=0,Sync!$AF646&lt;1),RIGHT("00"&amp;HOUR(Sync!$AF646),2)&amp;RIGHT("00"&amp;MINUTE(Sync!$AF646),2),IFERROR(RIGHT("00"&amp;VALUE(LEFT(Sync!$AF646,FIND(":",Sync!$AF646)-1)),2)&amp;RIGHT("00"&amp;VALUE(MID(Sync!$AF646,FIND(":",Sync!$AF646)+1,2)),2),"0000"))))</f>
        <v/>
      </c>
    </row>
    <row r="647">
      <c r="A647">
        <f>IF(OR(Calc!$E651="",Calc!$E651="نامعتبر",Calc!$G651=""),"",Calc!$G651)</f>
        <v/>
      </c>
      <c r="B647">
        <f>IF($A647="","",LEFT(Calc!$E651,4)&amp;MID(Calc!$E651,6,2)&amp;RIGHT(Calc!$E651,2)&amp;Calc!$Q651&amp;"|"&amp;"1"&amp;RIGHT("00000"&amp;642,5))</f>
        <v/>
      </c>
      <c r="C647">
        <f>IF($B647="","",COUNTIFS(LdgSellerA,$A647,LdgKeyA,"&lt;"&amp;$B647)+COUNTIFS(LdgSellerB,$A647,LdgKeyB,"&lt;"&amp;$B647)+1)</f>
        <v/>
      </c>
      <c r="D647">
        <f>IF($C647="","",$A647&amp;"|"&amp;RIGHT("000000"&amp;$C647,6))</f>
        <v/>
      </c>
      <c r="F647">
        <f>IF(Sync!$AH647="","",IF(LEFT(UPPER(TRIM(Sync!$AH647)),2)="SL",UPPER(TRIM(Sync!$AH647)),""))</f>
        <v/>
      </c>
      <c r="G647">
        <f>IF($F647="","",IF(Sync!$AE647="","",IF(ISNUMBER(Sync!$AE647),IF(AND(Sync!$AE647&gt;=10000101,Sync!$AE647&lt;=99991231),INT(Sync!$AE647/10000),""),IFERROR(VALUE(TRIM(LEFT(Sync!$AE647,FIND("/",Sync!$AE647)-1))),""))))</f>
        <v/>
      </c>
      <c r="H647">
        <f>IF(OR($F647="",$G647=""),"",IF(ISNUMBER(Sync!$AE647),INT(MOD(Sync!$AE647,10000)/100),IFERROR(VALUE(TRIM(LEFT(MID(Sync!$AE647,FIND("/",Sync!$AE647)+1,20),FIND("/",MID(Sync!$AE647,FIND("/",Sync!$AE647)+1,20))-1))),"")))</f>
        <v/>
      </c>
      <c r="I647">
        <f>IF(OR($F647="",$G647=""),"",IF(ISNUMBER(Sync!$AE647),MOD(Sync!$AE647,100),IFERROR(VALUE(TRIM(MID(MID(Sync!$AE647,FIND("/",Sync!$AE647)+1,20),FIND("/",MID(Sync!$AE647,FIND("/",Sync!$AE647)+1,20))+1,20))),"")))</f>
        <v/>
      </c>
      <c r="J647">
        <f>IF($F647="","",IF(OR($G647="",$H647="",$I647="",$G647&lt;1300,$G647&gt;1500,$H647&lt;1,$H647&gt;12,$I647&lt;1,$I647&gt;31),"نامعتبر",RIGHT("0000"&amp;$G647,4)&amp;"/"&amp;RIGHT("00"&amp;$H647,2)&amp;"/"&amp;RIGHT("00"&amp;$I647,2)))</f>
        <v/>
      </c>
      <c r="K647">
        <f>IF(OR($F647="",$J647="",$J647="نامعتبر"),"",LEFT($J647,4)&amp;MID($J647,6,2)&amp;RIGHT($J647,2)&amp;$N647&amp;"|"&amp;"2"&amp;RIGHT("00000"&amp;642,5))</f>
        <v/>
      </c>
      <c r="L647">
        <f>IF($K647="","",COUNTIFS(LdgSellerA,$F647,LdgKeyA,"&lt;"&amp;$K647)+COUNTIFS(LdgSellerB,$F647,LdgKeyB,"&lt;"&amp;$K647)+1)</f>
        <v/>
      </c>
      <c r="M647">
        <f>IF($L647="","",$F647&amp;"|"&amp;RIGHT("000000"&amp;$L647,6))</f>
        <v/>
      </c>
      <c r="N647">
        <f>IF($F647="","",IF(Sync!$AF647="","0000",IF(AND(ISNUMBER(Sync!$AF647),Sync!$AF647&gt;=0,Sync!$AF647&lt;1),RIGHT("00"&amp;HOUR(Sync!$AF647),2)&amp;RIGHT("00"&amp;MINUTE(Sync!$AF647),2),IFERROR(RIGHT("00"&amp;VALUE(LEFT(Sync!$AF647,FIND(":",Sync!$AF647)-1)),2)&amp;RIGHT("00"&amp;VALUE(MID(Sync!$AF647,FIND(":",Sync!$AF647)+1,2)),2),"0000"))))</f>
        <v/>
      </c>
    </row>
    <row r="648">
      <c r="A648">
        <f>IF(OR(Calc!$E652="",Calc!$E652="نامعتبر",Calc!$G652=""),"",Calc!$G652)</f>
        <v/>
      </c>
      <c r="B648">
        <f>IF($A648="","",LEFT(Calc!$E652,4)&amp;MID(Calc!$E652,6,2)&amp;RIGHT(Calc!$E652,2)&amp;Calc!$Q652&amp;"|"&amp;"1"&amp;RIGHT("00000"&amp;643,5))</f>
        <v/>
      </c>
      <c r="C648">
        <f>IF($B648="","",COUNTIFS(LdgSellerA,$A648,LdgKeyA,"&lt;"&amp;$B648)+COUNTIFS(LdgSellerB,$A648,LdgKeyB,"&lt;"&amp;$B648)+1)</f>
        <v/>
      </c>
      <c r="D648">
        <f>IF($C648="","",$A648&amp;"|"&amp;RIGHT("000000"&amp;$C648,6))</f>
        <v/>
      </c>
      <c r="F648">
        <f>IF(Sync!$AH648="","",IF(LEFT(UPPER(TRIM(Sync!$AH648)),2)="SL",UPPER(TRIM(Sync!$AH648)),""))</f>
        <v/>
      </c>
      <c r="G648">
        <f>IF($F648="","",IF(Sync!$AE648="","",IF(ISNUMBER(Sync!$AE648),IF(AND(Sync!$AE648&gt;=10000101,Sync!$AE648&lt;=99991231),INT(Sync!$AE648/10000),""),IFERROR(VALUE(TRIM(LEFT(Sync!$AE648,FIND("/",Sync!$AE648)-1))),""))))</f>
        <v/>
      </c>
      <c r="H648">
        <f>IF(OR($F648="",$G648=""),"",IF(ISNUMBER(Sync!$AE648),INT(MOD(Sync!$AE648,10000)/100),IFERROR(VALUE(TRIM(LEFT(MID(Sync!$AE648,FIND("/",Sync!$AE648)+1,20),FIND("/",MID(Sync!$AE648,FIND("/",Sync!$AE648)+1,20))-1))),"")))</f>
        <v/>
      </c>
      <c r="I648">
        <f>IF(OR($F648="",$G648=""),"",IF(ISNUMBER(Sync!$AE648),MOD(Sync!$AE648,100),IFERROR(VALUE(TRIM(MID(MID(Sync!$AE648,FIND("/",Sync!$AE648)+1,20),FIND("/",MID(Sync!$AE648,FIND("/",Sync!$AE648)+1,20))+1,20))),"")))</f>
        <v/>
      </c>
      <c r="J648">
        <f>IF($F648="","",IF(OR($G648="",$H648="",$I648="",$G648&lt;1300,$G648&gt;1500,$H648&lt;1,$H648&gt;12,$I648&lt;1,$I648&gt;31),"نامعتبر",RIGHT("0000"&amp;$G648,4)&amp;"/"&amp;RIGHT("00"&amp;$H648,2)&amp;"/"&amp;RIGHT("00"&amp;$I648,2)))</f>
        <v/>
      </c>
      <c r="K648">
        <f>IF(OR($F648="",$J648="",$J648="نامعتبر"),"",LEFT($J648,4)&amp;MID($J648,6,2)&amp;RIGHT($J648,2)&amp;$N648&amp;"|"&amp;"2"&amp;RIGHT("00000"&amp;643,5))</f>
        <v/>
      </c>
      <c r="L648">
        <f>IF($K648="","",COUNTIFS(LdgSellerA,$F648,LdgKeyA,"&lt;"&amp;$K648)+COUNTIFS(LdgSellerB,$F648,LdgKeyB,"&lt;"&amp;$K648)+1)</f>
        <v/>
      </c>
      <c r="M648">
        <f>IF($L648="","",$F648&amp;"|"&amp;RIGHT("000000"&amp;$L648,6))</f>
        <v/>
      </c>
      <c r="N648">
        <f>IF($F648="","",IF(Sync!$AF648="","0000",IF(AND(ISNUMBER(Sync!$AF648),Sync!$AF648&gt;=0,Sync!$AF648&lt;1),RIGHT("00"&amp;HOUR(Sync!$AF648),2)&amp;RIGHT("00"&amp;MINUTE(Sync!$AF648),2),IFERROR(RIGHT("00"&amp;VALUE(LEFT(Sync!$AF648,FIND(":",Sync!$AF648)-1)),2)&amp;RIGHT("00"&amp;VALUE(MID(Sync!$AF648,FIND(":",Sync!$AF648)+1,2)),2),"0000"))))</f>
        <v/>
      </c>
    </row>
    <row r="649">
      <c r="A649">
        <f>IF(OR(Calc!$E653="",Calc!$E653="نامعتبر",Calc!$G653=""),"",Calc!$G653)</f>
        <v/>
      </c>
      <c r="B649">
        <f>IF($A649="","",LEFT(Calc!$E653,4)&amp;MID(Calc!$E653,6,2)&amp;RIGHT(Calc!$E653,2)&amp;Calc!$Q653&amp;"|"&amp;"1"&amp;RIGHT("00000"&amp;644,5))</f>
        <v/>
      </c>
      <c r="C649">
        <f>IF($B649="","",COUNTIFS(LdgSellerA,$A649,LdgKeyA,"&lt;"&amp;$B649)+COUNTIFS(LdgSellerB,$A649,LdgKeyB,"&lt;"&amp;$B649)+1)</f>
        <v/>
      </c>
      <c r="D649">
        <f>IF($C649="","",$A649&amp;"|"&amp;RIGHT("000000"&amp;$C649,6))</f>
        <v/>
      </c>
      <c r="F649">
        <f>IF(Sync!$AH649="","",IF(LEFT(UPPER(TRIM(Sync!$AH649)),2)="SL",UPPER(TRIM(Sync!$AH649)),""))</f>
        <v/>
      </c>
      <c r="G649">
        <f>IF($F649="","",IF(Sync!$AE649="","",IF(ISNUMBER(Sync!$AE649),IF(AND(Sync!$AE649&gt;=10000101,Sync!$AE649&lt;=99991231),INT(Sync!$AE649/10000),""),IFERROR(VALUE(TRIM(LEFT(Sync!$AE649,FIND("/",Sync!$AE649)-1))),""))))</f>
        <v/>
      </c>
      <c r="H649">
        <f>IF(OR($F649="",$G649=""),"",IF(ISNUMBER(Sync!$AE649),INT(MOD(Sync!$AE649,10000)/100),IFERROR(VALUE(TRIM(LEFT(MID(Sync!$AE649,FIND("/",Sync!$AE649)+1,20),FIND("/",MID(Sync!$AE649,FIND("/",Sync!$AE649)+1,20))-1))),"")))</f>
        <v/>
      </c>
      <c r="I649">
        <f>IF(OR($F649="",$G649=""),"",IF(ISNUMBER(Sync!$AE649),MOD(Sync!$AE649,100),IFERROR(VALUE(TRIM(MID(MID(Sync!$AE649,FIND("/",Sync!$AE649)+1,20),FIND("/",MID(Sync!$AE649,FIND("/",Sync!$AE649)+1,20))+1,20))),"")))</f>
        <v/>
      </c>
      <c r="J649">
        <f>IF($F649="","",IF(OR($G649="",$H649="",$I649="",$G649&lt;1300,$G649&gt;1500,$H649&lt;1,$H649&gt;12,$I649&lt;1,$I649&gt;31),"نامعتبر",RIGHT("0000"&amp;$G649,4)&amp;"/"&amp;RIGHT("00"&amp;$H649,2)&amp;"/"&amp;RIGHT("00"&amp;$I649,2)))</f>
        <v/>
      </c>
      <c r="K649">
        <f>IF(OR($F649="",$J649="",$J649="نامعتبر"),"",LEFT($J649,4)&amp;MID($J649,6,2)&amp;RIGHT($J649,2)&amp;$N649&amp;"|"&amp;"2"&amp;RIGHT("00000"&amp;644,5))</f>
        <v/>
      </c>
      <c r="L649">
        <f>IF($K649="","",COUNTIFS(LdgSellerA,$F649,LdgKeyA,"&lt;"&amp;$K649)+COUNTIFS(LdgSellerB,$F649,LdgKeyB,"&lt;"&amp;$K649)+1)</f>
        <v/>
      </c>
      <c r="M649">
        <f>IF($L649="","",$F649&amp;"|"&amp;RIGHT("000000"&amp;$L649,6))</f>
        <v/>
      </c>
      <c r="N649">
        <f>IF($F649="","",IF(Sync!$AF649="","0000",IF(AND(ISNUMBER(Sync!$AF649),Sync!$AF649&gt;=0,Sync!$AF649&lt;1),RIGHT("00"&amp;HOUR(Sync!$AF649),2)&amp;RIGHT("00"&amp;MINUTE(Sync!$AF649),2),IFERROR(RIGHT("00"&amp;VALUE(LEFT(Sync!$AF649,FIND(":",Sync!$AF649)-1)),2)&amp;RIGHT("00"&amp;VALUE(MID(Sync!$AF649,FIND(":",Sync!$AF649)+1,2)),2),"0000"))))</f>
        <v/>
      </c>
    </row>
    <row r="650">
      <c r="A650">
        <f>IF(OR(Calc!$E654="",Calc!$E654="نامعتبر",Calc!$G654=""),"",Calc!$G654)</f>
        <v/>
      </c>
      <c r="B650">
        <f>IF($A650="","",LEFT(Calc!$E654,4)&amp;MID(Calc!$E654,6,2)&amp;RIGHT(Calc!$E654,2)&amp;Calc!$Q654&amp;"|"&amp;"1"&amp;RIGHT("00000"&amp;645,5))</f>
        <v/>
      </c>
      <c r="C650">
        <f>IF($B650="","",COUNTIFS(LdgSellerA,$A650,LdgKeyA,"&lt;"&amp;$B650)+COUNTIFS(LdgSellerB,$A650,LdgKeyB,"&lt;"&amp;$B650)+1)</f>
        <v/>
      </c>
      <c r="D650">
        <f>IF($C650="","",$A650&amp;"|"&amp;RIGHT("000000"&amp;$C650,6))</f>
        <v/>
      </c>
      <c r="F650">
        <f>IF(Sync!$AH650="","",IF(LEFT(UPPER(TRIM(Sync!$AH650)),2)="SL",UPPER(TRIM(Sync!$AH650)),""))</f>
        <v/>
      </c>
      <c r="G650">
        <f>IF($F650="","",IF(Sync!$AE650="","",IF(ISNUMBER(Sync!$AE650),IF(AND(Sync!$AE650&gt;=10000101,Sync!$AE650&lt;=99991231),INT(Sync!$AE650/10000),""),IFERROR(VALUE(TRIM(LEFT(Sync!$AE650,FIND("/",Sync!$AE650)-1))),""))))</f>
        <v/>
      </c>
      <c r="H650">
        <f>IF(OR($F650="",$G650=""),"",IF(ISNUMBER(Sync!$AE650),INT(MOD(Sync!$AE650,10000)/100),IFERROR(VALUE(TRIM(LEFT(MID(Sync!$AE650,FIND("/",Sync!$AE650)+1,20),FIND("/",MID(Sync!$AE650,FIND("/",Sync!$AE650)+1,20))-1))),"")))</f>
        <v/>
      </c>
      <c r="I650">
        <f>IF(OR($F650="",$G650=""),"",IF(ISNUMBER(Sync!$AE650),MOD(Sync!$AE650,100),IFERROR(VALUE(TRIM(MID(MID(Sync!$AE650,FIND("/",Sync!$AE650)+1,20),FIND("/",MID(Sync!$AE650,FIND("/",Sync!$AE650)+1,20))+1,20))),"")))</f>
        <v/>
      </c>
      <c r="J650">
        <f>IF($F650="","",IF(OR($G650="",$H650="",$I650="",$G650&lt;1300,$G650&gt;1500,$H650&lt;1,$H650&gt;12,$I650&lt;1,$I650&gt;31),"نامعتبر",RIGHT("0000"&amp;$G650,4)&amp;"/"&amp;RIGHT("00"&amp;$H650,2)&amp;"/"&amp;RIGHT("00"&amp;$I650,2)))</f>
        <v/>
      </c>
      <c r="K650">
        <f>IF(OR($F650="",$J650="",$J650="نامعتبر"),"",LEFT($J650,4)&amp;MID($J650,6,2)&amp;RIGHT($J650,2)&amp;$N650&amp;"|"&amp;"2"&amp;RIGHT("00000"&amp;645,5))</f>
        <v/>
      </c>
      <c r="L650">
        <f>IF($K650="","",COUNTIFS(LdgSellerA,$F650,LdgKeyA,"&lt;"&amp;$K650)+COUNTIFS(LdgSellerB,$F650,LdgKeyB,"&lt;"&amp;$K650)+1)</f>
        <v/>
      </c>
      <c r="M650">
        <f>IF($L650="","",$F650&amp;"|"&amp;RIGHT("000000"&amp;$L650,6))</f>
        <v/>
      </c>
      <c r="N650">
        <f>IF($F650="","",IF(Sync!$AF650="","0000",IF(AND(ISNUMBER(Sync!$AF650),Sync!$AF650&gt;=0,Sync!$AF650&lt;1),RIGHT("00"&amp;HOUR(Sync!$AF650),2)&amp;RIGHT("00"&amp;MINUTE(Sync!$AF650),2),IFERROR(RIGHT("00"&amp;VALUE(LEFT(Sync!$AF650,FIND(":",Sync!$AF650)-1)),2)&amp;RIGHT("00"&amp;VALUE(MID(Sync!$AF650,FIND(":",Sync!$AF650)+1,2)),2),"0000"))))</f>
        <v/>
      </c>
    </row>
    <row r="651">
      <c r="A651">
        <f>IF(OR(Calc!$E655="",Calc!$E655="نامعتبر",Calc!$G655=""),"",Calc!$G655)</f>
        <v/>
      </c>
      <c r="B651">
        <f>IF($A651="","",LEFT(Calc!$E655,4)&amp;MID(Calc!$E655,6,2)&amp;RIGHT(Calc!$E655,2)&amp;Calc!$Q655&amp;"|"&amp;"1"&amp;RIGHT("00000"&amp;646,5))</f>
        <v/>
      </c>
      <c r="C651">
        <f>IF($B651="","",COUNTIFS(LdgSellerA,$A651,LdgKeyA,"&lt;"&amp;$B651)+COUNTIFS(LdgSellerB,$A651,LdgKeyB,"&lt;"&amp;$B651)+1)</f>
        <v/>
      </c>
      <c r="D651">
        <f>IF($C651="","",$A651&amp;"|"&amp;RIGHT("000000"&amp;$C651,6))</f>
        <v/>
      </c>
      <c r="F651">
        <f>IF(Sync!$AH651="","",IF(LEFT(UPPER(TRIM(Sync!$AH651)),2)="SL",UPPER(TRIM(Sync!$AH651)),""))</f>
        <v/>
      </c>
      <c r="G651">
        <f>IF($F651="","",IF(Sync!$AE651="","",IF(ISNUMBER(Sync!$AE651),IF(AND(Sync!$AE651&gt;=10000101,Sync!$AE651&lt;=99991231),INT(Sync!$AE651/10000),""),IFERROR(VALUE(TRIM(LEFT(Sync!$AE651,FIND("/",Sync!$AE651)-1))),""))))</f>
        <v/>
      </c>
      <c r="H651">
        <f>IF(OR($F651="",$G651=""),"",IF(ISNUMBER(Sync!$AE651),INT(MOD(Sync!$AE651,10000)/100),IFERROR(VALUE(TRIM(LEFT(MID(Sync!$AE651,FIND("/",Sync!$AE651)+1,20),FIND("/",MID(Sync!$AE651,FIND("/",Sync!$AE651)+1,20))-1))),"")))</f>
        <v/>
      </c>
      <c r="I651">
        <f>IF(OR($F651="",$G651=""),"",IF(ISNUMBER(Sync!$AE651),MOD(Sync!$AE651,100),IFERROR(VALUE(TRIM(MID(MID(Sync!$AE651,FIND("/",Sync!$AE651)+1,20),FIND("/",MID(Sync!$AE651,FIND("/",Sync!$AE651)+1,20))+1,20))),"")))</f>
        <v/>
      </c>
      <c r="J651">
        <f>IF($F651="","",IF(OR($G651="",$H651="",$I651="",$G651&lt;1300,$G651&gt;1500,$H651&lt;1,$H651&gt;12,$I651&lt;1,$I651&gt;31),"نامعتبر",RIGHT("0000"&amp;$G651,4)&amp;"/"&amp;RIGHT("00"&amp;$H651,2)&amp;"/"&amp;RIGHT("00"&amp;$I651,2)))</f>
        <v/>
      </c>
      <c r="K651">
        <f>IF(OR($F651="",$J651="",$J651="نامعتبر"),"",LEFT($J651,4)&amp;MID($J651,6,2)&amp;RIGHT($J651,2)&amp;$N651&amp;"|"&amp;"2"&amp;RIGHT("00000"&amp;646,5))</f>
        <v/>
      </c>
      <c r="L651">
        <f>IF($K651="","",COUNTIFS(LdgSellerA,$F651,LdgKeyA,"&lt;"&amp;$K651)+COUNTIFS(LdgSellerB,$F651,LdgKeyB,"&lt;"&amp;$K651)+1)</f>
        <v/>
      </c>
      <c r="M651">
        <f>IF($L651="","",$F651&amp;"|"&amp;RIGHT("000000"&amp;$L651,6))</f>
        <v/>
      </c>
      <c r="N651">
        <f>IF($F651="","",IF(Sync!$AF651="","0000",IF(AND(ISNUMBER(Sync!$AF651),Sync!$AF651&gt;=0,Sync!$AF651&lt;1),RIGHT("00"&amp;HOUR(Sync!$AF651),2)&amp;RIGHT("00"&amp;MINUTE(Sync!$AF651),2),IFERROR(RIGHT("00"&amp;VALUE(LEFT(Sync!$AF651,FIND(":",Sync!$AF651)-1)),2)&amp;RIGHT("00"&amp;VALUE(MID(Sync!$AF651,FIND(":",Sync!$AF651)+1,2)),2),"0000"))))</f>
        <v/>
      </c>
    </row>
    <row r="652">
      <c r="A652">
        <f>IF(OR(Calc!$E656="",Calc!$E656="نامعتبر",Calc!$G656=""),"",Calc!$G656)</f>
        <v/>
      </c>
      <c r="B652">
        <f>IF($A652="","",LEFT(Calc!$E656,4)&amp;MID(Calc!$E656,6,2)&amp;RIGHT(Calc!$E656,2)&amp;Calc!$Q656&amp;"|"&amp;"1"&amp;RIGHT("00000"&amp;647,5))</f>
        <v/>
      </c>
      <c r="C652">
        <f>IF($B652="","",COUNTIFS(LdgSellerA,$A652,LdgKeyA,"&lt;"&amp;$B652)+COUNTIFS(LdgSellerB,$A652,LdgKeyB,"&lt;"&amp;$B652)+1)</f>
        <v/>
      </c>
      <c r="D652">
        <f>IF($C652="","",$A652&amp;"|"&amp;RIGHT("000000"&amp;$C652,6))</f>
        <v/>
      </c>
      <c r="F652">
        <f>IF(Sync!$AH652="","",IF(LEFT(UPPER(TRIM(Sync!$AH652)),2)="SL",UPPER(TRIM(Sync!$AH652)),""))</f>
        <v/>
      </c>
      <c r="G652">
        <f>IF($F652="","",IF(Sync!$AE652="","",IF(ISNUMBER(Sync!$AE652),IF(AND(Sync!$AE652&gt;=10000101,Sync!$AE652&lt;=99991231),INT(Sync!$AE652/10000),""),IFERROR(VALUE(TRIM(LEFT(Sync!$AE652,FIND("/",Sync!$AE652)-1))),""))))</f>
        <v/>
      </c>
      <c r="H652">
        <f>IF(OR($F652="",$G652=""),"",IF(ISNUMBER(Sync!$AE652),INT(MOD(Sync!$AE652,10000)/100),IFERROR(VALUE(TRIM(LEFT(MID(Sync!$AE652,FIND("/",Sync!$AE652)+1,20),FIND("/",MID(Sync!$AE652,FIND("/",Sync!$AE652)+1,20))-1))),"")))</f>
        <v/>
      </c>
      <c r="I652">
        <f>IF(OR($F652="",$G652=""),"",IF(ISNUMBER(Sync!$AE652),MOD(Sync!$AE652,100),IFERROR(VALUE(TRIM(MID(MID(Sync!$AE652,FIND("/",Sync!$AE652)+1,20),FIND("/",MID(Sync!$AE652,FIND("/",Sync!$AE652)+1,20))+1,20))),"")))</f>
        <v/>
      </c>
      <c r="J652">
        <f>IF($F652="","",IF(OR($G652="",$H652="",$I652="",$G652&lt;1300,$G652&gt;1500,$H652&lt;1,$H652&gt;12,$I652&lt;1,$I652&gt;31),"نامعتبر",RIGHT("0000"&amp;$G652,4)&amp;"/"&amp;RIGHT("00"&amp;$H652,2)&amp;"/"&amp;RIGHT("00"&amp;$I652,2)))</f>
        <v/>
      </c>
      <c r="K652">
        <f>IF(OR($F652="",$J652="",$J652="نامعتبر"),"",LEFT($J652,4)&amp;MID($J652,6,2)&amp;RIGHT($J652,2)&amp;$N652&amp;"|"&amp;"2"&amp;RIGHT("00000"&amp;647,5))</f>
        <v/>
      </c>
      <c r="L652">
        <f>IF($K652="","",COUNTIFS(LdgSellerA,$F652,LdgKeyA,"&lt;"&amp;$K652)+COUNTIFS(LdgSellerB,$F652,LdgKeyB,"&lt;"&amp;$K652)+1)</f>
        <v/>
      </c>
      <c r="M652">
        <f>IF($L652="","",$F652&amp;"|"&amp;RIGHT("000000"&amp;$L652,6))</f>
        <v/>
      </c>
      <c r="N652">
        <f>IF($F652="","",IF(Sync!$AF652="","0000",IF(AND(ISNUMBER(Sync!$AF652),Sync!$AF652&gt;=0,Sync!$AF652&lt;1),RIGHT("00"&amp;HOUR(Sync!$AF652),2)&amp;RIGHT("00"&amp;MINUTE(Sync!$AF652),2),IFERROR(RIGHT("00"&amp;VALUE(LEFT(Sync!$AF652,FIND(":",Sync!$AF652)-1)),2)&amp;RIGHT("00"&amp;VALUE(MID(Sync!$AF652,FIND(":",Sync!$AF652)+1,2)),2),"0000"))))</f>
        <v/>
      </c>
    </row>
    <row r="653">
      <c r="A653">
        <f>IF(OR(Calc!$E657="",Calc!$E657="نامعتبر",Calc!$G657=""),"",Calc!$G657)</f>
        <v/>
      </c>
      <c r="B653">
        <f>IF($A653="","",LEFT(Calc!$E657,4)&amp;MID(Calc!$E657,6,2)&amp;RIGHT(Calc!$E657,2)&amp;Calc!$Q657&amp;"|"&amp;"1"&amp;RIGHT("00000"&amp;648,5))</f>
        <v/>
      </c>
      <c r="C653">
        <f>IF($B653="","",COUNTIFS(LdgSellerA,$A653,LdgKeyA,"&lt;"&amp;$B653)+COUNTIFS(LdgSellerB,$A653,LdgKeyB,"&lt;"&amp;$B653)+1)</f>
        <v/>
      </c>
      <c r="D653">
        <f>IF($C653="","",$A653&amp;"|"&amp;RIGHT("000000"&amp;$C653,6))</f>
        <v/>
      </c>
      <c r="F653">
        <f>IF(Sync!$AH653="","",IF(LEFT(UPPER(TRIM(Sync!$AH653)),2)="SL",UPPER(TRIM(Sync!$AH653)),""))</f>
        <v/>
      </c>
      <c r="G653">
        <f>IF($F653="","",IF(Sync!$AE653="","",IF(ISNUMBER(Sync!$AE653),IF(AND(Sync!$AE653&gt;=10000101,Sync!$AE653&lt;=99991231),INT(Sync!$AE653/10000),""),IFERROR(VALUE(TRIM(LEFT(Sync!$AE653,FIND("/",Sync!$AE653)-1))),""))))</f>
        <v/>
      </c>
      <c r="H653">
        <f>IF(OR($F653="",$G653=""),"",IF(ISNUMBER(Sync!$AE653),INT(MOD(Sync!$AE653,10000)/100),IFERROR(VALUE(TRIM(LEFT(MID(Sync!$AE653,FIND("/",Sync!$AE653)+1,20),FIND("/",MID(Sync!$AE653,FIND("/",Sync!$AE653)+1,20))-1))),"")))</f>
        <v/>
      </c>
      <c r="I653">
        <f>IF(OR($F653="",$G653=""),"",IF(ISNUMBER(Sync!$AE653),MOD(Sync!$AE653,100),IFERROR(VALUE(TRIM(MID(MID(Sync!$AE653,FIND("/",Sync!$AE653)+1,20),FIND("/",MID(Sync!$AE653,FIND("/",Sync!$AE653)+1,20))+1,20))),"")))</f>
        <v/>
      </c>
      <c r="J653">
        <f>IF($F653="","",IF(OR($G653="",$H653="",$I653="",$G653&lt;1300,$G653&gt;1500,$H653&lt;1,$H653&gt;12,$I653&lt;1,$I653&gt;31),"نامعتبر",RIGHT("0000"&amp;$G653,4)&amp;"/"&amp;RIGHT("00"&amp;$H653,2)&amp;"/"&amp;RIGHT("00"&amp;$I653,2)))</f>
        <v/>
      </c>
      <c r="K653">
        <f>IF(OR($F653="",$J653="",$J653="نامعتبر"),"",LEFT($J653,4)&amp;MID($J653,6,2)&amp;RIGHT($J653,2)&amp;$N653&amp;"|"&amp;"2"&amp;RIGHT("00000"&amp;648,5))</f>
        <v/>
      </c>
      <c r="L653">
        <f>IF($K653="","",COUNTIFS(LdgSellerA,$F653,LdgKeyA,"&lt;"&amp;$K653)+COUNTIFS(LdgSellerB,$F653,LdgKeyB,"&lt;"&amp;$K653)+1)</f>
        <v/>
      </c>
      <c r="M653">
        <f>IF($L653="","",$F653&amp;"|"&amp;RIGHT("000000"&amp;$L653,6))</f>
        <v/>
      </c>
      <c r="N653">
        <f>IF($F653="","",IF(Sync!$AF653="","0000",IF(AND(ISNUMBER(Sync!$AF653),Sync!$AF653&gt;=0,Sync!$AF653&lt;1),RIGHT("00"&amp;HOUR(Sync!$AF653),2)&amp;RIGHT("00"&amp;MINUTE(Sync!$AF653),2),IFERROR(RIGHT("00"&amp;VALUE(LEFT(Sync!$AF653,FIND(":",Sync!$AF653)-1)),2)&amp;RIGHT("00"&amp;VALUE(MID(Sync!$AF653,FIND(":",Sync!$AF653)+1,2)),2),"0000"))))</f>
        <v/>
      </c>
    </row>
    <row r="654">
      <c r="A654">
        <f>IF(OR(Calc!$E658="",Calc!$E658="نامعتبر",Calc!$G658=""),"",Calc!$G658)</f>
        <v/>
      </c>
      <c r="B654">
        <f>IF($A654="","",LEFT(Calc!$E658,4)&amp;MID(Calc!$E658,6,2)&amp;RIGHT(Calc!$E658,2)&amp;Calc!$Q658&amp;"|"&amp;"1"&amp;RIGHT("00000"&amp;649,5))</f>
        <v/>
      </c>
      <c r="C654">
        <f>IF($B654="","",COUNTIFS(LdgSellerA,$A654,LdgKeyA,"&lt;"&amp;$B654)+COUNTIFS(LdgSellerB,$A654,LdgKeyB,"&lt;"&amp;$B654)+1)</f>
        <v/>
      </c>
      <c r="D654">
        <f>IF($C654="","",$A654&amp;"|"&amp;RIGHT("000000"&amp;$C654,6))</f>
        <v/>
      </c>
      <c r="F654">
        <f>IF(Sync!$AH654="","",IF(LEFT(UPPER(TRIM(Sync!$AH654)),2)="SL",UPPER(TRIM(Sync!$AH654)),""))</f>
        <v/>
      </c>
      <c r="G654">
        <f>IF($F654="","",IF(Sync!$AE654="","",IF(ISNUMBER(Sync!$AE654),IF(AND(Sync!$AE654&gt;=10000101,Sync!$AE654&lt;=99991231),INT(Sync!$AE654/10000),""),IFERROR(VALUE(TRIM(LEFT(Sync!$AE654,FIND("/",Sync!$AE654)-1))),""))))</f>
        <v/>
      </c>
      <c r="H654">
        <f>IF(OR($F654="",$G654=""),"",IF(ISNUMBER(Sync!$AE654),INT(MOD(Sync!$AE654,10000)/100),IFERROR(VALUE(TRIM(LEFT(MID(Sync!$AE654,FIND("/",Sync!$AE654)+1,20),FIND("/",MID(Sync!$AE654,FIND("/",Sync!$AE654)+1,20))-1))),"")))</f>
        <v/>
      </c>
      <c r="I654">
        <f>IF(OR($F654="",$G654=""),"",IF(ISNUMBER(Sync!$AE654),MOD(Sync!$AE654,100),IFERROR(VALUE(TRIM(MID(MID(Sync!$AE654,FIND("/",Sync!$AE654)+1,20),FIND("/",MID(Sync!$AE654,FIND("/",Sync!$AE654)+1,20))+1,20))),"")))</f>
        <v/>
      </c>
      <c r="J654">
        <f>IF($F654="","",IF(OR($G654="",$H654="",$I654="",$G654&lt;1300,$G654&gt;1500,$H654&lt;1,$H654&gt;12,$I654&lt;1,$I654&gt;31),"نامعتبر",RIGHT("0000"&amp;$G654,4)&amp;"/"&amp;RIGHT("00"&amp;$H654,2)&amp;"/"&amp;RIGHT("00"&amp;$I654,2)))</f>
        <v/>
      </c>
      <c r="K654">
        <f>IF(OR($F654="",$J654="",$J654="نامعتبر"),"",LEFT($J654,4)&amp;MID($J654,6,2)&amp;RIGHT($J654,2)&amp;$N654&amp;"|"&amp;"2"&amp;RIGHT("00000"&amp;649,5))</f>
        <v/>
      </c>
      <c r="L654">
        <f>IF($K654="","",COUNTIFS(LdgSellerA,$F654,LdgKeyA,"&lt;"&amp;$K654)+COUNTIFS(LdgSellerB,$F654,LdgKeyB,"&lt;"&amp;$K654)+1)</f>
        <v/>
      </c>
      <c r="M654">
        <f>IF($L654="","",$F654&amp;"|"&amp;RIGHT("000000"&amp;$L654,6))</f>
        <v/>
      </c>
      <c r="N654">
        <f>IF($F654="","",IF(Sync!$AF654="","0000",IF(AND(ISNUMBER(Sync!$AF654),Sync!$AF654&gt;=0,Sync!$AF654&lt;1),RIGHT("00"&amp;HOUR(Sync!$AF654),2)&amp;RIGHT("00"&amp;MINUTE(Sync!$AF654),2),IFERROR(RIGHT("00"&amp;VALUE(LEFT(Sync!$AF654,FIND(":",Sync!$AF654)-1)),2)&amp;RIGHT("00"&amp;VALUE(MID(Sync!$AF654,FIND(":",Sync!$AF654)+1,2)),2),"0000"))))</f>
        <v/>
      </c>
    </row>
    <row r="655">
      <c r="A655">
        <f>IF(OR(Calc!$E659="",Calc!$E659="نامعتبر",Calc!$G659=""),"",Calc!$G659)</f>
        <v/>
      </c>
      <c r="B655">
        <f>IF($A655="","",LEFT(Calc!$E659,4)&amp;MID(Calc!$E659,6,2)&amp;RIGHT(Calc!$E659,2)&amp;Calc!$Q659&amp;"|"&amp;"1"&amp;RIGHT("00000"&amp;650,5))</f>
        <v/>
      </c>
      <c r="C655">
        <f>IF($B655="","",COUNTIFS(LdgSellerA,$A655,LdgKeyA,"&lt;"&amp;$B655)+COUNTIFS(LdgSellerB,$A655,LdgKeyB,"&lt;"&amp;$B655)+1)</f>
        <v/>
      </c>
      <c r="D655">
        <f>IF($C655="","",$A655&amp;"|"&amp;RIGHT("000000"&amp;$C655,6))</f>
        <v/>
      </c>
      <c r="F655">
        <f>IF(Sync!$AH655="","",IF(LEFT(UPPER(TRIM(Sync!$AH655)),2)="SL",UPPER(TRIM(Sync!$AH655)),""))</f>
        <v/>
      </c>
      <c r="G655">
        <f>IF($F655="","",IF(Sync!$AE655="","",IF(ISNUMBER(Sync!$AE655),IF(AND(Sync!$AE655&gt;=10000101,Sync!$AE655&lt;=99991231),INT(Sync!$AE655/10000),""),IFERROR(VALUE(TRIM(LEFT(Sync!$AE655,FIND("/",Sync!$AE655)-1))),""))))</f>
        <v/>
      </c>
      <c r="H655">
        <f>IF(OR($F655="",$G655=""),"",IF(ISNUMBER(Sync!$AE655),INT(MOD(Sync!$AE655,10000)/100),IFERROR(VALUE(TRIM(LEFT(MID(Sync!$AE655,FIND("/",Sync!$AE655)+1,20),FIND("/",MID(Sync!$AE655,FIND("/",Sync!$AE655)+1,20))-1))),"")))</f>
        <v/>
      </c>
      <c r="I655">
        <f>IF(OR($F655="",$G655=""),"",IF(ISNUMBER(Sync!$AE655),MOD(Sync!$AE655,100),IFERROR(VALUE(TRIM(MID(MID(Sync!$AE655,FIND("/",Sync!$AE655)+1,20),FIND("/",MID(Sync!$AE655,FIND("/",Sync!$AE655)+1,20))+1,20))),"")))</f>
        <v/>
      </c>
      <c r="J655">
        <f>IF($F655="","",IF(OR($G655="",$H655="",$I655="",$G655&lt;1300,$G655&gt;1500,$H655&lt;1,$H655&gt;12,$I655&lt;1,$I655&gt;31),"نامعتبر",RIGHT("0000"&amp;$G655,4)&amp;"/"&amp;RIGHT("00"&amp;$H655,2)&amp;"/"&amp;RIGHT("00"&amp;$I655,2)))</f>
        <v/>
      </c>
      <c r="K655">
        <f>IF(OR($F655="",$J655="",$J655="نامعتبر"),"",LEFT($J655,4)&amp;MID($J655,6,2)&amp;RIGHT($J655,2)&amp;$N655&amp;"|"&amp;"2"&amp;RIGHT("00000"&amp;650,5))</f>
        <v/>
      </c>
      <c r="L655">
        <f>IF($K655="","",COUNTIFS(LdgSellerA,$F655,LdgKeyA,"&lt;"&amp;$K655)+COUNTIFS(LdgSellerB,$F655,LdgKeyB,"&lt;"&amp;$K655)+1)</f>
        <v/>
      </c>
      <c r="M655">
        <f>IF($L655="","",$F655&amp;"|"&amp;RIGHT("000000"&amp;$L655,6))</f>
        <v/>
      </c>
      <c r="N655">
        <f>IF($F655="","",IF(Sync!$AF655="","0000",IF(AND(ISNUMBER(Sync!$AF655),Sync!$AF655&gt;=0,Sync!$AF655&lt;1),RIGHT("00"&amp;HOUR(Sync!$AF655),2)&amp;RIGHT("00"&amp;MINUTE(Sync!$AF655),2),IFERROR(RIGHT("00"&amp;VALUE(LEFT(Sync!$AF655,FIND(":",Sync!$AF655)-1)),2)&amp;RIGHT("00"&amp;VALUE(MID(Sync!$AF655,FIND(":",Sync!$AF655)+1,2)),2),"0000"))))</f>
        <v/>
      </c>
    </row>
    <row r="656">
      <c r="A656">
        <f>IF(OR(Calc!$E660="",Calc!$E660="نامعتبر",Calc!$G660=""),"",Calc!$G660)</f>
        <v/>
      </c>
      <c r="B656">
        <f>IF($A656="","",LEFT(Calc!$E660,4)&amp;MID(Calc!$E660,6,2)&amp;RIGHT(Calc!$E660,2)&amp;Calc!$Q660&amp;"|"&amp;"1"&amp;RIGHT("00000"&amp;651,5))</f>
        <v/>
      </c>
      <c r="C656">
        <f>IF($B656="","",COUNTIFS(LdgSellerA,$A656,LdgKeyA,"&lt;"&amp;$B656)+COUNTIFS(LdgSellerB,$A656,LdgKeyB,"&lt;"&amp;$B656)+1)</f>
        <v/>
      </c>
      <c r="D656">
        <f>IF($C656="","",$A656&amp;"|"&amp;RIGHT("000000"&amp;$C656,6))</f>
        <v/>
      </c>
      <c r="F656">
        <f>IF(Sync!$AH656="","",IF(LEFT(UPPER(TRIM(Sync!$AH656)),2)="SL",UPPER(TRIM(Sync!$AH656)),""))</f>
        <v/>
      </c>
      <c r="G656">
        <f>IF($F656="","",IF(Sync!$AE656="","",IF(ISNUMBER(Sync!$AE656),IF(AND(Sync!$AE656&gt;=10000101,Sync!$AE656&lt;=99991231),INT(Sync!$AE656/10000),""),IFERROR(VALUE(TRIM(LEFT(Sync!$AE656,FIND("/",Sync!$AE656)-1))),""))))</f>
        <v/>
      </c>
      <c r="H656">
        <f>IF(OR($F656="",$G656=""),"",IF(ISNUMBER(Sync!$AE656),INT(MOD(Sync!$AE656,10000)/100),IFERROR(VALUE(TRIM(LEFT(MID(Sync!$AE656,FIND("/",Sync!$AE656)+1,20),FIND("/",MID(Sync!$AE656,FIND("/",Sync!$AE656)+1,20))-1))),"")))</f>
        <v/>
      </c>
      <c r="I656">
        <f>IF(OR($F656="",$G656=""),"",IF(ISNUMBER(Sync!$AE656),MOD(Sync!$AE656,100),IFERROR(VALUE(TRIM(MID(MID(Sync!$AE656,FIND("/",Sync!$AE656)+1,20),FIND("/",MID(Sync!$AE656,FIND("/",Sync!$AE656)+1,20))+1,20))),"")))</f>
        <v/>
      </c>
      <c r="J656">
        <f>IF($F656="","",IF(OR($G656="",$H656="",$I656="",$G656&lt;1300,$G656&gt;1500,$H656&lt;1,$H656&gt;12,$I656&lt;1,$I656&gt;31),"نامعتبر",RIGHT("0000"&amp;$G656,4)&amp;"/"&amp;RIGHT("00"&amp;$H656,2)&amp;"/"&amp;RIGHT("00"&amp;$I656,2)))</f>
        <v/>
      </c>
      <c r="K656">
        <f>IF(OR($F656="",$J656="",$J656="نامعتبر"),"",LEFT($J656,4)&amp;MID($J656,6,2)&amp;RIGHT($J656,2)&amp;$N656&amp;"|"&amp;"2"&amp;RIGHT("00000"&amp;651,5))</f>
        <v/>
      </c>
      <c r="L656">
        <f>IF($K656="","",COUNTIFS(LdgSellerA,$F656,LdgKeyA,"&lt;"&amp;$K656)+COUNTIFS(LdgSellerB,$F656,LdgKeyB,"&lt;"&amp;$K656)+1)</f>
        <v/>
      </c>
      <c r="M656">
        <f>IF($L656="","",$F656&amp;"|"&amp;RIGHT("000000"&amp;$L656,6))</f>
        <v/>
      </c>
      <c r="N656">
        <f>IF($F656="","",IF(Sync!$AF656="","0000",IF(AND(ISNUMBER(Sync!$AF656),Sync!$AF656&gt;=0,Sync!$AF656&lt;1),RIGHT("00"&amp;HOUR(Sync!$AF656),2)&amp;RIGHT("00"&amp;MINUTE(Sync!$AF656),2),IFERROR(RIGHT("00"&amp;VALUE(LEFT(Sync!$AF656,FIND(":",Sync!$AF656)-1)),2)&amp;RIGHT("00"&amp;VALUE(MID(Sync!$AF656,FIND(":",Sync!$AF656)+1,2)),2),"0000"))))</f>
        <v/>
      </c>
    </row>
    <row r="657">
      <c r="A657">
        <f>IF(OR(Calc!$E661="",Calc!$E661="نامعتبر",Calc!$G661=""),"",Calc!$G661)</f>
        <v/>
      </c>
      <c r="B657">
        <f>IF($A657="","",LEFT(Calc!$E661,4)&amp;MID(Calc!$E661,6,2)&amp;RIGHT(Calc!$E661,2)&amp;Calc!$Q661&amp;"|"&amp;"1"&amp;RIGHT("00000"&amp;652,5))</f>
        <v/>
      </c>
      <c r="C657">
        <f>IF($B657="","",COUNTIFS(LdgSellerA,$A657,LdgKeyA,"&lt;"&amp;$B657)+COUNTIFS(LdgSellerB,$A657,LdgKeyB,"&lt;"&amp;$B657)+1)</f>
        <v/>
      </c>
      <c r="D657">
        <f>IF($C657="","",$A657&amp;"|"&amp;RIGHT("000000"&amp;$C657,6))</f>
        <v/>
      </c>
      <c r="F657">
        <f>IF(Sync!$AH657="","",IF(LEFT(UPPER(TRIM(Sync!$AH657)),2)="SL",UPPER(TRIM(Sync!$AH657)),""))</f>
        <v/>
      </c>
      <c r="G657">
        <f>IF($F657="","",IF(Sync!$AE657="","",IF(ISNUMBER(Sync!$AE657),IF(AND(Sync!$AE657&gt;=10000101,Sync!$AE657&lt;=99991231),INT(Sync!$AE657/10000),""),IFERROR(VALUE(TRIM(LEFT(Sync!$AE657,FIND("/",Sync!$AE657)-1))),""))))</f>
        <v/>
      </c>
      <c r="H657">
        <f>IF(OR($F657="",$G657=""),"",IF(ISNUMBER(Sync!$AE657),INT(MOD(Sync!$AE657,10000)/100),IFERROR(VALUE(TRIM(LEFT(MID(Sync!$AE657,FIND("/",Sync!$AE657)+1,20),FIND("/",MID(Sync!$AE657,FIND("/",Sync!$AE657)+1,20))-1))),"")))</f>
        <v/>
      </c>
      <c r="I657">
        <f>IF(OR($F657="",$G657=""),"",IF(ISNUMBER(Sync!$AE657),MOD(Sync!$AE657,100),IFERROR(VALUE(TRIM(MID(MID(Sync!$AE657,FIND("/",Sync!$AE657)+1,20),FIND("/",MID(Sync!$AE657,FIND("/",Sync!$AE657)+1,20))+1,20))),"")))</f>
        <v/>
      </c>
      <c r="J657">
        <f>IF($F657="","",IF(OR($G657="",$H657="",$I657="",$G657&lt;1300,$G657&gt;1500,$H657&lt;1,$H657&gt;12,$I657&lt;1,$I657&gt;31),"نامعتبر",RIGHT("0000"&amp;$G657,4)&amp;"/"&amp;RIGHT("00"&amp;$H657,2)&amp;"/"&amp;RIGHT("00"&amp;$I657,2)))</f>
        <v/>
      </c>
      <c r="K657">
        <f>IF(OR($F657="",$J657="",$J657="نامعتبر"),"",LEFT($J657,4)&amp;MID($J657,6,2)&amp;RIGHT($J657,2)&amp;$N657&amp;"|"&amp;"2"&amp;RIGHT("00000"&amp;652,5))</f>
        <v/>
      </c>
      <c r="L657">
        <f>IF($K657="","",COUNTIFS(LdgSellerA,$F657,LdgKeyA,"&lt;"&amp;$K657)+COUNTIFS(LdgSellerB,$F657,LdgKeyB,"&lt;"&amp;$K657)+1)</f>
        <v/>
      </c>
      <c r="M657">
        <f>IF($L657="","",$F657&amp;"|"&amp;RIGHT("000000"&amp;$L657,6))</f>
        <v/>
      </c>
      <c r="N657">
        <f>IF($F657="","",IF(Sync!$AF657="","0000",IF(AND(ISNUMBER(Sync!$AF657),Sync!$AF657&gt;=0,Sync!$AF657&lt;1),RIGHT("00"&amp;HOUR(Sync!$AF657),2)&amp;RIGHT("00"&amp;MINUTE(Sync!$AF657),2),IFERROR(RIGHT("00"&amp;VALUE(LEFT(Sync!$AF657,FIND(":",Sync!$AF657)-1)),2)&amp;RIGHT("00"&amp;VALUE(MID(Sync!$AF657,FIND(":",Sync!$AF657)+1,2)),2),"0000"))))</f>
        <v/>
      </c>
    </row>
    <row r="658">
      <c r="A658">
        <f>IF(OR(Calc!$E662="",Calc!$E662="نامعتبر",Calc!$G662=""),"",Calc!$G662)</f>
        <v/>
      </c>
      <c r="B658">
        <f>IF($A658="","",LEFT(Calc!$E662,4)&amp;MID(Calc!$E662,6,2)&amp;RIGHT(Calc!$E662,2)&amp;Calc!$Q662&amp;"|"&amp;"1"&amp;RIGHT("00000"&amp;653,5))</f>
        <v/>
      </c>
      <c r="C658">
        <f>IF($B658="","",COUNTIFS(LdgSellerA,$A658,LdgKeyA,"&lt;"&amp;$B658)+COUNTIFS(LdgSellerB,$A658,LdgKeyB,"&lt;"&amp;$B658)+1)</f>
        <v/>
      </c>
      <c r="D658">
        <f>IF($C658="","",$A658&amp;"|"&amp;RIGHT("000000"&amp;$C658,6))</f>
        <v/>
      </c>
      <c r="F658">
        <f>IF(Sync!$AH658="","",IF(LEFT(UPPER(TRIM(Sync!$AH658)),2)="SL",UPPER(TRIM(Sync!$AH658)),""))</f>
        <v/>
      </c>
      <c r="G658">
        <f>IF($F658="","",IF(Sync!$AE658="","",IF(ISNUMBER(Sync!$AE658),IF(AND(Sync!$AE658&gt;=10000101,Sync!$AE658&lt;=99991231),INT(Sync!$AE658/10000),""),IFERROR(VALUE(TRIM(LEFT(Sync!$AE658,FIND("/",Sync!$AE658)-1))),""))))</f>
        <v/>
      </c>
      <c r="H658">
        <f>IF(OR($F658="",$G658=""),"",IF(ISNUMBER(Sync!$AE658),INT(MOD(Sync!$AE658,10000)/100),IFERROR(VALUE(TRIM(LEFT(MID(Sync!$AE658,FIND("/",Sync!$AE658)+1,20),FIND("/",MID(Sync!$AE658,FIND("/",Sync!$AE658)+1,20))-1))),"")))</f>
        <v/>
      </c>
      <c r="I658">
        <f>IF(OR($F658="",$G658=""),"",IF(ISNUMBER(Sync!$AE658),MOD(Sync!$AE658,100),IFERROR(VALUE(TRIM(MID(MID(Sync!$AE658,FIND("/",Sync!$AE658)+1,20),FIND("/",MID(Sync!$AE658,FIND("/",Sync!$AE658)+1,20))+1,20))),"")))</f>
        <v/>
      </c>
      <c r="J658">
        <f>IF($F658="","",IF(OR($G658="",$H658="",$I658="",$G658&lt;1300,$G658&gt;1500,$H658&lt;1,$H658&gt;12,$I658&lt;1,$I658&gt;31),"نامعتبر",RIGHT("0000"&amp;$G658,4)&amp;"/"&amp;RIGHT("00"&amp;$H658,2)&amp;"/"&amp;RIGHT("00"&amp;$I658,2)))</f>
        <v/>
      </c>
      <c r="K658">
        <f>IF(OR($F658="",$J658="",$J658="نامعتبر"),"",LEFT($J658,4)&amp;MID($J658,6,2)&amp;RIGHT($J658,2)&amp;$N658&amp;"|"&amp;"2"&amp;RIGHT("00000"&amp;653,5))</f>
        <v/>
      </c>
      <c r="L658">
        <f>IF($K658="","",COUNTIFS(LdgSellerA,$F658,LdgKeyA,"&lt;"&amp;$K658)+COUNTIFS(LdgSellerB,$F658,LdgKeyB,"&lt;"&amp;$K658)+1)</f>
        <v/>
      </c>
      <c r="M658">
        <f>IF($L658="","",$F658&amp;"|"&amp;RIGHT("000000"&amp;$L658,6))</f>
        <v/>
      </c>
      <c r="N658">
        <f>IF($F658="","",IF(Sync!$AF658="","0000",IF(AND(ISNUMBER(Sync!$AF658),Sync!$AF658&gt;=0,Sync!$AF658&lt;1),RIGHT("00"&amp;HOUR(Sync!$AF658),2)&amp;RIGHT("00"&amp;MINUTE(Sync!$AF658),2),IFERROR(RIGHT("00"&amp;VALUE(LEFT(Sync!$AF658,FIND(":",Sync!$AF658)-1)),2)&amp;RIGHT("00"&amp;VALUE(MID(Sync!$AF658,FIND(":",Sync!$AF658)+1,2)),2),"0000"))))</f>
        <v/>
      </c>
    </row>
    <row r="659">
      <c r="A659">
        <f>IF(OR(Calc!$E663="",Calc!$E663="نامعتبر",Calc!$G663=""),"",Calc!$G663)</f>
        <v/>
      </c>
      <c r="B659">
        <f>IF($A659="","",LEFT(Calc!$E663,4)&amp;MID(Calc!$E663,6,2)&amp;RIGHT(Calc!$E663,2)&amp;Calc!$Q663&amp;"|"&amp;"1"&amp;RIGHT("00000"&amp;654,5))</f>
        <v/>
      </c>
      <c r="C659">
        <f>IF($B659="","",COUNTIFS(LdgSellerA,$A659,LdgKeyA,"&lt;"&amp;$B659)+COUNTIFS(LdgSellerB,$A659,LdgKeyB,"&lt;"&amp;$B659)+1)</f>
        <v/>
      </c>
      <c r="D659">
        <f>IF($C659="","",$A659&amp;"|"&amp;RIGHT("000000"&amp;$C659,6))</f>
        <v/>
      </c>
      <c r="F659">
        <f>IF(Sync!$AH659="","",IF(LEFT(UPPER(TRIM(Sync!$AH659)),2)="SL",UPPER(TRIM(Sync!$AH659)),""))</f>
        <v/>
      </c>
      <c r="G659">
        <f>IF($F659="","",IF(Sync!$AE659="","",IF(ISNUMBER(Sync!$AE659),IF(AND(Sync!$AE659&gt;=10000101,Sync!$AE659&lt;=99991231),INT(Sync!$AE659/10000),""),IFERROR(VALUE(TRIM(LEFT(Sync!$AE659,FIND("/",Sync!$AE659)-1))),""))))</f>
        <v/>
      </c>
      <c r="H659">
        <f>IF(OR($F659="",$G659=""),"",IF(ISNUMBER(Sync!$AE659),INT(MOD(Sync!$AE659,10000)/100),IFERROR(VALUE(TRIM(LEFT(MID(Sync!$AE659,FIND("/",Sync!$AE659)+1,20),FIND("/",MID(Sync!$AE659,FIND("/",Sync!$AE659)+1,20))-1))),"")))</f>
        <v/>
      </c>
      <c r="I659">
        <f>IF(OR($F659="",$G659=""),"",IF(ISNUMBER(Sync!$AE659),MOD(Sync!$AE659,100),IFERROR(VALUE(TRIM(MID(MID(Sync!$AE659,FIND("/",Sync!$AE659)+1,20),FIND("/",MID(Sync!$AE659,FIND("/",Sync!$AE659)+1,20))+1,20))),"")))</f>
        <v/>
      </c>
      <c r="J659">
        <f>IF($F659="","",IF(OR($G659="",$H659="",$I659="",$G659&lt;1300,$G659&gt;1500,$H659&lt;1,$H659&gt;12,$I659&lt;1,$I659&gt;31),"نامعتبر",RIGHT("0000"&amp;$G659,4)&amp;"/"&amp;RIGHT("00"&amp;$H659,2)&amp;"/"&amp;RIGHT("00"&amp;$I659,2)))</f>
        <v/>
      </c>
      <c r="K659">
        <f>IF(OR($F659="",$J659="",$J659="نامعتبر"),"",LEFT($J659,4)&amp;MID($J659,6,2)&amp;RIGHT($J659,2)&amp;$N659&amp;"|"&amp;"2"&amp;RIGHT("00000"&amp;654,5))</f>
        <v/>
      </c>
      <c r="L659">
        <f>IF($K659="","",COUNTIFS(LdgSellerA,$F659,LdgKeyA,"&lt;"&amp;$K659)+COUNTIFS(LdgSellerB,$F659,LdgKeyB,"&lt;"&amp;$K659)+1)</f>
        <v/>
      </c>
      <c r="M659">
        <f>IF($L659="","",$F659&amp;"|"&amp;RIGHT("000000"&amp;$L659,6))</f>
        <v/>
      </c>
      <c r="N659">
        <f>IF($F659="","",IF(Sync!$AF659="","0000",IF(AND(ISNUMBER(Sync!$AF659),Sync!$AF659&gt;=0,Sync!$AF659&lt;1),RIGHT("00"&amp;HOUR(Sync!$AF659),2)&amp;RIGHT("00"&amp;MINUTE(Sync!$AF659),2),IFERROR(RIGHT("00"&amp;VALUE(LEFT(Sync!$AF659,FIND(":",Sync!$AF659)-1)),2)&amp;RIGHT("00"&amp;VALUE(MID(Sync!$AF659,FIND(":",Sync!$AF659)+1,2)),2),"0000"))))</f>
        <v/>
      </c>
    </row>
    <row r="660">
      <c r="A660">
        <f>IF(OR(Calc!$E664="",Calc!$E664="نامعتبر",Calc!$G664=""),"",Calc!$G664)</f>
        <v/>
      </c>
      <c r="B660">
        <f>IF($A660="","",LEFT(Calc!$E664,4)&amp;MID(Calc!$E664,6,2)&amp;RIGHT(Calc!$E664,2)&amp;Calc!$Q664&amp;"|"&amp;"1"&amp;RIGHT("00000"&amp;655,5))</f>
        <v/>
      </c>
      <c r="C660">
        <f>IF($B660="","",COUNTIFS(LdgSellerA,$A660,LdgKeyA,"&lt;"&amp;$B660)+COUNTIFS(LdgSellerB,$A660,LdgKeyB,"&lt;"&amp;$B660)+1)</f>
        <v/>
      </c>
      <c r="D660">
        <f>IF($C660="","",$A660&amp;"|"&amp;RIGHT("000000"&amp;$C660,6))</f>
        <v/>
      </c>
      <c r="F660">
        <f>IF(Sync!$AH660="","",IF(LEFT(UPPER(TRIM(Sync!$AH660)),2)="SL",UPPER(TRIM(Sync!$AH660)),""))</f>
        <v/>
      </c>
      <c r="G660">
        <f>IF($F660="","",IF(Sync!$AE660="","",IF(ISNUMBER(Sync!$AE660),IF(AND(Sync!$AE660&gt;=10000101,Sync!$AE660&lt;=99991231),INT(Sync!$AE660/10000),""),IFERROR(VALUE(TRIM(LEFT(Sync!$AE660,FIND("/",Sync!$AE660)-1))),""))))</f>
        <v/>
      </c>
      <c r="H660">
        <f>IF(OR($F660="",$G660=""),"",IF(ISNUMBER(Sync!$AE660),INT(MOD(Sync!$AE660,10000)/100),IFERROR(VALUE(TRIM(LEFT(MID(Sync!$AE660,FIND("/",Sync!$AE660)+1,20),FIND("/",MID(Sync!$AE660,FIND("/",Sync!$AE660)+1,20))-1))),"")))</f>
        <v/>
      </c>
      <c r="I660">
        <f>IF(OR($F660="",$G660=""),"",IF(ISNUMBER(Sync!$AE660),MOD(Sync!$AE660,100),IFERROR(VALUE(TRIM(MID(MID(Sync!$AE660,FIND("/",Sync!$AE660)+1,20),FIND("/",MID(Sync!$AE660,FIND("/",Sync!$AE660)+1,20))+1,20))),"")))</f>
        <v/>
      </c>
      <c r="J660">
        <f>IF($F660="","",IF(OR($G660="",$H660="",$I660="",$G660&lt;1300,$G660&gt;1500,$H660&lt;1,$H660&gt;12,$I660&lt;1,$I660&gt;31),"نامعتبر",RIGHT("0000"&amp;$G660,4)&amp;"/"&amp;RIGHT("00"&amp;$H660,2)&amp;"/"&amp;RIGHT("00"&amp;$I660,2)))</f>
        <v/>
      </c>
      <c r="K660">
        <f>IF(OR($F660="",$J660="",$J660="نامعتبر"),"",LEFT($J660,4)&amp;MID($J660,6,2)&amp;RIGHT($J660,2)&amp;$N660&amp;"|"&amp;"2"&amp;RIGHT("00000"&amp;655,5))</f>
        <v/>
      </c>
      <c r="L660">
        <f>IF($K660="","",COUNTIFS(LdgSellerA,$F660,LdgKeyA,"&lt;"&amp;$K660)+COUNTIFS(LdgSellerB,$F660,LdgKeyB,"&lt;"&amp;$K660)+1)</f>
        <v/>
      </c>
      <c r="M660">
        <f>IF($L660="","",$F660&amp;"|"&amp;RIGHT("000000"&amp;$L660,6))</f>
        <v/>
      </c>
      <c r="N660">
        <f>IF($F660="","",IF(Sync!$AF660="","0000",IF(AND(ISNUMBER(Sync!$AF660),Sync!$AF660&gt;=0,Sync!$AF660&lt;1),RIGHT("00"&amp;HOUR(Sync!$AF660),2)&amp;RIGHT("00"&amp;MINUTE(Sync!$AF660),2),IFERROR(RIGHT("00"&amp;VALUE(LEFT(Sync!$AF660,FIND(":",Sync!$AF660)-1)),2)&amp;RIGHT("00"&amp;VALUE(MID(Sync!$AF660,FIND(":",Sync!$AF660)+1,2)),2),"0000"))))</f>
        <v/>
      </c>
    </row>
    <row r="661">
      <c r="A661">
        <f>IF(OR(Calc!$E665="",Calc!$E665="نامعتبر",Calc!$G665=""),"",Calc!$G665)</f>
        <v/>
      </c>
      <c r="B661">
        <f>IF($A661="","",LEFT(Calc!$E665,4)&amp;MID(Calc!$E665,6,2)&amp;RIGHT(Calc!$E665,2)&amp;Calc!$Q665&amp;"|"&amp;"1"&amp;RIGHT("00000"&amp;656,5))</f>
        <v/>
      </c>
      <c r="C661">
        <f>IF($B661="","",COUNTIFS(LdgSellerA,$A661,LdgKeyA,"&lt;"&amp;$B661)+COUNTIFS(LdgSellerB,$A661,LdgKeyB,"&lt;"&amp;$B661)+1)</f>
        <v/>
      </c>
      <c r="D661">
        <f>IF($C661="","",$A661&amp;"|"&amp;RIGHT("000000"&amp;$C661,6))</f>
        <v/>
      </c>
      <c r="F661">
        <f>IF(Sync!$AH661="","",IF(LEFT(UPPER(TRIM(Sync!$AH661)),2)="SL",UPPER(TRIM(Sync!$AH661)),""))</f>
        <v/>
      </c>
      <c r="G661">
        <f>IF($F661="","",IF(Sync!$AE661="","",IF(ISNUMBER(Sync!$AE661),IF(AND(Sync!$AE661&gt;=10000101,Sync!$AE661&lt;=99991231),INT(Sync!$AE661/10000),""),IFERROR(VALUE(TRIM(LEFT(Sync!$AE661,FIND("/",Sync!$AE661)-1))),""))))</f>
        <v/>
      </c>
      <c r="H661">
        <f>IF(OR($F661="",$G661=""),"",IF(ISNUMBER(Sync!$AE661),INT(MOD(Sync!$AE661,10000)/100),IFERROR(VALUE(TRIM(LEFT(MID(Sync!$AE661,FIND("/",Sync!$AE661)+1,20),FIND("/",MID(Sync!$AE661,FIND("/",Sync!$AE661)+1,20))-1))),"")))</f>
        <v/>
      </c>
      <c r="I661">
        <f>IF(OR($F661="",$G661=""),"",IF(ISNUMBER(Sync!$AE661),MOD(Sync!$AE661,100),IFERROR(VALUE(TRIM(MID(MID(Sync!$AE661,FIND("/",Sync!$AE661)+1,20),FIND("/",MID(Sync!$AE661,FIND("/",Sync!$AE661)+1,20))+1,20))),"")))</f>
        <v/>
      </c>
      <c r="J661">
        <f>IF($F661="","",IF(OR($G661="",$H661="",$I661="",$G661&lt;1300,$G661&gt;1500,$H661&lt;1,$H661&gt;12,$I661&lt;1,$I661&gt;31),"نامعتبر",RIGHT("0000"&amp;$G661,4)&amp;"/"&amp;RIGHT("00"&amp;$H661,2)&amp;"/"&amp;RIGHT("00"&amp;$I661,2)))</f>
        <v/>
      </c>
      <c r="K661">
        <f>IF(OR($F661="",$J661="",$J661="نامعتبر"),"",LEFT($J661,4)&amp;MID($J661,6,2)&amp;RIGHT($J661,2)&amp;$N661&amp;"|"&amp;"2"&amp;RIGHT("00000"&amp;656,5))</f>
        <v/>
      </c>
      <c r="L661">
        <f>IF($K661="","",COUNTIFS(LdgSellerA,$F661,LdgKeyA,"&lt;"&amp;$K661)+COUNTIFS(LdgSellerB,$F661,LdgKeyB,"&lt;"&amp;$K661)+1)</f>
        <v/>
      </c>
      <c r="M661">
        <f>IF($L661="","",$F661&amp;"|"&amp;RIGHT("000000"&amp;$L661,6))</f>
        <v/>
      </c>
      <c r="N661">
        <f>IF($F661="","",IF(Sync!$AF661="","0000",IF(AND(ISNUMBER(Sync!$AF661),Sync!$AF661&gt;=0,Sync!$AF661&lt;1),RIGHT("00"&amp;HOUR(Sync!$AF661),2)&amp;RIGHT("00"&amp;MINUTE(Sync!$AF661),2),IFERROR(RIGHT("00"&amp;VALUE(LEFT(Sync!$AF661,FIND(":",Sync!$AF661)-1)),2)&amp;RIGHT("00"&amp;VALUE(MID(Sync!$AF661,FIND(":",Sync!$AF661)+1,2)),2),"0000"))))</f>
        <v/>
      </c>
    </row>
    <row r="662">
      <c r="A662">
        <f>IF(OR(Calc!$E666="",Calc!$E666="نامعتبر",Calc!$G666=""),"",Calc!$G666)</f>
        <v/>
      </c>
      <c r="B662">
        <f>IF($A662="","",LEFT(Calc!$E666,4)&amp;MID(Calc!$E666,6,2)&amp;RIGHT(Calc!$E666,2)&amp;Calc!$Q666&amp;"|"&amp;"1"&amp;RIGHT("00000"&amp;657,5))</f>
        <v/>
      </c>
      <c r="C662">
        <f>IF($B662="","",COUNTIFS(LdgSellerA,$A662,LdgKeyA,"&lt;"&amp;$B662)+COUNTIFS(LdgSellerB,$A662,LdgKeyB,"&lt;"&amp;$B662)+1)</f>
        <v/>
      </c>
      <c r="D662">
        <f>IF($C662="","",$A662&amp;"|"&amp;RIGHT("000000"&amp;$C662,6))</f>
        <v/>
      </c>
      <c r="F662">
        <f>IF(Sync!$AH662="","",IF(LEFT(UPPER(TRIM(Sync!$AH662)),2)="SL",UPPER(TRIM(Sync!$AH662)),""))</f>
        <v/>
      </c>
      <c r="G662">
        <f>IF($F662="","",IF(Sync!$AE662="","",IF(ISNUMBER(Sync!$AE662),IF(AND(Sync!$AE662&gt;=10000101,Sync!$AE662&lt;=99991231),INT(Sync!$AE662/10000),""),IFERROR(VALUE(TRIM(LEFT(Sync!$AE662,FIND("/",Sync!$AE662)-1))),""))))</f>
        <v/>
      </c>
      <c r="H662">
        <f>IF(OR($F662="",$G662=""),"",IF(ISNUMBER(Sync!$AE662),INT(MOD(Sync!$AE662,10000)/100),IFERROR(VALUE(TRIM(LEFT(MID(Sync!$AE662,FIND("/",Sync!$AE662)+1,20),FIND("/",MID(Sync!$AE662,FIND("/",Sync!$AE662)+1,20))-1))),"")))</f>
        <v/>
      </c>
      <c r="I662">
        <f>IF(OR($F662="",$G662=""),"",IF(ISNUMBER(Sync!$AE662),MOD(Sync!$AE662,100),IFERROR(VALUE(TRIM(MID(MID(Sync!$AE662,FIND("/",Sync!$AE662)+1,20),FIND("/",MID(Sync!$AE662,FIND("/",Sync!$AE662)+1,20))+1,20))),"")))</f>
        <v/>
      </c>
      <c r="J662">
        <f>IF($F662="","",IF(OR($G662="",$H662="",$I662="",$G662&lt;1300,$G662&gt;1500,$H662&lt;1,$H662&gt;12,$I662&lt;1,$I662&gt;31),"نامعتبر",RIGHT("0000"&amp;$G662,4)&amp;"/"&amp;RIGHT("00"&amp;$H662,2)&amp;"/"&amp;RIGHT("00"&amp;$I662,2)))</f>
        <v/>
      </c>
      <c r="K662">
        <f>IF(OR($F662="",$J662="",$J662="نامعتبر"),"",LEFT($J662,4)&amp;MID($J662,6,2)&amp;RIGHT($J662,2)&amp;$N662&amp;"|"&amp;"2"&amp;RIGHT("00000"&amp;657,5))</f>
        <v/>
      </c>
      <c r="L662">
        <f>IF($K662="","",COUNTIFS(LdgSellerA,$F662,LdgKeyA,"&lt;"&amp;$K662)+COUNTIFS(LdgSellerB,$F662,LdgKeyB,"&lt;"&amp;$K662)+1)</f>
        <v/>
      </c>
      <c r="M662">
        <f>IF($L662="","",$F662&amp;"|"&amp;RIGHT("000000"&amp;$L662,6))</f>
        <v/>
      </c>
      <c r="N662">
        <f>IF($F662="","",IF(Sync!$AF662="","0000",IF(AND(ISNUMBER(Sync!$AF662),Sync!$AF662&gt;=0,Sync!$AF662&lt;1),RIGHT("00"&amp;HOUR(Sync!$AF662),2)&amp;RIGHT("00"&amp;MINUTE(Sync!$AF662),2),IFERROR(RIGHT("00"&amp;VALUE(LEFT(Sync!$AF662,FIND(":",Sync!$AF662)-1)),2)&amp;RIGHT("00"&amp;VALUE(MID(Sync!$AF662,FIND(":",Sync!$AF662)+1,2)),2),"0000"))))</f>
        <v/>
      </c>
    </row>
    <row r="663">
      <c r="A663">
        <f>IF(OR(Calc!$E667="",Calc!$E667="نامعتبر",Calc!$G667=""),"",Calc!$G667)</f>
        <v/>
      </c>
      <c r="B663">
        <f>IF($A663="","",LEFT(Calc!$E667,4)&amp;MID(Calc!$E667,6,2)&amp;RIGHT(Calc!$E667,2)&amp;Calc!$Q667&amp;"|"&amp;"1"&amp;RIGHT("00000"&amp;658,5))</f>
        <v/>
      </c>
      <c r="C663">
        <f>IF($B663="","",COUNTIFS(LdgSellerA,$A663,LdgKeyA,"&lt;"&amp;$B663)+COUNTIFS(LdgSellerB,$A663,LdgKeyB,"&lt;"&amp;$B663)+1)</f>
        <v/>
      </c>
      <c r="D663">
        <f>IF($C663="","",$A663&amp;"|"&amp;RIGHT("000000"&amp;$C663,6))</f>
        <v/>
      </c>
      <c r="F663">
        <f>IF(Sync!$AH663="","",IF(LEFT(UPPER(TRIM(Sync!$AH663)),2)="SL",UPPER(TRIM(Sync!$AH663)),""))</f>
        <v/>
      </c>
      <c r="G663">
        <f>IF($F663="","",IF(Sync!$AE663="","",IF(ISNUMBER(Sync!$AE663),IF(AND(Sync!$AE663&gt;=10000101,Sync!$AE663&lt;=99991231),INT(Sync!$AE663/10000),""),IFERROR(VALUE(TRIM(LEFT(Sync!$AE663,FIND("/",Sync!$AE663)-1))),""))))</f>
        <v/>
      </c>
      <c r="H663">
        <f>IF(OR($F663="",$G663=""),"",IF(ISNUMBER(Sync!$AE663),INT(MOD(Sync!$AE663,10000)/100),IFERROR(VALUE(TRIM(LEFT(MID(Sync!$AE663,FIND("/",Sync!$AE663)+1,20),FIND("/",MID(Sync!$AE663,FIND("/",Sync!$AE663)+1,20))-1))),"")))</f>
        <v/>
      </c>
      <c r="I663">
        <f>IF(OR($F663="",$G663=""),"",IF(ISNUMBER(Sync!$AE663),MOD(Sync!$AE663,100),IFERROR(VALUE(TRIM(MID(MID(Sync!$AE663,FIND("/",Sync!$AE663)+1,20),FIND("/",MID(Sync!$AE663,FIND("/",Sync!$AE663)+1,20))+1,20))),"")))</f>
        <v/>
      </c>
      <c r="J663">
        <f>IF($F663="","",IF(OR($G663="",$H663="",$I663="",$G663&lt;1300,$G663&gt;1500,$H663&lt;1,$H663&gt;12,$I663&lt;1,$I663&gt;31),"نامعتبر",RIGHT("0000"&amp;$G663,4)&amp;"/"&amp;RIGHT("00"&amp;$H663,2)&amp;"/"&amp;RIGHT("00"&amp;$I663,2)))</f>
        <v/>
      </c>
      <c r="K663">
        <f>IF(OR($F663="",$J663="",$J663="نامعتبر"),"",LEFT($J663,4)&amp;MID($J663,6,2)&amp;RIGHT($J663,2)&amp;$N663&amp;"|"&amp;"2"&amp;RIGHT("00000"&amp;658,5))</f>
        <v/>
      </c>
      <c r="L663">
        <f>IF($K663="","",COUNTIFS(LdgSellerA,$F663,LdgKeyA,"&lt;"&amp;$K663)+COUNTIFS(LdgSellerB,$F663,LdgKeyB,"&lt;"&amp;$K663)+1)</f>
        <v/>
      </c>
      <c r="M663">
        <f>IF($L663="","",$F663&amp;"|"&amp;RIGHT("000000"&amp;$L663,6))</f>
        <v/>
      </c>
      <c r="N663">
        <f>IF($F663="","",IF(Sync!$AF663="","0000",IF(AND(ISNUMBER(Sync!$AF663),Sync!$AF663&gt;=0,Sync!$AF663&lt;1),RIGHT("00"&amp;HOUR(Sync!$AF663),2)&amp;RIGHT("00"&amp;MINUTE(Sync!$AF663),2),IFERROR(RIGHT("00"&amp;VALUE(LEFT(Sync!$AF663,FIND(":",Sync!$AF663)-1)),2)&amp;RIGHT("00"&amp;VALUE(MID(Sync!$AF663,FIND(":",Sync!$AF663)+1,2)),2),"0000"))))</f>
        <v/>
      </c>
    </row>
    <row r="664">
      <c r="A664">
        <f>IF(OR(Calc!$E668="",Calc!$E668="نامعتبر",Calc!$G668=""),"",Calc!$G668)</f>
        <v/>
      </c>
      <c r="B664">
        <f>IF($A664="","",LEFT(Calc!$E668,4)&amp;MID(Calc!$E668,6,2)&amp;RIGHT(Calc!$E668,2)&amp;Calc!$Q668&amp;"|"&amp;"1"&amp;RIGHT("00000"&amp;659,5))</f>
        <v/>
      </c>
      <c r="C664">
        <f>IF($B664="","",COUNTIFS(LdgSellerA,$A664,LdgKeyA,"&lt;"&amp;$B664)+COUNTIFS(LdgSellerB,$A664,LdgKeyB,"&lt;"&amp;$B664)+1)</f>
        <v/>
      </c>
      <c r="D664">
        <f>IF($C664="","",$A664&amp;"|"&amp;RIGHT("000000"&amp;$C664,6))</f>
        <v/>
      </c>
      <c r="F664">
        <f>IF(Sync!$AH664="","",IF(LEFT(UPPER(TRIM(Sync!$AH664)),2)="SL",UPPER(TRIM(Sync!$AH664)),""))</f>
        <v/>
      </c>
      <c r="G664">
        <f>IF($F664="","",IF(Sync!$AE664="","",IF(ISNUMBER(Sync!$AE664),IF(AND(Sync!$AE664&gt;=10000101,Sync!$AE664&lt;=99991231),INT(Sync!$AE664/10000),""),IFERROR(VALUE(TRIM(LEFT(Sync!$AE664,FIND("/",Sync!$AE664)-1))),""))))</f>
        <v/>
      </c>
      <c r="H664">
        <f>IF(OR($F664="",$G664=""),"",IF(ISNUMBER(Sync!$AE664),INT(MOD(Sync!$AE664,10000)/100),IFERROR(VALUE(TRIM(LEFT(MID(Sync!$AE664,FIND("/",Sync!$AE664)+1,20),FIND("/",MID(Sync!$AE664,FIND("/",Sync!$AE664)+1,20))-1))),"")))</f>
        <v/>
      </c>
      <c r="I664">
        <f>IF(OR($F664="",$G664=""),"",IF(ISNUMBER(Sync!$AE664),MOD(Sync!$AE664,100),IFERROR(VALUE(TRIM(MID(MID(Sync!$AE664,FIND("/",Sync!$AE664)+1,20),FIND("/",MID(Sync!$AE664,FIND("/",Sync!$AE664)+1,20))+1,20))),"")))</f>
        <v/>
      </c>
      <c r="J664">
        <f>IF($F664="","",IF(OR($G664="",$H664="",$I664="",$G664&lt;1300,$G664&gt;1500,$H664&lt;1,$H664&gt;12,$I664&lt;1,$I664&gt;31),"نامعتبر",RIGHT("0000"&amp;$G664,4)&amp;"/"&amp;RIGHT("00"&amp;$H664,2)&amp;"/"&amp;RIGHT("00"&amp;$I664,2)))</f>
        <v/>
      </c>
      <c r="K664">
        <f>IF(OR($F664="",$J664="",$J664="نامعتبر"),"",LEFT($J664,4)&amp;MID($J664,6,2)&amp;RIGHT($J664,2)&amp;$N664&amp;"|"&amp;"2"&amp;RIGHT("00000"&amp;659,5))</f>
        <v/>
      </c>
      <c r="L664">
        <f>IF($K664="","",COUNTIFS(LdgSellerA,$F664,LdgKeyA,"&lt;"&amp;$K664)+COUNTIFS(LdgSellerB,$F664,LdgKeyB,"&lt;"&amp;$K664)+1)</f>
        <v/>
      </c>
      <c r="M664">
        <f>IF($L664="","",$F664&amp;"|"&amp;RIGHT("000000"&amp;$L664,6))</f>
        <v/>
      </c>
      <c r="N664">
        <f>IF($F664="","",IF(Sync!$AF664="","0000",IF(AND(ISNUMBER(Sync!$AF664),Sync!$AF664&gt;=0,Sync!$AF664&lt;1),RIGHT("00"&amp;HOUR(Sync!$AF664),2)&amp;RIGHT("00"&amp;MINUTE(Sync!$AF664),2),IFERROR(RIGHT("00"&amp;VALUE(LEFT(Sync!$AF664,FIND(":",Sync!$AF664)-1)),2)&amp;RIGHT("00"&amp;VALUE(MID(Sync!$AF664,FIND(":",Sync!$AF664)+1,2)),2),"0000"))))</f>
        <v/>
      </c>
    </row>
    <row r="665">
      <c r="A665">
        <f>IF(OR(Calc!$E669="",Calc!$E669="نامعتبر",Calc!$G669=""),"",Calc!$G669)</f>
        <v/>
      </c>
      <c r="B665">
        <f>IF($A665="","",LEFT(Calc!$E669,4)&amp;MID(Calc!$E669,6,2)&amp;RIGHT(Calc!$E669,2)&amp;Calc!$Q669&amp;"|"&amp;"1"&amp;RIGHT("00000"&amp;660,5))</f>
        <v/>
      </c>
      <c r="C665">
        <f>IF($B665="","",COUNTIFS(LdgSellerA,$A665,LdgKeyA,"&lt;"&amp;$B665)+COUNTIFS(LdgSellerB,$A665,LdgKeyB,"&lt;"&amp;$B665)+1)</f>
        <v/>
      </c>
      <c r="D665">
        <f>IF($C665="","",$A665&amp;"|"&amp;RIGHT("000000"&amp;$C665,6))</f>
        <v/>
      </c>
      <c r="F665">
        <f>IF(Sync!$AH665="","",IF(LEFT(UPPER(TRIM(Sync!$AH665)),2)="SL",UPPER(TRIM(Sync!$AH665)),""))</f>
        <v/>
      </c>
      <c r="G665">
        <f>IF($F665="","",IF(Sync!$AE665="","",IF(ISNUMBER(Sync!$AE665),IF(AND(Sync!$AE665&gt;=10000101,Sync!$AE665&lt;=99991231),INT(Sync!$AE665/10000),""),IFERROR(VALUE(TRIM(LEFT(Sync!$AE665,FIND("/",Sync!$AE665)-1))),""))))</f>
        <v/>
      </c>
      <c r="H665">
        <f>IF(OR($F665="",$G665=""),"",IF(ISNUMBER(Sync!$AE665),INT(MOD(Sync!$AE665,10000)/100),IFERROR(VALUE(TRIM(LEFT(MID(Sync!$AE665,FIND("/",Sync!$AE665)+1,20),FIND("/",MID(Sync!$AE665,FIND("/",Sync!$AE665)+1,20))-1))),"")))</f>
        <v/>
      </c>
      <c r="I665">
        <f>IF(OR($F665="",$G665=""),"",IF(ISNUMBER(Sync!$AE665),MOD(Sync!$AE665,100),IFERROR(VALUE(TRIM(MID(MID(Sync!$AE665,FIND("/",Sync!$AE665)+1,20),FIND("/",MID(Sync!$AE665,FIND("/",Sync!$AE665)+1,20))+1,20))),"")))</f>
        <v/>
      </c>
      <c r="J665">
        <f>IF($F665="","",IF(OR($G665="",$H665="",$I665="",$G665&lt;1300,$G665&gt;1500,$H665&lt;1,$H665&gt;12,$I665&lt;1,$I665&gt;31),"نامعتبر",RIGHT("0000"&amp;$G665,4)&amp;"/"&amp;RIGHT("00"&amp;$H665,2)&amp;"/"&amp;RIGHT("00"&amp;$I665,2)))</f>
        <v/>
      </c>
      <c r="K665">
        <f>IF(OR($F665="",$J665="",$J665="نامعتبر"),"",LEFT($J665,4)&amp;MID($J665,6,2)&amp;RIGHT($J665,2)&amp;$N665&amp;"|"&amp;"2"&amp;RIGHT("00000"&amp;660,5))</f>
        <v/>
      </c>
      <c r="L665">
        <f>IF($K665="","",COUNTIFS(LdgSellerA,$F665,LdgKeyA,"&lt;"&amp;$K665)+COUNTIFS(LdgSellerB,$F665,LdgKeyB,"&lt;"&amp;$K665)+1)</f>
        <v/>
      </c>
      <c r="M665">
        <f>IF($L665="","",$F665&amp;"|"&amp;RIGHT("000000"&amp;$L665,6))</f>
        <v/>
      </c>
      <c r="N665">
        <f>IF($F665="","",IF(Sync!$AF665="","0000",IF(AND(ISNUMBER(Sync!$AF665),Sync!$AF665&gt;=0,Sync!$AF665&lt;1),RIGHT("00"&amp;HOUR(Sync!$AF665),2)&amp;RIGHT("00"&amp;MINUTE(Sync!$AF665),2),IFERROR(RIGHT("00"&amp;VALUE(LEFT(Sync!$AF665,FIND(":",Sync!$AF665)-1)),2)&amp;RIGHT("00"&amp;VALUE(MID(Sync!$AF665,FIND(":",Sync!$AF665)+1,2)),2),"0000"))))</f>
        <v/>
      </c>
    </row>
    <row r="666">
      <c r="A666">
        <f>IF(OR(Calc!$E670="",Calc!$E670="نامعتبر",Calc!$G670=""),"",Calc!$G670)</f>
        <v/>
      </c>
      <c r="B666">
        <f>IF($A666="","",LEFT(Calc!$E670,4)&amp;MID(Calc!$E670,6,2)&amp;RIGHT(Calc!$E670,2)&amp;Calc!$Q670&amp;"|"&amp;"1"&amp;RIGHT("00000"&amp;661,5))</f>
        <v/>
      </c>
      <c r="C666">
        <f>IF($B666="","",COUNTIFS(LdgSellerA,$A666,LdgKeyA,"&lt;"&amp;$B666)+COUNTIFS(LdgSellerB,$A666,LdgKeyB,"&lt;"&amp;$B666)+1)</f>
        <v/>
      </c>
      <c r="D666">
        <f>IF($C666="","",$A666&amp;"|"&amp;RIGHT("000000"&amp;$C666,6))</f>
        <v/>
      </c>
      <c r="F666">
        <f>IF(Sync!$AH666="","",IF(LEFT(UPPER(TRIM(Sync!$AH666)),2)="SL",UPPER(TRIM(Sync!$AH666)),""))</f>
        <v/>
      </c>
      <c r="G666">
        <f>IF($F666="","",IF(Sync!$AE666="","",IF(ISNUMBER(Sync!$AE666),IF(AND(Sync!$AE666&gt;=10000101,Sync!$AE666&lt;=99991231),INT(Sync!$AE666/10000),""),IFERROR(VALUE(TRIM(LEFT(Sync!$AE666,FIND("/",Sync!$AE666)-1))),""))))</f>
        <v/>
      </c>
      <c r="H666">
        <f>IF(OR($F666="",$G666=""),"",IF(ISNUMBER(Sync!$AE666),INT(MOD(Sync!$AE666,10000)/100),IFERROR(VALUE(TRIM(LEFT(MID(Sync!$AE666,FIND("/",Sync!$AE666)+1,20),FIND("/",MID(Sync!$AE666,FIND("/",Sync!$AE666)+1,20))-1))),"")))</f>
        <v/>
      </c>
      <c r="I666">
        <f>IF(OR($F666="",$G666=""),"",IF(ISNUMBER(Sync!$AE666),MOD(Sync!$AE666,100),IFERROR(VALUE(TRIM(MID(MID(Sync!$AE666,FIND("/",Sync!$AE666)+1,20),FIND("/",MID(Sync!$AE666,FIND("/",Sync!$AE666)+1,20))+1,20))),"")))</f>
        <v/>
      </c>
      <c r="J666">
        <f>IF($F666="","",IF(OR($G666="",$H666="",$I666="",$G666&lt;1300,$G666&gt;1500,$H666&lt;1,$H666&gt;12,$I666&lt;1,$I666&gt;31),"نامعتبر",RIGHT("0000"&amp;$G666,4)&amp;"/"&amp;RIGHT("00"&amp;$H666,2)&amp;"/"&amp;RIGHT("00"&amp;$I666,2)))</f>
        <v/>
      </c>
      <c r="K666">
        <f>IF(OR($F666="",$J666="",$J666="نامعتبر"),"",LEFT($J666,4)&amp;MID($J666,6,2)&amp;RIGHT($J666,2)&amp;$N666&amp;"|"&amp;"2"&amp;RIGHT("00000"&amp;661,5))</f>
        <v/>
      </c>
      <c r="L666">
        <f>IF($K666="","",COUNTIFS(LdgSellerA,$F666,LdgKeyA,"&lt;"&amp;$K666)+COUNTIFS(LdgSellerB,$F666,LdgKeyB,"&lt;"&amp;$K666)+1)</f>
        <v/>
      </c>
      <c r="M666">
        <f>IF($L666="","",$F666&amp;"|"&amp;RIGHT("000000"&amp;$L666,6))</f>
        <v/>
      </c>
      <c r="N666">
        <f>IF($F666="","",IF(Sync!$AF666="","0000",IF(AND(ISNUMBER(Sync!$AF666),Sync!$AF666&gt;=0,Sync!$AF666&lt;1),RIGHT("00"&amp;HOUR(Sync!$AF666),2)&amp;RIGHT("00"&amp;MINUTE(Sync!$AF666),2),IFERROR(RIGHT("00"&amp;VALUE(LEFT(Sync!$AF666,FIND(":",Sync!$AF666)-1)),2)&amp;RIGHT("00"&amp;VALUE(MID(Sync!$AF666,FIND(":",Sync!$AF666)+1,2)),2),"0000"))))</f>
        <v/>
      </c>
    </row>
    <row r="667">
      <c r="A667">
        <f>IF(OR(Calc!$E671="",Calc!$E671="نامعتبر",Calc!$G671=""),"",Calc!$G671)</f>
        <v/>
      </c>
      <c r="B667">
        <f>IF($A667="","",LEFT(Calc!$E671,4)&amp;MID(Calc!$E671,6,2)&amp;RIGHT(Calc!$E671,2)&amp;Calc!$Q671&amp;"|"&amp;"1"&amp;RIGHT("00000"&amp;662,5))</f>
        <v/>
      </c>
      <c r="C667">
        <f>IF($B667="","",COUNTIFS(LdgSellerA,$A667,LdgKeyA,"&lt;"&amp;$B667)+COUNTIFS(LdgSellerB,$A667,LdgKeyB,"&lt;"&amp;$B667)+1)</f>
        <v/>
      </c>
      <c r="D667">
        <f>IF($C667="","",$A667&amp;"|"&amp;RIGHT("000000"&amp;$C667,6))</f>
        <v/>
      </c>
      <c r="F667">
        <f>IF(Sync!$AH667="","",IF(LEFT(UPPER(TRIM(Sync!$AH667)),2)="SL",UPPER(TRIM(Sync!$AH667)),""))</f>
        <v/>
      </c>
      <c r="G667">
        <f>IF($F667="","",IF(Sync!$AE667="","",IF(ISNUMBER(Sync!$AE667),IF(AND(Sync!$AE667&gt;=10000101,Sync!$AE667&lt;=99991231),INT(Sync!$AE667/10000),""),IFERROR(VALUE(TRIM(LEFT(Sync!$AE667,FIND("/",Sync!$AE667)-1))),""))))</f>
        <v/>
      </c>
      <c r="H667">
        <f>IF(OR($F667="",$G667=""),"",IF(ISNUMBER(Sync!$AE667),INT(MOD(Sync!$AE667,10000)/100),IFERROR(VALUE(TRIM(LEFT(MID(Sync!$AE667,FIND("/",Sync!$AE667)+1,20),FIND("/",MID(Sync!$AE667,FIND("/",Sync!$AE667)+1,20))-1))),"")))</f>
        <v/>
      </c>
      <c r="I667">
        <f>IF(OR($F667="",$G667=""),"",IF(ISNUMBER(Sync!$AE667),MOD(Sync!$AE667,100),IFERROR(VALUE(TRIM(MID(MID(Sync!$AE667,FIND("/",Sync!$AE667)+1,20),FIND("/",MID(Sync!$AE667,FIND("/",Sync!$AE667)+1,20))+1,20))),"")))</f>
        <v/>
      </c>
      <c r="J667">
        <f>IF($F667="","",IF(OR($G667="",$H667="",$I667="",$G667&lt;1300,$G667&gt;1500,$H667&lt;1,$H667&gt;12,$I667&lt;1,$I667&gt;31),"نامعتبر",RIGHT("0000"&amp;$G667,4)&amp;"/"&amp;RIGHT("00"&amp;$H667,2)&amp;"/"&amp;RIGHT("00"&amp;$I667,2)))</f>
        <v/>
      </c>
      <c r="K667">
        <f>IF(OR($F667="",$J667="",$J667="نامعتبر"),"",LEFT($J667,4)&amp;MID($J667,6,2)&amp;RIGHT($J667,2)&amp;$N667&amp;"|"&amp;"2"&amp;RIGHT("00000"&amp;662,5))</f>
        <v/>
      </c>
      <c r="L667">
        <f>IF($K667="","",COUNTIFS(LdgSellerA,$F667,LdgKeyA,"&lt;"&amp;$K667)+COUNTIFS(LdgSellerB,$F667,LdgKeyB,"&lt;"&amp;$K667)+1)</f>
        <v/>
      </c>
      <c r="M667">
        <f>IF($L667="","",$F667&amp;"|"&amp;RIGHT("000000"&amp;$L667,6))</f>
        <v/>
      </c>
      <c r="N667">
        <f>IF($F667="","",IF(Sync!$AF667="","0000",IF(AND(ISNUMBER(Sync!$AF667),Sync!$AF667&gt;=0,Sync!$AF667&lt;1),RIGHT("00"&amp;HOUR(Sync!$AF667),2)&amp;RIGHT("00"&amp;MINUTE(Sync!$AF667),2),IFERROR(RIGHT("00"&amp;VALUE(LEFT(Sync!$AF667,FIND(":",Sync!$AF667)-1)),2)&amp;RIGHT("00"&amp;VALUE(MID(Sync!$AF667,FIND(":",Sync!$AF667)+1,2)),2),"0000"))))</f>
        <v/>
      </c>
    </row>
    <row r="668">
      <c r="A668">
        <f>IF(OR(Calc!$E672="",Calc!$E672="نامعتبر",Calc!$G672=""),"",Calc!$G672)</f>
        <v/>
      </c>
      <c r="B668">
        <f>IF($A668="","",LEFT(Calc!$E672,4)&amp;MID(Calc!$E672,6,2)&amp;RIGHT(Calc!$E672,2)&amp;Calc!$Q672&amp;"|"&amp;"1"&amp;RIGHT("00000"&amp;663,5))</f>
        <v/>
      </c>
      <c r="C668">
        <f>IF($B668="","",COUNTIFS(LdgSellerA,$A668,LdgKeyA,"&lt;"&amp;$B668)+COUNTIFS(LdgSellerB,$A668,LdgKeyB,"&lt;"&amp;$B668)+1)</f>
        <v/>
      </c>
      <c r="D668">
        <f>IF($C668="","",$A668&amp;"|"&amp;RIGHT("000000"&amp;$C668,6))</f>
        <v/>
      </c>
      <c r="F668">
        <f>IF(Sync!$AH668="","",IF(LEFT(UPPER(TRIM(Sync!$AH668)),2)="SL",UPPER(TRIM(Sync!$AH668)),""))</f>
        <v/>
      </c>
      <c r="G668">
        <f>IF($F668="","",IF(Sync!$AE668="","",IF(ISNUMBER(Sync!$AE668),IF(AND(Sync!$AE668&gt;=10000101,Sync!$AE668&lt;=99991231),INT(Sync!$AE668/10000),""),IFERROR(VALUE(TRIM(LEFT(Sync!$AE668,FIND("/",Sync!$AE668)-1))),""))))</f>
        <v/>
      </c>
      <c r="H668">
        <f>IF(OR($F668="",$G668=""),"",IF(ISNUMBER(Sync!$AE668),INT(MOD(Sync!$AE668,10000)/100),IFERROR(VALUE(TRIM(LEFT(MID(Sync!$AE668,FIND("/",Sync!$AE668)+1,20),FIND("/",MID(Sync!$AE668,FIND("/",Sync!$AE668)+1,20))-1))),"")))</f>
        <v/>
      </c>
      <c r="I668">
        <f>IF(OR($F668="",$G668=""),"",IF(ISNUMBER(Sync!$AE668),MOD(Sync!$AE668,100),IFERROR(VALUE(TRIM(MID(MID(Sync!$AE668,FIND("/",Sync!$AE668)+1,20),FIND("/",MID(Sync!$AE668,FIND("/",Sync!$AE668)+1,20))+1,20))),"")))</f>
        <v/>
      </c>
      <c r="J668">
        <f>IF($F668="","",IF(OR($G668="",$H668="",$I668="",$G668&lt;1300,$G668&gt;1500,$H668&lt;1,$H668&gt;12,$I668&lt;1,$I668&gt;31),"نامعتبر",RIGHT("0000"&amp;$G668,4)&amp;"/"&amp;RIGHT("00"&amp;$H668,2)&amp;"/"&amp;RIGHT("00"&amp;$I668,2)))</f>
        <v/>
      </c>
      <c r="K668">
        <f>IF(OR($F668="",$J668="",$J668="نامعتبر"),"",LEFT($J668,4)&amp;MID($J668,6,2)&amp;RIGHT($J668,2)&amp;$N668&amp;"|"&amp;"2"&amp;RIGHT("00000"&amp;663,5))</f>
        <v/>
      </c>
      <c r="L668">
        <f>IF($K668="","",COUNTIFS(LdgSellerA,$F668,LdgKeyA,"&lt;"&amp;$K668)+COUNTIFS(LdgSellerB,$F668,LdgKeyB,"&lt;"&amp;$K668)+1)</f>
        <v/>
      </c>
      <c r="M668">
        <f>IF($L668="","",$F668&amp;"|"&amp;RIGHT("000000"&amp;$L668,6))</f>
        <v/>
      </c>
      <c r="N668">
        <f>IF($F668="","",IF(Sync!$AF668="","0000",IF(AND(ISNUMBER(Sync!$AF668),Sync!$AF668&gt;=0,Sync!$AF668&lt;1),RIGHT("00"&amp;HOUR(Sync!$AF668),2)&amp;RIGHT("00"&amp;MINUTE(Sync!$AF668),2),IFERROR(RIGHT("00"&amp;VALUE(LEFT(Sync!$AF668,FIND(":",Sync!$AF668)-1)),2)&amp;RIGHT("00"&amp;VALUE(MID(Sync!$AF668,FIND(":",Sync!$AF668)+1,2)),2),"0000"))))</f>
        <v/>
      </c>
    </row>
    <row r="669">
      <c r="A669">
        <f>IF(OR(Calc!$E673="",Calc!$E673="نامعتبر",Calc!$G673=""),"",Calc!$G673)</f>
        <v/>
      </c>
      <c r="B669">
        <f>IF($A669="","",LEFT(Calc!$E673,4)&amp;MID(Calc!$E673,6,2)&amp;RIGHT(Calc!$E673,2)&amp;Calc!$Q673&amp;"|"&amp;"1"&amp;RIGHT("00000"&amp;664,5))</f>
        <v/>
      </c>
      <c r="C669">
        <f>IF($B669="","",COUNTIFS(LdgSellerA,$A669,LdgKeyA,"&lt;"&amp;$B669)+COUNTIFS(LdgSellerB,$A669,LdgKeyB,"&lt;"&amp;$B669)+1)</f>
        <v/>
      </c>
      <c r="D669">
        <f>IF($C669="","",$A669&amp;"|"&amp;RIGHT("000000"&amp;$C669,6))</f>
        <v/>
      </c>
      <c r="F669">
        <f>IF(Sync!$AH669="","",IF(LEFT(UPPER(TRIM(Sync!$AH669)),2)="SL",UPPER(TRIM(Sync!$AH669)),""))</f>
        <v/>
      </c>
      <c r="G669">
        <f>IF($F669="","",IF(Sync!$AE669="","",IF(ISNUMBER(Sync!$AE669),IF(AND(Sync!$AE669&gt;=10000101,Sync!$AE669&lt;=99991231),INT(Sync!$AE669/10000),""),IFERROR(VALUE(TRIM(LEFT(Sync!$AE669,FIND("/",Sync!$AE669)-1))),""))))</f>
        <v/>
      </c>
      <c r="H669">
        <f>IF(OR($F669="",$G669=""),"",IF(ISNUMBER(Sync!$AE669),INT(MOD(Sync!$AE669,10000)/100),IFERROR(VALUE(TRIM(LEFT(MID(Sync!$AE669,FIND("/",Sync!$AE669)+1,20),FIND("/",MID(Sync!$AE669,FIND("/",Sync!$AE669)+1,20))-1))),"")))</f>
        <v/>
      </c>
      <c r="I669">
        <f>IF(OR($F669="",$G669=""),"",IF(ISNUMBER(Sync!$AE669),MOD(Sync!$AE669,100),IFERROR(VALUE(TRIM(MID(MID(Sync!$AE669,FIND("/",Sync!$AE669)+1,20),FIND("/",MID(Sync!$AE669,FIND("/",Sync!$AE669)+1,20))+1,20))),"")))</f>
        <v/>
      </c>
      <c r="J669">
        <f>IF($F669="","",IF(OR($G669="",$H669="",$I669="",$G669&lt;1300,$G669&gt;1500,$H669&lt;1,$H669&gt;12,$I669&lt;1,$I669&gt;31),"نامعتبر",RIGHT("0000"&amp;$G669,4)&amp;"/"&amp;RIGHT("00"&amp;$H669,2)&amp;"/"&amp;RIGHT("00"&amp;$I669,2)))</f>
        <v/>
      </c>
      <c r="K669">
        <f>IF(OR($F669="",$J669="",$J669="نامعتبر"),"",LEFT($J669,4)&amp;MID($J669,6,2)&amp;RIGHT($J669,2)&amp;$N669&amp;"|"&amp;"2"&amp;RIGHT("00000"&amp;664,5))</f>
        <v/>
      </c>
      <c r="L669">
        <f>IF($K669="","",COUNTIFS(LdgSellerA,$F669,LdgKeyA,"&lt;"&amp;$K669)+COUNTIFS(LdgSellerB,$F669,LdgKeyB,"&lt;"&amp;$K669)+1)</f>
        <v/>
      </c>
      <c r="M669">
        <f>IF($L669="","",$F669&amp;"|"&amp;RIGHT("000000"&amp;$L669,6))</f>
        <v/>
      </c>
      <c r="N669">
        <f>IF($F669="","",IF(Sync!$AF669="","0000",IF(AND(ISNUMBER(Sync!$AF669),Sync!$AF669&gt;=0,Sync!$AF669&lt;1),RIGHT("00"&amp;HOUR(Sync!$AF669),2)&amp;RIGHT("00"&amp;MINUTE(Sync!$AF669),2),IFERROR(RIGHT("00"&amp;VALUE(LEFT(Sync!$AF669,FIND(":",Sync!$AF669)-1)),2)&amp;RIGHT("00"&amp;VALUE(MID(Sync!$AF669,FIND(":",Sync!$AF669)+1,2)),2),"0000"))))</f>
        <v/>
      </c>
    </row>
    <row r="670">
      <c r="A670">
        <f>IF(OR(Calc!$E674="",Calc!$E674="نامعتبر",Calc!$G674=""),"",Calc!$G674)</f>
        <v/>
      </c>
      <c r="B670">
        <f>IF($A670="","",LEFT(Calc!$E674,4)&amp;MID(Calc!$E674,6,2)&amp;RIGHT(Calc!$E674,2)&amp;Calc!$Q674&amp;"|"&amp;"1"&amp;RIGHT("00000"&amp;665,5))</f>
        <v/>
      </c>
      <c r="C670">
        <f>IF($B670="","",COUNTIFS(LdgSellerA,$A670,LdgKeyA,"&lt;"&amp;$B670)+COUNTIFS(LdgSellerB,$A670,LdgKeyB,"&lt;"&amp;$B670)+1)</f>
        <v/>
      </c>
      <c r="D670">
        <f>IF($C670="","",$A670&amp;"|"&amp;RIGHT("000000"&amp;$C670,6))</f>
        <v/>
      </c>
      <c r="F670">
        <f>IF(Sync!$AH670="","",IF(LEFT(UPPER(TRIM(Sync!$AH670)),2)="SL",UPPER(TRIM(Sync!$AH670)),""))</f>
        <v/>
      </c>
      <c r="G670">
        <f>IF($F670="","",IF(Sync!$AE670="","",IF(ISNUMBER(Sync!$AE670),IF(AND(Sync!$AE670&gt;=10000101,Sync!$AE670&lt;=99991231),INT(Sync!$AE670/10000),""),IFERROR(VALUE(TRIM(LEFT(Sync!$AE670,FIND("/",Sync!$AE670)-1))),""))))</f>
        <v/>
      </c>
      <c r="H670">
        <f>IF(OR($F670="",$G670=""),"",IF(ISNUMBER(Sync!$AE670),INT(MOD(Sync!$AE670,10000)/100),IFERROR(VALUE(TRIM(LEFT(MID(Sync!$AE670,FIND("/",Sync!$AE670)+1,20),FIND("/",MID(Sync!$AE670,FIND("/",Sync!$AE670)+1,20))-1))),"")))</f>
        <v/>
      </c>
      <c r="I670">
        <f>IF(OR($F670="",$G670=""),"",IF(ISNUMBER(Sync!$AE670),MOD(Sync!$AE670,100),IFERROR(VALUE(TRIM(MID(MID(Sync!$AE670,FIND("/",Sync!$AE670)+1,20),FIND("/",MID(Sync!$AE670,FIND("/",Sync!$AE670)+1,20))+1,20))),"")))</f>
        <v/>
      </c>
      <c r="J670">
        <f>IF($F670="","",IF(OR($G670="",$H670="",$I670="",$G670&lt;1300,$G670&gt;1500,$H670&lt;1,$H670&gt;12,$I670&lt;1,$I670&gt;31),"نامعتبر",RIGHT("0000"&amp;$G670,4)&amp;"/"&amp;RIGHT("00"&amp;$H670,2)&amp;"/"&amp;RIGHT("00"&amp;$I670,2)))</f>
        <v/>
      </c>
      <c r="K670">
        <f>IF(OR($F670="",$J670="",$J670="نامعتبر"),"",LEFT($J670,4)&amp;MID($J670,6,2)&amp;RIGHT($J670,2)&amp;$N670&amp;"|"&amp;"2"&amp;RIGHT("00000"&amp;665,5))</f>
        <v/>
      </c>
      <c r="L670">
        <f>IF($K670="","",COUNTIFS(LdgSellerA,$F670,LdgKeyA,"&lt;"&amp;$K670)+COUNTIFS(LdgSellerB,$F670,LdgKeyB,"&lt;"&amp;$K670)+1)</f>
        <v/>
      </c>
      <c r="M670">
        <f>IF($L670="","",$F670&amp;"|"&amp;RIGHT("000000"&amp;$L670,6))</f>
        <v/>
      </c>
      <c r="N670">
        <f>IF($F670="","",IF(Sync!$AF670="","0000",IF(AND(ISNUMBER(Sync!$AF670),Sync!$AF670&gt;=0,Sync!$AF670&lt;1),RIGHT("00"&amp;HOUR(Sync!$AF670),2)&amp;RIGHT("00"&amp;MINUTE(Sync!$AF670),2),IFERROR(RIGHT("00"&amp;VALUE(LEFT(Sync!$AF670,FIND(":",Sync!$AF670)-1)),2)&amp;RIGHT("00"&amp;VALUE(MID(Sync!$AF670,FIND(":",Sync!$AF670)+1,2)),2),"0000"))))</f>
        <v/>
      </c>
    </row>
    <row r="671">
      <c r="A671">
        <f>IF(OR(Calc!$E675="",Calc!$E675="نامعتبر",Calc!$G675=""),"",Calc!$G675)</f>
        <v/>
      </c>
      <c r="B671">
        <f>IF($A671="","",LEFT(Calc!$E675,4)&amp;MID(Calc!$E675,6,2)&amp;RIGHT(Calc!$E675,2)&amp;Calc!$Q675&amp;"|"&amp;"1"&amp;RIGHT("00000"&amp;666,5))</f>
        <v/>
      </c>
      <c r="C671">
        <f>IF($B671="","",COUNTIFS(LdgSellerA,$A671,LdgKeyA,"&lt;"&amp;$B671)+COUNTIFS(LdgSellerB,$A671,LdgKeyB,"&lt;"&amp;$B671)+1)</f>
        <v/>
      </c>
      <c r="D671">
        <f>IF($C671="","",$A671&amp;"|"&amp;RIGHT("000000"&amp;$C671,6))</f>
        <v/>
      </c>
      <c r="F671">
        <f>IF(Sync!$AH671="","",IF(LEFT(UPPER(TRIM(Sync!$AH671)),2)="SL",UPPER(TRIM(Sync!$AH671)),""))</f>
        <v/>
      </c>
      <c r="G671">
        <f>IF($F671="","",IF(Sync!$AE671="","",IF(ISNUMBER(Sync!$AE671),IF(AND(Sync!$AE671&gt;=10000101,Sync!$AE671&lt;=99991231),INT(Sync!$AE671/10000),""),IFERROR(VALUE(TRIM(LEFT(Sync!$AE671,FIND("/",Sync!$AE671)-1))),""))))</f>
        <v/>
      </c>
      <c r="H671">
        <f>IF(OR($F671="",$G671=""),"",IF(ISNUMBER(Sync!$AE671),INT(MOD(Sync!$AE671,10000)/100),IFERROR(VALUE(TRIM(LEFT(MID(Sync!$AE671,FIND("/",Sync!$AE671)+1,20),FIND("/",MID(Sync!$AE671,FIND("/",Sync!$AE671)+1,20))-1))),"")))</f>
        <v/>
      </c>
      <c r="I671">
        <f>IF(OR($F671="",$G671=""),"",IF(ISNUMBER(Sync!$AE671),MOD(Sync!$AE671,100),IFERROR(VALUE(TRIM(MID(MID(Sync!$AE671,FIND("/",Sync!$AE671)+1,20),FIND("/",MID(Sync!$AE671,FIND("/",Sync!$AE671)+1,20))+1,20))),"")))</f>
        <v/>
      </c>
      <c r="J671">
        <f>IF($F671="","",IF(OR($G671="",$H671="",$I671="",$G671&lt;1300,$G671&gt;1500,$H671&lt;1,$H671&gt;12,$I671&lt;1,$I671&gt;31),"نامعتبر",RIGHT("0000"&amp;$G671,4)&amp;"/"&amp;RIGHT("00"&amp;$H671,2)&amp;"/"&amp;RIGHT("00"&amp;$I671,2)))</f>
        <v/>
      </c>
      <c r="K671">
        <f>IF(OR($F671="",$J671="",$J671="نامعتبر"),"",LEFT($J671,4)&amp;MID($J671,6,2)&amp;RIGHT($J671,2)&amp;$N671&amp;"|"&amp;"2"&amp;RIGHT("00000"&amp;666,5))</f>
        <v/>
      </c>
      <c r="L671">
        <f>IF($K671="","",COUNTIFS(LdgSellerA,$F671,LdgKeyA,"&lt;"&amp;$K671)+COUNTIFS(LdgSellerB,$F671,LdgKeyB,"&lt;"&amp;$K671)+1)</f>
        <v/>
      </c>
      <c r="M671">
        <f>IF($L671="","",$F671&amp;"|"&amp;RIGHT("000000"&amp;$L671,6))</f>
        <v/>
      </c>
      <c r="N671">
        <f>IF($F671="","",IF(Sync!$AF671="","0000",IF(AND(ISNUMBER(Sync!$AF671),Sync!$AF671&gt;=0,Sync!$AF671&lt;1),RIGHT("00"&amp;HOUR(Sync!$AF671),2)&amp;RIGHT("00"&amp;MINUTE(Sync!$AF671),2),IFERROR(RIGHT("00"&amp;VALUE(LEFT(Sync!$AF671,FIND(":",Sync!$AF671)-1)),2)&amp;RIGHT("00"&amp;VALUE(MID(Sync!$AF671,FIND(":",Sync!$AF671)+1,2)),2),"0000"))))</f>
        <v/>
      </c>
    </row>
    <row r="672">
      <c r="A672">
        <f>IF(OR(Calc!$E676="",Calc!$E676="نامعتبر",Calc!$G676=""),"",Calc!$G676)</f>
        <v/>
      </c>
      <c r="B672">
        <f>IF($A672="","",LEFT(Calc!$E676,4)&amp;MID(Calc!$E676,6,2)&amp;RIGHT(Calc!$E676,2)&amp;Calc!$Q676&amp;"|"&amp;"1"&amp;RIGHT("00000"&amp;667,5))</f>
        <v/>
      </c>
      <c r="C672">
        <f>IF($B672="","",COUNTIFS(LdgSellerA,$A672,LdgKeyA,"&lt;"&amp;$B672)+COUNTIFS(LdgSellerB,$A672,LdgKeyB,"&lt;"&amp;$B672)+1)</f>
        <v/>
      </c>
      <c r="D672">
        <f>IF($C672="","",$A672&amp;"|"&amp;RIGHT("000000"&amp;$C672,6))</f>
        <v/>
      </c>
      <c r="F672">
        <f>IF(Sync!$AH672="","",IF(LEFT(UPPER(TRIM(Sync!$AH672)),2)="SL",UPPER(TRIM(Sync!$AH672)),""))</f>
        <v/>
      </c>
      <c r="G672">
        <f>IF($F672="","",IF(Sync!$AE672="","",IF(ISNUMBER(Sync!$AE672),IF(AND(Sync!$AE672&gt;=10000101,Sync!$AE672&lt;=99991231),INT(Sync!$AE672/10000),""),IFERROR(VALUE(TRIM(LEFT(Sync!$AE672,FIND("/",Sync!$AE672)-1))),""))))</f>
        <v/>
      </c>
      <c r="H672">
        <f>IF(OR($F672="",$G672=""),"",IF(ISNUMBER(Sync!$AE672),INT(MOD(Sync!$AE672,10000)/100),IFERROR(VALUE(TRIM(LEFT(MID(Sync!$AE672,FIND("/",Sync!$AE672)+1,20),FIND("/",MID(Sync!$AE672,FIND("/",Sync!$AE672)+1,20))-1))),"")))</f>
        <v/>
      </c>
      <c r="I672">
        <f>IF(OR($F672="",$G672=""),"",IF(ISNUMBER(Sync!$AE672),MOD(Sync!$AE672,100),IFERROR(VALUE(TRIM(MID(MID(Sync!$AE672,FIND("/",Sync!$AE672)+1,20),FIND("/",MID(Sync!$AE672,FIND("/",Sync!$AE672)+1,20))+1,20))),"")))</f>
        <v/>
      </c>
      <c r="J672">
        <f>IF($F672="","",IF(OR($G672="",$H672="",$I672="",$G672&lt;1300,$G672&gt;1500,$H672&lt;1,$H672&gt;12,$I672&lt;1,$I672&gt;31),"نامعتبر",RIGHT("0000"&amp;$G672,4)&amp;"/"&amp;RIGHT("00"&amp;$H672,2)&amp;"/"&amp;RIGHT("00"&amp;$I672,2)))</f>
        <v/>
      </c>
      <c r="K672">
        <f>IF(OR($F672="",$J672="",$J672="نامعتبر"),"",LEFT($J672,4)&amp;MID($J672,6,2)&amp;RIGHT($J672,2)&amp;$N672&amp;"|"&amp;"2"&amp;RIGHT("00000"&amp;667,5))</f>
        <v/>
      </c>
      <c r="L672">
        <f>IF($K672="","",COUNTIFS(LdgSellerA,$F672,LdgKeyA,"&lt;"&amp;$K672)+COUNTIFS(LdgSellerB,$F672,LdgKeyB,"&lt;"&amp;$K672)+1)</f>
        <v/>
      </c>
      <c r="M672">
        <f>IF($L672="","",$F672&amp;"|"&amp;RIGHT("000000"&amp;$L672,6))</f>
        <v/>
      </c>
      <c r="N672">
        <f>IF($F672="","",IF(Sync!$AF672="","0000",IF(AND(ISNUMBER(Sync!$AF672),Sync!$AF672&gt;=0,Sync!$AF672&lt;1),RIGHT("00"&amp;HOUR(Sync!$AF672),2)&amp;RIGHT("00"&amp;MINUTE(Sync!$AF672),2),IFERROR(RIGHT("00"&amp;VALUE(LEFT(Sync!$AF672,FIND(":",Sync!$AF672)-1)),2)&amp;RIGHT("00"&amp;VALUE(MID(Sync!$AF672,FIND(":",Sync!$AF672)+1,2)),2),"0000"))))</f>
        <v/>
      </c>
    </row>
    <row r="673">
      <c r="A673">
        <f>IF(OR(Calc!$E677="",Calc!$E677="نامعتبر",Calc!$G677=""),"",Calc!$G677)</f>
        <v/>
      </c>
      <c r="B673">
        <f>IF($A673="","",LEFT(Calc!$E677,4)&amp;MID(Calc!$E677,6,2)&amp;RIGHT(Calc!$E677,2)&amp;Calc!$Q677&amp;"|"&amp;"1"&amp;RIGHT("00000"&amp;668,5))</f>
        <v/>
      </c>
      <c r="C673">
        <f>IF($B673="","",COUNTIFS(LdgSellerA,$A673,LdgKeyA,"&lt;"&amp;$B673)+COUNTIFS(LdgSellerB,$A673,LdgKeyB,"&lt;"&amp;$B673)+1)</f>
        <v/>
      </c>
      <c r="D673">
        <f>IF($C673="","",$A673&amp;"|"&amp;RIGHT("000000"&amp;$C673,6))</f>
        <v/>
      </c>
      <c r="F673">
        <f>IF(Sync!$AH673="","",IF(LEFT(UPPER(TRIM(Sync!$AH673)),2)="SL",UPPER(TRIM(Sync!$AH673)),""))</f>
        <v/>
      </c>
      <c r="G673">
        <f>IF($F673="","",IF(Sync!$AE673="","",IF(ISNUMBER(Sync!$AE673),IF(AND(Sync!$AE673&gt;=10000101,Sync!$AE673&lt;=99991231),INT(Sync!$AE673/10000),""),IFERROR(VALUE(TRIM(LEFT(Sync!$AE673,FIND("/",Sync!$AE673)-1))),""))))</f>
        <v/>
      </c>
      <c r="H673">
        <f>IF(OR($F673="",$G673=""),"",IF(ISNUMBER(Sync!$AE673),INT(MOD(Sync!$AE673,10000)/100),IFERROR(VALUE(TRIM(LEFT(MID(Sync!$AE673,FIND("/",Sync!$AE673)+1,20),FIND("/",MID(Sync!$AE673,FIND("/",Sync!$AE673)+1,20))-1))),"")))</f>
        <v/>
      </c>
      <c r="I673">
        <f>IF(OR($F673="",$G673=""),"",IF(ISNUMBER(Sync!$AE673),MOD(Sync!$AE673,100),IFERROR(VALUE(TRIM(MID(MID(Sync!$AE673,FIND("/",Sync!$AE673)+1,20),FIND("/",MID(Sync!$AE673,FIND("/",Sync!$AE673)+1,20))+1,20))),"")))</f>
        <v/>
      </c>
      <c r="J673">
        <f>IF($F673="","",IF(OR($G673="",$H673="",$I673="",$G673&lt;1300,$G673&gt;1500,$H673&lt;1,$H673&gt;12,$I673&lt;1,$I673&gt;31),"نامعتبر",RIGHT("0000"&amp;$G673,4)&amp;"/"&amp;RIGHT("00"&amp;$H673,2)&amp;"/"&amp;RIGHT("00"&amp;$I673,2)))</f>
        <v/>
      </c>
      <c r="K673">
        <f>IF(OR($F673="",$J673="",$J673="نامعتبر"),"",LEFT($J673,4)&amp;MID($J673,6,2)&amp;RIGHT($J673,2)&amp;$N673&amp;"|"&amp;"2"&amp;RIGHT("00000"&amp;668,5))</f>
        <v/>
      </c>
      <c r="L673">
        <f>IF($K673="","",COUNTIFS(LdgSellerA,$F673,LdgKeyA,"&lt;"&amp;$K673)+COUNTIFS(LdgSellerB,$F673,LdgKeyB,"&lt;"&amp;$K673)+1)</f>
        <v/>
      </c>
      <c r="M673">
        <f>IF($L673="","",$F673&amp;"|"&amp;RIGHT("000000"&amp;$L673,6))</f>
        <v/>
      </c>
      <c r="N673">
        <f>IF($F673="","",IF(Sync!$AF673="","0000",IF(AND(ISNUMBER(Sync!$AF673),Sync!$AF673&gt;=0,Sync!$AF673&lt;1),RIGHT("00"&amp;HOUR(Sync!$AF673),2)&amp;RIGHT("00"&amp;MINUTE(Sync!$AF673),2),IFERROR(RIGHT("00"&amp;VALUE(LEFT(Sync!$AF673,FIND(":",Sync!$AF673)-1)),2)&amp;RIGHT("00"&amp;VALUE(MID(Sync!$AF673,FIND(":",Sync!$AF673)+1,2)),2),"0000"))))</f>
        <v/>
      </c>
    </row>
    <row r="674">
      <c r="A674">
        <f>IF(OR(Calc!$E678="",Calc!$E678="نامعتبر",Calc!$G678=""),"",Calc!$G678)</f>
        <v/>
      </c>
      <c r="B674">
        <f>IF($A674="","",LEFT(Calc!$E678,4)&amp;MID(Calc!$E678,6,2)&amp;RIGHT(Calc!$E678,2)&amp;Calc!$Q678&amp;"|"&amp;"1"&amp;RIGHT("00000"&amp;669,5))</f>
        <v/>
      </c>
      <c r="C674">
        <f>IF($B674="","",COUNTIFS(LdgSellerA,$A674,LdgKeyA,"&lt;"&amp;$B674)+COUNTIFS(LdgSellerB,$A674,LdgKeyB,"&lt;"&amp;$B674)+1)</f>
        <v/>
      </c>
      <c r="D674">
        <f>IF($C674="","",$A674&amp;"|"&amp;RIGHT("000000"&amp;$C674,6))</f>
        <v/>
      </c>
      <c r="F674">
        <f>IF(Sync!$AH674="","",IF(LEFT(UPPER(TRIM(Sync!$AH674)),2)="SL",UPPER(TRIM(Sync!$AH674)),""))</f>
        <v/>
      </c>
      <c r="G674">
        <f>IF($F674="","",IF(Sync!$AE674="","",IF(ISNUMBER(Sync!$AE674),IF(AND(Sync!$AE674&gt;=10000101,Sync!$AE674&lt;=99991231),INT(Sync!$AE674/10000),""),IFERROR(VALUE(TRIM(LEFT(Sync!$AE674,FIND("/",Sync!$AE674)-1))),""))))</f>
        <v/>
      </c>
      <c r="H674">
        <f>IF(OR($F674="",$G674=""),"",IF(ISNUMBER(Sync!$AE674),INT(MOD(Sync!$AE674,10000)/100),IFERROR(VALUE(TRIM(LEFT(MID(Sync!$AE674,FIND("/",Sync!$AE674)+1,20),FIND("/",MID(Sync!$AE674,FIND("/",Sync!$AE674)+1,20))-1))),"")))</f>
        <v/>
      </c>
      <c r="I674">
        <f>IF(OR($F674="",$G674=""),"",IF(ISNUMBER(Sync!$AE674),MOD(Sync!$AE674,100),IFERROR(VALUE(TRIM(MID(MID(Sync!$AE674,FIND("/",Sync!$AE674)+1,20),FIND("/",MID(Sync!$AE674,FIND("/",Sync!$AE674)+1,20))+1,20))),"")))</f>
        <v/>
      </c>
      <c r="J674">
        <f>IF($F674="","",IF(OR($G674="",$H674="",$I674="",$G674&lt;1300,$G674&gt;1500,$H674&lt;1,$H674&gt;12,$I674&lt;1,$I674&gt;31),"نامعتبر",RIGHT("0000"&amp;$G674,4)&amp;"/"&amp;RIGHT("00"&amp;$H674,2)&amp;"/"&amp;RIGHT("00"&amp;$I674,2)))</f>
        <v/>
      </c>
      <c r="K674">
        <f>IF(OR($F674="",$J674="",$J674="نامعتبر"),"",LEFT($J674,4)&amp;MID($J674,6,2)&amp;RIGHT($J674,2)&amp;$N674&amp;"|"&amp;"2"&amp;RIGHT("00000"&amp;669,5))</f>
        <v/>
      </c>
      <c r="L674">
        <f>IF($K674="","",COUNTIFS(LdgSellerA,$F674,LdgKeyA,"&lt;"&amp;$K674)+COUNTIFS(LdgSellerB,$F674,LdgKeyB,"&lt;"&amp;$K674)+1)</f>
        <v/>
      </c>
      <c r="M674">
        <f>IF($L674="","",$F674&amp;"|"&amp;RIGHT("000000"&amp;$L674,6))</f>
        <v/>
      </c>
      <c r="N674">
        <f>IF($F674="","",IF(Sync!$AF674="","0000",IF(AND(ISNUMBER(Sync!$AF674),Sync!$AF674&gt;=0,Sync!$AF674&lt;1),RIGHT("00"&amp;HOUR(Sync!$AF674),2)&amp;RIGHT("00"&amp;MINUTE(Sync!$AF674),2),IFERROR(RIGHT("00"&amp;VALUE(LEFT(Sync!$AF674,FIND(":",Sync!$AF674)-1)),2)&amp;RIGHT("00"&amp;VALUE(MID(Sync!$AF674,FIND(":",Sync!$AF674)+1,2)),2),"0000"))))</f>
        <v/>
      </c>
    </row>
    <row r="675">
      <c r="A675">
        <f>IF(OR(Calc!$E679="",Calc!$E679="نامعتبر",Calc!$G679=""),"",Calc!$G679)</f>
        <v/>
      </c>
      <c r="B675">
        <f>IF($A675="","",LEFT(Calc!$E679,4)&amp;MID(Calc!$E679,6,2)&amp;RIGHT(Calc!$E679,2)&amp;Calc!$Q679&amp;"|"&amp;"1"&amp;RIGHT("00000"&amp;670,5))</f>
        <v/>
      </c>
      <c r="C675">
        <f>IF($B675="","",COUNTIFS(LdgSellerA,$A675,LdgKeyA,"&lt;"&amp;$B675)+COUNTIFS(LdgSellerB,$A675,LdgKeyB,"&lt;"&amp;$B675)+1)</f>
        <v/>
      </c>
      <c r="D675">
        <f>IF($C675="","",$A675&amp;"|"&amp;RIGHT("000000"&amp;$C675,6))</f>
        <v/>
      </c>
      <c r="F675">
        <f>IF(Sync!$AH675="","",IF(LEFT(UPPER(TRIM(Sync!$AH675)),2)="SL",UPPER(TRIM(Sync!$AH675)),""))</f>
        <v/>
      </c>
      <c r="G675">
        <f>IF($F675="","",IF(Sync!$AE675="","",IF(ISNUMBER(Sync!$AE675),IF(AND(Sync!$AE675&gt;=10000101,Sync!$AE675&lt;=99991231),INT(Sync!$AE675/10000),""),IFERROR(VALUE(TRIM(LEFT(Sync!$AE675,FIND("/",Sync!$AE675)-1))),""))))</f>
        <v/>
      </c>
      <c r="H675">
        <f>IF(OR($F675="",$G675=""),"",IF(ISNUMBER(Sync!$AE675),INT(MOD(Sync!$AE675,10000)/100),IFERROR(VALUE(TRIM(LEFT(MID(Sync!$AE675,FIND("/",Sync!$AE675)+1,20),FIND("/",MID(Sync!$AE675,FIND("/",Sync!$AE675)+1,20))-1))),"")))</f>
        <v/>
      </c>
      <c r="I675">
        <f>IF(OR($F675="",$G675=""),"",IF(ISNUMBER(Sync!$AE675),MOD(Sync!$AE675,100),IFERROR(VALUE(TRIM(MID(MID(Sync!$AE675,FIND("/",Sync!$AE675)+1,20),FIND("/",MID(Sync!$AE675,FIND("/",Sync!$AE675)+1,20))+1,20))),"")))</f>
        <v/>
      </c>
      <c r="J675">
        <f>IF($F675="","",IF(OR($G675="",$H675="",$I675="",$G675&lt;1300,$G675&gt;1500,$H675&lt;1,$H675&gt;12,$I675&lt;1,$I675&gt;31),"نامعتبر",RIGHT("0000"&amp;$G675,4)&amp;"/"&amp;RIGHT("00"&amp;$H675,2)&amp;"/"&amp;RIGHT("00"&amp;$I675,2)))</f>
        <v/>
      </c>
      <c r="K675">
        <f>IF(OR($F675="",$J675="",$J675="نامعتبر"),"",LEFT($J675,4)&amp;MID($J675,6,2)&amp;RIGHT($J675,2)&amp;$N675&amp;"|"&amp;"2"&amp;RIGHT("00000"&amp;670,5))</f>
        <v/>
      </c>
      <c r="L675">
        <f>IF($K675="","",COUNTIFS(LdgSellerA,$F675,LdgKeyA,"&lt;"&amp;$K675)+COUNTIFS(LdgSellerB,$F675,LdgKeyB,"&lt;"&amp;$K675)+1)</f>
        <v/>
      </c>
      <c r="M675">
        <f>IF($L675="","",$F675&amp;"|"&amp;RIGHT("000000"&amp;$L675,6))</f>
        <v/>
      </c>
      <c r="N675">
        <f>IF($F675="","",IF(Sync!$AF675="","0000",IF(AND(ISNUMBER(Sync!$AF675),Sync!$AF675&gt;=0,Sync!$AF675&lt;1),RIGHT("00"&amp;HOUR(Sync!$AF675),2)&amp;RIGHT("00"&amp;MINUTE(Sync!$AF675),2),IFERROR(RIGHT("00"&amp;VALUE(LEFT(Sync!$AF675,FIND(":",Sync!$AF675)-1)),2)&amp;RIGHT("00"&amp;VALUE(MID(Sync!$AF675,FIND(":",Sync!$AF675)+1,2)),2),"0000"))))</f>
        <v/>
      </c>
    </row>
    <row r="676">
      <c r="A676">
        <f>IF(OR(Calc!$E680="",Calc!$E680="نامعتبر",Calc!$G680=""),"",Calc!$G680)</f>
        <v/>
      </c>
      <c r="B676">
        <f>IF($A676="","",LEFT(Calc!$E680,4)&amp;MID(Calc!$E680,6,2)&amp;RIGHT(Calc!$E680,2)&amp;Calc!$Q680&amp;"|"&amp;"1"&amp;RIGHT("00000"&amp;671,5))</f>
        <v/>
      </c>
      <c r="C676">
        <f>IF($B676="","",COUNTIFS(LdgSellerA,$A676,LdgKeyA,"&lt;"&amp;$B676)+COUNTIFS(LdgSellerB,$A676,LdgKeyB,"&lt;"&amp;$B676)+1)</f>
        <v/>
      </c>
      <c r="D676">
        <f>IF($C676="","",$A676&amp;"|"&amp;RIGHT("000000"&amp;$C676,6))</f>
        <v/>
      </c>
      <c r="F676">
        <f>IF(Sync!$AH676="","",IF(LEFT(UPPER(TRIM(Sync!$AH676)),2)="SL",UPPER(TRIM(Sync!$AH676)),""))</f>
        <v/>
      </c>
      <c r="G676">
        <f>IF($F676="","",IF(Sync!$AE676="","",IF(ISNUMBER(Sync!$AE676),IF(AND(Sync!$AE676&gt;=10000101,Sync!$AE676&lt;=99991231),INT(Sync!$AE676/10000),""),IFERROR(VALUE(TRIM(LEFT(Sync!$AE676,FIND("/",Sync!$AE676)-1))),""))))</f>
        <v/>
      </c>
      <c r="H676">
        <f>IF(OR($F676="",$G676=""),"",IF(ISNUMBER(Sync!$AE676),INT(MOD(Sync!$AE676,10000)/100),IFERROR(VALUE(TRIM(LEFT(MID(Sync!$AE676,FIND("/",Sync!$AE676)+1,20),FIND("/",MID(Sync!$AE676,FIND("/",Sync!$AE676)+1,20))-1))),"")))</f>
        <v/>
      </c>
      <c r="I676">
        <f>IF(OR($F676="",$G676=""),"",IF(ISNUMBER(Sync!$AE676),MOD(Sync!$AE676,100),IFERROR(VALUE(TRIM(MID(MID(Sync!$AE676,FIND("/",Sync!$AE676)+1,20),FIND("/",MID(Sync!$AE676,FIND("/",Sync!$AE676)+1,20))+1,20))),"")))</f>
        <v/>
      </c>
      <c r="J676">
        <f>IF($F676="","",IF(OR($G676="",$H676="",$I676="",$G676&lt;1300,$G676&gt;1500,$H676&lt;1,$H676&gt;12,$I676&lt;1,$I676&gt;31),"نامعتبر",RIGHT("0000"&amp;$G676,4)&amp;"/"&amp;RIGHT("00"&amp;$H676,2)&amp;"/"&amp;RIGHT("00"&amp;$I676,2)))</f>
        <v/>
      </c>
      <c r="K676">
        <f>IF(OR($F676="",$J676="",$J676="نامعتبر"),"",LEFT($J676,4)&amp;MID($J676,6,2)&amp;RIGHT($J676,2)&amp;$N676&amp;"|"&amp;"2"&amp;RIGHT("00000"&amp;671,5))</f>
        <v/>
      </c>
      <c r="L676">
        <f>IF($K676="","",COUNTIFS(LdgSellerA,$F676,LdgKeyA,"&lt;"&amp;$K676)+COUNTIFS(LdgSellerB,$F676,LdgKeyB,"&lt;"&amp;$K676)+1)</f>
        <v/>
      </c>
      <c r="M676">
        <f>IF($L676="","",$F676&amp;"|"&amp;RIGHT("000000"&amp;$L676,6))</f>
        <v/>
      </c>
      <c r="N676">
        <f>IF($F676="","",IF(Sync!$AF676="","0000",IF(AND(ISNUMBER(Sync!$AF676),Sync!$AF676&gt;=0,Sync!$AF676&lt;1),RIGHT("00"&amp;HOUR(Sync!$AF676),2)&amp;RIGHT("00"&amp;MINUTE(Sync!$AF676),2),IFERROR(RIGHT("00"&amp;VALUE(LEFT(Sync!$AF676,FIND(":",Sync!$AF676)-1)),2)&amp;RIGHT("00"&amp;VALUE(MID(Sync!$AF676,FIND(":",Sync!$AF676)+1,2)),2),"0000"))))</f>
        <v/>
      </c>
    </row>
    <row r="677">
      <c r="A677">
        <f>IF(OR(Calc!$E681="",Calc!$E681="نامعتبر",Calc!$G681=""),"",Calc!$G681)</f>
        <v/>
      </c>
      <c r="B677">
        <f>IF($A677="","",LEFT(Calc!$E681,4)&amp;MID(Calc!$E681,6,2)&amp;RIGHT(Calc!$E681,2)&amp;Calc!$Q681&amp;"|"&amp;"1"&amp;RIGHT("00000"&amp;672,5))</f>
        <v/>
      </c>
      <c r="C677">
        <f>IF($B677="","",COUNTIFS(LdgSellerA,$A677,LdgKeyA,"&lt;"&amp;$B677)+COUNTIFS(LdgSellerB,$A677,LdgKeyB,"&lt;"&amp;$B677)+1)</f>
        <v/>
      </c>
      <c r="D677">
        <f>IF($C677="","",$A677&amp;"|"&amp;RIGHT("000000"&amp;$C677,6))</f>
        <v/>
      </c>
      <c r="F677">
        <f>IF(Sync!$AH677="","",IF(LEFT(UPPER(TRIM(Sync!$AH677)),2)="SL",UPPER(TRIM(Sync!$AH677)),""))</f>
        <v/>
      </c>
      <c r="G677">
        <f>IF($F677="","",IF(Sync!$AE677="","",IF(ISNUMBER(Sync!$AE677),IF(AND(Sync!$AE677&gt;=10000101,Sync!$AE677&lt;=99991231),INT(Sync!$AE677/10000),""),IFERROR(VALUE(TRIM(LEFT(Sync!$AE677,FIND("/",Sync!$AE677)-1))),""))))</f>
        <v/>
      </c>
      <c r="H677">
        <f>IF(OR($F677="",$G677=""),"",IF(ISNUMBER(Sync!$AE677),INT(MOD(Sync!$AE677,10000)/100),IFERROR(VALUE(TRIM(LEFT(MID(Sync!$AE677,FIND("/",Sync!$AE677)+1,20),FIND("/",MID(Sync!$AE677,FIND("/",Sync!$AE677)+1,20))-1))),"")))</f>
        <v/>
      </c>
      <c r="I677">
        <f>IF(OR($F677="",$G677=""),"",IF(ISNUMBER(Sync!$AE677),MOD(Sync!$AE677,100),IFERROR(VALUE(TRIM(MID(MID(Sync!$AE677,FIND("/",Sync!$AE677)+1,20),FIND("/",MID(Sync!$AE677,FIND("/",Sync!$AE677)+1,20))+1,20))),"")))</f>
        <v/>
      </c>
      <c r="J677">
        <f>IF($F677="","",IF(OR($G677="",$H677="",$I677="",$G677&lt;1300,$G677&gt;1500,$H677&lt;1,$H677&gt;12,$I677&lt;1,$I677&gt;31),"نامعتبر",RIGHT("0000"&amp;$G677,4)&amp;"/"&amp;RIGHT("00"&amp;$H677,2)&amp;"/"&amp;RIGHT("00"&amp;$I677,2)))</f>
        <v/>
      </c>
      <c r="K677">
        <f>IF(OR($F677="",$J677="",$J677="نامعتبر"),"",LEFT($J677,4)&amp;MID($J677,6,2)&amp;RIGHT($J677,2)&amp;$N677&amp;"|"&amp;"2"&amp;RIGHT("00000"&amp;672,5))</f>
        <v/>
      </c>
      <c r="L677">
        <f>IF($K677="","",COUNTIFS(LdgSellerA,$F677,LdgKeyA,"&lt;"&amp;$K677)+COUNTIFS(LdgSellerB,$F677,LdgKeyB,"&lt;"&amp;$K677)+1)</f>
        <v/>
      </c>
      <c r="M677">
        <f>IF($L677="","",$F677&amp;"|"&amp;RIGHT("000000"&amp;$L677,6))</f>
        <v/>
      </c>
      <c r="N677">
        <f>IF($F677="","",IF(Sync!$AF677="","0000",IF(AND(ISNUMBER(Sync!$AF677),Sync!$AF677&gt;=0,Sync!$AF677&lt;1),RIGHT("00"&amp;HOUR(Sync!$AF677),2)&amp;RIGHT("00"&amp;MINUTE(Sync!$AF677),2),IFERROR(RIGHT("00"&amp;VALUE(LEFT(Sync!$AF677,FIND(":",Sync!$AF677)-1)),2)&amp;RIGHT("00"&amp;VALUE(MID(Sync!$AF677,FIND(":",Sync!$AF677)+1,2)),2),"0000"))))</f>
        <v/>
      </c>
    </row>
    <row r="678">
      <c r="A678">
        <f>IF(OR(Calc!$E682="",Calc!$E682="نامعتبر",Calc!$G682=""),"",Calc!$G682)</f>
        <v/>
      </c>
      <c r="B678">
        <f>IF($A678="","",LEFT(Calc!$E682,4)&amp;MID(Calc!$E682,6,2)&amp;RIGHT(Calc!$E682,2)&amp;Calc!$Q682&amp;"|"&amp;"1"&amp;RIGHT("00000"&amp;673,5))</f>
        <v/>
      </c>
      <c r="C678">
        <f>IF($B678="","",COUNTIFS(LdgSellerA,$A678,LdgKeyA,"&lt;"&amp;$B678)+COUNTIFS(LdgSellerB,$A678,LdgKeyB,"&lt;"&amp;$B678)+1)</f>
        <v/>
      </c>
      <c r="D678">
        <f>IF($C678="","",$A678&amp;"|"&amp;RIGHT("000000"&amp;$C678,6))</f>
        <v/>
      </c>
      <c r="F678">
        <f>IF(Sync!$AH678="","",IF(LEFT(UPPER(TRIM(Sync!$AH678)),2)="SL",UPPER(TRIM(Sync!$AH678)),""))</f>
        <v/>
      </c>
      <c r="G678">
        <f>IF($F678="","",IF(Sync!$AE678="","",IF(ISNUMBER(Sync!$AE678),IF(AND(Sync!$AE678&gt;=10000101,Sync!$AE678&lt;=99991231),INT(Sync!$AE678/10000),""),IFERROR(VALUE(TRIM(LEFT(Sync!$AE678,FIND("/",Sync!$AE678)-1))),""))))</f>
        <v/>
      </c>
      <c r="H678">
        <f>IF(OR($F678="",$G678=""),"",IF(ISNUMBER(Sync!$AE678),INT(MOD(Sync!$AE678,10000)/100),IFERROR(VALUE(TRIM(LEFT(MID(Sync!$AE678,FIND("/",Sync!$AE678)+1,20),FIND("/",MID(Sync!$AE678,FIND("/",Sync!$AE678)+1,20))-1))),"")))</f>
        <v/>
      </c>
      <c r="I678">
        <f>IF(OR($F678="",$G678=""),"",IF(ISNUMBER(Sync!$AE678),MOD(Sync!$AE678,100),IFERROR(VALUE(TRIM(MID(MID(Sync!$AE678,FIND("/",Sync!$AE678)+1,20),FIND("/",MID(Sync!$AE678,FIND("/",Sync!$AE678)+1,20))+1,20))),"")))</f>
        <v/>
      </c>
      <c r="J678">
        <f>IF($F678="","",IF(OR($G678="",$H678="",$I678="",$G678&lt;1300,$G678&gt;1500,$H678&lt;1,$H678&gt;12,$I678&lt;1,$I678&gt;31),"نامعتبر",RIGHT("0000"&amp;$G678,4)&amp;"/"&amp;RIGHT("00"&amp;$H678,2)&amp;"/"&amp;RIGHT("00"&amp;$I678,2)))</f>
        <v/>
      </c>
      <c r="K678">
        <f>IF(OR($F678="",$J678="",$J678="نامعتبر"),"",LEFT($J678,4)&amp;MID($J678,6,2)&amp;RIGHT($J678,2)&amp;$N678&amp;"|"&amp;"2"&amp;RIGHT("00000"&amp;673,5))</f>
        <v/>
      </c>
      <c r="L678">
        <f>IF($K678="","",COUNTIFS(LdgSellerA,$F678,LdgKeyA,"&lt;"&amp;$K678)+COUNTIFS(LdgSellerB,$F678,LdgKeyB,"&lt;"&amp;$K678)+1)</f>
        <v/>
      </c>
      <c r="M678">
        <f>IF($L678="","",$F678&amp;"|"&amp;RIGHT("000000"&amp;$L678,6))</f>
        <v/>
      </c>
      <c r="N678">
        <f>IF($F678="","",IF(Sync!$AF678="","0000",IF(AND(ISNUMBER(Sync!$AF678),Sync!$AF678&gt;=0,Sync!$AF678&lt;1),RIGHT("00"&amp;HOUR(Sync!$AF678),2)&amp;RIGHT("00"&amp;MINUTE(Sync!$AF678),2),IFERROR(RIGHT("00"&amp;VALUE(LEFT(Sync!$AF678,FIND(":",Sync!$AF678)-1)),2)&amp;RIGHT("00"&amp;VALUE(MID(Sync!$AF678,FIND(":",Sync!$AF678)+1,2)),2),"0000"))))</f>
        <v/>
      </c>
    </row>
    <row r="679">
      <c r="A679">
        <f>IF(OR(Calc!$E683="",Calc!$E683="نامعتبر",Calc!$G683=""),"",Calc!$G683)</f>
        <v/>
      </c>
      <c r="B679">
        <f>IF($A679="","",LEFT(Calc!$E683,4)&amp;MID(Calc!$E683,6,2)&amp;RIGHT(Calc!$E683,2)&amp;Calc!$Q683&amp;"|"&amp;"1"&amp;RIGHT("00000"&amp;674,5))</f>
        <v/>
      </c>
      <c r="C679">
        <f>IF($B679="","",COUNTIFS(LdgSellerA,$A679,LdgKeyA,"&lt;"&amp;$B679)+COUNTIFS(LdgSellerB,$A679,LdgKeyB,"&lt;"&amp;$B679)+1)</f>
        <v/>
      </c>
      <c r="D679">
        <f>IF($C679="","",$A679&amp;"|"&amp;RIGHT("000000"&amp;$C679,6))</f>
        <v/>
      </c>
      <c r="F679">
        <f>IF(Sync!$AH679="","",IF(LEFT(UPPER(TRIM(Sync!$AH679)),2)="SL",UPPER(TRIM(Sync!$AH679)),""))</f>
        <v/>
      </c>
      <c r="G679">
        <f>IF($F679="","",IF(Sync!$AE679="","",IF(ISNUMBER(Sync!$AE679),IF(AND(Sync!$AE679&gt;=10000101,Sync!$AE679&lt;=99991231),INT(Sync!$AE679/10000),""),IFERROR(VALUE(TRIM(LEFT(Sync!$AE679,FIND("/",Sync!$AE679)-1))),""))))</f>
        <v/>
      </c>
      <c r="H679">
        <f>IF(OR($F679="",$G679=""),"",IF(ISNUMBER(Sync!$AE679),INT(MOD(Sync!$AE679,10000)/100),IFERROR(VALUE(TRIM(LEFT(MID(Sync!$AE679,FIND("/",Sync!$AE679)+1,20),FIND("/",MID(Sync!$AE679,FIND("/",Sync!$AE679)+1,20))-1))),"")))</f>
        <v/>
      </c>
      <c r="I679">
        <f>IF(OR($F679="",$G679=""),"",IF(ISNUMBER(Sync!$AE679),MOD(Sync!$AE679,100),IFERROR(VALUE(TRIM(MID(MID(Sync!$AE679,FIND("/",Sync!$AE679)+1,20),FIND("/",MID(Sync!$AE679,FIND("/",Sync!$AE679)+1,20))+1,20))),"")))</f>
        <v/>
      </c>
      <c r="J679">
        <f>IF($F679="","",IF(OR($G679="",$H679="",$I679="",$G679&lt;1300,$G679&gt;1500,$H679&lt;1,$H679&gt;12,$I679&lt;1,$I679&gt;31),"نامعتبر",RIGHT("0000"&amp;$G679,4)&amp;"/"&amp;RIGHT("00"&amp;$H679,2)&amp;"/"&amp;RIGHT("00"&amp;$I679,2)))</f>
        <v/>
      </c>
      <c r="K679">
        <f>IF(OR($F679="",$J679="",$J679="نامعتبر"),"",LEFT($J679,4)&amp;MID($J679,6,2)&amp;RIGHT($J679,2)&amp;$N679&amp;"|"&amp;"2"&amp;RIGHT("00000"&amp;674,5))</f>
        <v/>
      </c>
      <c r="L679">
        <f>IF($K679="","",COUNTIFS(LdgSellerA,$F679,LdgKeyA,"&lt;"&amp;$K679)+COUNTIFS(LdgSellerB,$F679,LdgKeyB,"&lt;"&amp;$K679)+1)</f>
        <v/>
      </c>
      <c r="M679">
        <f>IF($L679="","",$F679&amp;"|"&amp;RIGHT("000000"&amp;$L679,6))</f>
        <v/>
      </c>
      <c r="N679">
        <f>IF($F679="","",IF(Sync!$AF679="","0000",IF(AND(ISNUMBER(Sync!$AF679),Sync!$AF679&gt;=0,Sync!$AF679&lt;1),RIGHT("00"&amp;HOUR(Sync!$AF679),2)&amp;RIGHT("00"&amp;MINUTE(Sync!$AF679),2),IFERROR(RIGHT("00"&amp;VALUE(LEFT(Sync!$AF679,FIND(":",Sync!$AF679)-1)),2)&amp;RIGHT("00"&amp;VALUE(MID(Sync!$AF679,FIND(":",Sync!$AF679)+1,2)),2),"0000"))))</f>
        <v/>
      </c>
    </row>
    <row r="680">
      <c r="A680">
        <f>IF(OR(Calc!$E684="",Calc!$E684="نامعتبر",Calc!$G684=""),"",Calc!$G684)</f>
        <v/>
      </c>
      <c r="B680">
        <f>IF($A680="","",LEFT(Calc!$E684,4)&amp;MID(Calc!$E684,6,2)&amp;RIGHT(Calc!$E684,2)&amp;Calc!$Q684&amp;"|"&amp;"1"&amp;RIGHT("00000"&amp;675,5))</f>
        <v/>
      </c>
      <c r="C680">
        <f>IF($B680="","",COUNTIFS(LdgSellerA,$A680,LdgKeyA,"&lt;"&amp;$B680)+COUNTIFS(LdgSellerB,$A680,LdgKeyB,"&lt;"&amp;$B680)+1)</f>
        <v/>
      </c>
      <c r="D680">
        <f>IF($C680="","",$A680&amp;"|"&amp;RIGHT("000000"&amp;$C680,6))</f>
        <v/>
      </c>
      <c r="F680">
        <f>IF(Sync!$AH680="","",IF(LEFT(UPPER(TRIM(Sync!$AH680)),2)="SL",UPPER(TRIM(Sync!$AH680)),""))</f>
        <v/>
      </c>
      <c r="G680">
        <f>IF($F680="","",IF(Sync!$AE680="","",IF(ISNUMBER(Sync!$AE680),IF(AND(Sync!$AE680&gt;=10000101,Sync!$AE680&lt;=99991231),INT(Sync!$AE680/10000),""),IFERROR(VALUE(TRIM(LEFT(Sync!$AE680,FIND("/",Sync!$AE680)-1))),""))))</f>
        <v/>
      </c>
      <c r="H680">
        <f>IF(OR($F680="",$G680=""),"",IF(ISNUMBER(Sync!$AE680),INT(MOD(Sync!$AE680,10000)/100),IFERROR(VALUE(TRIM(LEFT(MID(Sync!$AE680,FIND("/",Sync!$AE680)+1,20),FIND("/",MID(Sync!$AE680,FIND("/",Sync!$AE680)+1,20))-1))),"")))</f>
        <v/>
      </c>
      <c r="I680">
        <f>IF(OR($F680="",$G680=""),"",IF(ISNUMBER(Sync!$AE680),MOD(Sync!$AE680,100),IFERROR(VALUE(TRIM(MID(MID(Sync!$AE680,FIND("/",Sync!$AE680)+1,20),FIND("/",MID(Sync!$AE680,FIND("/",Sync!$AE680)+1,20))+1,20))),"")))</f>
        <v/>
      </c>
      <c r="J680">
        <f>IF($F680="","",IF(OR($G680="",$H680="",$I680="",$G680&lt;1300,$G680&gt;1500,$H680&lt;1,$H680&gt;12,$I680&lt;1,$I680&gt;31),"نامعتبر",RIGHT("0000"&amp;$G680,4)&amp;"/"&amp;RIGHT("00"&amp;$H680,2)&amp;"/"&amp;RIGHT("00"&amp;$I680,2)))</f>
        <v/>
      </c>
      <c r="K680">
        <f>IF(OR($F680="",$J680="",$J680="نامعتبر"),"",LEFT($J680,4)&amp;MID($J680,6,2)&amp;RIGHT($J680,2)&amp;$N680&amp;"|"&amp;"2"&amp;RIGHT("00000"&amp;675,5))</f>
        <v/>
      </c>
      <c r="L680">
        <f>IF($K680="","",COUNTIFS(LdgSellerA,$F680,LdgKeyA,"&lt;"&amp;$K680)+COUNTIFS(LdgSellerB,$F680,LdgKeyB,"&lt;"&amp;$K680)+1)</f>
        <v/>
      </c>
      <c r="M680">
        <f>IF($L680="","",$F680&amp;"|"&amp;RIGHT("000000"&amp;$L680,6))</f>
        <v/>
      </c>
      <c r="N680">
        <f>IF($F680="","",IF(Sync!$AF680="","0000",IF(AND(ISNUMBER(Sync!$AF680),Sync!$AF680&gt;=0,Sync!$AF680&lt;1),RIGHT("00"&amp;HOUR(Sync!$AF680),2)&amp;RIGHT("00"&amp;MINUTE(Sync!$AF680),2),IFERROR(RIGHT("00"&amp;VALUE(LEFT(Sync!$AF680,FIND(":",Sync!$AF680)-1)),2)&amp;RIGHT("00"&amp;VALUE(MID(Sync!$AF680,FIND(":",Sync!$AF680)+1,2)),2),"0000"))))</f>
        <v/>
      </c>
    </row>
    <row r="681">
      <c r="A681">
        <f>IF(OR(Calc!$E685="",Calc!$E685="نامعتبر",Calc!$G685=""),"",Calc!$G685)</f>
        <v/>
      </c>
      <c r="B681">
        <f>IF($A681="","",LEFT(Calc!$E685,4)&amp;MID(Calc!$E685,6,2)&amp;RIGHT(Calc!$E685,2)&amp;Calc!$Q685&amp;"|"&amp;"1"&amp;RIGHT("00000"&amp;676,5))</f>
        <v/>
      </c>
      <c r="C681">
        <f>IF($B681="","",COUNTIFS(LdgSellerA,$A681,LdgKeyA,"&lt;"&amp;$B681)+COUNTIFS(LdgSellerB,$A681,LdgKeyB,"&lt;"&amp;$B681)+1)</f>
        <v/>
      </c>
      <c r="D681">
        <f>IF($C681="","",$A681&amp;"|"&amp;RIGHT("000000"&amp;$C681,6))</f>
        <v/>
      </c>
      <c r="F681">
        <f>IF(Sync!$AH681="","",IF(LEFT(UPPER(TRIM(Sync!$AH681)),2)="SL",UPPER(TRIM(Sync!$AH681)),""))</f>
        <v/>
      </c>
      <c r="G681">
        <f>IF($F681="","",IF(Sync!$AE681="","",IF(ISNUMBER(Sync!$AE681),IF(AND(Sync!$AE681&gt;=10000101,Sync!$AE681&lt;=99991231),INT(Sync!$AE681/10000),""),IFERROR(VALUE(TRIM(LEFT(Sync!$AE681,FIND("/",Sync!$AE681)-1))),""))))</f>
        <v/>
      </c>
      <c r="H681">
        <f>IF(OR($F681="",$G681=""),"",IF(ISNUMBER(Sync!$AE681),INT(MOD(Sync!$AE681,10000)/100),IFERROR(VALUE(TRIM(LEFT(MID(Sync!$AE681,FIND("/",Sync!$AE681)+1,20),FIND("/",MID(Sync!$AE681,FIND("/",Sync!$AE681)+1,20))-1))),"")))</f>
        <v/>
      </c>
      <c r="I681">
        <f>IF(OR($F681="",$G681=""),"",IF(ISNUMBER(Sync!$AE681),MOD(Sync!$AE681,100),IFERROR(VALUE(TRIM(MID(MID(Sync!$AE681,FIND("/",Sync!$AE681)+1,20),FIND("/",MID(Sync!$AE681,FIND("/",Sync!$AE681)+1,20))+1,20))),"")))</f>
        <v/>
      </c>
      <c r="J681">
        <f>IF($F681="","",IF(OR($G681="",$H681="",$I681="",$G681&lt;1300,$G681&gt;1500,$H681&lt;1,$H681&gt;12,$I681&lt;1,$I681&gt;31),"نامعتبر",RIGHT("0000"&amp;$G681,4)&amp;"/"&amp;RIGHT("00"&amp;$H681,2)&amp;"/"&amp;RIGHT("00"&amp;$I681,2)))</f>
        <v/>
      </c>
      <c r="K681">
        <f>IF(OR($F681="",$J681="",$J681="نامعتبر"),"",LEFT($J681,4)&amp;MID($J681,6,2)&amp;RIGHT($J681,2)&amp;$N681&amp;"|"&amp;"2"&amp;RIGHT("00000"&amp;676,5))</f>
        <v/>
      </c>
      <c r="L681">
        <f>IF($K681="","",COUNTIFS(LdgSellerA,$F681,LdgKeyA,"&lt;"&amp;$K681)+COUNTIFS(LdgSellerB,$F681,LdgKeyB,"&lt;"&amp;$K681)+1)</f>
        <v/>
      </c>
      <c r="M681">
        <f>IF($L681="","",$F681&amp;"|"&amp;RIGHT("000000"&amp;$L681,6))</f>
        <v/>
      </c>
      <c r="N681">
        <f>IF($F681="","",IF(Sync!$AF681="","0000",IF(AND(ISNUMBER(Sync!$AF681),Sync!$AF681&gt;=0,Sync!$AF681&lt;1),RIGHT("00"&amp;HOUR(Sync!$AF681),2)&amp;RIGHT("00"&amp;MINUTE(Sync!$AF681),2),IFERROR(RIGHT("00"&amp;VALUE(LEFT(Sync!$AF681,FIND(":",Sync!$AF681)-1)),2)&amp;RIGHT("00"&amp;VALUE(MID(Sync!$AF681,FIND(":",Sync!$AF681)+1,2)),2),"0000"))))</f>
        <v/>
      </c>
    </row>
    <row r="682">
      <c r="A682">
        <f>IF(OR(Calc!$E686="",Calc!$E686="نامعتبر",Calc!$G686=""),"",Calc!$G686)</f>
        <v/>
      </c>
      <c r="B682">
        <f>IF($A682="","",LEFT(Calc!$E686,4)&amp;MID(Calc!$E686,6,2)&amp;RIGHT(Calc!$E686,2)&amp;Calc!$Q686&amp;"|"&amp;"1"&amp;RIGHT("00000"&amp;677,5))</f>
        <v/>
      </c>
      <c r="C682">
        <f>IF($B682="","",COUNTIFS(LdgSellerA,$A682,LdgKeyA,"&lt;"&amp;$B682)+COUNTIFS(LdgSellerB,$A682,LdgKeyB,"&lt;"&amp;$B682)+1)</f>
        <v/>
      </c>
      <c r="D682">
        <f>IF($C682="","",$A682&amp;"|"&amp;RIGHT("000000"&amp;$C682,6))</f>
        <v/>
      </c>
      <c r="F682">
        <f>IF(Sync!$AH682="","",IF(LEFT(UPPER(TRIM(Sync!$AH682)),2)="SL",UPPER(TRIM(Sync!$AH682)),""))</f>
        <v/>
      </c>
      <c r="G682">
        <f>IF($F682="","",IF(Sync!$AE682="","",IF(ISNUMBER(Sync!$AE682),IF(AND(Sync!$AE682&gt;=10000101,Sync!$AE682&lt;=99991231),INT(Sync!$AE682/10000),""),IFERROR(VALUE(TRIM(LEFT(Sync!$AE682,FIND("/",Sync!$AE682)-1))),""))))</f>
        <v/>
      </c>
      <c r="H682">
        <f>IF(OR($F682="",$G682=""),"",IF(ISNUMBER(Sync!$AE682),INT(MOD(Sync!$AE682,10000)/100),IFERROR(VALUE(TRIM(LEFT(MID(Sync!$AE682,FIND("/",Sync!$AE682)+1,20),FIND("/",MID(Sync!$AE682,FIND("/",Sync!$AE682)+1,20))-1))),"")))</f>
        <v/>
      </c>
      <c r="I682">
        <f>IF(OR($F682="",$G682=""),"",IF(ISNUMBER(Sync!$AE682),MOD(Sync!$AE682,100),IFERROR(VALUE(TRIM(MID(MID(Sync!$AE682,FIND("/",Sync!$AE682)+1,20),FIND("/",MID(Sync!$AE682,FIND("/",Sync!$AE682)+1,20))+1,20))),"")))</f>
        <v/>
      </c>
      <c r="J682">
        <f>IF($F682="","",IF(OR($G682="",$H682="",$I682="",$G682&lt;1300,$G682&gt;1500,$H682&lt;1,$H682&gt;12,$I682&lt;1,$I682&gt;31),"نامعتبر",RIGHT("0000"&amp;$G682,4)&amp;"/"&amp;RIGHT("00"&amp;$H682,2)&amp;"/"&amp;RIGHT("00"&amp;$I682,2)))</f>
        <v/>
      </c>
      <c r="K682">
        <f>IF(OR($F682="",$J682="",$J682="نامعتبر"),"",LEFT($J682,4)&amp;MID($J682,6,2)&amp;RIGHT($J682,2)&amp;$N682&amp;"|"&amp;"2"&amp;RIGHT("00000"&amp;677,5))</f>
        <v/>
      </c>
      <c r="L682">
        <f>IF($K682="","",COUNTIFS(LdgSellerA,$F682,LdgKeyA,"&lt;"&amp;$K682)+COUNTIFS(LdgSellerB,$F682,LdgKeyB,"&lt;"&amp;$K682)+1)</f>
        <v/>
      </c>
      <c r="M682">
        <f>IF($L682="","",$F682&amp;"|"&amp;RIGHT("000000"&amp;$L682,6))</f>
        <v/>
      </c>
      <c r="N682">
        <f>IF($F682="","",IF(Sync!$AF682="","0000",IF(AND(ISNUMBER(Sync!$AF682),Sync!$AF682&gt;=0,Sync!$AF682&lt;1),RIGHT("00"&amp;HOUR(Sync!$AF682),2)&amp;RIGHT("00"&amp;MINUTE(Sync!$AF682),2),IFERROR(RIGHT("00"&amp;VALUE(LEFT(Sync!$AF682,FIND(":",Sync!$AF682)-1)),2)&amp;RIGHT("00"&amp;VALUE(MID(Sync!$AF682,FIND(":",Sync!$AF682)+1,2)),2),"0000"))))</f>
        <v/>
      </c>
    </row>
    <row r="683">
      <c r="A683">
        <f>IF(OR(Calc!$E687="",Calc!$E687="نامعتبر",Calc!$G687=""),"",Calc!$G687)</f>
        <v/>
      </c>
      <c r="B683">
        <f>IF($A683="","",LEFT(Calc!$E687,4)&amp;MID(Calc!$E687,6,2)&amp;RIGHT(Calc!$E687,2)&amp;Calc!$Q687&amp;"|"&amp;"1"&amp;RIGHT("00000"&amp;678,5))</f>
        <v/>
      </c>
      <c r="C683">
        <f>IF($B683="","",COUNTIFS(LdgSellerA,$A683,LdgKeyA,"&lt;"&amp;$B683)+COUNTIFS(LdgSellerB,$A683,LdgKeyB,"&lt;"&amp;$B683)+1)</f>
        <v/>
      </c>
      <c r="D683">
        <f>IF($C683="","",$A683&amp;"|"&amp;RIGHT("000000"&amp;$C683,6))</f>
        <v/>
      </c>
      <c r="F683">
        <f>IF(Sync!$AH683="","",IF(LEFT(UPPER(TRIM(Sync!$AH683)),2)="SL",UPPER(TRIM(Sync!$AH683)),""))</f>
        <v/>
      </c>
      <c r="G683">
        <f>IF($F683="","",IF(Sync!$AE683="","",IF(ISNUMBER(Sync!$AE683),IF(AND(Sync!$AE683&gt;=10000101,Sync!$AE683&lt;=99991231),INT(Sync!$AE683/10000),""),IFERROR(VALUE(TRIM(LEFT(Sync!$AE683,FIND("/",Sync!$AE683)-1))),""))))</f>
        <v/>
      </c>
      <c r="H683">
        <f>IF(OR($F683="",$G683=""),"",IF(ISNUMBER(Sync!$AE683),INT(MOD(Sync!$AE683,10000)/100),IFERROR(VALUE(TRIM(LEFT(MID(Sync!$AE683,FIND("/",Sync!$AE683)+1,20),FIND("/",MID(Sync!$AE683,FIND("/",Sync!$AE683)+1,20))-1))),"")))</f>
        <v/>
      </c>
      <c r="I683">
        <f>IF(OR($F683="",$G683=""),"",IF(ISNUMBER(Sync!$AE683),MOD(Sync!$AE683,100),IFERROR(VALUE(TRIM(MID(MID(Sync!$AE683,FIND("/",Sync!$AE683)+1,20),FIND("/",MID(Sync!$AE683,FIND("/",Sync!$AE683)+1,20))+1,20))),"")))</f>
        <v/>
      </c>
      <c r="J683">
        <f>IF($F683="","",IF(OR($G683="",$H683="",$I683="",$G683&lt;1300,$G683&gt;1500,$H683&lt;1,$H683&gt;12,$I683&lt;1,$I683&gt;31),"نامعتبر",RIGHT("0000"&amp;$G683,4)&amp;"/"&amp;RIGHT("00"&amp;$H683,2)&amp;"/"&amp;RIGHT("00"&amp;$I683,2)))</f>
        <v/>
      </c>
      <c r="K683">
        <f>IF(OR($F683="",$J683="",$J683="نامعتبر"),"",LEFT($J683,4)&amp;MID($J683,6,2)&amp;RIGHT($J683,2)&amp;$N683&amp;"|"&amp;"2"&amp;RIGHT("00000"&amp;678,5))</f>
        <v/>
      </c>
      <c r="L683">
        <f>IF($K683="","",COUNTIFS(LdgSellerA,$F683,LdgKeyA,"&lt;"&amp;$K683)+COUNTIFS(LdgSellerB,$F683,LdgKeyB,"&lt;"&amp;$K683)+1)</f>
        <v/>
      </c>
      <c r="M683">
        <f>IF($L683="","",$F683&amp;"|"&amp;RIGHT("000000"&amp;$L683,6))</f>
        <v/>
      </c>
      <c r="N683">
        <f>IF($F683="","",IF(Sync!$AF683="","0000",IF(AND(ISNUMBER(Sync!$AF683),Sync!$AF683&gt;=0,Sync!$AF683&lt;1),RIGHT("00"&amp;HOUR(Sync!$AF683),2)&amp;RIGHT("00"&amp;MINUTE(Sync!$AF683),2),IFERROR(RIGHT("00"&amp;VALUE(LEFT(Sync!$AF683,FIND(":",Sync!$AF683)-1)),2)&amp;RIGHT("00"&amp;VALUE(MID(Sync!$AF683,FIND(":",Sync!$AF683)+1,2)),2),"0000"))))</f>
        <v/>
      </c>
    </row>
    <row r="684">
      <c r="A684">
        <f>IF(OR(Calc!$E688="",Calc!$E688="نامعتبر",Calc!$G688=""),"",Calc!$G688)</f>
        <v/>
      </c>
      <c r="B684">
        <f>IF($A684="","",LEFT(Calc!$E688,4)&amp;MID(Calc!$E688,6,2)&amp;RIGHT(Calc!$E688,2)&amp;Calc!$Q688&amp;"|"&amp;"1"&amp;RIGHT("00000"&amp;679,5))</f>
        <v/>
      </c>
      <c r="C684">
        <f>IF($B684="","",COUNTIFS(LdgSellerA,$A684,LdgKeyA,"&lt;"&amp;$B684)+COUNTIFS(LdgSellerB,$A684,LdgKeyB,"&lt;"&amp;$B684)+1)</f>
        <v/>
      </c>
      <c r="D684">
        <f>IF($C684="","",$A684&amp;"|"&amp;RIGHT("000000"&amp;$C684,6))</f>
        <v/>
      </c>
      <c r="F684">
        <f>IF(Sync!$AH684="","",IF(LEFT(UPPER(TRIM(Sync!$AH684)),2)="SL",UPPER(TRIM(Sync!$AH684)),""))</f>
        <v/>
      </c>
      <c r="G684">
        <f>IF($F684="","",IF(Sync!$AE684="","",IF(ISNUMBER(Sync!$AE684),IF(AND(Sync!$AE684&gt;=10000101,Sync!$AE684&lt;=99991231),INT(Sync!$AE684/10000),""),IFERROR(VALUE(TRIM(LEFT(Sync!$AE684,FIND("/",Sync!$AE684)-1))),""))))</f>
        <v/>
      </c>
      <c r="H684">
        <f>IF(OR($F684="",$G684=""),"",IF(ISNUMBER(Sync!$AE684),INT(MOD(Sync!$AE684,10000)/100),IFERROR(VALUE(TRIM(LEFT(MID(Sync!$AE684,FIND("/",Sync!$AE684)+1,20),FIND("/",MID(Sync!$AE684,FIND("/",Sync!$AE684)+1,20))-1))),"")))</f>
        <v/>
      </c>
      <c r="I684">
        <f>IF(OR($F684="",$G684=""),"",IF(ISNUMBER(Sync!$AE684),MOD(Sync!$AE684,100),IFERROR(VALUE(TRIM(MID(MID(Sync!$AE684,FIND("/",Sync!$AE684)+1,20),FIND("/",MID(Sync!$AE684,FIND("/",Sync!$AE684)+1,20))+1,20))),"")))</f>
        <v/>
      </c>
      <c r="J684">
        <f>IF($F684="","",IF(OR($G684="",$H684="",$I684="",$G684&lt;1300,$G684&gt;1500,$H684&lt;1,$H684&gt;12,$I684&lt;1,$I684&gt;31),"نامعتبر",RIGHT("0000"&amp;$G684,4)&amp;"/"&amp;RIGHT("00"&amp;$H684,2)&amp;"/"&amp;RIGHT("00"&amp;$I684,2)))</f>
        <v/>
      </c>
      <c r="K684">
        <f>IF(OR($F684="",$J684="",$J684="نامعتبر"),"",LEFT($J684,4)&amp;MID($J684,6,2)&amp;RIGHT($J684,2)&amp;$N684&amp;"|"&amp;"2"&amp;RIGHT("00000"&amp;679,5))</f>
        <v/>
      </c>
      <c r="L684">
        <f>IF($K684="","",COUNTIFS(LdgSellerA,$F684,LdgKeyA,"&lt;"&amp;$K684)+COUNTIFS(LdgSellerB,$F684,LdgKeyB,"&lt;"&amp;$K684)+1)</f>
        <v/>
      </c>
      <c r="M684">
        <f>IF($L684="","",$F684&amp;"|"&amp;RIGHT("000000"&amp;$L684,6))</f>
        <v/>
      </c>
      <c r="N684">
        <f>IF($F684="","",IF(Sync!$AF684="","0000",IF(AND(ISNUMBER(Sync!$AF684),Sync!$AF684&gt;=0,Sync!$AF684&lt;1),RIGHT("00"&amp;HOUR(Sync!$AF684),2)&amp;RIGHT("00"&amp;MINUTE(Sync!$AF684),2),IFERROR(RIGHT("00"&amp;VALUE(LEFT(Sync!$AF684,FIND(":",Sync!$AF684)-1)),2)&amp;RIGHT("00"&amp;VALUE(MID(Sync!$AF684,FIND(":",Sync!$AF684)+1,2)),2),"0000"))))</f>
        <v/>
      </c>
    </row>
    <row r="685">
      <c r="A685">
        <f>IF(OR(Calc!$E689="",Calc!$E689="نامعتبر",Calc!$G689=""),"",Calc!$G689)</f>
        <v/>
      </c>
      <c r="B685">
        <f>IF($A685="","",LEFT(Calc!$E689,4)&amp;MID(Calc!$E689,6,2)&amp;RIGHT(Calc!$E689,2)&amp;Calc!$Q689&amp;"|"&amp;"1"&amp;RIGHT("00000"&amp;680,5))</f>
        <v/>
      </c>
      <c r="C685">
        <f>IF($B685="","",COUNTIFS(LdgSellerA,$A685,LdgKeyA,"&lt;"&amp;$B685)+COUNTIFS(LdgSellerB,$A685,LdgKeyB,"&lt;"&amp;$B685)+1)</f>
        <v/>
      </c>
      <c r="D685">
        <f>IF($C685="","",$A685&amp;"|"&amp;RIGHT("000000"&amp;$C685,6))</f>
        <v/>
      </c>
      <c r="F685">
        <f>IF(Sync!$AH685="","",IF(LEFT(UPPER(TRIM(Sync!$AH685)),2)="SL",UPPER(TRIM(Sync!$AH685)),""))</f>
        <v/>
      </c>
      <c r="G685">
        <f>IF($F685="","",IF(Sync!$AE685="","",IF(ISNUMBER(Sync!$AE685),IF(AND(Sync!$AE685&gt;=10000101,Sync!$AE685&lt;=99991231),INT(Sync!$AE685/10000),""),IFERROR(VALUE(TRIM(LEFT(Sync!$AE685,FIND("/",Sync!$AE685)-1))),""))))</f>
        <v/>
      </c>
      <c r="H685">
        <f>IF(OR($F685="",$G685=""),"",IF(ISNUMBER(Sync!$AE685),INT(MOD(Sync!$AE685,10000)/100),IFERROR(VALUE(TRIM(LEFT(MID(Sync!$AE685,FIND("/",Sync!$AE685)+1,20),FIND("/",MID(Sync!$AE685,FIND("/",Sync!$AE685)+1,20))-1))),"")))</f>
        <v/>
      </c>
      <c r="I685">
        <f>IF(OR($F685="",$G685=""),"",IF(ISNUMBER(Sync!$AE685),MOD(Sync!$AE685,100),IFERROR(VALUE(TRIM(MID(MID(Sync!$AE685,FIND("/",Sync!$AE685)+1,20),FIND("/",MID(Sync!$AE685,FIND("/",Sync!$AE685)+1,20))+1,20))),"")))</f>
        <v/>
      </c>
      <c r="J685">
        <f>IF($F685="","",IF(OR($G685="",$H685="",$I685="",$G685&lt;1300,$G685&gt;1500,$H685&lt;1,$H685&gt;12,$I685&lt;1,$I685&gt;31),"نامعتبر",RIGHT("0000"&amp;$G685,4)&amp;"/"&amp;RIGHT("00"&amp;$H685,2)&amp;"/"&amp;RIGHT("00"&amp;$I685,2)))</f>
        <v/>
      </c>
      <c r="K685">
        <f>IF(OR($F685="",$J685="",$J685="نامعتبر"),"",LEFT($J685,4)&amp;MID($J685,6,2)&amp;RIGHT($J685,2)&amp;$N685&amp;"|"&amp;"2"&amp;RIGHT("00000"&amp;680,5))</f>
        <v/>
      </c>
      <c r="L685">
        <f>IF($K685="","",COUNTIFS(LdgSellerA,$F685,LdgKeyA,"&lt;"&amp;$K685)+COUNTIFS(LdgSellerB,$F685,LdgKeyB,"&lt;"&amp;$K685)+1)</f>
        <v/>
      </c>
      <c r="M685">
        <f>IF($L685="","",$F685&amp;"|"&amp;RIGHT("000000"&amp;$L685,6))</f>
        <v/>
      </c>
      <c r="N685">
        <f>IF($F685="","",IF(Sync!$AF685="","0000",IF(AND(ISNUMBER(Sync!$AF685),Sync!$AF685&gt;=0,Sync!$AF685&lt;1),RIGHT("00"&amp;HOUR(Sync!$AF685),2)&amp;RIGHT("00"&amp;MINUTE(Sync!$AF685),2),IFERROR(RIGHT("00"&amp;VALUE(LEFT(Sync!$AF685,FIND(":",Sync!$AF685)-1)),2)&amp;RIGHT("00"&amp;VALUE(MID(Sync!$AF685,FIND(":",Sync!$AF685)+1,2)),2),"0000"))))</f>
        <v/>
      </c>
    </row>
    <row r="686">
      <c r="A686">
        <f>IF(OR(Calc!$E690="",Calc!$E690="نامعتبر",Calc!$G690=""),"",Calc!$G690)</f>
        <v/>
      </c>
      <c r="B686">
        <f>IF($A686="","",LEFT(Calc!$E690,4)&amp;MID(Calc!$E690,6,2)&amp;RIGHT(Calc!$E690,2)&amp;Calc!$Q690&amp;"|"&amp;"1"&amp;RIGHT("00000"&amp;681,5))</f>
        <v/>
      </c>
      <c r="C686">
        <f>IF($B686="","",COUNTIFS(LdgSellerA,$A686,LdgKeyA,"&lt;"&amp;$B686)+COUNTIFS(LdgSellerB,$A686,LdgKeyB,"&lt;"&amp;$B686)+1)</f>
        <v/>
      </c>
      <c r="D686">
        <f>IF($C686="","",$A686&amp;"|"&amp;RIGHT("000000"&amp;$C686,6))</f>
        <v/>
      </c>
      <c r="F686">
        <f>IF(Sync!$AH686="","",IF(LEFT(UPPER(TRIM(Sync!$AH686)),2)="SL",UPPER(TRIM(Sync!$AH686)),""))</f>
        <v/>
      </c>
      <c r="G686">
        <f>IF($F686="","",IF(Sync!$AE686="","",IF(ISNUMBER(Sync!$AE686),IF(AND(Sync!$AE686&gt;=10000101,Sync!$AE686&lt;=99991231),INT(Sync!$AE686/10000),""),IFERROR(VALUE(TRIM(LEFT(Sync!$AE686,FIND("/",Sync!$AE686)-1))),""))))</f>
        <v/>
      </c>
      <c r="H686">
        <f>IF(OR($F686="",$G686=""),"",IF(ISNUMBER(Sync!$AE686),INT(MOD(Sync!$AE686,10000)/100),IFERROR(VALUE(TRIM(LEFT(MID(Sync!$AE686,FIND("/",Sync!$AE686)+1,20),FIND("/",MID(Sync!$AE686,FIND("/",Sync!$AE686)+1,20))-1))),"")))</f>
        <v/>
      </c>
      <c r="I686">
        <f>IF(OR($F686="",$G686=""),"",IF(ISNUMBER(Sync!$AE686),MOD(Sync!$AE686,100),IFERROR(VALUE(TRIM(MID(MID(Sync!$AE686,FIND("/",Sync!$AE686)+1,20),FIND("/",MID(Sync!$AE686,FIND("/",Sync!$AE686)+1,20))+1,20))),"")))</f>
        <v/>
      </c>
      <c r="J686">
        <f>IF($F686="","",IF(OR($G686="",$H686="",$I686="",$G686&lt;1300,$G686&gt;1500,$H686&lt;1,$H686&gt;12,$I686&lt;1,$I686&gt;31),"نامعتبر",RIGHT("0000"&amp;$G686,4)&amp;"/"&amp;RIGHT("00"&amp;$H686,2)&amp;"/"&amp;RIGHT("00"&amp;$I686,2)))</f>
        <v/>
      </c>
      <c r="K686">
        <f>IF(OR($F686="",$J686="",$J686="نامعتبر"),"",LEFT($J686,4)&amp;MID($J686,6,2)&amp;RIGHT($J686,2)&amp;$N686&amp;"|"&amp;"2"&amp;RIGHT("00000"&amp;681,5))</f>
        <v/>
      </c>
      <c r="L686">
        <f>IF($K686="","",COUNTIFS(LdgSellerA,$F686,LdgKeyA,"&lt;"&amp;$K686)+COUNTIFS(LdgSellerB,$F686,LdgKeyB,"&lt;"&amp;$K686)+1)</f>
        <v/>
      </c>
      <c r="M686">
        <f>IF($L686="","",$F686&amp;"|"&amp;RIGHT("000000"&amp;$L686,6))</f>
        <v/>
      </c>
      <c r="N686">
        <f>IF($F686="","",IF(Sync!$AF686="","0000",IF(AND(ISNUMBER(Sync!$AF686),Sync!$AF686&gt;=0,Sync!$AF686&lt;1),RIGHT("00"&amp;HOUR(Sync!$AF686),2)&amp;RIGHT("00"&amp;MINUTE(Sync!$AF686),2),IFERROR(RIGHT("00"&amp;VALUE(LEFT(Sync!$AF686,FIND(":",Sync!$AF686)-1)),2)&amp;RIGHT("00"&amp;VALUE(MID(Sync!$AF686,FIND(":",Sync!$AF686)+1,2)),2),"0000"))))</f>
        <v/>
      </c>
    </row>
    <row r="687">
      <c r="A687">
        <f>IF(OR(Calc!$E691="",Calc!$E691="نامعتبر",Calc!$G691=""),"",Calc!$G691)</f>
        <v/>
      </c>
      <c r="B687">
        <f>IF($A687="","",LEFT(Calc!$E691,4)&amp;MID(Calc!$E691,6,2)&amp;RIGHT(Calc!$E691,2)&amp;Calc!$Q691&amp;"|"&amp;"1"&amp;RIGHT("00000"&amp;682,5))</f>
        <v/>
      </c>
      <c r="C687">
        <f>IF($B687="","",COUNTIFS(LdgSellerA,$A687,LdgKeyA,"&lt;"&amp;$B687)+COUNTIFS(LdgSellerB,$A687,LdgKeyB,"&lt;"&amp;$B687)+1)</f>
        <v/>
      </c>
      <c r="D687">
        <f>IF($C687="","",$A687&amp;"|"&amp;RIGHT("000000"&amp;$C687,6))</f>
        <v/>
      </c>
      <c r="F687">
        <f>IF(Sync!$AH687="","",IF(LEFT(UPPER(TRIM(Sync!$AH687)),2)="SL",UPPER(TRIM(Sync!$AH687)),""))</f>
        <v/>
      </c>
      <c r="G687">
        <f>IF($F687="","",IF(Sync!$AE687="","",IF(ISNUMBER(Sync!$AE687),IF(AND(Sync!$AE687&gt;=10000101,Sync!$AE687&lt;=99991231),INT(Sync!$AE687/10000),""),IFERROR(VALUE(TRIM(LEFT(Sync!$AE687,FIND("/",Sync!$AE687)-1))),""))))</f>
        <v/>
      </c>
      <c r="H687">
        <f>IF(OR($F687="",$G687=""),"",IF(ISNUMBER(Sync!$AE687),INT(MOD(Sync!$AE687,10000)/100),IFERROR(VALUE(TRIM(LEFT(MID(Sync!$AE687,FIND("/",Sync!$AE687)+1,20),FIND("/",MID(Sync!$AE687,FIND("/",Sync!$AE687)+1,20))-1))),"")))</f>
        <v/>
      </c>
      <c r="I687">
        <f>IF(OR($F687="",$G687=""),"",IF(ISNUMBER(Sync!$AE687),MOD(Sync!$AE687,100),IFERROR(VALUE(TRIM(MID(MID(Sync!$AE687,FIND("/",Sync!$AE687)+1,20),FIND("/",MID(Sync!$AE687,FIND("/",Sync!$AE687)+1,20))+1,20))),"")))</f>
        <v/>
      </c>
      <c r="J687">
        <f>IF($F687="","",IF(OR($G687="",$H687="",$I687="",$G687&lt;1300,$G687&gt;1500,$H687&lt;1,$H687&gt;12,$I687&lt;1,$I687&gt;31),"نامعتبر",RIGHT("0000"&amp;$G687,4)&amp;"/"&amp;RIGHT("00"&amp;$H687,2)&amp;"/"&amp;RIGHT("00"&amp;$I687,2)))</f>
        <v/>
      </c>
      <c r="K687">
        <f>IF(OR($F687="",$J687="",$J687="نامعتبر"),"",LEFT($J687,4)&amp;MID($J687,6,2)&amp;RIGHT($J687,2)&amp;$N687&amp;"|"&amp;"2"&amp;RIGHT("00000"&amp;682,5))</f>
        <v/>
      </c>
      <c r="L687">
        <f>IF($K687="","",COUNTIFS(LdgSellerA,$F687,LdgKeyA,"&lt;"&amp;$K687)+COUNTIFS(LdgSellerB,$F687,LdgKeyB,"&lt;"&amp;$K687)+1)</f>
        <v/>
      </c>
      <c r="M687">
        <f>IF($L687="","",$F687&amp;"|"&amp;RIGHT("000000"&amp;$L687,6))</f>
        <v/>
      </c>
      <c r="N687">
        <f>IF($F687="","",IF(Sync!$AF687="","0000",IF(AND(ISNUMBER(Sync!$AF687),Sync!$AF687&gt;=0,Sync!$AF687&lt;1),RIGHT("00"&amp;HOUR(Sync!$AF687),2)&amp;RIGHT("00"&amp;MINUTE(Sync!$AF687),2),IFERROR(RIGHT("00"&amp;VALUE(LEFT(Sync!$AF687,FIND(":",Sync!$AF687)-1)),2)&amp;RIGHT("00"&amp;VALUE(MID(Sync!$AF687,FIND(":",Sync!$AF687)+1,2)),2),"0000"))))</f>
        <v/>
      </c>
    </row>
    <row r="688">
      <c r="A688">
        <f>IF(OR(Calc!$E692="",Calc!$E692="نامعتبر",Calc!$G692=""),"",Calc!$G692)</f>
        <v/>
      </c>
      <c r="B688">
        <f>IF($A688="","",LEFT(Calc!$E692,4)&amp;MID(Calc!$E692,6,2)&amp;RIGHT(Calc!$E692,2)&amp;Calc!$Q692&amp;"|"&amp;"1"&amp;RIGHT("00000"&amp;683,5))</f>
        <v/>
      </c>
      <c r="C688">
        <f>IF($B688="","",COUNTIFS(LdgSellerA,$A688,LdgKeyA,"&lt;"&amp;$B688)+COUNTIFS(LdgSellerB,$A688,LdgKeyB,"&lt;"&amp;$B688)+1)</f>
        <v/>
      </c>
      <c r="D688">
        <f>IF($C688="","",$A688&amp;"|"&amp;RIGHT("000000"&amp;$C688,6))</f>
        <v/>
      </c>
      <c r="F688">
        <f>IF(Sync!$AH688="","",IF(LEFT(UPPER(TRIM(Sync!$AH688)),2)="SL",UPPER(TRIM(Sync!$AH688)),""))</f>
        <v/>
      </c>
      <c r="G688">
        <f>IF($F688="","",IF(Sync!$AE688="","",IF(ISNUMBER(Sync!$AE688),IF(AND(Sync!$AE688&gt;=10000101,Sync!$AE688&lt;=99991231),INT(Sync!$AE688/10000),""),IFERROR(VALUE(TRIM(LEFT(Sync!$AE688,FIND("/",Sync!$AE688)-1))),""))))</f>
        <v/>
      </c>
      <c r="H688">
        <f>IF(OR($F688="",$G688=""),"",IF(ISNUMBER(Sync!$AE688),INT(MOD(Sync!$AE688,10000)/100),IFERROR(VALUE(TRIM(LEFT(MID(Sync!$AE688,FIND("/",Sync!$AE688)+1,20),FIND("/",MID(Sync!$AE688,FIND("/",Sync!$AE688)+1,20))-1))),"")))</f>
        <v/>
      </c>
      <c r="I688">
        <f>IF(OR($F688="",$G688=""),"",IF(ISNUMBER(Sync!$AE688),MOD(Sync!$AE688,100),IFERROR(VALUE(TRIM(MID(MID(Sync!$AE688,FIND("/",Sync!$AE688)+1,20),FIND("/",MID(Sync!$AE688,FIND("/",Sync!$AE688)+1,20))+1,20))),"")))</f>
        <v/>
      </c>
      <c r="J688">
        <f>IF($F688="","",IF(OR($G688="",$H688="",$I688="",$G688&lt;1300,$G688&gt;1500,$H688&lt;1,$H688&gt;12,$I688&lt;1,$I688&gt;31),"نامعتبر",RIGHT("0000"&amp;$G688,4)&amp;"/"&amp;RIGHT("00"&amp;$H688,2)&amp;"/"&amp;RIGHT("00"&amp;$I688,2)))</f>
        <v/>
      </c>
      <c r="K688">
        <f>IF(OR($F688="",$J688="",$J688="نامعتبر"),"",LEFT($J688,4)&amp;MID($J688,6,2)&amp;RIGHT($J688,2)&amp;$N688&amp;"|"&amp;"2"&amp;RIGHT("00000"&amp;683,5))</f>
        <v/>
      </c>
      <c r="L688">
        <f>IF($K688="","",COUNTIFS(LdgSellerA,$F688,LdgKeyA,"&lt;"&amp;$K688)+COUNTIFS(LdgSellerB,$F688,LdgKeyB,"&lt;"&amp;$K688)+1)</f>
        <v/>
      </c>
      <c r="M688">
        <f>IF($L688="","",$F688&amp;"|"&amp;RIGHT("000000"&amp;$L688,6))</f>
        <v/>
      </c>
      <c r="N688">
        <f>IF($F688="","",IF(Sync!$AF688="","0000",IF(AND(ISNUMBER(Sync!$AF688),Sync!$AF688&gt;=0,Sync!$AF688&lt;1),RIGHT("00"&amp;HOUR(Sync!$AF688),2)&amp;RIGHT("00"&amp;MINUTE(Sync!$AF688),2),IFERROR(RIGHT("00"&amp;VALUE(LEFT(Sync!$AF688,FIND(":",Sync!$AF688)-1)),2)&amp;RIGHT("00"&amp;VALUE(MID(Sync!$AF688,FIND(":",Sync!$AF688)+1,2)),2),"0000"))))</f>
        <v/>
      </c>
    </row>
    <row r="689">
      <c r="A689">
        <f>IF(OR(Calc!$E693="",Calc!$E693="نامعتبر",Calc!$G693=""),"",Calc!$G693)</f>
        <v/>
      </c>
      <c r="B689">
        <f>IF($A689="","",LEFT(Calc!$E693,4)&amp;MID(Calc!$E693,6,2)&amp;RIGHT(Calc!$E693,2)&amp;Calc!$Q693&amp;"|"&amp;"1"&amp;RIGHT("00000"&amp;684,5))</f>
        <v/>
      </c>
      <c r="C689">
        <f>IF($B689="","",COUNTIFS(LdgSellerA,$A689,LdgKeyA,"&lt;"&amp;$B689)+COUNTIFS(LdgSellerB,$A689,LdgKeyB,"&lt;"&amp;$B689)+1)</f>
        <v/>
      </c>
      <c r="D689">
        <f>IF($C689="","",$A689&amp;"|"&amp;RIGHT("000000"&amp;$C689,6))</f>
        <v/>
      </c>
      <c r="F689">
        <f>IF(Sync!$AH689="","",IF(LEFT(UPPER(TRIM(Sync!$AH689)),2)="SL",UPPER(TRIM(Sync!$AH689)),""))</f>
        <v/>
      </c>
      <c r="G689">
        <f>IF($F689="","",IF(Sync!$AE689="","",IF(ISNUMBER(Sync!$AE689),IF(AND(Sync!$AE689&gt;=10000101,Sync!$AE689&lt;=99991231),INT(Sync!$AE689/10000),""),IFERROR(VALUE(TRIM(LEFT(Sync!$AE689,FIND("/",Sync!$AE689)-1))),""))))</f>
        <v/>
      </c>
      <c r="H689">
        <f>IF(OR($F689="",$G689=""),"",IF(ISNUMBER(Sync!$AE689),INT(MOD(Sync!$AE689,10000)/100),IFERROR(VALUE(TRIM(LEFT(MID(Sync!$AE689,FIND("/",Sync!$AE689)+1,20),FIND("/",MID(Sync!$AE689,FIND("/",Sync!$AE689)+1,20))-1))),"")))</f>
        <v/>
      </c>
      <c r="I689">
        <f>IF(OR($F689="",$G689=""),"",IF(ISNUMBER(Sync!$AE689),MOD(Sync!$AE689,100),IFERROR(VALUE(TRIM(MID(MID(Sync!$AE689,FIND("/",Sync!$AE689)+1,20),FIND("/",MID(Sync!$AE689,FIND("/",Sync!$AE689)+1,20))+1,20))),"")))</f>
        <v/>
      </c>
      <c r="J689">
        <f>IF($F689="","",IF(OR($G689="",$H689="",$I689="",$G689&lt;1300,$G689&gt;1500,$H689&lt;1,$H689&gt;12,$I689&lt;1,$I689&gt;31),"نامعتبر",RIGHT("0000"&amp;$G689,4)&amp;"/"&amp;RIGHT("00"&amp;$H689,2)&amp;"/"&amp;RIGHT("00"&amp;$I689,2)))</f>
        <v/>
      </c>
      <c r="K689">
        <f>IF(OR($F689="",$J689="",$J689="نامعتبر"),"",LEFT($J689,4)&amp;MID($J689,6,2)&amp;RIGHT($J689,2)&amp;$N689&amp;"|"&amp;"2"&amp;RIGHT("00000"&amp;684,5))</f>
        <v/>
      </c>
      <c r="L689">
        <f>IF($K689="","",COUNTIFS(LdgSellerA,$F689,LdgKeyA,"&lt;"&amp;$K689)+COUNTIFS(LdgSellerB,$F689,LdgKeyB,"&lt;"&amp;$K689)+1)</f>
        <v/>
      </c>
      <c r="M689">
        <f>IF($L689="","",$F689&amp;"|"&amp;RIGHT("000000"&amp;$L689,6))</f>
        <v/>
      </c>
      <c r="N689">
        <f>IF($F689="","",IF(Sync!$AF689="","0000",IF(AND(ISNUMBER(Sync!$AF689),Sync!$AF689&gt;=0,Sync!$AF689&lt;1),RIGHT("00"&amp;HOUR(Sync!$AF689),2)&amp;RIGHT("00"&amp;MINUTE(Sync!$AF689),2),IFERROR(RIGHT("00"&amp;VALUE(LEFT(Sync!$AF689,FIND(":",Sync!$AF689)-1)),2)&amp;RIGHT("00"&amp;VALUE(MID(Sync!$AF689,FIND(":",Sync!$AF689)+1,2)),2),"0000"))))</f>
        <v/>
      </c>
    </row>
    <row r="690">
      <c r="A690">
        <f>IF(OR(Calc!$E694="",Calc!$E694="نامعتبر",Calc!$G694=""),"",Calc!$G694)</f>
        <v/>
      </c>
      <c r="B690">
        <f>IF($A690="","",LEFT(Calc!$E694,4)&amp;MID(Calc!$E694,6,2)&amp;RIGHT(Calc!$E694,2)&amp;Calc!$Q694&amp;"|"&amp;"1"&amp;RIGHT("00000"&amp;685,5))</f>
        <v/>
      </c>
      <c r="C690">
        <f>IF($B690="","",COUNTIFS(LdgSellerA,$A690,LdgKeyA,"&lt;"&amp;$B690)+COUNTIFS(LdgSellerB,$A690,LdgKeyB,"&lt;"&amp;$B690)+1)</f>
        <v/>
      </c>
      <c r="D690">
        <f>IF($C690="","",$A690&amp;"|"&amp;RIGHT("000000"&amp;$C690,6))</f>
        <v/>
      </c>
      <c r="F690">
        <f>IF(Sync!$AH690="","",IF(LEFT(UPPER(TRIM(Sync!$AH690)),2)="SL",UPPER(TRIM(Sync!$AH690)),""))</f>
        <v/>
      </c>
      <c r="G690">
        <f>IF($F690="","",IF(Sync!$AE690="","",IF(ISNUMBER(Sync!$AE690),IF(AND(Sync!$AE690&gt;=10000101,Sync!$AE690&lt;=99991231),INT(Sync!$AE690/10000),""),IFERROR(VALUE(TRIM(LEFT(Sync!$AE690,FIND("/",Sync!$AE690)-1))),""))))</f>
        <v/>
      </c>
      <c r="H690">
        <f>IF(OR($F690="",$G690=""),"",IF(ISNUMBER(Sync!$AE690),INT(MOD(Sync!$AE690,10000)/100),IFERROR(VALUE(TRIM(LEFT(MID(Sync!$AE690,FIND("/",Sync!$AE690)+1,20),FIND("/",MID(Sync!$AE690,FIND("/",Sync!$AE690)+1,20))-1))),"")))</f>
        <v/>
      </c>
      <c r="I690">
        <f>IF(OR($F690="",$G690=""),"",IF(ISNUMBER(Sync!$AE690),MOD(Sync!$AE690,100),IFERROR(VALUE(TRIM(MID(MID(Sync!$AE690,FIND("/",Sync!$AE690)+1,20),FIND("/",MID(Sync!$AE690,FIND("/",Sync!$AE690)+1,20))+1,20))),"")))</f>
        <v/>
      </c>
      <c r="J690">
        <f>IF($F690="","",IF(OR($G690="",$H690="",$I690="",$G690&lt;1300,$G690&gt;1500,$H690&lt;1,$H690&gt;12,$I690&lt;1,$I690&gt;31),"نامعتبر",RIGHT("0000"&amp;$G690,4)&amp;"/"&amp;RIGHT("00"&amp;$H690,2)&amp;"/"&amp;RIGHT("00"&amp;$I690,2)))</f>
        <v/>
      </c>
      <c r="K690">
        <f>IF(OR($F690="",$J690="",$J690="نامعتبر"),"",LEFT($J690,4)&amp;MID($J690,6,2)&amp;RIGHT($J690,2)&amp;$N690&amp;"|"&amp;"2"&amp;RIGHT("00000"&amp;685,5))</f>
        <v/>
      </c>
      <c r="L690">
        <f>IF($K690="","",COUNTIFS(LdgSellerA,$F690,LdgKeyA,"&lt;"&amp;$K690)+COUNTIFS(LdgSellerB,$F690,LdgKeyB,"&lt;"&amp;$K690)+1)</f>
        <v/>
      </c>
      <c r="M690">
        <f>IF($L690="","",$F690&amp;"|"&amp;RIGHT("000000"&amp;$L690,6))</f>
        <v/>
      </c>
      <c r="N690">
        <f>IF($F690="","",IF(Sync!$AF690="","0000",IF(AND(ISNUMBER(Sync!$AF690),Sync!$AF690&gt;=0,Sync!$AF690&lt;1),RIGHT("00"&amp;HOUR(Sync!$AF690),2)&amp;RIGHT("00"&amp;MINUTE(Sync!$AF690),2),IFERROR(RIGHT("00"&amp;VALUE(LEFT(Sync!$AF690,FIND(":",Sync!$AF690)-1)),2)&amp;RIGHT("00"&amp;VALUE(MID(Sync!$AF690,FIND(":",Sync!$AF690)+1,2)),2),"0000"))))</f>
        <v/>
      </c>
    </row>
    <row r="691">
      <c r="A691">
        <f>IF(OR(Calc!$E695="",Calc!$E695="نامعتبر",Calc!$G695=""),"",Calc!$G695)</f>
        <v/>
      </c>
      <c r="B691">
        <f>IF($A691="","",LEFT(Calc!$E695,4)&amp;MID(Calc!$E695,6,2)&amp;RIGHT(Calc!$E695,2)&amp;Calc!$Q695&amp;"|"&amp;"1"&amp;RIGHT("00000"&amp;686,5))</f>
        <v/>
      </c>
      <c r="C691">
        <f>IF($B691="","",COUNTIFS(LdgSellerA,$A691,LdgKeyA,"&lt;"&amp;$B691)+COUNTIFS(LdgSellerB,$A691,LdgKeyB,"&lt;"&amp;$B691)+1)</f>
        <v/>
      </c>
      <c r="D691">
        <f>IF($C691="","",$A691&amp;"|"&amp;RIGHT("000000"&amp;$C691,6))</f>
        <v/>
      </c>
      <c r="F691">
        <f>IF(Sync!$AH691="","",IF(LEFT(UPPER(TRIM(Sync!$AH691)),2)="SL",UPPER(TRIM(Sync!$AH691)),""))</f>
        <v/>
      </c>
      <c r="G691">
        <f>IF($F691="","",IF(Sync!$AE691="","",IF(ISNUMBER(Sync!$AE691),IF(AND(Sync!$AE691&gt;=10000101,Sync!$AE691&lt;=99991231),INT(Sync!$AE691/10000),""),IFERROR(VALUE(TRIM(LEFT(Sync!$AE691,FIND("/",Sync!$AE691)-1))),""))))</f>
        <v/>
      </c>
      <c r="H691">
        <f>IF(OR($F691="",$G691=""),"",IF(ISNUMBER(Sync!$AE691),INT(MOD(Sync!$AE691,10000)/100),IFERROR(VALUE(TRIM(LEFT(MID(Sync!$AE691,FIND("/",Sync!$AE691)+1,20),FIND("/",MID(Sync!$AE691,FIND("/",Sync!$AE691)+1,20))-1))),"")))</f>
        <v/>
      </c>
      <c r="I691">
        <f>IF(OR($F691="",$G691=""),"",IF(ISNUMBER(Sync!$AE691),MOD(Sync!$AE691,100),IFERROR(VALUE(TRIM(MID(MID(Sync!$AE691,FIND("/",Sync!$AE691)+1,20),FIND("/",MID(Sync!$AE691,FIND("/",Sync!$AE691)+1,20))+1,20))),"")))</f>
        <v/>
      </c>
      <c r="J691">
        <f>IF($F691="","",IF(OR($G691="",$H691="",$I691="",$G691&lt;1300,$G691&gt;1500,$H691&lt;1,$H691&gt;12,$I691&lt;1,$I691&gt;31),"نامعتبر",RIGHT("0000"&amp;$G691,4)&amp;"/"&amp;RIGHT("00"&amp;$H691,2)&amp;"/"&amp;RIGHT("00"&amp;$I691,2)))</f>
        <v/>
      </c>
      <c r="K691">
        <f>IF(OR($F691="",$J691="",$J691="نامعتبر"),"",LEFT($J691,4)&amp;MID($J691,6,2)&amp;RIGHT($J691,2)&amp;$N691&amp;"|"&amp;"2"&amp;RIGHT("00000"&amp;686,5))</f>
        <v/>
      </c>
      <c r="L691">
        <f>IF($K691="","",COUNTIFS(LdgSellerA,$F691,LdgKeyA,"&lt;"&amp;$K691)+COUNTIFS(LdgSellerB,$F691,LdgKeyB,"&lt;"&amp;$K691)+1)</f>
        <v/>
      </c>
      <c r="M691">
        <f>IF($L691="","",$F691&amp;"|"&amp;RIGHT("000000"&amp;$L691,6))</f>
        <v/>
      </c>
      <c r="N691">
        <f>IF($F691="","",IF(Sync!$AF691="","0000",IF(AND(ISNUMBER(Sync!$AF691),Sync!$AF691&gt;=0,Sync!$AF691&lt;1),RIGHT("00"&amp;HOUR(Sync!$AF691),2)&amp;RIGHT("00"&amp;MINUTE(Sync!$AF691),2),IFERROR(RIGHT("00"&amp;VALUE(LEFT(Sync!$AF691,FIND(":",Sync!$AF691)-1)),2)&amp;RIGHT("00"&amp;VALUE(MID(Sync!$AF691,FIND(":",Sync!$AF691)+1,2)),2),"0000"))))</f>
        <v/>
      </c>
    </row>
    <row r="692">
      <c r="A692">
        <f>IF(OR(Calc!$E696="",Calc!$E696="نامعتبر",Calc!$G696=""),"",Calc!$G696)</f>
        <v/>
      </c>
      <c r="B692">
        <f>IF($A692="","",LEFT(Calc!$E696,4)&amp;MID(Calc!$E696,6,2)&amp;RIGHT(Calc!$E696,2)&amp;Calc!$Q696&amp;"|"&amp;"1"&amp;RIGHT("00000"&amp;687,5))</f>
        <v/>
      </c>
      <c r="C692">
        <f>IF($B692="","",COUNTIFS(LdgSellerA,$A692,LdgKeyA,"&lt;"&amp;$B692)+COUNTIFS(LdgSellerB,$A692,LdgKeyB,"&lt;"&amp;$B692)+1)</f>
        <v/>
      </c>
      <c r="D692">
        <f>IF($C692="","",$A692&amp;"|"&amp;RIGHT("000000"&amp;$C692,6))</f>
        <v/>
      </c>
      <c r="F692">
        <f>IF(Sync!$AH692="","",IF(LEFT(UPPER(TRIM(Sync!$AH692)),2)="SL",UPPER(TRIM(Sync!$AH692)),""))</f>
        <v/>
      </c>
      <c r="G692">
        <f>IF($F692="","",IF(Sync!$AE692="","",IF(ISNUMBER(Sync!$AE692),IF(AND(Sync!$AE692&gt;=10000101,Sync!$AE692&lt;=99991231),INT(Sync!$AE692/10000),""),IFERROR(VALUE(TRIM(LEFT(Sync!$AE692,FIND("/",Sync!$AE692)-1))),""))))</f>
        <v/>
      </c>
      <c r="H692">
        <f>IF(OR($F692="",$G692=""),"",IF(ISNUMBER(Sync!$AE692),INT(MOD(Sync!$AE692,10000)/100),IFERROR(VALUE(TRIM(LEFT(MID(Sync!$AE692,FIND("/",Sync!$AE692)+1,20),FIND("/",MID(Sync!$AE692,FIND("/",Sync!$AE692)+1,20))-1))),"")))</f>
        <v/>
      </c>
      <c r="I692">
        <f>IF(OR($F692="",$G692=""),"",IF(ISNUMBER(Sync!$AE692),MOD(Sync!$AE692,100),IFERROR(VALUE(TRIM(MID(MID(Sync!$AE692,FIND("/",Sync!$AE692)+1,20),FIND("/",MID(Sync!$AE692,FIND("/",Sync!$AE692)+1,20))+1,20))),"")))</f>
        <v/>
      </c>
      <c r="J692">
        <f>IF($F692="","",IF(OR($G692="",$H692="",$I692="",$G692&lt;1300,$G692&gt;1500,$H692&lt;1,$H692&gt;12,$I692&lt;1,$I692&gt;31),"نامعتبر",RIGHT("0000"&amp;$G692,4)&amp;"/"&amp;RIGHT("00"&amp;$H692,2)&amp;"/"&amp;RIGHT("00"&amp;$I692,2)))</f>
        <v/>
      </c>
      <c r="K692">
        <f>IF(OR($F692="",$J692="",$J692="نامعتبر"),"",LEFT($J692,4)&amp;MID($J692,6,2)&amp;RIGHT($J692,2)&amp;$N692&amp;"|"&amp;"2"&amp;RIGHT("00000"&amp;687,5))</f>
        <v/>
      </c>
      <c r="L692">
        <f>IF($K692="","",COUNTIFS(LdgSellerA,$F692,LdgKeyA,"&lt;"&amp;$K692)+COUNTIFS(LdgSellerB,$F692,LdgKeyB,"&lt;"&amp;$K692)+1)</f>
        <v/>
      </c>
      <c r="M692">
        <f>IF($L692="","",$F692&amp;"|"&amp;RIGHT("000000"&amp;$L692,6))</f>
        <v/>
      </c>
      <c r="N692">
        <f>IF($F692="","",IF(Sync!$AF692="","0000",IF(AND(ISNUMBER(Sync!$AF692),Sync!$AF692&gt;=0,Sync!$AF692&lt;1),RIGHT("00"&amp;HOUR(Sync!$AF692),2)&amp;RIGHT("00"&amp;MINUTE(Sync!$AF692),2),IFERROR(RIGHT("00"&amp;VALUE(LEFT(Sync!$AF692,FIND(":",Sync!$AF692)-1)),2)&amp;RIGHT("00"&amp;VALUE(MID(Sync!$AF692,FIND(":",Sync!$AF692)+1,2)),2),"0000"))))</f>
        <v/>
      </c>
    </row>
    <row r="693">
      <c r="A693">
        <f>IF(OR(Calc!$E697="",Calc!$E697="نامعتبر",Calc!$G697=""),"",Calc!$G697)</f>
        <v/>
      </c>
      <c r="B693">
        <f>IF($A693="","",LEFT(Calc!$E697,4)&amp;MID(Calc!$E697,6,2)&amp;RIGHT(Calc!$E697,2)&amp;Calc!$Q697&amp;"|"&amp;"1"&amp;RIGHT("00000"&amp;688,5))</f>
        <v/>
      </c>
      <c r="C693">
        <f>IF($B693="","",COUNTIFS(LdgSellerA,$A693,LdgKeyA,"&lt;"&amp;$B693)+COUNTIFS(LdgSellerB,$A693,LdgKeyB,"&lt;"&amp;$B693)+1)</f>
        <v/>
      </c>
      <c r="D693">
        <f>IF($C693="","",$A693&amp;"|"&amp;RIGHT("000000"&amp;$C693,6))</f>
        <v/>
      </c>
      <c r="F693">
        <f>IF(Sync!$AH693="","",IF(LEFT(UPPER(TRIM(Sync!$AH693)),2)="SL",UPPER(TRIM(Sync!$AH693)),""))</f>
        <v/>
      </c>
      <c r="G693">
        <f>IF($F693="","",IF(Sync!$AE693="","",IF(ISNUMBER(Sync!$AE693),IF(AND(Sync!$AE693&gt;=10000101,Sync!$AE693&lt;=99991231),INT(Sync!$AE693/10000),""),IFERROR(VALUE(TRIM(LEFT(Sync!$AE693,FIND("/",Sync!$AE693)-1))),""))))</f>
        <v/>
      </c>
      <c r="H693">
        <f>IF(OR($F693="",$G693=""),"",IF(ISNUMBER(Sync!$AE693),INT(MOD(Sync!$AE693,10000)/100),IFERROR(VALUE(TRIM(LEFT(MID(Sync!$AE693,FIND("/",Sync!$AE693)+1,20),FIND("/",MID(Sync!$AE693,FIND("/",Sync!$AE693)+1,20))-1))),"")))</f>
        <v/>
      </c>
      <c r="I693">
        <f>IF(OR($F693="",$G693=""),"",IF(ISNUMBER(Sync!$AE693),MOD(Sync!$AE693,100),IFERROR(VALUE(TRIM(MID(MID(Sync!$AE693,FIND("/",Sync!$AE693)+1,20),FIND("/",MID(Sync!$AE693,FIND("/",Sync!$AE693)+1,20))+1,20))),"")))</f>
        <v/>
      </c>
      <c r="J693">
        <f>IF($F693="","",IF(OR($G693="",$H693="",$I693="",$G693&lt;1300,$G693&gt;1500,$H693&lt;1,$H693&gt;12,$I693&lt;1,$I693&gt;31),"نامعتبر",RIGHT("0000"&amp;$G693,4)&amp;"/"&amp;RIGHT("00"&amp;$H693,2)&amp;"/"&amp;RIGHT("00"&amp;$I693,2)))</f>
        <v/>
      </c>
      <c r="K693">
        <f>IF(OR($F693="",$J693="",$J693="نامعتبر"),"",LEFT($J693,4)&amp;MID($J693,6,2)&amp;RIGHT($J693,2)&amp;$N693&amp;"|"&amp;"2"&amp;RIGHT("00000"&amp;688,5))</f>
        <v/>
      </c>
      <c r="L693">
        <f>IF($K693="","",COUNTIFS(LdgSellerA,$F693,LdgKeyA,"&lt;"&amp;$K693)+COUNTIFS(LdgSellerB,$F693,LdgKeyB,"&lt;"&amp;$K693)+1)</f>
        <v/>
      </c>
      <c r="M693">
        <f>IF($L693="","",$F693&amp;"|"&amp;RIGHT("000000"&amp;$L693,6))</f>
        <v/>
      </c>
      <c r="N693">
        <f>IF($F693="","",IF(Sync!$AF693="","0000",IF(AND(ISNUMBER(Sync!$AF693),Sync!$AF693&gt;=0,Sync!$AF693&lt;1),RIGHT("00"&amp;HOUR(Sync!$AF693),2)&amp;RIGHT("00"&amp;MINUTE(Sync!$AF693),2),IFERROR(RIGHT("00"&amp;VALUE(LEFT(Sync!$AF693,FIND(":",Sync!$AF693)-1)),2)&amp;RIGHT("00"&amp;VALUE(MID(Sync!$AF693,FIND(":",Sync!$AF693)+1,2)),2),"0000"))))</f>
        <v/>
      </c>
    </row>
    <row r="694">
      <c r="A694">
        <f>IF(OR(Calc!$E698="",Calc!$E698="نامعتبر",Calc!$G698=""),"",Calc!$G698)</f>
        <v/>
      </c>
      <c r="B694">
        <f>IF($A694="","",LEFT(Calc!$E698,4)&amp;MID(Calc!$E698,6,2)&amp;RIGHT(Calc!$E698,2)&amp;Calc!$Q698&amp;"|"&amp;"1"&amp;RIGHT("00000"&amp;689,5))</f>
        <v/>
      </c>
      <c r="C694">
        <f>IF($B694="","",COUNTIFS(LdgSellerA,$A694,LdgKeyA,"&lt;"&amp;$B694)+COUNTIFS(LdgSellerB,$A694,LdgKeyB,"&lt;"&amp;$B694)+1)</f>
        <v/>
      </c>
      <c r="D694">
        <f>IF($C694="","",$A694&amp;"|"&amp;RIGHT("000000"&amp;$C694,6))</f>
        <v/>
      </c>
      <c r="F694">
        <f>IF(Sync!$AH694="","",IF(LEFT(UPPER(TRIM(Sync!$AH694)),2)="SL",UPPER(TRIM(Sync!$AH694)),""))</f>
        <v/>
      </c>
      <c r="G694">
        <f>IF($F694="","",IF(Sync!$AE694="","",IF(ISNUMBER(Sync!$AE694),IF(AND(Sync!$AE694&gt;=10000101,Sync!$AE694&lt;=99991231),INT(Sync!$AE694/10000),""),IFERROR(VALUE(TRIM(LEFT(Sync!$AE694,FIND("/",Sync!$AE694)-1))),""))))</f>
        <v/>
      </c>
      <c r="H694">
        <f>IF(OR($F694="",$G694=""),"",IF(ISNUMBER(Sync!$AE694),INT(MOD(Sync!$AE694,10000)/100),IFERROR(VALUE(TRIM(LEFT(MID(Sync!$AE694,FIND("/",Sync!$AE694)+1,20),FIND("/",MID(Sync!$AE694,FIND("/",Sync!$AE694)+1,20))-1))),"")))</f>
        <v/>
      </c>
      <c r="I694">
        <f>IF(OR($F694="",$G694=""),"",IF(ISNUMBER(Sync!$AE694),MOD(Sync!$AE694,100),IFERROR(VALUE(TRIM(MID(MID(Sync!$AE694,FIND("/",Sync!$AE694)+1,20),FIND("/",MID(Sync!$AE694,FIND("/",Sync!$AE694)+1,20))+1,20))),"")))</f>
        <v/>
      </c>
      <c r="J694">
        <f>IF($F694="","",IF(OR($G694="",$H694="",$I694="",$G694&lt;1300,$G694&gt;1500,$H694&lt;1,$H694&gt;12,$I694&lt;1,$I694&gt;31),"نامعتبر",RIGHT("0000"&amp;$G694,4)&amp;"/"&amp;RIGHT("00"&amp;$H694,2)&amp;"/"&amp;RIGHT("00"&amp;$I694,2)))</f>
        <v/>
      </c>
      <c r="K694">
        <f>IF(OR($F694="",$J694="",$J694="نامعتبر"),"",LEFT($J694,4)&amp;MID($J694,6,2)&amp;RIGHT($J694,2)&amp;$N694&amp;"|"&amp;"2"&amp;RIGHT("00000"&amp;689,5))</f>
        <v/>
      </c>
      <c r="L694">
        <f>IF($K694="","",COUNTIFS(LdgSellerA,$F694,LdgKeyA,"&lt;"&amp;$K694)+COUNTIFS(LdgSellerB,$F694,LdgKeyB,"&lt;"&amp;$K694)+1)</f>
        <v/>
      </c>
      <c r="M694">
        <f>IF($L694="","",$F694&amp;"|"&amp;RIGHT("000000"&amp;$L694,6))</f>
        <v/>
      </c>
      <c r="N694">
        <f>IF($F694="","",IF(Sync!$AF694="","0000",IF(AND(ISNUMBER(Sync!$AF694),Sync!$AF694&gt;=0,Sync!$AF694&lt;1),RIGHT("00"&amp;HOUR(Sync!$AF694),2)&amp;RIGHT("00"&amp;MINUTE(Sync!$AF694),2),IFERROR(RIGHT("00"&amp;VALUE(LEFT(Sync!$AF694,FIND(":",Sync!$AF694)-1)),2)&amp;RIGHT("00"&amp;VALUE(MID(Sync!$AF694,FIND(":",Sync!$AF694)+1,2)),2),"0000"))))</f>
        <v/>
      </c>
    </row>
    <row r="695">
      <c r="A695">
        <f>IF(OR(Calc!$E699="",Calc!$E699="نامعتبر",Calc!$G699=""),"",Calc!$G699)</f>
        <v/>
      </c>
      <c r="B695">
        <f>IF($A695="","",LEFT(Calc!$E699,4)&amp;MID(Calc!$E699,6,2)&amp;RIGHT(Calc!$E699,2)&amp;Calc!$Q699&amp;"|"&amp;"1"&amp;RIGHT("00000"&amp;690,5))</f>
        <v/>
      </c>
      <c r="C695">
        <f>IF($B695="","",COUNTIFS(LdgSellerA,$A695,LdgKeyA,"&lt;"&amp;$B695)+COUNTIFS(LdgSellerB,$A695,LdgKeyB,"&lt;"&amp;$B695)+1)</f>
        <v/>
      </c>
      <c r="D695">
        <f>IF($C695="","",$A695&amp;"|"&amp;RIGHT("000000"&amp;$C695,6))</f>
        <v/>
      </c>
      <c r="F695">
        <f>IF(Sync!$AH695="","",IF(LEFT(UPPER(TRIM(Sync!$AH695)),2)="SL",UPPER(TRIM(Sync!$AH695)),""))</f>
        <v/>
      </c>
      <c r="G695">
        <f>IF($F695="","",IF(Sync!$AE695="","",IF(ISNUMBER(Sync!$AE695),IF(AND(Sync!$AE695&gt;=10000101,Sync!$AE695&lt;=99991231),INT(Sync!$AE695/10000),""),IFERROR(VALUE(TRIM(LEFT(Sync!$AE695,FIND("/",Sync!$AE695)-1))),""))))</f>
        <v/>
      </c>
      <c r="H695">
        <f>IF(OR($F695="",$G695=""),"",IF(ISNUMBER(Sync!$AE695),INT(MOD(Sync!$AE695,10000)/100),IFERROR(VALUE(TRIM(LEFT(MID(Sync!$AE695,FIND("/",Sync!$AE695)+1,20),FIND("/",MID(Sync!$AE695,FIND("/",Sync!$AE695)+1,20))-1))),"")))</f>
        <v/>
      </c>
      <c r="I695">
        <f>IF(OR($F695="",$G695=""),"",IF(ISNUMBER(Sync!$AE695),MOD(Sync!$AE695,100),IFERROR(VALUE(TRIM(MID(MID(Sync!$AE695,FIND("/",Sync!$AE695)+1,20),FIND("/",MID(Sync!$AE695,FIND("/",Sync!$AE695)+1,20))+1,20))),"")))</f>
        <v/>
      </c>
      <c r="J695">
        <f>IF($F695="","",IF(OR($G695="",$H695="",$I695="",$G695&lt;1300,$G695&gt;1500,$H695&lt;1,$H695&gt;12,$I695&lt;1,$I695&gt;31),"نامعتبر",RIGHT("0000"&amp;$G695,4)&amp;"/"&amp;RIGHT("00"&amp;$H695,2)&amp;"/"&amp;RIGHT("00"&amp;$I695,2)))</f>
        <v/>
      </c>
      <c r="K695">
        <f>IF(OR($F695="",$J695="",$J695="نامعتبر"),"",LEFT($J695,4)&amp;MID($J695,6,2)&amp;RIGHT($J695,2)&amp;$N695&amp;"|"&amp;"2"&amp;RIGHT("00000"&amp;690,5))</f>
        <v/>
      </c>
      <c r="L695">
        <f>IF($K695="","",COUNTIFS(LdgSellerA,$F695,LdgKeyA,"&lt;"&amp;$K695)+COUNTIFS(LdgSellerB,$F695,LdgKeyB,"&lt;"&amp;$K695)+1)</f>
        <v/>
      </c>
      <c r="M695">
        <f>IF($L695="","",$F695&amp;"|"&amp;RIGHT("000000"&amp;$L695,6))</f>
        <v/>
      </c>
      <c r="N695">
        <f>IF($F695="","",IF(Sync!$AF695="","0000",IF(AND(ISNUMBER(Sync!$AF695),Sync!$AF695&gt;=0,Sync!$AF695&lt;1),RIGHT("00"&amp;HOUR(Sync!$AF695),2)&amp;RIGHT("00"&amp;MINUTE(Sync!$AF695),2),IFERROR(RIGHT("00"&amp;VALUE(LEFT(Sync!$AF695,FIND(":",Sync!$AF695)-1)),2)&amp;RIGHT("00"&amp;VALUE(MID(Sync!$AF695,FIND(":",Sync!$AF695)+1,2)),2),"0000"))))</f>
        <v/>
      </c>
    </row>
    <row r="696">
      <c r="A696">
        <f>IF(OR(Calc!$E700="",Calc!$E700="نامعتبر",Calc!$G700=""),"",Calc!$G700)</f>
        <v/>
      </c>
      <c r="B696">
        <f>IF($A696="","",LEFT(Calc!$E700,4)&amp;MID(Calc!$E700,6,2)&amp;RIGHT(Calc!$E700,2)&amp;Calc!$Q700&amp;"|"&amp;"1"&amp;RIGHT("00000"&amp;691,5))</f>
        <v/>
      </c>
      <c r="C696">
        <f>IF($B696="","",COUNTIFS(LdgSellerA,$A696,LdgKeyA,"&lt;"&amp;$B696)+COUNTIFS(LdgSellerB,$A696,LdgKeyB,"&lt;"&amp;$B696)+1)</f>
        <v/>
      </c>
      <c r="D696">
        <f>IF($C696="","",$A696&amp;"|"&amp;RIGHT("000000"&amp;$C696,6))</f>
        <v/>
      </c>
      <c r="F696">
        <f>IF(Sync!$AH696="","",IF(LEFT(UPPER(TRIM(Sync!$AH696)),2)="SL",UPPER(TRIM(Sync!$AH696)),""))</f>
        <v/>
      </c>
      <c r="G696">
        <f>IF($F696="","",IF(Sync!$AE696="","",IF(ISNUMBER(Sync!$AE696),IF(AND(Sync!$AE696&gt;=10000101,Sync!$AE696&lt;=99991231),INT(Sync!$AE696/10000),""),IFERROR(VALUE(TRIM(LEFT(Sync!$AE696,FIND("/",Sync!$AE696)-1))),""))))</f>
        <v/>
      </c>
      <c r="H696">
        <f>IF(OR($F696="",$G696=""),"",IF(ISNUMBER(Sync!$AE696),INT(MOD(Sync!$AE696,10000)/100),IFERROR(VALUE(TRIM(LEFT(MID(Sync!$AE696,FIND("/",Sync!$AE696)+1,20),FIND("/",MID(Sync!$AE696,FIND("/",Sync!$AE696)+1,20))-1))),"")))</f>
        <v/>
      </c>
      <c r="I696">
        <f>IF(OR($F696="",$G696=""),"",IF(ISNUMBER(Sync!$AE696),MOD(Sync!$AE696,100),IFERROR(VALUE(TRIM(MID(MID(Sync!$AE696,FIND("/",Sync!$AE696)+1,20),FIND("/",MID(Sync!$AE696,FIND("/",Sync!$AE696)+1,20))+1,20))),"")))</f>
        <v/>
      </c>
      <c r="J696">
        <f>IF($F696="","",IF(OR($G696="",$H696="",$I696="",$G696&lt;1300,$G696&gt;1500,$H696&lt;1,$H696&gt;12,$I696&lt;1,$I696&gt;31),"نامعتبر",RIGHT("0000"&amp;$G696,4)&amp;"/"&amp;RIGHT("00"&amp;$H696,2)&amp;"/"&amp;RIGHT("00"&amp;$I696,2)))</f>
        <v/>
      </c>
      <c r="K696">
        <f>IF(OR($F696="",$J696="",$J696="نامعتبر"),"",LEFT($J696,4)&amp;MID($J696,6,2)&amp;RIGHT($J696,2)&amp;$N696&amp;"|"&amp;"2"&amp;RIGHT("00000"&amp;691,5))</f>
        <v/>
      </c>
      <c r="L696">
        <f>IF($K696="","",COUNTIFS(LdgSellerA,$F696,LdgKeyA,"&lt;"&amp;$K696)+COUNTIFS(LdgSellerB,$F696,LdgKeyB,"&lt;"&amp;$K696)+1)</f>
        <v/>
      </c>
      <c r="M696">
        <f>IF($L696="","",$F696&amp;"|"&amp;RIGHT("000000"&amp;$L696,6))</f>
        <v/>
      </c>
      <c r="N696">
        <f>IF($F696="","",IF(Sync!$AF696="","0000",IF(AND(ISNUMBER(Sync!$AF696),Sync!$AF696&gt;=0,Sync!$AF696&lt;1),RIGHT("00"&amp;HOUR(Sync!$AF696),2)&amp;RIGHT("00"&amp;MINUTE(Sync!$AF696),2),IFERROR(RIGHT("00"&amp;VALUE(LEFT(Sync!$AF696,FIND(":",Sync!$AF696)-1)),2)&amp;RIGHT("00"&amp;VALUE(MID(Sync!$AF696,FIND(":",Sync!$AF696)+1,2)),2),"0000"))))</f>
        <v/>
      </c>
    </row>
    <row r="697">
      <c r="A697">
        <f>IF(OR(Calc!$E701="",Calc!$E701="نامعتبر",Calc!$G701=""),"",Calc!$G701)</f>
        <v/>
      </c>
      <c r="B697">
        <f>IF($A697="","",LEFT(Calc!$E701,4)&amp;MID(Calc!$E701,6,2)&amp;RIGHT(Calc!$E701,2)&amp;Calc!$Q701&amp;"|"&amp;"1"&amp;RIGHT("00000"&amp;692,5))</f>
        <v/>
      </c>
      <c r="C697">
        <f>IF($B697="","",COUNTIFS(LdgSellerA,$A697,LdgKeyA,"&lt;"&amp;$B697)+COUNTIFS(LdgSellerB,$A697,LdgKeyB,"&lt;"&amp;$B697)+1)</f>
        <v/>
      </c>
      <c r="D697">
        <f>IF($C697="","",$A697&amp;"|"&amp;RIGHT("000000"&amp;$C697,6))</f>
        <v/>
      </c>
      <c r="F697">
        <f>IF(Sync!$AH697="","",IF(LEFT(UPPER(TRIM(Sync!$AH697)),2)="SL",UPPER(TRIM(Sync!$AH697)),""))</f>
        <v/>
      </c>
      <c r="G697">
        <f>IF($F697="","",IF(Sync!$AE697="","",IF(ISNUMBER(Sync!$AE697),IF(AND(Sync!$AE697&gt;=10000101,Sync!$AE697&lt;=99991231),INT(Sync!$AE697/10000),""),IFERROR(VALUE(TRIM(LEFT(Sync!$AE697,FIND("/",Sync!$AE697)-1))),""))))</f>
        <v/>
      </c>
      <c r="H697">
        <f>IF(OR($F697="",$G697=""),"",IF(ISNUMBER(Sync!$AE697),INT(MOD(Sync!$AE697,10000)/100),IFERROR(VALUE(TRIM(LEFT(MID(Sync!$AE697,FIND("/",Sync!$AE697)+1,20),FIND("/",MID(Sync!$AE697,FIND("/",Sync!$AE697)+1,20))-1))),"")))</f>
        <v/>
      </c>
      <c r="I697">
        <f>IF(OR($F697="",$G697=""),"",IF(ISNUMBER(Sync!$AE697),MOD(Sync!$AE697,100),IFERROR(VALUE(TRIM(MID(MID(Sync!$AE697,FIND("/",Sync!$AE697)+1,20),FIND("/",MID(Sync!$AE697,FIND("/",Sync!$AE697)+1,20))+1,20))),"")))</f>
        <v/>
      </c>
      <c r="J697">
        <f>IF($F697="","",IF(OR($G697="",$H697="",$I697="",$G697&lt;1300,$G697&gt;1500,$H697&lt;1,$H697&gt;12,$I697&lt;1,$I697&gt;31),"نامعتبر",RIGHT("0000"&amp;$G697,4)&amp;"/"&amp;RIGHT("00"&amp;$H697,2)&amp;"/"&amp;RIGHT("00"&amp;$I697,2)))</f>
        <v/>
      </c>
      <c r="K697">
        <f>IF(OR($F697="",$J697="",$J697="نامعتبر"),"",LEFT($J697,4)&amp;MID($J697,6,2)&amp;RIGHT($J697,2)&amp;$N697&amp;"|"&amp;"2"&amp;RIGHT("00000"&amp;692,5))</f>
        <v/>
      </c>
      <c r="L697">
        <f>IF($K697="","",COUNTIFS(LdgSellerA,$F697,LdgKeyA,"&lt;"&amp;$K697)+COUNTIFS(LdgSellerB,$F697,LdgKeyB,"&lt;"&amp;$K697)+1)</f>
        <v/>
      </c>
      <c r="M697">
        <f>IF($L697="","",$F697&amp;"|"&amp;RIGHT("000000"&amp;$L697,6))</f>
        <v/>
      </c>
      <c r="N697">
        <f>IF($F697="","",IF(Sync!$AF697="","0000",IF(AND(ISNUMBER(Sync!$AF697),Sync!$AF697&gt;=0,Sync!$AF697&lt;1),RIGHT("00"&amp;HOUR(Sync!$AF697),2)&amp;RIGHT("00"&amp;MINUTE(Sync!$AF697),2),IFERROR(RIGHT("00"&amp;VALUE(LEFT(Sync!$AF697,FIND(":",Sync!$AF697)-1)),2)&amp;RIGHT("00"&amp;VALUE(MID(Sync!$AF697,FIND(":",Sync!$AF697)+1,2)),2),"0000"))))</f>
        <v/>
      </c>
    </row>
    <row r="698">
      <c r="A698">
        <f>IF(OR(Calc!$E702="",Calc!$E702="نامعتبر",Calc!$G702=""),"",Calc!$G702)</f>
        <v/>
      </c>
      <c r="B698">
        <f>IF($A698="","",LEFT(Calc!$E702,4)&amp;MID(Calc!$E702,6,2)&amp;RIGHT(Calc!$E702,2)&amp;Calc!$Q702&amp;"|"&amp;"1"&amp;RIGHT("00000"&amp;693,5))</f>
        <v/>
      </c>
      <c r="C698">
        <f>IF($B698="","",COUNTIFS(LdgSellerA,$A698,LdgKeyA,"&lt;"&amp;$B698)+COUNTIFS(LdgSellerB,$A698,LdgKeyB,"&lt;"&amp;$B698)+1)</f>
        <v/>
      </c>
      <c r="D698">
        <f>IF($C698="","",$A698&amp;"|"&amp;RIGHT("000000"&amp;$C698,6))</f>
        <v/>
      </c>
      <c r="F698">
        <f>IF(Sync!$AH698="","",IF(LEFT(UPPER(TRIM(Sync!$AH698)),2)="SL",UPPER(TRIM(Sync!$AH698)),""))</f>
        <v/>
      </c>
      <c r="G698">
        <f>IF($F698="","",IF(Sync!$AE698="","",IF(ISNUMBER(Sync!$AE698),IF(AND(Sync!$AE698&gt;=10000101,Sync!$AE698&lt;=99991231),INT(Sync!$AE698/10000),""),IFERROR(VALUE(TRIM(LEFT(Sync!$AE698,FIND("/",Sync!$AE698)-1))),""))))</f>
        <v/>
      </c>
      <c r="H698">
        <f>IF(OR($F698="",$G698=""),"",IF(ISNUMBER(Sync!$AE698),INT(MOD(Sync!$AE698,10000)/100),IFERROR(VALUE(TRIM(LEFT(MID(Sync!$AE698,FIND("/",Sync!$AE698)+1,20),FIND("/",MID(Sync!$AE698,FIND("/",Sync!$AE698)+1,20))-1))),"")))</f>
        <v/>
      </c>
      <c r="I698">
        <f>IF(OR($F698="",$G698=""),"",IF(ISNUMBER(Sync!$AE698),MOD(Sync!$AE698,100),IFERROR(VALUE(TRIM(MID(MID(Sync!$AE698,FIND("/",Sync!$AE698)+1,20),FIND("/",MID(Sync!$AE698,FIND("/",Sync!$AE698)+1,20))+1,20))),"")))</f>
        <v/>
      </c>
      <c r="J698">
        <f>IF($F698="","",IF(OR($G698="",$H698="",$I698="",$G698&lt;1300,$G698&gt;1500,$H698&lt;1,$H698&gt;12,$I698&lt;1,$I698&gt;31),"نامعتبر",RIGHT("0000"&amp;$G698,4)&amp;"/"&amp;RIGHT("00"&amp;$H698,2)&amp;"/"&amp;RIGHT("00"&amp;$I698,2)))</f>
        <v/>
      </c>
      <c r="K698">
        <f>IF(OR($F698="",$J698="",$J698="نامعتبر"),"",LEFT($J698,4)&amp;MID($J698,6,2)&amp;RIGHT($J698,2)&amp;$N698&amp;"|"&amp;"2"&amp;RIGHT("00000"&amp;693,5))</f>
        <v/>
      </c>
      <c r="L698">
        <f>IF($K698="","",COUNTIFS(LdgSellerA,$F698,LdgKeyA,"&lt;"&amp;$K698)+COUNTIFS(LdgSellerB,$F698,LdgKeyB,"&lt;"&amp;$K698)+1)</f>
        <v/>
      </c>
      <c r="M698">
        <f>IF($L698="","",$F698&amp;"|"&amp;RIGHT("000000"&amp;$L698,6))</f>
        <v/>
      </c>
      <c r="N698">
        <f>IF($F698="","",IF(Sync!$AF698="","0000",IF(AND(ISNUMBER(Sync!$AF698),Sync!$AF698&gt;=0,Sync!$AF698&lt;1),RIGHT("00"&amp;HOUR(Sync!$AF698),2)&amp;RIGHT("00"&amp;MINUTE(Sync!$AF698),2),IFERROR(RIGHT("00"&amp;VALUE(LEFT(Sync!$AF698,FIND(":",Sync!$AF698)-1)),2)&amp;RIGHT("00"&amp;VALUE(MID(Sync!$AF698,FIND(":",Sync!$AF698)+1,2)),2),"0000"))))</f>
        <v/>
      </c>
    </row>
    <row r="699">
      <c r="A699">
        <f>IF(OR(Calc!$E703="",Calc!$E703="نامعتبر",Calc!$G703=""),"",Calc!$G703)</f>
        <v/>
      </c>
      <c r="B699">
        <f>IF($A699="","",LEFT(Calc!$E703,4)&amp;MID(Calc!$E703,6,2)&amp;RIGHT(Calc!$E703,2)&amp;Calc!$Q703&amp;"|"&amp;"1"&amp;RIGHT("00000"&amp;694,5))</f>
        <v/>
      </c>
      <c r="C699">
        <f>IF($B699="","",COUNTIFS(LdgSellerA,$A699,LdgKeyA,"&lt;"&amp;$B699)+COUNTIFS(LdgSellerB,$A699,LdgKeyB,"&lt;"&amp;$B699)+1)</f>
        <v/>
      </c>
      <c r="D699">
        <f>IF($C699="","",$A699&amp;"|"&amp;RIGHT("000000"&amp;$C699,6))</f>
        <v/>
      </c>
      <c r="F699">
        <f>IF(Sync!$AH699="","",IF(LEFT(UPPER(TRIM(Sync!$AH699)),2)="SL",UPPER(TRIM(Sync!$AH699)),""))</f>
        <v/>
      </c>
      <c r="G699">
        <f>IF($F699="","",IF(Sync!$AE699="","",IF(ISNUMBER(Sync!$AE699),IF(AND(Sync!$AE699&gt;=10000101,Sync!$AE699&lt;=99991231),INT(Sync!$AE699/10000),""),IFERROR(VALUE(TRIM(LEFT(Sync!$AE699,FIND("/",Sync!$AE699)-1))),""))))</f>
        <v/>
      </c>
      <c r="H699">
        <f>IF(OR($F699="",$G699=""),"",IF(ISNUMBER(Sync!$AE699),INT(MOD(Sync!$AE699,10000)/100),IFERROR(VALUE(TRIM(LEFT(MID(Sync!$AE699,FIND("/",Sync!$AE699)+1,20),FIND("/",MID(Sync!$AE699,FIND("/",Sync!$AE699)+1,20))-1))),"")))</f>
        <v/>
      </c>
      <c r="I699">
        <f>IF(OR($F699="",$G699=""),"",IF(ISNUMBER(Sync!$AE699),MOD(Sync!$AE699,100),IFERROR(VALUE(TRIM(MID(MID(Sync!$AE699,FIND("/",Sync!$AE699)+1,20),FIND("/",MID(Sync!$AE699,FIND("/",Sync!$AE699)+1,20))+1,20))),"")))</f>
        <v/>
      </c>
      <c r="J699">
        <f>IF($F699="","",IF(OR($G699="",$H699="",$I699="",$G699&lt;1300,$G699&gt;1500,$H699&lt;1,$H699&gt;12,$I699&lt;1,$I699&gt;31),"نامعتبر",RIGHT("0000"&amp;$G699,4)&amp;"/"&amp;RIGHT("00"&amp;$H699,2)&amp;"/"&amp;RIGHT("00"&amp;$I699,2)))</f>
        <v/>
      </c>
      <c r="K699">
        <f>IF(OR($F699="",$J699="",$J699="نامعتبر"),"",LEFT($J699,4)&amp;MID($J699,6,2)&amp;RIGHT($J699,2)&amp;$N699&amp;"|"&amp;"2"&amp;RIGHT("00000"&amp;694,5))</f>
        <v/>
      </c>
      <c r="L699">
        <f>IF($K699="","",COUNTIFS(LdgSellerA,$F699,LdgKeyA,"&lt;"&amp;$K699)+COUNTIFS(LdgSellerB,$F699,LdgKeyB,"&lt;"&amp;$K699)+1)</f>
        <v/>
      </c>
      <c r="M699">
        <f>IF($L699="","",$F699&amp;"|"&amp;RIGHT("000000"&amp;$L699,6))</f>
        <v/>
      </c>
      <c r="N699">
        <f>IF($F699="","",IF(Sync!$AF699="","0000",IF(AND(ISNUMBER(Sync!$AF699),Sync!$AF699&gt;=0,Sync!$AF699&lt;1),RIGHT("00"&amp;HOUR(Sync!$AF699),2)&amp;RIGHT("00"&amp;MINUTE(Sync!$AF699),2),IFERROR(RIGHT("00"&amp;VALUE(LEFT(Sync!$AF699,FIND(":",Sync!$AF699)-1)),2)&amp;RIGHT("00"&amp;VALUE(MID(Sync!$AF699,FIND(":",Sync!$AF699)+1,2)),2),"0000"))))</f>
        <v/>
      </c>
    </row>
    <row r="700">
      <c r="A700">
        <f>IF(OR(Calc!$E704="",Calc!$E704="نامعتبر",Calc!$G704=""),"",Calc!$G704)</f>
        <v/>
      </c>
      <c r="B700">
        <f>IF($A700="","",LEFT(Calc!$E704,4)&amp;MID(Calc!$E704,6,2)&amp;RIGHT(Calc!$E704,2)&amp;Calc!$Q704&amp;"|"&amp;"1"&amp;RIGHT("00000"&amp;695,5))</f>
        <v/>
      </c>
      <c r="C700">
        <f>IF($B700="","",COUNTIFS(LdgSellerA,$A700,LdgKeyA,"&lt;"&amp;$B700)+COUNTIFS(LdgSellerB,$A700,LdgKeyB,"&lt;"&amp;$B700)+1)</f>
        <v/>
      </c>
      <c r="D700">
        <f>IF($C700="","",$A700&amp;"|"&amp;RIGHT("000000"&amp;$C700,6))</f>
        <v/>
      </c>
      <c r="F700">
        <f>IF(Sync!$AH700="","",IF(LEFT(UPPER(TRIM(Sync!$AH700)),2)="SL",UPPER(TRIM(Sync!$AH700)),""))</f>
        <v/>
      </c>
      <c r="G700">
        <f>IF($F700="","",IF(Sync!$AE700="","",IF(ISNUMBER(Sync!$AE700),IF(AND(Sync!$AE700&gt;=10000101,Sync!$AE700&lt;=99991231),INT(Sync!$AE700/10000),""),IFERROR(VALUE(TRIM(LEFT(Sync!$AE700,FIND("/",Sync!$AE700)-1))),""))))</f>
        <v/>
      </c>
      <c r="H700">
        <f>IF(OR($F700="",$G700=""),"",IF(ISNUMBER(Sync!$AE700),INT(MOD(Sync!$AE700,10000)/100),IFERROR(VALUE(TRIM(LEFT(MID(Sync!$AE700,FIND("/",Sync!$AE700)+1,20),FIND("/",MID(Sync!$AE700,FIND("/",Sync!$AE700)+1,20))-1))),"")))</f>
        <v/>
      </c>
      <c r="I700">
        <f>IF(OR($F700="",$G700=""),"",IF(ISNUMBER(Sync!$AE700),MOD(Sync!$AE700,100),IFERROR(VALUE(TRIM(MID(MID(Sync!$AE700,FIND("/",Sync!$AE700)+1,20),FIND("/",MID(Sync!$AE700,FIND("/",Sync!$AE700)+1,20))+1,20))),"")))</f>
        <v/>
      </c>
      <c r="J700">
        <f>IF($F700="","",IF(OR($G700="",$H700="",$I700="",$G700&lt;1300,$G700&gt;1500,$H700&lt;1,$H700&gt;12,$I700&lt;1,$I700&gt;31),"نامعتبر",RIGHT("0000"&amp;$G700,4)&amp;"/"&amp;RIGHT("00"&amp;$H700,2)&amp;"/"&amp;RIGHT("00"&amp;$I700,2)))</f>
        <v/>
      </c>
      <c r="K700">
        <f>IF(OR($F700="",$J700="",$J700="نامعتبر"),"",LEFT($J700,4)&amp;MID($J700,6,2)&amp;RIGHT($J700,2)&amp;$N700&amp;"|"&amp;"2"&amp;RIGHT("00000"&amp;695,5))</f>
        <v/>
      </c>
      <c r="L700">
        <f>IF($K700="","",COUNTIFS(LdgSellerA,$F700,LdgKeyA,"&lt;"&amp;$K700)+COUNTIFS(LdgSellerB,$F700,LdgKeyB,"&lt;"&amp;$K700)+1)</f>
        <v/>
      </c>
      <c r="M700">
        <f>IF($L700="","",$F700&amp;"|"&amp;RIGHT("000000"&amp;$L700,6))</f>
        <v/>
      </c>
      <c r="N700">
        <f>IF($F700="","",IF(Sync!$AF700="","0000",IF(AND(ISNUMBER(Sync!$AF700),Sync!$AF700&gt;=0,Sync!$AF700&lt;1),RIGHT("00"&amp;HOUR(Sync!$AF700),2)&amp;RIGHT("00"&amp;MINUTE(Sync!$AF700),2),IFERROR(RIGHT("00"&amp;VALUE(LEFT(Sync!$AF700,FIND(":",Sync!$AF700)-1)),2)&amp;RIGHT("00"&amp;VALUE(MID(Sync!$AF700,FIND(":",Sync!$AF700)+1,2)),2),"0000"))))</f>
        <v/>
      </c>
    </row>
    <row r="701">
      <c r="A701">
        <f>IF(OR(Calc!$E705="",Calc!$E705="نامعتبر",Calc!$G705=""),"",Calc!$G705)</f>
        <v/>
      </c>
      <c r="B701">
        <f>IF($A701="","",LEFT(Calc!$E705,4)&amp;MID(Calc!$E705,6,2)&amp;RIGHT(Calc!$E705,2)&amp;Calc!$Q705&amp;"|"&amp;"1"&amp;RIGHT("00000"&amp;696,5))</f>
        <v/>
      </c>
      <c r="C701">
        <f>IF($B701="","",COUNTIFS(LdgSellerA,$A701,LdgKeyA,"&lt;"&amp;$B701)+COUNTIFS(LdgSellerB,$A701,LdgKeyB,"&lt;"&amp;$B701)+1)</f>
        <v/>
      </c>
      <c r="D701">
        <f>IF($C701="","",$A701&amp;"|"&amp;RIGHT("000000"&amp;$C701,6))</f>
        <v/>
      </c>
      <c r="F701">
        <f>IF(Sync!$AH701="","",IF(LEFT(UPPER(TRIM(Sync!$AH701)),2)="SL",UPPER(TRIM(Sync!$AH701)),""))</f>
        <v/>
      </c>
      <c r="G701">
        <f>IF($F701="","",IF(Sync!$AE701="","",IF(ISNUMBER(Sync!$AE701),IF(AND(Sync!$AE701&gt;=10000101,Sync!$AE701&lt;=99991231),INT(Sync!$AE701/10000),""),IFERROR(VALUE(TRIM(LEFT(Sync!$AE701,FIND("/",Sync!$AE701)-1))),""))))</f>
        <v/>
      </c>
      <c r="H701">
        <f>IF(OR($F701="",$G701=""),"",IF(ISNUMBER(Sync!$AE701),INT(MOD(Sync!$AE701,10000)/100),IFERROR(VALUE(TRIM(LEFT(MID(Sync!$AE701,FIND("/",Sync!$AE701)+1,20),FIND("/",MID(Sync!$AE701,FIND("/",Sync!$AE701)+1,20))-1))),"")))</f>
        <v/>
      </c>
      <c r="I701">
        <f>IF(OR($F701="",$G701=""),"",IF(ISNUMBER(Sync!$AE701),MOD(Sync!$AE701,100),IFERROR(VALUE(TRIM(MID(MID(Sync!$AE701,FIND("/",Sync!$AE701)+1,20),FIND("/",MID(Sync!$AE701,FIND("/",Sync!$AE701)+1,20))+1,20))),"")))</f>
        <v/>
      </c>
      <c r="J701">
        <f>IF($F701="","",IF(OR($G701="",$H701="",$I701="",$G701&lt;1300,$G701&gt;1500,$H701&lt;1,$H701&gt;12,$I701&lt;1,$I701&gt;31),"نامعتبر",RIGHT("0000"&amp;$G701,4)&amp;"/"&amp;RIGHT("00"&amp;$H701,2)&amp;"/"&amp;RIGHT("00"&amp;$I701,2)))</f>
        <v/>
      </c>
      <c r="K701">
        <f>IF(OR($F701="",$J701="",$J701="نامعتبر"),"",LEFT($J701,4)&amp;MID($J701,6,2)&amp;RIGHT($J701,2)&amp;$N701&amp;"|"&amp;"2"&amp;RIGHT("00000"&amp;696,5))</f>
        <v/>
      </c>
      <c r="L701">
        <f>IF($K701="","",COUNTIFS(LdgSellerA,$F701,LdgKeyA,"&lt;"&amp;$K701)+COUNTIFS(LdgSellerB,$F701,LdgKeyB,"&lt;"&amp;$K701)+1)</f>
        <v/>
      </c>
      <c r="M701">
        <f>IF($L701="","",$F701&amp;"|"&amp;RIGHT("000000"&amp;$L701,6))</f>
        <v/>
      </c>
      <c r="N701">
        <f>IF($F701="","",IF(Sync!$AF701="","0000",IF(AND(ISNUMBER(Sync!$AF701),Sync!$AF701&gt;=0,Sync!$AF701&lt;1),RIGHT("00"&amp;HOUR(Sync!$AF701),2)&amp;RIGHT("00"&amp;MINUTE(Sync!$AF701),2),IFERROR(RIGHT("00"&amp;VALUE(LEFT(Sync!$AF701,FIND(":",Sync!$AF701)-1)),2)&amp;RIGHT("00"&amp;VALUE(MID(Sync!$AF701,FIND(":",Sync!$AF701)+1,2)),2),"0000"))))</f>
        <v/>
      </c>
    </row>
    <row r="702">
      <c r="A702">
        <f>IF(OR(Calc!$E706="",Calc!$E706="نامعتبر",Calc!$G706=""),"",Calc!$G706)</f>
        <v/>
      </c>
      <c r="B702">
        <f>IF($A702="","",LEFT(Calc!$E706,4)&amp;MID(Calc!$E706,6,2)&amp;RIGHT(Calc!$E706,2)&amp;Calc!$Q706&amp;"|"&amp;"1"&amp;RIGHT("00000"&amp;697,5))</f>
        <v/>
      </c>
      <c r="C702">
        <f>IF($B702="","",COUNTIFS(LdgSellerA,$A702,LdgKeyA,"&lt;"&amp;$B702)+COUNTIFS(LdgSellerB,$A702,LdgKeyB,"&lt;"&amp;$B702)+1)</f>
        <v/>
      </c>
      <c r="D702">
        <f>IF($C702="","",$A702&amp;"|"&amp;RIGHT("000000"&amp;$C702,6))</f>
        <v/>
      </c>
      <c r="F702">
        <f>IF(Sync!$AH702="","",IF(LEFT(UPPER(TRIM(Sync!$AH702)),2)="SL",UPPER(TRIM(Sync!$AH702)),""))</f>
        <v/>
      </c>
      <c r="G702">
        <f>IF($F702="","",IF(Sync!$AE702="","",IF(ISNUMBER(Sync!$AE702),IF(AND(Sync!$AE702&gt;=10000101,Sync!$AE702&lt;=99991231),INT(Sync!$AE702/10000),""),IFERROR(VALUE(TRIM(LEFT(Sync!$AE702,FIND("/",Sync!$AE702)-1))),""))))</f>
        <v/>
      </c>
      <c r="H702">
        <f>IF(OR($F702="",$G702=""),"",IF(ISNUMBER(Sync!$AE702),INT(MOD(Sync!$AE702,10000)/100),IFERROR(VALUE(TRIM(LEFT(MID(Sync!$AE702,FIND("/",Sync!$AE702)+1,20),FIND("/",MID(Sync!$AE702,FIND("/",Sync!$AE702)+1,20))-1))),"")))</f>
        <v/>
      </c>
      <c r="I702">
        <f>IF(OR($F702="",$G702=""),"",IF(ISNUMBER(Sync!$AE702),MOD(Sync!$AE702,100),IFERROR(VALUE(TRIM(MID(MID(Sync!$AE702,FIND("/",Sync!$AE702)+1,20),FIND("/",MID(Sync!$AE702,FIND("/",Sync!$AE702)+1,20))+1,20))),"")))</f>
        <v/>
      </c>
      <c r="J702">
        <f>IF($F702="","",IF(OR($G702="",$H702="",$I702="",$G702&lt;1300,$G702&gt;1500,$H702&lt;1,$H702&gt;12,$I702&lt;1,$I702&gt;31),"نامعتبر",RIGHT("0000"&amp;$G702,4)&amp;"/"&amp;RIGHT("00"&amp;$H702,2)&amp;"/"&amp;RIGHT("00"&amp;$I702,2)))</f>
        <v/>
      </c>
      <c r="K702">
        <f>IF(OR($F702="",$J702="",$J702="نامعتبر"),"",LEFT($J702,4)&amp;MID($J702,6,2)&amp;RIGHT($J702,2)&amp;$N702&amp;"|"&amp;"2"&amp;RIGHT("00000"&amp;697,5))</f>
        <v/>
      </c>
      <c r="L702">
        <f>IF($K702="","",COUNTIFS(LdgSellerA,$F702,LdgKeyA,"&lt;"&amp;$K702)+COUNTIFS(LdgSellerB,$F702,LdgKeyB,"&lt;"&amp;$K702)+1)</f>
        <v/>
      </c>
      <c r="M702">
        <f>IF($L702="","",$F702&amp;"|"&amp;RIGHT("000000"&amp;$L702,6))</f>
        <v/>
      </c>
      <c r="N702">
        <f>IF($F702="","",IF(Sync!$AF702="","0000",IF(AND(ISNUMBER(Sync!$AF702),Sync!$AF702&gt;=0,Sync!$AF702&lt;1),RIGHT("00"&amp;HOUR(Sync!$AF702),2)&amp;RIGHT("00"&amp;MINUTE(Sync!$AF702),2),IFERROR(RIGHT("00"&amp;VALUE(LEFT(Sync!$AF702,FIND(":",Sync!$AF702)-1)),2)&amp;RIGHT("00"&amp;VALUE(MID(Sync!$AF702,FIND(":",Sync!$AF702)+1,2)),2),"0000"))))</f>
        <v/>
      </c>
    </row>
    <row r="703">
      <c r="A703">
        <f>IF(OR(Calc!$E707="",Calc!$E707="نامعتبر",Calc!$G707=""),"",Calc!$G707)</f>
        <v/>
      </c>
      <c r="B703">
        <f>IF($A703="","",LEFT(Calc!$E707,4)&amp;MID(Calc!$E707,6,2)&amp;RIGHT(Calc!$E707,2)&amp;Calc!$Q707&amp;"|"&amp;"1"&amp;RIGHT("00000"&amp;698,5))</f>
        <v/>
      </c>
      <c r="C703">
        <f>IF($B703="","",COUNTIFS(LdgSellerA,$A703,LdgKeyA,"&lt;"&amp;$B703)+COUNTIFS(LdgSellerB,$A703,LdgKeyB,"&lt;"&amp;$B703)+1)</f>
        <v/>
      </c>
      <c r="D703">
        <f>IF($C703="","",$A703&amp;"|"&amp;RIGHT("000000"&amp;$C703,6))</f>
        <v/>
      </c>
      <c r="F703">
        <f>IF(Sync!$AH703="","",IF(LEFT(UPPER(TRIM(Sync!$AH703)),2)="SL",UPPER(TRIM(Sync!$AH703)),""))</f>
        <v/>
      </c>
      <c r="G703">
        <f>IF($F703="","",IF(Sync!$AE703="","",IF(ISNUMBER(Sync!$AE703),IF(AND(Sync!$AE703&gt;=10000101,Sync!$AE703&lt;=99991231),INT(Sync!$AE703/10000),""),IFERROR(VALUE(TRIM(LEFT(Sync!$AE703,FIND("/",Sync!$AE703)-1))),""))))</f>
        <v/>
      </c>
      <c r="H703">
        <f>IF(OR($F703="",$G703=""),"",IF(ISNUMBER(Sync!$AE703),INT(MOD(Sync!$AE703,10000)/100),IFERROR(VALUE(TRIM(LEFT(MID(Sync!$AE703,FIND("/",Sync!$AE703)+1,20),FIND("/",MID(Sync!$AE703,FIND("/",Sync!$AE703)+1,20))-1))),"")))</f>
        <v/>
      </c>
      <c r="I703">
        <f>IF(OR($F703="",$G703=""),"",IF(ISNUMBER(Sync!$AE703),MOD(Sync!$AE703,100),IFERROR(VALUE(TRIM(MID(MID(Sync!$AE703,FIND("/",Sync!$AE703)+1,20),FIND("/",MID(Sync!$AE703,FIND("/",Sync!$AE703)+1,20))+1,20))),"")))</f>
        <v/>
      </c>
      <c r="J703">
        <f>IF($F703="","",IF(OR($G703="",$H703="",$I703="",$G703&lt;1300,$G703&gt;1500,$H703&lt;1,$H703&gt;12,$I703&lt;1,$I703&gt;31),"نامعتبر",RIGHT("0000"&amp;$G703,4)&amp;"/"&amp;RIGHT("00"&amp;$H703,2)&amp;"/"&amp;RIGHT("00"&amp;$I703,2)))</f>
        <v/>
      </c>
      <c r="K703">
        <f>IF(OR($F703="",$J703="",$J703="نامعتبر"),"",LEFT($J703,4)&amp;MID($J703,6,2)&amp;RIGHT($J703,2)&amp;$N703&amp;"|"&amp;"2"&amp;RIGHT("00000"&amp;698,5))</f>
        <v/>
      </c>
      <c r="L703">
        <f>IF($K703="","",COUNTIFS(LdgSellerA,$F703,LdgKeyA,"&lt;"&amp;$K703)+COUNTIFS(LdgSellerB,$F703,LdgKeyB,"&lt;"&amp;$K703)+1)</f>
        <v/>
      </c>
      <c r="M703">
        <f>IF($L703="","",$F703&amp;"|"&amp;RIGHT("000000"&amp;$L703,6))</f>
        <v/>
      </c>
      <c r="N703">
        <f>IF($F703="","",IF(Sync!$AF703="","0000",IF(AND(ISNUMBER(Sync!$AF703),Sync!$AF703&gt;=0,Sync!$AF703&lt;1),RIGHT("00"&amp;HOUR(Sync!$AF703),2)&amp;RIGHT("00"&amp;MINUTE(Sync!$AF703),2),IFERROR(RIGHT("00"&amp;VALUE(LEFT(Sync!$AF703,FIND(":",Sync!$AF703)-1)),2)&amp;RIGHT("00"&amp;VALUE(MID(Sync!$AF703,FIND(":",Sync!$AF703)+1,2)),2),"0000"))))</f>
        <v/>
      </c>
    </row>
    <row r="704">
      <c r="A704">
        <f>IF(OR(Calc!$E708="",Calc!$E708="نامعتبر",Calc!$G708=""),"",Calc!$G708)</f>
        <v/>
      </c>
      <c r="B704">
        <f>IF($A704="","",LEFT(Calc!$E708,4)&amp;MID(Calc!$E708,6,2)&amp;RIGHT(Calc!$E708,2)&amp;Calc!$Q708&amp;"|"&amp;"1"&amp;RIGHT("00000"&amp;699,5))</f>
        <v/>
      </c>
      <c r="C704">
        <f>IF($B704="","",COUNTIFS(LdgSellerA,$A704,LdgKeyA,"&lt;"&amp;$B704)+COUNTIFS(LdgSellerB,$A704,LdgKeyB,"&lt;"&amp;$B704)+1)</f>
        <v/>
      </c>
      <c r="D704">
        <f>IF($C704="","",$A704&amp;"|"&amp;RIGHT("000000"&amp;$C704,6))</f>
        <v/>
      </c>
      <c r="F704">
        <f>IF(Sync!$AH704="","",IF(LEFT(UPPER(TRIM(Sync!$AH704)),2)="SL",UPPER(TRIM(Sync!$AH704)),""))</f>
        <v/>
      </c>
      <c r="G704">
        <f>IF($F704="","",IF(Sync!$AE704="","",IF(ISNUMBER(Sync!$AE704),IF(AND(Sync!$AE704&gt;=10000101,Sync!$AE704&lt;=99991231),INT(Sync!$AE704/10000),""),IFERROR(VALUE(TRIM(LEFT(Sync!$AE704,FIND("/",Sync!$AE704)-1))),""))))</f>
        <v/>
      </c>
      <c r="H704">
        <f>IF(OR($F704="",$G704=""),"",IF(ISNUMBER(Sync!$AE704),INT(MOD(Sync!$AE704,10000)/100),IFERROR(VALUE(TRIM(LEFT(MID(Sync!$AE704,FIND("/",Sync!$AE704)+1,20),FIND("/",MID(Sync!$AE704,FIND("/",Sync!$AE704)+1,20))-1))),"")))</f>
        <v/>
      </c>
      <c r="I704">
        <f>IF(OR($F704="",$G704=""),"",IF(ISNUMBER(Sync!$AE704),MOD(Sync!$AE704,100),IFERROR(VALUE(TRIM(MID(MID(Sync!$AE704,FIND("/",Sync!$AE704)+1,20),FIND("/",MID(Sync!$AE704,FIND("/",Sync!$AE704)+1,20))+1,20))),"")))</f>
        <v/>
      </c>
      <c r="J704">
        <f>IF($F704="","",IF(OR($G704="",$H704="",$I704="",$G704&lt;1300,$G704&gt;1500,$H704&lt;1,$H704&gt;12,$I704&lt;1,$I704&gt;31),"نامعتبر",RIGHT("0000"&amp;$G704,4)&amp;"/"&amp;RIGHT("00"&amp;$H704,2)&amp;"/"&amp;RIGHT("00"&amp;$I704,2)))</f>
        <v/>
      </c>
      <c r="K704">
        <f>IF(OR($F704="",$J704="",$J704="نامعتبر"),"",LEFT($J704,4)&amp;MID($J704,6,2)&amp;RIGHT($J704,2)&amp;$N704&amp;"|"&amp;"2"&amp;RIGHT("00000"&amp;699,5))</f>
        <v/>
      </c>
      <c r="L704">
        <f>IF($K704="","",COUNTIFS(LdgSellerA,$F704,LdgKeyA,"&lt;"&amp;$K704)+COUNTIFS(LdgSellerB,$F704,LdgKeyB,"&lt;"&amp;$K704)+1)</f>
        <v/>
      </c>
      <c r="M704">
        <f>IF($L704="","",$F704&amp;"|"&amp;RIGHT("000000"&amp;$L704,6))</f>
        <v/>
      </c>
      <c r="N704">
        <f>IF($F704="","",IF(Sync!$AF704="","0000",IF(AND(ISNUMBER(Sync!$AF704),Sync!$AF704&gt;=0,Sync!$AF704&lt;1),RIGHT("00"&amp;HOUR(Sync!$AF704),2)&amp;RIGHT("00"&amp;MINUTE(Sync!$AF704),2),IFERROR(RIGHT("00"&amp;VALUE(LEFT(Sync!$AF704,FIND(":",Sync!$AF704)-1)),2)&amp;RIGHT("00"&amp;VALUE(MID(Sync!$AF704,FIND(":",Sync!$AF704)+1,2)),2),"0000"))))</f>
        <v/>
      </c>
    </row>
    <row r="705">
      <c r="A705">
        <f>IF(OR(Calc!$E709="",Calc!$E709="نامعتبر",Calc!$G709=""),"",Calc!$G709)</f>
        <v/>
      </c>
      <c r="B705">
        <f>IF($A705="","",LEFT(Calc!$E709,4)&amp;MID(Calc!$E709,6,2)&amp;RIGHT(Calc!$E709,2)&amp;Calc!$Q709&amp;"|"&amp;"1"&amp;RIGHT("00000"&amp;700,5))</f>
        <v/>
      </c>
      <c r="C705">
        <f>IF($B705="","",COUNTIFS(LdgSellerA,$A705,LdgKeyA,"&lt;"&amp;$B705)+COUNTIFS(LdgSellerB,$A705,LdgKeyB,"&lt;"&amp;$B705)+1)</f>
        <v/>
      </c>
      <c r="D705">
        <f>IF($C705="","",$A705&amp;"|"&amp;RIGHT("000000"&amp;$C705,6))</f>
        <v/>
      </c>
      <c r="F705">
        <f>IF(Sync!$AH705="","",IF(LEFT(UPPER(TRIM(Sync!$AH705)),2)="SL",UPPER(TRIM(Sync!$AH705)),""))</f>
        <v/>
      </c>
      <c r="G705">
        <f>IF($F705="","",IF(Sync!$AE705="","",IF(ISNUMBER(Sync!$AE705),IF(AND(Sync!$AE705&gt;=10000101,Sync!$AE705&lt;=99991231),INT(Sync!$AE705/10000),""),IFERROR(VALUE(TRIM(LEFT(Sync!$AE705,FIND("/",Sync!$AE705)-1))),""))))</f>
        <v/>
      </c>
      <c r="H705">
        <f>IF(OR($F705="",$G705=""),"",IF(ISNUMBER(Sync!$AE705),INT(MOD(Sync!$AE705,10000)/100),IFERROR(VALUE(TRIM(LEFT(MID(Sync!$AE705,FIND("/",Sync!$AE705)+1,20),FIND("/",MID(Sync!$AE705,FIND("/",Sync!$AE705)+1,20))-1))),"")))</f>
        <v/>
      </c>
      <c r="I705">
        <f>IF(OR($F705="",$G705=""),"",IF(ISNUMBER(Sync!$AE705),MOD(Sync!$AE705,100),IFERROR(VALUE(TRIM(MID(MID(Sync!$AE705,FIND("/",Sync!$AE705)+1,20),FIND("/",MID(Sync!$AE705,FIND("/",Sync!$AE705)+1,20))+1,20))),"")))</f>
        <v/>
      </c>
      <c r="J705">
        <f>IF($F705="","",IF(OR($G705="",$H705="",$I705="",$G705&lt;1300,$G705&gt;1500,$H705&lt;1,$H705&gt;12,$I705&lt;1,$I705&gt;31),"نامعتبر",RIGHT("0000"&amp;$G705,4)&amp;"/"&amp;RIGHT("00"&amp;$H705,2)&amp;"/"&amp;RIGHT("00"&amp;$I705,2)))</f>
        <v/>
      </c>
      <c r="K705">
        <f>IF(OR($F705="",$J705="",$J705="نامعتبر"),"",LEFT($J705,4)&amp;MID($J705,6,2)&amp;RIGHT($J705,2)&amp;$N705&amp;"|"&amp;"2"&amp;RIGHT("00000"&amp;700,5))</f>
        <v/>
      </c>
      <c r="L705">
        <f>IF($K705="","",COUNTIFS(LdgSellerA,$F705,LdgKeyA,"&lt;"&amp;$K705)+COUNTIFS(LdgSellerB,$F705,LdgKeyB,"&lt;"&amp;$K705)+1)</f>
        <v/>
      </c>
      <c r="M705">
        <f>IF($L705="","",$F705&amp;"|"&amp;RIGHT("000000"&amp;$L705,6))</f>
        <v/>
      </c>
      <c r="N705">
        <f>IF($F705="","",IF(Sync!$AF705="","0000",IF(AND(ISNUMBER(Sync!$AF705),Sync!$AF705&gt;=0,Sync!$AF705&lt;1),RIGHT("00"&amp;HOUR(Sync!$AF705),2)&amp;RIGHT("00"&amp;MINUTE(Sync!$AF705),2),IFERROR(RIGHT("00"&amp;VALUE(LEFT(Sync!$AF705,FIND(":",Sync!$AF705)-1)),2)&amp;RIGHT("00"&amp;VALUE(MID(Sync!$AF705,FIND(":",Sync!$AF705)+1,2)),2),"0000"))))</f>
        <v/>
      </c>
    </row>
    <row r="706">
      <c r="A706">
        <f>IF(OR(Calc!$E710="",Calc!$E710="نامعتبر",Calc!$G710=""),"",Calc!$G710)</f>
        <v/>
      </c>
      <c r="B706">
        <f>IF($A706="","",LEFT(Calc!$E710,4)&amp;MID(Calc!$E710,6,2)&amp;RIGHT(Calc!$E710,2)&amp;Calc!$Q710&amp;"|"&amp;"1"&amp;RIGHT("00000"&amp;701,5))</f>
        <v/>
      </c>
      <c r="C706">
        <f>IF($B706="","",COUNTIFS(LdgSellerA,$A706,LdgKeyA,"&lt;"&amp;$B706)+COUNTIFS(LdgSellerB,$A706,LdgKeyB,"&lt;"&amp;$B706)+1)</f>
        <v/>
      </c>
      <c r="D706">
        <f>IF($C706="","",$A706&amp;"|"&amp;RIGHT("000000"&amp;$C706,6))</f>
        <v/>
      </c>
      <c r="F706">
        <f>IF(Sync!$AH706="","",IF(LEFT(UPPER(TRIM(Sync!$AH706)),2)="SL",UPPER(TRIM(Sync!$AH706)),""))</f>
        <v/>
      </c>
      <c r="G706">
        <f>IF($F706="","",IF(Sync!$AE706="","",IF(ISNUMBER(Sync!$AE706),IF(AND(Sync!$AE706&gt;=10000101,Sync!$AE706&lt;=99991231),INT(Sync!$AE706/10000),""),IFERROR(VALUE(TRIM(LEFT(Sync!$AE706,FIND("/",Sync!$AE706)-1))),""))))</f>
        <v/>
      </c>
      <c r="H706">
        <f>IF(OR($F706="",$G706=""),"",IF(ISNUMBER(Sync!$AE706),INT(MOD(Sync!$AE706,10000)/100),IFERROR(VALUE(TRIM(LEFT(MID(Sync!$AE706,FIND("/",Sync!$AE706)+1,20),FIND("/",MID(Sync!$AE706,FIND("/",Sync!$AE706)+1,20))-1))),"")))</f>
        <v/>
      </c>
      <c r="I706">
        <f>IF(OR($F706="",$G706=""),"",IF(ISNUMBER(Sync!$AE706),MOD(Sync!$AE706,100),IFERROR(VALUE(TRIM(MID(MID(Sync!$AE706,FIND("/",Sync!$AE706)+1,20),FIND("/",MID(Sync!$AE706,FIND("/",Sync!$AE706)+1,20))+1,20))),"")))</f>
        <v/>
      </c>
      <c r="J706">
        <f>IF($F706="","",IF(OR($G706="",$H706="",$I706="",$G706&lt;1300,$G706&gt;1500,$H706&lt;1,$H706&gt;12,$I706&lt;1,$I706&gt;31),"نامعتبر",RIGHT("0000"&amp;$G706,4)&amp;"/"&amp;RIGHT("00"&amp;$H706,2)&amp;"/"&amp;RIGHT("00"&amp;$I706,2)))</f>
        <v/>
      </c>
      <c r="K706">
        <f>IF(OR($F706="",$J706="",$J706="نامعتبر"),"",LEFT($J706,4)&amp;MID($J706,6,2)&amp;RIGHT($J706,2)&amp;$N706&amp;"|"&amp;"2"&amp;RIGHT("00000"&amp;701,5))</f>
        <v/>
      </c>
      <c r="L706">
        <f>IF($K706="","",COUNTIFS(LdgSellerA,$F706,LdgKeyA,"&lt;"&amp;$K706)+COUNTIFS(LdgSellerB,$F706,LdgKeyB,"&lt;"&amp;$K706)+1)</f>
        <v/>
      </c>
      <c r="M706">
        <f>IF($L706="","",$F706&amp;"|"&amp;RIGHT("000000"&amp;$L706,6))</f>
        <v/>
      </c>
      <c r="N706">
        <f>IF($F706="","",IF(Sync!$AF706="","0000",IF(AND(ISNUMBER(Sync!$AF706),Sync!$AF706&gt;=0,Sync!$AF706&lt;1),RIGHT("00"&amp;HOUR(Sync!$AF706),2)&amp;RIGHT("00"&amp;MINUTE(Sync!$AF706),2),IFERROR(RIGHT("00"&amp;VALUE(LEFT(Sync!$AF706,FIND(":",Sync!$AF706)-1)),2)&amp;RIGHT("00"&amp;VALUE(MID(Sync!$AF706,FIND(":",Sync!$AF706)+1,2)),2),"0000"))))</f>
        <v/>
      </c>
    </row>
    <row r="707">
      <c r="A707">
        <f>IF(OR(Calc!$E711="",Calc!$E711="نامعتبر",Calc!$G711=""),"",Calc!$G711)</f>
        <v/>
      </c>
      <c r="B707">
        <f>IF($A707="","",LEFT(Calc!$E711,4)&amp;MID(Calc!$E711,6,2)&amp;RIGHT(Calc!$E711,2)&amp;Calc!$Q711&amp;"|"&amp;"1"&amp;RIGHT("00000"&amp;702,5))</f>
        <v/>
      </c>
      <c r="C707">
        <f>IF($B707="","",COUNTIFS(LdgSellerA,$A707,LdgKeyA,"&lt;"&amp;$B707)+COUNTIFS(LdgSellerB,$A707,LdgKeyB,"&lt;"&amp;$B707)+1)</f>
        <v/>
      </c>
      <c r="D707">
        <f>IF($C707="","",$A707&amp;"|"&amp;RIGHT("000000"&amp;$C707,6))</f>
        <v/>
      </c>
      <c r="F707">
        <f>IF(Sync!$AH707="","",IF(LEFT(UPPER(TRIM(Sync!$AH707)),2)="SL",UPPER(TRIM(Sync!$AH707)),""))</f>
        <v/>
      </c>
      <c r="G707">
        <f>IF($F707="","",IF(Sync!$AE707="","",IF(ISNUMBER(Sync!$AE707),IF(AND(Sync!$AE707&gt;=10000101,Sync!$AE707&lt;=99991231),INT(Sync!$AE707/10000),""),IFERROR(VALUE(TRIM(LEFT(Sync!$AE707,FIND("/",Sync!$AE707)-1))),""))))</f>
        <v/>
      </c>
      <c r="H707">
        <f>IF(OR($F707="",$G707=""),"",IF(ISNUMBER(Sync!$AE707),INT(MOD(Sync!$AE707,10000)/100),IFERROR(VALUE(TRIM(LEFT(MID(Sync!$AE707,FIND("/",Sync!$AE707)+1,20),FIND("/",MID(Sync!$AE707,FIND("/",Sync!$AE707)+1,20))-1))),"")))</f>
        <v/>
      </c>
      <c r="I707">
        <f>IF(OR($F707="",$G707=""),"",IF(ISNUMBER(Sync!$AE707),MOD(Sync!$AE707,100),IFERROR(VALUE(TRIM(MID(MID(Sync!$AE707,FIND("/",Sync!$AE707)+1,20),FIND("/",MID(Sync!$AE707,FIND("/",Sync!$AE707)+1,20))+1,20))),"")))</f>
        <v/>
      </c>
      <c r="J707">
        <f>IF($F707="","",IF(OR($G707="",$H707="",$I707="",$G707&lt;1300,$G707&gt;1500,$H707&lt;1,$H707&gt;12,$I707&lt;1,$I707&gt;31),"نامعتبر",RIGHT("0000"&amp;$G707,4)&amp;"/"&amp;RIGHT("00"&amp;$H707,2)&amp;"/"&amp;RIGHT("00"&amp;$I707,2)))</f>
        <v/>
      </c>
      <c r="K707">
        <f>IF(OR($F707="",$J707="",$J707="نامعتبر"),"",LEFT($J707,4)&amp;MID($J707,6,2)&amp;RIGHT($J707,2)&amp;$N707&amp;"|"&amp;"2"&amp;RIGHT("00000"&amp;702,5))</f>
        <v/>
      </c>
      <c r="L707">
        <f>IF($K707="","",COUNTIFS(LdgSellerA,$F707,LdgKeyA,"&lt;"&amp;$K707)+COUNTIFS(LdgSellerB,$F707,LdgKeyB,"&lt;"&amp;$K707)+1)</f>
        <v/>
      </c>
      <c r="M707">
        <f>IF($L707="","",$F707&amp;"|"&amp;RIGHT("000000"&amp;$L707,6))</f>
        <v/>
      </c>
      <c r="N707">
        <f>IF($F707="","",IF(Sync!$AF707="","0000",IF(AND(ISNUMBER(Sync!$AF707),Sync!$AF707&gt;=0,Sync!$AF707&lt;1),RIGHT("00"&amp;HOUR(Sync!$AF707),2)&amp;RIGHT("00"&amp;MINUTE(Sync!$AF707),2),IFERROR(RIGHT("00"&amp;VALUE(LEFT(Sync!$AF707,FIND(":",Sync!$AF707)-1)),2)&amp;RIGHT("00"&amp;VALUE(MID(Sync!$AF707,FIND(":",Sync!$AF707)+1,2)),2),"0000"))))</f>
        <v/>
      </c>
    </row>
    <row r="708">
      <c r="A708">
        <f>IF(OR(Calc!$E712="",Calc!$E712="نامعتبر",Calc!$G712=""),"",Calc!$G712)</f>
        <v/>
      </c>
      <c r="B708">
        <f>IF($A708="","",LEFT(Calc!$E712,4)&amp;MID(Calc!$E712,6,2)&amp;RIGHT(Calc!$E712,2)&amp;Calc!$Q712&amp;"|"&amp;"1"&amp;RIGHT("00000"&amp;703,5))</f>
        <v/>
      </c>
      <c r="C708">
        <f>IF($B708="","",COUNTIFS(LdgSellerA,$A708,LdgKeyA,"&lt;"&amp;$B708)+COUNTIFS(LdgSellerB,$A708,LdgKeyB,"&lt;"&amp;$B708)+1)</f>
        <v/>
      </c>
      <c r="D708">
        <f>IF($C708="","",$A708&amp;"|"&amp;RIGHT("000000"&amp;$C708,6))</f>
        <v/>
      </c>
      <c r="F708">
        <f>IF(Sync!$AH708="","",IF(LEFT(UPPER(TRIM(Sync!$AH708)),2)="SL",UPPER(TRIM(Sync!$AH708)),""))</f>
        <v/>
      </c>
      <c r="G708">
        <f>IF($F708="","",IF(Sync!$AE708="","",IF(ISNUMBER(Sync!$AE708),IF(AND(Sync!$AE708&gt;=10000101,Sync!$AE708&lt;=99991231),INT(Sync!$AE708/10000),""),IFERROR(VALUE(TRIM(LEFT(Sync!$AE708,FIND("/",Sync!$AE708)-1))),""))))</f>
        <v/>
      </c>
      <c r="H708">
        <f>IF(OR($F708="",$G708=""),"",IF(ISNUMBER(Sync!$AE708),INT(MOD(Sync!$AE708,10000)/100),IFERROR(VALUE(TRIM(LEFT(MID(Sync!$AE708,FIND("/",Sync!$AE708)+1,20),FIND("/",MID(Sync!$AE708,FIND("/",Sync!$AE708)+1,20))-1))),"")))</f>
        <v/>
      </c>
      <c r="I708">
        <f>IF(OR($F708="",$G708=""),"",IF(ISNUMBER(Sync!$AE708),MOD(Sync!$AE708,100),IFERROR(VALUE(TRIM(MID(MID(Sync!$AE708,FIND("/",Sync!$AE708)+1,20),FIND("/",MID(Sync!$AE708,FIND("/",Sync!$AE708)+1,20))+1,20))),"")))</f>
        <v/>
      </c>
      <c r="J708">
        <f>IF($F708="","",IF(OR($G708="",$H708="",$I708="",$G708&lt;1300,$G708&gt;1500,$H708&lt;1,$H708&gt;12,$I708&lt;1,$I708&gt;31),"نامعتبر",RIGHT("0000"&amp;$G708,4)&amp;"/"&amp;RIGHT("00"&amp;$H708,2)&amp;"/"&amp;RIGHT("00"&amp;$I708,2)))</f>
        <v/>
      </c>
      <c r="K708">
        <f>IF(OR($F708="",$J708="",$J708="نامعتبر"),"",LEFT($J708,4)&amp;MID($J708,6,2)&amp;RIGHT($J708,2)&amp;$N708&amp;"|"&amp;"2"&amp;RIGHT("00000"&amp;703,5))</f>
        <v/>
      </c>
      <c r="L708">
        <f>IF($K708="","",COUNTIFS(LdgSellerA,$F708,LdgKeyA,"&lt;"&amp;$K708)+COUNTIFS(LdgSellerB,$F708,LdgKeyB,"&lt;"&amp;$K708)+1)</f>
        <v/>
      </c>
      <c r="M708">
        <f>IF($L708="","",$F708&amp;"|"&amp;RIGHT("000000"&amp;$L708,6))</f>
        <v/>
      </c>
      <c r="N708">
        <f>IF($F708="","",IF(Sync!$AF708="","0000",IF(AND(ISNUMBER(Sync!$AF708),Sync!$AF708&gt;=0,Sync!$AF708&lt;1),RIGHT("00"&amp;HOUR(Sync!$AF708),2)&amp;RIGHT("00"&amp;MINUTE(Sync!$AF708),2),IFERROR(RIGHT("00"&amp;VALUE(LEFT(Sync!$AF708,FIND(":",Sync!$AF708)-1)),2)&amp;RIGHT("00"&amp;VALUE(MID(Sync!$AF708,FIND(":",Sync!$AF708)+1,2)),2),"0000"))))</f>
        <v/>
      </c>
    </row>
    <row r="709">
      <c r="A709">
        <f>IF(OR(Calc!$E713="",Calc!$E713="نامعتبر",Calc!$G713=""),"",Calc!$G713)</f>
        <v/>
      </c>
      <c r="B709">
        <f>IF($A709="","",LEFT(Calc!$E713,4)&amp;MID(Calc!$E713,6,2)&amp;RIGHT(Calc!$E713,2)&amp;Calc!$Q713&amp;"|"&amp;"1"&amp;RIGHT("00000"&amp;704,5))</f>
        <v/>
      </c>
      <c r="C709">
        <f>IF($B709="","",COUNTIFS(LdgSellerA,$A709,LdgKeyA,"&lt;"&amp;$B709)+COUNTIFS(LdgSellerB,$A709,LdgKeyB,"&lt;"&amp;$B709)+1)</f>
        <v/>
      </c>
      <c r="D709">
        <f>IF($C709="","",$A709&amp;"|"&amp;RIGHT("000000"&amp;$C709,6))</f>
        <v/>
      </c>
      <c r="F709">
        <f>IF(Sync!$AH709="","",IF(LEFT(UPPER(TRIM(Sync!$AH709)),2)="SL",UPPER(TRIM(Sync!$AH709)),""))</f>
        <v/>
      </c>
      <c r="G709">
        <f>IF($F709="","",IF(Sync!$AE709="","",IF(ISNUMBER(Sync!$AE709),IF(AND(Sync!$AE709&gt;=10000101,Sync!$AE709&lt;=99991231),INT(Sync!$AE709/10000),""),IFERROR(VALUE(TRIM(LEFT(Sync!$AE709,FIND("/",Sync!$AE709)-1))),""))))</f>
        <v/>
      </c>
      <c r="H709">
        <f>IF(OR($F709="",$G709=""),"",IF(ISNUMBER(Sync!$AE709),INT(MOD(Sync!$AE709,10000)/100),IFERROR(VALUE(TRIM(LEFT(MID(Sync!$AE709,FIND("/",Sync!$AE709)+1,20),FIND("/",MID(Sync!$AE709,FIND("/",Sync!$AE709)+1,20))-1))),"")))</f>
        <v/>
      </c>
      <c r="I709">
        <f>IF(OR($F709="",$G709=""),"",IF(ISNUMBER(Sync!$AE709),MOD(Sync!$AE709,100),IFERROR(VALUE(TRIM(MID(MID(Sync!$AE709,FIND("/",Sync!$AE709)+1,20),FIND("/",MID(Sync!$AE709,FIND("/",Sync!$AE709)+1,20))+1,20))),"")))</f>
        <v/>
      </c>
      <c r="J709">
        <f>IF($F709="","",IF(OR($G709="",$H709="",$I709="",$G709&lt;1300,$G709&gt;1500,$H709&lt;1,$H709&gt;12,$I709&lt;1,$I709&gt;31),"نامعتبر",RIGHT("0000"&amp;$G709,4)&amp;"/"&amp;RIGHT("00"&amp;$H709,2)&amp;"/"&amp;RIGHT("00"&amp;$I709,2)))</f>
        <v/>
      </c>
      <c r="K709">
        <f>IF(OR($F709="",$J709="",$J709="نامعتبر"),"",LEFT($J709,4)&amp;MID($J709,6,2)&amp;RIGHT($J709,2)&amp;$N709&amp;"|"&amp;"2"&amp;RIGHT("00000"&amp;704,5))</f>
        <v/>
      </c>
      <c r="L709">
        <f>IF($K709="","",COUNTIFS(LdgSellerA,$F709,LdgKeyA,"&lt;"&amp;$K709)+COUNTIFS(LdgSellerB,$F709,LdgKeyB,"&lt;"&amp;$K709)+1)</f>
        <v/>
      </c>
      <c r="M709">
        <f>IF($L709="","",$F709&amp;"|"&amp;RIGHT("000000"&amp;$L709,6))</f>
        <v/>
      </c>
      <c r="N709">
        <f>IF($F709="","",IF(Sync!$AF709="","0000",IF(AND(ISNUMBER(Sync!$AF709),Sync!$AF709&gt;=0,Sync!$AF709&lt;1),RIGHT("00"&amp;HOUR(Sync!$AF709),2)&amp;RIGHT("00"&amp;MINUTE(Sync!$AF709),2),IFERROR(RIGHT("00"&amp;VALUE(LEFT(Sync!$AF709,FIND(":",Sync!$AF709)-1)),2)&amp;RIGHT("00"&amp;VALUE(MID(Sync!$AF709,FIND(":",Sync!$AF709)+1,2)),2),"0000"))))</f>
        <v/>
      </c>
    </row>
    <row r="710">
      <c r="A710">
        <f>IF(OR(Calc!$E714="",Calc!$E714="نامعتبر",Calc!$G714=""),"",Calc!$G714)</f>
        <v/>
      </c>
      <c r="B710">
        <f>IF($A710="","",LEFT(Calc!$E714,4)&amp;MID(Calc!$E714,6,2)&amp;RIGHT(Calc!$E714,2)&amp;Calc!$Q714&amp;"|"&amp;"1"&amp;RIGHT("00000"&amp;705,5))</f>
        <v/>
      </c>
      <c r="C710">
        <f>IF($B710="","",COUNTIFS(LdgSellerA,$A710,LdgKeyA,"&lt;"&amp;$B710)+COUNTIFS(LdgSellerB,$A710,LdgKeyB,"&lt;"&amp;$B710)+1)</f>
        <v/>
      </c>
      <c r="D710">
        <f>IF($C710="","",$A710&amp;"|"&amp;RIGHT("000000"&amp;$C710,6))</f>
        <v/>
      </c>
      <c r="F710">
        <f>IF(Sync!$AH710="","",IF(LEFT(UPPER(TRIM(Sync!$AH710)),2)="SL",UPPER(TRIM(Sync!$AH710)),""))</f>
        <v/>
      </c>
      <c r="G710">
        <f>IF($F710="","",IF(Sync!$AE710="","",IF(ISNUMBER(Sync!$AE710),IF(AND(Sync!$AE710&gt;=10000101,Sync!$AE710&lt;=99991231),INT(Sync!$AE710/10000),""),IFERROR(VALUE(TRIM(LEFT(Sync!$AE710,FIND("/",Sync!$AE710)-1))),""))))</f>
        <v/>
      </c>
      <c r="H710">
        <f>IF(OR($F710="",$G710=""),"",IF(ISNUMBER(Sync!$AE710),INT(MOD(Sync!$AE710,10000)/100),IFERROR(VALUE(TRIM(LEFT(MID(Sync!$AE710,FIND("/",Sync!$AE710)+1,20),FIND("/",MID(Sync!$AE710,FIND("/",Sync!$AE710)+1,20))-1))),"")))</f>
        <v/>
      </c>
      <c r="I710">
        <f>IF(OR($F710="",$G710=""),"",IF(ISNUMBER(Sync!$AE710),MOD(Sync!$AE710,100),IFERROR(VALUE(TRIM(MID(MID(Sync!$AE710,FIND("/",Sync!$AE710)+1,20),FIND("/",MID(Sync!$AE710,FIND("/",Sync!$AE710)+1,20))+1,20))),"")))</f>
        <v/>
      </c>
      <c r="J710">
        <f>IF($F710="","",IF(OR($G710="",$H710="",$I710="",$G710&lt;1300,$G710&gt;1500,$H710&lt;1,$H710&gt;12,$I710&lt;1,$I710&gt;31),"نامعتبر",RIGHT("0000"&amp;$G710,4)&amp;"/"&amp;RIGHT("00"&amp;$H710,2)&amp;"/"&amp;RIGHT("00"&amp;$I710,2)))</f>
        <v/>
      </c>
      <c r="K710">
        <f>IF(OR($F710="",$J710="",$J710="نامعتبر"),"",LEFT($J710,4)&amp;MID($J710,6,2)&amp;RIGHT($J710,2)&amp;$N710&amp;"|"&amp;"2"&amp;RIGHT("00000"&amp;705,5))</f>
        <v/>
      </c>
      <c r="L710">
        <f>IF($K710="","",COUNTIFS(LdgSellerA,$F710,LdgKeyA,"&lt;"&amp;$K710)+COUNTIFS(LdgSellerB,$F710,LdgKeyB,"&lt;"&amp;$K710)+1)</f>
        <v/>
      </c>
      <c r="M710">
        <f>IF($L710="","",$F710&amp;"|"&amp;RIGHT("000000"&amp;$L710,6))</f>
        <v/>
      </c>
      <c r="N710">
        <f>IF($F710="","",IF(Sync!$AF710="","0000",IF(AND(ISNUMBER(Sync!$AF710),Sync!$AF710&gt;=0,Sync!$AF710&lt;1),RIGHT("00"&amp;HOUR(Sync!$AF710),2)&amp;RIGHT("00"&amp;MINUTE(Sync!$AF710),2),IFERROR(RIGHT("00"&amp;VALUE(LEFT(Sync!$AF710,FIND(":",Sync!$AF710)-1)),2)&amp;RIGHT("00"&amp;VALUE(MID(Sync!$AF710,FIND(":",Sync!$AF710)+1,2)),2),"0000"))))</f>
        <v/>
      </c>
    </row>
    <row r="711">
      <c r="A711">
        <f>IF(OR(Calc!$E715="",Calc!$E715="نامعتبر",Calc!$G715=""),"",Calc!$G715)</f>
        <v/>
      </c>
      <c r="B711">
        <f>IF($A711="","",LEFT(Calc!$E715,4)&amp;MID(Calc!$E715,6,2)&amp;RIGHT(Calc!$E715,2)&amp;Calc!$Q715&amp;"|"&amp;"1"&amp;RIGHT("00000"&amp;706,5))</f>
        <v/>
      </c>
      <c r="C711">
        <f>IF($B711="","",COUNTIFS(LdgSellerA,$A711,LdgKeyA,"&lt;"&amp;$B711)+COUNTIFS(LdgSellerB,$A711,LdgKeyB,"&lt;"&amp;$B711)+1)</f>
        <v/>
      </c>
      <c r="D711">
        <f>IF($C711="","",$A711&amp;"|"&amp;RIGHT("000000"&amp;$C711,6))</f>
        <v/>
      </c>
      <c r="F711">
        <f>IF(Sync!$AH711="","",IF(LEFT(UPPER(TRIM(Sync!$AH711)),2)="SL",UPPER(TRIM(Sync!$AH711)),""))</f>
        <v/>
      </c>
      <c r="G711">
        <f>IF($F711="","",IF(Sync!$AE711="","",IF(ISNUMBER(Sync!$AE711),IF(AND(Sync!$AE711&gt;=10000101,Sync!$AE711&lt;=99991231),INT(Sync!$AE711/10000),""),IFERROR(VALUE(TRIM(LEFT(Sync!$AE711,FIND("/",Sync!$AE711)-1))),""))))</f>
        <v/>
      </c>
      <c r="H711">
        <f>IF(OR($F711="",$G711=""),"",IF(ISNUMBER(Sync!$AE711),INT(MOD(Sync!$AE711,10000)/100),IFERROR(VALUE(TRIM(LEFT(MID(Sync!$AE711,FIND("/",Sync!$AE711)+1,20),FIND("/",MID(Sync!$AE711,FIND("/",Sync!$AE711)+1,20))-1))),"")))</f>
        <v/>
      </c>
      <c r="I711">
        <f>IF(OR($F711="",$G711=""),"",IF(ISNUMBER(Sync!$AE711),MOD(Sync!$AE711,100),IFERROR(VALUE(TRIM(MID(MID(Sync!$AE711,FIND("/",Sync!$AE711)+1,20),FIND("/",MID(Sync!$AE711,FIND("/",Sync!$AE711)+1,20))+1,20))),"")))</f>
        <v/>
      </c>
      <c r="J711">
        <f>IF($F711="","",IF(OR($G711="",$H711="",$I711="",$G711&lt;1300,$G711&gt;1500,$H711&lt;1,$H711&gt;12,$I711&lt;1,$I711&gt;31),"نامعتبر",RIGHT("0000"&amp;$G711,4)&amp;"/"&amp;RIGHT("00"&amp;$H711,2)&amp;"/"&amp;RIGHT("00"&amp;$I711,2)))</f>
        <v/>
      </c>
      <c r="K711">
        <f>IF(OR($F711="",$J711="",$J711="نامعتبر"),"",LEFT($J711,4)&amp;MID($J711,6,2)&amp;RIGHT($J711,2)&amp;$N711&amp;"|"&amp;"2"&amp;RIGHT("00000"&amp;706,5))</f>
        <v/>
      </c>
      <c r="L711">
        <f>IF($K711="","",COUNTIFS(LdgSellerA,$F711,LdgKeyA,"&lt;"&amp;$K711)+COUNTIFS(LdgSellerB,$F711,LdgKeyB,"&lt;"&amp;$K711)+1)</f>
        <v/>
      </c>
      <c r="M711">
        <f>IF($L711="","",$F711&amp;"|"&amp;RIGHT("000000"&amp;$L711,6))</f>
        <v/>
      </c>
      <c r="N711">
        <f>IF($F711="","",IF(Sync!$AF711="","0000",IF(AND(ISNUMBER(Sync!$AF711),Sync!$AF711&gt;=0,Sync!$AF711&lt;1),RIGHT("00"&amp;HOUR(Sync!$AF711),2)&amp;RIGHT("00"&amp;MINUTE(Sync!$AF711),2),IFERROR(RIGHT("00"&amp;VALUE(LEFT(Sync!$AF711,FIND(":",Sync!$AF711)-1)),2)&amp;RIGHT("00"&amp;VALUE(MID(Sync!$AF711,FIND(":",Sync!$AF711)+1,2)),2),"0000"))))</f>
        <v/>
      </c>
    </row>
    <row r="712">
      <c r="A712">
        <f>IF(OR(Calc!$E716="",Calc!$E716="نامعتبر",Calc!$G716=""),"",Calc!$G716)</f>
        <v/>
      </c>
      <c r="B712">
        <f>IF($A712="","",LEFT(Calc!$E716,4)&amp;MID(Calc!$E716,6,2)&amp;RIGHT(Calc!$E716,2)&amp;Calc!$Q716&amp;"|"&amp;"1"&amp;RIGHT("00000"&amp;707,5))</f>
        <v/>
      </c>
      <c r="C712">
        <f>IF($B712="","",COUNTIFS(LdgSellerA,$A712,LdgKeyA,"&lt;"&amp;$B712)+COUNTIFS(LdgSellerB,$A712,LdgKeyB,"&lt;"&amp;$B712)+1)</f>
        <v/>
      </c>
      <c r="D712">
        <f>IF($C712="","",$A712&amp;"|"&amp;RIGHT("000000"&amp;$C712,6))</f>
        <v/>
      </c>
      <c r="F712">
        <f>IF(Sync!$AH712="","",IF(LEFT(UPPER(TRIM(Sync!$AH712)),2)="SL",UPPER(TRIM(Sync!$AH712)),""))</f>
        <v/>
      </c>
      <c r="G712">
        <f>IF($F712="","",IF(Sync!$AE712="","",IF(ISNUMBER(Sync!$AE712),IF(AND(Sync!$AE712&gt;=10000101,Sync!$AE712&lt;=99991231),INT(Sync!$AE712/10000),""),IFERROR(VALUE(TRIM(LEFT(Sync!$AE712,FIND("/",Sync!$AE712)-1))),""))))</f>
        <v/>
      </c>
      <c r="H712">
        <f>IF(OR($F712="",$G712=""),"",IF(ISNUMBER(Sync!$AE712),INT(MOD(Sync!$AE712,10000)/100),IFERROR(VALUE(TRIM(LEFT(MID(Sync!$AE712,FIND("/",Sync!$AE712)+1,20),FIND("/",MID(Sync!$AE712,FIND("/",Sync!$AE712)+1,20))-1))),"")))</f>
        <v/>
      </c>
      <c r="I712">
        <f>IF(OR($F712="",$G712=""),"",IF(ISNUMBER(Sync!$AE712),MOD(Sync!$AE712,100),IFERROR(VALUE(TRIM(MID(MID(Sync!$AE712,FIND("/",Sync!$AE712)+1,20),FIND("/",MID(Sync!$AE712,FIND("/",Sync!$AE712)+1,20))+1,20))),"")))</f>
        <v/>
      </c>
      <c r="J712">
        <f>IF($F712="","",IF(OR($G712="",$H712="",$I712="",$G712&lt;1300,$G712&gt;1500,$H712&lt;1,$H712&gt;12,$I712&lt;1,$I712&gt;31),"نامعتبر",RIGHT("0000"&amp;$G712,4)&amp;"/"&amp;RIGHT("00"&amp;$H712,2)&amp;"/"&amp;RIGHT("00"&amp;$I712,2)))</f>
        <v/>
      </c>
      <c r="K712">
        <f>IF(OR($F712="",$J712="",$J712="نامعتبر"),"",LEFT($J712,4)&amp;MID($J712,6,2)&amp;RIGHT($J712,2)&amp;$N712&amp;"|"&amp;"2"&amp;RIGHT("00000"&amp;707,5))</f>
        <v/>
      </c>
      <c r="L712">
        <f>IF($K712="","",COUNTIFS(LdgSellerA,$F712,LdgKeyA,"&lt;"&amp;$K712)+COUNTIFS(LdgSellerB,$F712,LdgKeyB,"&lt;"&amp;$K712)+1)</f>
        <v/>
      </c>
      <c r="M712">
        <f>IF($L712="","",$F712&amp;"|"&amp;RIGHT("000000"&amp;$L712,6))</f>
        <v/>
      </c>
      <c r="N712">
        <f>IF($F712="","",IF(Sync!$AF712="","0000",IF(AND(ISNUMBER(Sync!$AF712),Sync!$AF712&gt;=0,Sync!$AF712&lt;1),RIGHT("00"&amp;HOUR(Sync!$AF712),2)&amp;RIGHT("00"&amp;MINUTE(Sync!$AF712),2),IFERROR(RIGHT("00"&amp;VALUE(LEFT(Sync!$AF712,FIND(":",Sync!$AF712)-1)),2)&amp;RIGHT("00"&amp;VALUE(MID(Sync!$AF712,FIND(":",Sync!$AF712)+1,2)),2),"0000"))))</f>
        <v/>
      </c>
    </row>
    <row r="713">
      <c r="A713">
        <f>IF(OR(Calc!$E717="",Calc!$E717="نامعتبر",Calc!$G717=""),"",Calc!$G717)</f>
        <v/>
      </c>
      <c r="B713">
        <f>IF($A713="","",LEFT(Calc!$E717,4)&amp;MID(Calc!$E717,6,2)&amp;RIGHT(Calc!$E717,2)&amp;Calc!$Q717&amp;"|"&amp;"1"&amp;RIGHT("00000"&amp;708,5))</f>
        <v/>
      </c>
      <c r="C713">
        <f>IF($B713="","",COUNTIFS(LdgSellerA,$A713,LdgKeyA,"&lt;"&amp;$B713)+COUNTIFS(LdgSellerB,$A713,LdgKeyB,"&lt;"&amp;$B713)+1)</f>
        <v/>
      </c>
      <c r="D713">
        <f>IF($C713="","",$A713&amp;"|"&amp;RIGHT("000000"&amp;$C713,6))</f>
        <v/>
      </c>
      <c r="F713">
        <f>IF(Sync!$AH713="","",IF(LEFT(UPPER(TRIM(Sync!$AH713)),2)="SL",UPPER(TRIM(Sync!$AH713)),""))</f>
        <v/>
      </c>
      <c r="G713">
        <f>IF($F713="","",IF(Sync!$AE713="","",IF(ISNUMBER(Sync!$AE713),IF(AND(Sync!$AE713&gt;=10000101,Sync!$AE713&lt;=99991231),INT(Sync!$AE713/10000),""),IFERROR(VALUE(TRIM(LEFT(Sync!$AE713,FIND("/",Sync!$AE713)-1))),""))))</f>
        <v/>
      </c>
      <c r="H713">
        <f>IF(OR($F713="",$G713=""),"",IF(ISNUMBER(Sync!$AE713),INT(MOD(Sync!$AE713,10000)/100),IFERROR(VALUE(TRIM(LEFT(MID(Sync!$AE713,FIND("/",Sync!$AE713)+1,20),FIND("/",MID(Sync!$AE713,FIND("/",Sync!$AE713)+1,20))-1))),"")))</f>
        <v/>
      </c>
      <c r="I713">
        <f>IF(OR($F713="",$G713=""),"",IF(ISNUMBER(Sync!$AE713),MOD(Sync!$AE713,100),IFERROR(VALUE(TRIM(MID(MID(Sync!$AE713,FIND("/",Sync!$AE713)+1,20),FIND("/",MID(Sync!$AE713,FIND("/",Sync!$AE713)+1,20))+1,20))),"")))</f>
        <v/>
      </c>
      <c r="J713">
        <f>IF($F713="","",IF(OR($G713="",$H713="",$I713="",$G713&lt;1300,$G713&gt;1500,$H713&lt;1,$H713&gt;12,$I713&lt;1,$I713&gt;31),"نامعتبر",RIGHT("0000"&amp;$G713,4)&amp;"/"&amp;RIGHT("00"&amp;$H713,2)&amp;"/"&amp;RIGHT("00"&amp;$I713,2)))</f>
        <v/>
      </c>
      <c r="K713">
        <f>IF(OR($F713="",$J713="",$J713="نامعتبر"),"",LEFT($J713,4)&amp;MID($J713,6,2)&amp;RIGHT($J713,2)&amp;$N713&amp;"|"&amp;"2"&amp;RIGHT("00000"&amp;708,5))</f>
        <v/>
      </c>
      <c r="L713">
        <f>IF($K713="","",COUNTIFS(LdgSellerA,$F713,LdgKeyA,"&lt;"&amp;$K713)+COUNTIFS(LdgSellerB,$F713,LdgKeyB,"&lt;"&amp;$K713)+1)</f>
        <v/>
      </c>
      <c r="M713">
        <f>IF($L713="","",$F713&amp;"|"&amp;RIGHT("000000"&amp;$L713,6))</f>
        <v/>
      </c>
      <c r="N713">
        <f>IF($F713="","",IF(Sync!$AF713="","0000",IF(AND(ISNUMBER(Sync!$AF713),Sync!$AF713&gt;=0,Sync!$AF713&lt;1),RIGHT("00"&amp;HOUR(Sync!$AF713),2)&amp;RIGHT("00"&amp;MINUTE(Sync!$AF713),2),IFERROR(RIGHT("00"&amp;VALUE(LEFT(Sync!$AF713,FIND(":",Sync!$AF713)-1)),2)&amp;RIGHT("00"&amp;VALUE(MID(Sync!$AF713,FIND(":",Sync!$AF713)+1,2)),2),"0000"))))</f>
        <v/>
      </c>
    </row>
    <row r="714">
      <c r="A714">
        <f>IF(OR(Calc!$E718="",Calc!$E718="نامعتبر",Calc!$G718=""),"",Calc!$G718)</f>
        <v/>
      </c>
      <c r="B714">
        <f>IF($A714="","",LEFT(Calc!$E718,4)&amp;MID(Calc!$E718,6,2)&amp;RIGHT(Calc!$E718,2)&amp;Calc!$Q718&amp;"|"&amp;"1"&amp;RIGHT("00000"&amp;709,5))</f>
        <v/>
      </c>
      <c r="C714">
        <f>IF($B714="","",COUNTIFS(LdgSellerA,$A714,LdgKeyA,"&lt;"&amp;$B714)+COUNTIFS(LdgSellerB,$A714,LdgKeyB,"&lt;"&amp;$B714)+1)</f>
        <v/>
      </c>
      <c r="D714">
        <f>IF($C714="","",$A714&amp;"|"&amp;RIGHT("000000"&amp;$C714,6))</f>
        <v/>
      </c>
      <c r="F714">
        <f>IF(Sync!$AH714="","",IF(LEFT(UPPER(TRIM(Sync!$AH714)),2)="SL",UPPER(TRIM(Sync!$AH714)),""))</f>
        <v/>
      </c>
      <c r="G714">
        <f>IF($F714="","",IF(Sync!$AE714="","",IF(ISNUMBER(Sync!$AE714),IF(AND(Sync!$AE714&gt;=10000101,Sync!$AE714&lt;=99991231),INT(Sync!$AE714/10000),""),IFERROR(VALUE(TRIM(LEFT(Sync!$AE714,FIND("/",Sync!$AE714)-1))),""))))</f>
        <v/>
      </c>
      <c r="H714">
        <f>IF(OR($F714="",$G714=""),"",IF(ISNUMBER(Sync!$AE714),INT(MOD(Sync!$AE714,10000)/100),IFERROR(VALUE(TRIM(LEFT(MID(Sync!$AE714,FIND("/",Sync!$AE714)+1,20),FIND("/",MID(Sync!$AE714,FIND("/",Sync!$AE714)+1,20))-1))),"")))</f>
        <v/>
      </c>
      <c r="I714">
        <f>IF(OR($F714="",$G714=""),"",IF(ISNUMBER(Sync!$AE714),MOD(Sync!$AE714,100),IFERROR(VALUE(TRIM(MID(MID(Sync!$AE714,FIND("/",Sync!$AE714)+1,20),FIND("/",MID(Sync!$AE714,FIND("/",Sync!$AE714)+1,20))+1,20))),"")))</f>
        <v/>
      </c>
      <c r="J714">
        <f>IF($F714="","",IF(OR($G714="",$H714="",$I714="",$G714&lt;1300,$G714&gt;1500,$H714&lt;1,$H714&gt;12,$I714&lt;1,$I714&gt;31),"نامعتبر",RIGHT("0000"&amp;$G714,4)&amp;"/"&amp;RIGHT("00"&amp;$H714,2)&amp;"/"&amp;RIGHT("00"&amp;$I714,2)))</f>
        <v/>
      </c>
      <c r="K714">
        <f>IF(OR($F714="",$J714="",$J714="نامعتبر"),"",LEFT($J714,4)&amp;MID($J714,6,2)&amp;RIGHT($J714,2)&amp;$N714&amp;"|"&amp;"2"&amp;RIGHT("00000"&amp;709,5))</f>
        <v/>
      </c>
      <c r="L714">
        <f>IF($K714="","",COUNTIFS(LdgSellerA,$F714,LdgKeyA,"&lt;"&amp;$K714)+COUNTIFS(LdgSellerB,$F714,LdgKeyB,"&lt;"&amp;$K714)+1)</f>
        <v/>
      </c>
      <c r="M714">
        <f>IF($L714="","",$F714&amp;"|"&amp;RIGHT("000000"&amp;$L714,6))</f>
        <v/>
      </c>
      <c r="N714">
        <f>IF($F714="","",IF(Sync!$AF714="","0000",IF(AND(ISNUMBER(Sync!$AF714),Sync!$AF714&gt;=0,Sync!$AF714&lt;1),RIGHT("00"&amp;HOUR(Sync!$AF714),2)&amp;RIGHT("00"&amp;MINUTE(Sync!$AF714),2),IFERROR(RIGHT("00"&amp;VALUE(LEFT(Sync!$AF714,FIND(":",Sync!$AF714)-1)),2)&amp;RIGHT("00"&amp;VALUE(MID(Sync!$AF714,FIND(":",Sync!$AF714)+1,2)),2),"0000"))))</f>
        <v/>
      </c>
    </row>
    <row r="715">
      <c r="A715">
        <f>IF(OR(Calc!$E719="",Calc!$E719="نامعتبر",Calc!$G719=""),"",Calc!$G719)</f>
        <v/>
      </c>
      <c r="B715">
        <f>IF($A715="","",LEFT(Calc!$E719,4)&amp;MID(Calc!$E719,6,2)&amp;RIGHT(Calc!$E719,2)&amp;Calc!$Q719&amp;"|"&amp;"1"&amp;RIGHT("00000"&amp;710,5))</f>
        <v/>
      </c>
      <c r="C715">
        <f>IF($B715="","",COUNTIFS(LdgSellerA,$A715,LdgKeyA,"&lt;"&amp;$B715)+COUNTIFS(LdgSellerB,$A715,LdgKeyB,"&lt;"&amp;$B715)+1)</f>
        <v/>
      </c>
      <c r="D715">
        <f>IF($C715="","",$A715&amp;"|"&amp;RIGHT("000000"&amp;$C715,6))</f>
        <v/>
      </c>
      <c r="F715">
        <f>IF(Sync!$AH715="","",IF(LEFT(UPPER(TRIM(Sync!$AH715)),2)="SL",UPPER(TRIM(Sync!$AH715)),""))</f>
        <v/>
      </c>
      <c r="G715">
        <f>IF($F715="","",IF(Sync!$AE715="","",IF(ISNUMBER(Sync!$AE715),IF(AND(Sync!$AE715&gt;=10000101,Sync!$AE715&lt;=99991231),INT(Sync!$AE715/10000),""),IFERROR(VALUE(TRIM(LEFT(Sync!$AE715,FIND("/",Sync!$AE715)-1))),""))))</f>
        <v/>
      </c>
      <c r="H715">
        <f>IF(OR($F715="",$G715=""),"",IF(ISNUMBER(Sync!$AE715),INT(MOD(Sync!$AE715,10000)/100),IFERROR(VALUE(TRIM(LEFT(MID(Sync!$AE715,FIND("/",Sync!$AE715)+1,20),FIND("/",MID(Sync!$AE715,FIND("/",Sync!$AE715)+1,20))-1))),"")))</f>
        <v/>
      </c>
      <c r="I715">
        <f>IF(OR($F715="",$G715=""),"",IF(ISNUMBER(Sync!$AE715),MOD(Sync!$AE715,100),IFERROR(VALUE(TRIM(MID(MID(Sync!$AE715,FIND("/",Sync!$AE715)+1,20),FIND("/",MID(Sync!$AE715,FIND("/",Sync!$AE715)+1,20))+1,20))),"")))</f>
        <v/>
      </c>
      <c r="J715">
        <f>IF($F715="","",IF(OR($G715="",$H715="",$I715="",$G715&lt;1300,$G715&gt;1500,$H715&lt;1,$H715&gt;12,$I715&lt;1,$I715&gt;31),"نامعتبر",RIGHT("0000"&amp;$G715,4)&amp;"/"&amp;RIGHT("00"&amp;$H715,2)&amp;"/"&amp;RIGHT("00"&amp;$I715,2)))</f>
        <v/>
      </c>
      <c r="K715">
        <f>IF(OR($F715="",$J715="",$J715="نامعتبر"),"",LEFT($J715,4)&amp;MID($J715,6,2)&amp;RIGHT($J715,2)&amp;$N715&amp;"|"&amp;"2"&amp;RIGHT("00000"&amp;710,5))</f>
        <v/>
      </c>
      <c r="L715">
        <f>IF($K715="","",COUNTIFS(LdgSellerA,$F715,LdgKeyA,"&lt;"&amp;$K715)+COUNTIFS(LdgSellerB,$F715,LdgKeyB,"&lt;"&amp;$K715)+1)</f>
        <v/>
      </c>
      <c r="M715">
        <f>IF($L715="","",$F715&amp;"|"&amp;RIGHT("000000"&amp;$L715,6))</f>
        <v/>
      </c>
      <c r="N715">
        <f>IF($F715="","",IF(Sync!$AF715="","0000",IF(AND(ISNUMBER(Sync!$AF715),Sync!$AF715&gt;=0,Sync!$AF715&lt;1),RIGHT("00"&amp;HOUR(Sync!$AF715),2)&amp;RIGHT("00"&amp;MINUTE(Sync!$AF715),2),IFERROR(RIGHT("00"&amp;VALUE(LEFT(Sync!$AF715,FIND(":",Sync!$AF715)-1)),2)&amp;RIGHT("00"&amp;VALUE(MID(Sync!$AF715,FIND(":",Sync!$AF715)+1,2)),2),"0000"))))</f>
        <v/>
      </c>
    </row>
    <row r="716">
      <c r="A716">
        <f>IF(OR(Calc!$E720="",Calc!$E720="نامعتبر",Calc!$G720=""),"",Calc!$G720)</f>
        <v/>
      </c>
      <c r="B716">
        <f>IF($A716="","",LEFT(Calc!$E720,4)&amp;MID(Calc!$E720,6,2)&amp;RIGHT(Calc!$E720,2)&amp;Calc!$Q720&amp;"|"&amp;"1"&amp;RIGHT("00000"&amp;711,5))</f>
        <v/>
      </c>
      <c r="C716">
        <f>IF($B716="","",COUNTIFS(LdgSellerA,$A716,LdgKeyA,"&lt;"&amp;$B716)+COUNTIFS(LdgSellerB,$A716,LdgKeyB,"&lt;"&amp;$B716)+1)</f>
        <v/>
      </c>
      <c r="D716">
        <f>IF($C716="","",$A716&amp;"|"&amp;RIGHT("000000"&amp;$C716,6))</f>
        <v/>
      </c>
      <c r="F716">
        <f>IF(Sync!$AH716="","",IF(LEFT(UPPER(TRIM(Sync!$AH716)),2)="SL",UPPER(TRIM(Sync!$AH716)),""))</f>
        <v/>
      </c>
      <c r="G716">
        <f>IF($F716="","",IF(Sync!$AE716="","",IF(ISNUMBER(Sync!$AE716),IF(AND(Sync!$AE716&gt;=10000101,Sync!$AE716&lt;=99991231),INT(Sync!$AE716/10000),""),IFERROR(VALUE(TRIM(LEFT(Sync!$AE716,FIND("/",Sync!$AE716)-1))),""))))</f>
        <v/>
      </c>
      <c r="H716">
        <f>IF(OR($F716="",$G716=""),"",IF(ISNUMBER(Sync!$AE716),INT(MOD(Sync!$AE716,10000)/100),IFERROR(VALUE(TRIM(LEFT(MID(Sync!$AE716,FIND("/",Sync!$AE716)+1,20),FIND("/",MID(Sync!$AE716,FIND("/",Sync!$AE716)+1,20))-1))),"")))</f>
        <v/>
      </c>
      <c r="I716">
        <f>IF(OR($F716="",$G716=""),"",IF(ISNUMBER(Sync!$AE716),MOD(Sync!$AE716,100),IFERROR(VALUE(TRIM(MID(MID(Sync!$AE716,FIND("/",Sync!$AE716)+1,20),FIND("/",MID(Sync!$AE716,FIND("/",Sync!$AE716)+1,20))+1,20))),"")))</f>
        <v/>
      </c>
      <c r="J716">
        <f>IF($F716="","",IF(OR($G716="",$H716="",$I716="",$G716&lt;1300,$G716&gt;1500,$H716&lt;1,$H716&gt;12,$I716&lt;1,$I716&gt;31),"نامعتبر",RIGHT("0000"&amp;$G716,4)&amp;"/"&amp;RIGHT("00"&amp;$H716,2)&amp;"/"&amp;RIGHT("00"&amp;$I716,2)))</f>
        <v/>
      </c>
      <c r="K716">
        <f>IF(OR($F716="",$J716="",$J716="نامعتبر"),"",LEFT($J716,4)&amp;MID($J716,6,2)&amp;RIGHT($J716,2)&amp;$N716&amp;"|"&amp;"2"&amp;RIGHT("00000"&amp;711,5))</f>
        <v/>
      </c>
      <c r="L716">
        <f>IF($K716="","",COUNTIFS(LdgSellerA,$F716,LdgKeyA,"&lt;"&amp;$K716)+COUNTIFS(LdgSellerB,$F716,LdgKeyB,"&lt;"&amp;$K716)+1)</f>
        <v/>
      </c>
      <c r="M716">
        <f>IF($L716="","",$F716&amp;"|"&amp;RIGHT("000000"&amp;$L716,6))</f>
        <v/>
      </c>
      <c r="N716">
        <f>IF($F716="","",IF(Sync!$AF716="","0000",IF(AND(ISNUMBER(Sync!$AF716),Sync!$AF716&gt;=0,Sync!$AF716&lt;1),RIGHT("00"&amp;HOUR(Sync!$AF716),2)&amp;RIGHT("00"&amp;MINUTE(Sync!$AF716),2),IFERROR(RIGHT("00"&amp;VALUE(LEFT(Sync!$AF716,FIND(":",Sync!$AF716)-1)),2)&amp;RIGHT("00"&amp;VALUE(MID(Sync!$AF716,FIND(":",Sync!$AF716)+1,2)),2),"0000"))))</f>
        <v/>
      </c>
    </row>
    <row r="717">
      <c r="A717">
        <f>IF(OR(Calc!$E721="",Calc!$E721="نامعتبر",Calc!$G721=""),"",Calc!$G721)</f>
        <v/>
      </c>
      <c r="B717">
        <f>IF($A717="","",LEFT(Calc!$E721,4)&amp;MID(Calc!$E721,6,2)&amp;RIGHT(Calc!$E721,2)&amp;Calc!$Q721&amp;"|"&amp;"1"&amp;RIGHT("00000"&amp;712,5))</f>
        <v/>
      </c>
      <c r="C717">
        <f>IF($B717="","",COUNTIFS(LdgSellerA,$A717,LdgKeyA,"&lt;"&amp;$B717)+COUNTIFS(LdgSellerB,$A717,LdgKeyB,"&lt;"&amp;$B717)+1)</f>
        <v/>
      </c>
      <c r="D717">
        <f>IF($C717="","",$A717&amp;"|"&amp;RIGHT("000000"&amp;$C717,6))</f>
        <v/>
      </c>
      <c r="F717">
        <f>IF(Sync!$AH717="","",IF(LEFT(UPPER(TRIM(Sync!$AH717)),2)="SL",UPPER(TRIM(Sync!$AH717)),""))</f>
        <v/>
      </c>
      <c r="G717">
        <f>IF($F717="","",IF(Sync!$AE717="","",IF(ISNUMBER(Sync!$AE717),IF(AND(Sync!$AE717&gt;=10000101,Sync!$AE717&lt;=99991231),INT(Sync!$AE717/10000),""),IFERROR(VALUE(TRIM(LEFT(Sync!$AE717,FIND("/",Sync!$AE717)-1))),""))))</f>
        <v/>
      </c>
      <c r="H717">
        <f>IF(OR($F717="",$G717=""),"",IF(ISNUMBER(Sync!$AE717),INT(MOD(Sync!$AE717,10000)/100),IFERROR(VALUE(TRIM(LEFT(MID(Sync!$AE717,FIND("/",Sync!$AE717)+1,20),FIND("/",MID(Sync!$AE717,FIND("/",Sync!$AE717)+1,20))-1))),"")))</f>
        <v/>
      </c>
      <c r="I717">
        <f>IF(OR($F717="",$G717=""),"",IF(ISNUMBER(Sync!$AE717),MOD(Sync!$AE717,100),IFERROR(VALUE(TRIM(MID(MID(Sync!$AE717,FIND("/",Sync!$AE717)+1,20),FIND("/",MID(Sync!$AE717,FIND("/",Sync!$AE717)+1,20))+1,20))),"")))</f>
        <v/>
      </c>
      <c r="J717">
        <f>IF($F717="","",IF(OR($G717="",$H717="",$I717="",$G717&lt;1300,$G717&gt;1500,$H717&lt;1,$H717&gt;12,$I717&lt;1,$I717&gt;31),"نامعتبر",RIGHT("0000"&amp;$G717,4)&amp;"/"&amp;RIGHT("00"&amp;$H717,2)&amp;"/"&amp;RIGHT("00"&amp;$I717,2)))</f>
        <v/>
      </c>
      <c r="K717">
        <f>IF(OR($F717="",$J717="",$J717="نامعتبر"),"",LEFT($J717,4)&amp;MID($J717,6,2)&amp;RIGHT($J717,2)&amp;$N717&amp;"|"&amp;"2"&amp;RIGHT("00000"&amp;712,5))</f>
        <v/>
      </c>
      <c r="L717">
        <f>IF($K717="","",COUNTIFS(LdgSellerA,$F717,LdgKeyA,"&lt;"&amp;$K717)+COUNTIFS(LdgSellerB,$F717,LdgKeyB,"&lt;"&amp;$K717)+1)</f>
        <v/>
      </c>
      <c r="M717">
        <f>IF($L717="","",$F717&amp;"|"&amp;RIGHT("000000"&amp;$L717,6))</f>
        <v/>
      </c>
      <c r="N717">
        <f>IF($F717="","",IF(Sync!$AF717="","0000",IF(AND(ISNUMBER(Sync!$AF717),Sync!$AF717&gt;=0,Sync!$AF717&lt;1),RIGHT("00"&amp;HOUR(Sync!$AF717),2)&amp;RIGHT("00"&amp;MINUTE(Sync!$AF717),2),IFERROR(RIGHT("00"&amp;VALUE(LEFT(Sync!$AF717,FIND(":",Sync!$AF717)-1)),2)&amp;RIGHT("00"&amp;VALUE(MID(Sync!$AF717,FIND(":",Sync!$AF717)+1,2)),2),"0000"))))</f>
        <v/>
      </c>
    </row>
    <row r="718">
      <c r="A718">
        <f>IF(OR(Calc!$E722="",Calc!$E722="نامعتبر",Calc!$G722=""),"",Calc!$G722)</f>
        <v/>
      </c>
      <c r="B718">
        <f>IF($A718="","",LEFT(Calc!$E722,4)&amp;MID(Calc!$E722,6,2)&amp;RIGHT(Calc!$E722,2)&amp;Calc!$Q722&amp;"|"&amp;"1"&amp;RIGHT("00000"&amp;713,5))</f>
        <v/>
      </c>
      <c r="C718">
        <f>IF($B718="","",COUNTIFS(LdgSellerA,$A718,LdgKeyA,"&lt;"&amp;$B718)+COUNTIFS(LdgSellerB,$A718,LdgKeyB,"&lt;"&amp;$B718)+1)</f>
        <v/>
      </c>
      <c r="D718">
        <f>IF($C718="","",$A718&amp;"|"&amp;RIGHT("000000"&amp;$C718,6))</f>
        <v/>
      </c>
      <c r="F718">
        <f>IF(Sync!$AH718="","",IF(LEFT(UPPER(TRIM(Sync!$AH718)),2)="SL",UPPER(TRIM(Sync!$AH718)),""))</f>
        <v/>
      </c>
      <c r="G718">
        <f>IF($F718="","",IF(Sync!$AE718="","",IF(ISNUMBER(Sync!$AE718),IF(AND(Sync!$AE718&gt;=10000101,Sync!$AE718&lt;=99991231),INT(Sync!$AE718/10000),""),IFERROR(VALUE(TRIM(LEFT(Sync!$AE718,FIND("/",Sync!$AE718)-1))),""))))</f>
        <v/>
      </c>
      <c r="H718">
        <f>IF(OR($F718="",$G718=""),"",IF(ISNUMBER(Sync!$AE718),INT(MOD(Sync!$AE718,10000)/100),IFERROR(VALUE(TRIM(LEFT(MID(Sync!$AE718,FIND("/",Sync!$AE718)+1,20),FIND("/",MID(Sync!$AE718,FIND("/",Sync!$AE718)+1,20))-1))),"")))</f>
        <v/>
      </c>
      <c r="I718">
        <f>IF(OR($F718="",$G718=""),"",IF(ISNUMBER(Sync!$AE718),MOD(Sync!$AE718,100),IFERROR(VALUE(TRIM(MID(MID(Sync!$AE718,FIND("/",Sync!$AE718)+1,20),FIND("/",MID(Sync!$AE718,FIND("/",Sync!$AE718)+1,20))+1,20))),"")))</f>
        <v/>
      </c>
      <c r="J718">
        <f>IF($F718="","",IF(OR($G718="",$H718="",$I718="",$G718&lt;1300,$G718&gt;1500,$H718&lt;1,$H718&gt;12,$I718&lt;1,$I718&gt;31),"نامعتبر",RIGHT("0000"&amp;$G718,4)&amp;"/"&amp;RIGHT("00"&amp;$H718,2)&amp;"/"&amp;RIGHT("00"&amp;$I718,2)))</f>
        <v/>
      </c>
      <c r="K718">
        <f>IF(OR($F718="",$J718="",$J718="نامعتبر"),"",LEFT($J718,4)&amp;MID($J718,6,2)&amp;RIGHT($J718,2)&amp;$N718&amp;"|"&amp;"2"&amp;RIGHT("00000"&amp;713,5))</f>
        <v/>
      </c>
      <c r="L718">
        <f>IF($K718="","",COUNTIFS(LdgSellerA,$F718,LdgKeyA,"&lt;"&amp;$K718)+COUNTIFS(LdgSellerB,$F718,LdgKeyB,"&lt;"&amp;$K718)+1)</f>
        <v/>
      </c>
      <c r="M718">
        <f>IF($L718="","",$F718&amp;"|"&amp;RIGHT("000000"&amp;$L718,6))</f>
        <v/>
      </c>
      <c r="N718">
        <f>IF($F718="","",IF(Sync!$AF718="","0000",IF(AND(ISNUMBER(Sync!$AF718),Sync!$AF718&gt;=0,Sync!$AF718&lt;1),RIGHT("00"&amp;HOUR(Sync!$AF718),2)&amp;RIGHT("00"&amp;MINUTE(Sync!$AF718),2),IFERROR(RIGHT("00"&amp;VALUE(LEFT(Sync!$AF718,FIND(":",Sync!$AF718)-1)),2)&amp;RIGHT("00"&amp;VALUE(MID(Sync!$AF718,FIND(":",Sync!$AF718)+1,2)),2),"0000"))))</f>
        <v/>
      </c>
    </row>
    <row r="719">
      <c r="A719">
        <f>IF(OR(Calc!$E723="",Calc!$E723="نامعتبر",Calc!$G723=""),"",Calc!$G723)</f>
        <v/>
      </c>
      <c r="B719">
        <f>IF($A719="","",LEFT(Calc!$E723,4)&amp;MID(Calc!$E723,6,2)&amp;RIGHT(Calc!$E723,2)&amp;Calc!$Q723&amp;"|"&amp;"1"&amp;RIGHT("00000"&amp;714,5))</f>
        <v/>
      </c>
      <c r="C719">
        <f>IF($B719="","",COUNTIFS(LdgSellerA,$A719,LdgKeyA,"&lt;"&amp;$B719)+COUNTIFS(LdgSellerB,$A719,LdgKeyB,"&lt;"&amp;$B719)+1)</f>
        <v/>
      </c>
      <c r="D719">
        <f>IF($C719="","",$A719&amp;"|"&amp;RIGHT("000000"&amp;$C719,6))</f>
        <v/>
      </c>
      <c r="F719">
        <f>IF(Sync!$AH719="","",IF(LEFT(UPPER(TRIM(Sync!$AH719)),2)="SL",UPPER(TRIM(Sync!$AH719)),""))</f>
        <v/>
      </c>
      <c r="G719">
        <f>IF($F719="","",IF(Sync!$AE719="","",IF(ISNUMBER(Sync!$AE719),IF(AND(Sync!$AE719&gt;=10000101,Sync!$AE719&lt;=99991231),INT(Sync!$AE719/10000),""),IFERROR(VALUE(TRIM(LEFT(Sync!$AE719,FIND("/",Sync!$AE719)-1))),""))))</f>
        <v/>
      </c>
      <c r="H719">
        <f>IF(OR($F719="",$G719=""),"",IF(ISNUMBER(Sync!$AE719),INT(MOD(Sync!$AE719,10000)/100),IFERROR(VALUE(TRIM(LEFT(MID(Sync!$AE719,FIND("/",Sync!$AE719)+1,20),FIND("/",MID(Sync!$AE719,FIND("/",Sync!$AE719)+1,20))-1))),"")))</f>
        <v/>
      </c>
      <c r="I719">
        <f>IF(OR($F719="",$G719=""),"",IF(ISNUMBER(Sync!$AE719),MOD(Sync!$AE719,100),IFERROR(VALUE(TRIM(MID(MID(Sync!$AE719,FIND("/",Sync!$AE719)+1,20),FIND("/",MID(Sync!$AE719,FIND("/",Sync!$AE719)+1,20))+1,20))),"")))</f>
        <v/>
      </c>
      <c r="J719">
        <f>IF($F719="","",IF(OR($G719="",$H719="",$I719="",$G719&lt;1300,$G719&gt;1500,$H719&lt;1,$H719&gt;12,$I719&lt;1,$I719&gt;31),"نامعتبر",RIGHT("0000"&amp;$G719,4)&amp;"/"&amp;RIGHT("00"&amp;$H719,2)&amp;"/"&amp;RIGHT("00"&amp;$I719,2)))</f>
        <v/>
      </c>
      <c r="K719">
        <f>IF(OR($F719="",$J719="",$J719="نامعتبر"),"",LEFT($J719,4)&amp;MID($J719,6,2)&amp;RIGHT($J719,2)&amp;$N719&amp;"|"&amp;"2"&amp;RIGHT("00000"&amp;714,5))</f>
        <v/>
      </c>
      <c r="L719">
        <f>IF($K719="","",COUNTIFS(LdgSellerA,$F719,LdgKeyA,"&lt;"&amp;$K719)+COUNTIFS(LdgSellerB,$F719,LdgKeyB,"&lt;"&amp;$K719)+1)</f>
        <v/>
      </c>
      <c r="M719">
        <f>IF($L719="","",$F719&amp;"|"&amp;RIGHT("000000"&amp;$L719,6))</f>
        <v/>
      </c>
      <c r="N719">
        <f>IF($F719="","",IF(Sync!$AF719="","0000",IF(AND(ISNUMBER(Sync!$AF719),Sync!$AF719&gt;=0,Sync!$AF719&lt;1),RIGHT("00"&amp;HOUR(Sync!$AF719),2)&amp;RIGHT("00"&amp;MINUTE(Sync!$AF719),2),IFERROR(RIGHT("00"&amp;VALUE(LEFT(Sync!$AF719,FIND(":",Sync!$AF719)-1)),2)&amp;RIGHT("00"&amp;VALUE(MID(Sync!$AF719,FIND(":",Sync!$AF719)+1,2)),2),"0000"))))</f>
        <v/>
      </c>
    </row>
    <row r="720">
      <c r="A720">
        <f>IF(OR(Calc!$E724="",Calc!$E724="نامعتبر",Calc!$G724=""),"",Calc!$G724)</f>
        <v/>
      </c>
      <c r="B720">
        <f>IF($A720="","",LEFT(Calc!$E724,4)&amp;MID(Calc!$E724,6,2)&amp;RIGHT(Calc!$E724,2)&amp;Calc!$Q724&amp;"|"&amp;"1"&amp;RIGHT("00000"&amp;715,5))</f>
        <v/>
      </c>
      <c r="C720">
        <f>IF($B720="","",COUNTIFS(LdgSellerA,$A720,LdgKeyA,"&lt;"&amp;$B720)+COUNTIFS(LdgSellerB,$A720,LdgKeyB,"&lt;"&amp;$B720)+1)</f>
        <v/>
      </c>
      <c r="D720">
        <f>IF($C720="","",$A720&amp;"|"&amp;RIGHT("000000"&amp;$C720,6))</f>
        <v/>
      </c>
      <c r="F720">
        <f>IF(Sync!$AH720="","",IF(LEFT(UPPER(TRIM(Sync!$AH720)),2)="SL",UPPER(TRIM(Sync!$AH720)),""))</f>
        <v/>
      </c>
      <c r="G720">
        <f>IF($F720="","",IF(Sync!$AE720="","",IF(ISNUMBER(Sync!$AE720),IF(AND(Sync!$AE720&gt;=10000101,Sync!$AE720&lt;=99991231),INT(Sync!$AE720/10000),""),IFERROR(VALUE(TRIM(LEFT(Sync!$AE720,FIND("/",Sync!$AE720)-1))),""))))</f>
        <v/>
      </c>
      <c r="H720">
        <f>IF(OR($F720="",$G720=""),"",IF(ISNUMBER(Sync!$AE720),INT(MOD(Sync!$AE720,10000)/100),IFERROR(VALUE(TRIM(LEFT(MID(Sync!$AE720,FIND("/",Sync!$AE720)+1,20),FIND("/",MID(Sync!$AE720,FIND("/",Sync!$AE720)+1,20))-1))),"")))</f>
        <v/>
      </c>
      <c r="I720">
        <f>IF(OR($F720="",$G720=""),"",IF(ISNUMBER(Sync!$AE720),MOD(Sync!$AE720,100),IFERROR(VALUE(TRIM(MID(MID(Sync!$AE720,FIND("/",Sync!$AE720)+1,20),FIND("/",MID(Sync!$AE720,FIND("/",Sync!$AE720)+1,20))+1,20))),"")))</f>
        <v/>
      </c>
      <c r="J720">
        <f>IF($F720="","",IF(OR($G720="",$H720="",$I720="",$G720&lt;1300,$G720&gt;1500,$H720&lt;1,$H720&gt;12,$I720&lt;1,$I720&gt;31),"نامعتبر",RIGHT("0000"&amp;$G720,4)&amp;"/"&amp;RIGHT("00"&amp;$H720,2)&amp;"/"&amp;RIGHT("00"&amp;$I720,2)))</f>
        <v/>
      </c>
      <c r="K720">
        <f>IF(OR($F720="",$J720="",$J720="نامعتبر"),"",LEFT($J720,4)&amp;MID($J720,6,2)&amp;RIGHT($J720,2)&amp;$N720&amp;"|"&amp;"2"&amp;RIGHT("00000"&amp;715,5))</f>
        <v/>
      </c>
      <c r="L720">
        <f>IF($K720="","",COUNTIFS(LdgSellerA,$F720,LdgKeyA,"&lt;"&amp;$K720)+COUNTIFS(LdgSellerB,$F720,LdgKeyB,"&lt;"&amp;$K720)+1)</f>
        <v/>
      </c>
      <c r="M720">
        <f>IF($L720="","",$F720&amp;"|"&amp;RIGHT("000000"&amp;$L720,6))</f>
        <v/>
      </c>
      <c r="N720">
        <f>IF($F720="","",IF(Sync!$AF720="","0000",IF(AND(ISNUMBER(Sync!$AF720),Sync!$AF720&gt;=0,Sync!$AF720&lt;1),RIGHT("00"&amp;HOUR(Sync!$AF720),2)&amp;RIGHT("00"&amp;MINUTE(Sync!$AF720),2),IFERROR(RIGHT("00"&amp;VALUE(LEFT(Sync!$AF720,FIND(":",Sync!$AF720)-1)),2)&amp;RIGHT("00"&amp;VALUE(MID(Sync!$AF720,FIND(":",Sync!$AF720)+1,2)),2),"0000"))))</f>
        <v/>
      </c>
    </row>
    <row r="721">
      <c r="A721">
        <f>IF(OR(Calc!$E725="",Calc!$E725="نامعتبر",Calc!$G725=""),"",Calc!$G725)</f>
        <v/>
      </c>
      <c r="B721">
        <f>IF($A721="","",LEFT(Calc!$E725,4)&amp;MID(Calc!$E725,6,2)&amp;RIGHT(Calc!$E725,2)&amp;Calc!$Q725&amp;"|"&amp;"1"&amp;RIGHT("00000"&amp;716,5))</f>
        <v/>
      </c>
      <c r="C721">
        <f>IF($B721="","",COUNTIFS(LdgSellerA,$A721,LdgKeyA,"&lt;"&amp;$B721)+COUNTIFS(LdgSellerB,$A721,LdgKeyB,"&lt;"&amp;$B721)+1)</f>
        <v/>
      </c>
      <c r="D721">
        <f>IF($C721="","",$A721&amp;"|"&amp;RIGHT("000000"&amp;$C721,6))</f>
        <v/>
      </c>
      <c r="F721">
        <f>IF(Sync!$AH721="","",IF(LEFT(UPPER(TRIM(Sync!$AH721)),2)="SL",UPPER(TRIM(Sync!$AH721)),""))</f>
        <v/>
      </c>
      <c r="G721">
        <f>IF($F721="","",IF(Sync!$AE721="","",IF(ISNUMBER(Sync!$AE721),IF(AND(Sync!$AE721&gt;=10000101,Sync!$AE721&lt;=99991231),INT(Sync!$AE721/10000),""),IFERROR(VALUE(TRIM(LEFT(Sync!$AE721,FIND("/",Sync!$AE721)-1))),""))))</f>
        <v/>
      </c>
      <c r="H721">
        <f>IF(OR($F721="",$G721=""),"",IF(ISNUMBER(Sync!$AE721),INT(MOD(Sync!$AE721,10000)/100),IFERROR(VALUE(TRIM(LEFT(MID(Sync!$AE721,FIND("/",Sync!$AE721)+1,20),FIND("/",MID(Sync!$AE721,FIND("/",Sync!$AE721)+1,20))-1))),"")))</f>
        <v/>
      </c>
      <c r="I721">
        <f>IF(OR($F721="",$G721=""),"",IF(ISNUMBER(Sync!$AE721),MOD(Sync!$AE721,100),IFERROR(VALUE(TRIM(MID(MID(Sync!$AE721,FIND("/",Sync!$AE721)+1,20),FIND("/",MID(Sync!$AE721,FIND("/",Sync!$AE721)+1,20))+1,20))),"")))</f>
        <v/>
      </c>
      <c r="J721">
        <f>IF($F721="","",IF(OR($G721="",$H721="",$I721="",$G721&lt;1300,$G721&gt;1500,$H721&lt;1,$H721&gt;12,$I721&lt;1,$I721&gt;31),"نامعتبر",RIGHT("0000"&amp;$G721,4)&amp;"/"&amp;RIGHT("00"&amp;$H721,2)&amp;"/"&amp;RIGHT("00"&amp;$I721,2)))</f>
        <v/>
      </c>
      <c r="K721">
        <f>IF(OR($F721="",$J721="",$J721="نامعتبر"),"",LEFT($J721,4)&amp;MID($J721,6,2)&amp;RIGHT($J721,2)&amp;$N721&amp;"|"&amp;"2"&amp;RIGHT("00000"&amp;716,5))</f>
        <v/>
      </c>
      <c r="L721">
        <f>IF($K721="","",COUNTIFS(LdgSellerA,$F721,LdgKeyA,"&lt;"&amp;$K721)+COUNTIFS(LdgSellerB,$F721,LdgKeyB,"&lt;"&amp;$K721)+1)</f>
        <v/>
      </c>
      <c r="M721">
        <f>IF($L721="","",$F721&amp;"|"&amp;RIGHT("000000"&amp;$L721,6))</f>
        <v/>
      </c>
      <c r="N721">
        <f>IF($F721="","",IF(Sync!$AF721="","0000",IF(AND(ISNUMBER(Sync!$AF721),Sync!$AF721&gt;=0,Sync!$AF721&lt;1),RIGHT("00"&amp;HOUR(Sync!$AF721),2)&amp;RIGHT("00"&amp;MINUTE(Sync!$AF721),2),IFERROR(RIGHT("00"&amp;VALUE(LEFT(Sync!$AF721,FIND(":",Sync!$AF721)-1)),2)&amp;RIGHT("00"&amp;VALUE(MID(Sync!$AF721,FIND(":",Sync!$AF721)+1,2)),2),"0000"))))</f>
        <v/>
      </c>
    </row>
    <row r="722">
      <c r="A722">
        <f>IF(OR(Calc!$E726="",Calc!$E726="نامعتبر",Calc!$G726=""),"",Calc!$G726)</f>
        <v/>
      </c>
      <c r="B722">
        <f>IF($A722="","",LEFT(Calc!$E726,4)&amp;MID(Calc!$E726,6,2)&amp;RIGHT(Calc!$E726,2)&amp;Calc!$Q726&amp;"|"&amp;"1"&amp;RIGHT("00000"&amp;717,5))</f>
        <v/>
      </c>
      <c r="C722">
        <f>IF($B722="","",COUNTIFS(LdgSellerA,$A722,LdgKeyA,"&lt;"&amp;$B722)+COUNTIFS(LdgSellerB,$A722,LdgKeyB,"&lt;"&amp;$B722)+1)</f>
        <v/>
      </c>
      <c r="D722">
        <f>IF($C722="","",$A722&amp;"|"&amp;RIGHT("000000"&amp;$C722,6))</f>
        <v/>
      </c>
      <c r="F722">
        <f>IF(Sync!$AH722="","",IF(LEFT(UPPER(TRIM(Sync!$AH722)),2)="SL",UPPER(TRIM(Sync!$AH722)),""))</f>
        <v/>
      </c>
      <c r="G722">
        <f>IF($F722="","",IF(Sync!$AE722="","",IF(ISNUMBER(Sync!$AE722),IF(AND(Sync!$AE722&gt;=10000101,Sync!$AE722&lt;=99991231),INT(Sync!$AE722/10000),""),IFERROR(VALUE(TRIM(LEFT(Sync!$AE722,FIND("/",Sync!$AE722)-1))),""))))</f>
        <v/>
      </c>
      <c r="H722">
        <f>IF(OR($F722="",$G722=""),"",IF(ISNUMBER(Sync!$AE722),INT(MOD(Sync!$AE722,10000)/100),IFERROR(VALUE(TRIM(LEFT(MID(Sync!$AE722,FIND("/",Sync!$AE722)+1,20),FIND("/",MID(Sync!$AE722,FIND("/",Sync!$AE722)+1,20))-1))),"")))</f>
        <v/>
      </c>
      <c r="I722">
        <f>IF(OR($F722="",$G722=""),"",IF(ISNUMBER(Sync!$AE722),MOD(Sync!$AE722,100),IFERROR(VALUE(TRIM(MID(MID(Sync!$AE722,FIND("/",Sync!$AE722)+1,20),FIND("/",MID(Sync!$AE722,FIND("/",Sync!$AE722)+1,20))+1,20))),"")))</f>
        <v/>
      </c>
      <c r="J722">
        <f>IF($F722="","",IF(OR($G722="",$H722="",$I722="",$G722&lt;1300,$G722&gt;1500,$H722&lt;1,$H722&gt;12,$I722&lt;1,$I722&gt;31),"نامعتبر",RIGHT("0000"&amp;$G722,4)&amp;"/"&amp;RIGHT("00"&amp;$H722,2)&amp;"/"&amp;RIGHT("00"&amp;$I722,2)))</f>
        <v/>
      </c>
      <c r="K722">
        <f>IF(OR($F722="",$J722="",$J722="نامعتبر"),"",LEFT($J722,4)&amp;MID($J722,6,2)&amp;RIGHT($J722,2)&amp;$N722&amp;"|"&amp;"2"&amp;RIGHT("00000"&amp;717,5))</f>
        <v/>
      </c>
      <c r="L722">
        <f>IF($K722="","",COUNTIFS(LdgSellerA,$F722,LdgKeyA,"&lt;"&amp;$K722)+COUNTIFS(LdgSellerB,$F722,LdgKeyB,"&lt;"&amp;$K722)+1)</f>
        <v/>
      </c>
      <c r="M722">
        <f>IF($L722="","",$F722&amp;"|"&amp;RIGHT("000000"&amp;$L722,6))</f>
        <v/>
      </c>
      <c r="N722">
        <f>IF($F722="","",IF(Sync!$AF722="","0000",IF(AND(ISNUMBER(Sync!$AF722),Sync!$AF722&gt;=0,Sync!$AF722&lt;1),RIGHT("00"&amp;HOUR(Sync!$AF722),2)&amp;RIGHT("00"&amp;MINUTE(Sync!$AF722),2),IFERROR(RIGHT("00"&amp;VALUE(LEFT(Sync!$AF722,FIND(":",Sync!$AF722)-1)),2)&amp;RIGHT("00"&amp;VALUE(MID(Sync!$AF722,FIND(":",Sync!$AF722)+1,2)),2),"0000"))))</f>
        <v/>
      </c>
    </row>
    <row r="723">
      <c r="A723">
        <f>IF(OR(Calc!$E727="",Calc!$E727="نامعتبر",Calc!$G727=""),"",Calc!$G727)</f>
        <v/>
      </c>
      <c r="B723">
        <f>IF($A723="","",LEFT(Calc!$E727,4)&amp;MID(Calc!$E727,6,2)&amp;RIGHT(Calc!$E727,2)&amp;Calc!$Q727&amp;"|"&amp;"1"&amp;RIGHT("00000"&amp;718,5))</f>
        <v/>
      </c>
      <c r="C723">
        <f>IF($B723="","",COUNTIFS(LdgSellerA,$A723,LdgKeyA,"&lt;"&amp;$B723)+COUNTIFS(LdgSellerB,$A723,LdgKeyB,"&lt;"&amp;$B723)+1)</f>
        <v/>
      </c>
      <c r="D723">
        <f>IF($C723="","",$A723&amp;"|"&amp;RIGHT("000000"&amp;$C723,6))</f>
        <v/>
      </c>
      <c r="F723">
        <f>IF(Sync!$AH723="","",IF(LEFT(UPPER(TRIM(Sync!$AH723)),2)="SL",UPPER(TRIM(Sync!$AH723)),""))</f>
        <v/>
      </c>
      <c r="G723">
        <f>IF($F723="","",IF(Sync!$AE723="","",IF(ISNUMBER(Sync!$AE723),IF(AND(Sync!$AE723&gt;=10000101,Sync!$AE723&lt;=99991231),INT(Sync!$AE723/10000),""),IFERROR(VALUE(TRIM(LEFT(Sync!$AE723,FIND("/",Sync!$AE723)-1))),""))))</f>
        <v/>
      </c>
      <c r="H723">
        <f>IF(OR($F723="",$G723=""),"",IF(ISNUMBER(Sync!$AE723),INT(MOD(Sync!$AE723,10000)/100),IFERROR(VALUE(TRIM(LEFT(MID(Sync!$AE723,FIND("/",Sync!$AE723)+1,20),FIND("/",MID(Sync!$AE723,FIND("/",Sync!$AE723)+1,20))-1))),"")))</f>
        <v/>
      </c>
      <c r="I723">
        <f>IF(OR($F723="",$G723=""),"",IF(ISNUMBER(Sync!$AE723),MOD(Sync!$AE723,100),IFERROR(VALUE(TRIM(MID(MID(Sync!$AE723,FIND("/",Sync!$AE723)+1,20),FIND("/",MID(Sync!$AE723,FIND("/",Sync!$AE723)+1,20))+1,20))),"")))</f>
        <v/>
      </c>
      <c r="J723">
        <f>IF($F723="","",IF(OR($G723="",$H723="",$I723="",$G723&lt;1300,$G723&gt;1500,$H723&lt;1,$H723&gt;12,$I723&lt;1,$I723&gt;31),"نامعتبر",RIGHT("0000"&amp;$G723,4)&amp;"/"&amp;RIGHT("00"&amp;$H723,2)&amp;"/"&amp;RIGHT("00"&amp;$I723,2)))</f>
        <v/>
      </c>
      <c r="K723">
        <f>IF(OR($F723="",$J723="",$J723="نامعتبر"),"",LEFT($J723,4)&amp;MID($J723,6,2)&amp;RIGHT($J723,2)&amp;$N723&amp;"|"&amp;"2"&amp;RIGHT("00000"&amp;718,5))</f>
        <v/>
      </c>
      <c r="L723">
        <f>IF($K723="","",COUNTIFS(LdgSellerA,$F723,LdgKeyA,"&lt;"&amp;$K723)+COUNTIFS(LdgSellerB,$F723,LdgKeyB,"&lt;"&amp;$K723)+1)</f>
        <v/>
      </c>
      <c r="M723">
        <f>IF($L723="","",$F723&amp;"|"&amp;RIGHT("000000"&amp;$L723,6))</f>
        <v/>
      </c>
      <c r="N723">
        <f>IF($F723="","",IF(Sync!$AF723="","0000",IF(AND(ISNUMBER(Sync!$AF723),Sync!$AF723&gt;=0,Sync!$AF723&lt;1),RIGHT("00"&amp;HOUR(Sync!$AF723),2)&amp;RIGHT("00"&amp;MINUTE(Sync!$AF723),2),IFERROR(RIGHT("00"&amp;VALUE(LEFT(Sync!$AF723,FIND(":",Sync!$AF723)-1)),2)&amp;RIGHT("00"&amp;VALUE(MID(Sync!$AF723,FIND(":",Sync!$AF723)+1,2)),2),"0000"))))</f>
        <v/>
      </c>
    </row>
    <row r="724">
      <c r="A724">
        <f>IF(OR(Calc!$E728="",Calc!$E728="نامعتبر",Calc!$G728=""),"",Calc!$G728)</f>
        <v/>
      </c>
      <c r="B724">
        <f>IF($A724="","",LEFT(Calc!$E728,4)&amp;MID(Calc!$E728,6,2)&amp;RIGHT(Calc!$E728,2)&amp;Calc!$Q728&amp;"|"&amp;"1"&amp;RIGHT("00000"&amp;719,5))</f>
        <v/>
      </c>
      <c r="C724">
        <f>IF($B724="","",COUNTIFS(LdgSellerA,$A724,LdgKeyA,"&lt;"&amp;$B724)+COUNTIFS(LdgSellerB,$A724,LdgKeyB,"&lt;"&amp;$B724)+1)</f>
        <v/>
      </c>
      <c r="D724">
        <f>IF($C724="","",$A724&amp;"|"&amp;RIGHT("000000"&amp;$C724,6))</f>
        <v/>
      </c>
      <c r="F724">
        <f>IF(Sync!$AH724="","",IF(LEFT(UPPER(TRIM(Sync!$AH724)),2)="SL",UPPER(TRIM(Sync!$AH724)),""))</f>
        <v/>
      </c>
      <c r="G724">
        <f>IF($F724="","",IF(Sync!$AE724="","",IF(ISNUMBER(Sync!$AE724),IF(AND(Sync!$AE724&gt;=10000101,Sync!$AE724&lt;=99991231),INT(Sync!$AE724/10000),""),IFERROR(VALUE(TRIM(LEFT(Sync!$AE724,FIND("/",Sync!$AE724)-1))),""))))</f>
        <v/>
      </c>
      <c r="H724">
        <f>IF(OR($F724="",$G724=""),"",IF(ISNUMBER(Sync!$AE724),INT(MOD(Sync!$AE724,10000)/100),IFERROR(VALUE(TRIM(LEFT(MID(Sync!$AE724,FIND("/",Sync!$AE724)+1,20),FIND("/",MID(Sync!$AE724,FIND("/",Sync!$AE724)+1,20))-1))),"")))</f>
        <v/>
      </c>
      <c r="I724">
        <f>IF(OR($F724="",$G724=""),"",IF(ISNUMBER(Sync!$AE724),MOD(Sync!$AE724,100),IFERROR(VALUE(TRIM(MID(MID(Sync!$AE724,FIND("/",Sync!$AE724)+1,20),FIND("/",MID(Sync!$AE724,FIND("/",Sync!$AE724)+1,20))+1,20))),"")))</f>
        <v/>
      </c>
      <c r="J724">
        <f>IF($F724="","",IF(OR($G724="",$H724="",$I724="",$G724&lt;1300,$G724&gt;1500,$H724&lt;1,$H724&gt;12,$I724&lt;1,$I724&gt;31),"نامعتبر",RIGHT("0000"&amp;$G724,4)&amp;"/"&amp;RIGHT("00"&amp;$H724,2)&amp;"/"&amp;RIGHT("00"&amp;$I724,2)))</f>
        <v/>
      </c>
      <c r="K724">
        <f>IF(OR($F724="",$J724="",$J724="نامعتبر"),"",LEFT($J724,4)&amp;MID($J724,6,2)&amp;RIGHT($J724,2)&amp;$N724&amp;"|"&amp;"2"&amp;RIGHT("00000"&amp;719,5))</f>
        <v/>
      </c>
      <c r="L724">
        <f>IF($K724="","",COUNTIFS(LdgSellerA,$F724,LdgKeyA,"&lt;"&amp;$K724)+COUNTIFS(LdgSellerB,$F724,LdgKeyB,"&lt;"&amp;$K724)+1)</f>
        <v/>
      </c>
      <c r="M724">
        <f>IF($L724="","",$F724&amp;"|"&amp;RIGHT("000000"&amp;$L724,6))</f>
        <v/>
      </c>
      <c r="N724">
        <f>IF($F724="","",IF(Sync!$AF724="","0000",IF(AND(ISNUMBER(Sync!$AF724),Sync!$AF724&gt;=0,Sync!$AF724&lt;1),RIGHT("00"&amp;HOUR(Sync!$AF724),2)&amp;RIGHT("00"&amp;MINUTE(Sync!$AF724),2),IFERROR(RIGHT("00"&amp;VALUE(LEFT(Sync!$AF724,FIND(":",Sync!$AF724)-1)),2)&amp;RIGHT("00"&amp;VALUE(MID(Sync!$AF724,FIND(":",Sync!$AF724)+1,2)),2),"0000"))))</f>
        <v/>
      </c>
    </row>
    <row r="725">
      <c r="A725">
        <f>IF(OR(Calc!$E729="",Calc!$E729="نامعتبر",Calc!$G729=""),"",Calc!$G729)</f>
        <v/>
      </c>
      <c r="B725">
        <f>IF($A725="","",LEFT(Calc!$E729,4)&amp;MID(Calc!$E729,6,2)&amp;RIGHT(Calc!$E729,2)&amp;Calc!$Q729&amp;"|"&amp;"1"&amp;RIGHT("00000"&amp;720,5))</f>
        <v/>
      </c>
      <c r="C725">
        <f>IF($B725="","",COUNTIFS(LdgSellerA,$A725,LdgKeyA,"&lt;"&amp;$B725)+COUNTIFS(LdgSellerB,$A725,LdgKeyB,"&lt;"&amp;$B725)+1)</f>
        <v/>
      </c>
      <c r="D725">
        <f>IF($C725="","",$A725&amp;"|"&amp;RIGHT("000000"&amp;$C725,6))</f>
        <v/>
      </c>
      <c r="F725">
        <f>IF(Sync!$AH725="","",IF(LEFT(UPPER(TRIM(Sync!$AH725)),2)="SL",UPPER(TRIM(Sync!$AH725)),""))</f>
        <v/>
      </c>
      <c r="G725">
        <f>IF($F725="","",IF(Sync!$AE725="","",IF(ISNUMBER(Sync!$AE725),IF(AND(Sync!$AE725&gt;=10000101,Sync!$AE725&lt;=99991231),INT(Sync!$AE725/10000),""),IFERROR(VALUE(TRIM(LEFT(Sync!$AE725,FIND("/",Sync!$AE725)-1))),""))))</f>
        <v/>
      </c>
      <c r="H725">
        <f>IF(OR($F725="",$G725=""),"",IF(ISNUMBER(Sync!$AE725),INT(MOD(Sync!$AE725,10000)/100),IFERROR(VALUE(TRIM(LEFT(MID(Sync!$AE725,FIND("/",Sync!$AE725)+1,20),FIND("/",MID(Sync!$AE725,FIND("/",Sync!$AE725)+1,20))-1))),"")))</f>
        <v/>
      </c>
      <c r="I725">
        <f>IF(OR($F725="",$G725=""),"",IF(ISNUMBER(Sync!$AE725),MOD(Sync!$AE725,100),IFERROR(VALUE(TRIM(MID(MID(Sync!$AE725,FIND("/",Sync!$AE725)+1,20),FIND("/",MID(Sync!$AE725,FIND("/",Sync!$AE725)+1,20))+1,20))),"")))</f>
        <v/>
      </c>
      <c r="J725">
        <f>IF($F725="","",IF(OR($G725="",$H725="",$I725="",$G725&lt;1300,$G725&gt;1500,$H725&lt;1,$H725&gt;12,$I725&lt;1,$I725&gt;31),"نامعتبر",RIGHT("0000"&amp;$G725,4)&amp;"/"&amp;RIGHT("00"&amp;$H725,2)&amp;"/"&amp;RIGHT("00"&amp;$I725,2)))</f>
        <v/>
      </c>
      <c r="K725">
        <f>IF(OR($F725="",$J725="",$J725="نامعتبر"),"",LEFT($J725,4)&amp;MID($J725,6,2)&amp;RIGHT($J725,2)&amp;$N725&amp;"|"&amp;"2"&amp;RIGHT("00000"&amp;720,5))</f>
        <v/>
      </c>
      <c r="L725">
        <f>IF($K725="","",COUNTIFS(LdgSellerA,$F725,LdgKeyA,"&lt;"&amp;$K725)+COUNTIFS(LdgSellerB,$F725,LdgKeyB,"&lt;"&amp;$K725)+1)</f>
        <v/>
      </c>
      <c r="M725">
        <f>IF($L725="","",$F725&amp;"|"&amp;RIGHT("000000"&amp;$L725,6))</f>
        <v/>
      </c>
      <c r="N725">
        <f>IF($F725="","",IF(Sync!$AF725="","0000",IF(AND(ISNUMBER(Sync!$AF725),Sync!$AF725&gt;=0,Sync!$AF725&lt;1),RIGHT("00"&amp;HOUR(Sync!$AF725),2)&amp;RIGHT("00"&amp;MINUTE(Sync!$AF725),2),IFERROR(RIGHT("00"&amp;VALUE(LEFT(Sync!$AF725,FIND(":",Sync!$AF725)-1)),2)&amp;RIGHT("00"&amp;VALUE(MID(Sync!$AF725,FIND(":",Sync!$AF725)+1,2)),2),"0000"))))</f>
        <v/>
      </c>
    </row>
    <row r="726">
      <c r="A726">
        <f>IF(OR(Calc!$E730="",Calc!$E730="نامعتبر",Calc!$G730=""),"",Calc!$G730)</f>
        <v/>
      </c>
      <c r="B726">
        <f>IF($A726="","",LEFT(Calc!$E730,4)&amp;MID(Calc!$E730,6,2)&amp;RIGHT(Calc!$E730,2)&amp;Calc!$Q730&amp;"|"&amp;"1"&amp;RIGHT("00000"&amp;721,5))</f>
        <v/>
      </c>
      <c r="C726">
        <f>IF($B726="","",COUNTIFS(LdgSellerA,$A726,LdgKeyA,"&lt;"&amp;$B726)+COUNTIFS(LdgSellerB,$A726,LdgKeyB,"&lt;"&amp;$B726)+1)</f>
        <v/>
      </c>
      <c r="D726">
        <f>IF($C726="","",$A726&amp;"|"&amp;RIGHT("000000"&amp;$C726,6))</f>
        <v/>
      </c>
      <c r="F726">
        <f>IF(Sync!$AH726="","",IF(LEFT(UPPER(TRIM(Sync!$AH726)),2)="SL",UPPER(TRIM(Sync!$AH726)),""))</f>
        <v/>
      </c>
      <c r="G726">
        <f>IF($F726="","",IF(Sync!$AE726="","",IF(ISNUMBER(Sync!$AE726),IF(AND(Sync!$AE726&gt;=10000101,Sync!$AE726&lt;=99991231),INT(Sync!$AE726/10000),""),IFERROR(VALUE(TRIM(LEFT(Sync!$AE726,FIND("/",Sync!$AE726)-1))),""))))</f>
        <v/>
      </c>
      <c r="H726">
        <f>IF(OR($F726="",$G726=""),"",IF(ISNUMBER(Sync!$AE726),INT(MOD(Sync!$AE726,10000)/100),IFERROR(VALUE(TRIM(LEFT(MID(Sync!$AE726,FIND("/",Sync!$AE726)+1,20),FIND("/",MID(Sync!$AE726,FIND("/",Sync!$AE726)+1,20))-1))),"")))</f>
        <v/>
      </c>
      <c r="I726">
        <f>IF(OR($F726="",$G726=""),"",IF(ISNUMBER(Sync!$AE726),MOD(Sync!$AE726,100),IFERROR(VALUE(TRIM(MID(MID(Sync!$AE726,FIND("/",Sync!$AE726)+1,20),FIND("/",MID(Sync!$AE726,FIND("/",Sync!$AE726)+1,20))+1,20))),"")))</f>
        <v/>
      </c>
      <c r="J726">
        <f>IF($F726="","",IF(OR($G726="",$H726="",$I726="",$G726&lt;1300,$G726&gt;1500,$H726&lt;1,$H726&gt;12,$I726&lt;1,$I726&gt;31),"نامعتبر",RIGHT("0000"&amp;$G726,4)&amp;"/"&amp;RIGHT("00"&amp;$H726,2)&amp;"/"&amp;RIGHT("00"&amp;$I726,2)))</f>
        <v/>
      </c>
      <c r="K726">
        <f>IF(OR($F726="",$J726="",$J726="نامعتبر"),"",LEFT($J726,4)&amp;MID($J726,6,2)&amp;RIGHT($J726,2)&amp;$N726&amp;"|"&amp;"2"&amp;RIGHT("00000"&amp;721,5))</f>
        <v/>
      </c>
      <c r="L726">
        <f>IF($K726="","",COUNTIFS(LdgSellerA,$F726,LdgKeyA,"&lt;"&amp;$K726)+COUNTIFS(LdgSellerB,$F726,LdgKeyB,"&lt;"&amp;$K726)+1)</f>
        <v/>
      </c>
      <c r="M726">
        <f>IF($L726="","",$F726&amp;"|"&amp;RIGHT("000000"&amp;$L726,6))</f>
        <v/>
      </c>
      <c r="N726">
        <f>IF($F726="","",IF(Sync!$AF726="","0000",IF(AND(ISNUMBER(Sync!$AF726),Sync!$AF726&gt;=0,Sync!$AF726&lt;1),RIGHT("00"&amp;HOUR(Sync!$AF726),2)&amp;RIGHT("00"&amp;MINUTE(Sync!$AF726),2),IFERROR(RIGHT("00"&amp;VALUE(LEFT(Sync!$AF726,FIND(":",Sync!$AF726)-1)),2)&amp;RIGHT("00"&amp;VALUE(MID(Sync!$AF726,FIND(":",Sync!$AF726)+1,2)),2),"0000"))))</f>
        <v/>
      </c>
    </row>
    <row r="727">
      <c r="A727">
        <f>IF(OR(Calc!$E731="",Calc!$E731="نامعتبر",Calc!$G731=""),"",Calc!$G731)</f>
        <v/>
      </c>
      <c r="B727">
        <f>IF($A727="","",LEFT(Calc!$E731,4)&amp;MID(Calc!$E731,6,2)&amp;RIGHT(Calc!$E731,2)&amp;Calc!$Q731&amp;"|"&amp;"1"&amp;RIGHT("00000"&amp;722,5))</f>
        <v/>
      </c>
      <c r="C727">
        <f>IF($B727="","",COUNTIFS(LdgSellerA,$A727,LdgKeyA,"&lt;"&amp;$B727)+COUNTIFS(LdgSellerB,$A727,LdgKeyB,"&lt;"&amp;$B727)+1)</f>
        <v/>
      </c>
      <c r="D727">
        <f>IF($C727="","",$A727&amp;"|"&amp;RIGHT("000000"&amp;$C727,6))</f>
        <v/>
      </c>
      <c r="F727">
        <f>IF(Sync!$AH727="","",IF(LEFT(UPPER(TRIM(Sync!$AH727)),2)="SL",UPPER(TRIM(Sync!$AH727)),""))</f>
        <v/>
      </c>
      <c r="G727">
        <f>IF($F727="","",IF(Sync!$AE727="","",IF(ISNUMBER(Sync!$AE727),IF(AND(Sync!$AE727&gt;=10000101,Sync!$AE727&lt;=99991231),INT(Sync!$AE727/10000),""),IFERROR(VALUE(TRIM(LEFT(Sync!$AE727,FIND("/",Sync!$AE727)-1))),""))))</f>
        <v/>
      </c>
      <c r="H727">
        <f>IF(OR($F727="",$G727=""),"",IF(ISNUMBER(Sync!$AE727),INT(MOD(Sync!$AE727,10000)/100),IFERROR(VALUE(TRIM(LEFT(MID(Sync!$AE727,FIND("/",Sync!$AE727)+1,20),FIND("/",MID(Sync!$AE727,FIND("/",Sync!$AE727)+1,20))-1))),"")))</f>
        <v/>
      </c>
      <c r="I727">
        <f>IF(OR($F727="",$G727=""),"",IF(ISNUMBER(Sync!$AE727),MOD(Sync!$AE727,100),IFERROR(VALUE(TRIM(MID(MID(Sync!$AE727,FIND("/",Sync!$AE727)+1,20),FIND("/",MID(Sync!$AE727,FIND("/",Sync!$AE727)+1,20))+1,20))),"")))</f>
        <v/>
      </c>
      <c r="J727">
        <f>IF($F727="","",IF(OR($G727="",$H727="",$I727="",$G727&lt;1300,$G727&gt;1500,$H727&lt;1,$H727&gt;12,$I727&lt;1,$I727&gt;31),"نامعتبر",RIGHT("0000"&amp;$G727,4)&amp;"/"&amp;RIGHT("00"&amp;$H727,2)&amp;"/"&amp;RIGHT("00"&amp;$I727,2)))</f>
        <v/>
      </c>
      <c r="K727">
        <f>IF(OR($F727="",$J727="",$J727="نامعتبر"),"",LEFT($J727,4)&amp;MID($J727,6,2)&amp;RIGHT($J727,2)&amp;$N727&amp;"|"&amp;"2"&amp;RIGHT("00000"&amp;722,5))</f>
        <v/>
      </c>
      <c r="L727">
        <f>IF($K727="","",COUNTIFS(LdgSellerA,$F727,LdgKeyA,"&lt;"&amp;$K727)+COUNTIFS(LdgSellerB,$F727,LdgKeyB,"&lt;"&amp;$K727)+1)</f>
        <v/>
      </c>
      <c r="M727">
        <f>IF($L727="","",$F727&amp;"|"&amp;RIGHT("000000"&amp;$L727,6))</f>
        <v/>
      </c>
      <c r="N727">
        <f>IF($F727="","",IF(Sync!$AF727="","0000",IF(AND(ISNUMBER(Sync!$AF727),Sync!$AF727&gt;=0,Sync!$AF727&lt;1),RIGHT("00"&amp;HOUR(Sync!$AF727),2)&amp;RIGHT("00"&amp;MINUTE(Sync!$AF727),2),IFERROR(RIGHT("00"&amp;VALUE(LEFT(Sync!$AF727,FIND(":",Sync!$AF727)-1)),2)&amp;RIGHT("00"&amp;VALUE(MID(Sync!$AF727,FIND(":",Sync!$AF727)+1,2)),2),"0000"))))</f>
        <v/>
      </c>
    </row>
    <row r="728">
      <c r="A728">
        <f>IF(OR(Calc!$E732="",Calc!$E732="نامعتبر",Calc!$G732=""),"",Calc!$G732)</f>
        <v/>
      </c>
      <c r="B728">
        <f>IF($A728="","",LEFT(Calc!$E732,4)&amp;MID(Calc!$E732,6,2)&amp;RIGHT(Calc!$E732,2)&amp;Calc!$Q732&amp;"|"&amp;"1"&amp;RIGHT("00000"&amp;723,5))</f>
        <v/>
      </c>
      <c r="C728">
        <f>IF($B728="","",COUNTIFS(LdgSellerA,$A728,LdgKeyA,"&lt;"&amp;$B728)+COUNTIFS(LdgSellerB,$A728,LdgKeyB,"&lt;"&amp;$B728)+1)</f>
        <v/>
      </c>
      <c r="D728">
        <f>IF($C728="","",$A728&amp;"|"&amp;RIGHT("000000"&amp;$C728,6))</f>
        <v/>
      </c>
      <c r="F728">
        <f>IF(Sync!$AH728="","",IF(LEFT(UPPER(TRIM(Sync!$AH728)),2)="SL",UPPER(TRIM(Sync!$AH728)),""))</f>
        <v/>
      </c>
      <c r="G728">
        <f>IF($F728="","",IF(Sync!$AE728="","",IF(ISNUMBER(Sync!$AE728),IF(AND(Sync!$AE728&gt;=10000101,Sync!$AE728&lt;=99991231),INT(Sync!$AE728/10000),""),IFERROR(VALUE(TRIM(LEFT(Sync!$AE728,FIND("/",Sync!$AE728)-1))),""))))</f>
        <v/>
      </c>
      <c r="H728">
        <f>IF(OR($F728="",$G728=""),"",IF(ISNUMBER(Sync!$AE728),INT(MOD(Sync!$AE728,10000)/100),IFERROR(VALUE(TRIM(LEFT(MID(Sync!$AE728,FIND("/",Sync!$AE728)+1,20),FIND("/",MID(Sync!$AE728,FIND("/",Sync!$AE728)+1,20))-1))),"")))</f>
        <v/>
      </c>
      <c r="I728">
        <f>IF(OR($F728="",$G728=""),"",IF(ISNUMBER(Sync!$AE728),MOD(Sync!$AE728,100),IFERROR(VALUE(TRIM(MID(MID(Sync!$AE728,FIND("/",Sync!$AE728)+1,20),FIND("/",MID(Sync!$AE728,FIND("/",Sync!$AE728)+1,20))+1,20))),"")))</f>
        <v/>
      </c>
      <c r="J728">
        <f>IF($F728="","",IF(OR($G728="",$H728="",$I728="",$G728&lt;1300,$G728&gt;1500,$H728&lt;1,$H728&gt;12,$I728&lt;1,$I728&gt;31),"نامعتبر",RIGHT("0000"&amp;$G728,4)&amp;"/"&amp;RIGHT("00"&amp;$H728,2)&amp;"/"&amp;RIGHT("00"&amp;$I728,2)))</f>
        <v/>
      </c>
      <c r="K728">
        <f>IF(OR($F728="",$J728="",$J728="نامعتبر"),"",LEFT($J728,4)&amp;MID($J728,6,2)&amp;RIGHT($J728,2)&amp;$N728&amp;"|"&amp;"2"&amp;RIGHT("00000"&amp;723,5))</f>
        <v/>
      </c>
      <c r="L728">
        <f>IF($K728="","",COUNTIFS(LdgSellerA,$F728,LdgKeyA,"&lt;"&amp;$K728)+COUNTIFS(LdgSellerB,$F728,LdgKeyB,"&lt;"&amp;$K728)+1)</f>
        <v/>
      </c>
      <c r="M728">
        <f>IF($L728="","",$F728&amp;"|"&amp;RIGHT("000000"&amp;$L728,6))</f>
        <v/>
      </c>
      <c r="N728">
        <f>IF($F728="","",IF(Sync!$AF728="","0000",IF(AND(ISNUMBER(Sync!$AF728),Sync!$AF728&gt;=0,Sync!$AF728&lt;1),RIGHT("00"&amp;HOUR(Sync!$AF728),2)&amp;RIGHT("00"&amp;MINUTE(Sync!$AF728),2),IFERROR(RIGHT("00"&amp;VALUE(LEFT(Sync!$AF728,FIND(":",Sync!$AF728)-1)),2)&amp;RIGHT("00"&amp;VALUE(MID(Sync!$AF728,FIND(":",Sync!$AF728)+1,2)),2),"0000"))))</f>
        <v/>
      </c>
    </row>
    <row r="729">
      <c r="A729">
        <f>IF(OR(Calc!$E733="",Calc!$E733="نامعتبر",Calc!$G733=""),"",Calc!$G733)</f>
        <v/>
      </c>
      <c r="B729">
        <f>IF($A729="","",LEFT(Calc!$E733,4)&amp;MID(Calc!$E733,6,2)&amp;RIGHT(Calc!$E733,2)&amp;Calc!$Q733&amp;"|"&amp;"1"&amp;RIGHT("00000"&amp;724,5))</f>
        <v/>
      </c>
      <c r="C729">
        <f>IF($B729="","",COUNTIFS(LdgSellerA,$A729,LdgKeyA,"&lt;"&amp;$B729)+COUNTIFS(LdgSellerB,$A729,LdgKeyB,"&lt;"&amp;$B729)+1)</f>
        <v/>
      </c>
      <c r="D729">
        <f>IF($C729="","",$A729&amp;"|"&amp;RIGHT("000000"&amp;$C729,6))</f>
        <v/>
      </c>
      <c r="F729">
        <f>IF(Sync!$AH729="","",IF(LEFT(UPPER(TRIM(Sync!$AH729)),2)="SL",UPPER(TRIM(Sync!$AH729)),""))</f>
        <v/>
      </c>
      <c r="G729">
        <f>IF($F729="","",IF(Sync!$AE729="","",IF(ISNUMBER(Sync!$AE729),IF(AND(Sync!$AE729&gt;=10000101,Sync!$AE729&lt;=99991231),INT(Sync!$AE729/10000),""),IFERROR(VALUE(TRIM(LEFT(Sync!$AE729,FIND("/",Sync!$AE729)-1))),""))))</f>
        <v/>
      </c>
      <c r="H729">
        <f>IF(OR($F729="",$G729=""),"",IF(ISNUMBER(Sync!$AE729),INT(MOD(Sync!$AE729,10000)/100),IFERROR(VALUE(TRIM(LEFT(MID(Sync!$AE729,FIND("/",Sync!$AE729)+1,20),FIND("/",MID(Sync!$AE729,FIND("/",Sync!$AE729)+1,20))-1))),"")))</f>
        <v/>
      </c>
      <c r="I729">
        <f>IF(OR($F729="",$G729=""),"",IF(ISNUMBER(Sync!$AE729),MOD(Sync!$AE729,100),IFERROR(VALUE(TRIM(MID(MID(Sync!$AE729,FIND("/",Sync!$AE729)+1,20),FIND("/",MID(Sync!$AE729,FIND("/",Sync!$AE729)+1,20))+1,20))),"")))</f>
        <v/>
      </c>
      <c r="J729">
        <f>IF($F729="","",IF(OR($G729="",$H729="",$I729="",$G729&lt;1300,$G729&gt;1500,$H729&lt;1,$H729&gt;12,$I729&lt;1,$I729&gt;31),"نامعتبر",RIGHT("0000"&amp;$G729,4)&amp;"/"&amp;RIGHT("00"&amp;$H729,2)&amp;"/"&amp;RIGHT("00"&amp;$I729,2)))</f>
        <v/>
      </c>
      <c r="K729">
        <f>IF(OR($F729="",$J729="",$J729="نامعتبر"),"",LEFT($J729,4)&amp;MID($J729,6,2)&amp;RIGHT($J729,2)&amp;$N729&amp;"|"&amp;"2"&amp;RIGHT("00000"&amp;724,5))</f>
        <v/>
      </c>
      <c r="L729">
        <f>IF($K729="","",COUNTIFS(LdgSellerA,$F729,LdgKeyA,"&lt;"&amp;$K729)+COUNTIFS(LdgSellerB,$F729,LdgKeyB,"&lt;"&amp;$K729)+1)</f>
        <v/>
      </c>
      <c r="M729">
        <f>IF($L729="","",$F729&amp;"|"&amp;RIGHT("000000"&amp;$L729,6))</f>
        <v/>
      </c>
      <c r="N729">
        <f>IF($F729="","",IF(Sync!$AF729="","0000",IF(AND(ISNUMBER(Sync!$AF729),Sync!$AF729&gt;=0,Sync!$AF729&lt;1),RIGHT("00"&amp;HOUR(Sync!$AF729),2)&amp;RIGHT("00"&amp;MINUTE(Sync!$AF729),2),IFERROR(RIGHT("00"&amp;VALUE(LEFT(Sync!$AF729,FIND(":",Sync!$AF729)-1)),2)&amp;RIGHT("00"&amp;VALUE(MID(Sync!$AF729,FIND(":",Sync!$AF729)+1,2)),2),"0000"))))</f>
        <v/>
      </c>
    </row>
    <row r="730">
      <c r="A730">
        <f>IF(OR(Calc!$E734="",Calc!$E734="نامعتبر",Calc!$G734=""),"",Calc!$G734)</f>
        <v/>
      </c>
      <c r="B730">
        <f>IF($A730="","",LEFT(Calc!$E734,4)&amp;MID(Calc!$E734,6,2)&amp;RIGHT(Calc!$E734,2)&amp;Calc!$Q734&amp;"|"&amp;"1"&amp;RIGHT("00000"&amp;725,5))</f>
        <v/>
      </c>
      <c r="C730">
        <f>IF($B730="","",COUNTIFS(LdgSellerA,$A730,LdgKeyA,"&lt;"&amp;$B730)+COUNTIFS(LdgSellerB,$A730,LdgKeyB,"&lt;"&amp;$B730)+1)</f>
        <v/>
      </c>
      <c r="D730">
        <f>IF($C730="","",$A730&amp;"|"&amp;RIGHT("000000"&amp;$C730,6))</f>
        <v/>
      </c>
      <c r="F730">
        <f>IF(Sync!$AH730="","",IF(LEFT(UPPER(TRIM(Sync!$AH730)),2)="SL",UPPER(TRIM(Sync!$AH730)),""))</f>
        <v/>
      </c>
      <c r="G730">
        <f>IF($F730="","",IF(Sync!$AE730="","",IF(ISNUMBER(Sync!$AE730),IF(AND(Sync!$AE730&gt;=10000101,Sync!$AE730&lt;=99991231),INT(Sync!$AE730/10000),""),IFERROR(VALUE(TRIM(LEFT(Sync!$AE730,FIND("/",Sync!$AE730)-1))),""))))</f>
        <v/>
      </c>
      <c r="H730">
        <f>IF(OR($F730="",$G730=""),"",IF(ISNUMBER(Sync!$AE730),INT(MOD(Sync!$AE730,10000)/100),IFERROR(VALUE(TRIM(LEFT(MID(Sync!$AE730,FIND("/",Sync!$AE730)+1,20),FIND("/",MID(Sync!$AE730,FIND("/",Sync!$AE730)+1,20))-1))),"")))</f>
        <v/>
      </c>
      <c r="I730">
        <f>IF(OR($F730="",$G730=""),"",IF(ISNUMBER(Sync!$AE730),MOD(Sync!$AE730,100),IFERROR(VALUE(TRIM(MID(MID(Sync!$AE730,FIND("/",Sync!$AE730)+1,20),FIND("/",MID(Sync!$AE730,FIND("/",Sync!$AE730)+1,20))+1,20))),"")))</f>
        <v/>
      </c>
      <c r="J730">
        <f>IF($F730="","",IF(OR($G730="",$H730="",$I730="",$G730&lt;1300,$G730&gt;1500,$H730&lt;1,$H730&gt;12,$I730&lt;1,$I730&gt;31),"نامعتبر",RIGHT("0000"&amp;$G730,4)&amp;"/"&amp;RIGHT("00"&amp;$H730,2)&amp;"/"&amp;RIGHT("00"&amp;$I730,2)))</f>
        <v/>
      </c>
      <c r="K730">
        <f>IF(OR($F730="",$J730="",$J730="نامعتبر"),"",LEFT($J730,4)&amp;MID($J730,6,2)&amp;RIGHT($J730,2)&amp;$N730&amp;"|"&amp;"2"&amp;RIGHT("00000"&amp;725,5))</f>
        <v/>
      </c>
      <c r="L730">
        <f>IF($K730="","",COUNTIFS(LdgSellerA,$F730,LdgKeyA,"&lt;"&amp;$K730)+COUNTIFS(LdgSellerB,$F730,LdgKeyB,"&lt;"&amp;$K730)+1)</f>
        <v/>
      </c>
      <c r="M730">
        <f>IF($L730="","",$F730&amp;"|"&amp;RIGHT("000000"&amp;$L730,6))</f>
        <v/>
      </c>
      <c r="N730">
        <f>IF($F730="","",IF(Sync!$AF730="","0000",IF(AND(ISNUMBER(Sync!$AF730),Sync!$AF730&gt;=0,Sync!$AF730&lt;1),RIGHT("00"&amp;HOUR(Sync!$AF730),2)&amp;RIGHT("00"&amp;MINUTE(Sync!$AF730),2),IFERROR(RIGHT("00"&amp;VALUE(LEFT(Sync!$AF730,FIND(":",Sync!$AF730)-1)),2)&amp;RIGHT("00"&amp;VALUE(MID(Sync!$AF730,FIND(":",Sync!$AF730)+1,2)),2),"0000"))))</f>
        <v/>
      </c>
    </row>
    <row r="731">
      <c r="A731">
        <f>IF(OR(Calc!$E735="",Calc!$E735="نامعتبر",Calc!$G735=""),"",Calc!$G735)</f>
        <v/>
      </c>
      <c r="B731">
        <f>IF($A731="","",LEFT(Calc!$E735,4)&amp;MID(Calc!$E735,6,2)&amp;RIGHT(Calc!$E735,2)&amp;Calc!$Q735&amp;"|"&amp;"1"&amp;RIGHT("00000"&amp;726,5))</f>
        <v/>
      </c>
      <c r="C731">
        <f>IF($B731="","",COUNTIFS(LdgSellerA,$A731,LdgKeyA,"&lt;"&amp;$B731)+COUNTIFS(LdgSellerB,$A731,LdgKeyB,"&lt;"&amp;$B731)+1)</f>
        <v/>
      </c>
      <c r="D731">
        <f>IF($C731="","",$A731&amp;"|"&amp;RIGHT("000000"&amp;$C731,6))</f>
        <v/>
      </c>
      <c r="F731">
        <f>IF(Sync!$AH731="","",IF(LEFT(UPPER(TRIM(Sync!$AH731)),2)="SL",UPPER(TRIM(Sync!$AH731)),""))</f>
        <v/>
      </c>
      <c r="G731">
        <f>IF($F731="","",IF(Sync!$AE731="","",IF(ISNUMBER(Sync!$AE731),IF(AND(Sync!$AE731&gt;=10000101,Sync!$AE731&lt;=99991231),INT(Sync!$AE731/10000),""),IFERROR(VALUE(TRIM(LEFT(Sync!$AE731,FIND("/",Sync!$AE731)-1))),""))))</f>
        <v/>
      </c>
      <c r="H731">
        <f>IF(OR($F731="",$G731=""),"",IF(ISNUMBER(Sync!$AE731),INT(MOD(Sync!$AE731,10000)/100),IFERROR(VALUE(TRIM(LEFT(MID(Sync!$AE731,FIND("/",Sync!$AE731)+1,20),FIND("/",MID(Sync!$AE731,FIND("/",Sync!$AE731)+1,20))-1))),"")))</f>
        <v/>
      </c>
      <c r="I731">
        <f>IF(OR($F731="",$G731=""),"",IF(ISNUMBER(Sync!$AE731),MOD(Sync!$AE731,100),IFERROR(VALUE(TRIM(MID(MID(Sync!$AE731,FIND("/",Sync!$AE731)+1,20),FIND("/",MID(Sync!$AE731,FIND("/",Sync!$AE731)+1,20))+1,20))),"")))</f>
        <v/>
      </c>
      <c r="J731">
        <f>IF($F731="","",IF(OR($G731="",$H731="",$I731="",$G731&lt;1300,$G731&gt;1500,$H731&lt;1,$H731&gt;12,$I731&lt;1,$I731&gt;31),"نامعتبر",RIGHT("0000"&amp;$G731,4)&amp;"/"&amp;RIGHT("00"&amp;$H731,2)&amp;"/"&amp;RIGHT("00"&amp;$I731,2)))</f>
        <v/>
      </c>
      <c r="K731">
        <f>IF(OR($F731="",$J731="",$J731="نامعتبر"),"",LEFT($J731,4)&amp;MID($J731,6,2)&amp;RIGHT($J731,2)&amp;$N731&amp;"|"&amp;"2"&amp;RIGHT("00000"&amp;726,5))</f>
        <v/>
      </c>
      <c r="L731">
        <f>IF($K731="","",COUNTIFS(LdgSellerA,$F731,LdgKeyA,"&lt;"&amp;$K731)+COUNTIFS(LdgSellerB,$F731,LdgKeyB,"&lt;"&amp;$K731)+1)</f>
        <v/>
      </c>
      <c r="M731">
        <f>IF($L731="","",$F731&amp;"|"&amp;RIGHT("000000"&amp;$L731,6))</f>
        <v/>
      </c>
      <c r="N731">
        <f>IF($F731="","",IF(Sync!$AF731="","0000",IF(AND(ISNUMBER(Sync!$AF731),Sync!$AF731&gt;=0,Sync!$AF731&lt;1),RIGHT("00"&amp;HOUR(Sync!$AF731),2)&amp;RIGHT("00"&amp;MINUTE(Sync!$AF731),2),IFERROR(RIGHT("00"&amp;VALUE(LEFT(Sync!$AF731,FIND(":",Sync!$AF731)-1)),2)&amp;RIGHT("00"&amp;VALUE(MID(Sync!$AF731,FIND(":",Sync!$AF731)+1,2)),2),"0000"))))</f>
        <v/>
      </c>
    </row>
    <row r="732">
      <c r="A732">
        <f>IF(OR(Calc!$E736="",Calc!$E736="نامعتبر",Calc!$G736=""),"",Calc!$G736)</f>
        <v/>
      </c>
      <c r="B732">
        <f>IF($A732="","",LEFT(Calc!$E736,4)&amp;MID(Calc!$E736,6,2)&amp;RIGHT(Calc!$E736,2)&amp;Calc!$Q736&amp;"|"&amp;"1"&amp;RIGHT("00000"&amp;727,5))</f>
        <v/>
      </c>
      <c r="C732">
        <f>IF($B732="","",COUNTIFS(LdgSellerA,$A732,LdgKeyA,"&lt;"&amp;$B732)+COUNTIFS(LdgSellerB,$A732,LdgKeyB,"&lt;"&amp;$B732)+1)</f>
        <v/>
      </c>
      <c r="D732">
        <f>IF($C732="","",$A732&amp;"|"&amp;RIGHT("000000"&amp;$C732,6))</f>
        <v/>
      </c>
      <c r="F732">
        <f>IF(Sync!$AH732="","",IF(LEFT(UPPER(TRIM(Sync!$AH732)),2)="SL",UPPER(TRIM(Sync!$AH732)),""))</f>
        <v/>
      </c>
      <c r="G732">
        <f>IF($F732="","",IF(Sync!$AE732="","",IF(ISNUMBER(Sync!$AE732),IF(AND(Sync!$AE732&gt;=10000101,Sync!$AE732&lt;=99991231),INT(Sync!$AE732/10000),""),IFERROR(VALUE(TRIM(LEFT(Sync!$AE732,FIND("/",Sync!$AE732)-1))),""))))</f>
        <v/>
      </c>
      <c r="H732">
        <f>IF(OR($F732="",$G732=""),"",IF(ISNUMBER(Sync!$AE732),INT(MOD(Sync!$AE732,10000)/100),IFERROR(VALUE(TRIM(LEFT(MID(Sync!$AE732,FIND("/",Sync!$AE732)+1,20),FIND("/",MID(Sync!$AE732,FIND("/",Sync!$AE732)+1,20))-1))),"")))</f>
        <v/>
      </c>
      <c r="I732">
        <f>IF(OR($F732="",$G732=""),"",IF(ISNUMBER(Sync!$AE732),MOD(Sync!$AE732,100),IFERROR(VALUE(TRIM(MID(MID(Sync!$AE732,FIND("/",Sync!$AE732)+1,20),FIND("/",MID(Sync!$AE732,FIND("/",Sync!$AE732)+1,20))+1,20))),"")))</f>
        <v/>
      </c>
      <c r="J732">
        <f>IF($F732="","",IF(OR($G732="",$H732="",$I732="",$G732&lt;1300,$G732&gt;1500,$H732&lt;1,$H732&gt;12,$I732&lt;1,$I732&gt;31),"نامعتبر",RIGHT("0000"&amp;$G732,4)&amp;"/"&amp;RIGHT("00"&amp;$H732,2)&amp;"/"&amp;RIGHT("00"&amp;$I732,2)))</f>
        <v/>
      </c>
      <c r="K732">
        <f>IF(OR($F732="",$J732="",$J732="نامعتبر"),"",LEFT($J732,4)&amp;MID($J732,6,2)&amp;RIGHT($J732,2)&amp;$N732&amp;"|"&amp;"2"&amp;RIGHT("00000"&amp;727,5))</f>
        <v/>
      </c>
      <c r="L732">
        <f>IF($K732="","",COUNTIFS(LdgSellerA,$F732,LdgKeyA,"&lt;"&amp;$K732)+COUNTIFS(LdgSellerB,$F732,LdgKeyB,"&lt;"&amp;$K732)+1)</f>
        <v/>
      </c>
      <c r="M732">
        <f>IF($L732="","",$F732&amp;"|"&amp;RIGHT("000000"&amp;$L732,6))</f>
        <v/>
      </c>
      <c r="N732">
        <f>IF($F732="","",IF(Sync!$AF732="","0000",IF(AND(ISNUMBER(Sync!$AF732),Sync!$AF732&gt;=0,Sync!$AF732&lt;1),RIGHT("00"&amp;HOUR(Sync!$AF732),2)&amp;RIGHT("00"&amp;MINUTE(Sync!$AF732),2),IFERROR(RIGHT("00"&amp;VALUE(LEFT(Sync!$AF732,FIND(":",Sync!$AF732)-1)),2)&amp;RIGHT("00"&amp;VALUE(MID(Sync!$AF732,FIND(":",Sync!$AF732)+1,2)),2),"0000"))))</f>
        <v/>
      </c>
    </row>
    <row r="733">
      <c r="A733">
        <f>IF(OR(Calc!$E737="",Calc!$E737="نامعتبر",Calc!$G737=""),"",Calc!$G737)</f>
        <v/>
      </c>
      <c r="B733">
        <f>IF($A733="","",LEFT(Calc!$E737,4)&amp;MID(Calc!$E737,6,2)&amp;RIGHT(Calc!$E737,2)&amp;Calc!$Q737&amp;"|"&amp;"1"&amp;RIGHT("00000"&amp;728,5))</f>
        <v/>
      </c>
      <c r="C733">
        <f>IF($B733="","",COUNTIFS(LdgSellerA,$A733,LdgKeyA,"&lt;"&amp;$B733)+COUNTIFS(LdgSellerB,$A733,LdgKeyB,"&lt;"&amp;$B733)+1)</f>
        <v/>
      </c>
      <c r="D733">
        <f>IF($C733="","",$A733&amp;"|"&amp;RIGHT("000000"&amp;$C733,6))</f>
        <v/>
      </c>
      <c r="F733">
        <f>IF(Sync!$AH733="","",IF(LEFT(UPPER(TRIM(Sync!$AH733)),2)="SL",UPPER(TRIM(Sync!$AH733)),""))</f>
        <v/>
      </c>
      <c r="G733">
        <f>IF($F733="","",IF(Sync!$AE733="","",IF(ISNUMBER(Sync!$AE733),IF(AND(Sync!$AE733&gt;=10000101,Sync!$AE733&lt;=99991231),INT(Sync!$AE733/10000),""),IFERROR(VALUE(TRIM(LEFT(Sync!$AE733,FIND("/",Sync!$AE733)-1))),""))))</f>
        <v/>
      </c>
      <c r="H733">
        <f>IF(OR($F733="",$G733=""),"",IF(ISNUMBER(Sync!$AE733),INT(MOD(Sync!$AE733,10000)/100),IFERROR(VALUE(TRIM(LEFT(MID(Sync!$AE733,FIND("/",Sync!$AE733)+1,20),FIND("/",MID(Sync!$AE733,FIND("/",Sync!$AE733)+1,20))-1))),"")))</f>
        <v/>
      </c>
      <c r="I733">
        <f>IF(OR($F733="",$G733=""),"",IF(ISNUMBER(Sync!$AE733),MOD(Sync!$AE733,100),IFERROR(VALUE(TRIM(MID(MID(Sync!$AE733,FIND("/",Sync!$AE733)+1,20),FIND("/",MID(Sync!$AE733,FIND("/",Sync!$AE733)+1,20))+1,20))),"")))</f>
        <v/>
      </c>
      <c r="J733">
        <f>IF($F733="","",IF(OR($G733="",$H733="",$I733="",$G733&lt;1300,$G733&gt;1500,$H733&lt;1,$H733&gt;12,$I733&lt;1,$I733&gt;31),"نامعتبر",RIGHT("0000"&amp;$G733,4)&amp;"/"&amp;RIGHT("00"&amp;$H733,2)&amp;"/"&amp;RIGHT("00"&amp;$I733,2)))</f>
        <v/>
      </c>
      <c r="K733">
        <f>IF(OR($F733="",$J733="",$J733="نامعتبر"),"",LEFT($J733,4)&amp;MID($J733,6,2)&amp;RIGHT($J733,2)&amp;$N733&amp;"|"&amp;"2"&amp;RIGHT("00000"&amp;728,5))</f>
        <v/>
      </c>
      <c r="L733">
        <f>IF($K733="","",COUNTIFS(LdgSellerA,$F733,LdgKeyA,"&lt;"&amp;$K733)+COUNTIFS(LdgSellerB,$F733,LdgKeyB,"&lt;"&amp;$K733)+1)</f>
        <v/>
      </c>
      <c r="M733">
        <f>IF($L733="","",$F733&amp;"|"&amp;RIGHT("000000"&amp;$L733,6))</f>
        <v/>
      </c>
      <c r="N733">
        <f>IF($F733="","",IF(Sync!$AF733="","0000",IF(AND(ISNUMBER(Sync!$AF733),Sync!$AF733&gt;=0,Sync!$AF733&lt;1),RIGHT("00"&amp;HOUR(Sync!$AF733),2)&amp;RIGHT("00"&amp;MINUTE(Sync!$AF733),2),IFERROR(RIGHT("00"&amp;VALUE(LEFT(Sync!$AF733,FIND(":",Sync!$AF733)-1)),2)&amp;RIGHT("00"&amp;VALUE(MID(Sync!$AF733,FIND(":",Sync!$AF733)+1,2)),2),"0000"))))</f>
        <v/>
      </c>
    </row>
    <row r="734">
      <c r="A734">
        <f>IF(OR(Calc!$E738="",Calc!$E738="نامعتبر",Calc!$G738=""),"",Calc!$G738)</f>
        <v/>
      </c>
      <c r="B734">
        <f>IF($A734="","",LEFT(Calc!$E738,4)&amp;MID(Calc!$E738,6,2)&amp;RIGHT(Calc!$E738,2)&amp;Calc!$Q738&amp;"|"&amp;"1"&amp;RIGHT("00000"&amp;729,5))</f>
        <v/>
      </c>
      <c r="C734">
        <f>IF($B734="","",COUNTIFS(LdgSellerA,$A734,LdgKeyA,"&lt;"&amp;$B734)+COUNTIFS(LdgSellerB,$A734,LdgKeyB,"&lt;"&amp;$B734)+1)</f>
        <v/>
      </c>
      <c r="D734">
        <f>IF($C734="","",$A734&amp;"|"&amp;RIGHT("000000"&amp;$C734,6))</f>
        <v/>
      </c>
      <c r="F734">
        <f>IF(Sync!$AH734="","",IF(LEFT(UPPER(TRIM(Sync!$AH734)),2)="SL",UPPER(TRIM(Sync!$AH734)),""))</f>
        <v/>
      </c>
      <c r="G734">
        <f>IF($F734="","",IF(Sync!$AE734="","",IF(ISNUMBER(Sync!$AE734),IF(AND(Sync!$AE734&gt;=10000101,Sync!$AE734&lt;=99991231),INT(Sync!$AE734/10000),""),IFERROR(VALUE(TRIM(LEFT(Sync!$AE734,FIND("/",Sync!$AE734)-1))),""))))</f>
        <v/>
      </c>
      <c r="H734">
        <f>IF(OR($F734="",$G734=""),"",IF(ISNUMBER(Sync!$AE734),INT(MOD(Sync!$AE734,10000)/100),IFERROR(VALUE(TRIM(LEFT(MID(Sync!$AE734,FIND("/",Sync!$AE734)+1,20),FIND("/",MID(Sync!$AE734,FIND("/",Sync!$AE734)+1,20))-1))),"")))</f>
        <v/>
      </c>
      <c r="I734">
        <f>IF(OR($F734="",$G734=""),"",IF(ISNUMBER(Sync!$AE734),MOD(Sync!$AE734,100),IFERROR(VALUE(TRIM(MID(MID(Sync!$AE734,FIND("/",Sync!$AE734)+1,20),FIND("/",MID(Sync!$AE734,FIND("/",Sync!$AE734)+1,20))+1,20))),"")))</f>
        <v/>
      </c>
      <c r="J734">
        <f>IF($F734="","",IF(OR($G734="",$H734="",$I734="",$G734&lt;1300,$G734&gt;1500,$H734&lt;1,$H734&gt;12,$I734&lt;1,$I734&gt;31),"نامعتبر",RIGHT("0000"&amp;$G734,4)&amp;"/"&amp;RIGHT("00"&amp;$H734,2)&amp;"/"&amp;RIGHT("00"&amp;$I734,2)))</f>
        <v/>
      </c>
      <c r="K734">
        <f>IF(OR($F734="",$J734="",$J734="نامعتبر"),"",LEFT($J734,4)&amp;MID($J734,6,2)&amp;RIGHT($J734,2)&amp;$N734&amp;"|"&amp;"2"&amp;RIGHT("00000"&amp;729,5))</f>
        <v/>
      </c>
      <c r="L734">
        <f>IF($K734="","",COUNTIFS(LdgSellerA,$F734,LdgKeyA,"&lt;"&amp;$K734)+COUNTIFS(LdgSellerB,$F734,LdgKeyB,"&lt;"&amp;$K734)+1)</f>
        <v/>
      </c>
      <c r="M734">
        <f>IF($L734="","",$F734&amp;"|"&amp;RIGHT("000000"&amp;$L734,6))</f>
        <v/>
      </c>
      <c r="N734">
        <f>IF($F734="","",IF(Sync!$AF734="","0000",IF(AND(ISNUMBER(Sync!$AF734),Sync!$AF734&gt;=0,Sync!$AF734&lt;1),RIGHT("00"&amp;HOUR(Sync!$AF734),2)&amp;RIGHT("00"&amp;MINUTE(Sync!$AF734),2),IFERROR(RIGHT("00"&amp;VALUE(LEFT(Sync!$AF734,FIND(":",Sync!$AF734)-1)),2)&amp;RIGHT("00"&amp;VALUE(MID(Sync!$AF734,FIND(":",Sync!$AF734)+1,2)),2),"0000"))))</f>
        <v/>
      </c>
    </row>
    <row r="735">
      <c r="A735">
        <f>IF(OR(Calc!$E739="",Calc!$E739="نامعتبر",Calc!$G739=""),"",Calc!$G739)</f>
        <v/>
      </c>
      <c r="B735">
        <f>IF($A735="","",LEFT(Calc!$E739,4)&amp;MID(Calc!$E739,6,2)&amp;RIGHT(Calc!$E739,2)&amp;Calc!$Q739&amp;"|"&amp;"1"&amp;RIGHT("00000"&amp;730,5))</f>
        <v/>
      </c>
      <c r="C735">
        <f>IF($B735="","",COUNTIFS(LdgSellerA,$A735,LdgKeyA,"&lt;"&amp;$B735)+COUNTIFS(LdgSellerB,$A735,LdgKeyB,"&lt;"&amp;$B735)+1)</f>
        <v/>
      </c>
      <c r="D735">
        <f>IF($C735="","",$A735&amp;"|"&amp;RIGHT("000000"&amp;$C735,6))</f>
        <v/>
      </c>
      <c r="F735">
        <f>IF(Sync!$AH735="","",IF(LEFT(UPPER(TRIM(Sync!$AH735)),2)="SL",UPPER(TRIM(Sync!$AH735)),""))</f>
        <v/>
      </c>
      <c r="G735">
        <f>IF($F735="","",IF(Sync!$AE735="","",IF(ISNUMBER(Sync!$AE735),IF(AND(Sync!$AE735&gt;=10000101,Sync!$AE735&lt;=99991231),INT(Sync!$AE735/10000),""),IFERROR(VALUE(TRIM(LEFT(Sync!$AE735,FIND("/",Sync!$AE735)-1))),""))))</f>
        <v/>
      </c>
      <c r="H735">
        <f>IF(OR($F735="",$G735=""),"",IF(ISNUMBER(Sync!$AE735),INT(MOD(Sync!$AE735,10000)/100),IFERROR(VALUE(TRIM(LEFT(MID(Sync!$AE735,FIND("/",Sync!$AE735)+1,20),FIND("/",MID(Sync!$AE735,FIND("/",Sync!$AE735)+1,20))-1))),"")))</f>
        <v/>
      </c>
      <c r="I735">
        <f>IF(OR($F735="",$G735=""),"",IF(ISNUMBER(Sync!$AE735),MOD(Sync!$AE735,100),IFERROR(VALUE(TRIM(MID(MID(Sync!$AE735,FIND("/",Sync!$AE735)+1,20),FIND("/",MID(Sync!$AE735,FIND("/",Sync!$AE735)+1,20))+1,20))),"")))</f>
        <v/>
      </c>
      <c r="J735">
        <f>IF($F735="","",IF(OR($G735="",$H735="",$I735="",$G735&lt;1300,$G735&gt;1500,$H735&lt;1,$H735&gt;12,$I735&lt;1,$I735&gt;31),"نامعتبر",RIGHT("0000"&amp;$G735,4)&amp;"/"&amp;RIGHT("00"&amp;$H735,2)&amp;"/"&amp;RIGHT("00"&amp;$I735,2)))</f>
        <v/>
      </c>
      <c r="K735">
        <f>IF(OR($F735="",$J735="",$J735="نامعتبر"),"",LEFT($J735,4)&amp;MID($J735,6,2)&amp;RIGHT($J735,2)&amp;$N735&amp;"|"&amp;"2"&amp;RIGHT("00000"&amp;730,5))</f>
        <v/>
      </c>
      <c r="L735">
        <f>IF($K735="","",COUNTIFS(LdgSellerA,$F735,LdgKeyA,"&lt;"&amp;$K735)+COUNTIFS(LdgSellerB,$F735,LdgKeyB,"&lt;"&amp;$K735)+1)</f>
        <v/>
      </c>
      <c r="M735">
        <f>IF($L735="","",$F735&amp;"|"&amp;RIGHT("000000"&amp;$L735,6))</f>
        <v/>
      </c>
      <c r="N735">
        <f>IF($F735="","",IF(Sync!$AF735="","0000",IF(AND(ISNUMBER(Sync!$AF735),Sync!$AF735&gt;=0,Sync!$AF735&lt;1),RIGHT("00"&amp;HOUR(Sync!$AF735),2)&amp;RIGHT("00"&amp;MINUTE(Sync!$AF735),2),IFERROR(RIGHT("00"&amp;VALUE(LEFT(Sync!$AF735,FIND(":",Sync!$AF735)-1)),2)&amp;RIGHT("00"&amp;VALUE(MID(Sync!$AF735,FIND(":",Sync!$AF735)+1,2)),2),"0000"))))</f>
        <v/>
      </c>
    </row>
    <row r="736">
      <c r="A736">
        <f>IF(OR(Calc!$E740="",Calc!$E740="نامعتبر",Calc!$G740=""),"",Calc!$G740)</f>
        <v/>
      </c>
      <c r="B736">
        <f>IF($A736="","",LEFT(Calc!$E740,4)&amp;MID(Calc!$E740,6,2)&amp;RIGHT(Calc!$E740,2)&amp;Calc!$Q740&amp;"|"&amp;"1"&amp;RIGHT("00000"&amp;731,5))</f>
        <v/>
      </c>
      <c r="C736">
        <f>IF($B736="","",COUNTIFS(LdgSellerA,$A736,LdgKeyA,"&lt;"&amp;$B736)+COUNTIFS(LdgSellerB,$A736,LdgKeyB,"&lt;"&amp;$B736)+1)</f>
        <v/>
      </c>
      <c r="D736">
        <f>IF($C736="","",$A736&amp;"|"&amp;RIGHT("000000"&amp;$C736,6))</f>
        <v/>
      </c>
      <c r="F736">
        <f>IF(Sync!$AH736="","",IF(LEFT(UPPER(TRIM(Sync!$AH736)),2)="SL",UPPER(TRIM(Sync!$AH736)),""))</f>
        <v/>
      </c>
      <c r="G736">
        <f>IF($F736="","",IF(Sync!$AE736="","",IF(ISNUMBER(Sync!$AE736),IF(AND(Sync!$AE736&gt;=10000101,Sync!$AE736&lt;=99991231),INT(Sync!$AE736/10000),""),IFERROR(VALUE(TRIM(LEFT(Sync!$AE736,FIND("/",Sync!$AE736)-1))),""))))</f>
        <v/>
      </c>
      <c r="H736">
        <f>IF(OR($F736="",$G736=""),"",IF(ISNUMBER(Sync!$AE736),INT(MOD(Sync!$AE736,10000)/100),IFERROR(VALUE(TRIM(LEFT(MID(Sync!$AE736,FIND("/",Sync!$AE736)+1,20),FIND("/",MID(Sync!$AE736,FIND("/",Sync!$AE736)+1,20))-1))),"")))</f>
        <v/>
      </c>
      <c r="I736">
        <f>IF(OR($F736="",$G736=""),"",IF(ISNUMBER(Sync!$AE736),MOD(Sync!$AE736,100),IFERROR(VALUE(TRIM(MID(MID(Sync!$AE736,FIND("/",Sync!$AE736)+1,20),FIND("/",MID(Sync!$AE736,FIND("/",Sync!$AE736)+1,20))+1,20))),"")))</f>
        <v/>
      </c>
      <c r="J736">
        <f>IF($F736="","",IF(OR($G736="",$H736="",$I736="",$G736&lt;1300,$G736&gt;1500,$H736&lt;1,$H736&gt;12,$I736&lt;1,$I736&gt;31),"نامعتبر",RIGHT("0000"&amp;$G736,4)&amp;"/"&amp;RIGHT("00"&amp;$H736,2)&amp;"/"&amp;RIGHT("00"&amp;$I736,2)))</f>
        <v/>
      </c>
      <c r="K736">
        <f>IF(OR($F736="",$J736="",$J736="نامعتبر"),"",LEFT($J736,4)&amp;MID($J736,6,2)&amp;RIGHT($J736,2)&amp;$N736&amp;"|"&amp;"2"&amp;RIGHT("00000"&amp;731,5))</f>
        <v/>
      </c>
      <c r="L736">
        <f>IF($K736="","",COUNTIFS(LdgSellerA,$F736,LdgKeyA,"&lt;"&amp;$K736)+COUNTIFS(LdgSellerB,$F736,LdgKeyB,"&lt;"&amp;$K736)+1)</f>
        <v/>
      </c>
      <c r="M736">
        <f>IF($L736="","",$F736&amp;"|"&amp;RIGHT("000000"&amp;$L736,6))</f>
        <v/>
      </c>
      <c r="N736">
        <f>IF($F736="","",IF(Sync!$AF736="","0000",IF(AND(ISNUMBER(Sync!$AF736),Sync!$AF736&gt;=0,Sync!$AF736&lt;1),RIGHT("00"&amp;HOUR(Sync!$AF736),2)&amp;RIGHT("00"&amp;MINUTE(Sync!$AF736),2),IFERROR(RIGHT("00"&amp;VALUE(LEFT(Sync!$AF736,FIND(":",Sync!$AF736)-1)),2)&amp;RIGHT("00"&amp;VALUE(MID(Sync!$AF736,FIND(":",Sync!$AF736)+1,2)),2),"0000"))))</f>
        <v/>
      </c>
    </row>
    <row r="737">
      <c r="A737">
        <f>IF(OR(Calc!$E741="",Calc!$E741="نامعتبر",Calc!$G741=""),"",Calc!$G741)</f>
        <v/>
      </c>
      <c r="B737">
        <f>IF($A737="","",LEFT(Calc!$E741,4)&amp;MID(Calc!$E741,6,2)&amp;RIGHT(Calc!$E741,2)&amp;Calc!$Q741&amp;"|"&amp;"1"&amp;RIGHT("00000"&amp;732,5))</f>
        <v/>
      </c>
      <c r="C737">
        <f>IF($B737="","",COUNTIFS(LdgSellerA,$A737,LdgKeyA,"&lt;"&amp;$B737)+COUNTIFS(LdgSellerB,$A737,LdgKeyB,"&lt;"&amp;$B737)+1)</f>
        <v/>
      </c>
      <c r="D737">
        <f>IF($C737="","",$A737&amp;"|"&amp;RIGHT("000000"&amp;$C737,6))</f>
        <v/>
      </c>
      <c r="F737">
        <f>IF(Sync!$AH737="","",IF(LEFT(UPPER(TRIM(Sync!$AH737)),2)="SL",UPPER(TRIM(Sync!$AH737)),""))</f>
        <v/>
      </c>
      <c r="G737">
        <f>IF($F737="","",IF(Sync!$AE737="","",IF(ISNUMBER(Sync!$AE737),IF(AND(Sync!$AE737&gt;=10000101,Sync!$AE737&lt;=99991231),INT(Sync!$AE737/10000),""),IFERROR(VALUE(TRIM(LEFT(Sync!$AE737,FIND("/",Sync!$AE737)-1))),""))))</f>
        <v/>
      </c>
      <c r="H737">
        <f>IF(OR($F737="",$G737=""),"",IF(ISNUMBER(Sync!$AE737),INT(MOD(Sync!$AE737,10000)/100),IFERROR(VALUE(TRIM(LEFT(MID(Sync!$AE737,FIND("/",Sync!$AE737)+1,20),FIND("/",MID(Sync!$AE737,FIND("/",Sync!$AE737)+1,20))-1))),"")))</f>
        <v/>
      </c>
      <c r="I737">
        <f>IF(OR($F737="",$G737=""),"",IF(ISNUMBER(Sync!$AE737),MOD(Sync!$AE737,100),IFERROR(VALUE(TRIM(MID(MID(Sync!$AE737,FIND("/",Sync!$AE737)+1,20),FIND("/",MID(Sync!$AE737,FIND("/",Sync!$AE737)+1,20))+1,20))),"")))</f>
        <v/>
      </c>
      <c r="J737">
        <f>IF($F737="","",IF(OR($G737="",$H737="",$I737="",$G737&lt;1300,$G737&gt;1500,$H737&lt;1,$H737&gt;12,$I737&lt;1,$I737&gt;31),"نامعتبر",RIGHT("0000"&amp;$G737,4)&amp;"/"&amp;RIGHT("00"&amp;$H737,2)&amp;"/"&amp;RIGHT("00"&amp;$I737,2)))</f>
        <v/>
      </c>
      <c r="K737">
        <f>IF(OR($F737="",$J737="",$J737="نامعتبر"),"",LEFT($J737,4)&amp;MID($J737,6,2)&amp;RIGHT($J737,2)&amp;$N737&amp;"|"&amp;"2"&amp;RIGHT("00000"&amp;732,5))</f>
        <v/>
      </c>
      <c r="L737">
        <f>IF($K737="","",COUNTIFS(LdgSellerA,$F737,LdgKeyA,"&lt;"&amp;$K737)+COUNTIFS(LdgSellerB,$F737,LdgKeyB,"&lt;"&amp;$K737)+1)</f>
        <v/>
      </c>
      <c r="M737">
        <f>IF($L737="","",$F737&amp;"|"&amp;RIGHT("000000"&amp;$L737,6))</f>
        <v/>
      </c>
      <c r="N737">
        <f>IF($F737="","",IF(Sync!$AF737="","0000",IF(AND(ISNUMBER(Sync!$AF737),Sync!$AF737&gt;=0,Sync!$AF737&lt;1),RIGHT("00"&amp;HOUR(Sync!$AF737),2)&amp;RIGHT("00"&amp;MINUTE(Sync!$AF737),2),IFERROR(RIGHT("00"&amp;VALUE(LEFT(Sync!$AF737,FIND(":",Sync!$AF737)-1)),2)&amp;RIGHT("00"&amp;VALUE(MID(Sync!$AF737,FIND(":",Sync!$AF737)+1,2)),2),"0000"))))</f>
        <v/>
      </c>
    </row>
    <row r="738">
      <c r="A738">
        <f>IF(OR(Calc!$E742="",Calc!$E742="نامعتبر",Calc!$G742=""),"",Calc!$G742)</f>
        <v/>
      </c>
      <c r="B738">
        <f>IF($A738="","",LEFT(Calc!$E742,4)&amp;MID(Calc!$E742,6,2)&amp;RIGHT(Calc!$E742,2)&amp;Calc!$Q742&amp;"|"&amp;"1"&amp;RIGHT("00000"&amp;733,5))</f>
        <v/>
      </c>
      <c r="C738">
        <f>IF($B738="","",COUNTIFS(LdgSellerA,$A738,LdgKeyA,"&lt;"&amp;$B738)+COUNTIFS(LdgSellerB,$A738,LdgKeyB,"&lt;"&amp;$B738)+1)</f>
        <v/>
      </c>
      <c r="D738">
        <f>IF($C738="","",$A738&amp;"|"&amp;RIGHT("000000"&amp;$C738,6))</f>
        <v/>
      </c>
      <c r="F738">
        <f>IF(Sync!$AH738="","",IF(LEFT(UPPER(TRIM(Sync!$AH738)),2)="SL",UPPER(TRIM(Sync!$AH738)),""))</f>
        <v/>
      </c>
      <c r="G738">
        <f>IF($F738="","",IF(Sync!$AE738="","",IF(ISNUMBER(Sync!$AE738),IF(AND(Sync!$AE738&gt;=10000101,Sync!$AE738&lt;=99991231),INT(Sync!$AE738/10000),""),IFERROR(VALUE(TRIM(LEFT(Sync!$AE738,FIND("/",Sync!$AE738)-1))),""))))</f>
        <v/>
      </c>
      <c r="H738">
        <f>IF(OR($F738="",$G738=""),"",IF(ISNUMBER(Sync!$AE738),INT(MOD(Sync!$AE738,10000)/100),IFERROR(VALUE(TRIM(LEFT(MID(Sync!$AE738,FIND("/",Sync!$AE738)+1,20),FIND("/",MID(Sync!$AE738,FIND("/",Sync!$AE738)+1,20))-1))),"")))</f>
        <v/>
      </c>
      <c r="I738">
        <f>IF(OR($F738="",$G738=""),"",IF(ISNUMBER(Sync!$AE738),MOD(Sync!$AE738,100),IFERROR(VALUE(TRIM(MID(MID(Sync!$AE738,FIND("/",Sync!$AE738)+1,20),FIND("/",MID(Sync!$AE738,FIND("/",Sync!$AE738)+1,20))+1,20))),"")))</f>
        <v/>
      </c>
      <c r="J738">
        <f>IF($F738="","",IF(OR($G738="",$H738="",$I738="",$G738&lt;1300,$G738&gt;1500,$H738&lt;1,$H738&gt;12,$I738&lt;1,$I738&gt;31),"نامعتبر",RIGHT("0000"&amp;$G738,4)&amp;"/"&amp;RIGHT("00"&amp;$H738,2)&amp;"/"&amp;RIGHT("00"&amp;$I738,2)))</f>
        <v/>
      </c>
      <c r="K738">
        <f>IF(OR($F738="",$J738="",$J738="نامعتبر"),"",LEFT($J738,4)&amp;MID($J738,6,2)&amp;RIGHT($J738,2)&amp;$N738&amp;"|"&amp;"2"&amp;RIGHT("00000"&amp;733,5))</f>
        <v/>
      </c>
      <c r="L738">
        <f>IF($K738="","",COUNTIFS(LdgSellerA,$F738,LdgKeyA,"&lt;"&amp;$K738)+COUNTIFS(LdgSellerB,$F738,LdgKeyB,"&lt;"&amp;$K738)+1)</f>
        <v/>
      </c>
      <c r="M738">
        <f>IF($L738="","",$F738&amp;"|"&amp;RIGHT("000000"&amp;$L738,6))</f>
        <v/>
      </c>
      <c r="N738">
        <f>IF($F738="","",IF(Sync!$AF738="","0000",IF(AND(ISNUMBER(Sync!$AF738),Sync!$AF738&gt;=0,Sync!$AF738&lt;1),RIGHT("00"&amp;HOUR(Sync!$AF738),2)&amp;RIGHT("00"&amp;MINUTE(Sync!$AF738),2),IFERROR(RIGHT("00"&amp;VALUE(LEFT(Sync!$AF738,FIND(":",Sync!$AF738)-1)),2)&amp;RIGHT("00"&amp;VALUE(MID(Sync!$AF738,FIND(":",Sync!$AF738)+1,2)),2),"0000"))))</f>
        <v/>
      </c>
    </row>
    <row r="739">
      <c r="A739">
        <f>IF(OR(Calc!$E743="",Calc!$E743="نامعتبر",Calc!$G743=""),"",Calc!$G743)</f>
        <v/>
      </c>
      <c r="B739">
        <f>IF($A739="","",LEFT(Calc!$E743,4)&amp;MID(Calc!$E743,6,2)&amp;RIGHT(Calc!$E743,2)&amp;Calc!$Q743&amp;"|"&amp;"1"&amp;RIGHT("00000"&amp;734,5))</f>
        <v/>
      </c>
      <c r="C739">
        <f>IF($B739="","",COUNTIFS(LdgSellerA,$A739,LdgKeyA,"&lt;"&amp;$B739)+COUNTIFS(LdgSellerB,$A739,LdgKeyB,"&lt;"&amp;$B739)+1)</f>
        <v/>
      </c>
      <c r="D739">
        <f>IF($C739="","",$A739&amp;"|"&amp;RIGHT("000000"&amp;$C739,6))</f>
        <v/>
      </c>
      <c r="F739">
        <f>IF(Sync!$AH739="","",IF(LEFT(UPPER(TRIM(Sync!$AH739)),2)="SL",UPPER(TRIM(Sync!$AH739)),""))</f>
        <v/>
      </c>
      <c r="G739">
        <f>IF($F739="","",IF(Sync!$AE739="","",IF(ISNUMBER(Sync!$AE739),IF(AND(Sync!$AE739&gt;=10000101,Sync!$AE739&lt;=99991231),INT(Sync!$AE739/10000),""),IFERROR(VALUE(TRIM(LEFT(Sync!$AE739,FIND("/",Sync!$AE739)-1))),""))))</f>
        <v/>
      </c>
      <c r="H739">
        <f>IF(OR($F739="",$G739=""),"",IF(ISNUMBER(Sync!$AE739),INT(MOD(Sync!$AE739,10000)/100),IFERROR(VALUE(TRIM(LEFT(MID(Sync!$AE739,FIND("/",Sync!$AE739)+1,20),FIND("/",MID(Sync!$AE739,FIND("/",Sync!$AE739)+1,20))-1))),"")))</f>
        <v/>
      </c>
      <c r="I739">
        <f>IF(OR($F739="",$G739=""),"",IF(ISNUMBER(Sync!$AE739),MOD(Sync!$AE739,100),IFERROR(VALUE(TRIM(MID(MID(Sync!$AE739,FIND("/",Sync!$AE739)+1,20),FIND("/",MID(Sync!$AE739,FIND("/",Sync!$AE739)+1,20))+1,20))),"")))</f>
        <v/>
      </c>
      <c r="J739">
        <f>IF($F739="","",IF(OR($G739="",$H739="",$I739="",$G739&lt;1300,$G739&gt;1500,$H739&lt;1,$H739&gt;12,$I739&lt;1,$I739&gt;31),"نامعتبر",RIGHT("0000"&amp;$G739,4)&amp;"/"&amp;RIGHT("00"&amp;$H739,2)&amp;"/"&amp;RIGHT("00"&amp;$I739,2)))</f>
        <v/>
      </c>
      <c r="K739">
        <f>IF(OR($F739="",$J739="",$J739="نامعتبر"),"",LEFT($J739,4)&amp;MID($J739,6,2)&amp;RIGHT($J739,2)&amp;$N739&amp;"|"&amp;"2"&amp;RIGHT("00000"&amp;734,5))</f>
        <v/>
      </c>
      <c r="L739">
        <f>IF($K739="","",COUNTIFS(LdgSellerA,$F739,LdgKeyA,"&lt;"&amp;$K739)+COUNTIFS(LdgSellerB,$F739,LdgKeyB,"&lt;"&amp;$K739)+1)</f>
        <v/>
      </c>
      <c r="M739">
        <f>IF($L739="","",$F739&amp;"|"&amp;RIGHT("000000"&amp;$L739,6))</f>
        <v/>
      </c>
      <c r="N739">
        <f>IF($F739="","",IF(Sync!$AF739="","0000",IF(AND(ISNUMBER(Sync!$AF739),Sync!$AF739&gt;=0,Sync!$AF739&lt;1),RIGHT("00"&amp;HOUR(Sync!$AF739),2)&amp;RIGHT("00"&amp;MINUTE(Sync!$AF739),2),IFERROR(RIGHT("00"&amp;VALUE(LEFT(Sync!$AF739,FIND(":",Sync!$AF739)-1)),2)&amp;RIGHT("00"&amp;VALUE(MID(Sync!$AF739,FIND(":",Sync!$AF739)+1,2)),2),"0000"))))</f>
        <v/>
      </c>
    </row>
    <row r="740">
      <c r="A740">
        <f>IF(OR(Calc!$E744="",Calc!$E744="نامعتبر",Calc!$G744=""),"",Calc!$G744)</f>
        <v/>
      </c>
      <c r="B740">
        <f>IF($A740="","",LEFT(Calc!$E744,4)&amp;MID(Calc!$E744,6,2)&amp;RIGHT(Calc!$E744,2)&amp;Calc!$Q744&amp;"|"&amp;"1"&amp;RIGHT("00000"&amp;735,5))</f>
        <v/>
      </c>
      <c r="C740">
        <f>IF($B740="","",COUNTIFS(LdgSellerA,$A740,LdgKeyA,"&lt;"&amp;$B740)+COUNTIFS(LdgSellerB,$A740,LdgKeyB,"&lt;"&amp;$B740)+1)</f>
        <v/>
      </c>
      <c r="D740">
        <f>IF($C740="","",$A740&amp;"|"&amp;RIGHT("000000"&amp;$C740,6))</f>
        <v/>
      </c>
      <c r="F740">
        <f>IF(Sync!$AH740="","",IF(LEFT(UPPER(TRIM(Sync!$AH740)),2)="SL",UPPER(TRIM(Sync!$AH740)),""))</f>
        <v/>
      </c>
      <c r="G740">
        <f>IF($F740="","",IF(Sync!$AE740="","",IF(ISNUMBER(Sync!$AE740),IF(AND(Sync!$AE740&gt;=10000101,Sync!$AE740&lt;=99991231),INT(Sync!$AE740/10000),""),IFERROR(VALUE(TRIM(LEFT(Sync!$AE740,FIND("/",Sync!$AE740)-1))),""))))</f>
        <v/>
      </c>
      <c r="H740">
        <f>IF(OR($F740="",$G740=""),"",IF(ISNUMBER(Sync!$AE740),INT(MOD(Sync!$AE740,10000)/100),IFERROR(VALUE(TRIM(LEFT(MID(Sync!$AE740,FIND("/",Sync!$AE740)+1,20),FIND("/",MID(Sync!$AE740,FIND("/",Sync!$AE740)+1,20))-1))),"")))</f>
        <v/>
      </c>
      <c r="I740">
        <f>IF(OR($F740="",$G740=""),"",IF(ISNUMBER(Sync!$AE740),MOD(Sync!$AE740,100),IFERROR(VALUE(TRIM(MID(MID(Sync!$AE740,FIND("/",Sync!$AE740)+1,20),FIND("/",MID(Sync!$AE740,FIND("/",Sync!$AE740)+1,20))+1,20))),"")))</f>
        <v/>
      </c>
      <c r="J740">
        <f>IF($F740="","",IF(OR($G740="",$H740="",$I740="",$G740&lt;1300,$G740&gt;1500,$H740&lt;1,$H740&gt;12,$I740&lt;1,$I740&gt;31),"نامعتبر",RIGHT("0000"&amp;$G740,4)&amp;"/"&amp;RIGHT("00"&amp;$H740,2)&amp;"/"&amp;RIGHT("00"&amp;$I740,2)))</f>
        <v/>
      </c>
      <c r="K740">
        <f>IF(OR($F740="",$J740="",$J740="نامعتبر"),"",LEFT($J740,4)&amp;MID($J740,6,2)&amp;RIGHT($J740,2)&amp;$N740&amp;"|"&amp;"2"&amp;RIGHT("00000"&amp;735,5))</f>
        <v/>
      </c>
      <c r="L740">
        <f>IF($K740="","",COUNTIFS(LdgSellerA,$F740,LdgKeyA,"&lt;"&amp;$K740)+COUNTIFS(LdgSellerB,$F740,LdgKeyB,"&lt;"&amp;$K740)+1)</f>
        <v/>
      </c>
      <c r="M740">
        <f>IF($L740="","",$F740&amp;"|"&amp;RIGHT("000000"&amp;$L740,6))</f>
        <v/>
      </c>
      <c r="N740">
        <f>IF($F740="","",IF(Sync!$AF740="","0000",IF(AND(ISNUMBER(Sync!$AF740),Sync!$AF740&gt;=0,Sync!$AF740&lt;1),RIGHT("00"&amp;HOUR(Sync!$AF740),2)&amp;RIGHT("00"&amp;MINUTE(Sync!$AF740),2),IFERROR(RIGHT("00"&amp;VALUE(LEFT(Sync!$AF740,FIND(":",Sync!$AF740)-1)),2)&amp;RIGHT("00"&amp;VALUE(MID(Sync!$AF740,FIND(":",Sync!$AF740)+1,2)),2),"0000"))))</f>
        <v/>
      </c>
    </row>
    <row r="741">
      <c r="A741">
        <f>IF(OR(Calc!$E745="",Calc!$E745="نامعتبر",Calc!$G745=""),"",Calc!$G745)</f>
        <v/>
      </c>
      <c r="B741">
        <f>IF($A741="","",LEFT(Calc!$E745,4)&amp;MID(Calc!$E745,6,2)&amp;RIGHT(Calc!$E745,2)&amp;Calc!$Q745&amp;"|"&amp;"1"&amp;RIGHT("00000"&amp;736,5))</f>
        <v/>
      </c>
      <c r="C741">
        <f>IF($B741="","",COUNTIFS(LdgSellerA,$A741,LdgKeyA,"&lt;"&amp;$B741)+COUNTIFS(LdgSellerB,$A741,LdgKeyB,"&lt;"&amp;$B741)+1)</f>
        <v/>
      </c>
      <c r="D741">
        <f>IF($C741="","",$A741&amp;"|"&amp;RIGHT("000000"&amp;$C741,6))</f>
        <v/>
      </c>
      <c r="F741">
        <f>IF(Sync!$AH741="","",IF(LEFT(UPPER(TRIM(Sync!$AH741)),2)="SL",UPPER(TRIM(Sync!$AH741)),""))</f>
        <v/>
      </c>
      <c r="G741">
        <f>IF($F741="","",IF(Sync!$AE741="","",IF(ISNUMBER(Sync!$AE741),IF(AND(Sync!$AE741&gt;=10000101,Sync!$AE741&lt;=99991231),INT(Sync!$AE741/10000),""),IFERROR(VALUE(TRIM(LEFT(Sync!$AE741,FIND("/",Sync!$AE741)-1))),""))))</f>
        <v/>
      </c>
      <c r="H741">
        <f>IF(OR($F741="",$G741=""),"",IF(ISNUMBER(Sync!$AE741),INT(MOD(Sync!$AE741,10000)/100),IFERROR(VALUE(TRIM(LEFT(MID(Sync!$AE741,FIND("/",Sync!$AE741)+1,20),FIND("/",MID(Sync!$AE741,FIND("/",Sync!$AE741)+1,20))-1))),"")))</f>
        <v/>
      </c>
      <c r="I741">
        <f>IF(OR($F741="",$G741=""),"",IF(ISNUMBER(Sync!$AE741),MOD(Sync!$AE741,100),IFERROR(VALUE(TRIM(MID(MID(Sync!$AE741,FIND("/",Sync!$AE741)+1,20),FIND("/",MID(Sync!$AE741,FIND("/",Sync!$AE741)+1,20))+1,20))),"")))</f>
        <v/>
      </c>
      <c r="J741">
        <f>IF($F741="","",IF(OR($G741="",$H741="",$I741="",$G741&lt;1300,$G741&gt;1500,$H741&lt;1,$H741&gt;12,$I741&lt;1,$I741&gt;31),"نامعتبر",RIGHT("0000"&amp;$G741,4)&amp;"/"&amp;RIGHT("00"&amp;$H741,2)&amp;"/"&amp;RIGHT("00"&amp;$I741,2)))</f>
        <v/>
      </c>
      <c r="K741">
        <f>IF(OR($F741="",$J741="",$J741="نامعتبر"),"",LEFT($J741,4)&amp;MID($J741,6,2)&amp;RIGHT($J741,2)&amp;$N741&amp;"|"&amp;"2"&amp;RIGHT("00000"&amp;736,5))</f>
        <v/>
      </c>
      <c r="L741">
        <f>IF($K741="","",COUNTIFS(LdgSellerA,$F741,LdgKeyA,"&lt;"&amp;$K741)+COUNTIFS(LdgSellerB,$F741,LdgKeyB,"&lt;"&amp;$K741)+1)</f>
        <v/>
      </c>
      <c r="M741">
        <f>IF($L741="","",$F741&amp;"|"&amp;RIGHT("000000"&amp;$L741,6))</f>
        <v/>
      </c>
      <c r="N741">
        <f>IF($F741="","",IF(Sync!$AF741="","0000",IF(AND(ISNUMBER(Sync!$AF741),Sync!$AF741&gt;=0,Sync!$AF741&lt;1),RIGHT("00"&amp;HOUR(Sync!$AF741),2)&amp;RIGHT("00"&amp;MINUTE(Sync!$AF741),2),IFERROR(RIGHT("00"&amp;VALUE(LEFT(Sync!$AF741,FIND(":",Sync!$AF741)-1)),2)&amp;RIGHT("00"&amp;VALUE(MID(Sync!$AF741,FIND(":",Sync!$AF741)+1,2)),2),"0000"))))</f>
        <v/>
      </c>
    </row>
    <row r="742">
      <c r="A742">
        <f>IF(OR(Calc!$E746="",Calc!$E746="نامعتبر",Calc!$G746=""),"",Calc!$G746)</f>
        <v/>
      </c>
      <c r="B742">
        <f>IF($A742="","",LEFT(Calc!$E746,4)&amp;MID(Calc!$E746,6,2)&amp;RIGHT(Calc!$E746,2)&amp;Calc!$Q746&amp;"|"&amp;"1"&amp;RIGHT("00000"&amp;737,5))</f>
        <v/>
      </c>
      <c r="C742">
        <f>IF($B742="","",COUNTIFS(LdgSellerA,$A742,LdgKeyA,"&lt;"&amp;$B742)+COUNTIFS(LdgSellerB,$A742,LdgKeyB,"&lt;"&amp;$B742)+1)</f>
        <v/>
      </c>
      <c r="D742">
        <f>IF($C742="","",$A742&amp;"|"&amp;RIGHT("000000"&amp;$C742,6))</f>
        <v/>
      </c>
      <c r="F742">
        <f>IF(Sync!$AH742="","",IF(LEFT(UPPER(TRIM(Sync!$AH742)),2)="SL",UPPER(TRIM(Sync!$AH742)),""))</f>
        <v/>
      </c>
      <c r="G742">
        <f>IF($F742="","",IF(Sync!$AE742="","",IF(ISNUMBER(Sync!$AE742),IF(AND(Sync!$AE742&gt;=10000101,Sync!$AE742&lt;=99991231),INT(Sync!$AE742/10000),""),IFERROR(VALUE(TRIM(LEFT(Sync!$AE742,FIND("/",Sync!$AE742)-1))),""))))</f>
        <v/>
      </c>
      <c r="H742">
        <f>IF(OR($F742="",$G742=""),"",IF(ISNUMBER(Sync!$AE742),INT(MOD(Sync!$AE742,10000)/100),IFERROR(VALUE(TRIM(LEFT(MID(Sync!$AE742,FIND("/",Sync!$AE742)+1,20),FIND("/",MID(Sync!$AE742,FIND("/",Sync!$AE742)+1,20))-1))),"")))</f>
        <v/>
      </c>
      <c r="I742">
        <f>IF(OR($F742="",$G742=""),"",IF(ISNUMBER(Sync!$AE742),MOD(Sync!$AE742,100),IFERROR(VALUE(TRIM(MID(MID(Sync!$AE742,FIND("/",Sync!$AE742)+1,20),FIND("/",MID(Sync!$AE742,FIND("/",Sync!$AE742)+1,20))+1,20))),"")))</f>
        <v/>
      </c>
      <c r="J742">
        <f>IF($F742="","",IF(OR($G742="",$H742="",$I742="",$G742&lt;1300,$G742&gt;1500,$H742&lt;1,$H742&gt;12,$I742&lt;1,$I742&gt;31),"نامعتبر",RIGHT("0000"&amp;$G742,4)&amp;"/"&amp;RIGHT("00"&amp;$H742,2)&amp;"/"&amp;RIGHT("00"&amp;$I742,2)))</f>
        <v/>
      </c>
      <c r="K742">
        <f>IF(OR($F742="",$J742="",$J742="نامعتبر"),"",LEFT($J742,4)&amp;MID($J742,6,2)&amp;RIGHT($J742,2)&amp;$N742&amp;"|"&amp;"2"&amp;RIGHT("00000"&amp;737,5))</f>
        <v/>
      </c>
      <c r="L742">
        <f>IF($K742="","",COUNTIFS(LdgSellerA,$F742,LdgKeyA,"&lt;"&amp;$K742)+COUNTIFS(LdgSellerB,$F742,LdgKeyB,"&lt;"&amp;$K742)+1)</f>
        <v/>
      </c>
      <c r="M742">
        <f>IF($L742="","",$F742&amp;"|"&amp;RIGHT("000000"&amp;$L742,6))</f>
        <v/>
      </c>
      <c r="N742">
        <f>IF($F742="","",IF(Sync!$AF742="","0000",IF(AND(ISNUMBER(Sync!$AF742),Sync!$AF742&gt;=0,Sync!$AF742&lt;1),RIGHT("00"&amp;HOUR(Sync!$AF742),2)&amp;RIGHT("00"&amp;MINUTE(Sync!$AF742),2),IFERROR(RIGHT("00"&amp;VALUE(LEFT(Sync!$AF742,FIND(":",Sync!$AF742)-1)),2)&amp;RIGHT("00"&amp;VALUE(MID(Sync!$AF742,FIND(":",Sync!$AF742)+1,2)),2),"0000"))))</f>
        <v/>
      </c>
    </row>
    <row r="743">
      <c r="A743">
        <f>IF(OR(Calc!$E747="",Calc!$E747="نامعتبر",Calc!$G747=""),"",Calc!$G747)</f>
        <v/>
      </c>
      <c r="B743">
        <f>IF($A743="","",LEFT(Calc!$E747,4)&amp;MID(Calc!$E747,6,2)&amp;RIGHT(Calc!$E747,2)&amp;Calc!$Q747&amp;"|"&amp;"1"&amp;RIGHT("00000"&amp;738,5))</f>
        <v/>
      </c>
      <c r="C743">
        <f>IF($B743="","",COUNTIFS(LdgSellerA,$A743,LdgKeyA,"&lt;"&amp;$B743)+COUNTIFS(LdgSellerB,$A743,LdgKeyB,"&lt;"&amp;$B743)+1)</f>
        <v/>
      </c>
      <c r="D743">
        <f>IF($C743="","",$A743&amp;"|"&amp;RIGHT("000000"&amp;$C743,6))</f>
        <v/>
      </c>
      <c r="F743">
        <f>IF(Sync!$AH743="","",IF(LEFT(UPPER(TRIM(Sync!$AH743)),2)="SL",UPPER(TRIM(Sync!$AH743)),""))</f>
        <v/>
      </c>
      <c r="G743">
        <f>IF($F743="","",IF(Sync!$AE743="","",IF(ISNUMBER(Sync!$AE743),IF(AND(Sync!$AE743&gt;=10000101,Sync!$AE743&lt;=99991231),INT(Sync!$AE743/10000),""),IFERROR(VALUE(TRIM(LEFT(Sync!$AE743,FIND("/",Sync!$AE743)-1))),""))))</f>
        <v/>
      </c>
      <c r="H743">
        <f>IF(OR($F743="",$G743=""),"",IF(ISNUMBER(Sync!$AE743),INT(MOD(Sync!$AE743,10000)/100),IFERROR(VALUE(TRIM(LEFT(MID(Sync!$AE743,FIND("/",Sync!$AE743)+1,20),FIND("/",MID(Sync!$AE743,FIND("/",Sync!$AE743)+1,20))-1))),"")))</f>
        <v/>
      </c>
      <c r="I743">
        <f>IF(OR($F743="",$G743=""),"",IF(ISNUMBER(Sync!$AE743),MOD(Sync!$AE743,100),IFERROR(VALUE(TRIM(MID(MID(Sync!$AE743,FIND("/",Sync!$AE743)+1,20),FIND("/",MID(Sync!$AE743,FIND("/",Sync!$AE743)+1,20))+1,20))),"")))</f>
        <v/>
      </c>
      <c r="J743">
        <f>IF($F743="","",IF(OR($G743="",$H743="",$I743="",$G743&lt;1300,$G743&gt;1500,$H743&lt;1,$H743&gt;12,$I743&lt;1,$I743&gt;31),"نامعتبر",RIGHT("0000"&amp;$G743,4)&amp;"/"&amp;RIGHT("00"&amp;$H743,2)&amp;"/"&amp;RIGHT("00"&amp;$I743,2)))</f>
        <v/>
      </c>
      <c r="K743">
        <f>IF(OR($F743="",$J743="",$J743="نامعتبر"),"",LEFT($J743,4)&amp;MID($J743,6,2)&amp;RIGHT($J743,2)&amp;$N743&amp;"|"&amp;"2"&amp;RIGHT("00000"&amp;738,5))</f>
        <v/>
      </c>
      <c r="L743">
        <f>IF($K743="","",COUNTIFS(LdgSellerA,$F743,LdgKeyA,"&lt;"&amp;$K743)+COUNTIFS(LdgSellerB,$F743,LdgKeyB,"&lt;"&amp;$K743)+1)</f>
        <v/>
      </c>
      <c r="M743">
        <f>IF($L743="","",$F743&amp;"|"&amp;RIGHT("000000"&amp;$L743,6))</f>
        <v/>
      </c>
      <c r="N743">
        <f>IF($F743="","",IF(Sync!$AF743="","0000",IF(AND(ISNUMBER(Sync!$AF743),Sync!$AF743&gt;=0,Sync!$AF743&lt;1),RIGHT("00"&amp;HOUR(Sync!$AF743),2)&amp;RIGHT("00"&amp;MINUTE(Sync!$AF743),2),IFERROR(RIGHT("00"&amp;VALUE(LEFT(Sync!$AF743,FIND(":",Sync!$AF743)-1)),2)&amp;RIGHT("00"&amp;VALUE(MID(Sync!$AF743,FIND(":",Sync!$AF743)+1,2)),2),"0000"))))</f>
        <v/>
      </c>
    </row>
    <row r="744">
      <c r="A744">
        <f>IF(OR(Calc!$E748="",Calc!$E748="نامعتبر",Calc!$G748=""),"",Calc!$G748)</f>
        <v/>
      </c>
      <c r="B744">
        <f>IF($A744="","",LEFT(Calc!$E748,4)&amp;MID(Calc!$E748,6,2)&amp;RIGHT(Calc!$E748,2)&amp;Calc!$Q748&amp;"|"&amp;"1"&amp;RIGHT("00000"&amp;739,5))</f>
        <v/>
      </c>
      <c r="C744">
        <f>IF($B744="","",COUNTIFS(LdgSellerA,$A744,LdgKeyA,"&lt;"&amp;$B744)+COUNTIFS(LdgSellerB,$A744,LdgKeyB,"&lt;"&amp;$B744)+1)</f>
        <v/>
      </c>
      <c r="D744">
        <f>IF($C744="","",$A744&amp;"|"&amp;RIGHT("000000"&amp;$C744,6))</f>
        <v/>
      </c>
      <c r="F744">
        <f>IF(Sync!$AH744="","",IF(LEFT(UPPER(TRIM(Sync!$AH744)),2)="SL",UPPER(TRIM(Sync!$AH744)),""))</f>
        <v/>
      </c>
      <c r="G744">
        <f>IF($F744="","",IF(Sync!$AE744="","",IF(ISNUMBER(Sync!$AE744),IF(AND(Sync!$AE744&gt;=10000101,Sync!$AE744&lt;=99991231),INT(Sync!$AE744/10000),""),IFERROR(VALUE(TRIM(LEFT(Sync!$AE744,FIND("/",Sync!$AE744)-1))),""))))</f>
        <v/>
      </c>
      <c r="H744">
        <f>IF(OR($F744="",$G744=""),"",IF(ISNUMBER(Sync!$AE744),INT(MOD(Sync!$AE744,10000)/100),IFERROR(VALUE(TRIM(LEFT(MID(Sync!$AE744,FIND("/",Sync!$AE744)+1,20),FIND("/",MID(Sync!$AE744,FIND("/",Sync!$AE744)+1,20))-1))),"")))</f>
        <v/>
      </c>
      <c r="I744">
        <f>IF(OR($F744="",$G744=""),"",IF(ISNUMBER(Sync!$AE744),MOD(Sync!$AE744,100),IFERROR(VALUE(TRIM(MID(MID(Sync!$AE744,FIND("/",Sync!$AE744)+1,20),FIND("/",MID(Sync!$AE744,FIND("/",Sync!$AE744)+1,20))+1,20))),"")))</f>
        <v/>
      </c>
      <c r="J744">
        <f>IF($F744="","",IF(OR($G744="",$H744="",$I744="",$G744&lt;1300,$G744&gt;1500,$H744&lt;1,$H744&gt;12,$I744&lt;1,$I744&gt;31),"نامعتبر",RIGHT("0000"&amp;$G744,4)&amp;"/"&amp;RIGHT("00"&amp;$H744,2)&amp;"/"&amp;RIGHT("00"&amp;$I744,2)))</f>
        <v/>
      </c>
      <c r="K744">
        <f>IF(OR($F744="",$J744="",$J744="نامعتبر"),"",LEFT($J744,4)&amp;MID($J744,6,2)&amp;RIGHT($J744,2)&amp;$N744&amp;"|"&amp;"2"&amp;RIGHT("00000"&amp;739,5))</f>
        <v/>
      </c>
      <c r="L744">
        <f>IF($K744="","",COUNTIFS(LdgSellerA,$F744,LdgKeyA,"&lt;"&amp;$K744)+COUNTIFS(LdgSellerB,$F744,LdgKeyB,"&lt;"&amp;$K744)+1)</f>
        <v/>
      </c>
      <c r="M744">
        <f>IF($L744="","",$F744&amp;"|"&amp;RIGHT("000000"&amp;$L744,6))</f>
        <v/>
      </c>
      <c r="N744">
        <f>IF($F744="","",IF(Sync!$AF744="","0000",IF(AND(ISNUMBER(Sync!$AF744),Sync!$AF744&gt;=0,Sync!$AF744&lt;1),RIGHT("00"&amp;HOUR(Sync!$AF744),2)&amp;RIGHT("00"&amp;MINUTE(Sync!$AF744),2),IFERROR(RIGHT("00"&amp;VALUE(LEFT(Sync!$AF744,FIND(":",Sync!$AF744)-1)),2)&amp;RIGHT("00"&amp;VALUE(MID(Sync!$AF744,FIND(":",Sync!$AF744)+1,2)),2),"0000"))))</f>
        <v/>
      </c>
    </row>
    <row r="745">
      <c r="A745">
        <f>IF(OR(Calc!$E749="",Calc!$E749="نامعتبر",Calc!$G749=""),"",Calc!$G749)</f>
        <v/>
      </c>
      <c r="B745">
        <f>IF($A745="","",LEFT(Calc!$E749,4)&amp;MID(Calc!$E749,6,2)&amp;RIGHT(Calc!$E749,2)&amp;Calc!$Q749&amp;"|"&amp;"1"&amp;RIGHT("00000"&amp;740,5))</f>
        <v/>
      </c>
      <c r="C745">
        <f>IF($B745="","",COUNTIFS(LdgSellerA,$A745,LdgKeyA,"&lt;"&amp;$B745)+COUNTIFS(LdgSellerB,$A745,LdgKeyB,"&lt;"&amp;$B745)+1)</f>
        <v/>
      </c>
      <c r="D745">
        <f>IF($C745="","",$A745&amp;"|"&amp;RIGHT("000000"&amp;$C745,6))</f>
        <v/>
      </c>
      <c r="F745">
        <f>IF(Sync!$AH745="","",IF(LEFT(UPPER(TRIM(Sync!$AH745)),2)="SL",UPPER(TRIM(Sync!$AH745)),""))</f>
        <v/>
      </c>
      <c r="G745">
        <f>IF($F745="","",IF(Sync!$AE745="","",IF(ISNUMBER(Sync!$AE745),IF(AND(Sync!$AE745&gt;=10000101,Sync!$AE745&lt;=99991231),INT(Sync!$AE745/10000),""),IFERROR(VALUE(TRIM(LEFT(Sync!$AE745,FIND("/",Sync!$AE745)-1))),""))))</f>
        <v/>
      </c>
      <c r="H745">
        <f>IF(OR($F745="",$G745=""),"",IF(ISNUMBER(Sync!$AE745),INT(MOD(Sync!$AE745,10000)/100),IFERROR(VALUE(TRIM(LEFT(MID(Sync!$AE745,FIND("/",Sync!$AE745)+1,20),FIND("/",MID(Sync!$AE745,FIND("/",Sync!$AE745)+1,20))-1))),"")))</f>
        <v/>
      </c>
      <c r="I745">
        <f>IF(OR($F745="",$G745=""),"",IF(ISNUMBER(Sync!$AE745),MOD(Sync!$AE745,100),IFERROR(VALUE(TRIM(MID(MID(Sync!$AE745,FIND("/",Sync!$AE745)+1,20),FIND("/",MID(Sync!$AE745,FIND("/",Sync!$AE745)+1,20))+1,20))),"")))</f>
        <v/>
      </c>
      <c r="J745">
        <f>IF($F745="","",IF(OR($G745="",$H745="",$I745="",$G745&lt;1300,$G745&gt;1500,$H745&lt;1,$H745&gt;12,$I745&lt;1,$I745&gt;31),"نامعتبر",RIGHT("0000"&amp;$G745,4)&amp;"/"&amp;RIGHT("00"&amp;$H745,2)&amp;"/"&amp;RIGHT("00"&amp;$I745,2)))</f>
        <v/>
      </c>
      <c r="K745">
        <f>IF(OR($F745="",$J745="",$J745="نامعتبر"),"",LEFT($J745,4)&amp;MID($J745,6,2)&amp;RIGHT($J745,2)&amp;$N745&amp;"|"&amp;"2"&amp;RIGHT("00000"&amp;740,5))</f>
        <v/>
      </c>
      <c r="L745">
        <f>IF($K745="","",COUNTIFS(LdgSellerA,$F745,LdgKeyA,"&lt;"&amp;$K745)+COUNTIFS(LdgSellerB,$F745,LdgKeyB,"&lt;"&amp;$K745)+1)</f>
        <v/>
      </c>
      <c r="M745">
        <f>IF($L745="","",$F745&amp;"|"&amp;RIGHT("000000"&amp;$L745,6))</f>
        <v/>
      </c>
      <c r="N745">
        <f>IF($F745="","",IF(Sync!$AF745="","0000",IF(AND(ISNUMBER(Sync!$AF745),Sync!$AF745&gt;=0,Sync!$AF745&lt;1),RIGHT("00"&amp;HOUR(Sync!$AF745),2)&amp;RIGHT("00"&amp;MINUTE(Sync!$AF745),2),IFERROR(RIGHT("00"&amp;VALUE(LEFT(Sync!$AF745,FIND(":",Sync!$AF745)-1)),2)&amp;RIGHT("00"&amp;VALUE(MID(Sync!$AF745,FIND(":",Sync!$AF745)+1,2)),2),"0000"))))</f>
        <v/>
      </c>
    </row>
    <row r="746">
      <c r="A746">
        <f>IF(OR(Calc!$E750="",Calc!$E750="نامعتبر",Calc!$G750=""),"",Calc!$G750)</f>
        <v/>
      </c>
      <c r="B746">
        <f>IF($A746="","",LEFT(Calc!$E750,4)&amp;MID(Calc!$E750,6,2)&amp;RIGHT(Calc!$E750,2)&amp;Calc!$Q750&amp;"|"&amp;"1"&amp;RIGHT("00000"&amp;741,5))</f>
        <v/>
      </c>
      <c r="C746">
        <f>IF($B746="","",COUNTIFS(LdgSellerA,$A746,LdgKeyA,"&lt;"&amp;$B746)+COUNTIFS(LdgSellerB,$A746,LdgKeyB,"&lt;"&amp;$B746)+1)</f>
        <v/>
      </c>
      <c r="D746">
        <f>IF($C746="","",$A746&amp;"|"&amp;RIGHT("000000"&amp;$C746,6))</f>
        <v/>
      </c>
      <c r="F746">
        <f>IF(Sync!$AH746="","",IF(LEFT(UPPER(TRIM(Sync!$AH746)),2)="SL",UPPER(TRIM(Sync!$AH746)),""))</f>
        <v/>
      </c>
      <c r="G746">
        <f>IF($F746="","",IF(Sync!$AE746="","",IF(ISNUMBER(Sync!$AE746),IF(AND(Sync!$AE746&gt;=10000101,Sync!$AE746&lt;=99991231),INT(Sync!$AE746/10000),""),IFERROR(VALUE(TRIM(LEFT(Sync!$AE746,FIND("/",Sync!$AE746)-1))),""))))</f>
        <v/>
      </c>
      <c r="H746">
        <f>IF(OR($F746="",$G746=""),"",IF(ISNUMBER(Sync!$AE746),INT(MOD(Sync!$AE746,10000)/100),IFERROR(VALUE(TRIM(LEFT(MID(Sync!$AE746,FIND("/",Sync!$AE746)+1,20),FIND("/",MID(Sync!$AE746,FIND("/",Sync!$AE746)+1,20))-1))),"")))</f>
        <v/>
      </c>
      <c r="I746">
        <f>IF(OR($F746="",$G746=""),"",IF(ISNUMBER(Sync!$AE746),MOD(Sync!$AE746,100),IFERROR(VALUE(TRIM(MID(MID(Sync!$AE746,FIND("/",Sync!$AE746)+1,20),FIND("/",MID(Sync!$AE746,FIND("/",Sync!$AE746)+1,20))+1,20))),"")))</f>
        <v/>
      </c>
      <c r="J746">
        <f>IF($F746="","",IF(OR($G746="",$H746="",$I746="",$G746&lt;1300,$G746&gt;1500,$H746&lt;1,$H746&gt;12,$I746&lt;1,$I746&gt;31),"نامعتبر",RIGHT("0000"&amp;$G746,4)&amp;"/"&amp;RIGHT("00"&amp;$H746,2)&amp;"/"&amp;RIGHT("00"&amp;$I746,2)))</f>
        <v/>
      </c>
      <c r="K746">
        <f>IF(OR($F746="",$J746="",$J746="نامعتبر"),"",LEFT($J746,4)&amp;MID($J746,6,2)&amp;RIGHT($J746,2)&amp;$N746&amp;"|"&amp;"2"&amp;RIGHT("00000"&amp;741,5))</f>
        <v/>
      </c>
      <c r="L746">
        <f>IF($K746="","",COUNTIFS(LdgSellerA,$F746,LdgKeyA,"&lt;"&amp;$K746)+COUNTIFS(LdgSellerB,$F746,LdgKeyB,"&lt;"&amp;$K746)+1)</f>
        <v/>
      </c>
      <c r="M746">
        <f>IF($L746="","",$F746&amp;"|"&amp;RIGHT("000000"&amp;$L746,6))</f>
        <v/>
      </c>
      <c r="N746">
        <f>IF($F746="","",IF(Sync!$AF746="","0000",IF(AND(ISNUMBER(Sync!$AF746),Sync!$AF746&gt;=0,Sync!$AF746&lt;1),RIGHT("00"&amp;HOUR(Sync!$AF746),2)&amp;RIGHT("00"&amp;MINUTE(Sync!$AF746),2),IFERROR(RIGHT("00"&amp;VALUE(LEFT(Sync!$AF746,FIND(":",Sync!$AF746)-1)),2)&amp;RIGHT("00"&amp;VALUE(MID(Sync!$AF746,FIND(":",Sync!$AF746)+1,2)),2),"0000"))))</f>
        <v/>
      </c>
    </row>
    <row r="747">
      <c r="A747">
        <f>IF(OR(Calc!$E751="",Calc!$E751="نامعتبر",Calc!$G751=""),"",Calc!$G751)</f>
        <v/>
      </c>
      <c r="B747">
        <f>IF($A747="","",LEFT(Calc!$E751,4)&amp;MID(Calc!$E751,6,2)&amp;RIGHT(Calc!$E751,2)&amp;Calc!$Q751&amp;"|"&amp;"1"&amp;RIGHT("00000"&amp;742,5))</f>
        <v/>
      </c>
      <c r="C747">
        <f>IF($B747="","",COUNTIFS(LdgSellerA,$A747,LdgKeyA,"&lt;"&amp;$B747)+COUNTIFS(LdgSellerB,$A747,LdgKeyB,"&lt;"&amp;$B747)+1)</f>
        <v/>
      </c>
      <c r="D747">
        <f>IF($C747="","",$A747&amp;"|"&amp;RIGHT("000000"&amp;$C747,6))</f>
        <v/>
      </c>
      <c r="F747">
        <f>IF(Sync!$AH747="","",IF(LEFT(UPPER(TRIM(Sync!$AH747)),2)="SL",UPPER(TRIM(Sync!$AH747)),""))</f>
        <v/>
      </c>
      <c r="G747">
        <f>IF($F747="","",IF(Sync!$AE747="","",IF(ISNUMBER(Sync!$AE747),IF(AND(Sync!$AE747&gt;=10000101,Sync!$AE747&lt;=99991231),INT(Sync!$AE747/10000),""),IFERROR(VALUE(TRIM(LEFT(Sync!$AE747,FIND("/",Sync!$AE747)-1))),""))))</f>
        <v/>
      </c>
      <c r="H747">
        <f>IF(OR($F747="",$G747=""),"",IF(ISNUMBER(Sync!$AE747),INT(MOD(Sync!$AE747,10000)/100),IFERROR(VALUE(TRIM(LEFT(MID(Sync!$AE747,FIND("/",Sync!$AE747)+1,20),FIND("/",MID(Sync!$AE747,FIND("/",Sync!$AE747)+1,20))-1))),"")))</f>
        <v/>
      </c>
      <c r="I747">
        <f>IF(OR($F747="",$G747=""),"",IF(ISNUMBER(Sync!$AE747),MOD(Sync!$AE747,100),IFERROR(VALUE(TRIM(MID(MID(Sync!$AE747,FIND("/",Sync!$AE747)+1,20),FIND("/",MID(Sync!$AE747,FIND("/",Sync!$AE747)+1,20))+1,20))),"")))</f>
        <v/>
      </c>
      <c r="J747">
        <f>IF($F747="","",IF(OR($G747="",$H747="",$I747="",$G747&lt;1300,$G747&gt;1500,$H747&lt;1,$H747&gt;12,$I747&lt;1,$I747&gt;31),"نامعتبر",RIGHT("0000"&amp;$G747,4)&amp;"/"&amp;RIGHT("00"&amp;$H747,2)&amp;"/"&amp;RIGHT("00"&amp;$I747,2)))</f>
        <v/>
      </c>
      <c r="K747">
        <f>IF(OR($F747="",$J747="",$J747="نامعتبر"),"",LEFT($J747,4)&amp;MID($J747,6,2)&amp;RIGHT($J747,2)&amp;$N747&amp;"|"&amp;"2"&amp;RIGHT("00000"&amp;742,5))</f>
        <v/>
      </c>
      <c r="L747">
        <f>IF($K747="","",COUNTIFS(LdgSellerA,$F747,LdgKeyA,"&lt;"&amp;$K747)+COUNTIFS(LdgSellerB,$F747,LdgKeyB,"&lt;"&amp;$K747)+1)</f>
        <v/>
      </c>
      <c r="M747">
        <f>IF($L747="","",$F747&amp;"|"&amp;RIGHT("000000"&amp;$L747,6))</f>
        <v/>
      </c>
      <c r="N747">
        <f>IF($F747="","",IF(Sync!$AF747="","0000",IF(AND(ISNUMBER(Sync!$AF747),Sync!$AF747&gt;=0,Sync!$AF747&lt;1),RIGHT("00"&amp;HOUR(Sync!$AF747),2)&amp;RIGHT("00"&amp;MINUTE(Sync!$AF747),2),IFERROR(RIGHT("00"&amp;VALUE(LEFT(Sync!$AF747,FIND(":",Sync!$AF747)-1)),2)&amp;RIGHT("00"&amp;VALUE(MID(Sync!$AF747,FIND(":",Sync!$AF747)+1,2)),2),"0000"))))</f>
        <v/>
      </c>
    </row>
    <row r="748">
      <c r="A748">
        <f>IF(OR(Calc!$E752="",Calc!$E752="نامعتبر",Calc!$G752=""),"",Calc!$G752)</f>
        <v/>
      </c>
      <c r="B748">
        <f>IF($A748="","",LEFT(Calc!$E752,4)&amp;MID(Calc!$E752,6,2)&amp;RIGHT(Calc!$E752,2)&amp;Calc!$Q752&amp;"|"&amp;"1"&amp;RIGHT("00000"&amp;743,5))</f>
        <v/>
      </c>
      <c r="C748">
        <f>IF($B748="","",COUNTIFS(LdgSellerA,$A748,LdgKeyA,"&lt;"&amp;$B748)+COUNTIFS(LdgSellerB,$A748,LdgKeyB,"&lt;"&amp;$B748)+1)</f>
        <v/>
      </c>
      <c r="D748">
        <f>IF($C748="","",$A748&amp;"|"&amp;RIGHT("000000"&amp;$C748,6))</f>
        <v/>
      </c>
      <c r="F748">
        <f>IF(Sync!$AH748="","",IF(LEFT(UPPER(TRIM(Sync!$AH748)),2)="SL",UPPER(TRIM(Sync!$AH748)),""))</f>
        <v/>
      </c>
      <c r="G748">
        <f>IF($F748="","",IF(Sync!$AE748="","",IF(ISNUMBER(Sync!$AE748),IF(AND(Sync!$AE748&gt;=10000101,Sync!$AE748&lt;=99991231),INT(Sync!$AE748/10000),""),IFERROR(VALUE(TRIM(LEFT(Sync!$AE748,FIND("/",Sync!$AE748)-1))),""))))</f>
        <v/>
      </c>
      <c r="H748">
        <f>IF(OR($F748="",$G748=""),"",IF(ISNUMBER(Sync!$AE748),INT(MOD(Sync!$AE748,10000)/100),IFERROR(VALUE(TRIM(LEFT(MID(Sync!$AE748,FIND("/",Sync!$AE748)+1,20),FIND("/",MID(Sync!$AE748,FIND("/",Sync!$AE748)+1,20))-1))),"")))</f>
        <v/>
      </c>
      <c r="I748">
        <f>IF(OR($F748="",$G748=""),"",IF(ISNUMBER(Sync!$AE748),MOD(Sync!$AE748,100),IFERROR(VALUE(TRIM(MID(MID(Sync!$AE748,FIND("/",Sync!$AE748)+1,20),FIND("/",MID(Sync!$AE748,FIND("/",Sync!$AE748)+1,20))+1,20))),"")))</f>
        <v/>
      </c>
      <c r="J748">
        <f>IF($F748="","",IF(OR($G748="",$H748="",$I748="",$G748&lt;1300,$G748&gt;1500,$H748&lt;1,$H748&gt;12,$I748&lt;1,$I748&gt;31),"نامعتبر",RIGHT("0000"&amp;$G748,4)&amp;"/"&amp;RIGHT("00"&amp;$H748,2)&amp;"/"&amp;RIGHT("00"&amp;$I748,2)))</f>
        <v/>
      </c>
      <c r="K748">
        <f>IF(OR($F748="",$J748="",$J748="نامعتبر"),"",LEFT($J748,4)&amp;MID($J748,6,2)&amp;RIGHT($J748,2)&amp;$N748&amp;"|"&amp;"2"&amp;RIGHT("00000"&amp;743,5))</f>
        <v/>
      </c>
      <c r="L748">
        <f>IF($K748="","",COUNTIFS(LdgSellerA,$F748,LdgKeyA,"&lt;"&amp;$K748)+COUNTIFS(LdgSellerB,$F748,LdgKeyB,"&lt;"&amp;$K748)+1)</f>
        <v/>
      </c>
      <c r="M748">
        <f>IF($L748="","",$F748&amp;"|"&amp;RIGHT("000000"&amp;$L748,6))</f>
        <v/>
      </c>
      <c r="N748">
        <f>IF($F748="","",IF(Sync!$AF748="","0000",IF(AND(ISNUMBER(Sync!$AF748),Sync!$AF748&gt;=0,Sync!$AF748&lt;1),RIGHT("00"&amp;HOUR(Sync!$AF748),2)&amp;RIGHT("00"&amp;MINUTE(Sync!$AF748),2),IFERROR(RIGHT("00"&amp;VALUE(LEFT(Sync!$AF748,FIND(":",Sync!$AF748)-1)),2)&amp;RIGHT("00"&amp;VALUE(MID(Sync!$AF748,FIND(":",Sync!$AF748)+1,2)),2),"0000"))))</f>
        <v/>
      </c>
    </row>
    <row r="749">
      <c r="A749">
        <f>IF(OR(Calc!$E753="",Calc!$E753="نامعتبر",Calc!$G753=""),"",Calc!$G753)</f>
        <v/>
      </c>
      <c r="B749">
        <f>IF($A749="","",LEFT(Calc!$E753,4)&amp;MID(Calc!$E753,6,2)&amp;RIGHT(Calc!$E753,2)&amp;Calc!$Q753&amp;"|"&amp;"1"&amp;RIGHT("00000"&amp;744,5))</f>
        <v/>
      </c>
      <c r="C749">
        <f>IF($B749="","",COUNTIFS(LdgSellerA,$A749,LdgKeyA,"&lt;"&amp;$B749)+COUNTIFS(LdgSellerB,$A749,LdgKeyB,"&lt;"&amp;$B749)+1)</f>
        <v/>
      </c>
      <c r="D749">
        <f>IF($C749="","",$A749&amp;"|"&amp;RIGHT("000000"&amp;$C749,6))</f>
        <v/>
      </c>
      <c r="F749">
        <f>IF(Sync!$AH749="","",IF(LEFT(UPPER(TRIM(Sync!$AH749)),2)="SL",UPPER(TRIM(Sync!$AH749)),""))</f>
        <v/>
      </c>
      <c r="G749">
        <f>IF($F749="","",IF(Sync!$AE749="","",IF(ISNUMBER(Sync!$AE749),IF(AND(Sync!$AE749&gt;=10000101,Sync!$AE749&lt;=99991231),INT(Sync!$AE749/10000),""),IFERROR(VALUE(TRIM(LEFT(Sync!$AE749,FIND("/",Sync!$AE749)-1))),""))))</f>
        <v/>
      </c>
      <c r="H749">
        <f>IF(OR($F749="",$G749=""),"",IF(ISNUMBER(Sync!$AE749),INT(MOD(Sync!$AE749,10000)/100),IFERROR(VALUE(TRIM(LEFT(MID(Sync!$AE749,FIND("/",Sync!$AE749)+1,20),FIND("/",MID(Sync!$AE749,FIND("/",Sync!$AE749)+1,20))-1))),"")))</f>
        <v/>
      </c>
      <c r="I749">
        <f>IF(OR($F749="",$G749=""),"",IF(ISNUMBER(Sync!$AE749),MOD(Sync!$AE749,100),IFERROR(VALUE(TRIM(MID(MID(Sync!$AE749,FIND("/",Sync!$AE749)+1,20),FIND("/",MID(Sync!$AE749,FIND("/",Sync!$AE749)+1,20))+1,20))),"")))</f>
        <v/>
      </c>
      <c r="J749">
        <f>IF($F749="","",IF(OR($G749="",$H749="",$I749="",$G749&lt;1300,$G749&gt;1500,$H749&lt;1,$H749&gt;12,$I749&lt;1,$I749&gt;31),"نامعتبر",RIGHT("0000"&amp;$G749,4)&amp;"/"&amp;RIGHT("00"&amp;$H749,2)&amp;"/"&amp;RIGHT("00"&amp;$I749,2)))</f>
        <v/>
      </c>
      <c r="K749">
        <f>IF(OR($F749="",$J749="",$J749="نامعتبر"),"",LEFT($J749,4)&amp;MID($J749,6,2)&amp;RIGHT($J749,2)&amp;$N749&amp;"|"&amp;"2"&amp;RIGHT("00000"&amp;744,5))</f>
        <v/>
      </c>
      <c r="L749">
        <f>IF($K749="","",COUNTIFS(LdgSellerA,$F749,LdgKeyA,"&lt;"&amp;$K749)+COUNTIFS(LdgSellerB,$F749,LdgKeyB,"&lt;"&amp;$K749)+1)</f>
        <v/>
      </c>
      <c r="M749">
        <f>IF($L749="","",$F749&amp;"|"&amp;RIGHT("000000"&amp;$L749,6))</f>
        <v/>
      </c>
      <c r="N749">
        <f>IF($F749="","",IF(Sync!$AF749="","0000",IF(AND(ISNUMBER(Sync!$AF749),Sync!$AF749&gt;=0,Sync!$AF749&lt;1),RIGHT("00"&amp;HOUR(Sync!$AF749),2)&amp;RIGHT("00"&amp;MINUTE(Sync!$AF749),2),IFERROR(RIGHT("00"&amp;VALUE(LEFT(Sync!$AF749,FIND(":",Sync!$AF749)-1)),2)&amp;RIGHT("00"&amp;VALUE(MID(Sync!$AF749,FIND(":",Sync!$AF749)+1,2)),2),"0000"))))</f>
        <v/>
      </c>
    </row>
    <row r="750">
      <c r="A750">
        <f>IF(OR(Calc!$E754="",Calc!$E754="نامعتبر",Calc!$G754=""),"",Calc!$G754)</f>
        <v/>
      </c>
      <c r="B750">
        <f>IF($A750="","",LEFT(Calc!$E754,4)&amp;MID(Calc!$E754,6,2)&amp;RIGHT(Calc!$E754,2)&amp;Calc!$Q754&amp;"|"&amp;"1"&amp;RIGHT("00000"&amp;745,5))</f>
        <v/>
      </c>
      <c r="C750">
        <f>IF($B750="","",COUNTIFS(LdgSellerA,$A750,LdgKeyA,"&lt;"&amp;$B750)+COUNTIFS(LdgSellerB,$A750,LdgKeyB,"&lt;"&amp;$B750)+1)</f>
        <v/>
      </c>
      <c r="D750">
        <f>IF($C750="","",$A750&amp;"|"&amp;RIGHT("000000"&amp;$C750,6))</f>
        <v/>
      </c>
      <c r="F750">
        <f>IF(Sync!$AH750="","",IF(LEFT(UPPER(TRIM(Sync!$AH750)),2)="SL",UPPER(TRIM(Sync!$AH750)),""))</f>
        <v/>
      </c>
      <c r="G750">
        <f>IF($F750="","",IF(Sync!$AE750="","",IF(ISNUMBER(Sync!$AE750),IF(AND(Sync!$AE750&gt;=10000101,Sync!$AE750&lt;=99991231),INT(Sync!$AE750/10000),""),IFERROR(VALUE(TRIM(LEFT(Sync!$AE750,FIND("/",Sync!$AE750)-1))),""))))</f>
        <v/>
      </c>
      <c r="H750">
        <f>IF(OR($F750="",$G750=""),"",IF(ISNUMBER(Sync!$AE750),INT(MOD(Sync!$AE750,10000)/100),IFERROR(VALUE(TRIM(LEFT(MID(Sync!$AE750,FIND("/",Sync!$AE750)+1,20),FIND("/",MID(Sync!$AE750,FIND("/",Sync!$AE750)+1,20))-1))),"")))</f>
        <v/>
      </c>
      <c r="I750">
        <f>IF(OR($F750="",$G750=""),"",IF(ISNUMBER(Sync!$AE750),MOD(Sync!$AE750,100),IFERROR(VALUE(TRIM(MID(MID(Sync!$AE750,FIND("/",Sync!$AE750)+1,20),FIND("/",MID(Sync!$AE750,FIND("/",Sync!$AE750)+1,20))+1,20))),"")))</f>
        <v/>
      </c>
      <c r="J750">
        <f>IF($F750="","",IF(OR($G750="",$H750="",$I750="",$G750&lt;1300,$G750&gt;1500,$H750&lt;1,$H750&gt;12,$I750&lt;1,$I750&gt;31),"نامعتبر",RIGHT("0000"&amp;$G750,4)&amp;"/"&amp;RIGHT("00"&amp;$H750,2)&amp;"/"&amp;RIGHT("00"&amp;$I750,2)))</f>
        <v/>
      </c>
      <c r="K750">
        <f>IF(OR($F750="",$J750="",$J750="نامعتبر"),"",LEFT($J750,4)&amp;MID($J750,6,2)&amp;RIGHT($J750,2)&amp;$N750&amp;"|"&amp;"2"&amp;RIGHT("00000"&amp;745,5))</f>
        <v/>
      </c>
      <c r="L750">
        <f>IF($K750="","",COUNTIFS(LdgSellerA,$F750,LdgKeyA,"&lt;"&amp;$K750)+COUNTIFS(LdgSellerB,$F750,LdgKeyB,"&lt;"&amp;$K750)+1)</f>
        <v/>
      </c>
      <c r="M750">
        <f>IF($L750="","",$F750&amp;"|"&amp;RIGHT("000000"&amp;$L750,6))</f>
        <v/>
      </c>
      <c r="N750">
        <f>IF($F750="","",IF(Sync!$AF750="","0000",IF(AND(ISNUMBER(Sync!$AF750),Sync!$AF750&gt;=0,Sync!$AF750&lt;1),RIGHT("00"&amp;HOUR(Sync!$AF750),2)&amp;RIGHT("00"&amp;MINUTE(Sync!$AF750),2),IFERROR(RIGHT("00"&amp;VALUE(LEFT(Sync!$AF750,FIND(":",Sync!$AF750)-1)),2)&amp;RIGHT("00"&amp;VALUE(MID(Sync!$AF750,FIND(":",Sync!$AF750)+1,2)),2),"0000"))))</f>
        <v/>
      </c>
    </row>
    <row r="751">
      <c r="A751">
        <f>IF(OR(Calc!$E755="",Calc!$E755="نامعتبر",Calc!$G755=""),"",Calc!$G755)</f>
        <v/>
      </c>
      <c r="B751">
        <f>IF($A751="","",LEFT(Calc!$E755,4)&amp;MID(Calc!$E755,6,2)&amp;RIGHT(Calc!$E755,2)&amp;Calc!$Q755&amp;"|"&amp;"1"&amp;RIGHT("00000"&amp;746,5))</f>
        <v/>
      </c>
      <c r="C751">
        <f>IF($B751="","",COUNTIFS(LdgSellerA,$A751,LdgKeyA,"&lt;"&amp;$B751)+COUNTIFS(LdgSellerB,$A751,LdgKeyB,"&lt;"&amp;$B751)+1)</f>
        <v/>
      </c>
      <c r="D751">
        <f>IF($C751="","",$A751&amp;"|"&amp;RIGHT("000000"&amp;$C751,6))</f>
        <v/>
      </c>
      <c r="F751">
        <f>IF(Sync!$AH751="","",IF(LEFT(UPPER(TRIM(Sync!$AH751)),2)="SL",UPPER(TRIM(Sync!$AH751)),""))</f>
        <v/>
      </c>
      <c r="G751">
        <f>IF($F751="","",IF(Sync!$AE751="","",IF(ISNUMBER(Sync!$AE751),IF(AND(Sync!$AE751&gt;=10000101,Sync!$AE751&lt;=99991231),INT(Sync!$AE751/10000),""),IFERROR(VALUE(TRIM(LEFT(Sync!$AE751,FIND("/",Sync!$AE751)-1))),""))))</f>
        <v/>
      </c>
      <c r="H751">
        <f>IF(OR($F751="",$G751=""),"",IF(ISNUMBER(Sync!$AE751),INT(MOD(Sync!$AE751,10000)/100),IFERROR(VALUE(TRIM(LEFT(MID(Sync!$AE751,FIND("/",Sync!$AE751)+1,20),FIND("/",MID(Sync!$AE751,FIND("/",Sync!$AE751)+1,20))-1))),"")))</f>
        <v/>
      </c>
      <c r="I751">
        <f>IF(OR($F751="",$G751=""),"",IF(ISNUMBER(Sync!$AE751),MOD(Sync!$AE751,100),IFERROR(VALUE(TRIM(MID(MID(Sync!$AE751,FIND("/",Sync!$AE751)+1,20),FIND("/",MID(Sync!$AE751,FIND("/",Sync!$AE751)+1,20))+1,20))),"")))</f>
        <v/>
      </c>
      <c r="J751">
        <f>IF($F751="","",IF(OR($G751="",$H751="",$I751="",$G751&lt;1300,$G751&gt;1500,$H751&lt;1,$H751&gt;12,$I751&lt;1,$I751&gt;31),"نامعتبر",RIGHT("0000"&amp;$G751,4)&amp;"/"&amp;RIGHT("00"&amp;$H751,2)&amp;"/"&amp;RIGHT("00"&amp;$I751,2)))</f>
        <v/>
      </c>
      <c r="K751">
        <f>IF(OR($F751="",$J751="",$J751="نامعتبر"),"",LEFT($J751,4)&amp;MID($J751,6,2)&amp;RIGHT($J751,2)&amp;$N751&amp;"|"&amp;"2"&amp;RIGHT("00000"&amp;746,5))</f>
        <v/>
      </c>
      <c r="L751">
        <f>IF($K751="","",COUNTIFS(LdgSellerA,$F751,LdgKeyA,"&lt;"&amp;$K751)+COUNTIFS(LdgSellerB,$F751,LdgKeyB,"&lt;"&amp;$K751)+1)</f>
        <v/>
      </c>
      <c r="M751">
        <f>IF($L751="","",$F751&amp;"|"&amp;RIGHT("000000"&amp;$L751,6))</f>
        <v/>
      </c>
      <c r="N751">
        <f>IF($F751="","",IF(Sync!$AF751="","0000",IF(AND(ISNUMBER(Sync!$AF751),Sync!$AF751&gt;=0,Sync!$AF751&lt;1),RIGHT("00"&amp;HOUR(Sync!$AF751),2)&amp;RIGHT("00"&amp;MINUTE(Sync!$AF751),2),IFERROR(RIGHT("00"&amp;VALUE(LEFT(Sync!$AF751,FIND(":",Sync!$AF751)-1)),2)&amp;RIGHT("00"&amp;VALUE(MID(Sync!$AF751,FIND(":",Sync!$AF751)+1,2)),2),"0000"))))</f>
        <v/>
      </c>
    </row>
    <row r="752">
      <c r="A752">
        <f>IF(OR(Calc!$E756="",Calc!$E756="نامعتبر",Calc!$G756=""),"",Calc!$G756)</f>
        <v/>
      </c>
      <c r="B752">
        <f>IF($A752="","",LEFT(Calc!$E756,4)&amp;MID(Calc!$E756,6,2)&amp;RIGHT(Calc!$E756,2)&amp;Calc!$Q756&amp;"|"&amp;"1"&amp;RIGHT("00000"&amp;747,5))</f>
        <v/>
      </c>
      <c r="C752">
        <f>IF($B752="","",COUNTIFS(LdgSellerA,$A752,LdgKeyA,"&lt;"&amp;$B752)+COUNTIFS(LdgSellerB,$A752,LdgKeyB,"&lt;"&amp;$B752)+1)</f>
        <v/>
      </c>
      <c r="D752">
        <f>IF($C752="","",$A752&amp;"|"&amp;RIGHT("000000"&amp;$C752,6))</f>
        <v/>
      </c>
      <c r="F752">
        <f>IF(Sync!$AH752="","",IF(LEFT(UPPER(TRIM(Sync!$AH752)),2)="SL",UPPER(TRIM(Sync!$AH752)),""))</f>
        <v/>
      </c>
      <c r="G752">
        <f>IF($F752="","",IF(Sync!$AE752="","",IF(ISNUMBER(Sync!$AE752),IF(AND(Sync!$AE752&gt;=10000101,Sync!$AE752&lt;=99991231),INT(Sync!$AE752/10000),""),IFERROR(VALUE(TRIM(LEFT(Sync!$AE752,FIND("/",Sync!$AE752)-1))),""))))</f>
        <v/>
      </c>
      <c r="H752">
        <f>IF(OR($F752="",$G752=""),"",IF(ISNUMBER(Sync!$AE752),INT(MOD(Sync!$AE752,10000)/100),IFERROR(VALUE(TRIM(LEFT(MID(Sync!$AE752,FIND("/",Sync!$AE752)+1,20),FIND("/",MID(Sync!$AE752,FIND("/",Sync!$AE752)+1,20))-1))),"")))</f>
        <v/>
      </c>
      <c r="I752">
        <f>IF(OR($F752="",$G752=""),"",IF(ISNUMBER(Sync!$AE752),MOD(Sync!$AE752,100),IFERROR(VALUE(TRIM(MID(MID(Sync!$AE752,FIND("/",Sync!$AE752)+1,20),FIND("/",MID(Sync!$AE752,FIND("/",Sync!$AE752)+1,20))+1,20))),"")))</f>
        <v/>
      </c>
      <c r="J752">
        <f>IF($F752="","",IF(OR($G752="",$H752="",$I752="",$G752&lt;1300,$G752&gt;1500,$H752&lt;1,$H752&gt;12,$I752&lt;1,$I752&gt;31),"نامعتبر",RIGHT("0000"&amp;$G752,4)&amp;"/"&amp;RIGHT("00"&amp;$H752,2)&amp;"/"&amp;RIGHT("00"&amp;$I752,2)))</f>
        <v/>
      </c>
      <c r="K752">
        <f>IF(OR($F752="",$J752="",$J752="نامعتبر"),"",LEFT($J752,4)&amp;MID($J752,6,2)&amp;RIGHT($J752,2)&amp;$N752&amp;"|"&amp;"2"&amp;RIGHT("00000"&amp;747,5))</f>
        <v/>
      </c>
      <c r="L752">
        <f>IF($K752="","",COUNTIFS(LdgSellerA,$F752,LdgKeyA,"&lt;"&amp;$K752)+COUNTIFS(LdgSellerB,$F752,LdgKeyB,"&lt;"&amp;$K752)+1)</f>
        <v/>
      </c>
      <c r="M752">
        <f>IF($L752="","",$F752&amp;"|"&amp;RIGHT("000000"&amp;$L752,6))</f>
        <v/>
      </c>
      <c r="N752">
        <f>IF($F752="","",IF(Sync!$AF752="","0000",IF(AND(ISNUMBER(Sync!$AF752),Sync!$AF752&gt;=0,Sync!$AF752&lt;1),RIGHT("00"&amp;HOUR(Sync!$AF752),2)&amp;RIGHT("00"&amp;MINUTE(Sync!$AF752),2),IFERROR(RIGHT("00"&amp;VALUE(LEFT(Sync!$AF752,FIND(":",Sync!$AF752)-1)),2)&amp;RIGHT("00"&amp;VALUE(MID(Sync!$AF752,FIND(":",Sync!$AF752)+1,2)),2),"0000"))))</f>
        <v/>
      </c>
    </row>
    <row r="753">
      <c r="A753">
        <f>IF(OR(Calc!$E757="",Calc!$E757="نامعتبر",Calc!$G757=""),"",Calc!$G757)</f>
        <v/>
      </c>
      <c r="B753">
        <f>IF($A753="","",LEFT(Calc!$E757,4)&amp;MID(Calc!$E757,6,2)&amp;RIGHT(Calc!$E757,2)&amp;Calc!$Q757&amp;"|"&amp;"1"&amp;RIGHT("00000"&amp;748,5))</f>
        <v/>
      </c>
      <c r="C753">
        <f>IF($B753="","",COUNTIFS(LdgSellerA,$A753,LdgKeyA,"&lt;"&amp;$B753)+COUNTIFS(LdgSellerB,$A753,LdgKeyB,"&lt;"&amp;$B753)+1)</f>
        <v/>
      </c>
      <c r="D753">
        <f>IF($C753="","",$A753&amp;"|"&amp;RIGHT("000000"&amp;$C753,6))</f>
        <v/>
      </c>
      <c r="F753">
        <f>IF(Sync!$AH753="","",IF(LEFT(UPPER(TRIM(Sync!$AH753)),2)="SL",UPPER(TRIM(Sync!$AH753)),""))</f>
        <v/>
      </c>
      <c r="G753">
        <f>IF($F753="","",IF(Sync!$AE753="","",IF(ISNUMBER(Sync!$AE753),IF(AND(Sync!$AE753&gt;=10000101,Sync!$AE753&lt;=99991231),INT(Sync!$AE753/10000),""),IFERROR(VALUE(TRIM(LEFT(Sync!$AE753,FIND("/",Sync!$AE753)-1))),""))))</f>
        <v/>
      </c>
      <c r="H753">
        <f>IF(OR($F753="",$G753=""),"",IF(ISNUMBER(Sync!$AE753),INT(MOD(Sync!$AE753,10000)/100),IFERROR(VALUE(TRIM(LEFT(MID(Sync!$AE753,FIND("/",Sync!$AE753)+1,20),FIND("/",MID(Sync!$AE753,FIND("/",Sync!$AE753)+1,20))-1))),"")))</f>
        <v/>
      </c>
      <c r="I753">
        <f>IF(OR($F753="",$G753=""),"",IF(ISNUMBER(Sync!$AE753),MOD(Sync!$AE753,100),IFERROR(VALUE(TRIM(MID(MID(Sync!$AE753,FIND("/",Sync!$AE753)+1,20),FIND("/",MID(Sync!$AE753,FIND("/",Sync!$AE753)+1,20))+1,20))),"")))</f>
        <v/>
      </c>
      <c r="J753">
        <f>IF($F753="","",IF(OR($G753="",$H753="",$I753="",$G753&lt;1300,$G753&gt;1500,$H753&lt;1,$H753&gt;12,$I753&lt;1,$I753&gt;31),"نامعتبر",RIGHT("0000"&amp;$G753,4)&amp;"/"&amp;RIGHT("00"&amp;$H753,2)&amp;"/"&amp;RIGHT("00"&amp;$I753,2)))</f>
        <v/>
      </c>
      <c r="K753">
        <f>IF(OR($F753="",$J753="",$J753="نامعتبر"),"",LEFT($J753,4)&amp;MID($J753,6,2)&amp;RIGHT($J753,2)&amp;$N753&amp;"|"&amp;"2"&amp;RIGHT("00000"&amp;748,5))</f>
        <v/>
      </c>
      <c r="L753">
        <f>IF($K753="","",COUNTIFS(LdgSellerA,$F753,LdgKeyA,"&lt;"&amp;$K753)+COUNTIFS(LdgSellerB,$F753,LdgKeyB,"&lt;"&amp;$K753)+1)</f>
        <v/>
      </c>
      <c r="M753">
        <f>IF($L753="","",$F753&amp;"|"&amp;RIGHT("000000"&amp;$L753,6))</f>
        <v/>
      </c>
      <c r="N753">
        <f>IF($F753="","",IF(Sync!$AF753="","0000",IF(AND(ISNUMBER(Sync!$AF753),Sync!$AF753&gt;=0,Sync!$AF753&lt;1),RIGHT("00"&amp;HOUR(Sync!$AF753),2)&amp;RIGHT("00"&amp;MINUTE(Sync!$AF753),2),IFERROR(RIGHT("00"&amp;VALUE(LEFT(Sync!$AF753,FIND(":",Sync!$AF753)-1)),2)&amp;RIGHT("00"&amp;VALUE(MID(Sync!$AF753,FIND(":",Sync!$AF753)+1,2)),2),"0000"))))</f>
        <v/>
      </c>
    </row>
    <row r="754">
      <c r="A754">
        <f>IF(OR(Calc!$E758="",Calc!$E758="نامعتبر",Calc!$G758=""),"",Calc!$G758)</f>
        <v/>
      </c>
      <c r="B754">
        <f>IF($A754="","",LEFT(Calc!$E758,4)&amp;MID(Calc!$E758,6,2)&amp;RIGHT(Calc!$E758,2)&amp;Calc!$Q758&amp;"|"&amp;"1"&amp;RIGHT("00000"&amp;749,5))</f>
        <v/>
      </c>
      <c r="C754">
        <f>IF($B754="","",COUNTIFS(LdgSellerA,$A754,LdgKeyA,"&lt;"&amp;$B754)+COUNTIFS(LdgSellerB,$A754,LdgKeyB,"&lt;"&amp;$B754)+1)</f>
        <v/>
      </c>
      <c r="D754">
        <f>IF($C754="","",$A754&amp;"|"&amp;RIGHT("000000"&amp;$C754,6))</f>
        <v/>
      </c>
      <c r="F754">
        <f>IF(Sync!$AH754="","",IF(LEFT(UPPER(TRIM(Sync!$AH754)),2)="SL",UPPER(TRIM(Sync!$AH754)),""))</f>
        <v/>
      </c>
      <c r="G754">
        <f>IF($F754="","",IF(Sync!$AE754="","",IF(ISNUMBER(Sync!$AE754),IF(AND(Sync!$AE754&gt;=10000101,Sync!$AE754&lt;=99991231),INT(Sync!$AE754/10000),""),IFERROR(VALUE(TRIM(LEFT(Sync!$AE754,FIND("/",Sync!$AE754)-1))),""))))</f>
        <v/>
      </c>
      <c r="H754">
        <f>IF(OR($F754="",$G754=""),"",IF(ISNUMBER(Sync!$AE754),INT(MOD(Sync!$AE754,10000)/100),IFERROR(VALUE(TRIM(LEFT(MID(Sync!$AE754,FIND("/",Sync!$AE754)+1,20),FIND("/",MID(Sync!$AE754,FIND("/",Sync!$AE754)+1,20))-1))),"")))</f>
        <v/>
      </c>
      <c r="I754">
        <f>IF(OR($F754="",$G754=""),"",IF(ISNUMBER(Sync!$AE754),MOD(Sync!$AE754,100),IFERROR(VALUE(TRIM(MID(MID(Sync!$AE754,FIND("/",Sync!$AE754)+1,20),FIND("/",MID(Sync!$AE754,FIND("/",Sync!$AE754)+1,20))+1,20))),"")))</f>
        <v/>
      </c>
      <c r="J754">
        <f>IF($F754="","",IF(OR($G754="",$H754="",$I754="",$G754&lt;1300,$G754&gt;1500,$H754&lt;1,$H754&gt;12,$I754&lt;1,$I754&gt;31),"نامعتبر",RIGHT("0000"&amp;$G754,4)&amp;"/"&amp;RIGHT("00"&amp;$H754,2)&amp;"/"&amp;RIGHT("00"&amp;$I754,2)))</f>
        <v/>
      </c>
      <c r="K754">
        <f>IF(OR($F754="",$J754="",$J754="نامعتبر"),"",LEFT($J754,4)&amp;MID($J754,6,2)&amp;RIGHT($J754,2)&amp;$N754&amp;"|"&amp;"2"&amp;RIGHT("00000"&amp;749,5))</f>
        <v/>
      </c>
      <c r="L754">
        <f>IF($K754="","",COUNTIFS(LdgSellerA,$F754,LdgKeyA,"&lt;"&amp;$K754)+COUNTIFS(LdgSellerB,$F754,LdgKeyB,"&lt;"&amp;$K754)+1)</f>
        <v/>
      </c>
      <c r="M754">
        <f>IF($L754="","",$F754&amp;"|"&amp;RIGHT("000000"&amp;$L754,6))</f>
        <v/>
      </c>
      <c r="N754">
        <f>IF($F754="","",IF(Sync!$AF754="","0000",IF(AND(ISNUMBER(Sync!$AF754),Sync!$AF754&gt;=0,Sync!$AF754&lt;1),RIGHT("00"&amp;HOUR(Sync!$AF754),2)&amp;RIGHT("00"&amp;MINUTE(Sync!$AF754),2),IFERROR(RIGHT("00"&amp;VALUE(LEFT(Sync!$AF754,FIND(":",Sync!$AF754)-1)),2)&amp;RIGHT("00"&amp;VALUE(MID(Sync!$AF754,FIND(":",Sync!$AF754)+1,2)),2),"0000"))))</f>
        <v/>
      </c>
    </row>
    <row r="755">
      <c r="A755">
        <f>IF(OR(Calc!$E759="",Calc!$E759="نامعتبر",Calc!$G759=""),"",Calc!$G759)</f>
        <v/>
      </c>
      <c r="B755">
        <f>IF($A755="","",LEFT(Calc!$E759,4)&amp;MID(Calc!$E759,6,2)&amp;RIGHT(Calc!$E759,2)&amp;Calc!$Q759&amp;"|"&amp;"1"&amp;RIGHT("00000"&amp;750,5))</f>
        <v/>
      </c>
      <c r="C755">
        <f>IF($B755="","",COUNTIFS(LdgSellerA,$A755,LdgKeyA,"&lt;"&amp;$B755)+COUNTIFS(LdgSellerB,$A755,LdgKeyB,"&lt;"&amp;$B755)+1)</f>
        <v/>
      </c>
      <c r="D755">
        <f>IF($C755="","",$A755&amp;"|"&amp;RIGHT("000000"&amp;$C755,6))</f>
        <v/>
      </c>
      <c r="F755">
        <f>IF(Sync!$AH755="","",IF(LEFT(UPPER(TRIM(Sync!$AH755)),2)="SL",UPPER(TRIM(Sync!$AH755)),""))</f>
        <v/>
      </c>
      <c r="G755">
        <f>IF($F755="","",IF(Sync!$AE755="","",IF(ISNUMBER(Sync!$AE755),IF(AND(Sync!$AE755&gt;=10000101,Sync!$AE755&lt;=99991231),INT(Sync!$AE755/10000),""),IFERROR(VALUE(TRIM(LEFT(Sync!$AE755,FIND("/",Sync!$AE755)-1))),""))))</f>
        <v/>
      </c>
      <c r="H755">
        <f>IF(OR($F755="",$G755=""),"",IF(ISNUMBER(Sync!$AE755),INT(MOD(Sync!$AE755,10000)/100),IFERROR(VALUE(TRIM(LEFT(MID(Sync!$AE755,FIND("/",Sync!$AE755)+1,20),FIND("/",MID(Sync!$AE755,FIND("/",Sync!$AE755)+1,20))-1))),"")))</f>
        <v/>
      </c>
      <c r="I755">
        <f>IF(OR($F755="",$G755=""),"",IF(ISNUMBER(Sync!$AE755),MOD(Sync!$AE755,100),IFERROR(VALUE(TRIM(MID(MID(Sync!$AE755,FIND("/",Sync!$AE755)+1,20),FIND("/",MID(Sync!$AE755,FIND("/",Sync!$AE755)+1,20))+1,20))),"")))</f>
        <v/>
      </c>
      <c r="J755">
        <f>IF($F755="","",IF(OR($G755="",$H755="",$I755="",$G755&lt;1300,$G755&gt;1500,$H755&lt;1,$H755&gt;12,$I755&lt;1,$I755&gt;31),"نامعتبر",RIGHT("0000"&amp;$G755,4)&amp;"/"&amp;RIGHT("00"&amp;$H755,2)&amp;"/"&amp;RIGHT("00"&amp;$I755,2)))</f>
        <v/>
      </c>
      <c r="K755">
        <f>IF(OR($F755="",$J755="",$J755="نامعتبر"),"",LEFT($J755,4)&amp;MID($J755,6,2)&amp;RIGHT($J755,2)&amp;$N755&amp;"|"&amp;"2"&amp;RIGHT("00000"&amp;750,5))</f>
        <v/>
      </c>
      <c r="L755">
        <f>IF($K755="","",COUNTIFS(LdgSellerA,$F755,LdgKeyA,"&lt;"&amp;$K755)+COUNTIFS(LdgSellerB,$F755,LdgKeyB,"&lt;"&amp;$K755)+1)</f>
        <v/>
      </c>
      <c r="M755">
        <f>IF($L755="","",$F755&amp;"|"&amp;RIGHT("000000"&amp;$L755,6))</f>
        <v/>
      </c>
      <c r="N755">
        <f>IF($F755="","",IF(Sync!$AF755="","0000",IF(AND(ISNUMBER(Sync!$AF755),Sync!$AF755&gt;=0,Sync!$AF755&lt;1),RIGHT("00"&amp;HOUR(Sync!$AF755),2)&amp;RIGHT("00"&amp;MINUTE(Sync!$AF755),2),IFERROR(RIGHT("00"&amp;VALUE(LEFT(Sync!$AF755,FIND(":",Sync!$AF755)-1)),2)&amp;RIGHT("00"&amp;VALUE(MID(Sync!$AF755,FIND(":",Sync!$AF755)+1,2)),2),"0000"))))</f>
        <v/>
      </c>
    </row>
    <row r="756">
      <c r="A756">
        <f>IF(OR(Calc!$E760="",Calc!$E760="نامعتبر",Calc!$G760=""),"",Calc!$G760)</f>
        <v/>
      </c>
      <c r="B756">
        <f>IF($A756="","",LEFT(Calc!$E760,4)&amp;MID(Calc!$E760,6,2)&amp;RIGHT(Calc!$E760,2)&amp;Calc!$Q760&amp;"|"&amp;"1"&amp;RIGHT("00000"&amp;751,5))</f>
        <v/>
      </c>
      <c r="C756">
        <f>IF($B756="","",COUNTIFS(LdgSellerA,$A756,LdgKeyA,"&lt;"&amp;$B756)+COUNTIFS(LdgSellerB,$A756,LdgKeyB,"&lt;"&amp;$B756)+1)</f>
        <v/>
      </c>
      <c r="D756">
        <f>IF($C756="","",$A756&amp;"|"&amp;RIGHT("000000"&amp;$C756,6))</f>
        <v/>
      </c>
      <c r="F756">
        <f>IF(Sync!$AH756="","",IF(LEFT(UPPER(TRIM(Sync!$AH756)),2)="SL",UPPER(TRIM(Sync!$AH756)),""))</f>
        <v/>
      </c>
      <c r="G756">
        <f>IF($F756="","",IF(Sync!$AE756="","",IF(ISNUMBER(Sync!$AE756),IF(AND(Sync!$AE756&gt;=10000101,Sync!$AE756&lt;=99991231),INT(Sync!$AE756/10000),""),IFERROR(VALUE(TRIM(LEFT(Sync!$AE756,FIND("/",Sync!$AE756)-1))),""))))</f>
        <v/>
      </c>
      <c r="H756">
        <f>IF(OR($F756="",$G756=""),"",IF(ISNUMBER(Sync!$AE756),INT(MOD(Sync!$AE756,10000)/100),IFERROR(VALUE(TRIM(LEFT(MID(Sync!$AE756,FIND("/",Sync!$AE756)+1,20),FIND("/",MID(Sync!$AE756,FIND("/",Sync!$AE756)+1,20))-1))),"")))</f>
        <v/>
      </c>
      <c r="I756">
        <f>IF(OR($F756="",$G756=""),"",IF(ISNUMBER(Sync!$AE756),MOD(Sync!$AE756,100),IFERROR(VALUE(TRIM(MID(MID(Sync!$AE756,FIND("/",Sync!$AE756)+1,20),FIND("/",MID(Sync!$AE756,FIND("/",Sync!$AE756)+1,20))+1,20))),"")))</f>
        <v/>
      </c>
      <c r="J756">
        <f>IF($F756="","",IF(OR($G756="",$H756="",$I756="",$G756&lt;1300,$G756&gt;1500,$H756&lt;1,$H756&gt;12,$I756&lt;1,$I756&gt;31),"نامعتبر",RIGHT("0000"&amp;$G756,4)&amp;"/"&amp;RIGHT("00"&amp;$H756,2)&amp;"/"&amp;RIGHT("00"&amp;$I756,2)))</f>
        <v/>
      </c>
      <c r="K756">
        <f>IF(OR($F756="",$J756="",$J756="نامعتبر"),"",LEFT($J756,4)&amp;MID($J756,6,2)&amp;RIGHT($J756,2)&amp;$N756&amp;"|"&amp;"2"&amp;RIGHT("00000"&amp;751,5))</f>
        <v/>
      </c>
      <c r="L756">
        <f>IF($K756="","",COUNTIFS(LdgSellerA,$F756,LdgKeyA,"&lt;"&amp;$K756)+COUNTIFS(LdgSellerB,$F756,LdgKeyB,"&lt;"&amp;$K756)+1)</f>
        <v/>
      </c>
      <c r="M756">
        <f>IF($L756="","",$F756&amp;"|"&amp;RIGHT("000000"&amp;$L756,6))</f>
        <v/>
      </c>
      <c r="N756">
        <f>IF($F756="","",IF(Sync!$AF756="","0000",IF(AND(ISNUMBER(Sync!$AF756),Sync!$AF756&gt;=0,Sync!$AF756&lt;1),RIGHT("00"&amp;HOUR(Sync!$AF756),2)&amp;RIGHT("00"&amp;MINUTE(Sync!$AF756),2),IFERROR(RIGHT("00"&amp;VALUE(LEFT(Sync!$AF756,FIND(":",Sync!$AF756)-1)),2)&amp;RIGHT("00"&amp;VALUE(MID(Sync!$AF756,FIND(":",Sync!$AF756)+1,2)),2),"0000"))))</f>
        <v/>
      </c>
    </row>
    <row r="757">
      <c r="A757">
        <f>IF(OR(Calc!$E761="",Calc!$E761="نامعتبر",Calc!$G761=""),"",Calc!$G761)</f>
        <v/>
      </c>
      <c r="B757">
        <f>IF($A757="","",LEFT(Calc!$E761,4)&amp;MID(Calc!$E761,6,2)&amp;RIGHT(Calc!$E761,2)&amp;Calc!$Q761&amp;"|"&amp;"1"&amp;RIGHT("00000"&amp;752,5))</f>
        <v/>
      </c>
      <c r="C757">
        <f>IF($B757="","",COUNTIFS(LdgSellerA,$A757,LdgKeyA,"&lt;"&amp;$B757)+COUNTIFS(LdgSellerB,$A757,LdgKeyB,"&lt;"&amp;$B757)+1)</f>
        <v/>
      </c>
      <c r="D757">
        <f>IF($C757="","",$A757&amp;"|"&amp;RIGHT("000000"&amp;$C757,6))</f>
        <v/>
      </c>
      <c r="F757">
        <f>IF(Sync!$AH757="","",IF(LEFT(UPPER(TRIM(Sync!$AH757)),2)="SL",UPPER(TRIM(Sync!$AH757)),""))</f>
        <v/>
      </c>
      <c r="G757">
        <f>IF($F757="","",IF(Sync!$AE757="","",IF(ISNUMBER(Sync!$AE757),IF(AND(Sync!$AE757&gt;=10000101,Sync!$AE757&lt;=99991231),INT(Sync!$AE757/10000),""),IFERROR(VALUE(TRIM(LEFT(Sync!$AE757,FIND("/",Sync!$AE757)-1))),""))))</f>
        <v/>
      </c>
      <c r="H757">
        <f>IF(OR($F757="",$G757=""),"",IF(ISNUMBER(Sync!$AE757),INT(MOD(Sync!$AE757,10000)/100),IFERROR(VALUE(TRIM(LEFT(MID(Sync!$AE757,FIND("/",Sync!$AE757)+1,20),FIND("/",MID(Sync!$AE757,FIND("/",Sync!$AE757)+1,20))-1))),"")))</f>
        <v/>
      </c>
      <c r="I757">
        <f>IF(OR($F757="",$G757=""),"",IF(ISNUMBER(Sync!$AE757),MOD(Sync!$AE757,100),IFERROR(VALUE(TRIM(MID(MID(Sync!$AE757,FIND("/",Sync!$AE757)+1,20),FIND("/",MID(Sync!$AE757,FIND("/",Sync!$AE757)+1,20))+1,20))),"")))</f>
        <v/>
      </c>
      <c r="J757">
        <f>IF($F757="","",IF(OR($G757="",$H757="",$I757="",$G757&lt;1300,$G757&gt;1500,$H757&lt;1,$H757&gt;12,$I757&lt;1,$I757&gt;31),"نامعتبر",RIGHT("0000"&amp;$G757,4)&amp;"/"&amp;RIGHT("00"&amp;$H757,2)&amp;"/"&amp;RIGHT("00"&amp;$I757,2)))</f>
        <v/>
      </c>
      <c r="K757">
        <f>IF(OR($F757="",$J757="",$J757="نامعتبر"),"",LEFT($J757,4)&amp;MID($J757,6,2)&amp;RIGHT($J757,2)&amp;$N757&amp;"|"&amp;"2"&amp;RIGHT("00000"&amp;752,5))</f>
        <v/>
      </c>
      <c r="L757">
        <f>IF($K757="","",COUNTIFS(LdgSellerA,$F757,LdgKeyA,"&lt;"&amp;$K757)+COUNTIFS(LdgSellerB,$F757,LdgKeyB,"&lt;"&amp;$K757)+1)</f>
        <v/>
      </c>
      <c r="M757">
        <f>IF($L757="","",$F757&amp;"|"&amp;RIGHT("000000"&amp;$L757,6))</f>
        <v/>
      </c>
      <c r="N757">
        <f>IF($F757="","",IF(Sync!$AF757="","0000",IF(AND(ISNUMBER(Sync!$AF757),Sync!$AF757&gt;=0,Sync!$AF757&lt;1),RIGHT("00"&amp;HOUR(Sync!$AF757),2)&amp;RIGHT("00"&amp;MINUTE(Sync!$AF757),2),IFERROR(RIGHT("00"&amp;VALUE(LEFT(Sync!$AF757,FIND(":",Sync!$AF757)-1)),2)&amp;RIGHT("00"&amp;VALUE(MID(Sync!$AF757,FIND(":",Sync!$AF757)+1,2)),2),"0000"))))</f>
        <v/>
      </c>
    </row>
    <row r="758">
      <c r="A758">
        <f>IF(OR(Calc!$E762="",Calc!$E762="نامعتبر",Calc!$G762=""),"",Calc!$G762)</f>
        <v/>
      </c>
      <c r="B758">
        <f>IF($A758="","",LEFT(Calc!$E762,4)&amp;MID(Calc!$E762,6,2)&amp;RIGHT(Calc!$E762,2)&amp;Calc!$Q762&amp;"|"&amp;"1"&amp;RIGHT("00000"&amp;753,5))</f>
        <v/>
      </c>
      <c r="C758">
        <f>IF($B758="","",COUNTIFS(LdgSellerA,$A758,LdgKeyA,"&lt;"&amp;$B758)+COUNTIFS(LdgSellerB,$A758,LdgKeyB,"&lt;"&amp;$B758)+1)</f>
        <v/>
      </c>
      <c r="D758">
        <f>IF($C758="","",$A758&amp;"|"&amp;RIGHT("000000"&amp;$C758,6))</f>
        <v/>
      </c>
      <c r="F758">
        <f>IF(Sync!$AH758="","",IF(LEFT(UPPER(TRIM(Sync!$AH758)),2)="SL",UPPER(TRIM(Sync!$AH758)),""))</f>
        <v/>
      </c>
      <c r="G758">
        <f>IF($F758="","",IF(Sync!$AE758="","",IF(ISNUMBER(Sync!$AE758),IF(AND(Sync!$AE758&gt;=10000101,Sync!$AE758&lt;=99991231),INT(Sync!$AE758/10000),""),IFERROR(VALUE(TRIM(LEFT(Sync!$AE758,FIND("/",Sync!$AE758)-1))),""))))</f>
        <v/>
      </c>
      <c r="H758">
        <f>IF(OR($F758="",$G758=""),"",IF(ISNUMBER(Sync!$AE758),INT(MOD(Sync!$AE758,10000)/100),IFERROR(VALUE(TRIM(LEFT(MID(Sync!$AE758,FIND("/",Sync!$AE758)+1,20),FIND("/",MID(Sync!$AE758,FIND("/",Sync!$AE758)+1,20))-1))),"")))</f>
        <v/>
      </c>
      <c r="I758">
        <f>IF(OR($F758="",$G758=""),"",IF(ISNUMBER(Sync!$AE758),MOD(Sync!$AE758,100),IFERROR(VALUE(TRIM(MID(MID(Sync!$AE758,FIND("/",Sync!$AE758)+1,20),FIND("/",MID(Sync!$AE758,FIND("/",Sync!$AE758)+1,20))+1,20))),"")))</f>
        <v/>
      </c>
      <c r="J758">
        <f>IF($F758="","",IF(OR($G758="",$H758="",$I758="",$G758&lt;1300,$G758&gt;1500,$H758&lt;1,$H758&gt;12,$I758&lt;1,$I758&gt;31),"نامعتبر",RIGHT("0000"&amp;$G758,4)&amp;"/"&amp;RIGHT("00"&amp;$H758,2)&amp;"/"&amp;RIGHT("00"&amp;$I758,2)))</f>
        <v/>
      </c>
      <c r="K758">
        <f>IF(OR($F758="",$J758="",$J758="نامعتبر"),"",LEFT($J758,4)&amp;MID($J758,6,2)&amp;RIGHT($J758,2)&amp;$N758&amp;"|"&amp;"2"&amp;RIGHT("00000"&amp;753,5))</f>
        <v/>
      </c>
      <c r="L758">
        <f>IF($K758="","",COUNTIFS(LdgSellerA,$F758,LdgKeyA,"&lt;"&amp;$K758)+COUNTIFS(LdgSellerB,$F758,LdgKeyB,"&lt;"&amp;$K758)+1)</f>
        <v/>
      </c>
      <c r="M758">
        <f>IF($L758="","",$F758&amp;"|"&amp;RIGHT("000000"&amp;$L758,6))</f>
        <v/>
      </c>
      <c r="N758">
        <f>IF($F758="","",IF(Sync!$AF758="","0000",IF(AND(ISNUMBER(Sync!$AF758),Sync!$AF758&gt;=0,Sync!$AF758&lt;1),RIGHT("00"&amp;HOUR(Sync!$AF758),2)&amp;RIGHT("00"&amp;MINUTE(Sync!$AF758),2),IFERROR(RIGHT("00"&amp;VALUE(LEFT(Sync!$AF758,FIND(":",Sync!$AF758)-1)),2)&amp;RIGHT("00"&amp;VALUE(MID(Sync!$AF758,FIND(":",Sync!$AF758)+1,2)),2),"0000"))))</f>
        <v/>
      </c>
    </row>
    <row r="759">
      <c r="A759">
        <f>IF(OR(Calc!$E763="",Calc!$E763="نامعتبر",Calc!$G763=""),"",Calc!$G763)</f>
        <v/>
      </c>
      <c r="B759">
        <f>IF($A759="","",LEFT(Calc!$E763,4)&amp;MID(Calc!$E763,6,2)&amp;RIGHT(Calc!$E763,2)&amp;Calc!$Q763&amp;"|"&amp;"1"&amp;RIGHT("00000"&amp;754,5))</f>
        <v/>
      </c>
      <c r="C759">
        <f>IF($B759="","",COUNTIFS(LdgSellerA,$A759,LdgKeyA,"&lt;"&amp;$B759)+COUNTIFS(LdgSellerB,$A759,LdgKeyB,"&lt;"&amp;$B759)+1)</f>
        <v/>
      </c>
      <c r="D759">
        <f>IF($C759="","",$A759&amp;"|"&amp;RIGHT("000000"&amp;$C759,6))</f>
        <v/>
      </c>
      <c r="F759">
        <f>IF(Sync!$AH759="","",IF(LEFT(UPPER(TRIM(Sync!$AH759)),2)="SL",UPPER(TRIM(Sync!$AH759)),""))</f>
        <v/>
      </c>
      <c r="G759">
        <f>IF($F759="","",IF(Sync!$AE759="","",IF(ISNUMBER(Sync!$AE759),IF(AND(Sync!$AE759&gt;=10000101,Sync!$AE759&lt;=99991231),INT(Sync!$AE759/10000),""),IFERROR(VALUE(TRIM(LEFT(Sync!$AE759,FIND("/",Sync!$AE759)-1))),""))))</f>
        <v/>
      </c>
      <c r="H759">
        <f>IF(OR($F759="",$G759=""),"",IF(ISNUMBER(Sync!$AE759),INT(MOD(Sync!$AE759,10000)/100),IFERROR(VALUE(TRIM(LEFT(MID(Sync!$AE759,FIND("/",Sync!$AE759)+1,20),FIND("/",MID(Sync!$AE759,FIND("/",Sync!$AE759)+1,20))-1))),"")))</f>
        <v/>
      </c>
      <c r="I759">
        <f>IF(OR($F759="",$G759=""),"",IF(ISNUMBER(Sync!$AE759),MOD(Sync!$AE759,100),IFERROR(VALUE(TRIM(MID(MID(Sync!$AE759,FIND("/",Sync!$AE759)+1,20),FIND("/",MID(Sync!$AE759,FIND("/",Sync!$AE759)+1,20))+1,20))),"")))</f>
        <v/>
      </c>
      <c r="J759">
        <f>IF($F759="","",IF(OR($G759="",$H759="",$I759="",$G759&lt;1300,$G759&gt;1500,$H759&lt;1,$H759&gt;12,$I759&lt;1,$I759&gt;31),"نامعتبر",RIGHT("0000"&amp;$G759,4)&amp;"/"&amp;RIGHT("00"&amp;$H759,2)&amp;"/"&amp;RIGHT("00"&amp;$I759,2)))</f>
        <v/>
      </c>
      <c r="K759">
        <f>IF(OR($F759="",$J759="",$J759="نامعتبر"),"",LEFT($J759,4)&amp;MID($J759,6,2)&amp;RIGHT($J759,2)&amp;$N759&amp;"|"&amp;"2"&amp;RIGHT("00000"&amp;754,5))</f>
        <v/>
      </c>
      <c r="L759">
        <f>IF($K759="","",COUNTIFS(LdgSellerA,$F759,LdgKeyA,"&lt;"&amp;$K759)+COUNTIFS(LdgSellerB,$F759,LdgKeyB,"&lt;"&amp;$K759)+1)</f>
        <v/>
      </c>
      <c r="M759">
        <f>IF($L759="","",$F759&amp;"|"&amp;RIGHT("000000"&amp;$L759,6))</f>
        <v/>
      </c>
      <c r="N759">
        <f>IF($F759="","",IF(Sync!$AF759="","0000",IF(AND(ISNUMBER(Sync!$AF759),Sync!$AF759&gt;=0,Sync!$AF759&lt;1),RIGHT("00"&amp;HOUR(Sync!$AF759),2)&amp;RIGHT("00"&amp;MINUTE(Sync!$AF759),2),IFERROR(RIGHT("00"&amp;VALUE(LEFT(Sync!$AF759,FIND(":",Sync!$AF759)-1)),2)&amp;RIGHT("00"&amp;VALUE(MID(Sync!$AF759,FIND(":",Sync!$AF759)+1,2)),2),"0000"))))</f>
        <v/>
      </c>
    </row>
    <row r="760">
      <c r="A760">
        <f>IF(OR(Calc!$E764="",Calc!$E764="نامعتبر",Calc!$G764=""),"",Calc!$G764)</f>
        <v/>
      </c>
      <c r="B760">
        <f>IF($A760="","",LEFT(Calc!$E764,4)&amp;MID(Calc!$E764,6,2)&amp;RIGHT(Calc!$E764,2)&amp;Calc!$Q764&amp;"|"&amp;"1"&amp;RIGHT("00000"&amp;755,5))</f>
        <v/>
      </c>
      <c r="C760">
        <f>IF($B760="","",COUNTIFS(LdgSellerA,$A760,LdgKeyA,"&lt;"&amp;$B760)+COUNTIFS(LdgSellerB,$A760,LdgKeyB,"&lt;"&amp;$B760)+1)</f>
        <v/>
      </c>
      <c r="D760">
        <f>IF($C760="","",$A760&amp;"|"&amp;RIGHT("000000"&amp;$C760,6))</f>
        <v/>
      </c>
      <c r="F760">
        <f>IF(Sync!$AH760="","",IF(LEFT(UPPER(TRIM(Sync!$AH760)),2)="SL",UPPER(TRIM(Sync!$AH760)),""))</f>
        <v/>
      </c>
      <c r="G760">
        <f>IF($F760="","",IF(Sync!$AE760="","",IF(ISNUMBER(Sync!$AE760),IF(AND(Sync!$AE760&gt;=10000101,Sync!$AE760&lt;=99991231),INT(Sync!$AE760/10000),""),IFERROR(VALUE(TRIM(LEFT(Sync!$AE760,FIND("/",Sync!$AE760)-1))),""))))</f>
        <v/>
      </c>
      <c r="H760">
        <f>IF(OR($F760="",$G760=""),"",IF(ISNUMBER(Sync!$AE760),INT(MOD(Sync!$AE760,10000)/100),IFERROR(VALUE(TRIM(LEFT(MID(Sync!$AE760,FIND("/",Sync!$AE760)+1,20),FIND("/",MID(Sync!$AE760,FIND("/",Sync!$AE760)+1,20))-1))),"")))</f>
        <v/>
      </c>
      <c r="I760">
        <f>IF(OR($F760="",$G760=""),"",IF(ISNUMBER(Sync!$AE760),MOD(Sync!$AE760,100),IFERROR(VALUE(TRIM(MID(MID(Sync!$AE760,FIND("/",Sync!$AE760)+1,20),FIND("/",MID(Sync!$AE760,FIND("/",Sync!$AE760)+1,20))+1,20))),"")))</f>
        <v/>
      </c>
      <c r="J760">
        <f>IF($F760="","",IF(OR($G760="",$H760="",$I760="",$G760&lt;1300,$G760&gt;1500,$H760&lt;1,$H760&gt;12,$I760&lt;1,$I760&gt;31),"نامعتبر",RIGHT("0000"&amp;$G760,4)&amp;"/"&amp;RIGHT("00"&amp;$H760,2)&amp;"/"&amp;RIGHT("00"&amp;$I760,2)))</f>
        <v/>
      </c>
      <c r="K760">
        <f>IF(OR($F760="",$J760="",$J760="نامعتبر"),"",LEFT($J760,4)&amp;MID($J760,6,2)&amp;RIGHT($J760,2)&amp;$N760&amp;"|"&amp;"2"&amp;RIGHT("00000"&amp;755,5))</f>
        <v/>
      </c>
      <c r="L760">
        <f>IF($K760="","",COUNTIFS(LdgSellerA,$F760,LdgKeyA,"&lt;"&amp;$K760)+COUNTIFS(LdgSellerB,$F760,LdgKeyB,"&lt;"&amp;$K760)+1)</f>
        <v/>
      </c>
      <c r="M760">
        <f>IF($L760="","",$F760&amp;"|"&amp;RIGHT("000000"&amp;$L760,6))</f>
        <v/>
      </c>
      <c r="N760">
        <f>IF($F760="","",IF(Sync!$AF760="","0000",IF(AND(ISNUMBER(Sync!$AF760),Sync!$AF760&gt;=0,Sync!$AF760&lt;1),RIGHT("00"&amp;HOUR(Sync!$AF760),2)&amp;RIGHT("00"&amp;MINUTE(Sync!$AF760),2),IFERROR(RIGHT("00"&amp;VALUE(LEFT(Sync!$AF760,FIND(":",Sync!$AF760)-1)),2)&amp;RIGHT("00"&amp;VALUE(MID(Sync!$AF760,FIND(":",Sync!$AF760)+1,2)),2),"0000"))))</f>
        <v/>
      </c>
    </row>
    <row r="761">
      <c r="A761">
        <f>IF(OR(Calc!$E765="",Calc!$E765="نامعتبر",Calc!$G765=""),"",Calc!$G765)</f>
        <v/>
      </c>
      <c r="B761">
        <f>IF($A761="","",LEFT(Calc!$E765,4)&amp;MID(Calc!$E765,6,2)&amp;RIGHT(Calc!$E765,2)&amp;Calc!$Q765&amp;"|"&amp;"1"&amp;RIGHT("00000"&amp;756,5))</f>
        <v/>
      </c>
      <c r="C761">
        <f>IF($B761="","",COUNTIFS(LdgSellerA,$A761,LdgKeyA,"&lt;"&amp;$B761)+COUNTIFS(LdgSellerB,$A761,LdgKeyB,"&lt;"&amp;$B761)+1)</f>
        <v/>
      </c>
      <c r="D761">
        <f>IF($C761="","",$A761&amp;"|"&amp;RIGHT("000000"&amp;$C761,6))</f>
        <v/>
      </c>
      <c r="F761">
        <f>IF(Sync!$AH761="","",IF(LEFT(UPPER(TRIM(Sync!$AH761)),2)="SL",UPPER(TRIM(Sync!$AH761)),""))</f>
        <v/>
      </c>
      <c r="G761">
        <f>IF($F761="","",IF(Sync!$AE761="","",IF(ISNUMBER(Sync!$AE761),IF(AND(Sync!$AE761&gt;=10000101,Sync!$AE761&lt;=99991231),INT(Sync!$AE761/10000),""),IFERROR(VALUE(TRIM(LEFT(Sync!$AE761,FIND("/",Sync!$AE761)-1))),""))))</f>
        <v/>
      </c>
      <c r="H761">
        <f>IF(OR($F761="",$G761=""),"",IF(ISNUMBER(Sync!$AE761),INT(MOD(Sync!$AE761,10000)/100),IFERROR(VALUE(TRIM(LEFT(MID(Sync!$AE761,FIND("/",Sync!$AE761)+1,20),FIND("/",MID(Sync!$AE761,FIND("/",Sync!$AE761)+1,20))-1))),"")))</f>
        <v/>
      </c>
      <c r="I761">
        <f>IF(OR($F761="",$G761=""),"",IF(ISNUMBER(Sync!$AE761),MOD(Sync!$AE761,100),IFERROR(VALUE(TRIM(MID(MID(Sync!$AE761,FIND("/",Sync!$AE761)+1,20),FIND("/",MID(Sync!$AE761,FIND("/",Sync!$AE761)+1,20))+1,20))),"")))</f>
        <v/>
      </c>
      <c r="J761">
        <f>IF($F761="","",IF(OR($G761="",$H761="",$I761="",$G761&lt;1300,$G761&gt;1500,$H761&lt;1,$H761&gt;12,$I761&lt;1,$I761&gt;31),"نامعتبر",RIGHT("0000"&amp;$G761,4)&amp;"/"&amp;RIGHT("00"&amp;$H761,2)&amp;"/"&amp;RIGHT("00"&amp;$I761,2)))</f>
        <v/>
      </c>
      <c r="K761">
        <f>IF(OR($F761="",$J761="",$J761="نامعتبر"),"",LEFT($J761,4)&amp;MID($J761,6,2)&amp;RIGHT($J761,2)&amp;$N761&amp;"|"&amp;"2"&amp;RIGHT("00000"&amp;756,5))</f>
        <v/>
      </c>
      <c r="L761">
        <f>IF($K761="","",COUNTIFS(LdgSellerA,$F761,LdgKeyA,"&lt;"&amp;$K761)+COUNTIFS(LdgSellerB,$F761,LdgKeyB,"&lt;"&amp;$K761)+1)</f>
        <v/>
      </c>
      <c r="M761">
        <f>IF($L761="","",$F761&amp;"|"&amp;RIGHT("000000"&amp;$L761,6))</f>
        <v/>
      </c>
      <c r="N761">
        <f>IF($F761="","",IF(Sync!$AF761="","0000",IF(AND(ISNUMBER(Sync!$AF761),Sync!$AF761&gt;=0,Sync!$AF761&lt;1),RIGHT("00"&amp;HOUR(Sync!$AF761),2)&amp;RIGHT("00"&amp;MINUTE(Sync!$AF761),2),IFERROR(RIGHT("00"&amp;VALUE(LEFT(Sync!$AF761,FIND(":",Sync!$AF761)-1)),2)&amp;RIGHT("00"&amp;VALUE(MID(Sync!$AF761,FIND(":",Sync!$AF761)+1,2)),2),"0000"))))</f>
        <v/>
      </c>
    </row>
    <row r="762">
      <c r="A762">
        <f>IF(OR(Calc!$E766="",Calc!$E766="نامعتبر",Calc!$G766=""),"",Calc!$G766)</f>
        <v/>
      </c>
      <c r="B762">
        <f>IF($A762="","",LEFT(Calc!$E766,4)&amp;MID(Calc!$E766,6,2)&amp;RIGHT(Calc!$E766,2)&amp;Calc!$Q766&amp;"|"&amp;"1"&amp;RIGHT("00000"&amp;757,5))</f>
        <v/>
      </c>
      <c r="C762">
        <f>IF($B762="","",COUNTIFS(LdgSellerA,$A762,LdgKeyA,"&lt;"&amp;$B762)+COUNTIFS(LdgSellerB,$A762,LdgKeyB,"&lt;"&amp;$B762)+1)</f>
        <v/>
      </c>
      <c r="D762">
        <f>IF($C762="","",$A762&amp;"|"&amp;RIGHT("000000"&amp;$C762,6))</f>
        <v/>
      </c>
      <c r="F762">
        <f>IF(Sync!$AH762="","",IF(LEFT(UPPER(TRIM(Sync!$AH762)),2)="SL",UPPER(TRIM(Sync!$AH762)),""))</f>
        <v/>
      </c>
      <c r="G762">
        <f>IF($F762="","",IF(Sync!$AE762="","",IF(ISNUMBER(Sync!$AE762),IF(AND(Sync!$AE762&gt;=10000101,Sync!$AE762&lt;=99991231),INT(Sync!$AE762/10000),""),IFERROR(VALUE(TRIM(LEFT(Sync!$AE762,FIND("/",Sync!$AE762)-1))),""))))</f>
        <v/>
      </c>
      <c r="H762">
        <f>IF(OR($F762="",$G762=""),"",IF(ISNUMBER(Sync!$AE762),INT(MOD(Sync!$AE762,10000)/100),IFERROR(VALUE(TRIM(LEFT(MID(Sync!$AE762,FIND("/",Sync!$AE762)+1,20),FIND("/",MID(Sync!$AE762,FIND("/",Sync!$AE762)+1,20))-1))),"")))</f>
        <v/>
      </c>
      <c r="I762">
        <f>IF(OR($F762="",$G762=""),"",IF(ISNUMBER(Sync!$AE762),MOD(Sync!$AE762,100),IFERROR(VALUE(TRIM(MID(MID(Sync!$AE762,FIND("/",Sync!$AE762)+1,20),FIND("/",MID(Sync!$AE762,FIND("/",Sync!$AE762)+1,20))+1,20))),"")))</f>
        <v/>
      </c>
      <c r="J762">
        <f>IF($F762="","",IF(OR($G762="",$H762="",$I762="",$G762&lt;1300,$G762&gt;1500,$H762&lt;1,$H762&gt;12,$I762&lt;1,$I762&gt;31),"نامعتبر",RIGHT("0000"&amp;$G762,4)&amp;"/"&amp;RIGHT("00"&amp;$H762,2)&amp;"/"&amp;RIGHT("00"&amp;$I762,2)))</f>
        <v/>
      </c>
      <c r="K762">
        <f>IF(OR($F762="",$J762="",$J762="نامعتبر"),"",LEFT($J762,4)&amp;MID($J762,6,2)&amp;RIGHT($J762,2)&amp;$N762&amp;"|"&amp;"2"&amp;RIGHT("00000"&amp;757,5))</f>
        <v/>
      </c>
      <c r="L762">
        <f>IF($K762="","",COUNTIFS(LdgSellerA,$F762,LdgKeyA,"&lt;"&amp;$K762)+COUNTIFS(LdgSellerB,$F762,LdgKeyB,"&lt;"&amp;$K762)+1)</f>
        <v/>
      </c>
      <c r="M762">
        <f>IF($L762="","",$F762&amp;"|"&amp;RIGHT("000000"&amp;$L762,6))</f>
        <v/>
      </c>
      <c r="N762">
        <f>IF($F762="","",IF(Sync!$AF762="","0000",IF(AND(ISNUMBER(Sync!$AF762),Sync!$AF762&gt;=0,Sync!$AF762&lt;1),RIGHT("00"&amp;HOUR(Sync!$AF762),2)&amp;RIGHT("00"&amp;MINUTE(Sync!$AF762),2),IFERROR(RIGHT("00"&amp;VALUE(LEFT(Sync!$AF762,FIND(":",Sync!$AF762)-1)),2)&amp;RIGHT("00"&amp;VALUE(MID(Sync!$AF762,FIND(":",Sync!$AF762)+1,2)),2),"0000"))))</f>
        <v/>
      </c>
    </row>
    <row r="763">
      <c r="A763">
        <f>IF(OR(Calc!$E767="",Calc!$E767="نامعتبر",Calc!$G767=""),"",Calc!$G767)</f>
        <v/>
      </c>
      <c r="B763">
        <f>IF($A763="","",LEFT(Calc!$E767,4)&amp;MID(Calc!$E767,6,2)&amp;RIGHT(Calc!$E767,2)&amp;Calc!$Q767&amp;"|"&amp;"1"&amp;RIGHT("00000"&amp;758,5))</f>
        <v/>
      </c>
      <c r="C763">
        <f>IF($B763="","",COUNTIFS(LdgSellerA,$A763,LdgKeyA,"&lt;"&amp;$B763)+COUNTIFS(LdgSellerB,$A763,LdgKeyB,"&lt;"&amp;$B763)+1)</f>
        <v/>
      </c>
      <c r="D763">
        <f>IF($C763="","",$A763&amp;"|"&amp;RIGHT("000000"&amp;$C763,6))</f>
        <v/>
      </c>
      <c r="F763">
        <f>IF(Sync!$AH763="","",IF(LEFT(UPPER(TRIM(Sync!$AH763)),2)="SL",UPPER(TRIM(Sync!$AH763)),""))</f>
        <v/>
      </c>
      <c r="G763">
        <f>IF($F763="","",IF(Sync!$AE763="","",IF(ISNUMBER(Sync!$AE763),IF(AND(Sync!$AE763&gt;=10000101,Sync!$AE763&lt;=99991231),INT(Sync!$AE763/10000),""),IFERROR(VALUE(TRIM(LEFT(Sync!$AE763,FIND("/",Sync!$AE763)-1))),""))))</f>
        <v/>
      </c>
      <c r="H763">
        <f>IF(OR($F763="",$G763=""),"",IF(ISNUMBER(Sync!$AE763),INT(MOD(Sync!$AE763,10000)/100),IFERROR(VALUE(TRIM(LEFT(MID(Sync!$AE763,FIND("/",Sync!$AE763)+1,20),FIND("/",MID(Sync!$AE763,FIND("/",Sync!$AE763)+1,20))-1))),"")))</f>
        <v/>
      </c>
      <c r="I763">
        <f>IF(OR($F763="",$G763=""),"",IF(ISNUMBER(Sync!$AE763),MOD(Sync!$AE763,100),IFERROR(VALUE(TRIM(MID(MID(Sync!$AE763,FIND("/",Sync!$AE763)+1,20),FIND("/",MID(Sync!$AE763,FIND("/",Sync!$AE763)+1,20))+1,20))),"")))</f>
        <v/>
      </c>
      <c r="J763">
        <f>IF($F763="","",IF(OR($G763="",$H763="",$I763="",$G763&lt;1300,$G763&gt;1500,$H763&lt;1,$H763&gt;12,$I763&lt;1,$I763&gt;31),"نامعتبر",RIGHT("0000"&amp;$G763,4)&amp;"/"&amp;RIGHT("00"&amp;$H763,2)&amp;"/"&amp;RIGHT("00"&amp;$I763,2)))</f>
        <v/>
      </c>
      <c r="K763">
        <f>IF(OR($F763="",$J763="",$J763="نامعتبر"),"",LEFT($J763,4)&amp;MID($J763,6,2)&amp;RIGHT($J763,2)&amp;$N763&amp;"|"&amp;"2"&amp;RIGHT("00000"&amp;758,5))</f>
        <v/>
      </c>
      <c r="L763">
        <f>IF($K763="","",COUNTIFS(LdgSellerA,$F763,LdgKeyA,"&lt;"&amp;$K763)+COUNTIFS(LdgSellerB,$F763,LdgKeyB,"&lt;"&amp;$K763)+1)</f>
        <v/>
      </c>
      <c r="M763">
        <f>IF($L763="","",$F763&amp;"|"&amp;RIGHT("000000"&amp;$L763,6))</f>
        <v/>
      </c>
      <c r="N763">
        <f>IF($F763="","",IF(Sync!$AF763="","0000",IF(AND(ISNUMBER(Sync!$AF763),Sync!$AF763&gt;=0,Sync!$AF763&lt;1),RIGHT("00"&amp;HOUR(Sync!$AF763),2)&amp;RIGHT("00"&amp;MINUTE(Sync!$AF763),2),IFERROR(RIGHT("00"&amp;VALUE(LEFT(Sync!$AF763,FIND(":",Sync!$AF763)-1)),2)&amp;RIGHT("00"&amp;VALUE(MID(Sync!$AF763,FIND(":",Sync!$AF763)+1,2)),2),"0000"))))</f>
        <v/>
      </c>
    </row>
    <row r="764">
      <c r="A764">
        <f>IF(OR(Calc!$E768="",Calc!$E768="نامعتبر",Calc!$G768=""),"",Calc!$G768)</f>
        <v/>
      </c>
      <c r="B764">
        <f>IF($A764="","",LEFT(Calc!$E768,4)&amp;MID(Calc!$E768,6,2)&amp;RIGHT(Calc!$E768,2)&amp;Calc!$Q768&amp;"|"&amp;"1"&amp;RIGHT("00000"&amp;759,5))</f>
        <v/>
      </c>
      <c r="C764">
        <f>IF($B764="","",COUNTIFS(LdgSellerA,$A764,LdgKeyA,"&lt;"&amp;$B764)+COUNTIFS(LdgSellerB,$A764,LdgKeyB,"&lt;"&amp;$B764)+1)</f>
        <v/>
      </c>
      <c r="D764">
        <f>IF($C764="","",$A764&amp;"|"&amp;RIGHT("000000"&amp;$C764,6))</f>
        <v/>
      </c>
      <c r="F764">
        <f>IF(Sync!$AH764="","",IF(LEFT(UPPER(TRIM(Sync!$AH764)),2)="SL",UPPER(TRIM(Sync!$AH764)),""))</f>
        <v/>
      </c>
      <c r="G764">
        <f>IF($F764="","",IF(Sync!$AE764="","",IF(ISNUMBER(Sync!$AE764),IF(AND(Sync!$AE764&gt;=10000101,Sync!$AE764&lt;=99991231),INT(Sync!$AE764/10000),""),IFERROR(VALUE(TRIM(LEFT(Sync!$AE764,FIND("/",Sync!$AE764)-1))),""))))</f>
        <v/>
      </c>
      <c r="H764">
        <f>IF(OR($F764="",$G764=""),"",IF(ISNUMBER(Sync!$AE764),INT(MOD(Sync!$AE764,10000)/100),IFERROR(VALUE(TRIM(LEFT(MID(Sync!$AE764,FIND("/",Sync!$AE764)+1,20),FIND("/",MID(Sync!$AE764,FIND("/",Sync!$AE764)+1,20))-1))),"")))</f>
        <v/>
      </c>
      <c r="I764">
        <f>IF(OR($F764="",$G764=""),"",IF(ISNUMBER(Sync!$AE764),MOD(Sync!$AE764,100),IFERROR(VALUE(TRIM(MID(MID(Sync!$AE764,FIND("/",Sync!$AE764)+1,20),FIND("/",MID(Sync!$AE764,FIND("/",Sync!$AE764)+1,20))+1,20))),"")))</f>
        <v/>
      </c>
      <c r="J764">
        <f>IF($F764="","",IF(OR($G764="",$H764="",$I764="",$G764&lt;1300,$G764&gt;1500,$H764&lt;1,$H764&gt;12,$I764&lt;1,$I764&gt;31),"نامعتبر",RIGHT("0000"&amp;$G764,4)&amp;"/"&amp;RIGHT("00"&amp;$H764,2)&amp;"/"&amp;RIGHT("00"&amp;$I764,2)))</f>
        <v/>
      </c>
      <c r="K764">
        <f>IF(OR($F764="",$J764="",$J764="نامعتبر"),"",LEFT($J764,4)&amp;MID($J764,6,2)&amp;RIGHT($J764,2)&amp;$N764&amp;"|"&amp;"2"&amp;RIGHT("00000"&amp;759,5))</f>
        <v/>
      </c>
      <c r="L764">
        <f>IF($K764="","",COUNTIFS(LdgSellerA,$F764,LdgKeyA,"&lt;"&amp;$K764)+COUNTIFS(LdgSellerB,$F764,LdgKeyB,"&lt;"&amp;$K764)+1)</f>
        <v/>
      </c>
      <c r="M764">
        <f>IF($L764="","",$F764&amp;"|"&amp;RIGHT("000000"&amp;$L764,6))</f>
        <v/>
      </c>
      <c r="N764">
        <f>IF($F764="","",IF(Sync!$AF764="","0000",IF(AND(ISNUMBER(Sync!$AF764),Sync!$AF764&gt;=0,Sync!$AF764&lt;1),RIGHT("00"&amp;HOUR(Sync!$AF764),2)&amp;RIGHT("00"&amp;MINUTE(Sync!$AF764),2),IFERROR(RIGHT("00"&amp;VALUE(LEFT(Sync!$AF764,FIND(":",Sync!$AF764)-1)),2)&amp;RIGHT("00"&amp;VALUE(MID(Sync!$AF764,FIND(":",Sync!$AF764)+1,2)),2),"0000"))))</f>
        <v/>
      </c>
    </row>
    <row r="765">
      <c r="A765">
        <f>IF(OR(Calc!$E769="",Calc!$E769="نامعتبر",Calc!$G769=""),"",Calc!$G769)</f>
        <v/>
      </c>
      <c r="B765">
        <f>IF($A765="","",LEFT(Calc!$E769,4)&amp;MID(Calc!$E769,6,2)&amp;RIGHT(Calc!$E769,2)&amp;Calc!$Q769&amp;"|"&amp;"1"&amp;RIGHT("00000"&amp;760,5))</f>
        <v/>
      </c>
      <c r="C765">
        <f>IF($B765="","",COUNTIFS(LdgSellerA,$A765,LdgKeyA,"&lt;"&amp;$B765)+COUNTIFS(LdgSellerB,$A765,LdgKeyB,"&lt;"&amp;$B765)+1)</f>
        <v/>
      </c>
      <c r="D765">
        <f>IF($C765="","",$A765&amp;"|"&amp;RIGHT("000000"&amp;$C765,6))</f>
        <v/>
      </c>
      <c r="F765">
        <f>IF(Sync!$AH765="","",IF(LEFT(UPPER(TRIM(Sync!$AH765)),2)="SL",UPPER(TRIM(Sync!$AH765)),""))</f>
        <v/>
      </c>
      <c r="G765">
        <f>IF($F765="","",IF(Sync!$AE765="","",IF(ISNUMBER(Sync!$AE765),IF(AND(Sync!$AE765&gt;=10000101,Sync!$AE765&lt;=99991231),INT(Sync!$AE765/10000),""),IFERROR(VALUE(TRIM(LEFT(Sync!$AE765,FIND("/",Sync!$AE765)-1))),""))))</f>
        <v/>
      </c>
      <c r="H765">
        <f>IF(OR($F765="",$G765=""),"",IF(ISNUMBER(Sync!$AE765),INT(MOD(Sync!$AE765,10000)/100),IFERROR(VALUE(TRIM(LEFT(MID(Sync!$AE765,FIND("/",Sync!$AE765)+1,20),FIND("/",MID(Sync!$AE765,FIND("/",Sync!$AE765)+1,20))-1))),"")))</f>
        <v/>
      </c>
      <c r="I765">
        <f>IF(OR($F765="",$G765=""),"",IF(ISNUMBER(Sync!$AE765),MOD(Sync!$AE765,100),IFERROR(VALUE(TRIM(MID(MID(Sync!$AE765,FIND("/",Sync!$AE765)+1,20),FIND("/",MID(Sync!$AE765,FIND("/",Sync!$AE765)+1,20))+1,20))),"")))</f>
        <v/>
      </c>
      <c r="J765">
        <f>IF($F765="","",IF(OR($G765="",$H765="",$I765="",$G765&lt;1300,$G765&gt;1500,$H765&lt;1,$H765&gt;12,$I765&lt;1,$I765&gt;31),"نامعتبر",RIGHT("0000"&amp;$G765,4)&amp;"/"&amp;RIGHT("00"&amp;$H765,2)&amp;"/"&amp;RIGHT("00"&amp;$I765,2)))</f>
        <v/>
      </c>
      <c r="K765">
        <f>IF(OR($F765="",$J765="",$J765="نامعتبر"),"",LEFT($J765,4)&amp;MID($J765,6,2)&amp;RIGHT($J765,2)&amp;$N765&amp;"|"&amp;"2"&amp;RIGHT("00000"&amp;760,5))</f>
        <v/>
      </c>
      <c r="L765">
        <f>IF($K765="","",COUNTIFS(LdgSellerA,$F765,LdgKeyA,"&lt;"&amp;$K765)+COUNTIFS(LdgSellerB,$F765,LdgKeyB,"&lt;"&amp;$K765)+1)</f>
        <v/>
      </c>
      <c r="M765">
        <f>IF($L765="","",$F765&amp;"|"&amp;RIGHT("000000"&amp;$L765,6))</f>
        <v/>
      </c>
      <c r="N765">
        <f>IF($F765="","",IF(Sync!$AF765="","0000",IF(AND(ISNUMBER(Sync!$AF765),Sync!$AF765&gt;=0,Sync!$AF765&lt;1),RIGHT("00"&amp;HOUR(Sync!$AF765),2)&amp;RIGHT("00"&amp;MINUTE(Sync!$AF765),2),IFERROR(RIGHT("00"&amp;VALUE(LEFT(Sync!$AF765,FIND(":",Sync!$AF765)-1)),2)&amp;RIGHT("00"&amp;VALUE(MID(Sync!$AF765,FIND(":",Sync!$AF765)+1,2)),2),"0000"))))</f>
        <v/>
      </c>
    </row>
    <row r="766">
      <c r="A766">
        <f>IF(OR(Calc!$E770="",Calc!$E770="نامعتبر",Calc!$G770=""),"",Calc!$G770)</f>
        <v/>
      </c>
      <c r="B766">
        <f>IF($A766="","",LEFT(Calc!$E770,4)&amp;MID(Calc!$E770,6,2)&amp;RIGHT(Calc!$E770,2)&amp;Calc!$Q770&amp;"|"&amp;"1"&amp;RIGHT("00000"&amp;761,5))</f>
        <v/>
      </c>
      <c r="C766">
        <f>IF($B766="","",COUNTIFS(LdgSellerA,$A766,LdgKeyA,"&lt;"&amp;$B766)+COUNTIFS(LdgSellerB,$A766,LdgKeyB,"&lt;"&amp;$B766)+1)</f>
        <v/>
      </c>
      <c r="D766">
        <f>IF($C766="","",$A766&amp;"|"&amp;RIGHT("000000"&amp;$C766,6))</f>
        <v/>
      </c>
      <c r="F766">
        <f>IF(Sync!$AH766="","",IF(LEFT(UPPER(TRIM(Sync!$AH766)),2)="SL",UPPER(TRIM(Sync!$AH766)),""))</f>
        <v/>
      </c>
      <c r="G766">
        <f>IF($F766="","",IF(Sync!$AE766="","",IF(ISNUMBER(Sync!$AE766),IF(AND(Sync!$AE766&gt;=10000101,Sync!$AE766&lt;=99991231),INT(Sync!$AE766/10000),""),IFERROR(VALUE(TRIM(LEFT(Sync!$AE766,FIND("/",Sync!$AE766)-1))),""))))</f>
        <v/>
      </c>
      <c r="H766">
        <f>IF(OR($F766="",$G766=""),"",IF(ISNUMBER(Sync!$AE766),INT(MOD(Sync!$AE766,10000)/100),IFERROR(VALUE(TRIM(LEFT(MID(Sync!$AE766,FIND("/",Sync!$AE766)+1,20),FIND("/",MID(Sync!$AE766,FIND("/",Sync!$AE766)+1,20))-1))),"")))</f>
        <v/>
      </c>
      <c r="I766">
        <f>IF(OR($F766="",$G766=""),"",IF(ISNUMBER(Sync!$AE766),MOD(Sync!$AE766,100),IFERROR(VALUE(TRIM(MID(MID(Sync!$AE766,FIND("/",Sync!$AE766)+1,20),FIND("/",MID(Sync!$AE766,FIND("/",Sync!$AE766)+1,20))+1,20))),"")))</f>
        <v/>
      </c>
      <c r="J766">
        <f>IF($F766="","",IF(OR($G766="",$H766="",$I766="",$G766&lt;1300,$G766&gt;1500,$H766&lt;1,$H766&gt;12,$I766&lt;1,$I766&gt;31),"نامعتبر",RIGHT("0000"&amp;$G766,4)&amp;"/"&amp;RIGHT("00"&amp;$H766,2)&amp;"/"&amp;RIGHT("00"&amp;$I766,2)))</f>
        <v/>
      </c>
      <c r="K766">
        <f>IF(OR($F766="",$J766="",$J766="نامعتبر"),"",LEFT($J766,4)&amp;MID($J766,6,2)&amp;RIGHT($J766,2)&amp;$N766&amp;"|"&amp;"2"&amp;RIGHT("00000"&amp;761,5))</f>
        <v/>
      </c>
      <c r="L766">
        <f>IF($K766="","",COUNTIFS(LdgSellerA,$F766,LdgKeyA,"&lt;"&amp;$K766)+COUNTIFS(LdgSellerB,$F766,LdgKeyB,"&lt;"&amp;$K766)+1)</f>
        <v/>
      </c>
      <c r="M766">
        <f>IF($L766="","",$F766&amp;"|"&amp;RIGHT("000000"&amp;$L766,6))</f>
        <v/>
      </c>
      <c r="N766">
        <f>IF($F766="","",IF(Sync!$AF766="","0000",IF(AND(ISNUMBER(Sync!$AF766),Sync!$AF766&gt;=0,Sync!$AF766&lt;1),RIGHT("00"&amp;HOUR(Sync!$AF766),2)&amp;RIGHT("00"&amp;MINUTE(Sync!$AF766),2),IFERROR(RIGHT("00"&amp;VALUE(LEFT(Sync!$AF766,FIND(":",Sync!$AF766)-1)),2)&amp;RIGHT("00"&amp;VALUE(MID(Sync!$AF766,FIND(":",Sync!$AF766)+1,2)),2),"0000"))))</f>
        <v/>
      </c>
    </row>
    <row r="767">
      <c r="A767">
        <f>IF(OR(Calc!$E771="",Calc!$E771="نامعتبر",Calc!$G771=""),"",Calc!$G771)</f>
        <v/>
      </c>
      <c r="B767">
        <f>IF($A767="","",LEFT(Calc!$E771,4)&amp;MID(Calc!$E771,6,2)&amp;RIGHT(Calc!$E771,2)&amp;Calc!$Q771&amp;"|"&amp;"1"&amp;RIGHT("00000"&amp;762,5))</f>
        <v/>
      </c>
      <c r="C767">
        <f>IF($B767="","",COUNTIFS(LdgSellerA,$A767,LdgKeyA,"&lt;"&amp;$B767)+COUNTIFS(LdgSellerB,$A767,LdgKeyB,"&lt;"&amp;$B767)+1)</f>
        <v/>
      </c>
      <c r="D767">
        <f>IF($C767="","",$A767&amp;"|"&amp;RIGHT("000000"&amp;$C767,6))</f>
        <v/>
      </c>
      <c r="F767">
        <f>IF(Sync!$AH767="","",IF(LEFT(UPPER(TRIM(Sync!$AH767)),2)="SL",UPPER(TRIM(Sync!$AH767)),""))</f>
        <v/>
      </c>
      <c r="G767">
        <f>IF($F767="","",IF(Sync!$AE767="","",IF(ISNUMBER(Sync!$AE767),IF(AND(Sync!$AE767&gt;=10000101,Sync!$AE767&lt;=99991231),INT(Sync!$AE767/10000),""),IFERROR(VALUE(TRIM(LEFT(Sync!$AE767,FIND("/",Sync!$AE767)-1))),""))))</f>
        <v/>
      </c>
      <c r="H767">
        <f>IF(OR($F767="",$G767=""),"",IF(ISNUMBER(Sync!$AE767),INT(MOD(Sync!$AE767,10000)/100),IFERROR(VALUE(TRIM(LEFT(MID(Sync!$AE767,FIND("/",Sync!$AE767)+1,20),FIND("/",MID(Sync!$AE767,FIND("/",Sync!$AE767)+1,20))-1))),"")))</f>
        <v/>
      </c>
      <c r="I767">
        <f>IF(OR($F767="",$G767=""),"",IF(ISNUMBER(Sync!$AE767),MOD(Sync!$AE767,100),IFERROR(VALUE(TRIM(MID(MID(Sync!$AE767,FIND("/",Sync!$AE767)+1,20),FIND("/",MID(Sync!$AE767,FIND("/",Sync!$AE767)+1,20))+1,20))),"")))</f>
        <v/>
      </c>
      <c r="J767">
        <f>IF($F767="","",IF(OR($G767="",$H767="",$I767="",$G767&lt;1300,$G767&gt;1500,$H767&lt;1,$H767&gt;12,$I767&lt;1,$I767&gt;31),"نامعتبر",RIGHT("0000"&amp;$G767,4)&amp;"/"&amp;RIGHT("00"&amp;$H767,2)&amp;"/"&amp;RIGHT("00"&amp;$I767,2)))</f>
        <v/>
      </c>
      <c r="K767">
        <f>IF(OR($F767="",$J767="",$J767="نامعتبر"),"",LEFT($J767,4)&amp;MID($J767,6,2)&amp;RIGHT($J767,2)&amp;$N767&amp;"|"&amp;"2"&amp;RIGHT("00000"&amp;762,5))</f>
        <v/>
      </c>
      <c r="L767">
        <f>IF($K767="","",COUNTIFS(LdgSellerA,$F767,LdgKeyA,"&lt;"&amp;$K767)+COUNTIFS(LdgSellerB,$F767,LdgKeyB,"&lt;"&amp;$K767)+1)</f>
        <v/>
      </c>
      <c r="M767">
        <f>IF($L767="","",$F767&amp;"|"&amp;RIGHT("000000"&amp;$L767,6))</f>
        <v/>
      </c>
      <c r="N767">
        <f>IF($F767="","",IF(Sync!$AF767="","0000",IF(AND(ISNUMBER(Sync!$AF767),Sync!$AF767&gt;=0,Sync!$AF767&lt;1),RIGHT("00"&amp;HOUR(Sync!$AF767),2)&amp;RIGHT("00"&amp;MINUTE(Sync!$AF767),2),IFERROR(RIGHT("00"&amp;VALUE(LEFT(Sync!$AF767,FIND(":",Sync!$AF767)-1)),2)&amp;RIGHT("00"&amp;VALUE(MID(Sync!$AF767,FIND(":",Sync!$AF767)+1,2)),2),"0000"))))</f>
        <v/>
      </c>
    </row>
    <row r="768">
      <c r="A768">
        <f>IF(OR(Calc!$E772="",Calc!$E772="نامعتبر",Calc!$G772=""),"",Calc!$G772)</f>
        <v/>
      </c>
      <c r="B768">
        <f>IF($A768="","",LEFT(Calc!$E772,4)&amp;MID(Calc!$E772,6,2)&amp;RIGHT(Calc!$E772,2)&amp;Calc!$Q772&amp;"|"&amp;"1"&amp;RIGHT("00000"&amp;763,5))</f>
        <v/>
      </c>
      <c r="C768">
        <f>IF($B768="","",COUNTIFS(LdgSellerA,$A768,LdgKeyA,"&lt;"&amp;$B768)+COUNTIFS(LdgSellerB,$A768,LdgKeyB,"&lt;"&amp;$B768)+1)</f>
        <v/>
      </c>
      <c r="D768">
        <f>IF($C768="","",$A768&amp;"|"&amp;RIGHT("000000"&amp;$C768,6))</f>
        <v/>
      </c>
      <c r="F768">
        <f>IF(Sync!$AH768="","",IF(LEFT(UPPER(TRIM(Sync!$AH768)),2)="SL",UPPER(TRIM(Sync!$AH768)),""))</f>
        <v/>
      </c>
      <c r="G768">
        <f>IF($F768="","",IF(Sync!$AE768="","",IF(ISNUMBER(Sync!$AE768),IF(AND(Sync!$AE768&gt;=10000101,Sync!$AE768&lt;=99991231),INT(Sync!$AE768/10000),""),IFERROR(VALUE(TRIM(LEFT(Sync!$AE768,FIND("/",Sync!$AE768)-1))),""))))</f>
        <v/>
      </c>
      <c r="H768">
        <f>IF(OR($F768="",$G768=""),"",IF(ISNUMBER(Sync!$AE768),INT(MOD(Sync!$AE768,10000)/100),IFERROR(VALUE(TRIM(LEFT(MID(Sync!$AE768,FIND("/",Sync!$AE768)+1,20),FIND("/",MID(Sync!$AE768,FIND("/",Sync!$AE768)+1,20))-1))),"")))</f>
        <v/>
      </c>
      <c r="I768">
        <f>IF(OR($F768="",$G768=""),"",IF(ISNUMBER(Sync!$AE768),MOD(Sync!$AE768,100),IFERROR(VALUE(TRIM(MID(MID(Sync!$AE768,FIND("/",Sync!$AE768)+1,20),FIND("/",MID(Sync!$AE768,FIND("/",Sync!$AE768)+1,20))+1,20))),"")))</f>
        <v/>
      </c>
      <c r="J768">
        <f>IF($F768="","",IF(OR($G768="",$H768="",$I768="",$G768&lt;1300,$G768&gt;1500,$H768&lt;1,$H768&gt;12,$I768&lt;1,$I768&gt;31),"نامعتبر",RIGHT("0000"&amp;$G768,4)&amp;"/"&amp;RIGHT("00"&amp;$H768,2)&amp;"/"&amp;RIGHT("00"&amp;$I768,2)))</f>
        <v/>
      </c>
      <c r="K768">
        <f>IF(OR($F768="",$J768="",$J768="نامعتبر"),"",LEFT($J768,4)&amp;MID($J768,6,2)&amp;RIGHT($J768,2)&amp;$N768&amp;"|"&amp;"2"&amp;RIGHT("00000"&amp;763,5))</f>
        <v/>
      </c>
      <c r="L768">
        <f>IF($K768="","",COUNTIFS(LdgSellerA,$F768,LdgKeyA,"&lt;"&amp;$K768)+COUNTIFS(LdgSellerB,$F768,LdgKeyB,"&lt;"&amp;$K768)+1)</f>
        <v/>
      </c>
      <c r="M768">
        <f>IF($L768="","",$F768&amp;"|"&amp;RIGHT("000000"&amp;$L768,6))</f>
        <v/>
      </c>
      <c r="N768">
        <f>IF($F768="","",IF(Sync!$AF768="","0000",IF(AND(ISNUMBER(Sync!$AF768),Sync!$AF768&gt;=0,Sync!$AF768&lt;1),RIGHT("00"&amp;HOUR(Sync!$AF768),2)&amp;RIGHT("00"&amp;MINUTE(Sync!$AF768),2),IFERROR(RIGHT("00"&amp;VALUE(LEFT(Sync!$AF768,FIND(":",Sync!$AF768)-1)),2)&amp;RIGHT("00"&amp;VALUE(MID(Sync!$AF768,FIND(":",Sync!$AF768)+1,2)),2),"0000"))))</f>
        <v/>
      </c>
    </row>
    <row r="769">
      <c r="A769">
        <f>IF(OR(Calc!$E773="",Calc!$E773="نامعتبر",Calc!$G773=""),"",Calc!$G773)</f>
        <v/>
      </c>
      <c r="B769">
        <f>IF($A769="","",LEFT(Calc!$E773,4)&amp;MID(Calc!$E773,6,2)&amp;RIGHT(Calc!$E773,2)&amp;Calc!$Q773&amp;"|"&amp;"1"&amp;RIGHT("00000"&amp;764,5))</f>
        <v/>
      </c>
      <c r="C769">
        <f>IF($B769="","",COUNTIFS(LdgSellerA,$A769,LdgKeyA,"&lt;"&amp;$B769)+COUNTIFS(LdgSellerB,$A769,LdgKeyB,"&lt;"&amp;$B769)+1)</f>
        <v/>
      </c>
      <c r="D769">
        <f>IF($C769="","",$A769&amp;"|"&amp;RIGHT("000000"&amp;$C769,6))</f>
        <v/>
      </c>
      <c r="F769">
        <f>IF(Sync!$AH769="","",IF(LEFT(UPPER(TRIM(Sync!$AH769)),2)="SL",UPPER(TRIM(Sync!$AH769)),""))</f>
        <v/>
      </c>
      <c r="G769">
        <f>IF($F769="","",IF(Sync!$AE769="","",IF(ISNUMBER(Sync!$AE769),IF(AND(Sync!$AE769&gt;=10000101,Sync!$AE769&lt;=99991231),INT(Sync!$AE769/10000),""),IFERROR(VALUE(TRIM(LEFT(Sync!$AE769,FIND("/",Sync!$AE769)-1))),""))))</f>
        <v/>
      </c>
      <c r="H769">
        <f>IF(OR($F769="",$G769=""),"",IF(ISNUMBER(Sync!$AE769),INT(MOD(Sync!$AE769,10000)/100),IFERROR(VALUE(TRIM(LEFT(MID(Sync!$AE769,FIND("/",Sync!$AE769)+1,20),FIND("/",MID(Sync!$AE769,FIND("/",Sync!$AE769)+1,20))-1))),"")))</f>
        <v/>
      </c>
      <c r="I769">
        <f>IF(OR($F769="",$G769=""),"",IF(ISNUMBER(Sync!$AE769),MOD(Sync!$AE769,100),IFERROR(VALUE(TRIM(MID(MID(Sync!$AE769,FIND("/",Sync!$AE769)+1,20),FIND("/",MID(Sync!$AE769,FIND("/",Sync!$AE769)+1,20))+1,20))),"")))</f>
        <v/>
      </c>
      <c r="J769">
        <f>IF($F769="","",IF(OR($G769="",$H769="",$I769="",$G769&lt;1300,$G769&gt;1500,$H769&lt;1,$H769&gt;12,$I769&lt;1,$I769&gt;31),"نامعتبر",RIGHT("0000"&amp;$G769,4)&amp;"/"&amp;RIGHT("00"&amp;$H769,2)&amp;"/"&amp;RIGHT("00"&amp;$I769,2)))</f>
        <v/>
      </c>
      <c r="K769">
        <f>IF(OR($F769="",$J769="",$J769="نامعتبر"),"",LEFT($J769,4)&amp;MID($J769,6,2)&amp;RIGHT($J769,2)&amp;$N769&amp;"|"&amp;"2"&amp;RIGHT("00000"&amp;764,5))</f>
        <v/>
      </c>
      <c r="L769">
        <f>IF($K769="","",COUNTIFS(LdgSellerA,$F769,LdgKeyA,"&lt;"&amp;$K769)+COUNTIFS(LdgSellerB,$F769,LdgKeyB,"&lt;"&amp;$K769)+1)</f>
        <v/>
      </c>
      <c r="M769">
        <f>IF($L769="","",$F769&amp;"|"&amp;RIGHT("000000"&amp;$L769,6))</f>
        <v/>
      </c>
      <c r="N769">
        <f>IF($F769="","",IF(Sync!$AF769="","0000",IF(AND(ISNUMBER(Sync!$AF769),Sync!$AF769&gt;=0,Sync!$AF769&lt;1),RIGHT("00"&amp;HOUR(Sync!$AF769),2)&amp;RIGHT("00"&amp;MINUTE(Sync!$AF769),2),IFERROR(RIGHT("00"&amp;VALUE(LEFT(Sync!$AF769,FIND(":",Sync!$AF769)-1)),2)&amp;RIGHT("00"&amp;VALUE(MID(Sync!$AF769,FIND(":",Sync!$AF769)+1,2)),2),"0000"))))</f>
        <v/>
      </c>
    </row>
    <row r="770">
      <c r="A770">
        <f>IF(OR(Calc!$E774="",Calc!$E774="نامعتبر",Calc!$G774=""),"",Calc!$G774)</f>
        <v/>
      </c>
      <c r="B770">
        <f>IF($A770="","",LEFT(Calc!$E774,4)&amp;MID(Calc!$E774,6,2)&amp;RIGHT(Calc!$E774,2)&amp;Calc!$Q774&amp;"|"&amp;"1"&amp;RIGHT("00000"&amp;765,5))</f>
        <v/>
      </c>
      <c r="C770">
        <f>IF($B770="","",COUNTIFS(LdgSellerA,$A770,LdgKeyA,"&lt;"&amp;$B770)+COUNTIFS(LdgSellerB,$A770,LdgKeyB,"&lt;"&amp;$B770)+1)</f>
        <v/>
      </c>
      <c r="D770">
        <f>IF($C770="","",$A770&amp;"|"&amp;RIGHT("000000"&amp;$C770,6))</f>
        <v/>
      </c>
      <c r="F770">
        <f>IF(Sync!$AH770="","",IF(LEFT(UPPER(TRIM(Sync!$AH770)),2)="SL",UPPER(TRIM(Sync!$AH770)),""))</f>
        <v/>
      </c>
      <c r="G770">
        <f>IF($F770="","",IF(Sync!$AE770="","",IF(ISNUMBER(Sync!$AE770),IF(AND(Sync!$AE770&gt;=10000101,Sync!$AE770&lt;=99991231),INT(Sync!$AE770/10000),""),IFERROR(VALUE(TRIM(LEFT(Sync!$AE770,FIND("/",Sync!$AE770)-1))),""))))</f>
        <v/>
      </c>
      <c r="H770">
        <f>IF(OR($F770="",$G770=""),"",IF(ISNUMBER(Sync!$AE770),INT(MOD(Sync!$AE770,10000)/100),IFERROR(VALUE(TRIM(LEFT(MID(Sync!$AE770,FIND("/",Sync!$AE770)+1,20),FIND("/",MID(Sync!$AE770,FIND("/",Sync!$AE770)+1,20))-1))),"")))</f>
        <v/>
      </c>
      <c r="I770">
        <f>IF(OR($F770="",$G770=""),"",IF(ISNUMBER(Sync!$AE770),MOD(Sync!$AE770,100),IFERROR(VALUE(TRIM(MID(MID(Sync!$AE770,FIND("/",Sync!$AE770)+1,20),FIND("/",MID(Sync!$AE770,FIND("/",Sync!$AE770)+1,20))+1,20))),"")))</f>
        <v/>
      </c>
      <c r="J770">
        <f>IF($F770="","",IF(OR($G770="",$H770="",$I770="",$G770&lt;1300,$G770&gt;1500,$H770&lt;1,$H770&gt;12,$I770&lt;1,$I770&gt;31),"نامعتبر",RIGHT("0000"&amp;$G770,4)&amp;"/"&amp;RIGHT("00"&amp;$H770,2)&amp;"/"&amp;RIGHT("00"&amp;$I770,2)))</f>
        <v/>
      </c>
      <c r="K770">
        <f>IF(OR($F770="",$J770="",$J770="نامعتبر"),"",LEFT($J770,4)&amp;MID($J770,6,2)&amp;RIGHT($J770,2)&amp;$N770&amp;"|"&amp;"2"&amp;RIGHT("00000"&amp;765,5))</f>
        <v/>
      </c>
      <c r="L770">
        <f>IF($K770="","",COUNTIFS(LdgSellerA,$F770,LdgKeyA,"&lt;"&amp;$K770)+COUNTIFS(LdgSellerB,$F770,LdgKeyB,"&lt;"&amp;$K770)+1)</f>
        <v/>
      </c>
      <c r="M770">
        <f>IF($L770="","",$F770&amp;"|"&amp;RIGHT("000000"&amp;$L770,6))</f>
        <v/>
      </c>
      <c r="N770">
        <f>IF($F770="","",IF(Sync!$AF770="","0000",IF(AND(ISNUMBER(Sync!$AF770),Sync!$AF770&gt;=0,Sync!$AF770&lt;1),RIGHT("00"&amp;HOUR(Sync!$AF770),2)&amp;RIGHT("00"&amp;MINUTE(Sync!$AF770),2),IFERROR(RIGHT("00"&amp;VALUE(LEFT(Sync!$AF770,FIND(":",Sync!$AF770)-1)),2)&amp;RIGHT("00"&amp;VALUE(MID(Sync!$AF770,FIND(":",Sync!$AF770)+1,2)),2),"0000"))))</f>
        <v/>
      </c>
    </row>
    <row r="771">
      <c r="A771">
        <f>IF(OR(Calc!$E775="",Calc!$E775="نامعتبر",Calc!$G775=""),"",Calc!$G775)</f>
        <v/>
      </c>
      <c r="B771">
        <f>IF($A771="","",LEFT(Calc!$E775,4)&amp;MID(Calc!$E775,6,2)&amp;RIGHT(Calc!$E775,2)&amp;Calc!$Q775&amp;"|"&amp;"1"&amp;RIGHT("00000"&amp;766,5))</f>
        <v/>
      </c>
      <c r="C771">
        <f>IF($B771="","",COUNTIFS(LdgSellerA,$A771,LdgKeyA,"&lt;"&amp;$B771)+COUNTIFS(LdgSellerB,$A771,LdgKeyB,"&lt;"&amp;$B771)+1)</f>
        <v/>
      </c>
      <c r="D771">
        <f>IF($C771="","",$A771&amp;"|"&amp;RIGHT("000000"&amp;$C771,6))</f>
        <v/>
      </c>
      <c r="F771">
        <f>IF(Sync!$AH771="","",IF(LEFT(UPPER(TRIM(Sync!$AH771)),2)="SL",UPPER(TRIM(Sync!$AH771)),""))</f>
        <v/>
      </c>
      <c r="G771">
        <f>IF($F771="","",IF(Sync!$AE771="","",IF(ISNUMBER(Sync!$AE771),IF(AND(Sync!$AE771&gt;=10000101,Sync!$AE771&lt;=99991231),INT(Sync!$AE771/10000),""),IFERROR(VALUE(TRIM(LEFT(Sync!$AE771,FIND("/",Sync!$AE771)-1))),""))))</f>
        <v/>
      </c>
      <c r="H771">
        <f>IF(OR($F771="",$G771=""),"",IF(ISNUMBER(Sync!$AE771),INT(MOD(Sync!$AE771,10000)/100),IFERROR(VALUE(TRIM(LEFT(MID(Sync!$AE771,FIND("/",Sync!$AE771)+1,20),FIND("/",MID(Sync!$AE771,FIND("/",Sync!$AE771)+1,20))-1))),"")))</f>
        <v/>
      </c>
      <c r="I771">
        <f>IF(OR($F771="",$G771=""),"",IF(ISNUMBER(Sync!$AE771),MOD(Sync!$AE771,100),IFERROR(VALUE(TRIM(MID(MID(Sync!$AE771,FIND("/",Sync!$AE771)+1,20),FIND("/",MID(Sync!$AE771,FIND("/",Sync!$AE771)+1,20))+1,20))),"")))</f>
        <v/>
      </c>
      <c r="J771">
        <f>IF($F771="","",IF(OR($G771="",$H771="",$I771="",$G771&lt;1300,$G771&gt;1500,$H771&lt;1,$H771&gt;12,$I771&lt;1,$I771&gt;31),"نامعتبر",RIGHT("0000"&amp;$G771,4)&amp;"/"&amp;RIGHT("00"&amp;$H771,2)&amp;"/"&amp;RIGHT("00"&amp;$I771,2)))</f>
        <v/>
      </c>
      <c r="K771">
        <f>IF(OR($F771="",$J771="",$J771="نامعتبر"),"",LEFT($J771,4)&amp;MID($J771,6,2)&amp;RIGHT($J771,2)&amp;$N771&amp;"|"&amp;"2"&amp;RIGHT("00000"&amp;766,5))</f>
        <v/>
      </c>
      <c r="L771">
        <f>IF($K771="","",COUNTIFS(LdgSellerA,$F771,LdgKeyA,"&lt;"&amp;$K771)+COUNTIFS(LdgSellerB,$F771,LdgKeyB,"&lt;"&amp;$K771)+1)</f>
        <v/>
      </c>
      <c r="M771">
        <f>IF($L771="","",$F771&amp;"|"&amp;RIGHT("000000"&amp;$L771,6))</f>
        <v/>
      </c>
      <c r="N771">
        <f>IF($F771="","",IF(Sync!$AF771="","0000",IF(AND(ISNUMBER(Sync!$AF771),Sync!$AF771&gt;=0,Sync!$AF771&lt;1),RIGHT("00"&amp;HOUR(Sync!$AF771),2)&amp;RIGHT("00"&amp;MINUTE(Sync!$AF771),2),IFERROR(RIGHT("00"&amp;VALUE(LEFT(Sync!$AF771,FIND(":",Sync!$AF771)-1)),2)&amp;RIGHT("00"&amp;VALUE(MID(Sync!$AF771,FIND(":",Sync!$AF771)+1,2)),2),"0000"))))</f>
        <v/>
      </c>
    </row>
    <row r="772">
      <c r="A772">
        <f>IF(OR(Calc!$E776="",Calc!$E776="نامعتبر",Calc!$G776=""),"",Calc!$G776)</f>
        <v/>
      </c>
      <c r="B772">
        <f>IF($A772="","",LEFT(Calc!$E776,4)&amp;MID(Calc!$E776,6,2)&amp;RIGHT(Calc!$E776,2)&amp;Calc!$Q776&amp;"|"&amp;"1"&amp;RIGHT("00000"&amp;767,5))</f>
        <v/>
      </c>
      <c r="C772">
        <f>IF($B772="","",COUNTIFS(LdgSellerA,$A772,LdgKeyA,"&lt;"&amp;$B772)+COUNTIFS(LdgSellerB,$A772,LdgKeyB,"&lt;"&amp;$B772)+1)</f>
        <v/>
      </c>
      <c r="D772">
        <f>IF($C772="","",$A772&amp;"|"&amp;RIGHT("000000"&amp;$C772,6))</f>
        <v/>
      </c>
      <c r="F772">
        <f>IF(Sync!$AH772="","",IF(LEFT(UPPER(TRIM(Sync!$AH772)),2)="SL",UPPER(TRIM(Sync!$AH772)),""))</f>
        <v/>
      </c>
      <c r="G772">
        <f>IF($F772="","",IF(Sync!$AE772="","",IF(ISNUMBER(Sync!$AE772),IF(AND(Sync!$AE772&gt;=10000101,Sync!$AE772&lt;=99991231),INT(Sync!$AE772/10000),""),IFERROR(VALUE(TRIM(LEFT(Sync!$AE772,FIND("/",Sync!$AE772)-1))),""))))</f>
        <v/>
      </c>
      <c r="H772">
        <f>IF(OR($F772="",$G772=""),"",IF(ISNUMBER(Sync!$AE772),INT(MOD(Sync!$AE772,10000)/100),IFERROR(VALUE(TRIM(LEFT(MID(Sync!$AE772,FIND("/",Sync!$AE772)+1,20),FIND("/",MID(Sync!$AE772,FIND("/",Sync!$AE772)+1,20))-1))),"")))</f>
        <v/>
      </c>
      <c r="I772">
        <f>IF(OR($F772="",$G772=""),"",IF(ISNUMBER(Sync!$AE772),MOD(Sync!$AE772,100),IFERROR(VALUE(TRIM(MID(MID(Sync!$AE772,FIND("/",Sync!$AE772)+1,20),FIND("/",MID(Sync!$AE772,FIND("/",Sync!$AE772)+1,20))+1,20))),"")))</f>
        <v/>
      </c>
      <c r="J772">
        <f>IF($F772="","",IF(OR($G772="",$H772="",$I772="",$G772&lt;1300,$G772&gt;1500,$H772&lt;1,$H772&gt;12,$I772&lt;1,$I772&gt;31),"نامعتبر",RIGHT("0000"&amp;$G772,4)&amp;"/"&amp;RIGHT("00"&amp;$H772,2)&amp;"/"&amp;RIGHT("00"&amp;$I772,2)))</f>
        <v/>
      </c>
      <c r="K772">
        <f>IF(OR($F772="",$J772="",$J772="نامعتبر"),"",LEFT($J772,4)&amp;MID($J772,6,2)&amp;RIGHT($J772,2)&amp;$N772&amp;"|"&amp;"2"&amp;RIGHT("00000"&amp;767,5))</f>
        <v/>
      </c>
      <c r="L772">
        <f>IF($K772="","",COUNTIFS(LdgSellerA,$F772,LdgKeyA,"&lt;"&amp;$K772)+COUNTIFS(LdgSellerB,$F772,LdgKeyB,"&lt;"&amp;$K772)+1)</f>
        <v/>
      </c>
      <c r="M772">
        <f>IF($L772="","",$F772&amp;"|"&amp;RIGHT("000000"&amp;$L772,6))</f>
        <v/>
      </c>
      <c r="N772">
        <f>IF($F772="","",IF(Sync!$AF772="","0000",IF(AND(ISNUMBER(Sync!$AF772),Sync!$AF772&gt;=0,Sync!$AF772&lt;1),RIGHT("00"&amp;HOUR(Sync!$AF772),2)&amp;RIGHT("00"&amp;MINUTE(Sync!$AF772),2),IFERROR(RIGHT("00"&amp;VALUE(LEFT(Sync!$AF772,FIND(":",Sync!$AF772)-1)),2)&amp;RIGHT("00"&amp;VALUE(MID(Sync!$AF772,FIND(":",Sync!$AF772)+1,2)),2),"0000"))))</f>
        <v/>
      </c>
    </row>
    <row r="773">
      <c r="A773">
        <f>IF(OR(Calc!$E777="",Calc!$E777="نامعتبر",Calc!$G777=""),"",Calc!$G777)</f>
        <v/>
      </c>
      <c r="B773">
        <f>IF($A773="","",LEFT(Calc!$E777,4)&amp;MID(Calc!$E777,6,2)&amp;RIGHT(Calc!$E777,2)&amp;Calc!$Q777&amp;"|"&amp;"1"&amp;RIGHT("00000"&amp;768,5))</f>
        <v/>
      </c>
      <c r="C773">
        <f>IF($B773="","",COUNTIFS(LdgSellerA,$A773,LdgKeyA,"&lt;"&amp;$B773)+COUNTIFS(LdgSellerB,$A773,LdgKeyB,"&lt;"&amp;$B773)+1)</f>
        <v/>
      </c>
      <c r="D773">
        <f>IF($C773="","",$A773&amp;"|"&amp;RIGHT("000000"&amp;$C773,6))</f>
        <v/>
      </c>
      <c r="F773">
        <f>IF(Sync!$AH773="","",IF(LEFT(UPPER(TRIM(Sync!$AH773)),2)="SL",UPPER(TRIM(Sync!$AH773)),""))</f>
        <v/>
      </c>
      <c r="G773">
        <f>IF($F773="","",IF(Sync!$AE773="","",IF(ISNUMBER(Sync!$AE773),IF(AND(Sync!$AE773&gt;=10000101,Sync!$AE773&lt;=99991231),INT(Sync!$AE773/10000),""),IFERROR(VALUE(TRIM(LEFT(Sync!$AE773,FIND("/",Sync!$AE773)-1))),""))))</f>
        <v/>
      </c>
      <c r="H773">
        <f>IF(OR($F773="",$G773=""),"",IF(ISNUMBER(Sync!$AE773),INT(MOD(Sync!$AE773,10000)/100),IFERROR(VALUE(TRIM(LEFT(MID(Sync!$AE773,FIND("/",Sync!$AE773)+1,20),FIND("/",MID(Sync!$AE773,FIND("/",Sync!$AE773)+1,20))-1))),"")))</f>
        <v/>
      </c>
      <c r="I773">
        <f>IF(OR($F773="",$G773=""),"",IF(ISNUMBER(Sync!$AE773),MOD(Sync!$AE773,100),IFERROR(VALUE(TRIM(MID(MID(Sync!$AE773,FIND("/",Sync!$AE773)+1,20),FIND("/",MID(Sync!$AE773,FIND("/",Sync!$AE773)+1,20))+1,20))),"")))</f>
        <v/>
      </c>
      <c r="J773">
        <f>IF($F773="","",IF(OR($G773="",$H773="",$I773="",$G773&lt;1300,$G773&gt;1500,$H773&lt;1,$H773&gt;12,$I773&lt;1,$I773&gt;31),"نامعتبر",RIGHT("0000"&amp;$G773,4)&amp;"/"&amp;RIGHT("00"&amp;$H773,2)&amp;"/"&amp;RIGHT("00"&amp;$I773,2)))</f>
        <v/>
      </c>
      <c r="K773">
        <f>IF(OR($F773="",$J773="",$J773="نامعتبر"),"",LEFT($J773,4)&amp;MID($J773,6,2)&amp;RIGHT($J773,2)&amp;$N773&amp;"|"&amp;"2"&amp;RIGHT("00000"&amp;768,5))</f>
        <v/>
      </c>
      <c r="L773">
        <f>IF($K773="","",COUNTIFS(LdgSellerA,$F773,LdgKeyA,"&lt;"&amp;$K773)+COUNTIFS(LdgSellerB,$F773,LdgKeyB,"&lt;"&amp;$K773)+1)</f>
        <v/>
      </c>
      <c r="M773">
        <f>IF($L773="","",$F773&amp;"|"&amp;RIGHT("000000"&amp;$L773,6))</f>
        <v/>
      </c>
      <c r="N773">
        <f>IF($F773="","",IF(Sync!$AF773="","0000",IF(AND(ISNUMBER(Sync!$AF773),Sync!$AF773&gt;=0,Sync!$AF773&lt;1),RIGHT("00"&amp;HOUR(Sync!$AF773),2)&amp;RIGHT("00"&amp;MINUTE(Sync!$AF773),2),IFERROR(RIGHT("00"&amp;VALUE(LEFT(Sync!$AF773,FIND(":",Sync!$AF773)-1)),2)&amp;RIGHT("00"&amp;VALUE(MID(Sync!$AF773,FIND(":",Sync!$AF773)+1,2)),2),"0000"))))</f>
        <v/>
      </c>
    </row>
    <row r="774">
      <c r="A774">
        <f>IF(OR(Calc!$E778="",Calc!$E778="نامعتبر",Calc!$G778=""),"",Calc!$G778)</f>
        <v/>
      </c>
      <c r="B774">
        <f>IF($A774="","",LEFT(Calc!$E778,4)&amp;MID(Calc!$E778,6,2)&amp;RIGHT(Calc!$E778,2)&amp;Calc!$Q778&amp;"|"&amp;"1"&amp;RIGHT("00000"&amp;769,5))</f>
        <v/>
      </c>
      <c r="C774">
        <f>IF($B774="","",COUNTIFS(LdgSellerA,$A774,LdgKeyA,"&lt;"&amp;$B774)+COUNTIFS(LdgSellerB,$A774,LdgKeyB,"&lt;"&amp;$B774)+1)</f>
        <v/>
      </c>
      <c r="D774">
        <f>IF($C774="","",$A774&amp;"|"&amp;RIGHT("000000"&amp;$C774,6))</f>
        <v/>
      </c>
      <c r="F774">
        <f>IF(Sync!$AH774="","",IF(LEFT(UPPER(TRIM(Sync!$AH774)),2)="SL",UPPER(TRIM(Sync!$AH774)),""))</f>
        <v/>
      </c>
      <c r="G774">
        <f>IF($F774="","",IF(Sync!$AE774="","",IF(ISNUMBER(Sync!$AE774),IF(AND(Sync!$AE774&gt;=10000101,Sync!$AE774&lt;=99991231),INT(Sync!$AE774/10000),""),IFERROR(VALUE(TRIM(LEFT(Sync!$AE774,FIND("/",Sync!$AE774)-1))),""))))</f>
        <v/>
      </c>
      <c r="H774">
        <f>IF(OR($F774="",$G774=""),"",IF(ISNUMBER(Sync!$AE774),INT(MOD(Sync!$AE774,10000)/100),IFERROR(VALUE(TRIM(LEFT(MID(Sync!$AE774,FIND("/",Sync!$AE774)+1,20),FIND("/",MID(Sync!$AE774,FIND("/",Sync!$AE774)+1,20))-1))),"")))</f>
        <v/>
      </c>
      <c r="I774">
        <f>IF(OR($F774="",$G774=""),"",IF(ISNUMBER(Sync!$AE774),MOD(Sync!$AE774,100),IFERROR(VALUE(TRIM(MID(MID(Sync!$AE774,FIND("/",Sync!$AE774)+1,20),FIND("/",MID(Sync!$AE774,FIND("/",Sync!$AE774)+1,20))+1,20))),"")))</f>
        <v/>
      </c>
      <c r="J774">
        <f>IF($F774="","",IF(OR($G774="",$H774="",$I774="",$G774&lt;1300,$G774&gt;1500,$H774&lt;1,$H774&gt;12,$I774&lt;1,$I774&gt;31),"نامعتبر",RIGHT("0000"&amp;$G774,4)&amp;"/"&amp;RIGHT("00"&amp;$H774,2)&amp;"/"&amp;RIGHT("00"&amp;$I774,2)))</f>
        <v/>
      </c>
      <c r="K774">
        <f>IF(OR($F774="",$J774="",$J774="نامعتبر"),"",LEFT($J774,4)&amp;MID($J774,6,2)&amp;RIGHT($J774,2)&amp;$N774&amp;"|"&amp;"2"&amp;RIGHT("00000"&amp;769,5))</f>
        <v/>
      </c>
      <c r="L774">
        <f>IF($K774="","",COUNTIFS(LdgSellerA,$F774,LdgKeyA,"&lt;"&amp;$K774)+COUNTIFS(LdgSellerB,$F774,LdgKeyB,"&lt;"&amp;$K774)+1)</f>
        <v/>
      </c>
      <c r="M774">
        <f>IF($L774="","",$F774&amp;"|"&amp;RIGHT("000000"&amp;$L774,6))</f>
        <v/>
      </c>
      <c r="N774">
        <f>IF($F774="","",IF(Sync!$AF774="","0000",IF(AND(ISNUMBER(Sync!$AF774),Sync!$AF774&gt;=0,Sync!$AF774&lt;1),RIGHT("00"&amp;HOUR(Sync!$AF774),2)&amp;RIGHT("00"&amp;MINUTE(Sync!$AF774),2),IFERROR(RIGHT("00"&amp;VALUE(LEFT(Sync!$AF774,FIND(":",Sync!$AF774)-1)),2)&amp;RIGHT("00"&amp;VALUE(MID(Sync!$AF774,FIND(":",Sync!$AF774)+1,2)),2),"0000"))))</f>
        <v/>
      </c>
    </row>
    <row r="775">
      <c r="A775">
        <f>IF(OR(Calc!$E779="",Calc!$E779="نامعتبر",Calc!$G779=""),"",Calc!$G779)</f>
        <v/>
      </c>
      <c r="B775">
        <f>IF($A775="","",LEFT(Calc!$E779,4)&amp;MID(Calc!$E779,6,2)&amp;RIGHT(Calc!$E779,2)&amp;Calc!$Q779&amp;"|"&amp;"1"&amp;RIGHT("00000"&amp;770,5))</f>
        <v/>
      </c>
      <c r="C775">
        <f>IF($B775="","",COUNTIFS(LdgSellerA,$A775,LdgKeyA,"&lt;"&amp;$B775)+COUNTIFS(LdgSellerB,$A775,LdgKeyB,"&lt;"&amp;$B775)+1)</f>
        <v/>
      </c>
      <c r="D775">
        <f>IF($C775="","",$A775&amp;"|"&amp;RIGHT("000000"&amp;$C775,6))</f>
        <v/>
      </c>
      <c r="F775">
        <f>IF(Sync!$AH775="","",IF(LEFT(UPPER(TRIM(Sync!$AH775)),2)="SL",UPPER(TRIM(Sync!$AH775)),""))</f>
        <v/>
      </c>
      <c r="G775">
        <f>IF($F775="","",IF(Sync!$AE775="","",IF(ISNUMBER(Sync!$AE775),IF(AND(Sync!$AE775&gt;=10000101,Sync!$AE775&lt;=99991231),INT(Sync!$AE775/10000),""),IFERROR(VALUE(TRIM(LEFT(Sync!$AE775,FIND("/",Sync!$AE775)-1))),""))))</f>
        <v/>
      </c>
      <c r="H775">
        <f>IF(OR($F775="",$G775=""),"",IF(ISNUMBER(Sync!$AE775),INT(MOD(Sync!$AE775,10000)/100),IFERROR(VALUE(TRIM(LEFT(MID(Sync!$AE775,FIND("/",Sync!$AE775)+1,20),FIND("/",MID(Sync!$AE775,FIND("/",Sync!$AE775)+1,20))-1))),"")))</f>
        <v/>
      </c>
      <c r="I775">
        <f>IF(OR($F775="",$G775=""),"",IF(ISNUMBER(Sync!$AE775),MOD(Sync!$AE775,100),IFERROR(VALUE(TRIM(MID(MID(Sync!$AE775,FIND("/",Sync!$AE775)+1,20),FIND("/",MID(Sync!$AE775,FIND("/",Sync!$AE775)+1,20))+1,20))),"")))</f>
        <v/>
      </c>
      <c r="J775">
        <f>IF($F775="","",IF(OR($G775="",$H775="",$I775="",$G775&lt;1300,$G775&gt;1500,$H775&lt;1,$H775&gt;12,$I775&lt;1,$I775&gt;31),"نامعتبر",RIGHT("0000"&amp;$G775,4)&amp;"/"&amp;RIGHT("00"&amp;$H775,2)&amp;"/"&amp;RIGHT("00"&amp;$I775,2)))</f>
        <v/>
      </c>
      <c r="K775">
        <f>IF(OR($F775="",$J775="",$J775="نامعتبر"),"",LEFT($J775,4)&amp;MID($J775,6,2)&amp;RIGHT($J775,2)&amp;$N775&amp;"|"&amp;"2"&amp;RIGHT("00000"&amp;770,5))</f>
        <v/>
      </c>
      <c r="L775">
        <f>IF($K775="","",COUNTIFS(LdgSellerA,$F775,LdgKeyA,"&lt;"&amp;$K775)+COUNTIFS(LdgSellerB,$F775,LdgKeyB,"&lt;"&amp;$K775)+1)</f>
        <v/>
      </c>
      <c r="M775">
        <f>IF($L775="","",$F775&amp;"|"&amp;RIGHT("000000"&amp;$L775,6))</f>
        <v/>
      </c>
      <c r="N775">
        <f>IF($F775="","",IF(Sync!$AF775="","0000",IF(AND(ISNUMBER(Sync!$AF775),Sync!$AF775&gt;=0,Sync!$AF775&lt;1),RIGHT("00"&amp;HOUR(Sync!$AF775),2)&amp;RIGHT("00"&amp;MINUTE(Sync!$AF775),2),IFERROR(RIGHT("00"&amp;VALUE(LEFT(Sync!$AF775,FIND(":",Sync!$AF775)-1)),2)&amp;RIGHT("00"&amp;VALUE(MID(Sync!$AF775,FIND(":",Sync!$AF775)+1,2)),2),"0000"))))</f>
        <v/>
      </c>
    </row>
    <row r="776">
      <c r="A776">
        <f>IF(OR(Calc!$E780="",Calc!$E780="نامعتبر",Calc!$G780=""),"",Calc!$G780)</f>
        <v/>
      </c>
      <c r="B776">
        <f>IF($A776="","",LEFT(Calc!$E780,4)&amp;MID(Calc!$E780,6,2)&amp;RIGHT(Calc!$E780,2)&amp;Calc!$Q780&amp;"|"&amp;"1"&amp;RIGHT("00000"&amp;771,5))</f>
        <v/>
      </c>
      <c r="C776">
        <f>IF($B776="","",COUNTIFS(LdgSellerA,$A776,LdgKeyA,"&lt;"&amp;$B776)+COUNTIFS(LdgSellerB,$A776,LdgKeyB,"&lt;"&amp;$B776)+1)</f>
        <v/>
      </c>
      <c r="D776">
        <f>IF($C776="","",$A776&amp;"|"&amp;RIGHT("000000"&amp;$C776,6))</f>
        <v/>
      </c>
      <c r="F776">
        <f>IF(Sync!$AH776="","",IF(LEFT(UPPER(TRIM(Sync!$AH776)),2)="SL",UPPER(TRIM(Sync!$AH776)),""))</f>
        <v/>
      </c>
      <c r="G776">
        <f>IF($F776="","",IF(Sync!$AE776="","",IF(ISNUMBER(Sync!$AE776),IF(AND(Sync!$AE776&gt;=10000101,Sync!$AE776&lt;=99991231),INT(Sync!$AE776/10000),""),IFERROR(VALUE(TRIM(LEFT(Sync!$AE776,FIND("/",Sync!$AE776)-1))),""))))</f>
        <v/>
      </c>
      <c r="H776">
        <f>IF(OR($F776="",$G776=""),"",IF(ISNUMBER(Sync!$AE776),INT(MOD(Sync!$AE776,10000)/100),IFERROR(VALUE(TRIM(LEFT(MID(Sync!$AE776,FIND("/",Sync!$AE776)+1,20),FIND("/",MID(Sync!$AE776,FIND("/",Sync!$AE776)+1,20))-1))),"")))</f>
        <v/>
      </c>
      <c r="I776">
        <f>IF(OR($F776="",$G776=""),"",IF(ISNUMBER(Sync!$AE776),MOD(Sync!$AE776,100),IFERROR(VALUE(TRIM(MID(MID(Sync!$AE776,FIND("/",Sync!$AE776)+1,20),FIND("/",MID(Sync!$AE776,FIND("/",Sync!$AE776)+1,20))+1,20))),"")))</f>
        <v/>
      </c>
      <c r="J776">
        <f>IF($F776="","",IF(OR($G776="",$H776="",$I776="",$G776&lt;1300,$G776&gt;1500,$H776&lt;1,$H776&gt;12,$I776&lt;1,$I776&gt;31),"نامعتبر",RIGHT("0000"&amp;$G776,4)&amp;"/"&amp;RIGHT("00"&amp;$H776,2)&amp;"/"&amp;RIGHT("00"&amp;$I776,2)))</f>
        <v/>
      </c>
      <c r="K776">
        <f>IF(OR($F776="",$J776="",$J776="نامعتبر"),"",LEFT($J776,4)&amp;MID($J776,6,2)&amp;RIGHT($J776,2)&amp;$N776&amp;"|"&amp;"2"&amp;RIGHT("00000"&amp;771,5))</f>
        <v/>
      </c>
      <c r="L776">
        <f>IF($K776="","",COUNTIFS(LdgSellerA,$F776,LdgKeyA,"&lt;"&amp;$K776)+COUNTIFS(LdgSellerB,$F776,LdgKeyB,"&lt;"&amp;$K776)+1)</f>
        <v/>
      </c>
      <c r="M776">
        <f>IF($L776="","",$F776&amp;"|"&amp;RIGHT("000000"&amp;$L776,6))</f>
        <v/>
      </c>
      <c r="N776">
        <f>IF($F776="","",IF(Sync!$AF776="","0000",IF(AND(ISNUMBER(Sync!$AF776),Sync!$AF776&gt;=0,Sync!$AF776&lt;1),RIGHT("00"&amp;HOUR(Sync!$AF776),2)&amp;RIGHT("00"&amp;MINUTE(Sync!$AF776),2),IFERROR(RIGHT("00"&amp;VALUE(LEFT(Sync!$AF776,FIND(":",Sync!$AF776)-1)),2)&amp;RIGHT("00"&amp;VALUE(MID(Sync!$AF776,FIND(":",Sync!$AF776)+1,2)),2),"0000"))))</f>
        <v/>
      </c>
    </row>
    <row r="777">
      <c r="A777">
        <f>IF(OR(Calc!$E781="",Calc!$E781="نامعتبر",Calc!$G781=""),"",Calc!$G781)</f>
        <v/>
      </c>
      <c r="B777">
        <f>IF($A777="","",LEFT(Calc!$E781,4)&amp;MID(Calc!$E781,6,2)&amp;RIGHT(Calc!$E781,2)&amp;Calc!$Q781&amp;"|"&amp;"1"&amp;RIGHT("00000"&amp;772,5))</f>
        <v/>
      </c>
      <c r="C777">
        <f>IF($B777="","",COUNTIFS(LdgSellerA,$A777,LdgKeyA,"&lt;"&amp;$B777)+COUNTIFS(LdgSellerB,$A777,LdgKeyB,"&lt;"&amp;$B777)+1)</f>
        <v/>
      </c>
      <c r="D777">
        <f>IF($C777="","",$A777&amp;"|"&amp;RIGHT("000000"&amp;$C777,6))</f>
        <v/>
      </c>
      <c r="F777">
        <f>IF(Sync!$AH777="","",IF(LEFT(UPPER(TRIM(Sync!$AH777)),2)="SL",UPPER(TRIM(Sync!$AH777)),""))</f>
        <v/>
      </c>
      <c r="G777">
        <f>IF($F777="","",IF(Sync!$AE777="","",IF(ISNUMBER(Sync!$AE777),IF(AND(Sync!$AE777&gt;=10000101,Sync!$AE777&lt;=99991231),INT(Sync!$AE777/10000),""),IFERROR(VALUE(TRIM(LEFT(Sync!$AE777,FIND("/",Sync!$AE777)-1))),""))))</f>
        <v/>
      </c>
      <c r="H777">
        <f>IF(OR($F777="",$G777=""),"",IF(ISNUMBER(Sync!$AE777),INT(MOD(Sync!$AE777,10000)/100),IFERROR(VALUE(TRIM(LEFT(MID(Sync!$AE777,FIND("/",Sync!$AE777)+1,20),FIND("/",MID(Sync!$AE777,FIND("/",Sync!$AE777)+1,20))-1))),"")))</f>
        <v/>
      </c>
      <c r="I777">
        <f>IF(OR($F777="",$G777=""),"",IF(ISNUMBER(Sync!$AE777),MOD(Sync!$AE777,100),IFERROR(VALUE(TRIM(MID(MID(Sync!$AE777,FIND("/",Sync!$AE777)+1,20),FIND("/",MID(Sync!$AE777,FIND("/",Sync!$AE777)+1,20))+1,20))),"")))</f>
        <v/>
      </c>
      <c r="J777">
        <f>IF($F777="","",IF(OR($G777="",$H777="",$I777="",$G777&lt;1300,$G777&gt;1500,$H777&lt;1,$H777&gt;12,$I777&lt;1,$I777&gt;31),"نامعتبر",RIGHT("0000"&amp;$G777,4)&amp;"/"&amp;RIGHT("00"&amp;$H777,2)&amp;"/"&amp;RIGHT("00"&amp;$I777,2)))</f>
        <v/>
      </c>
      <c r="K777">
        <f>IF(OR($F777="",$J777="",$J777="نامعتبر"),"",LEFT($J777,4)&amp;MID($J777,6,2)&amp;RIGHT($J777,2)&amp;$N777&amp;"|"&amp;"2"&amp;RIGHT("00000"&amp;772,5))</f>
        <v/>
      </c>
      <c r="L777">
        <f>IF($K777="","",COUNTIFS(LdgSellerA,$F777,LdgKeyA,"&lt;"&amp;$K777)+COUNTIFS(LdgSellerB,$F777,LdgKeyB,"&lt;"&amp;$K777)+1)</f>
        <v/>
      </c>
      <c r="M777">
        <f>IF($L777="","",$F777&amp;"|"&amp;RIGHT("000000"&amp;$L777,6))</f>
        <v/>
      </c>
      <c r="N777">
        <f>IF($F777="","",IF(Sync!$AF777="","0000",IF(AND(ISNUMBER(Sync!$AF777),Sync!$AF777&gt;=0,Sync!$AF777&lt;1),RIGHT("00"&amp;HOUR(Sync!$AF777),2)&amp;RIGHT("00"&amp;MINUTE(Sync!$AF777),2),IFERROR(RIGHT("00"&amp;VALUE(LEFT(Sync!$AF777,FIND(":",Sync!$AF777)-1)),2)&amp;RIGHT("00"&amp;VALUE(MID(Sync!$AF777,FIND(":",Sync!$AF777)+1,2)),2),"0000"))))</f>
        <v/>
      </c>
    </row>
    <row r="778">
      <c r="A778">
        <f>IF(OR(Calc!$E782="",Calc!$E782="نامعتبر",Calc!$G782=""),"",Calc!$G782)</f>
        <v/>
      </c>
      <c r="B778">
        <f>IF($A778="","",LEFT(Calc!$E782,4)&amp;MID(Calc!$E782,6,2)&amp;RIGHT(Calc!$E782,2)&amp;Calc!$Q782&amp;"|"&amp;"1"&amp;RIGHT("00000"&amp;773,5))</f>
        <v/>
      </c>
      <c r="C778">
        <f>IF($B778="","",COUNTIFS(LdgSellerA,$A778,LdgKeyA,"&lt;"&amp;$B778)+COUNTIFS(LdgSellerB,$A778,LdgKeyB,"&lt;"&amp;$B778)+1)</f>
        <v/>
      </c>
      <c r="D778">
        <f>IF($C778="","",$A778&amp;"|"&amp;RIGHT("000000"&amp;$C778,6))</f>
        <v/>
      </c>
      <c r="F778">
        <f>IF(Sync!$AH778="","",IF(LEFT(UPPER(TRIM(Sync!$AH778)),2)="SL",UPPER(TRIM(Sync!$AH778)),""))</f>
        <v/>
      </c>
      <c r="G778">
        <f>IF($F778="","",IF(Sync!$AE778="","",IF(ISNUMBER(Sync!$AE778),IF(AND(Sync!$AE778&gt;=10000101,Sync!$AE778&lt;=99991231),INT(Sync!$AE778/10000),""),IFERROR(VALUE(TRIM(LEFT(Sync!$AE778,FIND("/",Sync!$AE778)-1))),""))))</f>
        <v/>
      </c>
      <c r="H778">
        <f>IF(OR($F778="",$G778=""),"",IF(ISNUMBER(Sync!$AE778),INT(MOD(Sync!$AE778,10000)/100),IFERROR(VALUE(TRIM(LEFT(MID(Sync!$AE778,FIND("/",Sync!$AE778)+1,20),FIND("/",MID(Sync!$AE778,FIND("/",Sync!$AE778)+1,20))-1))),"")))</f>
        <v/>
      </c>
      <c r="I778">
        <f>IF(OR($F778="",$G778=""),"",IF(ISNUMBER(Sync!$AE778),MOD(Sync!$AE778,100),IFERROR(VALUE(TRIM(MID(MID(Sync!$AE778,FIND("/",Sync!$AE778)+1,20),FIND("/",MID(Sync!$AE778,FIND("/",Sync!$AE778)+1,20))+1,20))),"")))</f>
        <v/>
      </c>
      <c r="J778">
        <f>IF($F778="","",IF(OR($G778="",$H778="",$I778="",$G778&lt;1300,$G778&gt;1500,$H778&lt;1,$H778&gt;12,$I778&lt;1,$I778&gt;31),"نامعتبر",RIGHT("0000"&amp;$G778,4)&amp;"/"&amp;RIGHT("00"&amp;$H778,2)&amp;"/"&amp;RIGHT("00"&amp;$I778,2)))</f>
        <v/>
      </c>
      <c r="K778">
        <f>IF(OR($F778="",$J778="",$J778="نامعتبر"),"",LEFT($J778,4)&amp;MID($J778,6,2)&amp;RIGHT($J778,2)&amp;$N778&amp;"|"&amp;"2"&amp;RIGHT("00000"&amp;773,5))</f>
        <v/>
      </c>
      <c r="L778">
        <f>IF($K778="","",COUNTIFS(LdgSellerA,$F778,LdgKeyA,"&lt;"&amp;$K778)+COUNTIFS(LdgSellerB,$F778,LdgKeyB,"&lt;"&amp;$K778)+1)</f>
        <v/>
      </c>
      <c r="M778">
        <f>IF($L778="","",$F778&amp;"|"&amp;RIGHT("000000"&amp;$L778,6))</f>
        <v/>
      </c>
      <c r="N778">
        <f>IF($F778="","",IF(Sync!$AF778="","0000",IF(AND(ISNUMBER(Sync!$AF778),Sync!$AF778&gt;=0,Sync!$AF778&lt;1),RIGHT("00"&amp;HOUR(Sync!$AF778),2)&amp;RIGHT("00"&amp;MINUTE(Sync!$AF778),2),IFERROR(RIGHT("00"&amp;VALUE(LEFT(Sync!$AF778,FIND(":",Sync!$AF778)-1)),2)&amp;RIGHT("00"&amp;VALUE(MID(Sync!$AF778,FIND(":",Sync!$AF778)+1,2)),2),"0000"))))</f>
        <v/>
      </c>
    </row>
    <row r="779">
      <c r="A779">
        <f>IF(OR(Calc!$E783="",Calc!$E783="نامعتبر",Calc!$G783=""),"",Calc!$G783)</f>
        <v/>
      </c>
      <c r="B779">
        <f>IF($A779="","",LEFT(Calc!$E783,4)&amp;MID(Calc!$E783,6,2)&amp;RIGHT(Calc!$E783,2)&amp;Calc!$Q783&amp;"|"&amp;"1"&amp;RIGHT("00000"&amp;774,5))</f>
        <v/>
      </c>
      <c r="C779">
        <f>IF($B779="","",COUNTIFS(LdgSellerA,$A779,LdgKeyA,"&lt;"&amp;$B779)+COUNTIFS(LdgSellerB,$A779,LdgKeyB,"&lt;"&amp;$B779)+1)</f>
        <v/>
      </c>
      <c r="D779">
        <f>IF($C779="","",$A779&amp;"|"&amp;RIGHT("000000"&amp;$C779,6))</f>
        <v/>
      </c>
      <c r="F779">
        <f>IF(Sync!$AH779="","",IF(LEFT(UPPER(TRIM(Sync!$AH779)),2)="SL",UPPER(TRIM(Sync!$AH779)),""))</f>
        <v/>
      </c>
      <c r="G779">
        <f>IF($F779="","",IF(Sync!$AE779="","",IF(ISNUMBER(Sync!$AE779),IF(AND(Sync!$AE779&gt;=10000101,Sync!$AE779&lt;=99991231),INT(Sync!$AE779/10000),""),IFERROR(VALUE(TRIM(LEFT(Sync!$AE779,FIND("/",Sync!$AE779)-1))),""))))</f>
        <v/>
      </c>
      <c r="H779">
        <f>IF(OR($F779="",$G779=""),"",IF(ISNUMBER(Sync!$AE779),INT(MOD(Sync!$AE779,10000)/100),IFERROR(VALUE(TRIM(LEFT(MID(Sync!$AE779,FIND("/",Sync!$AE779)+1,20),FIND("/",MID(Sync!$AE779,FIND("/",Sync!$AE779)+1,20))-1))),"")))</f>
        <v/>
      </c>
      <c r="I779">
        <f>IF(OR($F779="",$G779=""),"",IF(ISNUMBER(Sync!$AE779),MOD(Sync!$AE779,100),IFERROR(VALUE(TRIM(MID(MID(Sync!$AE779,FIND("/",Sync!$AE779)+1,20),FIND("/",MID(Sync!$AE779,FIND("/",Sync!$AE779)+1,20))+1,20))),"")))</f>
        <v/>
      </c>
      <c r="J779">
        <f>IF($F779="","",IF(OR($G779="",$H779="",$I779="",$G779&lt;1300,$G779&gt;1500,$H779&lt;1,$H779&gt;12,$I779&lt;1,$I779&gt;31),"نامعتبر",RIGHT("0000"&amp;$G779,4)&amp;"/"&amp;RIGHT("00"&amp;$H779,2)&amp;"/"&amp;RIGHT("00"&amp;$I779,2)))</f>
        <v/>
      </c>
      <c r="K779">
        <f>IF(OR($F779="",$J779="",$J779="نامعتبر"),"",LEFT($J779,4)&amp;MID($J779,6,2)&amp;RIGHT($J779,2)&amp;$N779&amp;"|"&amp;"2"&amp;RIGHT("00000"&amp;774,5))</f>
        <v/>
      </c>
      <c r="L779">
        <f>IF($K779="","",COUNTIFS(LdgSellerA,$F779,LdgKeyA,"&lt;"&amp;$K779)+COUNTIFS(LdgSellerB,$F779,LdgKeyB,"&lt;"&amp;$K779)+1)</f>
        <v/>
      </c>
      <c r="M779">
        <f>IF($L779="","",$F779&amp;"|"&amp;RIGHT("000000"&amp;$L779,6))</f>
        <v/>
      </c>
      <c r="N779">
        <f>IF($F779="","",IF(Sync!$AF779="","0000",IF(AND(ISNUMBER(Sync!$AF779),Sync!$AF779&gt;=0,Sync!$AF779&lt;1),RIGHT("00"&amp;HOUR(Sync!$AF779),2)&amp;RIGHT("00"&amp;MINUTE(Sync!$AF779),2),IFERROR(RIGHT("00"&amp;VALUE(LEFT(Sync!$AF779,FIND(":",Sync!$AF779)-1)),2)&amp;RIGHT("00"&amp;VALUE(MID(Sync!$AF779,FIND(":",Sync!$AF779)+1,2)),2),"0000"))))</f>
        <v/>
      </c>
    </row>
    <row r="780">
      <c r="A780">
        <f>IF(OR(Calc!$E784="",Calc!$E784="نامعتبر",Calc!$G784=""),"",Calc!$G784)</f>
        <v/>
      </c>
      <c r="B780">
        <f>IF($A780="","",LEFT(Calc!$E784,4)&amp;MID(Calc!$E784,6,2)&amp;RIGHT(Calc!$E784,2)&amp;Calc!$Q784&amp;"|"&amp;"1"&amp;RIGHT("00000"&amp;775,5))</f>
        <v/>
      </c>
      <c r="C780">
        <f>IF($B780="","",COUNTIFS(LdgSellerA,$A780,LdgKeyA,"&lt;"&amp;$B780)+COUNTIFS(LdgSellerB,$A780,LdgKeyB,"&lt;"&amp;$B780)+1)</f>
        <v/>
      </c>
      <c r="D780">
        <f>IF($C780="","",$A780&amp;"|"&amp;RIGHT("000000"&amp;$C780,6))</f>
        <v/>
      </c>
      <c r="F780">
        <f>IF(Sync!$AH780="","",IF(LEFT(UPPER(TRIM(Sync!$AH780)),2)="SL",UPPER(TRIM(Sync!$AH780)),""))</f>
        <v/>
      </c>
      <c r="G780">
        <f>IF($F780="","",IF(Sync!$AE780="","",IF(ISNUMBER(Sync!$AE780),IF(AND(Sync!$AE780&gt;=10000101,Sync!$AE780&lt;=99991231),INT(Sync!$AE780/10000),""),IFERROR(VALUE(TRIM(LEFT(Sync!$AE780,FIND("/",Sync!$AE780)-1))),""))))</f>
        <v/>
      </c>
      <c r="H780">
        <f>IF(OR($F780="",$G780=""),"",IF(ISNUMBER(Sync!$AE780),INT(MOD(Sync!$AE780,10000)/100),IFERROR(VALUE(TRIM(LEFT(MID(Sync!$AE780,FIND("/",Sync!$AE780)+1,20),FIND("/",MID(Sync!$AE780,FIND("/",Sync!$AE780)+1,20))-1))),"")))</f>
        <v/>
      </c>
      <c r="I780">
        <f>IF(OR($F780="",$G780=""),"",IF(ISNUMBER(Sync!$AE780),MOD(Sync!$AE780,100),IFERROR(VALUE(TRIM(MID(MID(Sync!$AE780,FIND("/",Sync!$AE780)+1,20),FIND("/",MID(Sync!$AE780,FIND("/",Sync!$AE780)+1,20))+1,20))),"")))</f>
        <v/>
      </c>
      <c r="J780">
        <f>IF($F780="","",IF(OR($G780="",$H780="",$I780="",$G780&lt;1300,$G780&gt;1500,$H780&lt;1,$H780&gt;12,$I780&lt;1,$I780&gt;31),"نامعتبر",RIGHT("0000"&amp;$G780,4)&amp;"/"&amp;RIGHT("00"&amp;$H780,2)&amp;"/"&amp;RIGHT("00"&amp;$I780,2)))</f>
        <v/>
      </c>
      <c r="K780">
        <f>IF(OR($F780="",$J780="",$J780="نامعتبر"),"",LEFT($J780,4)&amp;MID($J780,6,2)&amp;RIGHT($J780,2)&amp;$N780&amp;"|"&amp;"2"&amp;RIGHT("00000"&amp;775,5))</f>
        <v/>
      </c>
      <c r="L780">
        <f>IF($K780="","",COUNTIFS(LdgSellerA,$F780,LdgKeyA,"&lt;"&amp;$K780)+COUNTIFS(LdgSellerB,$F780,LdgKeyB,"&lt;"&amp;$K780)+1)</f>
        <v/>
      </c>
      <c r="M780">
        <f>IF($L780="","",$F780&amp;"|"&amp;RIGHT("000000"&amp;$L780,6))</f>
        <v/>
      </c>
      <c r="N780">
        <f>IF($F780="","",IF(Sync!$AF780="","0000",IF(AND(ISNUMBER(Sync!$AF780),Sync!$AF780&gt;=0,Sync!$AF780&lt;1),RIGHT("00"&amp;HOUR(Sync!$AF780),2)&amp;RIGHT("00"&amp;MINUTE(Sync!$AF780),2),IFERROR(RIGHT("00"&amp;VALUE(LEFT(Sync!$AF780,FIND(":",Sync!$AF780)-1)),2)&amp;RIGHT("00"&amp;VALUE(MID(Sync!$AF780,FIND(":",Sync!$AF780)+1,2)),2),"0000"))))</f>
        <v/>
      </c>
    </row>
    <row r="781">
      <c r="A781">
        <f>IF(OR(Calc!$E785="",Calc!$E785="نامعتبر",Calc!$G785=""),"",Calc!$G785)</f>
        <v/>
      </c>
      <c r="B781">
        <f>IF($A781="","",LEFT(Calc!$E785,4)&amp;MID(Calc!$E785,6,2)&amp;RIGHT(Calc!$E785,2)&amp;Calc!$Q785&amp;"|"&amp;"1"&amp;RIGHT("00000"&amp;776,5))</f>
        <v/>
      </c>
      <c r="C781">
        <f>IF($B781="","",COUNTIFS(LdgSellerA,$A781,LdgKeyA,"&lt;"&amp;$B781)+COUNTIFS(LdgSellerB,$A781,LdgKeyB,"&lt;"&amp;$B781)+1)</f>
        <v/>
      </c>
      <c r="D781">
        <f>IF($C781="","",$A781&amp;"|"&amp;RIGHT("000000"&amp;$C781,6))</f>
        <v/>
      </c>
      <c r="F781">
        <f>IF(Sync!$AH781="","",IF(LEFT(UPPER(TRIM(Sync!$AH781)),2)="SL",UPPER(TRIM(Sync!$AH781)),""))</f>
        <v/>
      </c>
      <c r="G781">
        <f>IF($F781="","",IF(Sync!$AE781="","",IF(ISNUMBER(Sync!$AE781),IF(AND(Sync!$AE781&gt;=10000101,Sync!$AE781&lt;=99991231),INT(Sync!$AE781/10000),""),IFERROR(VALUE(TRIM(LEFT(Sync!$AE781,FIND("/",Sync!$AE781)-1))),""))))</f>
        <v/>
      </c>
      <c r="H781">
        <f>IF(OR($F781="",$G781=""),"",IF(ISNUMBER(Sync!$AE781),INT(MOD(Sync!$AE781,10000)/100),IFERROR(VALUE(TRIM(LEFT(MID(Sync!$AE781,FIND("/",Sync!$AE781)+1,20),FIND("/",MID(Sync!$AE781,FIND("/",Sync!$AE781)+1,20))-1))),"")))</f>
        <v/>
      </c>
      <c r="I781">
        <f>IF(OR($F781="",$G781=""),"",IF(ISNUMBER(Sync!$AE781),MOD(Sync!$AE781,100),IFERROR(VALUE(TRIM(MID(MID(Sync!$AE781,FIND("/",Sync!$AE781)+1,20),FIND("/",MID(Sync!$AE781,FIND("/",Sync!$AE781)+1,20))+1,20))),"")))</f>
        <v/>
      </c>
      <c r="J781">
        <f>IF($F781="","",IF(OR($G781="",$H781="",$I781="",$G781&lt;1300,$G781&gt;1500,$H781&lt;1,$H781&gt;12,$I781&lt;1,$I781&gt;31),"نامعتبر",RIGHT("0000"&amp;$G781,4)&amp;"/"&amp;RIGHT("00"&amp;$H781,2)&amp;"/"&amp;RIGHT("00"&amp;$I781,2)))</f>
        <v/>
      </c>
      <c r="K781">
        <f>IF(OR($F781="",$J781="",$J781="نامعتبر"),"",LEFT($J781,4)&amp;MID($J781,6,2)&amp;RIGHT($J781,2)&amp;$N781&amp;"|"&amp;"2"&amp;RIGHT("00000"&amp;776,5))</f>
        <v/>
      </c>
      <c r="L781">
        <f>IF($K781="","",COUNTIFS(LdgSellerA,$F781,LdgKeyA,"&lt;"&amp;$K781)+COUNTIFS(LdgSellerB,$F781,LdgKeyB,"&lt;"&amp;$K781)+1)</f>
        <v/>
      </c>
      <c r="M781">
        <f>IF($L781="","",$F781&amp;"|"&amp;RIGHT("000000"&amp;$L781,6))</f>
        <v/>
      </c>
      <c r="N781">
        <f>IF($F781="","",IF(Sync!$AF781="","0000",IF(AND(ISNUMBER(Sync!$AF781),Sync!$AF781&gt;=0,Sync!$AF781&lt;1),RIGHT("00"&amp;HOUR(Sync!$AF781),2)&amp;RIGHT("00"&amp;MINUTE(Sync!$AF781),2),IFERROR(RIGHT("00"&amp;VALUE(LEFT(Sync!$AF781,FIND(":",Sync!$AF781)-1)),2)&amp;RIGHT("00"&amp;VALUE(MID(Sync!$AF781,FIND(":",Sync!$AF781)+1,2)),2),"0000"))))</f>
        <v/>
      </c>
    </row>
    <row r="782">
      <c r="A782">
        <f>IF(OR(Calc!$E786="",Calc!$E786="نامعتبر",Calc!$G786=""),"",Calc!$G786)</f>
        <v/>
      </c>
      <c r="B782">
        <f>IF($A782="","",LEFT(Calc!$E786,4)&amp;MID(Calc!$E786,6,2)&amp;RIGHT(Calc!$E786,2)&amp;Calc!$Q786&amp;"|"&amp;"1"&amp;RIGHT("00000"&amp;777,5))</f>
        <v/>
      </c>
      <c r="C782">
        <f>IF($B782="","",COUNTIFS(LdgSellerA,$A782,LdgKeyA,"&lt;"&amp;$B782)+COUNTIFS(LdgSellerB,$A782,LdgKeyB,"&lt;"&amp;$B782)+1)</f>
        <v/>
      </c>
      <c r="D782">
        <f>IF($C782="","",$A782&amp;"|"&amp;RIGHT("000000"&amp;$C782,6))</f>
        <v/>
      </c>
      <c r="F782">
        <f>IF(Sync!$AH782="","",IF(LEFT(UPPER(TRIM(Sync!$AH782)),2)="SL",UPPER(TRIM(Sync!$AH782)),""))</f>
        <v/>
      </c>
      <c r="G782">
        <f>IF($F782="","",IF(Sync!$AE782="","",IF(ISNUMBER(Sync!$AE782),IF(AND(Sync!$AE782&gt;=10000101,Sync!$AE782&lt;=99991231),INT(Sync!$AE782/10000),""),IFERROR(VALUE(TRIM(LEFT(Sync!$AE782,FIND("/",Sync!$AE782)-1))),""))))</f>
        <v/>
      </c>
      <c r="H782">
        <f>IF(OR($F782="",$G782=""),"",IF(ISNUMBER(Sync!$AE782),INT(MOD(Sync!$AE782,10000)/100),IFERROR(VALUE(TRIM(LEFT(MID(Sync!$AE782,FIND("/",Sync!$AE782)+1,20),FIND("/",MID(Sync!$AE782,FIND("/",Sync!$AE782)+1,20))-1))),"")))</f>
        <v/>
      </c>
      <c r="I782">
        <f>IF(OR($F782="",$G782=""),"",IF(ISNUMBER(Sync!$AE782),MOD(Sync!$AE782,100),IFERROR(VALUE(TRIM(MID(MID(Sync!$AE782,FIND("/",Sync!$AE782)+1,20),FIND("/",MID(Sync!$AE782,FIND("/",Sync!$AE782)+1,20))+1,20))),"")))</f>
        <v/>
      </c>
      <c r="J782">
        <f>IF($F782="","",IF(OR($G782="",$H782="",$I782="",$G782&lt;1300,$G782&gt;1500,$H782&lt;1,$H782&gt;12,$I782&lt;1,$I782&gt;31),"نامعتبر",RIGHT("0000"&amp;$G782,4)&amp;"/"&amp;RIGHT("00"&amp;$H782,2)&amp;"/"&amp;RIGHT("00"&amp;$I782,2)))</f>
        <v/>
      </c>
      <c r="K782">
        <f>IF(OR($F782="",$J782="",$J782="نامعتبر"),"",LEFT($J782,4)&amp;MID($J782,6,2)&amp;RIGHT($J782,2)&amp;$N782&amp;"|"&amp;"2"&amp;RIGHT("00000"&amp;777,5))</f>
        <v/>
      </c>
      <c r="L782">
        <f>IF($K782="","",COUNTIFS(LdgSellerA,$F782,LdgKeyA,"&lt;"&amp;$K782)+COUNTIFS(LdgSellerB,$F782,LdgKeyB,"&lt;"&amp;$K782)+1)</f>
        <v/>
      </c>
      <c r="M782">
        <f>IF($L782="","",$F782&amp;"|"&amp;RIGHT("000000"&amp;$L782,6))</f>
        <v/>
      </c>
      <c r="N782">
        <f>IF($F782="","",IF(Sync!$AF782="","0000",IF(AND(ISNUMBER(Sync!$AF782),Sync!$AF782&gt;=0,Sync!$AF782&lt;1),RIGHT("00"&amp;HOUR(Sync!$AF782),2)&amp;RIGHT("00"&amp;MINUTE(Sync!$AF782),2),IFERROR(RIGHT("00"&amp;VALUE(LEFT(Sync!$AF782,FIND(":",Sync!$AF782)-1)),2)&amp;RIGHT("00"&amp;VALUE(MID(Sync!$AF782,FIND(":",Sync!$AF782)+1,2)),2),"0000"))))</f>
        <v/>
      </c>
    </row>
    <row r="783">
      <c r="A783">
        <f>IF(OR(Calc!$E787="",Calc!$E787="نامعتبر",Calc!$G787=""),"",Calc!$G787)</f>
        <v/>
      </c>
      <c r="B783">
        <f>IF($A783="","",LEFT(Calc!$E787,4)&amp;MID(Calc!$E787,6,2)&amp;RIGHT(Calc!$E787,2)&amp;Calc!$Q787&amp;"|"&amp;"1"&amp;RIGHT("00000"&amp;778,5))</f>
        <v/>
      </c>
      <c r="C783">
        <f>IF($B783="","",COUNTIFS(LdgSellerA,$A783,LdgKeyA,"&lt;"&amp;$B783)+COUNTIFS(LdgSellerB,$A783,LdgKeyB,"&lt;"&amp;$B783)+1)</f>
        <v/>
      </c>
      <c r="D783">
        <f>IF($C783="","",$A783&amp;"|"&amp;RIGHT("000000"&amp;$C783,6))</f>
        <v/>
      </c>
      <c r="F783">
        <f>IF(Sync!$AH783="","",IF(LEFT(UPPER(TRIM(Sync!$AH783)),2)="SL",UPPER(TRIM(Sync!$AH783)),""))</f>
        <v/>
      </c>
      <c r="G783">
        <f>IF($F783="","",IF(Sync!$AE783="","",IF(ISNUMBER(Sync!$AE783),IF(AND(Sync!$AE783&gt;=10000101,Sync!$AE783&lt;=99991231),INT(Sync!$AE783/10000),""),IFERROR(VALUE(TRIM(LEFT(Sync!$AE783,FIND("/",Sync!$AE783)-1))),""))))</f>
        <v/>
      </c>
      <c r="H783">
        <f>IF(OR($F783="",$G783=""),"",IF(ISNUMBER(Sync!$AE783),INT(MOD(Sync!$AE783,10000)/100),IFERROR(VALUE(TRIM(LEFT(MID(Sync!$AE783,FIND("/",Sync!$AE783)+1,20),FIND("/",MID(Sync!$AE783,FIND("/",Sync!$AE783)+1,20))-1))),"")))</f>
        <v/>
      </c>
      <c r="I783">
        <f>IF(OR($F783="",$G783=""),"",IF(ISNUMBER(Sync!$AE783),MOD(Sync!$AE783,100),IFERROR(VALUE(TRIM(MID(MID(Sync!$AE783,FIND("/",Sync!$AE783)+1,20),FIND("/",MID(Sync!$AE783,FIND("/",Sync!$AE783)+1,20))+1,20))),"")))</f>
        <v/>
      </c>
      <c r="J783">
        <f>IF($F783="","",IF(OR($G783="",$H783="",$I783="",$G783&lt;1300,$G783&gt;1500,$H783&lt;1,$H783&gt;12,$I783&lt;1,$I783&gt;31),"نامعتبر",RIGHT("0000"&amp;$G783,4)&amp;"/"&amp;RIGHT("00"&amp;$H783,2)&amp;"/"&amp;RIGHT("00"&amp;$I783,2)))</f>
        <v/>
      </c>
      <c r="K783">
        <f>IF(OR($F783="",$J783="",$J783="نامعتبر"),"",LEFT($J783,4)&amp;MID($J783,6,2)&amp;RIGHT($J783,2)&amp;$N783&amp;"|"&amp;"2"&amp;RIGHT("00000"&amp;778,5))</f>
        <v/>
      </c>
      <c r="L783">
        <f>IF($K783="","",COUNTIFS(LdgSellerA,$F783,LdgKeyA,"&lt;"&amp;$K783)+COUNTIFS(LdgSellerB,$F783,LdgKeyB,"&lt;"&amp;$K783)+1)</f>
        <v/>
      </c>
      <c r="M783">
        <f>IF($L783="","",$F783&amp;"|"&amp;RIGHT("000000"&amp;$L783,6))</f>
        <v/>
      </c>
      <c r="N783">
        <f>IF($F783="","",IF(Sync!$AF783="","0000",IF(AND(ISNUMBER(Sync!$AF783),Sync!$AF783&gt;=0,Sync!$AF783&lt;1),RIGHT("00"&amp;HOUR(Sync!$AF783),2)&amp;RIGHT("00"&amp;MINUTE(Sync!$AF783),2),IFERROR(RIGHT("00"&amp;VALUE(LEFT(Sync!$AF783,FIND(":",Sync!$AF783)-1)),2)&amp;RIGHT("00"&amp;VALUE(MID(Sync!$AF783,FIND(":",Sync!$AF783)+1,2)),2),"0000"))))</f>
        <v/>
      </c>
    </row>
    <row r="784">
      <c r="A784">
        <f>IF(OR(Calc!$E788="",Calc!$E788="نامعتبر",Calc!$G788=""),"",Calc!$G788)</f>
        <v/>
      </c>
      <c r="B784">
        <f>IF($A784="","",LEFT(Calc!$E788,4)&amp;MID(Calc!$E788,6,2)&amp;RIGHT(Calc!$E788,2)&amp;Calc!$Q788&amp;"|"&amp;"1"&amp;RIGHT("00000"&amp;779,5))</f>
        <v/>
      </c>
      <c r="C784">
        <f>IF($B784="","",COUNTIFS(LdgSellerA,$A784,LdgKeyA,"&lt;"&amp;$B784)+COUNTIFS(LdgSellerB,$A784,LdgKeyB,"&lt;"&amp;$B784)+1)</f>
        <v/>
      </c>
      <c r="D784">
        <f>IF($C784="","",$A784&amp;"|"&amp;RIGHT("000000"&amp;$C784,6))</f>
        <v/>
      </c>
      <c r="F784">
        <f>IF(Sync!$AH784="","",IF(LEFT(UPPER(TRIM(Sync!$AH784)),2)="SL",UPPER(TRIM(Sync!$AH784)),""))</f>
        <v/>
      </c>
      <c r="G784">
        <f>IF($F784="","",IF(Sync!$AE784="","",IF(ISNUMBER(Sync!$AE784),IF(AND(Sync!$AE784&gt;=10000101,Sync!$AE784&lt;=99991231),INT(Sync!$AE784/10000),""),IFERROR(VALUE(TRIM(LEFT(Sync!$AE784,FIND("/",Sync!$AE784)-1))),""))))</f>
        <v/>
      </c>
      <c r="H784">
        <f>IF(OR($F784="",$G784=""),"",IF(ISNUMBER(Sync!$AE784),INT(MOD(Sync!$AE784,10000)/100),IFERROR(VALUE(TRIM(LEFT(MID(Sync!$AE784,FIND("/",Sync!$AE784)+1,20),FIND("/",MID(Sync!$AE784,FIND("/",Sync!$AE784)+1,20))-1))),"")))</f>
        <v/>
      </c>
      <c r="I784">
        <f>IF(OR($F784="",$G784=""),"",IF(ISNUMBER(Sync!$AE784),MOD(Sync!$AE784,100),IFERROR(VALUE(TRIM(MID(MID(Sync!$AE784,FIND("/",Sync!$AE784)+1,20),FIND("/",MID(Sync!$AE784,FIND("/",Sync!$AE784)+1,20))+1,20))),"")))</f>
        <v/>
      </c>
      <c r="J784">
        <f>IF($F784="","",IF(OR($G784="",$H784="",$I784="",$G784&lt;1300,$G784&gt;1500,$H784&lt;1,$H784&gt;12,$I784&lt;1,$I784&gt;31),"نامعتبر",RIGHT("0000"&amp;$G784,4)&amp;"/"&amp;RIGHT("00"&amp;$H784,2)&amp;"/"&amp;RIGHT("00"&amp;$I784,2)))</f>
        <v/>
      </c>
      <c r="K784">
        <f>IF(OR($F784="",$J784="",$J784="نامعتبر"),"",LEFT($J784,4)&amp;MID($J784,6,2)&amp;RIGHT($J784,2)&amp;$N784&amp;"|"&amp;"2"&amp;RIGHT("00000"&amp;779,5))</f>
        <v/>
      </c>
      <c r="L784">
        <f>IF($K784="","",COUNTIFS(LdgSellerA,$F784,LdgKeyA,"&lt;"&amp;$K784)+COUNTIFS(LdgSellerB,$F784,LdgKeyB,"&lt;"&amp;$K784)+1)</f>
        <v/>
      </c>
      <c r="M784">
        <f>IF($L784="","",$F784&amp;"|"&amp;RIGHT("000000"&amp;$L784,6))</f>
        <v/>
      </c>
      <c r="N784">
        <f>IF($F784="","",IF(Sync!$AF784="","0000",IF(AND(ISNUMBER(Sync!$AF784),Sync!$AF784&gt;=0,Sync!$AF784&lt;1),RIGHT("00"&amp;HOUR(Sync!$AF784),2)&amp;RIGHT("00"&amp;MINUTE(Sync!$AF784),2),IFERROR(RIGHT("00"&amp;VALUE(LEFT(Sync!$AF784,FIND(":",Sync!$AF784)-1)),2)&amp;RIGHT("00"&amp;VALUE(MID(Sync!$AF784,FIND(":",Sync!$AF784)+1,2)),2),"0000"))))</f>
        <v/>
      </c>
    </row>
    <row r="785">
      <c r="A785">
        <f>IF(OR(Calc!$E789="",Calc!$E789="نامعتبر",Calc!$G789=""),"",Calc!$G789)</f>
        <v/>
      </c>
      <c r="B785">
        <f>IF($A785="","",LEFT(Calc!$E789,4)&amp;MID(Calc!$E789,6,2)&amp;RIGHT(Calc!$E789,2)&amp;Calc!$Q789&amp;"|"&amp;"1"&amp;RIGHT("00000"&amp;780,5))</f>
        <v/>
      </c>
      <c r="C785">
        <f>IF($B785="","",COUNTIFS(LdgSellerA,$A785,LdgKeyA,"&lt;"&amp;$B785)+COUNTIFS(LdgSellerB,$A785,LdgKeyB,"&lt;"&amp;$B785)+1)</f>
        <v/>
      </c>
      <c r="D785">
        <f>IF($C785="","",$A785&amp;"|"&amp;RIGHT("000000"&amp;$C785,6))</f>
        <v/>
      </c>
      <c r="F785">
        <f>IF(Sync!$AH785="","",IF(LEFT(UPPER(TRIM(Sync!$AH785)),2)="SL",UPPER(TRIM(Sync!$AH785)),""))</f>
        <v/>
      </c>
      <c r="G785">
        <f>IF($F785="","",IF(Sync!$AE785="","",IF(ISNUMBER(Sync!$AE785),IF(AND(Sync!$AE785&gt;=10000101,Sync!$AE785&lt;=99991231),INT(Sync!$AE785/10000),""),IFERROR(VALUE(TRIM(LEFT(Sync!$AE785,FIND("/",Sync!$AE785)-1))),""))))</f>
        <v/>
      </c>
      <c r="H785">
        <f>IF(OR($F785="",$G785=""),"",IF(ISNUMBER(Sync!$AE785),INT(MOD(Sync!$AE785,10000)/100),IFERROR(VALUE(TRIM(LEFT(MID(Sync!$AE785,FIND("/",Sync!$AE785)+1,20),FIND("/",MID(Sync!$AE785,FIND("/",Sync!$AE785)+1,20))-1))),"")))</f>
        <v/>
      </c>
      <c r="I785">
        <f>IF(OR($F785="",$G785=""),"",IF(ISNUMBER(Sync!$AE785),MOD(Sync!$AE785,100),IFERROR(VALUE(TRIM(MID(MID(Sync!$AE785,FIND("/",Sync!$AE785)+1,20),FIND("/",MID(Sync!$AE785,FIND("/",Sync!$AE785)+1,20))+1,20))),"")))</f>
        <v/>
      </c>
      <c r="J785">
        <f>IF($F785="","",IF(OR($G785="",$H785="",$I785="",$G785&lt;1300,$G785&gt;1500,$H785&lt;1,$H785&gt;12,$I785&lt;1,$I785&gt;31),"نامعتبر",RIGHT("0000"&amp;$G785,4)&amp;"/"&amp;RIGHT("00"&amp;$H785,2)&amp;"/"&amp;RIGHT("00"&amp;$I785,2)))</f>
        <v/>
      </c>
      <c r="K785">
        <f>IF(OR($F785="",$J785="",$J785="نامعتبر"),"",LEFT($J785,4)&amp;MID($J785,6,2)&amp;RIGHT($J785,2)&amp;$N785&amp;"|"&amp;"2"&amp;RIGHT("00000"&amp;780,5))</f>
        <v/>
      </c>
      <c r="L785">
        <f>IF($K785="","",COUNTIFS(LdgSellerA,$F785,LdgKeyA,"&lt;"&amp;$K785)+COUNTIFS(LdgSellerB,$F785,LdgKeyB,"&lt;"&amp;$K785)+1)</f>
        <v/>
      </c>
      <c r="M785">
        <f>IF($L785="","",$F785&amp;"|"&amp;RIGHT("000000"&amp;$L785,6))</f>
        <v/>
      </c>
      <c r="N785">
        <f>IF($F785="","",IF(Sync!$AF785="","0000",IF(AND(ISNUMBER(Sync!$AF785),Sync!$AF785&gt;=0,Sync!$AF785&lt;1),RIGHT("00"&amp;HOUR(Sync!$AF785),2)&amp;RIGHT("00"&amp;MINUTE(Sync!$AF785),2),IFERROR(RIGHT("00"&amp;VALUE(LEFT(Sync!$AF785,FIND(":",Sync!$AF785)-1)),2)&amp;RIGHT("00"&amp;VALUE(MID(Sync!$AF785,FIND(":",Sync!$AF785)+1,2)),2),"0000"))))</f>
        <v/>
      </c>
    </row>
    <row r="786">
      <c r="A786">
        <f>IF(OR(Calc!$E790="",Calc!$E790="نامعتبر",Calc!$G790=""),"",Calc!$G790)</f>
        <v/>
      </c>
      <c r="B786">
        <f>IF($A786="","",LEFT(Calc!$E790,4)&amp;MID(Calc!$E790,6,2)&amp;RIGHT(Calc!$E790,2)&amp;Calc!$Q790&amp;"|"&amp;"1"&amp;RIGHT("00000"&amp;781,5))</f>
        <v/>
      </c>
      <c r="C786">
        <f>IF($B786="","",COUNTIFS(LdgSellerA,$A786,LdgKeyA,"&lt;"&amp;$B786)+COUNTIFS(LdgSellerB,$A786,LdgKeyB,"&lt;"&amp;$B786)+1)</f>
        <v/>
      </c>
      <c r="D786">
        <f>IF($C786="","",$A786&amp;"|"&amp;RIGHT("000000"&amp;$C786,6))</f>
        <v/>
      </c>
      <c r="F786">
        <f>IF(Sync!$AH786="","",IF(LEFT(UPPER(TRIM(Sync!$AH786)),2)="SL",UPPER(TRIM(Sync!$AH786)),""))</f>
        <v/>
      </c>
      <c r="G786">
        <f>IF($F786="","",IF(Sync!$AE786="","",IF(ISNUMBER(Sync!$AE786),IF(AND(Sync!$AE786&gt;=10000101,Sync!$AE786&lt;=99991231),INT(Sync!$AE786/10000),""),IFERROR(VALUE(TRIM(LEFT(Sync!$AE786,FIND("/",Sync!$AE786)-1))),""))))</f>
        <v/>
      </c>
      <c r="H786">
        <f>IF(OR($F786="",$G786=""),"",IF(ISNUMBER(Sync!$AE786),INT(MOD(Sync!$AE786,10000)/100),IFERROR(VALUE(TRIM(LEFT(MID(Sync!$AE786,FIND("/",Sync!$AE786)+1,20),FIND("/",MID(Sync!$AE786,FIND("/",Sync!$AE786)+1,20))-1))),"")))</f>
        <v/>
      </c>
      <c r="I786">
        <f>IF(OR($F786="",$G786=""),"",IF(ISNUMBER(Sync!$AE786),MOD(Sync!$AE786,100),IFERROR(VALUE(TRIM(MID(MID(Sync!$AE786,FIND("/",Sync!$AE786)+1,20),FIND("/",MID(Sync!$AE786,FIND("/",Sync!$AE786)+1,20))+1,20))),"")))</f>
        <v/>
      </c>
      <c r="J786">
        <f>IF($F786="","",IF(OR($G786="",$H786="",$I786="",$G786&lt;1300,$G786&gt;1500,$H786&lt;1,$H786&gt;12,$I786&lt;1,$I786&gt;31),"نامعتبر",RIGHT("0000"&amp;$G786,4)&amp;"/"&amp;RIGHT("00"&amp;$H786,2)&amp;"/"&amp;RIGHT("00"&amp;$I786,2)))</f>
        <v/>
      </c>
      <c r="K786">
        <f>IF(OR($F786="",$J786="",$J786="نامعتبر"),"",LEFT($J786,4)&amp;MID($J786,6,2)&amp;RIGHT($J786,2)&amp;$N786&amp;"|"&amp;"2"&amp;RIGHT("00000"&amp;781,5))</f>
        <v/>
      </c>
      <c r="L786">
        <f>IF($K786="","",COUNTIFS(LdgSellerA,$F786,LdgKeyA,"&lt;"&amp;$K786)+COUNTIFS(LdgSellerB,$F786,LdgKeyB,"&lt;"&amp;$K786)+1)</f>
        <v/>
      </c>
      <c r="M786">
        <f>IF($L786="","",$F786&amp;"|"&amp;RIGHT("000000"&amp;$L786,6))</f>
        <v/>
      </c>
      <c r="N786">
        <f>IF($F786="","",IF(Sync!$AF786="","0000",IF(AND(ISNUMBER(Sync!$AF786),Sync!$AF786&gt;=0,Sync!$AF786&lt;1),RIGHT("00"&amp;HOUR(Sync!$AF786),2)&amp;RIGHT("00"&amp;MINUTE(Sync!$AF786),2),IFERROR(RIGHT("00"&amp;VALUE(LEFT(Sync!$AF786,FIND(":",Sync!$AF786)-1)),2)&amp;RIGHT("00"&amp;VALUE(MID(Sync!$AF786,FIND(":",Sync!$AF786)+1,2)),2),"0000"))))</f>
        <v/>
      </c>
    </row>
    <row r="787">
      <c r="A787">
        <f>IF(OR(Calc!$E791="",Calc!$E791="نامعتبر",Calc!$G791=""),"",Calc!$G791)</f>
        <v/>
      </c>
      <c r="B787">
        <f>IF($A787="","",LEFT(Calc!$E791,4)&amp;MID(Calc!$E791,6,2)&amp;RIGHT(Calc!$E791,2)&amp;Calc!$Q791&amp;"|"&amp;"1"&amp;RIGHT("00000"&amp;782,5))</f>
        <v/>
      </c>
      <c r="C787">
        <f>IF($B787="","",COUNTIFS(LdgSellerA,$A787,LdgKeyA,"&lt;"&amp;$B787)+COUNTIFS(LdgSellerB,$A787,LdgKeyB,"&lt;"&amp;$B787)+1)</f>
        <v/>
      </c>
      <c r="D787">
        <f>IF($C787="","",$A787&amp;"|"&amp;RIGHT("000000"&amp;$C787,6))</f>
        <v/>
      </c>
      <c r="F787">
        <f>IF(Sync!$AH787="","",IF(LEFT(UPPER(TRIM(Sync!$AH787)),2)="SL",UPPER(TRIM(Sync!$AH787)),""))</f>
        <v/>
      </c>
      <c r="G787">
        <f>IF($F787="","",IF(Sync!$AE787="","",IF(ISNUMBER(Sync!$AE787),IF(AND(Sync!$AE787&gt;=10000101,Sync!$AE787&lt;=99991231),INT(Sync!$AE787/10000),""),IFERROR(VALUE(TRIM(LEFT(Sync!$AE787,FIND("/",Sync!$AE787)-1))),""))))</f>
        <v/>
      </c>
      <c r="H787">
        <f>IF(OR($F787="",$G787=""),"",IF(ISNUMBER(Sync!$AE787),INT(MOD(Sync!$AE787,10000)/100),IFERROR(VALUE(TRIM(LEFT(MID(Sync!$AE787,FIND("/",Sync!$AE787)+1,20),FIND("/",MID(Sync!$AE787,FIND("/",Sync!$AE787)+1,20))-1))),"")))</f>
        <v/>
      </c>
      <c r="I787">
        <f>IF(OR($F787="",$G787=""),"",IF(ISNUMBER(Sync!$AE787),MOD(Sync!$AE787,100),IFERROR(VALUE(TRIM(MID(MID(Sync!$AE787,FIND("/",Sync!$AE787)+1,20),FIND("/",MID(Sync!$AE787,FIND("/",Sync!$AE787)+1,20))+1,20))),"")))</f>
        <v/>
      </c>
      <c r="J787">
        <f>IF($F787="","",IF(OR($G787="",$H787="",$I787="",$G787&lt;1300,$G787&gt;1500,$H787&lt;1,$H787&gt;12,$I787&lt;1,$I787&gt;31),"نامعتبر",RIGHT("0000"&amp;$G787,4)&amp;"/"&amp;RIGHT("00"&amp;$H787,2)&amp;"/"&amp;RIGHT("00"&amp;$I787,2)))</f>
        <v/>
      </c>
      <c r="K787">
        <f>IF(OR($F787="",$J787="",$J787="نامعتبر"),"",LEFT($J787,4)&amp;MID($J787,6,2)&amp;RIGHT($J787,2)&amp;$N787&amp;"|"&amp;"2"&amp;RIGHT("00000"&amp;782,5))</f>
        <v/>
      </c>
      <c r="L787">
        <f>IF($K787="","",COUNTIFS(LdgSellerA,$F787,LdgKeyA,"&lt;"&amp;$K787)+COUNTIFS(LdgSellerB,$F787,LdgKeyB,"&lt;"&amp;$K787)+1)</f>
        <v/>
      </c>
      <c r="M787">
        <f>IF($L787="","",$F787&amp;"|"&amp;RIGHT("000000"&amp;$L787,6))</f>
        <v/>
      </c>
      <c r="N787">
        <f>IF($F787="","",IF(Sync!$AF787="","0000",IF(AND(ISNUMBER(Sync!$AF787),Sync!$AF787&gt;=0,Sync!$AF787&lt;1),RIGHT("00"&amp;HOUR(Sync!$AF787),2)&amp;RIGHT("00"&amp;MINUTE(Sync!$AF787),2),IFERROR(RIGHT("00"&amp;VALUE(LEFT(Sync!$AF787,FIND(":",Sync!$AF787)-1)),2)&amp;RIGHT("00"&amp;VALUE(MID(Sync!$AF787,FIND(":",Sync!$AF787)+1,2)),2),"0000"))))</f>
        <v/>
      </c>
    </row>
    <row r="788">
      <c r="A788">
        <f>IF(OR(Calc!$E792="",Calc!$E792="نامعتبر",Calc!$G792=""),"",Calc!$G792)</f>
        <v/>
      </c>
      <c r="B788">
        <f>IF($A788="","",LEFT(Calc!$E792,4)&amp;MID(Calc!$E792,6,2)&amp;RIGHT(Calc!$E792,2)&amp;Calc!$Q792&amp;"|"&amp;"1"&amp;RIGHT("00000"&amp;783,5))</f>
        <v/>
      </c>
      <c r="C788">
        <f>IF($B788="","",COUNTIFS(LdgSellerA,$A788,LdgKeyA,"&lt;"&amp;$B788)+COUNTIFS(LdgSellerB,$A788,LdgKeyB,"&lt;"&amp;$B788)+1)</f>
        <v/>
      </c>
      <c r="D788">
        <f>IF($C788="","",$A788&amp;"|"&amp;RIGHT("000000"&amp;$C788,6))</f>
        <v/>
      </c>
      <c r="F788">
        <f>IF(Sync!$AH788="","",IF(LEFT(UPPER(TRIM(Sync!$AH788)),2)="SL",UPPER(TRIM(Sync!$AH788)),""))</f>
        <v/>
      </c>
      <c r="G788">
        <f>IF($F788="","",IF(Sync!$AE788="","",IF(ISNUMBER(Sync!$AE788),IF(AND(Sync!$AE788&gt;=10000101,Sync!$AE788&lt;=99991231),INT(Sync!$AE788/10000),""),IFERROR(VALUE(TRIM(LEFT(Sync!$AE788,FIND("/",Sync!$AE788)-1))),""))))</f>
        <v/>
      </c>
      <c r="H788">
        <f>IF(OR($F788="",$G788=""),"",IF(ISNUMBER(Sync!$AE788),INT(MOD(Sync!$AE788,10000)/100),IFERROR(VALUE(TRIM(LEFT(MID(Sync!$AE788,FIND("/",Sync!$AE788)+1,20),FIND("/",MID(Sync!$AE788,FIND("/",Sync!$AE788)+1,20))-1))),"")))</f>
        <v/>
      </c>
      <c r="I788">
        <f>IF(OR($F788="",$G788=""),"",IF(ISNUMBER(Sync!$AE788),MOD(Sync!$AE788,100),IFERROR(VALUE(TRIM(MID(MID(Sync!$AE788,FIND("/",Sync!$AE788)+1,20),FIND("/",MID(Sync!$AE788,FIND("/",Sync!$AE788)+1,20))+1,20))),"")))</f>
        <v/>
      </c>
      <c r="J788">
        <f>IF($F788="","",IF(OR($G788="",$H788="",$I788="",$G788&lt;1300,$G788&gt;1500,$H788&lt;1,$H788&gt;12,$I788&lt;1,$I788&gt;31),"نامعتبر",RIGHT("0000"&amp;$G788,4)&amp;"/"&amp;RIGHT("00"&amp;$H788,2)&amp;"/"&amp;RIGHT("00"&amp;$I788,2)))</f>
        <v/>
      </c>
      <c r="K788">
        <f>IF(OR($F788="",$J788="",$J788="نامعتبر"),"",LEFT($J788,4)&amp;MID($J788,6,2)&amp;RIGHT($J788,2)&amp;$N788&amp;"|"&amp;"2"&amp;RIGHT("00000"&amp;783,5))</f>
        <v/>
      </c>
      <c r="L788">
        <f>IF($K788="","",COUNTIFS(LdgSellerA,$F788,LdgKeyA,"&lt;"&amp;$K788)+COUNTIFS(LdgSellerB,$F788,LdgKeyB,"&lt;"&amp;$K788)+1)</f>
        <v/>
      </c>
      <c r="M788">
        <f>IF($L788="","",$F788&amp;"|"&amp;RIGHT("000000"&amp;$L788,6))</f>
        <v/>
      </c>
      <c r="N788">
        <f>IF($F788="","",IF(Sync!$AF788="","0000",IF(AND(ISNUMBER(Sync!$AF788),Sync!$AF788&gt;=0,Sync!$AF788&lt;1),RIGHT("00"&amp;HOUR(Sync!$AF788),2)&amp;RIGHT("00"&amp;MINUTE(Sync!$AF788),2),IFERROR(RIGHT("00"&amp;VALUE(LEFT(Sync!$AF788,FIND(":",Sync!$AF788)-1)),2)&amp;RIGHT("00"&amp;VALUE(MID(Sync!$AF788,FIND(":",Sync!$AF788)+1,2)),2),"0000"))))</f>
        <v/>
      </c>
    </row>
    <row r="789">
      <c r="A789">
        <f>IF(OR(Calc!$E793="",Calc!$E793="نامعتبر",Calc!$G793=""),"",Calc!$G793)</f>
        <v/>
      </c>
      <c r="B789">
        <f>IF($A789="","",LEFT(Calc!$E793,4)&amp;MID(Calc!$E793,6,2)&amp;RIGHT(Calc!$E793,2)&amp;Calc!$Q793&amp;"|"&amp;"1"&amp;RIGHT("00000"&amp;784,5))</f>
        <v/>
      </c>
      <c r="C789">
        <f>IF($B789="","",COUNTIFS(LdgSellerA,$A789,LdgKeyA,"&lt;"&amp;$B789)+COUNTIFS(LdgSellerB,$A789,LdgKeyB,"&lt;"&amp;$B789)+1)</f>
        <v/>
      </c>
      <c r="D789">
        <f>IF($C789="","",$A789&amp;"|"&amp;RIGHT("000000"&amp;$C789,6))</f>
        <v/>
      </c>
      <c r="F789">
        <f>IF(Sync!$AH789="","",IF(LEFT(UPPER(TRIM(Sync!$AH789)),2)="SL",UPPER(TRIM(Sync!$AH789)),""))</f>
        <v/>
      </c>
      <c r="G789">
        <f>IF($F789="","",IF(Sync!$AE789="","",IF(ISNUMBER(Sync!$AE789),IF(AND(Sync!$AE789&gt;=10000101,Sync!$AE789&lt;=99991231),INT(Sync!$AE789/10000),""),IFERROR(VALUE(TRIM(LEFT(Sync!$AE789,FIND("/",Sync!$AE789)-1))),""))))</f>
        <v/>
      </c>
      <c r="H789">
        <f>IF(OR($F789="",$G789=""),"",IF(ISNUMBER(Sync!$AE789),INT(MOD(Sync!$AE789,10000)/100),IFERROR(VALUE(TRIM(LEFT(MID(Sync!$AE789,FIND("/",Sync!$AE789)+1,20),FIND("/",MID(Sync!$AE789,FIND("/",Sync!$AE789)+1,20))-1))),"")))</f>
        <v/>
      </c>
      <c r="I789">
        <f>IF(OR($F789="",$G789=""),"",IF(ISNUMBER(Sync!$AE789),MOD(Sync!$AE789,100),IFERROR(VALUE(TRIM(MID(MID(Sync!$AE789,FIND("/",Sync!$AE789)+1,20),FIND("/",MID(Sync!$AE789,FIND("/",Sync!$AE789)+1,20))+1,20))),"")))</f>
        <v/>
      </c>
      <c r="J789">
        <f>IF($F789="","",IF(OR($G789="",$H789="",$I789="",$G789&lt;1300,$G789&gt;1500,$H789&lt;1,$H789&gt;12,$I789&lt;1,$I789&gt;31),"نامعتبر",RIGHT("0000"&amp;$G789,4)&amp;"/"&amp;RIGHT("00"&amp;$H789,2)&amp;"/"&amp;RIGHT("00"&amp;$I789,2)))</f>
        <v/>
      </c>
      <c r="K789">
        <f>IF(OR($F789="",$J789="",$J789="نامعتبر"),"",LEFT($J789,4)&amp;MID($J789,6,2)&amp;RIGHT($J789,2)&amp;$N789&amp;"|"&amp;"2"&amp;RIGHT("00000"&amp;784,5))</f>
        <v/>
      </c>
      <c r="L789">
        <f>IF($K789="","",COUNTIFS(LdgSellerA,$F789,LdgKeyA,"&lt;"&amp;$K789)+COUNTIFS(LdgSellerB,$F789,LdgKeyB,"&lt;"&amp;$K789)+1)</f>
        <v/>
      </c>
      <c r="M789">
        <f>IF($L789="","",$F789&amp;"|"&amp;RIGHT("000000"&amp;$L789,6))</f>
        <v/>
      </c>
      <c r="N789">
        <f>IF($F789="","",IF(Sync!$AF789="","0000",IF(AND(ISNUMBER(Sync!$AF789),Sync!$AF789&gt;=0,Sync!$AF789&lt;1),RIGHT("00"&amp;HOUR(Sync!$AF789),2)&amp;RIGHT("00"&amp;MINUTE(Sync!$AF789),2),IFERROR(RIGHT("00"&amp;VALUE(LEFT(Sync!$AF789,FIND(":",Sync!$AF789)-1)),2)&amp;RIGHT("00"&amp;VALUE(MID(Sync!$AF789,FIND(":",Sync!$AF789)+1,2)),2),"0000"))))</f>
        <v/>
      </c>
    </row>
    <row r="790">
      <c r="A790">
        <f>IF(OR(Calc!$E794="",Calc!$E794="نامعتبر",Calc!$G794=""),"",Calc!$G794)</f>
        <v/>
      </c>
      <c r="B790">
        <f>IF($A790="","",LEFT(Calc!$E794,4)&amp;MID(Calc!$E794,6,2)&amp;RIGHT(Calc!$E794,2)&amp;Calc!$Q794&amp;"|"&amp;"1"&amp;RIGHT("00000"&amp;785,5))</f>
        <v/>
      </c>
      <c r="C790">
        <f>IF($B790="","",COUNTIFS(LdgSellerA,$A790,LdgKeyA,"&lt;"&amp;$B790)+COUNTIFS(LdgSellerB,$A790,LdgKeyB,"&lt;"&amp;$B790)+1)</f>
        <v/>
      </c>
      <c r="D790">
        <f>IF($C790="","",$A790&amp;"|"&amp;RIGHT("000000"&amp;$C790,6))</f>
        <v/>
      </c>
      <c r="F790">
        <f>IF(Sync!$AH790="","",IF(LEFT(UPPER(TRIM(Sync!$AH790)),2)="SL",UPPER(TRIM(Sync!$AH790)),""))</f>
        <v/>
      </c>
      <c r="G790">
        <f>IF($F790="","",IF(Sync!$AE790="","",IF(ISNUMBER(Sync!$AE790),IF(AND(Sync!$AE790&gt;=10000101,Sync!$AE790&lt;=99991231),INT(Sync!$AE790/10000),""),IFERROR(VALUE(TRIM(LEFT(Sync!$AE790,FIND("/",Sync!$AE790)-1))),""))))</f>
        <v/>
      </c>
      <c r="H790">
        <f>IF(OR($F790="",$G790=""),"",IF(ISNUMBER(Sync!$AE790),INT(MOD(Sync!$AE790,10000)/100),IFERROR(VALUE(TRIM(LEFT(MID(Sync!$AE790,FIND("/",Sync!$AE790)+1,20),FIND("/",MID(Sync!$AE790,FIND("/",Sync!$AE790)+1,20))-1))),"")))</f>
        <v/>
      </c>
      <c r="I790">
        <f>IF(OR($F790="",$G790=""),"",IF(ISNUMBER(Sync!$AE790),MOD(Sync!$AE790,100),IFERROR(VALUE(TRIM(MID(MID(Sync!$AE790,FIND("/",Sync!$AE790)+1,20),FIND("/",MID(Sync!$AE790,FIND("/",Sync!$AE790)+1,20))+1,20))),"")))</f>
        <v/>
      </c>
      <c r="J790">
        <f>IF($F790="","",IF(OR($G790="",$H790="",$I790="",$G790&lt;1300,$G790&gt;1500,$H790&lt;1,$H790&gt;12,$I790&lt;1,$I790&gt;31),"نامعتبر",RIGHT("0000"&amp;$G790,4)&amp;"/"&amp;RIGHT("00"&amp;$H790,2)&amp;"/"&amp;RIGHT("00"&amp;$I790,2)))</f>
        <v/>
      </c>
      <c r="K790">
        <f>IF(OR($F790="",$J790="",$J790="نامعتبر"),"",LEFT($J790,4)&amp;MID($J790,6,2)&amp;RIGHT($J790,2)&amp;$N790&amp;"|"&amp;"2"&amp;RIGHT("00000"&amp;785,5))</f>
        <v/>
      </c>
      <c r="L790">
        <f>IF($K790="","",COUNTIFS(LdgSellerA,$F790,LdgKeyA,"&lt;"&amp;$K790)+COUNTIFS(LdgSellerB,$F790,LdgKeyB,"&lt;"&amp;$K790)+1)</f>
        <v/>
      </c>
      <c r="M790">
        <f>IF($L790="","",$F790&amp;"|"&amp;RIGHT("000000"&amp;$L790,6))</f>
        <v/>
      </c>
      <c r="N790">
        <f>IF($F790="","",IF(Sync!$AF790="","0000",IF(AND(ISNUMBER(Sync!$AF790),Sync!$AF790&gt;=0,Sync!$AF790&lt;1),RIGHT("00"&amp;HOUR(Sync!$AF790),2)&amp;RIGHT("00"&amp;MINUTE(Sync!$AF790),2),IFERROR(RIGHT("00"&amp;VALUE(LEFT(Sync!$AF790,FIND(":",Sync!$AF790)-1)),2)&amp;RIGHT("00"&amp;VALUE(MID(Sync!$AF790,FIND(":",Sync!$AF790)+1,2)),2),"0000"))))</f>
        <v/>
      </c>
    </row>
    <row r="791">
      <c r="A791">
        <f>IF(OR(Calc!$E795="",Calc!$E795="نامعتبر",Calc!$G795=""),"",Calc!$G795)</f>
        <v/>
      </c>
      <c r="B791">
        <f>IF($A791="","",LEFT(Calc!$E795,4)&amp;MID(Calc!$E795,6,2)&amp;RIGHT(Calc!$E795,2)&amp;Calc!$Q795&amp;"|"&amp;"1"&amp;RIGHT("00000"&amp;786,5))</f>
        <v/>
      </c>
      <c r="C791">
        <f>IF($B791="","",COUNTIFS(LdgSellerA,$A791,LdgKeyA,"&lt;"&amp;$B791)+COUNTIFS(LdgSellerB,$A791,LdgKeyB,"&lt;"&amp;$B791)+1)</f>
        <v/>
      </c>
      <c r="D791">
        <f>IF($C791="","",$A791&amp;"|"&amp;RIGHT("000000"&amp;$C791,6))</f>
        <v/>
      </c>
      <c r="F791">
        <f>IF(Sync!$AH791="","",IF(LEFT(UPPER(TRIM(Sync!$AH791)),2)="SL",UPPER(TRIM(Sync!$AH791)),""))</f>
        <v/>
      </c>
      <c r="G791">
        <f>IF($F791="","",IF(Sync!$AE791="","",IF(ISNUMBER(Sync!$AE791),IF(AND(Sync!$AE791&gt;=10000101,Sync!$AE791&lt;=99991231),INT(Sync!$AE791/10000),""),IFERROR(VALUE(TRIM(LEFT(Sync!$AE791,FIND("/",Sync!$AE791)-1))),""))))</f>
        <v/>
      </c>
      <c r="H791">
        <f>IF(OR($F791="",$G791=""),"",IF(ISNUMBER(Sync!$AE791),INT(MOD(Sync!$AE791,10000)/100),IFERROR(VALUE(TRIM(LEFT(MID(Sync!$AE791,FIND("/",Sync!$AE791)+1,20),FIND("/",MID(Sync!$AE791,FIND("/",Sync!$AE791)+1,20))-1))),"")))</f>
        <v/>
      </c>
      <c r="I791">
        <f>IF(OR($F791="",$G791=""),"",IF(ISNUMBER(Sync!$AE791),MOD(Sync!$AE791,100),IFERROR(VALUE(TRIM(MID(MID(Sync!$AE791,FIND("/",Sync!$AE791)+1,20),FIND("/",MID(Sync!$AE791,FIND("/",Sync!$AE791)+1,20))+1,20))),"")))</f>
        <v/>
      </c>
      <c r="J791">
        <f>IF($F791="","",IF(OR($G791="",$H791="",$I791="",$G791&lt;1300,$G791&gt;1500,$H791&lt;1,$H791&gt;12,$I791&lt;1,$I791&gt;31),"نامعتبر",RIGHT("0000"&amp;$G791,4)&amp;"/"&amp;RIGHT("00"&amp;$H791,2)&amp;"/"&amp;RIGHT("00"&amp;$I791,2)))</f>
        <v/>
      </c>
      <c r="K791">
        <f>IF(OR($F791="",$J791="",$J791="نامعتبر"),"",LEFT($J791,4)&amp;MID($J791,6,2)&amp;RIGHT($J791,2)&amp;$N791&amp;"|"&amp;"2"&amp;RIGHT("00000"&amp;786,5))</f>
        <v/>
      </c>
      <c r="L791">
        <f>IF($K791="","",COUNTIFS(LdgSellerA,$F791,LdgKeyA,"&lt;"&amp;$K791)+COUNTIFS(LdgSellerB,$F791,LdgKeyB,"&lt;"&amp;$K791)+1)</f>
        <v/>
      </c>
      <c r="M791">
        <f>IF($L791="","",$F791&amp;"|"&amp;RIGHT("000000"&amp;$L791,6))</f>
        <v/>
      </c>
      <c r="N791">
        <f>IF($F791="","",IF(Sync!$AF791="","0000",IF(AND(ISNUMBER(Sync!$AF791),Sync!$AF791&gt;=0,Sync!$AF791&lt;1),RIGHT("00"&amp;HOUR(Sync!$AF791),2)&amp;RIGHT("00"&amp;MINUTE(Sync!$AF791),2),IFERROR(RIGHT("00"&amp;VALUE(LEFT(Sync!$AF791,FIND(":",Sync!$AF791)-1)),2)&amp;RIGHT("00"&amp;VALUE(MID(Sync!$AF791,FIND(":",Sync!$AF791)+1,2)),2),"0000"))))</f>
        <v/>
      </c>
    </row>
    <row r="792">
      <c r="A792">
        <f>IF(OR(Calc!$E796="",Calc!$E796="نامعتبر",Calc!$G796=""),"",Calc!$G796)</f>
        <v/>
      </c>
      <c r="B792">
        <f>IF($A792="","",LEFT(Calc!$E796,4)&amp;MID(Calc!$E796,6,2)&amp;RIGHT(Calc!$E796,2)&amp;Calc!$Q796&amp;"|"&amp;"1"&amp;RIGHT("00000"&amp;787,5))</f>
        <v/>
      </c>
      <c r="C792">
        <f>IF($B792="","",COUNTIFS(LdgSellerA,$A792,LdgKeyA,"&lt;"&amp;$B792)+COUNTIFS(LdgSellerB,$A792,LdgKeyB,"&lt;"&amp;$B792)+1)</f>
        <v/>
      </c>
      <c r="D792">
        <f>IF($C792="","",$A792&amp;"|"&amp;RIGHT("000000"&amp;$C792,6))</f>
        <v/>
      </c>
      <c r="F792">
        <f>IF(Sync!$AH792="","",IF(LEFT(UPPER(TRIM(Sync!$AH792)),2)="SL",UPPER(TRIM(Sync!$AH792)),""))</f>
        <v/>
      </c>
      <c r="G792">
        <f>IF($F792="","",IF(Sync!$AE792="","",IF(ISNUMBER(Sync!$AE792),IF(AND(Sync!$AE792&gt;=10000101,Sync!$AE792&lt;=99991231),INT(Sync!$AE792/10000),""),IFERROR(VALUE(TRIM(LEFT(Sync!$AE792,FIND("/",Sync!$AE792)-1))),""))))</f>
        <v/>
      </c>
      <c r="H792">
        <f>IF(OR($F792="",$G792=""),"",IF(ISNUMBER(Sync!$AE792),INT(MOD(Sync!$AE792,10000)/100),IFERROR(VALUE(TRIM(LEFT(MID(Sync!$AE792,FIND("/",Sync!$AE792)+1,20),FIND("/",MID(Sync!$AE792,FIND("/",Sync!$AE792)+1,20))-1))),"")))</f>
        <v/>
      </c>
      <c r="I792">
        <f>IF(OR($F792="",$G792=""),"",IF(ISNUMBER(Sync!$AE792),MOD(Sync!$AE792,100),IFERROR(VALUE(TRIM(MID(MID(Sync!$AE792,FIND("/",Sync!$AE792)+1,20),FIND("/",MID(Sync!$AE792,FIND("/",Sync!$AE792)+1,20))+1,20))),"")))</f>
        <v/>
      </c>
      <c r="J792">
        <f>IF($F792="","",IF(OR($G792="",$H792="",$I792="",$G792&lt;1300,$G792&gt;1500,$H792&lt;1,$H792&gt;12,$I792&lt;1,$I792&gt;31),"نامعتبر",RIGHT("0000"&amp;$G792,4)&amp;"/"&amp;RIGHT("00"&amp;$H792,2)&amp;"/"&amp;RIGHT("00"&amp;$I792,2)))</f>
        <v/>
      </c>
      <c r="K792">
        <f>IF(OR($F792="",$J792="",$J792="نامعتبر"),"",LEFT($J792,4)&amp;MID($J792,6,2)&amp;RIGHT($J792,2)&amp;$N792&amp;"|"&amp;"2"&amp;RIGHT("00000"&amp;787,5))</f>
        <v/>
      </c>
      <c r="L792">
        <f>IF($K792="","",COUNTIFS(LdgSellerA,$F792,LdgKeyA,"&lt;"&amp;$K792)+COUNTIFS(LdgSellerB,$F792,LdgKeyB,"&lt;"&amp;$K792)+1)</f>
        <v/>
      </c>
      <c r="M792">
        <f>IF($L792="","",$F792&amp;"|"&amp;RIGHT("000000"&amp;$L792,6))</f>
        <v/>
      </c>
      <c r="N792">
        <f>IF($F792="","",IF(Sync!$AF792="","0000",IF(AND(ISNUMBER(Sync!$AF792),Sync!$AF792&gt;=0,Sync!$AF792&lt;1),RIGHT("00"&amp;HOUR(Sync!$AF792),2)&amp;RIGHT("00"&amp;MINUTE(Sync!$AF792),2),IFERROR(RIGHT("00"&amp;VALUE(LEFT(Sync!$AF792,FIND(":",Sync!$AF792)-1)),2)&amp;RIGHT("00"&amp;VALUE(MID(Sync!$AF792,FIND(":",Sync!$AF792)+1,2)),2),"0000"))))</f>
        <v/>
      </c>
    </row>
    <row r="793">
      <c r="A793">
        <f>IF(OR(Calc!$E797="",Calc!$E797="نامعتبر",Calc!$G797=""),"",Calc!$G797)</f>
        <v/>
      </c>
      <c r="B793">
        <f>IF($A793="","",LEFT(Calc!$E797,4)&amp;MID(Calc!$E797,6,2)&amp;RIGHT(Calc!$E797,2)&amp;Calc!$Q797&amp;"|"&amp;"1"&amp;RIGHT("00000"&amp;788,5))</f>
        <v/>
      </c>
      <c r="C793">
        <f>IF($B793="","",COUNTIFS(LdgSellerA,$A793,LdgKeyA,"&lt;"&amp;$B793)+COUNTIFS(LdgSellerB,$A793,LdgKeyB,"&lt;"&amp;$B793)+1)</f>
        <v/>
      </c>
      <c r="D793">
        <f>IF($C793="","",$A793&amp;"|"&amp;RIGHT("000000"&amp;$C793,6))</f>
        <v/>
      </c>
      <c r="F793">
        <f>IF(Sync!$AH793="","",IF(LEFT(UPPER(TRIM(Sync!$AH793)),2)="SL",UPPER(TRIM(Sync!$AH793)),""))</f>
        <v/>
      </c>
      <c r="G793">
        <f>IF($F793="","",IF(Sync!$AE793="","",IF(ISNUMBER(Sync!$AE793),IF(AND(Sync!$AE793&gt;=10000101,Sync!$AE793&lt;=99991231),INT(Sync!$AE793/10000),""),IFERROR(VALUE(TRIM(LEFT(Sync!$AE793,FIND("/",Sync!$AE793)-1))),""))))</f>
        <v/>
      </c>
      <c r="H793">
        <f>IF(OR($F793="",$G793=""),"",IF(ISNUMBER(Sync!$AE793),INT(MOD(Sync!$AE793,10000)/100),IFERROR(VALUE(TRIM(LEFT(MID(Sync!$AE793,FIND("/",Sync!$AE793)+1,20),FIND("/",MID(Sync!$AE793,FIND("/",Sync!$AE793)+1,20))-1))),"")))</f>
        <v/>
      </c>
      <c r="I793">
        <f>IF(OR($F793="",$G793=""),"",IF(ISNUMBER(Sync!$AE793),MOD(Sync!$AE793,100),IFERROR(VALUE(TRIM(MID(MID(Sync!$AE793,FIND("/",Sync!$AE793)+1,20),FIND("/",MID(Sync!$AE793,FIND("/",Sync!$AE793)+1,20))+1,20))),"")))</f>
        <v/>
      </c>
      <c r="J793">
        <f>IF($F793="","",IF(OR($G793="",$H793="",$I793="",$G793&lt;1300,$G793&gt;1500,$H793&lt;1,$H793&gt;12,$I793&lt;1,$I793&gt;31),"نامعتبر",RIGHT("0000"&amp;$G793,4)&amp;"/"&amp;RIGHT("00"&amp;$H793,2)&amp;"/"&amp;RIGHT("00"&amp;$I793,2)))</f>
        <v/>
      </c>
      <c r="K793">
        <f>IF(OR($F793="",$J793="",$J793="نامعتبر"),"",LEFT($J793,4)&amp;MID($J793,6,2)&amp;RIGHT($J793,2)&amp;$N793&amp;"|"&amp;"2"&amp;RIGHT("00000"&amp;788,5))</f>
        <v/>
      </c>
      <c r="L793">
        <f>IF($K793="","",COUNTIFS(LdgSellerA,$F793,LdgKeyA,"&lt;"&amp;$K793)+COUNTIFS(LdgSellerB,$F793,LdgKeyB,"&lt;"&amp;$K793)+1)</f>
        <v/>
      </c>
      <c r="M793">
        <f>IF($L793="","",$F793&amp;"|"&amp;RIGHT("000000"&amp;$L793,6))</f>
        <v/>
      </c>
      <c r="N793">
        <f>IF($F793="","",IF(Sync!$AF793="","0000",IF(AND(ISNUMBER(Sync!$AF793),Sync!$AF793&gt;=0,Sync!$AF793&lt;1),RIGHT("00"&amp;HOUR(Sync!$AF793),2)&amp;RIGHT("00"&amp;MINUTE(Sync!$AF793),2),IFERROR(RIGHT("00"&amp;VALUE(LEFT(Sync!$AF793,FIND(":",Sync!$AF793)-1)),2)&amp;RIGHT("00"&amp;VALUE(MID(Sync!$AF793,FIND(":",Sync!$AF793)+1,2)),2),"0000"))))</f>
        <v/>
      </c>
    </row>
    <row r="794">
      <c r="A794">
        <f>IF(OR(Calc!$E798="",Calc!$E798="نامعتبر",Calc!$G798=""),"",Calc!$G798)</f>
        <v/>
      </c>
      <c r="B794">
        <f>IF($A794="","",LEFT(Calc!$E798,4)&amp;MID(Calc!$E798,6,2)&amp;RIGHT(Calc!$E798,2)&amp;Calc!$Q798&amp;"|"&amp;"1"&amp;RIGHT("00000"&amp;789,5))</f>
        <v/>
      </c>
      <c r="C794">
        <f>IF($B794="","",COUNTIFS(LdgSellerA,$A794,LdgKeyA,"&lt;"&amp;$B794)+COUNTIFS(LdgSellerB,$A794,LdgKeyB,"&lt;"&amp;$B794)+1)</f>
        <v/>
      </c>
      <c r="D794">
        <f>IF($C794="","",$A794&amp;"|"&amp;RIGHT("000000"&amp;$C794,6))</f>
        <v/>
      </c>
      <c r="F794">
        <f>IF(Sync!$AH794="","",IF(LEFT(UPPER(TRIM(Sync!$AH794)),2)="SL",UPPER(TRIM(Sync!$AH794)),""))</f>
        <v/>
      </c>
      <c r="G794">
        <f>IF($F794="","",IF(Sync!$AE794="","",IF(ISNUMBER(Sync!$AE794),IF(AND(Sync!$AE794&gt;=10000101,Sync!$AE794&lt;=99991231),INT(Sync!$AE794/10000),""),IFERROR(VALUE(TRIM(LEFT(Sync!$AE794,FIND("/",Sync!$AE794)-1))),""))))</f>
        <v/>
      </c>
      <c r="H794">
        <f>IF(OR($F794="",$G794=""),"",IF(ISNUMBER(Sync!$AE794),INT(MOD(Sync!$AE794,10000)/100),IFERROR(VALUE(TRIM(LEFT(MID(Sync!$AE794,FIND("/",Sync!$AE794)+1,20),FIND("/",MID(Sync!$AE794,FIND("/",Sync!$AE794)+1,20))-1))),"")))</f>
        <v/>
      </c>
      <c r="I794">
        <f>IF(OR($F794="",$G794=""),"",IF(ISNUMBER(Sync!$AE794),MOD(Sync!$AE794,100),IFERROR(VALUE(TRIM(MID(MID(Sync!$AE794,FIND("/",Sync!$AE794)+1,20),FIND("/",MID(Sync!$AE794,FIND("/",Sync!$AE794)+1,20))+1,20))),"")))</f>
        <v/>
      </c>
      <c r="J794">
        <f>IF($F794="","",IF(OR($G794="",$H794="",$I794="",$G794&lt;1300,$G794&gt;1500,$H794&lt;1,$H794&gt;12,$I794&lt;1,$I794&gt;31),"نامعتبر",RIGHT("0000"&amp;$G794,4)&amp;"/"&amp;RIGHT("00"&amp;$H794,2)&amp;"/"&amp;RIGHT("00"&amp;$I794,2)))</f>
        <v/>
      </c>
      <c r="K794">
        <f>IF(OR($F794="",$J794="",$J794="نامعتبر"),"",LEFT($J794,4)&amp;MID($J794,6,2)&amp;RIGHT($J794,2)&amp;$N794&amp;"|"&amp;"2"&amp;RIGHT("00000"&amp;789,5))</f>
        <v/>
      </c>
      <c r="L794">
        <f>IF($K794="","",COUNTIFS(LdgSellerA,$F794,LdgKeyA,"&lt;"&amp;$K794)+COUNTIFS(LdgSellerB,$F794,LdgKeyB,"&lt;"&amp;$K794)+1)</f>
        <v/>
      </c>
      <c r="M794">
        <f>IF($L794="","",$F794&amp;"|"&amp;RIGHT("000000"&amp;$L794,6))</f>
        <v/>
      </c>
      <c r="N794">
        <f>IF($F794="","",IF(Sync!$AF794="","0000",IF(AND(ISNUMBER(Sync!$AF794),Sync!$AF794&gt;=0,Sync!$AF794&lt;1),RIGHT("00"&amp;HOUR(Sync!$AF794),2)&amp;RIGHT("00"&amp;MINUTE(Sync!$AF794),2),IFERROR(RIGHT("00"&amp;VALUE(LEFT(Sync!$AF794,FIND(":",Sync!$AF794)-1)),2)&amp;RIGHT("00"&amp;VALUE(MID(Sync!$AF794,FIND(":",Sync!$AF794)+1,2)),2),"0000"))))</f>
        <v/>
      </c>
    </row>
    <row r="795">
      <c r="A795">
        <f>IF(OR(Calc!$E799="",Calc!$E799="نامعتبر",Calc!$G799=""),"",Calc!$G799)</f>
        <v/>
      </c>
      <c r="B795">
        <f>IF($A795="","",LEFT(Calc!$E799,4)&amp;MID(Calc!$E799,6,2)&amp;RIGHT(Calc!$E799,2)&amp;Calc!$Q799&amp;"|"&amp;"1"&amp;RIGHT("00000"&amp;790,5))</f>
        <v/>
      </c>
      <c r="C795">
        <f>IF($B795="","",COUNTIFS(LdgSellerA,$A795,LdgKeyA,"&lt;"&amp;$B795)+COUNTIFS(LdgSellerB,$A795,LdgKeyB,"&lt;"&amp;$B795)+1)</f>
        <v/>
      </c>
      <c r="D795">
        <f>IF($C795="","",$A795&amp;"|"&amp;RIGHT("000000"&amp;$C795,6))</f>
        <v/>
      </c>
      <c r="F795">
        <f>IF(Sync!$AH795="","",IF(LEFT(UPPER(TRIM(Sync!$AH795)),2)="SL",UPPER(TRIM(Sync!$AH795)),""))</f>
        <v/>
      </c>
      <c r="G795">
        <f>IF($F795="","",IF(Sync!$AE795="","",IF(ISNUMBER(Sync!$AE795),IF(AND(Sync!$AE795&gt;=10000101,Sync!$AE795&lt;=99991231),INT(Sync!$AE795/10000),""),IFERROR(VALUE(TRIM(LEFT(Sync!$AE795,FIND("/",Sync!$AE795)-1))),""))))</f>
        <v/>
      </c>
      <c r="H795">
        <f>IF(OR($F795="",$G795=""),"",IF(ISNUMBER(Sync!$AE795),INT(MOD(Sync!$AE795,10000)/100),IFERROR(VALUE(TRIM(LEFT(MID(Sync!$AE795,FIND("/",Sync!$AE795)+1,20),FIND("/",MID(Sync!$AE795,FIND("/",Sync!$AE795)+1,20))-1))),"")))</f>
        <v/>
      </c>
      <c r="I795">
        <f>IF(OR($F795="",$G795=""),"",IF(ISNUMBER(Sync!$AE795),MOD(Sync!$AE795,100),IFERROR(VALUE(TRIM(MID(MID(Sync!$AE795,FIND("/",Sync!$AE795)+1,20),FIND("/",MID(Sync!$AE795,FIND("/",Sync!$AE795)+1,20))+1,20))),"")))</f>
        <v/>
      </c>
      <c r="J795">
        <f>IF($F795="","",IF(OR($G795="",$H795="",$I795="",$G795&lt;1300,$G795&gt;1500,$H795&lt;1,$H795&gt;12,$I795&lt;1,$I795&gt;31),"نامعتبر",RIGHT("0000"&amp;$G795,4)&amp;"/"&amp;RIGHT("00"&amp;$H795,2)&amp;"/"&amp;RIGHT("00"&amp;$I795,2)))</f>
        <v/>
      </c>
      <c r="K795">
        <f>IF(OR($F795="",$J795="",$J795="نامعتبر"),"",LEFT($J795,4)&amp;MID($J795,6,2)&amp;RIGHT($J795,2)&amp;$N795&amp;"|"&amp;"2"&amp;RIGHT("00000"&amp;790,5))</f>
        <v/>
      </c>
      <c r="L795">
        <f>IF($K795="","",COUNTIFS(LdgSellerA,$F795,LdgKeyA,"&lt;"&amp;$K795)+COUNTIFS(LdgSellerB,$F795,LdgKeyB,"&lt;"&amp;$K795)+1)</f>
        <v/>
      </c>
      <c r="M795">
        <f>IF($L795="","",$F795&amp;"|"&amp;RIGHT("000000"&amp;$L795,6))</f>
        <v/>
      </c>
      <c r="N795">
        <f>IF($F795="","",IF(Sync!$AF795="","0000",IF(AND(ISNUMBER(Sync!$AF795),Sync!$AF795&gt;=0,Sync!$AF795&lt;1),RIGHT("00"&amp;HOUR(Sync!$AF795),2)&amp;RIGHT("00"&amp;MINUTE(Sync!$AF795),2),IFERROR(RIGHT("00"&amp;VALUE(LEFT(Sync!$AF795,FIND(":",Sync!$AF795)-1)),2)&amp;RIGHT("00"&amp;VALUE(MID(Sync!$AF795,FIND(":",Sync!$AF795)+1,2)),2),"0000"))))</f>
        <v/>
      </c>
    </row>
    <row r="796">
      <c r="A796">
        <f>IF(OR(Calc!$E800="",Calc!$E800="نامعتبر",Calc!$G800=""),"",Calc!$G800)</f>
        <v/>
      </c>
      <c r="B796">
        <f>IF($A796="","",LEFT(Calc!$E800,4)&amp;MID(Calc!$E800,6,2)&amp;RIGHT(Calc!$E800,2)&amp;Calc!$Q800&amp;"|"&amp;"1"&amp;RIGHT("00000"&amp;791,5))</f>
        <v/>
      </c>
      <c r="C796">
        <f>IF($B796="","",COUNTIFS(LdgSellerA,$A796,LdgKeyA,"&lt;"&amp;$B796)+COUNTIFS(LdgSellerB,$A796,LdgKeyB,"&lt;"&amp;$B796)+1)</f>
        <v/>
      </c>
      <c r="D796">
        <f>IF($C796="","",$A796&amp;"|"&amp;RIGHT("000000"&amp;$C796,6))</f>
        <v/>
      </c>
      <c r="F796">
        <f>IF(Sync!$AH796="","",IF(LEFT(UPPER(TRIM(Sync!$AH796)),2)="SL",UPPER(TRIM(Sync!$AH796)),""))</f>
        <v/>
      </c>
      <c r="G796">
        <f>IF($F796="","",IF(Sync!$AE796="","",IF(ISNUMBER(Sync!$AE796),IF(AND(Sync!$AE796&gt;=10000101,Sync!$AE796&lt;=99991231),INT(Sync!$AE796/10000),""),IFERROR(VALUE(TRIM(LEFT(Sync!$AE796,FIND("/",Sync!$AE796)-1))),""))))</f>
        <v/>
      </c>
      <c r="H796">
        <f>IF(OR($F796="",$G796=""),"",IF(ISNUMBER(Sync!$AE796),INT(MOD(Sync!$AE796,10000)/100),IFERROR(VALUE(TRIM(LEFT(MID(Sync!$AE796,FIND("/",Sync!$AE796)+1,20),FIND("/",MID(Sync!$AE796,FIND("/",Sync!$AE796)+1,20))-1))),"")))</f>
        <v/>
      </c>
      <c r="I796">
        <f>IF(OR($F796="",$G796=""),"",IF(ISNUMBER(Sync!$AE796),MOD(Sync!$AE796,100),IFERROR(VALUE(TRIM(MID(MID(Sync!$AE796,FIND("/",Sync!$AE796)+1,20),FIND("/",MID(Sync!$AE796,FIND("/",Sync!$AE796)+1,20))+1,20))),"")))</f>
        <v/>
      </c>
      <c r="J796">
        <f>IF($F796="","",IF(OR($G796="",$H796="",$I796="",$G796&lt;1300,$G796&gt;1500,$H796&lt;1,$H796&gt;12,$I796&lt;1,$I796&gt;31),"نامعتبر",RIGHT("0000"&amp;$G796,4)&amp;"/"&amp;RIGHT("00"&amp;$H796,2)&amp;"/"&amp;RIGHT("00"&amp;$I796,2)))</f>
        <v/>
      </c>
      <c r="K796">
        <f>IF(OR($F796="",$J796="",$J796="نامعتبر"),"",LEFT($J796,4)&amp;MID($J796,6,2)&amp;RIGHT($J796,2)&amp;$N796&amp;"|"&amp;"2"&amp;RIGHT("00000"&amp;791,5))</f>
        <v/>
      </c>
      <c r="L796">
        <f>IF($K796="","",COUNTIFS(LdgSellerA,$F796,LdgKeyA,"&lt;"&amp;$K796)+COUNTIFS(LdgSellerB,$F796,LdgKeyB,"&lt;"&amp;$K796)+1)</f>
        <v/>
      </c>
      <c r="M796">
        <f>IF($L796="","",$F796&amp;"|"&amp;RIGHT("000000"&amp;$L796,6))</f>
        <v/>
      </c>
      <c r="N796">
        <f>IF($F796="","",IF(Sync!$AF796="","0000",IF(AND(ISNUMBER(Sync!$AF796),Sync!$AF796&gt;=0,Sync!$AF796&lt;1),RIGHT("00"&amp;HOUR(Sync!$AF796),2)&amp;RIGHT("00"&amp;MINUTE(Sync!$AF796),2),IFERROR(RIGHT("00"&amp;VALUE(LEFT(Sync!$AF796,FIND(":",Sync!$AF796)-1)),2)&amp;RIGHT("00"&amp;VALUE(MID(Sync!$AF796,FIND(":",Sync!$AF796)+1,2)),2),"0000"))))</f>
        <v/>
      </c>
    </row>
    <row r="797">
      <c r="A797">
        <f>IF(OR(Calc!$E801="",Calc!$E801="نامعتبر",Calc!$G801=""),"",Calc!$G801)</f>
        <v/>
      </c>
      <c r="B797">
        <f>IF($A797="","",LEFT(Calc!$E801,4)&amp;MID(Calc!$E801,6,2)&amp;RIGHT(Calc!$E801,2)&amp;Calc!$Q801&amp;"|"&amp;"1"&amp;RIGHT("00000"&amp;792,5))</f>
        <v/>
      </c>
      <c r="C797">
        <f>IF($B797="","",COUNTIFS(LdgSellerA,$A797,LdgKeyA,"&lt;"&amp;$B797)+COUNTIFS(LdgSellerB,$A797,LdgKeyB,"&lt;"&amp;$B797)+1)</f>
        <v/>
      </c>
      <c r="D797">
        <f>IF($C797="","",$A797&amp;"|"&amp;RIGHT("000000"&amp;$C797,6))</f>
        <v/>
      </c>
      <c r="F797">
        <f>IF(Sync!$AH797="","",IF(LEFT(UPPER(TRIM(Sync!$AH797)),2)="SL",UPPER(TRIM(Sync!$AH797)),""))</f>
        <v/>
      </c>
      <c r="G797">
        <f>IF($F797="","",IF(Sync!$AE797="","",IF(ISNUMBER(Sync!$AE797),IF(AND(Sync!$AE797&gt;=10000101,Sync!$AE797&lt;=99991231),INT(Sync!$AE797/10000),""),IFERROR(VALUE(TRIM(LEFT(Sync!$AE797,FIND("/",Sync!$AE797)-1))),""))))</f>
        <v/>
      </c>
      <c r="H797">
        <f>IF(OR($F797="",$G797=""),"",IF(ISNUMBER(Sync!$AE797),INT(MOD(Sync!$AE797,10000)/100),IFERROR(VALUE(TRIM(LEFT(MID(Sync!$AE797,FIND("/",Sync!$AE797)+1,20),FIND("/",MID(Sync!$AE797,FIND("/",Sync!$AE797)+1,20))-1))),"")))</f>
        <v/>
      </c>
      <c r="I797">
        <f>IF(OR($F797="",$G797=""),"",IF(ISNUMBER(Sync!$AE797),MOD(Sync!$AE797,100),IFERROR(VALUE(TRIM(MID(MID(Sync!$AE797,FIND("/",Sync!$AE797)+1,20),FIND("/",MID(Sync!$AE797,FIND("/",Sync!$AE797)+1,20))+1,20))),"")))</f>
        <v/>
      </c>
      <c r="J797">
        <f>IF($F797="","",IF(OR($G797="",$H797="",$I797="",$G797&lt;1300,$G797&gt;1500,$H797&lt;1,$H797&gt;12,$I797&lt;1,$I797&gt;31),"نامعتبر",RIGHT("0000"&amp;$G797,4)&amp;"/"&amp;RIGHT("00"&amp;$H797,2)&amp;"/"&amp;RIGHT("00"&amp;$I797,2)))</f>
        <v/>
      </c>
      <c r="K797">
        <f>IF(OR($F797="",$J797="",$J797="نامعتبر"),"",LEFT($J797,4)&amp;MID($J797,6,2)&amp;RIGHT($J797,2)&amp;$N797&amp;"|"&amp;"2"&amp;RIGHT("00000"&amp;792,5))</f>
        <v/>
      </c>
      <c r="L797">
        <f>IF($K797="","",COUNTIFS(LdgSellerA,$F797,LdgKeyA,"&lt;"&amp;$K797)+COUNTIFS(LdgSellerB,$F797,LdgKeyB,"&lt;"&amp;$K797)+1)</f>
        <v/>
      </c>
      <c r="M797">
        <f>IF($L797="","",$F797&amp;"|"&amp;RIGHT("000000"&amp;$L797,6))</f>
        <v/>
      </c>
      <c r="N797">
        <f>IF($F797="","",IF(Sync!$AF797="","0000",IF(AND(ISNUMBER(Sync!$AF797),Sync!$AF797&gt;=0,Sync!$AF797&lt;1),RIGHT("00"&amp;HOUR(Sync!$AF797),2)&amp;RIGHT("00"&amp;MINUTE(Sync!$AF797),2),IFERROR(RIGHT("00"&amp;VALUE(LEFT(Sync!$AF797,FIND(":",Sync!$AF797)-1)),2)&amp;RIGHT("00"&amp;VALUE(MID(Sync!$AF797,FIND(":",Sync!$AF797)+1,2)),2),"0000"))))</f>
        <v/>
      </c>
    </row>
    <row r="798">
      <c r="A798">
        <f>IF(OR(Calc!$E802="",Calc!$E802="نامعتبر",Calc!$G802=""),"",Calc!$G802)</f>
        <v/>
      </c>
      <c r="B798">
        <f>IF($A798="","",LEFT(Calc!$E802,4)&amp;MID(Calc!$E802,6,2)&amp;RIGHT(Calc!$E802,2)&amp;Calc!$Q802&amp;"|"&amp;"1"&amp;RIGHT("00000"&amp;793,5))</f>
        <v/>
      </c>
      <c r="C798">
        <f>IF($B798="","",COUNTIFS(LdgSellerA,$A798,LdgKeyA,"&lt;"&amp;$B798)+COUNTIFS(LdgSellerB,$A798,LdgKeyB,"&lt;"&amp;$B798)+1)</f>
        <v/>
      </c>
      <c r="D798">
        <f>IF($C798="","",$A798&amp;"|"&amp;RIGHT("000000"&amp;$C798,6))</f>
        <v/>
      </c>
      <c r="F798">
        <f>IF(Sync!$AH798="","",IF(LEFT(UPPER(TRIM(Sync!$AH798)),2)="SL",UPPER(TRIM(Sync!$AH798)),""))</f>
        <v/>
      </c>
      <c r="G798">
        <f>IF($F798="","",IF(Sync!$AE798="","",IF(ISNUMBER(Sync!$AE798),IF(AND(Sync!$AE798&gt;=10000101,Sync!$AE798&lt;=99991231),INT(Sync!$AE798/10000),""),IFERROR(VALUE(TRIM(LEFT(Sync!$AE798,FIND("/",Sync!$AE798)-1))),""))))</f>
        <v/>
      </c>
      <c r="H798">
        <f>IF(OR($F798="",$G798=""),"",IF(ISNUMBER(Sync!$AE798),INT(MOD(Sync!$AE798,10000)/100),IFERROR(VALUE(TRIM(LEFT(MID(Sync!$AE798,FIND("/",Sync!$AE798)+1,20),FIND("/",MID(Sync!$AE798,FIND("/",Sync!$AE798)+1,20))-1))),"")))</f>
        <v/>
      </c>
      <c r="I798">
        <f>IF(OR($F798="",$G798=""),"",IF(ISNUMBER(Sync!$AE798),MOD(Sync!$AE798,100),IFERROR(VALUE(TRIM(MID(MID(Sync!$AE798,FIND("/",Sync!$AE798)+1,20),FIND("/",MID(Sync!$AE798,FIND("/",Sync!$AE798)+1,20))+1,20))),"")))</f>
        <v/>
      </c>
      <c r="J798">
        <f>IF($F798="","",IF(OR($G798="",$H798="",$I798="",$G798&lt;1300,$G798&gt;1500,$H798&lt;1,$H798&gt;12,$I798&lt;1,$I798&gt;31),"نامعتبر",RIGHT("0000"&amp;$G798,4)&amp;"/"&amp;RIGHT("00"&amp;$H798,2)&amp;"/"&amp;RIGHT("00"&amp;$I798,2)))</f>
        <v/>
      </c>
      <c r="K798">
        <f>IF(OR($F798="",$J798="",$J798="نامعتبر"),"",LEFT($J798,4)&amp;MID($J798,6,2)&amp;RIGHT($J798,2)&amp;$N798&amp;"|"&amp;"2"&amp;RIGHT("00000"&amp;793,5))</f>
        <v/>
      </c>
      <c r="L798">
        <f>IF($K798="","",COUNTIFS(LdgSellerA,$F798,LdgKeyA,"&lt;"&amp;$K798)+COUNTIFS(LdgSellerB,$F798,LdgKeyB,"&lt;"&amp;$K798)+1)</f>
        <v/>
      </c>
      <c r="M798">
        <f>IF($L798="","",$F798&amp;"|"&amp;RIGHT("000000"&amp;$L798,6))</f>
        <v/>
      </c>
      <c r="N798">
        <f>IF($F798="","",IF(Sync!$AF798="","0000",IF(AND(ISNUMBER(Sync!$AF798),Sync!$AF798&gt;=0,Sync!$AF798&lt;1),RIGHT("00"&amp;HOUR(Sync!$AF798),2)&amp;RIGHT("00"&amp;MINUTE(Sync!$AF798),2),IFERROR(RIGHT("00"&amp;VALUE(LEFT(Sync!$AF798,FIND(":",Sync!$AF798)-1)),2)&amp;RIGHT("00"&amp;VALUE(MID(Sync!$AF798,FIND(":",Sync!$AF798)+1,2)),2),"0000"))))</f>
        <v/>
      </c>
    </row>
    <row r="799">
      <c r="A799">
        <f>IF(OR(Calc!$E803="",Calc!$E803="نامعتبر",Calc!$G803=""),"",Calc!$G803)</f>
        <v/>
      </c>
      <c r="B799">
        <f>IF($A799="","",LEFT(Calc!$E803,4)&amp;MID(Calc!$E803,6,2)&amp;RIGHT(Calc!$E803,2)&amp;Calc!$Q803&amp;"|"&amp;"1"&amp;RIGHT("00000"&amp;794,5))</f>
        <v/>
      </c>
      <c r="C799">
        <f>IF($B799="","",COUNTIFS(LdgSellerA,$A799,LdgKeyA,"&lt;"&amp;$B799)+COUNTIFS(LdgSellerB,$A799,LdgKeyB,"&lt;"&amp;$B799)+1)</f>
        <v/>
      </c>
      <c r="D799">
        <f>IF($C799="","",$A799&amp;"|"&amp;RIGHT("000000"&amp;$C799,6))</f>
        <v/>
      </c>
      <c r="F799">
        <f>IF(Sync!$AH799="","",IF(LEFT(UPPER(TRIM(Sync!$AH799)),2)="SL",UPPER(TRIM(Sync!$AH799)),""))</f>
        <v/>
      </c>
      <c r="G799">
        <f>IF($F799="","",IF(Sync!$AE799="","",IF(ISNUMBER(Sync!$AE799),IF(AND(Sync!$AE799&gt;=10000101,Sync!$AE799&lt;=99991231),INT(Sync!$AE799/10000),""),IFERROR(VALUE(TRIM(LEFT(Sync!$AE799,FIND("/",Sync!$AE799)-1))),""))))</f>
        <v/>
      </c>
      <c r="H799">
        <f>IF(OR($F799="",$G799=""),"",IF(ISNUMBER(Sync!$AE799),INT(MOD(Sync!$AE799,10000)/100),IFERROR(VALUE(TRIM(LEFT(MID(Sync!$AE799,FIND("/",Sync!$AE799)+1,20),FIND("/",MID(Sync!$AE799,FIND("/",Sync!$AE799)+1,20))-1))),"")))</f>
        <v/>
      </c>
      <c r="I799">
        <f>IF(OR($F799="",$G799=""),"",IF(ISNUMBER(Sync!$AE799),MOD(Sync!$AE799,100),IFERROR(VALUE(TRIM(MID(MID(Sync!$AE799,FIND("/",Sync!$AE799)+1,20),FIND("/",MID(Sync!$AE799,FIND("/",Sync!$AE799)+1,20))+1,20))),"")))</f>
        <v/>
      </c>
      <c r="J799">
        <f>IF($F799="","",IF(OR($G799="",$H799="",$I799="",$G799&lt;1300,$G799&gt;1500,$H799&lt;1,$H799&gt;12,$I799&lt;1,$I799&gt;31),"نامعتبر",RIGHT("0000"&amp;$G799,4)&amp;"/"&amp;RIGHT("00"&amp;$H799,2)&amp;"/"&amp;RIGHT("00"&amp;$I799,2)))</f>
        <v/>
      </c>
      <c r="K799">
        <f>IF(OR($F799="",$J799="",$J799="نامعتبر"),"",LEFT($J799,4)&amp;MID($J799,6,2)&amp;RIGHT($J799,2)&amp;$N799&amp;"|"&amp;"2"&amp;RIGHT("00000"&amp;794,5))</f>
        <v/>
      </c>
      <c r="L799">
        <f>IF($K799="","",COUNTIFS(LdgSellerA,$F799,LdgKeyA,"&lt;"&amp;$K799)+COUNTIFS(LdgSellerB,$F799,LdgKeyB,"&lt;"&amp;$K799)+1)</f>
        <v/>
      </c>
      <c r="M799">
        <f>IF($L799="","",$F799&amp;"|"&amp;RIGHT("000000"&amp;$L799,6))</f>
        <v/>
      </c>
      <c r="N799">
        <f>IF($F799="","",IF(Sync!$AF799="","0000",IF(AND(ISNUMBER(Sync!$AF799),Sync!$AF799&gt;=0,Sync!$AF799&lt;1),RIGHT("00"&amp;HOUR(Sync!$AF799),2)&amp;RIGHT("00"&amp;MINUTE(Sync!$AF799),2),IFERROR(RIGHT("00"&amp;VALUE(LEFT(Sync!$AF799,FIND(":",Sync!$AF799)-1)),2)&amp;RIGHT("00"&amp;VALUE(MID(Sync!$AF799,FIND(":",Sync!$AF799)+1,2)),2),"0000"))))</f>
        <v/>
      </c>
    </row>
    <row r="800">
      <c r="A800">
        <f>IF(OR(Calc!$E804="",Calc!$E804="نامعتبر",Calc!$G804=""),"",Calc!$G804)</f>
        <v/>
      </c>
      <c r="B800">
        <f>IF($A800="","",LEFT(Calc!$E804,4)&amp;MID(Calc!$E804,6,2)&amp;RIGHT(Calc!$E804,2)&amp;Calc!$Q804&amp;"|"&amp;"1"&amp;RIGHT("00000"&amp;795,5))</f>
        <v/>
      </c>
      <c r="C800">
        <f>IF($B800="","",COUNTIFS(LdgSellerA,$A800,LdgKeyA,"&lt;"&amp;$B800)+COUNTIFS(LdgSellerB,$A800,LdgKeyB,"&lt;"&amp;$B800)+1)</f>
        <v/>
      </c>
      <c r="D800">
        <f>IF($C800="","",$A800&amp;"|"&amp;RIGHT("000000"&amp;$C800,6))</f>
        <v/>
      </c>
      <c r="F800">
        <f>IF(Sync!$AH800="","",IF(LEFT(UPPER(TRIM(Sync!$AH800)),2)="SL",UPPER(TRIM(Sync!$AH800)),""))</f>
        <v/>
      </c>
      <c r="G800">
        <f>IF($F800="","",IF(Sync!$AE800="","",IF(ISNUMBER(Sync!$AE800),IF(AND(Sync!$AE800&gt;=10000101,Sync!$AE800&lt;=99991231),INT(Sync!$AE800/10000),""),IFERROR(VALUE(TRIM(LEFT(Sync!$AE800,FIND("/",Sync!$AE800)-1))),""))))</f>
        <v/>
      </c>
      <c r="H800">
        <f>IF(OR($F800="",$G800=""),"",IF(ISNUMBER(Sync!$AE800),INT(MOD(Sync!$AE800,10000)/100),IFERROR(VALUE(TRIM(LEFT(MID(Sync!$AE800,FIND("/",Sync!$AE800)+1,20),FIND("/",MID(Sync!$AE800,FIND("/",Sync!$AE800)+1,20))-1))),"")))</f>
        <v/>
      </c>
      <c r="I800">
        <f>IF(OR($F800="",$G800=""),"",IF(ISNUMBER(Sync!$AE800),MOD(Sync!$AE800,100),IFERROR(VALUE(TRIM(MID(MID(Sync!$AE800,FIND("/",Sync!$AE800)+1,20),FIND("/",MID(Sync!$AE800,FIND("/",Sync!$AE800)+1,20))+1,20))),"")))</f>
        <v/>
      </c>
      <c r="J800">
        <f>IF($F800="","",IF(OR($G800="",$H800="",$I800="",$G800&lt;1300,$G800&gt;1500,$H800&lt;1,$H800&gt;12,$I800&lt;1,$I800&gt;31),"نامعتبر",RIGHT("0000"&amp;$G800,4)&amp;"/"&amp;RIGHT("00"&amp;$H800,2)&amp;"/"&amp;RIGHT("00"&amp;$I800,2)))</f>
        <v/>
      </c>
      <c r="K800">
        <f>IF(OR($F800="",$J800="",$J800="نامعتبر"),"",LEFT($J800,4)&amp;MID($J800,6,2)&amp;RIGHT($J800,2)&amp;$N800&amp;"|"&amp;"2"&amp;RIGHT("00000"&amp;795,5))</f>
        <v/>
      </c>
      <c r="L800">
        <f>IF($K800="","",COUNTIFS(LdgSellerA,$F800,LdgKeyA,"&lt;"&amp;$K800)+COUNTIFS(LdgSellerB,$F800,LdgKeyB,"&lt;"&amp;$K800)+1)</f>
        <v/>
      </c>
      <c r="M800">
        <f>IF($L800="","",$F800&amp;"|"&amp;RIGHT("000000"&amp;$L800,6))</f>
        <v/>
      </c>
      <c r="N800">
        <f>IF($F800="","",IF(Sync!$AF800="","0000",IF(AND(ISNUMBER(Sync!$AF800),Sync!$AF800&gt;=0,Sync!$AF800&lt;1),RIGHT("00"&amp;HOUR(Sync!$AF800),2)&amp;RIGHT("00"&amp;MINUTE(Sync!$AF800),2),IFERROR(RIGHT("00"&amp;VALUE(LEFT(Sync!$AF800,FIND(":",Sync!$AF800)-1)),2)&amp;RIGHT("00"&amp;VALUE(MID(Sync!$AF800,FIND(":",Sync!$AF800)+1,2)),2),"0000"))))</f>
        <v/>
      </c>
    </row>
    <row r="801">
      <c r="A801">
        <f>IF(OR(Calc!$E805="",Calc!$E805="نامعتبر",Calc!$G805=""),"",Calc!$G805)</f>
        <v/>
      </c>
      <c r="B801">
        <f>IF($A801="","",LEFT(Calc!$E805,4)&amp;MID(Calc!$E805,6,2)&amp;RIGHT(Calc!$E805,2)&amp;Calc!$Q805&amp;"|"&amp;"1"&amp;RIGHT("00000"&amp;796,5))</f>
        <v/>
      </c>
      <c r="C801">
        <f>IF($B801="","",COUNTIFS(LdgSellerA,$A801,LdgKeyA,"&lt;"&amp;$B801)+COUNTIFS(LdgSellerB,$A801,LdgKeyB,"&lt;"&amp;$B801)+1)</f>
        <v/>
      </c>
      <c r="D801">
        <f>IF($C801="","",$A801&amp;"|"&amp;RIGHT("000000"&amp;$C801,6))</f>
        <v/>
      </c>
      <c r="F801">
        <f>IF(Sync!$AH801="","",IF(LEFT(UPPER(TRIM(Sync!$AH801)),2)="SL",UPPER(TRIM(Sync!$AH801)),""))</f>
        <v/>
      </c>
      <c r="G801">
        <f>IF($F801="","",IF(Sync!$AE801="","",IF(ISNUMBER(Sync!$AE801),IF(AND(Sync!$AE801&gt;=10000101,Sync!$AE801&lt;=99991231),INT(Sync!$AE801/10000),""),IFERROR(VALUE(TRIM(LEFT(Sync!$AE801,FIND("/",Sync!$AE801)-1))),""))))</f>
        <v/>
      </c>
      <c r="H801">
        <f>IF(OR($F801="",$G801=""),"",IF(ISNUMBER(Sync!$AE801),INT(MOD(Sync!$AE801,10000)/100),IFERROR(VALUE(TRIM(LEFT(MID(Sync!$AE801,FIND("/",Sync!$AE801)+1,20),FIND("/",MID(Sync!$AE801,FIND("/",Sync!$AE801)+1,20))-1))),"")))</f>
        <v/>
      </c>
      <c r="I801">
        <f>IF(OR($F801="",$G801=""),"",IF(ISNUMBER(Sync!$AE801),MOD(Sync!$AE801,100),IFERROR(VALUE(TRIM(MID(MID(Sync!$AE801,FIND("/",Sync!$AE801)+1,20),FIND("/",MID(Sync!$AE801,FIND("/",Sync!$AE801)+1,20))+1,20))),"")))</f>
        <v/>
      </c>
      <c r="J801">
        <f>IF($F801="","",IF(OR($G801="",$H801="",$I801="",$G801&lt;1300,$G801&gt;1500,$H801&lt;1,$H801&gt;12,$I801&lt;1,$I801&gt;31),"نامعتبر",RIGHT("0000"&amp;$G801,4)&amp;"/"&amp;RIGHT("00"&amp;$H801,2)&amp;"/"&amp;RIGHT("00"&amp;$I801,2)))</f>
        <v/>
      </c>
      <c r="K801">
        <f>IF(OR($F801="",$J801="",$J801="نامعتبر"),"",LEFT($J801,4)&amp;MID($J801,6,2)&amp;RIGHT($J801,2)&amp;$N801&amp;"|"&amp;"2"&amp;RIGHT("00000"&amp;796,5))</f>
        <v/>
      </c>
      <c r="L801">
        <f>IF($K801="","",COUNTIFS(LdgSellerA,$F801,LdgKeyA,"&lt;"&amp;$K801)+COUNTIFS(LdgSellerB,$F801,LdgKeyB,"&lt;"&amp;$K801)+1)</f>
        <v/>
      </c>
      <c r="M801">
        <f>IF($L801="","",$F801&amp;"|"&amp;RIGHT("000000"&amp;$L801,6))</f>
        <v/>
      </c>
      <c r="N801">
        <f>IF($F801="","",IF(Sync!$AF801="","0000",IF(AND(ISNUMBER(Sync!$AF801),Sync!$AF801&gt;=0,Sync!$AF801&lt;1),RIGHT("00"&amp;HOUR(Sync!$AF801),2)&amp;RIGHT("00"&amp;MINUTE(Sync!$AF801),2),IFERROR(RIGHT("00"&amp;VALUE(LEFT(Sync!$AF801,FIND(":",Sync!$AF801)-1)),2)&amp;RIGHT("00"&amp;VALUE(MID(Sync!$AF801,FIND(":",Sync!$AF801)+1,2)),2),"0000"))))</f>
        <v/>
      </c>
    </row>
    <row r="802">
      <c r="A802">
        <f>IF(OR(Calc!$E806="",Calc!$E806="نامعتبر",Calc!$G806=""),"",Calc!$G806)</f>
        <v/>
      </c>
      <c r="B802">
        <f>IF($A802="","",LEFT(Calc!$E806,4)&amp;MID(Calc!$E806,6,2)&amp;RIGHT(Calc!$E806,2)&amp;Calc!$Q806&amp;"|"&amp;"1"&amp;RIGHT("00000"&amp;797,5))</f>
        <v/>
      </c>
      <c r="C802">
        <f>IF($B802="","",COUNTIFS(LdgSellerA,$A802,LdgKeyA,"&lt;"&amp;$B802)+COUNTIFS(LdgSellerB,$A802,LdgKeyB,"&lt;"&amp;$B802)+1)</f>
        <v/>
      </c>
      <c r="D802">
        <f>IF($C802="","",$A802&amp;"|"&amp;RIGHT("000000"&amp;$C802,6))</f>
        <v/>
      </c>
      <c r="F802">
        <f>IF(Sync!$AH802="","",IF(LEFT(UPPER(TRIM(Sync!$AH802)),2)="SL",UPPER(TRIM(Sync!$AH802)),""))</f>
        <v/>
      </c>
      <c r="G802">
        <f>IF($F802="","",IF(Sync!$AE802="","",IF(ISNUMBER(Sync!$AE802),IF(AND(Sync!$AE802&gt;=10000101,Sync!$AE802&lt;=99991231),INT(Sync!$AE802/10000),""),IFERROR(VALUE(TRIM(LEFT(Sync!$AE802,FIND("/",Sync!$AE802)-1))),""))))</f>
        <v/>
      </c>
      <c r="H802">
        <f>IF(OR($F802="",$G802=""),"",IF(ISNUMBER(Sync!$AE802),INT(MOD(Sync!$AE802,10000)/100),IFERROR(VALUE(TRIM(LEFT(MID(Sync!$AE802,FIND("/",Sync!$AE802)+1,20),FIND("/",MID(Sync!$AE802,FIND("/",Sync!$AE802)+1,20))-1))),"")))</f>
        <v/>
      </c>
      <c r="I802">
        <f>IF(OR($F802="",$G802=""),"",IF(ISNUMBER(Sync!$AE802),MOD(Sync!$AE802,100),IFERROR(VALUE(TRIM(MID(MID(Sync!$AE802,FIND("/",Sync!$AE802)+1,20),FIND("/",MID(Sync!$AE802,FIND("/",Sync!$AE802)+1,20))+1,20))),"")))</f>
        <v/>
      </c>
      <c r="J802">
        <f>IF($F802="","",IF(OR($G802="",$H802="",$I802="",$G802&lt;1300,$G802&gt;1500,$H802&lt;1,$H802&gt;12,$I802&lt;1,$I802&gt;31),"نامعتبر",RIGHT("0000"&amp;$G802,4)&amp;"/"&amp;RIGHT("00"&amp;$H802,2)&amp;"/"&amp;RIGHT("00"&amp;$I802,2)))</f>
        <v/>
      </c>
      <c r="K802">
        <f>IF(OR($F802="",$J802="",$J802="نامعتبر"),"",LEFT($J802,4)&amp;MID($J802,6,2)&amp;RIGHT($J802,2)&amp;$N802&amp;"|"&amp;"2"&amp;RIGHT("00000"&amp;797,5))</f>
        <v/>
      </c>
      <c r="L802">
        <f>IF($K802="","",COUNTIFS(LdgSellerA,$F802,LdgKeyA,"&lt;"&amp;$K802)+COUNTIFS(LdgSellerB,$F802,LdgKeyB,"&lt;"&amp;$K802)+1)</f>
        <v/>
      </c>
      <c r="M802">
        <f>IF($L802="","",$F802&amp;"|"&amp;RIGHT("000000"&amp;$L802,6))</f>
        <v/>
      </c>
      <c r="N802">
        <f>IF($F802="","",IF(Sync!$AF802="","0000",IF(AND(ISNUMBER(Sync!$AF802),Sync!$AF802&gt;=0,Sync!$AF802&lt;1),RIGHT("00"&amp;HOUR(Sync!$AF802),2)&amp;RIGHT("00"&amp;MINUTE(Sync!$AF802),2),IFERROR(RIGHT("00"&amp;VALUE(LEFT(Sync!$AF802,FIND(":",Sync!$AF802)-1)),2)&amp;RIGHT("00"&amp;VALUE(MID(Sync!$AF802,FIND(":",Sync!$AF802)+1,2)),2),"0000"))))</f>
        <v/>
      </c>
    </row>
    <row r="803">
      <c r="A803">
        <f>IF(OR(Calc!$E807="",Calc!$E807="نامعتبر",Calc!$G807=""),"",Calc!$G807)</f>
        <v/>
      </c>
      <c r="B803">
        <f>IF($A803="","",LEFT(Calc!$E807,4)&amp;MID(Calc!$E807,6,2)&amp;RIGHT(Calc!$E807,2)&amp;Calc!$Q807&amp;"|"&amp;"1"&amp;RIGHT("00000"&amp;798,5))</f>
        <v/>
      </c>
      <c r="C803">
        <f>IF($B803="","",COUNTIFS(LdgSellerA,$A803,LdgKeyA,"&lt;"&amp;$B803)+COUNTIFS(LdgSellerB,$A803,LdgKeyB,"&lt;"&amp;$B803)+1)</f>
        <v/>
      </c>
      <c r="D803">
        <f>IF($C803="","",$A803&amp;"|"&amp;RIGHT("000000"&amp;$C803,6))</f>
        <v/>
      </c>
      <c r="F803">
        <f>IF(Sync!$AH803="","",IF(LEFT(UPPER(TRIM(Sync!$AH803)),2)="SL",UPPER(TRIM(Sync!$AH803)),""))</f>
        <v/>
      </c>
      <c r="G803">
        <f>IF($F803="","",IF(Sync!$AE803="","",IF(ISNUMBER(Sync!$AE803),IF(AND(Sync!$AE803&gt;=10000101,Sync!$AE803&lt;=99991231),INT(Sync!$AE803/10000),""),IFERROR(VALUE(TRIM(LEFT(Sync!$AE803,FIND("/",Sync!$AE803)-1))),""))))</f>
        <v/>
      </c>
      <c r="H803">
        <f>IF(OR($F803="",$G803=""),"",IF(ISNUMBER(Sync!$AE803),INT(MOD(Sync!$AE803,10000)/100),IFERROR(VALUE(TRIM(LEFT(MID(Sync!$AE803,FIND("/",Sync!$AE803)+1,20),FIND("/",MID(Sync!$AE803,FIND("/",Sync!$AE803)+1,20))-1))),"")))</f>
        <v/>
      </c>
      <c r="I803">
        <f>IF(OR($F803="",$G803=""),"",IF(ISNUMBER(Sync!$AE803),MOD(Sync!$AE803,100),IFERROR(VALUE(TRIM(MID(MID(Sync!$AE803,FIND("/",Sync!$AE803)+1,20),FIND("/",MID(Sync!$AE803,FIND("/",Sync!$AE803)+1,20))+1,20))),"")))</f>
        <v/>
      </c>
      <c r="J803">
        <f>IF($F803="","",IF(OR($G803="",$H803="",$I803="",$G803&lt;1300,$G803&gt;1500,$H803&lt;1,$H803&gt;12,$I803&lt;1,$I803&gt;31),"نامعتبر",RIGHT("0000"&amp;$G803,4)&amp;"/"&amp;RIGHT("00"&amp;$H803,2)&amp;"/"&amp;RIGHT("00"&amp;$I803,2)))</f>
        <v/>
      </c>
      <c r="K803">
        <f>IF(OR($F803="",$J803="",$J803="نامعتبر"),"",LEFT($J803,4)&amp;MID($J803,6,2)&amp;RIGHT($J803,2)&amp;$N803&amp;"|"&amp;"2"&amp;RIGHT("00000"&amp;798,5))</f>
        <v/>
      </c>
      <c r="L803">
        <f>IF($K803="","",COUNTIFS(LdgSellerA,$F803,LdgKeyA,"&lt;"&amp;$K803)+COUNTIFS(LdgSellerB,$F803,LdgKeyB,"&lt;"&amp;$K803)+1)</f>
        <v/>
      </c>
      <c r="M803">
        <f>IF($L803="","",$F803&amp;"|"&amp;RIGHT("000000"&amp;$L803,6))</f>
        <v/>
      </c>
      <c r="N803">
        <f>IF($F803="","",IF(Sync!$AF803="","0000",IF(AND(ISNUMBER(Sync!$AF803),Sync!$AF803&gt;=0,Sync!$AF803&lt;1),RIGHT("00"&amp;HOUR(Sync!$AF803),2)&amp;RIGHT("00"&amp;MINUTE(Sync!$AF803),2),IFERROR(RIGHT("00"&amp;VALUE(LEFT(Sync!$AF803,FIND(":",Sync!$AF803)-1)),2)&amp;RIGHT("00"&amp;VALUE(MID(Sync!$AF803,FIND(":",Sync!$AF803)+1,2)),2),"0000"))))</f>
        <v/>
      </c>
    </row>
    <row r="804">
      <c r="A804">
        <f>IF(OR(Calc!$E808="",Calc!$E808="نامعتبر",Calc!$G808=""),"",Calc!$G808)</f>
        <v/>
      </c>
      <c r="B804">
        <f>IF($A804="","",LEFT(Calc!$E808,4)&amp;MID(Calc!$E808,6,2)&amp;RIGHT(Calc!$E808,2)&amp;Calc!$Q808&amp;"|"&amp;"1"&amp;RIGHT("00000"&amp;799,5))</f>
        <v/>
      </c>
      <c r="C804">
        <f>IF($B804="","",COUNTIFS(LdgSellerA,$A804,LdgKeyA,"&lt;"&amp;$B804)+COUNTIFS(LdgSellerB,$A804,LdgKeyB,"&lt;"&amp;$B804)+1)</f>
        <v/>
      </c>
      <c r="D804">
        <f>IF($C804="","",$A804&amp;"|"&amp;RIGHT("000000"&amp;$C804,6))</f>
        <v/>
      </c>
      <c r="F804">
        <f>IF(Sync!$AH804="","",IF(LEFT(UPPER(TRIM(Sync!$AH804)),2)="SL",UPPER(TRIM(Sync!$AH804)),""))</f>
        <v/>
      </c>
      <c r="G804">
        <f>IF($F804="","",IF(Sync!$AE804="","",IF(ISNUMBER(Sync!$AE804),IF(AND(Sync!$AE804&gt;=10000101,Sync!$AE804&lt;=99991231),INT(Sync!$AE804/10000),""),IFERROR(VALUE(TRIM(LEFT(Sync!$AE804,FIND("/",Sync!$AE804)-1))),""))))</f>
        <v/>
      </c>
      <c r="H804">
        <f>IF(OR($F804="",$G804=""),"",IF(ISNUMBER(Sync!$AE804),INT(MOD(Sync!$AE804,10000)/100),IFERROR(VALUE(TRIM(LEFT(MID(Sync!$AE804,FIND("/",Sync!$AE804)+1,20),FIND("/",MID(Sync!$AE804,FIND("/",Sync!$AE804)+1,20))-1))),"")))</f>
        <v/>
      </c>
      <c r="I804">
        <f>IF(OR($F804="",$G804=""),"",IF(ISNUMBER(Sync!$AE804),MOD(Sync!$AE804,100),IFERROR(VALUE(TRIM(MID(MID(Sync!$AE804,FIND("/",Sync!$AE804)+1,20),FIND("/",MID(Sync!$AE804,FIND("/",Sync!$AE804)+1,20))+1,20))),"")))</f>
        <v/>
      </c>
      <c r="J804">
        <f>IF($F804="","",IF(OR($G804="",$H804="",$I804="",$G804&lt;1300,$G804&gt;1500,$H804&lt;1,$H804&gt;12,$I804&lt;1,$I804&gt;31),"نامعتبر",RIGHT("0000"&amp;$G804,4)&amp;"/"&amp;RIGHT("00"&amp;$H804,2)&amp;"/"&amp;RIGHT("00"&amp;$I804,2)))</f>
        <v/>
      </c>
      <c r="K804">
        <f>IF(OR($F804="",$J804="",$J804="نامعتبر"),"",LEFT($J804,4)&amp;MID($J804,6,2)&amp;RIGHT($J804,2)&amp;$N804&amp;"|"&amp;"2"&amp;RIGHT("00000"&amp;799,5))</f>
        <v/>
      </c>
      <c r="L804">
        <f>IF($K804="","",COUNTIFS(LdgSellerA,$F804,LdgKeyA,"&lt;"&amp;$K804)+COUNTIFS(LdgSellerB,$F804,LdgKeyB,"&lt;"&amp;$K804)+1)</f>
        <v/>
      </c>
      <c r="M804">
        <f>IF($L804="","",$F804&amp;"|"&amp;RIGHT("000000"&amp;$L804,6))</f>
        <v/>
      </c>
      <c r="N804">
        <f>IF($F804="","",IF(Sync!$AF804="","0000",IF(AND(ISNUMBER(Sync!$AF804),Sync!$AF804&gt;=0,Sync!$AF804&lt;1),RIGHT("00"&amp;HOUR(Sync!$AF804),2)&amp;RIGHT("00"&amp;MINUTE(Sync!$AF804),2),IFERROR(RIGHT("00"&amp;VALUE(LEFT(Sync!$AF804,FIND(":",Sync!$AF804)-1)),2)&amp;RIGHT("00"&amp;VALUE(MID(Sync!$AF804,FIND(":",Sync!$AF804)+1,2)),2),"0000"))))</f>
        <v/>
      </c>
    </row>
    <row r="805">
      <c r="A805">
        <f>IF(OR(Calc!$E809="",Calc!$E809="نامعتبر",Calc!$G809=""),"",Calc!$G809)</f>
        <v/>
      </c>
      <c r="B805">
        <f>IF($A805="","",LEFT(Calc!$E809,4)&amp;MID(Calc!$E809,6,2)&amp;RIGHT(Calc!$E809,2)&amp;Calc!$Q809&amp;"|"&amp;"1"&amp;RIGHT("00000"&amp;800,5))</f>
        <v/>
      </c>
      <c r="C805">
        <f>IF($B805="","",COUNTIFS(LdgSellerA,$A805,LdgKeyA,"&lt;"&amp;$B805)+COUNTIFS(LdgSellerB,$A805,LdgKeyB,"&lt;"&amp;$B805)+1)</f>
        <v/>
      </c>
      <c r="D805">
        <f>IF($C805="","",$A805&amp;"|"&amp;RIGHT("000000"&amp;$C805,6))</f>
        <v/>
      </c>
      <c r="F805">
        <f>IF(Sync!$AH805="","",IF(LEFT(UPPER(TRIM(Sync!$AH805)),2)="SL",UPPER(TRIM(Sync!$AH805)),""))</f>
        <v/>
      </c>
      <c r="G805">
        <f>IF($F805="","",IF(Sync!$AE805="","",IF(ISNUMBER(Sync!$AE805),IF(AND(Sync!$AE805&gt;=10000101,Sync!$AE805&lt;=99991231),INT(Sync!$AE805/10000),""),IFERROR(VALUE(TRIM(LEFT(Sync!$AE805,FIND("/",Sync!$AE805)-1))),""))))</f>
        <v/>
      </c>
      <c r="H805">
        <f>IF(OR($F805="",$G805=""),"",IF(ISNUMBER(Sync!$AE805),INT(MOD(Sync!$AE805,10000)/100),IFERROR(VALUE(TRIM(LEFT(MID(Sync!$AE805,FIND("/",Sync!$AE805)+1,20),FIND("/",MID(Sync!$AE805,FIND("/",Sync!$AE805)+1,20))-1))),"")))</f>
        <v/>
      </c>
      <c r="I805">
        <f>IF(OR($F805="",$G805=""),"",IF(ISNUMBER(Sync!$AE805),MOD(Sync!$AE805,100),IFERROR(VALUE(TRIM(MID(MID(Sync!$AE805,FIND("/",Sync!$AE805)+1,20),FIND("/",MID(Sync!$AE805,FIND("/",Sync!$AE805)+1,20))+1,20))),"")))</f>
        <v/>
      </c>
      <c r="J805">
        <f>IF($F805="","",IF(OR($G805="",$H805="",$I805="",$G805&lt;1300,$G805&gt;1500,$H805&lt;1,$H805&gt;12,$I805&lt;1,$I805&gt;31),"نامعتبر",RIGHT("0000"&amp;$G805,4)&amp;"/"&amp;RIGHT("00"&amp;$H805,2)&amp;"/"&amp;RIGHT("00"&amp;$I805,2)))</f>
        <v/>
      </c>
      <c r="K805">
        <f>IF(OR($F805="",$J805="",$J805="نامعتبر"),"",LEFT($J805,4)&amp;MID($J805,6,2)&amp;RIGHT($J805,2)&amp;$N805&amp;"|"&amp;"2"&amp;RIGHT("00000"&amp;800,5))</f>
        <v/>
      </c>
      <c r="L805">
        <f>IF($K805="","",COUNTIFS(LdgSellerA,$F805,LdgKeyA,"&lt;"&amp;$K805)+COUNTIFS(LdgSellerB,$F805,LdgKeyB,"&lt;"&amp;$K805)+1)</f>
        <v/>
      </c>
      <c r="M805">
        <f>IF($L805="","",$F805&amp;"|"&amp;RIGHT("000000"&amp;$L805,6))</f>
        <v/>
      </c>
      <c r="N805">
        <f>IF($F805="","",IF(Sync!$AF805="","0000",IF(AND(ISNUMBER(Sync!$AF805),Sync!$AF805&gt;=0,Sync!$AF805&lt;1),RIGHT("00"&amp;HOUR(Sync!$AF805),2)&amp;RIGHT("00"&amp;MINUTE(Sync!$AF805),2),IFERROR(RIGHT("00"&amp;VALUE(LEFT(Sync!$AF805,FIND(":",Sync!$AF805)-1)),2)&amp;RIGHT("00"&amp;VALUE(MID(Sync!$AF805,FIND(":",Sync!$AF805)+1,2)),2),"0000"))))</f>
        <v/>
      </c>
    </row>
    <row r="806">
      <c r="A806">
        <f>IF(OR(Calc!$E810="",Calc!$E810="نامعتبر",Calc!$G810=""),"",Calc!$G810)</f>
        <v/>
      </c>
      <c r="B806">
        <f>IF($A806="","",LEFT(Calc!$E810,4)&amp;MID(Calc!$E810,6,2)&amp;RIGHT(Calc!$E810,2)&amp;Calc!$Q810&amp;"|"&amp;"1"&amp;RIGHT("00000"&amp;801,5))</f>
        <v/>
      </c>
      <c r="C806">
        <f>IF($B806="","",COUNTIFS(LdgSellerA,$A806,LdgKeyA,"&lt;"&amp;$B806)+COUNTIFS(LdgSellerB,$A806,LdgKeyB,"&lt;"&amp;$B806)+1)</f>
        <v/>
      </c>
      <c r="D806">
        <f>IF($C806="","",$A806&amp;"|"&amp;RIGHT("000000"&amp;$C806,6))</f>
        <v/>
      </c>
      <c r="F806">
        <f>IF(Sync!$AH806="","",IF(LEFT(UPPER(TRIM(Sync!$AH806)),2)="SL",UPPER(TRIM(Sync!$AH806)),""))</f>
        <v/>
      </c>
      <c r="G806">
        <f>IF($F806="","",IF(Sync!$AE806="","",IF(ISNUMBER(Sync!$AE806),IF(AND(Sync!$AE806&gt;=10000101,Sync!$AE806&lt;=99991231),INT(Sync!$AE806/10000),""),IFERROR(VALUE(TRIM(LEFT(Sync!$AE806,FIND("/",Sync!$AE806)-1))),""))))</f>
        <v/>
      </c>
      <c r="H806">
        <f>IF(OR($F806="",$G806=""),"",IF(ISNUMBER(Sync!$AE806),INT(MOD(Sync!$AE806,10000)/100),IFERROR(VALUE(TRIM(LEFT(MID(Sync!$AE806,FIND("/",Sync!$AE806)+1,20),FIND("/",MID(Sync!$AE806,FIND("/",Sync!$AE806)+1,20))-1))),"")))</f>
        <v/>
      </c>
      <c r="I806">
        <f>IF(OR($F806="",$G806=""),"",IF(ISNUMBER(Sync!$AE806),MOD(Sync!$AE806,100),IFERROR(VALUE(TRIM(MID(MID(Sync!$AE806,FIND("/",Sync!$AE806)+1,20),FIND("/",MID(Sync!$AE806,FIND("/",Sync!$AE806)+1,20))+1,20))),"")))</f>
        <v/>
      </c>
      <c r="J806">
        <f>IF($F806="","",IF(OR($G806="",$H806="",$I806="",$G806&lt;1300,$G806&gt;1500,$H806&lt;1,$H806&gt;12,$I806&lt;1,$I806&gt;31),"نامعتبر",RIGHT("0000"&amp;$G806,4)&amp;"/"&amp;RIGHT("00"&amp;$H806,2)&amp;"/"&amp;RIGHT("00"&amp;$I806,2)))</f>
        <v/>
      </c>
      <c r="K806">
        <f>IF(OR($F806="",$J806="",$J806="نامعتبر"),"",LEFT($J806,4)&amp;MID($J806,6,2)&amp;RIGHT($J806,2)&amp;$N806&amp;"|"&amp;"2"&amp;RIGHT("00000"&amp;801,5))</f>
        <v/>
      </c>
      <c r="L806">
        <f>IF($K806="","",COUNTIFS(LdgSellerA,$F806,LdgKeyA,"&lt;"&amp;$K806)+COUNTIFS(LdgSellerB,$F806,LdgKeyB,"&lt;"&amp;$K806)+1)</f>
        <v/>
      </c>
      <c r="M806">
        <f>IF($L806="","",$F806&amp;"|"&amp;RIGHT("000000"&amp;$L806,6))</f>
        <v/>
      </c>
      <c r="N806">
        <f>IF($F806="","",IF(Sync!$AF806="","0000",IF(AND(ISNUMBER(Sync!$AF806),Sync!$AF806&gt;=0,Sync!$AF806&lt;1),RIGHT("00"&amp;HOUR(Sync!$AF806),2)&amp;RIGHT("00"&amp;MINUTE(Sync!$AF806),2),IFERROR(RIGHT("00"&amp;VALUE(LEFT(Sync!$AF806,FIND(":",Sync!$AF806)-1)),2)&amp;RIGHT("00"&amp;VALUE(MID(Sync!$AF806,FIND(":",Sync!$AF806)+1,2)),2),"0000"))))</f>
        <v/>
      </c>
    </row>
    <row r="807">
      <c r="A807">
        <f>IF(OR(Calc!$E811="",Calc!$E811="نامعتبر",Calc!$G811=""),"",Calc!$G811)</f>
        <v/>
      </c>
      <c r="B807">
        <f>IF($A807="","",LEFT(Calc!$E811,4)&amp;MID(Calc!$E811,6,2)&amp;RIGHT(Calc!$E811,2)&amp;Calc!$Q811&amp;"|"&amp;"1"&amp;RIGHT("00000"&amp;802,5))</f>
        <v/>
      </c>
      <c r="C807">
        <f>IF($B807="","",COUNTIFS(LdgSellerA,$A807,LdgKeyA,"&lt;"&amp;$B807)+COUNTIFS(LdgSellerB,$A807,LdgKeyB,"&lt;"&amp;$B807)+1)</f>
        <v/>
      </c>
      <c r="D807">
        <f>IF($C807="","",$A807&amp;"|"&amp;RIGHT("000000"&amp;$C807,6))</f>
        <v/>
      </c>
      <c r="F807">
        <f>IF(Sync!$AH807="","",IF(LEFT(UPPER(TRIM(Sync!$AH807)),2)="SL",UPPER(TRIM(Sync!$AH807)),""))</f>
        <v/>
      </c>
      <c r="G807">
        <f>IF($F807="","",IF(Sync!$AE807="","",IF(ISNUMBER(Sync!$AE807),IF(AND(Sync!$AE807&gt;=10000101,Sync!$AE807&lt;=99991231),INT(Sync!$AE807/10000),""),IFERROR(VALUE(TRIM(LEFT(Sync!$AE807,FIND("/",Sync!$AE807)-1))),""))))</f>
        <v/>
      </c>
      <c r="H807">
        <f>IF(OR($F807="",$G807=""),"",IF(ISNUMBER(Sync!$AE807),INT(MOD(Sync!$AE807,10000)/100),IFERROR(VALUE(TRIM(LEFT(MID(Sync!$AE807,FIND("/",Sync!$AE807)+1,20),FIND("/",MID(Sync!$AE807,FIND("/",Sync!$AE807)+1,20))-1))),"")))</f>
        <v/>
      </c>
      <c r="I807">
        <f>IF(OR($F807="",$G807=""),"",IF(ISNUMBER(Sync!$AE807),MOD(Sync!$AE807,100),IFERROR(VALUE(TRIM(MID(MID(Sync!$AE807,FIND("/",Sync!$AE807)+1,20),FIND("/",MID(Sync!$AE807,FIND("/",Sync!$AE807)+1,20))+1,20))),"")))</f>
        <v/>
      </c>
      <c r="J807">
        <f>IF($F807="","",IF(OR($G807="",$H807="",$I807="",$G807&lt;1300,$G807&gt;1500,$H807&lt;1,$H807&gt;12,$I807&lt;1,$I807&gt;31),"نامعتبر",RIGHT("0000"&amp;$G807,4)&amp;"/"&amp;RIGHT("00"&amp;$H807,2)&amp;"/"&amp;RIGHT("00"&amp;$I807,2)))</f>
        <v/>
      </c>
      <c r="K807">
        <f>IF(OR($F807="",$J807="",$J807="نامعتبر"),"",LEFT($J807,4)&amp;MID($J807,6,2)&amp;RIGHT($J807,2)&amp;$N807&amp;"|"&amp;"2"&amp;RIGHT("00000"&amp;802,5))</f>
        <v/>
      </c>
      <c r="L807">
        <f>IF($K807="","",COUNTIFS(LdgSellerA,$F807,LdgKeyA,"&lt;"&amp;$K807)+COUNTIFS(LdgSellerB,$F807,LdgKeyB,"&lt;"&amp;$K807)+1)</f>
        <v/>
      </c>
      <c r="M807">
        <f>IF($L807="","",$F807&amp;"|"&amp;RIGHT("000000"&amp;$L807,6))</f>
        <v/>
      </c>
      <c r="N807">
        <f>IF($F807="","",IF(Sync!$AF807="","0000",IF(AND(ISNUMBER(Sync!$AF807),Sync!$AF807&gt;=0,Sync!$AF807&lt;1),RIGHT("00"&amp;HOUR(Sync!$AF807),2)&amp;RIGHT("00"&amp;MINUTE(Sync!$AF807),2),IFERROR(RIGHT("00"&amp;VALUE(LEFT(Sync!$AF807,FIND(":",Sync!$AF807)-1)),2)&amp;RIGHT("00"&amp;VALUE(MID(Sync!$AF807,FIND(":",Sync!$AF807)+1,2)),2),"0000"))))</f>
        <v/>
      </c>
    </row>
    <row r="808">
      <c r="A808">
        <f>IF(OR(Calc!$E812="",Calc!$E812="نامعتبر",Calc!$G812=""),"",Calc!$G812)</f>
        <v/>
      </c>
      <c r="B808">
        <f>IF($A808="","",LEFT(Calc!$E812,4)&amp;MID(Calc!$E812,6,2)&amp;RIGHT(Calc!$E812,2)&amp;Calc!$Q812&amp;"|"&amp;"1"&amp;RIGHT("00000"&amp;803,5))</f>
        <v/>
      </c>
      <c r="C808">
        <f>IF($B808="","",COUNTIFS(LdgSellerA,$A808,LdgKeyA,"&lt;"&amp;$B808)+COUNTIFS(LdgSellerB,$A808,LdgKeyB,"&lt;"&amp;$B808)+1)</f>
        <v/>
      </c>
      <c r="D808">
        <f>IF($C808="","",$A808&amp;"|"&amp;RIGHT("000000"&amp;$C808,6))</f>
        <v/>
      </c>
      <c r="F808">
        <f>IF(Sync!$AH808="","",IF(LEFT(UPPER(TRIM(Sync!$AH808)),2)="SL",UPPER(TRIM(Sync!$AH808)),""))</f>
        <v/>
      </c>
      <c r="G808">
        <f>IF($F808="","",IF(Sync!$AE808="","",IF(ISNUMBER(Sync!$AE808),IF(AND(Sync!$AE808&gt;=10000101,Sync!$AE808&lt;=99991231),INT(Sync!$AE808/10000),""),IFERROR(VALUE(TRIM(LEFT(Sync!$AE808,FIND("/",Sync!$AE808)-1))),""))))</f>
        <v/>
      </c>
      <c r="H808">
        <f>IF(OR($F808="",$G808=""),"",IF(ISNUMBER(Sync!$AE808),INT(MOD(Sync!$AE808,10000)/100),IFERROR(VALUE(TRIM(LEFT(MID(Sync!$AE808,FIND("/",Sync!$AE808)+1,20),FIND("/",MID(Sync!$AE808,FIND("/",Sync!$AE808)+1,20))-1))),"")))</f>
        <v/>
      </c>
      <c r="I808">
        <f>IF(OR($F808="",$G808=""),"",IF(ISNUMBER(Sync!$AE808),MOD(Sync!$AE808,100),IFERROR(VALUE(TRIM(MID(MID(Sync!$AE808,FIND("/",Sync!$AE808)+1,20),FIND("/",MID(Sync!$AE808,FIND("/",Sync!$AE808)+1,20))+1,20))),"")))</f>
        <v/>
      </c>
      <c r="J808">
        <f>IF($F808="","",IF(OR($G808="",$H808="",$I808="",$G808&lt;1300,$G808&gt;1500,$H808&lt;1,$H808&gt;12,$I808&lt;1,$I808&gt;31),"نامعتبر",RIGHT("0000"&amp;$G808,4)&amp;"/"&amp;RIGHT("00"&amp;$H808,2)&amp;"/"&amp;RIGHT("00"&amp;$I808,2)))</f>
        <v/>
      </c>
      <c r="K808">
        <f>IF(OR($F808="",$J808="",$J808="نامعتبر"),"",LEFT($J808,4)&amp;MID($J808,6,2)&amp;RIGHT($J808,2)&amp;$N808&amp;"|"&amp;"2"&amp;RIGHT("00000"&amp;803,5))</f>
        <v/>
      </c>
      <c r="L808">
        <f>IF($K808="","",COUNTIFS(LdgSellerA,$F808,LdgKeyA,"&lt;"&amp;$K808)+COUNTIFS(LdgSellerB,$F808,LdgKeyB,"&lt;"&amp;$K808)+1)</f>
        <v/>
      </c>
      <c r="M808">
        <f>IF($L808="","",$F808&amp;"|"&amp;RIGHT("000000"&amp;$L808,6))</f>
        <v/>
      </c>
      <c r="N808">
        <f>IF($F808="","",IF(Sync!$AF808="","0000",IF(AND(ISNUMBER(Sync!$AF808),Sync!$AF808&gt;=0,Sync!$AF808&lt;1),RIGHT("00"&amp;HOUR(Sync!$AF808),2)&amp;RIGHT("00"&amp;MINUTE(Sync!$AF808),2),IFERROR(RIGHT("00"&amp;VALUE(LEFT(Sync!$AF808,FIND(":",Sync!$AF808)-1)),2)&amp;RIGHT("00"&amp;VALUE(MID(Sync!$AF808,FIND(":",Sync!$AF808)+1,2)),2),"0000"))))</f>
        <v/>
      </c>
    </row>
    <row r="809">
      <c r="A809">
        <f>IF(OR(Calc!$E813="",Calc!$E813="نامعتبر",Calc!$G813=""),"",Calc!$G813)</f>
        <v/>
      </c>
      <c r="B809">
        <f>IF($A809="","",LEFT(Calc!$E813,4)&amp;MID(Calc!$E813,6,2)&amp;RIGHT(Calc!$E813,2)&amp;Calc!$Q813&amp;"|"&amp;"1"&amp;RIGHT("00000"&amp;804,5))</f>
        <v/>
      </c>
      <c r="C809">
        <f>IF($B809="","",COUNTIFS(LdgSellerA,$A809,LdgKeyA,"&lt;"&amp;$B809)+COUNTIFS(LdgSellerB,$A809,LdgKeyB,"&lt;"&amp;$B809)+1)</f>
        <v/>
      </c>
      <c r="D809">
        <f>IF($C809="","",$A809&amp;"|"&amp;RIGHT("000000"&amp;$C809,6))</f>
        <v/>
      </c>
      <c r="F809">
        <f>IF(Sync!$AH809="","",IF(LEFT(UPPER(TRIM(Sync!$AH809)),2)="SL",UPPER(TRIM(Sync!$AH809)),""))</f>
        <v/>
      </c>
      <c r="G809">
        <f>IF($F809="","",IF(Sync!$AE809="","",IF(ISNUMBER(Sync!$AE809),IF(AND(Sync!$AE809&gt;=10000101,Sync!$AE809&lt;=99991231),INT(Sync!$AE809/10000),""),IFERROR(VALUE(TRIM(LEFT(Sync!$AE809,FIND("/",Sync!$AE809)-1))),""))))</f>
        <v/>
      </c>
      <c r="H809">
        <f>IF(OR($F809="",$G809=""),"",IF(ISNUMBER(Sync!$AE809),INT(MOD(Sync!$AE809,10000)/100),IFERROR(VALUE(TRIM(LEFT(MID(Sync!$AE809,FIND("/",Sync!$AE809)+1,20),FIND("/",MID(Sync!$AE809,FIND("/",Sync!$AE809)+1,20))-1))),"")))</f>
        <v/>
      </c>
      <c r="I809">
        <f>IF(OR($F809="",$G809=""),"",IF(ISNUMBER(Sync!$AE809),MOD(Sync!$AE809,100),IFERROR(VALUE(TRIM(MID(MID(Sync!$AE809,FIND("/",Sync!$AE809)+1,20),FIND("/",MID(Sync!$AE809,FIND("/",Sync!$AE809)+1,20))+1,20))),"")))</f>
        <v/>
      </c>
      <c r="J809">
        <f>IF($F809="","",IF(OR($G809="",$H809="",$I809="",$G809&lt;1300,$G809&gt;1500,$H809&lt;1,$H809&gt;12,$I809&lt;1,$I809&gt;31),"نامعتبر",RIGHT("0000"&amp;$G809,4)&amp;"/"&amp;RIGHT("00"&amp;$H809,2)&amp;"/"&amp;RIGHT("00"&amp;$I809,2)))</f>
        <v/>
      </c>
      <c r="K809">
        <f>IF(OR($F809="",$J809="",$J809="نامعتبر"),"",LEFT($J809,4)&amp;MID($J809,6,2)&amp;RIGHT($J809,2)&amp;$N809&amp;"|"&amp;"2"&amp;RIGHT("00000"&amp;804,5))</f>
        <v/>
      </c>
      <c r="L809">
        <f>IF($K809="","",COUNTIFS(LdgSellerA,$F809,LdgKeyA,"&lt;"&amp;$K809)+COUNTIFS(LdgSellerB,$F809,LdgKeyB,"&lt;"&amp;$K809)+1)</f>
        <v/>
      </c>
      <c r="M809">
        <f>IF($L809="","",$F809&amp;"|"&amp;RIGHT("000000"&amp;$L809,6))</f>
        <v/>
      </c>
      <c r="N809">
        <f>IF($F809="","",IF(Sync!$AF809="","0000",IF(AND(ISNUMBER(Sync!$AF809),Sync!$AF809&gt;=0,Sync!$AF809&lt;1),RIGHT("00"&amp;HOUR(Sync!$AF809),2)&amp;RIGHT("00"&amp;MINUTE(Sync!$AF809),2),IFERROR(RIGHT("00"&amp;VALUE(LEFT(Sync!$AF809,FIND(":",Sync!$AF809)-1)),2)&amp;RIGHT("00"&amp;VALUE(MID(Sync!$AF809,FIND(":",Sync!$AF809)+1,2)),2),"0000"))))</f>
        <v/>
      </c>
    </row>
    <row r="810">
      <c r="A810">
        <f>IF(OR(Calc!$E814="",Calc!$E814="نامعتبر",Calc!$G814=""),"",Calc!$G814)</f>
        <v/>
      </c>
      <c r="B810">
        <f>IF($A810="","",LEFT(Calc!$E814,4)&amp;MID(Calc!$E814,6,2)&amp;RIGHT(Calc!$E814,2)&amp;Calc!$Q814&amp;"|"&amp;"1"&amp;RIGHT("00000"&amp;805,5))</f>
        <v/>
      </c>
      <c r="C810">
        <f>IF($B810="","",COUNTIFS(LdgSellerA,$A810,LdgKeyA,"&lt;"&amp;$B810)+COUNTIFS(LdgSellerB,$A810,LdgKeyB,"&lt;"&amp;$B810)+1)</f>
        <v/>
      </c>
      <c r="D810">
        <f>IF($C810="","",$A810&amp;"|"&amp;RIGHT("000000"&amp;$C810,6))</f>
        <v/>
      </c>
      <c r="F810">
        <f>IF(Sync!$AH810="","",IF(LEFT(UPPER(TRIM(Sync!$AH810)),2)="SL",UPPER(TRIM(Sync!$AH810)),""))</f>
        <v/>
      </c>
      <c r="G810">
        <f>IF($F810="","",IF(Sync!$AE810="","",IF(ISNUMBER(Sync!$AE810),IF(AND(Sync!$AE810&gt;=10000101,Sync!$AE810&lt;=99991231),INT(Sync!$AE810/10000),""),IFERROR(VALUE(TRIM(LEFT(Sync!$AE810,FIND("/",Sync!$AE810)-1))),""))))</f>
        <v/>
      </c>
      <c r="H810">
        <f>IF(OR($F810="",$G810=""),"",IF(ISNUMBER(Sync!$AE810),INT(MOD(Sync!$AE810,10000)/100),IFERROR(VALUE(TRIM(LEFT(MID(Sync!$AE810,FIND("/",Sync!$AE810)+1,20),FIND("/",MID(Sync!$AE810,FIND("/",Sync!$AE810)+1,20))-1))),"")))</f>
        <v/>
      </c>
      <c r="I810">
        <f>IF(OR($F810="",$G810=""),"",IF(ISNUMBER(Sync!$AE810),MOD(Sync!$AE810,100),IFERROR(VALUE(TRIM(MID(MID(Sync!$AE810,FIND("/",Sync!$AE810)+1,20),FIND("/",MID(Sync!$AE810,FIND("/",Sync!$AE810)+1,20))+1,20))),"")))</f>
        <v/>
      </c>
      <c r="J810">
        <f>IF($F810="","",IF(OR($G810="",$H810="",$I810="",$G810&lt;1300,$G810&gt;1500,$H810&lt;1,$H810&gt;12,$I810&lt;1,$I810&gt;31),"نامعتبر",RIGHT("0000"&amp;$G810,4)&amp;"/"&amp;RIGHT("00"&amp;$H810,2)&amp;"/"&amp;RIGHT("00"&amp;$I810,2)))</f>
        <v/>
      </c>
      <c r="K810">
        <f>IF(OR($F810="",$J810="",$J810="نامعتبر"),"",LEFT($J810,4)&amp;MID($J810,6,2)&amp;RIGHT($J810,2)&amp;$N810&amp;"|"&amp;"2"&amp;RIGHT("00000"&amp;805,5))</f>
        <v/>
      </c>
      <c r="L810">
        <f>IF($K810="","",COUNTIFS(LdgSellerA,$F810,LdgKeyA,"&lt;"&amp;$K810)+COUNTIFS(LdgSellerB,$F810,LdgKeyB,"&lt;"&amp;$K810)+1)</f>
        <v/>
      </c>
      <c r="M810">
        <f>IF($L810="","",$F810&amp;"|"&amp;RIGHT("000000"&amp;$L810,6))</f>
        <v/>
      </c>
      <c r="N810">
        <f>IF($F810="","",IF(Sync!$AF810="","0000",IF(AND(ISNUMBER(Sync!$AF810),Sync!$AF810&gt;=0,Sync!$AF810&lt;1),RIGHT("00"&amp;HOUR(Sync!$AF810),2)&amp;RIGHT("00"&amp;MINUTE(Sync!$AF810),2),IFERROR(RIGHT("00"&amp;VALUE(LEFT(Sync!$AF810,FIND(":",Sync!$AF810)-1)),2)&amp;RIGHT("00"&amp;VALUE(MID(Sync!$AF810,FIND(":",Sync!$AF810)+1,2)),2),"0000"))))</f>
        <v/>
      </c>
    </row>
    <row r="811">
      <c r="A811">
        <f>IF(OR(Calc!$E815="",Calc!$E815="نامعتبر",Calc!$G815=""),"",Calc!$G815)</f>
        <v/>
      </c>
      <c r="B811">
        <f>IF($A811="","",LEFT(Calc!$E815,4)&amp;MID(Calc!$E815,6,2)&amp;RIGHT(Calc!$E815,2)&amp;Calc!$Q815&amp;"|"&amp;"1"&amp;RIGHT("00000"&amp;806,5))</f>
        <v/>
      </c>
      <c r="C811">
        <f>IF($B811="","",COUNTIFS(LdgSellerA,$A811,LdgKeyA,"&lt;"&amp;$B811)+COUNTIFS(LdgSellerB,$A811,LdgKeyB,"&lt;"&amp;$B811)+1)</f>
        <v/>
      </c>
      <c r="D811">
        <f>IF($C811="","",$A811&amp;"|"&amp;RIGHT("000000"&amp;$C811,6))</f>
        <v/>
      </c>
      <c r="F811">
        <f>IF(Sync!$AH811="","",IF(LEFT(UPPER(TRIM(Sync!$AH811)),2)="SL",UPPER(TRIM(Sync!$AH811)),""))</f>
        <v/>
      </c>
      <c r="G811">
        <f>IF($F811="","",IF(Sync!$AE811="","",IF(ISNUMBER(Sync!$AE811),IF(AND(Sync!$AE811&gt;=10000101,Sync!$AE811&lt;=99991231),INT(Sync!$AE811/10000),""),IFERROR(VALUE(TRIM(LEFT(Sync!$AE811,FIND("/",Sync!$AE811)-1))),""))))</f>
        <v/>
      </c>
      <c r="H811">
        <f>IF(OR($F811="",$G811=""),"",IF(ISNUMBER(Sync!$AE811),INT(MOD(Sync!$AE811,10000)/100),IFERROR(VALUE(TRIM(LEFT(MID(Sync!$AE811,FIND("/",Sync!$AE811)+1,20),FIND("/",MID(Sync!$AE811,FIND("/",Sync!$AE811)+1,20))-1))),"")))</f>
        <v/>
      </c>
      <c r="I811">
        <f>IF(OR($F811="",$G811=""),"",IF(ISNUMBER(Sync!$AE811),MOD(Sync!$AE811,100),IFERROR(VALUE(TRIM(MID(MID(Sync!$AE811,FIND("/",Sync!$AE811)+1,20),FIND("/",MID(Sync!$AE811,FIND("/",Sync!$AE811)+1,20))+1,20))),"")))</f>
        <v/>
      </c>
      <c r="J811">
        <f>IF($F811="","",IF(OR($G811="",$H811="",$I811="",$G811&lt;1300,$G811&gt;1500,$H811&lt;1,$H811&gt;12,$I811&lt;1,$I811&gt;31),"نامعتبر",RIGHT("0000"&amp;$G811,4)&amp;"/"&amp;RIGHT("00"&amp;$H811,2)&amp;"/"&amp;RIGHT("00"&amp;$I811,2)))</f>
        <v/>
      </c>
      <c r="K811">
        <f>IF(OR($F811="",$J811="",$J811="نامعتبر"),"",LEFT($J811,4)&amp;MID($J811,6,2)&amp;RIGHT($J811,2)&amp;$N811&amp;"|"&amp;"2"&amp;RIGHT("00000"&amp;806,5))</f>
        <v/>
      </c>
      <c r="L811">
        <f>IF($K811="","",COUNTIFS(LdgSellerA,$F811,LdgKeyA,"&lt;"&amp;$K811)+COUNTIFS(LdgSellerB,$F811,LdgKeyB,"&lt;"&amp;$K811)+1)</f>
        <v/>
      </c>
      <c r="M811">
        <f>IF($L811="","",$F811&amp;"|"&amp;RIGHT("000000"&amp;$L811,6))</f>
        <v/>
      </c>
      <c r="N811">
        <f>IF($F811="","",IF(Sync!$AF811="","0000",IF(AND(ISNUMBER(Sync!$AF811),Sync!$AF811&gt;=0,Sync!$AF811&lt;1),RIGHT("00"&amp;HOUR(Sync!$AF811),2)&amp;RIGHT("00"&amp;MINUTE(Sync!$AF811),2),IFERROR(RIGHT("00"&amp;VALUE(LEFT(Sync!$AF811,FIND(":",Sync!$AF811)-1)),2)&amp;RIGHT("00"&amp;VALUE(MID(Sync!$AF811,FIND(":",Sync!$AF811)+1,2)),2),"0000"))))</f>
        <v/>
      </c>
    </row>
    <row r="812">
      <c r="A812">
        <f>IF(OR(Calc!$E816="",Calc!$E816="نامعتبر",Calc!$G816=""),"",Calc!$G816)</f>
        <v/>
      </c>
      <c r="B812">
        <f>IF($A812="","",LEFT(Calc!$E816,4)&amp;MID(Calc!$E816,6,2)&amp;RIGHT(Calc!$E816,2)&amp;Calc!$Q816&amp;"|"&amp;"1"&amp;RIGHT("00000"&amp;807,5))</f>
        <v/>
      </c>
      <c r="C812">
        <f>IF($B812="","",COUNTIFS(LdgSellerA,$A812,LdgKeyA,"&lt;"&amp;$B812)+COUNTIFS(LdgSellerB,$A812,LdgKeyB,"&lt;"&amp;$B812)+1)</f>
        <v/>
      </c>
      <c r="D812">
        <f>IF($C812="","",$A812&amp;"|"&amp;RIGHT("000000"&amp;$C812,6))</f>
        <v/>
      </c>
      <c r="F812">
        <f>IF(Sync!$AH812="","",IF(LEFT(UPPER(TRIM(Sync!$AH812)),2)="SL",UPPER(TRIM(Sync!$AH812)),""))</f>
        <v/>
      </c>
      <c r="G812">
        <f>IF($F812="","",IF(Sync!$AE812="","",IF(ISNUMBER(Sync!$AE812),IF(AND(Sync!$AE812&gt;=10000101,Sync!$AE812&lt;=99991231),INT(Sync!$AE812/10000),""),IFERROR(VALUE(TRIM(LEFT(Sync!$AE812,FIND("/",Sync!$AE812)-1))),""))))</f>
        <v/>
      </c>
      <c r="H812">
        <f>IF(OR($F812="",$G812=""),"",IF(ISNUMBER(Sync!$AE812),INT(MOD(Sync!$AE812,10000)/100),IFERROR(VALUE(TRIM(LEFT(MID(Sync!$AE812,FIND("/",Sync!$AE812)+1,20),FIND("/",MID(Sync!$AE812,FIND("/",Sync!$AE812)+1,20))-1))),"")))</f>
        <v/>
      </c>
      <c r="I812">
        <f>IF(OR($F812="",$G812=""),"",IF(ISNUMBER(Sync!$AE812),MOD(Sync!$AE812,100),IFERROR(VALUE(TRIM(MID(MID(Sync!$AE812,FIND("/",Sync!$AE812)+1,20),FIND("/",MID(Sync!$AE812,FIND("/",Sync!$AE812)+1,20))+1,20))),"")))</f>
        <v/>
      </c>
      <c r="J812">
        <f>IF($F812="","",IF(OR($G812="",$H812="",$I812="",$G812&lt;1300,$G812&gt;1500,$H812&lt;1,$H812&gt;12,$I812&lt;1,$I812&gt;31),"نامعتبر",RIGHT("0000"&amp;$G812,4)&amp;"/"&amp;RIGHT("00"&amp;$H812,2)&amp;"/"&amp;RIGHT("00"&amp;$I812,2)))</f>
        <v/>
      </c>
      <c r="K812">
        <f>IF(OR($F812="",$J812="",$J812="نامعتبر"),"",LEFT($J812,4)&amp;MID($J812,6,2)&amp;RIGHT($J812,2)&amp;$N812&amp;"|"&amp;"2"&amp;RIGHT("00000"&amp;807,5))</f>
        <v/>
      </c>
      <c r="L812">
        <f>IF($K812="","",COUNTIFS(LdgSellerA,$F812,LdgKeyA,"&lt;"&amp;$K812)+COUNTIFS(LdgSellerB,$F812,LdgKeyB,"&lt;"&amp;$K812)+1)</f>
        <v/>
      </c>
      <c r="M812">
        <f>IF($L812="","",$F812&amp;"|"&amp;RIGHT("000000"&amp;$L812,6))</f>
        <v/>
      </c>
      <c r="N812">
        <f>IF($F812="","",IF(Sync!$AF812="","0000",IF(AND(ISNUMBER(Sync!$AF812),Sync!$AF812&gt;=0,Sync!$AF812&lt;1),RIGHT("00"&amp;HOUR(Sync!$AF812),2)&amp;RIGHT("00"&amp;MINUTE(Sync!$AF812),2),IFERROR(RIGHT("00"&amp;VALUE(LEFT(Sync!$AF812,FIND(":",Sync!$AF812)-1)),2)&amp;RIGHT("00"&amp;VALUE(MID(Sync!$AF812,FIND(":",Sync!$AF812)+1,2)),2),"0000"))))</f>
        <v/>
      </c>
    </row>
    <row r="813">
      <c r="A813">
        <f>IF(OR(Calc!$E817="",Calc!$E817="نامعتبر",Calc!$G817=""),"",Calc!$G817)</f>
        <v/>
      </c>
      <c r="B813">
        <f>IF($A813="","",LEFT(Calc!$E817,4)&amp;MID(Calc!$E817,6,2)&amp;RIGHT(Calc!$E817,2)&amp;Calc!$Q817&amp;"|"&amp;"1"&amp;RIGHT("00000"&amp;808,5))</f>
        <v/>
      </c>
      <c r="C813">
        <f>IF($B813="","",COUNTIFS(LdgSellerA,$A813,LdgKeyA,"&lt;"&amp;$B813)+COUNTIFS(LdgSellerB,$A813,LdgKeyB,"&lt;"&amp;$B813)+1)</f>
        <v/>
      </c>
      <c r="D813">
        <f>IF($C813="","",$A813&amp;"|"&amp;RIGHT("000000"&amp;$C813,6))</f>
        <v/>
      </c>
      <c r="F813">
        <f>IF(Sync!$AH813="","",IF(LEFT(UPPER(TRIM(Sync!$AH813)),2)="SL",UPPER(TRIM(Sync!$AH813)),""))</f>
        <v/>
      </c>
      <c r="G813">
        <f>IF($F813="","",IF(Sync!$AE813="","",IF(ISNUMBER(Sync!$AE813),IF(AND(Sync!$AE813&gt;=10000101,Sync!$AE813&lt;=99991231),INT(Sync!$AE813/10000),""),IFERROR(VALUE(TRIM(LEFT(Sync!$AE813,FIND("/",Sync!$AE813)-1))),""))))</f>
        <v/>
      </c>
      <c r="H813">
        <f>IF(OR($F813="",$G813=""),"",IF(ISNUMBER(Sync!$AE813),INT(MOD(Sync!$AE813,10000)/100),IFERROR(VALUE(TRIM(LEFT(MID(Sync!$AE813,FIND("/",Sync!$AE813)+1,20),FIND("/",MID(Sync!$AE813,FIND("/",Sync!$AE813)+1,20))-1))),"")))</f>
        <v/>
      </c>
      <c r="I813">
        <f>IF(OR($F813="",$G813=""),"",IF(ISNUMBER(Sync!$AE813),MOD(Sync!$AE813,100),IFERROR(VALUE(TRIM(MID(MID(Sync!$AE813,FIND("/",Sync!$AE813)+1,20),FIND("/",MID(Sync!$AE813,FIND("/",Sync!$AE813)+1,20))+1,20))),"")))</f>
        <v/>
      </c>
      <c r="J813">
        <f>IF($F813="","",IF(OR($G813="",$H813="",$I813="",$G813&lt;1300,$G813&gt;1500,$H813&lt;1,$H813&gt;12,$I813&lt;1,$I813&gt;31),"نامعتبر",RIGHT("0000"&amp;$G813,4)&amp;"/"&amp;RIGHT("00"&amp;$H813,2)&amp;"/"&amp;RIGHT("00"&amp;$I813,2)))</f>
        <v/>
      </c>
      <c r="K813">
        <f>IF(OR($F813="",$J813="",$J813="نامعتبر"),"",LEFT($J813,4)&amp;MID($J813,6,2)&amp;RIGHT($J813,2)&amp;$N813&amp;"|"&amp;"2"&amp;RIGHT("00000"&amp;808,5))</f>
        <v/>
      </c>
      <c r="L813">
        <f>IF($K813="","",COUNTIFS(LdgSellerA,$F813,LdgKeyA,"&lt;"&amp;$K813)+COUNTIFS(LdgSellerB,$F813,LdgKeyB,"&lt;"&amp;$K813)+1)</f>
        <v/>
      </c>
      <c r="M813">
        <f>IF($L813="","",$F813&amp;"|"&amp;RIGHT("000000"&amp;$L813,6))</f>
        <v/>
      </c>
      <c r="N813">
        <f>IF($F813="","",IF(Sync!$AF813="","0000",IF(AND(ISNUMBER(Sync!$AF813),Sync!$AF813&gt;=0,Sync!$AF813&lt;1),RIGHT("00"&amp;HOUR(Sync!$AF813),2)&amp;RIGHT("00"&amp;MINUTE(Sync!$AF813),2),IFERROR(RIGHT("00"&amp;VALUE(LEFT(Sync!$AF813,FIND(":",Sync!$AF813)-1)),2)&amp;RIGHT("00"&amp;VALUE(MID(Sync!$AF813,FIND(":",Sync!$AF813)+1,2)),2),"0000"))))</f>
        <v/>
      </c>
    </row>
    <row r="814">
      <c r="A814">
        <f>IF(OR(Calc!$E818="",Calc!$E818="نامعتبر",Calc!$G818=""),"",Calc!$G818)</f>
        <v/>
      </c>
      <c r="B814">
        <f>IF($A814="","",LEFT(Calc!$E818,4)&amp;MID(Calc!$E818,6,2)&amp;RIGHT(Calc!$E818,2)&amp;Calc!$Q818&amp;"|"&amp;"1"&amp;RIGHT("00000"&amp;809,5))</f>
        <v/>
      </c>
      <c r="C814">
        <f>IF($B814="","",COUNTIFS(LdgSellerA,$A814,LdgKeyA,"&lt;"&amp;$B814)+COUNTIFS(LdgSellerB,$A814,LdgKeyB,"&lt;"&amp;$B814)+1)</f>
        <v/>
      </c>
      <c r="D814">
        <f>IF($C814="","",$A814&amp;"|"&amp;RIGHT("000000"&amp;$C814,6))</f>
        <v/>
      </c>
      <c r="F814">
        <f>IF(Sync!$AH814="","",IF(LEFT(UPPER(TRIM(Sync!$AH814)),2)="SL",UPPER(TRIM(Sync!$AH814)),""))</f>
        <v/>
      </c>
      <c r="G814">
        <f>IF($F814="","",IF(Sync!$AE814="","",IF(ISNUMBER(Sync!$AE814),IF(AND(Sync!$AE814&gt;=10000101,Sync!$AE814&lt;=99991231),INT(Sync!$AE814/10000),""),IFERROR(VALUE(TRIM(LEFT(Sync!$AE814,FIND("/",Sync!$AE814)-1))),""))))</f>
        <v/>
      </c>
      <c r="H814">
        <f>IF(OR($F814="",$G814=""),"",IF(ISNUMBER(Sync!$AE814),INT(MOD(Sync!$AE814,10000)/100),IFERROR(VALUE(TRIM(LEFT(MID(Sync!$AE814,FIND("/",Sync!$AE814)+1,20),FIND("/",MID(Sync!$AE814,FIND("/",Sync!$AE814)+1,20))-1))),"")))</f>
        <v/>
      </c>
      <c r="I814">
        <f>IF(OR($F814="",$G814=""),"",IF(ISNUMBER(Sync!$AE814),MOD(Sync!$AE814,100),IFERROR(VALUE(TRIM(MID(MID(Sync!$AE814,FIND("/",Sync!$AE814)+1,20),FIND("/",MID(Sync!$AE814,FIND("/",Sync!$AE814)+1,20))+1,20))),"")))</f>
        <v/>
      </c>
      <c r="J814">
        <f>IF($F814="","",IF(OR($G814="",$H814="",$I814="",$G814&lt;1300,$G814&gt;1500,$H814&lt;1,$H814&gt;12,$I814&lt;1,$I814&gt;31),"نامعتبر",RIGHT("0000"&amp;$G814,4)&amp;"/"&amp;RIGHT("00"&amp;$H814,2)&amp;"/"&amp;RIGHT("00"&amp;$I814,2)))</f>
        <v/>
      </c>
      <c r="K814">
        <f>IF(OR($F814="",$J814="",$J814="نامعتبر"),"",LEFT($J814,4)&amp;MID($J814,6,2)&amp;RIGHT($J814,2)&amp;$N814&amp;"|"&amp;"2"&amp;RIGHT("00000"&amp;809,5))</f>
        <v/>
      </c>
      <c r="L814">
        <f>IF($K814="","",COUNTIFS(LdgSellerA,$F814,LdgKeyA,"&lt;"&amp;$K814)+COUNTIFS(LdgSellerB,$F814,LdgKeyB,"&lt;"&amp;$K814)+1)</f>
        <v/>
      </c>
      <c r="M814">
        <f>IF($L814="","",$F814&amp;"|"&amp;RIGHT("000000"&amp;$L814,6))</f>
        <v/>
      </c>
      <c r="N814">
        <f>IF($F814="","",IF(Sync!$AF814="","0000",IF(AND(ISNUMBER(Sync!$AF814),Sync!$AF814&gt;=0,Sync!$AF814&lt;1),RIGHT("00"&amp;HOUR(Sync!$AF814),2)&amp;RIGHT("00"&amp;MINUTE(Sync!$AF814),2),IFERROR(RIGHT("00"&amp;VALUE(LEFT(Sync!$AF814,FIND(":",Sync!$AF814)-1)),2)&amp;RIGHT("00"&amp;VALUE(MID(Sync!$AF814,FIND(":",Sync!$AF814)+1,2)),2),"0000"))))</f>
        <v/>
      </c>
    </row>
    <row r="815">
      <c r="A815">
        <f>IF(OR(Calc!$E819="",Calc!$E819="نامعتبر",Calc!$G819=""),"",Calc!$G819)</f>
        <v/>
      </c>
      <c r="B815">
        <f>IF($A815="","",LEFT(Calc!$E819,4)&amp;MID(Calc!$E819,6,2)&amp;RIGHT(Calc!$E819,2)&amp;Calc!$Q819&amp;"|"&amp;"1"&amp;RIGHT("00000"&amp;810,5))</f>
        <v/>
      </c>
      <c r="C815">
        <f>IF($B815="","",COUNTIFS(LdgSellerA,$A815,LdgKeyA,"&lt;"&amp;$B815)+COUNTIFS(LdgSellerB,$A815,LdgKeyB,"&lt;"&amp;$B815)+1)</f>
        <v/>
      </c>
      <c r="D815">
        <f>IF($C815="","",$A815&amp;"|"&amp;RIGHT("000000"&amp;$C815,6))</f>
        <v/>
      </c>
      <c r="F815">
        <f>IF(Sync!$AH815="","",IF(LEFT(UPPER(TRIM(Sync!$AH815)),2)="SL",UPPER(TRIM(Sync!$AH815)),""))</f>
        <v/>
      </c>
      <c r="G815">
        <f>IF($F815="","",IF(Sync!$AE815="","",IF(ISNUMBER(Sync!$AE815),IF(AND(Sync!$AE815&gt;=10000101,Sync!$AE815&lt;=99991231),INT(Sync!$AE815/10000),""),IFERROR(VALUE(TRIM(LEFT(Sync!$AE815,FIND("/",Sync!$AE815)-1))),""))))</f>
        <v/>
      </c>
      <c r="H815">
        <f>IF(OR($F815="",$G815=""),"",IF(ISNUMBER(Sync!$AE815),INT(MOD(Sync!$AE815,10000)/100),IFERROR(VALUE(TRIM(LEFT(MID(Sync!$AE815,FIND("/",Sync!$AE815)+1,20),FIND("/",MID(Sync!$AE815,FIND("/",Sync!$AE815)+1,20))-1))),"")))</f>
        <v/>
      </c>
      <c r="I815">
        <f>IF(OR($F815="",$G815=""),"",IF(ISNUMBER(Sync!$AE815),MOD(Sync!$AE815,100),IFERROR(VALUE(TRIM(MID(MID(Sync!$AE815,FIND("/",Sync!$AE815)+1,20),FIND("/",MID(Sync!$AE815,FIND("/",Sync!$AE815)+1,20))+1,20))),"")))</f>
        <v/>
      </c>
      <c r="J815">
        <f>IF($F815="","",IF(OR($G815="",$H815="",$I815="",$G815&lt;1300,$G815&gt;1500,$H815&lt;1,$H815&gt;12,$I815&lt;1,$I815&gt;31),"نامعتبر",RIGHT("0000"&amp;$G815,4)&amp;"/"&amp;RIGHT("00"&amp;$H815,2)&amp;"/"&amp;RIGHT("00"&amp;$I815,2)))</f>
        <v/>
      </c>
      <c r="K815">
        <f>IF(OR($F815="",$J815="",$J815="نامعتبر"),"",LEFT($J815,4)&amp;MID($J815,6,2)&amp;RIGHT($J815,2)&amp;$N815&amp;"|"&amp;"2"&amp;RIGHT("00000"&amp;810,5))</f>
        <v/>
      </c>
      <c r="L815">
        <f>IF($K815="","",COUNTIFS(LdgSellerA,$F815,LdgKeyA,"&lt;"&amp;$K815)+COUNTIFS(LdgSellerB,$F815,LdgKeyB,"&lt;"&amp;$K815)+1)</f>
        <v/>
      </c>
      <c r="M815">
        <f>IF($L815="","",$F815&amp;"|"&amp;RIGHT("000000"&amp;$L815,6))</f>
        <v/>
      </c>
      <c r="N815">
        <f>IF($F815="","",IF(Sync!$AF815="","0000",IF(AND(ISNUMBER(Sync!$AF815),Sync!$AF815&gt;=0,Sync!$AF815&lt;1),RIGHT("00"&amp;HOUR(Sync!$AF815),2)&amp;RIGHT("00"&amp;MINUTE(Sync!$AF815),2),IFERROR(RIGHT("00"&amp;VALUE(LEFT(Sync!$AF815,FIND(":",Sync!$AF815)-1)),2)&amp;RIGHT("00"&amp;VALUE(MID(Sync!$AF815,FIND(":",Sync!$AF815)+1,2)),2),"0000"))))</f>
        <v/>
      </c>
    </row>
    <row r="816">
      <c r="A816">
        <f>IF(OR(Calc!$E820="",Calc!$E820="نامعتبر",Calc!$G820=""),"",Calc!$G820)</f>
        <v/>
      </c>
      <c r="B816">
        <f>IF($A816="","",LEFT(Calc!$E820,4)&amp;MID(Calc!$E820,6,2)&amp;RIGHT(Calc!$E820,2)&amp;Calc!$Q820&amp;"|"&amp;"1"&amp;RIGHT("00000"&amp;811,5))</f>
        <v/>
      </c>
      <c r="C816">
        <f>IF($B816="","",COUNTIFS(LdgSellerA,$A816,LdgKeyA,"&lt;"&amp;$B816)+COUNTIFS(LdgSellerB,$A816,LdgKeyB,"&lt;"&amp;$B816)+1)</f>
        <v/>
      </c>
      <c r="D816">
        <f>IF($C816="","",$A816&amp;"|"&amp;RIGHT("000000"&amp;$C816,6))</f>
        <v/>
      </c>
      <c r="F816">
        <f>IF(Sync!$AH816="","",IF(LEFT(UPPER(TRIM(Sync!$AH816)),2)="SL",UPPER(TRIM(Sync!$AH816)),""))</f>
        <v/>
      </c>
      <c r="G816">
        <f>IF($F816="","",IF(Sync!$AE816="","",IF(ISNUMBER(Sync!$AE816),IF(AND(Sync!$AE816&gt;=10000101,Sync!$AE816&lt;=99991231),INT(Sync!$AE816/10000),""),IFERROR(VALUE(TRIM(LEFT(Sync!$AE816,FIND("/",Sync!$AE816)-1))),""))))</f>
        <v/>
      </c>
      <c r="H816">
        <f>IF(OR($F816="",$G816=""),"",IF(ISNUMBER(Sync!$AE816),INT(MOD(Sync!$AE816,10000)/100),IFERROR(VALUE(TRIM(LEFT(MID(Sync!$AE816,FIND("/",Sync!$AE816)+1,20),FIND("/",MID(Sync!$AE816,FIND("/",Sync!$AE816)+1,20))-1))),"")))</f>
        <v/>
      </c>
      <c r="I816">
        <f>IF(OR($F816="",$G816=""),"",IF(ISNUMBER(Sync!$AE816),MOD(Sync!$AE816,100),IFERROR(VALUE(TRIM(MID(MID(Sync!$AE816,FIND("/",Sync!$AE816)+1,20),FIND("/",MID(Sync!$AE816,FIND("/",Sync!$AE816)+1,20))+1,20))),"")))</f>
        <v/>
      </c>
      <c r="J816">
        <f>IF($F816="","",IF(OR($G816="",$H816="",$I816="",$G816&lt;1300,$G816&gt;1500,$H816&lt;1,$H816&gt;12,$I816&lt;1,$I816&gt;31),"نامعتبر",RIGHT("0000"&amp;$G816,4)&amp;"/"&amp;RIGHT("00"&amp;$H816,2)&amp;"/"&amp;RIGHT("00"&amp;$I816,2)))</f>
        <v/>
      </c>
      <c r="K816">
        <f>IF(OR($F816="",$J816="",$J816="نامعتبر"),"",LEFT($J816,4)&amp;MID($J816,6,2)&amp;RIGHT($J816,2)&amp;$N816&amp;"|"&amp;"2"&amp;RIGHT("00000"&amp;811,5))</f>
        <v/>
      </c>
      <c r="L816">
        <f>IF($K816="","",COUNTIFS(LdgSellerA,$F816,LdgKeyA,"&lt;"&amp;$K816)+COUNTIFS(LdgSellerB,$F816,LdgKeyB,"&lt;"&amp;$K816)+1)</f>
        <v/>
      </c>
      <c r="M816">
        <f>IF($L816="","",$F816&amp;"|"&amp;RIGHT("000000"&amp;$L816,6))</f>
        <v/>
      </c>
      <c r="N816">
        <f>IF($F816="","",IF(Sync!$AF816="","0000",IF(AND(ISNUMBER(Sync!$AF816),Sync!$AF816&gt;=0,Sync!$AF816&lt;1),RIGHT("00"&amp;HOUR(Sync!$AF816),2)&amp;RIGHT("00"&amp;MINUTE(Sync!$AF816),2),IFERROR(RIGHT("00"&amp;VALUE(LEFT(Sync!$AF816,FIND(":",Sync!$AF816)-1)),2)&amp;RIGHT("00"&amp;VALUE(MID(Sync!$AF816,FIND(":",Sync!$AF816)+1,2)),2),"0000"))))</f>
        <v/>
      </c>
    </row>
    <row r="817">
      <c r="A817">
        <f>IF(OR(Calc!$E821="",Calc!$E821="نامعتبر",Calc!$G821=""),"",Calc!$G821)</f>
        <v/>
      </c>
      <c r="B817">
        <f>IF($A817="","",LEFT(Calc!$E821,4)&amp;MID(Calc!$E821,6,2)&amp;RIGHT(Calc!$E821,2)&amp;Calc!$Q821&amp;"|"&amp;"1"&amp;RIGHT("00000"&amp;812,5))</f>
        <v/>
      </c>
      <c r="C817">
        <f>IF($B817="","",COUNTIFS(LdgSellerA,$A817,LdgKeyA,"&lt;"&amp;$B817)+COUNTIFS(LdgSellerB,$A817,LdgKeyB,"&lt;"&amp;$B817)+1)</f>
        <v/>
      </c>
      <c r="D817">
        <f>IF($C817="","",$A817&amp;"|"&amp;RIGHT("000000"&amp;$C817,6))</f>
        <v/>
      </c>
      <c r="F817">
        <f>IF(Sync!$AH817="","",IF(LEFT(UPPER(TRIM(Sync!$AH817)),2)="SL",UPPER(TRIM(Sync!$AH817)),""))</f>
        <v/>
      </c>
      <c r="G817">
        <f>IF($F817="","",IF(Sync!$AE817="","",IF(ISNUMBER(Sync!$AE817),IF(AND(Sync!$AE817&gt;=10000101,Sync!$AE817&lt;=99991231),INT(Sync!$AE817/10000),""),IFERROR(VALUE(TRIM(LEFT(Sync!$AE817,FIND("/",Sync!$AE817)-1))),""))))</f>
        <v/>
      </c>
      <c r="H817">
        <f>IF(OR($F817="",$G817=""),"",IF(ISNUMBER(Sync!$AE817),INT(MOD(Sync!$AE817,10000)/100),IFERROR(VALUE(TRIM(LEFT(MID(Sync!$AE817,FIND("/",Sync!$AE817)+1,20),FIND("/",MID(Sync!$AE817,FIND("/",Sync!$AE817)+1,20))-1))),"")))</f>
        <v/>
      </c>
      <c r="I817">
        <f>IF(OR($F817="",$G817=""),"",IF(ISNUMBER(Sync!$AE817),MOD(Sync!$AE817,100),IFERROR(VALUE(TRIM(MID(MID(Sync!$AE817,FIND("/",Sync!$AE817)+1,20),FIND("/",MID(Sync!$AE817,FIND("/",Sync!$AE817)+1,20))+1,20))),"")))</f>
        <v/>
      </c>
      <c r="J817">
        <f>IF($F817="","",IF(OR($G817="",$H817="",$I817="",$G817&lt;1300,$G817&gt;1500,$H817&lt;1,$H817&gt;12,$I817&lt;1,$I817&gt;31),"نامعتبر",RIGHT("0000"&amp;$G817,4)&amp;"/"&amp;RIGHT("00"&amp;$H817,2)&amp;"/"&amp;RIGHT("00"&amp;$I817,2)))</f>
        <v/>
      </c>
      <c r="K817">
        <f>IF(OR($F817="",$J817="",$J817="نامعتبر"),"",LEFT($J817,4)&amp;MID($J817,6,2)&amp;RIGHT($J817,2)&amp;$N817&amp;"|"&amp;"2"&amp;RIGHT("00000"&amp;812,5))</f>
        <v/>
      </c>
      <c r="L817">
        <f>IF($K817="","",COUNTIFS(LdgSellerA,$F817,LdgKeyA,"&lt;"&amp;$K817)+COUNTIFS(LdgSellerB,$F817,LdgKeyB,"&lt;"&amp;$K817)+1)</f>
        <v/>
      </c>
      <c r="M817">
        <f>IF($L817="","",$F817&amp;"|"&amp;RIGHT("000000"&amp;$L817,6))</f>
        <v/>
      </c>
      <c r="N817">
        <f>IF($F817="","",IF(Sync!$AF817="","0000",IF(AND(ISNUMBER(Sync!$AF817),Sync!$AF817&gt;=0,Sync!$AF817&lt;1),RIGHT("00"&amp;HOUR(Sync!$AF817),2)&amp;RIGHT("00"&amp;MINUTE(Sync!$AF817),2),IFERROR(RIGHT("00"&amp;VALUE(LEFT(Sync!$AF817,FIND(":",Sync!$AF817)-1)),2)&amp;RIGHT("00"&amp;VALUE(MID(Sync!$AF817,FIND(":",Sync!$AF817)+1,2)),2),"0000"))))</f>
        <v/>
      </c>
    </row>
    <row r="818">
      <c r="A818">
        <f>IF(OR(Calc!$E822="",Calc!$E822="نامعتبر",Calc!$G822=""),"",Calc!$G822)</f>
        <v/>
      </c>
      <c r="B818">
        <f>IF($A818="","",LEFT(Calc!$E822,4)&amp;MID(Calc!$E822,6,2)&amp;RIGHT(Calc!$E822,2)&amp;Calc!$Q822&amp;"|"&amp;"1"&amp;RIGHT("00000"&amp;813,5))</f>
        <v/>
      </c>
      <c r="C818">
        <f>IF($B818="","",COUNTIFS(LdgSellerA,$A818,LdgKeyA,"&lt;"&amp;$B818)+COUNTIFS(LdgSellerB,$A818,LdgKeyB,"&lt;"&amp;$B818)+1)</f>
        <v/>
      </c>
      <c r="D818">
        <f>IF($C818="","",$A818&amp;"|"&amp;RIGHT("000000"&amp;$C818,6))</f>
        <v/>
      </c>
      <c r="F818">
        <f>IF(Sync!$AH818="","",IF(LEFT(UPPER(TRIM(Sync!$AH818)),2)="SL",UPPER(TRIM(Sync!$AH818)),""))</f>
        <v/>
      </c>
      <c r="G818">
        <f>IF($F818="","",IF(Sync!$AE818="","",IF(ISNUMBER(Sync!$AE818),IF(AND(Sync!$AE818&gt;=10000101,Sync!$AE818&lt;=99991231),INT(Sync!$AE818/10000),""),IFERROR(VALUE(TRIM(LEFT(Sync!$AE818,FIND("/",Sync!$AE818)-1))),""))))</f>
        <v/>
      </c>
      <c r="H818">
        <f>IF(OR($F818="",$G818=""),"",IF(ISNUMBER(Sync!$AE818),INT(MOD(Sync!$AE818,10000)/100),IFERROR(VALUE(TRIM(LEFT(MID(Sync!$AE818,FIND("/",Sync!$AE818)+1,20),FIND("/",MID(Sync!$AE818,FIND("/",Sync!$AE818)+1,20))-1))),"")))</f>
        <v/>
      </c>
      <c r="I818">
        <f>IF(OR($F818="",$G818=""),"",IF(ISNUMBER(Sync!$AE818),MOD(Sync!$AE818,100),IFERROR(VALUE(TRIM(MID(MID(Sync!$AE818,FIND("/",Sync!$AE818)+1,20),FIND("/",MID(Sync!$AE818,FIND("/",Sync!$AE818)+1,20))+1,20))),"")))</f>
        <v/>
      </c>
      <c r="J818">
        <f>IF($F818="","",IF(OR($G818="",$H818="",$I818="",$G818&lt;1300,$G818&gt;1500,$H818&lt;1,$H818&gt;12,$I818&lt;1,$I818&gt;31),"نامعتبر",RIGHT("0000"&amp;$G818,4)&amp;"/"&amp;RIGHT("00"&amp;$H818,2)&amp;"/"&amp;RIGHT("00"&amp;$I818,2)))</f>
        <v/>
      </c>
      <c r="K818">
        <f>IF(OR($F818="",$J818="",$J818="نامعتبر"),"",LEFT($J818,4)&amp;MID($J818,6,2)&amp;RIGHT($J818,2)&amp;$N818&amp;"|"&amp;"2"&amp;RIGHT("00000"&amp;813,5))</f>
        <v/>
      </c>
      <c r="L818">
        <f>IF($K818="","",COUNTIFS(LdgSellerA,$F818,LdgKeyA,"&lt;"&amp;$K818)+COUNTIFS(LdgSellerB,$F818,LdgKeyB,"&lt;"&amp;$K818)+1)</f>
        <v/>
      </c>
      <c r="M818">
        <f>IF($L818="","",$F818&amp;"|"&amp;RIGHT("000000"&amp;$L818,6))</f>
        <v/>
      </c>
      <c r="N818">
        <f>IF($F818="","",IF(Sync!$AF818="","0000",IF(AND(ISNUMBER(Sync!$AF818),Sync!$AF818&gt;=0,Sync!$AF818&lt;1),RIGHT("00"&amp;HOUR(Sync!$AF818),2)&amp;RIGHT("00"&amp;MINUTE(Sync!$AF818),2),IFERROR(RIGHT("00"&amp;VALUE(LEFT(Sync!$AF818,FIND(":",Sync!$AF818)-1)),2)&amp;RIGHT("00"&amp;VALUE(MID(Sync!$AF818,FIND(":",Sync!$AF818)+1,2)),2),"0000"))))</f>
        <v/>
      </c>
    </row>
    <row r="819">
      <c r="A819">
        <f>IF(OR(Calc!$E823="",Calc!$E823="نامعتبر",Calc!$G823=""),"",Calc!$G823)</f>
        <v/>
      </c>
      <c r="B819">
        <f>IF($A819="","",LEFT(Calc!$E823,4)&amp;MID(Calc!$E823,6,2)&amp;RIGHT(Calc!$E823,2)&amp;Calc!$Q823&amp;"|"&amp;"1"&amp;RIGHT("00000"&amp;814,5))</f>
        <v/>
      </c>
      <c r="C819">
        <f>IF($B819="","",COUNTIFS(LdgSellerA,$A819,LdgKeyA,"&lt;"&amp;$B819)+COUNTIFS(LdgSellerB,$A819,LdgKeyB,"&lt;"&amp;$B819)+1)</f>
        <v/>
      </c>
      <c r="D819">
        <f>IF($C819="","",$A819&amp;"|"&amp;RIGHT("000000"&amp;$C819,6))</f>
        <v/>
      </c>
      <c r="F819">
        <f>IF(Sync!$AH819="","",IF(LEFT(UPPER(TRIM(Sync!$AH819)),2)="SL",UPPER(TRIM(Sync!$AH819)),""))</f>
        <v/>
      </c>
      <c r="G819">
        <f>IF($F819="","",IF(Sync!$AE819="","",IF(ISNUMBER(Sync!$AE819),IF(AND(Sync!$AE819&gt;=10000101,Sync!$AE819&lt;=99991231),INT(Sync!$AE819/10000),""),IFERROR(VALUE(TRIM(LEFT(Sync!$AE819,FIND("/",Sync!$AE819)-1))),""))))</f>
        <v/>
      </c>
      <c r="H819">
        <f>IF(OR($F819="",$G819=""),"",IF(ISNUMBER(Sync!$AE819),INT(MOD(Sync!$AE819,10000)/100),IFERROR(VALUE(TRIM(LEFT(MID(Sync!$AE819,FIND("/",Sync!$AE819)+1,20),FIND("/",MID(Sync!$AE819,FIND("/",Sync!$AE819)+1,20))-1))),"")))</f>
        <v/>
      </c>
      <c r="I819">
        <f>IF(OR($F819="",$G819=""),"",IF(ISNUMBER(Sync!$AE819),MOD(Sync!$AE819,100),IFERROR(VALUE(TRIM(MID(MID(Sync!$AE819,FIND("/",Sync!$AE819)+1,20),FIND("/",MID(Sync!$AE819,FIND("/",Sync!$AE819)+1,20))+1,20))),"")))</f>
        <v/>
      </c>
      <c r="J819">
        <f>IF($F819="","",IF(OR($G819="",$H819="",$I819="",$G819&lt;1300,$G819&gt;1500,$H819&lt;1,$H819&gt;12,$I819&lt;1,$I819&gt;31),"نامعتبر",RIGHT("0000"&amp;$G819,4)&amp;"/"&amp;RIGHT("00"&amp;$H819,2)&amp;"/"&amp;RIGHT("00"&amp;$I819,2)))</f>
        <v/>
      </c>
      <c r="K819">
        <f>IF(OR($F819="",$J819="",$J819="نامعتبر"),"",LEFT($J819,4)&amp;MID($J819,6,2)&amp;RIGHT($J819,2)&amp;$N819&amp;"|"&amp;"2"&amp;RIGHT("00000"&amp;814,5))</f>
        <v/>
      </c>
      <c r="L819">
        <f>IF($K819="","",COUNTIFS(LdgSellerA,$F819,LdgKeyA,"&lt;"&amp;$K819)+COUNTIFS(LdgSellerB,$F819,LdgKeyB,"&lt;"&amp;$K819)+1)</f>
        <v/>
      </c>
      <c r="M819">
        <f>IF($L819="","",$F819&amp;"|"&amp;RIGHT("000000"&amp;$L819,6))</f>
        <v/>
      </c>
      <c r="N819">
        <f>IF($F819="","",IF(Sync!$AF819="","0000",IF(AND(ISNUMBER(Sync!$AF819),Sync!$AF819&gt;=0,Sync!$AF819&lt;1),RIGHT("00"&amp;HOUR(Sync!$AF819),2)&amp;RIGHT("00"&amp;MINUTE(Sync!$AF819),2),IFERROR(RIGHT("00"&amp;VALUE(LEFT(Sync!$AF819,FIND(":",Sync!$AF819)-1)),2)&amp;RIGHT("00"&amp;VALUE(MID(Sync!$AF819,FIND(":",Sync!$AF819)+1,2)),2),"0000"))))</f>
        <v/>
      </c>
    </row>
    <row r="820">
      <c r="A820">
        <f>IF(OR(Calc!$E824="",Calc!$E824="نامعتبر",Calc!$G824=""),"",Calc!$G824)</f>
        <v/>
      </c>
      <c r="B820">
        <f>IF($A820="","",LEFT(Calc!$E824,4)&amp;MID(Calc!$E824,6,2)&amp;RIGHT(Calc!$E824,2)&amp;Calc!$Q824&amp;"|"&amp;"1"&amp;RIGHT("00000"&amp;815,5))</f>
        <v/>
      </c>
      <c r="C820">
        <f>IF($B820="","",COUNTIFS(LdgSellerA,$A820,LdgKeyA,"&lt;"&amp;$B820)+COUNTIFS(LdgSellerB,$A820,LdgKeyB,"&lt;"&amp;$B820)+1)</f>
        <v/>
      </c>
      <c r="D820">
        <f>IF($C820="","",$A820&amp;"|"&amp;RIGHT("000000"&amp;$C820,6))</f>
        <v/>
      </c>
      <c r="F820">
        <f>IF(Sync!$AH820="","",IF(LEFT(UPPER(TRIM(Sync!$AH820)),2)="SL",UPPER(TRIM(Sync!$AH820)),""))</f>
        <v/>
      </c>
      <c r="G820">
        <f>IF($F820="","",IF(Sync!$AE820="","",IF(ISNUMBER(Sync!$AE820),IF(AND(Sync!$AE820&gt;=10000101,Sync!$AE820&lt;=99991231),INT(Sync!$AE820/10000),""),IFERROR(VALUE(TRIM(LEFT(Sync!$AE820,FIND("/",Sync!$AE820)-1))),""))))</f>
        <v/>
      </c>
      <c r="H820">
        <f>IF(OR($F820="",$G820=""),"",IF(ISNUMBER(Sync!$AE820),INT(MOD(Sync!$AE820,10000)/100),IFERROR(VALUE(TRIM(LEFT(MID(Sync!$AE820,FIND("/",Sync!$AE820)+1,20),FIND("/",MID(Sync!$AE820,FIND("/",Sync!$AE820)+1,20))-1))),"")))</f>
        <v/>
      </c>
      <c r="I820">
        <f>IF(OR($F820="",$G820=""),"",IF(ISNUMBER(Sync!$AE820),MOD(Sync!$AE820,100),IFERROR(VALUE(TRIM(MID(MID(Sync!$AE820,FIND("/",Sync!$AE820)+1,20),FIND("/",MID(Sync!$AE820,FIND("/",Sync!$AE820)+1,20))+1,20))),"")))</f>
        <v/>
      </c>
      <c r="J820">
        <f>IF($F820="","",IF(OR($G820="",$H820="",$I820="",$G820&lt;1300,$G820&gt;1500,$H820&lt;1,$H820&gt;12,$I820&lt;1,$I820&gt;31),"نامعتبر",RIGHT("0000"&amp;$G820,4)&amp;"/"&amp;RIGHT("00"&amp;$H820,2)&amp;"/"&amp;RIGHT("00"&amp;$I820,2)))</f>
        <v/>
      </c>
      <c r="K820">
        <f>IF(OR($F820="",$J820="",$J820="نامعتبر"),"",LEFT($J820,4)&amp;MID($J820,6,2)&amp;RIGHT($J820,2)&amp;$N820&amp;"|"&amp;"2"&amp;RIGHT("00000"&amp;815,5))</f>
        <v/>
      </c>
      <c r="L820">
        <f>IF($K820="","",COUNTIFS(LdgSellerA,$F820,LdgKeyA,"&lt;"&amp;$K820)+COUNTIFS(LdgSellerB,$F820,LdgKeyB,"&lt;"&amp;$K820)+1)</f>
        <v/>
      </c>
      <c r="M820">
        <f>IF($L820="","",$F820&amp;"|"&amp;RIGHT("000000"&amp;$L820,6))</f>
        <v/>
      </c>
      <c r="N820">
        <f>IF($F820="","",IF(Sync!$AF820="","0000",IF(AND(ISNUMBER(Sync!$AF820),Sync!$AF820&gt;=0,Sync!$AF820&lt;1),RIGHT("00"&amp;HOUR(Sync!$AF820),2)&amp;RIGHT("00"&amp;MINUTE(Sync!$AF820),2),IFERROR(RIGHT("00"&amp;VALUE(LEFT(Sync!$AF820,FIND(":",Sync!$AF820)-1)),2)&amp;RIGHT("00"&amp;VALUE(MID(Sync!$AF820,FIND(":",Sync!$AF820)+1,2)),2),"0000"))))</f>
        <v/>
      </c>
    </row>
    <row r="821">
      <c r="A821">
        <f>IF(OR(Calc!$E825="",Calc!$E825="نامعتبر",Calc!$G825=""),"",Calc!$G825)</f>
        <v/>
      </c>
      <c r="B821">
        <f>IF($A821="","",LEFT(Calc!$E825,4)&amp;MID(Calc!$E825,6,2)&amp;RIGHT(Calc!$E825,2)&amp;Calc!$Q825&amp;"|"&amp;"1"&amp;RIGHT("00000"&amp;816,5))</f>
        <v/>
      </c>
      <c r="C821">
        <f>IF($B821="","",COUNTIFS(LdgSellerA,$A821,LdgKeyA,"&lt;"&amp;$B821)+COUNTIFS(LdgSellerB,$A821,LdgKeyB,"&lt;"&amp;$B821)+1)</f>
        <v/>
      </c>
      <c r="D821">
        <f>IF($C821="","",$A821&amp;"|"&amp;RIGHT("000000"&amp;$C821,6))</f>
        <v/>
      </c>
      <c r="F821">
        <f>IF(Sync!$AH821="","",IF(LEFT(UPPER(TRIM(Sync!$AH821)),2)="SL",UPPER(TRIM(Sync!$AH821)),""))</f>
        <v/>
      </c>
      <c r="G821">
        <f>IF($F821="","",IF(Sync!$AE821="","",IF(ISNUMBER(Sync!$AE821),IF(AND(Sync!$AE821&gt;=10000101,Sync!$AE821&lt;=99991231),INT(Sync!$AE821/10000),""),IFERROR(VALUE(TRIM(LEFT(Sync!$AE821,FIND("/",Sync!$AE821)-1))),""))))</f>
        <v/>
      </c>
      <c r="H821">
        <f>IF(OR($F821="",$G821=""),"",IF(ISNUMBER(Sync!$AE821),INT(MOD(Sync!$AE821,10000)/100),IFERROR(VALUE(TRIM(LEFT(MID(Sync!$AE821,FIND("/",Sync!$AE821)+1,20),FIND("/",MID(Sync!$AE821,FIND("/",Sync!$AE821)+1,20))-1))),"")))</f>
        <v/>
      </c>
      <c r="I821">
        <f>IF(OR($F821="",$G821=""),"",IF(ISNUMBER(Sync!$AE821),MOD(Sync!$AE821,100),IFERROR(VALUE(TRIM(MID(MID(Sync!$AE821,FIND("/",Sync!$AE821)+1,20),FIND("/",MID(Sync!$AE821,FIND("/",Sync!$AE821)+1,20))+1,20))),"")))</f>
        <v/>
      </c>
      <c r="J821">
        <f>IF($F821="","",IF(OR($G821="",$H821="",$I821="",$G821&lt;1300,$G821&gt;1500,$H821&lt;1,$H821&gt;12,$I821&lt;1,$I821&gt;31),"نامعتبر",RIGHT("0000"&amp;$G821,4)&amp;"/"&amp;RIGHT("00"&amp;$H821,2)&amp;"/"&amp;RIGHT("00"&amp;$I821,2)))</f>
        <v/>
      </c>
      <c r="K821">
        <f>IF(OR($F821="",$J821="",$J821="نامعتبر"),"",LEFT($J821,4)&amp;MID($J821,6,2)&amp;RIGHT($J821,2)&amp;$N821&amp;"|"&amp;"2"&amp;RIGHT("00000"&amp;816,5))</f>
        <v/>
      </c>
      <c r="L821">
        <f>IF($K821="","",COUNTIFS(LdgSellerA,$F821,LdgKeyA,"&lt;"&amp;$K821)+COUNTIFS(LdgSellerB,$F821,LdgKeyB,"&lt;"&amp;$K821)+1)</f>
        <v/>
      </c>
      <c r="M821">
        <f>IF($L821="","",$F821&amp;"|"&amp;RIGHT("000000"&amp;$L821,6))</f>
        <v/>
      </c>
      <c r="N821">
        <f>IF($F821="","",IF(Sync!$AF821="","0000",IF(AND(ISNUMBER(Sync!$AF821),Sync!$AF821&gt;=0,Sync!$AF821&lt;1),RIGHT("00"&amp;HOUR(Sync!$AF821),2)&amp;RIGHT("00"&amp;MINUTE(Sync!$AF821),2),IFERROR(RIGHT("00"&amp;VALUE(LEFT(Sync!$AF821,FIND(":",Sync!$AF821)-1)),2)&amp;RIGHT("00"&amp;VALUE(MID(Sync!$AF821,FIND(":",Sync!$AF821)+1,2)),2),"0000"))))</f>
        <v/>
      </c>
    </row>
    <row r="822">
      <c r="A822">
        <f>IF(OR(Calc!$E826="",Calc!$E826="نامعتبر",Calc!$G826=""),"",Calc!$G826)</f>
        <v/>
      </c>
      <c r="B822">
        <f>IF($A822="","",LEFT(Calc!$E826,4)&amp;MID(Calc!$E826,6,2)&amp;RIGHT(Calc!$E826,2)&amp;Calc!$Q826&amp;"|"&amp;"1"&amp;RIGHT("00000"&amp;817,5))</f>
        <v/>
      </c>
      <c r="C822">
        <f>IF($B822="","",COUNTIFS(LdgSellerA,$A822,LdgKeyA,"&lt;"&amp;$B822)+COUNTIFS(LdgSellerB,$A822,LdgKeyB,"&lt;"&amp;$B822)+1)</f>
        <v/>
      </c>
      <c r="D822">
        <f>IF($C822="","",$A822&amp;"|"&amp;RIGHT("000000"&amp;$C822,6))</f>
        <v/>
      </c>
      <c r="F822">
        <f>IF(Sync!$AH822="","",IF(LEFT(UPPER(TRIM(Sync!$AH822)),2)="SL",UPPER(TRIM(Sync!$AH822)),""))</f>
        <v/>
      </c>
      <c r="G822">
        <f>IF($F822="","",IF(Sync!$AE822="","",IF(ISNUMBER(Sync!$AE822),IF(AND(Sync!$AE822&gt;=10000101,Sync!$AE822&lt;=99991231),INT(Sync!$AE822/10000),""),IFERROR(VALUE(TRIM(LEFT(Sync!$AE822,FIND("/",Sync!$AE822)-1))),""))))</f>
        <v/>
      </c>
      <c r="H822">
        <f>IF(OR($F822="",$G822=""),"",IF(ISNUMBER(Sync!$AE822),INT(MOD(Sync!$AE822,10000)/100),IFERROR(VALUE(TRIM(LEFT(MID(Sync!$AE822,FIND("/",Sync!$AE822)+1,20),FIND("/",MID(Sync!$AE822,FIND("/",Sync!$AE822)+1,20))-1))),"")))</f>
        <v/>
      </c>
      <c r="I822">
        <f>IF(OR($F822="",$G822=""),"",IF(ISNUMBER(Sync!$AE822),MOD(Sync!$AE822,100),IFERROR(VALUE(TRIM(MID(MID(Sync!$AE822,FIND("/",Sync!$AE822)+1,20),FIND("/",MID(Sync!$AE822,FIND("/",Sync!$AE822)+1,20))+1,20))),"")))</f>
        <v/>
      </c>
      <c r="J822">
        <f>IF($F822="","",IF(OR($G822="",$H822="",$I822="",$G822&lt;1300,$G822&gt;1500,$H822&lt;1,$H822&gt;12,$I822&lt;1,$I822&gt;31),"نامعتبر",RIGHT("0000"&amp;$G822,4)&amp;"/"&amp;RIGHT("00"&amp;$H822,2)&amp;"/"&amp;RIGHT("00"&amp;$I822,2)))</f>
        <v/>
      </c>
      <c r="K822">
        <f>IF(OR($F822="",$J822="",$J822="نامعتبر"),"",LEFT($J822,4)&amp;MID($J822,6,2)&amp;RIGHT($J822,2)&amp;$N822&amp;"|"&amp;"2"&amp;RIGHT("00000"&amp;817,5))</f>
        <v/>
      </c>
      <c r="L822">
        <f>IF($K822="","",COUNTIFS(LdgSellerA,$F822,LdgKeyA,"&lt;"&amp;$K822)+COUNTIFS(LdgSellerB,$F822,LdgKeyB,"&lt;"&amp;$K822)+1)</f>
        <v/>
      </c>
      <c r="M822">
        <f>IF($L822="","",$F822&amp;"|"&amp;RIGHT("000000"&amp;$L822,6))</f>
        <v/>
      </c>
      <c r="N822">
        <f>IF($F822="","",IF(Sync!$AF822="","0000",IF(AND(ISNUMBER(Sync!$AF822),Sync!$AF822&gt;=0,Sync!$AF822&lt;1),RIGHT("00"&amp;HOUR(Sync!$AF822),2)&amp;RIGHT("00"&amp;MINUTE(Sync!$AF822),2),IFERROR(RIGHT("00"&amp;VALUE(LEFT(Sync!$AF822,FIND(":",Sync!$AF822)-1)),2)&amp;RIGHT("00"&amp;VALUE(MID(Sync!$AF822,FIND(":",Sync!$AF822)+1,2)),2),"0000"))))</f>
        <v/>
      </c>
    </row>
    <row r="823">
      <c r="A823">
        <f>IF(OR(Calc!$E827="",Calc!$E827="نامعتبر",Calc!$G827=""),"",Calc!$G827)</f>
        <v/>
      </c>
      <c r="B823">
        <f>IF($A823="","",LEFT(Calc!$E827,4)&amp;MID(Calc!$E827,6,2)&amp;RIGHT(Calc!$E827,2)&amp;Calc!$Q827&amp;"|"&amp;"1"&amp;RIGHT("00000"&amp;818,5))</f>
        <v/>
      </c>
      <c r="C823">
        <f>IF($B823="","",COUNTIFS(LdgSellerA,$A823,LdgKeyA,"&lt;"&amp;$B823)+COUNTIFS(LdgSellerB,$A823,LdgKeyB,"&lt;"&amp;$B823)+1)</f>
        <v/>
      </c>
      <c r="D823">
        <f>IF($C823="","",$A823&amp;"|"&amp;RIGHT("000000"&amp;$C823,6))</f>
        <v/>
      </c>
      <c r="F823">
        <f>IF(Sync!$AH823="","",IF(LEFT(UPPER(TRIM(Sync!$AH823)),2)="SL",UPPER(TRIM(Sync!$AH823)),""))</f>
        <v/>
      </c>
      <c r="G823">
        <f>IF($F823="","",IF(Sync!$AE823="","",IF(ISNUMBER(Sync!$AE823),IF(AND(Sync!$AE823&gt;=10000101,Sync!$AE823&lt;=99991231),INT(Sync!$AE823/10000),""),IFERROR(VALUE(TRIM(LEFT(Sync!$AE823,FIND("/",Sync!$AE823)-1))),""))))</f>
        <v/>
      </c>
      <c r="H823">
        <f>IF(OR($F823="",$G823=""),"",IF(ISNUMBER(Sync!$AE823),INT(MOD(Sync!$AE823,10000)/100),IFERROR(VALUE(TRIM(LEFT(MID(Sync!$AE823,FIND("/",Sync!$AE823)+1,20),FIND("/",MID(Sync!$AE823,FIND("/",Sync!$AE823)+1,20))-1))),"")))</f>
        <v/>
      </c>
      <c r="I823">
        <f>IF(OR($F823="",$G823=""),"",IF(ISNUMBER(Sync!$AE823),MOD(Sync!$AE823,100),IFERROR(VALUE(TRIM(MID(MID(Sync!$AE823,FIND("/",Sync!$AE823)+1,20),FIND("/",MID(Sync!$AE823,FIND("/",Sync!$AE823)+1,20))+1,20))),"")))</f>
        <v/>
      </c>
      <c r="J823">
        <f>IF($F823="","",IF(OR($G823="",$H823="",$I823="",$G823&lt;1300,$G823&gt;1500,$H823&lt;1,$H823&gt;12,$I823&lt;1,$I823&gt;31),"نامعتبر",RIGHT("0000"&amp;$G823,4)&amp;"/"&amp;RIGHT("00"&amp;$H823,2)&amp;"/"&amp;RIGHT("00"&amp;$I823,2)))</f>
        <v/>
      </c>
      <c r="K823">
        <f>IF(OR($F823="",$J823="",$J823="نامعتبر"),"",LEFT($J823,4)&amp;MID($J823,6,2)&amp;RIGHT($J823,2)&amp;$N823&amp;"|"&amp;"2"&amp;RIGHT("00000"&amp;818,5))</f>
        <v/>
      </c>
      <c r="L823">
        <f>IF($K823="","",COUNTIFS(LdgSellerA,$F823,LdgKeyA,"&lt;"&amp;$K823)+COUNTIFS(LdgSellerB,$F823,LdgKeyB,"&lt;"&amp;$K823)+1)</f>
        <v/>
      </c>
      <c r="M823">
        <f>IF($L823="","",$F823&amp;"|"&amp;RIGHT("000000"&amp;$L823,6))</f>
        <v/>
      </c>
      <c r="N823">
        <f>IF($F823="","",IF(Sync!$AF823="","0000",IF(AND(ISNUMBER(Sync!$AF823),Sync!$AF823&gt;=0,Sync!$AF823&lt;1),RIGHT("00"&amp;HOUR(Sync!$AF823),2)&amp;RIGHT("00"&amp;MINUTE(Sync!$AF823),2),IFERROR(RIGHT("00"&amp;VALUE(LEFT(Sync!$AF823,FIND(":",Sync!$AF823)-1)),2)&amp;RIGHT("00"&amp;VALUE(MID(Sync!$AF823,FIND(":",Sync!$AF823)+1,2)),2),"0000"))))</f>
        <v/>
      </c>
    </row>
    <row r="824">
      <c r="A824">
        <f>IF(OR(Calc!$E828="",Calc!$E828="نامعتبر",Calc!$G828=""),"",Calc!$G828)</f>
        <v/>
      </c>
      <c r="B824">
        <f>IF($A824="","",LEFT(Calc!$E828,4)&amp;MID(Calc!$E828,6,2)&amp;RIGHT(Calc!$E828,2)&amp;Calc!$Q828&amp;"|"&amp;"1"&amp;RIGHT("00000"&amp;819,5))</f>
        <v/>
      </c>
      <c r="C824">
        <f>IF($B824="","",COUNTIFS(LdgSellerA,$A824,LdgKeyA,"&lt;"&amp;$B824)+COUNTIFS(LdgSellerB,$A824,LdgKeyB,"&lt;"&amp;$B824)+1)</f>
        <v/>
      </c>
      <c r="D824">
        <f>IF($C824="","",$A824&amp;"|"&amp;RIGHT("000000"&amp;$C824,6))</f>
        <v/>
      </c>
      <c r="F824">
        <f>IF(Sync!$AH824="","",IF(LEFT(UPPER(TRIM(Sync!$AH824)),2)="SL",UPPER(TRIM(Sync!$AH824)),""))</f>
        <v/>
      </c>
      <c r="G824">
        <f>IF($F824="","",IF(Sync!$AE824="","",IF(ISNUMBER(Sync!$AE824),IF(AND(Sync!$AE824&gt;=10000101,Sync!$AE824&lt;=99991231),INT(Sync!$AE824/10000),""),IFERROR(VALUE(TRIM(LEFT(Sync!$AE824,FIND("/",Sync!$AE824)-1))),""))))</f>
        <v/>
      </c>
      <c r="H824">
        <f>IF(OR($F824="",$G824=""),"",IF(ISNUMBER(Sync!$AE824),INT(MOD(Sync!$AE824,10000)/100),IFERROR(VALUE(TRIM(LEFT(MID(Sync!$AE824,FIND("/",Sync!$AE824)+1,20),FIND("/",MID(Sync!$AE824,FIND("/",Sync!$AE824)+1,20))-1))),"")))</f>
        <v/>
      </c>
      <c r="I824">
        <f>IF(OR($F824="",$G824=""),"",IF(ISNUMBER(Sync!$AE824),MOD(Sync!$AE824,100),IFERROR(VALUE(TRIM(MID(MID(Sync!$AE824,FIND("/",Sync!$AE824)+1,20),FIND("/",MID(Sync!$AE824,FIND("/",Sync!$AE824)+1,20))+1,20))),"")))</f>
        <v/>
      </c>
      <c r="J824">
        <f>IF($F824="","",IF(OR($G824="",$H824="",$I824="",$G824&lt;1300,$G824&gt;1500,$H824&lt;1,$H824&gt;12,$I824&lt;1,$I824&gt;31),"نامعتبر",RIGHT("0000"&amp;$G824,4)&amp;"/"&amp;RIGHT("00"&amp;$H824,2)&amp;"/"&amp;RIGHT("00"&amp;$I824,2)))</f>
        <v/>
      </c>
      <c r="K824">
        <f>IF(OR($F824="",$J824="",$J824="نامعتبر"),"",LEFT($J824,4)&amp;MID($J824,6,2)&amp;RIGHT($J824,2)&amp;$N824&amp;"|"&amp;"2"&amp;RIGHT("00000"&amp;819,5))</f>
        <v/>
      </c>
      <c r="L824">
        <f>IF($K824="","",COUNTIFS(LdgSellerA,$F824,LdgKeyA,"&lt;"&amp;$K824)+COUNTIFS(LdgSellerB,$F824,LdgKeyB,"&lt;"&amp;$K824)+1)</f>
        <v/>
      </c>
      <c r="M824">
        <f>IF($L824="","",$F824&amp;"|"&amp;RIGHT("000000"&amp;$L824,6))</f>
        <v/>
      </c>
      <c r="N824">
        <f>IF($F824="","",IF(Sync!$AF824="","0000",IF(AND(ISNUMBER(Sync!$AF824),Sync!$AF824&gt;=0,Sync!$AF824&lt;1),RIGHT("00"&amp;HOUR(Sync!$AF824),2)&amp;RIGHT("00"&amp;MINUTE(Sync!$AF824),2),IFERROR(RIGHT("00"&amp;VALUE(LEFT(Sync!$AF824,FIND(":",Sync!$AF824)-1)),2)&amp;RIGHT("00"&amp;VALUE(MID(Sync!$AF824,FIND(":",Sync!$AF824)+1,2)),2),"0000"))))</f>
        <v/>
      </c>
    </row>
    <row r="825">
      <c r="A825">
        <f>IF(OR(Calc!$E829="",Calc!$E829="نامعتبر",Calc!$G829=""),"",Calc!$G829)</f>
        <v/>
      </c>
      <c r="B825">
        <f>IF($A825="","",LEFT(Calc!$E829,4)&amp;MID(Calc!$E829,6,2)&amp;RIGHT(Calc!$E829,2)&amp;Calc!$Q829&amp;"|"&amp;"1"&amp;RIGHT("00000"&amp;820,5))</f>
        <v/>
      </c>
      <c r="C825">
        <f>IF($B825="","",COUNTIFS(LdgSellerA,$A825,LdgKeyA,"&lt;"&amp;$B825)+COUNTIFS(LdgSellerB,$A825,LdgKeyB,"&lt;"&amp;$B825)+1)</f>
        <v/>
      </c>
      <c r="D825">
        <f>IF($C825="","",$A825&amp;"|"&amp;RIGHT("000000"&amp;$C825,6))</f>
        <v/>
      </c>
      <c r="F825">
        <f>IF(Sync!$AH825="","",IF(LEFT(UPPER(TRIM(Sync!$AH825)),2)="SL",UPPER(TRIM(Sync!$AH825)),""))</f>
        <v/>
      </c>
      <c r="G825">
        <f>IF($F825="","",IF(Sync!$AE825="","",IF(ISNUMBER(Sync!$AE825),IF(AND(Sync!$AE825&gt;=10000101,Sync!$AE825&lt;=99991231),INT(Sync!$AE825/10000),""),IFERROR(VALUE(TRIM(LEFT(Sync!$AE825,FIND("/",Sync!$AE825)-1))),""))))</f>
        <v/>
      </c>
      <c r="H825">
        <f>IF(OR($F825="",$G825=""),"",IF(ISNUMBER(Sync!$AE825),INT(MOD(Sync!$AE825,10000)/100),IFERROR(VALUE(TRIM(LEFT(MID(Sync!$AE825,FIND("/",Sync!$AE825)+1,20),FIND("/",MID(Sync!$AE825,FIND("/",Sync!$AE825)+1,20))-1))),"")))</f>
        <v/>
      </c>
      <c r="I825">
        <f>IF(OR($F825="",$G825=""),"",IF(ISNUMBER(Sync!$AE825),MOD(Sync!$AE825,100),IFERROR(VALUE(TRIM(MID(MID(Sync!$AE825,FIND("/",Sync!$AE825)+1,20),FIND("/",MID(Sync!$AE825,FIND("/",Sync!$AE825)+1,20))+1,20))),"")))</f>
        <v/>
      </c>
      <c r="J825">
        <f>IF($F825="","",IF(OR($G825="",$H825="",$I825="",$G825&lt;1300,$G825&gt;1500,$H825&lt;1,$H825&gt;12,$I825&lt;1,$I825&gt;31),"نامعتبر",RIGHT("0000"&amp;$G825,4)&amp;"/"&amp;RIGHT("00"&amp;$H825,2)&amp;"/"&amp;RIGHT("00"&amp;$I825,2)))</f>
        <v/>
      </c>
      <c r="K825">
        <f>IF(OR($F825="",$J825="",$J825="نامعتبر"),"",LEFT($J825,4)&amp;MID($J825,6,2)&amp;RIGHT($J825,2)&amp;$N825&amp;"|"&amp;"2"&amp;RIGHT("00000"&amp;820,5))</f>
        <v/>
      </c>
      <c r="L825">
        <f>IF($K825="","",COUNTIFS(LdgSellerA,$F825,LdgKeyA,"&lt;"&amp;$K825)+COUNTIFS(LdgSellerB,$F825,LdgKeyB,"&lt;"&amp;$K825)+1)</f>
        <v/>
      </c>
      <c r="M825">
        <f>IF($L825="","",$F825&amp;"|"&amp;RIGHT("000000"&amp;$L825,6))</f>
        <v/>
      </c>
      <c r="N825">
        <f>IF($F825="","",IF(Sync!$AF825="","0000",IF(AND(ISNUMBER(Sync!$AF825),Sync!$AF825&gt;=0,Sync!$AF825&lt;1),RIGHT("00"&amp;HOUR(Sync!$AF825),2)&amp;RIGHT("00"&amp;MINUTE(Sync!$AF825),2),IFERROR(RIGHT("00"&amp;VALUE(LEFT(Sync!$AF825,FIND(":",Sync!$AF825)-1)),2)&amp;RIGHT("00"&amp;VALUE(MID(Sync!$AF825,FIND(":",Sync!$AF825)+1,2)),2),"0000"))))</f>
        <v/>
      </c>
    </row>
    <row r="826">
      <c r="A826">
        <f>IF(OR(Calc!$E830="",Calc!$E830="نامعتبر",Calc!$G830=""),"",Calc!$G830)</f>
        <v/>
      </c>
      <c r="B826">
        <f>IF($A826="","",LEFT(Calc!$E830,4)&amp;MID(Calc!$E830,6,2)&amp;RIGHT(Calc!$E830,2)&amp;Calc!$Q830&amp;"|"&amp;"1"&amp;RIGHT("00000"&amp;821,5))</f>
        <v/>
      </c>
      <c r="C826">
        <f>IF($B826="","",COUNTIFS(LdgSellerA,$A826,LdgKeyA,"&lt;"&amp;$B826)+COUNTIFS(LdgSellerB,$A826,LdgKeyB,"&lt;"&amp;$B826)+1)</f>
        <v/>
      </c>
      <c r="D826">
        <f>IF($C826="","",$A826&amp;"|"&amp;RIGHT("000000"&amp;$C826,6))</f>
        <v/>
      </c>
      <c r="F826">
        <f>IF(Sync!$AH826="","",IF(LEFT(UPPER(TRIM(Sync!$AH826)),2)="SL",UPPER(TRIM(Sync!$AH826)),""))</f>
        <v/>
      </c>
      <c r="G826">
        <f>IF($F826="","",IF(Sync!$AE826="","",IF(ISNUMBER(Sync!$AE826),IF(AND(Sync!$AE826&gt;=10000101,Sync!$AE826&lt;=99991231),INT(Sync!$AE826/10000),""),IFERROR(VALUE(TRIM(LEFT(Sync!$AE826,FIND("/",Sync!$AE826)-1))),""))))</f>
        <v/>
      </c>
      <c r="H826">
        <f>IF(OR($F826="",$G826=""),"",IF(ISNUMBER(Sync!$AE826),INT(MOD(Sync!$AE826,10000)/100),IFERROR(VALUE(TRIM(LEFT(MID(Sync!$AE826,FIND("/",Sync!$AE826)+1,20),FIND("/",MID(Sync!$AE826,FIND("/",Sync!$AE826)+1,20))-1))),"")))</f>
        <v/>
      </c>
      <c r="I826">
        <f>IF(OR($F826="",$G826=""),"",IF(ISNUMBER(Sync!$AE826),MOD(Sync!$AE826,100),IFERROR(VALUE(TRIM(MID(MID(Sync!$AE826,FIND("/",Sync!$AE826)+1,20),FIND("/",MID(Sync!$AE826,FIND("/",Sync!$AE826)+1,20))+1,20))),"")))</f>
        <v/>
      </c>
      <c r="J826">
        <f>IF($F826="","",IF(OR($G826="",$H826="",$I826="",$G826&lt;1300,$G826&gt;1500,$H826&lt;1,$H826&gt;12,$I826&lt;1,$I826&gt;31),"نامعتبر",RIGHT("0000"&amp;$G826,4)&amp;"/"&amp;RIGHT("00"&amp;$H826,2)&amp;"/"&amp;RIGHT("00"&amp;$I826,2)))</f>
        <v/>
      </c>
      <c r="K826">
        <f>IF(OR($F826="",$J826="",$J826="نامعتبر"),"",LEFT($J826,4)&amp;MID($J826,6,2)&amp;RIGHT($J826,2)&amp;$N826&amp;"|"&amp;"2"&amp;RIGHT("00000"&amp;821,5))</f>
        <v/>
      </c>
      <c r="L826">
        <f>IF($K826="","",COUNTIFS(LdgSellerA,$F826,LdgKeyA,"&lt;"&amp;$K826)+COUNTIFS(LdgSellerB,$F826,LdgKeyB,"&lt;"&amp;$K826)+1)</f>
        <v/>
      </c>
      <c r="M826">
        <f>IF($L826="","",$F826&amp;"|"&amp;RIGHT("000000"&amp;$L826,6))</f>
        <v/>
      </c>
      <c r="N826">
        <f>IF($F826="","",IF(Sync!$AF826="","0000",IF(AND(ISNUMBER(Sync!$AF826),Sync!$AF826&gt;=0,Sync!$AF826&lt;1),RIGHT("00"&amp;HOUR(Sync!$AF826),2)&amp;RIGHT("00"&amp;MINUTE(Sync!$AF826),2),IFERROR(RIGHT("00"&amp;VALUE(LEFT(Sync!$AF826,FIND(":",Sync!$AF826)-1)),2)&amp;RIGHT("00"&amp;VALUE(MID(Sync!$AF826,FIND(":",Sync!$AF826)+1,2)),2),"0000"))))</f>
        <v/>
      </c>
    </row>
    <row r="827">
      <c r="A827">
        <f>IF(OR(Calc!$E831="",Calc!$E831="نامعتبر",Calc!$G831=""),"",Calc!$G831)</f>
        <v/>
      </c>
      <c r="B827">
        <f>IF($A827="","",LEFT(Calc!$E831,4)&amp;MID(Calc!$E831,6,2)&amp;RIGHT(Calc!$E831,2)&amp;Calc!$Q831&amp;"|"&amp;"1"&amp;RIGHT("00000"&amp;822,5))</f>
        <v/>
      </c>
      <c r="C827">
        <f>IF($B827="","",COUNTIFS(LdgSellerA,$A827,LdgKeyA,"&lt;"&amp;$B827)+COUNTIFS(LdgSellerB,$A827,LdgKeyB,"&lt;"&amp;$B827)+1)</f>
        <v/>
      </c>
      <c r="D827">
        <f>IF($C827="","",$A827&amp;"|"&amp;RIGHT("000000"&amp;$C827,6))</f>
        <v/>
      </c>
      <c r="F827">
        <f>IF(Sync!$AH827="","",IF(LEFT(UPPER(TRIM(Sync!$AH827)),2)="SL",UPPER(TRIM(Sync!$AH827)),""))</f>
        <v/>
      </c>
      <c r="G827">
        <f>IF($F827="","",IF(Sync!$AE827="","",IF(ISNUMBER(Sync!$AE827),IF(AND(Sync!$AE827&gt;=10000101,Sync!$AE827&lt;=99991231),INT(Sync!$AE827/10000),""),IFERROR(VALUE(TRIM(LEFT(Sync!$AE827,FIND("/",Sync!$AE827)-1))),""))))</f>
        <v/>
      </c>
      <c r="H827">
        <f>IF(OR($F827="",$G827=""),"",IF(ISNUMBER(Sync!$AE827),INT(MOD(Sync!$AE827,10000)/100),IFERROR(VALUE(TRIM(LEFT(MID(Sync!$AE827,FIND("/",Sync!$AE827)+1,20),FIND("/",MID(Sync!$AE827,FIND("/",Sync!$AE827)+1,20))-1))),"")))</f>
        <v/>
      </c>
      <c r="I827">
        <f>IF(OR($F827="",$G827=""),"",IF(ISNUMBER(Sync!$AE827),MOD(Sync!$AE827,100),IFERROR(VALUE(TRIM(MID(MID(Sync!$AE827,FIND("/",Sync!$AE827)+1,20),FIND("/",MID(Sync!$AE827,FIND("/",Sync!$AE827)+1,20))+1,20))),"")))</f>
        <v/>
      </c>
      <c r="J827">
        <f>IF($F827="","",IF(OR($G827="",$H827="",$I827="",$G827&lt;1300,$G827&gt;1500,$H827&lt;1,$H827&gt;12,$I827&lt;1,$I827&gt;31),"نامعتبر",RIGHT("0000"&amp;$G827,4)&amp;"/"&amp;RIGHT("00"&amp;$H827,2)&amp;"/"&amp;RIGHT("00"&amp;$I827,2)))</f>
        <v/>
      </c>
      <c r="K827">
        <f>IF(OR($F827="",$J827="",$J827="نامعتبر"),"",LEFT($J827,4)&amp;MID($J827,6,2)&amp;RIGHT($J827,2)&amp;$N827&amp;"|"&amp;"2"&amp;RIGHT("00000"&amp;822,5))</f>
        <v/>
      </c>
      <c r="L827">
        <f>IF($K827="","",COUNTIFS(LdgSellerA,$F827,LdgKeyA,"&lt;"&amp;$K827)+COUNTIFS(LdgSellerB,$F827,LdgKeyB,"&lt;"&amp;$K827)+1)</f>
        <v/>
      </c>
      <c r="M827">
        <f>IF($L827="","",$F827&amp;"|"&amp;RIGHT("000000"&amp;$L827,6))</f>
        <v/>
      </c>
      <c r="N827">
        <f>IF($F827="","",IF(Sync!$AF827="","0000",IF(AND(ISNUMBER(Sync!$AF827),Sync!$AF827&gt;=0,Sync!$AF827&lt;1),RIGHT("00"&amp;HOUR(Sync!$AF827),2)&amp;RIGHT("00"&amp;MINUTE(Sync!$AF827),2),IFERROR(RIGHT("00"&amp;VALUE(LEFT(Sync!$AF827,FIND(":",Sync!$AF827)-1)),2)&amp;RIGHT("00"&amp;VALUE(MID(Sync!$AF827,FIND(":",Sync!$AF827)+1,2)),2),"0000"))))</f>
        <v/>
      </c>
    </row>
    <row r="828">
      <c r="A828">
        <f>IF(OR(Calc!$E832="",Calc!$E832="نامعتبر",Calc!$G832=""),"",Calc!$G832)</f>
        <v/>
      </c>
      <c r="B828">
        <f>IF($A828="","",LEFT(Calc!$E832,4)&amp;MID(Calc!$E832,6,2)&amp;RIGHT(Calc!$E832,2)&amp;Calc!$Q832&amp;"|"&amp;"1"&amp;RIGHT("00000"&amp;823,5))</f>
        <v/>
      </c>
      <c r="C828">
        <f>IF($B828="","",COUNTIFS(LdgSellerA,$A828,LdgKeyA,"&lt;"&amp;$B828)+COUNTIFS(LdgSellerB,$A828,LdgKeyB,"&lt;"&amp;$B828)+1)</f>
        <v/>
      </c>
      <c r="D828">
        <f>IF($C828="","",$A828&amp;"|"&amp;RIGHT("000000"&amp;$C828,6))</f>
        <v/>
      </c>
      <c r="F828">
        <f>IF(Sync!$AH828="","",IF(LEFT(UPPER(TRIM(Sync!$AH828)),2)="SL",UPPER(TRIM(Sync!$AH828)),""))</f>
        <v/>
      </c>
      <c r="G828">
        <f>IF($F828="","",IF(Sync!$AE828="","",IF(ISNUMBER(Sync!$AE828),IF(AND(Sync!$AE828&gt;=10000101,Sync!$AE828&lt;=99991231),INT(Sync!$AE828/10000),""),IFERROR(VALUE(TRIM(LEFT(Sync!$AE828,FIND("/",Sync!$AE828)-1))),""))))</f>
        <v/>
      </c>
      <c r="H828">
        <f>IF(OR($F828="",$G828=""),"",IF(ISNUMBER(Sync!$AE828),INT(MOD(Sync!$AE828,10000)/100),IFERROR(VALUE(TRIM(LEFT(MID(Sync!$AE828,FIND("/",Sync!$AE828)+1,20),FIND("/",MID(Sync!$AE828,FIND("/",Sync!$AE828)+1,20))-1))),"")))</f>
        <v/>
      </c>
      <c r="I828">
        <f>IF(OR($F828="",$G828=""),"",IF(ISNUMBER(Sync!$AE828),MOD(Sync!$AE828,100),IFERROR(VALUE(TRIM(MID(MID(Sync!$AE828,FIND("/",Sync!$AE828)+1,20),FIND("/",MID(Sync!$AE828,FIND("/",Sync!$AE828)+1,20))+1,20))),"")))</f>
        <v/>
      </c>
      <c r="J828">
        <f>IF($F828="","",IF(OR($G828="",$H828="",$I828="",$G828&lt;1300,$G828&gt;1500,$H828&lt;1,$H828&gt;12,$I828&lt;1,$I828&gt;31),"نامعتبر",RIGHT("0000"&amp;$G828,4)&amp;"/"&amp;RIGHT("00"&amp;$H828,2)&amp;"/"&amp;RIGHT("00"&amp;$I828,2)))</f>
        <v/>
      </c>
      <c r="K828">
        <f>IF(OR($F828="",$J828="",$J828="نامعتبر"),"",LEFT($J828,4)&amp;MID($J828,6,2)&amp;RIGHT($J828,2)&amp;$N828&amp;"|"&amp;"2"&amp;RIGHT("00000"&amp;823,5))</f>
        <v/>
      </c>
      <c r="L828">
        <f>IF($K828="","",COUNTIFS(LdgSellerA,$F828,LdgKeyA,"&lt;"&amp;$K828)+COUNTIFS(LdgSellerB,$F828,LdgKeyB,"&lt;"&amp;$K828)+1)</f>
        <v/>
      </c>
      <c r="M828">
        <f>IF($L828="","",$F828&amp;"|"&amp;RIGHT("000000"&amp;$L828,6))</f>
        <v/>
      </c>
      <c r="N828">
        <f>IF($F828="","",IF(Sync!$AF828="","0000",IF(AND(ISNUMBER(Sync!$AF828),Sync!$AF828&gt;=0,Sync!$AF828&lt;1),RIGHT("00"&amp;HOUR(Sync!$AF828),2)&amp;RIGHT("00"&amp;MINUTE(Sync!$AF828),2),IFERROR(RIGHT("00"&amp;VALUE(LEFT(Sync!$AF828,FIND(":",Sync!$AF828)-1)),2)&amp;RIGHT("00"&amp;VALUE(MID(Sync!$AF828,FIND(":",Sync!$AF828)+1,2)),2),"0000"))))</f>
        <v/>
      </c>
    </row>
    <row r="829">
      <c r="A829">
        <f>IF(OR(Calc!$E833="",Calc!$E833="نامعتبر",Calc!$G833=""),"",Calc!$G833)</f>
        <v/>
      </c>
      <c r="B829">
        <f>IF($A829="","",LEFT(Calc!$E833,4)&amp;MID(Calc!$E833,6,2)&amp;RIGHT(Calc!$E833,2)&amp;Calc!$Q833&amp;"|"&amp;"1"&amp;RIGHT("00000"&amp;824,5))</f>
        <v/>
      </c>
      <c r="C829">
        <f>IF($B829="","",COUNTIFS(LdgSellerA,$A829,LdgKeyA,"&lt;"&amp;$B829)+COUNTIFS(LdgSellerB,$A829,LdgKeyB,"&lt;"&amp;$B829)+1)</f>
        <v/>
      </c>
      <c r="D829">
        <f>IF($C829="","",$A829&amp;"|"&amp;RIGHT("000000"&amp;$C829,6))</f>
        <v/>
      </c>
      <c r="F829">
        <f>IF(Sync!$AH829="","",IF(LEFT(UPPER(TRIM(Sync!$AH829)),2)="SL",UPPER(TRIM(Sync!$AH829)),""))</f>
        <v/>
      </c>
      <c r="G829">
        <f>IF($F829="","",IF(Sync!$AE829="","",IF(ISNUMBER(Sync!$AE829),IF(AND(Sync!$AE829&gt;=10000101,Sync!$AE829&lt;=99991231),INT(Sync!$AE829/10000),""),IFERROR(VALUE(TRIM(LEFT(Sync!$AE829,FIND("/",Sync!$AE829)-1))),""))))</f>
        <v/>
      </c>
      <c r="H829">
        <f>IF(OR($F829="",$G829=""),"",IF(ISNUMBER(Sync!$AE829),INT(MOD(Sync!$AE829,10000)/100),IFERROR(VALUE(TRIM(LEFT(MID(Sync!$AE829,FIND("/",Sync!$AE829)+1,20),FIND("/",MID(Sync!$AE829,FIND("/",Sync!$AE829)+1,20))-1))),"")))</f>
        <v/>
      </c>
      <c r="I829">
        <f>IF(OR($F829="",$G829=""),"",IF(ISNUMBER(Sync!$AE829),MOD(Sync!$AE829,100),IFERROR(VALUE(TRIM(MID(MID(Sync!$AE829,FIND("/",Sync!$AE829)+1,20),FIND("/",MID(Sync!$AE829,FIND("/",Sync!$AE829)+1,20))+1,20))),"")))</f>
        <v/>
      </c>
      <c r="J829">
        <f>IF($F829="","",IF(OR($G829="",$H829="",$I829="",$G829&lt;1300,$G829&gt;1500,$H829&lt;1,$H829&gt;12,$I829&lt;1,$I829&gt;31),"نامعتبر",RIGHT("0000"&amp;$G829,4)&amp;"/"&amp;RIGHT("00"&amp;$H829,2)&amp;"/"&amp;RIGHT("00"&amp;$I829,2)))</f>
        <v/>
      </c>
      <c r="K829">
        <f>IF(OR($F829="",$J829="",$J829="نامعتبر"),"",LEFT($J829,4)&amp;MID($J829,6,2)&amp;RIGHT($J829,2)&amp;$N829&amp;"|"&amp;"2"&amp;RIGHT("00000"&amp;824,5))</f>
        <v/>
      </c>
      <c r="L829">
        <f>IF($K829="","",COUNTIFS(LdgSellerA,$F829,LdgKeyA,"&lt;"&amp;$K829)+COUNTIFS(LdgSellerB,$F829,LdgKeyB,"&lt;"&amp;$K829)+1)</f>
        <v/>
      </c>
      <c r="M829">
        <f>IF($L829="","",$F829&amp;"|"&amp;RIGHT("000000"&amp;$L829,6))</f>
        <v/>
      </c>
      <c r="N829">
        <f>IF($F829="","",IF(Sync!$AF829="","0000",IF(AND(ISNUMBER(Sync!$AF829),Sync!$AF829&gt;=0,Sync!$AF829&lt;1),RIGHT("00"&amp;HOUR(Sync!$AF829),2)&amp;RIGHT("00"&amp;MINUTE(Sync!$AF829),2),IFERROR(RIGHT("00"&amp;VALUE(LEFT(Sync!$AF829,FIND(":",Sync!$AF829)-1)),2)&amp;RIGHT("00"&amp;VALUE(MID(Sync!$AF829,FIND(":",Sync!$AF829)+1,2)),2),"0000"))))</f>
        <v/>
      </c>
    </row>
    <row r="830">
      <c r="A830">
        <f>IF(OR(Calc!$E834="",Calc!$E834="نامعتبر",Calc!$G834=""),"",Calc!$G834)</f>
        <v/>
      </c>
      <c r="B830">
        <f>IF($A830="","",LEFT(Calc!$E834,4)&amp;MID(Calc!$E834,6,2)&amp;RIGHT(Calc!$E834,2)&amp;Calc!$Q834&amp;"|"&amp;"1"&amp;RIGHT("00000"&amp;825,5))</f>
        <v/>
      </c>
      <c r="C830">
        <f>IF($B830="","",COUNTIFS(LdgSellerA,$A830,LdgKeyA,"&lt;"&amp;$B830)+COUNTIFS(LdgSellerB,$A830,LdgKeyB,"&lt;"&amp;$B830)+1)</f>
        <v/>
      </c>
      <c r="D830">
        <f>IF($C830="","",$A830&amp;"|"&amp;RIGHT("000000"&amp;$C830,6))</f>
        <v/>
      </c>
      <c r="F830">
        <f>IF(Sync!$AH830="","",IF(LEFT(UPPER(TRIM(Sync!$AH830)),2)="SL",UPPER(TRIM(Sync!$AH830)),""))</f>
        <v/>
      </c>
      <c r="G830">
        <f>IF($F830="","",IF(Sync!$AE830="","",IF(ISNUMBER(Sync!$AE830),IF(AND(Sync!$AE830&gt;=10000101,Sync!$AE830&lt;=99991231),INT(Sync!$AE830/10000),""),IFERROR(VALUE(TRIM(LEFT(Sync!$AE830,FIND("/",Sync!$AE830)-1))),""))))</f>
        <v/>
      </c>
      <c r="H830">
        <f>IF(OR($F830="",$G830=""),"",IF(ISNUMBER(Sync!$AE830),INT(MOD(Sync!$AE830,10000)/100),IFERROR(VALUE(TRIM(LEFT(MID(Sync!$AE830,FIND("/",Sync!$AE830)+1,20),FIND("/",MID(Sync!$AE830,FIND("/",Sync!$AE830)+1,20))-1))),"")))</f>
        <v/>
      </c>
      <c r="I830">
        <f>IF(OR($F830="",$G830=""),"",IF(ISNUMBER(Sync!$AE830),MOD(Sync!$AE830,100),IFERROR(VALUE(TRIM(MID(MID(Sync!$AE830,FIND("/",Sync!$AE830)+1,20),FIND("/",MID(Sync!$AE830,FIND("/",Sync!$AE830)+1,20))+1,20))),"")))</f>
        <v/>
      </c>
      <c r="J830">
        <f>IF($F830="","",IF(OR($G830="",$H830="",$I830="",$G830&lt;1300,$G830&gt;1500,$H830&lt;1,$H830&gt;12,$I830&lt;1,$I830&gt;31),"نامعتبر",RIGHT("0000"&amp;$G830,4)&amp;"/"&amp;RIGHT("00"&amp;$H830,2)&amp;"/"&amp;RIGHT("00"&amp;$I830,2)))</f>
        <v/>
      </c>
      <c r="K830">
        <f>IF(OR($F830="",$J830="",$J830="نامعتبر"),"",LEFT($J830,4)&amp;MID($J830,6,2)&amp;RIGHT($J830,2)&amp;$N830&amp;"|"&amp;"2"&amp;RIGHT("00000"&amp;825,5))</f>
        <v/>
      </c>
      <c r="L830">
        <f>IF($K830="","",COUNTIFS(LdgSellerA,$F830,LdgKeyA,"&lt;"&amp;$K830)+COUNTIFS(LdgSellerB,$F830,LdgKeyB,"&lt;"&amp;$K830)+1)</f>
        <v/>
      </c>
      <c r="M830">
        <f>IF($L830="","",$F830&amp;"|"&amp;RIGHT("000000"&amp;$L830,6))</f>
        <v/>
      </c>
      <c r="N830">
        <f>IF($F830="","",IF(Sync!$AF830="","0000",IF(AND(ISNUMBER(Sync!$AF830),Sync!$AF830&gt;=0,Sync!$AF830&lt;1),RIGHT("00"&amp;HOUR(Sync!$AF830),2)&amp;RIGHT("00"&amp;MINUTE(Sync!$AF830),2),IFERROR(RIGHT("00"&amp;VALUE(LEFT(Sync!$AF830,FIND(":",Sync!$AF830)-1)),2)&amp;RIGHT("00"&amp;VALUE(MID(Sync!$AF830,FIND(":",Sync!$AF830)+1,2)),2),"0000"))))</f>
        <v/>
      </c>
    </row>
    <row r="831">
      <c r="A831">
        <f>IF(OR(Calc!$E835="",Calc!$E835="نامعتبر",Calc!$G835=""),"",Calc!$G835)</f>
        <v/>
      </c>
      <c r="B831">
        <f>IF($A831="","",LEFT(Calc!$E835,4)&amp;MID(Calc!$E835,6,2)&amp;RIGHT(Calc!$E835,2)&amp;Calc!$Q835&amp;"|"&amp;"1"&amp;RIGHT("00000"&amp;826,5))</f>
        <v/>
      </c>
      <c r="C831">
        <f>IF($B831="","",COUNTIFS(LdgSellerA,$A831,LdgKeyA,"&lt;"&amp;$B831)+COUNTIFS(LdgSellerB,$A831,LdgKeyB,"&lt;"&amp;$B831)+1)</f>
        <v/>
      </c>
      <c r="D831">
        <f>IF($C831="","",$A831&amp;"|"&amp;RIGHT("000000"&amp;$C831,6))</f>
        <v/>
      </c>
      <c r="F831">
        <f>IF(Sync!$AH831="","",IF(LEFT(UPPER(TRIM(Sync!$AH831)),2)="SL",UPPER(TRIM(Sync!$AH831)),""))</f>
        <v/>
      </c>
      <c r="G831">
        <f>IF($F831="","",IF(Sync!$AE831="","",IF(ISNUMBER(Sync!$AE831),IF(AND(Sync!$AE831&gt;=10000101,Sync!$AE831&lt;=99991231),INT(Sync!$AE831/10000),""),IFERROR(VALUE(TRIM(LEFT(Sync!$AE831,FIND("/",Sync!$AE831)-1))),""))))</f>
        <v/>
      </c>
      <c r="H831">
        <f>IF(OR($F831="",$G831=""),"",IF(ISNUMBER(Sync!$AE831),INT(MOD(Sync!$AE831,10000)/100),IFERROR(VALUE(TRIM(LEFT(MID(Sync!$AE831,FIND("/",Sync!$AE831)+1,20),FIND("/",MID(Sync!$AE831,FIND("/",Sync!$AE831)+1,20))-1))),"")))</f>
        <v/>
      </c>
      <c r="I831">
        <f>IF(OR($F831="",$G831=""),"",IF(ISNUMBER(Sync!$AE831),MOD(Sync!$AE831,100),IFERROR(VALUE(TRIM(MID(MID(Sync!$AE831,FIND("/",Sync!$AE831)+1,20),FIND("/",MID(Sync!$AE831,FIND("/",Sync!$AE831)+1,20))+1,20))),"")))</f>
        <v/>
      </c>
      <c r="J831">
        <f>IF($F831="","",IF(OR($G831="",$H831="",$I831="",$G831&lt;1300,$G831&gt;1500,$H831&lt;1,$H831&gt;12,$I831&lt;1,$I831&gt;31),"نامعتبر",RIGHT("0000"&amp;$G831,4)&amp;"/"&amp;RIGHT("00"&amp;$H831,2)&amp;"/"&amp;RIGHT("00"&amp;$I831,2)))</f>
        <v/>
      </c>
      <c r="K831">
        <f>IF(OR($F831="",$J831="",$J831="نامعتبر"),"",LEFT($J831,4)&amp;MID($J831,6,2)&amp;RIGHT($J831,2)&amp;$N831&amp;"|"&amp;"2"&amp;RIGHT("00000"&amp;826,5))</f>
        <v/>
      </c>
      <c r="L831">
        <f>IF($K831="","",COUNTIFS(LdgSellerA,$F831,LdgKeyA,"&lt;"&amp;$K831)+COUNTIFS(LdgSellerB,$F831,LdgKeyB,"&lt;"&amp;$K831)+1)</f>
        <v/>
      </c>
      <c r="M831">
        <f>IF($L831="","",$F831&amp;"|"&amp;RIGHT("000000"&amp;$L831,6))</f>
        <v/>
      </c>
      <c r="N831">
        <f>IF($F831="","",IF(Sync!$AF831="","0000",IF(AND(ISNUMBER(Sync!$AF831),Sync!$AF831&gt;=0,Sync!$AF831&lt;1),RIGHT("00"&amp;HOUR(Sync!$AF831),2)&amp;RIGHT("00"&amp;MINUTE(Sync!$AF831),2),IFERROR(RIGHT("00"&amp;VALUE(LEFT(Sync!$AF831,FIND(":",Sync!$AF831)-1)),2)&amp;RIGHT("00"&amp;VALUE(MID(Sync!$AF831,FIND(":",Sync!$AF831)+1,2)),2),"0000"))))</f>
        <v/>
      </c>
    </row>
    <row r="832">
      <c r="A832">
        <f>IF(OR(Calc!$E836="",Calc!$E836="نامعتبر",Calc!$G836=""),"",Calc!$G836)</f>
        <v/>
      </c>
      <c r="B832">
        <f>IF($A832="","",LEFT(Calc!$E836,4)&amp;MID(Calc!$E836,6,2)&amp;RIGHT(Calc!$E836,2)&amp;Calc!$Q836&amp;"|"&amp;"1"&amp;RIGHT("00000"&amp;827,5))</f>
        <v/>
      </c>
      <c r="C832">
        <f>IF($B832="","",COUNTIFS(LdgSellerA,$A832,LdgKeyA,"&lt;"&amp;$B832)+COUNTIFS(LdgSellerB,$A832,LdgKeyB,"&lt;"&amp;$B832)+1)</f>
        <v/>
      </c>
      <c r="D832">
        <f>IF($C832="","",$A832&amp;"|"&amp;RIGHT("000000"&amp;$C832,6))</f>
        <v/>
      </c>
      <c r="F832">
        <f>IF(Sync!$AH832="","",IF(LEFT(UPPER(TRIM(Sync!$AH832)),2)="SL",UPPER(TRIM(Sync!$AH832)),""))</f>
        <v/>
      </c>
      <c r="G832">
        <f>IF($F832="","",IF(Sync!$AE832="","",IF(ISNUMBER(Sync!$AE832),IF(AND(Sync!$AE832&gt;=10000101,Sync!$AE832&lt;=99991231),INT(Sync!$AE832/10000),""),IFERROR(VALUE(TRIM(LEFT(Sync!$AE832,FIND("/",Sync!$AE832)-1))),""))))</f>
        <v/>
      </c>
      <c r="H832">
        <f>IF(OR($F832="",$G832=""),"",IF(ISNUMBER(Sync!$AE832),INT(MOD(Sync!$AE832,10000)/100),IFERROR(VALUE(TRIM(LEFT(MID(Sync!$AE832,FIND("/",Sync!$AE832)+1,20),FIND("/",MID(Sync!$AE832,FIND("/",Sync!$AE832)+1,20))-1))),"")))</f>
        <v/>
      </c>
      <c r="I832">
        <f>IF(OR($F832="",$G832=""),"",IF(ISNUMBER(Sync!$AE832),MOD(Sync!$AE832,100),IFERROR(VALUE(TRIM(MID(MID(Sync!$AE832,FIND("/",Sync!$AE832)+1,20),FIND("/",MID(Sync!$AE832,FIND("/",Sync!$AE832)+1,20))+1,20))),"")))</f>
        <v/>
      </c>
      <c r="J832">
        <f>IF($F832="","",IF(OR($G832="",$H832="",$I832="",$G832&lt;1300,$G832&gt;1500,$H832&lt;1,$H832&gt;12,$I832&lt;1,$I832&gt;31),"نامعتبر",RIGHT("0000"&amp;$G832,4)&amp;"/"&amp;RIGHT("00"&amp;$H832,2)&amp;"/"&amp;RIGHT("00"&amp;$I832,2)))</f>
        <v/>
      </c>
      <c r="K832">
        <f>IF(OR($F832="",$J832="",$J832="نامعتبر"),"",LEFT($J832,4)&amp;MID($J832,6,2)&amp;RIGHT($J832,2)&amp;$N832&amp;"|"&amp;"2"&amp;RIGHT("00000"&amp;827,5))</f>
        <v/>
      </c>
      <c r="L832">
        <f>IF($K832="","",COUNTIFS(LdgSellerA,$F832,LdgKeyA,"&lt;"&amp;$K832)+COUNTIFS(LdgSellerB,$F832,LdgKeyB,"&lt;"&amp;$K832)+1)</f>
        <v/>
      </c>
      <c r="M832">
        <f>IF($L832="","",$F832&amp;"|"&amp;RIGHT("000000"&amp;$L832,6))</f>
        <v/>
      </c>
      <c r="N832">
        <f>IF($F832="","",IF(Sync!$AF832="","0000",IF(AND(ISNUMBER(Sync!$AF832),Sync!$AF832&gt;=0,Sync!$AF832&lt;1),RIGHT("00"&amp;HOUR(Sync!$AF832),2)&amp;RIGHT("00"&amp;MINUTE(Sync!$AF832),2),IFERROR(RIGHT("00"&amp;VALUE(LEFT(Sync!$AF832,FIND(":",Sync!$AF832)-1)),2)&amp;RIGHT("00"&amp;VALUE(MID(Sync!$AF832,FIND(":",Sync!$AF832)+1,2)),2),"0000"))))</f>
        <v/>
      </c>
    </row>
    <row r="833">
      <c r="A833">
        <f>IF(OR(Calc!$E837="",Calc!$E837="نامعتبر",Calc!$G837=""),"",Calc!$G837)</f>
        <v/>
      </c>
      <c r="B833">
        <f>IF($A833="","",LEFT(Calc!$E837,4)&amp;MID(Calc!$E837,6,2)&amp;RIGHT(Calc!$E837,2)&amp;Calc!$Q837&amp;"|"&amp;"1"&amp;RIGHT("00000"&amp;828,5))</f>
        <v/>
      </c>
      <c r="C833">
        <f>IF($B833="","",COUNTIFS(LdgSellerA,$A833,LdgKeyA,"&lt;"&amp;$B833)+COUNTIFS(LdgSellerB,$A833,LdgKeyB,"&lt;"&amp;$B833)+1)</f>
        <v/>
      </c>
      <c r="D833">
        <f>IF($C833="","",$A833&amp;"|"&amp;RIGHT("000000"&amp;$C833,6))</f>
        <v/>
      </c>
      <c r="F833">
        <f>IF(Sync!$AH833="","",IF(LEFT(UPPER(TRIM(Sync!$AH833)),2)="SL",UPPER(TRIM(Sync!$AH833)),""))</f>
        <v/>
      </c>
      <c r="G833">
        <f>IF($F833="","",IF(Sync!$AE833="","",IF(ISNUMBER(Sync!$AE833),IF(AND(Sync!$AE833&gt;=10000101,Sync!$AE833&lt;=99991231),INT(Sync!$AE833/10000),""),IFERROR(VALUE(TRIM(LEFT(Sync!$AE833,FIND("/",Sync!$AE833)-1))),""))))</f>
        <v/>
      </c>
      <c r="H833">
        <f>IF(OR($F833="",$G833=""),"",IF(ISNUMBER(Sync!$AE833),INT(MOD(Sync!$AE833,10000)/100),IFERROR(VALUE(TRIM(LEFT(MID(Sync!$AE833,FIND("/",Sync!$AE833)+1,20),FIND("/",MID(Sync!$AE833,FIND("/",Sync!$AE833)+1,20))-1))),"")))</f>
        <v/>
      </c>
      <c r="I833">
        <f>IF(OR($F833="",$G833=""),"",IF(ISNUMBER(Sync!$AE833),MOD(Sync!$AE833,100),IFERROR(VALUE(TRIM(MID(MID(Sync!$AE833,FIND("/",Sync!$AE833)+1,20),FIND("/",MID(Sync!$AE833,FIND("/",Sync!$AE833)+1,20))+1,20))),"")))</f>
        <v/>
      </c>
      <c r="J833">
        <f>IF($F833="","",IF(OR($G833="",$H833="",$I833="",$G833&lt;1300,$G833&gt;1500,$H833&lt;1,$H833&gt;12,$I833&lt;1,$I833&gt;31),"نامعتبر",RIGHT("0000"&amp;$G833,4)&amp;"/"&amp;RIGHT("00"&amp;$H833,2)&amp;"/"&amp;RIGHT("00"&amp;$I833,2)))</f>
        <v/>
      </c>
      <c r="K833">
        <f>IF(OR($F833="",$J833="",$J833="نامعتبر"),"",LEFT($J833,4)&amp;MID($J833,6,2)&amp;RIGHT($J833,2)&amp;$N833&amp;"|"&amp;"2"&amp;RIGHT("00000"&amp;828,5))</f>
        <v/>
      </c>
      <c r="L833">
        <f>IF($K833="","",COUNTIFS(LdgSellerA,$F833,LdgKeyA,"&lt;"&amp;$K833)+COUNTIFS(LdgSellerB,$F833,LdgKeyB,"&lt;"&amp;$K833)+1)</f>
        <v/>
      </c>
      <c r="M833">
        <f>IF($L833="","",$F833&amp;"|"&amp;RIGHT("000000"&amp;$L833,6))</f>
        <v/>
      </c>
      <c r="N833">
        <f>IF($F833="","",IF(Sync!$AF833="","0000",IF(AND(ISNUMBER(Sync!$AF833),Sync!$AF833&gt;=0,Sync!$AF833&lt;1),RIGHT("00"&amp;HOUR(Sync!$AF833),2)&amp;RIGHT("00"&amp;MINUTE(Sync!$AF833),2),IFERROR(RIGHT("00"&amp;VALUE(LEFT(Sync!$AF833,FIND(":",Sync!$AF833)-1)),2)&amp;RIGHT("00"&amp;VALUE(MID(Sync!$AF833,FIND(":",Sync!$AF833)+1,2)),2),"0000"))))</f>
        <v/>
      </c>
    </row>
    <row r="834">
      <c r="A834">
        <f>IF(OR(Calc!$E838="",Calc!$E838="نامعتبر",Calc!$G838=""),"",Calc!$G838)</f>
        <v/>
      </c>
      <c r="B834">
        <f>IF($A834="","",LEFT(Calc!$E838,4)&amp;MID(Calc!$E838,6,2)&amp;RIGHT(Calc!$E838,2)&amp;Calc!$Q838&amp;"|"&amp;"1"&amp;RIGHT("00000"&amp;829,5))</f>
        <v/>
      </c>
      <c r="C834">
        <f>IF($B834="","",COUNTIFS(LdgSellerA,$A834,LdgKeyA,"&lt;"&amp;$B834)+COUNTIFS(LdgSellerB,$A834,LdgKeyB,"&lt;"&amp;$B834)+1)</f>
        <v/>
      </c>
      <c r="D834">
        <f>IF($C834="","",$A834&amp;"|"&amp;RIGHT("000000"&amp;$C834,6))</f>
        <v/>
      </c>
      <c r="F834">
        <f>IF(Sync!$AH834="","",IF(LEFT(UPPER(TRIM(Sync!$AH834)),2)="SL",UPPER(TRIM(Sync!$AH834)),""))</f>
        <v/>
      </c>
      <c r="G834">
        <f>IF($F834="","",IF(Sync!$AE834="","",IF(ISNUMBER(Sync!$AE834),IF(AND(Sync!$AE834&gt;=10000101,Sync!$AE834&lt;=99991231),INT(Sync!$AE834/10000),""),IFERROR(VALUE(TRIM(LEFT(Sync!$AE834,FIND("/",Sync!$AE834)-1))),""))))</f>
        <v/>
      </c>
      <c r="H834">
        <f>IF(OR($F834="",$G834=""),"",IF(ISNUMBER(Sync!$AE834),INT(MOD(Sync!$AE834,10000)/100),IFERROR(VALUE(TRIM(LEFT(MID(Sync!$AE834,FIND("/",Sync!$AE834)+1,20),FIND("/",MID(Sync!$AE834,FIND("/",Sync!$AE834)+1,20))-1))),"")))</f>
        <v/>
      </c>
      <c r="I834">
        <f>IF(OR($F834="",$G834=""),"",IF(ISNUMBER(Sync!$AE834),MOD(Sync!$AE834,100),IFERROR(VALUE(TRIM(MID(MID(Sync!$AE834,FIND("/",Sync!$AE834)+1,20),FIND("/",MID(Sync!$AE834,FIND("/",Sync!$AE834)+1,20))+1,20))),"")))</f>
        <v/>
      </c>
      <c r="J834">
        <f>IF($F834="","",IF(OR($G834="",$H834="",$I834="",$G834&lt;1300,$G834&gt;1500,$H834&lt;1,$H834&gt;12,$I834&lt;1,$I834&gt;31),"نامعتبر",RIGHT("0000"&amp;$G834,4)&amp;"/"&amp;RIGHT("00"&amp;$H834,2)&amp;"/"&amp;RIGHT("00"&amp;$I834,2)))</f>
        <v/>
      </c>
      <c r="K834">
        <f>IF(OR($F834="",$J834="",$J834="نامعتبر"),"",LEFT($J834,4)&amp;MID($J834,6,2)&amp;RIGHT($J834,2)&amp;$N834&amp;"|"&amp;"2"&amp;RIGHT("00000"&amp;829,5))</f>
        <v/>
      </c>
      <c r="L834">
        <f>IF($K834="","",COUNTIFS(LdgSellerA,$F834,LdgKeyA,"&lt;"&amp;$K834)+COUNTIFS(LdgSellerB,$F834,LdgKeyB,"&lt;"&amp;$K834)+1)</f>
        <v/>
      </c>
      <c r="M834">
        <f>IF($L834="","",$F834&amp;"|"&amp;RIGHT("000000"&amp;$L834,6))</f>
        <v/>
      </c>
      <c r="N834">
        <f>IF($F834="","",IF(Sync!$AF834="","0000",IF(AND(ISNUMBER(Sync!$AF834),Sync!$AF834&gt;=0,Sync!$AF834&lt;1),RIGHT("00"&amp;HOUR(Sync!$AF834),2)&amp;RIGHT("00"&amp;MINUTE(Sync!$AF834),2),IFERROR(RIGHT("00"&amp;VALUE(LEFT(Sync!$AF834,FIND(":",Sync!$AF834)-1)),2)&amp;RIGHT("00"&amp;VALUE(MID(Sync!$AF834,FIND(":",Sync!$AF834)+1,2)),2),"0000"))))</f>
        <v/>
      </c>
    </row>
    <row r="835">
      <c r="A835">
        <f>IF(OR(Calc!$E839="",Calc!$E839="نامعتبر",Calc!$G839=""),"",Calc!$G839)</f>
        <v/>
      </c>
      <c r="B835">
        <f>IF($A835="","",LEFT(Calc!$E839,4)&amp;MID(Calc!$E839,6,2)&amp;RIGHT(Calc!$E839,2)&amp;Calc!$Q839&amp;"|"&amp;"1"&amp;RIGHT("00000"&amp;830,5))</f>
        <v/>
      </c>
      <c r="C835">
        <f>IF($B835="","",COUNTIFS(LdgSellerA,$A835,LdgKeyA,"&lt;"&amp;$B835)+COUNTIFS(LdgSellerB,$A835,LdgKeyB,"&lt;"&amp;$B835)+1)</f>
        <v/>
      </c>
      <c r="D835">
        <f>IF($C835="","",$A835&amp;"|"&amp;RIGHT("000000"&amp;$C835,6))</f>
        <v/>
      </c>
      <c r="F835">
        <f>IF(Sync!$AH835="","",IF(LEFT(UPPER(TRIM(Sync!$AH835)),2)="SL",UPPER(TRIM(Sync!$AH835)),""))</f>
        <v/>
      </c>
      <c r="G835">
        <f>IF($F835="","",IF(Sync!$AE835="","",IF(ISNUMBER(Sync!$AE835),IF(AND(Sync!$AE835&gt;=10000101,Sync!$AE835&lt;=99991231),INT(Sync!$AE835/10000),""),IFERROR(VALUE(TRIM(LEFT(Sync!$AE835,FIND("/",Sync!$AE835)-1))),""))))</f>
        <v/>
      </c>
      <c r="H835">
        <f>IF(OR($F835="",$G835=""),"",IF(ISNUMBER(Sync!$AE835),INT(MOD(Sync!$AE835,10000)/100),IFERROR(VALUE(TRIM(LEFT(MID(Sync!$AE835,FIND("/",Sync!$AE835)+1,20),FIND("/",MID(Sync!$AE835,FIND("/",Sync!$AE835)+1,20))-1))),"")))</f>
        <v/>
      </c>
      <c r="I835">
        <f>IF(OR($F835="",$G835=""),"",IF(ISNUMBER(Sync!$AE835),MOD(Sync!$AE835,100),IFERROR(VALUE(TRIM(MID(MID(Sync!$AE835,FIND("/",Sync!$AE835)+1,20),FIND("/",MID(Sync!$AE835,FIND("/",Sync!$AE835)+1,20))+1,20))),"")))</f>
        <v/>
      </c>
      <c r="J835">
        <f>IF($F835="","",IF(OR($G835="",$H835="",$I835="",$G835&lt;1300,$G835&gt;1500,$H835&lt;1,$H835&gt;12,$I835&lt;1,$I835&gt;31),"نامعتبر",RIGHT("0000"&amp;$G835,4)&amp;"/"&amp;RIGHT("00"&amp;$H835,2)&amp;"/"&amp;RIGHT("00"&amp;$I835,2)))</f>
        <v/>
      </c>
      <c r="K835">
        <f>IF(OR($F835="",$J835="",$J835="نامعتبر"),"",LEFT($J835,4)&amp;MID($J835,6,2)&amp;RIGHT($J835,2)&amp;$N835&amp;"|"&amp;"2"&amp;RIGHT("00000"&amp;830,5))</f>
        <v/>
      </c>
      <c r="L835">
        <f>IF($K835="","",COUNTIFS(LdgSellerA,$F835,LdgKeyA,"&lt;"&amp;$K835)+COUNTIFS(LdgSellerB,$F835,LdgKeyB,"&lt;"&amp;$K835)+1)</f>
        <v/>
      </c>
      <c r="M835">
        <f>IF($L835="","",$F835&amp;"|"&amp;RIGHT("000000"&amp;$L835,6))</f>
        <v/>
      </c>
      <c r="N835">
        <f>IF($F835="","",IF(Sync!$AF835="","0000",IF(AND(ISNUMBER(Sync!$AF835),Sync!$AF835&gt;=0,Sync!$AF835&lt;1),RIGHT("00"&amp;HOUR(Sync!$AF835),2)&amp;RIGHT("00"&amp;MINUTE(Sync!$AF835),2),IFERROR(RIGHT("00"&amp;VALUE(LEFT(Sync!$AF835,FIND(":",Sync!$AF835)-1)),2)&amp;RIGHT("00"&amp;VALUE(MID(Sync!$AF835,FIND(":",Sync!$AF835)+1,2)),2),"0000"))))</f>
        <v/>
      </c>
    </row>
    <row r="836">
      <c r="A836">
        <f>IF(OR(Calc!$E840="",Calc!$E840="نامعتبر",Calc!$G840=""),"",Calc!$G840)</f>
        <v/>
      </c>
      <c r="B836">
        <f>IF($A836="","",LEFT(Calc!$E840,4)&amp;MID(Calc!$E840,6,2)&amp;RIGHT(Calc!$E840,2)&amp;Calc!$Q840&amp;"|"&amp;"1"&amp;RIGHT("00000"&amp;831,5))</f>
        <v/>
      </c>
      <c r="C836">
        <f>IF($B836="","",COUNTIFS(LdgSellerA,$A836,LdgKeyA,"&lt;"&amp;$B836)+COUNTIFS(LdgSellerB,$A836,LdgKeyB,"&lt;"&amp;$B836)+1)</f>
        <v/>
      </c>
      <c r="D836">
        <f>IF($C836="","",$A836&amp;"|"&amp;RIGHT("000000"&amp;$C836,6))</f>
        <v/>
      </c>
      <c r="F836">
        <f>IF(Sync!$AH836="","",IF(LEFT(UPPER(TRIM(Sync!$AH836)),2)="SL",UPPER(TRIM(Sync!$AH836)),""))</f>
        <v/>
      </c>
      <c r="G836">
        <f>IF($F836="","",IF(Sync!$AE836="","",IF(ISNUMBER(Sync!$AE836),IF(AND(Sync!$AE836&gt;=10000101,Sync!$AE836&lt;=99991231),INT(Sync!$AE836/10000),""),IFERROR(VALUE(TRIM(LEFT(Sync!$AE836,FIND("/",Sync!$AE836)-1))),""))))</f>
        <v/>
      </c>
      <c r="H836">
        <f>IF(OR($F836="",$G836=""),"",IF(ISNUMBER(Sync!$AE836),INT(MOD(Sync!$AE836,10000)/100),IFERROR(VALUE(TRIM(LEFT(MID(Sync!$AE836,FIND("/",Sync!$AE836)+1,20),FIND("/",MID(Sync!$AE836,FIND("/",Sync!$AE836)+1,20))-1))),"")))</f>
        <v/>
      </c>
      <c r="I836">
        <f>IF(OR($F836="",$G836=""),"",IF(ISNUMBER(Sync!$AE836),MOD(Sync!$AE836,100),IFERROR(VALUE(TRIM(MID(MID(Sync!$AE836,FIND("/",Sync!$AE836)+1,20),FIND("/",MID(Sync!$AE836,FIND("/",Sync!$AE836)+1,20))+1,20))),"")))</f>
        <v/>
      </c>
      <c r="J836">
        <f>IF($F836="","",IF(OR($G836="",$H836="",$I836="",$G836&lt;1300,$G836&gt;1500,$H836&lt;1,$H836&gt;12,$I836&lt;1,$I836&gt;31),"نامعتبر",RIGHT("0000"&amp;$G836,4)&amp;"/"&amp;RIGHT("00"&amp;$H836,2)&amp;"/"&amp;RIGHT("00"&amp;$I836,2)))</f>
        <v/>
      </c>
      <c r="K836">
        <f>IF(OR($F836="",$J836="",$J836="نامعتبر"),"",LEFT($J836,4)&amp;MID($J836,6,2)&amp;RIGHT($J836,2)&amp;$N836&amp;"|"&amp;"2"&amp;RIGHT("00000"&amp;831,5))</f>
        <v/>
      </c>
      <c r="L836">
        <f>IF($K836="","",COUNTIFS(LdgSellerA,$F836,LdgKeyA,"&lt;"&amp;$K836)+COUNTIFS(LdgSellerB,$F836,LdgKeyB,"&lt;"&amp;$K836)+1)</f>
        <v/>
      </c>
      <c r="M836">
        <f>IF($L836="","",$F836&amp;"|"&amp;RIGHT("000000"&amp;$L836,6))</f>
        <v/>
      </c>
      <c r="N836">
        <f>IF($F836="","",IF(Sync!$AF836="","0000",IF(AND(ISNUMBER(Sync!$AF836),Sync!$AF836&gt;=0,Sync!$AF836&lt;1),RIGHT("00"&amp;HOUR(Sync!$AF836),2)&amp;RIGHT("00"&amp;MINUTE(Sync!$AF836),2),IFERROR(RIGHT("00"&amp;VALUE(LEFT(Sync!$AF836,FIND(":",Sync!$AF836)-1)),2)&amp;RIGHT("00"&amp;VALUE(MID(Sync!$AF836,FIND(":",Sync!$AF836)+1,2)),2),"0000"))))</f>
        <v/>
      </c>
    </row>
    <row r="837">
      <c r="A837">
        <f>IF(OR(Calc!$E841="",Calc!$E841="نامعتبر",Calc!$G841=""),"",Calc!$G841)</f>
        <v/>
      </c>
      <c r="B837">
        <f>IF($A837="","",LEFT(Calc!$E841,4)&amp;MID(Calc!$E841,6,2)&amp;RIGHT(Calc!$E841,2)&amp;Calc!$Q841&amp;"|"&amp;"1"&amp;RIGHT("00000"&amp;832,5))</f>
        <v/>
      </c>
      <c r="C837">
        <f>IF($B837="","",COUNTIFS(LdgSellerA,$A837,LdgKeyA,"&lt;"&amp;$B837)+COUNTIFS(LdgSellerB,$A837,LdgKeyB,"&lt;"&amp;$B837)+1)</f>
        <v/>
      </c>
      <c r="D837">
        <f>IF($C837="","",$A837&amp;"|"&amp;RIGHT("000000"&amp;$C837,6))</f>
        <v/>
      </c>
      <c r="F837">
        <f>IF(Sync!$AH837="","",IF(LEFT(UPPER(TRIM(Sync!$AH837)),2)="SL",UPPER(TRIM(Sync!$AH837)),""))</f>
        <v/>
      </c>
      <c r="G837">
        <f>IF($F837="","",IF(Sync!$AE837="","",IF(ISNUMBER(Sync!$AE837),IF(AND(Sync!$AE837&gt;=10000101,Sync!$AE837&lt;=99991231),INT(Sync!$AE837/10000),""),IFERROR(VALUE(TRIM(LEFT(Sync!$AE837,FIND("/",Sync!$AE837)-1))),""))))</f>
        <v/>
      </c>
      <c r="H837">
        <f>IF(OR($F837="",$G837=""),"",IF(ISNUMBER(Sync!$AE837),INT(MOD(Sync!$AE837,10000)/100),IFERROR(VALUE(TRIM(LEFT(MID(Sync!$AE837,FIND("/",Sync!$AE837)+1,20),FIND("/",MID(Sync!$AE837,FIND("/",Sync!$AE837)+1,20))-1))),"")))</f>
        <v/>
      </c>
      <c r="I837">
        <f>IF(OR($F837="",$G837=""),"",IF(ISNUMBER(Sync!$AE837),MOD(Sync!$AE837,100),IFERROR(VALUE(TRIM(MID(MID(Sync!$AE837,FIND("/",Sync!$AE837)+1,20),FIND("/",MID(Sync!$AE837,FIND("/",Sync!$AE837)+1,20))+1,20))),"")))</f>
        <v/>
      </c>
      <c r="J837">
        <f>IF($F837="","",IF(OR($G837="",$H837="",$I837="",$G837&lt;1300,$G837&gt;1500,$H837&lt;1,$H837&gt;12,$I837&lt;1,$I837&gt;31),"نامعتبر",RIGHT("0000"&amp;$G837,4)&amp;"/"&amp;RIGHT("00"&amp;$H837,2)&amp;"/"&amp;RIGHT("00"&amp;$I837,2)))</f>
        <v/>
      </c>
      <c r="K837">
        <f>IF(OR($F837="",$J837="",$J837="نامعتبر"),"",LEFT($J837,4)&amp;MID($J837,6,2)&amp;RIGHT($J837,2)&amp;$N837&amp;"|"&amp;"2"&amp;RIGHT("00000"&amp;832,5))</f>
        <v/>
      </c>
      <c r="L837">
        <f>IF($K837="","",COUNTIFS(LdgSellerA,$F837,LdgKeyA,"&lt;"&amp;$K837)+COUNTIFS(LdgSellerB,$F837,LdgKeyB,"&lt;"&amp;$K837)+1)</f>
        <v/>
      </c>
      <c r="M837">
        <f>IF($L837="","",$F837&amp;"|"&amp;RIGHT("000000"&amp;$L837,6))</f>
        <v/>
      </c>
      <c r="N837">
        <f>IF($F837="","",IF(Sync!$AF837="","0000",IF(AND(ISNUMBER(Sync!$AF837),Sync!$AF837&gt;=0,Sync!$AF837&lt;1),RIGHT("00"&amp;HOUR(Sync!$AF837),2)&amp;RIGHT("00"&amp;MINUTE(Sync!$AF837),2),IFERROR(RIGHT("00"&amp;VALUE(LEFT(Sync!$AF837,FIND(":",Sync!$AF837)-1)),2)&amp;RIGHT("00"&amp;VALUE(MID(Sync!$AF837,FIND(":",Sync!$AF837)+1,2)),2),"0000"))))</f>
        <v/>
      </c>
    </row>
    <row r="838">
      <c r="A838">
        <f>IF(OR(Calc!$E842="",Calc!$E842="نامعتبر",Calc!$G842=""),"",Calc!$G842)</f>
        <v/>
      </c>
      <c r="B838">
        <f>IF($A838="","",LEFT(Calc!$E842,4)&amp;MID(Calc!$E842,6,2)&amp;RIGHT(Calc!$E842,2)&amp;Calc!$Q842&amp;"|"&amp;"1"&amp;RIGHT("00000"&amp;833,5))</f>
        <v/>
      </c>
      <c r="C838">
        <f>IF($B838="","",COUNTIFS(LdgSellerA,$A838,LdgKeyA,"&lt;"&amp;$B838)+COUNTIFS(LdgSellerB,$A838,LdgKeyB,"&lt;"&amp;$B838)+1)</f>
        <v/>
      </c>
      <c r="D838">
        <f>IF($C838="","",$A838&amp;"|"&amp;RIGHT("000000"&amp;$C838,6))</f>
        <v/>
      </c>
      <c r="F838">
        <f>IF(Sync!$AH838="","",IF(LEFT(UPPER(TRIM(Sync!$AH838)),2)="SL",UPPER(TRIM(Sync!$AH838)),""))</f>
        <v/>
      </c>
      <c r="G838">
        <f>IF($F838="","",IF(Sync!$AE838="","",IF(ISNUMBER(Sync!$AE838),IF(AND(Sync!$AE838&gt;=10000101,Sync!$AE838&lt;=99991231),INT(Sync!$AE838/10000),""),IFERROR(VALUE(TRIM(LEFT(Sync!$AE838,FIND("/",Sync!$AE838)-1))),""))))</f>
        <v/>
      </c>
      <c r="H838">
        <f>IF(OR($F838="",$G838=""),"",IF(ISNUMBER(Sync!$AE838),INT(MOD(Sync!$AE838,10000)/100),IFERROR(VALUE(TRIM(LEFT(MID(Sync!$AE838,FIND("/",Sync!$AE838)+1,20),FIND("/",MID(Sync!$AE838,FIND("/",Sync!$AE838)+1,20))-1))),"")))</f>
        <v/>
      </c>
      <c r="I838">
        <f>IF(OR($F838="",$G838=""),"",IF(ISNUMBER(Sync!$AE838),MOD(Sync!$AE838,100),IFERROR(VALUE(TRIM(MID(MID(Sync!$AE838,FIND("/",Sync!$AE838)+1,20),FIND("/",MID(Sync!$AE838,FIND("/",Sync!$AE838)+1,20))+1,20))),"")))</f>
        <v/>
      </c>
      <c r="J838">
        <f>IF($F838="","",IF(OR($G838="",$H838="",$I838="",$G838&lt;1300,$G838&gt;1500,$H838&lt;1,$H838&gt;12,$I838&lt;1,$I838&gt;31),"نامعتبر",RIGHT("0000"&amp;$G838,4)&amp;"/"&amp;RIGHT("00"&amp;$H838,2)&amp;"/"&amp;RIGHT("00"&amp;$I838,2)))</f>
        <v/>
      </c>
      <c r="K838">
        <f>IF(OR($F838="",$J838="",$J838="نامعتبر"),"",LEFT($J838,4)&amp;MID($J838,6,2)&amp;RIGHT($J838,2)&amp;$N838&amp;"|"&amp;"2"&amp;RIGHT("00000"&amp;833,5))</f>
        <v/>
      </c>
      <c r="L838">
        <f>IF($K838="","",COUNTIFS(LdgSellerA,$F838,LdgKeyA,"&lt;"&amp;$K838)+COUNTIFS(LdgSellerB,$F838,LdgKeyB,"&lt;"&amp;$K838)+1)</f>
        <v/>
      </c>
      <c r="M838">
        <f>IF($L838="","",$F838&amp;"|"&amp;RIGHT("000000"&amp;$L838,6))</f>
        <v/>
      </c>
      <c r="N838">
        <f>IF($F838="","",IF(Sync!$AF838="","0000",IF(AND(ISNUMBER(Sync!$AF838),Sync!$AF838&gt;=0,Sync!$AF838&lt;1),RIGHT("00"&amp;HOUR(Sync!$AF838),2)&amp;RIGHT("00"&amp;MINUTE(Sync!$AF838),2),IFERROR(RIGHT("00"&amp;VALUE(LEFT(Sync!$AF838,FIND(":",Sync!$AF838)-1)),2)&amp;RIGHT("00"&amp;VALUE(MID(Sync!$AF838,FIND(":",Sync!$AF838)+1,2)),2),"0000"))))</f>
        <v/>
      </c>
    </row>
    <row r="839">
      <c r="A839">
        <f>IF(OR(Calc!$E843="",Calc!$E843="نامعتبر",Calc!$G843=""),"",Calc!$G843)</f>
        <v/>
      </c>
      <c r="B839">
        <f>IF($A839="","",LEFT(Calc!$E843,4)&amp;MID(Calc!$E843,6,2)&amp;RIGHT(Calc!$E843,2)&amp;Calc!$Q843&amp;"|"&amp;"1"&amp;RIGHT("00000"&amp;834,5))</f>
        <v/>
      </c>
      <c r="C839">
        <f>IF($B839="","",COUNTIFS(LdgSellerA,$A839,LdgKeyA,"&lt;"&amp;$B839)+COUNTIFS(LdgSellerB,$A839,LdgKeyB,"&lt;"&amp;$B839)+1)</f>
        <v/>
      </c>
      <c r="D839">
        <f>IF($C839="","",$A839&amp;"|"&amp;RIGHT("000000"&amp;$C839,6))</f>
        <v/>
      </c>
      <c r="F839">
        <f>IF(Sync!$AH839="","",IF(LEFT(UPPER(TRIM(Sync!$AH839)),2)="SL",UPPER(TRIM(Sync!$AH839)),""))</f>
        <v/>
      </c>
      <c r="G839">
        <f>IF($F839="","",IF(Sync!$AE839="","",IF(ISNUMBER(Sync!$AE839),IF(AND(Sync!$AE839&gt;=10000101,Sync!$AE839&lt;=99991231),INT(Sync!$AE839/10000),""),IFERROR(VALUE(TRIM(LEFT(Sync!$AE839,FIND("/",Sync!$AE839)-1))),""))))</f>
        <v/>
      </c>
      <c r="H839">
        <f>IF(OR($F839="",$G839=""),"",IF(ISNUMBER(Sync!$AE839),INT(MOD(Sync!$AE839,10000)/100),IFERROR(VALUE(TRIM(LEFT(MID(Sync!$AE839,FIND("/",Sync!$AE839)+1,20),FIND("/",MID(Sync!$AE839,FIND("/",Sync!$AE839)+1,20))-1))),"")))</f>
        <v/>
      </c>
      <c r="I839">
        <f>IF(OR($F839="",$G839=""),"",IF(ISNUMBER(Sync!$AE839),MOD(Sync!$AE839,100),IFERROR(VALUE(TRIM(MID(MID(Sync!$AE839,FIND("/",Sync!$AE839)+1,20),FIND("/",MID(Sync!$AE839,FIND("/",Sync!$AE839)+1,20))+1,20))),"")))</f>
        <v/>
      </c>
      <c r="J839">
        <f>IF($F839="","",IF(OR($G839="",$H839="",$I839="",$G839&lt;1300,$G839&gt;1500,$H839&lt;1,$H839&gt;12,$I839&lt;1,$I839&gt;31),"نامعتبر",RIGHT("0000"&amp;$G839,4)&amp;"/"&amp;RIGHT("00"&amp;$H839,2)&amp;"/"&amp;RIGHT("00"&amp;$I839,2)))</f>
        <v/>
      </c>
      <c r="K839">
        <f>IF(OR($F839="",$J839="",$J839="نامعتبر"),"",LEFT($J839,4)&amp;MID($J839,6,2)&amp;RIGHT($J839,2)&amp;$N839&amp;"|"&amp;"2"&amp;RIGHT("00000"&amp;834,5))</f>
        <v/>
      </c>
      <c r="L839">
        <f>IF($K839="","",COUNTIFS(LdgSellerA,$F839,LdgKeyA,"&lt;"&amp;$K839)+COUNTIFS(LdgSellerB,$F839,LdgKeyB,"&lt;"&amp;$K839)+1)</f>
        <v/>
      </c>
      <c r="M839">
        <f>IF($L839="","",$F839&amp;"|"&amp;RIGHT("000000"&amp;$L839,6))</f>
        <v/>
      </c>
      <c r="N839">
        <f>IF($F839="","",IF(Sync!$AF839="","0000",IF(AND(ISNUMBER(Sync!$AF839),Sync!$AF839&gt;=0,Sync!$AF839&lt;1),RIGHT("00"&amp;HOUR(Sync!$AF839),2)&amp;RIGHT("00"&amp;MINUTE(Sync!$AF839),2),IFERROR(RIGHT("00"&amp;VALUE(LEFT(Sync!$AF839,FIND(":",Sync!$AF839)-1)),2)&amp;RIGHT("00"&amp;VALUE(MID(Sync!$AF839,FIND(":",Sync!$AF839)+1,2)),2),"0000"))))</f>
        <v/>
      </c>
    </row>
    <row r="840">
      <c r="A840">
        <f>IF(OR(Calc!$E844="",Calc!$E844="نامعتبر",Calc!$G844=""),"",Calc!$G844)</f>
        <v/>
      </c>
      <c r="B840">
        <f>IF($A840="","",LEFT(Calc!$E844,4)&amp;MID(Calc!$E844,6,2)&amp;RIGHT(Calc!$E844,2)&amp;Calc!$Q844&amp;"|"&amp;"1"&amp;RIGHT("00000"&amp;835,5))</f>
        <v/>
      </c>
      <c r="C840">
        <f>IF($B840="","",COUNTIFS(LdgSellerA,$A840,LdgKeyA,"&lt;"&amp;$B840)+COUNTIFS(LdgSellerB,$A840,LdgKeyB,"&lt;"&amp;$B840)+1)</f>
        <v/>
      </c>
      <c r="D840">
        <f>IF($C840="","",$A840&amp;"|"&amp;RIGHT("000000"&amp;$C840,6))</f>
        <v/>
      </c>
      <c r="F840">
        <f>IF(Sync!$AH840="","",IF(LEFT(UPPER(TRIM(Sync!$AH840)),2)="SL",UPPER(TRIM(Sync!$AH840)),""))</f>
        <v/>
      </c>
      <c r="G840">
        <f>IF($F840="","",IF(Sync!$AE840="","",IF(ISNUMBER(Sync!$AE840),IF(AND(Sync!$AE840&gt;=10000101,Sync!$AE840&lt;=99991231),INT(Sync!$AE840/10000),""),IFERROR(VALUE(TRIM(LEFT(Sync!$AE840,FIND("/",Sync!$AE840)-1))),""))))</f>
        <v/>
      </c>
      <c r="H840">
        <f>IF(OR($F840="",$G840=""),"",IF(ISNUMBER(Sync!$AE840),INT(MOD(Sync!$AE840,10000)/100),IFERROR(VALUE(TRIM(LEFT(MID(Sync!$AE840,FIND("/",Sync!$AE840)+1,20),FIND("/",MID(Sync!$AE840,FIND("/",Sync!$AE840)+1,20))-1))),"")))</f>
        <v/>
      </c>
      <c r="I840">
        <f>IF(OR($F840="",$G840=""),"",IF(ISNUMBER(Sync!$AE840),MOD(Sync!$AE840,100),IFERROR(VALUE(TRIM(MID(MID(Sync!$AE840,FIND("/",Sync!$AE840)+1,20),FIND("/",MID(Sync!$AE840,FIND("/",Sync!$AE840)+1,20))+1,20))),"")))</f>
        <v/>
      </c>
      <c r="J840">
        <f>IF($F840="","",IF(OR($G840="",$H840="",$I840="",$G840&lt;1300,$G840&gt;1500,$H840&lt;1,$H840&gt;12,$I840&lt;1,$I840&gt;31),"نامعتبر",RIGHT("0000"&amp;$G840,4)&amp;"/"&amp;RIGHT("00"&amp;$H840,2)&amp;"/"&amp;RIGHT("00"&amp;$I840,2)))</f>
        <v/>
      </c>
      <c r="K840">
        <f>IF(OR($F840="",$J840="",$J840="نامعتبر"),"",LEFT($J840,4)&amp;MID($J840,6,2)&amp;RIGHT($J840,2)&amp;$N840&amp;"|"&amp;"2"&amp;RIGHT("00000"&amp;835,5))</f>
        <v/>
      </c>
      <c r="L840">
        <f>IF($K840="","",COUNTIFS(LdgSellerA,$F840,LdgKeyA,"&lt;"&amp;$K840)+COUNTIFS(LdgSellerB,$F840,LdgKeyB,"&lt;"&amp;$K840)+1)</f>
        <v/>
      </c>
      <c r="M840">
        <f>IF($L840="","",$F840&amp;"|"&amp;RIGHT("000000"&amp;$L840,6))</f>
        <v/>
      </c>
      <c r="N840">
        <f>IF($F840="","",IF(Sync!$AF840="","0000",IF(AND(ISNUMBER(Sync!$AF840),Sync!$AF840&gt;=0,Sync!$AF840&lt;1),RIGHT("00"&amp;HOUR(Sync!$AF840),2)&amp;RIGHT("00"&amp;MINUTE(Sync!$AF840),2),IFERROR(RIGHT("00"&amp;VALUE(LEFT(Sync!$AF840,FIND(":",Sync!$AF840)-1)),2)&amp;RIGHT("00"&amp;VALUE(MID(Sync!$AF840,FIND(":",Sync!$AF840)+1,2)),2),"0000"))))</f>
        <v/>
      </c>
    </row>
    <row r="841">
      <c r="A841">
        <f>IF(OR(Calc!$E845="",Calc!$E845="نامعتبر",Calc!$G845=""),"",Calc!$G845)</f>
        <v/>
      </c>
      <c r="B841">
        <f>IF($A841="","",LEFT(Calc!$E845,4)&amp;MID(Calc!$E845,6,2)&amp;RIGHT(Calc!$E845,2)&amp;Calc!$Q845&amp;"|"&amp;"1"&amp;RIGHT("00000"&amp;836,5))</f>
        <v/>
      </c>
      <c r="C841">
        <f>IF($B841="","",COUNTIFS(LdgSellerA,$A841,LdgKeyA,"&lt;"&amp;$B841)+COUNTIFS(LdgSellerB,$A841,LdgKeyB,"&lt;"&amp;$B841)+1)</f>
        <v/>
      </c>
      <c r="D841">
        <f>IF($C841="","",$A841&amp;"|"&amp;RIGHT("000000"&amp;$C841,6))</f>
        <v/>
      </c>
      <c r="F841">
        <f>IF(Sync!$AH841="","",IF(LEFT(UPPER(TRIM(Sync!$AH841)),2)="SL",UPPER(TRIM(Sync!$AH841)),""))</f>
        <v/>
      </c>
      <c r="G841">
        <f>IF($F841="","",IF(Sync!$AE841="","",IF(ISNUMBER(Sync!$AE841),IF(AND(Sync!$AE841&gt;=10000101,Sync!$AE841&lt;=99991231),INT(Sync!$AE841/10000),""),IFERROR(VALUE(TRIM(LEFT(Sync!$AE841,FIND("/",Sync!$AE841)-1))),""))))</f>
        <v/>
      </c>
      <c r="H841">
        <f>IF(OR($F841="",$G841=""),"",IF(ISNUMBER(Sync!$AE841),INT(MOD(Sync!$AE841,10000)/100),IFERROR(VALUE(TRIM(LEFT(MID(Sync!$AE841,FIND("/",Sync!$AE841)+1,20),FIND("/",MID(Sync!$AE841,FIND("/",Sync!$AE841)+1,20))-1))),"")))</f>
        <v/>
      </c>
      <c r="I841">
        <f>IF(OR($F841="",$G841=""),"",IF(ISNUMBER(Sync!$AE841),MOD(Sync!$AE841,100),IFERROR(VALUE(TRIM(MID(MID(Sync!$AE841,FIND("/",Sync!$AE841)+1,20),FIND("/",MID(Sync!$AE841,FIND("/",Sync!$AE841)+1,20))+1,20))),"")))</f>
        <v/>
      </c>
      <c r="J841">
        <f>IF($F841="","",IF(OR($G841="",$H841="",$I841="",$G841&lt;1300,$G841&gt;1500,$H841&lt;1,$H841&gt;12,$I841&lt;1,$I841&gt;31),"نامعتبر",RIGHT("0000"&amp;$G841,4)&amp;"/"&amp;RIGHT("00"&amp;$H841,2)&amp;"/"&amp;RIGHT("00"&amp;$I841,2)))</f>
        <v/>
      </c>
      <c r="K841">
        <f>IF(OR($F841="",$J841="",$J841="نامعتبر"),"",LEFT($J841,4)&amp;MID($J841,6,2)&amp;RIGHT($J841,2)&amp;$N841&amp;"|"&amp;"2"&amp;RIGHT("00000"&amp;836,5))</f>
        <v/>
      </c>
      <c r="L841">
        <f>IF($K841="","",COUNTIFS(LdgSellerA,$F841,LdgKeyA,"&lt;"&amp;$K841)+COUNTIFS(LdgSellerB,$F841,LdgKeyB,"&lt;"&amp;$K841)+1)</f>
        <v/>
      </c>
      <c r="M841">
        <f>IF($L841="","",$F841&amp;"|"&amp;RIGHT("000000"&amp;$L841,6))</f>
        <v/>
      </c>
      <c r="N841">
        <f>IF($F841="","",IF(Sync!$AF841="","0000",IF(AND(ISNUMBER(Sync!$AF841),Sync!$AF841&gt;=0,Sync!$AF841&lt;1),RIGHT("00"&amp;HOUR(Sync!$AF841),2)&amp;RIGHT("00"&amp;MINUTE(Sync!$AF841),2),IFERROR(RIGHT("00"&amp;VALUE(LEFT(Sync!$AF841,FIND(":",Sync!$AF841)-1)),2)&amp;RIGHT("00"&amp;VALUE(MID(Sync!$AF841,FIND(":",Sync!$AF841)+1,2)),2),"0000"))))</f>
        <v/>
      </c>
    </row>
    <row r="842">
      <c r="A842">
        <f>IF(OR(Calc!$E846="",Calc!$E846="نامعتبر",Calc!$G846=""),"",Calc!$G846)</f>
        <v/>
      </c>
      <c r="B842">
        <f>IF($A842="","",LEFT(Calc!$E846,4)&amp;MID(Calc!$E846,6,2)&amp;RIGHT(Calc!$E846,2)&amp;Calc!$Q846&amp;"|"&amp;"1"&amp;RIGHT("00000"&amp;837,5))</f>
        <v/>
      </c>
      <c r="C842">
        <f>IF($B842="","",COUNTIFS(LdgSellerA,$A842,LdgKeyA,"&lt;"&amp;$B842)+COUNTIFS(LdgSellerB,$A842,LdgKeyB,"&lt;"&amp;$B842)+1)</f>
        <v/>
      </c>
      <c r="D842">
        <f>IF($C842="","",$A842&amp;"|"&amp;RIGHT("000000"&amp;$C842,6))</f>
        <v/>
      </c>
      <c r="F842">
        <f>IF(Sync!$AH842="","",IF(LEFT(UPPER(TRIM(Sync!$AH842)),2)="SL",UPPER(TRIM(Sync!$AH842)),""))</f>
        <v/>
      </c>
      <c r="G842">
        <f>IF($F842="","",IF(Sync!$AE842="","",IF(ISNUMBER(Sync!$AE842),IF(AND(Sync!$AE842&gt;=10000101,Sync!$AE842&lt;=99991231),INT(Sync!$AE842/10000),""),IFERROR(VALUE(TRIM(LEFT(Sync!$AE842,FIND("/",Sync!$AE842)-1))),""))))</f>
        <v/>
      </c>
      <c r="H842">
        <f>IF(OR($F842="",$G842=""),"",IF(ISNUMBER(Sync!$AE842),INT(MOD(Sync!$AE842,10000)/100),IFERROR(VALUE(TRIM(LEFT(MID(Sync!$AE842,FIND("/",Sync!$AE842)+1,20),FIND("/",MID(Sync!$AE842,FIND("/",Sync!$AE842)+1,20))-1))),"")))</f>
        <v/>
      </c>
      <c r="I842">
        <f>IF(OR($F842="",$G842=""),"",IF(ISNUMBER(Sync!$AE842),MOD(Sync!$AE842,100),IFERROR(VALUE(TRIM(MID(MID(Sync!$AE842,FIND("/",Sync!$AE842)+1,20),FIND("/",MID(Sync!$AE842,FIND("/",Sync!$AE842)+1,20))+1,20))),"")))</f>
        <v/>
      </c>
      <c r="J842">
        <f>IF($F842="","",IF(OR($G842="",$H842="",$I842="",$G842&lt;1300,$G842&gt;1500,$H842&lt;1,$H842&gt;12,$I842&lt;1,$I842&gt;31),"نامعتبر",RIGHT("0000"&amp;$G842,4)&amp;"/"&amp;RIGHT("00"&amp;$H842,2)&amp;"/"&amp;RIGHT("00"&amp;$I842,2)))</f>
        <v/>
      </c>
      <c r="K842">
        <f>IF(OR($F842="",$J842="",$J842="نامعتبر"),"",LEFT($J842,4)&amp;MID($J842,6,2)&amp;RIGHT($J842,2)&amp;$N842&amp;"|"&amp;"2"&amp;RIGHT("00000"&amp;837,5))</f>
        <v/>
      </c>
      <c r="L842">
        <f>IF($K842="","",COUNTIFS(LdgSellerA,$F842,LdgKeyA,"&lt;"&amp;$K842)+COUNTIFS(LdgSellerB,$F842,LdgKeyB,"&lt;"&amp;$K842)+1)</f>
        <v/>
      </c>
      <c r="M842">
        <f>IF($L842="","",$F842&amp;"|"&amp;RIGHT("000000"&amp;$L842,6))</f>
        <v/>
      </c>
      <c r="N842">
        <f>IF($F842="","",IF(Sync!$AF842="","0000",IF(AND(ISNUMBER(Sync!$AF842),Sync!$AF842&gt;=0,Sync!$AF842&lt;1),RIGHT("00"&amp;HOUR(Sync!$AF842),2)&amp;RIGHT("00"&amp;MINUTE(Sync!$AF842),2),IFERROR(RIGHT("00"&amp;VALUE(LEFT(Sync!$AF842,FIND(":",Sync!$AF842)-1)),2)&amp;RIGHT("00"&amp;VALUE(MID(Sync!$AF842,FIND(":",Sync!$AF842)+1,2)),2),"0000"))))</f>
        <v/>
      </c>
    </row>
    <row r="843">
      <c r="A843">
        <f>IF(OR(Calc!$E847="",Calc!$E847="نامعتبر",Calc!$G847=""),"",Calc!$G847)</f>
        <v/>
      </c>
      <c r="B843">
        <f>IF($A843="","",LEFT(Calc!$E847,4)&amp;MID(Calc!$E847,6,2)&amp;RIGHT(Calc!$E847,2)&amp;Calc!$Q847&amp;"|"&amp;"1"&amp;RIGHT("00000"&amp;838,5))</f>
        <v/>
      </c>
      <c r="C843">
        <f>IF($B843="","",COUNTIFS(LdgSellerA,$A843,LdgKeyA,"&lt;"&amp;$B843)+COUNTIFS(LdgSellerB,$A843,LdgKeyB,"&lt;"&amp;$B843)+1)</f>
        <v/>
      </c>
      <c r="D843">
        <f>IF($C843="","",$A843&amp;"|"&amp;RIGHT("000000"&amp;$C843,6))</f>
        <v/>
      </c>
      <c r="F843">
        <f>IF(Sync!$AH843="","",IF(LEFT(UPPER(TRIM(Sync!$AH843)),2)="SL",UPPER(TRIM(Sync!$AH843)),""))</f>
        <v/>
      </c>
      <c r="G843">
        <f>IF($F843="","",IF(Sync!$AE843="","",IF(ISNUMBER(Sync!$AE843),IF(AND(Sync!$AE843&gt;=10000101,Sync!$AE843&lt;=99991231),INT(Sync!$AE843/10000),""),IFERROR(VALUE(TRIM(LEFT(Sync!$AE843,FIND("/",Sync!$AE843)-1))),""))))</f>
        <v/>
      </c>
      <c r="H843">
        <f>IF(OR($F843="",$G843=""),"",IF(ISNUMBER(Sync!$AE843),INT(MOD(Sync!$AE843,10000)/100),IFERROR(VALUE(TRIM(LEFT(MID(Sync!$AE843,FIND("/",Sync!$AE843)+1,20),FIND("/",MID(Sync!$AE843,FIND("/",Sync!$AE843)+1,20))-1))),"")))</f>
        <v/>
      </c>
      <c r="I843">
        <f>IF(OR($F843="",$G843=""),"",IF(ISNUMBER(Sync!$AE843),MOD(Sync!$AE843,100),IFERROR(VALUE(TRIM(MID(MID(Sync!$AE843,FIND("/",Sync!$AE843)+1,20),FIND("/",MID(Sync!$AE843,FIND("/",Sync!$AE843)+1,20))+1,20))),"")))</f>
        <v/>
      </c>
      <c r="J843">
        <f>IF($F843="","",IF(OR($G843="",$H843="",$I843="",$G843&lt;1300,$G843&gt;1500,$H843&lt;1,$H843&gt;12,$I843&lt;1,$I843&gt;31),"نامعتبر",RIGHT("0000"&amp;$G843,4)&amp;"/"&amp;RIGHT("00"&amp;$H843,2)&amp;"/"&amp;RIGHT("00"&amp;$I843,2)))</f>
        <v/>
      </c>
      <c r="K843">
        <f>IF(OR($F843="",$J843="",$J843="نامعتبر"),"",LEFT($J843,4)&amp;MID($J843,6,2)&amp;RIGHT($J843,2)&amp;$N843&amp;"|"&amp;"2"&amp;RIGHT("00000"&amp;838,5))</f>
        <v/>
      </c>
      <c r="L843">
        <f>IF($K843="","",COUNTIFS(LdgSellerA,$F843,LdgKeyA,"&lt;"&amp;$K843)+COUNTIFS(LdgSellerB,$F843,LdgKeyB,"&lt;"&amp;$K843)+1)</f>
        <v/>
      </c>
      <c r="M843">
        <f>IF($L843="","",$F843&amp;"|"&amp;RIGHT("000000"&amp;$L843,6))</f>
        <v/>
      </c>
      <c r="N843">
        <f>IF($F843="","",IF(Sync!$AF843="","0000",IF(AND(ISNUMBER(Sync!$AF843),Sync!$AF843&gt;=0,Sync!$AF843&lt;1),RIGHT("00"&amp;HOUR(Sync!$AF843),2)&amp;RIGHT("00"&amp;MINUTE(Sync!$AF843),2),IFERROR(RIGHT("00"&amp;VALUE(LEFT(Sync!$AF843,FIND(":",Sync!$AF843)-1)),2)&amp;RIGHT("00"&amp;VALUE(MID(Sync!$AF843,FIND(":",Sync!$AF843)+1,2)),2),"0000"))))</f>
        <v/>
      </c>
    </row>
    <row r="844">
      <c r="A844">
        <f>IF(OR(Calc!$E848="",Calc!$E848="نامعتبر",Calc!$G848=""),"",Calc!$G848)</f>
        <v/>
      </c>
      <c r="B844">
        <f>IF($A844="","",LEFT(Calc!$E848,4)&amp;MID(Calc!$E848,6,2)&amp;RIGHT(Calc!$E848,2)&amp;Calc!$Q848&amp;"|"&amp;"1"&amp;RIGHT("00000"&amp;839,5))</f>
        <v/>
      </c>
      <c r="C844">
        <f>IF($B844="","",COUNTIFS(LdgSellerA,$A844,LdgKeyA,"&lt;"&amp;$B844)+COUNTIFS(LdgSellerB,$A844,LdgKeyB,"&lt;"&amp;$B844)+1)</f>
        <v/>
      </c>
      <c r="D844">
        <f>IF($C844="","",$A844&amp;"|"&amp;RIGHT("000000"&amp;$C844,6))</f>
        <v/>
      </c>
      <c r="F844">
        <f>IF(Sync!$AH844="","",IF(LEFT(UPPER(TRIM(Sync!$AH844)),2)="SL",UPPER(TRIM(Sync!$AH844)),""))</f>
        <v/>
      </c>
      <c r="G844">
        <f>IF($F844="","",IF(Sync!$AE844="","",IF(ISNUMBER(Sync!$AE844),IF(AND(Sync!$AE844&gt;=10000101,Sync!$AE844&lt;=99991231),INT(Sync!$AE844/10000),""),IFERROR(VALUE(TRIM(LEFT(Sync!$AE844,FIND("/",Sync!$AE844)-1))),""))))</f>
        <v/>
      </c>
      <c r="H844">
        <f>IF(OR($F844="",$G844=""),"",IF(ISNUMBER(Sync!$AE844),INT(MOD(Sync!$AE844,10000)/100),IFERROR(VALUE(TRIM(LEFT(MID(Sync!$AE844,FIND("/",Sync!$AE844)+1,20),FIND("/",MID(Sync!$AE844,FIND("/",Sync!$AE844)+1,20))-1))),"")))</f>
        <v/>
      </c>
      <c r="I844">
        <f>IF(OR($F844="",$G844=""),"",IF(ISNUMBER(Sync!$AE844),MOD(Sync!$AE844,100),IFERROR(VALUE(TRIM(MID(MID(Sync!$AE844,FIND("/",Sync!$AE844)+1,20),FIND("/",MID(Sync!$AE844,FIND("/",Sync!$AE844)+1,20))+1,20))),"")))</f>
        <v/>
      </c>
      <c r="J844">
        <f>IF($F844="","",IF(OR($G844="",$H844="",$I844="",$G844&lt;1300,$G844&gt;1500,$H844&lt;1,$H844&gt;12,$I844&lt;1,$I844&gt;31),"نامعتبر",RIGHT("0000"&amp;$G844,4)&amp;"/"&amp;RIGHT("00"&amp;$H844,2)&amp;"/"&amp;RIGHT("00"&amp;$I844,2)))</f>
        <v/>
      </c>
      <c r="K844">
        <f>IF(OR($F844="",$J844="",$J844="نامعتبر"),"",LEFT($J844,4)&amp;MID($J844,6,2)&amp;RIGHT($J844,2)&amp;$N844&amp;"|"&amp;"2"&amp;RIGHT("00000"&amp;839,5))</f>
        <v/>
      </c>
      <c r="L844">
        <f>IF($K844="","",COUNTIFS(LdgSellerA,$F844,LdgKeyA,"&lt;"&amp;$K844)+COUNTIFS(LdgSellerB,$F844,LdgKeyB,"&lt;"&amp;$K844)+1)</f>
        <v/>
      </c>
      <c r="M844">
        <f>IF($L844="","",$F844&amp;"|"&amp;RIGHT("000000"&amp;$L844,6))</f>
        <v/>
      </c>
      <c r="N844">
        <f>IF($F844="","",IF(Sync!$AF844="","0000",IF(AND(ISNUMBER(Sync!$AF844),Sync!$AF844&gt;=0,Sync!$AF844&lt;1),RIGHT("00"&amp;HOUR(Sync!$AF844),2)&amp;RIGHT("00"&amp;MINUTE(Sync!$AF844),2),IFERROR(RIGHT("00"&amp;VALUE(LEFT(Sync!$AF844,FIND(":",Sync!$AF844)-1)),2)&amp;RIGHT("00"&amp;VALUE(MID(Sync!$AF844,FIND(":",Sync!$AF844)+1,2)),2),"0000"))))</f>
        <v/>
      </c>
    </row>
    <row r="845">
      <c r="A845">
        <f>IF(OR(Calc!$E849="",Calc!$E849="نامعتبر",Calc!$G849=""),"",Calc!$G849)</f>
        <v/>
      </c>
      <c r="B845">
        <f>IF($A845="","",LEFT(Calc!$E849,4)&amp;MID(Calc!$E849,6,2)&amp;RIGHT(Calc!$E849,2)&amp;Calc!$Q849&amp;"|"&amp;"1"&amp;RIGHT("00000"&amp;840,5))</f>
        <v/>
      </c>
      <c r="C845">
        <f>IF($B845="","",COUNTIFS(LdgSellerA,$A845,LdgKeyA,"&lt;"&amp;$B845)+COUNTIFS(LdgSellerB,$A845,LdgKeyB,"&lt;"&amp;$B845)+1)</f>
        <v/>
      </c>
      <c r="D845">
        <f>IF($C845="","",$A845&amp;"|"&amp;RIGHT("000000"&amp;$C845,6))</f>
        <v/>
      </c>
      <c r="F845">
        <f>IF(Sync!$AH845="","",IF(LEFT(UPPER(TRIM(Sync!$AH845)),2)="SL",UPPER(TRIM(Sync!$AH845)),""))</f>
        <v/>
      </c>
      <c r="G845">
        <f>IF($F845="","",IF(Sync!$AE845="","",IF(ISNUMBER(Sync!$AE845),IF(AND(Sync!$AE845&gt;=10000101,Sync!$AE845&lt;=99991231),INT(Sync!$AE845/10000),""),IFERROR(VALUE(TRIM(LEFT(Sync!$AE845,FIND("/",Sync!$AE845)-1))),""))))</f>
        <v/>
      </c>
      <c r="H845">
        <f>IF(OR($F845="",$G845=""),"",IF(ISNUMBER(Sync!$AE845),INT(MOD(Sync!$AE845,10000)/100),IFERROR(VALUE(TRIM(LEFT(MID(Sync!$AE845,FIND("/",Sync!$AE845)+1,20),FIND("/",MID(Sync!$AE845,FIND("/",Sync!$AE845)+1,20))-1))),"")))</f>
        <v/>
      </c>
      <c r="I845">
        <f>IF(OR($F845="",$G845=""),"",IF(ISNUMBER(Sync!$AE845),MOD(Sync!$AE845,100),IFERROR(VALUE(TRIM(MID(MID(Sync!$AE845,FIND("/",Sync!$AE845)+1,20),FIND("/",MID(Sync!$AE845,FIND("/",Sync!$AE845)+1,20))+1,20))),"")))</f>
        <v/>
      </c>
      <c r="J845">
        <f>IF($F845="","",IF(OR($G845="",$H845="",$I845="",$G845&lt;1300,$G845&gt;1500,$H845&lt;1,$H845&gt;12,$I845&lt;1,$I845&gt;31),"نامعتبر",RIGHT("0000"&amp;$G845,4)&amp;"/"&amp;RIGHT("00"&amp;$H845,2)&amp;"/"&amp;RIGHT("00"&amp;$I845,2)))</f>
        <v/>
      </c>
      <c r="K845">
        <f>IF(OR($F845="",$J845="",$J845="نامعتبر"),"",LEFT($J845,4)&amp;MID($J845,6,2)&amp;RIGHT($J845,2)&amp;$N845&amp;"|"&amp;"2"&amp;RIGHT("00000"&amp;840,5))</f>
        <v/>
      </c>
      <c r="L845">
        <f>IF($K845="","",COUNTIFS(LdgSellerA,$F845,LdgKeyA,"&lt;"&amp;$K845)+COUNTIFS(LdgSellerB,$F845,LdgKeyB,"&lt;"&amp;$K845)+1)</f>
        <v/>
      </c>
      <c r="M845">
        <f>IF($L845="","",$F845&amp;"|"&amp;RIGHT("000000"&amp;$L845,6))</f>
        <v/>
      </c>
      <c r="N845">
        <f>IF($F845="","",IF(Sync!$AF845="","0000",IF(AND(ISNUMBER(Sync!$AF845),Sync!$AF845&gt;=0,Sync!$AF845&lt;1),RIGHT("00"&amp;HOUR(Sync!$AF845),2)&amp;RIGHT("00"&amp;MINUTE(Sync!$AF845),2),IFERROR(RIGHT("00"&amp;VALUE(LEFT(Sync!$AF845,FIND(":",Sync!$AF845)-1)),2)&amp;RIGHT("00"&amp;VALUE(MID(Sync!$AF845,FIND(":",Sync!$AF845)+1,2)),2),"0000"))))</f>
        <v/>
      </c>
    </row>
    <row r="846">
      <c r="A846">
        <f>IF(OR(Calc!$E850="",Calc!$E850="نامعتبر",Calc!$G850=""),"",Calc!$G850)</f>
        <v/>
      </c>
      <c r="B846">
        <f>IF($A846="","",LEFT(Calc!$E850,4)&amp;MID(Calc!$E850,6,2)&amp;RIGHT(Calc!$E850,2)&amp;Calc!$Q850&amp;"|"&amp;"1"&amp;RIGHT("00000"&amp;841,5))</f>
        <v/>
      </c>
      <c r="C846">
        <f>IF($B846="","",COUNTIFS(LdgSellerA,$A846,LdgKeyA,"&lt;"&amp;$B846)+COUNTIFS(LdgSellerB,$A846,LdgKeyB,"&lt;"&amp;$B846)+1)</f>
        <v/>
      </c>
      <c r="D846">
        <f>IF($C846="","",$A846&amp;"|"&amp;RIGHT("000000"&amp;$C846,6))</f>
        <v/>
      </c>
      <c r="F846">
        <f>IF(Sync!$AH846="","",IF(LEFT(UPPER(TRIM(Sync!$AH846)),2)="SL",UPPER(TRIM(Sync!$AH846)),""))</f>
        <v/>
      </c>
      <c r="G846">
        <f>IF($F846="","",IF(Sync!$AE846="","",IF(ISNUMBER(Sync!$AE846),IF(AND(Sync!$AE846&gt;=10000101,Sync!$AE846&lt;=99991231),INT(Sync!$AE846/10000),""),IFERROR(VALUE(TRIM(LEFT(Sync!$AE846,FIND("/",Sync!$AE846)-1))),""))))</f>
        <v/>
      </c>
      <c r="H846">
        <f>IF(OR($F846="",$G846=""),"",IF(ISNUMBER(Sync!$AE846),INT(MOD(Sync!$AE846,10000)/100),IFERROR(VALUE(TRIM(LEFT(MID(Sync!$AE846,FIND("/",Sync!$AE846)+1,20),FIND("/",MID(Sync!$AE846,FIND("/",Sync!$AE846)+1,20))-1))),"")))</f>
        <v/>
      </c>
      <c r="I846">
        <f>IF(OR($F846="",$G846=""),"",IF(ISNUMBER(Sync!$AE846),MOD(Sync!$AE846,100),IFERROR(VALUE(TRIM(MID(MID(Sync!$AE846,FIND("/",Sync!$AE846)+1,20),FIND("/",MID(Sync!$AE846,FIND("/",Sync!$AE846)+1,20))+1,20))),"")))</f>
        <v/>
      </c>
      <c r="J846">
        <f>IF($F846="","",IF(OR($G846="",$H846="",$I846="",$G846&lt;1300,$G846&gt;1500,$H846&lt;1,$H846&gt;12,$I846&lt;1,$I846&gt;31),"نامعتبر",RIGHT("0000"&amp;$G846,4)&amp;"/"&amp;RIGHT("00"&amp;$H846,2)&amp;"/"&amp;RIGHT("00"&amp;$I846,2)))</f>
        <v/>
      </c>
      <c r="K846">
        <f>IF(OR($F846="",$J846="",$J846="نامعتبر"),"",LEFT($J846,4)&amp;MID($J846,6,2)&amp;RIGHT($J846,2)&amp;$N846&amp;"|"&amp;"2"&amp;RIGHT("00000"&amp;841,5))</f>
        <v/>
      </c>
      <c r="L846">
        <f>IF($K846="","",COUNTIFS(LdgSellerA,$F846,LdgKeyA,"&lt;"&amp;$K846)+COUNTIFS(LdgSellerB,$F846,LdgKeyB,"&lt;"&amp;$K846)+1)</f>
        <v/>
      </c>
      <c r="M846">
        <f>IF($L846="","",$F846&amp;"|"&amp;RIGHT("000000"&amp;$L846,6))</f>
        <v/>
      </c>
      <c r="N846">
        <f>IF($F846="","",IF(Sync!$AF846="","0000",IF(AND(ISNUMBER(Sync!$AF846),Sync!$AF846&gt;=0,Sync!$AF846&lt;1),RIGHT("00"&amp;HOUR(Sync!$AF846),2)&amp;RIGHT("00"&amp;MINUTE(Sync!$AF846),2),IFERROR(RIGHT("00"&amp;VALUE(LEFT(Sync!$AF846,FIND(":",Sync!$AF846)-1)),2)&amp;RIGHT("00"&amp;VALUE(MID(Sync!$AF846,FIND(":",Sync!$AF846)+1,2)),2),"0000"))))</f>
        <v/>
      </c>
    </row>
    <row r="847">
      <c r="A847">
        <f>IF(OR(Calc!$E851="",Calc!$E851="نامعتبر",Calc!$G851=""),"",Calc!$G851)</f>
        <v/>
      </c>
      <c r="B847">
        <f>IF($A847="","",LEFT(Calc!$E851,4)&amp;MID(Calc!$E851,6,2)&amp;RIGHT(Calc!$E851,2)&amp;Calc!$Q851&amp;"|"&amp;"1"&amp;RIGHT("00000"&amp;842,5))</f>
        <v/>
      </c>
      <c r="C847">
        <f>IF($B847="","",COUNTIFS(LdgSellerA,$A847,LdgKeyA,"&lt;"&amp;$B847)+COUNTIFS(LdgSellerB,$A847,LdgKeyB,"&lt;"&amp;$B847)+1)</f>
        <v/>
      </c>
      <c r="D847">
        <f>IF($C847="","",$A847&amp;"|"&amp;RIGHT("000000"&amp;$C847,6))</f>
        <v/>
      </c>
      <c r="F847">
        <f>IF(Sync!$AH847="","",IF(LEFT(UPPER(TRIM(Sync!$AH847)),2)="SL",UPPER(TRIM(Sync!$AH847)),""))</f>
        <v/>
      </c>
      <c r="G847">
        <f>IF($F847="","",IF(Sync!$AE847="","",IF(ISNUMBER(Sync!$AE847),IF(AND(Sync!$AE847&gt;=10000101,Sync!$AE847&lt;=99991231),INT(Sync!$AE847/10000),""),IFERROR(VALUE(TRIM(LEFT(Sync!$AE847,FIND("/",Sync!$AE847)-1))),""))))</f>
        <v/>
      </c>
      <c r="H847">
        <f>IF(OR($F847="",$G847=""),"",IF(ISNUMBER(Sync!$AE847),INT(MOD(Sync!$AE847,10000)/100),IFERROR(VALUE(TRIM(LEFT(MID(Sync!$AE847,FIND("/",Sync!$AE847)+1,20),FIND("/",MID(Sync!$AE847,FIND("/",Sync!$AE847)+1,20))-1))),"")))</f>
        <v/>
      </c>
      <c r="I847">
        <f>IF(OR($F847="",$G847=""),"",IF(ISNUMBER(Sync!$AE847),MOD(Sync!$AE847,100),IFERROR(VALUE(TRIM(MID(MID(Sync!$AE847,FIND("/",Sync!$AE847)+1,20),FIND("/",MID(Sync!$AE847,FIND("/",Sync!$AE847)+1,20))+1,20))),"")))</f>
        <v/>
      </c>
      <c r="J847">
        <f>IF($F847="","",IF(OR($G847="",$H847="",$I847="",$G847&lt;1300,$G847&gt;1500,$H847&lt;1,$H847&gt;12,$I847&lt;1,$I847&gt;31),"نامعتبر",RIGHT("0000"&amp;$G847,4)&amp;"/"&amp;RIGHT("00"&amp;$H847,2)&amp;"/"&amp;RIGHT("00"&amp;$I847,2)))</f>
        <v/>
      </c>
      <c r="K847">
        <f>IF(OR($F847="",$J847="",$J847="نامعتبر"),"",LEFT($J847,4)&amp;MID($J847,6,2)&amp;RIGHT($J847,2)&amp;$N847&amp;"|"&amp;"2"&amp;RIGHT("00000"&amp;842,5))</f>
        <v/>
      </c>
      <c r="L847">
        <f>IF($K847="","",COUNTIFS(LdgSellerA,$F847,LdgKeyA,"&lt;"&amp;$K847)+COUNTIFS(LdgSellerB,$F847,LdgKeyB,"&lt;"&amp;$K847)+1)</f>
        <v/>
      </c>
      <c r="M847">
        <f>IF($L847="","",$F847&amp;"|"&amp;RIGHT("000000"&amp;$L847,6))</f>
        <v/>
      </c>
      <c r="N847">
        <f>IF($F847="","",IF(Sync!$AF847="","0000",IF(AND(ISNUMBER(Sync!$AF847),Sync!$AF847&gt;=0,Sync!$AF847&lt;1),RIGHT("00"&amp;HOUR(Sync!$AF847),2)&amp;RIGHT("00"&amp;MINUTE(Sync!$AF847),2),IFERROR(RIGHT("00"&amp;VALUE(LEFT(Sync!$AF847,FIND(":",Sync!$AF847)-1)),2)&amp;RIGHT("00"&amp;VALUE(MID(Sync!$AF847,FIND(":",Sync!$AF847)+1,2)),2),"0000"))))</f>
        <v/>
      </c>
    </row>
    <row r="848">
      <c r="A848">
        <f>IF(OR(Calc!$E852="",Calc!$E852="نامعتبر",Calc!$G852=""),"",Calc!$G852)</f>
        <v/>
      </c>
      <c r="B848">
        <f>IF($A848="","",LEFT(Calc!$E852,4)&amp;MID(Calc!$E852,6,2)&amp;RIGHT(Calc!$E852,2)&amp;Calc!$Q852&amp;"|"&amp;"1"&amp;RIGHT("00000"&amp;843,5))</f>
        <v/>
      </c>
      <c r="C848">
        <f>IF($B848="","",COUNTIFS(LdgSellerA,$A848,LdgKeyA,"&lt;"&amp;$B848)+COUNTIFS(LdgSellerB,$A848,LdgKeyB,"&lt;"&amp;$B848)+1)</f>
        <v/>
      </c>
      <c r="D848">
        <f>IF($C848="","",$A848&amp;"|"&amp;RIGHT("000000"&amp;$C848,6))</f>
        <v/>
      </c>
      <c r="F848">
        <f>IF(Sync!$AH848="","",IF(LEFT(UPPER(TRIM(Sync!$AH848)),2)="SL",UPPER(TRIM(Sync!$AH848)),""))</f>
        <v/>
      </c>
      <c r="G848">
        <f>IF($F848="","",IF(Sync!$AE848="","",IF(ISNUMBER(Sync!$AE848),IF(AND(Sync!$AE848&gt;=10000101,Sync!$AE848&lt;=99991231),INT(Sync!$AE848/10000),""),IFERROR(VALUE(TRIM(LEFT(Sync!$AE848,FIND("/",Sync!$AE848)-1))),""))))</f>
        <v/>
      </c>
      <c r="H848">
        <f>IF(OR($F848="",$G848=""),"",IF(ISNUMBER(Sync!$AE848),INT(MOD(Sync!$AE848,10000)/100),IFERROR(VALUE(TRIM(LEFT(MID(Sync!$AE848,FIND("/",Sync!$AE848)+1,20),FIND("/",MID(Sync!$AE848,FIND("/",Sync!$AE848)+1,20))-1))),"")))</f>
        <v/>
      </c>
      <c r="I848">
        <f>IF(OR($F848="",$G848=""),"",IF(ISNUMBER(Sync!$AE848),MOD(Sync!$AE848,100),IFERROR(VALUE(TRIM(MID(MID(Sync!$AE848,FIND("/",Sync!$AE848)+1,20),FIND("/",MID(Sync!$AE848,FIND("/",Sync!$AE848)+1,20))+1,20))),"")))</f>
        <v/>
      </c>
      <c r="J848">
        <f>IF($F848="","",IF(OR($G848="",$H848="",$I848="",$G848&lt;1300,$G848&gt;1500,$H848&lt;1,$H848&gt;12,$I848&lt;1,$I848&gt;31),"نامعتبر",RIGHT("0000"&amp;$G848,4)&amp;"/"&amp;RIGHT("00"&amp;$H848,2)&amp;"/"&amp;RIGHT("00"&amp;$I848,2)))</f>
        <v/>
      </c>
      <c r="K848">
        <f>IF(OR($F848="",$J848="",$J848="نامعتبر"),"",LEFT($J848,4)&amp;MID($J848,6,2)&amp;RIGHT($J848,2)&amp;$N848&amp;"|"&amp;"2"&amp;RIGHT("00000"&amp;843,5))</f>
        <v/>
      </c>
      <c r="L848">
        <f>IF($K848="","",COUNTIFS(LdgSellerA,$F848,LdgKeyA,"&lt;"&amp;$K848)+COUNTIFS(LdgSellerB,$F848,LdgKeyB,"&lt;"&amp;$K848)+1)</f>
        <v/>
      </c>
      <c r="M848">
        <f>IF($L848="","",$F848&amp;"|"&amp;RIGHT("000000"&amp;$L848,6))</f>
        <v/>
      </c>
      <c r="N848">
        <f>IF($F848="","",IF(Sync!$AF848="","0000",IF(AND(ISNUMBER(Sync!$AF848),Sync!$AF848&gt;=0,Sync!$AF848&lt;1),RIGHT("00"&amp;HOUR(Sync!$AF848),2)&amp;RIGHT("00"&amp;MINUTE(Sync!$AF848),2),IFERROR(RIGHT("00"&amp;VALUE(LEFT(Sync!$AF848,FIND(":",Sync!$AF848)-1)),2)&amp;RIGHT("00"&amp;VALUE(MID(Sync!$AF848,FIND(":",Sync!$AF848)+1,2)),2),"0000"))))</f>
        <v/>
      </c>
    </row>
    <row r="849">
      <c r="A849">
        <f>IF(OR(Calc!$E853="",Calc!$E853="نامعتبر",Calc!$G853=""),"",Calc!$G853)</f>
        <v/>
      </c>
      <c r="B849">
        <f>IF($A849="","",LEFT(Calc!$E853,4)&amp;MID(Calc!$E853,6,2)&amp;RIGHT(Calc!$E853,2)&amp;Calc!$Q853&amp;"|"&amp;"1"&amp;RIGHT("00000"&amp;844,5))</f>
        <v/>
      </c>
      <c r="C849">
        <f>IF($B849="","",COUNTIFS(LdgSellerA,$A849,LdgKeyA,"&lt;"&amp;$B849)+COUNTIFS(LdgSellerB,$A849,LdgKeyB,"&lt;"&amp;$B849)+1)</f>
        <v/>
      </c>
      <c r="D849">
        <f>IF($C849="","",$A849&amp;"|"&amp;RIGHT("000000"&amp;$C849,6))</f>
        <v/>
      </c>
      <c r="F849">
        <f>IF(Sync!$AH849="","",IF(LEFT(UPPER(TRIM(Sync!$AH849)),2)="SL",UPPER(TRIM(Sync!$AH849)),""))</f>
        <v/>
      </c>
      <c r="G849">
        <f>IF($F849="","",IF(Sync!$AE849="","",IF(ISNUMBER(Sync!$AE849),IF(AND(Sync!$AE849&gt;=10000101,Sync!$AE849&lt;=99991231),INT(Sync!$AE849/10000),""),IFERROR(VALUE(TRIM(LEFT(Sync!$AE849,FIND("/",Sync!$AE849)-1))),""))))</f>
        <v/>
      </c>
      <c r="H849">
        <f>IF(OR($F849="",$G849=""),"",IF(ISNUMBER(Sync!$AE849),INT(MOD(Sync!$AE849,10000)/100),IFERROR(VALUE(TRIM(LEFT(MID(Sync!$AE849,FIND("/",Sync!$AE849)+1,20),FIND("/",MID(Sync!$AE849,FIND("/",Sync!$AE849)+1,20))-1))),"")))</f>
        <v/>
      </c>
      <c r="I849">
        <f>IF(OR($F849="",$G849=""),"",IF(ISNUMBER(Sync!$AE849),MOD(Sync!$AE849,100),IFERROR(VALUE(TRIM(MID(MID(Sync!$AE849,FIND("/",Sync!$AE849)+1,20),FIND("/",MID(Sync!$AE849,FIND("/",Sync!$AE849)+1,20))+1,20))),"")))</f>
        <v/>
      </c>
      <c r="J849">
        <f>IF($F849="","",IF(OR($G849="",$H849="",$I849="",$G849&lt;1300,$G849&gt;1500,$H849&lt;1,$H849&gt;12,$I849&lt;1,$I849&gt;31),"نامعتبر",RIGHT("0000"&amp;$G849,4)&amp;"/"&amp;RIGHT("00"&amp;$H849,2)&amp;"/"&amp;RIGHT("00"&amp;$I849,2)))</f>
        <v/>
      </c>
      <c r="K849">
        <f>IF(OR($F849="",$J849="",$J849="نامعتبر"),"",LEFT($J849,4)&amp;MID($J849,6,2)&amp;RIGHT($J849,2)&amp;$N849&amp;"|"&amp;"2"&amp;RIGHT("00000"&amp;844,5))</f>
        <v/>
      </c>
      <c r="L849">
        <f>IF($K849="","",COUNTIFS(LdgSellerA,$F849,LdgKeyA,"&lt;"&amp;$K849)+COUNTIFS(LdgSellerB,$F849,LdgKeyB,"&lt;"&amp;$K849)+1)</f>
        <v/>
      </c>
      <c r="M849">
        <f>IF($L849="","",$F849&amp;"|"&amp;RIGHT("000000"&amp;$L849,6))</f>
        <v/>
      </c>
      <c r="N849">
        <f>IF($F849="","",IF(Sync!$AF849="","0000",IF(AND(ISNUMBER(Sync!$AF849),Sync!$AF849&gt;=0,Sync!$AF849&lt;1),RIGHT("00"&amp;HOUR(Sync!$AF849),2)&amp;RIGHT("00"&amp;MINUTE(Sync!$AF849),2),IFERROR(RIGHT("00"&amp;VALUE(LEFT(Sync!$AF849,FIND(":",Sync!$AF849)-1)),2)&amp;RIGHT("00"&amp;VALUE(MID(Sync!$AF849,FIND(":",Sync!$AF849)+1,2)),2),"0000"))))</f>
        <v/>
      </c>
    </row>
    <row r="850">
      <c r="A850">
        <f>IF(OR(Calc!$E854="",Calc!$E854="نامعتبر",Calc!$G854=""),"",Calc!$G854)</f>
        <v/>
      </c>
      <c r="B850">
        <f>IF($A850="","",LEFT(Calc!$E854,4)&amp;MID(Calc!$E854,6,2)&amp;RIGHT(Calc!$E854,2)&amp;Calc!$Q854&amp;"|"&amp;"1"&amp;RIGHT("00000"&amp;845,5))</f>
        <v/>
      </c>
      <c r="C850">
        <f>IF($B850="","",COUNTIFS(LdgSellerA,$A850,LdgKeyA,"&lt;"&amp;$B850)+COUNTIFS(LdgSellerB,$A850,LdgKeyB,"&lt;"&amp;$B850)+1)</f>
        <v/>
      </c>
      <c r="D850">
        <f>IF($C850="","",$A850&amp;"|"&amp;RIGHT("000000"&amp;$C850,6))</f>
        <v/>
      </c>
      <c r="F850">
        <f>IF(Sync!$AH850="","",IF(LEFT(UPPER(TRIM(Sync!$AH850)),2)="SL",UPPER(TRIM(Sync!$AH850)),""))</f>
        <v/>
      </c>
      <c r="G850">
        <f>IF($F850="","",IF(Sync!$AE850="","",IF(ISNUMBER(Sync!$AE850),IF(AND(Sync!$AE850&gt;=10000101,Sync!$AE850&lt;=99991231),INT(Sync!$AE850/10000),""),IFERROR(VALUE(TRIM(LEFT(Sync!$AE850,FIND("/",Sync!$AE850)-1))),""))))</f>
        <v/>
      </c>
      <c r="H850">
        <f>IF(OR($F850="",$G850=""),"",IF(ISNUMBER(Sync!$AE850),INT(MOD(Sync!$AE850,10000)/100),IFERROR(VALUE(TRIM(LEFT(MID(Sync!$AE850,FIND("/",Sync!$AE850)+1,20),FIND("/",MID(Sync!$AE850,FIND("/",Sync!$AE850)+1,20))-1))),"")))</f>
        <v/>
      </c>
      <c r="I850">
        <f>IF(OR($F850="",$G850=""),"",IF(ISNUMBER(Sync!$AE850),MOD(Sync!$AE850,100),IFERROR(VALUE(TRIM(MID(MID(Sync!$AE850,FIND("/",Sync!$AE850)+1,20),FIND("/",MID(Sync!$AE850,FIND("/",Sync!$AE850)+1,20))+1,20))),"")))</f>
        <v/>
      </c>
      <c r="J850">
        <f>IF($F850="","",IF(OR($G850="",$H850="",$I850="",$G850&lt;1300,$G850&gt;1500,$H850&lt;1,$H850&gt;12,$I850&lt;1,$I850&gt;31),"نامعتبر",RIGHT("0000"&amp;$G850,4)&amp;"/"&amp;RIGHT("00"&amp;$H850,2)&amp;"/"&amp;RIGHT("00"&amp;$I850,2)))</f>
        <v/>
      </c>
      <c r="K850">
        <f>IF(OR($F850="",$J850="",$J850="نامعتبر"),"",LEFT($J850,4)&amp;MID($J850,6,2)&amp;RIGHT($J850,2)&amp;$N850&amp;"|"&amp;"2"&amp;RIGHT("00000"&amp;845,5))</f>
        <v/>
      </c>
      <c r="L850">
        <f>IF($K850="","",COUNTIFS(LdgSellerA,$F850,LdgKeyA,"&lt;"&amp;$K850)+COUNTIFS(LdgSellerB,$F850,LdgKeyB,"&lt;"&amp;$K850)+1)</f>
        <v/>
      </c>
      <c r="M850">
        <f>IF($L850="","",$F850&amp;"|"&amp;RIGHT("000000"&amp;$L850,6))</f>
        <v/>
      </c>
      <c r="N850">
        <f>IF($F850="","",IF(Sync!$AF850="","0000",IF(AND(ISNUMBER(Sync!$AF850),Sync!$AF850&gt;=0,Sync!$AF850&lt;1),RIGHT("00"&amp;HOUR(Sync!$AF850),2)&amp;RIGHT("00"&amp;MINUTE(Sync!$AF850),2),IFERROR(RIGHT("00"&amp;VALUE(LEFT(Sync!$AF850,FIND(":",Sync!$AF850)-1)),2)&amp;RIGHT("00"&amp;VALUE(MID(Sync!$AF850,FIND(":",Sync!$AF850)+1,2)),2),"0000"))))</f>
        <v/>
      </c>
    </row>
    <row r="851">
      <c r="A851">
        <f>IF(OR(Calc!$E855="",Calc!$E855="نامعتبر",Calc!$G855=""),"",Calc!$G855)</f>
        <v/>
      </c>
      <c r="B851">
        <f>IF($A851="","",LEFT(Calc!$E855,4)&amp;MID(Calc!$E855,6,2)&amp;RIGHT(Calc!$E855,2)&amp;Calc!$Q855&amp;"|"&amp;"1"&amp;RIGHT("00000"&amp;846,5))</f>
        <v/>
      </c>
      <c r="C851">
        <f>IF($B851="","",COUNTIFS(LdgSellerA,$A851,LdgKeyA,"&lt;"&amp;$B851)+COUNTIFS(LdgSellerB,$A851,LdgKeyB,"&lt;"&amp;$B851)+1)</f>
        <v/>
      </c>
      <c r="D851">
        <f>IF($C851="","",$A851&amp;"|"&amp;RIGHT("000000"&amp;$C851,6))</f>
        <v/>
      </c>
      <c r="F851">
        <f>IF(Sync!$AH851="","",IF(LEFT(UPPER(TRIM(Sync!$AH851)),2)="SL",UPPER(TRIM(Sync!$AH851)),""))</f>
        <v/>
      </c>
      <c r="G851">
        <f>IF($F851="","",IF(Sync!$AE851="","",IF(ISNUMBER(Sync!$AE851),IF(AND(Sync!$AE851&gt;=10000101,Sync!$AE851&lt;=99991231),INT(Sync!$AE851/10000),""),IFERROR(VALUE(TRIM(LEFT(Sync!$AE851,FIND("/",Sync!$AE851)-1))),""))))</f>
        <v/>
      </c>
      <c r="H851">
        <f>IF(OR($F851="",$G851=""),"",IF(ISNUMBER(Sync!$AE851),INT(MOD(Sync!$AE851,10000)/100),IFERROR(VALUE(TRIM(LEFT(MID(Sync!$AE851,FIND("/",Sync!$AE851)+1,20),FIND("/",MID(Sync!$AE851,FIND("/",Sync!$AE851)+1,20))-1))),"")))</f>
        <v/>
      </c>
      <c r="I851">
        <f>IF(OR($F851="",$G851=""),"",IF(ISNUMBER(Sync!$AE851),MOD(Sync!$AE851,100),IFERROR(VALUE(TRIM(MID(MID(Sync!$AE851,FIND("/",Sync!$AE851)+1,20),FIND("/",MID(Sync!$AE851,FIND("/",Sync!$AE851)+1,20))+1,20))),"")))</f>
        <v/>
      </c>
      <c r="J851">
        <f>IF($F851="","",IF(OR($G851="",$H851="",$I851="",$G851&lt;1300,$G851&gt;1500,$H851&lt;1,$H851&gt;12,$I851&lt;1,$I851&gt;31),"نامعتبر",RIGHT("0000"&amp;$G851,4)&amp;"/"&amp;RIGHT("00"&amp;$H851,2)&amp;"/"&amp;RIGHT("00"&amp;$I851,2)))</f>
        <v/>
      </c>
      <c r="K851">
        <f>IF(OR($F851="",$J851="",$J851="نامعتبر"),"",LEFT($J851,4)&amp;MID($J851,6,2)&amp;RIGHT($J851,2)&amp;$N851&amp;"|"&amp;"2"&amp;RIGHT("00000"&amp;846,5))</f>
        <v/>
      </c>
      <c r="L851">
        <f>IF($K851="","",COUNTIFS(LdgSellerA,$F851,LdgKeyA,"&lt;"&amp;$K851)+COUNTIFS(LdgSellerB,$F851,LdgKeyB,"&lt;"&amp;$K851)+1)</f>
        <v/>
      </c>
      <c r="M851">
        <f>IF($L851="","",$F851&amp;"|"&amp;RIGHT("000000"&amp;$L851,6))</f>
        <v/>
      </c>
      <c r="N851">
        <f>IF($F851="","",IF(Sync!$AF851="","0000",IF(AND(ISNUMBER(Sync!$AF851),Sync!$AF851&gt;=0,Sync!$AF851&lt;1),RIGHT("00"&amp;HOUR(Sync!$AF851),2)&amp;RIGHT("00"&amp;MINUTE(Sync!$AF851),2),IFERROR(RIGHT("00"&amp;VALUE(LEFT(Sync!$AF851,FIND(":",Sync!$AF851)-1)),2)&amp;RIGHT("00"&amp;VALUE(MID(Sync!$AF851,FIND(":",Sync!$AF851)+1,2)),2),"0000"))))</f>
        <v/>
      </c>
    </row>
    <row r="852">
      <c r="A852">
        <f>IF(OR(Calc!$E856="",Calc!$E856="نامعتبر",Calc!$G856=""),"",Calc!$G856)</f>
        <v/>
      </c>
      <c r="B852">
        <f>IF($A852="","",LEFT(Calc!$E856,4)&amp;MID(Calc!$E856,6,2)&amp;RIGHT(Calc!$E856,2)&amp;Calc!$Q856&amp;"|"&amp;"1"&amp;RIGHT("00000"&amp;847,5))</f>
        <v/>
      </c>
      <c r="C852">
        <f>IF($B852="","",COUNTIFS(LdgSellerA,$A852,LdgKeyA,"&lt;"&amp;$B852)+COUNTIFS(LdgSellerB,$A852,LdgKeyB,"&lt;"&amp;$B852)+1)</f>
        <v/>
      </c>
      <c r="D852">
        <f>IF($C852="","",$A852&amp;"|"&amp;RIGHT("000000"&amp;$C852,6))</f>
        <v/>
      </c>
      <c r="F852">
        <f>IF(Sync!$AH852="","",IF(LEFT(UPPER(TRIM(Sync!$AH852)),2)="SL",UPPER(TRIM(Sync!$AH852)),""))</f>
        <v/>
      </c>
      <c r="G852">
        <f>IF($F852="","",IF(Sync!$AE852="","",IF(ISNUMBER(Sync!$AE852),IF(AND(Sync!$AE852&gt;=10000101,Sync!$AE852&lt;=99991231),INT(Sync!$AE852/10000),""),IFERROR(VALUE(TRIM(LEFT(Sync!$AE852,FIND("/",Sync!$AE852)-1))),""))))</f>
        <v/>
      </c>
      <c r="H852">
        <f>IF(OR($F852="",$G852=""),"",IF(ISNUMBER(Sync!$AE852),INT(MOD(Sync!$AE852,10000)/100),IFERROR(VALUE(TRIM(LEFT(MID(Sync!$AE852,FIND("/",Sync!$AE852)+1,20),FIND("/",MID(Sync!$AE852,FIND("/",Sync!$AE852)+1,20))-1))),"")))</f>
        <v/>
      </c>
      <c r="I852">
        <f>IF(OR($F852="",$G852=""),"",IF(ISNUMBER(Sync!$AE852),MOD(Sync!$AE852,100),IFERROR(VALUE(TRIM(MID(MID(Sync!$AE852,FIND("/",Sync!$AE852)+1,20),FIND("/",MID(Sync!$AE852,FIND("/",Sync!$AE852)+1,20))+1,20))),"")))</f>
        <v/>
      </c>
      <c r="J852">
        <f>IF($F852="","",IF(OR($G852="",$H852="",$I852="",$G852&lt;1300,$G852&gt;1500,$H852&lt;1,$H852&gt;12,$I852&lt;1,$I852&gt;31),"نامعتبر",RIGHT("0000"&amp;$G852,4)&amp;"/"&amp;RIGHT("00"&amp;$H852,2)&amp;"/"&amp;RIGHT("00"&amp;$I852,2)))</f>
        <v/>
      </c>
      <c r="K852">
        <f>IF(OR($F852="",$J852="",$J852="نامعتبر"),"",LEFT($J852,4)&amp;MID($J852,6,2)&amp;RIGHT($J852,2)&amp;$N852&amp;"|"&amp;"2"&amp;RIGHT("00000"&amp;847,5))</f>
        <v/>
      </c>
      <c r="L852">
        <f>IF($K852="","",COUNTIFS(LdgSellerA,$F852,LdgKeyA,"&lt;"&amp;$K852)+COUNTIFS(LdgSellerB,$F852,LdgKeyB,"&lt;"&amp;$K852)+1)</f>
        <v/>
      </c>
      <c r="M852">
        <f>IF($L852="","",$F852&amp;"|"&amp;RIGHT("000000"&amp;$L852,6))</f>
        <v/>
      </c>
      <c r="N852">
        <f>IF($F852="","",IF(Sync!$AF852="","0000",IF(AND(ISNUMBER(Sync!$AF852),Sync!$AF852&gt;=0,Sync!$AF852&lt;1),RIGHT("00"&amp;HOUR(Sync!$AF852),2)&amp;RIGHT("00"&amp;MINUTE(Sync!$AF852),2),IFERROR(RIGHT("00"&amp;VALUE(LEFT(Sync!$AF852,FIND(":",Sync!$AF852)-1)),2)&amp;RIGHT("00"&amp;VALUE(MID(Sync!$AF852,FIND(":",Sync!$AF852)+1,2)),2),"0000"))))</f>
        <v/>
      </c>
    </row>
    <row r="853">
      <c r="A853">
        <f>IF(OR(Calc!$E857="",Calc!$E857="نامعتبر",Calc!$G857=""),"",Calc!$G857)</f>
        <v/>
      </c>
      <c r="B853">
        <f>IF($A853="","",LEFT(Calc!$E857,4)&amp;MID(Calc!$E857,6,2)&amp;RIGHT(Calc!$E857,2)&amp;Calc!$Q857&amp;"|"&amp;"1"&amp;RIGHT("00000"&amp;848,5))</f>
        <v/>
      </c>
      <c r="C853">
        <f>IF($B853="","",COUNTIFS(LdgSellerA,$A853,LdgKeyA,"&lt;"&amp;$B853)+COUNTIFS(LdgSellerB,$A853,LdgKeyB,"&lt;"&amp;$B853)+1)</f>
        <v/>
      </c>
      <c r="D853">
        <f>IF($C853="","",$A853&amp;"|"&amp;RIGHT("000000"&amp;$C853,6))</f>
        <v/>
      </c>
      <c r="F853">
        <f>IF(Sync!$AH853="","",IF(LEFT(UPPER(TRIM(Sync!$AH853)),2)="SL",UPPER(TRIM(Sync!$AH853)),""))</f>
        <v/>
      </c>
      <c r="G853">
        <f>IF($F853="","",IF(Sync!$AE853="","",IF(ISNUMBER(Sync!$AE853),IF(AND(Sync!$AE853&gt;=10000101,Sync!$AE853&lt;=99991231),INT(Sync!$AE853/10000),""),IFERROR(VALUE(TRIM(LEFT(Sync!$AE853,FIND("/",Sync!$AE853)-1))),""))))</f>
        <v/>
      </c>
      <c r="H853">
        <f>IF(OR($F853="",$G853=""),"",IF(ISNUMBER(Sync!$AE853),INT(MOD(Sync!$AE853,10000)/100),IFERROR(VALUE(TRIM(LEFT(MID(Sync!$AE853,FIND("/",Sync!$AE853)+1,20),FIND("/",MID(Sync!$AE853,FIND("/",Sync!$AE853)+1,20))-1))),"")))</f>
        <v/>
      </c>
      <c r="I853">
        <f>IF(OR($F853="",$G853=""),"",IF(ISNUMBER(Sync!$AE853),MOD(Sync!$AE853,100),IFERROR(VALUE(TRIM(MID(MID(Sync!$AE853,FIND("/",Sync!$AE853)+1,20),FIND("/",MID(Sync!$AE853,FIND("/",Sync!$AE853)+1,20))+1,20))),"")))</f>
        <v/>
      </c>
      <c r="J853">
        <f>IF($F853="","",IF(OR($G853="",$H853="",$I853="",$G853&lt;1300,$G853&gt;1500,$H853&lt;1,$H853&gt;12,$I853&lt;1,$I853&gt;31),"نامعتبر",RIGHT("0000"&amp;$G853,4)&amp;"/"&amp;RIGHT("00"&amp;$H853,2)&amp;"/"&amp;RIGHT("00"&amp;$I853,2)))</f>
        <v/>
      </c>
      <c r="K853">
        <f>IF(OR($F853="",$J853="",$J853="نامعتبر"),"",LEFT($J853,4)&amp;MID($J853,6,2)&amp;RIGHT($J853,2)&amp;$N853&amp;"|"&amp;"2"&amp;RIGHT("00000"&amp;848,5))</f>
        <v/>
      </c>
      <c r="L853">
        <f>IF($K853="","",COUNTIFS(LdgSellerA,$F853,LdgKeyA,"&lt;"&amp;$K853)+COUNTIFS(LdgSellerB,$F853,LdgKeyB,"&lt;"&amp;$K853)+1)</f>
        <v/>
      </c>
      <c r="M853">
        <f>IF($L853="","",$F853&amp;"|"&amp;RIGHT("000000"&amp;$L853,6))</f>
        <v/>
      </c>
      <c r="N853">
        <f>IF($F853="","",IF(Sync!$AF853="","0000",IF(AND(ISNUMBER(Sync!$AF853),Sync!$AF853&gt;=0,Sync!$AF853&lt;1),RIGHT("00"&amp;HOUR(Sync!$AF853),2)&amp;RIGHT("00"&amp;MINUTE(Sync!$AF853),2),IFERROR(RIGHT("00"&amp;VALUE(LEFT(Sync!$AF853,FIND(":",Sync!$AF853)-1)),2)&amp;RIGHT("00"&amp;VALUE(MID(Sync!$AF853,FIND(":",Sync!$AF853)+1,2)),2),"0000"))))</f>
        <v/>
      </c>
    </row>
    <row r="854">
      <c r="A854">
        <f>IF(OR(Calc!$E858="",Calc!$E858="نامعتبر",Calc!$G858=""),"",Calc!$G858)</f>
        <v/>
      </c>
      <c r="B854">
        <f>IF($A854="","",LEFT(Calc!$E858,4)&amp;MID(Calc!$E858,6,2)&amp;RIGHT(Calc!$E858,2)&amp;Calc!$Q858&amp;"|"&amp;"1"&amp;RIGHT("00000"&amp;849,5))</f>
        <v/>
      </c>
      <c r="C854">
        <f>IF($B854="","",COUNTIFS(LdgSellerA,$A854,LdgKeyA,"&lt;"&amp;$B854)+COUNTIFS(LdgSellerB,$A854,LdgKeyB,"&lt;"&amp;$B854)+1)</f>
        <v/>
      </c>
      <c r="D854">
        <f>IF($C854="","",$A854&amp;"|"&amp;RIGHT("000000"&amp;$C854,6))</f>
        <v/>
      </c>
      <c r="F854">
        <f>IF(Sync!$AH854="","",IF(LEFT(UPPER(TRIM(Sync!$AH854)),2)="SL",UPPER(TRIM(Sync!$AH854)),""))</f>
        <v/>
      </c>
      <c r="G854">
        <f>IF($F854="","",IF(Sync!$AE854="","",IF(ISNUMBER(Sync!$AE854),IF(AND(Sync!$AE854&gt;=10000101,Sync!$AE854&lt;=99991231),INT(Sync!$AE854/10000),""),IFERROR(VALUE(TRIM(LEFT(Sync!$AE854,FIND("/",Sync!$AE854)-1))),""))))</f>
        <v/>
      </c>
      <c r="H854">
        <f>IF(OR($F854="",$G854=""),"",IF(ISNUMBER(Sync!$AE854),INT(MOD(Sync!$AE854,10000)/100),IFERROR(VALUE(TRIM(LEFT(MID(Sync!$AE854,FIND("/",Sync!$AE854)+1,20),FIND("/",MID(Sync!$AE854,FIND("/",Sync!$AE854)+1,20))-1))),"")))</f>
        <v/>
      </c>
      <c r="I854">
        <f>IF(OR($F854="",$G854=""),"",IF(ISNUMBER(Sync!$AE854),MOD(Sync!$AE854,100),IFERROR(VALUE(TRIM(MID(MID(Sync!$AE854,FIND("/",Sync!$AE854)+1,20),FIND("/",MID(Sync!$AE854,FIND("/",Sync!$AE854)+1,20))+1,20))),"")))</f>
        <v/>
      </c>
      <c r="J854">
        <f>IF($F854="","",IF(OR($G854="",$H854="",$I854="",$G854&lt;1300,$G854&gt;1500,$H854&lt;1,$H854&gt;12,$I854&lt;1,$I854&gt;31),"نامعتبر",RIGHT("0000"&amp;$G854,4)&amp;"/"&amp;RIGHT("00"&amp;$H854,2)&amp;"/"&amp;RIGHT("00"&amp;$I854,2)))</f>
        <v/>
      </c>
      <c r="K854">
        <f>IF(OR($F854="",$J854="",$J854="نامعتبر"),"",LEFT($J854,4)&amp;MID($J854,6,2)&amp;RIGHT($J854,2)&amp;$N854&amp;"|"&amp;"2"&amp;RIGHT("00000"&amp;849,5))</f>
        <v/>
      </c>
      <c r="L854">
        <f>IF($K854="","",COUNTIFS(LdgSellerA,$F854,LdgKeyA,"&lt;"&amp;$K854)+COUNTIFS(LdgSellerB,$F854,LdgKeyB,"&lt;"&amp;$K854)+1)</f>
        <v/>
      </c>
      <c r="M854">
        <f>IF($L854="","",$F854&amp;"|"&amp;RIGHT("000000"&amp;$L854,6))</f>
        <v/>
      </c>
      <c r="N854">
        <f>IF($F854="","",IF(Sync!$AF854="","0000",IF(AND(ISNUMBER(Sync!$AF854),Sync!$AF854&gt;=0,Sync!$AF854&lt;1),RIGHT("00"&amp;HOUR(Sync!$AF854),2)&amp;RIGHT("00"&amp;MINUTE(Sync!$AF854),2),IFERROR(RIGHT("00"&amp;VALUE(LEFT(Sync!$AF854,FIND(":",Sync!$AF854)-1)),2)&amp;RIGHT("00"&amp;VALUE(MID(Sync!$AF854,FIND(":",Sync!$AF854)+1,2)),2),"0000"))))</f>
        <v/>
      </c>
    </row>
    <row r="855">
      <c r="A855">
        <f>IF(OR(Calc!$E859="",Calc!$E859="نامعتبر",Calc!$G859=""),"",Calc!$G859)</f>
        <v/>
      </c>
      <c r="B855">
        <f>IF($A855="","",LEFT(Calc!$E859,4)&amp;MID(Calc!$E859,6,2)&amp;RIGHT(Calc!$E859,2)&amp;Calc!$Q859&amp;"|"&amp;"1"&amp;RIGHT("00000"&amp;850,5))</f>
        <v/>
      </c>
      <c r="C855">
        <f>IF($B855="","",COUNTIFS(LdgSellerA,$A855,LdgKeyA,"&lt;"&amp;$B855)+COUNTIFS(LdgSellerB,$A855,LdgKeyB,"&lt;"&amp;$B855)+1)</f>
        <v/>
      </c>
      <c r="D855">
        <f>IF($C855="","",$A855&amp;"|"&amp;RIGHT("000000"&amp;$C855,6))</f>
        <v/>
      </c>
      <c r="F855">
        <f>IF(Sync!$AH855="","",IF(LEFT(UPPER(TRIM(Sync!$AH855)),2)="SL",UPPER(TRIM(Sync!$AH855)),""))</f>
        <v/>
      </c>
      <c r="G855">
        <f>IF($F855="","",IF(Sync!$AE855="","",IF(ISNUMBER(Sync!$AE855),IF(AND(Sync!$AE855&gt;=10000101,Sync!$AE855&lt;=99991231),INT(Sync!$AE855/10000),""),IFERROR(VALUE(TRIM(LEFT(Sync!$AE855,FIND("/",Sync!$AE855)-1))),""))))</f>
        <v/>
      </c>
      <c r="H855">
        <f>IF(OR($F855="",$G855=""),"",IF(ISNUMBER(Sync!$AE855),INT(MOD(Sync!$AE855,10000)/100),IFERROR(VALUE(TRIM(LEFT(MID(Sync!$AE855,FIND("/",Sync!$AE855)+1,20),FIND("/",MID(Sync!$AE855,FIND("/",Sync!$AE855)+1,20))-1))),"")))</f>
        <v/>
      </c>
      <c r="I855">
        <f>IF(OR($F855="",$G855=""),"",IF(ISNUMBER(Sync!$AE855),MOD(Sync!$AE855,100),IFERROR(VALUE(TRIM(MID(MID(Sync!$AE855,FIND("/",Sync!$AE855)+1,20),FIND("/",MID(Sync!$AE855,FIND("/",Sync!$AE855)+1,20))+1,20))),"")))</f>
        <v/>
      </c>
      <c r="J855">
        <f>IF($F855="","",IF(OR($G855="",$H855="",$I855="",$G855&lt;1300,$G855&gt;1500,$H855&lt;1,$H855&gt;12,$I855&lt;1,$I855&gt;31),"نامعتبر",RIGHT("0000"&amp;$G855,4)&amp;"/"&amp;RIGHT("00"&amp;$H855,2)&amp;"/"&amp;RIGHT("00"&amp;$I855,2)))</f>
        <v/>
      </c>
      <c r="K855">
        <f>IF(OR($F855="",$J855="",$J855="نامعتبر"),"",LEFT($J855,4)&amp;MID($J855,6,2)&amp;RIGHT($J855,2)&amp;$N855&amp;"|"&amp;"2"&amp;RIGHT("00000"&amp;850,5))</f>
        <v/>
      </c>
      <c r="L855">
        <f>IF($K855="","",COUNTIFS(LdgSellerA,$F855,LdgKeyA,"&lt;"&amp;$K855)+COUNTIFS(LdgSellerB,$F855,LdgKeyB,"&lt;"&amp;$K855)+1)</f>
        <v/>
      </c>
      <c r="M855">
        <f>IF($L855="","",$F855&amp;"|"&amp;RIGHT("000000"&amp;$L855,6))</f>
        <v/>
      </c>
      <c r="N855">
        <f>IF($F855="","",IF(Sync!$AF855="","0000",IF(AND(ISNUMBER(Sync!$AF855),Sync!$AF855&gt;=0,Sync!$AF855&lt;1),RIGHT("00"&amp;HOUR(Sync!$AF855),2)&amp;RIGHT("00"&amp;MINUTE(Sync!$AF855),2),IFERROR(RIGHT("00"&amp;VALUE(LEFT(Sync!$AF855,FIND(":",Sync!$AF855)-1)),2)&amp;RIGHT("00"&amp;VALUE(MID(Sync!$AF855,FIND(":",Sync!$AF855)+1,2)),2),"0000"))))</f>
        <v/>
      </c>
    </row>
    <row r="856">
      <c r="A856">
        <f>IF(OR(Calc!$E860="",Calc!$E860="نامعتبر",Calc!$G860=""),"",Calc!$G860)</f>
        <v/>
      </c>
      <c r="B856">
        <f>IF($A856="","",LEFT(Calc!$E860,4)&amp;MID(Calc!$E860,6,2)&amp;RIGHT(Calc!$E860,2)&amp;Calc!$Q860&amp;"|"&amp;"1"&amp;RIGHT("00000"&amp;851,5))</f>
        <v/>
      </c>
      <c r="C856">
        <f>IF($B856="","",COUNTIFS(LdgSellerA,$A856,LdgKeyA,"&lt;"&amp;$B856)+COUNTIFS(LdgSellerB,$A856,LdgKeyB,"&lt;"&amp;$B856)+1)</f>
        <v/>
      </c>
      <c r="D856">
        <f>IF($C856="","",$A856&amp;"|"&amp;RIGHT("000000"&amp;$C856,6))</f>
        <v/>
      </c>
      <c r="F856">
        <f>IF(Sync!$AH856="","",IF(LEFT(UPPER(TRIM(Sync!$AH856)),2)="SL",UPPER(TRIM(Sync!$AH856)),""))</f>
        <v/>
      </c>
      <c r="G856">
        <f>IF($F856="","",IF(Sync!$AE856="","",IF(ISNUMBER(Sync!$AE856),IF(AND(Sync!$AE856&gt;=10000101,Sync!$AE856&lt;=99991231),INT(Sync!$AE856/10000),""),IFERROR(VALUE(TRIM(LEFT(Sync!$AE856,FIND("/",Sync!$AE856)-1))),""))))</f>
        <v/>
      </c>
      <c r="H856">
        <f>IF(OR($F856="",$G856=""),"",IF(ISNUMBER(Sync!$AE856),INT(MOD(Sync!$AE856,10000)/100),IFERROR(VALUE(TRIM(LEFT(MID(Sync!$AE856,FIND("/",Sync!$AE856)+1,20),FIND("/",MID(Sync!$AE856,FIND("/",Sync!$AE856)+1,20))-1))),"")))</f>
        <v/>
      </c>
      <c r="I856">
        <f>IF(OR($F856="",$G856=""),"",IF(ISNUMBER(Sync!$AE856),MOD(Sync!$AE856,100),IFERROR(VALUE(TRIM(MID(MID(Sync!$AE856,FIND("/",Sync!$AE856)+1,20),FIND("/",MID(Sync!$AE856,FIND("/",Sync!$AE856)+1,20))+1,20))),"")))</f>
        <v/>
      </c>
      <c r="J856">
        <f>IF($F856="","",IF(OR($G856="",$H856="",$I856="",$G856&lt;1300,$G856&gt;1500,$H856&lt;1,$H856&gt;12,$I856&lt;1,$I856&gt;31),"نامعتبر",RIGHT("0000"&amp;$G856,4)&amp;"/"&amp;RIGHT("00"&amp;$H856,2)&amp;"/"&amp;RIGHT("00"&amp;$I856,2)))</f>
        <v/>
      </c>
      <c r="K856">
        <f>IF(OR($F856="",$J856="",$J856="نامعتبر"),"",LEFT($J856,4)&amp;MID($J856,6,2)&amp;RIGHT($J856,2)&amp;$N856&amp;"|"&amp;"2"&amp;RIGHT("00000"&amp;851,5))</f>
        <v/>
      </c>
      <c r="L856">
        <f>IF($K856="","",COUNTIFS(LdgSellerA,$F856,LdgKeyA,"&lt;"&amp;$K856)+COUNTIFS(LdgSellerB,$F856,LdgKeyB,"&lt;"&amp;$K856)+1)</f>
        <v/>
      </c>
      <c r="M856">
        <f>IF($L856="","",$F856&amp;"|"&amp;RIGHT("000000"&amp;$L856,6))</f>
        <v/>
      </c>
      <c r="N856">
        <f>IF($F856="","",IF(Sync!$AF856="","0000",IF(AND(ISNUMBER(Sync!$AF856),Sync!$AF856&gt;=0,Sync!$AF856&lt;1),RIGHT("00"&amp;HOUR(Sync!$AF856),2)&amp;RIGHT("00"&amp;MINUTE(Sync!$AF856),2),IFERROR(RIGHT("00"&amp;VALUE(LEFT(Sync!$AF856,FIND(":",Sync!$AF856)-1)),2)&amp;RIGHT("00"&amp;VALUE(MID(Sync!$AF856,FIND(":",Sync!$AF856)+1,2)),2),"0000"))))</f>
        <v/>
      </c>
    </row>
    <row r="857">
      <c r="A857">
        <f>IF(OR(Calc!$E861="",Calc!$E861="نامعتبر",Calc!$G861=""),"",Calc!$G861)</f>
        <v/>
      </c>
      <c r="B857">
        <f>IF($A857="","",LEFT(Calc!$E861,4)&amp;MID(Calc!$E861,6,2)&amp;RIGHT(Calc!$E861,2)&amp;Calc!$Q861&amp;"|"&amp;"1"&amp;RIGHT("00000"&amp;852,5))</f>
        <v/>
      </c>
      <c r="C857">
        <f>IF($B857="","",COUNTIFS(LdgSellerA,$A857,LdgKeyA,"&lt;"&amp;$B857)+COUNTIFS(LdgSellerB,$A857,LdgKeyB,"&lt;"&amp;$B857)+1)</f>
        <v/>
      </c>
      <c r="D857">
        <f>IF($C857="","",$A857&amp;"|"&amp;RIGHT("000000"&amp;$C857,6))</f>
        <v/>
      </c>
      <c r="F857">
        <f>IF(Sync!$AH857="","",IF(LEFT(UPPER(TRIM(Sync!$AH857)),2)="SL",UPPER(TRIM(Sync!$AH857)),""))</f>
        <v/>
      </c>
      <c r="G857">
        <f>IF($F857="","",IF(Sync!$AE857="","",IF(ISNUMBER(Sync!$AE857),IF(AND(Sync!$AE857&gt;=10000101,Sync!$AE857&lt;=99991231),INT(Sync!$AE857/10000),""),IFERROR(VALUE(TRIM(LEFT(Sync!$AE857,FIND("/",Sync!$AE857)-1))),""))))</f>
        <v/>
      </c>
      <c r="H857">
        <f>IF(OR($F857="",$G857=""),"",IF(ISNUMBER(Sync!$AE857),INT(MOD(Sync!$AE857,10000)/100),IFERROR(VALUE(TRIM(LEFT(MID(Sync!$AE857,FIND("/",Sync!$AE857)+1,20),FIND("/",MID(Sync!$AE857,FIND("/",Sync!$AE857)+1,20))-1))),"")))</f>
        <v/>
      </c>
      <c r="I857">
        <f>IF(OR($F857="",$G857=""),"",IF(ISNUMBER(Sync!$AE857),MOD(Sync!$AE857,100),IFERROR(VALUE(TRIM(MID(MID(Sync!$AE857,FIND("/",Sync!$AE857)+1,20),FIND("/",MID(Sync!$AE857,FIND("/",Sync!$AE857)+1,20))+1,20))),"")))</f>
        <v/>
      </c>
      <c r="J857">
        <f>IF($F857="","",IF(OR($G857="",$H857="",$I857="",$G857&lt;1300,$G857&gt;1500,$H857&lt;1,$H857&gt;12,$I857&lt;1,$I857&gt;31),"نامعتبر",RIGHT("0000"&amp;$G857,4)&amp;"/"&amp;RIGHT("00"&amp;$H857,2)&amp;"/"&amp;RIGHT("00"&amp;$I857,2)))</f>
        <v/>
      </c>
      <c r="K857">
        <f>IF(OR($F857="",$J857="",$J857="نامعتبر"),"",LEFT($J857,4)&amp;MID($J857,6,2)&amp;RIGHT($J857,2)&amp;$N857&amp;"|"&amp;"2"&amp;RIGHT("00000"&amp;852,5))</f>
        <v/>
      </c>
      <c r="L857">
        <f>IF($K857="","",COUNTIFS(LdgSellerA,$F857,LdgKeyA,"&lt;"&amp;$K857)+COUNTIFS(LdgSellerB,$F857,LdgKeyB,"&lt;"&amp;$K857)+1)</f>
        <v/>
      </c>
      <c r="M857">
        <f>IF($L857="","",$F857&amp;"|"&amp;RIGHT("000000"&amp;$L857,6))</f>
        <v/>
      </c>
      <c r="N857">
        <f>IF($F857="","",IF(Sync!$AF857="","0000",IF(AND(ISNUMBER(Sync!$AF857),Sync!$AF857&gt;=0,Sync!$AF857&lt;1),RIGHT("00"&amp;HOUR(Sync!$AF857),2)&amp;RIGHT("00"&amp;MINUTE(Sync!$AF857),2),IFERROR(RIGHT("00"&amp;VALUE(LEFT(Sync!$AF857,FIND(":",Sync!$AF857)-1)),2)&amp;RIGHT("00"&amp;VALUE(MID(Sync!$AF857,FIND(":",Sync!$AF857)+1,2)),2),"0000"))))</f>
        <v/>
      </c>
    </row>
    <row r="858">
      <c r="A858">
        <f>IF(OR(Calc!$E862="",Calc!$E862="نامعتبر",Calc!$G862=""),"",Calc!$G862)</f>
        <v/>
      </c>
      <c r="B858">
        <f>IF($A858="","",LEFT(Calc!$E862,4)&amp;MID(Calc!$E862,6,2)&amp;RIGHT(Calc!$E862,2)&amp;Calc!$Q862&amp;"|"&amp;"1"&amp;RIGHT("00000"&amp;853,5))</f>
        <v/>
      </c>
      <c r="C858">
        <f>IF($B858="","",COUNTIFS(LdgSellerA,$A858,LdgKeyA,"&lt;"&amp;$B858)+COUNTIFS(LdgSellerB,$A858,LdgKeyB,"&lt;"&amp;$B858)+1)</f>
        <v/>
      </c>
      <c r="D858">
        <f>IF($C858="","",$A858&amp;"|"&amp;RIGHT("000000"&amp;$C858,6))</f>
        <v/>
      </c>
      <c r="F858">
        <f>IF(Sync!$AH858="","",IF(LEFT(UPPER(TRIM(Sync!$AH858)),2)="SL",UPPER(TRIM(Sync!$AH858)),""))</f>
        <v/>
      </c>
      <c r="G858">
        <f>IF($F858="","",IF(Sync!$AE858="","",IF(ISNUMBER(Sync!$AE858),IF(AND(Sync!$AE858&gt;=10000101,Sync!$AE858&lt;=99991231),INT(Sync!$AE858/10000),""),IFERROR(VALUE(TRIM(LEFT(Sync!$AE858,FIND("/",Sync!$AE858)-1))),""))))</f>
        <v/>
      </c>
      <c r="H858">
        <f>IF(OR($F858="",$G858=""),"",IF(ISNUMBER(Sync!$AE858),INT(MOD(Sync!$AE858,10000)/100),IFERROR(VALUE(TRIM(LEFT(MID(Sync!$AE858,FIND("/",Sync!$AE858)+1,20),FIND("/",MID(Sync!$AE858,FIND("/",Sync!$AE858)+1,20))-1))),"")))</f>
        <v/>
      </c>
      <c r="I858">
        <f>IF(OR($F858="",$G858=""),"",IF(ISNUMBER(Sync!$AE858),MOD(Sync!$AE858,100),IFERROR(VALUE(TRIM(MID(MID(Sync!$AE858,FIND("/",Sync!$AE858)+1,20),FIND("/",MID(Sync!$AE858,FIND("/",Sync!$AE858)+1,20))+1,20))),"")))</f>
        <v/>
      </c>
      <c r="J858">
        <f>IF($F858="","",IF(OR($G858="",$H858="",$I858="",$G858&lt;1300,$G858&gt;1500,$H858&lt;1,$H858&gt;12,$I858&lt;1,$I858&gt;31),"نامعتبر",RIGHT("0000"&amp;$G858,4)&amp;"/"&amp;RIGHT("00"&amp;$H858,2)&amp;"/"&amp;RIGHT("00"&amp;$I858,2)))</f>
        <v/>
      </c>
      <c r="K858">
        <f>IF(OR($F858="",$J858="",$J858="نامعتبر"),"",LEFT($J858,4)&amp;MID($J858,6,2)&amp;RIGHT($J858,2)&amp;$N858&amp;"|"&amp;"2"&amp;RIGHT("00000"&amp;853,5))</f>
        <v/>
      </c>
      <c r="L858">
        <f>IF($K858="","",COUNTIFS(LdgSellerA,$F858,LdgKeyA,"&lt;"&amp;$K858)+COUNTIFS(LdgSellerB,$F858,LdgKeyB,"&lt;"&amp;$K858)+1)</f>
        <v/>
      </c>
      <c r="M858">
        <f>IF($L858="","",$F858&amp;"|"&amp;RIGHT("000000"&amp;$L858,6))</f>
        <v/>
      </c>
      <c r="N858">
        <f>IF($F858="","",IF(Sync!$AF858="","0000",IF(AND(ISNUMBER(Sync!$AF858),Sync!$AF858&gt;=0,Sync!$AF858&lt;1),RIGHT("00"&amp;HOUR(Sync!$AF858),2)&amp;RIGHT("00"&amp;MINUTE(Sync!$AF858),2),IFERROR(RIGHT("00"&amp;VALUE(LEFT(Sync!$AF858,FIND(":",Sync!$AF858)-1)),2)&amp;RIGHT("00"&amp;VALUE(MID(Sync!$AF858,FIND(":",Sync!$AF858)+1,2)),2),"0000"))))</f>
        <v/>
      </c>
    </row>
    <row r="859">
      <c r="A859">
        <f>IF(OR(Calc!$E863="",Calc!$E863="نامعتبر",Calc!$G863=""),"",Calc!$G863)</f>
        <v/>
      </c>
      <c r="B859">
        <f>IF($A859="","",LEFT(Calc!$E863,4)&amp;MID(Calc!$E863,6,2)&amp;RIGHT(Calc!$E863,2)&amp;Calc!$Q863&amp;"|"&amp;"1"&amp;RIGHT("00000"&amp;854,5))</f>
        <v/>
      </c>
      <c r="C859">
        <f>IF($B859="","",COUNTIFS(LdgSellerA,$A859,LdgKeyA,"&lt;"&amp;$B859)+COUNTIFS(LdgSellerB,$A859,LdgKeyB,"&lt;"&amp;$B859)+1)</f>
        <v/>
      </c>
      <c r="D859">
        <f>IF($C859="","",$A859&amp;"|"&amp;RIGHT("000000"&amp;$C859,6))</f>
        <v/>
      </c>
      <c r="F859">
        <f>IF(Sync!$AH859="","",IF(LEFT(UPPER(TRIM(Sync!$AH859)),2)="SL",UPPER(TRIM(Sync!$AH859)),""))</f>
        <v/>
      </c>
      <c r="G859">
        <f>IF($F859="","",IF(Sync!$AE859="","",IF(ISNUMBER(Sync!$AE859),IF(AND(Sync!$AE859&gt;=10000101,Sync!$AE859&lt;=99991231),INT(Sync!$AE859/10000),""),IFERROR(VALUE(TRIM(LEFT(Sync!$AE859,FIND("/",Sync!$AE859)-1))),""))))</f>
        <v/>
      </c>
      <c r="H859">
        <f>IF(OR($F859="",$G859=""),"",IF(ISNUMBER(Sync!$AE859),INT(MOD(Sync!$AE859,10000)/100),IFERROR(VALUE(TRIM(LEFT(MID(Sync!$AE859,FIND("/",Sync!$AE859)+1,20),FIND("/",MID(Sync!$AE859,FIND("/",Sync!$AE859)+1,20))-1))),"")))</f>
        <v/>
      </c>
      <c r="I859">
        <f>IF(OR($F859="",$G859=""),"",IF(ISNUMBER(Sync!$AE859),MOD(Sync!$AE859,100),IFERROR(VALUE(TRIM(MID(MID(Sync!$AE859,FIND("/",Sync!$AE859)+1,20),FIND("/",MID(Sync!$AE859,FIND("/",Sync!$AE859)+1,20))+1,20))),"")))</f>
        <v/>
      </c>
      <c r="J859">
        <f>IF($F859="","",IF(OR($G859="",$H859="",$I859="",$G859&lt;1300,$G859&gt;1500,$H859&lt;1,$H859&gt;12,$I859&lt;1,$I859&gt;31),"نامعتبر",RIGHT("0000"&amp;$G859,4)&amp;"/"&amp;RIGHT("00"&amp;$H859,2)&amp;"/"&amp;RIGHT("00"&amp;$I859,2)))</f>
        <v/>
      </c>
      <c r="K859">
        <f>IF(OR($F859="",$J859="",$J859="نامعتبر"),"",LEFT($J859,4)&amp;MID($J859,6,2)&amp;RIGHT($J859,2)&amp;$N859&amp;"|"&amp;"2"&amp;RIGHT("00000"&amp;854,5))</f>
        <v/>
      </c>
      <c r="L859">
        <f>IF($K859="","",COUNTIFS(LdgSellerA,$F859,LdgKeyA,"&lt;"&amp;$K859)+COUNTIFS(LdgSellerB,$F859,LdgKeyB,"&lt;"&amp;$K859)+1)</f>
        <v/>
      </c>
      <c r="M859">
        <f>IF($L859="","",$F859&amp;"|"&amp;RIGHT("000000"&amp;$L859,6))</f>
        <v/>
      </c>
      <c r="N859">
        <f>IF($F859="","",IF(Sync!$AF859="","0000",IF(AND(ISNUMBER(Sync!$AF859),Sync!$AF859&gt;=0,Sync!$AF859&lt;1),RIGHT("00"&amp;HOUR(Sync!$AF859),2)&amp;RIGHT("00"&amp;MINUTE(Sync!$AF859),2),IFERROR(RIGHT("00"&amp;VALUE(LEFT(Sync!$AF859,FIND(":",Sync!$AF859)-1)),2)&amp;RIGHT("00"&amp;VALUE(MID(Sync!$AF859,FIND(":",Sync!$AF859)+1,2)),2),"0000"))))</f>
        <v/>
      </c>
    </row>
    <row r="860">
      <c r="A860">
        <f>IF(OR(Calc!$E864="",Calc!$E864="نامعتبر",Calc!$G864=""),"",Calc!$G864)</f>
        <v/>
      </c>
      <c r="B860">
        <f>IF($A860="","",LEFT(Calc!$E864,4)&amp;MID(Calc!$E864,6,2)&amp;RIGHT(Calc!$E864,2)&amp;Calc!$Q864&amp;"|"&amp;"1"&amp;RIGHT("00000"&amp;855,5))</f>
        <v/>
      </c>
      <c r="C860">
        <f>IF($B860="","",COUNTIFS(LdgSellerA,$A860,LdgKeyA,"&lt;"&amp;$B860)+COUNTIFS(LdgSellerB,$A860,LdgKeyB,"&lt;"&amp;$B860)+1)</f>
        <v/>
      </c>
      <c r="D860">
        <f>IF($C860="","",$A860&amp;"|"&amp;RIGHT("000000"&amp;$C860,6))</f>
        <v/>
      </c>
      <c r="F860">
        <f>IF(Sync!$AH860="","",IF(LEFT(UPPER(TRIM(Sync!$AH860)),2)="SL",UPPER(TRIM(Sync!$AH860)),""))</f>
        <v/>
      </c>
      <c r="G860">
        <f>IF($F860="","",IF(Sync!$AE860="","",IF(ISNUMBER(Sync!$AE860),IF(AND(Sync!$AE860&gt;=10000101,Sync!$AE860&lt;=99991231),INT(Sync!$AE860/10000),""),IFERROR(VALUE(TRIM(LEFT(Sync!$AE860,FIND("/",Sync!$AE860)-1))),""))))</f>
        <v/>
      </c>
      <c r="H860">
        <f>IF(OR($F860="",$G860=""),"",IF(ISNUMBER(Sync!$AE860),INT(MOD(Sync!$AE860,10000)/100),IFERROR(VALUE(TRIM(LEFT(MID(Sync!$AE860,FIND("/",Sync!$AE860)+1,20),FIND("/",MID(Sync!$AE860,FIND("/",Sync!$AE860)+1,20))-1))),"")))</f>
        <v/>
      </c>
      <c r="I860">
        <f>IF(OR($F860="",$G860=""),"",IF(ISNUMBER(Sync!$AE860),MOD(Sync!$AE860,100),IFERROR(VALUE(TRIM(MID(MID(Sync!$AE860,FIND("/",Sync!$AE860)+1,20),FIND("/",MID(Sync!$AE860,FIND("/",Sync!$AE860)+1,20))+1,20))),"")))</f>
        <v/>
      </c>
      <c r="J860">
        <f>IF($F860="","",IF(OR($G860="",$H860="",$I860="",$G860&lt;1300,$G860&gt;1500,$H860&lt;1,$H860&gt;12,$I860&lt;1,$I860&gt;31),"نامعتبر",RIGHT("0000"&amp;$G860,4)&amp;"/"&amp;RIGHT("00"&amp;$H860,2)&amp;"/"&amp;RIGHT("00"&amp;$I860,2)))</f>
        <v/>
      </c>
      <c r="K860">
        <f>IF(OR($F860="",$J860="",$J860="نامعتبر"),"",LEFT($J860,4)&amp;MID($J860,6,2)&amp;RIGHT($J860,2)&amp;$N860&amp;"|"&amp;"2"&amp;RIGHT("00000"&amp;855,5))</f>
        <v/>
      </c>
      <c r="L860">
        <f>IF($K860="","",COUNTIFS(LdgSellerA,$F860,LdgKeyA,"&lt;"&amp;$K860)+COUNTIFS(LdgSellerB,$F860,LdgKeyB,"&lt;"&amp;$K860)+1)</f>
        <v/>
      </c>
      <c r="M860">
        <f>IF($L860="","",$F860&amp;"|"&amp;RIGHT("000000"&amp;$L860,6))</f>
        <v/>
      </c>
      <c r="N860">
        <f>IF($F860="","",IF(Sync!$AF860="","0000",IF(AND(ISNUMBER(Sync!$AF860),Sync!$AF860&gt;=0,Sync!$AF860&lt;1),RIGHT("00"&amp;HOUR(Sync!$AF860),2)&amp;RIGHT("00"&amp;MINUTE(Sync!$AF860),2),IFERROR(RIGHT("00"&amp;VALUE(LEFT(Sync!$AF860,FIND(":",Sync!$AF860)-1)),2)&amp;RIGHT("00"&amp;VALUE(MID(Sync!$AF860,FIND(":",Sync!$AF860)+1,2)),2),"0000"))))</f>
        <v/>
      </c>
    </row>
    <row r="861">
      <c r="A861">
        <f>IF(OR(Calc!$E865="",Calc!$E865="نامعتبر",Calc!$G865=""),"",Calc!$G865)</f>
        <v/>
      </c>
      <c r="B861">
        <f>IF($A861="","",LEFT(Calc!$E865,4)&amp;MID(Calc!$E865,6,2)&amp;RIGHT(Calc!$E865,2)&amp;Calc!$Q865&amp;"|"&amp;"1"&amp;RIGHT("00000"&amp;856,5))</f>
        <v/>
      </c>
      <c r="C861">
        <f>IF($B861="","",COUNTIFS(LdgSellerA,$A861,LdgKeyA,"&lt;"&amp;$B861)+COUNTIFS(LdgSellerB,$A861,LdgKeyB,"&lt;"&amp;$B861)+1)</f>
        <v/>
      </c>
      <c r="D861">
        <f>IF($C861="","",$A861&amp;"|"&amp;RIGHT("000000"&amp;$C861,6))</f>
        <v/>
      </c>
      <c r="F861">
        <f>IF(Sync!$AH861="","",IF(LEFT(UPPER(TRIM(Sync!$AH861)),2)="SL",UPPER(TRIM(Sync!$AH861)),""))</f>
        <v/>
      </c>
      <c r="G861">
        <f>IF($F861="","",IF(Sync!$AE861="","",IF(ISNUMBER(Sync!$AE861),IF(AND(Sync!$AE861&gt;=10000101,Sync!$AE861&lt;=99991231),INT(Sync!$AE861/10000),""),IFERROR(VALUE(TRIM(LEFT(Sync!$AE861,FIND("/",Sync!$AE861)-1))),""))))</f>
        <v/>
      </c>
      <c r="H861">
        <f>IF(OR($F861="",$G861=""),"",IF(ISNUMBER(Sync!$AE861),INT(MOD(Sync!$AE861,10000)/100),IFERROR(VALUE(TRIM(LEFT(MID(Sync!$AE861,FIND("/",Sync!$AE861)+1,20),FIND("/",MID(Sync!$AE861,FIND("/",Sync!$AE861)+1,20))-1))),"")))</f>
        <v/>
      </c>
      <c r="I861">
        <f>IF(OR($F861="",$G861=""),"",IF(ISNUMBER(Sync!$AE861),MOD(Sync!$AE861,100),IFERROR(VALUE(TRIM(MID(MID(Sync!$AE861,FIND("/",Sync!$AE861)+1,20),FIND("/",MID(Sync!$AE861,FIND("/",Sync!$AE861)+1,20))+1,20))),"")))</f>
        <v/>
      </c>
      <c r="J861">
        <f>IF($F861="","",IF(OR($G861="",$H861="",$I861="",$G861&lt;1300,$G861&gt;1500,$H861&lt;1,$H861&gt;12,$I861&lt;1,$I861&gt;31),"نامعتبر",RIGHT("0000"&amp;$G861,4)&amp;"/"&amp;RIGHT("00"&amp;$H861,2)&amp;"/"&amp;RIGHT("00"&amp;$I861,2)))</f>
        <v/>
      </c>
      <c r="K861">
        <f>IF(OR($F861="",$J861="",$J861="نامعتبر"),"",LEFT($J861,4)&amp;MID($J861,6,2)&amp;RIGHT($J861,2)&amp;$N861&amp;"|"&amp;"2"&amp;RIGHT("00000"&amp;856,5))</f>
        <v/>
      </c>
      <c r="L861">
        <f>IF($K861="","",COUNTIFS(LdgSellerA,$F861,LdgKeyA,"&lt;"&amp;$K861)+COUNTIFS(LdgSellerB,$F861,LdgKeyB,"&lt;"&amp;$K861)+1)</f>
        <v/>
      </c>
      <c r="M861">
        <f>IF($L861="","",$F861&amp;"|"&amp;RIGHT("000000"&amp;$L861,6))</f>
        <v/>
      </c>
      <c r="N861">
        <f>IF($F861="","",IF(Sync!$AF861="","0000",IF(AND(ISNUMBER(Sync!$AF861),Sync!$AF861&gt;=0,Sync!$AF861&lt;1),RIGHT("00"&amp;HOUR(Sync!$AF861),2)&amp;RIGHT("00"&amp;MINUTE(Sync!$AF861),2),IFERROR(RIGHT("00"&amp;VALUE(LEFT(Sync!$AF861,FIND(":",Sync!$AF861)-1)),2)&amp;RIGHT("00"&amp;VALUE(MID(Sync!$AF861,FIND(":",Sync!$AF861)+1,2)),2),"0000"))))</f>
        <v/>
      </c>
    </row>
    <row r="862">
      <c r="A862">
        <f>IF(OR(Calc!$E866="",Calc!$E866="نامعتبر",Calc!$G866=""),"",Calc!$G866)</f>
        <v/>
      </c>
      <c r="B862">
        <f>IF($A862="","",LEFT(Calc!$E866,4)&amp;MID(Calc!$E866,6,2)&amp;RIGHT(Calc!$E866,2)&amp;Calc!$Q866&amp;"|"&amp;"1"&amp;RIGHT("00000"&amp;857,5))</f>
        <v/>
      </c>
      <c r="C862">
        <f>IF($B862="","",COUNTIFS(LdgSellerA,$A862,LdgKeyA,"&lt;"&amp;$B862)+COUNTIFS(LdgSellerB,$A862,LdgKeyB,"&lt;"&amp;$B862)+1)</f>
        <v/>
      </c>
      <c r="D862">
        <f>IF($C862="","",$A862&amp;"|"&amp;RIGHT("000000"&amp;$C862,6))</f>
        <v/>
      </c>
      <c r="F862">
        <f>IF(Sync!$AH862="","",IF(LEFT(UPPER(TRIM(Sync!$AH862)),2)="SL",UPPER(TRIM(Sync!$AH862)),""))</f>
        <v/>
      </c>
      <c r="G862">
        <f>IF($F862="","",IF(Sync!$AE862="","",IF(ISNUMBER(Sync!$AE862),IF(AND(Sync!$AE862&gt;=10000101,Sync!$AE862&lt;=99991231),INT(Sync!$AE862/10000),""),IFERROR(VALUE(TRIM(LEFT(Sync!$AE862,FIND("/",Sync!$AE862)-1))),""))))</f>
        <v/>
      </c>
      <c r="H862">
        <f>IF(OR($F862="",$G862=""),"",IF(ISNUMBER(Sync!$AE862),INT(MOD(Sync!$AE862,10000)/100),IFERROR(VALUE(TRIM(LEFT(MID(Sync!$AE862,FIND("/",Sync!$AE862)+1,20),FIND("/",MID(Sync!$AE862,FIND("/",Sync!$AE862)+1,20))-1))),"")))</f>
        <v/>
      </c>
      <c r="I862">
        <f>IF(OR($F862="",$G862=""),"",IF(ISNUMBER(Sync!$AE862),MOD(Sync!$AE862,100),IFERROR(VALUE(TRIM(MID(MID(Sync!$AE862,FIND("/",Sync!$AE862)+1,20),FIND("/",MID(Sync!$AE862,FIND("/",Sync!$AE862)+1,20))+1,20))),"")))</f>
        <v/>
      </c>
      <c r="J862">
        <f>IF($F862="","",IF(OR($G862="",$H862="",$I862="",$G862&lt;1300,$G862&gt;1500,$H862&lt;1,$H862&gt;12,$I862&lt;1,$I862&gt;31),"نامعتبر",RIGHT("0000"&amp;$G862,4)&amp;"/"&amp;RIGHT("00"&amp;$H862,2)&amp;"/"&amp;RIGHT("00"&amp;$I862,2)))</f>
        <v/>
      </c>
      <c r="K862">
        <f>IF(OR($F862="",$J862="",$J862="نامعتبر"),"",LEFT($J862,4)&amp;MID($J862,6,2)&amp;RIGHT($J862,2)&amp;$N862&amp;"|"&amp;"2"&amp;RIGHT("00000"&amp;857,5))</f>
        <v/>
      </c>
      <c r="L862">
        <f>IF($K862="","",COUNTIFS(LdgSellerA,$F862,LdgKeyA,"&lt;"&amp;$K862)+COUNTIFS(LdgSellerB,$F862,LdgKeyB,"&lt;"&amp;$K862)+1)</f>
        <v/>
      </c>
      <c r="M862">
        <f>IF($L862="","",$F862&amp;"|"&amp;RIGHT("000000"&amp;$L862,6))</f>
        <v/>
      </c>
      <c r="N862">
        <f>IF($F862="","",IF(Sync!$AF862="","0000",IF(AND(ISNUMBER(Sync!$AF862),Sync!$AF862&gt;=0,Sync!$AF862&lt;1),RIGHT("00"&amp;HOUR(Sync!$AF862),2)&amp;RIGHT("00"&amp;MINUTE(Sync!$AF862),2),IFERROR(RIGHT("00"&amp;VALUE(LEFT(Sync!$AF862,FIND(":",Sync!$AF862)-1)),2)&amp;RIGHT("00"&amp;VALUE(MID(Sync!$AF862,FIND(":",Sync!$AF862)+1,2)),2),"0000"))))</f>
        <v/>
      </c>
    </row>
    <row r="863">
      <c r="A863">
        <f>IF(OR(Calc!$E867="",Calc!$E867="نامعتبر",Calc!$G867=""),"",Calc!$G867)</f>
        <v/>
      </c>
      <c r="B863">
        <f>IF($A863="","",LEFT(Calc!$E867,4)&amp;MID(Calc!$E867,6,2)&amp;RIGHT(Calc!$E867,2)&amp;Calc!$Q867&amp;"|"&amp;"1"&amp;RIGHT("00000"&amp;858,5))</f>
        <v/>
      </c>
      <c r="C863">
        <f>IF($B863="","",COUNTIFS(LdgSellerA,$A863,LdgKeyA,"&lt;"&amp;$B863)+COUNTIFS(LdgSellerB,$A863,LdgKeyB,"&lt;"&amp;$B863)+1)</f>
        <v/>
      </c>
      <c r="D863">
        <f>IF($C863="","",$A863&amp;"|"&amp;RIGHT("000000"&amp;$C863,6))</f>
        <v/>
      </c>
      <c r="F863">
        <f>IF(Sync!$AH863="","",IF(LEFT(UPPER(TRIM(Sync!$AH863)),2)="SL",UPPER(TRIM(Sync!$AH863)),""))</f>
        <v/>
      </c>
      <c r="G863">
        <f>IF($F863="","",IF(Sync!$AE863="","",IF(ISNUMBER(Sync!$AE863),IF(AND(Sync!$AE863&gt;=10000101,Sync!$AE863&lt;=99991231),INT(Sync!$AE863/10000),""),IFERROR(VALUE(TRIM(LEFT(Sync!$AE863,FIND("/",Sync!$AE863)-1))),""))))</f>
        <v/>
      </c>
      <c r="H863">
        <f>IF(OR($F863="",$G863=""),"",IF(ISNUMBER(Sync!$AE863),INT(MOD(Sync!$AE863,10000)/100),IFERROR(VALUE(TRIM(LEFT(MID(Sync!$AE863,FIND("/",Sync!$AE863)+1,20),FIND("/",MID(Sync!$AE863,FIND("/",Sync!$AE863)+1,20))-1))),"")))</f>
        <v/>
      </c>
      <c r="I863">
        <f>IF(OR($F863="",$G863=""),"",IF(ISNUMBER(Sync!$AE863),MOD(Sync!$AE863,100),IFERROR(VALUE(TRIM(MID(MID(Sync!$AE863,FIND("/",Sync!$AE863)+1,20),FIND("/",MID(Sync!$AE863,FIND("/",Sync!$AE863)+1,20))+1,20))),"")))</f>
        <v/>
      </c>
      <c r="J863">
        <f>IF($F863="","",IF(OR($G863="",$H863="",$I863="",$G863&lt;1300,$G863&gt;1500,$H863&lt;1,$H863&gt;12,$I863&lt;1,$I863&gt;31),"نامعتبر",RIGHT("0000"&amp;$G863,4)&amp;"/"&amp;RIGHT("00"&amp;$H863,2)&amp;"/"&amp;RIGHT("00"&amp;$I863,2)))</f>
        <v/>
      </c>
      <c r="K863">
        <f>IF(OR($F863="",$J863="",$J863="نامعتبر"),"",LEFT($J863,4)&amp;MID($J863,6,2)&amp;RIGHT($J863,2)&amp;$N863&amp;"|"&amp;"2"&amp;RIGHT("00000"&amp;858,5))</f>
        <v/>
      </c>
      <c r="L863">
        <f>IF($K863="","",COUNTIFS(LdgSellerA,$F863,LdgKeyA,"&lt;"&amp;$K863)+COUNTIFS(LdgSellerB,$F863,LdgKeyB,"&lt;"&amp;$K863)+1)</f>
        <v/>
      </c>
      <c r="M863">
        <f>IF($L863="","",$F863&amp;"|"&amp;RIGHT("000000"&amp;$L863,6))</f>
        <v/>
      </c>
      <c r="N863">
        <f>IF($F863="","",IF(Sync!$AF863="","0000",IF(AND(ISNUMBER(Sync!$AF863),Sync!$AF863&gt;=0,Sync!$AF863&lt;1),RIGHT("00"&amp;HOUR(Sync!$AF863),2)&amp;RIGHT("00"&amp;MINUTE(Sync!$AF863),2),IFERROR(RIGHT("00"&amp;VALUE(LEFT(Sync!$AF863,FIND(":",Sync!$AF863)-1)),2)&amp;RIGHT("00"&amp;VALUE(MID(Sync!$AF863,FIND(":",Sync!$AF863)+1,2)),2),"0000"))))</f>
        <v/>
      </c>
    </row>
    <row r="864">
      <c r="A864">
        <f>IF(OR(Calc!$E868="",Calc!$E868="نامعتبر",Calc!$G868=""),"",Calc!$G868)</f>
        <v/>
      </c>
      <c r="B864">
        <f>IF($A864="","",LEFT(Calc!$E868,4)&amp;MID(Calc!$E868,6,2)&amp;RIGHT(Calc!$E868,2)&amp;Calc!$Q868&amp;"|"&amp;"1"&amp;RIGHT("00000"&amp;859,5))</f>
        <v/>
      </c>
      <c r="C864">
        <f>IF($B864="","",COUNTIFS(LdgSellerA,$A864,LdgKeyA,"&lt;"&amp;$B864)+COUNTIFS(LdgSellerB,$A864,LdgKeyB,"&lt;"&amp;$B864)+1)</f>
        <v/>
      </c>
      <c r="D864">
        <f>IF($C864="","",$A864&amp;"|"&amp;RIGHT("000000"&amp;$C864,6))</f>
        <v/>
      </c>
      <c r="F864">
        <f>IF(Sync!$AH864="","",IF(LEFT(UPPER(TRIM(Sync!$AH864)),2)="SL",UPPER(TRIM(Sync!$AH864)),""))</f>
        <v/>
      </c>
      <c r="G864">
        <f>IF($F864="","",IF(Sync!$AE864="","",IF(ISNUMBER(Sync!$AE864),IF(AND(Sync!$AE864&gt;=10000101,Sync!$AE864&lt;=99991231),INT(Sync!$AE864/10000),""),IFERROR(VALUE(TRIM(LEFT(Sync!$AE864,FIND("/",Sync!$AE864)-1))),""))))</f>
        <v/>
      </c>
      <c r="H864">
        <f>IF(OR($F864="",$G864=""),"",IF(ISNUMBER(Sync!$AE864),INT(MOD(Sync!$AE864,10000)/100),IFERROR(VALUE(TRIM(LEFT(MID(Sync!$AE864,FIND("/",Sync!$AE864)+1,20),FIND("/",MID(Sync!$AE864,FIND("/",Sync!$AE864)+1,20))-1))),"")))</f>
        <v/>
      </c>
      <c r="I864">
        <f>IF(OR($F864="",$G864=""),"",IF(ISNUMBER(Sync!$AE864),MOD(Sync!$AE864,100),IFERROR(VALUE(TRIM(MID(MID(Sync!$AE864,FIND("/",Sync!$AE864)+1,20),FIND("/",MID(Sync!$AE864,FIND("/",Sync!$AE864)+1,20))+1,20))),"")))</f>
        <v/>
      </c>
      <c r="J864">
        <f>IF($F864="","",IF(OR($G864="",$H864="",$I864="",$G864&lt;1300,$G864&gt;1500,$H864&lt;1,$H864&gt;12,$I864&lt;1,$I864&gt;31),"نامعتبر",RIGHT("0000"&amp;$G864,4)&amp;"/"&amp;RIGHT("00"&amp;$H864,2)&amp;"/"&amp;RIGHT("00"&amp;$I864,2)))</f>
        <v/>
      </c>
      <c r="K864">
        <f>IF(OR($F864="",$J864="",$J864="نامعتبر"),"",LEFT($J864,4)&amp;MID($J864,6,2)&amp;RIGHT($J864,2)&amp;$N864&amp;"|"&amp;"2"&amp;RIGHT("00000"&amp;859,5))</f>
        <v/>
      </c>
      <c r="L864">
        <f>IF($K864="","",COUNTIFS(LdgSellerA,$F864,LdgKeyA,"&lt;"&amp;$K864)+COUNTIFS(LdgSellerB,$F864,LdgKeyB,"&lt;"&amp;$K864)+1)</f>
        <v/>
      </c>
      <c r="M864">
        <f>IF($L864="","",$F864&amp;"|"&amp;RIGHT("000000"&amp;$L864,6))</f>
        <v/>
      </c>
      <c r="N864">
        <f>IF($F864="","",IF(Sync!$AF864="","0000",IF(AND(ISNUMBER(Sync!$AF864),Sync!$AF864&gt;=0,Sync!$AF864&lt;1),RIGHT("00"&amp;HOUR(Sync!$AF864),2)&amp;RIGHT("00"&amp;MINUTE(Sync!$AF864),2),IFERROR(RIGHT("00"&amp;VALUE(LEFT(Sync!$AF864,FIND(":",Sync!$AF864)-1)),2)&amp;RIGHT("00"&amp;VALUE(MID(Sync!$AF864,FIND(":",Sync!$AF864)+1,2)),2),"0000"))))</f>
        <v/>
      </c>
    </row>
    <row r="865">
      <c r="A865">
        <f>IF(OR(Calc!$E869="",Calc!$E869="نامعتبر",Calc!$G869=""),"",Calc!$G869)</f>
        <v/>
      </c>
      <c r="B865">
        <f>IF($A865="","",LEFT(Calc!$E869,4)&amp;MID(Calc!$E869,6,2)&amp;RIGHT(Calc!$E869,2)&amp;Calc!$Q869&amp;"|"&amp;"1"&amp;RIGHT("00000"&amp;860,5))</f>
        <v/>
      </c>
      <c r="C865">
        <f>IF($B865="","",COUNTIFS(LdgSellerA,$A865,LdgKeyA,"&lt;"&amp;$B865)+COUNTIFS(LdgSellerB,$A865,LdgKeyB,"&lt;"&amp;$B865)+1)</f>
        <v/>
      </c>
      <c r="D865">
        <f>IF($C865="","",$A865&amp;"|"&amp;RIGHT("000000"&amp;$C865,6))</f>
        <v/>
      </c>
      <c r="F865">
        <f>IF(Sync!$AH865="","",IF(LEFT(UPPER(TRIM(Sync!$AH865)),2)="SL",UPPER(TRIM(Sync!$AH865)),""))</f>
        <v/>
      </c>
      <c r="G865">
        <f>IF($F865="","",IF(Sync!$AE865="","",IF(ISNUMBER(Sync!$AE865),IF(AND(Sync!$AE865&gt;=10000101,Sync!$AE865&lt;=99991231),INT(Sync!$AE865/10000),""),IFERROR(VALUE(TRIM(LEFT(Sync!$AE865,FIND("/",Sync!$AE865)-1))),""))))</f>
        <v/>
      </c>
      <c r="H865">
        <f>IF(OR($F865="",$G865=""),"",IF(ISNUMBER(Sync!$AE865),INT(MOD(Sync!$AE865,10000)/100),IFERROR(VALUE(TRIM(LEFT(MID(Sync!$AE865,FIND("/",Sync!$AE865)+1,20),FIND("/",MID(Sync!$AE865,FIND("/",Sync!$AE865)+1,20))-1))),"")))</f>
        <v/>
      </c>
      <c r="I865">
        <f>IF(OR($F865="",$G865=""),"",IF(ISNUMBER(Sync!$AE865),MOD(Sync!$AE865,100),IFERROR(VALUE(TRIM(MID(MID(Sync!$AE865,FIND("/",Sync!$AE865)+1,20),FIND("/",MID(Sync!$AE865,FIND("/",Sync!$AE865)+1,20))+1,20))),"")))</f>
        <v/>
      </c>
      <c r="J865">
        <f>IF($F865="","",IF(OR($G865="",$H865="",$I865="",$G865&lt;1300,$G865&gt;1500,$H865&lt;1,$H865&gt;12,$I865&lt;1,$I865&gt;31),"نامعتبر",RIGHT("0000"&amp;$G865,4)&amp;"/"&amp;RIGHT("00"&amp;$H865,2)&amp;"/"&amp;RIGHT("00"&amp;$I865,2)))</f>
        <v/>
      </c>
      <c r="K865">
        <f>IF(OR($F865="",$J865="",$J865="نامعتبر"),"",LEFT($J865,4)&amp;MID($J865,6,2)&amp;RIGHT($J865,2)&amp;$N865&amp;"|"&amp;"2"&amp;RIGHT("00000"&amp;860,5))</f>
        <v/>
      </c>
      <c r="L865">
        <f>IF($K865="","",COUNTIFS(LdgSellerA,$F865,LdgKeyA,"&lt;"&amp;$K865)+COUNTIFS(LdgSellerB,$F865,LdgKeyB,"&lt;"&amp;$K865)+1)</f>
        <v/>
      </c>
      <c r="M865">
        <f>IF($L865="","",$F865&amp;"|"&amp;RIGHT("000000"&amp;$L865,6))</f>
        <v/>
      </c>
      <c r="N865">
        <f>IF($F865="","",IF(Sync!$AF865="","0000",IF(AND(ISNUMBER(Sync!$AF865),Sync!$AF865&gt;=0,Sync!$AF865&lt;1),RIGHT("00"&amp;HOUR(Sync!$AF865),2)&amp;RIGHT("00"&amp;MINUTE(Sync!$AF865),2),IFERROR(RIGHT("00"&amp;VALUE(LEFT(Sync!$AF865,FIND(":",Sync!$AF865)-1)),2)&amp;RIGHT("00"&amp;VALUE(MID(Sync!$AF865,FIND(":",Sync!$AF865)+1,2)),2),"0000"))))</f>
        <v/>
      </c>
    </row>
    <row r="866">
      <c r="A866">
        <f>IF(OR(Calc!$E870="",Calc!$E870="نامعتبر",Calc!$G870=""),"",Calc!$G870)</f>
        <v/>
      </c>
      <c r="B866">
        <f>IF($A866="","",LEFT(Calc!$E870,4)&amp;MID(Calc!$E870,6,2)&amp;RIGHT(Calc!$E870,2)&amp;Calc!$Q870&amp;"|"&amp;"1"&amp;RIGHT("00000"&amp;861,5))</f>
        <v/>
      </c>
      <c r="C866">
        <f>IF($B866="","",COUNTIFS(LdgSellerA,$A866,LdgKeyA,"&lt;"&amp;$B866)+COUNTIFS(LdgSellerB,$A866,LdgKeyB,"&lt;"&amp;$B866)+1)</f>
        <v/>
      </c>
      <c r="D866">
        <f>IF($C866="","",$A866&amp;"|"&amp;RIGHT("000000"&amp;$C866,6))</f>
        <v/>
      </c>
      <c r="F866">
        <f>IF(Sync!$AH866="","",IF(LEFT(UPPER(TRIM(Sync!$AH866)),2)="SL",UPPER(TRIM(Sync!$AH866)),""))</f>
        <v/>
      </c>
      <c r="G866">
        <f>IF($F866="","",IF(Sync!$AE866="","",IF(ISNUMBER(Sync!$AE866),IF(AND(Sync!$AE866&gt;=10000101,Sync!$AE866&lt;=99991231),INT(Sync!$AE866/10000),""),IFERROR(VALUE(TRIM(LEFT(Sync!$AE866,FIND("/",Sync!$AE866)-1))),""))))</f>
        <v/>
      </c>
      <c r="H866">
        <f>IF(OR($F866="",$G866=""),"",IF(ISNUMBER(Sync!$AE866),INT(MOD(Sync!$AE866,10000)/100),IFERROR(VALUE(TRIM(LEFT(MID(Sync!$AE866,FIND("/",Sync!$AE866)+1,20),FIND("/",MID(Sync!$AE866,FIND("/",Sync!$AE866)+1,20))-1))),"")))</f>
        <v/>
      </c>
      <c r="I866">
        <f>IF(OR($F866="",$G866=""),"",IF(ISNUMBER(Sync!$AE866),MOD(Sync!$AE866,100),IFERROR(VALUE(TRIM(MID(MID(Sync!$AE866,FIND("/",Sync!$AE866)+1,20),FIND("/",MID(Sync!$AE866,FIND("/",Sync!$AE866)+1,20))+1,20))),"")))</f>
        <v/>
      </c>
      <c r="J866">
        <f>IF($F866="","",IF(OR($G866="",$H866="",$I866="",$G866&lt;1300,$G866&gt;1500,$H866&lt;1,$H866&gt;12,$I866&lt;1,$I866&gt;31),"نامعتبر",RIGHT("0000"&amp;$G866,4)&amp;"/"&amp;RIGHT("00"&amp;$H866,2)&amp;"/"&amp;RIGHT("00"&amp;$I866,2)))</f>
        <v/>
      </c>
      <c r="K866">
        <f>IF(OR($F866="",$J866="",$J866="نامعتبر"),"",LEFT($J866,4)&amp;MID($J866,6,2)&amp;RIGHT($J866,2)&amp;$N866&amp;"|"&amp;"2"&amp;RIGHT("00000"&amp;861,5))</f>
        <v/>
      </c>
      <c r="L866">
        <f>IF($K866="","",COUNTIFS(LdgSellerA,$F866,LdgKeyA,"&lt;"&amp;$K866)+COUNTIFS(LdgSellerB,$F866,LdgKeyB,"&lt;"&amp;$K866)+1)</f>
        <v/>
      </c>
      <c r="M866">
        <f>IF($L866="","",$F866&amp;"|"&amp;RIGHT("000000"&amp;$L866,6))</f>
        <v/>
      </c>
      <c r="N866">
        <f>IF($F866="","",IF(Sync!$AF866="","0000",IF(AND(ISNUMBER(Sync!$AF866),Sync!$AF866&gt;=0,Sync!$AF866&lt;1),RIGHT("00"&amp;HOUR(Sync!$AF866),2)&amp;RIGHT("00"&amp;MINUTE(Sync!$AF866),2),IFERROR(RIGHT("00"&amp;VALUE(LEFT(Sync!$AF866,FIND(":",Sync!$AF866)-1)),2)&amp;RIGHT("00"&amp;VALUE(MID(Sync!$AF866,FIND(":",Sync!$AF866)+1,2)),2),"0000"))))</f>
        <v/>
      </c>
    </row>
    <row r="867">
      <c r="A867">
        <f>IF(OR(Calc!$E871="",Calc!$E871="نامعتبر",Calc!$G871=""),"",Calc!$G871)</f>
        <v/>
      </c>
      <c r="B867">
        <f>IF($A867="","",LEFT(Calc!$E871,4)&amp;MID(Calc!$E871,6,2)&amp;RIGHT(Calc!$E871,2)&amp;Calc!$Q871&amp;"|"&amp;"1"&amp;RIGHT("00000"&amp;862,5))</f>
        <v/>
      </c>
      <c r="C867">
        <f>IF($B867="","",COUNTIFS(LdgSellerA,$A867,LdgKeyA,"&lt;"&amp;$B867)+COUNTIFS(LdgSellerB,$A867,LdgKeyB,"&lt;"&amp;$B867)+1)</f>
        <v/>
      </c>
      <c r="D867">
        <f>IF($C867="","",$A867&amp;"|"&amp;RIGHT("000000"&amp;$C867,6))</f>
        <v/>
      </c>
      <c r="F867">
        <f>IF(Sync!$AH867="","",IF(LEFT(UPPER(TRIM(Sync!$AH867)),2)="SL",UPPER(TRIM(Sync!$AH867)),""))</f>
        <v/>
      </c>
      <c r="G867">
        <f>IF($F867="","",IF(Sync!$AE867="","",IF(ISNUMBER(Sync!$AE867),IF(AND(Sync!$AE867&gt;=10000101,Sync!$AE867&lt;=99991231),INT(Sync!$AE867/10000),""),IFERROR(VALUE(TRIM(LEFT(Sync!$AE867,FIND("/",Sync!$AE867)-1))),""))))</f>
        <v/>
      </c>
      <c r="H867">
        <f>IF(OR($F867="",$G867=""),"",IF(ISNUMBER(Sync!$AE867),INT(MOD(Sync!$AE867,10000)/100),IFERROR(VALUE(TRIM(LEFT(MID(Sync!$AE867,FIND("/",Sync!$AE867)+1,20),FIND("/",MID(Sync!$AE867,FIND("/",Sync!$AE867)+1,20))-1))),"")))</f>
        <v/>
      </c>
      <c r="I867">
        <f>IF(OR($F867="",$G867=""),"",IF(ISNUMBER(Sync!$AE867),MOD(Sync!$AE867,100),IFERROR(VALUE(TRIM(MID(MID(Sync!$AE867,FIND("/",Sync!$AE867)+1,20),FIND("/",MID(Sync!$AE867,FIND("/",Sync!$AE867)+1,20))+1,20))),"")))</f>
        <v/>
      </c>
      <c r="J867">
        <f>IF($F867="","",IF(OR($G867="",$H867="",$I867="",$G867&lt;1300,$G867&gt;1500,$H867&lt;1,$H867&gt;12,$I867&lt;1,$I867&gt;31),"نامعتبر",RIGHT("0000"&amp;$G867,4)&amp;"/"&amp;RIGHT("00"&amp;$H867,2)&amp;"/"&amp;RIGHT("00"&amp;$I867,2)))</f>
        <v/>
      </c>
      <c r="K867">
        <f>IF(OR($F867="",$J867="",$J867="نامعتبر"),"",LEFT($J867,4)&amp;MID($J867,6,2)&amp;RIGHT($J867,2)&amp;$N867&amp;"|"&amp;"2"&amp;RIGHT("00000"&amp;862,5))</f>
        <v/>
      </c>
      <c r="L867">
        <f>IF($K867="","",COUNTIFS(LdgSellerA,$F867,LdgKeyA,"&lt;"&amp;$K867)+COUNTIFS(LdgSellerB,$F867,LdgKeyB,"&lt;"&amp;$K867)+1)</f>
        <v/>
      </c>
      <c r="M867">
        <f>IF($L867="","",$F867&amp;"|"&amp;RIGHT("000000"&amp;$L867,6))</f>
        <v/>
      </c>
      <c r="N867">
        <f>IF($F867="","",IF(Sync!$AF867="","0000",IF(AND(ISNUMBER(Sync!$AF867),Sync!$AF867&gt;=0,Sync!$AF867&lt;1),RIGHT("00"&amp;HOUR(Sync!$AF867),2)&amp;RIGHT("00"&amp;MINUTE(Sync!$AF867),2),IFERROR(RIGHT("00"&amp;VALUE(LEFT(Sync!$AF867,FIND(":",Sync!$AF867)-1)),2)&amp;RIGHT("00"&amp;VALUE(MID(Sync!$AF867,FIND(":",Sync!$AF867)+1,2)),2),"0000"))))</f>
        <v/>
      </c>
    </row>
    <row r="868">
      <c r="A868">
        <f>IF(OR(Calc!$E872="",Calc!$E872="نامعتبر",Calc!$G872=""),"",Calc!$G872)</f>
        <v/>
      </c>
      <c r="B868">
        <f>IF($A868="","",LEFT(Calc!$E872,4)&amp;MID(Calc!$E872,6,2)&amp;RIGHT(Calc!$E872,2)&amp;Calc!$Q872&amp;"|"&amp;"1"&amp;RIGHT("00000"&amp;863,5))</f>
        <v/>
      </c>
      <c r="C868">
        <f>IF($B868="","",COUNTIFS(LdgSellerA,$A868,LdgKeyA,"&lt;"&amp;$B868)+COUNTIFS(LdgSellerB,$A868,LdgKeyB,"&lt;"&amp;$B868)+1)</f>
        <v/>
      </c>
      <c r="D868">
        <f>IF($C868="","",$A868&amp;"|"&amp;RIGHT("000000"&amp;$C868,6))</f>
        <v/>
      </c>
      <c r="F868">
        <f>IF(Sync!$AH868="","",IF(LEFT(UPPER(TRIM(Sync!$AH868)),2)="SL",UPPER(TRIM(Sync!$AH868)),""))</f>
        <v/>
      </c>
      <c r="G868">
        <f>IF($F868="","",IF(Sync!$AE868="","",IF(ISNUMBER(Sync!$AE868),IF(AND(Sync!$AE868&gt;=10000101,Sync!$AE868&lt;=99991231),INT(Sync!$AE868/10000),""),IFERROR(VALUE(TRIM(LEFT(Sync!$AE868,FIND("/",Sync!$AE868)-1))),""))))</f>
        <v/>
      </c>
      <c r="H868">
        <f>IF(OR($F868="",$G868=""),"",IF(ISNUMBER(Sync!$AE868),INT(MOD(Sync!$AE868,10000)/100),IFERROR(VALUE(TRIM(LEFT(MID(Sync!$AE868,FIND("/",Sync!$AE868)+1,20),FIND("/",MID(Sync!$AE868,FIND("/",Sync!$AE868)+1,20))-1))),"")))</f>
        <v/>
      </c>
      <c r="I868">
        <f>IF(OR($F868="",$G868=""),"",IF(ISNUMBER(Sync!$AE868),MOD(Sync!$AE868,100),IFERROR(VALUE(TRIM(MID(MID(Sync!$AE868,FIND("/",Sync!$AE868)+1,20),FIND("/",MID(Sync!$AE868,FIND("/",Sync!$AE868)+1,20))+1,20))),"")))</f>
        <v/>
      </c>
      <c r="J868">
        <f>IF($F868="","",IF(OR($G868="",$H868="",$I868="",$G868&lt;1300,$G868&gt;1500,$H868&lt;1,$H868&gt;12,$I868&lt;1,$I868&gt;31),"نامعتبر",RIGHT("0000"&amp;$G868,4)&amp;"/"&amp;RIGHT("00"&amp;$H868,2)&amp;"/"&amp;RIGHT("00"&amp;$I868,2)))</f>
        <v/>
      </c>
      <c r="K868">
        <f>IF(OR($F868="",$J868="",$J868="نامعتبر"),"",LEFT($J868,4)&amp;MID($J868,6,2)&amp;RIGHT($J868,2)&amp;$N868&amp;"|"&amp;"2"&amp;RIGHT("00000"&amp;863,5))</f>
        <v/>
      </c>
      <c r="L868">
        <f>IF($K868="","",COUNTIFS(LdgSellerA,$F868,LdgKeyA,"&lt;"&amp;$K868)+COUNTIFS(LdgSellerB,$F868,LdgKeyB,"&lt;"&amp;$K868)+1)</f>
        <v/>
      </c>
      <c r="M868">
        <f>IF($L868="","",$F868&amp;"|"&amp;RIGHT("000000"&amp;$L868,6))</f>
        <v/>
      </c>
      <c r="N868">
        <f>IF($F868="","",IF(Sync!$AF868="","0000",IF(AND(ISNUMBER(Sync!$AF868),Sync!$AF868&gt;=0,Sync!$AF868&lt;1),RIGHT("00"&amp;HOUR(Sync!$AF868),2)&amp;RIGHT("00"&amp;MINUTE(Sync!$AF868),2),IFERROR(RIGHT("00"&amp;VALUE(LEFT(Sync!$AF868,FIND(":",Sync!$AF868)-1)),2)&amp;RIGHT("00"&amp;VALUE(MID(Sync!$AF868,FIND(":",Sync!$AF868)+1,2)),2),"0000"))))</f>
        <v/>
      </c>
    </row>
    <row r="869">
      <c r="A869">
        <f>IF(OR(Calc!$E873="",Calc!$E873="نامعتبر",Calc!$G873=""),"",Calc!$G873)</f>
        <v/>
      </c>
      <c r="B869">
        <f>IF($A869="","",LEFT(Calc!$E873,4)&amp;MID(Calc!$E873,6,2)&amp;RIGHT(Calc!$E873,2)&amp;Calc!$Q873&amp;"|"&amp;"1"&amp;RIGHT("00000"&amp;864,5))</f>
        <v/>
      </c>
      <c r="C869">
        <f>IF($B869="","",COUNTIFS(LdgSellerA,$A869,LdgKeyA,"&lt;"&amp;$B869)+COUNTIFS(LdgSellerB,$A869,LdgKeyB,"&lt;"&amp;$B869)+1)</f>
        <v/>
      </c>
      <c r="D869">
        <f>IF($C869="","",$A869&amp;"|"&amp;RIGHT("000000"&amp;$C869,6))</f>
        <v/>
      </c>
      <c r="F869">
        <f>IF(Sync!$AH869="","",IF(LEFT(UPPER(TRIM(Sync!$AH869)),2)="SL",UPPER(TRIM(Sync!$AH869)),""))</f>
        <v/>
      </c>
      <c r="G869">
        <f>IF($F869="","",IF(Sync!$AE869="","",IF(ISNUMBER(Sync!$AE869),IF(AND(Sync!$AE869&gt;=10000101,Sync!$AE869&lt;=99991231),INT(Sync!$AE869/10000),""),IFERROR(VALUE(TRIM(LEFT(Sync!$AE869,FIND("/",Sync!$AE869)-1))),""))))</f>
        <v/>
      </c>
      <c r="H869">
        <f>IF(OR($F869="",$G869=""),"",IF(ISNUMBER(Sync!$AE869),INT(MOD(Sync!$AE869,10000)/100),IFERROR(VALUE(TRIM(LEFT(MID(Sync!$AE869,FIND("/",Sync!$AE869)+1,20),FIND("/",MID(Sync!$AE869,FIND("/",Sync!$AE869)+1,20))-1))),"")))</f>
        <v/>
      </c>
      <c r="I869">
        <f>IF(OR($F869="",$G869=""),"",IF(ISNUMBER(Sync!$AE869),MOD(Sync!$AE869,100),IFERROR(VALUE(TRIM(MID(MID(Sync!$AE869,FIND("/",Sync!$AE869)+1,20),FIND("/",MID(Sync!$AE869,FIND("/",Sync!$AE869)+1,20))+1,20))),"")))</f>
        <v/>
      </c>
      <c r="J869">
        <f>IF($F869="","",IF(OR($G869="",$H869="",$I869="",$G869&lt;1300,$G869&gt;1500,$H869&lt;1,$H869&gt;12,$I869&lt;1,$I869&gt;31),"نامعتبر",RIGHT("0000"&amp;$G869,4)&amp;"/"&amp;RIGHT("00"&amp;$H869,2)&amp;"/"&amp;RIGHT("00"&amp;$I869,2)))</f>
        <v/>
      </c>
      <c r="K869">
        <f>IF(OR($F869="",$J869="",$J869="نامعتبر"),"",LEFT($J869,4)&amp;MID($J869,6,2)&amp;RIGHT($J869,2)&amp;$N869&amp;"|"&amp;"2"&amp;RIGHT("00000"&amp;864,5))</f>
        <v/>
      </c>
      <c r="L869">
        <f>IF($K869="","",COUNTIFS(LdgSellerA,$F869,LdgKeyA,"&lt;"&amp;$K869)+COUNTIFS(LdgSellerB,$F869,LdgKeyB,"&lt;"&amp;$K869)+1)</f>
        <v/>
      </c>
      <c r="M869">
        <f>IF($L869="","",$F869&amp;"|"&amp;RIGHT("000000"&amp;$L869,6))</f>
        <v/>
      </c>
      <c r="N869">
        <f>IF($F869="","",IF(Sync!$AF869="","0000",IF(AND(ISNUMBER(Sync!$AF869),Sync!$AF869&gt;=0,Sync!$AF869&lt;1),RIGHT("00"&amp;HOUR(Sync!$AF869),2)&amp;RIGHT("00"&amp;MINUTE(Sync!$AF869),2),IFERROR(RIGHT("00"&amp;VALUE(LEFT(Sync!$AF869,FIND(":",Sync!$AF869)-1)),2)&amp;RIGHT("00"&amp;VALUE(MID(Sync!$AF869,FIND(":",Sync!$AF869)+1,2)),2),"0000"))))</f>
        <v/>
      </c>
    </row>
    <row r="870">
      <c r="A870">
        <f>IF(OR(Calc!$E874="",Calc!$E874="نامعتبر",Calc!$G874=""),"",Calc!$G874)</f>
        <v/>
      </c>
      <c r="B870">
        <f>IF($A870="","",LEFT(Calc!$E874,4)&amp;MID(Calc!$E874,6,2)&amp;RIGHT(Calc!$E874,2)&amp;Calc!$Q874&amp;"|"&amp;"1"&amp;RIGHT("00000"&amp;865,5))</f>
        <v/>
      </c>
      <c r="C870">
        <f>IF($B870="","",COUNTIFS(LdgSellerA,$A870,LdgKeyA,"&lt;"&amp;$B870)+COUNTIFS(LdgSellerB,$A870,LdgKeyB,"&lt;"&amp;$B870)+1)</f>
        <v/>
      </c>
      <c r="D870">
        <f>IF($C870="","",$A870&amp;"|"&amp;RIGHT("000000"&amp;$C870,6))</f>
        <v/>
      </c>
      <c r="F870">
        <f>IF(Sync!$AH870="","",IF(LEFT(UPPER(TRIM(Sync!$AH870)),2)="SL",UPPER(TRIM(Sync!$AH870)),""))</f>
        <v/>
      </c>
      <c r="G870">
        <f>IF($F870="","",IF(Sync!$AE870="","",IF(ISNUMBER(Sync!$AE870),IF(AND(Sync!$AE870&gt;=10000101,Sync!$AE870&lt;=99991231),INT(Sync!$AE870/10000),""),IFERROR(VALUE(TRIM(LEFT(Sync!$AE870,FIND("/",Sync!$AE870)-1))),""))))</f>
        <v/>
      </c>
      <c r="H870">
        <f>IF(OR($F870="",$G870=""),"",IF(ISNUMBER(Sync!$AE870),INT(MOD(Sync!$AE870,10000)/100),IFERROR(VALUE(TRIM(LEFT(MID(Sync!$AE870,FIND("/",Sync!$AE870)+1,20),FIND("/",MID(Sync!$AE870,FIND("/",Sync!$AE870)+1,20))-1))),"")))</f>
        <v/>
      </c>
      <c r="I870">
        <f>IF(OR($F870="",$G870=""),"",IF(ISNUMBER(Sync!$AE870),MOD(Sync!$AE870,100),IFERROR(VALUE(TRIM(MID(MID(Sync!$AE870,FIND("/",Sync!$AE870)+1,20),FIND("/",MID(Sync!$AE870,FIND("/",Sync!$AE870)+1,20))+1,20))),"")))</f>
        <v/>
      </c>
      <c r="J870">
        <f>IF($F870="","",IF(OR($G870="",$H870="",$I870="",$G870&lt;1300,$G870&gt;1500,$H870&lt;1,$H870&gt;12,$I870&lt;1,$I870&gt;31),"نامعتبر",RIGHT("0000"&amp;$G870,4)&amp;"/"&amp;RIGHT("00"&amp;$H870,2)&amp;"/"&amp;RIGHT("00"&amp;$I870,2)))</f>
        <v/>
      </c>
      <c r="K870">
        <f>IF(OR($F870="",$J870="",$J870="نامعتبر"),"",LEFT($J870,4)&amp;MID($J870,6,2)&amp;RIGHT($J870,2)&amp;$N870&amp;"|"&amp;"2"&amp;RIGHT("00000"&amp;865,5))</f>
        <v/>
      </c>
      <c r="L870">
        <f>IF($K870="","",COUNTIFS(LdgSellerA,$F870,LdgKeyA,"&lt;"&amp;$K870)+COUNTIFS(LdgSellerB,$F870,LdgKeyB,"&lt;"&amp;$K870)+1)</f>
        <v/>
      </c>
      <c r="M870">
        <f>IF($L870="","",$F870&amp;"|"&amp;RIGHT("000000"&amp;$L870,6))</f>
        <v/>
      </c>
      <c r="N870">
        <f>IF($F870="","",IF(Sync!$AF870="","0000",IF(AND(ISNUMBER(Sync!$AF870),Sync!$AF870&gt;=0,Sync!$AF870&lt;1),RIGHT("00"&amp;HOUR(Sync!$AF870),2)&amp;RIGHT("00"&amp;MINUTE(Sync!$AF870),2),IFERROR(RIGHT("00"&amp;VALUE(LEFT(Sync!$AF870,FIND(":",Sync!$AF870)-1)),2)&amp;RIGHT("00"&amp;VALUE(MID(Sync!$AF870,FIND(":",Sync!$AF870)+1,2)),2),"0000"))))</f>
        <v/>
      </c>
    </row>
    <row r="871">
      <c r="A871">
        <f>IF(OR(Calc!$E875="",Calc!$E875="نامعتبر",Calc!$G875=""),"",Calc!$G875)</f>
        <v/>
      </c>
      <c r="B871">
        <f>IF($A871="","",LEFT(Calc!$E875,4)&amp;MID(Calc!$E875,6,2)&amp;RIGHT(Calc!$E875,2)&amp;Calc!$Q875&amp;"|"&amp;"1"&amp;RIGHT("00000"&amp;866,5))</f>
        <v/>
      </c>
      <c r="C871">
        <f>IF($B871="","",COUNTIFS(LdgSellerA,$A871,LdgKeyA,"&lt;"&amp;$B871)+COUNTIFS(LdgSellerB,$A871,LdgKeyB,"&lt;"&amp;$B871)+1)</f>
        <v/>
      </c>
      <c r="D871">
        <f>IF($C871="","",$A871&amp;"|"&amp;RIGHT("000000"&amp;$C871,6))</f>
        <v/>
      </c>
      <c r="F871">
        <f>IF(Sync!$AH871="","",IF(LEFT(UPPER(TRIM(Sync!$AH871)),2)="SL",UPPER(TRIM(Sync!$AH871)),""))</f>
        <v/>
      </c>
      <c r="G871">
        <f>IF($F871="","",IF(Sync!$AE871="","",IF(ISNUMBER(Sync!$AE871),IF(AND(Sync!$AE871&gt;=10000101,Sync!$AE871&lt;=99991231),INT(Sync!$AE871/10000),""),IFERROR(VALUE(TRIM(LEFT(Sync!$AE871,FIND("/",Sync!$AE871)-1))),""))))</f>
        <v/>
      </c>
      <c r="H871">
        <f>IF(OR($F871="",$G871=""),"",IF(ISNUMBER(Sync!$AE871),INT(MOD(Sync!$AE871,10000)/100),IFERROR(VALUE(TRIM(LEFT(MID(Sync!$AE871,FIND("/",Sync!$AE871)+1,20),FIND("/",MID(Sync!$AE871,FIND("/",Sync!$AE871)+1,20))-1))),"")))</f>
        <v/>
      </c>
      <c r="I871">
        <f>IF(OR($F871="",$G871=""),"",IF(ISNUMBER(Sync!$AE871),MOD(Sync!$AE871,100),IFERROR(VALUE(TRIM(MID(MID(Sync!$AE871,FIND("/",Sync!$AE871)+1,20),FIND("/",MID(Sync!$AE871,FIND("/",Sync!$AE871)+1,20))+1,20))),"")))</f>
        <v/>
      </c>
      <c r="J871">
        <f>IF($F871="","",IF(OR($G871="",$H871="",$I871="",$G871&lt;1300,$G871&gt;1500,$H871&lt;1,$H871&gt;12,$I871&lt;1,$I871&gt;31),"نامعتبر",RIGHT("0000"&amp;$G871,4)&amp;"/"&amp;RIGHT("00"&amp;$H871,2)&amp;"/"&amp;RIGHT("00"&amp;$I871,2)))</f>
        <v/>
      </c>
      <c r="K871">
        <f>IF(OR($F871="",$J871="",$J871="نامعتبر"),"",LEFT($J871,4)&amp;MID($J871,6,2)&amp;RIGHT($J871,2)&amp;$N871&amp;"|"&amp;"2"&amp;RIGHT("00000"&amp;866,5))</f>
        <v/>
      </c>
      <c r="L871">
        <f>IF($K871="","",COUNTIFS(LdgSellerA,$F871,LdgKeyA,"&lt;"&amp;$K871)+COUNTIFS(LdgSellerB,$F871,LdgKeyB,"&lt;"&amp;$K871)+1)</f>
        <v/>
      </c>
      <c r="M871">
        <f>IF($L871="","",$F871&amp;"|"&amp;RIGHT("000000"&amp;$L871,6))</f>
        <v/>
      </c>
      <c r="N871">
        <f>IF($F871="","",IF(Sync!$AF871="","0000",IF(AND(ISNUMBER(Sync!$AF871),Sync!$AF871&gt;=0,Sync!$AF871&lt;1),RIGHT("00"&amp;HOUR(Sync!$AF871),2)&amp;RIGHT("00"&amp;MINUTE(Sync!$AF871),2),IFERROR(RIGHT("00"&amp;VALUE(LEFT(Sync!$AF871,FIND(":",Sync!$AF871)-1)),2)&amp;RIGHT("00"&amp;VALUE(MID(Sync!$AF871,FIND(":",Sync!$AF871)+1,2)),2),"0000"))))</f>
        <v/>
      </c>
    </row>
    <row r="872">
      <c r="A872">
        <f>IF(OR(Calc!$E876="",Calc!$E876="نامعتبر",Calc!$G876=""),"",Calc!$G876)</f>
        <v/>
      </c>
      <c r="B872">
        <f>IF($A872="","",LEFT(Calc!$E876,4)&amp;MID(Calc!$E876,6,2)&amp;RIGHT(Calc!$E876,2)&amp;Calc!$Q876&amp;"|"&amp;"1"&amp;RIGHT("00000"&amp;867,5))</f>
        <v/>
      </c>
      <c r="C872">
        <f>IF($B872="","",COUNTIFS(LdgSellerA,$A872,LdgKeyA,"&lt;"&amp;$B872)+COUNTIFS(LdgSellerB,$A872,LdgKeyB,"&lt;"&amp;$B872)+1)</f>
        <v/>
      </c>
      <c r="D872">
        <f>IF($C872="","",$A872&amp;"|"&amp;RIGHT("000000"&amp;$C872,6))</f>
        <v/>
      </c>
      <c r="F872">
        <f>IF(Sync!$AH872="","",IF(LEFT(UPPER(TRIM(Sync!$AH872)),2)="SL",UPPER(TRIM(Sync!$AH872)),""))</f>
        <v/>
      </c>
      <c r="G872">
        <f>IF($F872="","",IF(Sync!$AE872="","",IF(ISNUMBER(Sync!$AE872),IF(AND(Sync!$AE872&gt;=10000101,Sync!$AE872&lt;=99991231),INT(Sync!$AE872/10000),""),IFERROR(VALUE(TRIM(LEFT(Sync!$AE872,FIND("/",Sync!$AE872)-1))),""))))</f>
        <v/>
      </c>
      <c r="H872">
        <f>IF(OR($F872="",$G872=""),"",IF(ISNUMBER(Sync!$AE872),INT(MOD(Sync!$AE872,10000)/100),IFERROR(VALUE(TRIM(LEFT(MID(Sync!$AE872,FIND("/",Sync!$AE872)+1,20),FIND("/",MID(Sync!$AE872,FIND("/",Sync!$AE872)+1,20))-1))),"")))</f>
        <v/>
      </c>
      <c r="I872">
        <f>IF(OR($F872="",$G872=""),"",IF(ISNUMBER(Sync!$AE872),MOD(Sync!$AE872,100),IFERROR(VALUE(TRIM(MID(MID(Sync!$AE872,FIND("/",Sync!$AE872)+1,20),FIND("/",MID(Sync!$AE872,FIND("/",Sync!$AE872)+1,20))+1,20))),"")))</f>
        <v/>
      </c>
      <c r="J872">
        <f>IF($F872="","",IF(OR($G872="",$H872="",$I872="",$G872&lt;1300,$G872&gt;1500,$H872&lt;1,$H872&gt;12,$I872&lt;1,$I872&gt;31),"نامعتبر",RIGHT("0000"&amp;$G872,4)&amp;"/"&amp;RIGHT("00"&amp;$H872,2)&amp;"/"&amp;RIGHT("00"&amp;$I872,2)))</f>
        <v/>
      </c>
      <c r="K872">
        <f>IF(OR($F872="",$J872="",$J872="نامعتبر"),"",LEFT($J872,4)&amp;MID($J872,6,2)&amp;RIGHT($J872,2)&amp;$N872&amp;"|"&amp;"2"&amp;RIGHT("00000"&amp;867,5))</f>
        <v/>
      </c>
      <c r="L872">
        <f>IF($K872="","",COUNTIFS(LdgSellerA,$F872,LdgKeyA,"&lt;"&amp;$K872)+COUNTIFS(LdgSellerB,$F872,LdgKeyB,"&lt;"&amp;$K872)+1)</f>
        <v/>
      </c>
      <c r="M872">
        <f>IF($L872="","",$F872&amp;"|"&amp;RIGHT("000000"&amp;$L872,6))</f>
        <v/>
      </c>
      <c r="N872">
        <f>IF($F872="","",IF(Sync!$AF872="","0000",IF(AND(ISNUMBER(Sync!$AF872),Sync!$AF872&gt;=0,Sync!$AF872&lt;1),RIGHT("00"&amp;HOUR(Sync!$AF872),2)&amp;RIGHT("00"&amp;MINUTE(Sync!$AF872),2),IFERROR(RIGHT("00"&amp;VALUE(LEFT(Sync!$AF872,FIND(":",Sync!$AF872)-1)),2)&amp;RIGHT("00"&amp;VALUE(MID(Sync!$AF872,FIND(":",Sync!$AF872)+1,2)),2),"0000"))))</f>
        <v/>
      </c>
    </row>
    <row r="873">
      <c r="A873">
        <f>IF(OR(Calc!$E877="",Calc!$E877="نامعتبر",Calc!$G877=""),"",Calc!$G877)</f>
        <v/>
      </c>
      <c r="B873">
        <f>IF($A873="","",LEFT(Calc!$E877,4)&amp;MID(Calc!$E877,6,2)&amp;RIGHT(Calc!$E877,2)&amp;Calc!$Q877&amp;"|"&amp;"1"&amp;RIGHT("00000"&amp;868,5))</f>
        <v/>
      </c>
      <c r="C873">
        <f>IF($B873="","",COUNTIFS(LdgSellerA,$A873,LdgKeyA,"&lt;"&amp;$B873)+COUNTIFS(LdgSellerB,$A873,LdgKeyB,"&lt;"&amp;$B873)+1)</f>
        <v/>
      </c>
      <c r="D873">
        <f>IF($C873="","",$A873&amp;"|"&amp;RIGHT("000000"&amp;$C873,6))</f>
        <v/>
      </c>
      <c r="F873">
        <f>IF(Sync!$AH873="","",IF(LEFT(UPPER(TRIM(Sync!$AH873)),2)="SL",UPPER(TRIM(Sync!$AH873)),""))</f>
        <v/>
      </c>
      <c r="G873">
        <f>IF($F873="","",IF(Sync!$AE873="","",IF(ISNUMBER(Sync!$AE873),IF(AND(Sync!$AE873&gt;=10000101,Sync!$AE873&lt;=99991231),INT(Sync!$AE873/10000),""),IFERROR(VALUE(TRIM(LEFT(Sync!$AE873,FIND("/",Sync!$AE873)-1))),""))))</f>
        <v/>
      </c>
      <c r="H873">
        <f>IF(OR($F873="",$G873=""),"",IF(ISNUMBER(Sync!$AE873),INT(MOD(Sync!$AE873,10000)/100),IFERROR(VALUE(TRIM(LEFT(MID(Sync!$AE873,FIND("/",Sync!$AE873)+1,20),FIND("/",MID(Sync!$AE873,FIND("/",Sync!$AE873)+1,20))-1))),"")))</f>
        <v/>
      </c>
      <c r="I873">
        <f>IF(OR($F873="",$G873=""),"",IF(ISNUMBER(Sync!$AE873),MOD(Sync!$AE873,100),IFERROR(VALUE(TRIM(MID(MID(Sync!$AE873,FIND("/",Sync!$AE873)+1,20),FIND("/",MID(Sync!$AE873,FIND("/",Sync!$AE873)+1,20))+1,20))),"")))</f>
        <v/>
      </c>
      <c r="J873">
        <f>IF($F873="","",IF(OR($G873="",$H873="",$I873="",$G873&lt;1300,$G873&gt;1500,$H873&lt;1,$H873&gt;12,$I873&lt;1,$I873&gt;31),"نامعتبر",RIGHT("0000"&amp;$G873,4)&amp;"/"&amp;RIGHT("00"&amp;$H873,2)&amp;"/"&amp;RIGHT("00"&amp;$I873,2)))</f>
        <v/>
      </c>
      <c r="K873">
        <f>IF(OR($F873="",$J873="",$J873="نامعتبر"),"",LEFT($J873,4)&amp;MID($J873,6,2)&amp;RIGHT($J873,2)&amp;$N873&amp;"|"&amp;"2"&amp;RIGHT("00000"&amp;868,5))</f>
        <v/>
      </c>
      <c r="L873">
        <f>IF($K873="","",COUNTIFS(LdgSellerA,$F873,LdgKeyA,"&lt;"&amp;$K873)+COUNTIFS(LdgSellerB,$F873,LdgKeyB,"&lt;"&amp;$K873)+1)</f>
        <v/>
      </c>
      <c r="M873">
        <f>IF($L873="","",$F873&amp;"|"&amp;RIGHT("000000"&amp;$L873,6))</f>
        <v/>
      </c>
      <c r="N873">
        <f>IF($F873="","",IF(Sync!$AF873="","0000",IF(AND(ISNUMBER(Sync!$AF873),Sync!$AF873&gt;=0,Sync!$AF873&lt;1),RIGHT("00"&amp;HOUR(Sync!$AF873),2)&amp;RIGHT("00"&amp;MINUTE(Sync!$AF873),2),IFERROR(RIGHT("00"&amp;VALUE(LEFT(Sync!$AF873,FIND(":",Sync!$AF873)-1)),2)&amp;RIGHT("00"&amp;VALUE(MID(Sync!$AF873,FIND(":",Sync!$AF873)+1,2)),2),"0000"))))</f>
        <v/>
      </c>
    </row>
    <row r="874">
      <c r="A874">
        <f>IF(OR(Calc!$E878="",Calc!$E878="نامعتبر",Calc!$G878=""),"",Calc!$G878)</f>
        <v/>
      </c>
      <c r="B874">
        <f>IF($A874="","",LEFT(Calc!$E878,4)&amp;MID(Calc!$E878,6,2)&amp;RIGHT(Calc!$E878,2)&amp;Calc!$Q878&amp;"|"&amp;"1"&amp;RIGHT("00000"&amp;869,5))</f>
        <v/>
      </c>
      <c r="C874">
        <f>IF($B874="","",COUNTIFS(LdgSellerA,$A874,LdgKeyA,"&lt;"&amp;$B874)+COUNTIFS(LdgSellerB,$A874,LdgKeyB,"&lt;"&amp;$B874)+1)</f>
        <v/>
      </c>
      <c r="D874">
        <f>IF($C874="","",$A874&amp;"|"&amp;RIGHT("000000"&amp;$C874,6))</f>
        <v/>
      </c>
      <c r="F874">
        <f>IF(Sync!$AH874="","",IF(LEFT(UPPER(TRIM(Sync!$AH874)),2)="SL",UPPER(TRIM(Sync!$AH874)),""))</f>
        <v/>
      </c>
      <c r="G874">
        <f>IF($F874="","",IF(Sync!$AE874="","",IF(ISNUMBER(Sync!$AE874),IF(AND(Sync!$AE874&gt;=10000101,Sync!$AE874&lt;=99991231),INT(Sync!$AE874/10000),""),IFERROR(VALUE(TRIM(LEFT(Sync!$AE874,FIND("/",Sync!$AE874)-1))),""))))</f>
        <v/>
      </c>
      <c r="H874">
        <f>IF(OR($F874="",$G874=""),"",IF(ISNUMBER(Sync!$AE874),INT(MOD(Sync!$AE874,10000)/100),IFERROR(VALUE(TRIM(LEFT(MID(Sync!$AE874,FIND("/",Sync!$AE874)+1,20),FIND("/",MID(Sync!$AE874,FIND("/",Sync!$AE874)+1,20))-1))),"")))</f>
        <v/>
      </c>
      <c r="I874">
        <f>IF(OR($F874="",$G874=""),"",IF(ISNUMBER(Sync!$AE874),MOD(Sync!$AE874,100),IFERROR(VALUE(TRIM(MID(MID(Sync!$AE874,FIND("/",Sync!$AE874)+1,20),FIND("/",MID(Sync!$AE874,FIND("/",Sync!$AE874)+1,20))+1,20))),"")))</f>
        <v/>
      </c>
      <c r="J874">
        <f>IF($F874="","",IF(OR($G874="",$H874="",$I874="",$G874&lt;1300,$G874&gt;1500,$H874&lt;1,$H874&gt;12,$I874&lt;1,$I874&gt;31),"نامعتبر",RIGHT("0000"&amp;$G874,4)&amp;"/"&amp;RIGHT("00"&amp;$H874,2)&amp;"/"&amp;RIGHT("00"&amp;$I874,2)))</f>
        <v/>
      </c>
      <c r="K874">
        <f>IF(OR($F874="",$J874="",$J874="نامعتبر"),"",LEFT($J874,4)&amp;MID($J874,6,2)&amp;RIGHT($J874,2)&amp;$N874&amp;"|"&amp;"2"&amp;RIGHT("00000"&amp;869,5))</f>
        <v/>
      </c>
      <c r="L874">
        <f>IF($K874="","",COUNTIFS(LdgSellerA,$F874,LdgKeyA,"&lt;"&amp;$K874)+COUNTIFS(LdgSellerB,$F874,LdgKeyB,"&lt;"&amp;$K874)+1)</f>
        <v/>
      </c>
      <c r="M874">
        <f>IF($L874="","",$F874&amp;"|"&amp;RIGHT("000000"&amp;$L874,6))</f>
        <v/>
      </c>
      <c r="N874">
        <f>IF($F874="","",IF(Sync!$AF874="","0000",IF(AND(ISNUMBER(Sync!$AF874),Sync!$AF874&gt;=0,Sync!$AF874&lt;1),RIGHT("00"&amp;HOUR(Sync!$AF874),2)&amp;RIGHT("00"&amp;MINUTE(Sync!$AF874),2),IFERROR(RIGHT("00"&amp;VALUE(LEFT(Sync!$AF874,FIND(":",Sync!$AF874)-1)),2)&amp;RIGHT("00"&amp;VALUE(MID(Sync!$AF874,FIND(":",Sync!$AF874)+1,2)),2),"0000"))))</f>
        <v/>
      </c>
    </row>
    <row r="875">
      <c r="A875">
        <f>IF(OR(Calc!$E879="",Calc!$E879="نامعتبر",Calc!$G879=""),"",Calc!$G879)</f>
        <v/>
      </c>
      <c r="B875">
        <f>IF($A875="","",LEFT(Calc!$E879,4)&amp;MID(Calc!$E879,6,2)&amp;RIGHT(Calc!$E879,2)&amp;Calc!$Q879&amp;"|"&amp;"1"&amp;RIGHT("00000"&amp;870,5))</f>
        <v/>
      </c>
      <c r="C875">
        <f>IF($B875="","",COUNTIFS(LdgSellerA,$A875,LdgKeyA,"&lt;"&amp;$B875)+COUNTIFS(LdgSellerB,$A875,LdgKeyB,"&lt;"&amp;$B875)+1)</f>
        <v/>
      </c>
      <c r="D875">
        <f>IF($C875="","",$A875&amp;"|"&amp;RIGHT("000000"&amp;$C875,6))</f>
        <v/>
      </c>
      <c r="F875">
        <f>IF(Sync!$AH875="","",IF(LEFT(UPPER(TRIM(Sync!$AH875)),2)="SL",UPPER(TRIM(Sync!$AH875)),""))</f>
        <v/>
      </c>
      <c r="G875">
        <f>IF($F875="","",IF(Sync!$AE875="","",IF(ISNUMBER(Sync!$AE875),IF(AND(Sync!$AE875&gt;=10000101,Sync!$AE875&lt;=99991231),INT(Sync!$AE875/10000),""),IFERROR(VALUE(TRIM(LEFT(Sync!$AE875,FIND("/",Sync!$AE875)-1))),""))))</f>
        <v/>
      </c>
      <c r="H875">
        <f>IF(OR($F875="",$G875=""),"",IF(ISNUMBER(Sync!$AE875),INT(MOD(Sync!$AE875,10000)/100),IFERROR(VALUE(TRIM(LEFT(MID(Sync!$AE875,FIND("/",Sync!$AE875)+1,20),FIND("/",MID(Sync!$AE875,FIND("/",Sync!$AE875)+1,20))-1))),"")))</f>
        <v/>
      </c>
      <c r="I875">
        <f>IF(OR($F875="",$G875=""),"",IF(ISNUMBER(Sync!$AE875),MOD(Sync!$AE875,100),IFERROR(VALUE(TRIM(MID(MID(Sync!$AE875,FIND("/",Sync!$AE875)+1,20),FIND("/",MID(Sync!$AE875,FIND("/",Sync!$AE875)+1,20))+1,20))),"")))</f>
        <v/>
      </c>
      <c r="J875">
        <f>IF($F875="","",IF(OR($G875="",$H875="",$I875="",$G875&lt;1300,$G875&gt;1500,$H875&lt;1,$H875&gt;12,$I875&lt;1,$I875&gt;31),"نامعتبر",RIGHT("0000"&amp;$G875,4)&amp;"/"&amp;RIGHT("00"&amp;$H875,2)&amp;"/"&amp;RIGHT("00"&amp;$I875,2)))</f>
        <v/>
      </c>
      <c r="K875">
        <f>IF(OR($F875="",$J875="",$J875="نامعتبر"),"",LEFT($J875,4)&amp;MID($J875,6,2)&amp;RIGHT($J875,2)&amp;$N875&amp;"|"&amp;"2"&amp;RIGHT("00000"&amp;870,5))</f>
        <v/>
      </c>
      <c r="L875">
        <f>IF($K875="","",COUNTIFS(LdgSellerA,$F875,LdgKeyA,"&lt;"&amp;$K875)+COUNTIFS(LdgSellerB,$F875,LdgKeyB,"&lt;"&amp;$K875)+1)</f>
        <v/>
      </c>
      <c r="M875">
        <f>IF($L875="","",$F875&amp;"|"&amp;RIGHT("000000"&amp;$L875,6))</f>
        <v/>
      </c>
      <c r="N875">
        <f>IF($F875="","",IF(Sync!$AF875="","0000",IF(AND(ISNUMBER(Sync!$AF875),Sync!$AF875&gt;=0,Sync!$AF875&lt;1),RIGHT("00"&amp;HOUR(Sync!$AF875),2)&amp;RIGHT("00"&amp;MINUTE(Sync!$AF875),2),IFERROR(RIGHT("00"&amp;VALUE(LEFT(Sync!$AF875,FIND(":",Sync!$AF875)-1)),2)&amp;RIGHT("00"&amp;VALUE(MID(Sync!$AF875,FIND(":",Sync!$AF875)+1,2)),2),"0000"))))</f>
        <v/>
      </c>
    </row>
    <row r="876">
      <c r="A876">
        <f>IF(OR(Calc!$E880="",Calc!$E880="نامعتبر",Calc!$G880=""),"",Calc!$G880)</f>
        <v/>
      </c>
      <c r="B876">
        <f>IF($A876="","",LEFT(Calc!$E880,4)&amp;MID(Calc!$E880,6,2)&amp;RIGHT(Calc!$E880,2)&amp;Calc!$Q880&amp;"|"&amp;"1"&amp;RIGHT("00000"&amp;871,5))</f>
        <v/>
      </c>
      <c r="C876">
        <f>IF($B876="","",COUNTIFS(LdgSellerA,$A876,LdgKeyA,"&lt;"&amp;$B876)+COUNTIFS(LdgSellerB,$A876,LdgKeyB,"&lt;"&amp;$B876)+1)</f>
        <v/>
      </c>
      <c r="D876">
        <f>IF($C876="","",$A876&amp;"|"&amp;RIGHT("000000"&amp;$C876,6))</f>
        <v/>
      </c>
      <c r="F876">
        <f>IF(Sync!$AH876="","",IF(LEFT(UPPER(TRIM(Sync!$AH876)),2)="SL",UPPER(TRIM(Sync!$AH876)),""))</f>
        <v/>
      </c>
      <c r="G876">
        <f>IF($F876="","",IF(Sync!$AE876="","",IF(ISNUMBER(Sync!$AE876),IF(AND(Sync!$AE876&gt;=10000101,Sync!$AE876&lt;=99991231),INT(Sync!$AE876/10000),""),IFERROR(VALUE(TRIM(LEFT(Sync!$AE876,FIND("/",Sync!$AE876)-1))),""))))</f>
        <v/>
      </c>
      <c r="H876">
        <f>IF(OR($F876="",$G876=""),"",IF(ISNUMBER(Sync!$AE876),INT(MOD(Sync!$AE876,10000)/100),IFERROR(VALUE(TRIM(LEFT(MID(Sync!$AE876,FIND("/",Sync!$AE876)+1,20),FIND("/",MID(Sync!$AE876,FIND("/",Sync!$AE876)+1,20))-1))),"")))</f>
        <v/>
      </c>
      <c r="I876">
        <f>IF(OR($F876="",$G876=""),"",IF(ISNUMBER(Sync!$AE876),MOD(Sync!$AE876,100),IFERROR(VALUE(TRIM(MID(MID(Sync!$AE876,FIND("/",Sync!$AE876)+1,20),FIND("/",MID(Sync!$AE876,FIND("/",Sync!$AE876)+1,20))+1,20))),"")))</f>
        <v/>
      </c>
      <c r="J876">
        <f>IF($F876="","",IF(OR($G876="",$H876="",$I876="",$G876&lt;1300,$G876&gt;1500,$H876&lt;1,$H876&gt;12,$I876&lt;1,$I876&gt;31),"نامعتبر",RIGHT("0000"&amp;$G876,4)&amp;"/"&amp;RIGHT("00"&amp;$H876,2)&amp;"/"&amp;RIGHT("00"&amp;$I876,2)))</f>
        <v/>
      </c>
      <c r="K876">
        <f>IF(OR($F876="",$J876="",$J876="نامعتبر"),"",LEFT($J876,4)&amp;MID($J876,6,2)&amp;RIGHT($J876,2)&amp;$N876&amp;"|"&amp;"2"&amp;RIGHT("00000"&amp;871,5))</f>
        <v/>
      </c>
      <c r="L876">
        <f>IF($K876="","",COUNTIFS(LdgSellerA,$F876,LdgKeyA,"&lt;"&amp;$K876)+COUNTIFS(LdgSellerB,$F876,LdgKeyB,"&lt;"&amp;$K876)+1)</f>
        <v/>
      </c>
      <c r="M876">
        <f>IF($L876="","",$F876&amp;"|"&amp;RIGHT("000000"&amp;$L876,6))</f>
        <v/>
      </c>
      <c r="N876">
        <f>IF($F876="","",IF(Sync!$AF876="","0000",IF(AND(ISNUMBER(Sync!$AF876),Sync!$AF876&gt;=0,Sync!$AF876&lt;1),RIGHT("00"&amp;HOUR(Sync!$AF876),2)&amp;RIGHT("00"&amp;MINUTE(Sync!$AF876),2),IFERROR(RIGHT("00"&amp;VALUE(LEFT(Sync!$AF876,FIND(":",Sync!$AF876)-1)),2)&amp;RIGHT("00"&amp;VALUE(MID(Sync!$AF876,FIND(":",Sync!$AF876)+1,2)),2),"0000"))))</f>
        <v/>
      </c>
    </row>
    <row r="877">
      <c r="A877">
        <f>IF(OR(Calc!$E881="",Calc!$E881="نامعتبر",Calc!$G881=""),"",Calc!$G881)</f>
        <v/>
      </c>
      <c r="B877">
        <f>IF($A877="","",LEFT(Calc!$E881,4)&amp;MID(Calc!$E881,6,2)&amp;RIGHT(Calc!$E881,2)&amp;Calc!$Q881&amp;"|"&amp;"1"&amp;RIGHT("00000"&amp;872,5))</f>
        <v/>
      </c>
      <c r="C877">
        <f>IF($B877="","",COUNTIFS(LdgSellerA,$A877,LdgKeyA,"&lt;"&amp;$B877)+COUNTIFS(LdgSellerB,$A877,LdgKeyB,"&lt;"&amp;$B877)+1)</f>
        <v/>
      </c>
      <c r="D877">
        <f>IF($C877="","",$A877&amp;"|"&amp;RIGHT("000000"&amp;$C877,6))</f>
        <v/>
      </c>
      <c r="F877">
        <f>IF(Sync!$AH877="","",IF(LEFT(UPPER(TRIM(Sync!$AH877)),2)="SL",UPPER(TRIM(Sync!$AH877)),""))</f>
        <v/>
      </c>
      <c r="G877">
        <f>IF($F877="","",IF(Sync!$AE877="","",IF(ISNUMBER(Sync!$AE877),IF(AND(Sync!$AE877&gt;=10000101,Sync!$AE877&lt;=99991231),INT(Sync!$AE877/10000),""),IFERROR(VALUE(TRIM(LEFT(Sync!$AE877,FIND("/",Sync!$AE877)-1))),""))))</f>
        <v/>
      </c>
      <c r="H877">
        <f>IF(OR($F877="",$G877=""),"",IF(ISNUMBER(Sync!$AE877),INT(MOD(Sync!$AE877,10000)/100),IFERROR(VALUE(TRIM(LEFT(MID(Sync!$AE877,FIND("/",Sync!$AE877)+1,20),FIND("/",MID(Sync!$AE877,FIND("/",Sync!$AE877)+1,20))-1))),"")))</f>
        <v/>
      </c>
      <c r="I877">
        <f>IF(OR($F877="",$G877=""),"",IF(ISNUMBER(Sync!$AE877),MOD(Sync!$AE877,100),IFERROR(VALUE(TRIM(MID(MID(Sync!$AE877,FIND("/",Sync!$AE877)+1,20),FIND("/",MID(Sync!$AE877,FIND("/",Sync!$AE877)+1,20))+1,20))),"")))</f>
        <v/>
      </c>
      <c r="J877">
        <f>IF($F877="","",IF(OR($G877="",$H877="",$I877="",$G877&lt;1300,$G877&gt;1500,$H877&lt;1,$H877&gt;12,$I877&lt;1,$I877&gt;31),"نامعتبر",RIGHT("0000"&amp;$G877,4)&amp;"/"&amp;RIGHT("00"&amp;$H877,2)&amp;"/"&amp;RIGHT("00"&amp;$I877,2)))</f>
        <v/>
      </c>
      <c r="K877">
        <f>IF(OR($F877="",$J877="",$J877="نامعتبر"),"",LEFT($J877,4)&amp;MID($J877,6,2)&amp;RIGHT($J877,2)&amp;$N877&amp;"|"&amp;"2"&amp;RIGHT("00000"&amp;872,5))</f>
        <v/>
      </c>
      <c r="L877">
        <f>IF($K877="","",COUNTIFS(LdgSellerA,$F877,LdgKeyA,"&lt;"&amp;$K877)+COUNTIFS(LdgSellerB,$F877,LdgKeyB,"&lt;"&amp;$K877)+1)</f>
        <v/>
      </c>
      <c r="M877">
        <f>IF($L877="","",$F877&amp;"|"&amp;RIGHT("000000"&amp;$L877,6))</f>
        <v/>
      </c>
      <c r="N877">
        <f>IF($F877="","",IF(Sync!$AF877="","0000",IF(AND(ISNUMBER(Sync!$AF877),Sync!$AF877&gt;=0,Sync!$AF877&lt;1),RIGHT("00"&amp;HOUR(Sync!$AF877),2)&amp;RIGHT("00"&amp;MINUTE(Sync!$AF877),2),IFERROR(RIGHT("00"&amp;VALUE(LEFT(Sync!$AF877,FIND(":",Sync!$AF877)-1)),2)&amp;RIGHT("00"&amp;VALUE(MID(Sync!$AF877,FIND(":",Sync!$AF877)+1,2)),2),"0000"))))</f>
        <v/>
      </c>
    </row>
    <row r="878">
      <c r="A878">
        <f>IF(OR(Calc!$E882="",Calc!$E882="نامعتبر",Calc!$G882=""),"",Calc!$G882)</f>
        <v/>
      </c>
      <c r="B878">
        <f>IF($A878="","",LEFT(Calc!$E882,4)&amp;MID(Calc!$E882,6,2)&amp;RIGHT(Calc!$E882,2)&amp;Calc!$Q882&amp;"|"&amp;"1"&amp;RIGHT("00000"&amp;873,5))</f>
        <v/>
      </c>
      <c r="C878">
        <f>IF($B878="","",COUNTIFS(LdgSellerA,$A878,LdgKeyA,"&lt;"&amp;$B878)+COUNTIFS(LdgSellerB,$A878,LdgKeyB,"&lt;"&amp;$B878)+1)</f>
        <v/>
      </c>
      <c r="D878">
        <f>IF($C878="","",$A878&amp;"|"&amp;RIGHT("000000"&amp;$C878,6))</f>
        <v/>
      </c>
      <c r="F878">
        <f>IF(Sync!$AH878="","",IF(LEFT(UPPER(TRIM(Sync!$AH878)),2)="SL",UPPER(TRIM(Sync!$AH878)),""))</f>
        <v/>
      </c>
      <c r="G878">
        <f>IF($F878="","",IF(Sync!$AE878="","",IF(ISNUMBER(Sync!$AE878),IF(AND(Sync!$AE878&gt;=10000101,Sync!$AE878&lt;=99991231),INT(Sync!$AE878/10000),""),IFERROR(VALUE(TRIM(LEFT(Sync!$AE878,FIND("/",Sync!$AE878)-1))),""))))</f>
        <v/>
      </c>
      <c r="H878">
        <f>IF(OR($F878="",$G878=""),"",IF(ISNUMBER(Sync!$AE878),INT(MOD(Sync!$AE878,10000)/100),IFERROR(VALUE(TRIM(LEFT(MID(Sync!$AE878,FIND("/",Sync!$AE878)+1,20),FIND("/",MID(Sync!$AE878,FIND("/",Sync!$AE878)+1,20))-1))),"")))</f>
        <v/>
      </c>
      <c r="I878">
        <f>IF(OR($F878="",$G878=""),"",IF(ISNUMBER(Sync!$AE878),MOD(Sync!$AE878,100),IFERROR(VALUE(TRIM(MID(MID(Sync!$AE878,FIND("/",Sync!$AE878)+1,20),FIND("/",MID(Sync!$AE878,FIND("/",Sync!$AE878)+1,20))+1,20))),"")))</f>
        <v/>
      </c>
      <c r="J878">
        <f>IF($F878="","",IF(OR($G878="",$H878="",$I878="",$G878&lt;1300,$G878&gt;1500,$H878&lt;1,$H878&gt;12,$I878&lt;1,$I878&gt;31),"نامعتبر",RIGHT("0000"&amp;$G878,4)&amp;"/"&amp;RIGHT("00"&amp;$H878,2)&amp;"/"&amp;RIGHT("00"&amp;$I878,2)))</f>
        <v/>
      </c>
      <c r="K878">
        <f>IF(OR($F878="",$J878="",$J878="نامعتبر"),"",LEFT($J878,4)&amp;MID($J878,6,2)&amp;RIGHT($J878,2)&amp;$N878&amp;"|"&amp;"2"&amp;RIGHT("00000"&amp;873,5))</f>
        <v/>
      </c>
      <c r="L878">
        <f>IF($K878="","",COUNTIFS(LdgSellerA,$F878,LdgKeyA,"&lt;"&amp;$K878)+COUNTIFS(LdgSellerB,$F878,LdgKeyB,"&lt;"&amp;$K878)+1)</f>
        <v/>
      </c>
      <c r="M878">
        <f>IF($L878="","",$F878&amp;"|"&amp;RIGHT("000000"&amp;$L878,6))</f>
        <v/>
      </c>
      <c r="N878">
        <f>IF($F878="","",IF(Sync!$AF878="","0000",IF(AND(ISNUMBER(Sync!$AF878),Sync!$AF878&gt;=0,Sync!$AF878&lt;1),RIGHT("00"&amp;HOUR(Sync!$AF878),2)&amp;RIGHT("00"&amp;MINUTE(Sync!$AF878),2),IFERROR(RIGHT("00"&amp;VALUE(LEFT(Sync!$AF878,FIND(":",Sync!$AF878)-1)),2)&amp;RIGHT("00"&amp;VALUE(MID(Sync!$AF878,FIND(":",Sync!$AF878)+1,2)),2),"0000"))))</f>
        <v/>
      </c>
    </row>
    <row r="879">
      <c r="A879">
        <f>IF(OR(Calc!$E883="",Calc!$E883="نامعتبر",Calc!$G883=""),"",Calc!$G883)</f>
        <v/>
      </c>
      <c r="B879">
        <f>IF($A879="","",LEFT(Calc!$E883,4)&amp;MID(Calc!$E883,6,2)&amp;RIGHT(Calc!$E883,2)&amp;Calc!$Q883&amp;"|"&amp;"1"&amp;RIGHT("00000"&amp;874,5))</f>
        <v/>
      </c>
      <c r="C879">
        <f>IF($B879="","",COUNTIFS(LdgSellerA,$A879,LdgKeyA,"&lt;"&amp;$B879)+COUNTIFS(LdgSellerB,$A879,LdgKeyB,"&lt;"&amp;$B879)+1)</f>
        <v/>
      </c>
      <c r="D879">
        <f>IF($C879="","",$A879&amp;"|"&amp;RIGHT("000000"&amp;$C879,6))</f>
        <v/>
      </c>
      <c r="F879">
        <f>IF(Sync!$AH879="","",IF(LEFT(UPPER(TRIM(Sync!$AH879)),2)="SL",UPPER(TRIM(Sync!$AH879)),""))</f>
        <v/>
      </c>
      <c r="G879">
        <f>IF($F879="","",IF(Sync!$AE879="","",IF(ISNUMBER(Sync!$AE879),IF(AND(Sync!$AE879&gt;=10000101,Sync!$AE879&lt;=99991231),INT(Sync!$AE879/10000),""),IFERROR(VALUE(TRIM(LEFT(Sync!$AE879,FIND("/",Sync!$AE879)-1))),""))))</f>
        <v/>
      </c>
      <c r="H879">
        <f>IF(OR($F879="",$G879=""),"",IF(ISNUMBER(Sync!$AE879),INT(MOD(Sync!$AE879,10000)/100),IFERROR(VALUE(TRIM(LEFT(MID(Sync!$AE879,FIND("/",Sync!$AE879)+1,20),FIND("/",MID(Sync!$AE879,FIND("/",Sync!$AE879)+1,20))-1))),"")))</f>
        <v/>
      </c>
      <c r="I879">
        <f>IF(OR($F879="",$G879=""),"",IF(ISNUMBER(Sync!$AE879),MOD(Sync!$AE879,100),IFERROR(VALUE(TRIM(MID(MID(Sync!$AE879,FIND("/",Sync!$AE879)+1,20),FIND("/",MID(Sync!$AE879,FIND("/",Sync!$AE879)+1,20))+1,20))),"")))</f>
        <v/>
      </c>
      <c r="J879">
        <f>IF($F879="","",IF(OR($G879="",$H879="",$I879="",$G879&lt;1300,$G879&gt;1500,$H879&lt;1,$H879&gt;12,$I879&lt;1,$I879&gt;31),"نامعتبر",RIGHT("0000"&amp;$G879,4)&amp;"/"&amp;RIGHT("00"&amp;$H879,2)&amp;"/"&amp;RIGHT("00"&amp;$I879,2)))</f>
        <v/>
      </c>
      <c r="K879">
        <f>IF(OR($F879="",$J879="",$J879="نامعتبر"),"",LEFT($J879,4)&amp;MID($J879,6,2)&amp;RIGHT($J879,2)&amp;$N879&amp;"|"&amp;"2"&amp;RIGHT("00000"&amp;874,5))</f>
        <v/>
      </c>
      <c r="L879">
        <f>IF($K879="","",COUNTIFS(LdgSellerA,$F879,LdgKeyA,"&lt;"&amp;$K879)+COUNTIFS(LdgSellerB,$F879,LdgKeyB,"&lt;"&amp;$K879)+1)</f>
        <v/>
      </c>
      <c r="M879">
        <f>IF($L879="","",$F879&amp;"|"&amp;RIGHT("000000"&amp;$L879,6))</f>
        <v/>
      </c>
      <c r="N879">
        <f>IF($F879="","",IF(Sync!$AF879="","0000",IF(AND(ISNUMBER(Sync!$AF879),Sync!$AF879&gt;=0,Sync!$AF879&lt;1),RIGHT("00"&amp;HOUR(Sync!$AF879),2)&amp;RIGHT("00"&amp;MINUTE(Sync!$AF879),2),IFERROR(RIGHT("00"&amp;VALUE(LEFT(Sync!$AF879,FIND(":",Sync!$AF879)-1)),2)&amp;RIGHT("00"&amp;VALUE(MID(Sync!$AF879,FIND(":",Sync!$AF879)+1,2)),2),"0000"))))</f>
        <v/>
      </c>
    </row>
    <row r="880">
      <c r="A880">
        <f>IF(OR(Calc!$E884="",Calc!$E884="نامعتبر",Calc!$G884=""),"",Calc!$G884)</f>
        <v/>
      </c>
      <c r="B880">
        <f>IF($A880="","",LEFT(Calc!$E884,4)&amp;MID(Calc!$E884,6,2)&amp;RIGHT(Calc!$E884,2)&amp;Calc!$Q884&amp;"|"&amp;"1"&amp;RIGHT("00000"&amp;875,5))</f>
        <v/>
      </c>
      <c r="C880">
        <f>IF($B880="","",COUNTIFS(LdgSellerA,$A880,LdgKeyA,"&lt;"&amp;$B880)+COUNTIFS(LdgSellerB,$A880,LdgKeyB,"&lt;"&amp;$B880)+1)</f>
        <v/>
      </c>
      <c r="D880">
        <f>IF($C880="","",$A880&amp;"|"&amp;RIGHT("000000"&amp;$C880,6))</f>
        <v/>
      </c>
      <c r="F880">
        <f>IF(Sync!$AH880="","",IF(LEFT(UPPER(TRIM(Sync!$AH880)),2)="SL",UPPER(TRIM(Sync!$AH880)),""))</f>
        <v/>
      </c>
      <c r="G880">
        <f>IF($F880="","",IF(Sync!$AE880="","",IF(ISNUMBER(Sync!$AE880),IF(AND(Sync!$AE880&gt;=10000101,Sync!$AE880&lt;=99991231),INT(Sync!$AE880/10000),""),IFERROR(VALUE(TRIM(LEFT(Sync!$AE880,FIND("/",Sync!$AE880)-1))),""))))</f>
        <v/>
      </c>
      <c r="H880">
        <f>IF(OR($F880="",$G880=""),"",IF(ISNUMBER(Sync!$AE880),INT(MOD(Sync!$AE880,10000)/100),IFERROR(VALUE(TRIM(LEFT(MID(Sync!$AE880,FIND("/",Sync!$AE880)+1,20),FIND("/",MID(Sync!$AE880,FIND("/",Sync!$AE880)+1,20))-1))),"")))</f>
        <v/>
      </c>
      <c r="I880">
        <f>IF(OR($F880="",$G880=""),"",IF(ISNUMBER(Sync!$AE880),MOD(Sync!$AE880,100),IFERROR(VALUE(TRIM(MID(MID(Sync!$AE880,FIND("/",Sync!$AE880)+1,20),FIND("/",MID(Sync!$AE880,FIND("/",Sync!$AE880)+1,20))+1,20))),"")))</f>
        <v/>
      </c>
      <c r="J880">
        <f>IF($F880="","",IF(OR($G880="",$H880="",$I880="",$G880&lt;1300,$G880&gt;1500,$H880&lt;1,$H880&gt;12,$I880&lt;1,$I880&gt;31),"نامعتبر",RIGHT("0000"&amp;$G880,4)&amp;"/"&amp;RIGHT("00"&amp;$H880,2)&amp;"/"&amp;RIGHT("00"&amp;$I880,2)))</f>
        <v/>
      </c>
      <c r="K880">
        <f>IF(OR($F880="",$J880="",$J880="نامعتبر"),"",LEFT($J880,4)&amp;MID($J880,6,2)&amp;RIGHT($J880,2)&amp;$N880&amp;"|"&amp;"2"&amp;RIGHT("00000"&amp;875,5))</f>
        <v/>
      </c>
      <c r="L880">
        <f>IF($K880="","",COUNTIFS(LdgSellerA,$F880,LdgKeyA,"&lt;"&amp;$K880)+COUNTIFS(LdgSellerB,$F880,LdgKeyB,"&lt;"&amp;$K880)+1)</f>
        <v/>
      </c>
      <c r="M880">
        <f>IF($L880="","",$F880&amp;"|"&amp;RIGHT("000000"&amp;$L880,6))</f>
        <v/>
      </c>
      <c r="N880">
        <f>IF($F880="","",IF(Sync!$AF880="","0000",IF(AND(ISNUMBER(Sync!$AF880),Sync!$AF880&gt;=0,Sync!$AF880&lt;1),RIGHT("00"&amp;HOUR(Sync!$AF880),2)&amp;RIGHT("00"&amp;MINUTE(Sync!$AF880),2),IFERROR(RIGHT("00"&amp;VALUE(LEFT(Sync!$AF880,FIND(":",Sync!$AF880)-1)),2)&amp;RIGHT("00"&amp;VALUE(MID(Sync!$AF880,FIND(":",Sync!$AF880)+1,2)),2),"0000"))))</f>
        <v/>
      </c>
    </row>
    <row r="881">
      <c r="A881">
        <f>IF(OR(Calc!$E885="",Calc!$E885="نامعتبر",Calc!$G885=""),"",Calc!$G885)</f>
        <v/>
      </c>
      <c r="B881">
        <f>IF($A881="","",LEFT(Calc!$E885,4)&amp;MID(Calc!$E885,6,2)&amp;RIGHT(Calc!$E885,2)&amp;Calc!$Q885&amp;"|"&amp;"1"&amp;RIGHT("00000"&amp;876,5))</f>
        <v/>
      </c>
      <c r="C881">
        <f>IF($B881="","",COUNTIFS(LdgSellerA,$A881,LdgKeyA,"&lt;"&amp;$B881)+COUNTIFS(LdgSellerB,$A881,LdgKeyB,"&lt;"&amp;$B881)+1)</f>
        <v/>
      </c>
      <c r="D881">
        <f>IF($C881="","",$A881&amp;"|"&amp;RIGHT("000000"&amp;$C881,6))</f>
        <v/>
      </c>
      <c r="F881">
        <f>IF(Sync!$AH881="","",IF(LEFT(UPPER(TRIM(Sync!$AH881)),2)="SL",UPPER(TRIM(Sync!$AH881)),""))</f>
        <v/>
      </c>
      <c r="G881">
        <f>IF($F881="","",IF(Sync!$AE881="","",IF(ISNUMBER(Sync!$AE881),IF(AND(Sync!$AE881&gt;=10000101,Sync!$AE881&lt;=99991231),INT(Sync!$AE881/10000),""),IFERROR(VALUE(TRIM(LEFT(Sync!$AE881,FIND("/",Sync!$AE881)-1))),""))))</f>
        <v/>
      </c>
      <c r="H881">
        <f>IF(OR($F881="",$G881=""),"",IF(ISNUMBER(Sync!$AE881),INT(MOD(Sync!$AE881,10000)/100),IFERROR(VALUE(TRIM(LEFT(MID(Sync!$AE881,FIND("/",Sync!$AE881)+1,20),FIND("/",MID(Sync!$AE881,FIND("/",Sync!$AE881)+1,20))-1))),"")))</f>
        <v/>
      </c>
      <c r="I881">
        <f>IF(OR($F881="",$G881=""),"",IF(ISNUMBER(Sync!$AE881),MOD(Sync!$AE881,100),IFERROR(VALUE(TRIM(MID(MID(Sync!$AE881,FIND("/",Sync!$AE881)+1,20),FIND("/",MID(Sync!$AE881,FIND("/",Sync!$AE881)+1,20))+1,20))),"")))</f>
        <v/>
      </c>
      <c r="J881">
        <f>IF($F881="","",IF(OR($G881="",$H881="",$I881="",$G881&lt;1300,$G881&gt;1500,$H881&lt;1,$H881&gt;12,$I881&lt;1,$I881&gt;31),"نامعتبر",RIGHT("0000"&amp;$G881,4)&amp;"/"&amp;RIGHT("00"&amp;$H881,2)&amp;"/"&amp;RIGHT("00"&amp;$I881,2)))</f>
        <v/>
      </c>
      <c r="K881">
        <f>IF(OR($F881="",$J881="",$J881="نامعتبر"),"",LEFT($J881,4)&amp;MID($J881,6,2)&amp;RIGHT($J881,2)&amp;$N881&amp;"|"&amp;"2"&amp;RIGHT("00000"&amp;876,5))</f>
        <v/>
      </c>
      <c r="L881">
        <f>IF($K881="","",COUNTIFS(LdgSellerA,$F881,LdgKeyA,"&lt;"&amp;$K881)+COUNTIFS(LdgSellerB,$F881,LdgKeyB,"&lt;"&amp;$K881)+1)</f>
        <v/>
      </c>
      <c r="M881">
        <f>IF($L881="","",$F881&amp;"|"&amp;RIGHT("000000"&amp;$L881,6))</f>
        <v/>
      </c>
      <c r="N881">
        <f>IF($F881="","",IF(Sync!$AF881="","0000",IF(AND(ISNUMBER(Sync!$AF881),Sync!$AF881&gt;=0,Sync!$AF881&lt;1),RIGHT("00"&amp;HOUR(Sync!$AF881),2)&amp;RIGHT("00"&amp;MINUTE(Sync!$AF881),2),IFERROR(RIGHT("00"&amp;VALUE(LEFT(Sync!$AF881,FIND(":",Sync!$AF881)-1)),2)&amp;RIGHT("00"&amp;VALUE(MID(Sync!$AF881,FIND(":",Sync!$AF881)+1,2)),2),"0000"))))</f>
        <v/>
      </c>
    </row>
    <row r="882">
      <c r="A882">
        <f>IF(OR(Calc!$E886="",Calc!$E886="نامعتبر",Calc!$G886=""),"",Calc!$G886)</f>
        <v/>
      </c>
      <c r="B882">
        <f>IF($A882="","",LEFT(Calc!$E886,4)&amp;MID(Calc!$E886,6,2)&amp;RIGHT(Calc!$E886,2)&amp;Calc!$Q886&amp;"|"&amp;"1"&amp;RIGHT("00000"&amp;877,5))</f>
        <v/>
      </c>
      <c r="C882">
        <f>IF($B882="","",COUNTIFS(LdgSellerA,$A882,LdgKeyA,"&lt;"&amp;$B882)+COUNTIFS(LdgSellerB,$A882,LdgKeyB,"&lt;"&amp;$B882)+1)</f>
        <v/>
      </c>
      <c r="D882">
        <f>IF($C882="","",$A882&amp;"|"&amp;RIGHT("000000"&amp;$C882,6))</f>
        <v/>
      </c>
      <c r="F882">
        <f>IF(Sync!$AH882="","",IF(LEFT(UPPER(TRIM(Sync!$AH882)),2)="SL",UPPER(TRIM(Sync!$AH882)),""))</f>
        <v/>
      </c>
      <c r="G882">
        <f>IF($F882="","",IF(Sync!$AE882="","",IF(ISNUMBER(Sync!$AE882),IF(AND(Sync!$AE882&gt;=10000101,Sync!$AE882&lt;=99991231),INT(Sync!$AE882/10000),""),IFERROR(VALUE(TRIM(LEFT(Sync!$AE882,FIND("/",Sync!$AE882)-1))),""))))</f>
        <v/>
      </c>
      <c r="H882">
        <f>IF(OR($F882="",$G882=""),"",IF(ISNUMBER(Sync!$AE882),INT(MOD(Sync!$AE882,10000)/100),IFERROR(VALUE(TRIM(LEFT(MID(Sync!$AE882,FIND("/",Sync!$AE882)+1,20),FIND("/",MID(Sync!$AE882,FIND("/",Sync!$AE882)+1,20))-1))),"")))</f>
        <v/>
      </c>
      <c r="I882">
        <f>IF(OR($F882="",$G882=""),"",IF(ISNUMBER(Sync!$AE882),MOD(Sync!$AE882,100),IFERROR(VALUE(TRIM(MID(MID(Sync!$AE882,FIND("/",Sync!$AE882)+1,20),FIND("/",MID(Sync!$AE882,FIND("/",Sync!$AE882)+1,20))+1,20))),"")))</f>
        <v/>
      </c>
      <c r="J882">
        <f>IF($F882="","",IF(OR($G882="",$H882="",$I882="",$G882&lt;1300,$G882&gt;1500,$H882&lt;1,$H882&gt;12,$I882&lt;1,$I882&gt;31),"نامعتبر",RIGHT("0000"&amp;$G882,4)&amp;"/"&amp;RIGHT("00"&amp;$H882,2)&amp;"/"&amp;RIGHT("00"&amp;$I882,2)))</f>
        <v/>
      </c>
      <c r="K882">
        <f>IF(OR($F882="",$J882="",$J882="نامعتبر"),"",LEFT($J882,4)&amp;MID($J882,6,2)&amp;RIGHT($J882,2)&amp;$N882&amp;"|"&amp;"2"&amp;RIGHT("00000"&amp;877,5))</f>
        <v/>
      </c>
      <c r="L882">
        <f>IF($K882="","",COUNTIFS(LdgSellerA,$F882,LdgKeyA,"&lt;"&amp;$K882)+COUNTIFS(LdgSellerB,$F882,LdgKeyB,"&lt;"&amp;$K882)+1)</f>
        <v/>
      </c>
      <c r="M882">
        <f>IF($L882="","",$F882&amp;"|"&amp;RIGHT("000000"&amp;$L882,6))</f>
        <v/>
      </c>
      <c r="N882">
        <f>IF($F882="","",IF(Sync!$AF882="","0000",IF(AND(ISNUMBER(Sync!$AF882),Sync!$AF882&gt;=0,Sync!$AF882&lt;1),RIGHT("00"&amp;HOUR(Sync!$AF882),2)&amp;RIGHT("00"&amp;MINUTE(Sync!$AF882),2),IFERROR(RIGHT("00"&amp;VALUE(LEFT(Sync!$AF882,FIND(":",Sync!$AF882)-1)),2)&amp;RIGHT("00"&amp;VALUE(MID(Sync!$AF882,FIND(":",Sync!$AF882)+1,2)),2),"0000"))))</f>
        <v/>
      </c>
    </row>
    <row r="883">
      <c r="A883">
        <f>IF(OR(Calc!$E887="",Calc!$E887="نامعتبر",Calc!$G887=""),"",Calc!$G887)</f>
        <v/>
      </c>
      <c r="B883">
        <f>IF($A883="","",LEFT(Calc!$E887,4)&amp;MID(Calc!$E887,6,2)&amp;RIGHT(Calc!$E887,2)&amp;Calc!$Q887&amp;"|"&amp;"1"&amp;RIGHT("00000"&amp;878,5))</f>
        <v/>
      </c>
      <c r="C883">
        <f>IF($B883="","",COUNTIFS(LdgSellerA,$A883,LdgKeyA,"&lt;"&amp;$B883)+COUNTIFS(LdgSellerB,$A883,LdgKeyB,"&lt;"&amp;$B883)+1)</f>
        <v/>
      </c>
      <c r="D883">
        <f>IF($C883="","",$A883&amp;"|"&amp;RIGHT("000000"&amp;$C883,6))</f>
        <v/>
      </c>
      <c r="F883">
        <f>IF(Sync!$AH883="","",IF(LEFT(UPPER(TRIM(Sync!$AH883)),2)="SL",UPPER(TRIM(Sync!$AH883)),""))</f>
        <v/>
      </c>
      <c r="G883">
        <f>IF($F883="","",IF(Sync!$AE883="","",IF(ISNUMBER(Sync!$AE883),IF(AND(Sync!$AE883&gt;=10000101,Sync!$AE883&lt;=99991231),INT(Sync!$AE883/10000),""),IFERROR(VALUE(TRIM(LEFT(Sync!$AE883,FIND("/",Sync!$AE883)-1))),""))))</f>
        <v/>
      </c>
      <c r="H883">
        <f>IF(OR($F883="",$G883=""),"",IF(ISNUMBER(Sync!$AE883),INT(MOD(Sync!$AE883,10000)/100),IFERROR(VALUE(TRIM(LEFT(MID(Sync!$AE883,FIND("/",Sync!$AE883)+1,20),FIND("/",MID(Sync!$AE883,FIND("/",Sync!$AE883)+1,20))-1))),"")))</f>
        <v/>
      </c>
      <c r="I883">
        <f>IF(OR($F883="",$G883=""),"",IF(ISNUMBER(Sync!$AE883),MOD(Sync!$AE883,100),IFERROR(VALUE(TRIM(MID(MID(Sync!$AE883,FIND("/",Sync!$AE883)+1,20),FIND("/",MID(Sync!$AE883,FIND("/",Sync!$AE883)+1,20))+1,20))),"")))</f>
        <v/>
      </c>
      <c r="J883">
        <f>IF($F883="","",IF(OR($G883="",$H883="",$I883="",$G883&lt;1300,$G883&gt;1500,$H883&lt;1,$H883&gt;12,$I883&lt;1,$I883&gt;31),"نامعتبر",RIGHT("0000"&amp;$G883,4)&amp;"/"&amp;RIGHT("00"&amp;$H883,2)&amp;"/"&amp;RIGHT("00"&amp;$I883,2)))</f>
        <v/>
      </c>
      <c r="K883">
        <f>IF(OR($F883="",$J883="",$J883="نامعتبر"),"",LEFT($J883,4)&amp;MID($J883,6,2)&amp;RIGHT($J883,2)&amp;$N883&amp;"|"&amp;"2"&amp;RIGHT("00000"&amp;878,5))</f>
        <v/>
      </c>
      <c r="L883">
        <f>IF($K883="","",COUNTIFS(LdgSellerA,$F883,LdgKeyA,"&lt;"&amp;$K883)+COUNTIFS(LdgSellerB,$F883,LdgKeyB,"&lt;"&amp;$K883)+1)</f>
        <v/>
      </c>
      <c r="M883">
        <f>IF($L883="","",$F883&amp;"|"&amp;RIGHT("000000"&amp;$L883,6))</f>
        <v/>
      </c>
      <c r="N883">
        <f>IF($F883="","",IF(Sync!$AF883="","0000",IF(AND(ISNUMBER(Sync!$AF883),Sync!$AF883&gt;=0,Sync!$AF883&lt;1),RIGHT("00"&amp;HOUR(Sync!$AF883),2)&amp;RIGHT("00"&amp;MINUTE(Sync!$AF883),2),IFERROR(RIGHT("00"&amp;VALUE(LEFT(Sync!$AF883,FIND(":",Sync!$AF883)-1)),2)&amp;RIGHT("00"&amp;VALUE(MID(Sync!$AF883,FIND(":",Sync!$AF883)+1,2)),2),"0000"))))</f>
        <v/>
      </c>
    </row>
    <row r="884">
      <c r="A884">
        <f>IF(OR(Calc!$E888="",Calc!$E888="نامعتبر",Calc!$G888=""),"",Calc!$G888)</f>
        <v/>
      </c>
      <c r="B884">
        <f>IF($A884="","",LEFT(Calc!$E888,4)&amp;MID(Calc!$E888,6,2)&amp;RIGHT(Calc!$E888,2)&amp;Calc!$Q888&amp;"|"&amp;"1"&amp;RIGHT("00000"&amp;879,5))</f>
        <v/>
      </c>
      <c r="C884">
        <f>IF($B884="","",COUNTIFS(LdgSellerA,$A884,LdgKeyA,"&lt;"&amp;$B884)+COUNTIFS(LdgSellerB,$A884,LdgKeyB,"&lt;"&amp;$B884)+1)</f>
        <v/>
      </c>
      <c r="D884">
        <f>IF($C884="","",$A884&amp;"|"&amp;RIGHT("000000"&amp;$C884,6))</f>
        <v/>
      </c>
      <c r="F884">
        <f>IF(Sync!$AH884="","",IF(LEFT(UPPER(TRIM(Sync!$AH884)),2)="SL",UPPER(TRIM(Sync!$AH884)),""))</f>
        <v/>
      </c>
      <c r="G884">
        <f>IF($F884="","",IF(Sync!$AE884="","",IF(ISNUMBER(Sync!$AE884),IF(AND(Sync!$AE884&gt;=10000101,Sync!$AE884&lt;=99991231),INT(Sync!$AE884/10000),""),IFERROR(VALUE(TRIM(LEFT(Sync!$AE884,FIND("/",Sync!$AE884)-1))),""))))</f>
        <v/>
      </c>
      <c r="H884">
        <f>IF(OR($F884="",$G884=""),"",IF(ISNUMBER(Sync!$AE884),INT(MOD(Sync!$AE884,10000)/100),IFERROR(VALUE(TRIM(LEFT(MID(Sync!$AE884,FIND("/",Sync!$AE884)+1,20),FIND("/",MID(Sync!$AE884,FIND("/",Sync!$AE884)+1,20))-1))),"")))</f>
        <v/>
      </c>
      <c r="I884">
        <f>IF(OR($F884="",$G884=""),"",IF(ISNUMBER(Sync!$AE884),MOD(Sync!$AE884,100),IFERROR(VALUE(TRIM(MID(MID(Sync!$AE884,FIND("/",Sync!$AE884)+1,20),FIND("/",MID(Sync!$AE884,FIND("/",Sync!$AE884)+1,20))+1,20))),"")))</f>
        <v/>
      </c>
      <c r="J884">
        <f>IF($F884="","",IF(OR($G884="",$H884="",$I884="",$G884&lt;1300,$G884&gt;1500,$H884&lt;1,$H884&gt;12,$I884&lt;1,$I884&gt;31),"نامعتبر",RIGHT("0000"&amp;$G884,4)&amp;"/"&amp;RIGHT("00"&amp;$H884,2)&amp;"/"&amp;RIGHT("00"&amp;$I884,2)))</f>
        <v/>
      </c>
      <c r="K884">
        <f>IF(OR($F884="",$J884="",$J884="نامعتبر"),"",LEFT($J884,4)&amp;MID($J884,6,2)&amp;RIGHT($J884,2)&amp;$N884&amp;"|"&amp;"2"&amp;RIGHT("00000"&amp;879,5))</f>
        <v/>
      </c>
      <c r="L884">
        <f>IF($K884="","",COUNTIFS(LdgSellerA,$F884,LdgKeyA,"&lt;"&amp;$K884)+COUNTIFS(LdgSellerB,$F884,LdgKeyB,"&lt;"&amp;$K884)+1)</f>
        <v/>
      </c>
      <c r="M884">
        <f>IF($L884="","",$F884&amp;"|"&amp;RIGHT("000000"&amp;$L884,6))</f>
        <v/>
      </c>
      <c r="N884">
        <f>IF($F884="","",IF(Sync!$AF884="","0000",IF(AND(ISNUMBER(Sync!$AF884),Sync!$AF884&gt;=0,Sync!$AF884&lt;1),RIGHT("00"&amp;HOUR(Sync!$AF884),2)&amp;RIGHT("00"&amp;MINUTE(Sync!$AF884),2),IFERROR(RIGHT("00"&amp;VALUE(LEFT(Sync!$AF884,FIND(":",Sync!$AF884)-1)),2)&amp;RIGHT("00"&amp;VALUE(MID(Sync!$AF884,FIND(":",Sync!$AF884)+1,2)),2),"0000"))))</f>
        <v/>
      </c>
    </row>
    <row r="885">
      <c r="A885">
        <f>IF(OR(Calc!$E889="",Calc!$E889="نامعتبر",Calc!$G889=""),"",Calc!$G889)</f>
        <v/>
      </c>
      <c r="B885">
        <f>IF($A885="","",LEFT(Calc!$E889,4)&amp;MID(Calc!$E889,6,2)&amp;RIGHT(Calc!$E889,2)&amp;Calc!$Q889&amp;"|"&amp;"1"&amp;RIGHT("00000"&amp;880,5))</f>
        <v/>
      </c>
      <c r="C885">
        <f>IF($B885="","",COUNTIFS(LdgSellerA,$A885,LdgKeyA,"&lt;"&amp;$B885)+COUNTIFS(LdgSellerB,$A885,LdgKeyB,"&lt;"&amp;$B885)+1)</f>
        <v/>
      </c>
      <c r="D885">
        <f>IF($C885="","",$A885&amp;"|"&amp;RIGHT("000000"&amp;$C885,6))</f>
        <v/>
      </c>
      <c r="F885">
        <f>IF(Sync!$AH885="","",IF(LEFT(UPPER(TRIM(Sync!$AH885)),2)="SL",UPPER(TRIM(Sync!$AH885)),""))</f>
        <v/>
      </c>
      <c r="G885">
        <f>IF($F885="","",IF(Sync!$AE885="","",IF(ISNUMBER(Sync!$AE885),IF(AND(Sync!$AE885&gt;=10000101,Sync!$AE885&lt;=99991231),INT(Sync!$AE885/10000),""),IFERROR(VALUE(TRIM(LEFT(Sync!$AE885,FIND("/",Sync!$AE885)-1))),""))))</f>
        <v/>
      </c>
      <c r="H885">
        <f>IF(OR($F885="",$G885=""),"",IF(ISNUMBER(Sync!$AE885),INT(MOD(Sync!$AE885,10000)/100),IFERROR(VALUE(TRIM(LEFT(MID(Sync!$AE885,FIND("/",Sync!$AE885)+1,20),FIND("/",MID(Sync!$AE885,FIND("/",Sync!$AE885)+1,20))-1))),"")))</f>
        <v/>
      </c>
      <c r="I885">
        <f>IF(OR($F885="",$G885=""),"",IF(ISNUMBER(Sync!$AE885),MOD(Sync!$AE885,100),IFERROR(VALUE(TRIM(MID(MID(Sync!$AE885,FIND("/",Sync!$AE885)+1,20),FIND("/",MID(Sync!$AE885,FIND("/",Sync!$AE885)+1,20))+1,20))),"")))</f>
        <v/>
      </c>
      <c r="J885">
        <f>IF($F885="","",IF(OR($G885="",$H885="",$I885="",$G885&lt;1300,$G885&gt;1500,$H885&lt;1,$H885&gt;12,$I885&lt;1,$I885&gt;31),"نامعتبر",RIGHT("0000"&amp;$G885,4)&amp;"/"&amp;RIGHT("00"&amp;$H885,2)&amp;"/"&amp;RIGHT("00"&amp;$I885,2)))</f>
        <v/>
      </c>
      <c r="K885">
        <f>IF(OR($F885="",$J885="",$J885="نامعتبر"),"",LEFT($J885,4)&amp;MID($J885,6,2)&amp;RIGHT($J885,2)&amp;$N885&amp;"|"&amp;"2"&amp;RIGHT("00000"&amp;880,5))</f>
        <v/>
      </c>
      <c r="L885">
        <f>IF($K885="","",COUNTIFS(LdgSellerA,$F885,LdgKeyA,"&lt;"&amp;$K885)+COUNTIFS(LdgSellerB,$F885,LdgKeyB,"&lt;"&amp;$K885)+1)</f>
        <v/>
      </c>
      <c r="M885">
        <f>IF($L885="","",$F885&amp;"|"&amp;RIGHT("000000"&amp;$L885,6))</f>
        <v/>
      </c>
      <c r="N885">
        <f>IF($F885="","",IF(Sync!$AF885="","0000",IF(AND(ISNUMBER(Sync!$AF885),Sync!$AF885&gt;=0,Sync!$AF885&lt;1),RIGHT("00"&amp;HOUR(Sync!$AF885),2)&amp;RIGHT("00"&amp;MINUTE(Sync!$AF885),2),IFERROR(RIGHT("00"&amp;VALUE(LEFT(Sync!$AF885,FIND(":",Sync!$AF885)-1)),2)&amp;RIGHT("00"&amp;VALUE(MID(Sync!$AF885,FIND(":",Sync!$AF885)+1,2)),2),"0000"))))</f>
        <v/>
      </c>
    </row>
    <row r="886">
      <c r="A886">
        <f>IF(OR(Calc!$E890="",Calc!$E890="نامعتبر",Calc!$G890=""),"",Calc!$G890)</f>
        <v/>
      </c>
      <c r="B886">
        <f>IF($A886="","",LEFT(Calc!$E890,4)&amp;MID(Calc!$E890,6,2)&amp;RIGHT(Calc!$E890,2)&amp;Calc!$Q890&amp;"|"&amp;"1"&amp;RIGHT("00000"&amp;881,5))</f>
        <v/>
      </c>
      <c r="C886">
        <f>IF($B886="","",COUNTIFS(LdgSellerA,$A886,LdgKeyA,"&lt;"&amp;$B886)+COUNTIFS(LdgSellerB,$A886,LdgKeyB,"&lt;"&amp;$B886)+1)</f>
        <v/>
      </c>
      <c r="D886">
        <f>IF($C886="","",$A886&amp;"|"&amp;RIGHT("000000"&amp;$C886,6))</f>
        <v/>
      </c>
      <c r="F886">
        <f>IF(Sync!$AH886="","",IF(LEFT(UPPER(TRIM(Sync!$AH886)),2)="SL",UPPER(TRIM(Sync!$AH886)),""))</f>
        <v/>
      </c>
      <c r="G886">
        <f>IF($F886="","",IF(Sync!$AE886="","",IF(ISNUMBER(Sync!$AE886),IF(AND(Sync!$AE886&gt;=10000101,Sync!$AE886&lt;=99991231),INT(Sync!$AE886/10000),""),IFERROR(VALUE(TRIM(LEFT(Sync!$AE886,FIND("/",Sync!$AE886)-1))),""))))</f>
        <v/>
      </c>
      <c r="H886">
        <f>IF(OR($F886="",$G886=""),"",IF(ISNUMBER(Sync!$AE886),INT(MOD(Sync!$AE886,10000)/100),IFERROR(VALUE(TRIM(LEFT(MID(Sync!$AE886,FIND("/",Sync!$AE886)+1,20),FIND("/",MID(Sync!$AE886,FIND("/",Sync!$AE886)+1,20))-1))),"")))</f>
        <v/>
      </c>
      <c r="I886">
        <f>IF(OR($F886="",$G886=""),"",IF(ISNUMBER(Sync!$AE886),MOD(Sync!$AE886,100),IFERROR(VALUE(TRIM(MID(MID(Sync!$AE886,FIND("/",Sync!$AE886)+1,20),FIND("/",MID(Sync!$AE886,FIND("/",Sync!$AE886)+1,20))+1,20))),"")))</f>
        <v/>
      </c>
      <c r="J886">
        <f>IF($F886="","",IF(OR($G886="",$H886="",$I886="",$G886&lt;1300,$G886&gt;1500,$H886&lt;1,$H886&gt;12,$I886&lt;1,$I886&gt;31),"نامعتبر",RIGHT("0000"&amp;$G886,4)&amp;"/"&amp;RIGHT("00"&amp;$H886,2)&amp;"/"&amp;RIGHT("00"&amp;$I886,2)))</f>
        <v/>
      </c>
      <c r="K886">
        <f>IF(OR($F886="",$J886="",$J886="نامعتبر"),"",LEFT($J886,4)&amp;MID($J886,6,2)&amp;RIGHT($J886,2)&amp;$N886&amp;"|"&amp;"2"&amp;RIGHT("00000"&amp;881,5))</f>
        <v/>
      </c>
      <c r="L886">
        <f>IF($K886="","",COUNTIFS(LdgSellerA,$F886,LdgKeyA,"&lt;"&amp;$K886)+COUNTIFS(LdgSellerB,$F886,LdgKeyB,"&lt;"&amp;$K886)+1)</f>
        <v/>
      </c>
      <c r="M886">
        <f>IF($L886="","",$F886&amp;"|"&amp;RIGHT("000000"&amp;$L886,6))</f>
        <v/>
      </c>
      <c r="N886">
        <f>IF($F886="","",IF(Sync!$AF886="","0000",IF(AND(ISNUMBER(Sync!$AF886),Sync!$AF886&gt;=0,Sync!$AF886&lt;1),RIGHT("00"&amp;HOUR(Sync!$AF886),2)&amp;RIGHT("00"&amp;MINUTE(Sync!$AF886),2),IFERROR(RIGHT("00"&amp;VALUE(LEFT(Sync!$AF886,FIND(":",Sync!$AF886)-1)),2)&amp;RIGHT("00"&amp;VALUE(MID(Sync!$AF886,FIND(":",Sync!$AF886)+1,2)),2),"0000"))))</f>
        <v/>
      </c>
    </row>
    <row r="887">
      <c r="A887">
        <f>IF(OR(Calc!$E891="",Calc!$E891="نامعتبر",Calc!$G891=""),"",Calc!$G891)</f>
        <v/>
      </c>
      <c r="B887">
        <f>IF($A887="","",LEFT(Calc!$E891,4)&amp;MID(Calc!$E891,6,2)&amp;RIGHT(Calc!$E891,2)&amp;Calc!$Q891&amp;"|"&amp;"1"&amp;RIGHT("00000"&amp;882,5))</f>
        <v/>
      </c>
      <c r="C887">
        <f>IF($B887="","",COUNTIFS(LdgSellerA,$A887,LdgKeyA,"&lt;"&amp;$B887)+COUNTIFS(LdgSellerB,$A887,LdgKeyB,"&lt;"&amp;$B887)+1)</f>
        <v/>
      </c>
      <c r="D887">
        <f>IF($C887="","",$A887&amp;"|"&amp;RIGHT("000000"&amp;$C887,6))</f>
        <v/>
      </c>
      <c r="F887">
        <f>IF(Sync!$AH887="","",IF(LEFT(UPPER(TRIM(Sync!$AH887)),2)="SL",UPPER(TRIM(Sync!$AH887)),""))</f>
        <v/>
      </c>
      <c r="G887">
        <f>IF($F887="","",IF(Sync!$AE887="","",IF(ISNUMBER(Sync!$AE887),IF(AND(Sync!$AE887&gt;=10000101,Sync!$AE887&lt;=99991231),INT(Sync!$AE887/10000),""),IFERROR(VALUE(TRIM(LEFT(Sync!$AE887,FIND("/",Sync!$AE887)-1))),""))))</f>
        <v/>
      </c>
      <c r="H887">
        <f>IF(OR($F887="",$G887=""),"",IF(ISNUMBER(Sync!$AE887),INT(MOD(Sync!$AE887,10000)/100),IFERROR(VALUE(TRIM(LEFT(MID(Sync!$AE887,FIND("/",Sync!$AE887)+1,20),FIND("/",MID(Sync!$AE887,FIND("/",Sync!$AE887)+1,20))-1))),"")))</f>
        <v/>
      </c>
      <c r="I887">
        <f>IF(OR($F887="",$G887=""),"",IF(ISNUMBER(Sync!$AE887),MOD(Sync!$AE887,100),IFERROR(VALUE(TRIM(MID(MID(Sync!$AE887,FIND("/",Sync!$AE887)+1,20),FIND("/",MID(Sync!$AE887,FIND("/",Sync!$AE887)+1,20))+1,20))),"")))</f>
        <v/>
      </c>
      <c r="J887">
        <f>IF($F887="","",IF(OR($G887="",$H887="",$I887="",$G887&lt;1300,$G887&gt;1500,$H887&lt;1,$H887&gt;12,$I887&lt;1,$I887&gt;31),"نامعتبر",RIGHT("0000"&amp;$G887,4)&amp;"/"&amp;RIGHT("00"&amp;$H887,2)&amp;"/"&amp;RIGHT("00"&amp;$I887,2)))</f>
        <v/>
      </c>
      <c r="K887">
        <f>IF(OR($F887="",$J887="",$J887="نامعتبر"),"",LEFT($J887,4)&amp;MID($J887,6,2)&amp;RIGHT($J887,2)&amp;$N887&amp;"|"&amp;"2"&amp;RIGHT("00000"&amp;882,5))</f>
        <v/>
      </c>
      <c r="L887">
        <f>IF($K887="","",COUNTIFS(LdgSellerA,$F887,LdgKeyA,"&lt;"&amp;$K887)+COUNTIFS(LdgSellerB,$F887,LdgKeyB,"&lt;"&amp;$K887)+1)</f>
        <v/>
      </c>
      <c r="M887">
        <f>IF($L887="","",$F887&amp;"|"&amp;RIGHT("000000"&amp;$L887,6))</f>
        <v/>
      </c>
      <c r="N887">
        <f>IF($F887="","",IF(Sync!$AF887="","0000",IF(AND(ISNUMBER(Sync!$AF887),Sync!$AF887&gt;=0,Sync!$AF887&lt;1),RIGHT("00"&amp;HOUR(Sync!$AF887),2)&amp;RIGHT("00"&amp;MINUTE(Sync!$AF887),2),IFERROR(RIGHT("00"&amp;VALUE(LEFT(Sync!$AF887,FIND(":",Sync!$AF887)-1)),2)&amp;RIGHT("00"&amp;VALUE(MID(Sync!$AF887,FIND(":",Sync!$AF887)+1,2)),2),"0000"))))</f>
        <v/>
      </c>
    </row>
    <row r="888">
      <c r="A888">
        <f>IF(OR(Calc!$E892="",Calc!$E892="نامعتبر",Calc!$G892=""),"",Calc!$G892)</f>
        <v/>
      </c>
      <c r="B888">
        <f>IF($A888="","",LEFT(Calc!$E892,4)&amp;MID(Calc!$E892,6,2)&amp;RIGHT(Calc!$E892,2)&amp;Calc!$Q892&amp;"|"&amp;"1"&amp;RIGHT("00000"&amp;883,5))</f>
        <v/>
      </c>
      <c r="C888">
        <f>IF($B888="","",COUNTIFS(LdgSellerA,$A888,LdgKeyA,"&lt;"&amp;$B888)+COUNTIFS(LdgSellerB,$A888,LdgKeyB,"&lt;"&amp;$B888)+1)</f>
        <v/>
      </c>
      <c r="D888">
        <f>IF($C888="","",$A888&amp;"|"&amp;RIGHT("000000"&amp;$C888,6))</f>
        <v/>
      </c>
      <c r="F888">
        <f>IF(Sync!$AH888="","",IF(LEFT(UPPER(TRIM(Sync!$AH888)),2)="SL",UPPER(TRIM(Sync!$AH888)),""))</f>
        <v/>
      </c>
      <c r="G888">
        <f>IF($F888="","",IF(Sync!$AE888="","",IF(ISNUMBER(Sync!$AE888),IF(AND(Sync!$AE888&gt;=10000101,Sync!$AE888&lt;=99991231),INT(Sync!$AE888/10000),""),IFERROR(VALUE(TRIM(LEFT(Sync!$AE888,FIND("/",Sync!$AE888)-1))),""))))</f>
        <v/>
      </c>
      <c r="H888">
        <f>IF(OR($F888="",$G888=""),"",IF(ISNUMBER(Sync!$AE888),INT(MOD(Sync!$AE888,10000)/100),IFERROR(VALUE(TRIM(LEFT(MID(Sync!$AE888,FIND("/",Sync!$AE888)+1,20),FIND("/",MID(Sync!$AE888,FIND("/",Sync!$AE888)+1,20))-1))),"")))</f>
        <v/>
      </c>
      <c r="I888">
        <f>IF(OR($F888="",$G888=""),"",IF(ISNUMBER(Sync!$AE888),MOD(Sync!$AE888,100),IFERROR(VALUE(TRIM(MID(MID(Sync!$AE888,FIND("/",Sync!$AE888)+1,20),FIND("/",MID(Sync!$AE888,FIND("/",Sync!$AE888)+1,20))+1,20))),"")))</f>
        <v/>
      </c>
      <c r="J888">
        <f>IF($F888="","",IF(OR($G888="",$H888="",$I888="",$G888&lt;1300,$G888&gt;1500,$H888&lt;1,$H888&gt;12,$I888&lt;1,$I888&gt;31),"نامعتبر",RIGHT("0000"&amp;$G888,4)&amp;"/"&amp;RIGHT("00"&amp;$H888,2)&amp;"/"&amp;RIGHT("00"&amp;$I888,2)))</f>
        <v/>
      </c>
      <c r="K888">
        <f>IF(OR($F888="",$J888="",$J888="نامعتبر"),"",LEFT($J888,4)&amp;MID($J888,6,2)&amp;RIGHT($J888,2)&amp;$N888&amp;"|"&amp;"2"&amp;RIGHT("00000"&amp;883,5))</f>
        <v/>
      </c>
      <c r="L888">
        <f>IF($K888="","",COUNTIFS(LdgSellerA,$F888,LdgKeyA,"&lt;"&amp;$K888)+COUNTIFS(LdgSellerB,$F888,LdgKeyB,"&lt;"&amp;$K888)+1)</f>
        <v/>
      </c>
      <c r="M888">
        <f>IF($L888="","",$F888&amp;"|"&amp;RIGHT("000000"&amp;$L888,6))</f>
        <v/>
      </c>
      <c r="N888">
        <f>IF($F888="","",IF(Sync!$AF888="","0000",IF(AND(ISNUMBER(Sync!$AF888),Sync!$AF888&gt;=0,Sync!$AF888&lt;1),RIGHT("00"&amp;HOUR(Sync!$AF888),2)&amp;RIGHT("00"&amp;MINUTE(Sync!$AF888),2),IFERROR(RIGHT("00"&amp;VALUE(LEFT(Sync!$AF888,FIND(":",Sync!$AF888)-1)),2)&amp;RIGHT("00"&amp;VALUE(MID(Sync!$AF888,FIND(":",Sync!$AF888)+1,2)),2),"0000"))))</f>
        <v/>
      </c>
    </row>
    <row r="889">
      <c r="A889">
        <f>IF(OR(Calc!$E893="",Calc!$E893="نامعتبر",Calc!$G893=""),"",Calc!$G893)</f>
        <v/>
      </c>
      <c r="B889">
        <f>IF($A889="","",LEFT(Calc!$E893,4)&amp;MID(Calc!$E893,6,2)&amp;RIGHT(Calc!$E893,2)&amp;Calc!$Q893&amp;"|"&amp;"1"&amp;RIGHT("00000"&amp;884,5))</f>
        <v/>
      </c>
      <c r="C889">
        <f>IF($B889="","",COUNTIFS(LdgSellerA,$A889,LdgKeyA,"&lt;"&amp;$B889)+COUNTIFS(LdgSellerB,$A889,LdgKeyB,"&lt;"&amp;$B889)+1)</f>
        <v/>
      </c>
      <c r="D889">
        <f>IF($C889="","",$A889&amp;"|"&amp;RIGHT("000000"&amp;$C889,6))</f>
        <v/>
      </c>
      <c r="F889">
        <f>IF(Sync!$AH889="","",IF(LEFT(UPPER(TRIM(Sync!$AH889)),2)="SL",UPPER(TRIM(Sync!$AH889)),""))</f>
        <v/>
      </c>
      <c r="G889">
        <f>IF($F889="","",IF(Sync!$AE889="","",IF(ISNUMBER(Sync!$AE889),IF(AND(Sync!$AE889&gt;=10000101,Sync!$AE889&lt;=99991231),INT(Sync!$AE889/10000),""),IFERROR(VALUE(TRIM(LEFT(Sync!$AE889,FIND("/",Sync!$AE889)-1))),""))))</f>
        <v/>
      </c>
      <c r="H889">
        <f>IF(OR($F889="",$G889=""),"",IF(ISNUMBER(Sync!$AE889),INT(MOD(Sync!$AE889,10000)/100),IFERROR(VALUE(TRIM(LEFT(MID(Sync!$AE889,FIND("/",Sync!$AE889)+1,20),FIND("/",MID(Sync!$AE889,FIND("/",Sync!$AE889)+1,20))-1))),"")))</f>
        <v/>
      </c>
      <c r="I889">
        <f>IF(OR($F889="",$G889=""),"",IF(ISNUMBER(Sync!$AE889),MOD(Sync!$AE889,100),IFERROR(VALUE(TRIM(MID(MID(Sync!$AE889,FIND("/",Sync!$AE889)+1,20),FIND("/",MID(Sync!$AE889,FIND("/",Sync!$AE889)+1,20))+1,20))),"")))</f>
        <v/>
      </c>
      <c r="J889">
        <f>IF($F889="","",IF(OR($G889="",$H889="",$I889="",$G889&lt;1300,$G889&gt;1500,$H889&lt;1,$H889&gt;12,$I889&lt;1,$I889&gt;31),"نامعتبر",RIGHT("0000"&amp;$G889,4)&amp;"/"&amp;RIGHT("00"&amp;$H889,2)&amp;"/"&amp;RIGHT("00"&amp;$I889,2)))</f>
        <v/>
      </c>
      <c r="K889">
        <f>IF(OR($F889="",$J889="",$J889="نامعتبر"),"",LEFT($J889,4)&amp;MID($J889,6,2)&amp;RIGHT($J889,2)&amp;$N889&amp;"|"&amp;"2"&amp;RIGHT("00000"&amp;884,5))</f>
        <v/>
      </c>
      <c r="L889">
        <f>IF($K889="","",COUNTIFS(LdgSellerA,$F889,LdgKeyA,"&lt;"&amp;$K889)+COUNTIFS(LdgSellerB,$F889,LdgKeyB,"&lt;"&amp;$K889)+1)</f>
        <v/>
      </c>
      <c r="M889">
        <f>IF($L889="","",$F889&amp;"|"&amp;RIGHT("000000"&amp;$L889,6))</f>
        <v/>
      </c>
      <c r="N889">
        <f>IF($F889="","",IF(Sync!$AF889="","0000",IF(AND(ISNUMBER(Sync!$AF889),Sync!$AF889&gt;=0,Sync!$AF889&lt;1),RIGHT("00"&amp;HOUR(Sync!$AF889),2)&amp;RIGHT("00"&amp;MINUTE(Sync!$AF889),2),IFERROR(RIGHT("00"&amp;VALUE(LEFT(Sync!$AF889,FIND(":",Sync!$AF889)-1)),2)&amp;RIGHT("00"&amp;VALUE(MID(Sync!$AF889,FIND(":",Sync!$AF889)+1,2)),2),"0000"))))</f>
        <v/>
      </c>
    </row>
    <row r="890">
      <c r="A890">
        <f>IF(OR(Calc!$E894="",Calc!$E894="نامعتبر",Calc!$G894=""),"",Calc!$G894)</f>
        <v/>
      </c>
      <c r="B890">
        <f>IF($A890="","",LEFT(Calc!$E894,4)&amp;MID(Calc!$E894,6,2)&amp;RIGHT(Calc!$E894,2)&amp;Calc!$Q894&amp;"|"&amp;"1"&amp;RIGHT("00000"&amp;885,5))</f>
        <v/>
      </c>
      <c r="C890">
        <f>IF($B890="","",COUNTIFS(LdgSellerA,$A890,LdgKeyA,"&lt;"&amp;$B890)+COUNTIFS(LdgSellerB,$A890,LdgKeyB,"&lt;"&amp;$B890)+1)</f>
        <v/>
      </c>
      <c r="D890">
        <f>IF($C890="","",$A890&amp;"|"&amp;RIGHT("000000"&amp;$C890,6))</f>
        <v/>
      </c>
      <c r="F890">
        <f>IF(Sync!$AH890="","",IF(LEFT(UPPER(TRIM(Sync!$AH890)),2)="SL",UPPER(TRIM(Sync!$AH890)),""))</f>
        <v/>
      </c>
      <c r="G890">
        <f>IF($F890="","",IF(Sync!$AE890="","",IF(ISNUMBER(Sync!$AE890),IF(AND(Sync!$AE890&gt;=10000101,Sync!$AE890&lt;=99991231),INT(Sync!$AE890/10000),""),IFERROR(VALUE(TRIM(LEFT(Sync!$AE890,FIND("/",Sync!$AE890)-1))),""))))</f>
        <v/>
      </c>
      <c r="H890">
        <f>IF(OR($F890="",$G890=""),"",IF(ISNUMBER(Sync!$AE890),INT(MOD(Sync!$AE890,10000)/100),IFERROR(VALUE(TRIM(LEFT(MID(Sync!$AE890,FIND("/",Sync!$AE890)+1,20),FIND("/",MID(Sync!$AE890,FIND("/",Sync!$AE890)+1,20))-1))),"")))</f>
        <v/>
      </c>
      <c r="I890">
        <f>IF(OR($F890="",$G890=""),"",IF(ISNUMBER(Sync!$AE890),MOD(Sync!$AE890,100),IFERROR(VALUE(TRIM(MID(MID(Sync!$AE890,FIND("/",Sync!$AE890)+1,20),FIND("/",MID(Sync!$AE890,FIND("/",Sync!$AE890)+1,20))+1,20))),"")))</f>
        <v/>
      </c>
      <c r="J890">
        <f>IF($F890="","",IF(OR($G890="",$H890="",$I890="",$G890&lt;1300,$G890&gt;1500,$H890&lt;1,$H890&gt;12,$I890&lt;1,$I890&gt;31),"نامعتبر",RIGHT("0000"&amp;$G890,4)&amp;"/"&amp;RIGHT("00"&amp;$H890,2)&amp;"/"&amp;RIGHT("00"&amp;$I890,2)))</f>
        <v/>
      </c>
      <c r="K890">
        <f>IF(OR($F890="",$J890="",$J890="نامعتبر"),"",LEFT($J890,4)&amp;MID($J890,6,2)&amp;RIGHT($J890,2)&amp;$N890&amp;"|"&amp;"2"&amp;RIGHT("00000"&amp;885,5))</f>
        <v/>
      </c>
      <c r="L890">
        <f>IF($K890="","",COUNTIFS(LdgSellerA,$F890,LdgKeyA,"&lt;"&amp;$K890)+COUNTIFS(LdgSellerB,$F890,LdgKeyB,"&lt;"&amp;$K890)+1)</f>
        <v/>
      </c>
      <c r="M890">
        <f>IF($L890="","",$F890&amp;"|"&amp;RIGHT("000000"&amp;$L890,6))</f>
        <v/>
      </c>
      <c r="N890">
        <f>IF($F890="","",IF(Sync!$AF890="","0000",IF(AND(ISNUMBER(Sync!$AF890),Sync!$AF890&gt;=0,Sync!$AF890&lt;1),RIGHT("00"&amp;HOUR(Sync!$AF890),2)&amp;RIGHT("00"&amp;MINUTE(Sync!$AF890),2),IFERROR(RIGHT("00"&amp;VALUE(LEFT(Sync!$AF890,FIND(":",Sync!$AF890)-1)),2)&amp;RIGHT("00"&amp;VALUE(MID(Sync!$AF890,FIND(":",Sync!$AF890)+1,2)),2),"0000"))))</f>
        <v/>
      </c>
    </row>
    <row r="891">
      <c r="A891">
        <f>IF(OR(Calc!$E895="",Calc!$E895="نامعتبر",Calc!$G895=""),"",Calc!$G895)</f>
        <v/>
      </c>
      <c r="B891">
        <f>IF($A891="","",LEFT(Calc!$E895,4)&amp;MID(Calc!$E895,6,2)&amp;RIGHT(Calc!$E895,2)&amp;Calc!$Q895&amp;"|"&amp;"1"&amp;RIGHT("00000"&amp;886,5))</f>
        <v/>
      </c>
      <c r="C891">
        <f>IF($B891="","",COUNTIFS(LdgSellerA,$A891,LdgKeyA,"&lt;"&amp;$B891)+COUNTIFS(LdgSellerB,$A891,LdgKeyB,"&lt;"&amp;$B891)+1)</f>
        <v/>
      </c>
      <c r="D891">
        <f>IF($C891="","",$A891&amp;"|"&amp;RIGHT("000000"&amp;$C891,6))</f>
        <v/>
      </c>
      <c r="F891">
        <f>IF(Sync!$AH891="","",IF(LEFT(UPPER(TRIM(Sync!$AH891)),2)="SL",UPPER(TRIM(Sync!$AH891)),""))</f>
        <v/>
      </c>
      <c r="G891">
        <f>IF($F891="","",IF(Sync!$AE891="","",IF(ISNUMBER(Sync!$AE891),IF(AND(Sync!$AE891&gt;=10000101,Sync!$AE891&lt;=99991231),INT(Sync!$AE891/10000),""),IFERROR(VALUE(TRIM(LEFT(Sync!$AE891,FIND("/",Sync!$AE891)-1))),""))))</f>
        <v/>
      </c>
      <c r="H891">
        <f>IF(OR($F891="",$G891=""),"",IF(ISNUMBER(Sync!$AE891),INT(MOD(Sync!$AE891,10000)/100),IFERROR(VALUE(TRIM(LEFT(MID(Sync!$AE891,FIND("/",Sync!$AE891)+1,20),FIND("/",MID(Sync!$AE891,FIND("/",Sync!$AE891)+1,20))-1))),"")))</f>
        <v/>
      </c>
      <c r="I891">
        <f>IF(OR($F891="",$G891=""),"",IF(ISNUMBER(Sync!$AE891),MOD(Sync!$AE891,100),IFERROR(VALUE(TRIM(MID(MID(Sync!$AE891,FIND("/",Sync!$AE891)+1,20),FIND("/",MID(Sync!$AE891,FIND("/",Sync!$AE891)+1,20))+1,20))),"")))</f>
        <v/>
      </c>
      <c r="J891">
        <f>IF($F891="","",IF(OR($G891="",$H891="",$I891="",$G891&lt;1300,$G891&gt;1500,$H891&lt;1,$H891&gt;12,$I891&lt;1,$I891&gt;31),"نامعتبر",RIGHT("0000"&amp;$G891,4)&amp;"/"&amp;RIGHT("00"&amp;$H891,2)&amp;"/"&amp;RIGHT("00"&amp;$I891,2)))</f>
        <v/>
      </c>
      <c r="K891">
        <f>IF(OR($F891="",$J891="",$J891="نامعتبر"),"",LEFT($J891,4)&amp;MID($J891,6,2)&amp;RIGHT($J891,2)&amp;$N891&amp;"|"&amp;"2"&amp;RIGHT("00000"&amp;886,5))</f>
        <v/>
      </c>
      <c r="L891">
        <f>IF($K891="","",COUNTIFS(LdgSellerA,$F891,LdgKeyA,"&lt;"&amp;$K891)+COUNTIFS(LdgSellerB,$F891,LdgKeyB,"&lt;"&amp;$K891)+1)</f>
        <v/>
      </c>
      <c r="M891">
        <f>IF($L891="","",$F891&amp;"|"&amp;RIGHT("000000"&amp;$L891,6))</f>
        <v/>
      </c>
      <c r="N891">
        <f>IF($F891="","",IF(Sync!$AF891="","0000",IF(AND(ISNUMBER(Sync!$AF891),Sync!$AF891&gt;=0,Sync!$AF891&lt;1),RIGHT("00"&amp;HOUR(Sync!$AF891),2)&amp;RIGHT("00"&amp;MINUTE(Sync!$AF891),2),IFERROR(RIGHT("00"&amp;VALUE(LEFT(Sync!$AF891,FIND(":",Sync!$AF891)-1)),2)&amp;RIGHT("00"&amp;VALUE(MID(Sync!$AF891,FIND(":",Sync!$AF891)+1,2)),2),"0000"))))</f>
        <v/>
      </c>
    </row>
    <row r="892">
      <c r="A892">
        <f>IF(OR(Calc!$E896="",Calc!$E896="نامعتبر",Calc!$G896=""),"",Calc!$G896)</f>
        <v/>
      </c>
      <c r="B892">
        <f>IF($A892="","",LEFT(Calc!$E896,4)&amp;MID(Calc!$E896,6,2)&amp;RIGHT(Calc!$E896,2)&amp;Calc!$Q896&amp;"|"&amp;"1"&amp;RIGHT("00000"&amp;887,5))</f>
        <v/>
      </c>
      <c r="C892">
        <f>IF($B892="","",COUNTIFS(LdgSellerA,$A892,LdgKeyA,"&lt;"&amp;$B892)+COUNTIFS(LdgSellerB,$A892,LdgKeyB,"&lt;"&amp;$B892)+1)</f>
        <v/>
      </c>
      <c r="D892">
        <f>IF($C892="","",$A892&amp;"|"&amp;RIGHT("000000"&amp;$C892,6))</f>
        <v/>
      </c>
      <c r="F892">
        <f>IF(Sync!$AH892="","",IF(LEFT(UPPER(TRIM(Sync!$AH892)),2)="SL",UPPER(TRIM(Sync!$AH892)),""))</f>
        <v/>
      </c>
      <c r="G892">
        <f>IF($F892="","",IF(Sync!$AE892="","",IF(ISNUMBER(Sync!$AE892),IF(AND(Sync!$AE892&gt;=10000101,Sync!$AE892&lt;=99991231),INT(Sync!$AE892/10000),""),IFERROR(VALUE(TRIM(LEFT(Sync!$AE892,FIND("/",Sync!$AE892)-1))),""))))</f>
        <v/>
      </c>
      <c r="H892">
        <f>IF(OR($F892="",$G892=""),"",IF(ISNUMBER(Sync!$AE892),INT(MOD(Sync!$AE892,10000)/100),IFERROR(VALUE(TRIM(LEFT(MID(Sync!$AE892,FIND("/",Sync!$AE892)+1,20),FIND("/",MID(Sync!$AE892,FIND("/",Sync!$AE892)+1,20))-1))),"")))</f>
        <v/>
      </c>
      <c r="I892">
        <f>IF(OR($F892="",$G892=""),"",IF(ISNUMBER(Sync!$AE892),MOD(Sync!$AE892,100),IFERROR(VALUE(TRIM(MID(MID(Sync!$AE892,FIND("/",Sync!$AE892)+1,20),FIND("/",MID(Sync!$AE892,FIND("/",Sync!$AE892)+1,20))+1,20))),"")))</f>
        <v/>
      </c>
      <c r="J892">
        <f>IF($F892="","",IF(OR($G892="",$H892="",$I892="",$G892&lt;1300,$G892&gt;1500,$H892&lt;1,$H892&gt;12,$I892&lt;1,$I892&gt;31),"نامعتبر",RIGHT("0000"&amp;$G892,4)&amp;"/"&amp;RIGHT("00"&amp;$H892,2)&amp;"/"&amp;RIGHT("00"&amp;$I892,2)))</f>
        <v/>
      </c>
      <c r="K892">
        <f>IF(OR($F892="",$J892="",$J892="نامعتبر"),"",LEFT($J892,4)&amp;MID($J892,6,2)&amp;RIGHT($J892,2)&amp;$N892&amp;"|"&amp;"2"&amp;RIGHT("00000"&amp;887,5))</f>
        <v/>
      </c>
      <c r="L892">
        <f>IF($K892="","",COUNTIFS(LdgSellerA,$F892,LdgKeyA,"&lt;"&amp;$K892)+COUNTIFS(LdgSellerB,$F892,LdgKeyB,"&lt;"&amp;$K892)+1)</f>
        <v/>
      </c>
      <c r="M892">
        <f>IF($L892="","",$F892&amp;"|"&amp;RIGHT("000000"&amp;$L892,6))</f>
        <v/>
      </c>
      <c r="N892">
        <f>IF($F892="","",IF(Sync!$AF892="","0000",IF(AND(ISNUMBER(Sync!$AF892),Sync!$AF892&gt;=0,Sync!$AF892&lt;1),RIGHT("00"&amp;HOUR(Sync!$AF892),2)&amp;RIGHT("00"&amp;MINUTE(Sync!$AF892),2),IFERROR(RIGHT("00"&amp;VALUE(LEFT(Sync!$AF892,FIND(":",Sync!$AF892)-1)),2)&amp;RIGHT("00"&amp;VALUE(MID(Sync!$AF892,FIND(":",Sync!$AF892)+1,2)),2),"0000"))))</f>
        <v/>
      </c>
    </row>
    <row r="893">
      <c r="A893">
        <f>IF(OR(Calc!$E897="",Calc!$E897="نامعتبر",Calc!$G897=""),"",Calc!$G897)</f>
        <v/>
      </c>
      <c r="B893">
        <f>IF($A893="","",LEFT(Calc!$E897,4)&amp;MID(Calc!$E897,6,2)&amp;RIGHT(Calc!$E897,2)&amp;Calc!$Q897&amp;"|"&amp;"1"&amp;RIGHT("00000"&amp;888,5))</f>
        <v/>
      </c>
      <c r="C893">
        <f>IF($B893="","",COUNTIFS(LdgSellerA,$A893,LdgKeyA,"&lt;"&amp;$B893)+COUNTIFS(LdgSellerB,$A893,LdgKeyB,"&lt;"&amp;$B893)+1)</f>
        <v/>
      </c>
      <c r="D893">
        <f>IF($C893="","",$A893&amp;"|"&amp;RIGHT("000000"&amp;$C893,6))</f>
        <v/>
      </c>
      <c r="F893">
        <f>IF(Sync!$AH893="","",IF(LEFT(UPPER(TRIM(Sync!$AH893)),2)="SL",UPPER(TRIM(Sync!$AH893)),""))</f>
        <v/>
      </c>
      <c r="G893">
        <f>IF($F893="","",IF(Sync!$AE893="","",IF(ISNUMBER(Sync!$AE893),IF(AND(Sync!$AE893&gt;=10000101,Sync!$AE893&lt;=99991231),INT(Sync!$AE893/10000),""),IFERROR(VALUE(TRIM(LEFT(Sync!$AE893,FIND("/",Sync!$AE893)-1))),""))))</f>
        <v/>
      </c>
      <c r="H893">
        <f>IF(OR($F893="",$G893=""),"",IF(ISNUMBER(Sync!$AE893),INT(MOD(Sync!$AE893,10000)/100),IFERROR(VALUE(TRIM(LEFT(MID(Sync!$AE893,FIND("/",Sync!$AE893)+1,20),FIND("/",MID(Sync!$AE893,FIND("/",Sync!$AE893)+1,20))-1))),"")))</f>
        <v/>
      </c>
      <c r="I893">
        <f>IF(OR($F893="",$G893=""),"",IF(ISNUMBER(Sync!$AE893),MOD(Sync!$AE893,100),IFERROR(VALUE(TRIM(MID(MID(Sync!$AE893,FIND("/",Sync!$AE893)+1,20),FIND("/",MID(Sync!$AE893,FIND("/",Sync!$AE893)+1,20))+1,20))),"")))</f>
        <v/>
      </c>
      <c r="J893">
        <f>IF($F893="","",IF(OR($G893="",$H893="",$I893="",$G893&lt;1300,$G893&gt;1500,$H893&lt;1,$H893&gt;12,$I893&lt;1,$I893&gt;31),"نامعتبر",RIGHT("0000"&amp;$G893,4)&amp;"/"&amp;RIGHT("00"&amp;$H893,2)&amp;"/"&amp;RIGHT("00"&amp;$I893,2)))</f>
        <v/>
      </c>
      <c r="K893">
        <f>IF(OR($F893="",$J893="",$J893="نامعتبر"),"",LEFT($J893,4)&amp;MID($J893,6,2)&amp;RIGHT($J893,2)&amp;$N893&amp;"|"&amp;"2"&amp;RIGHT("00000"&amp;888,5))</f>
        <v/>
      </c>
      <c r="L893">
        <f>IF($K893="","",COUNTIFS(LdgSellerA,$F893,LdgKeyA,"&lt;"&amp;$K893)+COUNTIFS(LdgSellerB,$F893,LdgKeyB,"&lt;"&amp;$K893)+1)</f>
        <v/>
      </c>
      <c r="M893">
        <f>IF($L893="","",$F893&amp;"|"&amp;RIGHT("000000"&amp;$L893,6))</f>
        <v/>
      </c>
      <c r="N893">
        <f>IF($F893="","",IF(Sync!$AF893="","0000",IF(AND(ISNUMBER(Sync!$AF893),Sync!$AF893&gt;=0,Sync!$AF893&lt;1),RIGHT("00"&amp;HOUR(Sync!$AF893),2)&amp;RIGHT("00"&amp;MINUTE(Sync!$AF893),2),IFERROR(RIGHT("00"&amp;VALUE(LEFT(Sync!$AF893,FIND(":",Sync!$AF893)-1)),2)&amp;RIGHT("00"&amp;VALUE(MID(Sync!$AF893,FIND(":",Sync!$AF893)+1,2)),2),"0000"))))</f>
        <v/>
      </c>
    </row>
    <row r="894">
      <c r="A894">
        <f>IF(OR(Calc!$E898="",Calc!$E898="نامعتبر",Calc!$G898=""),"",Calc!$G898)</f>
        <v/>
      </c>
      <c r="B894">
        <f>IF($A894="","",LEFT(Calc!$E898,4)&amp;MID(Calc!$E898,6,2)&amp;RIGHT(Calc!$E898,2)&amp;Calc!$Q898&amp;"|"&amp;"1"&amp;RIGHT("00000"&amp;889,5))</f>
        <v/>
      </c>
      <c r="C894">
        <f>IF($B894="","",COUNTIFS(LdgSellerA,$A894,LdgKeyA,"&lt;"&amp;$B894)+COUNTIFS(LdgSellerB,$A894,LdgKeyB,"&lt;"&amp;$B894)+1)</f>
        <v/>
      </c>
      <c r="D894">
        <f>IF($C894="","",$A894&amp;"|"&amp;RIGHT("000000"&amp;$C894,6))</f>
        <v/>
      </c>
      <c r="F894">
        <f>IF(Sync!$AH894="","",IF(LEFT(UPPER(TRIM(Sync!$AH894)),2)="SL",UPPER(TRIM(Sync!$AH894)),""))</f>
        <v/>
      </c>
      <c r="G894">
        <f>IF($F894="","",IF(Sync!$AE894="","",IF(ISNUMBER(Sync!$AE894),IF(AND(Sync!$AE894&gt;=10000101,Sync!$AE894&lt;=99991231),INT(Sync!$AE894/10000),""),IFERROR(VALUE(TRIM(LEFT(Sync!$AE894,FIND("/",Sync!$AE894)-1))),""))))</f>
        <v/>
      </c>
      <c r="H894">
        <f>IF(OR($F894="",$G894=""),"",IF(ISNUMBER(Sync!$AE894),INT(MOD(Sync!$AE894,10000)/100),IFERROR(VALUE(TRIM(LEFT(MID(Sync!$AE894,FIND("/",Sync!$AE894)+1,20),FIND("/",MID(Sync!$AE894,FIND("/",Sync!$AE894)+1,20))-1))),"")))</f>
        <v/>
      </c>
      <c r="I894">
        <f>IF(OR($F894="",$G894=""),"",IF(ISNUMBER(Sync!$AE894),MOD(Sync!$AE894,100),IFERROR(VALUE(TRIM(MID(MID(Sync!$AE894,FIND("/",Sync!$AE894)+1,20),FIND("/",MID(Sync!$AE894,FIND("/",Sync!$AE894)+1,20))+1,20))),"")))</f>
        <v/>
      </c>
      <c r="J894">
        <f>IF($F894="","",IF(OR($G894="",$H894="",$I894="",$G894&lt;1300,$G894&gt;1500,$H894&lt;1,$H894&gt;12,$I894&lt;1,$I894&gt;31),"نامعتبر",RIGHT("0000"&amp;$G894,4)&amp;"/"&amp;RIGHT("00"&amp;$H894,2)&amp;"/"&amp;RIGHT("00"&amp;$I894,2)))</f>
        <v/>
      </c>
      <c r="K894">
        <f>IF(OR($F894="",$J894="",$J894="نامعتبر"),"",LEFT($J894,4)&amp;MID($J894,6,2)&amp;RIGHT($J894,2)&amp;$N894&amp;"|"&amp;"2"&amp;RIGHT("00000"&amp;889,5))</f>
        <v/>
      </c>
      <c r="L894">
        <f>IF($K894="","",COUNTIFS(LdgSellerA,$F894,LdgKeyA,"&lt;"&amp;$K894)+COUNTIFS(LdgSellerB,$F894,LdgKeyB,"&lt;"&amp;$K894)+1)</f>
        <v/>
      </c>
      <c r="M894">
        <f>IF($L894="","",$F894&amp;"|"&amp;RIGHT("000000"&amp;$L894,6))</f>
        <v/>
      </c>
      <c r="N894">
        <f>IF($F894="","",IF(Sync!$AF894="","0000",IF(AND(ISNUMBER(Sync!$AF894),Sync!$AF894&gt;=0,Sync!$AF894&lt;1),RIGHT("00"&amp;HOUR(Sync!$AF894),2)&amp;RIGHT("00"&amp;MINUTE(Sync!$AF894),2),IFERROR(RIGHT("00"&amp;VALUE(LEFT(Sync!$AF894,FIND(":",Sync!$AF894)-1)),2)&amp;RIGHT("00"&amp;VALUE(MID(Sync!$AF894,FIND(":",Sync!$AF894)+1,2)),2),"0000"))))</f>
        <v/>
      </c>
    </row>
    <row r="895">
      <c r="A895">
        <f>IF(OR(Calc!$E899="",Calc!$E899="نامعتبر",Calc!$G899=""),"",Calc!$G899)</f>
        <v/>
      </c>
      <c r="B895">
        <f>IF($A895="","",LEFT(Calc!$E899,4)&amp;MID(Calc!$E899,6,2)&amp;RIGHT(Calc!$E899,2)&amp;Calc!$Q899&amp;"|"&amp;"1"&amp;RIGHT("00000"&amp;890,5))</f>
        <v/>
      </c>
      <c r="C895">
        <f>IF($B895="","",COUNTIFS(LdgSellerA,$A895,LdgKeyA,"&lt;"&amp;$B895)+COUNTIFS(LdgSellerB,$A895,LdgKeyB,"&lt;"&amp;$B895)+1)</f>
        <v/>
      </c>
      <c r="D895">
        <f>IF($C895="","",$A895&amp;"|"&amp;RIGHT("000000"&amp;$C895,6))</f>
        <v/>
      </c>
      <c r="F895">
        <f>IF(Sync!$AH895="","",IF(LEFT(UPPER(TRIM(Sync!$AH895)),2)="SL",UPPER(TRIM(Sync!$AH895)),""))</f>
        <v/>
      </c>
      <c r="G895">
        <f>IF($F895="","",IF(Sync!$AE895="","",IF(ISNUMBER(Sync!$AE895),IF(AND(Sync!$AE895&gt;=10000101,Sync!$AE895&lt;=99991231),INT(Sync!$AE895/10000),""),IFERROR(VALUE(TRIM(LEFT(Sync!$AE895,FIND("/",Sync!$AE895)-1))),""))))</f>
        <v/>
      </c>
      <c r="H895">
        <f>IF(OR($F895="",$G895=""),"",IF(ISNUMBER(Sync!$AE895),INT(MOD(Sync!$AE895,10000)/100),IFERROR(VALUE(TRIM(LEFT(MID(Sync!$AE895,FIND("/",Sync!$AE895)+1,20),FIND("/",MID(Sync!$AE895,FIND("/",Sync!$AE895)+1,20))-1))),"")))</f>
        <v/>
      </c>
      <c r="I895">
        <f>IF(OR($F895="",$G895=""),"",IF(ISNUMBER(Sync!$AE895),MOD(Sync!$AE895,100),IFERROR(VALUE(TRIM(MID(MID(Sync!$AE895,FIND("/",Sync!$AE895)+1,20),FIND("/",MID(Sync!$AE895,FIND("/",Sync!$AE895)+1,20))+1,20))),"")))</f>
        <v/>
      </c>
      <c r="J895">
        <f>IF($F895="","",IF(OR($G895="",$H895="",$I895="",$G895&lt;1300,$G895&gt;1500,$H895&lt;1,$H895&gt;12,$I895&lt;1,$I895&gt;31),"نامعتبر",RIGHT("0000"&amp;$G895,4)&amp;"/"&amp;RIGHT("00"&amp;$H895,2)&amp;"/"&amp;RIGHT("00"&amp;$I895,2)))</f>
        <v/>
      </c>
      <c r="K895">
        <f>IF(OR($F895="",$J895="",$J895="نامعتبر"),"",LEFT($J895,4)&amp;MID($J895,6,2)&amp;RIGHT($J895,2)&amp;$N895&amp;"|"&amp;"2"&amp;RIGHT("00000"&amp;890,5))</f>
        <v/>
      </c>
      <c r="L895">
        <f>IF($K895="","",COUNTIFS(LdgSellerA,$F895,LdgKeyA,"&lt;"&amp;$K895)+COUNTIFS(LdgSellerB,$F895,LdgKeyB,"&lt;"&amp;$K895)+1)</f>
        <v/>
      </c>
      <c r="M895">
        <f>IF($L895="","",$F895&amp;"|"&amp;RIGHT("000000"&amp;$L895,6))</f>
        <v/>
      </c>
      <c r="N895">
        <f>IF($F895="","",IF(Sync!$AF895="","0000",IF(AND(ISNUMBER(Sync!$AF895),Sync!$AF895&gt;=0,Sync!$AF895&lt;1),RIGHT("00"&amp;HOUR(Sync!$AF895),2)&amp;RIGHT("00"&amp;MINUTE(Sync!$AF895),2),IFERROR(RIGHT("00"&amp;VALUE(LEFT(Sync!$AF895,FIND(":",Sync!$AF895)-1)),2)&amp;RIGHT("00"&amp;VALUE(MID(Sync!$AF895,FIND(":",Sync!$AF895)+1,2)),2),"0000"))))</f>
        <v/>
      </c>
    </row>
    <row r="896">
      <c r="A896">
        <f>IF(OR(Calc!$E900="",Calc!$E900="نامعتبر",Calc!$G900=""),"",Calc!$G900)</f>
        <v/>
      </c>
      <c r="B896">
        <f>IF($A896="","",LEFT(Calc!$E900,4)&amp;MID(Calc!$E900,6,2)&amp;RIGHT(Calc!$E900,2)&amp;Calc!$Q900&amp;"|"&amp;"1"&amp;RIGHT("00000"&amp;891,5))</f>
        <v/>
      </c>
      <c r="C896">
        <f>IF($B896="","",COUNTIFS(LdgSellerA,$A896,LdgKeyA,"&lt;"&amp;$B896)+COUNTIFS(LdgSellerB,$A896,LdgKeyB,"&lt;"&amp;$B896)+1)</f>
        <v/>
      </c>
      <c r="D896">
        <f>IF($C896="","",$A896&amp;"|"&amp;RIGHT("000000"&amp;$C896,6))</f>
        <v/>
      </c>
      <c r="F896">
        <f>IF(Sync!$AH896="","",IF(LEFT(UPPER(TRIM(Sync!$AH896)),2)="SL",UPPER(TRIM(Sync!$AH896)),""))</f>
        <v/>
      </c>
      <c r="G896">
        <f>IF($F896="","",IF(Sync!$AE896="","",IF(ISNUMBER(Sync!$AE896),IF(AND(Sync!$AE896&gt;=10000101,Sync!$AE896&lt;=99991231),INT(Sync!$AE896/10000),""),IFERROR(VALUE(TRIM(LEFT(Sync!$AE896,FIND("/",Sync!$AE896)-1))),""))))</f>
        <v/>
      </c>
      <c r="H896">
        <f>IF(OR($F896="",$G896=""),"",IF(ISNUMBER(Sync!$AE896),INT(MOD(Sync!$AE896,10000)/100),IFERROR(VALUE(TRIM(LEFT(MID(Sync!$AE896,FIND("/",Sync!$AE896)+1,20),FIND("/",MID(Sync!$AE896,FIND("/",Sync!$AE896)+1,20))-1))),"")))</f>
        <v/>
      </c>
      <c r="I896">
        <f>IF(OR($F896="",$G896=""),"",IF(ISNUMBER(Sync!$AE896),MOD(Sync!$AE896,100),IFERROR(VALUE(TRIM(MID(MID(Sync!$AE896,FIND("/",Sync!$AE896)+1,20),FIND("/",MID(Sync!$AE896,FIND("/",Sync!$AE896)+1,20))+1,20))),"")))</f>
        <v/>
      </c>
      <c r="J896">
        <f>IF($F896="","",IF(OR($G896="",$H896="",$I896="",$G896&lt;1300,$G896&gt;1500,$H896&lt;1,$H896&gt;12,$I896&lt;1,$I896&gt;31),"نامعتبر",RIGHT("0000"&amp;$G896,4)&amp;"/"&amp;RIGHT("00"&amp;$H896,2)&amp;"/"&amp;RIGHT("00"&amp;$I896,2)))</f>
        <v/>
      </c>
      <c r="K896">
        <f>IF(OR($F896="",$J896="",$J896="نامعتبر"),"",LEFT($J896,4)&amp;MID($J896,6,2)&amp;RIGHT($J896,2)&amp;$N896&amp;"|"&amp;"2"&amp;RIGHT("00000"&amp;891,5))</f>
        <v/>
      </c>
      <c r="L896">
        <f>IF($K896="","",COUNTIFS(LdgSellerA,$F896,LdgKeyA,"&lt;"&amp;$K896)+COUNTIFS(LdgSellerB,$F896,LdgKeyB,"&lt;"&amp;$K896)+1)</f>
        <v/>
      </c>
      <c r="M896">
        <f>IF($L896="","",$F896&amp;"|"&amp;RIGHT("000000"&amp;$L896,6))</f>
        <v/>
      </c>
      <c r="N896">
        <f>IF($F896="","",IF(Sync!$AF896="","0000",IF(AND(ISNUMBER(Sync!$AF896),Sync!$AF896&gt;=0,Sync!$AF896&lt;1),RIGHT("00"&amp;HOUR(Sync!$AF896),2)&amp;RIGHT("00"&amp;MINUTE(Sync!$AF896),2),IFERROR(RIGHT("00"&amp;VALUE(LEFT(Sync!$AF896,FIND(":",Sync!$AF896)-1)),2)&amp;RIGHT("00"&amp;VALUE(MID(Sync!$AF896,FIND(":",Sync!$AF896)+1,2)),2),"0000"))))</f>
        <v/>
      </c>
    </row>
    <row r="897">
      <c r="A897">
        <f>IF(OR(Calc!$E901="",Calc!$E901="نامعتبر",Calc!$G901=""),"",Calc!$G901)</f>
        <v/>
      </c>
      <c r="B897">
        <f>IF($A897="","",LEFT(Calc!$E901,4)&amp;MID(Calc!$E901,6,2)&amp;RIGHT(Calc!$E901,2)&amp;Calc!$Q901&amp;"|"&amp;"1"&amp;RIGHT("00000"&amp;892,5))</f>
        <v/>
      </c>
      <c r="C897">
        <f>IF($B897="","",COUNTIFS(LdgSellerA,$A897,LdgKeyA,"&lt;"&amp;$B897)+COUNTIFS(LdgSellerB,$A897,LdgKeyB,"&lt;"&amp;$B897)+1)</f>
        <v/>
      </c>
      <c r="D897">
        <f>IF($C897="","",$A897&amp;"|"&amp;RIGHT("000000"&amp;$C897,6))</f>
        <v/>
      </c>
      <c r="F897">
        <f>IF(Sync!$AH897="","",IF(LEFT(UPPER(TRIM(Sync!$AH897)),2)="SL",UPPER(TRIM(Sync!$AH897)),""))</f>
        <v/>
      </c>
      <c r="G897">
        <f>IF($F897="","",IF(Sync!$AE897="","",IF(ISNUMBER(Sync!$AE897),IF(AND(Sync!$AE897&gt;=10000101,Sync!$AE897&lt;=99991231),INT(Sync!$AE897/10000),""),IFERROR(VALUE(TRIM(LEFT(Sync!$AE897,FIND("/",Sync!$AE897)-1))),""))))</f>
        <v/>
      </c>
      <c r="H897">
        <f>IF(OR($F897="",$G897=""),"",IF(ISNUMBER(Sync!$AE897),INT(MOD(Sync!$AE897,10000)/100),IFERROR(VALUE(TRIM(LEFT(MID(Sync!$AE897,FIND("/",Sync!$AE897)+1,20),FIND("/",MID(Sync!$AE897,FIND("/",Sync!$AE897)+1,20))-1))),"")))</f>
        <v/>
      </c>
      <c r="I897">
        <f>IF(OR($F897="",$G897=""),"",IF(ISNUMBER(Sync!$AE897),MOD(Sync!$AE897,100),IFERROR(VALUE(TRIM(MID(MID(Sync!$AE897,FIND("/",Sync!$AE897)+1,20),FIND("/",MID(Sync!$AE897,FIND("/",Sync!$AE897)+1,20))+1,20))),"")))</f>
        <v/>
      </c>
      <c r="J897">
        <f>IF($F897="","",IF(OR($G897="",$H897="",$I897="",$G897&lt;1300,$G897&gt;1500,$H897&lt;1,$H897&gt;12,$I897&lt;1,$I897&gt;31),"نامعتبر",RIGHT("0000"&amp;$G897,4)&amp;"/"&amp;RIGHT("00"&amp;$H897,2)&amp;"/"&amp;RIGHT("00"&amp;$I897,2)))</f>
        <v/>
      </c>
      <c r="K897">
        <f>IF(OR($F897="",$J897="",$J897="نامعتبر"),"",LEFT($J897,4)&amp;MID($J897,6,2)&amp;RIGHT($J897,2)&amp;$N897&amp;"|"&amp;"2"&amp;RIGHT("00000"&amp;892,5))</f>
        <v/>
      </c>
      <c r="L897">
        <f>IF($K897="","",COUNTIFS(LdgSellerA,$F897,LdgKeyA,"&lt;"&amp;$K897)+COUNTIFS(LdgSellerB,$F897,LdgKeyB,"&lt;"&amp;$K897)+1)</f>
        <v/>
      </c>
      <c r="M897">
        <f>IF($L897="","",$F897&amp;"|"&amp;RIGHT("000000"&amp;$L897,6))</f>
        <v/>
      </c>
      <c r="N897">
        <f>IF($F897="","",IF(Sync!$AF897="","0000",IF(AND(ISNUMBER(Sync!$AF897),Sync!$AF897&gt;=0,Sync!$AF897&lt;1),RIGHT("00"&amp;HOUR(Sync!$AF897),2)&amp;RIGHT("00"&amp;MINUTE(Sync!$AF897),2),IFERROR(RIGHT("00"&amp;VALUE(LEFT(Sync!$AF897,FIND(":",Sync!$AF897)-1)),2)&amp;RIGHT("00"&amp;VALUE(MID(Sync!$AF897,FIND(":",Sync!$AF897)+1,2)),2),"0000"))))</f>
        <v/>
      </c>
    </row>
    <row r="898">
      <c r="A898">
        <f>IF(OR(Calc!$E902="",Calc!$E902="نامعتبر",Calc!$G902=""),"",Calc!$G902)</f>
        <v/>
      </c>
      <c r="B898">
        <f>IF($A898="","",LEFT(Calc!$E902,4)&amp;MID(Calc!$E902,6,2)&amp;RIGHT(Calc!$E902,2)&amp;Calc!$Q902&amp;"|"&amp;"1"&amp;RIGHT("00000"&amp;893,5))</f>
        <v/>
      </c>
      <c r="C898">
        <f>IF($B898="","",COUNTIFS(LdgSellerA,$A898,LdgKeyA,"&lt;"&amp;$B898)+COUNTIFS(LdgSellerB,$A898,LdgKeyB,"&lt;"&amp;$B898)+1)</f>
        <v/>
      </c>
      <c r="D898">
        <f>IF($C898="","",$A898&amp;"|"&amp;RIGHT("000000"&amp;$C898,6))</f>
        <v/>
      </c>
      <c r="F898">
        <f>IF(Sync!$AH898="","",IF(LEFT(UPPER(TRIM(Sync!$AH898)),2)="SL",UPPER(TRIM(Sync!$AH898)),""))</f>
        <v/>
      </c>
      <c r="G898">
        <f>IF($F898="","",IF(Sync!$AE898="","",IF(ISNUMBER(Sync!$AE898),IF(AND(Sync!$AE898&gt;=10000101,Sync!$AE898&lt;=99991231),INT(Sync!$AE898/10000),""),IFERROR(VALUE(TRIM(LEFT(Sync!$AE898,FIND("/",Sync!$AE898)-1))),""))))</f>
        <v/>
      </c>
      <c r="H898">
        <f>IF(OR($F898="",$G898=""),"",IF(ISNUMBER(Sync!$AE898),INT(MOD(Sync!$AE898,10000)/100),IFERROR(VALUE(TRIM(LEFT(MID(Sync!$AE898,FIND("/",Sync!$AE898)+1,20),FIND("/",MID(Sync!$AE898,FIND("/",Sync!$AE898)+1,20))-1))),"")))</f>
        <v/>
      </c>
      <c r="I898">
        <f>IF(OR($F898="",$G898=""),"",IF(ISNUMBER(Sync!$AE898),MOD(Sync!$AE898,100),IFERROR(VALUE(TRIM(MID(MID(Sync!$AE898,FIND("/",Sync!$AE898)+1,20),FIND("/",MID(Sync!$AE898,FIND("/",Sync!$AE898)+1,20))+1,20))),"")))</f>
        <v/>
      </c>
      <c r="J898">
        <f>IF($F898="","",IF(OR($G898="",$H898="",$I898="",$G898&lt;1300,$G898&gt;1500,$H898&lt;1,$H898&gt;12,$I898&lt;1,$I898&gt;31),"نامعتبر",RIGHT("0000"&amp;$G898,4)&amp;"/"&amp;RIGHT("00"&amp;$H898,2)&amp;"/"&amp;RIGHT("00"&amp;$I898,2)))</f>
        <v/>
      </c>
      <c r="K898">
        <f>IF(OR($F898="",$J898="",$J898="نامعتبر"),"",LEFT($J898,4)&amp;MID($J898,6,2)&amp;RIGHT($J898,2)&amp;$N898&amp;"|"&amp;"2"&amp;RIGHT("00000"&amp;893,5))</f>
        <v/>
      </c>
      <c r="L898">
        <f>IF($K898="","",COUNTIFS(LdgSellerA,$F898,LdgKeyA,"&lt;"&amp;$K898)+COUNTIFS(LdgSellerB,$F898,LdgKeyB,"&lt;"&amp;$K898)+1)</f>
        <v/>
      </c>
      <c r="M898">
        <f>IF($L898="","",$F898&amp;"|"&amp;RIGHT("000000"&amp;$L898,6))</f>
        <v/>
      </c>
      <c r="N898">
        <f>IF($F898="","",IF(Sync!$AF898="","0000",IF(AND(ISNUMBER(Sync!$AF898),Sync!$AF898&gt;=0,Sync!$AF898&lt;1),RIGHT("00"&amp;HOUR(Sync!$AF898),2)&amp;RIGHT("00"&amp;MINUTE(Sync!$AF898),2),IFERROR(RIGHT("00"&amp;VALUE(LEFT(Sync!$AF898,FIND(":",Sync!$AF898)-1)),2)&amp;RIGHT("00"&amp;VALUE(MID(Sync!$AF898,FIND(":",Sync!$AF898)+1,2)),2),"0000"))))</f>
        <v/>
      </c>
    </row>
    <row r="899">
      <c r="A899">
        <f>IF(OR(Calc!$E903="",Calc!$E903="نامعتبر",Calc!$G903=""),"",Calc!$G903)</f>
        <v/>
      </c>
      <c r="B899">
        <f>IF($A899="","",LEFT(Calc!$E903,4)&amp;MID(Calc!$E903,6,2)&amp;RIGHT(Calc!$E903,2)&amp;Calc!$Q903&amp;"|"&amp;"1"&amp;RIGHT("00000"&amp;894,5))</f>
        <v/>
      </c>
      <c r="C899">
        <f>IF($B899="","",COUNTIFS(LdgSellerA,$A899,LdgKeyA,"&lt;"&amp;$B899)+COUNTIFS(LdgSellerB,$A899,LdgKeyB,"&lt;"&amp;$B899)+1)</f>
        <v/>
      </c>
      <c r="D899">
        <f>IF($C899="","",$A899&amp;"|"&amp;RIGHT("000000"&amp;$C899,6))</f>
        <v/>
      </c>
      <c r="F899">
        <f>IF(Sync!$AH899="","",IF(LEFT(UPPER(TRIM(Sync!$AH899)),2)="SL",UPPER(TRIM(Sync!$AH899)),""))</f>
        <v/>
      </c>
      <c r="G899">
        <f>IF($F899="","",IF(Sync!$AE899="","",IF(ISNUMBER(Sync!$AE899),IF(AND(Sync!$AE899&gt;=10000101,Sync!$AE899&lt;=99991231),INT(Sync!$AE899/10000),""),IFERROR(VALUE(TRIM(LEFT(Sync!$AE899,FIND("/",Sync!$AE899)-1))),""))))</f>
        <v/>
      </c>
      <c r="H899">
        <f>IF(OR($F899="",$G899=""),"",IF(ISNUMBER(Sync!$AE899),INT(MOD(Sync!$AE899,10000)/100),IFERROR(VALUE(TRIM(LEFT(MID(Sync!$AE899,FIND("/",Sync!$AE899)+1,20),FIND("/",MID(Sync!$AE899,FIND("/",Sync!$AE899)+1,20))-1))),"")))</f>
        <v/>
      </c>
      <c r="I899">
        <f>IF(OR($F899="",$G899=""),"",IF(ISNUMBER(Sync!$AE899),MOD(Sync!$AE899,100),IFERROR(VALUE(TRIM(MID(MID(Sync!$AE899,FIND("/",Sync!$AE899)+1,20),FIND("/",MID(Sync!$AE899,FIND("/",Sync!$AE899)+1,20))+1,20))),"")))</f>
        <v/>
      </c>
      <c r="J899">
        <f>IF($F899="","",IF(OR($G899="",$H899="",$I899="",$G899&lt;1300,$G899&gt;1500,$H899&lt;1,$H899&gt;12,$I899&lt;1,$I899&gt;31),"نامعتبر",RIGHT("0000"&amp;$G899,4)&amp;"/"&amp;RIGHT("00"&amp;$H899,2)&amp;"/"&amp;RIGHT("00"&amp;$I899,2)))</f>
        <v/>
      </c>
      <c r="K899">
        <f>IF(OR($F899="",$J899="",$J899="نامعتبر"),"",LEFT($J899,4)&amp;MID($J899,6,2)&amp;RIGHT($J899,2)&amp;$N899&amp;"|"&amp;"2"&amp;RIGHT("00000"&amp;894,5))</f>
        <v/>
      </c>
      <c r="L899">
        <f>IF($K899="","",COUNTIFS(LdgSellerA,$F899,LdgKeyA,"&lt;"&amp;$K899)+COUNTIFS(LdgSellerB,$F899,LdgKeyB,"&lt;"&amp;$K899)+1)</f>
        <v/>
      </c>
      <c r="M899">
        <f>IF($L899="","",$F899&amp;"|"&amp;RIGHT("000000"&amp;$L899,6))</f>
        <v/>
      </c>
      <c r="N899">
        <f>IF($F899="","",IF(Sync!$AF899="","0000",IF(AND(ISNUMBER(Sync!$AF899),Sync!$AF899&gt;=0,Sync!$AF899&lt;1),RIGHT("00"&amp;HOUR(Sync!$AF899),2)&amp;RIGHT("00"&amp;MINUTE(Sync!$AF899),2),IFERROR(RIGHT("00"&amp;VALUE(LEFT(Sync!$AF899,FIND(":",Sync!$AF899)-1)),2)&amp;RIGHT("00"&amp;VALUE(MID(Sync!$AF899,FIND(":",Sync!$AF899)+1,2)),2),"0000"))))</f>
        <v/>
      </c>
    </row>
    <row r="900">
      <c r="A900">
        <f>IF(OR(Calc!$E904="",Calc!$E904="نامعتبر",Calc!$G904=""),"",Calc!$G904)</f>
        <v/>
      </c>
      <c r="B900">
        <f>IF($A900="","",LEFT(Calc!$E904,4)&amp;MID(Calc!$E904,6,2)&amp;RIGHT(Calc!$E904,2)&amp;Calc!$Q904&amp;"|"&amp;"1"&amp;RIGHT("00000"&amp;895,5))</f>
        <v/>
      </c>
      <c r="C900">
        <f>IF($B900="","",COUNTIFS(LdgSellerA,$A900,LdgKeyA,"&lt;"&amp;$B900)+COUNTIFS(LdgSellerB,$A900,LdgKeyB,"&lt;"&amp;$B900)+1)</f>
        <v/>
      </c>
      <c r="D900">
        <f>IF($C900="","",$A900&amp;"|"&amp;RIGHT("000000"&amp;$C900,6))</f>
        <v/>
      </c>
      <c r="F900">
        <f>IF(Sync!$AH900="","",IF(LEFT(UPPER(TRIM(Sync!$AH900)),2)="SL",UPPER(TRIM(Sync!$AH900)),""))</f>
        <v/>
      </c>
      <c r="G900">
        <f>IF($F900="","",IF(Sync!$AE900="","",IF(ISNUMBER(Sync!$AE900),IF(AND(Sync!$AE900&gt;=10000101,Sync!$AE900&lt;=99991231),INT(Sync!$AE900/10000),""),IFERROR(VALUE(TRIM(LEFT(Sync!$AE900,FIND("/",Sync!$AE900)-1))),""))))</f>
        <v/>
      </c>
      <c r="H900">
        <f>IF(OR($F900="",$G900=""),"",IF(ISNUMBER(Sync!$AE900),INT(MOD(Sync!$AE900,10000)/100),IFERROR(VALUE(TRIM(LEFT(MID(Sync!$AE900,FIND("/",Sync!$AE900)+1,20),FIND("/",MID(Sync!$AE900,FIND("/",Sync!$AE900)+1,20))-1))),"")))</f>
        <v/>
      </c>
      <c r="I900">
        <f>IF(OR($F900="",$G900=""),"",IF(ISNUMBER(Sync!$AE900),MOD(Sync!$AE900,100),IFERROR(VALUE(TRIM(MID(MID(Sync!$AE900,FIND("/",Sync!$AE900)+1,20),FIND("/",MID(Sync!$AE900,FIND("/",Sync!$AE900)+1,20))+1,20))),"")))</f>
        <v/>
      </c>
      <c r="J900">
        <f>IF($F900="","",IF(OR($G900="",$H900="",$I900="",$G900&lt;1300,$G900&gt;1500,$H900&lt;1,$H900&gt;12,$I900&lt;1,$I900&gt;31),"نامعتبر",RIGHT("0000"&amp;$G900,4)&amp;"/"&amp;RIGHT("00"&amp;$H900,2)&amp;"/"&amp;RIGHT("00"&amp;$I900,2)))</f>
        <v/>
      </c>
      <c r="K900">
        <f>IF(OR($F900="",$J900="",$J900="نامعتبر"),"",LEFT($J900,4)&amp;MID($J900,6,2)&amp;RIGHT($J900,2)&amp;$N900&amp;"|"&amp;"2"&amp;RIGHT("00000"&amp;895,5))</f>
        <v/>
      </c>
      <c r="L900">
        <f>IF($K900="","",COUNTIFS(LdgSellerA,$F900,LdgKeyA,"&lt;"&amp;$K900)+COUNTIFS(LdgSellerB,$F900,LdgKeyB,"&lt;"&amp;$K900)+1)</f>
        <v/>
      </c>
      <c r="M900">
        <f>IF($L900="","",$F900&amp;"|"&amp;RIGHT("000000"&amp;$L900,6))</f>
        <v/>
      </c>
      <c r="N900">
        <f>IF($F900="","",IF(Sync!$AF900="","0000",IF(AND(ISNUMBER(Sync!$AF900),Sync!$AF900&gt;=0,Sync!$AF900&lt;1),RIGHT("00"&amp;HOUR(Sync!$AF900),2)&amp;RIGHT("00"&amp;MINUTE(Sync!$AF900),2),IFERROR(RIGHT("00"&amp;VALUE(LEFT(Sync!$AF900,FIND(":",Sync!$AF900)-1)),2)&amp;RIGHT("00"&amp;VALUE(MID(Sync!$AF900,FIND(":",Sync!$AF900)+1,2)),2),"0000"))))</f>
        <v/>
      </c>
    </row>
    <row r="901">
      <c r="A901">
        <f>IF(OR(Calc!$E905="",Calc!$E905="نامعتبر",Calc!$G905=""),"",Calc!$G905)</f>
        <v/>
      </c>
      <c r="B901">
        <f>IF($A901="","",LEFT(Calc!$E905,4)&amp;MID(Calc!$E905,6,2)&amp;RIGHT(Calc!$E905,2)&amp;Calc!$Q905&amp;"|"&amp;"1"&amp;RIGHT("00000"&amp;896,5))</f>
        <v/>
      </c>
      <c r="C901">
        <f>IF($B901="","",COUNTIFS(LdgSellerA,$A901,LdgKeyA,"&lt;"&amp;$B901)+COUNTIFS(LdgSellerB,$A901,LdgKeyB,"&lt;"&amp;$B901)+1)</f>
        <v/>
      </c>
      <c r="D901">
        <f>IF($C901="","",$A901&amp;"|"&amp;RIGHT("000000"&amp;$C901,6))</f>
        <v/>
      </c>
      <c r="F901">
        <f>IF(Sync!$AH901="","",IF(LEFT(UPPER(TRIM(Sync!$AH901)),2)="SL",UPPER(TRIM(Sync!$AH901)),""))</f>
        <v/>
      </c>
      <c r="G901">
        <f>IF($F901="","",IF(Sync!$AE901="","",IF(ISNUMBER(Sync!$AE901),IF(AND(Sync!$AE901&gt;=10000101,Sync!$AE901&lt;=99991231),INT(Sync!$AE901/10000),""),IFERROR(VALUE(TRIM(LEFT(Sync!$AE901,FIND("/",Sync!$AE901)-1))),""))))</f>
        <v/>
      </c>
      <c r="H901">
        <f>IF(OR($F901="",$G901=""),"",IF(ISNUMBER(Sync!$AE901),INT(MOD(Sync!$AE901,10000)/100),IFERROR(VALUE(TRIM(LEFT(MID(Sync!$AE901,FIND("/",Sync!$AE901)+1,20),FIND("/",MID(Sync!$AE901,FIND("/",Sync!$AE901)+1,20))-1))),"")))</f>
        <v/>
      </c>
      <c r="I901">
        <f>IF(OR($F901="",$G901=""),"",IF(ISNUMBER(Sync!$AE901),MOD(Sync!$AE901,100),IFERROR(VALUE(TRIM(MID(MID(Sync!$AE901,FIND("/",Sync!$AE901)+1,20),FIND("/",MID(Sync!$AE901,FIND("/",Sync!$AE901)+1,20))+1,20))),"")))</f>
        <v/>
      </c>
      <c r="J901">
        <f>IF($F901="","",IF(OR($G901="",$H901="",$I901="",$G901&lt;1300,$G901&gt;1500,$H901&lt;1,$H901&gt;12,$I901&lt;1,$I901&gt;31),"نامعتبر",RIGHT("0000"&amp;$G901,4)&amp;"/"&amp;RIGHT("00"&amp;$H901,2)&amp;"/"&amp;RIGHT("00"&amp;$I901,2)))</f>
        <v/>
      </c>
      <c r="K901">
        <f>IF(OR($F901="",$J901="",$J901="نامعتبر"),"",LEFT($J901,4)&amp;MID($J901,6,2)&amp;RIGHT($J901,2)&amp;$N901&amp;"|"&amp;"2"&amp;RIGHT("00000"&amp;896,5))</f>
        <v/>
      </c>
      <c r="L901">
        <f>IF($K901="","",COUNTIFS(LdgSellerA,$F901,LdgKeyA,"&lt;"&amp;$K901)+COUNTIFS(LdgSellerB,$F901,LdgKeyB,"&lt;"&amp;$K901)+1)</f>
        <v/>
      </c>
      <c r="M901">
        <f>IF($L901="","",$F901&amp;"|"&amp;RIGHT("000000"&amp;$L901,6))</f>
        <v/>
      </c>
      <c r="N901">
        <f>IF($F901="","",IF(Sync!$AF901="","0000",IF(AND(ISNUMBER(Sync!$AF901),Sync!$AF901&gt;=0,Sync!$AF901&lt;1),RIGHT("00"&amp;HOUR(Sync!$AF901),2)&amp;RIGHT("00"&amp;MINUTE(Sync!$AF901),2),IFERROR(RIGHT("00"&amp;VALUE(LEFT(Sync!$AF901,FIND(":",Sync!$AF901)-1)),2)&amp;RIGHT("00"&amp;VALUE(MID(Sync!$AF901,FIND(":",Sync!$AF901)+1,2)),2),"0000"))))</f>
        <v/>
      </c>
    </row>
    <row r="902">
      <c r="A902">
        <f>IF(OR(Calc!$E906="",Calc!$E906="نامعتبر",Calc!$G906=""),"",Calc!$G906)</f>
        <v/>
      </c>
      <c r="B902">
        <f>IF($A902="","",LEFT(Calc!$E906,4)&amp;MID(Calc!$E906,6,2)&amp;RIGHT(Calc!$E906,2)&amp;Calc!$Q906&amp;"|"&amp;"1"&amp;RIGHT("00000"&amp;897,5))</f>
        <v/>
      </c>
      <c r="C902">
        <f>IF($B902="","",COUNTIFS(LdgSellerA,$A902,LdgKeyA,"&lt;"&amp;$B902)+COUNTIFS(LdgSellerB,$A902,LdgKeyB,"&lt;"&amp;$B902)+1)</f>
        <v/>
      </c>
      <c r="D902">
        <f>IF($C902="","",$A902&amp;"|"&amp;RIGHT("000000"&amp;$C902,6))</f>
        <v/>
      </c>
      <c r="F902">
        <f>IF(Sync!$AH902="","",IF(LEFT(UPPER(TRIM(Sync!$AH902)),2)="SL",UPPER(TRIM(Sync!$AH902)),""))</f>
        <v/>
      </c>
      <c r="G902">
        <f>IF($F902="","",IF(Sync!$AE902="","",IF(ISNUMBER(Sync!$AE902),IF(AND(Sync!$AE902&gt;=10000101,Sync!$AE902&lt;=99991231),INT(Sync!$AE902/10000),""),IFERROR(VALUE(TRIM(LEFT(Sync!$AE902,FIND("/",Sync!$AE902)-1))),""))))</f>
        <v/>
      </c>
      <c r="H902">
        <f>IF(OR($F902="",$G902=""),"",IF(ISNUMBER(Sync!$AE902),INT(MOD(Sync!$AE902,10000)/100),IFERROR(VALUE(TRIM(LEFT(MID(Sync!$AE902,FIND("/",Sync!$AE902)+1,20),FIND("/",MID(Sync!$AE902,FIND("/",Sync!$AE902)+1,20))-1))),"")))</f>
        <v/>
      </c>
      <c r="I902">
        <f>IF(OR($F902="",$G902=""),"",IF(ISNUMBER(Sync!$AE902),MOD(Sync!$AE902,100),IFERROR(VALUE(TRIM(MID(MID(Sync!$AE902,FIND("/",Sync!$AE902)+1,20),FIND("/",MID(Sync!$AE902,FIND("/",Sync!$AE902)+1,20))+1,20))),"")))</f>
        <v/>
      </c>
      <c r="J902">
        <f>IF($F902="","",IF(OR($G902="",$H902="",$I902="",$G902&lt;1300,$G902&gt;1500,$H902&lt;1,$H902&gt;12,$I902&lt;1,$I902&gt;31),"نامعتبر",RIGHT("0000"&amp;$G902,4)&amp;"/"&amp;RIGHT("00"&amp;$H902,2)&amp;"/"&amp;RIGHT("00"&amp;$I902,2)))</f>
        <v/>
      </c>
      <c r="K902">
        <f>IF(OR($F902="",$J902="",$J902="نامعتبر"),"",LEFT($J902,4)&amp;MID($J902,6,2)&amp;RIGHT($J902,2)&amp;$N902&amp;"|"&amp;"2"&amp;RIGHT("00000"&amp;897,5))</f>
        <v/>
      </c>
      <c r="L902">
        <f>IF($K902="","",COUNTIFS(LdgSellerA,$F902,LdgKeyA,"&lt;"&amp;$K902)+COUNTIFS(LdgSellerB,$F902,LdgKeyB,"&lt;"&amp;$K902)+1)</f>
        <v/>
      </c>
      <c r="M902">
        <f>IF($L902="","",$F902&amp;"|"&amp;RIGHT("000000"&amp;$L902,6))</f>
        <v/>
      </c>
      <c r="N902">
        <f>IF($F902="","",IF(Sync!$AF902="","0000",IF(AND(ISNUMBER(Sync!$AF902),Sync!$AF902&gt;=0,Sync!$AF902&lt;1),RIGHT("00"&amp;HOUR(Sync!$AF902),2)&amp;RIGHT("00"&amp;MINUTE(Sync!$AF902),2),IFERROR(RIGHT("00"&amp;VALUE(LEFT(Sync!$AF902,FIND(":",Sync!$AF902)-1)),2)&amp;RIGHT("00"&amp;VALUE(MID(Sync!$AF902,FIND(":",Sync!$AF902)+1,2)),2),"0000"))))</f>
        <v/>
      </c>
    </row>
    <row r="903">
      <c r="A903">
        <f>IF(OR(Calc!$E907="",Calc!$E907="نامعتبر",Calc!$G907=""),"",Calc!$G907)</f>
        <v/>
      </c>
      <c r="B903">
        <f>IF($A903="","",LEFT(Calc!$E907,4)&amp;MID(Calc!$E907,6,2)&amp;RIGHT(Calc!$E907,2)&amp;Calc!$Q907&amp;"|"&amp;"1"&amp;RIGHT("00000"&amp;898,5))</f>
        <v/>
      </c>
      <c r="C903">
        <f>IF($B903="","",COUNTIFS(LdgSellerA,$A903,LdgKeyA,"&lt;"&amp;$B903)+COUNTIFS(LdgSellerB,$A903,LdgKeyB,"&lt;"&amp;$B903)+1)</f>
        <v/>
      </c>
      <c r="D903">
        <f>IF($C903="","",$A903&amp;"|"&amp;RIGHT("000000"&amp;$C903,6))</f>
        <v/>
      </c>
      <c r="F903">
        <f>IF(Sync!$AH903="","",IF(LEFT(UPPER(TRIM(Sync!$AH903)),2)="SL",UPPER(TRIM(Sync!$AH903)),""))</f>
        <v/>
      </c>
      <c r="G903">
        <f>IF($F903="","",IF(Sync!$AE903="","",IF(ISNUMBER(Sync!$AE903),IF(AND(Sync!$AE903&gt;=10000101,Sync!$AE903&lt;=99991231),INT(Sync!$AE903/10000),""),IFERROR(VALUE(TRIM(LEFT(Sync!$AE903,FIND("/",Sync!$AE903)-1))),""))))</f>
        <v/>
      </c>
      <c r="H903">
        <f>IF(OR($F903="",$G903=""),"",IF(ISNUMBER(Sync!$AE903),INT(MOD(Sync!$AE903,10000)/100),IFERROR(VALUE(TRIM(LEFT(MID(Sync!$AE903,FIND("/",Sync!$AE903)+1,20),FIND("/",MID(Sync!$AE903,FIND("/",Sync!$AE903)+1,20))-1))),"")))</f>
        <v/>
      </c>
      <c r="I903">
        <f>IF(OR($F903="",$G903=""),"",IF(ISNUMBER(Sync!$AE903),MOD(Sync!$AE903,100),IFERROR(VALUE(TRIM(MID(MID(Sync!$AE903,FIND("/",Sync!$AE903)+1,20),FIND("/",MID(Sync!$AE903,FIND("/",Sync!$AE903)+1,20))+1,20))),"")))</f>
        <v/>
      </c>
      <c r="J903">
        <f>IF($F903="","",IF(OR($G903="",$H903="",$I903="",$G903&lt;1300,$G903&gt;1500,$H903&lt;1,$H903&gt;12,$I903&lt;1,$I903&gt;31),"نامعتبر",RIGHT("0000"&amp;$G903,4)&amp;"/"&amp;RIGHT("00"&amp;$H903,2)&amp;"/"&amp;RIGHT("00"&amp;$I903,2)))</f>
        <v/>
      </c>
      <c r="K903">
        <f>IF(OR($F903="",$J903="",$J903="نامعتبر"),"",LEFT($J903,4)&amp;MID($J903,6,2)&amp;RIGHT($J903,2)&amp;$N903&amp;"|"&amp;"2"&amp;RIGHT("00000"&amp;898,5))</f>
        <v/>
      </c>
      <c r="L903">
        <f>IF($K903="","",COUNTIFS(LdgSellerA,$F903,LdgKeyA,"&lt;"&amp;$K903)+COUNTIFS(LdgSellerB,$F903,LdgKeyB,"&lt;"&amp;$K903)+1)</f>
        <v/>
      </c>
      <c r="M903">
        <f>IF($L903="","",$F903&amp;"|"&amp;RIGHT("000000"&amp;$L903,6))</f>
        <v/>
      </c>
      <c r="N903">
        <f>IF($F903="","",IF(Sync!$AF903="","0000",IF(AND(ISNUMBER(Sync!$AF903),Sync!$AF903&gt;=0,Sync!$AF903&lt;1),RIGHT("00"&amp;HOUR(Sync!$AF903),2)&amp;RIGHT("00"&amp;MINUTE(Sync!$AF903),2),IFERROR(RIGHT("00"&amp;VALUE(LEFT(Sync!$AF903,FIND(":",Sync!$AF903)-1)),2)&amp;RIGHT("00"&amp;VALUE(MID(Sync!$AF903,FIND(":",Sync!$AF903)+1,2)),2),"0000"))))</f>
        <v/>
      </c>
    </row>
    <row r="904">
      <c r="A904">
        <f>IF(OR(Calc!$E908="",Calc!$E908="نامعتبر",Calc!$G908=""),"",Calc!$G908)</f>
        <v/>
      </c>
      <c r="B904">
        <f>IF($A904="","",LEFT(Calc!$E908,4)&amp;MID(Calc!$E908,6,2)&amp;RIGHT(Calc!$E908,2)&amp;Calc!$Q908&amp;"|"&amp;"1"&amp;RIGHT("00000"&amp;899,5))</f>
        <v/>
      </c>
      <c r="C904">
        <f>IF($B904="","",COUNTIFS(LdgSellerA,$A904,LdgKeyA,"&lt;"&amp;$B904)+COUNTIFS(LdgSellerB,$A904,LdgKeyB,"&lt;"&amp;$B904)+1)</f>
        <v/>
      </c>
      <c r="D904">
        <f>IF($C904="","",$A904&amp;"|"&amp;RIGHT("000000"&amp;$C904,6))</f>
        <v/>
      </c>
      <c r="F904">
        <f>IF(Sync!$AH904="","",IF(LEFT(UPPER(TRIM(Sync!$AH904)),2)="SL",UPPER(TRIM(Sync!$AH904)),""))</f>
        <v/>
      </c>
      <c r="G904">
        <f>IF($F904="","",IF(Sync!$AE904="","",IF(ISNUMBER(Sync!$AE904),IF(AND(Sync!$AE904&gt;=10000101,Sync!$AE904&lt;=99991231),INT(Sync!$AE904/10000),""),IFERROR(VALUE(TRIM(LEFT(Sync!$AE904,FIND("/",Sync!$AE904)-1))),""))))</f>
        <v/>
      </c>
      <c r="H904">
        <f>IF(OR($F904="",$G904=""),"",IF(ISNUMBER(Sync!$AE904),INT(MOD(Sync!$AE904,10000)/100),IFERROR(VALUE(TRIM(LEFT(MID(Sync!$AE904,FIND("/",Sync!$AE904)+1,20),FIND("/",MID(Sync!$AE904,FIND("/",Sync!$AE904)+1,20))-1))),"")))</f>
        <v/>
      </c>
      <c r="I904">
        <f>IF(OR($F904="",$G904=""),"",IF(ISNUMBER(Sync!$AE904),MOD(Sync!$AE904,100),IFERROR(VALUE(TRIM(MID(MID(Sync!$AE904,FIND("/",Sync!$AE904)+1,20),FIND("/",MID(Sync!$AE904,FIND("/",Sync!$AE904)+1,20))+1,20))),"")))</f>
        <v/>
      </c>
      <c r="J904">
        <f>IF($F904="","",IF(OR($G904="",$H904="",$I904="",$G904&lt;1300,$G904&gt;1500,$H904&lt;1,$H904&gt;12,$I904&lt;1,$I904&gt;31),"نامعتبر",RIGHT("0000"&amp;$G904,4)&amp;"/"&amp;RIGHT("00"&amp;$H904,2)&amp;"/"&amp;RIGHT("00"&amp;$I904,2)))</f>
        <v/>
      </c>
      <c r="K904">
        <f>IF(OR($F904="",$J904="",$J904="نامعتبر"),"",LEFT($J904,4)&amp;MID($J904,6,2)&amp;RIGHT($J904,2)&amp;$N904&amp;"|"&amp;"2"&amp;RIGHT("00000"&amp;899,5))</f>
        <v/>
      </c>
      <c r="L904">
        <f>IF($K904="","",COUNTIFS(LdgSellerA,$F904,LdgKeyA,"&lt;"&amp;$K904)+COUNTIFS(LdgSellerB,$F904,LdgKeyB,"&lt;"&amp;$K904)+1)</f>
        <v/>
      </c>
      <c r="M904">
        <f>IF($L904="","",$F904&amp;"|"&amp;RIGHT("000000"&amp;$L904,6))</f>
        <v/>
      </c>
      <c r="N904">
        <f>IF($F904="","",IF(Sync!$AF904="","0000",IF(AND(ISNUMBER(Sync!$AF904),Sync!$AF904&gt;=0,Sync!$AF904&lt;1),RIGHT("00"&amp;HOUR(Sync!$AF904),2)&amp;RIGHT("00"&amp;MINUTE(Sync!$AF904),2),IFERROR(RIGHT("00"&amp;VALUE(LEFT(Sync!$AF904,FIND(":",Sync!$AF904)-1)),2)&amp;RIGHT("00"&amp;VALUE(MID(Sync!$AF904,FIND(":",Sync!$AF904)+1,2)),2),"0000"))))</f>
        <v/>
      </c>
    </row>
    <row r="905">
      <c r="A905">
        <f>IF(OR(Calc!$E909="",Calc!$E909="نامعتبر",Calc!$G909=""),"",Calc!$G909)</f>
        <v/>
      </c>
      <c r="B905">
        <f>IF($A905="","",LEFT(Calc!$E909,4)&amp;MID(Calc!$E909,6,2)&amp;RIGHT(Calc!$E909,2)&amp;Calc!$Q909&amp;"|"&amp;"1"&amp;RIGHT("00000"&amp;900,5))</f>
        <v/>
      </c>
      <c r="C905">
        <f>IF($B905="","",COUNTIFS(LdgSellerA,$A905,LdgKeyA,"&lt;"&amp;$B905)+COUNTIFS(LdgSellerB,$A905,LdgKeyB,"&lt;"&amp;$B905)+1)</f>
        <v/>
      </c>
      <c r="D905">
        <f>IF($C905="","",$A905&amp;"|"&amp;RIGHT("000000"&amp;$C905,6))</f>
        <v/>
      </c>
      <c r="F905">
        <f>IF(Sync!$AH905="","",IF(LEFT(UPPER(TRIM(Sync!$AH905)),2)="SL",UPPER(TRIM(Sync!$AH905)),""))</f>
        <v/>
      </c>
      <c r="G905">
        <f>IF($F905="","",IF(Sync!$AE905="","",IF(ISNUMBER(Sync!$AE905),IF(AND(Sync!$AE905&gt;=10000101,Sync!$AE905&lt;=99991231),INT(Sync!$AE905/10000),""),IFERROR(VALUE(TRIM(LEFT(Sync!$AE905,FIND("/",Sync!$AE905)-1))),""))))</f>
        <v/>
      </c>
      <c r="H905">
        <f>IF(OR($F905="",$G905=""),"",IF(ISNUMBER(Sync!$AE905),INT(MOD(Sync!$AE905,10000)/100),IFERROR(VALUE(TRIM(LEFT(MID(Sync!$AE905,FIND("/",Sync!$AE905)+1,20),FIND("/",MID(Sync!$AE905,FIND("/",Sync!$AE905)+1,20))-1))),"")))</f>
        <v/>
      </c>
      <c r="I905">
        <f>IF(OR($F905="",$G905=""),"",IF(ISNUMBER(Sync!$AE905),MOD(Sync!$AE905,100),IFERROR(VALUE(TRIM(MID(MID(Sync!$AE905,FIND("/",Sync!$AE905)+1,20),FIND("/",MID(Sync!$AE905,FIND("/",Sync!$AE905)+1,20))+1,20))),"")))</f>
        <v/>
      </c>
      <c r="J905">
        <f>IF($F905="","",IF(OR($G905="",$H905="",$I905="",$G905&lt;1300,$G905&gt;1500,$H905&lt;1,$H905&gt;12,$I905&lt;1,$I905&gt;31),"نامعتبر",RIGHT("0000"&amp;$G905,4)&amp;"/"&amp;RIGHT("00"&amp;$H905,2)&amp;"/"&amp;RIGHT("00"&amp;$I905,2)))</f>
        <v/>
      </c>
      <c r="K905">
        <f>IF(OR($F905="",$J905="",$J905="نامعتبر"),"",LEFT($J905,4)&amp;MID($J905,6,2)&amp;RIGHT($J905,2)&amp;$N905&amp;"|"&amp;"2"&amp;RIGHT("00000"&amp;900,5))</f>
        <v/>
      </c>
      <c r="L905">
        <f>IF($K905="","",COUNTIFS(LdgSellerA,$F905,LdgKeyA,"&lt;"&amp;$K905)+COUNTIFS(LdgSellerB,$F905,LdgKeyB,"&lt;"&amp;$K905)+1)</f>
        <v/>
      </c>
      <c r="M905">
        <f>IF($L905="","",$F905&amp;"|"&amp;RIGHT("000000"&amp;$L905,6))</f>
        <v/>
      </c>
      <c r="N905">
        <f>IF($F905="","",IF(Sync!$AF905="","0000",IF(AND(ISNUMBER(Sync!$AF905),Sync!$AF905&gt;=0,Sync!$AF905&lt;1),RIGHT("00"&amp;HOUR(Sync!$AF905),2)&amp;RIGHT("00"&amp;MINUTE(Sync!$AF905),2),IFERROR(RIGHT("00"&amp;VALUE(LEFT(Sync!$AF905,FIND(":",Sync!$AF905)-1)),2)&amp;RIGHT("00"&amp;VALUE(MID(Sync!$AF905,FIND(":",Sync!$AF905)+1,2)),2),"0000"))))</f>
        <v/>
      </c>
    </row>
    <row r="906">
      <c r="A906">
        <f>IF(OR(Calc!$E910="",Calc!$E910="نامعتبر",Calc!$G910=""),"",Calc!$G910)</f>
        <v/>
      </c>
      <c r="B906">
        <f>IF($A906="","",LEFT(Calc!$E910,4)&amp;MID(Calc!$E910,6,2)&amp;RIGHT(Calc!$E910,2)&amp;Calc!$Q910&amp;"|"&amp;"1"&amp;RIGHT("00000"&amp;901,5))</f>
        <v/>
      </c>
      <c r="C906">
        <f>IF($B906="","",COUNTIFS(LdgSellerA,$A906,LdgKeyA,"&lt;"&amp;$B906)+COUNTIFS(LdgSellerB,$A906,LdgKeyB,"&lt;"&amp;$B906)+1)</f>
        <v/>
      </c>
      <c r="D906">
        <f>IF($C906="","",$A906&amp;"|"&amp;RIGHT("000000"&amp;$C906,6))</f>
        <v/>
      </c>
      <c r="F906">
        <f>IF(Sync!$AH906="","",IF(LEFT(UPPER(TRIM(Sync!$AH906)),2)="SL",UPPER(TRIM(Sync!$AH906)),""))</f>
        <v/>
      </c>
      <c r="G906">
        <f>IF($F906="","",IF(Sync!$AE906="","",IF(ISNUMBER(Sync!$AE906),IF(AND(Sync!$AE906&gt;=10000101,Sync!$AE906&lt;=99991231),INT(Sync!$AE906/10000),""),IFERROR(VALUE(TRIM(LEFT(Sync!$AE906,FIND("/",Sync!$AE906)-1))),""))))</f>
        <v/>
      </c>
      <c r="H906">
        <f>IF(OR($F906="",$G906=""),"",IF(ISNUMBER(Sync!$AE906),INT(MOD(Sync!$AE906,10000)/100),IFERROR(VALUE(TRIM(LEFT(MID(Sync!$AE906,FIND("/",Sync!$AE906)+1,20),FIND("/",MID(Sync!$AE906,FIND("/",Sync!$AE906)+1,20))-1))),"")))</f>
        <v/>
      </c>
      <c r="I906">
        <f>IF(OR($F906="",$G906=""),"",IF(ISNUMBER(Sync!$AE906),MOD(Sync!$AE906,100),IFERROR(VALUE(TRIM(MID(MID(Sync!$AE906,FIND("/",Sync!$AE906)+1,20),FIND("/",MID(Sync!$AE906,FIND("/",Sync!$AE906)+1,20))+1,20))),"")))</f>
        <v/>
      </c>
      <c r="J906">
        <f>IF($F906="","",IF(OR($G906="",$H906="",$I906="",$G906&lt;1300,$G906&gt;1500,$H906&lt;1,$H906&gt;12,$I906&lt;1,$I906&gt;31),"نامعتبر",RIGHT("0000"&amp;$G906,4)&amp;"/"&amp;RIGHT("00"&amp;$H906,2)&amp;"/"&amp;RIGHT("00"&amp;$I906,2)))</f>
        <v/>
      </c>
      <c r="K906">
        <f>IF(OR($F906="",$J906="",$J906="نامعتبر"),"",LEFT($J906,4)&amp;MID($J906,6,2)&amp;RIGHT($J906,2)&amp;$N906&amp;"|"&amp;"2"&amp;RIGHT("00000"&amp;901,5))</f>
        <v/>
      </c>
      <c r="L906">
        <f>IF($K906="","",COUNTIFS(LdgSellerA,$F906,LdgKeyA,"&lt;"&amp;$K906)+COUNTIFS(LdgSellerB,$F906,LdgKeyB,"&lt;"&amp;$K906)+1)</f>
        <v/>
      </c>
      <c r="M906">
        <f>IF($L906="","",$F906&amp;"|"&amp;RIGHT("000000"&amp;$L906,6))</f>
        <v/>
      </c>
      <c r="N906">
        <f>IF($F906="","",IF(Sync!$AF906="","0000",IF(AND(ISNUMBER(Sync!$AF906),Sync!$AF906&gt;=0,Sync!$AF906&lt;1),RIGHT("00"&amp;HOUR(Sync!$AF906),2)&amp;RIGHT("00"&amp;MINUTE(Sync!$AF906),2),IFERROR(RIGHT("00"&amp;VALUE(LEFT(Sync!$AF906,FIND(":",Sync!$AF906)-1)),2)&amp;RIGHT("00"&amp;VALUE(MID(Sync!$AF906,FIND(":",Sync!$AF906)+1,2)),2),"0000"))))</f>
        <v/>
      </c>
    </row>
    <row r="907">
      <c r="A907">
        <f>IF(OR(Calc!$E911="",Calc!$E911="نامعتبر",Calc!$G911=""),"",Calc!$G911)</f>
        <v/>
      </c>
      <c r="B907">
        <f>IF($A907="","",LEFT(Calc!$E911,4)&amp;MID(Calc!$E911,6,2)&amp;RIGHT(Calc!$E911,2)&amp;Calc!$Q911&amp;"|"&amp;"1"&amp;RIGHT("00000"&amp;902,5))</f>
        <v/>
      </c>
      <c r="C907">
        <f>IF($B907="","",COUNTIFS(LdgSellerA,$A907,LdgKeyA,"&lt;"&amp;$B907)+COUNTIFS(LdgSellerB,$A907,LdgKeyB,"&lt;"&amp;$B907)+1)</f>
        <v/>
      </c>
      <c r="D907">
        <f>IF($C907="","",$A907&amp;"|"&amp;RIGHT("000000"&amp;$C907,6))</f>
        <v/>
      </c>
      <c r="F907">
        <f>IF(Sync!$AH907="","",IF(LEFT(UPPER(TRIM(Sync!$AH907)),2)="SL",UPPER(TRIM(Sync!$AH907)),""))</f>
        <v/>
      </c>
      <c r="G907">
        <f>IF($F907="","",IF(Sync!$AE907="","",IF(ISNUMBER(Sync!$AE907),IF(AND(Sync!$AE907&gt;=10000101,Sync!$AE907&lt;=99991231),INT(Sync!$AE907/10000),""),IFERROR(VALUE(TRIM(LEFT(Sync!$AE907,FIND("/",Sync!$AE907)-1))),""))))</f>
        <v/>
      </c>
      <c r="H907">
        <f>IF(OR($F907="",$G907=""),"",IF(ISNUMBER(Sync!$AE907),INT(MOD(Sync!$AE907,10000)/100),IFERROR(VALUE(TRIM(LEFT(MID(Sync!$AE907,FIND("/",Sync!$AE907)+1,20),FIND("/",MID(Sync!$AE907,FIND("/",Sync!$AE907)+1,20))-1))),"")))</f>
        <v/>
      </c>
      <c r="I907">
        <f>IF(OR($F907="",$G907=""),"",IF(ISNUMBER(Sync!$AE907),MOD(Sync!$AE907,100),IFERROR(VALUE(TRIM(MID(MID(Sync!$AE907,FIND("/",Sync!$AE907)+1,20),FIND("/",MID(Sync!$AE907,FIND("/",Sync!$AE907)+1,20))+1,20))),"")))</f>
        <v/>
      </c>
      <c r="J907">
        <f>IF($F907="","",IF(OR($G907="",$H907="",$I907="",$G907&lt;1300,$G907&gt;1500,$H907&lt;1,$H907&gt;12,$I907&lt;1,$I907&gt;31),"نامعتبر",RIGHT("0000"&amp;$G907,4)&amp;"/"&amp;RIGHT("00"&amp;$H907,2)&amp;"/"&amp;RIGHT("00"&amp;$I907,2)))</f>
        <v/>
      </c>
      <c r="K907">
        <f>IF(OR($F907="",$J907="",$J907="نامعتبر"),"",LEFT($J907,4)&amp;MID($J907,6,2)&amp;RIGHT($J907,2)&amp;$N907&amp;"|"&amp;"2"&amp;RIGHT("00000"&amp;902,5))</f>
        <v/>
      </c>
      <c r="L907">
        <f>IF($K907="","",COUNTIFS(LdgSellerA,$F907,LdgKeyA,"&lt;"&amp;$K907)+COUNTIFS(LdgSellerB,$F907,LdgKeyB,"&lt;"&amp;$K907)+1)</f>
        <v/>
      </c>
      <c r="M907">
        <f>IF($L907="","",$F907&amp;"|"&amp;RIGHT("000000"&amp;$L907,6))</f>
        <v/>
      </c>
      <c r="N907">
        <f>IF($F907="","",IF(Sync!$AF907="","0000",IF(AND(ISNUMBER(Sync!$AF907),Sync!$AF907&gt;=0,Sync!$AF907&lt;1),RIGHT("00"&amp;HOUR(Sync!$AF907),2)&amp;RIGHT("00"&amp;MINUTE(Sync!$AF907),2),IFERROR(RIGHT("00"&amp;VALUE(LEFT(Sync!$AF907,FIND(":",Sync!$AF907)-1)),2)&amp;RIGHT("00"&amp;VALUE(MID(Sync!$AF907,FIND(":",Sync!$AF907)+1,2)),2),"0000"))))</f>
        <v/>
      </c>
    </row>
    <row r="908">
      <c r="A908">
        <f>IF(OR(Calc!$E912="",Calc!$E912="نامعتبر",Calc!$G912=""),"",Calc!$G912)</f>
        <v/>
      </c>
      <c r="B908">
        <f>IF($A908="","",LEFT(Calc!$E912,4)&amp;MID(Calc!$E912,6,2)&amp;RIGHT(Calc!$E912,2)&amp;Calc!$Q912&amp;"|"&amp;"1"&amp;RIGHT("00000"&amp;903,5))</f>
        <v/>
      </c>
      <c r="C908">
        <f>IF($B908="","",COUNTIFS(LdgSellerA,$A908,LdgKeyA,"&lt;"&amp;$B908)+COUNTIFS(LdgSellerB,$A908,LdgKeyB,"&lt;"&amp;$B908)+1)</f>
        <v/>
      </c>
      <c r="D908">
        <f>IF($C908="","",$A908&amp;"|"&amp;RIGHT("000000"&amp;$C908,6))</f>
        <v/>
      </c>
      <c r="F908">
        <f>IF(Sync!$AH908="","",IF(LEFT(UPPER(TRIM(Sync!$AH908)),2)="SL",UPPER(TRIM(Sync!$AH908)),""))</f>
        <v/>
      </c>
      <c r="G908">
        <f>IF($F908="","",IF(Sync!$AE908="","",IF(ISNUMBER(Sync!$AE908),IF(AND(Sync!$AE908&gt;=10000101,Sync!$AE908&lt;=99991231),INT(Sync!$AE908/10000),""),IFERROR(VALUE(TRIM(LEFT(Sync!$AE908,FIND("/",Sync!$AE908)-1))),""))))</f>
        <v/>
      </c>
      <c r="H908">
        <f>IF(OR($F908="",$G908=""),"",IF(ISNUMBER(Sync!$AE908),INT(MOD(Sync!$AE908,10000)/100),IFERROR(VALUE(TRIM(LEFT(MID(Sync!$AE908,FIND("/",Sync!$AE908)+1,20),FIND("/",MID(Sync!$AE908,FIND("/",Sync!$AE908)+1,20))-1))),"")))</f>
        <v/>
      </c>
      <c r="I908">
        <f>IF(OR($F908="",$G908=""),"",IF(ISNUMBER(Sync!$AE908),MOD(Sync!$AE908,100),IFERROR(VALUE(TRIM(MID(MID(Sync!$AE908,FIND("/",Sync!$AE908)+1,20),FIND("/",MID(Sync!$AE908,FIND("/",Sync!$AE908)+1,20))+1,20))),"")))</f>
        <v/>
      </c>
      <c r="J908">
        <f>IF($F908="","",IF(OR($G908="",$H908="",$I908="",$G908&lt;1300,$G908&gt;1500,$H908&lt;1,$H908&gt;12,$I908&lt;1,$I908&gt;31),"نامعتبر",RIGHT("0000"&amp;$G908,4)&amp;"/"&amp;RIGHT("00"&amp;$H908,2)&amp;"/"&amp;RIGHT("00"&amp;$I908,2)))</f>
        <v/>
      </c>
      <c r="K908">
        <f>IF(OR($F908="",$J908="",$J908="نامعتبر"),"",LEFT($J908,4)&amp;MID($J908,6,2)&amp;RIGHT($J908,2)&amp;$N908&amp;"|"&amp;"2"&amp;RIGHT("00000"&amp;903,5))</f>
        <v/>
      </c>
      <c r="L908">
        <f>IF($K908="","",COUNTIFS(LdgSellerA,$F908,LdgKeyA,"&lt;"&amp;$K908)+COUNTIFS(LdgSellerB,$F908,LdgKeyB,"&lt;"&amp;$K908)+1)</f>
        <v/>
      </c>
      <c r="M908">
        <f>IF($L908="","",$F908&amp;"|"&amp;RIGHT("000000"&amp;$L908,6))</f>
        <v/>
      </c>
      <c r="N908">
        <f>IF($F908="","",IF(Sync!$AF908="","0000",IF(AND(ISNUMBER(Sync!$AF908),Sync!$AF908&gt;=0,Sync!$AF908&lt;1),RIGHT("00"&amp;HOUR(Sync!$AF908),2)&amp;RIGHT("00"&amp;MINUTE(Sync!$AF908),2),IFERROR(RIGHT("00"&amp;VALUE(LEFT(Sync!$AF908,FIND(":",Sync!$AF908)-1)),2)&amp;RIGHT("00"&amp;VALUE(MID(Sync!$AF908,FIND(":",Sync!$AF908)+1,2)),2),"0000"))))</f>
        <v/>
      </c>
    </row>
    <row r="909">
      <c r="A909">
        <f>IF(OR(Calc!$E913="",Calc!$E913="نامعتبر",Calc!$G913=""),"",Calc!$G913)</f>
        <v/>
      </c>
      <c r="B909">
        <f>IF($A909="","",LEFT(Calc!$E913,4)&amp;MID(Calc!$E913,6,2)&amp;RIGHT(Calc!$E913,2)&amp;Calc!$Q913&amp;"|"&amp;"1"&amp;RIGHT("00000"&amp;904,5))</f>
        <v/>
      </c>
      <c r="C909">
        <f>IF($B909="","",COUNTIFS(LdgSellerA,$A909,LdgKeyA,"&lt;"&amp;$B909)+COUNTIFS(LdgSellerB,$A909,LdgKeyB,"&lt;"&amp;$B909)+1)</f>
        <v/>
      </c>
      <c r="D909">
        <f>IF($C909="","",$A909&amp;"|"&amp;RIGHT("000000"&amp;$C909,6))</f>
        <v/>
      </c>
      <c r="F909">
        <f>IF(Sync!$AH909="","",IF(LEFT(UPPER(TRIM(Sync!$AH909)),2)="SL",UPPER(TRIM(Sync!$AH909)),""))</f>
        <v/>
      </c>
      <c r="G909">
        <f>IF($F909="","",IF(Sync!$AE909="","",IF(ISNUMBER(Sync!$AE909),IF(AND(Sync!$AE909&gt;=10000101,Sync!$AE909&lt;=99991231),INT(Sync!$AE909/10000),""),IFERROR(VALUE(TRIM(LEFT(Sync!$AE909,FIND("/",Sync!$AE909)-1))),""))))</f>
        <v/>
      </c>
      <c r="H909">
        <f>IF(OR($F909="",$G909=""),"",IF(ISNUMBER(Sync!$AE909),INT(MOD(Sync!$AE909,10000)/100),IFERROR(VALUE(TRIM(LEFT(MID(Sync!$AE909,FIND("/",Sync!$AE909)+1,20),FIND("/",MID(Sync!$AE909,FIND("/",Sync!$AE909)+1,20))-1))),"")))</f>
        <v/>
      </c>
      <c r="I909">
        <f>IF(OR($F909="",$G909=""),"",IF(ISNUMBER(Sync!$AE909),MOD(Sync!$AE909,100),IFERROR(VALUE(TRIM(MID(MID(Sync!$AE909,FIND("/",Sync!$AE909)+1,20),FIND("/",MID(Sync!$AE909,FIND("/",Sync!$AE909)+1,20))+1,20))),"")))</f>
        <v/>
      </c>
      <c r="J909">
        <f>IF($F909="","",IF(OR($G909="",$H909="",$I909="",$G909&lt;1300,$G909&gt;1500,$H909&lt;1,$H909&gt;12,$I909&lt;1,$I909&gt;31),"نامعتبر",RIGHT("0000"&amp;$G909,4)&amp;"/"&amp;RIGHT("00"&amp;$H909,2)&amp;"/"&amp;RIGHT("00"&amp;$I909,2)))</f>
        <v/>
      </c>
      <c r="K909">
        <f>IF(OR($F909="",$J909="",$J909="نامعتبر"),"",LEFT($J909,4)&amp;MID($J909,6,2)&amp;RIGHT($J909,2)&amp;$N909&amp;"|"&amp;"2"&amp;RIGHT("00000"&amp;904,5))</f>
        <v/>
      </c>
      <c r="L909">
        <f>IF($K909="","",COUNTIFS(LdgSellerA,$F909,LdgKeyA,"&lt;"&amp;$K909)+COUNTIFS(LdgSellerB,$F909,LdgKeyB,"&lt;"&amp;$K909)+1)</f>
        <v/>
      </c>
      <c r="M909">
        <f>IF($L909="","",$F909&amp;"|"&amp;RIGHT("000000"&amp;$L909,6))</f>
        <v/>
      </c>
      <c r="N909">
        <f>IF($F909="","",IF(Sync!$AF909="","0000",IF(AND(ISNUMBER(Sync!$AF909),Sync!$AF909&gt;=0,Sync!$AF909&lt;1),RIGHT("00"&amp;HOUR(Sync!$AF909),2)&amp;RIGHT("00"&amp;MINUTE(Sync!$AF909),2),IFERROR(RIGHT("00"&amp;VALUE(LEFT(Sync!$AF909,FIND(":",Sync!$AF909)-1)),2)&amp;RIGHT("00"&amp;VALUE(MID(Sync!$AF909,FIND(":",Sync!$AF909)+1,2)),2),"0000"))))</f>
        <v/>
      </c>
    </row>
    <row r="910">
      <c r="A910">
        <f>IF(OR(Calc!$E914="",Calc!$E914="نامعتبر",Calc!$G914=""),"",Calc!$G914)</f>
        <v/>
      </c>
      <c r="B910">
        <f>IF($A910="","",LEFT(Calc!$E914,4)&amp;MID(Calc!$E914,6,2)&amp;RIGHT(Calc!$E914,2)&amp;Calc!$Q914&amp;"|"&amp;"1"&amp;RIGHT("00000"&amp;905,5))</f>
        <v/>
      </c>
      <c r="C910">
        <f>IF($B910="","",COUNTIFS(LdgSellerA,$A910,LdgKeyA,"&lt;"&amp;$B910)+COUNTIFS(LdgSellerB,$A910,LdgKeyB,"&lt;"&amp;$B910)+1)</f>
        <v/>
      </c>
      <c r="D910">
        <f>IF($C910="","",$A910&amp;"|"&amp;RIGHT("000000"&amp;$C910,6))</f>
        <v/>
      </c>
      <c r="F910">
        <f>IF(Sync!$AH910="","",IF(LEFT(UPPER(TRIM(Sync!$AH910)),2)="SL",UPPER(TRIM(Sync!$AH910)),""))</f>
        <v/>
      </c>
      <c r="G910">
        <f>IF($F910="","",IF(Sync!$AE910="","",IF(ISNUMBER(Sync!$AE910),IF(AND(Sync!$AE910&gt;=10000101,Sync!$AE910&lt;=99991231),INT(Sync!$AE910/10000),""),IFERROR(VALUE(TRIM(LEFT(Sync!$AE910,FIND("/",Sync!$AE910)-1))),""))))</f>
        <v/>
      </c>
      <c r="H910">
        <f>IF(OR($F910="",$G910=""),"",IF(ISNUMBER(Sync!$AE910),INT(MOD(Sync!$AE910,10000)/100),IFERROR(VALUE(TRIM(LEFT(MID(Sync!$AE910,FIND("/",Sync!$AE910)+1,20),FIND("/",MID(Sync!$AE910,FIND("/",Sync!$AE910)+1,20))-1))),"")))</f>
        <v/>
      </c>
      <c r="I910">
        <f>IF(OR($F910="",$G910=""),"",IF(ISNUMBER(Sync!$AE910),MOD(Sync!$AE910,100),IFERROR(VALUE(TRIM(MID(MID(Sync!$AE910,FIND("/",Sync!$AE910)+1,20),FIND("/",MID(Sync!$AE910,FIND("/",Sync!$AE910)+1,20))+1,20))),"")))</f>
        <v/>
      </c>
      <c r="J910">
        <f>IF($F910="","",IF(OR($G910="",$H910="",$I910="",$G910&lt;1300,$G910&gt;1500,$H910&lt;1,$H910&gt;12,$I910&lt;1,$I910&gt;31),"نامعتبر",RIGHT("0000"&amp;$G910,4)&amp;"/"&amp;RIGHT("00"&amp;$H910,2)&amp;"/"&amp;RIGHT("00"&amp;$I910,2)))</f>
        <v/>
      </c>
      <c r="K910">
        <f>IF(OR($F910="",$J910="",$J910="نامعتبر"),"",LEFT($J910,4)&amp;MID($J910,6,2)&amp;RIGHT($J910,2)&amp;$N910&amp;"|"&amp;"2"&amp;RIGHT("00000"&amp;905,5))</f>
        <v/>
      </c>
      <c r="L910">
        <f>IF($K910="","",COUNTIFS(LdgSellerA,$F910,LdgKeyA,"&lt;"&amp;$K910)+COUNTIFS(LdgSellerB,$F910,LdgKeyB,"&lt;"&amp;$K910)+1)</f>
        <v/>
      </c>
      <c r="M910">
        <f>IF($L910="","",$F910&amp;"|"&amp;RIGHT("000000"&amp;$L910,6))</f>
        <v/>
      </c>
      <c r="N910">
        <f>IF($F910="","",IF(Sync!$AF910="","0000",IF(AND(ISNUMBER(Sync!$AF910),Sync!$AF910&gt;=0,Sync!$AF910&lt;1),RIGHT("00"&amp;HOUR(Sync!$AF910),2)&amp;RIGHT("00"&amp;MINUTE(Sync!$AF910),2),IFERROR(RIGHT("00"&amp;VALUE(LEFT(Sync!$AF910,FIND(":",Sync!$AF910)-1)),2)&amp;RIGHT("00"&amp;VALUE(MID(Sync!$AF910,FIND(":",Sync!$AF910)+1,2)),2),"0000"))))</f>
        <v/>
      </c>
    </row>
    <row r="911">
      <c r="A911">
        <f>IF(OR(Calc!$E915="",Calc!$E915="نامعتبر",Calc!$G915=""),"",Calc!$G915)</f>
        <v/>
      </c>
      <c r="B911">
        <f>IF($A911="","",LEFT(Calc!$E915,4)&amp;MID(Calc!$E915,6,2)&amp;RIGHT(Calc!$E915,2)&amp;Calc!$Q915&amp;"|"&amp;"1"&amp;RIGHT("00000"&amp;906,5))</f>
        <v/>
      </c>
      <c r="C911">
        <f>IF($B911="","",COUNTIFS(LdgSellerA,$A911,LdgKeyA,"&lt;"&amp;$B911)+COUNTIFS(LdgSellerB,$A911,LdgKeyB,"&lt;"&amp;$B911)+1)</f>
        <v/>
      </c>
      <c r="D911">
        <f>IF($C911="","",$A911&amp;"|"&amp;RIGHT("000000"&amp;$C911,6))</f>
        <v/>
      </c>
      <c r="F911">
        <f>IF(Sync!$AH911="","",IF(LEFT(UPPER(TRIM(Sync!$AH911)),2)="SL",UPPER(TRIM(Sync!$AH911)),""))</f>
        <v/>
      </c>
      <c r="G911">
        <f>IF($F911="","",IF(Sync!$AE911="","",IF(ISNUMBER(Sync!$AE911),IF(AND(Sync!$AE911&gt;=10000101,Sync!$AE911&lt;=99991231),INT(Sync!$AE911/10000),""),IFERROR(VALUE(TRIM(LEFT(Sync!$AE911,FIND("/",Sync!$AE911)-1))),""))))</f>
        <v/>
      </c>
      <c r="H911">
        <f>IF(OR($F911="",$G911=""),"",IF(ISNUMBER(Sync!$AE911),INT(MOD(Sync!$AE911,10000)/100),IFERROR(VALUE(TRIM(LEFT(MID(Sync!$AE911,FIND("/",Sync!$AE911)+1,20),FIND("/",MID(Sync!$AE911,FIND("/",Sync!$AE911)+1,20))-1))),"")))</f>
        <v/>
      </c>
      <c r="I911">
        <f>IF(OR($F911="",$G911=""),"",IF(ISNUMBER(Sync!$AE911),MOD(Sync!$AE911,100),IFERROR(VALUE(TRIM(MID(MID(Sync!$AE911,FIND("/",Sync!$AE911)+1,20),FIND("/",MID(Sync!$AE911,FIND("/",Sync!$AE911)+1,20))+1,20))),"")))</f>
        <v/>
      </c>
      <c r="J911">
        <f>IF($F911="","",IF(OR($G911="",$H911="",$I911="",$G911&lt;1300,$G911&gt;1500,$H911&lt;1,$H911&gt;12,$I911&lt;1,$I911&gt;31),"نامعتبر",RIGHT("0000"&amp;$G911,4)&amp;"/"&amp;RIGHT("00"&amp;$H911,2)&amp;"/"&amp;RIGHT("00"&amp;$I911,2)))</f>
        <v/>
      </c>
      <c r="K911">
        <f>IF(OR($F911="",$J911="",$J911="نامعتبر"),"",LEFT($J911,4)&amp;MID($J911,6,2)&amp;RIGHT($J911,2)&amp;$N911&amp;"|"&amp;"2"&amp;RIGHT("00000"&amp;906,5))</f>
        <v/>
      </c>
      <c r="L911">
        <f>IF($K911="","",COUNTIFS(LdgSellerA,$F911,LdgKeyA,"&lt;"&amp;$K911)+COUNTIFS(LdgSellerB,$F911,LdgKeyB,"&lt;"&amp;$K911)+1)</f>
        <v/>
      </c>
      <c r="M911">
        <f>IF($L911="","",$F911&amp;"|"&amp;RIGHT("000000"&amp;$L911,6))</f>
        <v/>
      </c>
      <c r="N911">
        <f>IF($F911="","",IF(Sync!$AF911="","0000",IF(AND(ISNUMBER(Sync!$AF911),Sync!$AF911&gt;=0,Sync!$AF911&lt;1),RIGHT("00"&amp;HOUR(Sync!$AF911),2)&amp;RIGHT("00"&amp;MINUTE(Sync!$AF911),2),IFERROR(RIGHT("00"&amp;VALUE(LEFT(Sync!$AF911,FIND(":",Sync!$AF911)-1)),2)&amp;RIGHT("00"&amp;VALUE(MID(Sync!$AF911,FIND(":",Sync!$AF911)+1,2)),2),"0000"))))</f>
        <v/>
      </c>
    </row>
    <row r="912">
      <c r="A912">
        <f>IF(OR(Calc!$E916="",Calc!$E916="نامعتبر",Calc!$G916=""),"",Calc!$G916)</f>
        <v/>
      </c>
      <c r="B912">
        <f>IF($A912="","",LEFT(Calc!$E916,4)&amp;MID(Calc!$E916,6,2)&amp;RIGHT(Calc!$E916,2)&amp;Calc!$Q916&amp;"|"&amp;"1"&amp;RIGHT("00000"&amp;907,5))</f>
        <v/>
      </c>
      <c r="C912">
        <f>IF($B912="","",COUNTIFS(LdgSellerA,$A912,LdgKeyA,"&lt;"&amp;$B912)+COUNTIFS(LdgSellerB,$A912,LdgKeyB,"&lt;"&amp;$B912)+1)</f>
        <v/>
      </c>
      <c r="D912">
        <f>IF($C912="","",$A912&amp;"|"&amp;RIGHT("000000"&amp;$C912,6))</f>
        <v/>
      </c>
      <c r="F912">
        <f>IF(Sync!$AH912="","",IF(LEFT(UPPER(TRIM(Sync!$AH912)),2)="SL",UPPER(TRIM(Sync!$AH912)),""))</f>
        <v/>
      </c>
      <c r="G912">
        <f>IF($F912="","",IF(Sync!$AE912="","",IF(ISNUMBER(Sync!$AE912),IF(AND(Sync!$AE912&gt;=10000101,Sync!$AE912&lt;=99991231),INT(Sync!$AE912/10000),""),IFERROR(VALUE(TRIM(LEFT(Sync!$AE912,FIND("/",Sync!$AE912)-1))),""))))</f>
        <v/>
      </c>
      <c r="H912">
        <f>IF(OR($F912="",$G912=""),"",IF(ISNUMBER(Sync!$AE912),INT(MOD(Sync!$AE912,10000)/100),IFERROR(VALUE(TRIM(LEFT(MID(Sync!$AE912,FIND("/",Sync!$AE912)+1,20),FIND("/",MID(Sync!$AE912,FIND("/",Sync!$AE912)+1,20))-1))),"")))</f>
        <v/>
      </c>
      <c r="I912">
        <f>IF(OR($F912="",$G912=""),"",IF(ISNUMBER(Sync!$AE912),MOD(Sync!$AE912,100),IFERROR(VALUE(TRIM(MID(MID(Sync!$AE912,FIND("/",Sync!$AE912)+1,20),FIND("/",MID(Sync!$AE912,FIND("/",Sync!$AE912)+1,20))+1,20))),"")))</f>
        <v/>
      </c>
      <c r="J912">
        <f>IF($F912="","",IF(OR($G912="",$H912="",$I912="",$G912&lt;1300,$G912&gt;1500,$H912&lt;1,$H912&gt;12,$I912&lt;1,$I912&gt;31),"نامعتبر",RIGHT("0000"&amp;$G912,4)&amp;"/"&amp;RIGHT("00"&amp;$H912,2)&amp;"/"&amp;RIGHT("00"&amp;$I912,2)))</f>
        <v/>
      </c>
      <c r="K912">
        <f>IF(OR($F912="",$J912="",$J912="نامعتبر"),"",LEFT($J912,4)&amp;MID($J912,6,2)&amp;RIGHT($J912,2)&amp;$N912&amp;"|"&amp;"2"&amp;RIGHT("00000"&amp;907,5))</f>
        <v/>
      </c>
      <c r="L912">
        <f>IF($K912="","",COUNTIFS(LdgSellerA,$F912,LdgKeyA,"&lt;"&amp;$K912)+COUNTIFS(LdgSellerB,$F912,LdgKeyB,"&lt;"&amp;$K912)+1)</f>
        <v/>
      </c>
      <c r="M912">
        <f>IF($L912="","",$F912&amp;"|"&amp;RIGHT("000000"&amp;$L912,6))</f>
        <v/>
      </c>
      <c r="N912">
        <f>IF($F912="","",IF(Sync!$AF912="","0000",IF(AND(ISNUMBER(Sync!$AF912),Sync!$AF912&gt;=0,Sync!$AF912&lt;1),RIGHT("00"&amp;HOUR(Sync!$AF912),2)&amp;RIGHT("00"&amp;MINUTE(Sync!$AF912),2),IFERROR(RIGHT("00"&amp;VALUE(LEFT(Sync!$AF912,FIND(":",Sync!$AF912)-1)),2)&amp;RIGHT("00"&amp;VALUE(MID(Sync!$AF912,FIND(":",Sync!$AF912)+1,2)),2),"0000"))))</f>
        <v/>
      </c>
    </row>
    <row r="913">
      <c r="A913">
        <f>IF(OR(Calc!$E917="",Calc!$E917="نامعتبر",Calc!$G917=""),"",Calc!$G917)</f>
        <v/>
      </c>
      <c r="B913">
        <f>IF($A913="","",LEFT(Calc!$E917,4)&amp;MID(Calc!$E917,6,2)&amp;RIGHT(Calc!$E917,2)&amp;Calc!$Q917&amp;"|"&amp;"1"&amp;RIGHT("00000"&amp;908,5))</f>
        <v/>
      </c>
      <c r="C913">
        <f>IF($B913="","",COUNTIFS(LdgSellerA,$A913,LdgKeyA,"&lt;"&amp;$B913)+COUNTIFS(LdgSellerB,$A913,LdgKeyB,"&lt;"&amp;$B913)+1)</f>
        <v/>
      </c>
      <c r="D913">
        <f>IF($C913="","",$A913&amp;"|"&amp;RIGHT("000000"&amp;$C913,6))</f>
        <v/>
      </c>
      <c r="F913">
        <f>IF(Sync!$AH913="","",IF(LEFT(UPPER(TRIM(Sync!$AH913)),2)="SL",UPPER(TRIM(Sync!$AH913)),""))</f>
        <v/>
      </c>
      <c r="G913">
        <f>IF($F913="","",IF(Sync!$AE913="","",IF(ISNUMBER(Sync!$AE913),IF(AND(Sync!$AE913&gt;=10000101,Sync!$AE913&lt;=99991231),INT(Sync!$AE913/10000),""),IFERROR(VALUE(TRIM(LEFT(Sync!$AE913,FIND("/",Sync!$AE913)-1))),""))))</f>
        <v/>
      </c>
      <c r="H913">
        <f>IF(OR($F913="",$G913=""),"",IF(ISNUMBER(Sync!$AE913),INT(MOD(Sync!$AE913,10000)/100),IFERROR(VALUE(TRIM(LEFT(MID(Sync!$AE913,FIND("/",Sync!$AE913)+1,20),FIND("/",MID(Sync!$AE913,FIND("/",Sync!$AE913)+1,20))-1))),"")))</f>
        <v/>
      </c>
      <c r="I913">
        <f>IF(OR($F913="",$G913=""),"",IF(ISNUMBER(Sync!$AE913),MOD(Sync!$AE913,100),IFERROR(VALUE(TRIM(MID(MID(Sync!$AE913,FIND("/",Sync!$AE913)+1,20),FIND("/",MID(Sync!$AE913,FIND("/",Sync!$AE913)+1,20))+1,20))),"")))</f>
        <v/>
      </c>
      <c r="J913">
        <f>IF($F913="","",IF(OR($G913="",$H913="",$I913="",$G913&lt;1300,$G913&gt;1500,$H913&lt;1,$H913&gt;12,$I913&lt;1,$I913&gt;31),"نامعتبر",RIGHT("0000"&amp;$G913,4)&amp;"/"&amp;RIGHT("00"&amp;$H913,2)&amp;"/"&amp;RIGHT("00"&amp;$I913,2)))</f>
        <v/>
      </c>
      <c r="K913">
        <f>IF(OR($F913="",$J913="",$J913="نامعتبر"),"",LEFT($J913,4)&amp;MID($J913,6,2)&amp;RIGHT($J913,2)&amp;$N913&amp;"|"&amp;"2"&amp;RIGHT("00000"&amp;908,5))</f>
        <v/>
      </c>
      <c r="L913">
        <f>IF($K913="","",COUNTIFS(LdgSellerA,$F913,LdgKeyA,"&lt;"&amp;$K913)+COUNTIFS(LdgSellerB,$F913,LdgKeyB,"&lt;"&amp;$K913)+1)</f>
        <v/>
      </c>
      <c r="M913">
        <f>IF($L913="","",$F913&amp;"|"&amp;RIGHT("000000"&amp;$L913,6))</f>
        <v/>
      </c>
      <c r="N913">
        <f>IF($F913="","",IF(Sync!$AF913="","0000",IF(AND(ISNUMBER(Sync!$AF913),Sync!$AF913&gt;=0,Sync!$AF913&lt;1),RIGHT("00"&amp;HOUR(Sync!$AF913),2)&amp;RIGHT("00"&amp;MINUTE(Sync!$AF913),2),IFERROR(RIGHT("00"&amp;VALUE(LEFT(Sync!$AF913,FIND(":",Sync!$AF913)-1)),2)&amp;RIGHT("00"&amp;VALUE(MID(Sync!$AF913,FIND(":",Sync!$AF913)+1,2)),2),"0000"))))</f>
        <v/>
      </c>
    </row>
    <row r="914">
      <c r="A914">
        <f>IF(OR(Calc!$E918="",Calc!$E918="نامعتبر",Calc!$G918=""),"",Calc!$G918)</f>
        <v/>
      </c>
      <c r="B914">
        <f>IF($A914="","",LEFT(Calc!$E918,4)&amp;MID(Calc!$E918,6,2)&amp;RIGHT(Calc!$E918,2)&amp;Calc!$Q918&amp;"|"&amp;"1"&amp;RIGHT("00000"&amp;909,5))</f>
        <v/>
      </c>
      <c r="C914">
        <f>IF($B914="","",COUNTIFS(LdgSellerA,$A914,LdgKeyA,"&lt;"&amp;$B914)+COUNTIFS(LdgSellerB,$A914,LdgKeyB,"&lt;"&amp;$B914)+1)</f>
        <v/>
      </c>
      <c r="D914">
        <f>IF($C914="","",$A914&amp;"|"&amp;RIGHT("000000"&amp;$C914,6))</f>
        <v/>
      </c>
      <c r="F914">
        <f>IF(Sync!$AH914="","",IF(LEFT(UPPER(TRIM(Sync!$AH914)),2)="SL",UPPER(TRIM(Sync!$AH914)),""))</f>
        <v/>
      </c>
      <c r="G914">
        <f>IF($F914="","",IF(Sync!$AE914="","",IF(ISNUMBER(Sync!$AE914),IF(AND(Sync!$AE914&gt;=10000101,Sync!$AE914&lt;=99991231),INT(Sync!$AE914/10000),""),IFERROR(VALUE(TRIM(LEFT(Sync!$AE914,FIND("/",Sync!$AE914)-1))),""))))</f>
        <v/>
      </c>
      <c r="H914">
        <f>IF(OR($F914="",$G914=""),"",IF(ISNUMBER(Sync!$AE914),INT(MOD(Sync!$AE914,10000)/100),IFERROR(VALUE(TRIM(LEFT(MID(Sync!$AE914,FIND("/",Sync!$AE914)+1,20),FIND("/",MID(Sync!$AE914,FIND("/",Sync!$AE914)+1,20))-1))),"")))</f>
        <v/>
      </c>
      <c r="I914">
        <f>IF(OR($F914="",$G914=""),"",IF(ISNUMBER(Sync!$AE914),MOD(Sync!$AE914,100),IFERROR(VALUE(TRIM(MID(MID(Sync!$AE914,FIND("/",Sync!$AE914)+1,20),FIND("/",MID(Sync!$AE914,FIND("/",Sync!$AE914)+1,20))+1,20))),"")))</f>
        <v/>
      </c>
      <c r="J914">
        <f>IF($F914="","",IF(OR($G914="",$H914="",$I914="",$G914&lt;1300,$G914&gt;1500,$H914&lt;1,$H914&gt;12,$I914&lt;1,$I914&gt;31),"نامعتبر",RIGHT("0000"&amp;$G914,4)&amp;"/"&amp;RIGHT("00"&amp;$H914,2)&amp;"/"&amp;RIGHT("00"&amp;$I914,2)))</f>
        <v/>
      </c>
      <c r="K914">
        <f>IF(OR($F914="",$J914="",$J914="نامعتبر"),"",LEFT($J914,4)&amp;MID($J914,6,2)&amp;RIGHT($J914,2)&amp;$N914&amp;"|"&amp;"2"&amp;RIGHT("00000"&amp;909,5))</f>
        <v/>
      </c>
      <c r="L914">
        <f>IF($K914="","",COUNTIFS(LdgSellerA,$F914,LdgKeyA,"&lt;"&amp;$K914)+COUNTIFS(LdgSellerB,$F914,LdgKeyB,"&lt;"&amp;$K914)+1)</f>
        <v/>
      </c>
      <c r="M914">
        <f>IF($L914="","",$F914&amp;"|"&amp;RIGHT("000000"&amp;$L914,6))</f>
        <v/>
      </c>
      <c r="N914">
        <f>IF($F914="","",IF(Sync!$AF914="","0000",IF(AND(ISNUMBER(Sync!$AF914),Sync!$AF914&gt;=0,Sync!$AF914&lt;1),RIGHT("00"&amp;HOUR(Sync!$AF914),2)&amp;RIGHT("00"&amp;MINUTE(Sync!$AF914),2),IFERROR(RIGHT("00"&amp;VALUE(LEFT(Sync!$AF914,FIND(":",Sync!$AF914)-1)),2)&amp;RIGHT("00"&amp;VALUE(MID(Sync!$AF914,FIND(":",Sync!$AF914)+1,2)),2),"0000"))))</f>
        <v/>
      </c>
    </row>
    <row r="915">
      <c r="A915">
        <f>IF(OR(Calc!$E919="",Calc!$E919="نامعتبر",Calc!$G919=""),"",Calc!$G919)</f>
        <v/>
      </c>
      <c r="B915">
        <f>IF($A915="","",LEFT(Calc!$E919,4)&amp;MID(Calc!$E919,6,2)&amp;RIGHT(Calc!$E919,2)&amp;Calc!$Q919&amp;"|"&amp;"1"&amp;RIGHT("00000"&amp;910,5))</f>
        <v/>
      </c>
      <c r="C915">
        <f>IF($B915="","",COUNTIFS(LdgSellerA,$A915,LdgKeyA,"&lt;"&amp;$B915)+COUNTIFS(LdgSellerB,$A915,LdgKeyB,"&lt;"&amp;$B915)+1)</f>
        <v/>
      </c>
      <c r="D915">
        <f>IF($C915="","",$A915&amp;"|"&amp;RIGHT("000000"&amp;$C915,6))</f>
        <v/>
      </c>
      <c r="F915">
        <f>IF(Sync!$AH915="","",IF(LEFT(UPPER(TRIM(Sync!$AH915)),2)="SL",UPPER(TRIM(Sync!$AH915)),""))</f>
        <v/>
      </c>
      <c r="G915">
        <f>IF($F915="","",IF(Sync!$AE915="","",IF(ISNUMBER(Sync!$AE915),IF(AND(Sync!$AE915&gt;=10000101,Sync!$AE915&lt;=99991231),INT(Sync!$AE915/10000),""),IFERROR(VALUE(TRIM(LEFT(Sync!$AE915,FIND("/",Sync!$AE915)-1))),""))))</f>
        <v/>
      </c>
      <c r="H915">
        <f>IF(OR($F915="",$G915=""),"",IF(ISNUMBER(Sync!$AE915),INT(MOD(Sync!$AE915,10000)/100),IFERROR(VALUE(TRIM(LEFT(MID(Sync!$AE915,FIND("/",Sync!$AE915)+1,20),FIND("/",MID(Sync!$AE915,FIND("/",Sync!$AE915)+1,20))-1))),"")))</f>
        <v/>
      </c>
      <c r="I915">
        <f>IF(OR($F915="",$G915=""),"",IF(ISNUMBER(Sync!$AE915),MOD(Sync!$AE915,100),IFERROR(VALUE(TRIM(MID(MID(Sync!$AE915,FIND("/",Sync!$AE915)+1,20),FIND("/",MID(Sync!$AE915,FIND("/",Sync!$AE915)+1,20))+1,20))),"")))</f>
        <v/>
      </c>
      <c r="J915">
        <f>IF($F915="","",IF(OR($G915="",$H915="",$I915="",$G915&lt;1300,$G915&gt;1500,$H915&lt;1,$H915&gt;12,$I915&lt;1,$I915&gt;31),"نامعتبر",RIGHT("0000"&amp;$G915,4)&amp;"/"&amp;RIGHT("00"&amp;$H915,2)&amp;"/"&amp;RIGHT("00"&amp;$I915,2)))</f>
        <v/>
      </c>
      <c r="K915">
        <f>IF(OR($F915="",$J915="",$J915="نامعتبر"),"",LEFT($J915,4)&amp;MID($J915,6,2)&amp;RIGHT($J915,2)&amp;$N915&amp;"|"&amp;"2"&amp;RIGHT("00000"&amp;910,5))</f>
        <v/>
      </c>
      <c r="L915">
        <f>IF($K915="","",COUNTIFS(LdgSellerA,$F915,LdgKeyA,"&lt;"&amp;$K915)+COUNTIFS(LdgSellerB,$F915,LdgKeyB,"&lt;"&amp;$K915)+1)</f>
        <v/>
      </c>
      <c r="M915">
        <f>IF($L915="","",$F915&amp;"|"&amp;RIGHT("000000"&amp;$L915,6))</f>
        <v/>
      </c>
      <c r="N915">
        <f>IF($F915="","",IF(Sync!$AF915="","0000",IF(AND(ISNUMBER(Sync!$AF915),Sync!$AF915&gt;=0,Sync!$AF915&lt;1),RIGHT("00"&amp;HOUR(Sync!$AF915),2)&amp;RIGHT("00"&amp;MINUTE(Sync!$AF915),2),IFERROR(RIGHT("00"&amp;VALUE(LEFT(Sync!$AF915,FIND(":",Sync!$AF915)-1)),2)&amp;RIGHT("00"&amp;VALUE(MID(Sync!$AF915,FIND(":",Sync!$AF915)+1,2)),2),"0000"))))</f>
        <v/>
      </c>
    </row>
    <row r="916">
      <c r="A916">
        <f>IF(OR(Calc!$E920="",Calc!$E920="نامعتبر",Calc!$G920=""),"",Calc!$G920)</f>
        <v/>
      </c>
      <c r="B916">
        <f>IF($A916="","",LEFT(Calc!$E920,4)&amp;MID(Calc!$E920,6,2)&amp;RIGHT(Calc!$E920,2)&amp;Calc!$Q920&amp;"|"&amp;"1"&amp;RIGHT("00000"&amp;911,5))</f>
        <v/>
      </c>
      <c r="C916">
        <f>IF($B916="","",COUNTIFS(LdgSellerA,$A916,LdgKeyA,"&lt;"&amp;$B916)+COUNTIFS(LdgSellerB,$A916,LdgKeyB,"&lt;"&amp;$B916)+1)</f>
        <v/>
      </c>
      <c r="D916">
        <f>IF($C916="","",$A916&amp;"|"&amp;RIGHT("000000"&amp;$C916,6))</f>
        <v/>
      </c>
      <c r="F916">
        <f>IF(Sync!$AH916="","",IF(LEFT(UPPER(TRIM(Sync!$AH916)),2)="SL",UPPER(TRIM(Sync!$AH916)),""))</f>
        <v/>
      </c>
      <c r="G916">
        <f>IF($F916="","",IF(Sync!$AE916="","",IF(ISNUMBER(Sync!$AE916),IF(AND(Sync!$AE916&gt;=10000101,Sync!$AE916&lt;=99991231),INT(Sync!$AE916/10000),""),IFERROR(VALUE(TRIM(LEFT(Sync!$AE916,FIND("/",Sync!$AE916)-1))),""))))</f>
        <v/>
      </c>
      <c r="H916">
        <f>IF(OR($F916="",$G916=""),"",IF(ISNUMBER(Sync!$AE916),INT(MOD(Sync!$AE916,10000)/100),IFERROR(VALUE(TRIM(LEFT(MID(Sync!$AE916,FIND("/",Sync!$AE916)+1,20),FIND("/",MID(Sync!$AE916,FIND("/",Sync!$AE916)+1,20))-1))),"")))</f>
        <v/>
      </c>
      <c r="I916">
        <f>IF(OR($F916="",$G916=""),"",IF(ISNUMBER(Sync!$AE916),MOD(Sync!$AE916,100),IFERROR(VALUE(TRIM(MID(MID(Sync!$AE916,FIND("/",Sync!$AE916)+1,20),FIND("/",MID(Sync!$AE916,FIND("/",Sync!$AE916)+1,20))+1,20))),"")))</f>
        <v/>
      </c>
      <c r="J916">
        <f>IF($F916="","",IF(OR($G916="",$H916="",$I916="",$G916&lt;1300,$G916&gt;1500,$H916&lt;1,$H916&gt;12,$I916&lt;1,$I916&gt;31),"نامعتبر",RIGHT("0000"&amp;$G916,4)&amp;"/"&amp;RIGHT("00"&amp;$H916,2)&amp;"/"&amp;RIGHT("00"&amp;$I916,2)))</f>
        <v/>
      </c>
      <c r="K916">
        <f>IF(OR($F916="",$J916="",$J916="نامعتبر"),"",LEFT($J916,4)&amp;MID($J916,6,2)&amp;RIGHT($J916,2)&amp;$N916&amp;"|"&amp;"2"&amp;RIGHT("00000"&amp;911,5))</f>
        <v/>
      </c>
      <c r="L916">
        <f>IF($K916="","",COUNTIFS(LdgSellerA,$F916,LdgKeyA,"&lt;"&amp;$K916)+COUNTIFS(LdgSellerB,$F916,LdgKeyB,"&lt;"&amp;$K916)+1)</f>
        <v/>
      </c>
      <c r="M916">
        <f>IF($L916="","",$F916&amp;"|"&amp;RIGHT("000000"&amp;$L916,6))</f>
        <v/>
      </c>
      <c r="N916">
        <f>IF($F916="","",IF(Sync!$AF916="","0000",IF(AND(ISNUMBER(Sync!$AF916),Sync!$AF916&gt;=0,Sync!$AF916&lt;1),RIGHT("00"&amp;HOUR(Sync!$AF916),2)&amp;RIGHT("00"&amp;MINUTE(Sync!$AF916),2),IFERROR(RIGHT("00"&amp;VALUE(LEFT(Sync!$AF916,FIND(":",Sync!$AF916)-1)),2)&amp;RIGHT("00"&amp;VALUE(MID(Sync!$AF916,FIND(":",Sync!$AF916)+1,2)),2),"0000"))))</f>
        <v/>
      </c>
    </row>
    <row r="917">
      <c r="A917">
        <f>IF(OR(Calc!$E921="",Calc!$E921="نامعتبر",Calc!$G921=""),"",Calc!$G921)</f>
        <v/>
      </c>
      <c r="B917">
        <f>IF($A917="","",LEFT(Calc!$E921,4)&amp;MID(Calc!$E921,6,2)&amp;RIGHT(Calc!$E921,2)&amp;Calc!$Q921&amp;"|"&amp;"1"&amp;RIGHT("00000"&amp;912,5))</f>
        <v/>
      </c>
      <c r="C917">
        <f>IF($B917="","",COUNTIFS(LdgSellerA,$A917,LdgKeyA,"&lt;"&amp;$B917)+COUNTIFS(LdgSellerB,$A917,LdgKeyB,"&lt;"&amp;$B917)+1)</f>
        <v/>
      </c>
      <c r="D917">
        <f>IF($C917="","",$A917&amp;"|"&amp;RIGHT("000000"&amp;$C917,6))</f>
        <v/>
      </c>
      <c r="F917">
        <f>IF(Sync!$AH917="","",IF(LEFT(UPPER(TRIM(Sync!$AH917)),2)="SL",UPPER(TRIM(Sync!$AH917)),""))</f>
        <v/>
      </c>
      <c r="G917">
        <f>IF($F917="","",IF(Sync!$AE917="","",IF(ISNUMBER(Sync!$AE917),IF(AND(Sync!$AE917&gt;=10000101,Sync!$AE917&lt;=99991231),INT(Sync!$AE917/10000),""),IFERROR(VALUE(TRIM(LEFT(Sync!$AE917,FIND("/",Sync!$AE917)-1))),""))))</f>
        <v/>
      </c>
      <c r="H917">
        <f>IF(OR($F917="",$G917=""),"",IF(ISNUMBER(Sync!$AE917),INT(MOD(Sync!$AE917,10000)/100),IFERROR(VALUE(TRIM(LEFT(MID(Sync!$AE917,FIND("/",Sync!$AE917)+1,20),FIND("/",MID(Sync!$AE917,FIND("/",Sync!$AE917)+1,20))-1))),"")))</f>
        <v/>
      </c>
      <c r="I917">
        <f>IF(OR($F917="",$G917=""),"",IF(ISNUMBER(Sync!$AE917),MOD(Sync!$AE917,100),IFERROR(VALUE(TRIM(MID(MID(Sync!$AE917,FIND("/",Sync!$AE917)+1,20),FIND("/",MID(Sync!$AE917,FIND("/",Sync!$AE917)+1,20))+1,20))),"")))</f>
        <v/>
      </c>
      <c r="J917">
        <f>IF($F917="","",IF(OR($G917="",$H917="",$I917="",$G917&lt;1300,$G917&gt;1500,$H917&lt;1,$H917&gt;12,$I917&lt;1,$I917&gt;31),"نامعتبر",RIGHT("0000"&amp;$G917,4)&amp;"/"&amp;RIGHT("00"&amp;$H917,2)&amp;"/"&amp;RIGHT("00"&amp;$I917,2)))</f>
        <v/>
      </c>
      <c r="K917">
        <f>IF(OR($F917="",$J917="",$J917="نامعتبر"),"",LEFT($J917,4)&amp;MID($J917,6,2)&amp;RIGHT($J917,2)&amp;$N917&amp;"|"&amp;"2"&amp;RIGHT("00000"&amp;912,5))</f>
        <v/>
      </c>
      <c r="L917">
        <f>IF($K917="","",COUNTIFS(LdgSellerA,$F917,LdgKeyA,"&lt;"&amp;$K917)+COUNTIFS(LdgSellerB,$F917,LdgKeyB,"&lt;"&amp;$K917)+1)</f>
        <v/>
      </c>
      <c r="M917">
        <f>IF($L917="","",$F917&amp;"|"&amp;RIGHT("000000"&amp;$L917,6))</f>
        <v/>
      </c>
      <c r="N917">
        <f>IF($F917="","",IF(Sync!$AF917="","0000",IF(AND(ISNUMBER(Sync!$AF917),Sync!$AF917&gt;=0,Sync!$AF917&lt;1),RIGHT("00"&amp;HOUR(Sync!$AF917),2)&amp;RIGHT("00"&amp;MINUTE(Sync!$AF917),2),IFERROR(RIGHT("00"&amp;VALUE(LEFT(Sync!$AF917,FIND(":",Sync!$AF917)-1)),2)&amp;RIGHT("00"&amp;VALUE(MID(Sync!$AF917,FIND(":",Sync!$AF917)+1,2)),2),"0000"))))</f>
        <v/>
      </c>
    </row>
    <row r="918">
      <c r="A918">
        <f>IF(OR(Calc!$E922="",Calc!$E922="نامعتبر",Calc!$G922=""),"",Calc!$G922)</f>
        <v/>
      </c>
      <c r="B918">
        <f>IF($A918="","",LEFT(Calc!$E922,4)&amp;MID(Calc!$E922,6,2)&amp;RIGHT(Calc!$E922,2)&amp;Calc!$Q922&amp;"|"&amp;"1"&amp;RIGHT("00000"&amp;913,5))</f>
        <v/>
      </c>
      <c r="C918">
        <f>IF($B918="","",COUNTIFS(LdgSellerA,$A918,LdgKeyA,"&lt;"&amp;$B918)+COUNTIFS(LdgSellerB,$A918,LdgKeyB,"&lt;"&amp;$B918)+1)</f>
        <v/>
      </c>
      <c r="D918">
        <f>IF($C918="","",$A918&amp;"|"&amp;RIGHT("000000"&amp;$C918,6))</f>
        <v/>
      </c>
      <c r="F918">
        <f>IF(Sync!$AH918="","",IF(LEFT(UPPER(TRIM(Sync!$AH918)),2)="SL",UPPER(TRIM(Sync!$AH918)),""))</f>
        <v/>
      </c>
      <c r="G918">
        <f>IF($F918="","",IF(Sync!$AE918="","",IF(ISNUMBER(Sync!$AE918),IF(AND(Sync!$AE918&gt;=10000101,Sync!$AE918&lt;=99991231),INT(Sync!$AE918/10000),""),IFERROR(VALUE(TRIM(LEFT(Sync!$AE918,FIND("/",Sync!$AE918)-1))),""))))</f>
        <v/>
      </c>
      <c r="H918">
        <f>IF(OR($F918="",$G918=""),"",IF(ISNUMBER(Sync!$AE918),INT(MOD(Sync!$AE918,10000)/100),IFERROR(VALUE(TRIM(LEFT(MID(Sync!$AE918,FIND("/",Sync!$AE918)+1,20),FIND("/",MID(Sync!$AE918,FIND("/",Sync!$AE918)+1,20))-1))),"")))</f>
        <v/>
      </c>
      <c r="I918">
        <f>IF(OR($F918="",$G918=""),"",IF(ISNUMBER(Sync!$AE918),MOD(Sync!$AE918,100),IFERROR(VALUE(TRIM(MID(MID(Sync!$AE918,FIND("/",Sync!$AE918)+1,20),FIND("/",MID(Sync!$AE918,FIND("/",Sync!$AE918)+1,20))+1,20))),"")))</f>
        <v/>
      </c>
      <c r="J918">
        <f>IF($F918="","",IF(OR($G918="",$H918="",$I918="",$G918&lt;1300,$G918&gt;1500,$H918&lt;1,$H918&gt;12,$I918&lt;1,$I918&gt;31),"نامعتبر",RIGHT("0000"&amp;$G918,4)&amp;"/"&amp;RIGHT("00"&amp;$H918,2)&amp;"/"&amp;RIGHT("00"&amp;$I918,2)))</f>
        <v/>
      </c>
      <c r="K918">
        <f>IF(OR($F918="",$J918="",$J918="نامعتبر"),"",LEFT($J918,4)&amp;MID($J918,6,2)&amp;RIGHT($J918,2)&amp;$N918&amp;"|"&amp;"2"&amp;RIGHT("00000"&amp;913,5))</f>
        <v/>
      </c>
      <c r="L918">
        <f>IF($K918="","",COUNTIFS(LdgSellerA,$F918,LdgKeyA,"&lt;"&amp;$K918)+COUNTIFS(LdgSellerB,$F918,LdgKeyB,"&lt;"&amp;$K918)+1)</f>
        <v/>
      </c>
      <c r="M918">
        <f>IF($L918="","",$F918&amp;"|"&amp;RIGHT("000000"&amp;$L918,6))</f>
        <v/>
      </c>
      <c r="N918">
        <f>IF($F918="","",IF(Sync!$AF918="","0000",IF(AND(ISNUMBER(Sync!$AF918),Sync!$AF918&gt;=0,Sync!$AF918&lt;1),RIGHT("00"&amp;HOUR(Sync!$AF918),2)&amp;RIGHT("00"&amp;MINUTE(Sync!$AF918),2),IFERROR(RIGHT("00"&amp;VALUE(LEFT(Sync!$AF918,FIND(":",Sync!$AF918)-1)),2)&amp;RIGHT("00"&amp;VALUE(MID(Sync!$AF918,FIND(":",Sync!$AF918)+1,2)),2),"0000"))))</f>
        <v/>
      </c>
    </row>
    <row r="919">
      <c r="A919">
        <f>IF(OR(Calc!$E923="",Calc!$E923="نامعتبر",Calc!$G923=""),"",Calc!$G923)</f>
        <v/>
      </c>
      <c r="B919">
        <f>IF($A919="","",LEFT(Calc!$E923,4)&amp;MID(Calc!$E923,6,2)&amp;RIGHT(Calc!$E923,2)&amp;Calc!$Q923&amp;"|"&amp;"1"&amp;RIGHT("00000"&amp;914,5))</f>
        <v/>
      </c>
      <c r="C919">
        <f>IF($B919="","",COUNTIFS(LdgSellerA,$A919,LdgKeyA,"&lt;"&amp;$B919)+COUNTIFS(LdgSellerB,$A919,LdgKeyB,"&lt;"&amp;$B919)+1)</f>
        <v/>
      </c>
      <c r="D919">
        <f>IF($C919="","",$A919&amp;"|"&amp;RIGHT("000000"&amp;$C919,6))</f>
        <v/>
      </c>
      <c r="F919">
        <f>IF(Sync!$AH919="","",IF(LEFT(UPPER(TRIM(Sync!$AH919)),2)="SL",UPPER(TRIM(Sync!$AH919)),""))</f>
        <v/>
      </c>
      <c r="G919">
        <f>IF($F919="","",IF(Sync!$AE919="","",IF(ISNUMBER(Sync!$AE919),IF(AND(Sync!$AE919&gt;=10000101,Sync!$AE919&lt;=99991231),INT(Sync!$AE919/10000),""),IFERROR(VALUE(TRIM(LEFT(Sync!$AE919,FIND("/",Sync!$AE919)-1))),""))))</f>
        <v/>
      </c>
      <c r="H919">
        <f>IF(OR($F919="",$G919=""),"",IF(ISNUMBER(Sync!$AE919),INT(MOD(Sync!$AE919,10000)/100),IFERROR(VALUE(TRIM(LEFT(MID(Sync!$AE919,FIND("/",Sync!$AE919)+1,20),FIND("/",MID(Sync!$AE919,FIND("/",Sync!$AE919)+1,20))-1))),"")))</f>
        <v/>
      </c>
      <c r="I919">
        <f>IF(OR($F919="",$G919=""),"",IF(ISNUMBER(Sync!$AE919),MOD(Sync!$AE919,100),IFERROR(VALUE(TRIM(MID(MID(Sync!$AE919,FIND("/",Sync!$AE919)+1,20),FIND("/",MID(Sync!$AE919,FIND("/",Sync!$AE919)+1,20))+1,20))),"")))</f>
        <v/>
      </c>
      <c r="J919">
        <f>IF($F919="","",IF(OR($G919="",$H919="",$I919="",$G919&lt;1300,$G919&gt;1500,$H919&lt;1,$H919&gt;12,$I919&lt;1,$I919&gt;31),"نامعتبر",RIGHT("0000"&amp;$G919,4)&amp;"/"&amp;RIGHT("00"&amp;$H919,2)&amp;"/"&amp;RIGHT("00"&amp;$I919,2)))</f>
        <v/>
      </c>
      <c r="K919">
        <f>IF(OR($F919="",$J919="",$J919="نامعتبر"),"",LEFT($J919,4)&amp;MID($J919,6,2)&amp;RIGHT($J919,2)&amp;$N919&amp;"|"&amp;"2"&amp;RIGHT("00000"&amp;914,5))</f>
        <v/>
      </c>
      <c r="L919">
        <f>IF($K919="","",COUNTIFS(LdgSellerA,$F919,LdgKeyA,"&lt;"&amp;$K919)+COUNTIFS(LdgSellerB,$F919,LdgKeyB,"&lt;"&amp;$K919)+1)</f>
        <v/>
      </c>
      <c r="M919">
        <f>IF($L919="","",$F919&amp;"|"&amp;RIGHT("000000"&amp;$L919,6))</f>
        <v/>
      </c>
      <c r="N919">
        <f>IF($F919="","",IF(Sync!$AF919="","0000",IF(AND(ISNUMBER(Sync!$AF919),Sync!$AF919&gt;=0,Sync!$AF919&lt;1),RIGHT("00"&amp;HOUR(Sync!$AF919),2)&amp;RIGHT("00"&amp;MINUTE(Sync!$AF919),2),IFERROR(RIGHT("00"&amp;VALUE(LEFT(Sync!$AF919,FIND(":",Sync!$AF919)-1)),2)&amp;RIGHT("00"&amp;VALUE(MID(Sync!$AF919,FIND(":",Sync!$AF919)+1,2)),2),"0000"))))</f>
        <v/>
      </c>
    </row>
    <row r="920">
      <c r="A920">
        <f>IF(OR(Calc!$E924="",Calc!$E924="نامعتبر",Calc!$G924=""),"",Calc!$G924)</f>
        <v/>
      </c>
      <c r="B920">
        <f>IF($A920="","",LEFT(Calc!$E924,4)&amp;MID(Calc!$E924,6,2)&amp;RIGHT(Calc!$E924,2)&amp;Calc!$Q924&amp;"|"&amp;"1"&amp;RIGHT("00000"&amp;915,5))</f>
        <v/>
      </c>
      <c r="C920">
        <f>IF($B920="","",COUNTIFS(LdgSellerA,$A920,LdgKeyA,"&lt;"&amp;$B920)+COUNTIFS(LdgSellerB,$A920,LdgKeyB,"&lt;"&amp;$B920)+1)</f>
        <v/>
      </c>
      <c r="D920">
        <f>IF($C920="","",$A920&amp;"|"&amp;RIGHT("000000"&amp;$C920,6))</f>
        <v/>
      </c>
      <c r="F920">
        <f>IF(Sync!$AH920="","",IF(LEFT(UPPER(TRIM(Sync!$AH920)),2)="SL",UPPER(TRIM(Sync!$AH920)),""))</f>
        <v/>
      </c>
      <c r="G920">
        <f>IF($F920="","",IF(Sync!$AE920="","",IF(ISNUMBER(Sync!$AE920),IF(AND(Sync!$AE920&gt;=10000101,Sync!$AE920&lt;=99991231),INT(Sync!$AE920/10000),""),IFERROR(VALUE(TRIM(LEFT(Sync!$AE920,FIND("/",Sync!$AE920)-1))),""))))</f>
        <v/>
      </c>
      <c r="H920">
        <f>IF(OR($F920="",$G920=""),"",IF(ISNUMBER(Sync!$AE920),INT(MOD(Sync!$AE920,10000)/100),IFERROR(VALUE(TRIM(LEFT(MID(Sync!$AE920,FIND("/",Sync!$AE920)+1,20),FIND("/",MID(Sync!$AE920,FIND("/",Sync!$AE920)+1,20))-1))),"")))</f>
        <v/>
      </c>
      <c r="I920">
        <f>IF(OR($F920="",$G920=""),"",IF(ISNUMBER(Sync!$AE920),MOD(Sync!$AE920,100),IFERROR(VALUE(TRIM(MID(MID(Sync!$AE920,FIND("/",Sync!$AE920)+1,20),FIND("/",MID(Sync!$AE920,FIND("/",Sync!$AE920)+1,20))+1,20))),"")))</f>
        <v/>
      </c>
      <c r="J920">
        <f>IF($F920="","",IF(OR($G920="",$H920="",$I920="",$G920&lt;1300,$G920&gt;1500,$H920&lt;1,$H920&gt;12,$I920&lt;1,$I920&gt;31),"نامعتبر",RIGHT("0000"&amp;$G920,4)&amp;"/"&amp;RIGHT("00"&amp;$H920,2)&amp;"/"&amp;RIGHT("00"&amp;$I920,2)))</f>
        <v/>
      </c>
      <c r="K920">
        <f>IF(OR($F920="",$J920="",$J920="نامعتبر"),"",LEFT($J920,4)&amp;MID($J920,6,2)&amp;RIGHT($J920,2)&amp;$N920&amp;"|"&amp;"2"&amp;RIGHT("00000"&amp;915,5))</f>
        <v/>
      </c>
      <c r="L920">
        <f>IF($K920="","",COUNTIFS(LdgSellerA,$F920,LdgKeyA,"&lt;"&amp;$K920)+COUNTIFS(LdgSellerB,$F920,LdgKeyB,"&lt;"&amp;$K920)+1)</f>
        <v/>
      </c>
      <c r="M920">
        <f>IF($L920="","",$F920&amp;"|"&amp;RIGHT("000000"&amp;$L920,6))</f>
        <v/>
      </c>
      <c r="N920">
        <f>IF($F920="","",IF(Sync!$AF920="","0000",IF(AND(ISNUMBER(Sync!$AF920),Sync!$AF920&gt;=0,Sync!$AF920&lt;1),RIGHT("00"&amp;HOUR(Sync!$AF920),2)&amp;RIGHT("00"&amp;MINUTE(Sync!$AF920),2),IFERROR(RIGHT("00"&amp;VALUE(LEFT(Sync!$AF920,FIND(":",Sync!$AF920)-1)),2)&amp;RIGHT("00"&amp;VALUE(MID(Sync!$AF920,FIND(":",Sync!$AF920)+1,2)),2),"0000"))))</f>
        <v/>
      </c>
    </row>
    <row r="921">
      <c r="A921">
        <f>IF(OR(Calc!$E925="",Calc!$E925="نامعتبر",Calc!$G925=""),"",Calc!$G925)</f>
        <v/>
      </c>
      <c r="B921">
        <f>IF($A921="","",LEFT(Calc!$E925,4)&amp;MID(Calc!$E925,6,2)&amp;RIGHT(Calc!$E925,2)&amp;Calc!$Q925&amp;"|"&amp;"1"&amp;RIGHT("00000"&amp;916,5))</f>
        <v/>
      </c>
      <c r="C921">
        <f>IF($B921="","",COUNTIFS(LdgSellerA,$A921,LdgKeyA,"&lt;"&amp;$B921)+COUNTIFS(LdgSellerB,$A921,LdgKeyB,"&lt;"&amp;$B921)+1)</f>
        <v/>
      </c>
      <c r="D921">
        <f>IF($C921="","",$A921&amp;"|"&amp;RIGHT("000000"&amp;$C921,6))</f>
        <v/>
      </c>
      <c r="F921">
        <f>IF(Sync!$AH921="","",IF(LEFT(UPPER(TRIM(Sync!$AH921)),2)="SL",UPPER(TRIM(Sync!$AH921)),""))</f>
        <v/>
      </c>
      <c r="G921">
        <f>IF($F921="","",IF(Sync!$AE921="","",IF(ISNUMBER(Sync!$AE921),IF(AND(Sync!$AE921&gt;=10000101,Sync!$AE921&lt;=99991231),INT(Sync!$AE921/10000),""),IFERROR(VALUE(TRIM(LEFT(Sync!$AE921,FIND("/",Sync!$AE921)-1))),""))))</f>
        <v/>
      </c>
      <c r="H921">
        <f>IF(OR($F921="",$G921=""),"",IF(ISNUMBER(Sync!$AE921),INT(MOD(Sync!$AE921,10000)/100),IFERROR(VALUE(TRIM(LEFT(MID(Sync!$AE921,FIND("/",Sync!$AE921)+1,20),FIND("/",MID(Sync!$AE921,FIND("/",Sync!$AE921)+1,20))-1))),"")))</f>
        <v/>
      </c>
      <c r="I921">
        <f>IF(OR($F921="",$G921=""),"",IF(ISNUMBER(Sync!$AE921),MOD(Sync!$AE921,100),IFERROR(VALUE(TRIM(MID(MID(Sync!$AE921,FIND("/",Sync!$AE921)+1,20),FIND("/",MID(Sync!$AE921,FIND("/",Sync!$AE921)+1,20))+1,20))),"")))</f>
        <v/>
      </c>
      <c r="J921">
        <f>IF($F921="","",IF(OR($G921="",$H921="",$I921="",$G921&lt;1300,$G921&gt;1500,$H921&lt;1,$H921&gt;12,$I921&lt;1,$I921&gt;31),"نامعتبر",RIGHT("0000"&amp;$G921,4)&amp;"/"&amp;RIGHT("00"&amp;$H921,2)&amp;"/"&amp;RIGHT("00"&amp;$I921,2)))</f>
        <v/>
      </c>
      <c r="K921">
        <f>IF(OR($F921="",$J921="",$J921="نامعتبر"),"",LEFT($J921,4)&amp;MID($J921,6,2)&amp;RIGHT($J921,2)&amp;$N921&amp;"|"&amp;"2"&amp;RIGHT("00000"&amp;916,5))</f>
        <v/>
      </c>
      <c r="L921">
        <f>IF($K921="","",COUNTIFS(LdgSellerA,$F921,LdgKeyA,"&lt;"&amp;$K921)+COUNTIFS(LdgSellerB,$F921,LdgKeyB,"&lt;"&amp;$K921)+1)</f>
        <v/>
      </c>
      <c r="M921">
        <f>IF($L921="","",$F921&amp;"|"&amp;RIGHT("000000"&amp;$L921,6))</f>
        <v/>
      </c>
      <c r="N921">
        <f>IF($F921="","",IF(Sync!$AF921="","0000",IF(AND(ISNUMBER(Sync!$AF921),Sync!$AF921&gt;=0,Sync!$AF921&lt;1),RIGHT("00"&amp;HOUR(Sync!$AF921),2)&amp;RIGHT("00"&amp;MINUTE(Sync!$AF921),2),IFERROR(RIGHT("00"&amp;VALUE(LEFT(Sync!$AF921,FIND(":",Sync!$AF921)-1)),2)&amp;RIGHT("00"&amp;VALUE(MID(Sync!$AF921,FIND(":",Sync!$AF921)+1,2)),2),"0000"))))</f>
        <v/>
      </c>
    </row>
    <row r="922">
      <c r="A922">
        <f>IF(OR(Calc!$E926="",Calc!$E926="نامعتبر",Calc!$G926=""),"",Calc!$G926)</f>
        <v/>
      </c>
      <c r="B922">
        <f>IF($A922="","",LEFT(Calc!$E926,4)&amp;MID(Calc!$E926,6,2)&amp;RIGHT(Calc!$E926,2)&amp;Calc!$Q926&amp;"|"&amp;"1"&amp;RIGHT("00000"&amp;917,5))</f>
        <v/>
      </c>
      <c r="C922">
        <f>IF($B922="","",COUNTIFS(LdgSellerA,$A922,LdgKeyA,"&lt;"&amp;$B922)+COUNTIFS(LdgSellerB,$A922,LdgKeyB,"&lt;"&amp;$B922)+1)</f>
        <v/>
      </c>
      <c r="D922">
        <f>IF($C922="","",$A922&amp;"|"&amp;RIGHT("000000"&amp;$C922,6))</f>
        <v/>
      </c>
      <c r="F922">
        <f>IF(Sync!$AH922="","",IF(LEFT(UPPER(TRIM(Sync!$AH922)),2)="SL",UPPER(TRIM(Sync!$AH922)),""))</f>
        <v/>
      </c>
      <c r="G922">
        <f>IF($F922="","",IF(Sync!$AE922="","",IF(ISNUMBER(Sync!$AE922),IF(AND(Sync!$AE922&gt;=10000101,Sync!$AE922&lt;=99991231),INT(Sync!$AE922/10000),""),IFERROR(VALUE(TRIM(LEFT(Sync!$AE922,FIND("/",Sync!$AE922)-1))),""))))</f>
        <v/>
      </c>
      <c r="H922">
        <f>IF(OR($F922="",$G922=""),"",IF(ISNUMBER(Sync!$AE922),INT(MOD(Sync!$AE922,10000)/100),IFERROR(VALUE(TRIM(LEFT(MID(Sync!$AE922,FIND("/",Sync!$AE922)+1,20),FIND("/",MID(Sync!$AE922,FIND("/",Sync!$AE922)+1,20))-1))),"")))</f>
        <v/>
      </c>
      <c r="I922">
        <f>IF(OR($F922="",$G922=""),"",IF(ISNUMBER(Sync!$AE922),MOD(Sync!$AE922,100),IFERROR(VALUE(TRIM(MID(MID(Sync!$AE922,FIND("/",Sync!$AE922)+1,20),FIND("/",MID(Sync!$AE922,FIND("/",Sync!$AE922)+1,20))+1,20))),"")))</f>
        <v/>
      </c>
      <c r="J922">
        <f>IF($F922="","",IF(OR($G922="",$H922="",$I922="",$G922&lt;1300,$G922&gt;1500,$H922&lt;1,$H922&gt;12,$I922&lt;1,$I922&gt;31),"نامعتبر",RIGHT("0000"&amp;$G922,4)&amp;"/"&amp;RIGHT("00"&amp;$H922,2)&amp;"/"&amp;RIGHT("00"&amp;$I922,2)))</f>
        <v/>
      </c>
      <c r="K922">
        <f>IF(OR($F922="",$J922="",$J922="نامعتبر"),"",LEFT($J922,4)&amp;MID($J922,6,2)&amp;RIGHT($J922,2)&amp;$N922&amp;"|"&amp;"2"&amp;RIGHT("00000"&amp;917,5))</f>
        <v/>
      </c>
      <c r="L922">
        <f>IF($K922="","",COUNTIFS(LdgSellerA,$F922,LdgKeyA,"&lt;"&amp;$K922)+COUNTIFS(LdgSellerB,$F922,LdgKeyB,"&lt;"&amp;$K922)+1)</f>
        <v/>
      </c>
      <c r="M922">
        <f>IF($L922="","",$F922&amp;"|"&amp;RIGHT("000000"&amp;$L922,6))</f>
        <v/>
      </c>
      <c r="N922">
        <f>IF($F922="","",IF(Sync!$AF922="","0000",IF(AND(ISNUMBER(Sync!$AF922),Sync!$AF922&gt;=0,Sync!$AF922&lt;1),RIGHT("00"&amp;HOUR(Sync!$AF922),2)&amp;RIGHT("00"&amp;MINUTE(Sync!$AF922),2),IFERROR(RIGHT("00"&amp;VALUE(LEFT(Sync!$AF922,FIND(":",Sync!$AF922)-1)),2)&amp;RIGHT("00"&amp;VALUE(MID(Sync!$AF922,FIND(":",Sync!$AF922)+1,2)),2),"0000"))))</f>
        <v/>
      </c>
    </row>
    <row r="923">
      <c r="A923">
        <f>IF(OR(Calc!$E927="",Calc!$E927="نامعتبر",Calc!$G927=""),"",Calc!$G927)</f>
        <v/>
      </c>
      <c r="B923">
        <f>IF($A923="","",LEFT(Calc!$E927,4)&amp;MID(Calc!$E927,6,2)&amp;RIGHT(Calc!$E927,2)&amp;Calc!$Q927&amp;"|"&amp;"1"&amp;RIGHT("00000"&amp;918,5))</f>
        <v/>
      </c>
      <c r="C923">
        <f>IF($B923="","",COUNTIFS(LdgSellerA,$A923,LdgKeyA,"&lt;"&amp;$B923)+COUNTIFS(LdgSellerB,$A923,LdgKeyB,"&lt;"&amp;$B923)+1)</f>
        <v/>
      </c>
      <c r="D923">
        <f>IF($C923="","",$A923&amp;"|"&amp;RIGHT("000000"&amp;$C923,6))</f>
        <v/>
      </c>
      <c r="F923">
        <f>IF(Sync!$AH923="","",IF(LEFT(UPPER(TRIM(Sync!$AH923)),2)="SL",UPPER(TRIM(Sync!$AH923)),""))</f>
        <v/>
      </c>
      <c r="G923">
        <f>IF($F923="","",IF(Sync!$AE923="","",IF(ISNUMBER(Sync!$AE923),IF(AND(Sync!$AE923&gt;=10000101,Sync!$AE923&lt;=99991231),INT(Sync!$AE923/10000),""),IFERROR(VALUE(TRIM(LEFT(Sync!$AE923,FIND("/",Sync!$AE923)-1))),""))))</f>
        <v/>
      </c>
      <c r="H923">
        <f>IF(OR($F923="",$G923=""),"",IF(ISNUMBER(Sync!$AE923),INT(MOD(Sync!$AE923,10000)/100),IFERROR(VALUE(TRIM(LEFT(MID(Sync!$AE923,FIND("/",Sync!$AE923)+1,20),FIND("/",MID(Sync!$AE923,FIND("/",Sync!$AE923)+1,20))-1))),"")))</f>
        <v/>
      </c>
      <c r="I923">
        <f>IF(OR($F923="",$G923=""),"",IF(ISNUMBER(Sync!$AE923),MOD(Sync!$AE923,100),IFERROR(VALUE(TRIM(MID(MID(Sync!$AE923,FIND("/",Sync!$AE923)+1,20),FIND("/",MID(Sync!$AE923,FIND("/",Sync!$AE923)+1,20))+1,20))),"")))</f>
        <v/>
      </c>
      <c r="J923">
        <f>IF($F923="","",IF(OR($G923="",$H923="",$I923="",$G923&lt;1300,$G923&gt;1500,$H923&lt;1,$H923&gt;12,$I923&lt;1,$I923&gt;31),"نامعتبر",RIGHT("0000"&amp;$G923,4)&amp;"/"&amp;RIGHT("00"&amp;$H923,2)&amp;"/"&amp;RIGHT("00"&amp;$I923,2)))</f>
        <v/>
      </c>
      <c r="K923">
        <f>IF(OR($F923="",$J923="",$J923="نامعتبر"),"",LEFT($J923,4)&amp;MID($J923,6,2)&amp;RIGHT($J923,2)&amp;$N923&amp;"|"&amp;"2"&amp;RIGHT("00000"&amp;918,5))</f>
        <v/>
      </c>
      <c r="L923">
        <f>IF($K923="","",COUNTIFS(LdgSellerA,$F923,LdgKeyA,"&lt;"&amp;$K923)+COUNTIFS(LdgSellerB,$F923,LdgKeyB,"&lt;"&amp;$K923)+1)</f>
        <v/>
      </c>
      <c r="M923">
        <f>IF($L923="","",$F923&amp;"|"&amp;RIGHT("000000"&amp;$L923,6))</f>
        <v/>
      </c>
      <c r="N923">
        <f>IF($F923="","",IF(Sync!$AF923="","0000",IF(AND(ISNUMBER(Sync!$AF923),Sync!$AF923&gt;=0,Sync!$AF923&lt;1),RIGHT("00"&amp;HOUR(Sync!$AF923),2)&amp;RIGHT("00"&amp;MINUTE(Sync!$AF923),2),IFERROR(RIGHT("00"&amp;VALUE(LEFT(Sync!$AF923,FIND(":",Sync!$AF923)-1)),2)&amp;RIGHT("00"&amp;VALUE(MID(Sync!$AF923,FIND(":",Sync!$AF923)+1,2)),2),"0000"))))</f>
        <v/>
      </c>
    </row>
    <row r="924">
      <c r="A924">
        <f>IF(OR(Calc!$E928="",Calc!$E928="نامعتبر",Calc!$G928=""),"",Calc!$G928)</f>
        <v/>
      </c>
      <c r="B924">
        <f>IF($A924="","",LEFT(Calc!$E928,4)&amp;MID(Calc!$E928,6,2)&amp;RIGHT(Calc!$E928,2)&amp;Calc!$Q928&amp;"|"&amp;"1"&amp;RIGHT("00000"&amp;919,5))</f>
        <v/>
      </c>
      <c r="C924">
        <f>IF($B924="","",COUNTIFS(LdgSellerA,$A924,LdgKeyA,"&lt;"&amp;$B924)+COUNTIFS(LdgSellerB,$A924,LdgKeyB,"&lt;"&amp;$B924)+1)</f>
        <v/>
      </c>
      <c r="D924">
        <f>IF($C924="","",$A924&amp;"|"&amp;RIGHT("000000"&amp;$C924,6))</f>
        <v/>
      </c>
      <c r="F924">
        <f>IF(Sync!$AH924="","",IF(LEFT(UPPER(TRIM(Sync!$AH924)),2)="SL",UPPER(TRIM(Sync!$AH924)),""))</f>
        <v/>
      </c>
      <c r="G924">
        <f>IF($F924="","",IF(Sync!$AE924="","",IF(ISNUMBER(Sync!$AE924),IF(AND(Sync!$AE924&gt;=10000101,Sync!$AE924&lt;=99991231),INT(Sync!$AE924/10000),""),IFERROR(VALUE(TRIM(LEFT(Sync!$AE924,FIND("/",Sync!$AE924)-1))),""))))</f>
        <v/>
      </c>
      <c r="H924">
        <f>IF(OR($F924="",$G924=""),"",IF(ISNUMBER(Sync!$AE924),INT(MOD(Sync!$AE924,10000)/100),IFERROR(VALUE(TRIM(LEFT(MID(Sync!$AE924,FIND("/",Sync!$AE924)+1,20),FIND("/",MID(Sync!$AE924,FIND("/",Sync!$AE924)+1,20))-1))),"")))</f>
        <v/>
      </c>
      <c r="I924">
        <f>IF(OR($F924="",$G924=""),"",IF(ISNUMBER(Sync!$AE924),MOD(Sync!$AE924,100),IFERROR(VALUE(TRIM(MID(MID(Sync!$AE924,FIND("/",Sync!$AE924)+1,20),FIND("/",MID(Sync!$AE924,FIND("/",Sync!$AE924)+1,20))+1,20))),"")))</f>
        <v/>
      </c>
      <c r="J924">
        <f>IF($F924="","",IF(OR($G924="",$H924="",$I924="",$G924&lt;1300,$G924&gt;1500,$H924&lt;1,$H924&gt;12,$I924&lt;1,$I924&gt;31),"نامعتبر",RIGHT("0000"&amp;$G924,4)&amp;"/"&amp;RIGHT("00"&amp;$H924,2)&amp;"/"&amp;RIGHT("00"&amp;$I924,2)))</f>
        <v/>
      </c>
      <c r="K924">
        <f>IF(OR($F924="",$J924="",$J924="نامعتبر"),"",LEFT($J924,4)&amp;MID($J924,6,2)&amp;RIGHT($J924,2)&amp;$N924&amp;"|"&amp;"2"&amp;RIGHT("00000"&amp;919,5))</f>
        <v/>
      </c>
      <c r="L924">
        <f>IF($K924="","",COUNTIFS(LdgSellerA,$F924,LdgKeyA,"&lt;"&amp;$K924)+COUNTIFS(LdgSellerB,$F924,LdgKeyB,"&lt;"&amp;$K924)+1)</f>
        <v/>
      </c>
      <c r="M924">
        <f>IF($L924="","",$F924&amp;"|"&amp;RIGHT("000000"&amp;$L924,6))</f>
        <v/>
      </c>
      <c r="N924">
        <f>IF($F924="","",IF(Sync!$AF924="","0000",IF(AND(ISNUMBER(Sync!$AF924),Sync!$AF924&gt;=0,Sync!$AF924&lt;1),RIGHT("00"&amp;HOUR(Sync!$AF924),2)&amp;RIGHT("00"&amp;MINUTE(Sync!$AF924),2),IFERROR(RIGHT("00"&amp;VALUE(LEFT(Sync!$AF924,FIND(":",Sync!$AF924)-1)),2)&amp;RIGHT("00"&amp;VALUE(MID(Sync!$AF924,FIND(":",Sync!$AF924)+1,2)),2),"0000"))))</f>
        <v/>
      </c>
    </row>
    <row r="925">
      <c r="A925">
        <f>IF(OR(Calc!$E929="",Calc!$E929="نامعتبر",Calc!$G929=""),"",Calc!$G929)</f>
        <v/>
      </c>
      <c r="B925">
        <f>IF($A925="","",LEFT(Calc!$E929,4)&amp;MID(Calc!$E929,6,2)&amp;RIGHT(Calc!$E929,2)&amp;Calc!$Q929&amp;"|"&amp;"1"&amp;RIGHT("00000"&amp;920,5))</f>
        <v/>
      </c>
      <c r="C925">
        <f>IF($B925="","",COUNTIFS(LdgSellerA,$A925,LdgKeyA,"&lt;"&amp;$B925)+COUNTIFS(LdgSellerB,$A925,LdgKeyB,"&lt;"&amp;$B925)+1)</f>
        <v/>
      </c>
      <c r="D925">
        <f>IF($C925="","",$A925&amp;"|"&amp;RIGHT("000000"&amp;$C925,6))</f>
        <v/>
      </c>
      <c r="F925">
        <f>IF(Sync!$AH925="","",IF(LEFT(UPPER(TRIM(Sync!$AH925)),2)="SL",UPPER(TRIM(Sync!$AH925)),""))</f>
        <v/>
      </c>
      <c r="G925">
        <f>IF($F925="","",IF(Sync!$AE925="","",IF(ISNUMBER(Sync!$AE925),IF(AND(Sync!$AE925&gt;=10000101,Sync!$AE925&lt;=99991231),INT(Sync!$AE925/10000),""),IFERROR(VALUE(TRIM(LEFT(Sync!$AE925,FIND("/",Sync!$AE925)-1))),""))))</f>
        <v/>
      </c>
      <c r="H925">
        <f>IF(OR($F925="",$G925=""),"",IF(ISNUMBER(Sync!$AE925),INT(MOD(Sync!$AE925,10000)/100),IFERROR(VALUE(TRIM(LEFT(MID(Sync!$AE925,FIND("/",Sync!$AE925)+1,20),FIND("/",MID(Sync!$AE925,FIND("/",Sync!$AE925)+1,20))-1))),"")))</f>
        <v/>
      </c>
      <c r="I925">
        <f>IF(OR($F925="",$G925=""),"",IF(ISNUMBER(Sync!$AE925),MOD(Sync!$AE925,100),IFERROR(VALUE(TRIM(MID(MID(Sync!$AE925,FIND("/",Sync!$AE925)+1,20),FIND("/",MID(Sync!$AE925,FIND("/",Sync!$AE925)+1,20))+1,20))),"")))</f>
        <v/>
      </c>
      <c r="J925">
        <f>IF($F925="","",IF(OR($G925="",$H925="",$I925="",$G925&lt;1300,$G925&gt;1500,$H925&lt;1,$H925&gt;12,$I925&lt;1,$I925&gt;31),"نامعتبر",RIGHT("0000"&amp;$G925,4)&amp;"/"&amp;RIGHT("00"&amp;$H925,2)&amp;"/"&amp;RIGHT("00"&amp;$I925,2)))</f>
        <v/>
      </c>
      <c r="K925">
        <f>IF(OR($F925="",$J925="",$J925="نامعتبر"),"",LEFT($J925,4)&amp;MID($J925,6,2)&amp;RIGHT($J925,2)&amp;$N925&amp;"|"&amp;"2"&amp;RIGHT("00000"&amp;920,5))</f>
        <v/>
      </c>
      <c r="L925">
        <f>IF($K925="","",COUNTIFS(LdgSellerA,$F925,LdgKeyA,"&lt;"&amp;$K925)+COUNTIFS(LdgSellerB,$F925,LdgKeyB,"&lt;"&amp;$K925)+1)</f>
        <v/>
      </c>
      <c r="M925">
        <f>IF($L925="","",$F925&amp;"|"&amp;RIGHT("000000"&amp;$L925,6))</f>
        <v/>
      </c>
      <c r="N925">
        <f>IF($F925="","",IF(Sync!$AF925="","0000",IF(AND(ISNUMBER(Sync!$AF925),Sync!$AF925&gt;=0,Sync!$AF925&lt;1),RIGHT("00"&amp;HOUR(Sync!$AF925),2)&amp;RIGHT("00"&amp;MINUTE(Sync!$AF925),2),IFERROR(RIGHT("00"&amp;VALUE(LEFT(Sync!$AF925,FIND(":",Sync!$AF925)-1)),2)&amp;RIGHT("00"&amp;VALUE(MID(Sync!$AF925,FIND(":",Sync!$AF925)+1,2)),2),"0000"))))</f>
        <v/>
      </c>
    </row>
    <row r="926">
      <c r="A926">
        <f>IF(OR(Calc!$E930="",Calc!$E930="نامعتبر",Calc!$G930=""),"",Calc!$G930)</f>
        <v/>
      </c>
      <c r="B926">
        <f>IF($A926="","",LEFT(Calc!$E930,4)&amp;MID(Calc!$E930,6,2)&amp;RIGHT(Calc!$E930,2)&amp;Calc!$Q930&amp;"|"&amp;"1"&amp;RIGHT("00000"&amp;921,5))</f>
        <v/>
      </c>
      <c r="C926">
        <f>IF($B926="","",COUNTIFS(LdgSellerA,$A926,LdgKeyA,"&lt;"&amp;$B926)+COUNTIFS(LdgSellerB,$A926,LdgKeyB,"&lt;"&amp;$B926)+1)</f>
        <v/>
      </c>
      <c r="D926">
        <f>IF($C926="","",$A926&amp;"|"&amp;RIGHT("000000"&amp;$C926,6))</f>
        <v/>
      </c>
      <c r="F926">
        <f>IF(Sync!$AH926="","",IF(LEFT(UPPER(TRIM(Sync!$AH926)),2)="SL",UPPER(TRIM(Sync!$AH926)),""))</f>
        <v/>
      </c>
      <c r="G926">
        <f>IF($F926="","",IF(Sync!$AE926="","",IF(ISNUMBER(Sync!$AE926),IF(AND(Sync!$AE926&gt;=10000101,Sync!$AE926&lt;=99991231),INT(Sync!$AE926/10000),""),IFERROR(VALUE(TRIM(LEFT(Sync!$AE926,FIND("/",Sync!$AE926)-1))),""))))</f>
        <v/>
      </c>
      <c r="H926">
        <f>IF(OR($F926="",$G926=""),"",IF(ISNUMBER(Sync!$AE926),INT(MOD(Sync!$AE926,10000)/100),IFERROR(VALUE(TRIM(LEFT(MID(Sync!$AE926,FIND("/",Sync!$AE926)+1,20),FIND("/",MID(Sync!$AE926,FIND("/",Sync!$AE926)+1,20))-1))),"")))</f>
        <v/>
      </c>
      <c r="I926">
        <f>IF(OR($F926="",$G926=""),"",IF(ISNUMBER(Sync!$AE926),MOD(Sync!$AE926,100),IFERROR(VALUE(TRIM(MID(MID(Sync!$AE926,FIND("/",Sync!$AE926)+1,20),FIND("/",MID(Sync!$AE926,FIND("/",Sync!$AE926)+1,20))+1,20))),"")))</f>
        <v/>
      </c>
      <c r="J926">
        <f>IF($F926="","",IF(OR($G926="",$H926="",$I926="",$G926&lt;1300,$G926&gt;1500,$H926&lt;1,$H926&gt;12,$I926&lt;1,$I926&gt;31),"نامعتبر",RIGHT("0000"&amp;$G926,4)&amp;"/"&amp;RIGHT("00"&amp;$H926,2)&amp;"/"&amp;RIGHT("00"&amp;$I926,2)))</f>
        <v/>
      </c>
      <c r="K926">
        <f>IF(OR($F926="",$J926="",$J926="نامعتبر"),"",LEFT($J926,4)&amp;MID($J926,6,2)&amp;RIGHT($J926,2)&amp;$N926&amp;"|"&amp;"2"&amp;RIGHT("00000"&amp;921,5))</f>
        <v/>
      </c>
      <c r="L926">
        <f>IF($K926="","",COUNTIFS(LdgSellerA,$F926,LdgKeyA,"&lt;"&amp;$K926)+COUNTIFS(LdgSellerB,$F926,LdgKeyB,"&lt;"&amp;$K926)+1)</f>
        <v/>
      </c>
      <c r="M926">
        <f>IF($L926="","",$F926&amp;"|"&amp;RIGHT("000000"&amp;$L926,6))</f>
        <v/>
      </c>
      <c r="N926">
        <f>IF($F926="","",IF(Sync!$AF926="","0000",IF(AND(ISNUMBER(Sync!$AF926),Sync!$AF926&gt;=0,Sync!$AF926&lt;1),RIGHT("00"&amp;HOUR(Sync!$AF926),2)&amp;RIGHT("00"&amp;MINUTE(Sync!$AF926),2),IFERROR(RIGHT("00"&amp;VALUE(LEFT(Sync!$AF926,FIND(":",Sync!$AF926)-1)),2)&amp;RIGHT("00"&amp;VALUE(MID(Sync!$AF926,FIND(":",Sync!$AF926)+1,2)),2),"0000"))))</f>
        <v/>
      </c>
    </row>
    <row r="927">
      <c r="A927">
        <f>IF(OR(Calc!$E931="",Calc!$E931="نامعتبر",Calc!$G931=""),"",Calc!$G931)</f>
        <v/>
      </c>
      <c r="B927">
        <f>IF($A927="","",LEFT(Calc!$E931,4)&amp;MID(Calc!$E931,6,2)&amp;RIGHT(Calc!$E931,2)&amp;Calc!$Q931&amp;"|"&amp;"1"&amp;RIGHT("00000"&amp;922,5))</f>
        <v/>
      </c>
      <c r="C927">
        <f>IF($B927="","",COUNTIFS(LdgSellerA,$A927,LdgKeyA,"&lt;"&amp;$B927)+COUNTIFS(LdgSellerB,$A927,LdgKeyB,"&lt;"&amp;$B927)+1)</f>
        <v/>
      </c>
      <c r="D927">
        <f>IF($C927="","",$A927&amp;"|"&amp;RIGHT("000000"&amp;$C927,6))</f>
        <v/>
      </c>
      <c r="F927">
        <f>IF(Sync!$AH927="","",IF(LEFT(UPPER(TRIM(Sync!$AH927)),2)="SL",UPPER(TRIM(Sync!$AH927)),""))</f>
        <v/>
      </c>
      <c r="G927">
        <f>IF($F927="","",IF(Sync!$AE927="","",IF(ISNUMBER(Sync!$AE927),IF(AND(Sync!$AE927&gt;=10000101,Sync!$AE927&lt;=99991231),INT(Sync!$AE927/10000),""),IFERROR(VALUE(TRIM(LEFT(Sync!$AE927,FIND("/",Sync!$AE927)-1))),""))))</f>
        <v/>
      </c>
      <c r="H927">
        <f>IF(OR($F927="",$G927=""),"",IF(ISNUMBER(Sync!$AE927),INT(MOD(Sync!$AE927,10000)/100),IFERROR(VALUE(TRIM(LEFT(MID(Sync!$AE927,FIND("/",Sync!$AE927)+1,20),FIND("/",MID(Sync!$AE927,FIND("/",Sync!$AE927)+1,20))-1))),"")))</f>
        <v/>
      </c>
      <c r="I927">
        <f>IF(OR($F927="",$G927=""),"",IF(ISNUMBER(Sync!$AE927),MOD(Sync!$AE927,100),IFERROR(VALUE(TRIM(MID(MID(Sync!$AE927,FIND("/",Sync!$AE927)+1,20),FIND("/",MID(Sync!$AE927,FIND("/",Sync!$AE927)+1,20))+1,20))),"")))</f>
        <v/>
      </c>
      <c r="J927">
        <f>IF($F927="","",IF(OR($G927="",$H927="",$I927="",$G927&lt;1300,$G927&gt;1500,$H927&lt;1,$H927&gt;12,$I927&lt;1,$I927&gt;31),"نامعتبر",RIGHT("0000"&amp;$G927,4)&amp;"/"&amp;RIGHT("00"&amp;$H927,2)&amp;"/"&amp;RIGHT("00"&amp;$I927,2)))</f>
        <v/>
      </c>
      <c r="K927">
        <f>IF(OR($F927="",$J927="",$J927="نامعتبر"),"",LEFT($J927,4)&amp;MID($J927,6,2)&amp;RIGHT($J927,2)&amp;$N927&amp;"|"&amp;"2"&amp;RIGHT("00000"&amp;922,5))</f>
        <v/>
      </c>
      <c r="L927">
        <f>IF($K927="","",COUNTIFS(LdgSellerA,$F927,LdgKeyA,"&lt;"&amp;$K927)+COUNTIFS(LdgSellerB,$F927,LdgKeyB,"&lt;"&amp;$K927)+1)</f>
        <v/>
      </c>
      <c r="M927">
        <f>IF($L927="","",$F927&amp;"|"&amp;RIGHT("000000"&amp;$L927,6))</f>
        <v/>
      </c>
      <c r="N927">
        <f>IF($F927="","",IF(Sync!$AF927="","0000",IF(AND(ISNUMBER(Sync!$AF927),Sync!$AF927&gt;=0,Sync!$AF927&lt;1),RIGHT("00"&amp;HOUR(Sync!$AF927),2)&amp;RIGHT("00"&amp;MINUTE(Sync!$AF927),2),IFERROR(RIGHT("00"&amp;VALUE(LEFT(Sync!$AF927,FIND(":",Sync!$AF927)-1)),2)&amp;RIGHT("00"&amp;VALUE(MID(Sync!$AF927,FIND(":",Sync!$AF927)+1,2)),2),"0000"))))</f>
        <v/>
      </c>
    </row>
    <row r="928">
      <c r="A928">
        <f>IF(OR(Calc!$E932="",Calc!$E932="نامعتبر",Calc!$G932=""),"",Calc!$G932)</f>
        <v/>
      </c>
      <c r="B928">
        <f>IF($A928="","",LEFT(Calc!$E932,4)&amp;MID(Calc!$E932,6,2)&amp;RIGHT(Calc!$E932,2)&amp;Calc!$Q932&amp;"|"&amp;"1"&amp;RIGHT("00000"&amp;923,5))</f>
        <v/>
      </c>
      <c r="C928">
        <f>IF($B928="","",COUNTIFS(LdgSellerA,$A928,LdgKeyA,"&lt;"&amp;$B928)+COUNTIFS(LdgSellerB,$A928,LdgKeyB,"&lt;"&amp;$B928)+1)</f>
        <v/>
      </c>
      <c r="D928">
        <f>IF($C928="","",$A928&amp;"|"&amp;RIGHT("000000"&amp;$C928,6))</f>
        <v/>
      </c>
      <c r="F928">
        <f>IF(Sync!$AH928="","",IF(LEFT(UPPER(TRIM(Sync!$AH928)),2)="SL",UPPER(TRIM(Sync!$AH928)),""))</f>
        <v/>
      </c>
      <c r="G928">
        <f>IF($F928="","",IF(Sync!$AE928="","",IF(ISNUMBER(Sync!$AE928),IF(AND(Sync!$AE928&gt;=10000101,Sync!$AE928&lt;=99991231),INT(Sync!$AE928/10000),""),IFERROR(VALUE(TRIM(LEFT(Sync!$AE928,FIND("/",Sync!$AE928)-1))),""))))</f>
        <v/>
      </c>
      <c r="H928">
        <f>IF(OR($F928="",$G928=""),"",IF(ISNUMBER(Sync!$AE928),INT(MOD(Sync!$AE928,10000)/100),IFERROR(VALUE(TRIM(LEFT(MID(Sync!$AE928,FIND("/",Sync!$AE928)+1,20),FIND("/",MID(Sync!$AE928,FIND("/",Sync!$AE928)+1,20))-1))),"")))</f>
        <v/>
      </c>
      <c r="I928">
        <f>IF(OR($F928="",$G928=""),"",IF(ISNUMBER(Sync!$AE928),MOD(Sync!$AE928,100),IFERROR(VALUE(TRIM(MID(MID(Sync!$AE928,FIND("/",Sync!$AE928)+1,20),FIND("/",MID(Sync!$AE928,FIND("/",Sync!$AE928)+1,20))+1,20))),"")))</f>
        <v/>
      </c>
      <c r="J928">
        <f>IF($F928="","",IF(OR($G928="",$H928="",$I928="",$G928&lt;1300,$G928&gt;1500,$H928&lt;1,$H928&gt;12,$I928&lt;1,$I928&gt;31),"نامعتبر",RIGHT("0000"&amp;$G928,4)&amp;"/"&amp;RIGHT("00"&amp;$H928,2)&amp;"/"&amp;RIGHT("00"&amp;$I928,2)))</f>
        <v/>
      </c>
      <c r="K928">
        <f>IF(OR($F928="",$J928="",$J928="نامعتبر"),"",LEFT($J928,4)&amp;MID($J928,6,2)&amp;RIGHT($J928,2)&amp;$N928&amp;"|"&amp;"2"&amp;RIGHT("00000"&amp;923,5))</f>
        <v/>
      </c>
      <c r="L928">
        <f>IF($K928="","",COUNTIFS(LdgSellerA,$F928,LdgKeyA,"&lt;"&amp;$K928)+COUNTIFS(LdgSellerB,$F928,LdgKeyB,"&lt;"&amp;$K928)+1)</f>
        <v/>
      </c>
      <c r="M928">
        <f>IF($L928="","",$F928&amp;"|"&amp;RIGHT("000000"&amp;$L928,6))</f>
        <v/>
      </c>
      <c r="N928">
        <f>IF($F928="","",IF(Sync!$AF928="","0000",IF(AND(ISNUMBER(Sync!$AF928),Sync!$AF928&gt;=0,Sync!$AF928&lt;1),RIGHT("00"&amp;HOUR(Sync!$AF928),2)&amp;RIGHT("00"&amp;MINUTE(Sync!$AF928),2),IFERROR(RIGHT("00"&amp;VALUE(LEFT(Sync!$AF928,FIND(":",Sync!$AF928)-1)),2)&amp;RIGHT("00"&amp;VALUE(MID(Sync!$AF928,FIND(":",Sync!$AF928)+1,2)),2),"0000"))))</f>
        <v/>
      </c>
    </row>
    <row r="929">
      <c r="A929">
        <f>IF(OR(Calc!$E933="",Calc!$E933="نامعتبر",Calc!$G933=""),"",Calc!$G933)</f>
        <v/>
      </c>
      <c r="B929">
        <f>IF($A929="","",LEFT(Calc!$E933,4)&amp;MID(Calc!$E933,6,2)&amp;RIGHT(Calc!$E933,2)&amp;Calc!$Q933&amp;"|"&amp;"1"&amp;RIGHT("00000"&amp;924,5))</f>
        <v/>
      </c>
      <c r="C929">
        <f>IF($B929="","",COUNTIFS(LdgSellerA,$A929,LdgKeyA,"&lt;"&amp;$B929)+COUNTIFS(LdgSellerB,$A929,LdgKeyB,"&lt;"&amp;$B929)+1)</f>
        <v/>
      </c>
      <c r="D929">
        <f>IF($C929="","",$A929&amp;"|"&amp;RIGHT("000000"&amp;$C929,6))</f>
        <v/>
      </c>
      <c r="F929">
        <f>IF(Sync!$AH929="","",IF(LEFT(UPPER(TRIM(Sync!$AH929)),2)="SL",UPPER(TRIM(Sync!$AH929)),""))</f>
        <v/>
      </c>
      <c r="G929">
        <f>IF($F929="","",IF(Sync!$AE929="","",IF(ISNUMBER(Sync!$AE929),IF(AND(Sync!$AE929&gt;=10000101,Sync!$AE929&lt;=99991231),INT(Sync!$AE929/10000),""),IFERROR(VALUE(TRIM(LEFT(Sync!$AE929,FIND("/",Sync!$AE929)-1))),""))))</f>
        <v/>
      </c>
      <c r="H929">
        <f>IF(OR($F929="",$G929=""),"",IF(ISNUMBER(Sync!$AE929),INT(MOD(Sync!$AE929,10000)/100),IFERROR(VALUE(TRIM(LEFT(MID(Sync!$AE929,FIND("/",Sync!$AE929)+1,20),FIND("/",MID(Sync!$AE929,FIND("/",Sync!$AE929)+1,20))-1))),"")))</f>
        <v/>
      </c>
      <c r="I929">
        <f>IF(OR($F929="",$G929=""),"",IF(ISNUMBER(Sync!$AE929),MOD(Sync!$AE929,100),IFERROR(VALUE(TRIM(MID(MID(Sync!$AE929,FIND("/",Sync!$AE929)+1,20),FIND("/",MID(Sync!$AE929,FIND("/",Sync!$AE929)+1,20))+1,20))),"")))</f>
        <v/>
      </c>
      <c r="J929">
        <f>IF($F929="","",IF(OR($G929="",$H929="",$I929="",$G929&lt;1300,$G929&gt;1500,$H929&lt;1,$H929&gt;12,$I929&lt;1,$I929&gt;31),"نامعتبر",RIGHT("0000"&amp;$G929,4)&amp;"/"&amp;RIGHT("00"&amp;$H929,2)&amp;"/"&amp;RIGHT("00"&amp;$I929,2)))</f>
        <v/>
      </c>
      <c r="K929">
        <f>IF(OR($F929="",$J929="",$J929="نامعتبر"),"",LEFT($J929,4)&amp;MID($J929,6,2)&amp;RIGHT($J929,2)&amp;$N929&amp;"|"&amp;"2"&amp;RIGHT("00000"&amp;924,5))</f>
        <v/>
      </c>
      <c r="L929">
        <f>IF($K929="","",COUNTIFS(LdgSellerA,$F929,LdgKeyA,"&lt;"&amp;$K929)+COUNTIFS(LdgSellerB,$F929,LdgKeyB,"&lt;"&amp;$K929)+1)</f>
        <v/>
      </c>
      <c r="M929">
        <f>IF($L929="","",$F929&amp;"|"&amp;RIGHT("000000"&amp;$L929,6))</f>
        <v/>
      </c>
      <c r="N929">
        <f>IF($F929="","",IF(Sync!$AF929="","0000",IF(AND(ISNUMBER(Sync!$AF929),Sync!$AF929&gt;=0,Sync!$AF929&lt;1),RIGHT("00"&amp;HOUR(Sync!$AF929),2)&amp;RIGHT("00"&amp;MINUTE(Sync!$AF929),2),IFERROR(RIGHT("00"&amp;VALUE(LEFT(Sync!$AF929,FIND(":",Sync!$AF929)-1)),2)&amp;RIGHT("00"&amp;VALUE(MID(Sync!$AF929,FIND(":",Sync!$AF929)+1,2)),2),"0000"))))</f>
        <v/>
      </c>
    </row>
    <row r="930">
      <c r="A930">
        <f>IF(OR(Calc!$E934="",Calc!$E934="نامعتبر",Calc!$G934=""),"",Calc!$G934)</f>
        <v/>
      </c>
      <c r="B930">
        <f>IF($A930="","",LEFT(Calc!$E934,4)&amp;MID(Calc!$E934,6,2)&amp;RIGHT(Calc!$E934,2)&amp;Calc!$Q934&amp;"|"&amp;"1"&amp;RIGHT("00000"&amp;925,5))</f>
        <v/>
      </c>
      <c r="C930">
        <f>IF($B930="","",COUNTIFS(LdgSellerA,$A930,LdgKeyA,"&lt;"&amp;$B930)+COUNTIFS(LdgSellerB,$A930,LdgKeyB,"&lt;"&amp;$B930)+1)</f>
        <v/>
      </c>
      <c r="D930">
        <f>IF($C930="","",$A930&amp;"|"&amp;RIGHT("000000"&amp;$C930,6))</f>
        <v/>
      </c>
      <c r="F930">
        <f>IF(Sync!$AH930="","",IF(LEFT(UPPER(TRIM(Sync!$AH930)),2)="SL",UPPER(TRIM(Sync!$AH930)),""))</f>
        <v/>
      </c>
      <c r="G930">
        <f>IF($F930="","",IF(Sync!$AE930="","",IF(ISNUMBER(Sync!$AE930),IF(AND(Sync!$AE930&gt;=10000101,Sync!$AE930&lt;=99991231),INT(Sync!$AE930/10000),""),IFERROR(VALUE(TRIM(LEFT(Sync!$AE930,FIND("/",Sync!$AE930)-1))),""))))</f>
        <v/>
      </c>
      <c r="H930">
        <f>IF(OR($F930="",$G930=""),"",IF(ISNUMBER(Sync!$AE930),INT(MOD(Sync!$AE930,10000)/100),IFERROR(VALUE(TRIM(LEFT(MID(Sync!$AE930,FIND("/",Sync!$AE930)+1,20),FIND("/",MID(Sync!$AE930,FIND("/",Sync!$AE930)+1,20))-1))),"")))</f>
        <v/>
      </c>
      <c r="I930">
        <f>IF(OR($F930="",$G930=""),"",IF(ISNUMBER(Sync!$AE930),MOD(Sync!$AE930,100),IFERROR(VALUE(TRIM(MID(MID(Sync!$AE930,FIND("/",Sync!$AE930)+1,20),FIND("/",MID(Sync!$AE930,FIND("/",Sync!$AE930)+1,20))+1,20))),"")))</f>
        <v/>
      </c>
      <c r="J930">
        <f>IF($F930="","",IF(OR($G930="",$H930="",$I930="",$G930&lt;1300,$G930&gt;1500,$H930&lt;1,$H930&gt;12,$I930&lt;1,$I930&gt;31),"نامعتبر",RIGHT("0000"&amp;$G930,4)&amp;"/"&amp;RIGHT("00"&amp;$H930,2)&amp;"/"&amp;RIGHT("00"&amp;$I930,2)))</f>
        <v/>
      </c>
      <c r="K930">
        <f>IF(OR($F930="",$J930="",$J930="نامعتبر"),"",LEFT($J930,4)&amp;MID($J930,6,2)&amp;RIGHT($J930,2)&amp;$N930&amp;"|"&amp;"2"&amp;RIGHT("00000"&amp;925,5))</f>
        <v/>
      </c>
      <c r="L930">
        <f>IF($K930="","",COUNTIFS(LdgSellerA,$F930,LdgKeyA,"&lt;"&amp;$K930)+COUNTIFS(LdgSellerB,$F930,LdgKeyB,"&lt;"&amp;$K930)+1)</f>
        <v/>
      </c>
      <c r="M930">
        <f>IF($L930="","",$F930&amp;"|"&amp;RIGHT("000000"&amp;$L930,6))</f>
        <v/>
      </c>
      <c r="N930">
        <f>IF($F930="","",IF(Sync!$AF930="","0000",IF(AND(ISNUMBER(Sync!$AF930),Sync!$AF930&gt;=0,Sync!$AF930&lt;1),RIGHT("00"&amp;HOUR(Sync!$AF930),2)&amp;RIGHT("00"&amp;MINUTE(Sync!$AF930),2),IFERROR(RIGHT("00"&amp;VALUE(LEFT(Sync!$AF930,FIND(":",Sync!$AF930)-1)),2)&amp;RIGHT("00"&amp;VALUE(MID(Sync!$AF930,FIND(":",Sync!$AF930)+1,2)),2),"0000"))))</f>
        <v/>
      </c>
    </row>
    <row r="931">
      <c r="A931">
        <f>IF(OR(Calc!$E935="",Calc!$E935="نامعتبر",Calc!$G935=""),"",Calc!$G935)</f>
        <v/>
      </c>
      <c r="B931">
        <f>IF($A931="","",LEFT(Calc!$E935,4)&amp;MID(Calc!$E935,6,2)&amp;RIGHT(Calc!$E935,2)&amp;Calc!$Q935&amp;"|"&amp;"1"&amp;RIGHT("00000"&amp;926,5))</f>
        <v/>
      </c>
      <c r="C931">
        <f>IF($B931="","",COUNTIFS(LdgSellerA,$A931,LdgKeyA,"&lt;"&amp;$B931)+COUNTIFS(LdgSellerB,$A931,LdgKeyB,"&lt;"&amp;$B931)+1)</f>
        <v/>
      </c>
      <c r="D931">
        <f>IF($C931="","",$A931&amp;"|"&amp;RIGHT("000000"&amp;$C931,6))</f>
        <v/>
      </c>
      <c r="F931">
        <f>IF(Sync!$AH931="","",IF(LEFT(UPPER(TRIM(Sync!$AH931)),2)="SL",UPPER(TRIM(Sync!$AH931)),""))</f>
        <v/>
      </c>
      <c r="G931">
        <f>IF($F931="","",IF(Sync!$AE931="","",IF(ISNUMBER(Sync!$AE931),IF(AND(Sync!$AE931&gt;=10000101,Sync!$AE931&lt;=99991231),INT(Sync!$AE931/10000),""),IFERROR(VALUE(TRIM(LEFT(Sync!$AE931,FIND("/",Sync!$AE931)-1))),""))))</f>
        <v/>
      </c>
      <c r="H931">
        <f>IF(OR($F931="",$G931=""),"",IF(ISNUMBER(Sync!$AE931),INT(MOD(Sync!$AE931,10000)/100),IFERROR(VALUE(TRIM(LEFT(MID(Sync!$AE931,FIND("/",Sync!$AE931)+1,20),FIND("/",MID(Sync!$AE931,FIND("/",Sync!$AE931)+1,20))-1))),"")))</f>
        <v/>
      </c>
      <c r="I931">
        <f>IF(OR($F931="",$G931=""),"",IF(ISNUMBER(Sync!$AE931),MOD(Sync!$AE931,100),IFERROR(VALUE(TRIM(MID(MID(Sync!$AE931,FIND("/",Sync!$AE931)+1,20),FIND("/",MID(Sync!$AE931,FIND("/",Sync!$AE931)+1,20))+1,20))),"")))</f>
        <v/>
      </c>
      <c r="J931">
        <f>IF($F931="","",IF(OR($G931="",$H931="",$I931="",$G931&lt;1300,$G931&gt;1500,$H931&lt;1,$H931&gt;12,$I931&lt;1,$I931&gt;31),"نامعتبر",RIGHT("0000"&amp;$G931,4)&amp;"/"&amp;RIGHT("00"&amp;$H931,2)&amp;"/"&amp;RIGHT("00"&amp;$I931,2)))</f>
        <v/>
      </c>
      <c r="K931">
        <f>IF(OR($F931="",$J931="",$J931="نامعتبر"),"",LEFT($J931,4)&amp;MID($J931,6,2)&amp;RIGHT($J931,2)&amp;$N931&amp;"|"&amp;"2"&amp;RIGHT("00000"&amp;926,5))</f>
        <v/>
      </c>
      <c r="L931">
        <f>IF($K931="","",COUNTIFS(LdgSellerA,$F931,LdgKeyA,"&lt;"&amp;$K931)+COUNTIFS(LdgSellerB,$F931,LdgKeyB,"&lt;"&amp;$K931)+1)</f>
        <v/>
      </c>
      <c r="M931">
        <f>IF($L931="","",$F931&amp;"|"&amp;RIGHT("000000"&amp;$L931,6))</f>
        <v/>
      </c>
      <c r="N931">
        <f>IF($F931="","",IF(Sync!$AF931="","0000",IF(AND(ISNUMBER(Sync!$AF931),Sync!$AF931&gt;=0,Sync!$AF931&lt;1),RIGHT("00"&amp;HOUR(Sync!$AF931),2)&amp;RIGHT("00"&amp;MINUTE(Sync!$AF931),2),IFERROR(RIGHT("00"&amp;VALUE(LEFT(Sync!$AF931,FIND(":",Sync!$AF931)-1)),2)&amp;RIGHT("00"&amp;VALUE(MID(Sync!$AF931,FIND(":",Sync!$AF931)+1,2)),2),"0000"))))</f>
        <v/>
      </c>
    </row>
    <row r="932">
      <c r="A932">
        <f>IF(OR(Calc!$E936="",Calc!$E936="نامعتبر",Calc!$G936=""),"",Calc!$G936)</f>
        <v/>
      </c>
      <c r="B932">
        <f>IF($A932="","",LEFT(Calc!$E936,4)&amp;MID(Calc!$E936,6,2)&amp;RIGHT(Calc!$E936,2)&amp;Calc!$Q936&amp;"|"&amp;"1"&amp;RIGHT("00000"&amp;927,5))</f>
        <v/>
      </c>
      <c r="C932">
        <f>IF($B932="","",COUNTIFS(LdgSellerA,$A932,LdgKeyA,"&lt;"&amp;$B932)+COUNTIFS(LdgSellerB,$A932,LdgKeyB,"&lt;"&amp;$B932)+1)</f>
        <v/>
      </c>
      <c r="D932">
        <f>IF($C932="","",$A932&amp;"|"&amp;RIGHT("000000"&amp;$C932,6))</f>
        <v/>
      </c>
      <c r="F932">
        <f>IF(Sync!$AH932="","",IF(LEFT(UPPER(TRIM(Sync!$AH932)),2)="SL",UPPER(TRIM(Sync!$AH932)),""))</f>
        <v/>
      </c>
      <c r="G932">
        <f>IF($F932="","",IF(Sync!$AE932="","",IF(ISNUMBER(Sync!$AE932),IF(AND(Sync!$AE932&gt;=10000101,Sync!$AE932&lt;=99991231),INT(Sync!$AE932/10000),""),IFERROR(VALUE(TRIM(LEFT(Sync!$AE932,FIND("/",Sync!$AE932)-1))),""))))</f>
        <v/>
      </c>
      <c r="H932">
        <f>IF(OR($F932="",$G932=""),"",IF(ISNUMBER(Sync!$AE932),INT(MOD(Sync!$AE932,10000)/100),IFERROR(VALUE(TRIM(LEFT(MID(Sync!$AE932,FIND("/",Sync!$AE932)+1,20),FIND("/",MID(Sync!$AE932,FIND("/",Sync!$AE932)+1,20))-1))),"")))</f>
        <v/>
      </c>
      <c r="I932">
        <f>IF(OR($F932="",$G932=""),"",IF(ISNUMBER(Sync!$AE932),MOD(Sync!$AE932,100),IFERROR(VALUE(TRIM(MID(MID(Sync!$AE932,FIND("/",Sync!$AE932)+1,20),FIND("/",MID(Sync!$AE932,FIND("/",Sync!$AE932)+1,20))+1,20))),"")))</f>
        <v/>
      </c>
      <c r="J932">
        <f>IF($F932="","",IF(OR($G932="",$H932="",$I932="",$G932&lt;1300,$G932&gt;1500,$H932&lt;1,$H932&gt;12,$I932&lt;1,$I932&gt;31),"نامعتبر",RIGHT("0000"&amp;$G932,4)&amp;"/"&amp;RIGHT("00"&amp;$H932,2)&amp;"/"&amp;RIGHT("00"&amp;$I932,2)))</f>
        <v/>
      </c>
      <c r="K932">
        <f>IF(OR($F932="",$J932="",$J932="نامعتبر"),"",LEFT($J932,4)&amp;MID($J932,6,2)&amp;RIGHT($J932,2)&amp;$N932&amp;"|"&amp;"2"&amp;RIGHT("00000"&amp;927,5))</f>
        <v/>
      </c>
      <c r="L932">
        <f>IF($K932="","",COUNTIFS(LdgSellerA,$F932,LdgKeyA,"&lt;"&amp;$K932)+COUNTIFS(LdgSellerB,$F932,LdgKeyB,"&lt;"&amp;$K932)+1)</f>
        <v/>
      </c>
      <c r="M932">
        <f>IF($L932="","",$F932&amp;"|"&amp;RIGHT("000000"&amp;$L932,6))</f>
        <v/>
      </c>
      <c r="N932">
        <f>IF($F932="","",IF(Sync!$AF932="","0000",IF(AND(ISNUMBER(Sync!$AF932),Sync!$AF932&gt;=0,Sync!$AF932&lt;1),RIGHT("00"&amp;HOUR(Sync!$AF932),2)&amp;RIGHT("00"&amp;MINUTE(Sync!$AF932),2),IFERROR(RIGHT("00"&amp;VALUE(LEFT(Sync!$AF932,FIND(":",Sync!$AF932)-1)),2)&amp;RIGHT("00"&amp;VALUE(MID(Sync!$AF932,FIND(":",Sync!$AF932)+1,2)),2),"0000"))))</f>
        <v/>
      </c>
    </row>
    <row r="933">
      <c r="A933">
        <f>IF(OR(Calc!$E937="",Calc!$E937="نامعتبر",Calc!$G937=""),"",Calc!$G937)</f>
        <v/>
      </c>
      <c r="B933">
        <f>IF($A933="","",LEFT(Calc!$E937,4)&amp;MID(Calc!$E937,6,2)&amp;RIGHT(Calc!$E937,2)&amp;Calc!$Q937&amp;"|"&amp;"1"&amp;RIGHT("00000"&amp;928,5))</f>
        <v/>
      </c>
      <c r="C933">
        <f>IF($B933="","",COUNTIFS(LdgSellerA,$A933,LdgKeyA,"&lt;"&amp;$B933)+COUNTIFS(LdgSellerB,$A933,LdgKeyB,"&lt;"&amp;$B933)+1)</f>
        <v/>
      </c>
      <c r="D933">
        <f>IF($C933="","",$A933&amp;"|"&amp;RIGHT("000000"&amp;$C933,6))</f>
        <v/>
      </c>
      <c r="F933">
        <f>IF(Sync!$AH933="","",IF(LEFT(UPPER(TRIM(Sync!$AH933)),2)="SL",UPPER(TRIM(Sync!$AH933)),""))</f>
        <v/>
      </c>
      <c r="G933">
        <f>IF($F933="","",IF(Sync!$AE933="","",IF(ISNUMBER(Sync!$AE933),IF(AND(Sync!$AE933&gt;=10000101,Sync!$AE933&lt;=99991231),INT(Sync!$AE933/10000),""),IFERROR(VALUE(TRIM(LEFT(Sync!$AE933,FIND("/",Sync!$AE933)-1))),""))))</f>
        <v/>
      </c>
      <c r="H933">
        <f>IF(OR($F933="",$G933=""),"",IF(ISNUMBER(Sync!$AE933),INT(MOD(Sync!$AE933,10000)/100),IFERROR(VALUE(TRIM(LEFT(MID(Sync!$AE933,FIND("/",Sync!$AE933)+1,20),FIND("/",MID(Sync!$AE933,FIND("/",Sync!$AE933)+1,20))-1))),"")))</f>
        <v/>
      </c>
      <c r="I933">
        <f>IF(OR($F933="",$G933=""),"",IF(ISNUMBER(Sync!$AE933),MOD(Sync!$AE933,100),IFERROR(VALUE(TRIM(MID(MID(Sync!$AE933,FIND("/",Sync!$AE933)+1,20),FIND("/",MID(Sync!$AE933,FIND("/",Sync!$AE933)+1,20))+1,20))),"")))</f>
        <v/>
      </c>
      <c r="J933">
        <f>IF($F933="","",IF(OR($G933="",$H933="",$I933="",$G933&lt;1300,$G933&gt;1500,$H933&lt;1,$H933&gt;12,$I933&lt;1,$I933&gt;31),"نامعتبر",RIGHT("0000"&amp;$G933,4)&amp;"/"&amp;RIGHT("00"&amp;$H933,2)&amp;"/"&amp;RIGHT("00"&amp;$I933,2)))</f>
        <v/>
      </c>
      <c r="K933">
        <f>IF(OR($F933="",$J933="",$J933="نامعتبر"),"",LEFT($J933,4)&amp;MID($J933,6,2)&amp;RIGHT($J933,2)&amp;$N933&amp;"|"&amp;"2"&amp;RIGHT("00000"&amp;928,5))</f>
        <v/>
      </c>
      <c r="L933">
        <f>IF($K933="","",COUNTIFS(LdgSellerA,$F933,LdgKeyA,"&lt;"&amp;$K933)+COUNTIFS(LdgSellerB,$F933,LdgKeyB,"&lt;"&amp;$K933)+1)</f>
        <v/>
      </c>
      <c r="M933">
        <f>IF($L933="","",$F933&amp;"|"&amp;RIGHT("000000"&amp;$L933,6))</f>
        <v/>
      </c>
      <c r="N933">
        <f>IF($F933="","",IF(Sync!$AF933="","0000",IF(AND(ISNUMBER(Sync!$AF933),Sync!$AF933&gt;=0,Sync!$AF933&lt;1),RIGHT("00"&amp;HOUR(Sync!$AF933),2)&amp;RIGHT("00"&amp;MINUTE(Sync!$AF933),2),IFERROR(RIGHT("00"&amp;VALUE(LEFT(Sync!$AF933,FIND(":",Sync!$AF933)-1)),2)&amp;RIGHT("00"&amp;VALUE(MID(Sync!$AF933,FIND(":",Sync!$AF933)+1,2)),2),"0000"))))</f>
        <v/>
      </c>
    </row>
    <row r="934">
      <c r="A934">
        <f>IF(OR(Calc!$E938="",Calc!$E938="نامعتبر",Calc!$G938=""),"",Calc!$G938)</f>
        <v/>
      </c>
      <c r="B934">
        <f>IF($A934="","",LEFT(Calc!$E938,4)&amp;MID(Calc!$E938,6,2)&amp;RIGHT(Calc!$E938,2)&amp;Calc!$Q938&amp;"|"&amp;"1"&amp;RIGHT("00000"&amp;929,5))</f>
        <v/>
      </c>
      <c r="C934">
        <f>IF($B934="","",COUNTIFS(LdgSellerA,$A934,LdgKeyA,"&lt;"&amp;$B934)+COUNTIFS(LdgSellerB,$A934,LdgKeyB,"&lt;"&amp;$B934)+1)</f>
        <v/>
      </c>
      <c r="D934">
        <f>IF($C934="","",$A934&amp;"|"&amp;RIGHT("000000"&amp;$C934,6))</f>
        <v/>
      </c>
      <c r="F934">
        <f>IF(Sync!$AH934="","",IF(LEFT(UPPER(TRIM(Sync!$AH934)),2)="SL",UPPER(TRIM(Sync!$AH934)),""))</f>
        <v/>
      </c>
      <c r="G934">
        <f>IF($F934="","",IF(Sync!$AE934="","",IF(ISNUMBER(Sync!$AE934),IF(AND(Sync!$AE934&gt;=10000101,Sync!$AE934&lt;=99991231),INT(Sync!$AE934/10000),""),IFERROR(VALUE(TRIM(LEFT(Sync!$AE934,FIND("/",Sync!$AE934)-1))),""))))</f>
        <v/>
      </c>
      <c r="H934">
        <f>IF(OR($F934="",$G934=""),"",IF(ISNUMBER(Sync!$AE934),INT(MOD(Sync!$AE934,10000)/100),IFERROR(VALUE(TRIM(LEFT(MID(Sync!$AE934,FIND("/",Sync!$AE934)+1,20),FIND("/",MID(Sync!$AE934,FIND("/",Sync!$AE934)+1,20))-1))),"")))</f>
        <v/>
      </c>
      <c r="I934">
        <f>IF(OR($F934="",$G934=""),"",IF(ISNUMBER(Sync!$AE934),MOD(Sync!$AE934,100),IFERROR(VALUE(TRIM(MID(MID(Sync!$AE934,FIND("/",Sync!$AE934)+1,20),FIND("/",MID(Sync!$AE934,FIND("/",Sync!$AE934)+1,20))+1,20))),"")))</f>
        <v/>
      </c>
      <c r="J934">
        <f>IF($F934="","",IF(OR($G934="",$H934="",$I934="",$G934&lt;1300,$G934&gt;1500,$H934&lt;1,$H934&gt;12,$I934&lt;1,$I934&gt;31),"نامعتبر",RIGHT("0000"&amp;$G934,4)&amp;"/"&amp;RIGHT("00"&amp;$H934,2)&amp;"/"&amp;RIGHT("00"&amp;$I934,2)))</f>
        <v/>
      </c>
      <c r="K934">
        <f>IF(OR($F934="",$J934="",$J934="نامعتبر"),"",LEFT($J934,4)&amp;MID($J934,6,2)&amp;RIGHT($J934,2)&amp;$N934&amp;"|"&amp;"2"&amp;RIGHT("00000"&amp;929,5))</f>
        <v/>
      </c>
      <c r="L934">
        <f>IF($K934="","",COUNTIFS(LdgSellerA,$F934,LdgKeyA,"&lt;"&amp;$K934)+COUNTIFS(LdgSellerB,$F934,LdgKeyB,"&lt;"&amp;$K934)+1)</f>
        <v/>
      </c>
      <c r="M934">
        <f>IF($L934="","",$F934&amp;"|"&amp;RIGHT("000000"&amp;$L934,6))</f>
        <v/>
      </c>
      <c r="N934">
        <f>IF($F934="","",IF(Sync!$AF934="","0000",IF(AND(ISNUMBER(Sync!$AF934),Sync!$AF934&gt;=0,Sync!$AF934&lt;1),RIGHT("00"&amp;HOUR(Sync!$AF934),2)&amp;RIGHT("00"&amp;MINUTE(Sync!$AF934),2),IFERROR(RIGHT("00"&amp;VALUE(LEFT(Sync!$AF934,FIND(":",Sync!$AF934)-1)),2)&amp;RIGHT("00"&amp;VALUE(MID(Sync!$AF934,FIND(":",Sync!$AF934)+1,2)),2),"0000"))))</f>
        <v/>
      </c>
    </row>
    <row r="935">
      <c r="A935">
        <f>IF(OR(Calc!$E939="",Calc!$E939="نامعتبر",Calc!$G939=""),"",Calc!$G939)</f>
        <v/>
      </c>
      <c r="B935">
        <f>IF($A935="","",LEFT(Calc!$E939,4)&amp;MID(Calc!$E939,6,2)&amp;RIGHT(Calc!$E939,2)&amp;Calc!$Q939&amp;"|"&amp;"1"&amp;RIGHT("00000"&amp;930,5))</f>
        <v/>
      </c>
      <c r="C935">
        <f>IF($B935="","",COUNTIFS(LdgSellerA,$A935,LdgKeyA,"&lt;"&amp;$B935)+COUNTIFS(LdgSellerB,$A935,LdgKeyB,"&lt;"&amp;$B935)+1)</f>
        <v/>
      </c>
      <c r="D935">
        <f>IF($C935="","",$A935&amp;"|"&amp;RIGHT("000000"&amp;$C935,6))</f>
        <v/>
      </c>
      <c r="F935">
        <f>IF(Sync!$AH935="","",IF(LEFT(UPPER(TRIM(Sync!$AH935)),2)="SL",UPPER(TRIM(Sync!$AH935)),""))</f>
        <v/>
      </c>
      <c r="G935">
        <f>IF($F935="","",IF(Sync!$AE935="","",IF(ISNUMBER(Sync!$AE935),IF(AND(Sync!$AE935&gt;=10000101,Sync!$AE935&lt;=99991231),INT(Sync!$AE935/10000),""),IFERROR(VALUE(TRIM(LEFT(Sync!$AE935,FIND("/",Sync!$AE935)-1))),""))))</f>
        <v/>
      </c>
      <c r="H935">
        <f>IF(OR($F935="",$G935=""),"",IF(ISNUMBER(Sync!$AE935),INT(MOD(Sync!$AE935,10000)/100),IFERROR(VALUE(TRIM(LEFT(MID(Sync!$AE935,FIND("/",Sync!$AE935)+1,20),FIND("/",MID(Sync!$AE935,FIND("/",Sync!$AE935)+1,20))-1))),"")))</f>
        <v/>
      </c>
      <c r="I935">
        <f>IF(OR($F935="",$G935=""),"",IF(ISNUMBER(Sync!$AE935),MOD(Sync!$AE935,100),IFERROR(VALUE(TRIM(MID(MID(Sync!$AE935,FIND("/",Sync!$AE935)+1,20),FIND("/",MID(Sync!$AE935,FIND("/",Sync!$AE935)+1,20))+1,20))),"")))</f>
        <v/>
      </c>
      <c r="J935">
        <f>IF($F935="","",IF(OR($G935="",$H935="",$I935="",$G935&lt;1300,$G935&gt;1500,$H935&lt;1,$H935&gt;12,$I935&lt;1,$I935&gt;31),"نامعتبر",RIGHT("0000"&amp;$G935,4)&amp;"/"&amp;RIGHT("00"&amp;$H935,2)&amp;"/"&amp;RIGHT("00"&amp;$I935,2)))</f>
        <v/>
      </c>
      <c r="K935">
        <f>IF(OR($F935="",$J935="",$J935="نامعتبر"),"",LEFT($J935,4)&amp;MID($J935,6,2)&amp;RIGHT($J935,2)&amp;$N935&amp;"|"&amp;"2"&amp;RIGHT("00000"&amp;930,5))</f>
        <v/>
      </c>
      <c r="L935">
        <f>IF($K935="","",COUNTIFS(LdgSellerA,$F935,LdgKeyA,"&lt;"&amp;$K935)+COUNTIFS(LdgSellerB,$F935,LdgKeyB,"&lt;"&amp;$K935)+1)</f>
        <v/>
      </c>
      <c r="M935">
        <f>IF($L935="","",$F935&amp;"|"&amp;RIGHT("000000"&amp;$L935,6))</f>
        <v/>
      </c>
      <c r="N935">
        <f>IF($F935="","",IF(Sync!$AF935="","0000",IF(AND(ISNUMBER(Sync!$AF935),Sync!$AF935&gt;=0,Sync!$AF935&lt;1),RIGHT("00"&amp;HOUR(Sync!$AF935),2)&amp;RIGHT("00"&amp;MINUTE(Sync!$AF935),2),IFERROR(RIGHT("00"&amp;VALUE(LEFT(Sync!$AF935,FIND(":",Sync!$AF935)-1)),2)&amp;RIGHT("00"&amp;VALUE(MID(Sync!$AF935,FIND(":",Sync!$AF935)+1,2)),2),"0000"))))</f>
        <v/>
      </c>
    </row>
    <row r="936">
      <c r="A936">
        <f>IF(OR(Calc!$E940="",Calc!$E940="نامعتبر",Calc!$G940=""),"",Calc!$G940)</f>
        <v/>
      </c>
      <c r="B936">
        <f>IF($A936="","",LEFT(Calc!$E940,4)&amp;MID(Calc!$E940,6,2)&amp;RIGHT(Calc!$E940,2)&amp;Calc!$Q940&amp;"|"&amp;"1"&amp;RIGHT("00000"&amp;931,5))</f>
        <v/>
      </c>
      <c r="C936">
        <f>IF($B936="","",COUNTIFS(LdgSellerA,$A936,LdgKeyA,"&lt;"&amp;$B936)+COUNTIFS(LdgSellerB,$A936,LdgKeyB,"&lt;"&amp;$B936)+1)</f>
        <v/>
      </c>
      <c r="D936">
        <f>IF($C936="","",$A936&amp;"|"&amp;RIGHT("000000"&amp;$C936,6))</f>
        <v/>
      </c>
      <c r="F936">
        <f>IF(Sync!$AH936="","",IF(LEFT(UPPER(TRIM(Sync!$AH936)),2)="SL",UPPER(TRIM(Sync!$AH936)),""))</f>
        <v/>
      </c>
      <c r="G936">
        <f>IF($F936="","",IF(Sync!$AE936="","",IF(ISNUMBER(Sync!$AE936),IF(AND(Sync!$AE936&gt;=10000101,Sync!$AE936&lt;=99991231),INT(Sync!$AE936/10000),""),IFERROR(VALUE(TRIM(LEFT(Sync!$AE936,FIND("/",Sync!$AE936)-1))),""))))</f>
        <v/>
      </c>
      <c r="H936">
        <f>IF(OR($F936="",$G936=""),"",IF(ISNUMBER(Sync!$AE936),INT(MOD(Sync!$AE936,10000)/100),IFERROR(VALUE(TRIM(LEFT(MID(Sync!$AE936,FIND("/",Sync!$AE936)+1,20),FIND("/",MID(Sync!$AE936,FIND("/",Sync!$AE936)+1,20))-1))),"")))</f>
        <v/>
      </c>
      <c r="I936">
        <f>IF(OR($F936="",$G936=""),"",IF(ISNUMBER(Sync!$AE936),MOD(Sync!$AE936,100),IFERROR(VALUE(TRIM(MID(MID(Sync!$AE936,FIND("/",Sync!$AE936)+1,20),FIND("/",MID(Sync!$AE936,FIND("/",Sync!$AE936)+1,20))+1,20))),"")))</f>
        <v/>
      </c>
      <c r="J936">
        <f>IF($F936="","",IF(OR($G936="",$H936="",$I936="",$G936&lt;1300,$G936&gt;1500,$H936&lt;1,$H936&gt;12,$I936&lt;1,$I936&gt;31),"نامعتبر",RIGHT("0000"&amp;$G936,4)&amp;"/"&amp;RIGHT("00"&amp;$H936,2)&amp;"/"&amp;RIGHT("00"&amp;$I936,2)))</f>
        <v/>
      </c>
      <c r="K936">
        <f>IF(OR($F936="",$J936="",$J936="نامعتبر"),"",LEFT($J936,4)&amp;MID($J936,6,2)&amp;RIGHT($J936,2)&amp;$N936&amp;"|"&amp;"2"&amp;RIGHT("00000"&amp;931,5))</f>
        <v/>
      </c>
      <c r="L936">
        <f>IF($K936="","",COUNTIFS(LdgSellerA,$F936,LdgKeyA,"&lt;"&amp;$K936)+COUNTIFS(LdgSellerB,$F936,LdgKeyB,"&lt;"&amp;$K936)+1)</f>
        <v/>
      </c>
      <c r="M936">
        <f>IF($L936="","",$F936&amp;"|"&amp;RIGHT("000000"&amp;$L936,6))</f>
        <v/>
      </c>
      <c r="N936">
        <f>IF($F936="","",IF(Sync!$AF936="","0000",IF(AND(ISNUMBER(Sync!$AF936),Sync!$AF936&gt;=0,Sync!$AF936&lt;1),RIGHT("00"&amp;HOUR(Sync!$AF936),2)&amp;RIGHT("00"&amp;MINUTE(Sync!$AF936),2),IFERROR(RIGHT("00"&amp;VALUE(LEFT(Sync!$AF936,FIND(":",Sync!$AF936)-1)),2)&amp;RIGHT("00"&amp;VALUE(MID(Sync!$AF936,FIND(":",Sync!$AF936)+1,2)),2),"0000"))))</f>
        <v/>
      </c>
    </row>
    <row r="937">
      <c r="A937">
        <f>IF(OR(Calc!$E941="",Calc!$E941="نامعتبر",Calc!$G941=""),"",Calc!$G941)</f>
        <v/>
      </c>
      <c r="B937">
        <f>IF($A937="","",LEFT(Calc!$E941,4)&amp;MID(Calc!$E941,6,2)&amp;RIGHT(Calc!$E941,2)&amp;Calc!$Q941&amp;"|"&amp;"1"&amp;RIGHT("00000"&amp;932,5))</f>
        <v/>
      </c>
      <c r="C937">
        <f>IF($B937="","",COUNTIFS(LdgSellerA,$A937,LdgKeyA,"&lt;"&amp;$B937)+COUNTIFS(LdgSellerB,$A937,LdgKeyB,"&lt;"&amp;$B937)+1)</f>
        <v/>
      </c>
      <c r="D937">
        <f>IF($C937="","",$A937&amp;"|"&amp;RIGHT("000000"&amp;$C937,6))</f>
        <v/>
      </c>
      <c r="F937">
        <f>IF(Sync!$AH937="","",IF(LEFT(UPPER(TRIM(Sync!$AH937)),2)="SL",UPPER(TRIM(Sync!$AH937)),""))</f>
        <v/>
      </c>
      <c r="G937">
        <f>IF($F937="","",IF(Sync!$AE937="","",IF(ISNUMBER(Sync!$AE937),IF(AND(Sync!$AE937&gt;=10000101,Sync!$AE937&lt;=99991231),INT(Sync!$AE937/10000),""),IFERROR(VALUE(TRIM(LEFT(Sync!$AE937,FIND("/",Sync!$AE937)-1))),""))))</f>
        <v/>
      </c>
      <c r="H937">
        <f>IF(OR($F937="",$G937=""),"",IF(ISNUMBER(Sync!$AE937),INT(MOD(Sync!$AE937,10000)/100),IFERROR(VALUE(TRIM(LEFT(MID(Sync!$AE937,FIND("/",Sync!$AE937)+1,20),FIND("/",MID(Sync!$AE937,FIND("/",Sync!$AE937)+1,20))-1))),"")))</f>
        <v/>
      </c>
      <c r="I937">
        <f>IF(OR($F937="",$G937=""),"",IF(ISNUMBER(Sync!$AE937),MOD(Sync!$AE937,100),IFERROR(VALUE(TRIM(MID(MID(Sync!$AE937,FIND("/",Sync!$AE937)+1,20),FIND("/",MID(Sync!$AE937,FIND("/",Sync!$AE937)+1,20))+1,20))),"")))</f>
        <v/>
      </c>
      <c r="J937">
        <f>IF($F937="","",IF(OR($G937="",$H937="",$I937="",$G937&lt;1300,$G937&gt;1500,$H937&lt;1,$H937&gt;12,$I937&lt;1,$I937&gt;31),"نامعتبر",RIGHT("0000"&amp;$G937,4)&amp;"/"&amp;RIGHT("00"&amp;$H937,2)&amp;"/"&amp;RIGHT("00"&amp;$I937,2)))</f>
        <v/>
      </c>
      <c r="K937">
        <f>IF(OR($F937="",$J937="",$J937="نامعتبر"),"",LEFT($J937,4)&amp;MID($J937,6,2)&amp;RIGHT($J937,2)&amp;$N937&amp;"|"&amp;"2"&amp;RIGHT("00000"&amp;932,5))</f>
        <v/>
      </c>
      <c r="L937">
        <f>IF($K937="","",COUNTIFS(LdgSellerA,$F937,LdgKeyA,"&lt;"&amp;$K937)+COUNTIFS(LdgSellerB,$F937,LdgKeyB,"&lt;"&amp;$K937)+1)</f>
        <v/>
      </c>
      <c r="M937">
        <f>IF($L937="","",$F937&amp;"|"&amp;RIGHT("000000"&amp;$L937,6))</f>
        <v/>
      </c>
      <c r="N937">
        <f>IF($F937="","",IF(Sync!$AF937="","0000",IF(AND(ISNUMBER(Sync!$AF937),Sync!$AF937&gt;=0,Sync!$AF937&lt;1),RIGHT("00"&amp;HOUR(Sync!$AF937),2)&amp;RIGHT("00"&amp;MINUTE(Sync!$AF937),2),IFERROR(RIGHT("00"&amp;VALUE(LEFT(Sync!$AF937,FIND(":",Sync!$AF937)-1)),2)&amp;RIGHT("00"&amp;VALUE(MID(Sync!$AF937,FIND(":",Sync!$AF937)+1,2)),2),"0000"))))</f>
        <v/>
      </c>
    </row>
    <row r="938">
      <c r="A938">
        <f>IF(OR(Calc!$E942="",Calc!$E942="نامعتبر",Calc!$G942=""),"",Calc!$G942)</f>
        <v/>
      </c>
      <c r="B938">
        <f>IF($A938="","",LEFT(Calc!$E942,4)&amp;MID(Calc!$E942,6,2)&amp;RIGHT(Calc!$E942,2)&amp;Calc!$Q942&amp;"|"&amp;"1"&amp;RIGHT("00000"&amp;933,5))</f>
        <v/>
      </c>
      <c r="C938">
        <f>IF($B938="","",COUNTIFS(LdgSellerA,$A938,LdgKeyA,"&lt;"&amp;$B938)+COUNTIFS(LdgSellerB,$A938,LdgKeyB,"&lt;"&amp;$B938)+1)</f>
        <v/>
      </c>
      <c r="D938">
        <f>IF($C938="","",$A938&amp;"|"&amp;RIGHT("000000"&amp;$C938,6))</f>
        <v/>
      </c>
      <c r="F938">
        <f>IF(Sync!$AH938="","",IF(LEFT(UPPER(TRIM(Sync!$AH938)),2)="SL",UPPER(TRIM(Sync!$AH938)),""))</f>
        <v/>
      </c>
      <c r="G938">
        <f>IF($F938="","",IF(Sync!$AE938="","",IF(ISNUMBER(Sync!$AE938),IF(AND(Sync!$AE938&gt;=10000101,Sync!$AE938&lt;=99991231),INT(Sync!$AE938/10000),""),IFERROR(VALUE(TRIM(LEFT(Sync!$AE938,FIND("/",Sync!$AE938)-1))),""))))</f>
        <v/>
      </c>
      <c r="H938">
        <f>IF(OR($F938="",$G938=""),"",IF(ISNUMBER(Sync!$AE938),INT(MOD(Sync!$AE938,10000)/100),IFERROR(VALUE(TRIM(LEFT(MID(Sync!$AE938,FIND("/",Sync!$AE938)+1,20),FIND("/",MID(Sync!$AE938,FIND("/",Sync!$AE938)+1,20))-1))),"")))</f>
        <v/>
      </c>
      <c r="I938">
        <f>IF(OR($F938="",$G938=""),"",IF(ISNUMBER(Sync!$AE938),MOD(Sync!$AE938,100),IFERROR(VALUE(TRIM(MID(MID(Sync!$AE938,FIND("/",Sync!$AE938)+1,20),FIND("/",MID(Sync!$AE938,FIND("/",Sync!$AE938)+1,20))+1,20))),"")))</f>
        <v/>
      </c>
      <c r="J938">
        <f>IF($F938="","",IF(OR($G938="",$H938="",$I938="",$G938&lt;1300,$G938&gt;1500,$H938&lt;1,$H938&gt;12,$I938&lt;1,$I938&gt;31),"نامعتبر",RIGHT("0000"&amp;$G938,4)&amp;"/"&amp;RIGHT("00"&amp;$H938,2)&amp;"/"&amp;RIGHT("00"&amp;$I938,2)))</f>
        <v/>
      </c>
      <c r="K938">
        <f>IF(OR($F938="",$J938="",$J938="نامعتبر"),"",LEFT($J938,4)&amp;MID($J938,6,2)&amp;RIGHT($J938,2)&amp;$N938&amp;"|"&amp;"2"&amp;RIGHT("00000"&amp;933,5))</f>
        <v/>
      </c>
      <c r="L938">
        <f>IF($K938="","",COUNTIFS(LdgSellerA,$F938,LdgKeyA,"&lt;"&amp;$K938)+COUNTIFS(LdgSellerB,$F938,LdgKeyB,"&lt;"&amp;$K938)+1)</f>
        <v/>
      </c>
      <c r="M938">
        <f>IF($L938="","",$F938&amp;"|"&amp;RIGHT("000000"&amp;$L938,6))</f>
        <v/>
      </c>
      <c r="N938">
        <f>IF($F938="","",IF(Sync!$AF938="","0000",IF(AND(ISNUMBER(Sync!$AF938),Sync!$AF938&gt;=0,Sync!$AF938&lt;1),RIGHT("00"&amp;HOUR(Sync!$AF938),2)&amp;RIGHT("00"&amp;MINUTE(Sync!$AF938),2),IFERROR(RIGHT("00"&amp;VALUE(LEFT(Sync!$AF938,FIND(":",Sync!$AF938)-1)),2)&amp;RIGHT("00"&amp;VALUE(MID(Sync!$AF938,FIND(":",Sync!$AF938)+1,2)),2),"0000"))))</f>
        <v/>
      </c>
    </row>
    <row r="939">
      <c r="A939">
        <f>IF(OR(Calc!$E943="",Calc!$E943="نامعتبر",Calc!$G943=""),"",Calc!$G943)</f>
        <v/>
      </c>
      <c r="B939">
        <f>IF($A939="","",LEFT(Calc!$E943,4)&amp;MID(Calc!$E943,6,2)&amp;RIGHT(Calc!$E943,2)&amp;Calc!$Q943&amp;"|"&amp;"1"&amp;RIGHT("00000"&amp;934,5))</f>
        <v/>
      </c>
      <c r="C939">
        <f>IF($B939="","",COUNTIFS(LdgSellerA,$A939,LdgKeyA,"&lt;"&amp;$B939)+COUNTIFS(LdgSellerB,$A939,LdgKeyB,"&lt;"&amp;$B939)+1)</f>
        <v/>
      </c>
      <c r="D939">
        <f>IF($C939="","",$A939&amp;"|"&amp;RIGHT("000000"&amp;$C939,6))</f>
        <v/>
      </c>
      <c r="F939">
        <f>IF(Sync!$AH939="","",IF(LEFT(UPPER(TRIM(Sync!$AH939)),2)="SL",UPPER(TRIM(Sync!$AH939)),""))</f>
        <v/>
      </c>
      <c r="G939">
        <f>IF($F939="","",IF(Sync!$AE939="","",IF(ISNUMBER(Sync!$AE939),IF(AND(Sync!$AE939&gt;=10000101,Sync!$AE939&lt;=99991231),INT(Sync!$AE939/10000),""),IFERROR(VALUE(TRIM(LEFT(Sync!$AE939,FIND("/",Sync!$AE939)-1))),""))))</f>
        <v/>
      </c>
      <c r="H939">
        <f>IF(OR($F939="",$G939=""),"",IF(ISNUMBER(Sync!$AE939),INT(MOD(Sync!$AE939,10000)/100),IFERROR(VALUE(TRIM(LEFT(MID(Sync!$AE939,FIND("/",Sync!$AE939)+1,20),FIND("/",MID(Sync!$AE939,FIND("/",Sync!$AE939)+1,20))-1))),"")))</f>
        <v/>
      </c>
      <c r="I939">
        <f>IF(OR($F939="",$G939=""),"",IF(ISNUMBER(Sync!$AE939),MOD(Sync!$AE939,100),IFERROR(VALUE(TRIM(MID(MID(Sync!$AE939,FIND("/",Sync!$AE939)+1,20),FIND("/",MID(Sync!$AE939,FIND("/",Sync!$AE939)+1,20))+1,20))),"")))</f>
        <v/>
      </c>
      <c r="J939">
        <f>IF($F939="","",IF(OR($G939="",$H939="",$I939="",$G939&lt;1300,$G939&gt;1500,$H939&lt;1,$H939&gt;12,$I939&lt;1,$I939&gt;31),"نامعتبر",RIGHT("0000"&amp;$G939,4)&amp;"/"&amp;RIGHT("00"&amp;$H939,2)&amp;"/"&amp;RIGHT("00"&amp;$I939,2)))</f>
        <v/>
      </c>
      <c r="K939">
        <f>IF(OR($F939="",$J939="",$J939="نامعتبر"),"",LEFT($J939,4)&amp;MID($J939,6,2)&amp;RIGHT($J939,2)&amp;$N939&amp;"|"&amp;"2"&amp;RIGHT("00000"&amp;934,5))</f>
        <v/>
      </c>
      <c r="L939">
        <f>IF($K939="","",COUNTIFS(LdgSellerA,$F939,LdgKeyA,"&lt;"&amp;$K939)+COUNTIFS(LdgSellerB,$F939,LdgKeyB,"&lt;"&amp;$K939)+1)</f>
        <v/>
      </c>
      <c r="M939">
        <f>IF($L939="","",$F939&amp;"|"&amp;RIGHT("000000"&amp;$L939,6))</f>
        <v/>
      </c>
      <c r="N939">
        <f>IF($F939="","",IF(Sync!$AF939="","0000",IF(AND(ISNUMBER(Sync!$AF939),Sync!$AF939&gt;=0,Sync!$AF939&lt;1),RIGHT("00"&amp;HOUR(Sync!$AF939),2)&amp;RIGHT("00"&amp;MINUTE(Sync!$AF939),2),IFERROR(RIGHT("00"&amp;VALUE(LEFT(Sync!$AF939,FIND(":",Sync!$AF939)-1)),2)&amp;RIGHT("00"&amp;VALUE(MID(Sync!$AF939,FIND(":",Sync!$AF939)+1,2)),2),"0000"))))</f>
        <v/>
      </c>
    </row>
    <row r="940">
      <c r="A940">
        <f>IF(OR(Calc!$E944="",Calc!$E944="نامعتبر",Calc!$G944=""),"",Calc!$G944)</f>
        <v/>
      </c>
      <c r="B940">
        <f>IF($A940="","",LEFT(Calc!$E944,4)&amp;MID(Calc!$E944,6,2)&amp;RIGHT(Calc!$E944,2)&amp;Calc!$Q944&amp;"|"&amp;"1"&amp;RIGHT("00000"&amp;935,5))</f>
        <v/>
      </c>
      <c r="C940">
        <f>IF($B940="","",COUNTIFS(LdgSellerA,$A940,LdgKeyA,"&lt;"&amp;$B940)+COUNTIFS(LdgSellerB,$A940,LdgKeyB,"&lt;"&amp;$B940)+1)</f>
        <v/>
      </c>
      <c r="D940">
        <f>IF($C940="","",$A940&amp;"|"&amp;RIGHT("000000"&amp;$C940,6))</f>
        <v/>
      </c>
      <c r="F940">
        <f>IF(Sync!$AH940="","",IF(LEFT(UPPER(TRIM(Sync!$AH940)),2)="SL",UPPER(TRIM(Sync!$AH940)),""))</f>
        <v/>
      </c>
      <c r="G940">
        <f>IF($F940="","",IF(Sync!$AE940="","",IF(ISNUMBER(Sync!$AE940),IF(AND(Sync!$AE940&gt;=10000101,Sync!$AE940&lt;=99991231),INT(Sync!$AE940/10000),""),IFERROR(VALUE(TRIM(LEFT(Sync!$AE940,FIND("/",Sync!$AE940)-1))),""))))</f>
        <v/>
      </c>
      <c r="H940">
        <f>IF(OR($F940="",$G940=""),"",IF(ISNUMBER(Sync!$AE940),INT(MOD(Sync!$AE940,10000)/100),IFERROR(VALUE(TRIM(LEFT(MID(Sync!$AE940,FIND("/",Sync!$AE940)+1,20),FIND("/",MID(Sync!$AE940,FIND("/",Sync!$AE940)+1,20))-1))),"")))</f>
        <v/>
      </c>
      <c r="I940">
        <f>IF(OR($F940="",$G940=""),"",IF(ISNUMBER(Sync!$AE940),MOD(Sync!$AE940,100),IFERROR(VALUE(TRIM(MID(MID(Sync!$AE940,FIND("/",Sync!$AE940)+1,20),FIND("/",MID(Sync!$AE940,FIND("/",Sync!$AE940)+1,20))+1,20))),"")))</f>
        <v/>
      </c>
      <c r="J940">
        <f>IF($F940="","",IF(OR($G940="",$H940="",$I940="",$G940&lt;1300,$G940&gt;1500,$H940&lt;1,$H940&gt;12,$I940&lt;1,$I940&gt;31),"نامعتبر",RIGHT("0000"&amp;$G940,4)&amp;"/"&amp;RIGHT("00"&amp;$H940,2)&amp;"/"&amp;RIGHT("00"&amp;$I940,2)))</f>
        <v/>
      </c>
      <c r="K940">
        <f>IF(OR($F940="",$J940="",$J940="نامعتبر"),"",LEFT($J940,4)&amp;MID($J940,6,2)&amp;RIGHT($J940,2)&amp;$N940&amp;"|"&amp;"2"&amp;RIGHT("00000"&amp;935,5))</f>
        <v/>
      </c>
      <c r="L940">
        <f>IF($K940="","",COUNTIFS(LdgSellerA,$F940,LdgKeyA,"&lt;"&amp;$K940)+COUNTIFS(LdgSellerB,$F940,LdgKeyB,"&lt;"&amp;$K940)+1)</f>
        <v/>
      </c>
      <c r="M940">
        <f>IF($L940="","",$F940&amp;"|"&amp;RIGHT("000000"&amp;$L940,6))</f>
        <v/>
      </c>
      <c r="N940">
        <f>IF($F940="","",IF(Sync!$AF940="","0000",IF(AND(ISNUMBER(Sync!$AF940),Sync!$AF940&gt;=0,Sync!$AF940&lt;1),RIGHT("00"&amp;HOUR(Sync!$AF940),2)&amp;RIGHT("00"&amp;MINUTE(Sync!$AF940),2),IFERROR(RIGHT("00"&amp;VALUE(LEFT(Sync!$AF940,FIND(":",Sync!$AF940)-1)),2)&amp;RIGHT("00"&amp;VALUE(MID(Sync!$AF940,FIND(":",Sync!$AF940)+1,2)),2),"0000"))))</f>
        <v/>
      </c>
    </row>
    <row r="941">
      <c r="A941">
        <f>IF(OR(Calc!$E945="",Calc!$E945="نامعتبر",Calc!$G945=""),"",Calc!$G945)</f>
        <v/>
      </c>
      <c r="B941">
        <f>IF($A941="","",LEFT(Calc!$E945,4)&amp;MID(Calc!$E945,6,2)&amp;RIGHT(Calc!$E945,2)&amp;Calc!$Q945&amp;"|"&amp;"1"&amp;RIGHT("00000"&amp;936,5))</f>
        <v/>
      </c>
      <c r="C941">
        <f>IF($B941="","",COUNTIFS(LdgSellerA,$A941,LdgKeyA,"&lt;"&amp;$B941)+COUNTIFS(LdgSellerB,$A941,LdgKeyB,"&lt;"&amp;$B941)+1)</f>
        <v/>
      </c>
      <c r="D941">
        <f>IF($C941="","",$A941&amp;"|"&amp;RIGHT("000000"&amp;$C941,6))</f>
        <v/>
      </c>
      <c r="F941">
        <f>IF(Sync!$AH941="","",IF(LEFT(UPPER(TRIM(Sync!$AH941)),2)="SL",UPPER(TRIM(Sync!$AH941)),""))</f>
        <v/>
      </c>
      <c r="G941">
        <f>IF($F941="","",IF(Sync!$AE941="","",IF(ISNUMBER(Sync!$AE941),IF(AND(Sync!$AE941&gt;=10000101,Sync!$AE941&lt;=99991231),INT(Sync!$AE941/10000),""),IFERROR(VALUE(TRIM(LEFT(Sync!$AE941,FIND("/",Sync!$AE941)-1))),""))))</f>
        <v/>
      </c>
      <c r="H941">
        <f>IF(OR($F941="",$G941=""),"",IF(ISNUMBER(Sync!$AE941),INT(MOD(Sync!$AE941,10000)/100),IFERROR(VALUE(TRIM(LEFT(MID(Sync!$AE941,FIND("/",Sync!$AE941)+1,20),FIND("/",MID(Sync!$AE941,FIND("/",Sync!$AE941)+1,20))-1))),"")))</f>
        <v/>
      </c>
      <c r="I941">
        <f>IF(OR($F941="",$G941=""),"",IF(ISNUMBER(Sync!$AE941),MOD(Sync!$AE941,100),IFERROR(VALUE(TRIM(MID(MID(Sync!$AE941,FIND("/",Sync!$AE941)+1,20),FIND("/",MID(Sync!$AE941,FIND("/",Sync!$AE941)+1,20))+1,20))),"")))</f>
        <v/>
      </c>
      <c r="J941">
        <f>IF($F941="","",IF(OR($G941="",$H941="",$I941="",$G941&lt;1300,$G941&gt;1500,$H941&lt;1,$H941&gt;12,$I941&lt;1,$I941&gt;31),"نامعتبر",RIGHT("0000"&amp;$G941,4)&amp;"/"&amp;RIGHT("00"&amp;$H941,2)&amp;"/"&amp;RIGHT("00"&amp;$I941,2)))</f>
        <v/>
      </c>
      <c r="K941">
        <f>IF(OR($F941="",$J941="",$J941="نامعتبر"),"",LEFT($J941,4)&amp;MID($J941,6,2)&amp;RIGHT($J941,2)&amp;$N941&amp;"|"&amp;"2"&amp;RIGHT("00000"&amp;936,5))</f>
        <v/>
      </c>
      <c r="L941">
        <f>IF($K941="","",COUNTIFS(LdgSellerA,$F941,LdgKeyA,"&lt;"&amp;$K941)+COUNTIFS(LdgSellerB,$F941,LdgKeyB,"&lt;"&amp;$K941)+1)</f>
        <v/>
      </c>
      <c r="M941">
        <f>IF($L941="","",$F941&amp;"|"&amp;RIGHT("000000"&amp;$L941,6))</f>
        <v/>
      </c>
      <c r="N941">
        <f>IF($F941="","",IF(Sync!$AF941="","0000",IF(AND(ISNUMBER(Sync!$AF941),Sync!$AF941&gt;=0,Sync!$AF941&lt;1),RIGHT("00"&amp;HOUR(Sync!$AF941),2)&amp;RIGHT("00"&amp;MINUTE(Sync!$AF941),2),IFERROR(RIGHT("00"&amp;VALUE(LEFT(Sync!$AF941,FIND(":",Sync!$AF941)-1)),2)&amp;RIGHT("00"&amp;VALUE(MID(Sync!$AF941,FIND(":",Sync!$AF941)+1,2)),2),"0000"))))</f>
        <v/>
      </c>
    </row>
    <row r="942">
      <c r="A942">
        <f>IF(OR(Calc!$E946="",Calc!$E946="نامعتبر",Calc!$G946=""),"",Calc!$G946)</f>
        <v/>
      </c>
      <c r="B942">
        <f>IF($A942="","",LEFT(Calc!$E946,4)&amp;MID(Calc!$E946,6,2)&amp;RIGHT(Calc!$E946,2)&amp;Calc!$Q946&amp;"|"&amp;"1"&amp;RIGHT("00000"&amp;937,5))</f>
        <v/>
      </c>
      <c r="C942">
        <f>IF($B942="","",COUNTIFS(LdgSellerA,$A942,LdgKeyA,"&lt;"&amp;$B942)+COUNTIFS(LdgSellerB,$A942,LdgKeyB,"&lt;"&amp;$B942)+1)</f>
        <v/>
      </c>
      <c r="D942">
        <f>IF($C942="","",$A942&amp;"|"&amp;RIGHT("000000"&amp;$C942,6))</f>
        <v/>
      </c>
      <c r="F942">
        <f>IF(Sync!$AH942="","",IF(LEFT(UPPER(TRIM(Sync!$AH942)),2)="SL",UPPER(TRIM(Sync!$AH942)),""))</f>
        <v/>
      </c>
      <c r="G942">
        <f>IF($F942="","",IF(Sync!$AE942="","",IF(ISNUMBER(Sync!$AE942),IF(AND(Sync!$AE942&gt;=10000101,Sync!$AE942&lt;=99991231),INT(Sync!$AE942/10000),""),IFERROR(VALUE(TRIM(LEFT(Sync!$AE942,FIND("/",Sync!$AE942)-1))),""))))</f>
        <v/>
      </c>
      <c r="H942">
        <f>IF(OR($F942="",$G942=""),"",IF(ISNUMBER(Sync!$AE942),INT(MOD(Sync!$AE942,10000)/100),IFERROR(VALUE(TRIM(LEFT(MID(Sync!$AE942,FIND("/",Sync!$AE942)+1,20),FIND("/",MID(Sync!$AE942,FIND("/",Sync!$AE942)+1,20))-1))),"")))</f>
        <v/>
      </c>
      <c r="I942">
        <f>IF(OR($F942="",$G942=""),"",IF(ISNUMBER(Sync!$AE942),MOD(Sync!$AE942,100),IFERROR(VALUE(TRIM(MID(MID(Sync!$AE942,FIND("/",Sync!$AE942)+1,20),FIND("/",MID(Sync!$AE942,FIND("/",Sync!$AE942)+1,20))+1,20))),"")))</f>
        <v/>
      </c>
      <c r="J942">
        <f>IF($F942="","",IF(OR($G942="",$H942="",$I942="",$G942&lt;1300,$G942&gt;1500,$H942&lt;1,$H942&gt;12,$I942&lt;1,$I942&gt;31),"نامعتبر",RIGHT("0000"&amp;$G942,4)&amp;"/"&amp;RIGHT("00"&amp;$H942,2)&amp;"/"&amp;RIGHT("00"&amp;$I942,2)))</f>
        <v/>
      </c>
      <c r="K942">
        <f>IF(OR($F942="",$J942="",$J942="نامعتبر"),"",LEFT($J942,4)&amp;MID($J942,6,2)&amp;RIGHT($J942,2)&amp;$N942&amp;"|"&amp;"2"&amp;RIGHT("00000"&amp;937,5))</f>
        <v/>
      </c>
      <c r="L942">
        <f>IF($K942="","",COUNTIFS(LdgSellerA,$F942,LdgKeyA,"&lt;"&amp;$K942)+COUNTIFS(LdgSellerB,$F942,LdgKeyB,"&lt;"&amp;$K942)+1)</f>
        <v/>
      </c>
      <c r="M942">
        <f>IF($L942="","",$F942&amp;"|"&amp;RIGHT("000000"&amp;$L942,6))</f>
        <v/>
      </c>
      <c r="N942">
        <f>IF($F942="","",IF(Sync!$AF942="","0000",IF(AND(ISNUMBER(Sync!$AF942),Sync!$AF942&gt;=0,Sync!$AF942&lt;1),RIGHT("00"&amp;HOUR(Sync!$AF942),2)&amp;RIGHT("00"&amp;MINUTE(Sync!$AF942),2),IFERROR(RIGHT("00"&amp;VALUE(LEFT(Sync!$AF942,FIND(":",Sync!$AF942)-1)),2)&amp;RIGHT("00"&amp;VALUE(MID(Sync!$AF942,FIND(":",Sync!$AF942)+1,2)),2),"0000"))))</f>
        <v/>
      </c>
    </row>
    <row r="943">
      <c r="A943">
        <f>IF(OR(Calc!$E947="",Calc!$E947="نامعتبر",Calc!$G947=""),"",Calc!$G947)</f>
        <v/>
      </c>
      <c r="B943">
        <f>IF($A943="","",LEFT(Calc!$E947,4)&amp;MID(Calc!$E947,6,2)&amp;RIGHT(Calc!$E947,2)&amp;Calc!$Q947&amp;"|"&amp;"1"&amp;RIGHT("00000"&amp;938,5))</f>
        <v/>
      </c>
      <c r="C943">
        <f>IF($B943="","",COUNTIFS(LdgSellerA,$A943,LdgKeyA,"&lt;"&amp;$B943)+COUNTIFS(LdgSellerB,$A943,LdgKeyB,"&lt;"&amp;$B943)+1)</f>
        <v/>
      </c>
      <c r="D943">
        <f>IF($C943="","",$A943&amp;"|"&amp;RIGHT("000000"&amp;$C943,6))</f>
        <v/>
      </c>
      <c r="F943">
        <f>IF(Sync!$AH943="","",IF(LEFT(UPPER(TRIM(Sync!$AH943)),2)="SL",UPPER(TRIM(Sync!$AH943)),""))</f>
        <v/>
      </c>
      <c r="G943">
        <f>IF($F943="","",IF(Sync!$AE943="","",IF(ISNUMBER(Sync!$AE943),IF(AND(Sync!$AE943&gt;=10000101,Sync!$AE943&lt;=99991231),INT(Sync!$AE943/10000),""),IFERROR(VALUE(TRIM(LEFT(Sync!$AE943,FIND("/",Sync!$AE943)-1))),""))))</f>
        <v/>
      </c>
      <c r="H943">
        <f>IF(OR($F943="",$G943=""),"",IF(ISNUMBER(Sync!$AE943),INT(MOD(Sync!$AE943,10000)/100),IFERROR(VALUE(TRIM(LEFT(MID(Sync!$AE943,FIND("/",Sync!$AE943)+1,20),FIND("/",MID(Sync!$AE943,FIND("/",Sync!$AE943)+1,20))-1))),"")))</f>
        <v/>
      </c>
      <c r="I943">
        <f>IF(OR($F943="",$G943=""),"",IF(ISNUMBER(Sync!$AE943),MOD(Sync!$AE943,100),IFERROR(VALUE(TRIM(MID(MID(Sync!$AE943,FIND("/",Sync!$AE943)+1,20),FIND("/",MID(Sync!$AE943,FIND("/",Sync!$AE943)+1,20))+1,20))),"")))</f>
        <v/>
      </c>
      <c r="J943">
        <f>IF($F943="","",IF(OR($G943="",$H943="",$I943="",$G943&lt;1300,$G943&gt;1500,$H943&lt;1,$H943&gt;12,$I943&lt;1,$I943&gt;31),"نامعتبر",RIGHT("0000"&amp;$G943,4)&amp;"/"&amp;RIGHT("00"&amp;$H943,2)&amp;"/"&amp;RIGHT("00"&amp;$I943,2)))</f>
        <v/>
      </c>
      <c r="K943">
        <f>IF(OR($F943="",$J943="",$J943="نامعتبر"),"",LEFT($J943,4)&amp;MID($J943,6,2)&amp;RIGHT($J943,2)&amp;$N943&amp;"|"&amp;"2"&amp;RIGHT("00000"&amp;938,5))</f>
        <v/>
      </c>
      <c r="L943">
        <f>IF($K943="","",COUNTIFS(LdgSellerA,$F943,LdgKeyA,"&lt;"&amp;$K943)+COUNTIFS(LdgSellerB,$F943,LdgKeyB,"&lt;"&amp;$K943)+1)</f>
        <v/>
      </c>
      <c r="M943">
        <f>IF($L943="","",$F943&amp;"|"&amp;RIGHT("000000"&amp;$L943,6))</f>
        <v/>
      </c>
      <c r="N943">
        <f>IF($F943="","",IF(Sync!$AF943="","0000",IF(AND(ISNUMBER(Sync!$AF943),Sync!$AF943&gt;=0,Sync!$AF943&lt;1),RIGHT("00"&amp;HOUR(Sync!$AF943),2)&amp;RIGHT("00"&amp;MINUTE(Sync!$AF943),2),IFERROR(RIGHT("00"&amp;VALUE(LEFT(Sync!$AF943,FIND(":",Sync!$AF943)-1)),2)&amp;RIGHT("00"&amp;VALUE(MID(Sync!$AF943,FIND(":",Sync!$AF943)+1,2)),2),"0000"))))</f>
        <v/>
      </c>
    </row>
    <row r="944">
      <c r="A944">
        <f>IF(OR(Calc!$E948="",Calc!$E948="نامعتبر",Calc!$G948=""),"",Calc!$G948)</f>
        <v/>
      </c>
      <c r="B944">
        <f>IF($A944="","",LEFT(Calc!$E948,4)&amp;MID(Calc!$E948,6,2)&amp;RIGHT(Calc!$E948,2)&amp;Calc!$Q948&amp;"|"&amp;"1"&amp;RIGHT("00000"&amp;939,5))</f>
        <v/>
      </c>
      <c r="C944">
        <f>IF($B944="","",COUNTIFS(LdgSellerA,$A944,LdgKeyA,"&lt;"&amp;$B944)+COUNTIFS(LdgSellerB,$A944,LdgKeyB,"&lt;"&amp;$B944)+1)</f>
        <v/>
      </c>
      <c r="D944">
        <f>IF($C944="","",$A944&amp;"|"&amp;RIGHT("000000"&amp;$C944,6))</f>
        <v/>
      </c>
      <c r="F944">
        <f>IF(Sync!$AH944="","",IF(LEFT(UPPER(TRIM(Sync!$AH944)),2)="SL",UPPER(TRIM(Sync!$AH944)),""))</f>
        <v/>
      </c>
      <c r="G944">
        <f>IF($F944="","",IF(Sync!$AE944="","",IF(ISNUMBER(Sync!$AE944),IF(AND(Sync!$AE944&gt;=10000101,Sync!$AE944&lt;=99991231),INT(Sync!$AE944/10000),""),IFERROR(VALUE(TRIM(LEFT(Sync!$AE944,FIND("/",Sync!$AE944)-1))),""))))</f>
        <v/>
      </c>
      <c r="H944">
        <f>IF(OR($F944="",$G944=""),"",IF(ISNUMBER(Sync!$AE944),INT(MOD(Sync!$AE944,10000)/100),IFERROR(VALUE(TRIM(LEFT(MID(Sync!$AE944,FIND("/",Sync!$AE944)+1,20),FIND("/",MID(Sync!$AE944,FIND("/",Sync!$AE944)+1,20))-1))),"")))</f>
        <v/>
      </c>
      <c r="I944">
        <f>IF(OR($F944="",$G944=""),"",IF(ISNUMBER(Sync!$AE944),MOD(Sync!$AE944,100),IFERROR(VALUE(TRIM(MID(MID(Sync!$AE944,FIND("/",Sync!$AE944)+1,20),FIND("/",MID(Sync!$AE944,FIND("/",Sync!$AE944)+1,20))+1,20))),"")))</f>
        <v/>
      </c>
      <c r="J944">
        <f>IF($F944="","",IF(OR($G944="",$H944="",$I944="",$G944&lt;1300,$G944&gt;1500,$H944&lt;1,$H944&gt;12,$I944&lt;1,$I944&gt;31),"نامعتبر",RIGHT("0000"&amp;$G944,4)&amp;"/"&amp;RIGHT("00"&amp;$H944,2)&amp;"/"&amp;RIGHT("00"&amp;$I944,2)))</f>
        <v/>
      </c>
      <c r="K944">
        <f>IF(OR($F944="",$J944="",$J944="نامعتبر"),"",LEFT($J944,4)&amp;MID($J944,6,2)&amp;RIGHT($J944,2)&amp;$N944&amp;"|"&amp;"2"&amp;RIGHT("00000"&amp;939,5))</f>
        <v/>
      </c>
      <c r="L944">
        <f>IF($K944="","",COUNTIFS(LdgSellerA,$F944,LdgKeyA,"&lt;"&amp;$K944)+COUNTIFS(LdgSellerB,$F944,LdgKeyB,"&lt;"&amp;$K944)+1)</f>
        <v/>
      </c>
      <c r="M944">
        <f>IF($L944="","",$F944&amp;"|"&amp;RIGHT("000000"&amp;$L944,6))</f>
        <v/>
      </c>
      <c r="N944">
        <f>IF($F944="","",IF(Sync!$AF944="","0000",IF(AND(ISNUMBER(Sync!$AF944),Sync!$AF944&gt;=0,Sync!$AF944&lt;1),RIGHT("00"&amp;HOUR(Sync!$AF944),2)&amp;RIGHT("00"&amp;MINUTE(Sync!$AF944),2),IFERROR(RIGHT("00"&amp;VALUE(LEFT(Sync!$AF944,FIND(":",Sync!$AF944)-1)),2)&amp;RIGHT("00"&amp;VALUE(MID(Sync!$AF944,FIND(":",Sync!$AF944)+1,2)),2),"0000"))))</f>
        <v/>
      </c>
    </row>
    <row r="945">
      <c r="A945">
        <f>IF(OR(Calc!$E949="",Calc!$E949="نامعتبر",Calc!$G949=""),"",Calc!$G949)</f>
        <v/>
      </c>
      <c r="B945">
        <f>IF($A945="","",LEFT(Calc!$E949,4)&amp;MID(Calc!$E949,6,2)&amp;RIGHT(Calc!$E949,2)&amp;Calc!$Q949&amp;"|"&amp;"1"&amp;RIGHT("00000"&amp;940,5))</f>
        <v/>
      </c>
      <c r="C945">
        <f>IF($B945="","",COUNTIFS(LdgSellerA,$A945,LdgKeyA,"&lt;"&amp;$B945)+COUNTIFS(LdgSellerB,$A945,LdgKeyB,"&lt;"&amp;$B945)+1)</f>
        <v/>
      </c>
      <c r="D945">
        <f>IF($C945="","",$A945&amp;"|"&amp;RIGHT("000000"&amp;$C945,6))</f>
        <v/>
      </c>
      <c r="F945">
        <f>IF(Sync!$AH945="","",IF(LEFT(UPPER(TRIM(Sync!$AH945)),2)="SL",UPPER(TRIM(Sync!$AH945)),""))</f>
        <v/>
      </c>
      <c r="G945">
        <f>IF($F945="","",IF(Sync!$AE945="","",IF(ISNUMBER(Sync!$AE945),IF(AND(Sync!$AE945&gt;=10000101,Sync!$AE945&lt;=99991231),INT(Sync!$AE945/10000),""),IFERROR(VALUE(TRIM(LEFT(Sync!$AE945,FIND("/",Sync!$AE945)-1))),""))))</f>
        <v/>
      </c>
      <c r="H945">
        <f>IF(OR($F945="",$G945=""),"",IF(ISNUMBER(Sync!$AE945),INT(MOD(Sync!$AE945,10000)/100),IFERROR(VALUE(TRIM(LEFT(MID(Sync!$AE945,FIND("/",Sync!$AE945)+1,20),FIND("/",MID(Sync!$AE945,FIND("/",Sync!$AE945)+1,20))-1))),"")))</f>
        <v/>
      </c>
      <c r="I945">
        <f>IF(OR($F945="",$G945=""),"",IF(ISNUMBER(Sync!$AE945),MOD(Sync!$AE945,100),IFERROR(VALUE(TRIM(MID(MID(Sync!$AE945,FIND("/",Sync!$AE945)+1,20),FIND("/",MID(Sync!$AE945,FIND("/",Sync!$AE945)+1,20))+1,20))),"")))</f>
        <v/>
      </c>
      <c r="J945">
        <f>IF($F945="","",IF(OR($G945="",$H945="",$I945="",$G945&lt;1300,$G945&gt;1500,$H945&lt;1,$H945&gt;12,$I945&lt;1,$I945&gt;31),"نامعتبر",RIGHT("0000"&amp;$G945,4)&amp;"/"&amp;RIGHT("00"&amp;$H945,2)&amp;"/"&amp;RIGHT("00"&amp;$I945,2)))</f>
        <v/>
      </c>
      <c r="K945">
        <f>IF(OR($F945="",$J945="",$J945="نامعتبر"),"",LEFT($J945,4)&amp;MID($J945,6,2)&amp;RIGHT($J945,2)&amp;$N945&amp;"|"&amp;"2"&amp;RIGHT("00000"&amp;940,5))</f>
        <v/>
      </c>
      <c r="L945">
        <f>IF($K945="","",COUNTIFS(LdgSellerA,$F945,LdgKeyA,"&lt;"&amp;$K945)+COUNTIFS(LdgSellerB,$F945,LdgKeyB,"&lt;"&amp;$K945)+1)</f>
        <v/>
      </c>
      <c r="M945">
        <f>IF($L945="","",$F945&amp;"|"&amp;RIGHT("000000"&amp;$L945,6))</f>
        <v/>
      </c>
      <c r="N945">
        <f>IF($F945="","",IF(Sync!$AF945="","0000",IF(AND(ISNUMBER(Sync!$AF945),Sync!$AF945&gt;=0,Sync!$AF945&lt;1),RIGHT("00"&amp;HOUR(Sync!$AF945),2)&amp;RIGHT("00"&amp;MINUTE(Sync!$AF945),2),IFERROR(RIGHT("00"&amp;VALUE(LEFT(Sync!$AF945,FIND(":",Sync!$AF945)-1)),2)&amp;RIGHT("00"&amp;VALUE(MID(Sync!$AF945,FIND(":",Sync!$AF945)+1,2)),2),"0000"))))</f>
        <v/>
      </c>
    </row>
    <row r="946">
      <c r="A946">
        <f>IF(OR(Calc!$E950="",Calc!$E950="نامعتبر",Calc!$G950=""),"",Calc!$G950)</f>
        <v/>
      </c>
      <c r="B946">
        <f>IF($A946="","",LEFT(Calc!$E950,4)&amp;MID(Calc!$E950,6,2)&amp;RIGHT(Calc!$E950,2)&amp;Calc!$Q950&amp;"|"&amp;"1"&amp;RIGHT("00000"&amp;941,5))</f>
        <v/>
      </c>
      <c r="C946">
        <f>IF($B946="","",COUNTIFS(LdgSellerA,$A946,LdgKeyA,"&lt;"&amp;$B946)+COUNTIFS(LdgSellerB,$A946,LdgKeyB,"&lt;"&amp;$B946)+1)</f>
        <v/>
      </c>
      <c r="D946">
        <f>IF($C946="","",$A946&amp;"|"&amp;RIGHT("000000"&amp;$C946,6))</f>
        <v/>
      </c>
      <c r="F946">
        <f>IF(Sync!$AH946="","",IF(LEFT(UPPER(TRIM(Sync!$AH946)),2)="SL",UPPER(TRIM(Sync!$AH946)),""))</f>
        <v/>
      </c>
      <c r="G946">
        <f>IF($F946="","",IF(Sync!$AE946="","",IF(ISNUMBER(Sync!$AE946),IF(AND(Sync!$AE946&gt;=10000101,Sync!$AE946&lt;=99991231),INT(Sync!$AE946/10000),""),IFERROR(VALUE(TRIM(LEFT(Sync!$AE946,FIND("/",Sync!$AE946)-1))),""))))</f>
        <v/>
      </c>
      <c r="H946">
        <f>IF(OR($F946="",$G946=""),"",IF(ISNUMBER(Sync!$AE946),INT(MOD(Sync!$AE946,10000)/100),IFERROR(VALUE(TRIM(LEFT(MID(Sync!$AE946,FIND("/",Sync!$AE946)+1,20),FIND("/",MID(Sync!$AE946,FIND("/",Sync!$AE946)+1,20))-1))),"")))</f>
        <v/>
      </c>
      <c r="I946">
        <f>IF(OR($F946="",$G946=""),"",IF(ISNUMBER(Sync!$AE946),MOD(Sync!$AE946,100),IFERROR(VALUE(TRIM(MID(MID(Sync!$AE946,FIND("/",Sync!$AE946)+1,20),FIND("/",MID(Sync!$AE946,FIND("/",Sync!$AE946)+1,20))+1,20))),"")))</f>
        <v/>
      </c>
      <c r="J946">
        <f>IF($F946="","",IF(OR($G946="",$H946="",$I946="",$G946&lt;1300,$G946&gt;1500,$H946&lt;1,$H946&gt;12,$I946&lt;1,$I946&gt;31),"نامعتبر",RIGHT("0000"&amp;$G946,4)&amp;"/"&amp;RIGHT("00"&amp;$H946,2)&amp;"/"&amp;RIGHT("00"&amp;$I946,2)))</f>
        <v/>
      </c>
      <c r="K946">
        <f>IF(OR($F946="",$J946="",$J946="نامعتبر"),"",LEFT($J946,4)&amp;MID($J946,6,2)&amp;RIGHT($J946,2)&amp;$N946&amp;"|"&amp;"2"&amp;RIGHT("00000"&amp;941,5))</f>
        <v/>
      </c>
      <c r="L946">
        <f>IF($K946="","",COUNTIFS(LdgSellerA,$F946,LdgKeyA,"&lt;"&amp;$K946)+COUNTIFS(LdgSellerB,$F946,LdgKeyB,"&lt;"&amp;$K946)+1)</f>
        <v/>
      </c>
      <c r="M946">
        <f>IF($L946="","",$F946&amp;"|"&amp;RIGHT("000000"&amp;$L946,6))</f>
        <v/>
      </c>
      <c r="N946">
        <f>IF($F946="","",IF(Sync!$AF946="","0000",IF(AND(ISNUMBER(Sync!$AF946),Sync!$AF946&gt;=0,Sync!$AF946&lt;1),RIGHT("00"&amp;HOUR(Sync!$AF946),2)&amp;RIGHT("00"&amp;MINUTE(Sync!$AF946),2),IFERROR(RIGHT("00"&amp;VALUE(LEFT(Sync!$AF946,FIND(":",Sync!$AF946)-1)),2)&amp;RIGHT("00"&amp;VALUE(MID(Sync!$AF946,FIND(":",Sync!$AF946)+1,2)),2),"0000"))))</f>
        <v/>
      </c>
    </row>
    <row r="947">
      <c r="A947">
        <f>IF(OR(Calc!$E951="",Calc!$E951="نامعتبر",Calc!$G951=""),"",Calc!$G951)</f>
        <v/>
      </c>
      <c r="B947">
        <f>IF($A947="","",LEFT(Calc!$E951,4)&amp;MID(Calc!$E951,6,2)&amp;RIGHT(Calc!$E951,2)&amp;Calc!$Q951&amp;"|"&amp;"1"&amp;RIGHT("00000"&amp;942,5))</f>
        <v/>
      </c>
      <c r="C947">
        <f>IF($B947="","",COUNTIFS(LdgSellerA,$A947,LdgKeyA,"&lt;"&amp;$B947)+COUNTIFS(LdgSellerB,$A947,LdgKeyB,"&lt;"&amp;$B947)+1)</f>
        <v/>
      </c>
      <c r="D947">
        <f>IF($C947="","",$A947&amp;"|"&amp;RIGHT("000000"&amp;$C947,6))</f>
        <v/>
      </c>
      <c r="F947">
        <f>IF(Sync!$AH947="","",IF(LEFT(UPPER(TRIM(Sync!$AH947)),2)="SL",UPPER(TRIM(Sync!$AH947)),""))</f>
        <v/>
      </c>
      <c r="G947">
        <f>IF($F947="","",IF(Sync!$AE947="","",IF(ISNUMBER(Sync!$AE947),IF(AND(Sync!$AE947&gt;=10000101,Sync!$AE947&lt;=99991231),INT(Sync!$AE947/10000),""),IFERROR(VALUE(TRIM(LEFT(Sync!$AE947,FIND("/",Sync!$AE947)-1))),""))))</f>
        <v/>
      </c>
      <c r="H947">
        <f>IF(OR($F947="",$G947=""),"",IF(ISNUMBER(Sync!$AE947),INT(MOD(Sync!$AE947,10000)/100),IFERROR(VALUE(TRIM(LEFT(MID(Sync!$AE947,FIND("/",Sync!$AE947)+1,20),FIND("/",MID(Sync!$AE947,FIND("/",Sync!$AE947)+1,20))-1))),"")))</f>
        <v/>
      </c>
      <c r="I947">
        <f>IF(OR($F947="",$G947=""),"",IF(ISNUMBER(Sync!$AE947),MOD(Sync!$AE947,100),IFERROR(VALUE(TRIM(MID(MID(Sync!$AE947,FIND("/",Sync!$AE947)+1,20),FIND("/",MID(Sync!$AE947,FIND("/",Sync!$AE947)+1,20))+1,20))),"")))</f>
        <v/>
      </c>
      <c r="J947">
        <f>IF($F947="","",IF(OR($G947="",$H947="",$I947="",$G947&lt;1300,$G947&gt;1500,$H947&lt;1,$H947&gt;12,$I947&lt;1,$I947&gt;31),"نامعتبر",RIGHT("0000"&amp;$G947,4)&amp;"/"&amp;RIGHT("00"&amp;$H947,2)&amp;"/"&amp;RIGHT("00"&amp;$I947,2)))</f>
        <v/>
      </c>
      <c r="K947">
        <f>IF(OR($F947="",$J947="",$J947="نامعتبر"),"",LEFT($J947,4)&amp;MID($J947,6,2)&amp;RIGHT($J947,2)&amp;$N947&amp;"|"&amp;"2"&amp;RIGHT("00000"&amp;942,5))</f>
        <v/>
      </c>
      <c r="L947">
        <f>IF($K947="","",COUNTIFS(LdgSellerA,$F947,LdgKeyA,"&lt;"&amp;$K947)+COUNTIFS(LdgSellerB,$F947,LdgKeyB,"&lt;"&amp;$K947)+1)</f>
        <v/>
      </c>
      <c r="M947">
        <f>IF($L947="","",$F947&amp;"|"&amp;RIGHT("000000"&amp;$L947,6))</f>
        <v/>
      </c>
      <c r="N947">
        <f>IF($F947="","",IF(Sync!$AF947="","0000",IF(AND(ISNUMBER(Sync!$AF947),Sync!$AF947&gt;=0,Sync!$AF947&lt;1),RIGHT("00"&amp;HOUR(Sync!$AF947),2)&amp;RIGHT("00"&amp;MINUTE(Sync!$AF947),2),IFERROR(RIGHT("00"&amp;VALUE(LEFT(Sync!$AF947,FIND(":",Sync!$AF947)-1)),2)&amp;RIGHT("00"&amp;VALUE(MID(Sync!$AF947,FIND(":",Sync!$AF947)+1,2)),2),"0000"))))</f>
        <v/>
      </c>
    </row>
    <row r="948">
      <c r="A948">
        <f>IF(OR(Calc!$E952="",Calc!$E952="نامعتبر",Calc!$G952=""),"",Calc!$G952)</f>
        <v/>
      </c>
      <c r="B948">
        <f>IF($A948="","",LEFT(Calc!$E952,4)&amp;MID(Calc!$E952,6,2)&amp;RIGHT(Calc!$E952,2)&amp;Calc!$Q952&amp;"|"&amp;"1"&amp;RIGHT("00000"&amp;943,5))</f>
        <v/>
      </c>
      <c r="C948">
        <f>IF($B948="","",COUNTIFS(LdgSellerA,$A948,LdgKeyA,"&lt;"&amp;$B948)+COUNTIFS(LdgSellerB,$A948,LdgKeyB,"&lt;"&amp;$B948)+1)</f>
        <v/>
      </c>
      <c r="D948">
        <f>IF($C948="","",$A948&amp;"|"&amp;RIGHT("000000"&amp;$C948,6))</f>
        <v/>
      </c>
      <c r="F948">
        <f>IF(Sync!$AH948="","",IF(LEFT(UPPER(TRIM(Sync!$AH948)),2)="SL",UPPER(TRIM(Sync!$AH948)),""))</f>
        <v/>
      </c>
      <c r="G948">
        <f>IF($F948="","",IF(Sync!$AE948="","",IF(ISNUMBER(Sync!$AE948),IF(AND(Sync!$AE948&gt;=10000101,Sync!$AE948&lt;=99991231),INT(Sync!$AE948/10000),""),IFERROR(VALUE(TRIM(LEFT(Sync!$AE948,FIND("/",Sync!$AE948)-1))),""))))</f>
        <v/>
      </c>
      <c r="H948">
        <f>IF(OR($F948="",$G948=""),"",IF(ISNUMBER(Sync!$AE948),INT(MOD(Sync!$AE948,10000)/100),IFERROR(VALUE(TRIM(LEFT(MID(Sync!$AE948,FIND("/",Sync!$AE948)+1,20),FIND("/",MID(Sync!$AE948,FIND("/",Sync!$AE948)+1,20))-1))),"")))</f>
        <v/>
      </c>
      <c r="I948">
        <f>IF(OR($F948="",$G948=""),"",IF(ISNUMBER(Sync!$AE948),MOD(Sync!$AE948,100),IFERROR(VALUE(TRIM(MID(MID(Sync!$AE948,FIND("/",Sync!$AE948)+1,20),FIND("/",MID(Sync!$AE948,FIND("/",Sync!$AE948)+1,20))+1,20))),"")))</f>
        <v/>
      </c>
      <c r="J948">
        <f>IF($F948="","",IF(OR($G948="",$H948="",$I948="",$G948&lt;1300,$G948&gt;1500,$H948&lt;1,$H948&gt;12,$I948&lt;1,$I948&gt;31),"نامعتبر",RIGHT("0000"&amp;$G948,4)&amp;"/"&amp;RIGHT("00"&amp;$H948,2)&amp;"/"&amp;RIGHT("00"&amp;$I948,2)))</f>
        <v/>
      </c>
      <c r="K948">
        <f>IF(OR($F948="",$J948="",$J948="نامعتبر"),"",LEFT($J948,4)&amp;MID($J948,6,2)&amp;RIGHT($J948,2)&amp;$N948&amp;"|"&amp;"2"&amp;RIGHT("00000"&amp;943,5))</f>
        <v/>
      </c>
      <c r="L948">
        <f>IF($K948="","",COUNTIFS(LdgSellerA,$F948,LdgKeyA,"&lt;"&amp;$K948)+COUNTIFS(LdgSellerB,$F948,LdgKeyB,"&lt;"&amp;$K948)+1)</f>
        <v/>
      </c>
      <c r="M948">
        <f>IF($L948="","",$F948&amp;"|"&amp;RIGHT("000000"&amp;$L948,6))</f>
        <v/>
      </c>
      <c r="N948">
        <f>IF($F948="","",IF(Sync!$AF948="","0000",IF(AND(ISNUMBER(Sync!$AF948),Sync!$AF948&gt;=0,Sync!$AF948&lt;1),RIGHT("00"&amp;HOUR(Sync!$AF948),2)&amp;RIGHT("00"&amp;MINUTE(Sync!$AF948),2),IFERROR(RIGHT("00"&amp;VALUE(LEFT(Sync!$AF948,FIND(":",Sync!$AF948)-1)),2)&amp;RIGHT("00"&amp;VALUE(MID(Sync!$AF948,FIND(":",Sync!$AF948)+1,2)),2),"0000"))))</f>
        <v/>
      </c>
    </row>
    <row r="949">
      <c r="A949">
        <f>IF(OR(Calc!$E953="",Calc!$E953="نامعتبر",Calc!$G953=""),"",Calc!$G953)</f>
        <v/>
      </c>
      <c r="B949">
        <f>IF($A949="","",LEFT(Calc!$E953,4)&amp;MID(Calc!$E953,6,2)&amp;RIGHT(Calc!$E953,2)&amp;Calc!$Q953&amp;"|"&amp;"1"&amp;RIGHT("00000"&amp;944,5))</f>
        <v/>
      </c>
      <c r="C949">
        <f>IF($B949="","",COUNTIFS(LdgSellerA,$A949,LdgKeyA,"&lt;"&amp;$B949)+COUNTIFS(LdgSellerB,$A949,LdgKeyB,"&lt;"&amp;$B949)+1)</f>
        <v/>
      </c>
      <c r="D949">
        <f>IF($C949="","",$A949&amp;"|"&amp;RIGHT("000000"&amp;$C949,6))</f>
        <v/>
      </c>
      <c r="F949">
        <f>IF(Sync!$AH949="","",IF(LEFT(UPPER(TRIM(Sync!$AH949)),2)="SL",UPPER(TRIM(Sync!$AH949)),""))</f>
        <v/>
      </c>
      <c r="G949">
        <f>IF($F949="","",IF(Sync!$AE949="","",IF(ISNUMBER(Sync!$AE949),IF(AND(Sync!$AE949&gt;=10000101,Sync!$AE949&lt;=99991231),INT(Sync!$AE949/10000),""),IFERROR(VALUE(TRIM(LEFT(Sync!$AE949,FIND("/",Sync!$AE949)-1))),""))))</f>
        <v/>
      </c>
      <c r="H949">
        <f>IF(OR($F949="",$G949=""),"",IF(ISNUMBER(Sync!$AE949),INT(MOD(Sync!$AE949,10000)/100),IFERROR(VALUE(TRIM(LEFT(MID(Sync!$AE949,FIND("/",Sync!$AE949)+1,20),FIND("/",MID(Sync!$AE949,FIND("/",Sync!$AE949)+1,20))-1))),"")))</f>
        <v/>
      </c>
      <c r="I949">
        <f>IF(OR($F949="",$G949=""),"",IF(ISNUMBER(Sync!$AE949),MOD(Sync!$AE949,100),IFERROR(VALUE(TRIM(MID(MID(Sync!$AE949,FIND("/",Sync!$AE949)+1,20),FIND("/",MID(Sync!$AE949,FIND("/",Sync!$AE949)+1,20))+1,20))),"")))</f>
        <v/>
      </c>
      <c r="J949">
        <f>IF($F949="","",IF(OR($G949="",$H949="",$I949="",$G949&lt;1300,$G949&gt;1500,$H949&lt;1,$H949&gt;12,$I949&lt;1,$I949&gt;31),"نامعتبر",RIGHT("0000"&amp;$G949,4)&amp;"/"&amp;RIGHT("00"&amp;$H949,2)&amp;"/"&amp;RIGHT("00"&amp;$I949,2)))</f>
        <v/>
      </c>
      <c r="K949">
        <f>IF(OR($F949="",$J949="",$J949="نامعتبر"),"",LEFT($J949,4)&amp;MID($J949,6,2)&amp;RIGHT($J949,2)&amp;$N949&amp;"|"&amp;"2"&amp;RIGHT("00000"&amp;944,5))</f>
        <v/>
      </c>
      <c r="L949">
        <f>IF($K949="","",COUNTIFS(LdgSellerA,$F949,LdgKeyA,"&lt;"&amp;$K949)+COUNTIFS(LdgSellerB,$F949,LdgKeyB,"&lt;"&amp;$K949)+1)</f>
        <v/>
      </c>
      <c r="M949">
        <f>IF($L949="","",$F949&amp;"|"&amp;RIGHT("000000"&amp;$L949,6))</f>
        <v/>
      </c>
      <c r="N949">
        <f>IF($F949="","",IF(Sync!$AF949="","0000",IF(AND(ISNUMBER(Sync!$AF949),Sync!$AF949&gt;=0,Sync!$AF949&lt;1),RIGHT("00"&amp;HOUR(Sync!$AF949),2)&amp;RIGHT("00"&amp;MINUTE(Sync!$AF949),2),IFERROR(RIGHT("00"&amp;VALUE(LEFT(Sync!$AF949,FIND(":",Sync!$AF949)-1)),2)&amp;RIGHT("00"&amp;VALUE(MID(Sync!$AF949,FIND(":",Sync!$AF949)+1,2)),2),"0000"))))</f>
        <v/>
      </c>
    </row>
    <row r="950">
      <c r="A950">
        <f>IF(OR(Calc!$E954="",Calc!$E954="نامعتبر",Calc!$G954=""),"",Calc!$G954)</f>
        <v/>
      </c>
      <c r="B950">
        <f>IF($A950="","",LEFT(Calc!$E954,4)&amp;MID(Calc!$E954,6,2)&amp;RIGHT(Calc!$E954,2)&amp;Calc!$Q954&amp;"|"&amp;"1"&amp;RIGHT("00000"&amp;945,5))</f>
        <v/>
      </c>
      <c r="C950">
        <f>IF($B950="","",COUNTIFS(LdgSellerA,$A950,LdgKeyA,"&lt;"&amp;$B950)+COUNTIFS(LdgSellerB,$A950,LdgKeyB,"&lt;"&amp;$B950)+1)</f>
        <v/>
      </c>
      <c r="D950">
        <f>IF($C950="","",$A950&amp;"|"&amp;RIGHT("000000"&amp;$C950,6))</f>
        <v/>
      </c>
      <c r="F950">
        <f>IF(Sync!$AH950="","",IF(LEFT(UPPER(TRIM(Sync!$AH950)),2)="SL",UPPER(TRIM(Sync!$AH950)),""))</f>
        <v/>
      </c>
      <c r="G950">
        <f>IF($F950="","",IF(Sync!$AE950="","",IF(ISNUMBER(Sync!$AE950),IF(AND(Sync!$AE950&gt;=10000101,Sync!$AE950&lt;=99991231),INT(Sync!$AE950/10000),""),IFERROR(VALUE(TRIM(LEFT(Sync!$AE950,FIND("/",Sync!$AE950)-1))),""))))</f>
        <v/>
      </c>
      <c r="H950">
        <f>IF(OR($F950="",$G950=""),"",IF(ISNUMBER(Sync!$AE950),INT(MOD(Sync!$AE950,10000)/100),IFERROR(VALUE(TRIM(LEFT(MID(Sync!$AE950,FIND("/",Sync!$AE950)+1,20),FIND("/",MID(Sync!$AE950,FIND("/",Sync!$AE950)+1,20))-1))),"")))</f>
        <v/>
      </c>
      <c r="I950">
        <f>IF(OR($F950="",$G950=""),"",IF(ISNUMBER(Sync!$AE950),MOD(Sync!$AE950,100),IFERROR(VALUE(TRIM(MID(MID(Sync!$AE950,FIND("/",Sync!$AE950)+1,20),FIND("/",MID(Sync!$AE950,FIND("/",Sync!$AE950)+1,20))+1,20))),"")))</f>
        <v/>
      </c>
      <c r="J950">
        <f>IF($F950="","",IF(OR($G950="",$H950="",$I950="",$G950&lt;1300,$G950&gt;1500,$H950&lt;1,$H950&gt;12,$I950&lt;1,$I950&gt;31),"نامعتبر",RIGHT("0000"&amp;$G950,4)&amp;"/"&amp;RIGHT("00"&amp;$H950,2)&amp;"/"&amp;RIGHT("00"&amp;$I950,2)))</f>
        <v/>
      </c>
      <c r="K950">
        <f>IF(OR($F950="",$J950="",$J950="نامعتبر"),"",LEFT($J950,4)&amp;MID($J950,6,2)&amp;RIGHT($J950,2)&amp;$N950&amp;"|"&amp;"2"&amp;RIGHT("00000"&amp;945,5))</f>
        <v/>
      </c>
      <c r="L950">
        <f>IF($K950="","",COUNTIFS(LdgSellerA,$F950,LdgKeyA,"&lt;"&amp;$K950)+COUNTIFS(LdgSellerB,$F950,LdgKeyB,"&lt;"&amp;$K950)+1)</f>
        <v/>
      </c>
      <c r="M950">
        <f>IF($L950="","",$F950&amp;"|"&amp;RIGHT("000000"&amp;$L950,6))</f>
        <v/>
      </c>
      <c r="N950">
        <f>IF($F950="","",IF(Sync!$AF950="","0000",IF(AND(ISNUMBER(Sync!$AF950),Sync!$AF950&gt;=0,Sync!$AF950&lt;1),RIGHT("00"&amp;HOUR(Sync!$AF950),2)&amp;RIGHT("00"&amp;MINUTE(Sync!$AF950),2),IFERROR(RIGHT("00"&amp;VALUE(LEFT(Sync!$AF950,FIND(":",Sync!$AF950)-1)),2)&amp;RIGHT("00"&amp;VALUE(MID(Sync!$AF950,FIND(":",Sync!$AF950)+1,2)),2),"0000"))))</f>
        <v/>
      </c>
    </row>
    <row r="951">
      <c r="A951">
        <f>IF(OR(Calc!$E955="",Calc!$E955="نامعتبر",Calc!$G955=""),"",Calc!$G955)</f>
        <v/>
      </c>
      <c r="B951">
        <f>IF($A951="","",LEFT(Calc!$E955,4)&amp;MID(Calc!$E955,6,2)&amp;RIGHT(Calc!$E955,2)&amp;Calc!$Q955&amp;"|"&amp;"1"&amp;RIGHT("00000"&amp;946,5))</f>
        <v/>
      </c>
      <c r="C951">
        <f>IF($B951="","",COUNTIFS(LdgSellerA,$A951,LdgKeyA,"&lt;"&amp;$B951)+COUNTIFS(LdgSellerB,$A951,LdgKeyB,"&lt;"&amp;$B951)+1)</f>
        <v/>
      </c>
      <c r="D951">
        <f>IF($C951="","",$A951&amp;"|"&amp;RIGHT("000000"&amp;$C951,6))</f>
        <v/>
      </c>
      <c r="F951">
        <f>IF(Sync!$AH951="","",IF(LEFT(UPPER(TRIM(Sync!$AH951)),2)="SL",UPPER(TRIM(Sync!$AH951)),""))</f>
        <v/>
      </c>
      <c r="G951">
        <f>IF($F951="","",IF(Sync!$AE951="","",IF(ISNUMBER(Sync!$AE951),IF(AND(Sync!$AE951&gt;=10000101,Sync!$AE951&lt;=99991231),INT(Sync!$AE951/10000),""),IFERROR(VALUE(TRIM(LEFT(Sync!$AE951,FIND("/",Sync!$AE951)-1))),""))))</f>
        <v/>
      </c>
      <c r="H951">
        <f>IF(OR($F951="",$G951=""),"",IF(ISNUMBER(Sync!$AE951),INT(MOD(Sync!$AE951,10000)/100),IFERROR(VALUE(TRIM(LEFT(MID(Sync!$AE951,FIND("/",Sync!$AE951)+1,20),FIND("/",MID(Sync!$AE951,FIND("/",Sync!$AE951)+1,20))-1))),"")))</f>
        <v/>
      </c>
      <c r="I951">
        <f>IF(OR($F951="",$G951=""),"",IF(ISNUMBER(Sync!$AE951),MOD(Sync!$AE951,100),IFERROR(VALUE(TRIM(MID(MID(Sync!$AE951,FIND("/",Sync!$AE951)+1,20),FIND("/",MID(Sync!$AE951,FIND("/",Sync!$AE951)+1,20))+1,20))),"")))</f>
        <v/>
      </c>
      <c r="J951">
        <f>IF($F951="","",IF(OR($G951="",$H951="",$I951="",$G951&lt;1300,$G951&gt;1500,$H951&lt;1,$H951&gt;12,$I951&lt;1,$I951&gt;31),"نامعتبر",RIGHT("0000"&amp;$G951,4)&amp;"/"&amp;RIGHT("00"&amp;$H951,2)&amp;"/"&amp;RIGHT("00"&amp;$I951,2)))</f>
        <v/>
      </c>
      <c r="K951">
        <f>IF(OR($F951="",$J951="",$J951="نامعتبر"),"",LEFT($J951,4)&amp;MID($J951,6,2)&amp;RIGHT($J951,2)&amp;$N951&amp;"|"&amp;"2"&amp;RIGHT("00000"&amp;946,5))</f>
        <v/>
      </c>
      <c r="L951">
        <f>IF($K951="","",COUNTIFS(LdgSellerA,$F951,LdgKeyA,"&lt;"&amp;$K951)+COUNTIFS(LdgSellerB,$F951,LdgKeyB,"&lt;"&amp;$K951)+1)</f>
        <v/>
      </c>
      <c r="M951">
        <f>IF($L951="","",$F951&amp;"|"&amp;RIGHT("000000"&amp;$L951,6))</f>
        <v/>
      </c>
      <c r="N951">
        <f>IF($F951="","",IF(Sync!$AF951="","0000",IF(AND(ISNUMBER(Sync!$AF951),Sync!$AF951&gt;=0,Sync!$AF951&lt;1),RIGHT("00"&amp;HOUR(Sync!$AF951),2)&amp;RIGHT("00"&amp;MINUTE(Sync!$AF951),2),IFERROR(RIGHT("00"&amp;VALUE(LEFT(Sync!$AF951,FIND(":",Sync!$AF951)-1)),2)&amp;RIGHT("00"&amp;VALUE(MID(Sync!$AF951,FIND(":",Sync!$AF951)+1,2)),2),"0000"))))</f>
        <v/>
      </c>
    </row>
    <row r="952">
      <c r="A952">
        <f>IF(OR(Calc!$E956="",Calc!$E956="نامعتبر",Calc!$G956=""),"",Calc!$G956)</f>
        <v/>
      </c>
      <c r="B952">
        <f>IF($A952="","",LEFT(Calc!$E956,4)&amp;MID(Calc!$E956,6,2)&amp;RIGHT(Calc!$E956,2)&amp;Calc!$Q956&amp;"|"&amp;"1"&amp;RIGHT("00000"&amp;947,5))</f>
        <v/>
      </c>
      <c r="C952">
        <f>IF($B952="","",COUNTIFS(LdgSellerA,$A952,LdgKeyA,"&lt;"&amp;$B952)+COUNTIFS(LdgSellerB,$A952,LdgKeyB,"&lt;"&amp;$B952)+1)</f>
        <v/>
      </c>
      <c r="D952">
        <f>IF($C952="","",$A952&amp;"|"&amp;RIGHT("000000"&amp;$C952,6))</f>
        <v/>
      </c>
      <c r="F952">
        <f>IF(Sync!$AH952="","",IF(LEFT(UPPER(TRIM(Sync!$AH952)),2)="SL",UPPER(TRIM(Sync!$AH952)),""))</f>
        <v/>
      </c>
      <c r="G952">
        <f>IF($F952="","",IF(Sync!$AE952="","",IF(ISNUMBER(Sync!$AE952),IF(AND(Sync!$AE952&gt;=10000101,Sync!$AE952&lt;=99991231),INT(Sync!$AE952/10000),""),IFERROR(VALUE(TRIM(LEFT(Sync!$AE952,FIND("/",Sync!$AE952)-1))),""))))</f>
        <v/>
      </c>
      <c r="H952">
        <f>IF(OR($F952="",$G952=""),"",IF(ISNUMBER(Sync!$AE952),INT(MOD(Sync!$AE952,10000)/100),IFERROR(VALUE(TRIM(LEFT(MID(Sync!$AE952,FIND("/",Sync!$AE952)+1,20),FIND("/",MID(Sync!$AE952,FIND("/",Sync!$AE952)+1,20))-1))),"")))</f>
        <v/>
      </c>
      <c r="I952">
        <f>IF(OR($F952="",$G952=""),"",IF(ISNUMBER(Sync!$AE952),MOD(Sync!$AE952,100),IFERROR(VALUE(TRIM(MID(MID(Sync!$AE952,FIND("/",Sync!$AE952)+1,20),FIND("/",MID(Sync!$AE952,FIND("/",Sync!$AE952)+1,20))+1,20))),"")))</f>
        <v/>
      </c>
      <c r="J952">
        <f>IF($F952="","",IF(OR($G952="",$H952="",$I952="",$G952&lt;1300,$G952&gt;1500,$H952&lt;1,$H952&gt;12,$I952&lt;1,$I952&gt;31),"نامعتبر",RIGHT("0000"&amp;$G952,4)&amp;"/"&amp;RIGHT("00"&amp;$H952,2)&amp;"/"&amp;RIGHT("00"&amp;$I952,2)))</f>
        <v/>
      </c>
      <c r="K952">
        <f>IF(OR($F952="",$J952="",$J952="نامعتبر"),"",LEFT($J952,4)&amp;MID($J952,6,2)&amp;RIGHT($J952,2)&amp;$N952&amp;"|"&amp;"2"&amp;RIGHT("00000"&amp;947,5))</f>
        <v/>
      </c>
      <c r="L952">
        <f>IF($K952="","",COUNTIFS(LdgSellerA,$F952,LdgKeyA,"&lt;"&amp;$K952)+COUNTIFS(LdgSellerB,$F952,LdgKeyB,"&lt;"&amp;$K952)+1)</f>
        <v/>
      </c>
      <c r="M952">
        <f>IF($L952="","",$F952&amp;"|"&amp;RIGHT("000000"&amp;$L952,6))</f>
        <v/>
      </c>
      <c r="N952">
        <f>IF($F952="","",IF(Sync!$AF952="","0000",IF(AND(ISNUMBER(Sync!$AF952),Sync!$AF952&gt;=0,Sync!$AF952&lt;1),RIGHT("00"&amp;HOUR(Sync!$AF952),2)&amp;RIGHT("00"&amp;MINUTE(Sync!$AF952),2),IFERROR(RIGHT("00"&amp;VALUE(LEFT(Sync!$AF952,FIND(":",Sync!$AF952)-1)),2)&amp;RIGHT("00"&amp;VALUE(MID(Sync!$AF952,FIND(":",Sync!$AF952)+1,2)),2),"0000"))))</f>
        <v/>
      </c>
    </row>
    <row r="953">
      <c r="A953">
        <f>IF(OR(Calc!$E957="",Calc!$E957="نامعتبر",Calc!$G957=""),"",Calc!$G957)</f>
        <v/>
      </c>
      <c r="B953">
        <f>IF($A953="","",LEFT(Calc!$E957,4)&amp;MID(Calc!$E957,6,2)&amp;RIGHT(Calc!$E957,2)&amp;Calc!$Q957&amp;"|"&amp;"1"&amp;RIGHT("00000"&amp;948,5))</f>
        <v/>
      </c>
      <c r="C953">
        <f>IF($B953="","",COUNTIFS(LdgSellerA,$A953,LdgKeyA,"&lt;"&amp;$B953)+COUNTIFS(LdgSellerB,$A953,LdgKeyB,"&lt;"&amp;$B953)+1)</f>
        <v/>
      </c>
      <c r="D953">
        <f>IF($C953="","",$A953&amp;"|"&amp;RIGHT("000000"&amp;$C953,6))</f>
        <v/>
      </c>
      <c r="F953">
        <f>IF(Sync!$AH953="","",IF(LEFT(UPPER(TRIM(Sync!$AH953)),2)="SL",UPPER(TRIM(Sync!$AH953)),""))</f>
        <v/>
      </c>
      <c r="G953">
        <f>IF($F953="","",IF(Sync!$AE953="","",IF(ISNUMBER(Sync!$AE953),IF(AND(Sync!$AE953&gt;=10000101,Sync!$AE953&lt;=99991231),INT(Sync!$AE953/10000),""),IFERROR(VALUE(TRIM(LEFT(Sync!$AE953,FIND("/",Sync!$AE953)-1))),""))))</f>
        <v/>
      </c>
      <c r="H953">
        <f>IF(OR($F953="",$G953=""),"",IF(ISNUMBER(Sync!$AE953),INT(MOD(Sync!$AE953,10000)/100),IFERROR(VALUE(TRIM(LEFT(MID(Sync!$AE953,FIND("/",Sync!$AE953)+1,20),FIND("/",MID(Sync!$AE953,FIND("/",Sync!$AE953)+1,20))-1))),"")))</f>
        <v/>
      </c>
      <c r="I953">
        <f>IF(OR($F953="",$G953=""),"",IF(ISNUMBER(Sync!$AE953),MOD(Sync!$AE953,100),IFERROR(VALUE(TRIM(MID(MID(Sync!$AE953,FIND("/",Sync!$AE953)+1,20),FIND("/",MID(Sync!$AE953,FIND("/",Sync!$AE953)+1,20))+1,20))),"")))</f>
        <v/>
      </c>
      <c r="J953">
        <f>IF($F953="","",IF(OR($G953="",$H953="",$I953="",$G953&lt;1300,$G953&gt;1500,$H953&lt;1,$H953&gt;12,$I953&lt;1,$I953&gt;31),"نامعتبر",RIGHT("0000"&amp;$G953,4)&amp;"/"&amp;RIGHT("00"&amp;$H953,2)&amp;"/"&amp;RIGHT("00"&amp;$I953,2)))</f>
        <v/>
      </c>
      <c r="K953">
        <f>IF(OR($F953="",$J953="",$J953="نامعتبر"),"",LEFT($J953,4)&amp;MID($J953,6,2)&amp;RIGHT($J953,2)&amp;$N953&amp;"|"&amp;"2"&amp;RIGHT("00000"&amp;948,5))</f>
        <v/>
      </c>
      <c r="L953">
        <f>IF($K953="","",COUNTIFS(LdgSellerA,$F953,LdgKeyA,"&lt;"&amp;$K953)+COUNTIFS(LdgSellerB,$F953,LdgKeyB,"&lt;"&amp;$K953)+1)</f>
        <v/>
      </c>
      <c r="M953">
        <f>IF($L953="","",$F953&amp;"|"&amp;RIGHT("000000"&amp;$L953,6))</f>
        <v/>
      </c>
      <c r="N953">
        <f>IF($F953="","",IF(Sync!$AF953="","0000",IF(AND(ISNUMBER(Sync!$AF953),Sync!$AF953&gt;=0,Sync!$AF953&lt;1),RIGHT("00"&amp;HOUR(Sync!$AF953),2)&amp;RIGHT("00"&amp;MINUTE(Sync!$AF953),2),IFERROR(RIGHT("00"&amp;VALUE(LEFT(Sync!$AF953,FIND(":",Sync!$AF953)-1)),2)&amp;RIGHT("00"&amp;VALUE(MID(Sync!$AF953,FIND(":",Sync!$AF953)+1,2)),2),"0000"))))</f>
        <v/>
      </c>
    </row>
    <row r="954">
      <c r="A954">
        <f>IF(OR(Calc!$E958="",Calc!$E958="نامعتبر",Calc!$G958=""),"",Calc!$G958)</f>
        <v/>
      </c>
      <c r="B954">
        <f>IF($A954="","",LEFT(Calc!$E958,4)&amp;MID(Calc!$E958,6,2)&amp;RIGHT(Calc!$E958,2)&amp;Calc!$Q958&amp;"|"&amp;"1"&amp;RIGHT("00000"&amp;949,5))</f>
        <v/>
      </c>
      <c r="C954">
        <f>IF($B954="","",COUNTIFS(LdgSellerA,$A954,LdgKeyA,"&lt;"&amp;$B954)+COUNTIFS(LdgSellerB,$A954,LdgKeyB,"&lt;"&amp;$B954)+1)</f>
        <v/>
      </c>
      <c r="D954">
        <f>IF($C954="","",$A954&amp;"|"&amp;RIGHT("000000"&amp;$C954,6))</f>
        <v/>
      </c>
      <c r="F954">
        <f>IF(Sync!$AH954="","",IF(LEFT(UPPER(TRIM(Sync!$AH954)),2)="SL",UPPER(TRIM(Sync!$AH954)),""))</f>
        <v/>
      </c>
      <c r="G954">
        <f>IF($F954="","",IF(Sync!$AE954="","",IF(ISNUMBER(Sync!$AE954),IF(AND(Sync!$AE954&gt;=10000101,Sync!$AE954&lt;=99991231),INT(Sync!$AE954/10000),""),IFERROR(VALUE(TRIM(LEFT(Sync!$AE954,FIND("/",Sync!$AE954)-1))),""))))</f>
        <v/>
      </c>
      <c r="H954">
        <f>IF(OR($F954="",$G954=""),"",IF(ISNUMBER(Sync!$AE954),INT(MOD(Sync!$AE954,10000)/100),IFERROR(VALUE(TRIM(LEFT(MID(Sync!$AE954,FIND("/",Sync!$AE954)+1,20),FIND("/",MID(Sync!$AE954,FIND("/",Sync!$AE954)+1,20))-1))),"")))</f>
        <v/>
      </c>
      <c r="I954">
        <f>IF(OR($F954="",$G954=""),"",IF(ISNUMBER(Sync!$AE954),MOD(Sync!$AE954,100),IFERROR(VALUE(TRIM(MID(MID(Sync!$AE954,FIND("/",Sync!$AE954)+1,20),FIND("/",MID(Sync!$AE954,FIND("/",Sync!$AE954)+1,20))+1,20))),"")))</f>
        <v/>
      </c>
      <c r="J954">
        <f>IF($F954="","",IF(OR($G954="",$H954="",$I954="",$G954&lt;1300,$G954&gt;1500,$H954&lt;1,$H954&gt;12,$I954&lt;1,$I954&gt;31),"نامعتبر",RIGHT("0000"&amp;$G954,4)&amp;"/"&amp;RIGHT("00"&amp;$H954,2)&amp;"/"&amp;RIGHT("00"&amp;$I954,2)))</f>
        <v/>
      </c>
      <c r="K954">
        <f>IF(OR($F954="",$J954="",$J954="نامعتبر"),"",LEFT($J954,4)&amp;MID($J954,6,2)&amp;RIGHT($J954,2)&amp;$N954&amp;"|"&amp;"2"&amp;RIGHT("00000"&amp;949,5))</f>
        <v/>
      </c>
      <c r="L954">
        <f>IF($K954="","",COUNTIFS(LdgSellerA,$F954,LdgKeyA,"&lt;"&amp;$K954)+COUNTIFS(LdgSellerB,$F954,LdgKeyB,"&lt;"&amp;$K954)+1)</f>
        <v/>
      </c>
      <c r="M954">
        <f>IF($L954="","",$F954&amp;"|"&amp;RIGHT("000000"&amp;$L954,6))</f>
        <v/>
      </c>
      <c r="N954">
        <f>IF($F954="","",IF(Sync!$AF954="","0000",IF(AND(ISNUMBER(Sync!$AF954),Sync!$AF954&gt;=0,Sync!$AF954&lt;1),RIGHT("00"&amp;HOUR(Sync!$AF954),2)&amp;RIGHT("00"&amp;MINUTE(Sync!$AF954),2),IFERROR(RIGHT("00"&amp;VALUE(LEFT(Sync!$AF954,FIND(":",Sync!$AF954)-1)),2)&amp;RIGHT("00"&amp;VALUE(MID(Sync!$AF954,FIND(":",Sync!$AF954)+1,2)),2),"0000"))))</f>
        <v/>
      </c>
    </row>
    <row r="955">
      <c r="A955">
        <f>IF(OR(Calc!$E959="",Calc!$E959="نامعتبر",Calc!$G959=""),"",Calc!$G959)</f>
        <v/>
      </c>
      <c r="B955">
        <f>IF($A955="","",LEFT(Calc!$E959,4)&amp;MID(Calc!$E959,6,2)&amp;RIGHT(Calc!$E959,2)&amp;Calc!$Q959&amp;"|"&amp;"1"&amp;RIGHT("00000"&amp;950,5))</f>
        <v/>
      </c>
      <c r="C955">
        <f>IF($B955="","",COUNTIFS(LdgSellerA,$A955,LdgKeyA,"&lt;"&amp;$B955)+COUNTIFS(LdgSellerB,$A955,LdgKeyB,"&lt;"&amp;$B955)+1)</f>
        <v/>
      </c>
      <c r="D955">
        <f>IF($C955="","",$A955&amp;"|"&amp;RIGHT("000000"&amp;$C955,6))</f>
        <v/>
      </c>
      <c r="F955">
        <f>IF(Sync!$AH955="","",IF(LEFT(UPPER(TRIM(Sync!$AH955)),2)="SL",UPPER(TRIM(Sync!$AH955)),""))</f>
        <v/>
      </c>
      <c r="G955">
        <f>IF($F955="","",IF(Sync!$AE955="","",IF(ISNUMBER(Sync!$AE955),IF(AND(Sync!$AE955&gt;=10000101,Sync!$AE955&lt;=99991231),INT(Sync!$AE955/10000),""),IFERROR(VALUE(TRIM(LEFT(Sync!$AE955,FIND("/",Sync!$AE955)-1))),""))))</f>
        <v/>
      </c>
      <c r="H955">
        <f>IF(OR($F955="",$G955=""),"",IF(ISNUMBER(Sync!$AE955),INT(MOD(Sync!$AE955,10000)/100),IFERROR(VALUE(TRIM(LEFT(MID(Sync!$AE955,FIND("/",Sync!$AE955)+1,20),FIND("/",MID(Sync!$AE955,FIND("/",Sync!$AE955)+1,20))-1))),"")))</f>
        <v/>
      </c>
      <c r="I955">
        <f>IF(OR($F955="",$G955=""),"",IF(ISNUMBER(Sync!$AE955),MOD(Sync!$AE955,100),IFERROR(VALUE(TRIM(MID(MID(Sync!$AE955,FIND("/",Sync!$AE955)+1,20),FIND("/",MID(Sync!$AE955,FIND("/",Sync!$AE955)+1,20))+1,20))),"")))</f>
        <v/>
      </c>
      <c r="J955">
        <f>IF($F955="","",IF(OR($G955="",$H955="",$I955="",$G955&lt;1300,$G955&gt;1500,$H955&lt;1,$H955&gt;12,$I955&lt;1,$I955&gt;31),"نامعتبر",RIGHT("0000"&amp;$G955,4)&amp;"/"&amp;RIGHT("00"&amp;$H955,2)&amp;"/"&amp;RIGHT("00"&amp;$I955,2)))</f>
        <v/>
      </c>
      <c r="K955">
        <f>IF(OR($F955="",$J955="",$J955="نامعتبر"),"",LEFT($J955,4)&amp;MID($J955,6,2)&amp;RIGHT($J955,2)&amp;$N955&amp;"|"&amp;"2"&amp;RIGHT("00000"&amp;950,5))</f>
        <v/>
      </c>
      <c r="L955">
        <f>IF($K955="","",COUNTIFS(LdgSellerA,$F955,LdgKeyA,"&lt;"&amp;$K955)+COUNTIFS(LdgSellerB,$F955,LdgKeyB,"&lt;"&amp;$K955)+1)</f>
        <v/>
      </c>
      <c r="M955">
        <f>IF($L955="","",$F955&amp;"|"&amp;RIGHT("000000"&amp;$L955,6))</f>
        <v/>
      </c>
      <c r="N955">
        <f>IF($F955="","",IF(Sync!$AF955="","0000",IF(AND(ISNUMBER(Sync!$AF955),Sync!$AF955&gt;=0,Sync!$AF955&lt;1),RIGHT("00"&amp;HOUR(Sync!$AF955),2)&amp;RIGHT("00"&amp;MINUTE(Sync!$AF955),2),IFERROR(RIGHT("00"&amp;VALUE(LEFT(Sync!$AF955,FIND(":",Sync!$AF955)-1)),2)&amp;RIGHT("00"&amp;VALUE(MID(Sync!$AF955,FIND(":",Sync!$AF955)+1,2)),2),"0000"))))</f>
        <v/>
      </c>
    </row>
    <row r="956">
      <c r="A956">
        <f>IF(OR(Calc!$E960="",Calc!$E960="نامعتبر",Calc!$G960=""),"",Calc!$G960)</f>
        <v/>
      </c>
      <c r="B956">
        <f>IF($A956="","",LEFT(Calc!$E960,4)&amp;MID(Calc!$E960,6,2)&amp;RIGHT(Calc!$E960,2)&amp;Calc!$Q960&amp;"|"&amp;"1"&amp;RIGHT("00000"&amp;951,5))</f>
        <v/>
      </c>
      <c r="C956">
        <f>IF($B956="","",COUNTIFS(LdgSellerA,$A956,LdgKeyA,"&lt;"&amp;$B956)+COUNTIFS(LdgSellerB,$A956,LdgKeyB,"&lt;"&amp;$B956)+1)</f>
        <v/>
      </c>
      <c r="D956">
        <f>IF($C956="","",$A956&amp;"|"&amp;RIGHT("000000"&amp;$C956,6))</f>
        <v/>
      </c>
      <c r="F956">
        <f>IF(Sync!$AH956="","",IF(LEFT(UPPER(TRIM(Sync!$AH956)),2)="SL",UPPER(TRIM(Sync!$AH956)),""))</f>
        <v/>
      </c>
      <c r="G956">
        <f>IF($F956="","",IF(Sync!$AE956="","",IF(ISNUMBER(Sync!$AE956),IF(AND(Sync!$AE956&gt;=10000101,Sync!$AE956&lt;=99991231),INT(Sync!$AE956/10000),""),IFERROR(VALUE(TRIM(LEFT(Sync!$AE956,FIND("/",Sync!$AE956)-1))),""))))</f>
        <v/>
      </c>
      <c r="H956">
        <f>IF(OR($F956="",$G956=""),"",IF(ISNUMBER(Sync!$AE956),INT(MOD(Sync!$AE956,10000)/100),IFERROR(VALUE(TRIM(LEFT(MID(Sync!$AE956,FIND("/",Sync!$AE956)+1,20),FIND("/",MID(Sync!$AE956,FIND("/",Sync!$AE956)+1,20))-1))),"")))</f>
        <v/>
      </c>
      <c r="I956">
        <f>IF(OR($F956="",$G956=""),"",IF(ISNUMBER(Sync!$AE956),MOD(Sync!$AE956,100),IFERROR(VALUE(TRIM(MID(MID(Sync!$AE956,FIND("/",Sync!$AE956)+1,20),FIND("/",MID(Sync!$AE956,FIND("/",Sync!$AE956)+1,20))+1,20))),"")))</f>
        <v/>
      </c>
      <c r="J956">
        <f>IF($F956="","",IF(OR($G956="",$H956="",$I956="",$G956&lt;1300,$G956&gt;1500,$H956&lt;1,$H956&gt;12,$I956&lt;1,$I956&gt;31),"نامعتبر",RIGHT("0000"&amp;$G956,4)&amp;"/"&amp;RIGHT("00"&amp;$H956,2)&amp;"/"&amp;RIGHT("00"&amp;$I956,2)))</f>
        <v/>
      </c>
      <c r="K956">
        <f>IF(OR($F956="",$J956="",$J956="نامعتبر"),"",LEFT($J956,4)&amp;MID($J956,6,2)&amp;RIGHT($J956,2)&amp;$N956&amp;"|"&amp;"2"&amp;RIGHT("00000"&amp;951,5))</f>
        <v/>
      </c>
      <c r="L956">
        <f>IF($K956="","",COUNTIFS(LdgSellerA,$F956,LdgKeyA,"&lt;"&amp;$K956)+COUNTIFS(LdgSellerB,$F956,LdgKeyB,"&lt;"&amp;$K956)+1)</f>
        <v/>
      </c>
      <c r="M956">
        <f>IF($L956="","",$F956&amp;"|"&amp;RIGHT("000000"&amp;$L956,6))</f>
        <v/>
      </c>
      <c r="N956">
        <f>IF($F956="","",IF(Sync!$AF956="","0000",IF(AND(ISNUMBER(Sync!$AF956),Sync!$AF956&gt;=0,Sync!$AF956&lt;1),RIGHT("00"&amp;HOUR(Sync!$AF956),2)&amp;RIGHT("00"&amp;MINUTE(Sync!$AF956),2),IFERROR(RIGHT("00"&amp;VALUE(LEFT(Sync!$AF956,FIND(":",Sync!$AF956)-1)),2)&amp;RIGHT("00"&amp;VALUE(MID(Sync!$AF956,FIND(":",Sync!$AF956)+1,2)),2),"0000"))))</f>
        <v/>
      </c>
    </row>
    <row r="957">
      <c r="A957">
        <f>IF(OR(Calc!$E961="",Calc!$E961="نامعتبر",Calc!$G961=""),"",Calc!$G961)</f>
        <v/>
      </c>
      <c r="B957">
        <f>IF($A957="","",LEFT(Calc!$E961,4)&amp;MID(Calc!$E961,6,2)&amp;RIGHT(Calc!$E961,2)&amp;Calc!$Q961&amp;"|"&amp;"1"&amp;RIGHT("00000"&amp;952,5))</f>
        <v/>
      </c>
      <c r="C957">
        <f>IF($B957="","",COUNTIFS(LdgSellerA,$A957,LdgKeyA,"&lt;"&amp;$B957)+COUNTIFS(LdgSellerB,$A957,LdgKeyB,"&lt;"&amp;$B957)+1)</f>
        <v/>
      </c>
      <c r="D957">
        <f>IF($C957="","",$A957&amp;"|"&amp;RIGHT("000000"&amp;$C957,6))</f>
        <v/>
      </c>
      <c r="F957">
        <f>IF(Sync!$AH957="","",IF(LEFT(UPPER(TRIM(Sync!$AH957)),2)="SL",UPPER(TRIM(Sync!$AH957)),""))</f>
        <v/>
      </c>
      <c r="G957">
        <f>IF($F957="","",IF(Sync!$AE957="","",IF(ISNUMBER(Sync!$AE957),IF(AND(Sync!$AE957&gt;=10000101,Sync!$AE957&lt;=99991231),INT(Sync!$AE957/10000),""),IFERROR(VALUE(TRIM(LEFT(Sync!$AE957,FIND("/",Sync!$AE957)-1))),""))))</f>
        <v/>
      </c>
      <c r="H957">
        <f>IF(OR($F957="",$G957=""),"",IF(ISNUMBER(Sync!$AE957),INT(MOD(Sync!$AE957,10000)/100),IFERROR(VALUE(TRIM(LEFT(MID(Sync!$AE957,FIND("/",Sync!$AE957)+1,20),FIND("/",MID(Sync!$AE957,FIND("/",Sync!$AE957)+1,20))-1))),"")))</f>
        <v/>
      </c>
      <c r="I957">
        <f>IF(OR($F957="",$G957=""),"",IF(ISNUMBER(Sync!$AE957),MOD(Sync!$AE957,100),IFERROR(VALUE(TRIM(MID(MID(Sync!$AE957,FIND("/",Sync!$AE957)+1,20),FIND("/",MID(Sync!$AE957,FIND("/",Sync!$AE957)+1,20))+1,20))),"")))</f>
        <v/>
      </c>
      <c r="J957">
        <f>IF($F957="","",IF(OR($G957="",$H957="",$I957="",$G957&lt;1300,$G957&gt;1500,$H957&lt;1,$H957&gt;12,$I957&lt;1,$I957&gt;31),"نامعتبر",RIGHT("0000"&amp;$G957,4)&amp;"/"&amp;RIGHT("00"&amp;$H957,2)&amp;"/"&amp;RIGHT("00"&amp;$I957,2)))</f>
        <v/>
      </c>
      <c r="K957">
        <f>IF(OR($F957="",$J957="",$J957="نامعتبر"),"",LEFT($J957,4)&amp;MID($J957,6,2)&amp;RIGHT($J957,2)&amp;$N957&amp;"|"&amp;"2"&amp;RIGHT("00000"&amp;952,5))</f>
        <v/>
      </c>
      <c r="L957">
        <f>IF($K957="","",COUNTIFS(LdgSellerA,$F957,LdgKeyA,"&lt;"&amp;$K957)+COUNTIFS(LdgSellerB,$F957,LdgKeyB,"&lt;"&amp;$K957)+1)</f>
        <v/>
      </c>
      <c r="M957">
        <f>IF($L957="","",$F957&amp;"|"&amp;RIGHT("000000"&amp;$L957,6))</f>
        <v/>
      </c>
      <c r="N957">
        <f>IF($F957="","",IF(Sync!$AF957="","0000",IF(AND(ISNUMBER(Sync!$AF957),Sync!$AF957&gt;=0,Sync!$AF957&lt;1),RIGHT("00"&amp;HOUR(Sync!$AF957),2)&amp;RIGHT("00"&amp;MINUTE(Sync!$AF957),2),IFERROR(RIGHT("00"&amp;VALUE(LEFT(Sync!$AF957,FIND(":",Sync!$AF957)-1)),2)&amp;RIGHT("00"&amp;VALUE(MID(Sync!$AF957,FIND(":",Sync!$AF957)+1,2)),2),"0000"))))</f>
        <v/>
      </c>
    </row>
    <row r="958">
      <c r="A958">
        <f>IF(OR(Calc!$E962="",Calc!$E962="نامعتبر",Calc!$G962=""),"",Calc!$G962)</f>
        <v/>
      </c>
      <c r="B958">
        <f>IF($A958="","",LEFT(Calc!$E962,4)&amp;MID(Calc!$E962,6,2)&amp;RIGHT(Calc!$E962,2)&amp;Calc!$Q962&amp;"|"&amp;"1"&amp;RIGHT("00000"&amp;953,5))</f>
        <v/>
      </c>
      <c r="C958">
        <f>IF($B958="","",COUNTIFS(LdgSellerA,$A958,LdgKeyA,"&lt;"&amp;$B958)+COUNTIFS(LdgSellerB,$A958,LdgKeyB,"&lt;"&amp;$B958)+1)</f>
        <v/>
      </c>
      <c r="D958">
        <f>IF($C958="","",$A958&amp;"|"&amp;RIGHT("000000"&amp;$C958,6))</f>
        <v/>
      </c>
      <c r="F958">
        <f>IF(Sync!$AH958="","",IF(LEFT(UPPER(TRIM(Sync!$AH958)),2)="SL",UPPER(TRIM(Sync!$AH958)),""))</f>
        <v/>
      </c>
      <c r="G958">
        <f>IF($F958="","",IF(Sync!$AE958="","",IF(ISNUMBER(Sync!$AE958),IF(AND(Sync!$AE958&gt;=10000101,Sync!$AE958&lt;=99991231),INT(Sync!$AE958/10000),""),IFERROR(VALUE(TRIM(LEFT(Sync!$AE958,FIND("/",Sync!$AE958)-1))),""))))</f>
        <v/>
      </c>
      <c r="H958">
        <f>IF(OR($F958="",$G958=""),"",IF(ISNUMBER(Sync!$AE958),INT(MOD(Sync!$AE958,10000)/100),IFERROR(VALUE(TRIM(LEFT(MID(Sync!$AE958,FIND("/",Sync!$AE958)+1,20),FIND("/",MID(Sync!$AE958,FIND("/",Sync!$AE958)+1,20))-1))),"")))</f>
        <v/>
      </c>
      <c r="I958">
        <f>IF(OR($F958="",$G958=""),"",IF(ISNUMBER(Sync!$AE958),MOD(Sync!$AE958,100),IFERROR(VALUE(TRIM(MID(MID(Sync!$AE958,FIND("/",Sync!$AE958)+1,20),FIND("/",MID(Sync!$AE958,FIND("/",Sync!$AE958)+1,20))+1,20))),"")))</f>
        <v/>
      </c>
      <c r="J958">
        <f>IF($F958="","",IF(OR($G958="",$H958="",$I958="",$G958&lt;1300,$G958&gt;1500,$H958&lt;1,$H958&gt;12,$I958&lt;1,$I958&gt;31),"نامعتبر",RIGHT("0000"&amp;$G958,4)&amp;"/"&amp;RIGHT("00"&amp;$H958,2)&amp;"/"&amp;RIGHT("00"&amp;$I958,2)))</f>
        <v/>
      </c>
      <c r="K958">
        <f>IF(OR($F958="",$J958="",$J958="نامعتبر"),"",LEFT($J958,4)&amp;MID($J958,6,2)&amp;RIGHT($J958,2)&amp;$N958&amp;"|"&amp;"2"&amp;RIGHT("00000"&amp;953,5))</f>
        <v/>
      </c>
      <c r="L958">
        <f>IF($K958="","",COUNTIFS(LdgSellerA,$F958,LdgKeyA,"&lt;"&amp;$K958)+COUNTIFS(LdgSellerB,$F958,LdgKeyB,"&lt;"&amp;$K958)+1)</f>
        <v/>
      </c>
      <c r="M958">
        <f>IF($L958="","",$F958&amp;"|"&amp;RIGHT("000000"&amp;$L958,6))</f>
        <v/>
      </c>
      <c r="N958">
        <f>IF($F958="","",IF(Sync!$AF958="","0000",IF(AND(ISNUMBER(Sync!$AF958),Sync!$AF958&gt;=0,Sync!$AF958&lt;1),RIGHT("00"&amp;HOUR(Sync!$AF958),2)&amp;RIGHT("00"&amp;MINUTE(Sync!$AF958),2),IFERROR(RIGHT("00"&amp;VALUE(LEFT(Sync!$AF958,FIND(":",Sync!$AF958)-1)),2)&amp;RIGHT("00"&amp;VALUE(MID(Sync!$AF958,FIND(":",Sync!$AF958)+1,2)),2),"0000"))))</f>
        <v/>
      </c>
    </row>
    <row r="959">
      <c r="A959">
        <f>IF(OR(Calc!$E963="",Calc!$E963="نامعتبر",Calc!$G963=""),"",Calc!$G963)</f>
        <v/>
      </c>
      <c r="B959">
        <f>IF($A959="","",LEFT(Calc!$E963,4)&amp;MID(Calc!$E963,6,2)&amp;RIGHT(Calc!$E963,2)&amp;Calc!$Q963&amp;"|"&amp;"1"&amp;RIGHT("00000"&amp;954,5))</f>
        <v/>
      </c>
      <c r="C959">
        <f>IF($B959="","",COUNTIFS(LdgSellerA,$A959,LdgKeyA,"&lt;"&amp;$B959)+COUNTIFS(LdgSellerB,$A959,LdgKeyB,"&lt;"&amp;$B959)+1)</f>
        <v/>
      </c>
      <c r="D959">
        <f>IF($C959="","",$A959&amp;"|"&amp;RIGHT("000000"&amp;$C959,6))</f>
        <v/>
      </c>
      <c r="F959">
        <f>IF(Sync!$AH959="","",IF(LEFT(UPPER(TRIM(Sync!$AH959)),2)="SL",UPPER(TRIM(Sync!$AH959)),""))</f>
        <v/>
      </c>
      <c r="G959">
        <f>IF($F959="","",IF(Sync!$AE959="","",IF(ISNUMBER(Sync!$AE959),IF(AND(Sync!$AE959&gt;=10000101,Sync!$AE959&lt;=99991231),INT(Sync!$AE959/10000),""),IFERROR(VALUE(TRIM(LEFT(Sync!$AE959,FIND("/",Sync!$AE959)-1))),""))))</f>
        <v/>
      </c>
      <c r="H959">
        <f>IF(OR($F959="",$G959=""),"",IF(ISNUMBER(Sync!$AE959),INT(MOD(Sync!$AE959,10000)/100),IFERROR(VALUE(TRIM(LEFT(MID(Sync!$AE959,FIND("/",Sync!$AE959)+1,20),FIND("/",MID(Sync!$AE959,FIND("/",Sync!$AE959)+1,20))-1))),"")))</f>
        <v/>
      </c>
      <c r="I959">
        <f>IF(OR($F959="",$G959=""),"",IF(ISNUMBER(Sync!$AE959),MOD(Sync!$AE959,100),IFERROR(VALUE(TRIM(MID(MID(Sync!$AE959,FIND("/",Sync!$AE959)+1,20),FIND("/",MID(Sync!$AE959,FIND("/",Sync!$AE959)+1,20))+1,20))),"")))</f>
        <v/>
      </c>
      <c r="J959">
        <f>IF($F959="","",IF(OR($G959="",$H959="",$I959="",$G959&lt;1300,$G959&gt;1500,$H959&lt;1,$H959&gt;12,$I959&lt;1,$I959&gt;31),"نامعتبر",RIGHT("0000"&amp;$G959,4)&amp;"/"&amp;RIGHT("00"&amp;$H959,2)&amp;"/"&amp;RIGHT("00"&amp;$I959,2)))</f>
        <v/>
      </c>
      <c r="K959">
        <f>IF(OR($F959="",$J959="",$J959="نامعتبر"),"",LEFT($J959,4)&amp;MID($J959,6,2)&amp;RIGHT($J959,2)&amp;$N959&amp;"|"&amp;"2"&amp;RIGHT("00000"&amp;954,5))</f>
        <v/>
      </c>
      <c r="L959">
        <f>IF($K959="","",COUNTIFS(LdgSellerA,$F959,LdgKeyA,"&lt;"&amp;$K959)+COUNTIFS(LdgSellerB,$F959,LdgKeyB,"&lt;"&amp;$K959)+1)</f>
        <v/>
      </c>
      <c r="M959">
        <f>IF($L959="","",$F959&amp;"|"&amp;RIGHT("000000"&amp;$L959,6))</f>
        <v/>
      </c>
      <c r="N959">
        <f>IF($F959="","",IF(Sync!$AF959="","0000",IF(AND(ISNUMBER(Sync!$AF959),Sync!$AF959&gt;=0,Sync!$AF959&lt;1),RIGHT("00"&amp;HOUR(Sync!$AF959),2)&amp;RIGHT("00"&amp;MINUTE(Sync!$AF959),2),IFERROR(RIGHT("00"&amp;VALUE(LEFT(Sync!$AF959,FIND(":",Sync!$AF959)-1)),2)&amp;RIGHT("00"&amp;VALUE(MID(Sync!$AF959,FIND(":",Sync!$AF959)+1,2)),2),"0000"))))</f>
        <v/>
      </c>
    </row>
    <row r="960">
      <c r="A960">
        <f>IF(OR(Calc!$E964="",Calc!$E964="نامعتبر",Calc!$G964=""),"",Calc!$G964)</f>
        <v/>
      </c>
      <c r="B960">
        <f>IF($A960="","",LEFT(Calc!$E964,4)&amp;MID(Calc!$E964,6,2)&amp;RIGHT(Calc!$E964,2)&amp;Calc!$Q964&amp;"|"&amp;"1"&amp;RIGHT("00000"&amp;955,5))</f>
        <v/>
      </c>
      <c r="C960">
        <f>IF($B960="","",COUNTIFS(LdgSellerA,$A960,LdgKeyA,"&lt;"&amp;$B960)+COUNTIFS(LdgSellerB,$A960,LdgKeyB,"&lt;"&amp;$B960)+1)</f>
        <v/>
      </c>
      <c r="D960">
        <f>IF($C960="","",$A960&amp;"|"&amp;RIGHT("000000"&amp;$C960,6))</f>
        <v/>
      </c>
      <c r="F960">
        <f>IF(Sync!$AH960="","",IF(LEFT(UPPER(TRIM(Sync!$AH960)),2)="SL",UPPER(TRIM(Sync!$AH960)),""))</f>
        <v/>
      </c>
      <c r="G960">
        <f>IF($F960="","",IF(Sync!$AE960="","",IF(ISNUMBER(Sync!$AE960),IF(AND(Sync!$AE960&gt;=10000101,Sync!$AE960&lt;=99991231),INT(Sync!$AE960/10000),""),IFERROR(VALUE(TRIM(LEFT(Sync!$AE960,FIND("/",Sync!$AE960)-1))),""))))</f>
        <v/>
      </c>
      <c r="H960">
        <f>IF(OR($F960="",$G960=""),"",IF(ISNUMBER(Sync!$AE960),INT(MOD(Sync!$AE960,10000)/100),IFERROR(VALUE(TRIM(LEFT(MID(Sync!$AE960,FIND("/",Sync!$AE960)+1,20),FIND("/",MID(Sync!$AE960,FIND("/",Sync!$AE960)+1,20))-1))),"")))</f>
        <v/>
      </c>
      <c r="I960">
        <f>IF(OR($F960="",$G960=""),"",IF(ISNUMBER(Sync!$AE960),MOD(Sync!$AE960,100),IFERROR(VALUE(TRIM(MID(MID(Sync!$AE960,FIND("/",Sync!$AE960)+1,20),FIND("/",MID(Sync!$AE960,FIND("/",Sync!$AE960)+1,20))+1,20))),"")))</f>
        <v/>
      </c>
      <c r="J960">
        <f>IF($F960="","",IF(OR($G960="",$H960="",$I960="",$G960&lt;1300,$G960&gt;1500,$H960&lt;1,$H960&gt;12,$I960&lt;1,$I960&gt;31),"نامعتبر",RIGHT("0000"&amp;$G960,4)&amp;"/"&amp;RIGHT("00"&amp;$H960,2)&amp;"/"&amp;RIGHT("00"&amp;$I960,2)))</f>
        <v/>
      </c>
      <c r="K960">
        <f>IF(OR($F960="",$J960="",$J960="نامعتبر"),"",LEFT($J960,4)&amp;MID($J960,6,2)&amp;RIGHT($J960,2)&amp;$N960&amp;"|"&amp;"2"&amp;RIGHT("00000"&amp;955,5))</f>
        <v/>
      </c>
      <c r="L960">
        <f>IF($K960="","",COUNTIFS(LdgSellerA,$F960,LdgKeyA,"&lt;"&amp;$K960)+COUNTIFS(LdgSellerB,$F960,LdgKeyB,"&lt;"&amp;$K960)+1)</f>
        <v/>
      </c>
      <c r="M960">
        <f>IF($L960="","",$F960&amp;"|"&amp;RIGHT("000000"&amp;$L960,6))</f>
        <v/>
      </c>
      <c r="N960">
        <f>IF($F960="","",IF(Sync!$AF960="","0000",IF(AND(ISNUMBER(Sync!$AF960),Sync!$AF960&gt;=0,Sync!$AF960&lt;1),RIGHT("00"&amp;HOUR(Sync!$AF960),2)&amp;RIGHT("00"&amp;MINUTE(Sync!$AF960),2),IFERROR(RIGHT("00"&amp;VALUE(LEFT(Sync!$AF960,FIND(":",Sync!$AF960)-1)),2)&amp;RIGHT("00"&amp;VALUE(MID(Sync!$AF960,FIND(":",Sync!$AF960)+1,2)),2),"0000"))))</f>
        <v/>
      </c>
    </row>
    <row r="961">
      <c r="A961">
        <f>IF(OR(Calc!$E965="",Calc!$E965="نامعتبر",Calc!$G965=""),"",Calc!$G965)</f>
        <v/>
      </c>
      <c r="B961">
        <f>IF($A961="","",LEFT(Calc!$E965,4)&amp;MID(Calc!$E965,6,2)&amp;RIGHT(Calc!$E965,2)&amp;Calc!$Q965&amp;"|"&amp;"1"&amp;RIGHT("00000"&amp;956,5))</f>
        <v/>
      </c>
      <c r="C961">
        <f>IF($B961="","",COUNTIFS(LdgSellerA,$A961,LdgKeyA,"&lt;"&amp;$B961)+COUNTIFS(LdgSellerB,$A961,LdgKeyB,"&lt;"&amp;$B961)+1)</f>
        <v/>
      </c>
      <c r="D961">
        <f>IF($C961="","",$A961&amp;"|"&amp;RIGHT("000000"&amp;$C961,6))</f>
        <v/>
      </c>
      <c r="F961">
        <f>IF(Sync!$AH961="","",IF(LEFT(UPPER(TRIM(Sync!$AH961)),2)="SL",UPPER(TRIM(Sync!$AH961)),""))</f>
        <v/>
      </c>
      <c r="G961">
        <f>IF($F961="","",IF(Sync!$AE961="","",IF(ISNUMBER(Sync!$AE961),IF(AND(Sync!$AE961&gt;=10000101,Sync!$AE961&lt;=99991231),INT(Sync!$AE961/10000),""),IFERROR(VALUE(TRIM(LEFT(Sync!$AE961,FIND("/",Sync!$AE961)-1))),""))))</f>
        <v/>
      </c>
      <c r="H961">
        <f>IF(OR($F961="",$G961=""),"",IF(ISNUMBER(Sync!$AE961),INT(MOD(Sync!$AE961,10000)/100),IFERROR(VALUE(TRIM(LEFT(MID(Sync!$AE961,FIND("/",Sync!$AE961)+1,20),FIND("/",MID(Sync!$AE961,FIND("/",Sync!$AE961)+1,20))-1))),"")))</f>
        <v/>
      </c>
      <c r="I961">
        <f>IF(OR($F961="",$G961=""),"",IF(ISNUMBER(Sync!$AE961),MOD(Sync!$AE961,100),IFERROR(VALUE(TRIM(MID(MID(Sync!$AE961,FIND("/",Sync!$AE961)+1,20),FIND("/",MID(Sync!$AE961,FIND("/",Sync!$AE961)+1,20))+1,20))),"")))</f>
        <v/>
      </c>
      <c r="J961">
        <f>IF($F961="","",IF(OR($G961="",$H961="",$I961="",$G961&lt;1300,$G961&gt;1500,$H961&lt;1,$H961&gt;12,$I961&lt;1,$I961&gt;31),"نامعتبر",RIGHT("0000"&amp;$G961,4)&amp;"/"&amp;RIGHT("00"&amp;$H961,2)&amp;"/"&amp;RIGHT("00"&amp;$I961,2)))</f>
        <v/>
      </c>
      <c r="K961">
        <f>IF(OR($F961="",$J961="",$J961="نامعتبر"),"",LEFT($J961,4)&amp;MID($J961,6,2)&amp;RIGHT($J961,2)&amp;$N961&amp;"|"&amp;"2"&amp;RIGHT("00000"&amp;956,5))</f>
        <v/>
      </c>
      <c r="L961">
        <f>IF($K961="","",COUNTIFS(LdgSellerA,$F961,LdgKeyA,"&lt;"&amp;$K961)+COUNTIFS(LdgSellerB,$F961,LdgKeyB,"&lt;"&amp;$K961)+1)</f>
        <v/>
      </c>
      <c r="M961">
        <f>IF($L961="","",$F961&amp;"|"&amp;RIGHT("000000"&amp;$L961,6))</f>
        <v/>
      </c>
      <c r="N961">
        <f>IF($F961="","",IF(Sync!$AF961="","0000",IF(AND(ISNUMBER(Sync!$AF961),Sync!$AF961&gt;=0,Sync!$AF961&lt;1),RIGHT("00"&amp;HOUR(Sync!$AF961),2)&amp;RIGHT("00"&amp;MINUTE(Sync!$AF961),2),IFERROR(RIGHT("00"&amp;VALUE(LEFT(Sync!$AF961,FIND(":",Sync!$AF961)-1)),2)&amp;RIGHT("00"&amp;VALUE(MID(Sync!$AF961,FIND(":",Sync!$AF961)+1,2)),2),"0000"))))</f>
        <v/>
      </c>
    </row>
    <row r="962">
      <c r="A962">
        <f>IF(OR(Calc!$E966="",Calc!$E966="نامعتبر",Calc!$G966=""),"",Calc!$G966)</f>
        <v/>
      </c>
      <c r="B962">
        <f>IF($A962="","",LEFT(Calc!$E966,4)&amp;MID(Calc!$E966,6,2)&amp;RIGHT(Calc!$E966,2)&amp;Calc!$Q966&amp;"|"&amp;"1"&amp;RIGHT("00000"&amp;957,5))</f>
        <v/>
      </c>
      <c r="C962">
        <f>IF($B962="","",COUNTIFS(LdgSellerA,$A962,LdgKeyA,"&lt;"&amp;$B962)+COUNTIFS(LdgSellerB,$A962,LdgKeyB,"&lt;"&amp;$B962)+1)</f>
        <v/>
      </c>
      <c r="D962">
        <f>IF($C962="","",$A962&amp;"|"&amp;RIGHT("000000"&amp;$C962,6))</f>
        <v/>
      </c>
      <c r="F962">
        <f>IF(Sync!$AH962="","",IF(LEFT(UPPER(TRIM(Sync!$AH962)),2)="SL",UPPER(TRIM(Sync!$AH962)),""))</f>
        <v/>
      </c>
      <c r="G962">
        <f>IF($F962="","",IF(Sync!$AE962="","",IF(ISNUMBER(Sync!$AE962),IF(AND(Sync!$AE962&gt;=10000101,Sync!$AE962&lt;=99991231),INT(Sync!$AE962/10000),""),IFERROR(VALUE(TRIM(LEFT(Sync!$AE962,FIND("/",Sync!$AE962)-1))),""))))</f>
        <v/>
      </c>
      <c r="H962">
        <f>IF(OR($F962="",$G962=""),"",IF(ISNUMBER(Sync!$AE962),INT(MOD(Sync!$AE962,10000)/100),IFERROR(VALUE(TRIM(LEFT(MID(Sync!$AE962,FIND("/",Sync!$AE962)+1,20),FIND("/",MID(Sync!$AE962,FIND("/",Sync!$AE962)+1,20))-1))),"")))</f>
        <v/>
      </c>
      <c r="I962">
        <f>IF(OR($F962="",$G962=""),"",IF(ISNUMBER(Sync!$AE962),MOD(Sync!$AE962,100),IFERROR(VALUE(TRIM(MID(MID(Sync!$AE962,FIND("/",Sync!$AE962)+1,20),FIND("/",MID(Sync!$AE962,FIND("/",Sync!$AE962)+1,20))+1,20))),"")))</f>
        <v/>
      </c>
      <c r="J962">
        <f>IF($F962="","",IF(OR($G962="",$H962="",$I962="",$G962&lt;1300,$G962&gt;1500,$H962&lt;1,$H962&gt;12,$I962&lt;1,$I962&gt;31),"نامعتبر",RIGHT("0000"&amp;$G962,4)&amp;"/"&amp;RIGHT("00"&amp;$H962,2)&amp;"/"&amp;RIGHT("00"&amp;$I962,2)))</f>
        <v/>
      </c>
      <c r="K962">
        <f>IF(OR($F962="",$J962="",$J962="نامعتبر"),"",LEFT($J962,4)&amp;MID($J962,6,2)&amp;RIGHT($J962,2)&amp;$N962&amp;"|"&amp;"2"&amp;RIGHT("00000"&amp;957,5))</f>
        <v/>
      </c>
      <c r="L962">
        <f>IF($K962="","",COUNTIFS(LdgSellerA,$F962,LdgKeyA,"&lt;"&amp;$K962)+COUNTIFS(LdgSellerB,$F962,LdgKeyB,"&lt;"&amp;$K962)+1)</f>
        <v/>
      </c>
      <c r="M962">
        <f>IF($L962="","",$F962&amp;"|"&amp;RIGHT("000000"&amp;$L962,6))</f>
        <v/>
      </c>
      <c r="N962">
        <f>IF($F962="","",IF(Sync!$AF962="","0000",IF(AND(ISNUMBER(Sync!$AF962),Sync!$AF962&gt;=0,Sync!$AF962&lt;1),RIGHT("00"&amp;HOUR(Sync!$AF962),2)&amp;RIGHT("00"&amp;MINUTE(Sync!$AF962),2),IFERROR(RIGHT("00"&amp;VALUE(LEFT(Sync!$AF962,FIND(":",Sync!$AF962)-1)),2)&amp;RIGHT("00"&amp;VALUE(MID(Sync!$AF962,FIND(":",Sync!$AF962)+1,2)),2),"0000"))))</f>
        <v/>
      </c>
    </row>
    <row r="963">
      <c r="A963">
        <f>IF(OR(Calc!$E967="",Calc!$E967="نامعتبر",Calc!$G967=""),"",Calc!$G967)</f>
        <v/>
      </c>
      <c r="B963">
        <f>IF($A963="","",LEFT(Calc!$E967,4)&amp;MID(Calc!$E967,6,2)&amp;RIGHT(Calc!$E967,2)&amp;Calc!$Q967&amp;"|"&amp;"1"&amp;RIGHT("00000"&amp;958,5))</f>
        <v/>
      </c>
      <c r="C963">
        <f>IF($B963="","",COUNTIFS(LdgSellerA,$A963,LdgKeyA,"&lt;"&amp;$B963)+COUNTIFS(LdgSellerB,$A963,LdgKeyB,"&lt;"&amp;$B963)+1)</f>
        <v/>
      </c>
      <c r="D963">
        <f>IF($C963="","",$A963&amp;"|"&amp;RIGHT("000000"&amp;$C963,6))</f>
        <v/>
      </c>
      <c r="F963">
        <f>IF(Sync!$AH963="","",IF(LEFT(UPPER(TRIM(Sync!$AH963)),2)="SL",UPPER(TRIM(Sync!$AH963)),""))</f>
        <v/>
      </c>
      <c r="G963">
        <f>IF($F963="","",IF(Sync!$AE963="","",IF(ISNUMBER(Sync!$AE963),IF(AND(Sync!$AE963&gt;=10000101,Sync!$AE963&lt;=99991231),INT(Sync!$AE963/10000),""),IFERROR(VALUE(TRIM(LEFT(Sync!$AE963,FIND("/",Sync!$AE963)-1))),""))))</f>
        <v/>
      </c>
      <c r="H963">
        <f>IF(OR($F963="",$G963=""),"",IF(ISNUMBER(Sync!$AE963),INT(MOD(Sync!$AE963,10000)/100),IFERROR(VALUE(TRIM(LEFT(MID(Sync!$AE963,FIND("/",Sync!$AE963)+1,20),FIND("/",MID(Sync!$AE963,FIND("/",Sync!$AE963)+1,20))-1))),"")))</f>
        <v/>
      </c>
      <c r="I963">
        <f>IF(OR($F963="",$G963=""),"",IF(ISNUMBER(Sync!$AE963),MOD(Sync!$AE963,100),IFERROR(VALUE(TRIM(MID(MID(Sync!$AE963,FIND("/",Sync!$AE963)+1,20),FIND("/",MID(Sync!$AE963,FIND("/",Sync!$AE963)+1,20))+1,20))),"")))</f>
        <v/>
      </c>
      <c r="J963">
        <f>IF($F963="","",IF(OR($G963="",$H963="",$I963="",$G963&lt;1300,$G963&gt;1500,$H963&lt;1,$H963&gt;12,$I963&lt;1,$I963&gt;31),"نامعتبر",RIGHT("0000"&amp;$G963,4)&amp;"/"&amp;RIGHT("00"&amp;$H963,2)&amp;"/"&amp;RIGHT("00"&amp;$I963,2)))</f>
        <v/>
      </c>
      <c r="K963">
        <f>IF(OR($F963="",$J963="",$J963="نامعتبر"),"",LEFT($J963,4)&amp;MID($J963,6,2)&amp;RIGHT($J963,2)&amp;$N963&amp;"|"&amp;"2"&amp;RIGHT("00000"&amp;958,5))</f>
        <v/>
      </c>
      <c r="L963">
        <f>IF($K963="","",COUNTIFS(LdgSellerA,$F963,LdgKeyA,"&lt;"&amp;$K963)+COUNTIFS(LdgSellerB,$F963,LdgKeyB,"&lt;"&amp;$K963)+1)</f>
        <v/>
      </c>
      <c r="M963">
        <f>IF($L963="","",$F963&amp;"|"&amp;RIGHT("000000"&amp;$L963,6))</f>
        <v/>
      </c>
      <c r="N963">
        <f>IF($F963="","",IF(Sync!$AF963="","0000",IF(AND(ISNUMBER(Sync!$AF963),Sync!$AF963&gt;=0,Sync!$AF963&lt;1),RIGHT("00"&amp;HOUR(Sync!$AF963),2)&amp;RIGHT("00"&amp;MINUTE(Sync!$AF963),2),IFERROR(RIGHT("00"&amp;VALUE(LEFT(Sync!$AF963,FIND(":",Sync!$AF963)-1)),2)&amp;RIGHT("00"&amp;VALUE(MID(Sync!$AF963,FIND(":",Sync!$AF963)+1,2)),2),"0000"))))</f>
        <v/>
      </c>
    </row>
    <row r="964">
      <c r="A964">
        <f>IF(OR(Calc!$E968="",Calc!$E968="نامعتبر",Calc!$G968=""),"",Calc!$G968)</f>
        <v/>
      </c>
      <c r="B964">
        <f>IF($A964="","",LEFT(Calc!$E968,4)&amp;MID(Calc!$E968,6,2)&amp;RIGHT(Calc!$E968,2)&amp;Calc!$Q968&amp;"|"&amp;"1"&amp;RIGHT("00000"&amp;959,5))</f>
        <v/>
      </c>
      <c r="C964">
        <f>IF($B964="","",COUNTIFS(LdgSellerA,$A964,LdgKeyA,"&lt;"&amp;$B964)+COUNTIFS(LdgSellerB,$A964,LdgKeyB,"&lt;"&amp;$B964)+1)</f>
        <v/>
      </c>
      <c r="D964">
        <f>IF($C964="","",$A964&amp;"|"&amp;RIGHT("000000"&amp;$C964,6))</f>
        <v/>
      </c>
      <c r="F964">
        <f>IF(Sync!$AH964="","",IF(LEFT(UPPER(TRIM(Sync!$AH964)),2)="SL",UPPER(TRIM(Sync!$AH964)),""))</f>
        <v/>
      </c>
      <c r="G964">
        <f>IF($F964="","",IF(Sync!$AE964="","",IF(ISNUMBER(Sync!$AE964),IF(AND(Sync!$AE964&gt;=10000101,Sync!$AE964&lt;=99991231),INT(Sync!$AE964/10000),""),IFERROR(VALUE(TRIM(LEFT(Sync!$AE964,FIND("/",Sync!$AE964)-1))),""))))</f>
        <v/>
      </c>
      <c r="H964">
        <f>IF(OR($F964="",$G964=""),"",IF(ISNUMBER(Sync!$AE964),INT(MOD(Sync!$AE964,10000)/100),IFERROR(VALUE(TRIM(LEFT(MID(Sync!$AE964,FIND("/",Sync!$AE964)+1,20),FIND("/",MID(Sync!$AE964,FIND("/",Sync!$AE964)+1,20))-1))),"")))</f>
        <v/>
      </c>
      <c r="I964">
        <f>IF(OR($F964="",$G964=""),"",IF(ISNUMBER(Sync!$AE964),MOD(Sync!$AE964,100),IFERROR(VALUE(TRIM(MID(MID(Sync!$AE964,FIND("/",Sync!$AE964)+1,20),FIND("/",MID(Sync!$AE964,FIND("/",Sync!$AE964)+1,20))+1,20))),"")))</f>
        <v/>
      </c>
      <c r="J964">
        <f>IF($F964="","",IF(OR($G964="",$H964="",$I964="",$G964&lt;1300,$G964&gt;1500,$H964&lt;1,$H964&gt;12,$I964&lt;1,$I964&gt;31),"نامعتبر",RIGHT("0000"&amp;$G964,4)&amp;"/"&amp;RIGHT("00"&amp;$H964,2)&amp;"/"&amp;RIGHT("00"&amp;$I964,2)))</f>
        <v/>
      </c>
      <c r="K964">
        <f>IF(OR($F964="",$J964="",$J964="نامعتبر"),"",LEFT($J964,4)&amp;MID($J964,6,2)&amp;RIGHT($J964,2)&amp;$N964&amp;"|"&amp;"2"&amp;RIGHT("00000"&amp;959,5))</f>
        <v/>
      </c>
      <c r="L964">
        <f>IF($K964="","",COUNTIFS(LdgSellerA,$F964,LdgKeyA,"&lt;"&amp;$K964)+COUNTIFS(LdgSellerB,$F964,LdgKeyB,"&lt;"&amp;$K964)+1)</f>
        <v/>
      </c>
      <c r="M964">
        <f>IF($L964="","",$F964&amp;"|"&amp;RIGHT("000000"&amp;$L964,6))</f>
        <v/>
      </c>
      <c r="N964">
        <f>IF($F964="","",IF(Sync!$AF964="","0000",IF(AND(ISNUMBER(Sync!$AF964),Sync!$AF964&gt;=0,Sync!$AF964&lt;1),RIGHT("00"&amp;HOUR(Sync!$AF964),2)&amp;RIGHT("00"&amp;MINUTE(Sync!$AF964),2),IFERROR(RIGHT("00"&amp;VALUE(LEFT(Sync!$AF964,FIND(":",Sync!$AF964)-1)),2)&amp;RIGHT("00"&amp;VALUE(MID(Sync!$AF964,FIND(":",Sync!$AF964)+1,2)),2),"0000"))))</f>
        <v/>
      </c>
    </row>
    <row r="965">
      <c r="A965">
        <f>IF(OR(Calc!$E969="",Calc!$E969="نامعتبر",Calc!$G969=""),"",Calc!$G969)</f>
        <v/>
      </c>
      <c r="B965">
        <f>IF($A965="","",LEFT(Calc!$E969,4)&amp;MID(Calc!$E969,6,2)&amp;RIGHT(Calc!$E969,2)&amp;Calc!$Q969&amp;"|"&amp;"1"&amp;RIGHT("00000"&amp;960,5))</f>
        <v/>
      </c>
      <c r="C965">
        <f>IF($B965="","",COUNTIFS(LdgSellerA,$A965,LdgKeyA,"&lt;"&amp;$B965)+COUNTIFS(LdgSellerB,$A965,LdgKeyB,"&lt;"&amp;$B965)+1)</f>
        <v/>
      </c>
      <c r="D965">
        <f>IF($C965="","",$A965&amp;"|"&amp;RIGHT("000000"&amp;$C965,6))</f>
        <v/>
      </c>
      <c r="F965">
        <f>IF(Sync!$AH965="","",IF(LEFT(UPPER(TRIM(Sync!$AH965)),2)="SL",UPPER(TRIM(Sync!$AH965)),""))</f>
        <v/>
      </c>
      <c r="G965">
        <f>IF($F965="","",IF(Sync!$AE965="","",IF(ISNUMBER(Sync!$AE965),IF(AND(Sync!$AE965&gt;=10000101,Sync!$AE965&lt;=99991231),INT(Sync!$AE965/10000),""),IFERROR(VALUE(TRIM(LEFT(Sync!$AE965,FIND("/",Sync!$AE965)-1))),""))))</f>
        <v/>
      </c>
      <c r="H965">
        <f>IF(OR($F965="",$G965=""),"",IF(ISNUMBER(Sync!$AE965),INT(MOD(Sync!$AE965,10000)/100),IFERROR(VALUE(TRIM(LEFT(MID(Sync!$AE965,FIND("/",Sync!$AE965)+1,20),FIND("/",MID(Sync!$AE965,FIND("/",Sync!$AE965)+1,20))-1))),"")))</f>
        <v/>
      </c>
      <c r="I965">
        <f>IF(OR($F965="",$G965=""),"",IF(ISNUMBER(Sync!$AE965),MOD(Sync!$AE965,100),IFERROR(VALUE(TRIM(MID(MID(Sync!$AE965,FIND("/",Sync!$AE965)+1,20),FIND("/",MID(Sync!$AE965,FIND("/",Sync!$AE965)+1,20))+1,20))),"")))</f>
        <v/>
      </c>
      <c r="J965">
        <f>IF($F965="","",IF(OR($G965="",$H965="",$I965="",$G965&lt;1300,$G965&gt;1500,$H965&lt;1,$H965&gt;12,$I965&lt;1,$I965&gt;31),"نامعتبر",RIGHT("0000"&amp;$G965,4)&amp;"/"&amp;RIGHT("00"&amp;$H965,2)&amp;"/"&amp;RIGHT("00"&amp;$I965,2)))</f>
        <v/>
      </c>
      <c r="K965">
        <f>IF(OR($F965="",$J965="",$J965="نامعتبر"),"",LEFT($J965,4)&amp;MID($J965,6,2)&amp;RIGHT($J965,2)&amp;$N965&amp;"|"&amp;"2"&amp;RIGHT("00000"&amp;960,5))</f>
        <v/>
      </c>
      <c r="L965">
        <f>IF($K965="","",COUNTIFS(LdgSellerA,$F965,LdgKeyA,"&lt;"&amp;$K965)+COUNTIFS(LdgSellerB,$F965,LdgKeyB,"&lt;"&amp;$K965)+1)</f>
        <v/>
      </c>
      <c r="M965">
        <f>IF($L965="","",$F965&amp;"|"&amp;RIGHT("000000"&amp;$L965,6))</f>
        <v/>
      </c>
      <c r="N965">
        <f>IF($F965="","",IF(Sync!$AF965="","0000",IF(AND(ISNUMBER(Sync!$AF965),Sync!$AF965&gt;=0,Sync!$AF965&lt;1),RIGHT("00"&amp;HOUR(Sync!$AF965),2)&amp;RIGHT("00"&amp;MINUTE(Sync!$AF965),2),IFERROR(RIGHT("00"&amp;VALUE(LEFT(Sync!$AF965,FIND(":",Sync!$AF965)-1)),2)&amp;RIGHT("00"&amp;VALUE(MID(Sync!$AF965,FIND(":",Sync!$AF965)+1,2)),2),"0000"))))</f>
        <v/>
      </c>
    </row>
    <row r="966">
      <c r="A966">
        <f>IF(OR(Calc!$E970="",Calc!$E970="نامعتبر",Calc!$G970=""),"",Calc!$G970)</f>
        <v/>
      </c>
      <c r="B966">
        <f>IF($A966="","",LEFT(Calc!$E970,4)&amp;MID(Calc!$E970,6,2)&amp;RIGHT(Calc!$E970,2)&amp;Calc!$Q970&amp;"|"&amp;"1"&amp;RIGHT("00000"&amp;961,5))</f>
        <v/>
      </c>
      <c r="C966">
        <f>IF($B966="","",COUNTIFS(LdgSellerA,$A966,LdgKeyA,"&lt;"&amp;$B966)+COUNTIFS(LdgSellerB,$A966,LdgKeyB,"&lt;"&amp;$B966)+1)</f>
        <v/>
      </c>
      <c r="D966">
        <f>IF($C966="","",$A966&amp;"|"&amp;RIGHT("000000"&amp;$C966,6))</f>
        <v/>
      </c>
      <c r="F966">
        <f>IF(Sync!$AH966="","",IF(LEFT(UPPER(TRIM(Sync!$AH966)),2)="SL",UPPER(TRIM(Sync!$AH966)),""))</f>
        <v/>
      </c>
      <c r="G966">
        <f>IF($F966="","",IF(Sync!$AE966="","",IF(ISNUMBER(Sync!$AE966),IF(AND(Sync!$AE966&gt;=10000101,Sync!$AE966&lt;=99991231),INT(Sync!$AE966/10000),""),IFERROR(VALUE(TRIM(LEFT(Sync!$AE966,FIND("/",Sync!$AE966)-1))),""))))</f>
        <v/>
      </c>
      <c r="H966">
        <f>IF(OR($F966="",$G966=""),"",IF(ISNUMBER(Sync!$AE966),INT(MOD(Sync!$AE966,10000)/100),IFERROR(VALUE(TRIM(LEFT(MID(Sync!$AE966,FIND("/",Sync!$AE966)+1,20),FIND("/",MID(Sync!$AE966,FIND("/",Sync!$AE966)+1,20))-1))),"")))</f>
        <v/>
      </c>
      <c r="I966">
        <f>IF(OR($F966="",$G966=""),"",IF(ISNUMBER(Sync!$AE966),MOD(Sync!$AE966,100),IFERROR(VALUE(TRIM(MID(MID(Sync!$AE966,FIND("/",Sync!$AE966)+1,20),FIND("/",MID(Sync!$AE966,FIND("/",Sync!$AE966)+1,20))+1,20))),"")))</f>
        <v/>
      </c>
      <c r="J966">
        <f>IF($F966="","",IF(OR($G966="",$H966="",$I966="",$G966&lt;1300,$G966&gt;1500,$H966&lt;1,$H966&gt;12,$I966&lt;1,$I966&gt;31),"نامعتبر",RIGHT("0000"&amp;$G966,4)&amp;"/"&amp;RIGHT("00"&amp;$H966,2)&amp;"/"&amp;RIGHT("00"&amp;$I966,2)))</f>
        <v/>
      </c>
      <c r="K966">
        <f>IF(OR($F966="",$J966="",$J966="نامعتبر"),"",LEFT($J966,4)&amp;MID($J966,6,2)&amp;RIGHT($J966,2)&amp;$N966&amp;"|"&amp;"2"&amp;RIGHT("00000"&amp;961,5))</f>
        <v/>
      </c>
      <c r="L966">
        <f>IF($K966="","",COUNTIFS(LdgSellerA,$F966,LdgKeyA,"&lt;"&amp;$K966)+COUNTIFS(LdgSellerB,$F966,LdgKeyB,"&lt;"&amp;$K966)+1)</f>
        <v/>
      </c>
      <c r="M966">
        <f>IF($L966="","",$F966&amp;"|"&amp;RIGHT("000000"&amp;$L966,6))</f>
        <v/>
      </c>
      <c r="N966">
        <f>IF($F966="","",IF(Sync!$AF966="","0000",IF(AND(ISNUMBER(Sync!$AF966),Sync!$AF966&gt;=0,Sync!$AF966&lt;1),RIGHT("00"&amp;HOUR(Sync!$AF966),2)&amp;RIGHT("00"&amp;MINUTE(Sync!$AF966),2),IFERROR(RIGHT("00"&amp;VALUE(LEFT(Sync!$AF966,FIND(":",Sync!$AF966)-1)),2)&amp;RIGHT("00"&amp;VALUE(MID(Sync!$AF966,FIND(":",Sync!$AF966)+1,2)),2),"0000"))))</f>
        <v/>
      </c>
    </row>
    <row r="967">
      <c r="A967">
        <f>IF(OR(Calc!$E971="",Calc!$E971="نامعتبر",Calc!$G971=""),"",Calc!$G971)</f>
        <v/>
      </c>
      <c r="B967">
        <f>IF($A967="","",LEFT(Calc!$E971,4)&amp;MID(Calc!$E971,6,2)&amp;RIGHT(Calc!$E971,2)&amp;Calc!$Q971&amp;"|"&amp;"1"&amp;RIGHT("00000"&amp;962,5))</f>
        <v/>
      </c>
      <c r="C967">
        <f>IF($B967="","",COUNTIFS(LdgSellerA,$A967,LdgKeyA,"&lt;"&amp;$B967)+COUNTIFS(LdgSellerB,$A967,LdgKeyB,"&lt;"&amp;$B967)+1)</f>
        <v/>
      </c>
      <c r="D967">
        <f>IF($C967="","",$A967&amp;"|"&amp;RIGHT("000000"&amp;$C967,6))</f>
        <v/>
      </c>
      <c r="F967">
        <f>IF(Sync!$AH967="","",IF(LEFT(UPPER(TRIM(Sync!$AH967)),2)="SL",UPPER(TRIM(Sync!$AH967)),""))</f>
        <v/>
      </c>
      <c r="G967">
        <f>IF($F967="","",IF(Sync!$AE967="","",IF(ISNUMBER(Sync!$AE967),IF(AND(Sync!$AE967&gt;=10000101,Sync!$AE967&lt;=99991231),INT(Sync!$AE967/10000),""),IFERROR(VALUE(TRIM(LEFT(Sync!$AE967,FIND("/",Sync!$AE967)-1))),""))))</f>
        <v/>
      </c>
      <c r="H967">
        <f>IF(OR($F967="",$G967=""),"",IF(ISNUMBER(Sync!$AE967),INT(MOD(Sync!$AE967,10000)/100),IFERROR(VALUE(TRIM(LEFT(MID(Sync!$AE967,FIND("/",Sync!$AE967)+1,20),FIND("/",MID(Sync!$AE967,FIND("/",Sync!$AE967)+1,20))-1))),"")))</f>
        <v/>
      </c>
      <c r="I967">
        <f>IF(OR($F967="",$G967=""),"",IF(ISNUMBER(Sync!$AE967),MOD(Sync!$AE967,100),IFERROR(VALUE(TRIM(MID(MID(Sync!$AE967,FIND("/",Sync!$AE967)+1,20),FIND("/",MID(Sync!$AE967,FIND("/",Sync!$AE967)+1,20))+1,20))),"")))</f>
        <v/>
      </c>
      <c r="J967">
        <f>IF($F967="","",IF(OR($G967="",$H967="",$I967="",$G967&lt;1300,$G967&gt;1500,$H967&lt;1,$H967&gt;12,$I967&lt;1,$I967&gt;31),"نامعتبر",RIGHT("0000"&amp;$G967,4)&amp;"/"&amp;RIGHT("00"&amp;$H967,2)&amp;"/"&amp;RIGHT("00"&amp;$I967,2)))</f>
        <v/>
      </c>
      <c r="K967">
        <f>IF(OR($F967="",$J967="",$J967="نامعتبر"),"",LEFT($J967,4)&amp;MID($J967,6,2)&amp;RIGHT($J967,2)&amp;$N967&amp;"|"&amp;"2"&amp;RIGHT("00000"&amp;962,5))</f>
        <v/>
      </c>
      <c r="L967">
        <f>IF($K967="","",COUNTIFS(LdgSellerA,$F967,LdgKeyA,"&lt;"&amp;$K967)+COUNTIFS(LdgSellerB,$F967,LdgKeyB,"&lt;"&amp;$K967)+1)</f>
        <v/>
      </c>
      <c r="M967">
        <f>IF($L967="","",$F967&amp;"|"&amp;RIGHT("000000"&amp;$L967,6))</f>
        <v/>
      </c>
      <c r="N967">
        <f>IF($F967="","",IF(Sync!$AF967="","0000",IF(AND(ISNUMBER(Sync!$AF967),Sync!$AF967&gt;=0,Sync!$AF967&lt;1),RIGHT("00"&amp;HOUR(Sync!$AF967),2)&amp;RIGHT("00"&amp;MINUTE(Sync!$AF967),2),IFERROR(RIGHT("00"&amp;VALUE(LEFT(Sync!$AF967,FIND(":",Sync!$AF967)-1)),2)&amp;RIGHT("00"&amp;VALUE(MID(Sync!$AF967,FIND(":",Sync!$AF967)+1,2)),2),"0000"))))</f>
        <v/>
      </c>
    </row>
    <row r="968">
      <c r="A968">
        <f>IF(OR(Calc!$E972="",Calc!$E972="نامعتبر",Calc!$G972=""),"",Calc!$G972)</f>
        <v/>
      </c>
      <c r="B968">
        <f>IF($A968="","",LEFT(Calc!$E972,4)&amp;MID(Calc!$E972,6,2)&amp;RIGHT(Calc!$E972,2)&amp;Calc!$Q972&amp;"|"&amp;"1"&amp;RIGHT("00000"&amp;963,5))</f>
        <v/>
      </c>
      <c r="C968">
        <f>IF($B968="","",COUNTIFS(LdgSellerA,$A968,LdgKeyA,"&lt;"&amp;$B968)+COUNTIFS(LdgSellerB,$A968,LdgKeyB,"&lt;"&amp;$B968)+1)</f>
        <v/>
      </c>
      <c r="D968">
        <f>IF($C968="","",$A968&amp;"|"&amp;RIGHT("000000"&amp;$C968,6))</f>
        <v/>
      </c>
      <c r="F968">
        <f>IF(Sync!$AH968="","",IF(LEFT(UPPER(TRIM(Sync!$AH968)),2)="SL",UPPER(TRIM(Sync!$AH968)),""))</f>
        <v/>
      </c>
      <c r="G968">
        <f>IF($F968="","",IF(Sync!$AE968="","",IF(ISNUMBER(Sync!$AE968),IF(AND(Sync!$AE968&gt;=10000101,Sync!$AE968&lt;=99991231),INT(Sync!$AE968/10000),""),IFERROR(VALUE(TRIM(LEFT(Sync!$AE968,FIND("/",Sync!$AE968)-1))),""))))</f>
        <v/>
      </c>
      <c r="H968">
        <f>IF(OR($F968="",$G968=""),"",IF(ISNUMBER(Sync!$AE968),INT(MOD(Sync!$AE968,10000)/100),IFERROR(VALUE(TRIM(LEFT(MID(Sync!$AE968,FIND("/",Sync!$AE968)+1,20),FIND("/",MID(Sync!$AE968,FIND("/",Sync!$AE968)+1,20))-1))),"")))</f>
        <v/>
      </c>
      <c r="I968">
        <f>IF(OR($F968="",$G968=""),"",IF(ISNUMBER(Sync!$AE968),MOD(Sync!$AE968,100),IFERROR(VALUE(TRIM(MID(MID(Sync!$AE968,FIND("/",Sync!$AE968)+1,20),FIND("/",MID(Sync!$AE968,FIND("/",Sync!$AE968)+1,20))+1,20))),"")))</f>
        <v/>
      </c>
      <c r="J968">
        <f>IF($F968="","",IF(OR($G968="",$H968="",$I968="",$G968&lt;1300,$G968&gt;1500,$H968&lt;1,$H968&gt;12,$I968&lt;1,$I968&gt;31),"نامعتبر",RIGHT("0000"&amp;$G968,4)&amp;"/"&amp;RIGHT("00"&amp;$H968,2)&amp;"/"&amp;RIGHT("00"&amp;$I968,2)))</f>
        <v/>
      </c>
      <c r="K968">
        <f>IF(OR($F968="",$J968="",$J968="نامعتبر"),"",LEFT($J968,4)&amp;MID($J968,6,2)&amp;RIGHT($J968,2)&amp;$N968&amp;"|"&amp;"2"&amp;RIGHT("00000"&amp;963,5))</f>
        <v/>
      </c>
      <c r="L968">
        <f>IF($K968="","",COUNTIFS(LdgSellerA,$F968,LdgKeyA,"&lt;"&amp;$K968)+COUNTIFS(LdgSellerB,$F968,LdgKeyB,"&lt;"&amp;$K968)+1)</f>
        <v/>
      </c>
      <c r="M968">
        <f>IF($L968="","",$F968&amp;"|"&amp;RIGHT("000000"&amp;$L968,6))</f>
        <v/>
      </c>
      <c r="N968">
        <f>IF($F968="","",IF(Sync!$AF968="","0000",IF(AND(ISNUMBER(Sync!$AF968),Sync!$AF968&gt;=0,Sync!$AF968&lt;1),RIGHT("00"&amp;HOUR(Sync!$AF968),2)&amp;RIGHT("00"&amp;MINUTE(Sync!$AF968),2),IFERROR(RIGHT("00"&amp;VALUE(LEFT(Sync!$AF968,FIND(":",Sync!$AF968)-1)),2)&amp;RIGHT("00"&amp;VALUE(MID(Sync!$AF968,FIND(":",Sync!$AF968)+1,2)),2),"0000"))))</f>
        <v/>
      </c>
    </row>
    <row r="969">
      <c r="A969">
        <f>IF(OR(Calc!$E973="",Calc!$E973="نامعتبر",Calc!$G973=""),"",Calc!$G973)</f>
        <v/>
      </c>
      <c r="B969">
        <f>IF($A969="","",LEFT(Calc!$E973,4)&amp;MID(Calc!$E973,6,2)&amp;RIGHT(Calc!$E973,2)&amp;Calc!$Q973&amp;"|"&amp;"1"&amp;RIGHT("00000"&amp;964,5))</f>
        <v/>
      </c>
      <c r="C969">
        <f>IF($B969="","",COUNTIFS(LdgSellerA,$A969,LdgKeyA,"&lt;"&amp;$B969)+COUNTIFS(LdgSellerB,$A969,LdgKeyB,"&lt;"&amp;$B969)+1)</f>
        <v/>
      </c>
      <c r="D969">
        <f>IF($C969="","",$A969&amp;"|"&amp;RIGHT("000000"&amp;$C969,6))</f>
        <v/>
      </c>
      <c r="F969">
        <f>IF(Sync!$AH969="","",IF(LEFT(UPPER(TRIM(Sync!$AH969)),2)="SL",UPPER(TRIM(Sync!$AH969)),""))</f>
        <v/>
      </c>
      <c r="G969">
        <f>IF($F969="","",IF(Sync!$AE969="","",IF(ISNUMBER(Sync!$AE969),IF(AND(Sync!$AE969&gt;=10000101,Sync!$AE969&lt;=99991231),INT(Sync!$AE969/10000),""),IFERROR(VALUE(TRIM(LEFT(Sync!$AE969,FIND("/",Sync!$AE969)-1))),""))))</f>
        <v/>
      </c>
      <c r="H969">
        <f>IF(OR($F969="",$G969=""),"",IF(ISNUMBER(Sync!$AE969),INT(MOD(Sync!$AE969,10000)/100),IFERROR(VALUE(TRIM(LEFT(MID(Sync!$AE969,FIND("/",Sync!$AE969)+1,20),FIND("/",MID(Sync!$AE969,FIND("/",Sync!$AE969)+1,20))-1))),"")))</f>
        <v/>
      </c>
      <c r="I969">
        <f>IF(OR($F969="",$G969=""),"",IF(ISNUMBER(Sync!$AE969),MOD(Sync!$AE969,100),IFERROR(VALUE(TRIM(MID(MID(Sync!$AE969,FIND("/",Sync!$AE969)+1,20),FIND("/",MID(Sync!$AE969,FIND("/",Sync!$AE969)+1,20))+1,20))),"")))</f>
        <v/>
      </c>
      <c r="J969">
        <f>IF($F969="","",IF(OR($G969="",$H969="",$I969="",$G969&lt;1300,$G969&gt;1500,$H969&lt;1,$H969&gt;12,$I969&lt;1,$I969&gt;31),"نامعتبر",RIGHT("0000"&amp;$G969,4)&amp;"/"&amp;RIGHT("00"&amp;$H969,2)&amp;"/"&amp;RIGHT("00"&amp;$I969,2)))</f>
        <v/>
      </c>
      <c r="K969">
        <f>IF(OR($F969="",$J969="",$J969="نامعتبر"),"",LEFT($J969,4)&amp;MID($J969,6,2)&amp;RIGHT($J969,2)&amp;$N969&amp;"|"&amp;"2"&amp;RIGHT("00000"&amp;964,5))</f>
        <v/>
      </c>
      <c r="L969">
        <f>IF($K969="","",COUNTIFS(LdgSellerA,$F969,LdgKeyA,"&lt;"&amp;$K969)+COUNTIFS(LdgSellerB,$F969,LdgKeyB,"&lt;"&amp;$K969)+1)</f>
        <v/>
      </c>
      <c r="M969">
        <f>IF($L969="","",$F969&amp;"|"&amp;RIGHT("000000"&amp;$L969,6))</f>
        <v/>
      </c>
      <c r="N969">
        <f>IF($F969="","",IF(Sync!$AF969="","0000",IF(AND(ISNUMBER(Sync!$AF969),Sync!$AF969&gt;=0,Sync!$AF969&lt;1),RIGHT("00"&amp;HOUR(Sync!$AF969),2)&amp;RIGHT("00"&amp;MINUTE(Sync!$AF969),2),IFERROR(RIGHT("00"&amp;VALUE(LEFT(Sync!$AF969,FIND(":",Sync!$AF969)-1)),2)&amp;RIGHT("00"&amp;VALUE(MID(Sync!$AF969,FIND(":",Sync!$AF969)+1,2)),2),"0000"))))</f>
        <v/>
      </c>
    </row>
    <row r="970">
      <c r="A970">
        <f>IF(OR(Calc!$E974="",Calc!$E974="نامعتبر",Calc!$G974=""),"",Calc!$G974)</f>
        <v/>
      </c>
      <c r="B970">
        <f>IF($A970="","",LEFT(Calc!$E974,4)&amp;MID(Calc!$E974,6,2)&amp;RIGHT(Calc!$E974,2)&amp;Calc!$Q974&amp;"|"&amp;"1"&amp;RIGHT("00000"&amp;965,5))</f>
        <v/>
      </c>
      <c r="C970">
        <f>IF($B970="","",COUNTIFS(LdgSellerA,$A970,LdgKeyA,"&lt;"&amp;$B970)+COUNTIFS(LdgSellerB,$A970,LdgKeyB,"&lt;"&amp;$B970)+1)</f>
        <v/>
      </c>
      <c r="D970">
        <f>IF($C970="","",$A970&amp;"|"&amp;RIGHT("000000"&amp;$C970,6))</f>
        <v/>
      </c>
      <c r="F970">
        <f>IF(Sync!$AH970="","",IF(LEFT(UPPER(TRIM(Sync!$AH970)),2)="SL",UPPER(TRIM(Sync!$AH970)),""))</f>
        <v/>
      </c>
      <c r="G970">
        <f>IF($F970="","",IF(Sync!$AE970="","",IF(ISNUMBER(Sync!$AE970),IF(AND(Sync!$AE970&gt;=10000101,Sync!$AE970&lt;=99991231),INT(Sync!$AE970/10000),""),IFERROR(VALUE(TRIM(LEFT(Sync!$AE970,FIND("/",Sync!$AE970)-1))),""))))</f>
        <v/>
      </c>
      <c r="H970">
        <f>IF(OR($F970="",$G970=""),"",IF(ISNUMBER(Sync!$AE970),INT(MOD(Sync!$AE970,10000)/100),IFERROR(VALUE(TRIM(LEFT(MID(Sync!$AE970,FIND("/",Sync!$AE970)+1,20),FIND("/",MID(Sync!$AE970,FIND("/",Sync!$AE970)+1,20))-1))),"")))</f>
        <v/>
      </c>
      <c r="I970">
        <f>IF(OR($F970="",$G970=""),"",IF(ISNUMBER(Sync!$AE970),MOD(Sync!$AE970,100),IFERROR(VALUE(TRIM(MID(MID(Sync!$AE970,FIND("/",Sync!$AE970)+1,20),FIND("/",MID(Sync!$AE970,FIND("/",Sync!$AE970)+1,20))+1,20))),"")))</f>
        <v/>
      </c>
      <c r="J970">
        <f>IF($F970="","",IF(OR($G970="",$H970="",$I970="",$G970&lt;1300,$G970&gt;1500,$H970&lt;1,$H970&gt;12,$I970&lt;1,$I970&gt;31),"نامعتبر",RIGHT("0000"&amp;$G970,4)&amp;"/"&amp;RIGHT("00"&amp;$H970,2)&amp;"/"&amp;RIGHT("00"&amp;$I970,2)))</f>
        <v/>
      </c>
      <c r="K970">
        <f>IF(OR($F970="",$J970="",$J970="نامعتبر"),"",LEFT($J970,4)&amp;MID($J970,6,2)&amp;RIGHT($J970,2)&amp;$N970&amp;"|"&amp;"2"&amp;RIGHT("00000"&amp;965,5))</f>
        <v/>
      </c>
      <c r="L970">
        <f>IF($K970="","",COUNTIFS(LdgSellerA,$F970,LdgKeyA,"&lt;"&amp;$K970)+COUNTIFS(LdgSellerB,$F970,LdgKeyB,"&lt;"&amp;$K970)+1)</f>
        <v/>
      </c>
      <c r="M970">
        <f>IF($L970="","",$F970&amp;"|"&amp;RIGHT("000000"&amp;$L970,6))</f>
        <v/>
      </c>
      <c r="N970">
        <f>IF($F970="","",IF(Sync!$AF970="","0000",IF(AND(ISNUMBER(Sync!$AF970),Sync!$AF970&gt;=0,Sync!$AF970&lt;1),RIGHT("00"&amp;HOUR(Sync!$AF970),2)&amp;RIGHT("00"&amp;MINUTE(Sync!$AF970),2),IFERROR(RIGHT("00"&amp;VALUE(LEFT(Sync!$AF970,FIND(":",Sync!$AF970)-1)),2)&amp;RIGHT("00"&amp;VALUE(MID(Sync!$AF970,FIND(":",Sync!$AF970)+1,2)),2),"0000"))))</f>
        <v/>
      </c>
    </row>
    <row r="971">
      <c r="A971">
        <f>IF(OR(Calc!$E975="",Calc!$E975="نامعتبر",Calc!$G975=""),"",Calc!$G975)</f>
        <v/>
      </c>
      <c r="B971">
        <f>IF($A971="","",LEFT(Calc!$E975,4)&amp;MID(Calc!$E975,6,2)&amp;RIGHT(Calc!$E975,2)&amp;Calc!$Q975&amp;"|"&amp;"1"&amp;RIGHT("00000"&amp;966,5))</f>
        <v/>
      </c>
      <c r="C971">
        <f>IF($B971="","",COUNTIFS(LdgSellerA,$A971,LdgKeyA,"&lt;"&amp;$B971)+COUNTIFS(LdgSellerB,$A971,LdgKeyB,"&lt;"&amp;$B971)+1)</f>
        <v/>
      </c>
      <c r="D971">
        <f>IF($C971="","",$A971&amp;"|"&amp;RIGHT("000000"&amp;$C971,6))</f>
        <v/>
      </c>
      <c r="F971">
        <f>IF(Sync!$AH971="","",IF(LEFT(UPPER(TRIM(Sync!$AH971)),2)="SL",UPPER(TRIM(Sync!$AH971)),""))</f>
        <v/>
      </c>
      <c r="G971">
        <f>IF($F971="","",IF(Sync!$AE971="","",IF(ISNUMBER(Sync!$AE971),IF(AND(Sync!$AE971&gt;=10000101,Sync!$AE971&lt;=99991231),INT(Sync!$AE971/10000),""),IFERROR(VALUE(TRIM(LEFT(Sync!$AE971,FIND("/",Sync!$AE971)-1))),""))))</f>
        <v/>
      </c>
      <c r="H971">
        <f>IF(OR($F971="",$G971=""),"",IF(ISNUMBER(Sync!$AE971),INT(MOD(Sync!$AE971,10000)/100),IFERROR(VALUE(TRIM(LEFT(MID(Sync!$AE971,FIND("/",Sync!$AE971)+1,20),FIND("/",MID(Sync!$AE971,FIND("/",Sync!$AE971)+1,20))-1))),"")))</f>
        <v/>
      </c>
      <c r="I971">
        <f>IF(OR($F971="",$G971=""),"",IF(ISNUMBER(Sync!$AE971),MOD(Sync!$AE971,100),IFERROR(VALUE(TRIM(MID(MID(Sync!$AE971,FIND("/",Sync!$AE971)+1,20),FIND("/",MID(Sync!$AE971,FIND("/",Sync!$AE971)+1,20))+1,20))),"")))</f>
        <v/>
      </c>
      <c r="J971">
        <f>IF($F971="","",IF(OR($G971="",$H971="",$I971="",$G971&lt;1300,$G971&gt;1500,$H971&lt;1,$H971&gt;12,$I971&lt;1,$I971&gt;31),"نامعتبر",RIGHT("0000"&amp;$G971,4)&amp;"/"&amp;RIGHT("00"&amp;$H971,2)&amp;"/"&amp;RIGHT("00"&amp;$I971,2)))</f>
        <v/>
      </c>
      <c r="K971">
        <f>IF(OR($F971="",$J971="",$J971="نامعتبر"),"",LEFT($J971,4)&amp;MID($J971,6,2)&amp;RIGHT($J971,2)&amp;$N971&amp;"|"&amp;"2"&amp;RIGHT("00000"&amp;966,5))</f>
        <v/>
      </c>
      <c r="L971">
        <f>IF($K971="","",COUNTIFS(LdgSellerA,$F971,LdgKeyA,"&lt;"&amp;$K971)+COUNTIFS(LdgSellerB,$F971,LdgKeyB,"&lt;"&amp;$K971)+1)</f>
        <v/>
      </c>
      <c r="M971">
        <f>IF($L971="","",$F971&amp;"|"&amp;RIGHT("000000"&amp;$L971,6))</f>
        <v/>
      </c>
      <c r="N971">
        <f>IF($F971="","",IF(Sync!$AF971="","0000",IF(AND(ISNUMBER(Sync!$AF971),Sync!$AF971&gt;=0,Sync!$AF971&lt;1),RIGHT("00"&amp;HOUR(Sync!$AF971),2)&amp;RIGHT("00"&amp;MINUTE(Sync!$AF971),2),IFERROR(RIGHT("00"&amp;VALUE(LEFT(Sync!$AF971,FIND(":",Sync!$AF971)-1)),2)&amp;RIGHT("00"&amp;VALUE(MID(Sync!$AF971,FIND(":",Sync!$AF971)+1,2)),2),"0000"))))</f>
        <v/>
      </c>
    </row>
    <row r="972">
      <c r="A972">
        <f>IF(OR(Calc!$E976="",Calc!$E976="نامعتبر",Calc!$G976=""),"",Calc!$G976)</f>
        <v/>
      </c>
      <c r="B972">
        <f>IF($A972="","",LEFT(Calc!$E976,4)&amp;MID(Calc!$E976,6,2)&amp;RIGHT(Calc!$E976,2)&amp;Calc!$Q976&amp;"|"&amp;"1"&amp;RIGHT("00000"&amp;967,5))</f>
        <v/>
      </c>
      <c r="C972">
        <f>IF($B972="","",COUNTIFS(LdgSellerA,$A972,LdgKeyA,"&lt;"&amp;$B972)+COUNTIFS(LdgSellerB,$A972,LdgKeyB,"&lt;"&amp;$B972)+1)</f>
        <v/>
      </c>
      <c r="D972">
        <f>IF($C972="","",$A972&amp;"|"&amp;RIGHT("000000"&amp;$C972,6))</f>
        <v/>
      </c>
      <c r="F972">
        <f>IF(Sync!$AH972="","",IF(LEFT(UPPER(TRIM(Sync!$AH972)),2)="SL",UPPER(TRIM(Sync!$AH972)),""))</f>
        <v/>
      </c>
      <c r="G972">
        <f>IF($F972="","",IF(Sync!$AE972="","",IF(ISNUMBER(Sync!$AE972),IF(AND(Sync!$AE972&gt;=10000101,Sync!$AE972&lt;=99991231),INT(Sync!$AE972/10000),""),IFERROR(VALUE(TRIM(LEFT(Sync!$AE972,FIND("/",Sync!$AE972)-1))),""))))</f>
        <v/>
      </c>
      <c r="H972">
        <f>IF(OR($F972="",$G972=""),"",IF(ISNUMBER(Sync!$AE972),INT(MOD(Sync!$AE972,10000)/100),IFERROR(VALUE(TRIM(LEFT(MID(Sync!$AE972,FIND("/",Sync!$AE972)+1,20),FIND("/",MID(Sync!$AE972,FIND("/",Sync!$AE972)+1,20))-1))),"")))</f>
        <v/>
      </c>
      <c r="I972">
        <f>IF(OR($F972="",$G972=""),"",IF(ISNUMBER(Sync!$AE972),MOD(Sync!$AE972,100),IFERROR(VALUE(TRIM(MID(MID(Sync!$AE972,FIND("/",Sync!$AE972)+1,20),FIND("/",MID(Sync!$AE972,FIND("/",Sync!$AE972)+1,20))+1,20))),"")))</f>
        <v/>
      </c>
      <c r="J972">
        <f>IF($F972="","",IF(OR($G972="",$H972="",$I972="",$G972&lt;1300,$G972&gt;1500,$H972&lt;1,$H972&gt;12,$I972&lt;1,$I972&gt;31),"نامعتبر",RIGHT("0000"&amp;$G972,4)&amp;"/"&amp;RIGHT("00"&amp;$H972,2)&amp;"/"&amp;RIGHT("00"&amp;$I972,2)))</f>
        <v/>
      </c>
      <c r="K972">
        <f>IF(OR($F972="",$J972="",$J972="نامعتبر"),"",LEFT($J972,4)&amp;MID($J972,6,2)&amp;RIGHT($J972,2)&amp;$N972&amp;"|"&amp;"2"&amp;RIGHT("00000"&amp;967,5))</f>
        <v/>
      </c>
      <c r="L972">
        <f>IF($K972="","",COUNTIFS(LdgSellerA,$F972,LdgKeyA,"&lt;"&amp;$K972)+COUNTIFS(LdgSellerB,$F972,LdgKeyB,"&lt;"&amp;$K972)+1)</f>
        <v/>
      </c>
      <c r="M972">
        <f>IF($L972="","",$F972&amp;"|"&amp;RIGHT("000000"&amp;$L972,6))</f>
        <v/>
      </c>
      <c r="N972">
        <f>IF($F972="","",IF(Sync!$AF972="","0000",IF(AND(ISNUMBER(Sync!$AF972),Sync!$AF972&gt;=0,Sync!$AF972&lt;1),RIGHT("00"&amp;HOUR(Sync!$AF972),2)&amp;RIGHT("00"&amp;MINUTE(Sync!$AF972),2),IFERROR(RIGHT("00"&amp;VALUE(LEFT(Sync!$AF972,FIND(":",Sync!$AF972)-1)),2)&amp;RIGHT("00"&amp;VALUE(MID(Sync!$AF972,FIND(":",Sync!$AF972)+1,2)),2),"0000"))))</f>
        <v/>
      </c>
    </row>
    <row r="973">
      <c r="A973">
        <f>IF(OR(Calc!$E977="",Calc!$E977="نامعتبر",Calc!$G977=""),"",Calc!$G977)</f>
        <v/>
      </c>
      <c r="B973">
        <f>IF($A973="","",LEFT(Calc!$E977,4)&amp;MID(Calc!$E977,6,2)&amp;RIGHT(Calc!$E977,2)&amp;Calc!$Q977&amp;"|"&amp;"1"&amp;RIGHT("00000"&amp;968,5))</f>
        <v/>
      </c>
      <c r="C973">
        <f>IF($B973="","",COUNTIFS(LdgSellerA,$A973,LdgKeyA,"&lt;"&amp;$B973)+COUNTIFS(LdgSellerB,$A973,LdgKeyB,"&lt;"&amp;$B973)+1)</f>
        <v/>
      </c>
      <c r="D973">
        <f>IF($C973="","",$A973&amp;"|"&amp;RIGHT("000000"&amp;$C973,6))</f>
        <v/>
      </c>
      <c r="F973">
        <f>IF(Sync!$AH973="","",IF(LEFT(UPPER(TRIM(Sync!$AH973)),2)="SL",UPPER(TRIM(Sync!$AH973)),""))</f>
        <v/>
      </c>
      <c r="G973">
        <f>IF($F973="","",IF(Sync!$AE973="","",IF(ISNUMBER(Sync!$AE973),IF(AND(Sync!$AE973&gt;=10000101,Sync!$AE973&lt;=99991231),INT(Sync!$AE973/10000),""),IFERROR(VALUE(TRIM(LEFT(Sync!$AE973,FIND("/",Sync!$AE973)-1))),""))))</f>
        <v/>
      </c>
      <c r="H973">
        <f>IF(OR($F973="",$G973=""),"",IF(ISNUMBER(Sync!$AE973),INT(MOD(Sync!$AE973,10000)/100),IFERROR(VALUE(TRIM(LEFT(MID(Sync!$AE973,FIND("/",Sync!$AE973)+1,20),FIND("/",MID(Sync!$AE973,FIND("/",Sync!$AE973)+1,20))-1))),"")))</f>
        <v/>
      </c>
      <c r="I973">
        <f>IF(OR($F973="",$G973=""),"",IF(ISNUMBER(Sync!$AE973),MOD(Sync!$AE973,100),IFERROR(VALUE(TRIM(MID(MID(Sync!$AE973,FIND("/",Sync!$AE973)+1,20),FIND("/",MID(Sync!$AE973,FIND("/",Sync!$AE973)+1,20))+1,20))),"")))</f>
        <v/>
      </c>
      <c r="J973">
        <f>IF($F973="","",IF(OR($G973="",$H973="",$I973="",$G973&lt;1300,$G973&gt;1500,$H973&lt;1,$H973&gt;12,$I973&lt;1,$I973&gt;31),"نامعتبر",RIGHT("0000"&amp;$G973,4)&amp;"/"&amp;RIGHT("00"&amp;$H973,2)&amp;"/"&amp;RIGHT("00"&amp;$I973,2)))</f>
        <v/>
      </c>
      <c r="K973">
        <f>IF(OR($F973="",$J973="",$J973="نامعتبر"),"",LEFT($J973,4)&amp;MID($J973,6,2)&amp;RIGHT($J973,2)&amp;$N973&amp;"|"&amp;"2"&amp;RIGHT("00000"&amp;968,5))</f>
        <v/>
      </c>
      <c r="L973">
        <f>IF($K973="","",COUNTIFS(LdgSellerA,$F973,LdgKeyA,"&lt;"&amp;$K973)+COUNTIFS(LdgSellerB,$F973,LdgKeyB,"&lt;"&amp;$K973)+1)</f>
        <v/>
      </c>
      <c r="M973">
        <f>IF($L973="","",$F973&amp;"|"&amp;RIGHT("000000"&amp;$L973,6))</f>
        <v/>
      </c>
      <c r="N973">
        <f>IF($F973="","",IF(Sync!$AF973="","0000",IF(AND(ISNUMBER(Sync!$AF973),Sync!$AF973&gt;=0,Sync!$AF973&lt;1),RIGHT("00"&amp;HOUR(Sync!$AF973),2)&amp;RIGHT("00"&amp;MINUTE(Sync!$AF973),2),IFERROR(RIGHT("00"&amp;VALUE(LEFT(Sync!$AF973,FIND(":",Sync!$AF973)-1)),2)&amp;RIGHT("00"&amp;VALUE(MID(Sync!$AF973,FIND(":",Sync!$AF973)+1,2)),2),"0000"))))</f>
        <v/>
      </c>
    </row>
    <row r="974">
      <c r="A974">
        <f>IF(OR(Calc!$E978="",Calc!$E978="نامعتبر",Calc!$G978=""),"",Calc!$G978)</f>
        <v/>
      </c>
      <c r="B974">
        <f>IF($A974="","",LEFT(Calc!$E978,4)&amp;MID(Calc!$E978,6,2)&amp;RIGHT(Calc!$E978,2)&amp;Calc!$Q978&amp;"|"&amp;"1"&amp;RIGHT("00000"&amp;969,5))</f>
        <v/>
      </c>
      <c r="C974">
        <f>IF($B974="","",COUNTIFS(LdgSellerA,$A974,LdgKeyA,"&lt;"&amp;$B974)+COUNTIFS(LdgSellerB,$A974,LdgKeyB,"&lt;"&amp;$B974)+1)</f>
        <v/>
      </c>
      <c r="D974">
        <f>IF($C974="","",$A974&amp;"|"&amp;RIGHT("000000"&amp;$C974,6))</f>
        <v/>
      </c>
      <c r="F974">
        <f>IF(Sync!$AH974="","",IF(LEFT(UPPER(TRIM(Sync!$AH974)),2)="SL",UPPER(TRIM(Sync!$AH974)),""))</f>
        <v/>
      </c>
      <c r="G974">
        <f>IF($F974="","",IF(Sync!$AE974="","",IF(ISNUMBER(Sync!$AE974),IF(AND(Sync!$AE974&gt;=10000101,Sync!$AE974&lt;=99991231),INT(Sync!$AE974/10000),""),IFERROR(VALUE(TRIM(LEFT(Sync!$AE974,FIND("/",Sync!$AE974)-1))),""))))</f>
        <v/>
      </c>
      <c r="H974">
        <f>IF(OR($F974="",$G974=""),"",IF(ISNUMBER(Sync!$AE974),INT(MOD(Sync!$AE974,10000)/100),IFERROR(VALUE(TRIM(LEFT(MID(Sync!$AE974,FIND("/",Sync!$AE974)+1,20),FIND("/",MID(Sync!$AE974,FIND("/",Sync!$AE974)+1,20))-1))),"")))</f>
        <v/>
      </c>
      <c r="I974">
        <f>IF(OR($F974="",$G974=""),"",IF(ISNUMBER(Sync!$AE974),MOD(Sync!$AE974,100),IFERROR(VALUE(TRIM(MID(MID(Sync!$AE974,FIND("/",Sync!$AE974)+1,20),FIND("/",MID(Sync!$AE974,FIND("/",Sync!$AE974)+1,20))+1,20))),"")))</f>
        <v/>
      </c>
      <c r="J974">
        <f>IF($F974="","",IF(OR($G974="",$H974="",$I974="",$G974&lt;1300,$G974&gt;1500,$H974&lt;1,$H974&gt;12,$I974&lt;1,$I974&gt;31),"نامعتبر",RIGHT("0000"&amp;$G974,4)&amp;"/"&amp;RIGHT("00"&amp;$H974,2)&amp;"/"&amp;RIGHT("00"&amp;$I974,2)))</f>
        <v/>
      </c>
      <c r="K974">
        <f>IF(OR($F974="",$J974="",$J974="نامعتبر"),"",LEFT($J974,4)&amp;MID($J974,6,2)&amp;RIGHT($J974,2)&amp;$N974&amp;"|"&amp;"2"&amp;RIGHT("00000"&amp;969,5))</f>
        <v/>
      </c>
      <c r="L974">
        <f>IF($K974="","",COUNTIFS(LdgSellerA,$F974,LdgKeyA,"&lt;"&amp;$K974)+COUNTIFS(LdgSellerB,$F974,LdgKeyB,"&lt;"&amp;$K974)+1)</f>
        <v/>
      </c>
      <c r="M974">
        <f>IF($L974="","",$F974&amp;"|"&amp;RIGHT("000000"&amp;$L974,6))</f>
        <v/>
      </c>
      <c r="N974">
        <f>IF($F974="","",IF(Sync!$AF974="","0000",IF(AND(ISNUMBER(Sync!$AF974),Sync!$AF974&gt;=0,Sync!$AF974&lt;1),RIGHT("00"&amp;HOUR(Sync!$AF974),2)&amp;RIGHT("00"&amp;MINUTE(Sync!$AF974),2),IFERROR(RIGHT("00"&amp;VALUE(LEFT(Sync!$AF974,FIND(":",Sync!$AF974)-1)),2)&amp;RIGHT("00"&amp;VALUE(MID(Sync!$AF974,FIND(":",Sync!$AF974)+1,2)),2),"0000"))))</f>
        <v/>
      </c>
    </row>
    <row r="975">
      <c r="A975">
        <f>IF(OR(Calc!$E979="",Calc!$E979="نامعتبر",Calc!$G979=""),"",Calc!$G979)</f>
        <v/>
      </c>
      <c r="B975">
        <f>IF($A975="","",LEFT(Calc!$E979,4)&amp;MID(Calc!$E979,6,2)&amp;RIGHT(Calc!$E979,2)&amp;Calc!$Q979&amp;"|"&amp;"1"&amp;RIGHT("00000"&amp;970,5))</f>
        <v/>
      </c>
      <c r="C975">
        <f>IF($B975="","",COUNTIFS(LdgSellerA,$A975,LdgKeyA,"&lt;"&amp;$B975)+COUNTIFS(LdgSellerB,$A975,LdgKeyB,"&lt;"&amp;$B975)+1)</f>
        <v/>
      </c>
      <c r="D975">
        <f>IF($C975="","",$A975&amp;"|"&amp;RIGHT("000000"&amp;$C975,6))</f>
        <v/>
      </c>
      <c r="F975">
        <f>IF(Sync!$AH975="","",IF(LEFT(UPPER(TRIM(Sync!$AH975)),2)="SL",UPPER(TRIM(Sync!$AH975)),""))</f>
        <v/>
      </c>
      <c r="G975">
        <f>IF($F975="","",IF(Sync!$AE975="","",IF(ISNUMBER(Sync!$AE975),IF(AND(Sync!$AE975&gt;=10000101,Sync!$AE975&lt;=99991231),INT(Sync!$AE975/10000),""),IFERROR(VALUE(TRIM(LEFT(Sync!$AE975,FIND("/",Sync!$AE975)-1))),""))))</f>
        <v/>
      </c>
      <c r="H975">
        <f>IF(OR($F975="",$G975=""),"",IF(ISNUMBER(Sync!$AE975),INT(MOD(Sync!$AE975,10000)/100),IFERROR(VALUE(TRIM(LEFT(MID(Sync!$AE975,FIND("/",Sync!$AE975)+1,20),FIND("/",MID(Sync!$AE975,FIND("/",Sync!$AE975)+1,20))-1))),"")))</f>
        <v/>
      </c>
      <c r="I975">
        <f>IF(OR($F975="",$G975=""),"",IF(ISNUMBER(Sync!$AE975),MOD(Sync!$AE975,100),IFERROR(VALUE(TRIM(MID(MID(Sync!$AE975,FIND("/",Sync!$AE975)+1,20),FIND("/",MID(Sync!$AE975,FIND("/",Sync!$AE975)+1,20))+1,20))),"")))</f>
        <v/>
      </c>
      <c r="J975">
        <f>IF($F975="","",IF(OR($G975="",$H975="",$I975="",$G975&lt;1300,$G975&gt;1500,$H975&lt;1,$H975&gt;12,$I975&lt;1,$I975&gt;31),"نامعتبر",RIGHT("0000"&amp;$G975,4)&amp;"/"&amp;RIGHT("00"&amp;$H975,2)&amp;"/"&amp;RIGHT("00"&amp;$I975,2)))</f>
        <v/>
      </c>
      <c r="K975">
        <f>IF(OR($F975="",$J975="",$J975="نامعتبر"),"",LEFT($J975,4)&amp;MID($J975,6,2)&amp;RIGHT($J975,2)&amp;$N975&amp;"|"&amp;"2"&amp;RIGHT("00000"&amp;970,5))</f>
        <v/>
      </c>
      <c r="L975">
        <f>IF($K975="","",COUNTIFS(LdgSellerA,$F975,LdgKeyA,"&lt;"&amp;$K975)+COUNTIFS(LdgSellerB,$F975,LdgKeyB,"&lt;"&amp;$K975)+1)</f>
        <v/>
      </c>
      <c r="M975">
        <f>IF($L975="","",$F975&amp;"|"&amp;RIGHT("000000"&amp;$L975,6))</f>
        <v/>
      </c>
      <c r="N975">
        <f>IF($F975="","",IF(Sync!$AF975="","0000",IF(AND(ISNUMBER(Sync!$AF975),Sync!$AF975&gt;=0,Sync!$AF975&lt;1),RIGHT("00"&amp;HOUR(Sync!$AF975),2)&amp;RIGHT("00"&amp;MINUTE(Sync!$AF975),2),IFERROR(RIGHT("00"&amp;VALUE(LEFT(Sync!$AF975,FIND(":",Sync!$AF975)-1)),2)&amp;RIGHT("00"&amp;VALUE(MID(Sync!$AF975,FIND(":",Sync!$AF975)+1,2)),2),"0000"))))</f>
        <v/>
      </c>
    </row>
    <row r="976">
      <c r="A976">
        <f>IF(OR(Calc!$E980="",Calc!$E980="نامعتبر",Calc!$G980=""),"",Calc!$G980)</f>
        <v/>
      </c>
      <c r="B976">
        <f>IF($A976="","",LEFT(Calc!$E980,4)&amp;MID(Calc!$E980,6,2)&amp;RIGHT(Calc!$E980,2)&amp;Calc!$Q980&amp;"|"&amp;"1"&amp;RIGHT("00000"&amp;971,5))</f>
        <v/>
      </c>
      <c r="C976">
        <f>IF($B976="","",COUNTIFS(LdgSellerA,$A976,LdgKeyA,"&lt;"&amp;$B976)+COUNTIFS(LdgSellerB,$A976,LdgKeyB,"&lt;"&amp;$B976)+1)</f>
        <v/>
      </c>
      <c r="D976">
        <f>IF($C976="","",$A976&amp;"|"&amp;RIGHT("000000"&amp;$C976,6))</f>
        <v/>
      </c>
      <c r="F976">
        <f>IF(Sync!$AH976="","",IF(LEFT(UPPER(TRIM(Sync!$AH976)),2)="SL",UPPER(TRIM(Sync!$AH976)),""))</f>
        <v/>
      </c>
      <c r="G976">
        <f>IF($F976="","",IF(Sync!$AE976="","",IF(ISNUMBER(Sync!$AE976),IF(AND(Sync!$AE976&gt;=10000101,Sync!$AE976&lt;=99991231),INT(Sync!$AE976/10000),""),IFERROR(VALUE(TRIM(LEFT(Sync!$AE976,FIND("/",Sync!$AE976)-1))),""))))</f>
        <v/>
      </c>
      <c r="H976">
        <f>IF(OR($F976="",$G976=""),"",IF(ISNUMBER(Sync!$AE976),INT(MOD(Sync!$AE976,10000)/100),IFERROR(VALUE(TRIM(LEFT(MID(Sync!$AE976,FIND("/",Sync!$AE976)+1,20),FIND("/",MID(Sync!$AE976,FIND("/",Sync!$AE976)+1,20))-1))),"")))</f>
        <v/>
      </c>
      <c r="I976">
        <f>IF(OR($F976="",$G976=""),"",IF(ISNUMBER(Sync!$AE976),MOD(Sync!$AE976,100),IFERROR(VALUE(TRIM(MID(MID(Sync!$AE976,FIND("/",Sync!$AE976)+1,20),FIND("/",MID(Sync!$AE976,FIND("/",Sync!$AE976)+1,20))+1,20))),"")))</f>
        <v/>
      </c>
      <c r="J976">
        <f>IF($F976="","",IF(OR($G976="",$H976="",$I976="",$G976&lt;1300,$G976&gt;1500,$H976&lt;1,$H976&gt;12,$I976&lt;1,$I976&gt;31),"نامعتبر",RIGHT("0000"&amp;$G976,4)&amp;"/"&amp;RIGHT("00"&amp;$H976,2)&amp;"/"&amp;RIGHT("00"&amp;$I976,2)))</f>
        <v/>
      </c>
      <c r="K976">
        <f>IF(OR($F976="",$J976="",$J976="نامعتبر"),"",LEFT($J976,4)&amp;MID($J976,6,2)&amp;RIGHT($J976,2)&amp;$N976&amp;"|"&amp;"2"&amp;RIGHT("00000"&amp;971,5))</f>
        <v/>
      </c>
      <c r="L976">
        <f>IF($K976="","",COUNTIFS(LdgSellerA,$F976,LdgKeyA,"&lt;"&amp;$K976)+COUNTIFS(LdgSellerB,$F976,LdgKeyB,"&lt;"&amp;$K976)+1)</f>
        <v/>
      </c>
      <c r="M976">
        <f>IF($L976="","",$F976&amp;"|"&amp;RIGHT("000000"&amp;$L976,6))</f>
        <v/>
      </c>
      <c r="N976">
        <f>IF($F976="","",IF(Sync!$AF976="","0000",IF(AND(ISNUMBER(Sync!$AF976),Sync!$AF976&gt;=0,Sync!$AF976&lt;1),RIGHT("00"&amp;HOUR(Sync!$AF976),2)&amp;RIGHT("00"&amp;MINUTE(Sync!$AF976),2),IFERROR(RIGHT("00"&amp;VALUE(LEFT(Sync!$AF976,FIND(":",Sync!$AF976)-1)),2)&amp;RIGHT("00"&amp;VALUE(MID(Sync!$AF976,FIND(":",Sync!$AF976)+1,2)),2),"0000"))))</f>
        <v/>
      </c>
    </row>
    <row r="977">
      <c r="A977">
        <f>IF(OR(Calc!$E981="",Calc!$E981="نامعتبر",Calc!$G981=""),"",Calc!$G981)</f>
        <v/>
      </c>
      <c r="B977">
        <f>IF($A977="","",LEFT(Calc!$E981,4)&amp;MID(Calc!$E981,6,2)&amp;RIGHT(Calc!$E981,2)&amp;Calc!$Q981&amp;"|"&amp;"1"&amp;RIGHT("00000"&amp;972,5))</f>
        <v/>
      </c>
      <c r="C977">
        <f>IF($B977="","",COUNTIFS(LdgSellerA,$A977,LdgKeyA,"&lt;"&amp;$B977)+COUNTIFS(LdgSellerB,$A977,LdgKeyB,"&lt;"&amp;$B977)+1)</f>
        <v/>
      </c>
      <c r="D977">
        <f>IF($C977="","",$A977&amp;"|"&amp;RIGHT("000000"&amp;$C977,6))</f>
        <v/>
      </c>
      <c r="F977">
        <f>IF(Sync!$AH977="","",IF(LEFT(UPPER(TRIM(Sync!$AH977)),2)="SL",UPPER(TRIM(Sync!$AH977)),""))</f>
        <v/>
      </c>
      <c r="G977">
        <f>IF($F977="","",IF(Sync!$AE977="","",IF(ISNUMBER(Sync!$AE977),IF(AND(Sync!$AE977&gt;=10000101,Sync!$AE977&lt;=99991231),INT(Sync!$AE977/10000),""),IFERROR(VALUE(TRIM(LEFT(Sync!$AE977,FIND("/",Sync!$AE977)-1))),""))))</f>
        <v/>
      </c>
      <c r="H977">
        <f>IF(OR($F977="",$G977=""),"",IF(ISNUMBER(Sync!$AE977),INT(MOD(Sync!$AE977,10000)/100),IFERROR(VALUE(TRIM(LEFT(MID(Sync!$AE977,FIND("/",Sync!$AE977)+1,20),FIND("/",MID(Sync!$AE977,FIND("/",Sync!$AE977)+1,20))-1))),"")))</f>
        <v/>
      </c>
      <c r="I977">
        <f>IF(OR($F977="",$G977=""),"",IF(ISNUMBER(Sync!$AE977),MOD(Sync!$AE977,100),IFERROR(VALUE(TRIM(MID(MID(Sync!$AE977,FIND("/",Sync!$AE977)+1,20),FIND("/",MID(Sync!$AE977,FIND("/",Sync!$AE977)+1,20))+1,20))),"")))</f>
        <v/>
      </c>
      <c r="J977">
        <f>IF($F977="","",IF(OR($G977="",$H977="",$I977="",$G977&lt;1300,$G977&gt;1500,$H977&lt;1,$H977&gt;12,$I977&lt;1,$I977&gt;31),"نامعتبر",RIGHT("0000"&amp;$G977,4)&amp;"/"&amp;RIGHT("00"&amp;$H977,2)&amp;"/"&amp;RIGHT("00"&amp;$I977,2)))</f>
        <v/>
      </c>
      <c r="K977">
        <f>IF(OR($F977="",$J977="",$J977="نامعتبر"),"",LEFT($J977,4)&amp;MID($J977,6,2)&amp;RIGHT($J977,2)&amp;$N977&amp;"|"&amp;"2"&amp;RIGHT("00000"&amp;972,5))</f>
        <v/>
      </c>
      <c r="L977">
        <f>IF($K977="","",COUNTIFS(LdgSellerA,$F977,LdgKeyA,"&lt;"&amp;$K977)+COUNTIFS(LdgSellerB,$F977,LdgKeyB,"&lt;"&amp;$K977)+1)</f>
        <v/>
      </c>
      <c r="M977">
        <f>IF($L977="","",$F977&amp;"|"&amp;RIGHT("000000"&amp;$L977,6))</f>
        <v/>
      </c>
      <c r="N977">
        <f>IF($F977="","",IF(Sync!$AF977="","0000",IF(AND(ISNUMBER(Sync!$AF977),Sync!$AF977&gt;=0,Sync!$AF977&lt;1),RIGHT("00"&amp;HOUR(Sync!$AF977),2)&amp;RIGHT("00"&amp;MINUTE(Sync!$AF977),2),IFERROR(RIGHT("00"&amp;VALUE(LEFT(Sync!$AF977,FIND(":",Sync!$AF977)-1)),2)&amp;RIGHT("00"&amp;VALUE(MID(Sync!$AF977,FIND(":",Sync!$AF977)+1,2)),2),"0000"))))</f>
        <v/>
      </c>
    </row>
    <row r="978">
      <c r="A978">
        <f>IF(OR(Calc!$E982="",Calc!$E982="نامعتبر",Calc!$G982=""),"",Calc!$G982)</f>
        <v/>
      </c>
      <c r="B978">
        <f>IF($A978="","",LEFT(Calc!$E982,4)&amp;MID(Calc!$E982,6,2)&amp;RIGHT(Calc!$E982,2)&amp;Calc!$Q982&amp;"|"&amp;"1"&amp;RIGHT("00000"&amp;973,5))</f>
        <v/>
      </c>
      <c r="C978">
        <f>IF($B978="","",COUNTIFS(LdgSellerA,$A978,LdgKeyA,"&lt;"&amp;$B978)+COUNTIFS(LdgSellerB,$A978,LdgKeyB,"&lt;"&amp;$B978)+1)</f>
        <v/>
      </c>
      <c r="D978">
        <f>IF($C978="","",$A978&amp;"|"&amp;RIGHT("000000"&amp;$C978,6))</f>
        <v/>
      </c>
      <c r="F978">
        <f>IF(Sync!$AH978="","",IF(LEFT(UPPER(TRIM(Sync!$AH978)),2)="SL",UPPER(TRIM(Sync!$AH978)),""))</f>
        <v/>
      </c>
      <c r="G978">
        <f>IF($F978="","",IF(Sync!$AE978="","",IF(ISNUMBER(Sync!$AE978),IF(AND(Sync!$AE978&gt;=10000101,Sync!$AE978&lt;=99991231),INT(Sync!$AE978/10000),""),IFERROR(VALUE(TRIM(LEFT(Sync!$AE978,FIND("/",Sync!$AE978)-1))),""))))</f>
        <v/>
      </c>
      <c r="H978">
        <f>IF(OR($F978="",$G978=""),"",IF(ISNUMBER(Sync!$AE978),INT(MOD(Sync!$AE978,10000)/100),IFERROR(VALUE(TRIM(LEFT(MID(Sync!$AE978,FIND("/",Sync!$AE978)+1,20),FIND("/",MID(Sync!$AE978,FIND("/",Sync!$AE978)+1,20))-1))),"")))</f>
        <v/>
      </c>
      <c r="I978">
        <f>IF(OR($F978="",$G978=""),"",IF(ISNUMBER(Sync!$AE978),MOD(Sync!$AE978,100),IFERROR(VALUE(TRIM(MID(MID(Sync!$AE978,FIND("/",Sync!$AE978)+1,20),FIND("/",MID(Sync!$AE978,FIND("/",Sync!$AE978)+1,20))+1,20))),"")))</f>
        <v/>
      </c>
      <c r="J978">
        <f>IF($F978="","",IF(OR($G978="",$H978="",$I978="",$G978&lt;1300,$G978&gt;1500,$H978&lt;1,$H978&gt;12,$I978&lt;1,$I978&gt;31),"نامعتبر",RIGHT("0000"&amp;$G978,4)&amp;"/"&amp;RIGHT("00"&amp;$H978,2)&amp;"/"&amp;RIGHT("00"&amp;$I978,2)))</f>
        <v/>
      </c>
      <c r="K978">
        <f>IF(OR($F978="",$J978="",$J978="نامعتبر"),"",LEFT($J978,4)&amp;MID($J978,6,2)&amp;RIGHT($J978,2)&amp;$N978&amp;"|"&amp;"2"&amp;RIGHT("00000"&amp;973,5))</f>
        <v/>
      </c>
      <c r="L978">
        <f>IF($K978="","",COUNTIFS(LdgSellerA,$F978,LdgKeyA,"&lt;"&amp;$K978)+COUNTIFS(LdgSellerB,$F978,LdgKeyB,"&lt;"&amp;$K978)+1)</f>
        <v/>
      </c>
      <c r="M978">
        <f>IF($L978="","",$F978&amp;"|"&amp;RIGHT("000000"&amp;$L978,6))</f>
        <v/>
      </c>
      <c r="N978">
        <f>IF($F978="","",IF(Sync!$AF978="","0000",IF(AND(ISNUMBER(Sync!$AF978),Sync!$AF978&gt;=0,Sync!$AF978&lt;1),RIGHT("00"&amp;HOUR(Sync!$AF978),2)&amp;RIGHT("00"&amp;MINUTE(Sync!$AF978),2),IFERROR(RIGHT("00"&amp;VALUE(LEFT(Sync!$AF978,FIND(":",Sync!$AF978)-1)),2)&amp;RIGHT("00"&amp;VALUE(MID(Sync!$AF978,FIND(":",Sync!$AF978)+1,2)),2),"0000"))))</f>
        <v/>
      </c>
    </row>
    <row r="979">
      <c r="A979">
        <f>IF(OR(Calc!$E983="",Calc!$E983="نامعتبر",Calc!$G983=""),"",Calc!$G983)</f>
        <v/>
      </c>
      <c r="B979">
        <f>IF($A979="","",LEFT(Calc!$E983,4)&amp;MID(Calc!$E983,6,2)&amp;RIGHT(Calc!$E983,2)&amp;Calc!$Q983&amp;"|"&amp;"1"&amp;RIGHT("00000"&amp;974,5))</f>
        <v/>
      </c>
      <c r="C979">
        <f>IF($B979="","",COUNTIFS(LdgSellerA,$A979,LdgKeyA,"&lt;"&amp;$B979)+COUNTIFS(LdgSellerB,$A979,LdgKeyB,"&lt;"&amp;$B979)+1)</f>
        <v/>
      </c>
      <c r="D979">
        <f>IF($C979="","",$A979&amp;"|"&amp;RIGHT("000000"&amp;$C979,6))</f>
        <v/>
      </c>
      <c r="F979">
        <f>IF(Sync!$AH979="","",IF(LEFT(UPPER(TRIM(Sync!$AH979)),2)="SL",UPPER(TRIM(Sync!$AH979)),""))</f>
        <v/>
      </c>
      <c r="G979">
        <f>IF($F979="","",IF(Sync!$AE979="","",IF(ISNUMBER(Sync!$AE979),IF(AND(Sync!$AE979&gt;=10000101,Sync!$AE979&lt;=99991231),INT(Sync!$AE979/10000),""),IFERROR(VALUE(TRIM(LEFT(Sync!$AE979,FIND("/",Sync!$AE979)-1))),""))))</f>
        <v/>
      </c>
      <c r="H979">
        <f>IF(OR($F979="",$G979=""),"",IF(ISNUMBER(Sync!$AE979),INT(MOD(Sync!$AE979,10000)/100),IFERROR(VALUE(TRIM(LEFT(MID(Sync!$AE979,FIND("/",Sync!$AE979)+1,20),FIND("/",MID(Sync!$AE979,FIND("/",Sync!$AE979)+1,20))-1))),"")))</f>
        <v/>
      </c>
      <c r="I979">
        <f>IF(OR($F979="",$G979=""),"",IF(ISNUMBER(Sync!$AE979),MOD(Sync!$AE979,100),IFERROR(VALUE(TRIM(MID(MID(Sync!$AE979,FIND("/",Sync!$AE979)+1,20),FIND("/",MID(Sync!$AE979,FIND("/",Sync!$AE979)+1,20))+1,20))),"")))</f>
        <v/>
      </c>
      <c r="J979">
        <f>IF($F979="","",IF(OR($G979="",$H979="",$I979="",$G979&lt;1300,$G979&gt;1500,$H979&lt;1,$H979&gt;12,$I979&lt;1,$I979&gt;31),"نامعتبر",RIGHT("0000"&amp;$G979,4)&amp;"/"&amp;RIGHT("00"&amp;$H979,2)&amp;"/"&amp;RIGHT("00"&amp;$I979,2)))</f>
        <v/>
      </c>
      <c r="K979">
        <f>IF(OR($F979="",$J979="",$J979="نامعتبر"),"",LEFT($J979,4)&amp;MID($J979,6,2)&amp;RIGHT($J979,2)&amp;$N979&amp;"|"&amp;"2"&amp;RIGHT("00000"&amp;974,5))</f>
        <v/>
      </c>
      <c r="L979">
        <f>IF($K979="","",COUNTIFS(LdgSellerA,$F979,LdgKeyA,"&lt;"&amp;$K979)+COUNTIFS(LdgSellerB,$F979,LdgKeyB,"&lt;"&amp;$K979)+1)</f>
        <v/>
      </c>
      <c r="M979">
        <f>IF($L979="","",$F979&amp;"|"&amp;RIGHT("000000"&amp;$L979,6))</f>
        <v/>
      </c>
      <c r="N979">
        <f>IF($F979="","",IF(Sync!$AF979="","0000",IF(AND(ISNUMBER(Sync!$AF979),Sync!$AF979&gt;=0,Sync!$AF979&lt;1),RIGHT("00"&amp;HOUR(Sync!$AF979),2)&amp;RIGHT("00"&amp;MINUTE(Sync!$AF979),2),IFERROR(RIGHT("00"&amp;VALUE(LEFT(Sync!$AF979,FIND(":",Sync!$AF979)-1)),2)&amp;RIGHT("00"&amp;VALUE(MID(Sync!$AF979,FIND(":",Sync!$AF979)+1,2)),2),"0000"))))</f>
        <v/>
      </c>
    </row>
    <row r="980">
      <c r="A980">
        <f>IF(OR(Calc!$E984="",Calc!$E984="نامعتبر",Calc!$G984=""),"",Calc!$G984)</f>
        <v/>
      </c>
      <c r="B980">
        <f>IF($A980="","",LEFT(Calc!$E984,4)&amp;MID(Calc!$E984,6,2)&amp;RIGHT(Calc!$E984,2)&amp;Calc!$Q984&amp;"|"&amp;"1"&amp;RIGHT("00000"&amp;975,5))</f>
        <v/>
      </c>
      <c r="C980">
        <f>IF($B980="","",COUNTIFS(LdgSellerA,$A980,LdgKeyA,"&lt;"&amp;$B980)+COUNTIFS(LdgSellerB,$A980,LdgKeyB,"&lt;"&amp;$B980)+1)</f>
        <v/>
      </c>
      <c r="D980">
        <f>IF($C980="","",$A980&amp;"|"&amp;RIGHT("000000"&amp;$C980,6))</f>
        <v/>
      </c>
      <c r="F980">
        <f>IF(Sync!$AH980="","",IF(LEFT(UPPER(TRIM(Sync!$AH980)),2)="SL",UPPER(TRIM(Sync!$AH980)),""))</f>
        <v/>
      </c>
      <c r="G980">
        <f>IF($F980="","",IF(Sync!$AE980="","",IF(ISNUMBER(Sync!$AE980),IF(AND(Sync!$AE980&gt;=10000101,Sync!$AE980&lt;=99991231),INT(Sync!$AE980/10000),""),IFERROR(VALUE(TRIM(LEFT(Sync!$AE980,FIND("/",Sync!$AE980)-1))),""))))</f>
        <v/>
      </c>
      <c r="H980">
        <f>IF(OR($F980="",$G980=""),"",IF(ISNUMBER(Sync!$AE980),INT(MOD(Sync!$AE980,10000)/100),IFERROR(VALUE(TRIM(LEFT(MID(Sync!$AE980,FIND("/",Sync!$AE980)+1,20),FIND("/",MID(Sync!$AE980,FIND("/",Sync!$AE980)+1,20))-1))),"")))</f>
        <v/>
      </c>
      <c r="I980">
        <f>IF(OR($F980="",$G980=""),"",IF(ISNUMBER(Sync!$AE980),MOD(Sync!$AE980,100),IFERROR(VALUE(TRIM(MID(MID(Sync!$AE980,FIND("/",Sync!$AE980)+1,20),FIND("/",MID(Sync!$AE980,FIND("/",Sync!$AE980)+1,20))+1,20))),"")))</f>
        <v/>
      </c>
      <c r="J980">
        <f>IF($F980="","",IF(OR($G980="",$H980="",$I980="",$G980&lt;1300,$G980&gt;1500,$H980&lt;1,$H980&gt;12,$I980&lt;1,$I980&gt;31),"نامعتبر",RIGHT("0000"&amp;$G980,4)&amp;"/"&amp;RIGHT("00"&amp;$H980,2)&amp;"/"&amp;RIGHT("00"&amp;$I980,2)))</f>
        <v/>
      </c>
      <c r="K980">
        <f>IF(OR($F980="",$J980="",$J980="نامعتبر"),"",LEFT($J980,4)&amp;MID($J980,6,2)&amp;RIGHT($J980,2)&amp;$N980&amp;"|"&amp;"2"&amp;RIGHT("00000"&amp;975,5))</f>
        <v/>
      </c>
      <c r="L980">
        <f>IF($K980="","",COUNTIFS(LdgSellerA,$F980,LdgKeyA,"&lt;"&amp;$K980)+COUNTIFS(LdgSellerB,$F980,LdgKeyB,"&lt;"&amp;$K980)+1)</f>
        <v/>
      </c>
      <c r="M980">
        <f>IF($L980="","",$F980&amp;"|"&amp;RIGHT("000000"&amp;$L980,6))</f>
        <v/>
      </c>
      <c r="N980">
        <f>IF($F980="","",IF(Sync!$AF980="","0000",IF(AND(ISNUMBER(Sync!$AF980),Sync!$AF980&gt;=0,Sync!$AF980&lt;1),RIGHT("00"&amp;HOUR(Sync!$AF980),2)&amp;RIGHT("00"&amp;MINUTE(Sync!$AF980),2),IFERROR(RIGHT("00"&amp;VALUE(LEFT(Sync!$AF980,FIND(":",Sync!$AF980)-1)),2)&amp;RIGHT("00"&amp;VALUE(MID(Sync!$AF980,FIND(":",Sync!$AF980)+1,2)),2),"0000"))))</f>
        <v/>
      </c>
    </row>
    <row r="981">
      <c r="A981">
        <f>IF(OR(Calc!$E985="",Calc!$E985="نامعتبر",Calc!$G985=""),"",Calc!$G985)</f>
        <v/>
      </c>
      <c r="B981">
        <f>IF($A981="","",LEFT(Calc!$E985,4)&amp;MID(Calc!$E985,6,2)&amp;RIGHT(Calc!$E985,2)&amp;Calc!$Q985&amp;"|"&amp;"1"&amp;RIGHT("00000"&amp;976,5))</f>
        <v/>
      </c>
      <c r="C981">
        <f>IF($B981="","",COUNTIFS(LdgSellerA,$A981,LdgKeyA,"&lt;"&amp;$B981)+COUNTIFS(LdgSellerB,$A981,LdgKeyB,"&lt;"&amp;$B981)+1)</f>
        <v/>
      </c>
      <c r="D981">
        <f>IF($C981="","",$A981&amp;"|"&amp;RIGHT("000000"&amp;$C981,6))</f>
        <v/>
      </c>
      <c r="F981">
        <f>IF(Sync!$AH981="","",IF(LEFT(UPPER(TRIM(Sync!$AH981)),2)="SL",UPPER(TRIM(Sync!$AH981)),""))</f>
        <v/>
      </c>
      <c r="G981">
        <f>IF($F981="","",IF(Sync!$AE981="","",IF(ISNUMBER(Sync!$AE981),IF(AND(Sync!$AE981&gt;=10000101,Sync!$AE981&lt;=99991231),INT(Sync!$AE981/10000),""),IFERROR(VALUE(TRIM(LEFT(Sync!$AE981,FIND("/",Sync!$AE981)-1))),""))))</f>
        <v/>
      </c>
      <c r="H981">
        <f>IF(OR($F981="",$G981=""),"",IF(ISNUMBER(Sync!$AE981),INT(MOD(Sync!$AE981,10000)/100),IFERROR(VALUE(TRIM(LEFT(MID(Sync!$AE981,FIND("/",Sync!$AE981)+1,20),FIND("/",MID(Sync!$AE981,FIND("/",Sync!$AE981)+1,20))-1))),"")))</f>
        <v/>
      </c>
      <c r="I981">
        <f>IF(OR($F981="",$G981=""),"",IF(ISNUMBER(Sync!$AE981),MOD(Sync!$AE981,100),IFERROR(VALUE(TRIM(MID(MID(Sync!$AE981,FIND("/",Sync!$AE981)+1,20),FIND("/",MID(Sync!$AE981,FIND("/",Sync!$AE981)+1,20))+1,20))),"")))</f>
        <v/>
      </c>
      <c r="J981">
        <f>IF($F981="","",IF(OR($G981="",$H981="",$I981="",$G981&lt;1300,$G981&gt;1500,$H981&lt;1,$H981&gt;12,$I981&lt;1,$I981&gt;31),"نامعتبر",RIGHT("0000"&amp;$G981,4)&amp;"/"&amp;RIGHT("00"&amp;$H981,2)&amp;"/"&amp;RIGHT("00"&amp;$I981,2)))</f>
        <v/>
      </c>
      <c r="K981">
        <f>IF(OR($F981="",$J981="",$J981="نامعتبر"),"",LEFT($J981,4)&amp;MID($J981,6,2)&amp;RIGHT($J981,2)&amp;$N981&amp;"|"&amp;"2"&amp;RIGHT("00000"&amp;976,5))</f>
        <v/>
      </c>
      <c r="L981">
        <f>IF($K981="","",COUNTIFS(LdgSellerA,$F981,LdgKeyA,"&lt;"&amp;$K981)+COUNTIFS(LdgSellerB,$F981,LdgKeyB,"&lt;"&amp;$K981)+1)</f>
        <v/>
      </c>
      <c r="M981">
        <f>IF($L981="","",$F981&amp;"|"&amp;RIGHT("000000"&amp;$L981,6))</f>
        <v/>
      </c>
      <c r="N981">
        <f>IF($F981="","",IF(Sync!$AF981="","0000",IF(AND(ISNUMBER(Sync!$AF981),Sync!$AF981&gt;=0,Sync!$AF981&lt;1),RIGHT("00"&amp;HOUR(Sync!$AF981),2)&amp;RIGHT("00"&amp;MINUTE(Sync!$AF981),2),IFERROR(RIGHT("00"&amp;VALUE(LEFT(Sync!$AF981,FIND(":",Sync!$AF981)-1)),2)&amp;RIGHT("00"&amp;VALUE(MID(Sync!$AF981,FIND(":",Sync!$AF981)+1,2)),2),"0000"))))</f>
        <v/>
      </c>
    </row>
    <row r="982">
      <c r="A982">
        <f>IF(OR(Calc!$E986="",Calc!$E986="نامعتبر",Calc!$G986=""),"",Calc!$G986)</f>
        <v/>
      </c>
      <c r="B982">
        <f>IF($A982="","",LEFT(Calc!$E986,4)&amp;MID(Calc!$E986,6,2)&amp;RIGHT(Calc!$E986,2)&amp;Calc!$Q986&amp;"|"&amp;"1"&amp;RIGHT("00000"&amp;977,5))</f>
        <v/>
      </c>
      <c r="C982">
        <f>IF($B982="","",COUNTIFS(LdgSellerA,$A982,LdgKeyA,"&lt;"&amp;$B982)+COUNTIFS(LdgSellerB,$A982,LdgKeyB,"&lt;"&amp;$B982)+1)</f>
        <v/>
      </c>
      <c r="D982">
        <f>IF($C982="","",$A982&amp;"|"&amp;RIGHT("000000"&amp;$C982,6))</f>
        <v/>
      </c>
      <c r="F982">
        <f>IF(Sync!$AH982="","",IF(LEFT(UPPER(TRIM(Sync!$AH982)),2)="SL",UPPER(TRIM(Sync!$AH982)),""))</f>
        <v/>
      </c>
      <c r="G982">
        <f>IF($F982="","",IF(Sync!$AE982="","",IF(ISNUMBER(Sync!$AE982),IF(AND(Sync!$AE982&gt;=10000101,Sync!$AE982&lt;=99991231),INT(Sync!$AE982/10000),""),IFERROR(VALUE(TRIM(LEFT(Sync!$AE982,FIND("/",Sync!$AE982)-1))),""))))</f>
        <v/>
      </c>
      <c r="H982">
        <f>IF(OR($F982="",$G982=""),"",IF(ISNUMBER(Sync!$AE982),INT(MOD(Sync!$AE982,10000)/100),IFERROR(VALUE(TRIM(LEFT(MID(Sync!$AE982,FIND("/",Sync!$AE982)+1,20),FIND("/",MID(Sync!$AE982,FIND("/",Sync!$AE982)+1,20))-1))),"")))</f>
        <v/>
      </c>
      <c r="I982">
        <f>IF(OR($F982="",$G982=""),"",IF(ISNUMBER(Sync!$AE982),MOD(Sync!$AE982,100),IFERROR(VALUE(TRIM(MID(MID(Sync!$AE982,FIND("/",Sync!$AE982)+1,20),FIND("/",MID(Sync!$AE982,FIND("/",Sync!$AE982)+1,20))+1,20))),"")))</f>
        <v/>
      </c>
      <c r="J982">
        <f>IF($F982="","",IF(OR($G982="",$H982="",$I982="",$G982&lt;1300,$G982&gt;1500,$H982&lt;1,$H982&gt;12,$I982&lt;1,$I982&gt;31),"نامعتبر",RIGHT("0000"&amp;$G982,4)&amp;"/"&amp;RIGHT("00"&amp;$H982,2)&amp;"/"&amp;RIGHT("00"&amp;$I982,2)))</f>
        <v/>
      </c>
      <c r="K982">
        <f>IF(OR($F982="",$J982="",$J982="نامعتبر"),"",LEFT($J982,4)&amp;MID($J982,6,2)&amp;RIGHT($J982,2)&amp;$N982&amp;"|"&amp;"2"&amp;RIGHT("00000"&amp;977,5))</f>
        <v/>
      </c>
      <c r="L982">
        <f>IF($K982="","",COUNTIFS(LdgSellerA,$F982,LdgKeyA,"&lt;"&amp;$K982)+COUNTIFS(LdgSellerB,$F982,LdgKeyB,"&lt;"&amp;$K982)+1)</f>
        <v/>
      </c>
      <c r="M982">
        <f>IF($L982="","",$F982&amp;"|"&amp;RIGHT("000000"&amp;$L982,6))</f>
        <v/>
      </c>
      <c r="N982">
        <f>IF($F982="","",IF(Sync!$AF982="","0000",IF(AND(ISNUMBER(Sync!$AF982),Sync!$AF982&gt;=0,Sync!$AF982&lt;1),RIGHT("00"&amp;HOUR(Sync!$AF982),2)&amp;RIGHT("00"&amp;MINUTE(Sync!$AF982),2),IFERROR(RIGHT("00"&amp;VALUE(LEFT(Sync!$AF982,FIND(":",Sync!$AF982)-1)),2)&amp;RIGHT("00"&amp;VALUE(MID(Sync!$AF982,FIND(":",Sync!$AF982)+1,2)),2),"0000"))))</f>
        <v/>
      </c>
    </row>
    <row r="983">
      <c r="A983">
        <f>IF(OR(Calc!$E987="",Calc!$E987="نامعتبر",Calc!$G987=""),"",Calc!$G987)</f>
        <v/>
      </c>
      <c r="B983">
        <f>IF($A983="","",LEFT(Calc!$E987,4)&amp;MID(Calc!$E987,6,2)&amp;RIGHT(Calc!$E987,2)&amp;Calc!$Q987&amp;"|"&amp;"1"&amp;RIGHT("00000"&amp;978,5))</f>
        <v/>
      </c>
      <c r="C983">
        <f>IF($B983="","",COUNTIFS(LdgSellerA,$A983,LdgKeyA,"&lt;"&amp;$B983)+COUNTIFS(LdgSellerB,$A983,LdgKeyB,"&lt;"&amp;$B983)+1)</f>
        <v/>
      </c>
      <c r="D983">
        <f>IF($C983="","",$A983&amp;"|"&amp;RIGHT("000000"&amp;$C983,6))</f>
        <v/>
      </c>
      <c r="F983">
        <f>IF(Sync!$AH983="","",IF(LEFT(UPPER(TRIM(Sync!$AH983)),2)="SL",UPPER(TRIM(Sync!$AH983)),""))</f>
        <v/>
      </c>
      <c r="G983">
        <f>IF($F983="","",IF(Sync!$AE983="","",IF(ISNUMBER(Sync!$AE983),IF(AND(Sync!$AE983&gt;=10000101,Sync!$AE983&lt;=99991231),INT(Sync!$AE983/10000),""),IFERROR(VALUE(TRIM(LEFT(Sync!$AE983,FIND("/",Sync!$AE983)-1))),""))))</f>
        <v/>
      </c>
      <c r="H983">
        <f>IF(OR($F983="",$G983=""),"",IF(ISNUMBER(Sync!$AE983),INT(MOD(Sync!$AE983,10000)/100),IFERROR(VALUE(TRIM(LEFT(MID(Sync!$AE983,FIND("/",Sync!$AE983)+1,20),FIND("/",MID(Sync!$AE983,FIND("/",Sync!$AE983)+1,20))-1))),"")))</f>
        <v/>
      </c>
      <c r="I983">
        <f>IF(OR($F983="",$G983=""),"",IF(ISNUMBER(Sync!$AE983),MOD(Sync!$AE983,100),IFERROR(VALUE(TRIM(MID(MID(Sync!$AE983,FIND("/",Sync!$AE983)+1,20),FIND("/",MID(Sync!$AE983,FIND("/",Sync!$AE983)+1,20))+1,20))),"")))</f>
        <v/>
      </c>
      <c r="J983">
        <f>IF($F983="","",IF(OR($G983="",$H983="",$I983="",$G983&lt;1300,$G983&gt;1500,$H983&lt;1,$H983&gt;12,$I983&lt;1,$I983&gt;31),"نامعتبر",RIGHT("0000"&amp;$G983,4)&amp;"/"&amp;RIGHT("00"&amp;$H983,2)&amp;"/"&amp;RIGHT("00"&amp;$I983,2)))</f>
        <v/>
      </c>
      <c r="K983">
        <f>IF(OR($F983="",$J983="",$J983="نامعتبر"),"",LEFT($J983,4)&amp;MID($J983,6,2)&amp;RIGHT($J983,2)&amp;$N983&amp;"|"&amp;"2"&amp;RIGHT("00000"&amp;978,5))</f>
        <v/>
      </c>
      <c r="L983">
        <f>IF($K983="","",COUNTIFS(LdgSellerA,$F983,LdgKeyA,"&lt;"&amp;$K983)+COUNTIFS(LdgSellerB,$F983,LdgKeyB,"&lt;"&amp;$K983)+1)</f>
        <v/>
      </c>
      <c r="M983">
        <f>IF($L983="","",$F983&amp;"|"&amp;RIGHT("000000"&amp;$L983,6))</f>
        <v/>
      </c>
      <c r="N983">
        <f>IF($F983="","",IF(Sync!$AF983="","0000",IF(AND(ISNUMBER(Sync!$AF983),Sync!$AF983&gt;=0,Sync!$AF983&lt;1),RIGHT("00"&amp;HOUR(Sync!$AF983),2)&amp;RIGHT("00"&amp;MINUTE(Sync!$AF983),2),IFERROR(RIGHT("00"&amp;VALUE(LEFT(Sync!$AF983,FIND(":",Sync!$AF983)-1)),2)&amp;RIGHT("00"&amp;VALUE(MID(Sync!$AF983,FIND(":",Sync!$AF983)+1,2)),2),"0000"))))</f>
        <v/>
      </c>
    </row>
    <row r="984">
      <c r="A984">
        <f>IF(OR(Calc!$E988="",Calc!$E988="نامعتبر",Calc!$G988=""),"",Calc!$G988)</f>
        <v/>
      </c>
      <c r="B984">
        <f>IF($A984="","",LEFT(Calc!$E988,4)&amp;MID(Calc!$E988,6,2)&amp;RIGHT(Calc!$E988,2)&amp;Calc!$Q988&amp;"|"&amp;"1"&amp;RIGHT("00000"&amp;979,5))</f>
        <v/>
      </c>
      <c r="C984">
        <f>IF($B984="","",COUNTIFS(LdgSellerA,$A984,LdgKeyA,"&lt;"&amp;$B984)+COUNTIFS(LdgSellerB,$A984,LdgKeyB,"&lt;"&amp;$B984)+1)</f>
        <v/>
      </c>
      <c r="D984">
        <f>IF($C984="","",$A984&amp;"|"&amp;RIGHT("000000"&amp;$C984,6))</f>
        <v/>
      </c>
      <c r="F984">
        <f>IF(Sync!$AH984="","",IF(LEFT(UPPER(TRIM(Sync!$AH984)),2)="SL",UPPER(TRIM(Sync!$AH984)),""))</f>
        <v/>
      </c>
      <c r="G984">
        <f>IF($F984="","",IF(Sync!$AE984="","",IF(ISNUMBER(Sync!$AE984),IF(AND(Sync!$AE984&gt;=10000101,Sync!$AE984&lt;=99991231),INT(Sync!$AE984/10000),""),IFERROR(VALUE(TRIM(LEFT(Sync!$AE984,FIND("/",Sync!$AE984)-1))),""))))</f>
        <v/>
      </c>
      <c r="H984">
        <f>IF(OR($F984="",$G984=""),"",IF(ISNUMBER(Sync!$AE984),INT(MOD(Sync!$AE984,10000)/100),IFERROR(VALUE(TRIM(LEFT(MID(Sync!$AE984,FIND("/",Sync!$AE984)+1,20),FIND("/",MID(Sync!$AE984,FIND("/",Sync!$AE984)+1,20))-1))),"")))</f>
        <v/>
      </c>
      <c r="I984">
        <f>IF(OR($F984="",$G984=""),"",IF(ISNUMBER(Sync!$AE984),MOD(Sync!$AE984,100),IFERROR(VALUE(TRIM(MID(MID(Sync!$AE984,FIND("/",Sync!$AE984)+1,20),FIND("/",MID(Sync!$AE984,FIND("/",Sync!$AE984)+1,20))+1,20))),"")))</f>
        <v/>
      </c>
      <c r="J984">
        <f>IF($F984="","",IF(OR($G984="",$H984="",$I984="",$G984&lt;1300,$G984&gt;1500,$H984&lt;1,$H984&gt;12,$I984&lt;1,$I984&gt;31),"نامعتبر",RIGHT("0000"&amp;$G984,4)&amp;"/"&amp;RIGHT("00"&amp;$H984,2)&amp;"/"&amp;RIGHT("00"&amp;$I984,2)))</f>
        <v/>
      </c>
      <c r="K984">
        <f>IF(OR($F984="",$J984="",$J984="نامعتبر"),"",LEFT($J984,4)&amp;MID($J984,6,2)&amp;RIGHT($J984,2)&amp;$N984&amp;"|"&amp;"2"&amp;RIGHT("00000"&amp;979,5))</f>
        <v/>
      </c>
      <c r="L984">
        <f>IF($K984="","",COUNTIFS(LdgSellerA,$F984,LdgKeyA,"&lt;"&amp;$K984)+COUNTIFS(LdgSellerB,$F984,LdgKeyB,"&lt;"&amp;$K984)+1)</f>
        <v/>
      </c>
      <c r="M984">
        <f>IF($L984="","",$F984&amp;"|"&amp;RIGHT("000000"&amp;$L984,6))</f>
        <v/>
      </c>
      <c r="N984">
        <f>IF($F984="","",IF(Sync!$AF984="","0000",IF(AND(ISNUMBER(Sync!$AF984),Sync!$AF984&gt;=0,Sync!$AF984&lt;1),RIGHT("00"&amp;HOUR(Sync!$AF984),2)&amp;RIGHT("00"&amp;MINUTE(Sync!$AF984),2),IFERROR(RIGHT("00"&amp;VALUE(LEFT(Sync!$AF984,FIND(":",Sync!$AF984)-1)),2)&amp;RIGHT("00"&amp;VALUE(MID(Sync!$AF984,FIND(":",Sync!$AF984)+1,2)),2),"0000"))))</f>
        <v/>
      </c>
    </row>
    <row r="985">
      <c r="A985">
        <f>IF(OR(Calc!$E989="",Calc!$E989="نامعتبر",Calc!$G989=""),"",Calc!$G989)</f>
        <v/>
      </c>
      <c r="B985">
        <f>IF($A985="","",LEFT(Calc!$E989,4)&amp;MID(Calc!$E989,6,2)&amp;RIGHT(Calc!$E989,2)&amp;Calc!$Q989&amp;"|"&amp;"1"&amp;RIGHT("00000"&amp;980,5))</f>
        <v/>
      </c>
      <c r="C985">
        <f>IF($B985="","",COUNTIFS(LdgSellerA,$A985,LdgKeyA,"&lt;"&amp;$B985)+COUNTIFS(LdgSellerB,$A985,LdgKeyB,"&lt;"&amp;$B985)+1)</f>
        <v/>
      </c>
      <c r="D985">
        <f>IF($C985="","",$A985&amp;"|"&amp;RIGHT("000000"&amp;$C985,6))</f>
        <v/>
      </c>
      <c r="F985">
        <f>IF(Sync!$AH985="","",IF(LEFT(UPPER(TRIM(Sync!$AH985)),2)="SL",UPPER(TRIM(Sync!$AH985)),""))</f>
        <v/>
      </c>
      <c r="G985">
        <f>IF($F985="","",IF(Sync!$AE985="","",IF(ISNUMBER(Sync!$AE985),IF(AND(Sync!$AE985&gt;=10000101,Sync!$AE985&lt;=99991231),INT(Sync!$AE985/10000),""),IFERROR(VALUE(TRIM(LEFT(Sync!$AE985,FIND("/",Sync!$AE985)-1))),""))))</f>
        <v/>
      </c>
      <c r="H985">
        <f>IF(OR($F985="",$G985=""),"",IF(ISNUMBER(Sync!$AE985),INT(MOD(Sync!$AE985,10000)/100),IFERROR(VALUE(TRIM(LEFT(MID(Sync!$AE985,FIND("/",Sync!$AE985)+1,20),FIND("/",MID(Sync!$AE985,FIND("/",Sync!$AE985)+1,20))-1))),"")))</f>
        <v/>
      </c>
      <c r="I985">
        <f>IF(OR($F985="",$G985=""),"",IF(ISNUMBER(Sync!$AE985),MOD(Sync!$AE985,100),IFERROR(VALUE(TRIM(MID(MID(Sync!$AE985,FIND("/",Sync!$AE985)+1,20),FIND("/",MID(Sync!$AE985,FIND("/",Sync!$AE985)+1,20))+1,20))),"")))</f>
        <v/>
      </c>
      <c r="J985">
        <f>IF($F985="","",IF(OR($G985="",$H985="",$I985="",$G985&lt;1300,$G985&gt;1500,$H985&lt;1,$H985&gt;12,$I985&lt;1,$I985&gt;31),"نامعتبر",RIGHT("0000"&amp;$G985,4)&amp;"/"&amp;RIGHT("00"&amp;$H985,2)&amp;"/"&amp;RIGHT("00"&amp;$I985,2)))</f>
        <v/>
      </c>
      <c r="K985">
        <f>IF(OR($F985="",$J985="",$J985="نامعتبر"),"",LEFT($J985,4)&amp;MID($J985,6,2)&amp;RIGHT($J985,2)&amp;$N985&amp;"|"&amp;"2"&amp;RIGHT("00000"&amp;980,5))</f>
        <v/>
      </c>
      <c r="L985">
        <f>IF($K985="","",COUNTIFS(LdgSellerA,$F985,LdgKeyA,"&lt;"&amp;$K985)+COUNTIFS(LdgSellerB,$F985,LdgKeyB,"&lt;"&amp;$K985)+1)</f>
        <v/>
      </c>
      <c r="M985">
        <f>IF($L985="","",$F985&amp;"|"&amp;RIGHT("000000"&amp;$L985,6))</f>
        <v/>
      </c>
      <c r="N985">
        <f>IF($F985="","",IF(Sync!$AF985="","0000",IF(AND(ISNUMBER(Sync!$AF985),Sync!$AF985&gt;=0,Sync!$AF985&lt;1),RIGHT("00"&amp;HOUR(Sync!$AF985),2)&amp;RIGHT("00"&amp;MINUTE(Sync!$AF985),2),IFERROR(RIGHT("00"&amp;VALUE(LEFT(Sync!$AF985,FIND(":",Sync!$AF985)-1)),2)&amp;RIGHT("00"&amp;VALUE(MID(Sync!$AF985,FIND(":",Sync!$AF985)+1,2)),2),"0000"))))</f>
        <v/>
      </c>
    </row>
    <row r="986">
      <c r="A986">
        <f>IF(OR(Calc!$E990="",Calc!$E990="نامعتبر",Calc!$G990=""),"",Calc!$G990)</f>
        <v/>
      </c>
      <c r="B986">
        <f>IF($A986="","",LEFT(Calc!$E990,4)&amp;MID(Calc!$E990,6,2)&amp;RIGHT(Calc!$E990,2)&amp;Calc!$Q990&amp;"|"&amp;"1"&amp;RIGHT("00000"&amp;981,5))</f>
        <v/>
      </c>
      <c r="C986">
        <f>IF($B986="","",COUNTIFS(LdgSellerA,$A986,LdgKeyA,"&lt;"&amp;$B986)+COUNTIFS(LdgSellerB,$A986,LdgKeyB,"&lt;"&amp;$B986)+1)</f>
        <v/>
      </c>
      <c r="D986">
        <f>IF($C986="","",$A986&amp;"|"&amp;RIGHT("000000"&amp;$C986,6))</f>
        <v/>
      </c>
      <c r="F986">
        <f>IF(Sync!$AH986="","",IF(LEFT(UPPER(TRIM(Sync!$AH986)),2)="SL",UPPER(TRIM(Sync!$AH986)),""))</f>
        <v/>
      </c>
      <c r="G986">
        <f>IF($F986="","",IF(Sync!$AE986="","",IF(ISNUMBER(Sync!$AE986),IF(AND(Sync!$AE986&gt;=10000101,Sync!$AE986&lt;=99991231),INT(Sync!$AE986/10000),""),IFERROR(VALUE(TRIM(LEFT(Sync!$AE986,FIND("/",Sync!$AE986)-1))),""))))</f>
        <v/>
      </c>
      <c r="H986">
        <f>IF(OR($F986="",$G986=""),"",IF(ISNUMBER(Sync!$AE986),INT(MOD(Sync!$AE986,10000)/100),IFERROR(VALUE(TRIM(LEFT(MID(Sync!$AE986,FIND("/",Sync!$AE986)+1,20),FIND("/",MID(Sync!$AE986,FIND("/",Sync!$AE986)+1,20))-1))),"")))</f>
        <v/>
      </c>
      <c r="I986">
        <f>IF(OR($F986="",$G986=""),"",IF(ISNUMBER(Sync!$AE986),MOD(Sync!$AE986,100),IFERROR(VALUE(TRIM(MID(MID(Sync!$AE986,FIND("/",Sync!$AE986)+1,20),FIND("/",MID(Sync!$AE986,FIND("/",Sync!$AE986)+1,20))+1,20))),"")))</f>
        <v/>
      </c>
      <c r="J986">
        <f>IF($F986="","",IF(OR($G986="",$H986="",$I986="",$G986&lt;1300,$G986&gt;1500,$H986&lt;1,$H986&gt;12,$I986&lt;1,$I986&gt;31),"نامعتبر",RIGHT("0000"&amp;$G986,4)&amp;"/"&amp;RIGHT("00"&amp;$H986,2)&amp;"/"&amp;RIGHT("00"&amp;$I986,2)))</f>
        <v/>
      </c>
      <c r="K986">
        <f>IF(OR($F986="",$J986="",$J986="نامعتبر"),"",LEFT($J986,4)&amp;MID($J986,6,2)&amp;RIGHT($J986,2)&amp;$N986&amp;"|"&amp;"2"&amp;RIGHT("00000"&amp;981,5))</f>
        <v/>
      </c>
      <c r="L986">
        <f>IF($K986="","",COUNTIFS(LdgSellerA,$F986,LdgKeyA,"&lt;"&amp;$K986)+COUNTIFS(LdgSellerB,$F986,LdgKeyB,"&lt;"&amp;$K986)+1)</f>
        <v/>
      </c>
      <c r="M986">
        <f>IF($L986="","",$F986&amp;"|"&amp;RIGHT("000000"&amp;$L986,6))</f>
        <v/>
      </c>
      <c r="N986">
        <f>IF($F986="","",IF(Sync!$AF986="","0000",IF(AND(ISNUMBER(Sync!$AF986),Sync!$AF986&gt;=0,Sync!$AF986&lt;1),RIGHT("00"&amp;HOUR(Sync!$AF986),2)&amp;RIGHT("00"&amp;MINUTE(Sync!$AF986),2),IFERROR(RIGHT("00"&amp;VALUE(LEFT(Sync!$AF986,FIND(":",Sync!$AF986)-1)),2)&amp;RIGHT("00"&amp;VALUE(MID(Sync!$AF986,FIND(":",Sync!$AF986)+1,2)),2),"0000"))))</f>
        <v/>
      </c>
    </row>
    <row r="987">
      <c r="A987">
        <f>IF(OR(Calc!$E991="",Calc!$E991="نامعتبر",Calc!$G991=""),"",Calc!$G991)</f>
        <v/>
      </c>
      <c r="B987">
        <f>IF($A987="","",LEFT(Calc!$E991,4)&amp;MID(Calc!$E991,6,2)&amp;RIGHT(Calc!$E991,2)&amp;Calc!$Q991&amp;"|"&amp;"1"&amp;RIGHT("00000"&amp;982,5))</f>
        <v/>
      </c>
      <c r="C987">
        <f>IF($B987="","",COUNTIFS(LdgSellerA,$A987,LdgKeyA,"&lt;"&amp;$B987)+COUNTIFS(LdgSellerB,$A987,LdgKeyB,"&lt;"&amp;$B987)+1)</f>
        <v/>
      </c>
      <c r="D987">
        <f>IF($C987="","",$A987&amp;"|"&amp;RIGHT("000000"&amp;$C987,6))</f>
        <v/>
      </c>
      <c r="F987">
        <f>IF(Sync!$AH987="","",IF(LEFT(UPPER(TRIM(Sync!$AH987)),2)="SL",UPPER(TRIM(Sync!$AH987)),""))</f>
        <v/>
      </c>
      <c r="G987">
        <f>IF($F987="","",IF(Sync!$AE987="","",IF(ISNUMBER(Sync!$AE987),IF(AND(Sync!$AE987&gt;=10000101,Sync!$AE987&lt;=99991231),INT(Sync!$AE987/10000),""),IFERROR(VALUE(TRIM(LEFT(Sync!$AE987,FIND("/",Sync!$AE987)-1))),""))))</f>
        <v/>
      </c>
      <c r="H987">
        <f>IF(OR($F987="",$G987=""),"",IF(ISNUMBER(Sync!$AE987),INT(MOD(Sync!$AE987,10000)/100),IFERROR(VALUE(TRIM(LEFT(MID(Sync!$AE987,FIND("/",Sync!$AE987)+1,20),FIND("/",MID(Sync!$AE987,FIND("/",Sync!$AE987)+1,20))-1))),"")))</f>
        <v/>
      </c>
      <c r="I987">
        <f>IF(OR($F987="",$G987=""),"",IF(ISNUMBER(Sync!$AE987),MOD(Sync!$AE987,100),IFERROR(VALUE(TRIM(MID(MID(Sync!$AE987,FIND("/",Sync!$AE987)+1,20),FIND("/",MID(Sync!$AE987,FIND("/",Sync!$AE987)+1,20))+1,20))),"")))</f>
        <v/>
      </c>
      <c r="J987">
        <f>IF($F987="","",IF(OR($G987="",$H987="",$I987="",$G987&lt;1300,$G987&gt;1500,$H987&lt;1,$H987&gt;12,$I987&lt;1,$I987&gt;31),"نامعتبر",RIGHT("0000"&amp;$G987,4)&amp;"/"&amp;RIGHT("00"&amp;$H987,2)&amp;"/"&amp;RIGHT("00"&amp;$I987,2)))</f>
        <v/>
      </c>
      <c r="K987">
        <f>IF(OR($F987="",$J987="",$J987="نامعتبر"),"",LEFT($J987,4)&amp;MID($J987,6,2)&amp;RIGHT($J987,2)&amp;$N987&amp;"|"&amp;"2"&amp;RIGHT("00000"&amp;982,5))</f>
        <v/>
      </c>
      <c r="L987">
        <f>IF($K987="","",COUNTIFS(LdgSellerA,$F987,LdgKeyA,"&lt;"&amp;$K987)+COUNTIFS(LdgSellerB,$F987,LdgKeyB,"&lt;"&amp;$K987)+1)</f>
        <v/>
      </c>
      <c r="M987">
        <f>IF($L987="","",$F987&amp;"|"&amp;RIGHT("000000"&amp;$L987,6))</f>
        <v/>
      </c>
      <c r="N987">
        <f>IF($F987="","",IF(Sync!$AF987="","0000",IF(AND(ISNUMBER(Sync!$AF987),Sync!$AF987&gt;=0,Sync!$AF987&lt;1),RIGHT("00"&amp;HOUR(Sync!$AF987),2)&amp;RIGHT("00"&amp;MINUTE(Sync!$AF987),2),IFERROR(RIGHT("00"&amp;VALUE(LEFT(Sync!$AF987,FIND(":",Sync!$AF987)-1)),2)&amp;RIGHT("00"&amp;VALUE(MID(Sync!$AF987,FIND(":",Sync!$AF987)+1,2)),2),"0000"))))</f>
        <v/>
      </c>
    </row>
    <row r="988">
      <c r="A988">
        <f>IF(OR(Calc!$E992="",Calc!$E992="نامعتبر",Calc!$G992=""),"",Calc!$G992)</f>
        <v/>
      </c>
      <c r="B988">
        <f>IF($A988="","",LEFT(Calc!$E992,4)&amp;MID(Calc!$E992,6,2)&amp;RIGHT(Calc!$E992,2)&amp;Calc!$Q992&amp;"|"&amp;"1"&amp;RIGHT("00000"&amp;983,5))</f>
        <v/>
      </c>
      <c r="C988">
        <f>IF($B988="","",COUNTIFS(LdgSellerA,$A988,LdgKeyA,"&lt;"&amp;$B988)+COUNTIFS(LdgSellerB,$A988,LdgKeyB,"&lt;"&amp;$B988)+1)</f>
        <v/>
      </c>
      <c r="D988">
        <f>IF($C988="","",$A988&amp;"|"&amp;RIGHT("000000"&amp;$C988,6))</f>
        <v/>
      </c>
      <c r="F988">
        <f>IF(Sync!$AH988="","",IF(LEFT(UPPER(TRIM(Sync!$AH988)),2)="SL",UPPER(TRIM(Sync!$AH988)),""))</f>
        <v/>
      </c>
      <c r="G988">
        <f>IF($F988="","",IF(Sync!$AE988="","",IF(ISNUMBER(Sync!$AE988),IF(AND(Sync!$AE988&gt;=10000101,Sync!$AE988&lt;=99991231),INT(Sync!$AE988/10000),""),IFERROR(VALUE(TRIM(LEFT(Sync!$AE988,FIND("/",Sync!$AE988)-1))),""))))</f>
        <v/>
      </c>
      <c r="H988">
        <f>IF(OR($F988="",$G988=""),"",IF(ISNUMBER(Sync!$AE988),INT(MOD(Sync!$AE988,10000)/100),IFERROR(VALUE(TRIM(LEFT(MID(Sync!$AE988,FIND("/",Sync!$AE988)+1,20),FIND("/",MID(Sync!$AE988,FIND("/",Sync!$AE988)+1,20))-1))),"")))</f>
        <v/>
      </c>
      <c r="I988">
        <f>IF(OR($F988="",$G988=""),"",IF(ISNUMBER(Sync!$AE988),MOD(Sync!$AE988,100),IFERROR(VALUE(TRIM(MID(MID(Sync!$AE988,FIND("/",Sync!$AE988)+1,20),FIND("/",MID(Sync!$AE988,FIND("/",Sync!$AE988)+1,20))+1,20))),"")))</f>
        <v/>
      </c>
      <c r="J988">
        <f>IF($F988="","",IF(OR($G988="",$H988="",$I988="",$G988&lt;1300,$G988&gt;1500,$H988&lt;1,$H988&gt;12,$I988&lt;1,$I988&gt;31),"نامعتبر",RIGHT("0000"&amp;$G988,4)&amp;"/"&amp;RIGHT("00"&amp;$H988,2)&amp;"/"&amp;RIGHT("00"&amp;$I988,2)))</f>
        <v/>
      </c>
      <c r="K988">
        <f>IF(OR($F988="",$J988="",$J988="نامعتبر"),"",LEFT($J988,4)&amp;MID($J988,6,2)&amp;RIGHT($J988,2)&amp;$N988&amp;"|"&amp;"2"&amp;RIGHT("00000"&amp;983,5))</f>
        <v/>
      </c>
      <c r="L988">
        <f>IF($K988="","",COUNTIFS(LdgSellerA,$F988,LdgKeyA,"&lt;"&amp;$K988)+COUNTIFS(LdgSellerB,$F988,LdgKeyB,"&lt;"&amp;$K988)+1)</f>
        <v/>
      </c>
      <c r="M988">
        <f>IF($L988="","",$F988&amp;"|"&amp;RIGHT("000000"&amp;$L988,6))</f>
        <v/>
      </c>
      <c r="N988">
        <f>IF($F988="","",IF(Sync!$AF988="","0000",IF(AND(ISNUMBER(Sync!$AF988),Sync!$AF988&gt;=0,Sync!$AF988&lt;1),RIGHT("00"&amp;HOUR(Sync!$AF988),2)&amp;RIGHT("00"&amp;MINUTE(Sync!$AF988),2),IFERROR(RIGHT("00"&amp;VALUE(LEFT(Sync!$AF988,FIND(":",Sync!$AF988)-1)),2)&amp;RIGHT("00"&amp;VALUE(MID(Sync!$AF988,FIND(":",Sync!$AF988)+1,2)),2),"0000"))))</f>
        <v/>
      </c>
    </row>
    <row r="989">
      <c r="A989">
        <f>IF(OR(Calc!$E993="",Calc!$E993="نامعتبر",Calc!$G993=""),"",Calc!$G993)</f>
        <v/>
      </c>
      <c r="B989">
        <f>IF($A989="","",LEFT(Calc!$E993,4)&amp;MID(Calc!$E993,6,2)&amp;RIGHT(Calc!$E993,2)&amp;Calc!$Q993&amp;"|"&amp;"1"&amp;RIGHT("00000"&amp;984,5))</f>
        <v/>
      </c>
      <c r="C989">
        <f>IF($B989="","",COUNTIFS(LdgSellerA,$A989,LdgKeyA,"&lt;"&amp;$B989)+COUNTIFS(LdgSellerB,$A989,LdgKeyB,"&lt;"&amp;$B989)+1)</f>
        <v/>
      </c>
      <c r="D989">
        <f>IF($C989="","",$A989&amp;"|"&amp;RIGHT("000000"&amp;$C989,6))</f>
        <v/>
      </c>
      <c r="F989">
        <f>IF(Sync!$AH989="","",IF(LEFT(UPPER(TRIM(Sync!$AH989)),2)="SL",UPPER(TRIM(Sync!$AH989)),""))</f>
        <v/>
      </c>
      <c r="G989">
        <f>IF($F989="","",IF(Sync!$AE989="","",IF(ISNUMBER(Sync!$AE989),IF(AND(Sync!$AE989&gt;=10000101,Sync!$AE989&lt;=99991231),INT(Sync!$AE989/10000),""),IFERROR(VALUE(TRIM(LEFT(Sync!$AE989,FIND("/",Sync!$AE989)-1))),""))))</f>
        <v/>
      </c>
      <c r="H989">
        <f>IF(OR($F989="",$G989=""),"",IF(ISNUMBER(Sync!$AE989),INT(MOD(Sync!$AE989,10000)/100),IFERROR(VALUE(TRIM(LEFT(MID(Sync!$AE989,FIND("/",Sync!$AE989)+1,20),FIND("/",MID(Sync!$AE989,FIND("/",Sync!$AE989)+1,20))-1))),"")))</f>
        <v/>
      </c>
      <c r="I989">
        <f>IF(OR($F989="",$G989=""),"",IF(ISNUMBER(Sync!$AE989),MOD(Sync!$AE989,100),IFERROR(VALUE(TRIM(MID(MID(Sync!$AE989,FIND("/",Sync!$AE989)+1,20),FIND("/",MID(Sync!$AE989,FIND("/",Sync!$AE989)+1,20))+1,20))),"")))</f>
        <v/>
      </c>
      <c r="J989">
        <f>IF($F989="","",IF(OR($G989="",$H989="",$I989="",$G989&lt;1300,$G989&gt;1500,$H989&lt;1,$H989&gt;12,$I989&lt;1,$I989&gt;31),"نامعتبر",RIGHT("0000"&amp;$G989,4)&amp;"/"&amp;RIGHT("00"&amp;$H989,2)&amp;"/"&amp;RIGHT("00"&amp;$I989,2)))</f>
        <v/>
      </c>
      <c r="K989">
        <f>IF(OR($F989="",$J989="",$J989="نامعتبر"),"",LEFT($J989,4)&amp;MID($J989,6,2)&amp;RIGHT($J989,2)&amp;$N989&amp;"|"&amp;"2"&amp;RIGHT("00000"&amp;984,5))</f>
        <v/>
      </c>
      <c r="L989">
        <f>IF($K989="","",COUNTIFS(LdgSellerA,$F989,LdgKeyA,"&lt;"&amp;$K989)+COUNTIFS(LdgSellerB,$F989,LdgKeyB,"&lt;"&amp;$K989)+1)</f>
        <v/>
      </c>
      <c r="M989">
        <f>IF($L989="","",$F989&amp;"|"&amp;RIGHT("000000"&amp;$L989,6))</f>
        <v/>
      </c>
      <c r="N989">
        <f>IF($F989="","",IF(Sync!$AF989="","0000",IF(AND(ISNUMBER(Sync!$AF989),Sync!$AF989&gt;=0,Sync!$AF989&lt;1),RIGHT("00"&amp;HOUR(Sync!$AF989),2)&amp;RIGHT("00"&amp;MINUTE(Sync!$AF989),2),IFERROR(RIGHT("00"&amp;VALUE(LEFT(Sync!$AF989,FIND(":",Sync!$AF989)-1)),2)&amp;RIGHT("00"&amp;VALUE(MID(Sync!$AF989,FIND(":",Sync!$AF989)+1,2)),2),"0000"))))</f>
        <v/>
      </c>
    </row>
    <row r="990">
      <c r="A990">
        <f>IF(OR(Calc!$E994="",Calc!$E994="نامعتبر",Calc!$G994=""),"",Calc!$G994)</f>
        <v/>
      </c>
      <c r="B990">
        <f>IF($A990="","",LEFT(Calc!$E994,4)&amp;MID(Calc!$E994,6,2)&amp;RIGHT(Calc!$E994,2)&amp;Calc!$Q994&amp;"|"&amp;"1"&amp;RIGHT("00000"&amp;985,5))</f>
        <v/>
      </c>
      <c r="C990">
        <f>IF($B990="","",COUNTIFS(LdgSellerA,$A990,LdgKeyA,"&lt;"&amp;$B990)+COUNTIFS(LdgSellerB,$A990,LdgKeyB,"&lt;"&amp;$B990)+1)</f>
        <v/>
      </c>
      <c r="D990">
        <f>IF($C990="","",$A990&amp;"|"&amp;RIGHT("000000"&amp;$C990,6))</f>
        <v/>
      </c>
      <c r="F990">
        <f>IF(Sync!$AH990="","",IF(LEFT(UPPER(TRIM(Sync!$AH990)),2)="SL",UPPER(TRIM(Sync!$AH990)),""))</f>
        <v/>
      </c>
      <c r="G990">
        <f>IF($F990="","",IF(Sync!$AE990="","",IF(ISNUMBER(Sync!$AE990),IF(AND(Sync!$AE990&gt;=10000101,Sync!$AE990&lt;=99991231),INT(Sync!$AE990/10000),""),IFERROR(VALUE(TRIM(LEFT(Sync!$AE990,FIND("/",Sync!$AE990)-1))),""))))</f>
        <v/>
      </c>
      <c r="H990">
        <f>IF(OR($F990="",$G990=""),"",IF(ISNUMBER(Sync!$AE990),INT(MOD(Sync!$AE990,10000)/100),IFERROR(VALUE(TRIM(LEFT(MID(Sync!$AE990,FIND("/",Sync!$AE990)+1,20),FIND("/",MID(Sync!$AE990,FIND("/",Sync!$AE990)+1,20))-1))),"")))</f>
        <v/>
      </c>
      <c r="I990">
        <f>IF(OR($F990="",$G990=""),"",IF(ISNUMBER(Sync!$AE990),MOD(Sync!$AE990,100),IFERROR(VALUE(TRIM(MID(MID(Sync!$AE990,FIND("/",Sync!$AE990)+1,20),FIND("/",MID(Sync!$AE990,FIND("/",Sync!$AE990)+1,20))+1,20))),"")))</f>
        <v/>
      </c>
      <c r="J990">
        <f>IF($F990="","",IF(OR($G990="",$H990="",$I990="",$G990&lt;1300,$G990&gt;1500,$H990&lt;1,$H990&gt;12,$I990&lt;1,$I990&gt;31),"نامعتبر",RIGHT("0000"&amp;$G990,4)&amp;"/"&amp;RIGHT("00"&amp;$H990,2)&amp;"/"&amp;RIGHT("00"&amp;$I990,2)))</f>
        <v/>
      </c>
      <c r="K990">
        <f>IF(OR($F990="",$J990="",$J990="نامعتبر"),"",LEFT($J990,4)&amp;MID($J990,6,2)&amp;RIGHT($J990,2)&amp;$N990&amp;"|"&amp;"2"&amp;RIGHT("00000"&amp;985,5))</f>
        <v/>
      </c>
      <c r="L990">
        <f>IF($K990="","",COUNTIFS(LdgSellerA,$F990,LdgKeyA,"&lt;"&amp;$K990)+COUNTIFS(LdgSellerB,$F990,LdgKeyB,"&lt;"&amp;$K990)+1)</f>
        <v/>
      </c>
      <c r="M990">
        <f>IF($L990="","",$F990&amp;"|"&amp;RIGHT("000000"&amp;$L990,6))</f>
        <v/>
      </c>
      <c r="N990">
        <f>IF($F990="","",IF(Sync!$AF990="","0000",IF(AND(ISNUMBER(Sync!$AF990),Sync!$AF990&gt;=0,Sync!$AF990&lt;1),RIGHT("00"&amp;HOUR(Sync!$AF990),2)&amp;RIGHT("00"&amp;MINUTE(Sync!$AF990),2),IFERROR(RIGHT("00"&amp;VALUE(LEFT(Sync!$AF990,FIND(":",Sync!$AF990)-1)),2)&amp;RIGHT("00"&amp;VALUE(MID(Sync!$AF990,FIND(":",Sync!$AF990)+1,2)),2),"0000"))))</f>
        <v/>
      </c>
    </row>
    <row r="991">
      <c r="A991">
        <f>IF(OR(Calc!$E995="",Calc!$E995="نامعتبر",Calc!$G995=""),"",Calc!$G995)</f>
        <v/>
      </c>
      <c r="B991">
        <f>IF($A991="","",LEFT(Calc!$E995,4)&amp;MID(Calc!$E995,6,2)&amp;RIGHT(Calc!$E995,2)&amp;Calc!$Q995&amp;"|"&amp;"1"&amp;RIGHT("00000"&amp;986,5))</f>
        <v/>
      </c>
      <c r="C991">
        <f>IF($B991="","",COUNTIFS(LdgSellerA,$A991,LdgKeyA,"&lt;"&amp;$B991)+COUNTIFS(LdgSellerB,$A991,LdgKeyB,"&lt;"&amp;$B991)+1)</f>
        <v/>
      </c>
      <c r="D991">
        <f>IF($C991="","",$A991&amp;"|"&amp;RIGHT("000000"&amp;$C991,6))</f>
        <v/>
      </c>
      <c r="F991">
        <f>IF(Sync!$AH991="","",IF(LEFT(UPPER(TRIM(Sync!$AH991)),2)="SL",UPPER(TRIM(Sync!$AH991)),""))</f>
        <v/>
      </c>
      <c r="G991">
        <f>IF($F991="","",IF(Sync!$AE991="","",IF(ISNUMBER(Sync!$AE991),IF(AND(Sync!$AE991&gt;=10000101,Sync!$AE991&lt;=99991231),INT(Sync!$AE991/10000),""),IFERROR(VALUE(TRIM(LEFT(Sync!$AE991,FIND("/",Sync!$AE991)-1))),""))))</f>
        <v/>
      </c>
      <c r="H991">
        <f>IF(OR($F991="",$G991=""),"",IF(ISNUMBER(Sync!$AE991),INT(MOD(Sync!$AE991,10000)/100),IFERROR(VALUE(TRIM(LEFT(MID(Sync!$AE991,FIND("/",Sync!$AE991)+1,20),FIND("/",MID(Sync!$AE991,FIND("/",Sync!$AE991)+1,20))-1))),"")))</f>
        <v/>
      </c>
      <c r="I991">
        <f>IF(OR($F991="",$G991=""),"",IF(ISNUMBER(Sync!$AE991),MOD(Sync!$AE991,100),IFERROR(VALUE(TRIM(MID(MID(Sync!$AE991,FIND("/",Sync!$AE991)+1,20),FIND("/",MID(Sync!$AE991,FIND("/",Sync!$AE991)+1,20))+1,20))),"")))</f>
        <v/>
      </c>
      <c r="J991">
        <f>IF($F991="","",IF(OR($G991="",$H991="",$I991="",$G991&lt;1300,$G991&gt;1500,$H991&lt;1,$H991&gt;12,$I991&lt;1,$I991&gt;31),"نامعتبر",RIGHT("0000"&amp;$G991,4)&amp;"/"&amp;RIGHT("00"&amp;$H991,2)&amp;"/"&amp;RIGHT("00"&amp;$I991,2)))</f>
        <v/>
      </c>
      <c r="K991">
        <f>IF(OR($F991="",$J991="",$J991="نامعتبر"),"",LEFT($J991,4)&amp;MID($J991,6,2)&amp;RIGHT($J991,2)&amp;$N991&amp;"|"&amp;"2"&amp;RIGHT("00000"&amp;986,5))</f>
        <v/>
      </c>
      <c r="L991">
        <f>IF($K991="","",COUNTIFS(LdgSellerA,$F991,LdgKeyA,"&lt;"&amp;$K991)+COUNTIFS(LdgSellerB,$F991,LdgKeyB,"&lt;"&amp;$K991)+1)</f>
        <v/>
      </c>
      <c r="M991">
        <f>IF($L991="","",$F991&amp;"|"&amp;RIGHT("000000"&amp;$L991,6))</f>
        <v/>
      </c>
      <c r="N991">
        <f>IF($F991="","",IF(Sync!$AF991="","0000",IF(AND(ISNUMBER(Sync!$AF991),Sync!$AF991&gt;=0,Sync!$AF991&lt;1),RIGHT("00"&amp;HOUR(Sync!$AF991),2)&amp;RIGHT("00"&amp;MINUTE(Sync!$AF991),2),IFERROR(RIGHT("00"&amp;VALUE(LEFT(Sync!$AF991,FIND(":",Sync!$AF991)-1)),2)&amp;RIGHT("00"&amp;VALUE(MID(Sync!$AF991,FIND(":",Sync!$AF991)+1,2)),2),"0000"))))</f>
        <v/>
      </c>
    </row>
    <row r="992">
      <c r="A992">
        <f>IF(OR(Calc!$E996="",Calc!$E996="نامعتبر",Calc!$G996=""),"",Calc!$G996)</f>
        <v/>
      </c>
      <c r="B992">
        <f>IF($A992="","",LEFT(Calc!$E996,4)&amp;MID(Calc!$E996,6,2)&amp;RIGHT(Calc!$E996,2)&amp;Calc!$Q996&amp;"|"&amp;"1"&amp;RIGHT("00000"&amp;987,5))</f>
        <v/>
      </c>
      <c r="C992">
        <f>IF($B992="","",COUNTIFS(LdgSellerA,$A992,LdgKeyA,"&lt;"&amp;$B992)+COUNTIFS(LdgSellerB,$A992,LdgKeyB,"&lt;"&amp;$B992)+1)</f>
        <v/>
      </c>
      <c r="D992">
        <f>IF($C992="","",$A992&amp;"|"&amp;RIGHT("000000"&amp;$C992,6))</f>
        <v/>
      </c>
      <c r="F992">
        <f>IF(Sync!$AH992="","",IF(LEFT(UPPER(TRIM(Sync!$AH992)),2)="SL",UPPER(TRIM(Sync!$AH992)),""))</f>
        <v/>
      </c>
      <c r="G992">
        <f>IF($F992="","",IF(Sync!$AE992="","",IF(ISNUMBER(Sync!$AE992),IF(AND(Sync!$AE992&gt;=10000101,Sync!$AE992&lt;=99991231),INT(Sync!$AE992/10000),""),IFERROR(VALUE(TRIM(LEFT(Sync!$AE992,FIND("/",Sync!$AE992)-1))),""))))</f>
        <v/>
      </c>
      <c r="H992">
        <f>IF(OR($F992="",$G992=""),"",IF(ISNUMBER(Sync!$AE992),INT(MOD(Sync!$AE992,10000)/100),IFERROR(VALUE(TRIM(LEFT(MID(Sync!$AE992,FIND("/",Sync!$AE992)+1,20),FIND("/",MID(Sync!$AE992,FIND("/",Sync!$AE992)+1,20))-1))),"")))</f>
        <v/>
      </c>
      <c r="I992">
        <f>IF(OR($F992="",$G992=""),"",IF(ISNUMBER(Sync!$AE992),MOD(Sync!$AE992,100),IFERROR(VALUE(TRIM(MID(MID(Sync!$AE992,FIND("/",Sync!$AE992)+1,20),FIND("/",MID(Sync!$AE992,FIND("/",Sync!$AE992)+1,20))+1,20))),"")))</f>
        <v/>
      </c>
      <c r="J992">
        <f>IF($F992="","",IF(OR($G992="",$H992="",$I992="",$G992&lt;1300,$G992&gt;1500,$H992&lt;1,$H992&gt;12,$I992&lt;1,$I992&gt;31),"نامعتبر",RIGHT("0000"&amp;$G992,4)&amp;"/"&amp;RIGHT("00"&amp;$H992,2)&amp;"/"&amp;RIGHT("00"&amp;$I992,2)))</f>
        <v/>
      </c>
      <c r="K992">
        <f>IF(OR($F992="",$J992="",$J992="نامعتبر"),"",LEFT($J992,4)&amp;MID($J992,6,2)&amp;RIGHT($J992,2)&amp;$N992&amp;"|"&amp;"2"&amp;RIGHT("00000"&amp;987,5))</f>
        <v/>
      </c>
      <c r="L992">
        <f>IF($K992="","",COUNTIFS(LdgSellerA,$F992,LdgKeyA,"&lt;"&amp;$K992)+COUNTIFS(LdgSellerB,$F992,LdgKeyB,"&lt;"&amp;$K992)+1)</f>
        <v/>
      </c>
      <c r="M992">
        <f>IF($L992="","",$F992&amp;"|"&amp;RIGHT("000000"&amp;$L992,6))</f>
        <v/>
      </c>
      <c r="N992">
        <f>IF($F992="","",IF(Sync!$AF992="","0000",IF(AND(ISNUMBER(Sync!$AF992),Sync!$AF992&gt;=0,Sync!$AF992&lt;1),RIGHT("00"&amp;HOUR(Sync!$AF992),2)&amp;RIGHT("00"&amp;MINUTE(Sync!$AF992),2),IFERROR(RIGHT("00"&amp;VALUE(LEFT(Sync!$AF992,FIND(":",Sync!$AF992)-1)),2)&amp;RIGHT("00"&amp;VALUE(MID(Sync!$AF992,FIND(":",Sync!$AF992)+1,2)),2),"0000"))))</f>
        <v/>
      </c>
    </row>
    <row r="993">
      <c r="A993">
        <f>IF(OR(Calc!$E997="",Calc!$E997="نامعتبر",Calc!$G997=""),"",Calc!$G997)</f>
        <v/>
      </c>
      <c r="B993">
        <f>IF($A993="","",LEFT(Calc!$E997,4)&amp;MID(Calc!$E997,6,2)&amp;RIGHT(Calc!$E997,2)&amp;Calc!$Q997&amp;"|"&amp;"1"&amp;RIGHT("00000"&amp;988,5))</f>
        <v/>
      </c>
      <c r="C993">
        <f>IF($B993="","",COUNTIFS(LdgSellerA,$A993,LdgKeyA,"&lt;"&amp;$B993)+COUNTIFS(LdgSellerB,$A993,LdgKeyB,"&lt;"&amp;$B993)+1)</f>
        <v/>
      </c>
      <c r="D993">
        <f>IF($C993="","",$A993&amp;"|"&amp;RIGHT("000000"&amp;$C993,6))</f>
        <v/>
      </c>
      <c r="F993">
        <f>IF(Sync!$AH993="","",IF(LEFT(UPPER(TRIM(Sync!$AH993)),2)="SL",UPPER(TRIM(Sync!$AH993)),""))</f>
        <v/>
      </c>
      <c r="G993">
        <f>IF($F993="","",IF(Sync!$AE993="","",IF(ISNUMBER(Sync!$AE993),IF(AND(Sync!$AE993&gt;=10000101,Sync!$AE993&lt;=99991231),INT(Sync!$AE993/10000),""),IFERROR(VALUE(TRIM(LEFT(Sync!$AE993,FIND("/",Sync!$AE993)-1))),""))))</f>
        <v/>
      </c>
      <c r="H993">
        <f>IF(OR($F993="",$G993=""),"",IF(ISNUMBER(Sync!$AE993),INT(MOD(Sync!$AE993,10000)/100),IFERROR(VALUE(TRIM(LEFT(MID(Sync!$AE993,FIND("/",Sync!$AE993)+1,20),FIND("/",MID(Sync!$AE993,FIND("/",Sync!$AE993)+1,20))-1))),"")))</f>
        <v/>
      </c>
      <c r="I993">
        <f>IF(OR($F993="",$G993=""),"",IF(ISNUMBER(Sync!$AE993),MOD(Sync!$AE993,100),IFERROR(VALUE(TRIM(MID(MID(Sync!$AE993,FIND("/",Sync!$AE993)+1,20),FIND("/",MID(Sync!$AE993,FIND("/",Sync!$AE993)+1,20))+1,20))),"")))</f>
        <v/>
      </c>
      <c r="J993">
        <f>IF($F993="","",IF(OR($G993="",$H993="",$I993="",$G993&lt;1300,$G993&gt;1500,$H993&lt;1,$H993&gt;12,$I993&lt;1,$I993&gt;31),"نامعتبر",RIGHT("0000"&amp;$G993,4)&amp;"/"&amp;RIGHT("00"&amp;$H993,2)&amp;"/"&amp;RIGHT("00"&amp;$I993,2)))</f>
        <v/>
      </c>
      <c r="K993">
        <f>IF(OR($F993="",$J993="",$J993="نامعتبر"),"",LEFT($J993,4)&amp;MID($J993,6,2)&amp;RIGHT($J993,2)&amp;$N993&amp;"|"&amp;"2"&amp;RIGHT("00000"&amp;988,5))</f>
        <v/>
      </c>
      <c r="L993">
        <f>IF($K993="","",COUNTIFS(LdgSellerA,$F993,LdgKeyA,"&lt;"&amp;$K993)+COUNTIFS(LdgSellerB,$F993,LdgKeyB,"&lt;"&amp;$K993)+1)</f>
        <v/>
      </c>
      <c r="M993">
        <f>IF($L993="","",$F993&amp;"|"&amp;RIGHT("000000"&amp;$L993,6))</f>
        <v/>
      </c>
      <c r="N993">
        <f>IF($F993="","",IF(Sync!$AF993="","0000",IF(AND(ISNUMBER(Sync!$AF993),Sync!$AF993&gt;=0,Sync!$AF993&lt;1),RIGHT("00"&amp;HOUR(Sync!$AF993),2)&amp;RIGHT("00"&amp;MINUTE(Sync!$AF993),2),IFERROR(RIGHT("00"&amp;VALUE(LEFT(Sync!$AF993,FIND(":",Sync!$AF993)-1)),2)&amp;RIGHT("00"&amp;VALUE(MID(Sync!$AF993,FIND(":",Sync!$AF993)+1,2)),2),"0000"))))</f>
        <v/>
      </c>
    </row>
    <row r="994">
      <c r="A994">
        <f>IF(OR(Calc!$E998="",Calc!$E998="نامعتبر",Calc!$G998=""),"",Calc!$G998)</f>
        <v/>
      </c>
      <c r="B994">
        <f>IF($A994="","",LEFT(Calc!$E998,4)&amp;MID(Calc!$E998,6,2)&amp;RIGHT(Calc!$E998,2)&amp;Calc!$Q998&amp;"|"&amp;"1"&amp;RIGHT("00000"&amp;989,5))</f>
        <v/>
      </c>
      <c r="C994">
        <f>IF($B994="","",COUNTIFS(LdgSellerA,$A994,LdgKeyA,"&lt;"&amp;$B994)+COUNTIFS(LdgSellerB,$A994,LdgKeyB,"&lt;"&amp;$B994)+1)</f>
        <v/>
      </c>
      <c r="D994">
        <f>IF($C994="","",$A994&amp;"|"&amp;RIGHT("000000"&amp;$C994,6))</f>
        <v/>
      </c>
      <c r="F994">
        <f>IF(Sync!$AH994="","",IF(LEFT(UPPER(TRIM(Sync!$AH994)),2)="SL",UPPER(TRIM(Sync!$AH994)),""))</f>
        <v/>
      </c>
      <c r="G994">
        <f>IF($F994="","",IF(Sync!$AE994="","",IF(ISNUMBER(Sync!$AE994),IF(AND(Sync!$AE994&gt;=10000101,Sync!$AE994&lt;=99991231),INT(Sync!$AE994/10000),""),IFERROR(VALUE(TRIM(LEFT(Sync!$AE994,FIND("/",Sync!$AE994)-1))),""))))</f>
        <v/>
      </c>
      <c r="H994">
        <f>IF(OR($F994="",$G994=""),"",IF(ISNUMBER(Sync!$AE994),INT(MOD(Sync!$AE994,10000)/100),IFERROR(VALUE(TRIM(LEFT(MID(Sync!$AE994,FIND("/",Sync!$AE994)+1,20),FIND("/",MID(Sync!$AE994,FIND("/",Sync!$AE994)+1,20))-1))),"")))</f>
        <v/>
      </c>
      <c r="I994">
        <f>IF(OR($F994="",$G994=""),"",IF(ISNUMBER(Sync!$AE994),MOD(Sync!$AE994,100),IFERROR(VALUE(TRIM(MID(MID(Sync!$AE994,FIND("/",Sync!$AE994)+1,20),FIND("/",MID(Sync!$AE994,FIND("/",Sync!$AE994)+1,20))+1,20))),"")))</f>
        <v/>
      </c>
      <c r="J994">
        <f>IF($F994="","",IF(OR($G994="",$H994="",$I994="",$G994&lt;1300,$G994&gt;1500,$H994&lt;1,$H994&gt;12,$I994&lt;1,$I994&gt;31),"نامعتبر",RIGHT("0000"&amp;$G994,4)&amp;"/"&amp;RIGHT("00"&amp;$H994,2)&amp;"/"&amp;RIGHT("00"&amp;$I994,2)))</f>
        <v/>
      </c>
      <c r="K994">
        <f>IF(OR($F994="",$J994="",$J994="نامعتبر"),"",LEFT($J994,4)&amp;MID($J994,6,2)&amp;RIGHT($J994,2)&amp;$N994&amp;"|"&amp;"2"&amp;RIGHT("00000"&amp;989,5))</f>
        <v/>
      </c>
      <c r="L994">
        <f>IF($K994="","",COUNTIFS(LdgSellerA,$F994,LdgKeyA,"&lt;"&amp;$K994)+COUNTIFS(LdgSellerB,$F994,LdgKeyB,"&lt;"&amp;$K994)+1)</f>
        <v/>
      </c>
      <c r="M994">
        <f>IF($L994="","",$F994&amp;"|"&amp;RIGHT("000000"&amp;$L994,6))</f>
        <v/>
      </c>
      <c r="N994">
        <f>IF($F994="","",IF(Sync!$AF994="","0000",IF(AND(ISNUMBER(Sync!$AF994),Sync!$AF994&gt;=0,Sync!$AF994&lt;1),RIGHT("00"&amp;HOUR(Sync!$AF994),2)&amp;RIGHT("00"&amp;MINUTE(Sync!$AF994),2),IFERROR(RIGHT("00"&amp;VALUE(LEFT(Sync!$AF994,FIND(":",Sync!$AF994)-1)),2)&amp;RIGHT("00"&amp;VALUE(MID(Sync!$AF994,FIND(":",Sync!$AF994)+1,2)),2),"0000"))))</f>
        <v/>
      </c>
    </row>
    <row r="995">
      <c r="A995">
        <f>IF(OR(Calc!$E999="",Calc!$E999="نامعتبر",Calc!$G999=""),"",Calc!$G999)</f>
        <v/>
      </c>
      <c r="B995">
        <f>IF($A995="","",LEFT(Calc!$E999,4)&amp;MID(Calc!$E999,6,2)&amp;RIGHT(Calc!$E999,2)&amp;Calc!$Q999&amp;"|"&amp;"1"&amp;RIGHT("00000"&amp;990,5))</f>
        <v/>
      </c>
      <c r="C995">
        <f>IF($B995="","",COUNTIFS(LdgSellerA,$A995,LdgKeyA,"&lt;"&amp;$B995)+COUNTIFS(LdgSellerB,$A995,LdgKeyB,"&lt;"&amp;$B995)+1)</f>
        <v/>
      </c>
      <c r="D995">
        <f>IF($C995="","",$A995&amp;"|"&amp;RIGHT("000000"&amp;$C995,6))</f>
        <v/>
      </c>
      <c r="F995">
        <f>IF(Sync!$AH995="","",IF(LEFT(UPPER(TRIM(Sync!$AH995)),2)="SL",UPPER(TRIM(Sync!$AH995)),""))</f>
        <v/>
      </c>
      <c r="G995">
        <f>IF($F995="","",IF(Sync!$AE995="","",IF(ISNUMBER(Sync!$AE995),IF(AND(Sync!$AE995&gt;=10000101,Sync!$AE995&lt;=99991231),INT(Sync!$AE995/10000),""),IFERROR(VALUE(TRIM(LEFT(Sync!$AE995,FIND("/",Sync!$AE995)-1))),""))))</f>
        <v/>
      </c>
      <c r="H995">
        <f>IF(OR($F995="",$G995=""),"",IF(ISNUMBER(Sync!$AE995),INT(MOD(Sync!$AE995,10000)/100),IFERROR(VALUE(TRIM(LEFT(MID(Sync!$AE995,FIND("/",Sync!$AE995)+1,20),FIND("/",MID(Sync!$AE995,FIND("/",Sync!$AE995)+1,20))-1))),"")))</f>
        <v/>
      </c>
      <c r="I995">
        <f>IF(OR($F995="",$G995=""),"",IF(ISNUMBER(Sync!$AE995),MOD(Sync!$AE995,100),IFERROR(VALUE(TRIM(MID(MID(Sync!$AE995,FIND("/",Sync!$AE995)+1,20),FIND("/",MID(Sync!$AE995,FIND("/",Sync!$AE995)+1,20))+1,20))),"")))</f>
        <v/>
      </c>
      <c r="J995">
        <f>IF($F995="","",IF(OR($G995="",$H995="",$I995="",$G995&lt;1300,$G995&gt;1500,$H995&lt;1,$H995&gt;12,$I995&lt;1,$I995&gt;31),"نامعتبر",RIGHT("0000"&amp;$G995,4)&amp;"/"&amp;RIGHT("00"&amp;$H995,2)&amp;"/"&amp;RIGHT("00"&amp;$I995,2)))</f>
        <v/>
      </c>
      <c r="K995">
        <f>IF(OR($F995="",$J995="",$J995="نامعتبر"),"",LEFT($J995,4)&amp;MID($J995,6,2)&amp;RIGHT($J995,2)&amp;$N995&amp;"|"&amp;"2"&amp;RIGHT("00000"&amp;990,5))</f>
        <v/>
      </c>
      <c r="L995">
        <f>IF($K995="","",COUNTIFS(LdgSellerA,$F995,LdgKeyA,"&lt;"&amp;$K995)+COUNTIFS(LdgSellerB,$F995,LdgKeyB,"&lt;"&amp;$K995)+1)</f>
        <v/>
      </c>
      <c r="M995">
        <f>IF($L995="","",$F995&amp;"|"&amp;RIGHT("000000"&amp;$L995,6))</f>
        <v/>
      </c>
      <c r="N995">
        <f>IF($F995="","",IF(Sync!$AF995="","0000",IF(AND(ISNUMBER(Sync!$AF995),Sync!$AF995&gt;=0,Sync!$AF995&lt;1),RIGHT("00"&amp;HOUR(Sync!$AF995),2)&amp;RIGHT("00"&amp;MINUTE(Sync!$AF995),2),IFERROR(RIGHT("00"&amp;VALUE(LEFT(Sync!$AF995,FIND(":",Sync!$AF995)-1)),2)&amp;RIGHT("00"&amp;VALUE(MID(Sync!$AF995,FIND(":",Sync!$AF995)+1,2)),2),"0000"))))</f>
        <v/>
      </c>
    </row>
    <row r="996">
      <c r="A996">
        <f>IF(OR(Calc!$E1000="",Calc!$E1000="نامعتبر",Calc!$G1000=""),"",Calc!$G1000)</f>
        <v/>
      </c>
      <c r="B996">
        <f>IF($A996="","",LEFT(Calc!$E1000,4)&amp;MID(Calc!$E1000,6,2)&amp;RIGHT(Calc!$E1000,2)&amp;Calc!$Q1000&amp;"|"&amp;"1"&amp;RIGHT("00000"&amp;991,5))</f>
        <v/>
      </c>
      <c r="C996">
        <f>IF($B996="","",COUNTIFS(LdgSellerA,$A996,LdgKeyA,"&lt;"&amp;$B996)+COUNTIFS(LdgSellerB,$A996,LdgKeyB,"&lt;"&amp;$B996)+1)</f>
        <v/>
      </c>
      <c r="D996">
        <f>IF($C996="","",$A996&amp;"|"&amp;RIGHT("000000"&amp;$C996,6))</f>
        <v/>
      </c>
      <c r="F996">
        <f>IF(Sync!$AH996="","",IF(LEFT(UPPER(TRIM(Sync!$AH996)),2)="SL",UPPER(TRIM(Sync!$AH996)),""))</f>
        <v/>
      </c>
      <c r="G996">
        <f>IF($F996="","",IF(Sync!$AE996="","",IF(ISNUMBER(Sync!$AE996),IF(AND(Sync!$AE996&gt;=10000101,Sync!$AE996&lt;=99991231),INT(Sync!$AE996/10000),""),IFERROR(VALUE(TRIM(LEFT(Sync!$AE996,FIND("/",Sync!$AE996)-1))),""))))</f>
        <v/>
      </c>
      <c r="H996">
        <f>IF(OR($F996="",$G996=""),"",IF(ISNUMBER(Sync!$AE996),INT(MOD(Sync!$AE996,10000)/100),IFERROR(VALUE(TRIM(LEFT(MID(Sync!$AE996,FIND("/",Sync!$AE996)+1,20),FIND("/",MID(Sync!$AE996,FIND("/",Sync!$AE996)+1,20))-1))),"")))</f>
        <v/>
      </c>
      <c r="I996">
        <f>IF(OR($F996="",$G996=""),"",IF(ISNUMBER(Sync!$AE996),MOD(Sync!$AE996,100),IFERROR(VALUE(TRIM(MID(MID(Sync!$AE996,FIND("/",Sync!$AE996)+1,20),FIND("/",MID(Sync!$AE996,FIND("/",Sync!$AE996)+1,20))+1,20))),"")))</f>
        <v/>
      </c>
      <c r="J996">
        <f>IF($F996="","",IF(OR($G996="",$H996="",$I996="",$G996&lt;1300,$G996&gt;1500,$H996&lt;1,$H996&gt;12,$I996&lt;1,$I996&gt;31),"نامعتبر",RIGHT("0000"&amp;$G996,4)&amp;"/"&amp;RIGHT("00"&amp;$H996,2)&amp;"/"&amp;RIGHT("00"&amp;$I996,2)))</f>
        <v/>
      </c>
      <c r="K996">
        <f>IF(OR($F996="",$J996="",$J996="نامعتبر"),"",LEFT($J996,4)&amp;MID($J996,6,2)&amp;RIGHT($J996,2)&amp;$N996&amp;"|"&amp;"2"&amp;RIGHT("00000"&amp;991,5))</f>
        <v/>
      </c>
      <c r="L996">
        <f>IF($K996="","",COUNTIFS(LdgSellerA,$F996,LdgKeyA,"&lt;"&amp;$K996)+COUNTIFS(LdgSellerB,$F996,LdgKeyB,"&lt;"&amp;$K996)+1)</f>
        <v/>
      </c>
      <c r="M996">
        <f>IF($L996="","",$F996&amp;"|"&amp;RIGHT("000000"&amp;$L996,6))</f>
        <v/>
      </c>
      <c r="N996">
        <f>IF($F996="","",IF(Sync!$AF996="","0000",IF(AND(ISNUMBER(Sync!$AF996),Sync!$AF996&gt;=0,Sync!$AF996&lt;1),RIGHT("00"&amp;HOUR(Sync!$AF996),2)&amp;RIGHT("00"&amp;MINUTE(Sync!$AF996),2),IFERROR(RIGHT("00"&amp;VALUE(LEFT(Sync!$AF996,FIND(":",Sync!$AF996)-1)),2)&amp;RIGHT("00"&amp;VALUE(MID(Sync!$AF996,FIND(":",Sync!$AF996)+1,2)),2),"0000"))))</f>
        <v/>
      </c>
    </row>
    <row r="997">
      <c r="A997">
        <f>IF(OR(Calc!$E1001="",Calc!$E1001="نامعتبر",Calc!$G1001=""),"",Calc!$G1001)</f>
        <v/>
      </c>
      <c r="B997">
        <f>IF($A997="","",LEFT(Calc!$E1001,4)&amp;MID(Calc!$E1001,6,2)&amp;RIGHT(Calc!$E1001,2)&amp;Calc!$Q1001&amp;"|"&amp;"1"&amp;RIGHT("00000"&amp;992,5))</f>
        <v/>
      </c>
      <c r="C997">
        <f>IF($B997="","",COUNTIFS(LdgSellerA,$A997,LdgKeyA,"&lt;"&amp;$B997)+COUNTIFS(LdgSellerB,$A997,LdgKeyB,"&lt;"&amp;$B997)+1)</f>
        <v/>
      </c>
      <c r="D997">
        <f>IF($C997="","",$A997&amp;"|"&amp;RIGHT("000000"&amp;$C997,6))</f>
        <v/>
      </c>
      <c r="F997">
        <f>IF(Sync!$AH997="","",IF(LEFT(UPPER(TRIM(Sync!$AH997)),2)="SL",UPPER(TRIM(Sync!$AH997)),""))</f>
        <v/>
      </c>
      <c r="G997">
        <f>IF($F997="","",IF(Sync!$AE997="","",IF(ISNUMBER(Sync!$AE997),IF(AND(Sync!$AE997&gt;=10000101,Sync!$AE997&lt;=99991231),INT(Sync!$AE997/10000),""),IFERROR(VALUE(TRIM(LEFT(Sync!$AE997,FIND("/",Sync!$AE997)-1))),""))))</f>
        <v/>
      </c>
      <c r="H997">
        <f>IF(OR($F997="",$G997=""),"",IF(ISNUMBER(Sync!$AE997),INT(MOD(Sync!$AE997,10000)/100),IFERROR(VALUE(TRIM(LEFT(MID(Sync!$AE997,FIND("/",Sync!$AE997)+1,20),FIND("/",MID(Sync!$AE997,FIND("/",Sync!$AE997)+1,20))-1))),"")))</f>
        <v/>
      </c>
      <c r="I997">
        <f>IF(OR($F997="",$G997=""),"",IF(ISNUMBER(Sync!$AE997),MOD(Sync!$AE997,100),IFERROR(VALUE(TRIM(MID(MID(Sync!$AE997,FIND("/",Sync!$AE997)+1,20),FIND("/",MID(Sync!$AE997,FIND("/",Sync!$AE997)+1,20))+1,20))),"")))</f>
        <v/>
      </c>
      <c r="J997">
        <f>IF($F997="","",IF(OR($G997="",$H997="",$I997="",$G997&lt;1300,$G997&gt;1500,$H997&lt;1,$H997&gt;12,$I997&lt;1,$I997&gt;31),"نامعتبر",RIGHT("0000"&amp;$G997,4)&amp;"/"&amp;RIGHT("00"&amp;$H997,2)&amp;"/"&amp;RIGHT("00"&amp;$I997,2)))</f>
        <v/>
      </c>
      <c r="K997">
        <f>IF(OR($F997="",$J997="",$J997="نامعتبر"),"",LEFT($J997,4)&amp;MID($J997,6,2)&amp;RIGHT($J997,2)&amp;$N997&amp;"|"&amp;"2"&amp;RIGHT("00000"&amp;992,5))</f>
        <v/>
      </c>
      <c r="L997">
        <f>IF($K997="","",COUNTIFS(LdgSellerA,$F997,LdgKeyA,"&lt;"&amp;$K997)+COUNTIFS(LdgSellerB,$F997,LdgKeyB,"&lt;"&amp;$K997)+1)</f>
        <v/>
      </c>
      <c r="M997">
        <f>IF($L997="","",$F997&amp;"|"&amp;RIGHT("000000"&amp;$L997,6))</f>
        <v/>
      </c>
      <c r="N997">
        <f>IF($F997="","",IF(Sync!$AF997="","0000",IF(AND(ISNUMBER(Sync!$AF997),Sync!$AF997&gt;=0,Sync!$AF997&lt;1),RIGHT("00"&amp;HOUR(Sync!$AF997),2)&amp;RIGHT("00"&amp;MINUTE(Sync!$AF997),2),IFERROR(RIGHT("00"&amp;VALUE(LEFT(Sync!$AF997,FIND(":",Sync!$AF997)-1)),2)&amp;RIGHT("00"&amp;VALUE(MID(Sync!$AF997,FIND(":",Sync!$AF997)+1,2)),2),"0000"))))</f>
        <v/>
      </c>
    </row>
    <row r="998">
      <c r="A998">
        <f>IF(OR(Calc!$E1002="",Calc!$E1002="نامعتبر",Calc!$G1002=""),"",Calc!$G1002)</f>
        <v/>
      </c>
      <c r="B998">
        <f>IF($A998="","",LEFT(Calc!$E1002,4)&amp;MID(Calc!$E1002,6,2)&amp;RIGHT(Calc!$E1002,2)&amp;Calc!$Q1002&amp;"|"&amp;"1"&amp;RIGHT("00000"&amp;993,5))</f>
        <v/>
      </c>
      <c r="C998">
        <f>IF($B998="","",COUNTIFS(LdgSellerA,$A998,LdgKeyA,"&lt;"&amp;$B998)+COUNTIFS(LdgSellerB,$A998,LdgKeyB,"&lt;"&amp;$B998)+1)</f>
        <v/>
      </c>
      <c r="D998">
        <f>IF($C998="","",$A998&amp;"|"&amp;RIGHT("000000"&amp;$C998,6))</f>
        <v/>
      </c>
      <c r="F998">
        <f>IF(Sync!$AH998="","",IF(LEFT(UPPER(TRIM(Sync!$AH998)),2)="SL",UPPER(TRIM(Sync!$AH998)),""))</f>
        <v/>
      </c>
      <c r="G998">
        <f>IF($F998="","",IF(Sync!$AE998="","",IF(ISNUMBER(Sync!$AE998),IF(AND(Sync!$AE998&gt;=10000101,Sync!$AE998&lt;=99991231),INT(Sync!$AE998/10000),""),IFERROR(VALUE(TRIM(LEFT(Sync!$AE998,FIND("/",Sync!$AE998)-1))),""))))</f>
        <v/>
      </c>
      <c r="H998">
        <f>IF(OR($F998="",$G998=""),"",IF(ISNUMBER(Sync!$AE998),INT(MOD(Sync!$AE998,10000)/100),IFERROR(VALUE(TRIM(LEFT(MID(Sync!$AE998,FIND("/",Sync!$AE998)+1,20),FIND("/",MID(Sync!$AE998,FIND("/",Sync!$AE998)+1,20))-1))),"")))</f>
        <v/>
      </c>
      <c r="I998">
        <f>IF(OR($F998="",$G998=""),"",IF(ISNUMBER(Sync!$AE998),MOD(Sync!$AE998,100),IFERROR(VALUE(TRIM(MID(MID(Sync!$AE998,FIND("/",Sync!$AE998)+1,20),FIND("/",MID(Sync!$AE998,FIND("/",Sync!$AE998)+1,20))+1,20))),"")))</f>
        <v/>
      </c>
      <c r="J998">
        <f>IF($F998="","",IF(OR($G998="",$H998="",$I998="",$G998&lt;1300,$G998&gt;1500,$H998&lt;1,$H998&gt;12,$I998&lt;1,$I998&gt;31),"نامعتبر",RIGHT("0000"&amp;$G998,4)&amp;"/"&amp;RIGHT("00"&amp;$H998,2)&amp;"/"&amp;RIGHT("00"&amp;$I998,2)))</f>
        <v/>
      </c>
      <c r="K998">
        <f>IF(OR($F998="",$J998="",$J998="نامعتبر"),"",LEFT($J998,4)&amp;MID($J998,6,2)&amp;RIGHT($J998,2)&amp;$N998&amp;"|"&amp;"2"&amp;RIGHT("00000"&amp;993,5))</f>
        <v/>
      </c>
      <c r="L998">
        <f>IF($K998="","",COUNTIFS(LdgSellerA,$F998,LdgKeyA,"&lt;"&amp;$K998)+COUNTIFS(LdgSellerB,$F998,LdgKeyB,"&lt;"&amp;$K998)+1)</f>
        <v/>
      </c>
      <c r="M998">
        <f>IF($L998="","",$F998&amp;"|"&amp;RIGHT("000000"&amp;$L998,6))</f>
        <v/>
      </c>
      <c r="N998">
        <f>IF($F998="","",IF(Sync!$AF998="","0000",IF(AND(ISNUMBER(Sync!$AF998),Sync!$AF998&gt;=0,Sync!$AF998&lt;1),RIGHT("00"&amp;HOUR(Sync!$AF998),2)&amp;RIGHT("00"&amp;MINUTE(Sync!$AF998),2),IFERROR(RIGHT("00"&amp;VALUE(LEFT(Sync!$AF998,FIND(":",Sync!$AF998)-1)),2)&amp;RIGHT("00"&amp;VALUE(MID(Sync!$AF998,FIND(":",Sync!$AF998)+1,2)),2),"0000"))))</f>
        <v/>
      </c>
    </row>
    <row r="999">
      <c r="A999">
        <f>IF(OR(Calc!$E1003="",Calc!$E1003="نامعتبر",Calc!$G1003=""),"",Calc!$G1003)</f>
        <v/>
      </c>
      <c r="B999">
        <f>IF($A999="","",LEFT(Calc!$E1003,4)&amp;MID(Calc!$E1003,6,2)&amp;RIGHT(Calc!$E1003,2)&amp;Calc!$Q1003&amp;"|"&amp;"1"&amp;RIGHT("00000"&amp;994,5))</f>
        <v/>
      </c>
      <c r="C999">
        <f>IF($B999="","",COUNTIFS(LdgSellerA,$A999,LdgKeyA,"&lt;"&amp;$B999)+COUNTIFS(LdgSellerB,$A999,LdgKeyB,"&lt;"&amp;$B999)+1)</f>
        <v/>
      </c>
      <c r="D999">
        <f>IF($C999="","",$A999&amp;"|"&amp;RIGHT("000000"&amp;$C999,6))</f>
        <v/>
      </c>
      <c r="F999">
        <f>IF(Sync!$AH999="","",IF(LEFT(UPPER(TRIM(Sync!$AH999)),2)="SL",UPPER(TRIM(Sync!$AH999)),""))</f>
        <v/>
      </c>
      <c r="G999">
        <f>IF($F999="","",IF(Sync!$AE999="","",IF(ISNUMBER(Sync!$AE999),IF(AND(Sync!$AE999&gt;=10000101,Sync!$AE999&lt;=99991231),INT(Sync!$AE999/10000),""),IFERROR(VALUE(TRIM(LEFT(Sync!$AE999,FIND("/",Sync!$AE999)-1))),""))))</f>
        <v/>
      </c>
      <c r="H999">
        <f>IF(OR($F999="",$G999=""),"",IF(ISNUMBER(Sync!$AE999),INT(MOD(Sync!$AE999,10000)/100),IFERROR(VALUE(TRIM(LEFT(MID(Sync!$AE999,FIND("/",Sync!$AE999)+1,20),FIND("/",MID(Sync!$AE999,FIND("/",Sync!$AE999)+1,20))-1))),"")))</f>
        <v/>
      </c>
      <c r="I999">
        <f>IF(OR($F999="",$G999=""),"",IF(ISNUMBER(Sync!$AE999),MOD(Sync!$AE999,100),IFERROR(VALUE(TRIM(MID(MID(Sync!$AE999,FIND("/",Sync!$AE999)+1,20),FIND("/",MID(Sync!$AE999,FIND("/",Sync!$AE999)+1,20))+1,20))),"")))</f>
        <v/>
      </c>
      <c r="J999">
        <f>IF($F999="","",IF(OR($G999="",$H999="",$I999="",$G999&lt;1300,$G999&gt;1500,$H999&lt;1,$H999&gt;12,$I999&lt;1,$I999&gt;31),"نامعتبر",RIGHT("0000"&amp;$G999,4)&amp;"/"&amp;RIGHT("00"&amp;$H999,2)&amp;"/"&amp;RIGHT("00"&amp;$I999,2)))</f>
        <v/>
      </c>
      <c r="K999">
        <f>IF(OR($F999="",$J999="",$J999="نامعتبر"),"",LEFT($J999,4)&amp;MID($J999,6,2)&amp;RIGHT($J999,2)&amp;$N999&amp;"|"&amp;"2"&amp;RIGHT("00000"&amp;994,5))</f>
        <v/>
      </c>
      <c r="L999">
        <f>IF($K999="","",COUNTIFS(LdgSellerA,$F999,LdgKeyA,"&lt;"&amp;$K999)+COUNTIFS(LdgSellerB,$F999,LdgKeyB,"&lt;"&amp;$K999)+1)</f>
        <v/>
      </c>
      <c r="M999">
        <f>IF($L999="","",$F999&amp;"|"&amp;RIGHT("000000"&amp;$L999,6))</f>
        <v/>
      </c>
      <c r="N999">
        <f>IF($F999="","",IF(Sync!$AF999="","0000",IF(AND(ISNUMBER(Sync!$AF999),Sync!$AF999&gt;=0,Sync!$AF999&lt;1),RIGHT("00"&amp;HOUR(Sync!$AF999),2)&amp;RIGHT("00"&amp;MINUTE(Sync!$AF999),2),IFERROR(RIGHT("00"&amp;VALUE(LEFT(Sync!$AF999,FIND(":",Sync!$AF999)-1)),2)&amp;RIGHT("00"&amp;VALUE(MID(Sync!$AF999,FIND(":",Sync!$AF999)+1,2)),2),"0000"))))</f>
        <v/>
      </c>
    </row>
    <row r="1000">
      <c r="A1000">
        <f>IF(OR(Calc!$E1004="",Calc!$E1004="نامعتبر",Calc!$G1004=""),"",Calc!$G1004)</f>
        <v/>
      </c>
      <c r="B1000">
        <f>IF($A1000="","",LEFT(Calc!$E1004,4)&amp;MID(Calc!$E1004,6,2)&amp;RIGHT(Calc!$E1004,2)&amp;Calc!$Q1004&amp;"|"&amp;"1"&amp;RIGHT("00000"&amp;995,5))</f>
        <v/>
      </c>
      <c r="C1000">
        <f>IF($B1000="","",COUNTIFS(LdgSellerA,$A1000,LdgKeyA,"&lt;"&amp;$B1000)+COUNTIFS(LdgSellerB,$A1000,LdgKeyB,"&lt;"&amp;$B1000)+1)</f>
        <v/>
      </c>
      <c r="D1000">
        <f>IF($C1000="","",$A1000&amp;"|"&amp;RIGHT("000000"&amp;$C1000,6))</f>
        <v/>
      </c>
      <c r="F1000">
        <f>IF(Sync!$AH1000="","",IF(LEFT(UPPER(TRIM(Sync!$AH1000)),2)="SL",UPPER(TRIM(Sync!$AH1000)),""))</f>
        <v/>
      </c>
      <c r="G1000">
        <f>IF($F1000="","",IF(Sync!$AE1000="","",IF(ISNUMBER(Sync!$AE1000),IF(AND(Sync!$AE1000&gt;=10000101,Sync!$AE1000&lt;=99991231),INT(Sync!$AE1000/10000),""),IFERROR(VALUE(TRIM(LEFT(Sync!$AE1000,FIND("/",Sync!$AE1000)-1))),""))))</f>
        <v/>
      </c>
      <c r="H1000">
        <f>IF(OR($F1000="",$G1000=""),"",IF(ISNUMBER(Sync!$AE1000),INT(MOD(Sync!$AE1000,10000)/100),IFERROR(VALUE(TRIM(LEFT(MID(Sync!$AE1000,FIND("/",Sync!$AE1000)+1,20),FIND("/",MID(Sync!$AE1000,FIND("/",Sync!$AE1000)+1,20))-1))),"")))</f>
        <v/>
      </c>
      <c r="I1000">
        <f>IF(OR($F1000="",$G1000=""),"",IF(ISNUMBER(Sync!$AE1000),MOD(Sync!$AE1000,100),IFERROR(VALUE(TRIM(MID(MID(Sync!$AE1000,FIND("/",Sync!$AE1000)+1,20),FIND("/",MID(Sync!$AE1000,FIND("/",Sync!$AE1000)+1,20))+1,20))),"")))</f>
        <v/>
      </c>
      <c r="J1000">
        <f>IF($F1000="","",IF(OR($G1000="",$H1000="",$I1000="",$G1000&lt;1300,$G1000&gt;1500,$H1000&lt;1,$H1000&gt;12,$I1000&lt;1,$I1000&gt;31),"نامعتبر",RIGHT("0000"&amp;$G1000,4)&amp;"/"&amp;RIGHT("00"&amp;$H1000,2)&amp;"/"&amp;RIGHT("00"&amp;$I1000,2)))</f>
        <v/>
      </c>
      <c r="K1000">
        <f>IF(OR($F1000="",$J1000="",$J1000="نامعتبر"),"",LEFT($J1000,4)&amp;MID($J1000,6,2)&amp;RIGHT($J1000,2)&amp;$N1000&amp;"|"&amp;"2"&amp;RIGHT("00000"&amp;995,5))</f>
        <v/>
      </c>
      <c r="L1000">
        <f>IF($K1000="","",COUNTIFS(LdgSellerA,$F1000,LdgKeyA,"&lt;"&amp;$K1000)+COUNTIFS(LdgSellerB,$F1000,LdgKeyB,"&lt;"&amp;$K1000)+1)</f>
        <v/>
      </c>
      <c r="M1000">
        <f>IF($L1000="","",$F1000&amp;"|"&amp;RIGHT("000000"&amp;$L1000,6))</f>
        <v/>
      </c>
      <c r="N1000">
        <f>IF($F1000="","",IF(Sync!$AF1000="","0000",IF(AND(ISNUMBER(Sync!$AF1000),Sync!$AF1000&gt;=0,Sync!$AF1000&lt;1),RIGHT("00"&amp;HOUR(Sync!$AF1000),2)&amp;RIGHT("00"&amp;MINUTE(Sync!$AF1000),2),IFERROR(RIGHT("00"&amp;VALUE(LEFT(Sync!$AF1000,FIND(":",Sync!$AF1000)-1)),2)&amp;RIGHT("00"&amp;VALUE(MID(Sync!$AF1000,FIND(":",Sync!$AF1000)+1,2)),2),"0000"))))</f>
        <v/>
      </c>
    </row>
    <row r="1001">
      <c r="A1001">
        <f>IF(OR(Calc!$E1005="",Calc!$E1005="نامعتبر",Calc!$G1005=""),"",Calc!$G1005)</f>
        <v/>
      </c>
      <c r="B1001">
        <f>IF($A1001="","",LEFT(Calc!$E1005,4)&amp;MID(Calc!$E1005,6,2)&amp;RIGHT(Calc!$E1005,2)&amp;Calc!$Q1005&amp;"|"&amp;"1"&amp;RIGHT("00000"&amp;996,5))</f>
        <v/>
      </c>
      <c r="C1001">
        <f>IF($B1001="","",COUNTIFS(LdgSellerA,$A1001,LdgKeyA,"&lt;"&amp;$B1001)+COUNTIFS(LdgSellerB,$A1001,LdgKeyB,"&lt;"&amp;$B1001)+1)</f>
        <v/>
      </c>
      <c r="D1001">
        <f>IF($C1001="","",$A1001&amp;"|"&amp;RIGHT("000000"&amp;$C1001,6))</f>
        <v/>
      </c>
      <c r="F1001">
        <f>IF(Sync!$AH1001="","",IF(LEFT(UPPER(TRIM(Sync!$AH1001)),2)="SL",UPPER(TRIM(Sync!$AH1001)),""))</f>
        <v/>
      </c>
      <c r="G1001">
        <f>IF($F1001="","",IF(Sync!$AE1001="","",IF(ISNUMBER(Sync!$AE1001),IF(AND(Sync!$AE1001&gt;=10000101,Sync!$AE1001&lt;=99991231),INT(Sync!$AE1001/10000),""),IFERROR(VALUE(TRIM(LEFT(Sync!$AE1001,FIND("/",Sync!$AE1001)-1))),""))))</f>
        <v/>
      </c>
      <c r="H1001">
        <f>IF(OR($F1001="",$G1001=""),"",IF(ISNUMBER(Sync!$AE1001),INT(MOD(Sync!$AE1001,10000)/100),IFERROR(VALUE(TRIM(LEFT(MID(Sync!$AE1001,FIND("/",Sync!$AE1001)+1,20),FIND("/",MID(Sync!$AE1001,FIND("/",Sync!$AE1001)+1,20))-1))),"")))</f>
        <v/>
      </c>
      <c r="I1001">
        <f>IF(OR($F1001="",$G1001=""),"",IF(ISNUMBER(Sync!$AE1001),MOD(Sync!$AE1001,100),IFERROR(VALUE(TRIM(MID(MID(Sync!$AE1001,FIND("/",Sync!$AE1001)+1,20),FIND("/",MID(Sync!$AE1001,FIND("/",Sync!$AE1001)+1,20))+1,20))),"")))</f>
        <v/>
      </c>
      <c r="J1001">
        <f>IF($F1001="","",IF(OR($G1001="",$H1001="",$I1001="",$G1001&lt;1300,$G1001&gt;1500,$H1001&lt;1,$H1001&gt;12,$I1001&lt;1,$I1001&gt;31),"نامعتبر",RIGHT("0000"&amp;$G1001,4)&amp;"/"&amp;RIGHT("00"&amp;$H1001,2)&amp;"/"&amp;RIGHT("00"&amp;$I1001,2)))</f>
        <v/>
      </c>
      <c r="K1001">
        <f>IF(OR($F1001="",$J1001="",$J1001="نامعتبر"),"",LEFT($J1001,4)&amp;MID($J1001,6,2)&amp;RIGHT($J1001,2)&amp;$N1001&amp;"|"&amp;"2"&amp;RIGHT("00000"&amp;996,5))</f>
        <v/>
      </c>
      <c r="L1001">
        <f>IF($K1001="","",COUNTIFS(LdgSellerA,$F1001,LdgKeyA,"&lt;"&amp;$K1001)+COUNTIFS(LdgSellerB,$F1001,LdgKeyB,"&lt;"&amp;$K1001)+1)</f>
        <v/>
      </c>
      <c r="M1001">
        <f>IF($L1001="","",$F1001&amp;"|"&amp;RIGHT("000000"&amp;$L1001,6))</f>
        <v/>
      </c>
      <c r="N1001">
        <f>IF($F1001="","",IF(Sync!$AF1001="","0000",IF(AND(ISNUMBER(Sync!$AF1001),Sync!$AF1001&gt;=0,Sync!$AF1001&lt;1),RIGHT("00"&amp;HOUR(Sync!$AF1001),2)&amp;RIGHT("00"&amp;MINUTE(Sync!$AF1001),2),IFERROR(RIGHT("00"&amp;VALUE(LEFT(Sync!$AF1001,FIND(":",Sync!$AF1001)-1)),2)&amp;RIGHT("00"&amp;VALUE(MID(Sync!$AF1001,FIND(":",Sync!$AF1001)+1,2)),2),"0000"))))</f>
        <v/>
      </c>
    </row>
    <row r="1002">
      <c r="A1002">
        <f>IF(OR(Calc!$E1006="",Calc!$E1006="نامعتبر",Calc!$G1006=""),"",Calc!$G1006)</f>
        <v/>
      </c>
      <c r="B1002">
        <f>IF($A1002="","",LEFT(Calc!$E1006,4)&amp;MID(Calc!$E1006,6,2)&amp;RIGHT(Calc!$E1006,2)&amp;Calc!$Q1006&amp;"|"&amp;"1"&amp;RIGHT("00000"&amp;997,5))</f>
        <v/>
      </c>
      <c r="C1002">
        <f>IF($B1002="","",COUNTIFS(LdgSellerA,$A1002,LdgKeyA,"&lt;"&amp;$B1002)+COUNTIFS(LdgSellerB,$A1002,LdgKeyB,"&lt;"&amp;$B1002)+1)</f>
        <v/>
      </c>
      <c r="D1002">
        <f>IF($C1002="","",$A1002&amp;"|"&amp;RIGHT("000000"&amp;$C1002,6))</f>
        <v/>
      </c>
      <c r="F1002">
        <f>IF(Sync!$AH1002="","",IF(LEFT(UPPER(TRIM(Sync!$AH1002)),2)="SL",UPPER(TRIM(Sync!$AH1002)),""))</f>
        <v/>
      </c>
      <c r="G1002">
        <f>IF($F1002="","",IF(Sync!$AE1002="","",IF(ISNUMBER(Sync!$AE1002),IF(AND(Sync!$AE1002&gt;=10000101,Sync!$AE1002&lt;=99991231),INT(Sync!$AE1002/10000),""),IFERROR(VALUE(TRIM(LEFT(Sync!$AE1002,FIND("/",Sync!$AE1002)-1))),""))))</f>
        <v/>
      </c>
      <c r="H1002">
        <f>IF(OR($F1002="",$G1002=""),"",IF(ISNUMBER(Sync!$AE1002),INT(MOD(Sync!$AE1002,10000)/100),IFERROR(VALUE(TRIM(LEFT(MID(Sync!$AE1002,FIND("/",Sync!$AE1002)+1,20),FIND("/",MID(Sync!$AE1002,FIND("/",Sync!$AE1002)+1,20))-1))),"")))</f>
        <v/>
      </c>
      <c r="I1002">
        <f>IF(OR($F1002="",$G1002=""),"",IF(ISNUMBER(Sync!$AE1002),MOD(Sync!$AE1002,100),IFERROR(VALUE(TRIM(MID(MID(Sync!$AE1002,FIND("/",Sync!$AE1002)+1,20),FIND("/",MID(Sync!$AE1002,FIND("/",Sync!$AE1002)+1,20))+1,20))),"")))</f>
        <v/>
      </c>
      <c r="J1002">
        <f>IF($F1002="","",IF(OR($G1002="",$H1002="",$I1002="",$G1002&lt;1300,$G1002&gt;1500,$H1002&lt;1,$H1002&gt;12,$I1002&lt;1,$I1002&gt;31),"نامعتبر",RIGHT("0000"&amp;$G1002,4)&amp;"/"&amp;RIGHT("00"&amp;$H1002,2)&amp;"/"&amp;RIGHT("00"&amp;$I1002,2)))</f>
        <v/>
      </c>
      <c r="K1002">
        <f>IF(OR($F1002="",$J1002="",$J1002="نامعتبر"),"",LEFT($J1002,4)&amp;MID($J1002,6,2)&amp;RIGHT($J1002,2)&amp;$N1002&amp;"|"&amp;"2"&amp;RIGHT("00000"&amp;997,5))</f>
        <v/>
      </c>
      <c r="L1002">
        <f>IF($K1002="","",COUNTIFS(LdgSellerA,$F1002,LdgKeyA,"&lt;"&amp;$K1002)+COUNTIFS(LdgSellerB,$F1002,LdgKeyB,"&lt;"&amp;$K1002)+1)</f>
        <v/>
      </c>
      <c r="M1002">
        <f>IF($L1002="","",$F1002&amp;"|"&amp;RIGHT("000000"&amp;$L1002,6))</f>
        <v/>
      </c>
      <c r="N1002">
        <f>IF($F1002="","",IF(Sync!$AF1002="","0000",IF(AND(ISNUMBER(Sync!$AF1002),Sync!$AF1002&gt;=0,Sync!$AF1002&lt;1),RIGHT("00"&amp;HOUR(Sync!$AF1002),2)&amp;RIGHT("00"&amp;MINUTE(Sync!$AF1002),2),IFERROR(RIGHT("00"&amp;VALUE(LEFT(Sync!$AF1002,FIND(":",Sync!$AF1002)-1)),2)&amp;RIGHT("00"&amp;VALUE(MID(Sync!$AF1002,FIND(":",Sync!$AF1002)+1,2)),2),"0000"))))</f>
        <v/>
      </c>
    </row>
    <row r="1003">
      <c r="A1003">
        <f>IF(OR(Calc!$E1007="",Calc!$E1007="نامعتبر",Calc!$G1007=""),"",Calc!$G1007)</f>
        <v/>
      </c>
      <c r="B1003">
        <f>IF($A1003="","",LEFT(Calc!$E1007,4)&amp;MID(Calc!$E1007,6,2)&amp;RIGHT(Calc!$E1007,2)&amp;Calc!$Q1007&amp;"|"&amp;"1"&amp;RIGHT("00000"&amp;998,5))</f>
        <v/>
      </c>
      <c r="C1003">
        <f>IF($B1003="","",COUNTIFS(LdgSellerA,$A1003,LdgKeyA,"&lt;"&amp;$B1003)+COUNTIFS(LdgSellerB,$A1003,LdgKeyB,"&lt;"&amp;$B1003)+1)</f>
        <v/>
      </c>
      <c r="D1003">
        <f>IF($C1003="","",$A1003&amp;"|"&amp;RIGHT("000000"&amp;$C1003,6))</f>
        <v/>
      </c>
      <c r="F1003">
        <f>IF(Sync!$AH1003="","",IF(LEFT(UPPER(TRIM(Sync!$AH1003)),2)="SL",UPPER(TRIM(Sync!$AH1003)),""))</f>
        <v/>
      </c>
      <c r="G1003">
        <f>IF($F1003="","",IF(Sync!$AE1003="","",IF(ISNUMBER(Sync!$AE1003),IF(AND(Sync!$AE1003&gt;=10000101,Sync!$AE1003&lt;=99991231),INT(Sync!$AE1003/10000),""),IFERROR(VALUE(TRIM(LEFT(Sync!$AE1003,FIND("/",Sync!$AE1003)-1))),""))))</f>
        <v/>
      </c>
      <c r="H1003">
        <f>IF(OR($F1003="",$G1003=""),"",IF(ISNUMBER(Sync!$AE1003),INT(MOD(Sync!$AE1003,10000)/100),IFERROR(VALUE(TRIM(LEFT(MID(Sync!$AE1003,FIND("/",Sync!$AE1003)+1,20),FIND("/",MID(Sync!$AE1003,FIND("/",Sync!$AE1003)+1,20))-1))),"")))</f>
        <v/>
      </c>
      <c r="I1003">
        <f>IF(OR($F1003="",$G1003=""),"",IF(ISNUMBER(Sync!$AE1003),MOD(Sync!$AE1003,100),IFERROR(VALUE(TRIM(MID(MID(Sync!$AE1003,FIND("/",Sync!$AE1003)+1,20),FIND("/",MID(Sync!$AE1003,FIND("/",Sync!$AE1003)+1,20))+1,20))),"")))</f>
        <v/>
      </c>
      <c r="J1003">
        <f>IF($F1003="","",IF(OR($G1003="",$H1003="",$I1003="",$G1003&lt;1300,$G1003&gt;1500,$H1003&lt;1,$H1003&gt;12,$I1003&lt;1,$I1003&gt;31),"نامعتبر",RIGHT("0000"&amp;$G1003,4)&amp;"/"&amp;RIGHT("00"&amp;$H1003,2)&amp;"/"&amp;RIGHT("00"&amp;$I1003,2)))</f>
        <v/>
      </c>
      <c r="K1003">
        <f>IF(OR($F1003="",$J1003="",$J1003="نامعتبر"),"",LEFT($J1003,4)&amp;MID($J1003,6,2)&amp;RIGHT($J1003,2)&amp;$N1003&amp;"|"&amp;"2"&amp;RIGHT("00000"&amp;998,5))</f>
        <v/>
      </c>
      <c r="L1003">
        <f>IF($K1003="","",COUNTIFS(LdgSellerA,$F1003,LdgKeyA,"&lt;"&amp;$K1003)+COUNTIFS(LdgSellerB,$F1003,LdgKeyB,"&lt;"&amp;$K1003)+1)</f>
        <v/>
      </c>
      <c r="M1003">
        <f>IF($L1003="","",$F1003&amp;"|"&amp;RIGHT("000000"&amp;$L1003,6))</f>
        <v/>
      </c>
      <c r="N1003">
        <f>IF($F1003="","",IF(Sync!$AF1003="","0000",IF(AND(ISNUMBER(Sync!$AF1003),Sync!$AF1003&gt;=0,Sync!$AF1003&lt;1),RIGHT("00"&amp;HOUR(Sync!$AF1003),2)&amp;RIGHT("00"&amp;MINUTE(Sync!$AF1003),2),IFERROR(RIGHT("00"&amp;VALUE(LEFT(Sync!$AF1003,FIND(":",Sync!$AF1003)-1)),2)&amp;RIGHT("00"&amp;VALUE(MID(Sync!$AF1003,FIND(":",Sync!$AF1003)+1,2)),2),"0000"))))</f>
        <v/>
      </c>
    </row>
    <row r="1004">
      <c r="A1004">
        <f>IF(OR(Calc!$E1008="",Calc!$E1008="نامعتبر",Calc!$G1008=""),"",Calc!$G1008)</f>
        <v/>
      </c>
      <c r="B1004">
        <f>IF($A1004="","",LEFT(Calc!$E1008,4)&amp;MID(Calc!$E1008,6,2)&amp;RIGHT(Calc!$E1008,2)&amp;Calc!$Q1008&amp;"|"&amp;"1"&amp;RIGHT("00000"&amp;999,5))</f>
        <v/>
      </c>
      <c r="C1004">
        <f>IF($B1004="","",COUNTIFS(LdgSellerA,$A1004,LdgKeyA,"&lt;"&amp;$B1004)+COUNTIFS(LdgSellerB,$A1004,LdgKeyB,"&lt;"&amp;$B1004)+1)</f>
        <v/>
      </c>
      <c r="D1004">
        <f>IF($C1004="","",$A1004&amp;"|"&amp;RIGHT("000000"&amp;$C1004,6))</f>
        <v/>
      </c>
      <c r="F1004">
        <f>IF(Sync!$AH1004="","",IF(LEFT(UPPER(TRIM(Sync!$AH1004)),2)="SL",UPPER(TRIM(Sync!$AH1004)),""))</f>
        <v/>
      </c>
      <c r="G1004">
        <f>IF($F1004="","",IF(Sync!$AE1004="","",IF(ISNUMBER(Sync!$AE1004),IF(AND(Sync!$AE1004&gt;=10000101,Sync!$AE1004&lt;=99991231),INT(Sync!$AE1004/10000),""),IFERROR(VALUE(TRIM(LEFT(Sync!$AE1004,FIND("/",Sync!$AE1004)-1))),""))))</f>
        <v/>
      </c>
      <c r="H1004">
        <f>IF(OR($F1004="",$G1004=""),"",IF(ISNUMBER(Sync!$AE1004),INT(MOD(Sync!$AE1004,10000)/100),IFERROR(VALUE(TRIM(LEFT(MID(Sync!$AE1004,FIND("/",Sync!$AE1004)+1,20),FIND("/",MID(Sync!$AE1004,FIND("/",Sync!$AE1004)+1,20))-1))),"")))</f>
        <v/>
      </c>
      <c r="I1004">
        <f>IF(OR($F1004="",$G1004=""),"",IF(ISNUMBER(Sync!$AE1004),MOD(Sync!$AE1004,100),IFERROR(VALUE(TRIM(MID(MID(Sync!$AE1004,FIND("/",Sync!$AE1004)+1,20),FIND("/",MID(Sync!$AE1004,FIND("/",Sync!$AE1004)+1,20))+1,20))),"")))</f>
        <v/>
      </c>
      <c r="J1004">
        <f>IF($F1004="","",IF(OR($G1004="",$H1004="",$I1004="",$G1004&lt;1300,$G1004&gt;1500,$H1004&lt;1,$H1004&gt;12,$I1004&lt;1,$I1004&gt;31),"نامعتبر",RIGHT("0000"&amp;$G1004,4)&amp;"/"&amp;RIGHT("00"&amp;$H1004,2)&amp;"/"&amp;RIGHT("00"&amp;$I1004,2)))</f>
        <v/>
      </c>
      <c r="K1004">
        <f>IF(OR($F1004="",$J1004="",$J1004="نامعتبر"),"",LEFT($J1004,4)&amp;MID($J1004,6,2)&amp;RIGHT($J1004,2)&amp;$N1004&amp;"|"&amp;"2"&amp;RIGHT("00000"&amp;999,5))</f>
        <v/>
      </c>
      <c r="L1004">
        <f>IF($K1004="","",COUNTIFS(LdgSellerA,$F1004,LdgKeyA,"&lt;"&amp;$K1004)+COUNTIFS(LdgSellerB,$F1004,LdgKeyB,"&lt;"&amp;$K1004)+1)</f>
        <v/>
      </c>
      <c r="M1004">
        <f>IF($L1004="","",$F1004&amp;"|"&amp;RIGHT("000000"&amp;$L1004,6))</f>
        <v/>
      </c>
      <c r="N1004">
        <f>IF($F1004="","",IF(Sync!$AF1004="","0000",IF(AND(ISNUMBER(Sync!$AF1004),Sync!$AF1004&gt;=0,Sync!$AF1004&lt;1),RIGHT("00"&amp;HOUR(Sync!$AF1004),2)&amp;RIGHT("00"&amp;MINUTE(Sync!$AF1004),2),IFERROR(RIGHT("00"&amp;VALUE(LEFT(Sync!$AF1004,FIND(":",Sync!$AF1004)-1)),2)&amp;RIGHT("00"&amp;VALUE(MID(Sync!$AF1004,FIND(":",Sync!$AF1004)+1,2)),2),"0000"))))</f>
        <v/>
      </c>
    </row>
    <row r="1005">
      <c r="A1005">
        <f>IF(OR(Calc!$E1009="",Calc!$E1009="نامعتبر",Calc!$G1009=""),"",Calc!$G1009)</f>
        <v/>
      </c>
      <c r="B1005">
        <f>IF($A1005="","",LEFT(Calc!$E1009,4)&amp;MID(Calc!$E1009,6,2)&amp;RIGHT(Calc!$E1009,2)&amp;Calc!$Q1009&amp;"|"&amp;"1"&amp;RIGHT("00000"&amp;1000,5))</f>
        <v/>
      </c>
      <c r="C1005">
        <f>IF($B1005="","",COUNTIFS(LdgSellerA,$A1005,LdgKeyA,"&lt;"&amp;$B1005)+COUNTIFS(LdgSellerB,$A1005,LdgKeyB,"&lt;"&amp;$B1005)+1)</f>
        <v/>
      </c>
      <c r="D1005">
        <f>IF($C1005="","",$A1005&amp;"|"&amp;RIGHT("000000"&amp;$C1005,6))</f>
        <v/>
      </c>
      <c r="F1005">
        <f>IF(Sync!$AH1005="","",IF(LEFT(UPPER(TRIM(Sync!$AH1005)),2)="SL",UPPER(TRIM(Sync!$AH1005)),""))</f>
        <v/>
      </c>
      <c r="G1005">
        <f>IF($F1005="","",IF(Sync!$AE1005="","",IF(ISNUMBER(Sync!$AE1005),IF(AND(Sync!$AE1005&gt;=10000101,Sync!$AE1005&lt;=99991231),INT(Sync!$AE1005/10000),""),IFERROR(VALUE(TRIM(LEFT(Sync!$AE1005,FIND("/",Sync!$AE1005)-1))),""))))</f>
        <v/>
      </c>
      <c r="H1005">
        <f>IF(OR($F1005="",$G1005=""),"",IF(ISNUMBER(Sync!$AE1005),INT(MOD(Sync!$AE1005,10000)/100),IFERROR(VALUE(TRIM(LEFT(MID(Sync!$AE1005,FIND("/",Sync!$AE1005)+1,20),FIND("/",MID(Sync!$AE1005,FIND("/",Sync!$AE1005)+1,20))-1))),"")))</f>
        <v/>
      </c>
      <c r="I1005">
        <f>IF(OR($F1005="",$G1005=""),"",IF(ISNUMBER(Sync!$AE1005),MOD(Sync!$AE1005,100),IFERROR(VALUE(TRIM(MID(MID(Sync!$AE1005,FIND("/",Sync!$AE1005)+1,20),FIND("/",MID(Sync!$AE1005,FIND("/",Sync!$AE1005)+1,20))+1,20))),"")))</f>
        <v/>
      </c>
      <c r="J1005">
        <f>IF($F1005="","",IF(OR($G1005="",$H1005="",$I1005="",$G1005&lt;1300,$G1005&gt;1500,$H1005&lt;1,$H1005&gt;12,$I1005&lt;1,$I1005&gt;31),"نامعتبر",RIGHT("0000"&amp;$G1005,4)&amp;"/"&amp;RIGHT("00"&amp;$H1005,2)&amp;"/"&amp;RIGHT("00"&amp;$I1005,2)))</f>
        <v/>
      </c>
      <c r="K1005">
        <f>IF(OR($F1005="",$J1005="",$J1005="نامعتبر"),"",LEFT($J1005,4)&amp;MID($J1005,6,2)&amp;RIGHT($J1005,2)&amp;$N1005&amp;"|"&amp;"2"&amp;RIGHT("00000"&amp;1000,5))</f>
        <v/>
      </c>
      <c r="L1005">
        <f>IF($K1005="","",COUNTIFS(LdgSellerA,$F1005,LdgKeyA,"&lt;"&amp;$K1005)+COUNTIFS(LdgSellerB,$F1005,LdgKeyB,"&lt;"&amp;$K1005)+1)</f>
        <v/>
      </c>
      <c r="M1005">
        <f>IF($L1005="","",$F1005&amp;"|"&amp;RIGHT("000000"&amp;$L1005,6))</f>
        <v/>
      </c>
      <c r="N1005">
        <f>IF($F1005="","",IF(Sync!$AF1005="","0000",IF(AND(ISNUMBER(Sync!$AF1005),Sync!$AF1005&gt;=0,Sync!$AF1005&lt;1),RIGHT("00"&amp;HOUR(Sync!$AF1005),2)&amp;RIGHT("00"&amp;MINUTE(Sync!$AF1005),2),IFERROR(RIGHT("00"&amp;VALUE(LEFT(Sync!$AF1005,FIND(":",Sync!$AF1005)-1)),2)&amp;RIGHT("00"&amp;VALUE(MID(Sync!$AF1005,FIND(":",Sync!$AF1005)+1,2)),2),"0000"))))</f>
        <v/>
      </c>
    </row>
    <row r="1006">
      <c r="A1006">
        <f>IF(OR(Calc!$E1010="",Calc!$E1010="نامعتبر",Calc!$G1010=""),"",Calc!$G1010)</f>
        <v/>
      </c>
      <c r="B1006">
        <f>IF($A1006="","",LEFT(Calc!$E1010,4)&amp;MID(Calc!$E1010,6,2)&amp;RIGHT(Calc!$E1010,2)&amp;Calc!$Q1010&amp;"|"&amp;"1"&amp;RIGHT("00000"&amp;1001,5))</f>
        <v/>
      </c>
      <c r="C1006">
        <f>IF($B1006="","",COUNTIFS(LdgSellerA,$A1006,LdgKeyA,"&lt;"&amp;$B1006)+COUNTIFS(LdgSellerB,$A1006,LdgKeyB,"&lt;"&amp;$B1006)+1)</f>
        <v/>
      </c>
      <c r="D1006">
        <f>IF($C1006="","",$A1006&amp;"|"&amp;RIGHT("000000"&amp;$C1006,6))</f>
        <v/>
      </c>
      <c r="F1006">
        <f>IF(Sync!$AH1006="","",IF(LEFT(UPPER(TRIM(Sync!$AH1006)),2)="SL",UPPER(TRIM(Sync!$AH1006)),""))</f>
        <v/>
      </c>
      <c r="G1006">
        <f>IF($F1006="","",IF(Sync!$AE1006="","",IF(ISNUMBER(Sync!$AE1006),IF(AND(Sync!$AE1006&gt;=10000101,Sync!$AE1006&lt;=99991231),INT(Sync!$AE1006/10000),""),IFERROR(VALUE(TRIM(LEFT(Sync!$AE1006,FIND("/",Sync!$AE1006)-1))),""))))</f>
        <v/>
      </c>
      <c r="H1006">
        <f>IF(OR($F1006="",$G1006=""),"",IF(ISNUMBER(Sync!$AE1006),INT(MOD(Sync!$AE1006,10000)/100),IFERROR(VALUE(TRIM(LEFT(MID(Sync!$AE1006,FIND("/",Sync!$AE1006)+1,20),FIND("/",MID(Sync!$AE1006,FIND("/",Sync!$AE1006)+1,20))-1))),"")))</f>
        <v/>
      </c>
      <c r="I1006">
        <f>IF(OR($F1006="",$G1006=""),"",IF(ISNUMBER(Sync!$AE1006),MOD(Sync!$AE1006,100),IFERROR(VALUE(TRIM(MID(MID(Sync!$AE1006,FIND("/",Sync!$AE1006)+1,20),FIND("/",MID(Sync!$AE1006,FIND("/",Sync!$AE1006)+1,20))+1,20))),"")))</f>
        <v/>
      </c>
      <c r="J1006">
        <f>IF($F1006="","",IF(OR($G1006="",$H1006="",$I1006="",$G1006&lt;1300,$G1006&gt;1500,$H1006&lt;1,$H1006&gt;12,$I1006&lt;1,$I1006&gt;31),"نامعتبر",RIGHT("0000"&amp;$G1006,4)&amp;"/"&amp;RIGHT("00"&amp;$H1006,2)&amp;"/"&amp;RIGHT("00"&amp;$I1006,2)))</f>
        <v/>
      </c>
      <c r="K1006">
        <f>IF(OR($F1006="",$J1006="",$J1006="نامعتبر"),"",LEFT($J1006,4)&amp;MID($J1006,6,2)&amp;RIGHT($J1006,2)&amp;$N1006&amp;"|"&amp;"2"&amp;RIGHT("00000"&amp;1001,5))</f>
        <v/>
      </c>
      <c r="L1006">
        <f>IF($K1006="","",COUNTIFS(LdgSellerA,$F1006,LdgKeyA,"&lt;"&amp;$K1006)+COUNTIFS(LdgSellerB,$F1006,LdgKeyB,"&lt;"&amp;$K1006)+1)</f>
        <v/>
      </c>
      <c r="M1006">
        <f>IF($L1006="","",$F1006&amp;"|"&amp;RIGHT("000000"&amp;$L1006,6))</f>
        <v/>
      </c>
      <c r="N1006">
        <f>IF($F1006="","",IF(Sync!$AF1006="","0000",IF(AND(ISNUMBER(Sync!$AF1006),Sync!$AF1006&gt;=0,Sync!$AF1006&lt;1),RIGHT("00"&amp;HOUR(Sync!$AF1006),2)&amp;RIGHT("00"&amp;MINUTE(Sync!$AF1006),2),IFERROR(RIGHT("00"&amp;VALUE(LEFT(Sync!$AF1006,FIND(":",Sync!$AF1006)-1)),2)&amp;RIGHT("00"&amp;VALUE(MID(Sync!$AF1006,FIND(":",Sync!$AF1006)+1,2)),2),"0000"))))</f>
        <v/>
      </c>
    </row>
    <row r="1007">
      <c r="A1007">
        <f>IF(OR(Calc!$E1011="",Calc!$E1011="نامعتبر",Calc!$G1011=""),"",Calc!$G1011)</f>
        <v/>
      </c>
      <c r="B1007">
        <f>IF($A1007="","",LEFT(Calc!$E1011,4)&amp;MID(Calc!$E1011,6,2)&amp;RIGHT(Calc!$E1011,2)&amp;Calc!$Q1011&amp;"|"&amp;"1"&amp;RIGHT("00000"&amp;1002,5))</f>
        <v/>
      </c>
      <c r="C1007">
        <f>IF($B1007="","",COUNTIFS(LdgSellerA,$A1007,LdgKeyA,"&lt;"&amp;$B1007)+COUNTIFS(LdgSellerB,$A1007,LdgKeyB,"&lt;"&amp;$B1007)+1)</f>
        <v/>
      </c>
      <c r="D1007">
        <f>IF($C1007="","",$A1007&amp;"|"&amp;RIGHT("000000"&amp;$C1007,6))</f>
        <v/>
      </c>
      <c r="F1007">
        <f>IF(Sync!$AH1007="","",IF(LEFT(UPPER(TRIM(Sync!$AH1007)),2)="SL",UPPER(TRIM(Sync!$AH1007)),""))</f>
        <v/>
      </c>
      <c r="G1007">
        <f>IF($F1007="","",IF(Sync!$AE1007="","",IF(ISNUMBER(Sync!$AE1007),IF(AND(Sync!$AE1007&gt;=10000101,Sync!$AE1007&lt;=99991231),INT(Sync!$AE1007/10000),""),IFERROR(VALUE(TRIM(LEFT(Sync!$AE1007,FIND("/",Sync!$AE1007)-1))),""))))</f>
        <v/>
      </c>
      <c r="H1007">
        <f>IF(OR($F1007="",$G1007=""),"",IF(ISNUMBER(Sync!$AE1007),INT(MOD(Sync!$AE1007,10000)/100),IFERROR(VALUE(TRIM(LEFT(MID(Sync!$AE1007,FIND("/",Sync!$AE1007)+1,20),FIND("/",MID(Sync!$AE1007,FIND("/",Sync!$AE1007)+1,20))-1))),"")))</f>
        <v/>
      </c>
      <c r="I1007">
        <f>IF(OR($F1007="",$G1007=""),"",IF(ISNUMBER(Sync!$AE1007),MOD(Sync!$AE1007,100),IFERROR(VALUE(TRIM(MID(MID(Sync!$AE1007,FIND("/",Sync!$AE1007)+1,20),FIND("/",MID(Sync!$AE1007,FIND("/",Sync!$AE1007)+1,20))+1,20))),"")))</f>
        <v/>
      </c>
      <c r="J1007">
        <f>IF($F1007="","",IF(OR($G1007="",$H1007="",$I1007="",$G1007&lt;1300,$G1007&gt;1500,$H1007&lt;1,$H1007&gt;12,$I1007&lt;1,$I1007&gt;31),"نامعتبر",RIGHT("0000"&amp;$G1007,4)&amp;"/"&amp;RIGHT("00"&amp;$H1007,2)&amp;"/"&amp;RIGHT("00"&amp;$I1007,2)))</f>
        <v/>
      </c>
      <c r="K1007">
        <f>IF(OR($F1007="",$J1007="",$J1007="نامعتبر"),"",LEFT($J1007,4)&amp;MID($J1007,6,2)&amp;RIGHT($J1007,2)&amp;$N1007&amp;"|"&amp;"2"&amp;RIGHT("00000"&amp;1002,5))</f>
        <v/>
      </c>
      <c r="L1007">
        <f>IF($K1007="","",COUNTIFS(LdgSellerA,$F1007,LdgKeyA,"&lt;"&amp;$K1007)+COUNTIFS(LdgSellerB,$F1007,LdgKeyB,"&lt;"&amp;$K1007)+1)</f>
        <v/>
      </c>
      <c r="M1007">
        <f>IF($L1007="","",$F1007&amp;"|"&amp;RIGHT("000000"&amp;$L1007,6))</f>
        <v/>
      </c>
      <c r="N1007">
        <f>IF($F1007="","",IF(Sync!$AF1007="","0000",IF(AND(ISNUMBER(Sync!$AF1007),Sync!$AF1007&gt;=0,Sync!$AF1007&lt;1),RIGHT("00"&amp;HOUR(Sync!$AF1007),2)&amp;RIGHT("00"&amp;MINUTE(Sync!$AF1007),2),IFERROR(RIGHT("00"&amp;VALUE(LEFT(Sync!$AF1007,FIND(":",Sync!$AF1007)-1)),2)&amp;RIGHT("00"&amp;VALUE(MID(Sync!$AF1007,FIND(":",Sync!$AF1007)+1,2)),2),"0000"))))</f>
        <v/>
      </c>
    </row>
    <row r="1008">
      <c r="A1008">
        <f>IF(OR(Calc!$E1012="",Calc!$E1012="نامعتبر",Calc!$G1012=""),"",Calc!$G1012)</f>
        <v/>
      </c>
      <c r="B1008">
        <f>IF($A1008="","",LEFT(Calc!$E1012,4)&amp;MID(Calc!$E1012,6,2)&amp;RIGHT(Calc!$E1012,2)&amp;Calc!$Q1012&amp;"|"&amp;"1"&amp;RIGHT("00000"&amp;1003,5))</f>
        <v/>
      </c>
      <c r="C1008">
        <f>IF($B1008="","",COUNTIFS(LdgSellerA,$A1008,LdgKeyA,"&lt;"&amp;$B1008)+COUNTIFS(LdgSellerB,$A1008,LdgKeyB,"&lt;"&amp;$B1008)+1)</f>
        <v/>
      </c>
      <c r="D1008">
        <f>IF($C1008="","",$A1008&amp;"|"&amp;RIGHT("000000"&amp;$C1008,6))</f>
        <v/>
      </c>
      <c r="F1008">
        <f>IF(Sync!$AH1008="","",IF(LEFT(UPPER(TRIM(Sync!$AH1008)),2)="SL",UPPER(TRIM(Sync!$AH1008)),""))</f>
        <v/>
      </c>
      <c r="G1008">
        <f>IF($F1008="","",IF(Sync!$AE1008="","",IF(ISNUMBER(Sync!$AE1008),IF(AND(Sync!$AE1008&gt;=10000101,Sync!$AE1008&lt;=99991231),INT(Sync!$AE1008/10000),""),IFERROR(VALUE(TRIM(LEFT(Sync!$AE1008,FIND("/",Sync!$AE1008)-1))),""))))</f>
        <v/>
      </c>
      <c r="H1008">
        <f>IF(OR($F1008="",$G1008=""),"",IF(ISNUMBER(Sync!$AE1008),INT(MOD(Sync!$AE1008,10000)/100),IFERROR(VALUE(TRIM(LEFT(MID(Sync!$AE1008,FIND("/",Sync!$AE1008)+1,20),FIND("/",MID(Sync!$AE1008,FIND("/",Sync!$AE1008)+1,20))-1))),"")))</f>
        <v/>
      </c>
      <c r="I1008">
        <f>IF(OR($F1008="",$G1008=""),"",IF(ISNUMBER(Sync!$AE1008),MOD(Sync!$AE1008,100),IFERROR(VALUE(TRIM(MID(MID(Sync!$AE1008,FIND("/",Sync!$AE1008)+1,20),FIND("/",MID(Sync!$AE1008,FIND("/",Sync!$AE1008)+1,20))+1,20))),"")))</f>
        <v/>
      </c>
      <c r="J1008">
        <f>IF($F1008="","",IF(OR($G1008="",$H1008="",$I1008="",$G1008&lt;1300,$G1008&gt;1500,$H1008&lt;1,$H1008&gt;12,$I1008&lt;1,$I1008&gt;31),"نامعتبر",RIGHT("0000"&amp;$G1008,4)&amp;"/"&amp;RIGHT("00"&amp;$H1008,2)&amp;"/"&amp;RIGHT("00"&amp;$I1008,2)))</f>
        <v/>
      </c>
      <c r="K1008">
        <f>IF(OR($F1008="",$J1008="",$J1008="نامعتبر"),"",LEFT($J1008,4)&amp;MID($J1008,6,2)&amp;RIGHT($J1008,2)&amp;$N1008&amp;"|"&amp;"2"&amp;RIGHT("00000"&amp;1003,5))</f>
        <v/>
      </c>
      <c r="L1008">
        <f>IF($K1008="","",COUNTIFS(LdgSellerA,$F1008,LdgKeyA,"&lt;"&amp;$K1008)+COUNTIFS(LdgSellerB,$F1008,LdgKeyB,"&lt;"&amp;$K1008)+1)</f>
        <v/>
      </c>
      <c r="M1008">
        <f>IF($L1008="","",$F1008&amp;"|"&amp;RIGHT("000000"&amp;$L1008,6))</f>
        <v/>
      </c>
      <c r="N1008">
        <f>IF($F1008="","",IF(Sync!$AF1008="","0000",IF(AND(ISNUMBER(Sync!$AF1008),Sync!$AF1008&gt;=0,Sync!$AF1008&lt;1),RIGHT("00"&amp;HOUR(Sync!$AF1008),2)&amp;RIGHT("00"&amp;MINUTE(Sync!$AF1008),2),IFERROR(RIGHT("00"&amp;VALUE(LEFT(Sync!$AF1008,FIND(":",Sync!$AF1008)-1)),2)&amp;RIGHT("00"&amp;VALUE(MID(Sync!$AF1008,FIND(":",Sync!$AF1008)+1,2)),2),"0000"))))</f>
        <v/>
      </c>
    </row>
    <row r="1009">
      <c r="A1009">
        <f>IF(OR(Calc!$E1013="",Calc!$E1013="نامعتبر",Calc!$G1013=""),"",Calc!$G1013)</f>
        <v/>
      </c>
      <c r="B1009">
        <f>IF($A1009="","",LEFT(Calc!$E1013,4)&amp;MID(Calc!$E1013,6,2)&amp;RIGHT(Calc!$E1013,2)&amp;Calc!$Q1013&amp;"|"&amp;"1"&amp;RIGHT("00000"&amp;1004,5))</f>
        <v/>
      </c>
      <c r="C1009">
        <f>IF($B1009="","",COUNTIFS(LdgSellerA,$A1009,LdgKeyA,"&lt;"&amp;$B1009)+COUNTIFS(LdgSellerB,$A1009,LdgKeyB,"&lt;"&amp;$B1009)+1)</f>
        <v/>
      </c>
      <c r="D1009">
        <f>IF($C1009="","",$A1009&amp;"|"&amp;RIGHT("000000"&amp;$C1009,6))</f>
        <v/>
      </c>
      <c r="F1009">
        <f>IF(Sync!$AH1009="","",IF(LEFT(UPPER(TRIM(Sync!$AH1009)),2)="SL",UPPER(TRIM(Sync!$AH1009)),""))</f>
        <v/>
      </c>
      <c r="G1009">
        <f>IF($F1009="","",IF(Sync!$AE1009="","",IF(ISNUMBER(Sync!$AE1009),IF(AND(Sync!$AE1009&gt;=10000101,Sync!$AE1009&lt;=99991231),INT(Sync!$AE1009/10000),""),IFERROR(VALUE(TRIM(LEFT(Sync!$AE1009,FIND("/",Sync!$AE1009)-1))),""))))</f>
        <v/>
      </c>
      <c r="H1009">
        <f>IF(OR($F1009="",$G1009=""),"",IF(ISNUMBER(Sync!$AE1009),INT(MOD(Sync!$AE1009,10000)/100),IFERROR(VALUE(TRIM(LEFT(MID(Sync!$AE1009,FIND("/",Sync!$AE1009)+1,20),FIND("/",MID(Sync!$AE1009,FIND("/",Sync!$AE1009)+1,20))-1))),"")))</f>
        <v/>
      </c>
      <c r="I1009">
        <f>IF(OR($F1009="",$G1009=""),"",IF(ISNUMBER(Sync!$AE1009),MOD(Sync!$AE1009,100),IFERROR(VALUE(TRIM(MID(MID(Sync!$AE1009,FIND("/",Sync!$AE1009)+1,20),FIND("/",MID(Sync!$AE1009,FIND("/",Sync!$AE1009)+1,20))+1,20))),"")))</f>
        <v/>
      </c>
      <c r="J1009">
        <f>IF($F1009="","",IF(OR($G1009="",$H1009="",$I1009="",$G1009&lt;1300,$G1009&gt;1500,$H1009&lt;1,$H1009&gt;12,$I1009&lt;1,$I1009&gt;31),"نامعتبر",RIGHT("0000"&amp;$G1009,4)&amp;"/"&amp;RIGHT("00"&amp;$H1009,2)&amp;"/"&amp;RIGHT("00"&amp;$I1009,2)))</f>
        <v/>
      </c>
      <c r="K1009">
        <f>IF(OR($F1009="",$J1009="",$J1009="نامعتبر"),"",LEFT($J1009,4)&amp;MID($J1009,6,2)&amp;RIGHT($J1009,2)&amp;$N1009&amp;"|"&amp;"2"&amp;RIGHT("00000"&amp;1004,5))</f>
        <v/>
      </c>
      <c r="L1009">
        <f>IF($K1009="","",COUNTIFS(LdgSellerA,$F1009,LdgKeyA,"&lt;"&amp;$K1009)+COUNTIFS(LdgSellerB,$F1009,LdgKeyB,"&lt;"&amp;$K1009)+1)</f>
        <v/>
      </c>
      <c r="M1009">
        <f>IF($L1009="","",$F1009&amp;"|"&amp;RIGHT("000000"&amp;$L1009,6))</f>
        <v/>
      </c>
      <c r="N1009">
        <f>IF($F1009="","",IF(Sync!$AF1009="","0000",IF(AND(ISNUMBER(Sync!$AF1009),Sync!$AF1009&gt;=0,Sync!$AF1009&lt;1),RIGHT("00"&amp;HOUR(Sync!$AF1009),2)&amp;RIGHT("00"&amp;MINUTE(Sync!$AF1009),2),IFERROR(RIGHT("00"&amp;VALUE(LEFT(Sync!$AF1009,FIND(":",Sync!$AF1009)-1)),2)&amp;RIGHT("00"&amp;VALUE(MID(Sync!$AF1009,FIND(":",Sync!$AF1009)+1,2)),2),"0000"))))</f>
        <v/>
      </c>
    </row>
    <row r="1010">
      <c r="A1010">
        <f>IF(OR(Calc!$E1014="",Calc!$E1014="نامعتبر",Calc!$G1014=""),"",Calc!$G1014)</f>
        <v/>
      </c>
      <c r="B1010">
        <f>IF($A1010="","",LEFT(Calc!$E1014,4)&amp;MID(Calc!$E1014,6,2)&amp;RIGHT(Calc!$E1014,2)&amp;Calc!$Q1014&amp;"|"&amp;"1"&amp;RIGHT("00000"&amp;1005,5))</f>
        <v/>
      </c>
      <c r="C1010">
        <f>IF($B1010="","",COUNTIFS(LdgSellerA,$A1010,LdgKeyA,"&lt;"&amp;$B1010)+COUNTIFS(LdgSellerB,$A1010,LdgKeyB,"&lt;"&amp;$B1010)+1)</f>
        <v/>
      </c>
      <c r="D1010">
        <f>IF($C1010="","",$A1010&amp;"|"&amp;RIGHT("000000"&amp;$C1010,6))</f>
        <v/>
      </c>
      <c r="F1010">
        <f>IF(Sync!$AH1010="","",IF(LEFT(UPPER(TRIM(Sync!$AH1010)),2)="SL",UPPER(TRIM(Sync!$AH1010)),""))</f>
        <v/>
      </c>
      <c r="G1010">
        <f>IF($F1010="","",IF(Sync!$AE1010="","",IF(ISNUMBER(Sync!$AE1010),IF(AND(Sync!$AE1010&gt;=10000101,Sync!$AE1010&lt;=99991231),INT(Sync!$AE1010/10000),""),IFERROR(VALUE(TRIM(LEFT(Sync!$AE1010,FIND("/",Sync!$AE1010)-1))),""))))</f>
        <v/>
      </c>
      <c r="H1010">
        <f>IF(OR($F1010="",$G1010=""),"",IF(ISNUMBER(Sync!$AE1010),INT(MOD(Sync!$AE1010,10000)/100),IFERROR(VALUE(TRIM(LEFT(MID(Sync!$AE1010,FIND("/",Sync!$AE1010)+1,20),FIND("/",MID(Sync!$AE1010,FIND("/",Sync!$AE1010)+1,20))-1))),"")))</f>
        <v/>
      </c>
      <c r="I1010">
        <f>IF(OR($F1010="",$G1010=""),"",IF(ISNUMBER(Sync!$AE1010),MOD(Sync!$AE1010,100),IFERROR(VALUE(TRIM(MID(MID(Sync!$AE1010,FIND("/",Sync!$AE1010)+1,20),FIND("/",MID(Sync!$AE1010,FIND("/",Sync!$AE1010)+1,20))+1,20))),"")))</f>
        <v/>
      </c>
      <c r="J1010">
        <f>IF($F1010="","",IF(OR($G1010="",$H1010="",$I1010="",$G1010&lt;1300,$G1010&gt;1500,$H1010&lt;1,$H1010&gt;12,$I1010&lt;1,$I1010&gt;31),"نامعتبر",RIGHT("0000"&amp;$G1010,4)&amp;"/"&amp;RIGHT("00"&amp;$H1010,2)&amp;"/"&amp;RIGHT("00"&amp;$I1010,2)))</f>
        <v/>
      </c>
      <c r="K1010">
        <f>IF(OR($F1010="",$J1010="",$J1010="نامعتبر"),"",LEFT($J1010,4)&amp;MID($J1010,6,2)&amp;RIGHT($J1010,2)&amp;$N1010&amp;"|"&amp;"2"&amp;RIGHT("00000"&amp;1005,5))</f>
        <v/>
      </c>
      <c r="L1010">
        <f>IF($K1010="","",COUNTIFS(LdgSellerA,$F1010,LdgKeyA,"&lt;"&amp;$K1010)+COUNTIFS(LdgSellerB,$F1010,LdgKeyB,"&lt;"&amp;$K1010)+1)</f>
        <v/>
      </c>
      <c r="M1010">
        <f>IF($L1010="","",$F1010&amp;"|"&amp;RIGHT("000000"&amp;$L1010,6))</f>
        <v/>
      </c>
      <c r="N1010">
        <f>IF($F1010="","",IF(Sync!$AF1010="","0000",IF(AND(ISNUMBER(Sync!$AF1010),Sync!$AF1010&gt;=0,Sync!$AF1010&lt;1),RIGHT("00"&amp;HOUR(Sync!$AF1010),2)&amp;RIGHT("00"&amp;MINUTE(Sync!$AF1010),2),IFERROR(RIGHT("00"&amp;VALUE(LEFT(Sync!$AF1010,FIND(":",Sync!$AF1010)-1)),2)&amp;RIGHT("00"&amp;VALUE(MID(Sync!$AF1010,FIND(":",Sync!$AF1010)+1,2)),2),"0000"))))</f>
        <v/>
      </c>
    </row>
    <row r="1011">
      <c r="A1011">
        <f>IF(OR(Calc!$E1015="",Calc!$E1015="نامعتبر",Calc!$G1015=""),"",Calc!$G1015)</f>
        <v/>
      </c>
      <c r="B1011">
        <f>IF($A1011="","",LEFT(Calc!$E1015,4)&amp;MID(Calc!$E1015,6,2)&amp;RIGHT(Calc!$E1015,2)&amp;Calc!$Q1015&amp;"|"&amp;"1"&amp;RIGHT("00000"&amp;1006,5))</f>
        <v/>
      </c>
      <c r="C1011">
        <f>IF($B1011="","",COUNTIFS(LdgSellerA,$A1011,LdgKeyA,"&lt;"&amp;$B1011)+COUNTIFS(LdgSellerB,$A1011,LdgKeyB,"&lt;"&amp;$B1011)+1)</f>
        <v/>
      </c>
      <c r="D1011">
        <f>IF($C1011="","",$A1011&amp;"|"&amp;RIGHT("000000"&amp;$C1011,6))</f>
        <v/>
      </c>
      <c r="F1011">
        <f>IF(Sync!$AH1011="","",IF(LEFT(UPPER(TRIM(Sync!$AH1011)),2)="SL",UPPER(TRIM(Sync!$AH1011)),""))</f>
        <v/>
      </c>
      <c r="G1011">
        <f>IF($F1011="","",IF(Sync!$AE1011="","",IF(ISNUMBER(Sync!$AE1011),IF(AND(Sync!$AE1011&gt;=10000101,Sync!$AE1011&lt;=99991231),INT(Sync!$AE1011/10000),""),IFERROR(VALUE(TRIM(LEFT(Sync!$AE1011,FIND("/",Sync!$AE1011)-1))),""))))</f>
        <v/>
      </c>
      <c r="H1011">
        <f>IF(OR($F1011="",$G1011=""),"",IF(ISNUMBER(Sync!$AE1011),INT(MOD(Sync!$AE1011,10000)/100),IFERROR(VALUE(TRIM(LEFT(MID(Sync!$AE1011,FIND("/",Sync!$AE1011)+1,20),FIND("/",MID(Sync!$AE1011,FIND("/",Sync!$AE1011)+1,20))-1))),"")))</f>
        <v/>
      </c>
      <c r="I1011">
        <f>IF(OR($F1011="",$G1011=""),"",IF(ISNUMBER(Sync!$AE1011),MOD(Sync!$AE1011,100),IFERROR(VALUE(TRIM(MID(MID(Sync!$AE1011,FIND("/",Sync!$AE1011)+1,20),FIND("/",MID(Sync!$AE1011,FIND("/",Sync!$AE1011)+1,20))+1,20))),"")))</f>
        <v/>
      </c>
      <c r="J1011">
        <f>IF($F1011="","",IF(OR($G1011="",$H1011="",$I1011="",$G1011&lt;1300,$G1011&gt;1500,$H1011&lt;1,$H1011&gt;12,$I1011&lt;1,$I1011&gt;31),"نامعتبر",RIGHT("0000"&amp;$G1011,4)&amp;"/"&amp;RIGHT("00"&amp;$H1011,2)&amp;"/"&amp;RIGHT("00"&amp;$I1011,2)))</f>
        <v/>
      </c>
      <c r="K1011">
        <f>IF(OR($F1011="",$J1011="",$J1011="نامعتبر"),"",LEFT($J1011,4)&amp;MID($J1011,6,2)&amp;RIGHT($J1011,2)&amp;$N1011&amp;"|"&amp;"2"&amp;RIGHT("00000"&amp;1006,5))</f>
        <v/>
      </c>
      <c r="L1011">
        <f>IF($K1011="","",COUNTIFS(LdgSellerA,$F1011,LdgKeyA,"&lt;"&amp;$K1011)+COUNTIFS(LdgSellerB,$F1011,LdgKeyB,"&lt;"&amp;$K1011)+1)</f>
        <v/>
      </c>
      <c r="M1011">
        <f>IF($L1011="","",$F1011&amp;"|"&amp;RIGHT("000000"&amp;$L1011,6))</f>
        <v/>
      </c>
      <c r="N1011">
        <f>IF($F1011="","",IF(Sync!$AF1011="","0000",IF(AND(ISNUMBER(Sync!$AF1011),Sync!$AF1011&gt;=0,Sync!$AF1011&lt;1),RIGHT("00"&amp;HOUR(Sync!$AF1011),2)&amp;RIGHT("00"&amp;MINUTE(Sync!$AF1011),2),IFERROR(RIGHT("00"&amp;VALUE(LEFT(Sync!$AF1011,FIND(":",Sync!$AF1011)-1)),2)&amp;RIGHT("00"&amp;VALUE(MID(Sync!$AF1011,FIND(":",Sync!$AF1011)+1,2)),2),"0000"))))</f>
        <v/>
      </c>
    </row>
    <row r="1012">
      <c r="A1012">
        <f>IF(OR(Calc!$E1016="",Calc!$E1016="نامعتبر",Calc!$G1016=""),"",Calc!$G1016)</f>
        <v/>
      </c>
      <c r="B1012">
        <f>IF($A1012="","",LEFT(Calc!$E1016,4)&amp;MID(Calc!$E1016,6,2)&amp;RIGHT(Calc!$E1016,2)&amp;Calc!$Q1016&amp;"|"&amp;"1"&amp;RIGHT("00000"&amp;1007,5))</f>
        <v/>
      </c>
      <c r="C1012">
        <f>IF($B1012="","",COUNTIFS(LdgSellerA,$A1012,LdgKeyA,"&lt;"&amp;$B1012)+COUNTIFS(LdgSellerB,$A1012,LdgKeyB,"&lt;"&amp;$B1012)+1)</f>
        <v/>
      </c>
      <c r="D1012">
        <f>IF($C1012="","",$A1012&amp;"|"&amp;RIGHT("000000"&amp;$C1012,6))</f>
        <v/>
      </c>
      <c r="F1012">
        <f>IF(Sync!$AH1012="","",IF(LEFT(UPPER(TRIM(Sync!$AH1012)),2)="SL",UPPER(TRIM(Sync!$AH1012)),""))</f>
        <v/>
      </c>
      <c r="G1012">
        <f>IF($F1012="","",IF(Sync!$AE1012="","",IF(ISNUMBER(Sync!$AE1012),IF(AND(Sync!$AE1012&gt;=10000101,Sync!$AE1012&lt;=99991231),INT(Sync!$AE1012/10000),""),IFERROR(VALUE(TRIM(LEFT(Sync!$AE1012,FIND("/",Sync!$AE1012)-1))),""))))</f>
        <v/>
      </c>
      <c r="H1012">
        <f>IF(OR($F1012="",$G1012=""),"",IF(ISNUMBER(Sync!$AE1012),INT(MOD(Sync!$AE1012,10000)/100),IFERROR(VALUE(TRIM(LEFT(MID(Sync!$AE1012,FIND("/",Sync!$AE1012)+1,20),FIND("/",MID(Sync!$AE1012,FIND("/",Sync!$AE1012)+1,20))-1))),"")))</f>
        <v/>
      </c>
      <c r="I1012">
        <f>IF(OR($F1012="",$G1012=""),"",IF(ISNUMBER(Sync!$AE1012),MOD(Sync!$AE1012,100),IFERROR(VALUE(TRIM(MID(MID(Sync!$AE1012,FIND("/",Sync!$AE1012)+1,20),FIND("/",MID(Sync!$AE1012,FIND("/",Sync!$AE1012)+1,20))+1,20))),"")))</f>
        <v/>
      </c>
      <c r="J1012">
        <f>IF($F1012="","",IF(OR($G1012="",$H1012="",$I1012="",$G1012&lt;1300,$G1012&gt;1500,$H1012&lt;1,$H1012&gt;12,$I1012&lt;1,$I1012&gt;31),"نامعتبر",RIGHT("0000"&amp;$G1012,4)&amp;"/"&amp;RIGHT("00"&amp;$H1012,2)&amp;"/"&amp;RIGHT("00"&amp;$I1012,2)))</f>
        <v/>
      </c>
      <c r="K1012">
        <f>IF(OR($F1012="",$J1012="",$J1012="نامعتبر"),"",LEFT($J1012,4)&amp;MID($J1012,6,2)&amp;RIGHT($J1012,2)&amp;$N1012&amp;"|"&amp;"2"&amp;RIGHT("00000"&amp;1007,5))</f>
        <v/>
      </c>
      <c r="L1012">
        <f>IF($K1012="","",COUNTIFS(LdgSellerA,$F1012,LdgKeyA,"&lt;"&amp;$K1012)+COUNTIFS(LdgSellerB,$F1012,LdgKeyB,"&lt;"&amp;$K1012)+1)</f>
        <v/>
      </c>
      <c r="M1012">
        <f>IF($L1012="","",$F1012&amp;"|"&amp;RIGHT("000000"&amp;$L1012,6))</f>
        <v/>
      </c>
      <c r="N1012">
        <f>IF($F1012="","",IF(Sync!$AF1012="","0000",IF(AND(ISNUMBER(Sync!$AF1012),Sync!$AF1012&gt;=0,Sync!$AF1012&lt;1),RIGHT("00"&amp;HOUR(Sync!$AF1012),2)&amp;RIGHT("00"&amp;MINUTE(Sync!$AF1012),2),IFERROR(RIGHT("00"&amp;VALUE(LEFT(Sync!$AF1012,FIND(":",Sync!$AF1012)-1)),2)&amp;RIGHT("00"&amp;VALUE(MID(Sync!$AF1012,FIND(":",Sync!$AF1012)+1,2)),2),"0000"))))</f>
        <v/>
      </c>
    </row>
    <row r="1013">
      <c r="A1013">
        <f>IF(OR(Calc!$E1017="",Calc!$E1017="نامعتبر",Calc!$G1017=""),"",Calc!$G1017)</f>
        <v/>
      </c>
      <c r="B1013">
        <f>IF($A1013="","",LEFT(Calc!$E1017,4)&amp;MID(Calc!$E1017,6,2)&amp;RIGHT(Calc!$E1017,2)&amp;Calc!$Q1017&amp;"|"&amp;"1"&amp;RIGHT("00000"&amp;1008,5))</f>
        <v/>
      </c>
      <c r="C1013">
        <f>IF($B1013="","",COUNTIFS(LdgSellerA,$A1013,LdgKeyA,"&lt;"&amp;$B1013)+COUNTIFS(LdgSellerB,$A1013,LdgKeyB,"&lt;"&amp;$B1013)+1)</f>
        <v/>
      </c>
      <c r="D1013">
        <f>IF($C1013="","",$A1013&amp;"|"&amp;RIGHT("000000"&amp;$C1013,6))</f>
        <v/>
      </c>
      <c r="F1013">
        <f>IF(Sync!$AH1013="","",IF(LEFT(UPPER(TRIM(Sync!$AH1013)),2)="SL",UPPER(TRIM(Sync!$AH1013)),""))</f>
        <v/>
      </c>
      <c r="G1013">
        <f>IF($F1013="","",IF(Sync!$AE1013="","",IF(ISNUMBER(Sync!$AE1013),IF(AND(Sync!$AE1013&gt;=10000101,Sync!$AE1013&lt;=99991231),INT(Sync!$AE1013/10000),""),IFERROR(VALUE(TRIM(LEFT(Sync!$AE1013,FIND("/",Sync!$AE1013)-1))),""))))</f>
        <v/>
      </c>
      <c r="H1013">
        <f>IF(OR($F1013="",$G1013=""),"",IF(ISNUMBER(Sync!$AE1013),INT(MOD(Sync!$AE1013,10000)/100),IFERROR(VALUE(TRIM(LEFT(MID(Sync!$AE1013,FIND("/",Sync!$AE1013)+1,20),FIND("/",MID(Sync!$AE1013,FIND("/",Sync!$AE1013)+1,20))-1))),"")))</f>
        <v/>
      </c>
      <c r="I1013">
        <f>IF(OR($F1013="",$G1013=""),"",IF(ISNUMBER(Sync!$AE1013),MOD(Sync!$AE1013,100),IFERROR(VALUE(TRIM(MID(MID(Sync!$AE1013,FIND("/",Sync!$AE1013)+1,20),FIND("/",MID(Sync!$AE1013,FIND("/",Sync!$AE1013)+1,20))+1,20))),"")))</f>
        <v/>
      </c>
      <c r="J1013">
        <f>IF($F1013="","",IF(OR($G1013="",$H1013="",$I1013="",$G1013&lt;1300,$G1013&gt;1500,$H1013&lt;1,$H1013&gt;12,$I1013&lt;1,$I1013&gt;31),"نامعتبر",RIGHT("0000"&amp;$G1013,4)&amp;"/"&amp;RIGHT("00"&amp;$H1013,2)&amp;"/"&amp;RIGHT("00"&amp;$I1013,2)))</f>
        <v/>
      </c>
      <c r="K1013">
        <f>IF(OR($F1013="",$J1013="",$J1013="نامعتبر"),"",LEFT($J1013,4)&amp;MID($J1013,6,2)&amp;RIGHT($J1013,2)&amp;$N1013&amp;"|"&amp;"2"&amp;RIGHT("00000"&amp;1008,5))</f>
        <v/>
      </c>
      <c r="L1013">
        <f>IF($K1013="","",COUNTIFS(LdgSellerA,$F1013,LdgKeyA,"&lt;"&amp;$K1013)+COUNTIFS(LdgSellerB,$F1013,LdgKeyB,"&lt;"&amp;$K1013)+1)</f>
        <v/>
      </c>
      <c r="M1013">
        <f>IF($L1013="","",$F1013&amp;"|"&amp;RIGHT("000000"&amp;$L1013,6))</f>
        <v/>
      </c>
      <c r="N1013">
        <f>IF($F1013="","",IF(Sync!$AF1013="","0000",IF(AND(ISNUMBER(Sync!$AF1013),Sync!$AF1013&gt;=0,Sync!$AF1013&lt;1),RIGHT("00"&amp;HOUR(Sync!$AF1013),2)&amp;RIGHT("00"&amp;MINUTE(Sync!$AF1013),2),IFERROR(RIGHT("00"&amp;VALUE(LEFT(Sync!$AF1013,FIND(":",Sync!$AF1013)-1)),2)&amp;RIGHT("00"&amp;VALUE(MID(Sync!$AF1013,FIND(":",Sync!$AF1013)+1,2)),2),"0000"))))</f>
        <v/>
      </c>
    </row>
    <row r="1014">
      <c r="A1014">
        <f>IF(OR(Calc!$E1018="",Calc!$E1018="نامعتبر",Calc!$G1018=""),"",Calc!$G1018)</f>
        <v/>
      </c>
      <c r="B1014">
        <f>IF($A1014="","",LEFT(Calc!$E1018,4)&amp;MID(Calc!$E1018,6,2)&amp;RIGHT(Calc!$E1018,2)&amp;Calc!$Q1018&amp;"|"&amp;"1"&amp;RIGHT("00000"&amp;1009,5))</f>
        <v/>
      </c>
      <c r="C1014">
        <f>IF($B1014="","",COUNTIFS(LdgSellerA,$A1014,LdgKeyA,"&lt;"&amp;$B1014)+COUNTIFS(LdgSellerB,$A1014,LdgKeyB,"&lt;"&amp;$B1014)+1)</f>
        <v/>
      </c>
      <c r="D1014">
        <f>IF($C1014="","",$A1014&amp;"|"&amp;RIGHT("000000"&amp;$C1014,6))</f>
        <v/>
      </c>
      <c r="F1014">
        <f>IF(Sync!$AH1014="","",IF(LEFT(UPPER(TRIM(Sync!$AH1014)),2)="SL",UPPER(TRIM(Sync!$AH1014)),""))</f>
        <v/>
      </c>
      <c r="G1014">
        <f>IF($F1014="","",IF(Sync!$AE1014="","",IF(ISNUMBER(Sync!$AE1014),IF(AND(Sync!$AE1014&gt;=10000101,Sync!$AE1014&lt;=99991231),INT(Sync!$AE1014/10000),""),IFERROR(VALUE(TRIM(LEFT(Sync!$AE1014,FIND("/",Sync!$AE1014)-1))),""))))</f>
        <v/>
      </c>
      <c r="H1014">
        <f>IF(OR($F1014="",$G1014=""),"",IF(ISNUMBER(Sync!$AE1014),INT(MOD(Sync!$AE1014,10000)/100),IFERROR(VALUE(TRIM(LEFT(MID(Sync!$AE1014,FIND("/",Sync!$AE1014)+1,20),FIND("/",MID(Sync!$AE1014,FIND("/",Sync!$AE1014)+1,20))-1))),"")))</f>
        <v/>
      </c>
      <c r="I1014">
        <f>IF(OR($F1014="",$G1014=""),"",IF(ISNUMBER(Sync!$AE1014),MOD(Sync!$AE1014,100),IFERROR(VALUE(TRIM(MID(MID(Sync!$AE1014,FIND("/",Sync!$AE1014)+1,20),FIND("/",MID(Sync!$AE1014,FIND("/",Sync!$AE1014)+1,20))+1,20))),"")))</f>
        <v/>
      </c>
      <c r="J1014">
        <f>IF($F1014="","",IF(OR($G1014="",$H1014="",$I1014="",$G1014&lt;1300,$G1014&gt;1500,$H1014&lt;1,$H1014&gt;12,$I1014&lt;1,$I1014&gt;31),"نامعتبر",RIGHT("0000"&amp;$G1014,4)&amp;"/"&amp;RIGHT("00"&amp;$H1014,2)&amp;"/"&amp;RIGHT("00"&amp;$I1014,2)))</f>
        <v/>
      </c>
      <c r="K1014">
        <f>IF(OR($F1014="",$J1014="",$J1014="نامعتبر"),"",LEFT($J1014,4)&amp;MID($J1014,6,2)&amp;RIGHT($J1014,2)&amp;$N1014&amp;"|"&amp;"2"&amp;RIGHT("00000"&amp;1009,5))</f>
        <v/>
      </c>
      <c r="L1014">
        <f>IF($K1014="","",COUNTIFS(LdgSellerA,$F1014,LdgKeyA,"&lt;"&amp;$K1014)+COUNTIFS(LdgSellerB,$F1014,LdgKeyB,"&lt;"&amp;$K1014)+1)</f>
        <v/>
      </c>
      <c r="M1014">
        <f>IF($L1014="","",$F1014&amp;"|"&amp;RIGHT("000000"&amp;$L1014,6))</f>
        <v/>
      </c>
      <c r="N1014">
        <f>IF($F1014="","",IF(Sync!$AF1014="","0000",IF(AND(ISNUMBER(Sync!$AF1014),Sync!$AF1014&gt;=0,Sync!$AF1014&lt;1),RIGHT("00"&amp;HOUR(Sync!$AF1014),2)&amp;RIGHT("00"&amp;MINUTE(Sync!$AF1014),2),IFERROR(RIGHT("00"&amp;VALUE(LEFT(Sync!$AF1014,FIND(":",Sync!$AF1014)-1)),2)&amp;RIGHT("00"&amp;VALUE(MID(Sync!$AF1014,FIND(":",Sync!$AF1014)+1,2)),2),"0000"))))</f>
        <v/>
      </c>
    </row>
    <row r="1015">
      <c r="A1015">
        <f>IF(OR(Calc!$E1019="",Calc!$E1019="نامعتبر",Calc!$G1019=""),"",Calc!$G1019)</f>
        <v/>
      </c>
      <c r="B1015">
        <f>IF($A1015="","",LEFT(Calc!$E1019,4)&amp;MID(Calc!$E1019,6,2)&amp;RIGHT(Calc!$E1019,2)&amp;Calc!$Q1019&amp;"|"&amp;"1"&amp;RIGHT("00000"&amp;1010,5))</f>
        <v/>
      </c>
      <c r="C1015">
        <f>IF($B1015="","",COUNTIFS(LdgSellerA,$A1015,LdgKeyA,"&lt;"&amp;$B1015)+COUNTIFS(LdgSellerB,$A1015,LdgKeyB,"&lt;"&amp;$B1015)+1)</f>
        <v/>
      </c>
      <c r="D1015">
        <f>IF($C1015="","",$A1015&amp;"|"&amp;RIGHT("000000"&amp;$C1015,6))</f>
        <v/>
      </c>
      <c r="F1015">
        <f>IF(Sync!$AH1015="","",IF(LEFT(UPPER(TRIM(Sync!$AH1015)),2)="SL",UPPER(TRIM(Sync!$AH1015)),""))</f>
        <v/>
      </c>
      <c r="G1015">
        <f>IF($F1015="","",IF(Sync!$AE1015="","",IF(ISNUMBER(Sync!$AE1015),IF(AND(Sync!$AE1015&gt;=10000101,Sync!$AE1015&lt;=99991231),INT(Sync!$AE1015/10000),""),IFERROR(VALUE(TRIM(LEFT(Sync!$AE1015,FIND("/",Sync!$AE1015)-1))),""))))</f>
        <v/>
      </c>
      <c r="H1015">
        <f>IF(OR($F1015="",$G1015=""),"",IF(ISNUMBER(Sync!$AE1015),INT(MOD(Sync!$AE1015,10000)/100),IFERROR(VALUE(TRIM(LEFT(MID(Sync!$AE1015,FIND("/",Sync!$AE1015)+1,20),FIND("/",MID(Sync!$AE1015,FIND("/",Sync!$AE1015)+1,20))-1))),"")))</f>
        <v/>
      </c>
      <c r="I1015">
        <f>IF(OR($F1015="",$G1015=""),"",IF(ISNUMBER(Sync!$AE1015),MOD(Sync!$AE1015,100),IFERROR(VALUE(TRIM(MID(MID(Sync!$AE1015,FIND("/",Sync!$AE1015)+1,20),FIND("/",MID(Sync!$AE1015,FIND("/",Sync!$AE1015)+1,20))+1,20))),"")))</f>
        <v/>
      </c>
      <c r="J1015">
        <f>IF($F1015="","",IF(OR($G1015="",$H1015="",$I1015="",$G1015&lt;1300,$G1015&gt;1500,$H1015&lt;1,$H1015&gt;12,$I1015&lt;1,$I1015&gt;31),"نامعتبر",RIGHT("0000"&amp;$G1015,4)&amp;"/"&amp;RIGHT("00"&amp;$H1015,2)&amp;"/"&amp;RIGHT("00"&amp;$I1015,2)))</f>
        <v/>
      </c>
      <c r="K1015">
        <f>IF(OR($F1015="",$J1015="",$J1015="نامعتبر"),"",LEFT($J1015,4)&amp;MID($J1015,6,2)&amp;RIGHT($J1015,2)&amp;$N1015&amp;"|"&amp;"2"&amp;RIGHT("00000"&amp;1010,5))</f>
        <v/>
      </c>
      <c r="L1015">
        <f>IF($K1015="","",COUNTIFS(LdgSellerA,$F1015,LdgKeyA,"&lt;"&amp;$K1015)+COUNTIFS(LdgSellerB,$F1015,LdgKeyB,"&lt;"&amp;$K1015)+1)</f>
        <v/>
      </c>
      <c r="M1015">
        <f>IF($L1015="","",$F1015&amp;"|"&amp;RIGHT("000000"&amp;$L1015,6))</f>
        <v/>
      </c>
      <c r="N1015">
        <f>IF($F1015="","",IF(Sync!$AF1015="","0000",IF(AND(ISNUMBER(Sync!$AF1015),Sync!$AF1015&gt;=0,Sync!$AF1015&lt;1),RIGHT("00"&amp;HOUR(Sync!$AF1015),2)&amp;RIGHT("00"&amp;MINUTE(Sync!$AF1015),2),IFERROR(RIGHT("00"&amp;VALUE(LEFT(Sync!$AF1015,FIND(":",Sync!$AF1015)-1)),2)&amp;RIGHT("00"&amp;VALUE(MID(Sync!$AF1015,FIND(":",Sync!$AF1015)+1,2)),2),"0000"))))</f>
        <v/>
      </c>
    </row>
    <row r="1016">
      <c r="A1016">
        <f>IF(OR(Calc!$E1020="",Calc!$E1020="نامعتبر",Calc!$G1020=""),"",Calc!$G1020)</f>
        <v/>
      </c>
      <c r="B1016">
        <f>IF($A1016="","",LEFT(Calc!$E1020,4)&amp;MID(Calc!$E1020,6,2)&amp;RIGHT(Calc!$E1020,2)&amp;Calc!$Q1020&amp;"|"&amp;"1"&amp;RIGHT("00000"&amp;1011,5))</f>
        <v/>
      </c>
      <c r="C1016">
        <f>IF($B1016="","",COUNTIFS(LdgSellerA,$A1016,LdgKeyA,"&lt;"&amp;$B1016)+COUNTIFS(LdgSellerB,$A1016,LdgKeyB,"&lt;"&amp;$B1016)+1)</f>
        <v/>
      </c>
      <c r="D1016">
        <f>IF($C1016="","",$A1016&amp;"|"&amp;RIGHT("000000"&amp;$C1016,6))</f>
        <v/>
      </c>
      <c r="F1016">
        <f>IF(Sync!$AH1016="","",IF(LEFT(UPPER(TRIM(Sync!$AH1016)),2)="SL",UPPER(TRIM(Sync!$AH1016)),""))</f>
        <v/>
      </c>
      <c r="G1016">
        <f>IF($F1016="","",IF(Sync!$AE1016="","",IF(ISNUMBER(Sync!$AE1016),IF(AND(Sync!$AE1016&gt;=10000101,Sync!$AE1016&lt;=99991231),INT(Sync!$AE1016/10000),""),IFERROR(VALUE(TRIM(LEFT(Sync!$AE1016,FIND("/",Sync!$AE1016)-1))),""))))</f>
        <v/>
      </c>
      <c r="H1016">
        <f>IF(OR($F1016="",$G1016=""),"",IF(ISNUMBER(Sync!$AE1016),INT(MOD(Sync!$AE1016,10000)/100),IFERROR(VALUE(TRIM(LEFT(MID(Sync!$AE1016,FIND("/",Sync!$AE1016)+1,20),FIND("/",MID(Sync!$AE1016,FIND("/",Sync!$AE1016)+1,20))-1))),"")))</f>
        <v/>
      </c>
      <c r="I1016">
        <f>IF(OR($F1016="",$G1016=""),"",IF(ISNUMBER(Sync!$AE1016),MOD(Sync!$AE1016,100),IFERROR(VALUE(TRIM(MID(MID(Sync!$AE1016,FIND("/",Sync!$AE1016)+1,20),FIND("/",MID(Sync!$AE1016,FIND("/",Sync!$AE1016)+1,20))+1,20))),"")))</f>
        <v/>
      </c>
      <c r="J1016">
        <f>IF($F1016="","",IF(OR($G1016="",$H1016="",$I1016="",$G1016&lt;1300,$G1016&gt;1500,$H1016&lt;1,$H1016&gt;12,$I1016&lt;1,$I1016&gt;31),"نامعتبر",RIGHT("0000"&amp;$G1016,4)&amp;"/"&amp;RIGHT("00"&amp;$H1016,2)&amp;"/"&amp;RIGHT("00"&amp;$I1016,2)))</f>
        <v/>
      </c>
      <c r="K1016">
        <f>IF(OR($F1016="",$J1016="",$J1016="نامعتبر"),"",LEFT($J1016,4)&amp;MID($J1016,6,2)&amp;RIGHT($J1016,2)&amp;$N1016&amp;"|"&amp;"2"&amp;RIGHT("00000"&amp;1011,5))</f>
        <v/>
      </c>
      <c r="L1016">
        <f>IF($K1016="","",COUNTIFS(LdgSellerA,$F1016,LdgKeyA,"&lt;"&amp;$K1016)+COUNTIFS(LdgSellerB,$F1016,LdgKeyB,"&lt;"&amp;$K1016)+1)</f>
        <v/>
      </c>
      <c r="M1016">
        <f>IF($L1016="","",$F1016&amp;"|"&amp;RIGHT("000000"&amp;$L1016,6))</f>
        <v/>
      </c>
      <c r="N1016">
        <f>IF($F1016="","",IF(Sync!$AF1016="","0000",IF(AND(ISNUMBER(Sync!$AF1016),Sync!$AF1016&gt;=0,Sync!$AF1016&lt;1),RIGHT("00"&amp;HOUR(Sync!$AF1016),2)&amp;RIGHT("00"&amp;MINUTE(Sync!$AF1016),2),IFERROR(RIGHT("00"&amp;VALUE(LEFT(Sync!$AF1016,FIND(":",Sync!$AF1016)-1)),2)&amp;RIGHT("00"&amp;VALUE(MID(Sync!$AF1016,FIND(":",Sync!$AF1016)+1,2)),2),"0000"))))</f>
        <v/>
      </c>
    </row>
    <row r="1017">
      <c r="A1017">
        <f>IF(OR(Calc!$E1021="",Calc!$E1021="نامعتبر",Calc!$G1021=""),"",Calc!$G1021)</f>
        <v/>
      </c>
      <c r="B1017">
        <f>IF($A1017="","",LEFT(Calc!$E1021,4)&amp;MID(Calc!$E1021,6,2)&amp;RIGHT(Calc!$E1021,2)&amp;Calc!$Q1021&amp;"|"&amp;"1"&amp;RIGHT("00000"&amp;1012,5))</f>
        <v/>
      </c>
      <c r="C1017">
        <f>IF($B1017="","",COUNTIFS(LdgSellerA,$A1017,LdgKeyA,"&lt;"&amp;$B1017)+COUNTIFS(LdgSellerB,$A1017,LdgKeyB,"&lt;"&amp;$B1017)+1)</f>
        <v/>
      </c>
      <c r="D1017">
        <f>IF($C1017="","",$A1017&amp;"|"&amp;RIGHT("000000"&amp;$C1017,6))</f>
        <v/>
      </c>
      <c r="F1017">
        <f>IF(Sync!$AH1017="","",IF(LEFT(UPPER(TRIM(Sync!$AH1017)),2)="SL",UPPER(TRIM(Sync!$AH1017)),""))</f>
        <v/>
      </c>
      <c r="G1017">
        <f>IF($F1017="","",IF(Sync!$AE1017="","",IF(ISNUMBER(Sync!$AE1017),IF(AND(Sync!$AE1017&gt;=10000101,Sync!$AE1017&lt;=99991231),INT(Sync!$AE1017/10000),""),IFERROR(VALUE(TRIM(LEFT(Sync!$AE1017,FIND("/",Sync!$AE1017)-1))),""))))</f>
        <v/>
      </c>
      <c r="H1017">
        <f>IF(OR($F1017="",$G1017=""),"",IF(ISNUMBER(Sync!$AE1017),INT(MOD(Sync!$AE1017,10000)/100),IFERROR(VALUE(TRIM(LEFT(MID(Sync!$AE1017,FIND("/",Sync!$AE1017)+1,20),FIND("/",MID(Sync!$AE1017,FIND("/",Sync!$AE1017)+1,20))-1))),"")))</f>
        <v/>
      </c>
      <c r="I1017">
        <f>IF(OR($F1017="",$G1017=""),"",IF(ISNUMBER(Sync!$AE1017),MOD(Sync!$AE1017,100),IFERROR(VALUE(TRIM(MID(MID(Sync!$AE1017,FIND("/",Sync!$AE1017)+1,20),FIND("/",MID(Sync!$AE1017,FIND("/",Sync!$AE1017)+1,20))+1,20))),"")))</f>
        <v/>
      </c>
      <c r="J1017">
        <f>IF($F1017="","",IF(OR($G1017="",$H1017="",$I1017="",$G1017&lt;1300,$G1017&gt;1500,$H1017&lt;1,$H1017&gt;12,$I1017&lt;1,$I1017&gt;31),"نامعتبر",RIGHT("0000"&amp;$G1017,4)&amp;"/"&amp;RIGHT("00"&amp;$H1017,2)&amp;"/"&amp;RIGHT("00"&amp;$I1017,2)))</f>
        <v/>
      </c>
      <c r="K1017">
        <f>IF(OR($F1017="",$J1017="",$J1017="نامعتبر"),"",LEFT($J1017,4)&amp;MID($J1017,6,2)&amp;RIGHT($J1017,2)&amp;$N1017&amp;"|"&amp;"2"&amp;RIGHT("00000"&amp;1012,5))</f>
        <v/>
      </c>
      <c r="L1017">
        <f>IF($K1017="","",COUNTIFS(LdgSellerA,$F1017,LdgKeyA,"&lt;"&amp;$K1017)+COUNTIFS(LdgSellerB,$F1017,LdgKeyB,"&lt;"&amp;$K1017)+1)</f>
        <v/>
      </c>
      <c r="M1017">
        <f>IF($L1017="","",$F1017&amp;"|"&amp;RIGHT("000000"&amp;$L1017,6))</f>
        <v/>
      </c>
      <c r="N1017">
        <f>IF($F1017="","",IF(Sync!$AF1017="","0000",IF(AND(ISNUMBER(Sync!$AF1017),Sync!$AF1017&gt;=0,Sync!$AF1017&lt;1),RIGHT("00"&amp;HOUR(Sync!$AF1017),2)&amp;RIGHT("00"&amp;MINUTE(Sync!$AF1017),2),IFERROR(RIGHT("00"&amp;VALUE(LEFT(Sync!$AF1017,FIND(":",Sync!$AF1017)-1)),2)&amp;RIGHT("00"&amp;VALUE(MID(Sync!$AF1017,FIND(":",Sync!$AF1017)+1,2)),2),"0000"))))</f>
        <v/>
      </c>
    </row>
    <row r="1018">
      <c r="A1018">
        <f>IF(OR(Calc!$E1022="",Calc!$E1022="نامعتبر",Calc!$G1022=""),"",Calc!$G1022)</f>
        <v/>
      </c>
      <c r="B1018">
        <f>IF($A1018="","",LEFT(Calc!$E1022,4)&amp;MID(Calc!$E1022,6,2)&amp;RIGHT(Calc!$E1022,2)&amp;Calc!$Q1022&amp;"|"&amp;"1"&amp;RIGHT("00000"&amp;1013,5))</f>
        <v/>
      </c>
      <c r="C1018">
        <f>IF($B1018="","",COUNTIFS(LdgSellerA,$A1018,LdgKeyA,"&lt;"&amp;$B1018)+COUNTIFS(LdgSellerB,$A1018,LdgKeyB,"&lt;"&amp;$B1018)+1)</f>
        <v/>
      </c>
      <c r="D1018">
        <f>IF($C1018="","",$A1018&amp;"|"&amp;RIGHT("000000"&amp;$C1018,6))</f>
        <v/>
      </c>
      <c r="F1018">
        <f>IF(Sync!$AH1018="","",IF(LEFT(UPPER(TRIM(Sync!$AH1018)),2)="SL",UPPER(TRIM(Sync!$AH1018)),""))</f>
        <v/>
      </c>
      <c r="G1018">
        <f>IF($F1018="","",IF(Sync!$AE1018="","",IF(ISNUMBER(Sync!$AE1018),IF(AND(Sync!$AE1018&gt;=10000101,Sync!$AE1018&lt;=99991231),INT(Sync!$AE1018/10000),""),IFERROR(VALUE(TRIM(LEFT(Sync!$AE1018,FIND("/",Sync!$AE1018)-1))),""))))</f>
        <v/>
      </c>
      <c r="H1018">
        <f>IF(OR($F1018="",$G1018=""),"",IF(ISNUMBER(Sync!$AE1018),INT(MOD(Sync!$AE1018,10000)/100),IFERROR(VALUE(TRIM(LEFT(MID(Sync!$AE1018,FIND("/",Sync!$AE1018)+1,20),FIND("/",MID(Sync!$AE1018,FIND("/",Sync!$AE1018)+1,20))-1))),"")))</f>
        <v/>
      </c>
      <c r="I1018">
        <f>IF(OR($F1018="",$G1018=""),"",IF(ISNUMBER(Sync!$AE1018),MOD(Sync!$AE1018,100),IFERROR(VALUE(TRIM(MID(MID(Sync!$AE1018,FIND("/",Sync!$AE1018)+1,20),FIND("/",MID(Sync!$AE1018,FIND("/",Sync!$AE1018)+1,20))+1,20))),"")))</f>
        <v/>
      </c>
      <c r="J1018">
        <f>IF($F1018="","",IF(OR($G1018="",$H1018="",$I1018="",$G1018&lt;1300,$G1018&gt;1500,$H1018&lt;1,$H1018&gt;12,$I1018&lt;1,$I1018&gt;31),"نامعتبر",RIGHT("0000"&amp;$G1018,4)&amp;"/"&amp;RIGHT("00"&amp;$H1018,2)&amp;"/"&amp;RIGHT("00"&amp;$I1018,2)))</f>
        <v/>
      </c>
      <c r="K1018">
        <f>IF(OR($F1018="",$J1018="",$J1018="نامعتبر"),"",LEFT($J1018,4)&amp;MID($J1018,6,2)&amp;RIGHT($J1018,2)&amp;$N1018&amp;"|"&amp;"2"&amp;RIGHT("00000"&amp;1013,5))</f>
        <v/>
      </c>
      <c r="L1018">
        <f>IF($K1018="","",COUNTIFS(LdgSellerA,$F1018,LdgKeyA,"&lt;"&amp;$K1018)+COUNTIFS(LdgSellerB,$F1018,LdgKeyB,"&lt;"&amp;$K1018)+1)</f>
        <v/>
      </c>
      <c r="M1018">
        <f>IF($L1018="","",$F1018&amp;"|"&amp;RIGHT("000000"&amp;$L1018,6))</f>
        <v/>
      </c>
      <c r="N1018">
        <f>IF($F1018="","",IF(Sync!$AF1018="","0000",IF(AND(ISNUMBER(Sync!$AF1018),Sync!$AF1018&gt;=0,Sync!$AF1018&lt;1),RIGHT("00"&amp;HOUR(Sync!$AF1018),2)&amp;RIGHT("00"&amp;MINUTE(Sync!$AF1018),2),IFERROR(RIGHT("00"&amp;VALUE(LEFT(Sync!$AF1018,FIND(":",Sync!$AF1018)-1)),2)&amp;RIGHT("00"&amp;VALUE(MID(Sync!$AF1018,FIND(":",Sync!$AF1018)+1,2)),2),"0000"))))</f>
        <v/>
      </c>
    </row>
    <row r="1019">
      <c r="A1019">
        <f>IF(OR(Calc!$E1023="",Calc!$E1023="نامعتبر",Calc!$G1023=""),"",Calc!$G1023)</f>
        <v/>
      </c>
      <c r="B1019">
        <f>IF($A1019="","",LEFT(Calc!$E1023,4)&amp;MID(Calc!$E1023,6,2)&amp;RIGHT(Calc!$E1023,2)&amp;Calc!$Q1023&amp;"|"&amp;"1"&amp;RIGHT("00000"&amp;1014,5))</f>
        <v/>
      </c>
      <c r="C1019">
        <f>IF($B1019="","",COUNTIFS(LdgSellerA,$A1019,LdgKeyA,"&lt;"&amp;$B1019)+COUNTIFS(LdgSellerB,$A1019,LdgKeyB,"&lt;"&amp;$B1019)+1)</f>
        <v/>
      </c>
      <c r="D1019">
        <f>IF($C1019="","",$A1019&amp;"|"&amp;RIGHT("000000"&amp;$C1019,6))</f>
        <v/>
      </c>
      <c r="F1019">
        <f>IF(Sync!$AH1019="","",IF(LEFT(UPPER(TRIM(Sync!$AH1019)),2)="SL",UPPER(TRIM(Sync!$AH1019)),""))</f>
        <v/>
      </c>
      <c r="G1019">
        <f>IF($F1019="","",IF(Sync!$AE1019="","",IF(ISNUMBER(Sync!$AE1019),IF(AND(Sync!$AE1019&gt;=10000101,Sync!$AE1019&lt;=99991231),INT(Sync!$AE1019/10000),""),IFERROR(VALUE(TRIM(LEFT(Sync!$AE1019,FIND("/",Sync!$AE1019)-1))),""))))</f>
        <v/>
      </c>
      <c r="H1019">
        <f>IF(OR($F1019="",$G1019=""),"",IF(ISNUMBER(Sync!$AE1019),INT(MOD(Sync!$AE1019,10000)/100),IFERROR(VALUE(TRIM(LEFT(MID(Sync!$AE1019,FIND("/",Sync!$AE1019)+1,20),FIND("/",MID(Sync!$AE1019,FIND("/",Sync!$AE1019)+1,20))-1))),"")))</f>
        <v/>
      </c>
      <c r="I1019">
        <f>IF(OR($F1019="",$G1019=""),"",IF(ISNUMBER(Sync!$AE1019),MOD(Sync!$AE1019,100),IFERROR(VALUE(TRIM(MID(MID(Sync!$AE1019,FIND("/",Sync!$AE1019)+1,20),FIND("/",MID(Sync!$AE1019,FIND("/",Sync!$AE1019)+1,20))+1,20))),"")))</f>
        <v/>
      </c>
      <c r="J1019">
        <f>IF($F1019="","",IF(OR($G1019="",$H1019="",$I1019="",$G1019&lt;1300,$G1019&gt;1500,$H1019&lt;1,$H1019&gt;12,$I1019&lt;1,$I1019&gt;31),"نامعتبر",RIGHT("0000"&amp;$G1019,4)&amp;"/"&amp;RIGHT("00"&amp;$H1019,2)&amp;"/"&amp;RIGHT("00"&amp;$I1019,2)))</f>
        <v/>
      </c>
      <c r="K1019">
        <f>IF(OR($F1019="",$J1019="",$J1019="نامعتبر"),"",LEFT($J1019,4)&amp;MID($J1019,6,2)&amp;RIGHT($J1019,2)&amp;$N1019&amp;"|"&amp;"2"&amp;RIGHT("00000"&amp;1014,5))</f>
        <v/>
      </c>
      <c r="L1019">
        <f>IF($K1019="","",COUNTIFS(LdgSellerA,$F1019,LdgKeyA,"&lt;"&amp;$K1019)+COUNTIFS(LdgSellerB,$F1019,LdgKeyB,"&lt;"&amp;$K1019)+1)</f>
        <v/>
      </c>
      <c r="M1019">
        <f>IF($L1019="","",$F1019&amp;"|"&amp;RIGHT("000000"&amp;$L1019,6))</f>
        <v/>
      </c>
      <c r="N1019">
        <f>IF($F1019="","",IF(Sync!$AF1019="","0000",IF(AND(ISNUMBER(Sync!$AF1019),Sync!$AF1019&gt;=0,Sync!$AF1019&lt;1),RIGHT("00"&amp;HOUR(Sync!$AF1019),2)&amp;RIGHT("00"&amp;MINUTE(Sync!$AF1019),2),IFERROR(RIGHT("00"&amp;VALUE(LEFT(Sync!$AF1019,FIND(":",Sync!$AF1019)-1)),2)&amp;RIGHT("00"&amp;VALUE(MID(Sync!$AF1019,FIND(":",Sync!$AF1019)+1,2)),2),"0000"))))</f>
        <v/>
      </c>
    </row>
    <row r="1020">
      <c r="A1020">
        <f>IF(OR(Calc!$E1024="",Calc!$E1024="نامعتبر",Calc!$G1024=""),"",Calc!$G1024)</f>
        <v/>
      </c>
      <c r="B1020">
        <f>IF($A1020="","",LEFT(Calc!$E1024,4)&amp;MID(Calc!$E1024,6,2)&amp;RIGHT(Calc!$E1024,2)&amp;Calc!$Q1024&amp;"|"&amp;"1"&amp;RIGHT("00000"&amp;1015,5))</f>
        <v/>
      </c>
      <c r="C1020">
        <f>IF($B1020="","",COUNTIFS(LdgSellerA,$A1020,LdgKeyA,"&lt;"&amp;$B1020)+COUNTIFS(LdgSellerB,$A1020,LdgKeyB,"&lt;"&amp;$B1020)+1)</f>
        <v/>
      </c>
      <c r="D1020">
        <f>IF($C1020="","",$A1020&amp;"|"&amp;RIGHT("000000"&amp;$C1020,6))</f>
        <v/>
      </c>
      <c r="F1020">
        <f>IF(Sync!$AH1020="","",IF(LEFT(UPPER(TRIM(Sync!$AH1020)),2)="SL",UPPER(TRIM(Sync!$AH1020)),""))</f>
        <v/>
      </c>
      <c r="G1020">
        <f>IF($F1020="","",IF(Sync!$AE1020="","",IF(ISNUMBER(Sync!$AE1020),IF(AND(Sync!$AE1020&gt;=10000101,Sync!$AE1020&lt;=99991231),INT(Sync!$AE1020/10000),""),IFERROR(VALUE(TRIM(LEFT(Sync!$AE1020,FIND("/",Sync!$AE1020)-1))),""))))</f>
        <v/>
      </c>
      <c r="H1020">
        <f>IF(OR($F1020="",$G1020=""),"",IF(ISNUMBER(Sync!$AE1020),INT(MOD(Sync!$AE1020,10000)/100),IFERROR(VALUE(TRIM(LEFT(MID(Sync!$AE1020,FIND("/",Sync!$AE1020)+1,20),FIND("/",MID(Sync!$AE1020,FIND("/",Sync!$AE1020)+1,20))-1))),"")))</f>
        <v/>
      </c>
      <c r="I1020">
        <f>IF(OR($F1020="",$G1020=""),"",IF(ISNUMBER(Sync!$AE1020),MOD(Sync!$AE1020,100),IFERROR(VALUE(TRIM(MID(MID(Sync!$AE1020,FIND("/",Sync!$AE1020)+1,20),FIND("/",MID(Sync!$AE1020,FIND("/",Sync!$AE1020)+1,20))+1,20))),"")))</f>
        <v/>
      </c>
      <c r="J1020">
        <f>IF($F1020="","",IF(OR($G1020="",$H1020="",$I1020="",$G1020&lt;1300,$G1020&gt;1500,$H1020&lt;1,$H1020&gt;12,$I1020&lt;1,$I1020&gt;31),"نامعتبر",RIGHT("0000"&amp;$G1020,4)&amp;"/"&amp;RIGHT("00"&amp;$H1020,2)&amp;"/"&amp;RIGHT("00"&amp;$I1020,2)))</f>
        <v/>
      </c>
      <c r="K1020">
        <f>IF(OR($F1020="",$J1020="",$J1020="نامعتبر"),"",LEFT($J1020,4)&amp;MID($J1020,6,2)&amp;RIGHT($J1020,2)&amp;$N1020&amp;"|"&amp;"2"&amp;RIGHT("00000"&amp;1015,5))</f>
        <v/>
      </c>
      <c r="L1020">
        <f>IF($K1020="","",COUNTIFS(LdgSellerA,$F1020,LdgKeyA,"&lt;"&amp;$K1020)+COUNTIFS(LdgSellerB,$F1020,LdgKeyB,"&lt;"&amp;$K1020)+1)</f>
        <v/>
      </c>
      <c r="M1020">
        <f>IF($L1020="","",$F1020&amp;"|"&amp;RIGHT("000000"&amp;$L1020,6))</f>
        <v/>
      </c>
      <c r="N1020">
        <f>IF($F1020="","",IF(Sync!$AF1020="","0000",IF(AND(ISNUMBER(Sync!$AF1020),Sync!$AF1020&gt;=0,Sync!$AF1020&lt;1),RIGHT("00"&amp;HOUR(Sync!$AF1020),2)&amp;RIGHT("00"&amp;MINUTE(Sync!$AF1020),2),IFERROR(RIGHT("00"&amp;VALUE(LEFT(Sync!$AF1020,FIND(":",Sync!$AF1020)-1)),2)&amp;RIGHT("00"&amp;VALUE(MID(Sync!$AF1020,FIND(":",Sync!$AF1020)+1,2)),2),"0000"))))</f>
        <v/>
      </c>
    </row>
    <row r="1021">
      <c r="A1021">
        <f>IF(OR(Calc!$E1025="",Calc!$E1025="نامعتبر",Calc!$G1025=""),"",Calc!$G1025)</f>
        <v/>
      </c>
      <c r="B1021">
        <f>IF($A1021="","",LEFT(Calc!$E1025,4)&amp;MID(Calc!$E1025,6,2)&amp;RIGHT(Calc!$E1025,2)&amp;Calc!$Q1025&amp;"|"&amp;"1"&amp;RIGHT("00000"&amp;1016,5))</f>
        <v/>
      </c>
      <c r="C1021">
        <f>IF($B1021="","",COUNTIFS(LdgSellerA,$A1021,LdgKeyA,"&lt;"&amp;$B1021)+COUNTIFS(LdgSellerB,$A1021,LdgKeyB,"&lt;"&amp;$B1021)+1)</f>
        <v/>
      </c>
      <c r="D1021">
        <f>IF($C1021="","",$A1021&amp;"|"&amp;RIGHT("000000"&amp;$C1021,6))</f>
        <v/>
      </c>
      <c r="F1021">
        <f>IF(Sync!$AH1021="","",IF(LEFT(UPPER(TRIM(Sync!$AH1021)),2)="SL",UPPER(TRIM(Sync!$AH1021)),""))</f>
        <v/>
      </c>
      <c r="G1021">
        <f>IF($F1021="","",IF(Sync!$AE1021="","",IF(ISNUMBER(Sync!$AE1021),IF(AND(Sync!$AE1021&gt;=10000101,Sync!$AE1021&lt;=99991231),INT(Sync!$AE1021/10000),""),IFERROR(VALUE(TRIM(LEFT(Sync!$AE1021,FIND("/",Sync!$AE1021)-1))),""))))</f>
        <v/>
      </c>
      <c r="H1021">
        <f>IF(OR($F1021="",$G1021=""),"",IF(ISNUMBER(Sync!$AE1021),INT(MOD(Sync!$AE1021,10000)/100),IFERROR(VALUE(TRIM(LEFT(MID(Sync!$AE1021,FIND("/",Sync!$AE1021)+1,20),FIND("/",MID(Sync!$AE1021,FIND("/",Sync!$AE1021)+1,20))-1))),"")))</f>
        <v/>
      </c>
      <c r="I1021">
        <f>IF(OR($F1021="",$G1021=""),"",IF(ISNUMBER(Sync!$AE1021),MOD(Sync!$AE1021,100),IFERROR(VALUE(TRIM(MID(MID(Sync!$AE1021,FIND("/",Sync!$AE1021)+1,20),FIND("/",MID(Sync!$AE1021,FIND("/",Sync!$AE1021)+1,20))+1,20))),"")))</f>
        <v/>
      </c>
      <c r="J1021">
        <f>IF($F1021="","",IF(OR($G1021="",$H1021="",$I1021="",$G1021&lt;1300,$G1021&gt;1500,$H1021&lt;1,$H1021&gt;12,$I1021&lt;1,$I1021&gt;31),"نامعتبر",RIGHT("0000"&amp;$G1021,4)&amp;"/"&amp;RIGHT("00"&amp;$H1021,2)&amp;"/"&amp;RIGHT("00"&amp;$I1021,2)))</f>
        <v/>
      </c>
      <c r="K1021">
        <f>IF(OR($F1021="",$J1021="",$J1021="نامعتبر"),"",LEFT($J1021,4)&amp;MID($J1021,6,2)&amp;RIGHT($J1021,2)&amp;$N1021&amp;"|"&amp;"2"&amp;RIGHT("00000"&amp;1016,5))</f>
        <v/>
      </c>
      <c r="L1021">
        <f>IF($K1021="","",COUNTIFS(LdgSellerA,$F1021,LdgKeyA,"&lt;"&amp;$K1021)+COUNTIFS(LdgSellerB,$F1021,LdgKeyB,"&lt;"&amp;$K1021)+1)</f>
        <v/>
      </c>
      <c r="M1021">
        <f>IF($L1021="","",$F1021&amp;"|"&amp;RIGHT("000000"&amp;$L1021,6))</f>
        <v/>
      </c>
      <c r="N1021">
        <f>IF($F1021="","",IF(Sync!$AF1021="","0000",IF(AND(ISNUMBER(Sync!$AF1021),Sync!$AF1021&gt;=0,Sync!$AF1021&lt;1),RIGHT("00"&amp;HOUR(Sync!$AF1021),2)&amp;RIGHT("00"&amp;MINUTE(Sync!$AF1021),2),IFERROR(RIGHT("00"&amp;VALUE(LEFT(Sync!$AF1021,FIND(":",Sync!$AF1021)-1)),2)&amp;RIGHT("00"&amp;VALUE(MID(Sync!$AF1021,FIND(":",Sync!$AF1021)+1,2)),2),"0000"))))</f>
        <v/>
      </c>
    </row>
    <row r="1022">
      <c r="A1022">
        <f>IF(OR(Calc!$E1026="",Calc!$E1026="نامعتبر",Calc!$G1026=""),"",Calc!$G1026)</f>
        <v/>
      </c>
      <c r="B1022">
        <f>IF($A1022="","",LEFT(Calc!$E1026,4)&amp;MID(Calc!$E1026,6,2)&amp;RIGHT(Calc!$E1026,2)&amp;Calc!$Q1026&amp;"|"&amp;"1"&amp;RIGHT("00000"&amp;1017,5))</f>
        <v/>
      </c>
      <c r="C1022">
        <f>IF($B1022="","",COUNTIFS(LdgSellerA,$A1022,LdgKeyA,"&lt;"&amp;$B1022)+COUNTIFS(LdgSellerB,$A1022,LdgKeyB,"&lt;"&amp;$B1022)+1)</f>
        <v/>
      </c>
      <c r="D1022">
        <f>IF($C1022="","",$A1022&amp;"|"&amp;RIGHT("000000"&amp;$C1022,6))</f>
        <v/>
      </c>
      <c r="F1022">
        <f>IF(Sync!$AH1022="","",IF(LEFT(UPPER(TRIM(Sync!$AH1022)),2)="SL",UPPER(TRIM(Sync!$AH1022)),""))</f>
        <v/>
      </c>
      <c r="G1022">
        <f>IF($F1022="","",IF(Sync!$AE1022="","",IF(ISNUMBER(Sync!$AE1022),IF(AND(Sync!$AE1022&gt;=10000101,Sync!$AE1022&lt;=99991231),INT(Sync!$AE1022/10000),""),IFERROR(VALUE(TRIM(LEFT(Sync!$AE1022,FIND("/",Sync!$AE1022)-1))),""))))</f>
        <v/>
      </c>
      <c r="H1022">
        <f>IF(OR($F1022="",$G1022=""),"",IF(ISNUMBER(Sync!$AE1022),INT(MOD(Sync!$AE1022,10000)/100),IFERROR(VALUE(TRIM(LEFT(MID(Sync!$AE1022,FIND("/",Sync!$AE1022)+1,20),FIND("/",MID(Sync!$AE1022,FIND("/",Sync!$AE1022)+1,20))-1))),"")))</f>
        <v/>
      </c>
      <c r="I1022">
        <f>IF(OR($F1022="",$G1022=""),"",IF(ISNUMBER(Sync!$AE1022),MOD(Sync!$AE1022,100),IFERROR(VALUE(TRIM(MID(MID(Sync!$AE1022,FIND("/",Sync!$AE1022)+1,20),FIND("/",MID(Sync!$AE1022,FIND("/",Sync!$AE1022)+1,20))+1,20))),"")))</f>
        <v/>
      </c>
      <c r="J1022">
        <f>IF($F1022="","",IF(OR($G1022="",$H1022="",$I1022="",$G1022&lt;1300,$G1022&gt;1500,$H1022&lt;1,$H1022&gt;12,$I1022&lt;1,$I1022&gt;31),"نامعتبر",RIGHT("0000"&amp;$G1022,4)&amp;"/"&amp;RIGHT("00"&amp;$H1022,2)&amp;"/"&amp;RIGHT("00"&amp;$I1022,2)))</f>
        <v/>
      </c>
      <c r="K1022">
        <f>IF(OR($F1022="",$J1022="",$J1022="نامعتبر"),"",LEFT($J1022,4)&amp;MID($J1022,6,2)&amp;RIGHT($J1022,2)&amp;$N1022&amp;"|"&amp;"2"&amp;RIGHT("00000"&amp;1017,5))</f>
        <v/>
      </c>
      <c r="L1022">
        <f>IF($K1022="","",COUNTIFS(LdgSellerA,$F1022,LdgKeyA,"&lt;"&amp;$K1022)+COUNTIFS(LdgSellerB,$F1022,LdgKeyB,"&lt;"&amp;$K1022)+1)</f>
        <v/>
      </c>
      <c r="M1022">
        <f>IF($L1022="","",$F1022&amp;"|"&amp;RIGHT("000000"&amp;$L1022,6))</f>
        <v/>
      </c>
      <c r="N1022">
        <f>IF($F1022="","",IF(Sync!$AF1022="","0000",IF(AND(ISNUMBER(Sync!$AF1022),Sync!$AF1022&gt;=0,Sync!$AF1022&lt;1),RIGHT("00"&amp;HOUR(Sync!$AF1022),2)&amp;RIGHT("00"&amp;MINUTE(Sync!$AF1022),2),IFERROR(RIGHT("00"&amp;VALUE(LEFT(Sync!$AF1022,FIND(":",Sync!$AF1022)-1)),2)&amp;RIGHT("00"&amp;VALUE(MID(Sync!$AF1022,FIND(":",Sync!$AF1022)+1,2)),2),"0000"))))</f>
        <v/>
      </c>
    </row>
    <row r="1023">
      <c r="A1023">
        <f>IF(OR(Calc!$E1027="",Calc!$E1027="نامعتبر",Calc!$G1027=""),"",Calc!$G1027)</f>
        <v/>
      </c>
      <c r="B1023">
        <f>IF($A1023="","",LEFT(Calc!$E1027,4)&amp;MID(Calc!$E1027,6,2)&amp;RIGHT(Calc!$E1027,2)&amp;Calc!$Q1027&amp;"|"&amp;"1"&amp;RIGHT("00000"&amp;1018,5))</f>
        <v/>
      </c>
      <c r="C1023">
        <f>IF($B1023="","",COUNTIFS(LdgSellerA,$A1023,LdgKeyA,"&lt;"&amp;$B1023)+COUNTIFS(LdgSellerB,$A1023,LdgKeyB,"&lt;"&amp;$B1023)+1)</f>
        <v/>
      </c>
      <c r="D1023">
        <f>IF($C1023="","",$A1023&amp;"|"&amp;RIGHT("000000"&amp;$C1023,6))</f>
        <v/>
      </c>
      <c r="F1023">
        <f>IF(Sync!$AH1023="","",IF(LEFT(UPPER(TRIM(Sync!$AH1023)),2)="SL",UPPER(TRIM(Sync!$AH1023)),""))</f>
        <v/>
      </c>
      <c r="G1023">
        <f>IF($F1023="","",IF(Sync!$AE1023="","",IF(ISNUMBER(Sync!$AE1023),IF(AND(Sync!$AE1023&gt;=10000101,Sync!$AE1023&lt;=99991231),INT(Sync!$AE1023/10000),""),IFERROR(VALUE(TRIM(LEFT(Sync!$AE1023,FIND("/",Sync!$AE1023)-1))),""))))</f>
        <v/>
      </c>
      <c r="H1023">
        <f>IF(OR($F1023="",$G1023=""),"",IF(ISNUMBER(Sync!$AE1023),INT(MOD(Sync!$AE1023,10000)/100),IFERROR(VALUE(TRIM(LEFT(MID(Sync!$AE1023,FIND("/",Sync!$AE1023)+1,20),FIND("/",MID(Sync!$AE1023,FIND("/",Sync!$AE1023)+1,20))-1))),"")))</f>
        <v/>
      </c>
      <c r="I1023">
        <f>IF(OR($F1023="",$G1023=""),"",IF(ISNUMBER(Sync!$AE1023),MOD(Sync!$AE1023,100),IFERROR(VALUE(TRIM(MID(MID(Sync!$AE1023,FIND("/",Sync!$AE1023)+1,20),FIND("/",MID(Sync!$AE1023,FIND("/",Sync!$AE1023)+1,20))+1,20))),"")))</f>
        <v/>
      </c>
      <c r="J1023">
        <f>IF($F1023="","",IF(OR($G1023="",$H1023="",$I1023="",$G1023&lt;1300,$G1023&gt;1500,$H1023&lt;1,$H1023&gt;12,$I1023&lt;1,$I1023&gt;31),"نامعتبر",RIGHT("0000"&amp;$G1023,4)&amp;"/"&amp;RIGHT("00"&amp;$H1023,2)&amp;"/"&amp;RIGHT("00"&amp;$I1023,2)))</f>
        <v/>
      </c>
      <c r="K1023">
        <f>IF(OR($F1023="",$J1023="",$J1023="نامعتبر"),"",LEFT($J1023,4)&amp;MID($J1023,6,2)&amp;RIGHT($J1023,2)&amp;$N1023&amp;"|"&amp;"2"&amp;RIGHT("00000"&amp;1018,5))</f>
        <v/>
      </c>
      <c r="L1023">
        <f>IF($K1023="","",COUNTIFS(LdgSellerA,$F1023,LdgKeyA,"&lt;"&amp;$K1023)+COUNTIFS(LdgSellerB,$F1023,LdgKeyB,"&lt;"&amp;$K1023)+1)</f>
        <v/>
      </c>
      <c r="M1023">
        <f>IF($L1023="","",$F1023&amp;"|"&amp;RIGHT("000000"&amp;$L1023,6))</f>
        <v/>
      </c>
      <c r="N1023">
        <f>IF($F1023="","",IF(Sync!$AF1023="","0000",IF(AND(ISNUMBER(Sync!$AF1023),Sync!$AF1023&gt;=0,Sync!$AF1023&lt;1),RIGHT("00"&amp;HOUR(Sync!$AF1023),2)&amp;RIGHT("00"&amp;MINUTE(Sync!$AF1023),2),IFERROR(RIGHT("00"&amp;VALUE(LEFT(Sync!$AF1023,FIND(":",Sync!$AF1023)-1)),2)&amp;RIGHT("00"&amp;VALUE(MID(Sync!$AF1023,FIND(":",Sync!$AF1023)+1,2)),2),"0000"))))</f>
        <v/>
      </c>
    </row>
    <row r="1024">
      <c r="A1024">
        <f>IF(OR(Calc!$E1028="",Calc!$E1028="نامعتبر",Calc!$G1028=""),"",Calc!$G1028)</f>
        <v/>
      </c>
      <c r="B1024">
        <f>IF($A1024="","",LEFT(Calc!$E1028,4)&amp;MID(Calc!$E1028,6,2)&amp;RIGHT(Calc!$E1028,2)&amp;Calc!$Q1028&amp;"|"&amp;"1"&amp;RIGHT("00000"&amp;1019,5))</f>
        <v/>
      </c>
      <c r="C1024">
        <f>IF($B1024="","",COUNTIFS(LdgSellerA,$A1024,LdgKeyA,"&lt;"&amp;$B1024)+COUNTIFS(LdgSellerB,$A1024,LdgKeyB,"&lt;"&amp;$B1024)+1)</f>
        <v/>
      </c>
      <c r="D1024">
        <f>IF($C1024="","",$A1024&amp;"|"&amp;RIGHT("000000"&amp;$C1024,6))</f>
        <v/>
      </c>
      <c r="F1024">
        <f>IF(Sync!$AH1024="","",IF(LEFT(UPPER(TRIM(Sync!$AH1024)),2)="SL",UPPER(TRIM(Sync!$AH1024)),""))</f>
        <v/>
      </c>
      <c r="G1024">
        <f>IF($F1024="","",IF(Sync!$AE1024="","",IF(ISNUMBER(Sync!$AE1024),IF(AND(Sync!$AE1024&gt;=10000101,Sync!$AE1024&lt;=99991231),INT(Sync!$AE1024/10000),""),IFERROR(VALUE(TRIM(LEFT(Sync!$AE1024,FIND("/",Sync!$AE1024)-1))),""))))</f>
        <v/>
      </c>
      <c r="H1024">
        <f>IF(OR($F1024="",$G1024=""),"",IF(ISNUMBER(Sync!$AE1024),INT(MOD(Sync!$AE1024,10000)/100),IFERROR(VALUE(TRIM(LEFT(MID(Sync!$AE1024,FIND("/",Sync!$AE1024)+1,20),FIND("/",MID(Sync!$AE1024,FIND("/",Sync!$AE1024)+1,20))-1))),"")))</f>
        <v/>
      </c>
      <c r="I1024">
        <f>IF(OR($F1024="",$G1024=""),"",IF(ISNUMBER(Sync!$AE1024),MOD(Sync!$AE1024,100),IFERROR(VALUE(TRIM(MID(MID(Sync!$AE1024,FIND("/",Sync!$AE1024)+1,20),FIND("/",MID(Sync!$AE1024,FIND("/",Sync!$AE1024)+1,20))+1,20))),"")))</f>
        <v/>
      </c>
      <c r="J1024">
        <f>IF($F1024="","",IF(OR($G1024="",$H1024="",$I1024="",$G1024&lt;1300,$G1024&gt;1500,$H1024&lt;1,$H1024&gt;12,$I1024&lt;1,$I1024&gt;31),"نامعتبر",RIGHT("0000"&amp;$G1024,4)&amp;"/"&amp;RIGHT("00"&amp;$H1024,2)&amp;"/"&amp;RIGHT("00"&amp;$I1024,2)))</f>
        <v/>
      </c>
      <c r="K1024">
        <f>IF(OR($F1024="",$J1024="",$J1024="نامعتبر"),"",LEFT($J1024,4)&amp;MID($J1024,6,2)&amp;RIGHT($J1024,2)&amp;$N1024&amp;"|"&amp;"2"&amp;RIGHT("00000"&amp;1019,5))</f>
        <v/>
      </c>
      <c r="L1024">
        <f>IF($K1024="","",COUNTIFS(LdgSellerA,$F1024,LdgKeyA,"&lt;"&amp;$K1024)+COUNTIFS(LdgSellerB,$F1024,LdgKeyB,"&lt;"&amp;$K1024)+1)</f>
        <v/>
      </c>
      <c r="M1024">
        <f>IF($L1024="","",$F1024&amp;"|"&amp;RIGHT("000000"&amp;$L1024,6))</f>
        <v/>
      </c>
      <c r="N1024">
        <f>IF($F1024="","",IF(Sync!$AF1024="","0000",IF(AND(ISNUMBER(Sync!$AF1024),Sync!$AF1024&gt;=0,Sync!$AF1024&lt;1),RIGHT("00"&amp;HOUR(Sync!$AF1024),2)&amp;RIGHT("00"&amp;MINUTE(Sync!$AF1024),2),IFERROR(RIGHT("00"&amp;VALUE(LEFT(Sync!$AF1024,FIND(":",Sync!$AF1024)-1)),2)&amp;RIGHT("00"&amp;VALUE(MID(Sync!$AF1024,FIND(":",Sync!$AF1024)+1,2)),2),"0000"))))</f>
        <v/>
      </c>
    </row>
    <row r="1025">
      <c r="A1025">
        <f>IF(OR(Calc!$E1029="",Calc!$E1029="نامعتبر",Calc!$G1029=""),"",Calc!$G1029)</f>
        <v/>
      </c>
      <c r="B1025">
        <f>IF($A1025="","",LEFT(Calc!$E1029,4)&amp;MID(Calc!$E1029,6,2)&amp;RIGHT(Calc!$E1029,2)&amp;Calc!$Q1029&amp;"|"&amp;"1"&amp;RIGHT("00000"&amp;1020,5))</f>
        <v/>
      </c>
      <c r="C1025">
        <f>IF($B1025="","",COUNTIFS(LdgSellerA,$A1025,LdgKeyA,"&lt;"&amp;$B1025)+COUNTIFS(LdgSellerB,$A1025,LdgKeyB,"&lt;"&amp;$B1025)+1)</f>
        <v/>
      </c>
      <c r="D1025">
        <f>IF($C1025="","",$A1025&amp;"|"&amp;RIGHT("000000"&amp;$C1025,6))</f>
        <v/>
      </c>
      <c r="F1025">
        <f>IF(Sync!$AH1025="","",IF(LEFT(UPPER(TRIM(Sync!$AH1025)),2)="SL",UPPER(TRIM(Sync!$AH1025)),""))</f>
        <v/>
      </c>
      <c r="G1025">
        <f>IF($F1025="","",IF(Sync!$AE1025="","",IF(ISNUMBER(Sync!$AE1025),IF(AND(Sync!$AE1025&gt;=10000101,Sync!$AE1025&lt;=99991231),INT(Sync!$AE1025/10000),""),IFERROR(VALUE(TRIM(LEFT(Sync!$AE1025,FIND("/",Sync!$AE1025)-1))),""))))</f>
        <v/>
      </c>
      <c r="H1025">
        <f>IF(OR($F1025="",$G1025=""),"",IF(ISNUMBER(Sync!$AE1025),INT(MOD(Sync!$AE1025,10000)/100),IFERROR(VALUE(TRIM(LEFT(MID(Sync!$AE1025,FIND("/",Sync!$AE1025)+1,20),FIND("/",MID(Sync!$AE1025,FIND("/",Sync!$AE1025)+1,20))-1))),"")))</f>
        <v/>
      </c>
      <c r="I1025">
        <f>IF(OR($F1025="",$G1025=""),"",IF(ISNUMBER(Sync!$AE1025),MOD(Sync!$AE1025,100),IFERROR(VALUE(TRIM(MID(MID(Sync!$AE1025,FIND("/",Sync!$AE1025)+1,20),FIND("/",MID(Sync!$AE1025,FIND("/",Sync!$AE1025)+1,20))+1,20))),"")))</f>
        <v/>
      </c>
      <c r="J1025">
        <f>IF($F1025="","",IF(OR($G1025="",$H1025="",$I1025="",$G1025&lt;1300,$G1025&gt;1500,$H1025&lt;1,$H1025&gt;12,$I1025&lt;1,$I1025&gt;31),"نامعتبر",RIGHT("0000"&amp;$G1025,4)&amp;"/"&amp;RIGHT("00"&amp;$H1025,2)&amp;"/"&amp;RIGHT("00"&amp;$I1025,2)))</f>
        <v/>
      </c>
      <c r="K1025">
        <f>IF(OR($F1025="",$J1025="",$J1025="نامعتبر"),"",LEFT($J1025,4)&amp;MID($J1025,6,2)&amp;RIGHT($J1025,2)&amp;$N1025&amp;"|"&amp;"2"&amp;RIGHT("00000"&amp;1020,5))</f>
        <v/>
      </c>
      <c r="L1025">
        <f>IF($K1025="","",COUNTIFS(LdgSellerA,$F1025,LdgKeyA,"&lt;"&amp;$K1025)+COUNTIFS(LdgSellerB,$F1025,LdgKeyB,"&lt;"&amp;$K1025)+1)</f>
        <v/>
      </c>
      <c r="M1025">
        <f>IF($L1025="","",$F1025&amp;"|"&amp;RIGHT("000000"&amp;$L1025,6))</f>
        <v/>
      </c>
      <c r="N1025">
        <f>IF($F1025="","",IF(Sync!$AF1025="","0000",IF(AND(ISNUMBER(Sync!$AF1025),Sync!$AF1025&gt;=0,Sync!$AF1025&lt;1),RIGHT("00"&amp;HOUR(Sync!$AF1025),2)&amp;RIGHT("00"&amp;MINUTE(Sync!$AF1025),2),IFERROR(RIGHT("00"&amp;VALUE(LEFT(Sync!$AF1025,FIND(":",Sync!$AF1025)-1)),2)&amp;RIGHT("00"&amp;VALUE(MID(Sync!$AF1025,FIND(":",Sync!$AF1025)+1,2)),2),"0000"))))</f>
        <v/>
      </c>
    </row>
    <row r="1026">
      <c r="A1026">
        <f>IF(OR(Calc!$E1030="",Calc!$E1030="نامعتبر",Calc!$G1030=""),"",Calc!$G1030)</f>
        <v/>
      </c>
      <c r="B1026">
        <f>IF($A1026="","",LEFT(Calc!$E1030,4)&amp;MID(Calc!$E1030,6,2)&amp;RIGHT(Calc!$E1030,2)&amp;Calc!$Q1030&amp;"|"&amp;"1"&amp;RIGHT("00000"&amp;1021,5))</f>
        <v/>
      </c>
      <c r="C1026">
        <f>IF($B1026="","",COUNTIFS(LdgSellerA,$A1026,LdgKeyA,"&lt;"&amp;$B1026)+COUNTIFS(LdgSellerB,$A1026,LdgKeyB,"&lt;"&amp;$B1026)+1)</f>
        <v/>
      </c>
      <c r="D1026">
        <f>IF($C1026="","",$A1026&amp;"|"&amp;RIGHT("000000"&amp;$C1026,6))</f>
        <v/>
      </c>
      <c r="F1026">
        <f>IF(Sync!$AH1026="","",IF(LEFT(UPPER(TRIM(Sync!$AH1026)),2)="SL",UPPER(TRIM(Sync!$AH1026)),""))</f>
        <v/>
      </c>
      <c r="G1026">
        <f>IF($F1026="","",IF(Sync!$AE1026="","",IF(ISNUMBER(Sync!$AE1026),IF(AND(Sync!$AE1026&gt;=10000101,Sync!$AE1026&lt;=99991231),INT(Sync!$AE1026/10000),""),IFERROR(VALUE(TRIM(LEFT(Sync!$AE1026,FIND("/",Sync!$AE1026)-1))),""))))</f>
        <v/>
      </c>
      <c r="H1026">
        <f>IF(OR($F1026="",$G1026=""),"",IF(ISNUMBER(Sync!$AE1026),INT(MOD(Sync!$AE1026,10000)/100),IFERROR(VALUE(TRIM(LEFT(MID(Sync!$AE1026,FIND("/",Sync!$AE1026)+1,20),FIND("/",MID(Sync!$AE1026,FIND("/",Sync!$AE1026)+1,20))-1))),"")))</f>
        <v/>
      </c>
      <c r="I1026">
        <f>IF(OR($F1026="",$G1026=""),"",IF(ISNUMBER(Sync!$AE1026),MOD(Sync!$AE1026,100),IFERROR(VALUE(TRIM(MID(MID(Sync!$AE1026,FIND("/",Sync!$AE1026)+1,20),FIND("/",MID(Sync!$AE1026,FIND("/",Sync!$AE1026)+1,20))+1,20))),"")))</f>
        <v/>
      </c>
      <c r="J1026">
        <f>IF($F1026="","",IF(OR($G1026="",$H1026="",$I1026="",$G1026&lt;1300,$G1026&gt;1500,$H1026&lt;1,$H1026&gt;12,$I1026&lt;1,$I1026&gt;31),"نامعتبر",RIGHT("0000"&amp;$G1026,4)&amp;"/"&amp;RIGHT("00"&amp;$H1026,2)&amp;"/"&amp;RIGHT("00"&amp;$I1026,2)))</f>
        <v/>
      </c>
      <c r="K1026">
        <f>IF(OR($F1026="",$J1026="",$J1026="نامعتبر"),"",LEFT($J1026,4)&amp;MID($J1026,6,2)&amp;RIGHT($J1026,2)&amp;$N1026&amp;"|"&amp;"2"&amp;RIGHT("00000"&amp;1021,5))</f>
        <v/>
      </c>
      <c r="L1026">
        <f>IF($K1026="","",COUNTIFS(LdgSellerA,$F1026,LdgKeyA,"&lt;"&amp;$K1026)+COUNTIFS(LdgSellerB,$F1026,LdgKeyB,"&lt;"&amp;$K1026)+1)</f>
        <v/>
      </c>
      <c r="M1026">
        <f>IF($L1026="","",$F1026&amp;"|"&amp;RIGHT("000000"&amp;$L1026,6))</f>
        <v/>
      </c>
      <c r="N1026">
        <f>IF($F1026="","",IF(Sync!$AF1026="","0000",IF(AND(ISNUMBER(Sync!$AF1026),Sync!$AF1026&gt;=0,Sync!$AF1026&lt;1),RIGHT("00"&amp;HOUR(Sync!$AF1026),2)&amp;RIGHT("00"&amp;MINUTE(Sync!$AF1026),2),IFERROR(RIGHT("00"&amp;VALUE(LEFT(Sync!$AF1026,FIND(":",Sync!$AF1026)-1)),2)&amp;RIGHT("00"&amp;VALUE(MID(Sync!$AF1026,FIND(":",Sync!$AF1026)+1,2)),2),"0000"))))</f>
        <v/>
      </c>
    </row>
    <row r="1027">
      <c r="A1027">
        <f>IF(OR(Calc!$E1031="",Calc!$E1031="نامعتبر",Calc!$G1031=""),"",Calc!$G1031)</f>
        <v/>
      </c>
      <c r="B1027">
        <f>IF($A1027="","",LEFT(Calc!$E1031,4)&amp;MID(Calc!$E1031,6,2)&amp;RIGHT(Calc!$E1031,2)&amp;Calc!$Q1031&amp;"|"&amp;"1"&amp;RIGHT("00000"&amp;1022,5))</f>
        <v/>
      </c>
      <c r="C1027">
        <f>IF($B1027="","",COUNTIFS(LdgSellerA,$A1027,LdgKeyA,"&lt;"&amp;$B1027)+COUNTIFS(LdgSellerB,$A1027,LdgKeyB,"&lt;"&amp;$B1027)+1)</f>
        <v/>
      </c>
      <c r="D1027">
        <f>IF($C1027="","",$A1027&amp;"|"&amp;RIGHT("000000"&amp;$C1027,6))</f>
        <v/>
      </c>
      <c r="F1027">
        <f>IF(Sync!$AH1027="","",IF(LEFT(UPPER(TRIM(Sync!$AH1027)),2)="SL",UPPER(TRIM(Sync!$AH1027)),""))</f>
        <v/>
      </c>
      <c r="G1027">
        <f>IF($F1027="","",IF(Sync!$AE1027="","",IF(ISNUMBER(Sync!$AE1027),IF(AND(Sync!$AE1027&gt;=10000101,Sync!$AE1027&lt;=99991231),INT(Sync!$AE1027/10000),""),IFERROR(VALUE(TRIM(LEFT(Sync!$AE1027,FIND("/",Sync!$AE1027)-1))),""))))</f>
        <v/>
      </c>
      <c r="H1027">
        <f>IF(OR($F1027="",$G1027=""),"",IF(ISNUMBER(Sync!$AE1027),INT(MOD(Sync!$AE1027,10000)/100),IFERROR(VALUE(TRIM(LEFT(MID(Sync!$AE1027,FIND("/",Sync!$AE1027)+1,20),FIND("/",MID(Sync!$AE1027,FIND("/",Sync!$AE1027)+1,20))-1))),"")))</f>
        <v/>
      </c>
      <c r="I1027">
        <f>IF(OR($F1027="",$G1027=""),"",IF(ISNUMBER(Sync!$AE1027),MOD(Sync!$AE1027,100),IFERROR(VALUE(TRIM(MID(MID(Sync!$AE1027,FIND("/",Sync!$AE1027)+1,20),FIND("/",MID(Sync!$AE1027,FIND("/",Sync!$AE1027)+1,20))+1,20))),"")))</f>
        <v/>
      </c>
      <c r="J1027">
        <f>IF($F1027="","",IF(OR($G1027="",$H1027="",$I1027="",$G1027&lt;1300,$G1027&gt;1500,$H1027&lt;1,$H1027&gt;12,$I1027&lt;1,$I1027&gt;31),"نامعتبر",RIGHT("0000"&amp;$G1027,4)&amp;"/"&amp;RIGHT("00"&amp;$H1027,2)&amp;"/"&amp;RIGHT("00"&amp;$I1027,2)))</f>
        <v/>
      </c>
      <c r="K1027">
        <f>IF(OR($F1027="",$J1027="",$J1027="نامعتبر"),"",LEFT($J1027,4)&amp;MID($J1027,6,2)&amp;RIGHT($J1027,2)&amp;$N1027&amp;"|"&amp;"2"&amp;RIGHT("00000"&amp;1022,5))</f>
        <v/>
      </c>
      <c r="L1027">
        <f>IF($K1027="","",COUNTIFS(LdgSellerA,$F1027,LdgKeyA,"&lt;"&amp;$K1027)+COUNTIFS(LdgSellerB,$F1027,LdgKeyB,"&lt;"&amp;$K1027)+1)</f>
        <v/>
      </c>
      <c r="M1027">
        <f>IF($L1027="","",$F1027&amp;"|"&amp;RIGHT("000000"&amp;$L1027,6))</f>
        <v/>
      </c>
      <c r="N1027">
        <f>IF($F1027="","",IF(Sync!$AF1027="","0000",IF(AND(ISNUMBER(Sync!$AF1027),Sync!$AF1027&gt;=0,Sync!$AF1027&lt;1),RIGHT("00"&amp;HOUR(Sync!$AF1027),2)&amp;RIGHT("00"&amp;MINUTE(Sync!$AF1027),2),IFERROR(RIGHT("00"&amp;VALUE(LEFT(Sync!$AF1027,FIND(":",Sync!$AF1027)-1)),2)&amp;RIGHT("00"&amp;VALUE(MID(Sync!$AF1027,FIND(":",Sync!$AF1027)+1,2)),2),"0000"))))</f>
        <v/>
      </c>
    </row>
    <row r="1028">
      <c r="A1028">
        <f>IF(OR(Calc!$E1032="",Calc!$E1032="نامعتبر",Calc!$G1032=""),"",Calc!$G1032)</f>
        <v/>
      </c>
      <c r="B1028">
        <f>IF($A1028="","",LEFT(Calc!$E1032,4)&amp;MID(Calc!$E1032,6,2)&amp;RIGHT(Calc!$E1032,2)&amp;Calc!$Q1032&amp;"|"&amp;"1"&amp;RIGHT("00000"&amp;1023,5))</f>
        <v/>
      </c>
      <c r="C1028">
        <f>IF($B1028="","",COUNTIFS(LdgSellerA,$A1028,LdgKeyA,"&lt;"&amp;$B1028)+COUNTIFS(LdgSellerB,$A1028,LdgKeyB,"&lt;"&amp;$B1028)+1)</f>
        <v/>
      </c>
      <c r="D1028">
        <f>IF($C1028="","",$A1028&amp;"|"&amp;RIGHT("000000"&amp;$C1028,6))</f>
        <v/>
      </c>
      <c r="F1028">
        <f>IF(Sync!$AH1028="","",IF(LEFT(UPPER(TRIM(Sync!$AH1028)),2)="SL",UPPER(TRIM(Sync!$AH1028)),""))</f>
        <v/>
      </c>
      <c r="G1028">
        <f>IF($F1028="","",IF(Sync!$AE1028="","",IF(ISNUMBER(Sync!$AE1028),IF(AND(Sync!$AE1028&gt;=10000101,Sync!$AE1028&lt;=99991231),INT(Sync!$AE1028/10000),""),IFERROR(VALUE(TRIM(LEFT(Sync!$AE1028,FIND("/",Sync!$AE1028)-1))),""))))</f>
        <v/>
      </c>
      <c r="H1028">
        <f>IF(OR($F1028="",$G1028=""),"",IF(ISNUMBER(Sync!$AE1028),INT(MOD(Sync!$AE1028,10000)/100),IFERROR(VALUE(TRIM(LEFT(MID(Sync!$AE1028,FIND("/",Sync!$AE1028)+1,20),FIND("/",MID(Sync!$AE1028,FIND("/",Sync!$AE1028)+1,20))-1))),"")))</f>
        <v/>
      </c>
      <c r="I1028">
        <f>IF(OR($F1028="",$G1028=""),"",IF(ISNUMBER(Sync!$AE1028),MOD(Sync!$AE1028,100),IFERROR(VALUE(TRIM(MID(MID(Sync!$AE1028,FIND("/",Sync!$AE1028)+1,20),FIND("/",MID(Sync!$AE1028,FIND("/",Sync!$AE1028)+1,20))+1,20))),"")))</f>
        <v/>
      </c>
      <c r="J1028">
        <f>IF($F1028="","",IF(OR($G1028="",$H1028="",$I1028="",$G1028&lt;1300,$G1028&gt;1500,$H1028&lt;1,$H1028&gt;12,$I1028&lt;1,$I1028&gt;31),"نامعتبر",RIGHT("0000"&amp;$G1028,4)&amp;"/"&amp;RIGHT("00"&amp;$H1028,2)&amp;"/"&amp;RIGHT("00"&amp;$I1028,2)))</f>
        <v/>
      </c>
      <c r="K1028">
        <f>IF(OR($F1028="",$J1028="",$J1028="نامعتبر"),"",LEFT($J1028,4)&amp;MID($J1028,6,2)&amp;RIGHT($J1028,2)&amp;$N1028&amp;"|"&amp;"2"&amp;RIGHT("00000"&amp;1023,5))</f>
        <v/>
      </c>
      <c r="L1028">
        <f>IF($K1028="","",COUNTIFS(LdgSellerA,$F1028,LdgKeyA,"&lt;"&amp;$K1028)+COUNTIFS(LdgSellerB,$F1028,LdgKeyB,"&lt;"&amp;$K1028)+1)</f>
        <v/>
      </c>
      <c r="M1028">
        <f>IF($L1028="","",$F1028&amp;"|"&amp;RIGHT("000000"&amp;$L1028,6))</f>
        <v/>
      </c>
      <c r="N1028">
        <f>IF($F1028="","",IF(Sync!$AF1028="","0000",IF(AND(ISNUMBER(Sync!$AF1028),Sync!$AF1028&gt;=0,Sync!$AF1028&lt;1),RIGHT("00"&amp;HOUR(Sync!$AF1028),2)&amp;RIGHT("00"&amp;MINUTE(Sync!$AF1028),2),IFERROR(RIGHT("00"&amp;VALUE(LEFT(Sync!$AF1028,FIND(":",Sync!$AF1028)-1)),2)&amp;RIGHT("00"&amp;VALUE(MID(Sync!$AF1028,FIND(":",Sync!$AF1028)+1,2)),2),"0000"))))</f>
        <v/>
      </c>
    </row>
    <row r="1029">
      <c r="A1029">
        <f>IF(OR(Calc!$E1033="",Calc!$E1033="نامعتبر",Calc!$G1033=""),"",Calc!$G1033)</f>
        <v/>
      </c>
      <c r="B1029">
        <f>IF($A1029="","",LEFT(Calc!$E1033,4)&amp;MID(Calc!$E1033,6,2)&amp;RIGHT(Calc!$E1033,2)&amp;Calc!$Q1033&amp;"|"&amp;"1"&amp;RIGHT("00000"&amp;1024,5))</f>
        <v/>
      </c>
      <c r="C1029">
        <f>IF($B1029="","",COUNTIFS(LdgSellerA,$A1029,LdgKeyA,"&lt;"&amp;$B1029)+COUNTIFS(LdgSellerB,$A1029,LdgKeyB,"&lt;"&amp;$B1029)+1)</f>
        <v/>
      </c>
      <c r="D1029">
        <f>IF($C1029="","",$A1029&amp;"|"&amp;RIGHT("000000"&amp;$C1029,6))</f>
        <v/>
      </c>
      <c r="F1029">
        <f>IF(Sync!$AH1029="","",IF(LEFT(UPPER(TRIM(Sync!$AH1029)),2)="SL",UPPER(TRIM(Sync!$AH1029)),""))</f>
        <v/>
      </c>
      <c r="G1029">
        <f>IF($F1029="","",IF(Sync!$AE1029="","",IF(ISNUMBER(Sync!$AE1029),IF(AND(Sync!$AE1029&gt;=10000101,Sync!$AE1029&lt;=99991231),INT(Sync!$AE1029/10000),""),IFERROR(VALUE(TRIM(LEFT(Sync!$AE1029,FIND("/",Sync!$AE1029)-1))),""))))</f>
        <v/>
      </c>
      <c r="H1029">
        <f>IF(OR($F1029="",$G1029=""),"",IF(ISNUMBER(Sync!$AE1029),INT(MOD(Sync!$AE1029,10000)/100),IFERROR(VALUE(TRIM(LEFT(MID(Sync!$AE1029,FIND("/",Sync!$AE1029)+1,20),FIND("/",MID(Sync!$AE1029,FIND("/",Sync!$AE1029)+1,20))-1))),"")))</f>
        <v/>
      </c>
      <c r="I1029">
        <f>IF(OR($F1029="",$G1029=""),"",IF(ISNUMBER(Sync!$AE1029),MOD(Sync!$AE1029,100),IFERROR(VALUE(TRIM(MID(MID(Sync!$AE1029,FIND("/",Sync!$AE1029)+1,20),FIND("/",MID(Sync!$AE1029,FIND("/",Sync!$AE1029)+1,20))+1,20))),"")))</f>
        <v/>
      </c>
      <c r="J1029">
        <f>IF($F1029="","",IF(OR($G1029="",$H1029="",$I1029="",$G1029&lt;1300,$G1029&gt;1500,$H1029&lt;1,$H1029&gt;12,$I1029&lt;1,$I1029&gt;31),"نامعتبر",RIGHT("0000"&amp;$G1029,4)&amp;"/"&amp;RIGHT("00"&amp;$H1029,2)&amp;"/"&amp;RIGHT("00"&amp;$I1029,2)))</f>
        <v/>
      </c>
      <c r="K1029">
        <f>IF(OR($F1029="",$J1029="",$J1029="نامعتبر"),"",LEFT($J1029,4)&amp;MID($J1029,6,2)&amp;RIGHT($J1029,2)&amp;$N1029&amp;"|"&amp;"2"&amp;RIGHT("00000"&amp;1024,5))</f>
        <v/>
      </c>
      <c r="L1029">
        <f>IF($K1029="","",COUNTIFS(LdgSellerA,$F1029,LdgKeyA,"&lt;"&amp;$K1029)+COUNTIFS(LdgSellerB,$F1029,LdgKeyB,"&lt;"&amp;$K1029)+1)</f>
        <v/>
      </c>
      <c r="M1029">
        <f>IF($L1029="","",$F1029&amp;"|"&amp;RIGHT("000000"&amp;$L1029,6))</f>
        <v/>
      </c>
      <c r="N1029">
        <f>IF($F1029="","",IF(Sync!$AF1029="","0000",IF(AND(ISNUMBER(Sync!$AF1029),Sync!$AF1029&gt;=0,Sync!$AF1029&lt;1),RIGHT("00"&amp;HOUR(Sync!$AF1029),2)&amp;RIGHT("00"&amp;MINUTE(Sync!$AF1029),2),IFERROR(RIGHT("00"&amp;VALUE(LEFT(Sync!$AF1029,FIND(":",Sync!$AF1029)-1)),2)&amp;RIGHT("00"&amp;VALUE(MID(Sync!$AF1029,FIND(":",Sync!$AF1029)+1,2)),2),"0000"))))</f>
        <v/>
      </c>
    </row>
    <row r="1030">
      <c r="A1030">
        <f>IF(OR(Calc!$E1034="",Calc!$E1034="نامعتبر",Calc!$G1034=""),"",Calc!$G1034)</f>
        <v/>
      </c>
      <c r="B1030">
        <f>IF($A1030="","",LEFT(Calc!$E1034,4)&amp;MID(Calc!$E1034,6,2)&amp;RIGHT(Calc!$E1034,2)&amp;Calc!$Q1034&amp;"|"&amp;"1"&amp;RIGHT("00000"&amp;1025,5))</f>
        <v/>
      </c>
      <c r="C1030">
        <f>IF($B1030="","",COUNTIFS(LdgSellerA,$A1030,LdgKeyA,"&lt;"&amp;$B1030)+COUNTIFS(LdgSellerB,$A1030,LdgKeyB,"&lt;"&amp;$B1030)+1)</f>
        <v/>
      </c>
      <c r="D1030">
        <f>IF($C1030="","",$A1030&amp;"|"&amp;RIGHT("000000"&amp;$C1030,6))</f>
        <v/>
      </c>
      <c r="F1030">
        <f>IF(Sync!$AH1030="","",IF(LEFT(UPPER(TRIM(Sync!$AH1030)),2)="SL",UPPER(TRIM(Sync!$AH1030)),""))</f>
        <v/>
      </c>
      <c r="G1030">
        <f>IF($F1030="","",IF(Sync!$AE1030="","",IF(ISNUMBER(Sync!$AE1030),IF(AND(Sync!$AE1030&gt;=10000101,Sync!$AE1030&lt;=99991231),INT(Sync!$AE1030/10000),""),IFERROR(VALUE(TRIM(LEFT(Sync!$AE1030,FIND("/",Sync!$AE1030)-1))),""))))</f>
        <v/>
      </c>
      <c r="H1030">
        <f>IF(OR($F1030="",$G1030=""),"",IF(ISNUMBER(Sync!$AE1030),INT(MOD(Sync!$AE1030,10000)/100),IFERROR(VALUE(TRIM(LEFT(MID(Sync!$AE1030,FIND("/",Sync!$AE1030)+1,20),FIND("/",MID(Sync!$AE1030,FIND("/",Sync!$AE1030)+1,20))-1))),"")))</f>
        <v/>
      </c>
      <c r="I1030">
        <f>IF(OR($F1030="",$G1030=""),"",IF(ISNUMBER(Sync!$AE1030),MOD(Sync!$AE1030,100),IFERROR(VALUE(TRIM(MID(MID(Sync!$AE1030,FIND("/",Sync!$AE1030)+1,20),FIND("/",MID(Sync!$AE1030,FIND("/",Sync!$AE1030)+1,20))+1,20))),"")))</f>
        <v/>
      </c>
      <c r="J1030">
        <f>IF($F1030="","",IF(OR($G1030="",$H1030="",$I1030="",$G1030&lt;1300,$G1030&gt;1500,$H1030&lt;1,$H1030&gt;12,$I1030&lt;1,$I1030&gt;31),"نامعتبر",RIGHT("0000"&amp;$G1030,4)&amp;"/"&amp;RIGHT("00"&amp;$H1030,2)&amp;"/"&amp;RIGHT("00"&amp;$I1030,2)))</f>
        <v/>
      </c>
      <c r="K1030">
        <f>IF(OR($F1030="",$J1030="",$J1030="نامعتبر"),"",LEFT($J1030,4)&amp;MID($J1030,6,2)&amp;RIGHT($J1030,2)&amp;$N1030&amp;"|"&amp;"2"&amp;RIGHT("00000"&amp;1025,5))</f>
        <v/>
      </c>
      <c r="L1030">
        <f>IF($K1030="","",COUNTIFS(LdgSellerA,$F1030,LdgKeyA,"&lt;"&amp;$K1030)+COUNTIFS(LdgSellerB,$F1030,LdgKeyB,"&lt;"&amp;$K1030)+1)</f>
        <v/>
      </c>
      <c r="M1030">
        <f>IF($L1030="","",$F1030&amp;"|"&amp;RIGHT("000000"&amp;$L1030,6))</f>
        <v/>
      </c>
      <c r="N1030">
        <f>IF($F1030="","",IF(Sync!$AF1030="","0000",IF(AND(ISNUMBER(Sync!$AF1030),Sync!$AF1030&gt;=0,Sync!$AF1030&lt;1),RIGHT("00"&amp;HOUR(Sync!$AF1030),2)&amp;RIGHT("00"&amp;MINUTE(Sync!$AF1030),2),IFERROR(RIGHT("00"&amp;VALUE(LEFT(Sync!$AF1030,FIND(":",Sync!$AF1030)-1)),2)&amp;RIGHT("00"&amp;VALUE(MID(Sync!$AF1030,FIND(":",Sync!$AF1030)+1,2)),2),"0000"))))</f>
        <v/>
      </c>
    </row>
    <row r="1031">
      <c r="A1031">
        <f>IF(OR(Calc!$E1035="",Calc!$E1035="نامعتبر",Calc!$G1035=""),"",Calc!$G1035)</f>
        <v/>
      </c>
      <c r="B1031">
        <f>IF($A1031="","",LEFT(Calc!$E1035,4)&amp;MID(Calc!$E1035,6,2)&amp;RIGHT(Calc!$E1035,2)&amp;Calc!$Q1035&amp;"|"&amp;"1"&amp;RIGHT("00000"&amp;1026,5))</f>
        <v/>
      </c>
      <c r="C1031">
        <f>IF($B1031="","",COUNTIFS(LdgSellerA,$A1031,LdgKeyA,"&lt;"&amp;$B1031)+COUNTIFS(LdgSellerB,$A1031,LdgKeyB,"&lt;"&amp;$B1031)+1)</f>
        <v/>
      </c>
      <c r="D1031">
        <f>IF($C1031="","",$A1031&amp;"|"&amp;RIGHT("000000"&amp;$C1031,6))</f>
        <v/>
      </c>
      <c r="F1031">
        <f>IF(Sync!$AH1031="","",IF(LEFT(UPPER(TRIM(Sync!$AH1031)),2)="SL",UPPER(TRIM(Sync!$AH1031)),""))</f>
        <v/>
      </c>
      <c r="G1031">
        <f>IF($F1031="","",IF(Sync!$AE1031="","",IF(ISNUMBER(Sync!$AE1031),IF(AND(Sync!$AE1031&gt;=10000101,Sync!$AE1031&lt;=99991231),INT(Sync!$AE1031/10000),""),IFERROR(VALUE(TRIM(LEFT(Sync!$AE1031,FIND("/",Sync!$AE1031)-1))),""))))</f>
        <v/>
      </c>
      <c r="H1031">
        <f>IF(OR($F1031="",$G1031=""),"",IF(ISNUMBER(Sync!$AE1031),INT(MOD(Sync!$AE1031,10000)/100),IFERROR(VALUE(TRIM(LEFT(MID(Sync!$AE1031,FIND("/",Sync!$AE1031)+1,20),FIND("/",MID(Sync!$AE1031,FIND("/",Sync!$AE1031)+1,20))-1))),"")))</f>
        <v/>
      </c>
      <c r="I1031">
        <f>IF(OR($F1031="",$G1031=""),"",IF(ISNUMBER(Sync!$AE1031),MOD(Sync!$AE1031,100),IFERROR(VALUE(TRIM(MID(MID(Sync!$AE1031,FIND("/",Sync!$AE1031)+1,20),FIND("/",MID(Sync!$AE1031,FIND("/",Sync!$AE1031)+1,20))+1,20))),"")))</f>
        <v/>
      </c>
      <c r="J1031">
        <f>IF($F1031="","",IF(OR($G1031="",$H1031="",$I1031="",$G1031&lt;1300,$G1031&gt;1500,$H1031&lt;1,$H1031&gt;12,$I1031&lt;1,$I1031&gt;31),"نامعتبر",RIGHT("0000"&amp;$G1031,4)&amp;"/"&amp;RIGHT("00"&amp;$H1031,2)&amp;"/"&amp;RIGHT("00"&amp;$I1031,2)))</f>
        <v/>
      </c>
      <c r="K1031">
        <f>IF(OR($F1031="",$J1031="",$J1031="نامعتبر"),"",LEFT($J1031,4)&amp;MID($J1031,6,2)&amp;RIGHT($J1031,2)&amp;$N1031&amp;"|"&amp;"2"&amp;RIGHT("00000"&amp;1026,5))</f>
        <v/>
      </c>
      <c r="L1031">
        <f>IF($K1031="","",COUNTIFS(LdgSellerA,$F1031,LdgKeyA,"&lt;"&amp;$K1031)+COUNTIFS(LdgSellerB,$F1031,LdgKeyB,"&lt;"&amp;$K1031)+1)</f>
        <v/>
      </c>
      <c r="M1031">
        <f>IF($L1031="","",$F1031&amp;"|"&amp;RIGHT("000000"&amp;$L1031,6))</f>
        <v/>
      </c>
      <c r="N1031">
        <f>IF($F1031="","",IF(Sync!$AF1031="","0000",IF(AND(ISNUMBER(Sync!$AF1031),Sync!$AF1031&gt;=0,Sync!$AF1031&lt;1),RIGHT("00"&amp;HOUR(Sync!$AF1031),2)&amp;RIGHT("00"&amp;MINUTE(Sync!$AF1031),2),IFERROR(RIGHT("00"&amp;VALUE(LEFT(Sync!$AF1031,FIND(":",Sync!$AF1031)-1)),2)&amp;RIGHT("00"&amp;VALUE(MID(Sync!$AF1031,FIND(":",Sync!$AF1031)+1,2)),2),"0000"))))</f>
        <v/>
      </c>
    </row>
    <row r="1032">
      <c r="A1032">
        <f>IF(OR(Calc!$E1036="",Calc!$E1036="نامعتبر",Calc!$G1036=""),"",Calc!$G1036)</f>
        <v/>
      </c>
      <c r="B1032">
        <f>IF($A1032="","",LEFT(Calc!$E1036,4)&amp;MID(Calc!$E1036,6,2)&amp;RIGHT(Calc!$E1036,2)&amp;Calc!$Q1036&amp;"|"&amp;"1"&amp;RIGHT("00000"&amp;1027,5))</f>
        <v/>
      </c>
      <c r="C1032">
        <f>IF($B1032="","",COUNTIFS(LdgSellerA,$A1032,LdgKeyA,"&lt;"&amp;$B1032)+COUNTIFS(LdgSellerB,$A1032,LdgKeyB,"&lt;"&amp;$B1032)+1)</f>
        <v/>
      </c>
      <c r="D1032">
        <f>IF($C1032="","",$A1032&amp;"|"&amp;RIGHT("000000"&amp;$C1032,6))</f>
        <v/>
      </c>
      <c r="F1032">
        <f>IF(Sync!$AH1032="","",IF(LEFT(UPPER(TRIM(Sync!$AH1032)),2)="SL",UPPER(TRIM(Sync!$AH1032)),""))</f>
        <v/>
      </c>
      <c r="G1032">
        <f>IF($F1032="","",IF(Sync!$AE1032="","",IF(ISNUMBER(Sync!$AE1032),IF(AND(Sync!$AE1032&gt;=10000101,Sync!$AE1032&lt;=99991231),INT(Sync!$AE1032/10000),""),IFERROR(VALUE(TRIM(LEFT(Sync!$AE1032,FIND("/",Sync!$AE1032)-1))),""))))</f>
        <v/>
      </c>
      <c r="H1032">
        <f>IF(OR($F1032="",$G1032=""),"",IF(ISNUMBER(Sync!$AE1032),INT(MOD(Sync!$AE1032,10000)/100),IFERROR(VALUE(TRIM(LEFT(MID(Sync!$AE1032,FIND("/",Sync!$AE1032)+1,20),FIND("/",MID(Sync!$AE1032,FIND("/",Sync!$AE1032)+1,20))-1))),"")))</f>
        <v/>
      </c>
      <c r="I1032">
        <f>IF(OR($F1032="",$G1032=""),"",IF(ISNUMBER(Sync!$AE1032),MOD(Sync!$AE1032,100),IFERROR(VALUE(TRIM(MID(MID(Sync!$AE1032,FIND("/",Sync!$AE1032)+1,20),FIND("/",MID(Sync!$AE1032,FIND("/",Sync!$AE1032)+1,20))+1,20))),"")))</f>
        <v/>
      </c>
      <c r="J1032">
        <f>IF($F1032="","",IF(OR($G1032="",$H1032="",$I1032="",$G1032&lt;1300,$G1032&gt;1500,$H1032&lt;1,$H1032&gt;12,$I1032&lt;1,$I1032&gt;31),"نامعتبر",RIGHT("0000"&amp;$G1032,4)&amp;"/"&amp;RIGHT("00"&amp;$H1032,2)&amp;"/"&amp;RIGHT("00"&amp;$I1032,2)))</f>
        <v/>
      </c>
      <c r="K1032">
        <f>IF(OR($F1032="",$J1032="",$J1032="نامعتبر"),"",LEFT($J1032,4)&amp;MID($J1032,6,2)&amp;RIGHT($J1032,2)&amp;$N1032&amp;"|"&amp;"2"&amp;RIGHT("00000"&amp;1027,5))</f>
        <v/>
      </c>
      <c r="L1032">
        <f>IF($K1032="","",COUNTIFS(LdgSellerA,$F1032,LdgKeyA,"&lt;"&amp;$K1032)+COUNTIFS(LdgSellerB,$F1032,LdgKeyB,"&lt;"&amp;$K1032)+1)</f>
        <v/>
      </c>
      <c r="M1032">
        <f>IF($L1032="","",$F1032&amp;"|"&amp;RIGHT("000000"&amp;$L1032,6))</f>
        <v/>
      </c>
      <c r="N1032">
        <f>IF($F1032="","",IF(Sync!$AF1032="","0000",IF(AND(ISNUMBER(Sync!$AF1032),Sync!$AF1032&gt;=0,Sync!$AF1032&lt;1),RIGHT("00"&amp;HOUR(Sync!$AF1032),2)&amp;RIGHT("00"&amp;MINUTE(Sync!$AF1032),2),IFERROR(RIGHT("00"&amp;VALUE(LEFT(Sync!$AF1032,FIND(":",Sync!$AF1032)-1)),2)&amp;RIGHT("00"&amp;VALUE(MID(Sync!$AF1032,FIND(":",Sync!$AF1032)+1,2)),2),"0000"))))</f>
        <v/>
      </c>
    </row>
    <row r="1033">
      <c r="A1033">
        <f>IF(OR(Calc!$E1037="",Calc!$E1037="نامعتبر",Calc!$G1037=""),"",Calc!$G1037)</f>
        <v/>
      </c>
      <c r="B1033">
        <f>IF($A1033="","",LEFT(Calc!$E1037,4)&amp;MID(Calc!$E1037,6,2)&amp;RIGHT(Calc!$E1037,2)&amp;Calc!$Q1037&amp;"|"&amp;"1"&amp;RIGHT("00000"&amp;1028,5))</f>
        <v/>
      </c>
      <c r="C1033">
        <f>IF($B1033="","",COUNTIFS(LdgSellerA,$A1033,LdgKeyA,"&lt;"&amp;$B1033)+COUNTIFS(LdgSellerB,$A1033,LdgKeyB,"&lt;"&amp;$B1033)+1)</f>
        <v/>
      </c>
      <c r="D1033">
        <f>IF($C1033="","",$A1033&amp;"|"&amp;RIGHT("000000"&amp;$C1033,6))</f>
        <v/>
      </c>
      <c r="F1033">
        <f>IF(Sync!$AH1033="","",IF(LEFT(UPPER(TRIM(Sync!$AH1033)),2)="SL",UPPER(TRIM(Sync!$AH1033)),""))</f>
        <v/>
      </c>
      <c r="G1033">
        <f>IF($F1033="","",IF(Sync!$AE1033="","",IF(ISNUMBER(Sync!$AE1033),IF(AND(Sync!$AE1033&gt;=10000101,Sync!$AE1033&lt;=99991231),INT(Sync!$AE1033/10000),""),IFERROR(VALUE(TRIM(LEFT(Sync!$AE1033,FIND("/",Sync!$AE1033)-1))),""))))</f>
        <v/>
      </c>
      <c r="H1033">
        <f>IF(OR($F1033="",$G1033=""),"",IF(ISNUMBER(Sync!$AE1033),INT(MOD(Sync!$AE1033,10000)/100),IFERROR(VALUE(TRIM(LEFT(MID(Sync!$AE1033,FIND("/",Sync!$AE1033)+1,20),FIND("/",MID(Sync!$AE1033,FIND("/",Sync!$AE1033)+1,20))-1))),"")))</f>
        <v/>
      </c>
      <c r="I1033">
        <f>IF(OR($F1033="",$G1033=""),"",IF(ISNUMBER(Sync!$AE1033),MOD(Sync!$AE1033,100),IFERROR(VALUE(TRIM(MID(MID(Sync!$AE1033,FIND("/",Sync!$AE1033)+1,20),FIND("/",MID(Sync!$AE1033,FIND("/",Sync!$AE1033)+1,20))+1,20))),"")))</f>
        <v/>
      </c>
      <c r="J1033">
        <f>IF($F1033="","",IF(OR($G1033="",$H1033="",$I1033="",$G1033&lt;1300,$G1033&gt;1500,$H1033&lt;1,$H1033&gt;12,$I1033&lt;1,$I1033&gt;31),"نامعتبر",RIGHT("0000"&amp;$G1033,4)&amp;"/"&amp;RIGHT("00"&amp;$H1033,2)&amp;"/"&amp;RIGHT("00"&amp;$I1033,2)))</f>
        <v/>
      </c>
      <c r="K1033">
        <f>IF(OR($F1033="",$J1033="",$J1033="نامعتبر"),"",LEFT($J1033,4)&amp;MID($J1033,6,2)&amp;RIGHT($J1033,2)&amp;$N1033&amp;"|"&amp;"2"&amp;RIGHT("00000"&amp;1028,5))</f>
        <v/>
      </c>
      <c r="L1033">
        <f>IF($K1033="","",COUNTIFS(LdgSellerA,$F1033,LdgKeyA,"&lt;"&amp;$K1033)+COUNTIFS(LdgSellerB,$F1033,LdgKeyB,"&lt;"&amp;$K1033)+1)</f>
        <v/>
      </c>
      <c r="M1033">
        <f>IF($L1033="","",$F1033&amp;"|"&amp;RIGHT("000000"&amp;$L1033,6))</f>
        <v/>
      </c>
      <c r="N1033">
        <f>IF($F1033="","",IF(Sync!$AF1033="","0000",IF(AND(ISNUMBER(Sync!$AF1033),Sync!$AF1033&gt;=0,Sync!$AF1033&lt;1),RIGHT("00"&amp;HOUR(Sync!$AF1033),2)&amp;RIGHT("00"&amp;MINUTE(Sync!$AF1033),2),IFERROR(RIGHT("00"&amp;VALUE(LEFT(Sync!$AF1033,FIND(":",Sync!$AF1033)-1)),2)&amp;RIGHT("00"&amp;VALUE(MID(Sync!$AF1033,FIND(":",Sync!$AF1033)+1,2)),2),"0000"))))</f>
        <v/>
      </c>
    </row>
    <row r="1034">
      <c r="A1034">
        <f>IF(OR(Calc!$E1038="",Calc!$E1038="نامعتبر",Calc!$G1038=""),"",Calc!$G1038)</f>
        <v/>
      </c>
      <c r="B1034">
        <f>IF($A1034="","",LEFT(Calc!$E1038,4)&amp;MID(Calc!$E1038,6,2)&amp;RIGHT(Calc!$E1038,2)&amp;Calc!$Q1038&amp;"|"&amp;"1"&amp;RIGHT("00000"&amp;1029,5))</f>
        <v/>
      </c>
      <c r="C1034">
        <f>IF($B1034="","",COUNTIFS(LdgSellerA,$A1034,LdgKeyA,"&lt;"&amp;$B1034)+COUNTIFS(LdgSellerB,$A1034,LdgKeyB,"&lt;"&amp;$B1034)+1)</f>
        <v/>
      </c>
      <c r="D1034">
        <f>IF($C1034="","",$A1034&amp;"|"&amp;RIGHT("000000"&amp;$C1034,6))</f>
        <v/>
      </c>
      <c r="F1034">
        <f>IF(Sync!$AH1034="","",IF(LEFT(UPPER(TRIM(Sync!$AH1034)),2)="SL",UPPER(TRIM(Sync!$AH1034)),""))</f>
        <v/>
      </c>
      <c r="G1034">
        <f>IF($F1034="","",IF(Sync!$AE1034="","",IF(ISNUMBER(Sync!$AE1034),IF(AND(Sync!$AE1034&gt;=10000101,Sync!$AE1034&lt;=99991231),INT(Sync!$AE1034/10000),""),IFERROR(VALUE(TRIM(LEFT(Sync!$AE1034,FIND("/",Sync!$AE1034)-1))),""))))</f>
        <v/>
      </c>
      <c r="H1034">
        <f>IF(OR($F1034="",$G1034=""),"",IF(ISNUMBER(Sync!$AE1034),INT(MOD(Sync!$AE1034,10000)/100),IFERROR(VALUE(TRIM(LEFT(MID(Sync!$AE1034,FIND("/",Sync!$AE1034)+1,20),FIND("/",MID(Sync!$AE1034,FIND("/",Sync!$AE1034)+1,20))-1))),"")))</f>
        <v/>
      </c>
      <c r="I1034">
        <f>IF(OR($F1034="",$G1034=""),"",IF(ISNUMBER(Sync!$AE1034),MOD(Sync!$AE1034,100),IFERROR(VALUE(TRIM(MID(MID(Sync!$AE1034,FIND("/",Sync!$AE1034)+1,20),FIND("/",MID(Sync!$AE1034,FIND("/",Sync!$AE1034)+1,20))+1,20))),"")))</f>
        <v/>
      </c>
      <c r="J1034">
        <f>IF($F1034="","",IF(OR($G1034="",$H1034="",$I1034="",$G1034&lt;1300,$G1034&gt;1500,$H1034&lt;1,$H1034&gt;12,$I1034&lt;1,$I1034&gt;31),"نامعتبر",RIGHT("0000"&amp;$G1034,4)&amp;"/"&amp;RIGHT("00"&amp;$H1034,2)&amp;"/"&amp;RIGHT("00"&amp;$I1034,2)))</f>
        <v/>
      </c>
      <c r="K1034">
        <f>IF(OR($F1034="",$J1034="",$J1034="نامعتبر"),"",LEFT($J1034,4)&amp;MID($J1034,6,2)&amp;RIGHT($J1034,2)&amp;$N1034&amp;"|"&amp;"2"&amp;RIGHT("00000"&amp;1029,5))</f>
        <v/>
      </c>
      <c r="L1034">
        <f>IF($K1034="","",COUNTIFS(LdgSellerA,$F1034,LdgKeyA,"&lt;"&amp;$K1034)+COUNTIFS(LdgSellerB,$F1034,LdgKeyB,"&lt;"&amp;$K1034)+1)</f>
        <v/>
      </c>
      <c r="M1034">
        <f>IF($L1034="","",$F1034&amp;"|"&amp;RIGHT("000000"&amp;$L1034,6))</f>
        <v/>
      </c>
      <c r="N1034">
        <f>IF($F1034="","",IF(Sync!$AF1034="","0000",IF(AND(ISNUMBER(Sync!$AF1034),Sync!$AF1034&gt;=0,Sync!$AF1034&lt;1),RIGHT("00"&amp;HOUR(Sync!$AF1034),2)&amp;RIGHT("00"&amp;MINUTE(Sync!$AF1034),2),IFERROR(RIGHT("00"&amp;VALUE(LEFT(Sync!$AF1034,FIND(":",Sync!$AF1034)-1)),2)&amp;RIGHT("00"&amp;VALUE(MID(Sync!$AF1034,FIND(":",Sync!$AF1034)+1,2)),2),"0000"))))</f>
        <v/>
      </c>
    </row>
    <row r="1035">
      <c r="A1035">
        <f>IF(OR(Calc!$E1039="",Calc!$E1039="نامعتبر",Calc!$G1039=""),"",Calc!$G1039)</f>
        <v/>
      </c>
      <c r="B1035">
        <f>IF($A1035="","",LEFT(Calc!$E1039,4)&amp;MID(Calc!$E1039,6,2)&amp;RIGHT(Calc!$E1039,2)&amp;Calc!$Q1039&amp;"|"&amp;"1"&amp;RIGHT("00000"&amp;1030,5))</f>
        <v/>
      </c>
      <c r="C1035">
        <f>IF($B1035="","",COUNTIFS(LdgSellerA,$A1035,LdgKeyA,"&lt;"&amp;$B1035)+COUNTIFS(LdgSellerB,$A1035,LdgKeyB,"&lt;"&amp;$B1035)+1)</f>
        <v/>
      </c>
      <c r="D1035">
        <f>IF($C1035="","",$A1035&amp;"|"&amp;RIGHT("000000"&amp;$C1035,6))</f>
        <v/>
      </c>
      <c r="F1035">
        <f>IF(Sync!$AH1035="","",IF(LEFT(UPPER(TRIM(Sync!$AH1035)),2)="SL",UPPER(TRIM(Sync!$AH1035)),""))</f>
        <v/>
      </c>
      <c r="G1035">
        <f>IF($F1035="","",IF(Sync!$AE1035="","",IF(ISNUMBER(Sync!$AE1035),IF(AND(Sync!$AE1035&gt;=10000101,Sync!$AE1035&lt;=99991231),INT(Sync!$AE1035/10000),""),IFERROR(VALUE(TRIM(LEFT(Sync!$AE1035,FIND("/",Sync!$AE1035)-1))),""))))</f>
        <v/>
      </c>
      <c r="H1035">
        <f>IF(OR($F1035="",$G1035=""),"",IF(ISNUMBER(Sync!$AE1035),INT(MOD(Sync!$AE1035,10000)/100),IFERROR(VALUE(TRIM(LEFT(MID(Sync!$AE1035,FIND("/",Sync!$AE1035)+1,20),FIND("/",MID(Sync!$AE1035,FIND("/",Sync!$AE1035)+1,20))-1))),"")))</f>
        <v/>
      </c>
      <c r="I1035">
        <f>IF(OR($F1035="",$G1035=""),"",IF(ISNUMBER(Sync!$AE1035),MOD(Sync!$AE1035,100),IFERROR(VALUE(TRIM(MID(MID(Sync!$AE1035,FIND("/",Sync!$AE1035)+1,20),FIND("/",MID(Sync!$AE1035,FIND("/",Sync!$AE1035)+1,20))+1,20))),"")))</f>
        <v/>
      </c>
      <c r="J1035">
        <f>IF($F1035="","",IF(OR($G1035="",$H1035="",$I1035="",$G1035&lt;1300,$G1035&gt;1500,$H1035&lt;1,$H1035&gt;12,$I1035&lt;1,$I1035&gt;31),"نامعتبر",RIGHT("0000"&amp;$G1035,4)&amp;"/"&amp;RIGHT("00"&amp;$H1035,2)&amp;"/"&amp;RIGHT("00"&amp;$I1035,2)))</f>
        <v/>
      </c>
      <c r="K1035">
        <f>IF(OR($F1035="",$J1035="",$J1035="نامعتبر"),"",LEFT($J1035,4)&amp;MID($J1035,6,2)&amp;RIGHT($J1035,2)&amp;$N1035&amp;"|"&amp;"2"&amp;RIGHT("00000"&amp;1030,5))</f>
        <v/>
      </c>
      <c r="L1035">
        <f>IF($K1035="","",COUNTIFS(LdgSellerA,$F1035,LdgKeyA,"&lt;"&amp;$K1035)+COUNTIFS(LdgSellerB,$F1035,LdgKeyB,"&lt;"&amp;$K1035)+1)</f>
        <v/>
      </c>
      <c r="M1035">
        <f>IF($L1035="","",$F1035&amp;"|"&amp;RIGHT("000000"&amp;$L1035,6))</f>
        <v/>
      </c>
      <c r="N1035">
        <f>IF($F1035="","",IF(Sync!$AF1035="","0000",IF(AND(ISNUMBER(Sync!$AF1035),Sync!$AF1035&gt;=0,Sync!$AF1035&lt;1),RIGHT("00"&amp;HOUR(Sync!$AF1035),2)&amp;RIGHT("00"&amp;MINUTE(Sync!$AF1035),2),IFERROR(RIGHT("00"&amp;VALUE(LEFT(Sync!$AF1035,FIND(":",Sync!$AF1035)-1)),2)&amp;RIGHT("00"&amp;VALUE(MID(Sync!$AF1035,FIND(":",Sync!$AF1035)+1,2)),2),"0000"))))</f>
        <v/>
      </c>
    </row>
    <row r="1036">
      <c r="A1036">
        <f>IF(OR(Calc!$E1040="",Calc!$E1040="نامعتبر",Calc!$G1040=""),"",Calc!$G1040)</f>
        <v/>
      </c>
      <c r="B1036">
        <f>IF($A1036="","",LEFT(Calc!$E1040,4)&amp;MID(Calc!$E1040,6,2)&amp;RIGHT(Calc!$E1040,2)&amp;Calc!$Q1040&amp;"|"&amp;"1"&amp;RIGHT("00000"&amp;1031,5))</f>
        <v/>
      </c>
      <c r="C1036">
        <f>IF($B1036="","",COUNTIFS(LdgSellerA,$A1036,LdgKeyA,"&lt;"&amp;$B1036)+COUNTIFS(LdgSellerB,$A1036,LdgKeyB,"&lt;"&amp;$B1036)+1)</f>
        <v/>
      </c>
      <c r="D1036">
        <f>IF($C1036="","",$A1036&amp;"|"&amp;RIGHT("000000"&amp;$C1036,6))</f>
        <v/>
      </c>
      <c r="F1036">
        <f>IF(Sync!$AH1036="","",IF(LEFT(UPPER(TRIM(Sync!$AH1036)),2)="SL",UPPER(TRIM(Sync!$AH1036)),""))</f>
        <v/>
      </c>
      <c r="G1036">
        <f>IF($F1036="","",IF(Sync!$AE1036="","",IF(ISNUMBER(Sync!$AE1036),IF(AND(Sync!$AE1036&gt;=10000101,Sync!$AE1036&lt;=99991231),INT(Sync!$AE1036/10000),""),IFERROR(VALUE(TRIM(LEFT(Sync!$AE1036,FIND("/",Sync!$AE1036)-1))),""))))</f>
        <v/>
      </c>
      <c r="H1036">
        <f>IF(OR($F1036="",$G1036=""),"",IF(ISNUMBER(Sync!$AE1036),INT(MOD(Sync!$AE1036,10000)/100),IFERROR(VALUE(TRIM(LEFT(MID(Sync!$AE1036,FIND("/",Sync!$AE1036)+1,20),FIND("/",MID(Sync!$AE1036,FIND("/",Sync!$AE1036)+1,20))-1))),"")))</f>
        <v/>
      </c>
      <c r="I1036">
        <f>IF(OR($F1036="",$G1036=""),"",IF(ISNUMBER(Sync!$AE1036),MOD(Sync!$AE1036,100),IFERROR(VALUE(TRIM(MID(MID(Sync!$AE1036,FIND("/",Sync!$AE1036)+1,20),FIND("/",MID(Sync!$AE1036,FIND("/",Sync!$AE1036)+1,20))+1,20))),"")))</f>
        <v/>
      </c>
      <c r="J1036">
        <f>IF($F1036="","",IF(OR($G1036="",$H1036="",$I1036="",$G1036&lt;1300,$G1036&gt;1500,$H1036&lt;1,$H1036&gt;12,$I1036&lt;1,$I1036&gt;31),"نامعتبر",RIGHT("0000"&amp;$G1036,4)&amp;"/"&amp;RIGHT("00"&amp;$H1036,2)&amp;"/"&amp;RIGHT("00"&amp;$I1036,2)))</f>
        <v/>
      </c>
      <c r="K1036">
        <f>IF(OR($F1036="",$J1036="",$J1036="نامعتبر"),"",LEFT($J1036,4)&amp;MID($J1036,6,2)&amp;RIGHT($J1036,2)&amp;$N1036&amp;"|"&amp;"2"&amp;RIGHT("00000"&amp;1031,5))</f>
        <v/>
      </c>
      <c r="L1036">
        <f>IF($K1036="","",COUNTIFS(LdgSellerA,$F1036,LdgKeyA,"&lt;"&amp;$K1036)+COUNTIFS(LdgSellerB,$F1036,LdgKeyB,"&lt;"&amp;$K1036)+1)</f>
        <v/>
      </c>
      <c r="M1036">
        <f>IF($L1036="","",$F1036&amp;"|"&amp;RIGHT("000000"&amp;$L1036,6))</f>
        <v/>
      </c>
      <c r="N1036">
        <f>IF($F1036="","",IF(Sync!$AF1036="","0000",IF(AND(ISNUMBER(Sync!$AF1036),Sync!$AF1036&gt;=0,Sync!$AF1036&lt;1),RIGHT("00"&amp;HOUR(Sync!$AF1036),2)&amp;RIGHT("00"&amp;MINUTE(Sync!$AF1036),2),IFERROR(RIGHT("00"&amp;VALUE(LEFT(Sync!$AF1036,FIND(":",Sync!$AF1036)-1)),2)&amp;RIGHT("00"&amp;VALUE(MID(Sync!$AF1036,FIND(":",Sync!$AF1036)+1,2)),2),"0000"))))</f>
        <v/>
      </c>
    </row>
    <row r="1037">
      <c r="A1037">
        <f>IF(OR(Calc!$E1041="",Calc!$E1041="نامعتبر",Calc!$G1041=""),"",Calc!$G1041)</f>
        <v/>
      </c>
      <c r="B1037">
        <f>IF($A1037="","",LEFT(Calc!$E1041,4)&amp;MID(Calc!$E1041,6,2)&amp;RIGHT(Calc!$E1041,2)&amp;Calc!$Q1041&amp;"|"&amp;"1"&amp;RIGHT("00000"&amp;1032,5))</f>
        <v/>
      </c>
      <c r="C1037">
        <f>IF($B1037="","",COUNTIFS(LdgSellerA,$A1037,LdgKeyA,"&lt;"&amp;$B1037)+COUNTIFS(LdgSellerB,$A1037,LdgKeyB,"&lt;"&amp;$B1037)+1)</f>
        <v/>
      </c>
      <c r="D1037">
        <f>IF($C1037="","",$A1037&amp;"|"&amp;RIGHT("000000"&amp;$C1037,6))</f>
        <v/>
      </c>
      <c r="F1037">
        <f>IF(Sync!$AH1037="","",IF(LEFT(UPPER(TRIM(Sync!$AH1037)),2)="SL",UPPER(TRIM(Sync!$AH1037)),""))</f>
        <v/>
      </c>
      <c r="G1037">
        <f>IF($F1037="","",IF(Sync!$AE1037="","",IF(ISNUMBER(Sync!$AE1037),IF(AND(Sync!$AE1037&gt;=10000101,Sync!$AE1037&lt;=99991231),INT(Sync!$AE1037/10000),""),IFERROR(VALUE(TRIM(LEFT(Sync!$AE1037,FIND("/",Sync!$AE1037)-1))),""))))</f>
        <v/>
      </c>
      <c r="H1037">
        <f>IF(OR($F1037="",$G1037=""),"",IF(ISNUMBER(Sync!$AE1037),INT(MOD(Sync!$AE1037,10000)/100),IFERROR(VALUE(TRIM(LEFT(MID(Sync!$AE1037,FIND("/",Sync!$AE1037)+1,20),FIND("/",MID(Sync!$AE1037,FIND("/",Sync!$AE1037)+1,20))-1))),"")))</f>
        <v/>
      </c>
      <c r="I1037">
        <f>IF(OR($F1037="",$G1037=""),"",IF(ISNUMBER(Sync!$AE1037),MOD(Sync!$AE1037,100),IFERROR(VALUE(TRIM(MID(MID(Sync!$AE1037,FIND("/",Sync!$AE1037)+1,20),FIND("/",MID(Sync!$AE1037,FIND("/",Sync!$AE1037)+1,20))+1,20))),"")))</f>
        <v/>
      </c>
      <c r="J1037">
        <f>IF($F1037="","",IF(OR($G1037="",$H1037="",$I1037="",$G1037&lt;1300,$G1037&gt;1500,$H1037&lt;1,$H1037&gt;12,$I1037&lt;1,$I1037&gt;31),"نامعتبر",RIGHT("0000"&amp;$G1037,4)&amp;"/"&amp;RIGHT("00"&amp;$H1037,2)&amp;"/"&amp;RIGHT("00"&amp;$I1037,2)))</f>
        <v/>
      </c>
      <c r="K1037">
        <f>IF(OR($F1037="",$J1037="",$J1037="نامعتبر"),"",LEFT($J1037,4)&amp;MID($J1037,6,2)&amp;RIGHT($J1037,2)&amp;$N1037&amp;"|"&amp;"2"&amp;RIGHT("00000"&amp;1032,5))</f>
        <v/>
      </c>
      <c r="L1037">
        <f>IF($K1037="","",COUNTIFS(LdgSellerA,$F1037,LdgKeyA,"&lt;"&amp;$K1037)+COUNTIFS(LdgSellerB,$F1037,LdgKeyB,"&lt;"&amp;$K1037)+1)</f>
        <v/>
      </c>
      <c r="M1037">
        <f>IF($L1037="","",$F1037&amp;"|"&amp;RIGHT("000000"&amp;$L1037,6))</f>
        <v/>
      </c>
      <c r="N1037">
        <f>IF($F1037="","",IF(Sync!$AF1037="","0000",IF(AND(ISNUMBER(Sync!$AF1037),Sync!$AF1037&gt;=0,Sync!$AF1037&lt;1),RIGHT("00"&amp;HOUR(Sync!$AF1037),2)&amp;RIGHT("00"&amp;MINUTE(Sync!$AF1037),2),IFERROR(RIGHT("00"&amp;VALUE(LEFT(Sync!$AF1037,FIND(":",Sync!$AF1037)-1)),2)&amp;RIGHT("00"&amp;VALUE(MID(Sync!$AF1037,FIND(":",Sync!$AF1037)+1,2)),2),"0000"))))</f>
        <v/>
      </c>
    </row>
    <row r="1038">
      <c r="A1038">
        <f>IF(OR(Calc!$E1042="",Calc!$E1042="نامعتبر",Calc!$G1042=""),"",Calc!$G1042)</f>
        <v/>
      </c>
      <c r="B1038">
        <f>IF($A1038="","",LEFT(Calc!$E1042,4)&amp;MID(Calc!$E1042,6,2)&amp;RIGHT(Calc!$E1042,2)&amp;Calc!$Q1042&amp;"|"&amp;"1"&amp;RIGHT("00000"&amp;1033,5))</f>
        <v/>
      </c>
      <c r="C1038">
        <f>IF($B1038="","",COUNTIFS(LdgSellerA,$A1038,LdgKeyA,"&lt;"&amp;$B1038)+COUNTIFS(LdgSellerB,$A1038,LdgKeyB,"&lt;"&amp;$B1038)+1)</f>
        <v/>
      </c>
      <c r="D1038">
        <f>IF($C1038="","",$A1038&amp;"|"&amp;RIGHT("000000"&amp;$C1038,6))</f>
        <v/>
      </c>
      <c r="F1038">
        <f>IF(Sync!$AH1038="","",IF(LEFT(UPPER(TRIM(Sync!$AH1038)),2)="SL",UPPER(TRIM(Sync!$AH1038)),""))</f>
        <v/>
      </c>
      <c r="G1038">
        <f>IF($F1038="","",IF(Sync!$AE1038="","",IF(ISNUMBER(Sync!$AE1038),IF(AND(Sync!$AE1038&gt;=10000101,Sync!$AE1038&lt;=99991231),INT(Sync!$AE1038/10000),""),IFERROR(VALUE(TRIM(LEFT(Sync!$AE1038,FIND("/",Sync!$AE1038)-1))),""))))</f>
        <v/>
      </c>
      <c r="H1038">
        <f>IF(OR($F1038="",$G1038=""),"",IF(ISNUMBER(Sync!$AE1038),INT(MOD(Sync!$AE1038,10000)/100),IFERROR(VALUE(TRIM(LEFT(MID(Sync!$AE1038,FIND("/",Sync!$AE1038)+1,20),FIND("/",MID(Sync!$AE1038,FIND("/",Sync!$AE1038)+1,20))-1))),"")))</f>
        <v/>
      </c>
      <c r="I1038">
        <f>IF(OR($F1038="",$G1038=""),"",IF(ISNUMBER(Sync!$AE1038),MOD(Sync!$AE1038,100),IFERROR(VALUE(TRIM(MID(MID(Sync!$AE1038,FIND("/",Sync!$AE1038)+1,20),FIND("/",MID(Sync!$AE1038,FIND("/",Sync!$AE1038)+1,20))+1,20))),"")))</f>
        <v/>
      </c>
      <c r="J1038">
        <f>IF($F1038="","",IF(OR($G1038="",$H1038="",$I1038="",$G1038&lt;1300,$G1038&gt;1500,$H1038&lt;1,$H1038&gt;12,$I1038&lt;1,$I1038&gt;31),"نامعتبر",RIGHT("0000"&amp;$G1038,4)&amp;"/"&amp;RIGHT("00"&amp;$H1038,2)&amp;"/"&amp;RIGHT("00"&amp;$I1038,2)))</f>
        <v/>
      </c>
      <c r="K1038">
        <f>IF(OR($F1038="",$J1038="",$J1038="نامعتبر"),"",LEFT($J1038,4)&amp;MID($J1038,6,2)&amp;RIGHT($J1038,2)&amp;$N1038&amp;"|"&amp;"2"&amp;RIGHT("00000"&amp;1033,5))</f>
        <v/>
      </c>
      <c r="L1038">
        <f>IF($K1038="","",COUNTIFS(LdgSellerA,$F1038,LdgKeyA,"&lt;"&amp;$K1038)+COUNTIFS(LdgSellerB,$F1038,LdgKeyB,"&lt;"&amp;$K1038)+1)</f>
        <v/>
      </c>
      <c r="M1038">
        <f>IF($L1038="","",$F1038&amp;"|"&amp;RIGHT("000000"&amp;$L1038,6))</f>
        <v/>
      </c>
      <c r="N1038">
        <f>IF($F1038="","",IF(Sync!$AF1038="","0000",IF(AND(ISNUMBER(Sync!$AF1038),Sync!$AF1038&gt;=0,Sync!$AF1038&lt;1),RIGHT("00"&amp;HOUR(Sync!$AF1038),2)&amp;RIGHT("00"&amp;MINUTE(Sync!$AF1038),2),IFERROR(RIGHT("00"&amp;VALUE(LEFT(Sync!$AF1038,FIND(":",Sync!$AF1038)-1)),2)&amp;RIGHT("00"&amp;VALUE(MID(Sync!$AF1038,FIND(":",Sync!$AF1038)+1,2)),2),"0000"))))</f>
        <v/>
      </c>
    </row>
    <row r="1039">
      <c r="A1039">
        <f>IF(OR(Calc!$E1043="",Calc!$E1043="نامعتبر",Calc!$G1043=""),"",Calc!$G1043)</f>
        <v/>
      </c>
      <c r="B1039">
        <f>IF($A1039="","",LEFT(Calc!$E1043,4)&amp;MID(Calc!$E1043,6,2)&amp;RIGHT(Calc!$E1043,2)&amp;Calc!$Q1043&amp;"|"&amp;"1"&amp;RIGHT("00000"&amp;1034,5))</f>
        <v/>
      </c>
      <c r="C1039">
        <f>IF($B1039="","",COUNTIFS(LdgSellerA,$A1039,LdgKeyA,"&lt;"&amp;$B1039)+COUNTIFS(LdgSellerB,$A1039,LdgKeyB,"&lt;"&amp;$B1039)+1)</f>
        <v/>
      </c>
      <c r="D1039">
        <f>IF($C1039="","",$A1039&amp;"|"&amp;RIGHT("000000"&amp;$C1039,6))</f>
        <v/>
      </c>
      <c r="F1039">
        <f>IF(Sync!$AH1039="","",IF(LEFT(UPPER(TRIM(Sync!$AH1039)),2)="SL",UPPER(TRIM(Sync!$AH1039)),""))</f>
        <v/>
      </c>
      <c r="G1039">
        <f>IF($F1039="","",IF(Sync!$AE1039="","",IF(ISNUMBER(Sync!$AE1039),IF(AND(Sync!$AE1039&gt;=10000101,Sync!$AE1039&lt;=99991231),INT(Sync!$AE1039/10000),""),IFERROR(VALUE(TRIM(LEFT(Sync!$AE1039,FIND("/",Sync!$AE1039)-1))),""))))</f>
        <v/>
      </c>
      <c r="H1039">
        <f>IF(OR($F1039="",$G1039=""),"",IF(ISNUMBER(Sync!$AE1039),INT(MOD(Sync!$AE1039,10000)/100),IFERROR(VALUE(TRIM(LEFT(MID(Sync!$AE1039,FIND("/",Sync!$AE1039)+1,20),FIND("/",MID(Sync!$AE1039,FIND("/",Sync!$AE1039)+1,20))-1))),"")))</f>
        <v/>
      </c>
      <c r="I1039">
        <f>IF(OR($F1039="",$G1039=""),"",IF(ISNUMBER(Sync!$AE1039),MOD(Sync!$AE1039,100),IFERROR(VALUE(TRIM(MID(MID(Sync!$AE1039,FIND("/",Sync!$AE1039)+1,20),FIND("/",MID(Sync!$AE1039,FIND("/",Sync!$AE1039)+1,20))+1,20))),"")))</f>
        <v/>
      </c>
      <c r="J1039">
        <f>IF($F1039="","",IF(OR($G1039="",$H1039="",$I1039="",$G1039&lt;1300,$G1039&gt;1500,$H1039&lt;1,$H1039&gt;12,$I1039&lt;1,$I1039&gt;31),"نامعتبر",RIGHT("0000"&amp;$G1039,4)&amp;"/"&amp;RIGHT("00"&amp;$H1039,2)&amp;"/"&amp;RIGHT("00"&amp;$I1039,2)))</f>
        <v/>
      </c>
      <c r="K1039">
        <f>IF(OR($F1039="",$J1039="",$J1039="نامعتبر"),"",LEFT($J1039,4)&amp;MID($J1039,6,2)&amp;RIGHT($J1039,2)&amp;$N1039&amp;"|"&amp;"2"&amp;RIGHT("00000"&amp;1034,5))</f>
        <v/>
      </c>
      <c r="L1039">
        <f>IF($K1039="","",COUNTIFS(LdgSellerA,$F1039,LdgKeyA,"&lt;"&amp;$K1039)+COUNTIFS(LdgSellerB,$F1039,LdgKeyB,"&lt;"&amp;$K1039)+1)</f>
        <v/>
      </c>
      <c r="M1039">
        <f>IF($L1039="","",$F1039&amp;"|"&amp;RIGHT("000000"&amp;$L1039,6))</f>
        <v/>
      </c>
      <c r="N1039">
        <f>IF($F1039="","",IF(Sync!$AF1039="","0000",IF(AND(ISNUMBER(Sync!$AF1039),Sync!$AF1039&gt;=0,Sync!$AF1039&lt;1),RIGHT("00"&amp;HOUR(Sync!$AF1039),2)&amp;RIGHT("00"&amp;MINUTE(Sync!$AF1039),2),IFERROR(RIGHT("00"&amp;VALUE(LEFT(Sync!$AF1039,FIND(":",Sync!$AF1039)-1)),2)&amp;RIGHT("00"&amp;VALUE(MID(Sync!$AF1039,FIND(":",Sync!$AF1039)+1,2)),2),"0000"))))</f>
        <v/>
      </c>
    </row>
    <row r="1040">
      <c r="A1040">
        <f>IF(OR(Calc!$E1044="",Calc!$E1044="نامعتبر",Calc!$G1044=""),"",Calc!$G1044)</f>
        <v/>
      </c>
      <c r="B1040">
        <f>IF($A1040="","",LEFT(Calc!$E1044,4)&amp;MID(Calc!$E1044,6,2)&amp;RIGHT(Calc!$E1044,2)&amp;Calc!$Q1044&amp;"|"&amp;"1"&amp;RIGHT("00000"&amp;1035,5))</f>
        <v/>
      </c>
      <c r="C1040">
        <f>IF($B1040="","",COUNTIFS(LdgSellerA,$A1040,LdgKeyA,"&lt;"&amp;$B1040)+COUNTIFS(LdgSellerB,$A1040,LdgKeyB,"&lt;"&amp;$B1040)+1)</f>
        <v/>
      </c>
      <c r="D1040">
        <f>IF($C1040="","",$A1040&amp;"|"&amp;RIGHT("000000"&amp;$C1040,6))</f>
        <v/>
      </c>
      <c r="F1040">
        <f>IF(Sync!$AH1040="","",IF(LEFT(UPPER(TRIM(Sync!$AH1040)),2)="SL",UPPER(TRIM(Sync!$AH1040)),""))</f>
        <v/>
      </c>
      <c r="G1040">
        <f>IF($F1040="","",IF(Sync!$AE1040="","",IF(ISNUMBER(Sync!$AE1040),IF(AND(Sync!$AE1040&gt;=10000101,Sync!$AE1040&lt;=99991231),INT(Sync!$AE1040/10000),""),IFERROR(VALUE(TRIM(LEFT(Sync!$AE1040,FIND("/",Sync!$AE1040)-1))),""))))</f>
        <v/>
      </c>
      <c r="H1040">
        <f>IF(OR($F1040="",$G1040=""),"",IF(ISNUMBER(Sync!$AE1040),INT(MOD(Sync!$AE1040,10000)/100),IFERROR(VALUE(TRIM(LEFT(MID(Sync!$AE1040,FIND("/",Sync!$AE1040)+1,20),FIND("/",MID(Sync!$AE1040,FIND("/",Sync!$AE1040)+1,20))-1))),"")))</f>
        <v/>
      </c>
      <c r="I1040">
        <f>IF(OR($F1040="",$G1040=""),"",IF(ISNUMBER(Sync!$AE1040),MOD(Sync!$AE1040,100),IFERROR(VALUE(TRIM(MID(MID(Sync!$AE1040,FIND("/",Sync!$AE1040)+1,20),FIND("/",MID(Sync!$AE1040,FIND("/",Sync!$AE1040)+1,20))+1,20))),"")))</f>
        <v/>
      </c>
      <c r="J1040">
        <f>IF($F1040="","",IF(OR($G1040="",$H1040="",$I1040="",$G1040&lt;1300,$G1040&gt;1500,$H1040&lt;1,$H1040&gt;12,$I1040&lt;1,$I1040&gt;31),"نامعتبر",RIGHT("0000"&amp;$G1040,4)&amp;"/"&amp;RIGHT("00"&amp;$H1040,2)&amp;"/"&amp;RIGHT("00"&amp;$I1040,2)))</f>
        <v/>
      </c>
      <c r="K1040">
        <f>IF(OR($F1040="",$J1040="",$J1040="نامعتبر"),"",LEFT($J1040,4)&amp;MID($J1040,6,2)&amp;RIGHT($J1040,2)&amp;$N1040&amp;"|"&amp;"2"&amp;RIGHT("00000"&amp;1035,5))</f>
        <v/>
      </c>
      <c r="L1040">
        <f>IF($K1040="","",COUNTIFS(LdgSellerA,$F1040,LdgKeyA,"&lt;"&amp;$K1040)+COUNTIFS(LdgSellerB,$F1040,LdgKeyB,"&lt;"&amp;$K1040)+1)</f>
        <v/>
      </c>
      <c r="M1040">
        <f>IF($L1040="","",$F1040&amp;"|"&amp;RIGHT("000000"&amp;$L1040,6))</f>
        <v/>
      </c>
      <c r="N1040">
        <f>IF($F1040="","",IF(Sync!$AF1040="","0000",IF(AND(ISNUMBER(Sync!$AF1040),Sync!$AF1040&gt;=0,Sync!$AF1040&lt;1),RIGHT("00"&amp;HOUR(Sync!$AF1040),2)&amp;RIGHT("00"&amp;MINUTE(Sync!$AF1040),2),IFERROR(RIGHT("00"&amp;VALUE(LEFT(Sync!$AF1040,FIND(":",Sync!$AF1040)-1)),2)&amp;RIGHT("00"&amp;VALUE(MID(Sync!$AF1040,FIND(":",Sync!$AF1040)+1,2)),2),"0000"))))</f>
        <v/>
      </c>
    </row>
    <row r="1041">
      <c r="A1041">
        <f>IF(OR(Calc!$E1045="",Calc!$E1045="نامعتبر",Calc!$G1045=""),"",Calc!$G1045)</f>
        <v/>
      </c>
      <c r="B1041">
        <f>IF($A1041="","",LEFT(Calc!$E1045,4)&amp;MID(Calc!$E1045,6,2)&amp;RIGHT(Calc!$E1045,2)&amp;Calc!$Q1045&amp;"|"&amp;"1"&amp;RIGHT("00000"&amp;1036,5))</f>
        <v/>
      </c>
      <c r="C1041">
        <f>IF($B1041="","",COUNTIFS(LdgSellerA,$A1041,LdgKeyA,"&lt;"&amp;$B1041)+COUNTIFS(LdgSellerB,$A1041,LdgKeyB,"&lt;"&amp;$B1041)+1)</f>
        <v/>
      </c>
      <c r="D1041">
        <f>IF($C1041="","",$A1041&amp;"|"&amp;RIGHT("000000"&amp;$C1041,6))</f>
        <v/>
      </c>
      <c r="F1041">
        <f>IF(Sync!$AH1041="","",IF(LEFT(UPPER(TRIM(Sync!$AH1041)),2)="SL",UPPER(TRIM(Sync!$AH1041)),""))</f>
        <v/>
      </c>
      <c r="G1041">
        <f>IF($F1041="","",IF(Sync!$AE1041="","",IF(ISNUMBER(Sync!$AE1041),IF(AND(Sync!$AE1041&gt;=10000101,Sync!$AE1041&lt;=99991231),INT(Sync!$AE1041/10000),""),IFERROR(VALUE(TRIM(LEFT(Sync!$AE1041,FIND("/",Sync!$AE1041)-1))),""))))</f>
        <v/>
      </c>
      <c r="H1041">
        <f>IF(OR($F1041="",$G1041=""),"",IF(ISNUMBER(Sync!$AE1041),INT(MOD(Sync!$AE1041,10000)/100),IFERROR(VALUE(TRIM(LEFT(MID(Sync!$AE1041,FIND("/",Sync!$AE1041)+1,20),FIND("/",MID(Sync!$AE1041,FIND("/",Sync!$AE1041)+1,20))-1))),"")))</f>
        <v/>
      </c>
      <c r="I1041">
        <f>IF(OR($F1041="",$G1041=""),"",IF(ISNUMBER(Sync!$AE1041),MOD(Sync!$AE1041,100),IFERROR(VALUE(TRIM(MID(MID(Sync!$AE1041,FIND("/",Sync!$AE1041)+1,20),FIND("/",MID(Sync!$AE1041,FIND("/",Sync!$AE1041)+1,20))+1,20))),"")))</f>
        <v/>
      </c>
      <c r="J1041">
        <f>IF($F1041="","",IF(OR($G1041="",$H1041="",$I1041="",$G1041&lt;1300,$G1041&gt;1500,$H1041&lt;1,$H1041&gt;12,$I1041&lt;1,$I1041&gt;31),"نامعتبر",RIGHT("0000"&amp;$G1041,4)&amp;"/"&amp;RIGHT("00"&amp;$H1041,2)&amp;"/"&amp;RIGHT("00"&amp;$I1041,2)))</f>
        <v/>
      </c>
      <c r="K1041">
        <f>IF(OR($F1041="",$J1041="",$J1041="نامعتبر"),"",LEFT($J1041,4)&amp;MID($J1041,6,2)&amp;RIGHT($J1041,2)&amp;$N1041&amp;"|"&amp;"2"&amp;RIGHT("00000"&amp;1036,5))</f>
        <v/>
      </c>
      <c r="L1041">
        <f>IF($K1041="","",COUNTIFS(LdgSellerA,$F1041,LdgKeyA,"&lt;"&amp;$K1041)+COUNTIFS(LdgSellerB,$F1041,LdgKeyB,"&lt;"&amp;$K1041)+1)</f>
        <v/>
      </c>
      <c r="M1041">
        <f>IF($L1041="","",$F1041&amp;"|"&amp;RIGHT("000000"&amp;$L1041,6))</f>
        <v/>
      </c>
      <c r="N1041">
        <f>IF($F1041="","",IF(Sync!$AF1041="","0000",IF(AND(ISNUMBER(Sync!$AF1041),Sync!$AF1041&gt;=0,Sync!$AF1041&lt;1),RIGHT("00"&amp;HOUR(Sync!$AF1041),2)&amp;RIGHT("00"&amp;MINUTE(Sync!$AF1041),2),IFERROR(RIGHT("00"&amp;VALUE(LEFT(Sync!$AF1041,FIND(":",Sync!$AF1041)-1)),2)&amp;RIGHT("00"&amp;VALUE(MID(Sync!$AF1041,FIND(":",Sync!$AF1041)+1,2)),2),"0000"))))</f>
        <v/>
      </c>
    </row>
    <row r="1042">
      <c r="A1042">
        <f>IF(OR(Calc!$E1046="",Calc!$E1046="نامعتبر",Calc!$G1046=""),"",Calc!$G1046)</f>
        <v/>
      </c>
      <c r="B1042">
        <f>IF($A1042="","",LEFT(Calc!$E1046,4)&amp;MID(Calc!$E1046,6,2)&amp;RIGHT(Calc!$E1046,2)&amp;Calc!$Q1046&amp;"|"&amp;"1"&amp;RIGHT("00000"&amp;1037,5))</f>
        <v/>
      </c>
      <c r="C1042">
        <f>IF($B1042="","",COUNTIFS(LdgSellerA,$A1042,LdgKeyA,"&lt;"&amp;$B1042)+COUNTIFS(LdgSellerB,$A1042,LdgKeyB,"&lt;"&amp;$B1042)+1)</f>
        <v/>
      </c>
      <c r="D1042">
        <f>IF($C1042="","",$A1042&amp;"|"&amp;RIGHT("000000"&amp;$C1042,6))</f>
        <v/>
      </c>
      <c r="F1042">
        <f>IF(Sync!$AH1042="","",IF(LEFT(UPPER(TRIM(Sync!$AH1042)),2)="SL",UPPER(TRIM(Sync!$AH1042)),""))</f>
        <v/>
      </c>
      <c r="G1042">
        <f>IF($F1042="","",IF(Sync!$AE1042="","",IF(ISNUMBER(Sync!$AE1042),IF(AND(Sync!$AE1042&gt;=10000101,Sync!$AE1042&lt;=99991231),INT(Sync!$AE1042/10000),""),IFERROR(VALUE(TRIM(LEFT(Sync!$AE1042,FIND("/",Sync!$AE1042)-1))),""))))</f>
        <v/>
      </c>
      <c r="H1042">
        <f>IF(OR($F1042="",$G1042=""),"",IF(ISNUMBER(Sync!$AE1042),INT(MOD(Sync!$AE1042,10000)/100),IFERROR(VALUE(TRIM(LEFT(MID(Sync!$AE1042,FIND("/",Sync!$AE1042)+1,20),FIND("/",MID(Sync!$AE1042,FIND("/",Sync!$AE1042)+1,20))-1))),"")))</f>
        <v/>
      </c>
      <c r="I1042">
        <f>IF(OR($F1042="",$G1042=""),"",IF(ISNUMBER(Sync!$AE1042),MOD(Sync!$AE1042,100),IFERROR(VALUE(TRIM(MID(MID(Sync!$AE1042,FIND("/",Sync!$AE1042)+1,20),FIND("/",MID(Sync!$AE1042,FIND("/",Sync!$AE1042)+1,20))+1,20))),"")))</f>
        <v/>
      </c>
      <c r="J1042">
        <f>IF($F1042="","",IF(OR($G1042="",$H1042="",$I1042="",$G1042&lt;1300,$G1042&gt;1500,$H1042&lt;1,$H1042&gt;12,$I1042&lt;1,$I1042&gt;31),"نامعتبر",RIGHT("0000"&amp;$G1042,4)&amp;"/"&amp;RIGHT("00"&amp;$H1042,2)&amp;"/"&amp;RIGHT("00"&amp;$I1042,2)))</f>
        <v/>
      </c>
      <c r="K1042">
        <f>IF(OR($F1042="",$J1042="",$J1042="نامعتبر"),"",LEFT($J1042,4)&amp;MID($J1042,6,2)&amp;RIGHT($J1042,2)&amp;$N1042&amp;"|"&amp;"2"&amp;RIGHT("00000"&amp;1037,5))</f>
        <v/>
      </c>
      <c r="L1042">
        <f>IF($K1042="","",COUNTIFS(LdgSellerA,$F1042,LdgKeyA,"&lt;"&amp;$K1042)+COUNTIFS(LdgSellerB,$F1042,LdgKeyB,"&lt;"&amp;$K1042)+1)</f>
        <v/>
      </c>
      <c r="M1042">
        <f>IF($L1042="","",$F1042&amp;"|"&amp;RIGHT("000000"&amp;$L1042,6))</f>
        <v/>
      </c>
      <c r="N1042">
        <f>IF($F1042="","",IF(Sync!$AF1042="","0000",IF(AND(ISNUMBER(Sync!$AF1042),Sync!$AF1042&gt;=0,Sync!$AF1042&lt;1),RIGHT("00"&amp;HOUR(Sync!$AF1042),2)&amp;RIGHT("00"&amp;MINUTE(Sync!$AF1042),2),IFERROR(RIGHT("00"&amp;VALUE(LEFT(Sync!$AF1042,FIND(":",Sync!$AF1042)-1)),2)&amp;RIGHT("00"&amp;VALUE(MID(Sync!$AF1042,FIND(":",Sync!$AF1042)+1,2)),2),"0000"))))</f>
        <v/>
      </c>
    </row>
    <row r="1043">
      <c r="A1043">
        <f>IF(OR(Calc!$E1047="",Calc!$E1047="نامعتبر",Calc!$G1047=""),"",Calc!$G1047)</f>
        <v/>
      </c>
      <c r="B1043">
        <f>IF($A1043="","",LEFT(Calc!$E1047,4)&amp;MID(Calc!$E1047,6,2)&amp;RIGHT(Calc!$E1047,2)&amp;Calc!$Q1047&amp;"|"&amp;"1"&amp;RIGHT("00000"&amp;1038,5))</f>
        <v/>
      </c>
      <c r="C1043">
        <f>IF($B1043="","",COUNTIFS(LdgSellerA,$A1043,LdgKeyA,"&lt;"&amp;$B1043)+COUNTIFS(LdgSellerB,$A1043,LdgKeyB,"&lt;"&amp;$B1043)+1)</f>
        <v/>
      </c>
      <c r="D1043">
        <f>IF($C1043="","",$A1043&amp;"|"&amp;RIGHT("000000"&amp;$C1043,6))</f>
        <v/>
      </c>
      <c r="F1043">
        <f>IF(Sync!$AH1043="","",IF(LEFT(UPPER(TRIM(Sync!$AH1043)),2)="SL",UPPER(TRIM(Sync!$AH1043)),""))</f>
        <v/>
      </c>
      <c r="G1043">
        <f>IF($F1043="","",IF(Sync!$AE1043="","",IF(ISNUMBER(Sync!$AE1043),IF(AND(Sync!$AE1043&gt;=10000101,Sync!$AE1043&lt;=99991231),INT(Sync!$AE1043/10000),""),IFERROR(VALUE(TRIM(LEFT(Sync!$AE1043,FIND("/",Sync!$AE1043)-1))),""))))</f>
        <v/>
      </c>
      <c r="H1043">
        <f>IF(OR($F1043="",$G1043=""),"",IF(ISNUMBER(Sync!$AE1043),INT(MOD(Sync!$AE1043,10000)/100),IFERROR(VALUE(TRIM(LEFT(MID(Sync!$AE1043,FIND("/",Sync!$AE1043)+1,20),FIND("/",MID(Sync!$AE1043,FIND("/",Sync!$AE1043)+1,20))-1))),"")))</f>
        <v/>
      </c>
      <c r="I1043">
        <f>IF(OR($F1043="",$G1043=""),"",IF(ISNUMBER(Sync!$AE1043),MOD(Sync!$AE1043,100),IFERROR(VALUE(TRIM(MID(MID(Sync!$AE1043,FIND("/",Sync!$AE1043)+1,20),FIND("/",MID(Sync!$AE1043,FIND("/",Sync!$AE1043)+1,20))+1,20))),"")))</f>
        <v/>
      </c>
      <c r="J1043">
        <f>IF($F1043="","",IF(OR($G1043="",$H1043="",$I1043="",$G1043&lt;1300,$G1043&gt;1500,$H1043&lt;1,$H1043&gt;12,$I1043&lt;1,$I1043&gt;31),"نامعتبر",RIGHT("0000"&amp;$G1043,4)&amp;"/"&amp;RIGHT("00"&amp;$H1043,2)&amp;"/"&amp;RIGHT("00"&amp;$I1043,2)))</f>
        <v/>
      </c>
      <c r="K1043">
        <f>IF(OR($F1043="",$J1043="",$J1043="نامعتبر"),"",LEFT($J1043,4)&amp;MID($J1043,6,2)&amp;RIGHT($J1043,2)&amp;$N1043&amp;"|"&amp;"2"&amp;RIGHT("00000"&amp;1038,5))</f>
        <v/>
      </c>
      <c r="L1043">
        <f>IF($K1043="","",COUNTIFS(LdgSellerA,$F1043,LdgKeyA,"&lt;"&amp;$K1043)+COUNTIFS(LdgSellerB,$F1043,LdgKeyB,"&lt;"&amp;$K1043)+1)</f>
        <v/>
      </c>
      <c r="M1043">
        <f>IF($L1043="","",$F1043&amp;"|"&amp;RIGHT("000000"&amp;$L1043,6))</f>
        <v/>
      </c>
      <c r="N1043">
        <f>IF($F1043="","",IF(Sync!$AF1043="","0000",IF(AND(ISNUMBER(Sync!$AF1043),Sync!$AF1043&gt;=0,Sync!$AF1043&lt;1),RIGHT("00"&amp;HOUR(Sync!$AF1043),2)&amp;RIGHT("00"&amp;MINUTE(Sync!$AF1043),2),IFERROR(RIGHT("00"&amp;VALUE(LEFT(Sync!$AF1043,FIND(":",Sync!$AF1043)-1)),2)&amp;RIGHT("00"&amp;VALUE(MID(Sync!$AF1043,FIND(":",Sync!$AF1043)+1,2)),2),"0000"))))</f>
        <v/>
      </c>
    </row>
    <row r="1044">
      <c r="A1044">
        <f>IF(OR(Calc!$E1048="",Calc!$E1048="نامعتبر",Calc!$G1048=""),"",Calc!$G1048)</f>
        <v/>
      </c>
      <c r="B1044">
        <f>IF($A1044="","",LEFT(Calc!$E1048,4)&amp;MID(Calc!$E1048,6,2)&amp;RIGHT(Calc!$E1048,2)&amp;Calc!$Q1048&amp;"|"&amp;"1"&amp;RIGHT("00000"&amp;1039,5))</f>
        <v/>
      </c>
      <c r="C1044">
        <f>IF($B1044="","",COUNTIFS(LdgSellerA,$A1044,LdgKeyA,"&lt;"&amp;$B1044)+COUNTIFS(LdgSellerB,$A1044,LdgKeyB,"&lt;"&amp;$B1044)+1)</f>
        <v/>
      </c>
      <c r="D1044">
        <f>IF($C1044="","",$A1044&amp;"|"&amp;RIGHT("000000"&amp;$C1044,6))</f>
        <v/>
      </c>
      <c r="F1044">
        <f>IF(Sync!$AH1044="","",IF(LEFT(UPPER(TRIM(Sync!$AH1044)),2)="SL",UPPER(TRIM(Sync!$AH1044)),""))</f>
        <v/>
      </c>
      <c r="G1044">
        <f>IF($F1044="","",IF(Sync!$AE1044="","",IF(ISNUMBER(Sync!$AE1044),IF(AND(Sync!$AE1044&gt;=10000101,Sync!$AE1044&lt;=99991231),INT(Sync!$AE1044/10000),""),IFERROR(VALUE(TRIM(LEFT(Sync!$AE1044,FIND("/",Sync!$AE1044)-1))),""))))</f>
        <v/>
      </c>
      <c r="H1044">
        <f>IF(OR($F1044="",$G1044=""),"",IF(ISNUMBER(Sync!$AE1044),INT(MOD(Sync!$AE1044,10000)/100),IFERROR(VALUE(TRIM(LEFT(MID(Sync!$AE1044,FIND("/",Sync!$AE1044)+1,20),FIND("/",MID(Sync!$AE1044,FIND("/",Sync!$AE1044)+1,20))-1))),"")))</f>
        <v/>
      </c>
      <c r="I1044">
        <f>IF(OR($F1044="",$G1044=""),"",IF(ISNUMBER(Sync!$AE1044),MOD(Sync!$AE1044,100),IFERROR(VALUE(TRIM(MID(MID(Sync!$AE1044,FIND("/",Sync!$AE1044)+1,20),FIND("/",MID(Sync!$AE1044,FIND("/",Sync!$AE1044)+1,20))+1,20))),"")))</f>
        <v/>
      </c>
      <c r="J1044">
        <f>IF($F1044="","",IF(OR($G1044="",$H1044="",$I1044="",$G1044&lt;1300,$G1044&gt;1500,$H1044&lt;1,$H1044&gt;12,$I1044&lt;1,$I1044&gt;31),"نامعتبر",RIGHT("0000"&amp;$G1044,4)&amp;"/"&amp;RIGHT("00"&amp;$H1044,2)&amp;"/"&amp;RIGHT("00"&amp;$I1044,2)))</f>
        <v/>
      </c>
      <c r="K1044">
        <f>IF(OR($F1044="",$J1044="",$J1044="نامعتبر"),"",LEFT($J1044,4)&amp;MID($J1044,6,2)&amp;RIGHT($J1044,2)&amp;$N1044&amp;"|"&amp;"2"&amp;RIGHT("00000"&amp;1039,5))</f>
        <v/>
      </c>
      <c r="L1044">
        <f>IF($K1044="","",COUNTIFS(LdgSellerA,$F1044,LdgKeyA,"&lt;"&amp;$K1044)+COUNTIFS(LdgSellerB,$F1044,LdgKeyB,"&lt;"&amp;$K1044)+1)</f>
        <v/>
      </c>
      <c r="M1044">
        <f>IF($L1044="","",$F1044&amp;"|"&amp;RIGHT("000000"&amp;$L1044,6))</f>
        <v/>
      </c>
      <c r="N1044">
        <f>IF($F1044="","",IF(Sync!$AF1044="","0000",IF(AND(ISNUMBER(Sync!$AF1044),Sync!$AF1044&gt;=0,Sync!$AF1044&lt;1),RIGHT("00"&amp;HOUR(Sync!$AF1044),2)&amp;RIGHT("00"&amp;MINUTE(Sync!$AF1044),2),IFERROR(RIGHT("00"&amp;VALUE(LEFT(Sync!$AF1044,FIND(":",Sync!$AF1044)-1)),2)&amp;RIGHT("00"&amp;VALUE(MID(Sync!$AF1044,FIND(":",Sync!$AF1044)+1,2)),2),"0000"))))</f>
        <v/>
      </c>
    </row>
    <row r="1045">
      <c r="A1045">
        <f>IF(OR(Calc!$E1049="",Calc!$E1049="نامعتبر",Calc!$G1049=""),"",Calc!$G1049)</f>
        <v/>
      </c>
      <c r="B1045">
        <f>IF($A1045="","",LEFT(Calc!$E1049,4)&amp;MID(Calc!$E1049,6,2)&amp;RIGHT(Calc!$E1049,2)&amp;Calc!$Q1049&amp;"|"&amp;"1"&amp;RIGHT("00000"&amp;1040,5))</f>
        <v/>
      </c>
      <c r="C1045">
        <f>IF($B1045="","",COUNTIFS(LdgSellerA,$A1045,LdgKeyA,"&lt;"&amp;$B1045)+COUNTIFS(LdgSellerB,$A1045,LdgKeyB,"&lt;"&amp;$B1045)+1)</f>
        <v/>
      </c>
      <c r="D1045">
        <f>IF($C1045="","",$A1045&amp;"|"&amp;RIGHT("000000"&amp;$C1045,6))</f>
        <v/>
      </c>
      <c r="F1045">
        <f>IF(Sync!$AH1045="","",IF(LEFT(UPPER(TRIM(Sync!$AH1045)),2)="SL",UPPER(TRIM(Sync!$AH1045)),""))</f>
        <v/>
      </c>
      <c r="G1045">
        <f>IF($F1045="","",IF(Sync!$AE1045="","",IF(ISNUMBER(Sync!$AE1045),IF(AND(Sync!$AE1045&gt;=10000101,Sync!$AE1045&lt;=99991231),INT(Sync!$AE1045/10000),""),IFERROR(VALUE(TRIM(LEFT(Sync!$AE1045,FIND("/",Sync!$AE1045)-1))),""))))</f>
        <v/>
      </c>
      <c r="H1045">
        <f>IF(OR($F1045="",$G1045=""),"",IF(ISNUMBER(Sync!$AE1045),INT(MOD(Sync!$AE1045,10000)/100),IFERROR(VALUE(TRIM(LEFT(MID(Sync!$AE1045,FIND("/",Sync!$AE1045)+1,20),FIND("/",MID(Sync!$AE1045,FIND("/",Sync!$AE1045)+1,20))-1))),"")))</f>
        <v/>
      </c>
      <c r="I1045">
        <f>IF(OR($F1045="",$G1045=""),"",IF(ISNUMBER(Sync!$AE1045),MOD(Sync!$AE1045,100),IFERROR(VALUE(TRIM(MID(MID(Sync!$AE1045,FIND("/",Sync!$AE1045)+1,20),FIND("/",MID(Sync!$AE1045,FIND("/",Sync!$AE1045)+1,20))+1,20))),"")))</f>
        <v/>
      </c>
      <c r="J1045">
        <f>IF($F1045="","",IF(OR($G1045="",$H1045="",$I1045="",$G1045&lt;1300,$G1045&gt;1500,$H1045&lt;1,$H1045&gt;12,$I1045&lt;1,$I1045&gt;31),"نامعتبر",RIGHT("0000"&amp;$G1045,4)&amp;"/"&amp;RIGHT("00"&amp;$H1045,2)&amp;"/"&amp;RIGHT("00"&amp;$I1045,2)))</f>
        <v/>
      </c>
      <c r="K1045">
        <f>IF(OR($F1045="",$J1045="",$J1045="نامعتبر"),"",LEFT($J1045,4)&amp;MID($J1045,6,2)&amp;RIGHT($J1045,2)&amp;$N1045&amp;"|"&amp;"2"&amp;RIGHT("00000"&amp;1040,5))</f>
        <v/>
      </c>
      <c r="L1045">
        <f>IF($K1045="","",COUNTIFS(LdgSellerA,$F1045,LdgKeyA,"&lt;"&amp;$K1045)+COUNTIFS(LdgSellerB,$F1045,LdgKeyB,"&lt;"&amp;$K1045)+1)</f>
        <v/>
      </c>
      <c r="M1045">
        <f>IF($L1045="","",$F1045&amp;"|"&amp;RIGHT("000000"&amp;$L1045,6))</f>
        <v/>
      </c>
      <c r="N1045">
        <f>IF($F1045="","",IF(Sync!$AF1045="","0000",IF(AND(ISNUMBER(Sync!$AF1045),Sync!$AF1045&gt;=0,Sync!$AF1045&lt;1),RIGHT("00"&amp;HOUR(Sync!$AF1045),2)&amp;RIGHT("00"&amp;MINUTE(Sync!$AF1045),2),IFERROR(RIGHT("00"&amp;VALUE(LEFT(Sync!$AF1045,FIND(":",Sync!$AF1045)-1)),2)&amp;RIGHT("00"&amp;VALUE(MID(Sync!$AF1045,FIND(":",Sync!$AF1045)+1,2)),2),"0000"))))</f>
        <v/>
      </c>
    </row>
    <row r="1046">
      <c r="A1046">
        <f>IF(OR(Calc!$E1050="",Calc!$E1050="نامعتبر",Calc!$G1050=""),"",Calc!$G1050)</f>
        <v/>
      </c>
      <c r="B1046">
        <f>IF($A1046="","",LEFT(Calc!$E1050,4)&amp;MID(Calc!$E1050,6,2)&amp;RIGHT(Calc!$E1050,2)&amp;Calc!$Q1050&amp;"|"&amp;"1"&amp;RIGHT("00000"&amp;1041,5))</f>
        <v/>
      </c>
      <c r="C1046">
        <f>IF($B1046="","",COUNTIFS(LdgSellerA,$A1046,LdgKeyA,"&lt;"&amp;$B1046)+COUNTIFS(LdgSellerB,$A1046,LdgKeyB,"&lt;"&amp;$B1046)+1)</f>
        <v/>
      </c>
      <c r="D1046">
        <f>IF($C1046="","",$A1046&amp;"|"&amp;RIGHT("000000"&amp;$C1046,6))</f>
        <v/>
      </c>
      <c r="F1046">
        <f>IF(Sync!$AH1046="","",IF(LEFT(UPPER(TRIM(Sync!$AH1046)),2)="SL",UPPER(TRIM(Sync!$AH1046)),""))</f>
        <v/>
      </c>
      <c r="G1046">
        <f>IF($F1046="","",IF(Sync!$AE1046="","",IF(ISNUMBER(Sync!$AE1046),IF(AND(Sync!$AE1046&gt;=10000101,Sync!$AE1046&lt;=99991231),INT(Sync!$AE1046/10000),""),IFERROR(VALUE(TRIM(LEFT(Sync!$AE1046,FIND("/",Sync!$AE1046)-1))),""))))</f>
        <v/>
      </c>
      <c r="H1046">
        <f>IF(OR($F1046="",$G1046=""),"",IF(ISNUMBER(Sync!$AE1046),INT(MOD(Sync!$AE1046,10000)/100),IFERROR(VALUE(TRIM(LEFT(MID(Sync!$AE1046,FIND("/",Sync!$AE1046)+1,20),FIND("/",MID(Sync!$AE1046,FIND("/",Sync!$AE1046)+1,20))-1))),"")))</f>
        <v/>
      </c>
      <c r="I1046">
        <f>IF(OR($F1046="",$G1046=""),"",IF(ISNUMBER(Sync!$AE1046),MOD(Sync!$AE1046,100),IFERROR(VALUE(TRIM(MID(MID(Sync!$AE1046,FIND("/",Sync!$AE1046)+1,20),FIND("/",MID(Sync!$AE1046,FIND("/",Sync!$AE1046)+1,20))+1,20))),"")))</f>
        <v/>
      </c>
      <c r="J1046">
        <f>IF($F1046="","",IF(OR($G1046="",$H1046="",$I1046="",$G1046&lt;1300,$G1046&gt;1500,$H1046&lt;1,$H1046&gt;12,$I1046&lt;1,$I1046&gt;31),"نامعتبر",RIGHT("0000"&amp;$G1046,4)&amp;"/"&amp;RIGHT("00"&amp;$H1046,2)&amp;"/"&amp;RIGHT("00"&amp;$I1046,2)))</f>
        <v/>
      </c>
      <c r="K1046">
        <f>IF(OR($F1046="",$J1046="",$J1046="نامعتبر"),"",LEFT($J1046,4)&amp;MID($J1046,6,2)&amp;RIGHT($J1046,2)&amp;$N1046&amp;"|"&amp;"2"&amp;RIGHT("00000"&amp;1041,5))</f>
        <v/>
      </c>
      <c r="L1046">
        <f>IF($K1046="","",COUNTIFS(LdgSellerA,$F1046,LdgKeyA,"&lt;"&amp;$K1046)+COUNTIFS(LdgSellerB,$F1046,LdgKeyB,"&lt;"&amp;$K1046)+1)</f>
        <v/>
      </c>
      <c r="M1046">
        <f>IF($L1046="","",$F1046&amp;"|"&amp;RIGHT("000000"&amp;$L1046,6))</f>
        <v/>
      </c>
      <c r="N1046">
        <f>IF($F1046="","",IF(Sync!$AF1046="","0000",IF(AND(ISNUMBER(Sync!$AF1046),Sync!$AF1046&gt;=0,Sync!$AF1046&lt;1),RIGHT("00"&amp;HOUR(Sync!$AF1046),2)&amp;RIGHT("00"&amp;MINUTE(Sync!$AF1046),2),IFERROR(RIGHT("00"&amp;VALUE(LEFT(Sync!$AF1046,FIND(":",Sync!$AF1046)-1)),2)&amp;RIGHT("00"&amp;VALUE(MID(Sync!$AF1046,FIND(":",Sync!$AF1046)+1,2)),2),"0000"))))</f>
        <v/>
      </c>
    </row>
    <row r="1047">
      <c r="A1047">
        <f>IF(OR(Calc!$E1051="",Calc!$E1051="نامعتبر",Calc!$G1051=""),"",Calc!$G1051)</f>
        <v/>
      </c>
      <c r="B1047">
        <f>IF($A1047="","",LEFT(Calc!$E1051,4)&amp;MID(Calc!$E1051,6,2)&amp;RIGHT(Calc!$E1051,2)&amp;Calc!$Q1051&amp;"|"&amp;"1"&amp;RIGHT("00000"&amp;1042,5))</f>
        <v/>
      </c>
      <c r="C1047">
        <f>IF($B1047="","",COUNTIFS(LdgSellerA,$A1047,LdgKeyA,"&lt;"&amp;$B1047)+COUNTIFS(LdgSellerB,$A1047,LdgKeyB,"&lt;"&amp;$B1047)+1)</f>
        <v/>
      </c>
      <c r="D1047">
        <f>IF($C1047="","",$A1047&amp;"|"&amp;RIGHT("000000"&amp;$C1047,6))</f>
        <v/>
      </c>
      <c r="F1047">
        <f>IF(Sync!$AH1047="","",IF(LEFT(UPPER(TRIM(Sync!$AH1047)),2)="SL",UPPER(TRIM(Sync!$AH1047)),""))</f>
        <v/>
      </c>
      <c r="G1047">
        <f>IF($F1047="","",IF(Sync!$AE1047="","",IF(ISNUMBER(Sync!$AE1047),IF(AND(Sync!$AE1047&gt;=10000101,Sync!$AE1047&lt;=99991231),INT(Sync!$AE1047/10000),""),IFERROR(VALUE(TRIM(LEFT(Sync!$AE1047,FIND("/",Sync!$AE1047)-1))),""))))</f>
        <v/>
      </c>
      <c r="H1047">
        <f>IF(OR($F1047="",$G1047=""),"",IF(ISNUMBER(Sync!$AE1047),INT(MOD(Sync!$AE1047,10000)/100),IFERROR(VALUE(TRIM(LEFT(MID(Sync!$AE1047,FIND("/",Sync!$AE1047)+1,20),FIND("/",MID(Sync!$AE1047,FIND("/",Sync!$AE1047)+1,20))-1))),"")))</f>
        <v/>
      </c>
      <c r="I1047">
        <f>IF(OR($F1047="",$G1047=""),"",IF(ISNUMBER(Sync!$AE1047),MOD(Sync!$AE1047,100),IFERROR(VALUE(TRIM(MID(MID(Sync!$AE1047,FIND("/",Sync!$AE1047)+1,20),FIND("/",MID(Sync!$AE1047,FIND("/",Sync!$AE1047)+1,20))+1,20))),"")))</f>
        <v/>
      </c>
      <c r="J1047">
        <f>IF($F1047="","",IF(OR($G1047="",$H1047="",$I1047="",$G1047&lt;1300,$G1047&gt;1500,$H1047&lt;1,$H1047&gt;12,$I1047&lt;1,$I1047&gt;31),"نامعتبر",RIGHT("0000"&amp;$G1047,4)&amp;"/"&amp;RIGHT("00"&amp;$H1047,2)&amp;"/"&amp;RIGHT("00"&amp;$I1047,2)))</f>
        <v/>
      </c>
      <c r="K1047">
        <f>IF(OR($F1047="",$J1047="",$J1047="نامعتبر"),"",LEFT($J1047,4)&amp;MID($J1047,6,2)&amp;RIGHT($J1047,2)&amp;$N1047&amp;"|"&amp;"2"&amp;RIGHT("00000"&amp;1042,5))</f>
        <v/>
      </c>
      <c r="L1047">
        <f>IF($K1047="","",COUNTIFS(LdgSellerA,$F1047,LdgKeyA,"&lt;"&amp;$K1047)+COUNTIFS(LdgSellerB,$F1047,LdgKeyB,"&lt;"&amp;$K1047)+1)</f>
        <v/>
      </c>
      <c r="M1047">
        <f>IF($L1047="","",$F1047&amp;"|"&amp;RIGHT("000000"&amp;$L1047,6))</f>
        <v/>
      </c>
      <c r="N1047">
        <f>IF($F1047="","",IF(Sync!$AF1047="","0000",IF(AND(ISNUMBER(Sync!$AF1047),Sync!$AF1047&gt;=0,Sync!$AF1047&lt;1),RIGHT("00"&amp;HOUR(Sync!$AF1047),2)&amp;RIGHT("00"&amp;MINUTE(Sync!$AF1047),2),IFERROR(RIGHT("00"&amp;VALUE(LEFT(Sync!$AF1047,FIND(":",Sync!$AF1047)-1)),2)&amp;RIGHT("00"&amp;VALUE(MID(Sync!$AF1047,FIND(":",Sync!$AF1047)+1,2)),2),"0000"))))</f>
        <v/>
      </c>
    </row>
    <row r="1048">
      <c r="A1048">
        <f>IF(OR(Calc!$E1052="",Calc!$E1052="نامعتبر",Calc!$G1052=""),"",Calc!$G1052)</f>
        <v/>
      </c>
      <c r="B1048">
        <f>IF($A1048="","",LEFT(Calc!$E1052,4)&amp;MID(Calc!$E1052,6,2)&amp;RIGHT(Calc!$E1052,2)&amp;Calc!$Q1052&amp;"|"&amp;"1"&amp;RIGHT("00000"&amp;1043,5))</f>
        <v/>
      </c>
      <c r="C1048">
        <f>IF($B1048="","",COUNTIFS(LdgSellerA,$A1048,LdgKeyA,"&lt;"&amp;$B1048)+COUNTIFS(LdgSellerB,$A1048,LdgKeyB,"&lt;"&amp;$B1048)+1)</f>
        <v/>
      </c>
      <c r="D1048">
        <f>IF($C1048="","",$A1048&amp;"|"&amp;RIGHT("000000"&amp;$C1048,6))</f>
        <v/>
      </c>
      <c r="F1048">
        <f>IF(Sync!$AH1048="","",IF(LEFT(UPPER(TRIM(Sync!$AH1048)),2)="SL",UPPER(TRIM(Sync!$AH1048)),""))</f>
        <v/>
      </c>
      <c r="G1048">
        <f>IF($F1048="","",IF(Sync!$AE1048="","",IF(ISNUMBER(Sync!$AE1048),IF(AND(Sync!$AE1048&gt;=10000101,Sync!$AE1048&lt;=99991231),INT(Sync!$AE1048/10000),""),IFERROR(VALUE(TRIM(LEFT(Sync!$AE1048,FIND("/",Sync!$AE1048)-1))),""))))</f>
        <v/>
      </c>
      <c r="H1048">
        <f>IF(OR($F1048="",$G1048=""),"",IF(ISNUMBER(Sync!$AE1048),INT(MOD(Sync!$AE1048,10000)/100),IFERROR(VALUE(TRIM(LEFT(MID(Sync!$AE1048,FIND("/",Sync!$AE1048)+1,20),FIND("/",MID(Sync!$AE1048,FIND("/",Sync!$AE1048)+1,20))-1))),"")))</f>
        <v/>
      </c>
      <c r="I1048">
        <f>IF(OR($F1048="",$G1048=""),"",IF(ISNUMBER(Sync!$AE1048),MOD(Sync!$AE1048,100),IFERROR(VALUE(TRIM(MID(MID(Sync!$AE1048,FIND("/",Sync!$AE1048)+1,20),FIND("/",MID(Sync!$AE1048,FIND("/",Sync!$AE1048)+1,20))+1,20))),"")))</f>
        <v/>
      </c>
      <c r="J1048">
        <f>IF($F1048="","",IF(OR($G1048="",$H1048="",$I1048="",$G1048&lt;1300,$G1048&gt;1500,$H1048&lt;1,$H1048&gt;12,$I1048&lt;1,$I1048&gt;31),"نامعتبر",RIGHT("0000"&amp;$G1048,4)&amp;"/"&amp;RIGHT("00"&amp;$H1048,2)&amp;"/"&amp;RIGHT("00"&amp;$I1048,2)))</f>
        <v/>
      </c>
      <c r="K1048">
        <f>IF(OR($F1048="",$J1048="",$J1048="نامعتبر"),"",LEFT($J1048,4)&amp;MID($J1048,6,2)&amp;RIGHT($J1048,2)&amp;$N1048&amp;"|"&amp;"2"&amp;RIGHT("00000"&amp;1043,5))</f>
        <v/>
      </c>
      <c r="L1048">
        <f>IF($K1048="","",COUNTIFS(LdgSellerA,$F1048,LdgKeyA,"&lt;"&amp;$K1048)+COUNTIFS(LdgSellerB,$F1048,LdgKeyB,"&lt;"&amp;$K1048)+1)</f>
        <v/>
      </c>
      <c r="M1048">
        <f>IF($L1048="","",$F1048&amp;"|"&amp;RIGHT("000000"&amp;$L1048,6))</f>
        <v/>
      </c>
      <c r="N1048">
        <f>IF($F1048="","",IF(Sync!$AF1048="","0000",IF(AND(ISNUMBER(Sync!$AF1048),Sync!$AF1048&gt;=0,Sync!$AF1048&lt;1),RIGHT("00"&amp;HOUR(Sync!$AF1048),2)&amp;RIGHT("00"&amp;MINUTE(Sync!$AF1048),2),IFERROR(RIGHT("00"&amp;VALUE(LEFT(Sync!$AF1048,FIND(":",Sync!$AF1048)-1)),2)&amp;RIGHT("00"&amp;VALUE(MID(Sync!$AF1048,FIND(":",Sync!$AF1048)+1,2)),2),"0000"))))</f>
        <v/>
      </c>
    </row>
    <row r="1049">
      <c r="A1049">
        <f>IF(OR(Calc!$E1053="",Calc!$E1053="نامعتبر",Calc!$G1053=""),"",Calc!$G1053)</f>
        <v/>
      </c>
      <c r="B1049">
        <f>IF($A1049="","",LEFT(Calc!$E1053,4)&amp;MID(Calc!$E1053,6,2)&amp;RIGHT(Calc!$E1053,2)&amp;Calc!$Q1053&amp;"|"&amp;"1"&amp;RIGHT("00000"&amp;1044,5))</f>
        <v/>
      </c>
      <c r="C1049">
        <f>IF($B1049="","",COUNTIFS(LdgSellerA,$A1049,LdgKeyA,"&lt;"&amp;$B1049)+COUNTIFS(LdgSellerB,$A1049,LdgKeyB,"&lt;"&amp;$B1049)+1)</f>
        <v/>
      </c>
      <c r="D1049">
        <f>IF($C1049="","",$A1049&amp;"|"&amp;RIGHT("000000"&amp;$C1049,6))</f>
        <v/>
      </c>
      <c r="F1049">
        <f>IF(Sync!$AH1049="","",IF(LEFT(UPPER(TRIM(Sync!$AH1049)),2)="SL",UPPER(TRIM(Sync!$AH1049)),""))</f>
        <v/>
      </c>
      <c r="G1049">
        <f>IF($F1049="","",IF(Sync!$AE1049="","",IF(ISNUMBER(Sync!$AE1049),IF(AND(Sync!$AE1049&gt;=10000101,Sync!$AE1049&lt;=99991231),INT(Sync!$AE1049/10000),""),IFERROR(VALUE(TRIM(LEFT(Sync!$AE1049,FIND("/",Sync!$AE1049)-1))),""))))</f>
        <v/>
      </c>
      <c r="H1049">
        <f>IF(OR($F1049="",$G1049=""),"",IF(ISNUMBER(Sync!$AE1049),INT(MOD(Sync!$AE1049,10000)/100),IFERROR(VALUE(TRIM(LEFT(MID(Sync!$AE1049,FIND("/",Sync!$AE1049)+1,20),FIND("/",MID(Sync!$AE1049,FIND("/",Sync!$AE1049)+1,20))-1))),"")))</f>
        <v/>
      </c>
      <c r="I1049">
        <f>IF(OR($F1049="",$G1049=""),"",IF(ISNUMBER(Sync!$AE1049),MOD(Sync!$AE1049,100),IFERROR(VALUE(TRIM(MID(MID(Sync!$AE1049,FIND("/",Sync!$AE1049)+1,20),FIND("/",MID(Sync!$AE1049,FIND("/",Sync!$AE1049)+1,20))+1,20))),"")))</f>
        <v/>
      </c>
      <c r="J1049">
        <f>IF($F1049="","",IF(OR($G1049="",$H1049="",$I1049="",$G1049&lt;1300,$G1049&gt;1500,$H1049&lt;1,$H1049&gt;12,$I1049&lt;1,$I1049&gt;31),"نامعتبر",RIGHT("0000"&amp;$G1049,4)&amp;"/"&amp;RIGHT("00"&amp;$H1049,2)&amp;"/"&amp;RIGHT("00"&amp;$I1049,2)))</f>
        <v/>
      </c>
      <c r="K1049">
        <f>IF(OR($F1049="",$J1049="",$J1049="نامعتبر"),"",LEFT($J1049,4)&amp;MID($J1049,6,2)&amp;RIGHT($J1049,2)&amp;$N1049&amp;"|"&amp;"2"&amp;RIGHT("00000"&amp;1044,5))</f>
        <v/>
      </c>
      <c r="L1049">
        <f>IF($K1049="","",COUNTIFS(LdgSellerA,$F1049,LdgKeyA,"&lt;"&amp;$K1049)+COUNTIFS(LdgSellerB,$F1049,LdgKeyB,"&lt;"&amp;$K1049)+1)</f>
        <v/>
      </c>
      <c r="M1049">
        <f>IF($L1049="","",$F1049&amp;"|"&amp;RIGHT("000000"&amp;$L1049,6))</f>
        <v/>
      </c>
      <c r="N1049">
        <f>IF($F1049="","",IF(Sync!$AF1049="","0000",IF(AND(ISNUMBER(Sync!$AF1049),Sync!$AF1049&gt;=0,Sync!$AF1049&lt;1),RIGHT("00"&amp;HOUR(Sync!$AF1049),2)&amp;RIGHT("00"&amp;MINUTE(Sync!$AF1049),2),IFERROR(RIGHT("00"&amp;VALUE(LEFT(Sync!$AF1049,FIND(":",Sync!$AF1049)-1)),2)&amp;RIGHT("00"&amp;VALUE(MID(Sync!$AF1049,FIND(":",Sync!$AF1049)+1,2)),2),"0000"))))</f>
        <v/>
      </c>
    </row>
    <row r="1050">
      <c r="A1050">
        <f>IF(OR(Calc!$E1054="",Calc!$E1054="نامعتبر",Calc!$G1054=""),"",Calc!$G1054)</f>
        <v/>
      </c>
      <c r="B1050">
        <f>IF($A1050="","",LEFT(Calc!$E1054,4)&amp;MID(Calc!$E1054,6,2)&amp;RIGHT(Calc!$E1054,2)&amp;Calc!$Q1054&amp;"|"&amp;"1"&amp;RIGHT("00000"&amp;1045,5))</f>
        <v/>
      </c>
      <c r="C1050">
        <f>IF($B1050="","",COUNTIFS(LdgSellerA,$A1050,LdgKeyA,"&lt;"&amp;$B1050)+COUNTIFS(LdgSellerB,$A1050,LdgKeyB,"&lt;"&amp;$B1050)+1)</f>
        <v/>
      </c>
      <c r="D1050">
        <f>IF($C1050="","",$A1050&amp;"|"&amp;RIGHT("000000"&amp;$C1050,6))</f>
        <v/>
      </c>
      <c r="F1050">
        <f>IF(Sync!$AH1050="","",IF(LEFT(UPPER(TRIM(Sync!$AH1050)),2)="SL",UPPER(TRIM(Sync!$AH1050)),""))</f>
        <v/>
      </c>
      <c r="G1050">
        <f>IF($F1050="","",IF(Sync!$AE1050="","",IF(ISNUMBER(Sync!$AE1050),IF(AND(Sync!$AE1050&gt;=10000101,Sync!$AE1050&lt;=99991231),INT(Sync!$AE1050/10000),""),IFERROR(VALUE(TRIM(LEFT(Sync!$AE1050,FIND("/",Sync!$AE1050)-1))),""))))</f>
        <v/>
      </c>
      <c r="H1050">
        <f>IF(OR($F1050="",$G1050=""),"",IF(ISNUMBER(Sync!$AE1050),INT(MOD(Sync!$AE1050,10000)/100),IFERROR(VALUE(TRIM(LEFT(MID(Sync!$AE1050,FIND("/",Sync!$AE1050)+1,20),FIND("/",MID(Sync!$AE1050,FIND("/",Sync!$AE1050)+1,20))-1))),"")))</f>
        <v/>
      </c>
      <c r="I1050">
        <f>IF(OR($F1050="",$G1050=""),"",IF(ISNUMBER(Sync!$AE1050),MOD(Sync!$AE1050,100),IFERROR(VALUE(TRIM(MID(MID(Sync!$AE1050,FIND("/",Sync!$AE1050)+1,20),FIND("/",MID(Sync!$AE1050,FIND("/",Sync!$AE1050)+1,20))+1,20))),"")))</f>
        <v/>
      </c>
      <c r="J1050">
        <f>IF($F1050="","",IF(OR($G1050="",$H1050="",$I1050="",$G1050&lt;1300,$G1050&gt;1500,$H1050&lt;1,$H1050&gt;12,$I1050&lt;1,$I1050&gt;31),"نامعتبر",RIGHT("0000"&amp;$G1050,4)&amp;"/"&amp;RIGHT("00"&amp;$H1050,2)&amp;"/"&amp;RIGHT("00"&amp;$I1050,2)))</f>
        <v/>
      </c>
      <c r="K1050">
        <f>IF(OR($F1050="",$J1050="",$J1050="نامعتبر"),"",LEFT($J1050,4)&amp;MID($J1050,6,2)&amp;RIGHT($J1050,2)&amp;$N1050&amp;"|"&amp;"2"&amp;RIGHT("00000"&amp;1045,5))</f>
        <v/>
      </c>
      <c r="L1050">
        <f>IF($K1050="","",COUNTIFS(LdgSellerA,$F1050,LdgKeyA,"&lt;"&amp;$K1050)+COUNTIFS(LdgSellerB,$F1050,LdgKeyB,"&lt;"&amp;$K1050)+1)</f>
        <v/>
      </c>
      <c r="M1050">
        <f>IF($L1050="","",$F1050&amp;"|"&amp;RIGHT("000000"&amp;$L1050,6))</f>
        <v/>
      </c>
      <c r="N1050">
        <f>IF($F1050="","",IF(Sync!$AF1050="","0000",IF(AND(ISNUMBER(Sync!$AF1050),Sync!$AF1050&gt;=0,Sync!$AF1050&lt;1),RIGHT("00"&amp;HOUR(Sync!$AF1050),2)&amp;RIGHT("00"&amp;MINUTE(Sync!$AF1050),2),IFERROR(RIGHT("00"&amp;VALUE(LEFT(Sync!$AF1050,FIND(":",Sync!$AF1050)-1)),2)&amp;RIGHT("00"&amp;VALUE(MID(Sync!$AF1050,FIND(":",Sync!$AF1050)+1,2)),2),"0000"))))</f>
        <v/>
      </c>
    </row>
    <row r="1051">
      <c r="A1051">
        <f>IF(OR(Calc!$E1055="",Calc!$E1055="نامعتبر",Calc!$G1055=""),"",Calc!$G1055)</f>
        <v/>
      </c>
      <c r="B1051">
        <f>IF($A1051="","",LEFT(Calc!$E1055,4)&amp;MID(Calc!$E1055,6,2)&amp;RIGHT(Calc!$E1055,2)&amp;Calc!$Q1055&amp;"|"&amp;"1"&amp;RIGHT("00000"&amp;1046,5))</f>
        <v/>
      </c>
      <c r="C1051">
        <f>IF($B1051="","",COUNTIFS(LdgSellerA,$A1051,LdgKeyA,"&lt;"&amp;$B1051)+COUNTIFS(LdgSellerB,$A1051,LdgKeyB,"&lt;"&amp;$B1051)+1)</f>
        <v/>
      </c>
      <c r="D1051">
        <f>IF($C1051="","",$A1051&amp;"|"&amp;RIGHT("000000"&amp;$C1051,6))</f>
        <v/>
      </c>
      <c r="F1051">
        <f>IF(Sync!$AH1051="","",IF(LEFT(UPPER(TRIM(Sync!$AH1051)),2)="SL",UPPER(TRIM(Sync!$AH1051)),""))</f>
        <v/>
      </c>
      <c r="G1051">
        <f>IF($F1051="","",IF(Sync!$AE1051="","",IF(ISNUMBER(Sync!$AE1051),IF(AND(Sync!$AE1051&gt;=10000101,Sync!$AE1051&lt;=99991231),INT(Sync!$AE1051/10000),""),IFERROR(VALUE(TRIM(LEFT(Sync!$AE1051,FIND("/",Sync!$AE1051)-1))),""))))</f>
        <v/>
      </c>
      <c r="H1051">
        <f>IF(OR($F1051="",$G1051=""),"",IF(ISNUMBER(Sync!$AE1051),INT(MOD(Sync!$AE1051,10000)/100),IFERROR(VALUE(TRIM(LEFT(MID(Sync!$AE1051,FIND("/",Sync!$AE1051)+1,20),FIND("/",MID(Sync!$AE1051,FIND("/",Sync!$AE1051)+1,20))-1))),"")))</f>
        <v/>
      </c>
      <c r="I1051">
        <f>IF(OR($F1051="",$G1051=""),"",IF(ISNUMBER(Sync!$AE1051),MOD(Sync!$AE1051,100),IFERROR(VALUE(TRIM(MID(MID(Sync!$AE1051,FIND("/",Sync!$AE1051)+1,20),FIND("/",MID(Sync!$AE1051,FIND("/",Sync!$AE1051)+1,20))+1,20))),"")))</f>
        <v/>
      </c>
      <c r="J1051">
        <f>IF($F1051="","",IF(OR($G1051="",$H1051="",$I1051="",$G1051&lt;1300,$G1051&gt;1500,$H1051&lt;1,$H1051&gt;12,$I1051&lt;1,$I1051&gt;31),"نامعتبر",RIGHT("0000"&amp;$G1051,4)&amp;"/"&amp;RIGHT("00"&amp;$H1051,2)&amp;"/"&amp;RIGHT("00"&amp;$I1051,2)))</f>
        <v/>
      </c>
      <c r="K1051">
        <f>IF(OR($F1051="",$J1051="",$J1051="نامعتبر"),"",LEFT($J1051,4)&amp;MID($J1051,6,2)&amp;RIGHT($J1051,2)&amp;$N1051&amp;"|"&amp;"2"&amp;RIGHT("00000"&amp;1046,5))</f>
        <v/>
      </c>
      <c r="L1051">
        <f>IF($K1051="","",COUNTIFS(LdgSellerA,$F1051,LdgKeyA,"&lt;"&amp;$K1051)+COUNTIFS(LdgSellerB,$F1051,LdgKeyB,"&lt;"&amp;$K1051)+1)</f>
        <v/>
      </c>
      <c r="M1051">
        <f>IF($L1051="","",$F1051&amp;"|"&amp;RIGHT("000000"&amp;$L1051,6))</f>
        <v/>
      </c>
      <c r="N1051">
        <f>IF($F1051="","",IF(Sync!$AF1051="","0000",IF(AND(ISNUMBER(Sync!$AF1051),Sync!$AF1051&gt;=0,Sync!$AF1051&lt;1),RIGHT("00"&amp;HOUR(Sync!$AF1051),2)&amp;RIGHT("00"&amp;MINUTE(Sync!$AF1051),2),IFERROR(RIGHT("00"&amp;VALUE(LEFT(Sync!$AF1051,FIND(":",Sync!$AF1051)-1)),2)&amp;RIGHT("00"&amp;VALUE(MID(Sync!$AF1051,FIND(":",Sync!$AF1051)+1,2)),2),"0000"))))</f>
        <v/>
      </c>
    </row>
    <row r="1052">
      <c r="A1052">
        <f>IF(OR(Calc!$E1056="",Calc!$E1056="نامعتبر",Calc!$G1056=""),"",Calc!$G1056)</f>
        <v/>
      </c>
      <c r="B1052">
        <f>IF($A1052="","",LEFT(Calc!$E1056,4)&amp;MID(Calc!$E1056,6,2)&amp;RIGHT(Calc!$E1056,2)&amp;Calc!$Q1056&amp;"|"&amp;"1"&amp;RIGHT("00000"&amp;1047,5))</f>
        <v/>
      </c>
      <c r="C1052">
        <f>IF($B1052="","",COUNTIFS(LdgSellerA,$A1052,LdgKeyA,"&lt;"&amp;$B1052)+COUNTIFS(LdgSellerB,$A1052,LdgKeyB,"&lt;"&amp;$B1052)+1)</f>
        <v/>
      </c>
      <c r="D1052">
        <f>IF($C1052="","",$A1052&amp;"|"&amp;RIGHT("000000"&amp;$C1052,6))</f>
        <v/>
      </c>
      <c r="F1052">
        <f>IF(Sync!$AH1052="","",IF(LEFT(UPPER(TRIM(Sync!$AH1052)),2)="SL",UPPER(TRIM(Sync!$AH1052)),""))</f>
        <v/>
      </c>
      <c r="G1052">
        <f>IF($F1052="","",IF(Sync!$AE1052="","",IF(ISNUMBER(Sync!$AE1052),IF(AND(Sync!$AE1052&gt;=10000101,Sync!$AE1052&lt;=99991231),INT(Sync!$AE1052/10000),""),IFERROR(VALUE(TRIM(LEFT(Sync!$AE1052,FIND("/",Sync!$AE1052)-1))),""))))</f>
        <v/>
      </c>
      <c r="H1052">
        <f>IF(OR($F1052="",$G1052=""),"",IF(ISNUMBER(Sync!$AE1052),INT(MOD(Sync!$AE1052,10000)/100),IFERROR(VALUE(TRIM(LEFT(MID(Sync!$AE1052,FIND("/",Sync!$AE1052)+1,20),FIND("/",MID(Sync!$AE1052,FIND("/",Sync!$AE1052)+1,20))-1))),"")))</f>
        <v/>
      </c>
      <c r="I1052">
        <f>IF(OR($F1052="",$G1052=""),"",IF(ISNUMBER(Sync!$AE1052),MOD(Sync!$AE1052,100),IFERROR(VALUE(TRIM(MID(MID(Sync!$AE1052,FIND("/",Sync!$AE1052)+1,20),FIND("/",MID(Sync!$AE1052,FIND("/",Sync!$AE1052)+1,20))+1,20))),"")))</f>
        <v/>
      </c>
      <c r="J1052">
        <f>IF($F1052="","",IF(OR($G1052="",$H1052="",$I1052="",$G1052&lt;1300,$G1052&gt;1500,$H1052&lt;1,$H1052&gt;12,$I1052&lt;1,$I1052&gt;31),"نامعتبر",RIGHT("0000"&amp;$G1052,4)&amp;"/"&amp;RIGHT("00"&amp;$H1052,2)&amp;"/"&amp;RIGHT("00"&amp;$I1052,2)))</f>
        <v/>
      </c>
      <c r="K1052">
        <f>IF(OR($F1052="",$J1052="",$J1052="نامعتبر"),"",LEFT($J1052,4)&amp;MID($J1052,6,2)&amp;RIGHT($J1052,2)&amp;$N1052&amp;"|"&amp;"2"&amp;RIGHT("00000"&amp;1047,5))</f>
        <v/>
      </c>
      <c r="L1052">
        <f>IF($K1052="","",COUNTIFS(LdgSellerA,$F1052,LdgKeyA,"&lt;"&amp;$K1052)+COUNTIFS(LdgSellerB,$F1052,LdgKeyB,"&lt;"&amp;$K1052)+1)</f>
        <v/>
      </c>
      <c r="M1052">
        <f>IF($L1052="","",$F1052&amp;"|"&amp;RIGHT("000000"&amp;$L1052,6))</f>
        <v/>
      </c>
      <c r="N1052">
        <f>IF($F1052="","",IF(Sync!$AF1052="","0000",IF(AND(ISNUMBER(Sync!$AF1052),Sync!$AF1052&gt;=0,Sync!$AF1052&lt;1),RIGHT("00"&amp;HOUR(Sync!$AF1052),2)&amp;RIGHT("00"&amp;MINUTE(Sync!$AF1052),2),IFERROR(RIGHT("00"&amp;VALUE(LEFT(Sync!$AF1052,FIND(":",Sync!$AF1052)-1)),2)&amp;RIGHT("00"&amp;VALUE(MID(Sync!$AF1052,FIND(":",Sync!$AF1052)+1,2)),2),"0000"))))</f>
        <v/>
      </c>
    </row>
    <row r="1053">
      <c r="A1053">
        <f>IF(OR(Calc!$E1057="",Calc!$E1057="نامعتبر",Calc!$G1057=""),"",Calc!$G1057)</f>
        <v/>
      </c>
      <c r="B1053">
        <f>IF($A1053="","",LEFT(Calc!$E1057,4)&amp;MID(Calc!$E1057,6,2)&amp;RIGHT(Calc!$E1057,2)&amp;Calc!$Q1057&amp;"|"&amp;"1"&amp;RIGHT("00000"&amp;1048,5))</f>
        <v/>
      </c>
      <c r="C1053">
        <f>IF($B1053="","",COUNTIFS(LdgSellerA,$A1053,LdgKeyA,"&lt;"&amp;$B1053)+COUNTIFS(LdgSellerB,$A1053,LdgKeyB,"&lt;"&amp;$B1053)+1)</f>
        <v/>
      </c>
      <c r="D1053">
        <f>IF($C1053="","",$A1053&amp;"|"&amp;RIGHT("000000"&amp;$C1053,6))</f>
        <v/>
      </c>
      <c r="F1053">
        <f>IF(Sync!$AH1053="","",IF(LEFT(UPPER(TRIM(Sync!$AH1053)),2)="SL",UPPER(TRIM(Sync!$AH1053)),""))</f>
        <v/>
      </c>
      <c r="G1053">
        <f>IF($F1053="","",IF(Sync!$AE1053="","",IF(ISNUMBER(Sync!$AE1053),IF(AND(Sync!$AE1053&gt;=10000101,Sync!$AE1053&lt;=99991231),INT(Sync!$AE1053/10000),""),IFERROR(VALUE(TRIM(LEFT(Sync!$AE1053,FIND("/",Sync!$AE1053)-1))),""))))</f>
        <v/>
      </c>
      <c r="H1053">
        <f>IF(OR($F1053="",$G1053=""),"",IF(ISNUMBER(Sync!$AE1053),INT(MOD(Sync!$AE1053,10000)/100),IFERROR(VALUE(TRIM(LEFT(MID(Sync!$AE1053,FIND("/",Sync!$AE1053)+1,20),FIND("/",MID(Sync!$AE1053,FIND("/",Sync!$AE1053)+1,20))-1))),"")))</f>
        <v/>
      </c>
      <c r="I1053">
        <f>IF(OR($F1053="",$G1053=""),"",IF(ISNUMBER(Sync!$AE1053),MOD(Sync!$AE1053,100),IFERROR(VALUE(TRIM(MID(MID(Sync!$AE1053,FIND("/",Sync!$AE1053)+1,20),FIND("/",MID(Sync!$AE1053,FIND("/",Sync!$AE1053)+1,20))+1,20))),"")))</f>
        <v/>
      </c>
      <c r="J1053">
        <f>IF($F1053="","",IF(OR($G1053="",$H1053="",$I1053="",$G1053&lt;1300,$G1053&gt;1500,$H1053&lt;1,$H1053&gt;12,$I1053&lt;1,$I1053&gt;31),"نامعتبر",RIGHT("0000"&amp;$G1053,4)&amp;"/"&amp;RIGHT("00"&amp;$H1053,2)&amp;"/"&amp;RIGHT("00"&amp;$I1053,2)))</f>
        <v/>
      </c>
      <c r="K1053">
        <f>IF(OR($F1053="",$J1053="",$J1053="نامعتبر"),"",LEFT($J1053,4)&amp;MID($J1053,6,2)&amp;RIGHT($J1053,2)&amp;$N1053&amp;"|"&amp;"2"&amp;RIGHT("00000"&amp;1048,5))</f>
        <v/>
      </c>
      <c r="L1053">
        <f>IF($K1053="","",COUNTIFS(LdgSellerA,$F1053,LdgKeyA,"&lt;"&amp;$K1053)+COUNTIFS(LdgSellerB,$F1053,LdgKeyB,"&lt;"&amp;$K1053)+1)</f>
        <v/>
      </c>
      <c r="M1053">
        <f>IF($L1053="","",$F1053&amp;"|"&amp;RIGHT("000000"&amp;$L1053,6))</f>
        <v/>
      </c>
      <c r="N1053">
        <f>IF($F1053="","",IF(Sync!$AF1053="","0000",IF(AND(ISNUMBER(Sync!$AF1053),Sync!$AF1053&gt;=0,Sync!$AF1053&lt;1),RIGHT("00"&amp;HOUR(Sync!$AF1053),2)&amp;RIGHT("00"&amp;MINUTE(Sync!$AF1053),2),IFERROR(RIGHT("00"&amp;VALUE(LEFT(Sync!$AF1053,FIND(":",Sync!$AF1053)-1)),2)&amp;RIGHT("00"&amp;VALUE(MID(Sync!$AF1053,FIND(":",Sync!$AF1053)+1,2)),2),"0000"))))</f>
        <v/>
      </c>
    </row>
    <row r="1054">
      <c r="A1054">
        <f>IF(OR(Calc!$E1058="",Calc!$E1058="نامعتبر",Calc!$G1058=""),"",Calc!$G1058)</f>
        <v/>
      </c>
      <c r="B1054">
        <f>IF($A1054="","",LEFT(Calc!$E1058,4)&amp;MID(Calc!$E1058,6,2)&amp;RIGHT(Calc!$E1058,2)&amp;Calc!$Q1058&amp;"|"&amp;"1"&amp;RIGHT("00000"&amp;1049,5))</f>
        <v/>
      </c>
      <c r="C1054">
        <f>IF($B1054="","",COUNTIFS(LdgSellerA,$A1054,LdgKeyA,"&lt;"&amp;$B1054)+COUNTIFS(LdgSellerB,$A1054,LdgKeyB,"&lt;"&amp;$B1054)+1)</f>
        <v/>
      </c>
      <c r="D1054">
        <f>IF($C1054="","",$A1054&amp;"|"&amp;RIGHT("000000"&amp;$C1054,6))</f>
        <v/>
      </c>
      <c r="F1054">
        <f>IF(Sync!$AH1054="","",IF(LEFT(UPPER(TRIM(Sync!$AH1054)),2)="SL",UPPER(TRIM(Sync!$AH1054)),""))</f>
        <v/>
      </c>
      <c r="G1054">
        <f>IF($F1054="","",IF(Sync!$AE1054="","",IF(ISNUMBER(Sync!$AE1054),IF(AND(Sync!$AE1054&gt;=10000101,Sync!$AE1054&lt;=99991231),INT(Sync!$AE1054/10000),""),IFERROR(VALUE(TRIM(LEFT(Sync!$AE1054,FIND("/",Sync!$AE1054)-1))),""))))</f>
        <v/>
      </c>
      <c r="H1054">
        <f>IF(OR($F1054="",$G1054=""),"",IF(ISNUMBER(Sync!$AE1054),INT(MOD(Sync!$AE1054,10000)/100),IFERROR(VALUE(TRIM(LEFT(MID(Sync!$AE1054,FIND("/",Sync!$AE1054)+1,20),FIND("/",MID(Sync!$AE1054,FIND("/",Sync!$AE1054)+1,20))-1))),"")))</f>
        <v/>
      </c>
      <c r="I1054">
        <f>IF(OR($F1054="",$G1054=""),"",IF(ISNUMBER(Sync!$AE1054),MOD(Sync!$AE1054,100),IFERROR(VALUE(TRIM(MID(MID(Sync!$AE1054,FIND("/",Sync!$AE1054)+1,20),FIND("/",MID(Sync!$AE1054,FIND("/",Sync!$AE1054)+1,20))+1,20))),"")))</f>
        <v/>
      </c>
      <c r="J1054">
        <f>IF($F1054="","",IF(OR($G1054="",$H1054="",$I1054="",$G1054&lt;1300,$G1054&gt;1500,$H1054&lt;1,$H1054&gt;12,$I1054&lt;1,$I1054&gt;31),"نامعتبر",RIGHT("0000"&amp;$G1054,4)&amp;"/"&amp;RIGHT("00"&amp;$H1054,2)&amp;"/"&amp;RIGHT("00"&amp;$I1054,2)))</f>
        <v/>
      </c>
      <c r="K1054">
        <f>IF(OR($F1054="",$J1054="",$J1054="نامعتبر"),"",LEFT($J1054,4)&amp;MID($J1054,6,2)&amp;RIGHT($J1054,2)&amp;$N1054&amp;"|"&amp;"2"&amp;RIGHT("00000"&amp;1049,5))</f>
        <v/>
      </c>
      <c r="L1054">
        <f>IF($K1054="","",COUNTIFS(LdgSellerA,$F1054,LdgKeyA,"&lt;"&amp;$K1054)+COUNTIFS(LdgSellerB,$F1054,LdgKeyB,"&lt;"&amp;$K1054)+1)</f>
        <v/>
      </c>
      <c r="M1054">
        <f>IF($L1054="","",$F1054&amp;"|"&amp;RIGHT("000000"&amp;$L1054,6))</f>
        <v/>
      </c>
      <c r="N1054">
        <f>IF($F1054="","",IF(Sync!$AF1054="","0000",IF(AND(ISNUMBER(Sync!$AF1054),Sync!$AF1054&gt;=0,Sync!$AF1054&lt;1),RIGHT("00"&amp;HOUR(Sync!$AF1054),2)&amp;RIGHT("00"&amp;MINUTE(Sync!$AF1054),2),IFERROR(RIGHT("00"&amp;VALUE(LEFT(Sync!$AF1054,FIND(":",Sync!$AF1054)-1)),2)&amp;RIGHT("00"&amp;VALUE(MID(Sync!$AF1054,FIND(":",Sync!$AF1054)+1,2)),2),"0000"))))</f>
        <v/>
      </c>
    </row>
    <row r="1055">
      <c r="A1055">
        <f>IF(OR(Calc!$E1059="",Calc!$E1059="نامعتبر",Calc!$G1059=""),"",Calc!$G1059)</f>
        <v/>
      </c>
      <c r="B1055">
        <f>IF($A1055="","",LEFT(Calc!$E1059,4)&amp;MID(Calc!$E1059,6,2)&amp;RIGHT(Calc!$E1059,2)&amp;Calc!$Q1059&amp;"|"&amp;"1"&amp;RIGHT("00000"&amp;1050,5))</f>
        <v/>
      </c>
      <c r="C1055">
        <f>IF($B1055="","",COUNTIFS(LdgSellerA,$A1055,LdgKeyA,"&lt;"&amp;$B1055)+COUNTIFS(LdgSellerB,$A1055,LdgKeyB,"&lt;"&amp;$B1055)+1)</f>
        <v/>
      </c>
      <c r="D1055">
        <f>IF($C1055="","",$A1055&amp;"|"&amp;RIGHT("000000"&amp;$C1055,6))</f>
        <v/>
      </c>
      <c r="F1055">
        <f>IF(Sync!$AH1055="","",IF(LEFT(UPPER(TRIM(Sync!$AH1055)),2)="SL",UPPER(TRIM(Sync!$AH1055)),""))</f>
        <v/>
      </c>
      <c r="G1055">
        <f>IF($F1055="","",IF(Sync!$AE1055="","",IF(ISNUMBER(Sync!$AE1055),IF(AND(Sync!$AE1055&gt;=10000101,Sync!$AE1055&lt;=99991231),INT(Sync!$AE1055/10000),""),IFERROR(VALUE(TRIM(LEFT(Sync!$AE1055,FIND("/",Sync!$AE1055)-1))),""))))</f>
        <v/>
      </c>
      <c r="H1055">
        <f>IF(OR($F1055="",$G1055=""),"",IF(ISNUMBER(Sync!$AE1055),INT(MOD(Sync!$AE1055,10000)/100),IFERROR(VALUE(TRIM(LEFT(MID(Sync!$AE1055,FIND("/",Sync!$AE1055)+1,20),FIND("/",MID(Sync!$AE1055,FIND("/",Sync!$AE1055)+1,20))-1))),"")))</f>
        <v/>
      </c>
      <c r="I1055">
        <f>IF(OR($F1055="",$G1055=""),"",IF(ISNUMBER(Sync!$AE1055),MOD(Sync!$AE1055,100),IFERROR(VALUE(TRIM(MID(MID(Sync!$AE1055,FIND("/",Sync!$AE1055)+1,20),FIND("/",MID(Sync!$AE1055,FIND("/",Sync!$AE1055)+1,20))+1,20))),"")))</f>
        <v/>
      </c>
      <c r="J1055">
        <f>IF($F1055="","",IF(OR($G1055="",$H1055="",$I1055="",$G1055&lt;1300,$G1055&gt;1500,$H1055&lt;1,$H1055&gt;12,$I1055&lt;1,$I1055&gt;31),"نامعتبر",RIGHT("0000"&amp;$G1055,4)&amp;"/"&amp;RIGHT("00"&amp;$H1055,2)&amp;"/"&amp;RIGHT("00"&amp;$I1055,2)))</f>
        <v/>
      </c>
      <c r="K1055">
        <f>IF(OR($F1055="",$J1055="",$J1055="نامعتبر"),"",LEFT($J1055,4)&amp;MID($J1055,6,2)&amp;RIGHT($J1055,2)&amp;$N1055&amp;"|"&amp;"2"&amp;RIGHT("00000"&amp;1050,5))</f>
        <v/>
      </c>
      <c r="L1055">
        <f>IF($K1055="","",COUNTIFS(LdgSellerA,$F1055,LdgKeyA,"&lt;"&amp;$K1055)+COUNTIFS(LdgSellerB,$F1055,LdgKeyB,"&lt;"&amp;$K1055)+1)</f>
        <v/>
      </c>
      <c r="M1055">
        <f>IF($L1055="","",$F1055&amp;"|"&amp;RIGHT("000000"&amp;$L1055,6))</f>
        <v/>
      </c>
      <c r="N1055">
        <f>IF($F1055="","",IF(Sync!$AF1055="","0000",IF(AND(ISNUMBER(Sync!$AF1055),Sync!$AF1055&gt;=0,Sync!$AF1055&lt;1),RIGHT("00"&amp;HOUR(Sync!$AF1055),2)&amp;RIGHT("00"&amp;MINUTE(Sync!$AF1055),2),IFERROR(RIGHT("00"&amp;VALUE(LEFT(Sync!$AF1055,FIND(":",Sync!$AF1055)-1)),2)&amp;RIGHT("00"&amp;VALUE(MID(Sync!$AF1055,FIND(":",Sync!$AF1055)+1,2)),2),"0000"))))</f>
        <v/>
      </c>
    </row>
    <row r="1056">
      <c r="A1056">
        <f>IF(OR(Calc!$E1060="",Calc!$E1060="نامعتبر",Calc!$G1060=""),"",Calc!$G1060)</f>
        <v/>
      </c>
      <c r="B1056">
        <f>IF($A1056="","",LEFT(Calc!$E1060,4)&amp;MID(Calc!$E1060,6,2)&amp;RIGHT(Calc!$E1060,2)&amp;Calc!$Q1060&amp;"|"&amp;"1"&amp;RIGHT("00000"&amp;1051,5))</f>
        <v/>
      </c>
      <c r="C1056">
        <f>IF($B1056="","",COUNTIFS(LdgSellerA,$A1056,LdgKeyA,"&lt;"&amp;$B1056)+COUNTIFS(LdgSellerB,$A1056,LdgKeyB,"&lt;"&amp;$B1056)+1)</f>
        <v/>
      </c>
      <c r="D1056">
        <f>IF($C1056="","",$A1056&amp;"|"&amp;RIGHT("000000"&amp;$C1056,6))</f>
        <v/>
      </c>
      <c r="F1056">
        <f>IF(Sync!$AH1056="","",IF(LEFT(UPPER(TRIM(Sync!$AH1056)),2)="SL",UPPER(TRIM(Sync!$AH1056)),""))</f>
        <v/>
      </c>
      <c r="G1056">
        <f>IF($F1056="","",IF(Sync!$AE1056="","",IF(ISNUMBER(Sync!$AE1056),IF(AND(Sync!$AE1056&gt;=10000101,Sync!$AE1056&lt;=99991231),INT(Sync!$AE1056/10000),""),IFERROR(VALUE(TRIM(LEFT(Sync!$AE1056,FIND("/",Sync!$AE1056)-1))),""))))</f>
        <v/>
      </c>
      <c r="H1056">
        <f>IF(OR($F1056="",$G1056=""),"",IF(ISNUMBER(Sync!$AE1056),INT(MOD(Sync!$AE1056,10000)/100),IFERROR(VALUE(TRIM(LEFT(MID(Sync!$AE1056,FIND("/",Sync!$AE1056)+1,20),FIND("/",MID(Sync!$AE1056,FIND("/",Sync!$AE1056)+1,20))-1))),"")))</f>
        <v/>
      </c>
      <c r="I1056">
        <f>IF(OR($F1056="",$G1056=""),"",IF(ISNUMBER(Sync!$AE1056),MOD(Sync!$AE1056,100),IFERROR(VALUE(TRIM(MID(MID(Sync!$AE1056,FIND("/",Sync!$AE1056)+1,20),FIND("/",MID(Sync!$AE1056,FIND("/",Sync!$AE1056)+1,20))+1,20))),"")))</f>
        <v/>
      </c>
      <c r="J1056">
        <f>IF($F1056="","",IF(OR($G1056="",$H1056="",$I1056="",$G1056&lt;1300,$G1056&gt;1500,$H1056&lt;1,$H1056&gt;12,$I1056&lt;1,$I1056&gt;31),"نامعتبر",RIGHT("0000"&amp;$G1056,4)&amp;"/"&amp;RIGHT("00"&amp;$H1056,2)&amp;"/"&amp;RIGHT("00"&amp;$I1056,2)))</f>
        <v/>
      </c>
      <c r="K1056">
        <f>IF(OR($F1056="",$J1056="",$J1056="نامعتبر"),"",LEFT($J1056,4)&amp;MID($J1056,6,2)&amp;RIGHT($J1056,2)&amp;$N1056&amp;"|"&amp;"2"&amp;RIGHT("00000"&amp;1051,5))</f>
        <v/>
      </c>
      <c r="L1056">
        <f>IF($K1056="","",COUNTIFS(LdgSellerA,$F1056,LdgKeyA,"&lt;"&amp;$K1056)+COUNTIFS(LdgSellerB,$F1056,LdgKeyB,"&lt;"&amp;$K1056)+1)</f>
        <v/>
      </c>
      <c r="M1056">
        <f>IF($L1056="","",$F1056&amp;"|"&amp;RIGHT("000000"&amp;$L1056,6))</f>
        <v/>
      </c>
      <c r="N1056">
        <f>IF($F1056="","",IF(Sync!$AF1056="","0000",IF(AND(ISNUMBER(Sync!$AF1056),Sync!$AF1056&gt;=0,Sync!$AF1056&lt;1),RIGHT("00"&amp;HOUR(Sync!$AF1056),2)&amp;RIGHT("00"&amp;MINUTE(Sync!$AF1056),2),IFERROR(RIGHT("00"&amp;VALUE(LEFT(Sync!$AF1056,FIND(":",Sync!$AF1056)-1)),2)&amp;RIGHT("00"&amp;VALUE(MID(Sync!$AF1056,FIND(":",Sync!$AF1056)+1,2)),2),"0000"))))</f>
        <v/>
      </c>
    </row>
    <row r="1057">
      <c r="A1057">
        <f>IF(OR(Calc!$E1061="",Calc!$E1061="نامعتبر",Calc!$G1061=""),"",Calc!$G1061)</f>
        <v/>
      </c>
      <c r="B1057">
        <f>IF($A1057="","",LEFT(Calc!$E1061,4)&amp;MID(Calc!$E1061,6,2)&amp;RIGHT(Calc!$E1061,2)&amp;Calc!$Q1061&amp;"|"&amp;"1"&amp;RIGHT("00000"&amp;1052,5))</f>
        <v/>
      </c>
      <c r="C1057">
        <f>IF($B1057="","",COUNTIFS(LdgSellerA,$A1057,LdgKeyA,"&lt;"&amp;$B1057)+COUNTIFS(LdgSellerB,$A1057,LdgKeyB,"&lt;"&amp;$B1057)+1)</f>
        <v/>
      </c>
      <c r="D1057">
        <f>IF($C1057="","",$A1057&amp;"|"&amp;RIGHT("000000"&amp;$C1057,6))</f>
        <v/>
      </c>
      <c r="F1057">
        <f>IF(Sync!$AH1057="","",IF(LEFT(UPPER(TRIM(Sync!$AH1057)),2)="SL",UPPER(TRIM(Sync!$AH1057)),""))</f>
        <v/>
      </c>
      <c r="G1057">
        <f>IF($F1057="","",IF(Sync!$AE1057="","",IF(ISNUMBER(Sync!$AE1057),IF(AND(Sync!$AE1057&gt;=10000101,Sync!$AE1057&lt;=99991231),INT(Sync!$AE1057/10000),""),IFERROR(VALUE(TRIM(LEFT(Sync!$AE1057,FIND("/",Sync!$AE1057)-1))),""))))</f>
        <v/>
      </c>
      <c r="H1057">
        <f>IF(OR($F1057="",$G1057=""),"",IF(ISNUMBER(Sync!$AE1057),INT(MOD(Sync!$AE1057,10000)/100),IFERROR(VALUE(TRIM(LEFT(MID(Sync!$AE1057,FIND("/",Sync!$AE1057)+1,20),FIND("/",MID(Sync!$AE1057,FIND("/",Sync!$AE1057)+1,20))-1))),"")))</f>
        <v/>
      </c>
      <c r="I1057">
        <f>IF(OR($F1057="",$G1057=""),"",IF(ISNUMBER(Sync!$AE1057),MOD(Sync!$AE1057,100),IFERROR(VALUE(TRIM(MID(MID(Sync!$AE1057,FIND("/",Sync!$AE1057)+1,20),FIND("/",MID(Sync!$AE1057,FIND("/",Sync!$AE1057)+1,20))+1,20))),"")))</f>
        <v/>
      </c>
      <c r="J1057">
        <f>IF($F1057="","",IF(OR($G1057="",$H1057="",$I1057="",$G1057&lt;1300,$G1057&gt;1500,$H1057&lt;1,$H1057&gt;12,$I1057&lt;1,$I1057&gt;31),"نامعتبر",RIGHT("0000"&amp;$G1057,4)&amp;"/"&amp;RIGHT("00"&amp;$H1057,2)&amp;"/"&amp;RIGHT("00"&amp;$I1057,2)))</f>
        <v/>
      </c>
      <c r="K1057">
        <f>IF(OR($F1057="",$J1057="",$J1057="نامعتبر"),"",LEFT($J1057,4)&amp;MID($J1057,6,2)&amp;RIGHT($J1057,2)&amp;$N1057&amp;"|"&amp;"2"&amp;RIGHT("00000"&amp;1052,5))</f>
        <v/>
      </c>
      <c r="L1057">
        <f>IF($K1057="","",COUNTIFS(LdgSellerA,$F1057,LdgKeyA,"&lt;"&amp;$K1057)+COUNTIFS(LdgSellerB,$F1057,LdgKeyB,"&lt;"&amp;$K1057)+1)</f>
        <v/>
      </c>
      <c r="M1057">
        <f>IF($L1057="","",$F1057&amp;"|"&amp;RIGHT("000000"&amp;$L1057,6))</f>
        <v/>
      </c>
      <c r="N1057">
        <f>IF($F1057="","",IF(Sync!$AF1057="","0000",IF(AND(ISNUMBER(Sync!$AF1057),Sync!$AF1057&gt;=0,Sync!$AF1057&lt;1),RIGHT("00"&amp;HOUR(Sync!$AF1057),2)&amp;RIGHT("00"&amp;MINUTE(Sync!$AF1057),2),IFERROR(RIGHT("00"&amp;VALUE(LEFT(Sync!$AF1057,FIND(":",Sync!$AF1057)-1)),2)&amp;RIGHT("00"&amp;VALUE(MID(Sync!$AF1057,FIND(":",Sync!$AF1057)+1,2)),2),"0000"))))</f>
        <v/>
      </c>
    </row>
    <row r="1058">
      <c r="A1058">
        <f>IF(OR(Calc!$E1062="",Calc!$E1062="نامعتبر",Calc!$G1062=""),"",Calc!$G1062)</f>
        <v/>
      </c>
      <c r="B1058">
        <f>IF($A1058="","",LEFT(Calc!$E1062,4)&amp;MID(Calc!$E1062,6,2)&amp;RIGHT(Calc!$E1062,2)&amp;Calc!$Q1062&amp;"|"&amp;"1"&amp;RIGHT("00000"&amp;1053,5))</f>
        <v/>
      </c>
      <c r="C1058">
        <f>IF($B1058="","",COUNTIFS(LdgSellerA,$A1058,LdgKeyA,"&lt;"&amp;$B1058)+COUNTIFS(LdgSellerB,$A1058,LdgKeyB,"&lt;"&amp;$B1058)+1)</f>
        <v/>
      </c>
      <c r="D1058">
        <f>IF($C1058="","",$A1058&amp;"|"&amp;RIGHT("000000"&amp;$C1058,6))</f>
        <v/>
      </c>
      <c r="F1058">
        <f>IF(Sync!$AH1058="","",IF(LEFT(UPPER(TRIM(Sync!$AH1058)),2)="SL",UPPER(TRIM(Sync!$AH1058)),""))</f>
        <v/>
      </c>
      <c r="G1058">
        <f>IF($F1058="","",IF(Sync!$AE1058="","",IF(ISNUMBER(Sync!$AE1058),IF(AND(Sync!$AE1058&gt;=10000101,Sync!$AE1058&lt;=99991231),INT(Sync!$AE1058/10000),""),IFERROR(VALUE(TRIM(LEFT(Sync!$AE1058,FIND("/",Sync!$AE1058)-1))),""))))</f>
        <v/>
      </c>
      <c r="H1058">
        <f>IF(OR($F1058="",$G1058=""),"",IF(ISNUMBER(Sync!$AE1058),INT(MOD(Sync!$AE1058,10000)/100),IFERROR(VALUE(TRIM(LEFT(MID(Sync!$AE1058,FIND("/",Sync!$AE1058)+1,20),FIND("/",MID(Sync!$AE1058,FIND("/",Sync!$AE1058)+1,20))-1))),"")))</f>
        <v/>
      </c>
      <c r="I1058">
        <f>IF(OR($F1058="",$G1058=""),"",IF(ISNUMBER(Sync!$AE1058),MOD(Sync!$AE1058,100),IFERROR(VALUE(TRIM(MID(MID(Sync!$AE1058,FIND("/",Sync!$AE1058)+1,20),FIND("/",MID(Sync!$AE1058,FIND("/",Sync!$AE1058)+1,20))+1,20))),"")))</f>
        <v/>
      </c>
      <c r="J1058">
        <f>IF($F1058="","",IF(OR($G1058="",$H1058="",$I1058="",$G1058&lt;1300,$G1058&gt;1500,$H1058&lt;1,$H1058&gt;12,$I1058&lt;1,$I1058&gt;31),"نامعتبر",RIGHT("0000"&amp;$G1058,4)&amp;"/"&amp;RIGHT("00"&amp;$H1058,2)&amp;"/"&amp;RIGHT("00"&amp;$I1058,2)))</f>
        <v/>
      </c>
      <c r="K1058">
        <f>IF(OR($F1058="",$J1058="",$J1058="نامعتبر"),"",LEFT($J1058,4)&amp;MID($J1058,6,2)&amp;RIGHT($J1058,2)&amp;$N1058&amp;"|"&amp;"2"&amp;RIGHT("00000"&amp;1053,5))</f>
        <v/>
      </c>
      <c r="L1058">
        <f>IF($K1058="","",COUNTIFS(LdgSellerA,$F1058,LdgKeyA,"&lt;"&amp;$K1058)+COUNTIFS(LdgSellerB,$F1058,LdgKeyB,"&lt;"&amp;$K1058)+1)</f>
        <v/>
      </c>
      <c r="M1058">
        <f>IF($L1058="","",$F1058&amp;"|"&amp;RIGHT("000000"&amp;$L1058,6))</f>
        <v/>
      </c>
      <c r="N1058">
        <f>IF($F1058="","",IF(Sync!$AF1058="","0000",IF(AND(ISNUMBER(Sync!$AF1058),Sync!$AF1058&gt;=0,Sync!$AF1058&lt;1),RIGHT("00"&amp;HOUR(Sync!$AF1058),2)&amp;RIGHT("00"&amp;MINUTE(Sync!$AF1058),2),IFERROR(RIGHT("00"&amp;VALUE(LEFT(Sync!$AF1058,FIND(":",Sync!$AF1058)-1)),2)&amp;RIGHT("00"&amp;VALUE(MID(Sync!$AF1058,FIND(":",Sync!$AF1058)+1,2)),2),"0000"))))</f>
        <v/>
      </c>
    </row>
    <row r="1059">
      <c r="A1059">
        <f>IF(OR(Calc!$E1063="",Calc!$E1063="نامعتبر",Calc!$G1063=""),"",Calc!$G1063)</f>
        <v/>
      </c>
      <c r="B1059">
        <f>IF($A1059="","",LEFT(Calc!$E1063,4)&amp;MID(Calc!$E1063,6,2)&amp;RIGHT(Calc!$E1063,2)&amp;Calc!$Q1063&amp;"|"&amp;"1"&amp;RIGHT("00000"&amp;1054,5))</f>
        <v/>
      </c>
      <c r="C1059">
        <f>IF($B1059="","",COUNTIFS(LdgSellerA,$A1059,LdgKeyA,"&lt;"&amp;$B1059)+COUNTIFS(LdgSellerB,$A1059,LdgKeyB,"&lt;"&amp;$B1059)+1)</f>
        <v/>
      </c>
      <c r="D1059">
        <f>IF($C1059="","",$A1059&amp;"|"&amp;RIGHT("000000"&amp;$C1059,6))</f>
        <v/>
      </c>
      <c r="F1059">
        <f>IF(Sync!$AH1059="","",IF(LEFT(UPPER(TRIM(Sync!$AH1059)),2)="SL",UPPER(TRIM(Sync!$AH1059)),""))</f>
        <v/>
      </c>
      <c r="G1059">
        <f>IF($F1059="","",IF(Sync!$AE1059="","",IF(ISNUMBER(Sync!$AE1059),IF(AND(Sync!$AE1059&gt;=10000101,Sync!$AE1059&lt;=99991231),INT(Sync!$AE1059/10000),""),IFERROR(VALUE(TRIM(LEFT(Sync!$AE1059,FIND("/",Sync!$AE1059)-1))),""))))</f>
        <v/>
      </c>
      <c r="H1059">
        <f>IF(OR($F1059="",$G1059=""),"",IF(ISNUMBER(Sync!$AE1059),INT(MOD(Sync!$AE1059,10000)/100),IFERROR(VALUE(TRIM(LEFT(MID(Sync!$AE1059,FIND("/",Sync!$AE1059)+1,20),FIND("/",MID(Sync!$AE1059,FIND("/",Sync!$AE1059)+1,20))-1))),"")))</f>
        <v/>
      </c>
      <c r="I1059">
        <f>IF(OR($F1059="",$G1059=""),"",IF(ISNUMBER(Sync!$AE1059),MOD(Sync!$AE1059,100),IFERROR(VALUE(TRIM(MID(MID(Sync!$AE1059,FIND("/",Sync!$AE1059)+1,20),FIND("/",MID(Sync!$AE1059,FIND("/",Sync!$AE1059)+1,20))+1,20))),"")))</f>
        <v/>
      </c>
      <c r="J1059">
        <f>IF($F1059="","",IF(OR($G1059="",$H1059="",$I1059="",$G1059&lt;1300,$G1059&gt;1500,$H1059&lt;1,$H1059&gt;12,$I1059&lt;1,$I1059&gt;31),"نامعتبر",RIGHT("0000"&amp;$G1059,4)&amp;"/"&amp;RIGHT("00"&amp;$H1059,2)&amp;"/"&amp;RIGHT("00"&amp;$I1059,2)))</f>
        <v/>
      </c>
      <c r="K1059">
        <f>IF(OR($F1059="",$J1059="",$J1059="نامعتبر"),"",LEFT($J1059,4)&amp;MID($J1059,6,2)&amp;RIGHT($J1059,2)&amp;$N1059&amp;"|"&amp;"2"&amp;RIGHT("00000"&amp;1054,5))</f>
        <v/>
      </c>
      <c r="L1059">
        <f>IF($K1059="","",COUNTIFS(LdgSellerA,$F1059,LdgKeyA,"&lt;"&amp;$K1059)+COUNTIFS(LdgSellerB,$F1059,LdgKeyB,"&lt;"&amp;$K1059)+1)</f>
        <v/>
      </c>
      <c r="M1059">
        <f>IF($L1059="","",$F1059&amp;"|"&amp;RIGHT("000000"&amp;$L1059,6))</f>
        <v/>
      </c>
      <c r="N1059">
        <f>IF($F1059="","",IF(Sync!$AF1059="","0000",IF(AND(ISNUMBER(Sync!$AF1059),Sync!$AF1059&gt;=0,Sync!$AF1059&lt;1),RIGHT("00"&amp;HOUR(Sync!$AF1059),2)&amp;RIGHT("00"&amp;MINUTE(Sync!$AF1059),2),IFERROR(RIGHT("00"&amp;VALUE(LEFT(Sync!$AF1059,FIND(":",Sync!$AF1059)-1)),2)&amp;RIGHT("00"&amp;VALUE(MID(Sync!$AF1059,FIND(":",Sync!$AF1059)+1,2)),2),"0000"))))</f>
        <v/>
      </c>
    </row>
    <row r="1060">
      <c r="A1060">
        <f>IF(OR(Calc!$E1064="",Calc!$E1064="نامعتبر",Calc!$G1064=""),"",Calc!$G1064)</f>
        <v/>
      </c>
      <c r="B1060">
        <f>IF($A1060="","",LEFT(Calc!$E1064,4)&amp;MID(Calc!$E1064,6,2)&amp;RIGHT(Calc!$E1064,2)&amp;Calc!$Q1064&amp;"|"&amp;"1"&amp;RIGHT("00000"&amp;1055,5))</f>
        <v/>
      </c>
      <c r="C1060">
        <f>IF($B1060="","",COUNTIFS(LdgSellerA,$A1060,LdgKeyA,"&lt;"&amp;$B1060)+COUNTIFS(LdgSellerB,$A1060,LdgKeyB,"&lt;"&amp;$B1060)+1)</f>
        <v/>
      </c>
      <c r="D1060">
        <f>IF($C1060="","",$A1060&amp;"|"&amp;RIGHT("000000"&amp;$C1060,6))</f>
        <v/>
      </c>
      <c r="F1060">
        <f>IF(Sync!$AH1060="","",IF(LEFT(UPPER(TRIM(Sync!$AH1060)),2)="SL",UPPER(TRIM(Sync!$AH1060)),""))</f>
        <v/>
      </c>
      <c r="G1060">
        <f>IF($F1060="","",IF(Sync!$AE1060="","",IF(ISNUMBER(Sync!$AE1060),IF(AND(Sync!$AE1060&gt;=10000101,Sync!$AE1060&lt;=99991231),INT(Sync!$AE1060/10000),""),IFERROR(VALUE(TRIM(LEFT(Sync!$AE1060,FIND("/",Sync!$AE1060)-1))),""))))</f>
        <v/>
      </c>
      <c r="H1060">
        <f>IF(OR($F1060="",$G1060=""),"",IF(ISNUMBER(Sync!$AE1060),INT(MOD(Sync!$AE1060,10000)/100),IFERROR(VALUE(TRIM(LEFT(MID(Sync!$AE1060,FIND("/",Sync!$AE1060)+1,20),FIND("/",MID(Sync!$AE1060,FIND("/",Sync!$AE1060)+1,20))-1))),"")))</f>
        <v/>
      </c>
      <c r="I1060">
        <f>IF(OR($F1060="",$G1060=""),"",IF(ISNUMBER(Sync!$AE1060),MOD(Sync!$AE1060,100),IFERROR(VALUE(TRIM(MID(MID(Sync!$AE1060,FIND("/",Sync!$AE1060)+1,20),FIND("/",MID(Sync!$AE1060,FIND("/",Sync!$AE1060)+1,20))+1,20))),"")))</f>
        <v/>
      </c>
      <c r="J1060">
        <f>IF($F1060="","",IF(OR($G1060="",$H1060="",$I1060="",$G1060&lt;1300,$G1060&gt;1500,$H1060&lt;1,$H1060&gt;12,$I1060&lt;1,$I1060&gt;31),"نامعتبر",RIGHT("0000"&amp;$G1060,4)&amp;"/"&amp;RIGHT("00"&amp;$H1060,2)&amp;"/"&amp;RIGHT("00"&amp;$I1060,2)))</f>
        <v/>
      </c>
      <c r="K1060">
        <f>IF(OR($F1060="",$J1060="",$J1060="نامعتبر"),"",LEFT($J1060,4)&amp;MID($J1060,6,2)&amp;RIGHT($J1060,2)&amp;$N1060&amp;"|"&amp;"2"&amp;RIGHT("00000"&amp;1055,5))</f>
        <v/>
      </c>
      <c r="L1060">
        <f>IF($K1060="","",COUNTIFS(LdgSellerA,$F1060,LdgKeyA,"&lt;"&amp;$K1060)+COUNTIFS(LdgSellerB,$F1060,LdgKeyB,"&lt;"&amp;$K1060)+1)</f>
        <v/>
      </c>
      <c r="M1060">
        <f>IF($L1060="","",$F1060&amp;"|"&amp;RIGHT("000000"&amp;$L1060,6))</f>
        <v/>
      </c>
      <c r="N1060">
        <f>IF($F1060="","",IF(Sync!$AF1060="","0000",IF(AND(ISNUMBER(Sync!$AF1060),Sync!$AF1060&gt;=0,Sync!$AF1060&lt;1),RIGHT("00"&amp;HOUR(Sync!$AF1060),2)&amp;RIGHT("00"&amp;MINUTE(Sync!$AF1060),2),IFERROR(RIGHT("00"&amp;VALUE(LEFT(Sync!$AF1060,FIND(":",Sync!$AF1060)-1)),2)&amp;RIGHT("00"&amp;VALUE(MID(Sync!$AF1060,FIND(":",Sync!$AF1060)+1,2)),2),"0000"))))</f>
        <v/>
      </c>
    </row>
    <row r="1061">
      <c r="A1061">
        <f>IF(OR(Calc!$E1065="",Calc!$E1065="نامعتبر",Calc!$G1065=""),"",Calc!$G1065)</f>
        <v/>
      </c>
      <c r="B1061">
        <f>IF($A1061="","",LEFT(Calc!$E1065,4)&amp;MID(Calc!$E1065,6,2)&amp;RIGHT(Calc!$E1065,2)&amp;Calc!$Q1065&amp;"|"&amp;"1"&amp;RIGHT("00000"&amp;1056,5))</f>
        <v/>
      </c>
      <c r="C1061">
        <f>IF($B1061="","",COUNTIFS(LdgSellerA,$A1061,LdgKeyA,"&lt;"&amp;$B1061)+COUNTIFS(LdgSellerB,$A1061,LdgKeyB,"&lt;"&amp;$B1061)+1)</f>
        <v/>
      </c>
      <c r="D1061">
        <f>IF($C1061="","",$A1061&amp;"|"&amp;RIGHT("000000"&amp;$C1061,6))</f>
        <v/>
      </c>
      <c r="F1061">
        <f>IF(Sync!$AH1061="","",IF(LEFT(UPPER(TRIM(Sync!$AH1061)),2)="SL",UPPER(TRIM(Sync!$AH1061)),""))</f>
        <v/>
      </c>
      <c r="G1061">
        <f>IF($F1061="","",IF(Sync!$AE1061="","",IF(ISNUMBER(Sync!$AE1061),IF(AND(Sync!$AE1061&gt;=10000101,Sync!$AE1061&lt;=99991231),INT(Sync!$AE1061/10000),""),IFERROR(VALUE(TRIM(LEFT(Sync!$AE1061,FIND("/",Sync!$AE1061)-1))),""))))</f>
        <v/>
      </c>
      <c r="H1061">
        <f>IF(OR($F1061="",$G1061=""),"",IF(ISNUMBER(Sync!$AE1061),INT(MOD(Sync!$AE1061,10000)/100),IFERROR(VALUE(TRIM(LEFT(MID(Sync!$AE1061,FIND("/",Sync!$AE1061)+1,20),FIND("/",MID(Sync!$AE1061,FIND("/",Sync!$AE1061)+1,20))-1))),"")))</f>
        <v/>
      </c>
      <c r="I1061">
        <f>IF(OR($F1061="",$G1061=""),"",IF(ISNUMBER(Sync!$AE1061),MOD(Sync!$AE1061,100),IFERROR(VALUE(TRIM(MID(MID(Sync!$AE1061,FIND("/",Sync!$AE1061)+1,20),FIND("/",MID(Sync!$AE1061,FIND("/",Sync!$AE1061)+1,20))+1,20))),"")))</f>
        <v/>
      </c>
      <c r="J1061">
        <f>IF($F1061="","",IF(OR($G1061="",$H1061="",$I1061="",$G1061&lt;1300,$G1061&gt;1500,$H1061&lt;1,$H1061&gt;12,$I1061&lt;1,$I1061&gt;31),"نامعتبر",RIGHT("0000"&amp;$G1061,4)&amp;"/"&amp;RIGHT("00"&amp;$H1061,2)&amp;"/"&amp;RIGHT("00"&amp;$I1061,2)))</f>
        <v/>
      </c>
      <c r="K1061">
        <f>IF(OR($F1061="",$J1061="",$J1061="نامعتبر"),"",LEFT($J1061,4)&amp;MID($J1061,6,2)&amp;RIGHT($J1061,2)&amp;$N1061&amp;"|"&amp;"2"&amp;RIGHT("00000"&amp;1056,5))</f>
        <v/>
      </c>
      <c r="L1061">
        <f>IF($K1061="","",COUNTIFS(LdgSellerA,$F1061,LdgKeyA,"&lt;"&amp;$K1061)+COUNTIFS(LdgSellerB,$F1061,LdgKeyB,"&lt;"&amp;$K1061)+1)</f>
        <v/>
      </c>
      <c r="M1061">
        <f>IF($L1061="","",$F1061&amp;"|"&amp;RIGHT("000000"&amp;$L1061,6))</f>
        <v/>
      </c>
      <c r="N1061">
        <f>IF($F1061="","",IF(Sync!$AF1061="","0000",IF(AND(ISNUMBER(Sync!$AF1061),Sync!$AF1061&gt;=0,Sync!$AF1061&lt;1),RIGHT("00"&amp;HOUR(Sync!$AF1061),2)&amp;RIGHT("00"&amp;MINUTE(Sync!$AF1061),2),IFERROR(RIGHT("00"&amp;VALUE(LEFT(Sync!$AF1061,FIND(":",Sync!$AF1061)-1)),2)&amp;RIGHT("00"&amp;VALUE(MID(Sync!$AF1061,FIND(":",Sync!$AF1061)+1,2)),2),"0000"))))</f>
        <v/>
      </c>
    </row>
    <row r="1062">
      <c r="A1062">
        <f>IF(OR(Calc!$E1066="",Calc!$E1066="نامعتبر",Calc!$G1066=""),"",Calc!$G1066)</f>
        <v/>
      </c>
      <c r="B1062">
        <f>IF($A1062="","",LEFT(Calc!$E1066,4)&amp;MID(Calc!$E1066,6,2)&amp;RIGHT(Calc!$E1066,2)&amp;Calc!$Q1066&amp;"|"&amp;"1"&amp;RIGHT("00000"&amp;1057,5))</f>
        <v/>
      </c>
      <c r="C1062">
        <f>IF($B1062="","",COUNTIFS(LdgSellerA,$A1062,LdgKeyA,"&lt;"&amp;$B1062)+COUNTIFS(LdgSellerB,$A1062,LdgKeyB,"&lt;"&amp;$B1062)+1)</f>
        <v/>
      </c>
      <c r="D1062">
        <f>IF($C1062="","",$A1062&amp;"|"&amp;RIGHT("000000"&amp;$C1062,6))</f>
        <v/>
      </c>
      <c r="F1062">
        <f>IF(Sync!$AH1062="","",IF(LEFT(UPPER(TRIM(Sync!$AH1062)),2)="SL",UPPER(TRIM(Sync!$AH1062)),""))</f>
        <v/>
      </c>
      <c r="G1062">
        <f>IF($F1062="","",IF(Sync!$AE1062="","",IF(ISNUMBER(Sync!$AE1062),IF(AND(Sync!$AE1062&gt;=10000101,Sync!$AE1062&lt;=99991231),INT(Sync!$AE1062/10000),""),IFERROR(VALUE(TRIM(LEFT(Sync!$AE1062,FIND("/",Sync!$AE1062)-1))),""))))</f>
        <v/>
      </c>
      <c r="H1062">
        <f>IF(OR($F1062="",$G1062=""),"",IF(ISNUMBER(Sync!$AE1062),INT(MOD(Sync!$AE1062,10000)/100),IFERROR(VALUE(TRIM(LEFT(MID(Sync!$AE1062,FIND("/",Sync!$AE1062)+1,20),FIND("/",MID(Sync!$AE1062,FIND("/",Sync!$AE1062)+1,20))-1))),"")))</f>
        <v/>
      </c>
      <c r="I1062">
        <f>IF(OR($F1062="",$G1062=""),"",IF(ISNUMBER(Sync!$AE1062),MOD(Sync!$AE1062,100),IFERROR(VALUE(TRIM(MID(MID(Sync!$AE1062,FIND("/",Sync!$AE1062)+1,20),FIND("/",MID(Sync!$AE1062,FIND("/",Sync!$AE1062)+1,20))+1,20))),"")))</f>
        <v/>
      </c>
      <c r="J1062">
        <f>IF($F1062="","",IF(OR($G1062="",$H1062="",$I1062="",$G1062&lt;1300,$G1062&gt;1500,$H1062&lt;1,$H1062&gt;12,$I1062&lt;1,$I1062&gt;31),"نامعتبر",RIGHT("0000"&amp;$G1062,4)&amp;"/"&amp;RIGHT("00"&amp;$H1062,2)&amp;"/"&amp;RIGHT("00"&amp;$I1062,2)))</f>
        <v/>
      </c>
      <c r="K1062">
        <f>IF(OR($F1062="",$J1062="",$J1062="نامعتبر"),"",LEFT($J1062,4)&amp;MID($J1062,6,2)&amp;RIGHT($J1062,2)&amp;$N1062&amp;"|"&amp;"2"&amp;RIGHT("00000"&amp;1057,5))</f>
        <v/>
      </c>
      <c r="L1062">
        <f>IF($K1062="","",COUNTIFS(LdgSellerA,$F1062,LdgKeyA,"&lt;"&amp;$K1062)+COUNTIFS(LdgSellerB,$F1062,LdgKeyB,"&lt;"&amp;$K1062)+1)</f>
        <v/>
      </c>
      <c r="M1062">
        <f>IF($L1062="","",$F1062&amp;"|"&amp;RIGHT("000000"&amp;$L1062,6))</f>
        <v/>
      </c>
      <c r="N1062">
        <f>IF($F1062="","",IF(Sync!$AF1062="","0000",IF(AND(ISNUMBER(Sync!$AF1062),Sync!$AF1062&gt;=0,Sync!$AF1062&lt;1),RIGHT("00"&amp;HOUR(Sync!$AF1062),2)&amp;RIGHT("00"&amp;MINUTE(Sync!$AF1062),2),IFERROR(RIGHT("00"&amp;VALUE(LEFT(Sync!$AF1062,FIND(":",Sync!$AF1062)-1)),2)&amp;RIGHT("00"&amp;VALUE(MID(Sync!$AF1062,FIND(":",Sync!$AF1062)+1,2)),2),"0000"))))</f>
        <v/>
      </c>
    </row>
    <row r="1063">
      <c r="A1063">
        <f>IF(OR(Calc!$E1067="",Calc!$E1067="نامعتبر",Calc!$G1067=""),"",Calc!$G1067)</f>
        <v/>
      </c>
      <c r="B1063">
        <f>IF($A1063="","",LEFT(Calc!$E1067,4)&amp;MID(Calc!$E1067,6,2)&amp;RIGHT(Calc!$E1067,2)&amp;Calc!$Q1067&amp;"|"&amp;"1"&amp;RIGHT("00000"&amp;1058,5))</f>
        <v/>
      </c>
      <c r="C1063">
        <f>IF($B1063="","",COUNTIFS(LdgSellerA,$A1063,LdgKeyA,"&lt;"&amp;$B1063)+COUNTIFS(LdgSellerB,$A1063,LdgKeyB,"&lt;"&amp;$B1063)+1)</f>
        <v/>
      </c>
      <c r="D1063">
        <f>IF($C1063="","",$A1063&amp;"|"&amp;RIGHT("000000"&amp;$C1063,6))</f>
        <v/>
      </c>
      <c r="F1063">
        <f>IF(Sync!$AH1063="","",IF(LEFT(UPPER(TRIM(Sync!$AH1063)),2)="SL",UPPER(TRIM(Sync!$AH1063)),""))</f>
        <v/>
      </c>
      <c r="G1063">
        <f>IF($F1063="","",IF(Sync!$AE1063="","",IF(ISNUMBER(Sync!$AE1063),IF(AND(Sync!$AE1063&gt;=10000101,Sync!$AE1063&lt;=99991231),INT(Sync!$AE1063/10000),""),IFERROR(VALUE(TRIM(LEFT(Sync!$AE1063,FIND("/",Sync!$AE1063)-1))),""))))</f>
        <v/>
      </c>
      <c r="H1063">
        <f>IF(OR($F1063="",$G1063=""),"",IF(ISNUMBER(Sync!$AE1063),INT(MOD(Sync!$AE1063,10000)/100),IFERROR(VALUE(TRIM(LEFT(MID(Sync!$AE1063,FIND("/",Sync!$AE1063)+1,20),FIND("/",MID(Sync!$AE1063,FIND("/",Sync!$AE1063)+1,20))-1))),"")))</f>
        <v/>
      </c>
      <c r="I1063">
        <f>IF(OR($F1063="",$G1063=""),"",IF(ISNUMBER(Sync!$AE1063),MOD(Sync!$AE1063,100),IFERROR(VALUE(TRIM(MID(MID(Sync!$AE1063,FIND("/",Sync!$AE1063)+1,20),FIND("/",MID(Sync!$AE1063,FIND("/",Sync!$AE1063)+1,20))+1,20))),"")))</f>
        <v/>
      </c>
      <c r="J1063">
        <f>IF($F1063="","",IF(OR($G1063="",$H1063="",$I1063="",$G1063&lt;1300,$G1063&gt;1500,$H1063&lt;1,$H1063&gt;12,$I1063&lt;1,$I1063&gt;31),"نامعتبر",RIGHT("0000"&amp;$G1063,4)&amp;"/"&amp;RIGHT("00"&amp;$H1063,2)&amp;"/"&amp;RIGHT("00"&amp;$I1063,2)))</f>
        <v/>
      </c>
      <c r="K1063">
        <f>IF(OR($F1063="",$J1063="",$J1063="نامعتبر"),"",LEFT($J1063,4)&amp;MID($J1063,6,2)&amp;RIGHT($J1063,2)&amp;$N1063&amp;"|"&amp;"2"&amp;RIGHT("00000"&amp;1058,5))</f>
        <v/>
      </c>
      <c r="L1063">
        <f>IF($K1063="","",COUNTIFS(LdgSellerA,$F1063,LdgKeyA,"&lt;"&amp;$K1063)+COUNTIFS(LdgSellerB,$F1063,LdgKeyB,"&lt;"&amp;$K1063)+1)</f>
        <v/>
      </c>
      <c r="M1063">
        <f>IF($L1063="","",$F1063&amp;"|"&amp;RIGHT("000000"&amp;$L1063,6))</f>
        <v/>
      </c>
      <c r="N1063">
        <f>IF($F1063="","",IF(Sync!$AF1063="","0000",IF(AND(ISNUMBER(Sync!$AF1063),Sync!$AF1063&gt;=0,Sync!$AF1063&lt;1),RIGHT("00"&amp;HOUR(Sync!$AF1063),2)&amp;RIGHT("00"&amp;MINUTE(Sync!$AF1063),2),IFERROR(RIGHT("00"&amp;VALUE(LEFT(Sync!$AF1063,FIND(":",Sync!$AF1063)-1)),2)&amp;RIGHT("00"&amp;VALUE(MID(Sync!$AF1063,FIND(":",Sync!$AF1063)+1,2)),2),"0000"))))</f>
        <v/>
      </c>
    </row>
    <row r="1064">
      <c r="A1064">
        <f>IF(OR(Calc!$E1068="",Calc!$E1068="نامعتبر",Calc!$G1068=""),"",Calc!$G1068)</f>
        <v/>
      </c>
      <c r="B1064">
        <f>IF($A1064="","",LEFT(Calc!$E1068,4)&amp;MID(Calc!$E1068,6,2)&amp;RIGHT(Calc!$E1068,2)&amp;Calc!$Q1068&amp;"|"&amp;"1"&amp;RIGHT("00000"&amp;1059,5))</f>
        <v/>
      </c>
      <c r="C1064">
        <f>IF($B1064="","",COUNTIFS(LdgSellerA,$A1064,LdgKeyA,"&lt;"&amp;$B1064)+COUNTIFS(LdgSellerB,$A1064,LdgKeyB,"&lt;"&amp;$B1064)+1)</f>
        <v/>
      </c>
      <c r="D1064">
        <f>IF($C1064="","",$A1064&amp;"|"&amp;RIGHT("000000"&amp;$C1064,6))</f>
        <v/>
      </c>
      <c r="F1064">
        <f>IF(Sync!$AH1064="","",IF(LEFT(UPPER(TRIM(Sync!$AH1064)),2)="SL",UPPER(TRIM(Sync!$AH1064)),""))</f>
        <v/>
      </c>
      <c r="G1064">
        <f>IF($F1064="","",IF(Sync!$AE1064="","",IF(ISNUMBER(Sync!$AE1064),IF(AND(Sync!$AE1064&gt;=10000101,Sync!$AE1064&lt;=99991231),INT(Sync!$AE1064/10000),""),IFERROR(VALUE(TRIM(LEFT(Sync!$AE1064,FIND("/",Sync!$AE1064)-1))),""))))</f>
        <v/>
      </c>
      <c r="H1064">
        <f>IF(OR($F1064="",$G1064=""),"",IF(ISNUMBER(Sync!$AE1064),INT(MOD(Sync!$AE1064,10000)/100),IFERROR(VALUE(TRIM(LEFT(MID(Sync!$AE1064,FIND("/",Sync!$AE1064)+1,20),FIND("/",MID(Sync!$AE1064,FIND("/",Sync!$AE1064)+1,20))-1))),"")))</f>
        <v/>
      </c>
      <c r="I1064">
        <f>IF(OR($F1064="",$G1064=""),"",IF(ISNUMBER(Sync!$AE1064),MOD(Sync!$AE1064,100),IFERROR(VALUE(TRIM(MID(MID(Sync!$AE1064,FIND("/",Sync!$AE1064)+1,20),FIND("/",MID(Sync!$AE1064,FIND("/",Sync!$AE1064)+1,20))+1,20))),"")))</f>
        <v/>
      </c>
      <c r="J1064">
        <f>IF($F1064="","",IF(OR($G1064="",$H1064="",$I1064="",$G1064&lt;1300,$G1064&gt;1500,$H1064&lt;1,$H1064&gt;12,$I1064&lt;1,$I1064&gt;31),"نامعتبر",RIGHT("0000"&amp;$G1064,4)&amp;"/"&amp;RIGHT("00"&amp;$H1064,2)&amp;"/"&amp;RIGHT("00"&amp;$I1064,2)))</f>
        <v/>
      </c>
      <c r="K1064">
        <f>IF(OR($F1064="",$J1064="",$J1064="نامعتبر"),"",LEFT($J1064,4)&amp;MID($J1064,6,2)&amp;RIGHT($J1064,2)&amp;$N1064&amp;"|"&amp;"2"&amp;RIGHT("00000"&amp;1059,5))</f>
        <v/>
      </c>
      <c r="L1064">
        <f>IF($K1064="","",COUNTIFS(LdgSellerA,$F1064,LdgKeyA,"&lt;"&amp;$K1064)+COUNTIFS(LdgSellerB,$F1064,LdgKeyB,"&lt;"&amp;$K1064)+1)</f>
        <v/>
      </c>
      <c r="M1064">
        <f>IF($L1064="","",$F1064&amp;"|"&amp;RIGHT("000000"&amp;$L1064,6))</f>
        <v/>
      </c>
      <c r="N1064">
        <f>IF($F1064="","",IF(Sync!$AF1064="","0000",IF(AND(ISNUMBER(Sync!$AF1064),Sync!$AF1064&gt;=0,Sync!$AF1064&lt;1),RIGHT("00"&amp;HOUR(Sync!$AF1064),2)&amp;RIGHT("00"&amp;MINUTE(Sync!$AF1064),2),IFERROR(RIGHT("00"&amp;VALUE(LEFT(Sync!$AF1064,FIND(":",Sync!$AF1064)-1)),2)&amp;RIGHT("00"&amp;VALUE(MID(Sync!$AF1064,FIND(":",Sync!$AF1064)+1,2)),2),"0000"))))</f>
        <v/>
      </c>
    </row>
    <row r="1065">
      <c r="A1065">
        <f>IF(OR(Calc!$E1069="",Calc!$E1069="نامعتبر",Calc!$G1069=""),"",Calc!$G1069)</f>
        <v/>
      </c>
      <c r="B1065">
        <f>IF($A1065="","",LEFT(Calc!$E1069,4)&amp;MID(Calc!$E1069,6,2)&amp;RIGHT(Calc!$E1069,2)&amp;Calc!$Q1069&amp;"|"&amp;"1"&amp;RIGHT("00000"&amp;1060,5))</f>
        <v/>
      </c>
      <c r="C1065">
        <f>IF($B1065="","",COUNTIFS(LdgSellerA,$A1065,LdgKeyA,"&lt;"&amp;$B1065)+COUNTIFS(LdgSellerB,$A1065,LdgKeyB,"&lt;"&amp;$B1065)+1)</f>
        <v/>
      </c>
      <c r="D1065">
        <f>IF($C1065="","",$A1065&amp;"|"&amp;RIGHT("000000"&amp;$C1065,6))</f>
        <v/>
      </c>
      <c r="F1065">
        <f>IF(Sync!$AH1065="","",IF(LEFT(UPPER(TRIM(Sync!$AH1065)),2)="SL",UPPER(TRIM(Sync!$AH1065)),""))</f>
        <v/>
      </c>
      <c r="G1065">
        <f>IF($F1065="","",IF(Sync!$AE1065="","",IF(ISNUMBER(Sync!$AE1065),IF(AND(Sync!$AE1065&gt;=10000101,Sync!$AE1065&lt;=99991231),INT(Sync!$AE1065/10000),""),IFERROR(VALUE(TRIM(LEFT(Sync!$AE1065,FIND("/",Sync!$AE1065)-1))),""))))</f>
        <v/>
      </c>
      <c r="H1065">
        <f>IF(OR($F1065="",$G1065=""),"",IF(ISNUMBER(Sync!$AE1065),INT(MOD(Sync!$AE1065,10000)/100),IFERROR(VALUE(TRIM(LEFT(MID(Sync!$AE1065,FIND("/",Sync!$AE1065)+1,20),FIND("/",MID(Sync!$AE1065,FIND("/",Sync!$AE1065)+1,20))-1))),"")))</f>
        <v/>
      </c>
      <c r="I1065">
        <f>IF(OR($F1065="",$G1065=""),"",IF(ISNUMBER(Sync!$AE1065),MOD(Sync!$AE1065,100),IFERROR(VALUE(TRIM(MID(MID(Sync!$AE1065,FIND("/",Sync!$AE1065)+1,20),FIND("/",MID(Sync!$AE1065,FIND("/",Sync!$AE1065)+1,20))+1,20))),"")))</f>
        <v/>
      </c>
      <c r="J1065">
        <f>IF($F1065="","",IF(OR($G1065="",$H1065="",$I1065="",$G1065&lt;1300,$G1065&gt;1500,$H1065&lt;1,$H1065&gt;12,$I1065&lt;1,$I1065&gt;31),"نامعتبر",RIGHT("0000"&amp;$G1065,4)&amp;"/"&amp;RIGHT("00"&amp;$H1065,2)&amp;"/"&amp;RIGHT("00"&amp;$I1065,2)))</f>
        <v/>
      </c>
      <c r="K1065">
        <f>IF(OR($F1065="",$J1065="",$J1065="نامعتبر"),"",LEFT($J1065,4)&amp;MID($J1065,6,2)&amp;RIGHT($J1065,2)&amp;$N1065&amp;"|"&amp;"2"&amp;RIGHT("00000"&amp;1060,5))</f>
        <v/>
      </c>
      <c r="L1065">
        <f>IF($K1065="","",COUNTIFS(LdgSellerA,$F1065,LdgKeyA,"&lt;"&amp;$K1065)+COUNTIFS(LdgSellerB,$F1065,LdgKeyB,"&lt;"&amp;$K1065)+1)</f>
        <v/>
      </c>
      <c r="M1065">
        <f>IF($L1065="","",$F1065&amp;"|"&amp;RIGHT("000000"&amp;$L1065,6))</f>
        <v/>
      </c>
      <c r="N1065">
        <f>IF($F1065="","",IF(Sync!$AF1065="","0000",IF(AND(ISNUMBER(Sync!$AF1065),Sync!$AF1065&gt;=0,Sync!$AF1065&lt;1),RIGHT("00"&amp;HOUR(Sync!$AF1065),2)&amp;RIGHT("00"&amp;MINUTE(Sync!$AF1065),2),IFERROR(RIGHT("00"&amp;VALUE(LEFT(Sync!$AF1065,FIND(":",Sync!$AF1065)-1)),2)&amp;RIGHT("00"&amp;VALUE(MID(Sync!$AF1065,FIND(":",Sync!$AF1065)+1,2)),2),"0000"))))</f>
        <v/>
      </c>
    </row>
    <row r="1066">
      <c r="A1066">
        <f>IF(OR(Calc!$E1070="",Calc!$E1070="نامعتبر",Calc!$G1070=""),"",Calc!$G1070)</f>
        <v/>
      </c>
      <c r="B1066">
        <f>IF($A1066="","",LEFT(Calc!$E1070,4)&amp;MID(Calc!$E1070,6,2)&amp;RIGHT(Calc!$E1070,2)&amp;Calc!$Q1070&amp;"|"&amp;"1"&amp;RIGHT("00000"&amp;1061,5))</f>
        <v/>
      </c>
      <c r="C1066">
        <f>IF($B1066="","",COUNTIFS(LdgSellerA,$A1066,LdgKeyA,"&lt;"&amp;$B1066)+COUNTIFS(LdgSellerB,$A1066,LdgKeyB,"&lt;"&amp;$B1066)+1)</f>
        <v/>
      </c>
      <c r="D1066">
        <f>IF($C1066="","",$A1066&amp;"|"&amp;RIGHT("000000"&amp;$C1066,6))</f>
        <v/>
      </c>
      <c r="F1066">
        <f>IF(Sync!$AH1066="","",IF(LEFT(UPPER(TRIM(Sync!$AH1066)),2)="SL",UPPER(TRIM(Sync!$AH1066)),""))</f>
        <v/>
      </c>
      <c r="G1066">
        <f>IF($F1066="","",IF(Sync!$AE1066="","",IF(ISNUMBER(Sync!$AE1066),IF(AND(Sync!$AE1066&gt;=10000101,Sync!$AE1066&lt;=99991231),INT(Sync!$AE1066/10000),""),IFERROR(VALUE(TRIM(LEFT(Sync!$AE1066,FIND("/",Sync!$AE1066)-1))),""))))</f>
        <v/>
      </c>
      <c r="H1066">
        <f>IF(OR($F1066="",$G1066=""),"",IF(ISNUMBER(Sync!$AE1066),INT(MOD(Sync!$AE1066,10000)/100),IFERROR(VALUE(TRIM(LEFT(MID(Sync!$AE1066,FIND("/",Sync!$AE1066)+1,20),FIND("/",MID(Sync!$AE1066,FIND("/",Sync!$AE1066)+1,20))-1))),"")))</f>
        <v/>
      </c>
      <c r="I1066">
        <f>IF(OR($F1066="",$G1066=""),"",IF(ISNUMBER(Sync!$AE1066),MOD(Sync!$AE1066,100),IFERROR(VALUE(TRIM(MID(MID(Sync!$AE1066,FIND("/",Sync!$AE1066)+1,20),FIND("/",MID(Sync!$AE1066,FIND("/",Sync!$AE1066)+1,20))+1,20))),"")))</f>
        <v/>
      </c>
      <c r="J1066">
        <f>IF($F1066="","",IF(OR($G1066="",$H1066="",$I1066="",$G1066&lt;1300,$G1066&gt;1500,$H1066&lt;1,$H1066&gt;12,$I1066&lt;1,$I1066&gt;31),"نامعتبر",RIGHT("0000"&amp;$G1066,4)&amp;"/"&amp;RIGHT("00"&amp;$H1066,2)&amp;"/"&amp;RIGHT("00"&amp;$I1066,2)))</f>
        <v/>
      </c>
      <c r="K1066">
        <f>IF(OR($F1066="",$J1066="",$J1066="نامعتبر"),"",LEFT($J1066,4)&amp;MID($J1066,6,2)&amp;RIGHT($J1066,2)&amp;$N1066&amp;"|"&amp;"2"&amp;RIGHT("00000"&amp;1061,5))</f>
        <v/>
      </c>
      <c r="L1066">
        <f>IF($K1066="","",COUNTIFS(LdgSellerA,$F1066,LdgKeyA,"&lt;"&amp;$K1066)+COUNTIFS(LdgSellerB,$F1066,LdgKeyB,"&lt;"&amp;$K1066)+1)</f>
        <v/>
      </c>
      <c r="M1066">
        <f>IF($L1066="","",$F1066&amp;"|"&amp;RIGHT("000000"&amp;$L1066,6))</f>
        <v/>
      </c>
      <c r="N1066">
        <f>IF($F1066="","",IF(Sync!$AF1066="","0000",IF(AND(ISNUMBER(Sync!$AF1066),Sync!$AF1066&gt;=0,Sync!$AF1066&lt;1),RIGHT("00"&amp;HOUR(Sync!$AF1066),2)&amp;RIGHT("00"&amp;MINUTE(Sync!$AF1066),2),IFERROR(RIGHT("00"&amp;VALUE(LEFT(Sync!$AF1066,FIND(":",Sync!$AF1066)-1)),2)&amp;RIGHT("00"&amp;VALUE(MID(Sync!$AF1066,FIND(":",Sync!$AF1066)+1,2)),2),"0000"))))</f>
        <v/>
      </c>
    </row>
    <row r="1067">
      <c r="A1067">
        <f>IF(OR(Calc!$E1071="",Calc!$E1071="نامعتبر",Calc!$G1071=""),"",Calc!$G1071)</f>
        <v/>
      </c>
      <c r="B1067">
        <f>IF($A1067="","",LEFT(Calc!$E1071,4)&amp;MID(Calc!$E1071,6,2)&amp;RIGHT(Calc!$E1071,2)&amp;Calc!$Q1071&amp;"|"&amp;"1"&amp;RIGHT("00000"&amp;1062,5))</f>
        <v/>
      </c>
      <c r="C1067">
        <f>IF($B1067="","",COUNTIFS(LdgSellerA,$A1067,LdgKeyA,"&lt;"&amp;$B1067)+COUNTIFS(LdgSellerB,$A1067,LdgKeyB,"&lt;"&amp;$B1067)+1)</f>
        <v/>
      </c>
      <c r="D1067">
        <f>IF($C1067="","",$A1067&amp;"|"&amp;RIGHT("000000"&amp;$C1067,6))</f>
        <v/>
      </c>
      <c r="F1067">
        <f>IF(Sync!$AH1067="","",IF(LEFT(UPPER(TRIM(Sync!$AH1067)),2)="SL",UPPER(TRIM(Sync!$AH1067)),""))</f>
        <v/>
      </c>
      <c r="G1067">
        <f>IF($F1067="","",IF(Sync!$AE1067="","",IF(ISNUMBER(Sync!$AE1067),IF(AND(Sync!$AE1067&gt;=10000101,Sync!$AE1067&lt;=99991231),INT(Sync!$AE1067/10000),""),IFERROR(VALUE(TRIM(LEFT(Sync!$AE1067,FIND("/",Sync!$AE1067)-1))),""))))</f>
        <v/>
      </c>
      <c r="H1067">
        <f>IF(OR($F1067="",$G1067=""),"",IF(ISNUMBER(Sync!$AE1067),INT(MOD(Sync!$AE1067,10000)/100),IFERROR(VALUE(TRIM(LEFT(MID(Sync!$AE1067,FIND("/",Sync!$AE1067)+1,20),FIND("/",MID(Sync!$AE1067,FIND("/",Sync!$AE1067)+1,20))-1))),"")))</f>
        <v/>
      </c>
      <c r="I1067">
        <f>IF(OR($F1067="",$G1067=""),"",IF(ISNUMBER(Sync!$AE1067),MOD(Sync!$AE1067,100),IFERROR(VALUE(TRIM(MID(MID(Sync!$AE1067,FIND("/",Sync!$AE1067)+1,20),FIND("/",MID(Sync!$AE1067,FIND("/",Sync!$AE1067)+1,20))+1,20))),"")))</f>
        <v/>
      </c>
      <c r="J1067">
        <f>IF($F1067="","",IF(OR($G1067="",$H1067="",$I1067="",$G1067&lt;1300,$G1067&gt;1500,$H1067&lt;1,$H1067&gt;12,$I1067&lt;1,$I1067&gt;31),"نامعتبر",RIGHT("0000"&amp;$G1067,4)&amp;"/"&amp;RIGHT("00"&amp;$H1067,2)&amp;"/"&amp;RIGHT("00"&amp;$I1067,2)))</f>
        <v/>
      </c>
      <c r="K1067">
        <f>IF(OR($F1067="",$J1067="",$J1067="نامعتبر"),"",LEFT($J1067,4)&amp;MID($J1067,6,2)&amp;RIGHT($J1067,2)&amp;$N1067&amp;"|"&amp;"2"&amp;RIGHT("00000"&amp;1062,5))</f>
        <v/>
      </c>
      <c r="L1067">
        <f>IF($K1067="","",COUNTIFS(LdgSellerA,$F1067,LdgKeyA,"&lt;"&amp;$K1067)+COUNTIFS(LdgSellerB,$F1067,LdgKeyB,"&lt;"&amp;$K1067)+1)</f>
        <v/>
      </c>
      <c r="M1067">
        <f>IF($L1067="","",$F1067&amp;"|"&amp;RIGHT("000000"&amp;$L1067,6))</f>
        <v/>
      </c>
      <c r="N1067">
        <f>IF($F1067="","",IF(Sync!$AF1067="","0000",IF(AND(ISNUMBER(Sync!$AF1067),Sync!$AF1067&gt;=0,Sync!$AF1067&lt;1),RIGHT("00"&amp;HOUR(Sync!$AF1067),2)&amp;RIGHT("00"&amp;MINUTE(Sync!$AF1067),2),IFERROR(RIGHT("00"&amp;VALUE(LEFT(Sync!$AF1067,FIND(":",Sync!$AF1067)-1)),2)&amp;RIGHT("00"&amp;VALUE(MID(Sync!$AF1067,FIND(":",Sync!$AF1067)+1,2)),2),"0000"))))</f>
        <v/>
      </c>
    </row>
    <row r="1068">
      <c r="A1068">
        <f>IF(OR(Calc!$E1072="",Calc!$E1072="نامعتبر",Calc!$G1072=""),"",Calc!$G1072)</f>
        <v/>
      </c>
      <c r="B1068">
        <f>IF($A1068="","",LEFT(Calc!$E1072,4)&amp;MID(Calc!$E1072,6,2)&amp;RIGHT(Calc!$E1072,2)&amp;Calc!$Q1072&amp;"|"&amp;"1"&amp;RIGHT("00000"&amp;1063,5))</f>
        <v/>
      </c>
      <c r="C1068">
        <f>IF($B1068="","",COUNTIFS(LdgSellerA,$A1068,LdgKeyA,"&lt;"&amp;$B1068)+COUNTIFS(LdgSellerB,$A1068,LdgKeyB,"&lt;"&amp;$B1068)+1)</f>
        <v/>
      </c>
      <c r="D1068">
        <f>IF($C1068="","",$A1068&amp;"|"&amp;RIGHT("000000"&amp;$C1068,6))</f>
        <v/>
      </c>
      <c r="F1068">
        <f>IF(Sync!$AH1068="","",IF(LEFT(UPPER(TRIM(Sync!$AH1068)),2)="SL",UPPER(TRIM(Sync!$AH1068)),""))</f>
        <v/>
      </c>
      <c r="G1068">
        <f>IF($F1068="","",IF(Sync!$AE1068="","",IF(ISNUMBER(Sync!$AE1068),IF(AND(Sync!$AE1068&gt;=10000101,Sync!$AE1068&lt;=99991231),INT(Sync!$AE1068/10000),""),IFERROR(VALUE(TRIM(LEFT(Sync!$AE1068,FIND("/",Sync!$AE1068)-1))),""))))</f>
        <v/>
      </c>
      <c r="H1068">
        <f>IF(OR($F1068="",$G1068=""),"",IF(ISNUMBER(Sync!$AE1068),INT(MOD(Sync!$AE1068,10000)/100),IFERROR(VALUE(TRIM(LEFT(MID(Sync!$AE1068,FIND("/",Sync!$AE1068)+1,20),FIND("/",MID(Sync!$AE1068,FIND("/",Sync!$AE1068)+1,20))-1))),"")))</f>
        <v/>
      </c>
      <c r="I1068">
        <f>IF(OR($F1068="",$G1068=""),"",IF(ISNUMBER(Sync!$AE1068),MOD(Sync!$AE1068,100),IFERROR(VALUE(TRIM(MID(MID(Sync!$AE1068,FIND("/",Sync!$AE1068)+1,20),FIND("/",MID(Sync!$AE1068,FIND("/",Sync!$AE1068)+1,20))+1,20))),"")))</f>
        <v/>
      </c>
      <c r="J1068">
        <f>IF($F1068="","",IF(OR($G1068="",$H1068="",$I1068="",$G1068&lt;1300,$G1068&gt;1500,$H1068&lt;1,$H1068&gt;12,$I1068&lt;1,$I1068&gt;31),"نامعتبر",RIGHT("0000"&amp;$G1068,4)&amp;"/"&amp;RIGHT("00"&amp;$H1068,2)&amp;"/"&amp;RIGHT("00"&amp;$I1068,2)))</f>
        <v/>
      </c>
      <c r="K1068">
        <f>IF(OR($F1068="",$J1068="",$J1068="نامعتبر"),"",LEFT($J1068,4)&amp;MID($J1068,6,2)&amp;RIGHT($J1068,2)&amp;$N1068&amp;"|"&amp;"2"&amp;RIGHT("00000"&amp;1063,5))</f>
        <v/>
      </c>
      <c r="L1068">
        <f>IF($K1068="","",COUNTIFS(LdgSellerA,$F1068,LdgKeyA,"&lt;"&amp;$K1068)+COUNTIFS(LdgSellerB,$F1068,LdgKeyB,"&lt;"&amp;$K1068)+1)</f>
        <v/>
      </c>
      <c r="M1068">
        <f>IF($L1068="","",$F1068&amp;"|"&amp;RIGHT("000000"&amp;$L1068,6))</f>
        <v/>
      </c>
      <c r="N1068">
        <f>IF($F1068="","",IF(Sync!$AF1068="","0000",IF(AND(ISNUMBER(Sync!$AF1068),Sync!$AF1068&gt;=0,Sync!$AF1068&lt;1),RIGHT("00"&amp;HOUR(Sync!$AF1068),2)&amp;RIGHT("00"&amp;MINUTE(Sync!$AF1068),2),IFERROR(RIGHT("00"&amp;VALUE(LEFT(Sync!$AF1068,FIND(":",Sync!$AF1068)-1)),2)&amp;RIGHT("00"&amp;VALUE(MID(Sync!$AF1068,FIND(":",Sync!$AF1068)+1,2)),2),"0000"))))</f>
        <v/>
      </c>
    </row>
    <row r="1069">
      <c r="A1069">
        <f>IF(OR(Calc!$E1073="",Calc!$E1073="نامعتبر",Calc!$G1073=""),"",Calc!$G1073)</f>
        <v/>
      </c>
      <c r="B1069">
        <f>IF($A1069="","",LEFT(Calc!$E1073,4)&amp;MID(Calc!$E1073,6,2)&amp;RIGHT(Calc!$E1073,2)&amp;Calc!$Q1073&amp;"|"&amp;"1"&amp;RIGHT("00000"&amp;1064,5))</f>
        <v/>
      </c>
      <c r="C1069">
        <f>IF($B1069="","",COUNTIFS(LdgSellerA,$A1069,LdgKeyA,"&lt;"&amp;$B1069)+COUNTIFS(LdgSellerB,$A1069,LdgKeyB,"&lt;"&amp;$B1069)+1)</f>
        <v/>
      </c>
      <c r="D1069">
        <f>IF($C1069="","",$A1069&amp;"|"&amp;RIGHT("000000"&amp;$C1069,6))</f>
        <v/>
      </c>
      <c r="F1069">
        <f>IF(Sync!$AH1069="","",IF(LEFT(UPPER(TRIM(Sync!$AH1069)),2)="SL",UPPER(TRIM(Sync!$AH1069)),""))</f>
        <v/>
      </c>
      <c r="G1069">
        <f>IF($F1069="","",IF(Sync!$AE1069="","",IF(ISNUMBER(Sync!$AE1069),IF(AND(Sync!$AE1069&gt;=10000101,Sync!$AE1069&lt;=99991231),INT(Sync!$AE1069/10000),""),IFERROR(VALUE(TRIM(LEFT(Sync!$AE1069,FIND("/",Sync!$AE1069)-1))),""))))</f>
        <v/>
      </c>
      <c r="H1069">
        <f>IF(OR($F1069="",$G1069=""),"",IF(ISNUMBER(Sync!$AE1069),INT(MOD(Sync!$AE1069,10000)/100),IFERROR(VALUE(TRIM(LEFT(MID(Sync!$AE1069,FIND("/",Sync!$AE1069)+1,20),FIND("/",MID(Sync!$AE1069,FIND("/",Sync!$AE1069)+1,20))-1))),"")))</f>
        <v/>
      </c>
      <c r="I1069">
        <f>IF(OR($F1069="",$G1069=""),"",IF(ISNUMBER(Sync!$AE1069),MOD(Sync!$AE1069,100),IFERROR(VALUE(TRIM(MID(MID(Sync!$AE1069,FIND("/",Sync!$AE1069)+1,20),FIND("/",MID(Sync!$AE1069,FIND("/",Sync!$AE1069)+1,20))+1,20))),"")))</f>
        <v/>
      </c>
      <c r="J1069">
        <f>IF($F1069="","",IF(OR($G1069="",$H1069="",$I1069="",$G1069&lt;1300,$G1069&gt;1500,$H1069&lt;1,$H1069&gt;12,$I1069&lt;1,$I1069&gt;31),"نامعتبر",RIGHT("0000"&amp;$G1069,4)&amp;"/"&amp;RIGHT("00"&amp;$H1069,2)&amp;"/"&amp;RIGHT("00"&amp;$I1069,2)))</f>
        <v/>
      </c>
      <c r="K1069">
        <f>IF(OR($F1069="",$J1069="",$J1069="نامعتبر"),"",LEFT($J1069,4)&amp;MID($J1069,6,2)&amp;RIGHT($J1069,2)&amp;$N1069&amp;"|"&amp;"2"&amp;RIGHT("00000"&amp;1064,5))</f>
        <v/>
      </c>
      <c r="L1069">
        <f>IF($K1069="","",COUNTIFS(LdgSellerA,$F1069,LdgKeyA,"&lt;"&amp;$K1069)+COUNTIFS(LdgSellerB,$F1069,LdgKeyB,"&lt;"&amp;$K1069)+1)</f>
        <v/>
      </c>
      <c r="M1069">
        <f>IF($L1069="","",$F1069&amp;"|"&amp;RIGHT("000000"&amp;$L1069,6))</f>
        <v/>
      </c>
      <c r="N1069">
        <f>IF($F1069="","",IF(Sync!$AF1069="","0000",IF(AND(ISNUMBER(Sync!$AF1069),Sync!$AF1069&gt;=0,Sync!$AF1069&lt;1),RIGHT("00"&amp;HOUR(Sync!$AF1069),2)&amp;RIGHT("00"&amp;MINUTE(Sync!$AF1069),2),IFERROR(RIGHT("00"&amp;VALUE(LEFT(Sync!$AF1069,FIND(":",Sync!$AF1069)-1)),2)&amp;RIGHT("00"&amp;VALUE(MID(Sync!$AF1069,FIND(":",Sync!$AF1069)+1,2)),2),"0000"))))</f>
        <v/>
      </c>
    </row>
    <row r="1070">
      <c r="A1070">
        <f>IF(OR(Calc!$E1074="",Calc!$E1074="نامعتبر",Calc!$G1074=""),"",Calc!$G1074)</f>
        <v/>
      </c>
      <c r="B1070">
        <f>IF($A1070="","",LEFT(Calc!$E1074,4)&amp;MID(Calc!$E1074,6,2)&amp;RIGHT(Calc!$E1074,2)&amp;Calc!$Q1074&amp;"|"&amp;"1"&amp;RIGHT("00000"&amp;1065,5))</f>
        <v/>
      </c>
      <c r="C1070">
        <f>IF($B1070="","",COUNTIFS(LdgSellerA,$A1070,LdgKeyA,"&lt;"&amp;$B1070)+COUNTIFS(LdgSellerB,$A1070,LdgKeyB,"&lt;"&amp;$B1070)+1)</f>
        <v/>
      </c>
      <c r="D1070">
        <f>IF($C1070="","",$A1070&amp;"|"&amp;RIGHT("000000"&amp;$C1070,6))</f>
        <v/>
      </c>
      <c r="F1070">
        <f>IF(Sync!$AH1070="","",IF(LEFT(UPPER(TRIM(Sync!$AH1070)),2)="SL",UPPER(TRIM(Sync!$AH1070)),""))</f>
        <v/>
      </c>
      <c r="G1070">
        <f>IF($F1070="","",IF(Sync!$AE1070="","",IF(ISNUMBER(Sync!$AE1070),IF(AND(Sync!$AE1070&gt;=10000101,Sync!$AE1070&lt;=99991231),INT(Sync!$AE1070/10000),""),IFERROR(VALUE(TRIM(LEFT(Sync!$AE1070,FIND("/",Sync!$AE1070)-1))),""))))</f>
        <v/>
      </c>
      <c r="H1070">
        <f>IF(OR($F1070="",$G1070=""),"",IF(ISNUMBER(Sync!$AE1070),INT(MOD(Sync!$AE1070,10000)/100),IFERROR(VALUE(TRIM(LEFT(MID(Sync!$AE1070,FIND("/",Sync!$AE1070)+1,20),FIND("/",MID(Sync!$AE1070,FIND("/",Sync!$AE1070)+1,20))-1))),"")))</f>
        <v/>
      </c>
      <c r="I1070">
        <f>IF(OR($F1070="",$G1070=""),"",IF(ISNUMBER(Sync!$AE1070),MOD(Sync!$AE1070,100),IFERROR(VALUE(TRIM(MID(MID(Sync!$AE1070,FIND("/",Sync!$AE1070)+1,20),FIND("/",MID(Sync!$AE1070,FIND("/",Sync!$AE1070)+1,20))+1,20))),"")))</f>
        <v/>
      </c>
      <c r="J1070">
        <f>IF($F1070="","",IF(OR($G1070="",$H1070="",$I1070="",$G1070&lt;1300,$G1070&gt;1500,$H1070&lt;1,$H1070&gt;12,$I1070&lt;1,$I1070&gt;31),"نامعتبر",RIGHT("0000"&amp;$G1070,4)&amp;"/"&amp;RIGHT("00"&amp;$H1070,2)&amp;"/"&amp;RIGHT("00"&amp;$I1070,2)))</f>
        <v/>
      </c>
      <c r="K1070">
        <f>IF(OR($F1070="",$J1070="",$J1070="نامعتبر"),"",LEFT($J1070,4)&amp;MID($J1070,6,2)&amp;RIGHT($J1070,2)&amp;$N1070&amp;"|"&amp;"2"&amp;RIGHT("00000"&amp;1065,5))</f>
        <v/>
      </c>
      <c r="L1070">
        <f>IF($K1070="","",COUNTIFS(LdgSellerA,$F1070,LdgKeyA,"&lt;"&amp;$K1070)+COUNTIFS(LdgSellerB,$F1070,LdgKeyB,"&lt;"&amp;$K1070)+1)</f>
        <v/>
      </c>
      <c r="M1070">
        <f>IF($L1070="","",$F1070&amp;"|"&amp;RIGHT("000000"&amp;$L1070,6))</f>
        <v/>
      </c>
      <c r="N1070">
        <f>IF($F1070="","",IF(Sync!$AF1070="","0000",IF(AND(ISNUMBER(Sync!$AF1070),Sync!$AF1070&gt;=0,Sync!$AF1070&lt;1),RIGHT("00"&amp;HOUR(Sync!$AF1070),2)&amp;RIGHT("00"&amp;MINUTE(Sync!$AF1070),2),IFERROR(RIGHT("00"&amp;VALUE(LEFT(Sync!$AF1070,FIND(":",Sync!$AF1070)-1)),2)&amp;RIGHT("00"&amp;VALUE(MID(Sync!$AF1070,FIND(":",Sync!$AF1070)+1,2)),2),"0000"))))</f>
        <v/>
      </c>
    </row>
    <row r="1071">
      <c r="A1071">
        <f>IF(OR(Calc!$E1075="",Calc!$E1075="نامعتبر",Calc!$G1075=""),"",Calc!$G1075)</f>
        <v/>
      </c>
      <c r="B1071">
        <f>IF($A1071="","",LEFT(Calc!$E1075,4)&amp;MID(Calc!$E1075,6,2)&amp;RIGHT(Calc!$E1075,2)&amp;Calc!$Q1075&amp;"|"&amp;"1"&amp;RIGHT("00000"&amp;1066,5))</f>
        <v/>
      </c>
      <c r="C1071">
        <f>IF($B1071="","",COUNTIFS(LdgSellerA,$A1071,LdgKeyA,"&lt;"&amp;$B1071)+COUNTIFS(LdgSellerB,$A1071,LdgKeyB,"&lt;"&amp;$B1071)+1)</f>
        <v/>
      </c>
      <c r="D1071">
        <f>IF($C1071="","",$A1071&amp;"|"&amp;RIGHT("000000"&amp;$C1071,6))</f>
        <v/>
      </c>
      <c r="F1071">
        <f>IF(Sync!$AH1071="","",IF(LEFT(UPPER(TRIM(Sync!$AH1071)),2)="SL",UPPER(TRIM(Sync!$AH1071)),""))</f>
        <v/>
      </c>
      <c r="G1071">
        <f>IF($F1071="","",IF(Sync!$AE1071="","",IF(ISNUMBER(Sync!$AE1071),IF(AND(Sync!$AE1071&gt;=10000101,Sync!$AE1071&lt;=99991231),INT(Sync!$AE1071/10000),""),IFERROR(VALUE(TRIM(LEFT(Sync!$AE1071,FIND("/",Sync!$AE1071)-1))),""))))</f>
        <v/>
      </c>
      <c r="H1071">
        <f>IF(OR($F1071="",$G1071=""),"",IF(ISNUMBER(Sync!$AE1071),INT(MOD(Sync!$AE1071,10000)/100),IFERROR(VALUE(TRIM(LEFT(MID(Sync!$AE1071,FIND("/",Sync!$AE1071)+1,20),FIND("/",MID(Sync!$AE1071,FIND("/",Sync!$AE1071)+1,20))-1))),"")))</f>
        <v/>
      </c>
      <c r="I1071">
        <f>IF(OR($F1071="",$G1071=""),"",IF(ISNUMBER(Sync!$AE1071),MOD(Sync!$AE1071,100),IFERROR(VALUE(TRIM(MID(MID(Sync!$AE1071,FIND("/",Sync!$AE1071)+1,20),FIND("/",MID(Sync!$AE1071,FIND("/",Sync!$AE1071)+1,20))+1,20))),"")))</f>
        <v/>
      </c>
      <c r="J1071">
        <f>IF($F1071="","",IF(OR($G1071="",$H1071="",$I1071="",$G1071&lt;1300,$G1071&gt;1500,$H1071&lt;1,$H1071&gt;12,$I1071&lt;1,$I1071&gt;31),"نامعتبر",RIGHT("0000"&amp;$G1071,4)&amp;"/"&amp;RIGHT("00"&amp;$H1071,2)&amp;"/"&amp;RIGHT("00"&amp;$I1071,2)))</f>
        <v/>
      </c>
      <c r="K1071">
        <f>IF(OR($F1071="",$J1071="",$J1071="نامعتبر"),"",LEFT($J1071,4)&amp;MID($J1071,6,2)&amp;RIGHT($J1071,2)&amp;$N1071&amp;"|"&amp;"2"&amp;RIGHT("00000"&amp;1066,5))</f>
        <v/>
      </c>
      <c r="L1071">
        <f>IF($K1071="","",COUNTIFS(LdgSellerA,$F1071,LdgKeyA,"&lt;"&amp;$K1071)+COUNTIFS(LdgSellerB,$F1071,LdgKeyB,"&lt;"&amp;$K1071)+1)</f>
        <v/>
      </c>
      <c r="M1071">
        <f>IF($L1071="","",$F1071&amp;"|"&amp;RIGHT("000000"&amp;$L1071,6))</f>
        <v/>
      </c>
      <c r="N1071">
        <f>IF($F1071="","",IF(Sync!$AF1071="","0000",IF(AND(ISNUMBER(Sync!$AF1071),Sync!$AF1071&gt;=0,Sync!$AF1071&lt;1),RIGHT("00"&amp;HOUR(Sync!$AF1071),2)&amp;RIGHT("00"&amp;MINUTE(Sync!$AF1071),2),IFERROR(RIGHT("00"&amp;VALUE(LEFT(Sync!$AF1071,FIND(":",Sync!$AF1071)-1)),2)&amp;RIGHT("00"&amp;VALUE(MID(Sync!$AF1071,FIND(":",Sync!$AF1071)+1,2)),2),"0000"))))</f>
        <v/>
      </c>
    </row>
    <row r="1072">
      <c r="A1072">
        <f>IF(OR(Calc!$E1076="",Calc!$E1076="نامعتبر",Calc!$G1076=""),"",Calc!$G1076)</f>
        <v/>
      </c>
      <c r="B1072">
        <f>IF($A1072="","",LEFT(Calc!$E1076,4)&amp;MID(Calc!$E1076,6,2)&amp;RIGHT(Calc!$E1076,2)&amp;Calc!$Q1076&amp;"|"&amp;"1"&amp;RIGHT("00000"&amp;1067,5))</f>
        <v/>
      </c>
      <c r="C1072">
        <f>IF($B1072="","",COUNTIFS(LdgSellerA,$A1072,LdgKeyA,"&lt;"&amp;$B1072)+COUNTIFS(LdgSellerB,$A1072,LdgKeyB,"&lt;"&amp;$B1072)+1)</f>
        <v/>
      </c>
      <c r="D1072">
        <f>IF($C1072="","",$A1072&amp;"|"&amp;RIGHT("000000"&amp;$C1072,6))</f>
        <v/>
      </c>
      <c r="F1072">
        <f>IF(Sync!$AH1072="","",IF(LEFT(UPPER(TRIM(Sync!$AH1072)),2)="SL",UPPER(TRIM(Sync!$AH1072)),""))</f>
        <v/>
      </c>
      <c r="G1072">
        <f>IF($F1072="","",IF(Sync!$AE1072="","",IF(ISNUMBER(Sync!$AE1072),IF(AND(Sync!$AE1072&gt;=10000101,Sync!$AE1072&lt;=99991231),INT(Sync!$AE1072/10000),""),IFERROR(VALUE(TRIM(LEFT(Sync!$AE1072,FIND("/",Sync!$AE1072)-1))),""))))</f>
        <v/>
      </c>
      <c r="H1072">
        <f>IF(OR($F1072="",$G1072=""),"",IF(ISNUMBER(Sync!$AE1072),INT(MOD(Sync!$AE1072,10000)/100),IFERROR(VALUE(TRIM(LEFT(MID(Sync!$AE1072,FIND("/",Sync!$AE1072)+1,20),FIND("/",MID(Sync!$AE1072,FIND("/",Sync!$AE1072)+1,20))-1))),"")))</f>
        <v/>
      </c>
      <c r="I1072">
        <f>IF(OR($F1072="",$G1072=""),"",IF(ISNUMBER(Sync!$AE1072),MOD(Sync!$AE1072,100),IFERROR(VALUE(TRIM(MID(MID(Sync!$AE1072,FIND("/",Sync!$AE1072)+1,20),FIND("/",MID(Sync!$AE1072,FIND("/",Sync!$AE1072)+1,20))+1,20))),"")))</f>
        <v/>
      </c>
      <c r="J1072">
        <f>IF($F1072="","",IF(OR($G1072="",$H1072="",$I1072="",$G1072&lt;1300,$G1072&gt;1500,$H1072&lt;1,$H1072&gt;12,$I1072&lt;1,$I1072&gt;31),"نامعتبر",RIGHT("0000"&amp;$G1072,4)&amp;"/"&amp;RIGHT("00"&amp;$H1072,2)&amp;"/"&amp;RIGHT("00"&amp;$I1072,2)))</f>
        <v/>
      </c>
      <c r="K1072">
        <f>IF(OR($F1072="",$J1072="",$J1072="نامعتبر"),"",LEFT($J1072,4)&amp;MID($J1072,6,2)&amp;RIGHT($J1072,2)&amp;$N1072&amp;"|"&amp;"2"&amp;RIGHT("00000"&amp;1067,5))</f>
        <v/>
      </c>
      <c r="L1072">
        <f>IF($K1072="","",COUNTIFS(LdgSellerA,$F1072,LdgKeyA,"&lt;"&amp;$K1072)+COUNTIFS(LdgSellerB,$F1072,LdgKeyB,"&lt;"&amp;$K1072)+1)</f>
        <v/>
      </c>
      <c r="M1072">
        <f>IF($L1072="","",$F1072&amp;"|"&amp;RIGHT("000000"&amp;$L1072,6))</f>
        <v/>
      </c>
      <c r="N1072">
        <f>IF($F1072="","",IF(Sync!$AF1072="","0000",IF(AND(ISNUMBER(Sync!$AF1072),Sync!$AF1072&gt;=0,Sync!$AF1072&lt;1),RIGHT("00"&amp;HOUR(Sync!$AF1072),2)&amp;RIGHT("00"&amp;MINUTE(Sync!$AF1072),2),IFERROR(RIGHT("00"&amp;VALUE(LEFT(Sync!$AF1072,FIND(":",Sync!$AF1072)-1)),2)&amp;RIGHT("00"&amp;VALUE(MID(Sync!$AF1072,FIND(":",Sync!$AF1072)+1,2)),2),"0000"))))</f>
        <v/>
      </c>
    </row>
    <row r="1073">
      <c r="A1073">
        <f>IF(OR(Calc!$E1077="",Calc!$E1077="نامعتبر",Calc!$G1077=""),"",Calc!$G1077)</f>
        <v/>
      </c>
      <c r="B1073">
        <f>IF($A1073="","",LEFT(Calc!$E1077,4)&amp;MID(Calc!$E1077,6,2)&amp;RIGHT(Calc!$E1077,2)&amp;Calc!$Q1077&amp;"|"&amp;"1"&amp;RIGHT("00000"&amp;1068,5))</f>
        <v/>
      </c>
      <c r="C1073">
        <f>IF($B1073="","",COUNTIFS(LdgSellerA,$A1073,LdgKeyA,"&lt;"&amp;$B1073)+COUNTIFS(LdgSellerB,$A1073,LdgKeyB,"&lt;"&amp;$B1073)+1)</f>
        <v/>
      </c>
      <c r="D1073">
        <f>IF($C1073="","",$A1073&amp;"|"&amp;RIGHT("000000"&amp;$C1073,6))</f>
        <v/>
      </c>
      <c r="F1073">
        <f>IF(Sync!$AH1073="","",IF(LEFT(UPPER(TRIM(Sync!$AH1073)),2)="SL",UPPER(TRIM(Sync!$AH1073)),""))</f>
        <v/>
      </c>
      <c r="G1073">
        <f>IF($F1073="","",IF(Sync!$AE1073="","",IF(ISNUMBER(Sync!$AE1073),IF(AND(Sync!$AE1073&gt;=10000101,Sync!$AE1073&lt;=99991231),INT(Sync!$AE1073/10000),""),IFERROR(VALUE(TRIM(LEFT(Sync!$AE1073,FIND("/",Sync!$AE1073)-1))),""))))</f>
        <v/>
      </c>
      <c r="H1073">
        <f>IF(OR($F1073="",$G1073=""),"",IF(ISNUMBER(Sync!$AE1073),INT(MOD(Sync!$AE1073,10000)/100),IFERROR(VALUE(TRIM(LEFT(MID(Sync!$AE1073,FIND("/",Sync!$AE1073)+1,20),FIND("/",MID(Sync!$AE1073,FIND("/",Sync!$AE1073)+1,20))-1))),"")))</f>
        <v/>
      </c>
      <c r="I1073">
        <f>IF(OR($F1073="",$G1073=""),"",IF(ISNUMBER(Sync!$AE1073),MOD(Sync!$AE1073,100),IFERROR(VALUE(TRIM(MID(MID(Sync!$AE1073,FIND("/",Sync!$AE1073)+1,20),FIND("/",MID(Sync!$AE1073,FIND("/",Sync!$AE1073)+1,20))+1,20))),"")))</f>
        <v/>
      </c>
      <c r="J1073">
        <f>IF($F1073="","",IF(OR($G1073="",$H1073="",$I1073="",$G1073&lt;1300,$G1073&gt;1500,$H1073&lt;1,$H1073&gt;12,$I1073&lt;1,$I1073&gt;31),"نامعتبر",RIGHT("0000"&amp;$G1073,4)&amp;"/"&amp;RIGHT("00"&amp;$H1073,2)&amp;"/"&amp;RIGHT("00"&amp;$I1073,2)))</f>
        <v/>
      </c>
      <c r="K1073">
        <f>IF(OR($F1073="",$J1073="",$J1073="نامعتبر"),"",LEFT($J1073,4)&amp;MID($J1073,6,2)&amp;RIGHT($J1073,2)&amp;$N1073&amp;"|"&amp;"2"&amp;RIGHT("00000"&amp;1068,5))</f>
        <v/>
      </c>
      <c r="L1073">
        <f>IF($K1073="","",COUNTIFS(LdgSellerA,$F1073,LdgKeyA,"&lt;"&amp;$K1073)+COUNTIFS(LdgSellerB,$F1073,LdgKeyB,"&lt;"&amp;$K1073)+1)</f>
        <v/>
      </c>
      <c r="M1073">
        <f>IF($L1073="","",$F1073&amp;"|"&amp;RIGHT("000000"&amp;$L1073,6))</f>
        <v/>
      </c>
      <c r="N1073">
        <f>IF($F1073="","",IF(Sync!$AF1073="","0000",IF(AND(ISNUMBER(Sync!$AF1073),Sync!$AF1073&gt;=0,Sync!$AF1073&lt;1),RIGHT("00"&amp;HOUR(Sync!$AF1073),2)&amp;RIGHT("00"&amp;MINUTE(Sync!$AF1073),2),IFERROR(RIGHT("00"&amp;VALUE(LEFT(Sync!$AF1073,FIND(":",Sync!$AF1073)-1)),2)&amp;RIGHT("00"&amp;VALUE(MID(Sync!$AF1073,FIND(":",Sync!$AF1073)+1,2)),2),"0000"))))</f>
        <v/>
      </c>
    </row>
    <row r="1074">
      <c r="A1074">
        <f>IF(OR(Calc!$E1078="",Calc!$E1078="نامعتبر",Calc!$G1078=""),"",Calc!$G1078)</f>
        <v/>
      </c>
      <c r="B1074">
        <f>IF($A1074="","",LEFT(Calc!$E1078,4)&amp;MID(Calc!$E1078,6,2)&amp;RIGHT(Calc!$E1078,2)&amp;Calc!$Q1078&amp;"|"&amp;"1"&amp;RIGHT("00000"&amp;1069,5))</f>
        <v/>
      </c>
      <c r="C1074">
        <f>IF($B1074="","",COUNTIFS(LdgSellerA,$A1074,LdgKeyA,"&lt;"&amp;$B1074)+COUNTIFS(LdgSellerB,$A1074,LdgKeyB,"&lt;"&amp;$B1074)+1)</f>
        <v/>
      </c>
      <c r="D1074">
        <f>IF($C1074="","",$A1074&amp;"|"&amp;RIGHT("000000"&amp;$C1074,6))</f>
        <v/>
      </c>
      <c r="F1074">
        <f>IF(Sync!$AH1074="","",IF(LEFT(UPPER(TRIM(Sync!$AH1074)),2)="SL",UPPER(TRIM(Sync!$AH1074)),""))</f>
        <v/>
      </c>
      <c r="G1074">
        <f>IF($F1074="","",IF(Sync!$AE1074="","",IF(ISNUMBER(Sync!$AE1074),IF(AND(Sync!$AE1074&gt;=10000101,Sync!$AE1074&lt;=99991231),INT(Sync!$AE1074/10000),""),IFERROR(VALUE(TRIM(LEFT(Sync!$AE1074,FIND("/",Sync!$AE1074)-1))),""))))</f>
        <v/>
      </c>
      <c r="H1074">
        <f>IF(OR($F1074="",$G1074=""),"",IF(ISNUMBER(Sync!$AE1074),INT(MOD(Sync!$AE1074,10000)/100),IFERROR(VALUE(TRIM(LEFT(MID(Sync!$AE1074,FIND("/",Sync!$AE1074)+1,20),FIND("/",MID(Sync!$AE1074,FIND("/",Sync!$AE1074)+1,20))-1))),"")))</f>
        <v/>
      </c>
      <c r="I1074">
        <f>IF(OR($F1074="",$G1074=""),"",IF(ISNUMBER(Sync!$AE1074),MOD(Sync!$AE1074,100),IFERROR(VALUE(TRIM(MID(MID(Sync!$AE1074,FIND("/",Sync!$AE1074)+1,20),FIND("/",MID(Sync!$AE1074,FIND("/",Sync!$AE1074)+1,20))+1,20))),"")))</f>
        <v/>
      </c>
      <c r="J1074">
        <f>IF($F1074="","",IF(OR($G1074="",$H1074="",$I1074="",$G1074&lt;1300,$G1074&gt;1500,$H1074&lt;1,$H1074&gt;12,$I1074&lt;1,$I1074&gt;31),"نامعتبر",RIGHT("0000"&amp;$G1074,4)&amp;"/"&amp;RIGHT("00"&amp;$H1074,2)&amp;"/"&amp;RIGHT("00"&amp;$I1074,2)))</f>
        <v/>
      </c>
      <c r="K1074">
        <f>IF(OR($F1074="",$J1074="",$J1074="نامعتبر"),"",LEFT($J1074,4)&amp;MID($J1074,6,2)&amp;RIGHT($J1074,2)&amp;$N1074&amp;"|"&amp;"2"&amp;RIGHT("00000"&amp;1069,5))</f>
        <v/>
      </c>
      <c r="L1074">
        <f>IF($K1074="","",COUNTIFS(LdgSellerA,$F1074,LdgKeyA,"&lt;"&amp;$K1074)+COUNTIFS(LdgSellerB,$F1074,LdgKeyB,"&lt;"&amp;$K1074)+1)</f>
        <v/>
      </c>
      <c r="M1074">
        <f>IF($L1074="","",$F1074&amp;"|"&amp;RIGHT("000000"&amp;$L1074,6))</f>
        <v/>
      </c>
      <c r="N1074">
        <f>IF($F1074="","",IF(Sync!$AF1074="","0000",IF(AND(ISNUMBER(Sync!$AF1074),Sync!$AF1074&gt;=0,Sync!$AF1074&lt;1),RIGHT("00"&amp;HOUR(Sync!$AF1074),2)&amp;RIGHT("00"&amp;MINUTE(Sync!$AF1074),2),IFERROR(RIGHT("00"&amp;VALUE(LEFT(Sync!$AF1074,FIND(":",Sync!$AF1074)-1)),2)&amp;RIGHT("00"&amp;VALUE(MID(Sync!$AF1074,FIND(":",Sync!$AF1074)+1,2)),2),"0000"))))</f>
        <v/>
      </c>
    </row>
    <row r="1075">
      <c r="A1075">
        <f>IF(OR(Calc!$E1079="",Calc!$E1079="نامعتبر",Calc!$G1079=""),"",Calc!$G1079)</f>
        <v/>
      </c>
      <c r="B1075">
        <f>IF($A1075="","",LEFT(Calc!$E1079,4)&amp;MID(Calc!$E1079,6,2)&amp;RIGHT(Calc!$E1079,2)&amp;Calc!$Q1079&amp;"|"&amp;"1"&amp;RIGHT("00000"&amp;1070,5))</f>
        <v/>
      </c>
      <c r="C1075">
        <f>IF($B1075="","",COUNTIFS(LdgSellerA,$A1075,LdgKeyA,"&lt;"&amp;$B1075)+COUNTIFS(LdgSellerB,$A1075,LdgKeyB,"&lt;"&amp;$B1075)+1)</f>
        <v/>
      </c>
      <c r="D1075">
        <f>IF($C1075="","",$A1075&amp;"|"&amp;RIGHT("000000"&amp;$C1075,6))</f>
        <v/>
      </c>
      <c r="F1075">
        <f>IF(Sync!$AH1075="","",IF(LEFT(UPPER(TRIM(Sync!$AH1075)),2)="SL",UPPER(TRIM(Sync!$AH1075)),""))</f>
        <v/>
      </c>
      <c r="G1075">
        <f>IF($F1075="","",IF(Sync!$AE1075="","",IF(ISNUMBER(Sync!$AE1075),IF(AND(Sync!$AE1075&gt;=10000101,Sync!$AE1075&lt;=99991231),INT(Sync!$AE1075/10000),""),IFERROR(VALUE(TRIM(LEFT(Sync!$AE1075,FIND("/",Sync!$AE1075)-1))),""))))</f>
        <v/>
      </c>
      <c r="H1075">
        <f>IF(OR($F1075="",$G1075=""),"",IF(ISNUMBER(Sync!$AE1075),INT(MOD(Sync!$AE1075,10000)/100),IFERROR(VALUE(TRIM(LEFT(MID(Sync!$AE1075,FIND("/",Sync!$AE1075)+1,20),FIND("/",MID(Sync!$AE1075,FIND("/",Sync!$AE1075)+1,20))-1))),"")))</f>
        <v/>
      </c>
      <c r="I1075">
        <f>IF(OR($F1075="",$G1075=""),"",IF(ISNUMBER(Sync!$AE1075),MOD(Sync!$AE1075,100),IFERROR(VALUE(TRIM(MID(MID(Sync!$AE1075,FIND("/",Sync!$AE1075)+1,20),FIND("/",MID(Sync!$AE1075,FIND("/",Sync!$AE1075)+1,20))+1,20))),"")))</f>
        <v/>
      </c>
      <c r="J1075">
        <f>IF($F1075="","",IF(OR($G1075="",$H1075="",$I1075="",$G1075&lt;1300,$G1075&gt;1500,$H1075&lt;1,$H1075&gt;12,$I1075&lt;1,$I1075&gt;31),"نامعتبر",RIGHT("0000"&amp;$G1075,4)&amp;"/"&amp;RIGHT("00"&amp;$H1075,2)&amp;"/"&amp;RIGHT("00"&amp;$I1075,2)))</f>
        <v/>
      </c>
      <c r="K1075">
        <f>IF(OR($F1075="",$J1075="",$J1075="نامعتبر"),"",LEFT($J1075,4)&amp;MID($J1075,6,2)&amp;RIGHT($J1075,2)&amp;$N1075&amp;"|"&amp;"2"&amp;RIGHT("00000"&amp;1070,5))</f>
        <v/>
      </c>
      <c r="L1075">
        <f>IF($K1075="","",COUNTIFS(LdgSellerA,$F1075,LdgKeyA,"&lt;"&amp;$K1075)+COUNTIFS(LdgSellerB,$F1075,LdgKeyB,"&lt;"&amp;$K1075)+1)</f>
        <v/>
      </c>
      <c r="M1075">
        <f>IF($L1075="","",$F1075&amp;"|"&amp;RIGHT("000000"&amp;$L1075,6))</f>
        <v/>
      </c>
      <c r="N1075">
        <f>IF($F1075="","",IF(Sync!$AF1075="","0000",IF(AND(ISNUMBER(Sync!$AF1075),Sync!$AF1075&gt;=0,Sync!$AF1075&lt;1),RIGHT("00"&amp;HOUR(Sync!$AF1075),2)&amp;RIGHT("00"&amp;MINUTE(Sync!$AF1075),2),IFERROR(RIGHT("00"&amp;VALUE(LEFT(Sync!$AF1075,FIND(":",Sync!$AF1075)-1)),2)&amp;RIGHT("00"&amp;VALUE(MID(Sync!$AF1075,FIND(":",Sync!$AF1075)+1,2)),2),"0000"))))</f>
        <v/>
      </c>
    </row>
    <row r="1076">
      <c r="A1076">
        <f>IF(OR(Calc!$E1080="",Calc!$E1080="نامعتبر",Calc!$G1080=""),"",Calc!$G1080)</f>
        <v/>
      </c>
      <c r="B1076">
        <f>IF($A1076="","",LEFT(Calc!$E1080,4)&amp;MID(Calc!$E1080,6,2)&amp;RIGHT(Calc!$E1080,2)&amp;Calc!$Q1080&amp;"|"&amp;"1"&amp;RIGHT("00000"&amp;1071,5))</f>
        <v/>
      </c>
      <c r="C1076">
        <f>IF($B1076="","",COUNTIFS(LdgSellerA,$A1076,LdgKeyA,"&lt;"&amp;$B1076)+COUNTIFS(LdgSellerB,$A1076,LdgKeyB,"&lt;"&amp;$B1076)+1)</f>
        <v/>
      </c>
      <c r="D1076">
        <f>IF($C1076="","",$A1076&amp;"|"&amp;RIGHT("000000"&amp;$C1076,6))</f>
        <v/>
      </c>
      <c r="F1076">
        <f>IF(Sync!$AH1076="","",IF(LEFT(UPPER(TRIM(Sync!$AH1076)),2)="SL",UPPER(TRIM(Sync!$AH1076)),""))</f>
        <v/>
      </c>
      <c r="G1076">
        <f>IF($F1076="","",IF(Sync!$AE1076="","",IF(ISNUMBER(Sync!$AE1076),IF(AND(Sync!$AE1076&gt;=10000101,Sync!$AE1076&lt;=99991231),INT(Sync!$AE1076/10000),""),IFERROR(VALUE(TRIM(LEFT(Sync!$AE1076,FIND("/",Sync!$AE1076)-1))),""))))</f>
        <v/>
      </c>
      <c r="H1076">
        <f>IF(OR($F1076="",$G1076=""),"",IF(ISNUMBER(Sync!$AE1076),INT(MOD(Sync!$AE1076,10000)/100),IFERROR(VALUE(TRIM(LEFT(MID(Sync!$AE1076,FIND("/",Sync!$AE1076)+1,20),FIND("/",MID(Sync!$AE1076,FIND("/",Sync!$AE1076)+1,20))-1))),"")))</f>
        <v/>
      </c>
      <c r="I1076">
        <f>IF(OR($F1076="",$G1076=""),"",IF(ISNUMBER(Sync!$AE1076),MOD(Sync!$AE1076,100),IFERROR(VALUE(TRIM(MID(MID(Sync!$AE1076,FIND("/",Sync!$AE1076)+1,20),FIND("/",MID(Sync!$AE1076,FIND("/",Sync!$AE1076)+1,20))+1,20))),"")))</f>
        <v/>
      </c>
      <c r="J1076">
        <f>IF($F1076="","",IF(OR($G1076="",$H1076="",$I1076="",$G1076&lt;1300,$G1076&gt;1500,$H1076&lt;1,$H1076&gt;12,$I1076&lt;1,$I1076&gt;31),"نامعتبر",RIGHT("0000"&amp;$G1076,4)&amp;"/"&amp;RIGHT("00"&amp;$H1076,2)&amp;"/"&amp;RIGHT("00"&amp;$I1076,2)))</f>
        <v/>
      </c>
      <c r="K1076">
        <f>IF(OR($F1076="",$J1076="",$J1076="نامعتبر"),"",LEFT($J1076,4)&amp;MID($J1076,6,2)&amp;RIGHT($J1076,2)&amp;$N1076&amp;"|"&amp;"2"&amp;RIGHT("00000"&amp;1071,5))</f>
        <v/>
      </c>
      <c r="L1076">
        <f>IF($K1076="","",COUNTIFS(LdgSellerA,$F1076,LdgKeyA,"&lt;"&amp;$K1076)+COUNTIFS(LdgSellerB,$F1076,LdgKeyB,"&lt;"&amp;$K1076)+1)</f>
        <v/>
      </c>
      <c r="M1076">
        <f>IF($L1076="","",$F1076&amp;"|"&amp;RIGHT("000000"&amp;$L1076,6))</f>
        <v/>
      </c>
      <c r="N1076">
        <f>IF($F1076="","",IF(Sync!$AF1076="","0000",IF(AND(ISNUMBER(Sync!$AF1076),Sync!$AF1076&gt;=0,Sync!$AF1076&lt;1),RIGHT("00"&amp;HOUR(Sync!$AF1076),2)&amp;RIGHT("00"&amp;MINUTE(Sync!$AF1076),2),IFERROR(RIGHT("00"&amp;VALUE(LEFT(Sync!$AF1076,FIND(":",Sync!$AF1076)-1)),2)&amp;RIGHT("00"&amp;VALUE(MID(Sync!$AF1076,FIND(":",Sync!$AF1076)+1,2)),2),"0000"))))</f>
        <v/>
      </c>
    </row>
    <row r="1077">
      <c r="A1077">
        <f>IF(OR(Calc!$E1081="",Calc!$E1081="نامعتبر",Calc!$G1081=""),"",Calc!$G1081)</f>
        <v/>
      </c>
      <c r="B1077">
        <f>IF($A1077="","",LEFT(Calc!$E1081,4)&amp;MID(Calc!$E1081,6,2)&amp;RIGHT(Calc!$E1081,2)&amp;Calc!$Q1081&amp;"|"&amp;"1"&amp;RIGHT("00000"&amp;1072,5))</f>
        <v/>
      </c>
      <c r="C1077">
        <f>IF($B1077="","",COUNTIFS(LdgSellerA,$A1077,LdgKeyA,"&lt;"&amp;$B1077)+COUNTIFS(LdgSellerB,$A1077,LdgKeyB,"&lt;"&amp;$B1077)+1)</f>
        <v/>
      </c>
      <c r="D1077">
        <f>IF($C1077="","",$A1077&amp;"|"&amp;RIGHT("000000"&amp;$C1077,6))</f>
        <v/>
      </c>
      <c r="F1077">
        <f>IF(Sync!$AH1077="","",IF(LEFT(UPPER(TRIM(Sync!$AH1077)),2)="SL",UPPER(TRIM(Sync!$AH1077)),""))</f>
        <v/>
      </c>
      <c r="G1077">
        <f>IF($F1077="","",IF(Sync!$AE1077="","",IF(ISNUMBER(Sync!$AE1077),IF(AND(Sync!$AE1077&gt;=10000101,Sync!$AE1077&lt;=99991231),INT(Sync!$AE1077/10000),""),IFERROR(VALUE(TRIM(LEFT(Sync!$AE1077,FIND("/",Sync!$AE1077)-1))),""))))</f>
        <v/>
      </c>
      <c r="H1077">
        <f>IF(OR($F1077="",$G1077=""),"",IF(ISNUMBER(Sync!$AE1077),INT(MOD(Sync!$AE1077,10000)/100),IFERROR(VALUE(TRIM(LEFT(MID(Sync!$AE1077,FIND("/",Sync!$AE1077)+1,20),FIND("/",MID(Sync!$AE1077,FIND("/",Sync!$AE1077)+1,20))-1))),"")))</f>
        <v/>
      </c>
      <c r="I1077">
        <f>IF(OR($F1077="",$G1077=""),"",IF(ISNUMBER(Sync!$AE1077),MOD(Sync!$AE1077,100),IFERROR(VALUE(TRIM(MID(MID(Sync!$AE1077,FIND("/",Sync!$AE1077)+1,20),FIND("/",MID(Sync!$AE1077,FIND("/",Sync!$AE1077)+1,20))+1,20))),"")))</f>
        <v/>
      </c>
      <c r="J1077">
        <f>IF($F1077="","",IF(OR($G1077="",$H1077="",$I1077="",$G1077&lt;1300,$G1077&gt;1500,$H1077&lt;1,$H1077&gt;12,$I1077&lt;1,$I1077&gt;31),"نامعتبر",RIGHT("0000"&amp;$G1077,4)&amp;"/"&amp;RIGHT("00"&amp;$H1077,2)&amp;"/"&amp;RIGHT("00"&amp;$I1077,2)))</f>
        <v/>
      </c>
      <c r="K1077">
        <f>IF(OR($F1077="",$J1077="",$J1077="نامعتبر"),"",LEFT($J1077,4)&amp;MID($J1077,6,2)&amp;RIGHT($J1077,2)&amp;$N1077&amp;"|"&amp;"2"&amp;RIGHT("00000"&amp;1072,5))</f>
        <v/>
      </c>
      <c r="L1077">
        <f>IF($K1077="","",COUNTIFS(LdgSellerA,$F1077,LdgKeyA,"&lt;"&amp;$K1077)+COUNTIFS(LdgSellerB,$F1077,LdgKeyB,"&lt;"&amp;$K1077)+1)</f>
        <v/>
      </c>
      <c r="M1077">
        <f>IF($L1077="","",$F1077&amp;"|"&amp;RIGHT("000000"&amp;$L1077,6))</f>
        <v/>
      </c>
      <c r="N1077">
        <f>IF($F1077="","",IF(Sync!$AF1077="","0000",IF(AND(ISNUMBER(Sync!$AF1077),Sync!$AF1077&gt;=0,Sync!$AF1077&lt;1),RIGHT("00"&amp;HOUR(Sync!$AF1077),2)&amp;RIGHT("00"&amp;MINUTE(Sync!$AF1077),2),IFERROR(RIGHT("00"&amp;VALUE(LEFT(Sync!$AF1077,FIND(":",Sync!$AF1077)-1)),2)&amp;RIGHT("00"&amp;VALUE(MID(Sync!$AF1077,FIND(":",Sync!$AF1077)+1,2)),2),"0000"))))</f>
        <v/>
      </c>
    </row>
    <row r="1078">
      <c r="A1078">
        <f>IF(OR(Calc!$E1082="",Calc!$E1082="نامعتبر",Calc!$G1082=""),"",Calc!$G1082)</f>
        <v/>
      </c>
      <c r="B1078">
        <f>IF($A1078="","",LEFT(Calc!$E1082,4)&amp;MID(Calc!$E1082,6,2)&amp;RIGHT(Calc!$E1082,2)&amp;Calc!$Q1082&amp;"|"&amp;"1"&amp;RIGHT("00000"&amp;1073,5))</f>
        <v/>
      </c>
      <c r="C1078">
        <f>IF($B1078="","",COUNTIFS(LdgSellerA,$A1078,LdgKeyA,"&lt;"&amp;$B1078)+COUNTIFS(LdgSellerB,$A1078,LdgKeyB,"&lt;"&amp;$B1078)+1)</f>
        <v/>
      </c>
      <c r="D1078">
        <f>IF($C1078="","",$A1078&amp;"|"&amp;RIGHT("000000"&amp;$C1078,6))</f>
        <v/>
      </c>
      <c r="F1078">
        <f>IF(Sync!$AH1078="","",IF(LEFT(UPPER(TRIM(Sync!$AH1078)),2)="SL",UPPER(TRIM(Sync!$AH1078)),""))</f>
        <v/>
      </c>
      <c r="G1078">
        <f>IF($F1078="","",IF(Sync!$AE1078="","",IF(ISNUMBER(Sync!$AE1078),IF(AND(Sync!$AE1078&gt;=10000101,Sync!$AE1078&lt;=99991231),INT(Sync!$AE1078/10000),""),IFERROR(VALUE(TRIM(LEFT(Sync!$AE1078,FIND("/",Sync!$AE1078)-1))),""))))</f>
        <v/>
      </c>
      <c r="H1078">
        <f>IF(OR($F1078="",$G1078=""),"",IF(ISNUMBER(Sync!$AE1078),INT(MOD(Sync!$AE1078,10000)/100),IFERROR(VALUE(TRIM(LEFT(MID(Sync!$AE1078,FIND("/",Sync!$AE1078)+1,20),FIND("/",MID(Sync!$AE1078,FIND("/",Sync!$AE1078)+1,20))-1))),"")))</f>
        <v/>
      </c>
      <c r="I1078">
        <f>IF(OR($F1078="",$G1078=""),"",IF(ISNUMBER(Sync!$AE1078),MOD(Sync!$AE1078,100),IFERROR(VALUE(TRIM(MID(MID(Sync!$AE1078,FIND("/",Sync!$AE1078)+1,20),FIND("/",MID(Sync!$AE1078,FIND("/",Sync!$AE1078)+1,20))+1,20))),"")))</f>
        <v/>
      </c>
      <c r="J1078">
        <f>IF($F1078="","",IF(OR($G1078="",$H1078="",$I1078="",$G1078&lt;1300,$G1078&gt;1500,$H1078&lt;1,$H1078&gt;12,$I1078&lt;1,$I1078&gt;31),"نامعتبر",RIGHT("0000"&amp;$G1078,4)&amp;"/"&amp;RIGHT("00"&amp;$H1078,2)&amp;"/"&amp;RIGHT("00"&amp;$I1078,2)))</f>
        <v/>
      </c>
      <c r="K1078">
        <f>IF(OR($F1078="",$J1078="",$J1078="نامعتبر"),"",LEFT($J1078,4)&amp;MID($J1078,6,2)&amp;RIGHT($J1078,2)&amp;$N1078&amp;"|"&amp;"2"&amp;RIGHT("00000"&amp;1073,5))</f>
        <v/>
      </c>
      <c r="L1078">
        <f>IF($K1078="","",COUNTIFS(LdgSellerA,$F1078,LdgKeyA,"&lt;"&amp;$K1078)+COUNTIFS(LdgSellerB,$F1078,LdgKeyB,"&lt;"&amp;$K1078)+1)</f>
        <v/>
      </c>
      <c r="M1078">
        <f>IF($L1078="","",$F1078&amp;"|"&amp;RIGHT("000000"&amp;$L1078,6))</f>
        <v/>
      </c>
      <c r="N1078">
        <f>IF($F1078="","",IF(Sync!$AF1078="","0000",IF(AND(ISNUMBER(Sync!$AF1078),Sync!$AF1078&gt;=0,Sync!$AF1078&lt;1),RIGHT("00"&amp;HOUR(Sync!$AF1078),2)&amp;RIGHT("00"&amp;MINUTE(Sync!$AF1078),2),IFERROR(RIGHT("00"&amp;VALUE(LEFT(Sync!$AF1078,FIND(":",Sync!$AF1078)-1)),2)&amp;RIGHT("00"&amp;VALUE(MID(Sync!$AF1078,FIND(":",Sync!$AF1078)+1,2)),2),"0000"))))</f>
        <v/>
      </c>
    </row>
    <row r="1079">
      <c r="A1079">
        <f>IF(OR(Calc!$E1083="",Calc!$E1083="نامعتبر",Calc!$G1083=""),"",Calc!$G1083)</f>
        <v/>
      </c>
      <c r="B1079">
        <f>IF($A1079="","",LEFT(Calc!$E1083,4)&amp;MID(Calc!$E1083,6,2)&amp;RIGHT(Calc!$E1083,2)&amp;Calc!$Q1083&amp;"|"&amp;"1"&amp;RIGHT("00000"&amp;1074,5))</f>
        <v/>
      </c>
      <c r="C1079">
        <f>IF($B1079="","",COUNTIFS(LdgSellerA,$A1079,LdgKeyA,"&lt;"&amp;$B1079)+COUNTIFS(LdgSellerB,$A1079,LdgKeyB,"&lt;"&amp;$B1079)+1)</f>
        <v/>
      </c>
      <c r="D1079">
        <f>IF($C1079="","",$A1079&amp;"|"&amp;RIGHT("000000"&amp;$C1079,6))</f>
        <v/>
      </c>
      <c r="F1079">
        <f>IF(Sync!$AH1079="","",IF(LEFT(UPPER(TRIM(Sync!$AH1079)),2)="SL",UPPER(TRIM(Sync!$AH1079)),""))</f>
        <v/>
      </c>
      <c r="G1079">
        <f>IF($F1079="","",IF(Sync!$AE1079="","",IF(ISNUMBER(Sync!$AE1079),IF(AND(Sync!$AE1079&gt;=10000101,Sync!$AE1079&lt;=99991231),INT(Sync!$AE1079/10000),""),IFERROR(VALUE(TRIM(LEFT(Sync!$AE1079,FIND("/",Sync!$AE1079)-1))),""))))</f>
        <v/>
      </c>
      <c r="H1079">
        <f>IF(OR($F1079="",$G1079=""),"",IF(ISNUMBER(Sync!$AE1079),INT(MOD(Sync!$AE1079,10000)/100),IFERROR(VALUE(TRIM(LEFT(MID(Sync!$AE1079,FIND("/",Sync!$AE1079)+1,20),FIND("/",MID(Sync!$AE1079,FIND("/",Sync!$AE1079)+1,20))-1))),"")))</f>
        <v/>
      </c>
      <c r="I1079">
        <f>IF(OR($F1079="",$G1079=""),"",IF(ISNUMBER(Sync!$AE1079),MOD(Sync!$AE1079,100),IFERROR(VALUE(TRIM(MID(MID(Sync!$AE1079,FIND("/",Sync!$AE1079)+1,20),FIND("/",MID(Sync!$AE1079,FIND("/",Sync!$AE1079)+1,20))+1,20))),"")))</f>
        <v/>
      </c>
      <c r="J1079">
        <f>IF($F1079="","",IF(OR($G1079="",$H1079="",$I1079="",$G1079&lt;1300,$G1079&gt;1500,$H1079&lt;1,$H1079&gt;12,$I1079&lt;1,$I1079&gt;31),"نامعتبر",RIGHT("0000"&amp;$G1079,4)&amp;"/"&amp;RIGHT("00"&amp;$H1079,2)&amp;"/"&amp;RIGHT("00"&amp;$I1079,2)))</f>
        <v/>
      </c>
      <c r="K1079">
        <f>IF(OR($F1079="",$J1079="",$J1079="نامعتبر"),"",LEFT($J1079,4)&amp;MID($J1079,6,2)&amp;RIGHT($J1079,2)&amp;$N1079&amp;"|"&amp;"2"&amp;RIGHT("00000"&amp;1074,5))</f>
        <v/>
      </c>
      <c r="L1079">
        <f>IF($K1079="","",COUNTIFS(LdgSellerA,$F1079,LdgKeyA,"&lt;"&amp;$K1079)+COUNTIFS(LdgSellerB,$F1079,LdgKeyB,"&lt;"&amp;$K1079)+1)</f>
        <v/>
      </c>
      <c r="M1079">
        <f>IF($L1079="","",$F1079&amp;"|"&amp;RIGHT("000000"&amp;$L1079,6))</f>
        <v/>
      </c>
      <c r="N1079">
        <f>IF($F1079="","",IF(Sync!$AF1079="","0000",IF(AND(ISNUMBER(Sync!$AF1079),Sync!$AF1079&gt;=0,Sync!$AF1079&lt;1),RIGHT("00"&amp;HOUR(Sync!$AF1079),2)&amp;RIGHT("00"&amp;MINUTE(Sync!$AF1079),2),IFERROR(RIGHT("00"&amp;VALUE(LEFT(Sync!$AF1079,FIND(":",Sync!$AF1079)-1)),2)&amp;RIGHT("00"&amp;VALUE(MID(Sync!$AF1079,FIND(":",Sync!$AF1079)+1,2)),2),"0000"))))</f>
        <v/>
      </c>
    </row>
    <row r="1080">
      <c r="A1080">
        <f>IF(OR(Calc!$E1084="",Calc!$E1084="نامعتبر",Calc!$G1084=""),"",Calc!$G1084)</f>
        <v/>
      </c>
      <c r="B1080">
        <f>IF($A1080="","",LEFT(Calc!$E1084,4)&amp;MID(Calc!$E1084,6,2)&amp;RIGHT(Calc!$E1084,2)&amp;Calc!$Q1084&amp;"|"&amp;"1"&amp;RIGHT("00000"&amp;1075,5))</f>
        <v/>
      </c>
      <c r="C1080">
        <f>IF($B1080="","",COUNTIFS(LdgSellerA,$A1080,LdgKeyA,"&lt;"&amp;$B1080)+COUNTIFS(LdgSellerB,$A1080,LdgKeyB,"&lt;"&amp;$B1080)+1)</f>
        <v/>
      </c>
      <c r="D1080">
        <f>IF($C1080="","",$A1080&amp;"|"&amp;RIGHT("000000"&amp;$C1080,6))</f>
        <v/>
      </c>
      <c r="F1080">
        <f>IF(Sync!$AH1080="","",IF(LEFT(UPPER(TRIM(Sync!$AH1080)),2)="SL",UPPER(TRIM(Sync!$AH1080)),""))</f>
        <v/>
      </c>
      <c r="G1080">
        <f>IF($F1080="","",IF(Sync!$AE1080="","",IF(ISNUMBER(Sync!$AE1080),IF(AND(Sync!$AE1080&gt;=10000101,Sync!$AE1080&lt;=99991231),INT(Sync!$AE1080/10000),""),IFERROR(VALUE(TRIM(LEFT(Sync!$AE1080,FIND("/",Sync!$AE1080)-1))),""))))</f>
        <v/>
      </c>
      <c r="H1080">
        <f>IF(OR($F1080="",$G1080=""),"",IF(ISNUMBER(Sync!$AE1080),INT(MOD(Sync!$AE1080,10000)/100),IFERROR(VALUE(TRIM(LEFT(MID(Sync!$AE1080,FIND("/",Sync!$AE1080)+1,20),FIND("/",MID(Sync!$AE1080,FIND("/",Sync!$AE1080)+1,20))-1))),"")))</f>
        <v/>
      </c>
      <c r="I1080">
        <f>IF(OR($F1080="",$G1080=""),"",IF(ISNUMBER(Sync!$AE1080),MOD(Sync!$AE1080,100),IFERROR(VALUE(TRIM(MID(MID(Sync!$AE1080,FIND("/",Sync!$AE1080)+1,20),FIND("/",MID(Sync!$AE1080,FIND("/",Sync!$AE1080)+1,20))+1,20))),"")))</f>
        <v/>
      </c>
      <c r="J1080">
        <f>IF($F1080="","",IF(OR($G1080="",$H1080="",$I1080="",$G1080&lt;1300,$G1080&gt;1500,$H1080&lt;1,$H1080&gt;12,$I1080&lt;1,$I1080&gt;31),"نامعتبر",RIGHT("0000"&amp;$G1080,4)&amp;"/"&amp;RIGHT("00"&amp;$H1080,2)&amp;"/"&amp;RIGHT("00"&amp;$I1080,2)))</f>
        <v/>
      </c>
      <c r="K1080">
        <f>IF(OR($F1080="",$J1080="",$J1080="نامعتبر"),"",LEFT($J1080,4)&amp;MID($J1080,6,2)&amp;RIGHT($J1080,2)&amp;$N1080&amp;"|"&amp;"2"&amp;RIGHT("00000"&amp;1075,5))</f>
        <v/>
      </c>
      <c r="L1080">
        <f>IF($K1080="","",COUNTIFS(LdgSellerA,$F1080,LdgKeyA,"&lt;"&amp;$K1080)+COUNTIFS(LdgSellerB,$F1080,LdgKeyB,"&lt;"&amp;$K1080)+1)</f>
        <v/>
      </c>
      <c r="M1080">
        <f>IF($L1080="","",$F1080&amp;"|"&amp;RIGHT("000000"&amp;$L1080,6))</f>
        <v/>
      </c>
      <c r="N1080">
        <f>IF($F1080="","",IF(Sync!$AF1080="","0000",IF(AND(ISNUMBER(Sync!$AF1080),Sync!$AF1080&gt;=0,Sync!$AF1080&lt;1),RIGHT("00"&amp;HOUR(Sync!$AF1080),2)&amp;RIGHT("00"&amp;MINUTE(Sync!$AF1080),2),IFERROR(RIGHT("00"&amp;VALUE(LEFT(Sync!$AF1080,FIND(":",Sync!$AF1080)-1)),2)&amp;RIGHT("00"&amp;VALUE(MID(Sync!$AF1080,FIND(":",Sync!$AF1080)+1,2)),2),"0000"))))</f>
        <v/>
      </c>
    </row>
    <row r="1081">
      <c r="A1081">
        <f>IF(OR(Calc!$E1085="",Calc!$E1085="نامعتبر",Calc!$G1085=""),"",Calc!$G1085)</f>
        <v/>
      </c>
      <c r="B1081">
        <f>IF($A1081="","",LEFT(Calc!$E1085,4)&amp;MID(Calc!$E1085,6,2)&amp;RIGHT(Calc!$E1085,2)&amp;Calc!$Q1085&amp;"|"&amp;"1"&amp;RIGHT("00000"&amp;1076,5))</f>
        <v/>
      </c>
      <c r="C1081">
        <f>IF($B1081="","",COUNTIFS(LdgSellerA,$A1081,LdgKeyA,"&lt;"&amp;$B1081)+COUNTIFS(LdgSellerB,$A1081,LdgKeyB,"&lt;"&amp;$B1081)+1)</f>
        <v/>
      </c>
      <c r="D1081">
        <f>IF($C1081="","",$A1081&amp;"|"&amp;RIGHT("000000"&amp;$C1081,6))</f>
        <v/>
      </c>
      <c r="F1081">
        <f>IF(Sync!$AH1081="","",IF(LEFT(UPPER(TRIM(Sync!$AH1081)),2)="SL",UPPER(TRIM(Sync!$AH1081)),""))</f>
        <v/>
      </c>
      <c r="G1081">
        <f>IF($F1081="","",IF(Sync!$AE1081="","",IF(ISNUMBER(Sync!$AE1081),IF(AND(Sync!$AE1081&gt;=10000101,Sync!$AE1081&lt;=99991231),INT(Sync!$AE1081/10000),""),IFERROR(VALUE(TRIM(LEFT(Sync!$AE1081,FIND("/",Sync!$AE1081)-1))),""))))</f>
        <v/>
      </c>
      <c r="H1081">
        <f>IF(OR($F1081="",$G1081=""),"",IF(ISNUMBER(Sync!$AE1081),INT(MOD(Sync!$AE1081,10000)/100),IFERROR(VALUE(TRIM(LEFT(MID(Sync!$AE1081,FIND("/",Sync!$AE1081)+1,20),FIND("/",MID(Sync!$AE1081,FIND("/",Sync!$AE1081)+1,20))-1))),"")))</f>
        <v/>
      </c>
      <c r="I1081">
        <f>IF(OR($F1081="",$G1081=""),"",IF(ISNUMBER(Sync!$AE1081),MOD(Sync!$AE1081,100),IFERROR(VALUE(TRIM(MID(MID(Sync!$AE1081,FIND("/",Sync!$AE1081)+1,20),FIND("/",MID(Sync!$AE1081,FIND("/",Sync!$AE1081)+1,20))+1,20))),"")))</f>
        <v/>
      </c>
      <c r="J1081">
        <f>IF($F1081="","",IF(OR($G1081="",$H1081="",$I1081="",$G1081&lt;1300,$G1081&gt;1500,$H1081&lt;1,$H1081&gt;12,$I1081&lt;1,$I1081&gt;31),"نامعتبر",RIGHT("0000"&amp;$G1081,4)&amp;"/"&amp;RIGHT("00"&amp;$H1081,2)&amp;"/"&amp;RIGHT("00"&amp;$I1081,2)))</f>
        <v/>
      </c>
      <c r="K1081">
        <f>IF(OR($F1081="",$J1081="",$J1081="نامعتبر"),"",LEFT($J1081,4)&amp;MID($J1081,6,2)&amp;RIGHT($J1081,2)&amp;$N1081&amp;"|"&amp;"2"&amp;RIGHT("00000"&amp;1076,5))</f>
        <v/>
      </c>
      <c r="L1081">
        <f>IF($K1081="","",COUNTIFS(LdgSellerA,$F1081,LdgKeyA,"&lt;"&amp;$K1081)+COUNTIFS(LdgSellerB,$F1081,LdgKeyB,"&lt;"&amp;$K1081)+1)</f>
        <v/>
      </c>
      <c r="M1081">
        <f>IF($L1081="","",$F1081&amp;"|"&amp;RIGHT("000000"&amp;$L1081,6))</f>
        <v/>
      </c>
      <c r="N1081">
        <f>IF($F1081="","",IF(Sync!$AF1081="","0000",IF(AND(ISNUMBER(Sync!$AF1081),Sync!$AF1081&gt;=0,Sync!$AF1081&lt;1),RIGHT("00"&amp;HOUR(Sync!$AF1081),2)&amp;RIGHT("00"&amp;MINUTE(Sync!$AF1081),2),IFERROR(RIGHT("00"&amp;VALUE(LEFT(Sync!$AF1081,FIND(":",Sync!$AF1081)-1)),2)&amp;RIGHT("00"&amp;VALUE(MID(Sync!$AF1081,FIND(":",Sync!$AF1081)+1,2)),2),"0000"))))</f>
        <v/>
      </c>
    </row>
    <row r="1082">
      <c r="A1082">
        <f>IF(OR(Calc!$E1086="",Calc!$E1086="نامعتبر",Calc!$G1086=""),"",Calc!$G1086)</f>
        <v/>
      </c>
      <c r="B1082">
        <f>IF($A1082="","",LEFT(Calc!$E1086,4)&amp;MID(Calc!$E1086,6,2)&amp;RIGHT(Calc!$E1086,2)&amp;Calc!$Q1086&amp;"|"&amp;"1"&amp;RIGHT("00000"&amp;1077,5))</f>
        <v/>
      </c>
      <c r="C1082">
        <f>IF($B1082="","",COUNTIFS(LdgSellerA,$A1082,LdgKeyA,"&lt;"&amp;$B1082)+COUNTIFS(LdgSellerB,$A1082,LdgKeyB,"&lt;"&amp;$B1082)+1)</f>
        <v/>
      </c>
      <c r="D1082">
        <f>IF($C1082="","",$A1082&amp;"|"&amp;RIGHT("000000"&amp;$C1082,6))</f>
        <v/>
      </c>
      <c r="F1082">
        <f>IF(Sync!$AH1082="","",IF(LEFT(UPPER(TRIM(Sync!$AH1082)),2)="SL",UPPER(TRIM(Sync!$AH1082)),""))</f>
        <v/>
      </c>
      <c r="G1082">
        <f>IF($F1082="","",IF(Sync!$AE1082="","",IF(ISNUMBER(Sync!$AE1082),IF(AND(Sync!$AE1082&gt;=10000101,Sync!$AE1082&lt;=99991231),INT(Sync!$AE1082/10000),""),IFERROR(VALUE(TRIM(LEFT(Sync!$AE1082,FIND("/",Sync!$AE1082)-1))),""))))</f>
        <v/>
      </c>
      <c r="H1082">
        <f>IF(OR($F1082="",$G1082=""),"",IF(ISNUMBER(Sync!$AE1082),INT(MOD(Sync!$AE1082,10000)/100),IFERROR(VALUE(TRIM(LEFT(MID(Sync!$AE1082,FIND("/",Sync!$AE1082)+1,20),FIND("/",MID(Sync!$AE1082,FIND("/",Sync!$AE1082)+1,20))-1))),"")))</f>
        <v/>
      </c>
      <c r="I1082">
        <f>IF(OR($F1082="",$G1082=""),"",IF(ISNUMBER(Sync!$AE1082),MOD(Sync!$AE1082,100),IFERROR(VALUE(TRIM(MID(MID(Sync!$AE1082,FIND("/",Sync!$AE1082)+1,20),FIND("/",MID(Sync!$AE1082,FIND("/",Sync!$AE1082)+1,20))+1,20))),"")))</f>
        <v/>
      </c>
      <c r="J1082">
        <f>IF($F1082="","",IF(OR($G1082="",$H1082="",$I1082="",$G1082&lt;1300,$G1082&gt;1500,$H1082&lt;1,$H1082&gt;12,$I1082&lt;1,$I1082&gt;31),"نامعتبر",RIGHT("0000"&amp;$G1082,4)&amp;"/"&amp;RIGHT("00"&amp;$H1082,2)&amp;"/"&amp;RIGHT("00"&amp;$I1082,2)))</f>
        <v/>
      </c>
      <c r="K1082">
        <f>IF(OR($F1082="",$J1082="",$J1082="نامعتبر"),"",LEFT($J1082,4)&amp;MID($J1082,6,2)&amp;RIGHT($J1082,2)&amp;$N1082&amp;"|"&amp;"2"&amp;RIGHT("00000"&amp;1077,5))</f>
        <v/>
      </c>
      <c r="L1082">
        <f>IF($K1082="","",COUNTIFS(LdgSellerA,$F1082,LdgKeyA,"&lt;"&amp;$K1082)+COUNTIFS(LdgSellerB,$F1082,LdgKeyB,"&lt;"&amp;$K1082)+1)</f>
        <v/>
      </c>
      <c r="M1082">
        <f>IF($L1082="","",$F1082&amp;"|"&amp;RIGHT("000000"&amp;$L1082,6))</f>
        <v/>
      </c>
      <c r="N1082">
        <f>IF($F1082="","",IF(Sync!$AF1082="","0000",IF(AND(ISNUMBER(Sync!$AF1082),Sync!$AF1082&gt;=0,Sync!$AF1082&lt;1),RIGHT("00"&amp;HOUR(Sync!$AF1082),2)&amp;RIGHT("00"&amp;MINUTE(Sync!$AF1082),2),IFERROR(RIGHT("00"&amp;VALUE(LEFT(Sync!$AF1082,FIND(":",Sync!$AF1082)-1)),2)&amp;RIGHT("00"&amp;VALUE(MID(Sync!$AF1082,FIND(":",Sync!$AF1082)+1,2)),2),"0000"))))</f>
        <v/>
      </c>
    </row>
    <row r="1083">
      <c r="A1083">
        <f>IF(OR(Calc!$E1087="",Calc!$E1087="نامعتبر",Calc!$G1087=""),"",Calc!$G1087)</f>
        <v/>
      </c>
      <c r="B1083">
        <f>IF($A1083="","",LEFT(Calc!$E1087,4)&amp;MID(Calc!$E1087,6,2)&amp;RIGHT(Calc!$E1087,2)&amp;Calc!$Q1087&amp;"|"&amp;"1"&amp;RIGHT("00000"&amp;1078,5))</f>
        <v/>
      </c>
      <c r="C1083">
        <f>IF($B1083="","",COUNTIFS(LdgSellerA,$A1083,LdgKeyA,"&lt;"&amp;$B1083)+COUNTIFS(LdgSellerB,$A1083,LdgKeyB,"&lt;"&amp;$B1083)+1)</f>
        <v/>
      </c>
      <c r="D1083">
        <f>IF($C1083="","",$A1083&amp;"|"&amp;RIGHT("000000"&amp;$C1083,6))</f>
        <v/>
      </c>
      <c r="F1083">
        <f>IF(Sync!$AH1083="","",IF(LEFT(UPPER(TRIM(Sync!$AH1083)),2)="SL",UPPER(TRIM(Sync!$AH1083)),""))</f>
        <v/>
      </c>
      <c r="G1083">
        <f>IF($F1083="","",IF(Sync!$AE1083="","",IF(ISNUMBER(Sync!$AE1083),IF(AND(Sync!$AE1083&gt;=10000101,Sync!$AE1083&lt;=99991231),INT(Sync!$AE1083/10000),""),IFERROR(VALUE(TRIM(LEFT(Sync!$AE1083,FIND("/",Sync!$AE1083)-1))),""))))</f>
        <v/>
      </c>
      <c r="H1083">
        <f>IF(OR($F1083="",$G1083=""),"",IF(ISNUMBER(Sync!$AE1083),INT(MOD(Sync!$AE1083,10000)/100),IFERROR(VALUE(TRIM(LEFT(MID(Sync!$AE1083,FIND("/",Sync!$AE1083)+1,20),FIND("/",MID(Sync!$AE1083,FIND("/",Sync!$AE1083)+1,20))-1))),"")))</f>
        <v/>
      </c>
      <c r="I1083">
        <f>IF(OR($F1083="",$G1083=""),"",IF(ISNUMBER(Sync!$AE1083),MOD(Sync!$AE1083,100),IFERROR(VALUE(TRIM(MID(MID(Sync!$AE1083,FIND("/",Sync!$AE1083)+1,20),FIND("/",MID(Sync!$AE1083,FIND("/",Sync!$AE1083)+1,20))+1,20))),"")))</f>
        <v/>
      </c>
      <c r="J1083">
        <f>IF($F1083="","",IF(OR($G1083="",$H1083="",$I1083="",$G1083&lt;1300,$G1083&gt;1500,$H1083&lt;1,$H1083&gt;12,$I1083&lt;1,$I1083&gt;31),"نامعتبر",RIGHT("0000"&amp;$G1083,4)&amp;"/"&amp;RIGHT("00"&amp;$H1083,2)&amp;"/"&amp;RIGHT("00"&amp;$I1083,2)))</f>
        <v/>
      </c>
      <c r="K1083">
        <f>IF(OR($F1083="",$J1083="",$J1083="نامعتبر"),"",LEFT($J1083,4)&amp;MID($J1083,6,2)&amp;RIGHT($J1083,2)&amp;$N1083&amp;"|"&amp;"2"&amp;RIGHT("00000"&amp;1078,5))</f>
        <v/>
      </c>
      <c r="L1083">
        <f>IF($K1083="","",COUNTIFS(LdgSellerA,$F1083,LdgKeyA,"&lt;"&amp;$K1083)+COUNTIFS(LdgSellerB,$F1083,LdgKeyB,"&lt;"&amp;$K1083)+1)</f>
        <v/>
      </c>
      <c r="M1083">
        <f>IF($L1083="","",$F1083&amp;"|"&amp;RIGHT("000000"&amp;$L1083,6))</f>
        <v/>
      </c>
      <c r="N1083">
        <f>IF($F1083="","",IF(Sync!$AF1083="","0000",IF(AND(ISNUMBER(Sync!$AF1083),Sync!$AF1083&gt;=0,Sync!$AF1083&lt;1),RIGHT("00"&amp;HOUR(Sync!$AF1083),2)&amp;RIGHT("00"&amp;MINUTE(Sync!$AF1083),2),IFERROR(RIGHT("00"&amp;VALUE(LEFT(Sync!$AF1083,FIND(":",Sync!$AF1083)-1)),2)&amp;RIGHT("00"&amp;VALUE(MID(Sync!$AF1083,FIND(":",Sync!$AF1083)+1,2)),2),"0000"))))</f>
        <v/>
      </c>
    </row>
    <row r="1084">
      <c r="A1084">
        <f>IF(OR(Calc!$E1088="",Calc!$E1088="نامعتبر",Calc!$G1088=""),"",Calc!$G1088)</f>
        <v/>
      </c>
      <c r="B1084">
        <f>IF($A1084="","",LEFT(Calc!$E1088,4)&amp;MID(Calc!$E1088,6,2)&amp;RIGHT(Calc!$E1088,2)&amp;Calc!$Q1088&amp;"|"&amp;"1"&amp;RIGHT("00000"&amp;1079,5))</f>
        <v/>
      </c>
      <c r="C1084">
        <f>IF($B1084="","",COUNTIFS(LdgSellerA,$A1084,LdgKeyA,"&lt;"&amp;$B1084)+COUNTIFS(LdgSellerB,$A1084,LdgKeyB,"&lt;"&amp;$B1084)+1)</f>
        <v/>
      </c>
      <c r="D1084">
        <f>IF($C1084="","",$A1084&amp;"|"&amp;RIGHT("000000"&amp;$C1084,6))</f>
        <v/>
      </c>
      <c r="F1084">
        <f>IF(Sync!$AH1084="","",IF(LEFT(UPPER(TRIM(Sync!$AH1084)),2)="SL",UPPER(TRIM(Sync!$AH1084)),""))</f>
        <v/>
      </c>
      <c r="G1084">
        <f>IF($F1084="","",IF(Sync!$AE1084="","",IF(ISNUMBER(Sync!$AE1084),IF(AND(Sync!$AE1084&gt;=10000101,Sync!$AE1084&lt;=99991231),INT(Sync!$AE1084/10000),""),IFERROR(VALUE(TRIM(LEFT(Sync!$AE1084,FIND("/",Sync!$AE1084)-1))),""))))</f>
        <v/>
      </c>
      <c r="H1084">
        <f>IF(OR($F1084="",$G1084=""),"",IF(ISNUMBER(Sync!$AE1084),INT(MOD(Sync!$AE1084,10000)/100),IFERROR(VALUE(TRIM(LEFT(MID(Sync!$AE1084,FIND("/",Sync!$AE1084)+1,20),FIND("/",MID(Sync!$AE1084,FIND("/",Sync!$AE1084)+1,20))-1))),"")))</f>
        <v/>
      </c>
      <c r="I1084">
        <f>IF(OR($F1084="",$G1084=""),"",IF(ISNUMBER(Sync!$AE1084),MOD(Sync!$AE1084,100),IFERROR(VALUE(TRIM(MID(MID(Sync!$AE1084,FIND("/",Sync!$AE1084)+1,20),FIND("/",MID(Sync!$AE1084,FIND("/",Sync!$AE1084)+1,20))+1,20))),"")))</f>
        <v/>
      </c>
      <c r="J1084">
        <f>IF($F1084="","",IF(OR($G1084="",$H1084="",$I1084="",$G1084&lt;1300,$G1084&gt;1500,$H1084&lt;1,$H1084&gt;12,$I1084&lt;1,$I1084&gt;31),"نامعتبر",RIGHT("0000"&amp;$G1084,4)&amp;"/"&amp;RIGHT("00"&amp;$H1084,2)&amp;"/"&amp;RIGHT("00"&amp;$I1084,2)))</f>
        <v/>
      </c>
      <c r="K1084">
        <f>IF(OR($F1084="",$J1084="",$J1084="نامعتبر"),"",LEFT($J1084,4)&amp;MID($J1084,6,2)&amp;RIGHT($J1084,2)&amp;$N1084&amp;"|"&amp;"2"&amp;RIGHT("00000"&amp;1079,5))</f>
        <v/>
      </c>
      <c r="L1084">
        <f>IF($K1084="","",COUNTIFS(LdgSellerA,$F1084,LdgKeyA,"&lt;"&amp;$K1084)+COUNTIFS(LdgSellerB,$F1084,LdgKeyB,"&lt;"&amp;$K1084)+1)</f>
        <v/>
      </c>
      <c r="M1084">
        <f>IF($L1084="","",$F1084&amp;"|"&amp;RIGHT("000000"&amp;$L1084,6))</f>
        <v/>
      </c>
      <c r="N1084">
        <f>IF($F1084="","",IF(Sync!$AF1084="","0000",IF(AND(ISNUMBER(Sync!$AF1084),Sync!$AF1084&gt;=0,Sync!$AF1084&lt;1),RIGHT("00"&amp;HOUR(Sync!$AF1084),2)&amp;RIGHT("00"&amp;MINUTE(Sync!$AF1084),2),IFERROR(RIGHT("00"&amp;VALUE(LEFT(Sync!$AF1084,FIND(":",Sync!$AF1084)-1)),2)&amp;RIGHT("00"&amp;VALUE(MID(Sync!$AF1084,FIND(":",Sync!$AF1084)+1,2)),2),"0000"))))</f>
        <v/>
      </c>
    </row>
    <row r="1085">
      <c r="A1085">
        <f>IF(OR(Calc!$E1089="",Calc!$E1089="نامعتبر",Calc!$G1089=""),"",Calc!$G1089)</f>
        <v/>
      </c>
      <c r="B1085">
        <f>IF($A1085="","",LEFT(Calc!$E1089,4)&amp;MID(Calc!$E1089,6,2)&amp;RIGHT(Calc!$E1089,2)&amp;Calc!$Q1089&amp;"|"&amp;"1"&amp;RIGHT("00000"&amp;1080,5))</f>
        <v/>
      </c>
      <c r="C1085">
        <f>IF($B1085="","",COUNTIFS(LdgSellerA,$A1085,LdgKeyA,"&lt;"&amp;$B1085)+COUNTIFS(LdgSellerB,$A1085,LdgKeyB,"&lt;"&amp;$B1085)+1)</f>
        <v/>
      </c>
      <c r="D1085">
        <f>IF($C1085="","",$A1085&amp;"|"&amp;RIGHT("000000"&amp;$C1085,6))</f>
        <v/>
      </c>
      <c r="F1085">
        <f>IF(Sync!$AH1085="","",IF(LEFT(UPPER(TRIM(Sync!$AH1085)),2)="SL",UPPER(TRIM(Sync!$AH1085)),""))</f>
        <v/>
      </c>
      <c r="G1085">
        <f>IF($F1085="","",IF(Sync!$AE1085="","",IF(ISNUMBER(Sync!$AE1085),IF(AND(Sync!$AE1085&gt;=10000101,Sync!$AE1085&lt;=99991231),INT(Sync!$AE1085/10000),""),IFERROR(VALUE(TRIM(LEFT(Sync!$AE1085,FIND("/",Sync!$AE1085)-1))),""))))</f>
        <v/>
      </c>
      <c r="H1085">
        <f>IF(OR($F1085="",$G1085=""),"",IF(ISNUMBER(Sync!$AE1085),INT(MOD(Sync!$AE1085,10000)/100),IFERROR(VALUE(TRIM(LEFT(MID(Sync!$AE1085,FIND("/",Sync!$AE1085)+1,20),FIND("/",MID(Sync!$AE1085,FIND("/",Sync!$AE1085)+1,20))-1))),"")))</f>
        <v/>
      </c>
      <c r="I1085">
        <f>IF(OR($F1085="",$G1085=""),"",IF(ISNUMBER(Sync!$AE1085),MOD(Sync!$AE1085,100),IFERROR(VALUE(TRIM(MID(MID(Sync!$AE1085,FIND("/",Sync!$AE1085)+1,20),FIND("/",MID(Sync!$AE1085,FIND("/",Sync!$AE1085)+1,20))+1,20))),"")))</f>
        <v/>
      </c>
      <c r="J1085">
        <f>IF($F1085="","",IF(OR($G1085="",$H1085="",$I1085="",$G1085&lt;1300,$G1085&gt;1500,$H1085&lt;1,$H1085&gt;12,$I1085&lt;1,$I1085&gt;31),"نامعتبر",RIGHT("0000"&amp;$G1085,4)&amp;"/"&amp;RIGHT("00"&amp;$H1085,2)&amp;"/"&amp;RIGHT("00"&amp;$I1085,2)))</f>
        <v/>
      </c>
      <c r="K1085">
        <f>IF(OR($F1085="",$J1085="",$J1085="نامعتبر"),"",LEFT($J1085,4)&amp;MID($J1085,6,2)&amp;RIGHT($J1085,2)&amp;$N1085&amp;"|"&amp;"2"&amp;RIGHT("00000"&amp;1080,5))</f>
        <v/>
      </c>
      <c r="L1085">
        <f>IF($K1085="","",COUNTIFS(LdgSellerA,$F1085,LdgKeyA,"&lt;"&amp;$K1085)+COUNTIFS(LdgSellerB,$F1085,LdgKeyB,"&lt;"&amp;$K1085)+1)</f>
        <v/>
      </c>
      <c r="M1085">
        <f>IF($L1085="","",$F1085&amp;"|"&amp;RIGHT("000000"&amp;$L1085,6))</f>
        <v/>
      </c>
      <c r="N1085">
        <f>IF($F1085="","",IF(Sync!$AF1085="","0000",IF(AND(ISNUMBER(Sync!$AF1085),Sync!$AF1085&gt;=0,Sync!$AF1085&lt;1),RIGHT("00"&amp;HOUR(Sync!$AF1085),2)&amp;RIGHT("00"&amp;MINUTE(Sync!$AF1085),2),IFERROR(RIGHT("00"&amp;VALUE(LEFT(Sync!$AF1085,FIND(":",Sync!$AF1085)-1)),2)&amp;RIGHT("00"&amp;VALUE(MID(Sync!$AF1085,FIND(":",Sync!$AF1085)+1,2)),2),"0000"))))</f>
        <v/>
      </c>
    </row>
    <row r="1086">
      <c r="A1086">
        <f>IF(OR(Calc!$E1090="",Calc!$E1090="نامعتبر",Calc!$G1090=""),"",Calc!$G1090)</f>
        <v/>
      </c>
      <c r="B1086">
        <f>IF($A1086="","",LEFT(Calc!$E1090,4)&amp;MID(Calc!$E1090,6,2)&amp;RIGHT(Calc!$E1090,2)&amp;Calc!$Q1090&amp;"|"&amp;"1"&amp;RIGHT("00000"&amp;1081,5))</f>
        <v/>
      </c>
      <c r="C1086">
        <f>IF($B1086="","",COUNTIFS(LdgSellerA,$A1086,LdgKeyA,"&lt;"&amp;$B1086)+COUNTIFS(LdgSellerB,$A1086,LdgKeyB,"&lt;"&amp;$B1086)+1)</f>
        <v/>
      </c>
      <c r="D1086">
        <f>IF($C1086="","",$A1086&amp;"|"&amp;RIGHT("000000"&amp;$C1086,6))</f>
        <v/>
      </c>
      <c r="F1086">
        <f>IF(Sync!$AH1086="","",IF(LEFT(UPPER(TRIM(Sync!$AH1086)),2)="SL",UPPER(TRIM(Sync!$AH1086)),""))</f>
        <v/>
      </c>
      <c r="G1086">
        <f>IF($F1086="","",IF(Sync!$AE1086="","",IF(ISNUMBER(Sync!$AE1086),IF(AND(Sync!$AE1086&gt;=10000101,Sync!$AE1086&lt;=99991231),INT(Sync!$AE1086/10000),""),IFERROR(VALUE(TRIM(LEFT(Sync!$AE1086,FIND("/",Sync!$AE1086)-1))),""))))</f>
        <v/>
      </c>
      <c r="H1086">
        <f>IF(OR($F1086="",$G1086=""),"",IF(ISNUMBER(Sync!$AE1086),INT(MOD(Sync!$AE1086,10000)/100),IFERROR(VALUE(TRIM(LEFT(MID(Sync!$AE1086,FIND("/",Sync!$AE1086)+1,20),FIND("/",MID(Sync!$AE1086,FIND("/",Sync!$AE1086)+1,20))-1))),"")))</f>
        <v/>
      </c>
      <c r="I1086">
        <f>IF(OR($F1086="",$G1086=""),"",IF(ISNUMBER(Sync!$AE1086),MOD(Sync!$AE1086,100),IFERROR(VALUE(TRIM(MID(MID(Sync!$AE1086,FIND("/",Sync!$AE1086)+1,20),FIND("/",MID(Sync!$AE1086,FIND("/",Sync!$AE1086)+1,20))+1,20))),"")))</f>
        <v/>
      </c>
      <c r="J1086">
        <f>IF($F1086="","",IF(OR($G1086="",$H1086="",$I1086="",$G1086&lt;1300,$G1086&gt;1500,$H1086&lt;1,$H1086&gt;12,$I1086&lt;1,$I1086&gt;31),"نامعتبر",RIGHT("0000"&amp;$G1086,4)&amp;"/"&amp;RIGHT("00"&amp;$H1086,2)&amp;"/"&amp;RIGHT("00"&amp;$I1086,2)))</f>
        <v/>
      </c>
      <c r="K1086">
        <f>IF(OR($F1086="",$J1086="",$J1086="نامعتبر"),"",LEFT($J1086,4)&amp;MID($J1086,6,2)&amp;RIGHT($J1086,2)&amp;$N1086&amp;"|"&amp;"2"&amp;RIGHT("00000"&amp;1081,5))</f>
        <v/>
      </c>
      <c r="L1086">
        <f>IF($K1086="","",COUNTIFS(LdgSellerA,$F1086,LdgKeyA,"&lt;"&amp;$K1086)+COUNTIFS(LdgSellerB,$F1086,LdgKeyB,"&lt;"&amp;$K1086)+1)</f>
        <v/>
      </c>
      <c r="M1086">
        <f>IF($L1086="","",$F1086&amp;"|"&amp;RIGHT("000000"&amp;$L1086,6))</f>
        <v/>
      </c>
      <c r="N1086">
        <f>IF($F1086="","",IF(Sync!$AF1086="","0000",IF(AND(ISNUMBER(Sync!$AF1086),Sync!$AF1086&gt;=0,Sync!$AF1086&lt;1),RIGHT("00"&amp;HOUR(Sync!$AF1086),2)&amp;RIGHT("00"&amp;MINUTE(Sync!$AF1086),2),IFERROR(RIGHT("00"&amp;VALUE(LEFT(Sync!$AF1086,FIND(":",Sync!$AF1086)-1)),2)&amp;RIGHT("00"&amp;VALUE(MID(Sync!$AF1086,FIND(":",Sync!$AF1086)+1,2)),2),"0000"))))</f>
        <v/>
      </c>
    </row>
    <row r="1087">
      <c r="A1087">
        <f>IF(OR(Calc!$E1091="",Calc!$E1091="نامعتبر",Calc!$G1091=""),"",Calc!$G1091)</f>
        <v/>
      </c>
      <c r="B1087">
        <f>IF($A1087="","",LEFT(Calc!$E1091,4)&amp;MID(Calc!$E1091,6,2)&amp;RIGHT(Calc!$E1091,2)&amp;Calc!$Q1091&amp;"|"&amp;"1"&amp;RIGHT("00000"&amp;1082,5))</f>
        <v/>
      </c>
      <c r="C1087">
        <f>IF($B1087="","",COUNTIFS(LdgSellerA,$A1087,LdgKeyA,"&lt;"&amp;$B1087)+COUNTIFS(LdgSellerB,$A1087,LdgKeyB,"&lt;"&amp;$B1087)+1)</f>
        <v/>
      </c>
      <c r="D1087">
        <f>IF($C1087="","",$A1087&amp;"|"&amp;RIGHT("000000"&amp;$C1087,6))</f>
        <v/>
      </c>
      <c r="F1087">
        <f>IF(Sync!$AH1087="","",IF(LEFT(UPPER(TRIM(Sync!$AH1087)),2)="SL",UPPER(TRIM(Sync!$AH1087)),""))</f>
        <v/>
      </c>
      <c r="G1087">
        <f>IF($F1087="","",IF(Sync!$AE1087="","",IF(ISNUMBER(Sync!$AE1087),IF(AND(Sync!$AE1087&gt;=10000101,Sync!$AE1087&lt;=99991231),INT(Sync!$AE1087/10000),""),IFERROR(VALUE(TRIM(LEFT(Sync!$AE1087,FIND("/",Sync!$AE1087)-1))),""))))</f>
        <v/>
      </c>
      <c r="H1087">
        <f>IF(OR($F1087="",$G1087=""),"",IF(ISNUMBER(Sync!$AE1087),INT(MOD(Sync!$AE1087,10000)/100),IFERROR(VALUE(TRIM(LEFT(MID(Sync!$AE1087,FIND("/",Sync!$AE1087)+1,20),FIND("/",MID(Sync!$AE1087,FIND("/",Sync!$AE1087)+1,20))-1))),"")))</f>
        <v/>
      </c>
      <c r="I1087">
        <f>IF(OR($F1087="",$G1087=""),"",IF(ISNUMBER(Sync!$AE1087),MOD(Sync!$AE1087,100),IFERROR(VALUE(TRIM(MID(MID(Sync!$AE1087,FIND("/",Sync!$AE1087)+1,20),FIND("/",MID(Sync!$AE1087,FIND("/",Sync!$AE1087)+1,20))+1,20))),"")))</f>
        <v/>
      </c>
      <c r="J1087">
        <f>IF($F1087="","",IF(OR($G1087="",$H1087="",$I1087="",$G1087&lt;1300,$G1087&gt;1500,$H1087&lt;1,$H1087&gt;12,$I1087&lt;1,$I1087&gt;31),"نامعتبر",RIGHT("0000"&amp;$G1087,4)&amp;"/"&amp;RIGHT("00"&amp;$H1087,2)&amp;"/"&amp;RIGHT("00"&amp;$I1087,2)))</f>
        <v/>
      </c>
      <c r="K1087">
        <f>IF(OR($F1087="",$J1087="",$J1087="نامعتبر"),"",LEFT($J1087,4)&amp;MID($J1087,6,2)&amp;RIGHT($J1087,2)&amp;$N1087&amp;"|"&amp;"2"&amp;RIGHT("00000"&amp;1082,5))</f>
        <v/>
      </c>
      <c r="L1087">
        <f>IF($K1087="","",COUNTIFS(LdgSellerA,$F1087,LdgKeyA,"&lt;"&amp;$K1087)+COUNTIFS(LdgSellerB,$F1087,LdgKeyB,"&lt;"&amp;$K1087)+1)</f>
        <v/>
      </c>
      <c r="M1087">
        <f>IF($L1087="","",$F1087&amp;"|"&amp;RIGHT("000000"&amp;$L1087,6))</f>
        <v/>
      </c>
      <c r="N1087">
        <f>IF($F1087="","",IF(Sync!$AF1087="","0000",IF(AND(ISNUMBER(Sync!$AF1087),Sync!$AF1087&gt;=0,Sync!$AF1087&lt;1),RIGHT("00"&amp;HOUR(Sync!$AF1087),2)&amp;RIGHT("00"&amp;MINUTE(Sync!$AF1087),2),IFERROR(RIGHT("00"&amp;VALUE(LEFT(Sync!$AF1087,FIND(":",Sync!$AF1087)-1)),2)&amp;RIGHT("00"&amp;VALUE(MID(Sync!$AF1087,FIND(":",Sync!$AF1087)+1,2)),2),"0000"))))</f>
        <v/>
      </c>
    </row>
    <row r="1088">
      <c r="A1088">
        <f>IF(OR(Calc!$E1092="",Calc!$E1092="نامعتبر",Calc!$G1092=""),"",Calc!$G1092)</f>
        <v/>
      </c>
      <c r="B1088">
        <f>IF($A1088="","",LEFT(Calc!$E1092,4)&amp;MID(Calc!$E1092,6,2)&amp;RIGHT(Calc!$E1092,2)&amp;Calc!$Q1092&amp;"|"&amp;"1"&amp;RIGHT("00000"&amp;1083,5))</f>
        <v/>
      </c>
      <c r="C1088">
        <f>IF($B1088="","",COUNTIFS(LdgSellerA,$A1088,LdgKeyA,"&lt;"&amp;$B1088)+COUNTIFS(LdgSellerB,$A1088,LdgKeyB,"&lt;"&amp;$B1088)+1)</f>
        <v/>
      </c>
      <c r="D1088">
        <f>IF($C1088="","",$A1088&amp;"|"&amp;RIGHT("000000"&amp;$C1088,6))</f>
        <v/>
      </c>
      <c r="F1088">
        <f>IF(Sync!$AH1088="","",IF(LEFT(UPPER(TRIM(Sync!$AH1088)),2)="SL",UPPER(TRIM(Sync!$AH1088)),""))</f>
        <v/>
      </c>
      <c r="G1088">
        <f>IF($F1088="","",IF(Sync!$AE1088="","",IF(ISNUMBER(Sync!$AE1088),IF(AND(Sync!$AE1088&gt;=10000101,Sync!$AE1088&lt;=99991231),INT(Sync!$AE1088/10000),""),IFERROR(VALUE(TRIM(LEFT(Sync!$AE1088,FIND("/",Sync!$AE1088)-1))),""))))</f>
        <v/>
      </c>
      <c r="H1088">
        <f>IF(OR($F1088="",$G1088=""),"",IF(ISNUMBER(Sync!$AE1088),INT(MOD(Sync!$AE1088,10000)/100),IFERROR(VALUE(TRIM(LEFT(MID(Sync!$AE1088,FIND("/",Sync!$AE1088)+1,20),FIND("/",MID(Sync!$AE1088,FIND("/",Sync!$AE1088)+1,20))-1))),"")))</f>
        <v/>
      </c>
      <c r="I1088">
        <f>IF(OR($F1088="",$G1088=""),"",IF(ISNUMBER(Sync!$AE1088),MOD(Sync!$AE1088,100),IFERROR(VALUE(TRIM(MID(MID(Sync!$AE1088,FIND("/",Sync!$AE1088)+1,20),FIND("/",MID(Sync!$AE1088,FIND("/",Sync!$AE1088)+1,20))+1,20))),"")))</f>
        <v/>
      </c>
      <c r="J1088">
        <f>IF($F1088="","",IF(OR($G1088="",$H1088="",$I1088="",$G1088&lt;1300,$G1088&gt;1500,$H1088&lt;1,$H1088&gt;12,$I1088&lt;1,$I1088&gt;31),"نامعتبر",RIGHT("0000"&amp;$G1088,4)&amp;"/"&amp;RIGHT("00"&amp;$H1088,2)&amp;"/"&amp;RIGHT("00"&amp;$I1088,2)))</f>
        <v/>
      </c>
      <c r="K1088">
        <f>IF(OR($F1088="",$J1088="",$J1088="نامعتبر"),"",LEFT($J1088,4)&amp;MID($J1088,6,2)&amp;RIGHT($J1088,2)&amp;$N1088&amp;"|"&amp;"2"&amp;RIGHT("00000"&amp;1083,5))</f>
        <v/>
      </c>
      <c r="L1088">
        <f>IF($K1088="","",COUNTIFS(LdgSellerA,$F1088,LdgKeyA,"&lt;"&amp;$K1088)+COUNTIFS(LdgSellerB,$F1088,LdgKeyB,"&lt;"&amp;$K1088)+1)</f>
        <v/>
      </c>
      <c r="M1088">
        <f>IF($L1088="","",$F1088&amp;"|"&amp;RIGHT("000000"&amp;$L1088,6))</f>
        <v/>
      </c>
      <c r="N1088">
        <f>IF($F1088="","",IF(Sync!$AF1088="","0000",IF(AND(ISNUMBER(Sync!$AF1088),Sync!$AF1088&gt;=0,Sync!$AF1088&lt;1),RIGHT("00"&amp;HOUR(Sync!$AF1088),2)&amp;RIGHT("00"&amp;MINUTE(Sync!$AF1088),2),IFERROR(RIGHT("00"&amp;VALUE(LEFT(Sync!$AF1088,FIND(":",Sync!$AF1088)-1)),2)&amp;RIGHT("00"&amp;VALUE(MID(Sync!$AF1088,FIND(":",Sync!$AF1088)+1,2)),2),"0000"))))</f>
        <v/>
      </c>
    </row>
    <row r="1089">
      <c r="A1089">
        <f>IF(OR(Calc!$E1093="",Calc!$E1093="نامعتبر",Calc!$G1093=""),"",Calc!$G1093)</f>
        <v/>
      </c>
      <c r="B1089">
        <f>IF($A1089="","",LEFT(Calc!$E1093,4)&amp;MID(Calc!$E1093,6,2)&amp;RIGHT(Calc!$E1093,2)&amp;Calc!$Q1093&amp;"|"&amp;"1"&amp;RIGHT("00000"&amp;1084,5))</f>
        <v/>
      </c>
      <c r="C1089">
        <f>IF($B1089="","",COUNTIFS(LdgSellerA,$A1089,LdgKeyA,"&lt;"&amp;$B1089)+COUNTIFS(LdgSellerB,$A1089,LdgKeyB,"&lt;"&amp;$B1089)+1)</f>
        <v/>
      </c>
      <c r="D1089">
        <f>IF($C1089="","",$A1089&amp;"|"&amp;RIGHT("000000"&amp;$C1089,6))</f>
        <v/>
      </c>
      <c r="F1089">
        <f>IF(Sync!$AH1089="","",IF(LEFT(UPPER(TRIM(Sync!$AH1089)),2)="SL",UPPER(TRIM(Sync!$AH1089)),""))</f>
        <v/>
      </c>
      <c r="G1089">
        <f>IF($F1089="","",IF(Sync!$AE1089="","",IF(ISNUMBER(Sync!$AE1089),IF(AND(Sync!$AE1089&gt;=10000101,Sync!$AE1089&lt;=99991231),INT(Sync!$AE1089/10000),""),IFERROR(VALUE(TRIM(LEFT(Sync!$AE1089,FIND("/",Sync!$AE1089)-1))),""))))</f>
        <v/>
      </c>
      <c r="H1089">
        <f>IF(OR($F1089="",$G1089=""),"",IF(ISNUMBER(Sync!$AE1089),INT(MOD(Sync!$AE1089,10000)/100),IFERROR(VALUE(TRIM(LEFT(MID(Sync!$AE1089,FIND("/",Sync!$AE1089)+1,20),FIND("/",MID(Sync!$AE1089,FIND("/",Sync!$AE1089)+1,20))-1))),"")))</f>
        <v/>
      </c>
      <c r="I1089">
        <f>IF(OR($F1089="",$G1089=""),"",IF(ISNUMBER(Sync!$AE1089),MOD(Sync!$AE1089,100),IFERROR(VALUE(TRIM(MID(MID(Sync!$AE1089,FIND("/",Sync!$AE1089)+1,20),FIND("/",MID(Sync!$AE1089,FIND("/",Sync!$AE1089)+1,20))+1,20))),"")))</f>
        <v/>
      </c>
      <c r="J1089">
        <f>IF($F1089="","",IF(OR($G1089="",$H1089="",$I1089="",$G1089&lt;1300,$G1089&gt;1500,$H1089&lt;1,$H1089&gt;12,$I1089&lt;1,$I1089&gt;31),"نامعتبر",RIGHT("0000"&amp;$G1089,4)&amp;"/"&amp;RIGHT("00"&amp;$H1089,2)&amp;"/"&amp;RIGHT("00"&amp;$I1089,2)))</f>
        <v/>
      </c>
      <c r="K1089">
        <f>IF(OR($F1089="",$J1089="",$J1089="نامعتبر"),"",LEFT($J1089,4)&amp;MID($J1089,6,2)&amp;RIGHT($J1089,2)&amp;$N1089&amp;"|"&amp;"2"&amp;RIGHT("00000"&amp;1084,5))</f>
        <v/>
      </c>
      <c r="L1089">
        <f>IF($K1089="","",COUNTIFS(LdgSellerA,$F1089,LdgKeyA,"&lt;"&amp;$K1089)+COUNTIFS(LdgSellerB,$F1089,LdgKeyB,"&lt;"&amp;$K1089)+1)</f>
        <v/>
      </c>
      <c r="M1089">
        <f>IF($L1089="","",$F1089&amp;"|"&amp;RIGHT("000000"&amp;$L1089,6))</f>
        <v/>
      </c>
      <c r="N1089">
        <f>IF($F1089="","",IF(Sync!$AF1089="","0000",IF(AND(ISNUMBER(Sync!$AF1089),Sync!$AF1089&gt;=0,Sync!$AF1089&lt;1),RIGHT("00"&amp;HOUR(Sync!$AF1089),2)&amp;RIGHT("00"&amp;MINUTE(Sync!$AF1089),2),IFERROR(RIGHT("00"&amp;VALUE(LEFT(Sync!$AF1089,FIND(":",Sync!$AF1089)-1)),2)&amp;RIGHT("00"&amp;VALUE(MID(Sync!$AF1089,FIND(":",Sync!$AF1089)+1,2)),2),"0000"))))</f>
        <v/>
      </c>
    </row>
    <row r="1090">
      <c r="A1090">
        <f>IF(OR(Calc!$E1094="",Calc!$E1094="نامعتبر",Calc!$G1094=""),"",Calc!$G1094)</f>
        <v/>
      </c>
      <c r="B1090">
        <f>IF($A1090="","",LEFT(Calc!$E1094,4)&amp;MID(Calc!$E1094,6,2)&amp;RIGHT(Calc!$E1094,2)&amp;Calc!$Q1094&amp;"|"&amp;"1"&amp;RIGHT("00000"&amp;1085,5))</f>
        <v/>
      </c>
      <c r="C1090">
        <f>IF($B1090="","",COUNTIFS(LdgSellerA,$A1090,LdgKeyA,"&lt;"&amp;$B1090)+COUNTIFS(LdgSellerB,$A1090,LdgKeyB,"&lt;"&amp;$B1090)+1)</f>
        <v/>
      </c>
      <c r="D1090">
        <f>IF($C1090="","",$A1090&amp;"|"&amp;RIGHT("000000"&amp;$C1090,6))</f>
        <v/>
      </c>
      <c r="F1090">
        <f>IF(Sync!$AH1090="","",IF(LEFT(UPPER(TRIM(Sync!$AH1090)),2)="SL",UPPER(TRIM(Sync!$AH1090)),""))</f>
        <v/>
      </c>
      <c r="G1090">
        <f>IF($F1090="","",IF(Sync!$AE1090="","",IF(ISNUMBER(Sync!$AE1090),IF(AND(Sync!$AE1090&gt;=10000101,Sync!$AE1090&lt;=99991231),INT(Sync!$AE1090/10000),""),IFERROR(VALUE(TRIM(LEFT(Sync!$AE1090,FIND("/",Sync!$AE1090)-1))),""))))</f>
        <v/>
      </c>
      <c r="H1090">
        <f>IF(OR($F1090="",$G1090=""),"",IF(ISNUMBER(Sync!$AE1090),INT(MOD(Sync!$AE1090,10000)/100),IFERROR(VALUE(TRIM(LEFT(MID(Sync!$AE1090,FIND("/",Sync!$AE1090)+1,20),FIND("/",MID(Sync!$AE1090,FIND("/",Sync!$AE1090)+1,20))-1))),"")))</f>
        <v/>
      </c>
      <c r="I1090">
        <f>IF(OR($F1090="",$G1090=""),"",IF(ISNUMBER(Sync!$AE1090),MOD(Sync!$AE1090,100),IFERROR(VALUE(TRIM(MID(MID(Sync!$AE1090,FIND("/",Sync!$AE1090)+1,20),FIND("/",MID(Sync!$AE1090,FIND("/",Sync!$AE1090)+1,20))+1,20))),"")))</f>
        <v/>
      </c>
      <c r="J1090">
        <f>IF($F1090="","",IF(OR($G1090="",$H1090="",$I1090="",$G1090&lt;1300,$G1090&gt;1500,$H1090&lt;1,$H1090&gt;12,$I1090&lt;1,$I1090&gt;31),"نامعتبر",RIGHT("0000"&amp;$G1090,4)&amp;"/"&amp;RIGHT("00"&amp;$H1090,2)&amp;"/"&amp;RIGHT("00"&amp;$I1090,2)))</f>
        <v/>
      </c>
      <c r="K1090">
        <f>IF(OR($F1090="",$J1090="",$J1090="نامعتبر"),"",LEFT($J1090,4)&amp;MID($J1090,6,2)&amp;RIGHT($J1090,2)&amp;$N1090&amp;"|"&amp;"2"&amp;RIGHT("00000"&amp;1085,5))</f>
        <v/>
      </c>
      <c r="L1090">
        <f>IF($K1090="","",COUNTIFS(LdgSellerA,$F1090,LdgKeyA,"&lt;"&amp;$K1090)+COUNTIFS(LdgSellerB,$F1090,LdgKeyB,"&lt;"&amp;$K1090)+1)</f>
        <v/>
      </c>
      <c r="M1090">
        <f>IF($L1090="","",$F1090&amp;"|"&amp;RIGHT("000000"&amp;$L1090,6))</f>
        <v/>
      </c>
      <c r="N1090">
        <f>IF($F1090="","",IF(Sync!$AF1090="","0000",IF(AND(ISNUMBER(Sync!$AF1090),Sync!$AF1090&gt;=0,Sync!$AF1090&lt;1),RIGHT("00"&amp;HOUR(Sync!$AF1090),2)&amp;RIGHT("00"&amp;MINUTE(Sync!$AF1090),2),IFERROR(RIGHT("00"&amp;VALUE(LEFT(Sync!$AF1090,FIND(":",Sync!$AF1090)-1)),2)&amp;RIGHT("00"&amp;VALUE(MID(Sync!$AF1090,FIND(":",Sync!$AF1090)+1,2)),2),"0000"))))</f>
        <v/>
      </c>
    </row>
    <row r="1091">
      <c r="A1091">
        <f>IF(OR(Calc!$E1095="",Calc!$E1095="نامعتبر",Calc!$G1095=""),"",Calc!$G1095)</f>
        <v/>
      </c>
      <c r="B1091">
        <f>IF($A1091="","",LEFT(Calc!$E1095,4)&amp;MID(Calc!$E1095,6,2)&amp;RIGHT(Calc!$E1095,2)&amp;Calc!$Q1095&amp;"|"&amp;"1"&amp;RIGHT("00000"&amp;1086,5))</f>
        <v/>
      </c>
      <c r="C1091">
        <f>IF($B1091="","",COUNTIFS(LdgSellerA,$A1091,LdgKeyA,"&lt;"&amp;$B1091)+COUNTIFS(LdgSellerB,$A1091,LdgKeyB,"&lt;"&amp;$B1091)+1)</f>
        <v/>
      </c>
      <c r="D1091">
        <f>IF($C1091="","",$A1091&amp;"|"&amp;RIGHT("000000"&amp;$C1091,6))</f>
        <v/>
      </c>
      <c r="F1091">
        <f>IF(Sync!$AH1091="","",IF(LEFT(UPPER(TRIM(Sync!$AH1091)),2)="SL",UPPER(TRIM(Sync!$AH1091)),""))</f>
        <v/>
      </c>
      <c r="G1091">
        <f>IF($F1091="","",IF(Sync!$AE1091="","",IF(ISNUMBER(Sync!$AE1091),IF(AND(Sync!$AE1091&gt;=10000101,Sync!$AE1091&lt;=99991231),INT(Sync!$AE1091/10000),""),IFERROR(VALUE(TRIM(LEFT(Sync!$AE1091,FIND("/",Sync!$AE1091)-1))),""))))</f>
        <v/>
      </c>
      <c r="H1091">
        <f>IF(OR($F1091="",$G1091=""),"",IF(ISNUMBER(Sync!$AE1091),INT(MOD(Sync!$AE1091,10000)/100),IFERROR(VALUE(TRIM(LEFT(MID(Sync!$AE1091,FIND("/",Sync!$AE1091)+1,20),FIND("/",MID(Sync!$AE1091,FIND("/",Sync!$AE1091)+1,20))-1))),"")))</f>
        <v/>
      </c>
      <c r="I1091">
        <f>IF(OR($F1091="",$G1091=""),"",IF(ISNUMBER(Sync!$AE1091),MOD(Sync!$AE1091,100),IFERROR(VALUE(TRIM(MID(MID(Sync!$AE1091,FIND("/",Sync!$AE1091)+1,20),FIND("/",MID(Sync!$AE1091,FIND("/",Sync!$AE1091)+1,20))+1,20))),"")))</f>
        <v/>
      </c>
      <c r="J1091">
        <f>IF($F1091="","",IF(OR($G1091="",$H1091="",$I1091="",$G1091&lt;1300,$G1091&gt;1500,$H1091&lt;1,$H1091&gt;12,$I1091&lt;1,$I1091&gt;31),"نامعتبر",RIGHT("0000"&amp;$G1091,4)&amp;"/"&amp;RIGHT("00"&amp;$H1091,2)&amp;"/"&amp;RIGHT("00"&amp;$I1091,2)))</f>
        <v/>
      </c>
      <c r="K1091">
        <f>IF(OR($F1091="",$J1091="",$J1091="نامعتبر"),"",LEFT($J1091,4)&amp;MID($J1091,6,2)&amp;RIGHT($J1091,2)&amp;$N1091&amp;"|"&amp;"2"&amp;RIGHT("00000"&amp;1086,5))</f>
        <v/>
      </c>
      <c r="L1091">
        <f>IF($K1091="","",COUNTIFS(LdgSellerA,$F1091,LdgKeyA,"&lt;"&amp;$K1091)+COUNTIFS(LdgSellerB,$F1091,LdgKeyB,"&lt;"&amp;$K1091)+1)</f>
        <v/>
      </c>
      <c r="M1091">
        <f>IF($L1091="","",$F1091&amp;"|"&amp;RIGHT("000000"&amp;$L1091,6))</f>
        <v/>
      </c>
      <c r="N1091">
        <f>IF($F1091="","",IF(Sync!$AF1091="","0000",IF(AND(ISNUMBER(Sync!$AF1091),Sync!$AF1091&gt;=0,Sync!$AF1091&lt;1),RIGHT("00"&amp;HOUR(Sync!$AF1091),2)&amp;RIGHT("00"&amp;MINUTE(Sync!$AF1091),2),IFERROR(RIGHT("00"&amp;VALUE(LEFT(Sync!$AF1091,FIND(":",Sync!$AF1091)-1)),2)&amp;RIGHT("00"&amp;VALUE(MID(Sync!$AF1091,FIND(":",Sync!$AF1091)+1,2)),2),"0000"))))</f>
        <v/>
      </c>
    </row>
    <row r="1092">
      <c r="A1092">
        <f>IF(OR(Calc!$E1096="",Calc!$E1096="نامعتبر",Calc!$G1096=""),"",Calc!$G1096)</f>
        <v/>
      </c>
      <c r="B1092">
        <f>IF($A1092="","",LEFT(Calc!$E1096,4)&amp;MID(Calc!$E1096,6,2)&amp;RIGHT(Calc!$E1096,2)&amp;Calc!$Q1096&amp;"|"&amp;"1"&amp;RIGHT("00000"&amp;1087,5))</f>
        <v/>
      </c>
      <c r="C1092">
        <f>IF($B1092="","",COUNTIFS(LdgSellerA,$A1092,LdgKeyA,"&lt;"&amp;$B1092)+COUNTIFS(LdgSellerB,$A1092,LdgKeyB,"&lt;"&amp;$B1092)+1)</f>
        <v/>
      </c>
      <c r="D1092">
        <f>IF($C1092="","",$A1092&amp;"|"&amp;RIGHT("000000"&amp;$C1092,6))</f>
        <v/>
      </c>
      <c r="F1092">
        <f>IF(Sync!$AH1092="","",IF(LEFT(UPPER(TRIM(Sync!$AH1092)),2)="SL",UPPER(TRIM(Sync!$AH1092)),""))</f>
        <v/>
      </c>
      <c r="G1092">
        <f>IF($F1092="","",IF(Sync!$AE1092="","",IF(ISNUMBER(Sync!$AE1092),IF(AND(Sync!$AE1092&gt;=10000101,Sync!$AE1092&lt;=99991231),INT(Sync!$AE1092/10000),""),IFERROR(VALUE(TRIM(LEFT(Sync!$AE1092,FIND("/",Sync!$AE1092)-1))),""))))</f>
        <v/>
      </c>
      <c r="H1092">
        <f>IF(OR($F1092="",$G1092=""),"",IF(ISNUMBER(Sync!$AE1092),INT(MOD(Sync!$AE1092,10000)/100),IFERROR(VALUE(TRIM(LEFT(MID(Sync!$AE1092,FIND("/",Sync!$AE1092)+1,20),FIND("/",MID(Sync!$AE1092,FIND("/",Sync!$AE1092)+1,20))-1))),"")))</f>
        <v/>
      </c>
      <c r="I1092">
        <f>IF(OR($F1092="",$G1092=""),"",IF(ISNUMBER(Sync!$AE1092),MOD(Sync!$AE1092,100),IFERROR(VALUE(TRIM(MID(MID(Sync!$AE1092,FIND("/",Sync!$AE1092)+1,20),FIND("/",MID(Sync!$AE1092,FIND("/",Sync!$AE1092)+1,20))+1,20))),"")))</f>
        <v/>
      </c>
      <c r="J1092">
        <f>IF($F1092="","",IF(OR($G1092="",$H1092="",$I1092="",$G1092&lt;1300,$G1092&gt;1500,$H1092&lt;1,$H1092&gt;12,$I1092&lt;1,$I1092&gt;31),"نامعتبر",RIGHT("0000"&amp;$G1092,4)&amp;"/"&amp;RIGHT("00"&amp;$H1092,2)&amp;"/"&amp;RIGHT("00"&amp;$I1092,2)))</f>
        <v/>
      </c>
      <c r="K1092">
        <f>IF(OR($F1092="",$J1092="",$J1092="نامعتبر"),"",LEFT($J1092,4)&amp;MID($J1092,6,2)&amp;RIGHT($J1092,2)&amp;$N1092&amp;"|"&amp;"2"&amp;RIGHT("00000"&amp;1087,5))</f>
        <v/>
      </c>
      <c r="L1092">
        <f>IF($K1092="","",COUNTIFS(LdgSellerA,$F1092,LdgKeyA,"&lt;"&amp;$K1092)+COUNTIFS(LdgSellerB,$F1092,LdgKeyB,"&lt;"&amp;$K1092)+1)</f>
        <v/>
      </c>
      <c r="M1092">
        <f>IF($L1092="","",$F1092&amp;"|"&amp;RIGHT("000000"&amp;$L1092,6))</f>
        <v/>
      </c>
      <c r="N1092">
        <f>IF($F1092="","",IF(Sync!$AF1092="","0000",IF(AND(ISNUMBER(Sync!$AF1092),Sync!$AF1092&gt;=0,Sync!$AF1092&lt;1),RIGHT("00"&amp;HOUR(Sync!$AF1092),2)&amp;RIGHT("00"&amp;MINUTE(Sync!$AF1092),2),IFERROR(RIGHT("00"&amp;VALUE(LEFT(Sync!$AF1092,FIND(":",Sync!$AF1092)-1)),2)&amp;RIGHT("00"&amp;VALUE(MID(Sync!$AF1092,FIND(":",Sync!$AF1092)+1,2)),2),"0000"))))</f>
        <v/>
      </c>
    </row>
    <row r="1093">
      <c r="A1093">
        <f>IF(OR(Calc!$E1097="",Calc!$E1097="نامعتبر",Calc!$G1097=""),"",Calc!$G1097)</f>
        <v/>
      </c>
      <c r="B1093">
        <f>IF($A1093="","",LEFT(Calc!$E1097,4)&amp;MID(Calc!$E1097,6,2)&amp;RIGHT(Calc!$E1097,2)&amp;Calc!$Q1097&amp;"|"&amp;"1"&amp;RIGHT("00000"&amp;1088,5))</f>
        <v/>
      </c>
      <c r="C1093">
        <f>IF($B1093="","",COUNTIFS(LdgSellerA,$A1093,LdgKeyA,"&lt;"&amp;$B1093)+COUNTIFS(LdgSellerB,$A1093,LdgKeyB,"&lt;"&amp;$B1093)+1)</f>
        <v/>
      </c>
      <c r="D1093">
        <f>IF($C1093="","",$A1093&amp;"|"&amp;RIGHT("000000"&amp;$C1093,6))</f>
        <v/>
      </c>
      <c r="F1093">
        <f>IF(Sync!$AH1093="","",IF(LEFT(UPPER(TRIM(Sync!$AH1093)),2)="SL",UPPER(TRIM(Sync!$AH1093)),""))</f>
        <v/>
      </c>
      <c r="G1093">
        <f>IF($F1093="","",IF(Sync!$AE1093="","",IF(ISNUMBER(Sync!$AE1093),IF(AND(Sync!$AE1093&gt;=10000101,Sync!$AE1093&lt;=99991231),INT(Sync!$AE1093/10000),""),IFERROR(VALUE(TRIM(LEFT(Sync!$AE1093,FIND("/",Sync!$AE1093)-1))),""))))</f>
        <v/>
      </c>
      <c r="H1093">
        <f>IF(OR($F1093="",$G1093=""),"",IF(ISNUMBER(Sync!$AE1093),INT(MOD(Sync!$AE1093,10000)/100),IFERROR(VALUE(TRIM(LEFT(MID(Sync!$AE1093,FIND("/",Sync!$AE1093)+1,20),FIND("/",MID(Sync!$AE1093,FIND("/",Sync!$AE1093)+1,20))-1))),"")))</f>
        <v/>
      </c>
      <c r="I1093">
        <f>IF(OR($F1093="",$G1093=""),"",IF(ISNUMBER(Sync!$AE1093),MOD(Sync!$AE1093,100),IFERROR(VALUE(TRIM(MID(MID(Sync!$AE1093,FIND("/",Sync!$AE1093)+1,20),FIND("/",MID(Sync!$AE1093,FIND("/",Sync!$AE1093)+1,20))+1,20))),"")))</f>
        <v/>
      </c>
      <c r="J1093">
        <f>IF($F1093="","",IF(OR($G1093="",$H1093="",$I1093="",$G1093&lt;1300,$G1093&gt;1500,$H1093&lt;1,$H1093&gt;12,$I1093&lt;1,$I1093&gt;31),"نامعتبر",RIGHT("0000"&amp;$G1093,4)&amp;"/"&amp;RIGHT("00"&amp;$H1093,2)&amp;"/"&amp;RIGHT("00"&amp;$I1093,2)))</f>
        <v/>
      </c>
      <c r="K1093">
        <f>IF(OR($F1093="",$J1093="",$J1093="نامعتبر"),"",LEFT($J1093,4)&amp;MID($J1093,6,2)&amp;RIGHT($J1093,2)&amp;$N1093&amp;"|"&amp;"2"&amp;RIGHT("00000"&amp;1088,5))</f>
        <v/>
      </c>
      <c r="L1093">
        <f>IF($K1093="","",COUNTIFS(LdgSellerA,$F1093,LdgKeyA,"&lt;"&amp;$K1093)+COUNTIFS(LdgSellerB,$F1093,LdgKeyB,"&lt;"&amp;$K1093)+1)</f>
        <v/>
      </c>
      <c r="M1093">
        <f>IF($L1093="","",$F1093&amp;"|"&amp;RIGHT("000000"&amp;$L1093,6))</f>
        <v/>
      </c>
      <c r="N1093">
        <f>IF($F1093="","",IF(Sync!$AF1093="","0000",IF(AND(ISNUMBER(Sync!$AF1093),Sync!$AF1093&gt;=0,Sync!$AF1093&lt;1),RIGHT("00"&amp;HOUR(Sync!$AF1093),2)&amp;RIGHT("00"&amp;MINUTE(Sync!$AF1093),2),IFERROR(RIGHT("00"&amp;VALUE(LEFT(Sync!$AF1093,FIND(":",Sync!$AF1093)-1)),2)&amp;RIGHT("00"&amp;VALUE(MID(Sync!$AF1093,FIND(":",Sync!$AF1093)+1,2)),2),"0000"))))</f>
        <v/>
      </c>
    </row>
    <row r="1094">
      <c r="A1094">
        <f>IF(OR(Calc!$E1098="",Calc!$E1098="نامعتبر",Calc!$G1098=""),"",Calc!$G1098)</f>
        <v/>
      </c>
      <c r="B1094">
        <f>IF($A1094="","",LEFT(Calc!$E1098,4)&amp;MID(Calc!$E1098,6,2)&amp;RIGHT(Calc!$E1098,2)&amp;Calc!$Q1098&amp;"|"&amp;"1"&amp;RIGHT("00000"&amp;1089,5))</f>
        <v/>
      </c>
      <c r="C1094">
        <f>IF($B1094="","",COUNTIFS(LdgSellerA,$A1094,LdgKeyA,"&lt;"&amp;$B1094)+COUNTIFS(LdgSellerB,$A1094,LdgKeyB,"&lt;"&amp;$B1094)+1)</f>
        <v/>
      </c>
      <c r="D1094">
        <f>IF($C1094="","",$A1094&amp;"|"&amp;RIGHT("000000"&amp;$C1094,6))</f>
        <v/>
      </c>
      <c r="F1094">
        <f>IF(Sync!$AH1094="","",IF(LEFT(UPPER(TRIM(Sync!$AH1094)),2)="SL",UPPER(TRIM(Sync!$AH1094)),""))</f>
        <v/>
      </c>
      <c r="G1094">
        <f>IF($F1094="","",IF(Sync!$AE1094="","",IF(ISNUMBER(Sync!$AE1094),IF(AND(Sync!$AE1094&gt;=10000101,Sync!$AE1094&lt;=99991231),INT(Sync!$AE1094/10000),""),IFERROR(VALUE(TRIM(LEFT(Sync!$AE1094,FIND("/",Sync!$AE1094)-1))),""))))</f>
        <v/>
      </c>
      <c r="H1094">
        <f>IF(OR($F1094="",$G1094=""),"",IF(ISNUMBER(Sync!$AE1094),INT(MOD(Sync!$AE1094,10000)/100),IFERROR(VALUE(TRIM(LEFT(MID(Sync!$AE1094,FIND("/",Sync!$AE1094)+1,20),FIND("/",MID(Sync!$AE1094,FIND("/",Sync!$AE1094)+1,20))-1))),"")))</f>
        <v/>
      </c>
      <c r="I1094">
        <f>IF(OR($F1094="",$G1094=""),"",IF(ISNUMBER(Sync!$AE1094),MOD(Sync!$AE1094,100),IFERROR(VALUE(TRIM(MID(MID(Sync!$AE1094,FIND("/",Sync!$AE1094)+1,20),FIND("/",MID(Sync!$AE1094,FIND("/",Sync!$AE1094)+1,20))+1,20))),"")))</f>
        <v/>
      </c>
      <c r="J1094">
        <f>IF($F1094="","",IF(OR($G1094="",$H1094="",$I1094="",$G1094&lt;1300,$G1094&gt;1500,$H1094&lt;1,$H1094&gt;12,$I1094&lt;1,$I1094&gt;31),"نامعتبر",RIGHT("0000"&amp;$G1094,4)&amp;"/"&amp;RIGHT("00"&amp;$H1094,2)&amp;"/"&amp;RIGHT("00"&amp;$I1094,2)))</f>
        <v/>
      </c>
      <c r="K1094">
        <f>IF(OR($F1094="",$J1094="",$J1094="نامعتبر"),"",LEFT($J1094,4)&amp;MID($J1094,6,2)&amp;RIGHT($J1094,2)&amp;$N1094&amp;"|"&amp;"2"&amp;RIGHT("00000"&amp;1089,5))</f>
        <v/>
      </c>
      <c r="L1094">
        <f>IF($K1094="","",COUNTIFS(LdgSellerA,$F1094,LdgKeyA,"&lt;"&amp;$K1094)+COUNTIFS(LdgSellerB,$F1094,LdgKeyB,"&lt;"&amp;$K1094)+1)</f>
        <v/>
      </c>
      <c r="M1094">
        <f>IF($L1094="","",$F1094&amp;"|"&amp;RIGHT("000000"&amp;$L1094,6))</f>
        <v/>
      </c>
      <c r="N1094">
        <f>IF($F1094="","",IF(Sync!$AF1094="","0000",IF(AND(ISNUMBER(Sync!$AF1094),Sync!$AF1094&gt;=0,Sync!$AF1094&lt;1),RIGHT("00"&amp;HOUR(Sync!$AF1094),2)&amp;RIGHT("00"&amp;MINUTE(Sync!$AF1094),2),IFERROR(RIGHT("00"&amp;VALUE(LEFT(Sync!$AF1094,FIND(":",Sync!$AF1094)-1)),2)&amp;RIGHT("00"&amp;VALUE(MID(Sync!$AF1094,FIND(":",Sync!$AF1094)+1,2)),2),"0000"))))</f>
        <v/>
      </c>
    </row>
    <row r="1095">
      <c r="A1095">
        <f>IF(OR(Calc!$E1099="",Calc!$E1099="نامعتبر",Calc!$G1099=""),"",Calc!$G1099)</f>
        <v/>
      </c>
      <c r="B1095">
        <f>IF($A1095="","",LEFT(Calc!$E1099,4)&amp;MID(Calc!$E1099,6,2)&amp;RIGHT(Calc!$E1099,2)&amp;Calc!$Q1099&amp;"|"&amp;"1"&amp;RIGHT("00000"&amp;1090,5))</f>
        <v/>
      </c>
      <c r="C1095">
        <f>IF($B1095="","",COUNTIFS(LdgSellerA,$A1095,LdgKeyA,"&lt;"&amp;$B1095)+COUNTIFS(LdgSellerB,$A1095,LdgKeyB,"&lt;"&amp;$B1095)+1)</f>
        <v/>
      </c>
      <c r="D1095">
        <f>IF($C1095="","",$A1095&amp;"|"&amp;RIGHT("000000"&amp;$C1095,6))</f>
        <v/>
      </c>
      <c r="F1095">
        <f>IF(Sync!$AH1095="","",IF(LEFT(UPPER(TRIM(Sync!$AH1095)),2)="SL",UPPER(TRIM(Sync!$AH1095)),""))</f>
        <v/>
      </c>
      <c r="G1095">
        <f>IF($F1095="","",IF(Sync!$AE1095="","",IF(ISNUMBER(Sync!$AE1095),IF(AND(Sync!$AE1095&gt;=10000101,Sync!$AE1095&lt;=99991231),INT(Sync!$AE1095/10000),""),IFERROR(VALUE(TRIM(LEFT(Sync!$AE1095,FIND("/",Sync!$AE1095)-1))),""))))</f>
        <v/>
      </c>
      <c r="H1095">
        <f>IF(OR($F1095="",$G1095=""),"",IF(ISNUMBER(Sync!$AE1095),INT(MOD(Sync!$AE1095,10000)/100),IFERROR(VALUE(TRIM(LEFT(MID(Sync!$AE1095,FIND("/",Sync!$AE1095)+1,20),FIND("/",MID(Sync!$AE1095,FIND("/",Sync!$AE1095)+1,20))-1))),"")))</f>
        <v/>
      </c>
      <c r="I1095">
        <f>IF(OR($F1095="",$G1095=""),"",IF(ISNUMBER(Sync!$AE1095),MOD(Sync!$AE1095,100),IFERROR(VALUE(TRIM(MID(MID(Sync!$AE1095,FIND("/",Sync!$AE1095)+1,20),FIND("/",MID(Sync!$AE1095,FIND("/",Sync!$AE1095)+1,20))+1,20))),"")))</f>
        <v/>
      </c>
      <c r="J1095">
        <f>IF($F1095="","",IF(OR($G1095="",$H1095="",$I1095="",$G1095&lt;1300,$G1095&gt;1500,$H1095&lt;1,$H1095&gt;12,$I1095&lt;1,$I1095&gt;31),"نامعتبر",RIGHT("0000"&amp;$G1095,4)&amp;"/"&amp;RIGHT("00"&amp;$H1095,2)&amp;"/"&amp;RIGHT("00"&amp;$I1095,2)))</f>
        <v/>
      </c>
      <c r="K1095">
        <f>IF(OR($F1095="",$J1095="",$J1095="نامعتبر"),"",LEFT($J1095,4)&amp;MID($J1095,6,2)&amp;RIGHT($J1095,2)&amp;$N1095&amp;"|"&amp;"2"&amp;RIGHT("00000"&amp;1090,5))</f>
        <v/>
      </c>
      <c r="L1095">
        <f>IF($K1095="","",COUNTIFS(LdgSellerA,$F1095,LdgKeyA,"&lt;"&amp;$K1095)+COUNTIFS(LdgSellerB,$F1095,LdgKeyB,"&lt;"&amp;$K1095)+1)</f>
        <v/>
      </c>
      <c r="M1095">
        <f>IF($L1095="","",$F1095&amp;"|"&amp;RIGHT("000000"&amp;$L1095,6))</f>
        <v/>
      </c>
      <c r="N1095">
        <f>IF($F1095="","",IF(Sync!$AF1095="","0000",IF(AND(ISNUMBER(Sync!$AF1095),Sync!$AF1095&gt;=0,Sync!$AF1095&lt;1),RIGHT("00"&amp;HOUR(Sync!$AF1095),2)&amp;RIGHT("00"&amp;MINUTE(Sync!$AF1095),2),IFERROR(RIGHT("00"&amp;VALUE(LEFT(Sync!$AF1095,FIND(":",Sync!$AF1095)-1)),2)&amp;RIGHT("00"&amp;VALUE(MID(Sync!$AF1095,FIND(":",Sync!$AF1095)+1,2)),2),"0000"))))</f>
        <v/>
      </c>
    </row>
    <row r="1096">
      <c r="A1096">
        <f>IF(OR(Calc!$E1100="",Calc!$E1100="نامعتبر",Calc!$G1100=""),"",Calc!$G1100)</f>
        <v/>
      </c>
      <c r="B1096">
        <f>IF($A1096="","",LEFT(Calc!$E1100,4)&amp;MID(Calc!$E1100,6,2)&amp;RIGHT(Calc!$E1100,2)&amp;Calc!$Q1100&amp;"|"&amp;"1"&amp;RIGHT("00000"&amp;1091,5))</f>
        <v/>
      </c>
      <c r="C1096">
        <f>IF($B1096="","",COUNTIFS(LdgSellerA,$A1096,LdgKeyA,"&lt;"&amp;$B1096)+COUNTIFS(LdgSellerB,$A1096,LdgKeyB,"&lt;"&amp;$B1096)+1)</f>
        <v/>
      </c>
      <c r="D1096">
        <f>IF($C1096="","",$A1096&amp;"|"&amp;RIGHT("000000"&amp;$C1096,6))</f>
        <v/>
      </c>
      <c r="F1096">
        <f>IF(Sync!$AH1096="","",IF(LEFT(UPPER(TRIM(Sync!$AH1096)),2)="SL",UPPER(TRIM(Sync!$AH1096)),""))</f>
        <v/>
      </c>
      <c r="G1096">
        <f>IF($F1096="","",IF(Sync!$AE1096="","",IF(ISNUMBER(Sync!$AE1096),IF(AND(Sync!$AE1096&gt;=10000101,Sync!$AE1096&lt;=99991231),INT(Sync!$AE1096/10000),""),IFERROR(VALUE(TRIM(LEFT(Sync!$AE1096,FIND("/",Sync!$AE1096)-1))),""))))</f>
        <v/>
      </c>
      <c r="H1096">
        <f>IF(OR($F1096="",$G1096=""),"",IF(ISNUMBER(Sync!$AE1096),INT(MOD(Sync!$AE1096,10000)/100),IFERROR(VALUE(TRIM(LEFT(MID(Sync!$AE1096,FIND("/",Sync!$AE1096)+1,20),FIND("/",MID(Sync!$AE1096,FIND("/",Sync!$AE1096)+1,20))-1))),"")))</f>
        <v/>
      </c>
      <c r="I1096">
        <f>IF(OR($F1096="",$G1096=""),"",IF(ISNUMBER(Sync!$AE1096),MOD(Sync!$AE1096,100),IFERROR(VALUE(TRIM(MID(MID(Sync!$AE1096,FIND("/",Sync!$AE1096)+1,20),FIND("/",MID(Sync!$AE1096,FIND("/",Sync!$AE1096)+1,20))+1,20))),"")))</f>
        <v/>
      </c>
      <c r="J1096">
        <f>IF($F1096="","",IF(OR($G1096="",$H1096="",$I1096="",$G1096&lt;1300,$G1096&gt;1500,$H1096&lt;1,$H1096&gt;12,$I1096&lt;1,$I1096&gt;31),"نامعتبر",RIGHT("0000"&amp;$G1096,4)&amp;"/"&amp;RIGHT("00"&amp;$H1096,2)&amp;"/"&amp;RIGHT("00"&amp;$I1096,2)))</f>
        <v/>
      </c>
      <c r="K1096">
        <f>IF(OR($F1096="",$J1096="",$J1096="نامعتبر"),"",LEFT($J1096,4)&amp;MID($J1096,6,2)&amp;RIGHT($J1096,2)&amp;$N1096&amp;"|"&amp;"2"&amp;RIGHT("00000"&amp;1091,5))</f>
        <v/>
      </c>
      <c r="L1096">
        <f>IF($K1096="","",COUNTIFS(LdgSellerA,$F1096,LdgKeyA,"&lt;"&amp;$K1096)+COUNTIFS(LdgSellerB,$F1096,LdgKeyB,"&lt;"&amp;$K1096)+1)</f>
        <v/>
      </c>
      <c r="M1096">
        <f>IF($L1096="","",$F1096&amp;"|"&amp;RIGHT("000000"&amp;$L1096,6))</f>
        <v/>
      </c>
      <c r="N1096">
        <f>IF($F1096="","",IF(Sync!$AF1096="","0000",IF(AND(ISNUMBER(Sync!$AF1096),Sync!$AF1096&gt;=0,Sync!$AF1096&lt;1),RIGHT("00"&amp;HOUR(Sync!$AF1096),2)&amp;RIGHT("00"&amp;MINUTE(Sync!$AF1096),2),IFERROR(RIGHT("00"&amp;VALUE(LEFT(Sync!$AF1096,FIND(":",Sync!$AF1096)-1)),2)&amp;RIGHT("00"&amp;VALUE(MID(Sync!$AF1096,FIND(":",Sync!$AF1096)+1,2)),2),"0000"))))</f>
        <v/>
      </c>
    </row>
    <row r="1097">
      <c r="A1097">
        <f>IF(OR(Calc!$E1101="",Calc!$E1101="نامعتبر",Calc!$G1101=""),"",Calc!$G1101)</f>
        <v/>
      </c>
      <c r="B1097">
        <f>IF($A1097="","",LEFT(Calc!$E1101,4)&amp;MID(Calc!$E1101,6,2)&amp;RIGHT(Calc!$E1101,2)&amp;Calc!$Q1101&amp;"|"&amp;"1"&amp;RIGHT("00000"&amp;1092,5))</f>
        <v/>
      </c>
      <c r="C1097">
        <f>IF($B1097="","",COUNTIFS(LdgSellerA,$A1097,LdgKeyA,"&lt;"&amp;$B1097)+COUNTIFS(LdgSellerB,$A1097,LdgKeyB,"&lt;"&amp;$B1097)+1)</f>
        <v/>
      </c>
      <c r="D1097">
        <f>IF($C1097="","",$A1097&amp;"|"&amp;RIGHT("000000"&amp;$C1097,6))</f>
        <v/>
      </c>
      <c r="F1097">
        <f>IF(Sync!$AH1097="","",IF(LEFT(UPPER(TRIM(Sync!$AH1097)),2)="SL",UPPER(TRIM(Sync!$AH1097)),""))</f>
        <v/>
      </c>
      <c r="G1097">
        <f>IF($F1097="","",IF(Sync!$AE1097="","",IF(ISNUMBER(Sync!$AE1097),IF(AND(Sync!$AE1097&gt;=10000101,Sync!$AE1097&lt;=99991231),INT(Sync!$AE1097/10000),""),IFERROR(VALUE(TRIM(LEFT(Sync!$AE1097,FIND("/",Sync!$AE1097)-1))),""))))</f>
        <v/>
      </c>
      <c r="H1097">
        <f>IF(OR($F1097="",$G1097=""),"",IF(ISNUMBER(Sync!$AE1097),INT(MOD(Sync!$AE1097,10000)/100),IFERROR(VALUE(TRIM(LEFT(MID(Sync!$AE1097,FIND("/",Sync!$AE1097)+1,20),FIND("/",MID(Sync!$AE1097,FIND("/",Sync!$AE1097)+1,20))-1))),"")))</f>
        <v/>
      </c>
      <c r="I1097">
        <f>IF(OR($F1097="",$G1097=""),"",IF(ISNUMBER(Sync!$AE1097),MOD(Sync!$AE1097,100),IFERROR(VALUE(TRIM(MID(MID(Sync!$AE1097,FIND("/",Sync!$AE1097)+1,20),FIND("/",MID(Sync!$AE1097,FIND("/",Sync!$AE1097)+1,20))+1,20))),"")))</f>
        <v/>
      </c>
      <c r="J1097">
        <f>IF($F1097="","",IF(OR($G1097="",$H1097="",$I1097="",$G1097&lt;1300,$G1097&gt;1500,$H1097&lt;1,$H1097&gt;12,$I1097&lt;1,$I1097&gt;31),"نامعتبر",RIGHT("0000"&amp;$G1097,4)&amp;"/"&amp;RIGHT("00"&amp;$H1097,2)&amp;"/"&amp;RIGHT("00"&amp;$I1097,2)))</f>
        <v/>
      </c>
      <c r="K1097">
        <f>IF(OR($F1097="",$J1097="",$J1097="نامعتبر"),"",LEFT($J1097,4)&amp;MID($J1097,6,2)&amp;RIGHT($J1097,2)&amp;$N1097&amp;"|"&amp;"2"&amp;RIGHT("00000"&amp;1092,5))</f>
        <v/>
      </c>
      <c r="L1097">
        <f>IF($K1097="","",COUNTIFS(LdgSellerA,$F1097,LdgKeyA,"&lt;"&amp;$K1097)+COUNTIFS(LdgSellerB,$F1097,LdgKeyB,"&lt;"&amp;$K1097)+1)</f>
        <v/>
      </c>
      <c r="M1097">
        <f>IF($L1097="","",$F1097&amp;"|"&amp;RIGHT("000000"&amp;$L1097,6))</f>
        <v/>
      </c>
      <c r="N1097">
        <f>IF($F1097="","",IF(Sync!$AF1097="","0000",IF(AND(ISNUMBER(Sync!$AF1097),Sync!$AF1097&gt;=0,Sync!$AF1097&lt;1),RIGHT("00"&amp;HOUR(Sync!$AF1097),2)&amp;RIGHT("00"&amp;MINUTE(Sync!$AF1097),2),IFERROR(RIGHT("00"&amp;VALUE(LEFT(Sync!$AF1097,FIND(":",Sync!$AF1097)-1)),2)&amp;RIGHT("00"&amp;VALUE(MID(Sync!$AF1097,FIND(":",Sync!$AF1097)+1,2)),2),"0000"))))</f>
        <v/>
      </c>
    </row>
    <row r="1098">
      <c r="A1098">
        <f>IF(OR(Calc!$E1102="",Calc!$E1102="نامعتبر",Calc!$G1102=""),"",Calc!$G1102)</f>
        <v/>
      </c>
      <c r="B1098">
        <f>IF($A1098="","",LEFT(Calc!$E1102,4)&amp;MID(Calc!$E1102,6,2)&amp;RIGHT(Calc!$E1102,2)&amp;Calc!$Q1102&amp;"|"&amp;"1"&amp;RIGHT("00000"&amp;1093,5))</f>
        <v/>
      </c>
      <c r="C1098">
        <f>IF($B1098="","",COUNTIFS(LdgSellerA,$A1098,LdgKeyA,"&lt;"&amp;$B1098)+COUNTIFS(LdgSellerB,$A1098,LdgKeyB,"&lt;"&amp;$B1098)+1)</f>
        <v/>
      </c>
      <c r="D1098">
        <f>IF($C1098="","",$A1098&amp;"|"&amp;RIGHT("000000"&amp;$C1098,6))</f>
        <v/>
      </c>
      <c r="F1098">
        <f>IF(Sync!$AH1098="","",IF(LEFT(UPPER(TRIM(Sync!$AH1098)),2)="SL",UPPER(TRIM(Sync!$AH1098)),""))</f>
        <v/>
      </c>
      <c r="G1098">
        <f>IF($F1098="","",IF(Sync!$AE1098="","",IF(ISNUMBER(Sync!$AE1098),IF(AND(Sync!$AE1098&gt;=10000101,Sync!$AE1098&lt;=99991231),INT(Sync!$AE1098/10000),""),IFERROR(VALUE(TRIM(LEFT(Sync!$AE1098,FIND("/",Sync!$AE1098)-1))),""))))</f>
        <v/>
      </c>
      <c r="H1098">
        <f>IF(OR($F1098="",$G1098=""),"",IF(ISNUMBER(Sync!$AE1098),INT(MOD(Sync!$AE1098,10000)/100),IFERROR(VALUE(TRIM(LEFT(MID(Sync!$AE1098,FIND("/",Sync!$AE1098)+1,20),FIND("/",MID(Sync!$AE1098,FIND("/",Sync!$AE1098)+1,20))-1))),"")))</f>
        <v/>
      </c>
      <c r="I1098">
        <f>IF(OR($F1098="",$G1098=""),"",IF(ISNUMBER(Sync!$AE1098),MOD(Sync!$AE1098,100),IFERROR(VALUE(TRIM(MID(MID(Sync!$AE1098,FIND("/",Sync!$AE1098)+1,20),FIND("/",MID(Sync!$AE1098,FIND("/",Sync!$AE1098)+1,20))+1,20))),"")))</f>
        <v/>
      </c>
      <c r="J1098">
        <f>IF($F1098="","",IF(OR($G1098="",$H1098="",$I1098="",$G1098&lt;1300,$G1098&gt;1500,$H1098&lt;1,$H1098&gt;12,$I1098&lt;1,$I1098&gt;31),"نامعتبر",RIGHT("0000"&amp;$G1098,4)&amp;"/"&amp;RIGHT("00"&amp;$H1098,2)&amp;"/"&amp;RIGHT("00"&amp;$I1098,2)))</f>
        <v/>
      </c>
      <c r="K1098">
        <f>IF(OR($F1098="",$J1098="",$J1098="نامعتبر"),"",LEFT($J1098,4)&amp;MID($J1098,6,2)&amp;RIGHT($J1098,2)&amp;$N1098&amp;"|"&amp;"2"&amp;RIGHT("00000"&amp;1093,5))</f>
        <v/>
      </c>
      <c r="L1098">
        <f>IF($K1098="","",COUNTIFS(LdgSellerA,$F1098,LdgKeyA,"&lt;"&amp;$K1098)+COUNTIFS(LdgSellerB,$F1098,LdgKeyB,"&lt;"&amp;$K1098)+1)</f>
        <v/>
      </c>
      <c r="M1098">
        <f>IF($L1098="","",$F1098&amp;"|"&amp;RIGHT("000000"&amp;$L1098,6))</f>
        <v/>
      </c>
      <c r="N1098">
        <f>IF($F1098="","",IF(Sync!$AF1098="","0000",IF(AND(ISNUMBER(Sync!$AF1098),Sync!$AF1098&gt;=0,Sync!$AF1098&lt;1),RIGHT("00"&amp;HOUR(Sync!$AF1098),2)&amp;RIGHT("00"&amp;MINUTE(Sync!$AF1098),2),IFERROR(RIGHT("00"&amp;VALUE(LEFT(Sync!$AF1098,FIND(":",Sync!$AF1098)-1)),2)&amp;RIGHT("00"&amp;VALUE(MID(Sync!$AF1098,FIND(":",Sync!$AF1098)+1,2)),2),"0000"))))</f>
        <v/>
      </c>
    </row>
    <row r="1099">
      <c r="A1099">
        <f>IF(OR(Calc!$E1103="",Calc!$E1103="نامعتبر",Calc!$G1103=""),"",Calc!$G1103)</f>
        <v/>
      </c>
      <c r="B1099">
        <f>IF($A1099="","",LEFT(Calc!$E1103,4)&amp;MID(Calc!$E1103,6,2)&amp;RIGHT(Calc!$E1103,2)&amp;Calc!$Q1103&amp;"|"&amp;"1"&amp;RIGHT("00000"&amp;1094,5))</f>
        <v/>
      </c>
      <c r="C1099">
        <f>IF($B1099="","",COUNTIFS(LdgSellerA,$A1099,LdgKeyA,"&lt;"&amp;$B1099)+COUNTIFS(LdgSellerB,$A1099,LdgKeyB,"&lt;"&amp;$B1099)+1)</f>
        <v/>
      </c>
      <c r="D1099">
        <f>IF($C1099="","",$A1099&amp;"|"&amp;RIGHT("000000"&amp;$C1099,6))</f>
        <v/>
      </c>
      <c r="F1099">
        <f>IF(Sync!$AH1099="","",IF(LEFT(UPPER(TRIM(Sync!$AH1099)),2)="SL",UPPER(TRIM(Sync!$AH1099)),""))</f>
        <v/>
      </c>
      <c r="G1099">
        <f>IF($F1099="","",IF(Sync!$AE1099="","",IF(ISNUMBER(Sync!$AE1099),IF(AND(Sync!$AE1099&gt;=10000101,Sync!$AE1099&lt;=99991231),INT(Sync!$AE1099/10000),""),IFERROR(VALUE(TRIM(LEFT(Sync!$AE1099,FIND("/",Sync!$AE1099)-1))),""))))</f>
        <v/>
      </c>
      <c r="H1099">
        <f>IF(OR($F1099="",$G1099=""),"",IF(ISNUMBER(Sync!$AE1099),INT(MOD(Sync!$AE1099,10000)/100),IFERROR(VALUE(TRIM(LEFT(MID(Sync!$AE1099,FIND("/",Sync!$AE1099)+1,20),FIND("/",MID(Sync!$AE1099,FIND("/",Sync!$AE1099)+1,20))-1))),"")))</f>
        <v/>
      </c>
      <c r="I1099">
        <f>IF(OR($F1099="",$G1099=""),"",IF(ISNUMBER(Sync!$AE1099),MOD(Sync!$AE1099,100),IFERROR(VALUE(TRIM(MID(MID(Sync!$AE1099,FIND("/",Sync!$AE1099)+1,20),FIND("/",MID(Sync!$AE1099,FIND("/",Sync!$AE1099)+1,20))+1,20))),"")))</f>
        <v/>
      </c>
      <c r="J1099">
        <f>IF($F1099="","",IF(OR($G1099="",$H1099="",$I1099="",$G1099&lt;1300,$G1099&gt;1500,$H1099&lt;1,$H1099&gt;12,$I1099&lt;1,$I1099&gt;31),"نامعتبر",RIGHT("0000"&amp;$G1099,4)&amp;"/"&amp;RIGHT("00"&amp;$H1099,2)&amp;"/"&amp;RIGHT("00"&amp;$I1099,2)))</f>
        <v/>
      </c>
      <c r="K1099">
        <f>IF(OR($F1099="",$J1099="",$J1099="نامعتبر"),"",LEFT($J1099,4)&amp;MID($J1099,6,2)&amp;RIGHT($J1099,2)&amp;$N1099&amp;"|"&amp;"2"&amp;RIGHT("00000"&amp;1094,5))</f>
        <v/>
      </c>
      <c r="L1099">
        <f>IF($K1099="","",COUNTIFS(LdgSellerA,$F1099,LdgKeyA,"&lt;"&amp;$K1099)+COUNTIFS(LdgSellerB,$F1099,LdgKeyB,"&lt;"&amp;$K1099)+1)</f>
        <v/>
      </c>
      <c r="M1099">
        <f>IF($L1099="","",$F1099&amp;"|"&amp;RIGHT("000000"&amp;$L1099,6))</f>
        <v/>
      </c>
      <c r="N1099">
        <f>IF($F1099="","",IF(Sync!$AF1099="","0000",IF(AND(ISNUMBER(Sync!$AF1099),Sync!$AF1099&gt;=0,Sync!$AF1099&lt;1),RIGHT("00"&amp;HOUR(Sync!$AF1099),2)&amp;RIGHT("00"&amp;MINUTE(Sync!$AF1099),2),IFERROR(RIGHT("00"&amp;VALUE(LEFT(Sync!$AF1099,FIND(":",Sync!$AF1099)-1)),2)&amp;RIGHT("00"&amp;VALUE(MID(Sync!$AF1099,FIND(":",Sync!$AF1099)+1,2)),2),"0000"))))</f>
        <v/>
      </c>
    </row>
    <row r="1100">
      <c r="A1100">
        <f>IF(OR(Calc!$E1104="",Calc!$E1104="نامعتبر",Calc!$G1104=""),"",Calc!$G1104)</f>
        <v/>
      </c>
      <c r="B1100">
        <f>IF($A1100="","",LEFT(Calc!$E1104,4)&amp;MID(Calc!$E1104,6,2)&amp;RIGHT(Calc!$E1104,2)&amp;Calc!$Q1104&amp;"|"&amp;"1"&amp;RIGHT("00000"&amp;1095,5))</f>
        <v/>
      </c>
      <c r="C1100">
        <f>IF($B1100="","",COUNTIFS(LdgSellerA,$A1100,LdgKeyA,"&lt;"&amp;$B1100)+COUNTIFS(LdgSellerB,$A1100,LdgKeyB,"&lt;"&amp;$B1100)+1)</f>
        <v/>
      </c>
      <c r="D1100">
        <f>IF($C1100="","",$A1100&amp;"|"&amp;RIGHT("000000"&amp;$C1100,6))</f>
        <v/>
      </c>
      <c r="F1100">
        <f>IF(Sync!$AH1100="","",IF(LEFT(UPPER(TRIM(Sync!$AH1100)),2)="SL",UPPER(TRIM(Sync!$AH1100)),""))</f>
        <v/>
      </c>
      <c r="G1100">
        <f>IF($F1100="","",IF(Sync!$AE1100="","",IF(ISNUMBER(Sync!$AE1100),IF(AND(Sync!$AE1100&gt;=10000101,Sync!$AE1100&lt;=99991231),INT(Sync!$AE1100/10000),""),IFERROR(VALUE(TRIM(LEFT(Sync!$AE1100,FIND("/",Sync!$AE1100)-1))),""))))</f>
        <v/>
      </c>
      <c r="H1100">
        <f>IF(OR($F1100="",$G1100=""),"",IF(ISNUMBER(Sync!$AE1100),INT(MOD(Sync!$AE1100,10000)/100),IFERROR(VALUE(TRIM(LEFT(MID(Sync!$AE1100,FIND("/",Sync!$AE1100)+1,20),FIND("/",MID(Sync!$AE1100,FIND("/",Sync!$AE1100)+1,20))-1))),"")))</f>
        <v/>
      </c>
      <c r="I1100">
        <f>IF(OR($F1100="",$G1100=""),"",IF(ISNUMBER(Sync!$AE1100),MOD(Sync!$AE1100,100),IFERROR(VALUE(TRIM(MID(MID(Sync!$AE1100,FIND("/",Sync!$AE1100)+1,20),FIND("/",MID(Sync!$AE1100,FIND("/",Sync!$AE1100)+1,20))+1,20))),"")))</f>
        <v/>
      </c>
      <c r="J1100">
        <f>IF($F1100="","",IF(OR($G1100="",$H1100="",$I1100="",$G1100&lt;1300,$G1100&gt;1500,$H1100&lt;1,$H1100&gt;12,$I1100&lt;1,$I1100&gt;31),"نامعتبر",RIGHT("0000"&amp;$G1100,4)&amp;"/"&amp;RIGHT("00"&amp;$H1100,2)&amp;"/"&amp;RIGHT("00"&amp;$I1100,2)))</f>
        <v/>
      </c>
      <c r="K1100">
        <f>IF(OR($F1100="",$J1100="",$J1100="نامعتبر"),"",LEFT($J1100,4)&amp;MID($J1100,6,2)&amp;RIGHT($J1100,2)&amp;$N1100&amp;"|"&amp;"2"&amp;RIGHT("00000"&amp;1095,5))</f>
        <v/>
      </c>
      <c r="L1100">
        <f>IF($K1100="","",COUNTIFS(LdgSellerA,$F1100,LdgKeyA,"&lt;"&amp;$K1100)+COUNTIFS(LdgSellerB,$F1100,LdgKeyB,"&lt;"&amp;$K1100)+1)</f>
        <v/>
      </c>
      <c r="M1100">
        <f>IF($L1100="","",$F1100&amp;"|"&amp;RIGHT("000000"&amp;$L1100,6))</f>
        <v/>
      </c>
      <c r="N1100">
        <f>IF($F1100="","",IF(Sync!$AF1100="","0000",IF(AND(ISNUMBER(Sync!$AF1100),Sync!$AF1100&gt;=0,Sync!$AF1100&lt;1),RIGHT("00"&amp;HOUR(Sync!$AF1100),2)&amp;RIGHT("00"&amp;MINUTE(Sync!$AF1100),2),IFERROR(RIGHT("00"&amp;VALUE(LEFT(Sync!$AF1100,FIND(":",Sync!$AF1100)-1)),2)&amp;RIGHT("00"&amp;VALUE(MID(Sync!$AF1100,FIND(":",Sync!$AF1100)+1,2)),2),"0000"))))</f>
        <v/>
      </c>
    </row>
    <row r="1101">
      <c r="A1101">
        <f>IF(OR(Calc!$E1105="",Calc!$E1105="نامعتبر",Calc!$G1105=""),"",Calc!$G1105)</f>
        <v/>
      </c>
      <c r="B1101">
        <f>IF($A1101="","",LEFT(Calc!$E1105,4)&amp;MID(Calc!$E1105,6,2)&amp;RIGHT(Calc!$E1105,2)&amp;Calc!$Q1105&amp;"|"&amp;"1"&amp;RIGHT("00000"&amp;1096,5))</f>
        <v/>
      </c>
      <c r="C1101">
        <f>IF($B1101="","",COUNTIFS(LdgSellerA,$A1101,LdgKeyA,"&lt;"&amp;$B1101)+COUNTIFS(LdgSellerB,$A1101,LdgKeyB,"&lt;"&amp;$B1101)+1)</f>
        <v/>
      </c>
      <c r="D1101">
        <f>IF($C1101="","",$A1101&amp;"|"&amp;RIGHT("000000"&amp;$C1101,6))</f>
        <v/>
      </c>
      <c r="F1101">
        <f>IF(Sync!$AH1101="","",IF(LEFT(UPPER(TRIM(Sync!$AH1101)),2)="SL",UPPER(TRIM(Sync!$AH1101)),""))</f>
        <v/>
      </c>
      <c r="G1101">
        <f>IF($F1101="","",IF(Sync!$AE1101="","",IF(ISNUMBER(Sync!$AE1101),IF(AND(Sync!$AE1101&gt;=10000101,Sync!$AE1101&lt;=99991231),INT(Sync!$AE1101/10000),""),IFERROR(VALUE(TRIM(LEFT(Sync!$AE1101,FIND("/",Sync!$AE1101)-1))),""))))</f>
        <v/>
      </c>
      <c r="H1101">
        <f>IF(OR($F1101="",$G1101=""),"",IF(ISNUMBER(Sync!$AE1101),INT(MOD(Sync!$AE1101,10000)/100),IFERROR(VALUE(TRIM(LEFT(MID(Sync!$AE1101,FIND("/",Sync!$AE1101)+1,20),FIND("/",MID(Sync!$AE1101,FIND("/",Sync!$AE1101)+1,20))-1))),"")))</f>
        <v/>
      </c>
      <c r="I1101">
        <f>IF(OR($F1101="",$G1101=""),"",IF(ISNUMBER(Sync!$AE1101),MOD(Sync!$AE1101,100),IFERROR(VALUE(TRIM(MID(MID(Sync!$AE1101,FIND("/",Sync!$AE1101)+1,20),FIND("/",MID(Sync!$AE1101,FIND("/",Sync!$AE1101)+1,20))+1,20))),"")))</f>
        <v/>
      </c>
      <c r="J1101">
        <f>IF($F1101="","",IF(OR($G1101="",$H1101="",$I1101="",$G1101&lt;1300,$G1101&gt;1500,$H1101&lt;1,$H1101&gt;12,$I1101&lt;1,$I1101&gt;31),"نامعتبر",RIGHT("0000"&amp;$G1101,4)&amp;"/"&amp;RIGHT("00"&amp;$H1101,2)&amp;"/"&amp;RIGHT("00"&amp;$I1101,2)))</f>
        <v/>
      </c>
      <c r="K1101">
        <f>IF(OR($F1101="",$J1101="",$J1101="نامعتبر"),"",LEFT($J1101,4)&amp;MID($J1101,6,2)&amp;RIGHT($J1101,2)&amp;$N1101&amp;"|"&amp;"2"&amp;RIGHT("00000"&amp;1096,5))</f>
        <v/>
      </c>
      <c r="L1101">
        <f>IF($K1101="","",COUNTIFS(LdgSellerA,$F1101,LdgKeyA,"&lt;"&amp;$K1101)+COUNTIFS(LdgSellerB,$F1101,LdgKeyB,"&lt;"&amp;$K1101)+1)</f>
        <v/>
      </c>
      <c r="M1101">
        <f>IF($L1101="","",$F1101&amp;"|"&amp;RIGHT("000000"&amp;$L1101,6))</f>
        <v/>
      </c>
      <c r="N1101">
        <f>IF($F1101="","",IF(Sync!$AF1101="","0000",IF(AND(ISNUMBER(Sync!$AF1101),Sync!$AF1101&gt;=0,Sync!$AF1101&lt;1),RIGHT("00"&amp;HOUR(Sync!$AF1101),2)&amp;RIGHT("00"&amp;MINUTE(Sync!$AF1101),2),IFERROR(RIGHT("00"&amp;VALUE(LEFT(Sync!$AF1101,FIND(":",Sync!$AF1101)-1)),2)&amp;RIGHT("00"&amp;VALUE(MID(Sync!$AF1101,FIND(":",Sync!$AF1101)+1,2)),2),"0000"))))</f>
        <v/>
      </c>
    </row>
    <row r="1102">
      <c r="A1102">
        <f>IF(OR(Calc!$E1106="",Calc!$E1106="نامعتبر",Calc!$G1106=""),"",Calc!$G1106)</f>
        <v/>
      </c>
      <c r="B1102">
        <f>IF($A1102="","",LEFT(Calc!$E1106,4)&amp;MID(Calc!$E1106,6,2)&amp;RIGHT(Calc!$E1106,2)&amp;Calc!$Q1106&amp;"|"&amp;"1"&amp;RIGHT("00000"&amp;1097,5))</f>
        <v/>
      </c>
      <c r="C1102">
        <f>IF($B1102="","",COUNTIFS(LdgSellerA,$A1102,LdgKeyA,"&lt;"&amp;$B1102)+COUNTIFS(LdgSellerB,$A1102,LdgKeyB,"&lt;"&amp;$B1102)+1)</f>
        <v/>
      </c>
      <c r="D1102">
        <f>IF($C1102="","",$A1102&amp;"|"&amp;RIGHT("000000"&amp;$C1102,6))</f>
        <v/>
      </c>
      <c r="F1102">
        <f>IF(Sync!$AH1102="","",IF(LEFT(UPPER(TRIM(Sync!$AH1102)),2)="SL",UPPER(TRIM(Sync!$AH1102)),""))</f>
        <v/>
      </c>
      <c r="G1102">
        <f>IF($F1102="","",IF(Sync!$AE1102="","",IF(ISNUMBER(Sync!$AE1102),IF(AND(Sync!$AE1102&gt;=10000101,Sync!$AE1102&lt;=99991231),INT(Sync!$AE1102/10000),""),IFERROR(VALUE(TRIM(LEFT(Sync!$AE1102,FIND("/",Sync!$AE1102)-1))),""))))</f>
        <v/>
      </c>
      <c r="H1102">
        <f>IF(OR($F1102="",$G1102=""),"",IF(ISNUMBER(Sync!$AE1102),INT(MOD(Sync!$AE1102,10000)/100),IFERROR(VALUE(TRIM(LEFT(MID(Sync!$AE1102,FIND("/",Sync!$AE1102)+1,20),FIND("/",MID(Sync!$AE1102,FIND("/",Sync!$AE1102)+1,20))-1))),"")))</f>
        <v/>
      </c>
      <c r="I1102">
        <f>IF(OR($F1102="",$G1102=""),"",IF(ISNUMBER(Sync!$AE1102),MOD(Sync!$AE1102,100),IFERROR(VALUE(TRIM(MID(MID(Sync!$AE1102,FIND("/",Sync!$AE1102)+1,20),FIND("/",MID(Sync!$AE1102,FIND("/",Sync!$AE1102)+1,20))+1,20))),"")))</f>
        <v/>
      </c>
      <c r="J1102">
        <f>IF($F1102="","",IF(OR($G1102="",$H1102="",$I1102="",$G1102&lt;1300,$G1102&gt;1500,$H1102&lt;1,$H1102&gt;12,$I1102&lt;1,$I1102&gt;31),"نامعتبر",RIGHT("0000"&amp;$G1102,4)&amp;"/"&amp;RIGHT("00"&amp;$H1102,2)&amp;"/"&amp;RIGHT("00"&amp;$I1102,2)))</f>
        <v/>
      </c>
      <c r="K1102">
        <f>IF(OR($F1102="",$J1102="",$J1102="نامعتبر"),"",LEFT($J1102,4)&amp;MID($J1102,6,2)&amp;RIGHT($J1102,2)&amp;$N1102&amp;"|"&amp;"2"&amp;RIGHT("00000"&amp;1097,5))</f>
        <v/>
      </c>
      <c r="L1102">
        <f>IF($K1102="","",COUNTIFS(LdgSellerA,$F1102,LdgKeyA,"&lt;"&amp;$K1102)+COUNTIFS(LdgSellerB,$F1102,LdgKeyB,"&lt;"&amp;$K1102)+1)</f>
        <v/>
      </c>
      <c r="M1102">
        <f>IF($L1102="","",$F1102&amp;"|"&amp;RIGHT("000000"&amp;$L1102,6))</f>
        <v/>
      </c>
      <c r="N1102">
        <f>IF($F1102="","",IF(Sync!$AF1102="","0000",IF(AND(ISNUMBER(Sync!$AF1102),Sync!$AF1102&gt;=0,Sync!$AF1102&lt;1),RIGHT("00"&amp;HOUR(Sync!$AF1102),2)&amp;RIGHT("00"&amp;MINUTE(Sync!$AF1102),2),IFERROR(RIGHT("00"&amp;VALUE(LEFT(Sync!$AF1102,FIND(":",Sync!$AF1102)-1)),2)&amp;RIGHT("00"&amp;VALUE(MID(Sync!$AF1102,FIND(":",Sync!$AF1102)+1,2)),2),"0000"))))</f>
        <v/>
      </c>
    </row>
    <row r="1103">
      <c r="A1103">
        <f>IF(OR(Calc!$E1107="",Calc!$E1107="نامعتبر",Calc!$G1107=""),"",Calc!$G1107)</f>
        <v/>
      </c>
      <c r="B1103">
        <f>IF($A1103="","",LEFT(Calc!$E1107,4)&amp;MID(Calc!$E1107,6,2)&amp;RIGHT(Calc!$E1107,2)&amp;Calc!$Q1107&amp;"|"&amp;"1"&amp;RIGHT("00000"&amp;1098,5))</f>
        <v/>
      </c>
      <c r="C1103">
        <f>IF($B1103="","",COUNTIFS(LdgSellerA,$A1103,LdgKeyA,"&lt;"&amp;$B1103)+COUNTIFS(LdgSellerB,$A1103,LdgKeyB,"&lt;"&amp;$B1103)+1)</f>
        <v/>
      </c>
      <c r="D1103">
        <f>IF($C1103="","",$A1103&amp;"|"&amp;RIGHT("000000"&amp;$C1103,6))</f>
        <v/>
      </c>
      <c r="F1103">
        <f>IF(Sync!$AH1103="","",IF(LEFT(UPPER(TRIM(Sync!$AH1103)),2)="SL",UPPER(TRIM(Sync!$AH1103)),""))</f>
        <v/>
      </c>
      <c r="G1103">
        <f>IF($F1103="","",IF(Sync!$AE1103="","",IF(ISNUMBER(Sync!$AE1103),IF(AND(Sync!$AE1103&gt;=10000101,Sync!$AE1103&lt;=99991231),INT(Sync!$AE1103/10000),""),IFERROR(VALUE(TRIM(LEFT(Sync!$AE1103,FIND("/",Sync!$AE1103)-1))),""))))</f>
        <v/>
      </c>
      <c r="H1103">
        <f>IF(OR($F1103="",$G1103=""),"",IF(ISNUMBER(Sync!$AE1103),INT(MOD(Sync!$AE1103,10000)/100),IFERROR(VALUE(TRIM(LEFT(MID(Sync!$AE1103,FIND("/",Sync!$AE1103)+1,20),FIND("/",MID(Sync!$AE1103,FIND("/",Sync!$AE1103)+1,20))-1))),"")))</f>
        <v/>
      </c>
      <c r="I1103">
        <f>IF(OR($F1103="",$G1103=""),"",IF(ISNUMBER(Sync!$AE1103),MOD(Sync!$AE1103,100),IFERROR(VALUE(TRIM(MID(MID(Sync!$AE1103,FIND("/",Sync!$AE1103)+1,20),FIND("/",MID(Sync!$AE1103,FIND("/",Sync!$AE1103)+1,20))+1,20))),"")))</f>
        <v/>
      </c>
      <c r="J1103">
        <f>IF($F1103="","",IF(OR($G1103="",$H1103="",$I1103="",$G1103&lt;1300,$G1103&gt;1500,$H1103&lt;1,$H1103&gt;12,$I1103&lt;1,$I1103&gt;31),"نامعتبر",RIGHT("0000"&amp;$G1103,4)&amp;"/"&amp;RIGHT("00"&amp;$H1103,2)&amp;"/"&amp;RIGHT("00"&amp;$I1103,2)))</f>
        <v/>
      </c>
      <c r="K1103">
        <f>IF(OR($F1103="",$J1103="",$J1103="نامعتبر"),"",LEFT($J1103,4)&amp;MID($J1103,6,2)&amp;RIGHT($J1103,2)&amp;$N1103&amp;"|"&amp;"2"&amp;RIGHT("00000"&amp;1098,5))</f>
        <v/>
      </c>
      <c r="L1103">
        <f>IF($K1103="","",COUNTIFS(LdgSellerA,$F1103,LdgKeyA,"&lt;"&amp;$K1103)+COUNTIFS(LdgSellerB,$F1103,LdgKeyB,"&lt;"&amp;$K1103)+1)</f>
        <v/>
      </c>
      <c r="M1103">
        <f>IF($L1103="","",$F1103&amp;"|"&amp;RIGHT("000000"&amp;$L1103,6))</f>
        <v/>
      </c>
      <c r="N1103">
        <f>IF($F1103="","",IF(Sync!$AF1103="","0000",IF(AND(ISNUMBER(Sync!$AF1103),Sync!$AF1103&gt;=0,Sync!$AF1103&lt;1),RIGHT("00"&amp;HOUR(Sync!$AF1103),2)&amp;RIGHT("00"&amp;MINUTE(Sync!$AF1103),2),IFERROR(RIGHT("00"&amp;VALUE(LEFT(Sync!$AF1103,FIND(":",Sync!$AF1103)-1)),2)&amp;RIGHT("00"&amp;VALUE(MID(Sync!$AF1103,FIND(":",Sync!$AF1103)+1,2)),2),"0000"))))</f>
        <v/>
      </c>
    </row>
    <row r="1104">
      <c r="A1104">
        <f>IF(OR(Calc!$E1108="",Calc!$E1108="نامعتبر",Calc!$G1108=""),"",Calc!$G1108)</f>
        <v/>
      </c>
      <c r="B1104">
        <f>IF($A1104="","",LEFT(Calc!$E1108,4)&amp;MID(Calc!$E1108,6,2)&amp;RIGHT(Calc!$E1108,2)&amp;Calc!$Q1108&amp;"|"&amp;"1"&amp;RIGHT("00000"&amp;1099,5))</f>
        <v/>
      </c>
      <c r="C1104">
        <f>IF($B1104="","",COUNTIFS(LdgSellerA,$A1104,LdgKeyA,"&lt;"&amp;$B1104)+COUNTIFS(LdgSellerB,$A1104,LdgKeyB,"&lt;"&amp;$B1104)+1)</f>
        <v/>
      </c>
      <c r="D1104">
        <f>IF($C1104="","",$A1104&amp;"|"&amp;RIGHT("000000"&amp;$C1104,6))</f>
        <v/>
      </c>
      <c r="F1104">
        <f>IF(Sync!$AH1104="","",IF(LEFT(UPPER(TRIM(Sync!$AH1104)),2)="SL",UPPER(TRIM(Sync!$AH1104)),""))</f>
        <v/>
      </c>
      <c r="G1104">
        <f>IF($F1104="","",IF(Sync!$AE1104="","",IF(ISNUMBER(Sync!$AE1104),IF(AND(Sync!$AE1104&gt;=10000101,Sync!$AE1104&lt;=99991231),INT(Sync!$AE1104/10000),""),IFERROR(VALUE(TRIM(LEFT(Sync!$AE1104,FIND("/",Sync!$AE1104)-1))),""))))</f>
        <v/>
      </c>
      <c r="H1104">
        <f>IF(OR($F1104="",$G1104=""),"",IF(ISNUMBER(Sync!$AE1104),INT(MOD(Sync!$AE1104,10000)/100),IFERROR(VALUE(TRIM(LEFT(MID(Sync!$AE1104,FIND("/",Sync!$AE1104)+1,20),FIND("/",MID(Sync!$AE1104,FIND("/",Sync!$AE1104)+1,20))-1))),"")))</f>
        <v/>
      </c>
      <c r="I1104">
        <f>IF(OR($F1104="",$G1104=""),"",IF(ISNUMBER(Sync!$AE1104),MOD(Sync!$AE1104,100),IFERROR(VALUE(TRIM(MID(MID(Sync!$AE1104,FIND("/",Sync!$AE1104)+1,20),FIND("/",MID(Sync!$AE1104,FIND("/",Sync!$AE1104)+1,20))+1,20))),"")))</f>
        <v/>
      </c>
      <c r="J1104">
        <f>IF($F1104="","",IF(OR($G1104="",$H1104="",$I1104="",$G1104&lt;1300,$G1104&gt;1500,$H1104&lt;1,$H1104&gt;12,$I1104&lt;1,$I1104&gt;31),"نامعتبر",RIGHT("0000"&amp;$G1104,4)&amp;"/"&amp;RIGHT("00"&amp;$H1104,2)&amp;"/"&amp;RIGHT("00"&amp;$I1104,2)))</f>
        <v/>
      </c>
      <c r="K1104">
        <f>IF(OR($F1104="",$J1104="",$J1104="نامعتبر"),"",LEFT($J1104,4)&amp;MID($J1104,6,2)&amp;RIGHT($J1104,2)&amp;$N1104&amp;"|"&amp;"2"&amp;RIGHT("00000"&amp;1099,5))</f>
        <v/>
      </c>
      <c r="L1104">
        <f>IF($K1104="","",COUNTIFS(LdgSellerA,$F1104,LdgKeyA,"&lt;"&amp;$K1104)+COUNTIFS(LdgSellerB,$F1104,LdgKeyB,"&lt;"&amp;$K1104)+1)</f>
        <v/>
      </c>
      <c r="M1104">
        <f>IF($L1104="","",$F1104&amp;"|"&amp;RIGHT("000000"&amp;$L1104,6))</f>
        <v/>
      </c>
      <c r="N1104">
        <f>IF($F1104="","",IF(Sync!$AF1104="","0000",IF(AND(ISNUMBER(Sync!$AF1104),Sync!$AF1104&gt;=0,Sync!$AF1104&lt;1),RIGHT("00"&amp;HOUR(Sync!$AF1104),2)&amp;RIGHT("00"&amp;MINUTE(Sync!$AF1104),2),IFERROR(RIGHT("00"&amp;VALUE(LEFT(Sync!$AF1104,FIND(":",Sync!$AF1104)-1)),2)&amp;RIGHT("00"&amp;VALUE(MID(Sync!$AF1104,FIND(":",Sync!$AF1104)+1,2)),2),"0000"))))</f>
        <v/>
      </c>
    </row>
    <row r="1105">
      <c r="A1105">
        <f>IF(OR(Calc!$E1109="",Calc!$E1109="نامعتبر",Calc!$G1109=""),"",Calc!$G1109)</f>
        <v/>
      </c>
      <c r="B1105">
        <f>IF($A1105="","",LEFT(Calc!$E1109,4)&amp;MID(Calc!$E1109,6,2)&amp;RIGHT(Calc!$E1109,2)&amp;Calc!$Q1109&amp;"|"&amp;"1"&amp;RIGHT("00000"&amp;1100,5))</f>
        <v/>
      </c>
      <c r="C1105">
        <f>IF($B1105="","",COUNTIFS(LdgSellerA,$A1105,LdgKeyA,"&lt;"&amp;$B1105)+COUNTIFS(LdgSellerB,$A1105,LdgKeyB,"&lt;"&amp;$B1105)+1)</f>
        <v/>
      </c>
      <c r="D1105">
        <f>IF($C1105="","",$A1105&amp;"|"&amp;RIGHT("000000"&amp;$C1105,6))</f>
        <v/>
      </c>
      <c r="F1105">
        <f>IF(Sync!$AH1105="","",IF(LEFT(UPPER(TRIM(Sync!$AH1105)),2)="SL",UPPER(TRIM(Sync!$AH1105)),""))</f>
        <v/>
      </c>
      <c r="G1105">
        <f>IF($F1105="","",IF(Sync!$AE1105="","",IF(ISNUMBER(Sync!$AE1105),IF(AND(Sync!$AE1105&gt;=10000101,Sync!$AE1105&lt;=99991231),INT(Sync!$AE1105/10000),""),IFERROR(VALUE(TRIM(LEFT(Sync!$AE1105,FIND("/",Sync!$AE1105)-1))),""))))</f>
        <v/>
      </c>
      <c r="H1105">
        <f>IF(OR($F1105="",$G1105=""),"",IF(ISNUMBER(Sync!$AE1105),INT(MOD(Sync!$AE1105,10000)/100),IFERROR(VALUE(TRIM(LEFT(MID(Sync!$AE1105,FIND("/",Sync!$AE1105)+1,20),FIND("/",MID(Sync!$AE1105,FIND("/",Sync!$AE1105)+1,20))-1))),"")))</f>
        <v/>
      </c>
      <c r="I1105">
        <f>IF(OR($F1105="",$G1105=""),"",IF(ISNUMBER(Sync!$AE1105),MOD(Sync!$AE1105,100),IFERROR(VALUE(TRIM(MID(MID(Sync!$AE1105,FIND("/",Sync!$AE1105)+1,20),FIND("/",MID(Sync!$AE1105,FIND("/",Sync!$AE1105)+1,20))+1,20))),"")))</f>
        <v/>
      </c>
      <c r="J1105">
        <f>IF($F1105="","",IF(OR($G1105="",$H1105="",$I1105="",$G1105&lt;1300,$G1105&gt;1500,$H1105&lt;1,$H1105&gt;12,$I1105&lt;1,$I1105&gt;31),"نامعتبر",RIGHT("0000"&amp;$G1105,4)&amp;"/"&amp;RIGHT("00"&amp;$H1105,2)&amp;"/"&amp;RIGHT("00"&amp;$I1105,2)))</f>
        <v/>
      </c>
      <c r="K1105">
        <f>IF(OR($F1105="",$J1105="",$J1105="نامعتبر"),"",LEFT($J1105,4)&amp;MID($J1105,6,2)&amp;RIGHT($J1105,2)&amp;$N1105&amp;"|"&amp;"2"&amp;RIGHT("00000"&amp;1100,5))</f>
        <v/>
      </c>
      <c r="L1105">
        <f>IF($K1105="","",COUNTIFS(LdgSellerA,$F1105,LdgKeyA,"&lt;"&amp;$K1105)+COUNTIFS(LdgSellerB,$F1105,LdgKeyB,"&lt;"&amp;$K1105)+1)</f>
        <v/>
      </c>
      <c r="M1105">
        <f>IF($L1105="","",$F1105&amp;"|"&amp;RIGHT("000000"&amp;$L1105,6))</f>
        <v/>
      </c>
      <c r="N1105">
        <f>IF($F1105="","",IF(Sync!$AF1105="","0000",IF(AND(ISNUMBER(Sync!$AF1105),Sync!$AF1105&gt;=0,Sync!$AF1105&lt;1),RIGHT("00"&amp;HOUR(Sync!$AF1105),2)&amp;RIGHT("00"&amp;MINUTE(Sync!$AF1105),2),IFERROR(RIGHT("00"&amp;VALUE(LEFT(Sync!$AF1105,FIND(":",Sync!$AF1105)-1)),2)&amp;RIGHT("00"&amp;VALUE(MID(Sync!$AF1105,FIND(":",Sync!$AF1105)+1,2)),2),"0000"))))</f>
        <v/>
      </c>
    </row>
    <row r="1106">
      <c r="A1106">
        <f>IF(OR(Calc!$E1110="",Calc!$E1110="نامعتبر",Calc!$G1110=""),"",Calc!$G1110)</f>
        <v/>
      </c>
      <c r="B1106">
        <f>IF($A1106="","",LEFT(Calc!$E1110,4)&amp;MID(Calc!$E1110,6,2)&amp;RIGHT(Calc!$E1110,2)&amp;Calc!$Q1110&amp;"|"&amp;"1"&amp;RIGHT("00000"&amp;1101,5))</f>
        <v/>
      </c>
      <c r="C1106">
        <f>IF($B1106="","",COUNTIFS(LdgSellerA,$A1106,LdgKeyA,"&lt;"&amp;$B1106)+COUNTIFS(LdgSellerB,$A1106,LdgKeyB,"&lt;"&amp;$B1106)+1)</f>
        <v/>
      </c>
      <c r="D1106">
        <f>IF($C1106="","",$A1106&amp;"|"&amp;RIGHT("000000"&amp;$C1106,6))</f>
        <v/>
      </c>
      <c r="F1106">
        <f>IF(Sync!$AH1106="","",IF(LEFT(UPPER(TRIM(Sync!$AH1106)),2)="SL",UPPER(TRIM(Sync!$AH1106)),""))</f>
        <v/>
      </c>
      <c r="G1106">
        <f>IF($F1106="","",IF(Sync!$AE1106="","",IF(ISNUMBER(Sync!$AE1106),IF(AND(Sync!$AE1106&gt;=10000101,Sync!$AE1106&lt;=99991231),INT(Sync!$AE1106/10000),""),IFERROR(VALUE(TRIM(LEFT(Sync!$AE1106,FIND("/",Sync!$AE1106)-1))),""))))</f>
        <v/>
      </c>
      <c r="H1106">
        <f>IF(OR($F1106="",$G1106=""),"",IF(ISNUMBER(Sync!$AE1106),INT(MOD(Sync!$AE1106,10000)/100),IFERROR(VALUE(TRIM(LEFT(MID(Sync!$AE1106,FIND("/",Sync!$AE1106)+1,20),FIND("/",MID(Sync!$AE1106,FIND("/",Sync!$AE1106)+1,20))-1))),"")))</f>
        <v/>
      </c>
      <c r="I1106">
        <f>IF(OR($F1106="",$G1106=""),"",IF(ISNUMBER(Sync!$AE1106),MOD(Sync!$AE1106,100),IFERROR(VALUE(TRIM(MID(MID(Sync!$AE1106,FIND("/",Sync!$AE1106)+1,20),FIND("/",MID(Sync!$AE1106,FIND("/",Sync!$AE1106)+1,20))+1,20))),"")))</f>
        <v/>
      </c>
      <c r="J1106">
        <f>IF($F1106="","",IF(OR($G1106="",$H1106="",$I1106="",$G1106&lt;1300,$G1106&gt;1500,$H1106&lt;1,$H1106&gt;12,$I1106&lt;1,$I1106&gt;31),"نامعتبر",RIGHT("0000"&amp;$G1106,4)&amp;"/"&amp;RIGHT("00"&amp;$H1106,2)&amp;"/"&amp;RIGHT("00"&amp;$I1106,2)))</f>
        <v/>
      </c>
      <c r="K1106">
        <f>IF(OR($F1106="",$J1106="",$J1106="نامعتبر"),"",LEFT($J1106,4)&amp;MID($J1106,6,2)&amp;RIGHT($J1106,2)&amp;$N1106&amp;"|"&amp;"2"&amp;RIGHT("00000"&amp;1101,5))</f>
        <v/>
      </c>
      <c r="L1106">
        <f>IF($K1106="","",COUNTIFS(LdgSellerA,$F1106,LdgKeyA,"&lt;"&amp;$K1106)+COUNTIFS(LdgSellerB,$F1106,LdgKeyB,"&lt;"&amp;$K1106)+1)</f>
        <v/>
      </c>
      <c r="M1106">
        <f>IF($L1106="","",$F1106&amp;"|"&amp;RIGHT("000000"&amp;$L1106,6))</f>
        <v/>
      </c>
      <c r="N1106">
        <f>IF($F1106="","",IF(Sync!$AF1106="","0000",IF(AND(ISNUMBER(Sync!$AF1106),Sync!$AF1106&gt;=0,Sync!$AF1106&lt;1),RIGHT("00"&amp;HOUR(Sync!$AF1106),2)&amp;RIGHT("00"&amp;MINUTE(Sync!$AF1106),2),IFERROR(RIGHT("00"&amp;VALUE(LEFT(Sync!$AF1106,FIND(":",Sync!$AF1106)-1)),2)&amp;RIGHT("00"&amp;VALUE(MID(Sync!$AF1106,FIND(":",Sync!$AF1106)+1,2)),2),"0000"))))</f>
        <v/>
      </c>
    </row>
    <row r="1107">
      <c r="A1107">
        <f>IF(OR(Calc!$E1111="",Calc!$E1111="نامعتبر",Calc!$G1111=""),"",Calc!$G1111)</f>
        <v/>
      </c>
      <c r="B1107">
        <f>IF($A1107="","",LEFT(Calc!$E1111,4)&amp;MID(Calc!$E1111,6,2)&amp;RIGHT(Calc!$E1111,2)&amp;Calc!$Q1111&amp;"|"&amp;"1"&amp;RIGHT("00000"&amp;1102,5))</f>
        <v/>
      </c>
      <c r="C1107">
        <f>IF($B1107="","",COUNTIFS(LdgSellerA,$A1107,LdgKeyA,"&lt;"&amp;$B1107)+COUNTIFS(LdgSellerB,$A1107,LdgKeyB,"&lt;"&amp;$B1107)+1)</f>
        <v/>
      </c>
      <c r="D1107">
        <f>IF($C1107="","",$A1107&amp;"|"&amp;RIGHT("000000"&amp;$C1107,6))</f>
        <v/>
      </c>
      <c r="F1107">
        <f>IF(Sync!$AH1107="","",IF(LEFT(UPPER(TRIM(Sync!$AH1107)),2)="SL",UPPER(TRIM(Sync!$AH1107)),""))</f>
        <v/>
      </c>
      <c r="G1107">
        <f>IF($F1107="","",IF(Sync!$AE1107="","",IF(ISNUMBER(Sync!$AE1107),IF(AND(Sync!$AE1107&gt;=10000101,Sync!$AE1107&lt;=99991231),INT(Sync!$AE1107/10000),""),IFERROR(VALUE(TRIM(LEFT(Sync!$AE1107,FIND("/",Sync!$AE1107)-1))),""))))</f>
        <v/>
      </c>
      <c r="H1107">
        <f>IF(OR($F1107="",$G1107=""),"",IF(ISNUMBER(Sync!$AE1107),INT(MOD(Sync!$AE1107,10000)/100),IFERROR(VALUE(TRIM(LEFT(MID(Sync!$AE1107,FIND("/",Sync!$AE1107)+1,20),FIND("/",MID(Sync!$AE1107,FIND("/",Sync!$AE1107)+1,20))-1))),"")))</f>
        <v/>
      </c>
      <c r="I1107">
        <f>IF(OR($F1107="",$G1107=""),"",IF(ISNUMBER(Sync!$AE1107),MOD(Sync!$AE1107,100),IFERROR(VALUE(TRIM(MID(MID(Sync!$AE1107,FIND("/",Sync!$AE1107)+1,20),FIND("/",MID(Sync!$AE1107,FIND("/",Sync!$AE1107)+1,20))+1,20))),"")))</f>
        <v/>
      </c>
      <c r="J1107">
        <f>IF($F1107="","",IF(OR($G1107="",$H1107="",$I1107="",$G1107&lt;1300,$G1107&gt;1500,$H1107&lt;1,$H1107&gt;12,$I1107&lt;1,$I1107&gt;31),"نامعتبر",RIGHT("0000"&amp;$G1107,4)&amp;"/"&amp;RIGHT("00"&amp;$H1107,2)&amp;"/"&amp;RIGHT("00"&amp;$I1107,2)))</f>
        <v/>
      </c>
      <c r="K1107">
        <f>IF(OR($F1107="",$J1107="",$J1107="نامعتبر"),"",LEFT($J1107,4)&amp;MID($J1107,6,2)&amp;RIGHT($J1107,2)&amp;$N1107&amp;"|"&amp;"2"&amp;RIGHT("00000"&amp;1102,5))</f>
        <v/>
      </c>
      <c r="L1107">
        <f>IF($K1107="","",COUNTIFS(LdgSellerA,$F1107,LdgKeyA,"&lt;"&amp;$K1107)+COUNTIFS(LdgSellerB,$F1107,LdgKeyB,"&lt;"&amp;$K1107)+1)</f>
        <v/>
      </c>
      <c r="M1107">
        <f>IF($L1107="","",$F1107&amp;"|"&amp;RIGHT("000000"&amp;$L1107,6))</f>
        <v/>
      </c>
      <c r="N1107">
        <f>IF($F1107="","",IF(Sync!$AF1107="","0000",IF(AND(ISNUMBER(Sync!$AF1107),Sync!$AF1107&gt;=0,Sync!$AF1107&lt;1),RIGHT("00"&amp;HOUR(Sync!$AF1107),2)&amp;RIGHT("00"&amp;MINUTE(Sync!$AF1107),2),IFERROR(RIGHT("00"&amp;VALUE(LEFT(Sync!$AF1107,FIND(":",Sync!$AF1107)-1)),2)&amp;RIGHT("00"&amp;VALUE(MID(Sync!$AF1107,FIND(":",Sync!$AF1107)+1,2)),2),"0000"))))</f>
        <v/>
      </c>
    </row>
    <row r="1108">
      <c r="A1108">
        <f>IF(OR(Calc!$E1112="",Calc!$E1112="نامعتبر",Calc!$G1112=""),"",Calc!$G1112)</f>
        <v/>
      </c>
      <c r="B1108">
        <f>IF($A1108="","",LEFT(Calc!$E1112,4)&amp;MID(Calc!$E1112,6,2)&amp;RIGHT(Calc!$E1112,2)&amp;Calc!$Q1112&amp;"|"&amp;"1"&amp;RIGHT("00000"&amp;1103,5))</f>
        <v/>
      </c>
      <c r="C1108">
        <f>IF($B1108="","",COUNTIFS(LdgSellerA,$A1108,LdgKeyA,"&lt;"&amp;$B1108)+COUNTIFS(LdgSellerB,$A1108,LdgKeyB,"&lt;"&amp;$B1108)+1)</f>
        <v/>
      </c>
      <c r="D1108">
        <f>IF($C1108="","",$A1108&amp;"|"&amp;RIGHT("000000"&amp;$C1108,6))</f>
        <v/>
      </c>
      <c r="F1108">
        <f>IF(Sync!$AH1108="","",IF(LEFT(UPPER(TRIM(Sync!$AH1108)),2)="SL",UPPER(TRIM(Sync!$AH1108)),""))</f>
        <v/>
      </c>
      <c r="G1108">
        <f>IF($F1108="","",IF(Sync!$AE1108="","",IF(ISNUMBER(Sync!$AE1108),IF(AND(Sync!$AE1108&gt;=10000101,Sync!$AE1108&lt;=99991231),INT(Sync!$AE1108/10000),""),IFERROR(VALUE(TRIM(LEFT(Sync!$AE1108,FIND("/",Sync!$AE1108)-1))),""))))</f>
        <v/>
      </c>
      <c r="H1108">
        <f>IF(OR($F1108="",$G1108=""),"",IF(ISNUMBER(Sync!$AE1108),INT(MOD(Sync!$AE1108,10000)/100),IFERROR(VALUE(TRIM(LEFT(MID(Sync!$AE1108,FIND("/",Sync!$AE1108)+1,20),FIND("/",MID(Sync!$AE1108,FIND("/",Sync!$AE1108)+1,20))-1))),"")))</f>
        <v/>
      </c>
      <c r="I1108">
        <f>IF(OR($F1108="",$G1108=""),"",IF(ISNUMBER(Sync!$AE1108),MOD(Sync!$AE1108,100),IFERROR(VALUE(TRIM(MID(MID(Sync!$AE1108,FIND("/",Sync!$AE1108)+1,20),FIND("/",MID(Sync!$AE1108,FIND("/",Sync!$AE1108)+1,20))+1,20))),"")))</f>
        <v/>
      </c>
      <c r="J1108">
        <f>IF($F1108="","",IF(OR($G1108="",$H1108="",$I1108="",$G1108&lt;1300,$G1108&gt;1500,$H1108&lt;1,$H1108&gt;12,$I1108&lt;1,$I1108&gt;31),"نامعتبر",RIGHT("0000"&amp;$G1108,4)&amp;"/"&amp;RIGHT("00"&amp;$H1108,2)&amp;"/"&amp;RIGHT("00"&amp;$I1108,2)))</f>
        <v/>
      </c>
      <c r="K1108">
        <f>IF(OR($F1108="",$J1108="",$J1108="نامعتبر"),"",LEFT($J1108,4)&amp;MID($J1108,6,2)&amp;RIGHT($J1108,2)&amp;$N1108&amp;"|"&amp;"2"&amp;RIGHT("00000"&amp;1103,5))</f>
        <v/>
      </c>
      <c r="L1108">
        <f>IF($K1108="","",COUNTIFS(LdgSellerA,$F1108,LdgKeyA,"&lt;"&amp;$K1108)+COUNTIFS(LdgSellerB,$F1108,LdgKeyB,"&lt;"&amp;$K1108)+1)</f>
        <v/>
      </c>
      <c r="M1108">
        <f>IF($L1108="","",$F1108&amp;"|"&amp;RIGHT("000000"&amp;$L1108,6))</f>
        <v/>
      </c>
      <c r="N1108">
        <f>IF($F1108="","",IF(Sync!$AF1108="","0000",IF(AND(ISNUMBER(Sync!$AF1108),Sync!$AF1108&gt;=0,Sync!$AF1108&lt;1),RIGHT("00"&amp;HOUR(Sync!$AF1108),2)&amp;RIGHT("00"&amp;MINUTE(Sync!$AF1108),2),IFERROR(RIGHT("00"&amp;VALUE(LEFT(Sync!$AF1108,FIND(":",Sync!$AF1108)-1)),2)&amp;RIGHT("00"&amp;VALUE(MID(Sync!$AF1108,FIND(":",Sync!$AF1108)+1,2)),2),"0000"))))</f>
        <v/>
      </c>
    </row>
    <row r="1109">
      <c r="A1109">
        <f>IF(OR(Calc!$E1113="",Calc!$E1113="نامعتبر",Calc!$G1113=""),"",Calc!$G1113)</f>
        <v/>
      </c>
      <c r="B1109">
        <f>IF($A1109="","",LEFT(Calc!$E1113,4)&amp;MID(Calc!$E1113,6,2)&amp;RIGHT(Calc!$E1113,2)&amp;Calc!$Q1113&amp;"|"&amp;"1"&amp;RIGHT("00000"&amp;1104,5))</f>
        <v/>
      </c>
      <c r="C1109">
        <f>IF($B1109="","",COUNTIFS(LdgSellerA,$A1109,LdgKeyA,"&lt;"&amp;$B1109)+COUNTIFS(LdgSellerB,$A1109,LdgKeyB,"&lt;"&amp;$B1109)+1)</f>
        <v/>
      </c>
      <c r="D1109">
        <f>IF($C1109="","",$A1109&amp;"|"&amp;RIGHT("000000"&amp;$C1109,6))</f>
        <v/>
      </c>
      <c r="F1109">
        <f>IF(Sync!$AH1109="","",IF(LEFT(UPPER(TRIM(Sync!$AH1109)),2)="SL",UPPER(TRIM(Sync!$AH1109)),""))</f>
        <v/>
      </c>
      <c r="G1109">
        <f>IF($F1109="","",IF(Sync!$AE1109="","",IF(ISNUMBER(Sync!$AE1109),IF(AND(Sync!$AE1109&gt;=10000101,Sync!$AE1109&lt;=99991231),INT(Sync!$AE1109/10000),""),IFERROR(VALUE(TRIM(LEFT(Sync!$AE1109,FIND("/",Sync!$AE1109)-1))),""))))</f>
        <v/>
      </c>
      <c r="H1109">
        <f>IF(OR($F1109="",$G1109=""),"",IF(ISNUMBER(Sync!$AE1109),INT(MOD(Sync!$AE1109,10000)/100),IFERROR(VALUE(TRIM(LEFT(MID(Sync!$AE1109,FIND("/",Sync!$AE1109)+1,20),FIND("/",MID(Sync!$AE1109,FIND("/",Sync!$AE1109)+1,20))-1))),"")))</f>
        <v/>
      </c>
      <c r="I1109">
        <f>IF(OR($F1109="",$G1109=""),"",IF(ISNUMBER(Sync!$AE1109),MOD(Sync!$AE1109,100),IFERROR(VALUE(TRIM(MID(MID(Sync!$AE1109,FIND("/",Sync!$AE1109)+1,20),FIND("/",MID(Sync!$AE1109,FIND("/",Sync!$AE1109)+1,20))+1,20))),"")))</f>
        <v/>
      </c>
      <c r="J1109">
        <f>IF($F1109="","",IF(OR($G1109="",$H1109="",$I1109="",$G1109&lt;1300,$G1109&gt;1500,$H1109&lt;1,$H1109&gt;12,$I1109&lt;1,$I1109&gt;31),"نامعتبر",RIGHT("0000"&amp;$G1109,4)&amp;"/"&amp;RIGHT("00"&amp;$H1109,2)&amp;"/"&amp;RIGHT("00"&amp;$I1109,2)))</f>
        <v/>
      </c>
      <c r="K1109">
        <f>IF(OR($F1109="",$J1109="",$J1109="نامعتبر"),"",LEFT($J1109,4)&amp;MID($J1109,6,2)&amp;RIGHT($J1109,2)&amp;$N1109&amp;"|"&amp;"2"&amp;RIGHT("00000"&amp;1104,5))</f>
        <v/>
      </c>
      <c r="L1109">
        <f>IF($K1109="","",COUNTIFS(LdgSellerA,$F1109,LdgKeyA,"&lt;"&amp;$K1109)+COUNTIFS(LdgSellerB,$F1109,LdgKeyB,"&lt;"&amp;$K1109)+1)</f>
        <v/>
      </c>
      <c r="M1109">
        <f>IF($L1109="","",$F1109&amp;"|"&amp;RIGHT("000000"&amp;$L1109,6))</f>
        <v/>
      </c>
      <c r="N1109">
        <f>IF($F1109="","",IF(Sync!$AF1109="","0000",IF(AND(ISNUMBER(Sync!$AF1109),Sync!$AF1109&gt;=0,Sync!$AF1109&lt;1),RIGHT("00"&amp;HOUR(Sync!$AF1109),2)&amp;RIGHT("00"&amp;MINUTE(Sync!$AF1109),2),IFERROR(RIGHT("00"&amp;VALUE(LEFT(Sync!$AF1109,FIND(":",Sync!$AF1109)-1)),2)&amp;RIGHT("00"&amp;VALUE(MID(Sync!$AF1109,FIND(":",Sync!$AF1109)+1,2)),2),"0000"))))</f>
        <v/>
      </c>
    </row>
    <row r="1110">
      <c r="A1110">
        <f>IF(OR(Calc!$E1114="",Calc!$E1114="نامعتبر",Calc!$G1114=""),"",Calc!$G1114)</f>
        <v/>
      </c>
      <c r="B1110">
        <f>IF($A1110="","",LEFT(Calc!$E1114,4)&amp;MID(Calc!$E1114,6,2)&amp;RIGHT(Calc!$E1114,2)&amp;Calc!$Q1114&amp;"|"&amp;"1"&amp;RIGHT("00000"&amp;1105,5))</f>
        <v/>
      </c>
      <c r="C1110">
        <f>IF($B1110="","",COUNTIFS(LdgSellerA,$A1110,LdgKeyA,"&lt;"&amp;$B1110)+COUNTIFS(LdgSellerB,$A1110,LdgKeyB,"&lt;"&amp;$B1110)+1)</f>
        <v/>
      </c>
      <c r="D1110">
        <f>IF($C1110="","",$A1110&amp;"|"&amp;RIGHT("000000"&amp;$C1110,6))</f>
        <v/>
      </c>
      <c r="F1110">
        <f>IF(Sync!$AH1110="","",IF(LEFT(UPPER(TRIM(Sync!$AH1110)),2)="SL",UPPER(TRIM(Sync!$AH1110)),""))</f>
        <v/>
      </c>
      <c r="G1110">
        <f>IF($F1110="","",IF(Sync!$AE1110="","",IF(ISNUMBER(Sync!$AE1110),IF(AND(Sync!$AE1110&gt;=10000101,Sync!$AE1110&lt;=99991231),INT(Sync!$AE1110/10000),""),IFERROR(VALUE(TRIM(LEFT(Sync!$AE1110,FIND("/",Sync!$AE1110)-1))),""))))</f>
        <v/>
      </c>
      <c r="H1110">
        <f>IF(OR($F1110="",$G1110=""),"",IF(ISNUMBER(Sync!$AE1110),INT(MOD(Sync!$AE1110,10000)/100),IFERROR(VALUE(TRIM(LEFT(MID(Sync!$AE1110,FIND("/",Sync!$AE1110)+1,20),FIND("/",MID(Sync!$AE1110,FIND("/",Sync!$AE1110)+1,20))-1))),"")))</f>
        <v/>
      </c>
      <c r="I1110">
        <f>IF(OR($F1110="",$G1110=""),"",IF(ISNUMBER(Sync!$AE1110),MOD(Sync!$AE1110,100),IFERROR(VALUE(TRIM(MID(MID(Sync!$AE1110,FIND("/",Sync!$AE1110)+1,20),FIND("/",MID(Sync!$AE1110,FIND("/",Sync!$AE1110)+1,20))+1,20))),"")))</f>
        <v/>
      </c>
      <c r="J1110">
        <f>IF($F1110="","",IF(OR($G1110="",$H1110="",$I1110="",$G1110&lt;1300,$G1110&gt;1500,$H1110&lt;1,$H1110&gt;12,$I1110&lt;1,$I1110&gt;31),"نامعتبر",RIGHT("0000"&amp;$G1110,4)&amp;"/"&amp;RIGHT("00"&amp;$H1110,2)&amp;"/"&amp;RIGHT("00"&amp;$I1110,2)))</f>
        <v/>
      </c>
      <c r="K1110">
        <f>IF(OR($F1110="",$J1110="",$J1110="نامعتبر"),"",LEFT($J1110,4)&amp;MID($J1110,6,2)&amp;RIGHT($J1110,2)&amp;$N1110&amp;"|"&amp;"2"&amp;RIGHT("00000"&amp;1105,5))</f>
        <v/>
      </c>
      <c r="L1110">
        <f>IF($K1110="","",COUNTIFS(LdgSellerA,$F1110,LdgKeyA,"&lt;"&amp;$K1110)+COUNTIFS(LdgSellerB,$F1110,LdgKeyB,"&lt;"&amp;$K1110)+1)</f>
        <v/>
      </c>
      <c r="M1110">
        <f>IF($L1110="","",$F1110&amp;"|"&amp;RIGHT("000000"&amp;$L1110,6))</f>
        <v/>
      </c>
      <c r="N1110">
        <f>IF($F1110="","",IF(Sync!$AF1110="","0000",IF(AND(ISNUMBER(Sync!$AF1110),Sync!$AF1110&gt;=0,Sync!$AF1110&lt;1),RIGHT("00"&amp;HOUR(Sync!$AF1110),2)&amp;RIGHT("00"&amp;MINUTE(Sync!$AF1110),2),IFERROR(RIGHT("00"&amp;VALUE(LEFT(Sync!$AF1110,FIND(":",Sync!$AF1110)-1)),2)&amp;RIGHT("00"&amp;VALUE(MID(Sync!$AF1110,FIND(":",Sync!$AF1110)+1,2)),2),"0000"))))</f>
        <v/>
      </c>
    </row>
    <row r="1111">
      <c r="A1111">
        <f>IF(OR(Calc!$E1115="",Calc!$E1115="نامعتبر",Calc!$G1115=""),"",Calc!$G1115)</f>
        <v/>
      </c>
      <c r="B1111">
        <f>IF($A1111="","",LEFT(Calc!$E1115,4)&amp;MID(Calc!$E1115,6,2)&amp;RIGHT(Calc!$E1115,2)&amp;Calc!$Q1115&amp;"|"&amp;"1"&amp;RIGHT("00000"&amp;1106,5))</f>
        <v/>
      </c>
      <c r="C1111">
        <f>IF($B1111="","",COUNTIFS(LdgSellerA,$A1111,LdgKeyA,"&lt;"&amp;$B1111)+COUNTIFS(LdgSellerB,$A1111,LdgKeyB,"&lt;"&amp;$B1111)+1)</f>
        <v/>
      </c>
      <c r="D1111">
        <f>IF($C1111="","",$A1111&amp;"|"&amp;RIGHT("000000"&amp;$C1111,6))</f>
        <v/>
      </c>
      <c r="F1111">
        <f>IF(Sync!$AH1111="","",IF(LEFT(UPPER(TRIM(Sync!$AH1111)),2)="SL",UPPER(TRIM(Sync!$AH1111)),""))</f>
        <v/>
      </c>
      <c r="G1111">
        <f>IF($F1111="","",IF(Sync!$AE1111="","",IF(ISNUMBER(Sync!$AE1111),IF(AND(Sync!$AE1111&gt;=10000101,Sync!$AE1111&lt;=99991231),INT(Sync!$AE1111/10000),""),IFERROR(VALUE(TRIM(LEFT(Sync!$AE1111,FIND("/",Sync!$AE1111)-1))),""))))</f>
        <v/>
      </c>
      <c r="H1111">
        <f>IF(OR($F1111="",$G1111=""),"",IF(ISNUMBER(Sync!$AE1111),INT(MOD(Sync!$AE1111,10000)/100),IFERROR(VALUE(TRIM(LEFT(MID(Sync!$AE1111,FIND("/",Sync!$AE1111)+1,20),FIND("/",MID(Sync!$AE1111,FIND("/",Sync!$AE1111)+1,20))-1))),"")))</f>
        <v/>
      </c>
      <c r="I1111">
        <f>IF(OR($F1111="",$G1111=""),"",IF(ISNUMBER(Sync!$AE1111),MOD(Sync!$AE1111,100),IFERROR(VALUE(TRIM(MID(MID(Sync!$AE1111,FIND("/",Sync!$AE1111)+1,20),FIND("/",MID(Sync!$AE1111,FIND("/",Sync!$AE1111)+1,20))+1,20))),"")))</f>
        <v/>
      </c>
      <c r="J1111">
        <f>IF($F1111="","",IF(OR($G1111="",$H1111="",$I1111="",$G1111&lt;1300,$G1111&gt;1500,$H1111&lt;1,$H1111&gt;12,$I1111&lt;1,$I1111&gt;31),"نامعتبر",RIGHT("0000"&amp;$G1111,4)&amp;"/"&amp;RIGHT("00"&amp;$H1111,2)&amp;"/"&amp;RIGHT("00"&amp;$I1111,2)))</f>
        <v/>
      </c>
      <c r="K1111">
        <f>IF(OR($F1111="",$J1111="",$J1111="نامعتبر"),"",LEFT($J1111,4)&amp;MID($J1111,6,2)&amp;RIGHT($J1111,2)&amp;$N1111&amp;"|"&amp;"2"&amp;RIGHT("00000"&amp;1106,5))</f>
        <v/>
      </c>
      <c r="L1111">
        <f>IF($K1111="","",COUNTIFS(LdgSellerA,$F1111,LdgKeyA,"&lt;"&amp;$K1111)+COUNTIFS(LdgSellerB,$F1111,LdgKeyB,"&lt;"&amp;$K1111)+1)</f>
        <v/>
      </c>
      <c r="M1111">
        <f>IF($L1111="","",$F1111&amp;"|"&amp;RIGHT("000000"&amp;$L1111,6))</f>
        <v/>
      </c>
      <c r="N1111">
        <f>IF($F1111="","",IF(Sync!$AF1111="","0000",IF(AND(ISNUMBER(Sync!$AF1111),Sync!$AF1111&gt;=0,Sync!$AF1111&lt;1),RIGHT("00"&amp;HOUR(Sync!$AF1111),2)&amp;RIGHT("00"&amp;MINUTE(Sync!$AF1111),2),IFERROR(RIGHT("00"&amp;VALUE(LEFT(Sync!$AF1111,FIND(":",Sync!$AF1111)-1)),2)&amp;RIGHT("00"&amp;VALUE(MID(Sync!$AF1111,FIND(":",Sync!$AF1111)+1,2)),2),"0000"))))</f>
        <v/>
      </c>
    </row>
    <row r="1112">
      <c r="A1112">
        <f>IF(OR(Calc!$E1116="",Calc!$E1116="نامعتبر",Calc!$G1116=""),"",Calc!$G1116)</f>
        <v/>
      </c>
      <c r="B1112">
        <f>IF($A1112="","",LEFT(Calc!$E1116,4)&amp;MID(Calc!$E1116,6,2)&amp;RIGHT(Calc!$E1116,2)&amp;Calc!$Q1116&amp;"|"&amp;"1"&amp;RIGHT("00000"&amp;1107,5))</f>
        <v/>
      </c>
      <c r="C1112">
        <f>IF($B1112="","",COUNTIFS(LdgSellerA,$A1112,LdgKeyA,"&lt;"&amp;$B1112)+COUNTIFS(LdgSellerB,$A1112,LdgKeyB,"&lt;"&amp;$B1112)+1)</f>
        <v/>
      </c>
      <c r="D1112">
        <f>IF($C1112="","",$A1112&amp;"|"&amp;RIGHT("000000"&amp;$C1112,6))</f>
        <v/>
      </c>
      <c r="F1112">
        <f>IF(Sync!$AH1112="","",IF(LEFT(UPPER(TRIM(Sync!$AH1112)),2)="SL",UPPER(TRIM(Sync!$AH1112)),""))</f>
        <v/>
      </c>
      <c r="G1112">
        <f>IF($F1112="","",IF(Sync!$AE1112="","",IF(ISNUMBER(Sync!$AE1112),IF(AND(Sync!$AE1112&gt;=10000101,Sync!$AE1112&lt;=99991231),INT(Sync!$AE1112/10000),""),IFERROR(VALUE(TRIM(LEFT(Sync!$AE1112,FIND("/",Sync!$AE1112)-1))),""))))</f>
        <v/>
      </c>
      <c r="H1112">
        <f>IF(OR($F1112="",$G1112=""),"",IF(ISNUMBER(Sync!$AE1112),INT(MOD(Sync!$AE1112,10000)/100),IFERROR(VALUE(TRIM(LEFT(MID(Sync!$AE1112,FIND("/",Sync!$AE1112)+1,20),FIND("/",MID(Sync!$AE1112,FIND("/",Sync!$AE1112)+1,20))-1))),"")))</f>
        <v/>
      </c>
      <c r="I1112">
        <f>IF(OR($F1112="",$G1112=""),"",IF(ISNUMBER(Sync!$AE1112),MOD(Sync!$AE1112,100),IFERROR(VALUE(TRIM(MID(MID(Sync!$AE1112,FIND("/",Sync!$AE1112)+1,20),FIND("/",MID(Sync!$AE1112,FIND("/",Sync!$AE1112)+1,20))+1,20))),"")))</f>
        <v/>
      </c>
      <c r="J1112">
        <f>IF($F1112="","",IF(OR($G1112="",$H1112="",$I1112="",$G1112&lt;1300,$G1112&gt;1500,$H1112&lt;1,$H1112&gt;12,$I1112&lt;1,$I1112&gt;31),"نامعتبر",RIGHT("0000"&amp;$G1112,4)&amp;"/"&amp;RIGHT("00"&amp;$H1112,2)&amp;"/"&amp;RIGHT("00"&amp;$I1112,2)))</f>
        <v/>
      </c>
      <c r="K1112">
        <f>IF(OR($F1112="",$J1112="",$J1112="نامعتبر"),"",LEFT($J1112,4)&amp;MID($J1112,6,2)&amp;RIGHT($J1112,2)&amp;$N1112&amp;"|"&amp;"2"&amp;RIGHT("00000"&amp;1107,5))</f>
        <v/>
      </c>
      <c r="L1112">
        <f>IF($K1112="","",COUNTIFS(LdgSellerA,$F1112,LdgKeyA,"&lt;"&amp;$K1112)+COUNTIFS(LdgSellerB,$F1112,LdgKeyB,"&lt;"&amp;$K1112)+1)</f>
        <v/>
      </c>
      <c r="M1112">
        <f>IF($L1112="","",$F1112&amp;"|"&amp;RIGHT("000000"&amp;$L1112,6))</f>
        <v/>
      </c>
      <c r="N1112">
        <f>IF($F1112="","",IF(Sync!$AF1112="","0000",IF(AND(ISNUMBER(Sync!$AF1112),Sync!$AF1112&gt;=0,Sync!$AF1112&lt;1),RIGHT("00"&amp;HOUR(Sync!$AF1112),2)&amp;RIGHT("00"&amp;MINUTE(Sync!$AF1112),2),IFERROR(RIGHT("00"&amp;VALUE(LEFT(Sync!$AF1112,FIND(":",Sync!$AF1112)-1)),2)&amp;RIGHT("00"&amp;VALUE(MID(Sync!$AF1112,FIND(":",Sync!$AF1112)+1,2)),2),"0000"))))</f>
        <v/>
      </c>
    </row>
    <row r="1113">
      <c r="A1113">
        <f>IF(OR(Calc!$E1117="",Calc!$E1117="نامعتبر",Calc!$G1117=""),"",Calc!$G1117)</f>
        <v/>
      </c>
      <c r="B1113">
        <f>IF($A1113="","",LEFT(Calc!$E1117,4)&amp;MID(Calc!$E1117,6,2)&amp;RIGHT(Calc!$E1117,2)&amp;Calc!$Q1117&amp;"|"&amp;"1"&amp;RIGHT("00000"&amp;1108,5))</f>
        <v/>
      </c>
      <c r="C1113">
        <f>IF($B1113="","",COUNTIFS(LdgSellerA,$A1113,LdgKeyA,"&lt;"&amp;$B1113)+COUNTIFS(LdgSellerB,$A1113,LdgKeyB,"&lt;"&amp;$B1113)+1)</f>
        <v/>
      </c>
      <c r="D1113">
        <f>IF($C1113="","",$A1113&amp;"|"&amp;RIGHT("000000"&amp;$C1113,6))</f>
        <v/>
      </c>
      <c r="F1113">
        <f>IF(Sync!$AH1113="","",IF(LEFT(UPPER(TRIM(Sync!$AH1113)),2)="SL",UPPER(TRIM(Sync!$AH1113)),""))</f>
        <v/>
      </c>
      <c r="G1113">
        <f>IF($F1113="","",IF(Sync!$AE1113="","",IF(ISNUMBER(Sync!$AE1113),IF(AND(Sync!$AE1113&gt;=10000101,Sync!$AE1113&lt;=99991231),INT(Sync!$AE1113/10000),""),IFERROR(VALUE(TRIM(LEFT(Sync!$AE1113,FIND("/",Sync!$AE1113)-1))),""))))</f>
        <v/>
      </c>
      <c r="H1113">
        <f>IF(OR($F1113="",$G1113=""),"",IF(ISNUMBER(Sync!$AE1113),INT(MOD(Sync!$AE1113,10000)/100),IFERROR(VALUE(TRIM(LEFT(MID(Sync!$AE1113,FIND("/",Sync!$AE1113)+1,20),FIND("/",MID(Sync!$AE1113,FIND("/",Sync!$AE1113)+1,20))-1))),"")))</f>
        <v/>
      </c>
      <c r="I1113">
        <f>IF(OR($F1113="",$G1113=""),"",IF(ISNUMBER(Sync!$AE1113),MOD(Sync!$AE1113,100),IFERROR(VALUE(TRIM(MID(MID(Sync!$AE1113,FIND("/",Sync!$AE1113)+1,20),FIND("/",MID(Sync!$AE1113,FIND("/",Sync!$AE1113)+1,20))+1,20))),"")))</f>
        <v/>
      </c>
      <c r="J1113">
        <f>IF($F1113="","",IF(OR($G1113="",$H1113="",$I1113="",$G1113&lt;1300,$G1113&gt;1500,$H1113&lt;1,$H1113&gt;12,$I1113&lt;1,$I1113&gt;31),"نامعتبر",RIGHT("0000"&amp;$G1113,4)&amp;"/"&amp;RIGHT("00"&amp;$H1113,2)&amp;"/"&amp;RIGHT("00"&amp;$I1113,2)))</f>
        <v/>
      </c>
      <c r="K1113">
        <f>IF(OR($F1113="",$J1113="",$J1113="نامعتبر"),"",LEFT($J1113,4)&amp;MID($J1113,6,2)&amp;RIGHT($J1113,2)&amp;$N1113&amp;"|"&amp;"2"&amp;RIGHT("00000"&amp;1108,5))</f>
        <v/>
      </c>
      <c r="L1113">
        <f>IF($K1113="","",COUNTIFS(LdgSellerA,$F1113,LdgKeyA,"&lt;"&amp;$K1113)+COUNTIFS(LdgSellerB,$F1113,LdgKeyB,"&lt;"&amp;$K1113)+1)</f>
        <v/>
      </c>
      <c r="M1113">
        <f>IF($L1113="","",$F1113&amp;"|"&amp;RIGHT("000000"&amp;$L1113,6))</f>
        <v/>
      </c>
      <c r="N1113">
        <f>IF($F1113="","",IF(Sync!$AF1113="","0000",IF(AND(ISNUMBER(Sync!$AF1113),Sync!$AF1113&gt;=0,Sync!$AF1113&lt;1),RIGHT("00"&amp;HOUR(Sync!$AF1113),2)&amp;RIGHT("00"&amp;MINUTE(Sync!$AF1113),2),IFERROR(RIGHT("00"&amp;VALUE(LEFT(Sync!$AF1113,FIND(":",Sync!$AF1113)-1)),2)&amp;RIGHT("00"&amp;VALUE(MID(Sync!$AF1113,FIND(":",Sync!$AF1113)+1,2)),2),"0000"))))</f>
        <v/>
      </c>
    </row>
    <row r="1114">
      <c r="A1114">
        <f>IF(OR(Calc!$E1118="",Calc!$E1118="نامعتبر",Calc!$G1118=""),"",Calc!$G1118)</f>
        <v/>
      </c>
      <c r="B1114">
        <f>IF($A1114="","",LEFT(Calc!$E1118,4)&amp;MID(Calc!$E1118,6,2)&amp;RIGHT(Calc!$E1118,2)&amp;Calc!$Q1118&amp;"|"&amp;"1"&amp;RIGHT("00000"&amp;1109,5))</f>
        <v/>
      </c>
      <c r="C1114">
        <f>IF($B1114="","",COUNTIFS(LdgSellerA,$A1114,LdgKeyA,"&lt;"&amp;$B1114)+COUNTIFS(LdgSellerB,$A1114,LdgKeyB,"&lt;"&amp;$B1114)+1)</f>
        <v/>
      </c>
      <c r="D1114">
        <f>IF($C1114="","",$A1114&amp;"|"&amp;RIGHT("000000"&amp;$C1114,6))</f>
        <v/>
      </c>
      <c r="F1114">
        <f>IF(Sync!$AH1114="","",IF(LEFT(UPPER(TRIM(Sync!$AH1114)),2)="SL",UPPER(TRIM(Sync!$AH1114)),""))</f>
        <v/>
      </c>
      <c r="G1114">
        <f>IF($F1114="","",IF(Sync!$AE1114="","",IF(ISNUMBER(Sync!$AE1114),IF(AND(Sync!$AE1114&gt;=10000101,Sync!$AE1114&lt;=99991231),INT(Sync!$AE1114/10000),""),IFERROR(VALUE(TRIM(LEFT(Sync!$AE1114,FIND("/",Sync!$AE1114)-1))),""))))</f>
        <v/>
      </c>
      <c r="H1114">
        <f>IF(OR($F1114="",$G1114=""),"",IF(ISNUMBER(Sync!$AE1114),INT(MOD(Sync!$AE1114,10000)/100),IFERROR(VALUE(TRIM(LEFT(MID(Sync!$AE1114,FIND("/",Sync!$AE1114)+1,20),FIND("/",MID(Sync!$AE1114,FIND("/",Sync!$AE1114)+1,20))-1))),"")))</f>
        <v/>
      </c>
      <c r="I1114">
        <f>IF(OR($F1114="",$G1114=""),"",IF(ISNUMBER(Sync!$AE1114),MOD(Sync!$AE1114,100),IFERROR(VALUE(TRIM(MID(MID(Sync!$AE1114,FIND("/",Sync!$AE1114)+1,20),FIND("/",MID(Sync!$AE1114,FIND("/",Sync!$AE1114)+1,20))+1,20))),"")))</f>
        <v/>
      </c>
      <c r="J1114">
        <f>IF($F1114="","",IF(OR($G1114="",$H1114="",$I1114="",$G1114&lt;1300,$G1114&gt;1500,$H1114&lt;1,$H1114&gt;12,$I1114&lt;1,$I1114&gt;31),"نامعتبر",RIGHT("0000"&amp;$G1114,4)&amp;"/"&amp;RIGHT("00"&amp;$H1114,2)&amp;"/"&amp;RIGHT("00"&amp;$I1114,2)))</f>
        <v/>
      </c>
      <c r="K1114">
        <f>IF(OR($F1114="",$J1114="",$J1114="نامعتبر"),"",LEFT($J1114,4)&amp;MID($J1114,6,2)&amp;RIGHT($J1114,2)&amp;$N1114&amp;"|"&amp;"2"&amp;RIGHT("00000"&amp;1109,5))</f>
        <v/>
      </c>
      <c r="L1114">
        <f>IF($K1114="","",COUNTIFS(LdgSellerA,$F1114,LdgKeyA,"&lt;"&amp;$K1114)+COUNTIFS(LdgSellerB,$F1114,LdgKeyB,"&lt;"&amp;$K1114)+1)</f>
        <v/>
      </c>
      <c r="M1114">
        <f>IF($L1114="","",$F1114&amp;"|"&amp;RIGHT("000000"&amp;$L1114,6))</f>
        <v/>
      </c>
      <c r="N1114">
        <f>IF($F1114="","",IF(Sync!$AF1114="","0000",IF(AND(ISNUMBER(Sync!$AF1114),Sync!$AF1114&gt;=0,Sync!$AF1114&lt;1),RIGHT("00"&amp;HOUR(Sync!$AF1114),2)&amp;RIGHT("00"&amp;MINUTE(Sync!$AF1114),2),IFERROR(RIGHT("00"&amp;VALUE(LEFT(Sync!$AF1114,FIND(":",Sync!$AF1114)-1)),2)&amp;RIGHT("00"&amp;VALUE(MID(Sync!$AF1114,FIND(":",Sync!$AF1114)+1,2)),2),"0000"))))</f>
        <v/>
      </c>
    </row>
    <row r="1115">
      <c r="A1115">
        <f>IF(OR(Calc!$E1119="",Calc!$E1119="نامعتبر",Calc!$G1119=""),"",Calc!$G1119)</f>
        <v/>
      </c>
      <c r="B1115">
        <f>IF($A1115="","",LEFT(Calc!$E1119,4)&amp;MID(Calc!$E1119,6,2)&amp;RIGHT(Calc!$E1119,2)&amp;Calc!$Q1119&amp;"|"&amp;"1"&amp;RIGHT("00000"&amp;1110,5))</f>
        <v/>
      </c>
      <c r="C1115">
        <f>IF($B1115="","",COUNTIFS(LdgSellerA,$A1115,LdgKeyA,"&lt;"&amp;$B1115)+COUNTIFS(LdgSellerB,$A1115,LdgKeyB,"&lt;"&amp;$B1115)+1)</f>
        <v/>
      </c>
      <c r="D1115">
        <f>IF($C1115="","",$A1115&amp;"|"&amp;RIGHT("000000"&amp;$C1115,6))</f>
        <v/>
      </c>
      <c r="F1115">
        <f>IF(Sync!$AH1115="","",IF(LEFT(UPPER(TRIM(Sync!$AH1115)),2)="SL",UPPER(TRIM(Sync!$AH1115)),""))</f>
        <v/>
      </c>
      <c r="G1115">
        <f>IF($F1115="","",IF(Sync!$AE1115="","",IF(ISNUMBER(Sync!$AE1115),IF(AND(Sync!$AE1115&gt;=10000101,Sync!$AE1115&lt;=99991231),INT(Sync!$AE1115/10000),""),IFERROR(VALUE(TRIM(LEFT(Sync!$AE1115,FIND("/",Sync!$AE1115)-1))),""))))</f>
        <v/>
      </c>
      <c r="H1115">
        <f>IF(OR($F1115="",$G1115=""),"",IF(ISNUMBER(Sync!$AE1115),INT(MOD(Sync!$AE1115,10000)/100),IFERROR(VALUE(TRIM(LEFT(MID(Sync!$AE1115,FIND("/",Sync!$AE1115)+1,20),FIND("/",MID(Sync!$AE1115,FIND("/",Sync!$AE1115)+1,20))-1))),"")))</f>
        <v/>
      </c>
      <c r="I1115">
        <f>IF(OR($F1115="",$G1115=""),"",IF(ISNUMBER(Sync!$AE1115),MOD(Sync!$AE1115,100),IFERROR(VALUE(TRIM(MID(MID(Sync!$AE1115,FIND("/",Sync!$AE1115)+1,20),FIND("/",MID(Sync!$AE1115,FIND("/",Sync!$AE1115)+1,20))+1,20))),"")))</f>
        <v/>
      </c>
      <c r="J1115">
        <f>IF($F1115="","",IF(OR($G1115="",$H1115="",$I1115="",$G1115&lt;1300,$G1115&gt;1500,$H1115&lt;1,$H1115&gt;12,$I1115&lt;1,$I1115&gt;31),"نامعتبر",RIGHT("0000"&amp;$G1115,4)&amp;"/"&amp;RIGHT("00"&amp;$H1115,2)&amp;"/"&amp;RIGHT("00"&amp;$I1115,2)))</f>
        <v/>
      </c>
      <c r="K1115">
        <f>IF(OR($F1115="",$J1115="",$J1115="نامعتبر"),"",LEFT($J1115,4)&amp;MID($J1115,6,2)&amp;RIGHT($J1115,2)&amp;$N1115&amp;"|"&amp;"2"&amp;RIGHT("00000"&amp;1110,5))</f>
        <v/>
      </c>
      <c r="L1115">
        <f>IF($K1115="","",COUNTIFS(LdgSellerA,$F1115,LdgKeyA,"&lt;"&amp;$K1115)+COUNTIFS(LdgSellerB,$F1115,LdgKeyB,"&lt;"&amp;$K1115)+1)</f>
        <v/>
      </c>
      <c r="M1115">
        <f>IF($L1115="","",$F1115&amp;"|"&amp;RIGHT("000000"&amp;$L1115,6))</f>
        <v/>
      </c>
      <c r="N1115">
        <f>IF($F1115="","",IF(Sync!$AF1115="","0000",IF(AND(ISNUMBER(Sync!$AF1115),Sync!$AF1115&gt;=0,Sync!$AF1115&lt;1),RIGHT("00"&amp;HOUR(Sync!$AF1115),2)&amp;RIGHT("00"&amp;MINUTE(Sync!$AF1115),2),IFERROR(RIGHT("00"&amp;VALUE(LEFT(Sync!$AF1115,FIND(":",Sync!$AF1115)-1)),2)&amp;RIGHT("00"&amp;VALUE(MID(Sync!$AF1115,FIND(":",Sync!$AF1115)+1,2)),2),"0000"))))</f>
        <v/>
      </c>
    </row>
    <row r="1116">
      <c r="A1116">
        <f>IF(OR(Calc!$E1120="",Calc!$E1120="نامعتبر",Calc!$G1120=""),"",Calc!$G1120)</f>
        <v/>
      </c>
      <c r="B1116">
        <f>IF($A1116="","",LEFT(Calc!$E1120,4)&amp;MID(Calc!$E1120,6,2)&amp;RIGHT(Calc!$E1120,2)&amp;Calc!$Q1120&amp;"|"&amp;"1"&amp;RIGHT("00000"&amp;1111,5))</f>
        <v/>
      </c>
      <c r="C1116">
        <f>IF($B1116="","",COUNTIFS(LdgSellerA,$A1116,LdgKeyA,"&lt;"&amp;$B1116)+COUNTIFS(LdgSellerB,$A1116,LdgKeyB,"&lt;"&amp;$B1116)+1)</f>
        <v/>
      </c>
      <c r="D1116">
        <f>IF($C1116="","",$A1116&amp;"|"&amp;RIGHT("000000"&amp;$C1116,6))</f>
        <v/>
      </c>
      <c r="F1116">
        <f>IF(Sync!$AH1116="","",IF(LEFT(UPPER(TRIM(Sync!$AH1116)),2)="SL",UPPER(TRIM(Sync!$AH1116)),""))</f>
        <v/>
      </c>
      <c r="G1116">
        <f>IF($F1116="","",IF(Sync!$AE1116="","",IF(ISNUMBER(Sync!$AE1116),IF(AND(Sync!$AE1116&gt;=10000101,Sync!$AE1116&lt;=99991231),INT(Sync!$AE1116/10000),""),IFERROR(VALUE(TRIM(LEFT(Sync!$AE1116,FIND("/",Sync!$AE1116)-1))),""))))</f>
        <v/>
      </c>
      <c r="H1116">
        <f>IF(OR($F1116="",$G1116=""),"",IF(ISNUMBER(Sync!$AE1116),INT(MOD(Sync!$AE1116,10000)/100),IFERROR(VALUE(TRIM(LEFT(MID(Sync!$AE1116,FIND("/",Sync!$AE1116)+1,20),FIND("/",MID(Sync!$AE1116,FIND("/",Sync!$AE1116)+1,20))-1))),"")))</f>
        <v/>
      </c>
      <c r="I1116">
        <f>IF(OR($F1116="",$G1116=""),"",IF(ISNUMBER(Sync!$AE1116),MOD(Sync!$AE1116,100),IFERROR(VALUE(TRIM(MID(MID(Sync!$AE1116,FIND("/",Sync!$AE1116)+1,20),FIND("/",MID(Sync!$AE1116,FIND("/",Sync!$AE1116)+1,20))+1,20))),"")))</f>
        <v/>
      </c>
      <c r="J1116">
        <f>IF($F1116="","",IF(OR($G1116="",$H1116="",$I1116="",$G1116&lt;1300,$G1116&gt;1500,$H1116&lt;1,$H1116&gt;12,$I1116&lt;1,$I1116&gt;31),"نامعتبر",RIGHT("0000"&amp;$G1116,4)&amp;"/"&amp;RIGHT("00"&amp;$H1116,2)&amp;"/"&amp;RIGHT("00"&amp;$I1116,2)))</f>
        <v/>
      </c>
      <c r="K1116">
        <f>IF(OR($F1116="",$J1116="",$J1116="نامعتبر"),"",LEFT($J1116,4)&amp;MID($J1116,6,2)&amp;RIGHT($J1116,2)&amp;$N1116&amp;"|"&amp;"2"&amp;RIGHT("00000"&amp;1111,5))</f>
        <v/>
      </c>
      <c r="L1116">
        <f>IF($K1116="","",COUNTIFS(LdgSellerA,$F1116,LdgKeyA,"&lt;"&amp;$K1116)+COUNTIFS(LdgSellerB,$F1116,LdgKeyB,"&lt;"&amp;$K1116)+1)</f>
        <v/>
      </c>
      <c r="M1116">
        <f>IF($L1116="","",$F1116&amp;"|"&amp;RIGHT("000000"&amp;$L1116,6))</f>
        <v/>
      </c>
      <c r="N1116">
        <f>IF($F1116="","",IF(Sync!$AF1116="","0000",IF(AND(ISNUMBER(Sync!$AF1116),Sync!$AF1116&gt;=0,Sync!$AF1116&lt;1),RIGHT("00"&amp;HOUR(Sync!$AF1116),2)&amp;RIGHT("00"&amp;MINUTE(Sync!$AF1116),2),IFERROR(RIGHT("00"&amp;VALUE(LEFT(Sync!$AF1116,FIND(":",Sync!$AF1116)-1)),2)&amp;RIGHT("00"&amp;VALUE(MID(Sync!$AF1116,FIND(":",Sync!$AF1116)+1,2)),2),"0000"))))</f>
        <v/>
      </c>
    </row>
    <row r="1117">
      <c r="A1117">
        <f>IF(OR(Calc!$E1121="",Calc!$E1121="نامعتبر",Calc!$G1121=""),"",Calc!$G1121)</f>
        <v/>
      </c>
      <c r="B1117">
        <f>IF($A1117="","",LEFT(Calc!$E1121,4)&amp;MID(Calc!$E1121,6,2)&amp;RIGHT(Calc!$E1121,2)&amp;Calc!$Q1121&amp;"|"&amp;"1"&amp;RIGHT("00000"&amp;1112,5))</f>
        <v/>
      </c>
      <c r="C1117">
        <f>IF($B1117="","",COUNTIFS(LdgSellerA,$A1117,LdgKeyA,"&lt;"&amp;$B1117)+COUNTIFS(LdgSellerB,$A1117,LdgKeyB,"&lt;"&amp;$B1117)+1)</f>
        <v/>
      </c>
      <c r="D1117">
        <f>IF($C1117="","",$A1117&amp;"|"&amp;RIGHT("000000"&amp;$C1117,6))</f>
        <v/>
      </c>
      <c r="F1117">
        <f>IF(Sync!$AH1117="","",IF(LEFT(UPPER(TRIM(Sync!$AH1117)),2)="SL",UPPER(TRIM(Sync!$AH1117)),""))</f>
        <v/>
      </c>
      <c r="G1117">
        <f>IF($F1117="","",IF(Sync!$AE1117="","",IF(ISNUMBER(Sync!$AE1117),IF(AND(Sync!$AE1117&gt;=10000101,Sync!$AE1117&lt;=99991231),INT(Sync!$AE1117/10000),""),IFERROR(VALUE(TRIM(LEFT(Sync!$AE1117,FIND("/",Sync!$AE1117)-1))),""))))</f>
        <v/>
      </c>
      <c r="H1117">
        <f>IF(OR($F1117="",$G1117=""),"",IF(ISNUMBER(Sync!$AE1117),INT(MOD(Sync!$AE1117,10000)/100),IFERROR(VALUE(TRIM(LEFT(MID(Sync!$AE1117,FIND("/",Sync!$AE1117)+1,20),FIND("/",MID(Sync!$AE1117,FIND("/",Sync!$AE1117)+1,20))-1))),"")))</f>
        <v/>
      </c>
      <c r="I1117">
        <f>IF(OR($F1117="",$G1117=""),"",IF(ISNUMBER(Sync!$AE1117),MOD(Sync!$AE1117,100),IFERROR(VALUE(TRIM(MID(MID(Sync!$AE1117,FIND("/",Sync!$AE1117)+1,20),FIND("/",MID(Sync!$AE1117,FIND("/",Sync!$AE1117)+1,20))+1,20))),"")))</f>
        <v/>
      </c>
      <c r="J1117">
        <f>IF($F1117="","",IF(OR($G1117="",$H1117="",$I1117="",$G1117&lt;1300,$G1117&gt;1500,$H1117&lt;1,$H1117&gt;12,$I1117&lt;1,$I1117&gt;31),"نامعتبر",RIGHT("0000"&amp;$G1117,4)&amp;"/"&amp;RIGHT("00"&amp;$H1117,2)&amp;"/"&amp;RIGHT("00"&amp;$I1117,2)))</f>
        <v/>
      </c>
      <c r="K1117">
        <f>IF(OR($F1117="",$J1117="",$J1117="نامعتبر"),"",LEFT($J1117,4)&amp;MID($J1117,6,2)&amp;RIGHT($J1117,2)&amp;$N1117&amp;"|"&amp;"2"&amp;RIGHT("00000"&amp;1112,5))</f>
        <v/>
      </c>
      <c r="L1117">
        <f>IF($K1117="","",COUNTIFS(LdgSellerA,$F1117,LdgKeyA,"&lt;"&amp;$K1117)+COUNTIFS(LdgSellerB,$F1117,LdgKeyB,"&lt;"&amp;$K1117)+1)</f>
        <v/>
      </c>
      <c r="M1117">
        <f>IF($L1117="","",$F1117&amp;"|"&amp;RIGHT("000000"&amp;$L1117,6))</f>
        <v/>
      </c>
      <c r="N1117">
        <f>IF($F1117="","",IF(Sync!$AF1117="","0000",IF(AND(ISNUMBER(Sync!$AF1117),Sync!$AF1117&gt;=0,Sync!$AF1117&lt;1),RIGHT("00"&amp;HOUR(Sync!$AF1117),2)&amp;RIGHT("00"&amp;MINUTE(Sync!$AF1117),2),IFERROR(RIGHT("00"&amp;VALUE(LEFT(Sync!$AF1117,FIND(":",Sync!$AF1117)-1)),2)&amp;RIGHT("00"&amp;VALUE(MID(Sync!$AF1117,FIND(":",Sync!$AF1117)+1,2)),2),"0000"))))</f>
        <v/>
      </c>
    </row>
    <row r="1118">
      <c r="A1118">
        <f>IF(OR(Calc!$E1122="",Calc!$E1122="نامعتبر",Calc!$G1122=""),"",Calc!$G1122)</f>
        <v/>
      </c>
      <c r="B1118">
        <f>IF($A1118="","",LEFT(Calc!$E1122,4)&amp;MID(Calc!$E1122,6,2)&amp;RIGHT(Calc!$E1122,2)&amp;Calc!$Q1122&amp;"|"&amp;"1"&amp;RIGHT("00000"&amp;1113,5))</f>
        <v/>
      </c>
      <c r="C1118">
        <f>IF($B1118="","",COUNTIFS(LdgSellerA,$A1118,LdgKeyA,"&lt;"&amp;$B1118)+COUNTIFS(LdgSellerB,$A1118,LdgKeyB,"&lt;"&amp;$B1118)+1)</f>
        <v/>
      </c>
      <c r="D1118">
        <f>IF($C1118="","",$A1118&amp;"|"&amp;RIGHT("000000"&amp;$C1118,6))</f>
        <v/>
      </c>
      <c r="F1118">
        <f>IF(Sync!$AH1118="","",IF(LEFT(UPPER(TRIM(Sync!$AH1118)),2)="SL",UPPER(TRIM(Sync!$AH1118)),""))</f>
        <v/>
      </c>
      <c r="G1118">
        <f>IF($F1118="","",IF(Sync!$AE1118="","",IF(ISNUMBER(Sync!$AE1118),IF(AND(Sync!$AE1118&gt;=10000101,Sync!$AE1118&lt;=99991231),INT(Sync!$AE1118/10000),""),IFERROR(VALUE(TRIM(LEFT(Sync!$AE1118,FIND("/",Sync!$AE1118)-1))),""))))</f>
        <v/>
      </c>
      <c r="H1118">
        <f>IF(OR($F1118="",$G1118=""),"",IF(ISNUMBER(Sync!$AE1118),INT(MOD(Sync!$AE1118,10000)/100),IFERROR(VALUE(TRIM(LEFT(MID(Sync!$AE1118,FIND("/",Sync!$AE1118)+1,20),FIND("/",MID(Sync!$AE1118,FIND("/",Sync!$AE1118)+1,20))-1))),"")))</f>
        <v/>
      </c>
      <c r="I1118">
        <f>IF(OR($F1118="",$G1118=""),"",IF(ISNUMBER(Sync!$AE1118),MOD(Sync!$AE1118,100),IFERROR(VALUE(TRIM(MID(MID(Sync!$AE1118,FIND("/",Sync!$AE1118)+1,20),FIND("/",MID(Sync!$AE1118,FIND("/",Sync!$AE1118)+1,20))+1,20))),"")))</f>
        <v/>
      </c>
      <c r="J1118">
        <f>IF($F1118="","",IF(OR($G1118="",$H1118="",$I1118="",$G1118&lt;1300,$G1118&gt;1500,$H1118&lt;1,$H1118&gt;12,$I1118&lt;1,$I1118&gt;31),"نامعتبر",RIGHT("0000"&amp;$G1118,4)&amp;"/"&amp;RIGHT("00"&amp;$H1118,2)&amp;"/"&amp;RIGHT("00"&amp;$I1118,2)))</f>
        <v/>
      </c>
      <c r="K1118">
        <f>IF(OR($F1118="",$J1118="",$J1118="نامعتبر"),"",LEFT($J1118,4)&amp;MID($J1118,6,2)&amp;RIGHT($J1118,2)&amp;$N1118&amp;"|"&amp;"2"&amp;RIGHT("00000"&amp;1113,5))</f>
        <v/>
      </c>
      <c r="L1118">
        <f>IF($K1118="","",COUNTIFS(LdgSellerA,$F1118,LdgKeyA,"&lt;"&amp;$K1118)+COUNTIFS(LdgSellerB,$F1118,LdgKeyB,"&lt;"&amp;$K1118)+1)</f>
        <v/>
      </c>
      <c r="M1118">
        <f>IF($L1118="","",$F1118&amp;"|"&amp;RIGHT("000000"&amp;$L1118,6))</f>
        <v/>
      </c>
      <c r="N1118">
        <f>IF($F1118="","",IF(Sync!$AF1118="","0000",IF(AND(ISNUMBER(Sync!$AF1118),Sync!$AF1118&gt;=0,Sync!$AF1118&lt;1),RIGHT("00"&amp;HOUR(Sync!$AF1118),2)&amp;RIGHT("00"&amp;MINUTE(Sync!$AF1118),2),IFERROR(RIGHT("00"&amp;VALUE(LEFT(Sync!$AF1118,FIND(":",Sync!$AF1118)-1)),2)&amp;RIGHT("00"&amp;VALUE(MID(Sync!$AF1118,FIND(":",Sync!$AF1118)+1,2)),2),"0000"))))</f>
        <v/>
      </c>
    </row>
    <row r="1119">
      <c r="A1119">
        <f>IF(OR(Calc!$E1123="",Calc!$E1123="نامعتبر",Calc!$G1123=""),"",Calc!$G1123)</f>
        <v/>
      </c>
      <c r="B1119">
        <f>IF($A1119="","",LEFT(Calc!$E1123,4)&amp;MID(Calc!$E1123,6,2)&amp;RIGHT(Calc!$E1123,2)&amp;Calc!$Q1123&amp;"|"&amp;"1"&amp;RIGHT("00000"&amp;1114,5))</f>
        <v/>
      </c>
      <c r="C1119">
        <f>IF($B1119="","",COUNTIFS(LdgSellerA,$A1119,LdgKeyA,"&lt;"&amp;$B1119)+COUNTIFS(LdgSellerB,$A1119,LdgKeyB,"&lt;"&amp;$B1119)+1)</f>
        <v/>
      </c>
      <c r="D1119">
        <f>IF($C1119="","",$A1119&amp;"|"&amp;RIGHT("000000"&amp;$C1119,6))</f>
        <v/>
      </c>
      <c r="F1119">
        <f>IF(Sync!$AH1119="","",IF(LEFT(UPPER(TRIM(Sync!$AH1119)),2)="SL",UPPER(TRIM(Sync!$AH1119)),""))</f>
        <v/>
      </c>
      <c r="G1119">
        <f>IF($F1119="","",IF(Sync!$AE1119="","",IF(ISNUMBER(Sync!$AE1119),IF(AND(Sync!$AE1119&gt;=10000101,Sync!$AE1119&lt;=99991231),INT(Sync!$AE1119/10000),""),IFERROR(VALUE(TRIM(LEFT(Sync!$AE1119,FIND("/",Sync!$AE1119)-1))),""))))</f>
        <v/>
      </c>
      <c r="H1119">
        <f>IF(OR($F1119="",$G1119=""),"",IF(ISNUMBER(Sync!$AE1119),INT(MOD(Sync!$AE1119,10000)/100),IFERROR(VALUE(TRIM(LEFT(MID(Sync!$AE1119,FIND("/",Sync!$AE1119)+1,20),FIND("/",MID(Sync!$AE1119,FIND("/",Sync!$AE1119)+1,20))-1))),"")))</f>
        <v/>
      </c>
      <c r="I1119">
        <f>IF(OR($F1119="",$G1119=""),"",IF(ISNUMBER(Sync!$AE1119),MOD(Sync!$AE1119,100),IFERROR(VALUE(TRIM(MID(MID(Sync!$AE1119,FIND("/",Sync!$AE1119)+1,20),FIND("/",MID(Sync!$AE1119,FIND("/",Sync!$AE1119)+1,20))+1,20))),"")))</f>
        <v/>
      </c>
      <c r="J1119">
        <f>IF($F1119="","",IF(OR($G1119="",$H1119="",$I1119="",$G1119&lt;1300,$G1119&gt;1500,$H1119&lt;1,$H1119&gt;12,$I1119&lt;1,$I1119&gt;31),"نامعتبر",RIGHT("0000"&amp;$G1119,4)&amp;"/"&amp;RIGHT("00"&amp;$H1119,2)&amp;"/"&amp;RIGHT("00"&amp;$I1119,2)))</f>
        <v/>
      </c>
      <c r="K1119">
        <f>IF(OR($F1119="",$J1119="",$J1119="نامعتبر"),"",LEFT($J1119,4)&amp;MID($J1119,6,2)&amp;RIGHT($J1119,2)&amp;$N1119&amp;"|"&amp;"2"&amp;RIGHT("00000"&amp;1114,5))</f>
        <v/>
      </c>
      <c r="L1119">
        <f>IF($K1119="","",COUNTIFS(LdgSellerA,$F1119,LdgKeyA,"&lt;"&amp;$K1119)+COUNTIFS(LdgSellerB,$F1119,LdgKeyB,"&lt;"&amp;$K1119)+1)</f>
        <v/>
      </c>
      <c r="M1119">
        <f>IF($L1119="","",$F1119&amp;"|"&amp;RIGHT("000000"&amp;$L1119,6))</f>
        <v/>
      </c>
      <c r="N1119">
        <f>IF($F1119="","",IF(Sync!$AF1119="","0000",IF(AND(ISNUMBER(Sync!$AF1119),Sync!$AF1119&gt;=0,Sync!$AF1119&lt;1),RIGHT("00"&amp;HOUR(Sync!$AF1119),2)&amp;RIGHT("00"&amp;MINUTE(Sync!$AF1119),2),IFERROR(RIGHT("00"&amp;VALUE(LEFT(Sync!$AF1119,FIND(":",Sync!$AF1119)-1)),2)&amp;RIGHT("00"&amp;VALUE(MID(Sync!$AF1119,FIND(":",Sync!$AF1119)+1,2)),2),"0000"))))</f>
        <v/>
      </c>
    </row>
    <row r="1120">
      <c r="A1120">
        <f>IF(OR(Calc!$E1124="",Calc!$E1124="نامعتبر",Calc!$G1124=""),"",Calc!$G1124)</f>
        <v/>
      </c>
      <c r="B1120">
        <f>IF($A1120="","",LEFT(Calc!$E1124,4)&amp;MID(Calc!$E1124,6,2)&amp;RIGHT(Calc!$E1124,2)&amp;Calc!$Q1124&amp;"|"&amp;"1"&amp;RIGHT("00000"&amp;1115,5))</f>
        <v/>
      </c>
      <c r="C1120">
        <f>IF($B1120="","",COUNTIFS(LdgSellerA,$A1120,LdgKeyA,"&lt;"&amp;$B1120)+COUNTIFS(LdgSellerB,$A1120,LdgKeyB,"&lt;"&amp;$B1120)+1)</f>
        <v/>
      </c>
      <c r="D1120">
        <f>IF($C1120="","",$A1120&amp;"|"&amp;RIGHT("000000"&amp;$C1120,6))</f>
        <v/>
      </c>
      <c r="F1120">
        <f>IF(Sync!$AH1120="","",IF(LEFT(UPPER(TRIM(Sync!$AH1120)),2)="SL",UPPER(TRIM(Sync!$AH1120)),""))</f>
        <v/>
      </c>
      <c r="G1120">
        <f>IF($F1120="","",IF(Sync!$AE1120="","",IF(ISNUMBER(Sync!$AE1120),IF(AND(Sync!$AE1120&gt;=10000101,Sync!$AE1120&lt;=99991231),INT(Sync!$AE1120/10000),""),IFERROR(VALUE(TRIM(LEFT(Sync!$AE1120,FIND("/",Sync!$AE1120)-1))),""))))</f>
        <v/>
      </c>
      <c r="H1120">
        <f>IF(OR($F1120="",$G1120=""),"",IF(ISNUMBER(Sync!$AE1120),INT(MOD(Sync!$AE1120,10000)/100),IFERROR(VALUE(TRIM(LEFT(MID(Sync!$AE1120,FIND("/",Sync!$AE1120)+1,20),FIND("/",MID(Sync!$AE1120,FIND("/",Sync!$AE1120)+1,20))-1))),"")))</f>
        <v/>
      </c>
      <c r="I1120">
        <f>IF(OR($F1120="",$G1120=""),"",IF(ISNUMBER(Sync!$AE1120),MOD(Sync!$AE1120,100),IFERROR(VALUE(TRIM(MID(MID(Sync!$AE1120,FIND("/",Sync!$AE1120)+1,20),FIND("/",MID(Sync!$AE1120,FIND("/",Sync!$AE1120)+1,20))+1,20))),"")))</f>
        <v/>
      </c>
      <c r="J1120">
        <f>IF($F1120="","",IF(OR($G1120="",$H1120="",$I1120="",$G1120&lt;1300,$G1120&gt;1500,$H1120&lt;1,$H1120&gt;12,$I1120&lt;1,$I1120&gt;31),"نامعتبر",RIGHT("0000"&amp;$G1120,4)&amp;"/"&amp;RIGHT("00"&amp;$H1120,2)&amp;"/"&amp;RIGHT("00"&amp;$I1120,2)))</f>
        <v/>
      </c>
      <c r="K1120">
        <f>IF(OR($F1120="",$J1120="",$J1120="نامعتبر"),"",LEFT($J1120,4)&amp;MID($J1120,6,2)&amp;RIGHT($J1120,2)&amp;$N1120&amp;"|"&amp;"2"&amp;RIGHT("00000"&amp;1115,5))</f>
        <v/>
      </c>
      <c r="L1120">
        <f>IF($K1120="","",COUNTIFS(LdgSellerA,$F1120,LdgKeyA,"&lt;"&amp;$K1120)+COUNTIFS(LdgSellerB,$F1120,LdgKeyB,"&lt;"&amp;$K1120)+1)</f>
        <v/>
      </c>
      <c r="M1120">
        <f>IF($L1120="","",$F1120&amp;"|"&amp;RIGHT("000000"&amp;$L1120,6))</f>
        <v/>
      </c>
      <c r="N1120">
        <f>IF($F1120="","",IF(Sync!$AF1120="","0000",IF(AND(ISNUMBER(Sync!$AF1120),Sync!$AF1120&gt;=0,Sync!$AF1120&lt;1),RIGHT("00"&amp;HOUR(Sync!$AF1120),2)&amp;RIGHT("00"&amp;MINUTE(Sync!$AF1120),2),IFERROR(RIGHT("00"&amp;VALUE(LEFT(Sync!$AF1120,FIND(":",Sync!$AF1120)-1)),2)&amp;RIGHT("00"&amp;VALUE(MID(Sync!$AF1120,FIND(":",Sync!$AF1120)+1,2)),2),"0000"))))</f>
        <v/>
      </c>
    </row>
    <row r="1121">
      <c r="A1121">
        <f>IF(OR(Calc!$E1125="",Calc!$E1125="نامعتبر",Calc!$G1125=""),"",Calc!$G1125)</f>
        <v/>
      </c>
      <c r="B1121">
        <f>IF($A1121="","",LEFT(Calc!$E1125,4)&amp;MID(Calc!$E1125,6,2)&amp;RIGHT(Calc!$E1125,2)&amp;Calc!$Q1125&amp;"|"&amp;"1"&amp;RIGHT("00000"&amp;1116,5))</f>
        <v/>
      </c>
      <c r="C1121">
        <f>IF($B1121="","",COUNTIFS(LdgSellerA,$A1121,LdgKeyA,"&lt;"&amp;$B1121)+COUNTIFS(LdgSellerB,$A1121,LdgKeyB,"&lt;"&amp;$B1121)+1)</f>
        <v/>
      </c>
      <c r="D1121">
        <f>IF($C1121="","",$A1121&amp;"|"&amp;RIGHT("000000"&amp;$C1121,6))</f>
        <v/>
      </c>
      <c r="F1121">
        <f>IF(Sync!$AH1121="","",IF(LEFT(UPPER(TRIM(Sync!$AH1121)),2)="SL",UPPER(TRIM(Sync!$AH1121)),""))</f>
        <v/>
      </c>
      <c r="G1121">
        <f>IF($F1121="","",IF(Sync!$AE1121="","",IF(ISNUMBER(Sync!$AE1121),IF(AND(Sync!$AE1121&gt;=10000101,Sync!$AE1121&lt;=99991231),INT(Sync!$AE1121/10000),""),IFERROR(VALUE(TRIM(LEFT(Sync!$AE1121,FIND("/",Sync!$AE1121)-1))),""))))</f>
        <v/>
      </c>
      <c r="H1121">
        <f>IF(OR($F1121="",$G1121=""),"",IF(ISNUMBER(Sync!$AE1121),INT(MOD(Sync!$AE1121,10000)/100),IFERROR(VALUE(TRIM(LEFT(MID(Sync!$AE1121,FIND("/",Sync!$AE1121)+1,20),FIND("/",MID(Sync!$AE1121,FIND("/",Sync!$AE1121)+1,20))-1))),"")))</f>
        <v/>
      </c>
      <c r="I1121">
        <f>IF(OR($F1121="",$G1121=""),"",IF(ISNUMBER(Sync!$AE1121),MOD(Sync!$AE1121,100),IFERROR(VALUE(TRIM(MID(MID(Sync!$AE1121,FIND("/",Sync!$AE1121)+1,20),FIND("/",MID(Sync!$AE1121,FIND("/",Sync!$AE1121)+1,20))+1,20))),"")))</f>
        <v/>
      </c>
      <c r="J1121">
        <f>IF($F1121="","",IF(OR($G1121="",$H1121="",$I1121="",$G1121&lt;1300,$G1121&gt;1500,$H1121&lt;1,$H1121&gt;12,$I1121&lt;1,$I1121&gt;31),"نامعتبر",RIGHT("0000"&amp;$G1121,4)&amp;"/"&amp;RIGHT("00"&amp;$H1121,2)&amp;"/"&amp;RIGHT("00"&amp;$I1121,2)))</f>
        <v/>
      </c>
      <c r="K1121">
        <f>IF(OR($F1121="",$J1121="",$J1121="نامعتبر"),"",LEFT($J1121,4)&amp;MID($J1121,6,2)&amp;RIGHT($J1121,2)&amp;$N1121&amp;"|"&amp;"2"&amp;RIGHT("00000"&amp;1116,5))</f>
        <v/>
      </c>
      <c r="L1121">
        <f>IF($K1121="","",COUNTIFS(LdgSellerA,$F1121,LdgKeyA,"&lt;"&amp;$K1121)+COUNTIFS(LdgSellerB,$F1121,LdgKeyB,"&lt;"&amp;$K1121)+1)</f>
        <v/>
      </c>
      <c r="M1121">
        <f>IF($L1121="","",$F1121&amp;"|"&amp;RIGHT("000000"&amp;$L1121,6))</f>
        <v/>
      </c>
      <c r="N1121">
        <f>IF($F1121="","",IF(Sync!$AF1121="","0000",IF(AND(ISNUMBER(Sync!$AF1121),Sync!$AF1121&gt;=0,Sync!$AF1121&lt;1),RIGHT("00"&amp;HOUR(Sync!$AF1121),2)&amp;RIGHT("00"&amp;MINUTE(Sync!$AF1121),2),IFERROR(RIGHT("00"&amp;VALUE(LEFT(Sync!$AF1121,FIND(":",Sync!$AF1121)-1)),2)&amp;RIGHT("00"&amp;VALUE(MID(Sync!$AF1121,FIND(":",Sync!$AF1121)+1,2)),2),"0000"))))</f>
        <v/>
      </c>
    </row>
    <row r="1122">
      <c r="A1122">
        <f>IF(OR(Calc!$E1126="",Calc!$E1126="نامعتبر",Calc!$G1126=""),"",Calc!$G1126)</f>
        <v/>
      </c>
      <c r="B1122">
        <f>IF($A1122="","",LEFT(Calc!$E1126,4)&amp;MID(Calc!$E1126,6,2)&amp;RIGHT(Calc!$E1126,2)&amp;Calc!$Q1126&amp;"|"&amp;"1"&amp;RIGHT("00000"&amp;1117,5))</f>
        <v/>
      </c>
      <c r="C1122">
        <f>IF($B1122="","",COUNTIFS(LdgSellerA,$A1122,LdgKeyA,"&lt;"&amp;$B1122)+COUNTIFS(LdgSellerB,$A1122,LdgKeyB,"&lt;"&amp;$B1122)+1)</f>
        <v/>
      </c>
      <c r="D1122">
        <f>IF($C1122="","",$A1122&amp;"|"&amp;RIGHT("000000"&amp;$C1122,6))</f>
        <v/>
      </c>
      <c r="F1122">
        <f>IF(Sync!$AH1122="","",IF(LEFT(UPPER(TRIM(Sync!$AH1122)),2)="SL",UPPER(TRIM(Sync!$AH1122)),""))</f>
        <v/>
      </c>
      <c r="G1122">
        <f>IF($F1122="","",IF(Sync!$AE1122="","",IF(ISNUMBER(Sync!$AE1122),IF(AND(Sync!$AE1122&gt;=10000101,Sync!$AE1122&lt;=99991231),INT(Sync!$AE1122/10000),""),IFERROR(VALUE(TRIM(LEFT(Sync!$AE1122,FIND("/",Sync!$AE1122)-1))),""))))</f>
        <v/>
      </c>
      <c r="H1122">
        <f>IF(OR($F1122="",$G1122=""),"",IF(ISNUMBER(Sync!$AE1122),INT(MOD(Sync!$AE1122,10000)/100),IFERROR(VALUE(TRIM(LEFT(MID(Sync!$AE1122,FIND("/",Sync!$AE1122)+1,20),FIND("/",MID(Sync!$AE1122,FIND("/",Sync!$AE1122)+1,20))-1))),"")))</f>
        <v/>
      </c>
      <c r="I1122">
        <f>IF(OR($F1122="",$G1122=""),"",IF(ISNUMBER(Sync!$AE1122),MOD(Sync!$AE1122,100),IFERROR(VALUE(TRIM(MID(MID(Sync!$AE1122,FIND("/",Sync!$AE1122)+1,20),FIND("/",MID(Sync!$AE1122,FIND("/",Sync!$AE1122)+1,20))+1,20))),"")))</f>
        <v/>
      </c>
      <c r="J1122">
        <f>IF($F1122="","",IF(OR($G1122="",$H1122="",$I1122="",$G1122&lt;1300,$G1122&gt;1500,$H1122&lt;1,$H1122&gt;12,$I1122&lt;1,$I1122&gt;31),"نامعتبر",RIGHT("0000"&amp;$G1122,4)&amp;"/"&amp;RIGHT("00"&amp;$H1122,2)&amp;"/"&amp;RIGHT("00"&amp;$I1122,2)))</f>
        <v/>
      </c>
      <c r="K1122">
        <f>IF(OR($F1122="",$J1122="",$J1122="نامعتبر"),"",LEFT($J1122,4)&amp;MID($J1122,6,2)&amp;RIGHT($J1122,2)&amp;$N1122&amp;"|"&amp;"2"&amp;RIGHT("00000"&amp;1117,5))</f>
        <v/>
      </c>
      <c r="L1122">
        <f>IF($K1122="","",COUNTIFS(LdgSellerA,$F1122,LdgKeyA,"&lt;"&amp;$K1122)+COUNTIFS(LdgSellerB,$F1122,LdgKeyB,"&lt;"&amp;$K1122)+1)</f>
        <v/>
      </c>
      <c r="M1122">
        <f>IF($L1122="","",$F1122&amp;"|"&amp;RIGHT("000000"&amp;$L1122,6))</f>
        <v/>
      </c>
      <c r="N1122">
        <f>IF($F1122="","",IF(Sync!$AF1122="","0000",IF(AND(ISNUMBER(Sync!$AF1122),Sync!$AF1122&gt;=0,Sync!$AF1122&lt;1),RIGHT("00"&amp;HOUR(Sync!$AF1122),2)&amp;RIGHT("00"&amp;MINUTE(Sync!$AF1122),2),IFERROR(RIGHT("00"&amp;VALUE(LEFT(Sync!$AF1122,FIND(":",Sync!$AF1122)-1)),2)&amp;RIGHT("00"&amp;VALUE(MID(Sync!$AF1122,FIND(":",Sync!$AF1122)+1,2)),2),"0000"))))</f>
        <v/>
      </c>
    </row>
    <row r="1123">
      <c r="A1123">
        <f>IF(OR(Calc!$E1127="",Calc!$E1127="نامعتبر",Calc!$G1127=""),"",Calc!$G1127)</f>
        <v/>
      </c>
      <c r="B1123">
        <f>IF($A1123="","",LEFT(Calc!$E1127,4)&amp;MID(Calc!$E1127,6,2)&amp;RIGHT(Calc!$E1127,2)&amp;Calc!$Q1127&amp;"|"&amp;"1"&amp;RIGHT("00000"&amp;1118,5))</f>
        <v/>
      </c>
      <c r="C1123">
        <f>IF($B1123="","",COUNTIFS(LdgSellerA,$A1123,LdgKeyA,"&lt;"&amp;$B1123)+COUNTIFS(LdgSellerB,$A1123,LdgKeyB,"&lt;"&amp;$B1123)+1)</f>
        <v/>
      </c>
      <c r="D1123">
        <f>IF($C1123="","",$A1123&amp;"|"&amp;RIGHT("000000"&amp;$C1123,6))</f>
        <v/>
      </c>
      <c r="F1123">
        <f>IF(Sync!$AH1123="","",IF(LEFT(UPPER(TRIM(Sync!$AH1123)),2)="SL",UPPER(TRIM(Sync!$AH1123)),""))</f>
        <v/>
      </c>
      <c r="G1123">
        <f>IF($F1123="","",IF(Sync!$AE1123="","",IF(ISNUMBER(Sync!$AE1123),IF(AND(Sync!$AE1123&gt;=10000101,Sync!$AE1123&lt;=99991231),INT(Sync!$AE1123/10000),""),IFERROR(VALUE(TRIM(LEFT(Sync!$AE1123,FIND("/",Sync!$AE1123)-1))),""))))</f>
        <v/>
      </c>
      <c r="H1123">
        <f>IF(OR($F1123="",$G1123=""),"",IF(ISNUMBER(Sync!$AE1123),INT(MOD(Sync!$AE1123,10000)/100),IFERROR(VALUE(TRIM(LEFT(MID(Sync!$AE1123,FIND("/",Sync!$AE1123)+1,20),FIND("/",MID(Sync!$AE1123,FIND("/",Sync!$AE1123)+1,20))-1))),"")))</f>
        <v/>
      </c>
      <c r="I1123">
        <f>IF(OR($F1123="",$G1123=""),"",IF(ISNUMBER(Sync!$AE1123),MOD(Sync!$AE1123,100),IFERROR(VALUE(TRIM(MID(MID(Sync!$AE1123,FIND("/",Sync!$AE1123)+1,20),FIND("/",MID(Sync!$AE1123,FIND("/",Sync!$AE1123)+1,20))+1,20))),"")))</f>
        <v/>
      </c>
      <c r="J1123">
        <f>IF($F1123="","",IF(OR($G1123="",$H1123="",$I1123="",$G1123&lt;1300,$G1123&gt;1500,$H1123&lt;1,$H1123&gt;12,$I1123&lt;1,$I1123&gt;31),"نامعتبر",RIGHT("0000"&amp;$G1123,4)&amp;"/"&amp;RIGHT("00"&amp;$H1123,2)&amp;"/"&amp;RIGHT("00"&amp;$I1123,2)))</f>
        <v/>
      </c>
      <c r="K1123">
        <f>IF(OR($F1123="",$J1123="",$J1123="نامعتبر"),"",LEFT($J1123,4)&amp;MID($J1123,6,2)&amp;RIGHT($J1123,2)&amp;$N1123&amp;"|"&amp;"2"&amp;RIGHT("00000"&amp;1118,5))</f>
        <v/>
      </c>
      <c r="L1123">
        <f>IF($K1123="","",COUNTIFS(LdgSellerA,$F1123,LdgKeyA,"&lt;"&amp;$K1123)+COUNTIFS(LdgSellerB,$F1123,LdgKeyB,"&lt;"&amp;$K1123)+1)</f>
        <v/>
      </c>
      <c r="M1123">
        <f>IF($L1123="","",$F1123&amp;"|"&amp;RIGHT("000000"&amp;$L1123,6))</f>
        <v/>
      </c>
      <c r="N1123">
        <f>IF($F1123="","",IF(Sync!$AF1123="","0000",IF(AND(ISNUMBER(Sync!$AF1123),Sync!$AF1123&gt;=0,Sync!$AF1123&lt;1),RIGHT("00"&amp;HOUR(Sync!$AF1123),2)&amp;RIGHT("00"&amp;MINUTE(Sync!$AF1123),2),IFERROR(RIGHT("00"&amp;VALUE(LEFT(Sync!$AF1123,FIND(":",Sync!$AF1123)-1)),2)&amp;RIGHT("00"&amp;VALUE(MID(Sync!$AF1123,FIND(":",Sync!$AF1123)+1,2)),2),"0000"))))</f>
        <v/>
      </c>
    </row>
    <row r="1124">
      <c r="A1124">
        <f>IF(OR(Calc!$E1128="",Calc!$E1128="نامعتبر",Calc!$G1128=""),"",Calc!$G1128)</f>
        <v/>
      </c>
      <c r="B1124">
        <f>IF($A1124="","",LEFT(Calc!$E1128,4)&amp;MID(Calc!$E1128,6,2)&amp;RIGHT(Calc!$E1128,2)&amp;Calc!$Q1128&amp;"|"&amp;"1"&amp;RIGHT("00000"&amp;1119,5))</f>
        <v/>
      </c>
      <c r="C1124">
        <f>IF($B1124="","",COUNTIFS(LdgSellerA,$A1124,LdgKeyA,"&lt;"&amp;$B1124)+COUNTIFS(LdgSellerB,$A1124,LdgKeyB,"&lt;"&amp;$B1124)+1)</f>
        <v/>
      </c>
      <c r="D1124">
        <f>IF($C1124="","",$A1124&amp;"|"&amp;RIGHT("000000"&amp;$C1124,6))</f>
        <v/>
      </c>
      <c r="F1124">
        <f>IF(Sync!$AH1124="","",IF(LEFT(UPPER(TRIM(Sync!$AH1124)),2)="SL",UPPER(TRIM(Sync!$AH1124)),""))</f>
        <v/>
      </c>
      <c r="G1124">
        <f>IF($F1124="","",IF(Sync!$AE1124="","",IF(ISNUMBER(Sync!$AE1124),IF(AND(Sync!$AE1124&gt;=10000101,Sync!$AE1124&lt;=99991231),INT(Sync!$AE1124/10000),""),IFERROR(VALUE(TRIM(LEFT(Sync!$AE1124,FIND("/",Sync!$AE1124)-1))),""))))</f>
        <v/>
      </c>
      <c r="H1124">
        <f>IF(OR($F1124="",$G1124=""),"",IF(ISNUMBER(Sync!$AE1124),INT(MOD(Sync!$AE1124,10000)/100),IFERROR(VALUE(TRIM(LEFT(MID(Sync!$AE1124,FIND("/",Sync!$AE1124)+1,20),FIND("/",MID(Sync!$AE1124,FIND("/",Sync!$AE1124)+1,20))-1))),"")))</f>
        <v/>
      </c>
      <c r="I1124">
        <f>IF(OR($F1124="",$G1124=""),"",IF(ISNUMBER(Sync!$AE1124),MOD(Sync!$AE1124,100),IFERROR(VALUE(TRIM(MID(MID(Sync!$AE1124,FIND("/",Sync!$AE1124)+1,20),FIND("/",MID(Sync!$AE1124,FIND("/",Sync!$AE1124)+1,20))+1,20))),"")))</f>
        <v/>
      </c>
      <c r="J1124">
        <f>IF($F1124="","",IF(OR($G1124="",$H1124="",$I1124="",$G1124&lt;1300,$G1124&gt;1500,$H1124&lt;1,$H1124&gt;12,$I1124&lt;1,$I1124&gt;31),"نامعتبر",RIGHT("0000"&amp;$G1124,4)&amp;"/"&amp;RIGHT("00"&amp;$H1124,2)&amp;"/"&amp;RIGHT("00"&amp;$I1124,2)))</f>
        <v/>
      </c>
      <c r="K1124">
        <f>IF(OR($F1124="",$J1124="",$J1124="نامعتبر"),"",LEFT($J1124,4)&amp;MID($J1124,6,2)&amp;RIGHT($J1124,2)&amp;$N1124&amp;"|"&amp;"2"&amp;RIGHT("00000"&amp;1119,5))</f>
        <v/>
      </c>
      <c r="L1124">
        <f>IF($K1124="","",COUNTIFS(LdgSellerA,$F1124,LdgKeyA,"&lt;"&amp;$K1124)+COUNTIFS(LdgSellerB,$F1124,LdgKeyB,"&lt;"&amp;$K1124)+1)</f>
        <v/>
      </c>
      <c r="M1124">
        <f>IF($L1124="","",$F1124&amp;"|"&amp;RIGHT("000000"&amp;$L1124,6))</f>
        <v/>
      </c>
      <c r="N1124">
        <f>IF($F1124="","",IF(Sync!$AF1124="","0000",IF(AND(ISNUMBER(Sync!$AF1124),Sync!$AF1124&gt;=0,Sync!$AF1124&lt;1),RIGHT("00"&amp;HOUR(Sync!$AF1124),2)&amp;RIGHT("00"&amp;MINUTE(Sync!$AF1124),2),IFERROR(RIGHT("00"&amp;VALUE(LEFT(Sync!$AF1124,FIND(":",Sync!$AF1124)-1)),2)&amp;RIGHT("00"&amp;VALUE(MID(Sync!$AF1124,FIND(":",Sync!$AF1124)+1,2)),2),"0000"))))</f>
        <v/>
      </c>
    </row>
    <row r="1125">
      <c r="A1125">
        <f>IF(OR(Calc!$E1129="",Calc!$E1129="نامعتبر",Calc!$G1129=""),"",Calc!$G1129)</f>
        <v/>
      </c>
      <c r="B1125">
        <f>IF($A1125="","",LEFT(Calc!$E1129,4)&amp;MID(Calc!$E1129,6,2)&amp;RIGHT(Calc!$E1129,2)&amp;Calc!$Q1129&amp;"|"&amp;"1"&amp;RIGHT("00000"&amp;1120,5))</f>
        <v/>
      </c>
      <c r="C1125">
        <f>IF($B1125="","",COUNTIFS(LdgSellerA,$A1125,LdgKeyA,"&lt;"&amp;$B1125)+COUNTIFS(LdgSellerB,$A1125,LdgKeyB,"&lt;"&amp;$B1125)+1)</f>
        <v/>
      </c>
      <c r="D1125">
        <f>IF($C1125="","",$A1125&amp;"|"&amp;RIGHT("000000"&amp;$C1125,6))</f>
        <v/>
      </c>
      <c r="F1125">
        <f>IF(Sync!$AH1125="","",IF(LEFT(UPPER(TRIM(Sync!$AH1125)),2)="SL",UPPER(TRIM(Sync!$AH1125)),""))</f>
        <v/>
      </c>
      <c r="G1125">
        <f>IF($F1125="","",IF(Sync!$AE1125="","",IF(ISNUMBER(Sync!$AE1125),IF(AND(Sync!$AE1125&gt;=10000101,Sync!$AE1125&lt;=99991231),INT(Sync!$AE1125/10000),""),IFERROR(VALUE(TRIM(LEFT(Sync!$AE1125,FIND("/",Sync!$AE1125)-1))),""))))</f>
        <v/>
      </c>
      <c r="H1125">
        <f>IF(OR($F1125="",$G1125=""),"",IF(ISNUMBER(Sync!$AE1125),INT(MOD(Sync!$AE1125,10000)/100),IFERROR(VALUE(TRIM(LEFT(MID(Sync!$AE1125,FIND("/",Sync!$AE1125)+1,20),FIND("/",MID(Sync!$AE1125,FIND("/",Sync!$AE1125)+1,20))-1))),"")))</f>
        <v/>
      </c>
      <c r="I1125">
        <f>IF(OR($F1125="",$G1125=""),"",IF(ISNUMBER(Sync!$AE1125),MOD(Sync!$AE1125,100),IFERROR(VALUE(TRIM(MID(MID(Sync!$AE1125,FIND("/",Sync!$AE1125)+1,20),FIND("/",MID(Sync!$AE1125,FIND("/",Sync!$AE1125)+1,20))+1,20))),"")))</f>
        <v/>
      </c>
      <c r="J1125">
        <f>IF($F1125="","",IF(OR($G1125="",$H1125="",$I1125="",$G1125&lt;1300,$G1125&gt;1500,$H1125&lt;1,$H1125&gt;12,$I1125&lt;1,$I1125&gt;31),"نامعتبر",RIGHT("0000"&amp;$G1125,4)&amp;"/"&amp;RIGHT("00"&amp;$H1125,2)&amp;"/"&amp;RIGHT("00"&amp;$I1125,2)))</f>
        <v/>
      </c>
      <c r="K1125">
        <f>IF(OR($F1125="",$J1125="",$J1125="نامعتبر"),"",LEFT($J1125,4)&amp;MID($J1125,6,2)&amp;RIGHT($J1125,2)&amp;$N1125&amp;"|"&amp;"2"&amp;RIGHT("00000"&amp;1120,5))</f>
        <v/>
      </c>
      <c r="L1125">
        <f>IF($K1125="","",COUNTIFS(LdgSellerA,$F1125,LdgKeyA,"&lt;"&amp;$K1125)+COUNTIFS(LdgSellerB,$F1125,LdgKeyB,"&lt;"&amp;$K1125)+1)</f>
        <v/>
      </c>
      <c r="M1125">
        <f>IF($L1125="","",$F1125&amp;"|"&amp;RIGHT("000000"&amp;$L1125,6))</f>
        <v/>
      </c>
      <c r="N1125">
        <f>IF($F1125="","",IF(Sync!$AF1125="","0000",IF(AND(ISNUMBER(Sync!$AF1125),Sync!$AF1125&gt;=0,Sync!$AF1125&lt;1),RIGHT("00"&amp;HOUR(Sync!$AF1125),2)&amp;RIGHT("00"&amp;MINUTE(Sync!$AF1125),2),IFERROR(RIGHT("00"&amp;VALUE(LEFT(Sync!$AF1125,FIND(":",Sync!$AF1125)-1)),2)&amp;RIGHT("00"&amp;VALUE(MID(Sync!$AF1125,FIND(":",Sync!$AF1125)+1,2)),2),"0000"))))</f>
        <v/>
      </c>
    </row>
    <row r="1126">
      <c r="A1126">
        <f>IF(OR(Calc!$E1130="",Calc!$E1130="نامعتبر",Calc!$G1130=""),"",Calc!$G1130)</f>
        <v/>
      </c>
      <c r="B1126">
        <f>IF($A1126="","",LEFT(Calc!$E1130,4)&amp;MID(Calc!$E1130,6,2)&amp;RIGHT(Calc!$E1130,2)&amp;Calc!$Q1130&amp;"|"&amp;"1"&amp;RIGHT("00000"&amp;1121,5))</f>
        <v/>
      </c>
      <c r="C1126">
        <f>IF($B1126="","",COUNTIFS(LdgSellerA,$A1126,LdgKeyA,"&lt;"&amp;$B1126)+COUNTIFS(LdgSellerB,$A1126,LdgKeyB,"&lt;"&amp;$B1126)+1)</f>
        <v/>
      </c>
      <c r="D1126">
        <f>IF($C1126="","",$A1126&amp;"|"&amp;RIGHT("000000"&amp;$C1126,6))</f>
        <v/>
      </c>
      <c r="F1126">
        <f>IF(Sync!$AH1126="","",IF(LEFT(UPPER(TRIM(Sync!$AH1126)),2)="SL",UPPER(TRIM(Sync!$AH1126)),""))</f>
        <v/>
      </c>
      <c r="G1126">
        <f>IF($F1126="","",IF(Sync!$AE1126="","",IF(ISNUMBER(Sync!$AE1126),IF(AND(Sync!$AE1126&gt;=10000101,Sync!$AE1126&lt;=99991231),INT(Sync!$AE1126/10000),""),IFERROR(VALUE(TRIM(LEFT(Sync!$AE1126,FIND("/",Sync!$AE1126)-1))),""))))</f>
        <v/>
      </c>
      <c r="H1126">
        <f>IF(OR($F1126="",$G1126=""),"",IF(ISNUMBER(Sync!$AE1126),INT(MOD(Sync!$AE1126,10000)/100),IFERROR(VALUE(TRIM(LEFT(MID(Sync!$AE1126,FIND("/",Sync!$AE1126)+1,20),FIND("/",MID(Sync!$AE1126,FIND("/",Sync!$AE1126)+1,20))-1))),"")))</f>
        <v/>
      </c>
      <c r="I1126">
        <f>IF(OR($F1126="",$G1126=""),"",IF(ISNUMBER(Sync!$AE1126),MOD(Sync!$AE1126,100),IFERROR(VALUE(TRIM(MID(MID(Sync!$AE1126,FIND("/",Sync!$AE1126)+1,20),FIND("/",MID(Sync!$AE1126,FIND("/",Sync!$AE1126)+1,20))+1,20))),"")))</f>
        <v/>
      </c>
      <c r="J1126">
        <f>IF($F1126="","",IF(OR($G1126="",$H1126="",$I1126="",$G1126&lt;1300,$G1126&gt;1500,$H1126&lt;1,$H1126&gt;12,$I1126&lt;1,$I1126&gt;31),"نامعتبر",RIGHT("0000"&amp;$G1126,4)&amp;"/"&amp;RIGHT("00"&amp;$H1126,2)&amp;"/"&amp;RIGHT("00"&amp;$I1126,2)))</f>
        <v/>
      </c>
      <c r="K1126">
        <f>IF(OR($F1126="",$J1126="",$J1126="نامعتبر"),"",LEFT($J1126,4)&amp;MID($J1126,6,2)&amp;RIGHT($J1126,2)&amp;$N1126&amp;"|"&amp;"2"&amp;RIGHT("00000"&amp;1121,5))</f>
        <v/>
      </c>
      <c r="L1126">
        <f>IF($K1126="","",COUNTIFS(LdgSellerA,$F1126,LdgKeyA,"&lt;"&amp;$K1126)+COUNTIFS(LdgSellerB,$F1126,LdgKeyB,"&lt;"&amp;$K1126)+1)</f>
        <v/>
      </c>
      <c r="M1126">
        <f>IF($L1126="","",$F1126&amp;"|"&amp;RIGHT("000000"&amp;$L1126,6))</f>
        <v/>
      </c>
      <c r="N1126">
        <f>IF($F1126="","",IF(Sync!$AF1126="","0000",IF(AND(ISNUMBER(Sync!$AF1126),Sync!$AF1126&gt;=0,Sync!$AF1126&lt;1),RIGHT("00"&amp;HOUR(Sync!$AF1126),2)&amp;RIGHT("00"&amp;MINUTE(Sync!$AF1126),2),IFERROR(RIGHT("00"&amp;VALUE(LEFT(Sync!$AF1126,FIND(":",Sync!$AF1126)-1)),2)&amp;RIGHT("00"&amp;VALUE(MID(Sync!$AF1126,FIND(":",Sync!$AF1126)+1,2)),2),"0000"))))</f>
        <v/>
      </c>
    </row>
    <row r="1127">
      <c r="A1127">
        <f>IF(OR(Calc!$E1131="",Calc!$E1131="نامعتبر",Calc!$G1131=""),"",Calc!$G1131)</f>
        <v/>
      </c>
      <c r="B1127">
        <f>IF($A1127="","",LEFT(Calc!$E1131,4)&amp;MID(Calc!$E1131,6,2)&amp;RIGHT(Calc!$E1131,2)&amp;Calc!$Q1131&amp;"|"&amp;"1"&amp;RIGHT("00000"&amp;1122,5))</f>
        <v/>
      </c>
      <c r="C1127">
        <f>IF($B1127="","",COUNTIFS(LdgSellerA,$A1127,LdgKeyA,"&lt;"&amp;$B1127)+COUNTIFS(LdgSellerB,$A1127,LdgKeyB,"&lt;"&amp;$B1127)+1)</f>
        <v/>
      </c>
      <c r="D1127">
        <f>IF($C1127="","",$A1127&amp;"|"&amp;RIGHT("000000"&amp;$C1127,6))</f>
        <v/>
      </c>
      <c r="F1127">
        <f>IF(Sync!$AH1127="","",IF(LEFT(UPPER(TRIM(Sync!$AH1127)),2)="SL",UPPER(TRIM(Sync!$AH1127)),""))</f>
        <v/>
      </c>
      <c r="G1127">
        <f>IF($F1127="","",IF(Sync!$AE1127="","",IF(ISNUMBER(Sync!$AE1127),IF(AND(Sync!$AE1127&gt;=10000101,Sync!$AE1127&lt;=99991231),INT(Sync!$AE1127/10000),""),IFERROR(VALUE(TRIM(LEFT(Sync!$AE1127,FIND("/",Sync!$AE1127)-1))),""))))</f>
        <v/>
      </c>
      <c r="H1127">
        <f>IF(OR($F1127="",$G1127=""),"",IF(ISNUMBER(Sync!$AE1127),INT(MOD(Sync!$AE1127,10000)/100),IFERROR(VALUE(TRIM(LEFT(MID(Sync!$AE1127,FIND("/",Sync!$AE1127)+1,20),FIND("/",MID(Sync!$AE1127,FIND("/",Sync!$AE1127)+1,20))-1))),"")))</f>
        <v/>
      </c>
      <c r="I1127">
        <f>IF(OR($F1127="",$G1127=""),"",IF(ISNUMBER(Sync!$AE1127),MOD(Sync!$AE1127,100),IFERROR(VALUE(TRIM(MID(MID(Sync!$AE1127,FIND("/",Sync!$AE1127)+1,20),FIND("/",MID(Sync!$AE1127,FIND("/",Sync!$AE1127)+1,20))+1,20))),"")))</f>
        <v/>
      </c>
      <c r="J1127">
        <f>IF($F1127="","",IF(OR($G1127="",$H1127="",$I1127="",$G1127&lt;1300,$G1127&gt;1500,$H1127&lt;1,$H1127&gt;12,$I1127&lt;1,$I1127&gt;31),"نامعتبر",RIGHT("0000"&amp;$G1127,4)&amp;"/"&amp;RIGHT("00"&amp;$H1127,2)&amp;"/"&amp;RIGHT("00"&amp;$I1127,2)))</f>
        <v/>
      </c>
      <c r="K1127">
        <f>IF(OR($F1127="",$J1127="",$J1127="نامعتبر"),"",LEFT($J1127,4)&amp;MID($J1127,6,2)&amp;RIGHT($J1127,2)&amp;$N1127&amp;"|"&amp;"2"&amp;RIGHT("00000"&amp;1122,5))</f>
        <v/>
      </c>
      <c r="L1127">
        <f>IF($K1127="","",COUNTIFS(LdgSellerA,$F1127,LdgKeyA,"&lt;"&amp;$K1127)+COUNTIFS(LdgSellerB,$F1127,LdgKeyB,"&lt;"&amp;$K1127)+1)</f>
        <v/>
      </c>
      <c r="M1127">
        <f>IF($L1127="","",$F1127&amp;"|"&amp;RIGHT("000000"&amp;$L1127,6))</f>
        <v/>
      </c>
      <c r="N1127">
        <f>IF($F1127="","",IF(Sync!$AF1127="","0000",IF(AND(ISNUMBER(Sync!$AF1127),Sync!$AF1127&gt;=0,Sync!$AF1127&lt;1),RIGHT("00"&amp;HOUR(Sync!$AF1127),2)&amp;RIGHT("00"&amp;MINUTE(Sync!$AF1127),2),IFERROR(RIGHT("00"&amp;VALUE(LEFT(Sync!$AF1127,FIND(":",Sync!$AF1127)-1)),2)&amp;RIGHT("00"&amp;VALUE(MID(Sync!$AF1127,FIND(":",Sync!$AF1127)+1,2)),2),"0000"))))</f>
        <v/>
      </c>
    </row>
    <row r="1128">
      <c r="A1128">
        <f>IF(OR(Calc!$E1132="",Calc!$E1132="نامعتبر",Calc!$G1132=""),"",Calc!$G1132)</f>
        <v/>
      </c>
      <c r="B1128">
        <f>IF($A1128="","",LEFT(Calc!$E1132,4)&amp;MID(Calc!$E1132,6,2)&amp;RIGHT(Calc!$E1132,2)&amp;Calc!$Q1132&amp;"|"&amp;"1"&amp;RIGHT("00000"&amp;1123,5))</f>
        <v/>
      </c>
      <c r="C1128">
        <f>IF($B1128="","",COUNTIFS(LdgSellerA,$A1128,LdgKeyA,"&lt;"&amp;$B1128)+COUNTIFS(LdgSellerB,$A1128,LdgKeyB,"&lt;"&amp;$B1128)+1)</f>
        <v/>
      </c>
      <c r="D1128">
        <f>IF($C1128="","",$A1128&amp;"|"&amp;RIGHT("000000"&amp;$C1128,6))</f>
        <v/>
      </c>
      <c r="F1128">
        <f>IF(Sync!$AH1128="","",IF(LEFT(UPPER(TRIM(Sync!$AH1128)),2)="SL",UPPER(TRIM(Sync!$AH1128)),""))</f>
        <v/>
      </c>
      <c r="G1128">
        <f>IF($F1128="","",IF(Sync!$AE1128="","",IF(ISNUMBER(Sync!$AE1128),IF(AND(Sync!$AE1128&gt;=10000101,Sync!$AE1128&lt;=99991231),INT(Sync!$AE1128/10000),""),IFERROR(VALUE(TRIM(LEFT(Sync!$AE1128,FIND("/",Sync!$AE1128)-1))),""))))</f>
        <v/>
      </c>
      <c r="H1128">
        <f>IF(OR($F1128="",$G1128=""),"",IF(ISNUMBER(Sync!$AE1128),INT(MOD(Sync!$AE1128,10000)/100),IFERROR(VALUE(TRIM(LEFT(MID(Sync!$AE1128,FIND("/",Sync!$AE1128)+1,20),FIND("/",MID(Sync!$AE1128,FIND("/",Sync!$AE1128)+1,20))-1))),"")))</f>
        <v/>
      </c>
      <c r="I1128">
        <f>IF(OR($F1128="",$G1128=""),"",IF(ISNUMBER(Sync!$AE1128),MOD(Sync!$AE1128,100),IFERROR(VALUE(TRIM(MID(MID(Sync!$AE1128,FIND("/",Sync!$AE1128)+1,20),FIND("/",MID(Sync!$AE1128,FIND("/",Sync!$AE1128)+1,20))+1,20))),"")))</f>
        <v/>
      </c>
      <c r="J1128">
        <f>IF($F1128="","",IF(OR($G1128="",$H1128="",$I1128="",$G1128&lt;1300,$G1128&gt;1500,$H1128&lt;1,$H1128&gt;12,$I1128&lt;1,$I1128&gt;31),"نامعتبر",RIGHT("0000"&amp;$G1128,4)&amp;"/"&amp;RIGHT("00"&amp;$H1128,2)&amp;"/"&amp;RIGHT("00"&amp;$I1128,2)))</f>
        <v/>
      </c>
      <c r="K1128">
        <f>IF(OR($F1128="",$J1128="",$J1128="نامعتبر"),"",LEFT($J1128,4)&amp;MID($J1128,6,2)&amp;RIGHT($J1128,2)&amp;$N1128&amp;"|"&amp;"2"&amp;RIGHT("00000"&amp;1123,5))</f>
        <v/>
      </c>
      <c r="L1128">
        <f>IF($K1128="","",COUNTIFS(LdgSellerA,$F1128,LdgKeyA,"&lt;"&amp;$K1128)+COUNTIFS(LdgSellerB,$F1128,LdgKeyB,"&lt;"&amp;$K1128)+1)</f>
        <v/>
      </c>
      <c r="M1128">
        <f>IF($L1128="","",$F1128&amp;"|"&amp;RIGHT("000000"&amp;$L1128,6))</f>
        <v/>
      </c>
      <c r="N1128">
        <f>IF($F1128="","",IF(Sync!$AF1128="","0000",IF(AND(ISNUMBER(Sync!$AF1128),Sync!$AF1128&gt;=0,Sync!$AF1128&lt;1),RIGHT("00"&amp;HOUR(Sync!$AF1128),2)&amp;RIGHT("00"&amp;MINUTE(Sync!$AF1128),2),IFERROR(RIGHT("00"&amp;VALUE(LEFT(Sync!$AF1128,FIND(":",Sync!$AF1128)-1)),2)&amp;RIGHT("00"&amp;VALUE(MID(Sync!$AF1128,FIND(":",Sync!$AF1128)+1,2)),2),"0000"))))</f>
        <v/>
      </c>
    </row>
    <row r="1129">
      <c r="A1129">
        <f>IF(OR(Calc!$E1133="",Calc!$E1133="نامعتبر",Calc!$G1133=""),"",Calc!$G1133)</f>
        <v/>
      </c>
      <c r="B1129">
        <f>IF($A1129="","",LEFT(Calc!$E1133,4)&amp;MID(Calc!$E1133,6,2)&amp;RIGHT(Calc!$E1133,2)&amp;Calc!$Q1133&amp;"|"&amp;"1"&amp;RIGHT("00000"&amp;1124,5))</f>
        <v/>
      </c>
      <c r="C1129">
        <f>IF($B1129="","",COUNTIFS(LdgSellerA,$A1129,LdgKeyA,"&lt;"&amp;$B1129)+COUNTIFS(LdgSellerB,$A1129,LdgKeyB,"&lt;"&amp;$B1129)+1)</f>
        <v/>
      </c>
      <c r="D1129">
        <f>IF($C1129="","",$A1129&amp;"|"&amp;RIGHT("000000"&amp;$C1129,6))</f>
        <v/>
      </c>
      <c r="F1129">
        <f>IF(Sync!$AH1129="","",IF(LEFT(UPPER(TRIM(Sync!$AH1129)),2)="SL",UPPER(TRIM(Sync!$AH1129)),""))</f>
        <v/>
      </c>
      <c r="G1129">
        <f>IF($F1129="","",IF(Sync!$AE1129="","",IF(ISNUMBER(Sync!$AE1129),IF(AND(Sync!$AE1129&gt;=10000101,Sync!$AE1129&lt;=99991231),INT(Sync!$AE1129/10000),""),IFERROR(VALUE(TRIM(LEFT(Sync!$AE1129,FIND("/",Sync!$AE1129)-1))),""))))</f>
        <v/>
      </c>
      <c r="H1129">
        <f>IF(OR($F1129="",$G1129=""),"",IF(ISNUMBER(Sync!$AE1129),INT(MOD(Sync!$AE1129,10000)/100),IFERROR(VALUE(TRIM(LEFT(MID(Sync!$AE1129,FIND("/",Sync!$AE1129)+1,20),FIND("/",MID(Sync!$AE1129,FIND("/",Sync!$AE1129)+1,20))-1))),"")))</f>
        <v/>
      </c>
      <c r="I1129">
        <f>IF(OR($F1129="",$G1129=""),"",IF(ISNUMBER(Sync!$AE1129),MOD(Sync!$AE1129,100),IFERROR(VALUE(TRIM(MID(MID(Sync!$AE1129,FIND("/",Sync!$AE1129)+1,20),FIND("/",MID(Sync!$AE1129,FIND("/",Sync!$AE1129)+1,20))+1,20))),"")))</f>
        <v/>
      </c>
      <c r="J1129">
        <f>IF($F1129="","",IF(OR($G1129="",$H1129="",$I1129="",$G1129&lt;1300,$G1129&gt;1500,$H1129&lt;1,$H1129&gt;12,$I1129&lt;1,$I1129&gt;31),"نامعتبر",RIGHT("0000"&amp;$G1129,4)&amp;"/"&amp;RIGHT("00"&amp;$H1129,2)&amp;"/"&amp;RIGHT("00"&amp;$I1129,2)))</f>
        <v/>
      </c>
      <c r="K1129">
        <f>IF(OR($F1129="",$J1129="",$J1129="نامعتبر"),"",LEFT($J1129,4)&amp;MID($J1129,6,2)&amp;RIGHT($J1129,2)&amp;$N1129&amp;"|"&amp;"2"&amp;RIGHT("00000"&amp;1124,5))</f>
        <v/>
      </c>
      <c r="L1129">
        <f>IF($K1129="","",COUNTIFS(LdgSellerA,$F1129,LdgKeyA,"&lt;"&amp;$K1129)+COUNTIFS(LdgSellerB,$F1129,LdgKeyB,"&lt;"&amp;$K1129)+1)</f>
        <v/>
      </c>
      <c r="M1129">
        <f>IF($L1129="","",$F1129&amp;"|"&amp;RIGHT("000000"&amp;$L1129,6))</f>
        <v/>
      </c>
      <c r="N1129">
        <f>IF($F1129="","",IF(Sync!$AF1129="","0000",IF(AND(ISNUMBER(Sync!$AF1129),Sync!$AF1129&gt;=0,Sync!$AF1129&lt;1),RIGHT("00"&amp;HOUR(Sync!$AF1129),2)&amp;RIGHT("00"&amp;MINUTE(Sync!$AF1129),2),IFERROR(RIGHT("00"&amp;VALUE(LEFT(Sync!$AF1129,FIND(":",Sync!$AF1129)-1)),2)&amp;RIGHT("00"&amp;VALUE(MID(Sync!$AF1129,FIND(":",Sync!$AF1129)+1,2)),2),"0000"))))</f>
        <v/>
      </c>
    </row>
    <row r="1130">
      <c r="A1130">
        <f>IF(OR(Calc!$E1134="",Calc!$E1134="نامعتبر",Calc!$G1134=""),"",Calc!$G1134)</f>
        <v/>
      </c>
      <c r="B1130">
        <f>IF($A1130="","",LEFT(Calc!$E1134,4)&amp;MID(Calc!$E1134,6,2)&amp;RIGHT(Calc!$E1134,2)&amp;Calc!$Q1134&amp;"|"&amp;"1"&amp;RIGHT("00000"&amp;1125,5))</f>
        <v/>
      </c>
      <c r="C1130">
        <f>IF($B1130="","",COUNTIFS(LdgSellerA,$A1130,LdgKeyA,"&lt;"&amp;$B1130)+COUNTIFS(LdgSellerB,$A1130,LdgKeyB,"&lt;"&amp;$B1130)+1)</f>
        <v/>
      </c>
      <c r="D1130">
        <f>IF($C1130="","",$A1130&amp;"|"&amp;RIGHT("000000"&amp;$C1130,6))</f>
        <v/>
      </c>
      <c r="F1130">
        <f>IF(Sync!$AH1130="","",IF(LEFT(UPPER(TRIM(Sync!$AH1130)),2)="SL",UPPER(TRIM(Sync!$AH1130)),""))</f>
        <v/>
      </c>
      <c r="G1130">
        <f>IF($F1130="","",IF(Sync!$AE1130="","",IF(ISNUMBER(Sync!$AE1130),IF(AND(Sync!$AE1130&gt;=10000101,Sync!$AE1130&lt;=99991231),INT(Sync!$AE1130/10000),""),IFERROR(VALUE(TRIM(LEFT(Sync!$AE1130,FIND("/",Sync!$AE1130)-1))),""))))</f>
        <v/>
      </c>
      <c r="H1130">
        <f>IF(OR($F1130="",$G1130=""),"",IF(ISNUMBER(Sync!$AE1130),INT(MOD(Sync!$AE1130,10000)/100),IFERROR(VALUE(TRIM(LEFT(MID(Sync!$AE1130,FIND("/",Sync!$AE1130)+1,20),FIND("/",MID(Sync!$AE1130,FIND("/",Sync!$AE1130)+1,20))-1))),"")))</f>
        <v/>
      </c>
      <c r="I1130">
        <f>IF(OR($F1130="",$G1130=""),"",IF(ISNUMBER(Sync!$AE1130),MOD(Sync!$AE1130,100),IFERROR(VALUE(TRIM(MID(MID(Sync!$AE1130,FIND("/",Sync!$AE1130)+1,20),FIND("/",MID(Sync!$AE1130,FIND("/",Sync!$AE1130)+1,20))+1,20))),"")))</f>
        <v/>
      </c>
      <c r="J1130">
        <f>IF($F1130="","",IF(OR($G1130="",$H1130="",$I1130="",$G1130&lt;1300,$G1130&gt;1500,$H1130&lt;1,$H1130&gt;12,$I1130&lt;1,$I1130&gt;31),"نامعتبر",RIGHT("0000"&amp;$G1130,4)&amp;"/"&amp;RIGHT("00"&amp;$H1130,2)&amp;"/"&amp;RIGHT("00"&amp;$I1130,2)))</f>
        <v/>
      </c>
      <c r="K1130">
        <f>IF(OR($F1130="",$J1130="",$J1130="نامعتبر"),"",LEFT($J1130,4)&amp;MID($J1130,6,2)&amp;RIGHT($J1130,2)&amp;$N1130&amp;"|"&amp;"2"&amp;RIGHT("00000"&amp;1125,5))</f>
        <v/>
      </c>
      <c r="L1130">
        <f>IF($K1130="","",COUNTIFS(LdgSellerA,$F1130,LdgKeyA,"&lt;"&amp;$K1130)+COUNTIFS(LdgSellerB,$F1130,LdgKeyB,"&lt;"&amp;$K1130)+1)</f>
        <v/>
      </c>
      <c r="M1130">
        <f>IF($L1130="","",$F1130&amp;"|"&amp;RIGHT("000000"&amp;$L1130,6))</f>
        <v/>
      </c>
      <c r="N1130">
        <f>IF($F1130="","",IF(Sync!$AF1130="","0000",IF(AND(ISNUMBER(Sync!$AF1130),Sync!$AF1130&gt;=0,Sync!$AF1130&lt;1),RIGHT("00"&amp;HOUR(Sync!$AF1130),2)&amp;RIGHT("00"&amp;MINUTE(Sync!$AF1130),2),IFERROR(RIGHT("00"&amp;VALUE(LEFT(Sync!$AF1130,FIND(":",Sync!$AF1130)-1)),2)&amp;RIGHT("00"&amp;VALUE(MID(Sync!$AF1130,FIND(":",Sync!$AF1130)+1,2)),2),"0000"))))</f>
        <v/>
      </c>
    </row>
    <row r="1131">
      <c r="A1131">
        <f>IF(OR(Calc!$E1135="",Calc!$E1135="نامعتبر",Calc!$G1135=""),"",Calc!$G1135)</f>
        <v/>
      </c>
      <c r="B1131">
        <f>IF($A1131="","",LEFT(Calc!$E1135,4)&amp;MID(Calc!$E1135,6,2)&amp;RIGHT(Calc!$E1135,2)&amp;Calc!$Q1135&amp;"|"&amp;"1"&amp;RIGHT("00000"&amp;1126,5))</f>
        <v/>
      </c>
      <c r="C1131">
        <f>IF($B1131="","",COUNTIFS(LdgSellerA,$A1131,LdgKeyA,"&lt;"&amp;$B1131)+COUNTIFS(LdgSellerB,$A1131,LdgKeyB,"&lt;"&amp;$B1131)+1)</f>
        <v/>
      </c>
      <c r="D1131">
        <f>IF($C1131="","",$A1131&amp;"|"&amp;RIGHT("000000"&amp;$C1131,6))</f>
        <v/>
      </c>
      <c r="F1131">
        <f>IF(Sync!$AH1131="","",IF(LEFT(UPPER(TRIM(Sync!$AH1131)),2)="SL",UPPER(TRIM(Sync!$AH1131)),""))</f>
        <v/>
      </c>
      <c r="G1131">
        <f>IF($F1131="","",IF(Sync!$AE1131="","",IF(ISNUMBER(Sync!$AE1131),IF(AND(Sync!$AE1131&gt;=10000101,Sync!$AE1131&lt;=99991231),INT(Sync!$AE1131/10000),""),IFERROR(VALUE(TRIM(LEFT(Sync!$AE1131,FIND("/",Sync!$AE1131)-1))),""))))</f>
        <v/>
      </c>
      <c r="H1131">
        <f>IF(OR($F1131="",$G1131=""),"",IF(ISNUMBER(Sync!$AE1131),INT(MOD(Sync!$AE1131,10000)/100),IFERROR(VALUE(TRIM(LEFT(MID(Sync!$AE1131,FIND("/",Sync!$AE1131)+1,20),FIND("/",MID(Sync!$AE1131,FIND("/",Sync!$AE1131)+1,20))-1))),"")))</f>
        <v/>
      </c>
      <c r="I1131">
        <f>IF(OR($F1131="",$G1131=""),"",IF(ISNUMBER(Sync!$AE1131),MOD(Sync!$AE1131,100),IFERROR(VALUE(TRIM(MID(MID(Sync!$AE1131,FIND("/",Sync!$AE1131)+1,20),FIND("/",MID(Sync!$AE1131,FIND("/",Sync!$AE1131)+1,20))+1,20))),"")))</f>
        <v/>
      </c>
      <c r="J1131">
        <f>IF($F1131="","",IF(OR($G1131="",$H1131="",$I1131="",$G1131&lt;1300,$G1131&gt;1500,$H1131&lt;1,$H1131&gt;12,$I1131&lt;1,$I1131&gt;31),"نامعتبر",RIGHT("0000"&amp;$G1131,4)&amp;"/"&amp;RIGHT("00"&amp;$H1131,2)&amp;"/"&amp;RIGHT("00"&amp;$I1131,2)))</f>
        <v/>
      </c>
      <c r="K1131">
        <f>IF(OR($F1131="",$J1131="",$J1131="نامعتبر"),"",LEFT($J1131,4)&amp;MID($J1131,6,2)&amp;RIGHT($J1131,2)&amp;$N1131&amp;"|"&amp;"2"&amp;RIGHT("00000"&amp;1126,5))</f>
        <v/>
      </c>
      <c r="L1131">
        <f>IF($K1131="","",COUNTIFS(LdgSellerA,$F1131,LdgKeyA,"&lt;"&amp;$K1131)+COUNTIFS(LdgSellerB,$F1131,LdgKeyB,"&lt;"&amp;$K1131)+1)</f>
        <v/>
      </c>
      <c r="M1131">
        <f>IF($L1131="","",$F1131&amp;"|"&amp;RIGHT("000000"&amp;$L1131,6))</f>
        <v/>
      </c>
      <c r="N1131">
        <f>IF($F1131="","",IF(Sync!$AF1131="","0000",IF(AND(ISNUMBER(Sync!$AF1131),Sync!$AF1131&gt;=0,Sync!$AF1131&lt;1),RIGHT("00"&amp;HOUR(Sync!$AF1131),2)&amp;RIGHT("00"&amp;MINUTE(Sync!$AF1131),2),IFERROR(RIGHT("00"&amp;VALUE(LEFT(Sync!$AF1131,FIND(":",Sync!$AF1131)-1)),2)&amp;RIGHT("00"&amp;VALUE(MID(Sync!$AF1131,FIND(":",Sync!$AF1131)+1,2)),2),"0000"))))</f>
        <v/>
      </c>
    </row>
    <row r="1132">
      <c r="A1132">
        <f>IF(OR(Calc!$E1136="",Calc!$E1136="نامعتبر",Calc!$G1136=""),"",Calc!$G1136)</f>
        <v/>
      </c>
      <c r="B1132">
        <f>IF($A1132="","",LEFT(Calc!$E1136,4)&amp;MID(Calc!$E1136,6,2)&amp;RIGHT(Calc!$E1136,2)&amp;Calc!$Q1136&amp;"|"&amp;"1"&amp;RIGHT("00000"&amp;1127,5))</f>
        <v/>
      </c>
      <c r="C1132">
        <f>IF($B1132="","",COUNTIFS(LdgSellerA,$A1132,LdgKeyA,"&lt;"&amp;$B1132)+COUNTIFS(LdgSellerB,$A1132,LdgKeyB,"&lt;"&amp;$B1132)+1)</f>
        <v/>
      </c>
      <c r="D1132">
        <f>IF($C1132="","",$A1132&amp;"|"&amp;RIGHT("000000"&amp;$C1132,6))</f>
        <v/>
      </c>
      <c r="F1132">
        <f>IF(Sync!$AH1132="","",IF(LEFT(UPPER(TRIM(Sync!$AH1132)),2)="SL",UPPER(TRIM(Sync!$AH1132)),""))</f>
        <v/>
      </c>
      <c r="G1132">
        <f>IF($F1132="","",IF(Sync!$AE1132="","",IF(ISNUMBER(Sync!$AE1132),IF(AND(Sync!$AE1132&gt;=10000101,Sync!$AE1132&lt;=99991231),INT(Sync!$AE1132/10000),""),IFERROR(VALUE(TRIM(LEFT(Sync!$AE1132,FIND("/",Sync!$AE1132)-1))),""))))</f>
        <v/>
      </c>
      <c r="H1132">
        <f>IF(OR($F1132="",$G1132=""),"",IF(ISNUMBER(Sync!$AE1132),INT(MOD(Sync!$AE1132,10000)/100),IFERROR(VALUE(TRIM(LEFT(MID(Sync!$AE1132,FIND("/",Sync!$AE1132)+1,20),FIND("/",MID(Sync!$AE1132,FIND("/",Sync!$AE1132)+1,20))-1))),"")))</f>
        <v/>
      </c>
      <c r="I1132">
        <f>IF(OR($F1132="",$G1132=""),"",IF(ISNUMBER(Sync!$AE1132),MOD(Sync!$AE1132,100),IFERROR(VALUE(TRIM(MID(MID(Sync!$AE1132,FIND("/",Sync!$AE1132)+1,20),FIND("/",MID(Sync!$AE1132,FIND("/",Sync!$AE1132)+1,20))+1,20))),"")))</f>
        <v/>
      </c>
      <c r="J1132">
        <f>IF($F1132="","",IF(OR($G1132="",$H1132="",$I1132="",$G1132&lt;1300,$G1132&gt;1500,$H1132&lt;1,$H1132&gt;12,$I1132&lt;1,$I1132&gt;31),"نامعتبر",RIGHT("0000"&amp;$G1132,4)&amp;"/"&amp;RIGHT("00"&amp;$H1132,2)&amp;"/"&amp;RIGHT("00"&amp;$I1132,2)))</f>
        <v/>
      </c>
      <c r="K1132">
        <f>IF(OR($F1132="",$J1132="",$J1132="نامعتبر"),"",LEFT($J1132,4)&amp;MID($J1132,6,2)&amp;RIGHT($J1132,2)&amp;$N1132&amp;"|"&amp;"2"&amp;RIGHT("00000"&amp;1127,5))</f>
        <v/>
      </c>
      <c r="L1132">
        <f>IF($K1132="","",COUNTIFS(LdgSellerA,$F1132,LdgKeyA,"&lt;"&amp;$K1132)+COUNTIFS(LdgSellerB,$F1132,LdgKeyB,"&lt;"&amp;$K1132)+1)</f>
        <v/>
      </c>
      <c r="M1132">
        <f>IF($L1132="","",$F1132&amp;"|"&amp;RIGHT("000000"&amp;$L1132,6))</f>
        <v/>
      </c>
      <c r="N1132">
        <f>IF($F1132="","",IF(Sync!$AF1132="","0000",IF(AND(ISNUMBER(Sync!$AF1132),Sync!$AF1132&gt;=0,Sync!$AF1132&lt;1),RIGHT("00"&amp;HOUR(Sync!$AF1132),2)&amp;RIGHT("00"&amp;MINUTE(Sync!$AF1132),2),IFERROR(RIGHT("00"&amp;VALUE(LEFT(Sync!$AF1132,FIND(":",Sync!$AF1132)-1)),2)&amp;RIGHT("00"&amp;VALUE(MID(Sync!$AF1132,FIND(":",Sync!$AF1132)+1,2)),2),"0000"))))</f>
        <v/>
      </c>
    </row>
    <row r="1133">
      <c r="A1133">
        <f>IF(OR(Calc!$E1137="",Calc!$E1137="نامعتبر",Calc!$G1137=""),"",Calc!$G1137)</f>
        <v/>
      </c>
      <c r="B1133">
        <f>IF($A1133="","",LEFT(Calc!$E1137,4)&amp;MID(Calc!$E1137,6,2)&amp;RIGHT(Calc!$E1137,2)&amp;Calc!$Q1137&amp;"|"&amp;"1"&amp;RIGHT("00000"&amp;1128,5))</f>
        <v/>
      </c>
      <c r="C1133">
        <f>IF($B1133="","",COUNTIFS(LdgSellerA,$A1133,LdgKeyA,"&lt;"&amp;$B1133)+COUNTIFS(LdgSellerB,$A1133,LdgKeyB,"&lt;"&amp;$B1133)+1)</f>
        <v/>
      </c>
      <c r="D1133">
        <f>IF($C1133="","",$A1133&amp;"|"&amp;RIGHT("000000"&amp;$C1133,6))</f>
        <v/>
      </c>
      <c r="F1133">
        <f>IF(Sync!$AH1133="","",IF(LEFT(UPPER(TRIM(Sync!$AH1133)),2)="SL",UPPER(TRIM(Sync!$AH1133)),""))</f>
        <v/>
      </c>
      <c r="G1133">
        <f>IF($F1133="","",IF(Sync!$AE1133="","",IF(ISNUMBER(Sync!$AE1133),IF(AND(Sync!$AE1133&gt;=10000101,Sync!$AE1133&lt;=99991231),INT(Sync!$AE1133/10000),""),IFERROR(VALUE(TRIM(LEFT(Sync!$AE1133,FIND("/",Sync!$AE1133)-1))),""))))</f>
        <v/>
      </c>
      <c r="H1133">
        <f>IF(OR($F1133="",$G1133=""),"",IF(ISNUMBER(Sync!$AE1133),INT(MOD(Sync!$AE1133,10000)/100),IFERROR(VALUE(TRIM(LEFT(MID(Sync!$AE1133,FIND("/",Sync!$AE1133)+1,20),FIND("/",MID(Sync!$AE1133,FIND("/",Sync!$AE1133)+1,20))-1))),"")))</f>
        <v/>
      </c>
      <c r="I1133">
        <f>IF(OR($F1133="",$G1133=""),"",IF(ISNUMBER(Sync!$AE1133),MOD(Sync!$AE1133,100),IFERROR(VALUE(TRIM(MID(MID(Sync!$AE1133,FIND("/",Sync!$AE1133)+1,20),FIND("/",MID(Sync!$AE1133,FIND("/",Sync!$AE1133)+1,20))+1,20))),"")))</f>
        <v/>
      </c>
      <c r="J1133">
        <f>IF($F1133="","",IF(OR($G1133="",$H1133="",$I1133="",$G1133&lt;1300,$G1133&gt;1500,$H1133&lt;1,$H1133&gt;12,$I1133&lt;1,$I1133&gt;31),"نامعتبر",RIGHT("0000"&amp;$G1133,4)&amp;"/"&amp;RIGHT("00"&amp;$H1133,2)&amp;"/"&amp;RIGHT("00"&amp;$I1133,2)))</f>
        <v/>
      </c>
      <c r="K1133">
        <f>IF(OR($F1133="",$J1133="",$J1133="نامعتبر"),"",LEFT($J1133,4)&amp;MID($J1133,6,2)&amp;RIGHT($J1133,2)&amp;$N1133&amp;"|"&amp;"2"&amp;RIGHT("00000"&amp;1128,5))</f>
        <v/>
      </c>
      <c r="L1133">
        <f>IF($K1133="","",COUNTIFS(LdgSellerA,$F1133,LdgKeyA,"&lt;"&amp;$K1133)+COUNTIFS(LdgSellerB,$F1133,LdgKeyB,"&lt;"&amp;$K1133)+1)</f>
        <v/>
      </c>
      <c r="M1133">
        <f>IF($L1133="","",$F1133&amp;"|"&amp;RIGHT("000000"&amp;$L1133,6))</f>
        <v/>
      </c>
      <c r="N1133">
        <f>IF($F1133="","",IF(Sync!$AF1133="","0000",IF(AND(ISNUMBER(Sync!$AF1133),Sync!$AF1133&gt;=0,Sync!$AF1133&lt;1),RIGHT("00"&amp;HOUR(Sync!$AF1133),2)&amp;RIGHT("00"&amp;MINUTE(Sync!$AF1133),2),IFERROR(RIGHT("00"&amp;VALUE(LEFT(Sync!$AF1133,FIND(":",Sync!$AF1133)-1)),2)&amp;RIGHT("00"&amp;VALUE(MID(Sync!$AF1133,FIND(":",Sync!$AF1133)+1,2)),2),"0000"))))</f>
        <v/>
      </c>
    </row>
    <row r="1134">
      <c r="A1134">
        <f>IF(OR(Calc!$E1138="",Calc!$E1138="نامعتبر",Calc!$G1138=""),"",Calc!$G1138)</f>
        <v/>
      </c>
      <c r="B1134">
        <f>IF($A1134="","",LEFT(Calc!$E1138,4)&amp;MID(Calc!$E1138,6,2)&amp;RIGHT(Calc!$E1138,2)&amp;Calc!$Q1138&amp;"|"&amp;"1"&amp;RIGHT("00000"&amp;1129,5))</f>
        <v/>
      </c>
      <c r="C1134">
        <f>IF($B1134="","",COUNTIFS(LdgSellerA,$A1134,LdgKeyA,"&lt;"&amp;$B1134)+COUNTIFS(LdgSellerB,$A1134,LdgKeyB,"&lt;"&amp;$B1134)+1)</f>
        <v/>
      </c>
      <c r="D1134">
        <f>IF($C1134="","",$A1134&amp;"|"&amp;RIGHT("000000"&amp;$C1134,6))</f>
        <v/>
      </c>
      <c r="F1134">
        <f>IF(Sync!$AH1134="","",IF(LEFT(UPPER(TRIM(Sync!$AH1134)),2)="SL",UPPER(TRIM(Sync!$AH1134)),""))</f>
        <v/>
      </c>
      <c r="G1134">
        <f>IF($F1134="","",IF(Sync!$AE1134="","",IF(ISNUMBER(Sync!$AE1134),IF(AND(Sync!$AE1134&gt;=10000101,Sync!$AE1134&lt;=99991231),INT(Sync!$AE1134/10000),""),IFERROR(VALUE(TRIM(LEFT(Sync!$AE1134,FIND("/",Sync!$AE1134)-1))),""))))</f>
        <v/>
      </c>
      <c r="H1134">
        <f>IF(OR($F1134="",$G1134=""),"",IF(ISNUMBER(Sync!$AE1134),INT(MOD(Sync!$AE1134,10000)/100),IFERROR(VALUE(TRIM(LEFT(MID(Sync!$AE1134,FIND("/",Sync!$AE1134)+1,20),FIND("/",MID(Sync!$AE1134,FIND("/",Sync!$AE1134)+1,20))-1))),"")))</f>
        <v/>
      </c>
      <c r="I1134">
        <f>IF(OR($F1134="",$G1134=""),"",IF(ISNUMBER(Sync!$AE1134),MOD(Sync!$AE1134,100),IFERROR(VALUE(TRIM(MID(MID(Sync!$AE1134,FIND("/",Sync!$AE1134)+1,20),FIND("/",MID(Sync!$AE1134,FIND("/",Sync!$AE1134)+1,20))+1,20))),"")))</f>
        <v/>
      </c>
      <c r="J1134">
        <f>IF($F1134="","",IF(OR($G1134="",$H1134="",$I1134="",$G1134&lt;1300,$G1134&gt;1500,$H1134&lt;1,$H1134&gt;12,$I1134&lt;1,$I1134&gt;31),"نامعتبر",RIGHT("0000"&amp;$G1134,4)&amp;"/"&amp;RIGHT("00"&amp;$H1134,2)&amp;"/"&amp;RIGHT("00"&amp;$I1134,2)))</f>
        <v/>
      </c>
      <c r="K1134">
        <f>IF(OR($F1134="",$J1134="",$J1134="نامعتبر"),"",LEFT($J1134,4)&amp;MID($J1134,6,2)&amp;RIGHT($J1134,2)&amp;$N1134&amp;"|"&amp;"2"&amp;RIGHT("00000"&amp;1129,5))</f>
        <v/>
      </c>
      <c r="L1134">
        <f>IF($K1134="","",COUNTIFS(LdgSellerA,$F1134,LdgKeyA,"&lt;"&amp;$K1134)+COUNTIFS(LdgSellerB,$F1134,LdgKeyB,"&lt;"&amp;$K1134)+1)</f>
        <v/>
      </c>
      <c r="M1134">
        <f>IF($L1134="","",$F1134&amp;"|"&amp;RIGHT("000000"&amp;$L1134,6))</f>
        <v/>
      </c>
      <c r="N1134">
        <f>IF($F1134="","",IF(Sync!$AF1134="","0000",IF(AND(ISNUMBER(Sync!$AF1134),Sync!$AF1134&gt;=0,Sync!$AF1134&lt;1),RIGHT("00"&amp;HOUR(Sync!$AF1134),2)&amp;RIGHT("00"&amp;MINUTE(Sync!$AF1134),2),IFERROR(RIGHT("00"&amp;VALUE(LEFT(Sync!$AF1134,FIND(":",Sync!$AF1134)-1)),2)&amp;RIGHT("00"&amp;VALUE(MID(Sync!$AF1134,FIND(":",Sync!$AF1134)+1,2)),2),"0000"))))</f>
        <v/>
      </c>
    </row>
    <row r="1135">
      <c r="A1135">
        <f>IF(OR(Calc!$E1139="",Calc!$E1139="نامعتبر",Calc!$G1139=""),"",Calc!$G1139)</f>
        <v/>
      </c>
      <c r="B1135">
        <f>IF($A1135="","",LEFT(Calc!$E1139,4)&amp;MID(Calc!$E1139,6,2)&amp;RIGHT(Calc!$E1139,2)&amp;Calc!$Q1139&amp;"|"&amp;"1"&amp;RIGHT("00000"&amp;1130,5))</f>
        <v/>
      </c>
      <c r="C1135">
        <f>IF($B1135="","",COUNTIFS(LdgSellerA,$A1135,LdgKeyA,"&lt;"&amp;$B1135)+COUNTIFS(LdgSellerB,$A1135,LdgKeyB,"&lt;"&amp;$B1135)+1)</f>
        <v/>
      </c>
      <c r="D1135">
        <f>IF($C1135="","",$A1135&amp;"|"&amp;RIGHT("000000"&amp;$C1135,6))</f>
        <v/>
      </c>
      <c r="F1135">
        <f>IF(Sync!$AH1135="","",IF(LEFT(UPPER(TRIM(Sync!$AH1135)),2)="SL",UPPER(TRIM(Sync!$AH1135)),""))</f>
        <v/>
      </c>
      <c r="G1135">
        <f>IF($F1135="","",IF(Sync!$AE1135="","",IF(ISNUMBER(Sync!$AE1135),IF(AND(Sync!$AE1135&gt;=10000101,Sync!$AE1135&lt;=99991231),INT(Sync!$AE1135/10000),""),IFERROR(VALUE(TRIM(LEFT(Sync!$AE1135,FIND("/",Sync!$AE1135)-1))),""))))</f>
        <v/>
      </c>
      <c r="H1135">
        <f>IF(OR($F1135="",$G1135=""),"",IF(ISNUMBER(Sync!$AE1135),INT(MOD(Sync!$AE1135,10000)/100),IFERROR(VALUE(TRIM(LEFT(MID(Sync!$AE1135,FIND("/",Sync!$AE1135)+1,20),FIND("/",MID(Sync!$AE1135,FIND("/",Sync!$AE1135)+1,20))-1))),"")))</f>
        <v/>
      </c>
      <c r="I1135">
        <f>IF(OR($F1135="",$G1135=""),"",IF(ISNUMBER(Sync!$AE1135),MOD(Sync!$AE1135,100),IFERROR(VALUE(TRIM(MID(MID(Sync!$AE1135,FIND("/",Sync!$AE1135)+1,20),FIND("/",MID(Sync!$AE1135,FIND("/",Sync!$AE1135)+1,20))+1,20))),"")))</f>
        <v/>
      </c>
      <c r="J1135">
        <f>IF($F1135="","",IF(OR($G1135="",$H1135="",$I1135="",$G1135&lt;1300,$G1135&gt;1500,$H1135&lt;1,$H1135&gt;12,$I1135&lt;1,$I1135&gt;31),"نامعتبر",RIGHT("0000"&amp;$G1135,4)&amp;"/"&amp;RIGHT("00"&amp;$H1135,2)&amp;"/"&amp;RIGHT("00"&amp;$I1135,2)))</f>
        <v/>
      </c>
      <c r="K1135">
        <f>IF(OR($F1135="",$J1135="",$J1135="نامعتبر"),"",LEFT($J1135,4)&amp;MID($J1135,6,2)&amp;RIGHT($J1135,2)&amp;$N1135&amp;"|"&amp;"2"&amp;RIGHT("00000"&amp;1130,5))</f>
        <v/>
      </c>
      <c r="L1135">
        <f>IF($K1135="","",COUNTIFS(LdgSellerA,$F1135,LdgKeyA,"&lt;"&amp;$K1135)+COUNTIFS(LdgSellerB,$F1135,LdgKeyB,"&lt;"&amp;$K1135)+1)</f>
        <v/>
      </c>
      <c r="M1135">
        <f>IF($L1135="","",$F1135&amp;"|"&amp;RIGHT("000000"&amp;$L1135,6))</f>
        <v/>
      </c>
      <c r="N1135">
        <f>IF($F1135="","",IF(Sync!$AF1135="","0000",IF(AND(ISNUMBER(Sync!$AF1135),Sync!$AF1135&gt;=0,Sync!$AF1135&lt;1),RIGHT("00"&amp;HOUR(Sync!$AF1135),2)&amp;RIGHT("00"&amp;MINUTE(Sync!$AF1135),2),IFERROR(RIGHT("00"&amp;VALUE(LEFT(Sync!$AF1135,FIND(":",Sync!$AF1135)-1)),2)&amp;RIGHT("00"&amp;VALUE(MID(Sync!$AF1135,FIND(":",Sync!$AF1135)+1,2)),2),"0000"))))</f>
        <v/>
      </c>
    </row>
    <row r="1136">
      <c r="A1136">
        <f>IF(OR(Calc!$E1140="",Calc!$E1140="نامعتبر",Calc!$G1140=""),"",Calc!$G1140)</f>
        <v/>
      </c>
      <c r="B1136">
        <f>IF($A1136="","",LEFT(Calc!$E1140,4)&amp;MID(Calc!$E1140,6,2)&amp;RIGHT(Calc!$E1140,2)&amp;Calc!$Q1140&amp;"|"&amp;"1"&amp;RIGHT("00000"&amp;1131,5))</f>
        <v/>
      </c>
      <c r="C1136">
        <f>IF($B1136="","",COUNTIFS(LdgSellerA,$A1136,LdgKeyA,"&lt;"&amp;$B1136)+COUNTIFS(LdgSellerB,$A1136,LdgKeyB,"&lt;"&amp;$B1136)+1)</f>
        <v/>
      </c>
      <c r="D1136">
        <f>IF($C1136="","",$A1136&amp;"|"&amp;RIGHT("000000"&amp;$C1136,6))</f>
        <v/>
      </c>
      <c r="F1136">
        <f>IF(Sync!$AH1136="","",IF(LEFT(UPPER(TRIM(Sync!$AH1136)),2)="SL",UPPER(TRIM(Sync!$AH1136)),""))</f>
        <v/>
      </c>
      <c r="G1136">
        <f>IF($F1136="","",IF(Sync!$AE1136="","",IF(ISNUMBER(Sync!$AE1136),IF(AND(Sync!$AE1136&gt;=10000101,Sync!$AE1136&lt;=99991231),INT(Sync!$AE1136/10000),""),IFERROR(VALUE(TRIM(LEFT(Sync!$AE1136,FIND("/",Sync!$AE1136)-1))),""))))</f>
        <v/>
      </c>
      <c r="H1136">
        <f>IF(OR($F1136="",$G1136=""),"",IF(ISNUMBER(Sync!$AE1136),INT(MOD(Sync!$AE1136,10000)/100),IFERROR(VALUE(TRIM(LEFT(MID(Sync!$AE1136,FIND("/",Sync!$AE1136)+1,20),FIND("/",MID(Sync!$AE1136,FIND("/",Sync!$AE1136)+1,20))-1))),"")))</f>
        <v/>
      </c>
      <c r="I1136">
        <f>IF(OR($F1136="",$G1136=""),"",IF(ISNUMBER(Sync!$AE1136),MOD(Sync!$AE1136,100),IFERROR(VALUE(TRIM(MID(MID(Sync!$AE1136,FIND("/",Sync!$AE1136)+1,20),FIND("/",MID(Sync!$AE1136,FIND("/",Sync!$AE1136)+1,20))+1,20))),"")))</f>
        <v/>
      </c>
      <c r="J1136">
        <f>IF($F1136="","",IF(OR($G1136="",$H1136="",$I1136="",$G1136&lt;1300,$G1136&gt;1500,$H1136&lt;1,$H1136&gt;12,$I1136&lt;1,$I1136&gt;31),"نامعتبر",RIGHT("0000"&amp;$G1136,4)&amp;"/"&amp;RIGHT("00"&amp;$H1136,2)&amp;"/"&amp;RIGHT("00"&amp;$I1136,2)))</f>
        <v/>
      </c>
      <c r="K1136">
        <f>IF(OR($F1136="",$J1136="",$J1136="نامعتبر"),"",LEFT($J1136,4)&amp;MID($J1136,6,2)&amp;RIGHT($J1136,2)&amp;$N1136&amp;"|"&amp;"2"&amp;RIGHT("00000"&amp;1131,5))</f>
        <v/>
      </c>
      <c r="L1136">
        <f>IF($K1136="","",COUNTIFS(LdgSellerA,$F1136,LdgKeyA,"&lt;"&amp;$K1136)+COUNTIFS(LdgSellerB,$F1136,LdgKeyB,"&lt;"&amp;$K1136)+1)</f>
        <v/>
      </c>
      <c r="M1136">
        <f>IF($L1136="","",$F1136&amp;"|"&amp;RIGHT("000000"&amp;$L1136,6))</f>
        <v/>
      </c>
      <c r="N1136">
        <f>IF($F1136="","",IF(Sync!$AF1136="","0000",IF(AND(ISNUMBER(Sync!$AF1136),Sync!$AF1136&gt;=0,Sync!$AF1136&lt;1),RIGHT("00"&amp;HOUR(Sync!$AF1136),2)&amp;RIGHT("00"&amp;MINUTE(Sync!$AF1136),2),IFERROR(RIGHT("00"&amp;VALUE(LEFT(Sync!$AF1136,FIND(":",Sync!$AF1136)-1)),2)&amp;RIGHT("00"&amp;VALUE(MID(Sync!$AF1136,FIND(":",Sync!$AF1136)+1,2)),2),"0000"))))</f>
        <v/>
      </c>
    </row>
    <row r="1137">
      <c r="A1137">
        <f>IF(OR(Calc!$E1141="",Calc!$E1141="نامعتبر",Calc!$G1141=""),"",Calc!$G1141)</f>
        <v/>
      </c>
      <c r="B1137">
        <f>IF($A1137="","",LEFT(Calc!$E1141,4)&amp;MID(Calc!$E1141,6,2)&amp;RIGHT(Calc!$E1141,2)&amp;Calc!$Q1141&amp;"|"&amp;"1"&amp;RIGHT("00000"&amp;1132,5))</f>
        <v/>
      </c>
      <c r="C1137">
        <f>IF($B1137="","",COUNTIFS(LdgSellerA,$A1137,LdgKeyA,"&lt;"&amp;$B1137)+COUNTIFS(LdgSellerB,$A1137,LdgKeyB,"&lt;"&amp;$B1137)+1)</f>
        <v/>
      </c>
      <c r="D1137">
        <f>IF($C1137="","",$A1137&amp;"|"&amp;RIGHT("000000"&amp;$C1137,6))</f>
        <v/>
      </c>
      <c r="F1137">
        <f>IF(Sync!$AH1137="","",IF(LEFT(UPPER(TRIM(Sync!$AH1137)),2)="SL",UPPER(TRIM(Sync!$AH1137)),""))</f>
        <v/>
      </c>
      <c r="G1137">
        <f>IF($F1137="","",IF(Sync!$AE1137="","",IF(ISNUMBER(Sync!$AE1137),IF(AND(Sync!$AE1137&gt;=10000101,Sync!$AE1137&lt;=99991231),INT(Sync!$AE1137/10000),""),IFERROR(VALUE(TRIM(LEFT(Sync!$AE1137,FIND("/",Sync!$AE1137)-1))),""))))</f>
        <v/>
      </c>
      <c r="H1137">
        <f>IF(OR($F1137="",$G1137=""),"",IF(ISNUMBER(Sync!$AE1137),INT(MOD(Sync!$AE1137,10000)/100),IFERROR(VALUE(TRIM(LEFT(MID(Sync!$AE1137,FIND("/",Sync!$AE1137)+1,20),FIND("/",MID(Sync!$AE1137,FIND("/",Sync!$AE1137)+1,20))-1))),"")))</f>
        <v/>
      </c>
      <c r="I1137">
        <f>IF(OR($F1137="",$G1137=""),"",IF(ISNUMBER(Sync!$AE1137),MOD(Sync!$AE1137,100),IFERROR(VALUE(TRIM(MID(MID(Sync!$AE1137,FIND("/",Sync!$AE1137)+1,20),FIND("/",MID(Sync!$AE1137,FIND("/",Sync!$AE1137)+1,20))+1,20))),"")))</f>
        <v/>
      </c>
      <c r="J1137">
        <f>IF($F1137="","",IF(OR($G1137="",$H1137="",$I1137="",$G1137&lt;1300,$G1137&gt;1500,$H1137&lt;1,$H1137&gt;12,$I1137&lt;1,$I1137&gt;31),"نامعتبر",RIGHT("0000"&amp;$G1137,4)&amp;"/"&amp;RIGHT("00"&amp;$H1137,2)&amp;"/"&amp;RIGHT("00"&amp;$I1137,2)))</f>
        <v/>
      </c>
      <c r="K1137">
        <f>IF(OR($F1137="",$J1137="",$J1137="نامعتبر"),"",LEFT($J1137,4)&amp;MID($J1137,6,2)&amp;RIGHT($J1137,2)&amp;$N1137&amp;"|"&amp;"2"&amp;RIGHT("00000"&amp;1132,5))</f>
        <v/>
      </c>
      <c r="L1137">
        <f>IF($K1137="","",COUNTIFS(LdgSellerA,$F1137,LdgKeyA,"&lt;"&amp;$K1137)+COUNTIFS(LdgSellerB,$F1137,LdgKeyB,"&lt;"&amp;$K1137)+1)</f>
        <v/>
      </c>
      <c r="M1137">
        <f>IF($L1137="","",$F1137&amp;"|"&amp;RIGHT("000000"&amp;$L1137,6))</f>
        <v/>
      </c>
      <c r="N1137">
        <f>IF($F1137="","",IF(Sync!$AF1137="","0000",IF(AND(ISNUMBER(Sync!$AF1137),Sync!$AF1137&gt;=0,Sync!$AF1137&lt;1),RIGHT("00"&amp;HOUR(Sync!$AF1137),2)&amp;RIGHT("00"&amp;MINUTE(Sync!$AF1137),2),IFERROR(RIGHT("00"&amp;VALUE(LEFT(Sync!$AF1137,FIND(":",Sync!$AF1137)-1)),2)&amp;RIGHT("00"&amp;VALUE(MID(Sync!$AF1137,FIND(":",Sync!$AF1137)+1,2)),2),"0000"))))</f>
        <v/>
      </c>
    </row>
    <row r="1138">
      <c r="A1138">
        <f>IF(OR(Calc!$E1142="",Calc!$E1142="نامعتبر",Calc!$G1142=""),"",Calc!$G1142)</f>
        <v/>
      </c>
      <c r="B1138">
        <f>IF($A1138="","",LEFT(Calc!$E1142,4)&amp;MID(Calc!$E1142,6,2)&amp;RIGHT(Calc!$E1142,2)&amp;Calc!$Q1142&amp;"|"&amp;"1"&amp;RIGHT("00000"&amp;1133,5))</f>
        <v/>
      </c>
      <c r="C1138">
        <f>IF($B1138="","",COUNTIFS(LdgSellerA,$A1138,LdgKeyA,"&lt;"&amp;$B1138)+COUNTIFS(LdgSellerB,$A1138,LdgKeyB,"&lt;"&amp;$B1138)+1)</f>
        <v/>
      </c>
      <c r="D1138">
        <f>IF($C1138="","",$A1138&amp;"|"&amp;RIGHT("000000"&amp;$C1138,6))</f>
        <v/>
      </c>
      <c r="F1138">
        <f>IF(Sync!$AH1138="","",IF(LEFT(UPPER(TRIM(Sync!$AH1138)),2)="SL",UPPER(TRIM(Sync!$AH1138)),""))</f>
        <v/>
      </c>
      <c r="G1138">
        <f>IF($F1138="","",IF(Sync!$AE1138="","",IF(ISNUMBER(Sync!$AE1138),IF(AND(Sync!$AE1138&gt;=10000101,Sync!$AE1138&lt;=99991231),INT(Sync!$AE1138/10000),""),IFERROR(VALUE(TRIM(LEFT(Sync!$AE1138,FIND("/",Sync!$AE1138)-1))),""))))</f>
        <v/>
      </c>
      <c r="H1138">
        <f>IF(OR($F1138="",$G1138=""),"",IF(ISNUMBER(Sync!$AE1138),INT(MOD(Sync!$AE1138,10000)/100),IFERROR(VALUE(TRIM(LEFT(MID(Sync!$AE1138,FIND("/",Sync!$AE1138)+1,20),FIND("/",MID(Sync!$AE1138,FIND("/",Sync!$AE1138)+1,20))-1))),"")))</f>
        <v/>
      </c>
      <c r="I1138">
        <f>IF(OR($F1138="",$G1138=""),"",IF(ISNUMBER(Sync!$AE1138),MOD(Sync!$AE1138,100),IFERROR(VALUE(TRIM(MID(MID(Sync!$AE1138,FIND("/",Sync!$AE1138)+1,20),FIND("/",MID(Sync!$AE1138,FIND("/",Sync!$AE1138)+1,20))+1,20))),"")))</f>
        <v/>
      </c>
      <c r="J1138">
        <f>IF($F1138="","",IF(OR($G1138="",$H1138="",$I1138="",$G1138&lt;1300,$G1138&gt;1500,$H1138&lt;1,$H1138&gt;12,$I1138&lt;1,$I1138&gt;31),"نامعتبر",RIGHT("0000"&amp;$G1138,4)&amp;"/"&amp;RIGHT("00"&amp;$H1138,2)&amp;"/"&amp;RIGHT("00"&amp;$I1138,2)))</f>
        <v/>
      </c>
      <c r="K1138">
        <f>IF(OR($F1138="",$J1138="",$J1138="نامعتبر"),"",LEFT($J1138,4)&amp;MID($J1138,6,2)&amp;RIGHT($J1138,2)&amp;$N1138&amp;"|"&amp;"2"&amp;RIGHT("00000"&amp;1133,5))</f>
        <v/>
      </c>
      <c r="L1138">
        <f>IF($K1138="","",COUNTIFS(LdgSellerA,$F1138,LdgKeyA,"&lt;"&amp;$K1138)+COUNTIFS(LdgSellerB,$F1138,LdgKeyB,"&lt;"&amp;$K1138)+1)</f>
        <v/>
      </c>
      <c r="M1138">
        <f>IF($L1138="","",$F1138&amp;"|"&amp;RIGHT("000000"&amp;$L1138,6))</f>
        <v/>
      </c>
      <c r="N1138">
        <f>IF($F1138="","",IF(Sync!$AF1138="","0000",IF(AND(ISNUMBER(Sync!$AF1138),Sync!$AF1138&gt;=0,Sync!$AF1138&lt;1),RIGHT("00"&amp;HOUR(Sync!$AF1138),2)&amp;RIGHT("00"&amp;MINUTE(Sync!$AF1138),2),IFERROR(RIGHT("00"&amp;VALUE(LEFT(Sync!$AF1138,FIND(":",Sync!$AF1138)-1)),2)&amp;RIGHT("00"&amp;VALUE(MID(Sync!$AF1138,FIND(":",Sync!$AF1138)+1,2)),2),"0000"))))</f>
        <v/>
      </c>
    </row>
    <row r="1139">
      <c r="A1139">
        <f>IF(OR(Calc!$E1143="",Calc!$E1143="نامعتبر",Calc!$G1143=""),"",Calc!$G1143)</f>
        <v/>
      </c>
      <c r="B1139">
        <f>IF($A1139="","",LEFT(Calc!$E1143,4)&amp;MID(Calc!$E1143,6,2)&amp;RIGHT(Calc!$E1143,2)&amp;Calc!$Q1143&amp;"|"&amp;"1"&amp;RIGHT("00000"&amp;1134,5))</f>
        <v/>
      </c>
      <c r="C1139">
        <f>IF($B1139="","",COUNTIFS(LdgSellerA,$A1139,LdgKeyA,"&lt;"&amp;$B1139)+COUNTIFS(LdgSellerB,$A1139,LdgKeyB,"&lt;"&amp;$B1139)+1)</f>
        <v/>
      </c>
      <c r="D1139">
        <f>IF($C1139="","",$A1139&amp;"|"&amp;RIGHT("000000"&amp;$C1139,6))</f>
        <v/>
      </c>
      <c r="F1139">
        <f>IF(Sync!$AH1139="","",IF(LEFT(UPPER(TRIM(Sync!$AH1139)),2)="SL",UPPER(TRIM(Sync!$AH1139)),""))</f>
        <v/>
      </c>
      <c r="G1139">
        <f>IF($F1139="","",IF(Sync!$AE1139="","",IF(ISNUMBER(Sync!$AE1139),IF(AND(Sync!$AE1139&gt;=10000101,Sync!$AE1139&lt;=99991231),INT(Sync!$AE1139/10000),""),IFERROR(VALUE(TRIM(LEFT(Sync!$AE1139,FIND("/",Sync!$AE1139)-1))),""))))</f>
        <v/>
      </c>
      <c r="H1139">
        <f>IF(OR($F1139="",$G1139=""),"",IF(ISNUMBER(Sync!$AE1139),INT(MOD(Sync!$AE1139,10000)/100),IFERROR(VALUE(TRIM(LEFT(MID(Sync!$AE1139,FIND("/",Sync!$AE1139)+1,20),FIND("/",MID(Sync!$AE1139,FIND("/",Sync!$AE1139)+1,20))-1))),"")))</f>
        <v/>
      </c>
      <c r="I1139">
        <f>IF(OR($F1139="",$G1139=""),"",IF(ISNUMBER(Sync!$AE1139),MOD(Sync!$AE1139,100),IFERROR(VALUE(TRIM(MID(MID(Sync!$AE1139,FIND("/",Sync!$AE1139)+1,20),FIND("/",MID(Sync!$AE1139,FIND("/",Sync!$AE1139)+1,20))+1,20))),"")))</f>
        <v/>
      </c>
      <c r="J1139">
        <f>IF($F1139="","",IF(OR($G1139="",$H1139="",$I1139="",$G1139&lt;1300,$G1139&gt;1500,$H1139&lt;1,$H1139&gt;12,$I1139&lt;1,$I1139&gt;31),"نامعتبر",RIGHT("0000"&amp;$G1139,4)&amp;"/"&amp;RIGHT("00"&amp;$H1139,2)&amp;"/"&amp;RIGHT("00"&amp;$I1139,2)))</f>
        <v/>
      </c>
      <c r="K1139">
        <f>IF(OR($F1139="",$J1139="",$J1139="نامعتبر"),"",LEFT($J1139,4)&amp;MID($J1139,6,2)&amp;RIGHT($J1139,2)&amp;$N1139&amp;"|"&amp;"2"&amp;RIGHT("00000"&amp;1134,5))</f>
        <v/>
      </c>
      <c r="L1139">
        <f>IF($K1139="","",COUNTIFS(LdgSellerA,$F1139,LdgKeyA,"&lt;"&amp;$K1139)+COUNTIFS(LdgSellerB,$F1139,LdgKeyB,"&lt;"&amp;$K1139)+1)</f>
        <v/>
      </c>
      <c r="M1139">
        <f>IF($L1139="","",$F1139&amp;"|"&amp;RIGHT("000000"&amp;$L1139,6))</f>
        <v/>
      </c>
      <c r="N1139">
        <f>IF($F1139="","",IF(Sync!$AF1139="","0000",IF(AND(ISNUMBER(Sync!$AF1139),Sync!$AF1139&gt;=0,Sync!$AF1139&lt;1),RIGHT("00"&amp;HOUR(Sync!$AF1139),2)&amp;RIGHT("00"&amp;MINUTE(Sync!$AF1139),2),IFERROR(RIGHT("00"&amp;VALUE(LEFT(Sync!$AF1139,FIND(":",Sync!$AF1139)-1)),2)&amp;RIGHT("00"&amp;VALUE(MID(Sync!$AF1139,FIND(":",Sync!$AF1139)+1,2)),2),"0000"))))</f>
        <v/>
      </c>
    </row>
    <row r="1140">
      <c r="A1140">
        <f>IF(OR(Calc!$E1144="",Calc!$E1144="نامعتبر",Calc!$G1144=""),"",Calc!$G1144)</f>
        <v/>
      </c>
      <c r="B1140">
        <f>IF($A1140="","",LEFT(Calc!$E1144,4)&amp;MID(Calc!$E1144,6,2)&amp;RIGHT(Calc!$E1144,2)&amp;Calc!$Q1144&amp;"|"&amp;"1"&amp;RIGHT("00000"&amp;1135,5))</f>
        <v/>
      </c>
      <c r="C1140">
        <f>IF($B1140="","",COUNTIFS(LdgSellerA,$A1140,LdgKeyA,"&lt;"&amp;$B1140)+COUNTIFS(LdgSellerB,$A1140,LdgKeyB,"&lt;"&amp;$B1140)+1)</f>
        <v/>
      </c>
      <c r="D1140">
        <f>IF($C1140="","",$A1140&amp;"|"&amp;RIGHT("000000"&amp;$C1140,6))</f>
        <v/>
      </c>
      <c r="F1140">
        <f>IF(Sync!$AH1140="","",IF(LEFT(UPPER(TRIM(Sync!$AH1140)),2)="SL",UPPER(TRIM(Sync!$AH1140)),""))</f>
        <v/>
      </c>
      <c r="G1140">
        <f>IF($F1140="","",IF(Sync!$AE1140="","",IF(ISNUMBER(Sync!$AE1140),IF(AND(Sync!$AE1140&gt;=10000101,Sync!$AE1140&lt;=99991231),INT(Sync!$AE1140/10000),""),IFERROR(VALUE(TRIM(LEFT(Sync!$AE1140,FIND("/",Sync!$AE1140)-1))),""))))</f>
        <v/>
      </c>
      <c r="H1140">
        <f>IF(OR($F1140="",$G1140=""),"",IF(ISNUMBER(Sync!$AE1140),INT(MOD(Sync!$AE1140,10000)/100),IFERROR(VALUE(TRIM(LEFT(MID(Sync!$AE1140,FIND("/",Sync!$AE1140)+1,20),FIND("/",MID(Sync!$AE1140,FIND("/",Sync!$AE1140)+1,20))-1))),"")))</f>
        <v/>
      </c>
      <c r="I1140">
        <f>IF(OR($F1140="",$G1140=""),"",IF(ISNUMBER(Sync!$AE1140),MOD(Sync!$AE1140,100),IFERROR(VALUE(TRIM(MID(MID(Sync!$AE1140,FIND("/",Sync!$AE1140)+1,20),FIND("/",MID(Sync!$AE1140,FIND("/",Sync!$AE1140)+1,20))+1,20))),"")))</f>
        <v/>
      </c>
      <c r="J1140">
        <f>IF($F1140="","",IF(OR($G1140="",$H1140="",$I1140="",$G1140&lt;1300,$G1140&gt;1500,$H1140&lt;1,$H1140&gt;12,$I1140&lt;1,$I1140&gt;31),"نامعتبر",RIGHT("0000"&amp;$G1140,4)&amp;"/"&amp;RIGHT("00"&amp;$H1140,2)&amp;"/"&amp;RIGHT("00"&amp;$I1140,2)))</f>
        <v/>
      </c>
      <c r="K1140">
        <f>IF(OR($F1140="",$J1140="",$J1140="نامعتبر"),"",LEFT($J1140,4)&amp;MID($J1140,6,2)&amp;RIGHT($J1140,2)&amp;$N1140&amp;"|"&amp;"2"&amp;RIGHT("00000"&amp;1135,5))</f>
        <v/>
      </c>
      <c r="L1140">
        <f>IF($K1140="","",COUNTIFS(LdgSellerA,$F1140,LdgKeyA,"&lt;"&amp;$K1140)+COUNTIFS(LdgSellerB,$F1140,LdgKeyB,"&lt;"&amp;$K1140)+1)</f>
        <v/>
      </c>
      <c r="M1140">
        <f>IF($L1140="","",$F1140&amp;"|"&amp;RIGHT("000000"&amp;$L1140,6))</f>
        <v/>
      </c>
      <c r="N1140">
        <f>IF($F1140="","",IF(Sync!$AF1140="","0000",IF(AND(ISNUMBER(Sync!$AF1140),Sync!$AF1140&gt;=0,Sync!$AF1140&lt;1),RIGHT("00"&amp;HOUR(Sync!$AF1140),2)&amp;RIGHT("00"&amp;MINUTE(Sync!$AF1140),2),IFERROR(RIGHT("00"&amp;VALUE(LEFT(Sync!$AF1140,FIND(":",Sync!$AF1140)-1)),2)&amp;RIGHT("00"&amp;VALUE(MID(Sync!$AF1140,FIND(":",Sync!$AF1140)+1,2)),2),"0000"))))</f>
        <v/>
      </c>
    </row>
    <row r="1141">
      <c r="A1141">
        <f>IF(OR(Calc!$E1145="",Calc!$E1145="نامعتبر",Calc!$G1145=""),"",Calc!$G1145)</f>
        <v/>
      </c>
      <c r="B1141">
        <f>IF($A1141="","",LEFT(Calc!$E1145,4)&amp;MID(Calc!$E1145,6,2)&amp;RIGHT(Calc!$E1145,2)&amp;Calc!$Q1145&amp;"|"&amp;"1"&amp;RIGHT("00000"&amp;1136,5))</f>
        <v/>
      </c>
      <c r="C1141">
        <f>IF($B1141="","",COUNTIFS(LdgSellerA,$A1141,LdgKeyA,"&lt;"&amp;$B1141)+COUNTIFS(LdgSellerB,$A1141,LdgKeyB,"&lt;"&amp;$B1141)+1)</f>
        <v/>
      </c>
      <c r="D1141">
        <f>IF($C1141="","",$A1141&amp;"|"&amp;RIGHT("000000"&amp;$C1141,6))</f>
        <v/>
      </c>
      <c r="F1141">
        <f>IF(Sync!$AH1141="","",IF(LEFT(UPPER(TRIM(Sync!$AH1141)),2)="SL",UPPER(TRIM(Sync!$AH1141)),""))</f>
        <v/>
      </c>
      <c r="G1141">
        <f>IF($F1141="","",IF(Sync!$AE1141="","",IF(ISNUMBER(Sync!$AE1141),IF(AND(Sync!$AE1141&gt;=10000101,Sync!$AE1141&lt;=99991231),INT(Sync!$AE1141/10000),""),IFERROR(VALUE(TRIM(LEFT(Sync!$AE1141,FIND("/",Sync!$AE1141)-1))),""))))</f>
        <v/>
      </c>
      <c r="H1141">
        <f>IF(OR($F1141="",$G1141=""),"",IF(ISNUMBER(Sync!$AE1141),INT(MOD(Sync!$AE1141,10000)/100),IFERROR(VALUE(TRIM(LEFT(MID(Sync!$AE1141,FIND("/",Sync!$AE1141)+1,20),FIND("/",MID(Sync!$AE1141,FIND("/",Sync!$AE1141)+1,20))-1))),"")))</f>
        <v/>
      </c>
      <c r="I1141">
        <f>IF(OR($F1141="",$G1141=""),"",IF(ISNUMBER(Sync!$AE1141),MOD(Sync!$AE1141,100),IFERROR(VALUE(TRIM(MID(MID(Sync!$AE1141,FIND("/",Sync!$AE1141)+1,20),FIND("/",MID(Sync!$AE1141,FIND("/",Sync!$AE1141)+1,20))+1,20))),"")))</f>
        <v/>
      </c>
      <c r="J1141">
        <f>IF($F1141="","",IF(OR($G1141="",$H1141="",$I1141="",$G1141&lt;1300,$G1141&gt;1500,$H1141&lt;1,$H1141&gt;12,$I1141&lt;1,$I1141&gt;31),"نامعتبر",RIGHT("0000"&amp;$G1141,4)&amp;"/"&amp;RIGHT("00"&amp;$H1141,2)&amp;"/"&amp;RIGHT("00"&amp;$I1141,2)))</f>
        <v/>
      </c>
      <c r="K1141">
        <f>IF(OR($F1141="",$J1141="",$J1141="نامعتبر"),"",LEFT($J1141,4)&amp;MID($J1141,6,2)&amp;RIGHT($J1141,2)&amp;$N1141&amp;"|"&amp;"2"&amp;RIGHT("00000"&amp;1136,5))</f>
        <v/>
      </c>
      <c r="L1141">
        <f>IF($K1141="","",COUNTIFS(LdgSellerA,$F1141,LdgKeyA,"&lt;"&amp;$K1141)+COUNTIFS(LdgSellerB,$F1141,LdgKeyB,"&lt;"&amp;$K1141)+1)</f>
        <v/>
      </c>
      <c r="M1141">
        <f>IF($L1141="","",$F1141&amp;"|"&amp;RIGHT("000000"&amp;$L1141,6))</f>
        <v/>
      </c>
      <c r="N1141">
        <f>IF($F1141="","",IF(Sync!$AF1141="","0000",IF(AND(ISNUMBER(Sync!$AF1141),Sync!$AF1141&gt;=0,Sync!$AF1141&lt;1),RIGHT("00"&amp;HOUR(Sync!$AF1141),2)&amp;RIGHT("00"&amp;MINUTE(Sync!$AF1141),2),IFERROR(RIGHT("00"&amp;VALUE(LEFT(Sync!$AF1141,FIND(":",Sync!$AF1141)-1)),2)&amp;RIGHT("00"&amp;VALUE(MID(Sync!$AF1141,FIND(":",Sync!$AF1141)+1,2)),2),"0000"))))</f>
        <v/>
      </c>
    </row>
    <row r="1142">
      <c r="A1142">
        <f>IF(OR(Calc!$E1146="",Calc!$E1146="نامعتبر",Calc!$G1146=""),"",Calc!$G1146)</f>
        <v/>
      </c>
      <c r="B1142">
        <f>IF($A1142="","",LEFT(Calc!$E1146,4)&amp;MID(Calc!$E1146,6,2)&amp;RIGHT(Calc!$E1146,2)&amp;Calc!$Q1146&amp;"|"&amp;"1"&amp;RIGHT("00000"&amp;1137,5))</f>
        <v/>
      </c>
      <c r="C1142">
        <f>IF($B1142="","",COUNTIFS(LdgSellerA,$A1142,LdgKeyA,"&lt;"&amp;$B1142)+COUNTIFS(LdgSellerB,$A1142,LdgKeyB,"&lt;"&amp;$B1142)+1)</f>
        <v/>
      </c>
      <c r="D1142">
        <f>IF($C1142="","",$A1142&amp;"|"&amp;RIGHT("000000"&amp;$C1142,6))</f>
        <v/>
      </c>
      <c r="F1142">
        <f>IF(Sync!$AH1142="","",IF(LEFT(UPPER(TRIM(Sync!$AH1142)),2)="SL",UPPER(TRIM(Sync!$AH1142)),""))</f>
        <v/>
      </c>
      <c r="G1142">
        <f>IF($F1142="","",IF(Sync!$AE1142="","",IF(ISNUMBER(Sync!$AE1142),IF(AND(Sync!$AE1142&gt;=10000101,Sync!$AE1142&lt;=99991231),INT(Sync!$AE1142/10000),""),IFERROR(VALUE(TRIM(LEFT(Sync!$AE1142,FIND("/",Sync!$AE1142)-1))),""))))</f>
        <v/>
      </c>
      <c r="H1142">
        <f>IF(OR($F1142="",$G1142=""),"",IF(ISNUMBER(Sync!$AE1142),INT(MOD(Sync!$AE1142,10000)/100),IFERROR(VALUE(TRIM(LEFT(MID(Sync!$AE1142,FIND("/",Sync!$AE1142)+1,20),FIND("/",MID(Sync!$AE1142,FIND("/",Sync!$AE1142)+1,20))-1))),"")))</f>
        <v/>
      </c>
      <c r="I1142">
        <f>IF(OR($F1142="",$G1142=""),"",IF(ISNUMBER(Sync!$AE1142),MOD(Sync!$AE1142,100),IFERROR(VALUE(TRIM(MID(MID(Sync!$AE1142,FIND("/",Sync!$AE1142)+1,20),FIND("/",MID(Sync!$AE1142,FIND("/",Sync!$AE1142)+1,20))+1,20))),"")))</f>
        <v/>
      </c>
      <c r="J1142">
        <f>IF($F1142="","",IF(OR($G1142="",$H1142="",$I1142="",$G1142&lt;1300,$G1142&gt;1500,$H1142&lt;1,$H1142&gt;12,$I1142&lt;1,$I1142&gt;31),"نامعتبر",RIGHT("0000"&amp;$G1142,4)&amp;"/"&amp;RIGHT("00"&amp;$H1142,2)&amp;"/"&amp;RIGHT("00"&amp;$I1142,2)))</f>
        <v/>
      </c>
      <c r="K1142">
        <f>IF(OR($F1142="",$J1142="",$J1142="نامعتبر"),"",LEFT($J1142,4)&amp;MID($J1142,6,2)&amp;RIGHT($J1142,2)&amp;$N1142&amp;"|"&amp;"2"&amp;RIGHT("00000"&amp;1137,5))</f>
        <v/>
      </c>
      <c r="L1142">
        <f>IF($K1142="","",COUNTIFS(LdgSellerA,$F1142,LdgKeyA,"&lt;"&amp;$K1142)+COUNTIFS(LdgSellerB,$F1142,LdgKeyB,"&lt;"&amp;$K1142)+1)</f>
        <v/>
      </c>
      <c r="M1142">
        <f>IF($L1142="","",$F1142&amp;"|"&amp;RIGHT("000000"&amp;$L1142,6))</f>
        <v/>
      </c>
      <c r="N1142">
        <f>IF($F1142="","",IF(Sync!$AF1142="","0000",IF(AND(ISNUMBER(Sync!$AF1142),Sync!$AF1142&gt;=0,Sync!$AF1142&lt;1),RIGHT("00"&amp;HOUR(Sync!$AF1142),2)&amp;RIGHT("00"&amp;MINUTE(Sync!$AF1142),2),IFERROR(RIGHT("00"&amp;VALUE(LEFT(Sync!$AF1142,FIND(":",Sync!$AF1142)-1)),2)&amp;RIGHT("00"&amp;VALUE(MID(Sync!$AF1142,FIND(":",Sync!$AF1142)+1,2)),2),"0000"))))</f>
        <v/>
      </c>
    </row>
    <row r="1143">
      <c r="A1143">
        <f>IF(OR(Calc!$E1147="",Calc!$E1147="نامعتبر",Calc!$G1147=""),"",Calc!$G1147)</f>
        <v/>
      </c>
      <c r="B1143">
        <f>IF($A1143="","",LEFT(Calc!$E1147,4)&amp;MID(Calc!$E1147,6,2)&amp;RIGHT(Calc!$E1147,2)&amp;Calc!$Q1147&amp;"|"&amp;"1"&amp;RIGHT("00000"&amp;1138,5))</f>
        <v/>
      </c>
      <c r="C1143">
        <f>IF($B1143="","",COUNTIFS(LdgSellerA,$A1143,LdgKeyA,"&lt;"&amp;$B1143)+COUNTIFS(LdgSellerB,$A1143,LdgKeyB,"&lt;"&amp;$B1143)+1)</f>
        <v/>
      </c>
      <c r="D1143">
        <f>IF($C1143="","",$A1143&amp;"|"&amp;RIGHT("000000"&amp;$C1143,6))</f>
        <v/>
      </c>
      <c r="F1143">
        <f>IF(Sync!$AH1143="","",IF(LEFT(UPPER(TRIM(Sync!$AH1143)),2)="SL",UPPER(TRIM(Sync!$AH1143)),""))</f>
        <v/>
      </c>
      <c r="G1143">
        <f>IF($F1143="","",IF(Sync!$AE1143="","",IF(ISNUMBER(Sync!$AE1143),IF(AND(Sync!$AE1143&gt;=10000101,Sync!$AE1143&lt;=99991231),INT(Sync!$AE1143/10000),""),IFERROR(VALUE(TRIM(LEFT(Sync!$AE1143,FIND("/",Sync!$AE1143)-1))),""))))</f>
        <v/>
      </c>
      <c r="H1143">
        <f>IF(OR($F1143="",$G1143=""),"",IF(ISNUMBER(Sync!$AE1143),INT(MOD(Sync!$AE1143,10000)/100),IFERROR(VALUE(TRIM(LEFT(MID(Sync!$AE1143,FIND("/",Sync!$AE1143)+1,20),FIND("/",MID(Sync!$AE1143,FIND("/",Sync!$AE1143)+1,20))-1))),"")))</f>
        <v/>
      </c>
      <c r="I1143">
        <f>IF(OR($F1143="",$G1143=""),"",IF(ISNUMBER(Sync!$AE1143),MOD(Sync!$AE1143,100),IFERROR(VALUE(TRIM(MID(MID(Sync!$AE1143,FIND("/",Sync!$AE1143)+1,20),FIND("/",MID(Sync!$AE1143,FIND("/",Sync!$AE1143)+1,20))+1,20))),"")))</f>
        <v/>
      </c>
      <c r="J1143">
        <f>IF($F1143="","",IF(OR($G1143="",$H1143="",$I1143="",$G1143&lt;1300,$G1143&gt;1500,$H1143&lt;1,$H1143&gt;12,$I1143&lt;1,$I1143&gt;31),"نامعتبر",RIGHT("0000"&amp;$G1143,4)&amp;"/"&amp;RIGHT("00"&amp;$H1143,2)&amp;"/"&amp;RIGHT("00"&amp;$I1143,2)))</f>
        <v/>
      </c>
      <c r="K1143">
        <f>IF(OR($F1143="",$J1143="",$J1143="نامعتبر"),"",LEFT($J1143,4)&amp;MID($J1143,6,2)&amp;RIGHT($J1143,2)&amp;$N1143&amp;"|"&amp;"2"&amp;RIGHT("00000"&amp;1138,5))</f>
        <v/>
      </c>
      <c r="L1143">
        <f>IF($K1143="","",COUNTIFS(LdgSellerA,$F1143,LdgKeyA,"&lt;"&amp;$K1143)+COUNTIFS(LdgSellerB,$F1143,LdgKeyB,"&lt;"&amp;$K1143)+1)</f>
        <v/>
      </c>
      <c r="M1143">
        <f>IF($L1143="","",$F1143&amp;"|"&amp;RIGHT("000000"&amp;$L1143,6))</f>
        <v/>
      </c>
      <c r="N1143">
        <f>IF($F1143="","",IF(Sync!$AF1143="","0000",IF(AND(ISNUMBER(Sync!$AF1143),Sync!$AF1143&gt;=0,Sync!$AF1143&lt;1),RIGHT("00"&amp;HOUR(Sync!$AF1143),2)&amp;RIGHT("00"&amp;MINUTE(Sync!$AF1143),2),IFERROR(RIGHT("00"&amp;VALUE(LEFT(Sync!$AF1143,FIND(":",Sync!$AF1143)-1)),2)&amp;RIGHT("00"&amp;VALUE(MID(Sync!$AF1143,FIND(":",Sync!$AF1143)+1,2)),2),"0000"))))</f>
        <v/>
      </c>
    </row>
    <row r="1144">
      <c r="A1144">
        <f>IF(OR(Calc!$E1148="",Calc!$E1148="نامعتبر",Calc!$G1148=""),"",Calc!$G1148)</f>
        <v/>
      </c>
      <c r="B1144">
        <f>IF($A1144="","",LEFT(Calc!$E1148,4)&amp;MID(Calc!$E1148,6,2)&amp;RIGHT(Calc!$E1148,2)&amp;Calc!$Q1148&amp;"|"&amp;"1"&amp;RIGHT("00000"&amp;1139,5))</f>
        <v/>
      </c>
      <c r="C1144">
        <f>IF($B1144="","",COUNTIFS(LdgSellerA,$A1144,LdgKeyA,"&lt;"&amp;$B1144)+COUNTIFS(LdgSellerB,$A1144,LdgKeyB,"&lt;"&amp;$B1144)+1)</f>
        <v/>
      </c>
      <c r="D1144">
        <f>IF($C1144="","",$A1144&amp;"|"&amp;RIGHT("000000"&amp;$C1144,6))</f>
        <v/>
      </c>
      <c r="F1144">
        <f>IF(Sync!$AH1144="","",IF(LEFT(UPPER(TRIM(Sync!$AH1144)),2)="SL",UPPER(TRIM(Sync!$AH1144)),""))</f>
        <v/>
      </c>
      <c r="G1144">
        <f>IF($F1144="","",IF(Sync!$AE1144="","",IF(ISNUMBER(Sync!$AE1144),IF(AND(Sync!$AE1144&gt;=10000101,Sync!$AE1144&lt;=99991231),INT(Sync!$AE1144/10000),""),IFERROR(VALUE(TRIM(LEFT(Sync!$AE1144,FIND("/",Sync!$AE1144)-1))),""))))</f>
        <v/>
      </c>
      <c r="H1144">
        <f>IF(OR($F1144="",$G1144=""),"",IF(ISNUMBER(Sync!$AE1144),INT(MOD(Sync!$AE1144,10000)/100),IFERROR(VALUE(TRIM(LEFT(MID(Sync!$AE1144,FIND("/",Sync!$AE1144)+1,20),FIND("/",MID(Sync!$AE1144,FIND("/",Sync!$AE1144)+1,20))-1))),"")))</f>
        <v/>
      </c>
      <c r="I1144">
        <f>IF(OR($F1144="",$G1144=""),"",IF(ISNUMBER(Sync!$AE1144),MOD(Sync!$AE1144,100),IFERROR(VALUE(TRIM(MID(MID(Sync!$AE1144,FIND("/",Sync!$AE1144)+1,20),FIND("/",MID(Sync!$AE1144,FIND("/",Sync!$AE1144)+1,20))+1,20))),"")))</f>
        <v/>
      </c>
      <c r="J1144">
        <f>IF($F1144="","",IF(OR($G1144="",$H1144="",$I1144="",$G1144&lt;1300,$G1144&gt;1500,$H1144&lt;1,$H1144&gt;12,$I1144&lt;1,$I1144&gt;31),"نامعتبر",RIGHT("0000"&amp;$G1144,4)&amp;"/"&amp;RIGHT("00"&amp;$H1144,2)&amp;"/"&amp;RIGHT("00"&amp;$I1144,2)))</f>
        <v/>
      </c>
      <c r="K1144">
        <f>IF(OR($F1144="",$J1144="",$J1144="نامعتبر"),"",LEFT($J1144,4)&amp;MID($J1144,6,2)&amp;RIGHT($J1144,2)&amp;$N1144&amp;"|"&amp;"2"&amp;RIGHT("00000"&amp;1139,5))</f>
        <v/>
      </c>
      <c r="L1144">
        <f>IF($K1144="","",COUNTIFS(LdgSellerA,$F1144,LdgKeyA,"&lt;"&amp;$K1144)+COUNTIFS(LdgSellerB,$F1144,LdgKeyB,"&lt;"&amp;$K1144)+1)</f>
        <v/>
      </c>
      <c r="M1144">
        <f>IF($L1144="","",$F1144&amp;"|"&amp;RIGHT("000000"&amp;$L1144,6))</f>
        <v/>
      </c>
      <c r="N1144">
        <f>IF($F1144="","",IF(Sync!$AF1144="","0000",IF(AND(ISNUMBER(Sync!$AF1144),Sync!$AF1144&gt;=0,Sync!$AF1144&lt;1),RIGHT("00"&amp;HOUR(Sync!$AF1144),2)&amp;RIGHT("00"&amp;MINUTE(Sync!$AF1144),2),IFERROR(RIGHT("00"&amp;VALUE(LEFT(Sync!$AF1144,FIND(":",Sync!$AF1144)-1)),2)&amp;RIGHT("00"&amp;VALUE(MID(Sync!$AF1144,FIND(":",Sync!$AF1144)+1,2)),2),"0000"))))</f>
        <v/>
      </c>
    </row>
    <row r="1145">
      <c r="A1145">
        <f>IF(OR(Calc!$E1149="",Calc!$E1149="نامعتبر",Calc!$G1149=""),"",Calc!$G1149)</f>
        <v/>
      </c>
      <c r="B1145">
        <f>IF($A1145="","",LEFT(Calc!$E1149,4)&amp;MID(Calc!$E1149,6,2)&amp;RIGHT(Calc!$E1149,2)&amp;Calc!$Q1149&amp;"|"&amp;"1"&amp;RIGHT("00000"&amp;1140,5))</f>
        <v/>
      </c>
      <c r="C1145">
        <f>IF($B1145="","",COUNTIFS(LdgSellerA,$A1145,LdgKeyA,"&lt;"&amp;$B1145)+COUNTIFS(LdgSellerB,$A1145,LdgKeyB,"&lt;"&amp;$B1145)+1)</f>
        <v/>
      </c>
      <c r="D1145">
        <f>IF($C1145="","",$A1145&amp;"|"&amp;RIGHT("000000"&amp;$C1145,6))</f>
        <v/>
      </c>
      <c r="F1145">
        <f>IF(Sync!$AH1145="","",IF(LEFT(UPPER(TRIM(Sync!$AH1145)),2)="SL",UPPER(TRIM(Sync!$AH1145)),""))</f>
        <v/>
      </c>
      <c r="G1145">
        <f>IF($F1145="","",IF(Sync!$AE1145="","",IF(ISNUMBER(Sync!$AE1145),IF(AND(Sync!$AE1145&gt;=10000101,Sync!$AE1145&lt;=99991231),INT(Sync!$AE1145/10000),""),IFERROR(VALUE(TRIM(LEFT(Sync!$AE1145,FIND("/",Sync!$AE1145)-1))),""))))</f>
        <v/>
      </c>
      <c r="H1145">
        <f>IF(OR($F1145="",$G1145=""),"",IF(ISNUMBER(Sync!$AE1145),INT(MOD(Sync!$AE1145,10000)/100),IFERROR(VALUE(TRIM(LEFT(MID(Sync!$AE1145,FIND("/",Sync!$AE1145)+1,20),FIND("/",MID(Sync!$AE1145,FIND("/",Sync!$AE1145)+1,20))-1))),"")))</f>
        <v/>
      </c>
      <c r="I1145">
        <f>IF(OR($F1145="",$G1145=""),"",IF(ISNUMBER(Sync!$AE1145),MOD(Sync!$AE1145,100),IFERROR(VALUE(TRIM(MID(MID(Sync!$AE1145,FIND("/",Sync!$AE1145)+1,20),FIND("/",MID(Sync!$AE1145,FIND("/",Sync!$AE1145)+1,20))+1,20))),"")))</f>
        <v/>
      </c>
      <c r="J1145">
        <f>IF($F1145="","",IF(OR($G1145="",$H1145="",$I1145="",$G1145&lt;1300,$G1145&gt;1500,$H1145&lt;1,$H1145&gt;12,$I1145&lt;1,$I1145&gt;31),"نامعتبر",RIGHT("0000"&amp;$G1145,4)&amp;"/"&amp;RIGHT("00"&amp;$H1145,2)&amp;"/"&amp;RIGHT("00"&amp;$I1145,2)))</f>
        <v/>
      </c>
      <c r="K1145">
        <f>IF(OR($F1145="",$J1145="",$J1145="نامعتبر"),"",LEFT($J1145,4)&amp;MID($J1145,6,2)&amp;RIGHT($J1145,2)&amp;$N1145&amp;"|"&amp;"2"&amp;RIGHT("00000"&amp;1140,5))</f>
        <v/>
      </c>
      <c r="L1145">
        <f>IF($K1145="","",COUNTIFS(LdgSellerA,$F1145,LdgKeyA,"&lt;"&amp;$K1145)+COUNTIFS(LdgSellerB,$F1145,LdgKeyB,"&lt;"&amp;$K1145)+1)</f>
        <v/>
      </c>
      <c r="M1145">
        <f>IF($L1145="","",$F1145&amp;"|"&amp;RIGHT("000000"&amp;$L1145,6))</f>
        <v/>
      </c>
      <c r="N1145">
        <f>IF($F1145="","",IF(Sync!$AF1145="","0000",IF(AND(ISNUMBER(Sync!$AF1145),Sync!$AF1145&gt;=0,Sync!$AF1145&lt;1),RIGHT("00"&amp;HOUR(Sync!$AF1145),2)&amp;RIGHT("00"&amp;MINUTE(Sync!$AF1145),2),IFERROR(RIGHT("00"&amp;VALUE(LEFT(Sync!$AF1145,FIND(":",Sync!$AF1145)-1)),2)&amp;RIGHT("00"&amp;VALUE(MID(Sync!$AF1145,FIND(":",Sync!$AF1145)+1,2)),2),"0000"))))</f>
        <v/>
      </c>
    </row>
    <row r="1146">
      <c r="A1146">
        <f>IF(OR(Calc!$E1150="",Calc!$E1150="نامعتبر",Calc!$G1150=""),"",Calc!$G1150)</f>
        <v/>
      </c>
      <c r="B1146">
        <f>IF($A1146="","",LEFT(Calc!$E1150,4)&amp;MID(Calc!$E1150,6,2)&amp;RIGHT(Calc!$E1150,2)&amp;Calc!$Q1150&amp;"|"&amp;"1"&amp;RIGHT("00000"&amp;1141,5))</f>
        <v/>
      </c>
      <c r="C1146">
        <f>IF($B1146="","",COUNTIFS(LdgSellerA,$A1146,LdgKeyA,"&lt;"&amp;$B1146)+COUNTIFS(LdgSellerB,$A1146,LdgKeyB,"&lt;"&amp;$B1146)+1)</f>
        <v/>
      </c>
      <c r="D1146">
        <f>IF($C1146="","",$A1146&amp;"|"&amp;RIGHT("000000"&amp;$C1146,6))</f>
        <v/>
      </c>
      <c r="F1146">
        <f>IF(Sync!$AH1146="","",IF(LEFT(UPPER(TRIM(Sync!$AH1146)),2)="SL",UPPER(TRIM(Sync!$AH1146)),""))</f>
        <v/>
      </c>
      <c r="G1146">
        <f>IF($F1146="","",IF(Sync!$AE1146="","",IF(ISNUMBER(Sync!$AE1146),IF(AND(Sync!$AE1146&gt;=10000101,Sync!$AE1146&lt;=99991231),INT(Sync!$AE1146/10000),""),IFERROR(VALUE(TRIM(LEFT(Sync!$AE1146,FIND("/",Sync!$AE1146)-1))),""))))</f>
        <v/>
      </c>
      <c r="H1146">
        <f>IF(OR($F1146="",$G1146=""),"",IF(ISNUMBER(Sync!$AE1146),INT(MOD(Sync!$AE1146,10000)/100),IFERROR(VALUE(TRIM(LEFT(MID(Sync!$AE1146,FIND("/",Sync!$AE1146)+1,20),FIND("/",MID(Sync!$AE1146,FIND("/",Sync!$AE1146)+1,20))-1))),"")))</f>
        <v/>
      </c>
      <c r="I1146">
        <f>IF(OR($F1146="",$G1146=""),"",IF(ISNUMBER(Sync!$AE1146),MOD(Sync!$AE1146,100),IFERROR(VALUE(TRIM(MID(MID(Sync!$AE1146,FIND("/",Sync!$AE1146)+1,20),FIND("/",MID(Sync!$AE1146,FIND("/",Sync!$AE1146)+1,20))+1,20))),"")))</f>
        <v/>
      </c>
      <c r="J1146">
        <f>IF($F1146="","",IF(OR($G1146="",$H1146="",$I1146="",$G1146&lt;1300,$G1146&gt;1500,$H1146&lt;1,$H1146&gt;12,$I1146&lt;1,$I1146&gt;31),"نامعتبر",RIGHT("0000"&amp;$G1146,4)&amp;"/"&amp;RIGHT("00"&amp;$H1146,2)&amp;"/"&amp;RIGHT("00"&amp;$I1146,2)))</f>
        <v/>
      </c>
      <c r="K1146">
        <f>IF(OR($F1146="",$J1146="",$J1146="نامعتبر"),"",LEFT($J1146,4)&amp;MID($J1146,6,2)&amp;RIGHT($J1146,2)&amp;$N1146&amp;"|"&amp;"2"&amp;RIGHT("00000"&amp;1141,5))</f>
        <v/>
      </c>
      <c r="L1146">
        <f>IF($K1146="","",COUNTIFS(LdgSellerA,$F1146,LdgKeyA,"&lt;"&amp;$K1146)+COUNTIFS(LdgSellerB,$F1146,LdgKeyB,"&lt;"&amp;$K1146)+1)</f>
        <v/>
      </c>
      <c r="M1146">
        <f>IF($L1146="","",$F1146&amp;"|"&amp;RIGHT("000000"&amp;$L1146,6))</f>
        <v/>
      </c>
      <c r="N1146">
        <f>IF($F1146="","",IF(Sync!$AF1146="","0000",IF(AND(ISNUMBER(Sync!$AF1146),Sync!$AF1146&gt;=0,Sync!$AF1146&lt;1),RIGHT("00"&amp;HOUR(Sync!$AF1146),2)&amp;RIGHT("00"&amp;MINUTE(Sync!$AF1146),2),IFERROR(RIGHT("00"&amp;VALUE(LEFT(Sync!$AF1146,FIND(":",Sync!$AF1146)-1)),2)&amp;RIGHT("00"&amp;VALUE(MID(Sync!$AF1146,FIND(":",Sync!$AF1146)+1,2)),2),"0000"))))</f>
        <v/>
      </c>
    </row>
    <row r="1147">
      <c r="A1147">
        <f>IF(OR(Calc!$E1151="",Calc!$E1151="نامعتبر",Calc!$G1151=""),"",Calc!$G1151)</f>
        <v/>
      </c>
      <c r="B1147">
        <f>IF($A1147="","",LEFT(Calc!$E1151,4)&amp;MID(Calc!$E1151,6,2)&amp;RIGHT(Calc!$E1151,2)&amp;Calc!$Q1151&amp;"|"&amp;"1"&amp;RIGHT("00000"&amp;1142,5))</f>
        <v/>
      </c>
      <c r="C1147">
        <f>IF($B1147="","",COUNTIFS(LdgSellerA,$A1147,LdgKeyA,"&lt;"&amp;$B1147)+COUNTIFS(LdgSellerB,$A1147,LdgKeyB,"&lt;"&amp;$B1147)+1)</f>
        <v/>
      </c>
      <c r="D1147">
        <f>IF($C1147="","",$A1147&amp;"|"&amp;RIGHT("000000"&amp;$C1147,6))</f>
        <v/>
      </c>
      <c r="F1147">
        <f>IF(Sync!$AH1147="","",IF(LEFT(UPPER(TRIM(Sync!$AH1147)),2)="SL",UPPER(TRIM(Sync!$AH1147)),""))</f>
        <v/>
      </c>
      <c r="G1147">
        <f>IF($F1147="","",IF(Sync!$AE1147="","",IF(ISNUMBER(Sync!$AE1147),IF(AND(Sync!$AE1147&gt;=10000101,Sync!$AE1147&lt;=99991231),INT(Sync!$AE1147/10000),""),IFERROR(VALUE(TRIM(LEFT(Sync!$AE1147,FIND("/",Sync!$AE1147)-1))),""))))</f>
        <v/>
      </c>
      <c r="H1147">
        <f>IF(OR($F1147="",$G1147=""),"",IF(ISNUMBER(Sync!$AE1147),INT(MOD(Sync!$AE1147,10000)/100),IFERROR(VALUE(TRIM(LEFT(MID(Sync!$AE1147,FIND("/",Sync!$AE1147)+1,20),FIND("/",MID(Sync!$AE1147,FIND("/",Sync!$AE1147)+1,20))-1))),"")))</f>
        <v/>
      </c>
      <c r="I1147">
        <f>IF(OR($F1147="",$G1147=""),"",IF(ISNUMBER(Sync!$AE1147),MOD(Sync!$AE1147,100),IFERROR(VALUE(TRIM(MID(MID(Sync!$AE1147,FIND("/",Sync!$AE1147)+1,20),FIND("/",MID(Sync!$AE1147,FIND("/",Sync!$AE1147)+1,20))+1,20))),"")))</f>
        <v/>
      </c>
      <c r="J1147">
        <f>IF($F1147="","",IF(OR($G1147="",$H1147="",$I1147="",$G1147&lt;1300,$G1147&gt;1500,$H1147&lt;1,$H1147&gt;12,$I1147&lt;1,$I1147&gt;31),"نامعتبر",RIGHT("0000"&amp;$G1147,4)&amp;"/"&amp;RIGHT("00"&amp;$H1147,2)&amp;"/"&amp;RIGHT("00"&amp;$I1147,2)))</f>
        <v/>
      </c>
      <c r="K1147">
        <f>IF(OR($F1147="",$J1147="",$J1147="نامعتبر"),"",LEFT($J1147,4)&amp;MID($J1147,6,2)&amp;RIGHT($J1147,2)&amp;$N1147&amp;"|"&amp;"2"&amp;RIGHT("00000"&amp;1142,5))</f>
        <v/>
      </c>
      <c r="L1147">
        <f>IF($K1147="","",COUNTIFS(LdgSellerA,$F1147,LdgKeyA,"&lt;"&amp;$K1147)+COUNTIFS(LdgSellerB,$F1147,LdgKeyB,"&lt;"&amp;$K1147)+1)</f>
        <v/>
      </c>
      <c r="M1147">
        <f>IF($L1147="","",$F1147&amp;"|"&amp;RIGHT("000000"&amp;$L1147,6))</f>
        <v/>
      </c>
      <c r="N1147">
        <f>IF($F1147="","",IF(Sync!$AF1147="","0000",IF(AND(ISNUMBER(Sync!$AF1147),Sync!$AF1147&gt;=0,Sync!$AF1147&lt;1),RIGHT("00"&amp;HOUR(Sync!$AF1147),2)&amp;RIGHT("00"&amp;MINUTE(Sync!$AF1147),2),IFERROR(RIGHT("00"&amp;VALUE(LEFT(Sync!$AF1147,FIND(":",Sync!$AF1147)-1)),2)&amp;RIGHT("00"&amp;VALUE(MID(Sync!$AF1147,FIND(":",Sync!$AF1147)+1,2)),2),"0000"))))</f>
        <v/>
      </c>
    </row>
    <row r="1148">
      <c r="A1148">
        <f>IF(OR(Calc!$E1152="",Calc!$E1152="نامعتبر",Calc!$G1152=""),"",Calc!$G1152)</f>
        <v/>
      </c>
      <c r="B1148">
        <f>IF($A1148="","",LEFT(Calc!$E1152,4)&amp;MID(Calc!$E1152,6,2)&amp;RIGHT(Calc!$E1152,2)&amp;Calc!$Q1152&amp;"|"&amp;"1"&amp;RIGHT("00000"&amp;1143,5))</f>
        <v/>
      </c>
      <c r="C1148">
        <f>IF($B1148="","",COUNTIFS(LdgSellerA,$A1148,LdgKeyA,"&lt;"&amp;$B1148)+COUNTIFS(LdgSellerB,$A1148,LdgKeyB,"&lt;"&amp;$B1148)+1)</f>
        <v/>
      </c>
      <c r="D1148">
        <f>IF($C1148="","",$A1148&amp;"|"&amp;RIGHT("000000"&amp;$C1148,6))</f>
        <v/>
      </c>
      <c r="F1148">
        <f>IF(Sync!$AH1148="","",IF(LEFT(UPPER(TRIM(Sync!$AH1148)),2)="SL",UPPER(TRIM(Sync!$AH1148)),""))</f>
        <v/>
      </c>
      <c r="G1148">
        <f>IF($F1148="","",IF(Sync!$AE1148="","",IF(ISNUMBER(Sync!$AE1148),IF(AND(Sync!$AE1148&gt;=10000101,Sync!$AE1148&lt;=99991231),INT(Sync!$AE1148/10000),""),IFERROR(VALUE(TRIM(LEFT(Sync!$AE1148,FIND("/",Sync!$AE1148)-1))),""))))</f>
        <v/>
      </c>
      <c r="H1148">
        <f>IF(OR($F1148="",$G1148=""),"",IF(ISNUMBER(Sync!$AE1148),INT(MOD(Sync!$AE1148,10000)/100),IFERROR(VALUE(TRIM(LEFT(MID(Sync!$AE1148,FIND("/",Sync!$AE1148)+1,20),FIND("/",MID(Sync!$AE1148,FIND("/",Sync!$AE1148)+1,20))-1))),"")))</f>
        <v/>
      </c>
      <c r="I1148">
        <f>IF(OR($F1148="",$G1148=""),"",IF(ISNUMBER(Sync!$AE1148),MOD(Sync!$AE1148,100),IFERROR(VALUE(TRIM(MID(MID(Sync!$AE1148,FIND("/",Sync!$AE1148)+1,20),FIND("/",MID(Sync!$AE1148,FIND("/",Sync!$AE1148)+1,20))+1,20))),"")))</f>
        <v/>
      </c>
      <c r="J1148">
        <f>IF($F1148="","",IF(OR($G1148="",$H1148="",$I1148="",$G1148&lt;1300,$G1148&gt;1500,$H1148&lt;1,$H1148&gt;12,$I1148&lt;1,$I1148&gt;31),"نامعتبر",RIGHT("0000"&amp;$G1148,4)&amp;"/"&amp;RIGHT("00"&amp;$H1148,2)&amp;"/"&amp;RIGHT("00"&amp;$I1148,2)))</f>
        <v/>
      </c>
      <c r="K1148">
        <f>IF(OR($F1148="",$J1148="",$J1148="نامعتبر"),"",LEFT($J1148,4)&amp;MID($J1148,6,2)&amp;RIGHT($J1148,2)&amp;$N1148&amp;"|"&amp;"2"&amp;RIGHT("00000"&amp;1143,5))</f>
        <v/>
      </c>
      <c r="L1148">
        <f>IF($K1148="","",COUNTIFS(LdgSellerA,$F1148,LdgKeyA,"&lt;"&amp;$K1148)+COUNTIFS(LdgSellerB,$F1148,LdgKeyB,"&lt;"&amp;$K1148)+1)</f>
        <v/>
      </c>
      <c r="M1148">
        <f>IF($L1148="","",$F1148&amp;"|"&amp;RIGHT("000000"&amp;$L1148,6))</f>
        <v/>
      </c>
      <c r="N1148">
        <f>IF($F1148="","",IF(Sync!$AF1148="","0000",IF(AND(ISNUMBER(Sync!$AF1148),Sync!$AF1148&gt;=0,Sync!$AF1148&lt;1),RIGHT("00"&amp;HOUR(Sync!$AF1148),2)&amp;RIGHT("00"&amp;MINUTE(Sync!$AF1148),2),IFERROR(RIGHT("00"&amp;VALUE(LEFT(Sync!$AF1148,FIND(":",Sync!$AF1148)-1)),2)&amp;RIGHT("00"&amp;VALUE(MID(Sync!$AF1148,FIND(":",Sync!$AF1148)+1,2)),2),"0000"))))</f>
        <v/>
      </c>
    </row>
    <row r="1149">
      <c r="A1149">
        <f>IF(OR(Calc!$E1153="",Calc!$E1153="نامعتبر",Calc!$G1153=""),"",Calc!$G1153)</f>
        <v/>
      </c>
      <c r="B1149">
        <f>IF($A1149="","",LEFT(Calc!$E1153,4)&amp;MID(Calc!$E1153,6,2)&amp;RIGHT(Calc!$E1153,2)&amp;Calc!$Q1153&amp;"|"&amp;"1"&amp;RIGHT("00000"&amp;1144,5))</f>
        <v/>
      </c>
      <c r="C1149">
        <f>IF($B1149="","",COUNTIFS(LdgSellerA,$A1149,LdgKeyA,"&lt;"&amp;$B1149)+COUNTIFS(LdgSellerB,$A1149,LdgKeyB,"&lt;"&amp;$B1149)+1)</f>
        <v/>
      </c>
      <c r="D1149">
        <f>IF($C1149="","",$A1149&amp;"|"&amp;RIGHT("000000"&amp;$C1149,6))</f>
        <v/>
      </c>
      <c r="F1149">
        <f>IF(Sync!$AH1149="","",IF(LEFT(UPPER(TRIM(Sync!$AH1149)),2)="SL",UPPER(TRIM(Sync!$AH1149)),""))</f>
        <v/>
      </c>
      <c r="G1149">
        <f>IF($F1149="","",IF(Sync!$AE1149="","",IF(ISNUMBER(Sync!$AE1149),IF(AND(Sync!$AE1149&gt;=10000101,Sync!$AE1149&lt;=99991231),INT(Sync!$AE1149/10000),""),IFERROR(VALUE(TRIM(LEFT(Sync!$AE1149,FIND("/",Sync!$AE1149)-1))),""))))</f>
        <v/>
      </c>
      <c r="H1149">
        <f>IF(OR($F1149="",$G1149=""),"",IF(ISNUMBER(Sync!$AE1149),INT(MOD(Sync!$AE1149,10000)/100),IFERROR(VALUE(TRIM(LEFT(MID(Sync!$AE1149,FIND("/",Sync!$AE1149)+1,20),FIND("/",MID(Sync!$AE1149,FIND("/",Sync!$AE1149)+1,20))-1))),"")))</f>
        <v/>
      </c>
      <c r="I1149">
        <f>IF(OR($F1149="",$G1149=""),"",IF(ISNUMBER(Sync!$AE1149),MOD(Sync!$AE1149,100),IFERROR(VALUE(TRIM(MID(MID(Sync!$AE1149,FIND("/",Sync!$AE1149)+1,20),FIND("/",MID(Sync!$AE1149,FIND("/",Sync!$AE1149)+1,20))+1,20))),"")))</f>
        <v/>
      </c>
      <c r="J1149">
        <f>IF($F1149="","",IF(OR($G1149="",$H1149="",$I1149="",$G1149&lt;1300,$G1149&gt;1500,$H1149&lt;1,$H1149&gt;12,$I1149&lt;1,$I1149&gt;31),"نامعتبر",RIGHT("0000"&amp;$G1149,4)&amp;"/"&amp;RIGHT("00"&amp;$H1149,2)&amp;"/"&amp;RIGHT("00"&amp;$I1149,2)))</f>
        <v/>
      </c>
      <c r="K1149">
        <f>IF(OR($F1149="",$J1149="",$J1149="نامعتبر"),"",LEFT($J1149,4)&amp;MID($J1149,6,2)&amp;RIGHT($J1149,2)&amp;$N1149&amp;"|"&amp;"2"&amp;RIGHT("00000"&amp;1144,5))</f>
        <v/>
      </c>
      <c r="L1149">
        <f>IF($K1149="","",COUNTIFS(LdgSellerA,$F1149,LdgKeyA,"&lt;"&amp;$K1149)+COUNTIFS(LdgSellerB,$F1149,LdgKeyB,"&lt;"&amp;$K1149)+1)</f>
        <v/>
      </c>
      <c r="M1149">
        <f>IF($L1149="","",$F1149&amp;"|"&amp;RIGHT("000000"&amp;$L1149,6))</f>
        <v/>
      </c>
      <c r="N1149">
        <f>IF($F1149="","",IF(Sync!$AF1149="","0000",IF(AND(ISNUMBER(Sync!$AF1149),Sync!$AF1149&gt;=0,Sync!$AF1149&lt;1),RIGHT("00"&amp;HOUR(Sync!$AF1149),2)&amp;RIGHT("00"&amp;MINUTE(Sync!$AF1149),2),IFERROR(RIGHT("00"&amp;VALUE(LEFT(Sync!$AF1149,FIND(":",Sync!$AF1149)-1)),2)&amp;RIGHT("00"&amp;VALUE(MID(Sync!$AF1149,FIND(":",Sync!$AF1149)+1,2)),2),"0000"))))</f>
        <v/>
      </c>
    </row>
    <row r="1150">
      <c r="A1150">
        <f>IF(OR(Calc!$E1154="",Calc!$E1154="نامعتبر",Calc!$G1154=""),"",Calc!$G1154)</f>
        <v/>
      </c>
      <c r="B1150">
        <f>IF($A1150="","",LEFT(Calc!$E1154,4)&amp;MID(Calc!$E1154,6,2)&amp;RIGHT(Calc!$E1154,2)&amp;Calc!$Q1154&amp;"|"&amp;"1"&amp;RIGHT("00000"&amp;1145,5))</f>
        <v/>
      </c>
      <c r="C1150">
        <f>IF($B1150="","",COUNTIFS(LdgSellerA,$A1150,LdgKeyA,"&lt;"&amp;$B1150)+COUNTIFS(LdgSellerB,$A1150,LdgKeyB,"&lt;"&amp;$B1150)+1)</f>
        <v/>
      </c>
      <c r="D1150">
        <f>IF($C1150="","",$A1150&amp;"|"&amp;RIGHT("000000"&amp;$C1150,6))</f>
        <v/>
      </c>
      <c r="F1150">
        <f>IF(Sync!$AH1150="","",IF(LEFT(UPPER(TRIM(Sync!$AH1150)),2)="SL",UPPER(TRIM(Sync!$AH1150)),""))</f>
        <v/>
      </c>
      <c r="G1150">
        <f>IF($F1150="","",IF(Sync!$AE1150="","",IF(ISNUMBER(Sync!$AE1150),IF(AND(Sync!$AE1150&gt;=10000101,Sync!$AE1150&lt;=99991231),INT(Sync!$AE1150/10000),""),IFERROR(VALUE(TRIM(LEFT(Sync!$AE1150,FIND("/",Sync!$AE1150)-1))),""))))</f>
        <v/>
      </c>
      <c r="H1150">
        <f>IF(OR($F1150="",$G1150=""),"",IF(ISNUMBER(Sync!$AE1150),INT(MOD(Sync!$AE1150,10000)/100),IFERROR(VALUE(TRIM(LEFT(MID(Sync!$AE1150,FIND("/",Sync!$AE1150)+1,20),FIND("/",MID(Sync!$AE1150,FIND("/",Sync!$AE1150)+1,20))-1))),"")))</f>
        <v/>
      </c>
      <c r="I1150">
        <f>IF(OR($F1150="",$G1150=""),"",IF(ISNUMBER(Sync!$AE1150),MOD(Sync!$AE1150,100),IFERROR(VALUE(TRIM(MID(MID(Sync!$AE1150,FIND("/",Sync!$AE1150)+1,20),FIND("/",MID(Sync!$AE1150,FIND("/",Sync!$AE1150)+1,20))+1,20))),"")))</f>
        <v/>
      </c>
      <c r="J1150">
        <f>IF($F1150="","",IF(OR($G1150="",$H1150="",$I1150="",$G1150&lt;1300,$G1150&gt;1500,$H1150&lt;1,$H1150&gt;12,$I1150&lt;1,$I1150&gt;31),"نامعتبر",RIGHT("0000"&amp;$G1150,4)&amp;"/"&amp;RIGHT("00"&amp;$H1150,2)&amp;"/"&amp;RIGHT("00"&amp;$I1150,2)))</f>
        <v/>
      </c>
      <c r="K1150">
        <f>IF(OR($F1150="",$J1150="",$J1150="نامعتبر"),"",LEFT($J1150,4)&amp;MID($J1150,6,2)&amp;RIGHT($J1150,2)&amp;$N1150&amp;"|"&amp;"2"&amp;RIGHT("00000"&amp;1145,5))</f>
        <v/>
      </c>
      <c r="L1150">
        <f>IF($K1150="","",COUNTIFS(LdgSellerA,$F1150,LdgKeyA,"&lt;"&amp;$K1150)+COUNTIFS(LdgSellerB,$F1150,LdgKeyB,"&lt;"&amp;$K1150)+1)</f>
        <v/>
      </c>
      <c r="M1150">
        <f>IF($L1150="","",$F1150&amp;"|"&amp;RIGHT("000000"&amp;$L1150,6))</f>
        <v/>
      </c>
      <c r="N1150">
        <f>IF($F1150="","",IF(Sync!$AF1150="","0000",IF(AND(ISNUMBER(Sync!$AF1150),Sync!$AF1150&gt;=0,Sync!$AF1150&lt;1),RIGHT("00"&amp;HOUR(Sync!$AF1150),2)&amp;RIGHT("00"&amp;MINUTE(Sync!$AF1150),2),IFERROR(RIGHT("00"&amp;VALUE(LEFT(Sync!$AF1150,FIND(":",Sync!$AF1150)-1)),2)&amp;RIGHT("00"&amp;VALUE(MID(Sync!$AF1150,FIND(":",Sync!$AF1150)+1,2)),2),"0000"))))</f>
        <v/>
      </c>
    </row>
    <row r="1151">
      <c r="A1151">
        <f>IF(OR(Calc!$E1155="",Calc!$E1155="نامعتبر",Calc!$G1155=""),"",Calc!$G1155)</f>
        <v/>
      </c>
      <c r="B1151">
        <f>IF($A1151="","",LEFT(Calc!$E1155,4)&amp;MID(Calc!$E1155,6,2)&amp;RIGHT(Calc!$E1155,2)&amp;Calc!$Q1155&amp;"|"&amp;"1"&amp;RIGHT("00000"&amp;1146,5))</f>
        <v/>
      </c>
      <c r="C1151">
        <f>IF($B1151="","",COUNTIFS(LdgSellerA,$A1151,LdgKeyA,"&lt;"&amp;$B1151)+COUNTIFS(LdgSellerB,$A1151,LdgKeyB,"&lt;"&amp;$B1151)+1)</f>
        <v/>
      </c>
      <c r="D1151">
        <f>IF($C1151="","",$A1151&amp;"|"&amp;RIGHT("000000"&amp;$C1151,6))</f>
        <v/>
      </c>
      <c r="F1151">
        <f>IF(Sync!$AH1151="","",IF(LEFT(UPPER(TRIM(Sync!$AH1151)),2)="SL",UPPER(TRIM(Sync!$AH1151)),""))</f>
        <v/>
      </c>
      <c r="G1151">
        <f>IF($F1151="","",IF(Sync!$AE1151="","",IF(ISNUMBER(Sync!$AE1151),IF(AND(Sync!$AE1151&gt;=10000101,Sync!$AE1151&lt;=99991231),INT(Sync!$AE1151/10000),""),IFERROR(VALUE(TRIM(LEFT(Sync!$AE1151,FIND("/",Sync!$AE1151)-1))),""))))</f>
        <v/>
      </c>
      <c r="H1151">
        <f>IF(OR($F1151="",$G1151=""),"",IF(ISNUMBER(Sync!$AE1151),INT(MOD(Sync!$AE1151,10000)/100),IFERROR(VALUE(TRIM(LEFT(MID(Sync!$AE1151,FIND("/",Sync!$AE1151)+1,20),FIND("/",MID(Sync!$AE1151,FIND("/",Sync!$AE1151)+1,20))-1))),"")))</f>
        <v/>
      </c>
      <c r="I1151">
        <f>IF(OR($F1151="",$G1151=""),"",IF(ISNUMBER(Sync!$AE1151),MOD(Sync!$AE1151,100),IFERROR(VALUE(TRIM(MID(MID(Sync!$AE1151,FIND("/",Sync!$AE1151)+1,20),FIND("/",MID(Sync!$AE1151,FIND("/",Sync!$AE1151)+1,20))+1,20))),"")))</f>
        <v/>
      </c>
      <c r="J1151">
        <f>IF($F1151="","",IF(OR($G1151="",$H1151="",$I1151="",$G1151&lt;1300,$G1151&gt;1500,$H1151&lt;1,$H1151&gt;12,$I1151&lt;1,$I1151&gt;31),"نامعتبر",RIGHT("0000"&amp;$G1151,4)&amp;"/"&amp;RIGHT("00"&amp;$H1151,2)&amp;"/"&amp;RIGHT("00"&amp;$I1151,2)))</f>
        <v/>
      </c>
      <c r="K1151">
        <f>IF(OR($F1151="",$J1151="",$J1151="نامعتبر"),"",LEFT($J1151,4)&amp;MID($J1151,6,2)&amp;RIGHT($J1151,2)&amp;$N1151&amp;"|"&amp;"2"&amp;RIGHT("00000"&amp;1146,5))</f>
        <v/>
      </c>
      <c r="L1151">
        <f>IF($K1151="","",COUNTIFS(LdgSellerA,$F1151,LdgKeyA,"&lt;"&amp;$K1151)+COUNTIFS(LdgSellerB,$F1151,LdgKeyB,"&lt;"&amp;$K1151)+1)</f>
        <v/>
      </c>
      <c r="M1151">
        <f>IF($L1151="","",$F1151&amp;"|"&amp;RIGHT("000000"&amp;$L1151,6))</f>
        <v/>
      </c>
      <c r="N1151">
        <f>IF($F1151="","",IF(Sync!$AF1151="","0000",IF(AND(ISNUMBER(Sync!$AF1151),Sync!$AF1151&gt;=0,Sync!$AF1151&lt;1),RIGHT("00"&amp;HOUR(Sync!$AF1151),2)&amp;RIGHT("00"&amp;MINUTE(Sync!$AF1151),2),IFERROR(RIGHT("00"&amp;VALUE(LEFT(Sync!$AF1151,FIND(":",Sync!$AF1151)-1)),2)&amp;RIGHT("00"&amp;VALUE(MID(Sync!$AF1151,FIND(":",Sync!$AF1151)+1,2)),2),"0000"))))</f>
        <v/>
      </c>
    </row>
    <row r="1152">
      <c r="A1152">
        <f>IF(OR(Calc!$E1156="",Calc!$E1156="نامعتبر",Calc!$G1156=""),"",Calc!$G1156)</f>
        <v/>
      </c>
      <c r="B1152">
        <f>IF($A1152="","",LEFT(Calc!$E1156,4)&amp;MID(Calc!$E1156,6,2)&amp;RIGHT(Calc!$E1156,2)&amp;Calc!$Q1156&amp;"|"&amp;"1"&amp;RIGHT("00000"&amp;1147,5))</f>
        <v/>
      </c>
      <c r="C1152">
        <f>IF($B1152="","",COUNTIFS(LdgSellerA,$A1152,LdgKeyA,"&lt;"&amp;$B1152)+COUNTIFS(LdgSellerB,$A1152,LdgKeyB,"&lt;"&amp;$B1152)+1)</f>
        <v/>
      </c>
      <c r="D1152">
        <f>IF($C1152="","",$A1152&amp;"|"&amp;RIGHT("000000"&amp;$C1152,6))</f>
        <v/>
      </c>
      <c r="F1152">
        <f>IF(Sync!$AH1152="","",IF(LEFT(UPPER(TRIM(Sync!$AH1152)),2)="SL",UPPER(TRIM(Sync!$AH1152)),""))</f>
        <v/>
      </c>
      <c r="G1152">
        <f>IF($F1152="","",IF(Sync!$AE1152="","",IF(ISNUMBER(Sync!$AE1152),IF(AND(Sync!$AE1152&gt;=10000101,Sync!$AE1152&lt;=99991231),INT(Sync!$AE1152/10000),""),IFERROR(VALUE(TRIM(LEFT(Sync!$AE1152,FIND("/",Sync!$AE1152)-1))),""))))</f>
        <v/>
      </c>
      <c r="H1152">
        <f>IF(OR($F1152="",$G1152=""),"",IF(ISNUMBER(Sync!$AE1152),INT(MOD(Sync!$AE1152,10000)/100),IFERROR(VALUE(TRIM(LEFT(MID(Sync!$AE1152,FIND("/",Sync!$AE1152)+1,20),FIND("/",MID(Sync!$AE1152,FIND("/",Sync!$AE1152)+1,20))-1))),"")))</f>
        <v/>
      </c>
      <c r="I1152">
        <f>IF(OR($F1152="",$G1152=""),"",IF(ISNUMBER(Sync!$AE1152),MOD(Sync!$AE1152,100),IFERROR(VALUE(TRIM(MID(MID(Sync!$AE1152,FIND("/",Sync!$AE1152)+1,20),FIND("/",MID(Sync!$AE1152,FIND("/",Sync!$AE1152)+1,20))+1,20))),"")))</f>
        <v/>
      </c>
      <c r="J1152">
        <f>IF($F1152="","",IF(OR($G1152="",$H1152="",$I1152="",$G1152&lt;1300,$G1152&gt;1500,$H1152&lt;1,$H1152&gt;12,$I1152&lt;1,$I1152&gt;31),"نامعتبر",RIGHT("0000"&amp;$G1152,4)&amp;"/"&amp;RIGHT("00"&amp;$H1152,2)&amp;"/"&amp;RIGHT("00"&amp;$I1152,2)))</f>
        <v/>
      </c>
      <c r="K1152">
        <f>IF(OR($F1152="",$J1152="",$J1152="نامعتبر"),"",LEFT($J1152,4)&amp;MID($J1152,6,2)&amp;RIGHT($J1152,2)&amp;$N1152&amp;"|"&amp;"2"&amp;RIGHT("00000"&amp;1147,5))</f>
        <v/>
      </c>
      <c r="L1152">
        <f>IF($K1152="","",COUNTIFS(LdgSellerA,$F1152,LdgKeyA,"&lt;"&amp;$K1152)+COUNTIFS(LdgSellerB,$F1152,LdgKeyB,"&lt;"&amp;$K1152)+1)</f>
        <v/>
      </c>
      <c r="M1152">
        <f>IF($L1152="","",$F1152&amp;"|"&amp;RIGHT("000000"&amp;$L1152,6))</f>
        <v/>
      </c>
      <c r="N1152">
        <f>IF($F1152="","",IF(Sync!$AF1152="","0000",IF(AND(ISNUMBER(Sync!$AF1152),Sync!$AF1152&gt;=0,Sync!$AF1152&lt;1),RIGHT("00"&amp;HOUR(Sync!$AF1152),2)&amp;RIGHT("00"&amp;MINUTE(Sync!$AF1152),2),IFERROR(RIGHT("00"&amp;VALUE(LEFT(Sync!$AF1152,FIND(":",Sync!$AF1152)-1)),2)&amp;RIGHT("00"&amp;VALUE(MID(Sync!$AF1152,FIND(":",Sync!$AF1152)+1,2)),2),"0000"))))</f>
        <v/>
      </c>
    </row>
    <row r="1153">
      <c r="A1153">
        <f>IF(OR(Calc!$E1157="",Calc!$E1157="نامعتبر",Calc!$G1157=""),"",Calc!$G1157)</f>
        <v/>
      </c>
      <c r="B1153">
        <f>IF($A1153="","",LEFT(Calc!$E1157,4)&amp;MID(Calc!$E1157,6,2)&amp;RIGHT(Calc!$E1157,2)&amp;Calc!$Q1157&amp;"|"&amp;"1"&amp;RIGHT("00000"&amp;1148,5))</f>
        <v/>
      </c>
      <c r="C1153">
        <f>IF($B1153="","",COUNTIFS(LdgSellerA,$A1153,LdgKeyA,"&lt;"&amp;$B1153)+COUNTIFS(LdgSellerB,$A1153,LdgKeyB,"&lt;"&amp;$B1153)+1)</f>
        <v/>
      </c>
      <c r="D1153">
        <f>IF($C1153="","",$A1153&amp;"|"&amp;RIGHT("000000"&amp;$C1153,6))</f>
        <v/>
      </c>
      <c r="F1153">
        <f>IF(Sync!$AH1153="","",IF(LEFT(UPPER(TRIM(Sync!$AH1153)),2)="SL",UPPER(TRIM(Sync!$AH1153)),""))</f>
        <v/>
      </c>
      <c r="G1153">
        <f>IF($F1153="","",IF(Sync!$AE1153="","",IF(ISNUMBER(Sync!$AE1153),IF(AND(Sync!$AE1153&gt;=10000101,Sync!$AE1153&lt;=99991231),INT(Sync!$AE1153/10000),""),IFERROR(VALUE(TRIM(LEFT(Sync!$AE1153,FIND("/",Sync!$AE1153)-1))),""))))</f>
        <v/>
      </c>
      <c r="H1153">
        <f>IF(OR($F1153="",$G1153=""),"",IF(ISNUMBER(Sync!$AE1153),INT(MOD(Sync!$AE1153,10000)/100),IFERROR(VALUE(TRIM(LEFT(MID(Sync!$AE1153,FIND("/",Sync!$AE1153)+1,20),FIND("/",MID(Sync!$AE1153,FIND("/",Sync!$AE1153)+1,20))-1))),"")))</f>
        <v/>
      </c>
      <c r="I1153">
        <f>IF(OR($F1153="",$G1153=""),"",IF(ISNUMBER(Sync!$AE1153),MOD(Sync!$AE1153,100),IFERROR(VALUE(TRIM(MID(MID(Sync!$AE1153,FIND("/",Sync!$AE1153)+1,20),FIND("/",MID(Sync!$AE1153,FIND("/",Sync!$AE1153)+1,20))+1,20))),"")))</f>
        <v/>
      </c>
      <c r="J1153">
        <f>IF($F1153="","",IF(OR($G1153="",$H1153="",$I1153="",$G1153&lt;1300,$G1153&gt;1500,$H1153&lt;1,$H1153&gt;12,$I1153&lt;1,$I1153&gt;31),"نامعتبر",RIGHT("0000"&amp;$G1153,4)&amp;"/"&amp;RIGHT("00"&amp;$H1153,2)&amp;"/"&amp;RIGHT("00"&amp;$I1153,2)))</f>
        <v/>
      </c>
      <c r="K1153">
        <f>IF(OR($F1153="",$J1153="",$J1153="نامعتبر"),"",LEFT($J1153,4)&amp;MID($J1153,6,2)&amp;RIGHT($J1153,2)&amp;$N1153&amp;"|"&amp;"2"&amp;RIGHT("00000"&amp;1148,5))</f>
        <v/>
      </c>
      <c r="L1153">
        <f>IF($K1153="","",COUNTIFS(LdgSellerA,$F1153,LdgKeyA,"&lt;"&amp;$K1153)+COUNTIFS(LdgSellerB,$F1153,LdgKeyB,"&lt;"&amp;$K1153)+1)</f>
        <v/>
      </c>
      <c r="M1153">
        <f>IF($L1153="","",$F1153&amp;"|"&amp;RIGHT("000000"&amp;$L1153,6))</f>
        <v/>
      </c>
      <c r="N1153">
        <f>IF($F1153="","",IF(Sync!$AF1153="","0000",IF(AND(ISNUMBER(Sync!$AF1153),Sync!$AF1153&gt;=0,Sync!$AF1153&lt;1),RIGHT("00"&amp;HOUR(Sync!$AF1153),2)&amp;RIGHT("00"&amp;MINUTE(Sync!$AF1153),2),IFERROR(RIGHT("00"&amp;VALUE(LEFT(Sync!$AF1153,FIND(":",Sync!$AF1153)-1)),2)&amp;RIGHT("00"&amp;VALUE(MID(Sync!$AF1153,FIND(":",Sync!$AF1153)+1,2)),2),"0000"))))</f>
        <v/>
      </c>
    </row>
    <row r="1154">
      <c r="A1154">
        <f>IF(OR(Calc!$E1158="",Calc!$E1158="نامعتبر",Calc!$G1158=""),"",Calc!$G1158)</f>
        <v/>
      </c>
      <c r="B1154">
        <f>IF($A1154="","",LEFT(Calc!$E1158,4)&amp;MID(Calc!$E1158,6,2)&amp;RIGHT(Calc!$E1158,2)&amp;Calc!$Q1158&amp;"|"&amp;"1"&amp;RIGHT("00000"&amp;1149,5))</f>
        <v/>
      </c>
      <c r="C1154">
        <f>IF($B1154="","",COUNTIFS(LdgSellerA,$A1154,LdgKeyA,"&lt;"&amp;$B1154)+COUNTIFS(LdgSellerB,$A1154,LdgKeyB,"&lt;"&amp;$B1154)+1)</f>
        <v/>
      </c>
      <c r="D1154">
        <f>IF($C1154="","",$A1154&amp;"|"&amp;RIGHT("000000"&amp;$C1154,6))</f>
        <v/>
      </c>
      <c r="F1154">
        <f>IF(Sync!$AH1154="","",IF(LEFT(UPPER(TRIM(Sync!$AH1154)),2)="SL",UPPER(TRIM(Sync!$AH1154)),""))</f>
        <v/>
      </c>
      <c r="G1154">
        <f>IF($F1154="","",IF(Sync!$AE1154="","",IF(ISNUMBER(Sync!$AE1154),IF(AND(Sync!$AE1154&gt;=10000101,Sync!$AE1154&lt;=99991231),INT(Sync!$AE1154/10000),""),IFERROR(VALUE(TRIM(LEFT(Sync!$AE1154,FIND("/",Sync!$AE1154)-1))),""))))</f>
        <v/>
      </c>
      <c r="H1154">
        <f>IF(OR($F1154="",$G1154=""),"",IF(ISNUMBER(Sync!$AE1154),INT(MOD(Sync!$AE1154,10000)/100),IFERROR(VALUE(TRIM(LEFT(MID(Sync!$AE1154,FIND("/",Sync!$AE1154)+1,20),FIND("/",MID(Sync!$AE1154,FIND("/",Sync!$AE1154)+1,20))-1))),"")))</f>
        <v/>
      </c>
      <c r="I1154">
        <f>IF(OR($F1154="",$G1154=""),"",IF(ISNUMBER(Sync!$AE1154),MOD(Sync!$AE1154,100),IFERROR(VALUE(TRIM(MID(MID(Sync!$AE1154,FIND("/",Sync!$AE1154)+1,20),FIND("/",MID(Sync!$AE1154,FIND("/",Sync!$AE1154)+1,20))+1,20))),"")))</f>
        <v/>
      </c>
      <c r="J1154">
        <f>IF($F1154="","",IF(OR($G1154="",$H1154="",$I1154="",$G1154&lt;1300,$G1154&gt;1500,$H1154&lt;1,$H1154&gt;12,$I1154&lt;1,$I1154&gt;31),"نامعتبر",RIGHT("0000"&amp;$G1154,4)&amp;"/"&amp;RIGHT("00"&amp;$H1154,2)&amp;"/"&amp;RIGHT("00"&amp;$I1154,2)))</f>
        <v/>
      </c>
      <c r="K1154">
        <f>IF(OR($F1154="",$J1154="",$J1154="نامعتبر"),"",LEFT($J1154,4)&amp;MID($J1154,6,2)&amp;RIGHT($J1154,2)&amp;$N1154&amp;"|"&amp;"2"&amp;RIGHT("00000"&amp;1149,5))</f>
        <v/>
      </c>
      <c r="L1154">
        <f>IF($K1154="","",COUNTIFS(LdgSellerA,$F1154,LdgKeyA,"&lt;"&amp;$K1154)+COUNTIFS(LdgSellerB,$F1154,LdgKeyB,"&lt;"&amp;$K1154)+1)</f>
        <v/>
      </c>
      <c r="M1154">
        <f>IF($L1154="","",$F1154&amp;"|"&amp;RIGHT("000000"&amp;$L1154,6))</f>
        <v/>
      </c>
      <c r="N1154">
        <f>IF($F1154="","",IF(Sync!$AF1154="","0000",IF(AND(ISNUMBER(Sync!$AF1154),Sync!$AF1154&gt;=0,Sync!$AF1154&lt;1),RIGHT("00"&amp;HOUR(Sync!$AF1154),2)&amp;RIGHT("00"&amp;MINUTE(Sync!$AF1154),2),IFERROR(RIGHT("00"&amp;VALUE(LEFT(Sync!$AF1154,FIND(":",Sync!$AF1154)-1)),2)&amp;RIGHT("00"&amp;VALUE(MID(Sync!$AF1154,FIND(":",Sync!$AF1154)+1,2)),2),"0000"))))</f>
        <v/>
      </c>
    </row>
    <row r="1155">
      <c r="A1155">
        <f>IF(OR(Calc!$E1159="",Calc!$E1159="نامعتبر",Calc!$G1159=""),"",Calc!$G1159)</f>
        <v/>
      </c>
      <c r="B1155">
        <f>IF($A1155="","",LEFT(Calc!$E1159,4)&amp;MID(Calc!$E1159,6,2)&amp;RIGHT(Calc!$E1159,2)&amp;Calc!$Q1159&amp;"|"&amp;"1"&amp;RIGHT("00000"&amp;1150,5))</f>
        <v/>
      </c>
      <c r="C1155">
        <f>IF($B1155="","",COUNTIFS(LdgSellerA,$A1155,LdgKeyA,"&lt;"&amp;$B1155)+COUNTIFS(LdgSellerB,$A1155,LdgKeyB,"&lt;"&amp;$B1155)+1)</f>
        <v/>
      </c>
      <c r="D1155">
        <f>IF($C1155="","",$A1155&amp;"|"&amp;RIGHT("000000"&amp;$C1155,6))</f>
        <v/>
      </c>
      <c r="F1155">
        <f>IF(Sync!$AH1155="","",IF(LEFT(UPPER(TRIM(Sync!$AH1155)),2)="SL",UPPER(TRIM(Sync!$AH1155)),""))</f>
        <v/>
      </c>
      <c r="G1155">
        <f>IF($F1155="","",IF(Sync!$AE1155="","",IF(ISNUMBER(Sync!$AE1155),IF(AND(Sync!$AE1155&gt;=10000101,Sync!$AE1155&lt;=99991231),INT(Sync!$AE1155/10000),""),IFERROR(VALUE(TRIM(LEFT(Sync!$AE1155,FIND("/",Sync!$AE1155)-1))),""))))</f>
        <v/>
      </c>
      <c r="H1155">
        <f>IF(OR($F1155="",$G1155=""),"",IF(ISNUMBER(Sync!$AE1155),INT(MOD(Sync!$AE1155,10000)/100),IFERROR(VALUE(TRIM(LEFT(MID(Sync!$AE1155,FIND("/",Sync!$AE1155)+1,20),FIND("/",MID(Sync!$AE1155,FIND("/",Sync!$AE1155)+1,20))-1))),"")))</f>
        <v/>
      </c>
      <c r="I1155">
        <f>IF(OR($F1155="",$G1155=""),"",IF(ISNUMBER(Sync!$AE1155),MOD(Sync!$AE1155,100),IFERROR(VALUE(TRIM(MID(MID(Sync!$AE1155,FIND("/",Sync!$AE1155)+1,20),FIND("/",MID(Sync!$AE1155,FIND("/",Sync!$AE1155)+1,20))+1,20))),"")))</f>
        <v/>
      </c>
      <c r="J1155">
        <f>IF($F1155="","",IF(OR($G1155="",$H1155="",$I1155="",$G1155&lt;1300,$G1155&gt;1500,$H1155&lt;1,$H1155&gt;12,$I1155&lt;1,$I1155&gt;31),"نامعتبر",RIGHT("0000"&amp;$G1155,4)&amp;"/"&amp;RIGHT("00"&amp;$H1155,2)&amp;"/"&amp;RIGHT("00"&amp;$I1155,2)))</f>
        <v/>
      </c>
      <c r="K1155">
        <f>IF(OR($F1155="",$J1155="",$J1155="نامعتبر"),"",LEFT($J1155,4)&amp;MID($J1155,6,2)&amp;RIGHT($J1155,2)&amp;$N1155&amp;"|"&amp;"2"&amp;RIGHT("00000"&amp;1150,5))</f>
        <v/>
      </c>
      <c r="L1155">
        <f>IF($K1155="","",COUNTIFS(LdgSellerA,$F1155,LdgKeyA,"&lt;"&amp;$K1155)+COUNTIFS(LdgSellerB,$F1155,LdgKeyB,"&lt;"&amp;$K1155)+1)</f>
        <v/>
      </c>
      <c r="M1155">
        <f>IF($L1155="","",$F1155&amp;"|"&amp;RIGHT("000000"&amp;$L1155,6))</f>
        <v/>
      </c>
      <c r="N1155">
        <f>IF($F1155="","",IF(Sync!$AF1155="","0000",IF(AND(ISNUMBER(Sync!$AF1155),Sync!$AF1155&gt;=0,Sync!$AF1155&lt;1),RIGHT("00"&amp;HOUR(Sync!$AF1155),2)&amp;RIGHT("00"&amp;MINUTE(Sync!$AF1155),2),IFERROR(RIGHT("00"&amp;VALUE(LEFT(Sync!$AF1155,FIND(":",Sync!$AF1155)-1)),2)&amp;RIGHT("00"&amp;VALUE(MID(Sync!$AF1155,FIND(":",Sync!$AF1155)+1,2)),2),"0000"))))</f>
        <v/>
      </c>
    </row>
    <row r="1156">
      <c r="A1156">
        <f>IF(OR(Calc!$E1160="",Calc!$E1160="نامعتبر",Calc!$G1160=""),"",Calc!$G1160)</f>
        <v/>
      </c>
      <c r="B1156">
        <f>IF($A1156="","",LEFT(Calc!$E1160,4)&amp;MID(Calc!$E1160,6,2)&amp;RIGHT(Calc!$E1160,2)&amp;Calc!$Q1160&amp;"|"&amp;"1"&amp;RIGHT("00000"&amp;1151,5))</f>
        <v/>
      </c>
      <c r="C1156">
        <f>IF($B1156="","",COUNTIFS(LdgSellerA,$A1156,LdgKeyA,"&lt;"&amp;$B1156)+COUNTIFS(LdgSellerB,$A1156,LdgKeyB,"&lt;"&amp;$B1156)+1)</f>
        <v/>
      </c>
      <c r="D1156">
        <f>IF($C1156="","",$A1156&amp;"|"&amp;RIGHT("000000"&amp;$C1156,6))</f>
        <v/>
      </c>
      <c r="F1156">
        <f>IF(Sync!$AH1156="","",IF(LEFT(UPPER(TRIM(Sync!$AH1156)),2)="SL",UPPER(TRIM(Sync!$AH1156)),""))</f>
        <v/>
      </c>
      <c r="G1156">
        <f>IF($F1156="","",IF(Sync!$AE1156="","",IF(ISNUMBER(Sync!$AE1156),IF(AND(Sync!$AE1156&gt;=10000101,Sync!$AE1156&lt;=99991231),INT(Sync!$AE1156/10000),""),IFERROR(VALUE(TRIM(LEFT(Sync!$AE1156,FIND("/",Sync!$AE1156)-1))),""))))</f>
        <v/>
      </c>
      <c r="H1156">
        <f>IF(OR($F1156="",$G1156=""),"",IF(ISNUMBER(Sync!$AE1156),INT(MOD(Sync!$AE1156,10000)/100),IFERROR(VALUE(TRIM(LEFT(MID(Sync!$AE1156,FIND("/",Sync!$AE1156)+1,20),FIND("/",MID(Sync!$AE1156,FIND("/",Sync!$AE1156)+1,20))-1))),"")))</f>
        <v/>
      </c>
      <c r="I1156">
        <f>IF(OR($F1156="",$G1156=""),"",IF(ISNUMBER(Sync!$AE1156),MOD(Sync!$AE1156,100),IFERROR(VALUE(TRIM(MID(MID(Sync!$AE1156,FIND("/",Sync!$AE1156)+1,20),FIND("/",MID(Sync!$AE1156,FIND("/",Sync!$AE1156)+1,20))+1,20))),"")))</f>
        <v/>
      </c>
      <c r="J1156">
        <f>IF($F1156="","",IF(OR($G1156="",$H1156="",$I1156="",$G1156&lt;1300,$G1156&gt;1500,$H1156&lt;1,$H1156&gt;12,$I1156&lt;1,$I1156&gt;31),"نامعتبر",RIGHT("0000"&amp;$G1156,4)&amp;"/"&amp;RIGHT("00"&amp;$H1156,2)&amp;"/"&amp;RIGHT("00"&amp;$I1156,2)))</f>
        <v/>
      </c>
      <c r="K1156">
        <f>IF(OR($F1156="",$J1156="",$J1156="نامعتبر"),"",LEFT($J1156,4)&amp;MID($J1156,6,2)&amp;RIGHT($J1156,2)&amp;$N1156&amp;"|"&amp;"2"&amp;RIGHT("00000"&amp;1151,5))</f>
        <v/>
      </c>
      <c r="L1156">
        <f>IF($K1156="","",COUNTIFS(LdgSellerA,$F1156,LdgKeyA,"&lt;"&amp;$K1156)+COUNTIFS(LdgSellerB,$F1156,LdgKeyB,"&lt;"&amp;$K1156)+1)</f>
        <v/>
      </c>
      <c r="M1156">
        <f>IF($L1156="","",$F1156&amp;"|"&amp;RIGHT("000000"&amp;$L1156,6))</f>
        <v/>
      </c>
      <c r="N1156">
        <f>IF($F1156="","",IF(Sync!$AF1156="","0000",IF(AND(ISNUMBER(Sync!$AF1156),Sync!$AF1156&gt;=0,Sync!$AF1156&lt;1),RIGHT("00"&amp;HOUR(Sync!$AF1156),2)&amp;RIGHT("00"&amp;MINUTE(Sync!$AF1156),2),IFERROR(RIGHT("00"&amp;VALUE(LEFT(Sync!$AF1156,FIND(":",Sync!$AF1156)-1)),2)&amp;RIGHT("00"&amp;VALUE(MID(Sync!$AF1156,FIND(":",Sync!$AF1156)+1,2)),2),"0000"))))</f>
        <v/>
      </c>
    </row>
    <row r="1157">
      <c r="A1157">
        <f>IF(OR(Calc!$E1161="",Calc!$E1161="نامعتبر",Calc!$G1161=""),"",Calc!$G1161)</f>
        <v/>
      </c>
      <c r="B1157">
        <f>IF($A1157="","",LEFT(Calc!$E1161,4)&amp;MID(Calc!$E1161,6,2)&amp;RIGHT(Calc!$E1161,2)&amp;Calc!$Q1161&amp;"|"&amp;"1"&amp;RIGHT("00000"&amp;1152,5))</f>
        <v/>
      </c>
      <c r="C1157">
        <f>IF($B1157="","",COUNTIFS(LdgSellerA,$A1157,LdgKeyA,"&lt;"&amp;$B1157)+COUNTIFS(LdgSellerB,$A1157,LdgKeyB,"&lt;"&amp;$B1157)+1)</f>
        <v/>
      </c>
      <c r="D1157">
        <f>IF($C1157="","",$A1157&amp;"|"&amp;RIGHT("000000"&amp;$C1157,6))</f>
        <v/>
      </c>
      <c r="F1157">
        <f>IF(Sync!$AH1157="","",IF(LEFT(UPPER(TRIM(Sync!$AH1157)),2)="SL",UPPER(TRIM(Sync!$AH1157)),""))</f>
        <v/>
      </c>
      <c r="G1157">
        <f>IF($F1157="","",IF(Sync!$AE1157="","",IF(ISNUMBER(Sync!$AE1157),IF(AND(Sync!$AE1157&gt;=10000101,Sync!$AE1157&lt;=99991231),INT(Sync!$AE1157/10000),""),IFERROR(VALUE(TRIM(LEFT(Sync!$AE1157,FIND("/",Sync!$AE1157)-1))),""))))</f>
        <v/>
      </c>
      <c r="H1157">
        <f>IF(OR($F1157="",$G1157=""),"",IF(ISNUMBER(Sync!$AE1157),INT(MOD(Sync!$AE1157,10000)/100),IFERROR(VALUE(TRIM(LEFT(MID(Sync!$AE1157,FIND("/",Sync!$AE1157)+1,20),FIND("/",MID(Sync!$AE1157,FIND("/",Sync!$AE1157)+1,20))-1))),"")))</f>
        <v/>
      </c>
      <c r="I1157">
        <f>IF(OR($F1157="",$G1157=""),"",IF(ISNUMBER(Sync!$AE1157),MOD(Sync!$AE1157,100),IFERROR(VALUE(TRIM(MID(MID(Sync!$AE1157,FIND("/",Sync!$AE1157)+1,20),FIND("/",MID(Sync!$AE1157,FIND("/",Sync!$AE1157)+1,20))+1,20))),"")))</f>
        <v/>
      </c>
      <c r="J1157">
        <f>IF($F1157="","",IF(OR($G1157="",$H1157="",$I1157="",$G1157&lt;1300,$G1157&gt;1500,$H1157&lt;1,$H1157&gt;12,$I1157&lt;1,$I1157&gt;31),"نامعتبر",RIGHT("0000"&amp;$G1157,4)&amp;"/"&amp;RIGHT("00"&amp;$H1157,2)&amp;"/"&amp;RIGHT("00"&amp;$I1157,2)))</f>
        <v/>
      </c>
      <c r="K1157">
        <f>IF(OR($F1157="",$J1157="",$J1157="نامعتبر"),"",LEFT($J1157,4)&amp;MID($J1157,6,2)&amp;RIGHT($J1157,2)&amp;$N1157&amp;"|"&amp;"2"&amp;RIGHT("00000"&amp;1152,5))</f>
        <v/>
      </c>
      <c r="L1157">
        <f>IF($K1157="","",COUNTIFS(LdgSellerA,$F1157,LdgKeyA,"&lt;"&amp;$K1157)+COUNTIFS(LdgSellerB,$F1157,LdgKeyB,"&lt;"&amp;$K1157)+1)</f>
        <v/>
      </c>
      <c r="M1157">
        <f>IF($L1157="","",$F1157&amp;"|"&amp;RIGHT("000000"&amp;$L1157,6))</f>
        <v/>
      </c>
      <c r="N1157">
        <f>IF($F1157="","",IF(Sync!$AF1157="","0000",IF(AND(ISNUMBER(Sync!$AF1157),Sync!$AF1157&gt;=0,Sync!$AF1157&lt;1),RIGHT("00"&amp;HOUR(Sync!$AF1157),2)&amp;RIGHT("00"&amp;MINUTE(Sync!$AF1157),2),IFERROR(RIGHT("00"&amp;VALUE(LEFT(Sync!$AF1157,FIND(":",Sync!$AF1157)-1)),2)&amp;RIGHT("00"&amp;VALUE(MID(Sync!$AF1157,FIND(":",Sync!$AF1157)+1,2)),2),"0000"))))</f>
        <v/>
      </c>
    </row>
    <row r="1158">
      <c r="A1158">
        <f>IF(OR(Calc!$E1162="",Calc!$E1162="نامعتبر",Calc!$G1162=""),"",Calc!$G1162)</f>
        <v/>
      </c>
      <c r="B1158">
        <f>IF($A1158="","",LEFT(Calc!$E1162,4)&amp;MID(Calc!$E1162,6,2)&amp;RIGHT(Calc!$E1162,2)&amp;Calc!$Q1162&amp;"|"&amp;"1"&amp;RIGHT("00000"&amp;1153,5))</f>
        <v/>
      </c>
      <c r="C1158">
        <f>IF($B1158="","",COUNTIFS(LdgSellerA,$A1158,LdgKeyA,"&lt;"&amp;$B1158)+COUNTIFS(LdgSellerB,$A1158,LdgKeyB,"&lt;"&amp;$B1158)+1)</f>
        <v/>
      </c>
      <c r="D1158">
        <f>IF($C1158="","",$A1158&amp;"|"&amp;RIGHT("000000"&amp;$C1158,6))</f>
        <v/>
      </c>
      <c r="F1158">
        <f>IF(Sync!$AH1158="","",IF(LEFT(UPPER(TRIM(Sync!$AH1158)),2)="SL",UPPER(TRIM(Sync!$AH1158)),""))</f>
        <v/>
      </c>
      <c r="G1158">
        <f>IF($F1158="","",IF(Sync!$AE1158="","",IF(ISNUMBER(Sync!$AE1158),IF(AND(Sync!$AE1158&gt;=10000101,Sync!$AE1158&lt;=99991231),INT(Sync!$AE1158/10000),""),IFERROR(VALUE(TRIM(LEFT(Sync!$AE1158,FIND("/",Sync!$AE1158)-1))),""))))</f>
        <v/>
      </c>
      <c r="H1158">
        <f>IF(OR($F1158="",$G1158=""),"",IF(ISNUMBER(Sync!$AE1158),INT(MOD(Sync!$AE1158,10000)/100),IFERROR(VALUE(TRIM(LEFT(MID(Sync!$AE1158,FIND("/",Sync!$AE1158)+1,20),FIND("/",MID(Sync!$AE1158,FIND("/",Sync!$AE1158)+1,20))-1))),"")))</f>
        <v/>
      </c>
      <c r="I1158">
        <f>IF(OR($F1158="",$G1158=""),"",IF(ISNUMBER(Sync!$AE1158),MOD(Sync!$AE1158,100),IFERROR(VALUE(TRIM(MID(MID(Sync!$AE1158,FIND("/",Sync!$AE1158)+1,20),FIND("/",MID(Sync!$AE1158,FIND("/",Sync!$AE1158)+1,20))+1,20))),"")))</f>
        <v/>
      </c>
      <c r="J1158">
        <f>IF($F1158="","",IF(OR($G1158="",$H1158="",$I1158="",$G1158&lt;1300,$G1158&gt;1500,$H1158&lt;1,$H1158&gt;12,$I1158&lt;1,$I1158&gt;31),"نامعتبر",RIGHT("0000"&amp;$G1158,4)&amp;"/"&amp;RIGHT("00"&amp;$H1158,2)&amp;"/"&amp;RIGHT("00"&amp;$I1158,2)))</f>
        <v/>
      </c>
      <c r="K1158">
        <f>IF(OR($F1158="",$J1158="",$J1158="نامعتبر"),"",LEFT($J1158,4)&amp;MID($J1158,6,2)&amp;RIGHT($J1158,2)&amp;$N1158&amp;"|"&amp;"2"&amp;RIGHT("00000"&amp;1153,5))</f>
        <v/>
      </c>
      <c r="L1158">
        <f>IF($K1158="","",COUNTIFS(LdgSellerA,$F1158,LdgKeyA,"&lt;"&amp;$K1158)+COUNTIFS(LdgSellerB,$F1158,LdgKeyB,"&lt;"&amp;$K1158)+1)</f>
        <v/>
      </c>
      <c r="M1158">
        <f>IF($L1158="","",$F1158&amp;"|"&amp;RIGHT("000000"&amp;$L1158,6))</f>
        <v/>
      </c>
      <c r="N1158">
        <f>IF($F1158="","",IF(Sync!$AF1158="","0000",IF(AND(ISNUMBER(Sync!$AF1158),Sync!$AF1158&gt;=0,Sync!$AF1158&lt;1),RIGHT("00"&amp;HOUR(Sync!$AF1158),2)&amp;RIGHT("00"&amp;MINUTE(Sync!$AF1158),2),IFERROR(RIGHT("00"&amp;VALUE(LEFT(Sync!$AF1158,FIND(":",Sync!$AF1158)-1)),2)&amp;RIGHT("00"&amp;VALUE(MID(Sync!$AF1158,FIND(":",Sync!$AF1158)+1,2)),2),"0000"))))</f>
        <v/>
      </c>
    </row>
    <row r="1159">
      <c r="A1159">
        <f>IF(OR(Calc!$E1163="",Calc!$E1163="نامعتبر",Calc!$G1163=""),"",Calc!$G1163)</f>
        <v/>
      </c>
      <c r="B1159">
        <f>IF($A1159="","",LEFT(Calc!$E1163,4)&amp;MID(Calc!$E1163,6,2)&amp;RIGHT(Calc!$E1163,2)&amp;Calc!$Q1163&amp;"|"&amp;"1"&amp;RIGHT("00000"&amp;1154,5))</f>
        <v/>
      </c>
      <c r="C1159">
        <f>IF($B1159="","",COUNTIFS(LdgSellerA,$A1159,LdgKeyA,"&lt;"&amp;$B1159)+COUNTIFS(LdgSellerB,$A1159,LdgKeyB,"&lt;"&amp;$B1159)+1)</f>
        <v/>
      </c>
      <c r="D1159">
        <f>IF($C1159="","",$A1159&amp;"|"&amp;RIGHT("000000"&amp;$C1159,6))</f>
        <v/>
      </c>
      <c r="F1159">
        <f>IF(Sync!$AH1159="","",IF(LEFT(UPPER(TRIM(Sync!$AH1159)),2)="SL",UPPER(TRIM(Sync!$AH1159)),""))</f>
        <v/>
      </c>
      <c r="G1159">
        <f>IF($F1159="","",IF(Sync!$AE1159="","",IF(ISNUMBER(Sync!$AE1159),IF(AND(Sync!$AE1159&gt;=10000101,Sync!$AE1159&lt;=99991231),INT(Sync!$AE1159/10000),""),IFERROR(VALUE(TRIM(LEFT(Sync!$AE1159,FIND("/",Sync!$AE1159)-1))),""))))</f>
        <v/>
      </c>
      <c r="H1159">
        <f>IF(OR($F1159="",$G1159=""),"",IF(ISNUMBER(Sync!$AE1159),INT(MOD(Sync!$AE1159,10000)/100),IFERROR(VALUE(TRIM(LEFT(MID(Sync!$AE1159,FIND("/",Sync!$AE1159)+1,20),FIND("/",MID(Sync!$AE1159,FIND("/",Sync!$AE1159)+1,20))-1))),"")))</f>
        <v/>
      </c>
      <c r="I1159">
        <f>IF(OR($F1159="",$G1159=""),"",IF(ISNUMBER(Sync!$AE1159),MOD(Sync!$AE1159,100),IFERROR(VALUE(TRIM(MID(MID(Sync!$AE1159,FIND("/",Sync!$AE1159)+1,20),FIND("/",MID(Sync!$AE1159,FIND("/",Sync!$AE1159)+1,20))+1,20))),"")))</f>
        <v/>
      </c>
      <c r="J1159">
        <f>IF($F1159="","",IF(OR($G1159="",$H1159="",$I1159="",$G1159&lt;1300,$G1159&gt;1500,$H1159&lt;1,$H1159&gt;12,$I1159&lt;1,$I1159&gt;31),"نامعتبر",RIGHT("0000"&amp;$G1159,4)&amp;"/"&amp;RIGHT("00"&amp;$H1159,2)&amp;"/"&amp;RIGHT("00"&amp;$I1159,2)))</f>
        <v/>
      </c>
      <c r="K1159">
        <f>IF(OR($F1159="",$J1159="",$J1159="نامعتبر"),"",LEFT($J1159,4)&amp;MID($J1159,6,2)&amp;RIGHT($J1159,2)&amp;$N1159&amp;"|"&amp;"2"&amp;RIGHT("00000"&amp;1154,5))</f>
        <v/>
      </c>
      <c r="L1159">
        <f>IF($K1159="","",COUNTIFS(LdgSellerA,$F1159,LdgKeyA,"&lt;"&amp;$K1159)+COUNTIFS(LdgSellerB,$F1159,LdgKeyB,"&lt;"&amp;$K1159)+1)</f>
        <v/>
      </c>
      <c r="M1159">
        <f>IF($L1159="","",$F1159&amp;"|"&amp;RIGHT("000000"&amp;$L1159,6))</f>
        <v/>
      </c>
      <c r="N1159">
        <f>IF($F1159="","",IF(Sync!$AF1159="","0000",IF(AND(ISNUMBER(Sync!$AF1159),Sync!$AF1159&gt;=0,Sync!$AF1159&lt;1),RIGHT("00"&amp;HOUR(Sync!$AF1159),2)&amp;RIGHT("00"&amp;MINUTE(Sync!$AF1159),2),IFERROR(RIGHT("00"&amp;VALUE(LEFT(Sync!$AF1159,FIND(":",Sync!$AF1159)-1)),2)&amp;RIGHT("00"&amp;VALUE(MID(Sync!$AF1159,FIND(":",Sync!$AF1159)+1,2)),2),"0000"))))</f>
        <v/>
      </c>
    </row>
    <row r="1160">
      <c r="A1160">
        <f>IF(OR(Calc!$E1164="",Calc!$E1164="نامعتبر",Calc!$G1164=""),"",Calc!$G1164)</f>
        <v/>
      </c>
      <c r="B1160">
        <f>IF($A1160="","",LEFT(Calc!$E1164,4)&amp;MID(Calc!$E1164,6,2)&amp;RIGHT(Calc!$E1164,2)&amp;Calc!$Q1164&amp;"|"&amp;"1"&amp;RIGHT("00000"&amp;1155,5))</f>
        <v/>
      </c>
      <c r="C1160">
        <f>IF($B1160="","",COUNTIFS(LdgSellerA,$A1160,LdgKeyA,"&lt;"&amp;$B1160)+COUNTIFS(LdgSellerB,$A1160,LdgKeyB,"&lt;"&amp;$B1160)+1)</f>
        <v/>
      </c>
      <c r="D1160">
        <f>IF($C1160="","",$A1160&amp;"|"&amp;RIGHT("000000"&amp;$C1160,6))</f>
        <v/>
      </c>
      <c r="F1160">
        <f>IF(Sync!$AH1160="","",IF(LEFT(UPPER(TRIM(Sync!$AH1160)),2)="SL",UPPER(TRIM(Sync!$AH1160)),""))</f>
        <v/>
      </c>
      <c r="G1160">
        <f>IF($F1160="","",IF(Sync!$AE1160="","",IF(ISNUMBER(Sync!$AE1160),IF(AND(Sync!$AE1160&gt;=10000101,Sync!$AE1160&lt;=99991231),INT(Sync!$AE1160/10000),""),IFERROR(VALUE(TRIM(LEFT(Sync!$AE1160,FIND("/",Sync!$AE1160)-1))),""))))</f>
        <v/>
      </c>
      <c r="H1160">
        <f>IF(OR($F1160="",$G1160=""),"",IF(ISNUMBER(Sync!$AE1160),INT(MOD(Sync!$AE1160,10000)/100),IFERROR(VALUE(TRIM(LEFT(MID(Sync!$AE1160,FIND("/",Sync!$AE1160)+1,20),FIND("/",MID(Sync!$AE1160,FIND("/",Sync!$AE1160)+1,20))-1))),"")))</f>
        <v/>
      </c>
      <c r="I1160">
        <f>IF(OR($F1160="",$G1160=""),"",IF(ISNUMBER(Sync!$AE1160),MOD(Sync!$AE1160,100),IFERROR(VALUE(TRIM(MID(MID(Sync!$AE1160,FIND("/",Sync!$AE1160)+1,20),FIND("/",MID(Sync!$AE1160,FIND("/",Sync!$AE1160)+1,20))+1,20))),"")))</f>
        <v/>
      </c>
      <c r="J1160">
        <f>IF($F1160="","",IF(OR($G1160="",$H1160="",$I1160="",$G1160&lt;1300,$G1160&gt;1500,$H1160&lt;1,$H1160&gt;12,$I1160&lt;1,$I1160&gt;31),"نامعتبر",RIGHT("0000"&amp;$G1160,4)&amp;"/"&amp;RIGHT("00"&amp;$H1160,2)&amp;"/"&amp;RIGHT("00"&amp;$I1160,2)))</f>
        <v/>
      </c>
      <c r="K1160">
        <f>IF(OR($F1160="",$J1160="",$J1160="نامعتبر"),"",LEFT($J1160,4)&amp;MID($J1160,6,2)&amp;RIGHT($J1160,2)&amp;$N1160&amp;"|"&amp;"2"&amp;RIGHT("00000"&amp;1155,5))</f>
        <v/>
      </c>
      <c r="L1160">
        <f>IF($K1160="","",COUNTIFS(LdgSellerA,$F1160,LdgKeyA,"&lt;"&amp;$K1160)+COUNTIFS(LdgSellerB,$F1160,LdgKeyB,"&lt;"&amp;$K1160)+1)</f>
        <v/>
      </c>
      <c r="M1160">
        <f>IF($L1160="","",$F1160&amp;"|"&amp;RIGHT("000000"&amp;$L1160,6))</f>
        <v/>
      </c>
      <c r="N1160">
        <f>IF($F1160="","",IF(Sync!$AF1160="","0000",IF(AND(ISNUMBER(Sync!$AF1160),Sync!$AF1160&gt;=0,Sync!$AF1160&lt;1),RIGHT("00"&amp;HOUR(Sync!$AF1160),2)&amp;RIGHT("00"&amp;MINUTE(Sync!$AF1160),2),IFERROR(RIGHT("00"&amp;VALUE(LEFT(Sync!$AF1160,FIND(":",Sync!$AF1160)-1)),2)&amp;RIGHT("00"&amp;VALUE(MID(Sync!$AF1160,FIND(":",Sync!$AF1160)+1,2)),2),"0000"))))</f>
        <v/>
      </c>
    </row>
    <row r="1161">
      <c r="A1161">
        <f>IF(OR(Calc!$E1165="",Calc!$E1165="نامعتبر",Calc!$G1165=""),"",Calc!$G1165)</f>
        <v/>
      </c>
      <c r="B1161">
        <f>IF($A1161="","",LEFT(Calc!$E1165,4)&amp;MID(Calc!$E1165,6,2)&amp;RIGHT(Calc!$E1165,2)&amp;Calc!$Q1165&amp;"|"&amp;"1"&amp;RIGHT("00000"&amp;1156,5))</f>
        <v/>
      </c>
      <c r="C1161">
        <f>IF($B1161="","",COUNTIFS(LdgSellerA,$A1161,LdgKeyA,"&lt;"&amp;$B1161)+COUNTIFS(LdgSellerB,$A1161,LdgKeyB,"&lt;"&amp;$B1161)+1)</f>
        <v/>
      </c>
      <c r="D1161">
        <f>IF($C1161="","",$A1161&amp;"|"&amp;RIGHT("000000"&amp;$C1161,6))</f>
        <v/>
      </c>
      <c r="F1161">
        <f>IF(Sync!$AH1161="","",IF(LEFT(UPPER(TRIM(Sync!$AH1161)),2)="SL",UPPER(TRIM(Sync!$AH1161)),""))</f>
        <v/>
      </c>
      <c r="G1161">
        <f>IF($F1161="","",IF(Sync!$AE1161="","",IF(ISNUMBER(Sync!$AE1161),IF(AND(Sync!$AE1161&gt;=10000101,Sync!$AE1161&lt;=99991231),INT(Sync!$AE1161/10000),""),IFERROR(VALUE(TRIM(LEFT(Sync!$AE1161,FIND("/",Sync!$AE1161)-1))),""))))</f>
        <v/>
      </c>
      <c r="H1161">
        <f>IF(OR($F1161="",$G1161=""),"",IF(ISNUMBER(Sync!$AE1161),INT(MOD(Sync!$AE1161,10000)/100),IFERROR(VALUE(TRIM(LEFT(MID(Sync!$AE1161,FIND("/",Sync!$AE1161)+1,20),FIND("/",MID(Sync!$AE1161,FIND("/",Sync!$AE1161)+1,20))-1))),"")))</f>
        <v/>
      </c>
      <c r="I1161">
        <f>IF(OR($F1161="",$G1161=""),"",IF(ISNUMBER(Sync!$AE1161),MOD(Sync!$AE1161,100),IFERROR(VALUE(TRIM(MID(MID(Sync!$AE1161,FIND("/",Sync!$AE1161)+1,20),FIND("/",MID(Sync!$AE1161,FIND("/",Sync!$AE1161)+1,20))+1,20))),"")))</f>
        <v/>
      </c>
      <c r="J1161">
        <f>IF($F1161="","",IF(OR($G1161="",$H1161="",$I1161="",$G1161&lt;1300,$G1161&gt;1500,$H1161&lt;1,$H1161&gt;12,$I1161&lt;1,$I1161&gt;31),"نامعتبر",RIGHT("0000"&amp;$G1161,4)&amp;"/"&amp;RIGHT("00"&amp;$H1161,2)&amp;"/"&amp;RIGHT("00"&amp;$I1161,2)))</f>
        <v/>
      </c>
      <c r="K1161">
        <f>IF(OR($F1161="",$J1161="",$J1161="نامعتبر"),"",LEFT($J1161,4)&amp;MID($J1161,6,2)&amp;RIGHT($J1161,2)&amp;$N1161&amp;"|"&amp;"2"&amp;RIGHT("00000"&amp;1156,5))</f>
        <v/>
      </c>
      <c r="L1161">
        <f>IF($K1161="","",COUNTIFS(LdgSellerA,$F1161,LdgKeyA,"&lt;"&amp;$K1161)+COUNTIFS(LdgSellerB,$F1161,LdgKeyB,"&lt;"&amp;$K1161)+1)</f>
        <v/>
      </c>
      <c r="M1161">
        <f>IF($L1161="","",$F1161&amp;"|"&amp;RIGHT("000000"&amp;$L1161,6))</f>
        <v/>
      </c>
      <c r="N1161">
        <f>IF($F1161="","",IF(Sync!$AF1161="","0000",IF(AND(ISNUMBER(Sync!$AF1161),Sync!$AF1161&gt;=0,Sync!$AF1161&lt;1),RIGHT("00"&amp;HOUR(Sync!$AF1161),2)&amp;RIGHT("00"&amp;MINUTE(Sync!$AF1161),2),IFERROR(RIGHT("00"&amp;VALUE(LEFT(Sync!$AF1161,FIND(":",Sync!$AF1161)-1)),2)&amp;RIGHT("00"&amp;VALUE(MID(Sync!$AF1161,FIND(":",Sync!$AF1161)+1,2)),2),"0000"))))</f>
        <v/>
      </c>
    </row>
    <row r="1162">
      <c r="A1162">
        <f>IF(OR(Calc!$E1166="",Calc!$E1166="نامعتبر",Calc!$G1166=""),"",Calc!$G1166)</f>
        <v/>
      </c>
      <c r="B1162">
        <f>IF($A1162="","",LEFT(Calc!$E1166,4)&amp;MID(Calc!$E1166,6,2)&amp;RIGHT(Calc!$E1166,2)&amp;Calc!$Q1166&amp;"|"&amp;"1"&amp;RIGHT("00000"&amp;1157,5))</f>
        <v/>
      </c>
      <c r="C1162">
        <f>IF($B1162="","",COUNTIFS(LdgSellerA,$A1162,LdgKeyA,"&lt;"&amp;$B1162)+COUNTIFS(LdgSellerB,$A1162,LdgKeyB,"&lt;"&amp;$B1162)+1)</f>
        <v/>
      </c>
      <c r="D1162">
        <f>IF($C1162="","",$A1162&amp;"|"&amp;RIGHT("000000"&amp;$C1162,6))</f>
        <v/>
      </c>
      <c r="F1162">
        <f>IF(Sync!$AH1162="","",IF(LEFT(UPPER(TRIM(Sync!$AH1162)),2)="SL",UPPER(TRIM(Sync!$AH1162)),""))</f>
        <v/>
      </c>
      <c r="G1162">
        <f>IF($F1162="","",IF(Sync!$AE1162="","",IF(ISNUMBER(Sync!$AE1162),IF(AND(Sync!$AE1162&gt;=10000101,Sync!$AE1162&lt;=99991231),INT(Sync!$AE1162/10000),""),IFERROR(VALUE(TRIM(LEFT(Sync!$AE1162,FIND("/",Sync!$AE1162)-1))),""))))</f>
        <v/>
      </c>
      <c r="H1162">
        <f>IF(OR($F1162="",$G1162=""),"",IF(ISNUMBER(Sync!$AE1162),INT(MOD(Sync!$AE1162,10000)/100),IFERROR(VALUE(TRIM(LEFT(MID(Sync!$AE1162,FIND("/",Sync!$AE1162)+1,20),FIND("/",MID(Sync!$AE1162,FIND("/",Sync!$AE1162)+1,20))-1))),"")))</f>
        <v/>
      </c>
      <c r="I1162">
        <f>IF(OR($F1162="",$G1162=""),"",IF(ISNUMBER(Sync!$AE1162),MOD(Sync!$AE1162,100),IFERROR(VALUE(TRIM(MID(MID(Sync!$AE1162,FIND("/",Sync!$AE1162)+1,20),FIND("/",MID(Sync!$AE1162,FIND("/",Sync!$AE1162)+1,20))+1,20))),"")))</f>
        <v/>
      </c>
      <c r="J1162">
        <f>IF($F1162="","",IF(OR($G1162="",$H1162="",$I1162="",$G1162&lt;1300,$G1162&gt;1500,$H1162&lt;1,$H1162&gt;12,$I1162&lt;1,$I1162&gt;31),"نامعتبر",RIGHT("0000"&amp;$G1162,4)&amp;"/"&amp;RIGHT("00"&amp;$H1162,2)&amp;"/"&amp;RIGHT("00"&amp;$I1162,2)))</f>
        <v/>
      </c>
      <c r="K1162">
        <f>IF(OR($F1162="",$J1162="",$J1162="نامعتبر"),"",LEFT($J1162,4)&amp;MID($J1162,6,2)&amp;RIGHT($J1162,2)&amp;$N1162&amp;"|"&amp;"2"&amp;RIGHT("00000"&amp;1157,5))</f>
        <v/>
      </c>
      <c r="L1162">
        <f>IF($K1162="","",COUNTIFS(LdgSellerA,$F1162,LdgKeyA,"&lt;"&amp;$K1162)+COUNTIFS(LdgSellerB,$F1162,LdgKeyB,"&lt;"&amp;$K1162)+1)</f>
        <v/>
      </c>
      <c r="M1162">
        <f>IF($L1162="","",$F1162&amp;"|"&amp;RIGHT("000000"&amp;$L1162,6))</f>
        <v/>
      </c>
      <c r="N1162">
        <f>IF($F1162="","",IF(Sync!$AF1162="","0000",IF(AND(ISNUMBER(Sync!$AF1162),Sync!$AF1162&gt;=0,Sync!$AF1162&lt;1),RIGHT("00"&amp;HOUR(Sync!$AF1162),2)&amp;RIGHT("00"&amp;MINUTE(Sync!$AF1162),2),IFERROR(RIGHT("00"&amp;VALUE(LEFT(Sync!$AF1162,FIND(":",Sync!$AF1162)-1)),2)&amp;RIGHT("00"&amp;VALUE(MID(Sync!$AF1162,FIND(":",Sync!$AF1162)+1,2)),2),"0000"))))</f>
        <v/>
      </c>
    </row>
    <row r="1163">
      <c r="A1163">
        <f>IF(OR(Calc!$E1167="",Calc!$E1167="نامعتبر",Calc!$G1167=""),"",Calc!$G1167)</f>
        <v/>
      </c>
      <c r="B1163">
        <f>IF($A1163="","",LEFT(Calc!$E1167,4)&amp;MID(Calc!$E1167,6,2)&amp;RIGHT(Calc!$E1167,2)&amp;Calc!$Q1167&amp;"|"&amp;"1"&amp;RIGHT("00000"&amp;1158,5))</f>
        <v/>
      </c>
      <c r="C1163">
        <f>IF($B1163="","",COUNTIFS(LdgSellerA,$A1163,LdgKeyA,"&lt;"&amp;$B1163)+COUNTIFS(LdgSellerB,$A1163,LdgKeyB,"&lt;"&amp;$B1163)+1)</f>
        <v/>
      </c>
      <c r="D1163">
        <f>IF($C1163="","",$A1163&amp;"|"&amp;RIGHT("000000"&amp;$C1163,6))</f>
        <v/>
      </c>
      <c r="F1163">
        <f>IF(Sync!$AH1163="","",IF(LEFT(UPPER(TRIM(Sync!$AH1163)),2)="SL",UPPER(TRIM(Sync!$AH1163)),""))</f>
        <v/>
      </c>
      <c r="G1163">
        <f>IF($F1163="","",IF(Sync!$AE1163="","",IF(ISNUMBER(Sync!$AE1163),IF(AND(Sync!$AE1163&gt;=10000101,Sync!$AE1163&lt;=99991231),INT(Sync!$AE1163/10000),""),IFERROR(VALUE(TRIM(LEFT(Sync!$AE1163,FIND("/",Sync!$AE1163)-1))),""))))</f>
        <v/>
      </c>
      <c r="H1163">
        <f>IF(OR($F1163="",$G1163=""),"",IF(ISNUMBER(Sync!$AE1163),INT(MOD(Sync!$AE1163,10000)/100),IFERROR(VALUE(TRIM(LEFT(MID(Sync!$AE1163,FIND("/",Sync!$AE1163)+1,20),FIND("/",MID(Sync!$AE1163,FIND("/",Sync!$AE1163)+1,20))-1))),"")))</f>
        <v/>
      </c>
      <c r="I1163">
        <f>IF(OR($F1163="",$G1163=""),"",IF(ISNUMBER(Sync!$AE1163),MOD(Sync!$AE1163,100),IFERROR(VALUE(TRIM(MID(MID(Sync!$AE1163,FIND("/",Sync!$AE1163)+1,20),FIND("/",MID(Sync!$AE1163,FIND("/",Sync!$AE1163)+1,20))+1,20))),"")))</f>
        <v/>
      </c>
      <c r="J1163">
        <f>IF($F1163="","",IF(OR($G1163="",$H1163="",$I1163="",$G1163&lt;1300,$G1163&gt;1500,$H1163&lt;1,$H1163&gt;12,$I1163&lt;1,$I1163&gt;31),"نامعتبر",RIGHT("0000"&amp;$G1163,4)&amp;"/"&amp;RIGHT("00"&amp;$H1163,2)&amp;"/"&amp;RIGHT("00"&amp;$I1163,2)))</f>
        <v/>
      </c>
      <c r="K1163">
        <f>IF(OR($F1163="",$J1163="",$J1163="نامعتبر"),"",LEFT($J1163,4)&amp;MID($J1163,6,2)&amp;RIGHT($J1163,2)&amp;$N1163&amp;"|"&amp;"2"&amp;RIGHT("00000"&amp;1158,5))</f>
        <v/>
      </c>
      <c r="L1163">
        <f>IF($K1163="","",COUNTIFS(LdgSellerA,$F1163,LdgKeyA,"&lt;"&amp;$K1163)+COUNTIFS(LdgSellerB,$F1163,LdgKeyB,"&lt;"&amp;$K1163)+1)</f>
        <v/>
      </c>
      <c r="M1163">
        <f>IF($L1163="","",$F1163&amp;"|"&amp;RIGHT("000000"&amp;$L1163,6))</f>
        <v/>
      </c>
      <c r="N1163">
        <f>IF($F1163="","",IF(Sync!$AF1163="","0000",IF(AND(ISNUMBER(Sync!$AF1163),Sync!$AF1163&gt;=0,Sync!$AF1163&lt;1),RIGHT("00"&amp;HOUR(Sync!$AF1163),2)&amp;RIGHT("00"&amp;MINUTE(Sync!$AF1163),2),IFERROR(RIGHT("00"&amp;VALUE(LEFT(Sync!$AF1163,FIND(":",Sync!$AF1163)-1)),2)&amp;RIGHT("00"&amp;VALUE(MID(Sync!$AF1163,FIND(":",Sync!$AF1163)+1,2)),2),"0000"))))</f>
        <v/>
      </c>
    </row>
    <row r="1164">
      <c r="A1164">
        <f>IF(OR(Calc!$E1168="",Calc!$E1168="نامعتبر",Calc!$G1168=""),"",Calc!$G1168)</f>
        <v/>
      </c>
      <c r="B1164">
        <f>IF($A1164="","",LEFT(Calc!$E1168,4)&amp;MID(Calc!$E1168,6,2)&amp;RIGHT(Calc!$E1168,2)&amp;Calc!$Q1168&amp;"|"&amp;"1"&amp;RIGHT("00000"&amp;1159,5))</f>
        <v/>
      </c>
      <c r="C1164">
        <f>IF($B1164="","",COUNTIFS(LdgSellerA,$A1164,LdgKeyA,"&lt;"&amp;$B1164)+COUNTIFS(LdgSellerB,$A1164,LdgKeyB,"&lt;"&amp;$B1164)+1)</f>
        <v/>
      </c>
      <c r="D1164">
        <f>IF($C1164="","",$A1164&amp;"|"&amp;RIGHT("000000"&amp;$C1164,6))</f>
        <v/>
      </c>
      <c r="F1164">
        <f>IF(Sync!$AH1164="","",IF(LEFT(UPPER(TRIM(Sync!$AH1164)),2)="SL",UPPER(TRIM(Sync!$AH1164)),""))</f>
        <v/>
      </c>
      <c r="G1164">
        <f>IF($F1164="","",IF(Sync!$AE1164="","",IF(ISNUMBER(Sync!$AE1164),IF(AND(Sync!$AE1164&gt;=10000101,Sync!$AE1164&lt;=99991231),INT(Sync!$AE1164/10000),""),IFERROR(VALUE(TRIM(LEFT(Sync!$AE1164,FIND("/",Sync!$AE1164)-1))),""))))</f>
        <v/>
      </c>
      <c r="H1164">
        <f>IF(OR($F1164="",$G1164=""),"",IF(ISNUMBER(Sync!$AE1164),INT(MOD(Sync!$AE1164,10000)/100),IFERROR(VALUE(TRIM(LEFT(MID(Sync!$AE1164,FIND("/",Sync!$AE1164)+1,20),FIND("/",MID(Sync!$AE1164,FIND("/",Sync!$AE1164)+1,20))-1))),"")))</f>
        <v/>
      </c>
      <c r="I1164">
        <f>IF(OR($F1164="",$G1164=""),"",IF(ISNUMBER(Sync!$AE1164),MOD(Sync!$AE1164,100),IFERROR(VALUE(TRIM(MID(MID(Sync!$AE1164,FIND("/",Sync!$AE1164)+1,20),FIND("/",MID(Sync!$AE1164,FIND("/",Sync!$AE1164)+1,20))+1,20))),"")))</f>
        <v/>
      </c>
      <c r="J1164">
        <f>IF($F1164="","",IF(OR($G1164="",$H1164="",$I1164="",$G1164&lt;1300,$G1164&gt;1500,$H1164&lt;1,$H1164&gt;12,$I1164&lt;1,$I1164&gt;31),"نامعتبر",RIGHT("0000"&amp;$G1164,4)&amp;"/"&amp;RIGHT("00"&amp;$H1164,2)&amp;"/"&amp;RIGHT("00"&amp;$I1164,2)))</f>
        <v/>
      </c>
      <c r="K1164">
        <f>IF(OR($F1164="",$J1164="",$J1164="نامعتبر"),"",LEFT($J1164,4)&amp;MID($J1164,6,2)&amp;RIGHT($J1164,2)&amp;$N1164&amp;"|"&amp;"2"&amp;RIGHT("00000"&amp;1159,5))</f>
        <v/>
      </c>
      <c r="L1164">
        <f>IF($K1164="","",COUNTIFS(LdgSellerA,$F1164,LdgKeyA,"&lt;"&amp;$K1164)+COUNTIFS(LdgSellerB,$F1164,LdgKeyB,"&lt;"&amp;$K1164)+1)</f>
        <v/>
      </c>
      <c r="M1164">
        <f>IF($L1164="","",$F1164&amp;"|"&amp;RIGHT("000000"&amp;$L1164,6))</f>
        <v/>
      </c>
      <c r="N1164">
        <f>IF($F1164="","",IF(Sync!$AF1164="","0000",IF(AND(ISNUMBER(Sync!$AF1164),Sync!$AF1164&gt;=0,Sync!$AF1164&lt;1),RIGHT("00"&amp;HOUR(Sync!$AF1164),2)&amp;RIGHT("00"&amp;MINUTE(Sync!$AF1164),2),IFERROR(RIGHT("00"&amp;VALUE(LEFT(Sync!$AF1164,FIND(":",Sync!$AF1164)-1)),2)&amp;RIGHT("00"&amp;VALUE(MID(Sync!$AF1164,FIND(":",Sync!$AF1164)+1,2)),2),"0000"))))</f>
        <v/>
      </c>
    </row>
    <row r="1165">
      <c r="A1165">
        <f>IF(OR(Calc!$E1169="",Calc!$E1169="نامعتبر",Calc!$G1169=""),"",Calc!$G1169)</f>
        <v/>
      </c>
      <c r="B1165">
        <f>IF($A1165="","",LEFT(Calc!$E1169,4)&amp;MID(Calc!$E1169,6,2)&amp;RIGHT(Calc!$E1169,2)&amp;Calc!$Q1169&amp;"|"&amp;"1"&amp;RIGHT("00000"&amp;1160,5))</f>
        <v/>
      </c>
      <c r="C1165">
        <f>IF($B1165="","",COUNTIFS(LdgSellerA,$A1165,LdgKeyA,"&lt;"&amp;$B1165)+COUNTIFS(LdgSellerB,$A1165,LdgKeyB,"&lt;"&amp;$B1165)+1)</f>
        <v/>
      </c>
      <c r="D1165">
        <f>IF($C1165="","",$A1165&amp;"|"&amp;RIGHT("000000"&amp;$C1165,6))</f>
        <v/>
      </c>
      <c r="F1165">
        <f>IF(Sync!$AH1165="","",IF(LEFT(UPPER(TRIM(Sync!$AH1165)),2)="SL",UPPER(TRIM(Sync!$AH1165)),""))</f>
        <v/>
      </c>
      <c r="G1165">
        <f>IF($F1165="","",IF(Sync!$AE1165="","",IF(ISNUMBER(Sync!$AE1165),IF(AND(Sync!$AE1165&gt;=10000101,Sync!$AE1165&lt;=99991231),INT(Sync!$AE1165/10000),""),IFERROR(VALUE(TRIM(LEFT(Sync!$AE1165,FIND("/",Sync!$AE1165)-1))),""))))</f>
        <v/>
      </c>
      <c r="H1165">
        <f>IF(OR($F1165="",$G1165=""),"",IF(ISNUMBER(Sync!$AE1165),INT(MOD(Sync!$AE1165,10000)/100),IFERROR(VALUE(TRIM(LEFT(MID(Sync!$AE1165,FIND("/",Sync!$AE1165)+1,20),FIND("/",MID(Sync!$AE1165,FIND("/",Sync!$AE1165)+1,20))-1))),"")))</f>
        <v/>
      </c>
      <c r="I1165">
        <f>IF(OR($F1165="",$G1165=""),"",IF(ISNUMBER(Sync!$AE1165),MOD(Sync!$AE1165,100),IFERROR(VALUE(TRIM(MID(MID(Sync!$AE1165,FIND("/",Sync!$AE1165)+1,20),FIND("/",MID(Sync!$AE1165,FIND("/",Sync!$AE1165)+1,20))+1,20))),"")))</f>
        <v/>
      </c>
      <c r="J1165">
        <f>IF($F1165="","",IF(OR($G1165="",$H1165="",$I1165="",$G1165&lt;1300,$G1165&gt;1500,$H1165&lt;1,$H1165&gt;12,$I1165&lt;1,$I1165&gt;31),"نامعتبر",RIGHT("0000"&amp;$G1165,4)&amp;"/"&amp;RIGHT("00"&amp;$H1165,2)&amp;"/"&amp;RIGHT("00"&amp;$I1165,2)))</f>
        <v/>
      </c>
      <c r="K1165">
        <f>IF(OR($F1165="",$J1165="",$J1165="نامعتبر"),"",LEFT($J1165,4)&amp;MID($J1165,6,2)&amp;RIGHT($J1165,2)&amp;$N1165&amp;"|"&amp;"2"&amp;RIGHT("00000"&amp;1160,5))</f>
        <v/>
      </c>
      <c r="L1165">
        <f>IF($K1165="","",COUNTIFS(LdgSellerA,$F1165,LdgKeyA,"&lt;"&amp;$K1165)+COUNTIFS(LdgSellerB,$F1165,LdgKeyB,"&lt;"&amp;$K1165)+1)</f>
        <v/>
      </c>
      <c r="M1165">
        <f>IF($L1165="","",$F1165&amp;"|"&amp;RIGHT("000000"&amp;$L1165,6))</f>
        <v/>
      </c>
      <c r="N1165">
        <f>IF($F1165="","",IF(Sync!$AF1165="","0000",IF(AND(ISNUMBER(Sync!$AF1165),Sync!$AF1165&gt;=0,Sync!$AF1165&lt;1),RIGHT("00"&amp;HOUR(Sync!$AF1165),2)&amp;RIGHT("00"&amp;MINUTE(Sync!$AF1165),2),IFERROR(RIGHT("00"&amp;VALUE(LEFT(Sync!$AF1165,FIND(":",Sync!$AF1165)-1)),2)&amp;RIGHT("00"&amp;VALUE(MID(Sync!$AF1165,FIND(":",Sync!$AF1165)+1,2)),2),"0000"))))</f>
        <v/>
      </c>
    </row>
    <row r="1166">
      <c r="A1166">
        <f>IF(OR(Calc!$E1170="",Calc!$E1170="نامعتبر",Calc!$G1170=""),"",Calc!$G1170)</f>
        <v/>
      </c>
      <c r="B1166">
        <f>IF($A1166="","",LEFT(Calc!$E1170,4)&amp;MID(Calc!$E1170,6,2)&amp;RIGHT(Calc!$E1170,2)&amp;Calc!$Q1170&amp;"|"&amp;"1"&amp;RIGHT("00000"&amp;1161,5))</f>
        <v/>
      </c>
      <c r="C1166">
        <f>IF($B1166="","",COUNTIFS(LdgSellerA,$A1166,LdgKeyA,"&lt;"&amp;$B1166)+COUNTIFS(LdgSellerB,$A1166,LdgKeyB,"&lt;"&amp;$B1166)+1)</f>
        <v/>
      </c>
      <c r="D1166">
        <f>IF($C1166="","",$A1166&amp;"|"&amp;RIGHT("000000"&amp;$C1166,6))</f>
        <v/>
      </c>
      <c r="F1166">
        <f>IF(Sync!$AH1166="","",IF(LEFT(UPPER(TRIM(Sync!$AH1166)),2)="SL",UPPER(TRIM(Sync!$AH1166)),""))</f>
        <v/>
      </c>
      <c r="G1166">
        <f>IF($F1166="","",IF(Sync!$AE1166="","",IF(ISNUMBER(Sync!$AE1166),IF(AND(Sync!$AE1166&gt;=10000101,Sync!$AE1166&lt;=99991231),INT(Sync!$AE1166/10000),""),IFERROR(VALUE(TRIM(LEFT(Sync!$AE1166,FIND("/",Sync!$AE1166)-1))),""))))</f>
        <v/>
      </c>
      <c r="H1166">
        <f>IF(OR($F1166="",$G1166=""),"",IF(ISNUMBER(Sync!$AE1166),INT(MOD(Sync!$AE1166,10000)/100),IFERROR(VALUE(TRIM(LEFT(MID(Sync!$AE1166,FIND("/",Sync!$AE1166)+1,20),FIND("/",MID(Sync!$AE1166,FIND("/",Sync!$AE1166)+1,20))-1))),"")))</f>
        <v/>
      </c>
      <c r="I1166">
        <f>IF(OR($F1166="",$G1166=""),"",IF(ISNUMBER(Sync!$AE1166),MOD(Sync!$AE1166,100),IFERROR(VALUE(TRIM(MID(MID(Sync!$AE1166,FIND("/",Sync!$AE1166)+1,20),FIND("/",MID(Sync!$AE1166,FIND("/",Sync!$AE1166)+1,20))+1,20))),"")))</f>
        <v/>
      </c>
      <c r="J1166">
        <f>IF($F1166="","",IF(OR($G1166="",$H1166="",$I1166="",$G1166&lt;1300,$G1166&gt;1500,$H1166&lt;1,$H1166&gt;12,$I1166&lt;1,$I1166&gt;31),"نامعتبر",RIGHT("0000"&amp;$G1166,4)&amp;"/"&amp;RIGHT("00"&amp;$H1166,2)&amp;"/"&amp;RIGHT("00"&amp;$I1166,2)))</f>
        <v/>
      </c>
      <c r="K1166">
        <f>IF(OR($F1166="",$J1166="",$J1166="نامعتبر"),"",LEFT($J1166,4)&amp;MID($J1166,6,2)&amp;RIGHT($J1166,2)&amp;$N1166&amp;"|"&amp;"2"&amp;RIGHT("00000"&amp;1161,5))</f>
        <v/>
      </c>
      <c r="L1166">
        <f>IF($K1166="","",COUNTIFS(LdgSellerA,$F1166,LdgKeyA,"&lt;"&amp;$K1166)+COUNTIFS(LdgSellerB,$F1166,LdgKeyB,"&lt;"&amp;$K1166)+1)</f>
        <v/>
      </c>
      <c r="M1166">
        <f>IF($L1166="","",$F1166&amp;"|"&amp;RIGHT("000000"&amp;$L1166,6))</f>
        <v/>
      </c>
      <c r="N1166">
        <f>IF($F1166="","",IF(Sync!$AF1166="","0000",IF(AND(ISNUMBER(Sync!$AF1166),Sync!$AF1166&gt;=0,Sync!$AF1166&lt;1),RIGHT("00"&amp;HOUR(Sync!$AF1166),2)&amp;RIGHT("00"&amp;MINUTE(Sync!$AF1166),2),IFERROR(RIGHT("00"&amp;VALUE(LEFT(Sync!$AF1166,FIND(":",Sync!$AF1166)-1)),2)&amp;RIGHT("00"&amp;VALUE(MID(Sync!$AF1166,FIND(":",Sync!$AF1166)+1,2)),2),"0000"))))</f>
        <v/>
      </c>
    </row>
    <row r="1167">
      <c r="A1167">
        <f>IF(OR(Calc!$E1171="",Calc!$E1171="نامعتبر",Calc!$G1171=""),"",Calc!$G1171)</f>
        <v/>
      </c>
      <c r="B1167">
        <f>IF($A1167="","",LEFT(Calc!$E1171,4)&amp;MID(Calc!$E1171,6,2)&amp;RIGHT(Calc!$E1171,2)&amp;Calc!$Q1171&amp;"|"&amp;"1"&amp;RIGHT("00000"&amp;1162,5))</f>
        <v/>
      </c>
      <c r="C1167">
        <f>IF($B1167="","",COUNTIFS(LdgSellerA,$A1167,LdgKeyA,"&lt;"&amp;$B1167)+COUNTIFS(LdgSellerB,$A1167,LdgKeyB,"&lt;"&amp;$B1167)+1)</f>
        <v/>
      </c>
      <c r="D1167">
        <f>IF($C1167="","",$A1167&amp;"|"&amp;RIGHT("000000"&amp;$C1167,6))</f>
        <v/>
      </c>
      <c r="F1167">
        <f>IF(Sync!$AH1167="","",IF(LEFT(UPPER(TRIM(Sync!$AH1167)),2)="SL",UPPER(TRIM(Sync!$AH1167)),""))</f>
        <v/>
      </c>
      <c r="G1167">
        <f>IF($F1167="","",IF(Sync!$AE1167="","",IF(ISNUMBER(Sync!$AE1167),IF(AND(Sync!$AE1167&gt;=10000101,Sync!$AE1167&lt;=99991231),INT(Sync!$AE1167/10000),""),IFERROR(VALUE(TRIM(LEFT(Sync!$AE1167,FIND("/",Sync!$AE1167)-1))),""))))</f>
        <v/>
      </c>
      <c r="H1167">
        <f>IF(OR($F1167="",$G1167=""),"",IF(ISNUMBER(Sync!$AE1167),INT(MOD(Sync!$AE1167,10000)/100),IFERROR(VALUE(TRIM(LEFT(MID(Sync!$AE1167,FIND("/",Sync!$AE1167)+1,20),FIND("/",MID(Sync!$AE1167,FIND("/",Sync!$AE1167)+1,20))-1))),"")))</f>
        <v/>
      </c>
      <c r="I1167">
        <f>IF(OR($F1167="",$G1167=""),"",IF(ISNUMBER(Sync!$AE1167),MOD(Sync!$AE1167,100),IFERROR(VALUE(TRIM(MID(MID(Sync!$AE1167,FIND("/",Sync!$AE1167)+1,20),FIND("/",MID(Sync!$AE1167,FIND("/",Sync!$AE1167)+1,20))+1,20))),"")))</f>
        <v/>
      </c>
      <c r="J1167">
        <f>IF($F1167="","",IF(OR($G1167="",$H1167="",$I1167="",$G1167&lt;1300,$G1167&gt;1500,$H1167&lt;1,$H1167&gt;12,$I1167&lt;1,$I1167&gt;31),"نامعتبر",RIGHT("0000"&amp;$G1167,4)&amp;"/"&amp;RIGHT("00"&amp;$H1167,2)&amp;"/"&amp;RIGHT("00"&amp;$I1167,2)))</f>
        <v/>
      </c>
      <c r="K1167">
        <f>IF(OR($F1167="",$J1167="",$J1167="نامعتبر"),"",LEFT($J1167,4)&amp;MID($J1167,6,2)&amp;RIGHT($J1167,2)&amp;$N1167&amp;"|"&amp;"2"&amp;RIGHT("00000"&amp;1162,5))</f>
        <v/>
      </c>
      <c r="L1167">
        <f>IF($K1167="","",COUNTIFS(LdgSellerA,$F1167,LdgKeyA,"&lt;"&amp;$K1167)+COUNTIFS(LdgSellerB,$F1167,LdgKeyB,"&lt;"&amp;$K1167)+1)</f>
        <v/>
      </c>
      <c r="M1167">
        <f>IF($L1167="","",$F1167&amp;"|"&amp;RIGHT("000000"&amp;$L1167,6))</f>
        <v/>
      </c>
      <c r="N1167">
        <f>IF($F1167="","",IF(Sync!$AF1167="","0000",IF(AND(ISNUMBER(Sync!$AF1167),Sync!$AF1167&gt;=0,Sync!$AF1167&lt;1),RIGHT("00"&amp;HOUR(Sync!$AF1167),2)&amp;RIGHT("00"&amp;MINUTE(Sync!$AF1167),2),IFERROR(RIGHT("00"&amp;VALUE(LEFT(Sync!$AF1167,FIND(":",Sync!$AF1167)-1)),2)&amp;RIGHT("00"&amp;VALUE(MID(Sync!$AF1167,FIND(":",Sync!$AF1167)+1,2)),2),"0000"))))</f>
        <v/>
      </c>
    </row>
    <row r="1168">
      <c r="A1168">
        <f>IF(OR(Calc!$E1172="",Calc!$E1172="نامعتبر",Calc!$G1172=""),"",Calc!$G1172)</f>
        <v/>
      </c>
      <c r="B1168">
        <f>IF($A1168="","",LEFT(Calc!$E1172,4)&amp;MID(Calc!$E1172,6,2)&amp;RIGHT(Calc!$E1172,2)&amp;Calc!$Q1172&amp;"|"&amp;"1"&amp;RIGHT("00000"&amp;1163,5))</f>
        <v/>
      </c>
      <c r="C1168">
        <f>IF($B1168="","",COUNTIFS(LdgSellerA,$A1168,LdgKeyA,"&lt;"&amp;$B1168)+COUNTIFS(LdgSellerB,$A1168,LdgKeyB,"&lt;"&amp;$B1168)+1)</f>
        <v/>
      </c>
      <c r="D1168">
        <f>IF($C1168="","",$A1168&amp;"|"&amp;RIGHT("000000"&amp;$C1168,6))</f>
        <v/>
      </c>
      <c r="F1168">
        <f>IF(Sync!$AH1168="","",IF(LEFT(UPPER(TRIM(Sync!$AH1168)),2)="SL",UPPER(TRIM(Sync!$AH1168)),""))</f>
        <v/>
      </c>
      <c r="G1168">
        <f>IF($F1168="","",IF(Sync!$AE1168="","",IF(ISNUMBER(Sync!$AE1168),IF(AND(Sync!$AE1168&gt;=10000101,Sync!$AE1168&lt;=99991231),INT(Sync!$AE1168/10000),""),IFERROR(VALUE(TRIM(LEFT(Sync!$AE1168,FIND("/",Sync!$AE1168)-1))),""))))</f>
        <v/>
      </c>
      <c r="H1168">
        <f>IF(OR($F1168="",$G1168=""),"",IF(ISNUMBER(Sync!$AE1168),INT(MOD(Sync!$AE1168,10000)/100),IFERROR(VALUE(TRIM(LEFT(MID(Sync!$AE1168,FIND("/",Sync!$AE1168)+1,20),FIND("/",MID(Sync!$AE1168,FIND("/",Sync!$AE1168)+1,20))-1))),"")))</f>
        <v/>
      </c>
      <c r="I1168">
        <f>IF(OR($F1168="",$G1168=""),"",IF(ISNUMBER(Sync!$AE1168),MOD(Sync!$AE1168,100),IFERROR(VALUE(TRIM(MID(MID(Sync!$AE1168,FIND("/",Sync!$AE1168)+1,20),FIND("/",MID(Sync!$AE1168,FIND("/",Sync!$AE1168)+1,20))+1,20))),"")))</f>
        <v/>
      </c>
      <c r="J1168">
        <f>IF($F1168="","",IF(OR($G1168="",$H1168="",$I1168="",$G1168&lt;1300,$G1168&gt;1500,$H1168&lt;1,$H1168&gt;12,$I1168&lt;1,$I1168&gt;31),"نامعتبر",RIGHT("0000"&amp;$G1168,4)&amp;"/"&amp;RIGHT("00"&amp;$H1168,2)&amp;"/"&amp;RIGHT("00"&amp;$I1168,2)))</f>
        <v/>
      </c>
      <c r="K1168">
        <f>IF(OR($F1168="",$J1168="",$J1168="نامعتبر"),"",LEFT($J1168,4)&amp;MID($J1168,6,2)&amp;RIGHT($J1168,2)&amp;$N1168&amp;"|"&amp;"2"&amp;RIGHT("00000"&amp;1163,5))</f>
        <v/>
      </c>
      <c r="L1168">
        <f>IF($K1168="","",COUNTIFS(LdgSellerA,$F1168,LdgKeyA,"&lt;"&amp;$K1168)+COUNTIFS(LdgSellerB,$F1168,LdgKeyB,"&lt;"&amp;$K1168)+1)</f>
        <v/>
      </c>
      <c r="M1168">
        <f>IF($L1168="","",$F1168&amp;"|"&amp;RIGHT("000000"&amp;$L1168,6))</f>
        <v/>
      </c>
      <c r="N1168">
        <f>IF($F1168="","",IF(Sync!$AF1168="","0000",IF(AND(ISNUMBER(Sync!$AF1168),Sync!$AF1168&gt;=0,Sync!$AF1168&lt;1),RIGHT("00"&amp;HOUR(Sync!$AF1168),2)&amp;RIGHT("00"&amp;MINUTE(Sync!$AF1168),2),IFERROR(RIGHT("00"&amp;VALUE(LEFT(Sync!$AF1168,FIND(":",Sync!$AF1168)-1)),2)&amp;RIGHT("00"&amp;VALUE(MID(Sync!$AF1168,FIND(":",Sync!$AF1168)+1,2)),2),"0000"))))</f>
        <v/>
      </c>
    </row>
    <row r="1169">
      <c r="A1169">
        <f>IF(OR(Calc!$E1173="",Calc!$E1173="نامعتبر",Calc!$G1173=""),"",Calc!$G1173)</f>
        <v/>
      </c>
      <c r="B1169">
        <f>IF($A1169="","",LEFT(Calc!$E1173,4)&amp;MID(Calc!$E1173,6,2)&amp;RIGHT(Calc!$E1173,2)&amp;Calc!$Q1173&amp;"|"&amp;"1"&amp;RIGHT("00000"&amp;1164,5))</f>
        <v/>
      </c>
      <c r="C1169">
        <f>IF($B1169="","",COUNTIFS(LdgSellerA,$A1169,LdgKeyA,"&lt;"&amp;$B1169)+COUNTIFS(LdgSellerB,$A1169,LdgKeyB,"&lt;"&amp;$B1169)+1)</f>
        <v/>
      </c>
      <c r="D1169">
        <f>IF($C1169="","",$A1169&amp;"|"&amp;RIGHT("000000"&amp;$C1169,6))</f>
        <v/>
      </c>
      <c r="F1169">
        <f>IF(Sync!$AH1169="","",IF(LEFT(UPPER(TRIM(Sync!$AH1169)),2)="SL",UPPER(TRIM(Sync!$AH1169)),""))</f>
        <v/>
      </c>
      <c r="G1169">
        <f>IF($F1169="","",IF(Sync!$AE1169="","",IF(ISNUMBER(Sync!$AE1169),IF(AND(Sync!$AE1169&gt;=10000101,Sync!$AE1169&lt;=99991231),INT(Sync!$AE1169/10000),""),IFERROR(VALUE(TRIM(LEFT(Sync!$AE1169,FIND("/",Sync!$AE1169)-1))),""))))</f>
        <v/>
      </c>
      <c r="H1169">
        <f>IF(OR($F1169="",$G1169=""),"",IF(ISNUMBER(Sync!$AE1169),INT(MOD(Sync!$AE1169,10000)/100),IFERROR(VALUE(TRIM(LEFT(MID(Sync!$AE1169,FIND("/",Sync!$AE1169)+1,20),FIND("/",MID(Sync!$AE1169,FIND("/",Sync!$AE1169)+1,20))-1))),"")))</f>
        <v/>
      </c>
      <c r="I1169">
        <f>IF(OR($F1169="",$G1169=""),"",IF(ISNUMBER(Sync!$AE1169),MOD(Sync!$AE1169,100),IFERROR(VALUE(TRIM(MID(MID(Sync!$AE1169,FIND("/",Sync!$AE1169)+1,20),FIND("/",MID(Sync!$AE1169,FIND("/",Sync!$AE1169)+1,20))+1,20))),"")))</f>
        <v/>
      </c>
      <c r="J1169">
        <f>IF($F1169="","",IF(OR($G1169="",$H1169="",$I1169="",$G1169&lt;1300,$G1169&gt;1500,$H1169&lt;1,$H1169&gt;12,$I1169&lt;1,$I1169&gt;31),"نامعتبر",RIGHT("0000"&amp;$G1169,4)&amp;"/"&amp;RIGHT("00"&amp;$H1169,2)&amp;"/"&amp;RIGHT("00"&amp;$I1169,2)))</f>
        <v/>
      </c>
      <c r="K1169">
        <f>IF(OR($F1169="",$J1169="",$J1169="نامعتبر"),"",LEFT($J1169,4)&amp;MID($J1169,6,2)&amp;RIGHT($J1169,2)&amp;$N1169&amp;"|"&amp;"2"&amp;RIGHT("00000"&amp;1164,5))</f>
        <v/>
      </c>
      <c r="L1169">
        <f>IF($K1169="","",COUNTIFS(LdgSellerA,$F1169,LdgKeyA,"&lt;"&amp;$K1169)+COUNTIFS(LdgSellerB,$F1169,LdgKeyB,"&lt;"&amp;$K1169)+1)</f>
        <v/>
      </c>
      <c r="M1169">
        <f>IF($L1169="","",$F1169&amp;"|"&amp;RIGHT("000000"&amp;$L1169,6))</f>
        <v/>
      </c>
      <c r="N1169">
        <f>IF($F1169="","",IF(Sync!$AF1169="","0000",IF(AND(ISNUMBER(Sync!$AF1169),Sync!$AF1169&gt;=0,Sync!$AF1169&lt;1),RIGHT("00"&amp;HOUR(Sync!$AF1169),2)&amp;RIGHT("00"&amp;MINUTE(Sync!$AF1169),2),IFERROR(RIGHT("00"&amp;VALUE(LEFT(Sync!$AF1169,FIND(":",Sync!$AF1169)-1)),2)&amp;RIGHT("00"&amp;VALUE(MID(Sync!$AF1169,FIND(":",Sync!$AF1169)+1,2)),2),"0000"))))</f>
        <v/>
      </c>
    </row>
    <row r="1170">
      <c r="A1170">
        <f>IF(OR(Calc!$E1174="",Calc!$E1174="نامعتبر",Calc!$G1174=""),"",Calc!$G1174)</f>
        <v/>
      </c>
      <c r="B1170">
        <f>IF($A1170="","",LEFT(Calc!$E1174,4)&amp;MID(Calc!$E1174,6,2)&amp;RIGHT(Calc!$E1174,2)&amp;Calc!$Q1174&amp;"|"&amp;"1"&amp;RIGHT("00000"&amp;1165,5))</f>
        <v/>
      </c>
      <c r="C1170">
        <f>IF($B1170="","",COUNTIFS(LdgSellerA,$A1170,LdgKeyA,"&lt;"&amp;$B1170)+COUNTIFS(LdgSellerB,$A1170,LdgKeyB,"&lt;"&amp;$B1170)+1)</f>
        <v/>
      </c>
      <c r="D1170">
        <f>IF($C1170="","",$A1170&amp;"|"&amp;RIGHT("000000"&amp;$C1170,6))</f>
        <v/>
      </c>
      <c r="F1170">
        <f>IF(Sync!$AH1170="","",IF(LEFT(UPPER(TRIM(Sync!$AH1170)),2)="SL",UPPER(TRIM(Sync!$AH1170)),""))</f>
        <v/>
      </c>
      <c r="G1170">
        <f>IF($F1170="","",IF(Sync!$AE1170="","",IF(ISNUMBER(Sync!$AE1170),IF(AND(Sync!$AE1170&gt;=10000101,Sync!$AE1170&lt;=99991231),INT(Sync!$AE1170/10000),""),IFERROR(VALUE(TRIM(LEFT(Sync!$AE1170,FIND("/",Sync!$AE1170)-1))),""))))</f>
        <v/>
      </c>
      <c r="H1170">
        <f>IF(OR($F1170="",$G1170=""),"",IF(ISNUMBER(Sync!$AE1170),INT(MOD(Sync!$AE1170,10000)/100),IFERROR(VALUE(TRIM(LEFT(MID(Sync!$AE1170,FIND("/",Sync!$AE1170)+1,20),FIND("/",MID(Sync!$AE1170,FIND("/",Sync!$AE1170)+1,20))-1))),"")))</f>
        <v/>
      </c>
      <c r="I1170">
        <f>IF(OR($F1170="",$G1170=""),"",IF(ISNUMBER(Sync!$AE1170),MOD(Sync!$AE1170,100),IFERROR(VALUE(TRIM(MID(MID(Sync!$AE1170,FIND("/",Sync!$AE1170)+1,20),FIND("/",MID(Sync!$AE1170,FIND("/",Sync!$AE1170)+1,20))+1,20))),"")))</f>
        <v/>
      </c>
      <c r="J1170">
        <f>IF($F1170="","",IF(OR($G1170="",$H1170="",$I1170="",$G1170&lt;1300,$G1170&gt;1500,$H1170&lt;1,$H1170&gt;12,$I1170&lt;1,$I1170&gt;31),"نامعتبر",RIGHT("0000"&amp;$G1170,4)&amp;"/"&amp;RIGHT("00"&amp;$H1170,2)&amp;"/"&amp;RIGHT("00"&amp;$I1170,2)))</f>
        <v/>
      </c>
      <c r="K1170">
        <f>IF(OR($F1170="",$J1170="",$J1170="نامعتبر"),"",LEFT($J1170,4)&amp;MID($J1170,6,2)&amp;RIGHT($J1170,2)&amp;$N1170&amp;"|"&amp;"2"&amp;RIGHT("00000"&amp;1165,5))</f>
        <v/>
      </c>
      <c r="L1170">
        <f>IF($K1170="","",COUNTIFS(LdgSellerA,$F1170,LdgKeyA,"&lt;"&amp;$K1170)+COUNTIFS(LdgSellerB,$F1170,LdgKeyB,"&lt;"&amp;$K1170)+1)</f>
        <v/>
      </c>
      <c r="M1170">
        <f>IF($L1170="","",$F1170&amp;"|"&amp;RIGHT("000000"&amp;$L1170,6))</f>
        <v/>
      </c>
      <c r="N1170">
        <f>IF($F1170="","",IF(Sync!$AF1170="","0000",IF(AND(ISNUMBER(Sync!$AF1170),Sync!$AF1170&gt;=0,Sync!$AF1170&lt;1),RIGHT("00"&amp;HOUR(Sync!$AF1170),2)&amp;RIGHT("00"&amp;MINUTE(Sync!$AF1170),2),IFERROR(RIGHT("00"&amp;VALUE(LEFT(Sync!$AF1170,FIND(":",Sync!$AF1170)-1)),2)&amp;RIGHT("00"&amp;VALUE(MID(Sync!$AF1170,FIND(":",Sync!$AF1170)+1,2)),2),"0000"))))</f>
        <v/>
      </c>
    </row>
    <row r="1171">
      <c r="A1171">
        <f>IF(OR(Calc!$E1175="",Calc!$E1175="نامعتبر",Calc!$G1175=""),"",Calc!$G1175)</f>
        <v/>
      </c>
      <c r="B1171">
        <f>IF($A1171="","",LEFT(Calc!$E1175,4)&amp;MID(Calc!$E1175,6,2)&amp;RIGHT(Calc!$E1175,2)&amp;Calc!$Q1175&amp;"|"&amp;"1"&amp;RIGHT("00000"&amp;1166,5))</f>
        <v/>
      </c>
      <c r="C1171">
        <f>IF($B1171="","",COUNTIFS(LdgSellerA,$A1171,LdgKeyA,"&lt;"&amp;$B1171)+COUNTIFS(LdgSellerB,$A1171,LdgKeyB,"&lt;"&amp;$B1171)+1)</f>
        <v/>
      </c>
      <c r="D1171">
        <f>IF($C1171="","",$A1171&amp;"|"&amp;RIGHT("000000"&amp;$C1171,6))</f>
        <v/>
      </c>
      <c r="F1171">
        <f>IF(Sync!$AH1171="","",IF(LEFT(UPPER(TRIM(Sync!$AH1171)),2)="SL",UPPER(TRIM(Sync!$AH1171)),""))</f>
        <v/>
      </c>
      <c r="G1171">
        <f>IF($F1171="","",IF(Sync!$AE1171="","",IF(ISNUMBER(Sync!$AE1171),IF(AND(Sync!$AE1171&gt;=10000101,Sync!$AE1171&lt;=99991231),INT(Sync!$AE1171/10000),""),IFERROR(VALUE(TRIM(LEFT(Sync!$AE1171,FIND("/",Sync!$AE1171)-1))),""))))</f>
        <v/>
      </c>
      <c r="H1171">
        <f>IF(OR($F1171="",$G1171=""),"",IF(ISNUMBER(Sync!$AE1171),INT(MOD(Sync!$AE1171,10000)/100),IFERROR(VALUE(TRIM(LEFT(MID(Sync!$AE1171,FIND("/",Sync!$AE1171)+1,20),FIND("/",MID(Sync!$AE1171,FIND("/",Sync!$AE1171)+1,20))-1))),"")))</f>
        <v/>
      </c>
      <c r="I1171">
        <f>IF(OR($F1171="",$G1171=""),"",IF(ISNUMBER(Sync!$AE1171),MOD(Sync!$AE1171,100),IFERROR(VALUE(TRIM(MID(MID(Sync!$AE1171,FIND("/",Sync!$AE1171)+1,20),FIND("/",MID(Sync!$AE1171,FIND("/",Sync!$AE1171)+1,20))+1,20))),"")))</f>
        <v/>
      </c>
      <c r="J1171">
        <f>IF($F1171="","",IF(OR($G1171="",$H1171="",$I1171="",$G1171&lt;1300,$G1171&gt;1500,$H1171&lt;1,$H1171&gt;12,$I1171&lt;1,$I1171&gt;31),"نامعتبر",RIGHT("0000"&amp;$G1171,4)&amp;"/"&amp;RIGHT("00"&amp;$H1171,2)&amp;"/"&amp;RIGHT("00"&amp;$I1171,2)))</f>
        <v/>
      </c>
      <c r="K1171">
        <f>IF(OR($F1171="",$J1171="",$J1171="نامعتبر"),"",LEFT($J1171,4)&amp;MID($J1171,6,2)&amp;RIGHT($J1171,2)&amp;$N1171&amp;"|"&amp;"2"&amp;RIGHT("00000"&amp;1166,5))</f>
        <v/>
      </c>
      <c r="L1171">
        <f>IF($K1171="","",COUNTIFS(LdgSellerA,$F1171,LdgKeyA,"&lt;"&amp;$K1171)+COUNTIFS(LdgSellerB,$F1171,LdgKeyB,"&lt;"&amp;$K1171)+1)</f>
        <v/>
      </c>
      <c r="M1171">
        <f>IF($L1171="","",$F1171&amp;"|"&amp;RIGHT("000000"&amp;$L1171,6))</f>
        <v/>
      </c>
      <c r="N1171">
        <f>IF($F1171="","",IF(Sync!$AF1171="","0000",IF(AND(ISNUMBER(Sync!$AF1171),Sync!$AF1171&gt;=0,Sync!$AF1171&lt;1),RIGHT("00"&amp;HOUR(Sync!$AF1171),2)&amp;RIGHT("00"&amp;MINUTE(Sync!$AF1171),2),IFERROR(RIGHT("00"&amp;VALUE(LEFT(Sync!$AF1171,FIND(":",Sync!$AF1171)-1)),2)&amp;RIGHT("00"&amp;VALUE(MID(Sync!$AF1171,FIND(":",Sync!$AF1171)+1,2)),2),"0000"))))</f>
        <v/>
      </c>
    </row>
    <row r="1172">
      <c r="A1172">
        <f>IF(OR(Calc!$E1176="",Calc!$E1176="نامعتبر",Calc!$G1176=""),"",Calc!$G1176)</f>
        <v/>
      </c>
      <c r="B1172">
        <f>IF($A1172="","",LEFT(Calc!$E1176,4)&amp;MID(Calc!$E1176,6,2)&amp;RIGHT(Calc!$E1176,2)&amp;Calc!$Q1176&amp;"|"&amp;"1"&amp;RIGHT("00000"&amp;1167,5))</f>
        <v/>
      </c>
      <c r="C1172">
        <f>IF($B1172="","",COUNTIFS(LdgSellerA,$A1172,LdgKeyA,"&lt;"&amp;$B1172)+COUNTIFS(LdgSellerB,$A1172,LdgKeyB,"&lt;"&amp;$B1172)+1)</f>
        <v/>
      </c>
      <c r="D1172">
        <f>IF($C1172="","",$A1172&amp;"|"&amp;RIGHT("000000"&amp;$C1172,6))</f>
        <v/>
      </c>
      <c r="F1172">
        <f>IF(Sync!$AH1172="","",IF(LEFT(UPPER(TRIM(Sync!$AH1172)),2)="SL",UPPER(TRIM(Sync!$AH1172)),""))</f>
        <v/>
      </c>
      <c r="G1172">
        <f>IF($F1172="","",IF(Sync!$AE1172="","",IF(ISNUMBER(Sync!$AE1172),IF(AND(Sync!$AE1172&gt;=10000101,Sync!$AE1172&lt;=99991231),INT(Sync!$AE1172/10000),""),IFERROR(VALUE(TRIM(LEFT(Sync!$AE1172,FIND("/",Sync!$AE1172)-1))),""))))</f>
        <v/>
      </c>
      <c r="H1172">
        <f>IF(OR($F1172="",$G1172=""),"",IF(ISNUMBER(Sync!$AE1172),INT(MOD(Sync!$AE1172,10000)/100),IFERROR(VALUE(TRIM(LEFT(MID(Sync!$AE1172,FIND("/",Sync!$AE1172)+1,20),FIND("/",MID(Sync!$AE1172,FIND("/",Sync!$AE1172)+1,20))-1))),"")))</f>
        <v/>
      </c>
      <c r="I1172">
        <f>IF(OR($F1172="",$G1172=""),"",IF(ISNUMBER(Sync!$AE1172),MOD(Sync!$AE1172,100),IFERROR(VALUE(TRIM(MID(MID(Sync!$AE1172,FIND("/",Sync!$AE1172)+1,20),FIND("/",MID(Sync!$AE1172,FIND("/",Sync!$AE1172)+1,20))+1,20))),"")))</f>
        <v/>
      </c>
      <c r="J1172">
        <f>IF($F1172="","",IF(OR($G1172="",$H1172="",$I1172="",$G1172&lt;1300,$G1172&gt;1500,$H1172&lt;1,$H1172&gt;12,$I1172&lt;1,$I1172&gt;31),"نامعتبر",RIGHT("0000"&amp;$G1172,4)&amp;"/"&amp;RIGHT("00"&amp;$H1172,2)&amp;"/"&amp;RIGHT("00"&amp;$I1172,2)))</f>
        <v/>
      </c>
      <c r="K1172">
        <f>IF(OR($F1172="",$J1172="",$J1172="نامعتبر"),"",LEFT($J1172,4)&amp;MID($J1172,6,2)&amp;RIGHT($J1172,2)&amp;$N1172&amp;"|"&amp;"2"&amp;RIGHT("00000"&amp;1167,5))</f>
        <v/>
      </c>
      <c r="L1172">
        <f>IF($K1172="","",COUNTIFS(LdgSellerA,$F1172,LdgKeyA,"&lt;"&amp;$K1172)+COUNTIFS(LdgSellerB,$F1172,LdgKeyB,"&lt;"&amp;$K1172)+1)</f>
        <v/>
      </c>
      <c r="M1172">
        <f>IF($L1172="","",$F1172&amp;"|"&amp;RIGHT("000000"&amp;$L1172,6))</f>
        <v/>
      </c>
      <c r="N1172">
        <f>IF($F1172="","",IF(Sync!$AF1172="","0000",IF(AND(ISNUMBER(Sync!$AF1172),Sync!$AF1172&gt;=0,Sync!$AF1172&lt;1),RIGHT("00"&amp;HOUR(Sync!$AF1172),2)&amp;RIGHT("00"&amp;MINUTE(Sync!$AF1172),2),IFERROR(RIGHT("00"&amp;VALUE(LEFT(Sync!$AF1172,FIND(":",Sync!$AF1172)-1)),2)&amp;RIGHT("00"&amp;VALUE(MID(Sync!$AF1172,FIND(":",Sync!$AF1172)+1,2)),2),"0000"))))</f>
        <v/>
      </c>
    </row>
    <row r="1173">
      <c r="A1173">
        <f>IF(OR(Calc!$E1177="",Calc!$E1177="نامعتبر",Calc!$G1177=""),"",Calc!$G1177)</f>
        <v/>
      </c>
      <c r="B1173">
        <f>IF($A1173="","",LEFT(Calc!$E1177,4)&amp;MID(Calc!$E1177,6,2)&amp;RIGHT(Calc!$E1177,2)&amp;Calc!$Q1177&amp;"|"&amp;"1"&amp;RIGHT("00000"&amp;1168,5))</f>
        <v/>
      </c>
      <c r="C1173">
        <f>IF($B1173="","",COUNTIFS(LdgSellerA,$A1173,LdgKeyA,"&lt;"&amp;$B1173)+COUNTIFS(LdgSellerB,$A1173,LdgKeyB,"&lt;"&amp;$B1173)+1)</f>
        <v/>
      </c>
      <c r="D1173">
        <f>IF($C1173="","",$A1173&amp;"|"&amp;RIGHT("000000"&amp;$C1173,6))</f>
        <v/>
      </c>
      <c r="F1173">
        <f>IF(Sync!$AH1173="","",IF(LEFT(UPPER(TRIM(Sync!$AH1173)),2)="SL",UPPER(TRIM(Sync!$AH1173)),""))</f>
        <v/>
      </c>
      <c r="G1173">
        <f>IF($F1173="","",IF(Sync!$AE1173="","",IF(ISNUMBER(Sync!$AE1173),IF(AND(Sync!$AE1173&gt;=10000101,Sync!$AE1173&lt;=99991231),INT(Sync!$AE1173/10000),""),IFERROR(VALUE(TRIM(LEFT(Sync!$AE1173,FIND("/",Sync!$AE1173)-1))),""))))</f>
        <v/>
      </c>
      <c r="H1173">
        <f>IF(OR($F1173="",$G1173=""),"",IF(ISNUMBER(Sync!$AE1173),INT(MOD(Sync!$AE1173,10000)/100),IFERROR(VALUE(TRIM(LEFT(MID(Sync!$AE1173,FIND("/",Sync!$AE1173)+1,20),FIND("/",MID(Sync!$AE1173,FIND("/",Sync!$AE1173)+1,20))-1))),"")))</f>
        <v/>
      </c>
      <c r="I1173">
        <f>IF(OR($F1173="",$G1173=""),"",IF(ISNUMBER(Sync!$AE1173),MOD(Sync!$AE1173,100),IFERROR(VALUE(TRIM(MID(MID(Sync!$AE1173,FIND("/",Sync!$AE1173)+1,20),FIND("/",MID(Sync!$AE1173,FIND("/",Sync!$AE1173)+1,20))+1,20))),"")))</f>
        <v/>
      </c>
      <c r="J1173">
        <f>IF($F1173="","",IF(OR($G1173="",$H1173="",$I1173="",$G1173&lt;1300,$G1173&gt;1500,$H1173&lt;1,$H1173&gt;12,$I1173&lt;1,$I1173&gt;31),"نامعتبر",RIGHT("0000"&amp;$G1173,4)&amp;"/"&amp;RIGHT("00"&amp;$H1173,2)&amp;"/"&amp;RIGHT("00"&amp;$I1173,2)))</f>
        <v/>
      </c>
      <c r="K1173">
        <f>IF(OR($F1173="",$J1173="",$J1173="نامعتبر"),"",LEFT($J1173,4)&amp;MID($J1173,6,2)&amp;RIGHT($J1173,2)&amp;$N1173&amp;"|"&amp;"2"&amp;RIGHT("00000"&amp;1168,5))</f>
        <v/>
      </c>
      <c r="L1173">
        <f>IF($K1173="","",COUNTIFS(LdgSellerA,$F1173,LdgKeyA,"&lt;"&amp;$K1173)+COUNTIFS(LdgSellerB,$F1173,LdgKeyB,"&lt;"&amp;$K1173)+1)</f>
        <v/>
      </c>
      <c r="M1173">
        <f>IF($L1173="","",$F1173&amp;"|"&amp;RIGHT("000000"&amp;$L1173,6))</f>
        <v/>
      </c>
      <c r="N1173">
        <f>IF($F1173="","",IF(Sync!$AF1173="","0000",IF(AND(ISNUMBER(Sync!$AF1173),Sync!$AF1173&gt;=0,Sync!$AF1173&lt;1),RIGHT("00"&amp;HOUR(Sync!$AF1173),2)&amp;RIGHT("00"&amp;MINUTE(Sync!$AF1173),2),IFERROR(RIGHT("00"&amp;VALUE(LEFT(Sync!$AF1173,FIND(":",Sync!$AF1173)-1)),2)&amp;RIGHT("00"&amp;VALUE(MID(Sync!$AF1173,FIND(":",Sync!$AF1173)+1,2)),2),"0000"))))</f>
        <v/>
      </c>
    </row>
    <row r="1174">
      <c r="A1174">
        <f>IF(OR(Calc!$E1178="",Calc!$E1178="نامعتبر",Calc!$G1178=""),"",Calc!$G1178)</f>
        <v/>
      </c>
      <c r="B1174">
        <f>IF($A1174="","",LEFT(Calc!$E1178,4)&amp;MID(Calc!$E1178,6,2)&amp;RIGHT(Calc!$E1178,2)&amp;Calc!$Q1178&amp;"|"&amp;"1"&amp;RIGHT("00000"&amp;1169,5))</f>
        <v/>
      </c>
      <c r="C1174">
        <f>IF($B1174="","",COUNTIFS(LdgSellerA,$A1174,LdgKeyA,"&lt;"&amp;$B1174)+COUNTIFS(LdgSellerB,$A1174,LdgKeyB,"&lt;"&amp;$B1174)+1)</f>
        <v/>
      </c>
      <c r="D1174">
        <f>IF($C1174="","",$A1174&amp;"|"&amp;RIGHT("000000"&amp;$C1174,6))</f>
        <v/>
      </c>
      <c r="F1174">
        <f>IF(Sync!$AH1174="","",IF(LEFT(UPPER(TRIM(Sync!$AH1174)),2)="SL",UPPER(TRIM(Sync!$AH1174)),""))</f>
        <v/>
      </c>
      <c r="G1174">
        <f>IF($F1174="","",IF(Sync!$AE1174="","",IF(ISNUMBER(Sync!$AE1174),IF(AND(Sync!$AE1174&gt;=10000101,Sync!$AE1174&lt;=99991231),INT(Sync!$AE1174/10000),""),IFERROR(VALUE(TRIM(LEFT(Sync!$AE1174,FIND("/",Sync!$AE1174)-1))),""))))</f>
        <v/>
      </c>
      <c r="H1174">
        <f>IF(OR($F1174="",$G1174=""),"",IF(ISNUMBER(Sync!$AE1174),INT(MOD(Sync!$AE1174,10000)/100),IFERROR(VALUE(TRIM(LEFT(MID(Sync!$AE1174,FIND("/",Sync!$AE1174)+1,20),FIND("/",MID(Sync!$AE1174,FIND("/",Sync!$AE1174)+1,20))-1))),"")))</f>
        <v/>
      </c>
      <c r="I1174">
        <f>IF(OR($F1174="",$G1174=""),"",IF(ISNUMBER(Sync!$AE1174),MOD(Sync!$AE1174,100),IFERROR(VALUE(TRIM(MID(MID(Sync!$AE1174,FIND("/",Sync!$AE1174)+1,20),FIND("/",MID(Sync!$AE1174,FIND("/",Sync!$AE1174)+1,20))+1,20))),"")))</f>
        <v/>
      </c>
      <c r="J1174">
        <f>IF($F1174="","",IF(OR($G1174="",$H1174="",$I1174="",$G1174&lt;1300,$G1174&gt;1500,$H1174&lt;1,$H1174&gt;12,$I1174&lt;1,$I1174&gt;31),"نامعتبر",RIGHT("0000"&amp;$G1174,4)&amp;"/"&amp;RIGHT("00"&amp;$H1174,2)&amp;"/"&amp;RIGHT("00"&amp;$I1174,2)))</f>
        <v/>
      </c>
      <c r="K1174">
        <f>IF(OR($F1174="",$J1174="",$J1174="نامعتبر"),"",LEFT($J1174,4)&amp;MID($J1174,6,2)&amp;RIGHT($J1174,2)&amp;$N1174&amp;"|"&amp;"2"&amp;RIGHT("00000"&amp;1169,5))</f>
        <v/>
      </c>
      <c r="L1174">
        <f>IF($K1174="","",COUNTIFS(LdgSellerA,$F1174,LdgKeyA,"&lt;"&amp;$K1174)+COUNTIFS(LdgSellerB,$F1174,LdgKeyB,"&lt;"&amp;$K1174)+1)</f>
        <v/>
      </c>
      <c r="M1174">
        <f>IF($L1174="","",$F1174&amp;"|"&amp;RIGHT("000000"&amp;$L1174,6))</f>
        <v/>
      </c>
      <c r="N1174">
        <f>IF($F1174="","",IF(Sync!$AF1174="","0000",IF(AND(ISNUMBER(Sync!$AF1174),Sync!$AF1174&gt;=0,Sync!$AF1174&lt;1),RIGHT("00"&amp;HOUR(Sync!$AF1174),2)&amp;RIGHT("00"&amp;MINUTE(Sync!$AF1174),2),IFERROR(RIGHT("00"&amp;VALUE(LEFT(Sync!$AF1174,FIND(":",Sync!$AF1174)-1)),2)&amp;RIGHT("00"&amp;VALUE(MID(Sync!$AF1174,FIND(":",Sync!$AF1174)+1,2)),2),"0000"))))</f>
        <v/>
      </c>
    </row>
    <row r="1175">
      <c r="A1175">
        <f>IF(OR(Calc!$E1179="",Calc!$E1179="نامعتبر",Calc!$G1179=""),"",Calc!$G1179)</f>
        <v/>
      </c>
      <c r="B1175">
        <f>IF($A1175="","",LEFT(Calc!$E1179,4)&amp;MID(Calc!$E1179,6,2)&amp;RIGHT(Calc!$E1179,2)&amp;Calc!$Q1179&amp;"|"&amp;"1"&amp;RIGHT("00000"&amp;1170,5))</f>
        <v/>
      </c>
      <c r="C1175">
        <f>IF($B1175="","",COUNTIFS(LdgSellerA,$A1175,LdgKeyA,"&lt;"&amp;$B1175)+COUNTIFS(LdgSellerB,$A1175,LdgKeyB,"&lt;"&amp;$B1175)+1)</f>
        <v/>
      </c>
      <c r="D1175">
        <f>IF($C1175="","",$A1175&amp;"|"&amp;RIGHT("000000"&amp;$C1175,6))</f>
        <v/>
      </c>
      <c r="F1175">
        <f>IF(Sync!$AH1175="","",IF(LEFT(UPPER(TRIM(Sync!$AH1175)),2)="SL",UPPER(TRIM(Sync!$AH1175)),""))</f>
        <v/>
      </c>
      <c r="G1175">
        <f>IF($F1175="","",IF(Sync!$AE1175="","",IF(ISNUMBER(Sync!$AE1175),IF(AND(Sync!$AE1175&gt;=10000101,Sync!$AE1175&lt;=99991231),INT(Sync!$AE1175/10000),""),IFERROR(VALUE(TRIM(LEFT(Sync!$AE1175,FIND("/",Sync!$AE1175)-1))),""))))</f>
        <v/>
      </c>
      <c r="H1175">
        <f>IF(OR($F1175="",$G1175=""),"",IF(ISNUMBER(Sync!$AE1175),INT(MOD(Sync!$AE1175,10000)/100),IFERROR(VALUE(TRIM(LEFT(MID(Sync!$AE1175,FIND("/",Sync!$AE1175)+1,20),FIND("/",MID(Sync!$AE1175,FIND("/",Sync!$AE1175)+1,20))-1))),"")))</f>
        <v/>
      </c>
      <c r="I1175">
        <f>IF(OR($F1175="",$G1175=""),"",IF(ISNUMBER(Sync!$AE1175),MOD(Sync!$AE1175,100),IFERROR(VALUE(TRIM(MID(MID(Sync!$AE1175,FIND("/",Sync!$AE1175)+1,20),FIND("/",MID(Sync!$AE1175,FIND("/",Sync!$AE1175)+1,20))+1,20))),"")))</f>
        <v/>
      </c>
      <c r="J1175">
        <f>IF($F1175="","",IF(OR($G1175="",$H1175="",$I1175="",$G1175&lt;1300,$G1175&gt;1500,$H1175&lt;1,$H1175&gt;12,$I1175&lt;1,$I1175&gt;31),"نامعتبر",RIGHT("0000"&amp;$G1175,4)&amp;"/"&amp;RIGHT("00"&amp;$H1175,2)&amp;"/"&amp;RIGHT("00"&amp;$I1175,2)))</f>
        <v/>
      </c>
      <c r="K1175">
        <f>IF(OR($F1175="",$J1175="",$J1175="نامعتبر"),"",LEFT($J1175,4)&amp;MID($J1175,6,2)&amp;RIGHT($J1175,2)&amp;$N1175&amp;"|"&amp;"2"&amp;RIGHT("00000"&amp;1170,5))</f>
        <v/>
      </c>
      <c r="L1175">
        <f>IF($K1175="","",COUNTIFS(LdgSellerA,$F1175,LdgKeyA,"&lt;"&amp;$K1175)+COUNTIFS(LdgSellerB,$F1175,LdgKeyB,"&lt;"&amp;$K1175)+1)</f>
        <v/>
      </c>
      <c r="M1175">
        <f>IF($L1175="","",$F1175&amp;"|"&amp;RIGHT("000000"&amp;$L1175,6))</f>
        <v/>
      </c>
      <c r="N1175">
        <f>IF($F1175="","",IF(Sync!$AF1175="","0000",IF(AND(ISNUMBER(Sync!$AF1175),Sync!$AF1175&gt;=0,Sync!$AF1175&lt;1),RIGHT("00"&amp;HOUR(Sync!$AF1175),2)&amp;RIGHT("00"&amp;MINUTE(Sync!$AF1175),2),IFERROR(RIGHT("00"&amp;VALUE(LEFT(Sync!$AF1175,FIND(":",Sync!$AF1175)-1)),2)&amp;RIGHT("00"&amp;VALUE(MID(Sync!$AF1175,FIND(":",Sync!$AF1175)+1,2)),2),"0000"))))</f>
        <v/>
      </c>
    </row>
    <row r="1176">
      <c r="A1176">
        <f>IF(OR(Calc!$E1180="",Calc!$E1180="نامعتبر",Calc!$G1180=""),"",Calc!$G1180)</f>
        <v/>
      </c>
      <c r="B1176">
        <f>IF($A1176="","",LEFT(Calc!$E1180,4)&amp;MID(Calc!$E1180,6,2)&amp;RIGHT(Calc!$E1180,2)&amp;Calc!$Q1180&amp;"|"&amp;"1"&amp;RIGHT("00000"&amp;1171,5))</f>
        <v/>
      </c>
      <c r="C1176">
        <f>IF($B1176="","",COUNTIFS(LdgSellerA,$A1176,LdgKeyA,"&lt;"&amp;$B1176)+COUNTIFS(LdgSellerB,$A1176,LdgKeyB,"&lt;"&amp;$B1176)+1)</f>
        <v/>
      </c>
      <c r="D1176">
        <f>IF($C1176="","",$A1176&amp;"|"&amp;RIGHT("000000"&amp;$C1176,6))</f>
        <v/>
      </c>
      <c r="F1176">
        <f>IF(Sync!$AH1176="","",IF(LEFT(UPPER(TRIM(Sync!$AH1176)),2)="SL",UPPER(TRIM(Sync!$AH1176)),""))</f>
        <v/>
      </c>
      <c r="G1176">
        <f>IF($F1176="","",IF(Sync!$AE1176="","",IF(ISNUMBER(Sync!$AE1176),IF(AND(Sync!$AE1176&gt;=10000101,Sync!$AE1176&lt;=99991231),INT(Sync!$AE1176/10000),""),IFERROR(VALUE(TRIM(LEFT(Sync!$AE1176,FIND("/",Sync!$AE1176)-1))),""))))</f>
        <v/>
      </c>
      <c r="H1176">
        <f>IF(OR($F1176="",$G1176=""),"",IF(ISNUMBER(Sync!$AE1176),INT(MOD(Sync!$AE1176,10000)/100),IFERROR(VALUE(TRIM(LEFT(MID(Sync!$AE1176,FIND("/",Sync!$AE1176)+1,20),FIND("/",MID(Sync!$AE1176,FIND("/",Sync!$AE1176)+1,20))-1))),"")))</f>
        <v/>
      </c>
      <c r="I1176">
        <f>IF(OR($F1176="",$G1176=""),"",IF(ISNUMBER(Sync!$AE1176),MOD(Sync!$AE1176,100),IFERROR(VALUE(TRIM(MID(MID(Sync!$AE1176,FIND("/",Sync!$AE1176)+1,20),FIND("/",MID(Sync!$AE1176,FIND("/",Sync!$AE1176)+1,20))+1,20))),"")))</f>
        <v/>
      </c>
      <c r="J1176">
        <f>IF($F1176="","",IF(OR($G1176="",$H1176="",$I1176="",$G1176&lt;1300,$G1176&gt;1500,$H1176&lt;1,$H1176&gt;12,$I1176&lt;1,$I1176&gt;31),"نامعتبر",RIGHT("0000"&amp;$G1176,4)&amp;"/"&amp;RIGHT("00"&amp;$H1176,2)&amp;"/"&amp;RIGHT("00"&amp;$I1176,2)))</f>
        <v/>
      </c>
      <c r="K1176">
        <f>IF(OR($F1176="",$J1176="",$J1176="نامعتبر"),"",LEFT($J1176,4)&amp;MID($J1176,6,2)&amp;RIGHT($J1176,2)&amp;$N1176&amp;"|"&amp;"2"&amp;RIGHT("00000"&amp;1171,5))</f>
        <v/>
      </c>
      <c r="L1176">
        <f>IF($K1176="","",COUNTIFS(LdgSellerA,$F1176,LdgKeyA,"&lt;"&amp;$K1176)+COUNTIFS(LdgSellerB,$F1176,LdgKeyB,"&lt;"&amp;$K1176)+1)</f>
        <v/>
      </c>
      <c r="M1176">
        <f>IF($L1176="","",$F1176&amp;"|"&amp;RIGHT("000000"&amp;$L1176,6))</f>
        <v/>
      </c>
      <c r="N1176">
        <f>IF($F1176="","",IF(Sync!$AF1176="","0000",IF(AND(ISNUMBER(Sync!$AF1176),Sync!$AF1176&gt;=0,Sync!$AF1176&lt;1),RIGHT("00"&amp;HOUR(Sync!$AF1176),2)&amp;RIGHT("00"&amp;MINUTE(Sync!$AF1176),2),IFERROR(RIGHT("00"&amp;VALUE(LEFT(Sync!$AF1176,FIND(":",Sync!$AF1176)-1)),2)&amp;RIGHT("00"&amp;VALUE(MID(Sync!$AF1176,FIND(":",Sync!$AF1176)+1,2)),2),"0000"))))</f>
        <v/>
      </c>
    </row>
    <row r="1177">
      <c r="A1177">
        <f>IF(OR(Calc!$E1181="",Calc!$E1181="نامعتبر",Calc!$G1181=""),"",Calc!$G1181)</f>
        <v/>
      </c>
      <c r="B1177">
        <f>IF($A1177="","",LEFT(Calc!$E1181,4)&amp;MID(Calc!$E1181,6,2)&amp;RIGHT(Calc!$E1181,2)&amp;Calc!$Q1181&amp;"|"&amp;"1"&amp;RIGHT("00000"&amp;1172,5))</f>
        <v/>
      </c>
      <c r="C1177">
        <f>IF($B1177="","",COUNTIFS(LdgSellerA,$A1177,LdgKeyA,"&lt;"&amp;$B1177)+COUNTIFS(LdgSellerB,$A1177,LdgKeyB,"&lt;"&amp;$B1177)+1)</f>
        <v/>
      </c>
      <c r="D1177">
        <f>IF($C1177="","",$A1177&amp;"|"&amp;RIGHT("000000"&amp;$C1177,6))</f>
        <v/>
      </c>
      <c r="F1177">
        <f>IF(Sync!$AH1177="","",IF(LEFT(UPPER(TRIM(Sync!$AH1177)),2)="SL",UPPER(TRIM(Sync!$AH1177)),""))</f>
        <v/>
      </c>
      <c r="G1177">
        <f>IF($F1177="","",IF(Sync!$AE1177="","",IF(ISNUMBER(Sync!$AE1177),IF(AND(Sync!$AE1177&gt;=10000101,Sync!$AE1177&lt;=99991231),INT(Sync!$AE1177/10000),""),IFERROR(VALUE(TRIM(LEFT(Sync!$AE1177,FIND("/",Sync!$AE1177)-1))),""))))</f>
        <v/>
      </c>
      <c r="H1177">
        <f>IF(OR($F1177="",$G1177=""),"",IF(ISNUMBER(Sync!$AE1177),INT(MOD(Sync!$AE1177,10000)/100),IFERROR(VALUE(TRIM(LEFT(MID(Sync!$AE1177,FIND("/",Sync!$AE1177)+1,20),FIND("/",MID(Sync!$AE1177,FIND("/",Sync!$AE1177)+1,20))-1))),"")))</f>
        <v/>
      </c>
      <c r="I1177">
        <f>IF(OR($F1177="",$G1177=""),"",IF(ISNUMBER(Sync!$AE1177),MOD(Sync!$AE1177,100),IFERROR(VALUE(TRIM(MID(MID(Sync!$AE1177,FIND("/",Sync!$AE1177)+1,20),FIND("/",MID(Sync!$AE1177,FIND("/",Sync!$AE1177)+1,20))+1,20))),"")))</f>
        <v/>
      </c>
      <c r="J1177">
        <f>IF($F1177="","",IF(OR($G1177="",$H1177="",$I1177="",$G1177&lt;1300,$G1177&gt;1500,$H1177&lt;1,$H1177&gt;12,$I1177&lt;1,$I1177&gt;31),"نامعتبر",RIGHT("0000"&amp;$G1177,4)&amp;"/"&amp;RIGHT("00"&amp;$H1177,2)&amp;"/"&amp;RIGHT("00"&amp;$I1177,2)))</f>
        <v/>
      </c>
      <c r="K1177">
        <f>IF(OR($F1177="",$J1177="",$J1177="نامعتبر"),"",LEFT($J1177,4)&amp;MID($J1177,6,2)&amp;RIGHT($J1177,2)&amp;$N1177&amp;"|"&amp;"2"&amp;RIGHT("00000"&amp;1172,5))</f>
        <v/>
      </c>
      <c r="L1177">
        <f>IF($K1177="","",COUNTIFS(LdgSellerA,$F1177,LdgKeyA,"&lt;"&amp;$K1177)+COUNTIFS(LdgSellerB,$F1177,LdgKeyB,"&lt;"&amp;$K1177)+1)</f>
        <v/>
      </c>
      <c r="M1177">
        <f>IF($L1177="","",$F1177&amp;"|"&amp;RIGHT("000000"&amp;$L1177,6))</f>
        <v/>
      </c>
      <c r="N1177">
        <f>IF($F1177="","",IF(Sync!$AF1177="","0000",IF(AND(ISNUMBER(Sync!$AF1177),Sync!$AF1177&gt;=0,Sync!$AF1177&lt;1),RIGHT("00"&amp;HOUR(Sync!$AF1177),2)&amp;RIGHT("00"&amp;MINUTE(Sync!$AF1177),2),IFERROR(RIGHT("00"&amp;VALUE(LEFT(Sync!$AF1177,FIND(":",Sync!$AF1177)-1)),2)&amp;RIGHT("00"&amp;VALUE(MID(Sync!$AF1177,FIND(":",Sync!$AF1177)+1,2)),2),"0000"))))</f>
        <v/>
      </c>
    </row>
    <row r="1178">
      <c r="A1178">
        <f>IF(OR(Calc!$E1182="",Calc!$E1182="نامعتبر",Calc!$G1182=""),"",Calc!$G1182)</f>
        <v/>
      </c>
      <c r="B1178">
        <f>IF($A1178="","",LEFT(Calc!$E1182,4)&amp;MID(Calc!$E1182,6,2)&amp;RIGHT(Calc!$E1182,2)&amp;Calc!$Q1182&amp;"|"&amp;"1"&amp;RIGHT("00000"&amp;1173,5))</f>
        <v/>
      </c>
      <c r="C1178">
        <f>IF($B1178="","",COUNTIFS(LdgSellerA,$A1178,LdgKeyA,"&lt;"&amp;$B1178)+COUNTIFS(LdgSellerB,$A1178,LdgKeyB,"&lt;"&amp;$B1178)+1)</f>
        <v/>
      </c>
      <c r="D1178">
        <f>IF($C1178="","",$A1178&amp;"|"&amp;RIGHT("000000"&amp;$C1178,6))</f>
        <v/>
      </c>
      <c r="F1178">
        <f>IF(Sync!$AH1178="","",IF(LEFT(UPPER(TRIM(Sync!$AH1178)),2)="SL",UPPER(TRIM(Sync!$AH1178)),""))</f>
        <v/>
      </c>
      <c r="G1178">
        <f>IF($F1178="","",IF(Sync!$AE1178="","",IF(ISNUMBER(Sync!$AE1178),IF(AND(Sync!$AE1178&gt;=10000101,Sync!$AE1178&lt;=99991231),INT(Sync!$AE1178/10000),""),IFERROR(VALUE(TRIM(LEFT(Sync!$AE1178,FIND("/",Sync!$AE1178)-1))),""))))</f>
        <v/>
      </c>
      <c r="H1178">
        <f>IF(OR($F1178="",$G1178=""),"",IF(ISNUMBER(Sync!$AE1178),INT(MOD(Sync!$AE1178,10000)/100),IFERROR(VALUE(TRIM(LEFT(MID(Sync!$AE1178,FIND("/",Sync!$AE1178)+1,20),FIND("/",MID(Sync!$AE1178,FIND("/",Sync!$AE1178)+1,20))-1))),"")))</f>
        <v/>
      </c>
      <c r="I1178">
        <f>IF(OR($F1178="",$G1178=""),"",IF(ISNUMBER(Sync!$AE1178),MOD(Sync!$AE1178,100),IFERROR(VALUE(TRIM(MID(MID(Sync!$AE1178,FIND("/",Sync!$AE1178)+1,20),FIND("/",MID(Sync!$AE1178,FIND("/",Sync!$AE1178)+1,20))+1,20))),"")))</f>
        <v/>
      </c>
      <c r="J1178">
        <f>IF($F1178="","",IF(OR($G1178="",$H1178="",$I1178="",$G1178&lt;1300,$G1178&gt;1500,$H1178&lt;1,$H1178&gt;12,$I1178&lt;1,$I1178&gt;31),"نامعتبر",RIGHT("0000"&amp;$G1178,4)&amp;"/"&amp;RIGHT("00"&amp;$H1178,2)&amp;"/"&amp;RIGHT("00"&amp;$I1178,2)))</f>
        <v/>
      </c>
      <c r="K1178">
        <f>IF(OR($F1178="",$J1178="",$J1178="نامعتبر"),"",LEFT($J1178,4)&amp;MID($J1178,6,2)&amp;RIGHT($J1178,2)&amp;$N1178&amp;"|"&amp;"2"&amp;RIGHT("00000"&amp;1173,5))</f>
        <v/>
      </c>
      <c r="L1178">
        <f>IF($K1178="","",COUNTIFS(LdgSellerA,$F1178,LdgKeyA,"&lt;"&amp;$K1178)+COUNTIFS(LdgSellerB,$F1178,LdgKeyB,"&lt;"&amp;$K1178)+1)</f>
        <v/>
      </c>
      <c r="M1178">
        <f>IF($L1178="","",$F1178&amp;"|"&amp;RIGHT("000000"&amp;$L1178,6))</f>
        <v/>
      </c>
      <c r="N1178">
        <f>IF($F1178="","",IF(Sync!$AF1178="","0000",IF(AND(ISNUMBER(Sync!$AF1178),Sync!$AF1178&gt;=0,Sync!$AF1178&lt;1),RIGHT("00"&amp;HOUR(Sync!$AF1178),2)&amp;RIGHT("00"&amp;MINUTE(Sync!$AF1178),2),IFERROR(RIGHT("00"&amp;VALUE(LEFT(Sync!$AF1178,FIND(":",Sync!$AF1178)-1)),2)&amp;RIGHT("00"&amp;VALUE(MID(Sync!$AF1178,FIND(":",Sync!$AF1178)+1,2)),2),"0000"))))</f>
        <v/>
      </c>
    </row>
    <row r="1179">
      <c r="A1179">
        <f>IF(OR(Calc!$E1183="",Calc!$E1183="نامعتبر",Calc!$G1183=""),"",Calc!$G1183)</f>
        <v/>
      </c>
      <c r="B1179">
        <f>IF($A1179="","",LEFT(Calc!$E1183,4)&amp;MID(Calc!$E1183,6,2)&amp;RIGHT(Calc!$E1183,2)&amp;Calc!$Q1183&amp;"|"&amp;"1"&amp;RIGHT("00000"&amp;1174,5))</f>
        <v/>
      </c>
      <c r="C1179">
        <f>IF($B1179="","",COUNTIFS(LdgSellerA,$A1179,LdgKeyA,"&lt;"&amp;$B1179)+COUNTIFS(LdgSellerB,$A1179,LdgKeyB,"&lt;"&amp;$B1179)+1)</f>
        <v/>
      </c>
      <c r="D1179">
        <f>IF($C1179="","",$A1179&amp;"|"&amp;RIGHT("000000"&amp;$C1179,6))</f>
        <v/>
      </c>
      <c r="F1179">
        <f>IF(Sync!$AH1179="","",IF(LEFT(UPPER(TRIM(Sync!$AH1179)),2)="SL",UPPER(TRIM(Sync!$AH1179)),""))</f>
        <v/>
      </c>
      <c r="G1179">
        <f>IF($F1179="","",IF(Sync!$AE1179="","",IF(ISNUMBER(Sync!$AE1179),IF(AND(Sync!$AE1179&gt;=10000101,Sync!$AE1179&lt;=99991231),INT(Sync!$AE1179/10000),""),IFERROR(VALUE(TRIM(LEFT(Sync!$AE1179,FIND("/",Sync!$AE1179)-1))),""))))</f>
        <v/>
      </c>
      <c r="H1179">
        <f>IF(OR($F1179="",$G1179=""),"",IF(ISNUMBER(Sync!$AE1179),INT(MOD(Sync!$AE1179,10000)/100),IFERROR(VALUE(TRIM(LEFT(MID(Sync!$AE1179,FIND("/",Sync!$AE1179)+1,20),FIND("/",MID(Sync!$AE1179,FIND("/",Sync!$AE1179)+1,20))-1))),"")))</f>
        <v/>
      </c>
      <c r="I1179">
        <f>IF(OR($F1179="",$G1179=""),"",IF(ISNUMBER(Sync!$AE1179),MOD(Sync!$AE1179,100),IFERROR(VALUE(TRIM(MID(MID(Sync!$AE1179,FIND("/",Sync!$AE1179)+1,20),FIND("/",MID(Sync!$AE1179,FIND("/",Sync!$AE1179)+1,20))+1,20))),"")))</f>
        <v/>
      </c>
      <c r="J1179">
        <f>IF($F1179="","",IF(OR($G1179="",$H1179="",$I1179="",$G1179&lt;1300,$G1179&gt;1500,$H1179&lt;1,$H1179&gt;12,$I1179&lt;1,$I1179&gt;31),"نامعتبر",RIGHT("0000"&amp;$G1179,4)&amp;"/"&amp;RIGHT("00"&amp;$H1179,2)&amp;"/"&amp;RIGHT("00"&amp;$I1179,2)))</f>
        <v/>
      </c>
      <c r="K1179">
        <f>IF(OR($F1179="",$J1179="",$J1179="نامعتبر"),"",LEFT($J1179,4)&amp;MID($J1179,6,2)&amp;RIGHT($J1179,2)&amp;$N1179&amp;"|"&amp;"2"&amp;RIGHT("00000"&amp;1174,5))</f>
        <v/>
      </c>
      <c r="L1179">
        <f>IF($K1179="","",COUNTIFS(LdgSellerA,$F1179,LdgKeyA,"&lt;"&amp;$K1179)+COUNTIFS(LdgSellerB,$F1179,LdgKeyB,"&lt;"&amp;$K1179)+1)</f>
        <v/>
      </c>
      <c r="M1179">
        <f>IF($L1179="","",$F1179&amp;"|"&amp;RIGHT("000000"&amp;$L1179,6))</f>
        <v/>
      </c>
      <c r="N1179">
        <f>IF($F1179="","",IF(Sync!$AF1179="","0000",IF(AND(ISNUMBER(Sync!$AF1179),Sync!$AF1179&gt;=0,Sync!$AF1179&lt;1),RIGHT("00"&amp;HOUR(Sync!$AF1179),2)&amp;RIGHT("00"&amp;MINUTE(Sync!$AF1179),2),IFERROR(RIGHT("00"&amp;VALUE(LEFT(Sync!$AF1179,FIND(":",Sync!$AF1179)-1)),2)&amp;RIGHT("00"&amp;VALUE(MID(Sync!$AF1179,FIND(":",Sync!$AF1179)+1,2)),2),"0000"))))</f>
        <v/>
      </c>
    </row>
    <row r="1180">
      <c r="A1180">
        <f>IF(OR(Calc!$E1184="",Calc!$E1184="نامعتبر",Calc!$G1184=""),"",Calc!$G1184)</f>
        <v/>
      </c>
      <c r="B1180">
        <f>IF($A1180="","",LEFT(Calc!$E1184,4)&amp;MID(Calc!$E1184,6,2)&amp;RIGHT(Calc!$E1184,2)&amp;Calc!$Q1184&amp;"|"&amp;"1"&amp;RIGHT("00000"&amp;1175,5))</f>
        <v/>
      </c>
      <c r="C1180">
        <f>IF($B1180="","",COUNTIFS(LdgSellerA,$A1180,LdgKeyA,"&lt;"&amp;$B1180)+COUNTIFS(LdgSellerB,$A1180,LdgKeyB,"&lt;"&amp;$B1180)+1)</f>
        <v/>
      </c>
      <c r="D1180">
        <f>IF($C1180="","",$A1180&amp;"|"&amp;RIGHT("000000"&amp;$C1180,6))</f>
        <v/>
      </c>
      <c r="F1180">
        <f>IF(Sync!$AH1180="","",IF(LEFT(UPPER(TRIM(Sync!$AH1180)),2)="SL",UPPER(TRIM(Sync!$AH1180)),""))</f>
        <v/>
      </c>
      <c r="G1180">
        <f>IF($F1180="","",IF(Sync!$AE1180="","",IF(ISNUMBER(Sync!$AE1180),IF(AND(Sync!$AE1180&gt;=10000101,Sync!$AE1180&lt;=99991231),INT(Sync!$AE1180/10000),""),IFERROR(VALUE(TRIM(LEFT(Sync!$AE1180,FIND("/",Sync!$AE1180)-1))),""))))</f>
        <v/>
      </c>
      <c r="H1180">
        <f>IF(OR($F1180="",$G1180=""),"",IF(ISNUMBER(Sync!$AE1180),INT(MOD(Sync!$AE1180,10000)/100),IFERROR(VALUE(TRIM(LEFT(MID(Sync!$AE1180,FIND("/",Sync!$AE1180)+1,20),FIND("/",MID(Sync!$AE1180,FIND("/",Sync!$AE1180)+1,20))-1))),"")))</f>
        <v/>
      </c>
      <c r="I1180">
        <f>IF(OR($F1180="",$G1180=""),"",IF(ISNUMBER(Sync!$AE1180),MOD(Sync!$AE1180,100),IFERROR(VALUE(TRIM(MID(MID(Sync!$AE1180,FIND("/",Sync!$AE1180)+1,20),FIND("/",MID(Sync!$AE1180,FIND("/",Sync!$AE1180)+1,20))+1,20))),"")))</f>
        <v/>
      </c>
      <c r="J1180">
        <f>IF($F1180="","",IF(OR($G1180="",$H1180="",$I1180="",$G1180&lt;1300,$G1180&gt;1500,$H1180&lt;1,$H1180&gt;12,$I1180&lt;1,$I1180&gt;31),"نامعتبر",RIGHT("0000"&amp;$G1180,4)&amp;"/"&amp;RIGHT("00"&amp;$H1180,2)&amp;"/"&amp;RIGHT("00"&amp;$I1180,2)))</f>
        <v/>
      </c>
      <c r="K1180">
        <f>IF(OR($F1180="",$J1180="",$J1180="نامعتبر"),"",LEFT($J1180,4)&amp;MID($J1180,6,2)&amp;RIGHT($J1180,2)&amp;$N1180&amp;"|"&amp;"2"&amp;RIGHT("00000"&amp;1175,5))</f>
        <v/>
      </c>
      <c r="L1180">
        <f>IF($K1180="","",COUNTIFS(LdgSellerA,$F1180,LdgKeyA,"&lt;"&amp;$K1180)+COUNTIFS(LdgSellerB,$F1180,LdgKeyB,"&lt;"&amp;$K1180)+1)</f>
        <v/>
      </c>
      <c r="M1180">
        <f>IF($L1180="","",$F1180&amp;"|"&amp;RIGHT("000000"&amp;$L1180,6))</f>
        <v/>
      </c>
      <c r="N1180">
        <f>IF($F1180="","",IF(Sync!$AF1180="","0000",IF(AND(ISNUMBER(Sync!$AF1180),Sync!$AF1180&gt;=0,Sync!$AF1180&lt;1),RIGHT("00"&amp;HOUR(Sync!$AF1180),2)&amp;RIGHT("00"&amp;MINUTE(Sync!$AF1180),2),IFERROR(RIGHT("00"&amp;VALUE(LEFT(Sync!$AF1180,FIND(":",Sync!$AF1180)-1)),2)&amp;RIGHT("00"&amp;VALUE(MID(Sync!$AF1180,FIND(":",Sync!$AF1180)+1,2)),2),"0000"))))</f>
        <v/>
      </c>
    </row>
    <row r="1181">
      <c r="A1181">
        <f>IF(OR(Calc!$E1185="",Calc!$E1185="نامعتبر",Calc!$G1185=""),"",Calc!$G1185)</f>
        <v/>
      </c>
      <c r="B1181">
        <f>IF($A1181="","",LEFT(Calc!$E1185,4)&amp;MID(Calc!$E1185,6,2)&amp;RIGHT(Calc!$E1185,2)&amp;Calc!$Q1185&amp;"|"&amp;"1"&amp;RIGHT("00000"&amp;1176,5))</f>
        <v/>
      </c>
      <c r="C1181">
        <f>IF($B1181="","",COUNTIFS(LdgSellerA,$A1181,LdgKeyA,"&lt;"&amp;$B1181)+COUNTIFS(LdgSellerB,$A1181,LdgKeyB,"&lt;"&amp;$B1181)+1)</f>
        <v/>
      </c>
      <c r="D1181">
        <f>IF($C1181="","",$A1181&amp;"|"&amp;RIGHT("000000"&amp;$C1181,6))</f>
        <v/>
      </c>
      <c r="F1181">
        <f>IF(Sync!$AH1181="","",IF(LEFT(UPPER(TRIM(Sync!$AH1181)),2)="SL",UPPER(TRIM(Sync!$AH1181)),""))</f>
        <v/>
      </c>
      <c r="G1181">
        <f>IF($F1181="","",IF(Sync!$AE1181="","",IF(ISNUMBER(Sync!$AE1181),IF(AND(Sync!$AE1181&gt;=10000101,Sync!$AE1181&lt;=99991231),INT(Sync!$AE1181/10000),""),IFERROR(VALUE(TRIM(LEFT(Sync!$AE1181,FIND("/",Sync!$AE1181)-1))),""))))</f>
        <v/>
      </c>
      <c r="H1181">
        <f>IF(OR($F1181="",$G1181=""),"",IF(ISNUMBER(Sync!$AE1181),INT(MOD(Sync!$AE1181,10000)/100),IFERROR(VALUE(TRIM(LEFT(MID(Sync!$AE1181,FIND("/",Sync!$AE1181)+1,20),FIND("/",MID(Sync!$AE1181,FIND("/",Sync!$AE1181)+1,20))-1))),"")))</f>
        <v/>
      </c>
      <c r="I1181">
        <f>IF(OR($F1181="",$G1181=""),"",IF(ISNUMBER(Sync!$AE1181),MOD(Sync!$AE1181,100),IFERROR(VALUE(TRIM(MID(MID(Sync!$AE1181,FIND("/",Sync!$AE1181)+1,20),FIND("/",MID(Sync!$AE1181,FIND("/",Sync!$AE1181)+1,20))+1,20))),"")))</f>
        <v/>
      </c>
      <c r="J1181">
        <f>IF($F1181="","",IF(OR($G1181="",$H1181="",$I1181="",$G1181&lt;1300,$G1181&gt;1500,$H1181&lt;1,$H1181&gt;12,$I1181&lt;1,$I1181&gt;31),"نامعتبر",RIGHT("0000"&amp;$G1181,4)&amp;"/"&amp;RIGHT("00"&amp;$H1181,2)&amp;"/"&amp;RIGHT("00"&amp;$I1181,2)))</f>
        <v/>
      </c>
      <c r="K1181">
        <f>IF(OR($F1181="",$J1181="",$J1181="نامعتبر"),"",LEFT($J1181,4)&amp;MID($J1181,6,2)&amp;RIGHT($J1181,2)&amp;$N1181&amp;"|"&amp;"2"&amp;RIGHT("00000"&amp;1176,5))</f>
        <v/>
      </c>
      <c r="L1181">
        <f>IF($K1181="","",COUNTIFS(LdgSellerA,$F1181,LdgKeyA,"&lt;"&amp;$K1181)+COUNTIFS(LdgSellerB,$F1181,LdgKeyB,"&lt;"&amp;$K1181)+1)</f>
        <v/>
      </c>
      <c r="M1181">
        <f>IF($L1181="","",$F1181&amp;"|"&amp;RIGHT("000000"&amp;$L1181,6))</f>
        <v/>
      </c>
      <c r="N1181">
        <f>IF($F1181="","",IF(Sync!$AF1181="","0000",IF(AND(ISNUMBER(Sync!$AF1181),Sync!$AF1181&gt;=0,Sync!$AF1181&lt;1),RIGHT("00"&amp;HOUR(Sync!$AF1181),2)&amp;RIGHT("00"&amp;MINUTE(Sync!$AF1181),2),IFERROR(RIGHT("00"&amp;VALUE(LEFT(Sync!$AF1181,FIND(":",Sync!$AF1181)-1)),2)&amp;RIGHT("00"&amp;VALUE(MID(Sync!$AF1181,FIND(":",Sync!$AF1181)+1,2)),2),"0000"))))</f>
        <v/>
      </c>
    </row>
    <row r="1182">
      <c r="A1182">
        <f>IF(OR(Calc!$E1186="",Calc!$E1186="نامعتبر",Calc!$G1186=""),"",Calc!$G1186)</f>
        <v/>
      </c>
      <c r="B1182">
        <f>IF($A1182="","",LEFT(Calc!$E1186,4)&amp;MID(Calc!$E1186,6,2)&amp;RIGHT(Calc!$E1186,2)&amp;Calc!$Q1186&amp;"|"&amp;"1"&amp;RIGHT("00000"&amp;1177,5))</f>
        <v/>
      </c>
      <c r="C1182">
        <f>IF($B1182="","",COUNTIFS(LdgSellerA,$A1182,LdgKeyA,"&lt;"&amp;$B1182)+COUNTIFS(LdgSellerB,$A1182,LdgKeyB,"&lt;"&amp;$B1182)+1)</f>
        <v/>
      </c>
      <c r="D1182">
        <f>IF($C1182="","",$A1182&amp;"|"&amp;RIGHT("000000"&amp;$C1182,6))</f>
        <v/>
      </c>
      <c r="F1182">
        <f>IF(Sync!$AH1182="","",IF(LEFT(UPPER(TRIM(Sync!$AH1182)),2)="SL",UPPER(TRIM(Sync!$AH1182)),""))</f>
        <v/>
      </c>
      <c r="G1182">
        <f>IF($F1182="","",IF(Sync!$AE1182="","",IF(ISNUMBER(Sync!$AE1182),IF(AND(Sync!$AE1182&gt;=10000101,Sync!$AE1182&lt;=99991231),INT(Sync!$AE1182/10000),""),IFERROR(VALUE(TRIM(LEFT(Sync!$AE1182,FIND("/",Sync!$AE1182)-1))),""))))</f>
        <v/>
      </c>
      <c r="H1182">
        <f>IF(OR($F1182="",$G1182=""),"",IF(ISNUMBER(Sync!$AE1182),INT(MOD(Sync!$AE1182,10000)/100),IFERROR(VALUE(TRIM(LEFT(MID(Sync!$AE1182,FIND("/",Sync!$AE1182)+1,20),FIND("/",MID(Sync!$AE1182,FIND("/",Sync!$AE1182)+1,20))-1))),"")))</f>
        <v/>
      </c>
      <c r="I1182">
        <f>IF(OR($F1182="",$G1182=""),"",IF(ISNUMBER(Sync!$AE1182),MOD(Sync!$AE1182,100),IFERROR(VALUE(TRIM(MID(MID(Sync!$AE1182,FIND("/",Sync!$AE1182)+1,20),FIND("/",MID(Sync!$AE1182,FIND("/",Sync!$AE1182)+1,20))+1,20))),"")))</f>
        <v/>
      </c>
      <c r="J1182">
        <f>IF($F1182="","",IF(OR($G1182="",$H1182="",$I1182="",$G1182&lt;1300,$G1182&gt;1500,$H1182&lt;1,$H1182&gt;12,$I1182&lt;1,$I1182&gt;31),"نامعتبر",RIGHT("0000"&amp;$G1182,4)&amp;"/"&amp;RIGHT("00"&amp;$H1182,2)&amp;"/"&amp;RIGHT("00"&amp;$I1182,2)))</f>
        <v/>
      </c>
      <c r="K1182">
        <f>IF(OR($F1182="",$J1182="",$J1182="نامعتبر"),"",LEFT($J1182,4)&amp;MID($J1182,6,2)&amp;RIGHT($J1182,2)&amp;$N1182&amp;"|"&amp;"2"&amp;RIGHT("00000"&amp;1177,5))</f>
        <v/>
      </c>
      <c r="L1182">
        <f>IF($K1182="","",COUNTIFS(LdgSellerA,$F1182,LdgKeyA,"&lt;"&amp;$K1182)+COUNTIFS(LdgSellerB,$F1182,LdgKeyB,"&lt;"&amp;$K1182)+1)</f>
        <v/>
      </c>
      <c r="M1182">
        <f>IF($L1182="","",$F1182&amp;"|"&amp;RIGHT("000000"&amp;$L1182,6))</f>
        <v/>
      </c>
      <c r="N1182">
        <f>IF($F1182="","",IF(Sync!$AF1182="","0000",IF(AND(ISNUMBER(Sync!$AF1182),Sync!$AF1182&gt;=0,Sync!$AF1182&lt;1),RIGHT("00"&amp;HOUR(Sync!$AF1182),2)&amp;RIGHT("00"&amp;MINUTE(Sync!$AF1182),2),IFERROR(RIGHT("00"&amp;VALUE(LEFT(Sync!$AF1182,FIND(":",Sync!$AF1182)-1)),2)&amp;RIGHT("00"&amp;VALUE(MID(Sync!$AF1182,FIND(":",Sync!$AF1182)+1,2)),2),"0000"))))</f>
        <v/>
      </c>
    </row>
    <row r="1183">
      <c r="A1183">
        <f>IF(OR(Calc!$E1187="",Calc!$E1187="نامعتبر",Calc!$G1187=""),"",Calc!$G1187)</f>
        <v/>
      </c>
      <c r="B1183">
        <f>IF($A1183="","",LEFT(Calc!$E1187,4)&amp;MID(Calc!$E1187,6,2)&amp;RIGHT(Calc!$E1187,2)&amp;Calc!$Q1187&amp;"|"&amp;"1"&amp;RIGHT("00000"&amp;1178,5))</f>
        <v/>
      </c>
      <c r="C1183">
        <f>IF($B1183="","",COUNTIFS(LdgSellerA,$A1183,LdgKeyA,"&lt;"&amp;$B1183)+COUNTIFS(LdgSellerB,$A1183,LdgKeyB,"&lt;"&amp;$B1183)+1)</f>
        <v/>
      </c>
      <c r="D1183">
        <f>IF($C1183="","",$A1183&amp;"|"&amp;RIGHT("000000"&amp;$C1183,6))</f>
        <v/>
      </c>
      <c r="F1183">
        <f>IF(Sync!$AH1183="","",IF(LEFT(UPPER(TRIM(Sync!$AH1183)),2)="SL",UPPER(TRIM(Sync!$AH1183)),""))</f>
        <v/>
      </c>
      <c r="G1183">
        <f>IF($F1183="","",IF(Sync!$AE1183="","",IF(ISNUMBER(Sync!$AE1183),IF(AND(Sync!$AE1183&gt;=10000101,Sync!$AE1183&lt;=99991231),INT(Sync!$AE1183/10000),""),IFERROR(VALUE(TRIM(LEFT(Sync!$AE1183,FIND("/",Sync!$AE1183)-1))),""))))</f>
        <v/>
      </c>
      <c r="H1183">
        <f>IF(OR($F1183="",$G1183=""),"",IF(ISNUMBER(Sync!$AE1183),INT(MOD(Sync!$AE1183,10000)/100),IFERROR(VALUE(TRIM(LEFT(MID(Sync!$AE1183,FIND("/",Sync!$AE1183)+1,20),FIND("/",MID(Sync!$AE1183,FIND("/",Sync!$AE1183)+1,20))-1))),"")))</f>
        <v/>
      </c>
      <c r="I1183">
        <f>IF(OR($F1183="",$G1183=""),"",IF(ISNUMBER(Sync!$AE1183),MOD(Sync!$AE1183,100),IFERROR(VALUE(TRIM(MID(MID(Sync!$AE1183,FIND("/",Sync!$AE1183)+1,20),FIND("/",MID(Sync!$AE1183,FIND("/",Sync!$AE1183)+1,20))+1,20))),"")))</f>
        <v/>
      </c>
      <c r="J1183">
        <f>IF($F1183="","",IF(OR($G1183="",$H1183="",$I1183="",$G1183&lt;1300,$G1183&gt;1500,$H1183&lt;1,$H1183&gt;12,$I1183&lt;1,$I1183&gt;31),"نامعتبر",RIGHT("0000"&amp;$G1183,4)&amp;"/"&amp;RIGHT("00"&amp;$H1183,2)&amp;"/"&amp;RIGHT("00"&amp;$I1183,2)))</f>
        <v/>
      </c>
      <c r="K1183">
        <f>IF(OR($F1183="",$J1183="",$J1183="نامعتبر"),"",LEFT($J1183,4)&amp;MID($J1183,6,2)&amp;RIGHT($J1183,2)&amp;$N1183&amp;"|"&amp;"2"&amp;RIGHT("00000"&amp;1178,5))</f>
        <v/>
      </c>
      <c r="L1183">
        <f>IF($K1183="","",COUNTIFS(LdgSellerA,$F1183,LdgKeyA,"&lt;"&amp;$K1183)+COUNTIFS(LdgSellerB,$F1183,LdgKeyB,"&lt;"&amp;$K1183)+1)</f>
        <v/>
      </c>
      <c r="M1183">
        <f>IF($L1183="","",$F1183&amp;"|"&amp;RIGHT("000000"&amp;$L1183,6))</f>
        <v/>
      </c>
      <c r="N1183">
        <f>IF($F1183="","",IF(Sync!$AF1183="","0000",IF(AND(ISNUMBER(Sync!$AF1183),Sync!$AF1183&gt;=0,Sync!$AF1183&lt;1),RIGHT("00"&amp;HOUR(Sync!$AF1183),2)&amp;RIGHT("00"&amp;MINUTE(Sync!$AF1183),2),IFERROR(RIGHT("00"&amp;VALUE(LEFT(Sync!$AF1183,FIND(":",Sync!$AF1183)-1)),2)&amp;RIGHT("00"&amp;VALUE(MID(Sync!$AF1183,FIND(":",Sync!$AF1183)+1,2)),2),"0000"))))</f>
        <v/>
      </c>
    </row>
    <row r="1184">
      <c r="A1184">
        <f>IF(OR(Calc!$E1188="",Calc!$E1188="نامعتبر",Calc!$G1188=""),"",Calc!$G1188)</f>
        <v/>
      </c>
      <c r="B1184">
        <f>IF($A1184="","",LEFT(Calc!$E1188,4)&amp;MID(Calc!$E1188,6,2)&amp;RIGHT(Calc!$E1188,2)&amp;Calc!$Q1188&amp;"|"&amp;"1"&amp;RIGHT("00000"&amp;1179,5))</f>
        <v/>
      </c>
      <c r="C1184">
        <f>IF($B1184="","",COUNTIFS(LdgSellerA,$A1184,LdgKeyA,"&lt;"&amp;$B1184)+COUNTIFS(LdgSellerB,$A1184,LdgKeyB,"&lt;"&amp;$B1184)+1)</f>
        <v/>
      </c>
      <c r="D1184">
        <f>IF($C1184="","",$A1184&amp;"|"&amp;RIGHT("000000"&amp;$C1184,6))</f>
        <v/>
      </c>
      <c r="F1184">
        <f>IF(Sync!$AH1184="","",IF(LEFT(UPPER(TRIM(Sync!$AH1184)),2)="SL",UPPER(TRIM(Sync!$AH1184)),""))</f>
        <v/>
      </c>
      <c r="G1184">
        <f>IF($F1184="","",IF(Sync!$AE1184="","",IF(ISNUMBER(Sync!$AE1184),IF(AND(Sync!$AE1184&gt;=10000101,Sync!$AE1184&lt;=99991231),INT(Sync!$AE1184/10000),""),IFERROR(VALUE(TRIM(LEFT(Sync!$AE1184,FIND("/",Sync!$AE1184)-1))),""))))</f>
        <v/>
      </c>
      <c r="H1184">
        <f>IF(OR($F1184="",$G1184=""),"",IF(ISNUMBER(Sync!$AE1184),INT(MOD(Sync!$AE1184,10000)/100),IFERROR(VALUE(TRIM(LEFT(MID(Sync!$AE1184,FIND("/",Sync!$AE1184)+1,20),FIND("/",MID(Sync!$AE1184,FIND("/",Sync!$AE1184)+1,20))-1))),"")))</f>
        <v/>
      </c>
      <c r="I1184">
        <f>IF(OR($F1184="",$G1184=""),"",IF(ISNUMBER(Sync!$AE1184),MOD(Sync!$AE1184,100),IFERROR(VALUE(TRIM(MID(MID(Sync!$AE1184,FIND("/",Sync!$AE1184)+1,20),FIND("/",MID(Sync!$AE1184,FIND("/",Sync!$AE1184)+1,20))+1,20))),"")))</f>
        <v/>
      </c>
      <c r="J1184">
        <f>IF($F1184="","",IF(OR($G1184="",$H1184="",$I1184="",$G1184&lt;1300,$G1184&gt;1500,$H1184&lt;1,$H1184&gt;12,$I1184&lt;1,$I1184&gt;31),"نامعتبر",RIGHT("0000"&amp;$G1184,4)&amp;"/"&amp;RIGHT("00"&amp;$H1184,2)&amp;"/"&amp;RIGHT("00"&amp;$I1184,2)))</f>
        <v/>
      </c>
      <c r="K1184">
        <f>IF(OR($F1184="",$J1184="",$J1184="نامعتبر"),"",LEFT($J1184,4)&amp;MID($J1184,6,2)&amp;RIGHT($J1184,2)&amp;$N1184&amp;"|"&amp;"2"&amp;RIGHT("00000"&amp;1179,5))</f>
        <v/>
      </c>
      <c r="L1184">
        <f>IF($K1184="","",COUNTIFS(LdgSellerA,$F1184,LdgKeyA,"&lt;"&amp;$K1184)+COUNTIFS(LdgSellerB,$F1184,LdgKeyB,"&lt;"&amp;$K1184)+1)</f>
        <v/>
      </c>
      <c r="M1184">
        <f>IF($L1184="","",$F1184&amp;"|"&amp;RIGHT("000000"&amp;$L1184,6))</f>
        <v/>
      </c>
      <c r="N1184">
        <f>IF($F1184="","",IF(Sync!$AF1184="","0000",IF(AND(ISNUMBER(Sync!$AF1184),Sync!$AF1184&gt;=0,Sync!$AF1184&lt;1),RIGHT("00"&amp;HOUR(Sync!$AF1184),2)&amp;RIGHT("00"&amp;MINUTE(Sync!$AF1184),2),IFERROR(RIGHT("00"&amp;VALUE(LEFT(Sync!$AF1184,FIND(":",Sync!$AF1184)-1)),2)&amp;RIGHT("00"&amp;VALUE(MID(Sync!$AF1184,FIND(":",Sync!$AF1184)+1,2)),2),"0000"))))</f>
        <v/>
      </c>
    </row>
    <row r="1185">
      <c r="A1185">
        <f>IF(OR(Calc!$E1189="",Calc!$E1189="نامعتبر",Calc!$G1189=""),"",Calc!$G1189)</f>
        <v/>
      </c>
      <c r="B1185">
        <f>IF($A1185="","",LEFT(Calc!$E1189,4)&amp;MID(Calc!$E1189,6,2)&amp;RIGHT(Calc!$E1189,2)&amp;Calc!$Q1189&amp;"|"&amp;"1"&amp;RIGHT("00000"&amp;1180,5))</f>
        <v/>
      </c>
      <c r="C1185">
        <f>IF($B1185="","",COUNTIFS(LdgSellerA,$A1185,LdgKeyA,"&lt;"&amp;$B1185)+COUNTIFS(LdgSellerB,$A1185,LdgKeyB,"&lt;"&amp;$B1185)+1)</f>
        <v/>
      </c>
      <c r="D1185">
        <f>IF($C1185="","",$A1185&amp;"|"&amp;RIGHT("000000"&amp;$C1185,6))</f>
        <v/>
      </c>
      <c r="F1185">
        <f>IF(Sync!$AH1185="","",IF(LEFT(UPPER(TRIM(Sync!$AH1185)),2)="SL",UPPER(TRIM(Sync!$AH1185)),""))</f>
        <v/>
      </c>
      <c r="G1185">
        <f>IF($F1185="","",IF(Sync!$AE1185="","",IF(ISNUMBER(Sync!$AE1185),IF(AND(Sync!$AE1185&gt;=10000101,Sync!$AE1185&lt;=99991231),INT(Sync!$AE1185/10000),""),IFERROR(VALUE(TRIM(LEFT(Sync!$AE1185,FIND("/",Sync!$AE1185)-1))),""))))</f>
        <v/>
      </c>
      <c r="H1185">
        <f>IF(OR($F1185="",$G1185=""),"",IF(ISNUMBER(Sync!$AE1185),INT(MOD(Sync!$AE1185,10000)/100),IFERROR(VALUE(TRIM(LEFT(MID(Sync!$AE1185,FIND("/",Sync!$AE1185)+1,20),FIND("/",MID(Sync!$AE1185,FIND("/",Sync!$AE1185)+1,20))-1))),"")))</f>
        <v/>
      </c>
      <c r="I1185">
        <f>IF(OR($F1185="",$G1185=""),"",IF(ISNUMBER(Sync!$AE1185),MOD(Sync!$AE1185,100),IFERROR(VALUE(TRIM(MID(MID(Sync!$AE1185,FIND("/",Sync!$AE1185)+1,20),FIND("/",MID(Sync!$AE1185,FIND("/",Sync!$AE1185)+1,20))+1,20))),"")))</f>
        <v/>
      </c>
      <c r="J1185">
        <f>IF($F1185="","",IF(OR($G1185="",$H1185="",$I1185="",$G1185&lt;1300,$G1185&gt;1500,$H1185&lt;1,$H1185&gt;12,$I1185&lt;1,$I1185&gt;31),"نامعتبر",RIGHT("0000"&amp;$G1185,4)&amp;"/"&amp;RIGHT("00"&amp;$H1185,2)&amp;"/"&amp;RIGHT("00"&amp;$I1185,2)))</f>
        <v/>
      </c>
      <c r="K1185">
        <f>IF(OR($F1185="",$J1185="",$J1185="نامعتبر"),"",LEFT($J1185,4)&amp;MID($J1185,6,2)&amp;RIGHT($J1185,2)&amp;$N1185&amp;"|"&amp;"2"&amp;RIGHT("00000"&amp;1180,5))</f>
        <v/>
      </c>
      <c r="L1185">
        <f>IF($K1185="","",COUNTIFS(LdgSellerA,$F1185,LdgKeyA,"&lt;"&amp;$K1185)+COUNTIFS(LdgSellerB,$F1185,LdgKeyB,"&lt;"&amp;$K1185)+1)</f>
        <v/>
      </c>
      <c r="M1185">
        <f>IF($L1185="","",$F1185&amp;"|"&amp;RIGHT("000000"&amp;$L1185,6))</f>
        <v/>
      </c>
      <c r="N1185">
        <f>IF($F1185="","",IF(Sync!$AF1185="","0000",IF(AND(ISNUMBER(Sync!$AF1185),Sync!$AF1185&gt;=0,Sync!$AF1185&lt;1),RIGHT("00"&amp;HOUR(Sync!$AF1185),2)&amp;RIGHT("00"&amp;MINUTE(Sync!$AF1185),2),IFERROR(RIGHT("00"&amp;VALUE(LEFT(Sync!$AF1185,FIND(":",Sync!$AF1185)-1)),2)&amp;RIGHT("00"&amp;VALUE(MID(Sync!$AF1185,FIND(":",Sync!$AF1185)+1,2)),2),"0000"))))</f>
        <v/>
      </c>
    </row>
    <row r="1186">
      <c r="A1186">
        <f>IF(OR(Calc!$E1190="",Calc!$E1190="نامعتبر",Calc!$G1190=""),"",Calc!$G1190)</f>
        <v/>
      </c>
      <c r="B1186">
        <f>IF($A1186="","",LEFT(Calc!$E1190,4)&amp;MID(Calc!$E1190,6,2)&amp;RIGHT(Calc!$E1190,2)&amp;Calc!$Q1190&amp;"|"&amp;"1"&amp;RIGHT("00000"&amp;1181,5))</f>
        <v/>
      </c>
      <c r="C1186">
        <f>IF($B1186="","",COUNTIFS(LdgSellerA,$A1186,LdgKeyA,"&lt;"&amp;$B1186)+COUNTIFS(LdgSellerB,$A1186,LdgKeyB,"&lt;"&amp;$B1186)+1)</f>
        <v/>
      </c>
      <c r="D1186">
        <f>IF($C1186="","",$A1186&amp;"|"&amp;RIGHT("000000"&amp;$C1186,6))</f>
        <v/>
      </c>
      <c r="F1186">
        <f>IF(Sync!$AH1186="","",IF(LEFT(UPPER(TRIM(Sync!$AH1186)),2)="SL",UPPER(TRIM(Sync!$AH1186)),""))</f>
        <v/>
      </c>
      <c r="G1186">
        <f>IF($F1186="","",IF(Sync!$AE1186="","",IF(ISNUMBER(Sync!$AE1186),IF(AND(Sync!$AE1186&gt;=10000101,Sync!$AE1186&lt;=99991231),INT(Sync!$AE1186/10000),""),IFERROR(VALUE(TRIM(LEFT(Sync!$AE1186,FIND("/",Sync!$AE1186)-1))),""))))</f>
        <v/>
      </c>
      <c r="H1186">
        <f>IF(OR($F1186="",$G1186=""),"",IF(ISNUMBER(Sync!$AE1186),INT(MOD(Sync!$AE1186,10000)/100),IFERROR(VALUE(TRIM(LEFT(MID(Sync!$AE1186,FIND("/",Sync!$AE1186)+1,20),FIND("/",MID(Sync!$AE1186,FIND("/",Sync!$AE1186)+1,20))-1))),"")))</f>
        <v/>
      </c>
      <c r="I1186">
        <f>IF(OR($F1186="",$G1186=""),"",IF(ISNUMBER(Sync!$AE1186),MOD(Sync!$AE1186,100),IFERROR(VALUE(TRIM(MID(MID(Sync!$AE1186,FIND("/",Sync!$AE1186)+1,20),FIND("/",MID(Sync!$AE1186,FIND("/",Sync!$AE1186)+1,20))+1,20))),"")))</f>
        <v/>
      </c>
      <c r="J1186">
        <f>IF($F1186="","",IF(OR($G1186="",$H1186="",$I1186="",$G1186&lt;1300,$G1186&gt;1500,$H1186&lt;1,$H1186&gt;12,$I1186&lt;1,$I1186&gt;31),"نامعتبر",RIGHT("0000"&amp;$G1186,4)&amp;"/"&amp;RIGHT("00"&amp;$H1186,2)&amp;"/"&amp;RIGHT("00"&amp;$I1186,2)))</f>
        <v/>
      </c>
      <c r="K1186">
        <f>IF(OR($F1186="",$J1186="",$J1186="نامعتبر"),"",LEFT($J1186,4)&amp;MID($J1186,6,2)&amp;RIGHT($J1186,2)&amp;$N1186&amp;"|"&amp;"2"&amp;RIGHT("00000"&amp;1181,5))</f>
        <v/>
      </c>
      <c r="L1186">
        <f>IF($K1186="","",COUNTIFS(LdgSellerA,$F1186,LdgKeyA,"&lt;"&amp;$K1186)+COUNTIFS(LdgSellerB,$F1186,LdgKeyB,"&lt;"&amp;$K1186)+1)</f>
        <v/>
      </c>
      <c r="M1186">
        <f>IF($L1186="","",$F1186&amp;"|"&amp;RIGHT("000000"&amp;$L1186,6))</f>
        <v/>
      </c>
      <c r="N1186">
        <f>IF($F1186="","",IF(Sync!$AF1186="","0000",IF(AND(ISNUMBER(Sync!$AF1186),Sync!$AF1186&gt;=0,Sync!$AF1186&lt;1),RIGHT("00"&amp;HOUR(Sync!$AF1186),2)&amp;RIGHT("00"&amp;MINUTE(Sync!$AF1186),2),IFERROR(RIGHT("00"&amp;VALUE(LEFT(Sync!$AF1186,FIND(":",Sync!$AF1186)-1)),2)&amp;RIGHT("00"&amp;VALUE(MID(Sync!$AF1186,FIND(":",Sync!$AF1186)+1,2)),2),"0000"))))</f>
        <v/>
      </c>
    </row>
    <row r="1187">
      <c r="A1187">
        <f>IF(OR(Calc!$E1191="",Calc!$E1191="نامعتبر",Calc!$G1191=""),"",Calc!$G1191)</f>
        <v/>
      </c>
      <c r="B1187">
        <f>IF($A1187="","",LEFT(Calc!$E1191,4)&amp;MID(Calc!$E1191,6,2)&amp;RIGHT(Calc!$E1191,2)&amp;Calc!$Q1191&amp;"|"&amp;"1"&amp;RIGHT("00000"&amp;1182,5))</f>
        <v/>
      </c>
      <c r="C1187">
        <f>IF($B1187="","",COUNTIFS(LdgSellerA,$A1187,LdgKeyA,"&lt;"&amp;$B1187)+COUNTIFS(LdgSellerB,$A1187,LdgKeyB,"&lt;"&amp;$B1187)+1)</f>
        <v/>
      </c>
      <c r="D1187">
        <f>IF($C1187="","",$A1187&amp;"|"&amp;RIGHT("000000"&amp;$C1187,6))</f>
        <v/>
      </c>
      <c r="F1187">
        <f>IF(Sync!$AH1187="","",IF(LEFT(UPPER(TRIM(Sync!$AH1187)),2)="SL",UPPER(TRIM(Sync!$AH1187)),""))</f>
        <v/>
      </c>
      <c r="G1187">
        <f>IF($F1187="","",IF(Sync!$AE1187="","",IF(ISNUMBER(Sync!$AE1187),IF(AND(Sync!$AE1187&gt;=10000101,Sync!$AE1187&lt;=99991231),INT(Sync!$AE1187/10000),""),IFERROR(VALUE(TRIM(LEFT(Sync!$AE1187,FIND("/",Sync!$AE1187)-1))),""))))</f>
        <v/>
      </c>
      <c r="H1187">
        <f>IF(OR($F1187="",$G1187=""),"",IF(ISNUMBER(Sync!$AE1187),INT(MOD(Sync!$AE1187,10000)/100),IFERROR(VALUE(TRIM(LEFT(MID(Sync!$AE1187,FIND("/",Sync!$AE1187)+1,20),FIND("/",MID(Sync!$AE1187,FIND("/",Sync!$AE1187)+1,20))-1))),"")))</f>
        <v/>
      </c>
      <c r="I1187">
        <f>IF(OR($F1187="",$G1187=""),"",IF(ISNUMBER(Sync!$AE1187),MOD(Sync!$AE1187,100),IFERROR(VALUE(TRIM(MID(MID(Sync!$AE1187,FIND("/",Sync!$AE1187)+1,20),FIND("/",MID(Sync!$AE1187,FIND("/",Sync!$AE1187)+1,20))+1,20))),"")))</f>
        <v/>
      </c>
      <c r="J1187">
        <f>IF($F1187="","",IF(OR($G1187="",$H1187="",$I1187="",$G1187&lt;1300,$G1187&gt;1500,$H1187&lt;1,$H1187&gt;12,$I1187&lt;1,$I1187&gt;31),"نامعتبر",RIGHT("0000"&amp;$G1187,4)&amp;"/"&amp;RIGHT("00"&amp;$H1187,2)&amp;"/"&amp;RIGHT("00"&amp;$I1187,2)))</f>
        <v/>
      </c>
      <c r="K1187">
        <f>IF(OR($F1187="",$J1187="",$J1187="نامعتبر"),"",LEFT($J1187,4)&amp;MID($J1187,6,2)&amp;RIGHT($J1187,2)&amp;$N1187&amp;"|"&amp;"2"&amp;RIGHT("00000"&amp;1182,5))</f>
        <v/>
      </c>
      <c r="L1187">
        <f>IF($K1187="","",COUNTIFS(LdgSellerA,$F1187,LdgKeyA,"&lt;"&amp;$K1187)+COUNTIFS(LdgSellerB,$F1187,LdgKeyB,"&lt;"&amp;$K1187)+1)</f>
        <v/>
      </c>
      <c r="M1187">
        <f>IF($L1187="","",$F1187&amp;"|"&amp;RIGHT("000000"&amp;$L1187,6))</f>
        <v/>
      </c>
      <c r="N1187">
        <f>IF($F1187="","",IF(Sync!$AF1187="","0000",IF(AND(ISNUMBER(Sync!$AF1187),Sync!$AF1187&gt;=0,Sync!$AF1187&lt;1),RIGHT("00"&amp;HOUR(Sync!$AF1187),2)&amp;RIGHT("00"&amp;MINUTE(Sync!$AF1187),2),IFERROR(RIGHT("00"&amp;VALUE(LEFT(Sync!$AF1187,FIND(":",Sync!$AF1187)-1)),2)&amp;RIGHT("00"&amp;VALUE(MID(Sync!$AF1187,FIND(":",Sync!$AF1187)+1,2)),2),"0000"))))</f>
        <v/>
      </c>
    </row>
    <row r="1188">
      <c r="A1188">
        <f>IF(OR(Calc!$E1192="",Calc!$E1192="نامعتبر",Calc!$G1192=""),"",Calc!$G1192)</f>
        <v/>
      </c>
      <c r="B1188">
        <f>IF($A1188="","",LEFT(Calc!$E1192,4)&amp;MID(Calc!$E1192,6,2)&amp;RIGHT(Calc!$E1192,2)&amp;Calc!$Q1192&amp;"|"&amp;"1"&amp;RIGHT("00000"&amp;1183,5))</f>
        <v/>
      </c>
      <c r="C1188">
        <f>IF($B1188="","",COUNTIFS(LdgSellerA,$A1188,LdgKeyA,"&lt;"&amp;$B1188)+COUNTIFS(LdgSellerB,$A1188,LdgKeyB,"&lt;"&amp;$B1188)+1)</f>
        <v/>
      </c>
      <c r="D1188">
        <f>IF($C1188="","",$A1188&amp;"|"&amp;RIGHT("000000"&amp;$C1188,6))</f>
        <v/>
      </c>
      <c r="F1188">
        <f>IF(Sync!$AH1188="","",IF(LEFT(UPPER(TRIM(Sync!$AH1188)),2)="SL",UPPER(TRIM(Sync!$AH1188)),""))</f>
        <v/>
      </c>
      <c r="G1188">
        <f>IF($F1188="","",IF(Sync!$AE1188="","",IF(ISNUMBER(Sync!$AE1188),IF(AND(Sync!$AE1188&gt;=10000101,Sync!$AE1188&lt;=99991231),INT(Sync!$AE1188/10000),""),IFERROR(VALUE(TRIM(LEFT(Sync!$AE1188,FIND("/",Sync!$AE1188)-1))),""))))</f>
        <v/>
      </c>
      <c r="H1188">
        <f>IF(OR($F1188="",$G1188=""),"",IF(ISNUMBER(Sync!$AE1188),INT(MOD(Sync!$AE1188,10000)/100),IFERROR(VALUE(TRIM(LEFT(MID(Sync!$AE1188,FIND("/",Sync!$AE1188)+1,20),FIND("/",MID(Sync!$AE1188,FIND("/",Sync!$AE1188)+1,20))-1))),"")))</f>
        <v/>
      </c>
      <c r="I1188">
        <f>IF(OR($F1188="",$G1188=""),"",IF(ISNUMBER(Sync!$AE1188),MOD(Sync!$AE1188,100),IFERROR(VALUE(TRIM(MID(MID(Sync!$AE1188,FIND("/",Sync!$AE1188)+1,20),FIND("/",MID(Sync!$AE1188,FIND("/",Sync!$AE1188)+1,20))+1,20))),"")))</f>
        <v/>
      </c>
      <c r="J1188">
        <f>IF($F1188="","",IF(OR($G1188="",$H1188="",$I1188="",$G1188&lt;1300,$G1188&gt;1500,$H1188&lt;1,$H1188&gt;12,$I1188&lt;1,$I1188&gt;31),"نامعتبر",RIGHT("0000"&amp;$G1188,4)&amp;"/"&amp;RIGHT("00"&amp;$H1188,2)&amp;"/"&amp;RIGHT("00"&amp;$I1188,2)))</f>
        <v/>
      </c>
      <c r="K1188">
        <f>IF(OR($F1188="",$J1188="",$J1188="نامعتبر"),"",LEFT($J1188,4)&amp;MID($J1188,6,2)&amp;RIGHT($J1188,2)&amp;$N1188&amp;"|"&amp;"2"&amp;RIGHT("00000"&amp;1183,5))</f>
        <v/>
      </c>
      <c r="L1188">
        <f>IF($K1188="","",COUNTIFS(LdgSellerA,$F1188,LdgKeyA,"&lt;"&amp;$K1188)+COUNTIFS(LdgSellerB,$F1188,LdgKeyB,"&lt;"&amp;$K1188)+1)</f>
        <v/>
      </c>
      <c r="M1188">
        <f>IF($L1188="","",$F1188&amp;"|"&amp;RIGHT("000000"&amp;$L1188,6))</f>
        <v/>
      </c>
      <c r="N1188">
        <f>IF($F1188="","",IF(Sync!$AF1188="","0000",IF(AND(ISNUMBER(Sync!$AF1188),Sync!$AF1188&gt;=0,Sync!$AF1188&lt;1),RIGHT("00"&amp;HOUR(Sync!$AF1188),2)&amp;RIGHT("00"&amp;MINUTE(Sync!$AF1188),2),IFERROR(RIGHT("00"&amp;VALUE(LEFT(Sync!$AF1188,FIND(":",Sync!$AF1188)-1)),2)&amp;RIGHT("00"&amp;VALUE(MID(Sync!$AF1188,FIND(":",Sync!$AF1188)+1,2)),2),"0000"))))</f>
        <v/>
      </c>
    </row>
    <row r="1189">
      <c r="A1189">
        <f>IF(OR(Calc!$E1193="",Calc!$E1193="نامعتبر",Calc!$G1193=""),"",Calc!$G1193)</f>
        <v/>
      </c>
      <c r="B1189">
        <f>IF($A1189="","",LEFT(Calc!$E1193,4)&amp;MID(Calc!$E1193,6,2)&amp;RIGHT(Calc!$E1193,2)&amp;Calc!$Q1193&amp;"|"&amp;"1"&amp;RIGHT("00000"&amp;1184,5))</f>
        <v/>
      </c>
      <c r="C1189">
        <f>IF($B1189="","",COUNTIFS(LdgSellerA,$A1189,LdgKeyA,"&lt;"&amp;$B1189)+COUNTIFS(LdgSellerB,$A1189,LdgKeyB,"&lt;"&amp;$B1189)+1)</f>
        <v/>
      </c>
      <c r="D1189">
        <f>IF($C1189="","",$A1189&amp;"|"&amp;RIGHT("000000"&amp;$C1189,6))</f>
        <v/>
      </c>
      <c r="F1189">
        <f>IF(Sync!$AH1189="","",IF(LEFT(UPPER(TRIM(Sync!$AH1189)),2)="SL",UPPER(TRIM(Sync!$AH1189)),""))</f>
        <v/>
      </c>
      <c r="G1189">
        <f>IF($F1189="","",IF(Sync!$AE1189="","",IF(ISNUMBER(Sync!$AE1189),IF(AND(Sync!$AE1189&gt;=10000101,Sync!$AE1189&lt;=99991231),INT(Sync!$AE1189/10000),""),IFERROR(VALUE(TRIM(LEFT(Sync!$AE1189,FIND("/",Sync!$AE1189)-1))),""))))</f>
        <v/>
      </c>
      <c r="H1189">
        <f>IF(OR($F1189="",$G1189=""),"",IF(ISNUMBER(Sync!$AE1189),INT(MOD(Sync!$AE1189,10000)/100),IFERROR(VALUE(TRIM(LEFT(MID(Sync!$AE1189,FIND("/",Sync!$AE1189)+1,20),FIND("/",MID(Sync!$AE1189,FIND("/",Sync!$AE1189)+1,20))-1))),"")))</f>
        <v/>
      </c>
      <c r="I1189">
        <f>IF(OR($F1189="",$G1189=""),"",IF(ISNUMBER(Sync!$AE1189),MOD(Sync!$AE1189,100),IFERROR(VALUE(TRIM(MID(MID(Sync!$AE1189,FIND("/",Sync!$AE1189)+1,20),FIND("/",MID(Sync!$AE1189,FIND("/",Sync!$AE1189)+1,20))+1,20))),"")))</f>
        <v/>
      </c>
      <c r="J1189">
        <f>IF($F1189="","",IF(OR($G1189="",$H1189="",$I1189="",$G1189&lt;1300,$G1189&gt;1500,$H1189&lt;1,$H1189&gt;12,$I1189&lt;1,$I1189&gt;31),"نامعتبر",RIGHT("0000"&amp;$G1189,4)&amp;"/"&amp;RIGHT("00"&amp;$H1189,2)&amp;"/"&amp;RIGHT("00"&amp;$I1189,2)))</f>
        <v/>
      </c>
      <c r="K1189">
        <f>IF(OR($F1189="",$J1189="",$J1189="نامعتبر"),"",LEFT($J1189,4)&amp;MID($J1189,6,2)&amp;RIGHT($J1189,2)&amp;$N1189&amp;"|"&amp;"2"&amp;RIGHT("00000"&amp;1184,5))</f>
        <v/>
      </c>
      <c r="L1189">
        <f>IF($K1189="","",COUNTIFS(LdgSellerA,$F1189,LdgKeyA,"&lt;"&amp;$K1189)+COUNTIFS(LdgSellerB,$F1189,LdgKeyB,"&lt;"&amp;$K1189)+1)</f>
        <v/>
      </c>
      <c r="M1189">
        <f>IF($L1189="","",$F1189&amp;"|"&amp;RIGHT("000000"&amp;$L1189,6))</f>
        <v/>
      </c>
      <c r="N1189">
        <f>IF($F1189="","",IF(Sync!$AF1189="","0000",IF(AND(ISNUMBER(Sync!$AF1189),Sync!$AF1189&gt;=0,Sync!$AF1189&lt;1),RIGHT("00"&amp;HOUR(Sync!$AF1189),2)&amp;RIGHT("00"&amp;MINUTE(Sync!$AF1189),2),IFERROR(RIGHT("00"&amp;VALUE(LEFT(Sync!$AF1189,FIND(":",Sync!$AF1189)-1)),2)&amp;RIGHT("00"&amp;VALUE(MID(Sync!$AF1189,FIND(":",Sync!$AF1189)+1,2)),2),"0000"))))</f>
        <v/>
      </c>
    </row>
    <row r="1190">
      <c r="A1190">
        <f>IF(OR(Calc!$E1194="",Calc!$E1194="نامعتبر",Calc!$G1194=""),"",Calc!$G1194)</f>
        <v/>
      </c>
      <c r="B1190">
        <f>IF($A1190="","",LEFT(Calc!$E1194,4)&amp;MID(Calc!$E1194,6,2)&amp;RIGHT(Calc!$E1194,2)&amp;Calc!$Q1194&amp;"|"&amp;"1"&amp;RIGHT("00000"&amp;1185,5))</f>
        <v/>
      </c>
      <c r="C1190">
        <f>IF($B1190="","",COUNTIFS(LdgSellerA,$A1190,LdgKeyA,"&lt;"&amp;$B1190)+COUNTIFS(LdgSellerB,$A1190,LdgKeyB,"&lt;"&amp;$B1190)+1)</f>
        <v/>
      </c>
      <c r="D1190">
        <f>IF($C1190="","",$A1190&amp;"|"&amp;RIGHT("000000"&amp;$C1190,6))</f>
        <v/>
      </c>
      <c r="F1190">
        <f>IF(Sync!$AH1190="","",IF(LEFT(UPPER(TRIM(Sync!$AH1190)),2)="SL",UPPER(TRIM(Sync!$AH1190)),""))</f>
        <v/>
      </c>
      <c r="G1190">
        <f>IF($F1190="","",IF(Sync!$AE1190="","",IF(ISNUMBER(Sync!$AE1190),IF(AND(Sync!$AE1190&gt;=10000101,Sync!$AE1190&lt;=99991231),INT(Sync!$AE1190/10000),""),IFERROR(VALUE(TRIM(LEFT(Sync!$AE1190,FIND("/",Sync!$AE1190)-1))),""))))</f>
        <v/>
      </c>
      <c r="H1190">
        <f>IF(OR($F1190="",$G1190=""),"",IF(ISNUMBER(Sync!$AE1190),INT(MOD(Sync!$AE1190,10000)/100),IFERROR(VALUE(TRIM(LEFT(MID(Sync!$AE1190,FIND("/",Sync!$AE1190)+1,20),FIND("/",MID(Sync!$AE1190,FIND("/",Sync!$AE1190)+1,20))-1))),"")))</f>
        <v/>
      </c>
      <c r="I1190">
        <f>IF(OR($F1190="",$G1190=""),"",IF(ISNUMBER(Sync!$AE1190),MOD(Sync!$AE1190,100),IFERROR(VALUE(TRIM(MID(MID(Sync!$AE1190,FIND("/",Sync!$AE1190)+1,20),FIND("/",MID(Sync!$AE1190,FIND("/",Sync!$AE1190)+1,20))+1,20))),"")))</f>
        <v/>
      </c>
      <c r="J1190">
        <f>IF($F1190="","",IF(OR($G1190="",$H1190="",$I1190="",$G1190&lt;1300,$G1190&gt;1500,$H1190&lt;1,$H1190&gt;12,$I1190&lt;1,$I1190&gt;31),"نامعتبر",RIGHT("0000"&amp;$G1190,4)&amp;"/"&amp;RIGHT("00"&amp;$H1190,2)&amp;"/"&amp;RIGHT("00"&amp;$I1190,2)))</f>
        <v/>
      </c>
      <c r="K1190">
        <f>IF(OR($F1190="",$J1190="",$J1190="نامعتبر"),"",LEFT($J1190,4)&amp;MID($J1190,6,2)&amp;RIGHT($J1190,2)&amp;$N1190&amp;"|"&amp;"2"&amp;RIGHT("00000"&amp;1185,5))</f>
        <v/>
      </c>
      <c r="L1190">
        <f>IF($K1190="","",COUNTIFS(LdgSellerA,$F1190,LdgKeyA,"&lt;"&amp;$K1190)+COUNTIFS(LdgSellerB,$F1190,LdgKeyB,"&lt;"&amp;$K1190)+1)</f>
        <v/>
      </c>
      <c r="M1190">
        <f>IF($L1190="","",$F1190&amp;"|"&amp;RIGHT("000000"&amp;$L1190,6))</f>
        <v/>
      </c>
      <c r="N1190">
        <f>IF($F1190="","",IF(Sync!$AF1190="","0000",IF(AND(ISNUMBER(Sync!$AF1190),Sync!$AF1190&gt;=0,Sync!$AF1190&lt;1),RIGHT("00"&amp;HOUR(Sync!$AF1190),2)&amp;RIGHT("00"&amp;MINUTE(Sync!$AF1190),2),IFERROR(RIGHT("00"&amp;VALUE(LEFT(Sync!$AF1190,FIND(":",Sync!$AF1190)-1)),2)&amp;RIGHT("00"&amp;VALUE(MID(Sync!$AF1190,FIND(":",Sync!$AF1190)+1,2)),2),"0000"))))</f>
        <v/>
      </c>
    </row>
    <row r="1191">
      <c r="A1191">
        <f>IF(OR(Calc!$E1195="",Calc!$E1195="نامعتبر",Calc!$G1195=""),"",Calc!$G1195)</f>
        <v/>
      </c>
      <c r="B1191">
        <f>IF($A1191="","",LEFT(Calc!$E1195,4)&amp;MID(Calc!$E1195,6,2)&amp;RIGHT(Calc!$E1195,2)&amp;Calc!$Q1195&amp;"|"&amp;"1"&amp;RIGHT("00000"&amp;1186,5))</f>
        <v/>
      </c>
      <c r="C1191">
        <f>IF($B1191="","",COUNTIFS(LdgSellerA,$A1191,LdgKeyA,"&lt;"&amp;$B1191)+COUNTIFS(LdgSellerB,$A1191,LdgKeyB,"&lt;"&amp;$B1191)+1)</f>
        <v/>
      </c>
      <c r="D1191">
        <f>IF($C1191="","",$A1191&amp;"|"&amp;RIGHT("000000"&amp;$C1191,6))</f>
        <v/>
      </c>
      <c r="F1191">
        <f>IF(Sync!$AH1191="","",IF(LEFT(UPPER(TRIM(Sync!$AH1191)),2)="SL",UPPER(TRIM(Sync!$AH1191)),""))</f>
        <v/>
      </c>
      <c r="G1191">
        <f>IF($F1191="","",IF(Sync!$AE1191="","",IF(ISNUMBER(Sync!$AE1191),IF(AND(Sync!$AE1191&gt;=10000101,Sync!$AE1191&lt;=99991231),INT(Sync!$AE1191/10000),""),IFERROR(VALUE(TRIM(LEFT(Sync!$AE1191,FIND("/",Sync!$AE1191)-1))),""))))</f>
        <v/>
      </c>
      <c r="H1191">
        <f>IF(OR($F1191="",$G1191=""),"",IF(ISNUMBER(Sync!$AE1191),INT(MOD(Sync!$AE1191,10000)/100),IFERROR(VALUE(TRIM(LEFT(MID(Sync!$AE1191,FIND("/",Sync!$AE1191)+1,20),FIND("/",MID(Sync!$AE1191,FIND("/",Sync!$AE1191)+1,20))-1))),"")))</f>
        <v/>
      </c>
      <c r="I1191">
        <f>IF(OR($F1191="",$G1191=""),"",IF(ISNUMBER(Sync!$AE1191),MOD(Sync!$AE1191,100),IFERROR(VALUE(TRIM(MID(MID(Sync!$AE1191,FIND("/",Sync!$AE1191)+1,20),FIND("/",MID(Sync!$AE1191,FIND("/",Sync!$AE1191)+1,20))+1,20))),"")))</f>
        <v/>
      </c>
      <c r="J1191">
        <f>IF($F1191="","",IF(OR($G1191="",$H1191="",$I1191="",$G1191&lt;1300,$G1191&gt;1500,$H1191&lt;1,$H1191&gt;12,$I1191&lt;1,$I1191&gt;31),"نامعتبر",RIGHT("0000"&amp;$G1191,4)&amp;"/"&amp;RIGHT("00"&amp;$H1191,2)&amp;"/"&amp;RIGHT("00"&amp;$I1191,2)))</f>
        <v/>
      </c>
      <c r="K1191">
        <f>IF(OR($F1191="",$J1191="",$J1191="نامعتبر"),"",LEFT($J1191,4)&amp;MID($J1191,6,2)&amp;RIGHT($J1191,2)&amp;$N1191&amp;"|"&amp;"2"&amp;RIGHT("00000"&amp;1186,5))</f>
        <v/>
      </c>
      <c r="L1191">
        <f>IF($K1191="","",COUNTIFS(LdgSellerA,$F1191,LdgKeyA,"&lt;"&amp;$K1191)+COUNTIFS(LdgSellerB,$F1191,LdgKeyB,"&lt;"&amp;$K1191)+1)</f>
        <v/>
      </c>
      <c r="M1191">
        <f>IF($L1191="","",$F1191&amp;"|"&amp;RIGHT("000000"&amp;$L1191,6))</f>
        <v/>
      </c>
      <c r="N1191">
        <f>IF($F1191="","",IF(Sync!$AF1191="","0000",IF(AND(ISNUMBER(Sync!$AF1191),Sync!$AF1191&gt;=0,Sync!$AF1191&lt;1),RIGHT("00"&amp;HOUR(Sync!$AF1191),2)&amp;RIGHT("00"&amp;MINUTE(Sync!$AF1191),2),IFERROR(RIGHT("00"&amp;VALUE(LEFT(Sync!$AF1191,FIND(":",Sync!$AF1191)-1)),2)&amp;RIGHT("00"&amp;VALUE(MID(Sync!$AF1191,FIND(":",Sync!$AF1191)+1,2)),2),"0000"))))</f>
        <v/>
      </c>
    </row>
    <row r="1192">
      <c r="A1192">
        <f>IF(OR(Calc!$E1196="",Calc!$E1196="نامعتبر",Calc!$G1196=""),"",Calc!$G1196)</f>
        <v/>
      </c>
      <c r="B1192">
        <f>IF($A1192="","",LEFT(Calc!$E1196,4)&amp;MID(Calc!$E1196,6,2)&amp;RIGHT(Calc!$E1196,2)&amp;Calc!$Q1196&amp;"|"&amp;"1"&amp;RIGHT("00000"&amp;1187,5))</f>
        <v/>
      </c>
      <c r="C1192">
        <f>IF($B1192="","",COUNTIFS(LdgSellerA,$A1192,LdgKeyA,"&lt;"&amp;$B1192)+COUNTIFS(LdgSellerB,$A1192,LdgKeyB,"&lt;"&amp;$B1192)+1)</f>
        <v/>
      </c>
      <c r="D1192">
        <f>IF($C1192="","",$A1192&amp;"|"&amp;RIGHT("000000"&amp;$C1192,6))</f>
        <v/>
      </c>
      <c r="F1192">
        <f>IF(Sync!$AH1192="","",IF(LEFT(UPPER(TRIM(Sync!$AH1192)),2)="SL",UPPER(TRIM(Sync!$AH1192)),""))</f>
        <v/>
      </c>
      <c r="G1192">
        <f>IF($F1192="","",IF(Sync!$AE1192="","",IF(ISNUMBER(Sync!$AE1192),IF(AND(Sync!$AE1192&gt;=10000101,Sync!$AE1192&lt;=99991231),INT(Sync!$AE1192/10000),""),IFERROR(VALUE(TRIM(LEFT(Sync!$AE1192,FIND("/",Sync!$AE1192)-1))),""))))</f>
        <v/>
      </c>
      <c r="H1192">
        <f>IF(OR($F1192="",$G1192=""),"",IF(ISNUMBER(Sync!$AE1192),INT(MOD(Sync!$AE1192,10000)/100),IFERROR(VALUE(TRIM(LEFT(MID(Sync!$AE1192,FIND("/",Sync!$AE1192)+1,20),FIND("/",MID(Sync!$AE1192,FIND("/",Sync!$AE1192)+1,20))-1))),"")))</f>
        <v/>
      </c>
      <c r="I1192">
        <f>IF(OR($F1192="",$G1192=""),"",IF(ISNUMBER(Sync!$AE1192),MOD(Sync!$AE1192,100),IFERROR(VALUE(TRIM(MID(MID(Sync!$AE1192,FIND("/",Sync!$AE1192)+1,20),FIND("/",MID(Sync!$AE1192,FIND("/",Sync!$AE1192)+1,20))+1,20))),"")))</f>
        <v/>
      </c>
      <c r="J1192">
        <f>IF($F1192="","",IF(OR($G1192="",$H1192="",$I1192="",$G1192&lt;1300,$G1192&gt;1500,$H1192&lt;1,$H1192&gt;12,$I1192&lt;1,$I1192&gt;31),"نامعتبر",RIGHT("0000"&amp;$G1192,4)&amp;"/"&amp;RIGHT("00"&amp;$H1192,2)&amp;"/"&amp;RIGHT("00"&amp;$I1192,2)))</f>
        <v/>
      </c>
      <c r="K1192">
        <f>IF(OR($F1192="",$J1192="",$J1192="نامعتبر"),"",LEFT($J1192,4)&amp;MID($J1192,6,2)&amp;RIGHT($J1192,2)&amp;$N1192&amp;"|"&amp;"2"&amp;RIGHT("00000"&amp;1187,5))</f>
        <v/>
      </c>
      <c r="L1192">
        <f>IF($K1192="","",COUNTIFS(LdgSellerA,$F1192,LdgKeyA,"&lt;"&amp;$K1192)+COUNTIFS(LdgSellerB,$F1192,LdgKeyB,"&lt;"&amp;$K1192)+1)</f>
        <v/>
      </c>
      <c r="M1192">
        <f>IF($L1192="","",$F1192&amp;"|"&amp;RIGHT("000000"&amp;$L1192,6))</f>
        <v/>
      </c>
      <c r="N1192">
        <f>IF($F1192="","",IF(Sync!$AF1192="","0000",IF(AND(ISNUMBER(Sync!$AF1192),Sync!$AF1192&gt;=0,Sync!$AF1192&lt;1),RIGHT("00"&amp;HOUR(Sync!$AF1192),2)&amp;RIGHT("00"&amp;MINUTE(Sync!$AF1192),2),IFERROR(RIGHT("00"&amp;VALUE(LEFT(Sync!$AF1192,FIND(":",Sync!$AF1192)-1)),2)&amp;RIGHT("00"&amp;VALUE(MID(Sync!$AF1192,FIND(":",Sync!$AF1192)+1,2)),2),"0000"))))</f>
        <v/>
      </c>
    </row>
    <row r="1193">
      <c r="A1193">
        <f>IF(OR(Calc!$E1197="",Calc!$E1197="نامعتبر",Calc!$G1197=""),"",Calc!$G1197)</f>
        <v/>
      </c>
      <c r="B1193">
        <f>IF($A1193="","",LEFT(Calc!$E1197,4)&amp;MID(Calc!$E1197,6,2)&amp;RIGHT(Calc!$E1197,2)&amp;Calc!$Q1197&amp;"|"&amp;"1"&amp;RIGHT("00000"&amp;1188,5))</f>
        <v/>
      </c>
      <c r="C1193">
        <f>IF($B1193="","",COUNTIFS(LdgSellerA,$A1193,LdgKeyA,"&lt;"&amp;$B1193)+COUNTIFS(LdgSellerB,$A1193,LdgKeyB,"&lt;"&amp;$B1193)+1)</f>
        <v/>
      </c>
      <c r="D1193">
        <f>IF($C1193="","",$A1193&amp;"|"&amp;RIGHT("000000"&amp;$C1193,6))</f>
        <v/>
      </c>
      <c r="F1193">
        <f>IF(Sync!$AH1193="","",IF(LEFT(UPPER(TRIM(Sync!$AH1193)),2)="SL",UPPER(TRIM(Sync!$AH1193)),""))</f>
        <v/>
      </c>
      <c r="G1193">
        <f>IF($F1193="","",IF(Sync!$AE1193="","",IF(ISNUMBER(Sync!$AE1193),IF(AND(Sync!$AE1193&gt;=10000101,Sync!$AE1193&lt;=99991231),INT(Sync!$AE1193/10000),""),IFERROR(VALUE(TRIM(LEFT(Sync!$AE1193,FIND("/",Sync!$AE1193)-1))),""))))</f>
        <v/>
      </c>
      <c r="H1193">
        <f>IF(OR($F1193="",$G1193=""),"",IF(ISNUMBER(Sync!$AE1193),INT(MOD(Sync!$AE1193,10000)/100),IFERROR(VALUE(TRIM(LEFT(MID(Sync!$AE1193,FIND("/",Sync!$AE1193)+1,20),FIND("/",MID(Sync!$AE1193,FIND("/",Sync!$AE1193)+1,20))-1))),"")))</f>
        <v/>
      </c>
      <c r="I1193">
        <f>IF(OR($F1193="",$G1193=""),"",IF(ISNUMBER(Sync!$AE1193),MOD(Sync!$AE1193,100),IFERROR(VALUE(TRIM(MID(MID(Sync!$AE1193,FIND("/",Sync!$AE1193)+1,20),FIND("/",MID(Sync!$AE1193,FIND("/",Sync!$AE1193)+1,20))+1,20))),"")))</f>
        <v/>
      </c>
      <c r="J1193">
        <f>IF($F1193="","",IF(OR($G1193="",$H1193="",$I1193="",$G1193&lt;1300,$G1193&gt;1500,$H1193&lt;1,$H1193&gt;12,$I1193&lt;1,$I1193&gt;31),"نامعتبر",RIGHT("0000"&amp;$G1193,4)&amp;"/"&amp;RIGHT("00"&amp;$H1193,2)&amp;"/"&amp;RIGHT("00"&amp;$I1193,2)))</f>
        <v/>
      </c>
      <c r="K1193">
        <f>IF(OR($F1193="",$J1193="",$J1193="نامعتبر"),"",LEFT($J1193,4)&amp;MID($J1193,6,2)&amp;RIGHT($J1193,2)&amp;$N1193&amp;"|"&amp;"2"&amp;RIGHT("00000"&amp;1188,5))</f>
        <v/>
      </c>
      <c r="L1193">
        <f>IF($K1193="","",COUNTIFS(LdgSellerA,$F1193,LdgKeyA,"&lt;"&amp;$K1193)+COUNTIFS(LdgSellerB,$F1193,LdgKeyB,"&lt;"&amp;$K1193)+1)</f>
        <v/>
      </c>
      <c r="M1193">
        <f>IF($L1193="","",$F1193&amp;"|"&amp;RIGHT("000000"&amp;$L1193,6))</f>
        <v/>
      </c>
      <c r="N1193">
        <f>IF($F1193="","",IF(Sync!$AF1193="","0000",IF(AND(ISNUMBER(Sync!$AF1193),Sync!$AF1193&gt;=0,Sync!$AF1193&lt;1),RIGHT("00"&amp;HOUR(Sync!$AF1193),2)&amp;RIGHT("00"&amp;MINUTE(Sync!$AF1193),2),IFERROR(RIGHT("00"&amp;VALUE(LEFT(Sync!$AF1193,FIND(":",Sync!$AF1193)-1)),2)&amp;RIGHT("00"&amp;VALUE(MID(Sync!$AF1193,FIND(":",Sync!$AF1193)+1,2)),2),"0000"))))</f>
        <v/>
      </c>
    </row>
    <row r="1194">
      <c r="A1194">
        <f>IF(OR(Calc!$E1198="",Calc!$E1198="نامعتبر",Calc!$G1198=""),"",Calc!$G1198)</f>
        <v/>
      </c>
      <c r="B1194">
        <f>IF($A1194="","",LEFT(Calc!$E1198,4)&amp;MID(Calc!$E1198,6,2)&amp;RIGHT(Calc!$E1198,2)&amp;Calc!$Q1198&amp;"|"&amp;"1"&amp;RIGHT("00000"&amp;1189,5))</f>
        <v/>
      </c>
      <c r="C1194">
        <f>IF($B1194="","",COUNTIFS(LdgSellerA,$A1194,LdgKeyA,"&lt;"&amp;$B1194)+COUNTIFS(LdgSellerB,$A1194,LdgKeyB,"&lt;"&amp;$B1194)+1)</f>
        <v/>
      </c>
      <c r="D1194">
        <f>IF($C1194="","",$A1194&amp;"|"&amp;RIGHT("000000"&amp;$C1194,6))</f>
        <v/>
      </c>
      <c r="F1194">
        <f>IF(Sync!$AH1194="","",IF(LEFT(UPPER(TRIM(Sync!$AH1194)),2)="SL",UPPER(TRIM(Sync!$AH1194)),""))</f>
        <v/>
      </c>
      <c r="G1194">
        <f>IF($F1194="","",IF(Sync!$AE1194="","",IF(ISNUMBER(Sync!$AE1194),IF(AND(Sync!$AE1194&gt;=10000101,Sync!$AE1194&lt;=99991231),INT(Sync!$AE1194/10000),""),IFERROR(VALUE(TRIM(LEFT(Sync!$AE1194,FIND("/",Sync!$AE1194)-1))),""))))</f>
        <v/>
      </c>
      <c r="H1194">
        <f>IF(OR($F1194="",$G1194=""),"",IF(ISNUMBER(Sync!$AE1194),INT(MOD(Sync!$AE1194,10000)/100),IFERROR(VALUE(TRIM(LEFT(MID(Sync!$AE1194,FIND("/",Sync!$AE1194)+1,20),FIND("/",MID(Sync!$AE1194,FIND("/",Sync!$AE1194)+1,20))-1))),"")))</f>
        <v/>
      </c>
      <c r="I1194">
        <f>IF(OR($F1194="",$G1194=""),"",IF(ISNUMBER(Sync!$AE1194),MOD(Sync!$AE1194,100),IFERROR(VALUE(TRIM(MID(MID(Sync!$AE1194,FIND("/",Sync!$AE1194)+1,20),FIND("/",MID(Sync!$AE1194,FIND("/",Sync!$AE1194)+1,20))+1,20))),"")))</f>
        <v/>
      </c>
      <c r="J1194">
        <f>IF($F1194="","",IF(OR($G1194="",$H1194="",$I1194="",$G1194&lt;1300,$G1194&gt;1500,$H1194&lt;1,$H1194&gt;12,$I1194&lt;1,$I1194&gt;31),"نامعتبر",RIGHT("0000"&amp;$G1194,4)&amp;"/"&amp;RIGHT("00"&amp;$H1194,2)&amp;"/"&amp;RIGHT("00"&amp;$I1194,2)))</f>
        <v/>
      </c>
      <c r="K1194">
        <f>IF(OR($F1194="",$J1194="",$J1194="نامعتبر"),"",LEFT($J1194,4)&amp;MID($J1194,6,2)&amp;RIGHT($J1194,2)&amp;$N1194&amp;"|"&amp;"2"&amp;RIGHT("00000"&amp;1189,5))</f>
        <v/>
      </c>
      <c r="L1194">
        <f>IF($K1194="","",COUNTIFS(LdgSellerA,$F1194,LdgKeyA,"&lt;"&amp;$K1194)+COUNTIFS(LdgSellerB,$F1194,LdgKeyB,"&lt;"&amp;$K1194)+1)</f>
        <v/>
      </c>
      <c r="M1194">
        <f>IF($L1194="","",$F1194&amp;"|"&amp;RIGHT("000000"&amp;$L1194,6))</f>
        <v/>
      </c>
      <c r="N1194">
        <f>IF($F1194="","",IF(Sync!$AF1194="","0000",IF(AND(ISNUMBER(Sync!$AF1194),Sync!$AF1194&gt;=0,Sync!$AF1194&lt;1),RIGHT("00"&amp;HOUR(Sync!$AF1194),2)&amp;RIGHT("00"&amp;MINUTE(Sync!$AF1194),2),IFERROR(RIGHT("00"&amp;VALUE(LEFT(Sync!$AF1194,FIND(":",Sync!$AF1194)-1)),2)&amp;RIGHT("00"&amp;VALUE(MID(Sync!$AF1194,FIND(":",Sync!$AF1194)+1,2)),2),"0000"))))</f>
        <v/>
      </c>
    </row>
    <row r="1195">
      <c r="A1195">
        <f>IF(OR(Calc!$E1199="",Calc!$E1199="نامعتبر",Calc!$G1199=""),"",Calc!$G1199)</f>
        <v/>
      </c>
      <c r="B1195">
        <f>IF($A1195="","",LEFT(Calc!$E1199,4)&amp;MID(Calc!$E1199,6,2)&amp;RIGHT(Calc!$E1199,2)&amp;Calc!$Q1199&amp;"|"&amp;"1"&amp;RIGHT("00000"&amp;1190,5))</f>
        <v/>
      </c>
      <c r="C1195">
        <f>IF($B1195="","",COUNTIFS(LdgSellerA,$A1195,LdgKeyA,"&lt;"&amp;$B1195)+COUNTIFS(LdgSellerB,$A1195,LdgKeyB,"&lt;"&amp;$B1195)+1)</f>
        <v/>
      </c>
      <c r="D1195">
        <f>IF($C1195="","",$A1195&amp;"|"&amp;RIGHT("000000"&amp;$C1195,6))</f>
        <v/>
      </c>
      <c r="F1195">
        <f>IF(Sync!$AH1195="","",IF(LEFT(UPPER(TRIM(Sync!$AH1195)),2)="SL",UPPER(TRIM(Sync!$AH1195)),""))</f>
        <v/>
      </c>
      <c r="G1195">
        <f>IF($F1195="","",IF(Sync!$AE1195="","",IF(ISNUMBER(Sync!$AE1195),IF(AND(Sync!$AE1195&gt;=10000101,Sync!$AE1195&lt;=99991231),INT(Sync!$AE1195/10000),""),IFERROR(VALUE(TRIM(LEFT(Sync!$AE1195,FIND("/",Sync!$AE1195)-1))),""))))</f>
        <v/>
      </c>
      <c r="H1195">
        <f>IF(OR($F1195="",$G1195=""),"",IF(ISNUMBER(Sync!$AE1195),INT(MOD(Sync!$AE1195,10000)/100),IFERROR(VALUE(TRIM(LEFT(MID(Sync!$AE1195,FIND("/",Sync!$AE1195)+1,20),FIND("/",MID(Sync!$AE1195,FIND("/",Sync!$AE1195)+1,20))-1))),"")))</f>
        <v/>
      </c>
      <c r="I1195">
        <f>IF(OR($F1195="",$G1195=""),"",IF(ISNUMBER(Sync!$AE1195),MOD(Sync!$AE1195,100),IFERROR(VALUE(TRIM(MID(MID(Sync!$AE1195,FIND("/",Sync!$AE1195)+1,20),FIND("/",MID(Sync!$AE1195,FIND("/",Sync!$AE1195)+1,20))+1,20))),"")))</f>
        <v/>
      </c>
      <c r="J1195">
        <f>IF($F1195="","",IF(OR($G1195="",$H1195="",$I1195="",$G1195&lt;1300,$G1195&gt;1500,$H1195&lt;1,$H1195&gt;12,$I1195&lt;1,$I1195&gt;31),"نامعتبر",RIGHT("0000"&amp;$G1195,4)&amp;"/"&amp;RIGHT("00"&amp;$H1195,2)&amp;"/"&amp;RIGHT("00"&amp;$I1195,2)))</f>
        <v/>
      </c>
      <c r="K1195">
        <f>IF(OR($F1195="",$J1195="",$J1195="نامعتبر"),"",LEFT($J1195,4)&amp;MID($J1195,6,2)&amp;RIGHT($J1195,2)&amp;$N1195&amp;"|"&amp;"2"&amp;RIGHT("00000"&amp;1190,5))</f>
        <v/>
      </c>
      <c r="L1195">
        <f>IF($K1195="","",COUNTIFS(LdgSellerA,$F1195,LdgKeyA,"&lt;"&amp;$K1195)+COUNTIFS(LdgSellerB,$F1195,LdgKeyB,"&lt;"&amp;$K1195)+1)</f>
        <v/>
      </c>
      <c r="M1195">
        <f>IF($L1195="","",$F1195&amp;"|"&amp;RIGHT("000000"&amp;$L1195,6))</f>
        <v/>
      </c>
      <c r="N1195">
        <f>IF($F1195="","",IF(Sync!$AF1195="","0000",IF(AND(ISNUMBER(Sync!$AF1195),Sync!$AF1195&gt;=0,Sync!$AF1195&lt;1),RIGHT("00"&amp;HOUR(Sync!$AF1195),2)&amp;RIGHT("00"&amp;MINUTE(Sync!$AF1195),2),IFERROR(RIGHT("00"&amp;VALUE(LEFT(Sync!$AF1195,FIND(":",Sync!$AF1195)-1)),2)&amp;RIGHT("00"&amp;VALUE(MID(Sync!$AF1195,FIND(":",Sync!$AF1195)+1,2)),2),"0000"))))</f>
        <v/>
      </c>
    </row>
    <row r="1196">
      <c r="A1196">
        <f>IF(OR(Calc!$E1200="",Calc!$E1200="نامعتبر",Calc!$G1200=""),"",Calc!$G1200)</f>
        <v/>
      </c>
      <c r="B1196">
        <f>IF($A1196="","",LEFT(Calc!$E1200,4)&amp;MID(Calc!$E1200,6,2)&amp;RIGHT(Calc!$E1200,2)&amp;Calc!$Q1200&amp;"|"&amp;"1"&amp;RIGHT("00000"&amp;1191,5))</f>
        <v/>
      </c>
      <c r="C1196">
        <f>IF($B1196="","",COUNTIFS(LdgSellerA,$A1196,LdgKeyA,"&lt;"&amp;$B1196)+COUNTIFS(LdgSellerB,$A1196,LdgKeyB,"&lt;"&amp;$B1196)+1)</f>
        <v/>
      </c>
      <c r="D1196">
        <f>IF($C1196="","",$A1196&amp;"|"&amp;RIGHT("000000"&amp;$C1196,6))</f>
        <v/>
      </c>
      <c r="F1196">
        <f>IF(Sync!$AH1196="","",IF(LEFT(UPPER(TRIM(Sync!$AH1196)),2)="SL",UPPER(TRIM(Sync!$AH1196)),""))</f>
        <v/>
      </c>
      <c r="G1196">
        <f>IF($F1196="","",IF(Sync!$AE1196="","",IF(ISNUMBER(Sync!$AE1196),IF(AND(Sync!$AE1196&gt;=10000101,Sync!$AE1196&lt;=99991231),INT(Sync!$AE1196/10000),""),IFERROR(VALUE(TRIM(LEFT(Sync!$AE1196,FIND("/",Sync!$AE1196)-1))),""))))</f>
        <v/>
      </c>
      <c r="H1196">
        <f>IF(OR($F1196="",$G1196=""),"",IF(ISNUMBER(Sync!$AE1196),INT(MOD(Sync!$AE1196,10000)/100),IFERROR(VALUE(TRIM(LEFT(MID(Sync!$AE1196,FIND("/",Sync!$AE1196)+1,20),FIND("/",MID(Sync!$AE1196,FIND("/",Sync!$AE1196)+1,20))-1))),"")))</f>
        <v/>
      </c>
      <c r="I1196">
        <f>IF(OR($F1196="",$G1196=""),"",IF(ISNUMBER(Sync!$AE1196),MOD(Sync!$AE1196,100),IFERROR(VALUE(TRIM(MID(MID(Sync!$AE1196,FIND("/",Sync!$AE1196)+1,20),FIND("/",MID(Sync!$AE1196,FIND("/",Sync!$AE1196)+1,20))+1,20))),"")))</f>
        <v/>
      </c>
      <c r="J1196">
        <f>IF($F1196="","",IF(OR($G1196="",$H1196="",$I1196="",$G1196&lt;1300,$G1196&gt;1500,$H1196&lt;1,$H1196&gt;12,$I1196&lt;1,$I1196&gt;31),"نامعتبر",RIGHT("0000"&amp;$G1196,4)&amp;"/"&amp;RIGHT("00"&amp;$H1196,2)&amp;"/"&amp;RIGHT("00"&amp;$I1196,2)))</f>
        <v/>
      </c>
      <c r="K1196">
        <f>IF(OR($F1196="",$J1196="",$J1196="نامعتبر"),"",LEFT($J1196,4)&amp;MID($J1196,6,2)&amp;RIGHT($J1196,2)&amp;$N1196&amp;"|"&amp;"2"&amp;RIGHT("00000"&amp;1191,5))</f>
        <v/>
      </c>
      <c r="L1196">
        <f>IF($K1196="","",COUNTIFS(LdgSellerA,$F1196,LdgKeyA,"&lt;"&amp;$K1196)+COUNTIFS(LdgSellerB,$F1196,LdgKeyB,"&lt;"&amp;$K1196)+1)</f>
        <v/>
      </c>
      <c r="M1196">
        <f>IF($L1196="","",$F1196&amp;"|"&amp;RIGHT("000000"&amp;$L1196,6))</f>
        <v/>
      </c>
      <c r="N1196">
        <f>IF($F1196="","",IF(Sync!$AF1196="","0000",IF(AND(ISNUMBER(Sync!$AF1196),Sync!$AF1196&gt;=0,Sync!$AF1196&lt;1),RIGHT("00"&amp;HOUR(Sync!$AF1196),2)&amp;RIGHT("00"&amp;MINUTE(Sync!$AF1196),2),IFERROR(RIGHT("00"&amp;VALUE(LEFT(Sync!$AF1196,FIND(":",Sync!$AF1196)-1)),2)&amp;RIGHT("00"&amp;VALUE(MID(Sync!$AF1196,FIND(":",Sync!$AF1196)+1,2)),2),"0000"))))</f>
        <v/>
      </c>
    </row>
    <row r="1197">
      <c r="A1197">
        <f>IF(OR(Calc!$E1201="",Calc!$E1201="نامعتبر",Calc!$G1201=""),"",Calc!$G1201)</f>
        <v/>
      </c>
      <c r="B1197">
        <f>IF($A1197="","",LEFT(Calc!$E1201,4)&amp;MID(Calc!$E1201,6,2)&amp;RIGHT(Calc!$E1201,2)&amp;Calc!$Q1201&amp;"|"&amp;"1"&amp;RIGHT("00000"&amp;1192,5))</f>
        <v/>
      </c>
      <c r="C1197">
        <f>IF($B1197="","",COUNTIFS(LdgSellerA,$A1197,LdgKeyA,"&lt;"&amp;$B1197)+COUNTIFS(LdgSellerB,$A1197,LdgKeyB,"&lt;"&amp;$B1197)+1)</f>
        <v/>
      </c>
      <c r="D1197">
        <f>IF($C1197="","",$A1197&amp;"|"&amp;RIGHT("000000"&amp;$C1197,6))</f>
        <v/>
      </c>
      <c r="F1197">
        <f>IF(Sync!$AH1197="","",IF(LEFT(UPPER(TRIM(Sync!$AH1197)),2)="SL",UPPER(TRIM(Sync!$AH1197)),""))</f>
        <v/>
      </c>
      <c r="G1197">
        <f>IF($F1197="","",IF(Sync!$AE1197="","",IF(ISNUMBER(Sync!$AE1197),IF(AND(Sync!$AE1197&gt;=10000101,Sync!$AE1197&lt;=99991231),INT(Sync!$AE1197/10000),""),IFERROR(VALUE(TRIM(LEFT(Sync!$AE1197,FIND("/",Sync!$AE1197)-1))),""))))</f>
        <v/>
      </c>
      <c r="H1197">
        <f>IF(OR($F1197="",$G1197=""),"",IF(ISNUMBER(Sync!$AE1197),INT(MOD(Sync!$AE1197,10000)/100),IFERROR(VALUE(TRIM(LEFT(MID(Sync!$AE1197,FIND("/",Sync!$AE1197)+1,20),FIND("/",MID(Sync!$AE1197,FIND("/",Sync!$AE1197)+1,20))-1))),"")))</f>
        <v/>
      </c>
      <c r="I1197">
        <f>IF(OR($F1197="",$G1197=""),"",IF(ISNUMBER(Sync!$AE1197),MOD(Sync!$AE1197,100),IFERROR(VALUE(TRIM(MID(MID(Sync!$AE1197,FIND("/",Sync!$AE1197)+1,20),FIND("/",MID(Sync!$AE1197,FIND("/",Sync!$AE1197)+1,20))+1,20))),"")))</f>
        <v/>
      </c>
      <c r="J1197">
        <f>IF($F1197="","",IF(OR($G1197="",$H1197="",$I1197="",$G1197&lt;1300,$G1197&gt;1500,$H1197&lt;1,$H1197&gt;12,$I1197&lt;1,$I1197&gt;31),"نامعتبر",RIGHT("0000"&amp;$G1197,4)&amp;"/"&amp;RIGHT("00"&amp;$H1197,2)&amp;"/"&amp;RIGHT("00"&amp;$I1197,2)))</f>
        <v/>
      </c>
      <c r="K1197">
        <f>IF(OR($F1197="",$J1197="",$J1197="نامعتبر"),"",LEFT($J1197,4)&amp;MID($J1197,6,2)&amp;RIGHT($J1197,2)&amp;$N1197&amp;"|"&amp;"2"&amp;RIGHT("00000"&amp;1192,5))</f>
        <v/>
      </c>
      <c r="L1197">
        <f>IF($K1197="","",COUNTIFS(LdgSellerA,$F1197,LdgKeyA,"&lt;"&amp;$K1197)+COUNTIFS(LdgSellerB,$F1197,LdgKeyB,"&lt;"&amp;$K1197)+1)</f>
        <v/>
      </c>
      <c r="M1197">
        <f>IF($L1197="","",$F1197&amp;"|"&amp;RIGHT("000000"&amp;$L1197,6))</f>
        <v/>
      </c>
      <c r="N1197">
        <f>IF($F1197="","",IF(Sync!$AF1197="","0000",IF(AND(ISNUMBER(Sync!$AF1197),Sync!$AF1197&gt;=0,Sync!$AF1197&lt;1),RIGHT("00"&amp;HOUR(Sync!$AF1197),2)&amp;RIGHT("00"&amp;MINUTE(Sync!$AF1197),2),IFERROR(RIGHT("00"&amp;VALUE(LEFT(Sync!$AF1197,FIND(":",Sync!$AF1197)-1)),2)&amp;RIGHT("00"&amp;VALUE(MID(Sync!$AF1197,FIND(":",Sync!$AF1197)+1,2)),2),"0000"))))</f>
        <v/>
      </c>
    </row>
    <row r="1198">
      <c r="A1198">
        <f>IF(OR(Calc!$E1202="",Calc!$E1202="نامعتبر",Calc!$G1202=""),"",Calc!$G1202)</f>
        <v/>
      </c>
      <c r="B1198">
        <f>IF($A1198="","",LEFT(Calc!$E1202,4)&amp;MID(Calc!$E1202,6,2)&amp;RIGHT(Calc!$E1202,2)&amp;Calc!$Q1202&amp;"|"&amp;"1"&amp;RIGHT("00000"&amp;1193,5))</f>
        <v/>
      </c>
      <c r="C1198">
        <f>IF($B1198="","",COUNTIFS(LdgSellerA,$A1198,LdgKeyA,"&lt;"&amp;$B1198)+COUNTIFS(LdgSellerB,$A1198,LdgKeyB,"&lt;"&amp;$B1198)+1)</f>
        <v/>
      </c>
      <c r="D1198">
        <f>IF($C1198="","",$A1198&amp;"|"&amp;RIGHT("000000"&amp;$C1198,6))</f>
        <v/>
      </c>
      <c r="F1198">
        <f>IF(Sync!$AH1198="","",IF(LEFT(UPPER(TRIM(Sync!$AH1198)),2)="SL",UPPER(TRIM(Sync!$AH1198)),""))</f>
        <v/>
      </c>
      <c r="G1198">
        <f>IF($F1198="","",IF(Sync!$AE1198="","",IF(ISNUMBER(Sync!$AE1198),IF(AND(Sync!$AE1198&gt;=10000101,Sync!$AE1198&lt;=99991231),INT(Sync!$AE1198/10000),""),IFERROR(VALUE(TRIM(LEFT(Sync!$AE1198,FIND("/",Sync!$AE1198)-1))),""))))</f>
        <v/>
      </c>
      <c r="H1198">
        <f>IF(OR($F1198="",$G1198=""),"",IF(ISNUMBER(Sync!$AE1198),INT(MOD(Sync!$AE1198,10000)/100),IFERROR(VALUE(TRIM(LEFT(MID(Sync!$AE1198,FIND("/",Sync!$AE1198)+1,20),FIND("/",MID(Sync!$AE1198,FIND("/",Sync!$AE1198)+1,20))-1))),"")))</f>
        <v/>
      </c>
      <c r="I1198">
        <f>IF(OR($F1198="",$G1198=""),"",IF(ISNUMBER(Sync!$AE1198),MOD(Sync!$AE1198,100),IFERROR(VALUE(TRIM(MID(MID(Sync!$AE1198,FIND("/",Sync!$AE1198)+1,20),FIND("/",MID(Sync!$AE1198,FIND("/",Sync!$AE1198)+1,20))+1,20))),"")))</f>
        <v/>
      </c>
      <c r="J1198">
        <f>IF($F1198="","",IF(OR($G1198="",$H1198="",$I1198="",$G1198&lt;1300,$G1198&gt;1500,$H1198&lt;1,$H1198&gt;12,$I1198&lt;1,$I1198&gt;31),"نامعتبر",RIGHT("0000"&amp;$G1198,4)&amp;"/"&amp;RIGHT("00"&amp;$H1198,2)&amp;"/"&amp;RIGHT("00"&amp;$I1198,2)))</f>
        <v/>
      </c>
      <c r="K1198">
        <f>IF(OR($F1198="",$J1198="",$J1198="نامعتبر"),"",LEFT($J1198,4)&amp;MID($J1198,6,2)&amp;RIGHT($J1198,2)&amp;$N1198&amp;"|"&amp;"2"&amp;RIGHT("00000"&amp;1193,5))</f>
        <v/>
      </c>
      <c r="L1198">
        <f>IF($K1198="","",COUNTIFS(LdgSellerA,$F1198,LdgKeyA,"&lt;"&amp;$K1198)+COUNTIFS(LdgSellerB,$F1198,LdgKeyB,"&lt;"&amp;$K1198)+1)</f>
        <v/>
      </c>
      <c r="M1198">
        <f>IF($L1198="","",$F1198&amp;"|"&amp;RIGHT("000000"&amp;$L1198,6))</f>
        <v/>
      </c>
      <c r="N1198">
        <f>IF($F1198="","",IF(Sync!$AF1198="","0000",IF(AND(ISNUMBER(Sync!$AF1198),Sync!$AF1198&gt;=0,Sync!$AF1198&lt;1),RIGHT("00"&amp;HOUR(Sync!$AF1198),2)&amp;RIGHT("00"&amp;MINUTE(Sync!$AF1198),2),IFERROR(RIGHT("00"&amp;VALUE(LEFT(Sync!$AF1198,FIND(":",Sync!$AF1198)-1)),2)&amp;RIGHT("00"&amp;VALUE(MID(Sync!$AF1198,FIND(":",Sync!$AF1198)+1,2)),2),"0000"))))</f>
        <v/>
      </c>
    </row>
    <row r="1199">
      <c r="A1199">
        <f>IF(OR(Calc!$E1203="",Calc!$E1203="نامعتبر",Calc!$G1203=""),"",Calc!$G1203)</f>
        <v/>
      </c>
      <c r="B1199">
        <f>IF($A1199="","",LEFT(Calc!$E1203,4)&amp;MID(Calc!$E1203,6,2)&amp;RIGHT(Calc!$E1203,2)&amp;Calc!$Q1203&amp;"|"&amp;"1"&amp;RIGHT("00000"&amp;1194,5))</f>
        <v/>
      </c>
      <c r="C1199">
        <f>IF($B1199="","",COUNTIFS(LdgSellerA,$A1199,LdgKeyA,"&lt;"&amp;$B1199)+COUNTIFS(LdgSellerB,$A1199,LdgKeyB,"&lt;"&amp;$B1199)+1)</f>
        <v/>
      </c>
      <c r="D1199">
        <f>IF($C1199="","",$A1199&amp;"|"&amp;RIGHT("000000"&amp;$C1199,6))</f>
        <v/>
      </c>
      <c r="F1199">
        <f>IF(Sync!$AH1199="","",IF(LEFT(UPPER(TRIM(Sync!$AH1199)),2)="SL",UPPER(TRIM(Sync!$AH1199)),""))</f>
        <v/>
      </c>
      <c r="G1199">
        <f>IF($F1199="","",IF(Sync!$AE1199="","",IF(ISNUMBER(Sync!$AE1199),IF(AND(Sync!$AE1199&gt;=10000101,Sync!$AE1199&lt;=99991231),INT(Sync!$AE1199/10000),""),IFERROR(VALUE(TRIM(LEFT(Sync!$AE1199,FIND("/",Sync!$AE1199)-1))),""))))</f>
        <v/>
      </c>
      <c r="H1199">
        <f>IF(OR($F1199="",$G1199=""),"",IF(ISNUMBER(Sync!$AE1199),INT(MOD(Sync!$AE1199,10000)/100),IFERROR(VALUE(TRIM(LEFT(MID(Sync!$AE1199,FIND("/",Sync!$AE1199)+1,20),FIND("/",MID(Sync!$AE1199,FIND("/",Sync!$AE1199)+1,20))-1))),"")))</f>
        <v/>
      </c>
      <c r="I1199">
        <f>IF(OR($F1199="",$G1199=""),"",IF(ISNUMBER(Sync!$AE1199),MOD(Sync!$AE1199,100),IFERROR(VALUE(TRIM(MID(MID(Sync!$AE1199,FIND("/",Sync!$AE1199)+1,20),FIND("/",MID(Sync!$AE1199,FIND("/",Sync!$AE1199)+1,20))+1,20))),"")))</f>
        <v/>
      </c>
      <c r="J1199">
        <f>IF($F1199="","",IF(OR($G1199="",$H1199="",$I1199="",$G1199&lt;1300,$G1199&gt;1500,$H1199&lt;1,$H1199&gt;12,$I1199&lt;1,$I1199&gt;31),"نامعتبر",RIGHT("0000"&amp;$G1199,4)&amp;"/"&amp;RIGHT("00"&amp;$H1199,2)&amp;"/"&amp;RIGHT("00"&amp;$I1199,2)))</f>
        <v/>
      </c>
      <c r="K1199">
        <f>IF(OR($F1199="",$J1199="",$J1199="نامعتبر"),"",LEFT($J1199,4)&amp;MID($J1199,6,2)&amp;RIGHT($J1199,2)&amp;$N1199&amp;"|"&amp;"2"&amp;RIGHT("00000"&amp;1194,5))</f>
        <v/>
      </c>
      <c r="L1199">
        <f>IF($K1199="","",COUNTIFS(LdgSellerA,$F1199,LdgKeyA,"&lt;"&amp;$K1199)+COUNTIFS(LdgSellerB,$F1199,LdgKeyB,"&lt;"&amp;$K1199)+1)</f>
        <v/>
      </c>
      <c r="M1199">
        <f>IF($L1199="","",$F1199&amp;"|"&amp;RIGHT("000000"&amp;$L1199,6))</f>
        <v/>
      </c>
      <c r="N1199">
        <f>IF($F1199="","",IF(Sync!$AF1199="","0000",IF(AND(ISNUMBER(Sync!$AF1199),Sync!$AF1199&gt;=0,Sync!$AF1199&lt;1),RIGHT("00"&amp;HOUR(Sync!$AF1199),2)&amp;RIGHT("00"&amp;MINUTE(Sync!$AF1199),2),IFERROR(RIGHT("00"&amp;VALUE(LEFT(Sync!$AF1199,FIND(":",Sync!$AF1199)-1)),2)&amp;RIGHT("00"&amp;VALUE(MID(Sync!$AF1199,FIND(":",Sync!$AF1199)+1,2)),2),"0000"))))</f>
        <v/>
      </c>
    </row>
    <row r="1200">
      <c r="A1200">
        <f>IF(OR(Calc!$E1204="",Calc!$E1204="نامعتبر",Calc!$G1204=""),"",Calc!$G1204)</f>
        <v/>
      </c>
      <c r="B1200">
        <f>IF($A1200="","",LEFT(Calc!$E1204,4)&amp;MID(Calc!$E1204,6,2)&amp;RIGHT(Calc!$E1204,2)&amp;Calc!$Q1204&amp;"|"&amp;"1"&amp;RIGHT("00000"&amp;1195,5))</f>
        <v/>
      </c>
      <c r="C1200">
        <f>IF($B1200="","",COUNTIFS(LdgSellerA,$A1200,LdgKeyA,"&lt;"&amp;$B1200)+COUNTIFS(LdgSellerB,$A1200,LdgKeyB,"&lt;"&amp;$B1200)+1)</f>
        <v/>
      </c>
      <c r="D1200">
        <f>IF($C1200="","",$A1200&amp;"|"&amp;RIGHT("000000"&amp;$C1200,6))</f>
        <v/>
      </c>
      <c r="F1200">
        <f>IF(Sync!$AH1200="","",IF(LEFT(UPPER(TRIM(Sync!$AH1200)),2)="SL",UPPER(TRIM(Sync!$AH1200)),""))</f>
        <v/>
      </c>
      <c r="G1200">
        <f>IF($F1200="","",IF(Sync!$AE1200="","",IF(ISNUMBER(Sync!$AE1200),IF(AND(Sync!$AE1200&gt;=10000101,Sync!$AE1200&lt;=99991231),INT(Sync!$AE1200/10000),""),IFERROR(VALUE(TRIM(LEFT(Sync!$AE1200,FIND("/",Sync!$AE1200)-1))),""))))</f>
        <v/>
      </c>
      <c r="H1200">
        <f>IF(OR($F1200="",$G1200=""),"",IF(ISNUMBER(Sync!$AE1200),INT(MOD(Sync!$AE1200,10000)/100),IFERROR(VALUE(TRIM(LEFT(MID(Sync!$AE1200,FIND("/",Sync!$AE1200)+1,20),FIND("/",MID(Sync!$AE1200,FIND("/",Sync!$AE1200)+1,20))-1))),"")))</f>
        <v/>
      </c>
      <c r="I1200">
        <f>IF(OR($F1200="",$G1200=""),"",IF(ISNUMBER(Sync!$AE1200),MOD(Sync!$AE1200,100),IFERROR(VALUE(TRIM(MID(MID(Sync!$AE1200,FIND("/",Sync!$AE1200)+1,20),FIND("/",MID(Sync!$AE1200,FIND("/",Sync!$AE1200)+1,20))+1,20))),"")))</f>
        <v/>
      </c>
      <c r="J1200">
        <f>IF($F1200="","",IF(OR($G1200="",$H1200="",$I1200="",$G1200&lt;1300,$G1200&gt;1500,$H1200&lt;1,$H1200&gt;12,$I1200&lt;1,$I1200&gt;31),"نامعتبر",RIGHT("0000"&amp;$G1200,4)&amp;"/"&amp;RIGHT("00"&amp;$H1200,2)&amp;"/"&amp;RIGHT("00"&amp;$I1200,2)))</f>
        <v/>
      </c>
      <c r="K1200">
        <f>IF(OR($F1200="",$J1200="",$J1200="نامعتبر"),"",LEFT($J1200,4)&amp;MID($J1200,6,2)&amp;RIGHT($J1200,2)&amp;$N1200&amp;"|"&amp;"2"&amp;RIGHT("00000"&amp;1195,5))</f>
        <v/>
      </c>
      <c r="L1200">
        <f>IF($K1200="","",COUNTIFS(LdgSellerA,$F1200,LdgKeyA,"&lt;"&amp;$K1200)+COUNTIFS(LdgSellerB,$F1200,LdgKeyB,"&lt;"&amp;$K1200)+1)</f>
        <v/>
      </c>
      <c r="M1200">
        <f>IF($L1200="","",$F1200&amp;"|"&amp;RIGHT("000000"&amp;$L1200,6))</f>
        <v/>
      </c>
      <c r="N1200">
        <f>IF($F1200="","",IF(Sync!$AF1200="","0000",IF(AND(ISNUMBER(Sync!$AF1200),Sync!$AF1200&gt;=0,Sync!$AF1200&lt;1),RIGHT("00"&amp;HOUR(Sync!$AF1200),2)&amp;RIGHT("00"&amp;MINUTE(Sync!$AF1200),2),IFERROR(RIGHT("00"&amp;VALUE(LEFT(Sync!$AF1200,FIND(":",Sync!$AF1200)-1)),2)&amp;RIGHT("00"&amp;VALUE(MID(Sync!$AF1200,FIND(":",Sync!$AF1200)+1,2)),2),"0000"))))</f>
        <v/>
      </c>
    </row>
    <row r="1201">
      <c r="A1201">
        <f>IF(OR(Calc!$E1205="",Calc!$E1205="نامعتبر",Calc!$G1205=""),"",Calc!$G1205)</f>
        <v/>
      </c>
      <c r="B1201">
        <f>IF($A1201="","",LEFT(Calc!$E1205,4)&amp;MID(Calc!$E1205,6,2)&amp;RIGHT(Calc!$E1205,2)&amp;Calc!$Q1205&amp;"|"&amp;"1"&amp;RIGHT("00000"&amp;1196,5))</f>
        <v/>
      </c>
      <c r="C1201">
        <f>IF($B1201="","",COUNTIFS(LdgSellerA,$A1201,LdgKeyA,"&lt;"&amp;$B1201)+COUNTIFS(LdgSellerB,$A1201,LdgKeyB,"&lt;"&amp;$B1201)+1)</f>
        <v/>
      </c>
      <c r="D1201">
        <f>IF($C1201="","",$A1201&amp;"|"&amp;RIGHT("000000"&amp;$C1201,6))</f>
        <v/>
      </c>
      <c r="F1201">
        <f>IF(Sync!$AH1201="","",IF(LEFT(UPPER(TRIM(Sync!$AH1201)),2)="SL",UPPER(TRIM(Sync!$AH1201)),""))</f>
        <v/>
      </c>
      <c r="G1201">
        <f>IF($F1201="","",IF(Sync!$AE1201="","",IF(ISNUMBER(Sync!$AE1201),IF(AND(Sync!$AE1201&gt;=10000101,Sync!$AE1201&lt;=99991231),INT(Sync!$AE1201/10000),""),IFERROR(VALUE(TRIM(LEFT(Sync!$AE1201,FIND("/",Sync!$AE1201)-1))),""))))</f>
        <v/>
      </c>
      <c r="H1201">
        <f>IF(OR($F1201="",$G1201=""),"",IF(ISNUMBER(Sync!$AE1201),INT(MOD(Sync!$AE1201,10000)/100),IFERROR(VALUE(TRIM(LEFT(MID(Sync!$AE1201,FIND("/",Sync!$AE1201)+1,20),FIND("/",MID(Sync!$AE1201,FIND("/",Sync!$AE1201)+1,20))-1))),"")))</f>
        <v/>
      </c>
      <c r="I1201">
        <f>IF(OR($F1201="",$G1201=""),"",IF(ISNUMBER(Sync!$AE1201),MOD(Sync!$AE1201,100),IFERROR(VALUE(TRIM(MID(MID(Sync!$AE1201,FIND("/",Sync!$AE1201)+1,20),FIND("/",MID(Sync!$AE1201,FIND("/",Sync!$AE1201)+1,20))+1,20))),"")))</f>
        <v/>
      </c>
      <c r="J1201">
        <f>IF($F1201="","",IF(OR($G1201="",$H1201="",$I1201="",$G1201&lt;1300,$G1201&gt;1500,$H1201&lt;1,$H1201&gt;12,$I1201&lt;1,$I1201&gt;31),"نامعتبر",RIGHT("0000"&amp;$G1201,4)&amp;"/"&amp;RIGHT("00"&amp;$H1201,2)&amp;"/"&amp;RIGHT("00"&amp;$I1201,2)))</f>
        <v/>
      </c>
      <c r="K1201">
        <f>IF(OR($F1201="",$J1201="",$J1201="نامعتبر"),"",LEFT($J1201,4)&amp;MID($J1201,6,2)&amp;RIGHT($J1201,2)&amp;$N1201&amp;"|"&amp;"2"&amp;RIGHT("00000"&amp;1196,5))</f>
        <v/>
      </c>
      <c r="L1201">
        <f>IF($K1201="","",COUNTIFS(LdgSellerA,$F1201,LdgKeyA,"&lt;"&amp;$K1201)+COUNTIFS(LdgSellerB,$F1201,LdgKeyB,"&lt;"&amp;$K1201)+1)</f>
        <v/>
      </c>
      <c r="M1201">
        <f>IF($L1201="","",$F1201&amp;"|"&amp;RIGHT("000000"&amp;$L1201,6))</f>
        <v/>
      </c>
      <c r="N1201">
        <f>IF($F1201="","",IF(Sync!$AF1201="","0000",IF(AND(ISNUMBER(Sync!$AF1201),Sync!$AF1201&gt;=0,Sync!$AF1201&lt;1),RIGHT("00"&amp;HOUR(Sync!$AF1201),2)&amp;RIGHT("00"&amp;MINUTE(Sync!$AF1201),2),IFERROR(RIGHT("00"&amp;VALUE(LEFT(Sync!$AF1201,FIND(":",Sync!$AF1201)-1)),2)&amp;RIGHT("00"&amp;VALUE(MID(Sync!$AF1201,FIND(":",Sync!$AF1201)+1,2)),2),"0000"))))</f>
        <v/>
      </c>
    </row>
    <row r="1202">
      <c r="A1202">
        <f>IF(OR(Calc!$E1206="",Calc!$E1206="نامعتبر",Calc!$G1206=""),"",Calc!$G1206)</f>
        <v/>
      </c>
      <c r="B1202">
        <f>IF($A1202="","",LEFT(Calc!$E1206,4)&amp;MID(Calc!$E1206,6,2)&amp;RIGHT(Calc!$E1206,2)&amp;Calc!$Q1206&amp;"|"&amp;"1"&amp;RIGHT("00000"&amp;1197,5))</f>
        <v/>
      </c>
      <c r="C1202">
        <f>IF($B1202="","",COUNTIFS(LdgSellerA,$A1202,LdgKeyA,"&lt;"&amp;$B1202)+COUNTIFS(LdgSellerB,$A1202,LdgKeyB,"&lt;"&amp;$B1202)+1)</f>
        <v/>
      </c>
      <c r="D1202">
        <f>IF($C1202="","",$A1202&amp;"|"&amp;RIGHT("000000"&amp;$C1202,6))</f>
        <v/>
      </c>
      <c r="F1202">
        <f>IF(Sync!$AH1202="","",IF(LEFT(UPPER(TRIM(Sync!$AH1202)),2)="SL",UPPER(TRIM(Sync!$AH1202)),""))</f>
        <v/>
      </c>
      <c r="G1202">
        <f>IF($F1202="","",IF(Sync!$AE1202="","",IF(ISNUMBER(Sync!$AE1202),IF(AND(Sync!$AE1202&gt;=10000101,Sync!$AE1202&lt;=99991231),INT(Sync!$AE1202/10000),""),IFERROR(VALUE(TRIM(LEFT(Sync!$AE1202,FIND("/",Sync!$AE1202)-1))),""))))</f>
        <v/>
      </c>
      <c r="H1202">
        <f>IF(OR($F1202="",$G1202=""),"",IF(ISNUMBER(Sync!$AE1202),INT(MOD(Sync!$AE1202,10000)/100),IFERROR(VALUE(TRIM(LEFT(MID(Sync!$AE1202,FIND("/",Sync!$AE1202)+1,20),FIND("/",MID(Sync!$AE1202,FIND("/",Sync!$AE1202)+1,20))-1))),"")))</f>
        <v/>
      </c>
      <c r="I1202">
        <f>IF(OR($F1202="",$G1202=""),"",IF(ISNUMBER(Sync!$AE1202),MOD(Sync!$AE1202,100),IFERROR(VALUE(TRIM(MID(MID(Sync!$AE1202,FIND("/",Sync!$AE1202)+1,20),FIND("/",MID(Sync!$AE1202,FIND("/",Sync!$AE1202)+1,20))+1,20))),"")))</f>
        <v/>
      </c>
      <c r="J1202">
        <f>IF($F1202="","",IF(OR($G1202="",$H1202="",$I1202="",$G1202&lt;1300,$G1202&gt;1500,$H1202&lt;1,$H1202&gt;12,$I1202&lt;1,$I1202&gt;31),"نامعتبر",RIGHT("0000"&amp;$G1202,4)&amp;"/"&amp;RIGHT("00"&amp;$H1202,2)&amp;"/"&amp;RIGHT("00"&amp;$I1202,2)))</f>
        <v/>
      </c>
      <c r="K1202">
        <f>IF(OR($F1202="",$J1202="",$J1202="نامعتبر"),"",LEFT($J1202,4)&amp;MID($J1202,6,2)&amp;RIGHT($J1202,2)&amp;$N1202&amp;"|"&amp;"2"&amp;RIGHT("00000"&amp;1197,5))</f>
        <v/>
      </c>
      <c r="L1202">
        <f>IF($K1202="","",COUNTIFS(LdgSellerA,$F1202,LdgKeyA,"&lt;"&amp;$K1202)+COUNTIFS(LdgSellerB,$F1202,LdgKeyB,"&lt;"&amp;$K1202)+1)</f>
        <v/>
      </c>
      <c r="M1202">
        <f>IF($L1202="","",$F1202&amp;"|"&amp;RIGHT("000000"&amp;$L1202,6))</f>
        <v/>
      </c>
      <c r="N1202">
        <f>IF($F1202="","",IF(Sync!$AF1202="","0000",IF(AND(ISNUMBER(Sync!$AF1202),Sync!$AF1202&gt;=0,Sync!$AF1202&lt;1),RIGHT("00"&amp;HOUR(Sync!$AF1202),2)&amp;RIGHT("00"&amp;MINUTE(Sync!$AF1202),2),IFERROR(RIGHT("00"&amp;VALUE(LEFT(Sync!$AF1202,FIND(":",Sync!$AF1202)-1)),2)&amp;RIGHT("00"&amp;VALUE(MID(Sync!$AF1202,FIND(":",Sync!$AF1202)+1,2)),2),"0000"))))</f>
        <v/>
      </c>
    </row>
    <row r="1203">
      <c r="A1203">
        <f>IF(OR(Calc!$E1207="",Calc!$E1207="نامعتبر",Calc!$G1207=""),"",Calc!$G1207)</f>
        <v/>
      </c>
      <c r="B1203">
        <f>IF($A1203="","",LEFT(Calc!$E1207,4)&amp;MID(Calc!$E1207,6,2)&amp;RIGHT(Calc!$E1207,2)&amp;Calc!$Q1207&amp;"|"&amp;"1"&amp;RIGHT("00000"&amp;1198,5))</f>
        <v/>
      </c>
      <c r="C1203">
        <f>IF($B1203="","",COUNTIFS(LdgSellerA,$A1203,LdgKeyA,"&lt;"&amp;$B1203)+COUNTIFS(LdgSellerB,$A1203,LdgKeyB,"&lt;"&amp;$B1203)+1)</f>
        <v/>
      </c>
      <c r="D1203">
        <f>IF($C1203="","",$A1203&amp;"|"&amp;RIGHT("000000"&amp;$C1203,6))</f>
        <v/>
      </c>
      <c r="F1203">
        <f>IF(Sync!$AH1203="","",IF(LEFT(UPPER(TRIM(Sync!$AH1203)),2)="SL",UPPER(TRIM(Sync!$AH1203)),""))</f>
        <v/>
      </c>
      <c r="G1203">
        <f>IF($F1203="","",IF(Sync!$AE1203="","",IF(ISNUMBER(Sync!$AE1203),IF(AND(Sync!$AE1203&gt;=10000101,Sync!$AE1203&lt;=99991231),INT(Sync!$AE1203/10000),""),IFERROR(VALUE(TRIM(LEFT(Sync!$AE1203,FIND("/",Sync!$AE1203)-1))),""))))</f>
        <v/>
      </c>
      <c r="H1203">
        <f>IF(OR($F1203="",$G1203=""),"",IF(ISNUMBER(Sync!$AE1203),INT(MOD(Sync!$AE1203,10000)/100),IFERROR(VALUE(TRIM(LEFT(MID(Sync!$AE1203,FIND("/",Sync!$AE1203)+1,20),FIND("/",MID(Sync!$AE1203,FIND("/",Sync!$AE1203)+1,20))-1))),"")))</f>
        <v/>
      </c>
      <c r="I1203">
        <f>IF(OR($F1203="",$G1203=""),"",IF(ISNUMBER(Sync!$AE1203),MOD(Sync!$AE1203,100),IFERROR(VALUE(TRIM(MID(MID(Sync!$AE1203,FIND("/",Sync!$AE1203)+1,20),FIND("/",MID(Sync!$AE1203,FIND("/",Sync!$AE1203)+1,20))+1,20))),"")))</f>
        <v/>
      </c>
      <c r="J1203">
        <f>IF($F1203="","",IF(OR($G1203="",$H1203="",$I1203="",$G1203&lt;1300,$G1203&gt;1500,$H1203&lt;1,$H1203&gt;12,$I1203&lt;1,$I1203&gt;31),"نامعتبر",RIGHT("0000"&amp;$G1203,4)&amp;"/"&amp;RIGHT("00"&amp;$H1203,2)&amp;"/"&amp;RIGHT("00"&amp;$I1203,2)))</f>
        <v/>
      </c>
      <c r="K1203">
        <f>IF(OR($F1203="",$J1203="",$J1203="نامعتبر"),"",LEFT($J1203,4)&amp;MID($J1203,6,2)&amp;RIGHT($J1203,2)&amp;$N1203&amp;"|"&amp;"2"&amp;RIGHT("00000"&amp;1198,5))</f>
        <v/>
      </c>
      <c r="L1203">
        <f>IF($K1203="","",COUNTIFS(LdgSellerA,$F1203,LdgKeyA,"&lt;"&amp;$K1203)+COUNTIFS(LdgSellerB,$F1203,LdgKeyB,"&lt;"&amp;$K1203)+1)</f>
        <v/>
      </c>
      <c r="M1203">
        <f>IF($L1203="","",$F1203&amp;"|"&amp;RIGHT("000000"&amp;$L1203,6))</f>
        <v/>
      </c>
      <c r="N1203">
        <f>IF($F1203="","",IF(Sync!$AF1203="","0000",IF(AND(ISNUMBER(Sync!$AF1203),Sync!$AF1203&gt;=0,Sync!$AF1203&lt;1),RIGHT("00"&amp;HOUR(Sync!$AF1203),2)&amp;RIGHT("00"&amp;MINUTE(Sync!$AF1203),2),IFERROR(RIGHT("00"&amp;VALUE(LEFT(Sync!$AF1203,FIND(":",Sync!$AF1203)-1)),2)&amp;RIGHT("00"&amp;VALUE(MID(Sync!$AF1203,FIND(":",Sync!$AF1203)+1,2)),2),"0000"))))</f>
        <v/>
      </c>
    </row>
    <row r="1204">
      <c r="A1204">
        <f>IF(OR(Calc!$E1208="",Calc!$E1208="نامعتبر",Calc!$G1208=""),"",Calc!$G1208)</f>
        <v/>
      </c>
      <c r="B1204">
        <f>IF($A1204="","",LEFT(Calc!$E1208,4)&amp;MID(Calc!$E1208,6,2)&amp;RIGHT(Calc!$E1208,2)&amp;Calc!$Q1208&amp;"|"&amp;"1"&amp;RIGHT("00000"&amp;1199,5))</f>
        <v/>
      </c>
      <c r="C1204">
        <f>IF($B1204="","",COUNTIFS(LdgSellerA,$A1204,LdgKeyA,"&lt;"&amp;$B1204)+COUNTIFS(LdgSellerB,$A1204,LdgKeyB,"&lt;"&amp;$B1204)+1)</f>
        <v/>
      </c>
      <c r="D1204">
        <f>IF($C1204="","",$A1204&amp;"|"&amp;RIGHT("000000"&amp;$C1204,6))</f>
        <v/>
      </c>
      <c r="F1204">
        <f>IF(Sync!$AH1204="","",IF(LEFT(UPPER(TRIM(Sync!$AH1204)),2)="SL",UPPER(TRIM(Sync!$AH1204)),""))</f>
        <v/>
      </c>
      <c r="G1204">
        <f>IF($F1204="","",IF(Sync!$AE1204="","",IF(ISNUMBER(Sync!$AE1204),IF(AND(Sync!$AE1204&gt;=10000101,Sync!$AE1204&lt;=99991231),INT(Sync!$AE1204/10000),""),IFERROR(VALUE(TRIM(LEFT(Sync!$AE1204,FIND("/",Sync!$AE1204)-1))),""))))</f>
        <v/>
      </c>
      <c r="H1204">
        <f>IF(OR($F1204="",$G1204=""),"",IF(ISNUMBER(Sync!$AE1204),INT(MOD(Sync!$AE1204,10000)/100),IFERROR(VALUE(TRIM(LEFT(MID(Sync!$AE1204,FIND("/",Sync!$AE1204)+1,20),FIND("/",MID(Sync!$AE1204,FIND("/",Sync!$AE1204)+1,20))-1))),"")))</f>
        <v/>
      </c>
      <c r="I1204">
        <f>IF(OR($F1204="",$G1204=""),"",IF(ISNUMBER(Sync!$AE1204),MOD(Sync!$AE1204,100),IFERROR(VALUE(TRIM(MID(MID(Sync!$AE1204,FIND("/",Sync!$AE1204)+1,20),FIND("/",MID(Sync!$AE1204,FIND("/",Sync!$AE1204)+1,20))+1,20))),"")))</f>
        <v/>
      </c>
      <c r="J1204">
        <f>IF($F1204="","",IF(OR($G1204="",$H1204="",$I1204="",$G1204&lt;1300,$G1204&gt;1500,$H1204&lt;1,$H1204&gt;12,$I1204&lt;1,$I1204&gt;31),"نامعتبر",RIGHT("0000"&amp;$G1204,4)&amp;"/"&amp;RIGHT("00"&amp;$H1204,2)&amp;"/"&amp;RIGHT("00"&amp;$I1204,2)))</f>
        <v/>
      </c>
      <c r="K1204">
        <f>IF(OR($F1204="",$J1204="",$J1204="نامعتبر"),"",LEFT($J1204,4)&amp;MID($J1204,6,2)&amp;RIGHT($J1204,2)&amp;$N1204&amp;"|"&amp;"2"&amp;RIGHT("00000"&amp;1199,5))</f>
        <v/>
      </c>
      <c r="L1204">
        <f>IF($K1204="","",COUNTIFS(LdgSellerA,$F1204,LdgKeyA,"&lt;"&amp;$K1204)+COUNTIFS(LdgSellerB,$F1204,LdgKeyB,"&lt;"&amp;$K1204)+1)</f>
        <v/>
      </c>
      <c r="M1204">
        <f>IF($L1204="","",$F1204&amp;"|"&amp;RIGHT("000000"&amp;$L1204,6))</f>
        <v/>
      </c>
      <c r="N1204">
        <f>IF($F1204="","",IF(Sync!$AF1204="","0000",IF(AND(ISNUMBER(Sync!$AF1204),Sync!$AF1204&gt;=0,Sync!$AF1204&lt;1),RIGHT("00"&amp;HOUR(Sync!$AF1204),2)&amp;RIGHT("00"&amp;MINUTE(Sync!$AF1204),2),IFERROR(RIGHT("00"&amp;VALUE(LEFT(Sync!$AF1204,FIND(":",Sync!$AF1204)-1)),2)&amp;RIGHT("00"&amp;VALUE(MID(Sync!$AF1204,FIND(":",Sync!$AF1204)+1,2)),2),"0000"))))</f>
        <v/>
      </c>
    </row>
    <row r="1205">
      <c r="A1205">
        <f>IF(OR(Calc!$E1209="",Calc!$E1209="نامعتبر",Calc!$G1209=""),"",Calc!$G1209)</f>
        <v/>
      </c>
      <c r="B1205">
        <f>IF($A1205="","",LEFT(Calc!$E1209,4)&amp;MID(Calc!$E1209,6,2)&amp;RIGHT(Calc!$E1209,2)&amp;Calc!$Q1209&amp;"|"&amp;"1"&amp;RIGHT("00000"&amp;1200,5))</f>
        <v/>
      </c>
      <c r="C1205">
        <f>IF($B1205="","",COUNTIFS(LdgSellerA,$A1205,LdgKeyA,"&lt;"&amp;$B1205)+COUNTIFS(LdgSellerB,$A1205,LdgKeyB,"&lt;"&amp;$B1205)+1)</f>
        <v/>
      </c>
      <c r="D1205">
        <f>IF($C1205="","",$A1205&amp;"|"&amp;RIGHT("000000"&amp;$C1205,6))</f>
        <v/>
      </c>
      <c r="F1205">
        <f>IF(Sync!$AH1205="","",IF(LEFT(UPPER(TRIM(Sync!$AH1205)),2)="SL",UPPER(TRIM(Sync!$AH1205)),""))</f>
        <v/>
      </c>
      <c r="G1205">
        <f>IF($F1205="","",IF(Sync!$AE1205="","",IF(ISNUMBER(Sync!$AE1205),IF(AND(Sync!$AE1205&gt;=10000101,Sync!$AE1205&lt;=99991231),INT(Sync!$AE1205/10000),""),IFERROR(VALUE(TRIM(LEFT(Sync!$AE1205,FIND("/",Sync!$AE1205)-1))),""))))</f>
        <v/>
      </c>
      <c r="H1205">
        <f>IF(OR($F1205="",$G1205=""),"",IF(ISNUMBER(Sync!$AE1205),INT(MOD(Sync!$AE1205,10000)/100),IFERROR(VALUE(TRIM(LEFT(MID(Sync!$AE1205,FIND("/",Sync!$AE1205)+1,20),FIND("/",MID(Sync!$AE1205,FIND("/",Sync!$AE1205)+1,20))-1))),"")))</f>
        <v/>
      </c>
      <c r="I1205">
        <f>IF(OR($F1205="",$G1205=""),"",IF(ISNUMBER(Sync!$AE1205),MOD(Sync!$AE1205,100),IFERROR(VALUE(TRIM(MID(MID(Sync!$AE1205,FIND("/",Sync!$AE1205)+1,20),FIND("/",MID(Sync!$AE1205,FIND("/",Sync!$AE1205)+1,20))+1,20))),"")))</f>
        <v/>
      </c>
      <c r="J1205">
        <f>IF($F1205="","",IF(OR($G1205="",$H1205="",$I1205="",$G1205&lt;1300,$G1205&gt;1500,$H1205&lt;1,$H1205&gt;12,$I1205&lt;1,$I1205&gt;31),"نامعتبر",RIGHT("0000"&amp;$G1205,4)&amp;"/"&amp;RIGHT("00"&amp;$H1205,2)&amp;"/"&amp;RIGHT("00"&amp;$I1205,2)))</f>
        <v/>
      </c>
      <c r="K1205">
        <f>IF(OR($F1205="",$J1205="",$J1205="نامعتبر"),"",LEFT($J1205,4)&amp;MID($J1205,6,2)&amp;RIGHT($J1205,2)&amp;$N1205&amp;"|"&amp;"2"&amp;RIGHT("00000"&amp;1200,5))</f>
        <v/>
      </c>
      <c r="L1205">
        <f>IF($K1205="","",COUNTIFS(LdgSellerA,$F1205,LdgKeyA,"&lt;"&amp;$K1205)+COUNTIFS(LdgSellerB,$F1205,LdgKeyB,"&lt;"&amp;$K1205)+1)</f>
        <v/>
      </c>
      <c r="M1205">
        <f>IF($L1205="","",$F1205&amp;"|"&amp;RIGHT("000000"&amp;$L1205,6))</f>
        <v/>
      </c>
      <c r="N1205">
        <f>IF($F1205="","",IF(Sync!$AF1205="","0000",IF(AND(ISNUMBER(Sync!$AF1205),Sync!$AF1205&gt;=0,Sync!$AF1205&lt;1),RIGHT("00"&amp;HOUR(Sync!$AF1205),2)&amp;RIGHT("00"&amp;MINUTE(Sync!$AF1205),2),IFERROR(RIGHT("00"&amp;VALUE(LEFT(Sync!$AF1205,FIND(":",Sync!$AF1205)-1)),2)&amp;RIGHT("00"&amp;VALUE(MID(Sync!$AF1205,FIND(":",Sync!$AF1205)+1,2)),2),"0000"))))</f>
        <v/>
      </c>
    </row>
    <row r="1206">
      <c r="A1206">
        <f>IF(OR(Calc!$E1210="",Calc!$E1210="نامعتبر",Calc!$G1210=""),"",Calc!$G1210)</f>
        <v/>
      </c>
      <c r="B1206">
        <f>IF($A1206="","",LEFT(Calc!$E1210,4)&amp;MID(Calc!$E1210,6,2)&amp;RIGHT(Calc!$E1210,2)&amp;Calc!$Q1210&amp;"|"&amp;"1"&amp;RIGHT("00000"&amp;1201,5))</f>
        <v/>
      </c>
      <c r="C1206">
        <f>IF($B1206="","",COUNTIFS(LdgSellerA,$A1206,LdgKeyA,"&lt;"&amp;$B1206)+COUNTIFS(LdgSellerB,$A1206,LdgKeyB,"&lt;"&amp;$B1206)+1)</f>
        <v/>
      </c>
      <c r="D1206">
        <f>IF($C1206="","",$A1206&amp;"|"&amp;RIGHT("000000"&amp;$C1206,6))</f>
        <v/>
      </c>
      <c r="F1206">
        <f>IF(Sync!$AH1206="","",IF(LEFT(UPPER(TRIM(Sync!$AH1206)),2)="SL",UPPER(TRIM(Sync!$AH1206)),""))</f>
        <v/>
      </c>
      <c r="G1206">
        <f>IF($F1206="","",IF(Sync!$AE1206="","",IF(ISNUMBER(Sync!$AE1206),IF(AND(Sync!$AE1206&gt;=10000101,Sync!$AE1206&lt;=99991231),INT(Sync!$AE1206/10000),""),IFERROR(VALUE(TRIM(LEFT(Sync!$AE1206,FIND("/",Sync!$AE1206)-1))),""))))</f>
        <v/>
      </c>
      <c r="H1206">
        <f>IF(OR($F1206="",$G1206=""),"",IF(ISNUMBER(Sync!$AE1206),INT(MOD(Sync!$AE1206,10000)/100),IFERROR(VALUE(TRIM(LEFT(MID(Sync!$AE1206,FIND("/",Sync!$AE1206)+1,20),FIND("/",MID(Sync!$AE1206,FIND("/",Sync!$AE1206)+1,20))-1))),"")))</f>
        <v/>
      </c>
      <c r="I1206">
        <f>IF(OR($F1206="",$G1206=""),"",IF(ISNUMBER(Sync!$AE1206),MOD(Sync!$AE1206,100),IFERROR(VALUE(TRIM(MID(MID(Sync!$AE1206,FIND("/",Sync!$AE1206)+1,20),FIND("/",MID(Sync!$AE1206,FIND("/",Sync!$AE1206)+1,20))+1,20))),"")))</f>
        <v/>
      </c>
      <c r="J1206">
        <f>IF($F1206="","",IF(OR($G1206="",$H1206="",$I1206="",$G1206&lt;1300,$G1206&gt;1500,$H1206&lt;1,$H1206&gt;12,$I1206&lt;1,$I1206&gt;31),"نامعتبر",RIGHT("0000"&amp;$G1206,4)&amp;"/"&amp;RIGHT("00"&amp;$H1206,2)&amp;"/"&amp;RIGHT("00"&amp;$I1206,2)))</f>
        <v/>
      </c>
      <c r="K1206">
        <f>IF(OR($F1206="",$J1206="",$J1206="نامعتبر"),"",LEFT($J1206,4)&amp;MID($J1206,6,2)&amp;RIGHT($J1206,2)&amp;$N1206&amp;"|"&amp;"2"&amp;RIGHT("00000"&amp;1201,5))</f>
        <v/>
      </c>
      <c r="L1206">
        <f>IF($K1206="","",COUNTIFS(LdgSellerA,$F1206,LdgKeyA,"&lt;"&amp;$K1206)+COUNTIFS(LdgSellerB,$F1206,LdgKeyB,"&lt;"&amp;$K1206)+1)</f>
        <v/>
      </c>
      <c r="M1206">
        <f>IF($L1206="","",$F1206&amp;"|"&amp;RIGHT("000000"&amp;$L1206,6))</f>
        <v/>
      </c>
      <c r="N1206">
        <f>IF($F1206="","",IF(Sync!$AF1206="","0000",IF(AND(ISNUMBER(Sync!$AF1206),Sync!$AF1206&gt;=0,Sync!$AF1206&lt;1),RIGHT("00"&amp;HOUR(Sync!$AF1206),2)&amp;RIGHT("00"&amp;MINUTE(Sync!$AF1206),2),IFERROR(RIGHT("00"&amp;VALUE(LEFT(Sync!$AF1206,FIND(":",Sync!$AF1206)-1)),2)&amp;RIGHT("00"&amp;VALUE(MID(Sync!$AF1206,FIND(":",Sync!$AF1206)+1,2)),2),"0000"))))</f>
        <v/>
      </c>
    </row>
    <row r="1207">
      <c r="A1207">
        <f>IF(OR(Calc!$E1211="",Calc!$E1211="نامعتبر",Calc!$G1211=""),"",Calc!$G1211)</f>
        <v/>
      </c>
      <c r="B1207">
        <f>IF($A1207="","",LEFT(Calc!$E1211,4)&amp;MID(Calc!$E1211,6,2)&amp;RIGHT(Calc!$E1211,2)&amp;Calc!$Q1211&amp;"|"&amp;"1"&amp;RIGHT("00000"&amp;1202,5))</f>
        <v/>
      </c>
      <c r="C1207">
        <f>IF($B1207="","",COUNTIFS(LdgSellerA,$A1207,LdgKeyA,"&lt;"&amp;$B1207)+COUNTIFS(LdgSellerB,$A1207,LdgKeyB,"&lt;"&amp;$B1207)+1)</f>
        <v/>
      </c>
      <c r="D1207">
        <f>IF($C1207="","",$A1207&amp;"|"&amp;RIGHT("000000"&amp;$C1207,6))</f>
        <v/>
      </c>
      <c r="F1207">
        <f>IF(Sync!$AH1207="","",IF(LEFT(UPPER(TRIM(Sync!$AH1207)),2)="SL",UPPER(TRIM(Sync!$AH1207)),""))</f>
        <v/>
      </c>
      <c r="G1207">
        <f>IF($F1207="","",IF(Sync!$AE1207="","",IF(ISNUMBER(Sync!$AE1207),IF(AND(Sync!$AE1207&gt;=10000101,Sync!$AE1207&lt;=99991231),INT(Sync!$AE1207/10000),""),IFERROR(VALUE(TRIM(LEFT(Sync!$AE1207,FIND("/",Sync!$AE1207)-1))),""))))</f>
        <v/>
      </c>
      <c r="H1207">
        <f>IF(OR($F1207="",$G1207=""),"",IF(ISNUMBER(Sync!$AE1207),INT(MOD(Sync!$AE1207,10000)/100),IFERROR(VALUE(TRIM(LEFT(MID(Sync!$AE1207,FIND("/",Sync!$AE1207)+1,20),FIND("/",MID(Sync!$AE1207,FIND("/",Sync!$AE1207)+1,20))-1))),"")))</f>
        <v/>
      </c>
      <c r="I1207">
        <f>IF(OR($F1207="",$G1207=""),"",IF(ISNUMBER(Sync!$AE1207),MOD(Sync!$AE1207,100),IFERROR(VALUE(TRIM(MID(MID(Sync!$AE1207,FIND("/",Sync!$AE1207)+1,20),FIND("/",MID(Sync!$AE1207,FIND("/",Sync!$AE1207)+1,20))+1,20))),"")))</f>
        <v/>
      </c>
      <c r="J1207">
        <f>IF($F1207="","",IF(OR($G1207="",$H1207="",$I1207="",$G1207&lt;1300,$G1207&gt;1500,$H1207&lt;1,$H1207&gt;12,$I1207&lt;1,$I1207&gt;31),"نامعتبر",RIGHT("0000"&amp;$G1207,4)&amp;"/"&amp;RIGHT("00"&amp;$H1207,2)&amp;"/"&amp;RIGHT("00"&amp;$I1207,2)))</f>
        <v/>
      </c>
      <c r="K1207">
        <f>IF(OR($F1207="",$J1207="",$J1207="نامعتبر"),"",LEFT($J1207,4)&amp;MID($J1207,6,2)&amp;RIGHT($J1207,2)&amp;$N1207&amp;"|"&amp;"2"&amp;RIGHT("00000"&amp;1202,5))</f>
        <v/>
      </c>
      <c r="L1207">
        <f>IF($K1207="","",COUNTIFS(LdgSellerA,$F1207,LdgKeyA,"&lt;"&amp;$K1207)+COUNTIFS(LdgSellerB,$F1207,LdgKeyB,"&lt;"&amp;$K1207)+1)</f>
        <v/>
      </c>
      <c r="M1207">
        <f>IF($L1207="","",$F1207&amp;"|"&amp;RIGHT("000000"&amp;$L1207,6))</f>
        <v/>
      </c>
      <c r="N1207">
        <f>IF($F1207="","",IF(Sync!$AF1207="","0000",IF(AND(ISNUMBER(Sync!$AF1207),Sync!$AF1207&gt;=0,Sync!$AF1207&lt;1),RIGHT("00"&amp;HOUR(Sync!$AF1207),2)&amp;RIGHT("00"&amp;MINUTE(Sync!$AF1207),2),IFERROR(RIGHT("00"&amp;VALUE(LEFT(Sync!$AF1207,FIND(":",Sync!$AF1207)-1)),2)&amp;RIGHT("00"&amp;VALUE(MID(Sync!$AF1207,FIND(":",Sync!$AF1207)+1,2)),2),"0000"))))</f>
        <v/>
      </c>
    </row>
    <row r="1208">
      <c r="A1208">
        <f>IF(OR(Calc!$E1212="",Calc!$E1212="نامعتبر",Calc!$G1212=""),"",Calc!$G1212)</f>
        <v/>
      </c>
      <c r="B1208">
        <f>IF($A1208="","",LEFT(Calc!$E1212,4)&amp;MID(Calc!$E1212,6,2)&amp;RIGHT(Calc!$E1212,2)&amp;Calc!$Q1212&amp;"|"&amp;"1"&amp;RIGHT("00000"&amp;1203,5))</f>
        <v/>
      </c>
      <c r="C1208">
        <f>IF($B1208="","",COUNTIFS(LdgSellerA,$A1208,LdgKeyA,"&lt;"&amp;$B1208)+COUNTIFS(LdgSellerB,$A1208,LdgKeyB,"&lt;"&amp;$B1208)+1)</f>
        <v/>
      </c>
      <c r="D1208">
        <f>IF($C1208="","",$A1208&amp;"|"&amp;RIGHT("000000"&amp;$C1208,6))</f>
        <v/>
      </c>
      <c r="F1208">
        <f>IF(Sync!$AH1208="","",IF(LEFT(UPPER(TRIM(Sync!$AH1208)),2)="SL",UPPER(TRIM(Sync!$AH1208)),""))</f>
        <v/>
      </c>
      <c r="G1208">
        <f>IF($F1208="","",IF(Sync!$AE1208="","",IF(ISNUMBER(Sync!$AE1208),IF(AND(Sync!$AE1208&gt;=10000101,Sync!$AE1208&lt;=99991231),INT(Sync!$AE1208/10000),""),IFERROR(VALUE(TRIM(LEFT(Sync!$AE1208,FIND("/",Sync!$AE1208)-1))),""))))</f>
        <v/>
      </c>
      <c r="H1208">
        <f>IF(OR($F1208="",$G1208=""),"",IF(ISNUMBER(Sync!$AE1208),INT(MOD(Sync!$AE1208,10000)/100),IFERROR(VALUE(TRIM(LEFT(MID(Sync!$AE1208,FIND("/",Sync!$AE1208)+1,20),FIND("/",MID(Sync!$AE1208,FIND("/",Sync!$AE1208)+1,20))-1))),"")))</f>
        <v/>
      </c>
      <c r="I1208">
        <f>IF(OR($F1208="",$G1208=""),"",IF(ISNUMBER(Sync!$AE1208),MOD(Sync!$AE1208,100),IFERROR(VALUE(TRIM(MID(MID(Sync!$AE1208,FIND("/",Sync!$AE1208)+1,20),FIND("/",MID(Sync!$AE1208,FIND("/",Sync!$AE1208)+1,20))+1,20))),"")))</f>
        <v/>
      </c>
      <c r="J1208">
        <f>IF($F1208="","",IF(OR($G1208="",$H1208="",$I1208="",$G1208&lt;1300,$G1208&gt;1500,$H1208&lt;1,$H1208&gt;12,$I1208&lt;1,$I1208&gt;31),"نامعتبر",RIGHT("0000"&amp;$G1208,4)&amp;"/"&amp;RIGHT("00"&amp;$H1208,2)&amp;"/"&amp;RIGHT("00"&amp;$I1208,2)))</f>
        <v/>
      </c>
      <c r="K1208">
        <f>IF(OR($F1208="",$J1208="",$J1208="نامعتبر"),"",LEFT($J1208,4)&amp;MID($J1208,6,2)&amp;RIGHT($J1208,2)&amp;$N1208&amp;"|"&amp;"2"&amp;RIGHT("00000"&amp;1203,5))</f>
        <v/>
      </c>
      <c r="L1208">
        <f>IF($K1208="","",COUNTIFS(LdgSellerA,$F1208,LdgKeyA,"&lt;"&amp;$K1208)+COUNTIFS(LdgSellerB,$F1208,LdgKeyB,"&lt;"&amp;$K1208)+1)</f>
        <v/>
      </c>
      <c r="M1208">
        <f>IF($L1208="","",$F1208&amp;"|"&amp;RIGHT("000000"&amp;$L1208,6))</f>
        <v/>
      </c>
      <c r="N1208">
        <f>IF($F1208="","",IF(Sync!$AF1208="","0000",IF(AND(ISNUMBER(Sync!$AF1208),Sync!$AF1208&gt;=0,Sync!$AF1208&lt;1),RIGHT("00"&amp;HOUR(Sync!$AF1208),2)&amp;RIGHT("00"&amp;MINUTE(Sync!$AF1208),2),IFERROR(RIGHT("00"&amp;VALUE(LEFT(Sync!$AF1208,FIND(":",Sync!$AF1208)-1)),2)&amp;RIGHT("00"&amp;VALUE(MID(Sync!$AF1208,FIND(":",Sync!$AF1208)+1,2)),2),"0000"))))</f>
        <v/>
      </c>
    </row>
    <row r="1209">
      <c r="A1209">
        <f>IF(OR(Calc!$E1213="",Calc!$E1213="نامعتبر",Calc!$G1213=""),"",Calc!$G1213)</f>
        <v/>
      </c>
      <c r="B1209">
        <f>IF($A1209="","",LEFT(Calc!$E1213,4)&amp;MID(Calc!$E1213,6,2)&amp;RIGHT(Calc!$E1213,2)&amp;Calc!$Q1213&amp;"|"&amp;"1"&amp;RIGHT("00000"&amp;1204,5))</f>
        <v/>
      </c>
      <c r="C1209">
        <f>IF($B1209="","",COUNTIFS(LdgSellerA,$A1209,LdgKeyA,"&lt;"&amp;$B1209)+COUNTIFS(LdgSellerB,$A1209,LdgKeyB,"&lt;"&amp;$B1209)+1)</f>
        <v/>
      </c>
      <c r="D1209">
        <f>IF($C1209="","",$A1209&amp;"|"&amp;RIGHT("000000"&amp;$C1209,6))</f>
        <v/>
      </c>
      <c r="F1209">
        <f>IF(Sync!$AH1209="","",IF(LEFT(UPPER(TRIM(Sync!$AH1209)),2)="SL",UPPER(TRIM(Sync!$AH1209)),""))</f>
        <v/>
      </c>
      <c r="G1209">
        <f>IF($F1209="","",IF(Sync!$AE1209="","",IF(ISNUMBER(Sync!$AE1209),IF(AND(Sync!$AE1209&gt;=10000101,Sync!$AE1209&lt;=99991231),INT(Sync!$AE1209/10000),""),IFERROR(VALUE(TRIM(LEFT(Sync!$AE1209,FIND("/",Sync!$AE1209)-1))),""))))</f>
        <v/>
      </c>
      <c r="H1209">
        <f>IF(OR($F1209="",$G1209=""),"",IF(ISNUMBER(Sync!$AE1209),INT(MOD(Sync!$AE1209,10000)/100),IFERROR(VALUE(TRIM(LEFT(MID(Sync!$AE1209,FIND("/",Sync!$AE1209)+1,20),FIND("/",MID(Sync!$AE1209,FIND("/",Sync!$AE1209)+1,20))-1))),"")))</f>
        <v/>
      </c>
      <c r="I1209">
        <f>IF(OR($F1209="",$G1209=""),"",IF(ISNUMBER(Sync!$AE1209),MOD(Sync!$AE1209,100),IFERROR(VALUE(TRIM(MID(MID(Sync!$AE1209,FIND("/",Sync!$AE1209)+1,20),FIND("/",MID(Sync!$AE1209,FIND("/",Sync!$AE1209)+1,20))+1,20))),"")))</f>
        <v/>
      </c>
      <c r="J1209">
        <f>IF($F1209="","",IF(OR($G1209="",$H1209="",$I1209="",$G1209&lt;1300,$G1209&gt;1500,$H1209&lt;1,$H1209&gt;12,$I1209&lt;1,$I1209&gt;31),"نامعتبر",RIGHT("0000"&amp;$G1209,4)&amp;"/"&amp;RIGHT("00"&amp;$H1209,2)&amp;"/"&amp;RIGHT("00"&amp;$I1209,2)))</f>
        <v/>
      </c>
      <c r="K1209">
        <f>IF(OR($F1209="",$J1209="",$J1209="نامعتبر"),"",LEFT($J1209,4)&amp;MID($J1209,6,2)&amp;RIGHT($J1209,2)&amp;$N1209&amp;"|"&amp;"2"&amp;RIGHT("00000"&amp;1204,5))</f>
        <v/>
      </c>
      <c r="L1209">
        <f>IF($K1209="","",COUNTIFS(LdgSellerA,$F1209,LdgKeyA,"&lt;"&amp;$K1209)+COUNTIFS(LdgSellerB,$F1209,LdgKeyB,"&lt;"&amp;$K1209)+1)</f>
        <v/>
      </c>
      <c r="M1209">
        <f>IF($L1209="","",$F1209&amp;"|"&amp;RIGHT("000000"&amp;$L1209,6))</f>
        <v/>
      </c>
      <c r="N1209">
        <f>IF($F1209="","",IF(Sync!$AF1209="","0000",IF(AND(ISNUMBER(Sync!$AF1209),Sync!$AF1209&gt;=0,Sync!$AF1209&lt;1),RIGHT("00"&amp;HOUR(Sync!$AF1209),2)&amp;RIGHT("00"&amp;MINUTE(Sync!$AF1209),2),IFERROR(RIGHT("00"&amp;VALUE(LEFT(Sync!$AF1209,FIND(":",Sync!$AF1209)-1)),2)&amp;RIGHT("00"&amp;VALUE(MID(Sync!$AF1209,FIND(":",Sync!$AF1209)+1,2)),2),"0000"))))</f>
        <v/>
      </c>
    </row>
    <row r="1210">
      <c r="A1210">
        <f>IF(OR(Calc!$E1214="",Calc!$E1214="نامعتبر",Calc!$G1214=""),"",Calc!$G1214)</f>
        <v/>
      </c>
      <c r="B1210">
        <f>IF($A1210="","",LEFT(Calc!$E1214,4)&amp;MID(Calc!$E1214,6,2)&amp;RIGHT(Calc!$E1214,2)&amp;Calc!$Q1214&amp;"|"&amp;"1"&amp;RIGHT("00000"&amp;1205,5))</f>
        <v/>
      </c>
      <c r="C1210">
        <f>IF($B1210="","",COUNTIFS(LdgSellerA,$A1210,LdgKeyA,"&lt;"&amp;$B1210)+COUNTIFS(LdgSellerB,$A1210,LdgKeyB,"&lt;"&amp;$B1210)+1)</f>
        <v/>
      </c>
      <c r="D1210">
        <f>IF($C1210="","",$A1210&amp;"|"&amp;RIGHT("000000"&amp;$C1210,6))</f>
        <v/>
      </c>
      <c r="F1210">
        <f>IF(Sync!$AH1210="","",IF(LEFT(UPPER(TRIM(Sync!$AH1210)),2)="SL",UPPER(TRIM(Sync!$AH1210)),""))</f>
        <v/>
      </c>
      <c r="G1210">
        <f>IF($F1210="","",IF(Sync!$AE1210="","",IF(ISNUMBER(Sync!$AE1210),IF(AND(Sync!$AE1210&gt;=10000101,Sync!$AE1210&lt;=99991231),INT(Sync!$AE1210/10000),""),IFERROR(VALUE(TRIM(LEFT(Sync!$AE1210,FIND("/",Sync!$AE1210)-1))),""))))</f>
        <v/>
      </c>
      <c r="H1210">
        <f>IF(OR($F1210="",$G1210=""),"",IF(ISNUMBER(Sync!$AE1210),INT(MOD(Sync!$AE1210,10000)/100),IFERROR(VALUE(TRIM(LEFT(MID(Sync!$AE1210,FIND("/",Sync!$AE1210)+1,20),FIND("/",MID(Sync!$AE1210,FIND("/",Sync!$AE1210)+1,20))-1))),"")))</f>
        <v/>
      </c>
      <c r="I1210">
        <f>IF(OR($F1210="",$G1210=""),"",IF(ISNUMBER(Sync!$AE1210),MOD(Sync!$AE1210,100),IFERROR(VALUE(TRIM(MID(MID(Sync!$AE1210,FIND("/",Sync!$AE1210)+1,20),FIND("/",MID(Sync!$AE1210,FIND("/",Sync!$AE1210)+1,20))+1,20))),"")))</f>
        <v/>
      </c>
      <c r="J1210">
        <f>IF($F1210="","",IF(OR($G1210="",$H1210="",$I1210="",$G1210&lt;1300,$G1210&gt;1500,$H1210&lt;1,$H1210&gt;12,$I1210&lt;1,$I1210&gt;31),"نامعتبر",RIGHT("0000"&amp;$G1210,4)&amp;"/"&amp;RIGHT("00"&amp;$H1210,2)&amp;"/"&amp;RIGHT("00"&amp;$I1210,2)))</f>
        <v/>
      </c>
      <c r="K1210">
        <f>IF(OR($F1210="",$J1210="",$J1210="نامعتبر"),"",LEFT($J1210,4)&amp;MID($J1210,6,2)&amp;RIGHT($J1210,2)&amp;$N1210&amp;"|"&amp;"2"&amp;RIGHT("00000"&amp;1205,5))</f>
        <v/>
      </c>
      <c r="L1210">
        <f>IF($K1210="","",COUNTIFS(LdgSellerA,$F1210,LdgKeyA,"&lt;"&amp;$K1210)+COUNTIFS(LdgSellerB,$F1210,LdgKeyB,"&lt;"&amp;$K1210)+1)</f>
        <v/>
      </c>
      <c r="M1210">
        <f>IF($L1210="","",$F1210&amp;"|"&amp;RIGHT("000000"&amp;$L1210,6))</f>
        <v/>
      </c>
      <c r="N1210">
        <f>IF($F1210="","",IF(Sync!$AF1210="","0000",IF(AND(ISNUMBER(Sync!$AF1210),Sync!$AF1210&gt;=0,Sync!$AF1210&lt;1),RIGHT("00"&amp;HOUR(Sync!$AF1210),2)&amp;RIGHT("00"&amp;MINUTE(Sync!$AF1210),2),IFERROR(RIGHT("00"&amp;VALUE(LEFT(Sync!$AF1210,FIND(":",Sync!$AF1210)-1)),2)&amp;RIGHT("00"&amp;VALUE(MID(Sync!$AF1210,FIND(":",Sync!$AF1210)+1,2)),2),"0000"))))</f>
        <v/>
      </c>
    </row>
    <row r="1211">
      <c r="A1211">
        <f>IF(OR(Calc!$E1215="",Calc!$E1215="نامعتبر",Calc!$G1215=""),"",Calc!$G1215)</f>
        <v/>
      </c>
      <c r="B1211">
        <f>IF($A1211="","",LEFT(Calc!$E1215,4)&amp;MID(Calc!$E1215,6,2)&amp;RIGHT(Calc!$E1215,2)&amp;Calc!$Q1215&amp;"|"&amp;"1"&amp;RIGHT("00000"&amp;1206,5))</f>
        <v/>
      </c>
      <c r="C1211">
        <f>IF($B1211="","",COUNTIFS(LdgSellerA,$A1211,LdgKeyA,"&lt;"&amp;$B1211)+COUNTIFS(LdgSellerB,$A1211,LdgKeyB,"&lt;"&amp;$B1211)+1)</f>
        <v/>
      </c>
      <c r="D1211">
        <f>IF($C1211="","",$A1211&amp;"|"&amp;RIGHT("000000"&amp;$C1211,6))</f>
        <v/>
      </c>
      <c r="F1211">
        <f>IF(Sync!$AH1211="","",IF(LEFT(UPPER(TRIM(Sync!$AH1211)),2)="SL",UPPER(TRIM(Sync!$AH1211)),""))</f>
        <v/>
      </c>
      <c r="G1211">
        <f>IF($F1211="","",IF(Sync!$AE1211="","",IF(ISNUMBER(Sync!$AE1211),IF(AND(Sync!$AE1211&gt;=10000101,Sync!$AE1211&lt;=99991231),INT(Sync!$AE1211/10000),""),IFERROR(VALUE(TRIM(LEFT(Sync!$AE1211,FIND("/",Sync!$AE1211)-1))),""))))</f>
        <v/>
      </c>
      <c r="H1211">
        <f>IF(OR($F1211="",$G1211=""),"",IF(ISNUMBER(Sync!$AE1211),INT(MOD(Sync!$AE1211,10000)/100),IFERROR(VALUE(TRIM(LEFT(MID(Sync!$AE1211,FIND("/",Sync!$AE1211)+1,20),FIND("/",MID(Sync!$AE1211,FIND("/",Sync!$AE1211)+1,20))-1))),"")))</f>
        <v/>
      </c>
      <c r="I1211">
        <f>IF(OR($F1211="",$G1211=""),"",IF(ISNUMBER(Sync!$AE1211),MOD(Sync!$AE1211,100),IFERROR(VALUE(TRIM(MID(MID(Sync!$AE1211,FIND("/",Sync!$AE1211)+1,20),FIND("/",MID(Sync!$AE1211,FIND("/",Sync!$AE1211)+1,20))+1,20))),"")))</f>
        <v/>
      </c>
      <c r="J1211">
        <f>IF($F1211="","",IF(OR($G1211="",$H1211="",$I1211="",$G1211&lt;1300,$G1211&gt;1500,$H1211&lt;1,$H1211&gt;12,$I1211&lt;1,$I1211&gt;31),"نامعتبر",RIGHT("0000"&amp;$G1211,4)&amp;"/"&amp;RIGHT("00"&amp;$H1211,2)&amp;"/"&amp;RIGHT("00"&amp;$I1211,2)))</f>
        <v/>
      </c>
      <c r="K1211">
        <f>IF(OR($F1211="",$J1211="",$J1211="نامعتبر"),"",LEFT($J1211,4)&amp;MID($J1211,6,2)&amp;RIGHT($J1211,2)&amp;$N1211&amp;"|"&amp;"2"&amp;RIGHT("00000"&amp;1206,5))</f>
        <v/>
      </c>
      <c r="L1211">
        <f>IF($K1211="","",COUNTIFS(LdgSellerA,$F1211,LdgKeyA,"&lt;"&amp;$K1211)+COUNTIFS(LdgSellerB,$F1211,LdgKeyB,"&lt;"&amp;$K1211)+1)</f>
        <v/>
      </c>
      <c r="M1211">
        <f>IF($L1211="","",$F1211&amp;"|"&amp;RIGHT("000000"&amp;$L1211,6))</f>
        <v/>
      </c>
      <c r="N1211">
        <f>IF($F1211="","",IF(Sync!$AF1211="","0000",IF(AND(ISNUMBER(Sync!$AF1211),Sync!$AF1211&gt;=0,Sync!$AF1211&lt;1),RIGHT("00"&amp;HOUR(Sync!$AF1211),2)&amp;RIGHT("00"&amp;MINUTE(Sync!$AF1211),2),IFERROR(RIGHT("00"&amp;VALUE(LEFT(Sync!$AF1211,FIND(":",Sync!$AF1211)-1)),2)&amp;RIGHT("00"&amp;VALUE(MID(Sync!$AF1211,FIND(":",Sync!$AF1211)+1,2)),2),"0000"))))</f>
        <v/>
      </c>
    </row>
    <row r="1212">
      <c r="A1212">
        <f>IF(OR(Calc!$E1216="",Calc!$E1216="نامعتبر",Calc!$G1216=""),"",Calc!$G1216)</f>
        <v/>
      </c>
      <c r="B1212">
        <f>IF($A1212="","",LEFT(Calc!$E1216,4)&amp;MID(Calc!$E1216,6,2)&amp;RIGHT(Calc!$E1216,2)&amp;Calc!$Q1216&amp;"|"&amp;"1"&amp;RIGHT("00000"&amp;1207,5))</f>
        <v/>
      </c>
      <c r="C1212">
        <f>IF($B1212="","",COUNTIFS(LdgSellerA,$A1212,LdgKeyA,"&lt;"&amp;$B1212)+COUNTIFS(LdgSellerB,$A1212,LdgKeyB,"&lt;"&amp;$B1212)+1)</f>
        <v/>
      </c>
      <c r="D1212">
        <f>IF($C1212="","",$A1212&amp;"|"&amp;RIGHT("000000"&amp;$C1212,6))</f>
        <v/>
      </c>
      <c r="F1212">
        <f>IF(Sync!$AH1212="","",IF(LEFT(UPPER(TRIM(Sync!$AH1212)),2)="SL",UPPER(TRIM(Sync!$AH1212)),""))</f>
        <v/>
      </c>
      <c r="G1212">
        <f>IF($F1212="","",IF(Sync!$AE1212="","",IF(ISNUMBER(Sync!$AE1212),IF(AND(Sync!$AE1212&gt;=10000101,Sync!$AE1212&lt;=99991231),INT(Sync!$AE1212/10000),""),IFERROR(VALUE(TRIM(LEFT(Sync!$AE1212,FIND("/",Sync!$AE1212)-1))),""))))</f>
        <v/>
      </c>
      <c r="H1212">
        <f>IF(OR($F1212="",$G1212=""),"",IF(ISNUMBER(Sync!$AE1212),INT(MOD(Sync!$AE1212,10000)/100),IFERROR(VALUE(TRIM(LEFT(MID(Sync!$AE1212,FIND("/",Sync!$AE1212)+1,20),FIND("/",MID(Sync!$AE1212,FIND("/",Sync!$AE1212)+1,20))-1))),"")))</f>
        <v/>
      </c>
      <c r="I1212">
        <f>IF(OR($F1212="",$G1212=""),"",IF(ISNUMBER(Sync!$AE1212),MOD(Sync!$AE1212,100),IFERROR(VALUE(TRIM(MID(MID(Sync!$AE1212,FIND("/",Sync!$AE1212)+1,20),FIND("/",MID(Sync!$AE1212,FIND("/",Sync!$AE1212)+1,20))+1,20))),"")))</f>
        <v/>
      </c>
      <c r="J1212">
        <f>IF($F1212="","",IF(OR($G1212="",$H1212="",$I1212="",$G1212&lt;1300,$G1212&gt;1500,$H1212&lt;1,$H1212&gt;12,$I1212&lt;1,$I1212&gt;31),"نامعتبر",RIGHT("0000"&amp;$G1212,4)&amp;"/"&amp;RIGHT("00"&amp;$H1212,2)&amp;"/"&amp;RIGHT("00"&amp;$I1212,2)))</f>
        <v/>
      </c>
      <c r="K1212">
        <f>IF(OR($F1212="",$J1212="",$J1212="نامعتبر"),"",LEFT($J1212,4)&amp;MID($J1212,6,2)&amp;RIGHT($J1212,2)&amp;$N1212&amp;"|"&amp;"2"&amp;RIGHT("00000"&amp;1207,5))</f>
        <v/>
      </c>
      <c r="L1212">
        <f>IF($K1212="","",COUNTIFS(LdgSellerA,$F1212,LdgKeyA,"&lt;"&amp;$K1212)+COUNTIFS(LdgSellerB,$F1212,LdgKeyB,"&lt;"&amp;$K1212)+1)</f>
        <v/>
      </c>
      <c r="M1212">
        <f>IF($L1212="","",$F1212&amp;"|"&amp;RIGHT("000000"&amp;$L1212,6))</f>
        <v/>
      </c>
      <c r="N1212">
        <f>IF($F1212="","",IF(Sync!$AF1212="","0000",IF(AND(ISNUMBER(Sync!$AF1212),Sync!$AF1212&gt;=0,Sync!$AF1212&lt;1),RIGHT("00"&amp;HOUR(Sync!$AF1212),2)&amp;RIGHT("00"&amp;MINUTE(Sync!$AF1212),2),IFERROR(RIGHT("00"&amp;VALUE(LEFT(Sync!$AF1212,FIND(":",Sync!$AF1212)-1)),2)&amp;RIGHT("00"&amp;VALUE(MID(Sync!$AF1212,FIND(":",Sync!$AF1212)+1,2)),2),"0000"))))</f>
        <v/>
      </c>
    </row>
    <row r="1213">
      <c r="A1213">
        <f>IF(OR(Calc!$E1217="",Calc!$E1217="نامعتبر",Calc!$G1217=""),"",Calc!$G1217)</f>
        <v/>
      </c>
      <c r="B1213">
        <f>IF($A1213="","",LEFT(Calc!$E1217,4)&amp;MID(Calc!$E1217,6,2)&amp;RIGHT(Calc!$E1217,2)&amp;Calc!$Q1217&amp;"|"&amp;"1"&amp;RIGHT("00000"&amp;1208,5))</f>
        <v/>
      </c>
      <c r="C1213">
        <f>IF($B1213="","",COUNTIFS(LdgSellerA,$A1213,LdgKeyA,"&lt;"&amp;$B1213)+COUNTIFS(LdgSellerB,$A1213,LdgKeyB,"&lt;"&amp;$B1213)+1)</f>
        <v/>
      </c>
      <c r="D1213">
        <f>IF($C1213="","",$A1213&amp;"|"&amp;RIGHT("000000"&amp;$C1213,6))</f>
        <v/>
      </c>
      <c r="F1213">
        <f>IF(Sync!$AH1213="","",IF(LEFT(UPPER(TRIM(Sync!$AH1213)),2)="SL",UPPER(TRIM(Sync!$AH1213)),""))</f>
        <v/>
      </c>
      <c r="G1213">
        <f>IF($F1213="","",IF(Sync!$AE1213="","",IF(ISNUMBER(Sync!$AE1213),IF(AND(Sync!$AE1213&gt;=10000101,Sync!$AE1213&lt;=99991231),INT(Sync!$AE1213/10000),""),IFERROR(VALUE(TRIM(LEFT(Sync!$AE1213,FIND("/",Sync!$AE1213)-1))),""))))</f>
        <v/>
      </c>
      <c r="H1213">
        <f>IF(OR($F1213="",$G1213=""),"",IF(ISNUMBER(Sync!$AE1213),INT(MOD(Sync!$AE1213,10000)/100),IFERROR(VALUE(TRIM(LEFT(MID(Sync!$AE1213,FIND("/",Sync!$AE1213)+1,20),FIND("/",MID(Sync!$AE1213,FIND("/",Sync!$AE1213)+1,20))-1))),"")))</f>
        <v/>
      </c>
      <c r="I1213">
        <f>IF(OR($F1213="",$G1213=""),"",IF(ISNUMBER(Sync!$AE1213),MOD(Sync!$AE1213,100),IFERROR(VALUE(TRIM(MID(MID(Sync!$AE1213,FIND("/",Sync!$AE1213)+1,20),FIND("/",MID(Sync!$AE1213,FIND("/",Sync!$AE1213)+1,20))+1,20))),"")))</f>
        <v/>
      </c>
      <c r="J1213">
        <f>IF($F1213="","",IF(OR($G1213="",$H1213="",$I1213="",$G1213&lt;1300,$G1213&gt;1500,$H1213&lt;1,$H1213&gt;12,$I1213&lt;1,$I1213&gt;31),"نامعتبر",RIGHT("0000"&amp;$G1213,4)&amp;"/"&amp;RIGHT("00"&amp;$H1213,2)&amp;"/"&amp;RIGHT("00"&amp;$I1213,2)))</f>
        <v/>
      </c>
      <c r="K1213">
        <f>IF(OR($F1213="",$J1213="",$J1213="نامعتبر"),"",LEFT($J1213,4)&amp;MID($J1213,6,2)&amp;RIGHT($J1213,2)&amp;$N1213&amp;"|"&amp;"2"&amp;RIGHT("00000"&amp;1208,5))</f>
        <v/>
      </c>
      <c r="L1213">
        <f>IF($K1213="","",COUNTIFS(LdgSellerA,$F1213,LdgKeyA,"&lt;"&amp;$K1213)+COUNTIFS(LdgSellerB,$F1213,LdgKeyB,"&lt;"&amp;$K1213)+1)</f>
        <v/>
      </c>
      <c r="M1213">
        <f>IF($L1213="","",$F1213&amp;"|"&amp;RIGHT("000000"&amp;$L1213,6))</f>
        <v/>
      </c>
      <c r="N1213">
        <f>IF($F1213="","",IF(Sync!$AF1213="","0000",IF(AND(ISNUMBER(Sync!$AF1213),Sync!$AF1213&gt;=0,Sync!$AF1213&lt;1),RIGHT("00"&amp;HOUR(Sync!$AF1213),2)&amp;RIGHT("00"&amp;MINUTE(Sync!$AF1213),2),IFERROR(RIGHT("00"&amp;VALUE(LEFT(Sync!$AF1213,FIND(":",Sync!$AF1213)-1)),2)&amp;RIGHT("00"&amp;VALUE(MID(Sync!$AF1213,FIND(":",Sync!$AF1213)+1,2)),2),"0000"))))</f>
        <v/>
      </c>
    </row>
    <row r="1214">
      <c r="A1214">
        <f>IF(OR(Calc!$E1218="",Calc!$E1218="نامعتبر",Calc!$G1218=""),"",Calc!$G1218)</f>
        <v/>
      </c>
      <c r="B1214">
        <f>IF($A1214="","",LEFT(Calc!$E1218,4)&amp;MID(Calc!$E1218,6,2)&amp;RIGHT(Calc!$E1218,2)&amp;Calc!$Q1218&amp;"|"&amp;"1"&amp;RIGHT("00000"&amp;1209,5))</f>
        <v/>
      </c>
      <c r="C1214">
        <f>IF($B1214="","",COUNTIFS(LdgSellerA,$A1214,LdgKeyA,"&lt;"&amp;$B1214)+COUNTIFS(LdgSellerB,$A1214,LdgKeyB,"&lt;"&amp;$B1214)+1)</f>
        <v/>
      </c>
      <c r="D1214">
        <f>IF($C1214="","",$A1214&amp;"|"&amp;RIGHT("000000"&amp;$C1214,6))</f>
        <v/>
      </c>
      <c r="F1214">
        <f>IF(Sync!$AH1214="","",IF(LEFT(UPPER(TRIM(Sync!$AH1214)),2)="SL",UPPER(TRIM(Sync!$AH1214)),""))</f>
        <v/>
      </c>
      <c r="G1214">
        <f>IF($F1214="","",IF(Sync!$AE1214="","",IF(ISNUMBER(Sync!$AE1214),IF(AND(Sync!$AE1214&gt;=10000101,Sync!$AE1214&lt;=99991231),INT(Sync!$AE1214/10000),""),IFERROR(VALUE(TRIM(LEFT(Sync!$AE1214,FIND("/",Sync!$AE1214)-1))),""))))</f>
        <v/>
      </c>
      <c r="H1214">
        <f>IF(OR($F1214="",$G1214=""),"",IF(ISNUMBER(Sync!$AE1214),INT(MOD(Sync!$AE1214,10000)/100),IFERROR(VALUE(TRIM(LEFT(MID(Sync!$AE1214,FIND("/",Sync!$AE1214)+1,20),FIND("/",MID(Sync!$AE1214,FIND("/",Sync!$AE1214)+1,20))-1))),"")))</f>
        <v/>
      </c>
      <c r="I1214">
        <f>IF(OR($F1214="",$G1214=""),"",IF(ISNUMBER(Sync!$AE1214),MOD(Sync!$AE1214,100),IFERROR(VALUE(TRIM(MID(MID(Sync!$AE1214,FIND("/",Sync!$AE1214)+1,20),FIND("/",MID(Sync!$AE1214,FIND("/",Sync!$AE1214)+1,20))+1,20))),"")))</f>
        <v/>
      </c>
      <c r="J1214">
        <f>IF($F1214="","",IF(OR($G1214="",$H1214="",$I1214="",$G1214&lt;1300,$G1214&gt;1500,$H1214&lt;1,$H1214&gt;12,$I1214&lt;1,$I1214&gt;31),"نامعتبر",RIGHT("0000"&amp;$G1214,4)&amp;"/"&amp;RIGHT("00"&amp;$H1214,2)&amp;"/"&amp;RIGHT("00"&amp;$I1214,2)))</f>
        <v/>
      </c>
      <c r="K1214">
        <f>IF(OR($F1214="",$J1214="",$J1214="نامعتبر"),"",LEFT($J1214,4)&amp;MID($J1214,6,2)&amp;RIGHT($J1214,2)&amp;$N1214&amp;"|"&amp;"2"&amp;RIGHT("00000"&amp;1209,5))</f>
        <v/>
      </c>
      <c r="L1214">
        <f>IF($K1214="","",COUNTIFS(LdgSellerA,$F1214,LdgKeyA,"&lt;"&amp;$K1214)+COUNTIFS(LdgSellerB,$F1214,LdgKeyB,"&lt;"&amp;$K1214)+1)</f>
        <v/>
      </c>
      <c r="M1214">
        <f>IF($L1214="","",$F1214&amp;"|"&amp;RIGHT("000000"&amp;$L1214,6))</f>
        <v/>
      </c>
      <c r="N1214">
        <f>IF($F1214="","",IF(Sync!$AF1214="","0000",IF(AND(ISNUMBER(Sync!$AF1214),Sync!$AF1214&gt;=0,Sync!$AF1214&lt;1),RIGHT("00"&amp;HOUR(Sync!$AF1214),2)&amp;RIGHT("00"&amp;MINUTE(Sync!$AF1214),2),IFERROR(RIGHT("00"&amp;VALUE(LEFT(Sync!$AF1214,FIND(":",Sync!$AF1214)-1)),2)&amp;RIGHT("00"&amp;VALUE(MID(Sync!$AF1214,FIND(":",Sync!$AF1214)+1,2)),2),"0000"))))</f>
        <v/>
      </c>
    </row>
    <row r="1215">
      <c r="A1215">
        <f>IF(OR(Calc!$E1219="",Calc!$E1219="نامعتبر",Calc!$G1219=""),"",Calc!$G1219)</f>
        <v/>
      </c>
      <c r="B1215">
        <f>IF($A1215="","",LEFT(Calc!$E1219,4)&amp;MID(Calc!$E1219,6,2)&amp;RIGHT(Calc!$E1219,2)&amp;Calc!$Q1219&amp;"|"&amp;"1"&amp;RIGHT("00000"&amp;1210,5))</f>
        <v/>
      </c>
      <c r="C1215">
        <f>IF($B1215="","",COUNTIFS(LdgSellerA,$A1215,LdgKeyA,"&lt;"&amp;$B1215)+COUNTIFS(LdgSellerB,$A1215,LdgKeyB,"&lt;"&amp;$B1215)+1)</f>
        <v/>
      </c>
      <c r="D1215">
        <f>IF($C1215="","",$A1215&amp;"|"&amp;RIGHT("000000"&amp;$C1215,6))</f>
        <v/>
      </c>
      <c r="F1215">
        <f>IF(Sync!$AH1215="","",IF(LEFT(UPPER(TRIM(Sync!$AH1215)),2)="SL",UPPER(TRIM(Sync!$AH1215)),""))</f>
        <v/>
      </c>
      <c r="G1215">
        <f>IF($F1215="","",IF(Sync!$AE1215="","",IF(ISNUMBER(Sync!$AE1215),IF(AND(Sync!$AE1215&gt;=10000101,Sync!$AE1215&lt;=99991231),INT(Sync!$AE1215/10000),""),IFERROR(VALUE(TRIM(LEFT(Sync!$AE1215,FIND("/",Sync!$AE1215)-1))),""))))</f>
        <v/>
      </c>
      <c r="H1215">
        <f>IF(OR($F1215="",$G1215=""),"",IF(ISNUMBER(Sync!$AE1215),INT(MOD(Sync!$AE1215,10000)/100),IFERROR(VALUE(TRIM(LEFT(MID(Sync!$AE1215,FIND("/",Sync!$AE1215)+1,20),FIND("/",MID(Sync!$AE1215,FIND("/",Sync!$AE1215)+1,20))-1))),"")))</f>
        <v/>
      </c>
      <c r="I1215">
        <f>IF(OR($F1215="",$G1215=""),"",IF(ISNUMBER(Sync!$AE1215),MOD(Sync!$AE1215,100),IFERROR(VALUE(TRIM(MID(MID(Sync!$AE1215,FIND("/",Sync!$AE1215)+1,20),FIND("/",MID(Sync!$AE1215,FIND("/",Sync!$AE1215)+1,20))+1,20))),"")))</f>
        <v/>
      </c>
      <c r="J1215">
        <f>IF($F1215="","",IF(OR($G1215="",$H1215="",$I1215="",$G1215&lt;1300,$G1215&gt;1500,$H1215&lt;1,$H1215&gt;12,$I1215&lt;1,$I1215&gt;31),"نامعتبر",RIGHT("0000"&amp;$G1215,4)&amp;"/"&amp;RIGHT("00"&amp;$H1215,2)&amp;"/"&amp;RIGHT("00"&amp;$I1215,2)))</f>
        <v/>
      </c>
      <c r="K1215">
        <f>IF(OR($F1215="",$J1215="",$J1215="نامعتبر"),"",LEFT($J1215,4)&amp;MID($J1215,6,2)&amp;RIGHT($J1215,2)&amp;$N1215&amp;"|"&amp;"2"&amp;RIGHT("00000"&amp;1210,5))</f>
        <v/>
      </c>
      <c r="L1215">
        <f>IF($K1215="","",COUNTIFS(LdgSellerA,$F1215,LdgKeyA,"&lt;"&amp;$K1215)+COUNTIFS(LdgSellerB,$F1215,LdgKeyB,"&lt;"&amp;$K1215)+1)</f>
        <v/>
      </c>
      <c r="M1215">
        <f>IF($L1215="","",$F1215&amp;"|"&amp;RIGHT("000000"&amp;$L1215,6))</f>
        <v/>
      </c>
      <c r="N1215">
        <f>IF($F1215="","",IF(Sync!$AF1215="","0000",IF(AND(ISNUMBER(Sync!$AF1215),Sync!$AF1215&gt;=0,Sync!$AF1215&lt;1),RIGHT("00"&amp;HOUR(Sync!$AF1215),2)&amp;RIGHT("00"&amp;MINUTE(Sync!$AF1215),2),IFERROR(RIGHT("00"&amp;VALUE(LEFT(Sync!$AF1215,FIND(":",Sync!$AF1215)-1)),2)&amp;RIGHT("00"&amp;VALUE(MID(Sync!$AF1215,FIND(":",Sync!$AF1215)+1,2)),2),"0000"))))</f>
        <v/>
      </c>
    </row>
    <row r="1216">
      <c r="A1216">
        <f>IF(OR(Calc!$E1220="",Calc!$E1220="نامعتبر",Calc!$G1220=""),"",Calc!$G1220)</f>
        <v/>
      </c>
      <c r="B1216">
        <f>IF($A1216="","",LEFT(Calc!$E1220,4)&amp;MID(Calc!$E1220,6,2)&amp;RIGHT(Calc!$E1220,2)&amp;Calc!$Q1220&amp;"|"&amp;"1"&amp;RIGHT("00000"&amp;1211,5))</f>
        <v/>
      </c>
      <c r="C1216">
        <f>IF($B1216="","",COUNTIFS(LdgSellerA,$A1216,LdgKeyA,"&lt;"&amp;$B1216)+COUNTIFS(LdgSellerB,$A1216,LdgKeyB,"&lt;"&amp;$B1216)+1)</f>
        <v/>
      </c>
      <c r="D1216">
        <f>IF($C1216="","",$A1216&amp;"|"&amp;RIGHT("000000"&amp;$C1216,6))</f>
        <v/>
      </c>
      <c r="F1216">
        <f>IF(Sync!$AH1216="","",IF(LEFT(UPPER(TRIM(Sync!$AH1216)),2)="SL",UPPER(TRIM(Sync!$AH1216)),""))</f>
        <v/>
      </c>
      <c r="G1216">
        <f>IF($F1216="","",IF(Sync!$AE1216="","",IF(ISNUMBER(Sync!$AE1216),IF(AND(Sync!$AE1216&gt;=10000101,Sync!$AE1216&lt;=99991231),INT(Sync!$AE1216/10000),""),IFERROR(VALUE(TRIM(LEFT(Sync!$AE1216,FIND("/",Sync!$AE1216)-1))),""))))</f>
        <v/>
      </c>
      <c r="H1216">
        <f>IF(OR($F1216="",$G1216=""),"",IF(ISNUMBER(Sync!$AE1216),INT(MOD(Sync!$AE1216,10000)/100),IFERROR(VALUE(TRIM(LEFT(MID(Sync!$AE1216,FIND("/",Sync!$AE1216)+1,20),FIND("/",MID(Sync!$AE1216,FIND("/",Sync!$AE1216)+1,20))-1))),"")))</f>
        <v/>
      </c>
      <c r="I1216">
        <f>IF(OR($F1216="",$G1216=""),"",IF(ISNUMBER(Sync!$AE1216),MOD(Sync!$AE1216,100),IFERROR(VALUE(TRIM(MID(MID(Sync!$AE1216,FIND("/",Sync!$AE1216)+1,20),FIND("/",MID(Sync!$AE1216,FIND("/",Sync!$AE1216)+1,20))+1,20))),"")))</f>
        <v/>
      </c>
      <c r="J1216">
        <f>IF($F1216="","",IF(OR($G1216="",$H1216="",$I1216="",$G1216&lt;1300,$G1216&gt;1500,$H1216&lt;1,$H1216&gt;12,$I1216&lt;1,$I1216&gt;31),"نامعتبر",RIGHT("0000"&amp;$G1216,4)&amp;"/"&amp;RIGHT("00"&amp;$H1216,2)&amp;"/"&amp;RIGHT("00"&amp;$I1216,2)))</f>
        <v/>
      </c>
      <c r="K1216">
        <f>IF(OR($F1216="",$J1216="",$J1216="نامعتبر"),"",LEFT($J1216,4)&amp;MID($J1216,6,2)&amp;RIGHT($J1216,2)&amp;$N1216&amp;"|"&amp;"2"&amp;RIGHT("00000"&amp;1211,5))</f>
        <v/>
      </c>
      <c r="L1216">
        <f>IF($K1216="","",COUNTIFS(LdgSellerA,$F1216,LdgKeyA,"&lt;"&amp;$K1216)+COUNTIFS(LdgSellerB,$F1216,LdgKeyB,"&lt;"&amp;$K1216)+1)</f>
        <v/>
      </c>
      <c r="M1216">
        <f>IF($L1216="","",$F1216&amp;"|"&amp;RIGHT("000000"&amp;$L1216,6))</f>
        <v/>
      </c>
      <c r="N1216">
        <f>IF($F1216="","",IF(Sync!$AF1216="","0000",IF(AND(ISNUMBER(Sync!$AF1216),Sync!$AF1216&gt;=0,Sync!$AF1216&lt;1),RIGHT("00"&amp;HOUR(Sync!$AF1216),2)&amp;RIGHT("00"&amp;MINUTE(Sync!$AF1216),2),IFERROR(RIGHT("00"&amp;VALUE(LEFT(Sync!$AF1216,FIND(":",Sync!$AF1216)-1)),2)&amp;RIGHT("00"&amp;VALUE(MID(Sync!$AF1216,FIND(":",Sync!$AF1216)+1,2)),2),"0000"))))</f>
        <v/>
      </c>
    </row>
    <row r="1217">
      <c r="A1217">
        <f>IF(OR(Calc!$E1221="",Calc!$E1221="نامعتبر",Calc!$G1221=""),"",Calc!$G1221)</f>
        <v/>
      </c>
      <c r="B1217">
        <f>IF($A1217="","",LEFT(Calc!$E1221,4)&amp;MID(Calc!$E1221,6,2)&amp;RIGHT(Calc!$E1221,2)&amp;Calc!$Q1221&amp;"|"&amp;"1"&amp;RIGHT("00000"&amp;1212,5))</f>
        <v/>
      </c>
      <c r="C1217">
        <f>IF($B1217="","",COUNTIFS(LdgSellerA,$A1217,LdgKeyA,"&lt;"&amp;$B1217)+COUNTIFS(LdgSellerB,$A1217,LdgKeyB,"&lt;"&amp;$B1217)+1)</f>
        <v/>
      </c>
      <c r="D1217">
        <f>IF($C1217="","",$A1217&amp;"|"&amp;RIGHT("000000"&amp;$C1217,6))</f>
        <v/>
      </c>
      <c r="F1217">
        <f>IF(Sync!$AH1217="","",IF(LEFT(UPPER(TRIM(Sync!$AH1217)),2)="SL",UPPER(TRIM(Sync!$AH1217)),""))</f>
        <v/>
      </c>
      <c r="G1217">
        <f>IF($F1217="","",IF(Sync!$AE1217="","",IF(ISNUMBER(Sync!$AE1217),IF(AND(Sync!$AE1217&gt;=10000101,Sync!$AE1217&lt;=99991231),INT(Sync!$AE1217/10000),""),IFERROR(VALUE(TRIM(LEFT(Sync!$AE1217,FIND("/",Sync!$AE1217)-1))),""))))</f>
        <v/>
      </c>
      <c r="H1217">
        <f>IF(OR($F1217="",$G1217=""),"",IF(ISNUMBER(Sync!$AE1217),INT(MOD(Sync!$AE1217,10000)/100),IFERROR(VALUE(TRIM(LEFT(MID(Sync!$AE1217,FIND("/",Sync!$AE1217)+1,20),FIND("/",MID(Sync!$AE1217,FIND("/",Sync!$AE1217)+1,20))-1))),"")))</f>
        <v/>
      </c>
      <c r="I1217">
        <f>IF(OR($F1217="",$G1217=""),"",IF(ISNUMBER(Sync!$AE1217),MOD(Sync!$AE1217,100),IFERROR(VALUE(TRIM(MID(MID(Sync!$AE1217,FIND("/",Sync!$AE1217)+1,20),FIND("/",MID(Sync!$AE1217,FIND("/",Sync!$AE1217)+1,20))+1,20))),"")))</f>
        <v/>
      </c>
      <c r="J1217">
        <f>IF($F1217="","",IF(OR($G1217="",$H1217="",$I1217="",$G1217&lt;1300,$G1217&gt;1500,$H1217&lt;1,$H1217&gt;12,$I1217&lt;1,$I1217&gt;31),"نامعتبر",RIGHT("0000"&amp;$G1217,4)&amp;"/"&amp;RIGHT("00"&amp;$H1217,2)&amp;"/"&amp;RIGHT("00"&amp;$I1217,2)))</f>
        <v/>
      </c>
      <c r="K1217">
        <f>IF(OR($F1217="",$J1217="",$J1217="نامعتبر"),"",LEFT($J1217,4)&amp;MID($J1217,6,2)&amp;RIGHT($J1217,2)&amp;$N1217&amp;"|"&amp;"2"&amp;RIGHT("00000"&amp;1212,5))</f>
        <v/>
      </c>
      <c r="L1217">
        <f>IF($K1217="","",COUNTIFS(LdgSellerA,$F1217,LdgKeyA,"&lt;"&amp;$K1217)+COUNTIFS(LdgSellerB,$F1217,LdgKeyB,"&lt;"&amp;$K1217)+1)</f>
        <v/>
      </c>
      <c r="M1217">
        <f>IF($L1217="","",$F1217&amp;"|"&amp;RIGHT("000000"&amp;$L1217,6))</f>
        <v/>
      </c>
      <c r="N1217">
        <f>IF($F1217="","",IF(Sync!$AF1217="","0000",IF(AND(ISNUMBER(Sync!$AF1217),Sync!$AF1217&gt;=0,Sync!$AF1217&lt;1),RIGHT("00"&amp;HOUR(Sync!$AF1217),2)&amp;RIGHT("00"&amp;MINUTE(Sync!$AF1217),2),IFERROR(RIGHT("00"&amp;VALUE(LEFT(Sync!$AF1217,FIND(":",Sync!$AF1217)-1)),2)&amp;RIGHT("00"&amp;VALUE(MID(Sync!$AF1217,FIND(":",Sync!$AF1217)+1,2)),2),"0000"))))</f>
        <v/>
      </c>
    </row>
    <row r="1218">
      <c r="A1218">
        <f>IF(OR(Calc!$E1222="",Calc!$E1222="نامعتبر",Calc!$G1222=""),"",Calc!$G1222)</f>
        <v/>
      </c>
      <c r="B1218">
        <f>IF($A1218="","",LEFT(Calc!$E1222,4)&amp;MID(Calc!$E1222,6,2)&amp;RIGHT(Calc!$E1222,2)&amp;Calc!$Q1222&amp;"|"&amp;"1"&amp;RIGHT("00000"&amp;1213,5))</f>
        <v/>
      </c>
      <c r="C1218">
        <f>IF($B1218="","",COUNTIFS(LdgSellerA,$A1218,LdgKeyA,"&lt;"&amp;$B1218)+COUNTIFS(LdgSellerB,$A1218,LdgKeyB,"&lt;"&amp;$B1218)+1)</f>
        <v/>
      </c>
      <c r="D1218">
        <f>IF($C1218="","",$A1218&amp;"|"&amp;RIGHT("000000"&amp;$C1218,6))</f>
        <v/>
      </c>
      <c r="F1218">
        <f>IF(Sync!$AH1218="","",IF(LEFT(UPPER(TRIM(Sync!$AH1218)),2)="SL",UPPER(TRIM(Sync!$AH1218)),""))</f>
        <v/>
      </c>
      <c r="G1218">
        <f>IF($F1218="","",IF(Sync!$AE1218="","",IF(ISNUMBER(Sync!$AE1218),IF(AND(Sync!$AE1218&gt;=10000101,Sync!$AE1218&lt;=99991231),INT(Sync!$AE1218/10000),""),IFERROR(VALUE(TRIM(LEFT(Sync!$AE1218,FIND("/",Sync!$AE1218)-1))),""))))</f>
        <v/>
      </c>
      <c r="H1218">
        <f>IF(OR($F1218="",$G1218=""),"",IF(ISNUMBER(Sync!$AE1218),INT(MOD(Sync!$AE1218,10000)/100),IFERROR(VALUE(TRIM(LEFT(MID(Sync!$AE1218,FIND("/",Sync!$AE1218)+1,20),FIND("/",MID(Sync!$AE1218,FIND("/",Sync!$AE1218)+1,20))-1))),"")))</f>
        <v/>
      </c>
      <c r="I1218">
        <f>IF(OR($F1218="",$G1218=""),"",IF(ISNUMBER(Sync!$AE1218),MOD(Sync!$AE1218,100),IFERROR(VALUE(TRIM(MID(MID(Sync!$AE1218,FIND("/",Sync!$AE1218)+1,20),FIND("/",MID(Sync!$AE1218,FIND("/",Sync!$AE1218)+1,20))+1,20))),"")))</f>
        <v/>
      </c>
      <c r="J1218">
        <f>IF($F1218="","",IF(OR($G1218="",$H1218="",$I1218="",$G1218&lt;1300,$G1218&gt;1500,$H1218&lt;1,$H1218&gt;12,$I1218&lt;1,$I1218&gt;31),"نامعتبر",RIGHT("0000"&amp;$G1218,4)&amp;"/"&amp;RIGHT("00"&amp;$H1218,2)&amp;"/"&amp;RIGHT("00"&amp;$I1218,2)))</f>
        <v/>
      </c>
      <c r="K1218">
        <f>IF(OR($F1218="",$J1218="",$J1218="نامعتبر"),"",LEFT($J1218,4)&amp;MID($J1218,6,2)&amp;RIGHT($J1218,2)&amp;$N1218&amp;"|"&amp;"2"&amp;RIGHT("00000"&amp;1213,5))</f>
        <v/>
      </c>
      <c r="L1218">
        <f>IF($K1218="","",COUNTIFS(LdgSellerA,$F1218,LdgKeyA,"&lt;"&amp;$K1218)+COUNTIFS(LdgSellerB,$F1218,LdgKeyB,"&lt;"&amp;$K1218)+1)</f>
        <v/>
      </c>
      <c r="M1218">
        <f>IF($L1218="","",$F1218&amp;"|"&amp;RIGHT("000000"&amp;$L1218,6))</f>
        <v/>
      </c>
      <c r="N1218">
        <f>IF($F1218="","",IF(Sync!$AF1218="","0000",IF(AND(ISNUMBER(Sync!$AF1218),Sync!$AF1218&gt;=0,Sync!$AF1218&lt;1),RIGHT("00"&amp;HOUR(Sync!$AF1218),2)&amp;RIGHT("00"&amp;MINUTE(Sync!$AF1218),2),IFERROR(RIGHT("00"&amp;VALUE(LEFT(Sync!$AF1218,FIND(":",Sync!$AF1218)-1)),2)&amp;RIGHT("00"&amp;VALUE(MID(Sync!$AF1218,FIND(":",Sync!$AF1218)+1,2)),2),"0000"))))</f>
        <v/>
      </c>
    </row>
    <row r="1219">
      <c r="A1219">
        <f>IF(OR(Calc!$E1223="",Calc!$E1223="نامعتبر",Calc!$G1223=""),"",Calc!$G1223)</f>
        <v/>
      </c>
      <c r="B1219">
        <f>IF($A1219="","",LEFT(Calc!$E1223,4)&amp;MID(Calc!$E1223,6,2)&amp;RIGHT(Calc!$E1223,2)&amp;Calc!$Q1223&amp;"|"&amp;"1"&amp;RIGHT("00000"&amp;1214,5))</f>
        <v/>
      </c>
      <c r="C1219">
        <f>IF($B1219="","",COUNTIFS(LdgSellerA,$A1219,LdgKeyA,"&lt;"&amp;$B1219)+COUNTIFS(LdgSellerB,$A1219,LdgKeyB,"&lt;"&amp;$B1219)+1)</f>
        <v/>
      </c>
      <c r="D1219">
        <f>IF($C1219="","",$A1219&amp;"|"&amp;RIGHT("000000"&amp;$C1219,6))</f>
        <v/>
      </c>
      <c r="F1219">
        <f>IF(Sync!$AH1219="","",IF(LEFT(UPPER(TRIM(Sync!$AH1219)),2)="SL",UPPER(TRIM(Sync!$AH1219)),""))</f>
        <v/>
      </c>
      <c r="G1219">
        <f>IF($F1219="","",IF(Sync!$AE1219="","",IF(ISNUMBER(Sync!$AE1219),IF(AND(Sync!$AE1219&gt;=10000101,Sync!$AE1219&lt;=99991231),INT(Sync!$AE1219/10000),""),IFERROR(VALUE(TRIM(LEFT(Sync!$AE1219,FIND("/",Sync!$AE1219)-1))),""))))</f>
        <v/>
      </c>
      <c r="H1219">
        <f>IF(OR($F1219="",$G1219=""),"",IF(ISNUMBER(Sync!$AE1219),INT(MOD(Sync!$AE1219,10000)/100),IFERROR(VALUE(TRIM(LEFT(MID(Sync!$AE1219,FIND("/",Sync!$AE1219)+1,20),FIND("/",MID(Sync!$AE1219,FIND("/",Sync!$AE1219)+1,20))-1))),"")))</f>
        <v/>
      </c>
      <c r="I1219">
        <f>IF(OR($F1219="",$G1219=""),"",IF(ISNUMBER(Sync!$AE1219),MOD(Sync!$AE1219,100),IFERROR(VALUE(TRIM(MID(MID(Sync!$AE1219,FIND("/",Sync!$AE1219)+1,20),FIND("/",MID(Sync!$AE1219,FIND("/",Sync!$AE1219)+1,20))+1,20))),"")))</f>
        <v/>
      </c>
      <c r="J1219">
        <f>IF($F1219="","",IF(OR($G1219="",$H1219="",$I1219="",$G1219&lt;1300,$G1219&gt;1500,$H1219&lt;1,$H1219&gt;12,$I1219&lt;1,$I1219&gt;31),"نامعتبر",RIGHT("0000"&amp;$G1219,4)&amp;"/"&amp;RIGHT("00"&amp;$H1219,2)&amp;"/"&amp;RIGHT("00"&amp;$I1219,2)))</f>
        <v/>
      </c>
      <c r="K1219">
        <f>IF(OR($F1219="",$J1219="",$J1219="نامعتبر"),"",LEFT($J1219,4)&amp;MID($J1219,6,2)&amp;RIGHT($J1219,2)&amp;$N1219&amp;"|"&amp;"2"&amp;RIGHT("00000"&amp;1214,5))</f>
        <v/>
      </c>
      <c r="L1219">
        <f>IF($K1219="","",COUNTIFS(LdgSellerA,$F1219,LdgKeyA,"&lt;"&amp;$K1219)+COUNTIFS(LdgSellerB,$F1219,LdgKeyB,"&lt;"&amp;$K1219)+1)</f>
        <v/>
      </c>
      <c r="M1219">
        <f>IF($L1219="","",$F1219&amp;"|"&amp;RIGHT("000000"&amp;$L1219,6))</f>
        <v/>
      </c>
      <c r="N1219">
        <f>IF($F1219="","",IF(Sync!$AF1219="","0000",IF(AND(ISNUMBER(Sync!$AF1219),Sync!$AF1219&gt;=0,Sync!$AF1219&lt;1),RIGHT("00"&amp;HOUR(Sync!$AF1219),2)&amp;RIGHT("00"&amp;MINUTE(Sync!$AF1219),2),IFERROR(RIGHT("00"&amp;VALUE(LEFT(Sync!$AF1219,FIND(":",Sync!$AF1219)-1)),2)&amp;RIGHT("00"&amp;VALUE(MID(Sync!$AF1219,FIND(":",Sync!$AF1219)+1,2)),2),"0000"))))</f>
        <v/>
      </c>
    </row>
    <row r="1220">
      <c r="A1220">
        <f>IF(OR(Calc!$E1224="",Calc!$E1224="نامعتبر",Calc!$G1224=""),"",Calc!$G1224)</f>
        <v/>
      </c>
      <c r="B1220">
        <f>IF($A1220="","",LEFT(Calc!$E1224,4)&amp;MID(Calc!$E1224,6,2)&amp;RIGHT(Calc!$E1224,2)&amp;Calc!$Q1224&amp;"|"&amp;"1"&amp;RIGHT("00000"&amp;1215,5))</f>
        <v/>
      </c>
      <c r="C1220">
        <f>IF($B1220="","",COUNTIFS(LdgSellerA,$A1220,LdgKeyA,"&lt;"&amp;$B1220)+COUNTIFS(LdgSellerB,$A1220,LdgKeyB,"&lt;"&amp;$B1220)+1)</f>
        <v/>
      </c>
      <c r="D1220">
        <f>IF($C1220="","",$A1220&amp;"|"&amp;RIGHT("000000"&amp;$C1220,6))</f>
        <v/>
      </c>
      <c r="F1220">
        <f>IF(Sync!$AH1220="","",IF(LEFT(UPPER(TRIM(Sync!$AH1220)),2)="SL",UPPER(TRIM(Sync!$AH1220)),""))</f>
        <v/>
      </c>
      <c r="G1220">
        <f>IF($F1220="","",IF(Sync!$AE1220="","",IF(ISNUMBER(Sync!$AE1220),IF(AND(Sync!$AE1220&gt;=10000101,Sync!$AE1220&lt;=99991231),INT(Sync!$AE1220/10000),""),IFERROR(VALUE(TRIM(LEFT(Sync!$AE1220,FIND("/",Sync!$AE1220)-1))),""))))</f>
        <v/>
      </c>
      <c r="H1220">
        <f>IF(OR($F1220="",$G1220=""),"",IF(ISNUMBER(Sync!$AE1220),INT(MOD(Sync!$AE1220,10000)/100),IFERROR(VALUE(TRIM(LEFT(MID(Sync!$AE1220,FIND("/",Sync!$AE1220)+1,20),FIND("/",MID(Sync!$AE1220,FIND("/",Sync!$AE1220)+1,20))-1))),"")))</f>
        <v/>
      </c>
      <c r="I1220">
        <f>IF(OR($F1220="",$G1220=""),"",IF(ISNUMBER(Sync!$AE1220),MOD(Sync!$AE1220,100),IFERROR(VALUE(TRIM(MID(MID(Sync!$AE1220,FIND("/",Sync!$AE1220)+1,20),FIND("/",MID(Sync!$AE1220,FIND("/",Sync!$AE1220)+1,20))+1,20))),"")))</f>
        <v/>
      </c>
      <c r="J1220">
        <f>IF($F1220="","",IF(OR($G1220="",$H1220="",$I1220="",$G1220&lt;1300,$G1220&gt;1500,$H1220&lt;1,$H1220&gt;12,$I1220&lt;1,$I1220&gt;31),"نامعتبر",RIGHT("0000"&amp;$G1220,4)&amp;"/"&amp;RIGHT("00"&amp;$H1220,2)&amp;"/"&amp;RIGHT("00"&amp;$I1220,2)))</f>
        <v/>
      </c>
      <c r="K1220">
        <f>IF(OR($F1220="",$J1220="",$J1220="نامعتبر"),"",LEFT($J1220,4)&amp;MID($J1220,6,2)&amp;RIGHT($J1220,2)&amp;$N1220&amp;"|"&amp;"2"&amp;RIGHT("00000"&amp;1215,5))</f>
        <v/>
      </c>
      <c r="L1220">
        <f>IF($K1220="","",COUNTIFS(LdgSellerA,$F1220,LdgKeyA,"&lt;"&amp;$K1220)+COUNTIFS(LdgSellerB,$F1220,LdgKeyB,"&lt;"&amp;$K1220)+1)</f>
        <v/>
      </c>
      <c r="M1220">
        <f>IF($L1220="","",$F1220&amp;"|"&amp;RIGHT("000000"&amp;$L1220,6))</f>
        <v/>
      </c>
      <c r="N1220">
        <f>IF($F1220="","",IF(Sync!$AF1220="","0000",IF(AND(ISNUMBER(Sync!$AF1220),Sync!$AF1220&gt;=0,Sync!$AF1220&lt;1),RIGHT("00"&amp;HOUR(Sync!$AF1220),2)&amp;RIGHT("00"&amp;MINUTE(Sync!$AF1220),2),IFERROR(RIGHT("00"&amp;VALUE(LEFT(Sync!$AF1220,FIND(":",Sync!$AF1220)-1)),2)&amp;RIGHT("00"&amp;VALUE(MID(Sync!$AF1220,FIND(":",Sync!$AF1220)+1,2)),2),"0000"))))</f>
        <v/>
      </c>
    </row>
    <row r="1221">
      <c r="A1221">
        <f>IF(OR(Calc!$E1225="",Calc!$E1225="نامعتبر",Calc!$G1225=""),"",Calc!$G1225)</f>
        <v/>
      </c>
      <c r="B1221">
        <f>IF($A1221="","",LEFT(Calc!$E1225,4)&amp;MID(Calc!$E1225,6,2)&amp;RIGHT(Calc!$E1225,2)&amp;Calc!$Q1225&amp;"|"&amp;"1"&amp;RIGHT("00000"&amp;1216,5))</f>
        <v/>
      </c>
      <c r="C1221">
        <f>IF($B1221="","",COUNTIFS(LdgSellerA,$A1221,LdgKeyA,"&lt;"&amp;$B1221)+COUNTIFS(LdgSellerB,$A1221,LdgKeyB,"&lt;"&amp;$B1221)+1)</f>
        <v/>
      </c>
      <c r="D1221">
        <f>IF($C1221="","",$A1221&amp;"|"&amp;RIGHT("000000"&amp;$C1221,6))</f>
        <v/>
      </c>
      <c r="F1221">
        <f>IF(Sync!$AH1221="","",IF(LEFT(UPPER(TRIM(Sync!$AH1221)),2)="SL",UPPER(TRIM(Sync!$AH1221)),""))</f>
        <v/>
      </c>
      <c r="G1221">
        <f>IF($F1221="","",IF(Sync!$AE1221="","",IF(ISNUMBER(Sync!$AE1221),IF(AND(Sync!$AE1221&gt;=10000101,Sync!$AE1221&lt;=99991231),INT(Sync!$AE1221/10000),""),IFERROR(VALUE(TRIM(LEFT(Sync!$AE1221,FIND("/",Sync!$AE1221)-1))),""))))</f>
        <v/>
      </c>
      <c r="H1221">
        <f>IF(OR($F1221="",$G1221=""),"",IF(ISNUMBER(Sync!$AE1221),INT(MOD(Sync!$AE1221,10000)/100),IFERROR(VALUE(TRIM(LEFT(MID(Sync!$AE1221,FIND("/",Sync!$AE1221)+1,20),FIND("/",MID(Sync!$AE1221,FIND("/",Sync!$AE1221)+1,20))-1))),"")))</f>
        <v/>
      </c>
      <c r="I1221">
        <f>IF(OR($F1221="",$G1221=""),"",IF(ISNUMBER(Sync!$AE1221),MOD(Sync!$AE1221,100),IFERROR(VALUE(TRIM(MID(MID(Sync!$AE1221,FIND("/",Sync!$AE1221)+1,20),FIND("/",MID(Sync!$AE1221,FIND("/",Sync!$AE1221)+1,20))+1,20))),"")))</f>
        <v/>
      </c>
      <c r="J1221">
        <f>IF($F1221="","",IF(OR($G1221="",$H1221="",$I1221="",$G1221&lt;1300,$G1221&gt;1500,$H1221&lt;1,$H1221&gt;12,$I1221&lt;1,$I1221&gt;31),"نامعتبر",RIGHT("0000"&amp;$G1221,4)&amp;"/"&amp;RIGHT("00"&amp;$H1221,2)&amp;"/"&amp;RIGHT("00"&amp;$I1221,2)))</f>
        <v/>
      </c>
      <c r="K1221">
        <f>IF(OR($F1221="",$J1221="",$J1221="نامعتبر"),"",LEFT($J1221,4)&amp;MID($J1221,6,2)&amp;RIGHT($J1221,2)&amp;$N1221&amp;"|"&amp;"2"&amp;RIGHT("00000"&amp;1216,5))</f>
        <v/>
      </c>
      <c r="L1221">
        <f>IF($K1221="","",COUNTIFS(LdgSellerA,$F1221,LdgKeyA,"&lt;"&amp;$K1221)+COUNTIFS(LdgSellerB,$F1221,LdgKeyB,"&lt;"&amp;$K1221)+1)</f>
        <v/>
      </c>
      <c r="M1221">
        <f>IF($L1221="","",$F1221&amp;"|"&amp;RIGHT("000000"&amp;$L1221,6))</f>
        <v/>
      </c>
      <c r="N1221">
        <f>IF($F1221="","",IF(Sync!$AF1221="","0000",IF(AND(ISNUMBER(Sync!$AF1221),Sync!$AF1221&gt;=0,Sync!$AF1221&lt;1),RIGHT("00"&amp;HOUR(Sync!$AF1221),2)&amp;RIGHT("00"&amp;MINUTE(Sync!$AF1221),2),IFERROR(RIGHT("00"&amp;VALUE(LEFT(Sync!$AF1221,FIND(":",Sync!$AF1221)-1)),2)&amp;RIGHT("00"&amp;VALUE(MID(Sync!$AF1221,FIND(":",Sync!$AF1221)+1,2)),2),"0000"))))</f>
        <v/>
      </c>
    </row>
    <row r="1222">
      <c r="A1222">
        <f>IF(OR(Calc!$E1226="",Calc!$E1226="نامعتبر",Calc!$G1226=""),"",Calc!$G1226)</f>
        <v/>
      </c>
      <c r="B1222">
        <f>IF($A1222="","",LEFT(Calc!$E1226,4)&amp;MID(Calc!$E1226,6,2)&amp;RIGHT(Calc!$E1226,2)&amp;Calc!$Q1226&amp;"|"&amp;"1"&amp;RIGHT("00000"&amp;1217,5))</f>
        <v/>
      </c>
      <c r="C1222">
        <f>IF($B1222="","",COUNTIFS(LdgSellerA,$A1222,LdgKeyA,"&lt;"&amp;$B1222)+COUNTIFS(LdgSellerB,$A1222,LdgKeyB,"&lt;"&amp;$B1222)+1)</f>
        <v/>
      </c>
      <c r="D1222">
        <f>IF($C1222="","",$A1222&amp;"|"&amp;RIGHT("000000"&amp;$C1222,6))</f>
        <v/>
      </c>
      <c r="F1222">
        <f>IF(Sync!$AH1222="","",IF(LEFT(UPPER(TRIM(Sync!$AH1222)),2)="SL",UPPER(TRIM(Sync!$AH1222)),""))</f>
        <v/>
      </c>
      <c r="G1222">
        <f>IF($F1222="","",IF(Sync!$AE1222="","",IF(ISNUMBER(Sync!$AE1222),IF(AND(Sync!$AE1222&gt;=10000101,Sync!$AE1222&lt;=99991231),INT(Sync!$AE1222/10000),""),IFERROR(VALUE(TRIM(LEFT(Sync!$AE1222,FIND("/",Sync!$AE1222)-1))),""))))</f>
        <v/>
      </c>
      <c r="H1222">
        <f>IF(OR($F1222="",$G1222=""),"",IF(ISNUMBER(Sync!$AE1222),INT(MOD(Sync!$AE1222,10000)/100),IFERROR(VALUE(TRIM(LEFT(MID(Sync!$AE1222,FIND("/",Sync!$AE1222)+1,20),FIND("/",MID(Sync!$AE1222,FIND("/",Sync!$AE1222)+1,20))-1))),"")))</f>
        <v/>
      </c>
      <c r="I1222">
        <f>IF(OR($F1222="",$G1222=""),"",IF(ISNUMBER(Sync!$AE1222),MOD(Sync!$AE1222,100),IFERROR(VALUE(TRIM(MID(MID(Sync!$AE1222,FIND("/",Sync!$AE1222)+1,20),FIND("/",MID(Sync!$AE1222,FIND("/",Sync!$AE1222)+1,20))+1,20))),"")))</f>
        <v/>
      </c>
      <c r="J1222">
        <f>IF($F1222="","",IF(OR($G1222="",$H1222="",$I1222="",$G1222&lt;1300,$G1222&gt;1500,$H1222&lt;1,$H1222&gt;12,$I1222&lt;1,$I1222&gt;31),"نامعتبر",RIGHT("0000"&amp;$G1222,4)&amp;"/"&amp;RIGHT("00"&amp;$H1222,2)&amp;"/"&amp;RIGHT("00"&amp;$I1222,2)))</f>
        <v/>
      </c>
      <c r="K1222">
        <f>IF(OR($F1222="",$J1222="",$J1222="نامعتبر"),"",LEFT($J1222,4)&amp;MID($J1222,6,2)&amp;RIGHT($J1222,2)&amp;$N1222&amp;"|"&amp;"2"&amp;RIGHT("00000"&amp;1217,5))</f>
        <v/>
      </c>
      <c r="L1222">
        <f>IF($K1222="","",COUNTIFS(LdgSellerA,$F1222,LdgKeyA,"&lt;"&amp;$K1222)+COUNTIFS(LdgSellerB,$F1222,LdgKeyB,"&lt;"&amp;$K1222)+1)</f>
        <v/>
      </c>
      <c r="M1222">
        <f>IF($L1222="","",$F1222&amp;"|"&amp;RIGHT("000000"&amp;$L1222,6))</f>
        <v/>
      </c>
      <c r="N1222">
        <f>IF($F1222="","",IF(Sync!$AF1222="","0000",IF(AND(ISNUMBER(Sync!$AF1222),Sync!$AF1222&gt;=0,Sync!$AF1222&lt;1),RIGHT("00"&amp;HOUR(Sync!$AF1222),2)&amp;RIGHT("00"&amp;MINUTE(Sync!$AF1222),2),IFERROR(RIGHT("00"&amp;VALUE(LEFT(Sync!$AF1222,FIND(":",Sync!$AF1222)-1)),2)&amp;RIGHT("00"&amp;VALUE(MID(Sync!$AF1222,FIND(":",Sync!$AF1222)+1,2)),2),"0000"))))</f>
        <v/>
      </c>
    </row>
    <row r="1223">
      <c r="A1223">
        <f>IF(OR(Calc!$E1227="",Calc!$E1227="نامعتبر",Calc!$G1227=""),"",Calc!$G1227)</f>
        <v/>
      </c>
      <c r="B1223">
        <f>IF($A1223="","",LEFT(Calc!$E1227,4)&amp;MID(Calc!$E1227,6,2)&amp;RIGHT(Calc!$E1227,2)&amp;Calc!$Q1227&amp;"|"&amp;"1"&amp;RIGHT("00000"&amp;1218,5))</f>
        <v/>
      </c>
      <c r="C1223">
        <f>IF($B1223="","",COUNTIFS(LdgSellerA,$A1223,LdgKeyA,"&lt;"&amp;$B1223)+COUNTIFS(LdgSellerB,$A1223,LdgKeyB,"&lt;"&amp;$B1223)+1)</f>
        <v/>
      </c>
      <c r="D1223">
        <f>IF($C1223="","",$A1223&amp;"|"&amp;RIGHT("000000"&amp;$C1223,6))</f>
        <v/>
      </c>
      <c r="F1223">
        <f>IF(Sync!$AH1223="","",IF(LEFT(UPPER(TRIM(Sync!$AH1223)),2)="SL",UPPER(TRIM(Sync!$AH1223)),""))</f>
        <v/>
      </c>
      <c r="G1223">
        <f>IF($F1223="","",IF(Sync!$AE1223="","",IF(ISNUMBER(Sync!$AE1223),IF(AND(Sync!$AE1223&gt;=10000101,Sync!$AE1223&lt;=99991231),INT(Sync!$AE1223/10000),""),IFERROR(VALUE(TRIM(LEFT(Sync!$AE1223,FIND("/",Sync!$AE1223)-1))),""))))</f>
        <v/>
      </c>
      <c r="H1223">
        <f>IF(OR($F1223="",$G1223=""),"",IF(ISNUMBER(Sync!$AE1223),INT(MOD(Sync!$AE1223,10000)/100),IFERROR(VALUE(TRIM(LEFT(MID(Sync!$AE1223,FIND("/",Sync!$AE1223)+1,20),FIND("/",MID(Sync!$AE1223,FIND("/",Sync!$AE1223)+1,20))-1))),"")))</f>
        <v/>
      </c>
      <c r="I1223">
        <f>IF(OR($F1223="",$G1223=""),"",IF(ISNUMBER(Sync!$AE1223),MOD(Sync!$AE1223,100),IFERROR(VALUE(TRIM(MID(MID(Sync!$AE1223,FIND("/",Sync!$AE1223)+1,20),FIND("/",MID(Sync!$AE1223,FIND("/",Sync!$AE1223)+1,20))+1,20))),"")))</f>
        <v/>
      </c>
      <c r="J1223">
        <f>IF($F1223="","",IF(OR($G1223="",$H1223="",$I1223="",$G1223&lt;1300,$G1223&gt;1500,$H1223&lt;1,$H1223&gt;12,$I1223&lt;1,$I1223&gt;31),"نامعتبر",RIGHT("0000"&amp;$G1223,4)&amp;"/"&amp;RIGHT("00"&amp;$H1223,2)&amp;"/"&amp;RIGHT("00"&amp;$I1223,2)))</f>
        <v/>
      </c>
      <c r="K1223">
        <f>IF(OR($F1223="",$J1223="",$J1223="نامعتبر"),"",LEFT($J1223,4)&amp;MID($J1223,6,2)&amp;RIGHT($J1223,2)&amp;$N1223&amp;"|"&amp;"2"&amp;RIGHT("00000"&amp;1218,5))</f>
        <v/>
      </c>
      <c r="L1223">
        <f>IF($K1223="","",COUNTIFS(LdgSellerA,$F1223,LdgKeyA,"&lt;"&amp;$K1223)+COUNTIFS(LdgSellerB,$F1223,LdgKeyB,"&lt;"&amp;$K1223)+1)</f>
        <v/>
      </c>
      <c r="M1223">
        <f>IF($L1223="","",$F1223&amp;"|"&amp;RIGHT("000000"&amp;$L1223,6))</f>
        <v/>
      </c>
      <c r="N1223">
        <f>IF($F1223="","",IF(Sync!$AF1223="","0000",IF(AND(ISNUMBER(Sync!$AF1223),Sync!$AF1223&gt;=0,Sync!$AF1223&lt;1),RIGHT("00"&amp;HOUR(Sync!$AF1223),2)&amp;RIGHT("00"&amp;MINUTE(Sync!$AF1223),2),IFERROR(RIGHT("00"&amp;VALUE(LEFT(Sync!$AF1223,FIND(":",Sync!$AF1223)-1)),2)&amp;RIGHT("00"&amp;VALUE(MID(Sync!$AF1223,FIND(":",Sync!$AF1223)+1,2)),2),"0000"))))</f>
        <v/>
      </c>
    </row>
    <row r="1224">
      <c r="A1224">
        <f>IF(OR(Calc!$E1228="",Calc!$E1228="نامعتبر",Calc!$G1228=""),"",Calc!$G1228)</f>
        <v/>
      </c>
      <c r="B1224">
        <f>IF($A1224="","",LEFT(Calc!$E1228,4)&amp;MID(Calc!$E1228,6,2)&amp;RIGHT(Calc!$E1228,2)&amp;Calc!$Q1228&amp;"|"&amp;"1"&amp;RIGHT("00000"&amp;1219,5))</f>
        <v/>
      </c>
      <c r="C1224">
        <f>IF($B1224="","",COUNTIFS(LdgSellerA,$A1224,LdgKeyA,"&lt;"&amp;$B1224)+COUNTIFS(LdgSellerB,$A1224,LdgKeyB,"&lt;"&amp;$B1224)+1)</f>
        <v/>
      </c>
      <c r="D1224">
        <f>IF($C1224="","",$A1224&amp;"|"&amp;RIGHT("000000"&amp;$C1224,6))</f>
        <v/>
      </c>
      <c r="F1224">
        <f>IF(Sync!$AH1224="","",IF(LEFT(UPPER(TRIM(Sync!$AH1224)),2)="SL",UPPER(TRIM(Sync!$AH1224)),""))</f>
        <v/>
      </c>
      <c r="G1224">
        <f>IF($F1224="","",IF(Sync!$AE1224="","",IF(ISNUMBER(Sync!$AE1224),IF(AND(Sync!$AE1224&gt;=10000101,Sync!$AE1224&lt;=99991231),INT(Sync!$AE1224/10000),""),IFERROR(VALUE(TRIM(LEFT(Sync!$AE1224,FIND("/",Sync!$AE1224)-1))),""))))</f>
        <v/>
      </c>
      <c r="H1224">
        <f>IF(OR($F1224="",$G1224=""),"",IF(ISNUMBER(Sync!$AE1224),INT(MOD(Sync!$AE1224,10000)/100),IFERROR(VALUE(TRIM(LEFT(MID(Sync!$AE1224,FIND("/",Sync!$AE1224)+1,20),FIND("/",MID(Sync!$AE1224,FIND("/",Sync!$AE1224)+1,20))-1))),"")))</f>
        <v/>
      </c>
      <c r="I1224">
        <f>IF(OR($F1224="",$G1224=""),"",IF(ISNUMBER(Sync!$AE1224),MOD(Sync!$AE1224,100),IFERROR(VALUE(TRIM(MID(MID(Sync!$AE1224,FIND("/",Sync!$AE1224)+1,20),FIND("/",MID(Sync!$AE1224,FIND("/",Sync!$AE1224)+1,20))+1,20))),"")))</f>
        <v/>
      </c>
      <c r="J1224">
        <f>IF($F1224="","",IF(OR($G1224="",$H1224="",$I1224="",$G1224&lt;1300,$G1224&gt;1500,$H1224&lt;1,$H1224&gt;12,$I1224&lt;1,$I1224&gt;31),"نامعتبر",RIGHT("0000"&amp;$G1224,4)&amp;"/"&amp;RIGHT("00"&amp;$H1224,2)&amp;"/"&amp;RIGHT("00"&amp;$I1224,2)))</f>
        <v/>
      </c>
      <c r="K1224">
        <f>IF(OR($F1224="",$J1224="",$J1224="نامعتبر"),"",LEFT($J1224,4)&amp;MID($J1224,6,2)&amp;RIGHT($J1224,2)&amp;$N1224&amp;"|"&amp;"2"&amp;RIGHT("00000"&amp;1219,5))</f>
        <v/>
      </c>
      <c r="L1224">
        <f>IF($K1224="","",COUNTIFS(LdgSellerA,$F1224,LdgKeyA,"&lt;"&amp;$K1224)+COUNTIFS(LdgSellerB,$F1224,LdgKeyB,"&lt;"&amp;$K1224)+1)</f>
        <v/>
      </c>
      <c r="M1224">
        <f>IF($L1224="","",$F1224&amp;"|"&amp;RIGHT("000000"&amp;$L1224,6))</f>
        <v/>
      </c>
      <c r="N1224">
        <f>IF($F1224="","",IF(Sync!$AF1224="","0000",IF(AND(ISNUMBER(Sync!$AF1224),Sync!$AF1224&gt;=0,Sync!$AF1224&lt;1),RIGHT("00"&amp;HOUR(Sync!$AF1224),2)&amp;RIGHT("00"&amp;MINUTE(Sync!$AF1224),2),IFERROR(RIGHT("00"&amp;VALUE(LEFT(Sync!$AF1224,FIND(":",Sync!$AF1224)-1)),2)&amp;RIGHT("00"&amp;VALUE(MID(Sync!$AF1224,FIND(":",Sync!$AF1224)+1,2)),2),"0000"))))</f>
        <v/>
      </c>
    </row>
    <row r="1225">
      <c r="A1225">
        <f>IF(OR(Calc!$E1229="",Calc!$E1229="نامعتبر",Calc!$G1229=""),"",Calc!$G1229)</f>
        <v/>
      </c>
      <c r="B1225">
        <f>IF($A1225="","",LEFT(Calc!$E1229,4)&amp;MID(Calc!$E1229,6,2)&amp;RIGHT(Calc!$E1229,2)&amp;Calc!$Q1229&amp;"|"&amp;"1"&amp;RIGHT("00000"&amp;1220,5))</f>
        <v/>
      </c>
      <c r="C1225">
        <f>IF($B1225="","",COUNTIFS(LdgSellerA,$A1225,LdgKeyA,"&lt;"&amp;$B1225)+COUNTIFS(LdgSellerB,$A1225,LdgKeyB,"&lt;"&amp;$B1225)+1)</f>
        <v/>
      </c>
      <c r="D1225">
        <f>IF($C1225="","",$A1225&amp;"|"&amp;RIGHT("000000"&amp;$C1225,6))</f>
        <v/>
      </c>
      <c r="F1225">
        <f>IF(Sync!$AH1225="","",IF(LEFT(UPPER(TRIM(Sync!$AH1225)),2)="SL",UPPER(TRIM(Sync!$AH1225)),""))</f>
        <v/>
      </c>
      <c r="G1225">
        <f>IF($F1225="","",IF(Sync!$AE1225="","",IF(ISNUMBER(Sync!$AE1225),IF(AND(Sync!$AE1225&gt;=10000101,Sync!$AE1225&lt;=99991231),INT(Sync!$AE1225/10000),""),IFERROR(VALUE(TRIM(LEFT(Sync!$AE1225,FIND("/",Sync!$AE1225)-1))),""))))</f>
        <v/>
      </c>
      <c r="H1225">
        <f>IF(OR($F1225="",$G1225=""),"",IF(ISNUMBER(Sync!$AE1225),INT(MOD(Sync!$AE1225,10000)/100),IFERROR(VALUE(TRIM(LEFT(MID(Sync!$AE1225,FIND("/",Sync!$AE1225)+1,20),FIND("/",MID(Sync!$AE1225,FIND("/",Sync!$AE1225)+1,20))-1))),"")))</f>
        <v/>
      </c>
      <c r="I1225">
        <f>IF(OR($F1225="",$G1225=""),"",IF(ISNUMBER(Sync!$AE1225),MOD(Sync!$AE1225,100),IFERROR(VALUE(TRIM(MID(MID(Sync!$AE1225,FIND("/",Sync!$AE1225)+1,20),FIND("/",MID(Sync!$AE1225,FIND("/",Sync!$AE1225)+1,20))+1,20))),"")))</f>
        <v/>
      </c>
      <c r="J1225">
        <f>IF($F1225="","",IF(OR($G1225="",$H1225="",$I1225="",$G1225&lt;1300,$G1225&gt;1500,$H1225&lt;1,$H1225&gt;12,$I1225&lt;1,$I1225&gt;31),"نامعتبر",RIGHT("0000"&amp;$G1225,4)&amp;"/"&amp;RIGHT("00"&amp;$H1225,2)&amp;"/"&amp;RIGHT("00"&amp;$I1225,2)))</f>
        <v/>
      </c>
      <c r="K1225">
        <f>IF(OR($F1225="",$J1225="",$J1225="نامعتبر"),"",LEFT($J1225,4)&amp;MID($J1225,6,2)&amp;RIGHT($J1225,2)&amp;$N1225&amp;"|"&amp;"2"&amp;RIGHT("00000"&amp;1220,5))</f>
        <v/>
      </c>
      <c r="L1225">
        <f>IF($K1225="","",COUNTIFS(LdgSellerA,$F1225,LdgKeyA,"&lt;"&amp;$K1225)+COUNTIFS(LdgSellerB,$F1225,LdgKeyB,"&lt;"&amp;$K1225)+1)</f>
        <v/>
      </c>
      <c r="M1225">
        <f>IF($L1225="","",$F1225&amp;"|"&amp;RIGHT("000000"&amp;$L1225,6))</f>
        <v/>
      </c>
      <c r="N1225">
        <f>IF($F1225="","",IF(Sync!$AF1225="","0000",IF(AND(ISNUMBER(Sync!$AF1225),Sync!$AF1225&gt;=0,Sync!$AF1225&lt;1),RIGHT("00"&amp;HOUR(Sync!$AF1225),2)&amp;RIGHT("00"&amp;MINUTE(Sync!$AF1225),2),IFERROR(RIGHT("00"&amp;VALUE(LEFT(Sync!$AF1225,FIND(":",Sync!$AF1225)-1)),2)&amp;RIGHT("00"&amp;VALUE(MID(Sync!$AF1225,FIND(":",Sync!$AF1225)+1,2)),2),"0000"))))</f>
        <v/>
      </c>
    </row>
    <row r="1226">
      <c r="A1226">
        <f>IF(OR(Calc!$E1230="",Calc!$E1230="نامعتبر",Calc!$G1230=""),"",Calc!$G1230)</f>
        <v/>
      </c>
      <c r="B1226">
        <f>IF($A1226="","",LEFT(Calc!$E1230,4)&amp;MID(Calc!$E1230,6,2)&amp;RIGHT(Calc!$E1230,2)&amp;Calc!$Q1230&amp;"|"&amp;"1"&amp;RIGHT("00000"&amp;1221,5))</f>
        <v/>
      </c>
      <c r="C1226">
        <f>IF($B1226="","",COUNTIFS(LdgSellerA,$A1226,LdgKeyA,"&lt;"&amp;$B1226)+COUNTIFS(LdgSellerB,$A1226,LdgKeyB,"&lt;"&amp;$B1226)+1)</f>
        <v/>
      </c>
      <c r="D1226">
        <f>IF($C1226="","",$A1226&amp;"|"&amp;RIGHT("000000"&amp;$C1226,6))</f>
        <v/>
      </c>
      <c r="F1226">
        <f>IF(Sync!$AH1226="","",IF(LEFT(UPPER(TRIM(Sync!$AH1226)),2)="SL",UPPER(TRIM(Sync!$AH1226)),""))</f>
        <v/>
      </c>
      <c r="G1226">
        <f>IF($F1226="","",IF(Sync!$AE1226="","",IF(ISNUMBER(Sync!$AE1226),IF(AND(Sync!$AE1226&gt;=10000101,Sync!$AE1226&lt;=99991231),INT(Sync!$AE1226/10000),""),IFERROR(VALUE(TRIM(LEFT(Sync!$AE1226,FIND("/",Sync!$AE1226)-1))),""))))</f>
        <v/>
      </c>
      <c r="H1226">
        <f>IF(OR($F1226="",$G1226=""),"",IF(ISNUMBER(Sync!$AE1226),INT(MOD(Sync!$AE1226,10000)/100),IFERROR(VALUE(TRIM(LEFT(MID(Sync!$AE1226,FIND("/",Sync!$AE1226)+1,20),FIND("/",MID(Sync!$AE1226,FIND("/",Sync!$AE1226)+1,20))-1))),"")))</f>
        <v/>
      </c>
      <c r="I1226">
        <f>IF(OR($F1226="",$G1226=""),"",IF(ISNUMBER(Sync!$AE1226),MOD(Sync!$AE1226,100),IFERROR(VALUE(TRIM(MID(MID(Sync!$AE1226,FIND("/",Sync!$AE1226)+1,20),FIND("/",MID(Sync!$AE1226,FIND("/",Sync!$AE1226)+1,20))+1,20))),"")))</f>
        <v/>
      </c>
      <c r="J1226">
        <f>IF($F1226="","",IF(OR($G1226="",$H1226="",$I1226="",$G1226&lt;1300,$G1226&gt;1500,$H1226&lt;1,$H1226&gt;12,$I1226&lt;1,$I1226&gt;31),"نامعتبر",RIGHT("0000"&amp;$G1226,4)&amp;"/"&amp;RIGHT("00"&amp;$H1226,2)&amp;"/"&amp;RIGHT("00"&amp;$I1226,2)))</f>
        <v/>
      </c>
      <c r="K1226">
        <f>IF(OR($F1226="",$J1226="",$J1226="نامعتبر"),"",LEFT($J1226,4)&amp;MID($J1226,6,2)&amp;RIGHT($J1226,2)&amp;$N1226&amp;"|"&amp;"2"&amp;RIGHT("00000"&amp;1221,5))</f>
        <v/>
      </c>
      <c r="L1226">
        <f>IF($K1226="","",COUNTIFS(LdgSellerA,$F1226,LdgKeyA,"&lt;"&amp;$K1226)+COUNTIFS(LdgSellerB,$F1226,LdgKeyB,"&lt;"&amp;$K1226)+1)</f>
        <v/>
      </c>
      <c r="M1226">
        <f>IF($L1226="","",$F1226&amp;"|"&amp;RIGHT("000000"&amp;$L1226,6))</f>
        <v/>
      </c>
      <c r="N1226">
        <f>IF($F1226="","",IF(Sync!$AF1226="","0000",IF(AND(ISNUMBER(Sync!$AF1226),Sync!$AF1226&gt;=0,Sync!$AF1226&lt;1),RIGHT("00"&amp;HOUR(Sync!$AF1226),2)&amp;RIGHT("00"&amp;MINUTE(Sync!$AF1226),2),IFERROR(RIGHT("00"&amp;VALUE(LEFT(Sync!$AF1226,FIND(":",Sync!$AF1226)-1)),2)&amp;RIGHT("00"&amp;VALUE(MID(Sync!$AF1226,FIND(":",Sync!$AF1226)+1,2)),2),"0000"))))</f>
        <v/>
      </c>
    </row>
    <row r="1227">
      <c r="A1227">
        <f>IF(OR(Calc!$E1231="",Calc!$E1231="نامعتبر",Calc!$G1231=""),"",Calc!$G1231)</f>
        <v/>
      </c>
      <c r="B1227">
        <f>IF($A1227="","",LEFT(Calc!$E1231,4)&amp;MID(Calc!$E1231,6,2)&amp;RIGHT(Calc!$E1231,2)&amp;Calc!$Q1231&amp;"|"&amp;"1"&amp;RIGHT("00000"&amp;1222,5))</f>
        <v/>
      </c>
      <c r="C1227">
        <f>IF($B1227="","",COUNTIFS(LdgSellerA,$A1227,LdgKeyA,"&lt;"&amp;$B1227)+COUNTIFS(LdgSellerB,$A1227,LdgKeyB,"&lt;"&amp;$B1227)+1)</f>
        <v/>
      </c>
      <c r="D1227">
        <f>IF($C1227="","",$A1227&amp;"|"&amp;RIGHT("000000"&amp;$C1227,6))</f>
        <v/>
      </c>
      <c r="F1227">
        <f>IF(Sync!$AH1227="","",IF(LEFT(UPPER(TRIM(Sync!$AH1227)),2)="SL",UPPER(TRIM(Sync!$AH1227)),""))</f>
        <v/>
      </c>
      <c r="G1227">
        <f>IF($F1227="","",IF(Sync!$AE1227="","",IF(ISNUMBER(Sync!$AE1227),IF(AND(Sync!$AE1227&gt;=10000101,Sync!$AE1227&lt;=99991231),INT(Sync!$AE1227/10000),""),IFERROR(VALUE(TRIM(LEFT(Sync!$AE1227,FIND("/",Sync!$AE1227)-1))),""))))</f>
        <v/>
      </c>
      <c r="H1227">
        <f>IF(OR($F1227="",$G1227=""),"",IF(ISNUMBER(Sync!$AE1227),INT(MOD(Sync!$AE1227,10000)/100),IFERROR(VALUE(TRIM(LEFT(MID(Sync!$AE1227,FIND("/",Sync!$AE1227)+1,20),FIND("/",MID(Sync!$AE1227,FIND("/",Sync!$AE1227)+1,20))-1))),"")))</f>
        <v/>
      </c>
      <c r="I1227">
        <f>IF(OR($F1227="",$G1227=""),"",IF(ISNUMBER(Sync!$AE1227),MOD(Sync!$AE1227,100),IFERROR(VALUE(TRIM(MID(MID(Sync!$AE1227,FIND("/",Sync!$AE1227)+1,20),FIND("/",MID(Sync!$AE1227,FIND("/",Sync!$AE1227)+1,20))+1,20))),"")))</f>
        <v/>
      </c>
      <c r="J1227">
        <f>IF($F1227="","",IF(OR($G1227="",$H1227="",$I1227="",$G1227&lt;1300,$G1227&gt;1500,$H1227&lt;1,$H1227&gt;12,$I1227&lt;1,$I1227&gt;31),"نامعتبر",RIGHT("0000"&amp;$G1227,4)&amp;"/"&amp;RIGHT("00"&amp;$H1227,2)&amp;"/"&amp;RIGHT("00"&amp;$I1227,2)))</f>
        <v/>
      </c>
      <c r="K1227">
        <f>IF(OR($F1227="",$J1227="",$J1227="نامعتبر"),"",LEFT($J1227,4)&amp;MID($J1227,6,2)&amp;RIGHT($J1227,2)&amp;$N1227&amp;"|"&amp;"2"&amp;RIGHT("00000"&amp;1222,5))</f>
        <v/>
      </c>
      <c r="L1227">
        <f>IF($K1227="","",COUNTIFS(LdgSellerA,$F1227,LdgKeyA,"&lt;"&amp;$K1227)+COUNTIFS(LdgSellerB,$F1227,LdgKeyB,"&lt;"&amp;$K1227)+1)</f>
        <v/>
      </c>
      <c r="M1227">
        <f>IF($L1227="","",$F1227&amp;"|"&amp;RIGHT("000000"&amp;$L1227,6))</f>
        <v/>
      </c>
      <c r="N1227">
        <f>IF($F1227="","",IF(Sync!$AF1227="","0000",IF(AND(ISNUMBER(Sync!$AF1227),Sync!$AF1227&gt;=0,Sync!$AF1227&lt;1),RIGHT("00"&amp;HOUR(Sync!$AF1227),2)&amp;RIGHT("00"&amp;MINUTE(Sync!$AF1227),2),IFERROR(RIGHT("00"&amp;VALUE(LEFT(Sync!$AF1227,FIND(":",Sync!$AF1227)-1)),2)&amp;RIGHT("00"&amp;VALUE(MID(Sync!$AF1227,FIND(":",Sync!$AF1227)+1,2)),2),"0000"))))</f>
        <v/>
      </c>
    </row>
    <row r="1228">
      <c r="A1228">
        <f>IF(OR(Calc!$E1232="",Calc!$E1232="نامعتبر",Calc!$G1232=""),"",Calc!$G1232)</f>
        <v/>
      </c>
      <c r="B1228">
        <f>IF($A1228="","",LEFT(Calc!$E1232,4)&amp;MID(Calc!$E1232,6,2)&amp;RIGHT(Calc!$E1232,2)&amp;Calc!$Q1232&amp;"|"&amp;"1"&amp;RIGHT("00000"&amp;1223,5))</f>
        <v/>
      </c>
      <c r="C1228">
        <f>IF($B1228="","",COUNTIFS(LdgSellerA,$A1228,LdgKeyA,"&lt;"&amp;$B1228)+COUNTIFS(LdgSellerB,$A1228,LdgKeyB,"&lt;"&amp;$B1228)+1)</f>
        <v/>
      </c>
      <c r="D1228">
        <f>IF($C1228="","",$A1228&amp;"|"&amp;RIGHT("000000"&amp;$C1228,6))</f>
        <v/>
      </c>
      <c r="F1228">
        <f>IF(Sync!$AH1228="","",IF(LEFT(UPPER(TRIM(Sync!$AH1228)),2)="SL",UPPER(TRIM(Sync!$AH1228)),""))</f>
        <v/>
      </c>
      <c r="G1228">
        <f>IF($F1228="","",IF(Sync!$AE1228="","",IF(ISNUMBER(Sync!$AE1228),IF(AND(Sync!$AE1228&gt;=10000101,Sync!$AE1228&lt;=99991231),INT(Sync!$AE1228/10000),""),IFERROR(VALUE(TRIM(LEFT(Sync!$AE1228,FIND("/",Sync!$AE1228)-1))),""))))</f>
        <v/>
      </c>
      <c r="H1228">
        <f>IF(OR($F1228="",$G1228=""),"",IF(ISNUMBER(Sync!$AE1228),INT(MOD(Sync!$AE1228,10000)/100),IFERROR(VALUE(TRIM(LEFT(MID(Sync!$AE1228,FIND("/",Sync!$AE1228)+1,20),FIND("/",MID(Sync!$AE1228,FIND("/",Sync!$AE1228)+1,20))-1))),"")))</f>
        <v/>
      </c>
      <c r="I1228">
        <f>IF(OR($F1228="",$G1228=""),"",IF(ISNUMBER(Sync!$AE1228),MOD(Sync!$AE1228,100),IFERROR(VALUE(TRIM(MID(MID(Sync!$AE1228,FIND("/",Sync!$AE1228)+1,20),FIND("/",MID(Sync!$AE1228,FIND("/",Sync!$AE1228)+1,20))+1,20))),"")))</f>
        <v/>
      </c>
      <c r="J1228">
        <f>IF($F1228="","",IF(OR($G1228="",$H1228="",$I1228="",$G1228&lt;1300,$G1228&gt;1500,$H1228&lt;1,$H1228&gt;12,$I1228&lt;1,$I1228&gt;31),"نامعتبر",RIGHT("0000"&amp;$G1228,4)&amp;"/"&amp;RIGHT("00"&amp;$H1228,2)&amp;"/"&amp;RIGHT("00"&amp;$I1228,2)))</f>
        <v/>
      </c>
      <c r="K1228">
        <f>IF(OR($F1228="",$J1228="",$J1228="نامعتبر"),"",LEFT($J1228,4)&amp;MID($J1228,6,2)&amp;RIGHT($J1228,2)&amp;$N1228&amp;"|"&amp;"2"&amp;RIGHT("00000"&amp;1223,5))</f>
        <v/>
      </c>
      <c r="L1228">
        <f>IF($K1228="","",COUNTIFS(LdgSellerA,$F1228,LdgKeyA,"&lt;"&amp;$K1228)+COUNTIFS(LdgSellerB,$F1228,LdgKeyB,"&lt;"&amp;$K1228)+1)</f>
        <v/>
      </c>
      <c r="M1228">
        <f>IF($L1228="","",$F1228&amp;"|"&amp;RIGHT("000000"&amp;$L1228,6))</f>
        <v/>
      </c>
      <c r="N1228">
        <f>IF($F1228="","",IF(Sync!$AF1228="","0000",IF(AND(ISNUMBER(Sync!$AF1228),Sync!$AF1228&gt;=0,Sync!$AF1228&lt;1),RIGHT("00"&amp;HOUR(Sync!$AF1228),2)&amp;RIGHT("00"&amp;MINUTE(Sync!$AF1228),2),IFERROR(RIGHT("00"&amp;VALUE(LEFT(Sync!$AF1228,FIND(":",Sync!$AF1228)-1)),2)&amp;RIGHT("00"&amp;VALUE(MID(Sync!$AF1228,FIND(":",Sync!$AF1228)+1,2)),2),"0000"))))</f>
        <v/>
      </c>
    </row>
    <row r="1229">
      <c r="A1229">
        <f>IF(OR(Calc!$E1233="",Calc!$E1233="نامعتبر",Calc!$G1233=""),"",Calc!$G1233)</f>
        <v/>
      </c>
      <c r="B1229">
        <f>IF($A1229="","",LEFT(Calc!$E1233,4)&amp;MID(Calc!$E1233,6,2)&amp;RIGHT(Calc!$E1233,2)&amp;Calc!$Q1233&amp;"|"&amp;"1"&amp;RIGHT("00000"&amp;1224,5))</f>
        <v/>
      </c>
      <c r="C1229">
        <f>IF($B1229="","",COUNTIFS(LdgSellerA,$A1229,LdgKeyA,"&lt;"&amp;$B1229)+COUNTIFS(LdgSellerB,$A1229,LdgKeyB,"&lt;"&amp;$B1229)+1)</f>
        <v/>
      </c>
      <c r="D1229">
        <f>IF($C1229="","",$A1229&amp;"|"&amp;RIGHT("000000"&amp;$C1229,6))</f>
        <v/>
      </c>
      <c r="F1229">
        <f>IF(Sync!$AH1229="","",IF(LEFT(UPPER(TRIM(Sync!$AH1229)),2)="SL",UPPER(TRIM(Sync!$AH1229)),""))</f>
        <v/>
      </c>
      <c r="G1229">
        <f>IF($F1229="","",IF(Sync!$AE1229="","",IF(ISNUMBER(Sync!$AE1229),IF(AND(Sync!$AE1229&gt;=10000101,Sync!$AE1229&lt;=99991231),INT(Sync!$AE1229/10000),""),IFERROR(VALUE(TRIM(LEFT(Sync!$AE1229,FIND("/",Sync!$AE1229)-1))),""))))</f>
        <v/>
      </c>
      <c r="H1229">
        <f>IF(OR($F1229="",$G1229=""),"",IF(ISNUMBER(Sync!$AE1229),INT(MOD(Sync!$AE1229,10000)/100),IFERROR(VALUE(TRIM(LEFT(MID(Sync!$AE1229,FIND("/",Sync!$AE1229)+1,20),FIND("/",MID(Sync!$AE1229,FIND("/",Sync!$AE1229)+1,20))-1))),"")))</f>
        <v/>
      </c>
      <c r="I1229">
        <f>IF(OR($F1229="",$G1229=""),"",IF(ISNUMBER(Sync!$AE1229),MOD(Sync!$AE1229,100),IFERROR(VALUE(TRIM(MID(MID(Sync!$AE1229,FIND("/",Sync!$AE1229)+1,20),FIND("/",MID(Sync!$AE1229,FIND("/",Sync!$AE1229)+1,20))+1,20))),"")))</f>
        <v/>
      </c>
      <c r="J1229">
        <f>IF($F1229="","",IF(OR($G1229="",$H1229="",$I1229="",$G1229&lt;1300,$G1229&gt;1500,$H1229&lt;1,$H1229&gt;12,$I1229&lt;1,$I1229&gt;31),"نامعتبر",RIGHT("0000"&amp;$G1229,4)&amp;"/"&amp;RIGHT("00"&amp;$H1229,2)&amp;"/"&amp;RIGHT("00"&amp;$I1229,2)))</f>
        <v/>
      </c>
      <c r="K1229">
        <f>IF(OR($F1229="",$J1229="",$J1229="نامعتبر"),"",LEFT($J1229,4)&amp;MID($J1229,6,2)&amp;RIGHT($J1229,2)&amp;$N1229&amp;"|"&amp;"2"&amp;RIGHT("00000"&amp;1224,5))</f>
        <v/>
      </c>
      <c r="L1229">
        <f>IF($K1229="","",COUNTIFS(LdgSellerA,$F1229,LdgKeyA,"&lt;"&amp;$K1229)+COUNTIFS(LdgSellerB,$F1229,LdgKeyB,"&lt;"&amp;$K1229)+1)</f>
        <v/>
      </c>
      <c r="M1229">
        <f>IF($L1229="","",$F1229&amp;"|"&amp;RIGHT("000000"&amp;$L1229,6))</f>
        <v/>
      </c>
      <c r="N1229">
        <f>IF($F1229="","",IF(Sync!$AF1229="","0000",IF(AND(ISNUMBER(Sync!$AF1229),Sync!$AF1229&gt;=0,Sync!$AF1229&lt;1),RIGHT("00"&amp;HOUR(Sync!$AF1229),2)&amp;RIGHT("00"&amp;MINUTE(Sync!$AF1229),2),IFERROR(RIGHT("00"&amp;VALUE(LEFT(Sync!$AF1229,FIND(":",Sync!$AF1229)-1)),2)&amp;RIGHT("00"&amp;VALUE(MID(Sync!$AF1229,FIND(":",Sync!$AF1229)+1,2)),2),"0000"))))</f>
        <v/>
      </c>
    </row>
    <row r="1230">
      <c r="A1230">
        <f>IF(OR(Calc!$E1234="",Calc!$E1234="نامعتبر",Calc!$G1234=""),"",Calc!$G1234)</f>
        <v/>
      </c>
      <c r="B1230">
        <f>IF($A1230="","",LEFT(Calc!$E1234,4)&amp;MID(Calc!$E1234,6,2)&amp;RIGHT(Calc!$E1234,2)&amp;Calc!$Q1234&amp;"|"&amp;"1"&amp;RIGHT("00000"&amp;1225,5))</f>
        <v/>
      </c>
      <c r="C1230">
        <f>IF($B1230="","",COUNTIFS(LdgSellerA,$A1230,LdgKeyA,"&lt;"&amp;$B1230)+COUNTIFS(LdgSellerB,$A1230,LdgKeyB,"&lt;"&amp;$B1230)+1)</f>
        <v/>
      </c>
      <c r="D1230">
        <f>IF($C1230="","",$A1230&amp;"|"&amp;RIGHT("000000"&amp;$C1230,6))</f>
        <v/>
      </c>
      <c r="F1230">
        <f>IF(Sync!$AH1230="","",IF(LEFT(UPPER(TRIM(Sync!$AH1230)),2)="SL",UPPER(TRIM(Sync!$AH1230)),""))</f>
        <v/>
      </c>
      <c r="G1230">
        <f>IF($F1230="","",IF(Sync!$AE1230="","",IF(ISNUMBER(Sync!$AE1230),IF(AND(Sync!$AE1230&gt;=10000101,Sync!$AE1230&lt;=99991231),INT(Sync!$AE1230/10000),""),IFERROR(VALUE(TRIM(LEFT(Sync!$AE1230,FIND("/",Sync!$AE1230)-1))),""))))</f>
        <v/>
      </c>
      <c r="H1230">
        <f>IF(OR($F1230="",$G1230=""),"",IF(ISNUMBER(Sync!$AE1230),INT(MOD(Sync!$AE1230,10000)/100),IFERROR(VALUE(TRIM(LEFT(MID(Sync!$AE1230,FIND("/",Sync!$AE1230)+1,20),FIND("/",MID(Sync!$AE1230,FIND("/",Sync!$AE1230)+1,20))-1))),"")))</f>
        <v/>
      </c>
      <c r="I1230">
        <f>IF(OR($F1230="",$G1230=""),"",IF(ISNUMBER(Sync!$AE1230),MOD(Sync!$AE1230,100),IFERROR(VALUE(TRIM(MID(MID(Sync!$AE1230,FIND("/",Sync!$AE1230)+1,20),FIND("/",MID(Sync!$AE1230,FIND("/",Sync!$AE1230)+1,20))+1,20))),"")))</f>
        <v/>
      </c>
      <c r="J1230">
        <f>IF($F1230="","",IF(OR($G1230="",$H1230="",$I1230="",$G1230&lt;1300,$G1230&gt;1500,$H1230&lt;1,$H1230&gt;12,$I1230&lt;1,$I1230&gt;31),"نامعتبر",RIGHT("0000"&amp;$G1230,4)&amp;"/"&amp;RIGHT("00"&amp;$H1230,2)&amp;"/"&amp;RIGHT("00"&amp;$I1230,2)))</f>
        <v/>
      </c>
      <c r="K1230">
        <f>IF(OR($F1230="",$J1230="",$J1230="نامعتبر"),"",LEFT($J1230,4)&amp;MID($J1230,6,2)&amp;RIGHT($J1230,2)&amp;$N1230&amp;"|"&amp;"2"&amp;RIGHT("00000"&amp;1225,5))</f>
        <v/>
      </c>
      <c r="L1230">
        <f>IF($K1230="","",COUNTIFS(LdgSellerA,$F1230,LdgKeyA,"&lt;"&amp;$K1230)+COUNTIFS(LdgSellerB,$F1230,LdgKeyB,"&lt;"&amp;$K1230)+1)</f>
        <v/>
      </c>
      <c r="M1230">
        <f>IF($L1230="","",$F1230&amp;"|"&amp;RIGHT("000000"&amp;$L1230,6))</f>
        <v/>
      </c>
      <c r="N1230">
        <f>IF($F1230="","",IF(Sync!$AF1230="","0000",IF(AND(ISNUMBER(Sync!$AF1230),Sync!$AF1230&gt;=0,Sync!$AF1230&lt;1),RIGHT("00"&amp;HOUR(Sync!$AF1230),2)&amp;RIGHT("00"&amp;MINUTE(Sync!$AF1230),2),IFERROR(RIGHT("00"&amp;VALUE(LEFT(Sync!$AF1230,FIND(":",Sync!$AF1230)-1)),2)&amp;RIGHT("00"&amp;VALUE(MID(Sync!$AF1230,FIND(":",Sync!$AF1230)+1,2)),2),"0000"))))</f>
        <v/>
      </c>
    </row>
    <row r="1231">
      <c r="A1231">
        <f>IF(OR(Calc!$E1235="",Calc!$E1235="نامعتبر",Calc!$G1235=""),"",Calc!$G1235)</f>
        <v/>
      </c>
      <c r="B1231">
        <f>IF($A1231="","",LEFT(Calc!$E1235,4)&amp;MID(Calc!$E1235,6,2)&amp;RIGHT(Calc!$E1235,2)&amp;Calc!$Q1235&amp;"|"&amp;"1"&amp;RIGHT("00000"&amp;1226,5))</f>
        <v/>
      </c>
      <c r="C1231">
        <f>IF($B1231="","",COUNTIFS(LdgSellerA,$A1231,LdgKeyA,"&lt;"&amp;$B1231)+COUNTIFS(LdgSellerB,$A1231,LdgKeyB,"&lt;"&amp;$B1231)+1)</f>
        <v/>
      </c>
      <c r="D1231">
        <f>IF($C1231="","",$A1231&amp;"|"&amp;RIGHT("000000"&amp;$C1231,6))</f>
        <v/>
      </c>
      <c r="F1231">
        <f>IF(Sync!$AH1231="","",IF(LEFT(UPPER(TRIM(Sync!$AH1231)),2)="SL",UPPER(TRIM(Sync!$AH1231)),""))</f>
        <v/>
      </c>
      <c r="G1231">
        <f>IF($F1231="","",IF(Sync!$AE1231="","",IF(ISNUMBER(Sync!$AE1231),IF(AND(Sync!$AE1231&gt;=10000101,Sync!$AE1231&lt;=99991231),INT(Sync!$AE1231/10000),""),IFERROR(VALUE(TRIM(LEFT(Sync!$AE1231,FIND("/",Sync!$AE1231)-1))),""))))</f>
        <v/>
      </c>
      <c r="H1231">
        <f>IF(OR($F1231="",$G1231=""),"",IF(ISNUMBER(Sync!$AE1231),INT(MOD(Sync!$AE1231,10000)/100),IFERROR(VALUE(TRIM(LEFT(MID(Sync!$AE1231,FIND("/",Sync!$AE1231)+1,20),FIND("/",MID(Sync!$AE1231,FIND("/",Sync!$AE1231)+1,20))-1))),"")))</f>
        <v/>
      </c>
      <c r="I1231">
        <f>IF(OR($F1231="",$G1231=""),"",IF(ISNUMBER(Sync!$AE1231),MOD(Sync!$AE1231,100),IFERROR(VALUE(TRIM(MID(MID(Sync!$AE1231,FIND("/",Sync!$AE1231)+1,20),FIND("/",MID(Sync!$AE1231,FIND("/",Sync!$AE1231)+1,20))+1,20))),"")))</f>
        <v/>
      </c>
      <c r="J1231">
        <f>IF($F1231="","",IF(OR($G1231="",$H1231="",$I1231="",$G1231&lt;1300,$G1231&gt;1500,$H1231&lt;1,$H1231&gt;12,$I1231&lt;1,$I1231&gt;31),"نامعتبر",RIGHT("0000"&amp;$G1231,4)&amp;"/"&amp;RIGHT("00"&amp;$H1231,2)&amp;"/"&amp;RIGHT("00"&amp;$I1231,2)))</f>
        <v/>
      </c>
      <c r="K1231">
        <f>IF(OR($F1231="",$J1231="",$J1231="نامعتبر"),"",LEFT($J1231,4)&amp;MID($J1231,6,2)&amp;RIGHT($J1231,2)&amp;$N1231&amp;"|"&amp;"2"&amp;RIGHT("00000"&amp;1226,5))</f>
        <v/>
      </c>
      <c r="L1231">
        <f>IF($K1231="","",COUNTIFS(LdgSellerA,$F1231,LdgKeyA,"&lt;"&amp;$K1231)+COUNTIFS(LdgSellerB,$F1231,LdgKeyB,"&lt;"&amp;$K1231)+1)</f>
        <v/>
      </c>
      <c r="M1231">
        <f>IF($L1231="","",$F1231&amp;"|"&amp;RIGHT("000000"&amp;$L1231,6))</f>
        <v/>
      </c>
      <c r="N1231">
        <f>IF($F1231="","",IF(Sync!$AF1231="","0000",IF(AND(ISNUMBER(Sync!$AF1231),Sync!$AF1231&gt;=0,Sync!$AF1231&lt;1),RIGHT("00"&amp;HOUR(Sync!$AF1231),2)&amp;RIGHT("00"&amp;MINUTE(Sync!$AF1231),2),IFERROR(RIGHT("00"&amp;VALUE(LEFT(Sync!$AF1231,FIND(":",Sync!$AF1231)-1)),2)&amp;RIGHT("00"&amp;VALUE(MID(Sync!$AF1231,FIND(":",Sync!$AF1231)+1,2)),2),"0000"))))</f>
        <v/>
      </c>
    </row>
    <row r="1232">
      <c r="A1232">
        <f>IF(OR(Calc!$E1236="",Calc!$E1236="نامعتبر",Calc!$G1236=""),"",Calc!$G1236)</f>
        <v/>
      </c>
      <c r="B1232">
        <f>IF($A1232="","",LEFT(Calc!$E1236,4)&amp;MID(Calc!$E1236,6,2)&amp;RIGHT(Calc!$E1236,2)&amp;Calc!$Q1236&amp;"|"&amp;"1"&amp;RIGHT("00000"&amp;1227,5))</f>
        <v/>
      </c>
      <c r="C1232">
        <f>IF($B1232="","",COUNTIFS(LdgSellerA,$A1232,LdgKeyA,"&lt;"&amp;$B1232)+COUNTIFS(LdgSellerB,$A1232,LdgKeyB,"&lt;"&amp;$B1232)+1)</f>
        <v/>
      </c>
      <c r="D1232">
        <f>IF($C1232="","",$A1232&amp;"|"&amp;RIGHT("000000"&amp;$C1232,6))</f>
        <v/>
      </c>
      <c r="F1232">
        <f>IF(Sync!$AH1232="","",IF(LEFT(UPPER(TRIM(Sync!$AH1232)),2)="SL",UPPER(TRIM(Sync!$AH1232)),""))</f>
        <v/>
      </c>
      <c r="G1232">
        <f>IF($F1232="","",IF(Sync!$AE1232="","",IF(ISNUMBER(Sync!$AE1232),IF(AND(Sync!$AE1232&gt;=10000101,Sync!$AE1232&lt;=99991231),INT(Sync!$AE1232/10000),""),IFERROR(VALUE(TRIM(LEFT(Sync!$AE1232,FIND("/",Sync!$AE1232)-1))),""))))</f>
        <v/>
      </c>
      <c r="H1232">
        <f>IF(OR($F1232="",$G1232=""),"",IF(ISNUMBER(Sync!$AE1232),INT(MOD(Sync!$AE1232,10000)/100),IFERROR(VALUE(TRIM(LEFT(MID(Sync!$AE1232,FIND("/",Sync!$AE1232)+1,20),FIND("/",MID(Sync!$AE1232,FIND("/",Sync!$AE1232)+1,20))-1))),"")))</f>
        <v/>
      </c>
      <c r="I1232">
        <f>IF(OR($F1232="",$G1232=""),"",IF(ISNUMBER(Sync!$AE1232),MOD(Sync!$AE1232,100),IFERROR(VALUE(TRIM(MID(MID(Sync!$AE1232,FIND("/",Sync!$AE1232)+1,20),FIND("/",MID(Sync!$AE1232,FIND("/",Sync!$AE1232)+1,20))+1,20))),"")))</f>
        <v/>
      </c>
      <c r="J1232">
        <f>IF($F1232="","",IF(OR($G1232="",$H1232="",$I1232="",$G1232&lt;1300,$G1232&gt;1500,$H1232&lt;1,$H1232&gt;12,$I1232&lt;1,$I1232&gt;31),"نامعتبر",RIGHT("0000"&amp;$G1232,4)&amp;"/"&amp;RIGHT("00"&amp;$H1232,2)&amp;"/"&amp;RIGHT("00"&amp;$I1232,2)))</f>
        <v/>
      </c>
      <c r="K1232">
        <f>IF(OR($F1232="",$J1232="",$J1232="نامعتبر"),"",LEFT($J1232,4)&amp;MID($J1232,6,2)&amp;RIGHT($J1232,2)&amp;$N1232&amp;"|"&amp;"2"&amp;RIGHT("00000"&amp;1227,5))</f>
        <v/>
      </c>
      <c r="L1232">
        <f>IF($K1232="","",COUNTIFS(LdgSellerA,$F1232,LdgKeyA,"&lt;"&amp;$K1232)+COUNTIFS(LdgSellerB,$F1232,LdgKeyB,"&lt;"&amp;$K1232)+1)</f>
        <v/>
      </c>
      <c r="M1232">
        <f>IF($L1232="","",$F1232&amp;"|"&amp;RIGHT("000000"&amp;$L1232,6))</f>
        <v/>
      </c>
      <c r="N1232">
        <f>IF($F1232="","",IF(Sync!$AF1232="","0000",IF(AND(ISNUMBER(Sync!$AF1232),Sync!$AF1232&gt;=0,Sync!$AF1232&lt;1),RIGHT("00"&amp;HOUR(Sync!$AF1232),2)&amp;RIGHT("00"&amp;MINUTE(Sync!$AF1232),2),IFERROR(RIGHT("00"&amp;VALUE(LEFT(Sync!$AF1232,FIND(":",Sync!$AF1232)-1)),2)&amp;RIGHT("00"&amp;VALUE(MID(Sync!$AF1232,FIND(":",Sync!$AF1232)+1,2)),2),"0000"))))</f>
        <v/>
      </c>
    </row>
    <row r="1233">
      <c r="A1233">
        <f>IF(OR(Calc!$E1237="",Calc!$E1237="نامعتبر",Calc!$G1237=""),"",Calc!$G1237)</f>
        <v/>
      </c>
      <c r="B1233">
        <f>IF($A1233="","",LEFT(Calc!$E1237,4)&amp;MID(Calc!$E1237,6,2)&amp;RIGHT(Calc!$E1237,2)&amp;Calc!$Q1237&amp;"|"&amp;"1"&amp;RIGHT("00000"&amp;1228,5))</f>
        <v/>
      </c>
      <c r="C1233">
        <f>IF($B1233="","",COUNTIFS(LdgSellerA,$A1233,LdgKeyA,"&lt;"&amp;$B1233)+COUNTIFS(LdgSellerB,$A1233,LdgKeyB,"&lt;"&amp;$B1233)+1)</f>
        <v/>
      </c>
      <c r="D1233">
        <f>IF($C1233="","",$A1233&amp;"|"&amp;RIGHT("000000"&amp;$C1233,6))</f>
        <v/>
      </c>
      <c r="F1233">
        <f>IF(Sync!$AH1233="","",IF(LEFT(UPPER(TRIM(Sync!$AH1233)),2)="SL",UPPER(TRIM(Sync!$AH1233)),""))</f>
        <v/>
      </c>
      <c r="G1233">
        <f>IF($F1233="","",IF(Sync!$AE1233="","",IF(ISNUMBER(Sync!$AE1233),IF(AND(Sync!$AE1233&gt;=10000101,Sync!$AE1233&lt;=99991231),INT(Sync!$AE1233/10000),""),IFERROR(VALUE(TRIM(LEFT(Sync!$AE1233,FIND("/",Sync!$AE1233)-1))),""))))</f>
        <v/>
      </c>
      <c r="H1233">
        <f>IF(OR($F1233="",$G1233=""),"",IF(ISNUMBER(Sync!$AE1233),INT(MOD(Sync!$AE1233,10000)/100),IFERROR(VALUE(TRIM(LEFT(MID(Sync!$AE1233,FIND("/",Sync!$AE1233)+1,20),FIND("/",MID(Sync!$AE1233,FIND("/",Sync!$AE1233)+1,20))-1))),"")))</f>
        <v/>
      </c>
      <c r="I1233">
        <f>IF(OR($F1233="",$G1233=""),"",IF(ISNUMBER(Sync!$AE1233),MOD(Sync!$AE1233,100),IFERROR(VALUE(TRIM(MID(MID(Sync!$AE1233,FIND("/",Sync!$AE1233)+1,20),FIND("/",MID(Sync!$AE1233,FIND("/",Sync!$AE1233)+1,20))+1,20))),"")))</f>
        <v/>
      </c>
      <c r="J1233">
        <f>IF($F1233="","",IF(OR($G1233="",$H1233="",$I1233="",$G1233&lt;1300,$G1233&gt;1500,$H1233&lt;1,$H1233&gt;12,$I1233&lt;1,$I1233&gt;31),"نامعتبر",RIGHT("0000"&amp;$G1233,4)&amp;"/"&amp;RIGHT("00"&amp;$H1233,2)&amp;"/"&amp;RIGHT("00"&amp;$I1233,2)))</f>
        <v/>
      </c>
      <c r="K1233">
        <f>IF(OR($F1233="",$J1233="",$J1233="نامعتبر"),"",LEFT($J1233,4)&amp;MID($J1233,6,2)&amp;RIGHT($J1233,2)&amp;$N1233&amp;"|"&amp;"2"&amp;RIGHT("00000"&amp;1228,5))</f>
        <v/>
      </c>
      <c r="L1233">
        <f>IF($K1233="","",COUNTIFS(LdgSellerA,$F1233,LdgKeyA,"&lt;"&amp;$K1233)+COUNTIFS(LdgSellerB,$F1233,LdgKeyB,"&lt;"&amp;$K1233)+1)</f>
        <v/>
      </c>
      <c r="M1233">
        <f>IF($L1233="","",$F1233&amp;"|"&amp;RIGHT("000000"&amp;$L1233,6))</f>
        <v/>
      </c>
      <c r="N1233">
        <f>IF($F1233="","",IF(Sync!$AF1233="","0000",IF(AND(ISNUMBER(Sync!$AF1233),Sync!$AF1233&gt;=0,Sync!$AF1233&lt;1),RIGHT("00"&amp;HOUR(Sync!$AF1233),2)&amp;RIGHT("00"&amp;MINUTE(Sync!$AF1233),2),IFERROR(RIGHT("00"&amp;VALUE(LEFT(Sync!$AF1233,FIND(":",Sync!$AF1233)-1)),2)&amp;RIGHT("00"&amp;VALUE(MID(Sync!$AF1233,FIND(":",Sync!$AF1233)+1,2)),2),"0000"))))</f>
        <v/>
      </c>
    </row>
    <row r="1234">
      <c r="A1234">
        <f>IF(OR(Calc!$E1238="",Calc!$E1238="نامعتبر",Calc!$G1238=""),"",Calc!$G1238)</f>
        <v/>
      </c>
      <c r="B1234">
        <f>IF($A1234="","",LEFT(Calc!$E1238,4)&amp;MID(Calc!$E1238,6,2)&amp;RIGHT(Calc!$E1238,2)&amp;Calc!$Q1238&amp;"|"&amp;"1"&amp;RIGHT("00000"&amp;1229,5))</f>
        <v/>
      </c>
      <c r="C1234">
        <f>IF($B1234="","",COUNTIFS(LdgSellerA,$A1234,LdgKeyA,"&lt;"&amp;$B1234)+COUNTIFS(LdgSellerB,$A1234,LdgKeyB,"&lt;"&amp;$B1234)+1)</f>
        <v/>
      </c>
      <c r="D1234">
        <f>IF($C1234="","",$A1234&amp;"|"&amp;RIGHT("000000"&amp;$C1234,6))</f>
        <v/>
      </c>
      <c r="F1234">
        <f>IF(Sync!$AH1234="","",IF(LEFT(UPPER(TRIM(Sync!$AH1234)),2)="SL",UPPER(TRIM(Sync!$AH1234)),""))</f>
        <v/>
      </c>
      <c r="G1234">
        <f>IF($F1234="","",IF(Sync!$AE1234="","",IF(ISNUMBER(Sync!$AE1234),IF(AND(Sync!$AE1234&gt;=10000101,Sync!$AE1234&lt;=99991231),INT(Sync!$AE1234/10000),""),IFERROR(VALUE(TRIM(LEFT(Sync!$AE1234,FIND("/",Sync!$AE1234)-1))),""))))</f>
        <v/>
      </c>
      <c r="H1234">
        <f>IF(OR($F1234="",$G1234=""),"",IF(ISNUMBER(Sync!$AE1234),INT(MOD(Sync!$AE1234,10000)/100),IFERROR(VALUE(TRIM(LEFT(MID(Sync!$AE1234,FIND("/",Sync!$AE1234)+1,20),FIND("/",MID(Sync!$AE1234,FIND("/",Sync!$AE1234)+1,20))-1))),"")))</f>
        <v/>
      </c>
      <c r="I1234">
        <f>IF(OR($F1234="",$G1234=""),"",IF(ISNUMBER(Sync!$AE1234),MOD(Sync!$AE1234,100),IFERROR(VALUE(TRIM(MID(MID(Sync!$AE1234,FIND("/",Sync!$AE1234)+1,20),FIND("/",MID(Sync!$AE1234,FIND("/",Sync!$AE1234)+1,20))+1,20))),"")))</f>
        <v/>
      </c>
      <c r="J1234">
        <f>IF($F1234="","",IF(OR($G1234="",$H1234="",$I1234="",$G1234&lt;1300,$G1234&gt;1500,$H1234&lt;1,$H1234&gt;12,$I1234&lt;1,$I1234&gt;31),"نامعتبر",RIGHT("0000"&amp;$G1234,4)&amp;"/"&amp;RIGHT("00"&amp;$H1234,2)&amp;"/"&amp;RIGHT("00"&amp;$I1234,2)))</f>
        <v/>
      </c>
      <c r="K1234">
        <f>IF(OR($F1234="",$J1234="",$J1234="نامعتبر"),"",LEFT($J1234,4)&amp;MID($J1234,6,2)&amp;RIGHT($J1234,2)&amp;$N1234&amp;"|"&amp;"2"&amp;RIGHT("00000"&amp;1229,5))</f>
        <v/>
      </c>
      <c r="L1234">
        <f>IF($K1234="","",COUNTIFS(LdgSellerA,$F1234,LdgKeyA,"&lt;"&amp;$K1234)+COUNTIFS(LdgSellerB,$F1234,LdgKeyB,"&lt;"&amp;$K1234)+1)</f>
        <v/>
      </c>
      <c r="M1234">
        <f>IF($L1234="","",$F1234&amp;"|"&amp;RIGHT("000000"&amp;$L1234,6))</f>
        <v/>
      </c>
      <c r="N1234">
        <f>IF($F1234="","",IF(Sync!$AF1234="","0000",IF(AND(ISNUMBER(Sync!$AF1234),Sync!$AF1234&gt;=0,Sync!$AF1234&lt;1),RIGHT("00"&amp;HOUR(Sync!$AF1234),2)&amp;RIGHT("00"&amp;MINUTE(Sync!$AF1234),2),IFERROR(RIGHT("00"&amp;VALUE(LEFT(Sync!$AF1234,FIND(":",Sync!$AF1234)-1)),2)&amp;RIGHT("00"&amp;VALUE(MID(Sync!$AF1234,FIND(":",Sync!$AF1234)+1,2)),2),"0000"))))</f>
        <v/>
      </c>
    </row>
    <row r="1235">
      <c r="A1235">
        <f>IF(OR(Calc!$E1239="",Calc!$E1239="نامعتبر",Calc!$G1239=""),"",Calc!$G1239)</f>
        <v/>
      </c>
      <c r="B1235">
        <f>IF($A1235="","",LEFT(Calc!$E1239,4)&amp;MID(Calc!$E1239,6,2)&amp;RIGHT(Calc!$E1239,2)&amp;Calc!$Q1239&amp;"|"&amp;"1"&amp;RIGHT("00000"&amp;1230,5))</f>
        <v/>
      </c>
      <c r="C1235">
        <f>IF($B1235="","",COUNTIFS(LdgSellerA,$A1235,LdgKeyA,"&lt;"&amp;$B1235)+COUNTIFS(LdgSellerB,$A1235,LdgKeyB,"&lt;"&amp;$B1235)+1)</f>
        <v/>
      </c>
      <c r="D1235">
        <f>IF($C1235="","",$A1235&amp;"|"&amp;RIGHT("000000"&amp;$C1235,6))</f>
        <v/>
      </c>
      <c r="F1235">
        <f>IF(Sync!$AH1235="","",IF(LEFT(UPPER(TRIM(Sync!$AH1235)),2)="SL",UPPER(TRIM(Sync!$AH1235)),""))</f>
        <v/>
      </c>
      <c r="G1235">
        <f>IF($F1235="","",IF(Sync!$AE1235="","",IF(ISNUMBER(Sync!$AE1235),IF(AND(Sync!$AE1235&gt;=10000101,Sync!$AE1235&lt;=99991231),INT(Sync!$AE1235/10000),""),IFERROR(VALUE(TRIM(LEFT(Sync!$AE1235,FIND("/",Sync!$AE1235)-1))),""))))</f>
        <v/>
      </c>
      <c r="H1235">
        <f>IF(OR($F1235="",$G1235=""),"",IF(ISNUMBER(Sync!$AE1235),INT(MOD(Sync!$AE1235,10000)/100),IFERROR(VALUE(TRIM(LEFT(MID(Sync!$AE1235,FIND("/",Sync!$AE1235)+1,20),FIND("/",MID(Sync!$AE1235,FIND("/",Sync!$AE1235)+1,20))-1))),"")))</f>
        <v/>
      </c>
      <c r="I1235">
        <f>IF(OR($F1235="",$G1235=""),"",IF(ISNUMBER(Sync!$AE1235),MOD(Sync!$AE1235,100),IFERROR(VALUE(TRIM(MID(MID(Sync!$AE1235,FIND("/",Sync!$AE1235)+1,20),FIND("/",MID(Sync!$AE1235,FIND("/",Sync!$AE1235)+1,20))+1,20))),"")))</f>
        <v/>
      </c>
      <c r="J1235">
        <f>IF($F1235="","",IF(OR($G1235="",$H1235="",$I1235="",$G1235&lt;1300,$G1235&gt;1500,$H1235&lt;1,$H1235&gt;12,$I1235&lt;1,$I1235&gt;31),"نامعتبر",RIGHT("0000"&amp;$G1235,4)&amp;"/"&amp;RIGHT("00"&amp;$H1235,2)&amp;"/"&amp;RIGHT("00"&amp;$I1235,2)))</f>
        <v/>
      </c>
      <c r="K1235">
        <f>IF(OR($F1235="",$J1235="",$J1235="نامعتبر"),"",LEFT($J1235,4)&amp;MID($J1235,6,2)&amp;RIGHT($J1235,2)&amp;$N1235&amp;"|"&amp;"2"&amp;RIGHT("00000"&amp;1230,5))</f>
        <v/>
      </c>
      <c r="L1235">
        <f>IF($K1235="","",COUNTIFS(LdgSellerA,$F1235,LdgKeyA,"&lt;"&amp;$K1235)+COUNTIFS(LdgSellerB,$F1235,LdgKeyB,"&lt;"&amp;$K1235)+1)</f>
        <v/>
      </c>
      <c r="M1235">
        <f>IF($L1235="","",$F1235&amp;"|"&amp;RIGHT("000000"&amp;$L1235,6))</f>
        <v/>
      </c>
      <c r="N1235">
        <f>IF($F1235="","",IF(Sync!$AF1235="","0000",IF(AND(ISNUMBER(Sync!$AF1235),Sync!$AF1235&gt;=0,Sync!$AF1235&lt;1),RIGHT("00"&amp;HOUR(Sync!$AF1235),2)&amp;RIGHT("00"&amp;MINUTE(Sync!$AF1235),2),IFERROR(RIGHT("00"&amp;VALUE(LEFT(Sync!$AF1235,FIND(":",Sync!$AF1235)-1)),2)&amp;RIGHT("00"&amp;VALUE(MID(Sync!$AF1235,FIND(":",Sync!$AF1235)+1,2)),2),"0000"))))</f>
        <v/>
      </c>
    </row>
    <row r="1236">
      <c r="A1236">
        <f>IF(OR(Calc!$E1240="",Calc!$E1240="نامعتبر",Calc!$G1240=""),"",Calc!$G1240)</f>
        <v/>
      </c>
      <c r="B1236">
        <f>IF($A1236="","",LEFT(Calc!$E1240,4)&amp;MID(Calc!$E1240,6,2)&amp;RIGHT(Calc!$E1240,2)&amp;Calc!$Q1240&amp;"|"&amp;"1"&amp;RIGHT("00000"&amp;1231,5))</f>
        <v/>
      </c>
      <c r="C1236">
        <f>IF($B1236="","",COUNTIFS(LdgSellerA,$A1236,LdgKeyA,"&lt;"&amp;$B1236)+COUNTIFS(LdgSellerB,$A1236,LdgKeyB,"&lt;"&amp;$B1236)+1)</f>
        <v/>
      </c>
      <c r="D1236">
        <f>IF($C1236="","",$A1236&amp;"|"&amp;RIGHT("000000"&amp;$C1236,6))</f>
        <v/>
      </c>
      <c r="F1236">
        <f>IF(Sync!$AH1236="","",IF(LEFT(UPPER(TRIM(Sync!$AH1236)),2)="SL",UPPER(TRIM(Sync!$AH1236)),""))</f>
        <v/>
      </c>
      <c r="G1236">
        <f>IF($F1236="","",IF(Sync!$AE1236="","",IF(ISNUMBER(Sync!$AE1236),IF(AND(Sync!$AE1236&gt;=10000101,Sync!$AE1236&lt;=99991231),INT(Sync!$AE1236/10000),""),IFERROR(VALUE(TRIM(LEFT(Sync!$AE1236,FIND("/",Sync!$AE1236)-1))),""))))</f>
        <v/>
      </c>
      <c r="H1236">
        <f>IF(OR($F1236="",$G1236=""),"",IF(ISNUMBER(Sync!$AE1236),INT(MOD(Sync!$AE1236,10000)/100),IFERROR(VALUE(TRIM(LEFT(MID(Sync!$AE1236,FIND("/",Sync!$AE1236)+1,20),FIND("/",MID(Sync!$AE1236,FIND("/",Sync!$AE1236)+1,20))-1))),"")))</f>
        <v/>
      </c>
      <c r="I1236">
        <f>IF(OR($F1236="",$G1236=""),"",IF(ISNUMBER(Sync!$AE1236),MOD(Sync!$AE1236,100),IFERROR(VALUE(TRIM(MID(MID(Sync!$AE1236,FIND("/",Sync!$AE1236)+1,20),FIND("/",MID(Sync!$AE1236,FIND("/",Sync!$AE1236)+1,20))+1,20))),"")))</f>
        <v/>
      </c>
      <c r="J1236">
        <f>IF($F1236="","",IF(OR($G1236="",$H1236="",$I1236="",$G1236&lt;1300,$G1236&gt;1500,$H1236&lt;1,$H1236&gt;12,$I1236&lt;1,$I1236&gt;31),"نامعتبر",RIGHT("0000"&amp;$G1236,4)&amp;"/"&amp;RIGHT("00"&amp;$H1236,2)&amp;"/"&amp;RIGHT("00"&amp;$I1236,2)))</f>
        <v/>
      </c>
      <c r="K1236">
        <f>IF(OR($F1236="",$J1236="",$J1236="نامعتبر"),"",LEFT($J1236,4)&amp;MID($J1236,6,2)&amp;RIGHT($J1236,2)&amp;$N1236&amp;"|"&amp;"2"&amp;RIGHT("00000"&amp;1231,5))</f>
        <v/>
      </c>
      <c r="L1236">
        <f>IF($K1236="","",COUNTIFS(LdgSellerA,$F1236,LdgKeyA,"&lt;"&amp;$K1236)+COUNTIFS(LdgSellerB,$F1236,LdgKeyB,"&lt;"&amp;$K1236)+1)</f>
        <v/>
      </c>
      <c r="M1236">
        <f>IF($L1236="","",$F1236&amp;"|"&amp;RIGHT("000000"&amp;$L1236,6))</f>
        <v/>
      </c>
      <c r="N1236">
        <f>IF($F1236="","",IF(Sync!$AF1236="","0000",IF(AND(ISNUMBER(Sync!$AF1236),Sync!$AF1236&gt;=0,Sync!$AF1236&lt;1),RIGHT("00"&amp;HOUR(Sync!$AF1236),2)&amp;RIGHT("00"&amp;MINUTE(Sync!$AF1236),2),IFERROR(RIGHT("00"&amp;VALUE(LEFT(Sync!$AF1236,FIND(":",Sync!$AF1236)-1)),2)&amp;RIGHT("00"&amp;VALUE(MID(Sync!$AF1236,FIND(":",Sync!$AF1236)+1,2)),2),"0000"))))</f>
        <v/>
      </c>
    </row>
    <row r="1237">
      <c r="A1237">
        <f>IF(OR(Calc!$E1241="",Calc!$E1241="نامعتبر",Calc!$G1241=""),"",Calc!$G1241)</f>
        <v/>
      </c>
      <c r="B1237">
        <f>IF($A1237="","",LEFT(Calc!$E1241,4)&amp;MID(Calc!$E1241,6,2)&amp;RIGHT(Calc!$E1241,2)&amp;Calc!$Q1241&amp;"|"&amp;"1"&amp;RIGHT("00000"&amp;1232,5))</f>
        <v/>
      </c>
      <c r="C1237">
        <f>IF($B1237="","",COUNTIFS(LdgSellerA,$A1237,LdgKeyA,"&lt;"&amp;$B1237)+COUNTIFS(LdgSellerB,$A1237,LdgKeyB,"&lt;"&amp;$B1237)+1)</f>
        <v/>
      </c>
      <c r="D1237">
        <f>IF($C1237="","",$A1237&amp;"|"&amp;RIGHT("000000"&amp;$C1237,6))</f>
        <v/>
      </c>
      <c r="F1237">
        <f>IF(Sync!$AH1237="","",IF(LEFT(UPPER(TRIM(Sync!$AH1237)),2)="SL",UPPER(TRIM(Sync!$AH1237)),""))</f>
        <v/>
      </c>
      <c r="G1237">
        <f>IF($F1237="","",IF(Sync!$AE1237="","",IF(ISNUMBER(Sync!$AE1237),IF(AND(Sync!$AE1237&gt;=10000101,Sync!$AE1237&lt;=99991231),INT(Sync!$AE1237/10000),""),IFERROR(VALUE(TRIM(LEFT(Sync!$AE1237,FIND("/",Sync!$AE1237)-1))),""))))</f>
        <v/>
      </c>
      <c r="H1237">
        <f>IF(OR($F1237="",$G1237=""),"",IF(ISNUMBER(Sync!$AE1237),INT(MOD(Sync!$AE1237,10000)/100),IFERROR(VALUE(TRIM(LEFT(MID(Sync!$AE1237,FIND("/",Sync!$AE1237)+1,20),FIND("/",MID(Sync!$AE1237,FIND("/",Sync!$AE1237)+1,20))-1))),"")))</f>
        <v/>
      </c>
      <c r="I1237">
        <f>IF(OR($F1237="",$G1237=""),"",IF(ISNUMBER(Sync!$AE1237),MOD(Sync!$AE1237,100),IFERROR(VALUE(TRIM(MID(MID(Sync!$AE1237,FIND("/",Sync!$AE1237)+1,20),FIND("/",MID(Sync!$AE1237,FIND("/",Sync!$AE1237)+1,20))+1,20))),"")))</f>
        <v/>
      </c>
      <c r="J1237">
        <f>IF($F1237="","",IF(OR($G1237="",$H1237="",$I1237="",$G1237&lt;1300,$G1237&gt;1500,$H1237&lt;1,$H1237&gt;12,$I1237&lt;1,$I1237&gt;31),"نامعتبر",RIGHT("0000"&amp;$G1237,4)&amp;"/"&amp;RIGHT("00"&amp;$H1237,2)&amp;"/"&amp;RIGHT("00"&amp;$I1237,2)))</f>
        <v/>
      </c>
      <c r="K1237">
        <f>IF(OR($F1237="",$J1237="",$J1237="نامعتبر"),"",LEFT($J1237,4)&amp;MID($J1237,6,2)&amp;RIGHT($J1237,2)&amp;$N1237&amp;"|"&amp;"2"&amp;RIGHT("00000"&amp;1232,5))</f>
        <v/>
      </c>
      <c r="L1237">
        <f>IF($K1237="","",COUNTIFS(LdgSellerA,$F1237,LdgKeyA,"&lt;"&amp;$K1237)+COUNTIFS(LdgSellerB,$F1237,LdgKeyB,"&lt;"&amp;$K1237)+1)</f>
        <v/>
      </c>
      <c r="M1237">
        <f>IF($L1237="","",$F1237&amp;"|"&amp;RIGHT("000000"&amp;$L1237,6))</f>
        <v/>
      </c>
      <c r="N1237">
        <f>IF($F1237="","",IF(Sync!$AF1237="","0000",IF(AND(ISNUMBER(Sync!$AF1237),Sync!$AF1237&gt;=0,Sync!$AF1237&lt;1),RIGHT("00"&amp;HOUR(Sync!$AF1237),2)&amp;RIGHT("00"&amp;MINUTE(Sync!$AF1237),2),IFERROR(RIGHT("00"&amp;VALUE(LEFT(Sync!$AF1237,FIND(":",Sync!$AF1237)-1)),2)&amp;RIGHT("00"&amp;VALUE(MID(Sync!$AF1237,FIND(":",Sync!$AF1237)+1,2)),2),"0000"))))</f>
        <v/>
      </c>
    </row>
    <row r="1238">
      <c r="A1238">
        <f>IF(OR(Calc!$E1242="",Calc!$E1242="نامعتبر",Calc!$G1242=""),"",Calc!$G1242)</f>
        <v/>
      </c>
      <c r="B1238">
        <f>IF($A1238="","",LEFT(Calc!$E1242,4)&amp;MID(Calc!$E1242,6,2)&amp;RIGHT(Calc!$E1242,2)&amp;Calc!$Q1242&amp;"|"&amp;"1"&amp;RIGHT("00000"&amp;1233,5))</f>
        <v/>
      </c>
      <c r="C1238">
        <f>IF($B1238="","",COUNTIFS(LdgSellerA,$A1238,LdgKeyA,"&lt;"&amp;$B1238)+COUNTIFS(LdgSellerB,$A1238,LdgKeyB,"&lt;"&amp;$B1238)+1)</f>
        <v/>
      </c>
      <c r="D1238">
        <f>IF($C1238="","",$A1238&amp;"|"&amp;RIGHT("000000"&amp;$C1238,6))</f>
        <v/>
      </c>
      <c r="F1238">
        <f>IF(Sync!$AH1238="","",IF(LEFT(UPPER(TRIM(Sync!$AH1238)),2)="SL",UPPER(TRIM(Sync!$AH1238)),""))</f>
        <v/>
      </c>
      <c r="G1238">
        <f>IF($F1238="","",IF(Sync!$AE1238="","",IF(ISNUMBER(Sync!$AE1238),IF(AND(Sync!$AE1238&gt;=10000101,Sync!$AE1238&lt;=99991231),INT(Sync!$AE1238/10000),""),IFERROR(VALUE(TRIM(LEFT(Sync!$AE1238,FIND("/",Sync!$AE1238)-1))),""))))</f>
        <v/>
      </c>
      <c r="H1238">
        <f>IF(OR($F1238="",$G1238=""),"",IF(ISNUMBER(Sync!$AE1238),INT(MOD(Sync!$AE1238,10000)/100),IFERROR(VALUE(TRIM(LEFT(MID(Sync!$AE1238,FIND("/",Sync!$AE1238)+1,20),FIND("/",MID(Sync!$AE1238,FIND("/",Sync!$AE1238)+1,20))-1))),"")))</f>
        <v/>
      </c>
      <c r="I1238">
        <f>IF(OR($F1238="",$G1238=""),"",IF(ISNUMBER(Sync!$AE1238),MOD(Sync!$AE1238,100),IFERROR(VALUE(TRIM(MID(MID(Sync!$AE1238,FIND("/",Sync!$AE1238)+1,20),FIND("/",MID(Sync!$AE1238,FIND("/",Sync!$AE1238)+1,20))+1,20))),"")))</f>
        <v/>
      </c>
      <c r="J1238">
        <f>IF($F1238="","",IF(OR($G1238="",$H1238="",$I1238="",$G1238&lt;1300,$G1238&gt;1500,$H1238&lt;1,$H1238&gt;12,$I1238&lt;1,$I1238&gt;31),"نامعتبر",RIGHT("0000"&amp;$G1238,4)&amp;"/"&amp;RIGHT("00"&amp;$H1238,2)&amp;"/"&amp;RIGHT("00"&amp;$I1238,2)))</f>
        <v/>
      </c>
      <c r="K1238">
        <f>IF(OR($F1238="",$J1238="",$J1238="نامعتبر"),"",LEFT($J1238,4)&amp;MID($J1238,6,2)&amp;RIGHT($J1238,2)&amp;$N1238&amp;"|"&amp;"2"&amp;RIGHT("00000"&amp;1233,5))</f>
        <v/>
      </c>
      <c r="L1238">
        <f>IF($K1238="","",COUNTIFS(LdgSellerA,$F1238,LdgKeyA,"&lt;"&amp;$K1238)+COUNTIFS(LdgSellerB,$F1238,LdgKeyB,"&lt;"&amp;$K1238)+1)</f>
        <v/>
      </c>
      <c r="M1238">
        <f>IF($L1238="","",$F1238&amp;"|"&amp;RIGHT("000000"&amp;$L1238,6))</f>
        <v/>
      </c>
      <c r="N1238">
        <f>IF($F1238="","",IF(Sync!$AF1238="","0000",IF(AND(ISNUMBER(Sync!$AF1238),Sync!$AF1238&gt;=0,Sync!$AF1238&lt;1),RIGHT("00"&amp;HOUR(Sync!$AF1238),2)&amp;RIGHT("00"&amp;MINUTE(Sync!$AF1238),2),IFERROR(RIGHT("00"&amp;VALUE(LEFT(Sync!$AF1238,FIND(":",Sync!$AF1238)-1)),2)&amp;RIGHT("00"&amp;VALUE(MID(Sync!$AF1238,FIND(":",Sync!$AF1238)+1,2)),2),"0000"))))</f>
        <v/>
      </c>
    </row>
    <row r="1239">
      <c r="A1239">
        <f>IF(OR(Calc!$E1243="",Calc!$E1243="نامعتبر",Calc!$G1243=""),"",Calc!$G1243)</f>
        <v/>
      </c>
      <c r="B1239">
        <f>IF($A1239="","",LEFT(Calc!$E1243,4)&amp;MID(Calc!$E1243,6,2)&amp;RIGHT(Calc!$E1243,2)&amp;Calc!$Q1243&amp;"|"&amp;"1"&amp;RIGHT("00000"&amp;1234,5))</f>
        <v/>
      </c>
      <c r="C1239">
        <f>IF($B1239="","",COUNTIFS(LdgSellerA,$A1239,LdgKeyA,"&lt;"&amp;$B1239)+COUNTIFS(LdgSellerB,$A1239,LdgKeyB,"&lt;"&amp;$B1239)+1)</f>
        <v/>
      </c>
      <c r="D1239">
        <f>IF($C1239="","",$A1239&amp;"|"&amp;RIGHT("000000"&amp;$C1239,6))</f>
        <v/>
      </c>
      <c r="F1239">
        <f>IF(Sync!$AH1239="","",IF(LEFT(UPPER(TRIM(Sync!$AH1239)),2)="SL",UPPER(TRIM(Sync!$AH1239)),""))</f>
        <v/>
      </c>
      <c r="G1239">
        <f>IF($F1239="","",IF(Sync!$AE1239="","",IF(ISNUMBER(Sync!$AE1239),IF(AND(Sync!$AE1239&gt;=10000101,Sync!$AE1239&lt;=99991231),INT(Sync!$AE1239/10000),""),IFERROR(VALUE(TRIM(LEFT(Sync!$AE1239,FIND("/",Sync!$AE1239)-1))),""))))</f>
        <v/>
      </c>
      <c r="H1239">
        <f>IF(OR($F1239="",$G1239=""),"",IF(ISNUMBER(Sync!$AE1239),INT(MOD(Sync!$AE1239,10000)/100),IFERROR(VALUE(TRIM(LEFT(MID(Sync!$AE1239,FIND("/",Sync!$AE1239)+1,20),FIND("/",MID(Sync!$AE1239,FIND("/",Sync!$AE1239)+1,20))-1))),"")))</f>
        <v/>
      </c>
      <c r="I1239">
        <f>IF(OR($F1239="",$G1239=""),"",IF(ISNUMBER(Sync!$AE1239),MOD(Sync!$AE1239,100),IFERROR(VALUE(TRIM(MID(MID(Sync!$AE1239,FIND("/",Sync!$AE1239)+1,20),FIND("/",MID(Sync!$AE1239,FIND("/",Sync!$AE1239)+1,20))+1,20))),"")))</f>
        <v/>
      </c>
      <c r="J1239">
        <f>IF($F1239="","",IF(OR($G1239="",$H1239="",$I1239="",$G1239&lt;1300,$G1239&gt;1500,$H1239&lt;1,$H1239&gt;12,$I1239&lt;1,$I1239&gt;31),"نامعتبر",RIGHT("0000"&amp;$G1239,4)&amp;"/"&amp;RIGHT("00"&amp;$H1239,2)&amp;"/"&amp;RIGHT("00"&amp;$I1239,2)))</f>
        <v/>
      </c>
      <c r="K1239">
        <f>IF(OR($F1239="",$J1239="",$J1239="نامعتبر"),"",LEFT($J1239,4)&amp;MID($J1239,6,2)&amp;RIGHT($J1239,2)&amp;$N1239&amp;"|"&amp;"2"&amp;RIGHT("00000"&amp;1234,5))</f>
        <v/>
      </c>
      <c r="L1239">
        <f>IF($K1239="","",COUNTIFS(LdgSellerA,$F1239,LdgKeyA,"&lt;"&amp;$K1239)+COUNTIFS(LdgSellerB,$F1239,LdgKeyB,"&lt;"&amp;$K1239)+1)</f>
        <v/>
      </c>
      <c r="M1239">
        <f>IF($L1239="","",$F1239&amp;"|"&amp;RIGHT("000000"&amp;$L1239,6))</f>
        <v/>
      </c>
      <c r="N1239">
        <f>IF($F1239="","",IF(Sync!$AF1239="","0000",IF(AND(ISNUMBER(Sync!$AF1239),Sync!$AF1239&gt;=0,Sync!$AF1239&lt;1),RIGHT("00"&amp;HOUR(Sync!$AF1239),2)&amp;RIGHT("00"&amp;MINUTE(Sync!$AF1239),2),IFERROR(RIGHT("00"&amp;VALUE(LEFT(Sync!$AF1239,FIND(":",Sync!$AF1239)-1)),2)&amp;RIGHT("00"&amp;VALUE(MID(Sync!$AF1239,FIND(":",Sync!$AF1239)+1,2)),2),"0000"))))</f>
        <v/>
      </c>
    </row>
    <row r="1240">
      <c r="A1240">
        <f>IF(OR(Calc!$E1244="",Calc!$E1244="نامعتبر",Calc!$G1244=""),"",Calc!$G1244)</f>
        <v/>
      </c>
      <c r="B1240">
        <f>IF($A1240="","",LEFT(Calc!$E1244,4)&amp;MID(Calc!$E1244,6,2)&amp;RIGHT(Calc!$E1244,2)&amp;Calc!$Q1244&amp;"|"&amp;"1"&amp;RIGHT("00000"&amp;1235,5))</f>
        <v/>
      </c>
      <c r="C1240">
        <f>IF($B1240="","",COUNTIFS(LdgSellerA,$A1240,LdgKeyA,"&lt;"&amp;$B1240)+COUNTIFS(LdgSellerB,$A1240,LdgKeyB,"&lt;"&amp;$B1240)+1)</f>
        <v/>
      </c>
      <c r="D1240">
        <f>IF($C1240="","",$A1240&amp;"|"&amp;RIGHT("000000"&amp;$C1240,6))</f>
        <v/>
      </c>
      <c r="F1240">
        <f>IF(Sync!$AH1240="","",IF(LEFT(UPPER(TRIM(Sync!$AH1240)),2)="SL",UPPER(TRIM(Sync!$AH1240)),""))</f>
        <v/>
      </c>
      <c r="G1240">
        <f>IF($F1240="","",IF(Sync!$AE1240="","",IF(ISNUMBER(Sync!$AE1240),IF(AND(Sync!$AE1240&gt;=10000101,Sync!$AE1240&lt;=99991231),INT(Sync!$AE1240/10000),""),IFERROR(VALUE(TRIM(LEFT(Sync!$AE1240,FIND("/",Sync!$AE1240)-1))),""))))</f>
        <v/>
      </c>
      <c r="H1240">
        <f>IF(OR($F1240="",$G1240=""),"",IF(ISNUMBER(Sync!$AE1240),INT(MOD(Sync!$AE1240,10000)/100),IFERROR(VALUE(TRIM(LEFT(MID(Sync!$AE1240,FIND("/",Sync!$AE1240)+1,20),FIND("/",MID(Sync!$AE1240,FIND("/",Sync!$AE1240)+1,20))-1))),"")))</f>
        <v/>
      </c>
      <c r="I1240">
        <f>IF(OR($F1240="",$G1240=""),"",IF(ISNUMBER(Sync!$AE1240),MOD(Sync!$AE1240,100),IFERROR(VALUE(TRIM(MID(MID(Sync!$AE1240,FIND("/",Sync!$AE1240)+1,20),FIND("/",MID(Sync!$AE1240,FIND("/",Sync!$AE1240)+1,20))+1,20))),"")))</f>
        <v/>
      </c>
      <c r="J1240">
        <f>IF($F1240="","",IF(OR($G1240="",$H1240="",$I1240="",$G1240&lt;1300,$G1240&gt;1500,$H1240&lt;1,$H1240&gt;12,$I1240&lt;1,$I1240&gt;31),"نامعتبر",RIGHT("0000"&amp;$G1240,4)&amp;"/"&amp;RIGHT("00"&amp;$H1240,2)&amp;"/"&amp;RIGHT("00"&amp;$I1240,2)))</f>
        <v/>
      </c>
      <c r="K1240">
        <f>IF(OR($F1240="",$J1240="",$J1240="نامعتبر"),"",LEFT($J1240,4)&amp;MID($J1240,6,2)&amp;RIGHT($J1240,2)&amp;$N1240&amp;"|"&amp;"2"&amp;RIGHT("00000"&amp;1235,5))</f>
        <v/>
      </c>
      <c r="L1240">
        <f>IF($K1240="","",COUNTIFS(LdgSellerA,$F1240,LdgKeyA,"&lt;"&amp;$K1240)+COUNTIFS(LdgSellerB,$F1240,LdgKeyB,"&lt;"&amp;$K1240)+1)</f>
        <v/>
      </c>
      <c r="M1240">
        <f>IF($L1240="","",$F1240&amp;"|"&amp;RIGHT("000000"&amp;$L1240,6))</f>
        <v/>
      </c>
      <c r="N1240">
        <f>IF($F1240="","",IF(Sync!$AF1240="","0000",IF(AND(ISNUMBER(Sync!$AF1240),Sync!$AF1240&gt;=0,Sync!$AF1240&lt;1),RIGHT("00"&amp;HOUR(Sync!$AF1240),2)&amp;RIGHT("00"&amp;MINUTE(Sync!$AF1240),2),IFERROR(RIGHT("00"&amp;VALUE(LEFT(Sync!$AF1240,FIND(":",Sync!$AF1240)-1)),2)&amp;RIGHT("00"&amp;VALUE(MID(Sync!$AF1240,FIND(":",Sync!$AF1240)+1,2)),2),"0000"))))</f>
        <v/>
      </c>
    </row>
    <row r="1241">
      <c r="A1241">
        <f>IF(OR(Calc!$E1245="",Calc!$E1245="نامعتبر",Calc!$G1245=""),"",Calc!$G1245)</f>
        <v/>
      </c>
      <c r="B1241">
        <f>IF($A1241="","",LEFT(Calc!$E1245,4)&amp;MID(Calc!$E1245,6,2)&amp;RIGHT(Calc!$E1245,2)&amp;Calc!$Q1245&amp;"|"&amp;"1"&amp;RIGHT("00000"&amp;1236,5))</f>
        <v/>
      </c>
      <c r="C1241">
        <f>IF($B1241="","",COUNTIFS(LdgSellerA,$A1241,LdgKeyA,"&lt;"&amp;$B1241)+COUNTIFS(LdgSellerB,$A1241,LdgKeyB,"&lt;"&amp;$B1241)+1)</f>
        <v/>
      </c>
      <c r="D1241">
        <f>IF($C1241="","",$A1241&amp;"|"&amp;RIGHT("000000"&amp;$C1241,6))</f>
        <v/>
      </c>
      <c r="F1241">
        <f>IF(Sync!$AH1241="","",IF(LEFT(UPPER(TRIM(Sync!$AH1241)),2)="SL",UPPER(TRIM(Sync!$AH1241)),""))</f>
        <v/>
      </c>
      <c r="G1241">
        <f>IF($F1241="","",IF(Sync!$AE1241="","",IF(ISNUMBER(Sync!$AE1241),IF(AND(Sync!$AE1241&gt;=10000101,Sync!$AE1241&lt;=99991231),INT(Sync!$AE1241/10000),""),IFERROR(VALUE(TRIM(LEFT(Sync!$AE1241,FIND("/",Sync!$AE1241)-1))),""))))</f>
        <v/>
      </c>
      <c r="H1241">
        <f>IF(OR($F1241="",$G1241=""),"",IF(ISNUMBER(Sync!$AE1241),INT(MOD(Sync!$AE1241,10000)/100),IFERROR(VALUE(TRIM(LEFT(MID(Sync!$AE1241,FIND("/",Sync!$AE1241)+1,20),FIND("/",MID(Sync!$AE1241,FIND("/",Sync!$AE1241)+1,20))-1))),"")))</f>
        <v/>
      </c>
      <c r="I1241">
        <f>IF(OR($F1241="",$G1241=""),"",IF(ISNUMBER(Sync!$AE1241),MOD(Sync!$AE1241,100),IFERROR(VALUE(TRIM(MID(MID(Sync!$AE1241,FIND("/",Sync!$AE1241)+1,20),FIND("/",MID(Sync!$AE1241,FIND("/",Sync!$AE1241)+1,20))+1,20))),"")))</f>
        <v/>
      </c>
      <c r="J1241">
        <f>IF($F1241="","",IF(OR($G1241="",$H1241="",$I1241="",$G1241&lt;1300,$G1241&gt;1500,$H1241&lt;1,$H1241&gt;12,$I1241&lt;1,$I1241&gt;31),"نامعتبر",RIGHT("0000"&amp;$G1241,4)&amp;"/"&amp;RIGHT("00"&amp;$H1241,2)&amp;"/"&amp;RIGHT("00"&amp;$I1241,2)))</f>
        <v/>
      </c>
      <c r="K1241">
        <f>IF(OR($F1241="",$J1241="",$J1241="نامعتبر"),"",LEFT($J1241,4)&amp;MID($J1241,6,2)&amp;RIGHT($J1241,2)&amp;$N1241&amp;"|"&amp;"2"&amp;RIGHT("00000"&amp;1236,5))</f>
        <v/>
      </c>
      <c r="L1241">
        <f>IF($K1241="","",COUNTIFS(LdgSellerA,$F1241,LdgKeyA,"&lt;"&amp;$K1241)+COUNTIFS(LdgSellerB,$F1241,LdgKeyB,"&lt;"&amp;$K1241)+1)</f>
        <v/>
      </c>
      <c r="M1241">
        <f>IF($L1241="","",$F1241&amp;"|"&amp;RIGHT("000000"&amp;$L1241,6))</f>
        <v/>
      </c>
      <c r="N1241">
        <f>IF($F1241="","",IF(Sync!$AF1241="","0000",IF(AND(ISNUMBER(Sync!$AF1241),Sync!$AF1241&gt;=0,Sync!$AF1241&lt;1),RIGHT("00"&amp;HOUR(Sync!$AF1241),2)&amp;RIGHT("00"&amp;MINUTE(Sync!$AF1241),2),IFERROR(RIGHT("00"&amp;VALUE(LEFT(Sync!$AF1241,FIND(":",Sync!$AF1241)-1)),2)&amp;RIGHT("00"&amp;VALUE(MID(Sync!$AF1241,FIND(":",Sync!$AF1241)+1,2)),2),"0000"))))</f>
        <v/>
      </c>
    </row>
    <row r="1242">
      <c r="A1242">
        <f>IF(OR(Calc!$E1246="",Calc!$E1246="نامعتبر",Calc!$G1246=""),"",Calc!$G1246)</f>
        <v/>
      </c>
      <c r="B1242">
        <f>IF($A1242="","",LEFT(Calc!$E1246,4)&amp;MID(Calc!$E1246,6,2)&amp;RIGHT(Calc!$E1246,2)&amp;Calc!$Q1246&amp;"|"&amp;"1"&amp;RIGHT("00000"&amp;1237,5))</f>
        <v/>
      </c>
      <c r="C1242">
        <f>IF($B1242="","",COUNTIFS(LdgSellerA,$A1242,LdgKeyA,"&lt;"&amp;$B1242)+COUNTIFS(LdgSellerB,$A1242,LdgKeyB,"&lt;"&amp;$B1242)+1)</f>
        <v/>
      </c>
      <c r="D1242">
        <f>IF($C1242="","",$A1242&amp;"|"&amp;RIGHT("000000"&amp;$C1242,6))</f>
        <v/>
      </c>
      <c r="F1242">
        <f>IF(Sync!$AH1242="","",IF(LEFT(UPPER(TRIM(Sync!$AH1242)),2)="SL",UPPER(TRIM(Sync!$AH1242)),""))</f>
        <v/>
      </c>
      <c r="G1242">
        <f>IF($F1242="","",IF(Sync!$AE1242="","",IF(ISNUMBER(Sync!$AE1242),IF(AND(Sync!$AE1242&gt;=10000101,Sync!$AE1242&lt;=99991231),INT(Sync!$AE1242/10000),""),IFERROR(VALUE(TRIM(LEFT(Sync!$AE1242,FIND("/",Sync!$AE1242)-1))),""))))</f>
        <v/>
      </c>
      <c r="H1242">
        <f>IF(OR($F1242="",$G1242=""),"",IF(ISNUMBER(Sync!$AE1242),INT(MOD(Sync!$AE1242,10000)/100),IFERROR(VALUE(TRIM(LEFT(MID(Sync!$AE1242,FIND("/",Sync!$AE1242)+1,20),FIND("/",MID(Sync!$AE1242,FIND("/",Sync!$AE1242)+1,20))-1))),"")))</f>
        <v/>
      </c>
      <c r="I1242">
        <f>IF(OR($F1242="",$G1242=""),"",IF(ISNUMBER(Sync!$AE1242),MOD(Sync!$AE1242,100),IFERROR(VALUE(TRIM(MID(MID(Sync!$AE1242,FIND("/",Sync!$AE1242)+1,20),FIND("/",MID(Sync!$AE1242,FIND("/",Sync!$AE1242)+1,20))+1,20))),"")))</f>
        <v/>
      </c>
      <c r="J1242">
        <f>IF($F1242="","",IF(OR($G1242="",$H1242="",$I1242="",$G1242&lt;1300,$G1242&gt;1500,$H1242&lt;1,$H1242&gt;12,$I1242&lt;1,$I1242&gt;31),"نامعتبر",RIGHT("0000"&amp;$G1242,4)&amp;"/"&amp;RIGHT("00"&amp;$H1242,2)&amp;"/"&amp;RIGHT("00"&amp;$I1242,2)))</f>
        <v/>
      </c>
      <c r="K1242">
        <f>IF(OR($F1242="",$J1242="",$J1242="نامعتبر"),"",LEFT($J1242,4)&amp;MID($J1242,6,2)&amp;RIGHT($J1242,2)&amp;$N1242&amp;"|"&amp;"2"&amp;RIGHT("00000"&amp;1237,5))</f>
        <v/>
      </c>
      <c r="L1242">
        <f>IF($K1242="","",COUNTIFS(LdgSellerA,$F1242,LdgKeyA,"&lt;"&amp;$K1242)+COUNTIFS(LdgSellerB,$F1242,LdgKeyB,"&lt;"&amp;$K1242)+1)</f>
        <v/>
      </c>
      <c r="M1242">
        <f>IF($L1242="","",$F1242&amp;"|"&amp;RIGHT("000000"&amp;$L1242,6))</f>
        <v/>
      </c>
      <c r="N1242">
        <f>IF($F1242="","",IF(Sync!$AF1242="","0000",IF(AND(ISNUMBER(Sync!$AF1242),Sync!$AF1242&gt;=0,Sync!$AF1242&lt;1),RIGHT("00"&amp;HOUR(Sync!$AF1242),2)&amp;RIGHT("00"&amp;MINUTE(Sync!$AF1242),2),IFERROR(RIGHT("00"&amp;VALUE(LEFT(Sync!$AF1242,FIND(":",Sync!$AF1242)-1)),2)&amp;RIGHT("00"&amp;VALUE(MID(Sync!$AF1242,FIND(":",Sync!$AF1242)+1,2)),2),"0000"))))</f>
        <v/>
      </c>
    </row>
    <row r="1243">
      <c r="A1243">
        <f>IF(OR(Calc!$E1247="",Calc!$E1247="نامعتبر",Calc!$G1247=""),"",Calc!$G1247)</f>
        <v/>
      </c>
      <c r="B1243">
        <f>IF($A1243="","",LEFT(Calc!$E1247,4)&amp;MID(Calc!$E1247,6,2)&amp;RIGHT(Calc!$E1247,2)&amp;Calc!$Q1247&amp;"|"&amp;"1"&amp;RIGHT("00000"&amp;1238,5))</f>
        <v/>
      </c>
      <c r="C1243">
        <f>IF($B1243="","",COUNTIFS(LdgSellerA,$A1243,LdgKeyA,"&lt;"&amp;$B1243)+COUNTIFS(LdgSellerB,$A1243,LdgKeyB,"&lt;"&amp;$B1243)+1)</f>
        <v/>
      </c>
      <c r="D1243">
        <f>IF($C1243="","",$A1243&amp;"|"&amp;RIGHT("000000"&amp;$C1243,6))</f>
        <v/>
      </c>
      <c r="F1243">
        <f>IF(Sync!$AH1243="","",IF(LEFT(UPPER(TRIM(Sync!$AH1243)),2)="SL",UPPER(TRIM(Sync!$AH1243)),""))</f>
        <v/>
      </c>
      <c r="G1243">
        <f>IF($F1243="","",IF(Sync!$AE1243="","",IF(ISNUMBER(Sync!$AE1243),IF(AND(Sync!$AE1243&gt;=10000101,Sync!$AE1243&lt;=99991231),INT(Sync!$AE1243/10000),""),IFERROR(VALUE(TRIM(LEFT(Sync!$AE1243,FIND("/",Sync!$AE1243)-1))),""))))</f>
        <v/>
      </c>
      <c r="H1243">
        <f>IF(OR($F1243="",$G1243=""),"",IF(ISNUMBER(Sync!$AE1243),INT(MOD(Sync!$AE1243,10000)/100),IFERROR(VALUE(TRIM(LEFT(MID(Sync!$AE1243,FIND("/",Sync!$AE1243)+1,20),FIND("/",MID(Sync!$AE1243,FIND("/",Sync!$AE1243)+1,20))-1))),"")))</f>
        <v/>
      </c>
      <c r="I1243">
        <f>IF(OR($F1243="",$G1243=""),"",IF(ISNUMBER(Sync!$AE1243),MOD(Sync!$AE1243,100),IFERROR(VALUE(TRIM(MID(MID(Sync!$AE1243,FIND("/",Sync!$AE1243)+1,20),FIND("/",MID(Sync!$AE1243,FIND("/",Sync!$AE1243)+1,20))+1,20))),"")))</f>
        <v/>
      </c>
      <c r="J1243">
        <f>IF($F1243="","",IF(OR($G1243="",$H1243="",$I1243="",$G1243&lt;1300,$G1243&gt;1500,$H1243&lt;1,$H1243&gt;12,$I1243&lt;1,$I1243&gt;31),"نامعتبر",RIGHT("0000"&amp;$G1243,4)&amp;"/"&amp;RIGHT("00"&amp;$H1243,2)&amp;"/"&amp;RIGHT("00"&amp;$I1243,2)))</f>
        <v/>
      </c>
      <c r="K1243">
        <f>IF(OR($F1243="",$J1243="",$J1243="نامعتبر"),"",LEFT($J1243,4)&amp;MID($J1243,6,2)&amp;RIGHT($J1243,2)&amp;$N1243&amp;"|"&amp;"2"&amp;RIGHT("00000"&amp;1238,5))</f>
        <v/>
      </c>
      <c r="L1243">
        <f>IF($K1243="","",COUNTIFS(LdgSellerA,$F1243,LdgKeyA,"&lt;"&amp;$K1243)+COUNTIFS(LdgSellerB,$F1243,LdgKeyB,"&lt;"&amp;$K1243)+1)</f>
        <v/>
      </c>
      <c r="M1243">
        <f>IF($L1243="","",$F1243&amp;"|"&amp;RIGHT("000000"&amp;$L1243,6))</f>
        <v/>
      </c>
      <c r="N1243">
        <f>IF($F1243="","",IF(Sync!$AF1243="","0000",IF(AND(ISNUMBER(Sync!$AF1243),Sync!$AF1243&gt;=0,Sync!$AF1243&lt;1),RIGHT("00"&amp;HOUR(Sync!$AF1243),2)&amp;RIGHT("00"&amp;MINUTE(Sync!$AF1243),2),IFERROR(RIGHT("00"&amp;VALUE(LEFT(Sync!$AF1243,FIND(":",Sync!$AF1243)-1)),2)&amp;RIGHT("00"&amp;VALUE(MID(Sync!$AF1243,FIND(":",Sync!$AF1243)+1,2)),2),"0000"))))</f>
        <v/>
      </c>
    </row>
    <row r="1244">
      <c r="A1244">
        <f>IF(OR(Calc!$E1248="",Calc!$E1248="نامعتبر",Calc!$G1248=""),"",Calc!$G1248)</f>
        <v/>
      </c>
      <c r="B1244">
        <f>IF($A1244="","",LEFT(Calc!$E1248,4)&amp;MID(Calc!$E1248,6,2)&amp;RIGHT(Calc!$E1248,2)&amp;Calc!$Q1248&amp;"|"&amp;"1"&amp;RIGHT("00000"&amp;1239,5))</f>
        <v/>
      </c>
      <c r="C1244">
        <f>IF($B1244="","",COUNTIFS(LdgSellerA,$A1244,LdgKeyA,"&lt;"&amp;$B1244)+COUNTIFS(LdgSellerB,$A1244,LdgKeyB,"&lt;"&amp;$B1244)+1)</f>
        <v/>
      </c>
      <c r="D1244">
        <f>IF($C1244="","",$A1244&amp;"|"&amp;RIGHT("000000"&amp;$C1244,6))</f>
        <v/>
      </c>
      <c r="F1244">
        <f>IF(Sync!$AH1244="","",IF(LEFT(UPPER(TRIM(Sync!$AH1244)),2)="SL",UPPER(TRIM(Sync!$AH1244)),""))</f>
        <v/>
      </c>
      <c r="G1244">
        <f>IF($F1244="","",IF(Sync!$AE1244="","",IF(ISNUMBER(Sync!$AE1244),IF(AND(Sync!$AE1244&gt;=10000101,Sync!$AE1244&lt;=99991231),INT(Sync!$AE1244/10000),""),IFERROR(VALUE(TRIM(LEFT(Sync!$AE1244,FIND("/",Sync!$AE1244)-1))),""))))</f>
        <v/>
      </c>
      <c r="H1244">
        <f>IF(OR($F1244="",$G1244=""),"",IF(ISNUMBER(Sync!$AE1244),INT(MOD(Sync!$AE1244,10000)/100),IFERROR(VALUE(TRIM(LEFT(MID(Sync!$AE1244,FIND("/",Sync!$AE1244)+1,20),FIND("/",MID(Sync!$AE1244,FIND("/",Sync!$AE1244)+1,20))-1))),"")))</f>
        <v/>
      </c>
      <c r="I1244">
        <f>IF(OR($F1244="",$G1244=""),"",IF(ISNUMBER(Sync!$AE1244),MOD(Sync!$AE1244,100),IFERROR(VALUE(TRIM(MID(MID(Sync!$AE1244,FIND("/",Sync!$AE1244)+1,20),FIND("/",MID(Sync!$AE1244,FIND("/",Sync!$AE1244)+1,20))+1,20))),"")))</f>
        <v/>
      </c>
      <c r="J1244">
        <f>IF($F1244="","",IF(OR($G1244="",$H1244="",$I1244="",$G1244&lt;1300,$G1244&gt;1500,$H1244&lt;1,$H1244&gt;12,$I1244&lt;1,$I1244&gt;31),"نامعتبر",RIGHT("0000"&amp;$G1244,4)&amp;"/"&amp;RIGHT("00"&amp;$H1244,2)&amp;"/"&amp;RIGHT("00"&amp;$I1244,2)))</f>
        <v/>
      </c>
      <c r="K1244">
        <f>IF(OR($F1244="",$J1244="",$J1244="نامعتبر"),"",LEFT($J1244,4)&amp;MID($J1244,6,2)&amp;RIGHT($J1244,2)&amp;$N1244&amp;"|"&amp;"2"&amp;RIGHT("00000"&amp;1239,5))</f>
        <v/>
      </c>
      <c r="L1244">
        <f>IF($K1244="","",COUNTIFS(LdgSellerA,$F1244,LdgKeyA,"&lt;"&amp;$K1244)+COUNTIFS(LdgSellerB,$F1244,LdgKeyB,"&lt;"&amp;$K1244)+1)</f>
        <v/>
      </c>
      <c r="M1244">
        <f>IF($L1244="","",$F1244&amp;"|"&amp;RIGHT("000000"&amp;$L1244,6))</f>
        <v/>
      </c>
      <c r="N1244">
        <f>IF($F1244="","",IF(Sync!$AF1244="","0000",IF(AND(ISNUMBER(Sync!$AF1244),Sync!$AF1244&gt;=0,Sync!$AF1244&lt;1),RIGHT("00"&amp;HOUR(Sync!$AF1244),2)&amp;RIGHT("00"&amp;MINUTE(Sync!$AF1244),2),IFERROR(RIGHT("00"&amp;VALUE(LEFT(Sync!$AF1244,FIND(":",Sync!$AF1244)-1)),2)&amp;RIGHT("00"&amp;VALUE(MID(Sync!$AF1244,FIND(":",Sync!$AF1244)+1,2)),2),"0000"))))</f>
        <v/>
      </c>
    </row>
    <row r="1245">
      <c r="A1245">
        <f>IF(OR(Calc!$E1249="",Calc!$E1249="نامعتبر",Calc!$G1249=""),"",Calc!$G1249)</f>
        <v/>
      </c>
      <c r="B1245">
        <f>IF($A1245="","",LEFT(Calc!$E1249,4)&amp;MID(Calc!$E1249,6,2)&amp;RIGHT(Calc!$E1249,2)&amp;Calc!$Q1249&amp;"|"&amp;"1"&amp;RIGHT("00000"&amp;1240,5))</f>
        <v/>
      </c>
      <c r="C1245">
        <f>IF($B1245="","",COUNTIFS(LdgSellerA,$A1245,LdgKeyA,"&lt;"&amp;$B1245)+COUNTIFS(LdgSellerB,$A1245,LdgKeyB,"&lt;"&amp;$B1245)+1)</f>
        <v/>
      </c>
      <c r="D1245">
        <f>IF($C1245="","",$A1245&amp;"|"&amp;RIGHT("000000"&amp;$C1245,6))</f>
        <v/>
      </c>
      <c r="F1245">
        <f>IF(Sync!$AH1245="","",IF(LEFT(UPPER(TRIM(Sync!$AH1245)),2)="SL",UPPER(TRIM(Sync!$AH1245)),""))</f>
        <v/>
      </c>
      <c r="G1245">
        <f>IF($F1245="","",IF(Sync!$AE1245="","",IF(ISNUMBER(Sync!$AE1245),IF(AND(Sync!$AE1245&gt;=10000101,Sync!$AE1245&lt;=99991231),INT(Sync!$AE1245/10000),""),IFERROR(VALUE(TRIM(LEFT(Sync!$AE1245,FIND("/",Sync!$AE1245)-1))),""))))</f>
        <v/>
      </c>
      <c r="H1245">
        <f>IF(OR($F1245="",$G1245=""),"",IF(ISNUMBER(Sync!$AE1245),INT(MOD(Sync!$AE1245,10000)/100),IFERROR(VALUE(TRIM(LEFT(MID(Sync!$AE1245,FIND("/",Sync!$AE1245)+1,20),FIND("/",MID(Sync!$AE1245,FIND("/",Sync!$AE1245)+1,20))-1))),"")))</f>
        <v/>
      </c>
      <c r="I1245">
        <f>IF(OR($F1245="",$G1245=""),"",IF(ISNUMBER(Sync!$AE1245),MOD(Sync!$AE1245,100),IFERROR(VALUE(TRIM(MID(MID(Sync!$AE1245,FIND("/",Sync!$AE1245)+1,20),FIND("/",MID(Sync!$AE1245,FIND("/",Sync!$AE1245)+1,20))+1,20))),"")))</f>
        <v/>
      </c>
      <c r="J1245">
        <f>IF($F1245="","",IF(OR($G1245="",$H1245="",$I1245="",$G1245&lt;1300,$G1245&gt;1500,$H1245&lt;1,$H1245&gt;12,$I1245&lt;1,$I1245&gt;31),"نامعتبر",RIGHT("0000"&amp;$G1245,4)&amp;"/"&amp;RIGHT("00"&amp;$H1245,2)&amp;"/"&amp;RIGHT("00"&amp;$I1245,2)))</f>
        <v/>
      </c>
      <c r="K1245">
        <f>IF(OR($F1245="",$J1245="",$J1245="نامعتبر"),"",LEFT($J1245,4)&amp;MID($J1245,6,2)&amp;RIGHT($J1245,2)&amp;$N1245&amp;"|"&amp;"2"&amp;RIGHT("00000"&amp;1240,5))</f>
        <v/>
      </c>
      <c r="L1245">
        <f>IF($K1245="","",COUNTIFS(LdgSellerA,$F1245,LdgKeyA,"&lt;"&amp;$K1245)+COUNTIFS(LdgSellerB,$F1245,LdgKeyB,"&lt;"&amp;$K1245)+1)</f>
        <v/>
      </c>
      <c r="M1245">
        <f>IF($L1245="","",$F1245&amp;"|"&amp;RIGHT("000000"&amp;$L1245,6))</f>
        <v/>
      </c>
      <c r="N1245">
        <f>IF($F1245="","",IF(Sync!$AF1245="","0000",IF(AND(ISNUMBER(Sync!$AF1245),Sync!$AF1245&gt;=0,Sync!$AF1245&lt;1),RIGHT("00"&amp;HOUR(Sync!$AF1245),2)&amp;RIGHT("00"&amp;MINUTE(Sync!$AF1245),2),IFERROR(RIGHT("00"&amp;VALUE(LEFT(Sync!$AF1245,FIND(":",Sync!$AF1245)-1)),2)&amp;RIGHT("00"&amp;VALUE(MID(Sync!$AF1245,FIND(":",Sync!$AF1245)+1,2)),2),"0000"))))</f>
        <v/>
      </c>
    </row>
    <row r="1246">
      <c r="A1246">
        <f>IF(OR(Calc!$E1250="",Calc!$E1250="نامعتبر",Calc!$G1250=""),"",Calc!$G1250)</f>
        <v/>
      </c>
      <c r="B1246">
        <f>IF($A1246="","",LEFT(Calc!$E1250,4)&amp;MID(Calc!$E1250,6,2)&amp;RIGHT(Calc!$E1250,2)&amp;Calc!$Q1250&amp;"|"&amp;"1"&amp;RIGHT("00000"&amp;1241,5))</f>
        <v/>
      </c>
      <c r="C1246">
        <f>IF($B1246="","",COUNTIFS(LdgSellerA,$A1246,LdgKeyA,"&lt;"&amp;$B1246)+COUNTIFS(LdgSellerB,$A1246,LdgKeyB,"&lt;"&amp;$B1246)+1)</f>
        <v/>
      </c>
      <c r="D1246">
        <f>IF($C1246="","",$A1246&amp;"|"&amp;RIGHT("000000"&amp;$C1246,6))</f>
        <v/>
      </c>
      <c r="F1246">
        <f>IF(Sync!$AH1246="","",IF(LEFT(UPPER(TRIM(Sync!$AH1246)),2)="SL",UPPER(TRIM(Sync!$AH1246)),""))</f>
        <v/>
      </c>
      <c r="G1246">
        <f>IF($F1246="","",IF(Sync!$AE1246="","",IF(ISNUMBER(Sync!$AE1246),IF(AND(Sync!$AE1246&gt;=10000101,Sync!$AE1246&lt;=99991231),INT(Sync!$AE1246/10000),""),IFERROR(VALUE(TRIM(LEFT(Sync!$AE1246,FIND("/",Sync!$AE1246)-1))),""))))</f>
        <v/>
      </c>
      <c r="H1246">
        <f>IF(OR($F1246="",$G1246=""),"",IF(ISNUMBER(Sync!$AE1246),INT(MOD(Sync!$AE1246,10000)/100),IFERROR(VALUE(TRIM(LEFT(MID(Sync!$AE1246,FIND("/",Sync!$AE1246)+1,20),FIND("/",MID(Sync!$AE1246,FIND("/",Sync!$AE1246)+1,20))-1))),"")))</f>
        <v/>
      </c>
      <c r="I1246">
        <f>IF(OR($F1246="",$G1246=""),"",IF(ISNUMBER(Sync!$AE1246),MOD(Sync!$AE1246,100),IFERROR(VALUE(TRIM(MID(MID(Sync!$AE1246,FIND("/",Sync!$AE1246)+1,20),FIND("/",MID(Sync!$AE1246,FIND("/",Sync!$AE1246)+1,20))+1,20))),"")))</f>
        <v/>
      </c>
      <c r="J1246">
        <f>IF($F1246="","",IF(OR($G1246="",$H1246="",$I1246="",$G1246&lt;1300,$G1246&gt;1500,$H1246&lt;1,$H1246&gt;12,$I1246&lt;1,$I1246&gt;31),"نامعتبر",RIGHT("0000"&amp;$G1246,4)&amp;"/"&amp;RIGHT("00"&amp;$H1246,2)&amp;"/"&amp;RIGHT("00"&amp;$I1246,2)))</f>
        <v/>
      </c>
      <c r="K1246">
        <f>IF(OR($F1246="",$J1246="",$J1246="نامعتبر"),"",LEFT($J1246,4)&amp;MID($J1246,6,2)&amp;RIGHT($J1246,2)&amp;$N1246&amp;"|"&amp;"2"&amp;RIGHT("00000"&amp;1241,5))</f>
        <v/>
      </c>
      <c r="L1246">
        <f>IF($K1246="","",COUNTIFS(LdgSellerA,$F1246,LdgKeyA,"&lt;"&amp;$K1246)+COUNTIFS(LdgSellerB,$F1246,LdgKeyB,"&lt;"&amp;$K1246)+1)</f>
        <v/>
      </c>
      <c r="M1246">
        <f>IF($L1246="","",$F1246&amp;"|"&amp;RIGHT("000000"&amp;$L1246,6))</f>
        <v/>
      </c>
      <c r="N1246">
        <f>IF($F1246="","",IF(Sync!$AF1246="","0000",IF(AND(ISNUMBER(Sync!$AF1246),Sync!$AF1246&gt;=0,Sync!$AF1246&lt;1),RIGHT("00"&amp;HOUR(Sync!$AF1246),2)&amp;RIGHT("00"&amp;MINUTE(Sync!$AF1246),2),IFERROR(RIGHT("00"&amp;VALUE(LEFT(Sync!$AF1246,FIND(":",Sync!$AF1246)-1)),2)&amp;RIGHT("00"&amp;VALUE(MID(Sync!$AF1246,FIND(":",Sync!$AF1246)+1,2)),2),"0000"))))</f>
        <v/>
      </c>
    </row>
    <row r="1247">
      <c r="A1247">
        <f>IF(OR(Calc!$E1251="",Calc!$E1251="نامعتبر",Calc!$G1251=""),"",Calc!$G1251)</f>
        <v/>
      </c>
      <c r="B1247">
        <f>IF($A1247="","",LEFT(Calc!$E1251,4)&amp;MID(Calc!$E1251,6,2)&amp;RIGHT(Calc!$E1251,2)&amp;Calc!$Q1251&amp;"|"&amp;"1"&amp;RIGHT("00000"&amp;1242,5))</f>
        <v/>
      </c>
      <c r="C1247">
        <f>IF($B1247="","",COUNTIFS(LdgSellerA,$A1247,LdgKeyA,"&lt;"&amp;$B1247)+COUNTIFS(LdgSellerB,$A1247,LdgKeyB,"&lt;"&amp;$B1247)+1)</f>
        <v/>
      </c>
      <c r="D1247">
        <f>IF($C1247="","",$A1247&amp;"|"&amp;RIGHT("000000"&amp;$C1247,6))</f>
        <v/>
      </c>
      <c r="F1247">
        <f>IF(Sync!$AH1247="","",IF(LEFT(UPPER(TRIM(Sync!$AH1247)),2)="SL",UPPER(TRIM(Sync!$AH1247)),""))</f>
        <v/>
      </c>
      <c r="G1247">
        <f>IF($F1247="","",IF(Sync!$AE1247="","",IF(ISNUMBER(Sync!$AE1247),IF(AND(Sync!$AE1247&gt;=10000101,Sync!$AE1247&lt;=99991231),INT(Sync!$AE1247/10000),""),IFERROR(VALUE(TRIM(LEFT(Sync!$AE1247,FIND("/",Sync!$AE1247)-1))),""))))</f>
        <v/>
      </c>
      <c r="H1247">
        <f>IF(OR($F1247="",$G1247=""),"",IF(ISNUMBER(Sync!$AE1247),INT(MOD(Sync!$AE1247,10000)/100),IFERROR(VALUE(TRIM(LEFT(MID(Sync!$AE1247,FIND("/",Sync!$AE1247)+1,20),FIND("/",MID(Sync!$AE1247,FIND("/",Sync!$AE1247)+1,20))-1))),"")))</f>
        <v/>
      </c>
      <c r="I1247">
        <f>IF(OR($F1247="",$G1247=""),"",IF(ISNUMBER(Sync!$AE1247),MOD(Sync!$AE1247,100),IFERROR(VALUE(TRIM(MID(MID(Sync!$AE1247,FIND("/",Sync!$AE1247)+1,20),FIND("/",MID(Sync!$AE1247,FIND("/",Sync!$AE1247)+1,20))+1,20))),"")))</f>
        <v/>
      </c>
      <c r="J1247">
        <f>IF($F1247="","",IF(OR($G1247="",$H1247="",$I1247="",$G1247&lt;1300,$G1247&gt;1500,$H1247&lt;1,$H1247&gt;12,$I1247&lt;1,$I1247&gt;31),"نامعتبر",RIGHT("0000"&amp;$G1247,4)&amp;"/"&amp;RIGHT("00"&amp;$H1247,2)&amp;"/"&amp;RIGHT("00"&amp;$I1247,2)))</f>
        <v/>
      </c>
      <c r="K1247">
        <f>IF(OR($F1247="",$J1247="",$J1247="نامعتبر"),"",LEFT($J1247,4)&amp;MID($J1247,6,2)&amp;RIGHT($J1247,2)&amp;$N1247&amp;"|"&amp;"2"&amp;RIGHT("00000"&amp;1242,5))</f>
        <v/>
      </c>
      <c r="L1247">
        <f>IF($K1247="","",COUNTIFS(LdgSellerA,$F1247,LdgKeyA,"&lt;"&amp;$K1247)+COUNTIFS(LdgSellerB,$F1247,LdgKeyB,"&lt;"&amp;$K1247)+1)</f>
        <v/>
      </c>
      <c r="M1247">
        <f>IF($L1247="","",$F1247&amp;"|"&amp;RIGHT("000000"&amp;$L1247,6))</f>
        <v/>
      </c>
      <c r="N1247">
        <f>IF($F1247="","",IF(Sync!$AF1247="","0000",IF(AND(ISNUMBER(Sync!$AF1247),Sync!$AF1247&gt;=0,Sync!$AF1247&lt;1),RIGHT("00"&amp;HOUR(Sync!$AF1247),2)&amp;RIGHT("00"&amp;MINUTE(Sync!$AF1247),2),IFERROR(RIGHT("00"&amp;VALUE(LEFT(Sync!$AF1247,FIND(":",Sync!$AF1247)-1)),2)&amp;RIGHT("00"&amp;VALUE(MID(Sync!$AF1247,FIND(":",Sync!$AF1247)+1,2)),2),"0000"))))</f>
        <v/>
      </c>
    </row>
    <row r="1248">
      <c r="A1248">
        <f>IF(OR(Calc!$E1252="",Calc!$E1252="نامعتبر",Calc!$G1252=""),"",Calc!$G1252)</f>
        <v/>
      </c>
      <c r="B1248">
        <f>IF($A1248="","",LEFT(Calc!$E1252,4)&amp;MID(Calc!$E1252,6,2)&amp;RIGHT(Calc!$E1252,2)&amp;Calc!$Q1252&amp;"|"&amp;"1"&amp;RIGHT("00000"&amp;1243,5))</f>
        <v/>
      </c>
      <c r="C1248">
        <f>IF($B1248="","",COUNTIFS(LdgSellerA,$A1248,LdgKeyA,"&lt;"&amp;$B1248)+COUNTIFS(LdgSellerB,$A1248,LdgKeyB,"&lt;"&amp;$B1248)+1)</f>
        <v/>
      </c>
      <c r="D1248">
        <f>IF($C1248="","",$A1248&amp;"|"&amp;RIGHT("000000"&amp;$C1248,6))</f>
        <v/>
      </c>
      <c r="F1248">
        <f>IF(Sync!$AH1248="","",IF(LEFT(UPPER(TRIM(Sync!$AH1248)),2)="SL",UPPER(TRIM(Sync!$AH1248)),""))</f>
        <v/>
      </c>
      <c r="G1248">
        <f>IF($F1248="","",IF(Sync!$AE1248="","",IF(ISNUMBER(Sync!$AE1248),IF(AND(Sync!$AE1248&gt;=10000101,Sync!$AE1248&lt;=99991231),INT(Sync!$AE1248/10000),""),IFERROR(VALUE(TRIM(LEFT(Sync!$AE1248,FIND("/",Sync!$AE1248)-1))),""))))</f>
        <v/>
      </c>
      <c r="H1248">
        <f>IF(OR($F1248="",$G1248=""),"",IF(ISNUMBER(Sync!$AE1248),INT(MOD(Sync!$AE1248,10000)/100),IFERROR(VALUE(TRIM(LEFT(MID(Sync!$AE1248,FIND("/",Sync!$AE1248)+1,20),FIND("/",MID(Sync!$AE1248,FIND("/",Sync!$AE1248)+1,20))-1))),"")))</f>
        <v/>
      </c>
      <c r="I1248">
        <f>IF(OR($F1248="",$G1248=""),"",IF(ISNUMBER(Sync!$AE1248),MOD(Sync!$AE1248,100),IFERROR(VALUE(TRIM(MID(MID(Sync!$AE1248,FIND("/",Sync!$AE1248)+1,20),FIND("/",MID(Sync!$AE1248,FIND("/",Sync!$AE1248)+1,20))+1,20))),"")))</f>
        <v/>
      </c>
      <c r="J1248">
        <f>IF($F1248="","",IF(OR($G1248="",$H1248="",$I1248="",$G1248&lt;1300,$G1248&gt;1500,$H1248&lt;1,$H1248&gt;12,$I1248&lt;1,$I1248&gt;31),"نامعتبر",RIGHT("0000"&amp;$G1248,4)&amp;"/"&amp;RIGHT("00"&amp;$H1248,2)&amp;"/"&amp;RIGHT("00"&amp;$I1248,2)))</f>
        <v/>
      </c>
      <c r="K1248">
        <f>IF(OR($F1248="",$J1248="",$J1248="نامعتبر"),"",LEFT($J1248,4)&amp;MID($J1248,6,2)&amp;RIGHT($J1248,2)&amp;$N1248&amp;"|"&amp;"2"&amp;RIGHT("00000"&amp;1243,5))</f>
        <v/>
      </c>
      <c r="L1248">
        <f>IF($K1248="","",COUNTIFS(LdgSellerA,$F1248,LdgKeyA,"&lt;"&amp;$K1248)+COUNTIFS(LdgSellerB,$F1248,LdgKeyB,"&lt;"&amp;$K1248)+1)</f>
        <v/>
      </c>
      <c r="M1248">
        <f>IF($L1248="","",$F1248&amp;"|"&amp;RIGHT("000000"&amp;$L1248,6))</f>
        <v/>
      </c>
      <c r="N1248">
        <f>IF($F1248="","",IF(Sync!$AF1248="","0000",IF(AND(ISNUMBER(Sync!$AF1248),Sync!$AF1248&gt;=0,Sync!$AF1248&lt;1),RIGHT("00"&amp;HOUR(Sync!$AF1248),2)&amp;RIGHT("00"&amp;MINUTE(Sync!$AF1248),2),IFERROR(RIGHT("00"&amp;VALUE(LEFT(Sync!$AF1248,FIND(":",Sync!$AF1248)-1)),2)&amp;RIGHT("00"&amp;VALUE(MID(Sync!$AF1248,FIND(":",Sync!$AF1248)+1,2)),2),"0000"))))</f>
        <v/>
      </c>
    </row>
    <row r="1249">
      <c r="A1249">
        <f>IF(OR(Calc!$E1253="",Calc!$E1253="نامعتبر",Calc!$G1253=""),"",Calc!$G1253)</f>
        <v/>
      </c>
      <c r="B1249">
        <f>IF($A1249="","",LEFT(Calc!$E1253,4)&amp;MID(Calc!$E1253,6,2)&amp;RIGHT(Calc!$E1253,2)&amp;Calc!$Q1253&amp;"|"&amp;"1"&amp;RIGHT("00000"&amp;1244,5))</f>
        <v/>
      </c>
      <c r="C1249">
        <f>IF($B1249="","",COUNTIFS(LdgSellerA,$A1249,LdgKeyA,"&lt;"&amp;$B1249)+COUNTIFS(LdgSellerB,$A1249,LdgKeyB,"&lt;"&amp;$B1249)+1)</f>
        <v/>
      </c>
      <c r="D1249">
        <f>IF($C1249="","",$A1249&amp;"|"&amp;RIGHT("000000"&amp;$C1249,6))</f>
        <v/>
      </c>
      <c r="F1249">
        <f>IF(Sync!$AH1249="","",IF(LEFT(UPPER(TRIM(Sync!$AH1249)),2)="SL",UPPER(TRIM(Sync!$AH1249)),""))</f>
        <v/>
      </c>
      <c r="G1249">
        <f>IF($F1249="","",IF(Sync!$AE1249="","",IF(ISNUMBER(Sync!$AE1249),IF(AND(Sync!$AE1249&gt;=10000101,Sync!$AE1249&lt;=99991231),INT(Sync!$AE1249/10000),""),IFERROR(VALUE(TRIM(LEFT(Sync!$AE1249,FIND("/",Sync!$AE1249)-1))),""))))</f>
        <v/>
      </c>
      <c r="H1249">
        <f>IF(OR($F1249="",$G1249=""),"",IF(ISNUMBER(Sync!$AE1249),INT(MOD(Sync!$AE1249,10000)/100),IFERROR(VALUE(TRIM(LEFT(MID(Sync!$AE1249,FIND("/",Sync!$AE1249)+1,20),FIND("/",MID(Sync!$AE1249,FIND("/",Sync!$AE1249)+1,20))-1))),"")))</f>
        <v/>
      </c>
      <c r="I1249">
        <f>IF(OR($F1249="",$G1249=""),"",IF(ISNUMBER(Sync!$AE1249),MOD(Sync!$AE1249,100),IFERROR(VALUE(TRIM(MID(MID(Sync!$AE1249,FIND("/",Sync!$AE1249)+1,20),FIND("/",MID(Sync!$AE1249,FIND("/",Sync!$AE1249)+1,20))+1,20))),"")))</f>
        <v/>
      </c>
      <c r="J1249">
        <f>IF($F1249="","",IF(OR($G1249="",$H1249="",$I1249="",$G1249&lt;1300,$G1249&gt;1500,$H1249&lt;1,$H1249&gt;12,$I1249&lt;1,$I1249&gt;31),"نامعتبر",RIGHT("0000"&amp;$G1249,4)&amp;"/"&amp;RIGHT("00"&amp;$H1249,2)&amp;"/"&amp;RIGHT("00"&amp;$I1249,2)))</f>
        <v/>
      </c>
      <c r="K1249">
        <f>IF(OR($F1249="",$J1249="",$J1249="نامعتبر"),"",LEFT($J1249,4)&amp;MID($J1249,6,2)&amp;RIGHT($J1249,2)&amp;$N1249&amp;"|"&amp;"2"&amp;RIGHT("00000"&amp;1244,5))</f>
        <v/>
      </c>
      <c r="L1249">
        <f>IF($K1249="","",COUNTIFS(LdgSellerA,$F1249,LdgKeyA,"&lt;"&amp;$K1249)+COUNTIFS(LdgSellerB,$F1249,LdgKeyB,"&lt;"&amp;$K1249)+1)</f>
        <v/>
      </c>
      <c r="M1249">
        <f>IF($L1249="","",$F1249&amp;"|"&amp;RIGHT("000000"&amp;$L1249,6))</f>
        <v/>
      </c>
      <c r="N1249">
        <f>IF($F1249="","",IF(Sync!$AF1249="","0000",IF(AND(ISNUMBER(Sync!$AF1249),Sync!$AF1249&gt;=0,Sync!$AF1249&lt;1),RIGHT("00"&amp;HOUR(Sync!$AF1249),2)&amp;RIGHT("00"&amp;MINUTE(Sync!$AF1249),2),IFERROR(RIGHT("00"&amp;VALUE(LEFT(Sync!$AF1249,FIND(":",Sync!$AF1249)-1)),2)&amp;RIGHT("00"&amp;VALUE(MID(Sync!$AF1249,FIND(":",Sync!$AF1249)+1,2)),2),"0000"))))</f>
        <v/>
      </c>
    </row>
    <row r="1250">
      <c r="A1250">
        <f>IF(OR(Calc!$E1254="",Calc!$E1254="نامعتبر",Calc!$G1254=""),"",Calc!$G1254)</f>
        <v/>
      </c>
      <c r="B1250">
        <f>IF($A1250="","",LEFT(Calc!$E1254,4)&amp;MID(Calc!$E1254,6,2)&amp;RIGHT(Calc!$E1254,2)&amp;Calc!$Q1254&amp;"|"&amp;"1"&amp;RIGHT("00000"&amp;1245,5))</f>
        <v/>
      </c>
      <c r="C1250">
        <f>IF($B1250="","",COUNTIFS(LdgSellerA,$A1250,LdgKeyA,"&lt;"&amp;$B1250)+COUNTIFS(LdgSellerB,$A1250,LdgKeyB,"&lt;"&amp;$B1250)+1)</f>
        <v/>
      </c>
      <c r="D1250">
        <f>IF($C1250="","",$A1250&amp;"|"&amp;RIGHT("000000"&amp;$C1250,6))</f>
        <v/>
      </c>
      <c r="F1250">
        <f>IF(Sync!$AH1250="","",IF(LEFT(UPPER(TRIM(Sync!$AH1250)),2)="SL",UPPER(TRIM(Sync!$AH1250)),""))</f>
        <v/>
      </c>
      <c r="G1250">
        <f>IF($F1250="","",IF(Sync!$AE1250="","",IF(ISNUMBER(Sync!$AE1250),IF(AND(Sync!$AE1250&gt;=10000101,Sync!$AE1250&lt;=99991231),INT(Sync!$AE1250/10000),""),IFERROR(VALUE(TRIM(LEFT(Sync!$AE1250,FIND("/",Sync!$AE1250)-1))),""))))</f>
        <v/>
      </c>
      <c r="H1250">
        <f>IF(OR($F1250="",$G1250=""),"",IF(ISNUMBER(Sync!$AE1250),INT(MOD(Sync!$AE1250,10000)/100),IFERROR(VALUE(TRIM(LEFT(MID(Sync!$AE1250,FIND("/",Sync!$AE1250)+1,20),FIND("/",MID(Sync!$AE1250,FIND("/",Sync!$AE1250)+1,20))-1))),"")))</f>
        <v/>
      </c>
      <c r="I1250">
        <f>IF(OR($F1250="",$G1250=""),"",IF(ISNUMBER(Sync!$AE1250),MOD(Sync!$AE1250,100),IFERROR(VALUE(TRIM(MID(MID(Sync!$AE1250,FIND("/",Sync!$AE1250)+1,20),FIND("/",MID(Sync!$AE1250,FIND("/",Sync!$AE1250)+1,20))+1,20))),"")))</f>
        <v/>
      </c>
      <c r="J1250">
        <f>IF($F1250="","",IF(OR($G1250="",$H1250="",$I1250="",$G1250&lt;1300,$G1250&gt;1500,$H1250&lt;1,$H1250&gt;12,$I1250&lt;1,$I1250&gt;31),"نامعتبر",RIGHT("0000"&amp;$G1250,4)&amp;"/"&amp;RIGHT("00"&amp;$H1250,2)&amp;"/"&amp;RIGHT("00"&amp;$I1250,2)))</f>
        <v/>
      </c>
      <c r="K1250">
        <f>IF(OR($F1250="",$J1250="",$J1250="نامعتبر"),"",LEFT($J1250,4)&amp;MID($J1250,6,2)&amp;RIGHT($J1250,2)&amp;$N1250&amp;"|"&amp;"2"&amp;RIGHT("00000"&amp;1245,5))</f>
        <v/>
      </c>
      <c r="L1250">
        <f>IF($K1250="","",COUNTIFS(LdgSellerA,$F1250,LdgKeyA,"&lt;"&amp;$K1250)+COUNTIFS(LdgSellerB,$F1250,LdgKeyB,"&lt;"&amp;$K1250)+1)</f>
        <v/>
      </c>
      <c r="M1250">
        <f>IF($L1250="","",$F1250&amp;"|"&amp;RIGHT("000000"&amp;$L1250,6))</f>
        <v/>
      </c>
      <c r="N1250">
        <f>IF($F1250="","",IF(Sync!$AF1250="","0000",IF(AND(ISNUMBER(Sync!$AF1250),Sync!$AF1250&gt;=0,Sync!$AF1250&lt;1),RIGHT("00"&amp;HOUR(Sync!$AF1250),2)&amp;RIGHT("00"&amp;MINUTE(Sync!$AF1250),2),IFERROR(RIGHT("00"&amp;VALUE(LEFT(Sync!$AF1250,FIND(":",Sync!$AF1250)-1)),2)&amp;RIGHT("00"&amp;VALUE(MID(Sync!$AF1250,FIND(":",Sync!$AF1250)+1,2)),2),"0000"))))</f>
        <v/>
      </c>
    </row>
    <row r="1251">
      <c r="A1251">
        <f>IF(OR(Calc!$E1255="",Calc!$E1255="نامعتبر",Calc!$G1255=""),"",Calc!$G1255)</f>
        <v/>
      </c>
      <c r="B1251">
        <f>IF($A1251="","",LEFT(Calc!$E1255,4)&amp;MID(Calc!$E1255,6,2)&amp;RIGHT(Calc!$E1255,2)&amp;Calc!$Q1255&amp;"|"&amp;"1"&amp;RIGHT("00000"&amp;1246,5))</f>
        <v/>
      </c>
      <c r="C1251">
        <f>IF($B1251="","",COUNTIFS(LdgSellerA,$A1251,LdgKeyA,"&lt;"&amp;$B1251)+COUNTIFS(LdgSellerB,$A1251,LdgKeyB,"&lt;"&amp;$B1251)+1)</f>
        <v/>
      </c>
      <c r="D1251">
        <f>IF($C1251="","",$A1251&amp;"|"&amp;RIGHT("000000"&amp;$C1251,6))</f>
        <v/>
      </c>
      <c r="F1251">
        <f>IF(Sync!$AH1251="","",IF(LEFT(UPPER(TRIM(Sync!$AH1251)),2)="SL",UPPER(TRIM(Sync!$AH1251)),""))</f>
        <v/>
      </c>
      <c r="G1251">
        <f>IF($F1251="","",IF(Sync!$AE1251="","",IF(ISNUMBER(Sync!$AE1251),IF(AND(Sync!$AE1251&gt;=10000101,Sync!$AE1251&lt;=99991231),INT(Sync!$AE1251/10000),""),IFERROR(VALUE(TRIM(LEFT(Sync!$AE1251,FIND("/",Sync!$AE1251)-1))),""))))</f>
        <v/>
      </c>
      <c r="H1251">
        <f>IF(OR($F1251="",$G1251=""),"",IF(ISNUMBER(Sync!$AE1251),INT(MOD(Sync!$AE1251,10000)/100),IFERROR(VALUE(TRIM(LEFT(MID(Sync!$AE1251,FIND("/",Sync!$AE1251)+1,20),FIND("/",MID(Sync!$AE1251,FIND("/",Sync!$AE1251)+1,20))-1))),"")))</f>
        <v/>
      </c>
      <c r="I1251">
        <f>IF(OR($F1251="",$G1251=""),"",IF(ISNUMBER(Sync!$AE1251),MOD(Sync!$AE1251,100),IFERROR(VALUE(TRIM(MID(MID(Sync!$AE1251,FIND("/",Sync!$AE1251)+1,20),FIND("/",MID(Sync!$AE1251,FIND("/",Sync!$AE1251)+1,20))+1,20))),"")))</f>
        <v/>
      </c>
      <c r="J1251">
        <f>IF($F1251="","",IF(OR($G1251="",$H1251="",$I1251="",$G1251&lt;1300,$G1251&gt;1500,$H1251&lt;1,$H1251&gt;12,$I1251&lt;1,$I1251&gt;31),"نامعتبر",RIGHT("0000"&amp;$G1251,4)&amp;"/"&amp;RIGHT("00"&amp;$H1251,2)&amp;"/"&amp;RIGHT("00"&amp;$I1251,2)))</f>
        <v/>
      </c>
      <c r="K1251">
        <f>IF(OR($F1251="",$J1251="",$J1251="نامعتبر"),"",LEFT($J1251,4)&amp;MID($J1251,6,2)&amp;RIGHT($J1251,2)&amp;$N1251&amp;"|"&amp;"2"&amp;RIGHT("00000"&amp;1246,5))</f>
        <v/>
      </c>
      <c r="L1251">
        <f>IF($K1251="","",COUNTIFS(LdgSellerA,$F1251,LdgKeyA,"&lt;"&amp;$K1251)+COUNTIFS(LdgSellerB,$F1251,LdgKeyB,"&lt;"&amp;$K1251)+1)</f>
        <v/>
      </c>
      <c r="M1251">
        <f>IF($L1251="","",$F1251&amp;"|"&amp;RIGHT("000000"&amp;$L1251,6))</f>
        <v/>
      </c>
      <c r="N1251">
        <f>IF($F1251="","",IF(Sync!$AF1251="","0000",IF(AND(ISNUMBER(Sync!$AF1251),Sync!$AF1251&gt;=0,Sync!$AF1251&lt;1),RIGHT("00"&amp;HOUR(Sync!$AF1251),2)&amp;RIGHT("00"&amp;MINUTE(Sync!$AF1251),2),IFERROR(RIGHT("00"&amp;VALUE(LEFT(Sync!$AF1251,FIND(":",Sync!$AF1251)-1)),2)&amp;RIGHT("00"&amp;VALUE(MID(Sync!$AF1251,FIND(":",Sync!$AF1251)+1,2)),2),"0000"))))</f>
        <v/>
      </c>
    </row>
    <row r="1252">
      <c r="A1252">
        <f>IF(OR(Calc!$E1256="",Calc!$E1256="نامعتبر",Calc!$G1256=""),"",Calc!$G1256)</f>
        <v/>
      </c>
      <c r="B1252">
        <f>IF($A1252="","",LEFT(Calc!$E1256,4)&amp;MID(Calc!$E1256,6,2)&amp;RIGHT(Calc!$E1256,2)&amp;Calc!$Q1256&amp;"|"&amp;"1"&amp;RIGHT("00000"&amp;1247,5))</f>
        <v/>
      </c>
      <c r="C1252">
        <f>IF($B1252="","",COUNTIFS(LdgSellerA,$A1252,LdgKeyA,"&lt;"&amp;$B1252)+COUNTIFS(LdgSellerB,$A1252,LdgKeyB,"&lt;"&amp;$B1252)+1)</f>
        <v/>
      </c>
      <c r="D1252">
        <f>IF($C1252="","",$A1252&amp;"|"&amp;RIGHT("000000"&amp;$C1252,6))</f>
        <v/>
      </c>
      <c r="F1252">
        <f>IF(Sync!$AH1252="","",IF(LEFT(UPPER(TRIM(Sync!$AH1252)),2)="SL",UPPER(TRIM(Sync!$AH1252)),""))</f>
        <v/>
      </c>
      <c r="G1252">
        <f>IF($F1252="","",IF(Sync!$AE1252="","",IF(ISNUMBER(Sync!$AE1252),IF(AND(Sync!$AE1252&gt;=10000101,Sync!$AE1252&lt;=99991231),INT(Sync!$AE1252/10000),""),IFERROR(VALUE(TRIM(LEFT(Sync!$AE1252,FIND("/",Sync!$AE1252)-1))),""))))</f>
        <v/>
      </c>
      <c r="H1252">
        <f>IF(OR($F1252="",$G1252=""),"",IF(ISNUMBER(Sync!$AE1252),INT(MOD(Sync!$AE1252,10000)/100),IFERROR(VALUE(TRIM(LEFT(MID(Sync!$AE1252,FIND("/",Sync!$AE1252)+1,20),FIND("/",MID(Sync!$AE1252,FIND("/",Sync!$AE1252)+1,20))-1))),"")))</f>
        <v/>
      </c>
      <c r="I1252">
        <f>IF(OR($F1252="",$G1252=""),"",IF(ISNUMBER(Sync!$AE1252),MOD(Sync!$AE1252,100),IFERROR(VALUE(TRIM(MID(MID(Sync!$AE1252,FIND("/",Sync!$AE1252)+1,20),FIND("/",MID(Sync!$AE1252,FIND("/",Sync!$AE1252)+1,20))+1,20))),"")))</f>
        <v/>
      </c>
      <c r="J1252">
        <f>IF($F1252="","",IF(OR($G1252="",$H1252="",$I1252="",$G1252&lt;1300,$G1252&gt;1500,$H1252&lt;1,$H1252&gt;12,$I1252&lt;1,$I1252&gt;31),"نامعتبر",RIGHT("0000"&amp;$G1252,4)&amp;"/"&amp;RIGHT("00"&amp;$H1252,2)&amp;"/"&amp;RIGHT("00"&amp;$I1252,2)))</f>
        <v/>
      </c>
      <c r="K1252">
        <f>IF(OR($F1252="",$J1252="",$J1252="نامعتبر"),"",LEFT($J1252,4)&amp;MID($J1252,6,2)&amp;RIGHT($J1252,2)&amp;$N1252&amp;"|"&amp;"2"&amp;RIGHT("00000"&amp;1247,5))</f>
        <v/>
      </c>
      <c r="L1252">
        <f>IF($K1252="","",COUNTIFS(LdgSellerA,$F1252,LdgKeyA,"&lt;"&amp;$K1252)+COUNTIFS(LdgSellerB,$F1252,LdgKeyB,"&lt;"&amp;$K1252)+1)</f>
        <v/>
      </c>
      <c r="M1252">
        <f>IF($L1252="","",$F1252&amp;"|"&amp;RIGHT("000000"&amp;$L1252,6))</f>
        <v/>
      </c>
      <c r="N1252">
        <f>IF($F1252="","",IF(Sync!$AF1252="","0000",IF(AND(ISNUMBER(Sync!$AF1252),Sync!$AF1252&gt;=0,Sync!$AF1252&lt;1),RIGHT("00"&amp;HOUR(Sync!$AF1252),2)&amp;RIGHT("00"&amp;MINUTE(Sync!$AF1252),2),IFERROR(RIGHT("00"&amp;VALUE(LEFT(Sync!$AF1252,FIND(":",Sync!$AF1252)-1)),2)&amp;RIGHT("00"&amp;VALUE(MID(Sync!$AF1252,FIND(":",Sync!$AF1252)+1,2)),2),"0000"))))</f>
        <v/>
      </c>
    </row>
    <row r="1253">
      <c r="A1253">
        <f>IF(OR(Calc!$E1257="",Calc!$E1257="نامعتبر",Calc!$G1257=""),"",Calc!$G1257)</f>
        <v/>
      </c>
      <c r="B1253">
        <f>IF($A1253="","",LEFT(Calc!$E1257,4)&amp;MID(Calc!$E1257,6,2)&amp;RIGHT(Calc!$E1257,2)&amp;Calc!$Q1257&amp;"|"&amp;"1"&amp;RIGHT("00000"&amp;1248,5))</f>
        <v/>
      </c>
      <c r="C1253">
        <f>IF($B1253="","",COUNTIFS(LdgSellerA,$A1253,LdgKeyA,"&lt;"&amp;$B1253)+COUNTIFS(LdgSellerB,$A1253,LdgKeyB,"&lt;"&amp;$B1253)+1)</f>
        <v/>
      </c>
      <c r="D1253">
        <f>IF($C1253="","",$A1253&amp;"|"&amp;RIGHT("000000"&amp;$C1253,6))</f>
        <v/>
      </c>
      <c r="F1253">
        <f>IF(Sync!$AH1253="","",IF(LEFT(UPPER(TRIM(Sync!$AH1253)),2)="SL",UPPER(TRIM(Sync!$AH1253)),""))</f>
        <v/>
      </c>
      <c r="G1253">
        <f>IF($F1253="","",IF(Sync!$AE1253="","",IF(ISNUMBER(Sync!$AE1253),IF(AND(Sync!$AE1253&gt;=10000101,Sync!$AE1253&lt;=99991231),INT(Sync!$AE1253/10000),""),IFERROR(VALUE(TRIM(LEFT(Sync!$AE1253,FIND("/",Sync!$AE1253)-1))),""))))</f>
        <v/>
      </c>
      <c r="H1253">
        <f>IF(OR($F1253="",$G1253=""),"",IF(ISNUMBER(Sync!$AE1253),INT(MOD(Sync!$AE1253,10000)/100),IFERROR(VALUE(TRIM(LEFT(MID(Sync!$AE1253,FIND("/",Sync!$AE1253)+1,20),FIND("/",MID(Sync!$AE1253,FIND("/",Sync!$AE1253)+1,20))-1))),"")))</f>
        <v/>
      </c>
      <c r="I1253">
        <f>IF(OR($F1253="",$G1253=""),"",IF(ISNUMBER(Sync!$AE1253),MOD(Sync!$AE1253,100),IFERROR(VALUE(TRIM(MID(MID(Sync!$AE1253,FIND("/",Sync!$AE1253)+1,20),FIND("/",MID(Sync!$AE1253,FIND("/",Sync!$AE1253)+1,20))+1,20))),"")))</f>
        <v/>
      </c>
      <c r="J1253">
        <f>IF($F1253="","",IF(OR($G1253="",$H1253="",$I1253="",$G1253&lt;1300,$G1253&gt;1500,$H1253&lt;1,$H1253&gt;12,$I1253&lt;1,$I1253&gt;31),"نامعتبر",RIGHT("0000"&amp;$G1253,4)&amp;"/"&amp;RIGHT("00"&amp;$H1253,2)&amp;"/"&amp;RIGHT("00"&amp;$I1253,2)))</f>
        <v/>
      </c>
      <c r="K1253">
        <f>IF(OR($F1253="",$J1253="",$J1253="نامعتبر"),"",LEFT($J1253,4)&amp;MID($J1253,6,2)&amp;RIGHT($J1253,2)&amp;$N1253&amp;"|"&amp;"2"&amp;RIGHT("00000"&amp;1248,5))</f>
        <v/>
      </c>
      <c r="L1253">
        <f>IF($K1253="","",COUNTIFS(LdgSellerA,$F1253,LdgKeyA,"&lt;"&amp;$K1253)+COUNTIFS(LdgSellerB,$F1253,LdgKeyB,"&lt;"&amp;$K1253)+1)</f>
        <v/>
      </c>
      <c r="M1253">
        <f>IF($L1253="","",$F1253&amp;"|"&amp;RIGHT("000000"&amp;$L1253,6))</f>
        <v/>
      </c>
      <c r="N1253">
        <f>IF($F1253="","",IF(Sync!$AF1253="","0000",IF(AND(ISNUMBER(Sync!$AF1253),Sync!$AF1253&gt;=0,Sync!$AF1253&lt;1),RIGHT("00"&amp;HOUR(Sync!$AF1253),2)&amp;RIGHT("00"&amp;MINUTE(Sync!$AF1253),2),IFERROR(RIGHT("00"&amp;VALUE(LEFT(Sync!$AF1253,FIND(":",Sync!$AF1253)-1)),2)&amp;RIGHT("00"&amp;VALUE(MID(Sync!$AF1253,FIND(":",Sync!$AF1253)+1,2)),2),"0000"))))</f>
        <v/>
      </c>
    </row>
    <row r="1254">
      <c r="A1254">
        <f>IF(OR(Calc!$E1258="",Calc!$E1258="نامعتبر",Calc!$G1258=""),"",Calc!$G1258)</f>
        <v/>
      </c>
      <c r="B1254">
        <f>IF($A1254="","",LEFT(Calc!$E1258,4)&amp;MID(Calc!$E1258,6,2)&amp;RIGHT(Calc!$E1258,2)&amp;Calc!$Q1258&amp;"|"&amp;"1"&amp;RIGHT("00000"&amp;1249,5))</f>
        <v/>
      </c>
      <c r="C1254">
        <f>IF($B1254="","",COUNTIFS(LdgSellerA,$A1254,LdgKeyA,"&lt;"&amp;$B1254)+COUNTIFS(LdgSellerB,$A1254,LdgKeyB,"&lt;"&amp;$B1254)+1)</f>
        <v/>
      </c>
      <c r="D1254">
        <f>IF($C1254="","",$A1254&amp;"|"&amp;RIGHT("000000"&amp;$C1254,6))</f>
        <v/>
      </c>
      <c r="F1254">
        <f>IF(Sync!$AH1254="","",IF(LEFT(UPPER(TRIM(Sync!$AH1254)),2)="SL",UPPER(TRIM(Sync!$AH1254)),""))</f>
        <v/>
      </c>
      <c r="G1254">
        <f>IF($F1254="","",IF(Sync!$AE1254="","",IF(ISNUMBER(Sync!$AE1254),IF(AND(Sync!$AE1254&gt;=10000101,Sync!$AE1254&lt;=99991231),INT(Sync!$AE1254/10000),""),IFERROR(VALUE(TRIM(LEFT(Sync!$AE1254,FIND("/",Sync!$AE1254)-1))),""))))</f>
        <v/>
      </c>
      <c r="H1254">
        <f>IF(OR($F1254="",$G1254=""),"",IF(ISNUMBER(Sync!$AE1254),INT(MOD(Sync!$AE1254,10000)/100),IFERROR(VALUE(TRIM(LEFT(MID(Sync!$AE1254,FIND("/",Sync!$AE1254)+1,20),FIND("/",MID(Sync!$AE1254,FIND("/",Sync!$AE1254)+1,20))-1))),"")))</f>
        <v/>
      </c>
      <c r="I1254">
        <f>IF(OR($F1254="",$G1254=""),"",IF(ISNUMBER(Sync!$AE1254),MOD(Sync!$AE1254,100),IFERROR(VALUE(TRIM(MID(MID(Sync!$AE1254,FIND("/",Sync!$AE1254)+1,20),FIND("/",MID(Sync!$AE1254,FIND("/",Sync!$AE1254)+1,20))+1,20))),"")))</f>
        <v/>
      </c>
      <c r="J1254">
        <f>IF($F1254="","",IF(OR($G1254="",$H1254="",$I1254="",$G1254&lt;1300,$G1254&gt;1500,$H1254&lt;1,$H1254&gt;12,$I1254&lt;1,$I1254&gt;31),"نامعتبر",RIGHT("0000"&amp;$G1254,4)&amp;"/"&amp;RIGHT("00"&amp;$H1254,2)&amp;"/"&amp;RIGHT("00"&amp;$I1254,2)))</f>
        <v/>
      </c>
      <c r="K1254">
        <f>IF(OR($F1254="",$J1254="",$J1254="نامعتبر"),"",LEFT($J1254,4)&amp;MID($J1254,6,2)&amp;RIGHT($J1254,2)&amp;$N1254&amp;"|"&amp;"2"&amp;RIGHT("00000"&amp;1249,5))</f>
        <v/>
      </c>
      <c r="L1254">
        <f>IF($K1254="","",COUNTIFS(LdgSellerA,$F1254,LdgKeyA,"&lt;"&amp;$K1254)+COUNTIFS(LdgSellerB,$F1254,LdgKeyB,"&lt;"&amp;$K1254)+1)</f>
        <v/>
      </c>
      <c r="M1254">
        <f>IF($L1254="","",$F1254&amp;"|"&amp;RIGHT("000000"&amp;$L1254,6))</f>
        <v/>
      </c>
      <c r="N1254">
        <f>IF($F1254="","",IF(Sync!$AF1254="","0000",IF(AND(ISNUMBER(Sync!$AF1254),Sync!$AF1254&gt;=0,Sync!$AF1254&lt;1),RIGHT("00"&amp;HOUR(Sync!$AF1254),2)&amp;RIGHT("00"&amp;MINUTE(Sync!$AF1254),2),IFERROR(RIGHT("00"&amp;VALUE(LEFT(Sync!$AF1254,FIND(":",Sync!$AF1254)-1)),2)&amp;RIGHT("00"&amp;VALUE(MID(Sync!$AF1254,FIND(":",Sync!$AF1254)+1,2)),2),"0000"))))</f>
        <v/>
      </c>
    </row>
    <row r="1255">
      <c r="A1255">
        <f>IF(OR(Calc!$E1259="",Calc!$E1259="نامعتبر",Calc!$G1259=""),"",Calc!$G1259)</f>
        <v/>
      </c>
      <c r="B1255">
        <f>IF($A1255="","",LEFT(Calc!$E1259,4)&amp;MID(Calc!$E1259,6,2)&amp;RIGHT(Calc!$E1259,2)&amp;Calc!$Q1259&amp;"|"&amp;"1"&amp;RIGHT("00000"&amp;1250,5))</f>
        <v/>
      </c>
      <c r="C1255">
        <f>IF($B1255="","",COUNTIFS(LdgSellerA,$A1255,LdgKeyA,"&lt;"&amp;$B1255)+COUNTIFS(LdgSellerB,$A1255,LdgKeyB,"&lt;"&amp;$B1255)+1)</f>
        <v/>
      </c>
      <c r="D1255">
        <f>IF($C1255="","",$A1255&amp;"|"&amp;RIGHT("000000"&amp;$C1255,6))</f>
        <v/>
      </c>
      <c r="F1255">
        <f>IF(Sync!$AH1255="","",IF(LEFT(UPPER(TRIM(Sync!$AH1255)),2)="SL",UPPER(TRIM(Sync!$AH1255)),""))</f>
        <v/>
      </c>
      <c r="G1255">
        <f>IF($F1255="","",IF(Sync!$AE1255="","",IF(ISNUMBER(Sync!$AE1255),IF(AND(Sync!$AE1255&gt;=10000101,Sync!$AE1255&lt;=99991231),INT(Sync!$AE1255/10000),""),IFERROR(VALUE(TRIM(LEFT(Sync!$AE1255,FIND("/",Sync!$AE1255)-1))),""))))</f>
        <v/>
      </c>
      <c r="H1255">
        <f>IF(OR($F1255="",$G1255=""),"",IF(ISNUMBER(Sync!$AE1255),INT(MOD(Sync!$AE1255,10000)/100),IFERROR(VALUE(TRIM(LEFT(MID(Sync!$AE1255,FIND("/",Sync!$AE1255)+1,20),FIND("/",MID(Sync!$AE1255,FIND("/",Sync!$AE1255)+1,20))-1))),"")))</f>
        <v/>
      </c>
      <c r="I1255">
        <f>IF(OR($F1255="",$G1255=""),"",IF(ISNUMBER(Sync!$AE1255),MOD(Sync!$AE1255,100),IFERROR(VALUE(TRIM(MID(MID(Sync!$AE1255,FIND("/",Sync!$AE1255)+1,20),FIND("/",MID(Sync!$AE1255,FIND("/",Sync!$AE1255)+1,20))+1,20))),"")))</f>
        <v/>
      </c>
      <c r="J1255">
        <f>IF($F1255="","",IF(OR($G1255="",$H1255="",$I1255="",$G1255&lt;1300,$G1255&gt;1500,$H1255&lt;1,$H1255&gt;12,$I1255&lt;1,$I1255&gt;31),"نامعتبر",RIGHT("0000"&amp;$G1255,4)&amp;"/"&amp;RIGHT("00"&amp;$H1255,2)&amp;"/"&amp;RIGHT("00"&amp;$I1255,2)))</f>
        <v/>
      </c>
      <c r="K1255">
        <f>IF(OR($F1255="",$J1255="",$J1255="نامعتبر"),"",LEFT($J1255,4)&amp;MID($J1255,6,2)&amp;RIGHT($J1255,2)&amp;$N1255&amp;"|"&amp;"2"&amp;RIGHT("00000"&amp;1250,5))</f>
        <v/>
      </c>
      <c r="L1255">
        <f>IF($K1255="","",COUNTIFS(LdgSellerA,$F1255,LdgKeyA,"&lt;"&amp;$K1255)+COUNTIFS(LdgSellerB,$F1255,LdgKeyB,"&lt;"&amp;$K1255)+1)</f>
        <v/>
      </c>
      <c r="M1255">
        <f>IF($L1255="","",$F1255&amp;"|"&amp;RIGHT("000000"&amp;$L1255,6))</f>
        <v/>
      </c>
      <c r="N1255">
        <f>IF($F1255="","",IF(Sync!$AF1255="","0000",IF(AND(ISNUMBER(Sync!$AF1255),Sync!$AF1255&gt;=0,Sync!$AF1255&lt;1),RIGHT("00"&amp;HOUR(Sync!$AF1255),2)&amp;RIGHT("00"&amp;MINUTE(Sync!$AF1255),2),IFERROR(RIGHT("00"&amp;VALUE(LEFT(Sync!$AF1255,FIND(":",Sync!$AF1255)-1)),2)&amp;RIGHT("00"&amp;VALUE(MID(Sync!$AF1255,FIND(":",Sync!$AF1255)+1,2)),2),"0000"))))</f>
        <v/>
      </c>
    </row>
    <row r="1256">
      <c r="A1256">
        <f>IF(OR(Calc!$E1260="",Calc!$E1260="نامعتبر",Calc!$G1260=""),"",Calc!$G1260)</f>
        <v/>
      </c>
      <c r="B1256">
        <f>IF($A1256="","",LEFT(Calc!$E1260,4)&amp;MID(Calc!$E1260,6,2)&amp;RIGHT(Calc!$E1260,2)&amp;Calc!$Q1260&amp;"|"&amp;"1"&amp;RIGHT("00000"&amp;1251,5))</f>
        <v/>
      </c>
      <c r="C1256">
        <f>IF($B1256="","",COUNTIFS(LdgSellerA,$A1256,LdgKeyA,"&lt;"&amp;$B1256)+COUNTIFS(LdgSellerB,$A1256,LdgKeyB,"&lt;"&amp;$B1256)+1)</f>
        <v/>
      </c>
      <c r="D1256">
        <f>IF($C1256="","",$A1256&amp;"|"&amp;RIGHT("000000"&amp;$C1256,6))</f>
        <v/>
      </c>
      <c r="F1256">
        <f>IF(Sync!$AH1256="","",IF(LEFT(UPPER(TRIM(Sync!$AH1256)),2)="SL",UPPER(TRIM(Sync!$AH1256)),""))</f>
        <v/>
      </c>
      <c r="G1256">
        <f>IF($F1256="","",IF(Sync!$AE1256="","",IF(ISNUMBER(Sync!$AE1256),IF(AND(Sync!$AE1256&gt;=10000101,Sync!$AE1256&lt;=99991231),INT(Sync!$AE1256/10000),""),IFERROR(VALUE(TRIM(LEFT(Sync!$AE1256,FIND("/",Sync!$AE1256)-1))),""))))</f>
        <v/>
      </c>
      <c r="H1256">
        <f>IF(OR($F1256="",$G1256=""),"",IF(ISNUMBER(Sync!$AE1256),INT(MOD(Sync!$AE1256,10000)/100),IFERROR(VALUE(TRIM(LEFT(MID(Sync!$AE1256,FIND("/",Sync!$AE1256)+1,20),FIND("/",MID(Sync!$AE1256,FIND("/",Sync!$AE1256)+1,20))-1))),"")))</f>
        <v/>
      </c>
      <c r="I1256">
        <f>IF(OR($F1256="",$G1256=""),"",IF(ISNUMBER(Sync!$AE1256),MOD(Sync!$AE1256,100),IFERROR(VALUE(TRIM(MID(MID(Sync!$AE1256,FIND("/",Sync!$AE1256)+1,20),FIND("/",MID(Sync!$AE1256,FIND("/",Sync!$AE1256)+1,20))+1,20))),"")))</f>
        <v/>
      </c>
      <c r="J1256">
        <f>IF($F1256="","",IF(OR($G1256="",$H1256="",$I1256="",$G1256&lt;1300,$G1256&gt;1500,$H1256&lt;1,$H1256&gt;12,$I1256&lt;1,$I1256&gt;31),"نامعتبر",RIGHT("0000"&amp;$G1256,4)&amp;"/"&amp;RIGHT("00"&amp;$H1256,2)&amp;"/"&amp;RIGHT("00"&amp;$I1256,2)))</f>
        <v/>
      </c>
      <c r="K1256">
        <f>IF(OR($F1256="",$J1256="",$J1256="نامعتبر"),"",LEFT($J1256,4)&amp;MID($J1256,6,2)&amp;RIGHT($J1256,2)&amp;$N1256&amp;"|"&amp;"2"&amp;RIGHT("00000"&amp;1251,5))</f>
        <v/>
      </c>
      <c r="L1256">
        <f>IF($K1256="","",COUNTIFS(LdgSellerA,$F1256,LdgKeyA,"&lt;"&amp;$K1256)+COUNTIFS(LdgSellerB,$F1256,LdgKeyB,"&lt;"&amp;$K1256)+1)</f>
        <v/>
      </c>
      <c r="M1256">
        <f>IF($L1256="","",$F1256&amp;"|"&amp;RIGHT("000000"&amp;$L1256,6))</f>
        <v/>
      </c>
      <c r="N1256">
        <f>IF($F1256="","",IF(Sync!$AF1256="","0000",IF(AND(ISNUMBER(Sync!$AF1256),Sync!$AF1256&gt;=0,Sync!$AF1256&lt;1),RIGHT("00"&amp;HOUR(Sync!$AF1256),2)&amp;RIGHT("00"&amp;MINUTE(Sync!$AF1256),2),IFERROR(RIGHT("00"&amp;VALUE(LEFT(Sync!$AF1256,FIND(":",Sync!$AF1256)-1)),2)&amp;RIGHT("00"&amp;VALUE(MID(Sync!$AF1256,FIND(":",Sync!$AF1256)+1,2)),2),"0000"))))</f>
        <v/>
      </c>
    </row>
    <row r="1257">
      <c r="A1257">
        <f>IF(OR(Calc!$E1261="",Calc!$E1261="نامعتبر",Calc!$G1261=""),"",Calc!$G1261)</f>
        <v/>
      </c>
      <c r="B1257">
        <f>IF($A1257="","",LEFT(Calc!$E1261,4)&amp;MID(Calc!$E1261,6,2)&amp;RIGHT(Calc!$E1261,2)&amp;Calc!$Q1261&amp;"|"&amp;"1"&amp;RIGHT("00000"&amp;1252,5))</f>
        <v/>
      </c>
      <c r="C1257">
        <f>IF($B1257="","",COUNTIFS(LdgSellerA,$A1257,LdgKeyA,"&lt;"&amp;$B1257)+COUNTIFS(LdgSellerB,$A1257,LdgKeyB,"&lt;"&amp;$B1257)+1)</f>
        <v/>
      </c>
      <c r="D1257">
        <f>IF($C1257="","",$A1257&amp;"|"&amp;RIGHT("000000"&amp;$C1257,6))</f>
        <v/>
      </c>
      <c r="F1257">
        <f>IF(Sync!$AH1257="","",IF(LEFT(UPPER(TRIM(Sync!$AH1257)),2)="SL",UPPER(TRIM(Sync!$AH1257)),""))</f>
        <v/>
      </c>
      <c r="G1257">
        <f>IF($F1257="","",IF(Sync!$AE1257="","",IF(ISNUMBER(Sync!$AE1257),IF(AND(Sync!$AE1257&gt;=10000101,Sync!$AE1257&lt;=99991231),INT(Sync!$AE1257/10000),""),IFERROR(VALUE(TRIM(LEFT(Sync!$AE1257,FIND("/",Sync!$AE1257)-1))),""))))</f>
        <v/>
      </c>
      <c r="H1257">
        <f>IF(OR($F1257="",$G1257=""),"",IF(ISNUMBER(Sync!$AE1257),INT(MOD(Sync!$AE1257,10000)/100),IFERROR(VALUE(TRIM(LEFT(MID(Sync!$AE1257,FIND("/",Sync!$AE1257)+1,20),FIND("/",MID(Sync!$AE1257,FIND("/",Sync!$AE1257)+1,20))-1))),"")))</f>
        <v/>
      </c>
      <c r="I1257">
        <f>IF(OR($F1257="",$G1257=""),"",IF(ISNUMBER(Sync!$AE1257),MOD(Sync!$AE1257,100),IFERROR(VALUE(TRIM(MID(MID(Sync!$AE1257,FIND("/",Sync!$AE1257)+1,20),FIND("/",MID(Sync!$AE1257,FIND("/",Sync!$AE1257)+1,20))+1,20))),"")))</f>
        <v/>
      </c>
      <c r="J1257">
        <f>IF($F1257="","",IF(OR($G1257="",$H1257="",$I1257="",$G1257&lt;1300,$G1257&gt;1500,$H1257&lt;1,$H1257&gt;12,$I1257&lt;1,$I1257&gt;31),"نامعتبر",RIGHT("0000"&amp;$G1257,4)&amp;"/"&amp;RIGHT("00"&amp;$H1257,2)&amp;"/"&amp;RIGHT("00"&amp;$I1257,2)))</f>
        <v/>
      </c>
      <c r="K1257">
        <f>IF(OR($F1257="",$J1257="",$J1257="نامعتبر"),"",LEFT($J1257,4)&amp;MID($J1257,6,2)&amp;RIGHT($J1257,2)&amp;$N1257&amp;"|"&amp;"2"&amp;RIGHT("00000"&amp;1252,5))</f>
        <v/>
      </c>
      <c r="L1257">
        <f>IF($K1257="","",COUNTIFS(LdgSellerA,$F1257,LdgKeyA,"&lt;"&amp;$K1257)+COUNTIFS(LdgSellerB,$F1257,LdgKeyB,"&lt;"&amp;$K1257)+1)</f>
        <v/>
      </c>
      <c r="M1257">
        <f>IF($L1257="","",$F1257&amp;"|"&amp;RIGHT("000000"&amp;$L1257,6))</f>
        <v/>
      </c>
      <c r="N1257">
        <f>IF($F1257="","",IF(Sync!$AF1257="","0000",IF(AND(ISNUMBER(Sync!$AF1257),Sync!$AF1257&gt;=0,Sync!$AF1257&lt;1),RIGHT("00"&amp;HOUR(Sync!$AF1257),2)&amp;RIGHT("00"&amp;MINUTE(Sync!$AF1257),2),IFERROR(RIGHT("00"&amp;VALUE(LEFT(Sync!$AF1257,FIND(":",Sync!$AF1257)-1)),2)&amp;RIGHT("00"&amp;VALUE(MID(Sync!$AF1257,FIND(":",Sync!$AF1257)+1,2)),2),"0000"))))</f>
        <v/>
      </c>
    </row>
    <row r="1258">
      <c r="A1258">
        <f>IF(OR(Calc!$E1262="",Calc!$E1262="نامعتبر",Calc!$G1262=""),"",Calc!$G1262)</f>
        <v/>
      </c>
      <c r="B1258">
        <f>IF($A1258="","",LEFT(Calc!$E1262,4)&amp;MID(Calc!$E1262,6,2)&amp;RIGHT(Calc!$E1262,2)&amp;Calc!$Q1262&amp;"|"&amp;"1"&amp;RIGHT("00000"&amp;1253,5))</f>
        <v/>
      </c>
      <c r="C1258">
        <f>IF($B1258="","",COUNTIFS(LdgSellerA,$A1258,LdgKeyA,"&lt;"&amp;$B1258)+COUNTIFS(LdgSellerB,$A1258,LdgKeyB,"&lt;"&amp;$B1258)+1)</f>
        <v/>
      </c>
      <c r="D1258">
        <f>IF($C1258="","",$A1258&amp;"|"&amp;RIGHT("000000"&amp;$C1258,6))</f>
        <v/>
      </c>
      <c r="F1258">
        <f>IF(Sync!$AH1258="","",IF(LEFT(UPPER(TRIM(Sync!$AH1258)),2)="SL",UPPER(TRIM(Sync!$AH1258)),""))</f>
        <v/>
      </c>
      <c r="G1258">
        <f>IF($F1258="","",IF(Sync!$AE1258="","",IF(ISNUMBER(Sync!$AE1258),IF(AND(Sync!$AE1258&gt;=10000101,Sync!$AE1258&lt;=99991231),INT(Sync!$AE1258/10000),""),IFERROR(VALUE(TRIM(LEFT(Sync!$AE1258,FIND("/",Sync!$AE1258)-1))),""))))</f>
        <v/>
      </c>
      <c r="H1258">
        <f>IF(OR($F1258="",$G1258=""),"",IF(ISNUMBER(Sync!$AE1258),INT(MOD(Sync!$AE1258,10000)/100),IFERROR(VALUE(TRIM(LEFT(MID(Sync!$AE1258,FIND("/",Sync!$AE1258)+1,20),FIND("/",MID(Sync!$AE1258,FIND("/",Sync!$AE1258)+1,20))-1))),"")))</f>
        <v/>
      </c>
      <c r="I1258">
        <f>IF(OR($F1258="",$G1258=""),"",IF(ISNUMBER(Sync!$AE1258),MOD(Sync!$AE1258,100),IFERROR(VALUE(TRIM(MID(MID(Sync!$AE1258,FIND("/",Sync!$AE1258)+1,20),FIND("/",MID(Sync!$AE1258,FIND("/",Sync!$AE1258)+1,20))+1,20))),"")))</f>
        <v/>
      </c>
      <c r="J1258">
        <f>IF($F1258="","",IF(OR($G1258="",$H1258="",$I1258="",$G1258&lt;1300,$G1258&gt;1500,$H1258&lt;1,$H1258&gt;12,$I1258&lt;1,$I1258&gt;31),"نامعتبر",RIGHT("0000"&amp;$G1258,4)&amp;"/"&amp;RIGHT("00"&amp;$H1258,2)&amp;"/"&amp;RIGHT("00"&amp;$I1258,2)))</f>
        <v/>
      </c>
      <c r="K1258">
        <f>IF(OR($F1258="",$J1258="",$J1258="نامعتبر"),"",LEFT($J1258,4)&amp;MID($J1258,6,2)&amp;RIGHT($J1258,2)&amp;$N1258&amp;"|"&amp;"2"&amp;RIGHT("00000"&amp;1253,5))</f>
        <v/>
      </c>
      <c r="L1258">
        <f>IF($K1258="","",COUNTIFS(LdgSellerA,$F1258,LdgKeyA,"&lt;"&amp;$K1258)+COUNTIFS(LdgSellerB,$F1258,LdgKeyB,"&lt;"&amp;$K1258)+1)</f>
        <v/>
      </c>
      <c r="M1258">
        <f>IF($L1258="","",$F1258&amp;"|"&amp;RIGHT("000000"&amp;$L1258,6))</f>
        <v/>
      </c>
      <c r="N1258">
        <f>IF($F1258="","",IF(Sync!$AF1258="","0000",IF(AND(ISNUMBER(Sync!$AF1258),Sync!$AF1258&gt;=0,Sync!$AF1258&lt;1),RIGHT("00"&amp;HOUR(Sync!$AF1258),2)&amp;RIGHT("00"&amp;MINUTE(Sync!$AF1258),2),IFERROR(RIGHT("00"&amp;VALUE(LEFT(Sync!$AF1258,FIND(":",Sync!$AF1258)-1)),2)&amp;RIGHT("00"&amp;VALUE(MID(Sync!$AF1258,FIND(":",Sync!$AF1258)+1,2)),2),"0000"))))</f>
        <v/>
      </c>
    </row>
    <row r="1259">
      <c r="A1259">
        <f>IF(OR(Calc!$E1263="",Calc!$E1263="نامعتبر",Calc!$G1263=""),"",Calc!$G1263)</f>
        <v/>
      </c>
      <c r="B1259">
        <f>IF($A1259="","",LEFT(Calc!$E1263,4)&amp;MID(Calc!$E1263,6,2)&amp;RIGHT(Calc!$E1263,2)&amp;Calc!$Q1263&amp;"|"&amp;"1"&amp;RIGHT("00000"&amp;1254,5))</f>
        <v/>
      </c>
      <c r="C1259">
        <f>IF($B1259="","",COUNTIFS(LdgSellerA,$A1259,LdgKeyA,"&lt;"&amp;$B1259)+COUNTIFS(LdgSellerB,$A1259,LdgKeyB,"&lt;"&amp;$B1259)+1)</f>
        <v/>
      </c>
      <c r="D1259">
        <f>IF($C1259="","",$A1259&amp;"|"&amp;RIGHT("000000"&amp;$C1259,6))</f>
        <v/>
      </c>
      <c r="F1259">
        <f>IF(Sync!$AH1259="","",IF(LEFT(UPPER(TRIM(Sync!$AH1259)),2)="SL",UPPER(TRIM(Sync!$AH1259)),""))</f>
        <v/>
      </c>
      <c r="G1259">
        <f>IF($F1259="","",IF(Sync!$AE1259="","",IF(ISNUMBER(Sync!$AE1259),IF(AND(Sync!$AE1259&gt;=10000101,Sync!$AE1259&lt;=99991231),INT(Sync!$AE1259/10000),""),IFERROR(VALUE(TRIM(LEFT(Sync!$AE1259,FIND("/",Sync!$AE1259)-1))),""))))</f>
        <v/>
      </c>
      <c r="H1259">
        <f>IF(OR($F1259="",$G1259=""),"",IF(ISNUMBER(Sync!$AE1259),INT(MOD(Sync!$AE1259,10000)/100),IFERROR(VALUE(TRIM(LEFT(MID(Sync!$AE1259,FIND("/",Sync!$AE1259)+1,20),FIND("/",MID(Sync!$AE1259,FIND("/",Sync!$AE1259)+1,20))-1))),"")))</f>
        <v/>
      </c>
      <c r="I1259">
        <f>IF(OR($F1259="",$G1259=""),"",IF(ISNUMBER(Sync!$AE1259),MOD(Sync!$AE1259,100),IFERROR(VALUE(TRIM(MID(MID(Sync!$AE1259,FIND("/",Sync!$AE1259)+1,20),FIND("/",MID(Sync!$AE1259,FIND("/",Sync!$AE1259)+1,20))+1,20))),"")))</f>
        <v/>
      </c>
      <c r="J1259">
        <f>IF($F1259="","",IF(OR($G1259="",$H1259="",$I1259="",$G1259&lt;1300,$G1259&gt;1500,$H1259&lt;1,$H1259&gt;12,$I1259&lt;1,$I1259&gt;31),"نامعتبر",RIGHT("0000"&amp;$G1259,4)&amp;"/"&amp;RIGHT("00"&amp;$H1259,2)&amp;"/"&amp;RIGHT("00"&amp;$I1259,2)))</f>
        <v/>
      </c>
      <c r="K1259">
        <f>IF(OR($F1259="",$J1259="",$J1259="نامعتبر"),"",LEFT($J1259,4)&amp;MID($J1259,6,2)&amp;RIGHT($J1259,2)&amp;$N1259&amp;"|"&amp;"2"&amp;RIGHT("00000"&amp;1254,5))</f>
        <v/>
      </c>
      <c r="L1259">
        <f>IF($K1259="","",COUNTIFS(LdgSellerA,$F1259,LdgKeyA,"&lt;"&amp;$K1259)+COUNTIFS(LdgSellerB,$F1259,LdgKeyB,"&lt;"&amp;$K1259)+1)</f>
        <v/>
      </c>
      <c r="M1259">
        <f>IF($L1259="","",$F1259&amp;"|"&amp;RIGHT("000000"&amp;$L1259,6))</f>
        <v/>
      </c>
      <c r="N1259">
        <f>IF($F1259="","",IF(Sync!$AF1259="","0000",IF(AND(ISNUMBER(Sync!$AF1259),Sync!$AF1259&gt;=0,Sync!$AF1259&lt;1),RIGHT("00"&amp;HOUR(Sync!$AF1259),2)&amp;RIGHT("00"&amp;MINUTE(Sync!$AF1259),2),IFERROR(RIGHT("00"&amp;VALUE(LEFT(Sync!$AF1259,FIND(":",Sync!$AF1259)-1)),2)&amp;RIGHT("00"&amp;VALUE(MID(Sync!$AF1259,FIND(":",Sync!$AF1259)+1,2)),2),"0000"))))</f>
        <v/>
      </c>
    </row>
    <row r="1260">
      <c r="A1260">
        <f>IF(OR(Calc!$E1264="",Calc!$E1264="نامعتبر",Calc!$G1264=""),"",Calc!$G1264)</f>
        <v/>
      </c>
      <c r="B1260">
        <f>IF($A1260="","",LEFT(Calc!$E1264,4)&amp;MID(Calc!$E1264,6,2)&amp;RIGHT(Calc!$E1264,2)&amp;Calc!$Q1264&amp;"|"&amp;"1"&amp;RIGHT("00000"&amp;1255,5))</f>
        <v/>
      </c>
      <c r="C1260">
        <f>IF($B1260="","",COUNTIFS(LdgSellerA,$A1260,LdgKeyA,"&lt;"&amp;$B1260)+COUNTIFS(LdgSellerB,$A1260,LdgKeyB,"&lt;"&amp;$B1260)+1)</f>
        <v/>
      </c>
      <c r="D1260">
        <f>IF($C1260="","",$A1260&amp;"|"&amp;RIGHT("000000"&amp;$C1260,6))</f>
        <v/>
      </c>
      <c r="F1260">
        <f>IF(Sync!$AH1260="","",IF(LEFT(UPPER(TRIM(Sync!$AH1260)),2)="SL",UPPER(TRIM(Sync!$AH1260)),""))</f>
        <v/>
      </c>
      <c r="G1260">
        <f>IF($F1260="","",IF(Sync!$AE1260="","",IF(ISNUMBER(Sync!$AE1260),IF(AND(Sync!$AE1260&gt;=10000101,Sync!$AE1260&lt;=99991231),INT(Sync!$AE1260/10000),""),IFERROR(VALUE(TRIM(LEFT(Sync!$AE1260,FIND("/",Sync!$AE1260)-1))),""))))</f>
        <v/>
      </c>
      <c r="H1260">
        <f>IF(OR($F1260="",$G1260=""),"",IF(ISNUMBER(Sync!$AE1260),INT(MOD(Sync!$AE1260,10000)/100),IFERROR(VALUE(TRIM(LEFT(MID(Sync!$AE1260,FIND("/",Sync!$AE1260)+1,20),FIND("/",MID(Sync!$AE1260,FIND("/",Sync!$AE1260)+1,20))-1))),"")))</f>
        <v/>
      </c>
      <c r="I1260">
        <f>IF(OR($F1260="",$G1260=""),"",IF(ISNUMBER(Sync!$AE1260),MOD(Sync!$AE1260,100),IFERROR(VALUE(TRIM(MID(MID(Sync!$AE1260,FIND("/",Sync!$AE1260)+1,20),FIND("/",MID(Sync!$AE1260,FIND("/",Sync!$AE1260)+1,20))+1,20))),"")))</f>
        <v/>
      </c>
      <c r="J1260">
        <f>IF($F1260="","",IF(OR($G1260="",$H1260="",$I1260="",$G1260&lt;1300,$G1260&gt;1500,$H1260&lt;1,$H1260&gt;12,$I1260&lt;1,$I1260&gt;31),"نامعتبر",RIGHT("0000"&amp;$G1260,4)&amp;"/"&amp;RIGHT("00"&amp;$H1260,2)&amp;"/"&amp;RIGHT("00"&amp;$I1260,2)))</f>
        <v/>
      </c>
      <c r="K1260">
        <f>IF(OR($F1260="",$J1260="",$J1260="نامعتبر"),"",LEFT($J1260,4)&amp;MID($J1260,6,2)&amp;RIGHT($J1260,2)&amp;$N1260&amp;"|"&amp;"2"&amp;RIGHT("00000"&amp;1255,5))</f>
        <v/>
      </c>
      <c r="L1260">
        <f>IF($K1260="","",COUNTIFS(LdgSellerA,$F1260,LdgKeyA,"&lt;"&amp;$K1260)+COUNTIFS(LdgSellerB,$F1260,LdgKeyB,"&lt;"&amp;$K1260)+1)</f>
        <v/>
      </c>
      <c r="M1260">
        <f>IF($L1260="","",$F1260&amp;"|"&amp;RIGHT("000000"&amp;$L1260,6))</f>
        <v/>
      </c>
      <c r="N1260">
        <f>IF($F1260="","",IF(Sync!$AF1260="","0000",IF(AND(ISNUMBER(Sync!$AF1260),Sync!$AF1260&gt;=0,Sync!$AF1260&lt;1),RIGHT("00"&amp;HOUR(Sync!$AF1260),2)&amp;RIGHT("00"&amp;MINUTE(Sync!$AF1260),2),IFERROR(RIGHT("00"&amp;VALUE(LEFT(Sync!$AF1260,FIND(":",Sync!$AF1260)-1)),2)&amp;RIGHT("00"&amp;VALUE(MID(Sync!$AF1260,FIND(":",Sync!$AF1260)+1,2)),2),"0000"))))</f>
        <v/>
      </c>
    </row>
    <row r="1261">
      <c r="A1261">
        <f>IF(OR(Calc!$E1265="",Calc!$E1265="نامعتبر",Calc!$G1265=""),"",Calc!$G1265)</f>
        <v/>
      </c>
      <c r="B1261">
        <f>IF($A1261="","",LEFT(Calc!$E1265,4)&amp;MID(Calc!$E1265,6,2)&amp;RIGHT(Calc!$E1265,2)&amp;Calc!$Q1265&amp;"|"&amp;"1"&amp;RIGHT("00000"&amp;1256,5))</f>
        <v/>
      </c>
      <c r="C1261">
        <f>IF($B1261="","",COUNTIFS(LdgSellerA,$A1261,LdgKeyA,"&lt;"&amp;$B1261)+COUNTIFS(LdgSellerB,$A1261,LdgKeyB,"&lt;"&amp;$B1261)+1)</f>
        <v/>
      </c>
      <c r="D1261">
        <f>IF($C1261="","",$A1261&amp;"|"&amp;RIGHT("000000"&amp;$C1261,6))</f>
        <v/>
      </c>
      <c r="F1261">
        <f>IF(Sync!$AH1261="","",IF(LEFT(UPPER(TRIM(Sync!$AH1261)),2)="SL",UPPER(TRIM(Sync!$AH1261)),""))</f>
        <v/>
      </c>
      <c r="G1261">
        <f>IF($F1261="","",IF(Sync!$AE1261="","",IF(ISNUMBER(Sync!$AE1261),IF(AND(Sync!$AE1261&gt;=10000101,Sync!$AE1261&lt;=99991231),INT(Sync!$AE1261/10000),""),IFERROR(VALUE(TRIM(LEFT(Sync!$AE1261,FIND("/",Sync!$AE1261)-1))),""))))</f>
        <v/>
      </c>
      <c r="H1261">
        <f>IF(OR($F1261="",$G1261=""),"",IF(ISNUMBER(Sync!$AE1261),INT(MOD(Sync!$AE1261,10000)/100),IFERROR(VALUE(TRIM(LEFT(MID(Sync!$AE1261,FIND("/",Sync!$AE1261)+1,20),FIND("/",MID(Sync!$AE1261,FIND("/",Sync!$AE1261)+1,20))-1))),"")))</f>
        <v/>
      </c>
      <c r="I1261">
        <f>IF(OR($F1261="",$G1261=""),"",IF(ISNUMBER(Sync!$AE1261),MOD(Sync!$AE1261,100),IFERROR(VALUE(TRIM(MID(MID(Sync!$AE1261,FIND("/",Sync!$AE1261)+1,20),FIND("/",MID(Sync!$AE1261,FIND("/",Sync!$AE1261)+1,20))+1,20))),"")))</f>
        <v/>
      </c>
      <c r="J1261">
        <f>IF($F1261="","",IF(OR($G1261="",$H1261="",$I1261="",$G1261&lt;1300,$G1261&gt;1500,$H1261&lt;1,$H1261&gt;12,$I1261&lt;1,$I1261&gt;31),"نامعتبر",RIGHT("0000"&amp;$G1261,4)&amp;"/"&amp;RIGHT("00"&amp;$H1261,2)&amp;"/"&amp;RIGHT("00"&amp;$I1261,2)))</f>
        <v/>
      </c>
      <c r="K1261">
        <f>IF(OR($F1261="",$J1261="",$J1261="نامعتبر"),"",LEFT($J1261,4)&amp;MID($J1261,6,2)&amp;RIGHT($J1261,2)&amp;$N1261&amp;"|"&amp;"2"&amp;RIGHT("00000"&amp;1256,5))</f>
        <v/>
      </c>
      <c r="L1261">
        <f>IF($K1261="","",COUNTIFS(LdgSellerA,$F1261,LdgKeyA,"&lt;"&amp;$K1261)+COUNTIFS(LdgSellerB,$F1261,LdgKeyB,"&lt;"&amp;$K1261)+1)</f>
        <v/>
      </c>
      <c r="M1261">
        <f>IF($L1261="","",$F1261&amp;"|"&amp;RIGHT("000000"&amp;$L1261,6))</f>
        <v/>
      </c>
      <c r="N1261">
        <f>IF($F1261="","",IF(Sync!$AF1261="","0000",IF(AND(ISNUMBER(Sync!$AF1261),Sync!$AF1261&gt;=0,Sync!$AF1261&lt;1),RIGHT("00"&amp;HOUR(Sync!$AF1261),2)&amp;RIGHT("00"&amp;MINUTE(Sync!$AF1261),2),IFERROR(RIGHT("00"&amp;VALUE(LEFT(Sync!$AF1261,FIND(":",Sync!$AF1261)-1)),2)&amp;RIGHT("00"&amp;VALUE(MID(Sync!$AF1261,FIND(":",Sync!$AF1261)+1,2)),2),"0000"))))</f>
        <v/>
      </c>
    </row>
    <row r="1262">
      <c r="A1262">
        <f>IF(OR(Calc!$E1266="",Calc!$E1266="نامعتبر",Calc!$G1266=""),"",Calc!$G1266)</f>
        <v/>
      </c>
      <c r="B1262">
        <f>IF($A1262="","",LEFT(Calc!$E1266,4)&amp;MID(Calc!$E1266,6,2)&amp;RIGHT(Calc!$E1266,2)&amp;Calc!$Q1266&amp;"|"&amp;"1"&amp;RIGHT("00000"&amp;1257,5))</f>
        <v/>
      </c>
      <c r="C1262">
        <f>IF($B1262="","",COUNTIFS(LdgSellerA,$A1262,LdgKeyA,"&lt;"&amp;$B1262)+COUNTIFS(LdgSellerB,$A1262,LdgKeyB,"&lt;"&amp;$B1262)+1)</f>
        <v/>
      </c>
      <c r="D1262">
        <f>IF($C1262="","",$A1262&amp;"|"&amp;RIGHT("000000"&amp;$C1262,6))</f>
        <v/>
      </c>
      <c r="F1262">
        <f>IF(Sync!$AH1262="","",IF(LEFT(UPPER(TRIM(Sync!$AH1262)),2)="SL",UPPER(TRIM(Sync!$AH1262)),""))</f>
        <v/>
      </c>
      <c r="G1262">
        <f>IF($F1262="","",IF(Sync!$AE1262="","",IF(ISNUMBER(Sync!$AE1262),IF(AND(Sync!$AE1262&gt;=10000101,Sync!$AE1262&lt;=99991231),INT(Sync!$AE1262/10000),""),IFERROR(VALUE(TRIM(LEFT(Sync!$AE1262,FIND("/",Sync!$AE1262)-1))),""))))</f>
        <v/>
      </c>
      <c r="H1262">
        <f>IF(OR($F1262="",$G1262=""),"",IF(ISNUMBER(Sync!$AE1262),INT(MOD(Sync!$AE1262,10000)/100),IFERROR(VALUE(TRIM(LEFT(MID(Sync!$AE1262,FIND("/",Sync!$AE1262)+1,20),FIND("/",MID(Sync!$AE1262,FIND("/",Sync!$AE1262)+1,20))-1))),"")))</f>
        <v/>
      </c>
      <c r="I1262">
        <f>IF(OR($F1262="",$G1262=""),"",IF(ISNUMBER(Sync!$AE1262),MOD(Sync!$AE1262,100),IFERROR(VALUE(TRIM(MID(MID(Sync!$AE1262,FIND("/",Sync!$AE1262)+1,20),FIND("/",MID(Sync!$AE1262,FIND("/",Sync!$AE1262)+1,20))+1,20))),"")))</f>
        <v/>
      </c>
      <c r="J1262">
        <f>IF($F1262="","",IF(OR($G1262="",$H1262="",$I1262="",$G1262&lt;1300,$G1262&gt;1500,$H1262&lt;1,$H1262&gt;12,$I1262&lt;1,$I1262&gt;31),"نامعتبر",RIGHT("0000"&amp;$G1262,4)&amp;"/"&amp;RIGHT("00"&amp;$H1262,2)&amp;"/"&amp;RIGHT("00"&amp;$I1262,2)))</f>
        <v/>
      </c>
      <c r="K1262">
        <f>IF(OR($F1262="",$J1262="",$J1262="نامعتبر"),"",LEFT($J1262,4)&amp;MID($J1262,6,2)&amp;RIGHT($J1262,2)&amp;$N1262&amp;"|"&amp;"2"&amp;RIGHT("00000"&amp;1257,5))</f>
        <v/>
      </c>
      <c r="L1262">
        <f>IF($K1262="","",COUNTIFS(LdgSellerA,$F1262,LdgKeyA,"&lt;"&amp;$K1262)+COUNTIFS(LdgSellerB,$F1262,LdgKeyB,"&lt;"&amp;$K1262)+1)</f>
        <v/>
      </c>
      <c r="M1262">
        <f>IF($L1262="","",$F1262&amp;"|"&amp;RIGHT("000000"&amp;$L1262,6))</f>
        <v/>
      </c>
      <c r="N1262">
        <f>IF($F1262="","",IF(Sync!$AF1262="","0000",IF(AND(ISNUMBER(Sync!$AF1262),Sync!$AF1262&gt;=0,Sync!$AF1262&lt;1),RIGHT("00"&amp;HOUR(Sync!$AF1262),2)&amp;RIGHT("00"&amp;MINUTE(Sync!$AF1262),2),IFERROR(RIGHT("00"&amp;VALUE(LEFT(Sync!$AF1262,FIND(":",Sync!$AF1262)-1)),2)&amp;RIGHT("00"&amp;VALUE(MID(Sync!$AF1262,FIND(":",Sync!$AF1262)+1,2)),2),"0000"))))</f>
        <v/>
      </c>
    </row>
    <row r="1263">
      <c r="A1263">
        <f>IF(OR(Calc!$E1267="",Calc!$E1267="نامعتبر",Calc!$G1267=""),"",Calc!$G1267)</f>
        <v/>
      </c>
      <c r="B1263">
        <f>IF($A1263="","",LEFT(Calc!$E1267,4)&amp;MID(Calc!$E1267,6,2)&amp;RIGHT(Calc!$E1267,2)&amp;Calc!$Q1267&amp;"|"&amp;"1"&amp;RIGHT("00000"&amp;1258,5))</f>
        <v/>
      </c>
      <c r="C1263">
        <f>IF($B1263="","",COUNTIFS(LdgSellerA,$A1263,LdgKeyA,"&lt;"&amp;$B1263)+COUNTIFS(LdgSellerB,$A1263,LdgKeyB,"&lt;"&amp;$B1263)+1)</f>
        <v/>
      </c>
      <c r="D1263">
        <f>IF($C1263="","",$A1263&amp;"|"&amp;RIGHT("000000"&amp;$C1263,6))</f>
        <v/>
      </c>
      <c r="F1263">
        <f>IF(Sync!$AH1263="","",IF(LEFT(UPPER(TRIM(Sync!$AH1263)),2)="SL",UPPER(TRIM(Sync!$AH1263)),""))</f>
        <v/>
      </c>
      <c r="G1263">
        <f>IF($F1263="","",IF(Sync!$AE1263="","",IF(ISNUMBER(Sync!$AE1263),IF(AND(Sync!$AE1263&gt;=10000101,Sync!$AE1263&lt;=99991231),INT(Sync!$AE1263/10000),""),IFERROR(VALUE(TRIM(LEFT(Sync!$AE1263,FIND("/",Sync!$AE1263)-1))),""))))</f>
        <v/>
      </c>
      <c r="H1263">
        <f>IF(OR($F1263="",$G1263=""),"",IF(ISNUMBER(Sync!$AE1263),INT(MOD(Sync!$AE1263,10000)/100),IFERROR(VALUE(TRIM(LEFT(MID(Sync!$AE1263,FIND("/",Sync!$AE1263)+1,20),FIND("/",MID(Sync!$AE1263,FIND("/",Sync!$AE1263)+1,20))-1))),"")))</f>
        <v/>
      </c>
      <c r="I1263">
        <f>IF(OR($F1263="",$G1263=""),"",IF(ISNUMBER(Sync!$AE1263),MOD(Sync!$AE1263,100),IFERROR(VALUE(TRIM(MID(MID(Sync!$AE1263,FIND("/",Sync!$AE1263)+1,20),FIND("/",MID(Sync!$AE1263,FIND("/",Sync!$AE1263)+1,20))+1,20))),"")))</f>
        <v/>
      </c>
      <c r="J1263">
        <f>IF($F1263="","",IF(OR($G1263="",$H1263="",$I1263="",$G1263&lt;1300,$G1263&gt;1500,$H1263&lt;1,$H1263&gt;12,$I1263&lt;1,$I1263&gt;31),"نامعتبر",RIGHT("0000"&amp;$G1263,4)&amp;"/"&amp;RIGHT("00"&amp;$H1263,2)&amp;"/"&amp;RIGHT("00"&amp;$I1263,2)))</f>
        <v/>
      </c>
      <c r="K1263">
        <f>IF(OR($F1263="",$J1263="",$J1263="نامعتبر"),"",LEFT($J1263,4)&amp;MID($J1263,6,2)&amp;RIGHT($J1263,2)&amp;$N1263&amp;"|"&amp;"2"&amp;RIGHT("00000"&amp;1258,5))</f>
        <v/>
      </c>
      <c r="L1263">
        <f>IF($K1263="","",COUNTIFS(LdgSellerA,$F1263,LdgKeyA,"&lt;"&amp;$K1263)+COUNTIFS(LdgSellerB,$F1263,LdgKeyB,"&lt;"&amp;$K1263)+1)</f>
        <v/>
      </c>
      <c r="M1263">
        <f>IF($L1263="","",$F1263&amp;"|"&amp;RIGHT("000000"&amp;$L1263,6))</f>
        <v/>
      </c>
      <c r="N1263">
        <f>IF($F1263="","",IF(Sync!$AF1263="","0000",IF(AND(ISNUMBER(Sync!$AF1263),Sync!$AF1263&gt;=0,Sync!$AF1263&lt;1),RIGHT("00"&amp;HOUR(Sync!$AF1263),2)&amp;RIGHT("00"&amp;MINUTE(Sync!$AF1263),2),IFERROR(RIGHT("00"&amp;VALUE(LEFT(Sync!$AF1263,FIND(":",Sync!$AF1263)-1)),2)&amp;RIGHT("00"&amp;VALUE(MID(Sync!$AF1263,FIND(":",Sync!$AF1263)+1,2)),2),"0000"))))</f>
        <v/>
      </c>
    </row>
    <row r="1264">
      <c r="A1264">
        <f>IF(OR(Calc!$E1268="",Calc!$E1268="نامعتبر",Calc!$G1268=""),"",Calc!$G1268)</f>
        <v/>
      </c>
      <c r="B1264">
        <f>IF($A1264="","",LEFT(Calc!$E1268,4)&amp;MID(Calc!$E1268,6,2)&amp;RIGHT(Calc!$E1268,2)&amp;Calc!$Q1268&amp;"|"&amp;"1"&amp;RIGHT("00000"&amp;1259,5))</f>
        <v/>
      </c>
      <c r="C1264">
        <f>IF($B1264="","",COUNTIFS(LdgSellerA,$A1264,LdgKeyA,"&lt;"&amp;$B1264)+COUNTIFS(LdgSellerB,$A1264,LdgKeyB,"&lt;"&amp;$B1264)+1)</f>
        <v/>
      </c>
      <c r="D1264">
        <f>IF($C1264="","",$A1264&amp;"|"&amp;RIGHT("000000"&amp;$C1264,6))</f>
        <v/>
      </c>
      <c r="F1264">
        <f>IF(Sync!$AH1264="","",IF(LEFT(UPPER(TRIM(Sync!$AH1264)),2)="SL",UPPER(TRIM(Sync!$AH1264)),""))</f>
        <v/>
      </c>
      <c r="G1264">
        <f>IF($F1264="","",IF(Sync!$AE1264="","",IF(ISNUMBER(Sync!$AE1264),IF(AND(Sync!$AE1264&gt;=10000101,Sync!$AE1264&lt;=99991231),INT(Sync!$AE1264/10000),""),IFERROR(VALUE(TRIM(LEFT(Sync!$AE1264,FIND("/",Sync!$AE1264)-1))),""))))</f>
        <v/>
      </c>
      <c r="H1264">
        <f>IF(OR($F1264="",$G1264=""),"",IF(ISNUMBER(Sync!$AE1264),INT(MOD(Sync!$AE1264,10000)/100),IFERROR(VALUE(TRIM(LEFT(MID(Sync!$AE1264,FIND("/",Sync!$AE1264)+1,20),FIND("/",MID(Sync!$AE1264,FIND("/",Sync!$AE1264)+1,20))-1))),"")))</f>
        <v/>
      </c>
      <c r="I1264">
        <f>IF(OR($F1264="",$G1264=""),"",IF(ISNUMBER(Sync!$AE1264),MOD(Sync!$AE1264,100),IFERROR(VALUE(TRIM(MID(MID(Sync!$AE1264,FIND("/",Sync!$AE1264)+1,20),FIND("/",MID(Sync!$AE1264,FIND("/",Sync!$AE1264)+1,20))+1,20))),"")))</f>
        <v/>
      </c>
      <c r="J1264">
        <f>IF($F1264="","",IF(OR($G1264="",$H1264="",$I1264="",$G1264&lt;1300,$G1264&gt;1500,$H1264&lt;1,$H1264&gt;12,$I1264&lt;1,$I1264&gt;31),"نامعتبر",RIGHT("0000"&amp;$G1264,4)&amp;"/"&amp;RIGHT("00"&amp;$H1264,2)&amp;"/"&amp;RIGHT("00"&amp;$I1264,2)))</f>
        <v/>
      </c>
      <c r="K1264">
        <f>IF(OR($F1264="",$J1264="",$J1264="نامعتبر"),"",LEFT($J1264,4)&amp;MID($J1264,6,2)&amp;RIGHT($J1264,2)&amp;$N1264&amp;"|"&amp;"2"&amp;RIGHT("00000"&amp;1259,5))</f>
        <v/>
      </c>
      <c r="L1264">
        <f>IF($K1264="","",COUNTIFS(LdgSellerA,$F1264,LdgKeyA,"&lt;"&amp;$K1264)+COUNTIFS(LdgSellerB,$F1264,LdgKeyB,"&lt;"&amp;$K1264)+1)</f>
        <v/>
      </c>
      <c r="M1264">
        <f>IF($L1264="","",$F1264&amp;"|"&amp;RIGHT("000000"&amp;$L1264,6))</f>
        <v/>
      </c>
      <c r="N1264">
        <f>IF($F1264="","",IF(Sync!$AF1264="","0000",IF(AND(ISNUMBER(Sync!$AF1264),Sync!$AF1264&gt;=0,Sync!$AF1264&lt;1),RIGHT("00"&amp;HOUR(Sync!$AF1264),2)&amp;RIGHT("00"&amp;MINUTE(Sync!$AF1264),2),IFERROR(RIGHT("00"&amp;VALUE(LEFT(Sync!$AF1264,FIND(":",Sync!$AF1264)-1)),2)&amp;RIGHT("00"&amp;VALUE(MID(Sync!$AF1264,FIND(":",Sync!$AF1264)+1,2)),2),"0000"))))</f>
        <v/>
      </c>
    </row>
    <row r="1265">
      <c r="A1265">
        <f>IF(OR(Calc!$E1269="",Calc!$E1269="نامعتبر",Calc!$G1269=""),"",Calc!$G1269)</f>
        <v/>
      </c>
      <c r="B1265">
        <f>IF($A1265="","",LEFT(Calc!$E1269,4)&amp;MID(Calc!$E1269,6,2)&amp;RIGHT(Calc!$E1269,2)&amp;Calc!$Q1269&amp;"|"&amp;"1"&amp;RIGHT("00000"&amp;1260,5))</f>
        <v/>
      </c>
      <c r="C1265">
        <f>IF($B1265="","",COUNTIFS(LdgSellerA,$A1265,LdgKeyA,"&lt;"&amp;$B1265)+COUNTIFS(LdgSellerB,$A1265,LdgKeyB,"&lt;"&amp;$B1265)+1)</f>
        <v/>
      </c>
      <c r="D1265">
        <f>IF($C1265="","",$A1265&amp;"|"&amp;RIGHT("000000"&amp;$C1265,6))</f>
        <v/>
      </c>
      <c r="F1265">
        <f>IF(Sync!$AH1265="","",IF(LEFT(UPPER(TRIM(Sync!$AH1265)),2)="SL",UPPER(TRIM(Sync!$AH1265)),""))</f>
        <v/>
      </c>
      <c r="G1265">
        <f>IF($F1265="","",IF(Sync!$AE1265="","",IF(ISNUMBER(Sync!$AE1265),IF(AND(Sync!$AE1265&gt;=10000101,Sync!$AE1265&lt;=99991231),INT(Sync!$AE1265/10000),""),IFERROR(VALUE(TRIM(LEFT(Sync!$AE1265,FIND("/",Sync!$AE1265)-1))),""))))</f>
        <v/>
      </c>
      <c r="H1265">
        <f>IF(OR($F1265="",$G1265=""),"",IF(ISNUMBER(Sync!$AE1265),INT(MOD(Sync!$AE1265,10000)/100),IFERROR(VALUE(TRIM(LEFT(MID(Sync!$AE1265,FIND("/",Sync!$AE1265)+1,20),FIND("/",MID(Sync!$AE1265,FIND("/",Sync!$AE1265)+1,20))-1))),"")))</f>
        <v/>
      </c>
      <c r="I1265">
        <f>IF(OR($F1265="",$G1265=""),"",IF(ISNUMBER(Sync!$AE1265),MOD(Sync!$AE1265,100),IFERROR(VALUE(TRIM(MID(MID(Sync!$AE1265,FIND("/",Sync!$AE1265)+1,20),FIND("/",MID(Sync!$AE1265,FIND("/",Sync!$AE1265)+1,20))+1,20))),"")))</f>
        <v/>
      </c>
      <c r="J1265">
        <f>IF($F1265="","",IF(OR($G1265="",$H1265="",$I1265="",$G1265&lt;1300,$G1265&gt;1500,$H1265&lt;1,$H1265&gt;12,$I1265&lt;1,$I1265&gt;31),"نامعتبر",RIGHT("0000"&amp;$G1265,4)&amp;"/"&amp;RIGHT("00"&amp;$H1265,2)&amp;"/"&amp;RIGHT("00"&amp;$I1265,2)))</f>
        <v/>
      </c>
      <c r="K1265">
        <f>IF(OR($F1265="",$J1265="",$J1265="نامعتبر"),"",LEFT($J1265,4)&amp;MID($J1265,6,2)&amp;RIGHT($J1265,2)&amp;$N1265&amp;"|"&amp;"2"&amp;RIGHT("00000"&amp;1260,5))</f>
        <v/>
      </c>
      <c r="L1265">
        <f>IF($K1265="","",COUNTIFS(LdgSellerA,$F1265,LdgKeyA,"&lt;"&amp;$K1265)+COUNTIFS(LdgSellerB,$F1265,LdgKeyB,"&lt;"&amp;$K1265)+1)</f>
        <v/>
      </c>
      <c r="M1265">
        <f>IF($L1265="","",$F1265&amp;"|"&amp;RIGHT("000000"&amp;$L1265,6))</f>
        <v/>
      </c>
      <c r="N1265">
        <f>IF($F1265="","",IF(Sync!$AF1265="","0000",IF(AND(ISNUMBER(Sync!$AF1265),Sync!$AF1265&gt;=0,Sync!$AF1265&lt;1),RIGHT("00"&amp;HOUR(Sync!$AF1265),2)&amp;RIGHT("00"&amp;MINUTE(Sync!$AF1265),2),IFERROR(RIGHT("00"&amp;VALUE(LEFT(Sync!$AF1265,FIND(":",Sync!$AF1265)-1)),2)&amp;RIGHT("00"&amp;VALUE(MID(Sync!$AF1265,FIND(":",Sync!$AF1265)+1,2)),2),"0000"))))</f>
        <v/>
      </c>
    </row>
    <row r="1266">
      <c r="A1266">
        <f>IF(OR(Calc!$E1270="",Calc!$E1270="نامعتبر",Calc!$G1270=""),"",Calc!$G1270)</f>
        <v/>
      </c>
      <c r="B1266">
        <f>IF($A1266="","",LEFT(Calc!$E1270,4)&amp;MID(Calc!$E1270,6,2)&amp;RIGHT(Calc!$E1270,2)&amp;Calc!$Q1270&amp;"|"&amp;"1"&amp;RIGHT("00000"&amp;1261,5))</f>
        <v/>
      </c>
      <c r="C1266">
        <f>IF($B1266="","",COUNTIFS(LdgSellerA,$A1266,LdgKeyA,"&lt;"&amp;$B1266)+COUNTIFS(LdgSellerB,$A1266,LdgKeyB,"&lt;"&amp;$B1266)+1)</f>
        <v/>
      </c>
      <c r="D1266">
        <f>IF($C1266="","",$A1266&amp;"|"&amp;RIGHT("000000"&amp;$C1266,6))</f>
        <v/>
      </c>
      <c r="F1266">
        <f>IF(Sync!$AH1266="","",IF(LEFT(UPPER(TRIM(Sync!$AH1266)),2)="SL",UPPER(TRIM(Sync!$AH1266)),""))</f>
        <v/>
      </c>
      <c r="G1266">
        <f>IF($F1266="","",IF(Sync!$AE1266="","",IF(ISNUMBER(Sync!$AE1266),IF(AND(Sync!$AE1266&gt;=10000101,Sync!$AE1266&lt;=99991231),INT(Sync!$AE1266/10000),""),IFERROR(VALUE(TRIM(LEFT(Sync!$AE1266,FIND("/",Sync!$AE1266)-1))),""))))</f>
        <v/>
      </c>
      <c r="H1266">
        <f>IF(OR($F1266="",$G1266=""),"",IF(ISNUMBER(Sync!$AE1266),INT(MOD(Sync!$AE1266,10000)/100),IFERROR(VALUE(TRIM(LEFT(MID(Sync!$AE1266,FIND("/",Sync!$AE1266)+1,20),FIND("/",MID(Sync!$AE1266,FIND("/",Sync!$AE1266)+1,20))-1))),"")))</f>
        <v/>
      </c>
      <c r="I1266">
        <f>IF(OR($F1266="",$G1266=""),"",IF(ISNUMBER(Sync!$AE1266),MOD(Sync!$AE1266,100),IFERROR(VALUE(TRIM(MID(MID(Sync!$AE1266,FIND("/",Sync!$AE1266)+1,20),FIND("/",MID(Sync!$AE1266,FIND("/",Sync!$AE1266)+1,20))+1,20))),"")))</f>
        <v/>
      </c>
      <c r="J1266">
        <f>IF($F1266="","",IF(OR($G1266="",$H1266="",$I1266="",$G1266&lt;1300,$G1266&gt;1500,$H1266&lt;1,$H1266&gt;12,$I1266&lt;1,$I1266&gt;31),"نامعتبر",RIGHT("0000"&amp;$G1266,4)&amp;"/"&amp;RIGHT("00"&amp;$H1266,2)&amp;"/"&amp;RIGHT("00"&amp;$I1266,2)))</f>
        <v/>
      </c>
      <c r="K1266">
        <f>IF(OR($F1266="",$J1266="",$J1266="نامعتبر"),"",LEFT($J1266,4)&amp;MID($J1266,6,2)&amp;RIGHT($J1266,2)&amp;$N1266&amp;"|"&amp;"2"&amp;RIGHT("00000"&amp;1261,5))</f>
        <v/>
      </c>
      <c r="L1266">
        <f>IF($K1266="","",COUNTIFS(LdgSellerA,$F1266,LdgKeyA,"&lt;"&amp;$K1266)+COUNTIFS(LdgSellerB,$F1266,LdgKeyB,"&lt;"&amp;$K1266)+1)</f>
        <v/>
      </c>
      <c r="M1266">
        <f>IF($L1266="","",$F1266&amp;"|"&amp;RIGHT("000000"&amp;$L1266,6))</f>
        <v/>
      </c>
      <c r="N1266">
        <f>IF($F1266="","",IF(Sync!$AF1266="","0000",IF(AND(ISNUMBER(Sync!$AF1266),Sync!$AF1266&gt;=0,Sync!$AF1266&lt;1),RIGHT("00"&amp;HOUR(Sync!$AF1266),2)&amp;RIGHT("00"&amp;MINUTE(Sync!$AF1266),2),IFERROR(RIGHT("00"&amp;VALUE(LEFT(Sync!$AF1266,FIND(":",Sync!$AF1266)-1)),2)&amp;RIGHT("00"&amp;VALUE(MID(Sync!$AF1266,FIND(":",Sync!$AF1266)+1,2)),2),"0000"))))</f>
        <v/>
      </c>
    </row>
    <row r="1267">
      <c r="A1267">
        <f>IF(OR(Calc!$E1271="",Calc!$E1271="نامعتبر",Calc!$G1271=""),"",Calc!$G1271)</f>
        <v/>
      </c>
      <c r="B1267">
        <f>IF($A1267="","",LEFT(Calc!$E1271,4)&amp;MID(Calc!$E1271,6,2)&amp;RIGHT(Calc!$E1271,2)&amp;Calc!$Q1271&amp;"|"&amp;"1"&amp;RIGHT("00000"&amp;1262,5))</f>
        <v/>
      </c>
      <c r="C1267">
        <f>IF($B1267="","",COUNTIFS(LdgSellerA,$A1267,LdgKeyA,"&lt;"&amp;$B1267)+COUNTIFS(LdgSellerB,$A1267,LdgKeyB,"&lt;"&amp;$B1267)+1)</f>
        <v/>
      </c>
      <c r="D1267">
        <f>IF($C1267="","",$A1267&amp;"|"&amp;RIGHT("000000"&amp;$C1267,6))</f>
        <v/>
      </c>
      <c r="F1267">
        <f>IF(Sync!$AH1267="","",IF(LEFT(UPPER(TRIM(Sync!$AH1267)),2)="SL",UPPER(TRIM(Sync!$AH1267)),""))</f>
        <v/>
      </c>
      <c r="G1267">
        <f>IF($F1267="","",IF(Sync!$AE1267="","",IF(ISNUMBER(Sync!$AE1267),IF(AND(Sync!$AE1267&gt;=10000101,Sync!$AE1267&lt;=99991231),INT(Sync!$AE1267/10000),""),IFERROR(VALUE(TRIM(LEFT(Sync!$AE1267,FIND("/",Sync!$AE1267)-1))),""))))</f>
        <v/>
      </c>
      <c r="H1267">
        <f>IF(OR($F1267="",$G1267=""),"",IF(ISNUMBER(Sync!$AE1267),INT(MOD(Sync!$AE1267,10000)/100),IFERROR(VALUE(TRIM(LEFT(MID(Sync!$AE1267,FIND("/",Sync!$AE1267)+1,20),FIND("/",MID(Sync!$AE1267,FIND("/",Sync!$AE1267)+1,20))-1))),"")))</f>
        <v/>
      </c>
      <c r="I1267">
        <f>IF(OR($F1267="",$G1267=""),"",IF(ISNUMBER(Sync!$AE1267),MOD(Sync!$AE1267,100),IFERROR(VALUE(TRIM(MID(MID(Sync!$AE1267,FIND("/",Sync!$AE1267)+1,20),FIND("/",MID(Sync!$AE1267,FIND("/",Sync!$AE1267)+1,20))+1,20))),"")))</f>
        <v/>
      </c>
      <c r="J1267">
        <f>IF($F1267="","",IF(OR($G1267="",$H1267="",$I1267="",$G1267&lt;1300,$G1267&gt;1500,$H1267&lt;1,$H1267&gt;12,$I1267&lt;1,$I1267&gt;31),"نامعتبر",RIGHT("0000"&amp;$G1267,4)&amp;"/"&amp;RIGHT("00"&amp;$H1267,2)&amp;"/"&amp;RIGHT("00"&amp;$I1267,2)))</f>
        <v/>
      </c>
      <c r="K1267">
        <f>IF(OR($F1267="",$J1267="",$J1267="نامعتبر"),"",LEFT($J1267,4)&amp;MID($J1267,6,2)&amp;RIGHT($J1267,2)&amp;$N1267&amp;"|"&amp;"2"&amp;RIGHT("00000"&amp;1262,5))</f>
        <v/>
      </c>
      <c r="L1267">
        <f>IF($K1267="","",COUNTIFS(LdgSellerA,$F1267,LdgKeyA,"&lt;"&amp;$K1267)+COUNTIFS(LdgSellerB,$F1267,LdgKeyB,"&lt;"&amp;$K1267)+1)</f>
        <v/>
      </c>
      <c r="M1267">
        <f>IF($L1267="","",$F1267&amp;"|"&amp;RIGHT("000000"&amp;$L1267,6))</f>
        <v/>
      </c>
      <c r="N1267">
        <f>IF($F1267="","",IF(Sync!$AF1267="","0000",IF(AND(ISNUMBER(Sync!$AF1267),Sync!$AF1267&gt;=0,Sync!$AF1267&lt;1),RIGHT("00"&amp;HOUR(Sync!$AF1267),2)&amp;RIGHT("00"&amp;MINUTE(Sync!$AF1267),2),IFERROR(RIGHT("00"&amp;VALUE(LEFT(Sync!$AF1267,FIND(":",Sync!$AF1267)-1)),2)&amp;RIGHT("00"&amp;VALUE(MID(Sync!$AF1267,FIND(":",Sync!$AF1267)+1,2)),2),"0000"))))</f>
        <v/>
      </c>
    </row>
    <row r="1268">
      <c r="A1268">
        <f>IF(OR(Calc!$E1272="",Calc!$E1272="نامعتبر",Calc!$G1272=""),"",Calc!$G1272)</f>
        <v/>
      </c>
      <c r="B1268">
        <f>IF($A1268="","",LEFT(Calc!$E1272,4)&amp;MID(Calc!$E1272,6,2)&amp;RIGHT(Calc!$E1272,2)&amp;Calc!$Q1272&amp;"|"&amp;"1"&amp;RIGHT("00000"&amp;1263,5))</f>
        <v/>
      </c>
      <c r="C1268">
        <f>IF($B1268="","",COUNTIFS(LdgSellerA,$A1268,LdgKeyA,"&lt;"&amp;$B1268)+COUNTIFS(LdgSellerB,$A1268,LdgKeyB,"&lt;"&amp;$B1268)+1)</f>
        <v/>
      </c>
      <c r="D1268">
        <f>IF($C1268="","",$A1268&amp;"|"&amp;RIGHT("000000"&amp;$C1268,6))</f>
        <v/>
      </c>
      <c r="F1268">
        <f>IF(Sync!$AH1268="","",IF(LEFT(UPPER(TRIM(Sync!$AH1268)),2)="SL",UPPER(TRIM(Sync!$AH1268)),""))</f>
        <v/>
      </c>
      <c r="G1268">
        <f>IF($F1268="","",IF(Sync!$AE1268="","",IF(ISNUMBER(Sync!$AE1268),IF(AND(Sync!$AE1268&gt;=10000101,Sync!$AE1268&lt;=99991231),INT(Sync!$AE1268/10000),""),IFERROR(VALUE(TRIM(LEFT(Sync!$AE1268,FIND("/",Sync!$AE1268)-1))),""))))</f>
        <v/>
      </c>
      <c r="H1268">
        <f>IF(OR($F1268="",$G1268=""),"",IF(ISNUMBER(Sync!$AE1268),INT(MOD(Sync!$AE1268,10000)/100),IFERROR(VALUE(TRIM(LEFT(MID(Sync!$AE1268,FIND("/",Sync!$AE1268)+1,20),FIND("/",MID(Sync!$AE1268,FIND("/",Sync!$AE1268)+1,20))-1))),"")))</f>
        <v/>
      </c>
      <c r="I1268">
        <f>IF(OR($F1268="",$G1268=""),"",IF(ISNUMBER(Sync!$AE1268),MOD(Sync!$AE1268,100),IFERROR(VALUE(TRIM(MID(MID(Sync!$AE1268,FIND("/",Sync!$AE1268)+1,20),FIND("/",MID(Sync!$AE1268,FIND("/",Sync!$AE1268)+1,20))+1,20))),"")))</f>
        <v/>
      </c>
      <c r="J1268">
        <f>IF($F1268="","",IF(OR($G1268="",$H1268="",$I1268="",$G1268&lt;1300,$G1268&gt;1500,$H1268&lt;1,$H1268&gt;12,$I1268&lt;1,$I1268&gt;31),"نامعتبر",RIGHT("0000"&amp;$G1268,4)&amp;"/"&amp;RIGHT("00"&amp;$H1268,2)&amp;"/"&amp;RIGHT("00"&amp;$I1268,2)))</f>
        <v/>
      </c>
      <c r="K1268">
        <f>IF(OR($F1268="",$J1268="",$J1268="نامعتبر"),"",LEFT($J1268,4)&amp;MID($J1268,6,2)&amp;RIGHT($J1268,2)&amp;$N1268&amp;"|"&amp;"2"&amp;RIGHT("00000"&amp;1263,5))</f>
        <v/>
      </c>
      <c r="L1268">
        <f>IF($K1268="","",COUNTIFS(LdgSellerA,$F1268,LdgKeyA,"&lt;"&amp;$K1268)+COUNTIFS(LdgSellerB,$F1268,LdgKeyB,"&lt;"&amp;$K1268)+1)</f>
        <v/>
      </c>
      <c r="M1268">
        <f>IF($L1268="","",$F1268&amp;"|"&amp;RIGHT("000000"&amp;$L1268,6))</f>
        <v/>
      </c>
      <c r="N1268">
        <f>IF($F1268="","",IF(Sync!$AF1268="","0000",IF(AND(ISNUMBER(Sync!$AF1268),Sync!$AF1268&gt;=0,Sync!$AF1268&lt;1),RIGHT("00"&amp;HOUR(Sync!$AF1268),2)&amp;RIGHT("00"&amp;MINUTE(Sync!$AF1268),2),IFERROR(RIGHT("00"&amp;VALUE(LEFT(Sync!$AF1268,FIND(":",Sync!$AF1268)-1)),2)&amp;RIGHT("00"&amp;VALUE(MID(Sync!$AF1268,FIND(":",Sync!$AF1268)+1,2)),2),"0000"))))</f>
        <v/>
      </c>
    </row>
    <row r="1269">
      <c r="A1269">
        <f>IF(OR(Calc!$E1273="",Calc!$E1273="نامعتبر",Calc!$G1273=""),"",Calc!$G1273)</f>
        <v/>
      </c>
      <c r="B1269">
        <f>IF($A1269="","",LEFT(Calc!$E1273,4)&amp;MID(Calc!$E1273,6,2)&amp;RIGHT(Calc!$E1273,2)&amp;Calc!$Q1273&amp;"|"&amp;"1"&amp;RIGHT("00000"&amp;1264,5))</f>
        <v/>
      </c>
      <c r="C1269">
        <f>IF($B1269="","",COUNTIFS(LdgSellerA,$A1269,LdgKeyA,"&lt;"&amp;$B1269)+COUNTIFS(LdgSellerB,$A1269,LdgKeyB,"&lt;"&amp;$B1269)+1)</f>
        <v/>
      </c>
      <c r="D1269">
        <f>IF($C1269="","",$A1269&amp;"|"&amp;RIGHT("000000"&amp;$C1269,6))</f>
        <v/>
      </c>
      <c r="F1269">
        <f>IF(Sync!$AH1269="","",IF(LEFT(UPPER(TRIM(Sync!$AH1269)),2)="SL",UPPER(TRIM(Sync!$AH1269)),""))</f>
        <v/>
      </c>
      <c r="G1269">
        <f>IF($F1269="","",IF(Sync!$AE1269="","",IF(ISNUMBER(Sync!$AE1269),IF(AND(Sync!$AE1269&gt;=10000101,Sync!$AE1269&lt;=99991231),INT(Sync!$AE1269/10000),""),IFERROR(VALUE(TRIM(LEFT(Sync!$AE1269,FIND("/",Sync!$AE1269)-1))),""))))</f>
        <v/>
      </c>
      <c r="H1269">
        <f>IF(OR($F1269="",$G1269=""),"",IF(ISNUMBER(Sync!$AE1269),INT(MOD(Sync!$AE1269,10000)/100),IFERROR(VALUE(TRIM(LEFT(MID(Sync!$AE1269,FIND("/",Sync!$AE1269)+1,20),FIND("/",MID(Sync!$AE1269,FIND("/",Sync!$AE1269)+1,20))-1))),"")))</f>
        <v/>
      </c>
      <c r="I1269">
        <f>IF(OR($F1269="",$G1269=""),"",IF(ISNUMBER(Sync!$AE1269),MOD(Sync!$AE1269,100),IFERROR(VALUE(TRIM(MID(MID(Sync!$AE1269,FIND("/",Sync!$AE1269)+1,20),FIND("/",MID(Sync!$AE1269,FIND("/",Sync!$AE1269)+1,20))+1,20))),"")))</f>
        <v/>
      </c>
      <c r="J1269">
        <f>IF($F1269="","",IF(OR($G1269="",$H1269="",$I1269="",$G1269&lt;1300,$G1269&gt;1500,$H1269&lt;1,$H1269&gt;12,$I1269&lt;1,$I1269&gt;31),"نامعتبر",RIGHT("0000"&amp;$G1269,4)&amp;"/"&amp;RIGHT("00"&amp;$H1269,2)&amp;"/"&amp;RIGHT("00"&amp;$I1269,2)))</f>
        <v/>
      </c>
      <c r="K1269">
        <f>IF(OR($F1269="",$J1269="",$J1269="نامعتبر"),"",LEFT($J1269,4)&amp;MID($J1269,6,2)&amp;RIGHT($J1269,2)&amp;$N1269&amp;"|"&amp;"2"&amp;RIGHT("00000"&amp;1264,5))</f>
        <v/>
      </c>
      <c r="L1269">
        <f>IF($K1269="","",COUNTIFS(LdgSellerA,$F1269,LdgKeyA,"&lt;"&amp;$K1269)+COUNTIFS(LdgSellerB,$F1269,LdgKeyB,"&lt;"&amp;$K1269)+1)</f>
        <v/>
      </c>
      <c r="M1269">
        <f>IF($L1269="","",$F1269&amp;"|"&amp;RIGHT("000000"&amp;$L1269,6))</f>
        <v/>
      </c>
      <c r="N1269">
        <f>IF($F1269="","",IF(Sync!$AF1269="","0000",IF(AND(ISNUMBER(Sync!$AF1269),Sync!$AF1269&gt;=0,Sync!$AF1269&lt;1),RIGHT("00"&amp;HOUR(Sync!$AF1269),2)&amp;RIGHT("00"&amp;MINUTE(Sync!$AF1269),2),IFERROR(RIGHT("00"&amp;VALUE(LEFT(Sync!$AF1269,FIND(":",Sync!$AF1269)-1)),2)&amp;RIGHT("00"&amp;VALUE(MID(Sync!$AF1269,FIND(":",Sync!$AF1269)+1,2)),2),"0000"))))</f>
        <v/>
      </c>
    </row>
    <row r="1270">
      <c r="A1270">
        <f>IF(OR(Calc!$E1274="",Calc!$E1274="نامعتبر",Calc!$G1274=""),"",Calc!$G1274)</f>
        <v/>
      </c>
      <c r="B1270">
        <f>IF($A1270="","",LEFT(Calc!$E1274,4)&amp;MID(Calc!$E1274,6,2)&amp;RIGHT(Calc!$E1274,2)&amp;Calc!$Q1274&amp;"|"&amp;"1"&amp;RIGHT("00000"&amp;1265,5))</f>
        <v/>
      </c>
      <c r="C1270">
        <f>IF($B1270="","",COUNTIFS(LdgSellerA,$A1270,LdgKeyA,"&lt;"&amp;$B1270)+COUNTIFS(LdgSellerB,$A1270,LdgKeyB,"&lt;"&amp;$B1270)+1)</f>
        <v/>
      </c>
      <c r="D1270">
        <f>IF($C1270="","",$A1270&amp;"|"&amp;RIGHT("000000"&amp;$C1270,6))</f>
        <v/>
      </c>
      <c r="F1270">
        <f>IF(Sync!$AH1270="","",IF(LEFT(UPPER(TRIM(Sync!$AH1270)),2)="SL",UPPER(TRIM(Sync!$AH1270)),""))</f>
        <v/>
      </c>
      <c r="G1270">
        <f>IF($F1270="","",IF(Sync!$AE1270="","",IF(ISNUMBER(Sync!$AE1270),IF(AND(Sync!$AE1270&gt;=10000101,Sync!$AE1270&lt;=99991231),INT(Sync!$AE1270/10000),""),IFERROR(VALUE(TRIM(LEFT(Sync!$AE1270,FIND("/",Sync!$AE1270)-1))),""))))</f>
        <v/>
      </c>
      <c r="H1270">
        <f>IF(OR($F1270="",$G1270=""),"",IF(ISNUMBER(Sync!$AE1270),INT(MOD(Sync!$AE1270,10000)/100),IFERROR(VALUE(TRIM(LEFT(MID(Sync!$AE1270,FIND("/",Sync!$AE1270)+1,20),FIND("/",MID(Sync!$AE1270,FIND("/",Sync!$AE1270)+1,20))-1))),"")))</f>
        <v/>
      </c>
      <c r="I1270">
        <f>IF(OR($F1270="",$G1270=""),"",IF(ISNUMBER(Sync!$AE1270),MOD(Sync!$AE1270,100),IFERROR(VALUE(TRIM(MID(MID(Sync!$AE1270,FIND("/",Sync!$AE1270)+1,20),FIND("/",MID(Sync!$AE1270,FIND("/",Sync!$AE1270)+1,20))+1,20))),"")))</f>
        <v/>
      </c>
      <c r="J1270">
        <f>IF($F1270="","",IF(OR($G1270="",$H1270="",$I1270="",$G1270&lt;1300,$G1270&gt;1500,$H1270&lt;1,$H1270&gt;12,$I1270&lt;1,$I1270&gt;31),"نامعتبر",RIGHT("0000"&amp;$G1270,4)&amp;"/"&amp;RIGHT("00"&amp;$H1270,2)&amp;"/"&amp;RIGHT("00"&amp;$I1270,2)))</f>
        <v/>
      </c>
      <c r="K1270">
        <f>IF(OR($F1270="",$J1270="",$J1270="نامعتبر"),"",LEFT($J1270,4)&amp;MID($J1270,6,2)&amp;RIGHT($J1270,2)&amp;$N1270&amp;"|"&amp;"2"&amp;RIGHT("00000"&amp;1265,5))</f>
        <v/>
      </c>
      <c r="L1270">
        <f>IF($K1270="","",COUNTIFS(LdgSellerA,$F1270,LdgKeyA,"&lt;"&amp;$K1270)+COUNTIFS(LdgSellerB,$F1270,LdgKeyB,"&lt;"&amp;$K1270)+1)</f>
        <v/>
      </c>
      <c r="M1270">
        <f>IF($L1270="","",$F1270&amp;"|"&amp;RIGHT("000000"&amp;$L1270,6))</f>
        <v/>
      </c>
      <c r="N1270">
        <f>IF($F1270="","",IF(Sync!$AF1270="","0000",IF(AND(ISNUMBER(Sync!$AF1270),Sync!$AF1270&gt;=0,Sync!$AF1270&lt;1),RIGHT("00"&amp;HOUR(Sync!$AF1270),2)&amp;RIGHT("00"&amp;MINUTE(Sync!$AF1270),2),IFERROR(RIGHT("00"&amp;VALUE(LEFT(Sync!$AF1270,FIND(":",Sync!$AF1270)-1)),2)&amp;RIGHT("00"&amp;VALUE(MID(Sync!$AF1270,FIND(":",Sync!$AF1270)+1,2)),2),"0000"))))</f>
        <v/>
      </c>
    </row>
    <row r="1271">
      <c r="A1271">
        <f>IF(OR(Calc!$E1275="",Calc!$E1275="نامعتبر",Calc!$G1275=""),"",Calc!$G1275)</f>
        <v/>
      </c>
      <c r="B1271">
        <f>IF($A1271="","",LEFT(Calc!$E1275,4)&amp;MID(Calc!$E1275,6,2)&amp;RIGHT(Calc!$E1275,2)&amp;Calc!$Q1275&amp;"|"&amp;"1"&amp;RIGHT("00000"&amp;1266,5))</f>
        <v/>
      </c>
      <c r="C1271">
        <f>IF($B1271="","",COUNTIFS(LdgSellerA,$A1271,LdgKeyA,"&lt;"&amp;$B1271)+COUNTIFS(LdgSellerB,$A1271,LdgKeyB,"&lt;"&amp;$B1271)+1)</f>
        <v/>
      </c>
      <c r="D1271">
        <f>IF($C1271="","",$A1271&amp;"|"&amp;RIGHT("000000"&amp;$C1271,6))</f>
        <v/>
      </c>
      <c r="F1271">
        <f>IF(Sync!$AH1271="","",IF(LEFT(UPPER(TRIM(Sync!$AH1271)),2)="SL",UPPER(TRIM(Sync!$AH1271)),""))</f>
        <v/>
      </c>
      <c r="G1271">
        <f>IF($F1271="","",IF(Sync!$AE1271="","",IF(ISNUMBER(Sync!$AE1271),IF(AND(Sync!$AE1271&gt;=10000101,Sync!$AE1271&lt;=99991231),INT(Sync!$AE1271/10000),""),IFERROR(VALUE(TRIM(LEFT(Sync!$AE1271,FIND("/",Sync!$AE1271)-1))),""))))</f>
        <v/>
      </c>
      <c r="H1271">
        <f>IF(OR($F1271="",$G1271=""),"",IF(ISNUMBER(Sync!$AE1271),INT(MOD(Sync!$AE1271,10000)/100),IFERROR(VALUE(TRIM(LEFT(MID(Sync!$AE1271,FIND("/",Sync!$AE1271)+1,20),FIND("/",MID(Sync!$AE1271,FIND("/",Sync!$AE1271)+1,20))-1))),"")))</f>
        <v/>
      </c>
      <c r="I1271">
        <f>IF(OR($F1271="",$G1271=""),"",IF(ISNUMBER(Sync!$AE1271),MOD(Sync!$AE1271,100),IFERROR(VALUE(TRIM(MID(MID(Sync!$AE1271,FIND("/",Sync!$AE1271)+1,20),FIND("/",MID(Sync!$AE1271,FIND("/",Sync!$AE1271)+1,20))+1,20))),"")))</f>
        <v/>
      </c>
      <c r="J1271">
        <f>IF($F1271="","",IF(OR($G1271="",$H1271="",$I1271="",$G1271&lt;1300,$G1271&gt;1500,$H1271&lt;1,$H1271&gt;12,$I1271&lt;1,$I1271&gt;31),"نامعتبر",RIGHT("0000"&amp;$G1271,4)&amp;"/"&amp;RIGHT("00"&amp;$H1271,2)&amp;"/"&amp;RIGHT("00"&amp;$I1271,2)))</f>
        <v/>
      </c>
      <c r="K1271">
        <f>IF(OR($F1271="",$J1271="",$J1271="نامعتبر"),"",LEFT($J1271,4)&amp;MID($J1271,6,2)&amp;RIGHT($J1271,2)&amp;$N1271&amp;"|"&amp;"2"&amp;RIGHT("00000"&amp;1266,5))</f>
        <v/>
      </c>
      <c r="L1271">
        <f>IF($K1271="","",COUNTIFS(LdgSellerA,$F1271,LdgKeyA,"&lt;"&amp;$K1271)+COUNTIFS(LdgSellerB,$F1271,LdgKeyB,"&lt;"&amp;$K1271)+1)</f>
        <v/>
      </c>
      <c r="M1271">
        <f>IF($L1271="","",$F1271&amp;"|"&amp;RIGHT("000000"&amp;$L1271,6))</f>
        <v/>
      </c>
      <c r="N1271">
        <f>IF($F1271="","",IF(Sync!$AF1271="","0000",IF(AND(ISNUMBER(Sync!$AF1271),Sync!$AF1271&gt;=0,Sync!$AF1271&lt;1),RIGHT("00"&amp;HOUR(Sync!$AF1271),2)&amp;RIGHT("00"&amp;MINUTE(Sync!$AF1271),2),IFERROR(RIGHT("00"&amp;VALUE(LEFT(Sync!$AF1271,FIND(":",Sync!$AF1271)-1)),2)&amp;RIGHT("00"&amp;VALUE(MID(Sync!$AF1271,FIND(":",Sync!$AF1271)+1,2)),2),"0000"))))</f>
        <v/>
      </c>
    </row>
    <row r="1272">
      <c r="A1272">
        <f>IF(OR(Calc!$E1276="",Calc!$E1276="نامعتبر",Calc!$G1276=""),"",Calc!$G1276)</f>
        <v/>
      </c>
      <c r="B1272">
        <f>IF($A1272="","",LEFT(Calc!$E1276,4)&amp;MID(Calc!$E1276,6,2)&amp;RIGHT(Calc!$E1276,2)&amp;Calc!$Q1276&amp;"|"&amp;"1"&amp;RIGHT("00000"&amp;1267,5))</f>
        <v/>
      </c>
      <c r="C1272">
        <f>IF($B1272="","",COUNTIFS(LdgSellerA,$A1272,LdgKeyA,"&lt;"&amp;$B1272)+COUNTIFS(LdgSellerB,$A1272,LdgKeyB,"&lt;"&amp;$B1272)+1)</f>
        <v/>
      </c>
      <c r="D1272">
        <f>IF($C1272="","",$A1272&amp;"|"&amp;RIGHT("000000"&amp;$C1272,6))</f>
        <v/>
      </c>
      <c r="F1272">
        <f>IF(Sync!$AH1272="","",IF(LEFT(UPPER(TRIM(Sync!$AH1272)),2)="SL",UPPER(TRIM(Sync!$AH1272)),""))</f>
        <v/>
      </c>
      <c r="G1272">
        <f>IF($F1272="","",IF(Sync!$AE1272="","",IF(ISNUMBER(Sync!$AE1272),IF(AND(Sync!$AE1272&gt;=10000101,Sync!$AE1272&lt;=99991231),INT(Sync!$AE1272/10000),""),IFERROR(VALUE(TRIM(LEFT(Sync!$AE1272,FIND("/",Sync!$AE1272)-1))),""))))</f>
        <v/>
      </c>
      <c r="H1272">
        <f>IF(OR($F1272="",$G1272=""),"",IF(ISNUMBER(Sync!$AE1272),INT(MOD(Sync!$AE1272,10000)/100),IFERROR(VALUE(TRIM(LEFT(MID(Sync!$AE1272,FIND("/",Sync!$AE1272)+1,20),FIND("/",MID(Sync!$AE1272,FIND("/",Sync!$AE1272)+1,20))-1))),"")))</f>
        <v/>
      </c>
      <c r="I1272">
        <f>IF(OR($F1272="",$G1272=""),"",IF(ISNUMBER(Sync!$AE1272),MOD(Sync!$AE1272,100),IFERROR(VALUE(TRIM(MID(MID(Sync!$AE1272,FIND("/",Sync!$AE1272)+1,20),FIND("/",MID(Sync!$AE1272,FIND("/",Sync!$AE1272)+1,20))+1,20))),"")))</f>
        <v/>
      </c>
      <c r="J1272">
        <f>IF($F1272="","",IF(OR($G1272="",$H1272="",$I1272="",$G1272&lt;1300,$G1272&gt;1500,$H1272&lt;1,$H1272&gt;12,$I1272&lt;1,$I1272&gt;31),"نامعتبر",RIGHT("0000"&amp;$G1272,4)&amp;"/"&amp;RIGHT("00"&amp;$H1272,2)&amp;"/"&amp;RIGHT("00"&amp;$I1272,2)))</f>
        <v/>
      </c>
      <c r="K1272">
        <f>IF(OR($F1272="",$J1272="",$J1272="نامعتبر"),"",LEFT($J1272,4)&amp;MID($J1272,6,2)&amp;RIGHT($J1272,2)&amp;$N1272&amp;"|"&amp;"2"&amp;RIGHT("00000"&amp;1267,5))</f>
        <v/>
      </c>
      <c r="L1272">
        <f>IF($K1272="","",COUNTIFS(LdgSellerA,$F1272,LdgKeyA,"&lt;"&amp;$K1272)+COUNTIFS(LdgSellerB,$F1272,LdgKeyB,"&lt;"&amp;$K1272)+1)</f>
        <v/>
      </c>
      <c r="M1272">
        <f>IF($L1272="","",$F1272&amp;"|"&amp;RIGHT("000000"&amp;$L1272,6))</f>
        <v/>
      </c>
      <c r="N1272">
        <f>IF($F1272="","",IF(Sync!$AF1272="","0000",IF(AND(ISNUMBER(Sync!$AF1272),Sync!$AF1272&gt;=0,Sync!$AF1272&lt;1),RIGHT("00"&amp;HOUR(Sync!$AF1272),2)&amp;RIGHT("00"&amp;MINUTE(Sync!$AF1272),2),IFERROR(RIGHT("00"&amp;VALUE(LEFT(Sync!$AF1272,FIND(":",Sync!$AF1272)-1)),2)&amp;RIGHT("00"&amp;VALUE(MID(Sync!$AF1272,FIND(":",Sync!$AF1272)+1,2)),2),"0000"))))</f>
        <v/>
      </c>
    </row>
    <row r="1273">
      <c r="A1273">
        <f>IF(OR(Calc!$E1277="",Calc!$E1277="نامعتبر",Calc!$G1277=""),"",Calc!$G1277)</f>
        <v/>
      </c>
      <c r="B1273">
        <f>IF($A1273="","",LEFT(Calc!$E1277,4)&amp;MID(Calc!$E1277,6,2)&amp;RIGHT(Calc!$E1277,2)&amp;Calc!$Q1277&amp;"|"&amp;"1"&amp;RIGHT("00000"&amp;1268,5))</f>
        <v/>
      </c>
      <c r="C1273">
        <f>IF($B1273="","",COUNTIFS(LdgSellerA,$A1273,LdgKeyA,"&lt;"&amp;$B1273)+COUNTIFS(LdgSellerB,$A1273,LdgKeyB,"&lt;"&amp;$B1273)+1)</f>
        <v/>
      </c>
      <c r="D1273">
        <f>IF($C1273="","",$A1273&amp;"|"&amp;RIGHT("000000"&amp;$C1273,6))</f>
        <v/>
      </c>
      <c r="F1273">
        <f>IF(Sync!$AH1273="","",IF(LEFT(UPPER(TRIM(Sync!$AH1273)),2)="SL",UPPER(TRIM(Sync!$AH1273)),""))</f>
        <v/>
      </c>
      <c r="G1273">
        <f>IF($F1273="","",IF(Sync!$AE1273="","",IF(ISNUMBER(Sync!$AE1273),IF(AND(Sync!$AE1273&gt;=10000101,Sync!$AE1273&lt;=99991231),INT(Sync!$AE1273/10000),""),IFERROR(VALUE(TRIM(LEFT(Sync!$AE1273,FIND("/",Sync!$AE1273)-1))),""))))</f>
        <v/>
      </c>
      <c r="H1273">
        <f>IF(OR($F1273="",$G1273=""),"",IF(ISNUMBER(Sync!$AE1273),INT(MOD(Sync!$AE1273,10000)/100),IFERROR(VALUE(TRIM(LEFT(MID(Sync!$AE1273,FIND("/",Sync!$AE1273)+1,20),FIND("/",MID(Sync!$AE1273,FIND("/",Sync!$AE1273)+1,20))-1))),"")))</f>
        <v/>
      </c>
      <c r="I1273">
        <f>IF(OR($F1273="",$G1273=""),"",IF(ISNUMBER(Sync!$AE1273),MOD(Sync!$AE1273,100),IFERROR(VALUE(TRIM(MID(MID(Sync!$AE1273,FIND("/",Sync!$AE1273)+1,20),FIND("/",MID(Sync!$AE1273,FIND("/",Sync!$AE1273)+1,20))+1,20))),"")))</f>
        <v/>
      </c>
      <c r="J1273">
        <f>IF($F1273="","",IF(OR($G1273="",$H1273="",$I1273="",$G1273&lt;1300,$G1273&gt;1500,$H1273&lt;1,$H1273&gt;12,$I1273&lt;1,$I1273&gt;31),"نامعتبر",RIGHT("0000"&amp;$G1273,4)&amp;"/"&amp;RIGHT("00"&amp;$H1273,2)&amp;"/"&amp;RIGHT("00"&amp;$I1273,2)))</f>
        <v/>
      </c>
      <c r="K1273">
        <f>IF(OR($F1273="",$J1273="",$J1273="نامعتبر"),"",LEFT($J1273,4)&amp;MID($J1273,6,2)&amp;RIGHT($J1273,2)&amp;$N1273&amp;"|"&amp;"2"&amp;RIGHT("00000"&amp;1268,5))</f>
        <v/>
      </c>
      <c r="L1273">
        <f>IF($K1273="","",COUNTIFS(LdgSellerA,$F1273,LdgKeyA,"&lt;"&amp;$K1273)+COUNTIFS(LdgSellerB,$F1273,LdgKeyB,"&lt;"&amp;$K1273)+1)</f>
        <v/>
      </c>
      <c r="M1273">
        <f>IF($L1273="","",$F1273&amp;"|"&amp;RIGHT("000000"&amp;$L1273,6))</f>
        <v/>
      </c>
      <c r="N1273">
        <f>IF($F1273="","",IF(Sync!$AF1273="","0000",IF(AND(ISNUMBER(Sync!$AF1273),Sync!$AF1273&gt;=0,Sync!$AF1273&lt;1),RIGHT("00"&amp;HOUR(Sync!$AF1273),2)&amp;RIGHT("00"&amp;MINUTE(Sync!$AF1273),2),IFERROR(RIGHT("00"&amp;VALUE(LEFT(Sync!$AF1273,FIND(":",Sync!$AF1273)-1)),2)&amp;RIGHT("00"&amp;VALUE(MID(Sync!$AF1273,FIND(":",Sync!$AF1273)+1,2)),2),"0000"))))</f>
        <v/>
      </c>
    </row>
    <row r="1274">
      <c r="A1274">
        <f>IF(OR(Calc!$E1278="",Calc!$E1278="نامعتبر",Calc!$G1278=""),"",Calc!$G1278)</f>
        <v/>
      </c>
      <c r="B1274">
        <f>IF($A1274="","",LEFT(Calc!$E1278,4)&amp;MID(Calc!$E1278,6,2)&amp;RIGHT(Calc!$E1278,2)&amp;Calc!$Q1278&amp;"|"&amp;"1"&amp;RIGHT("00000"&amp;1269,5))</f>
        <v/>
      </c>
      <c r="C1274">
        <f>IF($B1274="","",COUNTIFS(LdgSellerA,$A1274,LdgKeyA,"&lt;"&amp;$B1274)+COUNTIFS(LdgSellerB,$A1274,LdgKeyB,"&lt;"&amp;$B1274)+1)</f>
        <v/>
      </c>
      <c r="D1274">
        <f>IF($C1274="","",$A1274&amp;"|"&amp;RIGHT("000000"&amp;$C1274,6))</f>
        <v/>
      </c>
      <c r="F1274">
        <f>IF(Sync!$AH1274="","",IF(LEFT(UPPER(TRIM(Sync!$AH1274)),2)="SL",UPPER(TRIM(Sync!$AH1274)),""))</f>
        <v/>
      </c>
      <c r="G1274">
        <f>IF($F1274="","",IF(Sync!$AE1274="","",IF(ISNUMBER(Sync!$AE1274),IF(AND(Sync!$AE1274&gt;=10000101,Sync!$AE1274&lt;=99991231),INT(Sync!$AE1274/10000),""),IFERROR(VALUE(TRIM(LEFT(Sync!$AE1274,FIND("/",Sync!$AE1274)-1))),""))))</f>
        <v/>
      </c>
      <c r="H1274">
        <f>IF(OR($F1274="",$G1274=""),"",IF(ISNUMBER(Sync!$AE1274),INT(MOD(Sync!$AE1274,10000)/100),IFERROR(VALUE(TRIM(LEFT(MID(Sync!$AE1274,FIND("/",Sync!$AE1274)+1,20),FIND("/",MID(Sync!$AE1274,FIND("/",Sync!$AE1274)+1,20))-1))),"")))</f>
        <v/>
      </c>
      <c r="I1274">
        <f>IF(OR($F1274="",$G1274=""),"",IF(ISNUMBER(Sync!$AE1274),MOD(Sync!$AE1274,100),IFERROR(VALUE(TRIM(MID(MID(Sync!$AE1274,FIND("/",Sync!$AE1274)+1,20),FIND("/",MID(Sync!$AE1274,FIND("/",Sync!$AE1274)+1,20))+1,20))),"")))</f>
        <v/>
      </c>
      <c r="J1274">
        <f>IF($F1274="","",IF(OR($G1274="",$H1274="",$I1274="",$G1274&lt;1300,$G1274&gt;1500,$H1274&lt;1,$H1274&gt;12,$I1274&lt;1,$I1274&gt;31),"نامعتبر",RIGHT("0000"&amp;$G1274,4)&amp;"/"&amp;RIGHT("00"&amp;$H1274,2)&amp;"/"&amp;RIGHT("00"&amp;$I1274,2)))</f>
        <v/>
      </c>
      <c r="K1274">
        <f>IF(OR($F1274="",$J1274="",$J1274="نامعتبر"),"",LEFT($J1274,4)&amp;MID($J1274,6,2)&amp;RIGHT($J1274,2)&amp;$N1274&amp;"|"&amp;"2"&amp;RIGHT("00000"&amp;1269,5))</f>
        <v/>
      </c>
      <c r="L1274">
        <f>IF($K1274="","",COUNTIFS(LdgSellerA,$F1274,LdgKeyA,"&lt;"&amp;$K1274)+COUNTIFS(LdgSellerB,$F1274,LdgKeyB,"&lt;"&amp;$K1274)+1)</f>
        <v/>
      </c>
      <c r="M1274">
        <f>IF($L1274="","",$F1274&amp;"|"&amp;RIGHT("000000"&amp;$L1274,6))</f>
        <v/>
      </c>
      <c r="N1274">
        <f>IF($F1274="","",IF(Sync!$AF1274="","0000",IF(AND(ISNUMBER(Sync!$AF1274),Sync!$AF1274&gt;=0,Sync!$AF1274&lt;1),RIGHT("00"&amp;HOUR(Sync!$AF1274),2)&amp;RIGHT("00"&amp;MINUTE(Sync!$AF1274),2),IFERROR(RIGHT("00"&amp;VALUE(LEFT(Sync!$AF1274,FIND(":",Sync!$AF1274)-1)),2)&amp;RIGHT("00"&amp;VALUE(MID(Sync!$AF1274,FIND(":",Sync!$AF1274)+1,2)),2),"0000"))))</f>
        <v/>
      </c>
    </row>
    <row r="1275">
      <c r="A1275">
        <f>IF(OR(Calc!$E1279="",Calc!$E1279="نامعتبر",Calc!$G1279=""),"",Calc!$G1279)</f>
        <v/>
      </c>
      <c r="B1275">
        <f>IF($A1275="","",LEFT(Calc!$E1279,4)&amp;MID(Calc!$E1279,6,2)&amp;RIGHT(Calc!$E1279,2)&amp;Calc!$Q1279&amp;"|"&amp;"1"&amp;RIGHT("00000"&amp;1270,5))</f>
        <v/>
      </c>
      <c r="C1275">
        <f>IF($B1275="","",COUNTIFS(LdgSellerA,$A1275,LdgKeyA,"&lt;"&amp;$B1275)+COUNTIFS(LdgSellerB,$A1275,LdgKeyB,"&lt;"&amp;$B1275)+1)</f>
        <v/>
      </c>
      <c r="D1275">
        <f>IF($C1275="","",$A1275&amp;"|"&amp;RIGHT("000000"&amp;$C1275,6))</f>
        <v/>
      </c>
      <c r="F1275">
        <f>IF(Sync!$AH1275="","",IF(LEFT(UPPER(TRIM(Sync!$AH1275)),2)="SL",UPPER(TRIM(Sync!$AH1275)),""))</f>
        <v/>
      </c>
      <c r="G1275">
        <f>IF($F1275="","",IF(Sync!$AE1275="","",IF(ISNUMBER(Sync!$AE1275),IF(AND(Sync!$AE1275&gt;=10000101,Sync!$AE1275&lt;=99991231),INT(Sync!$AE1275/10000),""),IFERROR(VALUE(TRIM(LEFT(Sync!$AE1275,FIND("/",Sync!$AE1275)-1))),""))))</f>
        <v/>
      </c>
      <c r="H1275">
        <f>IF(OR($F1275="",$G1275=""),"",IF(ISNUMBER(Sync!$AE1275),INT(MOD(Sync!$AE1275,10000)/100),IFERROR(VALUE(TRIM(LEFT(MID(Sync!$AE1275,FIND("/",Sync!$AE1275)+1,20),FIND("/",MID(Sync!$AE1275,FIND("/",Sync!$AE1275)+1,20))-1))),"")))</f>
        <v/>
      </c>
      <c r="I1275">
        <f>IF(OR($F1275="",$G1275=""),"",IF(ISNUMBER(Sync!$AE1275),MOD(Sync!$AE1275,100),IFERROR(VALUE(TRIM(MID(MID(Sync!$AE1275,FIND("/",Sync!$AE1275)+1,20),FIND("/",MID(Sync!$AE1275,FIND("/",Sync!$AE1275)+1,20))+1,20))),"")))</f>
        <v/>
      </c>
      <c r="J1275">
        <f>IF($F1275="","",IF(OR($G1275="",$H1275="",$I1275="",$G1275&lt;1300,$G1275&gt;1500,$H1275&lt;1,$H1275&gt;12,$I1275&lt;1,$I1275&gt;31),"نامعتبر",RIGHT("0000"&amp;$G1275,4)&amp;"/"&amp;RIGHT("00"&amp;$H1275,2)&amp;"/"&amp;RIGHT("00"&amp;$I1275,2)))</f>
        <v/>
      </c>
      <c r="K1275">
        <f>IF(OR($F1275="",$J1275="",$J1275="نامعتبر"),"",LEFT($J1275,4)&amp;MID($J1275,6,2)&amp;RIGHT($J1275,2)&amp;$N1275&amp;"|"&amp;"2"&amp;RIGHT("00000"&amp;1270,5))</f>
        <v/>
      </c>
      <c r="L1275">
        <f>IF($K1275="","",COUNTIFS(LdgSellerA,$F1275,LdgKeyA,"&lt;"&amp;$K1275)+COUNTIFS(LdgSellerB,$F1275,LdgKeyB,"&lt;"&amp;$K1275)+1)</f>
        <v/>
      </c>
      <c r="M1275">
        <f>IF($L1275="","",$F1275&amp;"|"&amp;RIGHT("000000"&amp;$L1275,6))</f>
        <v/>
      </c>
      <c r="N1275">
        <f>IF($F1275="","",IF(Sync!$AF1275="","0000",IF(AND(ISNUMBER(Sync!$AF1275),Sync!$AF1275&gt;=0,Sync!$AF1275&lt;1),RIGHT("00"&amp;HOUR(Sync!$AF1275),2)&amp;RIGHT("00"&amp;MINUTE(Sync!$AF1275),2),IFERROR(RIGHT("00"&amp;VALUE(LEFT(Sync!$AF1275,FIND(":",Sync!$AF1275)-1)),2)&amp;RIGHT("00"&amp;VALUE(MID(Sync!$AF1275,FIND(":",Sync!$AF1275)+1,2)),2),"0000"))))</f>
        <v/>
      </c>
    </row>
    <row r="1276">
      <c r="A1276">
        <f>IF(OR(Calc!$E1280="",Calc!$E1280="نامعتبر",Calc!$G1280=""),"",Calc!$G1280)</f>
        <v/>
      </c>
      <c r="B1276">
        <f>IF($A1276="","",LEFT(Calc!$E1280,4)&amp;MID(Calc!$E1280,6,2)&amp;RIGHT(Calc!$E1280,2)&amp;Calc!$Q1280&amp;"|"&amp;"1"&amp;RIGHT("00000"&amp;1271,5))</f>
        <v/>
      </c>
      <c r="C1276">
        <f>IF($B1276="","",COUNTIFS(LdgSellerA,$A1276,LdgKeyA,"&lt;"&amp;$B1276)+COUNTIFS(LdgSellerB,$A1276,LdgKeyB,"&lt;"&amp;$B1276)+1)</f>
        <v/>
      </c>
      <c r="D1276">
        <f>IF($C1276="","",$A1276&amp;"|"&amp;RIGHT("000000"&amp;$C1276,6))</f>
        <v/>
      </c>
      <c r="F1276">
        <f>IF(Sync!$AH1276="","",IF(LEFT(UPPER(TRIM(Sync!$AH1276)),2)="SL",UPPER(TRIM(Sync!$AH1276)),""))</f>
        <v/>
      </c>
      <c r="G1276">
        <f>IF($F1276="","",IF(Sync!$AE1276="","",IF(ISNUMBER(Sync!$AE1276),IF(AND(Sync!$AE1276&gt;=10000101,Sync!$AE1276&lt;=99991231),INT(Sync!$AE1276/10000),""),IFERROR(VALUE(TRIM(LEFT(Sync!$AE1276,FIND("/",Sync!$AE1276)-1))),""))))</f>
        <v/>
      </c>
      <c r="H1276">
        <f>IF(OR($F1276="",$G1276=""),"",IF(ISNUMBER(Sync!$AE1276),INT(MOD(Sync!$AE1276,10000)/100),IFERROR(VALUE(TRIM(LEFT(MID(Sync!$AE1276,FIND("/",Sync!$AE1276)+1,20),FIND("/",MID(Sync!$AE1276,FIND("/",Sync!$AE1276)+1,20))-1))),"")))</f>
        <v/>
      </c>
      <c r="I1276">
        <f>IF(OR($F1276="",$G1276=""),"",IF(ISNUMBER(Sync!$AE1276),MOD(Sync!$AE1276,100),IFERROR(VALUE(TRIM(MID(MID(Sync!$AE1276,FIND("/",Sync!$AE1276)+1,20),FIND("/",MID(Sync!$AE1276,FIND("/",Sync!$AE1276)+1,20))+1,20))),"")))</f>
        <v/>
      </c>
      <c r="J1276">
        <f>IF($F1276="","",IF(OR($G1276="",$H1276="",$I1276="",$G1276&lt;1300,$G1276&gt;1500,$H1276&lt;1,$H1276&gt;12,$I1276&lt;1,$I1276&gt;31),"نامعتبر",RIGHT("0000"&amp;$G1276,4)&amp;"/"&amp;RIGHT("00"&amp;$H1276,2)&amp;"/"&amp;RIGHT("00"&amp;$I1276,2)))</f>
        <v/>
      </c>
      <c r="K1276">
        <f>IF(OR($F1276="",$J1276="",$J1276="نامعتبر"),"",LEFT($J1276,4)&amp;MID($J1276,6,2)&amp;RIGHT($J1276,2)&amp;$N1276&amp;"|"&amp;"2"&amp;RIGHT("00000"&amp;1271,5))</f>
        <v/>
      </c>
      <c r="L1276">
        <f>IF($K1276="","",COUNTIFS(LdgSellerA,$F1276,LdgKeyA,"&lt;"&amp;$K1276)+COUNTIFS(LdgSellerB,$F1276,LdgKeyB,"&lt;"&amp;$K1276)+1)</f>
        <v/>
      </c>
      <c r="M1276">
        <f>IF($L1276="","",$F1276&amp;"|"&amp;RIGHT("000000"&amp;$L1276,6))</f>
        <v/>
      </c>
      <c r="N1276">
        <f>IF($F1276="","",IF(Sync!$AF1276="","0000",IF(AND(ISNUMBER(Sync!$AF1276),Sync!$AF1276&gt;=0,Sync!$AF1276&lt;1),RIGHT("00"&amp;HOUR(Sync!$AF1276),2)&amp;RIGHT("00"&amp;MINUTE(Sync!$AF1276),2),IFERROR(RIGHT("00"&amp;VALUE(LEFT(Sync!$AF1276,FIND(":",Sync!$AF1276)-1)),2)&amp;RIGHT("00"&amp;VALUE(MID(Sync!$AF1276,FIND(":",Sync!$AF1276)+1,2)),2),"0000"))))</f>
        <v/>
      </c>
    </row>
    <row r="1277">
      <c r="A1277">
        <f>IF(OR(Calc!$E1281="",Calc!$E1281="نامعتبر",Calc!$G1281=""),"",Calc!$G1281)</f>
        <v/>
      </c>
      <c r="B1277">
        <f>IF($A1277="","",LEFT(Calc!$E1281,4)&amp;MID(Calc!$E1281,6,2)&amp;RIGHT(Calc!$E1281,2)&amp;Calc!$Q1281&amp;"|"&amp;"1"&amp;RIGHT("00000"&amp;1272,5))</f>
        <v/>
      </c>
      <c r="C1277">
        <f>IF($B1277="","",COUNTIFS(LdgSellerA,$A1277,LdgKeyA,"&lt;"&amp;$B1277)+COUNTIFS(LdgSellerB,$A1277,LdgKeyB,"&lt;"&amp;$B1277)+1)</f>
        <v/>
      </c>
      <c r="D1277">
        <f>IF($C1277="","",$A1277&amp;"|"&amp;RIGHT("000000"&amp;$C1277,6))</f>
        <v/>
      </c>
      <c r="F1277">
        <f>IF(Sync!$AH1277="","",IF(LEFT(UPPER(TRIM(Sync!$AH1277)),2)="SL",UPPER(TRIM(Sync!$AH1277)),""))</f>
        <v/>
      </c>
      <c r="G1277">
        <f>IF($F1277="","",IF(Sync!$AE1277="","",IF(ISNUMBER(Sync!$AE1277),IF(AND(Sync!$AE1277&gt;=10000101,Sync!$AE1277&lt;=99991231),INT(Sync!$AE1277/10000),""),IFERROR(VALUE(TRIM(LEFT(Sync!$AE1277,FIND("/",Sync!$AE1277)-1))),""))))</f>
        <v/>
      </c>
      <c r="H1277">
        <f>IF(OR($F1277="",$G1277=""),"",IF(ISNUMBER(Sync!$AE1277),INT(MOD(Sync!$AE1277,10000)/100),IFERROR(VALUE(TRIM(LEFT(MID(Sync!$AE1277,FIND("/",Sync!$AE1277)+1,20),FIND("/",MID(Sync!$AE1277,FIND("/",Sync!$AE1277)+1,20))-1))),"")))</f>
        <v/>
      </c>
      <c r="I1277">
        <f>IF(OR($F1277="",$G1277=""),"",IF(ISNUMBER(Sync!$AE1277),MOD(Sync!$AE1277,100),IFERROR(VALUE(TRIM(MID(MID(Sync!$AE1277,FIND("/",Sync!$AE1277)+1,20),FIND("/",MID(Sync!$AE1277,FIND("/",Sync!$AE1277)+1,20))+1,20))),"")))</f>
        <v/>
      </c>
      <c r="J1277">
        <f>IF($F1277="","",IF(OR($G1277="",$H1277="",$I1277="",$G1277&lt;1300,$G1277&gt;1500,$H1277&lt;1,$H1277&gt;12,$I1277&lt;1,$I1277&gt;31),"نامعتبر",RIGHT("0000"&amp;$G1277,4)&amp;"/"&amp;RIGHT("00"&amp;$H1277,2)&amp;"/"&amp;RIGHT("00"&amp;$I1277,2)))</f>
        <v/>
      </c>
      <c r="K1277">
        <f>IF(OR($F1277="",$J1277="",$J1277="نامعتبر"),"",LEFT($J1277,4)&amp;MID($J1277,6,2)&amp;RIGHT($J1277,2)&amp;$N1277&amp;"|"&amp;"2"&amp;RIGHT("00000"&amp;1272,5))</f>
        <v/>
      </c>
      <c r="L1277">
        <f>IF($K1277="","",COUNTIFS(LdgSellerA,$F1277,LdgKeyA,"&lt;"&amp;$K1277)+COUNTIFS(LdgSellerB,$F1277,LdgKeyB,"&lt;"&amp;$K1277)+1)</f>
        <v/>
      </c>
      <c r="M1277">
        <f>IF($L1277="","",$F1277&amp;"|"&amp;RIGHT("000000"&amp;$L1277,6))</f>
        <v/>
      </c>
      <c r="N1277">
        <f>IF($F1277="","",IF(Sync!$AF1277="","0000",IF(AND(ISNUMBER(Sync!$AF1277),Sync!$AF1277&gt;=0,Sync!$AF1277&lt;1),RIGHT("00"&amp;HOUR(Sync!$AF1277),2)&amp;RIGHT("00"&amp;MINUTE(Sync!$AF1277),2),IFERROR(RIGHT("00"&amp;VALUE(LEFT(Sync!$AF1277,FIND(":",Sync!$AF1277)-1)),2)&amp;RIGHT("00"&amp;VALUE(MID(Sync!$AF1277,FIND(":",Sync!$AF1277)+1,2)),2),"0000"))))</f>
        <v/>
      </c>
    </row>
    <row r="1278">
      <c r="A1278">
        <f>IF(OR(Calc!$E1282="",Calc!$E1282="نامعتبر",Calc!$G1282=""),"",Calc!$G1282)</f>
        <v/>
      </c>
      <c r="B1278">
        <f>IF($A1278="","",LEFT(Calc!$E1282,4)&amp;MID(Calc!$E1282,6,2)&amp;RIGHT(Calc!$E1282,2)&amp;Calc!$Q1282&amp;"|"&amp;"1"&amp;RIGHT("00000"&amp;1273,5))</f>
        <v/>
      </c>
      <c r="C1278">
        <f>IF($B1278="","",COUNTIFS(LdgSellerA,$A1278,LdgKeyA,"&lt;"&amp;$B1278)+COUNTIFS(LdgSellerB,$A1278,LdgKeyB,"&lt;"&amp;$B1278)+1)</f>
        <v/>
      </c>
      <c r="D1278">
        <f>IF($C1278="","",$A1278&amp;"|"&amp;RIGHT("000000"&amp;$C1278,6))</f>
        <v/>
      </c>
      <c r="F1278">
        <f>IF(Sync!$AH1278="","",IF(LEFT(UPPER(TRIM(Sync!$AH1278)),2)="SL",UPPER(TRIM(Sync!$AH1278)),""))</f>
        <v/>
      </c>
      <c r="G1278">
        <f>IF($F1278="","",IF(Sync!$AE1278="","",IF(ISNUMBER(Sync!$AE1278),IF(AND(Sync!$AE1278&gt;=10000101,Sync!$AE1278&lt;=99991231),INT(Sync!$AE1278/10000),""),IFERROR(VALUE(TRIM(LEFT(Sync!$AE1278,FIND("/",Sync!$AE1278)-1))),""))))</f>
        <v/>
      </c>
      <c r="H1278">
        <f>IF(OR($F1278="",$G1278=""),"",IF(ISNUMBER(Sync!$AE1278),INT(MOD(Sync!$AE1278,10000)/100),IFERROR(VALUE(TRIM(LEFT(MID(Sync!$AE1278,FIND("/",Sync!$AE1278)+1,20),FIND("/",MID(Sync!$AE1278,FIND("/",Sync!$AE1278)+1,20))-1))),"")))</f>
        <v/>
      </c>
      <c r="I1278">
        <f>IF(OR($F1278="",$G1278=""),"",IF(ISNUMBER(Sync!$AE1278),MOD(Sync!$AE1278,100),IFERROR(VALUE(TRIM(MID(MID(Sync!$AE1278,FIND("/",Sync!$AE1278)+1,20),FIND("/",MID(Sync!$AE1278,FIND("/",Sync!$AE1278)+1,20))+1,20))),"")))</f>
        <v/>
      </c>
      <c r="J1278">
        <f>IF($F1278="","",IF(OR($G1278="",$H1278="",$I1278="",$G1278&lt;1300,$G1278&gt;1500,$H1278&lt;1,$H1278&gt;12,$I1278&lt;1,$I1278&gt;31),"نامعتبر",RIGHT("0000"&amp;$G1278,4)&amp;"/"&amp;RIGHT("00"&amp;$H1278,2)&amp;"/"&amp;RIGHT("00"&amp;$I1278,2)))</f>
        <v/>
      </c>
      <c r="K1278">
        <f>IF(OR($F1278="",$J1278="",$J1278="نامعتبر"),"",LEFT($J1278,4)&amp;MID($J1278,6,2)&amp;RIGHT($J1278,2)&amp;$N1278&amp;"|"&amp;"2"&amp;RIGHT("00000"&amp;1273,5))</f>
        <v/>
      </c>
      <c r="L1278">
        <f>IF($K1278="","",COUNTIFS(LdgSellerA,$F1278,LdgKeyA,"&lt;"&amp;$K1278)+COUNTIFS(LdgSellerB,$F1278,LdgKeyB,"&lt;"&amp;$K1278)+1)</f>
        <v/>
      </c>
      <c r="M1278">
        <f>IF($L1278="","",$F1278&amp;"|"&amp;RIGHT("000000"&amp;$L1278,6))</f>
        <v/>
      </c>
      <c r="N1278">
        <f>IF($F1278="","",IF(Sync!$AF1278="","0000",IF(AND(ISNUMBER(Sync!$AF1278),Sync!$AF1278&gt;=0,Sync!$AF1278&lt;1),RIGHT("00"&amp;HOUR(Sync!$AF1278),2)&amp;RIGHT("00"&amp;MINUTE(Sync!$AF1278),2),IFERROR(RIGHT("00"&amp;VALUE(LEFT(Sync!$AF1278,FIND(":",Sync!$AF1278)-1)),2)&amp;RIGHT("00"&amp;VALUE(MID(Sync!$AF1278,FIND(":",Sync!$AF1278)+1,2)),2),"0000"))))</f>
        <v/>
      </c>
    </row>
    <row r="1279">
      <c r="A1279">
        <f>IF(OR(Calc!$E1283="",Calc!$E1283="نامعتبر",Calc!$G1283=""),"",Calc!$G1283)</f>
        <v/>
      </c>
      <c r="B1279">
        <f>IF($A1279="","",LEFT(Calc!$E1283,4)&amp;MID(Calc!$E1283,6,2)&amp;RIGHT(Calc!$E1283,2)&amp;Calc!$Q1283&amp;"|"&amp;"1"&amp;RIGHT("00000"&amp;1274,5))</f>
        <v/>
      </c>
      <c r="C1279">
        <f>IF($B1279="","",COUNTIFS(LdgSellerA,$A1279,LdgKeyA,"&lt;"&amp;$B1279)+COUNTIFS(LdgSellerB,$A1279,LdgKeyB,"&lt;"&amp;$B1279)+1)</f>
        <v/>
      </c>
      <c r="D1279">
        <f>IF($C1279="","",$A1279&amp;"|"&amp;RIGHT("000000"&amp;$C1279,6))</f>
        <v/>
      </c>
      <c r="F1279">
        <f>IF(Sync!$AH1279="","",IF(LEFT(UPPER(TRIM(Sync!$AH1279)),2)="SL",UPPER(TRIM(Sync!$AH1279)),""))</f>
        <v/>
      </c>
      <c r="G1279">
        <f>IF($F1279="","",IF(Sync!$AE1279="","",IF(ISNUMBER(Sync!$AE1279),IF(AND(Sync!$AE1279&gt;=10000101,Sync!$AE1279&lt;=99991231),INT(Sync!$AE1279/10000),""),IFERROR(VALUE(TRIM(LEFT(Sync!$AE1279,FIND("/",Sync!$AE1279)-1))),""))))</f>
        <v/>
      </c>
      <c r="H1279">
        <f>IF(OR($F1279="",$G1279=""),"",IF(ISNUMBER(Sync!$AE1279),INT(MOD(Sync!$AE1279,10000)/100),IFERROR(VALUE(TRIM(LEFT(MID(Sync!$AE1279,FIND("/",Sync!$AE1279)+1,20),FIND("/",MID(Sync!$AE1279,FIND("/",Sync!$AE1279)+1,20))-1))),"")))</f>
        <v/>
      </c>
      <c r="I1279">
        <f>IF(OR($F1279="",$G1279=""),"",IF(ISNUMBER(Sync!$AE1279),MOD(Sync!$AE1279,100),IFERROR(VALUE(TRIM(MID(MID(Sync!$AE1279,FIND("/",Sync!$AE1279)+1,20),FIND("/",MID(Sync!$AE1279,FIND("/",Sync!$AE1279)+1,20))+1,20))),"")))</f>
        <v/>
      </c>
      <c r="J1279">
        <f>IF($F1279="","",IF(OR($G1279="",$H1279="",$I1279="",$G1279&lt;1300,$G1279&gt;1500,$H1279&lt;1,$H1279&gt;12,$I1279&lt;1,$I1279&gt;31),"نامعتبر",RIGHT("0000"&amp;$G1279,4)&amp;"/"&amp;RIGHT("00"&amp;$H1279,2)&amp;"/"&amp;RIGHT("00"&amp;$I1279,2)))</f>
        <v/>
      </c>
      <c r="K1279">
        <f>IF(OR($F1279="",$J1279="",$J1279="نامعتبر"),"",LEFT($J1279,4)&amp;MID($J1279,6,2)&amp;RIGHT($J1279,2)&amp;$N1279&amp;"|"&amp;"2"&amp;RIGHT("00000"&amp;1274,5))</f>
        <v/>
      </c>
      <c r="L1279">
        <f>IF($K1279="","",COUNTIFS(LdgSellerA,$F1279,LdgKeyA,"&lt;"&amp;$K1279)+COUNTIFS(LdgSellerB,$F1279,LdgKeyB,"&lt;"&amp;$K1279)+1)</f>
        <v/>
      </c>
      <c r="M1279">
        <f>IF($L1279="","",$F1279&amp;"|"&amp;RIGHT("000000"&amp;$L1279,6))</f>
        <v/>
      </c>
      <c r="N1279">
        <f>IF($F1279="","",IF(Sync!$AF1279="","0000",IF(AND(ISNUMBER(Sync!$AF1279),Sync!$AF1279&gt;=0,Sync!$AF1279&lt;1),RIGHT("00"&amp;HOUR(Sync!$AF1279),2)&amp;RIGHT("00"&amp;MINUTE(Sync!$AF1279),2),IFERROR(RIGHT("00"&amp;VALUE(LEFT(Sync!$AF1279,FIND(":",Sync!$AF1279)-1)),2)&amp;RIGHT("00"&amp;VALUE(MID(Sync!$AF1279,FIND(":",Sync!$AF1279)+1,2)),2),"0000"))))</f>
        <v/>
      </c>
    </row>
    <row r="1280">
      <c r="A1280">
        <f>IF(OR(Calc!$E1284="",Calc!$E1284="نامعتبر",Calc!$G1284=""),"",Calc!$G1284)</f>
        <v/>
      </c>
      <c r="B1280">
        <f>IF($A1280="","",LEFT(Calc!$E1284,4)&amp;MID(Calc!$E1284,6,2)&amp;RIGHT(Calc!$E1284,2)&amp;Calc!$Q1284&amp;"|"&amp;"1"&amp;RIGHT("00000"&amp;1275,5))</f>
        <v/>
      </c>
      <c r="C1280">
        <f>IF($B1280="","",COUNTIFS(LdgSellerA,$A1280,LdgKeyA,"&lt;"&amp;$B1280)+COUNTIFS(LdgSellerB,$A1280,LdgKeyB,"&lt;"&amp;$B1280)+1)</f>
        <v/>
      </c>
      <c r="D1280">
        <f>IF($C1280="","",$A1280&amp;"|"&amp;RIGHT("000000"&amp;$C1280,6))</f>
        <v/>
      </c>
      <c r="F1280">
        <f>IF(Sync!$AH1280="","",IF(LEFT(UPPER(TRIM(Sync!$AH1280)),2)="SL",UPPER(TRIM(Sync!$AH1280)),""))</f>
        <v/>
      </c>
      <c r="G1280">
        <f>IF($F1280="","",IF(Sync!$AE1280="","",IF(ISNUMBER(Sync!$AE1280),IF(AND(Sync!$AE1280&gt;=10000101,Sync!$AE1280&lt;=99991231),INT(Sync!$AE1280/10000),""),IFERROR(VALUE(TRIM(LEFT(Sync!$AE1280,FIND("/",Sync!$AE1280)-1))),""))))</f>
        <v/>
      </c>
      <c r="H1280">
        <f>IF(OR($F1280="",$G1280=""),"",IF(ISNUMBER(Sync!$AE1280),INT(MOD(Sync!$AE1280,10000)/100),IFERROR(VALUE(TRIM(LEFT(MID(Sync!$AE1280,FIND("/",Sync!$AE1280)+1,20),FIND("/",MID(Sync!$AE1280,FIND("/",Sync!$AE1280)+1,20))-1))),"")))</f>
        <v/>
      </c>
      <c r="I1280">
        <f>IF(OR($F1280="",$G1280=""),"",IF(ISNUMBER(Sync!$AE1280),MOD(Sync!$AE1280,100),IFERROR(VALUE(TRIM(MID(MID(Sync!$AE1280,FIND("/",Sync!$AE1280)+1,20),FIND("/",MID(Sync!$AE1280,FIND("/",Sync!$AE1280)+1,20))+1,20))),"")))</f>
        <v/>
      </c>
      <c r="J1280">
        <f>IF($F1280="","",IF(OR($G1280="",$H1280="",$I1280="",$G1280&lt;1300,$G1280&gt;1500,$H1280&lt;1,$H1280&gt;12,$I1280&lt;1,$I1280&gt;31),"نامعتبر",RIGHT("0000"&amp;$G1280,4)&amp;"/"&amp;RIGHT("00"&amp;$H1280,2)&amp;"/"&amp;RIGHT("00"&amp;$I1280,2)))</f>
        <v/>
      </c>
      <c r="K1280">
        <f>IF(OR($F1280="",$J1280="",$J1280="نامعتبر"),"",LEFT($J1280,4)&amp;MID($J1280,6,2)&amp;RIGHT($J1280,2)&amp;$N1280&amp;"|"&amp;"2"&amp;RIGHT("00000"&amp;1275,5))</f>
        <v/>
      </c>
      <c r="L1280">
        <f>IF($K1280="","",COUNTIFS(LdgSellerA,$F1280,LdgKeyA,"&lt;"&amp;$K1280)+COUNTIFS(LdgSellerB,$F1280,LdgKeyB,"&lt;"&amp;$K1280)+1)</f>
        <v/>
      </c>
      <c r="M1280">
        <f>IF($L1280="","",$F1280&amp;"|"&amp;RIGHT("000000"&amp;$L1280,6))</f>
        <v/>
      </c>
      <c r="N1280">
        <f>IF($F1280="","",IF(Sync!$AF1280="","0000",IF(AND(ISNUMBER(Sync!$AF1280),Sync!$AF1280&gt;=0,Sync!$AF1280&lt;1),RIGHT("00"&amp;HOUR(Sync!$AF1280),2)&amp;RIGHT("00"&amp;MINUTE(Sync!$AF1280),2),IFERROR(RIGHT("00"&amp;VALUE(LEFT(Sync!$AF1280,FIND(":",Sync!$AF1280)-1)),2)&amp;RIGHT("00"&amp;VALUE(MID(Sync!$AF1280,FIND(":",Sync!$AF1280)+1,2)),2),"0000"))))</f>
        <v/>
      </c>
    </row>
    <row r="1281">
      <c r="A1281">
        <f>IF(OR(Calc!$E1285="",Calc!$E1285="نامعتبر",Calc!$G1285=""),"",Calc!$G1285)</f>
        <v/>
      </c>
      <c r="B1281">
        <f>IF($A1281="","",LEFT(Calc!$E1285,4)&amp;MID(Calc!$E1285,6,2)&amp;RIGHT(Calc!$E1285,2)&amp;Calc!$Q1285&amp;"|"&amp;"1"&amp;RIGHT("00000"&amp;1276,5))</f>
        <v/>
      </c>
      <c r="C1281">
        <f>IF($B1281="","",COUNTIFS(LdgSellerA,$A1281,LdgKeyA,"&lt;"&amp;$B1281)+COUNTIFS(LdgSellerB,$A1281,LdgKeyB,"&lt;"&amp;$B1281)+1)</f>
        <v/>
      </c>
      <c r="D1281">
        <f>IF($C1281="","",$A1281&amp;"|"&amp;RIGHT("000000"&amp;$C1281,6))</f>
        <v/>
      </c>
      <c r="F1281">
        <f>IF(Sync!$AH1281="","",IF(LEFT(UPPER(TRIM(Sync!$AH1281)),2)="SL",UPPER(TRIM(Sync!$AH1281)),""))</f>
        <v/>
      </c>
      <c r="G1281">
        <f>IF($F1281="","",IF(Sync!$AE1281="","",IF(ISNUMBER(Sync!$AE1281),IF(AND(Sync!$AE1281&gt;=10000101,Sync!$AE1281&lt;=99991231),INT(Sync!$AE1281/10000),""),IFERROR(VALUE(TRIM(LEFT(Sync!$AE1281,FIND("/",Sync!$AE1281)-1))),""))))</f>
        <v/>
      </c>
      <c r="H1281">
        <f>IF(OR($F1281="",$G1281=""),"",IF(ISNUMBER(Sync!$AE1281),INT(MOD(Sync!$AE1281,10000)/100),IFERROR(VALUE(TRIM(LEFT(MID(Sync!$AE1281,FIND("/",Sync!$AE1281)+1,20),FIND("/",MID(Sync!$AE1281,FIND("/",Sync!$AE1281)+1,20))-1))),"")))</f>
        <v/>
      </c>
      <c r="I1281">
        <f>IF(OR($F1281="",$G1281=""),"",IF(ISNUMBER(Sync!$AE1281),MOD(Sync!$AE1281,100),IFERROR(VALUE(TRIM(MID(MID(Sync!$AE1281,FIND("/",Sync!$AE1281)+1,20),FIND("/",MID(Sync!$AE1281,FIND("/",Sync!$AE1281)+1,20))+1,20))),"")))</f>
        <v/>
      </c>
      <c r="J1281">
        <f>IF($F1281="","",IF(OR($G1281="",$H1281="",$I1281="",$G1281&lt;1300,$G1281&gt;1500,$H1281&lt;1,$H1281&gt;12,$I1281&lt;1,$I1281&gt;31),"نامعتبر",RIGHT("0000"&amp;$G1281,4)&amp;"/"&amp;RIGHT("00"&amp;$H1281,2)&amp;"/"&amp;RIGHT("00"&amp;$I1281,2)))</f>
        <v/>
      </c>
      <c r="K1281">
        <f>IF(OR($F1281="",$J1281="",$J1281="نامعتبر"),"",LEFT($J1281,4)&amp;MID($J1281,6,2)&amp;RIGHT($J1281,2)&amp;$N1281&amp;"|"&amp;"2"&amp;RIGHT("00000"&amp;1276,5))</f>
        <v/>
      </c>
      <c r="L1281">
        <f>IF($K1281="","",COUNTIFS(LdgSellerA,$F1281,LdgKeyA,"&lt;"&amp;$K1281)+COUNTIFS(LdgSellerB,$F1281,LdgKeyB,"&lt;"&amp;$K1281)+1)</f>
        <v/>
      </c>
      <c r="M1281">
        <f>IF($L1281="","",$F1281&amp;"|"&amp;RIGHT("000000"&amp;$L1281,6))</f>
        <v/>
      </c>
      <c r="N1281">
        <f>IF($F1281="","",IF(Sync!$AF1281="","0000",IF(AND(ISNUMBER(Sync!$AF1281),Sync!$AF1281&gt;=0,Sync!$AF1281&lt;1),RIGHT("00"&amp;HOUR(Sync!$AF1281),2)&amp;RIGHT("00"&amp;MINUTE(Sync!$AF1281),2),IFERROR(RIGHT("00"&amp;VALUE(LEFT(Sync!$AF1281,FIND(":",Sync!$AF1281)-1)),2)&amp;RIGHT("00"&amp;VALUE(MID(Sync!$AF1281,FIND(":",Sync!$AF1281)+1,2)),2),"0000"))))</f>
        <v/>
      </c>
    </row>
    <row r="1282">
      <c r="A1282">
        <f>IF(OR(Calc!$E1286="",Calc!$E1286="نامعتبر",Calc!$G1286=""),"",Calc!$G1286)</f>
        <v/>
      </c>
      <c r="B1282">
        <f>IF($A1282="","",LEFT(Calc!$E1286,4)&amp;MID(Calc!$E1286,6,2)&amp;RIGHT(Calc!$E1286,2)&amp;Calc!$Q1286&amp;"|"&amp;"1"&amp;RIGHT("00000"&amp;1277,5))</f>
        <v/>
      </c>
      <c r="C1282">
        <f>IF($B1282="","",COUNTIFS(LdgSellerA,$A1282,LdgKeyA,"&lt;"&amp;$B1282)+COUNTIFS(LdgSellerB,$A1282,LdgKeyB,"&lt;"&amp;$B1282)+1)</f>
        <v/>
      </c>
      <c r="D1282">
        <f>IF($C1282="","",$A1282&amp;"|"&amp;RIGHT("000000"&amp;$C1282,6))</f>
        <v/>
      </c>
      <c r="F1282">
        <f>IF(Sync!$AH1282="","",IF(LEFT(UPPER(TRIM(Sync!$AH1282)),2)="SL",UPPER(TRIM(Sync!$AH1282)),""))</f>
        <v/>
      </c>
      <c r="G1282">
        <f>IF($F1282="","",IF(Sync!$AE1282="","",IF(ISNUMBER(Sync!$AE1282),IF(AND(Sync!$AE1282&gt;=10000101,Sync!$AE1282&lt;=99991231),INT(Sync!$AE1282/10000),""),IFERROR(VALUE(TRIM(LEFT(Sync!$AE1282,FIND("/",Sync!$AE1282)-1))),""))))</f>
        <v/>
      </c>
      <c r="H1282">
        <f>IF(OR($F1282="",$G1282=""),"",IF(ISNUMBER(Sync!$AE1282),INT(MOD(Sync!$AE1282,10000)/100),IFERROR(VALUE(TRIM(LEFT(MID(Sync!$AE1282,FIND("/",Sync!$AE1282)+1,20),FIND("/",MID(Sync!$AE1282,FIND("/",Sync!$AE1282)+1,20))-1))),"")))</f>
        <v/>
      </c>
      <c r="I1282">
        <f>IF(OR($F1282="",$G1282=""),"",IF(ISNUMBER(Sync!$AE1282),MOD(Sync!$AE1282,100),IFERROR(VALUE(TRIM(MID(MID(Sync!$AE1282,FIND("/",Sync!$AE1282)+1,20),FIND("/",MID(Sync!$AE1282,FIND("/",Sync!$AE1282)+1,20))+1,20))),"")))</f>
        <v/>
      </c>
      <c r="J1282">
        <f>IF($F1282="","",IF(OR($G1282="",$H1282="",$I1282="",$G1282&lt;1300,$G1282&gt;1500,$H1282&lt;1,$H1282&gt;12,$I1282&lt;1,$I1282&gt;31),"نامعتبر",RIGHT("0000"&amp;$G1282,4)&amp;"/"&amp;RIGHT("00"&amp;$H1282,2)&amp;"/"&amp;RIGHT("00"&amp;$I1282,2)))</f>
        <v/>
      </c>
      <c r="K1282">
        <f>IF(OR($F1282="",$J1282="",$J1282="نامعتبر"),"",LEFT($J1282,4)&amp;MID($J1282,6,2)&amp;RIGHT($J1282,2)&amp;$N1282&amp;"|"&amp;"2"&amp;RIGHT("00000"&amp;1277,5))</f>
        <v/>
      </c>
      <c r="L1282">
        <f>IF($K1282="","",COUNTIFS(LdgSellerA,$F1282,LdgKeyA,"&lt;"&amp;$K1282)+COUNTIFS(LdgSellerB,$F1282,LdgKeyB,"&lt;"&amp;$K1282)+1)</f>
        <v/>
      </c>
      <c r="M1282">
        <f>IF($L1282="","",$F1282&amp;"|"&amp;RIGHT("000000"&amp;$L1282,6))</f>
        <v/>
      </c>
      <c r="N1282">
        <f>IF($F1282="","",IF(Sync!$AF1282="","0000",IF(AND(ISNUMBER(Sync!$AF1282),Sync!$AF1282&gt;=0,Sync!$AF1282&lt;1),RIGHT("00"&amp;HOUR(Sync!$AF1282),2)&amp;RIGHT("00"&amp;MINUTE(Sync!$AF1282),2),IFERROR(RIGHT("00"&amp;VALUE(LEFT(Sync!$AF1282,FIND(":",Sync!$AF1282)-1)),2)&amp;RIGHT("00"&amp;VALUE(MID(Sync!$AF1282,FIND(":",Sync!$AF1282)+1,2)),2),"0000"))))</f>
        <v/>
      </c>
    </row>
    <row r="1283">
      <c r="A1283">
        <f>IF(OR(Calc!$E1287="",Calc!$E1287="نامعتبر",Calc!$G1287=""),"",Calc!$G1287)</f>
        <v/>
      </c>
      <c r="B1283">
        <f>IF($A1283="","",LEFT(Calc!$E1287,4)&amp;MID(Calc!$E1287,6,2)&amp;RIGHT(Calc!$E1287,2)&amp;Calc!$Q1287&amp;"|"&amp;"1"&amp;RIGHT("00000"&amp;1278,5))</f>
        <v/>
      </c>
      <c r="C1283">
        <f>IF($B1283="","",COUNTIFS(LdgSellerA,$A1283,LdgKeyA,"&lt;"&amp;$B1283)+COUNTIFS(LdgSellerB,$A1283,LdgKeyB,"&lt;"&amp;$B1283)+1)</f>
        <v/>
      </c>
      <c r="D1283">
        <f>IF($C1283="","",$A1283&amp;"|"&amp;RIGHT("000000"&amp;$C1283,6))</f>
        <v/>
      </c>
      <c r="F1283">
        <f>IF(Sync!$AH1283="","",IF(LEFT(UPPER(TRIM(Sync!$AH1283)),2)="SL",UPPER(TRIM(Sync!$AH1283)),""))</f>
        <v/>
      </c>
      <c r="G1283">
        <f>IF($F1283="","",IF(Sync!$AE1283="","",IF(ISNUMBER(Sync!$AE1283),IF(AND(Sync!$AE1283&gt;=10000101,Sync!$AE1283&lt;=99991231),INT(Sync!$AE1283/10000),""),IFERROR(VALUE(TRIM(LEFT(Sync!$AE1283,FIND("/",Sync!$AE1283)-1))),""))))</f>
        <v/>
      </c>
      <c r="H1283">
        <f>IF(OR($F1283="",$G1283=""),"",IF(ISNUMBER(Sync!$AE1283),INT(MOD(Sync!$AE1283,10000)/100),IFERROR(VALUE(TRIM(LEFT(MID(Sync!$AE1283,FIND("/",Sync!$AE1283)+1,20),FIND("/",MID(Sync!$AE1283,FIND("/",Sync!$AE1283)+1,20))-1))),"")))</f>
        <v/>
      </c>
      <c r="I1283">
        <f>IF(OR($F1283="",$G1283=""),"",IF(ISNUMBER(Sync!$AE1283),MOD(Sync!$AE1283,100),IFERROR(VALUE(TRIM(MID(MID(Sync!$AE1283,FIND("/",Sync!$AE1283)+1,20),FIND("/",MID(Sync!$AE1283,FIND("/",Sync!$AE1283)+1,20))+1,20))),"")))</f>
        <v/>
      </c>
      <c r="J1283">
        <f>IF($F1283="","",IF(OR($G1283="",$H1283="",$I1283="",$G1283&lt;1300,$G1283&gt;1500,$H1283&lt;1,$H1283&gt;12,$I1283&lt;1,$I1283&gt;31),"نامعتبر",RIGHT("0000"&amp;$G1283,4)&amp;"/"&amp;RIGHT("00"&amp;$H1283,2)&amp;"/"&amp;RIGHT("00"&amp;$I1283,2)))</f>
        <v/>
      </c>
      <c r="K1283">
        <f>IF(OR($F1283="",$J1283="",$J1283="نامعتبر"),"",LEFT($J1283,4)&amp;MID($J1283,6,2)&amp;RIGHT($J1283,2)&amp;$N1283&amp;"|"&amp;"2"&amp;RIGHT("00000"&amp;1278,5))</f>
        <v/>
      </c>
      <c r="L1283">
        <f>IF($K1283="","",COUNTIFS(LdgSellerA,$F1283,LdgKeyA,"&lt;"&amp;$K1283)+COUNTIFS(LdgSellerB,$F1283,LdgKeyB,"&lt;"&amp;$K1283)+1)</f>
        <v/>
      </c>
      <c r="M1283">
        <f>IF($L1283="","",$F1283&amp;"|"&amp;RIGHT("000000"&amp;$L1283,6))</f>
        <v/>
      </c>
      <c r="N1283">
        <f>IF($F1283="","",IF(Sync!$AF1283="","0000",IF(AND(ISNUMBER(Sync!$AF1283),Sync!$AF1283&gt;=0,Sync!$AF1283&lt;1),RIGHT("00"&amp;HOUR(Sync!$AF1283),2)&amp;RIGHT("00"&amp;MINUTE(Sync!$AF1283),2),IFERROR(RIGHT("00"&amp;VALUE(LEFT(Sync!$AF1283,FIND(":",Sync!$AF1283)-1)),2)&amp;RIGHT("00"&amp;VALUE(MID(Sync!$AF1283,FIND(":",Sync!$AF1283)+1,2)),2),"0000"))))</f>
        <v/>
      </c>
    </row>
    <row r="1284">
      <c r="A1284">
        <f>IF(OR(Calc!$E1288="",Calc!$E1288="نامعتبر",Calc!$G1288=""),"",Calc!$G1288)</f>
        <v/>
      </c>
      <c r="B1284">
        <f>IF($A1284="","",LEFT(Calc!$E1288,4)&amp;MID(Calc!$E1288,6,2)&amp;RIGHT(Calc!$E1288,2)&amp;Calc!$Q1288&amp;"|"&amp;"1"&amp;RIGHT("00000"&amp;1279,5))</f>
        <v/>
      </c>
      <c r="C1284">
        <f>IF($B1284="","",COUNTIFS(LdgSellerA,$A1284,LdgKeyA,"&lt;"&amp;$B1284)+COUNTIFS(LdgSellerB,$A1284,LdgKeyB,"&lt;"&amp;$B1284)+1)</f>
        <v/>
      </c>
      <c r="D1284">
        <f>IF($C1284="","",$A1284&amp;"|"&amp;RIGHT("000000"&amp;$C1284,6))</f>
        <v/>
      </c>
      <c r="F1284">
        <f>IF(Sync!$AH1284="","",IF(LEFT(UPPER(TRIM(Sync!$AH1284)),2)="SL",UPPER(TRIM(Sync!$AH1284)),""))</f>
        <v/>
      </c>
      <c r="G1284">
        <f>IF($F1284="","",IF(Sync!$AE1284="","",IF(ISNUMBER(Sync!$AE1284),IF(AND(Sync!$AE1284&gt;=10000101,Sync!$AE1284&lt;=99991231),INT(Sync!$AE1284/10000),""),IFERROR(VALUE(TRIM(LEFT(Sync!$AE1284,FIND("/",Sync!$AE1284)-1))),""))))</f>
        <v/>
      </c>
      <c r="H1284">
        <f>IF(OR($F1284="",$G1284=""),"",IF(ISNUMBER(Sync!$AE1284),INT(MOD(Sync!$AE1284,10000)/100),IFERROR(VALUE(TRIM(LEFT(MID(Sync!$AE1284,FIND("/",Sync!$AE1284)+1,20),FIND("/",MID(Sync!$AE1284,FIND("/",Sync!$AE1284)+1,20))-1))),"")))</f>
        <v/>
      </c>
      <c r="I1284">
        <f>IF(OR($F1284="",$G1284=""),"",IF(ISNUMBER(Sync!$AE1284),MOD(Sync!$AE1284,100),IFERROR(VALUE(TRIM(MID(MID(Sync!$AE1284,FIND("/",Sync!$AE1284)+1,20),FIND("/",MID(Sync!$AE1284,FIND("/",Sync!$AE1284)+1,20))+1,20))),"")))</f>
        <v/>
      </c>
      <c r="J1284">
        <f>IF($F1284="","",IF(OR($G1284="",$H1284="",$I1284="",$G1284&lt;1300,$G1284&gt;1500,$H1284&lt;1,$H1284&gt;12,$I1284&lt;1,$I1284&gt;31),"نامعتبر",RIGHT("0000"&amp;$G1284,4)&amp;"/"&amp;RIGHT("00"&amp;$H1284,2)&amp;"/"&amp;RIGHT("00"&amp;$I1284,2)))</f>
        <v/>
      </c>
      <c r="K1284">
        <f>IF(OR($F1284="",$J1284="",$J1284="نامعتبر"),"",LEFT($J1284,4)&amp;MID($J1284,6,2)&amp;RIGHT($J1284,2)&amp;$N1284&amp;"|"&amp;"2"&amp;RIGHT("00000"&amp;1279,5))</f>
        <v/>
      </c>
      <c r="L1284">
        <f>IF($K1284="","",COUNTIFS(LdgSellerA,$F1284,LdgKeyA,"&lt;"&amp;$K1284)+COUNTIFS(LdgSellerB,$F1284,LdgKeyB,"&lt;"&amp;$K1284)+1)</f>
        <v/>
      </c>
      <c r="M1284">
        <f>IF($L1284="","",$F1284&amp;"|"&amp;RIGHT("000000"&amp;$L1284,6))</f>
        <v/>
      </c>
      <c r="N1284">
        <f>IF($F1284="","",IF(Sync!$AF1284="","0000",IF(AND(ISNUMBER(Sync!$AF1284),Sync!$AF1284&gt;=0,Sync!$AF1284&lt;1),RIGHT("00"&amp;HOUR(Sync!$AF1284),2)&amp;RIGHT("00"&amp;MINUTE(Sync!$AF1284),2),IFERROR(RIGHT("00"&amp;VALUE(LEFT(Sync!$AF1284,FIND(":",Sync!$AF1284)-1)),2)&amp;RIGHT("00"&amp;VALUE(MID(Sync!$AF1284,FIND(":",Sync!$AF1284)+1,2)),2),"0000"))))</f>
        <v/>
      </c>
    </row>
    <row r="1285">
      <c r="A1285">
        <f>IF(OR(Calc!$E1289="",Calc!$E1289="نامعتبر",Calc!$G1289=""),"",Calc!$G1289)</f>
        <v/>
      </c>
      <c r="B1285">
        <f>IF($A1285="","",LEFT(Calc!$E1289,4)&amp;MID(Calc!$E1289,6,2)&amp;RIGHT(Calc!$E1289,2)&amp;Calc!$Q1289&amp;"|"&amp;"1"&amp;RIGHT("00000"&amp;1280,5))</f>
        <v/>
      </c>
      <c r="C1285">
        <f>IF($B1285="","",COUNTIFS(LdgSellerA,$A1285,LdgKeyA,"&lt;"&amp;$B1285)+COUNTIFS(LdgSellerB,$A1285,LdgKeyB,"&lt;"&amp;$B1285)+1)</f>
        <v/>
      </c>
      <c r="D1285">
        <f>IF($C1285="","",$A1285&amp;"|"&amp;RIGHT("000000"&amp;$C1285,6))</f>
        <v/>
      </c>
      <c r="F1285">
        <f>IF(Sync!$AH1285="","",IF(LEFT(UPPER(TRIM(Sync!$AH1285)),2)="SL",UPPER(TRIM(Sync!$AH1285)),""))</f>
        <v/>
      </c>
      <c r="G1285">
        <f>IF($F1285="","",IF(Sync!$AE1285="","",IF(ISNUMBER(Sync!$AE1285),IF(AND(Sync!$AE1285&gt;=10000101,Sync!$AE1285&lt;=99991231),INT(Sync!$AE1285/10000),""),IFERROR(VALUE(TRIM(LEFT(Sync!$AE1285,FIND("/",Sync!$AE1285)-1))),""))))</f>
        <v/>
      </c>
      <c r="H1285">
        <f>IF(OR($F1285="",$G1285=""),"",IF(ISNUMBER(Sync!$AE1285),INT(MOD(Sync!$AE1285,10000)/100),IFERROR(VALUE(TRIM(LEFT(MID(Sync!$AE1285,FIND("/",Sync!$AE1285)+1,20),FIND("/",MID(Sync!$AE1285,FIND("/",Sync!$AE1285)+1,20))-1))),"")))</f>
        <v/>
      </c>
      <c r="I1285">
        <f>IF(OR($F1285="",$G1285=""),"",IF(ISNUMBER(Sync!$AE1285),MOD(Sync!$AE1285,100),IFERROR(VALUE(TRIM(MID(MID(Sync!$AE1285,FIND("/",Sync!$AE1285)+1,20),FIND("/",MID(Sync!$AE1285,FIND("/",Sync!$AE1285)+1,20))+1,20))),"")))</f>
        <v/>
      </c>
      <c r="J1285">
        <f>IF($F1285="","",IF(OR($G1285="",$H1285="",$I1285="",$G1285&lt;1300,$G1285&gt;1500,$H1285&lt;1,$H1285&gt;12,$I1285&lt;1,$I1285&gt;31),"نامعتبر",RIGHT("0000"&amp;$G1285,4)&amp;"/"&amp;RIGHT("00"&amp;$H1285,2)&amp;"/"&amp;RIGHT("00"&amp;$I1285,2)))</f>
        <v/>
      </c>
      <c r="K1285">
        <f>IF(OR($F1285="",$J1285="",$J1285="نامعتبر"),"",LEFT($J1285,4)&amp;MID($J1285,6,2)&amp;RIGHT($J1285,2)&amp;$N1285&amp;"|"&amp;"2"&amp;RIGHT("00000"&amp;1280,5))</f>
        <v/>
      </c>
      <c r="L1285">
        <f>IF($K1285="","",COUNTIFS(LdgSellerA,$F1285,LdgKeyA,"&lt;"&amp;$K1285)+COUNTIFS(LdgSellerB,$F1285,LdgKeyB,"&lt;"&amp;$K1285)+1)</f>
        <v/>
      </c>
      <c r="M1285">
        <f>IF($L1285="","",$F1285&amp;"|"&amp;RIGHT("000000"&amp;$L1285,6))</f>
        <v/>
      </c>
      <c r="N1285">
        <f>IF($F1285="","",IF(Sync!$AF1285="","0000",IF(AND(ISNUMBER(Sync!$AF1285),Sync!$AF1285&gt;=0,Sync!$AF1285&lt;1),RIGHT("00"&amp;HOUR(Sync!$AF1285),2)&amp;RIGHT("00"&amp;MINUTE(Sync!$AF1285),2),IFERROR(RIGHT("00"&amp;VALUE(LEFT(Sync!$AF1285,FIND(":",Sync!$AF1285)-1)),2)&amp;RIGHT("00"&amp;VALUE(MID(Sync!$AF1285,FIND(":",Sync!$AF1285)+1,2)),2),"0000"))))</f>
        <v/>
      </c>
    </row>
    <row r="1286">
      <c r="A1286">
        <f>IF(OR(Calc!$E1290="",Calc!$E1290="نامعتبر",Calc!$G1290=""),"",Calc!$G1290)</f>
        <v/>
      </c>
      <c r="B1286">
        <f>IF($A1286="","",LEFT(Calc!$E1290,4)&amp;MID(Calc!$E1290,6,2)&amp;RIGHT(Calc!$E1290,2)&amp;Calc!$Q1290&amp;"|"&amp;"1"&amp;RIGHT("00000"&amp;1281,5))</f>
        <v/>
      </c>
      <c r="C1286">
        <f>IF($B1286="","",COUNTIFS(LdgSellerA,$A1286,LdgKeyA,"&lt;"&amp;$B1286)+COUNTIFS(LdgSellerB,$A1286,LdgKeyB,"&lt;"&amp;$B1286)+1)</f>
        <v/>
      </c>
      <c r="D1286">
        <f>IF($C1286="","",$A1286&amp;"|"&amp;RIGHT("000000"&amp;$C1286,6))</f>
        <v/>
      </c>
      <c r="F1286">
        <f>IF(Sync!$AH1286="","",IF(LEFT(UPPER(TRIM(Sync!$AH1286)),2)="SL",UPPER(TRIM(Sync!$AH1286)),""))</f>
        <v/>
      </c>
      <c r="G1286">
        <f>IF($F1286="","",IF(Sync!$AE1286="","",IF(ISNUMBER(Sync!$AE1286),IF(AND(Sync!$AE1286&gt;=10000101,Sync!$AE1286&lt;=99991231),INT(Sync!$AE1286/10000),""),IFERROR(VALUE(TRIM(LEFT(Sync!$AE1286,FIND("/",Sync!$AE1286)-1))),""))))</f>
        <v/>
      </c>
      <c r="H1286">
        <f>IF(OR($F1286="",$G1286=""),"",IF(ISNUMBER(Sync!$AE1286),INT(MOD(Sync!$AE1286,10000)/100),IFERROR(VALUE(TRIM(LEFT(MID(Sync!$AE1286,FIND("/",Sync!$AE1286)+1,20),FIND("/",MID(Sync!$AE1286,FIND("/",Sync!$AE1286)+1,20))-1))),"")))</f>
        <v/>
      </c>
      <c r="I1286">
        <f>IF(OR($F1286="",$G1286=""),"",IF(ISNUMBER(Sync!$AE1286),MOD(Sync!$AE1286,100),IFERROR(VALUE(TRIM(MID(MID(Sync!$AE1286,FIND("/",Sync!$AE1286)+1,20),FIND("/",MID(Sync!$AE1286,FIND("/",Sync!$AE1286)+1,20))+1,20))),"")))</f>
        <v/>
      </c>
      <c r="J1286">
        <f>IF($F1286="","",IF(OR($G1286="",$H1286="",$I1286="",$G1286&lt;1300,$G1286&gt;1500,$H1286&lt;1,$H1286&gt;12,$I1286&lt;1,$I1286&gt;31),"نامعتبر",RIGHT("0000"&amp;$G1286,4)&amp;"/"&amp;RIGHT("00"&amp;$H1286,2)&amp;"/"&amp;RIGHT("00"&amp;$I1286,2)))</f>
        <v/>
      </c>
      <c r="K1286">
        <f>IF(OR($F1286="",$J1286="",$J1286="نامعتبر"),"",LEFT($J1286,4)&amp;MID($J1286,6,2)&amp;RIGHT($J1286,2)&amp;$N1286&amp;"|"&amp;"2"&amp;RIGHT("00000"&amp;1281,5))</f>
        <v/>
      </c>
      <c r="L1286">
        <f>IF($K1286="","",COUNTIFS(LdgSellerA,$F1286,LdgKeyA,"&lt;"&amp;$K1286)+COUNTIFS(LdgSellerB,$F1286,LdgKeyB,"&lt;"&amp;$K1286)+1)</f>
        <v/>
      </c>
      <c r="M1286">
        <f>IF($L1286="","",$F1286&amp;"|"&amp;RIGHT("000000"&amp;$L1286,6))</f>
        <v/>
      </c>
      <c r="N1286">
        <f>IF($F1286="","",IF(Sync!$AF1286="","0000",IF(AND(ISNUMBER(Sync!$AF1286),Sync!$AF1286&gt;=0,Sync!$AF1286&lt;1),RIGHT("00"&amp;HOUR(Sync!$AF1286),2)&amp;RIGHT("00"&amp;MINUTE(Sync!$AF1286),2),IFERROR(RIGHT("00"&amp;VALUE(LEFT(Sync!$AF1286,FIND(":",Sync!$AF1286)-1)),2)&amp;RIGHT("00"&amp;VALUE(MID(Sync!$AF1286,FIND(":",Sync!$AF1286)+1,2)),2),"0000"))))</f>
        <v/>
      </c>
    </row>
    <row r="1287">
      <c r="A1287">
        <f>IF(OR(Calc!$E1291="",Calc!$E1291="نامعتبر",Calc!$G1291=""),"",Calc!$G1291)</f>
        <v/>
      </c>
      <c r="B1287">
        <f>IF($A1287="","",LEFT(Calc!$E1291,4)&amp;MID(Calc!$E1291,6,2)&amp;RIGHT(Calc!$E1291,2)&amp;Calc!$Q1291&amp;"|"&amp;"1"&amp;RIGHT("00000"&amp;1282,5))</f>
        <v/>
      </c>
      <c r="C1287">
        <f>IF($B1287="","",COUNTIFS(LdgSellerA,$A1287,LdgKeyA,"&lt;"&amp;$B1287)+COUNTIFS(LdgSellerB,$A1287,LdgKeyB,"&lt;"&amp;$B1287)+1)</f>
        <v/>
      </c>
      <c r="D1287">
        <f>IF($C1287="","",$A1287&amp;"|"&amp;RIGHT("000000"&amp;$C1287,6))</f>
        <v/>
      </c>
      <c r="F1287">
        <f>IF(Sync!$AH1287="","",IF(LEFT(UPPER(TRIM(Sync!$AH1287)),2)="SL",UPPER(TRIM(Sync!$AH1287)),""))</f>
        <v/>
      </c>
      <c r="G1287">
        <f>IF($F1287="","",IF(Sync!$AE1287="","",IF(ISNUMBER(Sync!$AE1287),IF(AND(Sync!$AE1287&gt;=10000101,Sync!$AE1287&lt;=99991231),INT(Sync!$AE1287/10000),""),IFERROR(VALUE(TRIM(LEFT(Sync!$AE1287,FIND("/",Sync!$AE1287)-1))),""))))</f>
        <v/>
      </c>
      <c r="H1287">
        <f>IF(OR($F1287="",$G1287=""),"",IF(ISNUMBER(Sync!$AE1287),INT(MOD(Sync!$AE1287,10000)/100),IFERROR(VALUE(TRIM(LEFT(MID(Sync!$AE1287,FIND("/",Sync!$AE1287)+1,20),FIND("/",MID(Sync!$AE1287,FIND("/",Sync!$AE1287)+1,20))-1))),"")))</f>
        <v/>
      </c>
      <c r="I1287">
        <f>IF(OR($F1287="",$G1287=""),"",IF(ISNUMBER(Sync!$AE1287),MOD(Sync!$AE1287,100),IFERROR(VALUE(TRIM(MID(MID(Sync!$AE1287,FIND("/",Sync!$AE1287)+1,20),FIND("/",MID(Sync!$AE1287,FIND("/",Sync!$AE1287)+1,20))+1,20))),"")))</f>
        <v/>
      </c>
      <c r="J1287">
        <f>IF($F1287="","",IF(OR($G1287="",$H1287="",$I1287="",$G1287&lt;1300,$G1287&gt;1500,$H1287&lt;1,$H1287&gt;12,$I1287&lt;1,$I1287&gt;31),"نامعتبر",RIGHT("0000"&amp;$G1287,4)&amp;"/"&amp;RIGHT("00"&amp;$H1287,2)&amp;"/"&amp;RIGHT("00"&amp;$I1287,2)))</f>
        <v/>
      </c>
      <c r="K1287">
        <f>IF(OR($F1287="",$J1287="",$J1287="نامعتبر"),"",LEFT($J1287,4)&amp;MID($J1287,6,2)&amp;RIGHT($J1287,2)&amp;$N1287&amp;"|"&amp;"2"&amp;RIGHT("00000"&amp;1282,5))</f>
        <v/>
      </c>
      <c r="L1287">
        <f>IF($K1287="","",COUNTIFS(LdgSellerA,$F1287,LdgKeyA,"&lt;"&amp;$K1287)+COUNTIFS(LdgSellerB,$F1287,LdgKeyB,"&lt;"&amp;$K1287)+1)</f>
        <v/>
      </c>
      <c r="M1287">
        <f>IF($L1287="","",$F1287&amp;"|"&amp;RIGHT("000000"&amp;$L1287,6))</f>
        <v/>
      </c>
      <c r="N1287">
        <f>IF($F1287="","",IF(Sync!$AF1287="","0000",IF(AND(ISNUMBER(Sync!$AF1287),Sync!$AF1287&gt;=0,Sync!$AF1287&lt;1),RIGHT("00"&amp;HOUR(Sync!$AF1287),2)&amp;RIGHT("00"&amp;MINUTE(Sync!$AF1287),2),IFERROR(RIGHT("00"&amp;VALUE(LEFT(Sync!$AF1287,FIND(":",Sync!$AF1287)-1)),2)&amp;RIGHT("00"&amp;VALUE(MID(Sync!$AF1287,FIND(":",Sync!$AF1287)+1,2)),2),"0000"))))</f>
        <v/>
      </c>
    </row>
    <row r="1288">
      <c r="A1288">
        <f>IF(OR(Calc!$E1292="",Calc!$E1292="نامعتبر",Calc!$G1292=""),"",Calc!$G1292)</f>
        <v/>
      </c>
      <c r="B1288">
        <f>IF($A1288="","",LEFT(Calc!$E1292,4)&amp;MID(Calc!$E1292,6,2)&amp;RIGHT(Calc!$E1292,2)&amp;Calc!$Q1292&amp;"|"&amp;"1"&amp;RIGHT("00000"&amp;1283,5))</f>
        <v/>
      </c>
      <c r="C1288">
        <f>IF($B1288="","",COUNTIFS(LdgSellerA,$A1288,LdgKeyA,"&lt;"&amp;$B1288)+COUNTIFS(LdgSellerB,$A1288,LdgKeyB,"&lt;"&amp;$B1288)+1)</f>
        <v/>
      </c>
      <c r="D1288">
        <f>IF($C1288="","",$A1288&amp;"|"&amp;RIGHT("000000"&amp;$C1288,6))</f>
        <v/>
      </c>
      <c r="F1288">
        <f>IF(Sync!$AH1288="","",IF(LEFT(UPPER(TRIM(Sync!$AH1288)),2)="SL",UPPER(TRIM(Sync!$AH1288)),""))</f>
        <v/>
      </c>
      <c r="G1288">
        <f>IF($F1288="","",IF(Sync!$AE1288="","",IF(ISNUMBER(Sync!$AE1288),IF(AND(Sync!$AE1288&gt;=10000101,Sync!$AE1288&lt;=99991231),INT(Sync!$AE1288/10000),""),IFERROR(VALUE(TRIM(LEFT(Sync!$AE1288,FIND("/",Sync!$AE1288)-1))),""))))</f>
        <v/>
      </c>
      <c r="H1288">
        <f>IF(OR($F1288="",$G1288=""),"",IF(ISNUMBER(Sync!$AE1288),INT(MOD(Sync!$AE1288,10000)/100),IFERROR(VALUE(TRIM(LEFT(MID(Sync!$AE1288,FIND("/",Sync!$AE1288)+1,20),FIND("/",MID(Sync!$AE1288,FIND("/",Sync!$AE1288)+1,20))-1))),"")))</f>
        <v/>
      </c>
      <c r="I1288">
        <f>IF(OR($F1288="",$G1288=""),"",IF(ISNUMBER(Sync!$AE1288),MOD(Sync!$AE1288,100),IFERROR(VALUE(TRIM(MID(MID(Sync!$AE1288,FIND("/",Sync!$AE1288)+1,20),FIND("/",MID(Sync!$AE1288,FIND("/",Sync!$AE1288)+1,20))+1,20))),"")))</f>
        <v/>
      </c>
      <c r="J1288">
        <f>IF($F1288="","",IF(OR($G1288="",$H1288="",$I1288="",$G1288&lt;1300,$G1288&gt;1500,$H1288&lt;1,$H1288&gt;12,$I1288&lt;1,$I1288&gt;31),"نامعتبر",RIGHT("0000"&amp;$G1288,4)&amp;"/"&amp;RIGHT("00"&amp;$H1288,2)&amp;"/"&amp;RIGHT("00"&amp;$I1288,2)))</f>
        <v/>
      </c>
      <c r="K1288">
        <f>IF(OR($F1288="",$J1288="",$J1288="نامعتبر"),"",LEFT($J1288,4)&amp;MID($J1288,6,2)&amp;RIGHT($J1288,2)&amp;$N1288&amp;"|"&amp;"2"&amp;RIGHT("00000"&amp;1283,5))</f>
        <v/>
      </c>
      <c r="L1288">
        <f>IF($K1288="","",COUNTIFS(LdgSellerA,$F1288,LdgKeyA,"&lt;"&amp;$K1288)+COUNTIFS(LdgSellerB,$F1288,LdgKeyB,"&lt;"&amp;$K1288)+1)</f>
        <v/>
      </c>
      <c r="M1288">
        <f>IF($L1288="","",$F1288&amp;"|"&amp;RIGHT("000000"&amp;$L1288,6))</f>
        <v/>
      </c>
      <c r="N1288">
        <f>IF($F1288="","",IF(Sync!$AF1288="","0000",IF(AND(ISNUMBER(Sync!$AF1288),Sync!$AF1288&gt;=0,Sync!$AF1288&lt;1),RIGHT("00"&amp;HOUR(Sync!$AF1288),2)&amp;RIGHT("00"&amp;MINUTE(Sync!$AF1288),2),IFERROR(RIGHT("00"&amp;VALUE(LEFT(Sync!$AF1288,FIND(":",Sync!$AF1288)-1)),2)&amp;RIGHT("00"&amp;VALUE(MID(Sync!$AF1288,FIND(":",Sync!$AF1288)+1,2)),2),"0000"))))</f>
        <v/>
      </c>
    </row>
    <row r="1289">
      <c r="A1289">
        <f>IF(OR(Calc!$E1293="",Calc!$E1293="نامعتبر",Calc!$G1293=""),"",Calc!$G1293)</f>
        <v/>
      </c>
      <c r="B1289">
        <f>IF($A1289="","",LEFT(Calc!$E1293,4)&amp;MID(Calc!$E1293,6,2)&amp;RIGHT(Calc!$E1293,2)&amp;Calc!$Q1293&amp;"|"&amp;"1"&amp;RIGHT("00000"&amp;1284,5))</f>
        <v/>
      </c>
      <c r="C1289">
        <f>IF($B1289="","",COUNTIFS(LdgSellerA,$A1289,LdgKeyA,"&lt;"&amp;$B1289)+COUNTIFS(LdgSellerB,$A1289,LdgKeyB,"&lt;"&amp;$B1289)+1)</f>
        <v/>
      </c>
      <c r="D1289">
        <f>IF($C1289="","",$A1289&amp;"|"&amp;RIGHT("000000"&amp;$C1289,6))</f>
        <v/>
      </c>
      <c r="F1289">
        <f>IF(Sync!$AH1289="","",IF(LEFT(UPPER(TRIM(Sync!$AH1289)),2)="SL",UPPER(TRIM(Sync!$AH1289)),""))</f>
        <v/>
      </c>
      <c r="G1289">
        <f>IF($F1289="","",IF(Sync!$AE1289="","",IF(ISNUMBER(Sync!$AE1289),IF(AND(Sync!$AE1289&gt;=10000101,Sync!$AE1289&lt;=99991231),INT(Sync!$AE1289/10000),""),IFERROR(VALUE(TRIM(LEFT(Sync!$AE1289,FIND("/",Sync!$AE1289)-1))),""))))</f>
        <v/>
      </c>
      <c r="H1289">
        <f>IF(OR($F1289="",$G1289=""),"",IF(ISNUMBER(Sync!$AE1289),INT(MOD(Sync!$AE1289,10000)/100),IFERROR(VALUE(TRIM(LEFT(MID(Sync!$AE1289,FIND("/",Sync!$AE1289)+1,20),FIND("/",MID(Sync!$AE1289,FIND("/",Sync!$AE1289)+1,20))-1))),"")))</f>
        <v/>
      </c>
      <c r="I1289">
        <f>IF(OR($F1289="",$G1289=""),"",IF(ISNUMBER(Sync!$AE1289),MOD(Sync!$AE1289,100),IFERROR(VALUE(TRIM(MID(MID(Sync!$AE1289,FIND("/",Sync!$AE1289)+1,20),FIND("/",MID(Sync!$AE1289,FIND("/",Sync!$AE1289)+1,20))+1,20))),"")))</f>
        <v/>
      </c>
      <c r="J1289">
        <f>IF($F1289="","",IF(OR($G1289="",$H1289="",$I1289="",$G1289&lt;1300,$G1289&gt;1500,$H1289&lt;1,$H1289&gt;12,$I1289&lt;1,$I1289&gt;31),"نامعتبر",RIGHT("0000"&amp;$G1289,4)&amp;"/"&amp;RIGHT("00"&amp;$H1289,2)&amp;"/"&amp;RIGHT("00"&amp;$I1289,2)))</f>
        <v/>
      </c>
      <c r="K1289">
        <f>IF(OR($F1289="",$J1289="",$J1289="نامعتبر"),"",LEFT($J1289,4)&amp;MID($J1289,6,2)&amp;RIGHT($J1289,2)&amp;$N1289&amp;"|"&amp;"2"&amp;RIGHT("00000"&amp;1284,5))</f>
        <v/>
      </c>
      <c r="L1289">
        <f>IF($K1289="","",COUNTIFS(LdgSellerA,$F1289,LdgKeyA,"&lt;"&amp;$K1289)+COUNTIFS(LdgSellerB,$F1289,LdgKeyB,"&lt;"&amp;$K1289)+1)</f>
        <v/>
      </c>
      <c r="M1289">
        <f>IF($L1289="","",$F1289&amp;"|"&amp;RIGHT("000000"&amp;$L1289,6))</f>
        <v/>
      </c>
      <c r="N1289">
        <f>IF($F1289="","",IF(Sync!$AF1289="","0000",IF(AND(ISNUMBER(Sync!$AF1289),Sync!$AF1289&gt;=0,Sync!$AF1289&lt;1),RIGHT("00"&amp;HOUR(Sync!$AF1289),2)&amp;RIGHT("00"&amp;MINUTE(Sync!$AF1289),2),IFERROR(RIGHT("00"&amp;VALUE(LEFT(Sync!$AF1289,FIND(":",Sync!$AF1289)-1)),2)&amp;RIGHT("00"&amp;VALUE(MID(Sync!$AF1289,FIND(":",Sync!$AF1289)+1,2)),2),"0000"))))</f>
        <v/>
      </c>
    </row>
    <row r="1290">
      <c r="A1290">
        <f>IF(OR(Calc!$E1294="",Calc!$E1294="نامعتبر",Calc!$G1294=""),"",Calc!$G1294)</f>
        <v/>
      </c>
      <c r="B1290">
        <f>IF($A1290="","",LEFT(Calc!$E1294,4)&amp;MID(Calc!$E1294,6,2)&amp;RIGHT(Calc!$E1294,2)&amp;Calc!$Q1294&amp;"|"&amp;"1"&amp;RIGHT("00000"&amp;1285,5))</f>
        <v/>
      </c>
      <c r="C1290">
        <f>IF($B1290="","",COUNTIFS(LdgSellerA,$A1290,LdgKeyA,"&lt;"&amp;$B1290)+COUNTIFS(LdgSellerB,$A1290,LdgKeyB,"&lt;"&amp;$B1290)+1)</f>
        <v/>
      </c>
      <c r="D1290">
        <f>IF($C1290="","",$A1290&amp;"|"&amp;RIGHT("000000"&amp;$C1290,6))</f>
        <v/>
      </c>
      <c r="F1290">
        <f>IF(Sync!$AH1290="","",IF(LEFT(UPPER(TRIM(Sync!$AH1290)),2)="SL",UPPER(TRIM(Sync!$AH1290)),""))</f>
        <v/>
      </c>
      <c r="G1290">
        <f>IF($F1290="","",IF(Sync!$AE1290="","",IF(ISNUMBER(Sync!$AE1290),IF(AND(Sync!$AE1290&gt;=10000101,Sync!$AE1290&lt;=99991231),INT(Sync!$AE1290/10000),""),IFERROR(VALUE(TRIM(LEFT(Sync!$AE1290,FIND("/",Sync!$AE1290)-1))),""))))</f>
        <v/>
      </c>
      <c r="H1290">
        <f>IF(OR($F1290="",$G1290=""),"",IF(ISNUMBER(Sync!$AE1290),INT(MOD(Sync!$AE1290,10000)/100),IFERROR(VALUE(TRIM(LEFT(MID(Sync!$AE1290,FIND("/",Sync!$AE1290)+1,20),FIND("/",MID(Sync!$AE1290,FIND("/",Sync!$AE1290)+1,20))-1))),"")))</f>
        <v/>
      </c>
      <c r="I1290">
        <f>IF(OR($F1290="",$G1290=""),"",IF(ISNUMBER(Sync!$AE1290),MOD(Sync!$AE1290,100),IFERROR(VALUE(TRIM(MID(MID(Sync!$AE1290,FIND("/",Sync!$AE1290)+1,20),FIND("/",MID(Sync!$AE1290,FIND("/",Sync!$AE1290)+1,20))+1,20))),"")))</f>
        <v/>
      </c>
      <c r="J1290">
        <f>IF($F1290="","",IF(OR($G1290="",$H1290="",$I1290="",$G1290&lt;1300,$G1290&gt;1500,$H1290&lt;1,$H1290&gt;12,$I1290&lt;1,$I1290&gt;31),"نامعتبر",RIGHT("0000"&amp;$G1290,4)&amp;"/"&amp;RIGHT("00"&amp;$H1290,2)&amp;"/"&amp;RIGHT("00"&amp;$I1290,2)))</f>
        <v/>
      </c>
      <c r="K1290">
        <f>IF(OR($F1290="",$J1290="",$J1290="نامعتبر"),"",LEFT($J1290,4)&amp;MID($J1290,6,2)&amp;RIGHT($J1290,2)&amp;$N1290&amp;"|"&amp;"2"&amp;RIGHT("00000"&amp;1285,5))</f>
        <v/>
      </c>
      <c r="L1290">
        <f>IF($K1290="","",COUNTIFS(LdgSellerA,$F1290,LdgKeyA,"&lt;"&amp;$K1290)+COUNTIFS(LdgSellerB,$F1290,LdgKeyB,"&lt;"&amp;$K1290)+1)</f>
        <v/>
      </c>
      <c r="M1290">
        <f>IF($L1290="","",$F1290&amp;"|"&amp;RIGHT("000000"&amp;$L1290,6))</f>
        <v/>
      </c>
      <c r="N1290">
        <f>IF($F1290="","",IF(Sync!$AF1290="","0000",IF(AND(ISNUMBER(Sync!$AF1290),Sync!$AF1290&gt;=0,Sync!$AF1290&lt;1),RIGHT("00"&amp;HOUR(Sync!$AF1290),2)&amp;RIGHT("00"&amp;MINUTE(Sync!$AF1290),2),IFERROR(RIGHT("00"&amp;VALUE(LEFT(Sync!$AF1290,FIND(":",Sync!$AF1290)-1)),2)&amp;RIGHT("00"&amp;VALUE(MID(Sync!$AF1290,FIND(":",Sync!$AF1290)+1,2)),2),"0000"))))</f>
        <v/>
      </c>
    </row>
    <row r="1291">
      <c r="A1291">
        <f>IF(OR(Calc!$E1295="",Calc!$E1295="نامعتبر",Calc!$G1295=""),"",Calc!$G1295)</f>
        <v/>
      </c>
      <c r="B1291">
        <f>IF($A1291="","",LEFT(Calc!$E1295,4)&amp;MID(Calc!$E1295,6,2)&amp;RIGHT(Calc!$E1295,2)&amp;Calc!$Q1295&amp;"|"&amp;"1"&amp;RIGHT("00000"&amp;1286,5))</f>
        <v/>
      </c>
      <c r="C1291">
        <f>IF($B1291="","",COUNTIFS(LdgSellerA,$A1291,LdgKeyA,"&lt;"&amp;$B1291)+COUNTIFS(LdgSellerB,$A1291,LdgKeyB,"&lt;"&amp;$B1291)+1)</f>
        <v/>
      </c>
      <c r="D1291">
        <f>IF($C1291="","",$A1291&amp;"|"&amp;RIGHT("000000"&amp;$C1291,6))</f>
        <v/>
      </c>
      <c r="F1291">
        <f>IF(Sync!$AH1291="","",IF(LEFT(UPPER(TRIM(Sync!$AH1291)),2)="SL",UPPER(TRIM(Sync!$AH1291)),""))</f>
        <v/>
      </c>
      <c r="G1291">
        <f>IF($F1291="","",IF(Sync!$AE1291="","",IF(ISNUMBER(Sync!$AE1291),IF(AND(Sync!$AE1291&gt;=10000101,Sync!$AE1291&lt;=99991231),INT(Sync!$AE1291/10000),""),IFERROR(VALUE(TRIM(LEFT(Sync!$AE1291,FIND("/",Sync!$AE1291)-1))),""))))</f>
        <v/>
      </c>
      <c r="H1291">
        <f>IF(OR($F1291="",$G1291=""),"",IF(ISNUMBER(Sync!$AE1291),INT(MOD(Sync!$AE1291,10000)/100),IFERROR(VALUE(TRIM(LEFT(MID(Sync!$AE1291,FIND("/",Sync!$AE1291)+1,20),FIND("/",MID(Sync!$AE1291,FIND("/",Sync!$AE1291)+1,20))-1))),"")))</f>
        <v/>
      </c>
      <c r="I1291">
        <f>IF(OR($F1291="",$G1291=""),"",IF(ISNUMBER(Sync!$AE1291),MOD(Sync!$AE1291,100),IFERROR(VALUE(TRIM(MID(MID(Sync!$AE1291,FIND("/",Sync!$AE1291)+1,20),FIND("/",MID(Sync!$AE1291,FIND("/",Sync!$AE1291)+1,20))+1,20))),"")))</f>
        <v/>
      </c>
      <c r="J1291">
        <f>IF($F1291="","",IF(OR($G1291="",$H1291="",$I1291="",$G1291&lt;1300,$G1291&gt;1500,$H1291&lt;1,$H1291&gt;12,$I1291&lt;1,$I1291&gt;31),"نامعتبر",RIGHT("0000"&amp;$G1291,4)&amp;"/"&amp;RIGHT("00"&amp;$H1291,2)&amp;"/"&amp;RIGHT("00"&amp;$I1291,2)))</f>
        <v/>
      </c>
      <c r="K1291">
        <f>IF(OR($F1291="",$J1291="",$J1291="نامعتبر"),"",LEFT($J1291,4)&amp;MID($J1291,6,2)&amp;RIGHT($J1291,2)&amp;$N1291&amp;"|"&amp;"2"&amp;RIGHT("00000"&amp;1286,5))</f>
        <v/>
      </c>
      <c r="L1291">
        <f>IF($K1291="","",COUNTIFS(LdgSellerA,$F1291,LdgKeyA,"&lt;"&amp;$K1291)+COUNTIFS(LdgSellerB,$F1291,LdgKeyB,"&lt;"&amp;$K1291)+1)</f>
        <v/>
      </c>
      <c r="M1291">
        <f>IF($L1291="","",$F1291&amp;"|"&amp;RIGHT("000000"&amp;$L1291,6))</f>
        <v/>
      </c>
      <c r="N1291">
        <f>IF($F1291="","",IF(Sync!$AF1291="","0000",IF(AND(ISNUMBER(Sync!$AF1291),Sync!$AF1291&gt;=0,Sync!$AF1291&lt;1),RIGHT("00"&amp;HOUR(Sync!$AF1291),2)&amp;RIGHT("00"&amp;MINUTE(Sync!$AF1291),2),IFERROR(RIGHT("00"&amp;VALUE(LEFT(Sync!$AF1291,FIND(":",Sync!$AF1291)-1)),2)&amp;RIGHT("00"&amp;VALUE(MID(Sync!$AF1291,FIND(":",Sync!$AF1291)+1,2)),2),"0000"))))</f>
        <v/>
      </c>
    </row>
    <row r="1292">
      <c r="A1292">
        <f>IF(OR(Calc!$E1296="",Calc!$E1296="نامعتبر",Calc!$G1296=""),"",Calc!$G1296)</f>
        <v/>
      </c>
      <c r="B1292">
        <f>IF($A1292="","",LEFT(Calc!$E1296,4)&amp;MID(Calc!$E1296,6,2)&amp;RIGHT(Calc!$E1296,2)&amp;Calc!$Q1296&amp;"|"&amp;"1"&amp;RIGHT("00000"&amp;1287,5))</f>
        <v/>
      </c>
      <c r="C1292">
        <f>IF($B1292="","",COUNTIFS(LdgSellerA,$A1292,LdgKeyA,"&lt;"&amp;$B1292)+COUNTIFS(LdgSellerB,$A1292,LdgKeyB,"&lt;"&amp;$B1292)+1)</f>
        <v/>
      </c>
      <c r="D1292">
        <f>IF($C1292="","",$A1292&amp;"|"&amp;RIGHT("000000"&amp;$C1292,6))</f>
        <v/>
      </c>
      <c r="F1292">
        <f>IF(Sync!$AH1292="","",IF(LEFT(UPPER(TRIM(Sync!$AH1292)),2)="SL",UPPER(TRIM(Sync!$AH1292)),""))</f>
        <v/>
      </c>
      <c r="G1292">
        <f>IF($F1292="","",IF(Sync!$AE1292="","",IF(ISNUMBER(Sync!$AE1292),IF(AND(Sync!$AE1292&gt;=10000101,Sync!$AE1292&lt;=99991231),INT(Sync!$AE1292/10000),""),IFERROR(VALUE(TRIM(LEFT(Sync!$AE1292,FIND("/",Sync!$AE1292)-1))),""))))</f>
        <v/>
      </c>
      <c r="H1292">
        <f>IF(OR($F1292="",$G1292=""),"",IF(ISNUMBER(Sync!$AE1292),INT(MOD(Sync!$AE1292,10000)/100),IFERROR(VALUE(TRIM(LEFT(MID(Sync!$AE1292,FIND("/",Sync!$AE1292)+1,20),FIND("/",MID(Sync!$AE1292,FIND("/",Sync!$AE1292)+1,20))-1))),"")))</f>
        <v/>
      </c>
      <c r="I1292">
        <f>IF(OR($F1292="",$G1292=""),"",IF(ISNUMBER(Sync!$AE1292),MOD(Sync!$AE1292,100),IFERROR(VALUE(TRIM(MID(MID(Sync!$AE1292,FIND("/",Sync!$AE1292)+1,20),FIND("/",MID(Sync!$AE1292,FIND("/",Sync!$AE1292)+1,20))+1,20))),"")))</f>
        <v/>
      </c>
      <c r="J1292">
        <f>IF($F1292="","",IF(OR($G1292="",$H1292="",$I1292="",$G1292&lt;1300,$G1292&gt;1500,$H1292&lt;1,$H1292&gt;12,$I1292&lt;1,$I1292&gt;31),"نامعتبر",RIGHT("0000"&amp;$G1292,4)&amp;"/"&amp;RIGHT("00"&amp;$H1292,2)&amp;"/"&amp;RIGHT("00"&amp;$I1292,2)))</f>
        <v/>
      </c>
      <c r="K1292">
        <f>IF(OR($F1292="",$J1292="",$J1292="نامعتبر"),"",LEFT($J1292,4)&amp;MID($J1292,6,2)&amp;RIGHT($J1292,2)&amp;$N1292&amp;"|"&amp;"2"&amp;RIGHT("00000"&amp;1287,5))</f>
        <v/>
      </c>
      <c r="L1292">
        <f>IF($K1292="","",COUNTIFS(LdgSellerA,$F1292,LdgKeyA,"&lt;"&amp;$K1292)+COUNTIFS(LdgSellerB,$F1292,LdgKeyB,"&lt;"&amp;$K1292)+1)</f>
        <v/>
      </c>
      <c r="M1292">
        <f>IF($L1292="","",$F1292&amp;"|"&amp;RIGHT("000000"&amp;$L1292,6))</f>
        <v/>
      </c>
      <c r="N1292">
        <f>IF($F1292="","",IF(Sync!$AF1292="","0000",IF(AND(ISNUMBER(Sync!$AF1292),Sync!$AF1292&gt;=0,Sync!$AF1292&lt;1),RIGHT("00"&amp;HOUR(Sync!$AF1292),2)&amp;RIGHT("00"&amp;MINUTE(Sync!$AF1292),2),IFERROR(RIGHT("00"&amp;VALUE(LEFT(Sync!$AF1292,FIND(":",Sync!$AF1292)-1)),2)&amp;RIGHT("00"&amp;VALUE(MID(Sync!$AF1292,FIND(":",Sync!$AF1292)+1,2)),2),"0000"))))</f>
        <v/>
      </c>
    </row>
    <row r="1293">
      <c r="A1293">
        <f>IF(OR(Calc!$E1297="",Calc!$E1297="نامعتبر",Calc!$G1297=""),"",Calc!$G1297)</f>
        <v/>
      </c>
      <c r="B1293">
        <f>IF($A1293="","",LEFT(Calc!$E1297,4)&amp;MID(Calc!$E1297,6,2)&amp;RIGHT(Calc!$E1297,2)&amp;Calc!$Q1297&amp;"|"&amp;"1"&amp;RIGHT("00000"&amp;1288,5))</f>
        <v/>
      </c>
      <c r="C1293">
        <f>IF($B1293="","",COUNTIFS(LdgSellerA,$A1293,LdgKeyA,"&lt;"&amp;$B1293)+COUNTIFS(LdgSellerB,$A1293,LdgKeyB,"&lt;"&amp;$B1293)+1)</f>
        <v/>
      </c>
      <c r="D1293">
        <f>IF($C1293="","",$A1293&amp;"|"&amp;RIGHT("000000"&amp;$C1293,6))</f>
        <v/>
      </c>
      <c r="F1293">
        <f>IF(Sync!$AH1293="","",IF(LEFT(UPPER(TRIM(Sync!$AH1293)),2)="SL",UPPER(TRIM(Sync!$AH1293)),""))</f>
        <v/>
      </c>
      <c r="G1293">
        <f>IF($F1293="","",IF(Sync!$AE1293="","",IF(ISNUMBER(Sync!$AE1293),IF(AND(Sync!$AE1293&gt;=10000101,Sync!$AE1293&lt;=99991231),INT(Sync!$AE1293/10000),""),IFERROR(VALUE(TRIM(LEFT(Sync!$AE1293,FIND("/",Sync!$AE1293)-1))),""))))</f>
        <v/>
      </c>
      <c r="H1293">
        <f>IF(OR($F1293="",$G1293=""),"",IF(ISNUMBER(Sync!$AE1293),INT(MOD(Sync!$AE1293,10000)/100),IFERROR(VALUE(TRIM(LEFT(MID(Sync!$AE1293,FIND("/",Sync!$AE1293)+1,20),FIND("/",MID(Sync!$AE1293,FIND("/",Sync!$AE1293)+1,20))-1))),"")))</f>
        <v/>
      </c>
      <c r="I1293">
        <f>IF(OR($F1293="",$G1293=""),"",IF(ISNUMBER(Sync!$AE1293),MOD(Sync!$AE1293,100),IFERROR(VALUE(TRIM(MID(MID(Sync!$AE1293,FIND("/",Sync!$AE1293)+1,20),FIND("/",MID(Sync!$AE1293,FIND("/",Sync!$AE1293)+1,20))+1,20))),"")))</f>
        <v/>
      </c>
      <c r="J1293">
        <f>IF($F1293="","",IF(OR($G1293="",$H1293="",$I1293="",$G1293&lt;1300,$G1293&gt;1500,$H1293&lt;1,$H1293&gt;12,$I1293&lt;1,$I1293&gt;31),"نامعتبر",RIGHT("0000"&amp;$G1293,4)&amp;"/"&amp;RIGHT("00"&amp;$H1293,2)&amp;"/"&amp;RIGHT("00"&amp;$I1293,2)))</f>
        <v/>
      </c>
      <c r="K1293">
        <f>IF(OR($F1293="",$J1293="",$J1293="نامعتبر"),"",LEFT($J1293,4)&amp;MID($J1293,6,2)&amp;RIGHT($J1293,2)&amp;$N1293&amp;"|"&amp;"2"&amp;RIGHT("00000"&amp;1288,5))</f>
        <v/>
      </c>
      <c r="L1293">
        <f>IF($K1293="","",COUNTIFS(LdgSellerA,$F1293,LdgKeyA,"&lt;"&amp;$K1293)+COUNTIFS(LdgSellerB,$F1293,LdgKeyB,"&lt;"&amp;$K1293)+1)</f>
        <v/>
      </c>
      <c r="M1293">
        <f>IF($L1293="","",$F1293&amp;"|"&amp;RIGHT("000000"&amp;$L1293,6))</f>
        <v/>
      </c>
      <c r="N1293">
        <f>IF($F1293="","",IF(Sync!$AF1293="","0000",IF(AND(ISNUMBER(Sync!$AF1293),Sync!$AF1293&gt;=0,Sync!$AF1293&lt;1),RIGHT("00"&amp;HOUR(Sync!$AF1293),2)&amp;RIGHT("00"&amp;MINUTE(Sync!$AF1293),2),IFERROR(RIGHT("00"&amp;VALUE(LEFT(Sync!$AF1293,FIND(":",Sync!$AF1293)-1)),2)&amp;RIGHT("00"&amp;VALUE(MID(Sync!$AF1293,FIND(":",Sync!$AF1293)+1,2)),2),"0000"))))</f>
        <v/>
      </c>
    </row>
    <row r="1294">
      <c r="A1294">
        <f>IF(OR(Calc!$E1298="",Calc!$E1298="نامعتبر",Calc!$G1298=""),"",Calc!$G1298)</f>
        <v/>
      </c>
      <c r="B1294">
        <f>IF($A1294="","",LEFT(Calc!$E1298,4)&amp;MID(Calc!$E1298,6,2)&amp;RIGHT(Calc!$E1298,2)&amp;Calc!$Q1298&amp;"|"&amp;"1"&amp;RIGHT("00000"&amp;1289,5))</f>
        <v/>
      </c>
      <c r="C1294">
        <f>IF($B1294="","",COUNTIFS(LdgSellerA,$A1294,LdgKeyA,"&lt;"&amp;$B1294)+COUNTIFS(LdgSellerB,$A1294,LdgKeyB,"&lt;"&amp;$B1294)+1)</f>
        <v/>
      </c>
      <c r="D1294">
        <f>IF($C1294="","",$A1294&amp;"|"&amp;RIGHT("000000"&amp;$C1294,6))</f>
        <v/>
      </c>
      <c r="F1294">
        <f>IF(Sync!$AH1294="","",IF(LEFT(UPPER(TRIM(Sync!$AH1294)),2)="SL",UPPER(TRIM(Sync!$AH1294)),""))</f>
        <v/>
      </c>
      <c r="G1294">
        <f>IF($F1294="","",IF(Sync!$AE1294="","",IF(ISNUMBER(Sync!$AE1294),IF(AND(Sync!$AE1294&gt;=10000101,Sync!$AE1294&lt;=99991231),INT(Sync!$AE1294/10000),""),IFERROR(VALUE(TRIM(LEFT(Sync!$AE1294,FIND("/",Sync!$AE1294)-1))),""))))</f>
        <v/>
      </c>
      <c r="H1294">
        <f>IF(OR($F1294="",$G1294=""),"",IF(ISNUMBER(Sync!$AE1294),INT(MOD(Sync!$AE1294,10000)/100),IFERROR(VALUE(TRIM(LEFT(MID(Sync!$AE1294,FIND("/",Sync!$AE1294)+1,20),FIND("/",MID(Sync!$AE1294,FIND("/",Sync!$AE1294)+1,20))-1))),"")))</f>
        <v/>
      </c>
      <c r="I1294">
        <f>IF(OR($F1294="",$G1294=""),"",IF(ISNUMBER(Sync!$AE1294),MOD(Sync!$AE1294,100),IFERROR(VALUE(TRIM(MID(MID(Sync!$AE1294,FIND("/",Sync!$AE1294)+1,20),FIND("/",MID(Sync!$AE1294,FIND("/",Sync!$AE1294)+1,20))+1,20))),"")))</f>
        <v/>
      </c>
      <c r="J1294">
        <f>IF($F1294="","",IF(OR($G1294="",$H1294="",$I1294="",$G1294&lt;1300,$G1294&gt;1500,$H1294&lt;1,$H1294&gt;12,$I1294&lt;1,$I1294&gt;31),"نامعتبر",RIGHT("0000"&amp;$G1294,4)&amp;"/"&amp;RIGHT("00"&amp;$H1294,2)&amp;"/"&amp;RIGHT("00"&amp;$I1294,2)))</f>
        <v/>
      </c>
      <c r="K1294">
        <f>IF(OR($F1294="",$J1294="",$J1294="نامعتبر"),"",LEFT($J1294,4)&amp;MID($J1294,6,2)&amp;RIGHT($J1294,2)&amp;$N1294&amp;"|"&amp;"2"&amp;RIGHT("00000"&amp;1289,5))</f>
        <v/>
      </c>
      <c r="L1294">
        <f>IF($K1294="","",COUNTIFS(LdgSellerA,$F1294,LdgKeyA,"&lt;"&amp;$K1294)+COUNTIFS(LdgSellerB,$F1294,LdgKeyB,"&lt;"&amp;$K1294)+1)</f>
        <v/>
      </c>
      <c r="M1294">
        <f>IF($L1294="","",$F1294&amp;"|"&amp;RIGHT("000000"&amp;$L1294,6))</f>
        <v/>
      </c>
      <c r="N1294">
        <f>IF($F1294="","",IF(Sync!$AF1294="","0000",IF(AND(ISNUMBER(Sync!$AF1294),Sync!$AF1294&gt;=0,Sync!$AF1294&lt;1),RIGHT("00"&amp;HOUR(Sync!$AF1294),2)&amp;RIGHT("00"&amp;MINUTE(Sync!$AF1294),2),IFERROR(RIGHT("00"&amp;VALUE(LEFT(Sync!$AF1294,FIND(":",Sync!$AF1294)-1)),2)&amp;RIGHT("00"&amp;VALUE(MID(Sync!$AF1294,FIND(":",Sync!$AF1294)+1,2)),2),"0000"))))</f>
        <v/>
      </c>
    </row>
    <row r="1295">
      <c r="A1295">
        <f>IF(OR(Calc!$E1299="",Calc!$E1299="نامعتبر",Calc!$G1299=""),"",Calc!$G1299)</f>
        <v/>
      </c>
      <c r="B1295">
        <f>IF($A1295="","",LEFT(Calc!$E1299,4)&amp;MID(Calc!$E1299,6,2)&amp;RIGHT(Calc!$E1299,2)&amp;Calc!$Q1299&amp;"|"&amp;"1"&amp;RIGHT("00000"&amp;1290,5))</f>
        <v/>
      </c>
      <c r="C1295">
        <f>IF($B1295="","",COUNTIFS(LdgSellerA,$A1295,LdgKeyA,"&lt;"&amp;$B1295)+COUNTIFS(LdgSellerB,$A1295,LdgKeyB,"&lt;"&amp;$B1295)+1)</f>
        <v/>
      </c>
      <c r="D1295">
        <f>IF($C1295="","",$A1295&amp;"|"&amp;RIGHT("000000"&amp;$C1295,6))</f>
        <v/>
      </c>
      <c r="F1295">
        <f>IF(Sync!$AH1295="","",IF(LEFT(UPPER(TRIM(Sync!$AH1295)),2)="SL",UPPER(TRIM(Sync!$AH1295)),""))</f>
        <v/>
      </c>
      <c r="G1295">
        <f>IF($F1295="","",IF(Sync!$AE1295="","",IF(ISNUMBER(Sync!$AE1295),IF(AND(Sync!$AE1295&gt;=10000101,Sync!$AE1295&lt;=99991231),INT(Sync!$AE1295/10000),""),IFERROR(VALUE(TRIM(LEFT(Sync!$AE1295,FIND("/",Sync!$AE1295)-1))),""))))</f>
        <v/>
      </c>
      <c r="H1295">
        <f>IF(OR($F1295="",$G1295=""),"",IF(ISNUMBER(Sync!$AE1295),INT(MOD(Sync!$AE1295,10000)/100),IFERROR(VALUE(TRIM(LEFT(MID(Sync!$AE1295,FIND("/",Sync!$AE1295)+1,20),FIND("/",MID(Sync!$AE1295,FIND("/",Sync!$AE1295)+1,20))-1))),"")))</f>
        <v/>
      </c>
      <c r="I1295">
        <f>IF(OR($F1295="",$G1295=""),"",IF(ISNUMBER(Sync!$AE1295),MOD(Sync!$AE1295,100),IFERROR(VALUE(TRIM(MID(MID(Sync!$AE1295,FIND("/",Sync!$AE1295)+1,20),FIND("/",MID(Sync!$AE1295,FIND("/",Sync!$AE1295)+1,20))+1,20))),"")))</f>
        <v/>
      </c>
      <c r="J1295">
        <f>IF($F1295="","",IF(OR($G1295="",$H1295="",$I1295="",$G1295&lt;1300,$G1295&gt;1500,$H1295&lt;1,$H1295&gt;12,$I1295&lt;1,$I1295&gt;31),"نامعتبر",RIGHT("0000"&amp;$G1295,4)&amp;"/"&amp;RIGHT("00"&amp;$H1295,2)&amp;"/"&amp;RIGHT("00"&amp;$I1295,2)))</f>
        <v/>
      </c>
      <c r="K1295">
        <f>IF(OR($F1295="",$J1295="",$J1295="نامعتبر"),"",LEFT($J1295,4)&amp;MID($J1295,6,2)&amp;RIGHT($J1295,2)&amp;$N1295&amp;"|"&amp;"2"&amp;RIGHT("00000"&amp;1290,5))</f>
        <v/>
      </c>
      <c r="L1295">
        <f>IF($K1295="","",COUNTIFS(LdgSellerA,$F1295,LdgKeyA,"&lt;"&amp;$K1295)+COUNTIFS(LdgSellerB,$F1295,LdgKeyB,"&lt;"&amp;$K1295)+1)</f>
        <v/>
      </c>
      <c r="M1295">
        <f>IF($L1295="","",$F1295&amp;"|"&amp;RIGHT("000000"&amp;$L1295,6))</f>
        <v/>
      </c>
      <c r="N1295">
        <f>IF($F1295="","",IF(Sync!$AF1295="","0000",IF(AND(ISNUMBER(Sync!$AF1295),Sync!$AF1295&gt;=0,Sync!$AF1295&lt;1),RIGHT("00"&amp;HOUR(Sync!$AF1295),2)&amp;RIGHT("00"&amp;MINUTE(Sync!$AF1295),2),IFERROR(RIGHT("00"&amp;VALUE(LEFT(Sync!$AF1295,FIND(":",Sync!$AF1295)-1)),2)&amp;RIGHT("00"&amp;VALUE(MID(Sync!$AF1295,FIND(":",Sync!$AF1295)+1,2)),2),"0000"))))</f>
        <v/>
      </c>
    </row>
    <row r="1296">
      <c r="A1296">
        <f>IF(OR(Calc!$E1300="",Calc!$E1300="نامعتبر",Calc!$G1300=""),"",Calc!$G1300)</f>
        <v/>
      </c>
      <c r="B1296">
        <f>IF($A1296="","",LEFT(Calc!$E1300,4)&amp;MID(Calc!$E1300,6,2)&amp;RIGHT(Calc!$E1300,2)&amp;Calc!$Q1300&amp;"|"&amp;"1"&amp;RIGHT("00000"&amp;1291,5))</f>
        <v/>
      </c>
      <c r="C1296">
        <f>IF($B1296="","",COUNTIFS(LdgSellerA,$A1296,LdgKeyA,"&lt;"&amp;$B1296)+COUNTIFS(LdgSellerB,$A1296,LdgKeyB,"&lt;"&amp;$B1296)+1)</f>
        <v/>
      </c>
      <c r="D1296">
        <f>IF($C1296="","",$A1296&amp;"|"&amp;RIGHT("000000"&amp;$C1296,6))</f>
        <v/>
      </c>
      <c r="F1296">
        <f>IF(Sync!$AH1296="","",IF(LEFT(UPPER(TRIM(Sync!$AH1296)),2)="SL",UPPER(TRIM(Sync!$AH1296)),""))</f>
        <v/>
      </c>
      <c r="G1296">
        <f>IF($F1296="","",IF(Sync!$AE1296="","",IF(ISNUMBER(Sync!$AE1296),IF(AND(Sync!$AE1296&gt;=10000101,Sync!$AE1296&lt;=99991231),INT(Sync!$AE1296/10000),""),IFERROR(VALUE(TRIM(LEFT(Sync!$AE1296,FIND("/",Sync!$AE1296)-1))),""))))</f>
        <v/>
      </c>
      <c r="H1296">
        <f>IF(OR($F1296="",$G1296=""),"",IF(ISNUMBER(Sync!$AE1296),INT(MOD(Sync!$AE1296,10000)/100),IFERROR(VALUE(TRIM(LEFT(MID(Sync!$AE1296,FIND("/",Sync!$AE1296)+1,20),FIND("/",MID(Sync!$AE1296,FIND("/",Sync!$AE1296)+1,20))-1))),"")))</f>
        <v/>
      </c>
      <c r="I1296">
        <f>IF(OR($F1296="",$G1296=""),"",IF(ISNUMBER(Sync!$AE1296),MOD(Sync!$AE1296,100),IFERROR(VALUE(TRIM(MID(MID(Sync!$AE1296,FIND("/",Sync!$AE1296)+1,20),FIND("/",MID(Sync!$AE1296,FIND("/",Sync!$AE1296)+1,20))+1,20))),"")))</f>
        <v/>
      </c>
      <c r="J1296">
        <f>IF($F1296="","",IF(OR($G1296="",$H1296="",$I1296="",$G1296&lt;1300,$G1296&gt;1500,$H1296&lt;1,$H1296&gt;12,$I1296&lt;1,$I1296&gt;31),"نامعتبر",RIGHT("0000"&amp;$G1296,4)&amp;"/"&amp;RIGHT("00"&amp;$H1296,2)&amp;"/"&amp;RIGHT("00"&amp;$I1296,2)))</f>
        <v/>
      </c>
      <c r="K1296">
        <f>IF(OR($F1296="",$J1296="",$J1296="نامعتبر"),"",LEFT($J1296,4)&amp;MID($J1296,6,2)&amp;RIGHT($J1296,2)&amp;$N1296&amp;"|"&amp;"2"&amp;RIGHT("00000"&amp;1291,5))</f>
        <v/>
      </c>
      <c r="L1296">
        <f>IF($K1296="","",COUNTIFS(LdgSellerA,$F1296,LdgKeyA,"&lt;"&amp;$K1296)+COUNTIFS(LdgSellerB,$F1296,LdgKeyB,"&lt;"&amp;$K1296)+1)</f>
        <v/>
      </c>
      <c r="M1296">
        <f>IF($L1296="","",$F1296&amp;"|"&amp;RIGHT("000000"&amp;$L1296,6))</f>
        <v/>
      </c>
      <c r="N1296">
        <f>IF($F1296="","",IF(Sync!$AF1296="","0000",IF(AND(ISNUMBER(Sync!$AF1296),Sync!$AF1296&gt;=0,Sync!$AF1296&lt;1),RIGHT("00"&amp;HOUR(Sync!$AF1296),2)&amp;RIGHT("00"&amp;MINUTE(Sync!$AF1296),2),IFERROR(RIGHT("00"&amp;VALUE(LEFT(Sync!$AF1296,FIND(":",Sync!$AF1296)-1)),2)&amp;RIGHT("00"&amp;VALUE(MID(Sync!$AF1296,FIND(":",Sync!$AF1296)+1,2)),2),"0000"))))</f>
        <v/>
      </c>
    </row>
    <row r="1297">
      <c r="A1297">
        <f>IF(OR(Calc!$E1301="",Calc!$E1301="نامعتبر",Calc!$G1301=""),"",Calc!$G1301)</f>
        <v/>
      </c>
      <c r="B1297">
        <f>IF($A1297="","",LEFT(Calc!$E1301,4)&amp;MID(Calc!$E1301,6,2)&amp;RIGHT(Calc!$E1301,2)&amp;Calc!$Q1301&amp;"|"&amp;"1"&amp;RIGHT("00000"&amp;1292,5))</f>
        <v/>
      </c>
      <c r="C1297">
        <f>IF($B1297="","",COUNTIFS(LdgSellerA,$A1297,LdgKeyA,"&lt;"&amp;$B1297)+COUNTIFS(LdgSellerB,$A1297,LdgKeyB,"&lt;"&amp;$B1297)+1)</f>
        <v/>
      </c>
      <c r="D1297">
        <f>IF($C1297="","",$A1297&amp;"|"&amp;RIGHT("000000"&amp;$C1297,6))</f>
        <v/>
      </c>
      <c r="F1297">
        <f>IF(Sync!$AH1297="","",IF(LEFT(UPPER(TRIM(Sync!$AH1297)),2)="SL",UPPER(TRIM(Sync!$AH1297)),""))</f>
        <v/>
      </c>
      <c r="G1297">
        <f>IF($F1297="","",IF(Sync!$AE1297="","",IF(ISNUMBER(Sync!$AE1297),IF(AND(Sync!$AE1297&gt;=10000101,Sync!$AE1297&lt;=99991231),INT(Sync!$AE1297/10000),""),IFERROR(VALUE(TRIM(LEFT(Sync!$AE1297,FIND("/",Sync!$AE1297)-1))),""))))</f>
        <v/>
      </c>
      <c r="H1297">
        <f>IF(OR($F1297="",$G1297=""),"",IF(ISNUMBER(Sync!$AE1297),INT(MOD(Sync!$AE1297,10000)/100),IFERROR(VALUE(TRIM(LEFT(MID(Sync!$AE1297,FIND("/",Sync!$AE1297)+1,20),FIND("/",MID(Sync!$AE1297,FIND("/",Sync!$AE1297)+1,20))-1))),"")))</f>
        <v/>
      </c>
      <c r="I1297">
        <f>IF(OR($F1297="",$G1297=""),"",IF(ISNUMBER(Sync!$AE1297),MOD(Sync!$AE1297,100),IFERROR(VALUE(TRIM(MID(MID(Sync!$AE1297,FIND("/",Sync!$AE1297)+1,20),FIND("/",MID(Sync!$AE1297,FIND("/",Sync!$AE1297)+1,20))+1,20))),"")))</f>
        <v/>
      </c>
      <c r="J1297">
        <f>IF($F1297="","",IF(OR($G1297="",$H1297="",$I1297="",$G1297&lt;1300,$G1297&gt;1500,$H1297&lt;1,$H1297&gt;12,$I1297&lt;1,$I1297&gt;31),"نامعتبر",RIGHT("0000"&amp;$G1297,4)&amp;"/"&amp;RIGHT("00"&amp;$H1297,2)&amp;"/"&amp;RIGHT("00"&amp;$I1297,2)))</f>
        <v/>
      </c>
      <c r="K1297">
        <f>IF(OR($F1297="",$J1297="",$J1297="نامعتبر"),"",LEFT($J1297,4)&amp;MID($J1297,6,2)&amp;RIGHT($J1297,2)&amp;$N1297&amp;"|"&amp;"2"&amp;RIGHT("00000"&amp;1292,5))</f>
        <v/>
      </c>
      <c r="L1297">
        <f>IF($K1297="","",COUNTIFS(LdgSellerA,$F1297,LdgKeyA,"&lt;"&amp;$K1297)+COUNTIFS(LdgSellerB,$F1297,LdgKeyB,"&lt;"&amp;$K1297)+1)</f>
        <v/>
      </c>
      <c r="M1297">
        <f>IF($L1297="","",$F1297&amp;"|"&amp;RIGHT("000000"&amp;$L1297,6))</f>
        <v/>
      </c>
      <c r="N1297">
        <f>IF($F1297="","",IF(Sync!$AF1297="","0000",IF(AND(ISNUMBER(Sync!$AF1297),Sync!$AF1297&gt;=0,Sync!$AF1297&lt;1),RIGHT("00"&amp;HOUR(Sync!$AF1297),2)&amp;RIGHT("00"&amp;MINUTE(Sync!$AF1297),2),IFERROR(RIGHT("00"&amp;VALUE(LEFT(Sync!$AF1297,FIND(":",Sync!$AF1297)-1)),2)&amp;RIGHT("00"&amp;VALUE(MID(Sync!$AF1297,FIND(":",Sync!$AF1297)+1,2)),2),"0000"))))</f>
        <v/>
      </c>
    </row>
    <row r="1298">
      <c r="A1298">
        <f>IF(OR(Calc!$E1302="",Calc!$E1302="نامعتبر",Calc!$G1302=""),"",Calc!$G1302)</f>
        <v/>
      </c>
      <c r="B1298">
        <f>IF($A1298="","",LEFT(Calc!$E1302,4)&amp;MID(Calc!$E1302,6,2)&amp;RIGHT(Calc!$E1302,2)&amp;Calc!$Q1302&amp;"|"&amp;"1"&amp;RIGHT("00000"&amp;1293,5))</f>
        <v/>
      </c>
      <c r="C1298">
        <f>IF($B1298="","",COUNTIFS(LdgSellerA,$A1298,LdgKeyA,"&lt;"&amp;$B1298)+COUNTIFS(LdgSellerB,$A1298,LdgKeyB,"&lt;"&amp;$B1298)+1)</f>
        <v/>
      </c>
      <c r="D1298">
        <f>IF($C1298="","",$A1298&amp;"|"&amp;RIGHT("000000"&amp;$C1298,6))</f>
        <v/>
      </c>
      <c r="F1298">
        <f>IF(Sync!$AH1298="","",IF(LEFT(UPPER(TRIM(Sync!$AH1298)),2)="SL",UPPER(TRIM(Sync!$AH1298)),""))</f>
        <v/>
      </c>
      <c r="G1298">
        <f>IF($F1298="","",IF(Sync!$AE1298="","",IF(ISNUMBER(Sync!$AE1298),IF(AND(Sync!$AE1298&gt;=10000101,Sync!$AE1298&lt;=99991231),INT(Sync!$AE1298/10000),""),IFERROR(VALUE(TRIM(LEFT(Sync!$AE1298,FIND("/",Sync!$AE1298)-1))),""))))</f>
        <v/>
      </c>
      <c r="H1298">
        <f>IF(OR($F1298="",$G1298=""),"",IF(ISNUMBER(Sync!$AE1298),INT(MOD(Sync!$AE1298,10000)/100),IFERROR(VALUE(TRIM(LEFT(MID(Sync!$AE1298,FIND("/",Sync!$AE1298)+1,20),FIND("/",MID(Sync!$AE1298,FIND("/",Sync!$AE1298)+1,20))-1))),"")))</f>
        <v/>
      </c>
      <c r="I1298">
        <f>IF(OR($F1298="",$G1298=""),"",IF(ISNUMBER(Sync!$AE1298),MOD(Sync!$AE1298,100),IFERROR(VALUE(TRIM(MID(MID(Sync!$AE1298,FIND("/",Sync!$AE1298)+1,20),FIND("/",MID(Sync!$AE1298,FIND("/",Sync!$AE1298)+1,20))+1,20))),"")))</f>
        <v/>
      </c>
      <c r="J1298">
        <f>IF($F1298="","",IF(OR($G1298="",$H1298="",$I1298="",$G1298&lt;1300,$G1298&gt;1500,$H1298&lt;1,$H1298&gt;12,$I1298&lt;1,$I1298&gt;31),"نامعتبر",RIGHT("0000"&amp;$G1298,4)&amp;"/"&amp;RIGHT("00"&amp;$H1298,2)&amp;"/"&amp;RIGHT("00"&amp;$I1298,2)))</f>
        <v/>
      </c>
      <c r="K1298">
        <f>IF(OR($F1298="",$J1298="",$J1298="نامعتبر"),"",LEFT($J1298,4)&amp;MID($J1298,6,2)&amp;RIGHT($J1298,2)&amp;$N1298&amp;"|"&amp;"2"&amp;RIGHT("00000"&amp;1293,5))</f>
        <v/>
      </c>
      <c r="L1298">
        <f>IF($K1298="","",COUNTIFS(LdgSellerA,$F1298,LdgKeyA,"&lt;"&amp;$K1298)+COUNTIFS(LdgSellerB,$F1298,LdgKeyB,"&lt;"&amp;$K1298)+1)</f>
        <v/>
      </c>
      <c r="M1298">
        <f>IF($L1298="","",$F1298&amp;"|"&amp;RIGHT("000000"&amp;$L1298,6))</f>
        <v/>
      </c>
      <c r="N1298">
        <f>IF($F1298="","",IF(Sync!$AF1298="","0000",IF(AND(ISNUMBER(Sync!$AF1298),Sync!$AF1298&gt;=0,Sync!$AF1298&lt;1),RIGHT("00"&amp;HOUR(Sync!$AF1298),2)&amp;RIGHT("00"&amp;MINUTE(Sync!$AF1298),2),IFERROR(RIGHT("00"&amp;VALUE(LEFT(Sync!$AF1298,FIND(":",Sync!$AF1298)-1)),2)&amp;RIGHT("00"&amp;VALUE(MID(Sync!$AF1298,FIND(":",Sync!$AF1298)+1,2)),2),"0000"))))</f>
        <v/>
      </c>
    </row>
    <row r="1299">
      <c r="A1299">
        <f>IF(OR(Calc!$E1303="",Calc!$E1303="نامعتبر",Calc!$G1303=""),"",Calc!$G1303)</f>
        <v/>
      </c>
      <c r="B1299">
        <f>IF($A1299="","",LEFT(Calc!$E1303,4)&amp;MID(Calc!$E1303,6,2)&amp;RIGHT(Calc!$E1303,2)&amp;Calc!$Q1303&amp;"|"&amp;"1"&amp;RIGHT("00000"&amp;1294,5))</f>
        <v/>
      </c>
      <c r="C1299">
        <f>IF($B1299="","",COUNTIFS(LdgSellerA,$A1299,LdgKeyA,"&lt;"&amp;$B1299)+COUNTIFS(LdgSellerB,$A1299,LdgKeyB,"&lt;"&amp;$B1299)+1)</f>
        <v/>
      </c>
      <c r="D1299">
        <f>IF($C1299="","",$A1299&amp;"|"&amp;RIGHT("000000"&amp;$C1299,6))</f>
        <v/>
      </c>
      <c r="F1299">
        <f>IF(Sync!$AH1299="","",IF(LEFT(UPPER(TRIM(Sync!$AH1299)),2)="SL",UPPER(TRIM(Sync!$AH1299)),""))</f>
        <v/>
      </c>
      <c r="G1299">
        <f>IF($F1299="","",IF(Sync!$AE1299="","",IF(ISNUMBER(Sync!$AE1299),IF(AND(Sync!$AE1299&gt;=10000101,Sync!$AE1299&lt;=99991231),INT(Sync!$AE1299/10000),""),IFERROR(VALUE(TRIM(LEFT(Sync!$AE1299,FIND("/",Sync!$AE1299)-1))),""))))</f>
        <v/>
      </c>
      <c r="H1299">
        <f>IF(OR($F1299="",$G1299=""),"",IF(ISNUMBER(Sync!$AE1299),INT(MOD(Sync!$AE1299,10000)/100),IFERROR(VALUE(TRIM(LEFT(MID(Sync!$AE1299,FIND("/",Sync!$AE1299)+1,20),FIND("/",MID(Sync!$AE1299,FIND("/",Sync!$AE1299)+1,20))-1))),"")))</f>
        <v/>
      </c>
      <c r="I1299">
        <f>IF(OR($F1299="",$G1299=""),"",IF(ISNUMBER(Sync!$AE1299),MOD(Sync!$AE1299,100),IFERROR(VALUE(TRIM(MID(MID(Sync!$AE1299,FIND("/",Sync!$AE1299)+1,20),FIND("/",MID(Sync!$AE1299,FIND("/",Sync!$AE1299)+1,20))+1,20))),"")))</f>
        <v/>
      </c>
      <c r="J1299">
        <f>IF($F1299="","",IF(OR($G1299="",$H1299="",$I1299="",$G1299&lt;1300,$G1299&gt;1500,$H1299&lt;1,$H1299&gt;12,$I1299&lt;1,$I1299&gt;31),"نامعتبر",RIGHT("0000"&amp;$G1299,4)&amp;"/"&amp;RIGHT("00"&amp;$H1299,2)&amp;"/"&amp;RIGHT("00"&amp;$I1299,2)))</f>
        <v/>
      </c>
      <c r="K1299">
        <f>IF(OR($F1299="",$J1299="",$J1299="نامعتبر"),"",LEFT($J1299,4)&amp;MID($J1299,6,2)&amp;RIGHT($J1299,2)&amp;$N1299&amp;"|"&amp;"2"&amp;RIGHT("00000"&amp;1294,5))</f>
        <v/>
      </c>
      <c r="L1299">
        <f>IF($K1299="","",COUNTIFS(LdgSellerA,$F1299,LdgKeyA,"&lt;"&amp;$K1299)+COUNTIFS(LdgSellerB,$F1299,LdgKeyB,"&lt;"&amp;$K1299)+1)</f>
        <v/>
      </c>
      <c r="M1299">
        <f>IF($L1299="","",$F1299&amp;"|"&amp;RIGHT("000000"&amp;$L1299,6))</f>
        <v/>
      </c>
      <c r="N1299">
        <f>IF($F1299="","",IF(Sync!$AF1299="","0000",IF(AND(ISNUMBER(Sync!$AF1299),Sync!$AF1299&gt;=0,Sync!$AF1299&lt;1),RIGHT("00"&amp;HOUR(Sync!$AF1299),2)&amp;RIGHT("00"&amp;MINUTE(Sync!$AF1299),2),IFERROR(RIGHT("00"&amp;VALUE(LEFT(Sync!$AF1299,FIND(":",Sync!$AF1299)-1)),2)&amp;RIGHT("00"&amp;VALUE(MID(Sync!$AF1299,FIND(":",Sync!$AF1299)+1,2)),2),"0000"))))</f>
        <v/>
      </c>
    </row>
    <row r="1300">
      <c r="A1300">
        <f>IF(OR(Calc!$E1304="",Calc!$E1304="نامعتبر",Calc!$G1304=""),"",Calc!$G1304)</f>
        <v/>
      </c>
      <c r="B1300">
        <f>IF($A1300="","",LEFT(Calc!$E1304,4)&amp;MID(Calc!$E1304,6,2)&amp;RIGHT(Calc!$E1304,2)&amp;Calc!$Q1304&amp;"|"&amp;"1"&amp;RIGHT("00000"&amp;1295,5))</f>
        <v/>
      </c>
      <c r="C1300">
        <f>IF($B1300="","",COUNTIFS(LdgSellerA,$A1300,LdgKeyA,"&lt;"&amp;$B1300)+COUNTIFS(LdgSellerB,$A1300,LdgKeyB,"&lt;"&amp;$B1300)+1)</f>
        <v/>
      </c>
      <c r="D1300">
        <f>IF($C1300="","",$A1300&amp;"|"&amp;RIGHT("000000"&amp;$C1300,6))</f>
        <v/>
      </c>
      <c r="F1300">
        <f>IF(Sync!$AH1300="","",IF(LEFT(UPPER(TRIM(Sync!$AH1300)),2)="SL",UPPER(TRIM(Sync!$AH1300)),""))</f>
        <v/>
      </c>
      <c r="G1300">
        <f>IF($F1300="","",IF(Sync!$AE1300="","",IF(ISNUMBER(Sync!$AE1300),IF(AND(Sync!$AE1300&gt;=10000101,Sync!$AE1300&lt;=99991231),INT(Sync!$AE1300/10000),""),IFERROR(VALUE(TRIM(LEFT(Sync!$AE1300,FIND("/",Sync!$AE1300)-1))),""))))</f>
        <v/>
      </c>
      <c r="H1300">
        <f>IF(OR($F1300="",$G1300=""),"",IF(ISNUMBER(Sync!$AE1300),INT(MOD(Sync!$AE1300,10000)/100),IFERROR(VALUE(TRIM(LEFT(MID(Sync!$AE1300,FIND("/",Sync!$AE1300)+1,20),FIND("/",MID(Sync!$AE1300,FIND("/",Sync!$AE1300)+1,20))-1))),"")))</f>
        <v/>
      </c>
      <c r="I1300">
        <f>IF(OR($F1300="",$G1300=""),"",IF(ISNUMBER(Sync!$AE1300),MOD(Sync!$AE1300,100),IFERROR(VALUE(TRIM(MID(MID(Sync!$AE1300,FIND("/",Sync!$AE1300)+1,20),FIND("/",MID(Sync!$AE1300,FIND("/",Sync!$AE1300)+1,20))+1,20))),"")))</f>
        <v/>
      </c>
      <c r="J1300">
        <f>IF($F1300="","",IF(OR($G1300="",$H1300="",$I1300="",$G1300&lt;1300,$G1300&gt;1500,$H1300&lt;1,$H1300&gt;12,$I1300&lt;1,$I1300&gt;31),"نامعتبر",RIGHT("0000"&amp;$G1300,4)&amp;"/"&amp;RIGHT("00"&amp;$H1300,2)&amp;"/"&amp;RIGHT("00"&amp;$I1300,2)))</f>
        <v/>
      </c>
      <c r="K1300">
        <f>IF(OR($F1300="",$J1300="",$J1300="نامعتبر"),"",LEFT($J1300,4)&amp;MID($J1300,6,2)&amp;RIGHT($J1300,2)&amp;$N1300&amp;"|"&amp;"2"&amp;RIGHT("00000"&amp;1295,5))</f>
        <v/>
      </c>
      <c r="L1300">
        <f>IF($K1300="","",COUNTIFS(LdgSellerA,$F1300,LdgKeyA,"&lt;"&amp;$K1300)+COUNTIFS(LdgSellerB,$F1300,LdgKeyB,"&lt;"&amp;$K1300)+1)</f>
        <v/>
      </c>
      <c r="M1300">
        <f>IF($L1300="","",$F1300&amp;"|"&amp;RIGHT("000000"&amp;$L1300,6))</f>
        <v/>
      </c>
      <c r="N1300">
        <f>IF($F1300="","",IF(Sync!$AF1300="","0000",IF(AND(ISNUMBER(Sync!$AF1300),Sync!$AF1300&gt;=0,Sync!$AF1300&lt;1),RIGHT("00"&amp;HOUR(Sync!$AF1300),2)&amp;RIGHT("00"&amp;MINUTE(Sync!$AF1300),2),IFERROR(RIGHT("00"&amp;VALUE(LEFT(Sync!$AF1300,FIND(":",Sync!$AF1300)-1)),2)&amp;RIGHT("00"&amp;VALUE(MID(Sync!$AF1300,FIND(":",Sync!$AF1300)+1,2)),2),"0000"))))</f>
        <v/>
      </c>
    </row>
    <row r="1301">
      <c r="A1301">
        <f>IF(OR(Calc!$E1305="",Calc!$E1305="نامعتبر",Calc!$G1305=""),"",Calc!$G1305)</f>
        <v/>
      </c>
      <c r="B1301">
        <f>IF($A1301="","",LEFT(Calc!$E1305,4)&amp;MID(Calc!$E1305,6,2)&amp;RIGHT(Calc!$E1305,2)&amp;Calc!$Q1305&amp;"|"&amp;"1"&amp;RIGHT("00000"&amp;1296,5))</f>
        <v/>
      </c>
      <c r="C1301">
        <f>IF($B1301="","",COUNTIFS(LdgSellerA,$A1301,LdgKeyA,"&lt;"&amp;$B1301)+COUNTIFS(LdgSellerB,$A1301,LdgKeyB,"&lt;"&amp;$B1301)+1)</f>
        <v/>
      </c>
      <c r="D1301">
        <f>IF($C1301="","",$A1301&amp;"|"&amp;RIGHT("000000"&amp;$C1301,6))</f>
        <v/>
      </c>
      <c r="F1301">
        <f>IF(Sync!$AH1301="","",IF(LEFT(UPPER(TRIM(Sync!$AH1301)),2)="SL",UPPER(TRIM(Sync!$AH1301)),""))</f>
        <v/>
      </c>
      <c r="G1301">
        <f>IF($F1301="","",IF(Sync!$AE1301="","",IF(ISNUMBER(Sync!$AE1301),IF(AND(Sync!$AE1301&gt;=10000101,Sync!$AE1301&lt;=99991231),INT(Sync!$AE1301/10000),""),IFERROR(VALUE(TRIM(LEFT(Sync!$AE1301,FIND("/",Sync!$AE1301)-1))),""))))</f>
        <v/>
      </c>
      <c r="H1301">
        <f>IF(OR($F1301="",$G1301=""),"",IF(ISNUMBER(Sync!$AE1301),INT(MOD(Sync!$AE1301,10000)/100),IFERROR(VALUE(TRIM(LEFT(MID(Sync!$AE1301,FIND("/",Sync!$AE1301)+1,20),FIND("/",MID(Sync!$AE1301,FIND("/",Sync!$AE1301)+1,20))-1))),"")))</f>
        <v/>
      </c>
      <c r="I1301">
        <f>IF(OR($F1301="",$G1301=""),"",IF(ISNUMBER(Sync!$AE1301),MOD(Sync!$AE1301,100),IFERROR(VALUE(TRIM(MID(MID(Sync!$AE1301,FIND("/",Sync!$AE1301)+1,20),FIND("/",MID(Sync!$AE1301,FIND("/",Sync!$AE1301)+1,20))+1,20))),"")))</f>
        <v/>
      </c>
      <c r="J1301">
        <f>IF($F1301="","",IF(OR($G1301="",$H1301="",$I1301="",$G1301&lt;1300,$G1301&gt;1500,$H1301&lt;1,$H1301&gt;12,$I1301&lt;1,$I1301&gt;31),"نامعتبر",RIGHT("0000"&amp;$G1301,4)&amp;"/"&amp;RIGHT("00"&amp;$H1301,2)&amp;"/"&amp;RIGHT("00"&amp;$I1301,2)))</f>
        <v/>
      </c>
      <c r="K1301">
        <f>IF(OR($F1301="",$J1301="",$J1301="نامعتبر"),"",LEFT($J1301,4)&amp;MID($J1301,6,2)&amp;RIGHT($J1301,2)&amp;$N1301&amp;"|"&amp;"2"&amp;RIGHT("00000"&amp;1296,5))</f>
        <v/>
      </c>
      <c r="L1301">
        <f>IF($K1301="","",COUNTIFS(LdgSellerA,$F1301,LdgKeyA,"&lt;"&amp;$K1301)+COUNTIFS(LdgSellerB,$F1301,LdgKeyB,"&lt;"&amp;$K1301)+1)</f>
        <v/>
      </c>
      <c r="M1301">
        <f>IF($L1301="","",$F1301&amp;"|"&amp;RIGHT("000000"&amp;$L1301,6))</f>
        <v/>
      </c>
      <c r="N1301">
        <f>IF($F1301="","",IF(Sync!$AF1301="","0000",IF(AND(ISNUMBER(Sync!$AF1301),Sync!$AF1301&gt;=0,Sync!$AF1301&lt;1),RIGHT("00"&amp;HOUR(Sync!$AF1301),2)&amp;RIGHT("00"&amp;MINUTE(Sync!$AF1301),2),IFERROR(RIGHT("00"&amp;VALUE(LEFT(Sync!$AF1301,FIND(":",Sync!$AF1301)-1)),2)&amp;RIGHT("00"&amp;VALUE(MID(Sync!$AF1301,FIND(":",Sync!$AF1301)+1,2)),2),"0000"))))</f>
        <v/>
      </c>
    </row>
    <row r="1302">
      <c r="A1302">
        <f>IF(OR(Calc!$E1306="",Calc!$E1306="نامعتبر",Calc!$G1306=""),"",Calc!$G1306)</f>
        <v/>
      </c>
      <c r="B1302">
        <f>IF($A1302="","",LEFT(Calc!$E1306,4)&amp;MID(Calc!$E1306,6,2)&amp;RIGHT(Calc!$E1306,2)&amp;Calc!$Q1306&amp;"|"&amp;"1"&amp;RIGHT("00000"&amp;1297,5))</f>
        <v/>
      </c>
      <c r="C1302">
        <f>IF($B1302="","",COUNTIFS(LdgSellerA,$A1302,LdgKeyA,"&lt;"&amp;$B1302)+COUNTIFS(LdgSellerB,$A1302,LdgKeyB,"&lt;"&amp;$B1302)+1)</f>
        <v/>
      </c>
      <c r="D1302">
        <f>IF($C1302="","",$A1302&amp;"|"&amp;RIGHT("000000"&amp;$C1302,6))</f>
        <v/>
      </c>
      <c r="F1302">
        <f>IF(Sync!$AH1302="","",IF(LEFT(UPPER(TRIM(Sync!$AH1302)),2)="SL",UPPER(TRIM(Sync!$AH1302)),""))</f>
        <v/>
      </c>
      <c r="G1302">
        <f>IF($F1302="","",IF(Sync!$AE1302="","",IF(ISNUMBER(Sync!$AE1302),IF(AND(Sync!$AE1302&gt;=10000101,Sync!$AE1302&lt;=99991231),INT(Sync!$AE1302/10000),""),IFERROR(VALUE(TRIM(LEFT(Sync!$AE1302,FIND("/",Sync!$AE1302)-1))),""))))</f>
        <v/>
      </c>
      <c r="H1302">
        <f>IF(OR($F1302="",$G1302=""),"",IF(ISNUMBER(Sync!$AE1302),INT(MOD(Sync!$AE1302,10000)/100),IFERROR(VALUE(TRIM(LEFT(MID(Sync!$AE1302,FIND("/",Sync!$AE1302)+1,20),FIND("/",MID(Sync!$AE1302,FIND("/",Sync!$AE1302)+1,20))-1))),"")))</f>
        <v/>
      </c>
      <c r="I1302">
        <f>IF(OR($F1302="",$G1302=""),"",IF(ISNUMBER(Sync!$AE1302),MOD(Sync!$AE1302,100),IFERROR(VALUE(TRIM(MID(MID(Sync!$AE1302,FIND("/",Sync!$AE1302)+1,20),FIND("/",MID(Sync!$AE1302,FIND("/",Sync!$AE1302)+1,20))+1,20))),"")))</f>
        <v/>
      </c>
      <c r="J1302">
        <f>IF($F1302="","",IF(OR($G1302="",$H1302="",$I1302="",$G1302&lt;1300,$G1302&gt;1500,$H1302&lt;1,$H1302&gt;12,$I1302&lt;1,$I1302&gt;31),"نامعتبر",RIGHT("0000"&amp;$G1302,4)&amp;"/"&amp;RIGHT("00"&amp;$H1302,2)&amp;"/"&amp;RIGHT("00"&amp;$I1302,2)))</f>
        <v/>
      </c>
      <c r="K1302">
        <f>IF(OR($F1302="",$J1302="",$J1302="نامعتبر"),"",LEFT($J1302,4)&amp;MID($J1302,6,2)&amp;RIGHT($J1302,2)&amp;$N1302&amp;"|"&amp;"2"&amp;RIGHT("00000"&amp;1297,5))</f>
        <v/>
      </c>
      <c r="L1302">
        <f>IF($K1302="","",COUNTIFS(LdgSellerA,$F1302,LdgKeyA,"&lt;"&amp;$K1302)+COUNTIFS(LdgSellerB,$F1302,LdgKeyB,"&lt;"&amp;$K1302)+1)</f>
        <v/>
      </c>
      <c r="M1302">
        <f>IF($L1302="","",$F1302&amp;"|"&amp;RIGHT("000000"&amp;$L1302,6))</f>
        <v/>
      </c>
      <c r="N1302">
        <f>IF($F1302="","",IF(Sync!$AF1302="","0000",IF(AND(ISNUMBER(Sync!$AF1302),Sync!$AF1302&gt;=0,Sync!$AF1302&lt;1),RIGHT("00"&amp;HOUR(Sync!$AF1302),2)&amp;RIGHT("00"&amp;MINUTE(Sync!$AF1302),2),IFERROR(RIGHT("00"&amp;VALUE(LEFT(Sync!$AF1302,FIND(":",Sync!$AF1302)-1)),2)&amp;RIGHT("00"&amp;VALUE(MID(Sync!$AF1302,FIND(":",Sync!$AF1302)+1,2)),2),"0000"))))</f>
        <v/>
      </c>
    </row>
    <row r="1303">
      <c r="A1303">
        <f>IF(OR(Calc!$E1307="",Calc!$E1307="نامعتبر",Calc!$G1307=""),"",Calc!$G1307)</f>
        <v/>
      </c>
      <c r="B1303">
        <f>IF($A1303="","",LEFT(Calc!$E1307,4)&amp;MID(Calc!$E1307,6,2)&amp;RIGHT(Calc!$E1307,2)&amp;Calc!$Q1307&amp;"|"&amp;"1"&amp;RIGHT("00000"&amp;1298,5))</f>
        <v/>
      </c>
      <c r="C1303">
        <f>IF($B1303="","",COUNTIFS(LdgSellerA,$A1303,LdgKeyA,"&lt;"&amp;$B1303)+COUNTIFS(LdgSellerB,$A1303,LdgKeyB,"&lt;"&amp;$B1303)+1)</f>
        <v/>
      </c>
      <c r="D1303">
        <f>IF($C1303="","",$A1303&amp;"|"&amp;RIGHT("000000"&amp;$C1303,6))</f>
        <v/>
      </c>
      <c r="F1303">
        <f>IF(Sync!$AH1303="","",IF(LEFT(UPPER(TRIM(Sync!$AH1303)),2)="SL",UPPER(TRIM(Sync!$AH1303)),""))</f>
        <v/>
      </c>
      <c r="G1303">
        <f>IF($F1303="","",IF(Sync!$AE1303="","",IF(ISNUMBER(Sync!$AE1303),IF(AND(Sync!$AE1303&gt;=10000101,Sync!$AE1303&lt;=99991231),INT(Sync!$AE1303/10000),""),IFERROR(VALUE(TRIM(LEFT(Sync!$AE1303,FIND("/",Sync!$AE1303)-1))),""))))</f>
        <v/>
      </c>
      <c r="H1303">
        <f>IF(OR($F1303="",$G1303=""),"",IF(ISNUMBER(Sync!$AE1303),INT(MOD(Sync!$AE1303,10000)/100),IFERROR(VALUE(TRIM(LEFT(MID(Sync!$AE1303,FIND("/",Sync!$AE1303)+1,20),FIND("/",MID(Sync!$AE1303,FIND("/",Sync!$AE1303)+1,20))-1))),"")))</f>
        <v/>
      </c>
      <c r="I1303">
        <f>IF(OR($F1303="",$G1303=""),"",IF(ISNUMBER(Sync!$AE1303),MOD(Sync!$AE1303,100),IFERROR(VALUE(TRIM(MID(MID(Sync!$AE1303,FIND("/",Sync!$AE1303)+1,20),FIND("/",MID(Sync!$AE1303,FIND("/",Sync!$AE1303)+1,20))+1,20))),"")))</f>
        <v/>
      </c>
      <c r="J1303">
        <f>IF($F1303="","",IF(OR($G1303="",$H1303="",$I1303="",$G1303&lt;1300,$G1303&gt;1500,$H1303&lt;1,$H1303&gt;12,$I1303&lt;1,$I1303&gt;31),"نامعتبر",RIGHT("0000"&amp;$G1303,4)&amp;"/"&amp;RIGHT("00"&amp;$H1303,2)&amp;"/"&amp;RIGHT("00"&amp;$I1303,2)))</f>
        <v/>
      </c>
      <c r="K1303">
        <f>IF(OR($F1303="",$J1303="",$J1303="نامعتبر"),"",LEFT($J1303,4)&amp;MID($J1303,6,2)&amp;RIGHT($J1303,2)&amp;$N1303&amp;"|"&amp;"2"&amp;RIGHT("00000"&amp;1298,5))</f>
        <v/>
      </c>
      <c r="L1303">
        <f>IF($K1303="","",COUNTIFS(LdgSellerA,$F1303,LdgKeyA,"&lt;"&amp;$K1303)+COUNTIFS(LdgSellerB,$F1303,LdgKeyB,"&lt;"&amp;$K1303)+1)</f>
        <v/>
      </c>
      <c r="M1303">
        <f>IF($L1303="","",$F1303&amp;"|"&amp;RIGHT("000000"&amp;$L1303,6))</f>
        <v/>
      </c>
      <c r="N1303">
        <f>IF($F1303="","",IF(Sync!$AF1303="","0000",IF(AND(ISNUMBER(Sync!$AF1303),Sync!$AF1303&gt;=0,Sync!$AF1303&lt;1),RIGHT("00"&amp;HOUR(Sync!$AF1303),2)&amp;RIGHT("00"&amp;MINUTE(Sync!$AF1303),2),IFERROR(RIGHT("00"&amp;VALUE(LEFT(Sync!$AF1303,FIND(":",Sync!$AF1303)-1)),2)&amp;RIGHT("00"&amp;VALUE(MID(Sync!$AF1303,FIND(":",Sync!$AF1303)+1,2)),2),"0000"))))</f>
        <v/>
      </c>
    </row>
    <row r="1304">
      <c r="A1304">
        <f>IF(OR(Calc!$E1308="",Calc!$E1308="نامعتبر",Calc!$G1308=""),"",Calc!$G1308)</f>
        <v/>
      </c>
      <c r="B1304">
        <f>IF($A1304="","",LEFT(Calc!$E1308,4)&amp;MID(Calc!$E1308,6,2)&amp;RIGHT(Calc!$E1308,2)&amp;Calc!$Q1308&amp;"|"&amp;"1"&amp;RIGHT("00000"&amp;1299,5))</f>
        <v/>
      </c>
      <c r="C1304">
        <f>IF($B1304="","",COUNTIFS(LdgSellerA,$A1304,LdgKeyA,"&lt;"&amp;$B1304)+COUNTIFS(LdgSellerB,$A1304,LdgKeyB,"&lt;"&amp;$B1304)+1)</f>
        <v/>
      </c>
      <c r="D1304">
        <f>IF($C1304="","",$A1304&amp;"|"&amp;RIGHT("000000"&amp;$C1304,6))</f>
        <v/>
      </c>
      <c r="F1304">
        <f>IF(Sync!$AH1304="","",IF(LEFT(UPPER(TRIM(Sync!$AH1304)),2)="SL",UPPER(TRIM(Sync!$AH1304)),""))</f>
        <v/>
      </c>
      <c r="G1304">
        <f>IF($F1304="","",IF(Sync!$AE1304="","",IF(ISNUMBER(Sync!$AE1304),IF(AND(Sync!$AE1304&gt;=10000101,Sync!$AE1304&lt;=99991231),INT(Sync!$AE1304/10000),""),IFERROR(VALUE(TRIM(LEFT(Sync!$AE1304,FIND("/",Sync!$AE1304)-1))),""))))</f>
        <v/>
      </c>
      <c r="H1304">
        <f>IF(OR($F1304="",$G1304=""),"",IF(ISNUMBER(Sync!$AE1304),INT(MOD(Sync!$AE1304,10000)/100),IFERROR(VALUE(TRIM(LEFT(MID(Sync!$AE1304,FIND("/",Sync!$AE1304)+1,20),FIND("/",MID(Sync!$AE1304,FIND("/",Sync!$AE1304)+1,20))-1))),"")))</f>
        <v/>
      </c>
      <c r="I1304">
        <f>IF(OR($F1304="",$G1304=""),"",IF(ISNUMBER(Sync!$AE1304),MOD(Sync!$AE1304,100),IFERROR(VALUE(TRIM(MID(MID(Sync!$AE1304,FIND("/",Sync!$AE1304)+1,20),FIND("/",MID(Sync!$AE1304,FIND("/",Sync!$AE1304)+1,20))+1,20))),"")))</f>
        <v/>
      </c>
      <c r="J1304">
        <f>IF($F1304="","",IF(OR($G1304="",$H1304="",$I1304="",$G1304&lt;1300,$G1304&gt;1500,$H1304&lt;1,$H1304&gt;12,$I1304&lt;1,$I1304&gt;31),"نامعتبر",RIGHT("0000"&amp;$G1304,4)&amp;"/"&amp;RIGHT("00"&amp;$H1304,2)&amp;"/"&amp;RIGHT("00"&amp;$I1304,2)))</f>
        <v/>
      </c>
      <c r="K1304">
        <f>IF(OR($F1304="",$J1304="",$J1304="نامعتبر"),"",LEFT($J1304,4)&amp;MID($J1304,6,2)&amp;RIGHT($J1304,2)&amp;$N1304&amp;"|"&amp;"2"&amp;RIGHT("00000"&amp;1299,5))</f>
        <v/>
      </c>
      <c r="L1304">
        <f>IF($K1304="","",COUNTIFS(LdgSellerA,$F1304,LdgKeyA,"&lt;"&amp;$K1304)+COUNTIFS(LdgSellerB,$F1304,LdgKeyB,"&lt;"&amp;$K1304)+1)</f>
        <v/>
      </c>
      <c r="M1304">
        <f>IF($L1304="","",$F1304&amp;"|"&amp;RIGHT("000000"&amp;$L1304,6))</f>
        <v/>
      </c>
      <c r="N1304">
        <f>IF($F1304="","",IF(Sync!$AF1304="","0000",IF(AND(ISNUMBER(Sync!$AF1304),Sync!$AF1304&gt;=0,Sync!$AF1304&lt;1),RIGHT("00"&amp;HOUR(Sync!$AF1304),2)&amp;RIGHT("00"&amp;MINUTE(Sync!$AF1304),2),IFERROR(RIGHT("00"&amp;VALUE(LEFT(Sync!$AF1304,FIND(":",Sync!$AF1304)-1)),2)&amp;RIGHT("00"&amp;VALUE(MID(Sync!$AF1304,FIND(":",Sync!$AF1304)+1,2)),2),"0000"))))</f>
        <v/>
      </c>
    </row>
    <row r="1305">
      <c r="A1305">
        <f>IF(OR(Calc!$E1309="",Calc!$E1309="نامعتبر",Calc!$G1309=""),"",Calc!$G1309)</f>
        <v/>
      </c>
      <c r="B1305">
        <f>IF($A1305="","",LEFT(Calc!$E1309,4)&amp;MID(Calc!$E1309,6,2)&amp;RIGHT(Calc!$E1309,2)&amp;Calc!$Q1309&amp;"|"&amp;"1"&amp;RIGHT("00000"&amp;1300,5))</f>
        <v/>
      </c>
      <c r="C1305">
        <f>IF($B1305="","",COUNTIFS(LdgSellerA,$A1305,LdgKeyA,"&lt;"&amp;$B1305)+COUNTIFS(LdgSellerB,$A1305,LdgKeyB,"&lt;"&amp;$B1305)+1)</f>
        <v/>
      </c>
      <c r="D1305">
        <f>IF($C1305="","",$A1305&amp;"|"&amp;RIGHT("000000"&amp;$C1305,6))</f>
        <v/>
      </c>
      <c r="F1305">
        <f>IF(Sync!$AH1305="","",IF(LEFT(UPPER(TRIM(Sync!$AH1305)),2)="SL",UPPER(TRIM(Sync!$AH1305)),""))</f>
        <v/>
      </c>
      <c r="G1305">
        <f>IF($F1305="","",IF(Sync!$AE1305="","",IF(ISNUMBER(Sync!$AE1305),IF(AND(Sync!$AE1305&gt;=10000101,Sync!$AE1305&lt;=99991231),INT(Sync!$AE1305/10000),""),IFERROR(VALUE(TRIM(LEFT(Sync!$AE1305,FIND("/",Sync!$AE1305)-1))),""))))</f>
        <v/>
      </c>
      <c r="H1305">
        <f>IF(OR($F1305="",$G1305=""),"",IF(ISNUMBER(Sync!$AE1305),INT(MOD(Sync!$AE1305,10000)/100),IFERROR(VALUE(TRIM(LEFT(MID(Sync!$AE1305,FIND("/",Sync!$AE1305)+1,20),FIND("/",MID(Sync!$AE1305,FIND("/",Sync!$AE1305)+1,20))-1))),"")))</f>
        <v/>
      </c>
      <c r="I1305">
        <f>IF(OR($F1305="",$G1305=""),"",IF(ISNUMBER(Sync!$AE1305),MOD(Sync!$AE1305,100),IFERROR(VALUE(TRIM(MID(MID(Sync!$AE1305,FIND("/",Sync!$AE1305)+1,20),FIND("/",MID(Sync!$AE1305,FIND("/",Sync!$AE1305)+1,20))+1,20))),"")))</f>
        <v/>
      </c>
      <c r="J1305">
        <f>IF($F1305="","",IF(OR($G1305="",$H1305="",$I1305="",$G1305&lt;1300,$G1305&gt;1500,$H1305&lt;1,$H1305&gt;12,$I1305&lt;1,$I1305&gt;31),"نامعتبر",RIGHT("0000"&amp;$G1305,4)&amp;"/"&amp;RIGHT("00"&amp;$H1305,2)&amp;"/"&amp;RIGHT("00"&amp;$I1305,2)))</f>
        <v/>
      </c>
      <c r="K1305">
        <f>IF(OR($F1305="",$J1305="",$J1305="نامعتبر"),"",LEFT($J1305,4)&amp;MID($J1305,6,2)&amp;RIGHT($J1305,2)&amp;$N1305&amp;"|"&amp;"2"&amp;RIGHT("00000"&amp;1300,5))</f>
        <v/>
      </c>
      <c r="L1305">
        <f>IF($K1305="","",COUNTIFS(LdgSellerA,$F1305,LdgKeyA,"&lt;"&amp;$K1305)+COUNTIFS(LdgSellerB,$F1305,LdgKeyB,"&lt;"&amp;$K1305)+1)</f>
        <v/>
      </c>
      <c r="M1305">
        <f>IF($L1305="","",$F1305&amp;"|"&amp;RIGHT("000000"&amp;$L1305,6))</f>
        <v/>
      </c>
      <c r="N1305">
        <f>IF($F1305="","",IF(Sync!$AF1305="","0000",IF(AND(ISNUMBER(Sync!$AF1305),Sync!$AF1305&gt;=0,Sync!$AF1305&lt;1),RIGHT("00"&amp;HOUR(Sync!$AF1305),2)&amp;RIGHT("00"&amp;MINUTE(Sync!$AF1305),2),IFERROR(RIGHT("00"&amp;VALUE(LEFT(Sync!$AF1305,FIND(":",Sync!$AF1305)-1)),2)&amp;RIGHT("00"&amp;VALUE(MID(Sync!$AF1305,FIND(":",Sync!$AF1305)+1,2)),2),"0000"))))</f>
        <v/>
      </c>
    </row>
    <row r="1306">
      <c r="A1306">
        <f>IF(OR(Calc!$E1310="",Calc!$E1310="نامعتبر",Calc!$G1310=""),"",Calc!$G1310)</f>
        <v/>
      </c>
      <c r="B1306">
        <f>IF($A1306="","",LEFT(Calc!$E1310,4)&amp;MID(Calc!$E1310,6,2)&amp;RIGHT(Calc!$E1310,2)&amp;Calc!$Q1310&amp;"|"&amp;"1"&amp;RIGHT("00000"&amp;1301,5))</f>
        <v/>
      </c>
      <c r="C1306">
        <f>IF($B1306="","",COUNTIFS(LdgSellerA,$A1306,LdgKeyA,"&lt;"&amp;$B1306)+COUNTIFS(LdgSellerB,$A1306,LdgKeyB,"&lt;"&amp;$B1306)+1)</f>
        <v/>
      </c>
      <c r="D1306">
        <f>IF($C1306="","",$A1306&amp;"|"&amp;RIGHT("000000"&amp;$C1306,6))</f>
        <v/>
      </c>
      <c r="F1306">
        <f>IF(Sync!$AH1306="","",IF(LEFT(UPPER(TRIM(Sync!$AH1306)),2)="SL",UPPER(TRIM(Sync!$AH1306)),""))</f>
        <v/>
      </c>
      <c r="G1306">
        <f>IF($F1306="","",IF(Sync!$AE1306="","",IF(ISNUMBER(Sync!$AE1306),IF(AND(Sync!$AE1306&gt;=10000101,Sync!$AE1306&lt;=99991231),INT(Sync!$AE1306/10000),""),IFERROR(VALUE(TRIM(LEFT(Sync!$AE1306,FIND("/",Sync!$AE1306)-1))),""))))</f>
        <v/>
      </c>
      <c r="H1306">
        <f>IF(OR($F1306="",$G1306=""),"",IF(ISNUMBER(Sync!$AE1306),INT(MOD(Sync!$AE1306,10000)/100),IFERROR(VALUE(TRIM(LEFT(MID(Sync!$AE1306,FIND("/",Sync!$AE1306)+1,20),FIND("/",MID(Sync!$AE1306,FIND("/",Sync!$AE1306)+1,20))-1))),"")))</f>
        <v/>
      </c>
      <c r="I1306">
        <f>IF(OR($F1306="",$G1306=""),"",IF(ISNUMBER(Sync!$AE1306),MOD(Sync!$AE1306,100),IFERROR(VALUE(TRIM(MID(MID(Sync!$AE1306,FIND("/",Sync!$AE1306)+1,20),FIND("/",MID(Sync!$AE1306,FIND("/",Sync!$AE1306)+1,20))+1,20))),"")))</f>
        <v/>
      </c>
      <c r="J1306">
        <f>IF($F1306="","",IF(OR($G1306="",$H1306="",$I1306="",$G1306&lt;1300,$G1306&gt;1500,$H1306&lt;1,$H1306&gt;12,$I1306&lt;1,$I1306&gt;31),"نامعتبر",RIGHT("0000"&amp;$G1306,4)&amp;"/"&amp;RIGHT("00"&amp;$H1306,2)&amp;"/"&amp;RIGHT("00"&amp;$I1306,2)))</f>
        <v/>
      </c>
      <c r="K1306">
        <f>IF(OR($F1306="",$J1306="",$J1306="نامعتبر"),"",LEFT($J1306,4)&amp;MID($J1306,6,2)&amp;RIGHT($J1306,2)&amp;$N1306&amp;"|"&amp;"2"&amp;RIGHT("00000"&amp;1301,5))</f>
        <v/>
      </c>
      <c r="L1306">
        <f>IF($K1306="","",COUNTIFS(LdgSellerA,$F1306,LdgKeyA,"&lt;"&amp;$K1306)+COUNTIFS(LdgSellerB,$F1306,LdgKeyB,"&lt;"&amp;$K1306)+1)</f>
        <v/>
      </c>
      <c r="M1306">
        <f>IF($L1306="","",$F1306&amp;"|"&amp;RIGHT("000000"&amp;$L1306,6))</f>
        <v/>
      </c>
      <c r="N1306">
        <f>IF($F1306="","",IF(Sync!$AF1306="","0000",IF(AND(ISNUMBER(Sync!$AF1306),Sync!$AF1306&gt;=0,Sync!$AF1306&lt;1),RIGHT("00"&amp;HOUR(Sync!$AF1306),2)&amp;RIGHT("00"&amp;MINUTE(Sync!$AF1306),2),IFERROR(RIGHT("00"&amp;VALUE(LEFT(Sync!$AF1306,FIND(":",Sync!$AF1306)-1)),2)&amp;RIGHT("00"&amp;VALUE(MID(Sync!$AF1306,FIND(":",Sync!$AF1306)+1,2)),2),"0000"))))</f>
        <v/>
      </c>
    </row>
    <row r="1307">
      <c r="A1307">
        <f>IF(OR(Calc!$E1311="",Calc!$E1311="نامعتبر",Calc!$G1311=""),"",Calc!$G1311)</f>
        <v/>
      </c>
      <c r="B1307">
        <f>IF($A1307="","",LEFT(Calc!$E1311,4)&amp;MID(Calc!$E1311,6,2)&amp;RIGHT(Calc!$E1311,2)&amp;Calc!$Q1311&amp;"|"&amp;"1"&amp;RIGHT("00000"&amp;1302,5))</f>
        <v/>
      </c>
      <c r="C1307">
        <f>IF($B1307="","",COUNTIFS(LdgSellerA,$A1307,LdgKeyA,"&lt;"&amp;$B1307)+COUNTIFS(LdgSellerB,$A1307,LdgKeyB,"&lt;"&amp;$B1307)+1)</f>
        <v/>
      </c>
      <c r="D1307">
        <f>IF($C1307="","",$A1307&amp;"|"&amp;RIGHT("000000"&amp;$C1307,6))</f>
        <v/>
      </c>
      <c r="F1307">
        <f>IF(Sync!$AH1307="","",IF(LEFT(UPPER(TRIM(Sync!$AH1307)),2)="SL",UPPER(TRIM(Sync!$AH1307)),""))</f>
        <v/>
      </c>
      <c r="G1307">
        <f>IF($F1307="","",IF(Sync!$AE1307="","",IF(ISNUMBER(Sync!$AE1307),IF(AND(Sync!$AE1307&gt;=10000101,Sync!$AE1307&lt;=99991231),INT(Sync!$AE1307/10000),""),IFERROR(VALUE(TRIM(LEFT(Sync!$AE1307,FIND("/",Sync!$AE1307)-1))),""))))</f>
        <v/>
      </c>
      <c r="H1307">
        <f>IF(OR($F1307="",$G1307=""),"",IF(ISNUMBER(Sync!$AE1307),INT(MOD(Sync!$AE1307,10000)/100),IFERROR(VALUE(TRIM(LEFT(MID(Sync!$AE1307,FIND("/",Sync!$AE1307)+1,20),FIND("/",MID(Sync!$AE1307,FIND("/",Sync!$AE1307)+1,20))-1))),"")))</f>
        <v/>
      </c>
      <c r="I1307">
        <f>IF(OR($F1307="",$G1307=""),"",IF(ISNUMBER(Sync!$AE1307),MOD(Sync!$AE1307,100),IFERROR(VALUE(TRIM(MID(MID(Sync!$AE1307,FIND("/",Sync!$AE1307)+1,20),FIND("/",MID(Sync!$AE1307,FIND("/",Sync!$AE1307)+1,20))+1,20))),"")))</f>
        <v/>
      </c>
      <c r="J1307">
        <f>IF($F1307="","",IF(OR($G1307="",$H1307="",$I1307="",$G1307&lt;1300,$G1307&gt;1500,$H1307&lt;1,$H1307&gt;12,$I1307&lt;1,$I1307&gt;31),"نامعتبر",RIGHT("0000"&amp;$G1307,4)&amp;"/"&amp;RIGHT("00"&amp;$H1307,2)&amp;"/"&amp;RIGHT("00"&amp;$I1307,2)))</f>
        <v/>
      </c>
      <c r="K1307">
        <f>IF(OR($F1307="",$J1307="",$J1307="نامعتبر"),"",LEFT($J1307,4)&amp;MID($J1307,6,2)&amp;RIGHT($J1307,2)&amp;$N1307&amp;"|"&amp;"2"&amp;RIGHT("00000"&amp;1302,5))</f>
        <v/>
      </c>
      <c r="L1307">
        <f>IF($K1307="","",COUNTIFS(LdgSellerA,$F1307,LdgKeyA,"&lt;"&amp;$K1307)+COUNTIFS(LdgSellerB,$F1307,LdgKeyB,"&lt;"&amp;$K1307)+1)</f>
        <v/>
      </c>
      <c r="M1307">
        <f>IF($L1307="","",$F1307&amp;"|"&amp;RIGHT("000000"&amp;$L1307,6))</f>
        <v/>
      </c>
      <c r="N1307">
        <f>IF($F1307="","",IF(Sync!$AF1307="","0000",IF(AND(ISNUMBER(Sync!$AF1307),Sync!$AF1307&gt;=0,Sync!$AF1307&lt;1),RIGHT("00"&amp;HOUR(Sync!$AF1307),2)&amp;RIGHT("00"&amp;MINUTE(Sync!$AF1307),2),IFERROR(RIGHT("00"&amp;VALUE(LEFT(Sync!$AF1307,FIND(":",Sync!$AF1307)-1)),2)&amp;RIGHT("00"&amp;VALUE(MID(Sync!$AF1307,FIND(":",Sync!$AF1307)+1,2)),2),"0000"))))</f>
        <v/>
      </c>
    </row>
    <row r="1308">
      <c r="A1308">
        <f>IF(OR(Calc!$E1312="",Calc!$E1312="نامعتبر",Calc!$G1312=""),"",Calc!$G1312)</f>
        <v/>
      </c>
      <c r="B1308">
        <f>IF($A1308="","",LEFT(Calc!$E1312,4)&amp;MID(Calc!$E1312,6,2)&amp;RIGHT(Calc!$E1312,2)&amp;Calc!$Q1312&amp;"|"&amp;"1"&amp;RIGHT("00000"&amp;1303,5))</f>
        <v/>
      </c>
      <c r="C1308">
        <f>IF($B1308="","",COUNTIFS(LdgSellerA,$A1308,LdgKeyA,"&lt;"&amp;$B1308)+COUNTIFS(LdgSellerB,$A1308,LdgKeyB,"&lt;"&amp;$B1308)+1)</f>
        <v/>
      </c>
      <c r="D1308">
        <f>IF($C1308="","",$A1308&amp;"|"&amp;RIGHT("000000"&amp;$C1308,6))</f>
        <v/>
      </c>
      <c r="F1308">
        <f>IF(Sync!$AH1308="","",IF(LEFT(UPPER(TRIM(Sync!$AH1308)),2)="SL",UPPER(TRIM(Sync!$AH1308)),""))</f>
        <v/>
      </c>
      <c r="G1308">
        <f>IF($F1308="","",IF(Sync!$AE1308="","",IF(ISNUMBER(Sync!$AE1308),IF(AND(Sync!$AE1308&gt;=10000101,Sync!$AE1308&lt;=99991231),INT(Sync!$AE1308/10000),""),IFERROR(VALUE(TRIM(LEFT(Sync!$AE1308,FIND("/",Sync!$AE1308)-1))),""))))</f>
        <v/>
      </c>
      <c r="H1308">
        <f>IF(OR($F1308="",$G1308=""),"",IF(ISNUMBER(Sync!$AE1308),INT(MOD(Sync!$AE1308,10000)/100),IFERROR(VALUE(TRIM(LEFT(MID(Sync!$AE1308,FIND("/",Sync!$AE1308)+1,20),FIND("/",MID(Sync!$AE1308,FIND("/",Sync!$AE1308)+1,20))-1))),"")))</f>
        <v/>
      </c>
      <c r="I1308">
        <f>IF(OR($F1308="",$G1308=""),"",IF(ISNUMBER(Sync!$AE1308),MOD(Sync!$AE1308,100),IFERROR(VALUE(TRIM(MID(MID(Sync!$AE1308,FIND("/",Sync!$AE1308)+1,20),FIND("/",MID(Sync!$AE1308,FIND("/",Sync!$AE1308)+1,20))+1,20))),"")))</f>
        <v/>
      </c>
      <c r="J1308">
        <f>IF($F1308="","",IF(OR($G1308="",$H1308="",$I1308="",$G1308&lt;1300,$G1308&gt;1500,$H1308&lt;1,$H1308&gt;12,$I1308&lt;1,$I1308&gt;31),"نامعتبر",RIGHT("0000"&amp;$G1308,4)&amp;"/"&amp;RIGHT("00"&amp;$H1308,2)&amp;"/"&amp;RIGHT("00"&amp;$I1308,2)))</f>
        <v/>
      </c>
      <c r="K1308">
        <f>IF(OR($F1308="",$J1308="",$J1308="نامعتبر"),"",LEFT($J1308,4)&amp;MID($J1308,6,2)&amp;RIGHT($J1308,2)&amp;$N1308&amp;"|"&amp;"2"&amp;RIGHT("00000"&amp;1303,5))</f>
        <v/>
      </c>
      <c r="L1308">
        <f>IF($K1308="","",COUNTIFS(LdgSellerA,$F1308,LdgKeyA,"&lt;"&amp;$K1308)+COUNTIFS(LdgSellerB,$F1308,LdgKeyB,"&lt;"&amp;$K1308)+1)</f>
        <v/>
      </c>
      <c r="M1308">
        <f>IF($L1308="","",$F1308&amp;"|"&amp;RIGHT("000000"&amp;$L1308,6))</f>
        <v/>
      </c>
      <c r="N1308">
        <f>IF($F1308="","",IF(Sync!$AF1308="","0000",IF(AND(ISNUMBER(Sync!$AF1308),Sync!$AF1308&gt;=0,Sync!$AF1308&lt;1),RIGHT("00"&amp;HOUR(Sync!$AF1308),2)&amp;RIGHT("00"&amp;MINUTE(Sync!$AF1308),2),IFERROR(RIGHT("00"&amp;VALUE(LEFT(Sync!$AF1308,FIND(":",Sync!$AF1308)-1)),2)&amp;RIGHT("00"&amp;VALUE(MID(Sync!$AF1308,FIND(":",Sync!$AF1308)+1,2)),2),"0000"))))</f>
        <v/>
      </c>
    </row>
    <row r="1309">
      <c r="A1309">
        <f>IF(OR(Calc!$E1313="",Calc!$E1313="نامعتبر",Calc!$G1313=""),"",Calc!$G1313)</f>
        <v/>
      </c>
      <c r="B1309">
        <f>IF($A1309="","",LEFT(Calc!$E1313,4)&amp;MID(Calc!$E1313,6,2)&amp;RIGHT(Calc!$E1313,2)&amp;Calc!$Q1313&amp;"|"&amp;"1"&amp;RIGHT("00000"&amp;1304,5))</f>
        <v/>
      </c>
      <c r="C1309">
        <f>IF($B1309="","",COUNTIFS(LdgSellerA,$A1309,LdgKeyA,"&lt;"&amp;$B1309)+COUNTIFS(LdgSellerB,$A1309,LdgKeyB,"&lt;"&amp;$B1309)+1)</f>
        <v/>
      </c>
      <c r="D1309">
        <f>IF($C1309="","",$A1309&amp;"|"&amp;RIGHT("000000"&amp;$C1309,6))</f>
        <v/>
      </c>
      <c r="F1309">
        <f>IF(Sync!$AH1309="","",IF(LEFT(UPPER(TRIM(Sync!$AH1309)),2)="SL",UPPER(TRIM(Sync!$AH1309)),""))</f>
        <v/>
      </c>
      <c r="G1309">
        <f>IF($F1309="","",IF(Sync!$AE1309="","",IF(ISNUMBER(Sync!$AE1309),IF(AND(Sync!$AE1309&gt;=10000101,Sync!$AE1309&lt;=99991231),INT(Sync!$AE1309/10000),""),IFERROR(VALUE(TRIM(LEFT(Sync!$AE1309,FIND("/",Sync!$AE1309)-1))),""))))</f>
        <v/>
      </c>
      <c r="H1309">
        <f>IF(OR($F1309="",$G1309=""),"",IF(ISNUMBER(Sync!$AE1309),INT(MOD(Sync!$AE1309,10000)/100),IFERROR(VALUE(TRIM(LEFT(MID(Sync!$AE1309,FIND("/",Sync!$AE1309)+1,20),FIND("/",MID(Sync!$AE1309,FIND("/",Sync!$AE1309)+1,20))-1))),"")))</f>
        <v/>
      </c>
      <c r="I1309">
        <f>IF(OR($F1309="",$G1309=""),"",IF(ISNUMBER(Sync!$AE1309),MOD(Sync!$AE1309,100),IFERROR(VALUE(TRIM(MID(MID(Sync!$AE1309,FIND("/",Sync!$AE1309)+1,20),FIND("/",MID(Sync!$AE1309,FIND("/",Sync!$AE1309)+1,20))+1,20))),"")))</f>
        <v/>
      </c>
      <c r="J1309">
        <f>IF($F1309="","",IF(OR($G1309="",$H1309="",$I1309="",$G1309&lt;1300,$G1309&gt;1500,$H1309&lt;1,$H1309&gt;12,$I1309&lt;1,$I1309&gt;31),"نامعتبر",RIGHT("0000"&amp;$G1309,4)&amp;"/"&amp;RIGHT("00"&amp;$H1309,2)&amp;"/"&amp;RIGHT("00"&amp;$I1309,2)))</f>
        <v/>
      </c>
      <c r="K1309">
        <f>IF(OR($F1309="",$J1309="",$J1309="نامعتبر"),"",LEFT($J1309,4)&amp;MID($J1309,6,2)&amp;RIGHT($J1309,2)&amp;$N1309&amp;"|"&amp;"2"&amp;RIGHT("00000"&amp;1304,5))</f>
        <v/>
      </c>
      <c r="L1309">
        <f>IF($K1309="","",COUNTIFS(LdgSellerA,$F1309,LdgKeyA,"&lt;"&amp;$K1309)+COUNTIFS(LdgSellerB,$F1309,LdgKeyB,"&lt;"&amp;$K1309)+1)</f>
        <v/>
      </c>
      <c r="M1309">
        <f>IF($L1309="","",$F1309&amp;"|"&amp;RIGHT("000000"&amp;$L1309,6))</f>
        <v/>
      </c>
      <c r="N1309">
        <f>IF($F1309="","",IF(Sync!$AF1309="","0000",IF(AND(ISNUMBER(Sync!$AF1309),Sync!$AF1309&gt;=0,Sync!$AF1309&lt;1),RIGHT("00"&amp;HOUR(Sync!$AF1309),2)&amp;RIGHT("00"&amp;MINUTE(Sync!$AF1309),2),IFERROR(RIGHT("00"&amp;VALUE(LEFT(Sync!$AF1309,FIND(":",Sync!$AF1309)-1)),2)&amp;RIGHT("00"&amp;VALUE(MID(Sync!$AF1309,FIND(":",Sync!$AF1309)+1,2)),2),"0000"))))</f>
        <v/>
      </c>
    </row>
    <row r="1310">
      <c r="A1310">
        <f>IF(OR(Calc!$E1314="",Calc!$E1314="نامعتبر",Calc!$G1314=""),"",Calc!$G1314)</f>
        <v/>
      </c>
      <c r="B1310">
        <f>IF($A1310="","",LEFT(Calc!$E1314,4)&amp;MID(Calc!$E1314,6,2)&amp;RIGHT(Calc!$E1314,2)&amp;Calc!$Q1314&amp;"|"&amp;"1"&amp;RIGHT("00000"&amp;1305,5))</f>
        <v/>
      </c>
      <c r="C1310">
        <f>IF($B1310="","",COUNTIFS(LdgSellerA,$A1310,LdgKeyA,"&lt;"&amp;$B1310)+COUNTIFS(LdgSellerB,$A1310,LdgKeyB,"&lt;"&amp;$B1310)+1)</f>
        <v/>
      </c>
      <c r="D1310">
        <f>IF($C1310="","",$A1310&amp;"|"&amp;RIGHT("000000"&amp;$C1310,6))</f>
        <v/>
      </c>
      <c r="F1310">
        <f>IF(Sync!$AH1310="","",IF(LEFT(UPPER(TRIM(Sync!$AH1310)),2)="SL",UPPER(TRIM(Sync!$AH1310)),""))</f>
        <v/>
      </c>
      <c r="G1310">
        <f>IF($F1310="","",IF(Sync!$AE1310="","",IF(ISNUMBER(Sync!$AE1310),IF(AND(Sync!$AE1310&gt;=10000101,Sync!$AE1310&lt;=99991231),INT(Sync!$AE1310/10000),""),IFERROR(VALUE(TRIM(LEFT(Sync!$AE1310,FIND("/",Sync!$AE1310)-1))),""))))</f>
        <v/>
      </c>
      <c r="H1310">
        <f>IF(OR($F1310="",$G1310=""),"",IF(ISNUMBER(Sync!$AE1310),INT(MOD(Sync!$AE1310,10000)/100),IFERROR(VALUE(TRIM(LEFT(MID(Sync!$AE1310,FIND("/",Sync!$AE1310)+1,20),FIND("/",MID(Sync!$AE1310,FIND("/",Sync!$AE1310)+1,20))-1))),"")))</f>
        <v/>
      </c>
      <c r="I1310">
        <f>IF(OR($F1310="",$G1310=""),"",IF(ISNUMBER(Sync!$AE1310),MOD(Sync!$AE1310,100),IFERROR(VALUE(TRIM(MID(MID(Sync!$AE1310,FIND("/",Sync!$AE1310)+1,20),FIND("/",MID(Sync!$AE1310,FIND("/",Sync!$AE1310)+1,20))+1,20))),"")))</f>
        <v/>
      </c>
      <c r="J1310">
        <f>IF($F1310="","",IF(OR($G1310="",$H1310="",$I1310="",$G1310&lt;1300,$G1310&gt;1500,$H1310&lt;1,$H1310&gt;12,$I1310&lt;1,$I1310&gt;31),"نامعتبر",RIGHT("0000"&amp;$G1310,4)&amp;"/"&amp;RIGHT("00"&amp;$H1310,2)&amp;"/"&amp;RIGHT("00"&amp;$I1310,2)))</f>
        <v/>
      </c>
      <c r="K1310">
        <f>IF(OR($F1310="",$J1310="",$J1310="نامعتبر"),"",LEFT($J1310,4)&amp;MID($J1310,6,2)&amp;RIGHT($J1310,2)&amp;$N1310&amp;"|"&amp;"2"&amp;RIGHT("00000"&amp;1305,5))</f>
        <v/>
      </c>
      <c r="L1310">
        <f>IF($K1310="","",COUNTIFS(LdgSellerA,$F1310,LdgKeyA,"&lt;"&amp;$K1310)+COUNTIFS(LdgSellerB,$F1310,LdgKeyB,"&lt;"&amp;$K1310)+1)</f>
        <v/>
      </c>
      <c r="M1310">
        <f>IF($L1310="","",$F1310&amp;"|"&amp;RIGHT("000000"&amp;$L1310,6))</f>
        <v/>
      </c>
      <c r="N1310">
        <f>IF($F1310="","",IF(Sync!$AF1310="","0000",IF(AND(ISNUMBER(Sync!$AF1310),Sync!$AF1310&gt;=0,Sync!$AF1310&lt;1),RIGHT("00"&amp;HOUR(Sync!$AF1310),2)&amp;RIGHT("00"&amp;MINUTE(Sync!$AF1310),2),IFERROR(RIGHT("00"&amp;VALUE(LEFT(Sync!$AF1310,FIND(":",Sync!$AF1310)-1)),2)&amp;RIGHT("00"&amp;VALUE(MID(Sync!$AF1310,FIND(":",Sync!$AF1310)+1,2)),2),"0000"))))</f>
        <v/>
      </c>
    </row>
    <row r="1311">
      <c r="A1311">
        <f>IF(OR(Calc!$E1315="",Calc!$E1315="نامعتبر",Calc!$G1315=""),"",Calc!$G1315)</f>
        <v/>
      </c>
      <c r="B1311">
        <f>IF($A1311="","",LEFT(Calc!$E1315,4)&amp;MID(Calc!$E1315,6,2)&amp;RIGHT(Calc!$E1315,2)&amp;Calc!$Q1315&amp;"|"&amp;"1"&amp;RIGHT("00000"&amp;1306,5))</f>
        <v/>
      </c>
      <c r="C1311">
        <f>IF($B1311="","",COUNTIFS(LdgSellerA,$A1311,LdgKeyA,"&lt;"&amp;$B1311)+COUNTIFS(LdgSellerB,$A1311,LdgKeyB,"&lt;"&amp;$B1311)+1)</f>
        <v/>
      </c>
      <c r="D1311">
        <f>IF($C1311="","",$A1311&amp;"|"&amp;RIGHT("000000"&amp;$C1311,6))</f>
        <v/>
      </c>
      <c r="F1311">
        <f>IF(Sync!$AH1311="","",IF(LEFT(UPPER(TRIM(Sync!$AH1311)),2)="SL",UPPER(TRIM(Sync!$AH1311)),""))</f>
        <v/>
      </c>
      <c r="G1311">
        <f>IF($F1311="","",IF(Sync!$AE1311="","",IF(ISNUMBER(Sync!$AE1311),IF(AND(Sync!$AE1311&gt;=10000101,Sync!$AE1311&lt;=99991231),INT(Sync!$AE1311/10000),""),IFERROR(VALUE(TRIM(LEFT(Sync!$AE1311,FIND("/",Sync!$AE1311)-1))),""))))</f>
        <v/>
      </c>
      <c r="H1311">
        <f>IF(OR($F1311="",$G1311=""),"",IF(ISNUMBER(Sync!$AE1311),INT(MOD(Sync!$AE1311,10000)/100),IFERROR(VALUE(TRIM(LEFT(MID(Sync!$AE1311,FIND("/",Sync!$AE1311)+1,20),FIND("/",MID(Sync!$AE1311,FIND("/",Sync!$AE1311)+1,20))-1))),"")))</f>
        <v/>
      </c>
      <c r="I1311">
        <f>IF(OR($F1311="",$G1311=""),"",IF(ISNUMBER(Sync!$AE1311),MOD(Sync!$AE1311,100),IFERROR(VALUE(TRIM(MID(MID(Sync!$AE1311,FIND("/",Sync!$AE1311)+1,20),FIND("/",MID(Sync!$AE1311,FIND("/",Sync!$AE1311)+1,20))+1,20))),"")))</f>
        <v/>
      </c>
      <c r="J1311">
        <f>IF($F1311="","",IF(OR($G1311="",$H1311="",$I1311="",$G1311&lt;1300,$G1311&gt;1500,$H1311&lt;1,$H1311&gt;12,$I1311&lt;1,$I1311&gt;31),"نامعتبر",RIGHT("0000"&amp;$G1311,4)&amp;"/"&amp;RIGHT("00"&amp;$H1311,2)&amp;"/"&amp;RIGHT("00"&amp;$I1311,2)))</f>
        <v/>
      </c>
      <c r="K1311">
        <f>IF(OR($F1311="",$J1311="",$J1311="نامعتبر"),"",LEFT($J1311,4)&amp;MID($J1311,6,2)&amp;RIGHT($J1311,2)&amp;$N1311&amp;"|"&amp;"2"&amp;RIGHT("00000"&amp;1306,5))</f>
        <v/>
      </c>
      <c r="L1311">
        <f>IF($K1311="","",COUNTIFS(LdgSellerA,$F1311,LdgKeyA,"&lt;"&amp;$K1311)+COUNTIFS(LdgSellerB,$F1311,LdgKeyB,"&lt;"&amp;$K1311)+1)</f>
        <v/>
      </c>
      <c r="M1311">
        <f>IF($L1311="","",$F1311&amp;"|"&amp;RIGHT("000000"&amp;$L1311,6))</f>
        <v/>
      </c>
      <c r="N1311">
        <f>IF($F1311="","",IF(Sync!$AF1311="","0000",IF(AND(ISNUMBER(Sync!$AF1311),Sync!$AF1311&gt;=0,Sync!$AF1311&lt;1),RIGHT("00"&amp;HOUR(Sync!$AF1311),2)&amp;RIGHT("00"&amp;MINUTE(Sync!$AF1311),2),IFERROR(RIGHT("00"&amp;VALUE(LEFT(Sync!$AF1311,FIND(":",Sync!$AF1311)-1)),2)&amp;RIGHT("00"&amp;VALUE(MID(Sync!$AF1311,FIND(":",Sync!$AF1311)+1,2)),2),"0000"))))</f>
        <v/>
      </c>
    </row>
    <row r="1312">
      <c r="A1312">
        <f>IF(OR(Calc!$E1316="",Calc!$E1316="نامعتبر",Calc!$G1316=""),"",Calc!$G1316)</f>
        <v/>
      </c>
      <c r="B1312">
        <f>IF($A1312="","",LEFT(Calc!$E1316,4)&amp;MID(Calc!$E1316,6,2)&amp;RIGHT(Calc!$E1316,2)&amp;Calc!$Q1316&amp;"|"&amp;"1"&amp;RIGHT("00000"&amp;1307,5))</f>
        <v/>
      </c>
      <c r="C1312">
        <f>IF($B1312="","",COUNTIFS(LdgSellerA,$A1312,LdgKeyA,"&lt;"&amp;$B1312)+COUNTIFS(LdgSellerB,$A1312,LdgKeyB,"&lt;"&amp;$B1312)+1)</f>
        <v/>
      </c>
      <c r="D1312">
        <f>IF($C1312="","",$A1312&amp;"|"&amp;RIGHT("000000"&amp;$C1312,6))</f>
        <v/>
      </c>
      <c r="F1312">
        <f>IF(Sync!$AH1312="","",IF(LEFT(UPPER(TRIM(Sync!$AH1312)),2)="SL",UPPER(TRIM(Sync!$AH1312)),""))</f>
        <v/>
      </c>
      <c r="G1312">
        <f>IF($F1312="","",IF(Sync!$AE1312="","",IF(ISNUMBER(Sync!$AE1312),IF(AND(Sync!$AE1312&gt;=10000101,Sync!$AE1312&lt;=99991231),INT(Sync!$AE1312/10000),""),IFERROR(VALUE(TRIM(LEFT(Sync!$AE1312,FIND("/",Sync!$AE1312)-1))),""))))</f>
        <v/>
      </c>
      <c r="H1312">
        <f>IF(OR($F1312="",$G1312=""),"",IF(ISNUMBER(Sync!$AE1312),INT(MOD(Sync!$AE1312,10000)/100),IFERROR(VALUE(TRIM(LEFT(MID(Sync!$AE1312,FIND("/",Sync!$AE1312)+1,20),FIND("/",MID(Sync!$AE1312,FIND("/",Sync!$AE1312)+1,20))-1))),"")))</f>
        <v/>
      </c>
      <c r="I1312">
        <f>IF(OR($F1312="",$G1312=""),"",IF(ISNUMBER(Sync!$AE1312),MOD(Sync!$AE1312,100),IFERROR(VALUE(TRIM(MID(MID(Sync!$AE1312,FIND("/",Sync!$AE1312)+1,20),FIND("/",MID(Sync!$AE1312,FIND("/",Sync!$AE1312)+1,20))+1,20))),"")))</f>
        <v/>
      </c>
      <c r="J1312">
        <f>IF($F1312="","",IF(OR($G1312="",$H1312="",$I1312="",$G1312&lt;1300,$G1312&gt;1500,$H1312&lt;1,$H1312&gt;12,$I1312&lt;1,$I1312&gt;31),"نامعتبر",RIGHT("0000"&amp;$G1312,4)&amp;"/"&amp;RIGHT("00"&amp;$H1312,2)&amp;"/"&amp;RIGHT("00"&amp;$I1312,2)))</f>
        <v/>
      </c>
      <c r="K1312">
        <f>IF(OR($F1312="",$J1312="",$J1312="نامعتبر"),"",LEFT($J1312,4)&amp;MID($J1312,6,2)&amp;RIGHT($J1312,2)&amp;$N1312&amp;"|"&amp;"2"&amp;RIGHT("00000"&amp;1307,5))</f>
        <v/>
      </c>
      <c r="L1312">
        <f>IF($K1312="","",COUNTIFS(LdgSellerA,$F1312,LdgKeyA,"&lt;"&amp;$K1312)+COUNTIFS(LdgSellerB,$F1312,LdgKeyB,"&lt;"&amp;$K1312)+1)</f>
        <v/>
      </c>
      <c r="M1312">
        <f>IF($L1312="","",$F1312&amp;"|"&amp;RIGHT("000000"&amp;$L1312,6))</f>
        <v/>
      </c>
      <c r="N1312">
        <f>IF($F1312="","",IF(Sync!$AF1312="","0000",IF(AND(ISNUMBER(Sync!$AF1312),Sync!$AF1312&gt;=0,Sync!$AF1312&lt;1),RIGHT("00"&amp;HOUR(Sync!$AF1312),2)&amp;RIGHT("00"&amp;MINUTE(Sync!$AF1312),2),IFERROR(RIGHT("00"&amp;VALUE(LEFT(Sync!$AF1312,FIND(":",Sync!$AF1312)-1)),2)&amp;RIGHT("00"&amp;VALUE(MID(Sync!$AF1312,FIND(":",Sync!$AF1312)+1,2)),2),"0000"))))</f>
        <v/>
      </c>
    </row>
    <row r="1313">
      <c r="A1313">
        <f>IF(OR(Calc!$E1317="",Calc!$E1317="نامعتبر",Calc!$G1317=""),"",Calc!$G1317)</f>
        <v/>
      </c>
      <c r="B1313">
        <f>IF($A1313="","",LEFT(Calc!$E1317,4)&amp;MID(Calc!$E1317,6,2)&amp;RIGHT(Calc!$E1317,2)&amp;Calc!$Q1317&amp;"|"&amp;"1"&amp;RIGHT("00000"&amp;1308,5))</f>
        <v/>
      </c>
      <c r="C1313">
        <f>IF($B1313="","",COUNTIFS(LdgSellerA,$A1313,LdgKeyA,"&lt;"&amp;$B1313)+COUNTIFS(LdgSellerB,$A1313,LdgKeyB,"&lt;"&amp;$B1313)+1)</f>
        <v/>
      </c>
      <c r="D1313">
        <f>IF($C1313="","",$A1313&amp;"|"&amp;RIGHT("000000"&amp;$C1313,6))</f>
        <v/>
      </c>
      <c r="F1313">
        <f>IF(Sync!$AH1313="","",IF(LEFT(UPPER(TRIM(Sync!$AH1313)),2)="SL",UPPER(TRIM(Sync!$AH1313)),""))</f>
        <v/>
      </c>
      <c r="G1313">
        <f>IF($F1313="","",IF(Sync!$AE1313="","",IF(ISNUMBER(Sync!$AE1313),IF(AND(Sync!$AE1313&gt;=10000101,Sync!$AE1313&lt;=99991231),INT(Sync!$AE1313/10000),""),IFERROR(VALUE(TRIM(LEFT(Sync!$AE1313,FIND("/",Sync!$AE1313)-1))),""))))</f>
        <v/>
      </c>
      <c r="H1313">
        <f>IF(OR($F1313="",$G1313=""),"",IF(ISNUMBER(Sync!$AE1313),INT(MOD(Sync!$AE1313,10000)/100),IFERROR(VALUE(TRIM(LEFT(MID(Sync!$AE1313,FIND("/",Sync!$AE1313)+1,20),FIND("/",MID(Sync!$AE1313,FIND("/",Sync!$AE1313)+1,20))-1))),"")))</f>
        <v/>
      </c>
      <c r="I1313">
        <f>IF(OR($F1313="",$G1313=""),"",IF(ISNUMBER(Sync!$AE1313),MOD(Sync!$AE1313,100),IFERROR(VALUE(TRIM(MID(MID(Sync!$AE1313,FIND("/",Sync!$AE1313)+1,20),FIND("/",MID(Sync!$AE1313,FIND("/",Sync!$AE1313)+1,20))+1,20))),"")))</f>
        <v/>
      </c>
      <c r="J1313">
        <f>IF($F1313="","",IF(OR($G1313="",$H1313="",$I1313="",$G1313&lt;1300,$G1313&gt;1500,$H1313&lt;1,$H1313&gt;12,$I1313&lt;1,$I1313&gt;31),"نامعتبر",RIGHT("0000"&amp;$G1313,4)&amp;"/"&amp;RIGHT("00"&amp;$H1313,2)&amp;"/"&amp;RIGHT("00"&amp;$I1313,2)))</f>
        <v/>
      </c>
      <c r="K1313">
        <f>IF(OR($F1313="",$J1313="",$J1313="نامعتبر"),"",LEFT($J1313,4)&amp;MID($J1313,6,2)&amp;RIGHT($J1313,2)&amp;$N1313&amp;"|"&amp;"2"&amp;RIGHT("00000"&amp;1308,5))</f>
        <v/>
      </c>
      <c r="L1313">
        <f>IF($K1313="","",COUNTIFS(LdgSellerA,$F1313,LdgKeyA,"&lt;"&amp;$K1313)+COUNTIFS(LdgSellerB,$F1313,LdgKeyB,"&lt;"&amp;$K1313)+1)</f>
        <v/>
      </c>
      <c r="M1313">
        <f>IF($L1313="","",$F1313&amp;"|"&amp;RIGHT("000000"&amp;$L1313,6))</f>
        <v/>
      </c>
      <c r="N1313">
        <f>IF($F1313="","",IF(Sync!$AF1313="","0000",IF(AND(ISNUMBER(Sync!$AF1313),Sync!$AF1313&gt;=0,Sync!$AF1313&lt;1),RIGHT("00"&amp;HOUR(Sync!$AF1313),2)&amp;RIGHT("00"&amp;MINUTE(Sync!$AF1313),2),IFERROR(RIGHT("00"&amp;VALUE(LEFT(Sync!$AF1313,FIND(":",Sync!$AF1313)-1)),2)&amp;RIGHT("00"&amp;VALUE(MID(Sync!$AF1313,FIND(":",Sync!$AF1313)+1,2)),2),"0000"))))</f>
        <v/>
      </c>
    </row>
    <row r="1314">
      <c r="A1314">
        <f>IF(OR(Calc!$E1318="",Calc!$E1318="نامعتبر",Calc!$G1318=""),"",Calc!$G1318)</f>
        <v/>
      </c>
      <c r="B1314">
        <f>IF($A1314="","",LEFT(Calc!$E1318,4)&amp;MID(Calc!$E1318,6,2)&amp;RIGHT(Calc!$E1318,2)&amp;Calc!$Q1318&amp;"|"&amp;"1"&amp;RIGHT("00000"&amp;1309,5))</f>
        <v/>
      </c>
      <c r="C1314">
        <f>IF($B1314="","",COUNTIFS(LdgSellerA,$A1314,LdgKeyA,"&lt;"&amp;$B1314)+COUNTIFS(LdgSellerB,$A1314,LdgKeyB,"&lt;"&amp;$B1314)+1)</f>
        <v/>
      </c>
      <c r="D1314">
        <f>IF($C1314="","",$A1314&amp;"|"&amp;RIGHT("000000"&amp;$C1314,6))</f>
        <v/>
      </c>
      <c r="F1314">
        <f>IF(Sync!$AH1314="","",IF(LEFT(UPPER(TRIM(Sync!$AH1314)),2)="SL",UPPER(TRIM(Sync!$AH1314)),""))</f>
        <v/>
      </c>
      <c r="G1314">
        <f>IF($F1314="","",IF(Sync!$AE1314="","",IF(ISNUMBER(Sync!$AE1314),IF(AND(Sync!$AE1314&gt;=10000101,Sync!$AE1314&lt;=99991231),INT(Sync!$AE1314/10000),""),IFERROR(VALUE(TRIM(LEFT(Sync!$AE1314,FIND("/",Sync!$AE1314)-1))),""))))</f>
        <v/>
      </c>
      <c r="H1314">
        <f>IF(OR($F1314="",$G1314=""),"",IF(ISNUMBER(Sync!$AE1314),INT(MOD(Sync!$AE1314,10000)/100),IFERROR(VALUE(TRIM(LEFT(MID(Sync!$AE1314,FIND("/",Sync!$AE1314)+1,20),FIND("/",MID(Sync!$AE1314,FIND("/",Sync!$AE1314)+1,20))-1))),"")))</f>
        <v/>
      </c>
      <c r="I1314">
        <f>IF(OR($F1314="",$G1314=""),"",IF(ISNUMBER(Sync!$AE1314),MOD(Sync!$AE1314,100),IFERROR(VALUE(TRIM(MID(MID(Sync!$AE1314,FIND("/",Sync!$AE1314)+1,20),FIND("/",MID(Sync!$AE1314,FIND("/",Sync!$AE1314)+1,20))+1,20))),"")))</f>
        <v/>
      </c>
      <c r="J1314">
        <f>IF($F1314="","",IF(OR($G1314="",$H1314="",$I1314="",$G1314&lt;1300,$G1314&gt;1500,$H1314&lt;1,$H1314&gt;12,$I1314&lt;1,$I1314&gt;31),"نامعتبر",RIGHT("0000"&amp;$G1314,4)&amp;"/"&amp;RIGHT("00"&amp;$H1314,2)&amp;"/"&amp;RIGHT("00"&amp;$I1314,2)))</f>
        <v/>
      </c>
      <c r="K1314">
        <f>IF(OR($F1314="",$J1314="",$J1314="نامعتبر"),"",LEFT($J1314,4)&amp;MID($J1314,6,2)&amp;RIGHT($J1314,2)&amp;$N1314&amp;"|"&amp;"2"&amp;RIGHT("00000"&amp;1309,5))</f>
        <v/>
      </c>
      <c r="L1314">
        <f>IF($K1314="","",COUNTIFS(LdgSellerA,$F1314,LdgKeyA,"&lt;"&amp;$K1314)+COUNTIFS(LdgSellerB,$F1314,LdgKeyB,"&lt;"&amp;$K1314)+1)</f>
        <v/>
      </c>
      <c r="M1314">
        <f>IF($L1314="","",$F1314&amp;"|"&amp;RIGHT("000000"&amp;$L1314,6))</f>
        <v/>
      </c>
      <c r="N1314">
        <f>IF($F1314="","",IF(Sync!$AF1314="","0000",IF(AND(ISNUMBER(Sync!$AF1314),Sync!$AF1314&gt;=0,Sync!$AF1314&lt;1),RIGHT("00"&amp;HOUR(Sync!$AF1314),2)&amp;RIGHT("00"&amp;MINUTE(Sync!$AF1314),2),IFERROR(RIGHT("00"&amp;VALUE(LEFT(Sync!$AF1314,FIND(":",Sync!$AF1314)-1)),2)&amp;RIGHT("00"&amp;VALUE(MID(Sync!$AF1314,FIND(":",Sync!$AF1314)+1,2)),2),"0000"))))</f>
        <v/>
      </c>
    </row>
    <row r="1315">
      <c r="A1315">
        <f>IF(OR(Calc!$E1319="",Calc!$E1319="نامعتبر",Calc!$G1319=""),"",Calc!$G1319)</f>
        <v/>
      </c>
      <c r="B1315">
        <f>IF($A1315="","",LEFT(Calc!$E1319,4)&amp;MID(Calc!$E1319,6,2)&amp;RIGHT(Calc!$E1319,2)&amp;Calc!$Q1319&amp;"|"&amp;"1"&amp;RIGHT("00000"&amp;1310,5))</f>
        <v/>
      </c>
      <c r="C1315">
        <f>IF($B1315="","",COUNTIFS(LdgSellerA,$A1315,LdgKeyA,"&lt;"&amp;$B1315)+COUNTIFS(LdgSellerB,$A1315,LdgKeyB,"&lt;"&amp;$B1315)+1)</f>
        <v/>
      </c>
      <c r="D1315">
        <f>IF($C1315="","",$A1315&amp;"|"&amp;RIGHT("000000"&amp;$C1315,6))</f>
        <v/>
      </c>
      <c r="F1315">
        <f>IF(Sync!$AH1315="","",IF(LEFT(UPPER(TRIM(Sync!$AH1315)),2)="SL",UPPER(TRIM(Sync!$AH1315)),""))</f>
        <v/>
      </c>
      <c r="G1315">
        <f>IF($F1315="","",IF(Sync!$AE1315="","",IF(ISNUMBER(Sync!$AE1315),IF(AND(Sync!$AE1315&gt;=10000101,Sync!$AE1315&lt;=99991231),INT(Sync!$AE1315/10000),""),IFERROR(VALUE(TRIM(LEFT(Sync!$AE1315,FIND("/",Sync!$AE1315)-1))),""))))</f>
        <v/>
      </c>
      <c r="H1315">
        <f>IF(OR($F1315="",$G1315=""),"",IF(ISNUMBER(Sync!$AE1315),INT(MOD(Sync!$AE1315,10000)/100),IFERROR(VALUE(TRIM(LEFT(MID(Sync!$AE1315,FIND("/",Sync!$AE1315)+1,20),FIND("/",MID(Sync!$AE1315,FIND("/",Sync!$AE1315)+1,20))-1))),"")))</f>
        <v/>
      </c>
      <c r="I1315">
        <f>IF(OR($F1315="",$G1315=""),"",IF(ISNUMBER(Sync!$AE1315),MOD(Sync!$AE1315,100),IFERROR(VALUE(TRIM(MID(MID(Sync!$AE1315,FIND("/",Sync!$AE1315)+1,20),FIND("/",MID(Sync!$AE1315,FIND("/",Sync!$AE1315)+1,20))+1,20))),"")))</f>
        <v/>
      </c>
      <c r="J1315">
        <f>IF($F1315="","",IF(OR($G1315="",$H1315="",$I1315="",$G1315&lt;1300,$G1315&gt;1500,$H1315&lt;1,$H1315&gt;12,$I1315&lt;1,$I1315&gt;31),"نامعتبر",RIGHT("0000"&amp;$G1315,4)&amp;"/"&amp;RIGHT("00"&amp;$H1315,2)&amp;"/"&amp;RIGHT("00"&amp;$I1315,2)))</f>
        <v/>
      </c>
      <c r="K1315">
        <f>IF(OR($F1315="",$J1315="",$J1315="نامعتبر"),"",LEFT($J1315,4)&amp;MID($J1315,6,2)&amp;RIGHT($J1315,2)&amp;$N1315&amp;"|"&amp;"2"&amp;RIGHT("00000"&amp;1310,5))</f>
        <v/>
      </c>
      <c r="L1315">
        <f>IF($K1315="","",COUNTIFS(LdgSellerA,$F1315,LdgKeyA,"&lt;"&amp;$K1315)+COUNTIFS(LdgSellerB,$F1315,LdgKeyB,"&lt;"&amp;$K1315)+1)</f>
        <v/>
      </c>
      <c r="M1315">
        <f>IF($L1315="","",$F1315&amp;"|"&amp;RIGHT("000000"&amp;$L1315,6))</f>
        <v/>
      </c>
      <c r="N1315">
        <f>IF($F1315="","",IF(Sync!$AF1315="","0000",IF(AND(ISNUMBER(Sync!$AF1315),Sync!$AF1315&gt;=0,Sync!$AF1315&lt;1),RIGHT("00"&amp;HOUR(Sync!$AF1315),2)&amp;RIGHT("00"&amp;MINUTE(Sync!$AF1315),2),IFERROR(RIGHT("00"&amp;VALUE(LEFT(Sync!$AF1315,FIND(":",Sync!$AF1315)-1)),2)&amp;RIGHT("00"&amp;VALUE(MID(Sync!$AF1315,FIND(":",Sync!$AF1315)+1,2)),2),"0000"))))</f>
        <v/>
      </c>
    </row>
    <row r="1316">
      <c r="A1316">
        <f>IF(OR(Calc!$E1320="",Calc!$E1320="نامعتبر",Calc!$G1320=""),"",Calc!$G1320)</f>
        <v/>
      </c>
      <c r="B1316">
        <f>IF($A1316="","",LEFT(Calc!$E1320,4)&amp;MID(Calc!$E1320,6,2)&amp;RIGHT(Calc!$E1320,2)&amp;Calc!$Q1320&amp;"|"&amp;"1"&amp;RIGHT("00000"&amp;1311,5))</f>
        <v/>
      </c>
      <c r="C1316">
        <f>IF($B1316="","",COUNTIFS(LdgSellerA,$A1316,LdgKeyA,"&lt;"&amp;$B1316)+COUNTIFS(LdgSellerB,$A1316,LdgKeyB,"&lt;"&amp;$B1316)+1)</f>
        <v/>
      </c>
      <c r="D1316">
        <f>IF($C1316="","",$A1316&amp;"|"&amp;RIGHT("000000"&amp;$C1316,6))</f>
        <v/>
      </c>
      <c r="F1316">
        <f>IF(Sync!$AH1316="","",IF(LEFT(UPPER(TRIM(Sync!$AH1316)),2)="SL",UPPER(TRIM(Sync!$AH1316)),""))</f>
        <v/>
      </c>
      <c r="G1316">
        <f>IF($F1316="","",IF(Sync!$AE1316="","",IF(ISNUMBER(Sync!$AE1316),IF(AND(Sync!$AE1316&gt;=10000101,Sync!$AE1316&lt;=99991231),INT(Sync!$AE1316/10000),""),IFERROR(VALUE(TRIM(LEFT(Sync!$AE1316,FIND("/",Sync!$AE1316)-1))),""))))</f>
        <v/>
      </c>
      <c r="H1316">
        <f>IF(OR($F1316="",$G1316=""),"",IF(ISNUMBER(Sync!$AE1316),INT(MOD(Sync!$AE1316,10000)/100),IFERROR(VALUE(TRIM(LEFT(MID(Sync!$AE1316,FIND("/",Sync!$AE1316)+1,20),FIND("/",MID(Sync!$AE1316,FIND("/",Sync!$AE1316)+1,20))-1))),"")))</f>
        <v/>
      </c>
      <c r="I1316">
        <f>IF(OR($F1316="",$G1316=""),"",IF(ISNUMBER(Sync!$AE1316),MOD(Sync!$AE1316,100),IFERROR(VALUE(TRIM(MID(MID(Sync!$AE1316,FIND("/",Sync!$AE1316)+1,20),FIND("/",MID(Sync!$AE1316,FIND("/",Sync!$AE1316)+1,20))+1,20))),"")))</f>
        <v/>
      </c>
      <c r="J1316">
        <f>IF($F1316="","",IF(OR($G1316="",$H1316="",$I1316="",$G1316&lt;1300,$G1316&gt;1500,$H1316&lt;1,$H1316&gt;12,$I1316&lt;1,$I1316&gt;31),"نامعتبر",RIGHT("0000"&amp;$G1316,4)&amp;"/"&amp;RIGHT("00"&amp;$H1316,2)&amp;"/"&amp;RIGHT("00"&amp;$I1316,2)))</f>
        <v/>
      </c>
      <c r="K1316">
        <f>IF(OR($F1316="",$J1316="",$J1316="نامعتبر"),"",LEFT($J1316,4)&amp;MID($J1316,6,2)&amp;RIGHT($J1316,2)&amp;$N1316&amp;"|"&amp;"2"&amp;RIGHT("00000"&amp;1311,5))</f>
        <v/>
      </c>
      <c r="L1316">
        <f>IF($K1316="","",COUNTIFS(LdgSellerA,$F1316,LdgKeyA,"&lt;"&amp;$K1316)+COUNTIFS(LdgSellerB,$F1316,LdgKeyB,"&lt;"&amp;$K1316)+1)</f>
        <v/>
      </c>
      <c r="M1316">
        <f>IF($L1316="","",$F1316&amp;"|"&amp;RIGHT("000000"&amp;$L1316,6))</f>
        <v/>
      </c>
      <c r="N1316">
        <f>IF($F1316="","",IF(Sync!$AF1316="","0000",IF(AND(ISNUMBER(Sync!$AF1316),Sync!$AF1316&gt;=0,Sync!$AF1316&lt;1),RIGHT("00"&amp;HOUR(Sync!$AF1316),2)&amp;RIGHT("00"&amp;MINUTE(Sync!$AF1316),2),IFERROR(RIGHT("00"&amp;VALUE(LEFT(Sync!$AF1316,FIND(":",Sync!$AF1316)-1)),2)&amp;RIGHT("00"&amp;VALUE(MID(Sync!$AF1316,FIND(":",Sync!$AF1316)+1,2)),2),"0000"))))</f>
        <v/>
      </c>
    </row>
    <row r="1317">
      <c r="A1317">
        <f>IF(OR(Calc!$E1321="",Calc!$E1321="نامعتبر",Calc!$G1321=""),"",Calc!$G1321)</f>
        <v/>
      </c>
      <c r="B1317">
        <f>IF($A1317="","",LEFT(Calc!$E1321,4)&amp;MID(Calc!$E1321,6,2)&amp;RIGHT(Calc!$E1321,2)&amp;Calc!$Q1321&amp;"|"&amp;"1"&amp;RIGHT("00000"&amp;1312,5))</f>
        <v/>
      </c>
      <c r="C1317">
        <f>IF($B1317="","",COUNTIFS(LdgSellerA,$A1317,LdgKeyA,"&lt;"&amp;$B1317)+COUNTIFS(LdgSellerB,$A1317,LdgKeyB,"&lt;"&amp;$B1317)+1)</f>
        <v/>
      </c>
      <c r="D1317">
        <f>IF($C1317="","",$A1317&amp;"|"&amp;RIGHT("000000"&amp;$C1317,6))</f>
        <v/>
      </c>
      <c r="F1317">
        <f>IF(Sync!$AH1317="","",IF(LEFT(UPPER(TRIM(Sync!$AH1317)),2)="SL",UPPER(TRIM(Sync!$AH1317)),""))</f>
        <v/>
      </c>
      <c r="G1317">
        <f>IF($F1317="","",IF(Sync!$AE1317="","",IF(ISNUMBER(Sync!$AE1317),IF(AND(Sync!$AE1317&gt;=10000101,Sync!$AE1317&lt;=99991231),INT(Sync!$AE1317/10000),""),IFERROR(VALUE(TRIM(LEFT(Sync!$AE1317,FIND("/",Sync!$AE1317)-1))),""))))</f>
        <v/>
      </c>
      <c r="H1317">
        <f>IF(OR($F1317="",$G1317=""),"",IF(ISNUMBER(Sync!$AE1317),INT(MOD(Sync!$AE1317,10000)/100),IFERROR(VALUE(TRIM(LEFT(MID(Sync!$AE1317,FIND("/",Sync!$AE1317)+1,20),FIND("/",MID(Sync!$AE1317,FIND("/",Sync!$AE1317)+1,20))-1))),"")))</f>
        <v/>
      </c>
      <c r="I1317">
        <f>IF(OR($F1317="",$G1317=""),"",IF(ISNUMBER(Sync!$AE1317),MOD(Sync!$AE1317,100),IFERROR(VALUE(TRIM(MID(MID(Sync!$AE1317,FIND("/",Sync!$AE1317)+1,20),FIND("/",MID(Sync!$AE1317,FIND("/",Sync!$AE1317)+1,20))+1,20))),"")))</f>
        <v/>
      </c>
      <c r="J1317">
        <f>IF($F1317="","",IF(OR($G1317="",$H1317="",$I1317="",$G1317&lt;1300,$G1317&gt;1500,$H1317&lt;1,$H1317&gt;12,$I1317&lt;1,$I1317&gt;31),"نامعتبر",RIGHT("0000"&amp;$G1317,4)&amp;"/"&amp;RIGHT("00"&amp;$H1317,2)&amp;"/"&amp;RIGHT("00"&amp;$I1317,2)))</f>
        <v/>
      </c>
      <c r="K1317">
        <f>IF(OR($F1317="",$J1317="",$J1317="نامعتبر"),"",LEFT($J1317,4)&amp;MID($J1317,6,2)&amp;RIGHT($J1317,2)&amp;$N1317&amp;"|"&amp;"2"&amp;RIGHT("00000"&amp;1312,5))</f>
        <v/>
      </c>
      <c r="L1317">
        <f>IF($K1317="","",COUNTIFS(LdgSellerA,$F1317,LdgKeyA,"&lt;"&amp;$K1317)+COUNTIFS(LdgSellerB,$F1317,LdgKeyB,"&lt;"&amp;$K1317)+1)</f>
        <v/>
      </c>
      <c r="M1317">
        <f>IF($L1317="","",$F1317&amp;"|"&amp;RIGHT("000000"&amp;$L1317,6))</f>
        <v/>
      </c>
      <c r="N1317">
        <f>IF($F1317="","",IF(Sync!$AF1317="","0000",IF(AND(ISNUMBER(Sync!$AF1317),Sync!$AF1317&gt;=0,Sync!$AF1317&lt;1),RIGHT("00"&amp;HOUR(Sync!$AF1317),2)&amp;RIGHT("00"&amp;MINUTE(Sync!$AF1317),2),IFERROR(RIGHT("00"&amp;VALUE(LEFT(Sync!$AF1317,FIND(":",Sync!$AF1317)-1)),2)&amp;RIGHT("00"&amp;VALUE(MID(Sync!$AF1317,FIND(":",Sync!$AF1317)+1,2)),2),"0000"))))</f>
        <v/>
      </c>
    </row>
    <row r="1318">
      <c r="A1318">
        <f>IF(OR(Calc!$E1322="",Calc!$E1322="نامعتبر",Calc!$G1322=""),"",Calc!$G1322)</f>
        <v/>
      </c>
      <c r="B1318">
        <f>IF($A1318="","",LEFT(Calc!$E1322,4)&amp;MID(Calc!$E1322,6,2)&amp;RIGHT(Calc!$E1322,2)&amp;Calc!$Q1322&amp;"|"&amp;"1"&amp;RIGHT("00000"&amp;1313,5))</f>
        <v/>
      </c>
      <c r="C1318">
        <f>IF($B1318="","",COUNTIFS(LdgSellerA,$A1318,LdgKeyA,"&lt;"&amp;$B1318)+COUNTIFS(LdgSellerB,$A1318,LdgKeyB,"&lt;"&amp;$B1318)+1)</f>
        <v/>
      </c>
      <c r="D1318">
        <f>IF($C1318="","",$A1318&amp;"|"&amp;RIGHT("000000"&amp;$C1318,6))</f>
        <v/>
      </c>
      <c r="F1318">
        <f>IF(Sync!$AH1318="","",IF(LEFT(UPPER(TRIM(Sync!$AH1318)),2)="SL",UPPER(TRIM(Sync!$AH1318)),""))</f>
        <v/>
      </c>
      <c r="G1318">
        <f>IF($F1318="","",IF(Sync!$AE1318="","",IF(ISNUMBER(Sync!$AE1318),IF(AND(Sync!$AE1318&gt;=10000101,Sync!$AE1318&lt;=99991231),INT(Sync!$AE1318/10000),""),IFERROR(VALUE(TRIM(LEFT(Sync!$AE1318,FIND("/",Sync!$AE1318)-1))),""))))</f>
        <v/>
      </c>
      <c r="H1318">
        <f>IF(OR($F1318="",$G1318=""),"",IF(ISNUMBER(Sync!$AE1318),INT(MOD(Sync!$AE1318,10000)/100),IFERROR(VALUE(TRIM(LEFT(MID(Sync!$AE1318,FIND("/",Sync!$AE1318)+1,20),FIND("/",MID(Sync!$AE1318,FIND("/",Sync!$AE1318)+1,20))-1))),"")))</f>
        <v/>
      </c>
      <c r="I1318">
        <f>IF(OR($F1318="",$G1318=""),"",IF(ISNUMBER(Sync!$AE1318),MOD(Sync!$AE1318,100),IFERROR(VALUE(TRIM(MID(MID(Sync!$AE1318,FIND("/",Sync!$AE1318)+1,20),FIND("/",MID(Sync!$AE1318,FIND("/",Sync!$AE1318)+1,20))+1,20))),"")))</f>
        <v/>
      </c>
      <c r="J1318">
        <f>IF($F1318="","",IF(OR($G1318="",$H1318="",$I1318="",$G1318&lt;1300,$G1318&gt;1500,$H1318&lt;1,$H1318&gt;12,$I1318&lt;1,$I1318&gt;31),"نامعتبر",RIGHT("0000"&amp;$G1318,4)&amp;"/"&amp;RIGHT("00"&amp;$H1318,2)&amp;"/"&amp;RIGHT("00"&amp;$I1318,2)))</f>
        <v/>
      </c>
      <c r="K1318">
        <f>IF(OR($F1318="",$J1318="",$J1318="نامعتبر"),"",LEFT($J1318,4)&amp;MID($J1318,6,2)&amp;RIGHT($J1318,2)&amp;$N1318&amp;"|"&amp;"2"&amp;RIGHT("00000"&amp;1313,5))</f>
        <v/>
      </c>
      <c r="L1318">
        <f>IF($K1318="","",COUNTIFS(LdgSellerA,$F1318,LdgKeyA,"&lt;"&amp;$K1318)+COUNTIFS(LdgSellerB,$F1318,LdgKeyB,"&lt;"&amp;$K1318)+1)</f>
        <v/>
      </c>
      <c r="M1318">
        <f>IF($L1318="","",$F1318&amp;"|"&amp;RIGHT("000000"&amp;$L1318,6))</f>
        <v/>
      </c>
      <c r="N1318">
        <f>IF($F1318="","",IF(Sync!$AF1318="","0000",IF(AND(ISNUMBER(Sync!$AF1318),Sync!$AF1318&gt;=0,Sync!$AF1318&lt;1),RIGHT("00"&amp;HOUR(Sync!$AF1318),2)&amp;RIGHT("00"&amp;MINUTE(Sync!$AF1318),2),IFERROR(RIGHT("00"&amp;VALUE(LEFT(Sync!$AF1318,FIND(":",Sync!$AF1318)-1)),2)&amp;RIGHT("00"&amp;VALUE(MID(Sync!$AF1318,FIND(":",Sync!$AF1318)+1,2)),2),"0000"))))</f>
        <v/>
      </c>
    </row>
    <row r="1319">
      <c r="A1319">
        <f>IF(OR(Calc!$E1323="",Calc!$E1323="نامعتبر",Calc!$G1323=""),"",Calc!$G1323)</f>
        <v/>
      </c>
      <c r="B1319">
        <f>IF($A1319="","",LEFT(Calc!$E1323,4)&amp;MID(Calc!$E1323,6,2)&amp;RIGHT(Calc!$E1323,2)&amp;Calc!$Q1323&amp;"|"&amp;"1"&amp;RIGHT("00000"&amp;1314,5))</f>
        <v/>
      </c>
      <c r="C1319">
        <f>IF($B1319="","",COUNTIFS(LdgSellerA,$A1319,LdgKeyA,"&lt;"&amp;$B1319)+COUNTIFS(LdgSellerB,$A1319,LdgKeyB,"&lt;"&amp;$B1319)+1)</f>
        <v/>
      </c>
      <c r="D1319">
        <f>IF($C1319="","",$A1319&amp;"|"&amp;RIGHT("000000"&amp;$C1319,6))</f>
        <v/>
      </c>
      <c r="F1319">
        <f>IF(Sync!$AH1319="","",IF(LEFT(UPPER(TRIM(Sync!$AH1319)),2)="SL",UPPER(TRIM(Sync!$AH1319)),""))</f>
        <v/>
      </c>
      <c r="G1319">
        <f>IF($F1319="","",IF(Sync!$AE1319="","",IF(ISNUMBER(Sync!$AE1319),IF(AND(Sync!$AE1319&gt;=10000101,Sync!$AE1319&lt;=99991231),INT(Sync!$AE1319/10000),""),IFERROR(VALUE(TRIM(LEFT(Sync!$AE1319,FIND("/",Sync!$AE1319)-1))),""))))</f>
        <v/>
      </c>
      <c r="H1319">
        <f>IF(OR($F1319="",$G1319=""),"",IF(ISNUMBER(Sync!$AE1319),INT(MOD(Sync!$AE1319,10000)/100),IFERROR(VALUE(TRIM(LEFT(MID(Sync!$AE1319,FIND("/",Sync!$AE1319)+1,20),FIND("/",MID(Sync!$AE1319,FIND("/",Sync!$AE1319)+1,20))-1))),"")))</f>
        <v/>
      </c>
      <c r="I1319">
        <f>IF(OR($F1319="",$G1319=""),"",IF(ISNUMBER(Sync!$AE1319),MOD(Sync!$AE1319,100),IFERROR(VALUE(TRIM(MID(MID(Sync!$AE1319,FIND("/",Sync!$AE1319)+1,20),FIND("/",MID(Sync!$AE1319,FIND("/",Sync!$AE1319)+1,20))+1,20))),"")))</f>
        <v/>
      </c>
      <c r="J1319">
        <f>IF($F1319="","",IF(OR($G1319="",$H1319="",$I1319="",$G1319&lt;1300,$G1319&gt;1500,$H1319&lt;1,$H1319&gt;12,$I1319&lt;1,$I1319&gt;31),"نامعتبر",RIGHT("0000"&amp;$G1319,4)&amp;"/"&amp;RIGHT("00"&amp;$H1319,2)&amp;"/"&amp;RIGHT("00"&amp;$I1319,2)))</f>
        <v/>
      </c>
      <c r="K1319">
        <f>IF(OR($F1319="",$J1319="",$J1319="نامعتبر"),"",LEFT($J1319,4)&amp;MID($J1319,6,2)&amp;RIGHT($J1319,2)&amp;$N1319&amp;"|"&amp;"2"&amp;RIGHT("00000"&amp;1314,5))</f>
        <v/>
      </c>
      <c r="L1319">
        <f>IF($K1319="","",COUNTIFS(LdgSellerA,$F1319,LdgKeyA,"&lt;"&amp;$K1319)+COUNTIFS(LdgSellerB,$F1319,LdgKeyB,"&lt;"&amp;$K1319)+1)</f>
        <v/>
      </c>
      <c r="M1319">
        <f>IF($L1319="","",$F1319&amp;"|"&amp;RIGHT("000000"&amp;$L1319,6))</f>
        <v/>
      </c>
      <c r="N1319">
        <f>IF($F1319="","",IF(Sync!$AF1319="","0000",IF(AND(ISNUMBER(Sync!$AF1319),Sync!$AF1319&gt;=0,Sync!$AF1319&lt;1),RIGHT("00"&amp;HOUR(Sync!$AF1319),2)&amp;RIGHT("00"&amp;MINUTE(Sync!$AF1319),2),IFERROR(RIGHT("00"&amp;VALUE(LEFT(Sync!$AF1319,FIND(":",Sync!$AF1319)-1)),2)&amp;RIGHT("00"&amp;VALUE(MID(Sync!$AF1319,FIND(":",Sync!$AF1319)+1,2)),2),"0000"))))</f>
        <v/>
      </c>
    </row>
    <row r="1320">
      <c r="A1320">
        <f>IF(OR(Calc!$E1324="",Calc!$E1324="نامعتبر",Calc!$G1324=""),"",Calc!$G1324)</f>
        <v/>
      </c>
      <c r="B1320">
        <f>IF($A1320="","",LEFT(Calc!$E1324,4)&amp;MID(Calc!$E1324,6,2)&amp;RIGHT(Calc!$E1324,2)&amp;Calc!$Q1324&amp;"|"&amp;"1"&amp;RIGHT("00000"&amp;1315,5))</f>
        <v/>
      </c>
      <c r="C1320">
        <f>IF($B1320="","",COUNTIFS(LdgSellerA,$A1320,LdgKeyA,"&lt;"&amp;$B1320)+COUNTIFS(LdgSellerB,$A1320,LdgKeyB,"&lt;"&amp;$B1320)+1)</f>
        <v/>
      </c>
      <c r="D1320">
        <f>IF($C1320="","",$A1320&amp;"|"&amp;RIGHT("000000"&amp;$C1320,6))</f>
        <v/>
      </c>
      <c r="F1320">
        <f>IF(Sync!$AH1320="","",IF(LEFT(UPPER(TRIM(Sync!$AH1320)),2)="SL",UPPER(TRIM(Sync!$AH1320)),""))</f>
        <v/>
      </c>
      <c r="G1320">
        <f>IF($F1320="","",IF(Sync!$AE1320="","",IF(ISNUMBER(Sync!$AE1320),IF(AND(Sync!$AE1320&gt;=10000101,Sync!$AE1320&lt;=99991231),INT(Sync!$AE1320/10000),""),IFERROR(VALUE(TRIM(LEFT(Sync!$AE1320,FIND("/",Sync!$AE1320)-1))),""))))</f>
        <v/>
      </c>
      <c r="H1320">
        <f>IF(OR($F1320="",$G1320=""),"",IF(ISNUMBER(Sync!$AE1320),INT(MOD(Sync!$AE1320,10000)/100),IFERROR(VALUE(TRIM(LEFT(MID(Sync!$AE1320,FIND("/",Sync!$AE1320)+1,20),FIND("/",MID(Sync!$AE1320,FIND("/",Sync!$AE1320)+1,20))-1))),"")))</f>
        <v/>
      </c>
      <c r="I1320">
        <f>IF(OR($F1320="",$G1320=""),"",IF(ISNUMBER(Sync!$AE1320),MOD(Sync!$AE1320,100),IFERROR(VALUE(TRIM(MID(MID(Sync!$AE1320,FIND("/",Sync!$AE1320)+1,20),FIND("/",MID(Sync!$AE1320,FIND("/",Sync!$AE1320)+1,20))+1,20))),"")))</f>
        <v/>
      </c>
      <c r="J1320">
        <f>IF($F1320="","",IF(OR($G1320="",$H1320="",$I1320="",$G1320&lt;1300,$G1320&gt;1500,$H1320&lt;1,$H1320&gt;12,$I1320&lt;1,$I1320&gt;31),"نامعتبر",RIGHT("0000"&amp;$G1320,4)&amp;"/"&amp;RIGHT("00"&amp;$H1320,2)&amp;"/"&amp;RIGHT("00"&amp;$I1320,2)))</f>
        <v/>
      </c>
      <c r="K1320">
        <f>IF(OR($F1320="",$J1320="",$J1320="نامعتبر"),"",LEFT($J1320,4)&amp;MID($J1320,6,2)&amp;RIGHT($J1320,2)&amp;$N1320&amp;"|"&amp;"2"&amp;RIGHT("00000"&amp;1315,5))</f>
        <v/>
      </c>
      <c r="L1320">
        <f>IF($K1320="","",COUNTIFS(LdgSellerA,$F1320,LdgKeyA,"&lt;"&amp;$K1320)+COUNTIFS(LdgSellerB,$F1320,LdgKeyB,"&lt;"&amp;$K1320)+1)</f>
        <v/>
      </c>
      <c r="M1320">
        <f>IF($L1320="","",$F1320&amp;"|"&amp;RIGHT("000000"&amp;$L1320,6))</f>
        <v/>
      </c>
      <c r="N1320">
        <f>IF($F1320="","",IF(Sync!$AF1320="","0000",IF(AND(ISNUMBER(Sync!$AF1320),Sync!$AF1320&gt;=0,Sync!$AF1320&lt;1),RIGHT("00"&amp;HOUR(Sync!$AF1320),2)&amp;RIGHT("00"&amp;MINUTE(Sync!$AF1320),2),IFERROR(RIGHT("00"&amp;VALUE(LEFT(Sync!$AF1320,FIND(":",Sync!$AF1320)-1)),2)&amp;RIGHT("00"&amp;VALUE(MID(Sync!$AF1320,FIND(":",Sync!$AF1320)+1,2)),2),"0000"))))</f>
        <v/>
      </c>
    </row>
    <row r="1321">
      <c r="A1321">
        <f>IF(OR(Calc!$E1325="",Calc!$E1325="نامعتبر",Calc!$G1325=""),"",Calc!$G1325)</f>
        <v/>
      </c>
      <c r="B1321">
        <f>IF($A1321="","",LEFT(Calc!$E1325,4)&amp;MID(Calc!$E1325,6,2)&amp;RIGHT(Calc!$E1325,2)&amp;Calc!$Q1325&amp;"|"&amp;"1"&amp;RIGHT("00000"&amp;1316,5))</f>
        <v/>
      </c>
      <c r="C1321">
        <f>IF($B1321="","",COUNTIFS(LdgSellerA,$A1321,LdgKeyA,"&lt;"&amp;$B1321)+COUNTIFS(LdgSellerB,$A1321,LdgKeyB,"&lt;"&amp;$B1321)+1)</f>
        <v/>
      </c>
      <c r="D1321">
        <f>IF($C1321="","",$A1321&amp;"|"&amp;RIGHT("000000"&amp;$C1321,6))</f>
        <v/>
      </c>
      <c r="F1321">
        <f>IF(Sync!$AH1321="","",IF(LEFT(UPPER(TRIM(Sync!$AH1321)),2)="SL",UPPER(TRIM(Sync!$AH1321)),""))</f>
        <v/>
      </c>
      <c r="G1321">
        <f>IF($F1321="","",IF(Sync!$AE1321="","",IF(ISNUMBER(Sync!$AE1321),IF(AND(Sync!$AE1321&gt;=10000101,Sync!$AE1321&lt;=99991231),INT(Sync!$AE1321/10000),""),IFERROR(VALUE(TRIM(LEFT(Sync!$AE1321,FIND("/",Sync!$AE1321)-1))),""))))</f>
        <v/>
      </c>
      <c r="H1321">
        <f>IF(OR($F1321="",$G1321=""),"",IF(ISNUMBER(Sync!$AE1321),INT(MOD(Sync!$AE1321,10000)/100),IFERROR(VALUE(TRIM(LEFT(MID(Sync!$AE1321,FIND("/",Sync!$AE1321)+1,20),FIND("/",MID(Sync!$AE1321,FIND("/",Sync!$AE1321)+1,20))-1))),"")))</f>
        <v/>
      </c>
      <c r="I1321">
        <f>IF(OR($F1321="",$G1321=""),"",IF(ISNUMBER(Sync!$AE1321),MOD(Sync!$AE1321,100),IFERROR(VALUE(TRIM(MID(MID(Sync!$AE1321,FIND("/",Sync!$AE1321)+1,20),FIND("/",MID(Sync!$AE1321,FIND("/",Sync!$AE1321)+1,20))+1,20))),"")))</f>
        <v/>
      </c>
      <c r="J1321">
        <f>IF($F1321="","",IF(OR($G1321="",$H1321="",$I1321="",$G1321&lt;1300,$G1321&gt;1500,$H1321&lt;1,$H1321&gt;12,$I1321&lt;1,$I1321&gt;31),"نامعتبر",RIGHT("0000"&amp;$G1321,4)&amp;"/"&amp;RIGHT("00"&amp;$H1321,2)&amp;"/"&amp;RIGHT("00"&amp;$I1321,2)))</f>
        <v/>
      </c>
      <c r="K1321">
        <f>IF(OR($F1321="",$J1321="",$J1321="نامعتبر"),"",LEFT($J1321,4)&amp;MID($J1321,6,2)&amp;RIGHT($J1321,2)&amp;$N1321&amp;"|"&amp;"2"&amp;RIGHT("00000"&amp;1316,5))</f>
        <v/>
      </c>
      <c r="L1321">
        <f>IF($K1321="","",COUNTIFS(LdgSellerA,$F1321,LdgKeyA,"&lt;"&amp;$K1321)+COUNTIFS(LdgSellerB,$F1321,LdgKeyB,"&lt;"&amp;$K1321)+1)</f>
        <v/>
      </c>
      <c r="M1321">
        <f>IF($L1321="","",$F1321&amp;"|"&amp;RIGHT("000000"&amp;$L1321,6))</f>
        <v/>
      </c>
      <c r="N1321">
        <f>IF($F1321="","",IF(Sync!$AF1321="","0000",IF(AND(ISNUMBER(Sync!$AF1321),Sync!$AF1321&gt;=0,Sync!$AF1321&lt;1),RIGHT("00"&amp;HOUR(Sync!$AF1321),2)&amp;RIGHT("00"&amp;MINUTE(Sync!$AF1321),2),IFERROR(RIGHT("00"&amp;VALUE(LEFT(Sync!$AF1321,FIND(":",Sync!$AF1321)-1)),2)&amp;RIGHT("00"&amp;VALUE(MID(Sync!$AF1321,FIND(":",Sync!$AF1321)+1,2)),2),"0000"))))</f>
        <v/>
      </c>
    </row>
    <row r="1322">
      <c r="A1322">
        <f>IF(OR(Calc!$E1326="",Calc!$E1326="نامعتبر",Calc!$G1326=""),"",Calc!$G1326)</f>
        <v/>
      </c>
      <c r="B1322">
        <f>IF($A1322="","",LEFT(Calc!$E1326,4)&amp;MID(Calc!$E1326,6,2)&amp;RIGHT(Calc!$E1326,2)&amp;Calc!$Q1326&amp;"|"&amp;"1"&amp;RIGHT("00000"&amp;1317,5))</f>
        <v/>
      </c>
      <c r="C1322">
        <f>IF($B1322="","",COUNTIFS(LdgSellerA,$A1322,LdgKeyA,"&lt;"&amp;$B1322)+COUNTIFS(LdgSellerB,$A1322,LdgKeyB,"&lt;"&amp;$B1322)+1)</f>
        <v/>
      </c>
      <c r="D1322">
        <f>IF($C1322="","",$A1322&amp;"|"&amp;RIGHT("000000"&amp;$C1322,6))</f>
        <v/>
      </c>
      <c r="F1322">
        <f>IF(Sync!$AH1322="","",IF(LEFT(UPPER(TRIM(Sync!$AH1322)),2)="SL",UPPER(TRIM(Sync!$AH1322)),""))</f>
        <v/>
      </c>
      <c r="G1322">
        <f>IF($F1322="","",IF(Sync!$AE1322="","",IF(ISNUMBER(Sync!$AE1322),IF(AND(Sync!$AE1322&gt;=10000101,Sync!$AE1322&lt;=99991231),INT(Sync!$AE1322/10000),""),IFERROR(VALUE(TRIM(LEFT(Sync!$AE1322,FIND("/",Sync!$AE1322)-1))),""))))</f>
        <v/>
      </c>
      <c r="H1322">
        <f>IF(OR($F1322="",$G1322=""),"",IF(ISNUMBER(Sync!$AE1322),INT(MOD(Sync!$AE1322,10000)/100),IFERROR(VALUE(TRIM(LEFT(MID(Sync!$AE1322,FIND("/",Sync!$AE1322)+1,20),FIND("/",MID(Sync!$AE1322,FIND("/",Sync!$AE1322)+1,20))-1))),"")))</f>
        <v/>
      </c>
      <c r="I1322">
        <f>IF(OR($F1322="",$G1322=""),"",IF(ISNUMBER(Sync!$AE1322),MOD(Sync!$AE1322,100),IFERROR(VALUE(TRIM(MID(MID(Sync!$AE1322,FIND("/",Sync!$AE1322)+1,20),FIND("/",MID(Sync!$AE1322,FIND("/",Sync!$AE1322)+1,20))+1,20))),"")))</f>
        <v/>
      </c>
      <c r="J1322">
        <f>IF($F1322="","",IF(OR($G1322="",$H1322="",$I1322="",$G1322&lt;1300,$G1322&gt;1500,$H1322&lt;1,$H1322&gt;12,$I1322&lt;1,$I1322&gt;31),"نامعتبر",RIGHT("0000"&amp;$G1322,4)&amp;"/"&amp;RIGHT("00"&amp;$H1322,2)&amp;"/"&amp;RIGHT("00"&amp;$I1322,2)))</f>
        <v/>
      </c>
      <c r="K1322">
        <f>IF(OR($F1322="",$J1322="",$J1322="نامعتبر"),"",LEFT($J1322,4)&amp;MID($J1322,6,2)&amp;RIGHT($J1322,2)&amp;$N1322&amp;"|"&amp;"2"&amp;RIGHT("00000"&amp;1317,5))</f>
        <v/>
      </c>
      <c r="L1322">
        <f>IF($K1322="","",COUNTIFS(LdgSellerA,$F1322,LdgKeyA,"&lt;"&amp;$K1322)+COUNTIFS(LdgSellerB,$F1322,LdgKeyB,"&lt;"&amp;$K1322)+1)</f>
        <v/>
      </c>
      <c r="M1322">
        <f>IF($L1322="","",$F1322&amp;"|"&amp;RIGHT("000000"&amp;$L1322,6))</f>
        <v/>
      </c>
      <c r="N1322">
        <f>IF($F1322="","",IF(Sync!$AF1322="","0000",IF(AND(ISNUMBER(Sync!$AF1322),Sync!$AF1322&gt;=0,Sync!$AF1322&lt;1),RIGHT("00"&amp;HOUR(Sync!$AF1322),2)&amp;RIGHT("00"&amp;MINUTE(Sync!$AF1322),2),IFERROR(RIGHT("00"&amp;VALUE(LEFT(Sync!$AF1322,FIND(":",Sync!$AF1322)-1)),2)&amp;RIGHT("00"&amp;VALUE(MID(Sync!$AF1322,FIND(":",Sync!$AF1322)+1,2)),2),"0000"))))</f>
        <v/>
      </c>
    </row>
    <row r="1323">
      <c r="A1323">
        <f>IF(OR(Calc!$E1327="",Calc!$E1327="نامعتبر",Calc!$G1327=""),"",Calc!$G1327)</f>
        <v/>
      </c>
      <c r="B1323">
        <f>IF($A1323="","",LEFT(Calc!$E1327,4)&amp;MID(Calc!$E1327,6,2)&amp;RIGHT(Calc!$E1327,2)&amp;Calc!$Q1327&amp;"|"&amp;"1"&amp;RIGHT("00000"&amp;1318,5))</f>
        <v/>
      </c>
      <c r="C1323">
        <f>IF($B1323="","",COUNTIFS(LdgSellerA,$A1323,LdgKeyA,"&lt;"&amp;$B1323)+COUNTIFS(LdgSellerB,$A1323,LdgKeyB,"&lt;"&amp;$B1323)+1)</f>
        <v/>
      </c>
      <c r="D1323">
        <f>IF($C1323="","",$A1323&amp;"|"&amp;RIGHT("000000"&amp;$C1323,6))</f>
        <v/>
      </c>
      <c r="F1323">
        <f>IF(Sync!$AH1323="","",IF(LEFT(UPPER(TRIM(Sync!$AH1323)),2)="SL",UPPER(TRIM(Sync!$AH1323)),""))</f>
        <v/>
      </c>
      <c r="G1323">
        <f>IF($F1323="","",IF(Sync!$AE1323="","",IF(ISNUMBER(Sync!$AE1323),IF(AND(Sync!$AE1323&gt;=10000101,Sync!$AE1323&lt;=99991231),INT(Sync!$AE1323/10000),""),IFERROR(VALUE(TRIM(LEFT(Sync!$AE1323,FIND("/",Sync!$AE1323)-1))),""))))</f>
        <v/>
      </c>
      <c r="H1323">
        <f>IF(OR($F1323="",$G1323=""),"",IF(ISNUMBER(Sync!$AE1323),INT(MOD(Sync!$AE1323,10000)/100),IFERROR(VALUE(TRIM(LEFT(MID(Sync!$AE1323,FIND("/",Sync!$AE1323)+1,20),FIND("/",MID(Sync!$AE1323,FIND("/",Sync!$AE1323)+1,20))-1))),"")))</f>
        <v/>
      </c>
      <c r="I1323">
        <f>IF(OR($F1323="",$G1323=""),"",IF(ISNUMBER(Sync!$AE1323),MOD(Sync!$AE1323,100),IFERROR(VALUE(TRIM(MID(MID(Sync!$AE1323,FIND("/",Sync!$AE1323)+1,20),FIND("/",MID(Sync!$AE1323,FIND("/",Sync!$AE1323)+1,20))+1,20))),"")))</f>
        <v/>
      </c>
      <c r="J1323">
        <f>IF($F1323="","",IF(OR($G1323="",$H1323="",$I1323="",$G1323&lt;1300,$G1323&gt;1500,$H1323&lt;1,$H1323&gt;12,$I1323&lt;1,$I1323&gt;31),"نامعتبر",RIGHT("0000"&amp;$G1323,4)&amp;"/"&amp;RIGHT("00"&amp;$H1323,2)&amp;"/"&amp;RIGHT("00"&amp;$I1323,2)))</f>
        <v/>
      </c>
      <c r="K1323">
        <f>IF(OR($F1323="",$J1323="",$J1323="نامعتبر"),"",LEFT($J1323,4)&amp;MID($J1323,6,2)&amp;RIGHT($J1323,2)&amp;$N1323&amp;"|"&amp;"2"&amp;RIGHT("00000"&amp;1318,5))</f>
        <v/>
      </c>
      <c r="L1323">
        <f>IF($K1323="","",COUNTIFS(LdgSellerA,$F1323,LdgKeyA,"&lt;"&amp;$K1323)+COUNTIFS(LdgSellerB,$F1323,LdgKeyB,"&lt;"&amp;$K1323)+1)</f>
        <v/>
      </c>
      <c r="M1323">
        <f>IF($L1323="","",$F1323&amp;"|"&amp;RIGHT("000000"&amp;$L1323,6))</f>
        <v/>
      </c>
      <c r="N1323">
        <f>IF($F1323="","",IF(Sync!$AF1323="","0000",IF(AND(ISNUMBER(Sync!$AF1323),Sync!$AF1323&gt;=0,Sync!$AF1323&lt;1),RIGHT("00"&amp;HOUR(Sync!$AF1323),2)&amp;RIGHT("00"&amp;MINUTE(Sync!$AF1323),2),IFERROR(RIGHT("00"&amp;VALUE(LEFT(Sync!$AF1323,FIND(":",Sync!$AF1323)-1)),2)&amp;RIGHT("00"&amp;VALUE(MID(Sync!$AF1323,FIND(":",Sync!$AF1323)+1,2)),2),"0000"))))</f>
        <v/>
      </c>
    </row>
    <row r="1324">
      <c r="A1324">
        <f>IF(OR(Calc!$E1328="",Calc!$E1328="نامعتبر",Calc!$G1328=""),"",Calc!$G1328)</f>
        <v/>
      </c>
      <c r="B1324">
        <f>IF($A1324="","",LEFT(Calc!$E1328,4)&amp;MID(Calc!$E1328,6,2)&amp;RIGHT(Calc!$E1328,2)&amp;Calc!$Q1328&amp;"|"&amp;"1"&amp;RIGHT("00000"&amp;1319,5))</f>
        <v/>
      </c>
      <c r="C1324">
        <f>IF($B1324="","",COUNTIFS(LdgSellerA,$A1324,LdgKeyA,"&lt;"&amp;$B1324)+COUNTIFS(LdgSellerB,$A1324,LdgKeyB,"&lt;"&amp;$B1324)+1)</f>
        <v/>
      </c>
      <c r="D1324">
        <f>IF($C1324="","",$A1324&amp;"|"&amp;RIGHT("000000"&amp;$C1324,6))</f>
        <v/>
      </c>
      <c r="F1324">
        <f>IF(Sync!$AH1324="","",IF(LEFT(UPPER(TRIM(Sync!$AH1324)),2)="SL",UPPER(TRIM(Sync!$AH1324)),""))</f>
        <v/>
      </c>
      <c r="G1324">
        <f>IF($F1324="","",IF(Sync!$AE1324="","",IF(ISNUMBER(Sync!$AE1324),IF(AND(Sync!$AE1324&gt;=10000101,Sync!$AE1324&lt;=99991231),INT(Sync!$AE1324/10000),""),IFERROR(VALUE(TRIM(LEFT(Sync!$AE1324,FIND("/",Sync!$AE1324)-1))),""))))</f>
        <v/>
      </c>
      <c r="H1324">
        <f>IF(OR($F1324="",$G1324=""),"",IF(ISNUMBER(Sync!$AE1324),INT(MOD(Sync!$AE1324,10000)/100),IFERROR(VALUE(TRIM(LEFT(MID(Sync!$AE1324,FIND("/",Sync!$AE1324)+1,20),FIND("/",MID(Sync!$AE1324,FIND("/",Sync!$AE1324)+1,20))-1))),"")))</f>
        <v/>
      </c>
      <c r="I1324">
        <f>IF(OR($F1324="",$G1324=""),"",IF(ISNUMBER(Sync!$AE1324),MOD(Sync!$AE1324,100),IFERROR(VALUE(TRIM(MID(MID(Sync!$AE1324,FIND("/",Sync!$AE1324)+1,20),FIND("/",MID(Sync!$AE1324,FIND("/",Sync!$AE1324)+1,20))+1,20))),"")))</f>
        <v/>
      </c>
      <c r="J1324">
        <f>IF($F1324="","",IF(OR($G1324="",$H1324="",$I1324="",$G1324&lt;1300,$G1324&gt;1500,$H1324&lt;1,$H1324&gt;12,$I1324&lt;1,$I1324&gt;31),"نامعتبر",RIGHT("0000"&amp;$G1324,4)&amp;"/"&amp;RIGHT("00"&amp;$H1324,2)&amp;"/"&amp;RIGHT("00"&amp;$I1324,2)))</f>
        <v/>
      </c>
      <c r="K1324">
        <f>IF(OR($F1324="",$J1324="",$J1324="نامعتبر"),"",LEFT($J1324,4)&amp;MID($J1324,6,2)&amp;RIGHT($J1324,2)&amp;$N1324&amp;"|"&amp;"2"&amp;RIGHT("00000"&amp;1319,5))</f>
        <v/>
      </c>
      <c r="L1324">
        <f>IF($K1324="","",COUNTIFS(LdgSellerA,$F1324,LdgKeyA,"&lt;"&amp;$K1324)+COUNTIFS(LdgSellerB,$F1324,LdgKeyB,"&lt;"&amp;$K1324)+1)</f>
        <v/>
      </c>
      <c r="M1324">
        <f>IF($L1324="","",$F1324&amp;"|"&amp;RIGHT("000000"&amp;$L1324,6))</f>
        <v/>
      </c>
      <c r="N1324">
        <f>IF($F1324="","",IF(Sync!$AF1324="","0000",IF(AND(ISNUMBER(Sync!$AF1324),Sync!$AF1324&gt;=0,Sync!$AF1324&lt;1),RIGHT("00"&amp;HOUR(Sync!$AF1324),2)&amp;RIGHT("00"&amp;MINUTE(Sync!$AF1324),2),IFERROR(RIGHT("00"&amp;VALUE(LEFT(Sync!$AF1324,FIND(":",Sync!$AF1324)-1)),2)&amp;RIGHT("00"&amp;VALUE(MID(Sync!$AF1324,FIND(":",Sync!$AF1324)+1,2)),2),"0000"))))</f>
        <v/>
      </c>
    </row>
    <row r="1325">
      <c r="A1325">
        <f>IF(OR(Calc!$E1329="",Calc!$E1329="نامعتبر",Calc!$G1329=""),"",Calc!$G1329)</f>
        <v/>
      </c>
      <c r="B1325">
        <f>IF($A1325="","",LEFT(Calc!$E1329,4)&amp;MID(Calc!$E1329,6,2)&amp;RIGHT(Calc!$E1329,2)&amp;Calc!$Q1329&amp;"|"&amp;"1"&amp;RIGHT("00000"&amp;1320,5))</f>
        <v/>
      </c>
      <c r="C1325">
        <f>IF($B1325="","",COUNTIFS(LdgSellerA,$A1325,LdgKeyA,"&lt;"&amp;$B1325)+COUNTIFS(LdgSellerB,$A1325,LdgKeyB,"&lt;"&amp;$B1325)+1)</f>
        <v/>
      </c>
      <c r="D1325">
        <f>IF($C1325="","",$A1325&amp;"|"&amp;RIGHT("000000"&amp;$C1325,6))</f>
        <v/>
      </c>
      <c r="F1325">
        <f>IF(Sync!$AH1325="","",IF(LEFT(UPPER(TRIM(Sync!$AH1325)),2)="SL",UPPER(TRIM(Sync!$AH1325)),""))</f>
        <v/>
      </c>
      <c r="G1325">
        <f>IF($F1325="","",IF(Sync!$AE1325="","",IF(ISNUMBER(Sync!$AE1325),IF(AND(Sync!$AE1325&gt;=10000101,Sync!$AE1325&lt;=99991231),INT(Sync!$AE1325/10000),""),IFERROR(VALUE(TRIM(LEFT(Sync!$AE1325,FIND("/",Sync!$AE1325)-1))),""))))</f>
        <v/>
      </c>
      <c r="H1325">
        <f>IF(OR($F1325="",$G1325=""),"",IF(ISNUMBER(Sync!$AE1325),INT(MOD(Sync!$AE1325,10000)/100),IFERROR(VALUE(TRIM(LEFT(MID(Sync!$AE1325,FIND("/",Sync!$AE1325)+1,20),FIND("/",MID(Sync!$AE1325,FIND("/",Sync!$AE1325)+1,20))-1))),"")))</f>
        <v/>
      </c>
      <c r="I1325">
        <f>IF(OR($F1325="",$G1325=""),"",IF(ISNUMBER(Sync!$AE1325),MOD(Sync!$AE1325,100),IFERROR(VALUE(TRIM(MID(MID(Sync!$AE1325,FIND("/",Sync!$AE1325)+1,20),FIND("/",MID(Sync!$AE1325,FIND("/",Sync!$AE1325)+1,20))+1,20))),"")))</f>
        <v/>
      </c>
      <c r="J1325">
        <f>IF($F1325="","",IF(OR($G1325="",$H1325="",$I1325="",$G1325&lt;1300,$G1325&gt;1500,$H1325&lt;1,$H1325&gt;12,$I1325&lt;1,$I1325&gt;31),"نامعتبر",RIGHT("0000"&amp;$G1325,4)&amp;"/"&amp;RIGHT("00"&amp;$H1325,2)&amp;"/"&amp;RIGHT("00"&amp;$I1325,2)))</f>
        <v/>
      </c>
      <c r="K1325">
        <f>IF(OR($F1325="",$J1325="",$J1325="نامعتبر"),"",LEFT($J1325,4)&amp;MID($J1325,6,2)&amp;RIGHT($J1325,2)&amp;$N1325&amp;"|"&amp;"2"&amp;RIGHT("00000"&amp;1320,5))</f>
        <v/>
      </c>
      <c r="L1325">
        <f>IF($K1325="","",COUNTIFS(LdgSellerA,$F1325,LdgKeyA,"&lt;"&amp;$K1325)+COUNTIFS(LdgSellerB,$F1325,LdgKeyB,"&lt;"&amp;$K1325)+1)</f>
        <v/>
      </c>
      <c r="M1325">
        <f>IF($L1325="","",$F1325&amp;"|"&amp;RIGHT("000000"&amp;$L1325,6))</f>
        <v/>
      </c>
      <c r="N1325">
        <f>IF($F1325="","",IF(Sync!$AF1325="","0000",IF(AND(ISNUMBER(Sync!$AF1325),Sync!$AF1325&gt;=0,Sync!$AF1325&lt;1),RIGHT("00"&amp;HOUR(Sync!$AF1325),2)&amp;RIGHT("00"&amp;MINUTE(Sync!$AF1325),2),IFERROR(RIGHT("00"&amp;VALUE(LEFT(Sync!$AF1325,FIND(":",Sync!$AF1325)-1)),2)&amp;RIGHT("00"&amp;VALUE(MID(Sync!$AF1325,FIND(":",Sync!$AF1325)+1,2)),2),"0000"))))</f>
        <v/>
      </c>
    </row>
    <row r="1326">
      <c r="A1326">
        <f>IF(OR(Calc!$E1330="",Calc!$E1330="نامعتبر",Calc!$G1330=""),"",Calc!$G1330)</f>
        <v/>
      </c>
      <c r="B1326">
        <f>IF($A1326="","",LEFT(Calc!$E1330,4)&amp;MID(Calc!$E1330,6,2)&amp;RIGHT(Calc!$E1330,2)&amp;Calc!$Q1330&amp;"|"&amp;"1"&amp;RIGHT("00000"&amp;1321,5))</f>
        <v/>
      </c>
      <c r="C1326">
        <f>IF($B1326="","",COUNTIFS(LdgSellerA,$A1326,LdgKeyA,"&lt;"&amp;$B1326)+COUNTIFS(LdgSellerB,$A1326,LdgKeyB,"&lt;"&amp;$B1326)+1)</f>
        <v/>
      </c>
      <c r="D1326">
        <f>IF($C1326="","",$A1326&amp;"|"&amp;RIGHT("000000"&amp;$C1326,6))</f>
        <v/>
      </c>
      <c r="F1326">
        <f>IF(Sync!$AH1326="","",IF(LEFT(UPPER(TRIM(Sync!$AH1326)),2)="SL",UPPER(TRIM(Sync!$AH1326)),""))</f>
        <v/>
      </c>
      <c r="G1326">
        <f>IF($F1326="","",IF(Sync!$AE1326="","",IF(ISNUMBER(Sync!$AE1326),IF(AND(Sync!$AE1326&gt;=10000101,Sync!$AE1326&lt;=99991231),INT(Sync!$AE1326/10000),""),IFERROR(VALUE(TRIM(LEFT(Sync!$AE1326,FIND("/",Sync!$AE1326)-1))),""))))</f>
        <v/>
      </c>
      <c r="H1326">
        <f>IF(OR($F1326="",$G1326=""),"",IF(ISNUMBER(Sync!$AE1326),INT(MOD(Sync!$AE1326,10000)/100),IFERROR(VALUE(TRIM(LEFT(MID(Sync!$AE1326,FIND("/",Sync!$AE1326)+1,20),FIND("/",MID(Sync!$AE1326,FIND("/",Sync!$AE1326)+1,20))-1))),"")))</f>
        <v/>
      </c>
      <c r="I1326">
        <f>IF(OR($F1326="",$G1326=""),"",IF(ISNUMBER(Sync!$AE1326),MOD(Sync!$AE1326,100),IFERROR(VALUE(TRIM(MID(MID(Sync!$AE1326,FIND("/",Sync!$AE1326)+1,20),FIND("/",MID(Sync!$AE1326,FIND("/",Sync!$AE1326)+1,20))+1,20))),"")))</f>
        <v/>
      </c>
      <c r="J1326">
        <f>IF($F1326="","",IF(OR($G1326="",$H1326="",$I1326="",$G1326&lt;1300,$G1326&gt;1500,$H1326&lt;1,$H1326&gt;12,$I1326&lt;1,$I1326&gt;31),"نامعتبر",RIGHT("0000"&amp;$G1326,4)&amp;"/"&amp;RIGHT("00"&amp;$H1326,2)&amp;"/"&amp;RIGHT("00"&amp;$I1326,2)))</f>
        <v/>
      </c>
      <c r="K1326">
        <f>IF(OR($F1326="",$J1326="",$J1326="نامعتبر"),"",LEFT($J1326,4)&amp;MID($J1326,6,2)&amp;RIGHT($J1326,2)&amp;$N1326&amp;"|"&amp;"2"&amp;RIGHT("00000"&amp;1321,5))</f>
        <v/>
      </c>
      <c r="L1326">
        <f>IF($K1326="","",COUNTIFS(LdgSellerA,$F1326,LdgKeyA,"&lt;"&amp;$K1326)+COUNTIFS(LdgSellerB,$F1326,LdgKeyB,"&lt;"&amp;$K1326)+1)</f>
        <v/>
      </c>
      <c r="M1326">
        <f>IF($L1326="","",$F1326&amp;"|"&amp;RIGHT("000000"&amp;$L1326,6))</f>
        <v/>
      </c>
      <c r="N1326">
        <f>IF($F1326="","",IF(Sync!$AF1326="","0000",IF(AND(ISNUMBER(Sync!$AF1326),Sync!$AF1326&gt;=0,Sync!$AF1326&lt;1),RIGHT("00"&amp;HOUR(Sync!$AF1326),2)&amp;RIGHT("00"&amp;MINUTE(Sync!$AF1326),2),IFERROR(RIGHT("00"&amp;VALUE(LEFT(Sync!$AF1326,FIND(":",Sync!$AF1326)-1)),2)&amp;RIGHT("00"&amp;VALUE(MID(Sync!$AF1326,FIND(":",Sync!$AF1326)+1,2)),2),"0000"))))</f>
        <v/>
      </c>
    </row>
    <row r="1327">
      <c r="A1327">
        <f>IF(OR(Calc!$E1331="",Calc!$E1331="نامعتبر",Calc!$G1331=""),"",Calc!$G1331)</f>
        <v/>
      </c>
      <c r="B1327">
        <f>IF($A1327="","",LEFT(Calc!$E1331,4)&amp;MID(Calc!$E1331,6,2)&amp;RIGHT(Calc!$E1331,2)&amp;Calc!$Q1331&amp;"|"&amp;"1"&amp;RIGHT("00000"&amp;1322,5))</f>
        <v/>
      </c>
      <c r="C1327">
        <f>IF($B1327="","",COUNTIFS(LdgSellerA,$A1327,LdgKeyA,"&lt;"&amp;$B1327)+COUNTIFS(LdgSellerB,$A1327,LdgKeyB,"&lt;"&amp;$B1327)+1)</f>
        <v/>
      </c>
      <c r="D1327">
        <f>IF($C1327="","",$A1327&amp;"|"&amp;RIGHT("000000"&amp;$C1327,6))</f>
        <v/>
      </c>
      <c r="F1327">
        <f>IF(Sync!$AH1327="","",IF(LEFT(UPPER(TRIM(Sync!$AH1327)),2)="SL",UPPER(TRIM(Sync!$AH1327)),""))</f>
        <v/>
      </c>
      <c r="G1327">
        <f>IF($F1327="","",IF(Sync!$AE1327="","",IF(ISNUMBER(Sync!$AE1327),IF(AND(Sync!$AE1327&gt;=10000101,Sync!$AE1327&lt;=99991231),INT(Sync!$AE1327/10000),""),IFERROR(VALUE(TRIM(LEFT(Sync!$AE1327,FIND("/",Sync!$AE1327)-1))),""))))</f>
        <v/>
      </c>
      <c r="H1327">
        <f>IF(OR($F1327="",$G1327=""),"",IF(ISNUMBER(Sync!$AE1327),INT(MOD(Sync!$AE1327,10000)/100),IFERROR(VALUE(TRIM(LEFT(MID(Sync!$AE1327,FIND("/",Sync!$AE1327)+1,20),FIND("/",MID(Sync!$AE1327,FIND("/",Sync!$AE1327)+1,20))-1))),"")))</f>
        <v/>
      </c>
      <c r="I1327">
        <f>IF(OR($F1327="",$G1327=""),"",IF(ISNUMBER(Sync!$AE1327),MOD(Sync!$AE1327,100),IFERROR(VALUE(TRIM(MID(MID(Sync!$AE1327,FIND("/",Sync!$AE1327)+1,20),FIND("/",MID(Sync!$AE1327,FIND("/",Sync!$AE1327)+1,20))+1,20))),"")))</f>
        <v/>
      </c>
      <c r="J1327">
        <f>IF($F1327="","",IF(OR($G1327="",$H1327="",$I1327="",$G1327&lt;1300,$G1327&gt;1500,$H1327&lt;1,$H1327&gt;12,$I1327&lt;1,$I1327&gt;31),"نامعتبر",RIGHT("0000"&amp;$G1327,4)&amp;"/"&amp;RIGHT("00"&amp;$H1327,2)&amp;"/"&amp;RIGHT("00"&amp;$I1327,2)))</f>
        <v/>
      </c>
      <c r="K1327">
        <f>IF(OR($F1327="",$J1327="",$J1327="نامعتبر"),"",LEFT($J1327,4)&amp;MID($J1327,6,2)&amp;RIGHT($J1327,2)&amp;$N1327&amp;"|"&amp;"2"&amp;RIGHT("00000"&amp;1322,5))</f>
        <v/>
      </c>
      <c r="L1327">
        <f>IF($K1327="","",COUNTIFS(LdgSellerA,$F1327,LdgKeyA,"&lt;"&amp;$K1327)+COUNTIFS(LdgSellerB,$F1327,LdgKeyB,"&lt;"&amp;$K1327)+1)</f>
        <v/>
      </c>
      <c r="M1327">
        <f>IF($L1327="","",$F1327&amp;"|"&amp;RIGHT("000000"&amp;$L1327,6))</f>
        <v/>
      </c>
      <c r="N1327">
        <f>IF($F1327="","",IF(Sync!$AF1327="","0000",IF(AND(ISNUMBER(Sync!$AF1327),Sync!$AF1327&gt;=0,Sync!$AF1327&lt;1),RIGHT("00"&amp;HOUR(Sync!$AF1327),2)&amp;RIGHT("00"&amp;MINUTE(Sync!$AF1327),2),IFERROR(RIGHT("00"&amp;VALUE(LEFT(Sync!$AF1327,FIND(":",Sync!$AF1327)-1)),2)&amp;RIGHT("00"&amp;VALUE(MID(Sync!$AF1327,FIND(":",Sync!$AF1327)+1,2)),2),"0000"))))</f>
        <v/>
      </c>
    </row>
    <row r="1328">
      <c r="A1328">
        <f>IF(OR(Calc!$E1332="",Calc!$E1332="نامعتبر",Calc!$G1332=""),"",Calc!$G1332)</f>
        <v/>
      </c>
      <c r="B1328">
        <f>IF($A1328="","",LEFT(Calc!$E1332,4)&amp;MID(Calc!$E1332,6,2)&amp;RIGHT(Calc!$E1332,2)&amp;Calc!$Q1332&amp;"|"&amp;"1"&amp;RIGHT("00000"&amp;1323,5))</f>
        <v/>
      </c>
      <c r="C1328">
        <f>IF($B1328="","",COUNTIFS(LdgSellerA,$A1328,LdgKeyA,"&lt;"&amp;$B1328)+COUNTIFS(LdgSellerB,$A1328,LdgKeyB,"&lt;"&amp;$B1328)+1)</f>
        <v/>
      </c>
      <c r="D1328">
        <f>IF($C1328="","",$A1328&amp;"|"&amp;RIGHT("000000"&amp;$C1328,6))</f>
        <v/>
      </c>
      <c r="F1328">
        <f>IF(Sync!$AH1328="","",IF(LEFT(UPPER(TRIM(Sync!$AH1328)),2)="SL",UPPER(TRIM(Sync!$AH1328)),""))</f>
        <v/>
      </c>
      <c r="G1328">
        <f>IF($F1328="","",IF(Sync!$AE1328="","",IF(ISNUMBER(Sync!$AE1328),IF(AND(Sync!$AE1328&gt;=10000101,Sync!$AE1328&lt;=99991231),INT(Sync!$AE1328/10000),""),IFERROR(VALUE(TRIM(LEFT(Sync!$AE1328,FIND("/",Sync!$AE1328)-1))),""))))</f>
        <v/>
      </c>
      <c r="H1328">
        <f>IF(OR($F1328="",$G1328=""),"",IF(ISNUMBER(Sync!$AE1328),INT(MOD(Sync!$AE1328,10000)/100),IFERROR(VALUE(TRIM(LEFT(MID(Sync!$AE1328,FIND("/",Sync!$AE1328)+1,20),FIND("/",MID(Sync!$AE1328,FIND("/",Sync!$AE1328)+1,20))-1))),"")))</f>
        <v/>
      </c>
      <c r="I1328">
        <f>IF(OR($F1328="",$G1328=""),"",IF(ISNUMBER(Sync!$AE1328),MOD(Sync!$AE1328,100),IFERROR(VALUE(TRIM(MID(MID(Sync!$AE1328,FIND("/",Sync!$AE1328)+1,20),FIND("/",MID(Sync!$AE1328,FIND("/",Sync!$AE1328)+1,20))+1,20))),"")))</f>
        <v/>
      </c>
      <c r="J1328">
        <f>IF($F1328="","",IF(OR($G1328="",$H1328="",$I1328="",$G1328&lt;1300,$G1328&gt;1500,$H1328&lt;1,$H1328&gt;12,$I1328&lt;1,$I1328&gt;31),"نامعتبر",RIGHT("0000"&amp;$G1328,4)&amp;"/"&amp;RIGHT("00"&amp;$H1328,2)&amp;"/"&amp;RIGHT("00"&amp;$I1328,2)))</f>
        <v/>
      </c>
      <c r="K1328">
        <f>IF(OR($F1328="",$J1328="",$J1328="نامعتبر"),"",LEFT($J1328,4)&amp;MID($J1328,6,2)&amp;RIGHT($J1328,2)&amp;$N1328&amp;"|"&amp;"2"&amp;RIGHT("00000"&amp;1323,5))</f>
        <v/>
      </c>
      <c r="L1328">
        <f>IF($K1328="","",COUNTIFS(LdgSellerA,$F1328,LdgKeyA,"&lt;"&amp;$K1328)+COUNTIFS(LdgSellerB,$F1328,LdgKeyB,"&lt;"&amp;$K1328)+1)</f>
        <v/>
      </c>
      <c r="M1328">
        <f>IF($L1328="","",$F1328&amp;"|"&amp;RIGHT("000000"&amp;$L1328,6))</f>
        <v/>
      </c>
      <c r="N1328">
        <f>IF($F1328="","",IF(Sync!$AF1328="","0000",IF(AND(ISNUMBER(Sync!$AF1328),Sync!$AF1328&gt;=0,Sync!$AF1328&lt;1),RIGHT("00"&amp;HOUR(Sync!$AF1328),2)&amp;RIGHT("00"&amp;MINUTE(Sync!$AF1328),2),IFERROR(RIGHT("00"&amp;VALUE(LEFT(Sync!$AF1328,FIND(":",Sync!$AF1328)-1)),2)&amp;RIGHT("00"&amp;VALUE(MID(Sync!$AF1328,FIND(":",Sync!$AF1328)+1,2)),2),"0000"))))</f>
        <v/>
      </c>
    </row>
    <row r="1329">
      <c r="A1329">
        <f>IF(OR(Calc!$E1333="",Calc!$E1333="نامعتبر",Calc!$G1333=""),"",Calc!$G1333)</f>
        <v/>
      </c>
      <c r="B1329">
        <f>IF($A1329="","",LEFT(Calc!$E1333,4)&amp;MID(Calc!$E1333,6,2)&amp;RIGHT(Calc!$E1333,2)&amp;Calc!$Q1333&amp;"|"&amp;"1"&amp;RIGHT("00000"&amp;1324,5))</f>
        <v/>
      </c>
      <c r="C1329">
        <f>IF($B1329="","",COUNTIFS(LdgSellerA,$A1329,LdgKeyA,"&lt;"&amp;$B1329)+COUNTIFS(LdgSellerB,$A1329,LdgKeyB,"&lt;"&amp;$B1329)+1)</f>
        <v/>
      </c>
      <c r="D1329">
        <f>IF($C1329="","",$A1329&amp;"|"&amp;RIGHT("000000"&amp;$C1329,6))</f>
        <v/>
      </c>
      <c r="F1329">
        <f>IF(Sync!$AH1329="","",IF(LEFT(UPPER(TRIM(Sync!$AH1329)),2)="SL",UPPER(TRIM(Sync!$AH1329)),""))</f>
        <v/>
      </c>
      <c r="G1329">
        <f>IF($F1329="","",IF(Sync!$AE1329="","",IF(ISNUMBER(Sync!$AE1329),IF(AND(Sync!$AE1329&gt;=10000101,Sync!$AE1329&lt;=99991231),INT(Sync!$AE1329/10000),""),IFERROR(VALUE(TRIM(LEFT(Sync!$AE1329,FIND("/",Sync!$AE1329)-1))),""))))</f>
        <v/>
      </c>
      <c r="H1329">
        <f>IF(OR($F1329="",$G1329=""),"",IF(ISNUMBER(Sync!$AE1329),INT(MOD(Sync!$AE1329,10000)/100),IFERROR(VALUE(TRIM(LEFT(MID(Sync!$AE1329,FIND("/",Sync!$AE1329)+1,20),FIND("/",MID(Sync!$AE1329,FIND("/",Sync!$AE1329)+1,20))-1))),"")))</f>
        <v/>
      </c>
      <c r="I1329">
        <f>IF(OR($F1329="",$G1329=""),"",IF(ISNUMBER(Sync!$AE1329),MOD(Sync!$AE1329,100),IFERROR(VALUE(TRIM(MID(MID(Sync!$AE1329,FIND("/",Sync!$AE1329)+1,20),FIND("/",MID(Sync!$AE1329,FIND("/",Sync!$AE1329)+1,20))+1,20))),"")))</f>
        <v/>
      </c>
      <c r="J1329">
        <f>IF($F1329="","",IF(OR($G1329="",$H1329="",$I1329="",$G1329&lt;1300,$G1329&gt;1500,$H1329&lt;1,$H1329&gt;12,$I1329&lt;1,$I1329&gt;31),"نامعتبر",RIGHT("0000"&amp;$G1329,4)&amp;"/"&amp;RIGHT("00"&amp;$H1329,2)&amp;"/"&amp;RIGHT("00"&amp;$I1329,2)))</f>
        <v/>
      </c>
      <c r="K1329">
        <f>IF(OR($F1329="",$J1329="",$J1329="نامعتبر"),"",LEFT($J1329,4)&amp;MID($J1329,6,2)&amp;RIGHT($J1329,2)&amp;$N1329&amp;"|"&amp;"2"&amp;RIGHT("00000"&amp;1324,5))</f>
        <v/>
      </c>
      <c r="L1329">
        <f>IF($K1329="","",COUNTIFS(LdgSellerA,$F1329,LdgKeyA,"&lt;"&amp;$K1329)+COUNTIFS(LdgSellerB,$F1329,LdgKeyB,"&lt;"&amp;$K1329)+1)</f>
        <v/>
      </c>
      <c r="M1329">
        <f>IF($L1329="","",$F1329&amp;"|"&amp;RIGHT("000000"&amp;$L1329,6))</f>
        <v/>
      </c>
      <c r="N1329">
        <f>IF($F1329="","",IF(Sync!$AF1329="","0000",IF(AND(ISNUMBER(Sync!$AF1329),Sync!$AF1329&gt;=0,Sync!$AF1329&lt;1),RIGHT("00"&amp;HOUR(Sync!$AF1329),2)&amp;RIGHT("00"&amp;MINUTE(Sync!$AF1329),2),IFERROR(RIGHT("00"&amp;VALUE(LEFT(Sync!$AF1329,FIND(":",Sync!$AF1329)-1)),2)&amp;RIGHT("00"&amp;VALUE(MID(Sync!$AF1329,FIND(":",Sync!$AF1329)+1,2)),2),"0000"))))</f>
        <v/>
      </c>
    </row>
    <row r="1330">
      <c r="A1330">
        <f>IF(OR(Calc!$E1334="",Calc!$E1334="نامعتبر",Calc!$G1334=""),"",Calc!$G1334)</f>
        <v/>
      </c>
      <c r="B1330">
        <f>IF($A1330="","",LEFT(Calc!$E1334,4)&amp;MID(Calc!$E1334,6,2)&amp;RIGHT(Calc!$E1334,2)&amp;Calc!$Q1334&amp;"|"&amp;"1"&amp;RIGHT("00000"&amp;1325,5))</f>
        <v/>
      </c>
      <c r="C1330">
        <f>IF($B1330="","",COUNTIFS(LdgSellerA,$A1330,LdgKeyA,"&lt;"&amp;$B1330)+COUNTIFS(LdgSellerB,$A1330,LdgKeyB,"&lt;"&amp;$B1330)+1)</f>
        <v/>
      </c>
      <c r="D1330">
        <f>IF($C1330="","",$A1330&amp;"|"&amp;RIGHT("000000"&amp;$C1330,6))</f>
        <v/>
      </c>
      <c r="F1330">
        <f>IF(Sync!$AH1330="","",IF(LEFT(UPPER(TRIM(Sync!$AH1330)),2)="SL",UPPER(TRIM(Sync!$AH1330)),""))</f>
        <v/>
      </c>
      <c r="G1330">
        <f>IF($F1330="","",IF(Sync!$AE1330="","",IF(ISNUMBER(Sync!$AE1330),IF(AND(Sync!$AE1330&gt;=10000101,Sync!$AE1330&lt;=99991231),INT(Sync!$AE1330/10000),""),IFERROR(VALUE(TRIM(LEFT(Sync!$AE1330,FIND("/",Sync!$AE1330)-1))),""))))</f>
        <v/>
      </c>
      <c r="H1330">
        <f>IF(OR($F1330="",$G1330=""),"",IF(ISNUMBER(Sync!$AE1330),INT(MOD(Sync!$AE1330,10000)/100),IFERROR(VALUE(TRIM(LEFT(MID(Sync!$AE1330,FIND("/",Sync!$AE1330)+1,20),FIND("/",MID(Sync!$AE1330,FIND("/",Sync!$AE1330)+1,20))-1))),"")))</f>
        <v/>
      </c>
      <c r="I1330">
        <f>IF(OR($F1330="",$G1330=""),"",IF(ISNUMBER(Sync!$AE1330),MOD(Sync!$AE1330,100),IFERROR(VALUE(TRIM(MID(MID(Sync!$AE1330,FIND("/",Sync!$AE1330)+1,20),FIND("/",MID(Sync!$AE1330,FIND("/",Sync!$AE1330)+1,20))+1,20))),"")))</f>
        <v/>
      </c>
      <c r="J1330">
        <f>IF($F1330="","",IF(OR($G1330="",$H1330="",$I1330="",$G1330&lt;1300,$G1330&gt;1500,$H1330&lt;1,$H1330&gt;12,$I1330&lt;1,$I1330&gt;31),"نامعتبر",RIGHT("0000"&amp;$G1330,4)&amp;"/"&amp;RIGHT("00"&amp;$H1330,2)&amp;"/"&amp;RIGHT("00"&amp;$I1330,2)))</f>
        <v/>
      </c>
      <c r="K1330">
        <f>IF(OR($F1330="",$J1330="",$J1330="نامعتبر"),"",LEFT($J1330,4)&amp;MID($J1330,6,2)&amp;RIGHT($J1330,2)&amp;$N1330&amp;"|"&amp;"2"&amp;RIGHT("00000"&amp;1325,5))</f>
        <v/>
      </c>
      <c r="L1330">
        <f>IF($K1330="","",COUNTIFS(LdgSellerA,$F1330,LdgKeyA,"&lt;"&amp;$K1330)+COUNTIFS(LdgSellerB,$F1330,LdgKeyB,"&lt;"&amp;$K1330)+1)</f>
        <v/>
      </c>
      <c r="M1330">
        <f>IF($L1330="","",$F1330&amp;"|"&amp;RIGHT("000000"&amp;$L1330,6))</f>
        <v/>
      </c>
      <c r="N1330">
        <f>IF($F1330="","",IF(Sync!$AF1330="","0000",IF(AND(ISNUMBER(Sync!$AF1330),Sync!$AF1330&gt;=0,Sync!$AF1330&lt;1),RIGHT("00"&amp;HOUR(Sync!$AF1330),2)&amp;RIGHT("00"&amp;MINUTE(Sync!$AF1330),2),IFERROR(RIGHT("00"&amp;VALUE(LEFT(Sync!$AF1330,FIND(":",Sync!$AF1330)-1)),2)&amp;RIGHT("00"&amp;VALUE(MID(Sync!$AF1330,FIND(":",Sync!$AF1330)+1,2)),2),"0000"))))</f>
        <v/>
      </c>
    </row>
    <row r="1331">
      <c r="A1331">
        <f>IF(OR(Calc!$E1335="",Calc!$E1335="نامعتبر",Calc!$G1335=""),"",Calc!$G1335)</f>
        <v/>
      </c>
      <c r="B1331">
        <f>IF($A1331="","",LEFT(Calc!$E1335,4)&amp;MID(Calc!$E1335,6,2)&amp;RIGHT(Calc!$E1335,2)&amp;Calc!$Q1335&amp;"|"&amp;"1"&amp;RIGHT("00000"&amp;1326,5))</f>
        <v/>
      </c>
      <c r="C1331">
        <f>IF($B1331="","",COUNTIFS(LdgSellerA,$A1331,LdgKeyA,"&lt;"&amp;$B1331)+COUNTIFS(LdgSellerB,$A1331,LdgKeyB,"&lt;"&amp;$B1331)+1)</f>
        <v/>
      </c>
      <c r="D1331">
        <f>IF($C1331="","",$A1331&amp;"|"&amp;RIGHT("000000"&amp;$C1331,6))</f>
        <v/>
      </c>
      <c r="F1331">
        <f>IF(Sync!$AH1331="","",IF(LEFT(UPPER(TRIM(Sync!$AH1331)),2)="SL",UPPER(TRIM(Sync!$AH1331)),""))</f>
        <v/>
      </c>
      <c r="G1331">
        <f>IF($F1331="","",IF(Sync!$AE1331="","",IF(ISNUMBER(Sync!$AE1331),IF(AND(Sync!$AE1331&gt;=10000101,Sync!$AE1331&lt;=99991231),INT(Sync!$AE1331/10000),""),IFERROR(VALUE(TRIM(LEFT(Sync!$AE1331,FIND("/",Sync!$AE1331)-1))),""))))</f>
        <v/>
      </c>
      <c r="H1331">
        <f>IF(OR($F1331="",$G1331=""),"",IF(ISNUMBER(Sync!$AE1331),INT(MOD(Sync!$AE1331,10000)/100),IFERROR(VALUE(TRIM(LEFT(MID(Sync!$AE1331,FIND("/",Sync!$AE1331)+1,20),FIND("/",MID(Sync!$AE1331,FIND("/",Sync!$AE1331)+1,20))-1))),"")))</f>
        <v/>
      </c>
      <c r="I1331">
        <f>IF(OR($F1331="",$G1331=""),"",IF(ISNUMBER(Sync!$AE1331),MOD(Sync!$AE1331,100),IFERROR(VALUE(TRIM(MID(MID(Sync!$AE1331,FIND("/",Sync!$AE1331)+1,20),FIND("/",MID(Sync!$AE1331,FIND("/",Sync!$AE1331)+1,20))+1,20))),"")))</f>
        <v/>
      </c>
      <c r="J1331">
        <f>IF($F1331="","",IF(OR($G1331="",$H1331="",$I1331="",$G1331&lt;1300,$G1331&gt;1500,$H1331&lt;1,$H1331&gt;12,$I1331&lt;1,$I1331&gt;31),"نامعتبر",RIGHT("0000"&amp;$G1331,4)&amp;"/"&amp;RIGHT("00"&amp;$H1331,2)&amp;"/"&amp;RIGHT("00"&amp;$I1331,2)))</f>
        <v/>
      </c>
      <c r="K1331">
        <f>IF(OR($F1331="",$J1331="",$J1331="نامعتبر"),"",LEFT($J1331,4)&amp;MID($J1331,6,2)&amp;RIGHT($J1331,2)&amp;$N1331&amp;"|"&amp;"2"&amp;RIGHT("00000"&amp;1326,5))</f>
        <v/>
      </c>
      <c r="L1331">
        <f>IF($K1331="","",COUNTIFS(LdgSellerA,$F1331,LdgKeyA,"&lt;"&amp;$K1331)+COUNTIFS(LdgSellerB,$F1331,LdgKeyB,"&lt;"&amp;$K1331)+1)</f>
        <v/>
      </c>
      <c r="M1331">
        <f>IF($L1331="","",$F1331&amp;"|"&amp;RIGHT("000000"&amp;$L1331,6))</f>
        <v/>
      </c>
      <c r="N1331">
        <f>IF($F1331="","",IF(Sync!$AF1331="","0000",IF(AND(ISNUMBER(Sync!$AF1331),Sync!$AF1331&gt;=0,Sync!$AF1331&lt;1),RIGHT("00"&amp;HOUR(Sync!$AF1331),2)&amp;RIGHT("00"&amp;MINUTE(Sync!$AF1331),2),IFERROR(RIGHT("00"&amp;VALUE(LEFT(Sync!$AF1331,FIND(":",Sync!$AF1331)-1)),2)&amp;RIGHT("00"&amp;VALUE(MID(Sync!$AF1331,FIND(":",Sync!$AF1331)+1,2)),2),"0000"))))</f>
        <v/>
      </c>
    </row>
    <row r="1332">
      <c r="A1332">
        <f>IF(OR(Calc!$E1336="",Calc!$E1336="نامعتبر",Calc!$G1336=""),"",Calc!$G1336)</f>
        <v/>
      </c>
      <c r="B1332">
        <f>IF($A1332="","",LEFT(Calc!$E1336,4)&amp;MID(Calc!$E1336,6,2)&amp;RIGHT(Calc!$E1336,2)&amp;Calc!$Q1336&amp;"|"&amp;"1"&amp;RIGHT("00000"&amp;1327,5))</f>
        <v/>
      </c>
      <c r="C1332">
        <f>IF($B1332="","",COUNTIFS(LdgSellerA,$A1332,LdgKeyA,"&lt;"&amp;$B1332)+COUNTIFS(LdgSellerB,$A1332,LdgKeyB,"&lt;"&amp;$B1332)+1)</f>
        <v/>
      </c>
      <c r="D1332">
        <f>IF($C1332="","",$A1332&amp;"|"&amp;RIGHT("000000"&amp;$C1332,6))</f>
        <v/>
      </c>
      <c r="F1332">
        <f>IF(Sync!$AH1332="","",IF(LEFT(UPPER(TRIM(Sync!$AH1332)),2)="SL",UPPER(TRIM(Sync!$AH1332)),""))</f>
        <v/>
      </c>
      <c r="G1332">
        <f>IF($F1332="","",IF(Sync!$AE1332="","",IF(ISNUMBER(Sync!$AE1332),IF(AND(Sync!$AE1332&gt;=10000101,Sync!$AE1332&lt;=99991231),INT(Sync!$AE1332/10000),""),IFERROR(VALUE(TRIM(LEFT(Sync!$AE1332,FIND("/",Sync!$AE1332)-1))),""))))</f>
        <v/>
      </c>
      <c r="H1332">
        <f>IF(OR($F1332="",$G1332=""),"",IF(ISNUMBER(Sync!$AE1332),INT(MOD(Sync!$AE1332,10000)/100),IFERROR(VALUE(TRIM(LEFT(MID(Sync!$AE1332,FIND("/",Sync!$AE1332)+1,20),FIND("/",MID(Sync!$AE1332,FIND("/",Sync!$AE1332)+1,20))-1))),"")))</f>
        <v/>
      </c>
      <c r="I1332">
        <f>IF(OR($F1332="",$G1332=""),"",IF(ISNUMBER(Sync!$AE1332),MOD(Sync!$AE1332,100),IFERROR(VALUE(TRIM(MID(MID(Sync!$AE1332,FIND("/",Sync!$AE1332)+1,20),FIND("/",MID(Sync!$AE1332,FIND("/",Sync!$AE1332)+1,20))+1,20))),"")))</f>
        <v/>
      </c>
      <c r="J1332">
        <f>IF($F1332="","",IF(OR($G1332="",$H1332="",$I1332="",$G1332&lt;1300,$G1332&gt;1500,$H1332&lt;1,$H1332&gt;12,$I1332&lt;1,$I1332&gt;31),"نامعتبر",RIGHT("0000"&amp;$G1332,4)&amp;"/"&amp;RIGHT("00"&amp;$H1332,2)&amp;"/"&amp;RIGHT("00"&amp;$I1332,2)))</f>
        <v/>
      </c>
      <c r="K1332">
        <f>IF(OR($F1332="",$J1332="",$J1332="نامعتبر"),"",LEFT($J1332,4)&amp;MID($J1332,6,2)&amp;RIGHT($J1332,2)&amp;$N1332&amp;"|"&amp;"2"&amp;RIGHT("00000"&amp;1327,5))</f>
        <v/>
      </c>
      <c r="L1332">
        <f>IF($K1332="","",COUNTIFS(LdgSellerA,$F1332,LdgKeyA,"&lt;"&amp;$K1332)+COUNTIFS(LdgSellerB,$F1332,LdgKeyB,"&lt;"&amp;$K1332)+1)</f>
        <v/>
      </c>
      <c r="M1332">
        <f>IF($L1332="","",$F1332&amp;"|"&amp;RIGHT("000000"&amp;$L1332,6))</f>
        <v/>
      </c>
      <c r="N1332">
        <f>IF($F1332="","",IF(Sync!$AF1332="","0000",IF(AND(ISNUMBER(Sync!$AF1332),Sync!$AF1332&gt;=0,Sync!$AF1332&lt;1),RIGHT("00"&amp;HOUR(Sync!$AF1332),2)&amp;RIGHT("00"&amp;MINUTE(Sync!$AF1332),2),IFERROR(RIGHT("00"&amp;VALUE(LEFT(Sync!$AF1332,FIND(":",Sync!$AF1332)-1)),2)&amp;RIGHT("00"&amp;VALUE(MID(Sync!$AF1332,FIND(":",Sync!$AF1332)+1,2)),2),"0000"))))</f>
        <v/>
      </c>
    </row>
    <row r="1333">
      <c r="A1333">
        <f>IF(OR(Calc!$E1337="",Calc!$E1337="نامعتبر",Calc!$G1337=""),"",Calc!$G1337)</f>
        <v/>
      </c>
      <c r="B1333">
        <f>IF($A1333="","",LEFT(Calc!$E1337,4)&amp;MID(Calc!$E1337,6,2)&amp;RIGHT(Calc!$E1337,2)&amp;Calc!$Q1337&amp;"|"&amp;"1"&amp;RIGHT("00000"&amp;1328,5))</f>
        <v/>
      </c>
      <c r="C1333">
        <f>IF($B1333="","",COUNTIFS(LdgSellerA,$A1333,LdgKeyA,"&lt;"&amp;$B1333)+COUNTIFS(LdgSellerB,$A1333,LdgKeyB,"&lt;"&amp;$B1333)+1)</f>
        <v/>
      </c>
      <c r="D1333">
        <f>IF($C1333="","",$A1333&amp;"|"&amp;RIGHT("000000"&amp;$C1333,6))</f>
        <v/>
      </c>
      <c r="F1333">
        <f>IF(Sync!$AH1333="","",IF(LEFT(UPPER(TRIM(Sync!$AH1333)),2)="SL",UPPER(TRIM(Sync!$AH1333)),""))</f>
        <v/>
      </c>
      <c r="G1333">
        <f>IF($F1333="","",IF(Sync!$AE1333="","",IF(ISNUMBER(Sync!$AE1333),IF(AND(Sync!$AE1333&gt;=10000101,Sync!$AE1333&lt;=99991231),INT(Sync!$AE1333/10000),""),IFERROR(VALUE(TRIM(LEFT(Sync!$AE1333,FIND("/",Sync!$AE1333)-1))),""))))</f>
        <v/>
      </c>
      <c r="H1333">
        <f>IF(OR($F1333="",$G1333=""),"",IF(ISNUMBER(Sync!$AE1333),INT(MOD(Sync!$AE1333,10000)/100),IFERROR(VALUE(TRIM(LEFT(MID(Sync!$AE1333,FIND("/",Sync!$AE1333)+1,20),FIND("/",MID(Sync!$AE1333,FIND("/",Sync!$AE1333)+1,20))-1))),"")))</f>
        <v/>
      </c>
      <c r="I1333">
        <f>IF(OR($F1333="",$G1333=""),"",IF(ISNUMBER(Sync!$AE1333),MOD(Sync!$AE1333,100),IFERROR(VALUE(TRIM(MID(MID(Sync!$AE1333,FIND("/",Sync!$AE1333)+1,20),FIND("/",MID(Sync!$AE1333,FIND("/",Sync!$AE1333)+1,20))+1,20))),"")))</f>
        <v/>
      </c>
      <c r="J1333">
        <f>IF($F1333="","",IF(OR($G1333="",$H1333="",$I1333="",$G1333&lt;1300,$G1333&gt;1500,$H1333&lt;1,$H1333&gt;12,$I1333&lt;1,$I1333&gt;31),"نامعتبر",RIGHT("0000"&amp;$G1333,4)&amp;"/"&amp;RIGHT("00"&amp;$H1333,2)&amp;"/"&amp;RIGHT("00"&amp;$I1333,2)))</f>
        <v/>
      </c>
      <c r="K1333">
        <f>IF(OR($F1333="",$J1333="",$J1333="نامعتبر"),"",LEFT($J1333,4)&amp;MID($J1333,6,2)&amp;RIGHT($J1333,2)&amp;$N1333&amp;"|"&amp;"2"&amp;RIGHT("00000"&amp;1328,5))</f>
        <v/>
      </c>
      <c r="L1333">
        <f>IF($K1333="","",COUNTIFS(LdgSellerA,$F1333,LdgKeyA,"&lt;"&amp;$K1333)+COUNTIFS(LdgSellerB,$F1333,LdgKeyB,"&lt;"&amp;$K1333)+1)</f>
        <v/>
      </c>
      <c r="M1333">
        <f>IF($L1333="","",$F1333&amp;"|"&amp;RIGHT("000000"&amp;$L1333,6))</f>
        <v/>
      </c>
      <c r="N1333">
        <f>IF($F1333="","",IF(Sync!$AF1333="","0000",IF(AND(ISNUMBER(Sync!$AF1333),Sync!$AF1333&gt;=0,Sync!$AF1333&lt;1),RIGHT("00"&amp;HOUR(Sync!$AF1333),2)&amp;RIGHT("00"&amp;MINUTE(Sync!$AF1333),2),IFERROR(RIGHT("00"&amp;VALUE(LEFT(Sync!$AF1333,FIND(":",Sync!$AF1333)-1)),2)&amp;RIGHT("00"&amp;VALUE(MID(Sync!$AF1333,FIND(":",Sync!$AF1333)+1,2)),2),"0000"))))</f>
        <v/>
      </c>
    </row>
    <row r="1334">
      <c r="A1334">
        <f>IF(OR(Calc!$E1338="",Calc!$E1338="نامعتبر",Calc!$G1338=""),"",Calc!$G1338)</f>
        <v/>
      </c>
      <c r="B1334">
        <f>IF($A1334="","",LEFT(Calc!$E1338,4)&amp;MID(Calc!$E1338,6,2)&amp;RIGHT(Calc!$E1338,2)&amp;Calc!$Q1338&amp;"|"&amp;"1"&amp;RIGHT("00000"&amp;1329,5))</f>
        <v/>
      </c>
      <c r="C1334">
        <f>IF($B1334="","",COUNTIFS(LdgSellerA,$A1334,LdgKeyA,"&lt;"&amp;$B1334)+COUNTIFS(LdgSellerB,$A1334,LdgKeyB,"&lt;"&amp;$B1334)+1)</f>
        <v/>
      </c>
      <c r="D1334">
        <f>IF($C1334="","",$A1334&amp;"|"&amp;RIGHT("000000"&amp;$C1334,6))</f>
        <v/>
      </c>
      <c r="F1334">
        <f>IF(Sync!$AH1334="","",IF(LEFT(UPPER(TRIM(Sync!$AH1334)),2)="SL",UPPER(TRIM(Sync!$AH1334)),""))</f>
        <v/>
      </c>
      <c r="G1334">
        <f>IF($F1334="","",IF(Sync!$AE1334="","",IF(ISNUMBER(Sync!$AE1334),IF(AND(Sync!$AE1334&gt;=10000101,Sync!$AE1334&lt;=99991231),INT(Sync!$AE1334/10000),""),IFERROR(VALUE(TRIM(LEFT(Sync!$AE1334,FIND("/",Sync!$AE1334)-1))),""))))</f>
        <v/>
      </c>
      <c r="H1334">
        <f>IF(OR($F1334="",$G1334=""),"",IF(ISNUMBER(Sync!$AE1334),INT(MOD(Sync!$AE1334,10000)/100),IFERROR(VALUE(TRIM(LEFT(MID(Sync!$AE1334,FIND("/",Sync!$AE1334)+1,20),FIND("/",MID(Sync!$AE1334,FIND("/",Sync!$AE1334)+1,20))-1))),"")))</f>
        <v/>
      </c>
      <c r="I1334">
        <f>IF(OR($F1334="",$G1334=""),"",IF(ISNUMBER(Sync!$AE1334),MOD(Sync!$AE1334,100),IFERROR(VALUE(TRIM(MID(MID(Sync!$AE1334,FIND("/",Sync!$AE1334)+1,20),FIND("/",MID(Sync!$AE1334,FIND("/",Sync!$AE1334)+1,20))+1,20))),"")))</f>
        <v/>
      </c>
      <c r="J1334">
        <f>IF($F1334="","",IF(OR($G1334="",$H1334="",$I1334="",$G1334&lt;1300,$G1334&gt;1500,$H1334&lt;1,$H1334&gt;12,$I1334&lt;1,$I1334&gt;31),"نامعتبر",RIGHT("0000"&amp;$G1334,4)&amp;"/"&amp;RIGHT("00"&amp;$H1334,2)&amp;"/"&amp;RIGHT("00"&amp;$I1334,2)))</f>
        <v/>
      </c>
      <c r="K1334">
        <f>IF(OR($F1334="",$J1334="",$J1334="نامعتبر"),"",LEFT($J1334,4)&amp;MID($J1334,6,2)&amp;RIGHT($J1334,2)&amp;$N1334&amp;"|"&amp;"2"&amp;RIGHT("00000"&amp;1329,5))</f>
        <v/>
      </c>
      <c r="L1334">
        <f>IF($K1334="","",COUNTIFS(LdgSellerA,$F1334,LdgKeyA,"&lt;"&amp;$K1334)+COUNTIFS(LdgSellerB,$F1334,LdgKeyB,"&lt;"&amp;$K1334)+1)</f>
        <v/>
      </c>
      <c r="M1334">
        <f>IF($L1334="","",$F1334&amp;"|"&amp;RIGHT("000000"&amp;$L1334,6))</f>
        <v/>
      </c>
      <c r="N1334">
        <f>IF($F1334="","",IF(Sync!$AF1334="","0000",IF(AND(ISNUMBER(Sync!$AF1334),Sync!$AF1334&gt;=0,Sync!$AF1334&lt;1),RIGHT("00"&amp;HOUR(Sync!$AF1334),2)&amp;RIGHT("00"&amp;MINUTE(Sync!$AF1334),2),IFERROR(RIGHT("00"&amp;VALUE(LEFT(Sync!$AF1334,FIND(":",Sync!$AF1334)-1)),2)&amp;RIGHT("00"&amp;VALUE(MID(Sync!$AF1334,FIND(":",Sync!$AF1334)+1,2)),2),"0000"))))</f>
        <v/>
      </c>
    </row>
    <row r="1335">
      <c r="A1335">
        <f>IF(OR(Calc!$E1339="",Calc!$E1339="نامعتبر",Calc!$G1339=""),"",Calc!$G1339)</f>
        <v/>
      </c>
      <c r="B1335">
        <f>IF($A1335="","",LEFT(Calc!$E1339,4)&amp;MID(Calc!$E1339,6,2)&amp;RIGHT(Calc!$E1339,2)&amp;Calc!$Q1339&amp;"|"&amp;"1"&amp;RIGHT("00000"&amp;1330,5))</f>
        <v/>
      </c>
      <c r="C1335">
        <f>IF($B1335="","",COUNTIFS(LdgSellerA,$A1335,LdgKeyA,"&lt;"&amp;$B1335)+COUNTIFS(LdgSellerB,$A1335,LdgKeyB,"&lt;"&amp;$B1335)+1)</f>
        <v/>
      </c>
      <c r="D1335">
        <f>IF($C1335="","",$A1335&amp;"|"&amp;RIGHT("000000"&amp;$C1335,6))</f>
        <v/>
      </c>
      <c r="F1335">
        <f>IF(Sync!$AH1335="","",IF(LEFT(UPPER(TRIM(Sync!$AH1335)),2)="SL",UPPER(TRIM(Sync!$AH1335)),""))</f>
        <v/>
      </c>
      <c r="G1335">
        <f>IF($F1335="","",IF(Sync!$AE1335="","",IF(ISNUMBER(Sync!$AE1335),IF(AND(Sync!$AE1335&gt;=10000101,Sync!$AE1335&lt;=99991231),INT(Sync!$AE1335/10000),""),IFERROR(VALUE(TRIM(LEFT(Sync!$AE1335,FIND("/",Sync!$AE1335)-1))),""))))</f>
        <v/>
      </c>
      <c r="H1335">
        <f>IF(OR($F1335="",$G1335=""),"",IF(ISNUMBER(Sync!$AE1335),INT(MOD(Sync!$AE1335,10000)/100),IFERROR(VALUE(TRIM(LEFT(MID(Sync!$AE1335,FIND("/",Sync!$AE1335)+1,20),FIND("/",MID(Sync!$AE1335,FIND("/",Sync!$AE1335)+1,20))-1))),"")))</f>
        <v/>
      </c>
      <c r="I1335">
        <f>IF(OR($F1335="",$G1335=""),"",IF(ISNUMBER(Sync!$AE1335),MOD(Sync!$AE1335,100),IFERROR(VALUE(TRIM(MID(MID(Sync!$AE1335,FIND("/",Sync!$AE1335)+1,20),FIND("/",MID(Sync!$AE1335,FIND("/",Sync!$AE1335)+1,20))+1,20))),"")))</f>
        <v/>
      </c>
      <c r="J1335">
        <f>IF($F1335="","",IF(OR($G1335="",$H1335="",$I1335="",$G1335&lt;1300,$G1335&gt;1500,$H1335&lt;1,$H1335&gt;12,$I1335&lt;1,$I1335&gt;31),"نامعتبر",RIGHT("0000"&amp;$G1335,4)&amp;"/"&amp;RIGHT("00"&amp;$H1335,2)&amp;"/"&amp;RIGHT("00"&amp;$I1335,2)))</f>
        <v/>
      </c>
      <c r="K1335">
        <f>IF(OR($F1335="",$J1335="",$J1335="نامعتبر"),"",LEFT($J1335,4)&amp;MID($J1335,6,2)&amp;RIGHT($J1335,2)&amp;$N1335&amp;"|"&amp;"2"&amp;RIGHT("00000"&amp;1330,5))</f>
        <v/>
      </c>
      <c r="L1335">
        <f>IF($K1335="","",COUNTIFS(LdgSellerA,$F1335,LdgKeyA,"&lt;"&amp;$K1335)+COUNTIFS(LdgSellerB,$F1335,LdgKeyB,"&lt;"&amp;$K1335)+1)</f>
        <v/>
      </c>
      <c r="M1335">
        <f>IF($L1335="","",$F1335&amp;"|"&amp;RIGHT("000000"&amp;$L1335,6))</f>
        <v/>
      </c>
      <c r="N1335">
        <f>IF($F1335="","",IF(Sync!$AF1335="","0000",IF(AND(ISNUMBER(Sync!$AF1335),Sync!$AF1335&gt;=0,Sync!$AF1335&lt;1),RIGHT("00"&amp;HOUR(Sync!$AF1335),2)&amp;RIGHT("00"&amp;MINUTE(Sync!$AF1335),2),IFERROR(RIGHT("00"&amp;VALUE(LEFT(Sync!$AF1335,FIND(":",Sync!$AF1335)-1)),2)&amp;RIGHT("00"&amp;VALUE(MID(Sync!$AF1335,FIND(":",Sync!$AF1335)+1,2)),2),"0000"))))</f>
        <v/>
      </c>
    </row>
    <row r="1336">
      <c r="A1336">
        <f>IF(OR(Calc!$E1340="",Calc!$E1340="نامعتبر",Calc!$G1340=""),"",Calc!$G1340)</f>
        <v/>
      </c>
      <c r="B1336">
        <f>IF($A1336="","",LEFT(Calc!$E1340,4)&amp;MID(Calc!$E1340,6,2)&amp;RIGHT(Calc!$E1340,2)&amp;Calc!$Q1340&amp;"|"&amp;"1"&amp;RIGHT("00000"&amp;1331,5))</f>
        <v/>
      </c>
      <c r="C1336">
        <f>IF($B1336="","",COUNTIFS(LdgSellerA,$A1336,LdgKeyA,"&lt;"&amp;$B1336)+COUNTIFS(LdgSellerB,$A1336,LdgKeyB,"&lt;"&amp;$B1336)+1)</f>
        <v/>
      </c>
      <c r="D1336">
        <f>IF($C1336="","",$A1336&amp;"|"&amp;RIGHT("000000"&amp;$C1336,6))</f>
        <v/>
      </c>
      <c r="F1336">
        <f>IF(Sync!$AH1336="","",IF(LEFT(UPPER(TRIM(Sync!$AH1336)),2)="SL",UPPER(TRIM(Sync!$AH1336)),""))</f>
        <v/>
      </c>
      <c r="G1336">
        <f>IF($F1336="","",IF(Sync!$AE1336="","",IF(ISNUMBER(Sync!$AE1336),IF(AND(Sync!$AE1336&gt;=10000101,Sync!$AE1336&lt;=99991231),INT(Sync!$AE1336/10000),""),IFERROR(VALUE(TRIM(LEFT(Sync!$AE1336,FIND("/",Sync!$AE1336)-1))),""))))</f>
        <v/>
      </c>
      <c r="H1336">
        <f>IF(OR($F1336="",$G1336=""),"",IF(ISNUMBER(Sync!$AE1336),INT(MOD(Sync!$AE1336,10000)/100),IFERROR(VALUE(TRIM(LEFT(MID(Sync!$AE1336,FIND("/",Sync!$AE1336)+1,20),FIND("/",MID(Sync!$AE1336,FIND("/",Sync!$AE1336)+1,20))-1))),"")))</f>
        <v/>
      </c>
      <c r="I1336">
        <f>IF(OR($F1336="",$G1336=""),"",IF(ISNUMBER(Sync!$AE1336),MOD(Sync!$AE1336,100),IFERROR(VALUE(TRIM(MID(MID(Sync!$AE1336,FIND("/",Sync!$AE1336)+1,20),FIND("/",MID(Sync!$AE1336,FIND("/",Sync!$AE1336)+1,20))+1,20))),"")))</f>
        <v/>
      </c>
      <c r="J1336">
        <f>IF($F1336="","",IF(OR($G1336="",$H1336="",$I1336="",$G1336&lt;1300,$G1336&gt;1500,$H1336&lt;1,$H1336&gt;12,$I1336&lt;1,$I1336&gt;31),"نامعتبر",RIGHT("0000"&amp;$G1336,4)&amp;"/"&amp;RIGHT("00"&amp;$H1336,2)&amp;"/"&amp;RIGHT("00"&amp;$I1336,2)))</f>
        <v/>
      </c>
      <c r="K1336">
        <f>IF(OR($F1336="",$J1336="",$J1336="نامعتبر"),"",LEFT($J1336,4)&amp;MID($J1336,6,2)&amp;RIGHT($J1336,2)&amp;$N1336&amp;"|"&amp;"2"&amp;RIGHT("00000"&amp;1331,5))</f>
        <v/>
      </c>
      <c r="L1336">
        <f>IF($K1336="","",COUNTIFS(LdgSellerA,$F1336,LdgKeyA,"&lt;"&amp;$K1336)+COUNTIFS(LdgSellerB,$F1336,LdgKeyB,"&lt;"&amp;$K1336)+1)</f>
        <v/>
      </c>
      <c r="M1336">
        <f>IF($L1336="","",$F1336&amp;"|"&amp;RIGHT("000000"&amp;$L1336,6))</f>
        <v/>
      </c>
      <c r="N1336">
        <f>IF($F1336="","",IF(Sync!$AF1336="","0000",IF(AND(ISNUMBER(Sync!$AF1336),Sync!$AF1336&gt;=0,Sync!$AF1336&lt;1),RIGHT("00"&amp;HOUR(Sync!$AF1336),2)&amp;RIGHT("00"&amp;MINUTE(Sync!$AF1336),2),IFERROR(RIGHT("00"&amp;VALUE(LEFT(Sync!$AF1336,FIND(":",Sync!$AF1336)-1)),2)&amp;RIGHT("00"&amp;VALUE(MID(Sync!$AF1336,FIND(":",Sync!$AF1336)+1,2)),2),"0000"))))</f>
        <v/>
      </c>
    </row>
    <row r="1337">
      <c r="A1337">
        <f>IF(OR(Calc!$E1341="",Calc!$E1341="نامعتبر",Calc!$G1341=""),"",Calc!$G1341)</f>
        <v/>
      </c>
      <c r="B1337">
        <f>IF($A1337="","",LEFT(Calc!$E1341,4)&amp;MID(Calc!$E1341,6,2)&amp;RIGHT(Calc!$E1341,2)&amp;Calc!$Q1341&amp;"|"&amp;"1"&amp;RIGHT("00000"&amp;1332,5))</f>
        <v/>
      </c>
      <c r="C1337">
        <f>IF($B1337="","",COUNTIFS(LdgSellerA,$A1337,LdgKeyA,"&lt;"&amp;$B1337)+COUNTIFS(LdgSellerB,$A1337,LdgKeyB,"&lt;"&amp;$B1337)+1)</f>
        <v/>
      </c>
      <c r="D1337">
        <f>IF($C1337="","",$A1337&amp;"|"&amp;RIGHT("000000"&amp;$C1337,6))</f>
        <v/>
      </c>
      <c r="F1337">
        <f>IF(Sync!$AH1337="","",IF(LEFT(UPPER(TRIM(Sync!$AH1337)),2)="SL",UPPER(TRIM(Sync!$AH1337)),""))</f>
        <v/>
      </c>
      <c r="G1337">
        <f>IF($F1337="","",IF(Sync!$AE1337="","",IF(ISNUMBER(Sync!$AE1337),IF(AND(Sync!$AE1337&gt;=10000101,Sync!$AE1337&lt;=99991231),INT(Sync!$AE1337/10000),""),IFERROR(VALUE(TRIM(LEFT(Sync!$AE1337,FIND("/",Sync!$AE1337)-1))),""))))</f>
        <v/>
      </c>
      <c r="H1337">
        <f>IF(OR($F1337="",$G1337=""),"",IF(ISNUMBER(Sync!$AE1337),INT(MOD(Sync!$AE1337,10000)/100),IFERROR(VALUE(TRIM(LEFT(MID(Sync!$AE1337,FIND("/",Sync!$AE1337)+1,20),FIND("/",MID(Sync!$AE1337,FIND("/",Sync!$AE1337)+1,20))-1))),"")))</f>
        <v/>
      </c>
      <c r="I1337">
        <f>IF(OR($F1337="",$G1337=""),"",IF(ISNUMBER(Sync!$AE1337),MOD(Sync!$AE1337,100),IFERROR(VALUE(TRIM(MID(MID(Sync!$AE1337,FIND("/",Sync!$AE1337)+1,20),FIND("/",MID(Sync!$AE1337,FIND("/",Sync!$AE1337)+1,20))+1,20))),"")))</f>
        <v/>
      </c>
      <c r="J1337">
        <f>IF($F1337="","",IF(OR($G1337="",$H1337="",$I1337="",$G1337&lt;1300,$G1337&gt;1500,$H1337&lt;1,$H1337&gt;12,$I1337&lt;1,$I1337&gt;31),"نامعتبر",RIGHT("0000"&amp;$G1337,4)&amp;"/"&amp;RIGHT("00"&amp;$H1337,2)&amp;"/"&amp;RIGHT("00"&amp;$I1337,2)))</f>
        <v/>
      </c>
      <c r="K1337">
        <f>IF(OR($F1337="",$J1337="",$J1337="نامعتبر"),"",LEFT($J1337,4)&amp;MID($J1337,6,2)&amp;RIGHT($J1337,2)&amp;$N1337&amp;"|"&amp;"2"&amp;RIGHT("00000"&amp;1332,5))</f>
        <v/>
      </c>
      <c r="L1337">
        <f>IF($K1337="","",COUNTIFS(LdgSellerA,$F1337,LdgKeyA,"&lt;"&amp;$K1337)+COUNTIFS(LdgSellerB,$F1337,LdgKeyB,"&lt;"&amp;$K1337)+1)</f>
        <v/>
      </c>
      <c r="M1337">
        <f>IF($L1337="","",$F1337&amp;"|"&amp;RIGHT("000000"&amp;$L1337,6))</f>
        <v/>
      </c>
      <c r="N1337">
        <f>IF($F1337="","",IF(Sync!$AF1337="","0000",IF(AND(ISNUMBER(Sync!$AF1337),Sync!$AF1337&gt;=0,Sync!$AF1337&lt;1),RIGHT("00"&amp;HOUR(Sync!$AF1337),2)&amp;RIGHT("00"&amp;MINUTE(Sync!$AF1337),2),IFERROR(RIGHT("00"&amp;VALUE(LEFT(Sync!$AF1337,FIND(":",Sync!$AF1337)-1)),2)&amp;RIGHT("00"&amp;VALUE(MID(Sync!$AF1337,FIND(":",Sync!$AF1337)+1,2)),2),"0000"))))</f>
        <v/>
      </c>
    </row>
    <row r="1338">
      <c r="A1338">
        <f>IF(OR(Calc!$E1342="",Calc!$E1342="نامعتبر",Calc!$G1342=""),"",Calc!$G1342)</f>
        <v/>
      </c>
      <c r="B1338">
        <f>IF($A1338="","",LEFT(Calc!$E1342,4)&amp;MID(Calc!$E1342,6,2)&amp;RIGHT(Calc!$E1342,2)&amp;Calc!$Q1342&amp;"|"&amp;"1"&amp;RIGHT("00000"&amp;1333,5))</f>
        <v/>
      </c>
      <c r="C1338">
        <f>IF($B1338="","",COUNTIFS(LdgSellerA,$A1338,LdgKeyA,"&lt;"&amp;$B1338)+COUNTIFS(LdgSellerB,$A1338,LdgKeyB,"&lt;"&amp;$B1338)+1)</f>
        <v/>
      </c>
      <c r="D1338">
        <f>IF($C1338="","",$A1338&amp;"|"&amp;RIGHT("000000"&amp;$C1338,6))</f>
        <v/>
      </c>
      <c r="F1338">
        <f>IF(Sync!$AH1338="","",IF(LEFT(UPPER(TRIM(Sync!$AH1338)),2)="SL",UPPER(TRIM(Sync!$AH1338)),""))</f>
        <v/>
      </c>
      <c r="G1338">
        <f>IF($F1338="","",IF(Sync!$AE1338="","",IF(ISNUMBER(Sync!$AE1338),IF(AND(Sync!$AE1338&gt;=10000101,Sync!$AE1338&lt;=99991231),INT(Sync!$AE1338/10000),""),IFERROR(VALUE(TRIM(LEFT(Sync!$AE1338,FIND("/",Sync!$AE1338)-1))),""))))</f>
        <v/>
      </c>
      <c r="H1338">
        <f>IF(OR($F1338="",$G1338=""),"",IF(ISNUMBER(Sync!$AE1338),INT(MOD(Sync!$AE1338,10000)/100),IFERROR(VALUE(TRIM(LEFT(MID(Sync!$AE1338,FIND("/",Sync!$AE1338)+1,20),FIND("/",MID(Sync!$AE1338,FIND("/",Sync!$AE1338)+1,20))-1))),"")))</f>
        <v/>
      </c>
      <c r="I1338">
        <f>IF(OR($F1338="",$G1338=""),"",IF(ISNUMBER(Sync!$AE1338),MOD(Sync!$AE1338,100),IFERROR(VALUE(TRIM(MID(MID(Sync!$AE1338,FIND("/",Sync!$AE1338)+1,20),FIND("/",MID(Sync!$AE1338,FIND("/",Sync!$AE1338)+1,20))+1,20))),"")))</f>
        <v/>
      </c>
      <c r="J1338">
        <f>IF($F1338="","",IF(OR($G1338="",$H1338="",$I1338="",$G1338&lt;1300,$G1338&gt;1500,$H1338&lt;1,$H1338&gt;12,$I1338&lt;1,$I1338&gt;31),"نامعتبر",RIGHT("0000"&amp;$G1338,4)&amp;"/"&amp;RIGHT("00"&amp;$H1338,2)&amp;"/"&amp;RIGHT("00"&amp;$I1338,2)))</f>
        <v/>
      </c>
      <c r="K1338">
        <f>IF(OR($F1338="",$J1338="",$J1338="نامعتبر"),"",LEFT($J1338,4)&amp;MID($J1338,6,2)&amp;RIGHT($J1338,2)&amp;$N1338&amp;"|"&amp;"2"&amp;RIGHT("00000"&amp;1333,5))</f>
        <v/>
      </c>
      <c r="L1338">
        <f>IF($K1338="","",COUNTIFS(LdgSellerA,$F1338,LdgKeyA,"&lt;"&amp;$K1338)+COUNTIFS(LdgSellerB,$F1338,LdgKeyB,"&lt;"&amp;$K1338)+1)</f>
        <v/>
      </c>
      <c r="M1338">
        <f>IF($L1338="","",$F1338&amp;"|"&amp;RIGHT("000000"&amp;$L1338,6))</f>
        <v/>
      </c>
      <c r="N1338">
        <f>IF($F1338="","",IF(Sync!$AF1338="","0000",IF(AND(ISNUMBER(Sync!$AF1338),Sync!$AF1338&gt;=0,Sync!$AF1338&lt;1),RIGHT("00"&amp;HOUR(Sync!$AF1338),2)&amp;RIGHT("00"&amp;MINUTE(Sync!$AF1338),2),IFERROR(RIGHT("00"&amp;VALUE(LEFT(Sync!$AF1338,FIND(":",Sync!$AF1338)-1)),2)&amp;RIGHT("00"&amp;VALUE(MID(Sync!$AF1338,FIND(":",Sync!$AF1338)+1,2)),2),"0000"))))</f>
        <v/>
      </c>
    </row>
    <row r="1339">
      <c r="A1339">
        <f>IF(OR(Calc!$E1343="",Calc!$E1343="نامعتبر",Calc!$G1343=""),"",Calc!$G1343)</f>
        <v/>
      </c>
      <c r="B1339">
        <f>IF($A1339="","",LEFT(Calc!$E1343,4)&amp;MID(Calc!$E1343,6,2)&amp;RIGHT(Calc!$E1343,2)&amp;Calc!$Q1343&amp;"|"&amp;"1"&amp;RIGHT("00000"&amp;1334,5))</f>
        <v/>
      </c>
      <c r="C1339">
        <f>IF($B1339="","",COUNTIFS(LdgSellerA,$A1339,LdgKeyA,"&lt;"&amp;$B1339)+COUNTIFS(LdgSellerB,$A1339,LdgKeyB,"&lt;"&amp;$B1339)+1)</f>
        <v/>
      </c>
      <c r="D1339">
        <f>IF($C1339="","",$A1339&amp;"|"&amp;RIGHT("000000"&amp;$C1339,6))</f>
        <v/>
      </c>
      <c r="F1339">
        <f>IF(Sync!$AH1339="","",IF(LEFT(UPPER(TRIM(Sync!$AH1339)),2)="SL",UPPER(TRIM(Sync!$AH1339)),""))</f>
        <v/>
      </c>
      <c r="G1339">
        <f>IF($F1339="","",IF(Sync!$AE1339="","",IF(ISNUMBER(Sync!$AE1339),IF(AND(Sync!$AE1339&gt;=10000101,Sync!$AE1339&lt;=99991231),INT(Sync!$AE1339/10000),""),IFERROR(VALUE(TRIM(LEFT(Sync!$AE1339,FIND("/",Sync!$AE1339)-1))),""))))</f>
        <v/>
      </c>
      <c r="H1339">
        <f>IF(OR($F1339="",$G1339=""),"",IF(ISNUMBER(Sync!$AE1339),INT(MOD(Sync!$AE1339,10000)/100),IFERROR(VALUE(TRIM(LEFT(MID(Sync!$AE1339,FIND("/",Sync!$AE1339)+1,20),FIND("/",MID(Sync!$AE1339,FIND("/",Sync!$AE1339)+1,20))-1))),"")))</f>
        <v/>
      </c>
      <c r="I1339">
        <f>IF(OR($F1339="",$G1339=""),"",IF(ISNUMBER(Sync!$AE1339),MOD(Sync!$AE1339,100),IFERROR(VALUE(TRIM(MID(MID(Sync!$AE1339,FIND("/",Sync!$AE1339)+1,20),FIND("/",MID(Sync!$AE1339,FIND("/",Sync!$AE1339)+1,20))+1,20))),"")))</f>
        <v/>
      </c>
      <c r="J1339">
        <f>IF($F1339="","",IF(OR($G1339="",$H1339="",$I1339="",$G1339&lt;1300,$G1339&gt;1500,$H1339&lt;1,$H1339&gt;12,$I1339&lt;1,$I1339&gt;31),"نامعتبر",RIGHT("0000"&amp;$G1339,4)&amp;"/"&amp;RIGHT("00"&amp;$H1339,2)&amp;"/"&amp;RIGHT("00"&amp;$I1339,2)))</f>
        <v/>
      </c>
      <c r="K1339">
        <f>IF(OR($F1339="",$J1339="",$J1339="نامعتبر"),"",LEFT($J1339,4)&amp;MID($J1339,6,2)&amp;RIGHT($J1339,2)&amp;$N1339&amp;"|"&amp;"2"&amp;RIGHT("00000"&amp;1334,5))</f>
        <v/>
      </c>
      <c r="L1339">
        <f>IF($K1339="","",COUNTIFS(LdgSellerA,$F1339,LdgKeyA,"&lt;"&amp;$K1339)+COUNTIFS(LdgSellerB,$F1339,LdgKeyB,"&lt;"&amp;$K1339)+1)</f>
        <v/>
      </c>
      <c r="M1339">
        <f>IF($L1339="","",$F1339&amp;"|"&amp;RIGHT("000000"&amp;$L1339,6))</f>
        <v/>
      </c>
      <c r="N1339">
        <f>IF($F1339="","",IF(Sync!$AF1339="","0000",IF(AND(ISNUMBER(Sync!$AF1339),Sync!$AF1339&gt;=0,Sync!$AF1339&lt;1),RIGHT("00"&amp;HOUR(Sync!$AF1339),2)&amp;RIGHT("00"&amp;MINUTE(Sync!$AF1339),2),IFERROR(RIGHT("00"&amp;VALUE(LEFT(Sync!$AF1339,FIND(":",Sync!$AF1339)-1)),2)&amp;RIGHT("00"&amp;VALUE(MID(Sync!$AF1339,FIND(":",Sync!$AF1339)+1,2)),2),"0000"))))</f>
        <v/>
      </c>
    </row>
    <row r="1340">
      <c r="A1340">
        <f>IF(OR(Calc!$E1344="",Calc!$E1344="نامعتبر",Calc!$G1344=""),"",Calc!$G1344)</f>
        <v/>
      </c>
      <c r="B1340">
        <f>IF($A1340="","",LEFT(Calc!$E1344,4)&amp;MID(Calc!$E1344,6,2)&amp;RIGHT(Calc!$E1344,2)&amp;Calc!$Q1344&amp;"|"&amp;"1"&amp;RIGHT("00000"&amp;1335,5))</f>
        <v/>
      </c>
      <c r="C1340">
        <f>IF($B1340="","",COUNTIFS(LdgSellerA,$A1340,LdgKeyA,"&lt;"&amp;$B1340)+COUNTIFS(LdgSellerB,$A1340,LdgKeyB,"&lt;"&amp;$B1340)+1)</f>
        <v/>
      </c>
      <c r="D1340">
        <f>IF($C1340="","",$A1340&amp;"|"&amp;RIGHT("000000"&amp;$C1340,6))</f>
        <v/>
      </c>
      <c r="F1340">
        <f>IF(Sync!$AH1340="","",IF(LEFT(UPPER(TRIM(Sync!$AH1340)),2)="SL",UPPER(TRIM(Sync!$AH1340)),""))</f>
        <v/>
      </c>
      <c r="G1340">
        <f>IF($F1340="","",IF(Sync!$AE1340="","",IF(ISNUMBER(Sync!$AE1340),IF(AND(Sync!$AE1340&gt;=10000101,Sync!$AE1340&lt;=99991231),INT(Sync!$AE1340/10000),""),IFERROR(VALUE(TRIM(LEFT(Sync!$AE1340,FIND("/",Sync!$AE1340)-1))),""))))</f>
        <v/>
      </c>
      <c r="H1340">
        <f>IF(OR($F1340="",$G1340=""),"",IF(ISNUMBER(Sync!$AE1340),INT(MOD(Sync!$AE1340,10000)/100),IFERROR(VALUE(TRIM(LEFT(MID(Sync!$AE1340,FIND("/",Sync!$AE1340)+1,20),FIND("/",MID(Sync!$AE1340,FIND("/",Sync!$AE1340)+1,20))-1))),"")))</f>
        <v/>
      </c>
      <c r="I1340">
        <f>IF(OR($F1340="",$G1340=""),"",IF(ISNUMBER(Sync!$AE1340),MOD(Sync!$AE1340,100),IFERROR(VALUE(TRIM(MID(MID(Sync!$AE1340,FIND("/",Sync!$AE1340)+1,20),FIND("/",MID(Sync!$AE1340,FIND("/",Sync!$AE1340)+1,20))+1,20))),"")))</f>
        <v/>
      </c>
      <c r="J1340">
        <f>IF($F1340="","",IF(OR($G1340="",$H1340="",$I1340="",$G1340&lt;1300,$G1340&gt;1500,$H1340&lt;1,$H1340&gt;12,$I1340&lt;1,$I1340&gt;31),"نامعتبر",RIGHT("0000"&amp;$G1340,4)&amp;"/"&amp;RIGHT("00"&amp;$H1340,2)&amp;"/"&amp;RIGHT("00"&amp;$I1340,2)))</f>
        <v/>
      </c>
      <c r="K1340">
        <f>IF(OR($F1340="",$J1340="",$J1340="نامعتبر"),"",LEFT($J1340,4)&amp;MID($J1340,6,2)&amp;RIGHT($J1340,2)&amp;$N1340&amp;"|"&amp;"2"&amp;RIGHT("00000"&amp;1335,5))</f>
        <v/>
      </c>
      <c r="L1340">
        <f>IF($K1340="","",COUNTIFS(LdgSellerA,$F1340,LdgKeyA,"&lt;"&amp;$K1340)+COUNTIFS(LdgSellerB,$F1340,LdgKeyB,"&lt;"&amp;$K1340)+1)</f>
        <v/>
      </c>
      <c r="M1340">
        <f>IF($L1340="","",$F1340&amp;"|"&amp;RIGHT("000000"&amp;$L1340,6))</f>
        <v/>
      </c>
      <c r="N1340">
        <f>IF($F1340="","",IF(Sync!$AF1340="","0000",IF(AND(ISNUMBER(Sync!$AF1340),Sync!$AF1340&gt;=0,Sync!$AF1340&lt;1),RIGHT("00"&amp;HOUR(Sync!$AF1340),2)&amp;RIGHT("00"&amp;MINUTE(Sync!$AF1340),2),IFERROR(RIGHT("00"&amp;VALUE(LEFT(Sync!$AF1340,FIND(":",Sync!$AF1340)-1)),2)&amp;RIGHT("00"&amp;VALUE(MID(Sync!$AF1340,FIND(":",Sync!$AF1340)+1,2)),2),"0000"))))</f>
        <v/>
      </c>
    </row>
    <row r="1341">
      <c r="A1341">
        <f>IF(OR(Calc!$E1345="",Calc!$E1345="نامعتبر",Calc!$G1345=""),"",Calc!$G1345)</f>
        <v/>
      </c>
      <c r="B1341">
        <f>IF($A1341="","",LEFT(Calc!$E1345,4)&amp;MID(Calc!$E1345,6,2)&amp;RIGHT(Calc!$E1345,2)&amp;Calc!$Q1345&amp;"|"&amp;"1"&amp;RIGHT("00000"&amp;1336,5))</f>
        <v/>
      </c>
      <c r="C1341">
        <f>IF($B1341="","",COUNTIFS(LdgSellerA,$A1341,LdgKeyA,"&lt;"&amp;$B1341)+COUNTIFS(LdgSellerB,$A1341,LdgKeyB,"&lt;"&amp;$B1341)+1)</f>
        <v/>
      </c>
      <c r="D1341">
        <f>IF($C1341="","",$A1341&amp;"|"&amp;RIGHT("000000"&amp;$C1341,6))</f>
        <v/>
      </c>
      <c r="F1341">
        <f>IF(Sync!$AH1341="","",IF(LEFT(UPPER(TRIM(Sync!$AH1341)),2)="SL",UPPER(TRIM(Sync!$AH1341)),""))</f>
        <v/>
      </c>
      <c r="G1341">
        <f>IF($F1341="","",IF(Sync!$AE1341="","",IF(ISNUMBER(Sync!$AE1341),IF(AND(Sync!$AE1341&gt;=10000101,Sync!$AE1341&lt;=99991231),INT(Sync!$AE1341/10000),""),IFERROR(VALUE(TRIM(LEFT(Sync!$AE1341,FIND("/",Sync!$AE1341)-1))),""))))</f>
        <v/>
      </c>
      <c r="H1341">
        <f>IF(OR($F1341="",$G1341=""),"",IF(ISNUMBER(Sync!$AE1341),INT(MOD(Sync!$AE1341,10000)/100),IFERROR(VALUE(TRIM(LEFT(MID(Sync!$AE1341,FIND("/",Sync!$AE1341)+1,20),FIND("/",MID(Sync!$AE1341,FIND("/",Sync!$AE1341)+1,20))-1))),"")))</f>
        <v/>
      </c>
      <c r="I1341">
        <f>IF(OR($F1341="",$G1341=""),"",IF(ISNUMBER(Sync!$AE1341),MOD(Sync!$AE1341,100),IFERROR(VALUE(TRIM(MID(MID(Sync!$AE1341,FIND("/",Sync!$AE1341)+1,20),FIND("/",MID(Sync!$AE1341,FIND("/",Sync!$AE1341)+1,20))+1,20))),"")))</f>
        <v/>
      </c>
      <c r="J1341">
        <f>IF($F1341="","",IF(OR($G1341="",$H1341="",$I1341="",$G1341&lt;1300,$G1341&gt;1500,$H1341&lt;1,$H1341&gt;12,$I1341&lt;1,$I1341&gt;31),"نامعتبر",RIGHT("0000"&amp;$G1341,4)&amp;"/"&amp;RIGHT("00"&amp;$H1341,2)&amp;"/"&amp;RIGHT("00"&amp;$I1341,2)))</f>
        <v/>
      </c>
      <c r="K1341">
        <f>IF(OR($F1341="",$J1341="",$J1341="نامعتبر"),"",LEFT($J1341,4)&amp;MID($J1341,6,2)&amp;RIGHT($J1341,2)&amp;$N1341&amp;"|"&amp;"2"&amp;RIGHT("00000"&amp;1336,5))</f>
        <v/>
      </c>
      <c r="L1341">
        <f>IF($K1341="","",COUNTIFS(LdgSellerA,$F1341,LdgKeyA,"&lt;"&amp;$K1341)+COUNTIFS(LdgSellerB,$F1341,LdgKeyB,"&lt;"&amp;$K1341)+1)</f>
        <v/>
      </c>
      <c r="M1341">
        <f>IF($L1341="","",$F1341&amp;"|"&amp;RIGHT("000000"&amp;$L1341,6))</f>
        <v/>
      </c>
      <c r="N1341">
        <f>IF($F1341="","",IF(Sync!$AF1341="","0000",IF(AND(ISNUMBER(Sync!$AF1341),Sync!$AF1341&gt;=0,Sync!$AF1341&lt;1),RIGHT("00"&amp;HOUR(Sync!$AF1341),2)&amp;RIGHT("00"&amp;MINUTE(Sync!$AF1341),2),IFERROR(RIGHT("00"&amp;VALUE(LEFT(Sync!$AF1341,FIND(":",Sync!$AF1341)-1)),2)&amp;RIGHT("00"&amp;VALUE(MID(Sync!$AF1341,FIND(":",Sync!$AF1341)+1,2)),2),"0000"))))</f>
        <v/>
      </c>
    </row>
    <row r="1342">
      <c r="A1342">
        <f>IF(OR(Calc!$E1346="",Calc!$E1346="نامعتبر",Calc!$G1346=""),"",Calc!$G1346)</f>
        <v/>
      </c>
      <c r="B1342">
        <f>IF($A1342="","",LEFT(Calc!$E1346,4)&amp;MID(Calc!$E1346,6,2)&amp;RIGHT(Calc!$E1346,2)&amp;Calc!$Q1346&amp;"|"&amp;"1"&amp;RIGHT("00000"&amp;1337,5))</f>
        <v/>
      </c>
      <c r="C1342">
        <f>IF($B1342="","",COUNTIFS(LdgSellerA,$A1342,LdgKeyA,"&lt;"&amp;$B1342)+COUNTIFS(LdgSellerB,$A1342,LdgKeyB,"&lt;"&amp;$B1342)+1)</f>
        <v/>
      </c>
      <c r="D1342">
        <f>IF($C1342="","",$A1342&amp;"|"&amp;RIGHT("000000"&amp;$C1342,6))</f>
        <v/>
      </c>
      <c r="F1342">
        <f>IF(Sync!$AH1342="","",IF(LEFT(UPPER(TRIM(Sync!$AH1342)),2)="SL",UPPER(TRIM(Sync!$AH1342)),""))</f>
        <v/>
      </c>
      <c r="G1342">
        <f>IF($F1342="","",IF(Sync!$AE1342="","",IF(ISNUMBER(Sync!$AE1342),IF(AND(Sync!$AE1342&gt;=10000101,Sync!$AE1342&lt;=99991231),INT(Sync!$AE1342/10000),""),IFERROR(VALUE(TRIM(LEFT(Sync!$AE1342,FIND("/",Sync!$AE1342)-1))),""))))</f>
        <v/>
      </c>
      <c r="H1342">
        <f>IF(OR($F1342="",$G1342=""),"",IF(ISNUMBER(Sync!$AE1342),INT(MOD(Sync!$AE1342,10000)/100),IFERROR(VALUE(TRIM(LEFT(MID(Sync!$AE1342,FIND("/",Sync!$AE1342)+1,20),FIND("/",MID(Sync!$AE1342,FIND("/",Sync!$AE1342)+1,20))-1))),"")))</f>
        <v/>
      </c>
      <c r="I1342">
        <f>IF(OR($F1342="",$G1342=""),"",IF(ISNUMBER(Sync!$AE1342),MOD(Sync!$AE1342,100),IFERROR(VALUE(TRIM(MID(MID(Sync!$AE1342,FIND("/",Sync!$AE1342)+1,20),FIND("/",MID(Sync!$AE1342,FIND("/",Sync!$AE1342)+1,20))+1,20))),"")))</f>
        <v/>
      </c>
      <c r="J1342">
        <f>IF($F1342="","",IF(OR($G1342="",$H1342="",$I1342="",$G1342&lt;1300,$G1342&gt;1500,$H1342&lt;1,$H1342&gt;12,$I1342&lt;1,$I1342&gt;31),"نامعتبر",RIGHT("0000"&amp;$G1342,4)&amp;"/"&amp;RIGHT("00"&amp;$H1342,2)&amp;"/"&amp;RIGHT("00"&amp;$I1342,2)))</f>
        <v/>
      </c>
      <c r="K1342">
        <f>IF(OR($F1342="",$J1342="",$J1342="نامعتبر"),"",LEFT($J1342,4)&amp;MID($J1342,6,2)&amp;RIGHT($J1342,2)&amp;$N1342&amp;"|"&amp;"2"&amp;RIGHT("00000"&amp;1337,5))</f>
        <v/>
      </c>
      <c r="L1342">
        <f>IF($K1342="","",COUNTIFS(LdgSellerA,$F1342,LdgKeyA,"&lt;"&amp;$K1342)+COUNTIFS(LdgSellerB,$F1342,LdgKeyB,"&lt;"&amp;$K1342)+1)</f>
        <v/>
      </c>
      <c r="M1342">
        <f>IF($L1342="","",$F1342&amp;"|"&amp;RIGHT("000000"&amp;$L1342,6))</f>
        <v/>
      </c>
      <c r="N1342">
        <f>IF($F1342="","",IF(Sync!$AF1342="","0000",IF(AND(ISNUMBER(Sync!$AF1342),Sync!$AF1342&gt;=0,Sync!$AF1342&lt;1),RIGHT("00"&amp;HOUR(Sync!$AF1342),2)&amp;RIGHT("00"&amp;MINUTE(Sync!$AF1342),2),IFERROR(RIGHT("00"&amp;VALUE(LEFT(Sync!$AF1342,FIND(":",Sync!$AF1342)-1)),2)&amp;RIGHT("00"&amp;VALUE(MID(Sync!$AF1342,FIND(":",Sync!$AF1342)+1,2)),2),"0000"))))</f>
        <v/>
      </c>
    </row>
    <row r="1343">
      <c r="A1343">
        <f>IF(OR(Calc!$E1347="",Calc!$E1347="نامعتبر",Calc!$G1347=""),"",Calc!$G1347)</f>
        <v/>
      </c>
      <c r="B1343">
        <f>IF($A1343="","",LEFT(Calc!$E1347,4)&amp;MID(Calc!$E1347,6,2)&amp;RIGHT(Calc!$E1347,2)&amp;Calc!$Q1347&amp;"|"&amp;"1"&amp;RIGHT("00000"&amp;1338,5))</f>
        <v/>
      </c>
      <c r="C1343">
        <f>IF($B1343="","",COUNTIFS(LdgSellerA,$A1343,LdgKeyA,"&lt;"&amp;$B1343)+COUNTIFS(LdgSellerB,$A1343,LdgKeyB,"&lt;"&amp;$B1343)+1)</f>
        <v/>
      </c>
      <c r="D1343">
        <f>IF($C1343="","",$A1343&amp;"|"&amp;RIGHT("000000"&amp;$C1343,6))</f>
        <v/>
      </c>
      <c r="F1343">
        <f>IF(Sync!$AH1343="","",IF(LEFT(UPPER(TRIM(Sync!$AH1343)),2)="SL",UPPER(TRIM(Sync!$AH1343)),""))</f>
        <v/>
      </c>
      <c r="G1343">
        <f>IF($F1343="","",IF(Sync!$AE1343="","",IF(ISNUMBER(Sync!$AE1343),IF(AND(Sync!$AE1343&gt;=10000101,Sync!$AE1343&lt;=99991231),INT(Sync!$AE1343/10000),""),IFERROR(VALUE(TRIM(LEFT(Sync!$AE1343,FIND("/",Sync!$AE1343)-1))),""))))</f>
        <v/>
      </c>
      <c r="H1343">
        <f>IF(OR($F1343="",$G1343=""),"",IF(ISNUMBER(Sync!$AE1343),INT(MOD(Sync!$AE1343,10000)/100),IFERROR(VALUE(TRIM(LEFT(MID(Sync!$AE1343,FIND("/",Sync!$AE1343)+1,20),FIND("/",MID(Sync!$AE1343,FIND("/",Sync!$AE1343)+1,20))-1))),"")))</f>
        <v/>
      </c>
      <c r="I1343">
        <f>IF(OR($F1343="",$G1343=""),"",IF(ISNUMBER(Sync!$AE1343),MOD(Sync!$AE1343,100),IFERROR(VALUE(TRIM(MID(MID(Sync!$AE1343,FIND("/",Sync!$AE1343)+1,20),FIND("/",MID(Sync!$AE1343,FIND("/",Sync!$AE1343)+1,20))+1,20))),"")))</f>
        <v/>
      </c>
      <c r="J1343">
        <f>IF($F1343="","",IF(OR($G1343="",$H1343="",$I1343="",$G1343&lt;1300,$G1343&gt;1500,$H1343&lt;1,$H1343&gt;12,$I1343&lt;1,$I1343&gt;31),"نامعتبر",RIGHT("0000"&amp;$G1343,4)&amp;"/"&amp;RIGHT("00"&amp;$H1343,2)&amp;"/"&amp;RIGHT("00"&amp;$I1343,2)))</f>
        <v/>
      </c>
      <c r="K1343">
        <f>IF(OR($F1343="",$J1343="",$J1343="نامعتبر"),"",LEFT($J1343,4)&amp;MID($J1343,6,2)&amp;RIGHT($J1343,2)&amp;$N1343&amp;"|"&amp;"2"&amp;RIGHT("00000"&amp;1338,5))</f>
        <v/>
      </c>
      <c r="L1343">
        <f>IF($K1343="","",COUNTIFS(LdgSellerA,$F1343,LdgKeyA,"&lt;"&amp;$K1343)+COUNTIFS(LdgSellerB,$F1343,LdgKeyB,"&lt;"&amp;$K1343)+1)</f>
        <v/>
      </c>
      <c r="M1343">
        <f>IF($L1343="","",$F1343&amp;"|"&amp;RIGHT("000000"&amp;$L1343,6))</f>
        <v/>
      </c>
      <c r="N1343">
        <f>IF($F1343="","",IF(Sync!$AF1343="","0000",IF(AND(ISNUMBER(Sync!$AF1343),Sync!$AF1343&gt;=0,Sync!$AF1343&lt;1),RIGHT("00"&amp;HOUR(Sync!$AF1343),2)&amp;RIGHT("00"&amp;MINUTE(Sync!$AF1343),2),IFERROR(RIGHT("00"&amp;VALUE(LEFT(Sync!$AF1343,FIND(":",Sync!$AF1343)-1)),2)&amp;RIGHT("00"&amp;VALUE(MID(Sync!$AF1343,FIND(":",Sync!$AF1343)+1,2)),2),"0000"))))</f>
        <v/>
      </c>
    </row>
    <row r="1344">
      <c r="A1344">
        <f>IF(OR(Calc!$E1348="",Calc!$E1348="نامعتبر",Calc!$G1348=""),"",Calc!$G1348)</f>
        <v/>
      </c>
      <c r="B1344">
        <f>IF($A1344="","",LEFT(Calc!$E1348,4)&amp;MID(Calc!$E1348,6,2)&amp;RIGHT(Calc!$E1348,2)&amp;Calc!$Q1348&amp;"|"&amp;"1"&amp;RIGHT("00000"&amp;1339,5))</f>
        <v/>
      </c>
      <c r="C1344">
        <f>IF($B1344="","",COUNTIFS(LdgSellerA,$A1344,LdgKeyA,"&lt;"&amp;$B1344)+COUNTIFS(LdgSellerB,$A1344,LdgKeyB,"&lt;"&amp;$B1344)+1)</f>
        <v/>
      </c>
      <c r="D1344">
        <f>IF($C1344="","",$A1344&amp;"|"&amp;RIGHT("000000"&amp;$C1344,6))</f>
        <v/>
      </c>
      <c r="F1344">
        <f>IF(Sync!$AH1344="","",IF(LEFT(UPPER(TRIM(Sync!$AH1344)),2)="SL",UPPER(TRIM(Sync!$AH1344)),""))</f>
        <v/>
      </c>
      <c r="G1344">
        <f>IF($F1344="","",IF(Sync!$AE1344="","",IF(ISNUMBER(Sync!$AE1344),IF(AND(Sync!$AE1344&gt;=10000101,Sync!$AE1344&lt;=99991231),INT(Sync!$AE1344/10000),""),IFERROR(VALUE(TRIM(LEFT(Sync!$AE1344,FIND("/",Sync!$AE1344)-1))),""))))</f>
        <v/>
      </c>
      <c r="H1344">
        <f>IF(OR($F1344="",$G1344=""),"",IF(ISNUMBER(Sync!$AE1344),INT(MOD(Sync!$AE1344,10000)/100),IFERROR(VALUE(TRIM(LEFT(MID(Sync!$AE1344,FIND("/",Sync!$AE1344)+1,20),FIND("/",MID(Sync!$AE1344,FIND("/",Sync!$AE1344)+1,20))-1))),"")))</f>
        <v/>
      </c>
      <c r="I1344">
        <f>IF(OR($F1344="",$G1344=""),"",IF(ISNUMBER(Sync!$AE1344),MOD(Sync!$AE1344,100),IFERROR(VALUE(TRIM(MID(MID(Sync!$AE1344,FIND("/",Sync!$AE1344)+1,20),FIND("/",MID(Sync!$AE1344,FIND("/",Sync!$AE1344)+1,20))+1,20))),"")))</f>
        <v/>
      </c>
      <c r="J1344">
        <f>IF($F1344="","",IF(OR($G1344="",$H1344="",$I1344="",$G1344&lt;1300,$G1344&gt;1500,$H1344&lt;1,$H1344&gt;12,$I1344&lt;1,$I1344&gt;31),"نامعتبر",RIGHT("0000"&amp;$G1344,4)&amp;"/"&amp;RIGHT("00"&amp;$H1344,2)&amp;"/"&amp;RIGHT("00"&amp;$I1344,2)))</f>
        <v/>
      </c>
      <c r="K1344">
        <f>IF(OR($F1344="",$J1344="",$J1344="نامعتبر"),"",LEFT($J1344,4)&amp;MID($J1344,6,2)&amp;RIGHT($J1344,2)&amp;$N1344&amp;"|"&amp;"2"&amp;RIGHT("00000"&amp;1339,5))</f>
        <v/>
      </c>
      <c r="L1344">
        <f>IF($K1344="","",COUNTIFS(LdgSellerA,$F1344,LdgKeyA,"&lt;"&amp;$K1344)+COUNTIFS(LdgSellerB,$F1344,LdgKeyB,"&lt;"&amp;$K1344)+1)</f>
        <v/>
      </c>
      <c r="M1344">
        <f>IF($L1344="","",$F1344&amp;"|"&amp;RIGHT("000000"&amp;$L1344,6))</f>
        <v/>
      </c>
      <c r="N1344">
        <f>IF($F1344="","",IF(Sync!$AF1344="","0000",IF(AND(ISNUMBER(Sync!$AF1344),Sync!$AF1344&gt;=0,Sync!$AF1344&lt;1),RIGHT("00"&amp;HOUR(Sync!$AF1344),2)&amp;RIGHT("00"&amp;MINUTE(Sync!$AF1344),2),IFERROR(RIGHT("00"&amp;VALUE(LEFT(Sync!$AF1344,FIND(":",Sync!$AF1344)-1)),2)&amp;RIGHT("00"&amp;VALUE(MID(Sync!$AF1344,FIND(":",Sync!$AF1344)+1,2)),2),"0000"))))</f>
        <v/>
      </c>
    </row>
    <row r="1345">
      <c r="A1345">
        <f>IF(OR(Calc!$E1349="",Calc!$E1349="نامعتبر",Calc!$G1349=""),"",Calc!$G1349)</f>
        <v/>
      </c>
      <c r="B1345">
        <f>IF($A1345="","",LEFT(Calc!$E1349,4)&amp;MID(Calc!$E1349,6,2)&amp;RIGHT(Calc!$E1349,2)&amp;Calc!$Q1349&amp;"|"&amp;"1"&amp;RIGHT("00000"&amp;1340,5))</f>
        <v/>
      </c>
      <c r="C1345">
        <f>IF($B1345="","",COUNTIFS(LdgSellerA,$A1345,LdgKeyA,"&lt;"&amp;$B1345)+COUNTIFS(LdgSellerB,$A1345,LdgKeyB,"&lt;"&amp;$B1345)+1)</f>
        <v/>
      </c>
      <c r="D1345">
        <f>IF($C1345="","",$A1345&amp;"|"&amp;RIGHT("000000"&amp;$C1345,6))</f>
        <v/>
      </c>
      <c r="F1345">
        <f>IF(Sync!$AH1345="","",IF(LEFT(UPPER(TRIM(Sync!$AH1345)),2)="SL",UPPER(TRIM(Sync!$AH1345)),""))</f>
        <v/>
      </c>
      <c r="G1345">
        <f>IF($F1345="","",IF(Sync!$AE1345="","",IF(ISNUMBER(Sync!$AE1345),IF(AND(Sync!$AE1345&gt;=10000101,Sync!$AE1345&lt;=99991231),INT(Sync!$AE1345/10000),""),IFERROR(VALUE(TRIM(LEFT(Sync!$AE1345,FIND("/",Sync!$AE1345)-1))),""))))</f>
        <v/>
      </c>
      <c r="H1345">
        <f>IF(OR($F1345="",$G1345=""),"",IF(ISNUMBER(Sync!$AE1345),INT(MOD(Sync!$AE1345,10000)/100),IFERROR(VALUE(TRIM(LEFT(MID(Sync!$AE1345,FIND("/",Sync!$AE1345)+1,20),FIND("/",MID(Sync!$AE1345,FIND("/",Sync!$AE1345)+1,20))-1))),"")))</f>
        <v/>
      </c>
      <c r="I1345">
        <f>IF(OR($F1345="",$G1345=""),"",IF(ISNUMBER(Sync!$AE1345),MOD(Sync!$AE1345,100),IFERROR(VALUE(TRIM(MID(MID(Sync!$AE1345,FIND("/",Sync!$AE1345)+1,20),FIND("/",MID(Sync!$AE1345,FIND("/",Sync!$AE1345)+1,20))+1,20))),"")))</f>
        <v/>
      </c>
      <c r="J1345">
        <f>IF($F1345="","",IF(OR($G1345="",$H1345="",$I1345="",$G1345&lt;1300,$G1345&gt;1500,$H1345&lt;1,$H1345&gt;12,$I1345&lt;1,$I1345&gt;31),"نامعتبر",RIGHT("0000"&amp;$G1345,4)&amp;"/"&amp;RIGHT("00"&amp;$H1345,2)&amp;"/"&amp;RIGHT("00"&amp;$I1345,2)))</f>
        <v/>
      </c>
      <c r="K1345">
        <f>IF(OR($F1345="",$J1345="",$J1345="نامعتبر"),"",LEFT($J1345,4)&amp;MID($J1345,6,2)&amp;RIGHT($J1345,2)&amp;$N1345&amp;"|"&amp;"2"&amp;RIGHT("00000"&amp;1340,5))</f>
        <v/>
      </c>
      <c r="L1345">
        <f>IF($K1345="","",COUNTIFS(LdgSellerA,$F1345,LdgKeyA,"&lt;"&amp;$K1345)+COUNTIFS(LdgSellerB,$F1345,LdgKeyB,"&lt;"&amp;$K1345)+1)</f>
        <v/>
      </c>
      <c r="M1345">
        <f>IF($L1345="","",$F1345&amp;"|"&amp;RIGHT("000000"&amp;$L1345,6))</f>
        <v/>
      </c>
      <c r="N1345">
        <f>IF($F1345="","",IF(Sync!$AF1345="","0000",IF(AND(ISNUMBER(Sync!$AF1345),Sync!$AF1345&gt;=0,Sync!$AF1345&lt;1),RIGHT("00"&amp;HOUR(Sync!$AF1345),2)&amp;RIGHT("00"&amp;MINUTE(Sync!$AF1345),2),IFERROR(RIGHT("00"&amp;VALUE(LEFT(Sync!$AF1345,FIND(":",Sync!$AF1345)-1)),2)&amp;RIGHT("00"&amp;VALUE(MID(Sync!$AF1345,FIND(":",Sync!$AF1345)+1,2)),2),"0000"))))</f>
        <v/>
      </c>
    </row>
    <row r="1346">
      <c r="A1346">
        <f>IF(OR(Calc!$E1350="",Calc!$E1350="نامعتبر",Calc!$G1350=""),"",Calc!$G1350)</f>
        <v/>
      </c>
      <c r="B1346">
        <f>IF($A1346="","",LEFT(Calc!$E1350,4)&amp;MID(Calc!$E1350,6,2)&amp;RIGHT(Calc!$E1350,2)&amp;Calc!$Q1350&amp;"|"&amp;"1"&amp;RIGHT("00000"&amp;1341,5))</f>
        <v/>
      </c>
      <c r="C1346">
        <f>IF($B1346="","",COUNTIFS(LdgSellerA,$A1346,LdgKeyA,"&lt;"&amp;$B1346)+COUNTIFS(LdgSellerB,$A1346,LdgKeyB,"&lt;"&amp;$B1346)+1)</f>
        <v/>
      </c>
      <c r="D1346">
        <f>IF($C1346="","",$A1346&amp;"|"&amp;RIGHT("000000"&amp;$C1346,6))</f>
        <v/>
      </c>
      <c r="F1346">
        <f>IF(Sync!$AH1346="","",IF(LEFT(UPPER(TRIM(Sync!$AH1346)),2)="SL",UPPER(TRIM(Sync!$AH1346)),""))</f>
        <v/>
      </c>
      <c r="G1346">
        <f>IF($F1346="","",IF(Sync!$AE1346="","",IF(ISNUMBER(Sync!$AE1346),IF(AND(Sync!$AE1346&gt;=10000101,Sync!$AE1346&lt;=99991231),INT(Sync!$AE1346/10000),""),IFERROR(VALUE(TRIM(LEFT(Sync!$AE1346,FIND("/",Sync!$AE1346)-1))),""))))</f>
        <v/>
      </c>
      <c r="H1346">
        <f>IF(OR($F1346="",$G1346=""),"",IF(ISNUMBER(Sync!$AE1346),INT(MOD(Sync!$AE1346,10000)/100),IFERROR(VALUE(TRIM(LEFT(MID(Sync!$AE1346,FIND("/",Sync!$AE1346)+1,20),FIND("/",MID(Sync!$AE1346,FIND("/",Sync!$AE1346)+1,20))-1))),"")))</f>
        <v/>
      </c>
      <c r="I1346">
        <f>IF(OR($F1346="",$G1346=""),"",IF(ISNUMBER(Sync!$AE1346),MOD(Sync!$AE1346,100),IFERROR(VALUE(TRIM(MID(MID(Sync!$AE1346,FIND("/",Sync!$AE1346)+1,20),FIND("/",MID(Sync!$AE1346,FIND("/",Sync!$AE1346)+1,20))+1,20))),"")))</f>
        <v/>
      </c>
      <c r="J1346">
        <f>IF($F1346="","",IF(OR($G1346="",$H1346="",$I1346="",$G1346&lt;1300,$G1346&gt;1500,$H1346&lt;1,$H1346&gt;12,$I1346&lt;1,$I1346&gt;31),"نامعتبر",RIGHT("0000"&amp;$G1346,4)&amp;"/"&amp;RIGHT("00"&amp;$H1346,2)&amp;"/"&amp;RIGHT("00"&amp;$I1346,2)))</f>
        <v/>
      </c>
      <c r="K1346">
        <f>IF(OR($F1346="",$J1346="",$J1346="نامعتبر"),"",LEFT($J1346,4)&amp;MID($J1346,6,2)&amp;RIGHT($J1346,2)&amp;$N1346&amp;"|"&amp;"2"&amp;RIGHT("00000"&amp;1341,5))</f>
        <v/>
      </c>
      <c r="L1346">
        <f>IF($K1346="","",COUNTIFS(LdgSellerA,$F1346,LdgKeyA,"&lt;"&amp;$K1346)+COUNTIFS(LdgSellerB,$F1346,LdgKeyB,"&lt;"&amp;$K1346)+1)</f>
        <v/>
      </c>
      <c r="M1346">
        <f>IF($L1346="","",$F1346&amp;"|"&amp;RIGHT("000000"&amp;$L1346,6))</f>
        <v/>
      </c>
      <c r="N1346">
        <f>IF($F1346="","",IF(Sync!$AF1346="","0000",IF(AND(ISNUMBER(Sync!$AF1346),Sync!$AF1346&gt;=0,Sync!$AF1346&lt;1),RIGHT("00"&amp;HOUR(Sync!$AF1346),2)&amp;RIGHT("00"&amp;MINUTE(Sync!$AF1346),2),IFERROR(RIGHT("00"&amp;VALUE(LEFT(Sync!$AF1346,FIND(":",Sync!$AF1346)-1)),2)&amp;RIGHT("00"&amp;VALUE(MID(Sync!$AF1346,FIND(":",Sync!$AF1346)+1,2)),2),"0000"))))</f>
        <v/>
      </c>
    </row>
    <row r="1347">
      <c r="A1347">
        <f>IF(OR(Calc!$E1351="",Calc!$E1351="نامعتبر",Calc!$G1351=""),"",Calc!$G1351)</f>
        <v/>
      </c>
      <c r="B1347">
        <f>IF($A1347="","",LEFT(Calc!$E1351,4)&amp;MID(Calc!$E1351,6,2)&amp;RIGHT(Calc!$E1351,2)&amp;Calc!$Q1351&amp;"|"&amp;"1"&amp;RIGHT("00000"&amp;1342,5))</f>
        <v/>
      </c>
      <c r="C1347">
        <f>IF($B1347="","",COUNTIFS(LdgSellerA,$A1347,LdgKeyA,"&lt;"&amp;$B1347)+COUNTIFS(LdgSellerB,$A1347,LdgKeyB,"&lt;"&amp;$B1347)+1)</f>
        <v/>
      </c>
      <c r="D1347">
        <f>IF($C1347="","",$A1347&amp;"|"&amp;RIGHT("000000"&amp;$C1347,6))</f>
        <v/>
      </c>
      <c r="F1347">
        <f>IF(Sync!$AH1347="","",IF(LEFT(UPPER(TRIM(Sync!$AH1347)),2)="SL",UPPER(TRIM(Sync!$AH1347)),""))</f>
        <v/>
      </c>
      <c r="G1347">
        <f>IF($F1347="","",IF(Sync!$AE1347="","",IF(ISNUMBER(Sync!$AE1347),IF(AND(Sync!$AE1347&gt;=10000101,Sync!$AE1347&lt;=99991231),INT(Sync!$AE1347/10000),""),IFERROR(VALUE(TRIM(LEFT(Sync!$AE1347,FIND("/",Sync!$AE1347)-1))),""))))</f>
        <v/>
      </c>
      <c r="H1347">
        <f>IF(OR($F1347="",$G1347=""),"",IF(ISNUMBER(Sync!$AE1347),INT(MOD(Sync!$AE1347,10000)/100),IFERROR(VALUE(TRIM(LEFT(MID(Sync!$AE1347,FIND("/",Sync!$AE1347)+1,20),FIND("/",MID(Sync!$AE1347,FIND("/",Sync!$AE1347)+1,20))-1))),"")))</f>
        <v/>
      </c>
      <c r="I1347">
        <f>IF(OR($F1347="",$G1347=""),"",IF(ISNUMBER(Sync!$AE1347),MOD(Sync!$AE1347,100),IFERROR(VALUE(TRIM(MID(MID(Sync!$AE1347,FIND("/",Sync!$AE1347)+1,20),FIND("/",MID(Sync!$AE1347,FIND("/",Sync!$AE1347)+1,20))+1,20))),"")))</f>
        <v/>
      </c>
      <c r="J1347">
        <f>IF($F1347="","",IF(OR($G1347="",$H1347="",$I1347="",$G1347&lt;1300,$G1347&gt;1500,$H1347&lt;1,$H1347&gt;12,$I1347&lt;1,$I1347&gt;31),"نامعتبر",RIGHT("0000"&amp;$G1347,4)&amp;"/"&amp;RIGHT("00"&amp;$H1347,2)&amp;"/"&amp;RIGHT("00"&amp;$I1347,2)))</f>
        <v/>
      </c>
      <c r="K1347">
        <f>IF(OR($F1347="",$J1347="",$J1347="نامعتبر"),"",LEFT($J1347,4)&amp;MID($J1347,6,2)&amp;RIGHT($J1347,2)&amp;$N1347&amp;"|"&amp;"2"&amp;RIGHT("00000"&amp;1342,5))</f>
        <v/>
      </c>
      <c r="L1347">
        <f>IF($K1347="","",COUNTIFS(LdgSellerA,$F1347,LdgKeyA,"&lt;"&amp;$K1347)+COUNTIFS(LdgSellerB,$F1347,LdgKeyB,"&lt;"&amp;$K1347)+1)</f>
        <v/>
      </c>
      <c r="M1347">
        <f>IF($L1347="","",$F1347&amp;"|"&amp;RIGHT("000000"&amp;$L1347,6))</f>
        <v/>
      </c>
      <c r="N1347">
        <f>IF($F1347="","",IF(Sync!$AF1347="","0000",IF(AND(ISNUMBER(Sync!$AF1347),Sync!$AF1347&gt;=0,Sync!$AF1347&lt;1),RIGHT("00"&amp;HOUR(Sync!$AF1347),2)&amp;RIGHT("00"&amp;MINUTE(Sync!$AF1347),2),IFERROR(RIGHT("00"&amp;VALUE(LEFT(Sync!$AF1347,FIND(":",Sync!$AF1347)-1)),2)&amp;RIGHT("00"&amp;VALUE(MID(Sync!$AF1347,FIND(":",Sync!$AF1347)+1,2)),2),"0000"))))</f>
        <v/>
      </c>
    </row>
    <row r="1348">
      <c r="A1348">
        <f>IF(OR(Calc!$E1352="",Calc!$E1352="نامعتبر",Calc!$G1352=""),"",Calc!$G1352)</f>
        <v/>
      </c>
      <c r="B1348">
        <f>IF($A1348="","",LEFT(Calc!$E1352,4)&amp;MID(Calc!$E1352,6,2)&amp;RIGHT(Calc!$E1352,2)&amp;Calc!$Q1352&amp;"|"&amp;"1"&amp;RIGHT("00000"&amp;1343,5))</f>
        <v/>
      </c>
      <c r="C1348">
        <f>IF($B1348="","",COUNTIFS(LdgSellerA,$A1348,LdgKeyA,"&lt;"&amp;$B1348)+COUNTIFS(LdgSellerB,$A1348,LdgKeyB,"&lt;"&amp;$B1348)+1)</f>
        <v/>
      </c>
      <c r="D1348">
        <f>IF($C1348="","",$A1348&amp;"|"&amp;RIGHT("000000"&amp;$C1348,6))</f>
        <v/>
      </c>
      <c r="F1348">
        <f>IF(Sync!$AH1348="","",IF(LEFT(UPPER(TRIM(Sync!$AH1348)),2)="SL",UPPER(TRIM(Sync!$AH1348)),""))</f>
        <v/>
      </c>
      <c r="G1348">
        <f>IF($F1348="","",IF(Sync!$AE1348="","",IF(ISNUMBER(Sync!$AE1348),IF(AND(Sync!$AE1348&gt;=10000101,Sync!$AE1348&lt;=99991231),INT(Sync!$AE1348/10000),""),IFERROR(VALUE(TRIM(LEFT(Sync!$AE1348,FIND("/",Sync!$AE1348)-1))),""))))</f>
        <v/>
      </c>
      <c r="H1348">
        <f>IF(OR($F1348="",$G1348=""),"",IF(ISNUMBER(Sync!$AE1348),INT(MOD(Sync!$AE1348,10000)/100),IFERROR(VALUE(TRIM(LEFT(MID(Sync!$AE1348,FIND("/",Sync!$AE1348)+1,20),FIND("/",MID(Sync!$AE1348,FIND("/",Sync!$AE1348)+1,20))-1))),"")))</f>
        <v/>
      </c>
      <c r="I1348">
        <f>IF(OR($F1348="",$G1348=""),"",IF(ISNUMBER(Sync!$AE1348),MOD(Sync!$AE1348,100),IFERROR(VALUE(TRIM(MID(MID(Sync!$AE1348,FIND("/",Sync!$AE1348)+1,20),FIND("/",MID(Sync!$AE1348,FIND("/",Sync!$AE1348)+1,20))+1,20))),"")))</f>
        <v/>
      </c>
      <c r="J1348">
        <f>IF($F1348="","",IF(OR($G1348="",$H1348="",$I1348="",$G1348&lt;1300,$G1348&gt;1500,$H1348&lt;1,$H1348&gt;12,$I1348&lt;1,$I1348&gt;31),"نامعتبر",RIGHT("0000"&amp;$G1348,4)&amp;"/"&amp;RIGHT("00"&amp;$H1348,2)&amp;"/"&amp;RIGHT("00"&amp;$I1348,2)))</f>
        <v/>
      </c>
      <c r="K1348">
        <f>IF(OR($F1348="",$J1348="",$J1348="نامعتبر"),"",LEFT($J1348,4)&amp;MID($J1348,6,2)&amp;RIGHT($J1348,2)&amp;$N1348&amp;"|"&amp;"2"&amp;RIGHT("00000"&amp;1343,5))</f>
        <v/>
      </c>
      <c r="L1348">
        <f>IF($K1348="","",COUNTIFS(LdgSellerA,$F1348,LdgKeyA,"&lt;"&amp;$K1348)+COUNTIFS(LdgSellerB,$F1348,LdgKeyB,"&lt;"&amp;$K1348)+1)</f>
        <v/>
      </c>
      <c r="M1348">
        <f>IF($L1348="","",$F1348&amp;"|"&amp;RIGHT("000000"&amp;$L1348,6))</f>
        <v/>
      </c>
      <c r="N1348">
        <f>IF($F1348="","",IF(Sync!$AF1348="","0000",IF(AND(ISNUMBER(Sync!$AF1348),Sync!$AF1348&gt;=0,Sync!$AF1348&lt;1),RIGHT("00"&amp;HOUR(Sync!$AF1348),2)&amp;RIGHT("00"&amp;MINUTE(Sync!$AF1348),2),IFERROR(RIGHT("00"&amp;VALUE(LEFT(Sync!$AF1348,FIND(":",Sync!$AF1348)-1)),2)&amp;RIGHT("00"&amp;VALUE(MID(Sync!$AF1348,FIND(":",Sync!$AF1348)+1,2)),2),"0000"))))</f>
        <v/>
      </c>
    </row>
    <row r="1349">
      <c r="A1349">
        <f>IF(OR(Calc!$E1353="",Calc!$E1353="نامعتبر",Calc!$G1353=""),"",Calc!$G1353)</f>
        <v/>
      </c>
      <c r="B1349">
        <f>IF($A1349="","",LEFT(Calc!$E1353,4)&amp;MID(Calc!$E1353,6,2)&amp;RIGHT(Calc!$E1353,2)&amp;Calc!$Q1353&amp;"|"&amp;"1"&amp;RIGHT("00000"&amp;1344,5))</f>
        <v/>
      </c>
      <c r="C1349">
        <f>IF($B1349="","",COUNTIFS(LdgSellerA,$A1349,LdgKeyA,"&lt;"&amp;$B1349)+COUNTIFS(LdgSellerB,$A1349,LdgKeyB,"&lt;"&amp;$B1349)+1)</f>
        <v/>
      </c>
      <c r="D1349">
        <f>IF($C1349="","",$A1349&amp;"|"&amp;RIGHT("000000"&amp;$C1349,6))</f>
        <v/>
      </c>
      <c r="F1349">
        <f>IF(Sync!$AH1349="","",IF(LEFT(UPPER(TRIM(Sync!$AH1349)),2)="SL",UPPER(TRIM(Sync!$AH1349)),""))</f>
        <v/>
      </c>
      <c r="G1349">
        <f>IF($F1349="","",IF(Sync!$AE1349="","",IF(ISNUMBER(Sync!$AE1349),IF(AND(Sync!$AE1349&gt;=10000101,Sync!$AE1349&lt;=99991231),INT(Sync!$AE1349/10000),""),IFERROR(VALUE(TRIM(LEFT(Sync!$AE1349,FIND("/",Sync!$AE1349)-1))),""))))</f>
        <v/>
      </c>
      <c r="H1349">
        <f>IF(OR($F1349="",$G1349=""),"",IF(ISNUMBER(Sync!$AE1349),INT(MOD(Sync!$AE1349,10000)/100),IFERROR(VALUE(TRIM(LEFT(MID(Sync!$AE1349,FIND("/",Sync!$AE1349)+1,20),FIND("/",MID(Sync!$AE1349,FIND("/",Sync!$AE1349)+1,20))-1))),"")))</f>
        <v/>
      </c>
      <c r="I1349">
        <f>IF(OR($F1349="",$G1349=""),"",IF(ISNUMBER(Sync!$AE1349),MOD(Sync!$AE1349,100),IFERROR(VALUE(TRIM(MID(MID(Sync!$AE1349,FIND("/",Sync!$AE1349)+1,20),FIND("/",MID(Sync!$AE1349,FIND("/",Sync!$AE1349)+1,20))+1,20))),"")))</f>
        <v/>
      </c>
      <c r="J1349">
        <f>IF($F1349="","",IF(OR($G1349="",$H1349="",$I1349="",$G1349&lt;1300,$G1349&gt;1500,$H1349&lt;1,$H1349&gt;12,$I1349&lt;1,$I1349&gt;31),"نامعتبر",RIGHT("0000"&amp;$G1349,4)&amp;"/"&amp;RIGHT("00"&amp;$H1349,2)&amp;"/"&amp;RIGHT("00"&amp;$I1349,2)))</f>
        <v/>
      </c>
      <c r="K1349">
        <f>IF(OR($F1349="",$J1349="",$J1349="نامعتبر"),"",LEFT($J1349,4)&amp;MID($J1349,6,2)&amp;RIGHT($J1349,2)&amp;$N1349&amp;"|"&amp;"2"&amp;RIGHT("00000"&amp;1344,5))</f>
        <v/>
      </c>
      <c r="L1349">
        <f>IF($K1349="","",COUNTIFS(LdgSellerA,$F1349,LdgKeyA,"&lt;"&amp;$K1349)+COUNTIFS(LdgSellerB,$F1349,LdgKeyB,"&lt;"&amp;$K1349)+1)</f>
        <v/>
      </c>
      <c r="M1349">
        <f>IF($L1349="","",$F1349&amp;"|"&amp;RIGHT("000000"&amp;$L1349,6))</f>
        <v/>
      </c>
      <c r="N1349">
        <f>IF($F1349="","",IF(Sync!$AF1349="","0000",IF(AND(ISNUMBER(Sync!$AF1349),Sync!$AF1349&gt;=0,Sync!$AF1349&lt;1),RIGHT("00"&amp;HOUR(Sync!$AF1349),2)&amp;RIGHT("00"&amp;MINUTE(Sync!$AF1349),2),IFERROR(RIGHT("00"&amp;VALUE(LEFT(Sync!$AF1349,FIND(":",Sync!$AF1349)-1)),2)&amp;RIGHT("00"&amp;VALUE(MID(Sync!$AF1349,FIND(":",Sync!$AF1349)+1,2)),2),"0000"))))</f>
        <v/>
      </c>
    </row>
    <row r="1350">
      <c r="A1350">
        <f>IF(OR(Calc!$E1354="",Calc!$E1354="نامعتبر",Calc!$G1354=""),"",Calc!$G1354)</f>
        <v/>
      </c>
      <c r="B1350">
        <f>IF($A1350="","",LEFT(Calc!$E1354,4)&amp;MID(Calc!$E1354,6,2)&amp;RIGHT(Calc!$E1354,2)&amp;Calc!$Q1354&amp;"|"&amp;"1"&amp;RIGHT("00000"&amp;1345,5))</f>
        <v/>
      </c>
      <c r="C1350">
        <f>IF($B1350="","",COUNTIFS(LdgSellerA,$A1350,LdgKeyA,"&lt;"&amp;$B1350)+COUNTIFS(LdgSellerB,$A1350,LdgKeyB,"&lt;"&amp;$B1350)+1)</f>
        <v/>
      </c>
      <c r="D1350">
        <f>IF($C1350="","",$A1350&amp;"|"&amp;RIGHT("000000"&amp;$C1350,6))</f>
        <v/>
      </c>
      <c r="F1350">
        <f>IF(Sync!$AH1350="","",IF(LEFT(UPPER(TRIM(Sync!$AH1350)),2)="SL",UPPER(TRIM(Sync!$AH1350)),""))</f>
        <v/>
      </c>
      <c r="G1350">
        <f>IF($F1350="","",IF(Sync!$AE1350="","",IF(ISNUMBER(Sync!$AE1350),IF(AND(Sync!$AE1350&gt;=10000101,Sync!$AE1350&lt;=99991231),INT(Sync!$AE1350/10000),""),IFERROR(VALUE(TRIM(LEFT(Sync!$AE1350,FIND("/",Sync!$AE1350)-1))),""))))</f>
        <v/>
      </c>
      <c r="H1350">
        <f>IF(OR($F1350="",$G1350=""),"",IF(ISNUMBER(Sync!$AE1350),INT(MOD(Sync!$AE1350,10000)/100),IFERROR(VALUE(TRIM(LEFT(MID(Sync!$AE1350,FIND("/",Sync!$AE1350)+1,20),FIND("/",MID(Sync!$AE1350,FIND("/",Sync!$AE1350)+1,20))-1))),"")))</f>
        <v/>
      </c>
      <c r="I1350">
        <f>IF(OR($F1350="",$G1350=""),"",IF(ISNUMBER(Sync!$AE1350),MOD(Sync!$AE1350,100),IFERROR(VALUE(TRIM(MID(MID(Sync!$AE1350,FIND("/",Sync!$AE1350)+1,20),FIND("/",MID(Sync!$AE1350,FIND("/",Sync!$AE1350)+1,20))+1,20))),"")))</f>
        <v/>
      </c>
      <c r="J1350">
        <f>IF($F1350="","",IF(OR($G1350="",$H1350="",$I1350="",$G1350&lt;1300,$G1350&gt;1500,$H1350&lt;1,$H1350&gt;12,$I1350&lt;1,$I1350&gt;31),"نامعتبر",RIGHT("0000"&amp;$G1350,4)&amp;"/"&amp;RIGHT("00"&amp;$H1350,2)&amp;"/"&amp;RIGHT("00"&amp;$I1350,2)))</f>
        <v/>
      </c>
      <c r="K1350">
        <f>IF(OR($F1350="",$J1350="",$J1350="نامعتبر"),"",LEFT($J1350,4)&amp;MID($J1350,6,2)&amp;RIGHT($J1350,2)&amp;$N1350&amp;"|"&amp;"2"&amp;RIGHT("00000"&amp;1345,5))</f>
        <v/>
      </c>
      <c r="L1350">
        <f>IF($K1350="","",COUNTIFS(LdgSellerA,$F1350,LdgKeyA,"&lt;"&amp;$K1350)+COUNTIFS(LdgSellerB,$F1350,LdgKeyB,"&lt;"&amp;$K1350)+1)</f>
        <v/>
      </c>
      <c r="M1350">
        <f>IF($L1350="","",$F1350&amp;"|"&amp;RIGHT("000000"&amp;$L1350,6))</f>
        <v/>
      </c>
      <c r="N1350">
        <f>IF($F1350="","",IF(Sync!$AF1350="","0000",IF(AND(ISNUMBER(Sync!$AF1350),Sync!$AF1350&gt;=0,Sync!$AF1350&lt;1),RIGHT("00"&amp;HOUR(Sync!$AF1350),2)&amp;RIGHT("00"&amp;MINUTE(Sync!$AF1350),2),IFERROR(RIGHT("00"&amp;VALUE(LEFT(Sync!$AF1350,FIND(":",Sync!$AF1350)-1)),2)&amp;RIGHT("00"&amp;VALUE(MID(Sync!$AF1350,FIND(":",Sync!$AF1350)+1,2)),2),"0000"))))</f>
        <v/>
      </c>
    </row>
    <row r="1351">
      <c r="A1351">
        <f>IF(OR(Calc!$E1355="",Calc!$E1355="نامعتبر",Calc!$G1355=""),"",Calc!$G1355)</f>
        <v/>
      </c>
      <c r="B1351">
        <f>IF($A1351="","",LEFT(Calc!$E1355,4)&amp;MID(Calc!$E1355,6,2)&amp;RIGHT(Calc!$E1355,2)&amp;Calc!$Q1355&amp;"|"&amp;"1"&amp;RIGHT("00000"&amp;1346,5))</f>
        <v/>
      </c>
      <c r="C1351">
        <f>IF($B1351="","",COUNTIFS(LdgSellerA,$A1351,LdgKeyA,"&lt;"&amp;$B1351)+COUNTIFS(LdgSellerB,$A1351,LdgKeyB,"&lt;"&amp;$B1351)+1)</f>
        <v/>
      </c>
      <c r="D1351">
        <f>IF($C1351="","",$A1351&amp;"|"&amp;RIGHT("000000"&amp;$C1351,6))</f>
        <v/>
      </c>
      <c r="F1351">
        <f>IF(Sync!$AH1351="","",IF(LEFT(UPPER(TRIM(Sync!$AH1351)),2)="SL",UPPER(TRIM(Sync!$AH1351)),""))</f>
        <v/>
      </c>
      <c r="G1351">
        <f>IF($F1351="","",IF(Sync!$AE1351="","",IF(ISNUMBER(Sync!$AE1351),IF(AND(Sync!$AE1351&gt;=10000101,Sync!$AE1351&lt;=99991231),INT(Sync!$AE1351/10000),""),IFERROR(VALUE(TRIM(LEFT(Sync!$AE1351,FIND("/",Sync!$AE1351)-1))),""))))</f>
        <v/>
      </c>
      <c r="H1351">
        <f>IF(OR($F1351="",$G1351=""),"",IF(ISNUMBER(Sync!$AE1351),INT(MOD(Sync!$AE1351,10000)/100),IFERROR(VALUE(TRIM(LEFT(MID(Sync!$AE1351,FIND("/",Sync!$AE1351)+1,20),FIND("/",MID(Sync!$AE1351,FIND("/",Sync!$AE1351)+1,20))-1))),"")))</f>
        <v/>
      </c>
      <c r="I1351">
        <f>IF(OR($F1351="",$G1351=""),"",IF(ISNUMBER(Sync!$AE1351),MOD(Sync!$AE1351,100),IFERROR(VALUE(TRIM(MID(MID(Sync!$AE1351,FIND("/",Sync!$AE1351)+1,20),FIND("/",MID(Sync!$AE1351,FIND("/",Sync!$AE1351)+1,20))+1,20))),"")))</f>
        <v/>
      </c>
      <c r="J1351">
        <f>IF($F1351="","",IF(OR($G1351="",$H1351="",$I1351="",$G1351&lt;1300,$G1351&gt;1500,$H1351&lt;1,$H1351&gt;12,$I1351&lt;1,$I1351&gt;31),"نامعتبر",RIGHT("0000"&amp;$G1351,4)&amp;"/"&amp;RIGHT("00"&amp;$H1351,2)&amp;"/"&amp;RIGHT("00"&amp;$I1351,2)))</f>
        <v/>
      </c>
      <c r="K1351">
        <f>IF(OR($F1351="",$J1351="",$J1351="نامعتبر"),"",LEFT($J1351,4)&amp;MID($J1351,6,2)&amp;RIGHT($J1351,2)&amp;$N1351&amp;"|"&amp;"2"&amp;RIGHT("00000"&amp;1346,5))</f>
        <v/>
      </c>
      <c r="L1351">
        <f>IF($K1351="","",COUNTIFS(LdgSellerA,$F1351,LdgKeyA,"&lt;"&amp;$K1351)+COUNTIFS(LdgSellerB,$F1351,LdgKeyB,"&lt;"&amp;$K1351)+1)</f>
        <v/>
      </c>
      <c r="M1351">
        <f>IF($L1351="","",$F1351&amp;"|"&amp;RIGHT("000000"&amp;$L1351,6))</f>
        <v/>
      </c>
      <c r="N1351">
        <f>IF($F1351="","",IF(Sync!$AF1351="","0000",IF(AND(ISNUMBER(Sync!$AF1351),Sync!$AF1351&gt;=0,Sync!$AF1351&lt;1),RIGHT("00"&amp;HOUR(Sync!$AF1351),2)&amp;RIGHT("00"&amp;MINUTE(Sync!$AF1351),2),IFERROR(RIGHT("00"&amp;VALUE(LEFT(Sync!$AF1351,FIND(":",Sync!$AF1351)-1)),2)&amp;RIGHT("00"&amp;VALUE(MID(Sync!$AF1351,FIND(":",Sync!$AF1351)+1,2)),2),"0000"))))</f>
        <v/>
      </c>
    </row>
    <row r="1352">
      <c r="A1352">
        <f>IF(OR(Calc!$E1356="",Calc!$E1356="نامعتبر",Calc!$G1356=""),"",Calc!$G1356)</f>
        <v/>
      </c>
      <c r="B1352">
        <f>IF($A1352="","",LEFT(Calc!$E1356,4)&amp;MID(Calc!$E1356,6,2)&amp;RIGHT(Calc!$E1356,2)&amp;Calc!$Q1356&amp;"|"&amp;"1"&amp;RIGHT("00000"&amp;1347,5))</f>
        <v/>
      </c>
      <c r="C1352">
        <f>IF($B1352="","",COUNTIFS(LdgSellerA,$A1352,LdgKeyA,"&lt;"&amp;$B1352)+COUNTIFS(LdgSellerB,$A1352,LdgKeyB,"&lt;"&amp;$B1352)+1)</f>
        <v/>
      </c>
      <c r="D1352">
        <f>IF($C1352="","",$A1352&amp;"|"&amp;RIGHT("000000"&amp;$C1352,6))</f>
        <v/>
      </c>
      <c r="F1352">
        <f>IF(Sync!$AH1352="","",IF(LEFT(UPPER(TRIM(Sync!$AH1352)),2)="SL",UPPER(TRIM(Sync!$AH1352)),""))</f>
        <v/>
      </c>
      <c r="G1352">
        <f>IF($F1352="","",IF(Sync!$AE1352="","",IF(ISNUMBER(Sync!$AE1352),IF(AND(Sync!$AE1352&gt;=10000101,Sync!$AE1352&lt;=99991231),INT(Sync!$AE1352/10000),""),IFERROR(VALUE(TRIM(LEFT(Sync!$AE1352,FIND("/",Sync!$AE1352)-1))),""))))</f>
        <v/>
      </c>
      <c r="H1352">
        <f>IF(OR($F1352="",$G1352=""),"",IF(ISNUMBER(Sync!$AE1352),INT(MOD(Sync!$AE1352,10000)/100),IFERROR(VALUE(TRIM(LEFT(MID(Sync!$AE1352,FIND("/",Sync!$AE1352)+1,20),FIND("/",MID(Sync!$AE1352,FIND("/",Sync!$AE1352)+1,20))-1))),"")))</f>
        <v/>
      </c>
      <c r="I1352">
        <f>IF(OR($F1352="",$G1352=""),"",IF(ISNUMBER(Sync!$AE1352),MOD(Sync!$AE1352,100),IFERROR(VALUE(TRIM(MID(MID(Sync!$AE1352,FIND("/",Sync!$AE1352)+1,20),FIND("/",MID(Sync!$AE1352,FIND("/",Sync!$AE1352)+1,20))+1,20))),"")))</f>
        <v/>
      </c>
      <c r="J1352">
        <f>IF($F1352="","",IF(OR($G1352="",$H1352="",$I1352="",$G1352&lt;1300,$G1352&gt;1500,$H1352&lt;1,$H1352&gt;12,$I1352&lt;1,$I1352&gt;31),"نامعتبر",RIGHT("0000"&amp;$G1352,4)&amp;"/"&amp;RIGHT("00"&amp;$H1352,2)&amp;"/"&amp;RIGHT("00"&amp;$I1352,2)))</f>
        <v/>
      </c>
      <c r="K1352">
        <f>IF(OR($F1352="",$J1352="",$J1352="نامعتبر"),"",LEFT($J1352,4)&amp;MID($J1352,6,2)&amp;RIGHT($J1352,2)&amp;$N1352&amp;"|"&amp;"2"&amp;RIGHT("00000"&amp;1347,5))</f>
        <v/>
      </c>
      <c r="L1352">
        <f>IF($K1352="","",COUNTIFS(LdgSellerA,$F1352,LdgKeyA,"&lt;"&amp;$K1352)+COUNTIFS(LdgSellerB,$F1352,LdgKeyB,"&lt;"&amp;$K1352)+1)</f>
        <v/>
      </c>
      <c r="M1352">
        <f>IF($L1352="","",$F1352&amp;"|"&amp;RIGHT("000000"&amp;$L1352,6))</f>
        <v/>
      </c>
      <c r="N1352">
        <f>IF($F1352="","",IF(Sync!$AF1352="","0000",IF(AND(ISNUMBER(Sync!$AF1352),Sync!$AF1352&gt;=0,Sync!$AF1352&lt;1),RIGHT("00"&amp;HOUR(Sync!$AF1352),2)&amp;RIGHT("00"&amp;MINUTE(Sync!$AF1352),2),IFERROR(RIGHT("00"&amp;VALUE(LEFT(Sync!$AF1352,FIND(":",Sync!$AF1352)-1)),2)&amp;RIGHT("00"&amp;VALUE(MID(Sync!$AF1352,FIND(":",Sync!$AF1352)+1,2)),2),"0000"))))</f>
        <v/>
      </c>
    </row>
    <row r="1353">
      <c r="A1353">
        <f>IF(OR(Calc!$E1357="",Calc!$E1357="نامعتبر",Calc!$G1357=""),"",Calc!$G1357)</f>
        <v/>
      </c>
      <c r="B1353">
        <f>IF($A1353="","",LEFT(Calc!$E1357,4)&amp;MID(Calc!$E1357,6,2)&amp;RIGHT(Calc!$E1357,2)&amp;Calc!$Q1357&amp;"|"&amp;"1"&amp;RIGHT("00000"&amp;1348,5))</f>
        <v/>
      </c>
      <c r="C1353">
        <f>IF($B1353="","",COUNTIFS(LdgSellerA,$A1353,LdgKeyA,"&lt;"&amp;$B1353)+COUNTIFS(LdgSellerB,$A1353,LdgKeyB,"&lt;"&amp;$B1353)+1)</f>
        <v/>
      </c>
      <c r="D1353">
        <f>IF($C1353="","",$A1353&amp;"|"&amp;RIGHT("000000"&amp;$C1353,6))</f>
        <v/>
      </c>
      <c r="F1353">
        <f>IF(Sync!$AH1353="","",IF(LEFT(UPPER(TRIM(Sync!$AH1353)),2)="SL",UPPER(TRIM(Sync!$AH1353)),""))</f>
        <v/>
      </c>
      <c r="G1353">
        <f>IF($F1353="","",IF(Sync!$AE1353="","",IF(ISNUMBER(Sync!$AE1353),IF(AND(Sync!$AE1353&gt;=10000101,Sync!$AE1353&lt;=99991231),INT(Sync!$AE1353/10000),""),IFERROR(VALUE(TRIM(LEFT(Sync!$AE1353,FIND("/",Sync!$AE1353)-1))),""))))</f>
        <v/>
      </c>
      <c r="H1353">
        <f>IF(OR($F1353="",$G1353=""),"",IF(ISNUMBER(Sync!$AE1353),INT(MOD(Sync!$AE1353,10000)/100),IFERROR(VALUE(TRIM(LEFT(MID(Sync!$AE1353,FIND("/",Sync!$AE1353)+1,20),FIND("/",MID(Sync!$AE1353,FIND("/",Sync!$AE1353)+1,20))-1))),"")))</f>
        <v/>
      </c>
      <c r="I1353">
        <f>IF(OR($F1353="",$G1353=""),"",IF(ISNUMBER(Sync!$AE1353),MOD(Sync!$AE1353,100),IFERROR(VALUE(TRIM(MID(MID(Sync!$AE1353,FIND("/",Sync!$AE1353)+1,20),FIND("/",MID(Sync!$AE1353,FIND("/",Sync!$AE1353)+1,20))+1,20))),"")))</f>
        <v/>
      </c>
      <c r="J1353">
        <f>IF($F1353="","",IF(OR($G1353="",$H1353="",$I1353="",$G1353&lt;1300,$G1353&gt;1500,$H1353&lt;1,$H1353&gt;12,$I1353&lt;1,$I1353&gt;31),"نامعتبر",RIGHT("0000"&amp;$G1353,4)&amp;"/"&amp;RIGHT("00"&amp;$H1353,2)&amp;"/"&amp;RIGHT("00"&amp;$I1353,2)))</f>
        <v/>
      </c>
      <c r="K1353">
        <f>IF(OR($F1353="",$J1353="",$J1353="نامعتبر"),"",LEFT($J1353,4)&amp;MID($J1353,6,2)&amp;RIGHT($J1353,2)&amp;$N1353&amp;"|"&amp;"2"&amp;RIGHT("00000"&amp;1348,5))</f>
        <v/>
      </c>
      <c r="L1353">
        <f>IF($K1353="","",COUNTIFS(LdgSellerA,$F1353,LdgKeyA,"&lt;"&amp;$K1353)+COUNTIFS(LdgSellerB,$F1353,LdgKeyB,"&lt;"&amp;$K1353)+1)</f>
        <v/>
      </c>
      <c r="M1353">
        <f>IF($L1353="","",$F1353&amp;"|"&amp;RIGHT("000000"&amp;$L1353,6))</f>
        <v/>
      </c>
      <c r="N1353">
        <f>IF($F1353="","",IF(Sync!$AF1353="","0000",IF(AND(ISNUMBER(Sync!$AF1353),Sync!$AF1353&gt;=0,Sync!$AF1353&lt;1),RIGHT("00"&amp;HOUR(Sync!$AF1353),2)&amp;RIGHT("00"&amp;MINUTE(Sync!$AF1353),2),IFERROR(RIGHT("00"&amp;VALUE(LEFT(Sync!$AF1353,FIND(":",Sync!$AF1353)-1)),2)&amp;RIGHT("00"&amp;VALUE(MID(Sync!$AF1353,FIND(":",Sync!$AF1353)+1,2)),2),"0000"))))</f>
        <v/>
      </c>
    </row>
    <row r="1354">
      <c r="A1354">
        <f>IF(OR(Calc!$E1358="",Calc!$E1358="نامعتبر",Calc!$G1358=""),"",Calc!$G1358)</f>
        <v/>
      </c>
      <c r="B1354">
        <f>IF($A1354="","",LEFT(Calc!$E1358,4)&amp;MID(Calc!$E1358,6,2)&amp;RIGHT(Calc!$E1358,2)&amp;Calc!$Q1358&amp;"|"&amp;"1"&amp;RIGHT("00000"&amp;1349,5))</f>
        <v/>
      </c>
      <c r="C1354">
        <f>IF($B1354="","",COUNTIFS(LdgSellerA,$A1354,LdgKeyA,"&lt;"&amp;$B1354)+COUNTIFS(LdgSellerB,$A1354,LdgKeyB,"&lt;"&amp;$B1354)+1)</f>
        <v/>
      </c>
      <c r="D1354">
        <f>IF($C1354="","",$A1354&amp;"|"&amp;RIGHT("000000"&amp;$C1354,6))</f>
        <v/>
      </c>
      <c r="F1354">
        <f>IF(Sync!$AH1354="","",IF(LEFT(UPPER(TRIM(Sync!$AH1354)),2)="SL",UPPER(TRIM(Sync!$AH1354)),""))</f>
        <v/>
      </c>
      <c r="G1354">
        <f>IF($F1354="","",IF(Sync!$AE1354="","",IF(ISNUMBER(Sync!$AE1354),IF(AND(Sync!$AE1354&gt;=10000101,Sync!$AE1354&lt;=99991231),INT(Sync!$AE1354/10000),""),IFERROR(VALUE(TRIM(LEFT(Sync!$AE1354,FIND("/",Sync!$AE1354)-1))),""))))</f>
        <v/>
      </c>
      <c r="H1354">
        <f>IF(OR($F1354="",$G1354=""),"",IF(ISNUMBER(Sync!$AE1354),INT(MOD(Sync!$AE1354,10000)/100),IFERROR(VALUE(TRIM(LEFT(MID(Sync!$AE1354,FIND("/",Sync!$AE1354)+1,20),FIND("/",MID(Sync!$AE1354,FIND("/",Sync!$AE1354)+1,20))-1))),"")))</f>
        <v/>
      </c>
      <c r="I1354">
        <f>IF(OR($F1354="",$G1354=""),"",IF(ISNUMBER(Sync!$AE1354),MOD(Sync!$AE1354,100),IFERROR(VALUE(TRIM(MID(MID(Sync!$AE1354,FIND("/",Sync!$AE1354)+1,20),FIND("/",MID(Sync!$AE1354,FIND("/",Sync!$AE1354)+1,20))+1,20))),"")))</f>
        <v/>
      </c>
      <c r="J1354">
        <f>IF($F1354="","",IF(OR($G1354="",$H1354="",$I1354="",$G1354&lt;1300,$G1354&gt;1500,$H1354&lt;1,$H1354&gt;12,$I1354&lt;1,$I1354&gt;31),"نامعتبر",RIGHT("0000"&amp;$G1354,4)&amp;"/"&amp;RIGHT("00"&amp;$H1354,2)&amp;"/"&amp;RIGHT("00"&amp;$I1354,2)))</f>
        <v/>
      </c>
      <c r="K1354">
        <f>IF(OR($F1354="",$J1354="",$J1354="نامعتبر"),"",LEFT($J1354,4)&amp;MID($J1354,6,2)&amp;RIGHT($J1354,2)&amp;$N1354&amp;"|"&amp;"2"&amp;RIGHT("00000"&amp;1349,5))</f>
        <v/>
      </c>
      <c r="L1354">
        <f>IF($K1354="","",COUNTIFS(LdgSellerA,$F1354,LdgKeyA,"&lt;"&amp;$K1354)+COUNTIFS(LdgSellerB,$F1354,LdgKeyB,"&lt;"&amp;$K1354)+1)</f>
        <v/>
      </c>
      <c r="M1354">
        <f>IF($L1354="","",$F1354&amp;"|"&amp;RIGHT("000000"&amp;$L1354,6))</f>
        <v/>
      </c>
      <c r="N1354">
        <f>IF($F1354="","",IF(Sync!$AF1354="","0000",IF(AND(ISNUMBER(Sync!$AF1354),Sync!$AF1354&gt;=0,Sync!$AF1354&lt;1),RIGHT("00"&amp;HOUR(Sync!$AF1354),2)&amp;RIGHT("00"&amp;MINUTE(Sync!$AF1354),2),IFERROR(RIGHT("00"&amp;VALUE(LEFT(Sync!$AF1354,FIND(":",Sync!$AF1354)-1)),2)&amp;RIGHT("00"&amp;VALUE(MID(Sync!$AF1354,FIND(":",Sync!$AF1354)+1,2)),2),"0000"))))</f>
        <v/>
      </c>
    </row>
    <row r="1355">
      <c r="A1355">
        <f>IF(OR(Calc!$E1359="",Calc!$E1359="نامعتبر",Calc!$G1359=""),"",Calc!$G1359)</f>
        <v/>
      </c>
      <c r="B1355">
        <f>IF($A1355="","",LEFT(Calc!$E1359,4)&amp;MID(Calc!$E1359,6,2)&amp;RIGHT(Calc!$E1359,2)&amp;Calc!$Q1359&amp;"|"&amp;"1"&amp;RIGHT("00000"&amp;1350,5))</f>
        <v/>
      </c>
      <c r="C1355">
        <f>IF($B1355="","",COUNTIFS(LdgSellerA,$A1355,LdgKeyA,"&lt;"&amp;$B1355)+COUNTIFS(LdgSellerB,$A1355,LdgKeyB,"&lt;"&amp;$B1355)+1)</f>
        <v/>
      </c>
      <c r="D1355">
        <f>IF($C1355="","",$A1355&amp;"|"&amp;RIGHT("000000"&amp;$C1355,6))</f>
        <v/>
      </c>
      <c r="F1355">
        <f>IF(Sync!$AH1355="","",IF(LEFT(UPPER(TRIM(Sync!$AH1355)),2)="SL",UPPER(TRIM(Sync!$AH1355)),""))</f>
        <v/>
      </c>
      <c r="G1355">
        <f>IF($F1355="","",IF(Sync!$AE1355="","",IF(ISNUMBER(Sync!$AE1355),IF(AND(Sync!$AE1355&gt;=10000101,Sync!$AE1355&lt;=99991231),INT(Sync!$AE1355/10000),""),IFERROR(VALUE(TRIM(LEFT(Sync!$AE1355,FIND("/",Sync!$AE1355)-1))),""))))</f>
        <v/>
      </c>
      <c r="H1355">
        <f>IF(OR($F1355="",$G1355=""),"",IF(ISNUMBER(Sync!$AE1355),INT(MOD(Sync!$AE1355,10000)/100),IFERROR(VALUE(TRIM(LEFT(MID(Sync!$AE1355,FIND("/",Sync!$AE1355)+1,20),FIND("/",MID(Sync!$AE1355,FIND("/",Sync!$AE1355)+1,20))-1))),"")))</f>
        <v/>
      </c>
      <c r="I1355">
        <f>IF(OR($F1355="",$G1355=""),"",IF(ISNUMBER(Sync!$AE1355),MOD(Sync!$AE1355,100),IFERROR(VALUE(TRIM(MID(MID(Sync!$AE1355,FIND("/",Sync!$AE1355)+1,20),FIND("/",MID(Sync!$AE1355,FIND("/",Sync!$AE1355)+1,20))+1,20))),"")))</f>
        <v/>
      </c>
      <c r="J1355">
        <f>IF($F1355="","",IF(OR($G1355="",$H1355="",$I1355="",$G1355&lt;1300,$G1355&gt;1500,$H1355&lt;1,$H1355&gt;12,$I1355&lt;1,$I1355&gt;31),"نامعتبر",RIGHT("0000"&amp;$G1355,4)&amp;"/"&amp;RIGHT("00"&amp;$H1355,2)&amp;"/"&amp;RIGHT("00"&amp;$I1355,2)))</f>
        <v/>
      </c>
      <c r="K1355">
        <f>IF(OR($F1355="",$J1355="",$J1355="نامعتبر"),"",LEFT($J1355,4)&amp;MID($J1355,6,2)&amp;RIGHT($J1355,2)&amp;$N1355&amp;"|"&amp;"2"&amp;RIGHT("00000"&amp;1350,5))</f>
        <v/>
      </c>
      <c r="L1355">
        <f>IF($K1355="","",COUNTIFS(LdgSellerA,$F1355,LdgKeyA,"&lt;"&amp;$K1355)+COUNTIFS(LdgSellerB,$F1355,LdgKeyB,"&lt;"&amp;$K1355)+1)</f>
        <v/>
      </c>
      <c r="M1355">
        <f>IF($L1355="","",$F1355&amp;"|"&amp;RIGHT("000000"&amp;$L1355,6))</f>
        <v/>
      </c>
      <c r="N1355">
        <f>IF($F1355="","",IF(Sync!$AF1355="","0000",IF(AND(ISNUMBER(Sync!$AF1355),Sync!$AF1355&gt;=0,Sync!$AF1355&lt;1),RIGHT("00"&amp;HOUR(Sync!$AF1355),2)&amp;RIGHT("00"&amp;MINUTE(Sync!$AF1355),2),IFERROR(RIGHT("00"&amp;VALUE(LEFT(Sync!$AF1355,FIND(":",Sync!$AF1355)-1)),2)&amp;RIGHT("00"&amp;VALUE(MID(Sync!$AF1355,FIND(":",Sync!$AF1355)+1,2)),2),"0000"))))</f>
        <v/>
      </c>
    </row>
    <row r="1356">
      <c r="A1356">
        <f>IF(OR(Calc!$E1360="",Calc!$E1360="نامعتبر",Calc!$G1360=""),"",Calc!$G1360)</f>
        <v/>
      </c>
      <c r="B1356">
        <f>IF($A1356="","",LEFT(Calc!$E1360,4)&amp;MID(Calc!$E1360,6,2)&amp;RIGHT(Calc!$E1360,2)&amp;Calc!$Q1360&amp;"|"&amp;"1"&amp;RIGHT("00000"&amp;1351,5))</f>
        <v/>
      </c>
      <c r="C1356">
        <f>IF($B1356="","",COUNTIFS(LdgSellerA,$A1356,LdgKeyA,"&lt;"&amp;$B1356)+COUNTIFS(LdgSellerB,$A1356,LdgKeyB,"&lt;"&amp;$B1356)+1)</f>
        <v/>
      </c>
      <c r="D1356">
        <f>IF($C1356="","",$A1356&amp;"|"&amp;RIGHT("000000"&amp;$C1356,6))</f>
        <v/>
      </c>
      <c r="F1356">
        <f>IF(Sync!$AH1356="","",IF(LEFT(UPPER(TRIM(Sync!$AH1356)),2)="SL",UPPER(TRIM(Sync!$AH1356)),""))</f>
        <v/>
      </c>
      <c r="G1356">
        <f>IF($F1356="","",IF(Sync!$AE1356="","",IF(ISNUMBER(Sync!$AE1356),IF(AND(Sync!$AE1356&gt;=10000101,Sync!$AE1356&lt;=99991231),INT(Sync!$AE1356/10000),""),IFERROR(VALUE(TRIM(LEFT(Sync!$AE1356,FIND("/",Sync!$AE1356)-1))),""))))</f>
        <v/>
      </c>
      <c r="H1356">
        <f>IF(OR($F1356="",$G1356=""),"",IF(ISNUMBER(Sync!$AE1356),INT(MOD(Sync!$AE1356,10000)/100),IFERROR(VALUE(TRIM(LEFT(MID(Sync!$AE1356,FIND("/",Sync!$AE1356)+1,20),FIND("/",MID(Sync!$AE1356,FIND("/",Sync!$AE1356)+1,20))-1))),"")))</f>
        <v/>
      </c>
      <c r="I1356">
        <f>IF(OR($F1356="",$G1356=""),"",IF(ISNUMBER(Sync!$AE1356),MOD(Sync!$AE1356,100),IFERROR(VALUE(TRIM(MID(MID(Sync!$AE1356,FIND("/",Sync!$AE1356)+1,20),FIND("/",MID(Sync!$AE1356,FIND("/",Sync!$AE1356)+1,20))+1,20))),"")))</f>
        <v/>
      </c>
      <c r="J1356">
        <f>IF($F1356="","",IF(OR($G1356="",$H1356="",$I1356="",$G1356&lt;1300,$G1356&gt;1500,$H1356&lt;1,$H1356&gt;12,$I1356&lt;1,$I1356&gt;31),"نامعتبر",RIGHT("0000"&amp;$G1356,4)&amp;"/"&amp;RIGHT("00"&amp;$H1356,2)&amp;"/"&amp;RIGHT("00"&amp;$I1356,2)))</f>
        <v/>
      </c>
      <c r="K1356">
        <f>IF(OR($F1356="",$J1356="",$J1356="نامعتبر"),"",LEFT($J1356,4)&amp;MID($J1356,6,2)&amp;RIGHT($J1356,2)&amp;$N1356&amp;"|"&amp;"2"&amp;RIGHT("00000"&amp;1351,5))</f>
        <v/>
      </c>
      <c r="L1356">
        <f>IF($K1356="","",COUNTIFS(LdgSellerA,$F1356,LdgKeyA,"&lt;"&amp;$K1356)+COUNTIFS(LdgSellerB,$F1356,LdgKeyB,"&lt;"&amp;$K1356)+1)</f>
        <v/>
      </c>
      <c r="M1356">
        <f>IF($L1356="","",$F1356&amp;"|"&amp;RIGHT("000000"&amp;$L1356,6))</f>
        <v/>
      </c>
      <c r="N1356">
        <f>IF($F1356="","",IF(Sync!$AF1356="","0000",IF(AND(ISNUMBER(Sync!$AF1356),Sync!$AF1356&gt;=0,Sync!$AF1356&lt;1),RIGHT("00"&amp;HOUR(Sync!$AF1356),2)&amp;RIGHT("00"&amp;MINUTE(Sync!$AF1356),2),IFERROR(RIGHT("00"&amp;VALUE(LEFT(Sync!$AF1356,FIND(":",Sync!$AF1356)-1)),2)&amp;RIGHT("00"&amp;VALUE(MID(Sync!$AF1356,FIND(":",Sync!$AF1356)+1,2)),2),"0000"))))</f>
        <v/>
      </c>
    </row>
    <row r="1357">
      <c r="A1357">
        <f>IF(OR(Calc!$E1361="",Calc!$E1361="نامعتبر",Calc!$G1361=""),"",Calc!$G1361)</f>
        <v/>
      </c>
      <c r="B1357">
        <f>IF($A1357="","",LEFT(Calc!$E1361,4)&amp;MID(Calc!$E1361,6,2)&amp;RIGHT(Calc!$E1361,2)&amp;Calc!$Q1361&amp;"|"&amp;"1"&amp;RIGHT("00000"&amp;1352,5))</f>
        <v/>
      </c>
      <c r="C1357">
        <f>IF($B1357="","",COUNTIFS(LdgSellerA,$A1357,LdgKeyA,"&lt;"&amp;$B1357)+COUNTIFS(LdgSellerB,$A1357,LdgKeyB,"&lt;"&amp;$B1357)+1)</f>
        <v/>
      </c>
      <c r="D1357">
        <f>IF($C1357="","",$A1357&amp;"|"&amp;RIGHT("000000"&amp;$C1357,6))</f>
        <v/>
      </c>
      <c r="F1357">
        <f>IF(Sync!$AH1357="","",IF(LEFT(UPPER(TRIM(Sync!$AH1357)),2)="SL",UPPER(TRIM(Sync!$AH1357)),""))</f>
        <v/>
      </c>
      <c r="G1357">
        <f>IF($F1357="","",IF(Sync!$AE1357="","",IF(ISNUMBER(Sync!$AE1357),IF(AND(Sync!$AE1357&gt;=10000101,Sync!$AE1357&lt;=99991231),INT(Sync!$AE1357/10000),""),IFERROR(VALUE(TRIM(LEFT(Sync!$AE1357,FIND("/",Sync!$AE1357)-1))),""))))</f>
        <v/>
      </c>
      <c r="H1357">
        <f>IF(OR($F1357="",$G1357=""),"",IF(ISNUMBER(Sync!$AE1357),INT(MOD(Sync!$AE1357,10000)/100),IFERROR(VALUE(TRIM(LEFT(MID(Sync!$AE1357,FIND("/",Sync!$AE1357)+1,20),FIND("/",MID(Sync!$AE1357,FIND("/",Sync!$AE1357)+1,20))-1))),"")))</f>
        <v/>
      </c>
      <c r="I1357">
        <f>IF(OR($F1357="",$G1357=""),"",IF(ISNUMBER(Sync!$AE1357),MOD(Sync!$AE1357,100),IFERROR(VALUE(TRIM(MID(MID(Sync!$AE1357,FIND("/",Sync!$AE1357)+1,20),FIND("/",MID(Sync!$AE1357,FIND("/",Sync!$AE1357)+1,20))+1,20))),"")))</f>
        <v/>
      </c>
      <c r="J1357">
        <f>IF($F1357="","",IF(OR($G1357="",$H1357="",$I1357="",$G1357&lt;1300,$G1357&gt;1500,$H1357&lt;1,$H1357&gt;12,$I1357&lt;1,$I1357&gt;31),"نامعتبر",RIGHT("0000"&amp;$G1357,4)&amp;"/"&amp;RIGHT("00"&amp;$H1357,2)&amp;"/"&amp;RIGHT("00"&amp;$I1357,2)))</f>
        <v/>
      </c>
      <c r="K1357">
        <f>IF(OR($F1357="",$J1357="",$J1357="نامعتبر"),"",LEFT($J1357,4)&amp;MID($J1357,6,2)&amp;RIGHT($J1357,2)&amp;$N1357&amp;"|"&amp;"2"&amp;RIGHT("00000"&amp;1352,5))</f>
        <v/>
      </c>
      <c r="L1357">
        <f>IF($K1357="","",COUNTIFS(LdgSellerA,$F1357,LdgKeyA,"&lt;"&amp;$K1357)+COUNTIFS(LdgSellerB,$F1357,LdgKeyB,"&lt;"&amp;$K1357)+1)</f>
        <v/>
      </c>
      <c r="M1357">
        <f>IF($L1357="","",$F1357&amp;"|"&amp;RIGHT("000000"&amp;$L1357,6))</f>
        <v/>
      </c>
      <c r="N1357">
        <f>IF($F1357="","",IF(Sync!$AF1357="","0000",IF(AND(ISNUMBER(Sync!$AF1357),Sync!$AF1357&gt;=0,Sync!$AF1357&lt;1),RIGHT("00"&amp;HOUR(Sync!$AF1357),2)&amp;RIGHT("00"&amp;MINUTE(Sync!$AF1357),2),IFERROR(RIGHT("00"&amp;VALUE(LEFT(Sync!$AF1357,FIND(":",Sync!$AF1357)-1)),2)&amp;RIGHT("00"&amp;VALUE(MID(Sync!$AF1357,FIND(":",Sync!$AF1357)+1,2)),2),"0000"))))</f>
        <v/>
      </c>
    </row>
    <row r="1358">
      <c r="A1358">
        <f>IF(OR(Calc!$E1362="",Calc!$E1362="نامعتبر",Calc!$G1362=""),"",Calc!$G1362)</f>
        <v/>
      </c>
      <c r="B1358">
        <f>IF($A1358="","",LEFT(Calc!$E1362,4)&amp;MID(Calc!$E1362,6,2)&amp;RIGHT(Calc!$E1362,2)&amp;Calc!$Q1362&amp;"|"&amp;"1"&amp;RIGHT("00000"&amp;1353,5))</f>
        <v/>
      </c>
      <c r="C1358">
        <f>IF($B1358="","",COUNTIFS(LdgSellerA,$A1358,LdgKeyA,"&lt;"&amp;$B1358)+COUNTIFS(LdgSellerB,$A1358,LdgKeyB,"&lt;"&amp;$B1358)+1)</f>
        <v/>
      </c>
      <c r="D1358">
        <f>IF($C1358="","",$A1358&amp;"|"&amp;RIGHT("000000"&amp;$C1358,6))</f>
        <v/>
      </c>
      <c r="F1358">
        <f>IF(Sync!$AH1358="","",IF(LEFT(UPPER(TRIM(Sync!$AH1358)),2)="SL",UPPER(TRIM(Sync!$AH1358)),""))</f>
        <v/>
      </c>
      <c r="G1358">
        <f>IF($F1358="","",IF(Sync!$AE1358="","",IF(ISNUMBER(Sync!$AE1358),IF(AND(Sync!$AE1358&gt;=10000101,Sync!$AE1358&lt;=99991231),INT(Sync!$AE1358/10000),""),IFERROR(VALUE(TRIM(LEFT(Sync!$AE1358,FIND("/",Sync!$AE1358)-1))),""))))</f>
        <v/>
      </c>
      <c r="H1358">
        <f>IF(OR($F1358="",$G1358=""),"",IF(ISNUMBER(Sync!$AE1358),INT(MOD(Sync!$AE1358,10000)/100),IFERROR(VALUE(TRIM(LEFT(MID(Sync!$AE1358,FIND("/",Sync!$AE1358)+1,20),FIND("/",MID(Sync!$AE1358,FIND("/",Sync!$AE1358)+1,20))-1))),"")))</f>
        <v/>
      </c>
      <c r="I1358">
        <f>IF(OR($F1358="",$G1358=""),"",IF(ISNUMBER(Sync!$AE1358),MOD(Sync!$AE1358,100),IFERROR(VALUE(TRIM(MID(MID(Sync!$AE1358,FIND("/",Sync!$AE1358)+1,20),FIND("/",MID(Sync!$AE1358,FIND("/",Sync!$AE1358)+1,20))+1,20))),"")))</f>
        <v/>
      </c>
      <c r="J1358">
        <f>IF($F1358="","",IF(OR($G1358="",$H1358="",$I1358="",$G1358&lt;1300,$G1358&gt;1500,$H1358&lt;1,$H1358&gt;12,$I1358&lt;1,$I1358&gt;31),"نامعتبر",RIGHT("0000"&amp;$G1358,4)&amp;"/"&amp;RIGHT("00"&amp;$H1358,2)&amp;"/"&amp;RIGHT("00"&amp;$I1358,2)))</f>
        <v/>
      </c>
      <c r="K1358">
        <f>IF(OR($F1358="",$J1358="",$J1358="نامعتبر"),"",LEFT($J1358,4)&amp;MID($J1358,6,2)&amp;RIGHT($J1358,2)&amp;$N1358&amp;"|"&amp;"2"&amp;RIGHT("00000"&amp;1353,5))</f>
        <v/>
      </c>
      <c r="L1358">
        <f>IF($K1358="","",COUNTIFS(LdgSellerA,$F1358,LdgKeyA,"&lt;"&amp;$K1358)+COUNTIFS(LdgSellerB,$F1358,LdgKeyB,"&lt;"&amp;$K1358)+1)</f>
        <v/>
      </c>
      <c r="M1358">
        <f>IF($L1358="","",$F1358&amp;"|"&amp;RIGHT("000000"&amp;$L1358,6))</f>
        <v/>
      </c>
      <c r="N1358">
        <f>IF($F1358="","",IF(Sync!$AF1358="","0000",IF(AND(ISNUMBER(Sync!$AF1358),Sync!$AF1358&gt;=0,Sync!$AF1358&lt;1),RIGHT("00"&amp;HOUR(Sync!$AF1358),2)&amp;RIGHT("00"&amp;MINUTE(Sync!$AF1358),2),IFERROR(RIGHT("00"&amp;VALUE(LEFT(Sync!$AF1358,FIND(":",Sync!$AF1358)-1)),2)&amp;RIGHT("00"&amp;VALUE(MID(Sync!$AF1358,FIND(":",Sync!$AF1358)+1,2)),2),"0000"))))</f>
        <v/>
      </c>
    </row>
    <row r="1359">
      <c r="A1359">
        <f>IF(OR(Calc!$E1363="",Calc!$E1363="نامعتبر",Calc!$G1363=""),"",Calc!$G1363)</f>
        <v/>
      </c>
      <c r="B1359">
        <f>IF($A1359="","",LEFT(Calc!$E1363,4)&amp;MID(Calc!$E1363,6,2)&amp;RIGHT(Calc!$E1363,2)&amp;Calc!$Q1363&amp;"|"&amp;"1"&amp;RIGHT("00000"&amp;1354,5))</f>
        <v/>
      </c>
      <c r="C1359">
        <f>IF($B1359="","",COUNTIFS(LdgSellerA,$A1359,LdgKeyA,"&lt;"&amp;$B1359)+COUNTIFS(LdgSellerB,$A1359,LdgKeyB,"&lt;"&amp;$B1359)+1)</f>
        <v/>
      </c>
      <c r="D1359">
        <f>IF($C1359="","",$A1359&amp;"|"&amp;RIGHT("000000"&amp;$C1359,6))</f>
        <v/>
      </c>
      <c r="F1359">
        <f>IF(Sync!$AH1359="","",IF(LEFT(UPPER(TRIM(Sync!$AH1359)),2)="SL",UPPER(TRIM(Sync!$AH1359)),""))</f>
        <v/>
      </c>
      <c r="G1359">
        <f>IF($F1359="","",IF(Sync!$AE1359="","",IF(ISNUMBER(Sync!$AE1359),IF(AND(Sync!$AE1359&gt;=10000101,Sync!$AE1359&lt;=99991231),INT(Sync!$AE1359/10000),""),IFERROR(VALUE(TRIM(LEFT(Sync!$AE1359,FIND("/",Sync!$AE1359)-1))),""))))</f>
        <v/>
      </c>
      <c r="H1359">
        <f>IF(OR($F1359="",$G1359=""),"",IF(ISNUMBER(Sync!$AE1359),INT(MOD(Sync!$AE1359,10000)/100),IFERROR(VALUE(TRIM(LEFT(MID(Sync!$AE1359,FIND("/",Sync!$AE1359)+1,20),FIND("/",MID(Sync!$AE1359,FIND("/",Sync!$AE1359)+1,20))-1))),"")))</f>
        <v/>
      </c>
      <c r="I1359">
        <f>IF(OR($F1359="",$G1359=""),"",IF(ISNUMBER(Sync!$AE1359),MOD(Sync!$AE1359,100),IFERROR(VALUE(TRIM(MID(MID(Sync!$AE1359,FIND("/",Sync!$AE1359)+1,20),FIND("/",MID(Sync!$AE1359,FIND("/",Sync!$AE1359)+1,20))+1,20))),"")))</f>
        <v/>
      </c>
      <c r="J1359">
        <f>IF($F1359="","",IF(OR($G1359="",$H1359="",$I1359="",$G1359&lt;1300,$G1359&gt;1500,$H1359&lt;1,$H1359&gt;12,$I1359&lt;1,$I1359&gt;31),"نامعتبر",RIGHT("0000"&amp;$G1359,4)&amp;"/"&amp;RIGHT("00"&amp;$H1359,2)&amp;"/"&amp;RIGHT("00"&amp;$I1359,2)))</f>
        <v/>
      </c>
      <c r="K1359">
        <f>IF(OR($F1359="",$J1359="",$J1359="نامعتبر"),"",LEFT($J1359,4)&amp;MID($J1359,6,2)&amp;RIGHT($J1359,2)&amp;$N1359&amp;"|"&amp;"2"&amp;RIGHT("00000"&amp;1354,5))</f>
        <v/>
      </c>
      <c r="L1359">
        <f>IF($K1359="","",COUNTIFS(LdgSellerA,$F1359,LdgKeyA,"&lt;"&amp;$K1359)+COUNTIFS(LdgSellerB,$F1359,LdgKeyB,"&lt;"&amp;$K1359)+1)</f>
        <v/>
      </c>
      <c r="M1359">
        <f>IF($L1359="","",$F1359&amp;"|"&amp;RIGHT("000000"&amp;$L1359,6))</f>
        <v/>
      </c>
      <c r="N1359">
        <f>IF($F1359="","",IF(Sync!$AF1359="","0000",IF(AND(ISNUMBER(Sync!$AF1359),Sync!$AF1359&gt;=0,Sync!$AF1359&lt;1),RIGHT("00"&amp;HOUR(Sync!$AF1359),2)&amp;RIGHT("00"&amp;MINUTE(Sync!$AF1359),2),IFERROR(RIGHT("00"&amp;VALUE(LEFT(Sync!$AF1359,FIND(":",Sync!$AF1359)-1)),2)&amp;RIGHT("00"&amp;VALUE(MID(Sync!$AF1359,FIND(":",Sync!$AF1359)+1,2)),2),"0000"))))</f>
        <v/>
      </c>
    </row>
    <row r="1360">
      <c r="A1360">
        <f>IF(OR(Calc!$E1364="",Calc!$E1364="نامعتبر",Calc!$G1364=""),"",Calc!$G1364)</f>
        <v/>
      </c>
      <c r="B1360">
        <f>IF($A1360="","",LEFT(Calc!$E1364,4)&amp;MID(Calc!$E1364,6,2)&amp;RIGHT(Calc!$E1364,2)&amp;Calc!$Q1364&amp;"|"&amp;"1"&amp;RIGHT("00000"&amp;1355,5))</f>
        <v/>
      </c>
      <c r="C1360">
        <f>IF($B1360="","",COUNTIFS(LdgSellerA,$A1360,LdgKeyA,"&lt;"&amp;$B1360)+COUNTIFS(LdgSellerB,$A1360,LdgKeyB,"&lt;"&amp;$B1360)+1)</f>
        <v/>
      </c>
      <c r="D1360">
        <f>IF($C1360="","",$A1360&amp;"|"&amp;RIGHT("000000"&amp;$C1360,6))</f>
        <v/>
      </c>
      <c r="F1360">
        <f>IF(Sync!$AH1360="","",IF(LEFT(UPPER(TRIM(Sync!$AH1360)),2)="SL",UPPER(TRIM(Sync!$AH1360)),""))</f>
        <v/>
      </c>
      <c r="G1360">
        <f>IF($F1360="","",IF(Sync!$AE1360="","",IF(ISNUMBER(Sync!$AE1360),IF(AND(Sync!$AE1360&gt;=10000101,Sync!$AE1360&lt;=99991231),INT(Sync!$AE1360/10000),""),IFERROR(VALUE(TRIM(LEFT(Sync!$AE1360,FIND("/",Sync!$AE1360)-1))),""))))</f>
        <v/>
      </c>
      <c r="H1360">
        <f>IF(OR($F1360="",$G1360=""),"",IF(ISNUMBER(Sync!$AE1360),INT(MOD(Sync!$AE1360,10000)/100),IFERROR(VALUE(TRIM(LEFT(MID(Sync!$AE1360,FIND("/",Sync!$AE1360)+1,20),FIND("/",MID(Sync!$AE1360,FIND("/",Sync!$AE1360)+1,20))-1))),"")))</f>
        <v/>
      </c>
      <c r="I1360">
        <f>IF(OR($F1360="",$G1360=""),"",IF(ISNUMBER(Sync!$AE1360),MOD(Sync!$AE1360,100),IFERROR(VALUE(TRIM(MID(MID(Sync!$AE1360,FIND("/",Sync!$AE1360)+1,20),FIND("/",MID(Sync!$AE1360,FIND("/",Sync!$AE1360)+1,20))+1,20))),"")))</f>
        <v/>
      </c>
      <c r="J1360">
        <f>IF($F1360="","",IF(OR($G1360="",$H1360="",$I1360="",$G1360&lt;1300,$G1360&gt;1500,$H1360&lt;1,$H1360&gt;12,$I1360&lt;1,$I1360&gt;31),"نامعتبر",RIGHT("0000"&amp;$G1360,4)&amp;"/"&amp;RIGHT("00"&amp;$H1360,2)&amp;"/"&amp;RIGHT("00"&amp;$I1360,2)))</f>
        <v/>
      </c>
      <c r="K1360">
        <f>IF(OR($F1360="",$J1360="",$J1360="نامعتبر"),"",LEFT($J1360,4)&amp;MID($J1360,6,2)&amp;RIGHT($J1360,2)&amp;$N1360&amp;"|"&amp;"2"&amp;RIGHT("00000"&amp;1355,5))</f>
        <v/>
      </c>
      <c r="L1360">
        <f>IF($K1360="","",COUNTIFS(LdgSellerA,$F1360,LdgKeyA,"&lt;"&amp;$K1360)+COUNTIFS(LdgSellerB,$F1360,LdgKeyB,"&lt;"&amp;$K1360)+1)</f>
        <v/>
      </c>
      <c r="M1360">
        <f>IF($L1360="","",$F1360&amp;"|"&amp;RIGHT("000000"&amp;$L1360,6))</f>
        <v/>
      </c>
      <c r="N1360">
        <f>IF($F1360="","",IF(Sync!$AF1360="","0000",IF(AND(ISNUMBER(Sync!$AF1360),Sync!$AF1360&gt;=0,Sync!$AF1360&lt;1),RIGHT("00"&amp;HOUR(Sync!$AF1360),2)&amp;RIGHT("00"&amp;MINUTE(Sync!$AF1360),2),IFERROR(RIGHT("00"&amp;VALUE(LEFT(Sync!$AF1360,FIND(":",Sync!$AF1360)-1)),2)&amp;RIGHT("00"&amp;VALUE(MID(Sync!$AF1360,FIND(":",Sync!$AF1360)+1,2)),2),"0000"))))</f>
        <v/>
      </c>
    </row>
    <row r="1361">
      <c r="A1361">
        <f>IF(OR(Calc!$E1365="",Calc!$E1365="نامعتبر",Calc!$G1365=""),"",Calc!$G1365)</f>
        <v/>
      </c>
      <c r="B1361">
        <f>IF($A1361="","",LEFT(Calc!$E1365,4)&amp;MID(Calc!$E1365,6,2)&amp;RIGHT(Calc!$E1365,2)&amp;Calc!$Q1365&amp;"|"&amp;"1"&amp;RIGHT("00000"&amp;1356,5))</f>
        <v/>
      </c>
      <c r="C1361">
        <f>IF($B1361="","",COUNTIFS(LdgSellerA,$A1361,LdgKeyA,"&lt;"&amp;$B1361)+COUNTIFS(LdgSellerB,$A1361,LdgKeyB,"&lt;"&amp;$B1361)+1)</f>
        <v/>
      </c>
      <c r="D1361">
        <f>IF($C1361="","",$A1361&amp;"|"&amp;RIGHT("000000"&amp;$C1361,6))</f>
        <v/>
      </c>
      <c r="F1361">
        <f>IF(Sync!$AH1361="","",IF(LEFT(UPPER(TRIM(Sync!$AH1361)),2)="SL",UPPER(TRIM(Sync!$AH1361)),""))</f>
        <v/>
      </c>
      <c r="G1361">
        <f>IF($F1361="","",IF(Sync!$AE1361="","",IF(ISNUMBER(Sync!$AE1361),IF(AND(Sync!$AE1361&gt;=10000101,Sync!$AE1361&lt;=99991231),INT(Sync!$AE1361/10000),""),IFERROR(VALUE(TRIM(LEFT(Sync!$AE1361,FIND("/",Sync!$AE1361)-1))),""))))</f>
        <v/>
      </c>
      <c r="H1361">
        <f>IF(OR($F1361="",$G1361=""),"",IF(ISNUMBER(Sync!$AE1361),INT(MOD(Sync!$AE1361,10000)/100),IFERROR(VALUE(TRIM(LEFT(MID(Sync!$AE1361,FIND("/",Sync!$AE1361)+1,20),FIND("/",MID(Sync!$AE1361,FIND("/",Sync!$AE1361)+1,20))-1))),"")))</f>
        <v/>
      </c>
      <c r="I1361">
        <f>IF(OR($F1361="",$G1361=""),"",IF(ISNUMBER(Sync!$AE1361),MOD(Sync!$AE1361,100),IFERROR(VALUE(TRIM(MID(MID(Sync!$AE1361,FIND("/",Sync!$AE1361)+1,20),FIND("/",MID(Sync!$AE1361,FIND("/",Sync!$AE1361)+1,20))+1,20))),"")))</f>
        <v/>
      </c>
      <c r="J1361">
        <f>IF($F1361="","",IF(OR($G1361="",$H1361="",$I1361="",$G1361&lt;1300,$G1361&gt;1500,$H1361&lt;1,$H1361&gt;12,$I1361&lt;1,$I1361&gt;31),"نامعتبر",RIGHT("0000"&amp;$G1361,4)&amp;"/"&amp;RIGHT("00"&amp;$H1361,2)&amp;"/"&amp;RIGHT("00"&amp;$I1361,2)))</f>
        <v/>
      </c>
      <c r="K1361">
        <f>IF(OR($F1361="",$J1361="",$J1361="نامعتبر"),"",LEFT($J1361,4)&amp;MID($J1361,6,2)&amp;RIGHT($J1361,2)&amp;$N1361&amp;"|"&amp;"2"&amp;RIGHT("00000"&amp;1356,5))</f>
        <v/>
      </c>
      <c r="L1361">
        <f>IF($K1361="","",COUNTIFS(LdgSellerA,$F1361,LdgKeyA,"&lt;"&amp;$K1361)+COUNTIFS(LdgSellerB,$F1361,LdgKeyB,"&lt;"&amp;$K1361)+1)</f>
        <v/>
      </c>
      <c r="M1361">
        <f>IF($L1361="","",$F1361&amp;"|"&amp;RIGHT("000000"&amp;$L1361,6))</f>
        <v/>
      </c>
      <c r="N1361">
        <f>IF($F1361="","",IF(Sync!$AF1361="","0000",IF(AND(ISNUMBER(Sync!$AF1361),Sync!$AF1361&gt;=0,Sync!$AF1361&lt;1),RIGHT("00"&amp;HOUR(Sync!$AF1361),2)&amp;RIGHT("00"&amp;MINUTE(Sync!$AF1361),2),IFERROR(RIGHT("00"&amp;VALUE(LEFT(Sync!$AF1361,FIND(":",Sync!$AF1361)-1)),2)&amp;RIGHT("00"&amp;VALUE(MID(Sync!$AF1361,FIND(":",Sync!$AF1361)+1,2)),2),"0000"))))</f>
        <v/>
      </c>
    </row>
    <row r="1362">
      <c r="A1362">
        <f>IF(OR(Calc!$E1366="",Calc!$E1366="نامعتبر",Calc!$G1366=""),"",Calc!$G1366)</f>
        <v/>
      </c>
      <c r="B1362">
        <f>IF($A1362="","",LEFT(Calc!$E1366,4)&amp;MID(Calc!$E1366,6,2)&amp;RIGHT(Calc!$E1366,2)&amp;Calc!$Q1366&amp;"|"&amp;"1"&amp;RIGHT("00000"&amp;1357,5))</f>
        <v/>
      </c>
      <c r="C1362">
        <f>IF($B1362="","",COUNTIFS(LdgSellerA,$A1362,LdgKeyA,"&lt;"&amp;$B1362)+COUNTIFS(LdgSellerB,$A1362,LdgKeyB,"&lt;"&amp;$B1362)+1)</f>
        <v/>
      </c>
      <c r="D1362">
        <f>IF($C1362="","",$A1362&amp;"|"&amp;RIGHT("000000"&amp;$C1362,6))</f>
        <v/>
      </c>
      <c r="F1362">
        <f>IF(Sync!$AH1362="","",IF(LEFT(UPPER(TRIM(Sync!$AH1362)),2)="SL",UPPER(TRIM(Sync!$AH1362)),""))</f>
        <v/>
      </c>
      <c r="G1362">
        <f>IF($F1362="","",IF(Sync!$AE1362="","",IF(ISNUMBER(Sync!$AE1362),IF(AND(Sync!$AE1362&gt;=10000101,Sync!$AE1362&lt;=99991231),INT(Sync!$AE1362/10000),""),IFERROR(VALUE(TRIM(LEFT(Sync!$AE1362,FIND("/",Sync!$AE1362)-1))),""))))</f>
        <v/>
      </c>
      <c r="H1362">
        <f>IF(OR($F1362="",$G1362=""),"",IF(ISNUMBER(Sync!$AE1362),INT(MOD(Sync!$AE1362,10000)/100),IFERROR(VALUE(TRIM(LEFT(MID(Sync!$AE1362,FIND("/",Sync!$AE1362)+1,20),FIND("/",MID(Sync!$AE1362,FIND("/",Sync!$AE1362)+1,20))-1))),"")))</f>
        <v/>
      </c>
      <c r="I1362">
        <f>IF(OR($F1362="",$G1362=""),"",IF(ISNUMBER(Sync!$AE1362),MOD(Sync!$AE1362,100),IFERROR(VALUE(TRIM(MID(MID(Sync!$AE1362,FIND("/",Sync!$AE1362)+1,20),FIND("/",MID(Sync!$AE1362,FIND("/",Sync!$AE1362)+1,20))+1,20))),"")))</f>
        <v/>
      </c>
      <c r="J1362">
        <f>IF($F1362="","",IF(OR($G1362="",$H1362="",$I1362="",$G1362&lt;1300,$G1362&gt;1500,$H1362&lt;1,$H1362&gt;12,$I1362&lt;1,$I1362&gt;31),"نامعتبر",RIGHT("0000"&amp;$G1362,4)&amp;"/"&amp;RIGHT("00"&amp;$H1362,2)&amp;"/"&amp;RIGHT("00"&amp;$I1362,2)))</f>
        <v/>
      </c>
      <c r="K1362">
        <f>IF(OR($F1362="",$J1362="",$J1362="نامعتبر"),"",LEFT($J1362,4)&amp;MID($J1362,6,2)&amp;RIGHT($J1362,2)&amp;$N1362&amp;"|"&amp;"2"&amp;RIGHT("00000"&amp;1357,5))</f>
        <v/>
      </c>
      <c r="L1362">
        <f>IF($K1362="","",COUNTIFS(LdgSellerA,$F1362,LdgKeyA,"&lt;"&amp;$K1362)+COUNTIFS(LdgSellerB,$F1362,LdgKeyB,"&lt;"&amp;$K1362)+1)</f>
        <v/>
      </c>
      <c r="M1362">
        <f>IF($L1362="","",$F1362&amp;"|"&amp;RIGHT("000000"&amp;$L1362,6))</f>
        <v/>
      </c>
      <c r="N1362">
        <f>IF($F1362="","",IF(Sync!$AF1362="","0000",IF(AND(ISNUMBER(Sync!$AF1362),Sync!$AF1362&gt;=0,Sync!$AF1362&lt;1),RIGHT("00"&amp;HOUR(Sync!$AF1362),2)&amp;RIGHT("00"&amp;MINUTE(Sync!$AF1362),2),IFERROR(RIGHT("00"&amp;VALUE(LEFT(Sync!$AF1362,FIND(":",Sync!$AF1362)-1)),2)&amp;RIGHT("00"&amp;VALUE(MID(Sync!$AF1362,FIND(":",Sync!$AF1362)+1,2)),2),"0000"))))</f>
        <v/>
      </c>
    </row>
    <row r="1363">
      <c r="A1363">
        <f>IF(OR(Calc!$E1367="",Calc!$E1367="نامعتبر",Calc!$G1367=""),"",Calc!$G1367)</f>
        <v/>
      </c>
      <c r="B1363">
        <f>IF($A1363="","",LEFT(Calc!$E1367,4)&amp;MID(Calc!$E1367,6,2)&amp;RIGHT(Calc!$E1367,2)&amp;Calc!$Q1367&amp;"|"&amp;"1"&amp;RIGHT("00000"&amp;1358,5))</f>
        <v/>
      </c>
      <c r="C1363">
        <f>IF($B1363="","",COUNTIFS(LdgSellerA,$A1363,LdgKeyA,"&lt;"&amp;$B1363)+COUNTIFS(LdgSellerB,$A1363,LdgKeyB,"&lt;"&amp;$B1363)+1)</f>
        <v/>
      </c>
      <c r="D1363">
        <f>IF($C1363="","",$A1363&amp;"|"&amp;RIGHT("000000"&amp;$C1363,6))</f>
        <v/>
      </c>
      <c r="F1363">
        <f>IF(Sync!$AH1363="","",IF(LEFT(UPPER(TRIM(Sync!$AH1363)),2)="SL",UPPER(TRIM(Sync!$AH1363)),""))</f>
        <v/>
      </c>
      <c r="G1363">
        <f>IF($F1363="","",IF(Sync!$AE1363="","",IF(ISNUMBER(Sync!$AE1363),IF(AND(Sync!$AE1363&gt;=10000101,Sync!$AE1363&lt;=99991231),INT(Sync!$AE1363/10000),""),IFERROR(VALUE(TRIM(LEFT(Sync!$AE1363,FIND("/",Sync!$AE1363)-1))),""))))</f>
        <v/>
      </c>
      <c r="H1363">
        <f>IF(OR($F1363="",$G1363=""),"",IF(ISNUMBER(Sync!$AE1363),INT(MOD(Sync!$AE1363,10000)/100),IFERROR(VALUE(TRIM(LEFT(MID(Sync!$AE1363,FIND("/",Sync!$AE1363)+1,20),FIND("/",MID(Sync!$AE1363,FIND("/",Sync!$AE1363)+1,20))-1))),"")))</f>
        <v/>
      </c>
      <c r="I1363">
        <f>IF(OR($F1363="",$G1363=""),"",IF(ISNUMBER(Sync!$AE1363),MOD(Sync!$AE1363,100),IFERROR(VALUE(TRIM(MID(MID(Sync!$AE1363,FIND("/",Sync!$AE1363)+1,20),FIND("/",MID(Sync!$AE1363,FIND("/",Sync!$AE1363)+1,20))+1,20))),"")))</f>
        <v/>
      </c>
      <c r="J1363">
        <f>IF($F1363="","",IF(OR($G1363="",$H1363="",$I1363="",$G1363&lt;1300,$G1363&gt;1500,$H1363&lt;1,$H1363&gt;12,$I1363&lt;1,$I1363&gt;31),"نامعتبر",RIGHT("0000"&amp;$G1363,4)&amp;"/"&amp;RIGHT("00"&amp;$H1363,2)&amp;"/"&amp;RIGHT("00"&amp;$I1363,2)))</f>
        <v/>
      </c>
      <c r="K1363">
        <f>IF(OR($F1363="",$J1363="",$J1363="نامعتبر"),"",LEFT($J1363,4)&amp;MID($J1363,6,2)&amp;RIGHT($J1363,2)&amp;$N1363&amp;"|"&amp;"2"&amp;RIGHT("00000"&amp;1358,5))</f>
        <v/>
      </c>
      <c r="L1363">
        <f>IF($K1363="","",COUNTIFS(LdgSellerA,$F1363,LdgKeyA,"&lt;"&amp;$K1363)+COUNTIFS(LdgSellerB,$F1363,LdgKeyB,"&lt;"&amp;$K1363)+1)</f>
        <v/>
      </c>
      <c r="M1363">
        <f>IF($L1363="","",$F1363&amp;"|"&amp;RIGHT("000000"&amp;$L1363,6))</f>
        <v/>
      </c>
      <c r="N1363">
        <f>IF($F1363="","",IF(Sync!$AF1363="","0000",IF(AND(ISNUMBER(Sync!$AF1363),Sync!$AF1363&gt;=0,Sync!$AF1363&lt;1),RIGHT("00"&amp;HOUR(Sync!$AF1363),2)&amp;RIGHT("00"&amp;MINUTE(Sync!$AF1363),2),IFERROR(RIGHT("00"&amp;VALUE(LEFT(Sync!$AF1363,FIND(":",Sync!$AF1363)-1)),2)&amp;RIGHT("00"&amp;VALUE(MID(Sync!$AF1363,FIND(":",Sync!$AF1363)+1,2)),2),"0000"))))</f>
        <v/>
      </c>
    </row>
    <row r="1364">
      <c r="A1364">
        <f>IF(OR(Calc!$E1368="",Calc!$E1368="نامعتبر",Calc!$G1368=""),"",Calc!$G1368)</f>
        <v/>
      </c>
      <c r="B1364">
        <f>IF($A1364="","",LEFT(Calc!$E1368,4)&amp;MID(Calc!$E1368,6,2)&amp;RIGHT(Calc!$E1368,2)&amp;Calc!$Q1368&amp;"|"&amp;"1"&amp;RIGHT("00000"&amp;1359,5))</f>
        <v/>
      </c>
      <c r="C1364">
        <f>IF($B1364="","",COUNTIFS(LdgSellerA,$A1364,LdgKeyA,"&lt;"&amp;$B1364)+COUNTIFS(LdgSellerB,$A1364,LdgKeyB,"&lt;"&amp;$B1364)+1)</f>
        <v/>
      </c>
      <c r="D1364">
        <f>IF($C1364="","",$A1364&amp;"|"&amp;RIGHT("000000"&amp;$C1364,6))</f>
        <v/>
      </c>
      <c r="F1364">
        <f>IF(Sync!$AH1364="","",IF(LEFT(UPPER(TRIM(Sync!$AH1364)),2)="SL",UPPER(TRIM(Sync!$AH1364)),""))</f>
        <v/>
      </c>
      <c r="G1364">
        <f>IF($F1364="","",IF(Sync!$AE1364="","",IF(ISNUMBER(Sync!$AE1364),IF(AND(Sync!$AE1364&gt;=10000101,Sync!$AE1364&lt;=99991231),INT(Sync!$AE1364/10000),""),IFERROR(VALUE(TRIM(LEFT(Sync!$AE1364,FIND("/",Sync!$AE1364)-1))),""))))</f>
        <v/>
      </c>
      <c r="H1364">
        <f>IF(OR($F1364="",$G1364=""),"",IF(ISNUMBER(Sync!$AE1364),INT(MOD(Sync!$AE1364,10000)/100),IFERROR(VALUE(TRIM(LEFT(MID(Sync!$AE1364,FIND("/",Sync!$AE1364)+1,20),FIND("/",MID(Sync!$AE1364,FIND("/",Sync!$AE1364)+1,20))-1))),"")))</f>
        <v/>
      </c>
      <c r="I1364">
        <f>IF(OR($F1364="",$G1364=""),"",IF(ISNUMBER(Sync!$AE1364),MOD(Sync!$AE1364,100),IFERROR(VALUE(TRIM(MID(MID(Sync!$AE1364,FIND("/",Sync!$AE1364)+1,20),FIND("/",MID(Sync!$AE1364,FIND("/",Sync!$AE1364)+1,20))+1,20))),"")))</f>
        <v/>
      </c>
      <c r="J1364">
        <f>IF($F1364="","",IF(OR($G1364="",$H1364="",$I1364="",$G1364&lt;1300,$G1364&gt;1500,$H1364&lt;1,$H1364&gt;12,$I1364&lt;1,$I1364&gt;31),"نامعتبر",RIGHT("0000"&amp;$G1364,4)&amp;"/"&amp;RIGHT("00"&amp;$H1364,2)&amp;"/"&amp;RIGHT("00"&amp;$I1364,2)))</f>
        <v/>
      </c>
      <c r="K1364">
        <f>IF(OR($F1364="",$J1364="",$J1364="نامعتبر"),"",LEFT($J1364,4)&amp;MID($J1364,6,2)&amp;RIGHT($J1364,2)&amp;$N1364&amp;"|"&amp;"2"&amp;RIGHT("00000"&amp;1359,5))</f>
        <v/>
      </c>
      <c r="L1364">
        <f>IF($K1364="","",COUNTIFS(LdgSellerA,$F1364,LdgKeyA,"&lt;"&amp;$K1364)+COUNTIFS(LdgSellerB,$F1364,LdgKeyB,"&lt;"&amp;$K1364)+1)</f>
        <v/>
      </c>
      <c r="M1364">
        <f>IF($L1364="","",$F1364&amp;"|"&amp;RIGHT("000000"&amp;$L1364,6))</f>
        <v/>
      </c>
      <c r="N1364">
        <f>IF($F1364="","",IF(Sync!$AF1364="","0000",IF(AND(ISNUMBER(Sync!$AF1364),Sync!$AF1364&gt;=0,Sync!$AF1364&lt;1),RIGHT("00"&amp;HOUR(Sync!$AF1364),2)&amp;RIGHT("00"&amp;MINUTE(Sync!$AF1364),2),IFERROR(RIGHT("00"&amp;VALUE(LEFT(Sync!$AF1364,FIND(":",Sync!$AF1364)-1)),2)&amp;RIGHT("00"&amp;VALUE(MID(Sync!$AF1364,FIND(":",Sync!$AF1364)+1,2)),2),"0000"))))</f>
        <v/>
      </c>
    </row>
    <row r="1365">
      <c r="A1365">
        <f>IF(OR(Calc!$E1369="",Calc!$E1369="نامعتبر",Calc!$G1369=""),"",Calc!$G1369)</f>
        <v/>
      </c>
      <c r="B1365">
        <f>IF($A1365="","",LEFT(Calc!$E1369,4)&amp;MID(Calc!$E1369,6,2)&amp;RIGHT(Calc!$E1369,2)&amp;Calc!$Q1369&amp;"|"&amp;"1"&amp;RIGHT("00000"&amp;1360,5))</f>
        <v/>
      </c>
      <c r="C1365">
        <f>IF($B1365="","",COUNTIFS(LdgSellerA,$A1365,LdgKeyA,"&lt;"&amp;$B1365)+COUNTIFS(LdgSellerB,$A1365,LdgKeyB,"&lt;"&amp;$B1365)+1)</f>
        <v/>
      </c>
      <c r="D1365">
        <f>IF($C1365="","",$A1365&amp;"|"&amp;RIGHT("000000"&amp;$C1365,6))</f>
        <v/>
      </c>
      <c r="F1365">
        <f>IF(Sync!$AH1365="","",IF(LEFT(UPPER(TRIM(Sync!$AH1365)),2)="SL",UPPER(TRIM(Sync!$AH1365)),""))</f>
        <v/>
      </c>
      <c r="G1365">
        <f>IF($F1365="","",IF(Sync!$AE1365="","",IF(ISNUMBER(Sync!$AE1365),IF(AND(Sync!$AE1365&gt;=10000101,Sync!$AE1365&lt;=99991231),INT(Sync!$AE1365/10000),""),IFERROR(VALUE(TRIM(LEFT(Sync!$AE1365,FIND("/",Sync!$AE1365)-1))),""))))</f>
        <v/>
      </c>
      <c r="H1365">
        <f>IF(OR($F1365="",$G1365=""),"",IF(ISNUMBER(Sync!$AE1365),INT(MOD(Sync!$AE1365,10000)/100),IFERROR(VALUE(TRIM(LEFT(MID(Sync!$AE1365,FIND("/",Sync!$AE1365)+1,20),FIND("/",MID(Sync!$AE1365,FIND("/",Sync!$AE1365)+1,20))-1))),"")))</f>
        <v/>
      </c>
      <c r="I1365">
        <f>IF(OR($F1365="",$G1365=""),"",IF(ISNUMBER(Sync!$AE1365),MOD(Sync!$AE1365,100),IFERROR(VALUE(TRIM(MID(MID(Sync!$AE1365,FIND("/",Sync!$AE1365)+1,20),FIND("/",MID(Sync!$AE1365,FIND("/",Sync!$AE1365)+1,20))+1,20))),"")))</f>
        <v/>
      </c>
      <c r="J1365">
        <f>IF($F1365="","",IF(OR($G1365="",$H1365="",$I1365="",$G1365&lt;1300,$G1365&gt;1500,$H1365&lt;1,$H1365&gt;12,$I1365&lt;1,$I1365&gt;31),"نامعتبر",RIGHT("0000"&amp;$G1365,4)&amp;"/"&amp;RIGHT("00"&amp;$H1365,2)&amp;"/"&amp;RIGHT("00"&amp;$I1365,2)))</f>
        <v/>
      </c>
      <c r="K1365">
        <f>IF(OR($F1365="",$J1365="",$J1365="نامعتبر"),"",LEFT($J1365,4)&amp;MID($J1365,6,2)&amp;RIGHT($J1365,2)&amp;$N1365&amp;"|"&amp;"2"&amp;RIGHT("00000"&amp;1360,5))</f>
        <v/>
      </c>
      <c r="L1365">
        <f>IF($K1365="","",COUNTIFS(LdgSellerA,$F1365,LdgKeyA,"&lt;"&amp;$K1365)+COUNTIFS(LdgSellerB,$F1365,LdgKeyB,"&lt;"&amp;$K1365)+1)</f>
        <v/>
      </c>
      <c r="M1365">
        <f>IF($L1365="","",$F1365&amp;"|"&amp;RIGHT("000000"&amp;$L1365,6))</f>
        <v/>
      </c>
      <c r="N1365">
        <f>IF($F1365="","",IF(Sync!$AF1365="","0000",IF(AND(ISNUMBER(Sync!$AF1365),Sync!$AF1365&gt;=0,Sync!$AF1365&lt;1),RIGHT("00"&amp;HOUR(Sync!$AF1365),2)&amp;RIGHT("00"&amp;MINUTE(Sync!$AF1365),2),IFERROR(RIGHT("00"&amp;VALUE(LEFT(Sync!$AF1365,FIND(":",Sync!$AF1365)-1)),2)&amp;RIGHT("00"&amp;VALUE(MID(Sync!$AF1365,FIND(":",Sync!$AF1365)+1,2)),2),"0000"))))</f>
        <v/>
      </c>
    </row>
    <row r="1366">
      <c r="A1366">
        <f>IF(OR(Calc!$E1370="",Calc!$E1370="نامعتبر",Calc!$G1370=""),"",Calc!$G1370)</f>
        <v/>
      </c>
      <c r="B1366">
        <f>IF($A1366="","",LEFT(Calc!$E1370,4)&amp;MID(Calc!$E1370,6,2)&amp;RIGHT(Calc!$E1370,2)&amp;Calc!$Q1370&amp;"|"&amp;"1"&amp;RIGHT("00000"&amp;1361,5))</f>
        <v/>
      </c>
      <c r="C1366">
        <f>IF($B1366="","",COUNTIFS(LdgSellerA,$A1366,LdgKeyA,"&lt;"&amp;$B1366)+COUNTIFS(LdgSellerB,$A1366,LdgKeyB,"&lt;"&amp;$B1366)+1)</f>
        <v/>
      </c>
      <c r="D1366">
        <f>IF($C1366="","",$A1366&amp;"|"&amp;RIGHT("000000"&amp;$C1366,6))</f>
        <v/>
      </c>
      <c r="F1366">
        <f>IF(Sync!$AH1366="","",IF(LEFT(UPPER(TRIM(Sync!$AH1366)),2)="SL",UPPER(TRIM(Sync!$AH1366)),""))</f>
        <v/>
      </c>
      <c r="G1366">
        <f>IF($F1366="","",IF(Sync!$AE1366="","",IF(ISNUMBER(Sync!$AE1366),IF(AND(Sync!$AE1366&gt;=10000101,Sync!$AE1366&lt;=99991231),INT(Sync!$AE1366/10000),""),IFERROR(VALUE(TRIM(LEFT(Sync!$AE1366,FIND("/",Sync!$AE1366)-1))),""))))</f>
        <v/>
      </c>
      <c r="H1366">
        <f>IF(OR($F1366="",$G1366=""),"",IF(ISNUMBER(Sync!$AE1366),INT(MOD(Sync!$AE1366,10000)/100),IFERROR(VALUE(TRIM(LEFT(MID(Sync!$AE1366,FIND("/",Sync!$AE1366)+1,20),FIND("/",MID(Sync!$AE1366,FIND("/",Sync!$AE1366)+1,20))-1))),"")))</f>
        <v/>
      </c>
      <c r="I1366">
        <f>IF(OR($F1366="",$G1366=""),"",IF(ISNUMBER(Sync!$AE1366),MOD(Sync!$AE1366,100),IFERROR(VALUE(TRIM(MID(MID(Sync!$AE1366,FIND("/",Sync!$AE1366)+1,20),FIND("/",MID(Sync!$AE1366,FIND("/",Sync!$AE1366)+1,20))+1,20))),"")))</f>
        <v/>
      </c>
      <c r="J1366">
        <f>IF($F1366="","",IF(OR($G1366="",$H1366="",$I1366="",$G1366&lt;1300,$G1366&gt;1500,$H1366&lt;1,$H1366&gt;12,$I1366&lt;1,$I1366&gt;31),"نامعتبر",RIGHT("0000"&amp;$G1366,4)&amp;"/"&amp;RIGHT("00"&amp;$H1366,2)&amp;"/"&amp;RIGHT("00"&amp;$I1366,2)))</f>
        <v/>
      </c>
      <c r="K1366">
        <f>IF(OR($F1366="",$J1366="",$J1366="نامعتبر"),"",LEFT($J1366,4)&amp;MID($J1366,6,2)&amp;RIGHT($J1366,2)&amp;$N1366&amp;"|"&amp;"2"&amp;RIGHT("00000"&amp;1361,5))</f>
        <v/>
      </c>
      <c r="L1366">
        <f>IF($K1366="","",COUNTIFS(LdgSellerA,$F1366,LdgKeyA,"&lt;"&amp;$K1366)+COUNTIFS(LdgSellerB,$F1366,LdgKeyB,"&lt;"&amp;$K1366)+1)</f>
        <v/>
      </c>
      <c r="M1366">
        <f>IF($L1366="","",$F1366&amp;"|"&amp;RIGHT("000000"&amp;$L1366,6))</f>
        <v/>
      </c>
      <c r="N1366">
        <f>IF($F1366="","",IF(Sync!$AF1366="","0000",IF(AND(ISNUMBER(Sync!$AF1366),Sync!$AF1366&gt;=0,Sync!$AF1366&lt;1),RIGHT("00"&amp;HOUR(Sync!$AF1366),2)&amp;RIGHT("00"&amp;MINUTE(Sync!$AF1366),2),IFERROR(RIGHT("00"&amp;VALUE(LEFT(Sync!$AF1366,FIND(":",Sync!$AF1366)-1)),2)&amp;RIGHT("00"&amp;VALUE(MID(Sync!$AF1366,FIND(":",Sync!$AF1366)+1,2)),2),"0000"))))</f>
        <v/>
      </c>
    </row>
    <row r="1367">
      <c r="A1367">
        <f>IF(OR(Calc!$E1371="",Calc!$E1371="نامعتبر",Calc!$G1371=""),"",Calc!$G1371)</f>
        <v/>
      </c>
      <c r="B1367">
        <f>IF($A1367="","",LEFT(Calc!$E1371,4)&amp;MID(Calc!$E1371,6,2)&amp;RIGHT(Calc!$E1371,2)&amp;Calc!$Q1371&amp;"|"&amp;"1"&amp;RIGHT("00000"&amp;1362,5))</f>
        <v/>
      </c>
      <c r="C1367">
        <f>IF($B1367="","",COUNTIFS(LdgSellerA,$A1367,LdgKeyA,"&lt;"&amp;$B1367)+COUNTIFS(LdgSellerB,$A1367,LdgKeyB,"&lt;"&amp;$B1367)+1)</f>
        <v/>
      </c>
      <c r="D1367">
        <f>IF($C1367="","",$A1367&amp;"|"&amp;RIGHT("000000"&amp;$C1367,6))</f>
        <v/>
      </c>
      <c r="F1367">
        <f>IF(Sync!$AH1367="","",IF(LEFT(UPPER(TRIM(Sync!$AH1367)),2)="SL",UPPER(TRIM(Sync!$AH1367)),""))</f>
        <v/>
      </c>
      <c r="G1367">
        <f>IF($F1367="","",IF(Sync!$AE1367="","",IF(ISNUMBER(Sync!$AE1367),IF(AND(Sync!$AE1367&gt;=10000101,Sync!$AE1367&lt;=99991231),INT(Sync!$AE1367/10000),""),IFERROR(VALUE(TRIM(LEFT(Sync!$AE1367,FIND("/",Sync!$AE1367)-1))),""))))</f>
        <v/>
      </c>
      <c r="H1367">
        <f>IF(OR($F1367="",$G1367=""),"",IF(ISNUMBER(Sync!$AE1367),INT(MOD(Sync!$AE1367,10000)/100),IFERROR(VALUE(TRIM(LEFT(MID(Sync!$AE1367,FIND("/",Sync!$AE1367)+1,20),FIND("/",MID(Sync!$AE1367,FIND("/",Sync!$AE1367)+1,20))-1))),"")))</f>
        <v/>
      </c>
      <c r="I1367">
        <f>IF(OR($F1367="",$G1367=""),"",IF(ISNUMBER(Sync!$AE1367),MOD(Sync!$AE1367,100),IFERROR(VALUE(TRIM(MID(MID(Sync!$AE1367,FIND("/",Sync!$AE1367)+1,20),FIND("/",MID(Sync!$AE1367,FIND("/",Sync!$AE1367)+1,20))+1,20))),"")))</f>
        <v/>
      </c>
      <c r="J1367">
        <f>IF($F1367="","",IF(OR($G1367="",$H1367="",$I1367="",$G1367&lt;1300,$G1367&gt;1500,$H1367&lt;1,$H1367&gt;12,$I1367&lt;1,$I1367&gt;31),"نامعتبر",RIGHT("0000"&amp;$G1367,4)&amp;"/"&amp;RIGHT("00"&amp;$H1367,2)&amp;"/"&amp;RIGHT("00"&amp;$I1367,2)))</f>
        <v/>
      </c>
      <c r="K1367">
        <f>IF(OR($F1367="",$J1367="",$J1367="نامعتبر"),"",LEFT($J1367,4)&amp;MID($J1367,6,2)&amp;RIGHT($J1367,2)&amp;$N1367&amp;"|"&amp;"2"&amp;RIGHT("00000"&amp;1362,5))</f>
        <v/>
      </c>
      <c r="L1367">
        <f>IF($K1367="","",COUNTIFS(LdgSellerA,$F1367,LdgKeyA,"&lt;"&amp;$K1367)+COUNTIFS(LdgSellerB,$F1367,LdgKeyB,"&lt;"&amp;$K1367)+1)</f>
        <v/>
      </c>
      <c r="M1367">
        <f>IF($L1367="","",$F1367&amp;"|"&amp;RIGHT("000000"&amp;$L1367,6))</f>
        <v/>
      </c>
      <c r="N1367">
        <f>IF($F1367="","",IF(Sync!$AF1367="","0000",IF(AND(ISNUMBER(Sync!$AF1367),Sync!$AF1367&gt;=0,Sync!$AF1367&lt;1),RIGHT("00"&amp;HOUR(Sync!$AF1367),2)&amp;RIGHT("00"&amp;MINUTE(Sync!$AF1367),2),IFERROR(RIGHT("00"&amp;VALUE(LEFT(Sync!$AF1367,FIND(":",Sync!$AF1367)-1)),2)&amp;RIGHT("00"&amp;VALUE(MID(Sync!$AF1367,FIND(":",Sync!$AF1367)+1,2)),2),"0000"))))</f>
        <v/>
      </c>
    </row>
    <row r="1368">
      <c r="A1368">
        <f>IF(OR(Calc!$E1372="",Calc!$E1372="نامعتبر",Calc!$G1372=""),"",Calc!$G1372)</f>
        <v/>
      </c>
      <c r="B1368">
        <f>IF($A1368="","",LEFT(Calc!$E1372,4)&amp;MID(Calc!$E1372,6,2)&amp;RIGHT(Calc!$E1372,2)&amp;Calc!$Q1372&amp;"|"&amp;"1"&amp;RIGHT("00000"&amp;1363,5))</f>
        <v/>
      </c>
      <c r="C1368">
        <f>IF($B1368="","",COUNTIFS(LdgSellerA,$A1368,LdgKeyA,"&lt;"&amp;$B1368)+COUNTIFS(LdgSellerB,$A1368,LdgKeyB,"&lt;"&amp;$B1368)+1)</f>
        <v/>
      </c>
      <c r="D1368">
        <f>IF($C1368="","",$A1368&amp;"|"&amp;RIGHT("000000"&amp;$C1368,6))</f>
        <v/>
      </c>
      <c r="F1368">
        <f>IF(Sync!$AH1368="","",IF(LEFT(UPPER(TRIM(Sync!$AH1368)),2)="SL",UPPER(TRIM(Sync!$AH1368)),""))</f>
        <v/>
      </c>
      <c r="G1368">
        <f>IF($F1368="","",IF(Sync!$AE1368="","",IF(ISNUMBER(Sync!$AE1368),IF(AND(Sync!$AE1368&gt;=10000101,Sync!$AE1368&lt;=99991231),INT(Sync!$AE1368/10000),""),IFERROR(VALUE(TRIM(LEFT(Sync!$AE1368,FIND("/",Sync!$AE1368)-1))),""))))</f>
        <v/>
      </c>
      <c r="H1368">
        <f>IF(OR($F1368="",$G1368=""),"",IF(ISNUMBER(Sync!$AE1368),INT(MOD(Sync!$AE1368,10000)/100),IFERROR(VALUE(TRIM(LEFT(MID(Sync!$AE1368,FIND("/",Sync!$AE1368)+1,20),FIND("/",MID(Sync!$AE1368,FIND("/",Sync!$AE1368)+1,20))-1))),"")))</f>
        <v/>
      </c>
      <c r="I1368">
        <f>IF(OR($F1368="",$G1368=""),"",IF(ISNUMBER(Sync!$AE1368),MOD(Sync!$AE1368,100),IFERROR(VALUE(TRIM(MID(MID(Sync!$AE1368,FIND("/",Sync!$AE1368)+1,20),FIND("/",MID(Sync!$AE1368,FIND("/",Sync!$AE1368)+1,20))+1,20))),"")))</f>
        <v/>
      </c>
      <c r="J1368">
        <f>IF($F1368="","",IF(OR($G1368="",$H1368="",$I1368="",$G1368&lt;1300,$G1368&gt;1500,$H1368&lt;1,$H1368&gt;12,$I1368&lt;1,$I1368&gt;31),"نامعتبر",RIGHT("0000"&amp;$G1368,4)&amp;"/"&amp;RIGHT("00"&amp;$H1368,2)&amp;"/"&amp;RIGHT("00"&amp;$I1368,2)))</f>
        <v/>
      </c>
      <c r="K1368">
        <f>IF(OR($F1368="",$J1368="",$J1368="نامعتبر"),"",LEFT($J1368,4)&amp;MID($J1368,6,2)&amp;RIGHT($J1368,2)&amp;$N1368&amp;"|"&amp;"2"&amp;RIGHT("00000"&amp;1363,5))</f>
        <v/>
      </c>
      <c r="L1368">
        <f>IF($K1368="","",COUNTIFS(LdgSellerA,$F1368,LdgKeyA,"&lt;"&amp;$K1368)+COUNTIFS(LdgSellerB,$F1368,LdgKeyB,"&lt;"&amp;$K1368)+1)</f>
        <v/>
      </c>
      <c r="M1368">
        <f>IF($L1368="","",$F1368&amp;"|"&amp;RIGHT("000000"&amp;$L1368,6))</f>
        <v/>
      </c>
      <c r="N1368">
        <f>IF($F1368="","",IF(Sync!$AF1368="","0000",IF(AND(ISNUMBER(Sync!$AF1368),Sync!$AF1368&gt;=0,Sync!$AF1368&lt;1),RIGHT("00"&amp;HOUR(Sync!$AF1368),2)&amp;RIGHT("00"&amp;MINUTE(Sync!$AF1368),2),IFERROR(RIGHT("00"&amp;VALUE(LEFT(Sync!$AF1368,FIND(":",Sync!$AF1368)-1)),2)&amp;RIGHT("00"&amp;VALUE(MID(Sync!$AF1368,FIND(":",Sync!$AF1368)+1,2)),2),"0000"))))</f>
        <v/>
      </c>
    </row>
    <row r="1369">
      <c r="A1369">
        <f>IF(OR(Calc!$E1373="",Calc!$E1373="نامعتبر",Calc!$G1373=""),"",Calc!$G1373)</f>
        <v/>
      </c>
      <c r="B1369">
        <f>IF($A1369="","",LEFT(Calc!$E1373,4)&amp;MID(Calc!$E1373,6,2)&amp;RIGHT(Calc!$E1373,2)&amp;Calc!$Q1373&amp;"|"&amp;"1"&amp;RIGHT("00000"&amp;1364,5))</f>
        <v/>
      </c>
      <c r="C1369">
        <f>IF($B1369="","",COUNTIFS(LdgSellerA,$A1369,LdgKeyA,"&lt;"&amp;$B1369)+COUNTIFS(LdgSellerB,$A1369,LdgKeyB,"&lt;"&amp;$B1369)+1)</f>
        <v/>
      </c>
      <c r="D1369">
        <f>IF($C1369="","",$A1369&amp;"|"&amp;RIGHT("000000"&amp;$C1369,6))</f>
        <v/>
      </c>
      <c r="F1369">
        <f>IF(Sync!$AH1369="","",IF(LEFT(UPPER(TRIM(Sync!$AH1369)),2)="SL",UPPER(TRIM(Sync!$AH1369)),""))</f>
        <v/>
      </c>
      <c r="G1369">
        <f>IF($F1369="","",IF(Sync!$AE1369="","",IF(ISNUMBER(Sync!$AE1369),IF(AND(Sync!$AE1369&gt;=10000101,Sync!$AE1369&lt;=99991231),INT(Sync!$AE1369/10000),""),IFERROR(VALUE(TRIM(LEFT(Sync!$AE1369,FIND("/",Sync!$AE1369)-1))),""))))</f>
        <v/>
      </c>
      <c r="H1369">
        <f>IF(OR($F1369="",$G1369=""),"",IF(ISNUMBER(Sync!$AE1369),INT(MOD(Sync!$AE1369,10000)/100),IFERROR(VALUE(TRIM(LEFT(MID(Sync!$AE1369,FIND("/",Sync!$AE1369)+1,20),FIND("/",MID(Sync!$AE1369,FIND("/",Sync!$AE1369)+1,20))-1))),"")))</f>
        <v/>
      </c>
      <c r="I1369">
        <f>IF(OR($F1369="",$G1369=""),"",IF(ISNUMBER(Sync!$AE1369),MOD(Sync!$AE1369,100),IFERROR(VALUE(TRIM(MID(MID(Sync!$AE1369,FIND("/",Sync!$AE1369)+1,20),FIND("/",MID(Sync!$AE1369,FIND("/",Sync!$AE1369)+1,20))+1,20))),"")))</f>
        <v/>
      </c>
      <c r="J1369">
        <f>IF($F1369="","",IF(OR($G1369="",$H1369="",$I1369="",$G1369&lt;1300,$G1369&gt;1500,$H1369&lt;1,$H1369&gt;12,$I1369&lt;1,$I1369&gt;31),"نامعتبر",RIGHT("0000"&amp;$G1369,4)&amp;"/"&amp;RIGHT("00"&amp;$H1369,2)&amp;"/"&amp;RIGHT("00"&amp;$I1369,2)))</f>
        <v/>
      </c>
      <c r="K1369">
        <f>IF(OR($F1369="",$J1369="",$J1369="نامعتبر"),"",LEFT($J1369,4)&amp;MID($J1369,6,2)&amp;RIGHT($J1369,2)&amp;$N1369&amp;"|"&amp;"2"&amp;RIGHT("00000"&amp;1364,5))</f>
        <v/>
      </c>
      <c r="L1369">
        <f>IF($K1369="","",COUNTIFS(LdgSellerA,$F1369,LdgKeyA,"&lt;"&amp;$K1369)+COUNTIFS(LdgSellerB,$F1369,LdgKeyB,"&lt;"&amp;$K1369)+1)</f>
        <v/>
      </c>
      <c r="M1369">
        <f>IF($L1369="","",$F1369&amp;"|"&amp;RIGHT("000000"&amp;$L1369,6))</f>
        <v/>
      </c>
      <c r="N1369">
        <f>IF($F1369="","",IF(Sync!$AF1369="","0000",IF(AND(ISNUMBER(Sync!$AF1369),Sync!$AF1369&gt;=0,Sync!$AF1369&lt;1),RIGHT("00"&amp;HOUR(Sync!$AF1369),2)&amp;RIGHT("00"&amp;MINUTE(Sync!$AF1369),2),IFERROR(RIGHT("00"&amp;VALUE(LEFT(Sync!$AF1369,FIND(":",Sync!$AF1369)-1)),2)&amp;RIGHT("00"&amp;VALUE(MID(Sync!$AF1369,FIND(":",Sync!$AF1369)+1,2)),2),"0000"))))</f>
        <v/>
      </c>
    </row>
    <row r="1370">
      <c r="A1370">
        <f>IF(OR(Calc!$E1374="",Calc!$E1374="نامعتبر",Calc!$G1374=""),"",Calc!$G1374)</f>
        <v/>
      </c>
      <c r="B1370">
        <f>IF($A1370="","",LEFT(Calc!$E1374,4)&amp;MID(Calc!$E1374,6,2)&amp;RIGHT(Calc!$E1374,2)&amp;Calc!$Q1374&amp;"|"&amp;"1"&amp;RIGHT("00000"&amp;1365,5))</f>
        <v/>
      </c>
      <c r="C1370">
        <f>IF($B1370="","",COUNTIFS(LdgSellerA,$A1370,LdgKeyA,"&lt;"&amp;$B1370)+COUNTIFS(LdgSellerB,$A1370,LdgKeyB,"&lt;"&amp;$B1370)+1)</f>
        <v/>
      </c>
      <c r="D1370">
        <f>IF($C1370="","",$A1370&amp;"|"&amp;RIGHT("000000"&amp;$C1370,6))</f>
        <v/>
      </c>
      <c r="F1370">
        <f>IF(Sync!$AH1370="","",IF(LEFT(UPPER(TRIM(Sync!$AH1370)),2)="SL",UPPER(TRIM(Sync!$AH1370)),""))</f>
        <v/>
      </c>
      <c r="G1370">
        <f>IF($F1370="","",IF(Sync!$AE1370="","",IF(ISNUMBER(Sync!$AE1370),IF(AND(Sync!$AE1370&gt;=10000101,Sync!$AE1370&lt;=99991231),INT(Sync!$AE1370/10000),""),IFERROR(VALUE(TRIM(LEFT(Sync!$AE1370,FIND("/",Sync!$AE1370)-1))),""))))</f>
        <v/>
      </c>
      <c r="H1370">
        <f>IF(OR($F1370="",$G1370=""),"",IF(ISNUMBER(Sync!$AE1370),INT(MOD(Sync!$AE1370,10000)/100),IFERROR(VALUE(TRIM(LEFT(MID(Sync!$AE1370,FIND("/",Sync!$AE1370)+1,20),FIND("/",MID(Sync!$AE1370,FIND("/",Sync!$AE1370)+1,20))-1))),"")))</f>
        <v/>
      </c>
      <c r="I1370">
        <f>IF(OR($F1370="",$G1370=""),"",IF(ISNUMBER(Sync!$AE1370),MOD(Sync!$AE1370,100),IFERROR(VALUE(TRIM(MID(MID(Sync!$AE1370,FIND("/",Sync!$AE1370)+1,20),FIND("/",MID(Sync!$AE1370,FIND("/",Sync!$AE1370)+1,20))+1,20))),"")))</f>
        <v/>
      </c>
      <c r="J1370">
        <f>IF($F1370="","",IF(OR($G1370="",$H1370="",$I1370="",$G1370&lt;1300,$G1370&gt;1500,$H1370&lt;1,$H1370&gt;12,$I1370&lt;1,$I1370&gt;31),"نامعتبر",RIGHT("0000"&amp;$G1370,4)&amp;"/"&amp;RIGHT("00"&amp;$H1370,2)&amp;"/"&amp;RIGHT("00"&amp;$I1370,2)))</f>
        <v/>
      </c>
      <c r="K1370">
        <f>IF(OR($F1370="",$J1370="",$J1370="نامعتبر"),"",LEFT($J1370,4)&amp;MID($J1370,6,2)&amp;RIGHT($J1370,2)&amp;$N1370&amp;"|"&amp;"2"&amp;RIGHT("00000"&amp;1365,5))</f>
        <v/>
      </c>
      <c r="L1370">
        <f>IF($K1370="","",COUNTIFS(LdgSellerA,$F1370,LdgKeyA,"&lt;"&amp;$K1370)+COUNTIFS(LdgSellerB,$F1370,LdgKeyB,"&lt;"&amp;$K1370)+1)</f>
        <v/>
      </c>
      <c r="M1370">
        <f>IF($L1370="","",$F1370&amp;"|"&amp;RIGHT("000000"&amp;$L1370,6))</f>
        <v/>
      </c>
      <c r="N1370">
        <f>IF($F1370="","",IF(Sync!$AF1370="","0000",IF(AND(ISNUMBER(Sync!$AF1370),Sync!$AF1370&gt;=0,Sync!$AF1370&lt;1),RIGHT("00"&amp;HOUR(Sync!$AF1370),2)&amp;RIGHT("00"&amp;MINUTE(Sync!$AF1370),2),IFERROR(RIGHT("00"&amp;VALUE(LEFT(Sync!$AF1370,FIND(":",Sync!$AF1370)-1)),2)&amp;RIGHT("00"&amp;VALUE(MID(Sync!$AF1370,FIND(":",Sync!$AF1370)+1,2)),2),"0000"))))</f>
        <v/>
      </c>
    </row>
    <row r="1371">
      <c r="A1371">
        <f>IF(OR(Calc!$E1375="",Calc!$E1375="نامعتبر",Calc!$G1375=""),"",Calc!$G1375)</f>
        <v/>
      </c>
      <c r="B1371">
        <f>IF($A1371="","",LEFT(Calc!$E1375,4)&amp;MID(Calc!$E1375,6,2)&amp;RIGHT(Calc!$E1375,2)&amp;Calc!$Q1375&amp;"|"&amp;"1"&amp;RIGHT("00000"&amp;1366,5))</f>
        <v/>
      </c>
      <c r="C1371">
        <f>IF($B1371="","",COUNTIFS(LdgSellerA,$A1371,LdgKeyA,"&lt;"&amp;$B1371)+COUNTIFS(LdgSellerB,$A1371,LdgKeyB,"&lt;"&amp;$B1371)+1)</f>
        <v/>
      </c>
      <c r="D1371">
        <f>IF($C1371="","",$A1371&amp;"|"&amp;RIGHT("000000"&amp;$C1371,6))</f>
        <v/>
      </c>
      <c r="F1371">
        <f>IF(Sync!$AH1371="","",IF(LEFT(UPPER(TRIM(Sync!$AH1371)),2)="SL",UPPER(TRIM(Sync!$AH1371)),""))</f>
        <v/>
      </c>
      <c r="G1371">
        <f>IF($F1371="","",IF(Sync!$AE1371="","",IF(ISNUMBER(Sync!$AE1371),IF(AND(Sync!$AE1371&gt;=10000101,Sync!$AE1371&lt;=99991231),INT(Sync!$AE1371/10000),""),IFERROR(VALUE(TRIM(LEFT(Sync!$AE1371,FIND("/",Sync!$AE1371)-1))),""))))</f>
        <v/>
      </c>
      <c r="H1371">
        <f>IF(OR($F1371="",$G1371=""),"",IF(ISNUMBER(Sync!$AE1371),INT(MOD(Sync!$AE1371,10000)/100),IFERROR(VALUE(TRIM(LEFT(MID(Sync!$AE1371,FIND("/",Sync!$AE1371)+1,20),FIND("/",MID(Sync!$AE1371,FIND("/",Sync!$AE1371)+1,20))-1))),"")))</f>
        <v/>
      </c>
      <c r="I1371">
        <f>IF(OR($F1371="",$G1371=""),"",IF(ISNUMBER(Sync!$AE1371),MOD(Sync!$AE1371,100),IFERROR(VALUE(TRIM(MID(MID(Sync!$AE1371,FIND("/",Sync!$AE1371)+1,20),FIND("/",MID(Sync!$AE1371,FIND("/",Sync!$AE1371)+1,20))+1,20))),"")))</f>
        <v/>
      </c>
      <c r="J1371">
        <f>IF($F1371="","",IF(OR($G1371="",$H1371="",$I1371="",$G1371&lt;1300,$G1371&gt;1500,$H1371&lt;1,$H1371&gt;12,$I1371&lt;1,$I1371&gt;31),"نامعتبر",RIGHT("0000"&amp;$G1371,4)&amp;"/"&amp;RIGHT("00"&amp;$H1371,2)&amp;"/"&amp;RIGHT("00"&amp;$I1371,2)))</f>
        <v/>
      </c>
      <c r="K1371">
        <f>IF(OR($F1371="",$J1371="",$J1371="نامعتبر"),"",LEFT($J1371,4)&amp;MID($J1371,6,2)&amp;RIGHT($J1371,2)&amp;$N1371&amp;"|"&amp;"2"&amp;RIGHT("00000"&amp;1366,5))</f>
        <v/>
      </c>
      <c r="L1371">
        <f>IF($K1371="","",COUNTIFS(LdgSellerA,$F1371,LdgKeyA,"&lt;"&amp;$K1371)+COUNTIFS(LdgSellerB,$F1371,LdgKeyB,"&lt;"&amp;$K1371)+1)</f>
        <v/>
      </c>
      <c r="M1371">
        <f>IF($L1371="","",$F1371&amp;"|"&amp;RIGHT("000000"&amp;$L1371,6))</f>
        <v/>
      </c>
      <c r="N1371">
        <f>IF($F1371="","",IF(Sync!$AF1371="","0000",IF(AND(ISNUMBER(Sync!$AF1371),Sync!$AF1371&gt;=0,Sync!$AF1371&lt;1),RIGHT("00"&amp;HOUR(Sync!$AF1371),2)&amp;RIGHT("00"&amp;MINUTE(Sync!$AF1371),2),IFERROR(RIGHT("00"&amp;VALUE(LEFT(Sync!$AF1371,FIND(":",Sync!$AF1371)-1)),2)&amp;RIGHT("00"&amp;VALUE(MID(Sync!$AF1371,FIND(":",Sync!$AF1371)+1,2)),2),"0000"))))</f>
        <v/>
      </c>
    </row>
    <row r="1372">
      <c r="A1372">
        <f>IF(OR(Calc!$E1376="",Calc!$E1376="نامعتبر",Calc!$G1376=""),"",Calc!$G1376)</f>
        <v/>
      </c>
      <c r="B1372">
        <f>IF($A1372="","",LEFT(Calc!$E1376,4)&amp;MID(Calc!$E1376,6,2)&amp;RIGHT(Calc!$E1376,2)&amp;Calc!$Q1376&amp;"|"&amp;"1"&amp;RIGHT("00000"&amp;1367,5))</f>
        <v/>
      </c>
      <c r="C1372">
        <f>IF($B1372="","",COUNTIFS(LdgSellerA,$A1372,LdgKeyA,"&lt;"&amp;$B1372)+COUNTIFS(LdgSellerB,$A1372,LdgKeyB,"&lt;"&amp;$B1372)+1)</f>
        <v/>
      </c>
      <c r="D1372">
        <f>IF($C1372="","",$A1372&amp;"|"&amp;RIGHT("000000"&amp;$C1372,6))</f>
        <v/>
      </c>
      <c r="F1372">
        <f>IF(Sync!$AH1372="","",IF(LEFT(UPPER(TRIM(Sync!$AH1372)),2)="SL",UPPER(TRIM(Sync!$AH1372)),""))</f>
        <v/>
      </c>
      <c r="G1372">
        <f>IF($F1372="","",IF(Sync!$AE1372="","",IF(ISNUMBER(Sync!$AE1372),IF(AND(Sync!$AE1372&gt;=10000101,Sync!$AE1372&lt;=99991231),INT(Sync!$AE1372/10000),""),IFERROR(VALUE(TRIM(LEFT(Sync!$AE1372,FIND("/",Sync!$AE1372)-1))),""))))</f>
        <v/>
      </c>
      <c r="H1372">
        <f>IF(OR($F1372="",$G1372=""),"",IF(ISNUMBER(Sync!$AE1372),INT(MOD(Sync!$AE1372,10000)/100),IFERROR(VALUE(TRIM(LEFT(MID(Sync!$AE1372,FIND("/",Sync!$AE1372)+1,20),FIND("/",MID(Sync!$AE1372,FIND("/",Sync!$AE1372)+1,20))-1))),"")))</f>
        <v/>
      </c>
      <c r="I1372">
        <f>IF(OR($F1372="",$G1372=""),"",IF(ISNUMBER(Sync!$AE1372),MOD(Sync!$AE1372,100),IFERROR(VALUE(TRIM(MID(MID(Sync!$AE1372,FIND("/",Sync!$AE1372)+1,20),FIND("/",MID(Sync!$AE1372,FIND("/",Sync!$AE1372)+1,20))+1,20))),"")))</f>
        <v/>
      </c>
      <c r="J1372">
        <f>IF($F1372="","",IF(OR($G1372="",$H1372="",$I1372="",$G1372&lt;1300,$G1372&gt;1500,$H1372&lt;1,$H1372&gt;12,$I1372&lt;1,$I1372&gt;31),"نامعتبر",RIGHT("0000"&amp;$G1372,4)&amp;"/"&amp;RIGHT("00"&amp;$H1372,2)&amp;"/"&amp;RIGHT("00"&amp;$I1372,2)))</f>
        <v/>
      </c>
      <c r="K1372">
        <f>IF(OR($F1372="",$J1372="",$J1372="نامعتبر"),"",LEFT($J1372,4)&amp;MID($J1372,6,2)&amp;RIGHT($J1372,2)&amp;$N1372&amp;"|"&amp;"2"&amp;RIGHT("00000"&amp;1367,5))</f>
        <v/>
      </c>
      <c r="L1372">
        <f>IF($K1372="","",COUNTIFS(LdgSellerA,$F1372,LdgKeyA,"&lt;"&amp;$K1372)+COUNTIFS(LdgSellerB,$F1372,LdgKeyB,"&lt;"&amp;$K1372)+1)</f>
        <v/>
      </c>
      <c r="M1372">
        <f>IF($L1372="","",$F1372&amp;"|"&amp;RIGHT("000000"&amp;$L1372,6))</f>
        <v/>
      </c>
      <c r="N1372">
        <f>IF($F1372="","",IF(Sync!$AF1372="","0000",IF(AND(ISNUMBER(Sync!$AF1372),Sync!$AF1372&gt;=0,Sync!$AF1372&lt;1),RIGHT("00"&amp;HOUR(Sync!$AF1372),2)&amp;RIGHT("00"&amp;MINUTE(Sync!$AF1372),2),IFERROR(RIGHT("00"&amp;VALUE(LEFT(Sync!$AF1372,FIND(":",Sync!$AF1372)-1)),2)&amp;RIGHT("00"&amp;VALUE(MID(Sync!$AF1372,FIND(":",Sync!$AF1372)+1,2)),2),"0000"))))</f>
        <v/>
      </c>
    </row>
    <row r="1373">
      <c r="A1373">
        <f>IF(OR(Calc!$E1377="",Calc!$E1377="نامعتبر",Calc!$G1377=""),"",Calc!$G1377)</f>
        <v/>
      </c>
      <c r="B1373">
        <f>IF($A1373="","",LEFT(Calc!$E1377,4)&amp;MID(Calc!$E1377,6,2)&amp;RIGHT(Calc!$E1377,2)&amp;Calc!$Q1377&amp;"|"&amp;"1"&amp;RIGHT("00000"&amp;1368,5))</f>
        <v/>
      </c>
      <c r="C1373">
        <f>IF($B1373="","",COUNTIFS(LdgSellerA,$A1373,LdgKeyA,"&lt;"&amp;$B1373)+COUNTIFS(LdgSellerB,$A1373,LdgKeyB,"&lt;"&amp;$B1373)+1)</f>
        <v/>
      </c>
      <c r="D1373">
        <f>IF($C1373="","",$A1373&amp;"|"&amp;RIGHT("000000"&amp;$C1373,6))</f>
        <v/>
      </c>
      <c r="F1373">
        <f>IF(Sync!$AH1373="","",IF(LEFT(UPPER(TRIM(Sync!$AH1373)),2)="SL",UPPER(TRIM(Sync!$AH1373)),""))</f>
        <v/>
      </c>
      <c r="G1373">
        <f>IF($F1373="","",IF(Sync!$AE1373="","",IF(ISNUMBER(Sync!$AE1373),IF(AND(Sync!$AE1373&gt;=10000101,Sync!$AE1373&lt;=99991231),INT(Sync!$AE1373/10000),""),IFERROR(VALUE(TRIM(LEFT(Sync!$AE1373,FIND("/",Sync!$AE1373)-1))),""))))</f>
        <v/>
      </c>
      <c r="H1373">
        <f>IF(OR($F1373="",$G1373=""),"",IF(ISNUMBER(Sync!$AE1373),INT(MOD(Sync!$AE1373,10000)/100),IFERROR(VALUE(TRIM(LEFT(MID(Sync!$AE1373,FIND("/",Sync!$AE1373)+1,20),FIND("/",MID(Sync!$AE1373,FIND("/",Sync!$AE1373)+1,20))-1))),"")))</f>
        <v/>
      </c>
      <c r="I1373">
        <f>IF(OR($F1373="",$G1373=""),"",IF(ISNUMBER(Sync!$AE1373),MOD(Sync!$AE1373,100),IFERROR(VALUE(TRIM(MID(MID(Sync!$AE1373,FIND("/",Sync!$AE1373)+1,20),FIND("/",MID(Sync!$AE1373,FIND("/",Sync!$AE1373)+1,20))+1,20))),"")))</f>
        <v/>
      </c>
      <c r="J1373">
        <f>IF($F1373="","",IF(OR($G1373="",$H1373="",$I1373="",$G1373&lt;1300,$G1373&gt;1500,$H1373&lt;1,$H1373&gt;12,$I1373&lt;1,$I1373&gt;31),"نامعتبر",RIGHT("0000"&amp;$G1373,4)&amp;"/"&amp;RIGHT("00"&amp;$H1373,2)&amp;"/"&amp;RIGHT("00"&amp;$I1373,2)))</f>
        <v/>
      </c>
      <c r="K1373">
        <f>IF(OR($F1373="",$J1373="",$J1373="نامعتبر"),"",LEFT($J1373,4)&amp;MID($J1373,6,2)&amp;RIGHT($J1373,2)&amp;$N1373&amp;"|"&amp;"2"&amp;RIGHT("00000"&amp;1368,5))</f>
        <v/>
      </c>
      <c r="L1373">
        <f>IF($K1373="","",COUNTIFS(LdgSellerA,$F1373,LdgKeyA,"&lt;"&amp;$K1373)+COUNTIFS(LdgSellerB,$F1373,LdgKeyB,"&lt;"&amp;$K1373)+1)</f>
        <v/>
      </c>
      <c r="M1373">
        <f>IF($L1373="","",$F1373&amp;"|"&amp;RIGHT("000000"&amp;$L1373,6))</f>
        <v/>
      </c>
      <c r="N1373">
        <f>IF($F1373="","",IF(Sync!$AF1373="","0000",IF(AND(ISNUMBER(Sync!$AF1373),Sync!$AF1373&gt;=0,Sync!$AF1373&lt;1),RIGHT("00"&amp;HOUR(Sync!$AF1373),2)&amp;RIGHT("00"&amp;MINUTE(Sync!$AF1373),2),IFERROR(RIGHT("00"&amp;VALUE(LEFT(Sync!$AF1373,FIND(":",Sync!$AF1373)-1)),2)&amp;RIGHT("00"&amp;VALUE(MID(Sync!$AF1373,FIND(":",Sync!$AF1373)+1,2)),2),"0000"))))</f>
        <v/>
      </c>
    </row>
    <row r="1374">
      <c r="A1374">
        <f>IF(OR(Calc!$E1378="",Calc!$E1378="نامعتبر",Calc!$G1378=""),"",Calc!$G1378)</f>
        <v/>
      </c>
      <c r="B1374">
        <f>IF($A1374="","",LEFT(Calc!$E1378,4)&amp;MID(Calc!$E1378,6,2)&amp;RIGHT(Calc!$E1378,2)&amp;Calc!$Q1378&amp;"|"&amp;"1"&amp;RIGHT("00000"&amp;1369,5))</f>
        <v/>
      </c>
      <c r="C1374">
        <f>IF($B1374="","",COUNTIFS(LdgSellerA,$A1374,LdgKeyA,"&lt;"&amp;$B1374)+COUNTIFS(LdgSellerB,$A1374,LdgKeyB,"&lt;"&amp;$B1374)+1)</f>
        <v/>
      </c>
      <c r="D1374">
        <f>IF($C1374="","",$A1374&amp;"|"&amp;RIGHT("000000"&amp;$C1374,6))</f>
        <v/>
      </c>
      <c r="F1374">
        <f>IF(Sync!$AH1374="","",IF(LEFT(UPPER(TRIM(Sync!$AH1374)),2)="SL",UPPER(TRIM(Sync!$AH1374)),""))</f>
        <v/>
      </c>
      <c r="G1374">
        <f>IF($F1374="","",IF(Sync!$AE1374="","",IF(ISNUMBER(Sync!$AE1374),IF(AND(Sync!$AE1374&gt;=10000101,Sync!$AE1374&lt;=99991231),INT(Sync!$AE1374/10000),""),IFERROR(VALUE(TRIM(LEFT(Sync!$AE1374,FIND("/",Sync!$AE1374)-1))),""))))</f>
        <v/>
      </c>
      <c r="H1374">
        <f>IF(OR($F1374="",$G1374=""),"",IF(ISNUMBER(Sync!$AE1374),INT(MOD(Sync!$AE1374,10000)/100),IFERROR(VALUE(TRIM(LEFT(MID(Sync!$AE1374,FIND("/",Sync!$AE1374)+1,20),FIND("/",MID(Sync!$AE1374,FIND("/",Sync!$AE1374)+1,20))-1))),"")))</f>
        <v/>
      </c>
      <c r="I1374">
        <f>IF(OR($F1374="",$G1374=""),"",IF(ISNUMBER(Sync!$AE1374),MOD(Sync!$AE1374,100),IFERROR(VALUE(TRIM(MID(MID(Sync!$AE1374,FIND("/",Sync!$AE1374)+1,20),FIND("/",MID(Sync!$AE1374,FIND("/",Sync!$AE1374)+1,20))+1,20))),"")))</f>
        <v/>
      </c>
      <c r="J1374">
        <f>IF($F1374="","",IF(OR($G1374="",$H1374="",$I1374="",$G1374&lt;1300,$G1374&gt;1500,$H1374&lt;1,$H1374&gt;12,$I1374&lt;1,$I1374&gt;31),"نامعتبر",RIGHT("0000"&amp;$G1374,4)&amp;"/"&amp;RIGHT("00"&amp;$H1374,2)&amp;"/"&amp;RIGHT("00"&amp;$I1374,2)))</f>
        <v/>
      </c>
      <c r="K1374">
        <f>IF(OR($F1374="",$J1374="",$J1374="نامعتبر"),"",LEFT($J1374,4)&amp;MID($J1374,6,2)&amp;RIGHT($J1374,2)&amp;$N1374&amp;"|"&amp;"2"&amp;RIGHT("00000"&amp;1369,5))</f>
        <v/>
      </c>
      <c r="L1374">
        <f>IF($K1374="","",COUNTIFS(LdgSellerA,$F1374,LdgKeyA,"&lt;"&amp;$K1374)+COUNTIFS(LdgSellerB,$F1374,LdgKeyB,"&lt;"&amp;$K1374)+1)</f>
        <v/>
      </c>
      <c r="M1374">
        <f>IF($L1374="","",$F1374&amp;"|"&amp;RIGHT("000000"&amp;$L1374,6))</f>
        <v/>
      </c>
      <c r="N1374">
        <f>IF($F1374="","",IF(Sync!$AF1374="","0000",IF(AND(ISNUMBER(Sync!$AF1374),Sync!$AF1374&gt;=0,Sync!$AF1374&lt;1),RIGHT("00"&amp;HOUR(Sync!$AF1374),2)&amp;RIGHT("00"&amp;MINUTE(Sync!$AF1374),2),IFERROR(RIGHT("00"&amp;VALUE(LEFT(Sync!$AF1374,FIND(":",Sync!$AF1374)-1)),2)&amp;RIGHT("00"&amp;VALUE(MID(Sync!$AF1374,FIND(":",Sync!$AF1374)+1,2)),2),"0000"))))</f>
        <v/>
      </c>
    </row>
    <row r="1375">
      <c r="A1375">
        <f>IF(OR(Calc!$E1379="",Calc!$E1379="نامعتبر",Calc!$G1379=""),"",Calc!$G1379)</f>
        <v/>
      </c>
      <c r="B1375">
        <f>IF($A1375="","",LEFT(Calc!$E1379,4)&amp;MID(Calc!$E1379,6,2)&amp;RIGHT(Calc!$E1379,2)&amp;Calc!$Q1379&amp;"|"&amp;"1"&amp;RIGHT("00000"&amp;1370,5))</f>
        <v/>
      </c>
      <c r="C1375">
        <f>IF($B1375="","",COUNTIFS(LdgSellerA,$A1375,LdgKeyA,"&lt;"&amp;$B1375)+COUNTIFS(LdgSellerB,$A1375,LdgKeyB,"&lt;"&amp;$B1375)+1)</f>
        <v/>
      </c>
      <c r="D1375">
        <f>IF($C1375="","",$A1375&amp;"|"&amp;RIGHT("000000"&amp;$C1375,6))</f>
        <v/>
      </c>
      <c r="F1375">
        <f>IF(Sync!$AH1375="","",IF(LEFT(UPPER(TRIM(Sync!$AH1375)),2)="SL",UPPER(TRIM(Sync!$AH1375)),""))</f>
        <v/>
      </c>
      <c r="G1375">
        <f>IF($F1375="","",IF(Sync!$AE1375="","",IF(ISNUMBER(Sync!$AE1375),IF(AND(Sync!$AE1375&gt;=10000101,Sync!$AE1375&lt;=99991231),INT(Sync!$AE1375/10000),""),IFERROR(VALUE(TRIM(LEFT(Sync!$AE1375,FIND("/",Sync!$AE1375)-1))),""))))</f>
        <v/>
      </c>
      <c r="H1375">
        <f>IF(OR($F1375="",$G1375=""),"",IF(ISNUMBER(Sync!$AE1375),INT(MOD(Sync!$AE1375,10000)/100),IFERROR(VALUE(TRIM(LEFT(MID(Sync!$AE1375,FIND("/",Sync!$AE1375)+1,20),FIND("/",MID(Sync!$AE1375,FIND("/",Sync!$AE1375)+1,20))-1))),"")))</f>
        <v/>
      </c>
      <c r="I1375">
        <f>IF(OR($F1375="",$G1375=""),"",IF(ISNUMBER(Sync!$AE1375),MOD(Sync!$AE1375,100),IFERROR(VALUE(TRIM(MID(MID(Sync!$AE1375,FIND("/",Sync!$AE1375)+1,20),FIND("/",MID(Sync!$AE1375,FIND("/",Sync!$AE1375)+1,20))+1,20))),"")))</f>
        <v/>
      </c>
      <c r="J1375">
        <f>IF($F1375="","",IF(OR($G1375="",$H1375="",$I1375="",$G1375&lt;1300,$G1375&gt;1500,$H1375&lt;1,$H1375&gt;12,$I1375&lt;1,$I1375&gt;31),"نامعتبر",RIGHT("0000"&amp;$G1375,4)&amp;"/"&amp;RIGHT("00"&amp;$H1375,2)&amp;"/"&amp;RIGHT("00"&amp;$I1375,2)))</f>
        <v/>
      </c>
      <c r="K1375">
        <f>IF(OR($F1375="",$J1375="",$J1375="نامعتبر"),"",LEFT($J1375,4)&amp;MID($J1375,6,2)&amp;RIGHT($J1375,2)&amp;$N1375&amp;"|"&amp;"2"&amp;RIGHT("00000"&amp;1370,5))</f>
        <v/>
      </c>
      <c r="L1375">
        <f>IF($K1375="","",COUNTIFS(LdgSellerA,$F1375,LdgKeyA,"&lt;"&amp;$K1375)+COUNTIFS(LdgSellerB,$F1375,LdgKeyB,"&lt;"&amp;$K1375)+1)</f>
        <v/>
      </c>
      <c r="M1375">
        <f>IF($L1375="","",$F1375&amp;"|"&amp;RIGHT("000000"&amp;$L1375,6))</f>
        <v/>
      </c>
      <c r="N1375">
        <f>IF($F1375="","",IF(Sync!$AF1375="","0000",IF(AND(ISNUMBER(Sync!$AF1375),Sync!$AF1375&gt;=0,Sync!$AF1375&lt;1),RIGHT("00"&amp;HOUR(Sync!$AF1375),2)&amp;RIGHT("00"&amp;MINUTE(Sync!$AF1375),2),IFERROR(RIGHT("00"&amp;VALUE(LEFT(Sync!$AF1375,FIND(":",Sync!$AF1375)-1)),2)&amp;RIGHT("00"&amp;VALUE(MID(Sync!$AF1375,FIND(":",Sync!$AF1375)+1,2)),2),"0000"))))</f>
        <v/>
      </c>
    </row>
    <row r="1376">
      <c r="A1376">
        <f>IF(OR(Calc!$E1380="",Calc!$E1380="نامعتبر",Calc!$G1380=""),"",Calc!$G1380)</f>
        <v/>
      </c>
      <c r="B1376">
        <f>IF($A1376="","",LEFT(Calc!$E1380,4)&amp;MID(Calc!$E1380,6,2)&amp;RIGHT(Calc!$E1380,2)&amp;Calc!$Q1380&amp;"|"&amp;"1"&amp;RIGHT("00000"&amp;1371,5))</f>
        <v/>
      </c>
      <c r="C1376">
        <f>IF($B1376="","",COUNTIFS(LdgSellerA,$A1376,LdgKeyA,"&lt;"&amp;$B1376)+COUNTIFS(LdgSellerB,$A1376,LdgKeyB,"&lt;"&amp;$B1376)+1)</f>
        <v/>
      </c>
      <c r="D1376">
        <f>IF($C1376="","",$A1376&amp;"|"&amp;RIGHT("000000"&amp;$C1376,6))</f>
        <v/>
      </c>
      <c r="F1376">
        <f>IF(Sync!$AH1376="","",IF(LEFT(UPPER(TRIM(Sync!$AH1376)),2)="SL",UPPER(TRIM(Sync!$AH1376)),""))</f>
        <v/>
      </c>
      <c r="G1376">
        <f>IF($F1376="","",IF(Sync!$AE1376="","",IF(ISNUMBER(Sync!$AE1376),IF(AND(Sync!$AE1376&gt;=10000101,Sync!$AE1376&lt;=99991231),INT(Sync!$AE1376/10000),""),IFERROR(VALUE(TRIM(LEFT(Sync!$AE1376,FIND("/",Sync!$AE1376)-1))),""))))</f>
        <v/>
      </c>
      <c r="H1376">
        <f>IF(OR($F1376="",$G1376=""),"",IF(ISNUMBER(Sync!$AE1376),INT(MOD(Sync!$AE1376,10000)/100),IFERROR(VALUE(TRIM(LEFT(MID(Sync!$AE1376,FIND("/",Sync!$AE1376)+1,20),FIND("/",MID(Sync!$AE1376,FIND("/",Sync!$AE1376)+1,20))-1))),"")))</f>
        <v/>
      </c>
      <c r="I1376">
        <f>IF(OR($F1376="",$G1376=""),"",IF(ISNUMBER(Sync!$AE1376),MOD(Sync!$AE1376,100),IFERROR(VALUE(TRIM(MID(MID(Sync!$AE1376,FIND("/",Sync!$AE1376)+1,20),FIND("/",MID(Sync!$AE1376,FIND("/",Sync!$AE1376)+1,20))+1,20))),"")))</f>
        <v/>
      </c>
      <c r="J1376">
        <f>IF($F1376="","",IF(OR($G1376="",$H1376="",$I1376="",$G1376&lt;1300,$G1376&gt;1500,$H1376&lt;1,$H1376&gt;12,$I1376&lt;1,$I1376&gt;31),"نامعتبر",RIGHT("0000"&amp;$G1376,4)&amp;"/"&amp;RIGHT("00"&amp;$H1376,2)&amp;"/"&amp;RIGHT("00"&amp;$I1376,2)))</f>
        <v/>
      </c>
      <c r="K1376">
        <f>IF(OR($F1376="",$J1376="",$J1376="نامعتبر"),"",LEFT($J1376,4)&amp;MID($J1376,6,2)&amp;RIGHT($J1376,2)&amp;$N1376&amp;"|"&amp;"2"&amp;RIGHT("00000"&amp;1371,5))</f>
        <v/>
      </c>
      <c r="L1376">
        <f>IF($K1376="","",COUNTIFS(LdgSellerA,$F1376,LdgKeyA,"&lt;"&amp;$K1376)+COUNTIFS(LdgSellerB,$F1376,LdgKeyB,"&lt;"&amp;$K1376)+1)</f>
        <v/>
      </c>
      <c r="M1376">
        <f>IF($L1376="","",$F1376&amp;"|"&amp;RIGHT("000000"&amp;$L1376,6))</f>
        <v/>
      </c>
      <c r="N1376">
        <f>IF($F1376="","",IF(Sync!$AF1376="","0000",IF(AND(ISNUMBER(Sync!$AF1376),Sync!$AF1376&gt;=0,Sync!$AF1376&lt;1),RIGHT("00"&amp;HOUR(Sync!$AF1376),2)&amp;RIGHT("00"&amp;MINUTE(Sync!$AF1376),2),IFERROR(RIGHT("00"&amp;VALUE(LEFT(Sync!$AF1376,FIND(":",Sync!$AF1376)-1)),2)&amp;RIGHT("00"&amp;VALUE(MID(Sync!$AF1376,FIND(":",Sync!$AF1376)+1,2)),2),"0000"))))</f>
        <v/>
      </c>
    </row>
    <row r="1377">
      <c r="A1377">
        <f>IF(OR(Calc!$E1381="",Calc!$E1381="نامعتبر",Calc!$G1381=""),"",Calc!$G1381)</f>
        <v/>
      </c>
      <c r="B1377">
        <f>IF($A1377="","",LEFT(Calc!$E1381,4)&amp;MID(Calc!$E1381,6,2)&amp;RIGHT(Calc!$E1381,2)&amp;Calc!$Q1381&amp;"|"&amp;"1"&amp;RIGHT("00000"&amp;1372,5))</f>
        <v/>
      </c>
      <c r="C1377">
        <f>IF($B1377="","",COUNTIFS(LdgSellerA,$A1377,LdgKeyA,"&lt;"&amp;$B1377)+COUNTIFS(LdgSellerB,$A1377,LdgKeyB,"&lt;"&amp;$B1377)+1)</f>
        <v/>
      </c>
      <c r="D1377">
        <f>IF($C1377="","",$A1377&amp;"|"&amp;RIGHT("000000"&amp;$C1377,6))</f>
        <v/>
      </c>
      <c r="F1377">
        <f>IF(Sync!$AH1377="","",IF(LEFT(UPPER(TRIM(Sync!$AH1377)),2)="SL",UPPER(TRIM(Sync!$AH1377)),""))</f>
        <v/>
      </c>
      <c r="G1377">
        <f>IF($F1377="","",IF(Sync!$AE1377="","",IF(ISNUMBER(Sync!$AE1377),IF(AND(Sync!$AE1377&gt;=10000101,Sync!$AE1377&lt;=99991231),INT(Sync!$AE1377/10000),""),IFERROR(VALUE(TRIM(LEFT(Sync!$AE1377,FIND("/",Sync!$AE1377)-1))),""))))</f>
        <v/>
      </c>
      <c r="H1377">
        <f>IF(OR($F1377="",$G1377=""),"",IF(ISNUMBER(Sync!$AE1377),INT(MOD(Sync!$AE1377,10000)/100),IFERROR(VALUE(TRIM(LEFT(MID(Sync!$AE1377,FIND("/",Sync!$AE1377)+1,20),FIND("/",MID(Sync!$AE1377,FIND("/",Sync!$AE1377)+1,20))-1))),"")))</f>
        <v/>
      </c>
      <c r="I1377">
        <f>IF(OR($F1377="",$G1377=""),"",IF(ISNUMBER(Sync!$AE1377),MOD(Sync!$AE1377,100),IFERROR(VALUE(TRIM(MID(MID(Sync!$AE1377,FIND("/",Sync!$AE1377)+1,20),FIND("/",MID(Sync!$AE1377,FIND("/",Sync!$AE1377)+1,20))+1,20))),"")))</f>
        <v/>
      </c>
      <c r="J1377">
        <f>IF($F1377="","",IF(OR($G1377="",$H1377="",$I1377="",$G1377&lt;1300,$G1377&gt;1500,$H1377&lt;1,$H1377&gt;12,$I1377&lt;1,$I1377&gt;31),"نامعتبر",RIGHT("0000"&amp;$G1377,4)&amp;"/"&amp;RIGHT("00"&amp;$H1377,2)&amp;"/"&amp;RIGHT("00"&amp;$I1377,2)))</f>
        <v/>
      </c>
      <c r="K1377">
        <f>IF(OR($F1377="",$J1377="",$J1377="نامعتبر"),"",LEFT($J1377,4)&amp;MID($J1377,6,2)&amp;RIGHT($J1377,2)&amp;$N1377&amp;"|"&amp;"2"&amp;RIGHT("00000"&amp;1372,5))</f>
        <v/>
      </c>
      <c r="L1377">
        <f>IF($K1377="","",COUNTIFS(LdgSellerA,$F1377,LdgKeyA,"&lt;"&amp;$K1377)+COUNTIFS(LdgSellerB,$F1377,LdgKeyB,"&lt;"&amp;$K1377)+1)</f>
        <v/>
      </c>
      <c r="M1377">
        <f>IF($L1377="","",$F1377&amp;"|"&amp;RIGHT("000000"&amp;$L1377,6))</f>
        <v/>
      </c>
      <c r="N1377">
        <f>IF($F1377="","",IF(Sync!$AF1377="","0000",IF(AND(ISNUMBER(Sync!$AF1377),Sync!$AF1377&gt;=0,Sync!$AF1377&lt;1),RIGHT("00"&amp;HOUR(Sync!$AF1377),2)&amp;RIGHT("00"&amp;MINUTE(Sync!$AF1377),2),IFERROR(RIGHT("00"&amp;VALUE(LEFT(Sync!$AF1377,FIND(":",Sync!$AF1377)-1)),2)&amp;RIGHT("00"&amp;VALUE(MID(Sync!$AF1377,FIND(":",Sync!$AF1377)+1,2)),2),"0000"))))</f>
        <v/>
      </c>
    </row>
    <row r="1378">
      <c r="A1378">
        <f>IF(OR(Calc!$E1382="",Calc!$E1382="نامعتبر",Calc!$G1382=""),"",Calc!$G1382)</f>
        <v/>
      </c>
      <c r="B1378">
        <f>IF($A1378="","",LEFT(Calc!$E1382,4)&amp;MID(Calc!$E1382,6,2)&amp;RIGHT(Calc!$E1382,2)&amp;Calc!$Q1382&amp;"|"&amp;"1"&amp;RIGHT("00000"&amp;1373,5))</f>
        <v/>
      </c>
      <c r="C1378">
        <f>IF($B1378="","",COUNTIFS(LdgSellerA,$A1378,LdgKeyA,"&lt;"&amp;$B1378)+COUNTIFS(LdgSellerB,$A1378,LdgKeyB,"&lt;"&amp;$B1378)+1)</f>
        <v/>
      </c>
      <c r="D1378">
        <f>IF($C1378="","",$A1378&amp;"|"&amp;RIGHT("000000"&amp;$C1378,6))</f>
        <v/>
      </c>
      <c r="F1378">
        <f>IF(Sync!$AH1378="","",IF(LEFT(UPPER(TRIM(Sync!$AH1378)),2)="SL",UPPER(TRIM(Sync!$AH1378)),""))</f>
        <v/>
      </c>
      <c r="G1378">
        <f>IF($F1378="","",IF(Sync!$AE1378="","",IF(ISNUMBER(Sync!$AE1378),IF(AND(Sync!$AE1378&gt;=10000101,Sync!$AE1378&lt;=99991231),INT(Sync!$AE1378/10000),""),IFERROR(VALUE(TRIM(LEFT(Sync!$AE1378,FIND("/",Sync!$AE1378)-1))),""))))</f>
        <v/>
      </c>
      <c r="H1378">
        <f>IF(OR($F1378="",$G1378=""),"",IF(ISNUMBER(Sync!$AE1378),INT(MOD(Sync!$AE1378,10000)/100),IFERROR(VALUE(TRIM(LEFT(MID(Sync!$AE1378,FIND("/",Sync!$AE1378)+1,20),FIND("/",MID(Sync!$AE1378,FIND("/",Sync!$AE1378)+1,20))-1))),"")))</f>
        <v/>
      </c>
      <c r="I1378">
        <f>IF(OR($F1378="",$G1378=""),"",IF(ISNUMBER(Sync!$AE1378),MOD(Sync!$AE1378,100),IFERROR(VALUE(TRIM(MID(MID(Sync!$AE1378,FIND("/",Sync!$AE1378)+1,20),FIND("/",MID(Sync!$AE1378,FIND("/",Sync!$AE1378)+1,20))+1,20))),"")))</f>
        <v/>
      </c>
      <c r="J1378">
        <f>IF($F1378="","",IF(OR($G1378="",$H1378="",$I1378="",$G1378&lt;1300,$G1378&gt;1500,$H1378&lt;1,$H1378&gt;12,$I1378&lt;1,$I1378&gt;31),"نامعتبر",RIGHT("0000"&amp;$G1378,4)&amp;"/"&amp;RIGHT("00"&amp;$H1378,2)&amp;"/"&amp;RIGHT("00"&amp;$I1378,2)))</f>
        <v/>
      </c>
      <c r="K1378">
        <f>IF(OR($F1378="",$J1378="",$J1378="نامعتبر"),"",LEFT($J1378,4)&amp;MID($J1378,6,2)&amp;RIGHT($J1378,2)&amp;$N1378&amp;"|"&amp;"2"&amp;RIGHT("00000"&amp;1373,5))</f>
        <v/>
      </c>
      <c r="L1378">
        <f>IF($K1378="","",COUNTIFS(LdgSellerA,$F1378,LdgKeyA,"&lt;"&amp;$K1378)+COUNTIFS(LdgSellerB,$F1378,LdgKeyB,"&lt;"&amp;$K1378)+1)</f>
        <v/>
      </c>
      <c r="M1378">
        <f>IF($L1378="","",$F1378&amp;"|"&amp;RIGHT("000000"&amp;$L1378,6))</f>
        <v/>
      </c>
      <c r="N1378">
        <f>IF($F1378="","",IF(Sync!$AF1378="","0000",IF(AND(ISNUMBER(Sync!$AF1378),Sync!$AF1378&gt;=0,Sync!$AF1378&lt;1),RIGHT("00"&amp;HOUR(Sync!$AF1378),2)&amp;RIGHT("00"&amp;MINUTE(Sync!$AF1378),2),IFERROR(RIGHT("00"&amp;VALUE(LEFT(Sync!$AF1378,FIND(":",Sync!$AF1378)-1)),2)&amp;RIGHT("00"&amp;VALUE(MID(Sync!$AF1378,FIND(":",Sync!$AF1378)+1,2)),2),"0000"))))</f>
        <v/>
      </c>
    </row>
    <row r="1379">
      <c r="A1379">
        <f>IF(OR(Calc!$E1383="",Calc!$E1383="نامعتبر",Calc!$G1383=""),"",Calc!$G1383)</f>
        <v/>
      </c>
      <c r="B1379">
        <f>IF($A1379="","",LEFT(Calc!$E1383,4)&amp;MID(Calc!$E1383,6,2)&amp;RIGHT(Calc!$E1383,2)&amp;Calc!$Q1383&amp;"|"&amp;"1"&amp;RIGHT("00000"&amp;1374,5))</f>
        <v/>
      </c>
      <c r="C1379">
        <f>IF($B1379="","",COUNTIFS(LdgSellerA,$A1379,LdgKeyA,"&lt;"&amp;$B1379)+COUNTIFS(LdgSellerB,$A1379,LdgKeyB,"&lt;"&amp;$B1379)+1)</f>
        <v/>
      </c>
      <c r="D1379">
        <f>IF($C1379="","",$A1379&amp;"|"&amp;RIGHT("000000"&amp;$C1379,6))</f>
        <v/>
      </c>
      <c r="F1379">
        <f>IF(Sync!$AH1379="","",IF(LEFT(UPPER(TRIM(Sync!$AH1379)),2)="SL",UPPER(TRIM(Sync!$AH1379)),""))</f>
        <v/>
      </c>
      <c r="G1379">
        <f>IF($F1379="","",IF(Sync!$AE1379="","",IF(ISNUMBER(Sync!$AE1379),IF(AND(Sync!$AE1379&gt;=10000101,Sync!$AE1379&lt;=99991231),INT(Sync!$AE1379/10000),""),IFERROR(VALUE(TRIM(LEFT(Sync!$AE1379,FIND("/",Sync!$AE1379)-1))),""))))</f>
        <v/>
      </c>
      <c r="H1379">
        <f>IF(OR($F1379="",$G1379=""),"",IF(ISNUMBER(Sync!$AE1379),INT(MOD(Sync!$AE1379,10000)/100),IFERROR(VALUE(TRIM(LEFT(MID(Sync!$AE1379,FIND("/",Sync!$AE1379)+1,20),FIND("/",MID(Sync!$AE1379,FIND("/",Sync!$AE1379)+1,20))-1))),"")))</f>
        <v/>
      </c>
      <c r="I1379">
        <f>IF(OR($F1379="",$G1379=""),"",IF(ISNUMBER(Sync!$AE1379),MOD(Sync!$AE1379,100),IFERROR(VALUE(TRIM(MID(MID(Sync!$AE1379,FIND("/",Sync!$AE1379)+1,20),FIND("/",MID(Sync!$AE1379,FIND("/",Sync!$AE1379)+1,20))+1,20))),"")))</f>
        <v/>
      </c>
      <c r="J1379">
        <f>IF($F1379="","",IF(OR($G1379="",$H1379="",$I1379="",$G1379&lt;1300,$G1379&gt;1500,$H1379&lt;1,$H1379&gt;12,$I1379&lt;1,$I1379&gt;31),"نامعتبر",RIGHT("0000"&amp;$G1379,4)&amp;"/"&amp;RIGHT("00"&amp;$H1379,2)&amp;"/"&amp;RIGHT("00"&amp;$I1379,2)))</f>
        <v/>
      </c>
      <c r="K1379">
        <f>IF(OR($F1379="",$J1379="",$J1379="نامعتبر"),"",LEFT($J1379,4)&amp;MID($J1379,6,2)&amp;RIGHT($J1379,2)&amp;$N1379&amp;"|"&amp;"2"&amp;RIGHT("00000"&amp;1374,5))</f>
        <v/>
      </c>
      <c r="L1379">
        <f>IF($K1379="","",COUNTIFS(LdgSellerA,$F1379,LdgKeyA,"&lt;"&amp;$K1379)+COUNTIFS(LdgSellerB,$F1379,LdgKeyB,"&lt;"&amp;$K1379)+1)</f>
        <v/>
      </c>
      <c r="M1379">
        <f>IF($L1379="","",$F1379&amp;"|"&amp;RIGHT("000000"&amp;$L1379,6))</f>
        <v/>
      </c>
      <c r="N1379">
        <f>IF($F1379="","",IF(Sync!$AF1379="","0000",IF(AND(ISNUMBER(Sync!$AF1379),Sync!$AF1379&gt;=0,Sync!$AF1379&lt;1),RIGHT("00"&amp;HOUR(Sync!$AF1379),2)&amp;RIGHT("00"&amp;MINUTE(Sync!$AF1379),2),IFERROR(RIGHT("00"&amp;VALUE(LEFT(Sync!$AF1379,FIND(":",Sync!$AF1379)-1)),2)&amp;RIGHT("00"&amp;VALUE(MID(Sync!$AF1379,FIND(":",Sync!$AF1379)+1,2)),2),"0000"))))</f>
        <v/>
      </c>
    </row>
    <row r="1380">
      <c r="A1380">
        <f>IF(OR(Calc!$E1384="",Calc!$E1384="نامعتبر",Calc!$G1384=""),"",Calc!$G1384)</f>
        <v/>
      </c>
      <c r="B1380">
        <f>IF($A1380="","",LEFT(Calc!$E1384,4)&amp;MID(Calc!$E1384,6,2)&amp;RIGHT(Calc!$E1384,2)&amp;Calc!$Q1384&amp;"|"&amp;"1"&amp;RIGHT("00000"&amp;1375,5))</f>
        <v/>
      </c>
      <c r="C1380">
        <f>IF($B1380="","",COUNTIFS(LdgSellerA,$A1380,LdgKeyA,"&lt;"&amp;$B1380)+COUNTIFS(LdgSellerB,$A1380,LdgKeyB,"&lt;"&amp;$B1380)+1)</f>
        <v/>
      </c>
      <c r="D1380">
        <f>IF($C1380="","",$A1380&amp;"|"&amp;RIGHT("000000"&amp;$C1380,6))</f>
        <v/>
      </c>
      <c r="F1380">
        <f>IF(Sync!$AH1380="","",IF(LEFT(UPPER(TRIM(Sync!$AH1380)),2)="SL",UPPER(TRIM(Sync!$AH1380)),""))</f>
        <v/>
      </c>
      <c r="G1380">
        <f>IF($F1380="","",IF(Sync!$AE1380="","",IF(ISNUMBER(Sync!$AE1380),IF(AND(Sync!$AE1380&gt;=10000101,Sync!$AE1380&lt;=99991231),INT(Sync!$AE1380/10000),""),IFERROR(VALUE(TRIM(LEFT(Sync!$AE1380,FIND("/",Sync!$AE1380)-1))),""))))</f>
        <v/>
      </c>
      <c r="H1380">
        <f>IF(OR($F1380="",$G1380=""),"",IF(ISNUMBER(Sync!$AE1380),INT(MOD(Sync!$AE1380,10000)/100),IFERROR(VALUE(TRIM(LEFT(MID(Sync!$AE1380,FIND("/",Sync!$AE1380)+1,20),FIND("/",MID(Sync!$AE1380,FIND("/",Sync!$AE1380)+1,20))-1))),"")))</f>
        <v/>
      </c>
      <c r="I1380">
        <f>IF(OR($F1380="",$G1380=""),"",IF(ISNUMBER(Sync!$AE1380),MOD(Sync!$AE1380,100),IFERROR(VALUE(TRIM(MID(MID(Sync!$AE1380,FIND("/",Sync!$AE1380)+1,20),FIND("/",MID(Sync!$AE1380,FIND("/",Sync!$AE1380)+1,20))+1,20))),"")))</f>
        <v/>
      </c>
      <c r="J1380">
        <f>IF($F1380="","",IF(OR($G1380="",$H1380="",$I1380="",$G1380&lt;1300,$G1380&gt;1500,$H1380&lt;1,$H1380&gt;12,$I1380&lt;1,$I1380&gt;31),"نامعتبر",RIGHT("0000"&amp;$G1380,4)&amp;"/"&amp;RIGHT("00"&amp;$H1380,2)&amp;"/"&amp;RIGHT("00"&amp;$I1380,2)))</f>
        <v/>
      </c>
      <c r="K1380">
        <f>IF(OR($F1380="",$J1380="",$J1380="نامعتبر"),"",LEFT($J1380,4)&amp;MID($J1380,6,2)&amp;RIGHT($J1380,2)&amp;$N1380&amp;"|"&amp;"2"&amp;RIGHT("00000"&amp;1375,5))</f>
        <v/>
      </c>
      <c r="L1380">
        <f>IF($K1380="","",COUNTIFS(LdgSellerA,$F1380,LdgKeyA,"&lt;"&amp;$K1380)+COUNTIFS(LdgSellerB,$F1380,LdgKeyB,"&lt;"&amp;$K1380)+1)</f>
        <v/>
      </c>
      <c r="M1380">
        <f>IF($L1380="","",$F1380&amp;"|"&amp;RIGHT("000000"&amp;$L1380,6))</f>
        <v/>
      </c>
      <c r="N1380">
        <f>IF($F1380="","",IF(Sync!$AF1380="","0000",IF(AND(ISNUMBER(Sync!$AF1380),Sync!$AF1380&gt;=0,Sync!$AF1380&lt;1),RIGHT("00"&amp;HOUR(Sync!$AF1380),2)&amp;RIGHT("00"&amp;MINUTE(Sync!$AF1380),2),IFERROR(RIGHT("00"&amp;VALUE(LEFT(Sync!$AF1380,FIND(":",Sync!$AF1380)-1)),2)&amp;RIGHT("00"&amp;VALUE(MID(Sync!$AF1380,FIND(":",Sync!$AF1380)+1,2)),2),"0000"))))</f>
        <v/>
      </c>
    </row>
    <row r="1381">
      <c r="A1381">
        <f>IF(OR(Calc!$E1385="",Calc!$E1385="نامعتبر",Calc!$G1385=""),"",Calc!$G1385)</f>
        <v/>
      </c>
      <c r="B1381">
        <f>IF($A1381="","",LEFT(Calc!$E1385,4)&amp;MID(Calc!$E1385,6,2)&amp;RIGHT(Calc!$E1385,2)&amp;Calc!$Q1385&amp;"|"&amp;"1"&amp;RIGHT("00000"&amp;1376,5))</f>
        <v/>
      </c>
      <c r="C1381">
        <f>IF($B1381="","",COUNTIFS(LdgSellerA,$A1381,LdgKeyA,"&lt;"&amp;$B1381)+COUNTIFS(LdgSellerB,$A1381,LdgKeyB,"&lt;"&amp;$B1381)+1)</f>
        <v/>
      </c>
      <c r="D1381">
        <f>IF($C1381="","",$A1381&amp;"|"&amp;RIGHT("000000"&amp;$C1381,6))</f>
        <v/>
      </c>
      <c r="F1381">
        <f>IF(Sync!$AH1381="","",IF(LEFT(UPPER(TRIM(Sync!$AH1381)),2)="SL",UPPER(TRIM(Sync!$AH1381)),""))</f>
        <v/>
      </c>
      <c r="G1381">
        <f>IF($F1381="","",IF(Sync!$AE1381="","",IF(ISNUMBER(Sync!$AE1381),IF(AND(Sync!$AE1381&gt;=10000101,Sync!$AE1381&lt;=99991231),INT(Sync!$AE1381/10000),""),IFERROR(VALUE(TRIM(LEFT(Sync!$AE1381,FIND("/",Sync!$AE1381)-1))),""))))</f>
        <v/>
      </c>
      <c r="H1381">
        <f>IF(OR($F1381="",$G1381=""),"",IF(ISNUMBER(Sync!$AE1381),INT(MOD(Sync!$AE1381,10000)/100),IFERROR(VALUE(TRIM(LEFT(MID(Sync!$AE1381,FIND("/",Sync!$AE1381)+1,20),FIND("/",MID(Sync!$AE1381,FIND("/",Sync!$AE1381)+1,20))-1))),"")))</f>
        <v/>
      </c>
      <c r="I1381">
        <f>IF(OR($F1381="",$G1381=""),"",IF(ISNUMBER(Sync!$AE1381),MOD(Sync!$AE1381,100),IFERROR(VALUE(TRIM(MID(MID(Sync!$AE1381,FIND("/",Sync!$AE1381)+1,20),FIND("/",MID(Sync!$AE1381,FIND("/",Sync!$AE1381)+1,20))+1,20))),"")))</f>
        <v/>
      </c>
      <c r="J1381">
        <f>IF($F1381="","",IF(OR($G1381="",$H1381="",$I1381="",$G1381&lt;1300,$G1381&gt;1500,$H1381&lt;1,$H1381&gt;12,$I1381&lt;1,$I1381&gt;31),"نامعتبر",RIGHT("0000"&amp;$G1381,4)&amp;"/"&amp;RIGHT("00"&amp;$H1381,2)&amp;"/"&amp;RIGHT("00"&amp;$I1381,2)))</f>
        <v/>
      </c>
      <c r="K1381">
        <f>IF(OR($F1381="",$J1381="",$J1381="نامعتبر"),"",LEFT($J1381,4)&amp;MID($J1381,6,2)&amp;RIGHT($J1381,2)&amp;$N1381&amp;"|"&amp;"2"&amp;RIGHT("00000"&amp;1376,5))</f>
        <v/>
      </c>
      <c r="L1381">
        <f>IF($K1381="","",COUNTIFS(LdgSellerA,$F1381,LdgKeyA,"&lt;"&amp;$K1381)+COUNTIFS(LdgSellerB,$F1381,LdgKeyB,"&lt;"&amp;$K1381)+1)</f>
        <v/>
      </c>
      <c r="M1381">
        <f>IF($L1381="","",$F1381&amp;"|"&amp;RIGHT("000000"&amp;$L1381,6))</f>
        <v/>
      </c>
      <c r="N1381">
        <f>IF($F1381="","",IF(Sync!$AF1381="","0000",IF(AND(ISNUMBER(Sync!$AF1381),Sync!$AF1381&gt;=0,Sync!$AF1381&lt;1),RIGHT("00"&amp;HOUR(Sync!$AF1381),2)&amp;RIGHT("00"&amp;MINUTE(Sync!$AF1381),2),IFERROR(RIGHT("00"&amp;VALUE(LEFT(Sync!$AF1381,FIND(":",Sync!$AF1381)-1)),2)&amp;RIGHT("00"&amp;VALUE(MID(Sync!$AF1381,FIND(":",Sync!$AF1381)+1,2)),2),"0000"))))</f>
        <v/>
      </c>
    </row>
    <row r="1382">
      <c r="A1382">
        <f>IF(OR(Calc!$E1386="",Calc!$E1386="نامعتبر",Calc!$G1386=""),"",Calc!$G1386)</f>
        <v/>
      </c>
      <c r="B1382">
        <f>IF($A1382="","",LEFT(Calc!$E1386,4)&amp;MID(Calc!$E1386,6,2)&amp;RIGHT(Calc!$E1386,2)&amp;Calc!$Q1386&amp;"|"&amp;"1"&amp;RIGHT("00000"&amp;1377,5))</f>
        <v/>
      </c>
      <c r="C1382">
        <f>IF($B1382="","",COUNTIFS(LdgSellerA,$A1382,LdgKeyA,"&lt;"&amp;$B1382)+COUNTIFS(LdgSellerB,$A1382,LdgKeyB,"&lt;"&amp;$B1382)+1)</f>
        <v/>
      </c>
      <c r="D1382">
        <f>IF($C1382="","",$A1382&amp;"|"&amp;RIGHT("000000"&amp;$C1382,6))</f>
        <v/>
      </c>
      <c r="F1382">
        <f>IF(Sync!$AH1382="","",IF(LEFT(UPPER(TRIM(Sync!$AH1382)),2)="SL",UPPER(TRIM(Sync!$AH1382)),""))</f>
        <v/>
      </c>
      <c r="G1382">
        <f>IF($F1382="","",IF(Sync!$AE1382="","",IF(ISNUMBER(Sync!$AE1382),IF(AND(Sync!$AE1382&gt;=10000101,Sync!$AE1382&lt;=99991231),INT(Sync!$AE1382/10000),""),IFERROR(VALUE(TRIM(LEFT(Sync!$AE1382,FIND("/",Sync!$AE1382)-1))),""))))</f>
        <v/>
      </c>
      <c r="H1382">
        <f>IF(OR($F1382="",$G1382=""),"",IF(ISNUMBER(Sync!$AE1382),INT(MOD(Sync!$AE1382,10000)/100),IFERROR(VALUE(TRIM(LEFT(MID(Sync!$AE1382,FIND("/",Sync!$AE1382)+1,20),FIND("/",MID(Sync!$AE1382,FIND("/",Sync!$AE1382)+1,20))-1))),"")))</f>
        <v/>
      </c>
      <c r="I1382">
        <f>IF(OR($F1382="",$G1382=""),"",IF(ISNUMBER(Sync!$AE1382),MOD(Sync!$AE1382,100),IFERROR(VALUE(TRIM(MID(MID(Sync!$AE1382,FIND("/",Sync!$AE1382)+1,20),FIND("/",MID(Sync!$AE1382,FIND("/",Sync!$AE1382)+1,20))+1,20))),"")))</f>
        <v/>
      </c>
      <c r="J1382">
        <f>IF($F1382="","",IF(OR($G1382="",$H1382="",$I1382="",$G1382&lt;1300,$G1382&gt;1500,$H1382&lt;1,$H1382&gt;12,$I1382&lt;1,$I1382&gt;31),"نامعتبر",RIGHT("0000"&amp;$G1382,4)&amp;"/"&amp;RIGHT("00"&amp;$H1382,2)&amp;"/"&amp;RIGHT("00"&amp;$I1382,2)))</f>
        <v/>
      </c>
      <c r="K1382">
        <f>IF(OR($F1382="",$J1382="",$J1382="نامعتبر"),"",LEFT($J1382,4)&amp;MID($J1382,6,2)&amp;RIGHT($J1382,2)&amp;$N1382&amp;"|"&amp;"2"&amp;RIGHT("00000"&amp;1377,5))</f>
        <v/>
      </c>
      <c r="L1382">
        <f>IF($K1382="","",COUNTIFS(LdgSellerA,$F1382,LdgKeyA,"&lt;"&amp;$K1382)+COUNTIFS(LdgSellerB,$F1382,LdgKeyB,"&lt;"&amp;$K1382)+1)</f>
        <v/>
      </c>
      <c r="M1382">
        <f>IF($L1382="","",$F1382&amp;"|"&amp;RIGHT("000000"&amp;$L1382,6))</f>
        <v/>
      </c>
      <c r="N1382">
        <f>IF($F1382="","",IF(Sync!$AF1382="","0000",IF(AND(ISNUMBER(Sync!$AF1382),Sync!$AF1382&gt;=0,Sync!$AF1382&lt;1),RIGHT("00"&amp;HOUR(Sync!$AF1382),2)&amp;RIGHT("00"&amp;MINUTE(Sync!$AF1382),2),IFERROR(RIGHT("00"&amp;VALUE(LEFT(Sync!$AF1382,FIND(":",Sync!$AF1382)-1)),2)&amp;RIGHT("00"&amp;VALUE(MID(Sync!$AF1382,FIND(":",Sync!$AF1382)+1,2)),2),"0000"))))</f>
        <v/>
      </c>
    </row>
    <row r="1383">
      <c r="A1383">
        <f>IF(OR(Calc!$E1387="",Calc!$E1387="نامعتبر",Calc!$G1387=""),"",Calc!$G1387)</f>
        <v/>
      </c>
      <c r="B1383">
        <f>IF($A1383="","",LEFT(Calc!$E1387,4)&amp;MID(Calc!$E1387,6,2)&amp;RIGHT(Calc!$E1387,2)&amp;Calc!$Q1387&amp;"|"&amp;"1"&amp;RIGHT("00000"&amp;1378,5))</f>
        <v/>
      </c>
      <c r="C1383">
        <f>IF($B1383="","",COUNTIFS(LdgSellerA,$A1383,LdgKeyA,"&lt;"&amp;$B1383)+COUNTIFS(LdgSellerB,$A1383,LdgKeyB,"&lt;"&amp;$B1383)+1)</f>
        <v/>
      </c>
      <c r="D1383">
        <f>IF($C1383="","",$A1383&amp;"|"&amp;RIGHT("000000"&amp;$C1383,6))</f>
        <v/>
      </c>
      <c r="F1383">
        <f>IF(Sync!$AH1383="","",IF(LEFT(UPPER(TRIM(Sync!$AH1383)),2)="SL",UPPER(TRIM(Sync!$AH1383)),""))</f>
        <v/>
      </c>
      <c r="G1383">
        <f>IF($F1383="","",IF(Sync!$AE1383="","",IF(ISNUMBER(Sync!$AE1383),IF(AND(Sync!$AE1383&gt;=10000101,Sync!$AE1383&lt;=99991231),INT(Sync!$AE1383/10000),""),IFERROR(VALUE(TRIM(LEFT(Sync!$AE1383,FIND("/",Sync!$AE1383)-1))),""))))</f>
        <v/>
      </c>
      <c r="H1383">
        <f>IF(OR($F1383="",$G1383=""),"",IF(ISNUMBER(Sync!$AE1383),INT(MOD(Sync!$AE1383,10000)/100),IFERROR(VALUE(TRIM(LEFT(MID(Sync!$AE1383,FIND("/",Sync!$AE1383)+1,20),FIND("/",MID(Sync!$AE1383,FIND("/",Sync!$AE1383)+1,20))-1))),"")))</f>
        <v/>
      </c>
      <c r="I1383">
        <f>IF(OR($F1383="",$G1383=""),"",IF(ISNUMBER(Sync!$AE1383),MOD(Sync!$AE1383,100),IFERROR(VALUE(TRIM(MID(MID(Sync!$AE1383,FIND("/",Sync!$AE1383)+1,20),FIND("/",MID(Sync!$AE1383,FIND("/",Sync!$AE1383)+1,20))+1,20))),"")))</f>
        <v/>
      </c>
      <c r="J1383">
        <f>IF($F1383="","",IF(OR($G1383="",$H1383="",$I1383="",$G1383&lt;1300,$G1383&gt;1500,$H1383&lt;1,$H1383&gt;12,$I1383&lt;1,$I1383&gt;31),"نامعتبر",RIGHT("0000"&amp;$G1383,4)&amp;"/"&amp;RIGHT("00"&amp;$H1383,2)&amp;"/"&amp;RIGHT("00"&amp;$I1383,2)))</f>
        <v/>
      </c>
      <c r="K1383">
        <f>IF(OR($F1383="",$J1383="",$J1383="نامعتبر"),"",LEFT($J1383,4)&amp;MID($J1383,6,2)&amp;RIGHT($J1383,2)&amp;$N1383&amp;"|"&amp;"2"&amp;RIGHT("00000"&amp;1378,5))</f>
        <v/>
      </c>
      <c r="L1383">
        <f>IF($K1383="","",COUNTIFS(LdgSellerA,$F1383,LdgKeyA,"&lt;"&amp;$K1383)+COUNTIFS(LdgSellerB,$F1383,LdgKeyB,"&lt;"&amp;$K1383)+1)</f>
        <v/>
      </c>
      <c r="M1383">
        <f>IF($L1383="","",$F1383&amp;"|"&amp;RIGHT("000000"&amp;$L1383,6))</f>
        <v/>
      </c>
      <c r="N1383">
        <f>IF($F1383="","",IF(Sync!$AF1383="","0000",IF(AND(ISNUMBER(Sync!$AF1383),Sync!$AF1383&gt;=0,Sync!$AF1383&lt;1),RIGHT("00"&amp;HOUR(Sync!$AF1383),2)&amp;RIGHT("00"&amp;MINUTE(Sync!$AF1383),2),IFERROR(RIGHT("00"&amp;VALUE(LEFT(Sync!$AF1383,FIND(":",Sync!$AF1383)-1)),2)&amp;RIGHT("00"&amp;VALUE(MID(Sync!$AF1383,FIND(":",Sync!$AF1383)+1,2)),2),"0000"))))</f>
        <v/>
      </c>
    </row>
    <row r="1384">
      <c r="A1384">
        <f>IF(OR(Calc!$E1388="",Calc!$E1388="نامعتبر",Calc!$G1388=""),"",Calc!$G1388)</f>
        <v/>
      </c>
      <c r="B1384">
        <f>IF($A1384="","",LEFT(Calc!$E1388,4)&amp;MID(Calc!$E1388,6,2)&amp;RIGHT(Calc!$E1388,2)&amp;Calc!$Q1388&amp;"|"&amp;"1"&amp;RIGHT("00000"&amp;1379,5))</f>
        <v/>
      </c>
      <c r="C1384">
        <f>IF($B1384="","",COUNTIFS(LdgSellerA,$A1384,LdgKeyA,"&lt;"&amp;$B1384)+COUNTIFS(LdgSellerB,$A1384,LdgKeyB,"&lt;"&amp;$B1384)+1)</f>
        <v/>
      </c>
      <c r="D1384">
        <f>IF($C1384="","",$A1384&amp;"|"&amp;RIGHT("000000"&amp;$C1384,6))</f>
        <v/>
      </c>
      <c r="F1384">
        <f>IF(Sync!$AH1384="","",IF(LEFT(UPPER(TRIM(Sync!$AH1384)),2)="SL",UPPER(TRIM(Sync!$AH1384)),""))</f>
        <v/>
      </c>
      <c r="G1384">
        <f>IF($F1384="","",IF(Sync!$AE1384="","",IF(ISNUMBER(Sync!$AE1384),IF(AND(Sync!$AE1384&gt;=10000101,Sync!$AE1384&lt;=99991231),INT(Sync!$AE1384/10000),""),IFERROR(VALUE(TRIM(LEFT(Sync!$AE1384,FIND("/",Sync!$AE1384)-1))),""))))</f>
        <v/>
      </c>
      <c r="H1384">
        <f>IF(OR($F1384="",$G1384=""),"",IF(ISNUMBER(Sync!$AE1384),INT(MOD(Sync!$AE1384,10000)/100),IFERROR(VALUE(TRIM(LEFT(MID(Sync!$AE1384,FIND("/",Sync!$AE1384)+1,20),FIND("/",MID(Sync!$AE1384,FIND("/",Sync!$AE1384)+1,20))-1))),"")))</f>
        <v/>
      </c>
      <c r="I1384">
        <f>IF(OR($F1384="",$G1384=""),"",IF(ISNUMBER(Sync!$AE1384),MOD(Sync!$AE1384,100),IFERROR(VALUE(TRIM(MID(MID(Sync!$AE1384,FIND("/",Sync!$AE1384)+1,20),FIND("/",MID(Sync!$AE1384,FIND("/",Sync!$AE1384)+1,20))+1,20))),"")))</f>
        <v/>
      </c>
      <c r="J1384">
        <f>IF($F1384="","",IF(OR($G1384="",$H1384="",$I1384="",$G1384&lt;1300,$G1384&gt;1500,$H1384&lt;1,$H1384&gt;12,$I1384&lt;1,$I1384&gt;31),"نامعتبر",RIGHT("0000"&amp;$G1384,4)&amp;"/"&amp;RIGHT("00"&amp;$H1384,2)&amp;"/"&amp;RIGHT("00"&amp;$I1384,2)))</f>
        <v/>
      </c>
      <c r="K1384">
        <f>IF(OR($F1384="",$J1384="",$J1384="نامعتبر"),"",LEFT($J1384,4)&amp;MID($J1384,6,2)&amp;RIGHT($J1384,2)&amp;$N1384&amp;"|"&amp;"2"&amp;RIGHT("00000"&amp;1379,5))</f>
        <v/>
      </c>
      <c r="L1384">
        <f>IF($K1384="","",COUNTIFS(LdgSellerA,$F1384,LdgKeyA,"&lt;"&amp;$K1384)+COUNTIFS(LdgSellerB,$F1384,LdgKeyB,"&lt;"&amp;$K1384)+1)</f>
        <v/>
      </c>
      <c r="M1384">
        <f>IF($L1384="","",$F1384&amp;"|"&amp;RIGHT("000000"&amp;$L1384,6))</f>
        <v/>
      </c>
      <c r="N1384">
        <f>IF($F1384="","",IF(Sync!$AF1384="","0000",IF(AND(ISNUMBER(Sync!$AF1384),Sync!$AF1384&gt;=0,Sync!$AF1384&lt;1),RIGHT("00"&amp;HOUR(Sync!$AF1384),2)&amp;RIGHT("00"&amp;MINUTE(Sync!$AF1384),2),IFERROR(RIGHT("00"&amp;VALUE(LEFT(Sync!$AF1384,FIND(":",Sync!$AF1384)-1)),2)&amp;RIGHT("00"&amp;VALUE(MID(Sync!$AF1384,FIND(":",Sync!$AF1384)+1,2)),2),"0000"))))</f>
        <v/>
      </c>
    </row>
    <row r="1385">
      <c r="A1385">
        <f>IF(OR(Calc!$E1389="",Calc!$E1389="نامعتبر",Calc!$G1389=""),"",Calc!$G1389)</f>
        <v/>
      </c>
      <c r="B1385">
        <f>IF($A1385="","",LEFT(Calc!$E1389,4)&amp;MID(Calc!$E1389,6,2)&amp;RIGHT(Calc!$E1389,2)&amp;Calc!$Q1389&amp;"|"&amp;"1"&amp;RIGHT("00000"&amp;1380,5))</f>
        <v/>
      </c>
      <c r="C1385">
        <f>IF($B1385="","",COUNTIFS(LdgSellerA,$A1385,LdgKeyA,"&lt;"&amp;$B1385)+COUNTIFS(LdgSellerB,$A1385,LdgKeyB,"&lt;"&amp;$B1385)+1)</f>
        <v/>
      </c>
      <c r="D1385">
        <f>IF($C1385="","",$A1385&amp;"|"&amp;RIGHT("000000"&amp;$C1385,6))</f>
        <v/>
      </c>
      <c r="F1385">
        <f>IF(Sync!$AH1385="","",IF(LEFT(UPPER(TRIM(Sync!$AH1385)),2)="SL",UPPER(TRIM(Sync!$AH1385)),""))</f>
        <v/>
      </c>
      <c r="G1385">
        <f>IF($F1385="","",IF(Sync!$AE1385="","",IF(ISNUMBER(Sync!$AE1385),IF(AND(Sync!$AE1385&gt;=10000101,Sync!$AE1385&lt;=99991231),INT(Sync!$AE1385/10000),""),IFERROR(VALUE(TRIM(LEFT(Sync!$AE1385,FIND("/",Sync!$AE1385)-1))),""))))</f>
        <v/>
      </c>
      <c r="H1385">
        <f>IF(OR($F1385="",$G1385=""),"",IF(ISNUMBER(Sync!$AE1385),INT(MOD(Sync!$AE1385,10000)/100),IFERROR(VALUE(TRIM(LEFT(MID(Sync!$AE1385,FIND("/",Sync!$AE1385)+1,20),FIND("/",MID(Sync!$AE1385,FIND("/",Sync!$AE1385)+1,20))-1))),"")))</f>
        <v/>
      </c>
      <c r="I1385">
        <f>IF(OR($F1385="",$G1385=""),"",IF(ISNUMBER(Sync!$AE1385),MOD(Sync!$AE1385,100),IFERROR(VALUE(TRIM(MID(MID(Sync!$AE1385,FIND("/",Sync!$AE1385)+1,20),FIND("/",MID(Sync!$AE1385,FIND("/",Sync!$AE1385)+1,20))+1,20))),"")))</f>
        <v/>
      </c>
      <c r="J1385">
        <f>IF($F1385="","",IF(OR($G1385="",$H1385="",$I1385="",$G1385&lt;1300,$G1385&gt;1500,$H1385&lt;1,$H1385&gt;12,$I1385&lt;1,$I1385&gt;31),"نامعتبر",RIGHT("0000"&amp;$G1385,4)&amp;"/"&amp;RIGHT("00"&amp;$H1385,2)&amp;"/"&amp;RIGHT("00"&amp;$I1385,2)))</f>
        <v/>
      </c>
      <c r="K1385">
        <f>IF(OR($F1385="",$J1385="",$J1385="نامعتبر"),"",LEFT($J1385,4)&amp;MID($J1385,6,2)&amp;RIGHT($J1385,2)&amp;$N1385&amp;"|"&amp;"2"&amp;RIGHT("00000"&amp;1380,5))</f>
        <v/>
      </c>
      <c r="L1385">
        <f>IF($K1385="","",COUNTIFS(LdgSellerA,$F1385,LdgKeyA,"&lt;"&amp;$K1385)+COUNTIFS(LdgSellerB,$F1385,LdgKeyB,"&lt;"&amp;$K1385)+1)</f>
        <v/>
      </c>
      <c r="M1385">
        <f>IF($L1385="","",$F1385&amp;"|"&amp;RIGHT("000000"&amp;$L1385,6))</f>
        <v/>
      </c>
      <c r="N1385">
        <f>IF($F1385="","",IF(Sync!$AF1385="","0000",IF(AND(ISNUMBER(Sync!$AF1385),Sync!$AF1385&gt;=0,Sync!$AF1385&lt;1),RIGHT("00"&amp;HOUR(Sync!$AF1385),2)&amp;RIGHT("00"&amp;MINUTE(Sync!$AF1385),2),IFERROR(RIGHT("00"&amp;VALUE(LEFT(Sync!$AF1385,FIND(":",Sync!$AF1385)-1)),2)&amp;RIGHT("00"&amp;VALUE(MID(Sync!$AF1385,FIND(":",Sync!$AF1385)+1,2)),2),"0000"))))</f>
        <v/>
      </c>
    </row>
    <row r="1386">
      <c r="A1386">
        <f>IF(OR(Calc!$E1390="",Calc!$E1390="نامعتبر",Calc!$G1390=""),"",Calc!$G1390)</f>
        <v/>
      </c>
      <c r="B1386">
        <f>IF($A1386="","",LEFT(Calc!$E1390,4)&amp;MID(Calc!$E1390,6,2)&amp;RIGHT(Calc!$E1390,2)&amp;Calc!$Q1390&amp;"|"&amp;"1"&amp;RIGHT("00000"&amp;1381,5))</f>
        <v/>
      </c>
      <c r="C1386">
        <f>IF($B1386="","",COUNTIFS(LdgSellerA,$A1386,LdgKeyA,"&lt;"&amp;$B1386)+COUNTIFS(LdgSellerB,$A1386,LdgKeyB,"&lt;"&amp;$B1386)+1)</f>
        <v/>
      </c>
      <c r="D1386">
        <f>IF($C1386="","",$A1386&amp;"|"&amp;RIGHT("000000"&amp;$C1386,6))</f>
        <v/>
      </c>
      <c r="F1386">
        <f>IF(Sync!$AH1386="","",IF(LEFT(UPPER(TRIM(Sync!$AH1386)),2)="SL",UPPER(TRIM(Sync!$AH1386)),""))</f>
        <v/>
      </c>
      <c r="G1386">
        <f>IF($F1386="","",IF(Sync!$AE1386="","",IF(ISNUMBER(Sync!$AE1386),IF(AND(Sync!$AE1386&gt;=10000101,Sync!$AE1386&lt;=99991231),INT(Sync!$AE1386/10000),""),IFERROR(VALUE(TRIM(LEFT(Sync!$AE1386,FIND("/",Sync!$AE1386)-1))),""))))</f>
        <v/>
      </c>
      <c r="H1386">
        <f>IF(OR($F1386="",$G1386=""),"",IF(ISNUMBER(Sync!$AE1386),INT(MOD(Sync!$AE1386,10000)/100),IFERROR(VALUE(TRIM(LEFT(MID(Sync!$AE1386,FIND("/",Sync!$AE1386)+1,20),FIND("/",MID(Sync!$AE1386,FIND("/",Sync!$AE1386)+1,20))-1))),"")))</f>
        <v/>
      </c>
      <c r="I1386">
        <f>IF(OR($F1386="",$G1386=""),"",IF(ISNUMBER(Sync!$AE1386),MOD(Sync!$AE1386,100),IFERROR(VALUE(TRIM(MID(MID(Sync!$AE1386,FIND("/",Sync!$AE1386)+1,20),FIND("/",MID(Sync!$AE1386,FIND("/",Sync!$AE1386)+1,20))+1,20))),"")))</f>
        <v/>
      </c>
      <c r="J1386">
        <f>IF($F1386="","",IF(OR($G1386="",$H1386="",$I1386="",$G1386&lt;1300,$G1386&gt;1500,$H1386&lt;1,$H1386&gt;12,$I1386&lt;1,$I1386&gt;31),"نامعتبر",RIGHT("0000"&amp;$G1386,4)&amp;"/"&amp;RIGHT("00"&amp;$H1386,2)&amp;"/"&amp;RIGHT("00"&amp;$I1386,2)))</f>
        <v/>
      </c>
      <c r="K1386">
        <f>IF(OR($F1386="",$J1386="",$J1386="نامعتبر"),"",LEFT($J1386,4)&amp;MID($J1386,6,2)&amp;RIGHT($J1386,2)&amp;$N1386&amp;"|"&amp;"2"&amp;RIGHT("00000"&amp;1381,5))</f>
        <v/>
      </c>
      <c r="L1386">
        <f>IF($K1386="","",COUNTIFS(LdgSellerA,$F1386,LdgKeyA,"&lt;"&amp;$K1386)+COUNTIFS(LdgSellerB,$F1386,LdgKeyB,"&lt;"&amp;$K1386)+1)</f>
        <v/>
      </c>
      <c r="M1386">
        <f>IF($L1386="","",$F1386&amp;"|"&amp;RIGHT("000000"&amp;$L1386,6))</f>
        <v/>
      </c>
      <c r="N1386">
        <f>IF($F1386="","",IF(Sync!$AF1386="","0000",IF(AND(ISNUMBER(Sync!$AF1386),Sync!$AF1386&gt;=0,Sync!$AF1386&lt;1),RIGHT("00"&amp;HOUR(Sync!$AF1386),2)&amp;RIGHT("00"&amp;MINUTE(Sync!$AF1386),2),IFERROR(RIGHT("00"&amp;VALUE(LEFT(Sync!$AF1386,FIND(":",Sync!$AF1386)-1)),2)&amp;RIGHT("00"&amp;VALUE(MID(Sync!$AF1386,FIND(":",Sync!$AF1386)+1,2)),2),"0000"))))</f>
        <v/>
      </c>
    </row>
    <row r="1387">
      <c r="A1387">
        <f>IF(OR(Calc!$E1391="",Calc!$E1391="نامعتبر",Calc!$G1391=""),"",Calc!$G1391)</f>
        <v/>
      </c>
      <c r="B1387">
        <f>IF($A1387="","",LEFT(Calc!$E1391,4)&amp;MID(Calc!$E1391,6,2)&amp;RIGHT(Calc!$E1391,2)&amp;Calc!$Q1391&amp;"|"&amp;"1"&amp;RIGHT("00000"&amp;1382,5))</f>
        <v/>
      </c>
      <c r="C1387">
        <f>IF($B1387="","",COUNTIFS(LdgSellerA,$A1387,LdgKeyA,"&lt;"&amp;$B1387)+COUNTIFS(LdgSellerB,$A1387,LdgKeyB,"&lt;"&amp;$B1387)+1)</f>
        <v/>
      </c>
      <c r="D1387">
        <f>IF($C1387="","",$A1387&amp;"|"&amp;RIGHT("000000"&amp;$C1387,6))</f>
        <v/>
      </c>
      <c r="F1387">
        <f>IF(Sync!$AH1387="","",IF(LEFT(UPPER(TRIM(Sync!$AH1387)),2)="SL",UPPER(TRIM(Sync!$AH1387)),""))</f>
        <v/>
      </c>
      <c r="G1387">
        <f>IF($F1387="","",IF(Sync!$AE1387="","",IF(ISNUMBER(Sync!$AE1387),IF(AND(Sync!$AE1387&gt;=10000101,Sync!$AE1387&lt;=99991231),INT(Sync!$AE1387/10000),""),IFERROR(VALUE(TRIM(LEFT(Sync!$AE1387,FIND("/",Sync!$AE1387)-1))),""))))</f>
        <v/>
      </c>
      <c r="H1387">
        <f>IF(OR($F1387="",$G1387=""),"",IF(ISNUMBER(Sync!$AE1387),INT(MOD(Sync!$AE1387,10000)/100),IFERROR(VALUE(TRIM(LEFT(MID(Sync!$AE1387,FIND("/",Sync!$AE1387)+1,20),FIND("/",MID(Sync!$AE1387,FIND("/",Sync!$AE1387)+1,20))-1))),"")))</f>
        <v/>
      </c>
      <c r="I1387">
        <f>IF(OR($F1387="",$G1387=""),"",IF(ISNUMBER(Sync!$AE1387),MOD(Sync!$AE1387,100),IFERROR(VALUE(TRIM(MID(MID(Sync!$AE1387,FIND("/",Sync!$AE1387)+1,20),FIND("/",MID(Sync!$AE1387,FIND("/",Sync!$AE1387)+1,20))+1,20))),"")))</f>
        <v/>
      </c>
      <c r="J1387">
        <f>IF($F1387="","",IF(OR($G1387="",$H1387="",$I1387="",$G1387&lt;1300,$G1387&gt;1500,$H1387&lt;1,$H1387&gt;12,$I1387&lt;1,$I1387&gt;31),"نامعتبر",RIGHT("0000"&amp;$G1387,4)&amp;"/"&amp;RIGHT("00"&amp;$H1387,2)&amp;"/"&amp;RIGHT("00"&amp;$I1387,2)))</f>
        <v/>
      </c>
      <c r="K1387">
        <f>IF(OR($F1387="",$J1387="",$J1387="نامعتبر"),"",LEFT($J1387,4)&amp;MID($J1387,6,2)&amp;RIGHT($J1387,2)&amp;$N1387&amp;"|"&amp;"2"&amp;RIGHT("00000"&amp;1382,5))</f>
        <v/>
      </c>
      <c r="L1387">
        <f>IF($K1387="","",COUNTIFS(LdgSellerA,$F1387,LdgKeyA,"&lt;"&amp;$K1387)+COUNTIFS(LdgSellerB,$F1387,LdgKeyB,"&lt;"&amp;$K1387)+1)</f>
        <v/>
      </c>
      <c r="M1387">
        <f>IF($L1387="","",$F1387&amp;"|"&amp;RIGHT("000000"&amp;$L1387,6))</f>
        <v/>
      </c>
      <c r="N1387">
        <f>IF($F1387="","",IF(Sync!$AF1387="","0000",IF(AND(ISNUMBER(Sync!$AF1387),Sync!$AF1387&gt;=0,Sync!$AF1387&lt;1),RIGHT("00"&amp;HOUR(Sync!$AF1387),2)&amp;RIGHT("00"&amp;MINUTE(Sync!$AF1387),2),IFERROR(RIGHT("00"&amp;VALUE(LEFT(Sync!$AF1387,FIND(":",Sync!$AF1387)-1)),2)&amp;RIGHT("00"&amp;VALUE(MID(Sync!$AF1387,FIND(":",Sync!$AF1387)+1,2)),2),"0000"))))</f>
        <v/>
      </c>
    </row>
    <row r="1388">
      <c r="A1388">
        <f>IF(OR(Calc!$E1392="",Calc!$E1392="نامعتبر",Calc!$G1392=""),"",Calc!$G1392)</f>
        <v/>
      </c>
      <c r="B1388">
        <f>IF($A1388="","",LEFT(Calc!$E1392,4)&amp;MID(Calc!$E1392,6,2)&amp;RIGHT(Calc!$E1392,2)&amp;Calc!$Q1392&amp;"|"&amp;"1"&amp;RIGHT("00000"&amp;1383,5))</f>
        <v/>
      </c>
      <c r="C1388">
        <f>IF($B1388="","",COUNTIFS(LdgSellerA,$A1388,LdgKeyA,"&lt;"&amp;$B1388)+COUNTIFS(LdgSellerB,$A1388,LdgKeyB,"&lt;"&amp;$B1388)+1)</f>
        <v/>
      </c>
      <c r="D1388">
        <f>IF($C1388="","",$A1388&amp;"|"&amp;RIGHT("000000"&amp;$C1388,6))</f>
        <v/>
      </c>
      <c r="F1388">
        <f>IF(Sync!$AH1388="","",IF(LEFT(UPPER(TRIM(Sync!$AH1388)),2)="SL",UPPER(TRIM(Sync!$AH1388)),""))</f>
        <v/>
      </c>
      <c r="G1388">
        <f>IF($F1388="","",IF(Sync!$AE1388="","",IF(ISNUMBER(Sync!$AE1388),IF(AND(Sync!$AE1388&gt;=10000101,Sync!$AE1388&lt;=99991231),INT(Sync!$AE1388/10000),""),IFERROR(VALUE(TRIM(LEFT(Sync!$AE1388,FIND("/",Sync!$AE1388)-1))),""))))</f>
        <v/>
      </c>
      <c r="H1388">
        <f>IF(OR($F1388="",$G1388=""),"",IF(ISNUMBER(Sync!$AE1388),INT(MOD(Sync!$AE1388,10000)/100),IFERROR(VALUE(TRIM(LEFT(MID(Sync!$AE1388,FIND("/",Sync!$AE1388)+1,20),FIND("/",MID(Sync!$AE1388,FIND("/",Sync!$AE1388)+1,20))-1))),"")))</f>
        <v/>
      </c>
      <c r="I1388">
        <f>IF(OR($F1388="",$G1388=""),"",IF(ISNUMBER(Sync!$AE1388),MOD(Sync!$AE1388,100),IFERROR(VALUE(TRIM(MID(MID(Sync!$AE1388,FIND("/",Sync!$AE1388)+1,20),FIND("/",MID(Sync!$AE1388,FIND("/",Sync!$AE1388)+1,20))+1,20))),"")))</f>
        <v/>
      </c>
      <c r="J1388">
        <f>IF($F1388="","",IF(OR($G1388="",$H1388="",$I1388="",$G1388&lt;1300,$G1388&gt;1500,$H1388&lt;1,$H1388&gt;12,$I1388&lt;1,$I1388&gt;31),"نامعتبر",RIGHT("0000"&amp;$G1388,4)&amp;"/"&amp;RIGHT("00"&amp;$H1388,2)&amp;"/"&amp;RIGHT("00"&amp;$I1388,2)))</f>
        <v/>
      </c>
      <c r="K1388">
        <f>IF(OR($F1388="",$J1388="",$J1388="نامعتبر"),"",LEFT($J1388,4)&amp;MID($J1388,6,2)&amp;RIGHT($J1388,2)&amp;$N1388&amp;"|"&amp;"2"&amp;RIGHT("00000"&amp;1383,5))</f>
        <v/>
      </c>
      <c r="L1388">
        <f>IF($K1388="","",COUNTIFS(LdgSellerA,$F1388,LdgKeyA,"&lt;"&amp;$K1388)+COUNTIFS(LdgSellerB,$F1388,LdgKeyB,"&lt;"&amp;$K1388)+1)</f>
        <v/>
      </c>
      <c r="M1388">
        <f>IF($L1388="","",$F1388&amp;"|"&amp;RIGHT("000000"&amp;$L1388,6))</f>
        <v/>
      </c>
      <c r="N1388">
        <f>IF($F1388="","",IF(Sync!$AF1388="","0000",IF(AND(ISNUMBER(Sync!$AF1388),Sync!$AF1388&gt;=0,Sync!$AF1388&lt;1),RIGHT("00"&amp;HOUR(Sync!$AF1388),2)&amp;RIGHT("00"&amp;MINUTE(Sync!$AF1388),2),IFERROR(RIGHT("00"&amp;VALUE(LEFT(Sync!$AF1388,FIND(":",Sync!$AF1388)-1)),2)&amp;RIGHT("00"&amp;VALUE(MID(Sync!$AF1388,FIND(":",Sync!$AF1388)+1,2)),2),"0000"))))</f>
        <v/>
      </c>
    </row>
    <row r="1389">
      <c r="A1389">
        <f>IF(OR(Calc!$E1393="",Calc!$E1393="نامعتبر",Calc!$G1393=""),"",Calc!$G1393)</f>
        <v/>
      </c>
      <c r="B1389">
        <f>IF($A1389="","",LEFT(Calc!$E1393,4)&amp;MID(Calc!$E1393,6,2)&amp;RIGHT(Calc!$E1393,2)&amp;Calc!$Q1393&amp;"|"&amp;"1"&amp;RIGHT("00000"&amp;1384,5))</f>
        <v/>
      </c>
      <c r="C1389">
        <f>IF($B1389="","",COUNTIFS(LdgSellerA,$A1389,LdgKeyA,"&lt;"&amp;$B1389)+COUNTIFS(LdgSellerB,$A1389,LdgKeyB,"&lt;"&amp;$B1389)+1)</f>
        <v/>
      </c>
      <c r="D1389">
        <f>IF($C1389="","",$A1389&amp;"|"&amp;RIGHT("000000"&amp;$C1389,6))</f>
        <v/>
      </c>
      <c r="F1389">
        <f>IF(Sync!$AH1389="","",IF(LEFT(UPPER(TRIM(Sync!$AH1389)),2)="SL",UPPER(TRIM(Sync!$AH1389)),""))</f>
        <v/>
      </c>
      <c r="G1389">
        <f>IF($F1389="","",IF(Sync!$AE1389="","",IF(ISNUMBER(Sync!$AE1389),IF(AND(Sync!$AE1389&gt;=10000101,Sync!$AE1389&lt;=99991231),INT(Sync!$AE1389/10000),""),IFERROR(VALUE(TRIM(LEFT(Sync!$AE1389,FIND("/",Sync!$AE1389)-1))),""))))</f>
        <v/>
      </c>
      <c r="H1389">
        <f>IF(OR($F1389="",$G1389=""),"",IF(ISNUMBER(Sync!$AE1389),INT(MOD(Sync!$AE1389,10000)/100),IFERROR(VALUE(TRIM(LEFT(MID(Sync!$AE1389,FIND("/",Sync!$AE1389)+1,20),FIND("/",MID(Sync!$AE1389,FIND("/",Sync!$AE1389)+1,20))-1))),"")))</f>
        <v/>
      </c>
      <c r="I1389">
        <f>IF(OR($F1389="",$G1389=""),"",IF(ISNUMBER(Sync!$AE1389),MOD(Sync!$AE1389,100),IFERROR(VALUE(TRIM(MID(MID(Sync!$AE1389,FIND("/",Sync!$AE1389)+1,20),FIND("/",MID(Sync!$AE1389,FIND("/",Sync!$AE1389)+1,20))+1,20))),"")))</f>
        <v/>
      </c>
      <c r="J1389">
        <f>IF($F1389="","",IF(OR($G1389="",$H1389="",$I1389="",$G1389&lt;1300,$G1389&gt;1500,$H1389&lt;1,$H1389&gt;12,$I1389&lt;1,$I1389&gt;31),"نامعتبر",RIGHT("0000"&amp;$G1389,4)&amp;"/"&amp;RIGHT("00"&amp;$H1389,2)&amp;"/"&amp;RIGHT("00"&amp;$I1389,2)))</f>
        <v/>
      </c>
      <c r="K1389">
        <f>IF(OR($F1389="",$J1389="",$J1389="نامعتبر"),"",LEFT($J1389,4)&amp;MID($J1389,6,2)&amp;RIGHT($J1389,2)&amp;$N1389&amp;"|"&amp;"2"&amp;RIGHT("00000"&amp;1384,5))</f>
        <v/>
      </c>
      <c r="L1389">
        <f>IF($K1389="","",COUNTIFS(LdgSellerA,$F1389,LdgKeyA,"&lt;"&amp;$K1389)+COUNTIFS(LdgSellerB,$F1389,LdgKeyB,"&lt;"&amp;$K1389)+1)</f>
        <v/>
      </c>
      <c r="M1389">
        <f>IF($L1389="","",$F1389&amp;"|"&amp;RIGHT("000000"&amp;$L1389,6))</f>
        <v/>
      </c>
      <c r="N1389">
        <f>IF($F1389="","",IF(Sync!$AF1389="","0000",IF(AND(ISNUMBER(Sync!$AF1389),Sync!$AF1389&gt;=0,Sync!$AF1389&lt;1),RIGHT("00"&amp;HOUR(Sync!$AF1389),2)&amp;RIGHT("00"&amp;MINUTE(Sync!$AF1389),2),IFERROR(RIGHT("00"&amp;VALUE(LEFT(Sync!$AF1389,FIND(":",Sync!$AF1389)-1)),2)&amp;RIGHT("00"&amp;VALUE(MID(Sync!$AF1389,FIND(":",Sync!$AF1389)+1,2)),2),"0000"))))</f>
        <v/>
      </c>
    </row>
    <row r="1390">
      <c r="A1390">
        <f>IF(OR(Calc!$E1394="",Calc!$E1394="نامعتبر",Calc!$G1394=""),"",Calc!$G1394)</f>
        <v/>
      </c>
      <c r="B1390">
        <f>IF($A1390="","",LEFT(Calc!$E1394,4)&amp;MID(Calc!$E1394,6,2)&amp;RIGHT(Calc!$E1394,2)&amp;Calc!$Q1394&amp;"|"&amp;"1"&amp;RIGHT("00000"&amp;1385,5))</f>
        <v/>
      </c>
      <c r="C1390">
        <f>IF($B1390="","",COUNTIFS(LdgSellerA,$A1390,LdgKeyA,"&lt;"&amp;$B1390)+COUNTIFS(LdgSellerB,$A1390,LdgKeyB,"&lt;"&amp;$B1390)+1)</f>
        <v/>
      </c>
      <c r="D1390">
        <f>IF($C1390="","",$A1390&amp;"|"&amp;RIGHT("000000"&amp;$C1390,6))</f>
        <v/>
      </c>
      <c r="F1390">
        <f>IF(Sync!$AH1390="","",IF(LEFT(UPPER(TRIM(Sync!$AH1390)),2)="SL",UPPER(TRIM(Sync!$AH1390)),""))</f>
        <v/>
      </c>
      <c r="G1390">
        <f>IF($F1390="","",IF(Sync!$AE1390="","",IF(ISNUMBER(Sync!$AE1390),IF(AND(Sync!$AE1390&gt;=10000101,Sync!$AE1390&lt;=99991231),INT(Sync!$AE1390/10000),""),IFERROR(VALUE(TRIM(LEFT(Sync!$AE1390,FIND("/",Sync!$AE1390)-1))),""))))</f>
        <v/>
      </c>
      <c r="H1390">
        <f>IF(OR($F1390="",$G1390=""),"",IF(ISNUMBER(Sync!$AE1390),INT(MOD(Sync!$AE1390,10000)/100),IFERROR(VALUE(TRIM(LEFT(MID(Sync!$AE1390,FIND("/",Sync!$AE1390)+1,20),FIND("/",MID(Sync!$AE1390,FIND("/",Sync!$AE1390)+1,20))-1))),"")))</f>
        <v/>
      </c>
      <c r="I1390">
        <f>IF(OR($F1390="",$G1390=""),"",IF(ISNUMBER(Sync!$AE1390),MOD(Sync!$AE1390,100),IFERROR(VALUE(TRIM(MID(MID(Sync!$AE1390,FIND("/",Sync!$AE1390)+1,20),FIND("/",MID(Sync!$AE1390,FIND("/",Sync!$AE1390)+1,20))+1,20))),"")))</f>
        <v/>
      </c>
      <c r="J1390">
        <f>IF($F1390="","",IF(OR($G1390="",$H1390="",$I1390="",$G1390&lt;1300,$G1390&gt;1500,$H1390&lt;1,$H1390&gt;12,$I1390&lt;1,$I1390&gt;31),"نامعتبر",RIGHT("0000"&amp;$G1390,4)&amp;"/"&amp;RIGHT("00"&amp;$H1390,2)&amp;"/"&amp;RIGHT("00"&amp;$I1390,2)))</f>
        <v/>
      </c>
      <c r="K1390">
        <f>IF(OR($F1390="",$J1390="",$J1390="نامعتبر"),"",LEFT($J1390,4)&amp;MID($J1390,6,2)&amp;RIGHT($J1390,2)&amp;$N1390&amp;"|"&amp;"2"&amp;RIGHT("00000"&amp;1385,5))</f>
        <v/>
      </c>
      <c r="L1390">
        <f>IF($K1390="","",COUNTIFS(LdgSellerA,$F1390,LdgKeyA,"&lt;"&amp;$K1390)+COUNTIFS(LdgSellerB,$F1390,LdgKeyB,"&lt;"&amp;$K1390)+1)</f>
        <v/>
      </c>
      <c r="M1390">
        <f>IF($L1390="","",$F1390&amp;"|"&amp;RIGHT("000000"&amp;$L1390,6))</f>
        <v/>
      </c>
      <c r="N1390">
        <f>IF($F1390="","",IF(Sync!$AF1390="","0000",IF(AND(ISNUMBER(Sync!$AF1390),Sync!$AF1390&gt;=0,Sync!$AF1390&lt;1),RIGHT("00"&amp;HOUR(Sync!$AF1390),2)&amp;RIGHT("00"&amp;MINUTE(Sync!$AF1390),2),IFERROR(RIGHT("00"&amp;VALUE(LEFT(Sync!$AF1390,FIND(":",Sync!$AF1390)-1)),2)&amp;RIGHT("00"&amp;VALUE(MID(Sync!$AF1390,FIND(":",Sync!$AF1390)+1,2)),2),"0000"))))</f>
        <v/>
      </c>
    </row>
    <row r="1391">
      <c r="A1391">
        <f>IF(OR(Calc!$E1395="",Calc!$E1395="نامعتبر",Calc!$G1395=""),"",Calc!$G1395)</f>
        <v/>
      </c>
      <c r="B1391">
        <f>IF($A1391="","",LEFT(Calc!$E1395,4)&amp;MID(Calc!$E1395,6,2)&amp;RIGHT(Calc!$E1395,2)&amp;Calc!$Q1395&amp;"|"&amp;"1"&amp;RIGHT("00000"&amp;1386,5))</f>
        <v/>
      </c>
      <c r="C1391">
        <f>IF($B1391="","",COUNTIFS(LdgSellerA,$A1391,LdgKeyA,"&lt;"&amp;$B1391)+COUNTIFS(LdgSellerB,$A1391,LdgKeyB,"&lt;"&amp;$B1391)+1)</f>
        <v/>
      </c>
      <c r="D1391">
        <f>IF($C1391="","",$A1391&amp;"|"&amp;RIGHT("000000"&amp;$C1391,6))</f>
        <v/>
      </c>
      <c r="F1391">
        <f>IF(Sync!$AH1391="","",IF(LEFT(UPPER(TRIM(Sync!$AH1391)),2)="SL",UPPER(TRIM(Sync!$AH1391)),""))</f>
        <v/>
      </c>
      <c r="G1391">
        <f>IF($F1391="","",IF(Sync!$AE1391="","",IF(ISNUMBER(Sync!$AE1391),IF(AND(Sync!$AE1391&gt;=10000101,Sync!$AE1391&lt;=99991231),INT(Sync!$AE1391/10000),""),IFERROR(VALUE(TRIM(LEFT(Sync!$AE1391,FIND("/",Sync!$AE1391)-1))),""))))</f>
        <v/>
      </c>
      <c r="H1391">
        <f>IF(OR($F1391="",$G1391=""),"",IF(ISNUMBER(Sync!$AE1391),INT(MOD(Sync!$AE1391,10000)/100),IFERROR(VALUE(TRIM(LEFT(MID(Sync!$AE1391,FIND("/",Sync!$AE1391)+1,20),FIND("/",MID(Sync!$AE1391,FIND("/",Sync!$AE1391)+1,20))-1))),"")))</f>
        <v/>
      </c>
      <c r="I1391">
        <f>IF(OR($F1391="",$G1391=""),"",IF(ISNUMBER(Sync!$AE1391),MOD(Sync!$AE1391,100),IFERROR(VALUE(TRIM(MID(MID(Sync!$AE1391,FIND("/",Sync!$AE1391)+1,20),FIND("/",MID(Sync!$AE1391,FIND("/",Sync!$AE1391)+1,20))+1,20))),"")))</f>
        <v/>
      </c>
      <c r="J1391">
        <f>IF($F1391="","",IF(OR($G1391="",$H1391="",$I1391="",$G1391&lt;1300,$G1391&gt;1500,$H1391&lt;1,$H1391&gt;12,$I1391&lt;1,$I1391&gt;31),"نامعتبر",RIGHT("0000"&amp;$G1391,4)&amp;"/"&amp;RIGHT("00"&amp;$H1391,2)&amp;"/"&amp;RIGHT("00"&amp;$I1391,2)))</f>
        <v/>
      </c>
      <c r="K1391">
        <f>IF(OR($F1391="",$J1391="",$J1391="نامعتبر"),"",LEFT($J1391,4)&amp;MID($J1391,6,2)&amp;RIGHT($J1391,2)&amp;$N1391&amp;"|"&amp;"2"&amp;RIGHT("00000"&amp;1386,5))</f>
        <v/>
      </c>
      <c r="L1391">
        <f>IF($K1391="","",COUNTIFS(LdgSellerA,$F1391,LdgKeyA,"&lt;"&amp;$K1391)+COUNTIFS(LdgSellerB,$F1391,LdgKeyB,"&lt;"&amp;$K1391)+1)</f>
        <v/>
      </c>
      <c r="M1391">
        <f>IF($L1391="","",$F1391&amp;"|"&amp;RIGHT("000000"&amp;$L1391,6))</f>
        <v/>
      </c>
      <c r="N1391">
        <f>IF($F1391="","",IF(Sync!$AF1391="","0000",IF(AND(ISNUMBER(Sync!$AF1391),Sync!$AF1391&gt;=0,Sync!$AF1391&lt;1),RIGHT("00"&amp;HOUR(Sync!$AF1391),2)&amp;RIGHT("00"&amp;MINUTE(Sync!$AF1391),2),IFERROR(RIGHT("00"&amp;VALUE(LEFT(Sync!$AF1391,FIND(":",Sync!$AF1391)-1)),2)&amp;RIGHT("00"&amp;VALUE(MID(Sync!$AF1391,FIND(":",Sync!$AF1391)+1,2)),2),"0000"))))</f>
        <v/>
      </c>
    </row>
    <row r="1392">
      <c r="A1392">
        <f>IF(OR(Calc!$E1396="",Calc!$E1396="نامعتبر",Calc!$G1396=""),"",Calc!$G1396)</f>
        <v/>
      </c>
      <c r="B1392">
        <f>IF($A1392="","",LEFT(Calc!$E1396,4)&amp;MID(Calc!$E1396,6,2)&amp;RIGHT(Calc!$E1396,2)&amp;Calc!$Q1396&amp;"|"&amp;"1"&amp;RIGHT("00000"&amp;1387,5))</f>
        <v/>
      </c>
      <c r="C1392">
        <f>IF($B1392="","",COUNTIFS(LdgSellerA,$A1392,LdgKeyA,"&lt;"&amp;$B1392)+COUNTIFS(LdgSellerB,$A1392,LdgKeyB,"&lt;"&amp;$B1392)+1)</f>
        <v/>
      </c>
      <c r="D1392">
        <f>IF($C1392="","",$A1392&amp;"|"&amp;RIGHT("000000"&amp;$C1392,6))</f>
        <v/>
      </c>
      <c r="F1392">
        <f>IF(Sync!$AH1392="","",IF(LEFT(UPPER(TRIM(Sync!$AH1392)),2)="SL",UPPER(TRIM(Sync!$AH1392)),""))</f>
        <v/>
      </c>
      <c r="G1392">
        <f>IF($F1392="","",IF(Sync!$AE1392="","",IF(ISNUMBER(Sync!$AE1392),IF(AND(Sync!$AE1392&gt;=10000101,Sync!$AE1392&lt;=99991231),INT(Sync!$AE1392/10000),""),IFERROR(VALUE(TRIM(LEFT(Sync!$AE1392,FIND("/",Sync!$AE1392)-1))),""))))</f>
        <v/>
      </c>
      <c r="H1392">
        <f>IF(OR($F1392="",$G1392=""),"",IF(ISNUMBER(Sync!$AE1392),INT(MOD(Sync!$AE1392,10000)/100),IFERROR(VALUE(TRIM(LEFT(MID(Sync!$AE1392,FIND("/",Sync!$AE1392)+1,20),FIND("/",MID(Sync!$AE1392,FIND("/",Sync!$AE1392)+1,20))-1))),"")))</f>
        <v/>
      </c>
      <c r="I1392">
        <f>IF(OR($F1392="",$G1392=""),"",IF(ISNUMBER(Sync!$AE1392),MOD(Sync!$AE1392,100),IFERROR(VALUE(TRIM(MID(MID(Sync!$AE1392,FIND("/",Sync!$AE1392)+1,20),FIND("/",MID(Sync!$AE1392,FIND("/",Sync!$AE1392)+1,20))+1,20))),"")))</f>
        <v/>
      </c>
      <c r="J1392">
        <f>IF($F1392="","",IF(OR($G1392="",$H1392="",$I1392="",$G1392&lt;1300,$G1392&gt;1500,$H1392&lt;1,$H1392&gt;12,$I1392&lt;1,$I1392&gt;31),"نامعتبر",RIGHT("0000"&amp;$G1392,4)&amp;"/"&amp;RIGHT("00"&amp;$H1392,2)&amp;"/"&amp;RIGHT("00"&amp;$I1392,2)))</f>
        <v/>
      </c>
      <c r="K1392">
        <f>IF(OR($F1392="",$J1392="",$J1392="نامعتبر"),"",LEFT($J1392,4)&amp;MID($J1392,6,2)&amp;RIGHT($J1392,2)&amp;$N1392&amp;"|"&amp;"2"&amp;RIGHT("00000"&amp;1387,5))</f>
        <v/>
      </c>
      <c r="L1392">
        <f>IF($K1392="","",COUNTIFS(LdgSellerA,$F1392,LdgKeyA,"&lt;"&amp;$K1392)+COUNTIFS(LdgSellerB,$F1392,LdgKeyB,"&lt;"&amp;$K1392)+1)</f>
        <v/>
      </c>
      <c r="M1392">
        <f>IF($L1392="","",$F1392&amp;"|"&amp;RIGHT("000000"&amp;$L1392,6))</f>
        <v/>
      </c>
      <c r="N1392">
        <f>IF($F1392="","",IF(Sync!$AF1392="","0000",IF(AND(ISNUMBER(Sync!$AF1392),Sync!$AF1392&gt;=0,Sync!$AF1392&lt;1),RIGHT("00"&amp;HOUR(Sync!$AF1392),2)&amp;RIGHT("00"&amp;MINUTE(Sync!$AF1392),2),IFERROR(RIGHT("00"&amp;VALUE(LEFT(Sync!$AF1392,FIND(":",Sync!$AF1392)-1)),2)&amp;RIGHT("00"&amp;VALUE(MID(Sync!$AF1392,FIND(":",Sync!$AF1392)+1,2)),2),"0000"))))</f>
        <v/>
      </c>
    </row>
    <row r="1393">
      <c r="A1393">
        <f>IF(OR(Calc!$E1397="",Calc!$E1397="نامعتبر",Calc!$G1397=""),"",Calc!$G1397)</f>
        <v/>
      </c>
      <c r="B1393">
        <f>IF($A1393="","",LEFT(Calc!$E1397,4)&amp;MID(Calc!$E1397,6,2)&amp;RIGHT(Calc!$E1397,2)&amp;Calc!$Q1397&amp;"|"&amp;"1"&amp;RIGHT("00000"&amp;1388,5))</f>
        <v/>
      </c>
      <c r="C1393">
        <f>IF($B1393="","",COUNTIFS(LdgSellerA,$A1393,LdgKeyA,"&lt;"&amp;$B1393)+COUNTIFS(LdgSellerB,$A1393,LdgKeyB,"&lt;"&amp;$B1393)+1)</f>
        <v/>
      </c>
      <c r="D1393">
        <f>IF($C1393="","",$A1393&amp;"|"&amp;RIGHT("000000"&amp;$C1393,6))</f>
        <v/>
      </c>
      <c r="F1393">
        <f>IF(Sync!$AH1393="","",IF(LEFT(UPPER(TRIM(Sync!$AH1393)),2)="SL",UPPER(TRIM(Sync!$AH1393)),""))</f>
        <v/>
      </c>
      <c r="G1393">
        <f>IF($F1393="","",IF(Sync!$AE1393="","",IF(ISNUMBER(Sync!$AE1393),IF(AND(Sync!$AE1393&gt;=10000101,Sync!$AE1393&lt;=99991231),INT(Sync!$AE1393/10000),""),IFERROR(VALUE(TRIM(LEFT(Sync!$AE1393,FIND("/",Sync!$AE1393)-1))),""))))</f>
        <v/>
      </c>
      <c r="H1393">
        <f>IF(OR($F1393="",$G1393=""),"",IF(ISNUMBER(Sync!$AE1393),INT(MOD(Sync!$AE1393,10000)/100),IFERROR(VALUE(TRIM(LEFT(MID(Sync!$AE1393,FIND("/",Sync!$AE1393)+1,20),FIND("/",MID(Sync!$AE1393,FIND("/",Sync!$AE1393)+1,20))-1))),"")))</f>
        <v/>
      </c>
      <c r="I1393">
        <f>IF(OR($F1393="",$G1393=""),"",IF(ISNUMBER(Sync!$AE1393),MOD(Sync!$AE1393,100),IFERROR(VALUE(TRIM(MID(MID(Sync!$AE1393,FIND("/",Sync!$AE1393)+1,20),FIND("/",MID(Sync!$AE1393,FIND("/",Sync!$AE1393)+1,20))+1,20))),"")))</f>
        <v/>
      </c>
      <c r="J1393">
        <f>IF($F1393="","",IF(OR($G1393="",$H1393="",$I1393="",$G1393&lt;1300,$G1393&gt;1500,$H1393&lt;1,$H1393&gt;12,$I1393&lt;1,$I1393&gt;31),"نامعتبر",RIGHT("0000"&amp;$G1393,4)&amp;"/"&amp;RIGHT("00"&amp;$H1393,2)&amp;"/"&amp;RIGHT("00"&amp;$I1393,2)))</f>
        <v/>
      </c>
      <c r="K1393">
        <f>IF(OR($F1393="",$J1393="",$J1393="نامعتبر"),"",LEFT($J1393,4)&amp;MID($J1393,6,2)&amp;RIGHT($J1393,2)&amp;$N1393&amp;"|"&amp;"2"&amp;RIGHT("00000"&amp;1388,5))</f>
        <v/>
      </c>
      <c r="L1393">
        <f>IF($K1393="","",COUNTIFS(LdgSellerA,$F1393,LdgKeyA,"&lt;"&amp;$K1393)+COUNTIFS(LdgSellerB,$F1393,LdgKeyB,"&lt;"&amp;$K1393)+1)</f>
        <v/>
      </c>
      <c r="M1393">
        <f>IF($L1393="","",$F1393&amp;"|"&amp;RIGHT("000000"&amp;$L1393,6))</f>
        <v/>
      </c>
      <c r="N1393">
        <f>IF($F1393="","",IF(Sync!$AF1393="","0000",IF(AND(ISNUMBER(Sync!$AF1393),Sync!$AF1393&gt;=0,Sync!$AF1393&lt;1),RIGHT("00"&amp;HOUR(Sync!$AF1393),2)&amp;RIGHT("00"&amp;MINUTE(Sync!$AF1393),2),IFERROR(RIGHT("00"&amp;VALUE(LEFT(Sync!$AF1393,FIND(":",Sync!$AF1393)-1)),2)&amp;RIGHT("00"&amp;VALUE(MID(Sync!$AF1393,FIND(":",Sync!$AF1393)+1,2)),2),"0000"))))</f>
        <v/>
      </c>
    </row>
    <row r="1394">
      <c r="A1394">
        <f>IF(OR(Calc!$E1398="",Calc!$E1398="نامعتبر",Calc!$G1398=""),"",Calc!$G1398)</f>
        <v/>
      </c>
      <c r="B1394">
        <f>IF($A1394="","",LEFT(Calc!$E1398,4)&amp;MID(Calc!$E1398,6,2)&amp;RIGHT(Calc!$E1398,2)&amp;Calc!$Q1398&amp;"|"&amp;"1"&amp;RIGHT("00000"&amp;1389,5))</f>
        <v/>
      </c>
      <c r="C1394">
        <f>IF($B1394="","",COUNTIFS(LdgSellerA,$A1394,LdgKeyA,"&lt;"&amp;$B1394)+COUNTIFS(LdgSellerB,$A1394,LdgKeyB,"&lt;"&amp;$B1394)+1)</f>
        <v/>
      </c>
      <c r="D1394">
        <f>IF($C1394="","",$A1394&amp;"|"&amp;RIGHT("000000"&amp;$C1394,6))</f>
        <v/>
      </c>
      <c r="F1394">
        <f>IF(Sync!$AH1394="","",IF(LEFT(UPPER(TRIM(Sync!$AH1394)),2)="SL",UPPER(TRIM(Sync!$AH1394)),""))</f>
        <v/>
      </c>
      <c r="G1394">
        <f>IF($F1394="","",IF(Sync!$AE1394="","",IF(ISNUMBER(Sync!$AE1394),IF(AND(Sync!$AE1394&gt;=10000101,Sync!$AE1394&lt;=99991231),INT(Sync!$AE1394/10000),""),IFERROR(VALUE(TRIM(LEFT(Sync!$AE1394,FIND("/",Sync!$AE1394)-1))),""))))</f>
        <v/>
      </c>
      <c r="H1394">
        <f>IF(OR($F1394="",$G1394=""),"",IF(ISNUMBER(Sync!$AE1394),INT(MOD(Sync!$AE1394,10000)/100),IFERROR(VALUE(TRIM(LEFT(MID(Sync!$AE1394,FIND("/",Sync!$AE1394)+1,20),FIND("/",MID(Sync!$AE1394,FIND("/",Sync!$AE1394)+1,20))-1))),"")))</f>
        <v/>
      </c>
      <c r="I1394">
        <f>IF(OR($F1394="",$G1394=""),"",IF(ISNUMBER(Sync!$AE1394),MOD(Sync!$AE1394,100),IFERROR(VALUE(TRIM(MID(MID(Sync!$AE1394,FIND("/",Sync!$AE1394)+1,20),FIND("/",MID(Sync!$AE1394,FIND("/",Sync!$AE1394)+1,20))+1,20))),"")))</f>
        <v/>
      </c>
      <c r="J1394">
        <f>IF($F1394="","",IF(OR($G1394="",$H1394="",$I1394="",$G1394&lt;1300,$G1394&gt;1500,$H1394&lt;1,$H1394&gt;12,$I1394&lt;1,$I1394&gt;31),"نامعتبر",RIGHT("0000"&amp;$G1394,4)&amp;"/"&amp;RIGHT("00"&amp;$H1394,2)&amp;"/"&amp;RIGHT("00"&amp;$I1394,2)))</f>
        <v/>
      </c>
      <c r="K1394">
        <f>IF(OR($F1394="",$J1394="",$J1394="نامعتبر"),"",LEFT($J1394,4)&amp;MID($J1394,6,2)&amp;RIGHT($J1394,2)&amp;$N1394&amp;"|"&amp;"2"&amp;RIGHT("00000"&amp;1389,5))</f>
        <v/>
      </c>
      <c r="L1394">
        <f>IF($K1394="","",COUNTIFS(LdgSellerA,$F1394,LdgKeyA,"&lt;"&amp;$K1394)+COUNTIFS(LdgSellerB,$F1394,LdgKeyB,"&lt;"&amp;$K1394)+1)</f>
        <v/>
      </c>
      <c r="M1394">
        <f>IF($L1394="","",$F1394&amp;"|"&amp;RIGHT("000000"&amp;$L1394,6))</f>
        <v/>
      </c>
      <c r="N1394">
        <f>IF($F1394="","",IF(Sync!$AF1394="","0000",IF(AND(ISNUMBER(Sync!$AF1394),Sync!$AF1394&gt;=0,Sync!$AF1394&lt;1),RIGHT("00"&amp;HOUR(Sync!$AF1394),2)&amp;RIGHT("00"&amp;MINUTE(Sync!$AF1394),2),IFERROR(RIGHT("00"&amp;VALUE(LEFT(Sync!$AF1394,FIND(":",Sync!$AF1394)-1)),2)&amp;RIGHT("00"&amp;VALUE(MID(Sync!$AF1394,FIND(":",Sync!$AF1394)+1,2)),2),"0000"))))</f>
        <v/>
      </c>
    </row>
    <row r="1395">
      <c r="A1395">
        <f>IF(OR(Calc!$E1399="",Calc!$E1399="نامعتبر",Calc!$G1399=""),"",Calc!$G1399)</f>
        <v/>
      </c>
      <c r="B1395">
        <f>IF($A1395="","",LEFT(Calc!$E1399,4)&amp;MID(Calc!$E1399,6,2)&amp;RIGHT(Calc!$E1399,2)&amp;Calc!$Q1399&amp;"|"&amp;"1"&amp;RIGHT("00000"&amp;1390,5))</f>
        <v/>
      </c>
      <c r="C1395">
        <f>IF($B1395="","",COUNTIFS(LdgSellerA,$A1395,LdgKeyA,"&lt;"&amp;$B1395)+COUNTIFS(LdgSellerB,$A1395,LdgKeyB,"&lt;"&amp;$B1395)+1)</f>
        <v/>
      </c>
      <c r="D1395">
        <f>IF($C1395="","",$A1395&amp;"|"&amp;RIGHT("000000"&amp;$C1395,6))</f>
        <v/>
      </c>
      <c r="F1395">
        <f>IF(Sync!$AH1395="","",IF(LEFT(UPPER(TRIM(Sync!$AH1395)),2)="SL",UPPER(TRIM(Sync!$AH1395)),""))</f>
        <v/>
      </c>
      <c r="G1395">
        <f>IF($F1395="","",IF(Sync!$AE1395="","",IF(ISNUMBER(Sync!$AE1395),IF(AND(Sync!$AE1395&gt;=10000101,Sync!$AE1395&lt;=99991231),INT(Sync!$AE1395/10000),""),IFERROR(VALUE(TRIM(LEFT(Sync!$AE1395,FIND("/",Sync!$AE1395)-1))),""))))</f>
        <v/>
      </c>
      <c r="H1395">
        <f>IF(OR($F1395="",$G1395=""),"",IF(ISNUMBER(Sync!$AE1395),INT(MOD(Sync!$AE1395,10000)/100),IFERROR(VALUE(TRIM(LEFT(MID(Sync!$AE1395,FIND("/",Sync!$AE1395)+1,20),FIND("/",MID(Sync!$AE1395,FIND("/",Sync!$AE1395)+1,20))-1))),"")))</f>
        <v/>
      </c>
      <c r="I1395">
        <f>IF(OR($F1395="",$G1395=""),"",IF(ISNUMBER(Sync!$AE1395),MOD(Sync!$AE1395,100),IFERROR(VALUE(TRIM(MID(MID(Sync!$AE1395,FIND("/",Sync!$AE1395)+1,20),FIND("/",MID(Sync!$AE1395,FIND("/",Sync!$AE1395)+1,20))+1,20))),"")))</f>
        <v/>
      </c>
      <c r="J1395">
        <f>IF($F1395="","",IF(OR($G1395="",$H1395="",$I1395="",$G1395&lt;1300,$G1395&gt;1500,$H1395&lt;1,$H1395&gt;12,$I1395&lt;1,$I1395&gt;31),"نامعتبر",RIGHT("0000"&amp;$G1395,4)&amp;"/"&amp;RIGHT("00"&amp;$H1395,2)&amp;"/"&amp;RIGHT("00"&amp;$I1395,2)))</f>
        <v/>
      </c>
      <c r="K1395">
        <f>IF(OR($F1395="",$J1395="",$J1395="نامعتبر"),"",LEFT($J1395,4)&amp;MID($J1395,6,2)&amp;RIGHT($J1395,2)&amp;$N1395&amp;"|"&amp;"2"&amp;RIGHT("00000"&amp;1390,5))</f>
        <v/>
      </c>
      <c r="L1395">
        <f>IF($K1395="","",COUNTIFS(LdgSellerA,$F1395,LdgKeyA,"&lt;"&amp;$K1395)+COUNTIFS(LdgSellerB,$F1395,LdgKeyB,"&lt;"&amp;$K1395)+1)</f>
        <v/>
      </c>
      <c r="M1395">
        <f>IF($L1395="","",$F1395&amp;"|"&amp;RIGHT("000000"&amp;$L1395,6))</f>
        <v/>
      </c>
      <c r="N1395">
        <f>IF($F1395="","",IF(Sync!$AF1395="","0000",IF(AND(ISNUMBER(Sync!$AF1395),Sync!$AF1395&gt;=0,Sync!$AF1395&lt;1),RIGHT("00"&amp;HOUR(Sync!$AF1395),2)&amp;RIGHT("00"&amp;MINUTE(Sync!$AF1395),2),IFERROR(RIGHT("00"&amp;VALUE(LEFT(Sync!$AF1395,FIND(":",Sync!$AF1395)-1)),2)&amp;RIGHT("00"&amp;VALUE(MID(Sync!$AF1395,FIND(":",Sync!$AF1395)+1,2)),2),"0000"))))</f>
        <v/>
      </c>
    </row>
    <row r="1396">
      <c r="A1396">
        <f>IF(OR(Calc!$E1400="",Calc!$E1400="نامعتبر",Calc!$G1400=""),"",Calc!$G1400)</f>
        <v/>
      </c>
      <c r="B1396">
        <f>IF($A1396="","",LEFT(Calc!$E1400,4)&amp;MID(Calc!$E1400,6,2)&amp;RIGHT(Calc!$E1400,2)&amp;Calc!$Q1400&amp;"|"&amp;"1"&amp;RIGHT("00000"&amp;1391,5))</f>
        <v/>
      </c>
      <c r="C1396">
        <f>IF($B1396="","",COUNTIFS(LdgSellerA,$A1396,LdgKeyA,"&lt;"&amp;$B1396)+COUNTIFS(LdgSellerB,$A1396,LdgKeyB,"&lt;"&amp;$B1396)+1)</f>
        <v/>
      </c>
      <c r="D1396">
        <f>IF($C1396="","",$A1396&amp;"|"&amp;RIGHT("000000"&amp;$C1396,6))</f>
        <v/>
      </c>
      <c r="F1396">
        <f>IF(Sync!$AH1396="","",IF(LEFT(UPPER(TRIM(Sync!$AH1396)),2)="SL",UPPER(TRIM(Sync!$AH1396)),""))</f>
        <v/>
      </c>
      <c r="G1396">
        <f>IF($F1396="","",IF(Sync!$AE1396="","",IF(ISNUMBER(Sync!$AE1396),IF(AND(Sync!$AE1396&gt;=10000101,Sync!$AE1396&lt;=99991231),INT(Sync!$AE1396/10000),""),IFERROR(VALUE(TRIM(LEFT(Sync!$AE1396,FIND("/",Sync!$AE1396)-1))),""))))</f>
        <v/>
      </c>
      <c r="H1396">
        <f>IF(OR($F1396="",$G1396=""),"",IF(ISNUMBER(Sync!$AE1396),INT(MOD(Sync!$AE1396,10000)/100),IFERROR(VALUE(TRIM(LEFT(MID(Sync!$AE1396,FIND("/",Sync!$AE1396)+1,20),FIND("/",MID(Sync!$AE1396,FIND("/",Sync!$AE1396)+1,20))-1))),"")))</f>
        <v/>
      </c>
      <c r="I1396">
        <f>IF(OR($F1396="",$G1396=""),"",IF(ISNUMBER(Sync!$AE1396),MOD(Sync!$AE1396,100),IFERROR(VALUE(TRIM(MID(MID(Sync!$AE1396,FIND("/",Sync!$AE1396)+1,20),FIND("/",MID(Sync!$AE1396,FIND("/",Sync!$AE1396)+1,20))+1,20))),"")))</f>
        <v/>
      </c>
      <c r="J1396">
        <f>IF($F1396="","",IF(OR($G1396="",$H1396="",$I1396="",$G1396&lt;1300,$G1396&gt;1500,$H1396&lt;1,$H1396&gt;12,$I1396&lt;1,$I1396&gt;31),"نامعتبر",RIGHT("0000"&amp;$G1396,4)&amp;"/"&amp;RIGHT("00"&amp;$H1396,2)&amp;"/"&amp;RIGHT("00"&amp;$I1396,2)))</f>
        <v/>
      </c>
      <c r="K1396">
        <f>IF(OR($F1396="",$J1396="",$J1396="نامعتبر"),"",LEFT($J1396,4)&amp;MID($J1396,6,2)&amp;RIGHT($J1396,2)&amp;$N1396&amp;"|"&amp;"2"&amp;RIGHT("00000"&amp;1391,5))</f>
        <v/>
      </c>
      <c r="L1396">
        <f>IF($K1396="","",COUNTIFS(LdgSellerA,$F1396,LdgKeyA,"&lt;"&amp;$K1396)+COUNTIFS(LdgSellerB,$F1396,LdgKeyB,"&lt;"&amp;$K1396)+1)</f>
        <v/>
      </c>
      <c r="M1396">
        <f>IF($L1396="","",$F1396&amp;"|"&amp;RIGHT("000000"&amp;$L1396,6))</f>
        <v/>
      </c>
      <c r="N1396">
        <f>IF($F1396="","",IF(Sync!$AF1396="","0000",IF(AND(ISNUMBER(Sync!$AF1396),Sync!$AF1396&gt;=0,Sync!$AF1396&lt;1),RIGHT("00"&amp;HOUR(Sync!$AF1396),2)&amp;RIGHT("00"&amp;MINUTE(Sync!$AF1396),2),IFERROR(RIGHT("00"&amp;VALUE(LEFT(Sync!$AF1396,FIND(":",Sync!$AF1396)-1)),2)&amp;RIGHT("00"&amp;VALUE(MID(Sync!$AF1396,FIND(":",Sync!$AF1396)+1,2)),2),"0000"))))</f>
        <v/>
      </c>
    </row>
    <row r="1397">
      <c r="A1397">
        <f>IF(OR(Calc!$E1401="",Calc!$E1401="نامعتبر",Calc!$G1401=""),"",Calc!$G1401)</f>
        <v/>
      </c>
      <c r="B1397">
        <f>IF($A1397="","",LEFT(Calc!$E1401,4)&amp;MID(Calc!$E1401,6,2)&amp;RIGHT(Calc!$E1401,2)&amp;Calc!$Q1401&amp;"|"&amp;"1"&amp;RIGHT("00000"&amp;1392,5))</f>
        <v/>
      </c>
      <c r="C1397">
        <f>IF($B1397="","",COUNTIFS(LdgSellerA,$A1397,LdgKeyA,"&lt;"&amp;$B1397)+COUNTIFS(LdgSellerB,$A1397,LdgKeyB,"&lt;"&amp;$B1397)+1)</f>
        <v/>
      </c>
      <c r="D1397">
        <f>IF($C1397="","",$A1397&amp;"|"&amp;RIGHT("000000"&amp;$C1397,6))</f>
        <v/>
      </c>
      <c r="F1397">
        <f>IF(Sync!$AH1397="","",IF(LEFT(UPPER(TRIM(Sync!$AH1397)),2)="SL",UPPER(TRIM(Sync!$AH1397)),""))</f>
        <v/>
      </c>
      <c r="G1397">
        <f>IF($F1397="","",IF(Sync!$AE1397="","",IF(ISNUMBER(Sync!$AE1397),IF(AND(Sync!$AE1397&gt;=10000101,Sync!$AE1397&lt;=99991231),INT(Sync!$AE1397/10000),""),IFERROR(VALUE(TRIM(LEFT(Sync!$AE1397,FIND("/",Sync!$AE1397)-1))),""))))</f>
        <v/>
      </c>
      <c r="H1397">
        <f>IF(OR($F1397="",$G1397=""),"",IF(ISNUMBER(Sync!$AE1397),INT(MOD(Sync!$AE1397,10000)/100),IFERROR(VALUE(TRIM(LEFT(MID(Sync!$AE1397,FIND("/",Sync!$AE1397)+1,20),FIND("/",MID(Sync!$AE1397,FIND("/",Sync!$AE1397)+1,20))-1))),"")))</f>
        <v/>
      </c>
      <c r="I1397">
        <f>IF(OR($F1397="",$G1397=""),"",IF(ISNUMBER(Sync!$AE1397),MOD(Sync!$AE1397,100),IFERROR(VALUE(TRIM(MID(MID(Sync!$AE1397,FIND("/",Sync!$AE1397)+1,20),FIND("/",MID(Sync!$AE1397,FIND("/",Sync!$AE1397)+1,20))+1,20))),"")))</f>
        <v/>
      </c>
      <c r="J1397">
        <f>IF($F1397="","",IF(OR($G1397="",$H1397="",$I1397="",$G1397&lt;1300,$G1397&gt;1500,$H1397&lt;1,$H1397&gt;12,$I1397&lt;1,$I1397&gt;31),"نامعتبر",RIGHT("0000"&amp;$G1397,4)&amp;"/"&amp;RIGHT("00"&amp;$H1397,2)&amp;"/"&amp;RIGHT("00"&amp;$I1397,2)))</f>
        <v/>
      </c>
      <c r="K1397">
        <f>IF(OR($F1397="",$J1397="",$J1397="نامعتبر"),"",LEFT($J1397,4)&amp;MID($J1397,6,2)&amp;RIGHT($J1397,2)&amp;$N1397&amp;"|"&amp;"2"&amp;RIGHT("00000"&amp;1392,5))</f>
        <v/>
      </c>
      <c r="L1397">
        <f>IF($K1397="","",COUNTIFS(LdgSellerA,$F1397,LdgKeyA,"&lt;"&amp;$K1397)+COUNTIFS(LdgSellerB,$F1397,LdgKeyB,"&lt;"&amp;$K1397)+1)</f>
        <v/>
      </c>
      <c r="M1397">
        <f>IF($L1397="","",$F1397&amp;"|"&amp;RIGHT("000000"&amp;$L1397,6))</f>
        <v/>
      </c>
      <c r="N1397">
        <f>IF($F1397="","",IF(Sync!$AF1397="","0000",IF(AND(ISNUMBER(Sync!$AF1397),Sync!$AF1397&gt;=0,Sync!$AF1397&lt;1),RIGHT("00"&amp;HOUR(Sync!$AF1397),2)&amp;RIGHT("00"&amp;MINUTE(Sync!$AF1397),2),IFERROR(RIGHT("00"&amp;VALUE(LEFT(Sync!$AF1397,FIND(":",Sync!$AF1397)-1)),2)&amp;RIGHT("00"&amp;VALUE(MID(Sync!$AF1397,FIND(":",Sync!$AF1397)+1,2)),2),"0000"))))</f>
        <v/>
      </c>
    </row>
    <row r="1398">
      <c r="A1398">
        <f>IF(OR(Calc!$E1402="",Calc!$E1402="نامعتبر",Calc!$G1402=""),"",Calc!$G1402)</f>
        <v/>
      </c>
      <c r="B1398">
        <f>IF($A1398="","",LEFT(Calc!$E1402,4)&amp;MID(Calc!$E1402,6,2)&amp;RIGHT(Calc!$E1402,2)&amp;Calc!$Q1402&amp;"|"&amp;"1"&amp;RIGHT("00000"&amp;1393,5))</f>
        <v/>
      </c>
      <c r="C1398">
        <f>IF($B1398="","",COUNTIFS(LdgSellerA,$A1398,LdgKeyA,"&lt;"&amp;$B1398)+COUNTIFS(LdgSellerB,$A1398,LdgKeyB,"&lt;"&amp;$B1398)+1)</f>
        <v/>
      </c>
      <c r="D1398">
        <f>IF($C1398="","",$A1398&amp;"|"&amp;RIGHT("000000"&amp;$C1398,6))</f>
        <v/>
      </c>
      <c r="F1398">
        <f>IF(Sync!$AH1398="","",IF(LEFT(UPPER(TRIM(Sync!$AH1398)),2)="SL",UPPER(TRIM(Sync!$AH1398)),""))</f>
        <v/>
      </c>
      <c r="G1398">
        <f>IF($F1398="","",IF(Sync!$AE1398="","",IF(ISNUMBER(Sync!$AE1398),IF(AND(Sync!$AE1398&gt;=10000101,Sync!$AE1398&lt;=99991231),INT(Sync!$AE1398/10000),""),IFERROR(VALUE(TRIM(LEFT(Sync!$AE1398,FIND("/",Sync!$AE1398)-1))),""))))</f>
        <v/>
      </c>
      <c r="H1398">
        <f>IF(OR($F1398="",$G1398=""),"",IF(ISNUMBER(Sync!$AE1398),INT(MOD(Sync!$AE1398,10000)/100),IFERROR(VALUE(TRIM(LEFT(MID(Sync!$AE1398,FIND("/",Sync!$AE1398)+1,20),FIND("/",MID(Sync!$AE1398,FIND("/",Sync!$AE1398)+1,20))-1))),"")))</f>
        <v/>
      </c>
      <c r="I1398">
        <f>IF(OR($F1398="",$G1398=""),"",IF(ISNUMBER(Sync!$AE1398),MOD(Sync!$AE1398,100),IFERROR(VALUE(TRIM(MID(MID(Sync!$AE1398,FIND("/",Sync!$AE1398)+1,20),FIND("/",MID(Sync!$AE1398,FIND("/",Sync!$AE1398)+1,20))+1,20))),"")))</f>
        <v/>
      </c>
      <c r="J1398">
        <f>IF($F1398="","",IF(OR($G1398="",$H1398="",$I1398="",$G1398&lt;1300,$G1398&gt;1500,$H1398&lt;1,$H1398&gt;12,$I1398&lt;1,$I1398&gt;31),"نامعتبر",RIGHT("0000"&amp;$G1398,4)&amp;"/"&amp;RIGHT("00"&amp;$H1398,2)&amp;"/"&amp;RIGHT("00"&amp;$I1398,2)))</f>
        <v/>
      </c>
      <c r="K1398">
        <f>IF(OR($F1398="",$J1398="",$J1398="نامعتبر"),"",LEFT($J1398,4)&amp;MID($J1398,6,2)&amp;RIGHT($J1398,2)&amp;$N1398&amp;"|"&amp;"2"&amp;RIGHT("00000"&amp;1393,5))</f>
        <v/>
      </c>
      <c r="L1398">
        <f>IF($K1398="","",COUNTIFS(LdgSellerA,$F1398,LdgKeyA,"&lt;"&amp;$K1398)+COUNTIFS(LdgSellerB,$F1398,LdgKeyB,"&lt;"&amp;$K1398)+1)</f>
        <v/>
      </c>
      <c r="M1398">
        <f>IF($L1398="","",$F1398&amp;"|"&amp;RIGHT("000000"&amp;$L1398,6))</f>
        <v/>
      </c>
      <c r="N1398">
        <f>IF($F1398="","",IF(Sync!$AF1398="","0000",IF(AND(ISNUMBER(Sync!$AF1398),Sync!$AF1398&gt;=0,Sync!$AF1398&lt;1),RIGHT("00"&amp;HOUR(Sync!$AF1398),2)&amp;RIGHT("00"&amp;MINUTE(Sync!$AF1398),2),IFERROR(RIGHT("00"&amp;VALUE(LEFT(Sync!$AF1398,FIND(":",Sync!$AF1398)-1)),2)&amp;RIGHT("00"&amp;VALUE(MID(Sync!$AF1398,FIND(":",Sync!$AF1398)+1,2)),2),"0000"))))</f>
        <v/>
      </c>
    </row>
    <row r="1399">
      <c r="A1399">
        <f>IF(OR(Calc!$E1403="",Calc!$E1403="نامعتبر",Calc!$G1403=""),"",Calc!$G1403)</f>
        <v/>
      </c>
      <c r="B1399">
        <f>IF($A1399="","",LEFT(Calc!$E1403,4)&amp;MID(Calc!$E1403,6,2)&amp;RIGHT(Calc!$E1403,2)&amp;Calc!$Q1403&amp;"|"&amp;"1"&amp;RIGHT("00000"&amp;1394,5))</f>
        <v/>
      </c>
      <c r="C1399">
        <f>IF($B1399="","",COUNTIFS(LdgSellerA,$A1399,LdgKeyA,"&lt;"&amp;$B1399)+COUNTIFS(LdgSellerB,$A1399,LdgKeyB,"&lt;"&amp;$B1399)+1)</f>
        <v/>
      </c>
      <c r="D1399">
        <f>IF($C1399="","",$A1399&amp;"|"&amp;RIGHT("000000"&amp;$C1399,6))</f>
        <v/>
      </c>
      <c r="F1399">
        <f>IF(Sync!$AH1399="","",IF(LEFT(UPPER(TRIM(Sync!$AH1399)),2)="SL",UPPER(TRIM(Sync!$AH1399)),""))</f>
        <v/>
      </c>
      <c r="G1399">
        <f>IF($F1399="","",IF(Sync!$AE1399="","",IF(ISNUMBER(Sync!$AE1399),IF(AND(Sync!$AE1399&gt;=10000101,Sync!$AE1399&lt;=99991231),INT(Sync!$AE1399/10000),""),IFERROR(VALUE(TRIM(LEFT(Sync!$AE1399,FIND("/",Sync!$AE1399)-1))),""))))</f>
        <v/>
      </c>
      <c r="H1399">
        <f>IF(OR($F1399="",$G1399=""),"",IF(ISNUMBER(Sync!$AE1399),INT(MOD(Sync!$AE1399,10000)/100),IFERROR(VALUE(TRIM(LEFT(MID(Sync!$AE1399,FIND("/",Sync!$AE1399)+1,20),FIND("/",MID(Sync!$AE1399,FIND("/",Sync!$AE1399)+1,20))-1))),"")))</f>
        <v/>
      </c>
      <c r="I1399">
        <f>IF(OR($F1399="",$G1399=""),"",IF(ISNUMBER(Sync!$AE1399),MOD(Sync!$AE1399,100),IFERROR(VALUE(TRIM(MID(MID(Sync!$AE1399,FIND("/",Sync!$AE1399)+1,20),FIND("/",MID(Sync!$AE1399,FIND("/",Sync!$AE1399)+1,20))+1,20))),"")))</f>
        <v/>
      </c>
      <c r="J1399">
        <f>IF($F1399="","",IF(OR($G1399="",$H1399="",$I1399="",$G1399&lt;1300,$G1399&gt;1500,$H1399&lt;1,$H1399&gt;12,$I1399&lt;1,$I1399&gt;31),"نامعتبر",RIGHT("0000"&amp;$G1399,4)&amp;"/"&amp;RIGHT("00"&amp;$H1399,2)&amp;"/"&amp;RIGHT("00"&amp;$I1399,2)))</f>
        <v/>
      </c>
      <c r="K1399">
        <f>IF(OR($F1399="",$J1399="",$J1399="نامعتبر"),"",LEFT($J1399,4)&amp;MID($J1399,6,2)&amp;RIGHT($J1399,2)&amp;$N1399&amp;"|"&amp;"2"&amp;RIGHT("00000"&amp;1394,5))</f>
        <v/>
      </c>
      <c r="L1399">
        <f>IF($K1399="","",COUNTIFS(LdgSellerA,$F1399,LdgKeyA,"&lt;"&amp;$K1399)+COUNTIFS(LdgSellerB,$F1399,LdgKeyB,"&lt;"&amp;$K1399)+1)</f>
        <v/>
      </c>
      <c r="M1399">
        <f>IF($L1399="","",$F1399&amp;"|"&amp;RIGHT("000000"&amp;$L1399,6))</f>
        <v/>
      </c>
      <c r="N1399">
        <f>IF($F1399="","",IF(Sync!$AF1399="","0000",IF(AND(ISNUMBER(Sync!$AF1399),Sync!$AF1399&gt;=0,Sync!$AF1399&lt;1),RIGHT("00"&amp;HOUR(Sync!$AF1399),2)&amp;RIGHT("00"&amp;MINUTE(Sync!$AF1399),2),IFERROR(RIGHT("00"&amp;VALUE(LEFT(Sync!$AF1399,FIND(":",Sync!$AF1399)-1)),2)&amp;RIGHT("00"&amp;VALUE(MID(Sync!$AF1399,FIND(":",Sync!$AF1399)+1,2)),2),"0000"))))</f>
        <v/>
      </c>
    </row>
    <row r="1400">
      <c r="A1400">
        <f>IF(OR(Calc!$E1404="",Calc!$E1404="نامعتبر",Calc!$G1404=""),"",Calc!$G1404)</f>
        <v/>
      </c>
      <c r="B1400">
        <f>IF($A1400="","",LEFT(Calc!$E1404,4)&amp;MID(Calc!$E1404,6,2)&amp;RIGHT(Calc!$E1404,2)&amp;Calc!$Q1404&amp;"|"&amp;"1"&amp;RIGHT("00000"&amp;1395,5))</f>
        <v/>
      </c>
      <c r="C1400">
        <f>IF($B1400="","",COUNTIFS(LdgSellerA,$A1400,LdgKeyA,"&lt;"&amp;$B1400)+COUNTIFS(LdgSellerB,$A1400,LdgKeyB,"&lt;"&amp;$B1400)+1)</f>
        <v/>
      </c>
      <c r="D1400">
        <f>IF($C1400="","",$A1400&amp;"|"&amp;RIGHT("000000"&amp;$C1400,6))</f>
        <v/>
      </c>
      <c r="F1400">
        <f>IF(Sync!$AH1400="","",IF(LEFT(UPPER(TRIM(Sync!$AH1400)),2)="SL",UPPER(TRIM(Sync!$AH1400)),""))</f>
        <v/>
      </c>
      <c r="G1400">
        <f>IF($F1400="","",IF(Sync!$AE1400="","",IF(ISNUMBER(Sync!$AE1400),IF(AND(Sync!$AE1400&gt;=10000101,Sync!$AE1400&lt;=99991231),INT(Sync!$AE1400/10000),""),IFERROR(VALUE(TRIM(LEFT(Sync!$AE1400,FIND("/",Sync!$AE1400)-1))),""))))</f>
        <v/>
      </c>
      <c r="H1400">
        <f>IF(OR($F1400="",$G1400=""),"",IF(ISNUMBER(Sync!$AE1400),INT(MOD(Sync!$AE1400,10000)/100),IFERROR(VALUE(TRIM(LEFT(MID(Sync!$AE1400,FIND("/",Sync!$AE1400)+1,20),FIND("/",MID(Sync!$AE1400,FIND("/",Sync!$AE1400)+1,20))-1))),"")))</f>
        <v/>
      </c>
      <c r="I1400">
        <f>IF(OR($F1400="",$G1400=""),"",IF(ISNUMBER(Sync!$AE1400),MOD(Sync!$AE1400,100),IFERROR(VALUE(TRIM(MID(MID(Sync!$AE1400,FIND("/",Sync!$AE1400)+1,20),FIND("/",MID(Sync!$AE1400,FIND("/",Sync!$AE1400)+1,20))+1,20))),"")))</f>
        <v/>
      </c>
      <c r="J1400">
        <f>IF($F1400="","",IF(OR($G1400="",$H1400="",$I1400="",$G1400&lt;1300,$G1400&gt;1500,$H1400&lt;1,$H1400&gt;12,$I1400&lt;1,$I1400&gt;31),"نامعتبر",RIGHT("0000"&amp;$G1400,4)&amp;"/"&amp;RIGHT("00"&amp;$H1400,2)&amp;"/"&amp;RIGHT("00"&amp;$I1400,2)))</f>
        <v/>
      </c>
      <c r="K1400">
        <f>IF(OR($F1400="",$J1400="",$J1400="نامعتبر"),"",LEFT($J1400,4)&amp;MID($J1400,6,2)&amp;RIGHT($J1400,2)&amp;$N1400&amp;"|"&amp;"2"&amp;RIGHT("00000"&amp;1395,5))</f>
        <v/>
      </c>
      <c r="L1400">
        <f>IF($K1400="","",COUNTIFS(LdgSellerA,$F1400,LdgKeyA,"&lt;"&amp;$K1400)+COUNTIFS(LdgSellerB,$F1400,LdgKeyB,"&lt;"&amp;$K1400)+1)</f>
        <v/>
      </c>
      <c r="M1400">
        <f>IF($L1400="","",$F1400&amp;"|"&amp;RIGHT("000000"&amp;$L1400,6))</f>
        <v/>
      </c>
      <c r="N1400">
        <f>IF($F1400="","",IF(Sync!$AF1400="","0000",IF(AND(ISNUMBER(Sync!$AF1400),Sync!$AF1400&gt;=0,Sync!$AF1400&lt;1),RIGHT("00"&amp;HOUR(Sync!$AF1400),2)&amp;RIGHT("00"&amp;MINUTE(Sync!$AF1400),2),IFERROR(RIGHT("00"&amp;VALUE(LEFT(Sync!$AF1400,FIND(":",Sync!$AF1400)-1)),2)&amp;RIGHT("00"&amp;VALUE(MID(Sync!$AF1400,FIND(":",Sync!$AF1400)+1,2)),2),"0000"))))</f>
        <v/>
      </c>
    </row>
    <row r="1401">
      <c r="A1401">
        <f>IF(OR(Calc!$E1405="",Calc!$E1405="نامعتبر",Calc!$G1405=""),"",Calc!$G1405)</f>
        <v/>
      </c>
      <c r="B1401">
        <f>IF($A1401="","",LEFT(Calc!$E1405,4)&amp;MID(Calc!$E1405,6,2)&amp;RIGHT(Calc!$E1405,2)&amp;Calc!$Q1405&amp;"|"&amp;"1"&amp;RIGHT("00000"&amp;1396,5))</f>
        <v/>
      </c>
      <c r="C1401">
        <f>IF($B1401="","",COUNTIFS(LdgSellerA,$A1401,LdgKeyA,"&lt;"&amp;$B1401)+COUNTIFS(LdgSellerB,$A1401,LdgKeyB,"&lt;"&amp;$B1401)+1)</f>
        <v/>
      </c>
      <c r="D1401">
        <f>IF($C1401="","",$A1401&amp;"|"&amp;RIGHT("000000"&amp;$C1401,6))</f>
        <v/>
      </c>
      <c r="F1401">
        <f>IF(Sync!$AH1401="","",IF(LEFT(UPPER(TRIM(Sync!$AH1401)),2)="SL",UPPER(TRIM(Sync!$AH1401)),""))</f>
        <v/>
      </c>
      <c r="G1401">
        <f>IF($F1401="","",IF(Sync!$AE1401="","",IF(ISNUMBER(Sync!$AE1401),IF(AND(Sync!$AE1401&gt;=10000101,Sync!$AE1401&lt;=99991231),INT(Sync!$AE1401/10000),""),IFERROR(VALUE(TRIM(LEFT(Sync!$AE1401,FIND("/",Sync!$AE1401)-1))),""))))</f>
        <v/>
      </c>
      <c r="H1401">
        <f>IF(OR($F1401="",$G1401=""),"",IF(ISNUMBER(Sync!$AE1401),INT(MOD(Sync!$AE1401,10000)/100),IFERROR(VALUE(TRIM(LEFT(MID(Sync!$AE1401,FIND("/",Sync!$AE1401)+1,20),FIND("/",MID(Sync!$AE1401,FIND("/",Sync!$AE1401)+1,20))-1))),"")))</f>
        <v/>
      </c>
      <c r="I1401">
        <f>IF(OR($F1401="",$G1401=""),"",IF(ISNUMBER(Sync!$AE1401),MOD(Sync!$AE1401,100),IFERROR(VALUE(TRIM(MID(MID(Sync!$AE1401,FIND("/",Sync!$AE1401)+1,20),FIND("/",MID(Sync!$AE1401,FIND("/",Sync!$AE1401)+1,20))+1,20))),"")))</f>
        <v/>
      </c>
      <c r="J1401">
        <f>IF($F1401="","",IF(OR($G1401="",$H1401="",$I1401="",$G1401&lt;1300,$G1401&gt;1500,$H1401&lt;1,$H1401&gt;12,$I1401&lt;1,$I1401&gt;31),"نامعتبر",RIGHT("0000"&amp;$G1401,4)&amp;"/"&amp;RIGHT("00"&amp;$H1401,2)&amp;"/"&amp;RIGHT("00"&amp;$I1401,2)))</f>
        <v/>
      </c>
      <c r="K1401">
        <f>IF(OR($F1401="",$J1401="",$J1401="نامعتبر"),"",LEFT($J1401,4)&amp;MID($J1401,6,2)&amp;RIGHT($J1401,2)&amp;$N1401&amp;"|"&amp;"2"&amp;RIGHT("00000"&amp;1396,5))</f>
        <v/>
      </c>
      <c r="L1401">
        <f>IF($K1401="","",COUNTIFS(LdgSellerA,$F1401,LdgKeyA,"&lt;"&amp;$K1401)+COUNTIFS(LdgSellerB,$F1401,LdgKeyB,"&lt;"&amp;$K1401)+1)</f>
        <v/>
      </c>
      <c r="M1401">
        <f>IF($L1401="","",$F1401&amp;"|"&amp;RIGHT("000000"&amp;$L1401,6))</f>
        <v/>
      </c>
      <c r="N1401">
        <f>IF($F1401="","",IF(Sync!$AF1401="","0000",IF(AND(ISNUMBER(Sync!$AF1401),Sync!$AF1401&gt;=0,Sync!$AF1401&lt;1),RIGHT("00"&amp;HOUR(Sync!$AF1401),2)&amp;RIGHT("00"&amp;MINUTE(Sync!$AF1401),2),IFERROR(RIGHT("00"&amp;VALUE(LEFT(Sync!$AF1401,FIND(":",Sync!$AF1401)-1)),2)&amp;RIGHT("00"&amp;VALUE(MID(Sync!$AF1401,FIND(":",Sync!$AF1401)+1,2)),2),"0000"))))</f>
        <v/>
      </c>
    </row>
    <row r="1402">
      <c r="A1402">
        <f>IF(OR(Calc!$E1406="",Calc!$E1406="نامعتبر",Calc!$G1406=""),"",Calc!$G1406)</f>
        <v/>
      </c>
      <c r="B1402">
        <f>IF($A1402="","",LEFT(Calc!$E1406,4)&amp;MID(Calc!$E1406,6,2)&amp;RIGHT(Calc!$E1406,2)&amp;Calc!$Q1406&amp;"|"&amp;"1"&amp;RIGHT("00000"&amp;1397,5))</f>
        <v/>
      </c>
      <c r="C1402">
        <f>IF($B1402="","",COUNTIFS(LdgSellerA,$A1402,LdgKeyA,"&lt;"&amp;$B1402)+COUNTIFS(LdgSellerB,$A1402,LdgKeyB,"&lt;"&amp;$B1402)+1)</f>
        <v/>
      </c>
      <c r="D1402">
        <f>IF($C1402="","",$A1402&amp;"|"&amp;RIGHT("000000"&amp;$C1402,6))</f>
        <v/>
      </c>
      <c r="F1402">
        <f>IF(Sync!$AH1402="","",IF(LEFT(UPPER(TRIM(Sync!$AH1402)),2)="SL",UPPER(TRIM(Sync!$AH1402)),""))</f>
        <v/>
      </c>
      <c r="G1402">
        <f>IF($F1402="","",IF(Sync!$AE1402="","",IF(ISNUMBER(Sync!$AE1402),IF(AND(Sync!$AE1402&gt;=10000101,Sync!$AE1402&lt;=99991231),INT(Sync!$AE1402/10000),""),IFERROR(VALUE(TRIM(LEFT(Sync!$AE1402,FIND("/",Sync!$AE1402)-1))),""))))</f>
        <v/>
      </c>
      <c r="H1402">
        <f>IF(OR($F1402="",$G1402=""),"",IF(ISNUMBER(Sync!$AE1402),INT(MOD(Sync!$AE1402,10000)/100),IFERROR(VALUE(TRIM(LEFT(MID(Sync!$AE1402,FIND("/",Sync!$AE1402)+1,20),FIND("/",MID(Sync!$AE1402,FIND("/",Sync!$AE1402)+1,20))-1))),"")))</f>
        <v/>
      </c>
      <c r="I1402">
        <f>IF(OR($F1402="",$G1402=""),"",IF(ISNUMBER(Sync!$AE1402),MOD(Sync!$AE1402,100),IFERROR(VALUE(TRIM(MID(MID(Sync!$AE1402,FIND("/",Sync!$AE1402)+1,20),FIND("/",MID(Sync!$AE1402,FIND("/",Sync!$AE1402)+1,20))+1,20))),"")))</f>
        <v/>
      </c>
      <c r="J1402">
        <f>IF($F1402="","",IF(OR($G1402="",$H1402="",$I1402="",$G1402&lt;1300,$G1402&gt;1500,$H1402&lt;1,$H1402&gt;12,$I1402&lt;1,$I1402&gt;31),"نامعتبر",RIGHT("0000"&amp;$G1402,4)&amp;"/"&amp;RIGHT("00"&amp;$H1402,2)&amp;"/"&amp;RIGHT("00"&amp;$I1402,2)))</f>
        <v/>
      </c>
      <c r="K1402">
        <f>IF(OR($F1402="",$J1402="",$J1402="نامعتبر"),"",LEFT($J1402,4)&amp;MID($J1402,6,2)&amp;RIGHT($J1402,2)&amp;$N1402&amp;"|"&amp;"2"&amp;RIGHT("00000"&amp;1397,5))</f>
        <v/>
      </c>
      <c r="L1402">
        <f>IF($K1402="","",COUNTIFS(LdgSellerA,$F1402,LdgKeyA,"&lt;"&amp;$K1402)+COUNTIFS(LdgSellerB,$F1402,LdgKeyB,"&lt;"&amp;$K1402)+1)</f>
        <v/>
      </c>
      <c r="M1402">
        <f>IF($L1402="","",$F1402&amp;"|"&amp;RIGHT("000000"&amp;$L1402,6))</f>
        <v/>
      </c>
      <c r="N1402">
        <f>IF($F1402="","",IF(Sync!$AF1402="","0000",IF(AND(ISNUMBER(Sync!$AF1402),Sync!$AF1402&gt;=0,Sync!$AF1402&lt;1),RIGHT("00"&amp;HOUR(Sync!$AF1402),2)&amp;RIGHT("00"&amp;MINUTE(Sync!$AF1402),2),IFERROR(RIGHT("00"&amp;VALUE(LEFT(Sync!$AF1402,FIND(":",Sync!$AF1402)-1)),2)&amp;RIGHT("00"&amp;VALUE(MID(Sync!$AF1402,FIND(":",Sync!$AF1402)+1,2)),2),"0000"))))</f>
        <v/>
      </c>
    </row>
    <row r="1403">
      <c r="A1403">
        <f>IF(OR(Calc!$E1407="",Calc!$E1407="نامعتبر",Calc!$G1407=""),"",Calc!$G1407)</f>
        <v/>
      </c>
      <c r="B1403">
        <f>IF($A1403="","",LEFT(Calc!$E1407,4)&amp;MID(Calc!$E1407,6,2)&amp;RIGHT(Calc!$E1407,2)&amp;Calc!$Q1407&amp;"|"&amp;"1"&amp;RIGHT("00000"&amp;1398,5))</f>
        <v/>
      </c>
      <c r="C1403">
        <f>IF($B1403="","",COUNTIFS(LdgSellerA,$A1403,LdgKeyA,"&lt;"&amp;$B1403)+COUNTIFS(LdgSellerB,$A1403,LdgKeyB,"&lt;"&amp;$B1403)+1)</f>
        <v/>
      </c>
      <c r="D1403">
        <f>IF($C1403="","",$A1403&amp;"|"&amp;RIGHT("000000"&amp;$C1403,6))</f>
        <v/>
      </c>
      <c r="F1403">
        <f>IF(Sync!$AH1403="","",IF(LEFT(UPPER(TRIM(Sync!$AH1403)),2)="SL",UPPER(TRIM(Sync!$AH1403)),""))</f>
        <v/>
      </c>
      <c r="G1403">
        <f>IF($F1403="","",IF(Sync!$AE1403="","",IF(ISNUMBER(Sync!$AE1403),IF(AND(Sync!$AE1403&gt;=10000101,Sync!$AE1403&lt;=99991231),INT(Sync!$AE1403/10000),""),IFERROR(VALUE(TRIM(LEFT(Sync!$AE1403,FIND("/",Sync!$AE1403)-1))),""))))</f>
        <v/>
      </c>
      <c r="H1403">
        <f>IF(OR($F1403="",$G1403=""),"",IF(ISNUMBER(Sync!$AE1403),INT(MOD(Sync!$AE1403,10000)/100),IFERROR(VALUE(TRIM(LEFT(MID(Sync!$AE1403,FIND("/",Sync!$AE1403)+1,20),FIND("/",MID(Sync!$AE1403,FIND("/",Sync!$AE1403)+1,20))-1))),"")))</f>
        <v/>
      </c>
      <c r="I1403">
        <f>IF(OR($F1403="",$G1403=""),"",IF(ISNUMBER(Sync!$AE1403),MOD(Sync!$AE1403,100),IFERROR(VALUE(TRIM(MID(MID(Sync!$AE1403,FIND("/",Sync!$AE1403)+1,20),FIND("/",MID(Sync!$AE1403,FIND("/",Sync!$AE1403)+1,20))+1,20))),"")))</f>
        <v/>
      </c>
      <c r="J1403">
        <f>IF($F1403="","",IF(OR($G1403="",$H1403="",$I1403="",$G1403&lt;1300,$G1403&gt;1500,$H1403&lt;1,$H1403&gt;12,$I1403&lt;1,$I1403&gt;31),"نامعتبر",RIGHT("0000"&amp;$G1403,4)&amp;"/"&amp;RIGHT("00"&amp;$H1403,2)&amp;"/"&amp;RIGHT("00"&amp;$I1403,2)))</f>
        <v/>
      </c>
      <c r="K1403">
        <f>IF(OR($F1403="",$J1403="",$J1403="نامعتبر"),"",LEFT($J1403,4)&amp;MID($J1403,6,2)&amp;RIGHT($J1403,2)&amp;$N1403&amp;"|"&amp;"2"&amp;RIGHT("00000"&amp;1398,5))</f>
        <v/>
      </c>
      <c r="L1403">
        <f>IF($K1403="","",COUNTIFS(LdgSellerA,$F1403,LdgKeyA,"&lt;"&amp;$K1403)+COUNTIFS(LdgSellerB,$F1403,LdgKeyB,"&lt;"&amp;$K1403)+1)</f>
        <v/>
      </c>
      <c r="M1403">
        <f>IF($L1403="","",$F1403&amp;"|"&amp;RIGHT("000000"&amp;$L1403,6))</f>
        <v/>
      </c>
      <c r="N1403">
        <f>IF($F1403="","",IF(Sync!$AF1403="","0000",IF(AND(ISNUMBER(Sync!$AF1403),Sync!$AF1403&gt;=0,Sync!$AF1403&lt;1),RIGHT("00"&amp;HOUR(Sync!$AF1403),2)&amp;RIGHT("00"&amp;MINUTE(Sync!$AF1403),2),IFERROR(RIGHT("00"&amp;VALUE(LEFT(Sync!$AF1403,FIND(":",Sync!$AF1403)-1)),2)&amp;RIGHT("00"&amp;VALUE(MID(Sync!$AF1403,FIND(":",Sync!$AF1403)+1,2)),2),"0000"))))</f>
        <v/>
      </c>
    </row>
    <row r="1404">
      <c r="A1404">
        <f>IF(OR(Calc!$E1408="",Calc!$E1408="نامعتبر",Calc!$G1408=""),"",Calc!$G1408)</f>
        <v/>
      </c>
      <c r="B1404">
        <f>IF($A1404="","",LEFT(Calc!$E1408,4)&amp;MID(Calc!$E1408,6,2)&amp;RIGHT(Calc!$E1408,2)&amp;Calc!$Q1408&amp;"|"&amp;"1"&amp;RIGHT("00000"&amp;1399,5))</f>
        <v/>
      </c>
      <c r="C1404">
        <f>IF($B1404="","",COUNTIFS(LdgSellerA,$A1404,LdgKeyA,"&lt;"&amp;$B1404)+COUNTIFS(LdgSellerB,$A1404,LdgKeyB,"&lt;"&amp;$B1404)+1)</f>
        <v/>
      </c>
      <c r="D1404">
        <f>IF($C1404="","",$A1404&amp;"|"&amp;RIGHT("000000"&amp;$C1404,6))</f>
        <v/>
      </c>
      <c r="F1404">
        <f>IF(Sync!$AH1404="","",IF(LEFT(UPPER(TRIM(Sync!$AH1404)),2)="SL",UPPER(TRIM(Sync!$AH1404)),""))</f>
        <v/>
      </c>
      <c r="G1404">
        <f>IF($F1404="","",IF(Sync!$AE1404="","",IF(ISNUMBER(Sync!$AE1404),IF(AND(Sync!$AE1404&gt;=10000101,Sync!$AE1404&lt;=99991231),INT(Sync!$AE1404/10000),""),IFERROR(VALUE(TRIM(LEFT(Sync!$AE1404,FIND("/",Sync!$AE1404)-1))),""))))</f>
        <v/>
      </c>
      <c r="H1404">
        <f>IF(OR($F1404="",$G1404=""),"",IF(ISNUMBER(Sync!$AE1404),INT(MOD(Sync!$AE1404,10000)/100),IFERROR(VALUE(TRIM(LEFT(MID(Sync!$AE1404,FIND("/",Sync!$AE1404)+1,20),FIND("/",MID(Sync!$AE1404,FIND("/",Sync!$AE1404)+1,20))-1))),"")))</f>
        <v/>
      </c>
      <c r="I1404">
        <f>IF(OR($F1404="",$G1404=""),"",IF(ISNUMBER(Sync!$AE1404),MOD(Sync!$AE1404,100),IFERROR(VALUE(TRIM(MID(MID(Sync!$AE1404,FIND("/",Sync!$AE1404)+1,20),FIND("/",MID(Sync!$AE1404,FIND("/",Sync!$AE1404)+1,20))+1,20))),"")))</f>
        <v/>
      </c>
      <c r="J1404">
        <f>IF($F1404="","",IF(OR($G1404="",$H1404="",$I1404="",$G1404&lt;1300,$G1404&gt;1500,$H1404&lt;1,$H1404&gt;12,$I1404&lt;1,$I1404&gt;31),"نامعتبر",RIGHT("0000"&amp;$G1404,4)&amp;"/"&amp;RIGHT("00"&amp;$H1404,2)&amp;"/"&amp;RIGHT("00"&amp;$I1404,2)))</f>
        <v/>
      </c>
      <c r="K1404">
        <f>IF(OR($F1404="",$J1404="",$J1404="نامعتبر"),"",LEFT($J1404,4)&amp;MID($J1404,6,2)&amp;RIGHT($J1404,2)&amp;$N1404&amp;"|"&amp;"2"&amp;RIGHT("00000"&amp;1399,5))</f>
        <v/>
      </c>
      <c r="L1404">
        <f>IF($K1404="","",COUNTIFS(LdgSellerA,$F1404,LdgKeyA,"&lt;"&amp;$K1404)+COUNTIFS(LdgSellerB,$F1404,LdgKeyB,"&lt;"&amp;$K1404)+1)</f>
        <v/>
      </c>
      <c r="M1404">
        <f>IF($L1404="","",$F1404&amp;"|"&amp;RIGHT("000000"&amp;$L1404,6))</f>
        <v/>
      </c>
      <c r="N1404">
        <f>IF($F1404="","",IF(Sync!$AF1404="","0000",IF(AND(ISNUMBER(Sync!$AF1404),Sync!$AF1404&gt;=0,Sync!$AF1404&lt;1),RIGHT("00"&amp;HOUR(Sync!$AF1404),2)&amp;RIGHT("00"&amp;MINUTE(Sync!$AF1404),2),IFERROR(RIGHT("00"&amp;VALUE(LEFT(Sync!$AF1404,FIND(":",Sync!$AF1404)-1)),2)&amp;RIGHT("00"&amp;VALUE(MID(Sync!$AF1404,FIND(":",Sync!$AF1404)+1,2)),2),"0000"))))</f>
        <v/>
      </c>
    </row>
    <row r="1405">
      <c r="A1405">
        <f>IF(OR(Calc!$E1409="",Calc!$E1409="نامعتبر",Calc!$G1409=""),"",Calc!$G1409)</f>
        <v/>
      </c>
      <c r="B1405">
        <f>IF($A1405="","",LEFT(Calc!$E1409,4)&amp;MID(Calc!$E1409,6,2)&amp;RIGHT(Calc!$E1409,2)&amp;Calc!$Q1409&amp;"|"&amp;"1"&amp;RIGHT("00000"&amp;1400,5))</f>
        <v/>
      </c>
      <c r="C1405">
        <f>IF($B1405="","",COUNTIFS(LdgSellerA,$A1405,LdgKeyA,"&lt;"&amp;$B1405)+COUNTIFS(LdgSellerB,$A1405,LdgKeyB,"&lt;"&amp;$B1405)+1)</f>
        <v/>
      </c>
      <c r="D1405">
        <f>IF($C1405="","",$A1405&amp;"|"&amp;RIGHT("000000"&amp;$C1405,6))</f>
        <v/>
      </c>
      <c r="F1405">
        <f>IF(Sync!$AH1405="","",IF(LEFT(UPPER(TRIM(Sync!$AH1405)),2)="SL",UPPER(TRIM(Sync!$AH1405)),""))</f>
        <v/>
      </c>
      <c r="G1405">
        <f>IF($F1405="","",IF(Sync!$AE1405="","",IF(ISNUMBER(Sync!$AE1405),IF(AND(Sync!$AE1405&gt;=10000101,Sync!$AE1405&lt;=99991231),INT(Sync!$AE1405/10000),""),IFERROR(VALUE(TRIM(LEFT(Sync!$AE1405,FIND("/",Sync!$AE1405)-1))),""))))</f>
        <v/>
      </c>
      <c r="H1405">
        <f>IF(OR($F1405="",$G1405=""),"",IF(ISNUMBER(Sync!$AE1405),INT(MOD(Sync!$AE1405,10000)/100),IFERROR(VALUE(TRIM(LEFT(MID(Sync!$AE1405,FIND("/",Sync!$AE1405)+1,20),FIND("/",MID(Sync!$AE1405,FIND("/",Sync!$AE1405)+1,20))-1))),"")))</f>
        <v/>
      </c>
      <c r="I1405">
        <f>IF(OR($F1405="",$G1405=""),"",IF(ISNUMBER(Sync!$AE1405),MOD(Sync!$AE1405,100),IFERROR(VALUE(TRIM(MID(MID(Sync!$AE1405,FIND("/",Sync!$AE1405)+1,20),FIND("/",MID(Sync!$AE1405,FIND("/",Sync!$AE1405)+1,20))+1,20))),"")))</f>
        <v/>
      </c>
      <c r="J1405">
        <f>IF($F1405="","",IF(OR($G1405="",$H1405="",$I1405="",$G1405&lt;1300,$G1405&gt;1500,$H1405&lt;1,$H1405&gt;12,$I1405&lt;1,$I1405&gt;31),"نامعتبر",RIGHT("0000"&amp;$G1405,4)&amp;"/"&amp;RIGHT("00"&amp;$H1405,2)&amp;"/"&amp;RIGHT("00"&amp;$I1405,2)))</f>
        <v/>
      </c>
      <c r="K1405">
        <f>IF(OR($F1405="",$J1405="",$J1405="نامعتبر"),"",LEFT($J1405,4)&amp;MID($J1405,6,2)&amp;RIGHT($J1405,2)&amp;$N1405&amp;"|"&amp;"2"&amp;RIGHT("00000"&amp;1400,5))</f>
        <v/>
      </c>
      <c r="L1405">
        <f>IF($K1405="","",COUNTIFS(LdgSellerA,$F1405,LdgKeyA,"&lt;"&amp;$K1405)+COUNTIFS(LdgSellerB,$F1405,LdgKeyB,"&lt;"&amp;$K1405)+1)</f>
        <v/>
      </c>
      <c r="M1405">
        <f>IF($L1405="","",$F1405&amp;"|"&amp;RIGHT("000000"&amp;$L1405,6))</f>
        <v/>
      </c>
      <c r="N1405">
        <f>IF($F1405="","",IF(Sync!$AF1405="","0000",IF(AND(ISNUMBER(Sync!$AF1405),Sync!$AF1405&gt;=0,Sync!$AF1405&lt;1),RIGHT("00"&amp;HOUR(Sync!$AF1405),2)&amp;RIGHT("00"&amp;MINUTE(Sync!$AF1405),2),IFERROR(RIGHT("00"&amp;VALUE(LEFT(Sync!$AF1405,FIND(":",Sync!$AF1405)-1)),2)&amp;RIGHT("00"&amp;VALUE(MID(Sync!$AF1405,FIND(":",Sync!$AF1405)+1,2)),2),"0000"))))</f>
        <v/>
      </c>
    </row>
    <row r="1406">
      <c r="A1406">
        <f>IF(OR(Calc!$E1410="",Calc!$E1410="نامعتبر",Calc!$G1410=""),"",Calc!$G1410)</f>
        <v/>
      </c>
      <c r="B1406">
        <f>IF($A1406="","",LEFT(Calc!$E1410,4)&amp;MID(Calc!$E1410,6,2)&amp;RIGHT(Calc!$E1410,2)&amp;Calc!$Q1410&amp;"|"&amp;"1"&amp;RIGHT("00000"&amp;1401,5))</f>
        <v/>
      </c>
      <c r="C1406">
        <f>IF($B1406="","",COUNTIFS(LdgSellerA,$A1406,LdgKeyA,"&lt;"&amp;$B1406)+COUNTIFS(LdgSellerB,$A1406,LdgKeyB,"&lt;"&amp;$B1406)+1)</f>
        <v/>
      </c>
      <c r="D1406">
        <f>IF($C1406="","",$A1406&amp;"|"&amp;RIGHT("000000"&amp;$C1406,6))</f>
        <v/>
      </c>
      <c r="F1406">
        <f>IF(Sync!$AH1406="","",IF(LEFT(UPPER(TRIM(Sync!$AH1406)),2)="SL",UPPER(TRIM(Sync!$AH1406)),""))</f>
        <v/>
      </c>
      <c r="G1406">
        <f>IF($F1406="","",IF(Sync!$AE1406="","",IF(ISNUMBER(Sync!$AE1406),IF(AND(Sync!$AE1406&gt;=10000101,Sync!$AE1406&lt;=99991231),INT(Sync!$AE1406/10000),""),IFERROR(VALUE(TRIM(LEFT(Sync!$AE1406,FIND("/",Sync!$AE1406)-1))),""))))</f>
        <v/>
      </c>
      <c r="H1406">
        <f>IF(OR($F1406="",$G1406=""),"",IF(ISNUMBER(Sync!$AE1406),INT(MOD(Sync!$AE1406,10000)/100),IFERROR(VALUE(TRIM(LEFT(MID(Sync!$AE1406,FIND("/",Sync!$AE1406)+1,20),FIND("/",MID(Sync!$AE1406,FIND("/",Sync!$AE1406)+1,20))-1))),"")))</f>
        <v/>
      </c>
      <c r="I1406">
        <f>IF(OR($F1406="",$G1406=""),"",IF(ISNUMBER(Sync!$AE1406),MOD(Sync!$AE1406,100),IFERROR(VALUE(TRIM(MID(MID(Sync!$AE1406,FIND("/",Sync!$AE1406)+1,20),FIND("/",MID(Sync!$AE1406,FIND("/",Sync!$AE1406)+1,20))+1,20))),"")))</f>
        <v/>
      </c>
      <c r="J1406">
        <f>IF($F1406="","",IF(OR($G1406="",$H1406="",$I1406="",$G1406&lt;1300,$G1406&gt;1500,$H1406&lt;1,$H1406&gt;12,$I1406&lt;1,$I1406&gt;31),"نامعتبر",RIGHT("0000"&amp;$G1406,4)&amp;"/"&amp;RIGHT("00"&amp;$H1406,2)&amp;"/"&amp;RIGHT("00"&amp;$I1406,2)))</f>
        <v/>
      </c>
      <c r="K1406">
        <f>IF(OR($F1406="",$J1406="",$J1406="نامعتبر"),"",LEFT($J1406,4)&amp;MID($J1406,6,2)&amp;RIGHT($J1406,2)&amp;$N1406&amp;"|"&amp;"2"&amp;RIGHT("00000"&amp;1401,5))</f>
        <v/>
      </c>
      <c r="L1406">
        <f>IF($K1406="","",COUNTIFS(LdgSellerA,$F1406,LdgKeyA,"&lt;"&amp;$K1406)+COUNTIFS(LdgSellerB,$F1406,LdgKeyB,"&lt;"&amp;$K1406)+1)</f>
        <v/>
      </c>
      <c r="M1406">
        <f>IF($L1406="","",$F1406&amp;"|"&amp;RIGHT("000000"&amp;$L1406,6))</f>
        <v/>
      </c>
      <c r="N1406">
        <f>IF($F1406="","",IF(Sync!$AF1406="","0000",IF(AND(ISNUMBER(Sync!$AF1406),Sync!$AF1406&gt;=0,Sync!$AF1406&lt;1),RIGHT("00"&amp;HOUR(Sync!$AF1406),2)&amp;RIGHT("00"&amp;MINUTE(Sync!$AF1406),2),IFERROR(RIGHT("00"&amp;VALUE(LEFT(Sync!$AF1406,FIND(":",Sync!$AF1406)-1)),2)&amp;RIGHT("00"&amp;VALUE(MID(Sync!$AF1406,FIND(":",Sync!$AF1406)+1,2)),2),"0000"))))</f>
        <v/>
      </c>
    </row>
    <row r="1407">
      <c r="A1407">
        <f>IF(OR(Calc!$E1411="",Calc!$E1411="نامعتبر",Calc!$G1411=""),"",Calc!$G1411)</f>
        <v/>
      </c>
      <c r="B1407">
        <f>IF($A1407="","",LEFT(Calc!$E1411,4)&amp;MID(Calc!$E1411,6,2)&amp;RIGHT(Calc!$E1411,2)&amp;Calc!$Q1411&amp;"|"&amp;"1"&amp;RIGHT("00000"&amp;1402,5))</f>
        <v/>
      </c>
      <c r="C1407">
        <f>IF($B1407="","",COUNTIFS(LdgSellerA,$A1407,LdgKeyA,"&lt;"&amp;$B1407)+COUNTIFS(LdgSellerB,$A1407,LdgKeyB,"&lt;"&amp;$B1407)+1)</f>
        <v/>
      </c>
      <c r="D1407">
        <f>IF($C1407="","",$A1407&amp;"|"&amp;RIGHT("000000"&amp;$C1407,6))</f>
        <v/>
      </c>
      <c r="F1407">
        <f>IF(Sync!$AH1407="","",IF(LEFT(UPPER(TRIM(Sync!$AH1407)),2)="SL",UPPER(TRIM(Sync!$AH1407)),""))</f>
        <v/>
      </c>
      <c r="G1407">
        <f>IF($F1407="","",IF(Sync!$AE1407="","",IF(ISNUMBER(Sync!$AE1407),IF(AND(Sync!$AE1407&gt;=10000101,Sync!$AE1407&lt;=99991231),INT(Sync!$AE1407/10000),""),IFERROR(VALUE(TRIM(LEFT(Sync!$AE1407,FIND("/",Sync!$AE1407)-1))),""))))</f>
        <v/>
      </c>
      <c r="H1407">
        <f>IF(OR($F1407="",$G1407=""),"",IF(ISNUMBER(Sync!$AE1407),INT(MOD(Sync!$AE1407,10000)/100),IFERROR(VALUE(TRIM(LEFT(MID(Sync!$AE1407,FIND("/",Sync!$AE1407)+1,20),FIND("/",MID(Sync!$AE1407,FIND("/",Sync!$AE1407)+1,20))-1))),"")))</f>
        <v/>
      </c>
      <c r="I1407">
        <f>IF(OR($F1407="",$G1407=""),"",IF(ISNUMBER(Sync!$AE1407),MOD(Sync!$AE1407,100),IFERROR(VALUE(TRIM(MID(MID(Sync!$AE1407,FIND("/",Sync!$AE1407)+1,20),FIND("/",MID(Sync!$AE1407,FIND("/",Sync!$AE1407)+1,20))+1,20))),"")))</f>
        <v/>
      </c>
      <c r="J1407">
        <f>IF($F1407="","",IF(OR($G1407="",$H1407="",$I1407="",$G1407&lt;1300,$G1407&gt;1500,$H1407&lt;1,$H1407&gt;12,$I1407&lt;1,$I1407&gt;31),"نامعتبر",RIGHT("0000"&amp;$G1407,4)&amp;"/"&amp;RIGHT("00"&amp;$H1407,2)&amp;"/"&amp;RIGHT("00"&amp;$I1407,2)))</f>
        <v/>
      </c>
      <c r="K1407">
        <f>IF(OR($F1407="",$J1407="",$J1407="نامعتبر"),"",LEFT($J1407,4)&amp;MID($J1407,6,2)&amp;RIGHT($J1407,2)&amp;$N1407&amp;"|"&amp;"2"&amp;RIGHT("00000"&amp;1402,5))</f>
        <v/>
      </c>
      <c r="L1407">
        <f>IF($K1407="","",COUNTIFS(LdgSellerA,$F1407,LdgKeyA,"&lt;"&amp;$K1407)+COUNTIFS(LdgSellerB,$F1407,LdgKeyB,"&lt;"&amp;$K1407)+1)</f>
        <v/>
      </c>
      <c r="M1407">
        <f>IF($L1407="","",$F1407&amp;"|"&amp;RIGHT("000000"&amp;$L1407,6))</f>
        <v/>
      </c>
      <c r="N1407">
        <f>IF($F1407="","",IF(Sync!$AF1407="","0000",IF(AND(ISNUMBER(Sync!$AF1407),Sync!$AF1407&gt;=0,Sync!$AF1407&lt;1),RIGHT("00"&amp;HOUR(Sync!$AF1407),2)&amp;RIGHT("00"&amp;MINUTE(Sync!$AF1407),2),IFERROR(RIGHT("00"&amp;VALUE(LEFT(Sync!$AF1407,FIND(":",Sync!$AF1407)-1)),2)&amp;RIGHT("00"&amp;VALUE(MID(Sync!$AF1407,FIND(":",Sync!$AF1407)+1,2)),2),"0000"))))</f>
        <v/>
      </c>
    </row>
    <row r="1408">
      <c r="A1408">
        <f>IF(OR(Calc!$E1412="",Calc!$E1412="نامعتبر",Calc!$G1412=""),"",Calc!$G1412)</f>
        <v/>
      </c>
      <c r="B1408">
        <f>IF($A1408="","",LEFT(Calc!$E1412,4)&amp;MID(Calc!$E1412,6,2)&amp;RIGHT(Calc!$E1412,2)&amp;Calc!$Q1412&amp;"|"&amp;"1"&amp;RIGHT("00000"&amp;1403,5))</f>
        <v/>
      </c>
      <c r="C1408">
        <f>IF($B1408="","",COUNTIFS(LdgSellerA,$A1408,LdgKeyA,"&lt;"&amp;$B1408)+COUNTIFS(LdgSellerB,$A1408,LdgKeyB,"&lt;"&amp;$B1408)+1)</f>
        <v/>
      </c>
      <c r="D1408">
        <f>IF($C1408="","",$A1408&amp;"|"&amp;RIGHT("000000"&amp;$C1408,6))</f>
        <v/>
      </c>
      <c r="F1408">
        <f>IF(Sync!$AH1408="","",IF(LEFT(UPPER(TRIM(Sync!$AH1408)),2)="SL",UPPER(TRIM(Sync!$AH1408)),""))</f>
        <v/>
      </c>
      <c r="G1408">
        <f>IF($F1408="","",IF(Sync!$AE1408="","",IF(ISNUMBER(Sync!$AE1408),IF(AND(Sync!$AE1408&gt;=10000101,Sync!$AE1408&lt;=99991231),INT(Sync!$AE1408/10000),""),IFERROR(VALUE(TRIM(LEFT(Sync!$AE1408,FIND("/",Sync!$AE1408)-1))),""))))</f>
        <v/>
      </c>
      <c r="H1408">
        <f>IF(OR($F1408="",$G1408=""),"",IF(ISNUMBER(Sync!$AE1408),INT(MOD(Sync!$AE1408,10000)/100),IFERROR(VALUE(TRIM(LEFT(MID(Sync!$AE1408,FIND("/",Sync!$AE1408)+1,20),FIND("/",MID(Sync!$AE1408,FIND("/",Sync!$AE1408)+1,20))-1))),"")))</f>
        <v/>
      </c>
      <c r="I1408">
        <f>IF(OR($F1408="",$G1408=""),"",IF(ISNUMBER(Sync!$AE1408),MOD(Sync!$AE1408,100),IFERROR(VALUE(TRIM(MID(MID(Sync!$AE1408,FIND("/",Sync!$AE1408)+1,20),FIND("/",MID(Sync!$AE1408,FIND("/",Sync!$AE1408)+1,20))+1,20))),"")))</f>
        <v/>
      </c>
      <c r="J1408">
        <f>IF($F1408="","",IF(OR($G1408="",$H1408="",$I1408="",$G1408&lt;1300,$G1408&gt;1500,$H1408&lt;1,$H1408&gt;12,$I1408&lt;1,$I1408&gt;31),"نامعتبر",RIGHT("0000"&amp;$G1408,4)&amp;"/"&amp;RIGHT("00"&amp;$H1408,2)&amp;"/"&amp;RIGHT("00"&amp;$I1408,2)))</f>
        <v/>
      </c>
      <c r="K1408">
        <f>IF(OR($F1408="",$J1408="",$J1408="نامعتبر"),"",LEFT($J1408,4)&amp;MID($J1408,6,2)&amp;RIGHT($J1408,2)&amp;$N1408&amp;"|"&amp;"2"&amp;RIGHT("00000"&amp;1403,5))</f>
        <v/>
      </c>
      <c r="L1408">
        <f>IF($K1408="","",COUNTIFS(LdgSellerA,$F1408,LdgKeyA,"&lt;"&amp;$K1408)+COUNTIFS(LdgSellerB,$F1408,LdgKeyB,"&lt;"&amp;$K1408)+1)</f>
        <v/>
      </c>
      <c r="M1408">
        <f>IF($L1408="","",$F1408&amp;"|"&amp;RIGHT("000000"&amp;$L1408,6))</f>
        <v/>
      </c>
      <c r="N1408">
        <f>IF($F1408="","",IF(Sync!$AF1408="","0000",IF(AND(ISNUMBER(Sync!$AF1408),Sync!$AF1408&gt;=0,Sync!$AF1408&lt;1),RIGHT("00"&amp;HOUR(Sync!$AF1408),2)&amp;RIGHT("00"&amp;MINUTE(Sync!$AF1408),2),IFERROR(RIGHT("00"&amp;VALUE(LEFT(Sync!$AF1408,FIND(":",Sync!$AF1408)-1)),2)&amp;RIGHT("00"&amp;VALUE(MID(Sync!$AF1408,FIND(":",Sync!$AF1408)+1,2)),2),"0000"))))</f>
        <v/>
      </c>
    </row>
    <row r="1409">
      <c r="A1409">
        <f>IF(OR(Calc!$E1413="",Calc!$E1413="نامعتبر",Calc!$G1413=""),"",Calc!$G1413)</f>
        <v/>
      </c>
      <c r="B1409">
        <f>IF($A1409="","",LEFT(Calc!$E1413,4)&amp;MID(Calc!$E1413,6,2)&amp;RIGHT(Calc!$E1413,2)&amp;Calc!$Q1413&amp;"|"&amp;"1"&amp;RIGHT("00000"&amp;1404,5))</f>
        <v/>
      </c>
      <c r="C1409">
        <f>IF($B1409="","",COUNTIFS(LdgSellerA,$A1409,LdgKeyA,"&lt;"&amp;$B1409)+COUNTIFS(LdgSellerB,$A1409,LdgKeyB,"&lt;"&amp;$B1409)+1)</f>
        <v/>
      </c>
      <c r="D1409">
        <f>IF($C1409="","",$A1409&amp;"|"&amp;RIGHT("000000"&amp;$C1409,6))</f>
        <v/>
      </c>
      <c r="F1409">
        <f>IF(Sync!$AH1409="","",IF(LEFT(UPPER(TRIM(Sync!$AH1409)),2)="SL",UPPER(TRIM(Sync!$AH1409)),""))</f>
        <v/>
      </c>
      <c r="G1409">
        <f>IF($F1409="","",IF(Sync!$AE1409="","",IF(ISNUMBER(Sync!$AE1409),IF(AND(Sync!$AE1409&gt;=10000101,Sync!$AE1409&lt;=99991231),INT(Sync!$AE1409/10000),""),IFERROR(VALUE(TRIM(LEFT(Sync!$AE1409,FIND("/",Sync!$AE1409)-1))),""))))</f>
        <v/>
      </c>
      <c r="H1409">
        <f>IF(OR($F1409="",$G1409=""),"",IF(ISNUMBER(Sync!$AE1409),INT(MOD(Sync!$AE1409,10000)/100),IFERROR(VALUE(TRIM(LEFT(MID(Sync!$AE1409,FIND("/",Sync!$AE1409)+1,20),FIND("/",MID(Sync!$AE1409,FIND("/",Sync!$AE1409)+1,20))-1))),"")))</f>
        <v/>
      </c>
      <c r="I1409">
        <f>IF(OR($F1409="",$G1409=""),"",IF(ISNUMBER(Sync!$AE1409),MOD(Sync!$AE1409,100),IFERROR(VALUE(TRIM(MID(MID(Sync!$AE1409,FIND("/",Sync!$AE1409)+1,20),FIND("/",MID(Sync!$AE1409,FIND("/",Sync!$AE1409)+1,20))+1,20))),"")))</f>
        <v/>
      </c>
      <c r="J1409">
        <f>IF($F1409="","",IF(OR($G1409="",$H1409="",$I1409="",$G1409&lt;1300,$G1409&gt;1500,$H1409&lt;1,$H1409&gt;12,$I1409&lt;1,$I1409&gt;31),"نامعتبر",RIGHT("0000"&amp;$G1409,4)&amp;"/"&amp;RIGHT("00"&amp;$H1409,2)&amp;"/"&amp;RIGHT("00"&amp;$I1409,2)))</f>
        <v/>
      </c>
      <c r="K1409">
        <f>IF(OR($F1409="",$J1409="",$J1409="نامعتبر"),"",LEFT($J1409,4)&amp;MID($J1409,6,2)&amp;RIGHT($J1409,2)&amp;$N1409&amp;"|"&amp;"2"&amp;RIGHT("00000"&amp;1404,5))</f>
        <v/>
      </c>
      <c r="L1409">
        <f>IF($K1409="","",COUNTIFS(LdgSellerA,$F1409,LdgKeyA,"&lt;"&amp;$K1409)+COUNTIFS(LdgSellerB,$F1409,LdgKeyB,"&lt;"&amp;$K1409)+1)</f>
        <v/>
      </c>
      <c r="M1409">
        <f>IF($L1409="","",$F1409&amp;"|"&amp;RIGHT("000000"&amp;$L1409,6))</f>
        <v/>
      </c>
      <c r="N1409">
        <f>IF($F1409="","",IF(Sync!$AF1409="","0000",IF(AND(ISNUMBER(Sync!$AF1409),Sync!$AF1409&gt;=0,Sync!$AF1409&lt;1),RIGHT("00"&amp;HOUR(Sync!$AF1409),2)&amp;RIGHT("00"&amp;MINUTE(Sync!$AF1409),2),IFERROR(RIGHT("00"&amp;VALUE(LEFT(Sync!$AF1409,FIND(":",Sync!$AF1409)-1)),2)&amp;RIGHT("00"&amp;VALUE(MID(Sync!$AF1409,FIND(":",Sync!$AF1409)+1,2)),2),"0000"))))</f>
        <v/>
      </c>
    </row>
    <row r="1410">
      <c r="A1410">
        <f>IF(OR(Calc!$E1414="",Calc!$E1414="نامعتبر",Calc!$G1414=""),"",Calc!$G1414)</f>
        <v/>
      </c>
      <c r="B1410">
        <f>IF($A1410="","",LEFT(Calc!$E1414,4)&amp;MID(Calc!$E1414,6,2)&amp;RIGHT(Calc!$E1414,2)&amp;Calc!$Q1414&amp;"|"&amp;"1"&amp;RIGHT("00000"&amp;1405,5))</f>
        <v/>
      </c>
      <c r="C1410">
        <f>IF($B1410="","",COUNTIFS(LdgSellerA,$A1410,LdgKeyA,"&lt;"&amp;$B1410)+COUNTIFS(LdgSellerB,$A1410,LdgKeyB,"&lt;"&amp;$B1410)+1)</f>
        <v/>
      </c>
      <c r="D1410">
        <f>IF($C1410="","",$A1410&amp;"|"&amp;RIGHT("000000"&amp;$C1410,6))</f>
        <v/>
      </c>
      <c r="F1410">
        <f>IF(Sync!$AH1410="","",IF(LEFT(UPPER(TRIM(Sync!$AH1410)),2)="SL",UPPER(TRIM(Sync!$AH1410)),""))</f>
        <v/>
      </c>
      <c r="G1410">
        <f>IF($F1410="","",IF(Sync!$AE1410="","",IF(ISNUMBER(Sync!$AE1410),IF(AND(Sync!$AE1410&gt;=10000101,Sync!$AE1410&lt;=99991231),INT(Sync!$AE1410/10000),""),IFERROR(VALUE(TRIM(LEFT(Sync!$AE1410,FIND("/",Sync!$AE1410)-1))),""))))</f>
        <v/>
      </c>
      <c r="H1410">
        <f>IF(OR($F1410="",$G1410=""),"",IF(ISNUMBER(Sync!$AE1410),INT(MOD(Sync!$AE1410,10000)/100),IFERROR(VALUE(TRIM(LEFT(MID(Sync!$AE1410,FIND("/",Sync!$AE1410)+1,20),FIND("/",MID(Sync!$AE1410,FIND("/",Sync!$AE1410)+1,20))-1))),"")))</f>
        <v/>
      </c>
      <c r="I1410">
        <f>IF(OR($F1410="",$G1410=""),"",IF(ISNUMBER(Sync!$AE1410),MOD(Sync!$AE1410,100),IFERROR(VALUE(TRIM(MID(MID(Sync!$AE1410,FIND("/",Sync!$AE1410)+1,20),FIND("/",MID(Sync!$AE1410,FIND("/",Sync!$AE1410)+1,20))+1,20))),"")))</f>
        <v/>
      </c>
      <c r="J1410">
        <f>IF($F1410="","",IF(OR($G1410="",$H1410="",$I1410="",$G1410&lt;1300,$G1410&gt;1500,$H1410&lt;1,$H1410&gt;12,$I1410&lt;1,$I1410&gt;31),"نامعتبر",RIGHT("0000"&amp;$G1410,4)&amp;"/"&amp;RIGHT("00"&amp;$H1410,2)&amp;"/"&amp;RIGHT("00"&amp;$I1410,2)))</f>
        <v/>
      </c>
      <c r="K1410">
        <f>IF(OR($F1410="",$J1410="",$J1410="نامعتبر"),"",LEFT($J1410,4)&amp;MID($J1410,6,2)&amp;RIGHT($J1410,2)&amp;$N1410&amp;"|"&amp;"2"&amp;RIGHT("00000"&amp;1405,5))</f>
        <v/>
      </c>
      <c r="L1410">
        <f>IF($K1410="","",COUNTIFS(LdgSellerA,$F1410,LdgKeyA,"&lt;"&amp;$K1410)+COUNTIFS(LdgSellerB,$F1410,LdgKeyB,"&lt;"&amp;$K1410)+1)</f>
        <v/>
      </c>
      <c r="M1410">
        <f>IF($L1410="","",$F1410&amp;"|"&amp;RIGHT("000000"&amp;$L1410,6))</f>
        <v/>
      </c>
      <c r="N1410">
        <f>IF($F1410="","",IF(Sync!$AF1410="","0000",IF(AND(ISNUMBER(Sync!$AF1410),Sync!$AF1410&gt;=0,Sync!$AF1410&lt;1),RIGHT("00"&amp;HOUR(Sync!$AF1410),2)&amp;RIGHT("00"&amp;MINUTE(Sync!$AF1410),2),IFERROR(RIGHT("00"&amp;VALUE(LEFT(Sync!$AF1410,FIND(":",Sync!$AF1410)-1)),2)&amp;RIGHT("00"&amp;VALUE(MID(Sync!$AF1410,FIND(":",Sync!$AF1410)+1,2)),2),"0000"))))</f>
        <v/>
      </c>
    </row>
    <row r="1411">
      <c r="A1411">
        <f>IF(OR(Calc!$E1415="",Calc!$E1415="نامعتبر",Calc!$G1415=""),"",Calc!$G1415)</f>
        <v/>
      </c>
      <c r="B1411">
        <f>IF($A1411="","",LEFT(Calc!$E1415,4)&amp;MID(Calc!$E1415,6,2)&amp;RIGHT(Calc!$E1415,2)&amp;Calc!$Q1415&amp;"|"&amp;"1"&amp;RIGHT("00000"&amp;1406,5))</f>
        <v/>
      </c>
      <c r="C1411">
        <f>IF($B1411="","",COUNTIFS(LdgSellerA,$A1411,LdgKeyA,"&lt;"&amp;$B1411)+COUNTIFS(LdgSellerB,$A1411,LdgKeyB,"&lt;"&amp;$B1411)+1)</f>
        <v/>
      </c>
      <c r="D1411">
        <f>IF($C1411="","",$A1411&amp;"|"&amp;RIGHT("000000"&amp;$C1411,6))</f>
        <v/>
      </c>
      <c r="F1411">
        <f>IF(Sync!$AH1411="","",IF(LEFT(UPPER(TRIM(Sync!$AH1411)),2)="SL",UPPER(TRIM(Sync!$AH1411)),""))</f>
        <v/>
      </c>
      <c r="G1411">
        <f>IF($F1411="","",IF(Sync!$AE1411="","",IF(ISNUMBER(Sync!$AE1411),IF(AND(Sync!$AE1411&gt;=10000101,Sync!$AE1411&lt;=99991231),INT(Sync!$AE1411/10000),""),IFERROR(VALUE(TRIM(LEFT(Sync!$AE1411,FIND("/",Sync!$AE1411)-1))),""))))</f>
        <v/>
      </c>
      <c r="H1411">
        <f>IF(OR($F1411="",$G1411=""),"",IF(ISNUMBER(Sync!$AE1411),INT(MOD(Sync!$AE1411,10000)/100),IFERROR(VALUE(TRIM(LEFT(MID(Sync!$AE1411,FIND("/",Sync!$AE1411)+1,20),FIND("/",MID(Sync!$AE1411,FIND("/",Sync!$AE1411)+1,20))-1))),"")))</f>
        <v/>
      </c>
      <c r="I1411">
        <f>IF(OR($F1411="",$G1411=""),"",IF(ISNUMBER(Sync!$AE1411),MOD(Sync!$AE1411,100),IFERROR(VALUE(TRIM(MID(MID(Sync!$AE1411,FIND("/",Sync!$AE1411)+1,20),FIND("/",MID(Sync!$AE1411,FIND("/",Sync!$AE1411)+1,20))+1,20))),"")))</f>
        <v/>
      </c>
      <c r="J1411">
        <f>IF($F1411="","",IF(OR($G1411="",$H1411="",$I1411="",$G1411&lt;1300,$G1411&gt;1500,$H1411&lt;1,$H1411&gt;12,$I1411&lt;1,$I1411&gt;31),"نامعتبر",RIGHT("0000"&amp;$G1411,4)&amp;"/"&amp;RIGHT("00"&amp;$H1411,2)&amp;"/"&amp;RIGHT("00"&amp;$I1411,2)))</f>
        <v/>
      </c>
      <c r="K1411">
        <f>IF(OR($F1411="",$J1411="",$J1411="نامعتبر"),"",LEFT($J1411,4)&amp;MID($J1411,6,2)&amp;RIGHT($J1411,2)&amp;$N1411&amp;"|"&amp;"2"&amp;RIGHT("00000"&amp;1406,5))</f>
        <v/>
      </c>
      <c r="L1411">
        <f>IF($K1411="","",COUNTIFS(LdgSellerA,$F1411,LdgKeyA,"&lt;"&amp;$K1411)+COUNTIFS(LdgSellerB,$F1411,LdgKeyB,"&lt;"&amp;$K1411)+1)</f>
        <v/>
      </c>
      <c r="M1411">
        <f>IF($L1411="","",$F1411&amp;"|"&amp;RIGHT("000000"&amp;$L1411,6))</f>
        <v/>
      </c>
      <c r="N1411">
        <f>IF($F1411="","",IF(Sync!$AF1411="","0000",IF(AND(ISNUMBER(Sync!$AF1411),Sync!$AF1411&gt;=0,Sync!$AF1411&lt;1),RIGHT("00"&amp;HOUR(Sync!$AF1411),2)&amp;RIGHT("00"&amp;MINUTE(Sync!$AF1411),2),IFERROR(RIGHT("00"&amp;VALUE(LEFT(Sync!$AF1411,FIND(":",Sync!$AF1411)-1)),2)&amp;RIGHT("00"&amp;VALUE(MID(Sync!$AF1411,FIND(":",Sync!$AF1411)+1,2)),2),"0000"))))</f>
        <v/>
      </c>
    </row>
    <row r="1412">
      <c r="A1412">
        <f>IF(OR(Calc!$E1416="",Calc!$E1416="نامعتبر",Calc!$G1416=""),"",Calc!$G1416)</f>
        <v/>
      </c>
      <c r="B1412">
        <f>IF($A1412="","",LEFT(Calc!$E1416,4)&amp;MID(Calc!$E1416,6,2)&amp;RIGHT(Calc!$E1416,2)&amp;Calc!$Q1416&amp;"|"&amp;"1"&amp;RIGHT("00000"&amp;1407,5))</f>
        <v/>
      </c>
      <c r="C1412">
        <f>IF($B1412="","",COUNTIFS(LdgSellerA,$A1412,LdgKeyA,"&lt;"&amp;$B1412)+COUNTIFS(LdgSellerB,$A1412,LdgKeyB,"&lt;"&amp;$B1412)+1)</f>
        <v/>
      </c>
      <c r="D1412">
        <f>IF($C1412="","",$A1412&amp;"|"&amp;RIGHT("000000"&amp;$C1412,6))</f>
        <v/>
      </c>
      <c r="F1412">
        <f>IF(Sync!$AH1412="","",IF(LEFT(UPPER(TRIM(Sync!$AH1412)),2)="SL",UPPER(TRIM(Sync!$AH1412)),""))</f>
        <v/>
      </c>
      <c r="G1412">
        <f>IF($F1412="","",IF(Sync!$AE1412="","",IF(ISNUMBER(Sync!$AE1412),IF(AND(Sync!$AE1412&gt;=10000101,Sync!$AE1412&lt;=99991231),INT(Sync!$AE1412/10000),""),IFERROR(VALUE(TRIM(LEFT(Sync!$AE1412,FIND("/",Sync!$AE1412)-1))),""))))</f>
        <v/>
      </c>
      <c r="H1412">
        <f>IF(OR($F1412="",$G1412=""),"",IF(ISNUMBER(Sync!$AE1412),INT(MOD(Sync!$AE1412,10000)/100),IFERROR(VALUE(TRIM(LEFT(MID(Sync!$AE1412,FIND("/",Sync!$AE1412)+1,20),FIND("/",MID(Sync!$AE1412,FIND("/",Sync!$AE1412)+1,20))-1))),"")))</f>
        <v/>
      </c>
      <c r="I1412">
        <f>IF(OR($F1412="",$G1412=""),"",IF(ISNUMBER(Sync!$AE1412),MOD(Sync!$AE1412,100),IFERROR(VALUE(TRIM(MID(MID(Sync!$AE1412,FIND("/",Sync!$AE1412)+1,20),FIND("/",MID(Sync!$AE1412,FIND("/",Sync!$AE1412)+1,20))+1,20))),"")))</f>
        <v/>
      </c>
      <c r="J1412">
        <f>IF($F1412="","",IF(OR($G1412="",$H1412="",$I1412="",$G1412&lt;1300,$G1412&gt;1500,$H1412&lt;1,$H1412&gt;12,$I1412&lt;1,$I1412&gt;31),"نامعتبر",RIGHT("0000"&amp;$G1412,4)&amp;"/"&amp;RIGHT("00"&amp;$H1412,2)&amp;"/"&amp;RIGHT("00"&amp;$I1412,2)))</f>
        <v/>
      </c>
      <c r="K1412">
        <f>IF(OR($F1412="",$J1412="",$J1412="نامعتبر"),"",LEFT($J1412,4)&amp;MID($J1412,6,2)&amp;RIGHT($J1412,2)&amp;$N1412&amp;"|"&amp;"2"&amp;RIGHT("00000"&amp;1407,5))</f>
        <v/>
      </c>
      <c r="L1412">
        <f>IF($K1412="","",COUNTIFS(LdgSellerA,$F1412,LdgKeyA,"&lt;"&amp;$K1412)+COUNTIFS(LdgSellerB,$F1412,LdgKeyB,"&lt;"&amp;$K1412)+1)</f>
        <v/>
      </c>
      <c r="M1412">
        <f>IF($L1412="","",$F1412&amp;"|"&amp;RIGHT("000000"&amp;$L1412,6))</f>
        <v/>
      </c>
      <c r="N1412">
        <f>IF($F1412="","",IF(Sync!$AF1412="","0000",IF(AND(ISNUMBER(Sync!$AF1412),Sync!$AF1412&gt;=0,Sync!$AF1412&lt;1),RIGHT("00"&amp;HOUR(Sync!$AF1412),2)&amp;RIGHT("00"&amp;MINUTE(Sync!$AF1412),2),IFERROR(RIGHT("00"&amp;VALUE(LEFT(Sync!$AF1412,FIND(":",Sync!$AF1412)-1)),2)&amp;RIGHT("00"&amp;VALUE(MID(Sync!$AF1412,FIND(":",Sync!$AF1412)+1,2)),2),"0000"))))</f>
        <v/>
      </c>
    </row>
    <row r="1413">
      <c r="A1413">
        <f>IF(OR(Calc!$E1417="",Calc!$E1417="نامعتبر",Calc!$G1417=""),"",Calc!$G1417)</f>
        <v/>
      </c>
      <c r="B1413">
        <f>IF($A1413="","",LEFT(Calc!$E1417,4)&amp;MID(Calc!$E1417,6,2)&amp;RIGHT(Calc!$E1417,2)&amp;Calc!$Q1417&amp;"|"&amp;"1"&amp;RIGHT("00000"&amp;1408,5))</f>
        <v/>
      </c>
      <c r="C1413">
        <f>IF($B1413="","",COUNTIFS(LdgSellerA,$A1413,LdgKeyA,"&lt;"&amp;$B1413)+COUNTIFS(LdgSellerB,$A1413,LdgKeyB,"&lt;"&amp;$B1413)+1)</f>
        <v/>
      </c>
      <c r="D1413">
        <f>IF($C1413="","",$A1413&amp;"|"&amp;RIGHT("000000"&amp;$C1413,6))</f>
        <v/>
      </c>
      <c r="F1413">
        <f>IF(Sync!$AH1413="","",IF(LEFT(UPPER(TRIM(Sync!$AH1413)),2)="SL",UPPER(TRIM(Sync!$AH1413)),""))</f>
        <v/>
      </c>
      <c r="G1413">
        <f>IF($F1413="","",IF(Sync!$AE1413="","",IF(ISNUMBER(Sync!$AE1413),IF(AND(Sync!$AE1413&gt;=10000101,Sync!$AE1413&lt;=99991231),INT(Sync!$AE1413/10000),""),IFERROR(VALUE(TRIM(LEFT(Sync!$AE1413,FIND("/",Sync!$AE1413)-1))),""))))</f>
        <v/>
      </c>
      <c r="H1413">
        <f>IF(OR($F1413="",$G1413=""),"",IF(ISNUMBER(Sync!$AE1413),INT(MOD(Sync!$AE1413,10000)/100),IFERROR(VALUE(TRIM(LEFT(MID(Sync!$AE1413,FIND("/",Sync!$AE1413)+1,20),FIND("/",MID(Sync!$AE1413,FIND("/",Sync!$AE1413)+1,20))-1))),"")))</f>
        <v/>
      </c>
      <c r="I1413">
        <f>IF(OR($F1413="",$G1413=""),"",IF(ISNUMBER(Sync!$AE1413),MOD(Sync!$AE1413,100),IFERROR(VALUE(TRIM(MID(MID(Sync!$AE1413,FIND("/",Sync!$AE1413)+1,20),FIND("/",MID(Sync!$AE1413,FIND("/",Sync!$AE1413)+1,20))+1,20))),"")))</f>
        <v/>
      </c>
      <c r="J1413">
        <f>IF($F1413="","",IF(OR($G1413="",$H1413="",$I1413="",$G1413&lt;1300,$G1413&gt;1500,$H1413&lt;1,$H1413&gt;12,$I1413&lt;1,$I1413&gt;31),"نامعتبر",RIGHT("0000"&amp;$G1413,4)&amp;"/"&amp;RIGHT("00"&amp;$H1413,2)&amp;"/"&amp;RIGHT("00"&amp;$I1413,2)))</f>
        <v/>
      </c>
      <c r="K1413">
        <f>IF(OR($F1413="",$J1413="",$J1413="نامعتبر"),"",LEFT($J1413,4)&amp;MID($J1413,6,2)&amp;RIGHT($J1413,2)&amp;$N1413&amp;"|"&amp;"2"&amp;RIGHT("00000"&amp;1408,5))</f>
        <v/>
      </c>
      <c r="L1413">
        <f>IF($K1413="","",COUNTIFS(LdgSellerA,$F1413,LdgKeyA,"&lt;"&amp;$K1413)+COUNTIFS(LdgSellerB,$F1413,LdgKeyB,"&lt;"&amp;$K1413)+1)</f>
        <v/>
      </c>
      <c r="M1413">
        <f>IF($L1413="","",$F1413&amp;"|"&amp;RIGHT("000000"&amp;$L1413,6))</f>
        <v/>
      </c>
      <c r="N1413">
        <f>IF($F1413="","",IF(Sync!$AF1413="","0000",IF(AND(ISNUMBER(Sync!$AF1413),Sync!$AF1413&gt;=0,Sync!$AF1413&lt;1),RIGHT("00"&amp;HOUR(Sync!$AF1413),2)&amp;RIGHT("00"&amp;MINUTE(Sync!$AF1413),2),IFERROR(RIGHT("00"&amp;VALUE(LEFT(Sync!$AF1413,FIND(":",Sync!$AF1413)-1)),2)&amp;RIGHT("00"&amp;VALUE(MID(Sync!$AF1413,FIND(":",Sync!$AF1413)+1,2)),2),"0000"))))</f>
        <v/>
      </c>
    </row>
    <row r="1414">
      <c r="A1414">
        <f>IF(OR(Calc!$E1418="",Calc!$E1418="نامعتبر",Calc!$G1418=""),"",Calc!$G1418)</f>
        <v/>
      </c>
      <c r="B1414">
        <f>IF($A1414="","",LEFT(Calc!$E1418,4)&amp;MID(Calc!$E1418,6,2)&amp;RIGHT(Calc!$E1418,2)&amp;Calc!$Q1418&amp;"|"&amp;"1"&amp;RIGHT("00000"&amp;1409,5))</f>
        <v/>
      </c>
      <c r="C1414">
        <f>IF($B1414="","",COUNTIFS(LdgSellerA,$A1414,LdgKeyA,"&lt;"&amp;$B1414)+COUNTIFS(LdgSellerB,$A1414,LdgKeyB,"&lt;"&amp;$B1414)+1)</f>
        <v/>
      </c>
      <c r="D1414">
        <f>IF($C1414="","",$A1414&amp;"|"&amp;RIGHT("000000"&amp;$C1414,6))</f>
        <v/>
      </c>
      <c r="F1414">
        <f>IF(Sync!$AH1414="","",IF(LEFT(UPPER(TRIM(Sync!$AH1414)),2)="SL",UPPER(TRIM(Sync!$AH1414)),""))</f>
        <v/>
      </c>
      <c r="G1414">
        <f>IF($F1414="","",IF(Sync!$AE1414="","",IF(ISNUMBER(Sync!$AE1414),IF(AND(Sync!$AE1414&gt;=10000101,Sync!$AE1414&lt;=99991231),INT(Sync!$AE1414/10000),""),IFERROR(VALUE(TRIM(LEFT(Sync!$AE1414,FIND("/",Sync!$AE1414)-1))),""))))</f>
        <v/>
      </c>
      <c r="H1414">
        <f>IF(OR($F1414="",$G1414=""),"",IF(ISNUMBER(Sync!$AE1414),INT(MOD(Sync!$AE1414,10000)/100),IFERROR(VALUE(TRIM(LEFT(MID(Sync!$AE1414,FIND("/",Sync!$AE1414)+1,20),FIND("/",MID(Sync!$AE1414,FIND("/",Sync!$AE1414)+1,20))-1))),"")))</f>
        <v/>
      </c>
      <c r="I1414">
        <f>IF(OR($F1414="",$G1414=""),"",IF(ISNUMBER(Sync!$AE1414),MOD(Sync!$AE1414,100),IFERROR(VALUE(TRIM(MID(MID(Sync!$AE1414,FIND("/",Sync!$AE1414)+1,20),FIND("/",MID(Sync!$AE1414,FIND("/",Sync!$AE1414)+1,20))+1,20))),"")))</f>
        <v/>
      </c>
      <c r="J1414">
        <f>IF($F1414="","",IF(OR($G1414="",$H1414="",$I1414="",$G1414&lt;1300,$G1414&gt;1500,$H1414&lt;1,$H1414&gt;12,$I1414&lt;1,$I1414&gt;31),"نامعتبر",RIGHT("0000"&amp;$G1414,4)&amp;"/"&amp;RIGHT("00"&amp;$H1414,2)&amp;"/"&amp;RIGHT("00"&amp;$I1414,2)))</f>
        <v/>
      </c>
      <c r="K1414">
        <f>IF(OR($F1414="",$J1414="",$J1414="نامعتبر"),"",LEFT($J1414,4)&amp;MID($J1414,6,2)&amp;RIGHT($J1414,2)&amp;$N1414&amp;"|"&amp;"2"&amp;RIGHT("00000"&amp;1409,5))</f>
        <v/>
      </c>
      <c r="L1414">
        <f>IF($K1414="","",COUNTIFS(LdgSellerA,$F1414,LdgKeyA,"&lt;"&amp;$K1414)+COUNTIFS(LdgSellerB,$F1414,LdgKeyB,"&lt;"&amp;$K1414)+1)</f>
        <v/>
      </c>
      <c r="M1414">
        <f>IF($L1414="","",$F1414&amp;"|"&amp;RIGHT("000000"&amp;$L1414,6))</f>
        <v/>
      </c>
      <c r="N1414">
        <f>IF($F1414="","",IF(Sync!$AF1414="","0000",IF(AND(ISNUMBER(Sync!$AF1414),Sync!$AF1414&gt;=0,Sync!$AF1414&lt;1),RIGHT("00"&amp;HOUR(Sync!$AF1414),2)&amp;RIGHT("00"&amp;MINUTE(Sync!$AF1414),2),IFERROR(RIGHT("00"&amp;VALUE(LEFT(Sync!$AF1414,FIND(":",Sync!$AF1414)-1)),2)&amp;RIGHT("00"&amp;VALUE(MID(Sync!$AF1414,FIND(":",Sync!$AF1414)+1,2)),2),"0000"))))</f>
        <v/>
      </c>
    </row>
    <row r="1415">
      <c r="A1415">
        <f>IF(OR(Calc!$E1419="",Calc!$E1419="نامعتبر",Calc!$G1419=""),"",Calc!$G1419)</f>
        <v/>
      </c>
      <c r="B1415">
        <f>IF($A1415="","",LEFT(Calc!$E1419,4)&amp;MID(Calc!$E1419,6,2)&amp;RIGHT(Calc!$E1419,2)&amp;Calc!$Q1419&amp;"|"&amp;"1"&amp;RIGHT("00000"&amp;1410,5))</f>
        <v/>
      </c>
      <c r="C1415">
        <f>IF($B1415="","",COUNTIFS(LdgSellerA,$A1415,LdgKeyA,"&lt;"&amp;$B1415)+COUNTIFS(LdgSellerB,$A1415,LdgKeyB,"&lt;"&amp;$B1415)+1)</f>
        <v/>
      </c>
      <c r="D1415">
        <f>IF($C1415="","",$A1415&amp;"|"&amp;RIGHT("000000"&amp;$C1415,6))</f>
        <v/>
      </c>
      <c r="F1415">
        <f>IF(Sync!$AH1415="","",IF(LEFT(UPPER(TRIM(Sync!$AH1415)),2)="SL",UPPER(TRIM(Sync!$AH1415)),""))</f>
        <v/>
      </c>
      <c r="G1415">
        <f>IF($F1415="","",IF(Sync!$AE1415="","",IF(ISNUMBER(Sync!$AE1415),IF(AND(Sync!$AE1415&gt;=10000101,Sync!$AE1415&lt;=99991231),INT(Sync!$AE1415/10000),""),IFERROR(VALUE(TRIM(LEFT(Sync!$AE1415,FIND("/",Sync!$AE1415)-1))),""))))</f>
        <v/>
      </c>
      <c r="H1415">
        <f>IF(OR($F1415="",$G1415=""),"",IF(ISNUMBER(Sync!$AE1415),INT(MOD(Sync!$AE1415,10000)/100),IFERROR(VALUE(TRIM(LEFT(MID(Sync!$AE1415,FIND("/",Sync!$AE1415)+1,20),FIND("/",MID(Sync!$AE1415,FIND("/",Sync!$AE1415)+1,20))-1))),"")))</f>
        <v/>
      </c>
      <c r="I1415">
        <f>IF(OR($F1415="",$G1415=""),"",IF(ISNUMBER(Sync!$AE1415),MOD(Sync!$AE1415,100),IFERROR(VALUE(TRIM(MID(MID(Sync!$AE1415,FIND("/",Sync!$AE1415)+1,20),FIND("/",MID(Sync!$AE1415,FIND("/",Sync!$AE1415)+1,20))+1,20))),"")))</f>
        <v/>
      </c>
      <c r="J1415">
        <f>IF($F1415="","",IF(OR($G1415="",$H1415="",$I1415="",$G1415&lt;1300,$G1415&gt;1500,$H1415&lt;1,$H1415&gt;12,$I1415&lt;1,$I1415&gt;31),"نامعتبر",RIGHT("0000"&amp;$G1415,4)&amp;"/"&amp;RIGHT("00"&amp;$H1415,2)&amp;"/"&amp;RIGHT("00"&amp;$I1415,2)))</f>
        <v/>
      </c>
      <c r="K1415">
        <f>IF(OR($F1415="",$J1415="",$J1415="نامعتبر"),"",LEFT($J1415,4)&amp;MID($J1415,6,2)&amp;RIGHT($J1415,2)&amp;$N1415&amp;"|"&amp;"2"&amp;RIGHT("00000"&amp;1410,5))</f>
        <v/>
      </c>
      <c r="L1415">
        <f>IF($K1415="","",COUNTIFS(LdgSellerA,$F1415,LdgKeyA,"&lt;"&amp;$K1415)+COUNTIFS(LdgSellerB,$F1415,LdgKeyB,"&lt;"&amp;$K1415)+1)</f>
        <v/>
      </c>
      <c r="M1415">
        <f>IF($L1415="","",$F1415&amp;"|"&amp;RIGHT("000000"&amp;$L1415,6))</f>
        <v/>
      </c>
      <c r="N1415">
        <f>IF($F1415="","",IF(Sync!$AF1415="","0000",IF(AND(ISNUMBER(Sync!$AF1415),Sync!$AF1415&gt;=0,Sync!$AF1415&lt;1),RIGHT("00"&amp;HOUR(Sync!$AF1415),2)&amp;RIGHT("00"&amp;MINUTE(Sync!$AF1415),2),IFERROR(RIGHT("00"&amp;VALUE(LEFT(Sync!$AF1415,FIND(":",Sync!$AF1415)-1)),2)&amp;RIGHT("00"&amp;VALUE(MID(Sync!$AF1415,FIND(":",Sync!$AF1415)+1,2)),2),"0000"))))</f>
        <v/>
      </c>
    </row>
    <row r="1416">
      <c r="A1416">
        <f>IF(OR(Calc!$E1420="",Calc!$E1420="نامعتبر",Calc!$G1420=""),"",Calc!$G1420)</f>
        <v/>
      </c>
      <c r="B1416">
        <f>IF($A1416="","",LEFT(Calc!$E1420,4)&amp;MID(Calc!$E1420,6,2)&amp;RIGHT(Calc!$E1420,2)&amp;Calc!$Q1420&amp;"|"&amp;"1"&amp;RIGHT("00000"&amp;1411,5))</f>
        <v/>
      </c>
      <c r="C1416">
        <f>IF($B1416="","",COUNTIFS(LdgSellerA,$A1416,LdgKeyA,"&lt;"&amp;$B1416)+COUNTIFS(LdgSellerB,$A1416,LdgKeyB,"&lt;"&amp;$B1416)+1)</f>
        <v/>
      </c>
      <c r="D1416">
        <f>IF($C1416="","",$A1416&amp;"|"&amp;RIGHT("000000"&amp;$C1416,6))</f>
        <v/>
      </c>
      <c r="F1416">
        <f>IF(Sync!$AH1416="","",IF(LEFT(UPPER(TRIM(Sync!$AH1416)),2)="SL",UPPER(TRIM(Sync!$AH1416)),""))</f>
        <v/>
      </c>
      <c r="G1416">
        <f>IF($F1416="","",IF(Sync!$AE1416="","",IF(ISNUMBER(Sync!$AE1416),IF(AND(Sync!$AE1416&gt;=10000101,Sync!$AE1416&lt;=99991231),INT(Sync!$AE1416/10000),""),IFERROR(VALUE(TRIM(LEFT(Sync!$AE1416,FIND("/",Sync!$AE1416)-1))),""))))</f>
        <v/>
      </c>
      <c r="H1416">
        <f>IF(OR($F1416="",$G1416=""),"",IF(ISNUMBER(Sync!$AE1416),INT(MOD(Sync!$AE1416,10000)/100),IFERROR(VALUE(TRIM(LEFT(MID(Sync!$AE1416,FIND("/",Sync!$AE1416)+1,20),FIND("/",MID(Sync!$AE1416,FIND("/",Sync!$AE1416)+1,20))-1))),"")))</f>
        <v/>
      </c>
      <c r="I1416">
        <f>IF(OR($F1416="",$G1416=""),"",IF(ISNUMBER(Sync!$AE1416),MOD(Sync!$AE1416,100),IFERROR(VALUE(TRIM(MID(MID(Sync!$AE1416,FIND("/",Sync!$AE1416)+1,20),FIND("/",MID(Sync!$AE1416,FIND("/",Sync!$AE1416)+1,20))+1,20))),"")))</f>
        <v/>
      </c>
      <c r="J1416">
        <f>IF($F1416="","",IF(OR($G1416="",$H1416="",$I1416="",$G1416&lt;1300,$G1416&gt;1500,$H1416&lt;1,$H1416&gt;12,$I1416&lt;1,$I1416&gt;31),"نامعتبر",RIGHT("0000"&amp;$G1416,4)&amp;"/"&amp;RIGHT("00"&amp;$H1416,2)&amp;"/"&amp;RIGHT("00"&amp;$I1416,2)))</f>
        <v/>
      </c>
      <c r="K1416">
        <f>IF(OR($F1416="",$J1416="",$J1416="نامعتبر"),"",LEFT($J1416,4)&amp;MID($J1416,6,2)&amp;RIGHT($J1416,2)&amp;$N1416&amp;"|"&amp;"2"&amp;RIGHT("00000"&amp;1411,5))</f>
        <v/>
      </c>
      <c r="L1416">
        <f>IF($K1416="","",COUNTIFS(LdgSellerA,$F1416,LdgKeyA,"&lt;"&amp;$K1416)+COUNTIFS(LdgSellerB,$F1416,LdgKeyB,"&lt;"&amp;$K1416)+1)</f>
        <v/>
      </c>
      <c r="M1416">
        <f>IF($L1416="","",$F1416&amp;"|"&amp;RIGHT("000000"&amp;$L1416,6))</f>
        <v/>
      </c>
      <c r="N1416">
        <f>IF($F1416="","",IF(Sync!$AF1416="","0000",IF(AND(ISNUMBER(Sync!$AF1416),Sync!$AF1416&gt;=0,Sync!$AF1416&lt;1),RIGHT("00"&amp;HOUR(Sync!$AF1416),2)&amp;RIGHT("00"&amp;MINUTE(Sync!$AF1416),2),IFERROR(RIGHT("00"&amp;VALUE(LEFT(Sync!$AF1416,FIND(":",Sync!$AF1416)-1)),2)&amp;RIGHT("00"&amp;VALUE(MID(Sync!$AF1416,FIND(":",Sync!$AF1416)+1,2)),2),"0000"))))</f>
        <v/>
      </c>
    </row>
    <row r="1417">
      <c r="A1417">
        <f>IF(OR(Calc!$E1421="",Calc!$E1421="نامعتبر",Calc!$G1421=""),"",Calc!$G1421)</f>
        <v/>
      </c>
      <c r="B1417">
        <f>IF($A1417="","",LEFT(Calc!$E1421,4)&amp;MID(Calc!$E1421,6,2)&amp;RIGHT(Calc!$E1421,2)&amp;Calc!$Q1421&amp;"|"&amp;"1"&amp;RIGHT("00000"&amp;1412,5))</f>
        <v/>
      </c>
      <c r="C1417">
        <f>IF($B1417="","",COUNTIFS(LdgSellerA,$A1417,LdgKeyA,"&lt;"&amp;$B1417)+COUNTIFS(LdgSellerB,$A1417,LdgKeyB,"&lt;"&amp;$B1417)+1)</f>
        <v/>
      </c>
      <c r="D1417">
        <f>IF($C1417="","",$A1417&amp;"|"&amp;RIGHT("000000"&amp;$C1417,6))</f>
        <v/>
      </c>
      <c r="F1417">
        <f>IF(Sync!$AH1417="","",IF(LEFT(UPPER(TRIM(Sync!$AH1417)),2)="SL",UPPER(TRIM(Sync!$AH1417)),""))</f>
        <v/>
      </c>
      <c r="G1417">
        <f>IF($F1417="","",IF(Sync!$AE1417="","",IF(ISNUMBER(Sync!$AE1417),IF(AND(Sync!$AE1417&gt;=10000101,Sync!$AE1417&lt;=99991231),INT(Sync!$AE1417/10000),""),IFERROR(VALUE(TRIM(LEFT(Sync!$AE1417,FIND("/",Sync!$AE1417)-1))),""))))</f>
        <v/>
      </c>
      <c r="H1417">
        <f>IF(OR($F1417="",$G1417=""),"",IF(ISNUMBER(Sync!$AE1417),INT(MOD(Sync!$AE1417,10000)/100),IFERROR(VALUE(TRIM(LEFT(MID(Sync!$AE1417,FIND("/",Sync!$AE1417)+1,20),FIND("/",MID(Sync!$AE1417,FIND("/",Sync!$AE1417)+1,20))-1))),"")))</f>
        <v/>
      </c>
      <c r="I1417">
        <f>IF(OR($F1417="",$G1417=""),"",IF(ISNUMBER(Sync!$AE1417),MOD(Sync!$AE1417,100),IFERROR(VALUE(TRIM(MID(MID(Sync!$AE1417,FIND("/",Sync!$AE1417)+1,20),FIND("/",MID(Sync!$AE1417,FIND("/",Sync!$AE1417)+1,20))+1,20))),"")))</f>
        <v/>
      </c>
      <c r="J1417">
        <f>IF($F1417="","",IF(OR($G1417="",$H1417="",$I1417="",$G1417&lt;1300,$G1417&gt;1500,$H1417&lt;1,$H1417&gt;12,$I1417&lt;1,$I1417&gt;31),"نامعتبر",RIGHT("0000"&amp;$G1417,4)&amp;"/"&amp;RIGHT("00"&amp;$H1417,2)&amp;"/"&amp;RIGHT("00"&amp;$I1417,2)))</f>
        <v/>
      </c>
      <c r="K1417">
        <f>IF(OR($F1417="",$J1417="",$J1417="نامعتبر"),"",LEFT($J1417,4)&amp;MID($J1417,6,2)&amp;RIGHT($J1417,2)&amp;$N1417&amp;"|"&amp;"2"&amp;RIGHT("00000"&amp;1412,5))</f>
        <v/>
      </c>
      <c r="L1417">
        <f>IF($K1417="","",COUNTIFS(LdgSellerA,$F1417,LdgKeyA,"&lt;"&amp;$K1417)+COUNTIFS(LdgSellerB,$F1417,LdgKeyB,"&lt;"&amp;$K1417)+1)</f>
        <v/>
      </c>
      <c r="M1417">
        <f>IF($L1417="","",$F1417&amp;"|"&amp;RIGHT("000000"&amp;$L1417,6))</f>
        <v/>
      </c>
      <c r="N1417">
        <f>IF($F1417="","",IF(Sync!$AF1417="","0000",IF(AND(ISNUMBER(Sync!$AF1417),Sync!$AF1417&gt;=0,Sync!$AF1417&lt;1),RIGHT("00"&amp;HOUR(Sync!$AF1417),2)&amp;RIGHT("00"&amp;MINUTE(Sync!$AF1417),2),IFERROR(RIGHT("00"&amp;VALUE(LEFT(Sync!$AF1417,FIND(":",Sync!$AF1417)-1)),2)&amp;RIGHT("00"&amp;VALUE(MID(Sync!$AF1417,FIND(":",Sync!$AF1417)+1,2)),2),"0000"))))</f>
        <v/>
      </c>
    </row>
    <row r="1418">
      <c r="A1418">
        <f>IF(OR(Calc!$E1422="",Calc!$E1422="نامعتبر",Calc!$G1422=""),"",Calc!$G1422)</f>
        <v/>
      </c>
      <c r="B1418">
        <f>IF($A1418="","",LEFT(Calc!$E1422,4)&amp;MID(Calc!$E1422,6,2)&amp;RIGHT(Calc!$E1422,2)&amp;Calc!$Q1422&amp;"|"&amp;"1"&amp;RIGHT("00000"&amp;1413,5))</f>
        <v/>
      </c>
      <c r="C1418">
        <f>IF($B1418="","",COUNTIFS(LdgSellerA,$A1418,LdgKeyA,"&lt;"&amp;$B1418)+COUNTIFS(LdgSellerB,$A1418,LdgKeyB,"&lt;"&amp;$B1418)+1)</f>
        <v/>
      </c>
      <c r="D1418">
        <f>IF($C1418="","",$A1418&amp;"|"&amp;RIGHT("000000"&amp;$C1418,6))</f>
        <v/>
      </c>
      <c r="F1418">
        <f>IF(Sync!$AH1418="","",IF(LEFT(UPPER(TRIM(Sync!$AH1418)),2)="SL",UPPER(TRIM(Sync!$AH1418)),""))</f>
        <v/>
      </c>
      <c r="G1418">
        <f>IF($F1418="","",IF(Sync!$AE1418="","",IF(ISNUMBER(Sync!$AE1418),IF(AND(Sync!$AE1418&gt;=10000101,Sync!$AE1418&lt;=99991231),INT(Sync!$AE1418/10000),""),IFERROR(VALUE(TRIM(LEFT(Sync!$AE1418,FIND("/",Sync!$AE1418)-1))),""))))</f>
        <v/>
      </c>
      <c r="H1418">
        <f>IF(OR($F1418="",$G1418=""),"",IF(ISNUMBER(Sync!$AE1418),INT(MOD(Sync!$AE1418,10000)/100),IFERROR(VALUE(TRIM(LEFT(MID(Sync!$AE1418,FIND("/",Sync!$AE1418)+1,20),FIND("/",MID(Sync!$AE1418,FIND("/",Sync!$AE1418)+1,20))-1))),"")))</f>
        <v/>
      </c>
      <c r="I1418">
        <f>IF(OR($F1418="",$G1418=""),"",IF(ISNUMBER(Sync!$AE1418),MOD(Sync!$AE1418,100),IFERROR(VALUE(TRIM(MID(MID(Sync!$AE1418,FIND("/",Sync!$AE1418)+1,20),FIND("/",MID(Sync!$AE1418,FIND("/",Sync!$AE1418)+1,20))+1,20))),"")))</f>
        <v/>
      </c>
      <c r="J1418">
        <f>IF($F1418="","",IF(OR($G1418="",$H1418="",$I1418="",$G1418&lt;1300,$G1418&gt;1500,$H1418&lt;1,$H1418&gt;12,$I1418&lt;1,$I1418&gt;31),"نامعتبر",RIGHT("0000"&amp;$G1418,4)&amp;"/"&amp;RIGHT("00"&amp;$H1418,2)&amp;"/"&amp;RIGHT("00"&amp;$I1418,2)))</f>
        <v/>
      </c>
      <c r="K1418">
        <f>IF(OR($F1418="",$J1418="",$J1418="نامعتبر"),"",LEFT($J1418,4)&amp;MID($J1418,6,2)&amp;RIGHT($J1418,2)&amp;$N1418&amp;"|"&amp;"2"&amp;RIGHT("00000"&amp;1413,5))</f>
        <v/>
      </c>
      <c r="L1418">
        <f>IF($K1418="","",COUNTIFS(LdgSellerA,$F1418,LdgKeyA,"&lt;"&amp;$K1418)+COUNTIFS(LdgSellerB,$F1418,LdgKeyB,"&lt;"&amp;$K1418)+1)</f>
        <v/>
      </c>
      <c r="M1418">
        <f>IF($L1418="","",$F1418&amp;"|"&amp;RIGHT("000000"&amp;$L1418,6))</f>
        <v/>
      </c>
      <c r="N1418">
        <f>IF($F1418="","",IF(Sync!$AF1418="","0000",IF(AND(ISNUMBER(Sync!$AF1418),Sync!$AF1418&gt;=0,Sync!$AF1418&lt;1),RIGHT("00"&amp;HOUR(Sync!$AF1418),2)&amp;RIGHT("00"&amp;MINUTE(Sync!$AF1418),2),IFERROR(RIGHT("00"&amp;VALUE(LEFT(Sync!$AF1418,FIND(":",Sync!$AF1418)-1)),2)&amp;RIGHT("00"&amp;VALUE(MID(Sync!$AF1418,FIND(":",Sync!$AF1418)+1,2)),2),"0000"))))</f>
        <v/>
      </c>
    </row>
    <row r="1419">
      <c r="A1419">
        <f>IF(OR(Calc!$E1423="",Calc!$E1423="نامعتبر",Calc!$G1423=""),"",Calc!$G1423)</f>
        <v/>
      </c>
      <c r="B1419">
        <f>IF($A1419="","",LEFT(Calc!$E1423,4)&amp;MID(Calc!$E1423,6,2)&amp;RIGHT(Calc!$E1423,2)&amp;Calc!$Q1423&amp;"|"&amp;"1"&amp;RIGHT("00000"&amp;1414,5))</f>
        <v/>
      </c>
      <c r="C1419">
        <f>IF($B1419="","",COUNTIFS(LdgSellerA,$A1419,LdgKeyA,"&lt;"&amp;$B1419)+COUNTIFS(LdgSellerB,$A1419,LdgKeyB,"&lt;"&amp;$B1419)+1)</f>
        <v/>
      </c>
      <c r="D1419">
        <f>IF($C1419="","",$A1419&amp;"|"&amp;RIGHT("000000"&amp;$C1419,6))</f>
        <v/>
      </c>
      <c r="F1419">
        <f>IF(Sync!$AH1419="","",IF(LEFT(UPPER(TRIM(Sync!$AH1419)),2)="SL",UPPER(TRIM(Sync!$AH1419)),""))</f>
        <v/>
      </c>
      <c r="G1419">
        <f>IF($F1419="","",IF(Sync!$AE1419="","",IF(ISNUMBER(Sync!$AE1419),IF(AND(Sync!$AE1419&gt;=10000101,Sync!$AE1419&lt;=99991231),INT(Sync!$AE1419/10000),""),IFERROR(VALUE(TRIM(LEFT(Sync!$AE1419,FIND("/",Sync!$AE1419)-1))),""))))</f>
        <v/>
      </c>
      <c r="H1419">
        <f>IF(OR($F1419="",$G1419=""),"",IF(ISNUMBER(Sync!$AE1419),INT(MOD(Sync!$AE1419,10000)/100),IFERROR(VALUE(TRIM(LEFT(MID(Sync!$AE1419,FIND("/",Sync!$AE1419)+1,20),FIND("/",MID(Sync!$AE1419,FIND("/",Sync!$AE1419)+1,20))-1))),"")))</f>
        <v/>
      </c>
      <c r="I1419">
        <f>IF(OR($F1419="",$G1419=""),"",IF(ISNUMBER(Sync!$AE1419),MOD(Sync!$AE1419,100),IFERROR(VALUE(TRIM(MID(MID(Sync!$AE1419,FIND("/",Sync!$AE1419)+1,20),FIND("/",MID(Sync!$AE1419,FIND("/",Sync!$AE1419)+1,20))+1,20))),"")))</f>
        <v/>
      </c>
      <c r="J1419">
        <f>IF($F1419="","",IF(OR($G1419="",$H1419="",$I1419="",$G1419&lt;1300,$G1419&gt;1500,$H1419&lt;1,$H1419&gt;12,$I1419&lt;1,$I1419&gt;31),"نامعتبر",RIGHT("0000"&amp;$G1419,4)&amp;"/"&amp;RIGHT("00"&amp;$H1419,2)&amp;"/"&amp;RIGHT("00"&amp;$I1419,2)))</f>
        <v/>
      </c>
      <c r="K1419">
        <f>IF(OR($F1419="",$J1419="",$J1419="نامعتبر"),"",LEFT($J1419,4)&amp;MID($J1419,6,2)&amp;RIGHT($J1419,2)&amp;$N1419&amp;"|"&amp;"2"&amp;RIGHT("00000"&amp;1414,5))</f>
        <v/>
      </c>
      <c r="L1419">
        <f>IF($K1419="","",COUNTIFS(LdgSellerA,$F1419,LdgKeyA,"&lt;"&amp;$K1419)+COUNTIFS(LdgSellerB,$F1419,LdgKeyB,"&lt;"&amp;$K1419)+1)</f>
        <v/>
      </c>
      <c r="M1419">
        <f>IF($L1419="","",$F1419&amp;"|"&amp;RIGHT("000000"&amp;$L1419,6))</f>
        <v/>
      </c>
      <c r="N1419">
        <f>IF($F1419="","",IF(Sync!$AF1419="","0000",IF(AND(ISNUMBER(Sync!$AF1419),Sync!$AF1419&gt;=0,Sync!$AF1419&lt;1),RIGHT("00"&amp;HOUR(Sync!$AF1419),2)&amp;RIGHT("00"&amp;MINUTE(Sync!$AF1419),2),IFERROR(RIGHT("00"&amp;VALUE(LEFT(Sync!$AF1419,FIND(":",Sync!$AF1419)-1)),2)&amp;RIGHT("00"&amp;VALUE(MID(Sync!$AF1419,FIND(":",Sync!$AF1419)+1,2)),2),"0000"))))</f>
        <v/>
      </c>
    </row>
    <row r="1420">
      <c r="A1420">
        <f>IF(OR(Calc!$E1424="",Calc!$E1424="نامعتبر",Calc!$G1424=""),"",Calc!$G1424)</f>
        <v/>
      </c>
      <c r="B1420">
        <f>IF($A1420="","",LEFT(Calc!$E1424,4)&amp;MID(Calc!$E1424,6,2)&amp;RIGHT(Calc!$E1424,2)&amp;Calc!$Q1424&amp;"|"&amp;"1"&amp;RIGHT("00000"&amp;1415,5))</f>
        <v/>
      </c>
      <c r="C1420">
        <f>IF($B1420="","",COUNTIFS(LdgSellerA,$A1420,LdgKeyA,"&lt;"&amp;$B1420)+COUNTIFS(LdgSellerB,$A1420,LdgKeyB,"&lt;"&amp;$B1420)+1)</f>
        <v/>
      </c>
      <c r="D1420">
        <f>IF($C1420="","",$A1420&amp;"|"&amp;RIGHT("000000"&amp;$C1420,6))</f>
        <v/>
      </c>
      <c r="F1420">
        <f>IF(Sync!$AH1420="","",IF(LEFT(UPPER(TRIM(Sync!$AH1420)),2)="SL",UPPER(TRIM(Sync!$AH1420)),""))</f>
        <v/>
      </c>
      <c r="G1420">
        <f>IF($F1420="","",IF(Sync!$AE1420="","",IF(ISNUMBER(Sync!$AE1420),IF(AND(Sync!$AE1420&gt;=10000101,Sync!$AE1420&lt;=99991231),INT(Sync!$AE1420/10000),""),IFERROR(VALUE(TRIM(LEFT(Sync!$AE1420,FIND("/",Sync!$AE1420)-1))),""))))</f>
        <v/>
      </c>
      <c r="H1420">
        <f>IF(OR($F1420="",$G1420=""),"",IF(ISNUMBER(Sync!$AE1420),INT(MOD(Sync!$AE1420,10000)/100),IFERROR(VALUE(TRIM(LEFT(MID(Sync!$AE1420,FIND("/",Sync!$AE1420)+1,20),FIND("/",MID(Sync!$AE1420,FIND("/",Sync!$AE1420)+1,20))-1))),"")))</f>
        <v/>
      </c>
      <c r="I1420">
        <f>IF(OR($F1420="",$G1420=""),"",IF(ISNUMBER(Sync!$AE1420),MOD(Sync!$AE1420,100),IFERROR(VALUE(TRIM(MID(MID(Sync!$AE1420,FIND("/",Sync!$AE1420)+1,20),FIND("/",MID(Sync!$AE1420,FIND("/",Sync!$AE1420)+1,20))+1,20))),"")))</f>
        <v/>
      </c>
      <c r="J1420">
        <f>IF($F1420="","",IF(OR($G1420="",$H1420="",$I1420="",$G1420&lt;1300,$G1420&gt;1500,$H1420&lt;1,$H1420&gt;12,$I1420&lt;1,$I1420&gt;31),"نامعتبر",RIGHT("0000"&amp;$G1420,4)&amp;"/"&amp;RIGHT("00"&amp;$H1420,2)&amp;"/"&amp;RIGHT("00"&amp;$I1420,2)))</f>
        <v/>
      </c>
      <c r="K1420">
        <f>IF(OR($F1420="",$J1420="",$J1420="نامعتبر"),"",LEFT($J1420,4)&amp;MID($J1420,6,2)&amp;RIGHT($J1420,2)&amp;$N1420&amp;"|"&amp;"2"&amp;RIGHT("00000"&amp;1415,5))</f>
        <v/>
      </c>
      <c r="L1420">
        <f>IF($K1420="","",COUNTIFS(LdgSellerA,$F1420,LdgKeyA,"&lt;"&amp;$K1420)+COUNTIFS(LdgSellerB,$F1420,LdgKeyB,"&lt;"&amp;$K1420)+1)</f>
        <v/>
      </c>
      <c r="M1420">
        <f>IF($L1420="","",$F1420&amp;"|"&amp;RIGHT("000000"&amp;$L1420,6))</f>
        <v/>
      </c>
      <c r="N1420">
        <f>IF($F1420="","",IF(Sync!$AF1420="","0000",IF(AND(ISNUMBER(Sync!$AF1420),Sync!$AF1420&gt;=0,Sync!$AF1420&lt;1),RIGHT("00"&amp;HOUR(Sync!$AF1420),2)&amp;RIGHT("00"&amp;MINUTE(Sync!$AF1420),2),IFERROR(RIGHT("00"&amp;VALUE(LEFT(Sync!$AF1420,FIND(":",Sync!$AF1420)-1)),2)&amp;RIGHT("00"&amp;VALUE(MID(Sync!$AF1420,FIND(":",Sync!$AF1420)+1,2)),2),"0000"))))</f>
        <v/>
      </c>
    </row>
    <row r="1421">
      <c r="A1421">
        <f>IF(OR(Calc!$E1425="",Calc!$E1425="نامعتبر",Calc!$G1425=""),"",Calc!$G1425)</f>
        <v/>
      </c>
      <c r="B1421">
        <f>IF($A1421="","",LEFT(Calc!$E1425,4)&amp;MID(Calc!$E1425,6,2)&amp;RIGHT(Calc!$E1425,2)&amp;Calc!$Q1425&amp;"|"&amp;"1"&amp;RIGHT("00000"&amp;1416,5))</f>
        <v/>
      </c>
      <c r="C1421">
        <f>IF($B1421="","",COUNTIFS(LdgSellerA,$A1421,LdgKeyA,"&lt;"&amp;$B1421)+COUNTIFS(LdgSellerB,$A1421,LdgKeyB,"&lt;"&amp;$B1421)+1)</f>
        <v/>
      </c>
      <c r="D1421">
        <f>IF($C1421="","",$A1421&amp;"|"&amp;RIGHT("000000"&amp;$C1421,6))</f>
        <v/>
      </c>
      <c r="F1421">
        <f>IF(Sync!$AH1421="","",IF(LEFT(UPPER(TRIM(Sync!$AH1421)),2)="SL",UPPER(TRIM(Sync!$AH1421)),""))</f>
        <v/>
      </c>
      <c r="G1421">
        <f>IF($F1421="","",IF(Sync!$AE1421="","",IF(ISNUMBER(Sync!$AE1421),IF(AND(Sync!$AE1421&gt;=10000101,Sync!$AE1421&lt;=99991231),INT(Sync!$AE1421/10000),""),IFERROR(VALUE(TRIM(LEFT(Sync!$AE1421,FIND("/",Sync!$AE1421)-1))),""))))</f>
        <v/>
      </c>
      <c r="H1421">
        <f>IF(OR($F1421="",$G1421=""),"",IF(ISNUMBER(Sync!$AE1421),INT(MOD(Sync!$AE1421,10000)/100),IFERROR(VALUE(TRIM(LEFT(MID(Sync!$AE1421,FIND("/",Sync!$AE1421)+1,20),FIND("/",MID(Sync!$AE1421,FIND("/",Sync!$AE1421)+1,20))-1))),"")))</f>
        <v/>
      </c>
      <c r="I1421">
        <f>IF(OR($F1421="",$G1421=""),"",IF(ISNUMBER(Sync!$AE1421),MOD(Sync!$AE1421,100),IFERROR(VALUE(TRIM(MID(MID(Sync!$AE1421,FIND("/",Sync!$AE1421)+1,20),FIND("/",MID(Sync!$AE1421,FIND("/",Sync!$AE1421)+1,20))+1,20))),"")))</f>
        <v/>
      </c>
      <c r="J1421">
        <f>IF($F1421="","",IF(OR($G1421="",$H1421="",$I1421="",$G1421&lt;1300,$G1421&gt;1500,$H1421&lt;1,$H1421&gt;12,$I1421&lt;1,$I1421&gt;31),"نامعتبر",RIGHT("0000"&amp;$G1421,4)&amp;"/"&amp;RIGHT("00"&amp;$H1421,2)&amp;"/"&amp;RIGHT("00"&amp;$I1421,2)))</f>
        <v/>
      </c>
      <c r="K1421">
        <f>IF(OR($F1421="",$J1421="",$J1421="نامعتبر"),"",LEFT($J1421,4)&amp;MID($J1421,6,2)&amp;RIGHT($J1421,2)&amp;$N1421&amp;"|"&amp;"2"&amp;RIGHT("00000"&amp;1416,5))</f>
        <v/>
      </c>
      <c r="L1421">
        <f>IF($K1421="","",COUNTIFS(LdgSellerA,$F1421,LdgKeyA,"&lt;"&amp;$K1421)+COUNTIFS(LdgSellerB,$F1421,LdgKeyB,"&lt;"&amp;$K1421)+1)</f>
        <v/>
      </c>
      <c r="M1421">
        <f>IF($L1421="","",$F1421&amp;"|"&amp;RIGHT("000000"&amp;$L1421,6))</f>
        <v/>
      </c>
      <c r="N1421">
        <f>IF($F1421="","",IF(Sync!$AF1421="","0000",IF(AND(ISNUMBER(Sync!$AF1421),Sync!$AF1421&gt;=0,Sync!$AF1421&lt;1),RIGHT("00"&amp;HOUR(Sync!$AF1421),2)&amp;RIGHT("00"&amp;MINUTE(Sync!$AF1421),2),IFERROR(RIGHT("00"&amp;VALUE(LEFT(Sync!$AF1421,FIND(":",Sync!$AF1421)-1)),2)&amp;RIGHT("00"&amp;VALUE(MID(Sync!$AF1421,FIND(":",Sync!$AF1421)+1,2)),2),"0000"))))</f>
        <v/>
      </c>
    </row>
    <row r="1422">
      <c r="A1422">
        <f>IF(OR(Calc!$E1426="",Calc!$E1426="نامعتبر",Calc!$G1426=""),"",Calc!$G1426)</f>
        <v/>
      </c>
      <c r="B1422">
        <f>IF($A1422="","",LEFT(Calc!$E1426,4)&amp;MID(Calc!$E1426,6,2)&amp;RIGHT(Calc!$E1426,2)&amp;Calc!$Q1426&amp;"|"&amp;"1"&amp;RIGHT("00000"&amp;1417,5))</f>
        <v/>
      </c>
      <c r="C1422">
        <f>IF($B1422="","",COUNTIFS(LdgSellerA,$A1422,LdgKeyA,"&lt;"&amp;$B1422)+COUNTIFS(LdgSellerB,$A1422,LdgKeyB,"&lt;"&amp;$B1422)+1)</f>
        <v/>
      </c>
      <c r="D1422">
        <f>IF($C1422="","",$A1422&amp;"|"&amp;RIGHT("000000"&amp;$C1422,6))</f>
        <v/>
      </c>
      <c r="F1422">
        <f>IF(Sync!$AH1422="","",IF(LEFT(UPPER(TRIM(Sync!$AH1422)),2)="SL",UPPER(TRIM(Sync!$AH1422)),""))</f>
        <v/>
      </c>
      <c r="G1422">
        <f>IF($F1422="","",IF(Sync!$AE1422="","",IF(ISNUMBER(Sync!$AE1422),IF(AND(Sync!$AE1422&gt;=10000101,Sync!$AE1422&lt;=99991231),INT(Sync!$AE1422/10000),""),IFERROR(VALUE(TRIM(LEFT(Sync!$AE1422,FIND("/",Sync!$AE1422)-1))),""))))</f>
        <v/>
      </c>
      <c r="H1422">
        <f>IF(OR($F1422="",$G1422=""),"",IF(ISNUMBER(Sync!$AE1422),INT(MOD(Sync!$AE1422,10000)/100),IFERROR(VALUE(TRIM(LEFT(MID(Sync!$AE1422,FIND("/",Sync!$AE1422)+1,20),FIND("/",MID(Sync!$AE1422,FIND("/",Sync!$AE1422)+1,20))-1))),"")))</f>
        <v/>
      </c>
      <c r="I1422">
        <f>IF(OR($F1422="",$G1422=""),"",IF(ISNUMBER(Sync!$AE1422),MOD(Sync!$AE1422,100),IFERROR(VALUE(TRIM(MID(MID(Sync!$AE1422,FIND("/",Sync!$AE1422)+1,20),FIND("/",MID(Sync!$AE1422,FIND("/",Sync!$AE1422)+1,20))+1,20))),"")))</f>
        <v/>
      </c>
      <c r="J1422">
        <f>IF($F1422="","",IF(OR($G1422="",$H1422="",$I1422="",$G1422&lt;1300,$G1422&gt;1500,$H1422&lt;1,$H1422&gt;12,$I1422&lt;1,$I1422&gt;31),"نامعتبر",RIGHT("0000"&amp;$G1422,4)&amp;"/"&amp;RIGHT("00"&amp;$H1422,2)&amp;"/"&amp;RIGHT("00"&amp;$I1422,2)))</f>
        <v/>
      </c>
      <c r="K1422">
        <f>IF(OR($F1422="",$J1422="",$J1422="نامعتبر"),"",LEFT($J1422,4)&amp;MID($J1422,6,2)&amp;RIGHT($J1422,2)&amp;$N1422&amp;"|"&amp;"2"&amp;RIGHT("00000"&amp;1417,5))</f>
        <v/>
      </c>
      <c r="L1422">
        <f>IF($K1422="","",COUNTIFS(LdgSellerA,$F1422,LdgKeyA,"&lt;"&amp;$K1422)+COUNTIFS(LdgSellerB,$F1422,LdgKeyB,"&lt;"&amp;$K1422)+1)</f>
        <v/>
      </c>
      <c r="M1422">
        <f>IF($L1422="","",$F1422&amp;"|"&amp;RIGHT("000000"&amp;$L1422,6))</f>
        <v/>
      </c>
      <c r="N1422">
        <f>IF($F1422="","",IF(Sync!$AF1422="","0000",IF(AND(ISNUMBER(Sync!$AF1422),Sync!$AF1422&gt;=0,Sync!$AF1422&lt;1),RIGHT("00"&amp;HOUR(Sync!$AF1422),2)&amp;RIGHT("00"&amp;MINUTE(Sync!$AF1422),2),IFERROR(RIGHT("00"&amp;VALUE(LEFT(Sync!$AF1422,FIND(":",Sync!$AF1422)-1)),2)&amp;RIGHT("00"&amp;VALUE(MID(Sync!$AF1422,FIND(":",Sync!$AF1422)+1,2)),2),"0000"))))</f>
        <v/>
      </c>
    </row>
    <row r="1423">
      <c r="A1423">
        <f>IF(OR(Calc!$E1427="",Calc!$E1427="نامعتبر",Calc!$G1427=""),"",Calc!$G1427)</f>
        <v/>
      </c>
      <c r="B1423">
        <f>IF($A1423="","",LEFT(Calc!$E1427,4)&amp;MID(Calc!$E1427,6,2)&amp;RIGHT(Calc!$E1427,2)&amp;Calc!$Q1427&amp;"|"&amp;"1"&amp;RIGHT("00000"&amp;1418,5))</f>
        <v/>
      </c>
      <c r="C1423">
        <f>IF($B1423="","",COUNTIFS(LdgSellerA,$A1423,LdgKeyA,"&lt;"&amp;$B1423)+COUNTIFS(LdgSellerB,$A1423,LdgKeyB,"&lt;"&amp;$B1423)+1)</f>
        <v/>
      </c>
      <c r="D1423">
        <f>IF($C1423="","",$A1423&amp;"|"&amp;RIGHT("000000"&amp;$C1423,6))</f>
        <v/>
      </c>
      <c r="F1423">
        <f>IF(Sync!$AH1423="","",IF(LEFT(UPPER(TRIM(Sync!$AH1423)),2)="SL",UPPER(TRIM(Sync!$AH1423)),""))</f>
        <v/>
      </c>
      <c r="G1423">
        <f>IF($F1423="","",IF(Sync!$AE1423="","",IF(ISNUMBER(Sync!$AE1423),IF(AND(Sync!$AE1423&gt;=10000101,Sync!$AE1423&lt;=99991231),INT(Sync!$AE1423/10000),""),IFERROR(VALUE(TRIM(LEFT(Sync!$AE1423,FIND("/",Sync!$AE1423)-1))),""))))</f>
        <v/>
      </c>
      <c r="H1423">
        <f>IF(OR($F1423="",$G1423=""),"",IF(ISNUMBER(Sync!$AE1423),INT(MOD(Sync!$AE1423,10000)/100),IFERROR(VALUE(TRIM(LEFT(MID(Sync!$AE1423,FIND("/",Sync!$AE1423)+1,20),FIND("/",MID(Sync!$AE1423,FIND("/",Sync!$AE1423)+1,20))-1))),"")))</f>
        <v/>
      </c>
      <c r="I1423">
        <f>IF(OR($F1423="",$G1423=""),"",IF(ISNUMBER(Sync!$AE1423),MOD(Sync!$AE1423,100),IFERROR(VALUE(TRIM(MID(MID(Sync!$AE1423,FIND("/",Sync!$AE1423)+1,20),FIND("/",MID(Sync!$AE1423,FIND("/",Sync!$AE1423)+1,20))+1,20))),"")))</f>
        <v/>
      </c>
      <c r="J1423">
        <f>IF($F1423="","",IF(OR($G1423="",$H1423="",$I1423="",$G1423&lt;1300,$G1423&gt;1500,$H1423&lt;1,$H1423&gt;12,$I1423&lt;1,$I1423&gt;31),"نامعتبر",RIGHT("0000"&amp;$G1423,4)&amp;"/"&amp;RIGHT("00"&amp;$H1423,2)&amp;"/"&amp;RIGHT("00"&amp;$I1423,2)))</f>
        <v/>
      </c>
      <c r="K1423">
        <f>IF(OR($F1423="",$J1423="",$J1423="نامعتبر"),"",LEFT($J1423,4)&amp;MID($J1423,6,2)&amp;RIGHT($J1423,2)&amp;$N1423&amp;"|"&amp;"2"&amp;RIGHT("00000"&amp;1418,5))</f>
        <v/>
      </c>
      <c r="L1423">
        <f>IF($K1423="","",COUNTIFS(LdgSellerA,$F1423,LdgKeyA,"&lt;"&amp;$K1423)+COUNTIFS(LdgSellerB,$F1423,LdgKeyB,"&lt;"&amp;$K1423)+1)</f>
        <v/>
      </c>
      <c r="M1423">
        <f>IF($L1423="","",$F1423&amp;"|"&amp;RIGHT("000000"&amp;$L1423,6))</f>
        <v/>
      </c>
      <c r="N1423">
        <f>IF($F1423="","",IF(Sync!$AF1423="","0000",IF(AND(ISNUMBER(Sync!$AF1423),Sync!$AF1423&gt;=0,Sync!$AF1423&lt;1),RIGHT("00"&amp;HOUR(Sync!$AF1423),2)&amp;RIGHT("00"&amp;MINUTE(Sync!$AF1423),2),IFERROR(RIGHT("00"&amp;VALUE(LEFT(Sync!$AF1423,FIND(":",Sync!$AF1423)-1)),2)&amp;RIGHT("00"&amp;VALUE(MID(Sync!$AF1423,FIND(":",Sync!$AF1423)+1,2)),2),"0000"))))</f>
        <v/>
      </c>
    </row>
    <row r="1424">
      <c r="A1424">
        <f>IF(OR(Calc!$E1428="",Calc!$E1428="نامعتبر",Calc!$G1428=""),"",Calc!$G1428)</f>
        <v/>
      </c>
      <c r="B1424">
        <f>IF($A1424="","",LEFT(Calc!$E1428,4)&amp;MID(Calc!$E1428,6,2)&amp;RIGHT(Calc!$E1428,2)&amp;Calc!$Q1428&amp;"|"&amp;"1"&amp;RIGHT("00000"&amp;1419,5))</f>
        <v/>
      </c>
      <c r="C1424">
        <f>IF($B1424="","",COUNTIFS(LdgSellerA,$A1424,LdgKeyA,"&lt;"&amp;$B1424)+COUNTIFS(LdgSellerB,$A1424,LdgKeyB,"&lt;"&amp;$B1424)+1)</f>
        <v/>
      </c>
      <c r="D1424">
        <f>IF($C1424="","",$A1424&amp;"|"&amp;RIGHT("000000"&amp;$C1424,6))</f>
        <v/>
      </c>
      <c r="F1424">
        <f>IF(Sync!$AH1424="","",IF(LEFT(UPPER(TRIM(Sync!$AH1424)),2)="SL",UPPER(TRIM(Sync!$AH1424)),""))</f>
        <v/>
      </c>
      <c r="G1424">
        <f>IF($F1424="","",IF(Sync!$AE1424="","",IF(ISNUMBER(Sync!$AE1424),IF(AND(Sync!$AE1424&gt;=10000101,Sync!$AE1424&lt;=99991231),INT(Sync!$AE1424/10000),""),IFERROR(VALUE(TRIM(LEFT(Sync!$AE1424,FIND("/",Sync!$AE1424)-1))),""))))</f>
        <v/>
      </c>
      <c r="H1424">
        <f>IF(OR($F1424="",$G1424=""),"",IF(ISNUMBER(Sync!$AE1424),INT(MOD(Sync!$AE1424,10000)/100),IFERROR(VALUE(TRIM(LEFT(MID(Sync!$AE1424,FIND("/",Sync!$AE1424)+1,20),FIND("/",MID(Sync!$AE1424,FIND("/",Sync!$AE1424)+1,20))-1))),"")))</f>
        <v/>
      </c>
      <c r="I1424">
        <f>IF(OR($F1424="",$G1424=""),"",IF(ISNUMBER(Sync!$AE1424),MOD(Sync!$AE1424,100),IFERROR(VALUE(TRIM(MID(MID(Sync!$AE1424,FIND("/",Sync!$AE1424)+1,20),FIND("/",MID(Sync!$AE1424,FIND("/",Sync!$AE1424)+1,20))+1,20))),"")))</f>
        <v/>
      </c>
      <c r="J1424">
        <f>IF($F1424="","",IF(OR($G1424="",$H1424="",$I1424="",$G1424&lt;1300,$G1424&gt;1500,$H1424&lt;1,$H1424&gt;12,$I1424&lt;1,$I1424&gt;31),"نامعتبر",RIGHT("0000"&amp;$G1424,4)&amp;"/"&amp;RIGHT("00"&amp;$H1424,2)&amp;"/"&amp;RIGHT("00"&amp;$I1424,2)))</f>
        <v/>
      </c>
      <c r="K1424">
        <f>IF(OR($F1424="",$J1424="",$J1424="نامعتبر"),"",LEFT($J1424,4)&amp;MID($J1424,6,2)&amp;RIGHT($J1424,2)&amp;$N1424&amp;"|"&amp;"2"&amp;RIGHT("00000"&amp;1419,5))</f>
        <v/>
      </c>
      <c r="L1424">
        <f>IF($K1424="","",COUNTIFS(LdgSellerA,$F1424,LdgKeyA,"&lt;"&amp;$K1424)+COUNTIFS(LdgSellerB,$F1424,LdgKeyB,"&lt;"&amp;$K1424)+1)</f>
        <v/>
      </c>
      <c r="M1424">
        <f>IF($L1424="","",$F1424&amp;"|"&amp;RIGHT("000000"&amp;$L1424,6))</f>
        <v/>
      </c>
      <c r="N1424">
        <f>IF($F1424="","",IF(Sync!$AF1424="","0000",IF(AND(ISNUMBER(Sync!$AF1424),Sync!$AF1424&gt;=0,Sync!$AF1424&lt;1),RIGHT("00"&amp;HOUR(Sync!$AF1424),2)&amp;RIGHT("00"&amp;MINUTE(Sync!$AF1424),2),IFERROR(RIGHT("00"&amp;VALUE(LEFT(Sync!$AF1424,FIND(":",Sync!$AF1424)-1)),2)&amp;RIGHT("00"&amp;VALUE(MID(Sync!$AF1424,FIND(":",Sync!$AF1424)+1,2)),2),"0000"))))</f>
        <v/>
      </c>
    </row>
    <row r="1425">
      <c r="A1425">
        <f>IF(OR(Calc!$E1429="",Calc!$E1429="نامعتبر",Calc!$G1429=""),"",Calc!$G1429)</f>
        <v/>
      </c>
      <c r="B1425">
        <f>IF($A1425="","",LEFT(Calc!$E1429,4)&amp;MID(Calc!$E1429,6,2)&amp;RIGHT(Calc!$E1429,2)&amp;Calc!$Q1429&amp;"|"&amp;"1"&amp;RIGHT("00000"&amp;1420,5))</f>
        <v/>
      </c>
      <c r="C1425">
        <f>IF($B1425="","",COUNTIFS(LdgSellerA,$A1425,LdgKeyA,"&lt;"&amp;$B1425)+COUNTIFS(LdgSellerB,$A1425,LdgKeyB,"&lt;"&amp;$B1425)+1)</f>
        <v/>
      </c>
      <c r="D1425">
        <f>IF($C1425="","",$A1425&amp;"|"&amp;RIGHT("000000"&amp;$C1425,6))</f>
        <v/>
      </c>
      <c r="F1425">
        <f>IF(Sync!$AH1425="","",IF(LEFT(UPPER(TRIM(Sync!$AH1425)),2)="SL",UPPER(TRIM(Sync!$AH1425)),""))</f>
        <v/>
      </c>
      <c r="G1425">
        <f>IF($F1425="","",IF(Sync!$AE1425="","",IF(ISNUMBER(Sync!$AE1425),IF(AND(Sync!$AE1425&gt;=10000101,Sync!$AE1425&lt;=99991231),INT(Sync!$AE1425/10000),""),IFERROR(VALUE(TRIM(LEFT(Sync!$AE1425,FIND("/",Sync!$AE1425)-1))),""))))</f>
        <v/>
      </c>
      <c r="H1425">
        <f>IF(OR($F1425="",$G1425=""),"",IF(ISNUMBER(Sync!$AE1425),INT(MOD(Sync!$AE1425,10000)/100),IFERROR(VALUE(TRIM(LEFT(MID(Sync!$AE1425,FIND("/",Sync!$AE1425)+1,20),FIND("/",MID(Sync!$AE1425,FIND("/",Sync!$AE1425)+1,20))-1))),"")))</f>
        <v/>
      </c>
      <c r="I1425">
        <f>IF(OR($F1425="",$G1425=""),"",IF(ISNUMBER(Sync!$AE1425),MOD(Sync!$AE1425,100),IFERROR(VALUE(TRIM(MID(MID(Sync!$AE1425,FIND("/",Sync!$AE1425)+1,20),FIND("/",MID(Sync!$AE1425,FIND("/",Sync!$AE1425)+1,20))+1,20))),"")))</f>
        <v/>
      </c>
      <c r="J1425">
        <f>IF($F1425="","",IF(OR($G1425="",$H1425="",$I1425="",$G1425&lt;1300,$G1425&gt;1500,$H1425&lt;1,$H1425&gt;12,$I1425&lt;1,$I1425&gt;31),"نامعتبر",RIGHT("0000"&amp;$G1425,4)&amp;"/"&amp;RIGHT("00"&amp;$H1425,2)&amp;"/"&amp;RIGHT("00"&amp;$I1425,2)))</f>
        <v/>
      </c>
      <c r="K1425">
        <f>IF(OR($F1425="",$J1425="",$J1425="نامعتبر"),"",LEFT($J1425,4)&amp;MID($J1425,6,2)&amp;RIGHT($J1425,2)&amp;$N1425&amp;"|"&amp;"2"&amp;RIGHT("00000"&amp;1420,5))</f>
        <v/>
      </c>
      <c r="L1425">
        <f>IF($K1425="","",COUNTIFS(LdgSellerA,$F1425,LdgKeyA,"&lt;"&amp;$K1425)+COUNTIFS(LdgSellerB,$F1425,LdgKeyB,"&lt;"&amp;$K1425)+1)</f>
        <v/>
      </c>
      <c r="M1425">
        <f>IF($L1425="","",$F1425&amp;"|"&amp;RIGHT("000000"&amp;$L1425,6))</f>
        <v/>
      </c>
      <c r="N1425">
        <f>IF($F1425="","",IF(Sync!$AF1425="","0000",IF(AND(ISNUMBER(Sync!$AF1425),Sync!$AF1425&gt;=0,Sync!$AF1425&lt;1),RIGHT("00"&amp;HOUR(Sync!$AF1425),2)&amp;RIGHT("00"&amp;MINUTE(Sync!$AF1425),2),IFERROR(RIGHT("00"&amp;VALUE(LEFT(Sync!$AF1425,FIND(":",Sync!$AF1425)-1)),2)&amp;RIGHT("00"&amp;VALUE(MID(Sync!$AF1425,FIND(":",Sync!$AF1425)+1,2)),2),"0000"))))</f>
        <v/>
      </c>
    </row>
    <row r="1426">
      <c r="A1426">
        <f>IF(OR(Calc!$E1430="",Calc!$E1430="نامعتبر",Calc!$G1430=""),"",Calc!$G1430)</f>
        <v/>
      </c>
      <c r="B1426">
        <f>IF($A1426="","",LEFT(Calc!$E1430,4)&amp;MID(Calc!$E1430,6,2)&amp;RIGHT(Calc!$E1430,2)&amp;Calc!$Q1430&amp;"|"&amp;"1"&amp;RIGHT("00000"&amp;1421,5))</f>
        <v/>
      </c>
      <c r="C1426">
        <f>IF($B1426="","",COUNTIFS(LdgSellerA,$A1426,LdgKeyA,"&lt;"&amp;$B1426)+COUNTIFS(LdgSellerB,$A1426,LdgKeyB,"&lt;"&amp;$B1426)+1)</f>
        <v/>
      </c>
      <c r="D1426">
        <f>IF($C1426="","",$A1426&amp;"|"&amp;RIGHT("000000"&amp;$C1426,6))</f>
        <v/>
      </c>
      <c r="F1426">
        <f>IF(Sync!$AH1426="","",IF(LEFT(UPPER(TRIM(Sync!$AH1426)),2)="SL",UPPER(TRIM(Sync!$AH1426)),""))</f>
        <v/>
      </c>
      <c r="G1426">
        <f>IF($F1426="","",IF(Sync!$AE1426="","",IF(ISNUMBER(Sync!$AE1426),IF(AND(Sync!$AE1426&gt;=10000101,Sync!$AE1426&lt;=99991231),INT(Sync!$AE1426/10000),""),IFERROR(VALUE(TRIM(LEFT(Sync!$AE1426,FIND("/",Sync!$AE1426)-1))),""))))</f>
        <v/>
      </c>
      <c r="H1426">
        <f>IF(OR($F1426="",$G1426=""),"",IF(ISNUMBER(Sync!$AE1426),INT(MOD(Sync!$AE1426,10000)/100),IFERROR(VALUE(TRIM(LEFT(MID(Sync!$AE1426,FIND("/",Sync!$AE1426)+1,20),FIND("/",MID(Sync!$AE1426,FIND("/",Sync!$AE1426)+1,20))-1))),"")))</f>
        <v/>
      </c>
      <c r="I1426">
        <f>IF(OR($F1426="",$G1426=""),"",IF(ISNUMBER(Sync!$AE1426),MOD(Sync!$AE1426,100),IFERROR(VALUE(TRIM(MID(MID(Sync!$AE1426,FIND("/",Sync!$AE1426)+1,20),FIND("/",MID(Sync!$AE1426,FIND("/",Sync!$AE1426)+1,20))+1,20))),"")))</f>
        <v/>
      </c>
      <c r="J1426">
        <f>IF($F1426="","",IF(OR($G1426="",$H1426="",$I1426="",$G1426&lt;1300,$G1426&gt;1500,$H1426&lt;1,$H1426&gt;12,$I1426&lt;1,$I1426&gt;31),"نامعتبر",RIGHT("0000"&amp;$G1426,4)&amp;"/"&amp;RIGHT("00"&amp;$H1426,2)&amp;"/"&amp;RIGHT("00"&amp;$I1426,2)))</f>
        <v/>
      </c>
      <c r="K1426">
        <f>IF(OR($F1426="",$J1426="",$J1426="نامعتبر"),"",LEFT($J1426,4)&amp;MID($J1426,6,2)&amp;RIGHT($J1426,2)&amp;$N1426&amp;"|"&amp;"2"&amp;RIGHT("00000"&amp;1421,5))</f>
        <v/>
      </c>
      <c r="L1426">
        <f>IF($K1426="","",COUNTIFS(LdgSellerA,$F1426,LdgKeyA,"&lt;"&amp;$K1426)+COUNTIFS(LdgSellerB,$F1426,LdgKeyB,"&lt;"&amp;$K1426)+1)</f>
        <v/>
      </c>
      <c r="M1426">
        <f>IF($L1426="","",$F1426&amp;"|"&amp;RIGHT("000000"&amp;$L1426,6))</f>
        <v/>
      </c>
      <c r="N1426">
        <f>IF($F1426="","",IF(Sync!$AF1426="","0000",IF(AND(ISNUMBER(Sync!$AF1426),Sync!$AF1426&gt;=0,Sync!$AF1426&lt;1),RIGHT("00"&amp;HOUR(Sync!$AF1426),2)&amp;RIGHT("00"&amp;MINUTE(Sync!$AF1426),2),IFERROR(RIGHT("00"&amp;VALUE(LEFT(Sync!$AF1426,FIND(":",Sync!$AF1426)-1)),2)&amp;RIGHT("00"&amp;VALUE(MID(Sync!$AF1426,FIND(":",Sync!$AF1426)+1,2)),2),"0000"))))</f>
        <v/>
      </c>
    </row>
    <row r="1427">
      <c r="A1427">
        <f>IF(OR(Calc!$E1431="",Calc!$E1431="نامعتبر",Calc!$G1431=""),"",Calc!$G1431)</f>
        <v/>
      </c>
      <c r="B1427">
        <f>IF($A1427="","",LEFT(Calc!$E1431,4)&amp;MID(Calc!$E1431,6,2)&amp;RIGHT(Calc!$E1431,2)&amp;Calc!$Q1431&amp;"|"&amp;"1"&amp;RIGHT("00000"&amp;1422,5))</f>
        <v/>
      </c>
      <c r="C1427">
        <f>IF($B1427="","",COUNTIFS(LdgSellerA,$A1427,LdgKeyA,"&lt;"&amp;$B1427)+COUNTIFS(LdgSellerB,$A1427,LdgKeyB,"&lt;"&amp;$B1427)+1)</f>
        <v/>
      </c>
      <c r="D1427">
        <f>IF($C1427="","",$A1427&amp;"|"&amp;RIGHT("000000"&amp;$C1427,6))</f>
        <v/>
      </c>
      <c r="F1427">
        <f>IF(Sync!$AH1427="","",IF(LEFT(UPPER(TRIM(Sync!$AH1427)),2)="SL",UPPER(TRIM(Sync!$AH1427)),""))</f>
        <v/>
      </c>
      <c r="G1427">
        <f>IF($F1427="","",IF(Sync!$AE1427="","",IF(ISNUMBER(Sync!$AE1427),IF(AND(Sync!$AE1427&gt;=10000101,Sync!$AE1427&lt;=99991231),INT(Sync!$AE1427/10000),""),IFERROR(VALUE(TRIM(LEFT(Sync!$AE1427,FIND("/",Sync!$AE1427)-1))),""))))</f>
        <v/>
      </c>
      <c r="H1427">
        <f>IF(OR($F1427="",$G1427=""),"",IF(ISNUMBER(Sync!$AE1427),INT(MOD(Sync!$AE1427,10000)/100),IFERROR(VALUE(TRIM(LEFT(MID(Sync!$AE1427,FIND("/",Sync!$AE1427)+1,20),FIND("/",MID(Sync!$AE1427,FIND("/",Sync!$AE1427)+1,20))-1))),"")))</f>
        <v/>
      </c>
      <c r="I1427">
        <f>IF(OR($F1427="",$G1427=""),"",IF(ISNUMBER(Sync!$AE1427),MOD(Sync!$AE1427,100),IFERROR(VALUE(TRIM(MID(MID(Sync!$AE1427,FIND("/",Sync!$AE1427)+1,20),FIND("/",MID(Sync!$AE1427,FIND("/",Sync!$AE1427)+1,20))+1,20))),"")))</f>
        <v/>
      </c>
      <c r="J1427">
        <f>IF($F1427="","",IF(OR($G1427="",$H1427="",$I1427="",$G1427&lt;1300,$G1427&gt;1500,$H1427&lt;1,$H1427&gt;12,$I1427&lt;1,$I1427&gt;31),"نامعتبر",RIGHT("0000"&amp;$G1427,4)&amp;"/"&amp;RIGHT("00"&amp;$H1427,2)&amp;"/"&amp;RIGHT("00"&amp;$I1427,2)))</f>
        <v/>
      </c>
      <c r="K1427">
        <f>IF(OR($F1427="",$J1427="",$J1427="نامعتبر"),"",LEFT($J1427,4)&amp;MID($J1427,6,2)&amp;RIGHT($J1427,2)&amp;$N1427&amp;"|"&amp;"2"&amp;RIGHT("00000"&amp;1422,5))</f>
        <v/>
      </c>
      <c r="L1427">
        <f>IF($K1427="","",COUNTIFS(LdgSellerA,$F1427,LdgKeyA,"&lt;"&amp;$K1427)+COUNTIFS(LdgSellerB,$F1427,LdgKeyB,"&lt;"&amp;$K1427)+1)</f>
        <v/>
      </c>
      <c r="M1427">
        <f>IF($L1427="","",$F1427&amp;"|"&amp;RIGHT("000000"&amp;$L1427,6))</f>
        <v/>
      </c>
      <c r="N1427">
        <f>IF($F1427="","",IF(Sync!$AF1427="","0000",IF(AND(ISNUMBER(Sync!$AF1427),Sync!$AF1427&gt;=0,Sync!$AF1427&lt;1),RIGHT("00"&amp;HOUR(Sync!$AF1427),2)&amp;RIGHT("00"&amp;MINUTE(Sync!$AF1427),2),IFERROR(RIGHT("00"&amp;VALUE(LEFT(Sync!$AF1427,FIND(":",Sync!$AF1427)-1)),2)&amp;RIGHT("00"&amp;VALUE(MID(Sync!$AF1427,FIND(":",Sync!$AF1427)+1,2)),2),"0000"))))</f>
        <v/>
      </c>
    </row>
    <row r="1428">
      <c r="A1428">
        <f>IF(OR(Calc!$E1432="",Calc!$E1432="نامعتبر",Calc!$G1432=""),"",Calc!$G1432)</f>
        <v/>
      </c>
      <c r="B1428">
        <f>IF($A1428="","",LEFT(Calc!$E1432,4)&amp;MID(Calc!$E1432,6,2)&amp;RIGHT(Calc!$E1432,2)&amp;Calc!$Q1432&amp;"|"&amp;"1"&amp;RIGHT("00000"&amp;1423,5))</f>
        <v/>
      </c>
      <c r="C1428">
        <f>IF($B1428="","",COUNTIFS(LdgSellerA,$A1428,LdgKeyA,"&lt;"&amp;$B1428)+COUNTIFS(LdgSellerB,$A1428,LdgKeyB,"&lt;"&amp;$B1428)+1)</f>
        <v/>
      </c>
      <c r="D1428">
        <f>IF($C1428="","",$A1428&amp;"|"&amp;RIGHT("000000"&amp;$C1428,6))</f>
        <v/>
      </c>
      <c r="F1428">
        <f>IF(Sync!$AH1428="","",IF(LEFT(UPPER(TRIM(Sync!$AH1428)),2)="SL",UPPER(TRIM(Sync!$AH1428)),""))</f>
        <v/>
      </c>
      <c r="G1428">
        <f>IF($F1428="","",IF(Sync!$AE1428="","",IF(ISNUMBER(Sync!$AE1428),IF(AND(Sync!$AE1428&gt;=10000101,Sync!$AE1428&lt;=99991231),INT(Sync!$AE1428/10000),""),IFERROR(VALUE(TRIM(LEFT(Sync!$AE1428,FIND("/",Sync!$AE1428)-1))),""))))</f>
        <v/>
      </c>
      <c r="H1428">
        <f>IF(OR($F1428="",$G1428=""),"",IF(ISNUMBER(Sync!$AE1428),INT(MOD(Sync!$AE1428,10000)/100),IFERROR(VALUE(TRIM(LEFT(MID(Sync!$AE1428,FIND("/",Sync!$AE1428)+1,20),FIND("/",MID(Sync!$AE1428,FIND("/",Sync!$AE1428)+1,20))-1))),"")))</f>
        <v/>
      </c>
      <c r="I1428">
        <f>IF(OR($F1428="",$G1428=""),"",IF(ISNUMBER(Sync!$AE1428),MOD(Sync!$AE1428,100),IFERROR(VALUE(TRIM(MID(MID(Sync!$AE1428,FIND("/",Sync!$AE1428)+1,20),FIND("/",MID(Sync!$AE1428,FIND("/",Sync!$AE1428)+1,20))+1,20))),"")))</f>
        <v/>
      </c>
      <c r="J1428">
        <f>IF($F1428="","",IF(OR($G1428="",$H1428="",$I1428="",$G1428&lt;1300,$G1428&gt;1500,$H1428&lt;1,$H1428&gt;12,$I1428&lt;1,$I1428&gt;31),"نامعتبر",RIGHT("0000"&amp;$G1428,4)&amp;"/"&amp;RIGHT("00"&amp;$H1428,2)&amp;"/"&amp;RIGHT("00"&amp;$I1428,2)))</f>
        <v/>
      </c>
      <c r="K1428">
        <f>IF(OR($F1428="",$J1428="",$J1428="نامعتبر"),"",LEFT($J1428,4)&amp;MID($J1428,6,2)&amp;RIGHT($J1428,2)&amp;$N1428&amp;"|"&amp;"2"&amp;RIGHT("00000"&amp;1423,5))</f>
        <v/>
      </c>
      <c r="L1428">
        <f>IF($K1428="","",COUNTIFS(LdgSellerA,$F1428,LdgKeyA,"&lt;"&amp;$K1428)+COUNTIFS(LdgSellerB,$F1428,LdgKeyB,"&lt;"&amp;$K1428)+1)</f>
        <v/>
      </c>
      <c r="M1428">
        <f>IF($L1428="","",$F1428&amp;"|"&amp;RIGHT("000000"&amp;$L1428,6))</f>
        <v/>
      </c>
      <c r="N1428">
        <f>IF($F1428="","",IF(Sync!$AF1428="","0000",IF(AND(ISNUMBER(Sync!$AF1428),Sync!$AF1428&gt;=0,Sync!$AF1428&lt;1),RIGHT("00"&amp;HOUR(Sync!$AF1428),2)&amp;RIGHT("00"&amp;MINUTE(Sync!$AF1428),2),IFERROR(RIGHT("00"&amp;VALUE(LEFT(Sync!$AF1428,FIND(":",Sync!$AF1428)-1)),2)&amp;RIGHT("00"&amp;VALUE(MID(Sync!$AF1428,FIND(":",Sync!$AF1428)+1,2)),2),"0000"))))</f>
        <v/>
      </c>
    </row>
    <row r="1429">
      <c r="A1429">
        <f>IF(OR(Calc!$E1433="",Calc!$E1433="نامعتبر",Calc!$G1433=""),"",Calc!$G1433)</f>
        <v/>
      </c>
      <c r="B1429">
        <f>IF($A1429="","",LEFT(Calc!$E1433,4)&amp;MID(Calc!$E1433,6,2)&amp;RIGHT(Calc!$E1433,2)&amp;Calc!$Q1433&amp;"|"&amp;"1"&amp;RIGHT("00000"&amp;1424,5))</f>
        <v/>
      </c>
      <c r="C1429">
        <f>IF($B1429="","",COUNTIFS(LdgSellerA,$A1429,LdgKeyA,"&lt;"&amp;$B1429)+COUNTIFS(LdgSellerB,$A1429,LdgKeyB,"&lt;"&amp;$B1429)+1)</f>
        <v/>
      </c>
      <c r="D1429">
        <f>IF($C1429="","",$A1429&amp;"|"&amp;RIGHT("000000"&amp;$C1429,6))</f>
        <v/>
      </c>
      <c r="F1429">
        <f>IF(Sync!$AH1429="","",IF(LEFT(UPPER(TRIM(Sync!$AH1429)),2)="SL",UPPER(TRIM(Sync!$AH1429)),""))</f>
        <v/>
      </c>
      <c r="G1429">
        <f>IF($F1429="","",IF(Sync!$AE1429="","",IF(ISNUMBER(Sync!$AE1429),IF(AND(Sync!$AE1429&gt;=10000101,Sync!$AE1429&lt;=99991231),INT(Sync!$AE1429/10000),""),IFERROR(VALUE(TRIM(LEFT(Sync!$AE1429,FIND("/",Sync!$AE1429)-1))),""))))</f>
        <v/>
      </c>
      <c r="H1429">
        <f>IF(OR($F1429="",$G1429=""),"",IF(ISNUMBER(Sync!$AE1429),INT(MOD(Sync!$AE1429,10000)/100),IFERROR(VALUE(TRIM(LEFT(MID(Sync!$AE1429,FIND("/",Sync!$AE1429)+1,20),FIND("/",MID(Sync!$AE1429,FIND("/",Sync!$AE1429)+1,20))-1))),"")))</f>
        <v/>
      </c>
      <c r="I1429">
        <f>IF(OR($F1429="",$G1429=""),"",IF(ISNUMBER(Sync!$AE1429),MOD(Sync!$AE1429,100),IFERROR(VALUE(TRIM(MID(MID(Sync!$AE1429,FIND("/",Sync!$AE1429)+1,20),FIND("/",MID(Sync!$AE1429,FIND("/",Sync!$AE1429)+1,20))+1,20))),"")))</f>
        <v/>
      </c>
      <c r="J1429">
        <f>IF($F1429="","",IF(OR($G1429="",$H1429="",$I1429="",$G1429&lt;1300,$G1429&gt;1500,$H1429&lt;1,$H1429&gt;12,$I1429&lt;1,$I1429&gt;31),"نامعتبر",RIGHT("0000"&amp;$G1429,4)&amp;"/"&amp;RIGHT("00"&amp;$H1429,2)&amp;"/"&amp;RIGHT("00"&amp;$I1429,2)))</f>
        <v/>
      </c>
      <c r="K1429">
        <f>IF(OR($F1429="",$J1429="",$J1429="نامعتبر"),"",LEFT($J1429,4)&amp;MID($J1429,6,2)&amp;RIGHT($J1429,2)&amp;$N1429&amp;"|"&amp;"2"&amp;RIGHT("00000"&amp;1424,5))</f>
        <v/>
      </c>
      <c r="L1429">
        <f>IF($K1429="","",COUNTIFS(LdgSellerA,$F1429,LdgKeyA,"&lt;"&amp;$K1429)+COUNTIFS(LdgSellerB,$F1429,LdgKeyB,"&lt;"&amp;$K1429)+1)</f>
        <v/>
      </c>
      <c r="M1429">
        <f>IF($L1429="","",$F1429&amp;"|"&amp;RIGHT("000000"&amp;$L1429,6))</f>
        <v/>
      </c>
      <c r="N1429">
        <f>IF($F1429="","",IF(Sync!$AF1429="","0000",IF(AND(ISNUMBER(Sync!$AF1429),Sync!$AF1429&gt;=0,Sync!$AF1429&lt;1),RIGHT("00"&amp;HOUR(Sync!$AF1429),2)&amp;RIGHT("00"&amp;MINUTE(Sync!$AF1429),2),IFERROR(RIGHT("00"&amp;VALUE(LEFT(Sync!$AF1429,FIND(":",Sync!$AF1429)-1)),2)&amp;RIGHT("00"&amp;VALUE(MID(Sync!$AF1429,FIND(":",Sync!$AF1429)+1,2)),2),"0000"))))</f>
        <v/>
      </c>
    </row>
    <row r="1430">
      <c r="A1430">
        <f>IF(OR(Calc!$E1434="",Calc!$E1434="نامعتبر",Calc!$G1434=""),"",Calc!$G1434)</f>
        <v/>
      </c>
      <c r="B1430">
        <f>IF($A1430="","",LEFT(Calc!$E1434,4)&amp;MID(Calc!$E1434,6,2)&amp;RIGHT(Calc!$E1434,2)&amp;Calc!$Q1434&amp;"|"&amp;"1"&amp;RIGHT("00000"&amp;1425,5))</f>
        <v/>
      </c>
      <c r="C1430">
        <f>IF($B1430="","",COUNTIFS(LdgSellerA,$A1430,LdgKeyA,"&lt;"&amp;$B1430)+COUNTIFS(LdgSellerB,$A1430,LdgKeyB,"&lt;"&amp;$B1430)+1)</f>
        <v/>
      </c>
      <c r="D1430">
        <f>IF($C1430="","",$A1430&amp;"|"&amp;RIGHT("000000"&amp;$C1430,6))</f>
        <v/>
      </c>
      <c r="F1430">
        <f>IF(Sync!$AH1430="","",IF(LEFT(UPPER(TRIM(Sync!$AH1430)),2)="SL",UPPER(TRIM(Sync!$AH1430)),""))</f>
        <v/>
      </c>
      <c r="G1430">
        <f>IF($F1430="","",IF(Sync!$AE1430="","",IF(ISNUMBER(Sync!$AE1430),IF(AND(Sync!$AE1430&gt;=10000101,Sync!$AE1430&lt;=99991231),INT(Sync!$AE1430/10000),""),IFERROR(VALUE(TRIM(LEFT(Sync!$AE1430,FIND("/",Sync!$AE1430)-1))),""))))</f>
        <v/>
      </c>
      <c r="H1430">
        <f>IF(OR($F1430="",$G1430=""),"",IF(ISNUMBER(Sync!$AE1430),INT(MOD(Sync!$AE1430,10000)/100),IFERROR(VALUE(TRIM(LEFT(MID(Sync!$AE1430,FIND("/",Sync!$AE1430)+1,20),FIND("/",MID(Sync!$AE1430,FIND("/",Sync!$AE1430)+1,20))-1))),"")))</f>
        <v/>
      </c>
      <c r="I1430">
        <f>IF(OR($F1430="",$G1430=""),"",IF(ISNUMBER(Sync!$AE1430),MOD(Sync!$AE1430,100),IFERROR(VALUE(TRIM(MID(MID(Sync!$AE1430,FIND("/",Sync!$AE1430)+1,20),FIND("/",MID(Sync!$AE1430,FIND("/",Sync!$AE1430)+1,20))+1,20))),"")))</f>
        <v/>
      </c>
      <c r="J1430">
        <f>IF($F1430="","",IF(OR($G1430="",$H1430="",$I1430="",$G1430&lt;1300,$G1430&gt;1500,$H1430&lt;1,$H1430&gt;12,$I1430&lt;1,$I1430&gt;31),"نامعتبر",RIGHT("0000"&amp;$G1430,4)&amp;"/"&amp;RIGHT("00"&amp;$H1430,2)&amp;"/"&amp;RIGHT("00"&amp;$I1430,2)))</f>
        <v/>
      </c>
      <c r="K1430">
        <f>IF(OR($F1430="",$J1430="",$J1430="نامعتبر"),"",LEFT($J1430,4)&amp;MID($J1430,6,2)&amp;RIGHT($J1430,2)&amp;$N1430&amp;"|"&amp;"2"&amp;RIGHT("00000"&amp;1425,5))</f>
        <v/>
      </c>
      <c r="L1430">
        <f>IF($K1430="","",COUNTIFS(LdgSellerA,$F1430,LdgKeyA,"&lt;"&amp;$K1430)+COUNTIFS(LdgSellerB,$F1430,LdgKeyB,"&lt;"&amp;$K1430)+1)</f>
        <v/>
      </c>
      <c r="M1430">
        <f>IF($L1430="","",$F1430&amp;"|"&amp;RIGHT("000000"&amp;$L1430,6))</f>
        <v/>
      </c>
      <c r="N1430">
        <f>IF($F1430="","",IF(Sync!$AF1430="","0000",IF(AND(ISNUMBER(Sync!$AF1430),Sync!$AF1430&gt;=0,Sync!$AF1430&lt;1),RIGHT("00"&amp;HOUR(Sync!$AF1430),2)&amp;RIGHT("00"&amp;MINUTE(Sync!$AF1430),2),IFERROR(RIGHT("00"&amp;VALUE(LEFT(Sync!$AF1430,FIND(":",Sync!$AF1430)-1)),2)&amp;RIGHT("00"&amp;VALUE(MID(Sync!$AF1430,FIND(":",Sync!$AF1430)+1,2)),2),"0000"))))</f>
        <v/>
      </c>
    </row>
    <row r="1431">
      <c r="A1431">
        <f>IF(OR(Calc!$E1435="",Calc!$E1435="نامعتبر",Calc!$G1435=""),"",Calc!$G1435)</f>
        <v/>
      </c>
      <c r="B1431">
        <f>IF($A1431="","",LEFT(Calc!$E1435,4)&amp;MID(Calc!$E1435,6,2)&amp;RIGHT(Calc!$E1435,2)&amp;Calc!$Q1435&amp;"|"&amp;"1"&amp;RIGHT("00000"&amp;1426,5))</f>
        <v/>
      </c>
      <c r="C1431">
        <f>IF($B1431="","",COUNTIFS(LdgSellerA,$A1431,LdgKeyA,"&lt;"&amp;$B1431)+COUNTIFS(LdgSellerB,$A1431,LdgKeyB,"&lt;"&amp;$B1431)+1)</f>
        <v/>
      </c>
      <c r="D1431">
        <f>IF($C1431="","",$A1431&amp;"|"&amp;RIGHT("000000"&amp;$C1431,6))</f>
        <v/>
      </c>
      <c r="F1431">
        <f>IF(Sync!$AH1431="","",IF(LEFT(UPPER(TRIM(Sync!$AH1431)),2)="SL",UPPER(TRIM(Sync!$AH1431)),""))</f>
        <v/>
      </c>
      <c r="G1431">
        <f>IF($F1431="","",IF(Sync!$AE1431="","",IF(ISNUMBER(Sync!$AE1431),IF(AND(Sync!$AE1431&gt;=10000101,Sync!$AE1431&lt;=99991231),INT(Sync!$AE1431/10000),""),IFERROR(VALUE(TRIM(LEFT(Sync!$AE1431,FIND("/",Sync!$AE1431)-1))),""))))</f>
        <v/>
      </c>
      <c r="H1431">
        <f>IF(OR($F1431="",$G1431=""),"",IF(ISNUMBER(Sync!$AE1431),INT(MOD(Sync!$AE1431,10000)/100),IFERROR(VALUE(TRIM(LEFT(MID(Sync!$AE1431,FIND("/",Sync!$AE1431)+1,20),FIND("/",MID(Sync!$AE1431,FIND("/",Sync!$AE1431)+1,20))-1))),"")))</f>
        <v/>
      </c>
      <c r="I1431">
        <f>IF(OR($F1431="",$G1431=""),"",IF(ISNUMBER(Sync!$AE1431),MOD(Sync!$AE1431,100),IFERROR(VALUE(TRIM(MID(MID(Sync!$AE1431,FIND("/",Sync!$AE1431)+1,20),FIND("/",MID(Sync!$AE1431,FIND("/",Sync!$AE1431)+1,20))+1,20))),"")))</f>
        <v/>
      </c>
      <c r="J1431">
        <f>IF($F1431="","",IF(OR($G1431="",$H1431="",$I1431="",$G1431&lt;1300,$G1431&gt;1500,$H1431&lt;1,$H1431&gt;12,$I1431&lt;1,$I1431&gt;31),"نامعتبر",RIGHT("0000"&amp;$G1431,4)&amp;"/"&amp;RIGHT("00"&amp;$H1431,2)&amp;"/"&amp;RIGHT("00"&amp;$I1431,2)))</f>
        <v/>
      </c>
      <c r="K1431">
        <f>IF(OR($F1431="",$J1431="",$J1431="نامعتبر"),"",LEFT($J1431,4)&amp;MID($J1431,6,2)&amp;RIGHT($J1431,2)&amp;$N1431&amp;"|"&amp;"2"&amp;RIGHT("00000"&amp;1426,5))</f>
        <v/>
      </c>
      <c r="L1431">
        <f>IF($K1431="","",COUNTIFS(LdgSellerA,$F1431,LdgKeyA,"&lt;"&amp;$K1431)+COUNTIFS(LdgSellerB,$F1431,LdgKeyB,"&lt;"&amp;$K1431)+1)</f>
        <v/>
      </c>
      <c r="M1431">
        <f>IF($L1431="","",$F1431&amp;"|"&amp;RIGHT("000000"&amp;$L1431,6))</f>
        <v/>
      </c>
      <c r="N1431">
        <f>IF($F1431="","",IF(Sync!$AF1431="","0000",IF(AND(ISNUMBER(Sync!$AF1431),Sync!$AF1431&gt;=0,Sync!$AF1431&lt;1),RIGHT("00"&amp;HOUR(Sync!$AF1431),2)&amp;RIGHT("00"&amp;MINUTE(Sync!$AF1431),2),IFERROR(RIGHT("00"&amp;VALUE(LEFT(Sync!$AF1431,FIND(":",Sync!$AF1431)-1)),2)&amp;RIGHT("00"&amp;VALUE(MID(Sync!$AF1431,FIND(":",Sync!$AF1431)+1,2)),2),"0000"))))</f>
        <v/>
      </c>
    </row>
    <row r="1432">
      <c r="A1432">
        <f>IF(OR(Calc!$E1436="",Calc!$E1436="نامعتبر",Calc!$G1436=""),"",Calc!$G1436)</f>
        <v/>
      </c>
      <c r="B1432">
        <f>IF($A1432="","",LEFT(Calc!$E1436,4)&amp;MID(Calc!$E1436,6,2)&amp;RIGHT(Calc!$E1436,2)&amp;Calc!$Q1436&amp;"|"&amp;"1"&amp;RIGHT("00000"&amp;1427,5))</f>
        <v/>
      </c>
      <c r="C1432">
        <f>IF($B1432="","",COUNTIFS(LdgSellerA,$A1432,LdgKeyA,"&lt;"&amp;$B1432)+COUNTIFS(LdgSellerB,$A1432,LdgKeyB,"&lt;"&amp;$B1432)+1)</f>
        <v/>
      </c>
      <c r="D1432">
        <f>IF($C1432="","",$A1432&amp;"|"&amp;RIGHT("000000"&amp;$C1432,6))</f>
        <v/>
      </c>
      <c r="F1432">
        <f>IF(Sync!$AH1432="","",IF(LEFT(UPPER(TRIM(Sync!$AH1432)),2)="SL",UPPER(TRIM(Sync!$AH1432)),""))</f>
        <v/>
      </c>
      <c r="G1432">
        <f>IF($F1432="","",IF(Sync!$AE1432="","",IF(ISNUMBER(Sync!$AE1432),IF(AND(Sync!$AE1432&gt;=10000101,Sync!$AE1432&lt;=99991231),INT(Sync!$AE1432/10000),""),IFERROR(VALUE(TRIM(LEFT(Sync!$AE1432,FIND("/",Sync!$AE1432)-1))),""))))</f>
        <v/>
      </c>
      <c r="H1432">
        <f>IF(OR($F1432="",$G1432=""),"",IF(ISNUMBER(Sync!$AE1432),INT(MOD(Sync!$AE1432,10000)/100),IFERROR(VALUE(TRIM(LEFT(MID(Sync!$AE1432,FIND("/",Sync!$AE1432)+1,20),FIND("/",MID(Sync!$AE1432,FIND("/",Sync!$AE1432)+1,20))-1))),"")))</f>
        <v/>
      </c>
      <c r="I1432">
        <f>IF(OR($F1432="",$G1432=""),"",IF(ISNUMBER(Sync!$AE1432),MOD(Sync!$AE1432,100),IFERROR(VALUE(TRIM(MID(MID(Sync!$AE1432,FIND("/",Sync!$AE1432)+1,20),FIND("/",MID(Sync!$AE1432,FIND("/",Sync!$AE1432)+1,20))+1,20))),"")))</f>
        <v/>
      </c>
      <c r="J1432">
        <f>IF($F1432="","",IF(OR($G1432="",$H1432="",$I1432="",$G1432&lt;1300,$G1432&gt;1500,$H1432&lt;1,$H1432&gt;12,$I1432&lt;1,$I1432&gt;31),"نامعتبر",RIGHT("0000"&amp;$G1432,4)&amp;"/"&amp;RIGHT("00"&amp;$H1432,2)&amp;"/"&amp;RIGHT("00"&amp;$I1432,2)))</f>
        <v/>
      </c>
      <c r="K1432">
        <f>IF(OR($F1432="",$J1432="",$J1432="نامعتبر"),"",LEFT($J1432,4)&amp;MID($J1432,6,2)&amp;RIGHT($J1432,2)&amp;$N1432&amp;"|"&amp;"2"&amp;RIGHT("00000"&amp;1427,5))</f>
        <v/>
      </c>
      <c r="L1432">
        <f>IF($K1432="","",COUNTIFS(LdgSellerA,$F1432,LdgKeyA,"&lt;"&amp;$K1432)+COUNTIFS(LdgSellerB,$F1432,LdgKeyB,"&lt;"&amp;$K1432)+1)</f>
        <v/>
      </c>
      <c r="M1432">
        <f>IF($L1432="","",$F1432&amp;"|"&amp;RIGHT("000000"&amp;$L1432,6))</f>
        <v/>
      </c>
      <c r="N1432">
        <f>IF($F1432="","",IF(Sync!$AF1432="","0000",IF(AND(ISNUMBER(Sync!$AF1432),Sync!$AF1432&gt;=0,Sync!$AF1432&lt;1),RIGHT("00"&amp;HOUR(Sync!$AF1432),2)&amp;RIGHT("00"&amp;MINUTE(Sync!$AF1432),2),IFERROR(RIGHT("00"&amp;VALUE(LEFT(Sync!$AF1432,FIND(":",Sync!$AF1432)-1)),2)&amp;RIGHT("00"&amp;VALUE(MID(Sync!$AF1432,FIND(":",Sync!$AF1432)+1,2)),2),"0000"))))</f>
        <v/>
      </c>
    </row>
    <row r="1433">
      <c r="A1433">
        <f>IF(OR(Calc!$E1437="",Calc!$E1437="نامعتبر",Calc!$G1437=""),"",Calc!$G1437)</f>
        <v/>
      </c>
      <c r="B1433">
        <f>IF($A1433="","",LEFT(Calc!$E1437,4)&amp;MID(Calc!$E1437,6,2)&amp;RIGHT(Calc!$E1437,2)&amp;Calc!$Q1437&amp;"|"&amp;"1"&amp;RIGHT("00000"&amp;1428,5))</f>
        <v/>
      </c>
      <c r="C1433">
        <f>IF($B1433="","",COUNTIFS(LdgSellerA,$A1433,LdgKeyA,"&lt;"&amp;$B1433)+COUNTIFS(LdgSellerB,$A1433,LdgKeyB,"&lt;"&amp;$B1433)+1)</f>
        <v/>
      </c>
      <c r="D1433">
        <f>IF($C1433="","",$A1433&amp;"|"&amp;RIGHT("000000"&amp;$C1433,6))</f>
        <v/>
      </c>
      <c r="F1433">
        <f>IF(Sync!$AH1433="","",IF(LEFT(UPPER(TRIM(Sync!$AH1433)),2)="SL",UPPER(TRIM(Sync!$AH1433)),""))</f>
        <v/>
      </c>
      <c r="G1433">
        <f>IF($F1433="","",IF(Sync!$AE1433="","",IF(ISNUMBER(Sync!$AE1433),IF(AND(Sync!$AE1433&gt;=10000101,Sync!$AE1433&lt;=99991231),INT(Sync!$AE1433/10000),""),IFERROR(VALUE(TRIM(LEFT(Sync!$AE1433,FIND("/",Sync!$AE1433)-1))),""))))</f>
        <v/>
      </c>
      <c r="H1433">
        <f>IF(OR($F1433="",$G1433=""),"",IF(ISNUMBER(Sync!$AE1433),INT(MOD(Sync!$AE1433,10000)/100),IFERROR(VALUE(TRIM(LEFT(MID(Sync!$AE1433,FIND("/",Sync!$AE1433)+1,20),FIND("/",MID(Sync!$AE1433,FIND("/",Sync!$AE1433)+1,20))-1))),"")))</f>
        <v/>
      </c>
      <c r="I1433">
        <f>IF(OR($F1433="",$G1433=""),"",IF(ISNUMBER(Sync!$AE1433),MOD(Sync!$AE1433,100),IFERROR(VALUE(TRIM(MID(MID(Sync!$AE1433,FIND("/",Sync!$AE1433)+1,20),FIND("/",MID(Sync!$AE1433,FIND("/",Sync!$AE1433)+1,20))+1,20))),"")))</f>
        <v/>
      </c>
      <c r="J1433">
        <f>IF($F1433="","",IF(OR($G1433="",$H1433="",$I1433="",$G1433&lt;1300,$G1433&gt;1500,$H1433&lt;1,$H1433&gt;12,$I1433&lt;1,$I1433&gt;31),"نامعتبر",RIGHT("0000"&amp;$G1433,4)&amp;"/"&amp;RIGHT("00"&amp;$H1433,2)&amp;"/"&amp;RIGHT("00"&amp;$I1433,2)))</f>
        <v/>
      </c>
      <c r="K1433">
        <f>IF(OR($F1433="",$J1433="",$J1433="نامعتبر"),"",LEFT($J1433,4)&amp;MID($J1433,6,2)&amp;RIGHT($J1433,2)&amp;$N1433&amp;"|"&amp;"2"&amp;RIGHT("00000"&amp;1428,5))</f>
        <v/>
      </c>
      <c r="L1433">
        <f>IF($K1433="","",COUNTIFS(LdgSellerA,$F1433,LdgKeyA,"&lt;"&amp;$K1433)+COUNTIFS(LdgSellerB,$F1433,LdgKeyB,"&lt;"&amp;$K1433)+1)</f>
        <v/>
      </c>
      <c r="M1433">
        <f>IF($L1433="","",$F1433&amp;"|"&amp;RIGHT("000000"&amp;$L1433,6))</f>
        <v/>
      </c>
      <c r="N1433">
        <f>IF($F1433="","",IF(Sync!$AF1433="","0000",IF(AND(ISNUMBER(Sync!$AF1433),Sync!$AF1433&gt;=0,Sync!$AF1433&lt;1),RIGHT("00"&amp;HOUR(Sync!$AF1433),2)&amp;RIGHT("00"&amp;MINUTE(Sync!$AF1433),2),IFERROR(RIGHT("00"&amp;VALUE(LEFT(Sync!$AF1433,FIND(":",Sync!$AF1433)-1)),2)&amp;RIGHT("00"&amp;VALUE(MID(Sync!$AF1433,FIND(":",Sync!$AF1433)+1,2)),2),"0000"))))</f>
        <v/>
      </c>
    </row>
    <row r="1434">
      <c r="A1434">
        <f>IF(OR(Calc!$E1438="",Calc!$E1438="نامعتبر",Calc!$G1438=""),"",Calc!$G1438)</f>
        <v/>
      </c>
      <c r="B1434">
        <f>IF($A1434="","",LEFT(Calc!$E1438,4)&amp;MID(Calc!$E1438,6,2)&amp;RIGHT(Calc!$E1438,2)&amp;Calc!$Q1438&amp;"|"&amp;"1"&amp;RIGHT("00000"&amp;1429,5))</f>
        <v/>
      </c>
      <c r="C1434">
        <f>IF($B1434="","",COUNTIFS(LdgSellerA,$A1434,LdgKeyA,"&lt;"&amp;$B1434)+COUNTIFS(LdgSellerB,$A1434,LdgKeyB,"&lt;"&amp;$B1434)+1)</f>
        <v/>
      </c>
      <c r="D1434">
        <f>IF($C1434="","",$A1434&amp;"|"&amp;RIGHT("000000"&amp;$C1434,6))</f>
        <v/>
      </c>
      <c r="F1434">
        <f>IF(Sync!$AH1434="","",IF(LEFT(UPPER(TRIM(Sync!$AH1434)),2)="SL",UPPER(TRIM(Sync!$AH1434)),""))</f>
        <v/>
      </c>
      <c r="G1434">
        <f>IF($F1434="","",IF(Sync!$AE1434="","",IF(ISNUMBER(Sync!$AE1434),IF(AND(Sync!$AE1434&gt;=10000101,Sync!$AE1434&lt;=99991231),INT(Sync!$AE1434/10000),""),IFERROR(VALUE(TRIM(LEFT(Sync!$AE1434,FIND("/",Sync!$AE1434)-1))),""))))</f>
        <v/>
      </c>
      <c r="H1434">
        <f>IF(OR($F1434="",$G1434=""),"",IF(ISNUMBER(Sync!$AE1434),INT(MOD(Sync!$AE1434,10000)/100),IFERROR(VALUE(TRIM(LEFT(MID(Sync!$AE1434,FIND("/",Sync!$AE1434)+1,20),FIND("/",MID(Sync!$AE1434,FIND("/",Sync!$AE1434)+1,20))-1))),"")))</f>
        <v/>
      </c>
      <c r="I1434">
        <f>IF(OR($F1434="",$G1434=""),"",IF(ISNUMBER(Sync!$AE1434),MOD(Sync!$AE1434,100),IFERROR(VALUE(TRIM(MID(MID(Sync!$AE1434,FIND("/",Sync!$AE1434)+1,20),FIND("/",MID(Sync!$AE1434,FIND("/",Sync!$AE1434)+1,20))+1,20))),"")))</f>
        <v/>
      </c>
      <c r="J1434">
        <f>IF($F1434="","",IF(OR($G1434="",$H1434="",$I1434="",$G1434&lt;1300,$G1434&gt;1500,$H1434&lt;1,$H1434&gt;12,$I1434&lt;1,$I1434&gt;31),"نامعتبر",RIGHT("0000"&amp;$G1434,4)&amp;"/"&amp;RIGHT("00"&amp;$H1434,2)&amp;"/"&amp;RIGHT("00"&amp;$I1434,2)))</f>
        <v/>
      </c>
      <c r="K1434">
        <f>IF(OR($F1434="",$J1434="",$J1434="نامعتبر"),"",LEFT($J1434,4)&amp;MID($J1434,6,2)&amp;RIGHT($J1434,2)&amp;$N1434&amp;"|"&amp;"2"&amp;RIGHT("00000"&amp;1429,5))</f>
        <v/>
      </c>
      <c r="L1434">
        <f>IF($K1434="","",COUNTIFS(LdgSellerA,$F1434,LdgKeyA,"&lt;"&amp;$K1434)+COUNTIFS(LdgSellerB,$F1434,LdgKeyB,"&lt;"&amp;$K1434)+1)</f>
        <v/>
      </c>
      <c r="M1434">
        <f>IF($L1434="","",$F1434&amp;"|"&amp;RIGHT("000000"&amp;$L1434,6))</f>
        <v/>
      </c>
      <c r="N1434">
        <f>IF($F1434="","",IF(Sync!$AF1434="","0000",IF(AND(ISNUMBER(Sync!$AF1434),Sync!$AF1434&gt;=0,Sync!$AF1434&lt;1),RIGHT("00"&amp;HOUR(Sync!$AF1434),2)&amp;RIGHT("00"&amp;MINUTE(Sync!$AF1434),2),IFERROR(RIGHT("00"&amp;VALUE(LEFT(Sync!$AF1434,FIND(":",Sync!$AF1434)-1)),2)&amp;RIGHT("00"&amp;VALUE(MID(Sync!$AF1434,FIND(":",Sync!$AF1434)+1,2)),2),"0000"))))</f>
        <v/>
      </c>
    </row>
    <row r="1435">
      <c r="A1435">
        <f>IF(OR(Calc!$E1439="",Calc!$E1439="نامعتبر",Calc!$G1439=""),"",Calc!$G1439)</f>
        <v/>
      </c>
      <c r="B1435">
        <f>IF($A1435="","",LEFT(Calc!$E1439,4)&amp;MID(Calc!$E1439,6,2)&amp;RIGHT(Calc!$E1439,2)&amp;Calc!$Q1439&amp;"|"&amp;"1"&amp;RIGHT("00000"&amp;1430,5))</f>
        <v/>
      </c>
      <c r="C1435">
        <f>IF($B1435="","",COUNTIFS(LdgSellerA,$A1435,LdgKeyA,"&lt;"&amp;$B1435)+COUNTIFS(LdgSellerB,$A1435,LdgKeyB,"&lt;"&amp;$B1435)+1)</f>
        <v/>
      </c>
      <c r="D1435">
        <f>IF($C1435="","",$A1435&amp;"|"&amp;RIGHT("000000"&amp;$C1435,6))</f>
        <v/>
      </c>
      <c r="F1435">
        <f>IF(Sync!$AH1435="","",IF(LEFT(UPPER(TRIM(Sync!$AH1435)),2)="SL",UPPER(TRIM(Sync!$AH1435)),""))</f>
        <v/>
      </c>
      <c r="G1435">
        <f>IF($F1435="","",IF(Sync!$AE1435="","",IF(ISNUMBER(Sync!$AE1435),IF(AND(Sync!$AE1435&gt;=10000101,Sync!$AE1435&lt;=99991231),INT(Sync!$AE1435/10000),""),IFERROR(VALUE(TRIM(LEFT(Sync!$AE1435,FIND("/",Sync!$AE1435)-1))),""))))</f>
        <v/>
      </c>
      <c r="H1435">
        <f>IF(OR($F1435="",$G1435=""),"",IF(ISNUMBER(Sync!$AE1435),INT(MOD(Sync!$AE1435,10000)/100),IFERROR(VALUE(TRIM(LEFT(MID(Sync!$AE1435,FIND("/",Sync!$AE1435)+1,20),FIND("/",MID(Sync!$AE1435,FIND("/",Sync!$AE1435)+1,20))-1))),"")))</f>
        <v/>
      </c>
      <c r="I1435">
        <f>IF(OR($F1435="",$G1435=""),"",IF(ISNUMBER(Sync!$AE1435),MOD(Sync!$AE1435,100),IFERROR(VALUE(TRIM(MID(MID(Sync!$AE1435,FIND("/",Sync!$AE1435)+1,20),FIND("/",MID(Sync!$AE1435,FIND("/",Sync!$AE1435)+1,20))+1,20))),"")))</f>
        <v/>
      </c>
      <c r="J1435">
        <f>IF($F1435="","",IF(OR($G1435="",$H1435="",$I1435="",$G1435&lt;1300,$G1435&gt;1500,$H1435&lt;1,$H1435&gt;12,$I1435&lt;1,$I1435&gt;31),"نامعتبر",RIGHT("0000"&amp;$G1435,4)&amp;"/"&amp;RIGHT("00"&amp;$H1435,2)&amp;"/"&amp;RIGHT("00"&amp;$I1435,2)))</f>
        <v/>
      </c>
      <c r="K1435">
        <f>IF(OR($F1435="",$J1435="",$J1435="نامعتبر"),"",LEFT($J1435,4)&amp;MID($J1435,6,2)&amp;RIGHT($J1435,2)&amp;$N1435&amp;"|"&amp;"2"&amp;RIGHT("00000"&amp;1430,5))</f>
        <v/>
      </c>
      <c r="L1435">
        <f>IF($K1435="","",COUNTIFS(LdgSellerA,$F1435,LdgKeyA,"&lt;"&amp;$K1435)+COUNTIFS(LdgSellerB,$F1435,LdgKeyB,"&lt;"&amp;$K1435)+1)</f>
        <v/>
      </c>
      <c r="M1435">
        <f>IF($L1435="","",$F1435&amp;"|"&amp;RIGHT("000000"&amp;$L1435,6))</f>
        <v/>
      </c>
      <c r="N1435">
        <f>IF($F1435="","",IF(Sync!$AF1435="","0000",IF(AND(ISNUMBER(Sync!$AF1435),Sync!$AF1435&gt;=0,Sync!$AF1435&lt;1),RIGHT("00"&amp;HOUR(Sync!$AF1435),2)&amp;RIGHT("00"&amp;MINUTE(Sync!$AF1435),2),IFERROR(RIGHT("00"&amp;VALUE(LEFT(Sync!$AF1435,FIND(":",Sync!$AF1435)-1)),2)&amp;RIGHT("00"&amp;VALUE(MID(Sync!$AF1435,FIND(":",Sync!$AF1435)+1,2)),2),"0000"))))</f>
        <v/>
      </c>
    </row>
    <row r="1436">
      <c r="A1436">
        <f>IF(OR(Calc!$E1440="",Calc!$E1440="نامعتبر",Calc!$G1440=""),"",Calc!$G1440)</f>
        <v/>
      </c>
      <c r="B1436">
        <f>IF($A1436="","",LEFT(Calc!$E1440,4)&amp;MID(Calc!$E1440,6,2)&amp;RIGHT(Calc!$E1440,2)&amp;Calc!$Q1440&amp;"|"&amp;"1"&amp;RIGHT("00000"&amp;1431,5))</f>
        <v/>
      </c>
      <c r="C1436">
        <f>IF($B1436="","",COUNTIFS(LdgSellerA,$A1436,LdgKeyA,"&lt;"&amp;$B1436)+COUNTIFS(LdgSellerB,$A1436,LdgKeyB,"&lt;"&amp;$B1436)+1)</f>
        <v/>
      </c>
      <c r="D1436">
        <f>IF($C1436="","",$A1436&amp;"|"&amp;RIGHT("000000"&amp;$C1436,6))</f>
        <v/>
      </c>
      <c r="F1436">
        <f>IF(Sync!$AH1436="","",IF(LEFT(UPPER(TRIM(Sync!$AH1436)),2)="SL",UPPER(TRIM(Sync!$AH1436)),""))</f>
        <v/>
      </c>
      <c r="G1436">
        <f>IF($F1436="","",IF(Sync!$AE1436="","",IF(ISNUMBER(Sync!$AE1436),IF(AND(Sync!$AE1436&gt;=10000101,Sync!$AE1436&lt;=99991231),INT(Sync!$AE1436/10000),""),IFERROR(VALUE(TRIM(LEFT(Sync!$AE1436,FIND("/",Sync!$AE1436)-1))),""))))</f>
        <v/>
      </c>
      <c r="H1436">
        <f>IF(OR($F1436="",$G1436=""),"",IF(ISNUMBER(Sync!$AE1436),INT(MOD(Sync!$AE1436,10000)/100),IFERROR(VALUE(TRIM(LEFT(MID(Sync!$AE1436,FIND("/",Sync!$AE1436)+1,20),FIND("/",MID(Sync!$AE1436,FIND("/",Sync!$AE1436)+1,20))-1))),"")))</f>
        <v/>
      </c>
      <c r="I1436">
        <f>IF(OR($F1436="",$G1436=""),"",IF(ISNUMBER(Sync!$AE1436),MOD(Sync!$AE1436,100),IFERROR(VALUE(TRIM(MID(MID(Sync!$AE1436,FIND("/",Sync!$AE1436)+1,20),FIND("/",MID(Sync!$AE1436,FIND("/",Sync!$AE1436)+1,20))+1,20))),"")))</f>
        <v/>
      </c>
      <c r="J1436">
        <f>IF($F1436="","",IF(OR($G1436="",$H1436="",$I1436="",$G1436&lt;1300,$G1436&gt;1500,$H1436&lt;1,$H1436&gt;12,$I1436&lt;1,$I1436&gt;31),"نامعتبر",RIGHT("0000"&amp;$G1436,4)&amp;"/"&amp;RIGHT("00"&amp;$H1436,2)&amp;"/"&amp;RIGHT("00"&amp;$I1436,2)))</f>
        <v/>
      </c>
      <c r="K1436">
        <f>IF(OR($F1436="",$J1436="",$J1436="نامعتبر"),"",LEFT($J1436,4)&amp;MID($J1436,6,2)&amp;RIGHT($J1436,2)&amp;$N1436&amp;"|"&amp;"2"&amp;RIGHT("00000"&amp;1431,5))</f>
        <v/>
      </c>
      <c r="L1436">
        <f>IF($K1436="","",COUNTIFS(LdgSellerA,$F1436,LdgKeyA,"&lt;"&amp;$K1436)+COUNTIFS(LdgSellerB,$F1436,LdgKeyB,"&lt;"&amp;$K1436)+1)</f>
        <v/>
      </c>
      <c r="M1436">
        <f>IF($L1436="","",$F1436&amp;"|"&amp;RIGHT("000000"&amp;$L1436,6))</f>
        <v/>
      </c>
      <c r="N1436">
        <f>IF($F1436="","",IF(Sync!$AF1436="","0000",IF(AND(ISNUMBER(Sync!$AF1436),Sync!$AF1436&gt;=0,Sync!$AF1436&lt;1),RIGHT("00"&amp;HOUR(Sync!$AF1436),2)&amp;RIGHT("00"&amp;MINUTE(Sync!$AF1436),2),IFERROR(RIGHT("00"&amp;VALUE(LEFT(Sync!$AF1436,FIND(":",Sync!$AF1436)-1)),2)&amp;RIGHT("00"&amp;VALUE(MID(Sync!$AF1436,FIND(":",Sync!$AF1436)+1,2)),2),"0000"))))</f>
        <v/>
      </c>
    </row>
    <row r="1437">
      <c r="A1437">
        <f>IF(OR(Calc!$E1441="",Calc!$E1441="نامعتبر",Calc!$G1441=""),"",Calc!$G1441)</f>
        <v/>
      </c>
      <c r="B1437">
        <f>IF($A1437="","",LEFT(Calc!$E1441,4)&amp;MID(Calc!$E1441,6,2)&amp;RIGHT(Calc!$E1441,2)&amp;Calc!$Q1441&amp;"|"&amp;"1"&amp;RIGHT("00000"&amp;1432,5))</f>
        <v/>
      </c>
      <c r="C1437">
        <f>IF($B1437="","",COUNTIFS(LdgSellerA,$A1437,LdgKeyA,"&lt;"&amp;$B1437)+COUNTIFS(LdgSellerB,$A1437,LdgKeyB,"&lt;"&amp;$B1437)+1)</f>
        <v/>
      </c>
      <c r="D1437">
        <f>IF($C1437="","",$A1437&amp;"|"&amp;RIGHT("000000"&amp;$C1437,6))</f>
        <v/>
      </c>
      <c r="F1437">
        <f>IF(Sync!$AH1437="","",IF(LEFT(UPPER(TRIM(Sync!$AH1437)),2)="SL",UPPER(TRIM(Sync!$AH1437)),""))</f>
        <v/>
      </c>
      <c r="G1437">
        <f>IF($F1437="","",IF(Sync!$AE1437="","",IF(ISNUMBER(Sync!$AE1437),IF(AND(Sync!$AE1437&gt;=10000101,Sync!$AE1437&lt;=99991231),INT(Sync!$AE1437/10000),""),IFERROR(VALUE(TRIM(LEFT(Sync!$AE1437,FIND("/",Sync!$AE1437)-1))),""))))</f>
        <v/>
      </c>
      <c r="H1437">
        <f>IF(OR($F1437="",$G1437=""),"",IF(ISNUMBER(Sync!$AE1437),INT(MOD(Sync!$AE1437,10000)/100),IFERROR(VALUE(TRIM(LEFT(MID(Sync!$AE1437,FIND("/",Sync!$AE1437)+1,20),FIND("/",MID(Sync!$AE1437,FIND("/",Sync!$AE1437)+1,20))-1))),"")))</f>
        <v/>
      </c>
      <c r="I1437">
        <f>IF(OR($F1437="",$G1437=""),"",IF(ISNUMBER(Sync!$AE1437),MOD(Sync!$AE1437,100),IFERROR(VALUE(TRIM(MID(MID(Sync!$AE1437,FIND("/",Sync!$AE1437)+1,20),FIND("/",MID(Sync!$AE1437,FIND("/",Sync!$AE1437)+1,20))+1,20))),"")))</f>
        <v/>
      </c>
      <c r="J1437">
        <f>IF($F1437="","",IF(OR($G1437="",$H1437="",$I1437="",$G1437&lt;1300,$G1437&gt;1500,$H1437&lt;1,$H1437&gt;12,$I1437&lt;1,$I1437&gt;31),"نامعتبر",RIGHT("0000"&amp;$G1437,4)&amp;"/"&amp;RIGHT("00"&amp;$H1437,2)&amp;"/"&amp;RIGHT("00"&amp;$I1437,2)))</f>
        <v/>
      </c>
      <c r="K1437">
        <f>IF(OR($F1437="",$J1437="",$J1437="نامعتبر"),"",LEFT($J1437,4)&amp;MID($J1437,6,2)&amp;RIGHT($J1437,2)&amp;$N1437&amp;"|"&amp;"2"&amp;RIGHT("00000"&amp;1432,5))</f>
        <v/>
      </c>
      <c r="L1437">
        <f>IF($K1437="","",COUNTIFS(LdgSellerA,$F1437,LdgKeyA,"&lt;"&amp;$K1437)+COUNTIFS(LdgSellerB,$F1437,LdgKeyB,"&lt;"&amp;$K1437)+1)</f>
        <v/>
      </c>
      <c r="M1437">
        <f>IF($L1437="","",$F1437&amp;"|"&amp;RIGHT("000000"&amp;$L1437,6))</f>
        <v/>
      </c>
      <c r="N1437">
        <f>IF($F1437="","",IF(Sync!$AF1437="","0000",IF(AND(ISNUMBER(Sync!$AF1437),Sync!$AF1437&gt;=0,Sync!$AF1437&lt;1),RIGHT("00"&amp;HOUR(Sync!$AF1437),2)&amp;RIGHT("00"&amp;MINUTE(Sync!$AF1437),2),IFERROR(RIGHT("00"&amp;VALUE(LEFT(Sync!$AF1437,FIND(":",Sync!$AF1437)-1)),2)&amp;RIGHT("00"&amp;VALUE(MID(Sync!$AF1437,FIND(":",Sync!$AF1437)+1,2)),2),"0000"))))</f>
        <v/>
      </c>
    </row>
    <row r="1438">
      <c r="A1438">
        <f>IF(OR(Calc!$E1442="",Calc!$E1442="نامعتبر",Calc!$G1442=""),"",Calc!$G1442)</f>
        <v/>
      </c>
      <c r="B1438">
        <f>IF($A1438="","",LEFT(Calc!$E1442,4)&amp;MID(Calc!$E1442,6,2)&amp;RIGHT(Calc!$E1442,2)&amp;Calc!$Q1442&amp;"|"&amp;"1"&amp;RIGHT("00000"&amp;1433,5))</f>
        <v/>
      </c>
      <c r="C1438">
        <f>IF($B1438="","",COUNTIFS(LdgSellerA,$A1438,LdgKeyA,"&lt;"&amp;$B1438)+COUNTIFS(LdgSellerB,$A1438,LdgKeyB,"&lt;"&amp;$B1438)+1)</f>
        <v/>
      </c>
      <c r="D1438">
        <f>IF($C1438="","",$A1438&amp;"|"&amp;RIGHT("000000"&amp;$C1438,6))</f>
        <v/>
      </c>
      <c r="F1438">
        <f>IF(Sync!$AH1438="","",IF(LEFT(UPPER(TRIM(Sync!$AH1438)),2)="SL",UPPER(TRIM(Sync!$AH1438)),""))</f>
        <v/>
      </c>
      <c r="G1438">
        <f>IF($F1438="","",IF(Sync!$AE1438="","",IF(ISNUMBER(Sync!$AE1438),IF(AND(Sync!$AE1438&gt;=10000101,Sync!$AE1438&lt;=99991231),INT(Sync!$AE1438/10000),""),IFERROR(VALUE(TRIM(LEFT(Sync!$AE1438,FIND("/",Sync!$AE1438)-1))),""))))</f>
        <v/>
      </c>
      <c r="H1438">
        <f>IF(OR($F1438="",$G1438=""),"",IF(ISNUMBER(Sync!$AE1438),INT(MOD(Sync!$AE1438,10000)/100),IFERROR(VALUE(TRIM(LEFT(MID(Sync!$AE1438,FIND("/",Sync!$AE1438)+1,20),FIND("/",MID(Sync!$AE1438,FIND("/",Sync!$AE1438)+1,20))-1))),"")))</f>
        <v/>
      </c>
      <c r="I1438">
        <f>IF(OR($F1438="",$G1438=""),"",IF(ISNUMBER(Sync!$AE1438),MOD(Sync!$AE1438,100),IFERROR(VALUE(TRIM(MID(MID(Sync!$AE1438,FIND("/",Sync!$AE1438)+1,20),FIND("/",MID(Sync!$AE1438,FIND("/",Sync!$AE1438)+1,20))+1,20))),"")))</f>
        <v/>
      </c>
      <c r="J1438">
        <f>IF($F1438="","",IF(OR($G1438="",$H1438="",$I1438="",$G1438&lt;1300,$G1438&gt;1500,$H1438&lt;1,$H1438&gt;12,$I1438&lt;1,$I1438&gt;31),"نامعتبر",RIGHT("0000"&amp;$G1438,4)&amp;"/"&amp;RIGHT("00"&amp;$H1438,2)&amp;"/"&amp;RIGHT("00"&amp;$I1438,2)))</f>
        <v/>
      </c>
      <c r="K1438">
        <f>IF(OR($F1438="",$J1438="",$J1438="نامعتبر"),"",LEFT($J1438,4)&amp;MID($J1438,6,2)&amp;RIGHT($J1438,2)&amp;$N1438&amp;"|"&amp;"2"&amp;RIGHT("00000"&amp;1433,5))</f>
        <v/>
      </c>
      <c r="L1438">
        <f>IF($K1438="","",COUNTIFS(LdgSellerA,$F1438,LdgKeyA,"&lt;"&amp;$K1438)+COUNTIFS(LdgSellerB,$F1438,LdgKeyB,"&lt;"&amp;$K1438)+1)</f>
        <v/>
      </c>
      <c r="M1438">
        <f>IF($L1438="","",$F1438&amp;"|"&amp;RIGHT("000000"&amp;$L1438,6))</f>
        <v/>
      </c>
      <c r="N1438">
        <f>IF($F1438="","",IF(Sync!$AF1438="","0000",IF(AND(ISNUMBER(Sync!$AF1438),Sync!$AF1438&gt;=0,Sync!$AF1438&lt;1),RIGHT("00"&amp;HOUR(Sync!$AF1438),2)&amp;RIGHT("00"&amp;MINUTE(Sync!$AF1438),2),IFERROR(RIGHT("00"&amp;VALUE(LEFT(Sync!$AF1438,FIND(":",Sync!$AF1438)-1)),2)&amp;RIGHT("00"&amp;VALUE(MID(Sync!$AF1438,FIND(":",Sync!$AF1438)+1,2)),2),"0000"))))</f>
        <v/>
      </c>
    </row>
    <row r="1439">
      <c r="A1439">
        <f>IF(OR(Calc!$E1443="",Calc!$E1443="نامعتبر",Calc!$G1443=""),"",Calc!$G1443)</f>
        <v/>
      </c>
      <c r="B1439">
        <f>IF($A1439="","",LEFT(Calc!$E1443,4)&amp;MID(Calc!$E1443,6,2)&amp;RIGHT(Calc!$E1443,2)&amp;Calc!$Q1443&amp;"|"&amp;"1"&amp;RIGHT("00000"&amp;1434,5))</f>
        <v/>
      </c>
      <c r="C1439">
        <f>IF($B1439="","",COUNTIFS(LdgSellerA,$A1439,LdgKeyA,"&lt;"&amp;$B1439)+COUNTIFS(LdgSellerB,$A1439,LdgKeyB,"&lt;"&amp;$B1439)+1)</f>
        <v/>
      </c>
      <c r="D1439">
        <f>IF($C1439="","",$A1439&amp;"|"&amp;RIGHT("000000"&amp;$C1439,6))</f>
        <v/>
      </c>
      <c r="F1439">
        <f>IF(Sync!$AH1439="","",IF(LEFT(UPPER(TRIM(Sync!$AH1439)),2)="SL",UPPER(TRIM(Sync!$AH1439)),""))</f>
        <v/>
      </c>
      <c r="G1439">
        <f>IF($F1439="","",IF(Sync!$AE1439="","",IF(ISNUMBER(Sync!$AE1439),IF(AND(Sync!$AE1439&gt;=10000101,Sync!$AE1439&lt;=99991231),INT(Sync!$AE1439/10000),""),IFERROR(VALUE(TRIM(LEFT(Sync!$AE1439,FIND("/",Sync!$AE1439)-1))),""))))</f>
        <v/>
      </c>
      <c r="H1439">
        <f>IF(OR($F1439="",$G1439=""),"",IF(ISNUMBER(Sync!$AE1439),INT(MOD(Sync!$AE1439,10000)/100),IFERROR(VALUE(TRIM(LEFT(MID(Sync!$AE1439,FIND("/",Sync!$AE1439)+1,20),FIND("/",MID(Sync!$AE1439,FIND("/",Sync!$AE1439)+1,20))-1))),"")))</f>
        <v/>
      </c>
      <c r="I1439">
        <f>IF(OR($F1439="",$G1439=""),"",IF(ISNUMBER(Sync!$AE1439),MOD(Sync!$AE1439,100),IFERROR(VALUE(TRIM(MID(MID(Sync!$AE1439,FIND("/",Sync!$AE1439)+1,20),FIND("/",MID(Sync!$AE1439,FIND("/",Sync!$AE1439)+1,20))+1,20))),"")))</f>
        <v/>
      </c>
      <c r="J1439">
        <f>IF($F1439="","",IF(OR($G1439="",$H1439="",$I1439="",$G1439&lt;1300,$G1439&gt;1500,$H1439&lt;1,$H1439&gt;12,$I1439&lt;1,$I1439&gt;31),"نامعتبر",RIGHT("0000"&amp;$G1439,4)&amp;"/"&amp;RIGHT("00"&amp;$H1439,2)&amp;"/"&amp;RIGHT("00"&amp;$I1439,2)))</f>
        <v/>
      </c>
      <c r="K1439">
        <f>IF(OR($F1439="",$J1439="",$J1439="نامعتبر"),"",LEFT($J1439,4)&amp;MID($J1439,6,2)&amp;RIGHT($J1439,2)&amp;$N1439&amp;"|"&amp;"2"&amp;RIGHT("00000"&amp;1434,5))</f>
        <v/>
      </c>
      <c r="L1439">
        <f>IF($K1439="","",COUNTIFS(LdgSellerA,$F1439,LdgKeyA,"&lt;"&amp;$K1439)+COUNTIFS(LdgSellerB,$F1439,LdgKeyB,"&lt;"&amp;$K1439)+1)</f>
        <v/>
      </c>
      <c r="M1439">
        <f>IF($L1439="","",$F1439&amp;"|"&amp;RIGHT("000000"&amp;$L1439,6))</f>
        <v/>
      </c>
      <c r="N1439">
        <f>IF($F1439="","",IF(Sync!$AF1439="","0000",IF(AND(ISNUMBER(Sync!$AF1439),Sync!$AF1439&gt;=0,Sync!$AF1439&lt;1),RIGHT("00"&amp;HOUR(Sync!$AF1439),2)&amp;RIGHT("00"&amp;MINUTE(Sync!$AF1439),2),IFERROR(RIGHT("00"&amp;VALUE(LEFT(Sync!$AF1439,FIND(":",Sync!$AF1439)-1)),2)&amp;RIGHT("00"&amp;VALUE(MID(Sync!$AF1439,FIND(":",Sync!$AF1439)+1,2)),2),"0000"))))</f>
        <v/>
      </c>
    </row>
    <row r="1440">
      <c r="A1440">
        <f>IF(OR(Calc!$E1444="",Calc!$E1444="نامعتبر",Calc!$G1444=""),"",Calc!$G1444)</f>
        <v/>
      </c>
      <c r="B1440">
        <f>IF($A1440="","",LEFT(Calc!$E1444,4)&amp;MID(Calc!$E1444,6,2)&amp;RIGHT(Calc!$E1444,2)&amp;Calc!$Q1444&amp;"|"&amp;"1"&amp;RIGHT("00000"&amp;1435,5))</f>
        <v/>
      </c>
      <c r="C1440">
        <f>IF($B1440="","",COUNTIFS(LdgSellerA,$A1440,LdgKeyA,"&lt;"&amp;$B1440)+COUNTIFS(LdgSellerB,$A1440,LdgKeyB,"&lt;"&amp;$B1440)+1)</f>
        <v/>
      </c>
      <c r="D1440">
        <f>IF($C1440="","",$A1440&amp;"|"&amp;RIGHT("000000"&amp;$C1440,6))</f>
        <v/>
      </c>
      <c r="F1440">
        <f>IF(Sync!$AH1440="","",IF(LEFT(UPPER(TRIM(Sync!$AH1440)),2)="SL",UPPER(TRIM(Sync!$AH1440)),""))</f>
        <v/>
      </c>
      <c r="G1440">
        <f>IF($F1440="","",IF(Sync!$AE1440="","",IF(ISNUMBER(Sync!$AE1440),IF(AND(Sync!$AE1440&gt;=10000101,Sync!$AE1440&lt;=99991231),INT(Sync!$AE1440/10000),""),IFERROR(VALUE(TRIM(LEFT(Sync!$AE1440,FIND("/",Sync!$AE1440)-1))),""))))</f>
        <v/>
      </c>
      <c r="H1440">
        <f>IF(OR($F1440="",$G1440=""),"",IF(ISNUMBER(Sync!$AE1440),INT(MOD(Sync!$AE1440,10000)/100),IFERROR(VALUE(TRIM(LEFT(MID(Sync!$AE1440,FIND("/",Sync!$AE1440)+1,20),FIND("/",MID(Sync!$AE1440,FIND("/",Sync!$AE1440)+1,20))-1))),"")))</f>
        <v/>
      </c>
      <c r="I1440">
        <f>IF(OR($F1440="",$G1440=""),"",IF(ISNUMBER(Sync!$AE1440),MOD(Sync!$AE1440,100),IFERROR(VALUE(TRIM(MID(MID(Sync!$AE1440,FIND("/",Sync!$AE1440)+1,20),FIND("/",MID(Sync!$AE1440,FIND("/",Sync!$AE1440)+1,20))+1,20))),"")))</f>
        <v/>
      </c>
      <c r="J1440">
        <f>IF($F1440="","",IF(OR($G1440="",$H1440="",$I1440="",$G1440&lt;1300,$G1440&gt;1500,$H1440&lt;1,$H1440&gt;12,$I1440&lt;1,$I1440&gt;31),"نامعتبر",RIGHT("0000"&amp;$G1440,4)&amp;"/"&amp;RIGHT("00"&amp;$H1440,2)&amp;"/"&amp;RIGHT("00"&amp;$I1440,2)))</f>
        <v/>
      </c>
      <c r="K1440">
        <f>IF(OR($F1440="",$J1440="",$J1440="نامعتبر"),"",LEFT($J1440,4)&amp;MID($J1440,6,2)&amp;RIGHT($J1440,2)&amp;$N1440&amp;"|"&amp;"2"&amp;RIGHT("00000"&amp;1435,5))</f>
        <v/>
      </c>
      <c r="L1440">
        <f>IF($K1440="","",COUNTIFS(LdgSellerA,$F1440,LdgKeyA,"&lt;"&amp;$K1440)+COUNTIFS(LdgSellerB,$F1440,LdgKeyB,"&lt;"&amp;$K1440)+1)</f>
        <v/>
      </c>
      <c r="M1440">
        <f>IF($L1440="","",$F1440&amp;"|"&amp;RIGHT("000000"&amp;$L1440,6))</f>
        <v/>
      </c>
      <c r="N1440">
        <f>IF($F1440="","",IF(Sync!$AF1440="","0000",IF(AND(ISNUMBER(Sync!$AF1440),Sync!$AF1440&gt;=0,Sync!$AF1440&lt;1),RIGHT("00"&amp;HOUR(Sync!$AF1440),2)&amp;RIGHT("00"&amp;MINUTE(Sync!$AF1440),2),IFERROR(RIGHT("00"&amp;VALUE(LEFT(Sync!$AF1440,FIND(":",Sync!$AF1440)-1)),2)&amp;RIGHT("00"&amp;VALUE(MID(Sync!$AF1440,FIND(":",Sync!$AF1440)+1,2)),2),"0000"))))</f>
        <v/>
      </c>
    </row>
    <row r="1441">
      <c r="A1441">
        <f>IF(OR(Calc!$E1445="",Calc!$E1445="نامعتبر",Calc!$G1445=""),"",Calc!$G1445)</f>
        <v/>
      </c>
      <c r="B1441">
        <f>IF($A1441="","",LEFT(Calc!$E1445,4)&amp;MID(Calc!$E1445,6,2)&amp;RIGHT(Calc!$E1445,2)&amp;Calc!$Q1445&amp;"|"&amp;"1"&amp;RIGHT("00000"&amp;1436,5))</f>
        <v/>
      </c>
      <c r="C1441">
        <f>IF($B1441="","",COUNTIFS(LdgSellerA,$A1441,LdgKeyA,"&lt;"&amp;$B1441)+COUNTIFS(LdgSellerB,$A1441,LdgKeyB,"&lt;"&amp;$B1441)+1)</f>
        <v/>
      </c>
      <c r="D1441">
        <f>IF($C1441="","",$A1441&amp;"|"&amp;RIGHT("000000"&amp;$C1441,6))</f>
        <v/>
      </c>
      <c r="F1441">
        <f>IF(Sync!$AH1441="","",IF(LEFT(UPPER(TRIM(Sync!$AH1441)),2)="SL",UPPER(TRIM(Sync!$AH1441)),""))</f>
        <v/>
      </c>
      <c r="G1441">
        <f>IF($F1441="","",IF(Sync!$AE1441="","",IF(ISNUMBER(Sync!$AE1441),IF(AND(Sync!$AE1441&gt;=10000101,Sync!$AE1441&lt;=99991231),INT(Sync!$AE1441/10000),""),IFERROR(VALUE(TRIM(LEFT(Sync!$AE1441,FIND("/",Sync!$AE1441)-1))),""))))</f>
        <v/>
      </c>
      <c r="H1441">
        <f>IF(OR($F1441="",$G1441=""),"",IF(ISNUMBER(Sync!$AE1441),INT(MOD(Sync!$AE1441,10000)/100),IFERROR(VALUE(TRIM(LEFT(MID(Sync!$AE1441,FIND("/",Sync!$AE1441)+1,20),FIND("/",MID(Sync!$AE1441,FIND("/",Sync!$AE1441)+1,20))-1))),"")))</f>
        <v/>
      </c>
      <c r="I1441">
        <f>IF(OR($F1441="",$G1441=""),"",IF(ISNUMBER(Sync!$AE1441),MOD(Sync!$AE1441,100),IFERROR(VALUE(TRIM(MID(MID(Sync!$AE1441,FIND("/",Sync!$AE1441)+1,20),FIND("/",MID(Sync!$AE1441,FIND("/",Sync!$AE1441)+1,20))+1,20))),"")))</f>
        <v/>
      </c>
      <c r="J1441">
        <f>IF($F1441="","",IF(OR($G1441="",$H1441="",$I1441="",$G1441&lt;1300,$G1441&gt;1500,$H1441&lt;1,$H1441&gt;12,$I1441&lt;1,$I1441&gt;31),"نامعتبر",RIGHT("0000"&amp;$G1441,4)&amp;"/"&amp;RIGHT("00"&amp;$H1441,2)&amp;"/"&amp;RIGHT("00"&amp;$I1441,2)))</f>
        <v/>
      </c>
      <c r="K1441">
        <f>IF(OR($F1441="",$J1441="",$J1441="نامعتبر"),"",LEFT($J1441,4)&amp;MID($J1441,6,2)&amp;RIGHT($J1441,2)&amp;$N1441&amp;"|"&amp;"2"&amp;RIGHT("00000"&amp;1436,5))</f>
        <v/>
      </c>
      <c r="L1441">
        <f>IF($K1441="","",COUNTIFS(LdgSellerA,$F1441,LdgKeyA,"&lt;"&amp;$K1441)+COUNTIFS(LdgSellerB,$F1441,LdgKeyB,"&lt;"&amp;$K1441)+1)</f>
        <v/>
      </c>
      <c r="M1441">
        <f>IF($L1441="","",$F1441&amp;"|"&amp;RIGHT("000000"&amp;$L1441,6))</f>
        <v/>
      </c>
      <c r="N1441">
        <f>IF($F1441="","",IF(Sync!$AF1441="","0000",IF(AND(ISNUMBER(Sync!$AF1441),Sync!$AF1441&gt;=0,Sync!$AF1441&lt;1),RIGHT("00"&amp;HOUR(Sync!$AF1441),2)&amp;RIGHT("00"&amp;MINUTE(Sync!$AF1441),2),IFERROR(RIGHT("00"&amp;VALUE(LEFT(Sync!$AF1441,FIND(":",Sync!$AF1441)-1)),2)&amp;RIGHT("00"&amp;VALUE(MID(Sync!$AF1441,FIND(":",Sync!$AF1441)+1,2)),2),"0000"))))</f>
        <v/>
      </c>
    </row>
    <row r="1442">
      <c r="A1442">
        <f>IF(OR(Calc!$E1446="",Calc!$E1446="نامعتبر",Calc!$G1446=""),"",Calc!$G1446)</f>
        <v/>
      </c>
      <c r="B1442">
        <f>IF($A1442="","",LEFT(Calc!$E1446,4)&amp;MID(Calc!$E1446,6,2)&amp;RIGHT(Calc!$E1446,2)&amp;Calc!$Q1446&amp;"|"&amp;"1"&amp;RIGHT("00000"&amp;1437,5))</f>
        <v/>
      </c>
      <c r="C1442">
        <f>IF($B1442="","",COUNTIFS(LdgSellerA,$A1442,LdgKeyA,"&lt;"&amp;$B1442)+COUNTIFS(LdgSellerB,$A1442,LdgKeyB,"&lt;"&amp;$B1442)+1)</f>
        <v/>
      </c>
      <c r="D1442">
        <f>IF($C1442="","",$A1442&amp;"|"&amp;RIGHT("000000"&amp;$C1442,6))</f>
        <v/>
      </c>
      <c r="F1442">
        <f>IF(Sync!$AH1442="","",IF(LEFT(UPPER(TRIM(Sync!$AH1442)),2)="SL",UPPER(TRIM(Sync!$AH1442)),""))</f>
        <v/>
      </c>
      <c r="G1442">
        <f>IF($F1442="","",IF(Sync!$AE1442="","",IF(ISNUMBER(Sync!$AE1442),IF(AND(Sync!$AE1442&gt;=10000101,Sync!$AE1442&lt;=99991231),INT(Sync!$AE1442/10000),""),IFERROR(VALUE(TRIM(LEFT(Sync!$AE1442,FIND("/",Sync!$AE1442)-1))),""))))</f>
        <v/>
      </c>
      <c r="H1442">
        <f>IF(OR($F1442="",$G1442=""),"",IF(ISNUMBER(Sync!$AE1442),INT(MOD(Sync!$AE1442,10000)/100),IFERROR(VALUE(TRIM(LEFT(MID(Sync!$AE1442,FIND("/",Sync!$AE1442)+1,20),FIND("/",MID(Sync!$AE1442,FIND("/",Sync!$AE1442)+1,20))-1))),"")))</f>
        <v/>
      </c>
      <c r="I1442">
        <f>IF(OR($F1442="",$G1442=""),"",IF(ISNUMBER(Sync!$AE1442),MOD(Sync!$AE1442,100),IFERROR(VALUE(TRIM(MID(MID(Sync!$AE1442,FIND("/",Sync!$AE1442)+1,20),FIND("/",MID(Sync!$AE1442,FIND("/",Sync!$AE1442)+1,20))+1,20))),"")))</f>
        <v/>
      </c>
      <c r="J1442">
        <f>IF($F1442="","",IF(OR($G1442="",$H1442="",$I1442="",$G1442&lt;1300,$G1442&gt;1500,$H1442&lt;1,$H1442&gt;12,$I1442&lt;1,$I1442&gt;31),"نامعتبر",RIGHT("0000"&amp;$G1442,4)&amp;"/"&amp;RIGHT("00"&amp;$H1442,2)&amp;"/"&amp;RIGHT("00"&amp;$I1442,2)))</f>
        <v/>
      </c>
      <c r="K1442">
        <f>IF(OR($F1442="",$J1442="",$J1442="نامعتبر"),"",LEFT($J1442,4)&amp;MID($J1442,6,2)&amp;RIGHT($J1442,2)&amp;$N1442&amp;"|"&amp;"2"&amp;RIGHT("00000"&amp;1437,5))</f>
        <v/>
      </c>
      <c r="L1442">
        <f>IF($K1442="","",COUNTIFS(LdgSellerA,$F1442,LdgKeyA,"&lt;"&amp;$K1442)+COUNTIFS(LdgSellerB,$F1442,LdgKeyB,"&lt;"&amp;$K1442)+1)</f>
        <v/>
      </c>
      <c r="M1442">
        <f>IF($L1442="","",$F1442&amp;"|"&amp;RIGHT("000000"&amp;$L1442,6))</f>
        <v/>
      </c>
      <c r="N1442">
        <f>IF($F1442="","",IF(Sync!$AF1442="","0000",IF(AND(ISNUMBER(Sync!$AF1442),Sync!$AF1442&gt;=0,Sync!$AF1442&lt;1),RIGHT("00"&amp;HOUR(Sync!$AF1442),2)&amp;RIGHT("00"&amp;MINUTE(Sync!$AF1442),2),IFERROR(RIGHT("00"&amp;VALUE(LEFT(Sync!$AF1442,FIND(":",Sync!$AF1442)-1)),2)&amp;RIGHT("00"&amp;VALUE(MID(Sync!$AF1442,FIND(":",Sync!$AF1442)+1,2)),2),"0000"))))</f>
        <v/>
      </c>
    </row>
    <row r="1443">
      <c r="A1443">
        <f>IF(OR(Calc!$E1447="",Calc!$E1447="نامعتبر",Calc!$G1447=""),"",Calc!$G1447)</f>
        <v/>
      </c>
      <c r="B1443">
        <f>IF($A1443="","",LEFT(Calc!$E1447,4)&amp;MID(Calc!$E1447,6,2)&amp;RIGHT(Calc!$E1447,2)&amp;Calc!$Q1447&amp;"|"&amp;"1"&amp;RIGHT("00000"&amp;1438,5))</f>
        <v/>
      </c>
      <c r="C1443">
        <f>IF($B1443="","",COUNTIFS(LdgSellerA,$A1443,LdgKeyA,"&lt;"&amp;$B1443)+COUNTIFS(LdgSellerB,$A1443,LdgKeyB,"&lt;"&amp;$B1443)+1)</f>
        <v/>
      </c>
      <c r="D1443">
        <f>IF($C1443="","",$A1443&amp;"|"&amp;RIGHT("000000"&amp;$C1443,6))</f>
        <v/>
      </c>
      <c r="F1443">
        <f>IF(Sync!$AH1443="","",IF(LEFT(UPPER(TRIM(Sync!$AH1443)),2)="SL",UPPER(TRIM(Sync!$AH1443)),""))</f>
        <v/>
      </c>
      <c r="G1443">
        <f>IF($F1443="","",IF(Sync!$AE1443="","",IF(ISNUMBER(Sync!$AE1443),IF(AND(Sync!$AE1443&gt;=10000101,Sync!$AE1443&lt;=99991231),INT(Sync!$AE1443/10000),""),IFERROR(VALUE(TRIM(LEFT(Sync!$AE1443,FIND("/",Sync!$AE1443)-1))),""))))</f>
        <v/>
      </c>
      <c r="H1443">
        <f>IF(OR($F1443="",$G1443=""),"",IF(ISNUMBER(Sync!$AE1443),INT(MOD(Sync!$AE1443,10000)/100),IFERROR(VALUE(TRIM(LEFT(MID(Sync!$AE1443,FIND("/",Sync!$AE1443)+1,20),FIND("/",MID(Sync!$AE1443,FIND("/",Sync!$AE1443)+1,20))-1))),"")))</f>
        <v/>
      </c>
      <c r="I1443">
        <f>IF(OR($F1443="",$G1443=""),"",IF(ISNUMBER(Sync!$AE1443),MOD(Sync!$AE1443,100),IFERROR(VALUE(TRIM(MID(MID(Sync!$AE1443,FIND("/",Sync!$AE1443)+1,20),FIND("/",MID(Sync!$AE1443,FIND("/",Sync!$AE1443)+1,20))+1,20))),"")))</f>
        <v/>
      </c>
      <c r="J1443">
        <f>IF($F1443="","",IF(OR($G1443="",$H1443="",$I1443="",$G1443&lt;1300,$G1443&gt;1500,$H1443&lt;1,$H1443&gt;12,$I1443&lt;1,$I1443&gt;31),"نامعتبر",RIGHT("0000"&amp;$G1443,4)&amp;"/"&amp;RIGHT("00"&amp;$H1443,2)&amp;"/"&amp;RIGHT("00"&amp;$I1443,2)))</f>
        <v/>
      </c>
      <c r="K1443">
        <f>IF(OR($F1443="",$J1443="",$J1443="نامعتبر"),"",LEFT($J1443,4)&amp;MID($J1443,6,2)&amp;RIGHT($J1443,2)&amp;$N1443&amp;"|"&amp;"2"&amp;RIGHT("00000"&amp;1438,5))</f>
        <v/>
      </c>
      <c r="L1443">
        <f>IF($K1443="","",COUNTIFS(LdgSellerA,$F1443,LdgKeyA,"&lt;"&amp;$K1443)+COUNTIFS(LdgSellerB,$F1443,LdgKeyB,"&lt;"&amp;$K1443)+1)</f>
        <v/>
      </c>
      <c r="M1443">
        <f>IF($L1443="","",$F1443&amp;"|"&amp;RIGHT("000000"&amp;$L1443,6))</f>
        <v/>
      </c>
      <c r="N1443">
        <f>IF($F1443="","",IF(Sync!$AF1443="","0000",IF(AND(ISNUMBER(Sync!$AF1443),Sync!$AF1443&gt;=0,Sync!$AF1443&lt;1),RIGHT("00"&amp;HOUR(Sync!$AF1443),2)&amp;RIGHT("00"&amp;MINUTE(Sync!$AF1443),2),IFERROR(RIGHT("00"&amp;VALUE(LEFT(Sync!$AF1443,FIND(":",Sync!$AF1443)-1)),2)&amp;RIGHT("00"&amp;VALUE(MID(Sync!$AF1443,FIND(":",Sync!$AF1443)+1,2)),2),"0000"))))</f>
        <v/>
      </c>
    </row>
    <row r="1444">
      <c r="A1444">
        <f>IF(OR(Calc!$E1448="",Calc!$E1448="نامعتبر",Calc!$G1448=""),"",Calc!$G1448)</f>
        <v/>
      </c>
      <c r="B1444">
        <f>IF($A1444="","",LEFT(Calc!$E1448,4)&amp;MID(Calc!$E1448,6,2)&amp;RIGHT(Calc!$E1448,2)&amp;Calc!$Q1448&amp;"|"&amp;"1"&amp;RIGHT("00000"&amp;1439,5))</f>
        <v/>
      </c>
      <c r="C1444">
        <f>IF($B1444="","",COUNTIFS(LdgSellerA,$A1444,LdgKeyA,"&lt;"&amp;$B1444)+COUNTIFS(LdgSellerB,$A1444,LdgKeyB,"&lt;"&amp;$B1444)+1)</f>
        <v/>
      </c>
      <c r="D1444">
        <f>IF($C1444="","",$A1444&amp;"|"&amp;RIGHT("000000"&amp;$C1444,6))</f>
        <v/>
      </c>
      <c r="F1444">
        <f>IF(Sync!$AH1444="","",IF(LEFT(UPPER(TRIM(Sync!$AH1444)),2)="SL",UPPER(TRIM(Sync!$AH1444)),""))</f>
        <v/>
      </c>
      <c r="G1444">
        <f>IF($F1444="","",IF(Sync!$AE1444="","",IF(ISNUMBER(Sync!$AE1444),IF(AND(Sync!$AE1444&gt;=10000101,Sync!$AE1444&lt;=99991231),INT(Sync!$AE1444/10000),""),IFERROR(VALUE(TRIM(LEFT(Sync!$AE1444,FIND("/",Sync!$AE1444)-1))),""))))</f>
        <v/>
      </c>
      <c r="H1444">
        <f>IF(OR($F1444="",$G1444=""),"",IF(ISNUMBER(Sync!$AE1444),INT(MOD(Sync!$AE1444,10000)/100),IFERROR(VALUE(TRIM(LEFT(MID(Sync!$AE1444,FIND("/",Sync!$AE1444)+1,20),FIND("/",MID(Sync!$AE1444,FIND("/",Sync!$AE1444)+1,20))-1))),"")))</f>
        <v/>
      </c>
      <c r="I1444">
        <f>IF(OR($F1444="",$G1444=""),"",IF(ISNUMBER(Sync!$AE1444),MOD(Sync!$AE1444,100),IFERROR(VALUE(TRIM(MID(MID(Sync!$AE1444,FIND("/",Sync!$AE1444)+1,20),FIND("/",MID(Sync!$AE1444,FIND("/",Sync!$AE1444)+1,20))+1,20))),"")))</f>
        <v/>
      </c>
      <c r="J1444">
        <f>IF($F1444="","",IF(OR($G1444="",$H1444="",$I1444="",$G1444&lt;1300,$G1444&gt;1500,$H1444&lt;1,$H1444&gt;12,$I1444&lt;1,$I1444&gt;31),"نامعتبر",RIGHT("0000"&amp;$G1444,4)&amp;"/"&amp;RIGHT("00"&amp;$H1444,2)&amp;"/"&amp;RIGHT("00"&amp;$I1444,2)))</f>
        <v/>
      </c>
      <c r="K1444">
        <f>IF(OR($F1444="",$J1444="",$J1444="نامعتبر"),"",LEFT($J1444,4)&amp;MID($J1444,6,2)&amp;RIGHT($J1444,2)&amp;$N1444&amp;"|"&amp;"2"&amp;RIGHT("00000"&amp;1439,5))</f>
        <v/>
      </c>
      <c r="L1444">
        <f>IF($K1444="","",COUNTIFS(LdgSellerA,$F1444,LdgKeyA,"&lt;"&amp;$K1444)+COUNTIFS(LdgSellerB,$F1444,LdgKeyB,"&lt;"&amp;$K1444)+1)</f>
        <v/>
      </c>
      <c r="M1444">
        <f>IF($L1444="","",$F1444&amp;"|"&amp;RIGHT("000000"&amp;$L1444,6))</f>
        <v/>
      </c>
      <c r="N1444">
        <f>IF($F1444="","",IF(Sync!$AF1444="","0000",IF(AND(ISNUMBER(Sync!$AF1444),Sync!$AF1444&gt;=0,Sync!$AF1444&lt;1),RIGHT("00"&amp;HOUR(Sync!$AF1444),2)&amp;RIGHT("00"&amp;MINUTE(Sync!$AF1444),2),IFERROR(RIGHT("00"&amp;VALUE(LEFT(Sync!$AF1444,FIND(":",Sync!$AF1444)-1)),2)&amp;RIGHT("00"&amp;VALUE(MID(Sync!$AF1444,FIND(":",Sync!$AF1444)+1,2)),2),"0000"))))</f>
        <v/>
      </c>
    </row>
    <row r="1445">
      <c r="A1445">
        <f>IF(OR(Calc!$E1449="",Calc!$E1449="نامعتبر",Calc!$G1449=""),"",Calc!$G1449)</f>
        <v/>
      </c>
      <c r="B1445">
        <f>IF($A1445="","",LEFT(Calc!$E1449,4)&amp;MID(Calc!$E1449,6,2)&amp;RIGHT(Calc!$E1449,2)&amp;Calc!$Q1449&amp;"|"&amp;"1"&amp;RIGHT("00000"&amp;1440,5))</f>
        <v/>
      </c>
      <c r="C1445">
        <f>IF($B1445="","",COUNTIFS(LdgSellerA,$A1445,LdgKeyA,"&lt;"&amp;$B1445)+COUNTIFS(LdgSellerB,$A1445,LdgKeyB,"&lt;"&amp;$B1445)+1)</f>
        <v/>
      </c>
      <c r="D1445">
        <f>IF($C1445="","",$A1445&amp;"|"&amp;RIGHT("000000"&amp;$C1445,6))</f>
        <v/>
      </c>
      <c r="F1445">
        <f>IF(Sync!$AH1445="","",IF(LEFT(UPPER(TRIM(Sync!$AH1445)),2)="SL",UPPER(TRIM(Sync!$AH1445)),""))</f>
        <v/>
      </c>
      <c r="G1445">
        <f>IF($F1445="","",IF(Sync!$AE1445="","",IF(ISNUMBER(Sync!$AE1445),IF(AND(Sync!$AE1445&gt;=10000101,Sync!$AE1445&lt;=99991231),INT(Sync!$AE1445/10000),""),IFERROR(VALUE(TRIM(LEFT(Sync!$AE1445,FIND("/",Sync!$AE1445)-1))),""))))</f>
        <v/>
      </c>
      <c r="H1445">
        <f>IF(OR($F1445="",$G1445=""),"",IF(ISNUMBER(Sync!$AE1445),INT(MOD(Sync!$AE1445,10000)/100),IFERROR(VALUE(TRIM(LEFT(MID(Sync!$AE1445,FIND("/",Sync!$AE1445)+1,20),FIND("/",MID(Sync!$AE1445,FIND("/",Sync!$AE1445)+1,20))-1))),"")))</f>
        <v/>
      </c>
      <c r="I1445">
        <f>IF(OR($F1445="",$G1445=""),"",IF(ISNUMBER(Sync!$AE1445),MOD(Sync!$AE1445,100),IFERROR(VALUE(TRIM(MID(MID(Sync!$AE1445,FIND("/",Sync!$AE1445)+1,20),FIND("/",MID(Sync!$AE1445,FIND("/",Sync!$AE1445)+1,20))+1,20))),"")))</f>
        <v/>
      </c>
      <c r="J1445">
        <f>IF($F1445="","",IF(OR($G1445="",$H1445="",$I1445="",$G1445&lt;1300,$G1445&gt;1500,$H1445&lt;1,$H1445&gt;12,$I1445&lt;1,$I1445&gt;31),"نامعتبر",RIGHT("0000"&amp;$G1445,4)&amp;"/"&amp;RIGHT("00"&amp;$H1445,2)&amp;"/"&amp;RIGHT("00"&amp;$I1445,2)))</f>
        <v/>
      </c>
      <c r="K1445">
        <f>IF(OR($F1445="",$J1445="",$J1445="نامعتبر"),"",LEFT($J1445,4)&amp;MID($J1445,6,2)&amp;RIGHT($J1445,2)&amp;$N1445&amp;"|"&amp;"2"&amp;RIGHT("00000"&amp;1440,5))</f>
        <v/>
      </c>
      <c r="L1445">
        <f>IF($K1445="","",COUNTIFS(LdgSellerA,$F1445,LdgKeyA,"&lt;"&amp;$K1445)+COUNTIFS(LdgSellerB,$F1445,LdgKeyB,"&lt;"&amp;$K1445)+1)</f>
        <v/>
      </c>
      <c r="M1445">
        <f>IF($L1445="","",$F1445&amp;"|"&amp;RIGHT("000000"&amp;$L1445,6))</f>
        <v/>
      </c>
      <c r="N1445">
        <f>IF($F1445="","",IF(Sync!$AF1445="","0000",IF(AND(ISNUMBER(Sync!$AF1445),Sync!$AF1445&gt;=0,Sync!$AF1445&lt;1),RIGHT("00"&amp;HOUR(Sync!$AF1445),2)&amp;RIGHT("00"&amp;MINUTE(Sync!$AF1445),2),IFERROR(RIGHT("00"&amp;VALUE(LEFT(Sync!$AF1445,FIND(":",Sync!$AF1445)-1)),2)&amp;RIGHT("00"&amp;VALUE(MID(Sync!$AF1445,FIND(":",Sync!$AF1445)+1,2)),2),"0000"))))</f>
        <v/>
      </c>
    </row>
    <row r="1446">
      <c r="A1446">
        <f>IF(OR(Calc!$E1450="",Calc!$E1450="نامعتبر",Calc!$G1450=""),"",Calc!$G1450)</f>
        <v/>
      </c>
      <c r="B1446">
        <f>IF($A1446="","",LEFT(Calc!$E1450,4)&amp;MID(Calc!$E1450,6,2)&amp;RIGHT(Calc!$E1450,2)&amp;Calc!$Q1450&amp;"|"&amp;"1"&amp;RIGHT("00000"&amp;1441,5))</f>
        <v/>
      </c>
      <c r="C1446">
        <f>IF($B1446="","",COUNTIFS(LdgSellerA,$A1446,LdgKeyA,"&lt;"&amp;$B1446)+COUNTIFS(LdgSellerB,$A1446,LdgKeyB,"&lt;"&amp;$B1446)+1)</f>
        <v/>
      </c>
      <c r="D1446">
        <f>IF($C1446="","",$A1446&amp;"|"&amp;RIGHT("000000"&amp;$C1446,6))</f>
        <v/>
      </c>
      <c r="F1446">
        <f>IF(Sync!$AH1446="","",IF(LEFT(UPPER(TRIM(Sync!$AH1446)),2)="SL",UPPER(TRIM(Sync!$AH1446)),""))</f>
        <v/>
      </c>
      <c r="G1446">
        <f>IF($F1446="","",IF(Sync!$AE1446="","",IF(ISNUMBER(Sync!$AE1446),IF(AND(Sync!$AE1446&gt;=10000101,Sync!$AE1446&lt;=99991231),INT(Sync!$AE1446/10000),""),IFERROR(VALUE(TRIM(LEFT(Sync!$AE1446,FIND("/",Sync!$AE1446)-1))),""))))</f>
        <v/>
      </c>
      <c r="H1446">
        <f>IF(OR($F1446="",$G1446=""),"",IF(ISNUMBER(Sync!$AE1446),INT(MOD(Sync!$AE1446,10000)/100),IFERROR(VALUE(TRIM(LEFT(MID(Sync!$AE1446,FIND("/",Sync!$AE1446)+1,20),FIND("/",MID(Sync!$AE1446,FIND("/",Sync!$AE1446)+1,20))-1))),"")))</f>
        <v/>
      </c>
      <c r="I1446">
        <f>IF(OR($F1446="",$G1446=""),"",IF(ISNUMBER(Sync!$AE1446),MOD(Sync!$AE1446,100),IFERROR(VALUE(TRIM(MID(MID(Sync!$AE1446,FIND("/",Sync!$AE1446)+1,20),FIND("/",MID(Sync!$AE1446,FIND("/",Sync!$AE1446)+1,20))+1,20))),"")))</f>
        <v/>
      </c>
      <c r="J1446">
        <f>IF($F1446="","",IF(OR($G1446="",$H1446="",$I1446="",$G1446&lt;1300,$G1446&gt;1500,$H1446&lt;1,$H1446&gt;12,$I1446&lt;1,$I1446&gt;31),"نامعتبر",RIGHT("0000"&amp;$G1446,4)&amp;"/"&amp;RIGHT("00"&amp;$H1446,2)&amp;"/"&amp;RIGHT("00"&amp;$I1446,2)))</f>
        <v/>
      </c>
      <c r="K1446">
        <f>IF(OR($F1446="",$J1446="",$J1446="نامعتبر"),"",LEFT($J1446,4)&amp;MID($J1446,6,2)&amp;RIGHT($J1446,2)&amp;$N1446&amp;"|"&amp;"2"&amp;RIGHT("00000"&amp;1441,5))</f>
        <v/>
      </c>
      <c r="L1446">
        <f>IF($K1446="","",COUNTIFS(LdgSellerA,$F1446,LdgKeyA,"&lt;"&amp;$K1446)+COUNTIFS(LdgSellerB,$F1446,LdgKeyB,"&lt;"&amp;$K1446)+1)</f>
        <v/>
      </c>
      <c r="M1446">
        <f>IF($L1446="","",$F1446&amp;"|"&amp;RIGHT("000000"&amp;$L1446,6))</f>
        <v/>
      </c>
      <c r="N1446">
        <f>IF($F1446="","",IF(Sync!$AF1446="","0000",IF(AND(ISNUMBER(Sync!$AF1446),Sync!$AF1446&gt;=0,Sync!$AF1446&lt;1),RIGHT("00"&amp;HOUR(Sync!$AF1446),2)&amp;RIGHT("00"&amp;MINUTE(Sync!$AF1446),2),IFERROR(RIGHT("00"&amp;VALUE(LEFT(Sync!$AF1446,FIND(":",Sync!$AF1446)-1)),2)&amp;RIGHT("00"&amp;VALUE(MID(Sync!$AF1446,FIND(":",Sync!$AF1446)+1,2)),2),"0000"))))</f>
        <v/>
      </c>
    </row>
    <row r="1447">
      <c r="A1447">
        <f>IF(OR(Calc!$E1451="",Calc!$E1451="نامعتبر",Calc!$G1451=""),"",Calc!$G1451)</f>
        <v/>
      </c>
      <c r="B1447">
        <f>IF($A1447="","",LEFT(Calc!$E1451,4)&amp;MID(Calc!$E1451,6,2)&amp;RIGHT(Calc!$E1451,2)&amp;Calc!$Q1451&amp;"|"&amp;"1"&amp;RIGHT("00000"&amp;1442,5))</f>
        <v/>
      </c>
      <c r="C1447">
        <f>IF($B1447="","",COUNTIFS(LdgSellerA,$A1447,LdgKeyA,"&lt;"&amp;$B1447)+COUNTIFS(LdgSellerB,$A1447,LdgKeyB,"&lt;"&amp;$B1447)+1)</f>
        <v/>
      </c>
      <c r="D1447">
        <f>IF($C1447="","",$A1447&amp;"|"&amp;RIGHT("000000"&amp;$C1447,6))</f>
        <v/>
      </c>
      <c r="F1447">
        <f>IF(Sync!$AH1447="","",IF(LEFT(UPPER(TRIM(Sync!$AH1447)),2)="SL",UPPER(TRIM(Sync!$AH1447)),""))</f>
        <v/>
      </c>
      <c r="G1447">
        <f>IF($F1447="","",IF(Sync!$AE1447="","",IF(ISNUMBER(Sync!$AE1447),IF(AND(Sync!$AE1447&gt;=10000101,Sync!$AE1447&lt;=99991231),INT(Sync!$AE1447/10000),""),IFERROR(VALUE(TRIM(LEFT(Sync!$AE1447,FIND("/",Sync!$AE1447)-1))),""))))</f>
        <v/>
      </c>
      <c r="H1447">
        <f>IF(OR($F1447="",$G1447=""),"",IF(ISNUMBER(Sync!$AE1447),INT(MOD(Sync!$AE1447,10000)/100),IFERROR(VALUE(TRIM(LEFT(MID(Sync!$AE1447,FIND("/",Sync!$AE1447)+1,20),FIND("/",MID(Sync!$AE1447,FIND("/",Sync!$AE1447)+1,20))-1))),"")))</f>
        <v/>
      </c>
      <c r="I1447">
        <f>IF(OR($F1447="",$G1447=""),"",IF(ISNUMBER(Sync!$AE1447),MOD(Sync!$AE1447,100),IFERROR(VALUE(TRIM(MID(MID(Sync!$AE1447,FIND("/",Sync!$AE1447)+1,20),FIND("/",MID(Sync!$AE1447,FIND("/",Sync!$AE1447)+1,20))+1,20))),"")))</f>
        <v/>
      </c>
      <c r="J1447">
        <f>IF($F1447="","",IF(OR($G1447="",$H1447="",$I1447="",$G1447&lt;1300,$G1447&gt;1500,$H1447&lt;1,$H1447&gt;12,$I1447&lt;1,$I1447&gt;31),"نامعتبر",RIGHT("0000"&amp;$G1447,4)&amp;"/"&amp;RIGHT("00"&amp;$H1447,2)&amp;"/"&amp;RIGHT("00"&amp;$I1447,2)))</f>
        <v/>
      </c>
      <c r="K1447">
        <f>IF(OR($F1447="",$J1447="",$J1447="نامعتبر"),"",LEFT($J1447,4)&amp;MID($J1447,6,2)&amp;RIGHT($J1447,2)&amp;$N1447&amp;"|"&amp;"2"&amp;RIGHT("00000"&amp;1442,5))</f>
        <v/>
      </c>
      <c r="L1447">
        <f>IF($K1447="","",COUNTIFS(LdgSellerA,$F1447,LdgKeyA,"&lt;"&amp;$K1447)+COUNTIFS(LdgSellerB,$F1447,LdgKeyB,"&lt;"&amp;$K1447)+1)</f>
        <v/>
      </c>
      <c r="M1447">
        <f>IF($L1447="","",$F1447&amp;"|"&amp;RIGHT("000000"&amp;$L1447,6))</f>
        <v/>
      </c>
      <c r="N1447">
        <f>IF($F1447="","",IF(Sync!$AF1447="","0000",IF(AND(ISNUMBER(Sync!$AF1447),Sync!$AF1447&gt;=0,Sync!$AF1447&lt;1),RIGHT("00"&amp;HOUR(Sync!$AF1447),2)&amp;RIGHT("00"&amp;MINUTE(Sync!$AF1447),2),IFERROR(RIGHT("00"&amp;VALUE(LEFT(Sync!$AF1447,FIND(":",Sync!$AF1447)-1)),2)&amp;RIGHT("00"&amp;VALUE(MID(Sync!$AF1447,FIND(":",Sync!$AF1447)+1,2)),2),"0000"))))</f>
        <v/>
      </c>
    </row>
    <row r="1448">
      <c r="A1448">
        <f>IF(OR(Calc!$E1452="",Calc!$E1452="نامعتبر",Calc!$G1452=""),"",Calc!$G1452)</f>
        <v/>
      </c>
      <c r="B1448">
        <f>IF($A1448="","",LEFT(Calc!$E1452,4)&amp;MID(Calc!$E1452,6,2)&amp;RIGHT(Calc!$E1452,2)&amp;Calc!$Q1452&amp;"|"&amp;"1"&amp;RIGHT("00000"&amp;1443,5))</f>
        <v/>
      </c>
      <c r="C1448">
        <f>IF($B1448="","",COUNTIFS(LdgSellerA,$A1448,LdgKeyA,"&lt;"&amp;$B1448)+COUNTIFS(LdgSellerB,$A1448,LdgKeyB,"&lt;"&amp;$B1448)+1)</f>
        <v/>
      </c>
      <c r="D1448">
        <f>IF($C1448="","",$A1448&amp;"|"&amp;RIGHT("000000"&amp;$C1448,6))</f>
        <v/>
      </c>
      <c r="F1448">
        <f>IF(Sync!$AH1448="","",IF(LEFT(UPPER(TRIM(Sync!$AH1448)),2)="SL",UPPER(TRIM(Sync!$AH1448)),""))</f>
        <v/>
      </c>
      <c r="G1448">
        <f>IF($F1448="","",IF(Sync!$AE1448="","",IF(ISNUMBER(Sync!$AE1448),IF(AND(Sync!$AE1448&gt;=10000101,Sync!$AE1448&lt;=99991231),INT(Sync!$AE1448/10000),""),IFERROR(VALUE(TRIM(LEFT(Sync!$AE1448,FIND("/",Sync!$AE1448)-1))),""))))</f>
        <v/>
      </c>
      <c r="H1448">
        <f>IF(OR($F1448="",$G1448=""),"",IF(ISNUMBER(Sync!$AE1448),INT(MOD(Sync!$AE1448,10000)/100),IFERROR(VALUE(TRIM(LEFT(MID(Sync!$AE1448,FIND("/",Sync!$AE1448)+1,20),FIND("/",MID(Sync!$AE1448,FIND("/",Sync!$AE1448)+1,20))-1))),"")))</f>
        <v/>
      </c>
      <c r="I1448">
        <f>IF(OR($F1448="",$G1448=""),"",IF(ISNUMBER(Sync!$AE1448),MOD(Sync!$AE1448,100),IFERROR(VALUE(TRIM(MID(MID(Sync!$AE1448,FIND("/",Sync!$AE1448)+1,20),FIND("/",MID(Sync!$AE1448,FIND("/",Sync!$AE1448)+1,20))+1,20))),"")))</f>
        <v/>
      </c>
      <c r="J1448">
        <f>IF($F1448="","",IF(OR($G1448="",$H1448="",$I1448="",$G1448&lt;1300,$G1448&gt;1500,$H1448&lt;1,$H1448&gt;12,$I1448&lt;1,$I1448&gt;31),"نامعتبر",RIGHT("0000"&amp;$G1448,4)&amp;"/"&amp;RIGHT("00"&amp;$H1448,2)&amp;"/"&amp;RIGHT("00"&amp;$I1448,2)))</f>
        <v/>
      </c>
      <c r="K1448">
        <f>IF(OR($F1448="",$J1448="",$J1448="نامعتبر"),"",LEFT($J1448,4)&amp;MID($J1448,6,2)&amp;RIGHT($J1448,2)&amp;$N1448&amp;"|"&amp;"2"&amp;RIGHT("00000"&amp;1443,5))</f>
        <v/>
      </c>
      <c r="L1448">
        <f>IF($K1448="","",COUNTIFS(LdgSellerA,$F1448,LdgKeyA,"&lt;"&amp;$K1448)+COUNTIFS(LdgSellerB,$F1448,LdgKeyB,"&lt;"&amp;$K1448)+1)</f>
        <v/>
      </c>
      <c r="M1448">
        <f>IF($L1448="","",$F1448&amp;"|"&amp;RIGHT("000000"&amp;$L1448,6))</f>
        <v/>
      </c>
      <c r="N1448">
        <f>IF($F1448="","",IF(Sync!$AF1448="","0000",IF(AND(ISNUMBER(Sync!$AF1448),Sync!$AF1448&gt;=0,Sync!$AF1448&lt;1),RIGHT("00"&amp;HOUR(Sync!$AF1448),2)&amp;RIGHT("00"&amp;MINUTE(Sync!$AF1448),2),IFERROR(RIGHT("00"&amp;VALUE(LEFT(Sync!$AF1448,FIND(":",Sync!$AF1448)-1)),2)&amp;RIGHT("00"&amp;VALUE(MID(Sync!$AF1448,FIND(":",Sync!$AF1448)+1,2)),2),"0000"))))</f>
        <v/>
      </c>
    </row>
    <row r="1449">
      <c r="A1449">
        <f>IF(OR(Calc!$E1453="",Calc!$E1453="نامعتبر",Calc!$G1453=""),"",Calc!$G1453)</f>
        <v/>
      </c>
      <c r="B1449">
        <f>IF($A1449="","",LEFT(Calc!$E1453,4)&amp;MID(Calc!$E1453,6,2)&amp;RIGHT(Calc!$E1453,2)&amp;Calc!$Q1453&amp;"|"&amp;"1"&amp;RIGHT("00000"&amp;1444,5))</f>
        <v/>
      </c>
      <c r="C1449">
        <f>IF($B1449="","",COUNTIFS(LdgSellerA,$A1449,LdgKeyA,"&lt;"&amp;$B1449)+COUNTIFS(LdgSellerB,$A1449,LdgKeyB,"&lt;"&amp;$B1449)+1)</f>
        <v/>
      </c>
      <c r="D1449">
        <f>IF($C1449="","",$A1449&amp;"|"&amp;RIGHT("000000"&amp;$C1449,6))</f>
        <v/>
      </c>
      <c r="F1449">
        <f>IF(Sync!$AH1449="","",IF(LEFT(UPPER(TRIM(Sync!$AH1449)),2)="SL",UPPER(TRIM(Sync!$AH1449)),""))</f>
        <v/>
      </c>
      <c r="G1449">
        <f>IF($F1449="","",IF(Sync!$AE1449="","",IF(ISNUMBER(Sync!$AE1449),IF(AND(Sync!$AE1449&gt;=10000101,Sync!$AE1449&lt;=99991231),INT(Sync!$AE1449/10000),""),IFERROR(VALUE(TRIM(LEFT(Sync!$AE1449,FIND("/",Sync!$AE1449)-1))),""))))</f>
        <v/>
      </c>
      <c r="H1449">
        <f>IF(OR($F1449="",$G1449=""),"",IF(ISNUMBER(Sync!$AE1449),INT(MOD(Sync!$AE1449,10000)/100),IFERROR(VALUE(TRIM(LEFT(MID(Sync!$AE1449,FIND("/",Sync!$AE1449)+1,20),FIND("/",MID(Sync!$AE1449,FIND("/",Sync!$AE1449)+1,20))-1))),"")))</f>
        <v/>
      </c>
      <c r="I1449">
        <f>IF(OR($F1449="",$G1449=""),"",IF(ISNUMBER(Sync!$AE1449),MOD(Sync!$AE1449,100),IFERROR(VALUE(TRIM(MID(MID(Sync!$AE1449,FIND("/",Sync!$AE1449)+1,20),FIND("/",MID(Sync!$AE1449,FIND("/",Sync!$AE1449)+1,20))+1,20))),"")))</f>
        <v/>
      </c>
      <c r="J1449">
        <f>IF($F1449="","",IF(OR($G1449="",$H1449="",$I1449="",$G1449&lt;1300,$G1449&gt;1500,$H1449&lt;1,$H1449&gt;12,$I1449&lt;1,$I1449&gt;31),"نامعتبر",RIGHT("0000"&amp;$G1449,4)&amp;"/"&amp;RIGHT("00"&amp;$H1449,2)&amp;"/"&amp;RIGHT("00"&amp;$I1449,2)))</f>
        <v/>
      </c>
      <c r="K1449">
        <f>IF(OR($F1449="",$J1449="",$J1449="نامعتبر"),"",LEFT($J1449,4)&amp;MID($J1449,6,2)&amp;RIGHT($J1449,2)&amp;$N1449&amp;"|"&amp;"2"&amp;RIGHT("00000"&amp;1444,5))</f>
        <v/>
      </c>
      <c r="L1449">
        <f>IF($K1449="","",COUNTIFS(LdgSellerA,$F1449,LdgKeyA,"&lt;"&amp;$K1449)+COUNTIFS(LdgSellerB,$F1449,LdgKeyB,"&lt;"&amp;$K1449)+1)</f>
        <v/>
      </c>
      <c r="M1449">
        <f>IF($L1449="","",$F1449&amp;"|"&amp;RIGHT("000000"&amp;$L1449,6))</f>
        <v/>
      </c>
      <c r="N1449">
        <f>IF($F1449="","",IF(Sync!$AF1449="","0000",IF(AND(ISNUMBER(Sync!$AF1449),Sync!$AF1449&gt;=0,Sync!$AF1449&lt;1),RIGHT("00"&amp;HOUR(Sync!$AF1449),2)&amp;RIGHT("00"&amp;MINUTE(Sync!$AF1449),2),IFERROR(RIGHT("00"&amp;VALUE(LEFT(Sync!$AF1449,FIND(":",Sync!$AF1449)-1)),2)&amp;RIGHT("00"&amp;VALUE(MID(Sync!$AF1449,FIND(":",Sync!$AF1449)+1,2)),2),"0000"))))</f>
        <v/>
      </c>
    </row>
    <row r="1450">
      <c r="A1450">
        <f>IF(OR(Calc!$E1454="",Calc!$E1454="نامعتبر",Calc!$G1454=""),"",Calc!$G1454)</f>
        <v/>
      </c>
      <c r="B1450">
        <f>IF($A1450="","",LEFT(Calc!$E1454,4)&amp;MID(Calc!$E1454,6,2)&amp;RIGHT(Calc!$E1454,2)&amp;Calc!$Q1454&amp;"|"&amp;"1"&amp;RIGHT("00000"&amp;1445,5))</f>
        <v/>
      </c>
      <c r="C1450">
        <f>IF($B1450="","",COUNTIFS(LdgSellerA,$A1450,LdgKeyA,"&lt;"&amp;$B1450)+COUNTIFS(LdgSellerB,$A1450,LdgKeyB,"&lt;"&amp;$B1450)+1)</f>
        <v/>
      </c>
      <c r="D1450">
        <f>IF($C1450="","",$A1450&amp;"|"&amp;RIGHT("000000"&amp;$C1450,6))</f>
        <v/>
      </c>
      <c r="F1450">
        <f>IF(Sync!$AH1450="","",IF(LEFT(UPPER(TRIM(Sync!$AH1450)),2)="SL",UPPER(TRIM(Sync!$AH1450)),""))</f>
        <v/>
      </c>
      <c r="G1450">
        <f>IF($F1450="","",IF(Sync!$AE1450="","",IF(ISNUMBER(Sync!$AE1450),IF(AND(Sync!$AE1450&gt;=10000101,Sync!$AE1450&lt;=99991231),INT(Sync!$AE1450/10000),""),IFERROR(VALUE(TRIM(LEFT(Sync!$AE1450,FIND("/",Sync!$AE1450)-1))),""))))</f>
        <v/>
      </c>
      <c r="H1450">
        <f>IF(OR($F1450="",$G1450=""),"",IF(ISNUMBER(Sync!$AE1450),INT(MOD(Sync!$AE1450,10000)/100),IFERROR(VALUE(TRIM(LEFT(MID(Sync!$AE1450,FIND("/",Sync!$AE1450)+1,20),FIND("/",MID(Sync!$AE1450,FIND("/",Sync!$AE1450)+1,20))-1))),"")))</f>
        <v/>
      </c>
      <c r="I1450">
        <f>IF(OR($F1450="",$G1450=""),"",IF(ISNUMBER(Sync!$AE1450),MOD(Sync!$AE1450,100),IFERROR(VALUE(TRIM(MID(MID(Sync!$AE1450,FIND("/",Sync!$AE1450)+1,20),FIND("/",MID(Sync!$AE1450,FIND("/",Sync!$AE1450)+1,20))+1,20))),"")))</f>
        <v/>
      </c>
      <c r="J1450">
        <f>IF($F1450="","",IF(OR($G1450="",$H1450="",$I1450="",$G1450&lt;1300,$G1450&gt;1500,$H1450&lt;1,$H1450&gt;12,$I1450&lt;1,$I1450&gt;31),"نامعتبر",RIGHT("0000"&amp;$G1450,4)&amp;"/"&amp;RIGHT("00"&amp;$H1450,2)&amp;"/"&amp;RIGHT("00"&amp;$I1450,2)))</f>
        <v/>
      </c>
      <c r="K1450">
        <f>IF(OR($F1450="",$J1450="",$J1450="نامعتبر"),"",LEFT($J1450,4)&amp;MID($J1450,6,2)&amp;RIGHT($J1450,2)&amp;$N1450&amp;"|"&amp;"2"&amp;RIGHT("00000"&amp;1445,5))</f>
        <v/>
      </c>
      <c r="L1450">
        <f>IF($K1450="","",COUNTIFS(LdgSellerA,$F1450,LdgKeyA,"&lt;"&amp;$K1450)+COUNTIFS(LdgSellerB,$F1450,LdgKeyB,"&lt;"&amp;$K1450)+1)</f>
        <v/>
      </c>
      <c r="M1450">
        <f>IF($L1450="","",$F1450&amp;"|"&amp;RIGHT("000000"&amp;$L1450,6))</f>
        <v/>
      </c>
      <c r="N1450">
        <f>IF($F1450="","",IF(Sync!$AF1450="","0000",IF(AND(ISNUMBER(Sync!$AF1450),Sync!$AF1450&gt;=0,Sync!$AF1450&lt;1),RIGHT("00"&amp;HOUR(Sync!$AF1450),2)&amp;RIGHT("00"&amp;MINUTE(Sync!$AF1450),2),IFERROR(RIGHT("00"&amp;VALUE(LEFT(Sync!$AF1450,FIND(":",Sync!$AF1450)-1)),2)&amp;RIGHT("00"&amp;VALUE(MID(Sync!$AF1450,FIND(":",Sync!$AF1450)+1,2)),2),"0000"))))</f>
        <v/>
      </c>
    </row>
    <row r="1451">
      <c r="A1451">
        <f>IF(OR(Calc!$E1455="",Calc!$E1455="نامعتبر",Calc!$G1455=""),"",Calc!$G1455)</f>
        <v/>
      </c>
      <c r="B1451">
        <f>IF($A1451="","",LEFT(Calc!$E1455,4)&amp;MID(Calc!$E1455,6,2)&amp;RIGHT(Calc!$E1455,2)&amp;Calc!$Q1455&amp;"|"&amp;"1"&amp;RIGHT("00000"&amp;1446,5))</f>
        <v/>
      </c>
      <c r="C1451">
        <f>IF($B1451="","",COUNTIFS(LdgSellerA,$A1451,LdgKeyA,"&lt;"&amp;$B1451)+COUNTIFS(LdgSellerB,$A1451,LdgKeyB,"&lt;"&amp;$B1451)+1)</f>
        <v/>
      </c>
      <c r="D1451">
        <f>IF($C1451="","",$A1451&amp;"|"&amp;RIGHT("000000"&amp;$C1451,6))</f>
        <v/>
      </c>
      <c r="F1451">
        <f>IF(Sync!$AH1451="","",IF(LEFT(UPPER(TRIM(Sync!$AH1451)),2)="SL",UPPER(TRIM(Sync!$AH1451)),""))</f>
        <v/>
      </c>
      <c r="G1451">
        <f>IF($F1451="","",IF(Sync!$AE1451="","",IF(ISNUMBER(Sync!$AE1451),IF(AND(Sync!$AE1451&gt;=10000101,Sync!$AE1451&lt;=99991231),INT(Sync!$AE1451/10000),""),IFERROR(VALUE(TRIM(LEFT(Sync!$AE1451,FIND("/",Sync!$AE1451)-1))),""))))</f>
        <v/>
      </c>
      <c r="H1451">
        <f>IF(OR($F1451="",$G1451=""),"",IF(ISNUMBER(Sync!$AE1451),INT(MOD(Sync!$AE1451,10000)/100),IFERROR(VALUE(TRIM(LEFT(MID(Sync!$AE1451,FIND("/",Sync!$AE1451)+1,20),FIND("/",MID(Sync!$AE1451,FIND("/",Sync!$AE1451)+1,20))-1))),"")))</f>
        <v/>
      </c>
      <c r="I1451">
        <f>IF(OR($F1451="",$G1451=""),"",IF(ISNUMBER(Sync!$AE1451),MOD(Sync!$AE1451,100),IFERROR(VALUE(TRIM(MID(MID(Sync!$AE1451,FIND("/",Sync!$AE1451)+1,20),FIND("/",MID(Sync!$AE1451,FIND("/",Sync!$AE1451)+1,20))+1,20))),"")))</f>
        <v/>
      </c>
      <c r="J1451">
        <f>IF($F1451="","",IF(OR($G1451="",$H1451="",$I1451="",$G1451&lt;1300,$G1451&gt;1500,$H1451&lt;1,$H1451&gt;12,$I1451&lt;1,$I1451&gt;31),"نامعتبر",RIGHT("0000"&amp;$G1451,4)&amp;"/"&amp;RIGHT("00"&amp;$H1451,2)&amp;"/"&amp;RIGHT("00"&amp;$I1451,2)))</f>
        <v/>
      </c>
      <c r="K1451">
        <f>IF(OR($F1451="",$J1451="",$J1451="نامعتبر"),"",LEFT($J1451,4)&amp;MID($J1451,6,2)&amp;RIGHT($J1451,2)&amp;$N1451&amp;"|"&amp;"2"&amp;RIGHT("00000"&amp;1446,5))</f>
        <v/>
      </c>
      <c r="L1451">
        <f>IF($K1451="","",COUNTIFS(LdgSellerA,$F1451,LdgKeyA,"&lt;"&amp;$K1451)+COUNTIFS(LdgSellerB,$F1451,LdgKeyB,"&lt;"&amp;$K1451)+1)</f>
        <v/>
      </c>
      <c r="M1451">
        <f>IF($L1451="","",$F1451&amp;"|"&amp;RIGHT("000000"&amp;$L1451,6))</f>
        <v/>
      </c>
      <c r="N1451">
        <f>IF($F1451="","",IF(Sync!$AF1451="","0000",IF(AND(ISNUMBER(Sync!$AF1451),Sync!$AF1451&gt;=0,Sync!$AF1451&lt;1),RIGHT("00"&amp;HOUR(Sync!$AF1451),2)&amp;RIGHT("00"&amp;MINUTE(Sync!$AF1451),2),IFERROR(RIGHT("00"&amp;VALUE(LEFT(Sync!$AF1451,FIND(":",Sync!$AF1451)-1)),2)&amp;RIGHT("00"&amp;VALUE(MID(Sync!$AF1451,FIND(":",Sync!$AF1451)+1,2)),2),"0000"))))</f>
        <v/>
      </c>
    </row>
    <row r="1452">
      <c r="A1452">
        <f>IF(OR(Calc!$E1456="",Calc!$E1456="نامعتبر",Calc!$G1456=""),"",Calc!$G1456)</f>
        <v/>
      </c>
      <c r="B1452">
        <f>IF($A1452="","",LEFT(Calc!$E1456,4)&amp;MID(Calc!$E1456,6,2)&amp;RIGHT(Calc!$E1456,2)&amp;Calc!$Q1456&amp;"|"&amp;"1"&amp;RIGHT("00000"&amp;1447,5))</f>
        <v/>
      </c>
      <c r="C1452">
        <f>IF($B1452="","",COUNTIFS(LdgSellerA,$A1452,LdgKeyA,"&lt;"&amp;$B1452)+COUNTIFS(LdgSellerB,$A1452,LdgKeyB,"&lt;"&amp;$B1452)+1)</f>
        <v/>
      </c>
      <c r="D1452">
        <f>IF($C1452="","",$A1452&amp;"|"&amp;RIGHT("000000"&amp;$C1452,6))</f>
        <v/>
      </c>
      <c r="F1452">
        <f>IF(Sync!$AH1452="","",IF(LEFT(UPPER(TRIM(Sync!$AH1452)),2)="SL",UPPER(TRIM(Sync!$AH1452)),""))</f>
        <v/>
      </c>
      <c r="G1452">
        <f>IF($F1452="","",IF(Sync!$AE1452="","",IF(ISNUMBER(Sync!$AE1452),IF(AND(Sync!$AE1452&gt;=10000101,Sync!$AE1452&lt;=99991231),INT(Sync!$AE1452/10000),""),IFERROR(VALUE(TRIM(LEFT(Sync!$AE1452,FIND("/",Sync!$AE1452)-1))),""))))</f>
        <v/>
      </c>
      <c r="H1452">
        <f>IF(OR($F1452="",$G1452=""),"",IF(ISNUMBER(Sync!$AE1452),INT(MOD(Sync!$AE1452,10000)/100),IFERROR(VALUE(TRIM(LEFT(MID(Sync!$AE1452,FIND("/",Sync!$AE1452)+1,20),FIND("/",MID(Sync!$AE1452,FIND("/",Sync!$AE1452)+1,20))-1))),"")))</f>
        <v/>
      </c>
      <c r="I1452">
        <f>IF(OR($F1452="",$G1452=""),"",IF(ISNUMBER(Sync!$AE1452),MOD(Sync!$AE1452,100),IFERROR(VALUE(TRIM(MID(MID(Sync!$AE1452,FIND("/",Sync!$AE1452)+1,20),FIND("/",MID(Sync!$AE1452,FIND("/",Sync!$AE1452)+1,20))+1,20))),"")))</f>
        <v/>
      </c>
      <c r="J1452">
        <f>IF($F1452="","",IF(OR($G1452="",$H1452="",$I1452="",$G1452&lt;1300,$G1452&gt;1500,$H1452&lt;1,$H1452&gt;12,$I1452&lt;1,$I1452&gt;31),"نامعتبر",RIGHT("0000"&amp;$G1452,4)&amp;"/"&amp;RIGHT("00"&amp;$H1452,2)&amp;"/"&amp;RIGHT("00"&amp;$I1452,2)))</f>
        <v/>
      </c>
      <c r="K1452">
        <f>IF(OR($F1452="",$J1452="",$J1452="نامعتبر"),"",LEFT($J1452,4)&amp;MID($J1452,6,2)&amp;RIGHT($J1452,2)&amp;$N1452&amp;"|"&amp;"2"&amp;RIGHT("00000"&amp;1447,5))</f>
        <v/>
      </c>
      <c r="L1452">
        <f>IF($K1452="","",COUNTIFS(LdgSellerA,$F1452,LdgKeyA,"&lt;"&amp;$K1452)+COUNTIFS(LdgSellerB,$F1452,LdgKeyB,"&lt;"&amp;$K1452)+1)</f>
        <v/>
      </c>
      <c r="M1452">
        <f>IF($L1452="","",$F1452&amp;"|"&amp;RIGHT("000000"&amp;$L1452,6))</f>
        <v/>
      </c>
      <c r="N1452">
        <f>IF($F1452="","",IF(Sync!$AF1452="","0000",IF(AND(ISNUMBER(Sync!$AF1452),Sync!$AF1452&gt;=0,Sync!$AF1452&lt;1),RIGHT("00"&amp;HOUR(Sync!$AF1452),2)&amp;RIGHT("00"&amp;MINUTE(Sync!$AF1452),2),IFERROR(RIGHT("00"&amp;VALUE(LEFT(Sync!$AF1452,FIND(":",Sync!$AF1452)-1)),2)&amp;RIGHT("00"&amp;VALUE(MID(Sync!$AF1452,FIND(":",Sync!$AF1452)+1,2)),2),"0000"))))</f>
        <v/>
      </c>
    </row>
    <row r="1453">
      <c r="A1453">
        <f>IF(OR(Calc!$E1457="",Calc!$E1457="نامعتبر",Calc!$G1457=""),"",Calc!$G1457)</f>
        <v/>
      </c>
      <c r="B1453">
        <f>IF($A1453="","",LEFT(Calc!$E1457,4)&amp;MID(Calc!$E1457,6,2)&amp;RIGHT(Calc!$E1457,2)&amp;Calc!$Q1457&amp;"|"&amp;"1"&amp;RIGHT("00000"&amp;1448,5))</f>
        <v/>
      </c>
      <c r="C1453">
        <f>IF($B1453="","",COUNTIFS(LdgSellerA,$A1453,LdgKeyA,"&lt;"&amp;$B1453)+COUNTIFS(LdgSellerB,$A1453,LdgKeyB,"&lt;"&amp;$B1453)+1)</f>
        <v/>
      </c>
      <c r="D1453">
        <f>IF($C1453="","",$A1453&amp;"|"&amp;RIGHT("000000"&amp;$C1453,6))</f>
        <v/>
      </c>
      <c r="F1453">
        <f>IF(Sync!$AH1453="","",IF(LEFT(UPPER(TRIM(Sync!$AH1453)),2)="SL",UPPER(TRIM(Sync!$AH1453)),""))</f>
        <v/>
      </c>
      <c r="G1453">
        <f>IF($F1453="","",IF(Sync!$AE1453="","",IF(ISNUMBER(Sync!$AE1453),IF(AND(Sync!$AE1453&gt;=10000101,Sync!$AE1453&lt;=99991231),INT(Sync!$AE1453/10000),""),IFERROR(VALUE(TRIM(LEFT(Sync!$AE1453,FIND("/",Sync!$AE1453)-1))),""))))</f>
        <v/>
      </c>
      <c r="H1453">
        <f>IF(OR($F1453="",$G1453=""),"",IF(ISNUMBER(Sync!$AE1453),INT(MOD(Sync!$AE1453,10000)/100),IFERROR(VALUE(TRIM(LEFT(MID(Sync!$AE1453,FIND("/",Sync!$AE1453)+1,20),FIND("/",MID(Sync!$AE1453,FIND("/",Sync!$AE1453)+1,20))-1))),"")))</f>
        <v/>
      </c>
      <c r="I1453">
        <f>IF(OR($F1453="",$G1453=""),"",IF(ISNUMBER(Sync!$AE1453),MOD(Sync!$AE1453,100),IFERROR(VALUE(TRIM(MID(MID(Sync!$AE1453,FIND("/",Sync!$AE1453)+1,20),FIND("/",MID(Sync!$AE1453,FIND("/",Sync!$AE1453)+1,20))+1,20))),"")))</f>
        <v/>
      </c>
      <c r="J1453">
        <f>IF($F1453="","",IF(OR($G1453="",$H1453="",$I1453="",$G1453&lt;1300,$G1453&gt;1500,$H1453&lt;1,$H1453&gt;12,$I1453&lt;1,$I1453&gt;31),"نامعتبر",RIGHT("0000"&amp;$G1453,4)&amp;"/"&amp;RIGHT("00"&amp;$H1453,2)&amp;"/"&amp;RIGHT("00"&amp;$I1453,2)))</f>
        <v/>
      </c>
      <c r="K1453">
        <f>IF(OR($F1453="",$J1453="",$J1453="نامعتبر"),"",LEFT($J1453,4)&amp;MID($J1453,6,2)&amp;RIGHT($J1453,2)&amp;$N1453&amp;"|"&amp;"2"&amp;RIGHT("00000"&amp;1448,5))</f>
        <v/>
      </c>
      <c r="L1453">
        <f>IF($K1453="","",COUNTIFS(LdgSellerA,$F1453,LdgKeyA,"&lt;"&amp;$K1453)+COUNTIFS(LdgSellerB,$F1453,LdgKeyB,"&lt;"&amp;$K1453)+1)</f>
        <v/>
      </c>
      <c r="M1453">
        <f>IF($L1453="","",$F1453&amp;"|"&amp;RIGHT("000000"&amp;$L1453,6))</f>
        <v/>
      </c>
      <c r="N1453">
        <f>IF($F1453="","",IF(Sync!$AF1453="","0000",IF(AND(ISNUMBER(Sync!$AF1453),Sync!$AF1453&gt;=0,Sync!$AF1453&lt;1),RIGHT("00"&amp;HOUR(Sync!$AF1453),2)&amp;RIGHT("00"&amp;MINUTE(Sync!$AF1453),2),IFERROR(RIGHT("00"&amp;VALUE(LEFT(Sync!$AF1453,FIND(":",Sync!$AF1453)-1)),2)&amp;RIGHT("00"&amp;VALUE(MID(Sync!$AF1453,FIND(":",Sync!$AF1453)+1,2)),2),"0000"))))</f>
        <v/>
      </c>
    </row>
    <row r="1454">
      <c r="A1454">
        <f>IF(OR(Calc!$E1458="",Calc!$E1458="نامعتبر",Calc!$G1458=""),"",Calc!$G1458)</f>
        <v/>
      </c>
      <c r="B1454">
        <f>IF($A1454="","",LEFT(Calc!$E1458,4)&amp;MID(Calc!$E1458,6,2)&amp;RIGHT(Calc!$E1458,2)&amp;Calc!$Q1458&amp;"|"&amp;"1"&amp;RIGHT("00000"&amp;1449,5))</f>
        <v/>
      </c>
      <c r="C1454">
        <f>IF($B1454="","",COUNTIFS(LdgSellerA,$A1454,LdgKeyA,"&lt;"&amp;$B1454)+COUNTIFS(LdgSellerB,$A1454,LdgKeyB,"&lt;"&amp;$B1454)+1)</f>
        <v/>
      </c>
      <c r="D1454">
        <f>IF($C1454="","",$A1454&amp;"|"&amp;RIGHT("000000"&amp;$C1454,6))</f>
        <v/>
      </c>
      <c r="F1454">
        <f>IF(Sync!$AH1454="","",IF(LEFT(UPPER(TRIM(Sync!$AH1454)),2)="SL",UPPER(TRIM(Sync!$AH1454)),""))</f>
        <v/>
      </c>
      <c r="G1454">
        <f>IF($F1454="","",IF(Sync!$AE1454="","",IF(ISNUMBER(Sync!$AE1454),IF(AND(Sync!$AE1454&gt;=10000101,Sync!$AE1454&lt;=99991231),INT(Sync!$AE1454/10000),""),IFERROR(VALUE(TRIM(LEFT(Sync!$AE1454,FIND("/",Sync!$AE1454)-1))),""))))</f>
        <v/>
      </c>
      <c r="H1454">
        <f>IF(OR($F1454="",$G1454=""),"",IF(ISNUMBER(Sync!$AE1454),INT(MOD(Sync!$AE1454,10000)/100),IFERROR(VALUE(TRIM(LEFT(MID(Sync!$AE1454,FIND("/",Sync!$AE1454)+1,20),FIND("/",MID(Sync!$AE1454,FIND("/",Sync!$AE1454)+1,20))-1))),"")))</f>
        <v/>
      </c>
      <c r="I1454">
        <f>IF(OR($F1454="",$G1454=""),"",IF(ISNUMBER(Sync!$AE1454),MOD(Sync!$AE1454,100),IFERROR(VALUE(TRIM(MID(MID(Sync!$AE1454,FIND("/",Sync!$AE1454)+1,20),FIND("/",MID(Sync!$AE1454,FIND("/",Sync!$AE1454)+1,20))+1,20))),"")))</f>
        <v/>
      </c>
      <c r="J1454">
        <f>IF($F1454="","",IF(OR($G1454="",$H1454="",$I1454="",$G1454&lt;1300,$G1454&gt;1500,$H1454&lt;1,$H1454&gt;12,$I1454&lt;1,$I1454&gt;31),"نامعتبر",RIGHT("0000"&amp;$G1454,4)&amp;"/"&amp;RIGHT("00"&amp;$H1454,2)&amp;"/"&amp;RIGHT("00"&amp;$I1454,2)))</f>
        <v/>
      </c>
      <c r="K1454">
        <f>IF(OR($F1454="",$J1454="",$J1454="نامعتبر"),"",LEFT($J1454,4)&amp;MID($J1454,6,2)&amp;RIGHT($J1454,2)&amp;$N1454&amp;"|"&amp;"2"&amp;RIGHT("00000"&amp;1449,5))</f>
        <v/>
      </c>
      <c r="L1454">
        <f>IF($K1454="","",COUNTIFS(LdgSellerA,$F1454,LdgKeyA,"&lt;"&amp;$K1454)+COUNTIFS(LdgSellerB,$F1454,LdgKeyB,"&lt;"&amp;$K1454)+1)</f>
        <v/>
      </c>
      <c r="M1454">
        <f>IF($L1454="","",$F1454&amp;"|"&amp;RIGHT("000000"&amp;$L1454,6))</f>
        <v/>
      </c>
      <c r="N1454">
        <f>IF($F1454="","",IF(Sync!$AF1454="","0000",IF(AND(ISNUMBER(Sync!$AF1454),Sync!$AF1454&gt;=0,Sync!$AF1454&lt;1),RIGHT("00"&amp;HOUR(Sync!$AF1454),2)&amp;RIGHT("00"&amp;MINUTE(Sync!$AF1454),2),IFERROR(RIGHT("00"&amp;VALUE(LEFT(Sync!$AF1454,FIND(":",Sync!$AF1454)-1)),2)&amp;RIGHT("00"&amp;VALUE(MID(Sync!$AF1454,FIND(":",Sync!$AF1454)+1,2)),2),"0000"))))</f>
        <v/>
      </c>
    </row>
    <row r="1455">
      <c r="A1455">
        <f>IF(OR(Calc!$E1459="",Calc!$E1459="نامعتبر",Calc!$G1459=""),"",Calc!$G1459)</f>
        <v/>
      </c>
      <c r="B1455">
        <f>IF($A1455="","",LEFT(Calc!$E1459,4)&amp;MID(Calc!$E1459,6,2)&amp;RIGHT(Calc!$E1459,2)&amp;Calc!$Q1459&amp;"|"&amp;"1"&amp;RIGHT("00000"&amp;1450,5))</f>
        <v/>
      </c>
      <c r="C1455">
        <f>IF($B1455="","",COUNTIFS(LdgSellerA,$A1455,LdgKeyA,"&lt;"&amp;$B1455)+COUNTIFS(LdgSellerB,$A1455,LdgKeyB,"&lt;"&amp;$B1455)+1)</f>
        <v/>
      </c>
      <c r="D1455">
        <f>IF($C1455="","",$A1455&amp;"|"&amp;RIGHT("000000"&amp;$C1455,6))</f>
        <v/>
      </c>
      <c r="F1455">
        <f>IF(Sync!$AH1455="","",IF(LEFT(UPPER(TRIM(Sync!$AH1455)),2)="SL",UPPER(TRIM(Sync!$AH1455)),""))</f>
        <v/>
      </c>
      <c r="G1455">
        <f>IF($F1455="","",IF(Sync!$AE1455="","",IF(ISNUMBER(Sync!$AE1455),IF(AND(Sync!$AE1455&gt;=10000101,Sync!$AE1455&lt;=99991231),INT(Sync!$AE1455/10000),""),IFERROR(VALUE(TRIM(LEFT(Sync!$AE1455,FIND("/",Sync!$AE1455)-1))),""))))</f>
        <v/>
      </c>
      <c r="H1455">
        <f>IF(OR($F1455="",$G1455=""),"",IF(ISNUMBER(Sync!$AE1455),INT(MOD(Sync!$AE1455,10000)/100),IFERROR(VALUE(TRIM(LEFT(MID(Sync!$AE1455,FIND("/",Sync!$AE1455)+1,20),FIND("/",MID(Sync!$AE1455,FIND("/",Sync!$AE1455)+1,20))-1))),"")))</f>
        <v/>
      </c>
      <c r="I1455">
        <f>IF(OR($F1455="",$G1455=""),"",IF(ISNUMBER(Sync!$AE1455),MOD(Sync!$AE1455,100),IFERROR(VALUE(TRIM(MID(MID(Sync!$AE1455,FIND("/",Sync!$AE1455)+1,20),FIND("/",MID(Sync!$AE1455,FIND("/",Sync!$AE1455)+1,20))+1,20))),"")))</f>
        <v/>
      </c>
      <c r="J1455">
        <f>IF($F1455="","",IF(OR($G1455="",$H1455="",$I1455="",$G1455&lt;1300,$G1455&gt;1500,$H1455&lt;1,$H1455&gt;12,$I1455&lt;1,$I1455&gt;31),"نامعتبر",RIGHT("0000"&amp;$G1455,4)&amp;"/"&amp;RIGHT("00"&amp;$H1455,2)&amp;"/"&amp;RIGHT("00"&amp;$I1455,2)))</f>
        <v/>
      </c>
      <c r="K1455">
        <f>IF(OR($F1455="",$J1455="",$J1455="نامعتبر"),"",LEFT($J1455,4)&amp;MID($J1455,6,2)&amp;RIGHT($J1455,2)&amp;$N1455&amp;"|"&amp;"2"&amp;RIGHT("00000"&amp;1450,5))</f>
        <v/>
      </c>
      <c r="L1455">
        <f>IF($K1455="","",COUNTIFS(LdgSellerA,$F1455,LdgKeyA,"&lt;"&amp;$K1455)+COUNTIFS(LdgSellerB,$F1455,LdgKeyB,"&lt;"&amp;$K1455)+1)</f>
        <v/>
      </c>
      <c r="M1455">
        <f>IF($L1455="","",$F1455&amp;"|"&amp;RIGHT("000000"&amp;$L1455,6))</f>
        <v/>
      </c>
      <c r="N1455">
        <f>IF($F1455="","",IF(Sync!$AF1455="","0000",IF(AND(ISNUMBER(Sync!$AF1455),Sync!$AF1455&gt;=0,Sync!$AF1455&lt;1),RIGHT("00"&amp;HOUR(Sync!$AF1455),2)&amp;RIGHT("00"&amp;MINUTE(Sync!$AF1455),2),IFERROR(RIGHT("00"&amp;VALUE(LEFT(Sync!$AF1455,FIND(":",Sync!$AF1455)-1)),2)&amp;RIGHT("00"&amp;VALUE(MID(Sync!$AF1455,FIND(":",Sync!$AF1455)+1,2)),2),"0000"))))</f>
        <v/>
      </c>
    </row>
    <row r="1456">
      <c r="A1456">
        <f>IF(OR(Calc!$E1460="",Calc!$E1460="نامعتبر",Calc!$G1460=""),"",Calc!$G1460)</f>
        <v/>
      </c>
      <c r="B1456">
        <f>IF($A1456="","",LEFT(Calc!$E1460,4)&amp;MID(Calc!$E1460,6,2)&amp;RIGHT(Calc!$E1460,2)&amp;Calc!$Q1460&amp;"|"&amp;"1"&amp;RIGHT("00000"&amp;1451,5))</f>
        <v/>
      </c>
      <c r="C1456">
        <f>IF($B1456="","",COUNTIFS(LdgSellerA,$A1456,LdgKeyA,"&lt;"&amp;$B1456)+COUNTIFS(LdgSellerB,$A1456,LdgKeyB,"&lt;"&amp;$B1456)+1)</f>
        <v/>
      </c>
      <c r="D1456">
        <f>IF($C1456="","",$A1456&amp;"|"&amp;RIGHT("000000"&amp;$C1456,6))</f>
        <v/>
      </c>
      <c r="F1456">
        <f>IF(Sync!$AH1456="","",IF(LEFT(UPPER(TRIM(Sync!$AH1456)),2)="SL",UPPER(TRIM(Sync!$AH1456)),""))</f>
        <v/>
      </c>
      <c r="G1456">
        <f>IF($F1456="","",IF(Sync!$AE1456="","",IF(ISNUMBER(Sync!$AE1456),IF(AND(Sync!$AE1456&gt;=10000101,Sync!$AE1456&lt;=99991231),INT(Sync!$AE1456/10000),""),IFERROR(VALUE(TRIM(LEFT(Sync!$AE1456,FIND("/",Sync!$AE1456)-1))),""))))</f>
        <v/>
      </c>
      <c r="H1456">
        <f>IF(OR($F1456="",$G1456=""),"",IF(ISNUMBER(Sync!$AE1456),INT(MOD(Sync!$AE1456,10000)/100),IFERROR(VALUE(TRIM(LEFT(MID(Sync!$AE1456,FIND("/",Sync!$AE1456)+1,20),FIND("/",MID(Sync!$AE1456,FIND("/",Sync!$AE1456)+1,20))-1))),"")))</f>
        <v/>
      </c>
      <c r="I1456">
        <f>IF(OR($F1456="",$G1456=""),"",IF(ISNUMBER(Sync!$AE1456),MOD(Sync!$AE1456,100),IFERROR(VALUE(TRIM(MID(MID(Sync!$AE1456,FIND("/",Sync!$AE1456)+1,20),FIND("/",MID(Sync!$AE1456,FIND("/",Sync!$AE1456)+1,20))+1,20))),"")))</f>
        <v/>
      </c>
      <c r="J1456">
        <f>IF($F1456="","",IF(OR($G1456="",$H1456="",$I1456="",$G1456&lt;1300,$G1456&gt;1500,$H1456&lt;1,$H1456&gt;12,$I1456&lt;1,$I1456&gt;31),"نامعتبر",RIGHT("0000"&amp;$G1456,4)&amp;"/"&amp;RIGHT("00"&amp;$H1456,2)&amp;"/"&amp;RIGHT("00"&amp;$I1456,2)))</f>
        <v/>
      </c>
      <c r="K1456">
        <f>IF(OR($F1456="",$J1456="",$J1456="نامعتبر"),"",LEFT($J1456,4)&amp;MID($J1456,6,2)&amp;RIGHT($J1456,2)&amp;$N1456&amp;"|"&amp;"2"&amp;RIGHT("00000"&amp;1451,5))</f>
        <v/>
      </c>
      <c r="L1456">
        <f>IF($K1456="","",COUNTIFS(LdgSellerA,$F1456,LdgKeyA,"&lt;"&amp;$K1456)+COUNTIFS(LdgSellerB,$F1456,LdgKeyB,"&lt;"&amp;$K1456)+1)</f>
        <v/>
      </c>
      <c r="M1456">
        <f>IF($L1456="","",$F1456&amp;"|"&amp;RIGHT("000000"&amp;$L1456,6))</f>
        <v/>
      </c>
      <c r="N1456">
        <f>IF($F1456="","",IF(Sync!$AF1456="","0000",IF(AND(ISNUMBER(Sync!$AF1456),Sync!$AF1456&gt;=0,Sync!$AF1456&lt;1),RIGHT("00"&amp;HOUR(Sync!$AF1456),2)&amp;RIGHT("00"&amp;MINUTE(Sync!$AF1456),2),IFERROR(RIGHT("00"&amp;VALUE(LEFT(Sync!$AF1456,FIND(":",Sync!$AF1456)-1)),2)&amp;RIGHT("00"&amp;VALUE(MID(Sync!$AF1456,FIND(":",Sync!$AF1456)+1,2)),2),"0000"))))</f>
        <v/>
      </c>
    </row>
    <row r="1457">
      <c r="A1457">
        <f>IF(OR(Calc!$E1461="",Calc!$E1461="نامعتبر",Calc!$G1461=""),"",Calc!$G1461)</f>
        <v/>
      </c>
      <c r="B1457">
        <f>IF($A1457="","",LEFT(Calc!$E1461,4)&amp;MID(Calc!$E1461,6,2)&amp;RIGHT(Calc!$E1461,2)&amp;Calc!$Q1461&amp;"|"&amp;"1"&amp;RIGHT("00000"&amp;1452,5))</f>
        <v/>
      </c>
      <c r="C1457">
        <f>IF($B1457="","",COUNTIFS(LdgSellerA,$A1457,LdgKeyA,"&lt;"&amp;$B1457)+COUNTIFS(LdgSellerB,$A1457,LdgKeyB,"&lt;"&amp;$B1457)+1)</f>
        <v/>
      </c>
      <c r="D1457">
        <f>IF($C1457="","",$A1457&amp;"|"&amp;RIGHT("000000"&amp;$C1457,6))</f>
        <v/>
      </c>
      <c r="F1457">
        <f>IF(Sync!$AH1457="","",IF(LEFT(UPPER(TRIM(Sync!$AH1457)),2)="SL",UPPER(TRIM(Sync!$AH1457)),""))</f>
        <v/>
      </c>
      <c r="G1457">
        <f>IF($F1457="","",IF(Sync!$AE1457="","",IF(ISNUMBER(Sync!$AE1457),IF(AND(Sync!$AE1457&gt;=10000101,Sync!$AE1457&lt;=99991231),INT(Sync!$AE1457/10000),""),IFERROR(VALUE(TRIM(LEFT(Sync!$AE1457,FIND("/",Sync!$AE1457)-1))),""))))</f>
        <v/>
      </c>
      <c r="H1457">
        <f>IF(OR($F1457="",$G1457=""),"",IF(ISNUMBER(Sync!$AE1457),INT(MOD(Sync!$AE1457,10000)/100),IFERROR(VALUE(TRIM(LEFT(MID(Sync!$AE1457,FIND("/",Sync!$AE1457)+1,20),FIND("/",MID(Sync!$AE1457,FIND("/",Sync!$AE1457)+1,20))-1))),"")))</f>
        <v/>
      </c>
      <c r="I1457">
        <f>IF(OR($F1457="",$G1457=""),"",IF(ISNUMBER(Sync!$AE1457),MOD(Sync!$AE1457,100),IFERROR(VALUE(TRIM(MID(MID(Sync!$AE1457,FIND("/",Sync!$AE1457)+1,20),FIND("/",MID(Sync!$AE1457,FIND("/",Sync!$AE1457)+1,20))+1,20))),"")))</f>
        <v/>
      </c>
      <c r="J1457">
        <f>IF($F1457="","",IF(OR($G1457="",$H1457="",$I1457="",$G1457&lt;1300,$G1457&gt;1500,$H1457&lt;1,$H1457&gt;12,$I1457&lt;1,$I1457&gt;31),"نامعتبر",RIGHT("0000"&amp;$G1457,4)&amp;"/"&amp;RIGHT("00"&amp;$H1457,2)&amp;"/"&amp;RIGHT("00"&amp;$I1457,2)))</f>
        <v/>
      </c>
      <c r="K1457">
        <f>IF(OR($F1457="",$J1457="",$J1457="نامعتبر"),"",LEFT($J1457,4)&amp;MID($J1457,6,2)&amp;RIGHT($J1457,2)&amp;$N1457&amp;"|"&amp;"2"&amp;RIGHT("00000"&amp;1452,5))</f>
        <v/>
      </c>
      <c r="L1457">
        <f>IF($K1457="","",COUNTIFS(LdgSellerA,$F1457,LdgKeyA,"&lt;"&amp;$K1457)+COUNTIFS(LdgSellerB,$F1457,LdgKeyB,"&lt;"&amp;$K1457)+1)</f>
        <v/>
      </c>
      <c r="M1457">
        <f>IF($L1457="","",$F1457&amp;"|"&amp;RIGHT("000000"&amp;$L1457,6))</f>
        <v/>
      </c>
      <c r="N1457">
        <f>IF($F1457="","",IF(Sync!$AF1457="","0000",IF(AND(ISNUMBER(Sync!$AF1457),Sync!$AF1457&gt;=0,Sync!$AF1457&lt;1),RIGHT("00"&amp;HOUR(Sync!$AF1457),2)&amp;RIGHT("00"&amp;MINUTE(Sync!$AF1457),2),IFERROR(RIGHT("00"&amp;VALUE(LEFT(Sync!$AF1457,FIND(":",Sync!$AF1457)-1)),2)&amp;RIGHT("00"&amp;VALUE(MID(Sync!$AF1457,FIND(":",Sync!$AF1457)+1,2)),2),"0000"))))</f>
        <v/>
      </c>
    </row>
    <row r="1458">
      <c r="A1458">
        <f>IF(OR(Calc!$E1462="",Calc!$E1462="نامعتبر",Calc!$G1462=""),"",Calc!$G1462)</f>
        <v/>
      </c>
      <c r="B1458">
        <f>IF($A1458="","",LEFT(Calc!$E1462,4)&amp;MID(Calc!$E1462,6,2)&amp;RIGHT(Calc!$E1462,2)&amp;Calc!$Q1462&amp;"|"&amp;"1"&amp;RIGHT("00000"&amp;1453,5))</f>
        <v/>
      </c>
      <c r="C1458">
        <f>IF($B1458="","",COUNTIFS(LdgSellerA,$A1458,LdgKeyA,"&lt;"&amp;$B1458)+COUNTIFS(LdgSellerB,$A1458,LdgKeyB,"&lt;"&amp;$B1458)+1)</f>
        <v/>
      </c>
      <c r="D1458">
        <f>IF($C1458="","",$A1458&amp;"|"&amp;RIGHT("000000"&amp;$C1458,6))</f>
        <v/>
      </c>
      <c r="F1458">
        <f>IF(Sync!$AH1458="","",IF(LEFT(UPPER(TRIM(Sync!$AH1458)),2)="SL",UPPER(TRIM(Sync!$AH1458)),""))</f>
        <v/>
      </c>
      <c r="G1458">
        <f>IF($F1458="","",IF(Sync!$AE1458="","",IF(ISNUMBER(Sync!$AE1458),IF(AND(Sync!$AE1458&gt;=10000101,Sync!$AE1458&lt;=99991231),INT(Sync!$AE1458/10000),""),IFERROR(VALUE(TRIM(LEFT(Sync!$AE1458,FIND("/",Sync!$AE1458)-1))),""))))</f>
        <v/>
      </c>
      <c r="H1458">
        <f>IF(OR($F1458="",$G1458=""),"",IF(ISNUMBER(Sync!$AE1458),INT(MOD(Sync!$AE1458,10000)/100),IFERROR(VALUE(TRIM(LEFT(MID(Sync!$AE1458,FIND("/",Sync!$AE1458)+1,20),FIND("/",MID(Sync!$AE1458,FIND("/",Sync!$AE1458)+1,20))-1))),"")))</f>
        <v/>
      </c>
      <c r="I1458">
        <f>IF(OR($F1458="",$G1458=""),"",IF(ISNUMBER(Sync!$AE1458),MOD(Sync!$AE1458,100),IFERROR(VALUE(TRIM(MID(MID(Sync!$AE1458,FIND("/",Sync!$AE1458)+1,20),FIND("/",MID(Sync!$AE1458,FIND("/",Sync!$AE1458)+1,20))+1,20))),"")))</f>
        <v/>
      </c>
      <c r="J1458">
        <f>IF($F1458="","",IF(OR($G1458="",$H1458="",$I1458="",$G1458&lt;1300,$G1458&gt;1500,$H1458&lt;1,$H1458&gt;12,$I1458&lt;1,$I1458&gt;31),"نامعتبر",RIGHT("0000"&amp;$G1458,4)&amp;"/"&amp;RIGHT("00"&amp;$H1458,2)&amp;"/"&amp;RIGHT("00"&amp;$I1458,2)))</f>
        <v/>
      </c>
      <c r="K1458">
        <f>IF(OR($F1458="",$J1458="",$J1458="نامعتبر"),"",LEFT($J1458,4)&amp;MID($J1458,6,2)&amp;RIGHT($J1458,2)&amp;$N1458&amp;"|"&amp;"2"&amp;RIGHT("00000"&amp;1453,5))</f>
        <v/>
      </c>
      <c r="L1458">
        <f>IF($K1458="","",COUNTIFS(LdgSellerA,$F1458,LdgKeyA,"&lt;"&amp;$K1458)+COUNTIFS(LdgSellerB,$F1458,LdgKeyB,"&lt;"&amp;$K1458)+1)</f>
        <v/>
      </c>
      <c r="M1458">
        <f>IF($L1458="","",$F1458&amp;"|"&amp;RIGHT("000000"&amp;$L1458,6))</f>
        <v/>
      </c>
      <c r="N1458">
        <f>IF($F1458="","",IF(Sync!$AF1458="","0000",IF(AND(ISNUMBER(Sync!$AF1458),Sync!$AF1458&gt;=0,Sync!$AF1458&lt;1),RIGHT("00"&amp;HOUR(Sync!$AF1458),2)&amp;RIGHT("00"&amp;MINUTE(Sync!$AF1458),2),IFERROR(RIGHT("00"&amp;VALUE(LEFT(Sync!$AF1458,FIND(":",Sync!$AF1458)-1)),2)&amp;RIGHT("00"&amp;VALUE(MID(Sync!$AF1458,FIND(":",Sync!$AF1458)+1,2)),2),"0000"))))</f>
        <v/>
      </c>
    </row>
    <row r="1459">
      <c r="A1459">
        <f>IF(OR(Calc!$E1463="",Calc!$E1463="نامعتبر",Calc!$G1463=""),"",Calc!$G1463)</f>
        <v/>
      </c>
      <c r="B1459">
        <f>IF($A1459="","",LEFT(Calc!$E1463,4)&amp;MID(Calc!$E1463,6,2)&amp;RIGHT(Calc!$E1463,2)&amp;Calc!$Q1463&amp;"|"&amp;"1"&amp;RIGHT("00000"&amp;1454,5))</f>
        <v/>
      </c>
      <c r="C1459">
        <f>IF($B1459="","",COUNTIFS(LdgSellerA,$A1459,LdgKeyA,"&lt;"&amp;$B1459)+COUNTIFS(LdgSellerB,$A1459,LdgKeyB,"&lt;"&amp;$B1459)+1)</f>
        <v/>
      </c>
      <c r="D1459">
        <f>IF($C1459="","",$A1459&amp;"|"&amp;RIGHT("000000"&amp;$C1459,6))</f>
        <v/>
      </c>
      <c r="F1459">
        <f>IF(Sync!$AH1459="","",IF(LEFT(UPPER(TRIM(Sync!$AH1459)),2)="SL",UPPER(TRIM(Sync!$AH1459)),""))</f>
        <v/>
      </c>
      <c r="G1459">
        <f>IF($F1459="","",IF(Sync!$AE1459="","",IF(ISNUMBER(Sync!$AE1459),IF(AND(Sync!$AE1459&gt;=10000101,Sync!$AE1459&lt;=99991231),INT(Sync!$AE1459/10000),""),IFERROR(VALUE(TRIM(LEFT(Sync!$AE1459,FIND("/",Sync!$AE1459)-1))),""))))</f>
        <v/>
      </c>
      <c r="H1459">
        <f>IF(OR($F1459="",$G1459=""),"",IF(ISNUMBER(Sync!$AE1459),INT(MOD(Sync!$AE1459,10000)/100),IFERROR(VALUE(TRIM(LEFT(MID(Sync!$AE1459,FIND("/",Sync!$AE1459)+1,20),FIND("/",MID(Sync!$AE1459,FIND("/",Sync!$AE1459)+1,20))-1))),"")))</f>
        <v/>
      </c>
      <c r="I1459">
        <f>IF(OR($F1459="",$G1459=""),"",IF(ISNUMBER(Sync!$AE1459),MOD(Sync!$AE1459,100),IFERROR(VALUE(TRIM(MID(MID(Sync!$AE1459,FIND("/",Sync!$AE1459)+1,20),FIND("/",MID(Sync!$AE1459,FIND("/",Sync!$AE1459)+1,20))+1,20))),"")))</f>
        <v/>
      </c>
      <c r="J1459">
        <f>IF($F1459="","",IF(OR($G1459="",$H1459="",$I1459="",$G1459&lt;1300,$G1459&gt;1500,$H1459&lt;1,$H1459&gt;12,$I1459&lt;1,$I1459&gt;31),"نامعتبر",RIGHT("0000"&amp;$G1459,4)&amp;"/"&amp;RIGHT("00"&amp;$H1459,2)&amp;"/"&amp;RIGHT("00"&amp;$I1459,2)))</f>
        <v/>
      </c>
      <c r="K1459">
        <f>IF(OR($F1459="",$J1459="",$J1459="نامعتبر"),"",LEFT($J1459,4)&amp;MID($J1459,6,2)&amp;RIGHT($J1459,2)&amp;$N1459&amp;"|"&amp;"2"&amp;RIGHT("00000"&amp;1454,5))</f>
        <v/>
      </c>
      <c r="L1459">
        <f>IF($K1459="","",COUNTIFS(LdgSellerA,$F1459,LdgKeyA,"&lt;"&amp;$K1459)+COUNTIFS(LdgSellerB,$F1459,LdgKeyB,"&lt;"&amp;$K1459)+1)</f>
        <v/>
      </c>
      <c r="M1459">
        <f>IF($L1459="","",$F1459&amp;"|"&amp;RIGHT("000000"&amp;$L1459,6))</f>
        <v/>
      </c>
      <c r="N1459">
        <f>IF($F1459="","",IF(Sync!$AF1459="","0000",IF(AND(ISNUMBER(Sync!$AF1459),Sync!$AF1459&gt;=0,Sync!$AF1459&lt;1),RIGHT("00"&amp;HOUR(Sync!$AF1459),2)&amp;RIGHT("00"&amp;MINUTE(Sync!$AF1459),2),IFERROR(RIGHT("00"&amp;VALUE(LEFT(Sync!$AF1459,FIND(":",Sync!$AF1459)-1)),2)&amp;RIGHT("00"&amp;VALUE(MID(Sync!$AF1459,FIND(":",Sync!$AF1459)+1,2)),2),"0000"))))</f>
        <v/>
      </c>
    </row>
    <row r="1460">
      <c r="A1460">
        <f>IF(OR(Calc!$E1464="",Calc!$E1464="نامعتبر",Calc!$G1464=""),"",Calc!$G1464)</f>
        <v/>
      </c>
      <c r="B1460">
        <f>IF($A1460="","",LEFT(Calc!$E1464,4)&amp;MID(Calc!$E1464,6,2)&amp;RIGHT(Calc!$E1464,2)&amp;Calc!$Q1464&amp;"|"&amp;"1"&amp;RIGHT("00000"&amp;1455,5))</f>
        <v/>
      </c>
      <c r="C1460">
        <f>IF($B1460="","",COUNTIFS(LdgSellerA,$A1460,LdgKeyA,"&lt;"&amp;$B1460)+COUNTIFS(LdgSellerB,$A1460,LdgKeyB,"&lt;"&amp;$B1460)+1)</f>
        <v/>
      </c>
      <c r="D1460">
        <f>IF($C1460="","",$A1460&amp;"|"&amp;RIGHT("000000"&amp;$C1460,6))</f>
        <v/>
      </c>
      <c r="F1460">
        <f>IF(Sync!$AH1460="","",IF(LEFT(UPPER(TRIM(Sync!$AH1460)),2)="SL",UPPER(TRIM(Sync!$AH1460)),""))</f>
        <v/>
      </c>
      <c r="G1460">
        <f>IF($F1460="","",IF(Sync!$AE1460="","",IF(ISNUMBER(Sync!$AE1460),IF(AND(Sync!$AE1460&gt;=10000101,Sync!$AE1460&lt;=99991231),INT(Sync!$AE1460/10000),""),IFERROR(VALUE(TRIM(LEFT(Sync!$AE1460,FIND("/",Sync!$AE1460)-1))),""))))</f>
        <v/>
      </c>
      <c r="H1460">
        <f>IF(OR($F1460="",$G1460=""),"",IF(ISNUMBER(Sync!$AE1460),INT(MOD(Sync!$AE1460,10000)/100),IFERROR(VALUE(TRIM(LEFT(MID(Sync!$AE1460,FIND("/",Sync!$AE1460)+1,20),FIND("/",MID(Sync!$AE1460,FIND("/",Sync!$AE1460)+1,20))-1))),"")))</f>
        <v/>
      </c>
      <c r="I1460">
        <f>IF(OR($F1460="",$G1460=""),"",IF(ISNUMBER(Sync!$AE1460),MOD(Sync!$AE1460,100),IFERROR(VALUE(TRIM(MID(MID(Sync!$AE1460,FIND("/",Sync!$AE1460)+1,20),FIND("/",MID(Sync!$AE1460,FIND("/",Sync!$AE1460)+1,20))+1,20))),"")))</f>
        <v/>
      </c>
      <c r="J1460">
        <f>IF($F1460="","",IF(OR($G1460="",$H1460="",$I1460="",$G1460&lt;1300,$G1460&gt;1500,$H1460&lt;1,$H1460&gt;12,$I1460&lt;1,$I1460&gt;31),"نامعتبر",RIGHT("0000"&amp;$G1460,4)&amp;"/"&amp;RIGHT("00"&amp;$H1460,2)&amp;"/"&amp;RIGHT("00"&amp;$I1460,2)))</f>
        <v/>
      </c>
      <c r="K1460">
        <f>IF(OR($F1460="",$J1460="",$J1460="نامعتبر"),"",LEFT($J1460,4)&amp;MID($J1460,6,2)&amp;RIGHT($J1460,2)&amp;$N1460&amp;"|"&amp;"2"&amp;RIGHT("00000"&amp;1455,5))</f>
        <v/>
      </c>
      <c r="L1460">
        <f>IF($K1460="","",COUNTIFS(LdgSellerA,$F1460,LdgKeyA,"&lt;"&amp;$K1460)+COUNTIFS(LdgSellerB,$F1460,LdgKeyB,"&lt;"&amp;$K1460)+1)</f>
        <v/>
      </c>
      <c r="M1460">
        <f>IF($L1460="","",$F1460&amp;"|"&amp;RIGHT("000000"&amp;$L1460,6))</f>
        <v/>
      </c>
      <c r="N1460">
        <f>IF($F1460="","",IF(Sync!$AF1460="","0000",IF(AND(ISNUMBER(Sync!$AF1460),Sync!$AF1460&gt;=0,Sync!$AF1460&lt;1),RIGHT("00"&amp;HOUR(Sync!$AF1460),2)&amp;RIGHT("00"&amp;MINUTE(Sync!$AF1460),2),IFERROR(RIGHT("00"&amp;VALUE(LEFT(Sync!$AF1460,FIND(":",Sync!$AF1460)-1)),2)&amp;RIGHT("00"&amp;VALUE(MID(Sync!$AF1460,FIND(":",Sync!$AF1460)+1,2)),2),"0000"))))</f>
        <v/>
      </c>
    </row>
    <row r="1461">
      <c r="A1461">
        <f>IF(OR(Calc!$E1465="",Calc!$E1465="نامعتبر",Calc!$G1465=""),"",Calc!$G1465)</f>
        <v/>
      </c>
      <c r="B1461">
        <f>IF($A1461="","",LEFT(Calc!$E1465,4)&amp;MID(Calc!$E1465,6,2)&amp;RIGHT(Calc!$E1465,2)&amp;Calc!$Q1465&amp;"|"&amp;"1"&amp;RIGHT("00000"&amp;1456,5))</f>
        <v/>
      </c>
      <c r="C1461">
        <f>IF($B1461="","",COUNTIFS(LdgSellerA,$A1461,LdgKeyA,"&lt;"&amp;$B1461)+COUNTIFS(LdgSellerB,$A1461,LdgKeyB,"&lt;"&amp;$B1461)+1)</f>
        <v/>
      </c>
      <c r="D1461">
        <f>IF($C1461="","",$A1461&amp;"|"&amp;RIGHT("000000"&amp;$C1461,6))</f>
        <v/>
      </c>
      <c r="F1461">
        <f>IF(Sync!$AH1461="","",IF(LEFT(UPPER(TRIM(Sync!$AH1461)),2)="SL",UPPER(TRIM(Sync!$AH1461)),""))</f>
        <v/>
      </c>
      <c r="G1461">
        <f>IF($F1461="","",IF(Sync!$AE1461="","",IF(ISNUMBER(Sync!$AE1461),IF(AND(Sync!$AE1461&gt;=10000101,Sync!$AE1461&lt;=99991231),INT(Sync!$AE1461/10000),""),IFERROR(VALUE(TRIM(LEFT(Sync!$AE1461,FIND("/",Sync!$AE1461)-1))),""))))</f>
        <v/>
      </c>
      <c r="H1461">
        <f>IF(OR($F1461="",$G1461=""),"",IF(ISNUMBER(Sync!$AE1461),INT(MOD(Sync!$AE1461,10000)/100),IFERROR(VALUE(TRIM(LEFT(MID(Sync!$AE1461,FIND("/",Sync!$AE1461)+1,20),FIND("/",MID(Sync!$AE1461,FIND("/",Sync!$AE1461)+1,20))-1))),"")))</f>
        <v/>
      </c>
      <c r="I1461">
        <f>IF(OR($F1461="",$G1461=""),"",IF(ISNUMBER(Sync!$AE1461),MOD(Sync!$AE1461,100),IFERROR(VALUE(TRIM(MID(MID(Sync!$AE1461,FIND("/",Sync!$AE1461)+1,20),FIND("/",MID(Sync!$AE1461,FIND("/",Sync!$AE1461)+1,20))+1,20))),"")))</f>
        <v/>
      </c>
      <c r="J1461">
        <f>IF($F1461="","",IF(OR($G1461="",$H1461="",$I1461="",$G1461&lt;1300,$G1461&gt;1500,$H1461&lt;1,$H1461&gt;12,$I1461&lt;1,$I1461&gt;31),"نامعتبر",RIGHT("0000"&amp;$G1461,4)&amp;"/"&amp;RIGHT("00"&amp;$H1461,2)&amp;"/"&amp;RIGHT("00"&amp;$I1461,2)))</f>
        <v/>
      </c>
      <c r="K1461">
        <f>IF(OR($F1461="",$J1461="",$J1461="نامعتبر"),"",LEFT($J1461,4)&amp;MID($J1461,6,2)&amp;RIGHT($J1461,2)&amp;$N1461&amp;"|"&amp;"2"&amp;RIGHT("00000"&amp;1456,5))</f>
        <v/>
      </c>
      <c r="L1461">
        <f>IF($K1461="","",COUNTIFS(LdgSellerA,$F1461,LdgKeyA,"&lt;"&amp;$K1461)+COUNTIFS(LdgSellerB,$F1461,LdgKeyB,"&lt;"&amp;$K1461)+1)</f>
        <v/>
      </c>
      <c r="M1461">
        <f>IF($L1461="","",$F1461&amp;"|"&amp;RIGHT("000000"&amp;$L1461,6))</f>
        <v/>
      </c>
      <c r="N1461">
        <f>IF($F1461="","",IF(Sync!$AF1461="","0000",IF(AND(ISNUMBER(Sync!$AF1461),Sync!$AF1461&gt;=0,Sync!$AF1461&lt;1),RIGHT("00"&amp;HOUR(Sync!$AF1461),2)&amp;RIGHT("00"&amp;MINUTE(Sync!$AF1461),2),IFERROR(RIGHT("00"&amp;VALUE(LEFT(Sync!$AF1461,FIND(":",Sync!$AF1461)-1)),2)&amp;RIGHT("00"&amp;VALUE(MID(Sync!$AF1461,FIND(":",Sync!$AF1461)+1,2)),2),"0000"))))</f>
        <v/>
      </c>
    </row>
    <row r="1462">
      <c r="A1462">
        <f>IF(OR(Calc!$E1466="",Calc!$E1466="نامعتبر",Calc!$G1466=""),"",Calc!$G1466)</f>
        <v/>
      </c>
      <c r="B1462">
        <f>IF($A1462="","",LEFT(Calc!$E1466,4)&amp;MID(Calc!$E1466,6,2)&amp;RIGHT(Calc!$E1466,2)&amp;Calc!$Q1466&amp;"|"&amp;"1"&amp;RIGHT("00000"&amp;1457,5))</f>
        <v/>
      </c>
      <c r="C1462">
        <f>IF($B1462="","",COUNTIFS(LdgSellerA,$A1462,LdgKeyA,"&lt;"&amp;$B1462)+COUNTIFS(LdgSellerB,$A1462,LdgKeyB,"&lt;"&amp;$B1462)+1)</f>
        <v/>
      </c>
      <c r="D1462">
        <f>IF($C1462="","",$A1462&amp;"|"&amp;RIGHT("000000"&amp;$C1462,6))</f>
        <v/>
      </c>
      <c r="F1462">
        <f>IF(Sync!$AH1462="","",IF(LEFT(UPPER(TRIM(Sync!$AH1462)),2)="SL",UPPER(TRIM(Sync!$AH1462)),""))</f>
        <v/>
      </c>
      <c r="G1462">
        <f>IF($F1462="","",IF(Sync!$AE1462="","",IF(ISNUMBER(Sync!$AE1462),IF(AND(Sync!$AE1462&gt;=10000101,Sync!$AE1462&lt;=99991231),INT(Sync!$AE1462/10000),""),IFERROR(VALUE(TRIM(LEFT(Sync!$AE1462,FIND("/",Sync!$AE1462)-1))),""))))</f>
        <v/>
      </c>
      <c r="H1462">
        <f>IF(OR($F1462="",$G1462=""),"",IF(ISNUMBER(Sync!$AE1462),INT(MOD(Sync!$AE1462,10000)/100),IFERROR(VALUE(TRIM(LEFT(MID(Sync!$AE1462,FIND("/",Sync!$AE1462)+1,20),FIND("/",MID(Sync!$AE1462,FIND("/",Sync!$AE1462)+1,20))-1))),"")))</f>
        <v/>
      </c>
      <c r="I1462">
        <f>IF(OR($F1462="",$G1462=""),"",IF(ISNUMBER(Sync!$AE1462),MOD(Sync!$AE1462,100),IFERROR(VALUE(TRIM(MID(MID(Sync!$AE1462,FIND("/",Sync!$AE1462)+1,20),FIND("/",MID(Sync!$AE1462,FIND("/",Sync!$AE1462)+1,20))+1,20))),"")))</f>
        <v/>
      </c>
      <c r="J1462">
        <f>IF($F1462="","",IF(OR($G1462="",$H1462="",$I1462="",$G1462&lt;1300,$G1462&gt;1500,$H1462&lt;1,$H1462&gt;12,$I1462&lt;1,$I1462&gt;31),"نامعتبر",RIGHT("0000"&amp;$G1462,4)&amp;"/"&amp;RIGHT("00"&amp;$H1462,2)&amp;"/"&amp;RIGHT("00"&amp;$I1462,2)))</f>
        <v/>
      </c>
      <c r="K1462">
        <f>IF(OR($F1462="",$J1462="",$J1462="نامعتبر"),"",LEFT($J1462,4)&amp;MID($J1462,6,2)&amp;RIGHT($J1462,2)&amp;$N1462&amp;"|"&amp;"2"&amp;RIGHT("00000"&amp;1457,5))</f>
        <v/>
      </c>
      <c r="L1462">
        <f>IF($K1462="","",COUNTIFS(LdgSellerA,$F1462,LdgKeyA,"&lt;"&amp;$K1462)+COUNTIFS(LdgSellerB,$F1462,LdgKeyB,"&lt;"&amp;$K1462)+1)</f>
        <v/>
      </c>
      <c r="M1462">
        <f>IF($L1462="","",$F1462&amp;"|"&amp;RIGHT("000000"&amp;$L1462,6))</f>
        <v/>
      </c>
      <c r="N1462">
        <f>IF($F1462="","",IF(Sync!$AF1462="","0000",IF(AND(ISNUMBER(Sync!$AF1462),Sync!$AF1462&gt;=0,Sync!$AF1462&lt;1),RIGHT("00"&amp;HOUR(Sync!$AF1462),2)&amp;RIGHT("00"&amp;MINUTE(Sync!$AF1462),2),IFERROR(RIGHT("00"&amp;VALUE(LEFT(Sync!$AF1462,FIND(":",Sync!$AF1462)-1)),2)&amp;RIGHT("00"&amp;VALUE(MID(Sync!$AF1462,FIND(":",Sync!$AF1462)+1,2)),2),"0000"))))</f>
        <v/>
      </c>
    </row>
    <row r="1463">
      <c r="A1463">
        <f>IF(OR(Calc!$E1467="",Calc!$E1467="نامعتبر",Calc!$G1467=""),"",Calc!$G1467)</f>
        <v/>
      </c>
      <c r="B1463">
        <f>IF($A1463="","",LEFT(Calc!$E1467,4)&amp;MID(Calc!$E1467,6,2)&amp;RIGHT(Calc!$E1467,2)&amp;Calc!$Q1467&amp;"|"&amp;"1"&amp;RIGHT("00000"&amp;1458,5))</f>
        <v/>
      </c>
      <c r="C1463">
        <f>IF($B1463="","",COUNTIFS(LdgSellerA,$A1463,LdgKeyA,"&lt;"&amp;$B1463)+COUNTIFS(LdgSellerB,$A1463,LdgKeyB,"&lt;"&amp;$B1463)+1)</f>
        <v/>
      </c>
      <c r="D1463">
        <f>IF($C1463="","",$A1463&amp;"|"&amp;RIGHT("000000"&amp;$C1463,6))</f>
        <v/>
      </c>
      <c r="F1463">
        <f>IF(Sync!$AH1463="","",IF(LEFT(UPPER(TRIM(Sync!$AH1463)),2)="SL",UPPER(TRIM(Sync!$AH1463)),""))</f>
        <v/>
      </c>
      <c r="G1463">
        <f>IF($F1463="","",IF(Sync!$AE1463="","",IF(ISNUMBER(Sync!$AE1463),IF(AND(Sync!$AE1463&gt;=10000101,Sync!$AE1463&lt;=99991231),INT(Sync!$AE1463/10000),""),IFERROR(VALUE(TRIM(LEFT(Sync!$AE1463,FIND("/",Sync!$AE1463)-1))),""))))</f>
        <v/>
      </c>
      <c r="H1463">
        <f>IF(OR($F1463="",$G1463=""),"",IF(ISNUMBER(Sync!$AE1463),INT(MOD(Sync!$AE1463,10000)/100),IFERROR(VALUE(TRIM(LEFT(MID(Sync!$AE1463,FIND("/",Sync!$AE1463)+1,20),FIND("/",MID(Sync!$AE1463,FIND("/",Sync!$AE1463)+1,20))-1))),"")))</f>
        <v/>
      </c>
      <c r="I1463">
        <f>IF(OR($F1463="",$G1463=""),"",IF(ISNUMBER(Sync!$AE1463),MOD(Sync!$AE1463,100),IFERROR(VALUE(TRIM(MID(MID(Sync!$AE1463,FIND("/",Sync!$AE1463)+1,20),FIND("/",MID(Sync!$AE1463,FIND("/",Sync!$AE1463)+1,20))+1,20))),"")))</f>
        <v/>
      </c>
      <c r="J1463">
        <f>IF($F1463="","",IF(OR($G1463="",$H1463="",$I1463="",$G1463&lt;1300,$G1463&gt;1500,$H1463&lt;1,$H1463&gt;12,$I1463&lt;1,$I1463&gt;31),"نامعتبر",RIGHT("0000"&amp;$G1463,4)&amp;"/"&amp;RIGHT("00"&amp;$H1463,2)&amp;"/"&amp;RIGHT("00"&amp;$I1463,2)))</f>
        <v/>
      </c>
      <c r="K1463">
        <f>IF(OR($F1463="",$J1463="",$J1463="نامعتبر"),"",LEFT($J1463,4)&amp;MID($J1463,6,2)&amp;RIGHT($J1463,2)&amp;$N1463&amp;"|"&amp;"2"&amp;RIGHT("00000"&amp;1458,5))</f>
        <v/>
      </c>
      <c r="L1463">
        <f>IF($K1463="","",COUNTIFS(LdgSellerA,$F1463,LdgKeyA,"&lt;"&amp;$K1463)+COUNTIFS(LdgSellerB,$F1463,LdgKeyB,"&lt;"&amp;$K1463)+1)</f>
        <v/>
      </c>
      <c r="M1463">
        <f>IF($L1463="","",$F1463&amp;"|"&amp;RIGHT("000000"&amp;$L1463,6))</f>
        <v/>
      </c>
      <c r="N1463">
        <f>IF($F1463="","",IF(Sync!$AF1463="","0000",IF(AND(ISNUMBER(Sync!$AF1463),Sync!$AF1463&gt;=0,Sync!$AF1463&lt;1),RIGHT("00"&amp;HOUR(Sync!$AF1463),2)&amp;RIGHT("00"&amp;MINUTE(Sync!$AF1463),2),IFERROR(RIGHT("00"&amp;VALUE(LEFT(Sync!$AF1463,FIND(":",Sync!$AF1463)-1)),2)&amp;RIGHT("00"&amp;VALUE(MID(Sync!$AF1463,FIND(":",Sync!$AF1463)+1,2)),2),"0000"))))</f>
        <v/>
      </c>
    </row>
    <row r="1464">
      <c r="A1464">
        <f>IF(OR(Calc!$E1468="",Calc!$E1468="نامعتبر",Calc!$G1468=""),"",Calc!$G1468)</f>
        <v/>
      </c>
      <c r="B1464">
        <f>IF($A1464="","",LEFT(Calc!$E1468,4)&amp;MID(Calc!$E1468,6,2)&amp;RIGHT(Calc!$E1468,2)&amp;Calc!$Q1468&amp;"|"&amp;"1"&amp;RIGHT("00000"&amp;1459,5))</f>
        <v/>
      </c>
      <c r="C1464">
        <f>IF($B1464="","",COUNTIFS(LdgSellerA,$A1464,LdgKeyA,"&lt;"&amp;$B1464)+COUNTIFS(LdgSellerB,$A1464,LdgKeyB,"&lt;"&amp;$B1464)+1)</f>
        <v/>
      </c>
      <c r="D1464">
        <f>IF($C1464="","",$A1464&amp;"|"&amp;RIGHT("000000"&amp;$C1464,6))</f>
        <v/>
      </c>
      <c r="F1464">
        <f>IF(Sync!$AH1464="","",IF(LEFT(UPPER(TRIM(Sync!$AH1464)),2)="SL",UPPER(TRIM(Sync!$AH1464)),""))</f>
        <v/>
      </c>
      <c r="G1464">
        <f>IF($F1464="","",IF(Sync!$AE1464="","",IF(ISNUMBER(Sync!$AE1464),IF(AND(Sync!$AE1464&gt;=10000101,Sync!$AE1464&lt;=99991231),INT(Sync!$AE1464/10000),""),IFERROR(VALUE(TRIM(LEFT(Sync!$AE1464,FIND("/",Sync!$AE1464)-1))),""))))</f>
        <v/>
      </c>
      <c r="H1464">
        <f>IF(OR($F1464="",$G1464=""),"",IF(ISNUMBER(Sync!$AE1464),INT(MOD(Sync!$AE1464,10000)/100),IFERROR(VALUE(TRIM(LEFT(MID(Sync!$AE1464,FIND("/",Sync!$AE1464)+1,20),FIND("/",MID(Sync!$AE1464,FIND("/",Sync!$AE1464)+1,20))-1))),"")))</f>
        <v/>
      </c>
      <c r="I1464">
        <f>IF(OR($F1464="",$G1464=""),"",IF(ISNUMBER(Sync!$AE1464),MOD(Sync!$AE1464,100),IFERROR(VALUE(TRIM(MID(MID(Sync!$AE1464,FIND("/",Sync!$AE1464)+1,20),FIND("/",MID(Sync!$AE1464,FIND("/",Sync!$AE1464)+1,20))+1,20))),"")))</f>
        <v/>
      </c>
      <c r="J1464">
        <f>IF($F1464="","",IF(OR($G1464="",$H1464="",$I1464="",$G1464&lt;1300,$G1464&gt;1500,$H1464&lt;1,$H1464&gt;12,$I1464&lt;1,$I1464&gt;31),"نامعتبر",RIGHT("0000"&amp;$G1464,4)&amp;"/"&amp;RIGHT("00"&amp;$H1464,2)&amp;"/"&amp;RIGHT("00"&amp;$I1464,2)))</f>
        <v/>
      </c>
      <c r="K1464">
        <f>IF(OR($F1464="",$J1464="",$J1464="نامعتبر"),"",LEFT($J1464,4)&amp;MID($J1464,6,2)&amp;RIGHT($J1464,2)&amp;$N1464&amp;"|"&amp;"2"&amp;RIGHT("00000"&amp;1459,5))</f>
        <v/>
      </c>
      <c r="L1464">
        <f>IF($K1464="","",COUNTIFS(LdgSellerA,$F1464,LdgKeyA,"&lt;"&amp;$K1464)+COUNTIFS(LdgSellerB,$F1464,LdgKeyB,"&lt;"&amp;$K1464)+1)</f>
        <v/>
      </c>
      <c r="M1464">
        <f>IF($L1464="","",$F1464&amp;"|"&amp;RIGHT("000000"&amp;$L1464,6))</f>
        <v/>
      </c>
      <c r="N1464">
        <f>IF($F1464="","",IF(Sync!$AF1464="","0000",IF(AND(ISNUMBER(Sync!$AF1464),Sync!$AF1464&gt;=0,Sync!$AF1464&lt;1),RIGHT("00"&amp;HOUR(Sync!$AF1464),2)&amp;RIGHT("00"&amp;MINUTE(Sync!$AF1464),2),IFERROR(RIGHT("00"&amp;VALUE(LEFT(Sync!$AF1464,FIND(":",Sync!$AF1464)-1)),2)&amp;RIGHT("00"&amp;VALUE(MID(Sync!$AF1464,FIND(":",Sync!$AF1464)+1,2)),2),"0000"))))</f>
        <v/>
      </c>
    </row>
    <row r="1465">
      <c r="A1465">
        <f>IF(OR(Calc!$E1469="",Calc!$E1469="نامعتبر",Calc!$G1469=""),"",Calc!$G1469)</f>
        <v/>
      </c>
      <c r="B1465">
        <f>IF($A1465="","",LEFT(Calc!$E1469,4)&amp;MID(Calc!$E1469,6,2)&amp;RIGHT(Calc!$E1469,2)&amp;Calc!$Q1469&amp;"|"&amp;"1"&amp;RIGHT("00000"&amp;1460,5))</f>
        <v/>
      </c>
      <c r="C1465">
        <f>IF($B1465="","",COUNTIFS(LdgSellerA,$A1465,LdgKeyA,"&lt;"&amp;$B1465)+COUNTIFS(LdgSellerB,$A1465,LdgKeyB,"&lt;"&amp;$B1465)+1)</f>
        <v/>
      </c>
      <c r="D1465">
        <f>IF($C1465="","",$A1465&amp;"|"&amp;RIGHT("000000"&amp;$C1465,6))</f>
        <v/>
      </c>
      <c r="F1465">
        <f>IF(Sync!$AH1465="","",IF(LEFT(UPPER(TRIM(Sync!$AH1465)),2)="SL",UPPER(TRIM(Sync!$AH1465)),""))</f>
        <v/>
      </c>
      <c r="G1465">
        <f>IF($F1465="","",IF(Sync!$AE1465="","",IF(ISNUMBER(Sync!$AE1465),IF(AND(Sync!$AE1465&gt;=10000101,Sync!$AE1465&lt;=99991231),INT(Sync!$AE1465/10000),""),IFERROR(VALUE(TRIM(LEFT(Sync!$AE1465,FIND("/",Sync!$AE1465)-1))),""))))</f>
        <v/>
      </c>
      <c r="H1465">
        <f>IF(OR($F1465="",$G1465=""),"",IF(ISNUMBER(Sync!$AE1465),INT(MOD(Sync!$AE1465,10000)/100),IFERROR(VALUE(TRIM(LEFT(MID(Sync!$AE1465,FIND("/",Sync!$AE1465)+1,20),FIND("/",MID(Sync!$AE1465,FIND("/",Sync!$AE1465)+1,20))-1))),"")))</f>
        <v/>
      </c>
      <c r="I1465">
        <f>IF(OR($F1465="",$G1465=""),"",IF(ISNUMBER(Sync!$AE1465),MOD(Sync!$AE1465,100),IFERROR(VALUE(TRIM(MID(MID(Sync!$AE1465,FIND("/",Sync!$AE1465)+1,20),FIND("/",MID(Sync!$AE1465,FIND("/",Sync!$AE1465)+1,20))+1,20))),"")))</f>
        <v/>
      </c>
      <c r="J1465">
        <f>IF($F1465="","",IF(OR($G1465="",$H1465="",$I1465="",$G1465&lt;1300,$G1465&gt;1500,$H1465&lt;1,$H1465&gt;12,$I1465&lt;1,$I1465&gt;31),"نامعتبر",RIGHT("0000"&amp;$G1465,4)&amp;"/"&amp;RIGHT("00"&amp;$H1465,2)&amp;"/"&amp;RIGHT("00"&amp;$I1465,2)))</f>
        <v/>
      </c>
      <c r="K1465">
        <f>IF(OR($F1465="",$J1465="",$J1465="نامعتبر"),"",LEFT($J1465,4)&amp;MID($J1465,6,2)&amp;RIGHT($J1465,2)&amp;$N1465&amp;"|"&amp;"2"&amp;RIGHT("00000"&amp;1460,5))</f>
        <v/>
      </c>
      <c r="L1465">
        <f>IF($K1465="","",COUNTIFS(LdgSellerA,$F1465,LdgKeyA,"&lt;"&amp;$K1465)+COUNTIFS(LdgSellerB,$F1465,LdgKeyB,"&lt;"&amp;$K1465)+1)</f>
        <v/>
      </c>
      <c r="M1465">
        <f>IF($L1465="","",$F1465&amp;"|"&amp;RIGHT("000000"&amp;$L1465,6))</f>
        <v/>
      </c>
      <c r="N1465">
        <f>IF($F1465="","",IF(Sync!$AF1465="","0000",IF(AND(ISNUMBER(Sync!$AF1465),Sync!$AF1465&gt;=0,Sync!$AF1465&lt;1),RIGHT("00"&amp;HOUR(Sync!$AF1465),2)&amp;RIGHT("00"&amp;MINUTE(Sync!$AF1465),2),IFERROR(RIGHT("00"&amp;VALUE(LEFT(Sync!$AF1465,FIND(":",Sync!$AF1465)-1)),2)&amp;RIGHT("00"&amp;VALUE(MID(Sync!$AF1465,FIND(":",Sync!$AF1465)+1,2)),2),"0000"))))</f>
        <v/>
      </c>
    </row>
    <row r="1466">
      <c r="A1466">
        <f>IF(OR(Calc!$E1470="",Calc!$E1470="نامعتبر",Calc!$G1470=""),"",Calc!$G1470)</f>
        <v/>
      </c>
      <c r="B1466">
        <f>IF($A1466="","",LEFT(Calc!$E1470,4)&amp;MID(Calc!$E1470,6,2)&amp;RIGHT(Calc!$E1470,2)&amp;Calc!$Q1470&amp;"|"&amp;"1"&amp;RIGHT("00000"&amp;1461,5))</f>
        <v/>
      </c>
      <c r="C1466">
        <f>IF($B1466="","",COUNTIFS(LdgSellerA,$A1466,LdgKeyA,"&lt;"&amp;$B1466)+COUNTIFS(LdgSellerB,$A1466,LdgKeyB,"&lt;"&amp;$B1466)+1)</f>
        <v/>
      </c>
      <c r="D1466">
        <f>IF($C1466="","",$A1466&amp;"|"&amp;RIGHT("000000"&amp;$C1466,6))</f>
        <v/>
      </c>
      <c r="F1466">
        <f>IF(Sync!$AH1466="","",IF(LEFT(UPPER(TRIM(Sync!$AH1466)),2)="SL",UPPER(TRIM(Sync!$AH1466)),""))</f>
        <v/>
      </c>
      <c r="G1466">
        <f>IF($F1466="","",IF(Sync!$AE1466="","",IF(ISNUMBER(Sync!$AE1466),IF(AND(Sync!$AE1466&gt;=10000101,Sync!$AE1466&lt;=99991231),INT(Sync!$AE1466/10000),""),IFERROR(VALUE(TRIM(LEFT(Sync!$AE1466,FIND("/",Sync!$AE1466)-1))),""))))</f>
        <v/>
      </c>
      <c r="H1466">
        <f>IF(OR($F1466="",$G1466=""),"",IF(ISNUMBER(Sync!$AE1466),INT(MOD(Sync!$AE1466,10000)/100),IFERROR(VALUE(TRIM(LEFT(MID(Sync!$AE1466,FIND("/",Sync!$AE1466)+1,20),FIND("/",MID(Sync!$AE1466,FIND("/",Sync!$AE1466)+1,20))-1))),"")))</f>
        <v/>
      </c>
      <c r="I1466">
        <f>IF(OR($F1466="",$G1466=""),"",IF(ISNUMBER(Sync!$AE1466),MOD(Sync!$AE1466,100),IFERROR(VALUE(TRIM(MID(MID(Sync!$AE1466,FIND("/",Sync!$AE1466)+1,20),FIND("/",MID(Sync!$AE1466,FIND("/",Sync!$AE1466)+1,20))+1,20))),"")))</f>
        <v/>
      </c>
      <c r="J1466">
        <f>IF($F1466="","",IF(OR($G1466="",$H1466="",$I1466="",$G1466&lt;1300,$G1466&gt;1500,$H1466&lt;1,$H1466&gt;12,$I1466&lt;1,$I1466&gt;31),"نامعتبر",RIGHT("0000"&amp;$G1466,4)&amp;"/"&amp;RIGHT("00"&amp;$H1466,2)&amp;"/"&amp;RIGHT("00"&amp;$I1466,2)))</f>
        <v/>
      </c>
      <c r="K1466">
        <f>IF(OR($F1466="",$J1466="",$J1466="نامعتبر"),"",LEFT($J1466,4)&amp;MID($J1466,6,2)&amp;RIGHT($J1466,2)&amp;$N1466&amp;"|"&amp;"2"&amp;RIGHT("00000"&amp;1461,5))</f>
        <v/>
      </c>
      <c r="L1466">
        <f>IF($K1466="","",COUNTIFS(LdgSellerA,$F1466,LdgKeyA,"&lt;"&amp;$K1466)+COUNTIFS(LdgSellerB,$F1466,LdgKeyB,"&lt;"&amp;$K1466)+1)</f>
        <v/>
      </c>
      <c r="M1466">
        <f>IF($L1466="","",$F1466&amp;"|"&amp;RIGHT("000000"&amp;$L1466,6))</f>
        <v/>
      </c>
      <c r="N1466">
        <f>IF($F1466="","",IF(Sync!$AF1466="","0000",IF(AND(ISNUMBER(Sync!$AF1466),Sync!$AF1466&gt;=0,Sync!$AF1466&lt;1),RIGHT("00"&amp;HOUR(Sync!$AF1466),2)&amp;RIGHT("00"&amp;MINUTE(Sync!$AF1466),2),IFERROR(RIGHT("00"&amp;VALUE(LEFT(Sync!$AF1466,FIND(":",Sync!$AF1466)-1)),2)&amp;RIGHT("00"&amp;VALUE(MID(Sync!$AF1466,FIND(":",Sync!$AF1466)+1,2)),2),"0000"))))</f>
        <v/>
      </c>
    </row>
    <row r="1467">
      <c r="A1467">
        <f>IF(OR(Calc!$E1471="",Calc!$E1471="نامعتبر",Calc!$G1471=""),"",Calc!$G1471)</f>
        <v/>
      </c>
      <c r="B1467">
        <f>IF($A1467="","",LEFT(Calc!$E1471,4)&amp;MID(Calc!$E1471,6,2)&amp;RIGHT(Calc!$E1471,2)&amp;Calc!$Q1471&amp;"|"&amp;"1"&amp;RIGHT("00000"&amp;1462,5))</f>
        <v/>
      </c>
      <c r="C1467">
        <f>IF($B1467="","",COUNTIFS(LdgSellerA,$A1467,LdgKeyA,"&lt;"&amp;$B1467)+COUNTIFS(LdgSellerB,$A1467,LdgKeyB,"&lt;"&amp;$B1467)+1)</f>
        <v/>
      </c>
      <c r="D1467">
        <f>IF($C1467="","",$A1467&amp;"|"&amp;RIGHT("000000"&amp;$C1467,6))</f>
        <v/>
      </c>
      <c r="F1467">
        <f>IF(Sync!$AH1467="","",IF(LEFT(UPPER(TRIM(Sync!$AH1467)),2)="SL",UPPER(TRIM(Sync!$AH1467)),""))</f>
        <v/>
      </c>
      <c r="G1467">
        <f>IF($F1467="","",IF(Sync!$AE1467="","",IF(ISNUMBER(Sync!$AE1467),IF(AND(Sync!$AE1467&gt;=10000101,Sync!$AE1467&lt;=99991231),INT(Sync!$AE1467/10000),""),IFERROR(VALUE(TRIM(LEFT(Sync!$AE1467,FIND("/",Sync!$AE1467)-1))),""))))</f>
        <v/>
      </c>
      <c r="H1467">
        <f>IF(OR($F1467="",$G1467=""),"",IF(ISNUMBER(Sync!$AE1467),INT(MOD(Sync!$AE1467,10000)/100),IFERROR(VALUE(TRIM(LEFT(MID(Sync!$AE1467,FIND("/",Sync!$AE1467)+1,20),FIND("/",MID(Sync!$AE1467,FIND("/",Sync!$AE1467)+1,20))-1))),"")))</f>
        <v/>
      </c>
      <c r="I1467">
        <f>IF(OR($F1467="",$G1467=""),"",IF(ISNUMBER(Sync!$AE1467),MOD(Sync!$AE1467,100),IFERROR(VALUE(TRIM(MID(MID(Sync!$AE1467,FIND("/",Sync!$AE1467)+1,20),FIND("/",MID(Sync!$AE1467,FIND("/",Sync!$AE1467)+1,20))+1,20))),"")))</f>
        <v/>
      </c>
      <c r="J1467">
        <f>IF($F1467="","",IF(OR($G1467="",$H1467="",$I1467="",$G1467&lt;1300,$G1467&gt;1500,$H1467&lt;1,$H1467&gt;12,$I1467&lt;1,$I1467&gt;31),"نامعتبر",RIGHT("0000"&amp;$G1467,4)&amp;"/"&amp;RIGHT("00"&amp;$H1467,2)&amp;"/"&amp;RIGHT("00"&amp;$I1467,2)))</f>
        <v/>
      </c>
      <c r="K1467">
        <f>IF(OR($F1467="",$J1467="",$J1467="نامعتبر"),"",LEFT($J1467,4)&amp;MID($J1467,6,2)&amp;RIGHT($J1467,2)&amp;$N1467&amp;"|"&amp;"2"&amp;RIGHT("00000"&amp;1462,5))</f>
        <v/>
      </c>
      <c r="L1467">
        <f>IF($K1467="","",COUNTIFS(LdgSellerA,$F1467,LdgKeyA,"&lt;"&amp;$K1467)+COUNTIFS(LdgSellerB,$F1467,LdgKeyB,"&lt;"&amp;$K1467)+1)</f>
        <v/>
      </c>
      <c r="M1467">
        <f>IF($L1467="","",$F1467&amp;"|"&amp;RIGHT("000000"&amp;$L1467,6))</f>
        <v/>
      </c>
      <c r="N1467">
        <f>IF($F1467="","",IF(Sync!$AF1467="","0000",IF(AND(ISNUMBER(Sync!$AF1467),Sync!$AF1467&gt;=0,Sync!$AF1467&lt;1),RIGHT("00"&amp;HOUR(Sync!$AF1467),2)&amp;RIGHT("00"&amp;MINUTE(Sync!$AF1467),2),IFERROR(RIGHT("00"&amp;VALUE(LEFT(Sync!$AF1467,FIND(":",Sync!$AF1467)-1)),2)&amp;RIGHT("00"&amp;VALUE(MID(Sync!$AF1467,FIND(":",Sync!$AF1467)+1,2)),2),"0000"))))</f>
        <v/>
      </c>
    </row>
    <row r="1468">
      <c r="A1468">
        <f>IF(OR(Calc!$E1472="",Calc!$E1472="نامعتبر",Calc!$G1472=""),"",Calc!$G1472)</f>
        <v/>
      </c>
      <c r="B1468">
        <f>IF($A1468="","",LEFT(Calc!$E1472,4)&amp;MID(Calc!$E1472,6,2)&amp;RIGHT(Calc!$E1472,2)&amp;Calc!$Q1472&amp;"|"&amp;"1"&amp;RIGHT("00000"&amp;1463,5))</f>
        <v/>
      </c>
      <c r="C1468">
        <f>IF($B1468="","",COUNTIFS(LdgSellerA,$A1468,LdgKeyA,"&lt;"&amp;$B1468)+COUNTIFS(LdgSellerB,$A1468,LdgKeyB,"&lt;"&amp;$B1468)+1)</f>
        <v/>
      </c>
      <c r="D1468">
        <f>IF($C1468="","",$A1468&amp;"|"&amp;RIGHT("000000"&amp;$C1468,6))</f>
        <v/>
      </c>
      <c r="F1468">
        <f>IF(Sync!$AH1468="","",IF(LEFT(UPPER(TRIM(Sync!$AH1468)),2)="SL",UPPER(TRIM(Sync!$AH1468)),""))</f>
        <v/>
      </c>
      <c r="G1468">
        <f>IF($F1468="","",IF(Sync!$AE1468="","",IF(ISNUMBER(Sync!$AE1468),IF(AND(Sync!$AE1468&gt;=10000101,Sync!$AE1468&lt;=99991231),INT(Sync!$AE1468/10000),""),IFERROR(VALUE(TRIM(LEFT(Sync!$AE1468,FIND("/",Sync!$AE1468)-1))),""))))</f>
        <v/>
      </c>
      <c r="H1468">
        <f>IF(OR($F1468="",$G1468=""),"",IF(ISNUMBER(Sync!$AE1468),INT(MOD(Sync!$AE1468,10000)/100),IFERROR(VALUE(TRIM(LEFT(MID(Sync!$AE1468,FIND("/",Sync!$AE1468)+1,20),FIND("/",MID(Sync!$AE1468,FIND("/",Sync!$AE1468)+1,20))-1))),"")))</f>
        <v/>
      </c>
      <c r="I1468">
        <f>IF(OR($F1468="",$G1468=""),"",IF(ISNUMBER(Sync!$AE1468),MOD(Sync!$AE1468,100),IFERROR(VALUE(TRIM(MID(MID(Sync!$AE1468,FIND("/",Sync!$AE1468)+1,20),FIND("/",MID(Sync!$AE1468,FIND("/",Sync!$AE1468)+1,20))+1,20))),"")))</f>
        <v/>
      </c>
      <c r="J1468">
        <f>IF($F1468="","",IF(OR($G1468="",$H1468="",$I1468="",$G1468&lt;1300,$G1468&gt;1500,$H1468&lt;1,$H1468&gt;12,$I1468&lt;1,$I1468&gt;31),"نامعتبر",RIGHT("0000"&amp;$G1468,4)&amp;"/"&amp;RIGHT("00"&amp;$H1468,2)&amp;"/"&amp;RIGHT("00"&amp;$I1468,2)))</f>
        <v/>
      </c>
      <c r="K1468">
        <f>IF(OR($F1468="",$J1468="",$J1468="نامعتبر"),"",LEFT($J1468,4)&amp;MID($J1468,6,2)&amp;RIGHT($J1468,2)&amp;$N1468&amp;"|"&amp;"2"&amp;RIGHT("00000"&amp;1463,5))</f>
        <v/>
      </c>
      <c r="L1468">
        <f>IF($K1468="","",COUNTIFS(LdgSellerA,$F1468,LdgKeyA,"&lt;"&amp;$K1468)+COUNTIFS(LdgSellerB,$F1468,LdgKeyB,"&lt;"&amp;$K1468)+1)</f>
        <v/>
      </c>
      <c r="M1468">
        <f>IF($L1468="","",$F1468&amp;"|"&amp;RIGHT("000000"&amp;$L1468,6))</f>
        <v/>
      </c>
      <c r="N1468">
        <f>IF($F1468="","",IF(Sync!$AF1468="","0000",IF(AND(ISNUMBER(Sync!$AF1468),Sync!$AF1468&gt;=0,Sync!$AF1468&lt;1),RIGHT("00"&amp;HOUR(Sync!$AF1468),2)&amp;RIGHT("00"&amp;MINUTE(Sync!$AF1468),2),IFERROR(RIGHT("00"&amp;VALUE(LEFT(Sync!$AF1468,FIND(":",Sync!$AF1468)-1)),2)&amp;RIGHT("00"&amp;VALUE(MID(Sync!$AF1468,FIND(":",Sync!$AF1468)+1,2)),2),"0000"))))</f>
        <v/>
      </c>
    </row>
    <row r="1469">
      <c r="A1469">
        <f>IF(OR(Calc!$E1473="",Calc!$E1473="نامعتبر",Calc!$G1473=""),"",Calc!$G1473)</f>
        <v/>
      </c>
      <c r="B1469">
        <f>IF($A1469="","",LEFT(Calc!$E1473,4)&amp;MID(Calc!$E1473,6,2)&amp;RIGHT(Calc!$E1473,2)&amp;Calc!$Q1473&amp;"|"&amp;"1"&amp;RIGHT("00000"&amp;1464,5))</f>
        <v/>
      </c>
      <c r="C1469">
        <f>IF($B1469="","",COUNTIFS(LdgSellerA,$A1469,LdgKeyA,"&lt;"&amp;$B1469)+COUNTIFS(LdgSellerB,$A1469,LdgKeyB,"&lt;"&amp;$B1469)+1)</f>
        <v/>
      </c>
      <c r="D1469">
        <f>IF($C1469="","",$A1469&amp;"|"&amp;RIGHT("000000"&amp;$C1469,6))</f>
        <v/>
      </c>
      <c r="F1469">
        <f>IF(Sync!$AH1469="","",IF(LEFT(UPPER(TRIM(Sync!$AH1469)),2)="SL",UPPER(TRIM(Sync!$AH1469)),""))</f>
        <v/>
      </c>
      <c r="G1469">
        <f>IF($F1469="","",IF(Sync!$AE1469="","",IF(ISNUMBER(Sync!$AE1469),IF(AND(Sync!$AE1469&gt;=10000101,Sync!$AE1469&lt;=99991231),INT(Sync!$AE1469/10000),""),IFERROR(VALUE(TRIM(LEFT(Sync!$AE1469,FIND("/",Sync!$AE1469)-1))),""))))</f>
        <v/>
      </c>
      <c r="H1469">
        <f>IF(OR($F1469="",$G1469=""),"",IF(ISNUMBER(Sync!$AE1469),INT(MOD(Sync!$AE1469,10000)/100),IFERROR(VALUE(TRIM(LEFT(MID(Sync!$AE1469,FIND("/",Sync!$AE1469)+1,20),FIND("/",MID(Sync!$AE1469,FIND("/",Sync!$AE1469)+1,20))-1))),"")))</f>
        <v/>
      </c>
      <c r="I1469">
        <f>IF(OR($F1469="",$G1469=""),"",IF(ISNUMBER(Sync!$AE1469),MOD(Sync!$AE1469,100),IFERROR(VALUE(TRIM(MID(MID(Sync!$AE1469,FIND("/",Sync!$AE1469)+1,20),FIND("/",MID(Sync!$AE1469,FIND("/",Sync!$AE1469)+1,20))+1,20))),"")))</f>
        <v/>
      </c>
      <c r="J1469">
        <f>IF($F1469="","",IF(OR($G1469="",$H1469="",$I1469="",$G1469&lt;1300,$G1469&gt;1500,$H1469&lt;1,$H1469&gt;12,$I1469&lt;1,$I1469&gt;31),"نامعتبر",RIGHT("0000"&amp;$G1469,4)&amp;"/"&amp;RIGHT("00"&amp;$H1469,2)&amp;"/"&amp;RIGHT("00"&amp;$I1469,2)))</f>
        <v/>
      </c>
      <c r="K1469">
        <f>IF(OR($F1469="",$J1469="",$J1469="نامعتبر"),"",LEFT($J1469,4)&amp;MID($J1469,6,2)&amp;RIGHT($J1469,2)&amp;$N1469&amp;"|"&amp;"2"&amp;RIGHT("00000"&amp;1464,5))</f>
        <v/>
      </c>
      <c r="L1469">
        <f>IF($K1469="","",COUNTIFS(LdgSellerA,$F1469,LdgKeyA,"&lt;"&amp;$K1469)+COUNTIFS(LdgSellerB,$F1469,LdgKeyB,"&lt;"&amp;$K1469)+1)</f>
        <v/>
      </c>
      <c r="M1469">
        <f>IF($L1469="","",$F1469&amp;"|"&amp;RIGHT("000000"&amp;$L1469,6))</f>
        <v/>
      </c>
      <c r="N1469">
        <f>IF($F1469="","",IF(Sync!$AF1469="","0000",IF(AND(ISNUMBER(Sync!$AF1469),Sync!$AF1469&gt;=0,Sync!$AF1469&lt;1),RIGHT("00"&amp;HOUR(Sync!$AF1469),2)&amp;RIGHT("00"&amp;MINUTE(Sync!$AF1469),2),IFERROR(RIGHT("00"&amp;VALUE(LEFT(Sync!$AF1469,FIND(":",Sync!$AF1469)-1)),2)&amp;RIGHT("00"&amp;VALUE(MID(Sync!$AF1469,FIND(":",Sync!$AF1469)+1,2)),2),"0000"))))</f>
        <v/>
      </c>
    </row>
    <row r="1470">
      <c r="A1470">
        <f>IF(OR(Calc!$E1474="",Calc!$E1474="نامعتبر",Calc!$G1474=""),"",Calc!$G1474)</f>
        <v/>
      </c>
      <c r="B1470">
        <f>IF($A1470="","",LEFT(Calc!$E1474,4)&amp;MID(Calc!$E1474,6,2)&amp;RIGHT(Calc!$E1474,2)&amp;Calc!$Q1474&amp;"|"&amp;"1"&amp;RIGHT("00000"&amp;1465,5))</f>
        <v/>
      </c>
      <c r="C1470">
        <f>IF($B1470="","",COUNTIFS(LdgSellerA,$A1470,LdgKeyA,"&lt;"&amp;$B1470)+COUNTIFS(LdgSellerB,$A1470,LdgKeyB,"&lt;"&amp;$B1470)+1)</f>
        <v/>
      </c>
      <c r="D1470">
        <f>IF($C1470="","",$A1470&amp;"|"&amp;RIGHT("000000"&amp;$C1470,6))</f>
        <v/>
      </c>
      <c r="F1470">
        <f>IF(Sync!$AH1470="","",IF(LEFT(UPPER(TRIM(Sync!$AH1470)),2)="SL",UPPER(TRIM(Sync!$AH1470)),""))</f>
        <v/>
      </c>
      <c r="G1470">
        <f>IF($F1470="","",IF(Sync!$AE1470="","",IF(ISNUMBER(Sync!$AE1470),IF(AND(Sync!$AE1470&gt;=10000101,Sync!$AE1470&lt;=99991231),INT(Sync!$AE1470/10000),""),IFERROR(VALUE(TRIM(LEFT(Sync!$AE1470,FIND("/",Sync!$AE1470)-1))),""))))</f>
        <v/>
      </c>
      <c r="H1470">
        <f>IF(OR($F1470="",$G1470=""),"",IF(ISNUMBER(Sync!$AE1470),INT(MOD(Sync!$AE1470,10000)/100),IFERROR(VALUE(TRIM(LEFT(MID(Sync!$AE1470,FIND("/",Sync!$AE1470)+1,20),FIND("/",MID(Sync!$AE1470,FIND("/",Sync!$AE1470)+1,20))-1))),"")))</f>
        <v/>
      </c>
      <c r="I1470">
        <f>IF(OR($F1470="",$G1470=""),"",IF(ISNUMBER(Sync!$AE1470),MOD(Sync!$AE1470,100),IFERROR(VALUE(TRIM(MID(MID(Sync!$AE1470,FIND("/",Sync!$AE1470)+1,20),FIND("/",MID(Sync!$AE1470,FIND("/",Sync!$AE1470)+1,20))+1,20))),"")))</f>
        <v/>
      </c>
      <c r="J1470">
        <f>IF($F1470="","",IF(OR($G1470="",$H1470="",$I1470="",$G1470&lt;1300,$G1470&gt;1500,$H1470&lt;1,$H1470&gt;12,$I1470&lt;1,$I1470&gt;31),"نامعتبر",RIGHT("0000"&amp;$G1470,4)&amp;"/"&amp;RIGHT("00"&amp;$H1470,2)&amp;"/"&amp;RIGHT("00"&amp;$I1470,2)))</f>
        <v/>
      </c>
      <c r="K1470">
        <f>IF(OR($F1470="",$J1470="",$J1470="نامعتبر"),"",LEFT($J1470,4)&amp;MID($J1470,6,2)&amp;RIGHT($J1470,2)&amp;$N1470&amp;"|"&amp;"2"&amp;RIGHT("00000"&amp;1465,5))</f>
        <v/>
      </c>
      <c r="L1470">
        <f>IF($K1470="","",COUNTIFS(LdgSellerA,$F1470,LdgKeyA,"&lt;"&amp;$K1470)+COUNTIFS(LdgSellerB,$F1470,LdgKeyB,"&lt;"&amp;$K1470)+1)</f>
        <v/>
      </c>
      <c r="M1470">
        <f>IF($L1470="","",$F1470&amp;"|"&amp;RIGHT("000000"&amp;$L1470,6))</f>
        <v/>
      </c>
      <c r="N1470">
        <f>IF($F1470="","",IF(Sync!$AF1470="","0000",IF(AND(ISNUMBER(Sync!$AF1470),Sync!$AF1470&gt;=0,Sync!$AF1470&lt;1),RIGHT("00"&amp;HOUR(Sync!$AF1470),2)&amp;RIGHT("00"&amp;MINUTE(Sync!$AF1470),2),IFERROR(RIGHT("00"&amp;VALUE(LEFT(Sync!$AF1470,FIND(":",Sync!$AF1470)-1)),2)&amp;RIGHT("00"&amp;VALUE(MID(Sync!$AF1470,FIND(":",Sync!$AF1470)+1,2)),2),"0000"))))</f>
        <v/>
      </c>
    </row>
    <row r="1471">
      <c r="A1471">
        <f>IF(OR(Calc!$E1475="",Calc!$E1475="نامعتبر",Calc!$G1475=""),"",Calc!$G1475)</f>
        <v/>
      </c>
      <c r="B1471">
        <f>IF($A1471="","",LEFT(Calc!$E1475,4)&amp;MID(Calc!$E1475,6,2)&amp;RIGHT(Calc!$E1475,2)&amp;Calc!$Q1475&amp;"|"&amp;"1"&amp;RIGHT("00000"&amp;1466,5))</f>
        <v/>
      </c>
      <c r="C1471">
        <f>IF($B1471="","",COUNTIFS(LdgSellerA,$A1471,LdgKeyA,"&lt;"&amp;$B1471)+COUNTIFS(LdgSellerB,$A1471,LdgKeyB,"&lt;"&amp;$B1471)+1)</f>
        <v/>
      </c>
      <c r="D1471">
        <f>IF($C1471="","",$A1471&amp;"|"&amp;RIGHT("000000"&amp;$C1471,6))</f>
        <v/>
      </c>
      <c r="F1471">
        <f>IF(Sync!$AH1471="","",IF(LEFT(UPPER(TRIM(Sync!$AH1471)),2)="SL",UPPER(TRIM(Sync!$AH1471)),""))</f>
        <v/>
      </c>
      <c r="G1471">
        <f>IF($F1471="","",IF(Sync!$AE1471="","",IF(ISNUMBER(Sync!$AE1471),IF(AND(Sync!$AE1471&gt;=10000101,Sync!$AE1471&lt;=99991231),INT(Sync!$AE1471/10000),""),IFERROR(VALUE(TRIM(LEFT(Sync!$AE1471,FIND("/",Sync!$AE1471)-1))),""))))</f>
        <v/>
      </c>
      <c r="H1471">
        <f>IF(OR($F1471="",$G1471=""),"",IF(ISNUMBER(Sync!$AE1471),INT(MOD(Sync!$AE1471,10000)/100),IFERROR(VALUE(TRIM(LEFT(MID(Sync!$AE1471,FIND("/",Sync!$AE1471)+1,20),FIND("/",MID(Sync!$AE1471,FIND("/",Sync!$AE1471)+1,20))-1))),"")))</f>
        <v/>
      </c>
      <c r="I1471">
        <f>IF(OR($F1471="",$G1471=""),"",IF(ISNUMBER(Sync!$AE1471),MOD(Sync!$AE1471,100),IFERROR(VALUE(TRIM(MID(MID(Sync!$AE1471,FIND("/",Sync!$AE1471)+1,20),FIND("/",MID(Sync!$AE1471,FIND("/",Sync!$AE1471)+1,20))+1,20))),"")))</f>
        <v/>
      </c>
      <c r="J1471">
        <f>IF($F1471="","",IF(OR($G1471="",$H1471="",$I1471="",$G1471&lt;1300,$G1471&gt;1500,$H1471&lt;1,$H1471&gt;12,$I1471&lt;1,$I1471&gt;31),"نامعتبر",RIGHT("0000"&amp;$G1471,4)&amp;"/"&amp;RIGHT("00"&amp;$H1471,2)&amp;"/"&amp;RIGHT("00"&amp;$I1471,2)))</f>
        <v/>
      </c>
      <c r="K1471">
        <f>IF(OR($F1471="",$J1471="",$J1471="نامعتبر"),"",LEFT($J1471,4)&amp;MID($J1471,6,2)&amp;RIGHT($J1471,2)&amp;$N1471&amp;"|"&amp;"2"&amp;RIGHT("00000"&amp;1466,5))</f>
        <v/>
      </c>
      <c r="L1471">
        <f>IF($K1471="","",COUNTIFS(LdgSellerA,$F1471,LdgKeyA,"&lt;"&amp;$K1471)+COUNTIFS(LdgSellerB,$F1471,LdgKeyB,"&lt;"&amp;$K1471)+1)</f>
        <v/>
      </c>
      <c r="M1471">
        <f>IF($L1471="","",$F1471&amp;"|"&amp;RIGHT("000000"&amp;$L1471,6))</f>
        <v/>
      </c>
      <c r="N1471">
        <f>IF($F1471="","",IF(Sync!$AF1471="","0000",IF(AND(ISNUMBER(Sync!$AF1471),Sync!$AF1471&gt;=0,Sync!$AF1471&lt;1),RIGHT("00"&amp;HOUR(Sync!$AF1471),2)&amp;RIGHT("00"&amp;MINUTE(Sync!$AF1471),2),IFERROR(RIGHT("00"&amp;VALUE(LEFT(Sync!$AF1471,FIND(":",Sync!$AF1471)-1)),2)&amp;RIGHT("00"&amp;VALUE(MID(Sync!$AF1471,FIND(":",Sync!$AF1471)+1,2)),2),"0000"))))</f>
        <v/>
      </c>
    </row>
    <row r="1472">
      <c r="A1472">
        <f>IF(OR(Calc!$E1476="",Calc!$E1476="نامعتبر",Calc!$G1476=""),"",Calc!$G1476)</f>
        <v/>
      </c>
      <c r="B1472">
        <f>IF($A1472="","",LEFT(Calc!$E1476,4)&amp;MID(Calc!$E1476,6,2)&amp;RIGHT(Calc!$E1476,2)&amp;Calc!$Q1476&amp;"|"&amp;"1"&amp;RIGHT("00000"&amp;1467,5))</f>
        <v/>
      </c>
      <c r="C1472">
        <f>IF($B1472="","",COUNTIFS(LdgSellerA,$A1472,LdgKeyA,"&lt;"&amp;$B1472)+COUNTIFS(LdgSellerB,$A1472,LdgKeyB,"&lt;"&amp;$B1472)+1)</f>
        <v/>
      </c>
      <c r="D1472">
        <f>IF($C1472="","",$A1472&amp;"|"&amp;RIGHT("000000"&amp;$C1472,6))</f>
        <v/>
      </c>
      <c r="F1472">
        <f>IF(Sync!$AH1472="","",IF(LEFT(UPPER(TRIM(Sync!$AH1472)),2)="SL",UPPER(TRIM(Sync!$AH1472)),""))</f>
        <v/>
      </c>
      <c r="G1472">
        <f>IF($F1472="","",IF(Sync!$AE1472="","",IF(ISNUMBER(Sync!$AE1472),IF(AND(Sync!$AE1472&gt;=10000101,Sync!$AE1472&lt;=99991231),INT(Sync!$AE1472/10000),""),IFERROR(VALUE(TRIM(LEFT(Sync!$AE1472,FIND("/",Sync!$AE1472)-1))),""))))</f>
        <v/>
      </c>
      <c r="H1472">
        <f>IF(OR($F1472="",$G1472=""),"",IF(ISNUMBER(Sync!$AE1472),INT(MOD(Sync!$AE1472,10000)/100),IFERROR(VALUE(TRIM(LEFT(MID(Sync!$AE1472,FIND("/",Sync!$AE1472)+1,20),FIND("/",MID(Sync!$AE1472,FIND("/",Sync!$AE1472)+1,20))-1))),"")))</f>
        <v/>
      </c>
      <c r="I1472">
        <f>IF(OR($F1472="",$G1472=""),"",IF(ISNUMBER(Sync!$AE1472),MOD(Sync!$AE1472,100),IFERROR(VALUE(TRIM(MID(MID(Sync!$AE1472,FIND("/",Sync!$AE1472)+1,20),FIND("/",MID(Sync!$AE1472,FIND("/",Sync!$AE1472)+1,20))+1,20))),"")))</f>
        <v/>
      </c>
      <c r="J1472">
        <f>IF($F1472="","",IF(OR($G1472="",$H1472="",$I1472="",$G1472&lt;1300,$G1472&gt;1500,$H1472&lt;1,$H1472&gt;12,$I1472&lt;1,$I1472&gt;31),"نامعتبر",RIGHT("0000"&amp;$G1472,4)&amp;"/"&amp;RIGHT("00"&amp;$H1472,2)&amp;"/"&amp;RIGHT("00"&amp;$I1472,2)))</f>
        <v/>
      </c>
      <c r="K1472">
        <f>IF(OR($F1472="",$J1472="",$J1472="نامعتبر"),"",LEFT($J1472,4)&amp;MID($J1472,6,2)&amp;RIGHT($J1472,2)&amp;$N1472&amp;"|"&amp;"2"&amp;RIGHT("00000"&amp;1467,5))</f>
        <v/>
      </c>
      <c r="L1472">
        <f>IF($K1472="","",COUNTIFS(LdgSellerA,$F1472,LdgKeyA,"&lt;"&amp;$K1472)+COUNTIFS(LdgSellerB,$F1472,LdgKeyB,"&lt;"&amp;$K1472)+1)</f>
        <v/>
      </c>
      <c r="M1472">
        <f>IF($L1472="","",$F1472&amp;"|"&amp;RIGHT("000000"&amp;$L1472,6))</f>
        <v/>
      </c>
      <c r="N1472">
        <f>IF($F1472="","",IF(Sync!$AF1472="","0000",IF(AND(ISNUMBER(Sync!$AF1472),Sync!$AF1472&gt;=0,Sync!$AF1472&lt;1),RIGHT("00"&amp;HOUR(Sync!$AF1472),2)&amp;RIGHT("00"&amp;MINUTE(Sync!$AF1472),2),IFERROR(RIGHT("00"&amp;VALUE(LEFT(Sync!$AF1472,FIND(":",Sync!$AF1472)-1)),2)&amp;RIGHT("00"&amp;VALUE(MID(Sync!$AF1472,FIND(":",Sync!$AF1472)+1,2)),2),"0000"))))</f>
        <v/>
      </c>
    </row>
    <row r="1473">
      <c r="A1473">
        <f>IF(OR(Calc!$E1477="",Calc!$E1477="نامعتبر",Calc!$G1477=""),"",Calc!$G1477)</f>
        <v/>
      </c>
      <c r="B1473">
        <f>IF($A1473="","",LEFT(Calc!$E1477,4)&amp;MID(Calc!$E1477,6,2)&amp;RIGHT(Calc!$E1477,2)&amp;Calc!$Q1477&amp;"|"&amp;"1"&amp;RIGHT("00000"&amp;1468,5))</f>
        <v/>
      </c>
      <c r="C1473">
        <f>IF($B1473="","",COUNTIFS(LdgSellerA,$A1473,LdgKeyA,"&lt;"&amp;$B1473)+COUNTIFS(LdgSellerB,$A1473,LdgKeyB,"&lt;"&amp;$B1473)+1)</f>
        <v/>
      </c>
      <c r="D1473">
        <f>IF($C1473="","",$A1473&amp;"|"&amp;RIGHT("000000"&amp;$C1473,6))</f>
        <v/>
      </c>
      <c r="F1473">
        <f>IF(Sync!$AH1473="","",IF(LEFT(UPPER(TRIM(Sync!$AH1473)),2)="SL",UPPER(TRIM(Sync!$AH1473)),""))</f>
        <v/>
      </c>
      <c r="G1473">
        <f>IF($F1473="","",IF(Sync!$AE1473="","",IF(ISNUMBER(Sync!$AE1473),IF(AND(Sync!$AE1473&gt;=10000101,Sync!$AE1473&lt;=99991231),INT(Sync!$AE1473/10000),""),IFERROR(VALUE(TRIM(LEFT(Sync!$AE1473,FIND("/",Sync!$AE1473)-1))),""))))</f>
        <v/>
      </c>
      <c r="H1473">
        <f>IF(OR($F1473="",$G1473=""),"",IF(ISNUMBER(Sync!$AE1473),INT(MOD(Sync!$AE1473,10000)/100),IFERROR(VALUE(TRIM(LEFT(MID(Sync!$AE1473,FIND("/",Sync!$AE1473)+1,20),FIND("/",MID(Sync!$AE1473,FIND("/",Sync!$AE1473)+1,20))-1))),"")))</f>
        <v/>
      </c>
      <c r="I1473">
        <f>IF(OR($F1473="",$G1473=""),"",IF(ISNUMBER(Sync!$AE1473),MOD(Sync!$AE1473,100),IFERROR(VALUE(TRIM(MID(MID(Sync!$AE1473,FIND("/",Sync!$AE1473)+1,20),FIND("/",MID(Sync!$AE1473,FIND("/",Sync!$AE1473)+1,20))+1,20))),"")))</f>
        <v/>
      </c>
      <c r="J1473">
        <f>IF($F1473="","",IF(OR($G1473="",$H1473="",$I1473="",$G1473&lt;1300,$G1473&gt;1500,$H1473&lt;1,$H1473&gt;12,$I1473&lt;1,$I1473&gt;31),"نامعتبر",RIGHT("0000"&amp;$G1473,4)&amp;"/"&amp;RIGHT("00"&amp;$H1473,2)&amp;"/"&amp;RIGHT("00"&amp;$I1473,2)))</f>
        <v/>
      </c>
      <c r="K1473">
        <f>IF(OR($F1473="",$J1473="",$J1473="نامعتبر"),"",LEFT($J1473,4)&amp;MID($J1473,6,2)&amp;RIGHT($J1473,2)&amp;$N1473&amp;"|"&amp;"2"&amp;RIGHT("00000"&amp;1468,5))</f>
        <v/>
      </c>
      <c r="L1473">
        <f>IF($K1473="","",COUNTIFS(LdgSellerA,$F1473,LdgKeyA,"&lt;"&amp;$K1473)+COUNTIFS(LdgSellerB,$F1473,LdgKeyB,"&lt;"&amp;$K1473)+1)</f>
        <v/>
      </c>
      <c r="M1473">
        <f>IF($L1473="","",$F1473&amp;"|"&amp;RIGHT("000000"&amp;$L1473,6))</f>
        <v/>
      </c>
      <c r="N1473">
        <f>IF($F1473="","",IF(Sync!$AF1473="","0000",IF(AND(ISNUMBER(Sync!$AF1473),Sync!$AF1473&gt;=0,Sync!$AF1473&lt;1),RIGHT("00"&amp;HOUR(Sync!$AF1473),2)&amp;RIGHT("00"&amp;MINUTE(Sync!$AF1473),2),IFERROR(RIGHT("00"&amp;VALUE(LEFT(Sync!$AF1473,FIND(":",Sync!$AF1473)-1)),2)&amp;RIGHT("00"&amp;VALUE(MID(Sync!$AF1473,FIND(":",Sync!$AF1473)+1,2)),2),"0000"))))</f>
        <v/>
      </c>
    </row>
    <row r="1474">
      <c r="A1474">
        <f>IF(OR(Calc!$E1478="",Calc!$E1478="نامعتبر",Calc!$G1478=""),"",Calc!$G1478)</f>
        <v/>
      </c>
      <c r="B1474">
        <f>IF($A1474="","",LEFT(Calc!$E1478,4)&amp;MID(Calc!$E1478,6,2)&amp;RIGHT(Calc!$E1478,2)&amp;Calc!$Q1478&amp;"|"&amp;"1"&amp;RIGHT("00000"&amp;1469,5))</f>
        <v/>
      </c>
      <c r="C1474">
        <f>IF($B1474="","",COUNTIFS(LdgSellerA,$A1474,LdgKeyA,"&lt;"&amp;$B1474)+COUNTIFS(LdgSellerB,$A1474,LdgKeyB,"&lt;"&amp;$B1474)+1)</f>
        <v/>
      </c>
      <c r="D1474">
        <f>IF($C1474="","",$A1474&amp;"|"&amp;RIGHT("000000"&amp;$C1474,6))</f>
        <v/>
      </c>
      <c r="F1474">
        <f>IF(Sync!$AH1474="","",IF(LEFT(UPPER(TRIM(Sync!$AH1474)),2)="SL",UPPER(TRIM(Sync!$AH1474)),""))</f>
        <v/>
      </c>
      <c r="G1474">
        <f>IF($F1474="","",IF(Sync!$AE1474="","",IF(ISNUMBER(Sync!$AE1474),IF(AND(Sync!$AE1474&gt;=10000101,Sync!$AE1474&lt;=99991231),INT(Sync!$AE1474/10000),""),IFERROR(VALUE(TRIM(LEFT(Sync!$AE1474,FIND("/",Sync!$AE1474)-1))),""))))</f>
        <v/>
      </c>
      <c r="H1474">
        <f>IF(OR($F1474="",$G1474=""),"",IF(ISNUMBER(Sync!$AE1474),INT(MOD(Sync!$AE1474,10000)/100),IFERROR(VALUE(TRIM(LEFT(MID(Sync!$AE1474,FIND("/",Sync!$AE1474)+1,20),FIND("/",MID(Sync!$AE1474,FIND("/",Sync!$AE1474)+1,20))-1))),"")))</f>
        <v/>
      </c>
      <c r="I1474">
        <f>IF(OR($F1474="",$G1474=""),"",IF(ISNUMBER(Sync!$AE1474),MOD(Sync!$AE1474,100),IFERROR(VALUE(TRIM(MID(MID(Sync!$AE1474,FIND("/",Sync!$AE1474)+1,20),FIND("/",MID(Sync!$AE1474,FIND("/",Sync!$AE1474)+1,20))+1,20))),"")))</f>
        <v/>
      </c>
      <c r="J1474">
        <f>IF($F1474="","",IF(OR($G1474="",$H1474="",$I1474="",$G1474&lt;1300,$G1474&gt;1500,$H1474&lt;1,$H1474&gt;12,$I1474&lt;1,$I1474&gt;31),"نامعتبر",RIGHT("0000"&amp;$G1474,4)&amp;"/"&amp;RIGHT("00"&amp;$H1474,2)&amp;"/"&amp;RIGHT("00"&amp;$I1474,2)))</f>
        <v/>
      </c>
      <c r="K1474">
        <f>IF(OR($F1474="",$J1474="",$J1474="نامعتبر"),"",LEFT($J1474,4)&amp;MID($J1474,6,2)&amp;RIGHT($J1474,2)&amp;$N1474&amp;"|"&amp;"2"&amp;RIGHT("00000"&amp;1469,5))</f>
        <v/>
      </c>
      <c r="L1474">
        <f>IF($K1474="","",COUNTIFS(LdgSellerA,$F1474,LdgKeyA,"&lt;"&amp;$K1474)+COUNTIFS(LdgSellerB,$F1474,LdgKeyB,"&lt;"&amp;$K1474)+1)</f>
        <v/>
      </c>
      <c r="M1474">
        <f>IF($L1474="","",$F1474&amp;"|"&amp;RIGHT("000000"&amp;$L1474,6))</f>
        <v/>
      </c>
      <c r="N1474">
        <f>IF($F1474="","",IF(Sync!$AF1474="","0000",IF(AND(ISNUMBER(Sync!$AF1474),Sync!$AF1474&gt;=0,Sync!$AF1474&lt;1),RIGHT("00"&amp;HOUR(Sync!$AF1474),2)&amp;RIGHT("00"&amp;MINUTE(Sync!$AF1474),2),IFERROR(RIGHT("00"&amp;VALUE(LEFT(Sync!$AF1474,FIND(":",Sync!$AF1474)-1)),2)&amp;RIGHT("00"&amp;VALUE(MID(Sync!$AF1474,FIND(":",Sync!$AF1474)+1,2)),2),"0000"))))</f>
        <v/>
      </c>
    </row>
    <row r="1475">
      <c r="A1475">
        <f>IF(OR(Calc!$E1479="",Calc!$E1479="نامعتبر",Calc!$G1479=""),"",Calc!$G1479)</f>
        <v/>
      </c>
      <c r="B1475">
        <f>IF($A1475="","",LEFT(Calc!$E1479,4)&amp;MID(Calc!$E1479,6,2)&amp;RIGHT(Calc!$E1479,2)&amp;Calc!$Q1479&amp;"|"&amp;"1"&amp;RIGHT("00000"&amp;1470,5))</f>
        <v/>
      </c>
      <c r="C1475">
        <f>IF($B1475="","",COUNTIFS(LdgSellerA,$A1475,LdgKeyA,"&lt;"&amp;$B1475)+COUNTIFS(LdgSellerB,$A1475,LdgKeyB,"&lt;"&amp;$B1475)+1)</f>
        <v/>
      </c>
      <c r="D1475">
        <f>IF($C1475="","",$A1475&amp;"|"&amp;RIGHT("000000"&amp;$C1475,6))</f>
        <v/>
      </c>
      <c r="F1475">
        <f>IF(Sync!$AH1475="","",IF(LEFT(UPPER(TRIM(Sync!$AH1475)),2)="SL",UPPER(TRIM(Sync!$AH1475)),""))</f>
        <v/>
      </c>
      <c r="G1475">
        <f>IF($F1475="","",IF(Sync!$AE1475="","",IF(ISNUMBER(Sync!$AE1475),IF(AND(Sync!$AE1475&gt;=10000101,Sync!$AE1475&lt;=99991231),INT(Sync!$AE1475/10000),""),IFERROR(VALUE(TRIM(LEFT(Sync!$AE1475,FIND("/",Sync!$AE1475)-1))),""))))</f>
        <v/>
      </c>
      <c r="H1475">
        <f>IF(OR($F1475="",$G1475=""),"",IF(ISNUMBER(Sync!$AE1475),INT(MOD(Sync!$AE1475,10000)/100),IFERROR(VALUE(TRIM(LEFT(MID(Sync!$AE1475,FIND("/",Sync!$AE1475)+1,20),FIND("/",MID(Sync!$AE1475,FIND("/",Sync!$AE1475)+1,20))-1))),"")))</f>
        <v/>
      </c>
      <c r="I1475">
        <f>IF(OR($F1475="",$G1475=""),"",IF(ISNUMBER(Sync!$AE1475),MOD(Sync!$AE1475,100),IFERROR(VALUE(TRIM(MID(MID(Sync!$AE1475,FIND("/",Sync!$AE1475)+1,20),FIND("/",MID(Sync!$AE1475,FIND("/",Sync!$AE1475)+1,20))+1,20))),"")))</f>
        <v/>
      </c>
      <c r="J1475">
        <f>IF($F1475="","",IF(OR($G1475="",$H1475="",$I1475="",$G1475&lt;1300,$G1475&gt;1500,$H1475&lt;1,$H1475&gt;12,$I1475&lt;1,$I1475&gt;31),"نامعتبر",RIGHT("0000"&amp;$G1475,4)&amp;"/"&amp;RIGHT("00"&amp;$H1475,2)&amp;"/"&amp;RIGHT("00"&amp;$I1475,2)))</f>
        <v/>
      </c>
      <c r="K1475">
        <f>IF(OR($F1475="",$J1475="",$J1475="نامعتبر"),"",LEFT($J1475,4)&amp;MID($J1475,6,2)&amp;RIGHT($J1475,2)&amp;$N1475&amp;"|"&amp;"2"&amp;RIGHT("00000"&amp;1470,5))</f>
        <v/>
      </c>
      <c r="L1475">
        <f>IF($K1475="","",COUNTIFS(LdgSellerA,$F1475,LdgKeyA,"&lt;"&amp;$K1475)+COUNTIFS(LdgSellerB,$F1475,LdgKeyB,"&lt;"&amp;$K1475)+1)</f>
        <v/>
      </c>
      <c r="M1475">
        <f>IF($L1475="","",$F1475&amp;"|"&amp;RIGHT("000000"&amp;$L1475,6))</f>
        <v/>
      </c>
      <c r="N1475">
        <f>IF($F1475="","",IF(Sync!$AF1475="","0000",IF(AND(ISNUMBER(Sync!$AF1475),Sync!$AF1475&gt;=0,Sync!$AF1475&lt;1),RIGHT("00"&amp;HOUR(Sync!$AF1475),2)&amp;RIGHT("00"&amp;MINUTE(Sync!$AF1475),2),IFERROR(RIGHT("00"&amp;VALUE(LEFT(Sync!$AF1475,FIND(":",Sync!$AF1475)-1)),2)&amp;RIGHT("00"&amp;VALUE(MID(Sync!$AF1475,FIND(":",Sync!$AF1475)+1,2)),2),"0000"))))</f>
        <v/>
      </c>
    </row>
    <row r="1476">
      <c r="A1476">
        <f>IF(OR(Calc!$E1480="",Calc!$E1480="نامعتبر",Calc!$G1480=""),"",Calc!$G1480)</f>
        <v/>
      </c>
      <c r="B1476">
        <f>IF($A1476="","",LEFT(Calc!$E1480,4)&amp;MID(Calc!$E1480,6,2)&amp;RIGHT(Calc!$E1480,2)&amp;Calc!$Q1480&amp;"|"&amp;"1"&amp;RIGHT("00000"&amp;1471,5))</f>
        <v/>
      </c>
      <c r="C1476">
        <f>IF($B1476="","",COUNTIFS(LdgSellerA,$A1476,LdgKeyA,"&lt;"&amp;$B1476)+COUNTIFS(LdgSellerB,$A1476,LdgKeyB,"&lt;"&amp;$B1476)+1)</f>
        <v/>
      </c>
      <c r="D1476">
        <f>IF($C1476="","",$A1476&amp;"|"&amp;RIGHT("000000"&amp;$C1476,6))</f>
        <v/>
      </c>
      <c r="F1476">
        <f>IF(Sync!$AH1476="","",IF(LEFT(UPPER(TRIM(Sync!$AH1476)),2)="SL",UPPER(TRIM(Sync!$AH1476)),""))</f>
        <v/>
      </c>
      <c r="G1476">
        <f>IF($F1476="","",IF(Sync!$AE1476="","",IF(ISNUMBER(Sync!$AE1476),IF(AND(Sync!$AE1476&gt;=10000101,Sync!$AE1476&lt;=99991231),INT(Sync!$AE1476/10000),""),IFERROR(VALUE(TRIM(LEFT(Sync!$AE1476,FIND("/",Sync!$AE1476)-1))),""))))</f>
        <v/>
      </c>
      <c r="H1476">
        <f>IF(OR($F1476="",$G1476=""),"",IF(ISNUMBER(Sync!$AE1476),INT(MOD(Sync!$AE1476,10000)/100),IFERROR(VALUE(TRIM(LEFT(MID(Sync!$AE1476,FIND("/",Sync!$AE1476)+1,20),FIND("/",MID(Sync!$AE1476,FIND("/",Sync!$AE1476)+1,20))-1))),"")))</f>
        <v/>
      </c>
      <c r="I1476">
        <f>IF(OR($F1476="",$G1476=""),"",IF(ISNUMBER(Sync!$AE1476),MOD(Sync!$AE1476,100),IFERROR(VALUE(TRIM(MID(MID(Sync!$AE1476,FIND("/",Sync!$AE1476)+1,20),FIND("/",MID(Sync!$AE1476,FIND("/",Sync!$AE1476)+1,20))+1,20))),"")))</f>
        <v/>
      </c>
      <c r="J1476">
        <f>IF($F1476="","",IF(OR($G1476="",$H1476="",$I1476="",$G1476&lt;1300,$G1476&gt;1500,$H1476&lt;1,$H1476&gt;12,$I1476&lt;1,$I1476&gt;31),"نامعتبر",RIGHT("0000"&amp;$G1476,4)&amp;"/"&amp;RIGHT("00"&amp;$H1476,2)&amp;"/"&amp;RIGHT("00"&amp;$I1476,2)))</f>
        <v/>
      </c>
      <c r="K1476">
        <f>IF(OR($F1476="",$J1476="",$J1476="نامعتبر"),"",LEFT($J1476,4)&amp;MID($J1476,6,2)&amp;RIGHT($J1476,2)&amp;$N1476&amp;"|"&amp;"2"&amp;RIGHT("00000"&amp;1471,5))</f>
        <v/>
      </c>
      <c r="L1476">
        <f>IF($K1476="","",COUNTIFS(LdgSellerA,$F1476,LdgKeyA,"&lt;"&amp;$K1476)+COUNTIFS(LdgSellerB,$F1476,LdgKeyB,"&lt;"&amp;$K1476)+1)</f>
        <v/>
      </c>
      <c r="M1476">
        <f>IF($L1476="","",$F1476&amp;"|"&amp;RIGHT("000000"&amp;$L1476,6))</f>
        <v/>
      </c>
      <c r="N1476">
        <f>IF($F1476="","",IF(Sync!$AF1476="","0000",IF(AND(ISNUMBER(Sync!$AF1476),Sync!$AF1476&gt;=0,Sync!$AF1476&lt;1),RIGHT("00"&amp;HOUR(Sync!$AF1476),2)&amp;RIGHT("00"&amp;MINUTE(Sync!$AF1476),2),IFERROR(RIGHT("00"&amp;VALUE(LEFT(Sync!$AF1476,FIND(":",Sync!$AF1476)-1)),2)&amp;RIGHT("00"&amp;VALUE(MID(Sync!$AF1476,FIND(":",Sync!$AF1476)+1,2)),2),"0000"))))</f>
        <v/>
      </c>
    </row>
    <row r="1477">
      <c r="A1477">
        <f>IF(OR(Calc!$E1481="",Calc!$E1481="نامعتبر",Calc!$G1481=""),"",Calc!$G1481)</f>
        <v/>
      </c>
      <c r="B1477">
        <f>IF($A1477="","",LEFT(Calc!$E1481,4)&amp;MID(Calc!$E1481,6,2)&amp;RIGHT(Calc!$E1481,2)&amp;Calc!$Q1481&amp;"|"&amp;"1"&amp;RIGHT("00000"&amp;1472,5))</f>
        <v/>
      </c>
      <c r="C1477">
        <f>IF($B1477="","",COUNTIFS(LdgSellerA,$A1477,LdgKeyA,"&lt;"&amp;$B1477)+COUNTIFS(LdgSellerB,$A1477,LdgKeyB,"&lt;"&amp;$B1477)+1)</f>
        <v/>
      </c>
      <c r="D1477">
        <f>IF($C1477="","",$A1477&amp;"|"&amp;RIGHT("000000"&amp;$C1477,6))</f>
        <v/>
      </c>
      <c r="F1477">
        <f>IF(Sync!$AH1477="","",IF(LEFT(UPPER(TRIM(Sync!$AH1477)),2)="SL",UPPER(TRIM(Sync!$AH1477)),""))</f>
        <v/>
      </c>
      <c r="G1477">
        <f>IF($F1477="","",IF(Sync!$AE1477="","",IF(ISNUMBER(Sync!$AE1477),IF(AND(Sync!$AE1477&gt;=10000101,Sync!$AE1477&lt;=99991231),INT(Sync!$AE1477/10000),""),IFERROR(VALUE(TRIM(LEFT(Sync!$AE1477,FIND("/",Sync!$AE1477)-1))),""))))</f>
        <v/>
      </c>
      <c r="H1477">
        <f>IF(OR($F1477="",$G1477=""),"",IF(ISNUMBER(Sync!$AE1477),INT(MOD(Sync!$AE1477,10000)/100),IFERROR(VALUE(TRIM(LEFT(MID(Sync!$AE1477,FIND("/",Sync!$AE1477)+1,20),FIND("/",MID(Sync!$AE1477,FIND("/",Sync!$AE1477)+1,20))-1))),"")))</f>
        <v/>
      </c>
      <c r="I1477">
        <f>IF(OR($F1477="",$G1477=""),"",IF(ISNUMBER(Sync!$AE1477),MOD(Sync!$AE1477,100),IFERROR(VALUE(TRIM(MID(MID(Sync!$AE1477,FIND("/",Sync!$AE1477)+1,20),FIND("/",MID(Sync!$AE1477,FIND("/",Sync!$AE1477)+1,20))+1,20))),"")))</f>
        <v/>
      </c>
      <c r="J1477">
        <f>IF($F1477="","",IF(OR($G1477="",$H1477="",$I1477="",$G1477&lt;1300,$G1477&gt;1500,$H1477&lt;1,$H1477&gt;12,$I1477&lt;1,$I1477&gt;31),"نامعتبر",RIGHT("0000"&amp;$G1477,4)&amp;"/"&amp;RIGHT("00"&amp;$H1477,2)&amp;"/"&amp;RIGHT("00"&amp;$I1477,2)))</f>
        <v/>
      </c>
      <c r="K1477">
        <f>IF(OR($F1477="",$J1477="",$J1477="نامعتبر"),"",LEFT($J1477,4)&amp;MID($J1477,6,2)&amp;RIGHT($J1477,2)&amp;$N1477&amp;"|"&amp;"2"&amp;RIGHT("00000"&amp;1472,5))</f>
        <v/>
      </c>
      <c r="L1477">
        <f>IF($K1477="","",COUNTIFS(LdgSellerA,$F1477,LdgKeyA,"&lt;"&amp;$K1477)+COUNTIFS(LdgSellerB,$F1477,LdgKeyB,"&lt;"&amp;$K1477)+1)</f>
        <v/>
      </c>
      <c r="M1477">
        <f>IF($L1477="","",$F1477&amp;"|"&amp;RIGHT("000000"&amp;$L1477,6))</f>
        <v/>
      </c>
      <c r="N1477">
        <f>IF($F1477="","",IF(Sync!$AF1477="","0000",IF(AND(ISNUMBER(Sync!$AF1477),Sync!$AF1477&gt;=0,Sync!$AF1477&lt;1),RIGHT("00"&amp;HOUR(Sync!$AF1477),2)&amp;RIGHT("00"&amp;MINUTE(Sync!$AF1477),2),IFERROR(RIGHT("00"&amp;VALUE(LEFT(Sync!$AF1477,FIND(":",Sync!$AF1477)-1)),2)&amp;RIGHT("00"&amp;VALUE(MID(Sync!$AF1477,FIND(":",Sync!$AF1477)+1,2)),2),"0000"))))</f>
        <v/>
      </c>
    </row>
    <row r="1478">
      <c r="A1478">
        <f>IF(OR(Calc!$E1482="",Calc!$E1482="نامعتبر",Calc!$G1482=""),"",Calc!$G1482)</f>
        <v/>
      </c>
      <c r="B1478">
        <f>IF($A1478="","",LEFT(Calc!$E1482,4)&amp;MID(Calc!$E1482,6,2)&amp;RIGHT(Calc!$E1482,2)&amp;Calc!$Q1482&amp;"|"&amp;"1"&amp;RIGHT("00000"&amp;1473,5))</f>
        <v/>
      </c>
      <c r="C1478">
        <f>IF($B1478="","",COUNTIFS(LdgSellerA,$A1478,LdgKeyA,"&lt;"&amp;$B1478)+COUNTIFS(LdgSellerB,$A1478,LdgKeyB,"&lt;"&amp;$B1478)+1)</f>
        <v/>
      </c>
      <c r="D1478">
        <f>IF($C1478="","",$A1478&amp;"|"&amp;RIGHT("000000"&amp;$C1478,6))</f>
        <v/>
      </c>
      <c r="F1478">
        <f>IF(Sync!$AH1478="","",IF(LEFT(UPPER(TRIM(Sync!$AH1478)),2)="SL",UPPER(TRIM(Sync!$AH1478)),""))</f>
        <v/>
      </c>
      <c r="G1478">
        <f>IF($F1478="","",IF(Sync!$AE1478="","",IF(ISNUMBER(Sync!$AE1478),IF(AND(Sync!$AE1478&gt;=10000101,Sync!$AE1478&lt;=99991231),INT(Sync!$AE1478/10000),""),IFERROR(VALUE(TRIM(LEFT(Sync!$AE1478,FIND("/",Sync!$AE1478)-1))),""))))</f>
        <v/>
      </c>
      <c r="H1478">
        <f>IF(OR($F1478="",$G1478=""),"",IF(ISNUMBER(Sync!$AE1478),INT(MOD(Sync!$AE1478,10000)/100),IFERROR(VALUE(TRIM(LEFT(MID(Sync!$AE1478,FIND("/",Sync!$AE1478)+1,20),FIND("/",MID(Sync!$AE1478,FIND("/",Sync!$AE1478)+1,20))-1))),"")))</f>
        <v/>
      </c>
      <c r="I1478">
        <f>IF(OR($F1478="",$G1478=""),"",IF(ISNUMBER(Sync!$AE1478),MOD(Sync!$AE1478,100),IFERROR(VALUE(TRIM(MID(MID(Sync!$AE1478,FIND("/",Sync!$AE1478)+1,20),FIND("/",MID(Sync!$AE1478,FIND("/",Sync!$AE1478)+1,20))+1,20))),"")))</f>
        <v/>
      </c>
      <c r="J1478">
        <f>IF($F1478="","",IF(OR($G1478="",$H1478="",$I1478="",$G1478&lt;1300,$G1478&gt;1500,$H1478&lt;1,$H1478&gt;12,$I1478&lt;1,$I1478&gt;31),"نامعتبر",RIGHT("0000"&amp;$G1478,4)&amp;"/"&amp;RIGHT("00"&amp;$H1478,2)&amp;"/"&amp;RIGHT("00"&amp;$I1478,2)))</f>
        <v/>
      </c>
      <c r="K1478">
        <f>IF(OR($F1478="",$J1478="",$J1478="نامعتبر"),"",LEFT($J1478,4)&amp;MID($J1478,6,2)&amp;RIGHT($J1478,2)&amp;$N1478&amp;"|"&amp;"2"&amp;RIGHT("00000"&amp;1473,5))</f>
        <v/>
      </c>
      <c r="L1478">
        <f>IF($K1478="","",COUNTIFS(LdgSellerA,$F1478,LdgKeyA,"&lt;"&amp;$K1478)+COUNTIFS(LdgSellerB,$F1478,LdgKeyB,"&lt;"&amp;$K1478)+1)</f>
        <v/>
      </c>
      <c r="M1478">
        <f>IF($L1478="","",$F1478&amp;"|"&amp;RIGHT("000000"&amp;$L1478,6))</f>
        <v/>
      </c>
      <c r="N1478">
        <f>IF($F1478="","",IF(Sync!$AF1478="","0000",IF(AND(ISNUMBER(Sync!$AF1478),Sync!$AF1478&gt;=0,Sync!$AF1478&lt;1),RIGHT("00"&amp;HOUR(Sync!$AF1478),2)&amp;RIGHT("00"&amp;MINUTE(Sync!$AF1478),2),IFERROR(RIGHT("00"&amp;VALUE(LEFT(Sync!$AF1478,FIND(":",Sync!$AF1478)-1)),2)&amp;RIGHT("00"&amp;VALUE(MID(Sync!$AF1478,FIND(":",Sync!$AF1478)+1,2)),2),"0000"))))</f>
        <v/>
      </c>
    </row>
    <row r="1479">
      <c r="A1479">
        <f>IF(OR(Calc!$E1483="",Calc!$E1483="نامعتبر",Calc!$G1483=""),"",Calc!$G1483)</f>
        <v/>
      </c>
      <c r="B1479">
        <f>IF($A1479="","",LEFT(Calc!$E1483,4)&amp;MID(Calc!$E1483,6,2)&amp;RIGHT(Calc!$E1483,2)&amp;Calc!$Q1483&amp;"|"&amp;"1"&amp;RIGHT("00000"&amp;1474,5))</f>
        <v/>
      </c>
      <c r="C1479">
        <f>IF($B1479="","",COUNTIFS(LdgSellerA,$A1479,LdgKeyA,"&lt;"&amp;$B1479)+COUNTIFS(LdgSellerB,$A1479,LdgKeyB,"&lt;"&amp;$B1479)+1)</f>
        <v/>
      </c>
      <c r="D1479">
        <f>IF($C1479="","",$A1479&amp;"|"&amp;RIGHT("000000"&amp;$C1479,6))</f>
        <v/>
      </c>
      <c r="F1479">
        <f>IF(Sync!$AH1479="","",IF(LEFT(UPPER(TRIM(Sync!$AH1479)),2)="SL",UPPER(TRIM(Sync!$AH1479)),""))</f>
        <v/>
      </c>
      <c r="G1479">
        <f>IF($F1479="","",IF(Sync!$AE1479="","",IF(ISNUMBER(Sync!$AE1479),IF(AND(Sync!$AE1479&gt;=10000101,Sync!$AE1479&lt;=99991231),INT(Sync!$AE1479/10000),""),IFERROR(VALUE(TRIM(LEFT(Sync!$AE1479,FIND("/",Sync!$AE1479)-1))),""))))</f>
        <v/>
      </c>
      <c r="H1479">
        <f>IF(OR($F1479="",$G1479=""),"",IF(ISNUMBER(Sync!$AE1479),INT(MOD(Sync!$AE1479,10000)/100),IFERROR(VALUE(TRIM(LEFT(MID(Sync!$AE1479,FIND("/",Sync!$AE1479)+1,20),FIND("/",MID(Sync!$AE1479,FIND("/",Sync!$AE1479)+1,20))-1))),"")))</f>
        <v/>
      </c>
      <c r="I1479">
        <f>IF(OR($F1479="",$G1479=""),"",IF(ISNUMBER(Sync!$AE1479),MOD(Sync!$AE1479,100),IFERROR(VALUE(TRIM(MID(MID(Sync!$AE1479,FIND("/",Sync!$AE1479)+1,20),FIND("/",MID(Sync!$AE1479,FIND("/",Sync!$AE1479)+1,20))+1,20))),"")))</f>
        <v/>
      </c>
      <c r="J1479">
        <f>IF($F1479="","",IF(OR($G1479="",$H1479="",$I1479="",$G1479&lt;1300,$G1479&gt;1500,$H1479&lt;1,$H1479&gt;12,$I1479&lt;1,$I1479&gt;31),"نامعتبر",RIGHT("0000"&amp;$G1479,4)&amp;"/"&amp;RIGHT("00"&amp;$H1479,2)&amp;"/"&amp;RIGHT("00"&amp;$I1479,2)))</f>
        <v/>
      </c>
      <c r="K1479">
        <f>IF(OR($F1479="",$J1479="",$J1479="نامعتبر"),"",LEFT($J1479,4)&amp;MID($J1479,6,2)&amp;RIGHT($J1479,2)&amp;$N1479&amp;"|"&amp;"2"&amp;RIGHT("00000"&amp;1474,5))</f>
        <v/>
      </c>
      <c r="L1479">
        <f>IF($K1479="","",COUNTIFS(LdgSellerA,$F1479,LdgKeyA,"&lt;"&amp;$K1479)+COUNTIFS(LdgSellerB,$F1479,LdgKeyB,"&lt;"&amp;$K1479)+1)</f>
        <v/>
      </c>
      <c r="M1479">
        <f>IF($L1479="","",$F1479&amp;"|"&amp;RIGHT("000000"&amp;$L1479,6))</f>
        <v/>
      </c>
      <c r="N1479">
        <f>IF($F1479="","",IF(Sync!$AF1479="","0000",IF(AND(ISNUMBER(Sync!$AF1479),Sync!$AF1479&gt;=0,Sync!$AF1479&lt;1),RIGHT("00"&amp;HOUR(Sync!$AF1479),2)&amp;RIGHT("00"&amp;MINUTE(Sync!$AF1479),2),IFERROR(RIGHT("00"&amp;VALUE(LEFT(Sync!$AF1479,FIND(":",Sync!$AF1479)-1)),2)&amp;RIGHT("00"&amp;VALUE(MID(Sync!$AF1479,FIND(":",Sync!$AF1479)+1,2)),2),"0000"))))</f>
        <v/>
      </c>
    </row>
    <row r="1480">
      <c r="A1480">
        <f>IF(OR(Calc!$E1484="",Calc!$E1484="نامعتبر",Calc!$G1484=""),"",Calc!$G1484)</f>
        <v/>
      </c>
      <c r="B1480">
        <f>IF($A1480="","",LEFT(Calc!$E1484,4)&amp;MID(Calc!$E1484,6,2)&amp;RIGHT(Calc!$E1484,2)&amp;Calc!$Q1484&amp;"|"&amp;"1"&amp;RIGHT("00000"&amp;1475,5))</f>
        <v/>
      </c>
      <c r="C1480">
        <f>IF($B1480="","",COUNTIFS(LdgSellerA,$A1480,LdgKeyA,"&lt;"&amp;$B1480)+COUNTIFS(LdgSellerB,$A1480,LdgKeyB,"&lt;"&amp;$B1480)+1)</f>
        <v/>
      </c>
      <c r="D1480">
        <f>IF($C1480="","",$A1480&amp;"|"&amp;RIGHT("000000"&amp;$C1480,6))</f>
        <v/>
      </c>
      <c r="F1480">
        <f>IF(Sync!$AH1480="","",IF(LEFT(UPPER(TRIM(Sync!$AH1480)),2)="SL",UPPER(TRIM(Sync!$AH1480)),""))</f>
        <v/>
      </c>
      <c r="G1480">
        <f>IF($F1480="","",IF(Sync!$AE1480="","",IF(ISNUMBER(Sync!$AE1480),IF(AND(Sync!$AE1480&gt;=10000101,Sync!$AE1480&lt;=99991231),INT(Sync!$AE1480/10000),""),IFERROR(VALUE(TRIM(LEFT(Sync!$AE1480,FIND("/",Sync!$AE1480)-1))),""))))</f>
        <v/>
      </c>
      <c r="H1480">
        <f>IF(OR($F1480="",$G1480=""),"",IF(ISNUMBER(Sync!$AE1480),INT(MOD(Sync!$AE1480,10000)/100),IFERROR(VALUE(TRIM(LEFT(MID(Sync!$AE1480,FIND("/",Sync!$AE1480)+1,20),FIND("/",MID(Sync!$AE1480,FIND("/",Sync!$AE1480)+1,20))-1))),"")))</f>
        <v/>
      </c>
      <c r="I1480">
        <f>IF(OR($F1480="",$G1480=""),"",IF(ISNUMBER(Sync!$AE1480),MOD(Sync!$AE1480,100),IFERROR(VALUE(TRIM(MID(MID(Sync!$AE1480,FIND("/",Sync!$AE1480)+1,20),FIND("/",MID(Sync!$AE1480,FIND("/",Sync!$AE1480)+1,20))+1,20))),"")))</f>
        <v/>
      </c>
      <c r="J1480">
        <f>IF($F1480="","",IF(OR($G1480="",$H1480="",$I1480="",$G1480&lt;1300,$G1480&gt;1500,$H1480&lt;1,$H1480&gt;12,$I1480&lt;1,$I1480&gt;31),"نامعتبر",RIGHT("0000"&amp;$G1480,4)&amp;"/"&amp;RIGHT("00"&amp;$H1480,2)&amp;"/"&amp;RIGHT("00"&amp;$I1480,2)))</f>
        <v/>
      </c>
      <c r="K1480">
        <f>IF(OR($F1480="",$J1480="",$J1480="نامعتبر"),"",LEFT($J1480,4)&amp;MID($J1480,6,2)&amp;RIGHT($J1480,2)&amp;$N1480&amp;"|"&amp;"2"&amp;RIGHT("00000"&amp;1475,5))</f>
        <v/>
      </c>
      <c r="L1480">
        <f>IF($K1480="","",COUNTIFS(LdgSellerA,$F1480,LdgKeyA,"&lt;"&amp;$K1480)+COUNTIFS(LdgSellerB,$F1480,LdgKeyB,"&lt;"&amp;$K1480)+1)</f>
        <v/>
      </c>
      <c r="M1480">
        <f>IF($L1480="","",$F1480&amp;"|"&amp;RIGHT("000000"&amp;$L1480,6))</f>
        <v/>
      </c>
      <c r="N1480">
        <f>IF($F1480="","",IF(Sync!$AF1480="","0000",IF(AND(ISNUMBER(Sync!$AF1480),Sync!$AF1480&gt;=0,Sync!$AF1480&lt;1),RIGHT("00"&amp;HOUR(Sync!$AF1480),2)&amp;RIGHT("00"&amp;MINUTE(Sync!$AF1480),2),IFERROR(RIGHT("00"&amp;VALUE(LEFT(Sync!$AF1480,FIND(":",Sync!$AF1480)-1)),2)&amp;RIGHT("00"&amp;VALUE(MID(Sync!$AF1480,FIND(":",Sync!$AF1480)+1,2)),2),"0000"))))</f>
        <v/>
      </c>
    </row>
    <row r="1481">
      <c r="A1481">
        <f>IF(OR(Calc!$E1485="",Calc!$E1485="نامعتبر",Calc!$G1485=""),"",Calc!$G1485)</f>
        <v/>
      </c>
      <c r="B1481">
        <f>IF($A1481="","",LEFT(Calc!$E1485,4)&amp;MID(Calc!$E1485,6,2)&amp;RIGHT(Calc!$E1485,2)&amp;Calc!$Q1485&amp;"|"&amp;"1"&amp;RIGHT("00000"&amp;1476,5))</f>
        <v/>
      </c>
      <c r="C1481">
        <f>IF($B1481="","",COUNTIFS(LdgSellerA,$A1481,LdgKeyA,"&lt;"&amp;$B1481)+COUNTIFS(LdgSellerB,$A1481,LdgKeyB,"&lt;"&amp;$B1481)+1)</f>
        <v/>
      </c>
      <c r="D1481">
        <f>IF($C1481="","",$A1481&amp;"|"&amp;RIGHT("000000"&amp;$C1481,6))</f>
        <v/>
      </c>
      <c r="F1481">
        <f>IF(Sync!$AH1481="","",IF(LEFT(UPPER(TRIM(Sync!$AH1481)),2)="SL",UPPER(TRIM(Sync!$AH1481)),""))</f>
        <v/>
      </c>
      <c r="G1481">
        <f>IF($F1481="","",IF(Sync!$AE1481="","",IF(ISNUMBER(Sync!$AE1481),IF(AND(Sync!$AE1481&gt;=10000101,Sync!$AE1481&lt;=99991231),INT(Sync!$AE1481/10000),""),IFERROR(VALUE(TRIM(LEFT(Sync!$AE1481,FIND("/",Sync!$AE1481)-1))),""))))</f>
        <v/>
      </c>
      <c r="H1481">
        <f>IF(OR($F1481="",$G1481=""),"",IF(ISNUMBER(Sync!$AE1481),INT(MOD(Sync!$AE1481,10000)/100),IFERROR(VALUE(TRIM(LEFT(MID(Sync!$AE1481,FIND("/",Sync!$AE1481)+1,20),FIND("/",MID(Sync!$AE1481,FIND("/",Sync!$AE1481)+1,20))-1))),"")))</f>
        <v/>
      </c>
      <c r="I1481">
        <f>IF(OR($F1481="",$G1481=""),"",IF(ISNUMBER(Sync!$AE1481),MOD(Sync!$AE1481,100),IFERROR(VALUE(TRIM(MID(MID(Sync!$AE1481,FIND("/",Sync!$AE1481)+1,20),FIND("/",MID(Sync!$AE1481,FIND("/",Sync!$AE1481)+1,20))+1,20))),"")))</f>
        <v/>
      </c>
      <c r="J1481">
        <f>IF($F1481="","",IF(OR($G1481="",$H1481="",$I1481="",$G1481&lt;1300,$G1481&gt;1500,$H1481&lt;1,$H1481&gt;12,$I1481&lt;1,$I1481&gt;31),"نامعتبر",RIGHT("0000"&amp;$G1481,4)&amp;"/"&amp;RIGHT("00"&amp;$H1481,2)&amp;"/"&amp;RIGHT("00"&amp;$I1481,2)))</f>
        <v/>
      </c>
      <c r="K1481">
        <f>IF(OR($F1481="",$J1481="",$J1481="نامعتبر"),"",LEFT($J1481,4)&amp;MID($J1481,6,2)&amp;RIGHT($J1481,2)&amp;$N1481&amp;"|"&amp;"2"&amp;RIGHT("00000"&amp;1476,5))</f>
        <v/>
      </c>
      <c r="L1481">
        <f>IF($K1481="","",COUNTIFS(LdgSellerA,$F1481,LdgKeyA,"&lt;"&amp;$K1481)+COUNTIFS(LdgSellerB,$F1481,LdgKeyB,"&lt;"&amp;$K1481)+1)</f>
        <v/>
      </c>
      <c r="M1481">
        <f>IF($L1481="","",$F1481&amp;"|"&amp;RIGHT("000000"&amp;$L1481,6))</f>
        <v/>
      </c>
      <c r="N1481">
        <f>IF($F1481="","",IF(Sync!$AF1481="","0000",IF(AND(ISNUMBER(Sync!$AF1481),Sync!$AF1481&gt;=0,Sync!$AF1481&lt;1),RIGHT("00"&amp;HOUR(Sync!$AF1481),2)&amp;RIGHT("00"&amp;MINUTE(Sync!$AF1481),2),IFERROR(RIGHT("00"&amp;VALUE(LEFT(Sync!$AF1481,FIND(":",Sync!$AF1481)-1)),2)&amp;RIGHT("00"&amp;VALUE(MID(Sync!$AF1481,FIND(":",Sync!$AF1481)+1,2)),2),"0000"))))</f>
        <v/>
      </c>
    </row>
    <row r="1482">
      <c r="A1482">
        <f>IF(OR(Calc!$E1486="",Calc!$E1486="نامعتبر",Calc!$G1486=""),"",Calc!$G1486)</f>
        <v/>
      </c>
      <c r="B1482">
        <f>IF($A1482="","",LEFT(Calc!$E1486,4)&amp;MID(Calc!$E1486,6,2)&amp;RIGHT(Calc!$E1486,2)&amp;Calc!$Q1486&amp;"|"&amp;"1"&amp;RIGHT("00000"&amp;1477,5))</f>
        <v/>
      </c>
      <c r="C1482">
        <f>IF($B1482="","",COUNTIFS(LdgSellerA,$A1482,LdgKeyA,"&lt;"&amp;$B1482)+COUNTIFS(LdgSellerB,$A1482,LdgKeyB,"&lt;"&amp;$B1482)+1)</f>
        <v/>
      </c>
      <c r="D1482">
        <f>IF($C1482="","",$A1482&amp;"|"&amp;RIGHT("000000"&amp;$C1482,6))</f>
        <v/>
      </c>
      <c r="F1482">
        <f>IF(Sync!$AH1482="","",IF(LEFT(UPPER(TRIM(Sync!$AH1482)),2)="SL",UPPER(TRIM(Sync!$AH1482)),""))</f>
        <v/>
      </c>
      <c r="G1482">
        <f>IF($F1482="","",IF(Sync!$AE1482="","",IF(ISNUMBER(Sync!$AE1482),IF(AND(Sync!$AE1482&gt;=10000101,Sync!$AE1482&lt;=99991231),INT(Sync!$AE1482/10000),""),IFERROR(VALUE(TRIM(LEFT(Sync!$AE1482,FIND("/",Sync!$AE1482)-1))),""))))</f>
        <v/>
      </c>
      <c r="H1482">
        <f>IF(OR($F1482="",$G1482=""),"",IF(ISNUMBER(Sync!$AE1482),INT(MOD(Sync!$AE1482,10000)/100),IFERROR(VALUE(TRIM(LEFT(MID(Sync!$AE1482,FIND("/",Sync!$AE1482)+1,20),FIND("/",MID(Sync!$AE1482,FIND("/",Sync!$AE1482)+1,20))-1))),"")))</f>
        <v/>
      </c>
      <c r="I1482">
        <f>IF(OR($F1482="",$G1482=""),"",IF(ISNUMBER(Sync!$AE1482),MOD(Sync!$AE1482,100),IFERROR(VALUE(TRIM(MID(MID(Sync!$AE1482,FIND("/",Sync!$AE1482)+1,20),FIND("/",MID(Sync!$AE1482,FIND("/",Sync!$AE1482)+1,20))+1,20))),"")))</f>
        <v/>
      </c>
      <c r="J1482">
        <f>IF($F1482="","",IF(OR($G1482="",$H1482="",$I1482="",$G1482&lt;1300,$G1482&gt;1500,$H1482&lt;1,$H1482&gt;12,$I1482&lt;1,$I1482&gt;31),"نامعتبر",RIGHT("0000"&amp;$G1482,4)&amp;"/"&amp;RIGHT("00"&amp;$H1482,2)&amp;"/"&amp;RIGHT("00"&amp;$I1482,2)))</f>
        <v/>
      </c>
      <c r="K1482">
        <f>IF(OR($F1482="",$J1482="",$J1482="نامعتبر"),"",LEFT($J1482,4)&amp;MID($J1482,6,2)&amp;RIGHT($J1482,2)&amp;$N1482&amp;"|"&amp;"2"&amp;RIGHT("00000"&amp;1477,5))</f>
        <v/>
      </c>
      <c r="L1482">
        <f>IF($K1482="","",COUNTIFS(LdgSellerA,$F1482,LdgKeyA,"&lt;"&amp;$K1482)+COUNTIFS(LdgSellerB,$F1482,LdgKeyB,"&lt;"&amp;$K1482)+1)</f>
        <v/>
      </c>
      <c r="M1482">
        <f>IF($L1482="","",$F1482&amp;"|"&amp;RIGHT("000000"&amp;$L1482,6))</f>
        <v/>
      </c>
      <c r="N1482">
        <f>IF($F1482="","",IF(Sync!$AF1482="","0000",IF(AND(ISNUMBER(Sync!$AF1482),Sync!$AF1482&gt;=0,Sync!$AF1482&lt;1),RIGHT("00"&amp;HOUR(Sync!$AF1482),2)&amp;RIGHT("00"&amp;MINUTE(Sync!$AF1482),2),IFERROR(RIGHT("00"&amp;VALUE(LEFT(Sync!$AF1482,FIND(":",Sync!$AF1482)-1)),2)&amp;RIGHT("00"&amp;VALUE(MID(Sync!$AF1482,FIND(":",Sync!$AF1482)+1,2)),2),"0000"))))</f>
        <v/>
      </c>
    </row>
    <row r="1483">
      <c r="A1483">
        <f>IF(OR(Calc!$E1487="",Calc!$E1487="نامعتبر",Calc!$G1487=""),"",Calc!$G1487)</f>
        <v/>
      </c>
      <c r="B1483">
        <f>IF($A1483="","",LEFT(Calc!$E1487,4)&amp;MID(Calc!$E1487,6,2)&amp;RIGHT(Calc!$E1487,2)&amp;Calc!$Q1487&amp;"|"&amp;"1"&amp;RIGHT("00000"&amp;1478,5))</f>
        <v/>
      </c>
      <c r="C1483">
        <f>IF($B1483="","",COUNTIFS(LdgSellerA,$A1483,LdgKeyA,"&lt;"&amp;$B1483)+COUNTIFS(LdgSellerB,$A1483,LdgKeyB,"&lt;"&amp;$B1483)+1)</f>
        <v/>
      </c>
      <c r="D1483">
        <f>IF($C1483="","",$A1483&amp;"|"&amp;RIGHT("000000"&amp;$C1483,6))</f>
        <v/>
      </c>
      <c r="F1483">
        <f>IF(Sync!$AH1483="","",IF(LEFT(UPPER(TRIM(Sync!$AH1483)),2)="SL",UPPER(TRIM(Sync!$AH1483)),""))</f>
        <v/>
      </c>
      <c r="G1483">
        <f>IF($F1483="","",IF(Sync!$AE1483="","",IF(ISNUMBER(Sync!$AE1483),IF(AND(Sync!$AE1483&gt;=10000101,Sync!$AE1483&lt;=99991231),INT(Sync!$AE1483/10000),""),IFERROR(VALUE(TRIM(LEFT(Sync!$AE1483,FIND("/",Sync!$AE1483)-1))),""))))</f>
        <v/>
      </c>
      <c r="H1483">
        <f>IF(OR($F1483="",$G1483=""),"",IF(ISNUMBER(Sync!$AE1483),INT(MOD(Sync!$AE1483,10000)/100),IFERROR(VALUE(TRIM(LEFT(MID(Sync!$AE1483,FIND("/",Sync!$AE1483)+1,20),FIND("/",MID(Sync!$AE1483,FIND("/",Sync!$AE1483)+1,20))-1))),"")))</f>
        <v/>
      </c>
      <c r="I1483">
        <f>IF(OR($F1483="",$G1483=""),"",IF(ISNUMBER(Sync!$AE1483),MOD(Sync!$AE1483,100),IFERROR(VALUE(TRIM(MID(MID(Sync!$AE1483,FIND("/",Sync!$AE1483)+1,20),FIND("/",MID(Sync!$AE1483,FIND("/",Sync!$AE1483)+1,20))+1,20))),"")))</f>
        <v/>
      </c>
      <c r="J1483">
        <f>IF($F1483="","",IF(OR($G1483="",$H1483="",$I1483="",$G1483&lt;1300,$G1483&gt;1500,$H1483&lt;1,$H1483&gt;12,$I1483&lt;1,$I1483&gt;31),"نامعتبر",RIGHT("0000"&amp;$G1483,4)&amp;"/"&amp;RIGHT("00"&amp;$H1483,2)&amp;"/"&amp;RIGHT("00"&amp;$I1483,2)))</f>
        <v/>
      </c>
      <c r="K1483">
        <f>IF(OR($F1483="",$J1483="",$J1483="نامعتبر"),"",LEFT($J1483,4)&amp;MID($J1483,6,2)&amp;RIGHT($J1483,2)&amp;$N1483&amp;"|"&amp;"2"&amp;RIGHT("00000"&amp;1478,5))</f>
        <v/>
      </c>
      <c r="L1483">
        <f>IF($K1483="","",COUNTIFS(LdgSellerA,$F1483,LdgKeyA,"&lt;"&amp;$K1483)+COUNTIFS(LdgSellerB,$F1483,LdgKeyB,"&lt;"&amp;$K1483)+1)</f>
        <v/>
      </c>
      <c r="M1483">
        <f>IF($L1483="","",$F1483&amp;"|"&amp;RIGHT("000000"&amp;$L1483,6))</f>
        <v/>
      </c>
      <c r="N1483">
        <f>IF($F1483="","",IF(Sync!$AF1483="","0000",IF(AND(ISNUMBER(Sync!$AF1483),Sync!$AF1483&gt;=0,Sync!$AF1483&lt;1),RIGHT("00"&amp;HOUR(Sync!$AF1483),2)&amp;RIGHT("00"&amp;MINUTE(Sync!$AF1483),2),IFERROR(RIGHT("00"&amp;VALUE(LEFT(Sync!$AF1483,FIND(":",Sync!$AF1483)-1)),2)&amp;RIGHT("00"&amp;VALUE(MID(Sync!$AF1483,FIND(":",Sync!$AF1483)+1,2)),2),"0000"))))</f>
        <v/>
      </c>
    </row>
    <row r="1484">
      <c r="A1484">
        <f>IF(OR(Calc!$E1488="",Calc!$E1488="نامعتبر",Calc!$G1488=""),"",Calc!$G1488)</f>
        <v/>
      </c>
      <c r="B1484">
        <f>IF($A1484="","",LEFT(Calc!$E1488,4)&amp;MID(Calc!$E1488,6,2)&amp;RIGHT(Calc!$E1488,2)&amp;Calc!$Q1488&amp;"|"&amp;"1"&amp;RIGHT("00000"&amp;1479,5))</f>
        <v/>
      </c>
      <c r="C1484">
        <f>IF($B1484="","",COUNTIFS(LdgSellerA,$A1484,LdgKeyA,"&lt;"&amp;$B1484)+COUNTIFS(LdgSellerB,$A1484,LdgKeyB,"&lt;"&amp;$B1484)+1)</f>
        <v/>
      </c>
      <c r="D1484">
        <f>IF($C1484="","",$A1484&amp;"|"&amp;RIGHT("000000"&amp;$C1484,6))</f>
        <v/>
      </c>
      <c r="F1484">
        <f>IF(Sync!$AH1484="","",IF(LEFT(UPPER(TRIM(Sync!$AH1484)),2)="SL",UPPER(TRIM(Sync!$AH1484)),""))</f>
        <v/>
      </c>
      <c r="G1484">
        <f>IF($F1484="","",IF(Sync!$AE1484="","",IF(ISNUMBER(Sync!$AE1484),IF(AND(Sync!$AE1484&gt;=10000101,Sync!$AE1484&lt;=99991231),INT(Sync!$AE1484/10000),""),IFERROR(VALUE(TRIM(LEFT(Sync!$AE1484,FIND("/",Sync!$AE1484)-1))),""))))</f>
        <v/>
      </c>
      <c r="H1484">
        <f>IF(OR($F1484="",$G1484=""),"",IF(ISNUMBER(Sync!$AE1484),INT(MOD(Sync!$AE1484,10000)/100),IFERROR(VALUE(TRIM(LEFT(MID(Sync!$AE1484,FIND("/",Sync!$AE1484)+1,20),FIND("/",MID(Sync!$AE1484,FIND("/",Sync!$AE1484)+1,20))-1))),"")))</f>
        <v/>
      </c>
      <c r="I1484">
        <f>IF(OR($F1484="",$G1484=""),"",IF(ISNUMBER(Sync!$AE1484),MOD(Sync!$AE1484,100),IFERROR(VALUE(TRIM(MID(MID(Sync!$AE1484,FIND("/",Sync!$AE1484)+1,20),FIND("/",MID(Sync!$AE1484,FIND("/",Sync!$AE1484)+1,20))+1,20))),"")))</f>
        <v/>
      </c>
      <c r="J1484">
        <f>IF($F1484="","",IF(OR($G1484="",$H1484="",$I1484="",$G1484&lt;1300,$G1484&gt;1500,$H1484&lt;1,$H1484&gt;12,$I1484&lt;1,$I1484&gt;31),"نامعتبر",RIGHT("0000"&amp;$G1484,4)&amp;"/"&amp;RIGHT("00"&amp;$H1484,2)&amp;"/"&amp;RIGHT("00"&amp;$I1484,2)))</f>
        <v/>
      </c>
      <c r="K1484">
        <f>IF(OR($F1484="",$J1484="",$J1484="نامعتبر"),"",LEFT($J1484,4)&amp;MID($J1484,6,2)&amp;RIGHT($J1484,2)&amp;$N1484&amp;"|"&amp;"2"&amp;RIGHT("00000"&amp;1479,5))</f>
        <v/>
      </c>
      <c r="L1484">
        <f>IF($K1484="","",COUNTIFS(LdgSellerA,$F1484,LdgKeyA,"&lt;"&amp;$K1484)+COUNTIFS(LdgSellerB,$F1484,LdgKeyB,"&lt;"&amp;$K1484)+1)</f>
        <v/>
      </c>
      <c r="M1484">
        <f>IF($L1484="","",$F1484&amp;"|"&amp;RIGHT("000000"&amp;$L1484,6))</f>
        <v/>
      </c>
      <c r="N1484">
        <f>IF($F1484="","",IF(Sync!$AF1484="","0000",IF(AND(ISNUMBER(Sync!$AF1484),Sync!$AF1484&gt;=0,Sync!$AF1484&lt;1),RIGHT("00"&amp;HOUR(Sync!$AF1484),2)&amp;RIGHT("00"&amp;MINUTE(Sync!$AF1484),2),IFERROR(RIGHT("00"&amp;VALUE(LEFT(Sync!$AF1484,FIND(":",Sync!$AF1484)-1)),2)&amp;RIGHT("00"&amp;VALUE(MID(Sync!$AF1484,FIND(":",Sync!$AF1484)+1,2)),2),"0000"))))</f>
        <v/>
      </c>
    </row>
    <row r="1485">
      <c r="A1485">
        <f>IF(OR(Calc!$E1489="",Calc!$E1489="نامعتبر",Calc!$G1489=""),"",Calc!$G1489)</f>
        <v/>
      </c>
      <c r="B1485">
        <f>IF($A1485="","",LEFT(Calc!$E1489,4)&amp;MID(Calc!$E1489,6,2)&amp;RIGHT(Calc!$E1489,2)&amp;Calc!$Q1489&amp;"|"&amp;"1"&amp;RIGHT("00000"&amp;1480,5))</f>
        <v/>
      </c>
      <c r="C1485">
        <f>IF($B1485="","",COUNTIFS(LdgSellerA,$A1485,LdgKeyA,"&lt;"&amp;$B1485)+COUNTIFS(LdgSellerB,$A1485,LdgKeyB,"&lt;"&amp;$B1485)+1)</f>
        <v/>
      </c>
      <c r="D1485">
        <f>IF($C1485="","",$A1485&amp;"|"&amp;RIGHT("000000"&amp;$C1485,6))</f>
        <v/>
      </c>
      <c r="F1485">
        <f>IF(Sync!$AH1485="","",IF(LEFT(UPPER(TRIM(Sync!$AH1485)),2)="SL",UPPER(TRIM(Sync!$AH1485)),""))</f>
        <v/>
      </c>
      <c r="G1485">
        <f>IF($F1485="","",IF(Sync!$AE1485="","",IF(ISNUMBER(Sync!$AE1485),IF(AND(Sync!$AE1485&gt;=10000101,Sync!$AE1485&lt;=99991231),INT(Sync!$AE1485/10000),""),IFERROR(VALUE(TRIM(LEFT(Sync!$AE1485,FIND("/",Sync!$AE1485)-1))),""))))</f>
        <v/>
      </c>
      <c r="H1485">
        <f>IF(OR($F1485="",$G1485=""),"",IF(ISNUMBER(Sync!$AE1485),INT(MOD(Sync!$AE1485,10000)/100),IFERROR(VALUE(TRIM(LEFT(MID(Sync!$AE1485,FIND("/",Sync!$AE1485)+1,20),FIND("/",MID(Sync!$AE1485,FIND("/",Sync!$AE1485)+1,20))-1))),"")))</f>
        <v/>
      </c>
      <c r="I1485">
        <f>IF(OR($F1485="",$G1485=""),"",IF(ISNUMBER(Sync!$AE1485),MOD(Sync!$AE1485,100),IFERROR(VALUE(TRIM(MID(MID(Sync!$AE1485,FIND("/",Sync!$AE1485)+1,20),FIND("/",MID(Sync!$AE1485,FIND("/",Sync!$AE1485)+1,20))+1,20))),"")))</f>
        <v/>
      </c>
      <c r="J1485">
        <f>IF($F1485="","",IF(OR($G1485="",$H1485="",$I1485="",$G1485&lt;1300,$G1485&gt;1500,$H1485&lt;1,$H1485&gt;12,$I1485&lt;1,$I1485&gt;31),"نامعتبر",RIGHT("0000"&amp;$G1485,4)&amp;"/"&amp;RIGHT("00"&amp;$H1485,2)&amp;"/"&amp;RIGHT("00"&amp;$I1485,2)))</f>
        <v/>
      </c>
      <c r="K1485">
        <f>IF(OR($F1485="",$J1485="",$J1485="نامعتبر"),"",LEFT($J1485,4)&amp;MID($J1485,6,2)&amp;RIGHT($J1485,2)&amp;$N1485&amp;"|"&amp;"2"&amp;RIGHT("00000"&amp;1480,5))</f>
        <v/>
      </c>
      <c r="L1485">
        <f>IF($K1485="","",COUNTIFS(LdgSellerA,$F1485,LdgKeyA,"&lt;"&amp;$K1485)+COUNTIFS(LdgSellerB,$F1485,LdgKeyB,"&lt;"&amp;$K1485)+1)</f>
        <v/>
      </c>
      <c r="M1485">
        <f>IF($L1485="","",$F1485&amp;"|"&amp;RIGHT("000000"&amp;$L1485,6))</f>
        <v/>
      </c>
      <c r="N1485">
        <f>IF($F1485="","",IF(Sync!$AF1485="","0000",IF(AND(ISNUMBER(Sync!$AF1485),Sync!$AF1485&gt;=0,Sync!$AF1485&lt;1),RIGHT("00"&amp;HOUR(Sync!$AF1485),2)&amp;RIGHT("00"&amp;MINUTE(Sync!$AF1485),2),IFERROR(RIGHT("00"&amp;VALUE(LEFT(Sync!$AF1485,FIND(":",Sync!$AF1485)-1)),2)&amp;RIGHT("00"&amp;VALUE(MID(Sync!$AF1485,FIND(":",Sync!$AF1485)+1,2)),2),"0000"))))</f>
        <v/>
      </c>
    </row>
    <row r="1486">
      <c r="A1486">
        <f>IF(OR(Calc!$E1490="",Calc!$E1490="نامعتبر",Calc!$G1490=""),"",Calc!$G1490)</f>
        <v/>
      </c>
      <c r="B1486">
        <f>IF($A1486="","",LEFT(Calc!$E1490,4)&amp;MID(Calc!$E1490,6,2)&amp;RIGHT(Calc!$E1490,2)&amp;Calc!$Q1490&amp;"|"&amp;"1"&amp;RIGHT("00000"&amp;1481,5))</f>
        <v/>
      </c>
      <c r="C1486">
        <f>IF($B1486="","",COUNTIFS(LdgSellerA,$A1486,LdgKeyA,"&lt;"&amp;$B1486)+COUNTIFS(LdgSellerB,$A1486,LdgKeyB,"&lt;"&amp;$B1486)+1)</f>
        <v/>
      </c>
      <c r="D1486">
        <f>IF($C1486="","",$A1486&amp;"|"&amp;RIGHT("000000"&amp;$C1486,6))</f>
        <v/>
      </c>
      <c r="F1486">
        <f>IF(Sync!$AH1486="","",IF(LEFT(UPPER(TRIM(Sync!$AH1486)),2)="SL",UPPER(TRIM(Sync!$AH1486)),""))</f>
        <v/>
      </c>
      <c r="G1486">
        <f>IF($F1486="","",IF(Sync!$AE1486="","",IF(ISNUMBER(Sync!$AE1486),IF(AND(Sync!$AE1486&gt;=10000101,Sync!$AE1486&lt;=99991231),INT(Sync!$AE1486/10000),""),IFERROR(VALUE(TRIM(LEFT(Sync!$AE1486,FIND("/",Sync!$AE1486)-1))),""))))</f>
        <v/>
      </c>
      <c r="H1486">
        <f>IF(OR($F1486="",$G1486=""),"",IF(ISNUMBER(Sync!$AE1486),INT(MOD(Sync!$AE1486,10000)/100),IFERROR(VALUE(TRIM(LEFT(MID(Sync!$AE1486,FIND("/",Sync!$AE1486)+1,20),FIND("/",MID(Sync!$AE1486,FIND("/",Sync!$AE1486)+1,20))-1))),"")))</f>
        <v/>
      </c>
      <c r="I1486">
        <f>IF(OR($F1486="",$G1486=""),"",IF(ISNUMBER(Sync!$AE1486),MOD(Sync!$AE1486,100),IFERROR(VALUE(TRIM(MID(MID(Sync!$AE1486,FIND("/",Sync!$AE1486)+1,20),FIND("/",MID(Sync!$AE1486,FIND("/",Sync!$AE1486)+1,20))+1,20))),"")))</f>
        <v/>
      </c>
      <c r="J1486">
        <f>IF($F1486="","",IF(OR($G1486="",$H1486="",$I1486="",$G1486&lt;1300,$G1486&gt;1500,$H1486&lt;1,$H1486&gt;12,$I1486&lt;1,$I1486&gt;31),"نامعتبر",RIGHT("0000"&amp;$G1486,4)&amp;"/"&amp;RIGHT("00"&amp;$H1486,2)&amp;"/"&amp;RIGHT("00"&amp;$I1486,2)))</f>
        <v/>
      </c>
      <c r="K1486">
        <f>IF(OR($F1486="",$J1486="",$J1486="نامعتبر"),"",LEFT($J1486,4)&amp;MID($J1486,6,2)&amp;RIGHT($J1486,2)&amp;$N1486&amp;"|"&amp;"2"&amp;RIGHT("00000"&amp;1481,5))</f>
        <v/>
      </c>
      <c r="L1486">
        <f>IF($K1486="","",COUNTIFS(LdgSellerA,$F1486,LdgKeyA,"&lt;"&amp;$K1486)+COUNTIFS(LdgSellerB,$F1486,LdgKeyB,"&lt;"&amp;$K1486)+1)</f>
        <v/>
      </c>
      <c r="M1486">
        <f>IF($L1486="","",$F1486&amp;"|"&amp;RIGHT("000000"&amp;$L1486,6))</f>
        <v/>
      </c>
      <c r="N1486">
        <f>IF($F1486="","",IF(Sync!$AF1486="","0000",IF(AND(ISNUMBER(Sync!$AF1486),Sync!$AF1486&gt;=0,Sync!$AF1486&lt;1),RIGHT("00"&amp;HOUR(Sync!$AF1486),2)&amp;RIGHT("00"&amp;MINUTE(Sync!$AF1486),2),IFERROR(RIGHT("00"&amp;VALUE(LEFT(Sync!$AF1486,FIND(":",Sync!$AF1486)-1)),2)&amp;RIGHT("00"&amp;VALUE(MID(Sync!$AF1486,FIND(":",Sync!$AF1486)+1,2)),2),"0000"))))</f>
        <v/>
      </c>
    </row>
    <row r="1487">
      <c r="A1487">
        <f>IF(OR(Calc!$E1491="",Calc!$E1491="نامعتبر",Calc!$G1491=""),"",Calc!$G1491)</f>
        <v/>
      </c>
      <c r="B1487">
        <f>IF($A1487="","",LEFT(Calc!$E1491,4)&amp;MID(Calc!$E1491,6,2)&amp;RIGHT(Calc!$E1491,2)&amp;Calc!$Q1491&amp;"|"&amp;"1"&amp;RIGHT("00000"&amp;1482,5))</f>
        <v/>
      </c>
      <c r="C1487">
        <f>IF($B1487="","",COUNTIFS(LdgSellerA,$A1487,LdgKeyA,"&lt;"&amp;$B1487)+COUNTIFS(LdgSellerB,$A1487,LdgKeyB,"&lt;"&amp;$B1487)+1)</f>
        <v/>
      </c>
      <c r="D1487">
        <f>IF($C1487="","",$A1487&amp;"|"&amp;RIGHT("000000"&amp;$C1487,6))</f>
        <v/>
      </c>
      <c r="F1487">
        <f>IF(Sync!$AH1487="","",IF(LEFT(UPPER(TRIM(Sync!$AH1487)),2)="SL",UPPER(TRIM(Sync!$AH1487)),""))</f>
        <v/>
      </c>
      <c r="G1487">
        <f>IF($F1487="","",IF(Sync!$AE1487="","",IF(ISNUMBER(Sync!$AE1487),IF(AND(Sync!$AE1487&gt;=10000101,Sync!$AE1487&lt;=99991231),INT(Sync!$AE1487/10000),""),IFERROR(VALUE(TRIM(LEFT(Sync!$AE1487,FIND("/",Sync!$AE1487)-1))),""))))</f>
        <v/>
      </c>
      <c r="H1487">
        <f>IF(OR($F1487="",$G1487=""),"",IF(ISNUMBER(Sync!$AE1487),INT(MOD(Sync!$AE1487,10000)/100),IFERROR(VALUE(TRIM(LEFT(MID(Sync!$AE1487,FIND("/",Sync!$AE1487)+1,20),FIND("/",MID(Sync!$AE1487,FIND("/",Sync!$AE1487)+1,20))-1))),"")))</f>
        <v/>
      </c>
      <c r="I1487">
        <f>IF(OR($F1487="",$G1487=""),"",IF(ISNUMBER(Sync!$AE1487),MOD(Sync!$AE1487,100),IFERROR(VALUE(TRIM(MID(MID(Sync!$AE1487,FIND("/",Sync!$AE1487)+1,20),FIND("/",MID(Sync!$AE1487,FIND("/",Sync!$AE1487)+1,20))+1,20))),"")))</f>
        <v/>
      </c>
      <c r="J1487">
        <f>IF($F1487="","",IF(OR($G1487="",$H1487="",$I1487="",$G1487&lt;1300,$G1487&gt;1500,$H1487&lt;1,$H1487&gt;12,$I1487&lt;1,$I1487&gt;31),"نامعتبر",RIGHT("0000"&amp;$G1487,4)&amp;"/"&amp;RIGHT("00"&amp;$H1487,2)&amp;"/"&amp;RIGHT("00"&amp;$I1487,2)))</f>
        <v/>
      </c>
      <c r="K1487">
        <f>IF(OR($F1487="",$J1487="",$J1487="نامعتبر"),"",LEFT($J1487,4)&amp;MID($J1487,6,2)&amp;RIGHT($J1487,2)&amp;$N1487&amp;"|"&amp;"2"&amp;RIGHT("00000"&amp;1482,5))</f>
        <v/>
      </c>
      <c r="L1487">
        <f>IF($K1487="","",COUNTIFS(LdgSellerA,$F1487,LdgKeyA,"&lt;"&amp;$K1487)+COUNTIFS(LdgSellerB,$F1487,LdgKeyB,"&lt;"&amp;$K1487)+1)</f>
        <v/>
      </c>
      <c r="M1487">
        <f>IF($L1487="","",$F1487&amp;"|"&amp;RIGHT("000000"&amp;$L1487,6))</f>
        <v/>
      </c>
      <c r="N1487">
        <f>IF($F1487="","",IF(Sync!$AF1487="","0000",IF(AND(ISNUMBER(Sync!$AF1487),Sync!$AF1487&gt;=0,Sync!$AF1487&lt;1),RIGHT("00"&amp;HOUR(Sync!$AF1487),2)&amp;RIGHT("00"&amp;MINUTE(Sync!$AF1487),2),IFERROR(RIGHT("00"&amp;VALUE(LEFT(Sync!$AF1487,FIND(":",Sync!$AF1487)-1)),2)&amp;RIGHT("00"&amp;VALUE(MID(Sync!$AF1487,FIND(":",Sync!$AF1487)+1,2)),2),"0000"))))</f>
        <v/>
      </c>
    </row>
    <row r="1488">
      <c r="A1488">
        <f>IF(OR(Calc!$E1492="",Calc!$E1492="نامعتبر",Calc!$G1492=""),"",Calc!$G1492)</f>
        <v/>
      </c>
      <c r="B1488">
        <f>IF($A1488="","",LEFT(Calc!$E1492,4)&amp;MID(Calc!$E1492,6,2)&amp;RIGHT(Calc!$E1492,2)&amp;Calc!$Q1492&amp;"|"&amp;"1"&amp;RIGHT("00000"&amp;1483,5))</f>
        <v/>
      </c>
      <c r="C1488">
        <f>IF($B1488="","",COUNTIFS(LdgSellerA,$A1488,LdgKeyA,"&lt;"&amp;$B1488)+COUNTIFS(LdgSellerB,$A1488,LdgKeyB,"&lt;"&amp;$B1488)+1)</f>
        <v/>
      </c>
      <c r="D1488">
        <f>IF($C1488="","",$A1488&amp;"|"&amp;RIGHT("000000"&amp;$C1488,6))</f>
        <v/>
      </c>
      <c r="F1488">
        <f>IF(Sync!$AH1488="","",IF(LEFT(UPPER(TRIM(Sync!$AH1488)),2)="SL",UPPER(TRIM(Sync!$AH1488)),""))</f>
        <v/>
      </c>
      <c r="G1488">
        <f>IF($F1488="","",IF(Sync!$AE1488="","",IF(ISNUMBER(Sync!$AE1488),IF(AND(Sync!$AE1488&gt;=10000101,Sync!$AE1488&lt;=99991231),INT(Sync!$AE1488/10000),""),IFERROR(VALUE(TRIM(LEFT(Sync!$AE1488,FIND("/",Sync!$AE1488)-1))),""))))</f>
        <v/>
      </c>
      <c r="H1488">
        <f>IF(OR($F1488="",$G1488=""),"",IF(ISNUMBER(Sync!$AE1488),INT(MOD(Sync!$AE1488,10000)/100),IFERROR(VALUE(TRIM(LEFT(MID(Sync!$AE1488,FIND("/",Sync!$AE1488)+1,20),FIND("/",MID(Sync!$AE1488,FIND("/",Sync!$AE1488)+1,20))-1))),"")))</f>
        <v/>
      </c>
      <c r="I1488">
        <f>IF(OR($F1488="",$G1488=""),"",IF(ISNUMBER(Sync!$AE1488),MOD(Sync!$AE1488,100),IFERROR(VALUE(TRIM(MID(MID(Sync!$AE1488,FIND("/",Sync!$AE1488)+1,20),FIND("/",MID(Sync!$AE1488,FIND("/",Sync!$AE1488)+1,20))+1,20))),"")))</f>
        <v/>
      </c>
      <c r="J1488">
        <f>IF($F1488="","",IF(OR($G1488="",$H1488="",$I1488="",$G1488&lt;1300,$G1488&gt;1500,$H1488&lt;1,$H1488&gt;12,$I1488&lt;1,$I1488&gt;31),"نامعتبر",RIGHT("0000"&amp;$G1488,4)&amp;"/"&amp;RIGHT("00"&amp;$H1488,2)&amp;"/"&amp;RIGHT("00"&amp;$I1488,2)))</f>
        <v/>
      </c>
      <c r="K1488">
        <f>IF(OR($F1488="",$J1488="",$J1488="نامعتبر"),"",LEFT($J1488,4)&amp;MID($J1488,6,2)&amp;RIGHT($J1488,2)&amp;$N1488&amp;"|"&amp;"2"&amp;RIGHT("00000"&amp;1483,5))</f>
        <v/>
      </c>
      <c r="L1488">
        <f>IF($K1488="","",COUNTIFS(LdgSellerA,$F1488,LdgKeyA,"&lt;"&amp;$K1488)+COUNTIFS(LdgSellerB,$F1488,LdgKeyB,"&lt;"&amp;$K1488)+1)</f>
        <v/>
      </c>
      <c r="M1488">
        <f>IF($L1488="","",$F1488&amp;"|"&amp;RIGHT("000000"&amp;$L1488,6))</f>
        <v/>
      </c>
      <c r="N1488">
        <f>IF($F1488="","",IF(Sync!$AF1488="","0000",IF(AND(ISNUMBER(Sync!$AF1488),Sync!$AF1488&gt;=0,Sync!$AF1488&lt;1),RIGHT("00"&amp;HOUR(Sync!$AF1488),2)&amp;RIGHT("00"&amp;MINUTE(Sync!$AF1488),2),IFERROR(RIGHT("00"&amp;VALUE(LEFT(Sync!$AF1488,FIND(":",Sync!$AF1488)-1)),2)&amp;RIGHT("00"&amp;VALUE(MID(Sync!$AF1488,FIND(":",Sync!$AF1488)+1,2)),2),"0000"))))</f>
        <v/>
      </c>
    </row>
    <row r="1489">
      <c r="A1489">
        <f>IF(OR(Calc!$E1493="",Calc!$E1493="نامعتبر",Calc!$G1493=""),"",Calc!$G1493)</f>
        <v/>
      </c>
      <c r="B1489">
        <f>IF($A1489="","",LEFT(Calc!$E1493,4)&amp;MID(Calc!$E1493,6,2)&amp;RIGHT(Calc!$E1493,2)&amp;Calc!$Q1493&amp;"|"&amp;"1"&amp;RIGHT("00000"&amp;1484,5))</f>
        <v/>
      </c>
      <c r="C1489">
        <f>IF($B1489="","",COUNTIFS(LdgSellerA,$A1489,LdgKeyA,"&lt;"&amp;$B1489)+COUNTIFS(LdgSellerB,$A1489,LdgKeyB,"&lt;"&amp;$B1489)+1)</f>
        <v/>
      </c>
      <c r="D1489">
        <f>IF($C1489="","",$A1489&amp;"|"&amp;RIGHT("000000"&amp;$C1489,6))</f>
        <v/>
      </c>
      <c r="F1489">
        <f>IF(Sync!$AH1489="","",IF(LEFT(UPPER(TRIM(Sync!$AH1489)),2)="SL",UPPER(TRIM(Sync!$AH1489)),""))</f>
        <v/>
      </c>
      <c r="G1489">
        <f>IF($F1489="","",IF(Sync!$AE1489="","",IF(ISNUMBER(Sync!$AE1489),IF(AND(Sync!$AE1489&gt;=10000101,Sync!$AE1489&lt;=99991231),INT(Sync!$AE1489/10000),""),IFERROR(VALUE(TRIM(LEFT(Sync!$AE1489,FIND("/",Sync!$AE1489)-1))),""))))</f>
        <v/>
      </c>
      <c r="H1489">
        <f>IF(OR($F1489="",$G1489=""),"",IF(ISNUMBER(Sync!$AE1489),INT(MOD(Sync!$AE1489,10000)/100),IFERROR(VALUE(TRIM(LEFT(MID(Sync!$AE1489,FIND("/",Sync!$AE1489)+1,20),FIND("/",MID(Sync!$AE1489,FIND("/",Sync!$AE1489)+1,20))-1))),"")))</f>
        <v/>
      </c>
      <c r="I1489">
        <f>IF(OR($F1489="",$G1489=""),"",IF(ISNUMBER(Sync!$AE1489),MOD(Sync!$AE1489,100),IFERROR(VALUE(TRIM(MID(MID(Sync!$AE1489,FIND("/",Sync!$AE1489)+1,20),FIND("/",MID(Sync!$AE1489,FIND("/",Sync!$AE1489)+1,20))+1,20))),"")))</f>
        <v/>
      </c>
      <c r="J1489">
        <f>IF($F1489="","",IF(OR($G1489="",$H1489="",$I1489="",$G1489&lt;1300,$G1489&gt;1500,$H1489&lt;1,$H1489&gt;12,$I1489&lt;1,$I1489&gt;31),"نامعتبر",RIGHT("0000"&amp;$G1489,4)&amp;"/"&amp;RIGHT("00"&amp;$H1489,2)&amp;"/"&amp;RIGHT("00"&amp;$I1489,2)))</f>
        <v/>
      </c>
      <c r="K1489">
        <f>IF(OR($F1489="",$J1489="",$J1489="نامعتبر"),"",LEFT($J1489,4)&amp;MID($J1489,6,2)&amp;RIGHT($J1489,2)&amp;$N1489&amp;"|"&amp;"2"&amp;RIGHT("00000"&amp;1484,5))</f>
        <v/>
      </c>
      <c r="L1489">
        <f>IF($K1489="","",COUNTIFS(LdgSellerA,$F1489,LdgKeyA,"&lt;"&amp;$K1489)+COUNTIFS(LdgSellerB,$F1489,LdgKeyB,"&lt;"&amp;$K1489)+1)</f>
        <v/>
      </c>
      <c r="M1489">
        <f>IF($L1489="","",$F1489&amp;"|"&amp;RIGHT("000000"&amp;$L1489,6))</f>
        <v/>
      </c>
      <c r="N1489">
        <f>IF($F1489="","",IF(Sync!$AF1489="","0000",IF(AND(ISNUMBER(Sync!$AF1489),Sync!$AF1489&gt;=0,Sync!$AF1489&lt;1),RIGHT("00"&amp;HOUR(Sync!$AF1489),2)&amp;RIGHT("00"&amp;MINUTE(Sync!$AF1489),2),IFERROR(RIGHT("00"&amp;VALUE(LEFT(Sync!$AF1489,FIND(":",Sync!$AF1489)-1)),2)&amp;RIGHT("00"&amp;VALUE(MID(Sync!$AF1489,FIND(":",Sync!$AF1489)+1,2)),2),"0000"))))</f>
        <v/>
      </c>
    </row>
    <row r="1490">
      <c r="A1490">
        <f>IF(OR(Calc!$E1494="",Calc!$E1494="نامعتبر",Calc!$G1494=""),"",Calc!$G1494)</f>
        <v/>
      </c>
      <c r="B1490">
        <f>IF($A1490="","",LEFT(Calc!$E1494,4)&amp;MID(Calc!$E1494,6,2)&amp;RIGHT(Calc!$E1494,2)&amp;Calc!$Q1494&amp;"|"&amp;"1"&amp;RIGHT("00000"&amp;1485,5))</f>
        <v/>
      </c>
      <c r="C1490">
        <f>IF($B1490="","",COUNTIFS(LdgSellerA,$A1490,LdgKeyA,"&lt;"&amp;$B1490)+COUNTIFS(LdgSellerB,$A1490,LdgKeyB,"&lt;"&amp;$B1490)+1)</f>
        <v/>
      </c>
      <c r="D1490">
        <f>IF($C1490="","",$A1490&amp;"|"&amp;RIGHT("000000"&amp;$C1490,6))</f>
        <v/>
      </c>
      <c r="F1490">
        <f>IF(Sync!$AH1490="","",IF(LEFT(UPPER(TRIM(Sync!$AH1490)),2)="SL",UPPER(TRIM(Sync!$AH1490)),""))</f>
        <v/>
      </c>
      <c r="G1490">
        <f>IF($F1490="","",IF(Sync!$AE1490="","",IF(ISNUMBER(Sync!$AE1490),IF(AND(Sync!$AE1490&gt;=10000101,Sync!$AE1490&lt;=99991231),INT(Sync!$AE1490/10000),""),IFERROR(VALUE(TRIM(LEFT(Sync!$AE1490,FIND("/",Sync!$AE1490)-1))),""))))</f>
        <v/>
      </c>
      <c r="H1490">
        <f>IF(OR($F1490="",$G1490=""),"",IF(ISNUMBER(Sync!$AE1490),INT(MOD(Sync!$AE1490,10000)/100),IFERROR(VALUE(TRIM(LEFT(MID(Sync!$AE1490,FIND("/",Sync!$AE1490)+1,20),FIND("/",MID(Sync!$AE1490,FIND("/",Sync!$AE1490)+1,20))-1))),"")))</f>
        <v/>
      </c>
      <c r="I1490">
        <f>IF(OR($F1490="",$G1490=""),"",IF(ISNUMBER(Sync!$AE1490),MOD(Sync!$AE1490,100),IFERROR(VALUE(TRIM(MID(MID(Sync!$AE1490,FIND("/",Sync!$AE1490)+1,20),FIND("/",MID(Sync!$AE1490,FIND("/",Sync!$AE1490)+1,20))+1,20))),"")))</f>
        <v/>
      </c>
      <c r="J1490">
        <f>IF($F1490="","",IF(OR($G1490="",$H1490="",$I1490="",$G1490&lt;1300,$G1490&gt;1500,$H1490&lt;1,$H1490&gt;12,$I1490&lt;1,$I1490&gt;31),"نامعتبر",RIGHT("0000"&amp;$G1490,4)&amp;"/"&amp;RIGHT("00"&amp;$H1490,2)&amp;"/"&amp;RIGHT("00"&amp;$I1490,2)))</f>
        <v/>
      </c>
      <c r="K1490">
        <f>IF(OR($F1490="",$J1490="",$J1490="نامعتبر"),"",LEFT($J1490,4)&amp;MID($J1490,6,2)&amp;RIGHT($J1490,2)&amp;$N1490&amp;"|"&amp;"2"&amp;RIGHT("00000"&amp;1485,5))</f>
        <v/>
      </c>
      <c r="L1490">
        <f>IF($K1490="","",COUNTIFS(LdgSellerA,$F1490,LdgKeyA,"&lt;"&amp;$K1490)+COUNTIFS(LdgSellerB,$F1490,LdgKeyB,"&lt;"&amp;$K1490)+1)</f>
        <v/>
      </c>
      <c r="M1490">
        <f>IF($L1490="","",$F1490&amp;"|"&amp;RIGHT("000000"&amp;$L1490,6))</f>
        <v/>
      </c>
      <c r="N1490">
        <f>IF($F1490="","",IF(Sync!$AF1490="","0000",IF(AND(ISNUMBER(Sync!$AF1490),Sync!$AF1490&gt;=0,Sync!$AF1490&lt;1),RIGHT("00"&amp;HOUR(Sync!$AF1490),2)&amp;RIGHT("00"&amp;MINUTE(Sync!$AF1490),2),IFERROR(RIGHT("00"&amp;VALUE(LEFT(Sync!$AF1490,FIND(":",Sync!$AF1490)-1)),2)&amp;RIGHT("00"&amp;VALUE(MID(Sync!$AF1490,FIND(":",Sync!$AF1490)+1,2)),2),"0000"))))</f>
        <v/>
      </c>
    </row>
    <row r="1491">
      <c r="A1491">
        <f>IF(OR(Calc!$E1495="",Calc!$E1495="نامعتبر",Calc!$G1495=""),"",Calc!$G1495)</f>
        <v/>
      </c>
      <c r="B1491">
        <f>IF($A1491="","",LEFT(Calc!$E1495,4)&amp;MID(Calc!$E1495,6,2)&amp;RIGHT(Calc!$E1495,2)&amp;Calc!$Q1495&amp;"|"&amp;"1"&amp;RIGHT("00000"&amp;1486,5))</f>
        <v/>
      </c>
      <c r="C1491">
        <f>IF($B1491="","",COUNTIFS(LdgSellerA,$A1491,LdgKeyA,"&lt;"&amp;$B1491)+COUNTIFS(LdgSellerB,$A1491,LdgKeyB,"&lt;"&amp;$B1491)+1)</f>
        <v/>
      </c>
      <c r="D1491">
        <f>IF($C1491="","",$A1491&amp;"|"&amp;RIGHT("000000"&amp;$C1491,6))</f>
        <v/>
      </c>
      <c r="F1491">
        <f>IF(Sync!$AH1491="","",IF(LEFT(UPPER(TRIM(Sync!$AH1491)),2)="SL",UPPER(TRIM(Sync!$AH1491)),""))</f>
        <v/>
      </c>
      <c r="G1491">
        <f>IF($F1491="","",IF(Sync!$AE1491="","",IF(ISNUMBER(Sync!$AE1491),IF(AND(Sync!$AE1491&gt;=10000101,Sync!$AE1491&lt;=99991231),INT(Sync!$AE1491/10000),""),IFERROR(VALUE(TRIM(LEFT(Sync!$AE1491,FIND("/",Sync!$AE1491)-1))),""))))</f>
        <v/>
      </c>
      <c r="H1491">
        <f>IF(OR($F1491="",$G1491=""),"",IF(ISNUMBER(Sync!$AE1491),INT(MOD(Sync!$AE1491,10000)/100),IFERROR(VALUE(TRIM(LEFT(MID(Sync!$AE1491,FIND("/",Sync!$AE1491)+1,20),FIND("/",MID(Sync!$AE1491,FIND("/",Sync!$AE1491)+1,20))-1))),"")))</f>
        <v/>
      </c>
      <c r="I1491">
        <f>IF(OR($F1491="",$G1491=""),"",IF(ISNUMBER(Sync!$AE1491),MOD(Sync!$AE1491,100),IFERROR(VALUE(TRIM(MID(MID(Sync!$AE1491,FIND("/",Sync!$AE1491)+1,20),FIND("/",MID(Sync!$AE1491,FIND("/",Sync!$AE1491)+1,20))+1,20))),"")))</f>
        <v/>
      </c>
      <c r="J1491">
        <f>IF($F1491="","",IF(OR($G1491="",$H1491="",$I1491="",$G1491&lt;1300,$G1491&gt;1500,$H1491&lt;1,$H1491&gt;12,$I1491&lt;1,$I1491&gt;31),"نامعتبر",RIGHT("0000"&amp;$G1491,4)&amp;"/"&amp;RIGHT("00"&amp;$H1491,2)&amp;"/"&amp;RIGHT("00"&amp;$I1491,2)))</f>
        <v/>
      </c>
      <c r="K1491">
        <f>IF(OR($F1491="",$J1491="",$J1491="نامعتبر"),"",LEFT($J1491,4)&amp;MID($J1491,6,2)&amp;RIGHT($J1491,2)&amp;$N1491&amp;"|"&amp;"2"&amp;RIGHT("00000"&amp;1486,5))</f>
        <v/>
      </c>
      <c r="L1491">
        <f>IF($K1491="","",COUNTIFS(LdgSellerA,$F1491,LdgKeyA,"&lt;"&amp;$K1491)+COUNTIFS(LdgSellerB,$F1491,LdgKeyB,"&lt;"&amp;$K1491)+1)</f>
        <v/>
      </c>
      <c r="M1491">
        <f>IF($L1491="","",$F1491&amp;"|"&amp;RIGHT("000000"&amp;$L1491,6))</f>
        <v/>
      </c>
      <c r="N1491">
        <f>IF($F1491="","",IF(Sync!$AF1491="","0000",IF(AND(ISNUMBER(Sync!$AF1491),Sync!$AF1491&gt;=0,Sync!$AF1491&lt;1),RIGHT("00"&amp;HOUR(Sync!$AF1491),2)&amp;RIGHT("00"&amp;MINUTE(Sync!$AF1491),2),IFERROR(RIGHT("00"&amp;VALUE(LEFT(Sync!$AF1491,FIND(":",Sync!$AF1491)-1)),2)&amp;RIGHT("00"&amp;VALUE(MID(Sync!$AF1491,FIND(":",Sync!$AF1491)+1,2)),2),"0000"))))</f>
        <v/>
      </c>
    </row>
    <row r="1492">
      <c r="A1492">
        <f>IF(OR(Calc!$E1496="",Calc!$E1496="نامعتبر",Calc!$G1496=""),"",Calc!$G1496)</f>
        <v/>
      </c>
      <c r="B1492">
        <f>IF($A1492="","",LEFT(Calc!$E1496,4)&amp;MID(Calc!$E1496,6,2)&amp;RIGHT(Calc!$E1496,2)&amp;Calc!$Q1496&amp;"|"&amp;"1"&amp;RIGHT("00000"&amp;1487,5))</f>
        <v/>
      </c>
      <c r="C1492">
        <f>IF($B1492="","",COUNTIFS(LdgSellerA,$A1492,LdgKeyA,"&lt;"&amp;$B1492)+COUNTIFS(LdgSellerB,$A1492,LdgKeyB,"&lt;"&amp;$B1492)+1)</f>
        <v/>
      </c>
      <c r="D1492">
        <f>IF($C1492="","",$A1492&amp;"|"&amp;RIGHT("000000"&amp;$C1492,6))</f>
        <v/>
      </c>
      <c r="F1492">
        <f>IF(Sync!$AH1492="","",IF(LEFT(UPPER(TRIM(Sync!$AH1492)),2)="SL",UPPER(TRIM(Sync!$AH1492)),""))</f>
        <v/>
      </c>
      <c r="G1492">
        <f>IF($F1492="","",IF(Sync!$AE1492="","",IF(ISNUMBER(Sync!$AE1492),IF(AND(Sync!$AE1492&gt;=10000101,Sync!$AE1492&lt;=99991231),INT(Sync!$AE1492/10000),""),IFERROR(VALUE(TRIM(LEFT(Sync!$AE1492,FIND("/",Sync!$AE1492)-1))),""))))</f>
        <v/>
      </c>
      <c r="H1492">
        <f>IF(OR($F1492="",$G1492=""),"",IF(ISNUMBER(Sync!$AE1492),INT(MOD(Sync!$AE1492,10000)/100),IFERROR(VALUE(TRIM(LEFT(MID(Sync!$AE1492,FIND("/",Sync!$AE1492)+1,20),FIND("/",MID(Sync!$AE1492,FIND("/",Sync!$AE1492)+1,20))-1))),"")))</f>
        <v/>
      </c>
      <c r="I1492">
        <f>IF(OR($F1492="",$G1492=""),"",IF(ISNUMBER(Sync!$AE1492),MOD(Sync!$AE1492,100),IFERROR(VALUE(TRIM(MID(MID(Sync!$AE1492,FIND("/",Sync!$AE1492)+1,20),FIND("/",MID(Sync!$AE1492,FIND("/",Sync!$AE1492)+1,20))+1,20))),"")))</f>
        <v/>
      </c>
      <c r="J1492">
        <f>IF($F1492="","",IF(OR($G1492="",$H1492="",$I1492="",$G1492&lt;1300,$G1492&gt;1500,$H1492&lt;1,$H1492&gt;12,$I1492&lt;1,$I1492&gt;31),"نامعتبر",RIGHT("0000"&amp;$G1492,4)&amp;"/"&amp;RIGHT("00"&amp;$H1492,2)&amp;"/"&amp;RIGHT("00"&amp;$I1492,2)))</f>
        <v/>
      </c>
      <c r="K1492">
        <f>IF(OR($F1492="",$J1492="",$J1492="نامعتبر"),"",LEFT($J1492,4)&amp;MID($J1492,6,2)&amp;RIGHT($J1492,2)&amp;$N1492&amp;"|"&amp;"2"&amp;RIGHT("00000"&amp;1487,5))</f>
        <v/>
      </c>
      <c r="L1492">
        <f>IF($K1492="","",COUNTIFS(LdgSellerA,$F1492,LdgKeyA,"&lt;"&amp;$K1492)+COUNTIFS(LdgSellerB,$F1492,LdgKeyB,"&lt;"&amp;$K1492)+1)</f>
        <v/>
      </c>
      <c r="M1492">
        <f>IF($L1492="","",$F1492&amp;"|"&amp;RIGHT("000000"&amp;$L1492,6))</f>
        <v/>
      </c>
      <c r="N1492">
        <f>IF($F1492="","",IF(Sync!$AF1492="","0000",IF(AND(ISNUMBER(Sync!$AF1492),Sync!$AF1492&gt;=0,Sync!$AF1492&lt;1),RIGHT("00"&amp;HOUR(Sync!$AF1492),2)&amp;RIGHT("00"&amp;MINUTE(Sync!$AF1492),2),IFERROR(RIGHT("00"&amp;VALUE(LEFT(Sync!$AF1492,FIND(":",Sync!$AF1492)-1)),2)&amp;RIGHT("00"&amp;VALUE(MID(Sync!$AF1492,FIND(":",Sync!$AF1492)+1,2)),2),"0000"))))</f>
        <v/>
      </c>
    </row>
    <row r="1493">
      <c r="A1493">
        <f>IF(OR(Calc!$E1497="",Calc!$E1497="نامعتبر",Calc!$G1497=""),"",Calc!$G1497)</f>
        <v/>
      </c>
      <c r="B1493">
        <f>IF($A1493="","",LEFT(Calc!$E1497,4)&amp;MID(Calc!$E1497,6,2)&amp;RIGHT(Calc!$E1497,2)&amp;Calc!$Q1497&amp;"|"&amp;"1"&amp;RIGHT("00000"&amp;1488,5))</f>
        <v/>
      </c>
      <c r="C1493">
        <f>IF($B1493="","",COUNTIFS(LdgSellerA,$A1493,LdgKeyA,"&lt;"&amp;$B1493)+COUNTIFS(LdgSellerB,$A1493,LdgKeyB,"&lt;"&amp;$B1493)+1)</f>
        <v/>
      </c>
      <c r="D1493">
        <f>IF($C1493="","",$A1493&amp;"|"&amp;RIGHT("000000"&amp;$C1493,6))</f>
        <v/>
      </c>
      <c r="F1493">
        <f>IF(Sync!$AH1493="","",IF(LEFT(UPPER(TRIM(Sync!$AH1493)),2)="SL",UPPER(TRIM(Sync!$AH1493)),""))</f>
        <v/>
      </c>
      <c r="G1493">
        <f>IF($F1493="","",IF(Sync!$AE1493="","",IF(ISNUMBER(Sync!$AE1493),IF(AND(Sync!$AE1493&gt;=10000101,Sync!$AE1493&lt;=99991231),INT(Sync!$AE1493/10000),""),IFERROR(VALUE(TRIM(LEFT(Sync!$AE1493,FIND("/",Sync!$AE1493)-1))),""))))</f>
        <v/>
      </c>
      <c r="H1493">
        <f>IF(OR($F1493="",$G1493=""),"",IF(ISNUMBER(Sync!$AE1493),INT(MOD(Sync!$AE1493,10000)/100),IFERROR(VALUE(TRIM(LEFT(MID(Sync!$AE1493,FIND("/",Sync!$AE1493)+1,20),FIND("/",MID(Sync!$AE1493,FIND("/",Sync!$AE1493)+1,20))-1))),"")))</f>
        <v/>
      </c>
      <c r="I1493">
        <f>IF(OR($F1493="",$G1493=""),"",IF(ISNUMBER(Sync!$AE1493),MOD(Sync!$AE1493,100),IFERROR(VALUE(TRIM(MID(MID(Sync!$AE1493,FIND("/",Sync!$AE1493)+1,20),FIND("/",MID(Sync!$AE1493,FIND("/",Sync!$AE1493)+1,20))+1,20))),"")))</f>
        <v/>
      </c>
      <c r="J1493">
        <f>IF($F1493="","",IF(OR($G1493="",$H1493="",$I1493="",$G1493&lt;1300,$G1493&gt;1500,$H1493&lt;1,$H1493&gt;12,$I1493&lt;1,$I1493&gt;31),"نامعتبر",RIGHT("0000"&amp;$G1493,4)&amp;"/"&amp;RIGHT("00"&amp;$H1493,2)&amp;"/"&amp;RIGHT("00"&amp;$I1493,2)))</f>
        <v/>
      </c>
      <c r="K1493">
        <f>IF(OR($F1493="",$J1493="",$J1493="نامعتبر"),"",LEFT($J1493,4)&amp;MID($J1493,6,2)&amp;RIGHT($J1493,2)&amp;$N1493&amp;"|"&amp;"2"&amp;RIGHT("00000"&amp;1488,5))</f>
        <v/>
      </c>
      <c r="L1493">
        <f>IF($K1493="","",COUNTIFS(LdgSellerA,$F1493,LdgKeyA,"&lt;"&amp;$K1493)+COUNTIFS(LdgSellerB,$F1493,LdgKeyB,"&lt;"&amp;$K1493)+1)</f>
        <v/>
      </c>
      <c r="M1493">
        <f>IF($L1493="","",$F1493&amp;"|"&amp;RIGHT("000000"&amp;$L1493,6))</f>
        <v/>
      </c>
      <c r="N1493">
        <f>IF($F1493="","",IF(Sync!$AF1493="","0000",IF(AND(ISNUMBER(Sync!$AF1493),Sync!$AF1493&gt;=0,Sync!$AF1493&lt;1),RIGHT("00"&amp;HOUR(Sync!$AF1493),2)&amp;RIGHT("00"&amp;MINUTE(Sync!$AF1493),2),IFERROR(RIGHT("00"&amp;VALUE(LEFT(Sync!$AF1493,FIND(":",Sync!$AF1493)-1)),2)&amp;RIGHT("00"&amp;VALUE(MID(Sync!$AF1493,FIND(":",Sync!$AF1493)+1,2)),2),"0000"))))</f>
        <v/>
      </c>
    </row>
    <row r="1494">
      <c r="A1494">
        <f>IF(OR(Calc!$E1498="",Calc!$E1498="نامعتبر",Calc!$G1498=""),"",Calc!$G1498)</f>
        <v/>
      </c>
      <c r="B1494">
        <f>IF($A1494="","",LEFT(Calc!$E1498,4)&amp;MID(Calc!$E1498,6,2)&amp;RIGHT(Calc!$E1498,2)&amp;Calc!$Q1498&amp;"|"&amp;"1"&amp;RIGHT("00000"&amp;1489,5))</f>
        <v/>
      </c>
      <c r="C1494">
        <f>IF($B1494="","",COUNTIFS(LdgSellerA,$A1494,LdgKeyA,"&lt;"&amp;$B1494)+COUNTIFS(LdgSellerB,$A1494,LdgKeyB,"&lt;"&amp;$B1494)+1)</f>
        <v/>
      </c>
      <c r="D1494">
        <f>IF($C1494="","",$A1494&amp;"|"&amp;RIGHT("000000"&amp;$C1494,6))</f>
        <v/>
      </c>
      <c r="F1494">
        <f>IF(Sync!$AH1494="","",IF(LEFT(UPPER(TRIM(Sync!$AH1494)),2)="SL",UPPER(TRIM(Sync!$AH1494)),""))</f>
        <v/>
      </c>
      <c r="G1494">
        <f>IF($F1494="","",IF(Sync!$AE1494="","",IF(ISNUMBER(Sync!$AE1494),IF(AND(Sync!$AE1494&gt;=10000101,Sync!$AE1494&lt;=99991231),INT(Sync!$AE1494/10000),""),IFERROR(VALUE(TRIM(LEFT(Sync!$AE1494,FIND("/",Sync!$AE1494)-1))),""))))</f>
        <v/>
      </c>
      <c r="H1494">
        <f>IF(OR($F1494="",$G1494=""),"",IF(ISNUMBER(Sync!$AE1494),INT(MOD(Sync!$AE1494,10000)/100),IFERROR(VALUE(TRIM(LEFT(MID(Sync!$AE1494,FIND("/",Sync!$AE1494)+1,20),FIND("/",MID(Sync!$AE1494,FIND("/",Sync!$AE1494)+1,20))-1))),"")))</f>
        <v/>
      </c>
      <c r="I1494">
        <f>IF(OR($F1494="",$G1494=""),"",IF(ISNUMBER(Sync!$AE1494),MOD(Sync!$AE1494,100),IFERROR(VALUE(TRIM(MID(MID(Sync!$AE1494,FIND("/",Sync!$AE1494)+1,20),FIND("/",MID(Sync!$AE1494,FIND("/",Sync!$AE1494)+1,20))+1,20))),"")))</f>
        <v/>
      </c>
      <c r="J1494">
        <f>IF($F1494="","",IF(OR($G1494="",$H1494="",$I1494="",$G1494&lt;1300,$G1494&gt;1500,$H1494&lt;1,$H1494&gt;12,$I1494&lt;1,$I1494&gt;31),"نامعتبر",RIGHT("0000"&amp;$G1494,4)&amp;"/"&amp;RIGHT("00"&amp;$H1494,2)&amp;"/"&amp;RIGHT("00"&amp;$I1494,2)))</f>
        <v/>
      </c>
      <c r="K1494">
        <f>IF(OR($F1494="",$J1494="",$J1494="نامعتبر"),"",LEFT($J1494,4)&amp;MID($J1494,6,2)&amp;RIGHT($J1494,2)&amp;$N1494&amp;"|"&amp;"2"&amp;RIGHT("00000"&amp;1489,5))</f>
        <v/>
      </c>
      <c r="L1494">
        <f>IF($K1494="","",COUNTIFS(LdgSellerA,$F1494,LdgKeyA,"&lt;"&amp;$K1494)+COUNTIFS(LdgSellerB,$F1494,LdgKeyB,"&lt;"&amp;$K1494)+1)</f>
        <v/>
      </c>
      <c r="M1494">
        <f>IF($L1494="","",$F1494&amp;"|"&amp;RIGHT("000000"&amp;$L1494,6))</f>
        <v/>
      </c>
      <c r="N1494">
        <f>IF($F1494="","",IF(Sync!$AF1494="","0000",IF(AND(ISNUMBER(Sync!$AF1494),Sync!$AF1494&gt;=0,Sync!$AF1494&lt;1),RIGHT("00"&amp;HOUR(Sync!$AF1494),2)&amp;RIGHT("00"&amp;MINUTE(Sync!$AF1494),2),IFERROR(RIGHT("00"&amp;VALUE(LEFT(Sync!$AF1494,FIND(":",Sync!$AF1494)-1)),2)&amp;RIGHT("00"&amp;VALUE(MID(Sync!$AF1494,FIND(":",Sync!$AF1494)+1,2)),2),"0000"))))</f>
        <v/>
      </c>
    </row>
    <row r="1495">
      <c r="A1495">
        <f>IF(OR(Calc!$E1499="",Calc!$E1499="نامعتبر",Calc!$G1499=""),"",Calc!$G1499)</f>
        <v/>
      </c>
      <c r="B1495">
        <f>IF($A1495="","",LEFT(Calc!$E1499,4)&amp;MID(Calc!$E1499,6,2)&amp;RIGHT(Calc!$E1499,2)&amp;Calc!$Q1499&amp;"|"&amp;"1"&amp;RIGHT("00000"&amp;1490,5))</f>
        <v/>
      </c>
      <c r="C1495">
        <f>IF($B1495="","",COUNTIFS(LdgSellerA,$A1495,LdgKeyA,"&lt;"&amp;$B1495)+COUNTIFS(LdgSellerB,$A1495,LdgKeyB,"&lt;"&amp;$B1495)+1)</f>
        <v/>
      </c>
      <c r="D1495">
        <f>IF($C1495="","",$A1495&amp;"|"&amp;RIGHT("000000"&amp;$C1495,6))</f>
        <v/>
      </c>
      <c r="F1495">
        <f>IF(Sync!$AH1495="","",IF(LEFT(UPPER(TRIM(Sync!$AH1495)),2)="SL",UPPER(TRIM(Sync!$AH1495)),""))</f>
        <v/>
      </c>
      <c r="G1495">
        <f>IF($F1495="","",IF(Sync!$AE1495="","",IF(ISNUMBER(Sync!$AE1495),IF(AND(Sync!$AE1495&gt;=10000101,Sync!$AE1495&lt;=99991231),INT(Sync!$AE1495/10000),""),IFERROR(VALUE(TRIM(LEFT(Sync!$AE1495,FIND("/",Sync!$AE1495)-1))),""))))</f>
        <v/>
      </c>
      <c r="H1495">
        <f>IF(OR($F1495="",$G1495=""),"",IF(ISNUMBER(Sync!$AE1495),INT(MOD(Sync!$AE1495,10000)/100),IFERROR(VALUE(TRIM(LEFT(MID(Sync!$AE1495,FIND("/",Sync!$AE1495)+1,20),FIND("/",MID(Sync!$AE1495,FIND("/",Sync!$AE1495)+1,20))-1))),"")))</f>
        <v/>
      </c>
      <c r="I1495">
        <f>IF(OR($F1495="",$G1495=""),"",IF(ISNUMBER(Sync!$AE1495),MOD(Sync!$AE1495,100),IFERROR(VALUE(TRIM(MID(MID(Sync!$AE1495,FIND("/",Sync!$AE1495)+1,20),FIND("/",MID(Sync!$AE1495,FIND("/",Sync!$AE1495)+1,20))+1,20))),"")))</f>
        <v/>
      </c>
      <c r="J1495">
        <f>IF($F1495="","",IF(OR($G1495="",$H1495="",$I1495="",$G1495&lt;1300,$G1495&gt;1500,$H1495&lt;1,$H1495&gt;12,$I1495&lt;1,$I1495&gt;31),"نامعتبر",RIGHT("0000"&amp;$G1495,4)&amp;"/"&amp;RIGHT("00"&amp;$H1495,2)&amp;"/"&amp;RIGHT("00"&amp;$I1495,2)))</f>
        <v/>
      </c>
      <c r="K1495">
        <f>IF(OR($F1495="",$J1495="",$J1495="نامعتبر"),"",LEFT($J1495,4)&amp;MID($J1495,6,2)&amp;RIGHT($J1495,2)&amp;$N1495&amp;"|"&amp;"2"&amp;RIGHT("00000"&amp;1490,5))</f>
        <v/>
      </c>
      <c r="L1495">
        <f>IF($K1495="","",COUNTIFS(LdgSellerA,$F1495,LdgKeyA,"&lt;"&amp;$K1495)+COUNTIFS(LdgSellerB,$F1495,LdgKeyB,"&lt;"&amp;$K1495)+1)</f>
        <v/>
      </c>
      <c r="M1495">
        <f>IF($L1495="","",$F1495&amp;"|"&amp;RIGHT("000000"&amp;$L1495,6))</f>
        <v/>
      </c>
      <c r="N1495">
        <f>IF($F1495="","",IF(Sync!$AF1495="","0000",IF(AND(ISNUMBER(Sync!$AF1495),Sync!$AF1495&gt;=0,Sync!$AF1495&lt;1),RIGHT("00"&amp;HOUR(Sync!$AF1495),2)&amp;RIGHT("00"&amp;MINUTE(Sync!$AF1495),2),IFERROR(RIGHT("00"&amp;VALUE(LEFT(Sync!$AF1495,FIND(":",Sync!$AF1495)-1)),2)&amp;RIGHT("00"&amp;VALUE(MID(Sync!$AF1495,FIND(":",Sync!$AF1495)+1,2)),2),"0000"))))</f>
        <v/>
      </c>
    </row>
    <row r="1496">
      <c r="A1496">
        <f>IF(OR(Calc!$E1500="",Calc!$E1500="نامعتبر",Calc!$G1500=""),"",Calc!$G1500)</f>
        <v/>
      </c>
      <c r="B1496">
        <f>IF($A1496="","",LEFT(Calc!$E1500,4)&amp;MID(Calc!$E1500,6,2)&amp;RIGHT(Calc!$E1500,2)&amp;Calc!$Q1500&amp;"|"&amp;"1"&amp;RIGHT("00000"&amp;1491,5))</f>
        <v/>
      </c>
      <c r="C1496">
        <f>IF($B1496="","",COUNTIFS(LdgSellerA,$A1496,LdgKeyA,"&lt;"&amp;$B1496)+COUNTIFS(LdgSellerB,$A1496,LdgKeyB,"&lt;"&amp;$B1496)+1)</f>
        <v/>
      </c>
      <c r="D1496">
        <f>IF($C1496="","",$A1496&amp;"|"&amp;RIGHT("000000"&amp;$C1496,6))</f>
        <v/>
      </c>
      <c r="F1496">
        <f>IF(Sync!$AH1496="","",IF(LEFT(UPPER(TRIM(Sync!$AH1496)),2)="SL",UPPER(TRIM(Sync!$AH1496)),""))</f>
        <v/>
      </c>
      <c r="G1496">
        <f>IF($F1496="","",IF(Sync!$AE1496="","",IF(ISNUMBER(Sync!$AE1496),IF(AND(Sync!$AE1496&gt;=10000101,Sync!$AE1496&lt;=99991231),INT(Sync!$AE1496/10000),""),IFERROR(VALUE(TRIM(LEFT(Sync!$AE1496,FIND("/",Sync!$AE1496)-1))),""))))</f>
        <v/>
      </c>
      <c r="H1496">
        <f>IF(OR($F1496="",$G1496=""),"",IF(ISNUMBER(Sync!$AE1496),INT(MOD(Sync!$AE1496,10000)/100),IFERROR(VALUE(TRIM(LEFT(MID(Sync!$AE1496,FIND("/",Sync!$AE1496)+1,20),FIND("/",MID(Sync!$AE1496,FIND("/",Sync!$AE1496)+1,20))-1))),"")))</f>
        <v/>
      </c>
      <c r="I1496">
        <f>IF(OR($F1496="",$G1496=""),"",IF(ISNUMBER(Sync!$AE1496),MOD(Sync!$AE1496,100),IFERROR(VALUE(TRIM(MID(MID(Sync!$AE1496,FIND("/",Sync!$AE1496)+1,20),FIND("/",MID(Sync!$AE1496,FIND("/",Sync!$AE1496)+1,20))+1,20))),"")))</f>
        <v/>
      </c>
      <c r="J1496">
        <f>IF($F1496="","",IF(OR($G1496="",$H1496="",$I1496="",$G1496&lt;1300,$G1496&gt;1500,$H1496&lt;1,$H1496&gt;12,$I1496&lt;1,$I1496&gt;31),"نامعتبر",RIGHT("0000"&amp;$G1496,4)&amp;"/"&amp;RIGHT("00"&amp;$H1496,2)&amp;"/"&amp;RIGHT("00"&amp;$I1496,2)))</f>
        <v/>
      </c>
      <c r="K1496">
        <f>IF(OR($F1496="",$J1496="",$J1496="نامعتبر"),"",LEFT($J1496,4)&amp;MID($J1496,6,2)&amp;RIGHT($J1496,2)&amp;$N1496&amp;"|"&amp;"2"&amp;RIGHT("00000"&amp;1491,5))</f>
        <v/>
      </c>
      <c r="L1496">
        <f>IF($K1496="","",COUNTIFS(LdgSellerA,$F1496,LdgKeyA,"&lt;"&amp;$K1496)+COUNTIFS(LdgSellerB,$F1496,LdgKeyB,"&lt;"&amp;$K1496)+1)</f>
        <v/>
      </c>
      <c r="M1496">
        <f>IF($L1496="","",$F1496&amp;"|"&amp;RIGHT("000000"&amp;$L1496,6))</f>
        <v/>
      </c>
      <c r="N1496">
        <f>IF($F1496="","",IF(Sync!$AF1496="","0000",IF(AND(ISNUMBER(Sync!$AF1496),Sync!$AF1496&gt;=0,Sync!$AF1496&lt;1),RIGHT("00"&amp;HOUR(Sync!$AF1496),2)&amp;RIGHT("00"&amp;MINUTE(Sync!$AF1496),2),IFERROR(RIGHT("00"&amp;VALUE(LEFT(Sync!$AF1496,FIND(":",Sync!$AF1496)-1)),2)&amp;RIGHT("00"&amp;VALUE(MID(Sync!$AF1496,FIND(":",Sync!$AF1496)+1,2)),2),"0000"))))</f>
        <v/>
      </c>
    </row>
    <row r="1497">
      <c r="A1497">
        <f>IF(OR(Calc!$E1501="",Calc!$E1501="نامعتبر",Calc!$G1501=""),"",Calc!$G1501)</f>
        <v/>
      </c>
      <c r="B1497">
        <f>IF($A1497="","",LEFT(Calc!$E1501,4)&amp;MID(Calc!$E1501,6,2)&amp;RIGHT(Calc!$E1501,2)&amp;Calc!$Q1501&amp;"|"&amp;"1"&amp;RIGHT("00000"&amp;1492,5))</f>
        <v/>
      </c>
      <c r="C1497">
        <f>IF($B1497="","",COUNTIFS(LdgSellerA,$A1497,LdgKeyA,"&lt;"&amp;$B1497)+COUNTIFS(LdgSellerB,$A1497,LdgKeyB,"&lt;"&amp;$B1497)+1)</f>
        <v/>
      </c>
      <c r="D1497">
        <f>IF($C1497="","",$A1497&amp;"|"&amp;RIGHT("000000"&amp;$C1497,6))</f>
        <v/>
      </c>
      <c r="F1497">
        <f>IF(Sync!$AH1497="","",IF(LEFT(UPPER(TRIM(Sync!$AH1497)),2)="SL",UPPER(TRIM(Sync!$AH1497)),""))</f>
        <v/>
      </c>
      <c r="G1497">
        <f>IF($F1497="","",IF(Sync!$AE1497="","",IF(ISNUMBER(Sync!$AE1497),IF(AND(Sync!$AE1497&gt;=10000101,Sync!$AE1497&lt;=99991231),INT(Sync!$AE1497/10000),""),IFERROR(VALUE(TRIM(LEFT(Sync!$AE1497,FIND("/",Sync!$AE1497)-1))),""))))</f>
        <v/>
      </c>
      <c r="H1497">
        <f>IF(OR($F1497="",$G1497=""),"",IF(ISNUMBER(Sync!$AE1497),INT(MOD(Sync!$AE1497,10000)/100),IFERROR(VALUE(TRIM(LEFT(MID(Sync!$AE1497,FIND("/",Sync!$AE1497)+1,20),FIND("/",MID(Sync!$AE1497,FIND("/",Sync!$AE1497)+1,20))-1))),"")))</f>
        <v/>
      </c>
      <c r="I1497">
        <f>IF(OR($F1497="",$G1497=""),"",IF(ISNUMBER(Sync!$AE1497),MOD(Sync!$AE1497,100),IFERROR(VALUE(TRIM(MID(MID(Sync!$AE1497,FIND("/",Sync!$AE1497)+1,20),FIND("/",MID(Sync!$AE1497,FIND("/",Sync!$AE1497)+1,20))+1,20))),"")))</f>
        <v/>
      </c>
      <c r="J1497">
        <f>IF($F1497="","",IF(OR($G1497="",$H1497="",$I1497="",$G1497&lt;1300,$G1497&gt;1500,$H1497&lt;1,$H1497&gt;12,$I1497&lt;1,$I1497&gt;31),"نامعتبر",RIGHT("0000"&amp;$G1497,4)&amp;"/"&amp;RIGHT("00"&amp;$H1497,2)&amp;"/"&amp;RIGHT("00"&amp;$I1497,2)))</f>
        <v/>
      </c>
      <c r="K1497">
        <f>IF(OR($F1497="",$J1497="",$J1497="نامعتبر"),"",LEFT($J1497,4)&amp;MID($J1497,6,2)&amp;RIGHT($J1497,2)&amp;$N1497&amp;"|"&amp;"2"&amp;RIGHT("00000"&amp;1492,5))</f>
        <v/>
      </c>
      <c r="L1497">
        <f>IF($K1497="","",COUNTIFS(LdgSellerA,$F1497,LdgKeyA,"&lt;"&amp;$K1497)+COUNTIFS(LdgSellerB,$F1497,LdgKeyB,"&lt;"&amp;$K1497)+1)</f>
        <v/>
      </c>
      <c r="M1497">
        <f>IF($L1497="","",$F1497&amp;"|"&amp;RIGHT("000000"&amp;$L1497,6))</f>
        <v/>
      </c>
      <c r="N1497">
        <f>IF($F1497="","",IF(Sync!$AF1497="","0000",IF(AND(ISNUMBER(Sync!$AF1497),Sync!$AF1497&gt;=0,Sync!$AF1497&lt;1),RIGHT("00"&amp;HOUR(Sync!$AF1497),2)&amp;RIGHT("00"&amp;MINUTE(Sync!$AF1497),2),IFERROR(RIGHT("00"&amp;VALUE(LEFT(Sync!$AF1497,FIND(":",Sync!$AF1497)-1)),2)&amp;RIGHT("00"&amp;VALUE(MID(Sync!$AF1497,FIND(":",Sync!$AF1497)+1,2)),2),"0000"))))</f>
        <v/>
      </c>
    </row>
    <row r="1498">
      <c r="A1498">
        <f>IF(OR(Calc!$E1502="",Calc!$E1502="نامعتبر",Calc!$G1502=""),"",Calc!$G1502)</f>
        <v/>
      </c>
      <c r="B1498">
        <f>IF($A1498="","",LEFT(Calc!$E1502,4)&amp;MID(Calc!$E1502,6,2)&amp;RIGHT(Calc!$E1502,2)&amp;Calc!$Q1502&amp;"|"&amp;"1"&amp;RIGHT("00000"&amp;1493,5))</f>
        <v/>
      </c>
      <c r="C1498">
        <f>IF($B1498="","",COUNTIFS(LdgSellerA,$A1498,LdgKeyA,"&lt;"&amp;$B1498)+COUNTIFS(LdgSellerB,$A1498,LdgKeyB,"&lt;"&amp;$B1498)+1)</f>
        <v/>
      </c>
      <c r="D1498">
        <f>IF($C1498="","",$A1498&amp;"|"&amp;RIGHT("000000"&amp;$C1498,6))</f>
        <v/>
      </c>
      <c r="F1498">
        <f>IF(Sync!$AH1498="","",IF(LEFT(UPPER(TRIM(Sync!$AH1498)),2)="SL",UPPER(TRIM(Sync!$AH1498)),""))</f>
        <v/>
      </c>
      <c r="G1498">
        <f>IF($F1498="","",IF(Sync!$AE1498="","",IF(ISNUMBER(Sync!$AE1498),IF(AND(Sync!$AE1498&gt;=10000101,Sync!$AE1498&lt;=99991231),INT(Sync!$AE1498/10000),""),IFERROR(VALUE(TRIM(LEFT(Sync!$AE1498,FIND("/",Sync!$AE1498)-1))),""))))</f>
        <v/>
      </c>
      <c r="H1498">
        <f>IF(OR($F1498="",$G1498=""),"",IF(ISNUMBER(Sync!$AE1498),INT(MOD(Sync!$AE1498,10000)/100),IFERROR(VALUE(TRIM(LEFT(MID(Sync!$AE1498,FIND("/",Sync!$AE1498)+1,20),FIND("/",MID(Sync!$AE1498,FIND("/",Sync!$AE1498)+1,20))-1))),"")))</f>
        <v/>
      </c>
      <c r="I1498">
        <f>IF(OR($F1498="",$G1498=""),"",IF(ISNUMBER(Sync!$AE1498),MOD(Sync!$AE1498,100),IFERROR(VALUE(TRIM(MID(MID(Sync!$AE1498,FIND("/",Sync!$AE1498)+1,20),FIND("/",MID(Sync!$AE1498,FIND("/",Sync!$AE1498)+1,20))+1,20))),"")))</f>
        <v/>
      </c>
      <c r="J1498">
        <f>IF($F1498="","",IF(OR($G1498="",$H1498="",$I1498="",$G1498&lt;1300,$G1498&gt;1500,$H1498&lt;1,$H1498&gt;12,$I1498&lt;1,$I1498&gt;31),"نامعتبر",RIGHT("0000"&amp;$G1498,4)&amp;"/"&amp;RIGHT("00"&amp;$H1498,2)&amp;"/"&amp;RIGHT("00"&amp;$I1498,2)))</f>
        <v/>
      </c>
      <c r="K1498">
        <f>IF(OR($F1498="",$J1498="",$J1498="نامعتبر"),"",LEFT($J1498,4)&amp;MID($J1498,6,2)&amp;RIGHT($J1498,2)&amp;$N1498&amp;"|"&amp;"2"&amp;RIGHT("00000"&amp;1493,5))</f>
        <v/>
      </c>
      <c r="L1498">
        <f>IF($K1498="","",COUNTIFS(LdgSellerA,$F1498,LdgKeyA,"&lt;"&amp;$K1498)+COUNTIFS(LdgSellerB,$F1498,LdgKeyB,"&lt;"&amp;$K1498)+1)</f>
        <v/>
      </c>
      <c r="M1498">
        <f>IF($L1498="","",$F1498&amp;"|"&amp;RIGHT("000000"&amp;$L1498,6))</f>
        <v/>
      </c>
      <c r="N1498">
        <f>IF($F1498="","",IF(Sync!$AF1498="","0000",IF(AND(ISNUMBER(Sync!$AF1498),Sync!$AF1498&gt;=0,Sync!$AF1498&lt;1),RIGHT("00"&amp;HOUR(Sync!$AF1498),2)&amp;RIGHT("00"&amp;MINUTE(Sync!$AF1498),2),IFERROR(RIGHT("00"&amp;VALUE(LEFT(Sync!$AF1498,FIND(":",Sync!$AF1498)-1)),2)&amp;RIGHT("00"&amp;VALUE(MID(Sync!$AF1498,FIND(":",Sync!$AF1498)+1,2)),2),"0000"))))</f>
        <v/>
      </c>
    </row>
    <row r="1499">
      <c r="A1499">
        <f>IF(OR(Calc!$E1503="",Calc!$E1503="نامعتبر",Calc!$G1503=""),"",Calc!$G1503)</f>
        <v/>
      </c>
      <c r="B1499">
        <f>IF($A1499="","",LEFT(Calc!$E1503,4)&amp;MID(Calc!$E1503,6,2)&amp;RIGHT(Calc!$E1503,2)&amp;Calc!$Q1503&amp;"|"&amp;"1"&amp;RIGHT("00000"&amp;1494,5))</f>
        <v/>
      </c>
      <c r="C1499">
        <f>IF($B1499="","",COUNTIFS(LdgSellerA,$A1499,LdgKeyA,"&lt;"&amp;$B1499)+COUNTIFS(LdgSellerB,$A1499,LdgKeyB,"&lt;"&amp;$B1499)+1)</f>
        <v/>
      </c>
      <c r="D1499">
        <f>IF($C1499="","",$A1499&amp;"|"&amp;RIGHT("000000"&amp;$C1499,6))</f>
        <v/>
      </c>
      <c r="F1499">
        <f>IF(Sync!$AH1499="","",IF(LEFT(UPPER(TRIM(Sync!$AH1499)),2)="SL",UPPER(TRIM(Sync!$AH1499)),""))</f>
        <v/>
      </c>
      <c r="G1499">
        <f>IF($F1499="","",IF(Sync!$AE1499="","",IF(ISNUMBER(Sync!$AE1499),IF(AND(Sync!$AE1499&gt;=10000101,Sync!$AE1499&lt;=99991231),INT(Sync!$AE1499/10000),""),IFERROR(VALUE(TRIM(LEFT(Sync!$AE1499,FIND("/",Sync!$AE1499)-1))),""))))</f>
        <v/>
      </c>
      <c r="H1499">
        <f>IF(OR($F1499="",$G1499=""),"",IF(ISNUMBER(Sync!$AE1499),INT(MOD(Sync!$AE1499,10000)/100),IFERROR(VALUE(TRIM(LEFT(MID(Sync!$AE1499,FIND("/",Sync!$AE1499)+1,20),FIND("/",MID(Sync!$AE1499,FIND("/",Sync!$AE1499)+1,20))-1))),"")))</f>
        <v/>
      </c>
      <c r="I1499">
        <f>IF(OR($F1499="",$G1499=""),"",IF(ISNUMBER(Sync!$AE1499),MOD(Sync!$AE1499,100),IFERROR(VALUE(TRIM(MID(MID(Sync!$AE1499,FIND("/",Sync!$AE1499)+1,20),FIND("/",MID(Sync!$AE1499,FIND("/",Sync!$AE1499)+1,20))+1,20))),"")))</f>
        <v/>
      </c>
      <c r="J1499">
        <f>IF($F1499="","",IF(OR($G1499="",$H1499="",$I1499="",$G1499&lt;1300,$G1499&gt;1500,$H1499&lt;1,$H1499&gt;12,$I1499&lt;1,$I1499&gt;31),"نامعتبر",RIGHT("0000"&amp;$G1499,4)&amp;"/"&amp;RIGHT("00"&amp;$H1499,2)&amp;"/"&amp;RIGHT("00"&amp;$I1499,2)))</f>
        <v/>
      </c>
      <c r="K1499">
        <f>IF(OR($F1499="",$J1499="",$J1499="نامعتبر"),"",LEFT($J1499,4)&amp;MID($J1499,6,2)&amp;RIGHT($J1499,2)&amp;$N1499&amp;"|"&amp;"2"&amp;RIGHT("00000"&amp;1494,5))</f>
        <v/>
      </c>
      <c r="L1499">
        <f>IF($K1499="","",COUNTIFS(LdgSellerA,$F1499,LdgKeyA,"&lt;"&amp;$K1499)+COUNTIFS(LdgSellerB,$F1499,LdgKeyB,"&lt;"&amp;$K1499)+1)</f>
        <v/>
      </c>
      <c r="M1499">
        <f>IF($L1499="","",$F1499&amp;"|"&amp;RIGHT("000000"&amp;$L1499,6))</f>
        <v/>
      </c>
      <c r="N1499">
        <f>IF($F1499="","",IF(Sync!$AF1499="","0000",IF(AND(ISNUMBER(Sync!$AF1499),Sync!$AF1499&gt;=0,Sync!$AF1499&lt;1),RIGHT("00"&amp;HOUR(Sync!$AF1499),2)&amp;RIGHT("00"&amp;MINUTE(Sync!$AF1499),2),IFERROR(RIGHT("00"&amp;VALUE(LEFT(Sync!$AF1499,FIND(":",Sync!$AF1499)-1)),2)&amp;RIGHT("00"&amp;VALUE(MID(Sync!$AF1499,FIND(":",Sync!$AF1499)+1,2)),2),"0000"))))</f>
        <v/>
      </c>
    </row>
    <row r="1500">
      <c r="A1500">
        <f>IF(OR(Calc!$E1504="",Calc!$E1504="نامعتبر",Calc!$G1504=""),"",Calc!$G1504)</f>
        <v/>
      </c>
      <c r="B1500">
        <f>IF($A1500="","",LEFT(Calc!$E1504,4)&amp;MID(Calc!$E1504,6,2)&amp;RIGHT(Calc!$E1504,2)&amp;Calc!$Q1504&amp;"|"&amp;"1"&amp;RIGHT("00000"&amp;1495,5))</f>
        <v/>
      </c>
      <c r="C1500">
        <f>IF($B1500="","",COUNTIFS(LdgSellerA,$A1500,LdgKeyA,"&lt;"&amp;$B1500)+COUNTIFS(LdgSellerB,$A1500,LdgKeyB,"&lt;"&amp;$B1500)+1)</f>
        <v/>
      </c>
      <c r="D1500">
        <f>IF($C1500="","",$A1500&amp;"|"&amp;RIGHT("000000"&amp;$C1500,6))</f>
        <v/>
      </c>
      <c r="F1500">
        <f>IF(Sync!$AH1500="","",IF(LEFT(UPPER(TRIM(Sync!$AH1500)),2)="SL",UPPER(TRIM(Sync!$AH1500)),""))</f>
        <v/>
      </c>
      <c r="G1500">
        <f>IF($F1500="","",IF(Sync!$AE1500="","",IF(ISNUMBER(Sync!$AE1500),IF(AND(Sync!$AE1500&gt;=10000101,Sync!$AE1500&lt;=99991231),INT(Sync!$AE1500/10000),""),IFERROR(VALUE(TRIM(LEFT(Sync!$AE1500,FIND("/",Sync!$AE1500)-1))),""))))</f>
        <v/>
      </c>
      <c r="H1500">
        <f>IF(OR($F1500="",$G1500=""),"",IF(ISNUMBER(Sync!$AE1500),INT(MOD(Sync!$AE1500,10000)/100),IFERROR(VALUE(TRIM(LEFT(MID(Sync!$AE1500,FIND("/",Sync!$AE1500)+1,20),FIND("/",MID(Sync!$AE1500,FIND("/",Sync!$AE1500)+1,20))-1))),"")))</f>
        <v/>
      </c>
      <c r="I1500">
        <f>IF(OR($F1500="",$G1500=""),"",IF(ISNUMBER(Sync!$AE1500),MOD(Sync!$AE1500,100),IFERROR(VALUE(TRIM(MID(MID(Sync!$AE1500,FIND("/",Sync!$AE1500)+1,20),FIND("/",MID(Sync!$AE1500,FIND("/",Sync!$AE1500)+1,20))+1,20))),"")))</f>
        <v/>
      </c>
      <c r="J1500">
        <f>IF($F1500="","",IF(OR($G1500="",$H1500="",$I1500="",$G1500&lt;1300,$G1500&gt;1500,$H1500&lt;1,$H1500&gt;12,$I1500&lt;1,$I1500&gt;31),"نامعتبر",RIGHT("0000"&amp;$G1500,4)&amp;"/"&amp;RIGHT("00"&amp;$H1500,2)&amp;"/"&amp;RIGHT("00"&amp;$I1500,2)))</f>
        <v/>
      </c>
      <c r="K1500">
        <f>IF(OR($F1500="",$J1500="",$J1500="نامعتبر"),"",LEFT($J1500,4)&amp;MID($J1500,6,2)&amp;RIGHT($J1500,2)&amp;$N1500&amp;"|"&amp;"2"&amp;RIGHT("00000"&amp;1495,5))</f>
        <v/>
      </c>
      <c r="L1500">
        <f>IF($K1500="","",COUNTIFS(LdgSellerA,$F1500,LdgKeyA,"&lt;"&amp;$K1500)+COUNTIFS(LdgSellerB,$F1500,LdgKeyB,"&lt;"&amp;$K1500)+1)</f>
        <v/>
      </c>
      <c r="M1500">
        <f>IF($L1500="","",$F1500&amp;"|"&amp;RIGHT("000000"&amp;$L1500,6))</f>
        <v/>
      </c>
      <c r="N1500">
        <f>IF($F1500="","",IF(Sync!$AF1500="","0000",IF(AND(ISNUMBER(Sync!$AF1500),Sync!$AF1500&gt;=0,Sync!$AF1500&lt;1),RIGHT("00"&amp;HOUR(Sync!$AF1500),2)&amp;RIGHT("00"&amp;MINUTE(Sync!$AF1500),2),IFERROR(RIGHT("00"&amp;VALUE(LEFT(Sync!$AF1500,FIND(":",Sync!$AF1500)-1)),2)&amp;RIGHT("00"&amp;VALUE(MID(Sync!$AF1500,FIND(":",Sync!$AF1500)+1,2)),2),"0000"))))</f>
        <v/>
      </c>
    </row>
    <row r="1501">
      <c r="A1501">
        <f>IF(OR(Calc!$E1505="",Calc!$E1505="نامعتبر",Calc!$G1505=""),"",Calc!$G1505)</f>
        <v/>
      </c>
      <c r="B1501">
        <f>IF($A1501="","",LEFT(Calc!$E1505,4)&amp;MID(Calc!$E1505,6,2)&amp;RIGHT(Calc!$E1505,2)&amp;Calc!$Q1505&amp;"|"&amp;"1"&amp;RIGHT("00000"&amp;1496,5))</f>
        <v/>
      </c>
      <c r="C1501">
        <f>IF($B1501="","",COUNTIFS(LdgSellerA,$A1501,LdgKeyA,"&lt;"&amp;$B1501)+COUNTIFS(LdgSellerB,$A1501,LdgKeyB,"&lt;"&amp;$B1501)+1)</f>
        <v/>
      </c>
      <c r="D1501">
        <f>IF($C1501="","",$A1501&amp;"|"&amp;RIGHT("000000"&amp;$C1501,6))</f>
        <v/>
      </c>
      <c r="F1501">
        <f>IF(Sync!$AH1501="","",IF(LEFT(UPPER(TRIM(Sync!$AH1501)),2)="SL",UPPER(TRIM(Sync!$AH1501)),""))</f>
        <v/>
      </c>
      <c r="G1501">
        <f>IF($F1501="","",IF(Sync!$AE1501="","",IF(ISNUMBER(Sync!$AE1501),IF(AND(Sync!$AE1501&gt;=10000101,Sync!$AE1501&lt;=99991231),INT(Sync!$AE1501/10000),""),IFERROR(VALUE(TRIM(LEFT(Sync!$AE1501,FIND("/",Sync!$AE1501)-1))),""))))</f>
        <v/>
      </c>
      <c r="H1501">
        <f>IF(OR($F1501="",$G1501=""),"",IF(ISNUMBER(Sync!$AE1501),INT(MOD(Sync!$AE1501,10000)/100),IFERROR(VALUE(TRIM(LEFT(MID(Sync!$AE1501,FIND("/",Sync!$AE1501)+1,20),FIND("/",MID(Sync!$AE1501,FIND("/",Sync!$AE1501)+1,20))-1))),"")))</f>
        <v/>
      </c>
      <c r="I1501">
        <f>IF(OR($F1501="",$G1501=""),"",IF(ISNUMBER(Sync!$AE1501),MOD(Sync!$AE1501,100),IFERROR(VALUE(TRIM(MID(MID(Sync!$AE1501,FIND("/",Sync!$AE1501)+1,20),FIND("/",MID(Sync!$AE1501,FIND("/",Sync!$AE1501)+1,20))+1,20))),"")))</f>
        <v/>
      </c>
      <c r="J1501">
        <f>IF($F1501="","",IF(OR($G1501="",$H1501="",$I1501="",$G1501&lt;1300,$G1501&gt;1500,$H1501&lt;1,$H1501&gt;12,$I1501&lt;1,$I1501&gt;31),"نامعتبر",RIGHT("0000"&amp;$G1501,4)&amp;"/"&amp;RIGHT("00"&amp;$H1501,2)&amp;"/"&amp;RIGHT("00"&amp;$I1501,2)))</f>
        <v/>
      </c>
      <c r="K1501">
        <f>IF(OR($F1501="",$J1501="",$J1501="نامعتبر"),"",LEFT($J1501,4)&amp;MID($J1501,6,2)&amp;RIGHT($J1501,2)&amp;$N1501&amp;"|"&amp;"2"&amp;RIGHT("00000"&amp;1496,5))</f>
        <v/>
      </c>
      <c r="L1501">
        <f>IF($K1501="","",COUNTIFS(LdgSellerA,$F1501,LdgKeyA,"&lt;"&amp;$K1501)+COUNTIFS(LdgSellerB,$F1501,LdgKeyB,"&lt;"&amp;$K1501)+1)</f>
        <v/>
      </c>
      <c r="M1501">
        <f>IF($L1501="","",$F1501&amp;"|"&amp;RIGHT("000000"&amp;$L1501,6))</f>
        <v/>
      </c>
      <c r="N1501">
        <f>IF($F1501="","",IF(Sync!$AF1501="","0000",IF(AND(ISNUMBER(Sync!$AF1501),Sync!$AF1501&gt;=0,Sync!$AF1501&lt;1),RIGHT("00"&amp;HOUR(Sync!$AF1501),2)&amp;RIGHT("00"&amp;MINUTE(Sync!$AF1501),2),IFERROR(RIGHT("00"&amp;VALUE(LEFT(Sync!$AF1501,FIND(":",Sync!$AF1501)-1)),2)&amp;RIGHT("00"&amp;VALUE(MID(Sync!$AF1501,FIND(":",Sync!$AF1501)+1,2)),2),"0000"))))</f>
        <v/>
      </c>
    </row>
    <row r="1502">
      <c r="A1502">
        <f>IF(OR(Calc!$E1506="",Calc!$E1506="نامعتبر",Calc!$G1506=""),"",Calc!$G1506)</f>
        <v/>
      </c>
      <c r="B1502">
        <f>IF($A1502="","",LEFT(Calc!$E1506,4)&amp;MID(Calc!$E1506,6,2)&amp;RIGHT(Calc!$E1506,2)&amp;Calc!$Q1506&amp;"|"&amp;"1"&amp;RIGHT("00000"&amp;1497,5))</f>
        <v/>
      </c>
      <c r="C1502">
        <f>IF($B1502="","",COUNTIFS(LdgSellerA,$A1502,LdgKeyA,"&lt;"&amp;$B1502)+COUNTIFS(LdgSellerB,$A1502,LdgKeyB,"&lt;"&amp;$B1502)+1)</f>
        <v/>
      </c>
      <c r="D1502">
        <f>IF($C1502="","",$A1502&amp;"|"&amp;RIGHT("000000"&amp;$C1502,6))</f>
        <v/>
      </c>
      <c r="F1502">
        <f>IF(Sync!$AH1502="","",IF(LEFT(UPPER(TRIM(Sync!$AH1502)),2)="SL",UPPER(TRIM(Sync!$AH1502)),""))</f>
        <v/>
      </c>
      <c r="G1502">
        <f>IF($F1502="","",IF(Sync!$AE1502="","",IF(ISNUMBER(Sync!$AE1502),IF(AND(Sync!$AE1502&gt;=10000101,Sync!$AE1502&lt;=99991231),INT(Sync!$AE1502/10000),""),IFERROR(VALUE(TRIM(LEFT(Sync!$AE1502,FIND("/",Sync!$AE1502)-1))),""))))</f>
        <v/>
      </c>
      <c r="H1502">
        <f>IF(OR($F1502="",$G1502=""),"",IF(ISNUMBER(Sync!$AE1502),INT(MOD(Sync!$AE1502,10000)/100),IFERROR(VALUE(TRIM(LEFT(MID(Sync!$AE1502,FIND("/",Sync!$AE1502)+1,20),FIND("/",MID(Sync!$AE1502,FIND("/",Sync!$AE1502)+1,20))-1))),"")))</f>
        <v/>
      </c>
      <c r="I1502">
        <f>IF(OR($F1502="",$G1502=""),"",IF(ISNUMBER(Sync!$AE1502),MOD(Sync!$AE1502,100),IFERROR(VALUE(TRIM(MID(MID(Sync!$AE1502,FIND("/",Sync!$AE1502)+1,20),FIND("/",MID(Sync!$AE1502,FIND("/",Sync!$AE1502)+1,20))+1,20))),"")))</f>
        <v/>
      </c>
      <c r="J1502">
        <f>IF($F1502="","",IF(OR($G1502="",$H1502="",$I1502="",$G1502&lt;1300,$G1502&gt;1500,$H1502&lt;1,$H1502&gt;12,$I1502&lt;1,$I1502&gt;31),"نامعتبر",RIGHT("0000"&amp;$G1502,4)&amp;"/"&amp;RIGHT("00"&amp;$H1502,2)&amp;"/"&amp;RIGHT("00"&amp;$I1502,2)))</f>
        <v/>
      </c>
      <c r="K1502">
        <f>IF(OR($F1502="",$J1502="",$J1502="نامعتبر"),"",LEFT($J1502,4)&amp;MID($J1502,6,2)&amp;RIGHT($J1502,2)&amp;$N1502&amp;"|"&amp;"2"&amp;RIGHT("00000"&amp;1497,5))</f>
        <v/>
      </c>
      <c r="L1502">
        <f>IF($K1502="","",COUNTIFS(LdgSellerA,$F1502,LdgKeyA,"&lt;"&amp;$K1502)+COUNTIFS(LdgSellerB,$F1502,LdgKeyB,"&lt;"&amp;$K1502)+1)</f>
        <v/>
      </c>
      <c r="M1502">
        <f>IF($L1502="","",$F1502&amp;"|"&amp;RIGHT("000000"&amp;$L1502,6))</f>
        <v/>
      </c>
      <c r="N1502">
        <f>IF($F1502="","",IF(Sync!$AF1502="","0000",IF(AND(ISNUMBER(Sync!$AF1502),Sync!$AF1502&gt;=0,Sync!$AF1502&lt;1),RIGHT("00"&amp;HOUR(Sync!$AF1502),2)&amp;RIGHT("00"&amp;MINUTE(Sync!$AF1502),2),IFERROR(RIGHT("00"&amp;VALUE(LEFT(Sync!$AF1502,FIND(":",Sync!$AF1502)-1)),2)&amp;RIGHT("00"&amp;VALUE(MID(Sync!$AF1502,FIND(":",Sync!$AF1502)+1,2)),2),"0000"))))</f>
        <v/>
      </c>
    </row>
    <row r="1503">
      <c r="A1503">
        <f>IF(OR(Calc!$E1507="",Calc!$E1507="نامعتبر",Calc!$G1507=""),"",Calc!$G1507)</f>
        <v/>
      </c>
      <c r="B1503">
        <f>IF($A1503="","",LEFT(Calc!$E1507,4)&amp;MID(Calc!$E1507,6,2)&amp;RIGHT(Calc!$E1507,2)&amp;Calc!$Q1507&amp;"|"&amp;"1"&amp;RIGHT("00000"&amp;1498,5))</f>
        <v/>
      </c>
      <c r="C1503">
        <f>IF($B1503="","",COUNTIFS(LdgSellerA,$A1503,LdgKeyA,"&lt;"&amp;$B1503)+COUNTIFS(LdgSellerB,$A1503,LdgKeyB,"&lt;"&amp;$B1503)+1)</f>
        <v/>
      </c>
      <c r="D1503">
        <f>IF($C1503="","",$A1503&amp;"|"&amp;RIGHT("000000"&amp;$C1503,6))</f>
        <v/>
      </c>
      <c r="F1503">
        <f>IF(Sync!$AH1503="","",IF(LEFT(UPPER(TRIM(Sync!$AH1503)),2)="SL",UPPER(TRIM(Sync!$AH1503)),""))</f>
        <v/>
      </c>
      <c r="G1503">
        <f>IF($F1503="","",IF(Sync!$AE1503="","",IF(ISNUMBER(Sync!$AE1503),IF(AND(Sync!$AE1503&gt;=10000101,Sync!$AE1503&lt;=99991231),INT(Sync!$AE1503/10000),""),IFERROR(VALUE(TRIM(LEFT(Sync!$AE1503,FIND("/",Sync!$AE1503)-1))),""))))</f>
        <v/>
      </c>
      <c r="H1503">
        <f>IF(OR($F1503="",$G1503=""),"",IF(ISNUMBER(Sync!$AE1503),INT(MOD(Sync!$AE1503,10000)/100),IFERROR(VALUE(TRIM(LEFT(MID(Sync!$AE1503,FIND("/",Sync!$AE1503)+1,20),FIND("/",MID(Sync!$AE1503,FIND("/",Sync!$AE1503)+1,20))-1))),"")))</f>
        <v/>
      </c>
      <c r="I1503">
        <f>IF(OR($F1503="",$G1503=""),"",IF(ISNUMBER(Sync!$AE1503),MOD(Sync!$AE1503,100),IFERROR(VALUE(TRIM(MID(MID(Sync!$AE1503,FIND("/",Sync!$AE1503)+1,20),FIND("/",MID(Sync!$AE1503,FIND("/",Sync!$AE1503)+1,20))+1,20))),"")))</f>
        <v/>
      </c>
      <c r="J1503">
        <f>IF($F1503="","",IF(OR($G1503="",$H1503="",$I1503="",$G1503&lt;1300,$G1503&gt;1500,$H1503&lt;1,$H1503&gt;12,$I1503&lt;1,$I1503&gt;31),"نامعتبر",RIGHT("0000"&amp;$G1503,4)&amp;"/"&amp;RIGHT("00"&amp;$H1503,2)&amp;"/"&amp;RIGHT("00"&amp;$I1503,2)))</f>
        <v/>
      </c>
      <c r="K1503">
        <f>IF(OR($F1503="",$J1503="",$J1503="نامعتبر"),"",LEFT($J1503,4)&amp;MID($J1503,6,2)&amp;RIGHT($J1503,2)&amp;$N1503&amp;"|"&amp;"2"&amp;RIGHT("00000"&amp;1498,5))</f>
        <v/>
      </c>
      <c r="L1503">
        <f>IF($K1503="","",COUNTIFS(LdgSellerA,$F1503,LdgKeyA,"&lt;"&amp;$K1503)+COUNTIFS(LdgSellerB,$F1503,LdgKeyB,"&lt;"&amp;$K1503)+1)</f>
        <v/>
      </c>
      <c r="M1503">
        <f>IF($L1503="","",$F1503&amp;"|"&amp;RIGHT("000000"&amp;$L1503,6))</f>
        <v/>
      </c>
      <c r="N1503">
        <f>IF($F1503="","",IF(Sync!$AF1503="","0000",IF(AND(ISNUMBER(Sync!$AF1503),Sync!$AF1503&gt;=0,Sync!$AF1503&lt;1),RIGHT("00"&amp;HOUR(Sync!$AF1503),2)&amp;RIGHT("00"&amp;MINUTE(Sync!$AF1503),2),IFERROR(RIGHT("00"&amp;VALUE(LEFT(Sync!$AF1503,FIND(":",Sync!$AF1503)-1)),2)&amp;RIGHT("00"&amp;VALUE(MID(Sync!$AF1503,FIND(":",Sync!$AF1503)+1,2)),2),"0000"))))</f>
        <v/>
      </c>
    </row>
    <row r="1504">
      <c r="A1504">
        <f>IF(OR(Calc!$E1508="",Calc!$E1508="نامعتبر",Calc!$G1508=""),"",Calc!$G1508)</f>
        <v/>
      </c>
      <c r="B1504">
        <f>IF($A1504="","",LEFT(Calc!$E1508,4)&amp;MID(Calc!$E1508,6,2)&amp;RIGHT(Calc!$E1508,2)&amp;Calc!$Q1508&amp;"|"&amp;"1"&amp;RIGHT("00000"&amp;1499,5))</f>
        <v/>
      </c>
      <c r="C1504">
        <f>IF($B1504="","",COUNTIFS(LdgSellerA,$A1504,LdgKeyA,"&lt;"&amp;$B1504)+COUNTIFS(LdgSellerB,$A1504,LdgKeyB,"&lt;"&amp;$B1504)+1)</f>
        <v/>
      </c>
      <c r="D1504">
        <f>IF($C1504="","",$A1504&amp;"|"&amp;RIGHT("000000"&amp;$C1504,6))</f>
        <v/>
      </c>
      <c r="F1504">
        <f>IF(Sync!$AH1504="","",IF(LEFT(UPPER(TRIM(Sync!$AH1504)),2)="SL",UPPER(TRIM(Sync!$AH1504)),""))</f>
        <v/>
      </c>
      <c r="G1504">
        <f>IF($F1504="","",IF(Sync!$AE1504="","",IF(ISNUMBER(Sync!$AE1504),IF(AND(Sync!$AE1504&gt;=10000101,Sync!$AE1504&lt;=99991231),INT(Sync!$AE1504/10000),""),IFERROR(VALUE(TRIM(LEFT(Sync!$AE1504,FIND("/",Sync!$AE1504)-1))),""))))</f>
        <v/>
      </c>
      <c r="H1504">
        <f>IF(OR($F1504="",$G1504=""),"",IF(ISNUMBER(Sync!$AE1504),INT(MOD(Sync!$AE1504,10000)/100),IFERROR(VALUE(TRIM(LEFT(MID(Sync!$AE1504,FIND("/",Sync!$AE1504)+1,20),FIND("/",MID(Sync!$AE1504,FIND("/",Sync!$AE1504)+1,20))-1))),"")))</f>
        <v/>
      </c>
      <c r="I1504">
        <f>IF(OR($F1504="",$G1504=""),"",IF(ISNUMBER(Sync!$AE1504),MOD(Sync!$AE1504,100),IFERROR(VALUE(TRIM(MID(MID(Sync!$AE1504,FIND("/",Sync!$AE1504)+1,20),FIND("/",MID(Sync!$AE1504,FIND("/",Sync!$AE1504)+1,20))+1,20))),"")))</f>
        <v/>
      </c>
      <c r="J1504">
        <f>IF($F1504="","",IF(OR($G1504="",$H1504="",$I1504="",$G1504&lt;1300,$G1504&gt;1500,$H1504&lt;1,$H1504&gt;12,$I1504&lt;1,$I1504&gt;31),"نامعتبر",RIGHT("0000"&amp;$G1504,4)&amp;"/"&amp;RIGHT("00"&amp;$H1504,2)&amp;"/"&amp;RIGHT("00"&amp;$I1504,2)))</f>
        <v/>
      </c>
      <c r="K1504">
        <f>IF(OR($F1504="",$J1504="",$J1504="نامعتبر"),"",LEFT($J1504,4)&amp;MID($J1504,6,2)&amp;RIGHT($J1504,2)&amp;$N1504&amp;"|"&amp;"2"&amp;RIGHT("00000"&amp;1499,5))</f>
        <v/>
      </c>
      <c r="L1504">
        <f>IF($K1504="","",COUNTIFS(LdgSellerA,$F1504,LdgKeyA,"&lt;"&amp;$K1504)+COUNTIFS(LdgSellerB,$F1504,LdgKeyB,"&lt;"&amp;$K1504)+1)</f>
        <v/>
      </c>
      <c r="M1504">
        <f>IF($L1504="","",$F1504&amp;"|"&amp;RIGHT("000000"&amp;$L1504,6))</f>
        <v/>
      </c>
      <c r="N1504">
        <f>IF($F1504="","",IF(Sync!$AF1504="","0000",IF(AND(ISNUMBER(Sync!$AF1504),Sync!$AF1504&gt;=0,Sync!$AF1504&lt;1),RIGHT("00"&amp;HOUR(Sync!$AF1504),2)&amp;RIGHT("00"&amp;MINUTE(Sync!$AF1504),2),IFERROR(RIGHT("00"&amp;VALUE(LEFT(Sync!$AF1504,FIND(":",Sync!$AF1504)-1)),2)&amp;RIGHT("00"&amp;VALUE(MID(Sync!$AF1504,FIND(":",Sync!$AF1504)+1,2)),2),"0000"))))</f>
        <v/>
      </c>
    </row>
    <row r="1505">
      <c r="A1505">
        <f>IF(OR(Calc!$E1509="",Calc!$E1509="نامعتبر",Calc!$G1509=""),"",Calc!$G1509)</f>
        <v/>
      </c>
      <c r="B1505">
        <f>IF($A1505="","",LEFT(Calc!$E1509,4)&amp;MID(Calc!$E1509,6,2)&amp;RIGHT(Calc!$E1509,2)&amp;Calc!$Q1509&amp;"|"&amp;"1"&amp;RIGHT("00000"&amp;1500,5))</f>
        <v/>
      </c>
      <c r="C1505">
        <f>IF($B1505="","",COUNTIFS(LdgSellerA,$A1505,LdgKeyA,"&lt;"&amp;$B1505)+COUNTIFS(LdgSellerB,$A1505,LdgKeyB,"&lt;"&amp;$B1505)+1)</f>
        <v/>
      </c>
      <c r="D1505">
        <f>IF($C1505="","",$A1505&amp;"|"&amp;RIGHT("000000"&amp;$C1505,6))</f>
        <v/>
      </c>
      <c r="F1505">
        <f>IF(Sync!$AH1505="","",IF(LEFT(UPPER(TRIM(Sync!$AH1505)),2)="SL",UPPER(TRIM(Sync!$AH1505)),""))</f>
        <v/>
      </c>
      <c r="G1505">
        <f>IF($F1505="","",IF(Sync!$AE1505="","",IF(ISNUMBER(Sync!$AE1505),IF(AND(Sync!$AE1505&gt;=10000101,Sync!$AE1505&lt;=99991231),INT(Sync!$AE1505/10000),""),IFERROR(VALUE(TRIM(LEFT(Sync!$AE1505,FIND("/",Sync!$AE1505)-1))),""))))</f>
        <v/>
      </c>
      <c r="H1505">
        <f>IF(OR($F1505="",$G1505=""),"",IF(ISNUMBER(Sync!$AE1505),INT(MOD(Sync!$AE1505,10000)/100),IFERROR(VALUE(TRIM(LEFT(MID(Sync!$AE1505,FIND("/",Sync!$AE1505)+1,20),FIND("/",MID(Sync!$AE1505,FIND("/",Sync!$AE1505)+1,20))-1))),"")))</f>
        <v/>
      </c>
      <c r="I1505">
        <f>IF(OR($F1505="",$G1505=""),"",IF(ISNUMBER(Sync!$AE1505),MOD(Sync!$AE1505,100),IFERROR(VALUE(TRIM(MID(MID(Sync!$AE1505,FIND("/",Sync!$AE1505)+1,20),FIND("/",MID(Sync!$AE1505,FIND("/",Sync!$AE1505)+1,20))+1,20))),"")))</f>
        <v/>
      </c>
      <c r="J1505">
        <f>IF($F1505="","",IF(OR($G1505="",$H1505="",$I1505="",$G1505&lt;1300,$G1505&gt;1500,$H1505&lt;1,$H1505&gt;12,$I1505&lt;1,$I1505&gt;31),"نامعتبر",RIGHT("0000"&amp;$G1505,4)&amp;"/"&amp;RIGHT("00"&amp;$H1505,2)&amp;"/"&amp;RIGHT("00"&amp;$I1505,2)))</f>
        <v/>
      </c>
      <c r="K1505">
        <f>IF(OR($F1505="",$J1505="",$J1505="نامعتبر"),"",LEFT($J1505,4)&amp;MID($J1505,6,2)&amp;RIGHT($J1505,2)&amp;$N1505&amp;"|"&amp;"2"&amp;RIGHT("00000"&amp;1500,5))</f>
        <v/>
      </c>
      <c r="L1505">
        <f>IF($K1505="","",COUNTIFS(LdgSellerA,$F1505,LdgKeyA,"&lt;"&amp;$K1505)+COUNTIFS(LdgSellerB,$F1505,LdgKeyB,"&lt;"&amp;$K1505)+1)</f>
        <v/>
      </c>
      <c r="M1505">
        <f>IF($L1505="","",$F1505&amp;"|"&amp;RIGHT("000000"&amp;$L1505,6))</f>
        <v/>
      </c>
      <c r="N1505">
        <f>IF($F1505="","",IF(Sync!$AF1505="","0000",IF(AND(ISNUMBER(Sync!$AF1505),Sync!$AF1505&gt;=0,Sync!$AF1505&lt;1),RIGHT("00"&amp;HOUR(Sync!$AF1505),2)&amp;RIGHT("00"&amp;MINUTE(Sync!$AF1505),2),IFERROR(RIGHT("00"&amp;VALUE(LEFT(Sync!$AF1505,FIND(":",Sync!$AF1505)-1)),2)&amp;RIGHT("00"&amp;VALUE(MID(Sync!$AF1505,FIND(":",Sync!$AF1505)+1,2)),2),"0000"))))</f>
        <v/>
      </c>
    </row>
    <row r="1506">
      <c r="A1506">
        <f>IF(OR(Calc!$E1510="",Calc!$E1510="نامعتبر",Calc!$G1510=""),"",Calc!$G1510)</f>
        <v/>
      </c>
      <c r="B1506">
        <f>IF($A1506="","",LEFT(Calc!$E1510,4)&amp;MID(Calc!$E1510,6,2)&amp;RIGHT(Calc!$E1510,2)&amp;Calc!$Q1510&amp;"|"&amp;"1"&amp;RIGHT("00000"&amp;1501,5))</f>
        <v/>
      </c>
      <c r="C1506">
        <f>IF($B1506="","",COUNTIFS(LdgSellerA,$A1506,LdgKeyA,"&lt;"&amp;$B1506)+COUNTIFS(LdgSellerB,$A1506,LdgKeyB,"&lt;"&amp;$B1506)+1)</f>
        <v/>
      </c>
      <c r="D1506">
        <f>IF($C1506="","",$A1506&amp;"|"&amp;RIGHT("000000"&amp;$C1506,6))</f>
        <v/>
      </c>
      <c r="F1506">
        <f>IF(Sync!$AH1506="","",IF(LEFT(UPPER(TRIM(Sync!$AH1506)),2)="SL",UPPER(TRIM(Sync!$AH1506)),""))</f>
        <v/>
      </c>
      <c r="G1506">
        <f>IF($F1506="","",IF(Sync!$AE1506="","",IF(ISNUMBER(Sync!$AE1506),IF(AND(Sync!$AE1506&gt;=10000101,Sync!$AE1506&lt;=99991231),INT(Sync!$AE1506/10000),""),IFERROR(VALUE(TRIM(LEFT(Sync!$AE1506,FIND("/",Sync!$AE1506)-1))),""))))</f>
        <v/>
      </c>
      <c r="H1506">
        <f>IF(OR($F1506="",$G1506=""),"",IF(ISNUMBER(Sync!$AE1506),INT(MOD(Sync!$AE1506,10000)/100),IFERROR(VALUE(TRIM(LEFT(MID(Sync!$AE1506,FIND("/",Sync!$AE1506)+1,20),FIND("/",MID(Sync!$AE1506,FIND("/",Sync!$AE1506)+1,20))-1))),"")))</f>
        <v/>
      </c>
      <c r="I1506">
        <f>IF(OR($F1506="",$G1506=""),"",IF(ISNUMBER(Sync!$AE1506),MOD(Sync!$AE1506,100),IFERROR(VALUE(TRIM(MID(MID(Sync!$AE1506,FIND("/",Sync!$AE1506)+1,20),FIND("/",MID(Sync!$AE1506,FIND("/",Sync!$AE1506)+1,20))+1,20))),"")))</f>
        <v/>
      </c>
      <c r="J1506">
        <f>IF($F1506="","",IF(OR($G1506="",$H1506="",$I1506="",$G1506&lt;1300,$G1506&gt;1500,$H1506&lt;1,$H1506&gt;12,$I1506&lt;1,$I1506&gt;31),"نامعتبر",RIGHT("0000"&amp;$G1506,4)&amp;"/"&amp;RIGHT("00"&amp;$H1506,2)&amp;"/"&amp;RIGHT("00"&amp;$I1506,2)))</f>
        <v/>
      </c>
      <c r="K1506">
        <f>IF(OR($F1506="",$J1506="",$J1506="نامعتبر"),"",LEFT($J1506,4)&amp;MID($J1506,6,2)&amp;RIGHT($J1506,2)&amp;$N1506&amp;"|"&amp;"2"&amp;RIGHT("00000"&amp;1501,5))</f>
        <v/>
      </c>
      <c r="L1506">
        <f>IF($K1506="","",COUNTIFS(LdgSellerA,$F1506,LdgKeyA,"&lt;"&amp;$K1506)+COUNTIFS(LdgSellerB,$F1506,LdgKeyB,"&lt;"&amp;$K1506)+1)</f>
        <v/>
      </c>
      <c r="M1506">
        <f>IF($L1506="","",$F1506&amp;"|"&amp;RIGHT("000000"&amp;$L1506,6))</f>
        <v/>
      </c>
      <c r="N1506">
        <f>IF($F1506="","",IF(Sync!$AF1506="","0000",IF(AND(ISNUMBER(Sync!$AF1506),Sync!$AF1506&gt;=0,Sync!$AF1506&lt;1),RIGHT("00"&amp;HOUR(Sync!$AF1506),2)&amp;RIGHT("00"&amp;MINUTE(Sync!$AF1506),2),IFERROR(RIGHT("00"&amp;VALUE(LEFT(Sync!$AF1506,FIND(":",Sync!$AF1506)-1)),2)&amp;RIGHT("00"&amp;VALUE(MID(Sync!$AF1506,FIND(":",Sync!$AF1506)+1,2)),2),"0000"))))</f>
        <v/>
      </c>
    </row>
    <row r="1507">
      <c r="A1507">
        <f>IF(OR(Calc!$E1511="",Calc!$E1511="نامعتبر",Calc!$G1511=""),"",Calc!$G1511)</f>
        <v/>
      </c>
      <c r="B1507">
        <f>IF($A1507="","",LEFT(Calc!$E1511,4)&amp;MID(Calc!$E1511,6,2)&amp;RIGHT(Calc!$E1511,2)&amp;Calc!$Q1511&amp;"|"&amp;"1"&amp;RIGHT("00000"&amp;1502,5))</f>
        <v/>
      </c>
      <c r="C1507">
        <f>IF($B1507="","",COUNTIFS(LdgSellerA,$A1507,LdgKeyA,"&lt;"&amp;$B1507)+COUNTIFS(LdgSellerB,$A1507,LdgKeyB,"&lt;"&amp;$B1507)+1)</f>
        <v/>
      </c>
      <c r="D1507">
        <f>IF($C1507="","",$A1507&amp;"|"&amp;RIGHT("000000"&amp;$C1507,6))</f>
        <v/>
      </c>
      <c r="F1507">
        <f>IF(Sync!$AH1507="","",IF(LEFT(UPPER(TRIM(Sync!$AH1507)),2)="SL",UPPER(TRIM(Sync!$AH1507)),""))</f>
        <v/>
      </c>
      <c r="G1507">
        <f>IF($F1507="","",IF(Sync!$AE1507="","",IF(ISNUMBER(Sync!$AE1507),IF(AND(Sync!$AE1507&gt;=10000101,Sync!$AE1507&lt;=99991231),INT(Sync!$AE1507/10000),""),IFERROR(VALUE(TRIM(LEFT(Sync!$AE1507,FIND("/",Sync!$AE1507)-1))),""))))</f>
        <v/>
      </c>
      <c r="H1507">
        <f>IF(OR($F1507="",$G1507=""),"",IF(ISNUMBER(Sync!$AE1507),INT(MOD(Sync!$AE1507,10000)/100),IFERROR(VALUE(TRIM(LEFT(MID(Sync!$AE1507,FIND("/",Sync!$AE1507)+1,20),FIND("/",MID(Sync!$AE1507,FIND("/",Sync!$AE1507)+1,20))-1))),"")))</f>
        <v/>
      </c>
      <c r="I1507">
        <f>IF(OR($F1507="",$G1507=""),"",IF(ISNUMBER(Sync!$AE1507),MOD(Sync!$AE1507,100),IFERROR(VALUE(TRIM(MID(MID(Sync!$AE1507,FIND("/",Sync!$AE1507)+1,20),FIND("/",MID(Sync!$AE1507,FIND("/",Sync!$AE1507)+1,20))+1,20))),"")))</f>
        <v/>
      </c>
      <c r="J1507">
        <f>IF($F1507="","",IF(OR($G1507="",$H1507="",$I1507="",$G1507&lt;1300,$G1507&gt;1500,$H1507&lt;1,$H1507&gt;12,$I1507&lt;1,$I1507&gt;31),"نامعتبر",RIGHT("0000"&amp;$G1507,4)&amp;"/"&amp;RIGHT("00"&amp;$H1507,2)&amp;"/"&amp;RIGHT("00"&amp;$I1507,2)))</f>
        <v/>
      </c>
      <c r="K1507">
        <f>IF(OR($F1507="",$J1507="",$J1507="نامعتبر"),"",LEFT($J1507,4)&amp;MID($J1507,6,2)&amp;RIGHT($J1507,2)&amp;$N1507&amp;"|"&amp;"2"&amp;RIGHT("00000"&amp;1502,5))</f>
        <v/>
      </c>
      <c r="L1507">
        <f>IF($K1507="","",COUNTIFS(LdgSellerA,$F1507,LdgKeyA,"&lt;"&amp;$K1507)+COUNTIFS(LdgSellerB,$F1507,LdgKeyB,"&lt;"&amp;$K1507)+1)</f>
        <v/>
      </c>
      <c r="M1507">
        <f>IF($L1507="","",$F1507&amp;"|"&amp;RIGHT("000000"&amp;$L1507,6))</f>
        <v/>
      </c>
      <c r="N1507">
        <f>IF($F1507="","",IF(Sync!$AF1507="","0000",IF(AND(ISNUMBER(Sync!$AF1507),Sync!$AF1507&gt;=0,Sync!$AF1507&lt;1),RIGHT("00"&amp;HOUR(Sync!$AF1507),2)&amp;RIGHT("00"&amp;MINUTE(Sync!$AF1507),2),IFERROR(RIGHT("00"&amp;VALUE(LEFT(Sync!$AF1507,FIND(":",Sync!$AF1507)-1)),2)&amp;RIGHT("00"&amp;VALUE(MID(Sync!$AF1507,FIND(":",Sync!$AF1507)+1,2)),2),"0000"))))</f>
        <v/>
      </c>
    </row>
    <row r="1508">
      <c r="A1508">
        <f>IF(OR(Calc!$E1512="",Calc!$E1512="نامعتبر",Calc!$G1512=""),"",Calc!$G1512)</f>
        <v/>
      </c>
      <c r="B1508">
        <f>IF($A1508="","",LEFT(Calc!$E1512,4)&amp;MID(Calc!$E1512,6,2)&amp;RIGHT(Calc!$E1512,2)&amp;Calc!$Q1512&amp;"|"&amp;"1"&amp;RIGHT("00000"&amp;1503,5))</f>
        <v/>
      </c>
      <c r="C1508">
        <f>IF($B1508="","",COUNTIFS(LdgSellerA,$A1508,LdgKeyA,"&lt;"&amp;$B1508)+COUNTIFS(LdgSellerB,$A1508,LdgKeyB,"&lt;"&amp;$B1508)+1)</f>
        <v/>
      </c>
      <c r="D1508">
        <f>IF($C1508="","",$A1508&amp;"|"&amp;RIGHT("000000"&amp;$C1508,6))</f>
        <v/>
      </c>
      <c r="F1508">
        <f>IF(Sync!$AH1508="","",IF(LEFT(UPPER(TRIM(Sync!$AH1508)),2)="SL",UPPER(TRIM(Sync!$AH1508)),""))</f>
        <v/>
      </c>
      <c r="G1508">
        <f>IF($F1508="","",IF(Sync!$AE1508="","",IF(ISNUMBER(Sync!$AE1508),IF(AND(Sync!$AE1508&gt;=10000101,Sync!$AE1508&lt;=99991231),INT(Sync!$AE1508/10000),""),IFERROR(VALUE(TRIM(LEFT(Sync!$AE1508,FIND("/",Sync!$AE1508)-1))),""))))</f>
        <v/>
      </c>
      <c r="H1508">
        <f>IF(OR($F1508="",$G1508=""),"",IF(ISNUMBER(Sync!$AE1508),INT(MOD(Sync!$AE1508,10000)/100),IFERROR(VALUE(TRIM(LEFT(MID(Sync!$AE1508,FIND("/",Sync!$AE1508)+1,20),FIND("/",MID(Sync!$AE1508,FIND("/",Sync!$AE1508)+1,20))-1))),"")))</f>
        <v/>
      </c>
      <c r="I1508">
        <f>IF(OR($F1508="",$G1508=""),"",IF(ISNUMBER(Sync!$AE1508),MOD(Sync!$AE1508,100),IFERROR(VALUE(TRIM(MID(MID(Sync!$AE1508,FIND("/",Sync!$AE1508)+1,20),FIND("/",MID(Sync!$AE1508,FIND("/",Sync!$AE1508)+1,20))+1,20))),"")))</f>
        <v/>
      </c>
      <c r="J1508">
        <f>IF($F1508="","",IF(OR($G1508="",$H1508="",$I1508="",$G1508&lt;1300,$G1508&gt;1500,$H1508&lt;1,$H1508&gt;12,$I1508&lt;1,$I1508&gt;31),"نامعتبر",RIGHT("0000"&amp;$G1508,4)&amp;"/"&amp;RIGHT("00"&amp;$H1508,2)&amp;"/"&amp;RIGHT("00"&amp;$I1508,2)))</f>
        <v/>
      </c>
      <c r="K1508">
        <f>IF(OR($F1508="",$J1508="",$J1508="نامعتبر"),"",LEFT($J1508,4)&amp;MID($J1508,6,2)&amp;RIGHT($J1508,2)&amp;$N1508&amp;"|"&amp;"2"&amp;RIGHT("00000"&amp;1503,5))</f>
        <v/>
      </c>
      <c r="L1508">
        <f>IF($K1508="","",COUNTIFS(LdgSellerA,$F1508,LdgKeyA,"&lt;"&amp;$K1508)+COUNTIFS(LdgSellerB,$F1508,LdgKeyB,"&lt;"&amp;$K1508)+1)</f>
        <v/>
      </c>
      <c r="M1508">
        <f>IF($L1508="","",$F1508&amp;"|"&amp;RIGHT("000000"&amp;$L1508,6))</f>
        <v/>
      </c>
      <c r="N1508">
        <f>IF($F1508="","",IF(Sync!$AF1508="","0000",IF(AND(ISNUMBER(Sync!$AF1508),Sync!$AF1508&gt;=0,Sync!$AF1508&lt;1),RIGHT("00"&amp;HOUR(Sync!$AF1508),2)&amp;RIGHT("00"&amp;MINUTE(Sync!$AF1508),2),IFERROR(RIGHT("00"&amp;VALUE(LEFT(Sync!$AF1508,FIND(":",Sync!$AF1508)-1)),2)&amp;RIGHT("00"&amp;VALUE(MID(Sync!$AF1508,FIND(":",Sync!$AF1508)+1,2)),2),"0000"))))</f>
        <v/>
      </c>
    </row>
    <row r="1509">
      <c r="A1509">
        <f>IF(OR(Calc!$E1513="",Calc!$E1513="نامعتبر",Calc!$G1513=""),"",Calc!$G1513)</f>
        <v/>
      </c>
      <c r="B1509">
        <f>IF($A1509="","",LEFT(Calc!$E1513,4)&amp;MID(Calc!$E1513,6,2)&amp;RIGHT(Calc!$E1513,2)&amp;Calc!$Q1513&amp;"|"&amp;"1"&amp;RIGHT("00000"&amp;1504,5))</f>
        <v/>
      </c>
      <c r="C1509">
        <f>IF($B1509="","",COUNTIFS(LdgSellerA,$A1509,LdgKeyA,"&lt;"&amp;$B1509)+COUNTIFS(LdgSellerB,$A1509,LdgKeyB,"&lt;"&amp;$B1509)+1)</f>
        <v/>
      </c>
      <c r="D1509">
        <f>IF($C1509="","",$A1509&amp;"|"&amp;RIGHT("000000"&amp;$C1509,6))</f>
        <v/>
      </c>
      <c r="F1509">
        <f>IF(Sync!$AH1509="","",IF(LEFT(UPPER(TRIM(Sync!$AH1509)),2)="SL",UPPER(TRIM(Sync!$AH1509)),""))</f>
        <v/>
      </c>
      <c r="G1509">
        <f>IF($F1509="","",IF(Sync!$AE1509="","",IF(ISNUMBER(Sync!$AE1509),IF(AND(Sync!$AE1509&gt;=10000101,Sync!$AE1509&lt;=99991231),INT(Sync!$AE1509/10000),""),IFERROR(VALUE(TRIM(LEFT(Sync!$AE1509,FIND("/",Sync!$AE1509)-1))),""))))</f>
        <v/>
      </c>
      <c r="H1509">
        <f>IF(OR($F1509="",$G1509=""),"",IF(ISNUMBER(Sync!$AE1509),INT(MOD(Sync!$AE1509,10000)/100),IFERROR(VALUE(TRIM(LEFT(MID(Sync!$AE1509,FIND("/",Sync!$AE1509)+1,20),FIND("/",MID(Sync!$AE1509,FIND("/",Sync!$AE1509)+1,20))-1))),"")))</f>
        <v/>
      </c>
      <c r="I1509">
        <f>IF(OR($F1509="",$G1509=""),"",IF(ISNUMBER(Sync!$AE1509),MOD(Sync!$AE1509,100),IFERROR(VALUE(TRIM(MID(MID(Sync!$AE1509,FIND("/",Sync!$AE1509)+1,20),FIND("/",MID(Sync!$AE1509,FIND("/",Sync!$AE1509)+1,20))+1,20))),"")))</f>
        <v/>
      </c>
      <c r="J1509">
        <f>IF($F1509="","",IF(OR($G1509="",$H1509="",$I1509="",$G1509&lt;1300,$G1509&gt;1500,$H1509&lt;1,$H1509&gt;12,$I1509&lt;1,$I1509&gt;31),"نامعتبر",RIGHT("0000"&amp;$G1509,4)&amp;"/"&amp;RIGHT("00"&amp;$H1509,2)&amp;"/"&amp;RIGHT("00"&amp;$I1509,2)))</f>
        <v/>
      </c>
      <c r="K1509">
        <f>IF(OR($F1509="",$J1509="",$J1509="نامعتبر"),"",LEFT($J1509,4)&amp;MID($J1509,6,2)&amp;RIGHT($J1509,2)&amp;$N1509&amp;"|"&amp;"2"&amp;RIGHT("00000"&amp;1504,5))</f>
        <v/>
      </c>
      <c r="L1509">
        <f>IF($K1509="","",COUNTIFS(LdgSellerA,$F1509,LdgKeyA,"&lt;"&amp;$K1509)+COUNTIFS(LdgSellerB,$F1509,LdgKeyB,"&lt;"&amp;$K1509)+1)</f>
        <v/>
      </c>
      <c r="M1509">
        <f>IF($L1509="","",$F1509&amp;"|"&amp;RIGHT("000000"&amp;$L1509,6))</f>
        <v/>
      </c>
      <c r="N1509">
        <f>IF($F1509="","",IF(Sync!$AF1509="","0000",IF(AND(ISNUMBER(Sync!$AF1509),Sync!$AF1509&gt;=0,Sync!$AF1509&lt;1),RIGHT("00"&amp;HOUR(Sync!$AF1509),2)&amp;RIGHT("00"&amp;MINUTE(Sync!$AF1509),2),IFERROR(RIGHT("00"&amp;VALUE(LEFT(Sync!$AF1509,FIND(":",Sync!$AF1509)-1)),2)&amp;RIGHT("00"&amp;VALUE(MID(Sync!$AF1509,FIND(":",Sync!$AF1509)+1,2)),2),"0000"))))</f>
        <v/>
      </c>
    </row>
    <row r="1510">
      <c r="A1510">
        <f>IF(OR(Calc!$E1514="",Calc!$E1514="نامعتبر",Calc!$G1514=""),"",Calc!$G1514)</f>
        <v/>
      </c>
      <c r="B1510">
        <f>IF($A1510="","",LEFT(Calc!$E1514,4)&amp;MID(Calc!$E1514,6,2)&amp;RIGHT(Calc!$E1514,2)&amp;Calc!$Q1514&amp;"|"&amp;"1"&amp;RIGHT("00000"&amp;1505,5))</f>
        <v/>
      </c>
      <c r="C1510">
        <f>IF($B1510="","",COUNTIFS(LdgSellerA,$A1510,LdgKeyA,"&lt;"&amp;$B1510)+COUNTIFS(LdgSellerB,$A1510,LdgKeyB,"&lt;"&amp;$B1510)+1)</f>
        <v/>
      </c>
      <c r="D1510">
        <f>IF($C1510="","",$A1510&amp;"|"&amp;RIGHT("000000"&amp;$C1510,6))</f>
        <v/>
      </c>
      <c r="F1510">
        <f>IF(Sync!$AH1510="","",IF(LEFT(UPPER(TRIM(Sync!$AH1510)),2)="SL",UPPER(TRIM(Sync!$AH1510)),""))</f>
        <v/>
      </c>
      <c r="G1510">
        <f>IF($F1510="","",IF(Sync!$AE1510="","",IF(ISNUMBER(Sync!$AE1510),IF(AND(Sync!$AE1510&gt;=10000101,Sync!$AE1510&lt;=99991231),INT(Sync!$AE1510/10000),""),IFERROR(VALUE(TRIM(LEFT(Sync!$AE1510,FIND("/",Sync!$AE1510)-1))),""))))</f>
        <v/>
      </c>
      <c r="H1510">
        <f>IF(OR($F1510="",$G1510=""),"",IF(ISNUMBER(Sync!$AE1510),INT(MOD(Sync!$AE1510,10000)/100),IFERROR(VALUE(TRIM(LEFT(MID(Sync!$AE1510,FIND("/",Sync!$AE1510)+1,20),FIND("/",MID(Sync!$AE1510,FIND("/",Sync!$AE1510)+1,20))-1))),"")))</f>
        <v/>
      </c>
      <c r="I1510">
        <f>IF(OR($F1510="",$G1510=""),"",IF(ISNUMBER(Sync!$AE1510),MOD(Sync!$AE1510,100),IFERROR(VALUE(TRIM(MID(MID(Sync!$AE1510,FIND("/",Sync!$AE1510)+1,20),FIND("/",MID(Sync!$AE1510,FIND("/",Sync!$AE1510)+1,20))+1,20))),"")))</f>
        <v/>
      </c>
      <c r="J1510">
        <f>IF($F1510="","",IF(OR($G1510="",$H1510="",$I1510="",$G1510&lt;1300,$G1510&gt;1500,$H1510&lt;1,$H1510&gt;12,$I1510&lt;1,$I1510&gt;31),"نامعتبر",RIGHT("0000"&amp;$G1510,4)&amp;"/"&amp;RIGHT("00"&amp;$H1510,2)&amp;"/"&amp;RIGHT("00"&amp;$I1510,2)))</f>
        <v/>
      </c>
      <c r="K1510">
        <f>IF(OR($F1510="",$J1510="",$J1510="نامعتبر"),"",LEFT($J1510,4)&amp;MID($J1510,6,2)&amp;RIGHT($J1510,2)&amp;$N1510&amp;"|"&amp;"2"&amp;RIGHT("00000"&amp;1505,5))</f>
        <v/>
      </c>
      <c r="L1510">
        <f>IF($K1510="","",COUNTIFS(LdgSellerA,$F1510,LdgKeyA,"&lt;"&amp;$K1510)+COUNTIFS(LdgSellerB,$F1510,LdgKeyB,"&lt;"&amp;$K1510)+1)</f>
        <v/>
      </c>
      <c r="M1510">
        <f>IF($L1510="","",$F1510&amp;"|"&amp;RIGHT("000000"&amp;$L1510,6))</f>
        <v/>
      </c>
      <c r="N1510">
        <f>IF($F1510="","",IF(Sync!$AF1510="","0000",IF(AND(ISNUMBER(Sync!$AF1510),Sync!$AF1510&gt;=0,Sync!$AF1510&lt;1),RIGHT("00"&amp;HOUR(Sync!$AF1510),2)&amp;RIGHT("00"&amp;MINUTE(Sync!$AF1510),2),IFERROR(RIGHT("00"&amp;VALUE(LEFT(Sync!$AF1510,FIND(":",Sync!$AF1510)-1)),2)&amp;RIGHT("00"&amp;VALUE(MID(Sync!$AF1510,FIND(":",Sync!$AF1510)+1,2)),2),"0000"))))</f>
        <v/>
      </c>
    </row>
    <row r="1511">
      <c r="A1511">
        <f>IF(OR(Calc!$E1515="",Calc!$E1515="نامعتبر",Calc!$G1515=""),"",Calc!$G1515)</f>
        <v/>
      </c>
      <c r="B1511">
        <f>IF($A1511="","",LEFT(Calc!$E1515,4)&amp;MID(Calc!$E1515,6,2)&amp;RIGHT(Calc!$E1515,2)&amp;Calc!$Q1515&amp;"|"&amp;"1"&amp;RIGHT("00000"&amp;1506,5))</f>
        <v/>
      </c>
      <c r="C1511">
        <f>IF($B1511="","",COUNTIFS(LdgSellerA,$A1511,LdgKeyA,"&lt;"&amp;$B1511)+COUNTIFS(LdgSellerB,$A1511,LdgKeyB,"&lt;"&amp;$B1511)+1)</f>
        <v/>
      </c>
      <c r="D1511">
        <f>IF($C1511="","",$A1511&amp;"|"&amp;RIGHT("000000"&amp;$C1511,6))</f>
        <v/>
      </c>
      <c r="F1511">
        <f>IF(Sync!$AH1511="","",IF(LEFT(UPPER(TRIM(Sync!$AH1511)),2)="SL",UPPER(TRIM(Sync!$AH1511)),""))</f>
        <v/>
      </c>
      <c r="G1511">
        <f>IF($F1511="","",IF(Sync!$AE1511="","",IF(ISNUMBER(Sync!$AE1511),IF(AND(Sync!$AE1511&gt;=10000101,Sync!$AE1511&lt;=99991231),INT(Sync!$AE1511/10000),""),IFERROR(VALUE(TRIM(LEFT(Sync!$AE1511,FIND("/",Sync!$AE1511)-1))),""))))</f>
        <v/>
      </c>
      <c r="H1511">
        <f>IF(OR($F1511="",$G1511=""),"",IF(ISNUMBER(Sync!$AE1511),INT(MOD(Sync!$AE1511,10000)/100),IFERROR(VALUE(TRIM(LEFT(MID(Sync!$AE1511,FIND("/",Sync!$AE1511)+1,20),FIND("/",MID(Sync!$AE1511,FIND("/",Sync!$AE1511)+1,20))-1))),"")))</f>
        <v/>
      </c>
      <c r="I1511">
        <f>IF(OR($F1511="",$G1511=""),"",IF(ISNUMBER(Sync!$AE1511),MOD(Sync!$AE1511,100),IFERROR(VALUE(TRIM(MID(MID(Sync!$AE1511,FIND("/",Sync!$AE1511)+1,20),FIND("/",MID(Sync!$AE1511,FIND("/",Sync!$AE1511)+1,20))+1,20))),"")))</f>
        <v/>
      </c>
      <c r="J1511">
        <f>IF($F1511="","",IF(OR($G1511="",$H1511="",$I1511="",$G1511&lt;1300,$G1511&gt;1500,$H1511&lt;1,$H1511&gt;12,$I1511&lt;1,$I1511&gt;31),"نامعتبر",RIGHT("0000"&amp;$G1511,4)&amp;"/"&amp;RIGHT("00"&amp;$H1511,2)&amp;"/"&amp;RIGHT("00"&amp;$I1511,2)))</f>
        <v/>
      </c>
      <c r="K1511">
        <f>IF(OR($F1511="",$J1511="",$J1511="نامعتبر"),"",LEFT($J1511,4)&amp;MID($J1511,6,2)&amp;RIGHT($J1511,2)&amp;$N1511&amp;"|"&amp;"2"&amp;RIGHT("00000"&amp;1506,5))</f>
        <v/>
      </c>
      <c r="L1511">
        <f>IF($K1511="","",COUNTIFS(LdgSellerA,$F1511,LdgKeyA,"&lt;"&amp;$K1511)+COUNTIFS(LdgSellerB,$F1511,LdgKeyB,"&lt;"&amp;$K1511)+1)</f>
        <v/>
      </c>
      <c r="M1511">
        <f>IF($L1511="","",$F1511&amp;"|"&amp;RIGHT("000000"&amp;$L1511,6))</f>
        <v/>
      </c>
      <c r="N1511">
        <f>IF($F1511="","",IF(Sync!$AF1511="","0000",IF(AND(ISNUMBER(Sync!$AF1511),Sync!$AF1511&gt;=0,Sync!$AF1511&lt;1),RIGHT("00"&amp;HOUR(Sync!$AF1511),2)&amp;RIGHT("00"&amp;MINUTE(Sync!$AF1511),2),IFERROR(RIGHT("00"&amp;VALUE(LEFT(Sync!$AF1511,FIND(":",Sync!$AF1511)-1)),2)&amp;RIGHT("00"&amp;VALUE(MID(Sync!$AF1511,FIND(":",Sync!$AF1511)+1,2)),2),"0000"))))</f>
        <v/>
      </c>
    </row>
    <row r="1512">
      <c r="A1512">
        <f>IF(OR(Calc!$E1516="",Calc!$E1516="نامعتبر",Calc!$G1516=""),"",Calc!$G1516)</f>
        <v/>
      </c>
      <c r="B1512">
        <f>IF($A1512="","",LEFT(Calc!$E1516,4)&amp;MID(Calc!$E1516,6,2)&amp;RIGHT(Calc!$E1516,2)&amp;Calc!$Q1516&amp;"|"&amp;"1"&amp;RIGHT("00000"&amp;1507,5))</f>
        <v/>
      </c>
      <c r="C1512">
        <f>IF($B1512="","",COUNTIFS(LdgSellerA,$A1512,LdgKeyA,"&lt;"&amp;$B1512)+COUNTIFS(LdgSellerB,$A1512,LdgKeyB,"&lt;"&amp;$B1512)+1)</f>
        <v/>
      </c>
      <c r="D1512">
        <f>IF($C1512="","",$A1512&amp;"|"&amp;RIGHT("000000"&amp;$C1512,6))</f>
        <v/>
      </c>
      <c r="F1512">
        <f>IF(Sync!$AH1512="","",IF(LEFT(UPPER(TRIM(Sync!$AH1512)),2)="SL",UPPER(TRIM(Sync!$AH1512)),""))</f>
        <v/>
      </c>
      <c r="G1512">
        <f>IF($F1512="","",IF(Sync!$AE1512="","",IF(ISNUMBER(Sync!$AE1512),IF(AND(Sync!$AE1512&gt;=10000101,Sync!$AE1512&lt;=99991231),INT(Sync!$AE1512/10000),""),IFERROR(VALUE(TRIM(LEFT(Sync!$AE1512,FIND("/",Sync!$AE1512)-1))),""))))</f>
        <v/>
      </c>
      <c r="H1512">
        <f>IF(OR($F1512="",$G1512=""),"",IF(ISNUMBER(Sync!$AE1512),INT(MOD(Sync!$AE1512,10000)/100),IFERROR(VALUE(TRIM(LEFT(MID(Sync!$AE1512,FIND("/",Sync!$AE1512)+1,20),FIND("/",MID(Sync!$AE1512,FIND("/",Sync!$AE1512)+1,20))-1))),"")))</f>
        <v/>
      </c>
      <c r="I1512">
        <f>IF(OR($F1512="",$G1512=""),"",IF(ISNUMBER(Sync!$AE1512),MOD(Sync!$AE1512,100),IFERROR(VALUE(TRIM(MID(MID(Sync!$AE1512,FIND("/",Sync!$AE1512)+1,20),FIND("/",MID(Sync!$AE1512,FIND("/",Sync!$AE1512)+1,20))+1,20))),"")))</f>
        <v/>
      </c>
      <c r="J1512">
        <f>IF($F1512="","",IF(OR($G1512="",$H1512="",$I1512="",$G1512&lt;1300,$G1512&gt;1500,$H1512&lt;1,$H1512&gt;12,$I1512&lt;1,$I1512&gt;31),"نامعتبر",RIGHT("0000"&amp;$G1512,4)&amp;"/"&amp;RIGHT("00"&amp;$H1512,2)&amp;"/"&amp;RIGHT("00"&amp;$I1512,2)))</f>
        <v/>
      </c>
      <c r="K1512">
        <f>IF(OR($F1512="",$J1512="",$J1512="نامعتبر"),"",LEFT($J1512,4)&amp;MID($J1512,6,2)&amp;RIGHT($J1512,2)&amp;$N1512&amp;"|"&amp;"2"&amp;RIGHT("00000"&amp;1507,5))</f>
        <v/>
      </c>
      <c r="L1512">
        <f>IF($K1512="","",COUNTIFS(LdgSellerA,$F1512,LdgKeyA,"&lt;"&amp;$K1512)+COUNTIFS(LdgSellerB,$F1512,LdgKeyB,"&lt;"&amp;$K1512)+1)</f>
        <v/>
      </c>
      <c r="M1512">
        <f>IF($L1512="","",$F1512&amp;"|"&amp;RIGHT("000000"&amp;$L1512,6))</f>
        <v/>
      </c>
      <c r="N1512">
        <f>IF($F1512="","",IF(Sync!$AF1512="","0000",IF(AND(ISNUMBER(Sync!$AF1512),Sync!$AF1512&gt;=0,Sync!$AF1512&lt;1),RIGHT("00"&amp;HOUR(Sync!$AF1512),2)&amp;RIGHT("00"&amp;MINUTE(Sync!$AF1512),2),IFERROR(RIGHT("00"&amp;VALUE(LEFT(Sync!$AF1512,FIND(":",Sync!$AF1512)-1)),2)&amp;RIGHT("00"&amp;VALUE(MID(Sync!$AF1512,FIND(":",Sync!$AF1512)+1,2)),2),"0000"))))</f>
        <v/>
      </c>
    </row>
    <row r="1513">
      <c r="A1513">
        <f>IF(OR(Calc!$E1517="",Calc!$E1517="نامعتبر",Calc!$G1517=""),"",Calc!$G1517)</f>
        <v/>
      </c>
      <c r="B1513">
        <f>IF($A1513="","",LEFT(Calc!$E1517,4)&amp;MID(Calc!$E1517,6,2)&amp;RIGHT(Calc!$E1517,2)&amp;Calc!$Q1517&amp;"|"&amp;"1"&amp;RIGHT("00000"&amp;1508,5))</f>
        <v/>
      </c>
      <c r="C1513">
        <f>IF($B1513="","",COUNTIFS(LdgSellerA,$A1513,LdgKeyA,"&lt;"&amp;$B1513)+COUNTIFS(LdgSellerB,$A1513,LdgKeyB,"&lt;"&amp;$B1513)+1)</f>
        <v/>
      </c>
      <c r="D1513">
        <f>IF($C1513="","",$A1513&amp;"|"&amp;RIGHT("000000"&amp;$C1513,6))</f>
        <v/>
      </c>
      <c r="F1513">
        <f>IF(Sync!$AH1513="","",IF(LEFT(UPPER(TRIM(Sync!$AH1513)),2)="SL",UPPER(TRIM(Sync!$AH1513)),""))</f>
        <v/>
      </c>
      <c r="G1513">
        <f>IF($F1513="","",IF(Sync!$AE1513="","",IF(ISNUMBER(Sync!$AE1513),IF(AND(Sync!$AE1513&gt;=10000101,Sync!$AE1513&lt;=99991231),INT(Sync!$AE1513/10000),""),IFERROR(VALUE(TRIM(LEFT(Sync!$AE1513,FIND("/",Sync!$AE1513)-1))),""))))</f>
        <v/>
      </c>
      <c r="H1513">
        <f>IF(OR($F1513="",$G1513=""),"",IF(ISNUMBER(Sync!$AE1513),INT(MOD(Sync!$AE1513,10000)/100),IFERROR(VALUE(TRIM(LEFT(MID(Sync!$AE1513,FIND("/",Sync!$AE1513)+1,20),FIND("/",MID(Sync!$AE1513,FIND("/",Sync!$AE1513)+1,20))-1))),"")))</f>
        <v/>
      </c>
      <c r="I1513">
        <f>IF(OR($F1513="",$G1513=""),"",IF(ISNUMBER(Sync!$AE1513),MOD(Sync!$AE1513,100),IFERROR(VALUE(TRIM(MID(MID(Sync!$AE1513,FIND("/",Sync!$AE1513)+1,20),FIND("/",MID(Sync!$AE1513,FIND("/",Sync!$AE1513)+1,20))+1,20))),"")))</f>
        <v/>
      </c>
      <c r="J1513">
        <f>IF($F1513="","",IF(OR($G1513="",$H1513="",$I1513="",$G1513&lt;1300,$G1513&gt;1500,$H1513&lt;1,$H1513&gt;12,$I1513&lt;1,$I1513&gt;31),"نامعتبر",RIGHT("0000"&amp;$G1513,4)&amp;"/"&amp;RIGHT("00"&amp;$H1513,2)&amp;"/"&amp;RIGHT("00"&amp;$I1513,2)))</f>
        <v/>
      </c>
      <c r="K1513">
        <f>IF(OR($F1513="",$J1513="",$J1513="نامعتبر"),"",LEFT($J1513,4)&amp;MID($J1513,6,2)&amp;RIGHT($J1513,2)&amp;$N1513&amp;"|"&amp;"2"&amp;RIGHT("00000"&amp;1508,5))</f>
        <v/>
      </c>
      <c r="L1513">
        <f>IF($K1513="","",COUNTIFS(LdgSellerA,$F1513,LdgKeyA,"&lt;"&amp;$K1513)+COUNTIFS(LdgSellerB,$F1513,LdgKeyB,"&lt;"&amp;$K1513)+1)</f>
        <v/>
      </c>
      <c r="M1513">
        <f>IF($L1513="","",$F1513&amp;"|"&amp;RIGHT("000000"&amp;$L1513,6))</f>
        <v/>
      </c>
      <c r="N1513">
        <f>IF($F1513="","",IF(Sync!$AF1513="","0000",IF(AND(ISNUMBER(Sync!$AF1513),Sync!$AF1513&gt;=0,Sync!$AF1513&lt;1),RIGHT("00"&amp;HOUR(Sync!$AF1513),2)&amp;RIGHT("00"&amp;MINUTE(Sync!$AF1513),2),IFERROR(RIGHT("00"&amp;VALUE(LEFT(Sync!$AF1513,FIND(":",Sync!$AF1513)-1)),2)&amp;RIGHT("00"&amp;VALUE(MID(Sync!$AF1513,FIND(":",Sync!$AF1513)+1,2)),2),"0000"))))</f>
        <v/>
      </c>
    </row>
    <row r="1514">
      <c r="A1514">
        <f>IF(OR(Calc!$E1518="",Calc!$E1518="نامعتبر",Calc!$G1518=""),"",Calc!$G1518)</f>
        <v/>
      </c>
      <c r="B1514">
        <f>IF($A1514="","",LEFT(Calc!$E1518,4)&amp;MID(Calc!$E1518,6,2)&amp;RIGHT(Calc!$E1518,2)&amp;Calc!$Q1518&amp;"|"&amp;"1"&amp;RIGHT("00000"&amp;1509,5))</f>
        <v/>
      </c>
      <c r="C1514">
        <f>IF($B1514="","",COUNTIFS(LdgSellerA,$A1514,LdgKeyA,"&lt;"&amp;$B1514)+COUNTIFS(LdgSellerB,$A1514,LdgKeyB,"&lt;"&amp;$B1514)+1)</f>
        <v/>
      </c>
      <c r="D1514">
        <f>IF($C1514="","",$A1514&amp;"|"&amp;RIGHT("000000"&amp;$C1514,6))</f>
        <v/>
      </c>
      <c r="F1514">
        <f>IF(Sync!$AH1514="","",IF(LEFT(UPPER(TRIM(Sync!$AH1514)),2)="SL",UPPER(TRIM(Sync!$AH1514)),""))</f>
        <v/>
      </c>
      <c r="G1514">
        <f>IF($F1514="","",IF(Sync!$AE1514="","",IF(ISNUMBER(Sync!$AE1514),IF(AND(Sync!$AE1514&gt;=10000101,Sync!$AE1514&lt;=99991231),INT(Sync!$AE1514/10000),""),IFERROR(VALUE(TRIM(LEFT(Sync!$AE1514,FIND("/",Sync!$AE1514)-1))),""))))</f>
        <v/>
      </c>
      <c r="H1514">
        <f>IF(OR($F1514="",$G1514=""),"",IF(ISNUMBER(Sync!$AE1514),INT(MOD(Sync!$AE1514,10000)/100),IFERROR(VALUE(TRIM(LEFT(MID(Sync!$AE1514,FIND("/",Sync!$AE1514)+1,20),FIND("/",MID(Sync!$AE1514,FIND("/",Sync!$AE1514)+1,20))-1))),"")))</f>
        <v/>
      </c>
      <c r="I1514">
        <f>IF(OR($F1514="",$G1514=""),"",IF(ISNUMBER(Sync!$AE1514),MOD(Sync!$AE1514,100),IFERROR(VALUE(TRIM(MID(MID(Sync!$AE1514,FIND("/",Sync!$AE1514)+1,20),FIND("/",MID(Sync!$AE1514,FIND("/",Sync!$AE1514)+1,20))+1,20))),"")))</f>
        <v/>
      </c>
      <c r="J1514">
        <f>IF($F1514="","",IF(OR($G1514="",$H1514="",$I1514="",$G1514&lt;1300,$G1514&gt;1500,$H1514&lt;1,$H1514&gt;12,$I1514&lt;1,$I1514&gt;31),"نامعتبر",RIGHT("0000"&amp;$G1514,4)&amp;"/"&amp;RIGHT("00"&amp;$H1514,2)&amp;"/"&amp;RIGHT("00"&amp;$I1514,2)))</f>
        <v/>
      </c>
      <c r="K1514">
        <f>IF(OR($F1514="",$J1514="",$J1514="نامعتبر"),"",LEFT($J1514,4)&amp;MID($J1514,6,2)&amp;RIGHT($J1514,2)&amp;$N1514&amp;"|"&amp;"2"&amp;RIGHT("00000"&amp;1509,5))</f>
        <v/>
      </c>
      <c r="L1514">
        <f>IF($K1514="","",COUNTIFS(LdgSellerA,$F1514,LdgKeyA,"&lt;"&amp;$K1514)+COUNTIFS(LdgSellerB,$F1514,LdgKeyB,"&lt;"&amp;$K1514)+1)</f>
        <v/>
      </c>
      <c r="M1514">
        <f>IF($L1514="","",$F1514&amp;"|"&amp;RIGHT("000000"&amp;$L1514,6))</f>
        <v/>
      </c>
      <c r="N1514">
        <f>IF($F1514="","",IF(Sync!$AF1514="","0000",IF(AND(ISNUMBER(Sync!$AF1514),Sync!$AF1514&gt;=0,Sync!$AF1514&lt;1),RIGHT("00"&amp;HOUR(Sync!$AF1514),2)&amp;RIGHT("00"&amp;MINUTE(Sync!$AF1514),2),IFERROR(RIGHT("00"&amp;VALUE(LEFT(Sync!$AF1514,FIND(":",Sync!$AF1514)-1)),2)&amp;RIGHT("00"&amp;VALUE(MID(Sync!$AF1514,FIND(":",Sync!$AF1514)+1,2)),2),"0000"))))</f>
        <v/>
      </c>
    </row>
    <row r="1515">
      <c r="A1515">
        <f>IF(OR(Calc!$E1519="",Calc!$E1519="نامعتبر",Calc!$G1519=""),"",Calc!$G1519)</f>
        <v/>
      </c>
      <c r="B1515">
        <f>IF($A1515="","",LEFT(Calc!$E1519,4)&amp;MID(Calc!$E1519,6,2)&amp;RIGHT(Calc!$E1519,2)&amp;Calc!$Q1519&amp;"|"&amp;"1"&amp;RIGHT("00000"&amp;1510,5))</f>
        <v/>
      </c>
      <c r="C1515">
        <f>IF($B1515="","",COUNTIFS(LdgSellerA,$A1515,LdgKeyA,"&lt;"&amp;$B1515)+COUNTIFS(LdgSellerB,$A1515,LdgKeyB,"&lt;"&amp;$B1515)+1)</f>
        <v/>
      </c>
      <c r="D1515">
        <f>IF($C1515="","",$A1515&amp;"|"&amp;RIGHT("000000"&amp;$C1515,6))</f>
        <v/>
      </c>
      <c r="F1515">
        <f>IF(Sync!$AH1515="","",IF(LEFT(UPPER(TRIM(Sync!$AH1515)),2)="SL",UPPER(TRIM(Sync!$AH1515)),""))</f>
        <v/>
      </c>
      <c r="G1515">
        <f>IF($F1515="","",IF(Sync!$AE1515="","",IF(ISNUMBER(Sync!$AE1515),IF(AND(Sync!$AE1515&gt;=10000101,Sync!$AE1515&lt;=99991231),INT(Sync!$AE1515/10000),""),IFERROR(VALUE(TRIM(LEFT(Sync!$AE1515,FIND("/",Sync!$AE1515)-1))),""))))</f>
        <v/>
      </c>
      <c r="H1515">
        <f>IF(OR($F1515="",$G1515=""),"",IF(ISNUMBER(Sync!$AE1515),INT(MOD(Sync!$AE1515,10000)/100),IFERROR(VALUE(TRIM(LEFT(MID(Sync!$AE1515,FIND("/",Sync!$AE1515)+1,20),FIND("/",MID(Sync!$AE1515,FIND("/",Sync!$AE1515)+1,20))-1))),"")))</f>
        <v/>
      </c>
      <c r="I1515">
        <f>IF(OR($F1515="",$G1515=""),"",IF(ISNUMBER(Sync!$AE1515),MOD(Sync!$AE1515,100),IFERROR(VALUE(TRIM(MID(MID(Sync!$AE1515,FIND("/",Sync!$AE1515)+1,20),FIND("/",MID(Sync!$AE1515,FIND("/",Sync!$AE1515)+1,20))+1,20))),"")))</f>
        <v/>
      </c>
      <c r="J1515">
        <f>IF($F1515="","",IF(OR($G1515="",$H1515="",$I1515="",$G1515&lt;1300,$G1515&gt;1500,$H1515&lt;1,$H1515&gt;12,$I1515&lt;1,$I1515&gt;31),"نامعتبر",RIGHT("0000"&amp;$G1515,4)&amp;"/"&amp;RIGHT("00"&amp;$H1515,2)&amp;"/"&amp;RIGHT("00"&amp;$I1515,2)))</f>
        <v/>
      </c>
      <c r="K1515">
        <f>IF(OR($F1515="",$J1515="",$J1515="نامعتبر"),"",LEFT($J1515,4)&amp;MID($J1515,6,2)&amp;RIGHT($J1515,2)&amp;$N1515&amp;"|"&amp;"2"&amp;RIGHT("00000"&amp;1510,5))</f>
        <v/>
      </c>
      <c r="L1515">
        <f>IF($K1515="","",COUNTIFS(LdgSellerA,$F1515,LdgKeyA,"&lt;"&amp;$K1515)+COUNTIFS(LdgSellerB,$F1515,LdgKeyB,"&lt;"&amp;$K1515)+1)</f>
        <v/>
      </c>
      <c r="M1515">
        <f>IF($L1515="","",$F1515&amp;"|"&amp;RIGHT("000000"&amp;$L1515,6))</f>
        <v/>
      </c>
      <c r="N1515">
        <f>IF($F1515="","",IF(Sync!$AF1515="","0000",IF(AND(ISNUMBER(Sync!$AF1515),Sync!$AF1515&gt;=0,Sync!$AF1515&lt;1),RIGHT("00"&amp;HOUR(Sync!$AF1515),2)&amp;RIGHT("00"&amp;MINUTE(Sync!$AF1515),2),IFERROR(RIGHT("00"&amp;VALUE(LEFT(Sync!$AF1515,FIND(":",Sync!$AF1515)-1)),2)&amp;RIGHT("00"&amp;VALUE(MID(Sync!$AF1515,FIND(":",Sync!$AF1515)+1,2)),2),"0000"))))</f>
        <v/>
      </c>
    </row>
    <row r="1516">
      <c r="A1516">
        <f>IF(OR(Calc!$E1520="",Calc!$E1520="نامعتبر",Calc!$G1520=""),"",Calc!$G1520)</f>
        <v/>
      </c>
      <c r="B1516">
        <f>IF($A1516="","",LEFT(Calc!$E1520,4)&amp;MID(Calc!$E1520,6,2)&amp;RIGHT(Calc!$E1520,2)&amp;Calc!$Q1520&amp;"|"&amp;"1"&amp;RIGHT("00000"&amp;1511,5))</f>
        <v/>
      </c>
      <c r="C1516">
        <f>IF($B1516="","",COUNTIFS(LdgSellerA,$A1516,LdgKeyA,"&lt;"&amp;$B1516)+COUNTIFS(LdgSellerB,$A1516,LdgKeyB,"&lt;"&amp;$B1516)+1)</f>
        <v/>
      </c>
      <c r="D1516">
        <f>IF($C1516="","",$A1516&amp;"|"&amp;RIGHT("000000"&amp;$C1516,6))</f>
        <v/>
      </c>
      <c r="F1516">
        <f>IF(Sync!$AH1516="","",IF(LEFT(UPPER(TRIM(Sync!$AH1516)),2)="SL",UPPER(TRIM(Sync!$AH1516)),""))</f>
        <v/>
      </c>
      <c r="G1516">
        <f>IF($F1516="","",IF(Sync!$AE1516="","",IF(ISNUMBER(Sync!$AE1516),IF(AND(Sync!$AE1516&gt;=10000101,Sync!$AE1516&lt;=99991231),INT(Sync!$AE1516/10000),""),IFERROR(VALUE(TRIM(LEFT(Sync!$AE1516,FIND("/",Sync!$AE1516)-1))),""))))</f>
        <v/>
      </c>
      <c r="H1516">
        <f>IF(OR($F1516="",$G1516=""),"",IF(ISNUMBER(Sync!$AE1516),INT(MOD(Sync!$AE1516,10000)/100),IFERROR(VALUE(TRIM(LEFT(MID(Sync!$AE1516,FIND("/",Sync!$AE1516)+1,20),FIND("/",MID(Sync!$AE1516,FIND("/",Sync!$AE1516)+1,20))-1))),"")))</f>
        <v/>
      </c>
      <c r="I1516">
        <f>IF(OR($F1516="",$G1516=""),"",IF(ISNUMBER(Sync!$AE1516),MOD(Sync!$AE1516,100),IFERROR(VALUE(TRIM(MID(MID(Sync!$AE1516,FIND("/",Sync!$AE1516)+1,20),FIND("/",MID(Sync!$AE1516,FIND("/",Sync!$AE1516)+1,20))+1,20))),"")))</f>
        <v/>
      </c>
      <c r="J1516">
        <f>IF($F1516="","",IF(OR($G1516="",$H1516="",$I1516="",$G1516&lt;1300,$G1516&gt;1500,$H1516&lt;1,$H1516&gt;12,$I1516&lt;1,$I1516&gt;31),"نامعتبر",RIGHT("0000"&amp;$G1516,4)&amp;"/"&amp;RIGHT("00"&amp;$H1516,2)&amp;"/"&amp;RIGHT("00"&amp;$I1516,2)))</f>
        <v/>
      </c>
      <c r="K1516">
        <f>IF(OR($F1516="",$J1516="",$J1516="نامعتبر"),"",LEFT($J1516,4)&amp;MID($J1516,6,2)&amp;RIGHT($J1516,2)&amp;$N1516&amp;"|"&amp;"2"&amp;RIGHT("00000"&amp;1511,5))</f>
        <v/>
      </c>
      <c r="L1516">
        <f>IF($K1516="","",COUNTIFS(LdgSellerA,$F1516,LdgKeyA,"&lt;"&amp;$K1516)+COUNTIFS(LdgSellerB,$F1516,LdgKeyB,"&lt;"&amp;$K1516)+1)</f>
        <v/>
      </c>
      <c r="M1516">
        <f>IF($L1516="","",$F1516&amp;"|"&amp;RIGHT("000000"&amp;$L1516,6))</f>
        <v/>
      </c>
      <c r="N1516">
        <f>IF($F1516="","",IF(Sync!$AF1516="","0000",IF(AND(ISNUMBER(Sync!$AF1516),Sync!$AF1516&gt;=0,Sync!$AF1516&lt;1),RIGHT("00"&amp;HOUR(Sync!$AF1516),2)&amp;RIGHT("00"&amp;MINUTE(Sync!$AF1516),2),IFERROR(RIGHT("00"&amp;VALUE(LEFT(Sync!$AF1516,FIND(":",Sync!$AF1516)-1)),2)&amp;RIGHT("00"&amp;VALUE(MID(Sync!$AF1516,FIND(":",Sync!$AF1516)+1,2)),2),"0000"))))</f>
        <v/>
      </c>
    </row>
    <row r="1517">
      <c r="A1517">
        <f>IF(OR(Calc!$E1521="",Calc!$E1521="نامعتبر",Calc!$G1521=""),"",Calc!$G1521)</f>
        <v/>
      </c>
      <c r="B1517">
        <f>IF($A1517="","",LEFT(Calc!$E1521,4)&amp;MID(Calc!$E1521,6,2)&amp;RIGHT(Calc!$E1521,2)&amp;Calc!$Q1521&amp;"|"&amp;"1"&amp;RIGHT("00000"&amp;1512,5))</f>
        <v/>
      </c>
      <c r="C1517">
        <f>IF($B1517="","",COUNTIFS(LdgSellerA,$A1517,LdgKeyA,"&lt;"&amp;$B1517)+COUNTIFS(LdgSellerB,$A1517,LdgKeyB,"&lt;"&amp;$B1517)+1)</f>
        <v/>
      </c>
      <c r="D1517">
        <f>IF($C1517="","",$A1517&amp;"|"&amp;RIGHT("000000"&amp;$C1517,6))</f>
        <v/>
      </c>
      <c r="F1517">
        <f>IF(Sync!$AH1517="","",IF(LEFT(UPPER(TRIM(Sync!$AH1517)),2)="SL",UPPER(TRIM(Sync!$AH1517)),""))</f>
        <v/>
      </c>
      <c r="G1517">
        <f>IF($F1517="","",IF(Sync!$AE1517="","",IF(ISNUMBER(Sync!$AE1517),IF(AND(Sync!$AE1517&gt;=10000101,Sync!$AE1517&lt;=99991231),INT(Sync!$AE1517/10000),""),IFERROR(VALUE(TRIM(LEFT(Sync!$AE1517,FIND("/",Sync!$AE1517)-1))),""))))</f>
        <v/>
      </c>
      <c r="H1517">
        <f>IF(OR($F1517="",$G1517=""),"",IF(ISNUMBER(Sync!$AE1517),INT(MOD(Sync!$AE1517,10000)/100),IFERROR(VALUE(TRIM(LEFT(MID(Sync!$AE1517,FIND("/",Sync!$AE1517)+1,20),FIND("/",MID(Sync!$AE1517,FIND("/",Sync!$AE1517)+1,20))-1))),"")))</f>
        <v/>
      </c>
      <c r="I1517">
        <f>IF(OR($F1517="",$G1517=""),"",IF(ISNUMBER(Sync!$AE1517),MOD(Sync!$AE1517,100),IFERROR(VALUE(TRIM(MID(MID(Sync!$AE1517,FIND("/",Sync!$AE1517)+1,20),FIND("/",MID(Sync!$AE1517,FIND("/",Sync!$AE1517)+1,20))+1,20))),"")))</f>
        <v/>
      </c>
      <c r="J1517">
        <f>IF($F1517="","",IF(OR($G1517="",$H1517="",$I1517="",$G1517&lt;1300,$G1517&gt;1500,$H1517&lt;1,$H1517&gt;12,$I1517&lt;1,$I1517&gt;31),"نامعتبر",RIGHT("0000"&amp;$G1517,4)&amp;"/"&amp;RIGHT("00"&amp;$H1517,2)&amp;"/"&amp;RIGHT("00"&amp;$I1517,2)))</f>
        <v/>
      </c>
      <c r="K1517">
        <f>IF(OR($F1517="",$J1517="",$J1517="نامعتبر"),"",LEFT($J1517,4)&amp;MID($J1517,6,2)&amp;RIGHT($J1517,2)&amp;$N1517&amp;"|"&amp;"2"&amp;RIGHT("00000"&amp;1512,5))</f>
        <v/>
      </c>
      <c r="L1517">
        <f>IF($K1517="","",COUNTIFS(LdgSellerA,$F1517,LdgKeyA,"&lt;"&amp;$K1517)+COUNTIFS(LdgSellerB,$F1517,LdgKeyB,"&lt;"&amp;$K1517)+1)</f>
        <v/>
      </c>
      <c r="M1517">
        <f>IF($L1517="","",$F1517&amp;"|"&amp;RIGHT("000000"&amp;$L1517,6))</f>
        <v/>
      </c>
      <c r="N1517">
        <f>IF($F1517="","",IF(Sync!$AF1517="","0000",IF(AND(ISNUMBER(Sync!$AF1517),Sync!$AF1517&gt;=0,Sync!$AF1517&lt;1),RIGHT("00"&amp;HOUR(Sync!$AF1517),2)&amp;RIGHT("00"&amp;MINUTE(Sync!$AF1517),2),IFERROR(RIGHT("00"&amp;VALUE(LEFT(Sync!$AF1517,FIND(":",Sync!$AF1517)-1)),2)&amp;RIGHT("00"&amp;VALUE(MID(Sync!$AF1517,FIND(":",Sync!$AF1517)+1,2)),2),"0000"))))</f>
        <v/>
      </c>
    </row>
    <row r="1518">
      <c r="A1518">
        <f>IF(OR(Calc!$E1522="",Calc!$E1522="نامعتبر",Calc!$G1522=""),"",Calc!$G1522)</f>
        <v/>
      </c>
      <c r="B1518">
        <f>IF($A1518="","",LEFT(Calc!$E1522,4)&amp;MID(Calc!$E1522,6,2)&amp;RIGHT(Calc!$E1522,2)&amp;Calc!$Q1522&amp;"|"&amp;"1"&amp;RIGHT("00000"&amp;1513,5))</f>
        <v/>
      </c>
      <c r="C1518">
        <f>IF($B1518="","",COUNTIFS(LdgSellerA,$A1518,LdgKeyA,"&lt;"&amp;$B1518)+COUNTIFS(LdgSellerB,$A1518,LdgKeyB,"&lt;"&amp;$B1518)+1)</f>
        <v/>
      </c>
      <c r="D1518">
        <f>IF($C1518="","",$A1518&amp;"|"&amp;RIGHT("000000"&amp;$C1518,6))</f>
        <v/>
      </c>
      <c r="F1518">
        <f>IF(Sync!$AH1518="","",IF(LEFT(UPPER(TRIM(Sync!$AH1518)),2)="SL",UPPER(TRIM(Sync!$AH1518)),""))</f>
        <v/>
      </c>
      <c r="G1518">
        <f>IF($F1518="","",IF(Sync!$AE1518="","",IF(ISNUMBER(Sync!$AE1518),IF(AND(Sync!$AE1518&gt;=10000101,Sync!$AE1518&lt;=99991231),INT(Sync!$AE1518/10000),""),IFERROR(VALUE(TRIM(LEFT(Sync!$AE1518,FIND("/",Sync!$AE1518)-1))),""))))</f>
        <v/>
      </c>
      <c r="H1518">
        <f>IF(OR($F1518="",$G1518=""),"",IF(ISNUMBER(Sync!$AE1518),INT(MOD(Sync!$AE1518,10000)/100),IFERROR(VALUE(TRIM(LEFT(MID(Sync!$AE1518,FIND("/",Sync!$AE1518)+1,20),FIND("/",MID(Sync!$AE1518,FIND("/",Sync!$AE1518)+1,20))-1))),"")))</f>
        <v/>
      </c>
      <c r="I1518">
        <f>IF(OR($F1518="",$G1518=""),"",IF(ISNUMBER(Sync!$AE1518),MOD(Sync!$AE1518,100),IFERROR(VALUE(TRIM(MID(MID(Sync!$AE1518,FIND("/",Sync!$AE1518)+1,20),FIND("/",MID(Sync!$AE1518,FIND("/",Sync!$AE1518)+1,20))+1,20))),"")))</f>
        <v/>
      </c>
      <c r="J1518">
        <f>IF($F1518="","",IF(OR($G1518="",$H1518="",$I1518="",$G1518&lt;1300,$G1518&gt;1500,$H1518&lt;1,$H1518&gt;12,$I1518&lt;1,$I1518&gt;31),"نامعتبر",RIGHT("0000"&amp;$G1518,4)&amp;"/"&amp;RIGHT("00"&amp;$H1518,2)&amp;"/"&amp;RIGHT("00"&amp;$I1518,2)))</f>
        <v/>
      </c>
      <c r="K1518">
        <f>IF(OR($F1518="",$J1518="",$J1518="نامعتبر"),"",LEFT($J1518,4)&amp;MID($J1518,6,2)&amp;RIGHT($J1518,2)&amp;$N1518&amp;"|"&amp;"2"&amp;RIGHT("00000"&amp;1513,5))</f>
        <v/>
      </c>
      <c r="L1518">
        <f>IF($K1518="","",COUNTIFS(LdgSellerA,$F1518,LdgKeyA,"&lt;"&amp;$K1518)+COUNTIFS(LdgSellerB,$F1518,LdgKeyB,"&lt;"&amp;$K1518)+1)</f>
        <v/>
      </c>
      <c r="M1518">
        <f>IF($L1518="","",$F1518&amp;"|"&amp;RIGHT("000000"&amp;$L1518,6))</f>
        <v/>
      </c>
      <c r="N1518">
        <f>IF($F1518="","",IF(Sync!$AF1518="","0000",IF(AND(ISNUMBER(Sync!$AF1518),Sync!$AF1518&gt;=0,Sync!$AF1518&lt;1),RIGHT("00"&amp;HOUR(Sync!$AF1518),2)&amp;RIGHT("00"&amp;MINUTE(Sync!$AF1518),2),IFERROR(RIGHT("00"&amp;VALUE(LEFT(Sync!$AF1518,FIND(":",Sync!$AF1518)-1)),2)&amp;RIGHT("00"&amp;VALUE(MID(Sync!$AF1518,FIND(":",Sync!$AF1518)+1,2)),2),"0000"))))</f>
        <v/>
      </c>
    </row>
    <row r="1519">
      <c r="A1519">
        <f>IF(OR(Calc!$E1523="",Calc!$E1523="نامعتبر",Calc!$G1523=""),"",Calc!$G1523)</f>
        <v/>
      </c>
      <c r="B1519">
        <f>IF($A1519="","",LEFT(Calc!$E1523,4)&amp;MID(Calc!$E1523,6,2)&amp;RIGHT(Calc!$E1523,2)&amp;Calc!$Q1523&amp;"|"&amp;"1"&amp;RIGHT("00000"&amp;1514,5))</f>
        <v/>
      </c>
      <c r="C1519">
        <f>IF($B1519="","",COUNTIFS(LdgSellerA,$A1519,LdgKeyA,"&lt;"&amp;$B1519)+COUNTIFS(LdgSellerB,$A1519,LdgKeyB,"&lt;"&amp;$B1519)+1)</f>
        <v/>
      </c>
      <c r="D1519">
        <f>IF($C1519="","",$A1519&amp;"|"&amp;RIGHT("000000"&amp;$C1519,6))</f>
        <v/>
      </c>
      <c r="F1519">
        <f>IF(Sync!$AH1519="","",IF(LEFT(UPPER(TRIM(Sync!$AH1519)),2)="SL",UPPER(TRIM(Sync!$AH1519)),""))</f>
        <v/>
      </c>
      <c r="G1519">
        <f>IF($F1519="","",IF(Sync!$AE1519="","",IF(ISNUMBER(Sync!$AE1519),IF(AND(Sync!$AE1519&gt;=10000101,Sync!$AE1519&lt;=99991231),INT(Sync!$AE1519/10000),""),IFERROR(VALUE(TRIM(LEFT(Sync!$AE1519,FIND("/",Sync!$AE1519)-1))),""))))</f>
        <v/>
      </c>
      <c r="H1519">
        <f>IF(OR($F1519="",$G1519=""),"",IF(ISNUMBER(Sync!$AE1519),INT(MOD(Sync!$AE1519,10000)/100),IFERROR(VALUE(TRIM(LEFT(MID(Sync!$AE1519,FIND("/",Sync!$AE1519)+1,20),FIND("/",MID(Sync!$AE1519,FIND("/",Sync!$AE1519)+1,20))-1))),"")))</f>
        <v/>
      </c>
      <c r="I1519">
        <f>IF(OR($F1519="",$G1519=""),"",IF(ISNUMBER(Sync!$AE1519),MOD(Sync!$AE1519,100),IFERROR(VALUE(TRIM(MID(MID(Sync!$AE1519,FIND("/",Sync!$AE1519)+1,20),FIND("/",MID(Sync!$AE1519,FIND("/",Sync!$AE1519)+1,20))+1,20))),"")))</f>
        <v/>
      </c>
      <c r="J1519">
        <f>IF($F1519="","",IF(OR($G1519="",$H1519="",$I1519="",$G1519&lt;1300,$G1519&gt;1500,$H1519&lt;1,$H1519&gt;12,$I1519&lt;1,$I1519&gt;31),"نامعتبر",RIGHT("0000"&amp;$G1519,4)&amp;"/"&amp;RIGHT("00"&amp;$H1519,2)&amp;"/"&amp;RIGHT("00"&amp;$I1519,2)))</f>
        <v/>
      </c>
      <c r="K1519">
        <f>IF(OR($F1519="",$J1519="",$J1519="نامعتبر"),"",LEFT($J1519,4)&amp;MID($J1519,6,2)&amp;RIGHT($J1519,2)&amp;$N1519&amp;"|"&amp;"2"&amp;RIGHT("00000"&amp;1514,5))</f>
        <v/>
      </c>
      <c r="L1519">
        <f>IF($K1519="","",COUNTIFS(LdgSellerA,$F1519,LdgKeyA,"&lt;"&amp;$K1519)+COUNTIFS(LdgSellerB,$F1519,LdgKeyB,"&lt;"&amp;$K1519)+1)</f>
        <v/>
      </c>
      <c r="M1519">
        <f>IF($L1519="","",$F1519&amp;"|"&amp;RIGHT("000000"&amp;$L1519,6))</f>
        <v/>
      </c>
      <c r="N1519">
        <f>IF($F1519="","",IF(Sync!$AF1519="","0000",IF(AND(ISNUMBER(Sync!$AF1519),Sync!$AF1519&gt;=0,Sync!$AF1519&lt;1),RIGHT("00"&amp;HOUR(Sync!$AF1519),2)&amp;RIGHT("00"&amp;MINUTE(Sync!$AF1519),2),IFERROR(RIGHT("00"&amp;VALUE(LEFT(Sync!$AF1519,FIND(":",Sync!$AF1519)-1)),2)&amp;RIGHT("00"&amp;VALUE(MID(Sync!$AF1519,FIND(":",Sync!$AF1519)+1,2)),2),"0000"))))</f>
        <v/>
      </c>
    </row>
    <row r="1520">
      <c r="A1520">
        <f>IF(OR(Calc!$E1524="",Calc!$E1524="نامعتبر",Calc!$G1524=""),"",Calc!$G1524)</f>
        <v/>
      </c>
      <c r="B1520">
        <f>IF($A1520="","",LEFT(Calc!$E1524,4)&amp;MID(Calc!$E1524,6,2)&amp;RIGHT(Calc!$E1524,2)&amp;Calc!$Q1524&amp;"|"&amp;"1"&amp;RIGHT("00000"&amp;1515,5))</f>
        <v/>
      </c>
      <c r="C1520">
        <f>IF($B1520="","",COUNTIFS(LdgSellerA,$A1520,LdgKeyA,"&lt;"&amp;$B1520)+COUNTIFS(LdgSellerB,$A1520,LdgKeyB,"&lt;"&amp;$B1520)+1)</f>
        <v/>
      </c>
      <c r="D1520">
        <f>IF($C1520="","",$A1520&amp;"|"&amp;RIGHT("000000"&amp;$C1520,6))</f>
        <v/>
      </c>
      <c r="F1520">
        <f>IF(Sync!$AH1520="","",IF(LEFT(UPPER(TRIM(Sync!$AH1520)),2)="SL",UPPER(TRIM(Sync!$AH1520)),""))</f>
        <v/>
      </c>
      <c r="G1520">
        <f>IF($F1520="","",IF(Sync!$AE1520="","",IF(ISNUMBER(Sync!$AE1520),IF(AND(Sync!$AE1520&gt;=10000101,Sync!$AE1520&lt;=99991231),INT(Sync!$AE1520/10000),""),IFERROR(VALUE(TRIM(LEFT(Sync!$AE1520,FIND("/",Sync!$AE1520)-1))),""))))</f>
        <v/>
      </c>
      <c r="H1520">
        <f>IF(OR($F1520="",$G1520=""),"",IF(ISNUMBER(Sync!$AE1520),INT(MOD(Sync!$AE1520,10000)/100),IFERROR(VALUE(TRIM(LEFT(MID(Sync!$AE1520,FIND("/",Sync!$AE1520)+1,20),FIND("/",MID(Sync!$AE1520,FIND("/",Sync!$AE1520)+1,20))-1))),"")))</f>
        <v/>
      </c>
      <c r="I1520">
        <f>IF(OR($F1520="",$G1520=""),"",IF(ISNUMBER(Sync!$AE1520),MOD(Sync!$AE1520,100),IFERROR(VALUE(TRIM(MID(MID(Sync!$AE1520,FIND("/",Sync!$AE1520)+1,20),FIND("/",MID(Sync!$AE1520,FIND("/",Sync!$AE1520)+1,20))+1,20))),"")))</f>
        <v/>
      </c>
      <c r="J1520">
        <f>IF($F1520="","",IF(OR($G1520="",$H1520="",$I1520="",$G1520&lt;1300,$G1520&gt;1500,$H1520&lt;1,$H1520&gt;12,$I1520&lt;1,$I1520&gt;31),"نامعتبر",RIGHT("0000"&amp;$G1520,4)&amp;"/"&amp;RIGHT("00"&amp;$H1520,2)&amp;"/"&amp;RIGHT("00"&amp;$I1520,2)))</f>
        <v/>
      </c>
      <c r="K1520">
        <f>IF(OR($F1520="",$J1520="",$J1520="نامعتبر"),"",LEFT($J1520,4)&amp;MID($J1520,6,2)&amp;RIGHT($J1520,2)&amp;$N1520&amp;"|"&amp;"2"&amp;RIGHT("00000"&amp;1515,5))</f>
        <v/>
      </c>
      <c r="L1520">
        <f>IF($K1520="","",COUNTIFS(LdgSellerA,$F1520,LdgKeyA,"&lt;"&amp;$K1520)+COUNTIFS(LdgSellerB,$F1520,LdgKeyB,"&lt;"&amp;$K1520)+1)</f>
        <v/>
      </c>
      <c r="M1520">
        <f>IF($L1520="","",$F1520&amp;"|"&amp;RIGHT("000000"&amp;$L1520,6))</f>
        <v/>
      </c>
      <c r="N1520">
        <f>IF($F1520="","",IF(Sync!$AF1520="","0000",IF(AND(ISNUMBER(Sync!$AF1520),Sync!$AF1520&gt;=0,Sync!$AF1520&lt;1),RIGHT("00"&amp;HOUR(Sync!$AF1520),2)&amp;RIGHT("00"&amp;MINUTE(Sync!$AF1520),2),IFERROR(RIGHT("00"&amp;VALUE(LEFT(Sync!$AF1520,FIND(":",Sync!$AF1520)-1)),2)&amp;RIGHT("00"&amp;VALUE(MID(Sync!$AF1520,FIND(":",Sync!$AF1520)+1,2)),2),"0000"))))</f>
        <v/>
      </c>
    </row>
    <row r="1521">
      <c r="A1521">
        <f>IF(OR(Calc!$E1525="",Calc!$E1525="نامعتبر",Calc!$G1525=""),"",Calc!$G1525)</f>
        <v/>
      </c>
      <c r="B1521">
        <f>IF($A1521="","",LEFT(Calc!$E1525,4)&amp;MID(Calc!$E1525,6,2)&amp;RIGHT(Calc!$E1525,2)&amp;Calc!$Q1525&amp;"|"&amp;"1"&amp;RIGHT("00000"&amp;1516,5))</f>
        <v/>
      </c>
      <c r="C1521">
        <f>IF($B1521="","",COUNTIFS(LdgSellerA,$A1521,LdgKeyA,"&lt;"&amp;$B1521)+COUNTIFS(LdgSellerB,$A1521,LdgKeyB,"&lt;"&amp;$B1521)+1)</f>
        <v/>
      </c>
      <c r="D1521">
        <f>IF($C1521="","",$A1521&amp;"|"&amp;RIGHT("000000"&amp;$C1521,6))</f>
        <v/>
      </c>
      <c r="F1521">
        <f>IF(Sync!$AH1521="","",IF(LEFT(UPPER(TRIM(Sync!$AH1521)),2)="SL",UPPER(TRIM(Sync!$AH1521)),""))</f>
        <v/>
      </c>
      <c r="G1521">
        <f>IF($F1521="","",IF(Sync!$AE1521="","",IF(ISNUMBER(Sync!$AE1521),IF(AND(Sync!$AE1521&gt;=10000101,Sync!$AE1521&lt;=99991231),INT(Sync!$AE1521/10000),""),IFERROR(VALUE(TRIM(LEFT(Sync!$AE1521,FIND("/",Sync!$AE1521)-1))),""))))</f>
        <v/>
      </c>
      <c r="H1521">
        <f>IF(OR($F1521="",$G1521=""),"",IF(ISNUMBER(Sync!$AE1521),INT(MOD(Sync!$AE1521,10000)/100),IFERROR(VALUE(TRIM(LEFT(MID(Sync!$AE1521,FIND("/",Sync!$AE1521)+1,20),FIND("/",MID(Sync!$AE1521,FIND("/",Sync!$AE1521)+1,20))-1))),"")))</f>
        <v/>
      </c>
      <c r="I1521">
        <f>IF(OR($F1521="",$G1521=""),"",IF(ISNUMBER(Sync!$AE1521),MOD(Sync!$AE1521,100),IFERROR(VALUE(TRIM(MID(MID(Sync!$AE1521,FIND("/",Sync!$AE1521)+1,20),FIND("/",MID(Sync!$AE1521,FIND("/",Sync!$AE1521)+1,20))+1,20))),"")))</f>
        <v/>
      </c>
      <c r="J1521">
        <f>IF($F1521="","",IF(OR($G1521="",$H1521="",$I1521="",$G1521&lt;1300,$G1521&gt;1500,$H1521&lt;1,$H1521&gt;12,$I1521&lt;1,$I1521&gt;31),"نامعتبر",RIGHT("0000"&amp;$G1521,4)&amp;"/"&amp;RIGHT("00"&amp;$H1521,2)&amp;"/"&amp;RIGHT("00"&amp;$I1521,2)))</f>
        <v/>
      </c>
      <c r="K1521">
        <f>IF(OR($F1521="",$J1521="",$J1521="نامعتبر"),"",LEFT($J1521,4)&amp;MID($J1521,6,2)&amp;RIGHT($J1521,2)&amp;$N1521&amp;"|"&amp;"2"&amp;RIGHT("00000"&amp;1516,5))</f>
        <v/>
      </c>
      <c r="L1521">
        <f>IF($K1521="","",COUNTIFS(LdgSellerA,$F1521,LdgKeyA,"&lt;"&amp;$K1521)+COUNTIFS(LdgSellerB,$F1521,LdgKeyB,"&lt;"&amp;$K1521)+1)</f>
        <v/>
      </c>
      <c r="M1521">
        <f>IF($L1521="","",$F1521&amp;"|"&amp;RIGHT("000000"&amp;$L1521,6))</f>
        <v/>
      </c>
      <c r="N1521">
        <f>IF($F1521="","",IF(Sync!$AF1521="","0000",IF(AND(ISNUMBER(Sync!$AF1521),Sync!$AF1521&gt;=0,Sync!$AF1521&lt;1),RIGHT("00"&amp;HOUR(Sync!$AF1521),2)&amp;RIGHT("00"&amp;MINUTE(Sync!$AF1521),2),IFERROR(RIGHT("00"&amp;VALUE(LEFT(Sync!$AF1521,FIND(":",Sync!$AF1521)-1)),2)&amp;RIGHT("00"&amp;VALUE(MID(Sync!$AF1521,FIND(":",Sync!$AF1521)+1,2)),2),"0000"))))</f>
        <v/>
      </c>
    </row>
    <row r="1522">
      <c r="A1522">
        <f>IF(OR(Calc!$E1526="",Calc!$E1526="نامعتبر",Calc!$G1526=""),"",Calc!$G1526)</f>
        <v/>
      </c>
      <c r="B1522">
        <f>IF($A1522="","",LEFT(Calc!$E1526,4)&amp;MID(Calc!$E1526,6,2)&amp;RIGHT(Calc!$E1526,2)&amp;Calc!$Q1526&amp;"|"&amp;"1"&amp;RIGHT("00000"&amp;1517,5))</f>
        <v/>
      </c>
      <c r="C1522">
        <f>IF($B1522="","",COUNTIFS(LdgSellerA,$A1522,LdgKeyA,"&lt;"&amp;$B1522)+COUNTIFS(LdgSellerB,$A1522,LdgKeyB,"&lt;"&amp;$B1522)+1)</f>
        <v/>
      </c>
      <c r="D1522">
        <f>IF($C1522="","",$A1522&amp;"|"&amp;RIGHT("000000"&amp;$C1522,6))</f>
        <v/>
      </c>
      <c r="F1522">
        <f>IF(Sync!$AH1522="","",IF(LEFT(UPPER(TRIM(Sync!$AH1522)),2)="SL",UPPER(TRIM(Sync!$AH1522)),""))</f>
        <v/>
      </c>
      <c r="G1522">
        <f>IF($F1522="","",IF(Sync!$AE1522="","",IF(ISNUMBER(Sync!$AE1522),IF(AND(Sync!$AE1522&gt;=10000101,Sync!$AE1522&lt;=99991231),INT(Sync!$AE1522/10000),""),IFERROR(VALUE(TRIM(LEFT(Sync!$AE1522,FIND("/",Sync!$AE1522)-1))),""))))</f>
        <v/>
      </c>
      <c r="H1522">
        <f>IF(OR($F1522="",$G1522=""),"",IF(ISNUMBER(Sync!$AE1522),INT(MOD(Sync!$AE1522,10000)/100),IFERROR(VALUE(TRIM(LEFT(MID(Sync!$AE1522,FIND("/",Sync!$AE1522)+1,20),FIND("/",MID(Sync!$AE1522,FIND("/",Sync!$AE1522)+1,20))-1))),"")))</f>
        <v/>
      </c>
      <c r="I1522">
        <f>IF(OR($F1522="",$G1522=""),"",IF(ISNUMBER(Sync!$AE1522),MOD(Sync!$AE1522,100),IFERROR(VALUE(TRIM(MID(MID(Sync!$AE1522,FIND("/",Sync!$AE1522)+1,20),FIND("/",MID(Sync!$AE1522,FIND("/",Sync!$AE1522)+1,20))+1,20))),"")))</f>
        <v/>
      </c>
      <c r="J1522">
        <f>IF($F1522="","",IF(OR($G1522="",$H1522="",$I1522="",$G1522&lt;1300,$G1522&gt;1500,$H1522&lt;1,$H1522&gt;12,$I1522&lt;1,$I1522&gt;31),"نامعتبر",RIGHT("0000"&amp;$G1522,4)&amp;"/"&amp;RIGHT("00"&amp;$H1522,2)&amp;"/"&amp;RIGHT("00"&amp;$I1522,2)))</f>
        <v/>
      </c>
      <c r="K1522">
        <f>IF(OR($F1522="",$J1522="",$J1522="نامعتبر"),"",LEFT($J1522,4)&amp;MID($J1522,6,2)&amp;RIGHT($J1522,2)&amp;$N1522&amp;"|"&amp;"2"&amp;RIGHT("00000"&amp;1517,5))</f>
        <v/>
      </c>
      <c r="L1522">
        <f>IF($K1522="","",COUNTIFS(LdgSellerA,$F1522,LdgKeyA,"&lt;"&amp;$K1522)+COUNTIFS(LdgSellerB,$F1522,LdgKeyB,"&lt;"&amp;$K1522)+1)</f>
        <v/>
      </c>
      <c r="M1522">
        <f>IF($L1522="","",$F1522&amp;"|"&amp;RIGHT("000000"&amp;$L1522,6))</f>
        <v/>
      </c>
      <c r="N1522">
        <f>IF($F1522="","",IF(Sync!$AF1522="","0000",IF(AND(ISNUMBER(Sync!$AF1522),Sync!$AF1522&gt;=0,Sync!$AF1522&lt;1),RIGHT("00"&amp;HOUR(Sync!$AF1522),2)&amp;RIGHT("00"&amp;MINUTE(Sync!$AF1522),2),IFERROR(RIGHT("00"&amp;VALUE(LEFT(Sync!$AF1522,FIND(":",Sync!$AF1522)-1)),2)&amp;RIGHT("00"&amp;VALUE(MID(Sync!$AF1522,FIND(":",Sync!$AF1522)+1,2)),2),"0000"))))</f>
        <v/>
      </c>
    </row>
    <row r="1523">
      <c r="A1523">
        <f>IF(OR(Calc!$E1527="",Calc!$E1527="نامعتبر",Calc!$G1527=""),"",Calc!$G1527)</f>
        <v/>
      </c>
      <c r="B1523">
        <f>IF($A1523="","",LEFT(Calc!$E1527,4)&amp;MID(Calc!$E1527,6,2)&amp;RIGHT(Calc!$E1527,2)&amp;Calc!$Q1527&amp;"|"&amp;"1"&amp;RIGHT("00000"&amp;1518,5))</f>
        <v/>
      </c>
      <c r="C1523">
        <f>IF($B1523="","",COUNTIFS(LdgSellerA,$A1523,LdgKeyA,"&lt;"&amp;$B1523)+COUNTIFS(LdgSellerB,$A1523,LdgKeyB,"&lt;"&amp;$B1523)+1)</f>
        <v/>
      </c>
      <c r="D1523">
        <f>IF($C1523="","",$A1523&amp;"|"&amp;RIGHT("000000"&amp;$C1523,6))</f>
        <v/>
      </c>
      <c r="F1523">
        <f>IF(Sync!$AH1523="","",IF(LEFT(UPPER(TRIM(Sync!$AH1523)),2)="SL",UPPER(TRIM(Sync!$AH1523)),""))</f>
        <v/>
      </c>
      <c r="G1523">
        <f>IF($F1523="","",IF(Sync!$AE1523="","",IF(ISNUMBER(Sync!$AE1523),IF(AND(Sync!$AE1523&gt;=10000101,Sync!$AE1523&lt;=99991231),INT(Sync!$AE1523/10000),""),IFERROR(VALUE(TRIM(LEFT(Sync!$AE1523,FIND("/",Sync!$AE1523)-1))),""))))</f>
        <v/>
      </c>
      <c r="H1523">
        <f>IF(OR($F1523="",$G1523=""),"",IF(ISNUMBER(Sync!$AE1523),INT(MOD(Sync!$AE1523,10000)/100),IFERROR(VALUE(TRIM(LEFT(MID(Sync!$AE1523,FIND("/",Sync!$AE1523)+1,20),FIND("/",MID(Sync!$AE1523,FIND("/",Sync!$AE1523)+1,20))-1))),"")))</f>
        <v/>
      </c>
      <c r="I1523">
        <f>IF(OR($F1523="",$G1523=""),"",IF(ISNUMBER(Sync!$AE1523),MOD(Sync!$AE1523,100),IFERROR(VALUE(TRIM(MID(MID(Sync!$AE1523,FIND("/",Sync!$AE1523)+1,20),FIND("/",MID(Sync!$AE1523,FIND("/",Sync!$AE1523)+1,20))+1,20))),"")))</f>
        <v/>
      </c>
      <c r="J1523">
        <f>IF($F1523="","",IF(OR($G1523="",$H1523="",$I1523="",$G1523&lt;1300,$G1523&gt;1500,$H1523&lt;1,$H1523&gt;12,$I1523&lt;1,$I1523&gt;31),"نامعتبر",RIGHT("0000"&amp;$G1523,4)&amp;"/"&amp;RIGHT("00"&amp;$H1523,2)&amp;"/"&amp;RIGHT("00"&amp;$I1523,2)))</f>
        <v/>
      </c>
      <c r="K1523">
        <f>IF(OR($F1523="",$J1523="",$J1523="نامعتبر"),"",LEFT($J1523,4)&amp;MID($J1523,6,2)&amp;RIGHT($J1523,2)&amp;$N1523&amp;"|"&amp;"2"&amp;RIGHT("00000"&amp;1518,5))</f>
        <v/>
      </c>
      <c r="L1523">
        <f>IF($K1523="","",COUNTIFS(LdgSellerA,$F1523,LdgKeyA,"&lt;"&amp;$K1523)+COUNTIFS(LdgSellerB,$F1523,LdgKeyB,"&lt;"&amp;$K1523)+1)</f>
        <v/>
      </c>
      <c r="M1523">
        <f>IF($L1523="","",$F1523&amp;"|"&amp;RIGHT("000000"&amp;$L1523,6))</f>
        <v/>
      </c>
      <c r="N1523">
        <f>IF($F1523="","",IF(Sync!$AF1523="","0000",IF(AND(ISNUMBER(Sync!$AF1523),Sync!$AF1523&gt;=0,Sync!$AF1523&lt;1),RIGHT("00"&amp;HOUR(Sync!$AF1523),2)&amp;RIGHT("00"&amp;MINUTE(Sync!$AF1523),2),IFERROR(RIGHT("00"&amp;VALUE(LEFT(Sync!$AF1523,FIND(":",Sync!$AF1523)-1)),2)&amp;RIGHT("00"&amp;VALUE(MID(Sync!$AF1523,FIND(":",Sync!$AF1523)+1,2)),2),"0000"))))</f>
        <v/>
      </c>
    </row>
    <row r="1524">
      <c r="A1524">
        <f>IF(OR(Calc!$E1528="",Calc!$E1528="نامعتبر",Calc!$G1528=""),"",Calc!$G1528)</f>
        <v/>
      </c>
      <c r="B1524">
        <f>IF($A1524="","",LEFT(Calc!$E1528,4)&amp;MID(Calc!$E1528,6,2)&amp;RIGHT(Calc!$E1528,2)&amp;Calc!$Q1528&amp;"|"&amp;"1"&amp;RIGHT("00000"&amp;1519,5))</f>
        <v/>
      </c>
      <c r="C1524">
        <f>IF($B1524="","",COUNTIFS(LdgSellerA,$A1524,LdgKeyA,"&lt;"&amp;$B1524)+COUNTIFS(LdgSellerB,$A1524,LdgKeyB,"&lt;"&amp;$B1524)+1)</f>
        <v/>
      </c>
      <c r="D1524">
        <f>IF($C1524="","",$A1524&amp;"|"&amp;RIGHT("000000"&amp;$C1524,6))</f>
        <v/>
      </c>
      <c r="F1524">
        <f>IF(Sync!$AH1524="","",IF(LEFT(UPPER(TRIM(Sync!$AH1524)),2)="SL",UPPER(TRIM(Sync!$AH1524)),""))</f>
        <v/>
      </c>
      <c r="G1524">
        <f>IF($F1524="","",IF(Sync!$AE1524="","",IF(ISNUMBER(Sync!$AE1524),IF(AND(Sync!$AE1524&gt;=10000101,Sync!$AE1524&lt;=99991231),INT(Sync!$AE1524/10000),""),IFERROR(VALUE(TRIM(LEFT(Sync!$AE1524,FIND("/",Sync!$AE1524)-1))),""))))</f>
        <v/>
      </c>
      <c r="H1524">
        <f>IF(OR($F1524="",$G1524=""),"",IF(ISNUMBER(Sync!$AE1524),INT(MOD(Sync!$AE1524,10000)/100),IFERROR(VALUE(TRIM(LEFT(MID(Sync!$AE1524,FIND("/",Sync!$AE1524)+1,20),FIND("/",MID(Sync!$AE1524,FIND("/",Sync!$AE1524)+1,20))-1))),"")))</f>
        <v/>
      </c>
      <c r="I1524">
        <f>IF(OR($F1524="",$G1524=""),"",IF(ISNUMBER(Sync!$AE1524),MOD(Sync!$AE1524,100),IFERROR(VALUE(TRIM(MID(MID(Sync!$AE1524,FIND("/",Sync!$AE1524)+1,20),FIND("/",MID(Sync!$AE1524,FIND("/",Sync!$AE1524)+1,20))+1,20))),"")))</f>
        <v/>
      </c>
      <c r="J1524">
        <f>IF($F1524="","",IF(OR($G1524="",$H1524="",$I1524="",$G1524&lt;1300,$G1524&gt;1500,$H1524&lt;1,$H1524&gt;12,$I1524&lt;1,$I1524&gt;31),"نامعتبر",RIGHT("0000"&amp;$G1524,4)&amp;"/"&amp;RIGHT("00"&amp;$H1524,2)&amp;"/"&amp;RIGHT("00"&amp;$I1524,2)))</f>
        <v/>
      </c>
      <c r="K1524">
        <f>IF(OR($F1524="",$J1524="",$J1524="نامعتبر"),"",LEFT($J1524,4)&amp;MID($J1524,6,2)&amp;RIGHT($J1524,2)&amp;$N1524&amp;"|"&amp;"2"&amp;RIGHT("00000"&amp;1519,5))</f>
        <v/>
      </c>
      <c r="L1524">
        <f>IF($K1524="","",COUNTIFS(LdgSellerA,$F1524,LdgKeyA,"&lt;"&amp;$K1524)+COUNTIFS(LdgSellerB,$F1524,LdgKeyB,"&lt;"&amp;$K1524)+1)</f>
        <v/>
      </c>
      <c r="M1524">
        <f>IF($L1524="","",$F1524&amp;"|"&amp;RIGHT("000000"&amp;$L1524,6))</f>
        <v/>
      </c>
      <c r="N1524">
        <f>IF($F1524="","",IF(Sync!$AF1524="","0000",IF(AND(ISNUMBER(Sync!$AF1524),Sync!$AF1524&gt;=0,Sync!$AF1524&lt;1),RIGHT("00"&amp;HOUR(Sync!$AF1524),2)&amp;RIGHT("00"&amp;MINUTE(Sync!$AF1524),2),IFERROR(RIGHT("00"&amp;VALUE(LEFT(Sync!$AF1524,FIND(":",Sync!$AF1524)-1)),2)&amp;RIGHT("00"&amp;VALUE(MID(Sync!$AF1524,FIND(":",Sync!$AF1524)+1,2)),2),"0000"))))</f>
        <v/>
      </c>
    </row>
    <row r="1525">
      <c r="A1525">
        <f>IF(OR(Calc!$E1529="",Calc!$E1529="نامعتبر",Calc!$G1529=""),"",Calc!$G1529)</f>
        <v/>
      </c>
      <c r="B1525">
        <f>IF($A1525="","",LEFT(Calc!$E1529,4)&amp;MID(Calc!$E1529,6,2)&amp;RIGHT(Calc!$E1529,2)&amp;Calc!$Q1529&amp;"|"&amp;"1"&amp;RIGHT("00000"&amp;1520,5))</f>
        <v/>
      </c>
      <c r="C1525">
        <f>IF($B1525="","",COUNTIFS(LdgSellerA,$A1525,LdgKeyA,"&lt;"&amp;$B1525)+COUNTIFS(LdgSellerB,$A1525,LdgKeyB,"&lt;"&amp;$B1525)+1)</f>
        <v/>
      </c>
      <c r="D1525">
        <f>IF($C1525="","",$A1525&amp;"|"&amp;RIGHT("000000"&amp;$C1525,6))</f>
        <v/>
      </c>
      <c r="F1525">
        <f>IF(Sync!$AH1525="","",IF(LEFT(UPPER(TRIM(Sync!$AH1525)),2)="SL",UPPER(TRIM(Sync!$AH1525)),""))</f>
        <v/>
      </c>
      <c r="G1525">
        <f>IF($F1525="","",IF(Sync!$AE1525="","",IF(ISNUMBER(Sync!$AE1525),IF(AND(Sync!$AE1525&gt;=10000101,Sync!$AE1525&lt;=99991231),INT(Sync!$AE1525/10000),""),IFERROR(VALUE(TRIM(LEFT(Sync!$AE1525,FIND("/",Sync!$AE1525)-1))),""))))</f>
        <v/>
      </c>
      <c r="H1525">
        <f>IF(OR($F1525="",$G1525=""),"",IF(ISNUMBER(Sync!$AE1525),INT(MOD(Sync!$AE1525,10000)/100),IFERROR(VALUE(TRIM(LEFT(MID(Sync!$AE1525,FIND("/",Sync!$AE1525)+1,20),FIND("/",MID(Sync!$AE1525,FIND("/",Sync!$AE1525)+1,20))-1))),"")))</f>
        <v/>
      </c>
      <c r="I1525">
        <f>IF(OR($F1525="",$G1525=""),"",IF(ISNUMBER(Sync!$AE1525),MOD(Sync!$AE1525,100),IFERROR(VALUE(TRIM(MID(MID(Sync!$AE1525,FIND("/",Sync!$AE1525)+1,20),FIND("/",MID(Sync!$AE1525,FIND("/",Sync!$AE1525)+1,20))+1,20))),"")))</f>
        <v/>
      </c>
      <c r="J1525">
        <f>IF($F1525="","",IF(OR($G1525="",$H1525="",$I1525="",$G1525&lt;1300,$G1525&gt;1500,$H1525&lt;1,$H1525&gt;12,$I1525&lt;1,$I1525&gt;31),"نامعتبر",RIGHT("0000"&amp;$G1525,4)&amp;"/"&amp;RIGHT("00"&amp;$H1525,2)&amp;"/"&amp;RIGHT("00"&amp;$I1525,2)))</f>
        <v/>
      </c>
      <c r="K1525">
        <f>IF(OR($F1525="",$J1525="",$J1525="نامعتبر"),"",LEFT($J1525,4)&amp;MID($J1525,6,2)&amp;RIGHT($J1525,2)&amp;$N1525&amp;"|"&amp;"2"&amp;RIGHT("00000"&amp;1520,5))</f>
        <v/>
      </c>
      <c r="L1525">
        <f>IF($K1525="","",COUNTIFS(LdgSellerA,$F1525,LdgKeyA,"&lt;"&amp;$K1525)+COUNTIFS(LdgSellerB,$F1525,LdgKeyB,"&lt;"&amp;$K1525)+1)</f>
        <v/>
      </c>
      <c r="M1525">
        <f>IF($L1525="","",$F1525&amp;"|"&amp;RIGHT("000000"&amp;$L1525,6))</f>
        <v/>
      </c>
      <c r="N1525">
        <f>IF($F1525="","",IF(Sync!$AF1525="","0000",IF(AND(ISNUMBER(Sync!$AF1525),Sync!$AF1525&gt;=0,Sync!$AF1525&lt;1),RIGHT("00"&amp;HOUR(Sync!$AF1525),2)&amp;RIGHT("00"&amp;MINUTE(Sync!$AF1525),2),IFERROR(RIGHT("00"&amp;VALUE(LEFT(Sync!$AF1525,FIND(":",Sync!$AF1525)-1)),2)&amp;RIGHT("00"&amp;VALUE(MID(Sync!$AF1525,FIND(":",Sync!$AF1525)+1,2)),2),"0000"))))</f>
        <v/>
      </c>
    </row>
    <row r="1526">
      <c r="A1526">
        <f>IF(OR(Calc!$E1530="",Calc!$E1530="نامعتبر",Calc!$G1530=""),"",Calc!$G1530)</f>
        <v/>
      </c>
      <c r="B1526">
        <f>IF($A1526="","",LEFT(Calc!$E1530,4)&amp;MID(Calc!$E1530,6,2)&amp;RIGHT(Calc!$E1530,2)&amp;Calc!$Q1530&amp;"|"&amp;"1"&amp;RIGHT("00000"&amp;1521,5))</f>
        <v/>
      </c>
      <c r="C1526">
        <f>IF($B1526="","",COUNTIFS(LdgSellerA,$A1526,LdgKeyA,"&lt;"&amp;$B1526)+COUNTIFS(LdgSellerB,$A1526,LdgKeyB,"&lt;"&amp;$B1526)+1)</f>
        <v/>
      </c>
      <c r="D1526">
        <f>IF($C1526="","",$A1526&amp;"|"&amp;RIGHT("000000"&amp;$C1526,6))</f>
        <v/>
      </c>
      <c r="F1526">
        <f>IF(Sync!$AH1526="","",IF(LEFT(UPPER(TRIM(Sync!$AH1526)),2)="SL",UPPER(TRIM(Sync!$AH1526)),""))</f>
        <v/>
      </c>
      <c r="G1526">
        <f>IF($F1526="","",IF(Sync!$AE1526="","",IF(ISNUMBER(Sync!$AE1526),IF(AND(Sync!$AE1526&gt;=10000101,Sync!$AE1526&lt;=99991231),INT(Sync!$AE1526/10000),""),IFERROR(VALUE(TRIM(LEFT(Sync!$AE1526,FIND("/",Sync!$AE1526)-1))),""))))</f>
        <v/>
      </c>
      <c r="H1526">
        <f>IF(OR($F1526="",$G1526=""),"",IF(ISNUMBER(Sync!$AE1526),INT(MOD(Sync!$AE1526,10000)/100),IFERROR(VALUE(TRIM(LEFT(MID(Sync!$AE1526,FIND("/",Sync!$AE1526)+1,20),FIND("/",MID(Sync!$AE1526,FIND("/",Sync!$AE1526)+1,20))-1))),"")))</f>
        <v/>
      </c>
      <c r="I1526">
        <f>IF(OR($F1526="",$G1526=""),"",IF(ISNUMBER(Sync!$AE1526),MOD(Sync!$AE1526,100),IFERROR(VALUE(TRIM(MID(MID(Sync!$AE1526,FIND("/",Sync!$AE1526)+1,20),FIND("/",MID(Sync!$AE1526,FIND("/",Sync!$AE1526)+1,20))+1,20))),"")))</f>
        <v/>
      </c>
      <c r="J1526">
        <f>IF($F1526="","",IF(OR($G1526="",$H1526="",$I1526="",$G1526&lt;1300,$G1526&gt;1500,$H1526&lt;1,$H1526&gt;12,$I1526&lt;1,$I1526&gt;31),"نامعتبر",RIGHT("0000"&amp;$G1526,4)&amp;"/"&amp;RIGHT("00"&amp;$H1526,2)&amp;"/"&amp;RIGHT("00"&amp;$I1526,2)))</f>
        <v/>
      </c>
      <c r="K1526">
        <f>IF(OR($F1526="",$J1526="",$J1526="نامعتبر"),"",LEFT($J1526,4)&amp;MID($J1526,6,2)&amp;RIGHT($J1526,2)&amp;$N1526&amp;"|"&amp;"2"&amp;RIGHT("00000"&amp;1521,5))</f>
        <v/>
      </c>
      <c r="L1526">
        <f>IF($K1526="","",COUNTIFS(LdgSellerA,$F1526,LdgKeyA,"&lt;"&amp;$K1526)+COUNTIFS(LdgSellerB,$F1526,LdgKeyB,"&lt;"&amp;$K1526)+1)</f>
        <v/>
      </c>
      <c r="M1526">
        <f>IF($L1526="","",$F1526&amp;"|"&amp;RIGHT("000000"&amp;$L1526,6))</f>
        <v/>
      </c>
      <c r="N1526">
        <f>IF($F1526="","",IF(Sync!$AF1526="","0000",IF(AND(ISNUMBER(Sync!$AF1526),Sync!$AF1526&gt;=0,Sync!$AF1526&lt;1),RIGHT("00"&amp;HOUR(Sync!$AF1526),2)&amp;RIGHT("00"&amp;MINUTE(Sync!$AF1526),2),IFERROR(RIGHT("00"&amp;VALUE(LEFT(Sync!$AF1526,FIND(":",Sync!$AF1526)-1)),2)&amp;RIGHT("00"&amp;VALUE(MID(Sync!$AF1526,FIND(":",Sync!$AF1526)+1,2)),2),"0000"))))</f>
        <v/>
      </c>
    </row>
    <row r="1527">
      <c r="A1527">
        <f>IF(OR(Calc!$E1531="",Calc!$E1531="نامعتبر",Calc!$G1531=""),"",Calc!$G1531)</f>
        <v/>
      </c>
      <c r="B1527">
        <f>IF($A1527="","",LEFT(Calc!$E1531,4)&amp;MID(Calc!$E1531,6,2)&amp;RIGHT(Calc!$E1531,2)&amp;Calc!$Q1531&amp;"|"&amp;"1"&amp;RIGHT("00000"&amp;1522,5))</f>
        <v/>
      </c>
      <c r="C1527">
        <f>IF($B1527="","",COUNTIFS(LdgSellerA,$A1527,LdgKeyA,"&lt;"&amp;$B1527)+COUNTIFS(LdgSellerB,$A1527,LdgKeyB,"&lt;"&amp;$B1527)+1)</f>
        <v/>
      </c>
      <c r="D1527">
        <f>IF($C1527="","",$A1527&amp;"|"&amp;RIGHT("000000"&amp;$C1527,6))</f>
        <v/>
      </c>
      <c r="F1527">
        <f>IF(Sync!$AH1527="","",IF(LEFT(UPPER(TRIM(Sync!$AH1527)),2)="SL",UPPER(TRIM(Sync!$AH1527)),""))</f>
        <v/>
      </c>
      <c r="G1527">
        <f>IF($F1527="","",IF(Sync!$AE1527="","",IF(ISNUMBER(Sync!$AE1527),IF(AND(Sync!$AE1527&gt;=10000101,Sync!$AE1527&lt;=99991231),INT(Sync!$AE1527/10000),""),IFERROR(VALUE(TRIM(LEFT(Sync!$AE1527,FIND("/",Sync!$AE1527)-1))),""))))</f>
        <v/>
      </c>
      <c r="H1527">
        <f>IF(OR($F1527="",$G1527=""),"",IF(ISNUMBER(Sync!$AE1527),INT(MOD(Sync!$AE1527,10000)/100),IFERROR(VALUE(TRIM(LEFT(MID(Sync!$AE1527,FIND("/",Sync!$AE1527)+1,20),FIND("/",MID(Sync!$AE1527,FIND("/",Sync!$AE1527)+1,20))-1))),"")))</f>
        <v/>
      </c>
      <c r="I1527">
        <f>IF(OR($F1527="",$G1527=""),"",IF(ISNUMBER(Sync!$AE1527),MOD(Sync!$AE1527,100),IFERROR(VALUE(TRIM(MID(MID(Sync!$AE1527,FIND("/",Sync!$AE1527)+1,20),FIND("/",MID(Sync!$AE1527,FIND("/",Sync!$AE1527)+1,20))+1,20))),"")))</f>
        <v/>
      </c>
      <c r="J1527">
        <f>IF($F1527="","",IF(OR($G1527="",$H1527="",$I1527="",$G1527&lt;1300,$G1527&gt;1500,$H1527&lt;1,$H1527&gt;12,$I1527&lt;1,$I1527&gt;31),"نامعتبر",RIGHT("0000"&amp;$G1527,4)&amp;"/"&amp;RIGHT("00"&amp;$H1527,2)&amp;"/"&amp;RIGHT("00"&amp;$I1527,2)))</f>
        <v/>
      </c>
      <c r="K1527">
        <f>IF(OR($F1527="",$J1527="",$J1527="نامعتبر"),"",LEFT($J1527,4)&amp;MID($J1527,6,2)&amp;RIGHT($J1527,2)&amp;$N1527&amp;"|"&amp;"2"&amp;RIGHT("00000"&amp;1522,5))</f>
        <v/>
      </c>
      <c r="L1527">
        <f>IF($K1527="","",COUNTIFS(LdgSellerA,$F1527,LdgKeyA,"&lt;"&amp;$K1527)+COUNTIFS(LdgSellerB,$F1527,LdgKeyB,"&lt;"&amp;$K1527)+1)</f>
        <v/>
      </c>
      <c r="M1527">
        <f>IF($L1527="","",$F1527&amp;"|"&amp;RIGHT("000000"&amp;$L1527,6))</f>
        <v/>
      </c>
      <c r="N1527">
        <f>IF($F1527="","",IF(Sync!$AF1527="","0000",IF(AND(ISNUMBER(Sync!$AF1527),Sync!$AF1527&gt;=0,Sync!$AF1527&lt;1),RIGHT("00"&amp;HOUR(Sync!$AF1527),2)&amp;RIGHT("00"&amp;MINUTE(Sync!$AF1527),2),IFERROR(RIGHT("00"&amp;VALUE(LEFT(Sync!$AF1527,FIND(":",Sync!$AF1527)-1)),2)&amp;RIGHT("00"&amp;VALUE(MID(Sync!$AF1527,FIND(":",Sync!$AF1527)+1,2)),2),"0000"))))</f>
        <v/>
      </c>
    </row>
    <row r="1528">
      <c r="A1528">
        <f>IF(OR(Calc!$E1532="",Calc!$E1532="نامعتبر",Calc!$G1532=""),"",Calc!$G1532)</f>
        <v/>
      </c>
      <c r="B1528">
        <f>IF($A1528="","",LEFT(Calc!$E1532,4)&amp;MID(Calc!$E1532,6,2)&amp;RIGHT(Calc!$E1532,2)&amp;Calc!$Q1532&amp;"|"&amp;"1"&amp;RIGHT("00000"&amp;1523,5))</f>
        <v/>
      </c>
      <c r="C1528">
        <f>IF($B1528="","",COUNTIFS(LdgSellerA,$A1528,LdgKeyA,"&lt;"&amp;$B1528)+COUNTIFS(LdgSellerB,$A1528,LdgKeyB,"&lt;"&amp;$B1528)+1)</f>
        <v/>
      </c>
      <c r="D1528">
        <f>IF($C1528="","",$A1528&amp;"|"&amp;RIGHT("000000"&amp;$C1528,6))</f>
        <v/>
      </c>
      <c r="F1528">
        <f>IF(Sync!$AH1528="","",IF(LEFT(UPPER(TRIM(Sync!$AH1528)),2)="SL",UPPER(TRIM(Sync!$AH1528)),""))</f>
        <v/>
      </c>
      <c r="G1528">
        <f>IF($F1528="","",IF(Sync!$AE1528="","",IF(ISNUMBER(Sync!$AE1528),IF(AND(Sync!$AE1528&gt;=10000101,Sync!$AE1528&lt;=99991231),INT(Sync!$AE1528/10000),""),IFERROR(VALUE(TRIM(LEFT(Sync!$AE1528,FIND("/",Sync!$AE1528)-1))),""))))</f>
        <v/>
      </c>
      <c r="H1528">
        <f>IF(OR($F1528="",$G1528=""),"",IF(ISNUMBER(Sync!$AE1528),INT(MOD(Sync!$AE1528,10000)/100),IFERROR(VALUE(TRIM(LEFT(MID(Sync!$AE1528,FIND("/",Sync!$AE1528)+1,20),FIND("/",MID(Sync!$AE1528,FIND("/",Sync!$AE1528)+1,20))-1))),"")))</f>
        <v/>
      </c>
      <c r="I1528">
        <f>IF(OR($F1528="",$G1528=""),"",IF(ISNUMBER(Sync!$AE1528),MOD(Sync!$AE1528,100),IFERROR(VALUE(TRIM(MID(MID(Sync!$AE1528,FIND("/",Sync!$AE1528)+1,20),FIND("/",MID(Sync!$AE1528,FIND("/",Sync!$AE1528)+1,20))+1,20))),"")))</f>
        <v/>
      </c>
      <c r="J1528">
        <f>IF($F1528="","",IF(OR($G1528="",$H1528="",$I1528="",$G1528&lt;1300,$G1528&gt;1500,$H1528&lt;1,$H1528&gt;12,$I1528&lt;1,$I1528&gt;31),"نامعتبر",RIGHT("0000"&amp;$G1528,4)&amp;"/"&amp;RIGHT("00"&amp;$H1528,2)&amp;"/"&amp;RIGHT("00"&amp;$I1528,2)))</f>
        <v/>
      </c>
      <c r="K1528">
        <f>IF(OR($F1528="",$J1528="",$J1528="نامعتبر"),"",LEFT($J1528,4)&amp;MID($J1528,6,2)&amp;RIGHT($J1528,2)&amp;$N1528&amp;"|"&amp;"2"&amp;RIGHT("00000"&amp;1523,5))</f>
        <v/>
      </c>
      <c r="L1528">
        <f>IF($K1528="","",COUNTIFS(LdgSellerA,$F1528,LdgKeyA,"&lt;"&amp;$K1528)+COUNTIFS(LdgSellerB,$F1528,LdgKeyB,"&lt;"&amp;$K1528)+1)</f>
        <v/>
      </c>
      <c r="M1528">
        <f>IF($L1528="","",$F1528&amp;"|"&amp;RIGHT("000000"&amp;$L1528,6))</f>
        <v/>
      </c>
      <c r="N1528">
        <f>IF($F1528="","",IF(Sync!$AF1528="","0000",IF(AND(ISNUMBER(Sync!$AF1528),Sync!$AF1528&gt;=0,Sync!$AF1528&lt;1),RIGHT("00"&amp;HOUR(Sync!$AF1528),2)&amp;RIGHT("00"&amp;MINUTE(Sync!$AF1528),2),IFERROR(RIGHT("00"&amp;VALUE(LEFT(Sync!$AF1528,FIND(":",Sync!$AF1528)-1)),2)&amp;RIGHT("00"&amp;VALUE(MID(Sync!$AF1528,FIND(":",Sync!$AF1528)+1,2)),2),"0000"))))</f>
        <v/>
      </c>
    </row>
    <row r="1529">
      <c r="A1529">
        <f>IF(OR(Calc!$E1533="",Calc!$E1533="نامعتبر",Calc!$G1533=""),"",Calc!$G1533)</f>
        <v/>
      </c>
      <c r="B1529">
        <f>IF($A1529="","",LEFT(Calc!$E1533,4)&amp;MID(Calc!$E1533,6,2)&amp;RIGHT(Calc!$E1533,2)&amp;Calc!$Q1533&amp;"|"&amp;"1"&amp;RIGHT("00000"&amp;1524,5))</f>
        <v/>
      </c>
      <c r="C1529">
        <f>IF($B1529="","",COUNTIFS(LdgSellerA,$A1529,LdgKeyA,"&lt;"&amp;$B1529)+COUNTIFS(LdgSellerB,$A1529,LdgKeyB,"&lt;"&amp;$B1529)+1)</f>
        <v/>
      </c>
      <c r="D1529">
        <f>IF($C1529="","",$A1529&amp;"|"&amp;RIGHT("000000"&amp;$C1529,6))</f>
        <v/>
      </c>
      <c r="F1529">
        <f>IF(Sync!$AH1529="","",IF(LEFT(UPPER(TRIM(Sync!$AH1529)),2)="SL",UPPER(TRIM(Sync!$AH1529)),""))</f>
        <v/>
      </c>
      <c r="G1529">
        <f>IF($F1529="","",IF(Sync!$AE1529="","",IF(ISNUMBER(Sync!$AE1529),IF(AND(Sync!$AE1529&gt;=10000101,Sync!$AE1529&lt;=99991231),INT(Sync!$AE1529/10000),""),IFERROR(VALUE(TRIM(LEFT(Sync!$AE1529,FIND("/",Sync!$AE1529)-1))),""))))</f>
        <v/>
      </c>
      <c r="H1529">
        <f>IF(OR($F1529="",$G1529=""),"",IF(ISNUMBER(Sync!$AE1529),INT(MOD(Sync!$AE1529,10000)/100),IFERROR(VALUE(TRIM(LEFT(MID(Sync!$AE1529,FIND("/",Sync!$AE1529)+1,20),FIND("/",MID(Sync!$AE1529,FIND("/",Sync!$AE1529)+1,20))-1))),"")))</f>
        <v/>
      </c>
      <c r="I1529">
        <f>IF(OR($F1529="",$G1529=""),"",IF(ISNUMBER(Sync!$AE1529),MOD(Sync!$AE1529,100),IFERROR(VALUE(TRIM(MID(MID(Sync!$AE1529,FIND("/",Sync!$AE1529)+1,20),FIND("/",MID(Sync!$AE1529,FIND("/",Sync!$AE1529)+1,20))+1,20))),"")))</f>
        <v/>
      </c>
      <c r="J1529">
        <f>IF($F1529="","",IF(OR($G1529="",$H1529="",$I1529="",$G1529&lt;1300,$G1529&gt;1500,$H1529&lt;1,$H1529&gt;12,$I1529&lt;1,$I1529&gt;31),"نامعتبر",RIGHT("0000"&amp;$G1529,4)&amp;"/"&amp;RIGHT("00"&amp;$H1529,2)&amp;"/"&amp;RIGHT("00"&amp;$I1529,2)))</f>
        <v/>
      </c>
      <c r="K1529">
        <f>IF(OR($F1529="",$J1529="",$J1529="نامعتبر"),"",LEFT($J1529,4)&amp;MID($J1529,6,2)&amp;RIGHT($J1529,2)&amp;$N1529&amp;"|"&amp;"2"&amp;RIGHT("00000"&amp;1524,5))</f>
        <v/>
      </c>
      <c r="L1529">
        <f>IF($K1529="","",COUNTIFS(LdgSellerA,$F1529,LdgKeyA,"&lt;"&amp;$K1529)+COUNTIFS(LdgSellerB,$F1529,LdgKeyB,"&lt;"&amp;$K1529)+1)</f>
        <v/>
      </c>
      <c r="M1529">
        <f>IF($L1529="","",$F1529&amp;"|"&amp;RIGHT("000000"&amp;$L1529,6))</f>
        <v/>
      </c>
      <c r="N1529">
        <f>IF($F1529="","",IF(Sync!$AF1529="","0000",IF(AND(ISNUMBER(Sync!$AF1529),Sync!$AF1529&gt;=0,Sync!$AF1529&lt;1),RIGHT("00"&amp;HOUR(Sync!$AF1529),2)&amp;RIGHT("00"&amp;MINUTE(Sync!$AF1529),2),IFERROR(RIGHT("00"&amp;VALUE(LEFT(Sync!$AF1529,FIND(":",Sync!$AF1529)-1)),2)&amp;RIGHT("00"&amp;VALUE(MID(Sync!$AF1529,FIND(":",Sync!$AF1529)+1,2)),2),"0000"))))</f>
        <v/>
      </c>
    </row>
    <row r="1530">
      <c r="A1530">
        <f>IF(OR(Calc!$E1534="",Calc!$E1534="نامعتبر",Calc!$G1534=""),"",Calc!$G1534)</f>
        <v/>
      </c>
      <c r="B1530">
        <f>IF($A1530="","",LEFT(Calc!$E1534,4)&amp;MID(Calc!$E1534,6,2)&amp;RIGHT(Calc!$E1534,2)&amp;Calc!$Q1534&amp;"|"&amp;"1"&amp;RIGHT("00000"&amp;1525,5))</f>
        <v/>
      </c>
      <c r="C1530">
        <f>IF($B1530="","",COUNTIFS(LdgSellerA,$A1530,LdgKeyA,"&lt;"&amp;$B1530)+COUNTIFS(LdgSellerB,$A1530,LdgKeyB,"&lt;"&amp;$B1530)+1)</f>
        <v/>
      </c>
      <c r="D1530">
        <f>IF($C1530="","",$A1530&amp;"|"&amp;RIGHT("000000"&amp;$C1530,6))</f>
        <v/>
      </c>
      <c r="F1530">
        <f>IF(Sync!$AH1530="","",IF(LEFT(UPPER(TRIM(Sync!$AH1530)),2)="SL",UPPER(TRIM(Sync!$AH1530)),""))</f>
        <v/>
      </c>
      <c r="G1530">
        <f>IF($F1530="","",IF(Sync!$AE1530="","",IF(ISNUMBER(Sync!$AE1530),IF(AND(Sync!$AE1530&gt;=10000101,Sync!$AE1530&lt;=99991231),INT(Sync!$AE1530/10000),""),IFERROR(VALUE(TRIM(LEFT(Sync!$AE1530,FIND("/",Sync!$AE1530)-1))),""))))</f>
        <v/>
      </c>
      <c r="H1530">
        <f>IF(OR($F1530="",$G1530=""),"",IF(ISNUMBER(Sync!$AE1530),INT(MOD(Sync!$AE1530,10000)/100),IFERROR(VALUE(TRIM(LEFT(MID(Sync!$AE1530,FIND("/",Sync!$AE1530)+1,20),FIND("/",MID(Sync!$AE1530,FIND("/",Sync!$AE1530)+1,20))-1))),"")))</f>
        <v/>
      </c>
      <c r="I1530">
        <f>IF(OR($F1530="",$G1530=""),"",IF(ISNUMBER(Sync!$AE1530),MOD(Sync!$AE1530,100),IFERROR(VALUE(TRIM(MID(MID(Sync!$AE1530,FIND("/",Sync!$AE1530)+1,20),FIND("/",MID(Sync!$AE1530,FIND("/",Sync!$AE1530)+1,20))+1,20))),"")))</f>
        <v/>
      </c>
      <c r="J1530">
        <f>IF($F1530="","",IF(OR($G1530="",$H1530="",$I1530="",$G1530&lt;1300,$G1530&gt;1500,$H1530&lt;1,$H1530&gt;12,$I1530&lt;1,$I1530&gt;31),"نامعتبر",RIGHT("0000"&amp;$G1530,4)&amp;"/"&amp;RIGHT("00"&amp;$H1530,2)&amp;"/"&amp;RIGHT("00"&amp;$I1530,2)))</f>
        <v/>
      </c>
      <c r="K1530">
        <f>IF(OR($F1530="",$J1530="",$J1530="نامعتبر"),"",LEFT($J1530,4)&amp;MID($J1530,6,2)&amp;RIGHT($J1530,2)&amp;$N1530&amp;"|"&amp;"2"&amp;RIGHT("00000"&amp;1525,5))</f>
        <v/>
      </c>
      <c r="L1530">
        <f>IF($K1530="","",COUNTIFS(LdgSellerA,$F1530,LdgKeyA,"&lt;"&amp;$K1530)+COUNTIFS(LdgSellerB,$F1530,LdgKeyB,"&lt;"&amp;$K1530)+1)</f>
        <v/>
      </c>
      <c r="M1530">
        <f>IF($L1530="","",$F1530&amp;"|"&amp;RIGHT("000000"&amp;$L1530,6))</f>
        <v/>
      </c>
      <c r="N1530">
        <f>IF($F1530="","",IF(Sync!$AF1530="","0000",IF(AND(ISNUMBER(Sync!$AF1530),Sync!$AF1530&gt;=0,Sync!$AF1530&lt;1),RIGHT("00"&amp;HOUR(Sync!$AF1530),2)&amp;RIGHT("00"&amp;MINUTE(Sync!$AF1530),2),IFERROR(RIGHT("00"&amp;VALUE(LEFT(Sync!$AF1530,FIND(":",Sync!$AF1530)-1)),2)&amp;RIGHT("00"&amp;VALUE(MID(Sync!$AF1530,FIND(":",Sync!$AF1530)+1,2)),2),"0000"))))</f>
        <v/>
      </c>
    </row>
    <row r="1531">
      <c r="A1531">
        <f>IF(OR(Calc!$E1535="",Calc!$E1535="نامعتبر",Calc!$G1535=""),"",Calc!$G1535)</f>
        <v/>
      </c>
      <c r="B1531">
        <f>IF($A1531="","",LEFT(Calc!$E1535,4)&amp;MID(Calc!$E1535,6,2)&amp;RIGHT(Calc!$E1535,2)&amp;Calc!$Q1535&amp;"|"&amp;"1"&amp;RIGHT("00000"&amp;1526,5))</f>
        <v/>
      </c>
      <c r="C1531">
        <f>IF($B1531="","",COUNTIFS(LdgSellerA,$A1531,LdgKeyA,"&lt;"&amp;$B1531)+COUNTIFS(LdgSellerB,$A1531,LdgKeyB,"&lt;"&amp;$B1531)+1)</f>
        <v/>
      </c>
      <c r="D1531">
        <f>IF($C1531="","",$A1531&amp;"|"&amp;RIGHT("000000"&amp;$C1531,6))</f>
        <v/>
      </c>
      <c r="F1531">
        <f>IF(Sync!$AH1531="","",IF(LEFT(UPPER(TRIM(Sync!$AH1531)),2)="SL",UPPER(TRIM(Sync!$AH1531)),""))</f>
        <v/>
      </c>
      <c r="G1531">
        <f>IF($F1531="","",IF(Sync!$AE1531="","",IF(ISNUMBER(Sync!$AE1531),IF(AND(Sync!$AE1531&gt;=10000101,Sync!$AE1531&lt;=99991231),INT(Sync!$AE1531/10000),""),IFERROR(VALUE(TRIM(LEFT(Sync!$AE1531,FIND("/",Sync!$AE1531)-1))),""))))</f>
        <v/>
      </c>
      <c r="H1531">
        <f>IF(OR($F1531="",$G1531=""),"",IF(ISNUMBER(Sync!$AE1531),INT(MOD(Sync!$AE1531,10000)/100),IFERROR(VALUE(TRIM(LEFT(MID(Sync!$AE1531,FIND("/",Sync!$AE1531)+1,20),FIND("/",MID(Sync!$AE1531,FIND("/",Sync!$AE1531)+1,20))-1))),"")))</f>
        <v/>
      </c>
      <c r="I1531">
        <f>IF(OR($F1531="",$G1531=""),"",IF(ISNUMBER(Sync!$AE1531),MOD(Sync!$AE1531,100),IFERROR(VALUE(TRIM(MID(MID(Sync!$AE1531,FIND("/",Sync!$AE1531)+1,20),FIND("/",MID(Sync!$AE1531,FIND("/",Sync!$AE1531)+1,20))+1,20))),"")))</f>
        <v/>
      </c>
      <c r="J1531">
        <f>IF($F1531="","",IF(OR($G1531="",$H1531="",$I1531="",$G1531&lt;1300,$G1531&gt;1500,$H1531&lt;1,$H1531&gt;12,$I1531&lt;1,$I1531&gt;31),"نامعتبر",RIGHT("0000"&amp;$G1531,4)&amp;"/"&amp;RIGHT("00"&amp;$H1531,2)&amp;"/"&amp;RIGHT("00"&amp;$I1531,2)))</f>
        <v/>
      </c>
      <c r="K1531">
        <f>IF(OR($F1531="",$J1531="",$J1531="نامعتبر"),"",LEFT($J1531,4)&amp;MID($J1531,6,2)&amp;RIGHT($J1531,2)&amp;$N1531&amp;"|"&amp;"2"&amp;RIGHT("00000"&amp;1526,5))</f>
        <v/>
      </c>
      <c r="L1531">
        <f>IF($K1531="","",COUNTIFS(LdgSellerA,$F1531,LdgKeyA,"&lt;"&amp;$K1531)+COUNTIFS(LdgSellerB,$F1531,LdgKeyB,"&lt;"&amp;$K1531)+1)</f>
        <v/>
      </c>
      <c r="M1531">
        <f>IF($L1531="","",$F1531&amp;"|"&amp;RIGHT("000000"&amp;$L1531,6))</f>
        <v/>
      </c>
      <c r="N1531">
        <f>IF($F1531="","",IF(Sync!$AF1531="","0000",IF(AND(ISNUMBER(Sync!$AF1531),Sync!$AF1531&gt;=0,Sync!$AF1531&lt;1),RIGHT("00"&amp;HOUR(Sync!$AF1531),2)&amp;RIGHT("00"&amp;MINUTE(Sync!$AF1531),2),IFERROR(RIGHT("00"&amp;VALUE(LEFT(Sync!$AF1531,FIND(":",Sync!$AF1531)-1)),2)&amp;RIGHT("00"&amp;VALUE(MID(Sync!$AF1531,FIND(":",Sync!$AF1531)+1,2)),2),"0000"))))</f>
        <v/>
      </c>
    </row>
    <row r="1532">
      <c r="A1532">
        <f>IF(OR(Calc!$E1536="",Calc!$E1536="نامعتبر",Calc!$G1536=""),"",Calc!$G1536)</f>
        <v/>
      </c>
      <c r="B1532">
        <f>IF($A1532="","",LEFT(Calc!$E1536,4)&amp;MID(Calc!$E1536,6,2)&amp;RIGHT(Calc!$E1536,2)&amp;Calc!$Q1536&amp;"|"&amp;"1"&amp;RIGHT("00000"&amp;1527,5))</f>
        <v/>
      </c>
      <c r="C1532">
        <f>IF($B1532="","",COUNTIFS(LdgSellerA,$A1532,LdgKeyA,"&lt;"&amp;$B1532)+COUNTIFS(LdgSellerB,$A1532,LdgKeyB,"&lt;"&amp;$B1532)+1)</f>
        <v/>
      </c>
      <c r="D1532">
        <f>IF($C1532="","",$A1532&amp;"|"&amp;RIGHT("000000"&amp;$C1532,6))</f>
        <v/>
      </c>
      <c r="F1532">
        <f>IF(Sync!$AH1532="","",IF(LEFT(UPPER(TRIM(Sync!$AH1532)),2)="SL",UPPER(TRIM(Sync!$AH1532)),""))</f>
        <v/>
      </c>
      <c r="G1532">
        <f>IF($F1532="","",IF(Sync!$AE1532="","",IF(ISNUMBER(Sync!$AE1532),IF(AND(Sync!$AE1532&gt;=10000101,Sync!$AE1532&lt;=99991231),INT(Sync!$AE1532/10000),""),IFERROR(VALUE(TRIM(LEFT(Sync!$AE1532,FIND("/",Sync!$AE1532)-1))),""))))</f>
        <v/>
      </c>
      <c r="H1532">
        <f>IF(OR($F1532="",$G1532=""),"",IF(ISNUMBER(Sync!$AE1532),INT(MOD(Sync!$AE1532,10000)/100),IFERROR(VALUE(TRIM(LEFT(MID(Sync!$AE1532,FIND("/",Sync!$AE1532)+1,20),FIND("/",MID(Sync!$AE1532,FIND("/",Sync!$AE1532)+1,20))-1))),"")))</f>
        <v/>
      </c>
      <c r="I1532">
        <f>IF(OR($F1532="",$G1532=""),"",IF(ISNUMBER(Sync!$AE1532),MOD(Sync!$AE1532,100),IFERROR(VALUE(TRIM(MID(MID(Sync!$AE1532,FIND("/",Sync!$AE1532)+1,20),FIND("/",MID(Sync!$AE1532,FIND("/",Sync!$AE1532)+1,20))+1,20))),"")))</f>
        <v/>
      </c>
      <c r="J1532">
        <f>IF($F1532="","",IF(OR($G1532="",$H1532="",$I1532="",$G1532&lt;1300,$G1532&gt;1500,$H1532&lt;1,$H1532&gt;12,$I1532&lt;1,$I1532&gt;31),"نامعتبر",RIGHT("0000"&amp;$G1532,4)&amp;"/"&amp;RIGHT("00"&amp;$H1532,2)&amp;"/"&amp;RIGHT("00"&amp;$I1532,2)))</f>
        <v/>
      </c>
      <c r="K1532">
        <f>IF(OR($F1532="",$J1532="",$J1532="نامعتبر"),"",LEFT($J1532,4)&amp;MID($J1532,6,2)&amp;RIGHT($J1532,2)&amp;$N1532&amp;"|"&amp;"2"&amp;RIGHT("00000"&amp;1527,5))</f>
        <v/>
      </c>
      <c r="L1532">
        <f>IF($K1532="","",COUNTIFS(LdgSellerA,$F1532,LdgKeyA,"&lt;"&amp;$K1532)+COUNTIFS(LdgSellerB,$F1532,LdgKeyB,"&lt;"&amp;$K1532)+1)</f>
        <v/>
      </c>
      <c r="M1532">
        <f>IF($L1532="","",$F1532&amp;"|"&amp;RIGHT("000000"&amp;$L1532,6))</f>
        <v/>
      </c>
      <c r="N1532">
        <f>IF($F1532="","",IF(Sync!$AF1532="","0000",IF(AND(ISNUMBER(Sync!$AF1532),Sync!$AF1532&gt;=0,Sync!$AF1532&lt;1),RIGHT("00"&amp;HOUR(Sync!$AF1532),2)&amp;RIGHT("00"&amp;MINUTE(Sync!$AF1532),2),IFERROR(RIGHT("00"&amp;VALUE(LEFT(Sync!$AF1532,FIND(":",Sync!$AF1532)-1)),2)&amp;RIGHT("00"&amp;VALUE(MID(Sync!$AF1532,FIND(":",Sync!$AF1532)+1,2)),2),"0000"))))</f>
        <v/>
      </c>
    </row>
    <row r="1533">
      <c r="A1533">
        <f>IF(OR(Calc!$E1537="",Calc!$E1537="نامعتبر",Calc!$G1537=""),"",Calc!$G1537)</f>
        <v/>
      </c>
      <c r="B1533">
        <f>IF($A1533="","",LEFT(Calc!$E1537,4)&amp;MID(Calc!$E1537,6,2)&amp;RIGHT(Calc!$E1537,2)&amp;Calc!$Q1537&amp;"|"&amp;"1"&amp;RIGHT("00000"&amp;1528,5))</f>
        <v/>
      </c>
      <c r="C1533">
        <f>IF($B1533="","",COUNTIFS(LdgSellerA,$A1533,LdgKeyA,"&lt;"&amp;$B1533)+COUNTIFS(LdgSellerB,$A1533,LdgKeyB,"&lt;"&amp;$B1533)+1)</f>
        <v/>
      </c>
      <c r="D1533">
        <f>IF($C1533="","",$A1533&amp;"|"&amp;RIGHT("000000"&amp;$C1533,6))</f>
        <v/>
      </c>
      <c r="F1533">
        <f>IF(Sync!$AH1533="","",IF(LEFT(UPPER(TRIM(Sync!$AH1533)),2)="SL",UPPER(TRIM(Sync!$AH1533)),""))</f>
        <v/>
      </c>
      <c r="G1533">
        <f>IF($F1533="","",IF(Sync!$AE1533="","",IF(ISNUMBER(Sync!$AE1533),IF(AND(Sync!$AE1533&gt;=10000101,Sync!$AE1533&lt;=99991231),INT(Sync!$AE1533/10000),""),IFERROR(VALUE(TRIM(LEFT(Sync!$AE1533,FIND("/",Sync!$AE1533)-1))),""))))</f>
        <v/>
      </c>
      <c r="H1533">
        <f>IF(OR($F1533="",$G1533=""),"",IF(ISNUMBER(Sync!$AE1533),INT(MOD(Sync!$AE1533,10000)/100),IFERROR(VALUE(TRIM(LEFT(MID(Sync!$AE1533,FIND("/",Sync!$AE1533)+1,20),FIND("/",MID(Sync!$AE1533,FIND("/",Sync!$AE1533)+1,20))-1))),"")))</f>
        <v/>
      </c>
      <c r="I1533">
        <f>IF(OR($F1533="",$G1533=""),"",IF(ISNUMBER(Sync!$AE1533),MOD(Sync!$AE1533,100),IFERROR(VALUE(TRIM(MID(MID(Sync!$AE1533,FIND("/",Sync!$AE1533)+1,20),FIND("/",MID(Sync!$AE1533,FIND("/",Sync!$AE1533)+1,20))+1,20))),"")))</f>
        <v/>
      </c>
      <c r="J1533">
        <f>IF($F1533="","",IF(OR($G1533="",$H1533="",$I1533="",$G1533&lt;1300,$G1533&gt;1500,$H1533&lt;1,$H1533&gt;12,$I1533&lt;1,$I1533&gt;31),"نامعتبر",RIGHT("0000"&amp;$G1533,4)&amp;"/"&amp;RIGHT("00"&amp;$H1533,2)&amp;"/"&amp;RIGHT("00"&amp;$I1533,2)))</f>
        <v/>
      </c>
      <c r="K1533">
        <f>IF(OR($F1533="",$J1533="",$J1533="نامعتبر"),"",LEFT($J1533,4)&amp;MID($J1533,6,2)&amp;RIGHT($J1533,2)&amp;$N1533&amp;"|"&amp;"2"&amp;RIGHT("00000"&amp;1528,5))</f>
        <v/>
      </c>
      <c r="L1533">
        <f>IF($K1533="","",COUNTIFS(LdgSellerA,$F1533,LdgKeyA,"&lt;"&amp;$K1533)+COUNTIFS(LdgSellerB,$F1533,LdgKeyB,"&lt;"&amp;$K1533)+1)</f>
        <v/>
      </c>
      <c r="M1533">
        <f>IF($L1533="","",$F1533&amp;"|"&amp;RIGHT("000000"&amp;$L1533,6))</f>
        <v/>
      </c>
      <c r="N1533">
        <f>IF($F1533="","",IF(Sync!$AF1533="","0000",IF(AND(ISNUMBER(Sync!$AF1533),Sync!$AF1533&gt;=0,Sync!$AF1533&lt;1),RIGHT("00"&amp;HOUR(Sync!$AF1533),2)&amp;RIGHT("00"&amp;MINUTE(Sync!$AF1533),2),IFERROR(RIGHT("00"&amp;VALUE(LEFT(Sync!$AF1533,FIND(":",Sync!$AF1533)-1)),2)&amp;RIGHT("00"&amp;VALUE(MID(Sync!$AF1533,FIND(":",Sync!$AF1533)+1,2)),2),"0000"))))</f>
        <v/>
      </c>
    </row>
    <row r="1534">
      <c r="A1534">
        <f>IF(OR(Calc!$E1538="",Calc!$E1538="نامعتبر",Calc!$G1538=""),"",Calc!$G1538)</f>
        <v/>
      </c>
      <c r="B1534">
        <f>IF($A1534="","",LEFT(Calc!$E1538,4)&amp;MID(Calc!$E1538,6,2)&amp;RIGHT(Calc!$E1538,2)&amp;Calc!$Q1538&amp;"|"&amp;"1"&amp;RIGHT("00000"&amp;1529,5))</f>
        <v/>
      </c>
      <c r="C1534">
        <f>IF($B1534="","",COUNTIFS(LdgSellerA,$A1534,LdgKeyA,"&lt;"&amp;$B1534)+COUNTIFS(LdgSellerB,$A1534,LdgKeyB,"&lt;"&amp;$B1534)+1)</f>
        <v/>
      </c>
      <c r="D1534">
        <f>IF($C1534="","",$A1534&amp;"|"&amp;RIGHT("000000"&amp;$C1534,6))</f>
        <v/>
      </c>
      <c r="F1534">
        <f>IF(Sync!$AH1534="","",IF(LEFT(UPPER(TRIM(Sync!$AH1534)),2)="SL",UPPER(TRIM(Sync!$AH1534)),""))</f>
        <v/>
      </c>
      <c r="G1534">
        <f>IF($F1534="","",IF(Sync!$AE1534="","",IF(ISNUMBER(Sync!$AE1534),IF(AND(Sync!$AE1534&gt;=10000101,Sync!$AE1534&lt;=99991231),INT(Sync!$AE1534/10000),""),IFERROR(VALUE(TRIM(LEFT(Sync!$AE1534,FIND("/",Sync!$AE1534)-1))),""))))</f>
        <v/>
      </c>
      <c r="H1534">
        <f>IF(OR($F1534="",$G1534=""),"",IF(ISNUMBER(Sync!$AE1534),INT(MOD(Sync!$AE1534,10000)/100),IFERROR(VALUE(TRIM(LEFT(MID(Sync!$AE1534,FIND("/",Sync!$AE1534)+1,20),FIND("/",MID(Sync!$AE1534,FIND("/",Sync!$AE1534)+1,20))-1))),"")))</f>
        <v/>
      </c>
      <c r="I1534">
        <f>IF(OR($F1534="",$G1534=""),"",IF(ISNUMBER(Sync!$AE1534),MOD(Sync!$AE1534,100),IFERROR(VALUE(TRIM(MID(MID(Sync!$AE1534,FIND("/",Sync!$AE1534)+1,20),FIND("/",MID(Sync!$AE1534,FIND("/",Sync!$AE1534)+1,20))+1,20))),"")))</f>
        <v/>
      </c>
      <c r="J1534">
        <f>IF($F1534="","",IF(OR($G1534="",$H1534="",$I1534="",$G1534&lt;1300,$G1534&gt;1500,$H1534&lt;1,$H1534&gt;12,$I1534&lt;1,$I1534&gt;31),"نامعتبر",RIGHT("0000"&amp;$G1534,4)&amp;"/"&amp;RIGHT("00"&amp;$H1534,2)&amp;"/"&amp;RIGHT("00"&amp;$I1534,2)))</f>
        <v/>
      </c>
      <c r="K1534">
        <f>IF(OR($F1534="",$J1534="",$J1534="نامعتبر"),"",LEFT($J1534,4)&amp;MID($J1534,6,2)&amp;RIGHT($J1534,2)&amp;$N1534&amp;"|"&amp;"2"&amp;RIGHT("00000"&amp;1529,5))</f>
        <v/>
      </c>
      <c r="L1534">
        <f>IF($K1534="","",COUNTIFS(LdgSellerA,$F1534,LdgKeyA,"&lt;"&amp;$K1534)+COUNTIFS(LdgSellerB,$F1534,LdgKeyB,"&lt;"&amp;$K1534)+1)</f>
        <v/>
      </c>
      <c r="M1534">
        <f>IF($L1534="","",$F1534&amp;"|"&amp;RIGHT("000000"&amp;$L1534,6))</f>
        <v/>
      </c>
      <c r="N1534">
        <f>IF($F1534="","",IF(Sync!$AF1534="","0000",IF(AND(ISNUMBER(Sync!$AF1534),Sync!$AF1534&gt;=0,Sync!$AF1534&lt;1),RIGHT("00"&amp;HOUR(Sync!$AF1534),2)&amp;RIGHT("00"&amp;MINUTE(Sync!$AF1534),2),IFERROR(RIGHT("00"&amp;VALUE(LEFT(Sync!$AF1534,FIND(":",Sync!$AF1534)-1)),2)&amp;RIGHT("00"&amp;VALUE(MID(Sync!$AF1534,FIND(":",Sync!$AF1534)+1,2)),2),"0000"))))</f>
        <v/>
      </c>
    </row>
    <row r="1535">
      <c r="A1535">
        <f>IF(OR(Calc!$E1539="",Calc!$E1539="نامعتبر",Calc!$G1539=""),"",Calc!$G1539)</f>
        <v/>
      </c>
      <c r="B1535">
        <f>IF($A1535="","",LEFT(Calc!$E1539,4)&amp;MID(Calc!$E1539,6,2)&amp;RIGHT(Calc!$E1539,2)&amp;Calc!$Q1539&amp;"|"&amp;"1"&amp;RIGHT("00000"&amp;1530,5))</f>
        <v/>
      </c>
      <c r="C1535">
        <f>IF($B1535="","",COUNTIFS(LdgSellerA,$A1535,LdgKeyA,"&lt;"&amp;$B1535)+COUNTIFS(LdgSellerB,$A1535,LdgKeyB,"&lt;"&amp;$B1535)+1)</f>
        <v/>
      </c>
      <c r="D1535">
        <f>IF($C1535="","",$A1535&amp;"|"&amp;RIGHT("000000"&amp;$C1535,6))</f>
        <v/>
      </c>
      <c r="F1535">
        <f>IF(Sync!$AH1535="","",IF(LEFT(UPPER(TRIM(Sync!$AH1535)),2)="SL",UPPER(TRIM(Sync!$AH1535)),""))</f>
        <v/>
      </c>
      <c r="G1535">
        <f>IF($F1535="","",IF(Sync!$AE1535="","",IF(ISNUMBER(Sync!$AE1535),IF(AND(Sync!$AE1535&gt;=10000101,Sync!$AE1535&lt;=99991231),INT(Sync!$AE1535/10000),""),IFERROR(VALUE(TRIM(LEFT(Sync!$AE1535,FIND("/",Sync!$AE1535)-1))),""))))</f>
        <v/>
      </c>
      <c r="H1535">
        <f>IF(OR($F1535="",$G1535=""),"",IF(ISNUMBER(Sync!$AE1535),INT(MOD(Sync!$AE1535,10000)/100),IFERROR(VALUE(TRIM(LEFT(MID(Sync!$AE1535,FIND("/",Sync!$AE1535)+1,20),FIND("/",MID(Sync!$AE1535,FIND("/",Sync!$AE1535)+1,20))-1))),"")))</f>
        <v/>
      </c>
      <c r="I1535">
        <f>IF(OR($F1535="",$G1535=""),"",IF(ISNUMBER(Sync!$AE1535),MOD(Sync!$AE1535,100),IFERROR(VALUE(TRIM(MID(MID(Sync!$AE1535,FIND("/",Sync!$AE1535)+1,20),FIND("/",MID(Sync!$AE1535,FIND("/",Sync!$AE1535)+1,20))+1,20))),"")))</f>
        <v/>
      </c>
      <c r="J1535">
        <f>IF($F1535="","",IF(OR($G1535="",$H1535="",$I1535="",$G1535&lt;1300,$G1535&gt;1500,$H1535&lt;1,$H1535&gt;12,$I1535&lt;1,$I1535&gt;31),"نامعتبر",RIGHT("0000"&amp;$G1535,4)&amp;"/"&amp;RIGHT("00"&amp;$H1535,2)&amp;"/"&amp;RIGHT("00"&amp;$I1535,2)))</f>
        <v/>
      </c>
      <c r="K1535">
        <f>IF(OR($F1535="",$J1535="",$J1535="نامعتبر"),"",LEFT($J1535,4)&amp;MID($J1535,6,2)&amp;RIGHT($J1535,2)&amp;$N1535&amp;"|"&amp;"2"&amp;RIGHT("00000"&amp;1530,5))</f>
        <v/>
      </c>
      <c r="L1535">
        <f>IF($K1535="","",COUNTIFS(LdgSellerA,$F1535,LdgKeyA,"&lt;"&amp;$K1535)+COUNTIFS(LdgSellerB,$F1535,LdgKeyB,"&lt;"&amp;$K1535)+1)</f>
        <v/>
      </c>
      <c r="M1535">
        <f>IF($L1535="","",$F1535&amp;"|"&amp;RIGHT("000000"&amp;$L1535,6))</f>
        <v/>
      </c>
      <c r="N1535">
        <f>IF($F1535="","",IF(Sync!$AF1535="","0000",IF(AND(ISNUMBER(Sync!$AF1535),Sync!$AF1535&gt;=0,Sync!$AF1535&lt;1),RIGHT("00"&amp;HOUR(Sync!$AF1535),2)&amp;RIGHT("00"&amp;MINUTE(Sync!$AF1535),2),IFERROR(RIGHT("00"&amp;VALUE(LEFT(Sync!$AF1535,FIND(":",Sync!$AF1535)-1)),2)&amp;RIGHT("00"&amp;VALUE(MID(Sync!$AF1535,FIND(":",Sync!$AF1535)+1,2)),2),"0000"))))</f>
        <v/>
      </c>
    </row>
    <row r="1536">
      <c r="A1536">
        <f>IF(OR(Calc!$E1540="",Calc!$E1540="نامعتبر",Calc!$G1540=""),"",Calc!$G1540)</f>
        <v/>
      </c>
      <c r="B1536">
        <f>IF($A1536="","",LEFT(Calc!$E1540,4)&amp;MID(Calc!$E1540,6,2)&amp;RIGHT(Calc!$E1540,2)&amp;Calc!$Q1540&amp;"|"&amp;"1"&amp;RIGHT("00000"&amp;1531,5))</f>
        <v/>
      </c>
      <c r="C1536">
        <f>IF($B1536="","",COUNTIFS(LdgSellerA,$A1536,LdgKeyA,"&lt;"&amp;$B1536)+COUNTIFS(LdgSellerB,$A1536,LdgKeyB,"&lt;"&amp;$B1536)+1)</f>
        <v/>
      </c>
      <c r="D1536">
        <f>IF($C1536="","",$A1536&amp;"|"&amp;RIGHT("000000"&amp;$C1536,6))</f>
        <v/>
      </c>
      <c r="F1536">
        <f>IF(Sync!$AH1536="","",IF(LEFT(UPPER(TRIM(Sync!$AH1536)),2)="SL",UPPER(TRIM(Sync!$AH1536)),""))</f>
        <v/>
      </c>
      <c r="G1536">
        <f>IF($F1536="","",IF(Sync!$AE1536="","",IF(ISNUMBER(Sync!$AE1536),IF(AND(Sync!$AE1536&gt;=10000101,Sync!$AE1536&lt;=99991231),INT(Sync!$AE1536/10000),""),IFERROR(VALUE(TRIM(LEFT(Sync!$AE1536,FIND("/",Sync!$AE1536)-1))),""))))</f>
        <v/>
      </c>
      <c r="H1536">
        <f>IF(OR($F1536="",$G1536=""),"",IF(ISNUMBER(Sync!$AE1536),INT(MOD(Sync!$AE1536,10000)/100),IFERROR(VALUE(TRIM(LEFT(MID(Sync!$AE1536,FIND("/",Sync!$AE1536)+1,20),FIND("/",MID(Sync!$AE1536,FIND("/",Sync!$AE1536)+1,20))-1))),"")))</f>
        <v/>
      </c>
      <c r="I1536">
        <f>IF(OR($F1536="",$G1536=""),"",IF(ISNUMBER(Sync!$AE1536),MOD(Sync!$AE1536,100),IFERROR(VALUE(TRIM(MID(MID(Sync!$AE1536,FIND("/",Sync!$AE1536)+1,20),FIND("/",MID(Sync!$AE1536,FIND("/",Sync!$AE1536)+1,20))+1,20))),"")))</f>
        <v/>
      </c>
      <c r="J1536">
        <f>IF($F1536="","",IF(OR($G1536="",$H1536="",$I1536="",$G1536&lt;1300,$G1536&gt;1500,$H1536&lt;1,$H1536&gt;12,$I1536&lt;1,$I1536&gt;31),"نامعتبر",RIGHT("0000"&amp;$G1536,4)&amp;"/"&amp;RIGHT("00"&amp;$H1536,2)&amp;"/"&amp;RIGHT("00"&amp;$I1536,2)))</f>
        <v/>
      </c>
      <c r="K1536">
        <f>IF(OR($F1536="",$J1536="",$J1536="نامعتبر"),"",LEFT($J1536,4)&amp;MID($J1536,6,2)&amp;RIGHT($J1536,2)&amp;$N1536&amp;"|"&amp;"2"&amp;RIGHT("00000"&amp;1531,5))</f>
        <v/>
      </c>
      <c r="L1536">
        <f>IF($K1536="","",COUNTIFS(LdgSellerA,$F1536,LdgKeyA,"&lt;"&amp;$K1536)+COUNTIFS(LdgSellerB,$F1536,LdgKeyB,"&lt;"&amp;$K1536)+1)</f>
        <v/>
      </c>
      <c r="M1536">
        <f>IF($L1536="","",$F1536&amp;"|"&amp;RIGHT("000000"&amp;$L1536,6))</f>
        <v/>
      </c>
      <c r="N1536">
        <f>IF($F1536="","",IF(Sync!$AF1536="","0000",IF(AND(ISNUMBER(Sync!$AF1536),Sync!$AF1536&gt;=0,Sync!$AF1536&lt;1),RIGHT("00"&amp;HOUR(Sync!$AF1536),2)&amp;RIGHT("00"&amp;MINUTE(Sync!$AF1536),2),IFERROR(RIGHT("00"&amp;VALUE(LEFT(Sync!$AF1536,FIND(":",Sync!$AF1536)-1)),2)&amp;RIGHT("00"&amp;VALUE(MID(Sync!$AF1536,FIND(":",Sync!$AF1536)+1,2)),2),"0000"))))</f>
        <v/>
      </c>
    </row>
    <row r="1537">
      <c r="A1537">
        <f>IF(OR(Calc!$E1541="",Calc!$E1541="نامعتبر",Calc!$G1541=""),"",Calc!$G1541)</f>
        <v/>
      </c>
      <c r="B1537">
        <f>IF($A1537="","",LEFT(Calc!$E1541,4)&amp;MID(Calc!$E1541,6,2)&amp;RIGHT(Calc!$E1541,2)&amp;Calc!$Q1541&amp;"|"&amp;"1"&amp;RIGHT("00000"&amp;1532,5))</f>
        <v/>
      </c>
      <c r="C1537">
        <f>IF($B1537="","",COUNTIFS(LdgSellerA,$A1537,LdgKeyA,"&lt;"&amp;$B1537)+COUNTIFS(LdgSellerB,$A1537,LdgKeyB,"&lt;"&amp;$B1537)+1)</f>
        <v/>
      </c>
      <c r="D1537">
        <f>IF($C1537="","",$A1537&amp;"|"&amp;RIGHT("000000"&amp;$C1537,6))</f>
        <v/>
      </c>
      <c r="F1537">
        <f>IF(Sync!$AH1537="","",IF(LEFT(UPPER(TRIM(Sync!$AH1537)),2)="SL",UPPER(TRIM(Sync!$AH1537)),""))</f>
        <v/>
      </c>
      <c r="G1537">
        <f>IF($F1537="","",IF(Sync!$AE1537="","",IF(ISNUMBER(Sync!$AE1537),IF(AND(Sync!$AE1537&gt;=10000101,Sync!$AE1537&lt;=99991231),INT(Sync!$AE1537/10000),""),IFERROR(VALUE(TRIM(LEFT(Sync!$AE1537,FIND("/",Sync!$AE1537)-1))),""))))</f>
        <v/>
      </c>
      <c r="H1537">
        <f>IF(OR($F1537="",$G1537=""),"",IF(ISNUMBER(Sync!$AE1537),INT(MOD(Sync!$AE1537,10000)/100),IFERROR(VALUE(TRIM(LEFT(MID(Sync!$AE1537,FIND("/",Sync!$AE1537)+1,20),FIND("/",MID(Sync!$AE1537,FIND("/",Sync!$AE1537)+1,20))-1))),"")))</f>
        <v/>
      </c>
      <c r="I1537">
        <f>IF(OR($F1537="",$G1537=""),"",IF(ISNUMBER(Sync!$AE1537),MOD(Sync!$AE1537,100),IFERROR(VALUE(TRIM(MID(MID(Sync!$AE1537,FIND("/",Sync!$AE1537)+1,20),FIND("/",MID(Sync!$AE1537,FIND("/",Sync!$AE1537)+1,20))+1,20))),"")))</f>
        <v/>
      </c>
      <c r="J1537">
        <f>IF($F1537="","",IF(OR($G1537="",$H1537="",$I1537="",$G1537&lt;1300,$G1537&gt;1500,$H1537&lt;1,$H1537&gt;12,$I1537&lt;1,$I1537&gt;31),"نامعتبر",RIGHT("0000"&amp;$G1537,4)&amp;"/"&amp;RIGHT("00"&amp;$H1537,2)&amp;"/"&amp;RIGHT("00"&amp;$I1537,2)))</f>
        <v/>
      </c>
      <c r="K1537">
        <f>IF(OR($F1537="",$J1537="",$J1537="نامعتبر"),"",LEFT($J1537,4)&amp;MID($J1537,6,2)&amp;RIGHT($J1537,2)&amp;$N1537&amp;"|"&amp;"2"&amp;RIGHT("00000"&amp;1532,5))</f>
        <v/>
      </c>
      <c r="L1537">
        <f>IF($K1537="","",COUNTIFS(LdgSellerA,$F1537,LdgKeyA,"&lt;"&amp;$K1537)+COUNTIFS(LdgSellerB,$F1537,LdgKeyB,"&lt;"&amp;$K1537)+1)</f>
        <v/>
      </c>
      <c r="M1537">
        <f>IF($L1537="","",$F1537&amp;"|"&amp;RIGHT("000000"&amp;$L1537,6))</f>
        <v/>
      </c>
      <c r="N1537">
        <f>IF($F1537="","",IF(Sync!$AF1537="","0000",IF(AND(ISNUMBER(Sync!$AF1537),Sync!$AF1537&gt;=0,Sync!$AF1537&lt;1),RIGHT("00"&amp;HOUR(Sync!$AF1537),2)&amp;RIGHT("00"&amp;MINUTE(Sync!$AF1537),2),IFERROR(RIGHT("00"&amp;VALUE(LEFT(Sync!$AF1537,FIND(":",Sync!$AF1537)-1)),2)&amp;RIGHT("00"&amp;VALUE(MID(Sync!$AF1537,FIND(":",Sync!$AF1537)+1,2)),2),"0000"))))</f>
        <v/>
      </c>
    </row>
    <row r="1538">
      <c r="A1538">
        <f>IF(OR(Calc!$E1542="",Calc!$E1542="نامعتبر",Calc!$G1542=""),"",Calc!$G1542)</f>
        <v/>
      </c>
      <c r="B1538">
        <f>IF($A1538="","",LEFT(Calc!$E1542,4)&amp;MID(Calc!$E1542,6,2)&amp;RIGHT(Calc!$E1542,2)&amp;Calc!$Q1542&amp;"|"&amp;"1"&amp;RIGHT("00000"&amp;1533,5))</f>
        <v/>
      </c>
      <c r="C1538">
        <f>IF($B1538="","",COUNTIFS(LdgSellerA,$A1538,LdgKeyA,"&lt;"&amp;$B1538)+COUNTIFS(LdgSellerB,$A1538,LdgKeyB,"&lt;"&amp;$B1538)+1)</f>
        <v/>
      </c>
      <c r="D1538">
        <f>IF($C1538="","",$A1538&amp;"|"&amp;RIGHT("000000"&amp;$C1538,6))</f>
        <v/>
      </c>
      <c r="F1538">
        <f>IF(Sync!$AH1538="","",IF(LEFT(UPPER(TRIM(Sync!$AH1538)),2)="SL",UPPER(TRIM(Sync!$AH1538)),""))</f>
        <v/>
      </c>
      <c r="G1538">
        <f>IF($F1538="","",IF(Sync!$AE1538="","",IF(ISNUMBER(Sync!$AE1538),IF(AND(Sync!$AE1538&gt;=10000101,Sync!$AE1538&lt;=99991231),INT(Sync!$AE1538/10000),""),IFERROR(VALUE(TRIM(LEFT(Sync!$AE1538,FIND("/",Sync!$AE1538)-1))),""))))</f>
        <v/>
      </c>
      <c r="H1538">
        <f>IF(OR($F1538="",$G1538=""),"",IF(ISNUMBER(Sync!$AE1538),INT(MOD(Sync!$AE1538,10000)/100),IFERROR(VALUE(TRIM(LEFT(MID(Sync!$AE1538,FIND("/",Sync!$AE1538)+1,20),FIND("/",MID(Sync!$AE1538,FIND("/",Sync!$AE1538)+1,20))-1))),"")))</f>
        <v/>
      </c>
      <c r="I1538">
        <f>IF(OR($F1538="",$G1538=""),"",IF(ISNUMBER(Sync!$AE1538),MOD(Sync!$AE1538,100),IFERROR(VALUE(TRIM(MID(MID(Sync!$AE1538,FIND("/",Sync!$AE1538)+1,20),FIND("/",MID(Sync!$AE1538,FIND("/",Sync!$AE1538)+1,20))+1,20))),"")))</f>
        <v/>
      </c>
      <c r="J1538">
        <f>IF($F1538="","",IF(OR($G1538="",$H1538="",$I1538="",$G1538&lt;1300,$G1538&gt;1500,$H1538&lt;1,$H1538&gt;12,$I1538&lt;1,$I1538&gt;31),"نامعتبر",RIGHT("0000"&amp;$G1538,4)&amp;"/"&amp;RIGHT("00"&amp;$H1538,2)&amp;"/"&amp;RIGHT("00"&amp;$I1538,2)))</f>
        <v/>
      </c>
      <c r="K1538">
        <f>IF(OR($F1538="",$J1538="",$J1538="نامعتبر"),"",LEFT($J1538,4)&amp;MID($J1538,6,2)&amp;RIGHT($J1538,2)&amp;$N1538&amp;"|"&amp;"2"&amp;RIGHT("00000"&amp;1533,5))</f>
        <v/>
      </c>
      <c r="L1538">
        <f>IF($K1538="","",COUNTIFS(LdgSellerA,$F1538,LdgKeyA,"&lt;"&amp;$K1538)+COUNTIFS(LdgSellerB,$F1538,LdgKeyB,"&lt;"&amp;$K1538)+1)</f>
        <v/>
      </c>
      <c r="M1538">
        <f>IF($L1538="","",$F1538&amp;"|"&amp;RIGHT("000000"&amp;$L1538,6))</f>
        <v/>
      </c>
      <c r="N1538">
        <f>IF($F1538="","",IF(Sync!$AF1538="","0000",IF(AND(ISNUMBER(Sync!$AF1538),Sync!$AF1538&gt;=0,Sync!$AF1538&lt;1),RIGHT("00"&amp;HOUR(Sync!$AF1538),2)&amp;RIGHT("00"&amp;MINUTE(Sync!$AF1538),2),IFERROR(RIGHT("00"&amp;VALUE(LEFT(Sync!$AF1538,FIND(":",Sync!$AF1538)-1)),2)&amp;RIGHT("00"&amp;VALUE(MID(Sync!$AF1538,FIND(":",Sync!$AF1538)+1,2)),2),"0000"))))</f>
        <v/>
      </c>
    </row>
    <row r="1539">
      <c r="A1539">
        <f>IF(OR(Calc!$E1543="",Calc!$E1543="نامعتبر",Calc!$G1543=""),"",Calc!$G1543)</f>
        <v/>
      </c>
      <c r="B1539">
        <f>IF($A1539="","",LEFT(Calc!$E1543,4)&amp;MID(Calc!$E1543,6,2)&amp;RIGHT(Calc!$E1543,2)&amp;Calc!$Q1543&amp;"|"&amp;"1"&amp;RIGHT("00000"&amp;1534,5))</f>
        <v/>
      </c>
      <c r="C1539">
        <f>IF($B1539="","",COUNTIFS(LdgSellerA,$A1539,LdgKeyA,"&lt;"&amp;$B1539)+COUNTIFS(LdgSellerB,$A1539,LdgKeyB,"&lt;"&amp;$B1539)+1)</f>
        <v/>
      </c>
      <c r="D1539">
        <f>IF($C1539="","",$A1539&amp;"|"&amp;RIGHT("000000"&amp;$C1539,6))</f>
        <v/>
      </c>
      <c r="F1539">
        <f>IF(Sync!$AH1539="","",IF(LEFT(UPPER(TRIM(Sync!$AH1539)),2)="SL",UPPER(TRIM(Sync!$AH1539)),""))</f>
        <v/>
      </c>
      <c r="G1539">
        <f>IF($F1539="","",IF(Sync!$AE1539="","",IF(ISNUMBER(Sync!$AE1539),IF(AND(Sync!$AE1539&gt;=10000101,Sync!$AE1539&lt;=99991231),INT(Sync!$AE1539/10000),""),IFERROR(VALUE(TRIM(LEFT(Sync!$AE1539,FIND("/",Sync!$AE1539)-1))),""))))</f>
        <v/>
      </c>
      <c r="H1539">
        <f>IF(OR($F1539="",$G1539=""),"",IF(ISNUMBER(Sync!$AE1539),INT(MOD(Sync!$AE1539,10000)/100),IFERROR(VALUE(TRIM(LEFT(MID(Sync!$AE1539,FIND("/",Sync!$AE1539)+1,20),FIND("/",MID(Sync!$AE1539,FIND("/",Sync!$AE1539)+1,20))-1))),"")))</f>
        <v/>
      </c>
      <c r="I1539">
        <f>IF(OR($F1539="",$G1539=""),"",IF(ISNUMBER(Sync!$AE1539),MOD(Sync!$AE1539,100),IFERROR(VALUE(TRIM(MID(MID(Sync!$AE1539,FIND("/",Sync!$AE1539)+1,20),FIND("/",MID(Sync!$AE1539,FIND("/",Sync!$AE1539)+1,20))+1,20))),"")))</f>
        <v/>
      </c>
      <c r="J1539">
        <f>IF($F1539="","",IF(OR($G1539="",$H1539="",$I1539="",$G1539&lt;1300,$G1539&gt;1500,$H1539&lt;1,$H1539&gt;12,$I1539&lt;1,$I1539&gt;31),"نامعتبر",RIGHT("0000"&amp;$G1539,4)&amp;"/"&amp;RIGHT("00"&amp;$H1539,2)&amp;"/"&amp;RIGHT("00"&amp;$I1539,2)))</f>
        <v/>
      </c>
      <c r="K1539">
        <f>IF(OR($F1539="",$J1539="",$J1539="نامعتبر"),"",LEFT($J1539,4)&amp;MID($J1539,6,2)&amp;RIGHT($J1539,2)&amp;$N1539&amp;"|"&amp;"2"&amp;RIGHT("00000"&amp;1534,5))</f>
        <v/>
      </c>
      <c r="L1539">
        <f>IF($K1539="","",COUNTIFS(LdgSellerA,$F1539,LdgKeyA,"&lt;"&amp;$K1539)+COUNTIFS(LdgSellerB,$F1539,LdgKeyB,"&lt;"&amp;$K1539)+1)</f>
        <v/>
      </c>
      <c r="M1539">
        <f>IF($L1539="","",$F1539&amp;"|"&amp;RIGHT("000000"&amp;$L1539,6))</f>
        <v/>
      </c>
      <c r="N1539">
        <f>IF($F1539="","",IF(Sync!$AF1539="","0000",IF(AND(ISNUMBER(Sync!$AF1539),Sync!$AF1539&gt;=0,Sync!$AF1539&lt;1),RIGHT("00"&amp;HOUR(Sync!$AF1539),2)&amp;RIGHT("00"&amp;MINUTE(Sync!$AF1539),2),IFERROR(RIGHT("00"&amp;VALUE(LEFT(Sync!$AF1539,FIND(":",Sync!$AF1539)-1)),2)&amp;RIGHT("00"&amp;VALUE(MID(Sync!$AF1539,FIND(":",Sync!$AF1539)+1,2)),2),"0000"))))</f>
        <v/>
      </c>
    </row>
    <row r="1540">
      <c r="A1540">
        <f>IF(OR(Calc!$E1544="",Calc!$E1544="نامعتبر",Calc!$G1544=""),"",Calc!$G1544)</f>
        <v/>
      </c>
      <c r="B1540">
        <f>IF($A1540="","",LEFT(Calc!$E1544,4)&amp;MID(Calc!$E1544,6,2)&amp;RIGHT(Calc!$E1544,2)&amp;Calc!$Q1544&amp;"|"&amp;"1"&amp;RIGHT("00000"&amp;1535,5))</f>
        <v/>
      </c>
      <c r="C1540">
        <f>IF($B1540="","",COUNTIFS(LdgSellerA,$A1540,LdgKeyA,"&lt;"&amp;$B1540)+COUNTIFS(LdgSellerB,$A1540,LdgKeyB,"&lt;"&amp;$B1540)+1)</f>
        <v/>
      </c>
      <c r="D1540">
        <f>IF($C1540="","",$A1540&amp;"|"&amp;RIGHT("000000"&amp;$C1540,6))</f>
        <v/>
      </c>
      <c r="F1540">
        <f>IF(Sync!$AH1540="","",IF(LEFT(UPPER(TRIM(Sync!$AH1540)),2)="SL",UPPER(TRIM(Sync!$AH1540)),""))</f>
        <v/>
      </c>
      <c r="G1540">
        <f>IF($F1540="","",IF(Sync!$AE1540="","",IF(ISNUMBER(Sync!$AE1540),IF(AND(Sync!$AE1540&gt;=10000101,Sync!$AE1540&lt;=99991231),INT(Sync!$AE1540/10000),""),IFERROR(VALUE(TRIM(LEFT(Sync!$AE1540,FIND("/",Sync!$AE1540)-1))),""))))</f>
        <v/>
      </c>
      <c r="H1540">
        <f>IF(OR($F1540="",$G1540=""),"",IF(ISNUMBER(Sync!$AE1540),INT(MOD(Sync!$AE1540,10000)/100),IFERROR(VALUE(TRIM(LEFT(MID(Sync!$AE1540,FIND("/",Sync!$AE1540)+1,20),FIND("/",MID(Sync!$AE1540,FIND("/",Sync!$AE1540)+1,20))-1))),"")))</f>
        <v/>
      </c>
      <c r="I1540">
        <f>IF(OR($F1540="",$G1540=""),"",IF(ISNUMBER(Sync!$AE1540),MOD(Sync!$AE1540,100),IFERROR(VALUE(TRIM(MID(MID(Sync!$AE1540,FIND("/",Sync!$AE1540)+1,20),FIND("/",MID(Sync!$AE1540,FIND("/",Sync!$AE1540)+1,20))+1,20))),"")))</f>
        <v/>
      </c>
      <c r="J1540">
        <f>IF($F1540="","",IF(OR($G1540="",$H1540="",$I1540="",$G1540&lt;1300,$G1540&gt;1500,$H1540&lt;1,$H1540&gt;12,$I1540&lt;1,$I1540&gt;31),"نامعتبر",RIGHT("0000"&amp;$G1540,4)&amp;"/"&amp;RIGHT("00"&amp;$H1540,2)&amp;"/"&amp;RIGHT("00"&amp;$I1540,2)))</f>
        <v/>
      </c>
      <c r="K1540">
        <f>IF(OR($F1540="",$J1540="",$J1540="نامعتبر"),"",LEFT($J1540,4)&amp;MID($J1540,6,2)&amp;RIGHT($J1540,2)&amp;$N1540&amp;"|"&amp;"2"&amp;RIGHT("00000"&amp;1535,5))</f>
        <v/>
      </c>
      <c r="L1540">
        <f>IF($K1540="","",COUNTIFS(LdgSellerA,$F1540,LdgKeyA,"&lt;"&amp;$K1540)+COUNTIFS(LdgSellerB,$F1540,LdgKeyB,"&lt;"&amp;$K1540)+1)</f>
        <v/>
      </c>
      <c r="M1540">
        <f>IF($L1540="","",$F1540&amp;"|"&amp;RIGHT("000000"&amp;$L1540,6))</f>
        <v/>
      </c>
      <c r="N1540">
        <f>IF($F1540="","",IF(Sync!$AF1540="","0000",IF(AND(ISNUMBER(Sync!$AF1540),Sync!$AF1540&gt;=0,Sync!$AF1540&lt;1),RIGHT("00"&amp;HOUR(Sync!$AF1540),2)&amp;RIGHT("00"&amp;MINUTE(Sync!$AF1540),2),IFERROR(RIGHT("00"&amp;VALUE(LEFT(Sync!$AF1540,FIND(":",Sync!$AF1540)-1)),2)&amp;RIGHT("00"&amp;VALUE(MID(Sync!$AF1540,FIND(":",Sync!$AF1540)+1,2)),2),"0000"))))</f>
        <v/>
      </c>
    </row>
    <row r="1541">
      <c r="A1541">
        <f>IF(OR(Calc!$E1545="",Calc!$E1545="نامعتبر",Calc!$G1545=""),"",Calc!$G1545)</f>
        <v/>
      </c>
      <c r="B1541">
        <f>IF($A1541="","",LEFT(Calc!$E1545,4)&amp;MID(Calc!$E1545,6,2)&amp;RIGHT(Calc!$E1545,2)&amp;Calc!$Q1545&amp;"|"&amp;"1"&amp;RIGHT("00000"&amp;1536,5))</f>
        <v/>
      </c>
      <c r="C1541">
        <f>IF($B1541="","",COUNTIFS(LdgSellerA,$A1541,LdgKeyA,"&lt;"&amp;$B1541)+COUNTIFS(LdgSellerB,$A1541,LdgKeyB,"&lt;"&amp;$B1541)+1)</f>
        <v/>
      </c>
      <c r="D1541">
        <f>IF($C1541="","",$A1541&amp;"|"&amp;RIGHT("000000"&amp;$C1541,6))</f>
        <v/>
      </c>
      <c r="F1541">
        <f>IF(Sync!$AH1541="","",IF(LEFT(UPPER(TRIM(Sync!$AH1541)),2)="SL",UPPER(TRIM(Sync!$AH1541)),""))</f>
        <v/>
      </c>
      <c r="G1541">
        <f>IF($F1541="","",IF(Sync!$AE1541="","",IF(ISNUMBER(Sync!$AE1541),IF(AND(Sync!$AE1541&gt;=10000101,Sync!$AE1541&lt;=99991231),INT(Sync!$AE1541/10000),""),IFERROR(VALUE(TRIM(LEFT(Sync!$AE1541,FIND("/",Sync!$AE1541)-1))),""))))</f>
        <v/>
      </c>
      <c r="H1541">
        <f>IF(OR($F1541="",$G1541=""),"",IF(ISNUMBER(Sync!$AE1541),INT(MOD(Sync!$AE1541,10000)/100),IFERROR(VALUE(TRIM(LEFT(MID(Sync!$AE1541,FIND("/",Sync!$AE1541)+1,20),FIND("/",MID(Sync!$AE1541,FIND("/",Sync!$AE1541)+1,20))-1))),"")))</f>
        <v/>
      </c>
      <c r="I1541">
        <f>IF(OR($F1541="",$G1541=""),"",IF(ISNUMBER(Sync!$AE1541),MOD(Sync!$AE1541,100),IFERROR(VALUE(TRIM(MID(MID(Sync!$AE1541,FIND("/",Sync!$AE1541)+1,20),FIND("/",MID(Sync!$AE1541,FIND("/",Sync!$AE1541)+1,20))+1,20))),"")))</f>
        <v/>
      </c>
      <c r="J1541">
        <f>IF($F1541="","",IF(OR($G1541="",$H1541="",$I1541="",$G1541&lt;1300,$G1541&gt;1500,$H1541&lt;1,$H1541&gt;12,$I1541&lt;1,$I1541&gt;31),"نامعتبر",RIGHT("0000"&amp;$G1541,4)&amp;"/"&amp;RIGHT("00"&amp;$H1541,2)&amp;"/"&amp;RIGHT("00"&amp;$I1541,2)))</f>
        <v/>
      </c>
      <c r="K1541">
        <f>IF(OR($F1541="",$J1541="",$J1541="نامعتبر"),"",LEFT($J1541,4)&amp;MID($J1541,6,2)&amp;RIGHT($J1541,2)&amp;$N1541&amp;"|"&amp;"2"&amp;RIGHT("00000"&amp;1536,5))</f>
        <v/>
      </c>
      <c r="L1541">
        <f>IF($K1541="","",COUNTIFS(LdgSellerA,$F1541,LdgKeyA,"&lt;"&amp;$K1541)+COUNTIFS(LdgSellerB,$F1541,LdgKeyB,"&lt;"&amp;$K1541)+1)</f>
        <v/>
      </c>
      <c r="M1541">
        <f>IF($L1541="","",$F1541&amp;"|"&amp;RIGHT("000000"&amp;$L1541,6))</f>
        <v/>
      </c>
      <c r="N1541">
        <f>IF($F1541="","",IF(Sync!$AF1541="","0000",IF(AND(ISNUMBER(Sync!$AF1541),Sync!$AF1541&gt;=0,Sync!$AF1541&lt;1),RIGHT("00"&amp;HOUR(Sync!$AF1541),2)&amp;RIGHT("00"&amp;MINUTE(Sync!$AF1541),2),IFERROR(RIGHT("00"&amp;VALUE(LEFT(Sync!$AF1541,FIND(":",Sync!$AF1541)-1)),2)&amp;RIGHT("00"&amp;VALUE(MID(Sync!$AF1541,FIND(":",Sync!$AF1541)+1,2)),2),"0000"))))</f>
        <v/>
      </c>
    </row>
    <row r="1542">
      <c r="A1542">
        <f>IF(OR(Calc!$E1546="",Calc!$E1546="نامعتبر",Calc!$G1546=""),"",Calc!$G1546)</f>
        <v/>
      </c>
      <c r="B1542">
        <f>IF($A1542="","",LEFT(Calc!$E1546,4)&amp;MID(Calc!$E1546,6,2)&amp;RIGHT(Calc!$E1546,2)&amp;Calc!$Q1546&amp;"|"&amp;"1"&amp;RIGHT("00000"&amp;1537,5))</f>
        <v/>
      </c>
      <c r="C1542">
        <f>IF($B1542="","",COUNTIFS(LdgSellerA,$A1542,LdgKeyA,"&lt;"&amp;$B1542)+COUNTIFS(LdgSellerB,$A1542,LdgKeyB,"&lt;"&amp;$B1542)+1)</f>
        <v/>
      </c>
      <c r="D1542">
        <f>IF($C1542="","",$A1542&amp;"|"&amp;RIGHT("000000"&amp;$C1542,6))</f>
        <v/>
      </c>
      <c r="F1542">
        <f>IF(Sync!$AH1542="","",IF(LEFT(UPPER(TRIM(Sync!$AH1542)),2)="SL",UPPER(TRIM(Sync!$AH1542)),""))</f>
        <v/>
      </c>
      <c r="G1542">
        <f>IF($F1542="","",IF(Sync!$AE1542="","",IF(ISNUMBER(Sync!$AE1542),IF(AND(Sync!$AE1542&gt;=10000101,Sync!$AE1542&lt;=99991231),INT(Sync!$AE1542/10000),""),IFERROR(VALUE(TRIM(LEFT(Sync!$AE1542,FIND("/",Sync!$AE1542)-1))),""))))</f>
        <v/>
      </c>
      <c r="H1542">
        <f>IF(OR($F1542="",$G1542=""),"",IF(ISNUMBER(Sync!$AE1542),INT(MOD(Sync!$AE1542,10000)/100),IFERROR(VALUE(TRIM(LEFT(MID(Sync!$AE1542,FIND("/",Sync!$AE1542)+1,20),FIND("/",MID(Sync!$AE1542,FIND("/",Sync!$AE1542)+1,20))-1))),"")))</f>
        <v/>
      </c>
      <c r="I1542">
        <f>IF(OR($F1542="",$G1542=""),"",IF(ISNUMBER(Sync!$AE1542),MOD(Sync!$AE1542,100),IFERROR(VALUE(TRIM(MID(MID(Sync!$AE1542,FIND("/",Sync!$AE1542)+1,20),FIND("/",MID(Sync!$AE1542,FIND("/",Sync!$AE1542)+1,20))+1,20))),"")))</f>
        <v/>
      </c>
      <c r="J1542">
        <f>IF($F1542="","",IF(OR($G1542="",$H1542="",$I1542="",$G1542&lt;1300,$G1542&gt;1500,$H1542&lt;1,$H1542&gt;12,$I1542&lt;1,$I1542&gt;31),"نامعتبر",RIGHT("0000"&amp;$G1542,4)&amp;"/"&amp;RIGHT("00"&amp;$H1542,2)&amp;"/"&amp;RIGHT("00"&amp;$I1542,2)))</f>
        <v/>
      </c>
      <c r="K1542">
        <f>IF(OR($F1542="",$J1542="",$J1542="نامعتبر"),"",LEFT($J1542,4)&amp;MID($J1542,6,2)&amp;RIGHT($J1542,2)&amp;$N1542&amp;"|"&amp;"2"&amp;RIGHT("00000"&amp;1537,5))</f>
        <v/>
      </c>
      <c r="L1542">
        <f>IF($K1542="","",COUNTIFS(LdgSellerA,$F1542,LdgKeyA,"&lt;"&amp;$K1542)+COUNTIFS(LdgSellerB,$F1542,LdgKeyB,"&lt;"&amp;$K1542)+1)</f>
        <v/>
      </c>
      <c r="M1542">
        <f>IF($L1542="","",$F1542&amp;"|"&amp;RIGHT("000000"&amp;$L1542,6))</f>
        <v/>
      </c>
      <c r="N1542">
        <f>IF($F1542="","",IF(Sync!$AF1542="","0000",IF(AND(ISNUMBER(Sync!$AF1542),Sync!$AF1542&gt;=0,Sync!$AF1542&lt;1),RIGHT("00"&amp;HOUR(Sync!$AF1542),2)&amp;RIGHT("00"&amp;MINUTE(Sync!$AF1542),2),IFERROR(RIGHT("00"&amp;VALUE(LEFT(Sync!$AF1542,FIND(":",Sync!$AF1542)-1)),2)&amp;RIGHT("00"&amp;VALUE(MID(Sync!$AF1542,FIND(":",Sync!$AF1542)+1,2)),2),"0000"))))</f>
        <v/>
      </c>
    </row>
    <row r="1543">
      <c r="A1543">
        <f>IF(OR(Calc!$E1547="",Calc!$E1547="نامعتبر",Calc!$G1547=""),"",Calc!$G1547)</f>
        <v/>
      </c>
      <c r="B1543">
        <f>IF($A1543="","",LEFT(Calc!$E1547,4)&amp;MID(Calc!$E1547,6,2)&amp;RIGHT(Calc!$E1547,2)&amp;Calc!$Q1547&amp;"|"&amp;"1"&amp;RIGHT("00000"&amp;1538,5))</f>
        <v/>
      </c>
      <c r="C1543">
        <f>IF($B1543="","",COUNTIFS(LdgSellerA,$A1543,LdgKeyA,"&lt;"&amp;$B1543)+COUNTIFS(LdgSellerB,$A1543,LdgKeyB,"&lt;"&amp;$B1543)+1)</f>
        <v/>
      </c>
      <c r="D1543">
        <f>IF($C1543="","",$A1543&amp;"|"&amp;RIGHT("000000"&amp;$C1543,6))</f>
        <v/>
      </c>
      <c r="F1543">
        <f>IF(Sync!$AH1543="","",IF(LEFT(UPPER(TRIM(Sync!$AH1543)),2)="SL",UPPER(TRIM(Sync!$AH1543)),""))</f>
        <v/>
      </c>
      <c r="G1543">
        <f>IF($F1543="","",IF(Sync!$AE1543="","",IF(ISNUMBER(Sync!$AE1543),IF(AND(Sync!$AE1543&gt;=10000101,Sync!$AE1543&lt;=99991231),INT(Sync!$AE1543/10000),""),IFERROR(VALUE(TRIM(LEFT(Sync!$AE1543,FIND("/",Sync!$AE1543)-1))),""))))</f>
        <v/>
      </c>
      <c r="H1543">
        <f>IF(OR($F1543="",$G1543=""),"",IF(ISNUMBER(Sync!$AE1543),INT(MOD(Sync!$AE1543,10000)/100),IFERROR(VALUE(TRIM(LEFT(MID(Sync!$AE1543,FIND("/",Sync!$AE1543)+1,20),FIND("/",MID(Sync!$AE1543,FIND("/",Sync!$AE1543)+1,20))-1))),"")))</f>
        <v/>
      </c>
      <c r="I1543">
        <f>IF(OR($F1543="",$G1543=""),"",IF(ISNUMBER(Sync!$AE1543),MOD(Sync!$AE1543,100),IFERROR(VALUE(TRIM(MID(MID(Sync!$AE1543,FIND("/",Sync!$AE1543)+1,20),FIND("/",MID(Sync!$AE1543,FIND("/",Sync!$AE1543)+1,20))+1,20))),"")))</f>
        <v/>
      </c>
      <c r="J1543">
        <f>IF($F1543="","",IF(OR($G1543="",$H1543="",$I1543="",$G1543&lt;1300,$G1543&gt;1500,$H1543&lt;1,$H1543&gt;12,$I1543&lt;1,$I1543&gt;31),"نامعتبر",RIGHT("0000"&amp;$G1543,4)&amp;"/"&amp;RIGHT("00"&amp;$H1543,2)&amp;"/"&amp;RIGHT("00"&amp;$I1543,2)))</f>
        <v/>
      </c>
      <c r="K1543">
        <f>IF(OR($F1543="",$J1543="",$J1543="نامعتبر"),"",LEFT($J1543,4)&amp;MID($J1543,6,2)&amp;RIGHT($J1543,2)&amp;$N1543&amp;"|"&amp;"2"&amp;RIGHT("00000"&amp;1538,5))</f>
        <v/>
      </c>
      <c r="L1543">
        <f>IF($K1543="","",COUNTIFS(LdgSellerA,$F1543,LdgKeyA,"&lt;"&amp;$K1543)+COUNTIFS(LdgSellerB,$F1543,LdgKeyB,"&lt;"&amp;$K1543)+1)</f>
        <v/>
      </c>
      <c r="M1543">
        <f>IF($L1543="","",$F1543&amp;"|"&amp;RIGHT("000000"&amp;$L1543,6))</f>
        <v/>
      </c>
      <c r="N1543">
        <f>IF($F1543="","",IF(Sync!$AF1543="","0000",IF(AND(ISNUMBER(Sync!$AF1543),Sync!$AF1543&gt;=0,Sync!$AF1543&lt;1),RIGHT("00"&amp;HOUR(Sync!$AF1543),2)&amp;RIGHT("00"&amp;MINUTE(Sync!$AF1543),2),IFERROR(RIGHT("00"&amp;VALUE(LEFT(Sync!$AF1543,FIND(":",Sync!$AF1543)-1)),2)&amp;RIGHT("00"&amp;VALUE(MID(Sync!$AF1543,FIND(":",Sync!$AF1543)+1,2)),2),"0000"))))</f>
        <v/>
      </c>
    </row>
    <row r="1544">
      <c r="A1544">
        <f>IF(OR(Calc!$E1548="",Calc!$E1548="نامعتبر",Calc!$G1548=""),"",Calc!$G1548)</f>
        <v/>
      </c>
      <c r="B1544">
        <f>IF($A1544="","",LEFT(Calc!$E1548,4)&amp;MID(Calc!$E1548,6,2)&amp;RIGHT(Calc!$E1548,2)&amp;Calc!$Q1548&amp;"|"&amp;"1"&amp;RIGHT("00000"&amp;1539,5))</f>
        <v/>
      </c>
      <c r="C1544">
        <f>IF($B1544="","",COUNTIFS(LdgSellerA,$A1544,LdgKeyA,"&lt;"&amp;$B1544)+COUNTIFS(LdgSellerB,$A1544,LdgKeyB,"&lt;"&amp;$B1544)+1)</f>
        <v/>
      </c>
      <c r="D1544">
        <f>IF($C1544="","",$A1544&amp;"|"&amp;RIGHT("000000"&amp;$C1544,6))</f>
        <v/>
      </c>
      <c r="F1544">
        <f>IF(Sync!$AH1544="","",IF(LEFT(UPPER(TRIM(Sync!$AH1544)),2)="SL",UPPER(TRIM(Sync!$AH1544)),""))</f>
        <v/>
      </c>
      <c r="G1544">
        <f>IF($F1544="","",IF(Sync!$AE1544="","",IF(ISNUMBER(Sync!$AE1544),IF(AND(Sync!$AE1544&gt;=10000101,Sync!$AE1544&lt;=99991231),INT(Sync!$AE1544/10000),""),IFERROR(VALUE(TRIM(LEFT(Sync!$AE1544,FIND("/",Sync!$AE1544)-1))),""))))</f>
        <v/>
      </c>
      <c r="H1544">
        <f>IF(OR($F1544="",$G1544=""),"",IF(ISNUMBER(Sync!$AE1544),INT(MOD(Sync!$AE1544,10000)/100),IFERROR(VALUE(TRIM(LEFT(MID(Sync!$AE1544,FIND("/",Sync!$AE1544)+1,20),FIND("/",MID(Sync!$AE1544,FIND("/",Sync!$AE1544)+1,20))-1))),"")))</f>
        <v/>
      </c>
      <c r="I1544">
        <f>IF(OR($F1544="",$G1544=""),"",IF(ISNUMBER(Sync!$AE1544),MOD(Sync!$AE1544,100),IFERROR(VALUE(TRIM(MID(MID(Sync!$AE1544,FIND("/",Sync!$AE1544)+1,20),FIND("/",MID(Sync!$AE1544,FIND("/",Sync!$AE1544)+1,20))+1,20))),"")))</f>
        <v/>
      </c>
      <c r="J1544">
        <f>IF($F1544="","",IF(OR($G1544="",$H1544="",$I1544="",$G1544&lt;1300,$G1544&gt;1500,$H1544&lt;1,$H1544&gt;12,$I1544&lt;1,$I1544&gt;31),"نامعتبر",RIGHT("0000"&amp;$G1544,4)&amp;"/"&amp;RIGHT("00"&amp;$H1544,2)&amp;"/"&amp;RIGHT("00"&amp;$I1544,2)))</f>
        <v/>
      </c>
      <c r="K1544">
        <f>IF(OR($F1544="",$J1544="",$J1544="نامعتبر"),"",LEFT($J1544,4)&amp;MID($J1544,6,2)&amp;RIGHT($J1544,2)&amp;$N1544&amp;"|"&amp;"2"&amp;RIGHT("00000"&amp;1539,5))</f>
        <v/>
      </c>
      <c r="L1544">
        <f>IF($K1544="","",COUNTIFS(LdgSellerA,$F1544,LdgKeyA,"&lt;"&amp;$K1544)+COUNTIFS(LdgSellerB,$F1544,LdgKeyB,"&lt;"&amp;$K1544)+1)</f>
        <v/>
      </c>
      <c r="M1544">
        <f>IF($L1544="","",$F1544&amp;"|"&amp;RIGHT("000000"&amp;$L1544,6))</f>
        <v/>
      </c>
      <c r="N1544">
        <f>IF($F1544="","",IF(Sync!$AF1544="","0000",IF(AND(ISNUMBER(Sync!$AF1544),Sync!$AF1544&gt;=0,Sync!$AF1544&lt;1),RIGHT("00"&amp;HOUR(Sync!$AF1544),2)&amp;RIGHT("00"&amp;MINUTE(Sync!$AF1544),2),IFERROR(RIGHT("00"&amp;VALUE(LEFT(Sync!$AF1544,FIND(":",Sync!$AF1544)-1)),2)&amp;RIGHT("00"&amp;VALUE(MID(Sync!$AF1544,FIND(":",Sync!$AF1544)+1,2)),2),"0000"))))</f>
        <v/>
      </c>
    </row>
    <row r="1545">
      <c r="A1545">
        <f>IF(OR(Calc!$E1549="",Calc!$E1549="نامعتبر",Calc!$G1549=""),"",Calc!$G1549)</f>
        <v/>
      </c>
      <c r="B1545">
        <f>IF($A1545="","",LEFT(Calc!$E1549,4)&amp;MID(Calc!$E1549,6,2)&amp;RIGHT(Calc!$E1549,2)&amp;Calc!$Q1549&amp;"|"&amp;"1"&amp;RIGHT("00000"&amp;1540,5))</f>
        <v/>
      </c>
      <c r="C1545">
        <f>IF($B1545="","",COUNTIFS(LdgSellerA,$A1545,LdgKeyA,"&lt;"&amp;$B1545)+COUNTIFS(LdgSellerB,$A1545,LdgKeyB,"&lt;"&amp;$B1545)+1)</f>
        <v/>
      </c>
      <c r="D1545">
        <f>IF($C1545="","",$A1545&amp;"|"&amp;RIGHT("000000"&amp;$C1545,6))</f>
        <v/>
      </c>
      <c r="F1545">
        <f>IF(Sync!$AH1545="","",IF(LEFT(UPPER(TRIM(Sync!$AH1545)),2)="SL",UPPER(TRIM(Sync!$AH1545)),""))</f>
        <v/>
      </c>
      <c r="G1545">
        <f>IF($F1545="","",IF(Sync!$AE1545="","",IF(ISNUMBER(Sync!$AE1545),IF(AND(Sync!$AE1545&gt;=10000101,Sync!$AE1545&lt;=99991231),INT(Sync!$AE1545/10000),""),IFERROR(VALUE(TRIM(LEFT(Sync!$AE1545,FIND("/",Sync!$AE1545)-1))),""))))</f>
        <v/>
      </c>
      <c r="H1545">
        <f>IF(OR($F1545="",$G1545=""),"",IF(ISNUMBER(Sync!$AE1545),INT(MOD(Sync!$AE1545,10000)/100),IFERROR(VALUE(TRIM(LEFT(MID(Sync!$AE1545,FIND("/",Sync!$AE1545)+1,20),FIND("/",MID(Sync!$AE1545,FIND("/",Sync!$AE1545)+1,20))-1))),"")))</f>
        <v/>
      </c>
      <c r="I1545">
        <f>IF(OR($F1545="",$G1545=""),"",IF(ISNUMBER(Sync!$AE1545),MOD(Sync!$AE1545,100),IFERROR(VALUE(TRIM(MID(MID(Sync!$AE1545,FIND("/",Sync!$AE1545)+1,20),FIND("/",MID(Sync!$AE1545,FIND("/",Sync!$AE1545)+1,20))+1,20))),"")))</f>
        <v/>
      </c>
      <c r="J1545">
        <f>IF($F1545="","",IF(OR($G1545="",$H1545="",$I1545="",$G1545&lt;1300,$G1545&gt;1500,$H1545&lt;1,$H1545&gt;12,$I1545&lt;1,$I1545&gt;31),"نامعتبر",RIGHT("0000"&amp;$G1545,4)&amp;"/"&amp;RIGHT("00"&amp;$H1545,2)&amp;"/"&amp;RIGHT("00"&amp;$I1545,2)))</f>
        <v/>
      </c>
      <c r="K1545">
        <f>IF(OR($F1545="",$J1545="",$J1545="نامعتبر"),"",LEFT($J1545,4)&amp;MID($J1545,6,2)&amp;RIGHT($J1545,2)&amp;$N1545&amp;"|"&amp;"2"&amp;RIGHT("00000"&amp;1540,5))</f>
        <v/>
      </c>
      <c r="L1545">
        <f>IF($K1545="","",COUNTIFS(LdgSellerA,$F1545,LdgKeyA,"&lt;"&amp;$K1545)+COUNTIFS(LdgSellerB,$F1545,LdgKeyB,"&lt;"&amp;$K1545)+1)</f>
        <v/>
      </c>
      <c r="M1545">
        <f>IF($L1545="","",$F1545&amp;"|"&amp;RIGHT("000000"&amp;$L1545,6))</f>
        <v/>
      </c>
      <c r="N1545">
        <f>IF($F1545="","",IF(Sync!$AF1545="","0000",IF(AND(ISNUMBER(Sync!$AF1545),Sync!$AF1545&gt;=0,Sync!$AF1545&lt;1),RIGHT("00"&amp;HOUR(Sync!$AF1545),2)&amp;RIGHT("00"&amp;MINUTE(Sync!$AF1545),2),IFERROR(RIGHT("00"&amp;VALUE(LEFT(Sync!$AF1545,FIND(":",Sync!$AF1545)-1)),2)&amp;RIGHT("00"&amp;VALUE(MID(Sync!$AF1545,FIND(":",Sync!$AF1545)+1,2)),2),"0000"))))</f>
        <v/>
      </c>
    </row>
    <row r="1546">
      <c r="A1546">
        <f>IF(OR(Calc!$E1550="",Calc!$E1550="نامعتبر",Calc!$G1550=""),"",Calc!$G1550)</f>
        <v/>
      </c>
      <c r="B1546">
        <f>IF($A1546="","",LEFT(Calc!$E1550,4)&amp;MID(Calc!$E1550,6,2)&amp;RIGHT(Calc!$E1550,2)&amp;Calc!$Q1550&amp;"|"&amp;"1"&amp;RIGHT("00000"&amp;1541,5))</f>
        <v/>
      </c>
      <c r="C1546">
        <f>IF($B1546="","",COUNTIFS(LdgSellerA,$A1546,LdgKeyA,"&lt;"&amp;$B1546)+COUNTIFS(LdgSellerB,$A1546,LdgKeyB,"&lt;"&amp;$B1546)+1)</f>
        <v/>
      </c>
      <c r="D1546">
        <f>IF($C1546="","",$A1546&amp;"|"&amp;RIGHT("000000"&amp;$C1546,6))</f>
        <v/>
      </c>
      <c r="F1546">
        <f>IF(Sync!$AH1546="","",IF(LEFT(UPPER(TRIM(Sync!$AH1546)),2)="SL",UPPER(TRIM(Sync!$AH1546)),""))</f>
        <v/>
      </c>
      <c r="G1546">
        <f>IF($F1546="","",IF(Sync!$AE1546="","",IF(ISNUMBER(Sync!$AE1546),IF(AND(Sync!$AE1546&gt;=10000101,Sync!$AE1546&lt;=99991231),INT(Sync!$AE1546/10000),""),IFERROR(VALUE(TRIM(LEFT(Sync!$AE1546,FIND("/",Sync!$AE1546)-1))),""))))</f>
        <v/>
      </c>
      <c r="H1546">
        <f>IF(OR($F1546="",$G1546=""),"",IF(ISNUMBER(Sync!$AE1546),INT(MOD(Sync!$AE1546,10000)/100),IFERROR(VALUE(TRIM(LEFT(MID(Sync!$AE1546,FIND("/",Sync!$AE1546)+1,20),FIND("/",MID(Sync!$AE1546,FIND("/",Sync!$AE1546)+1,20))-1))),"")))</f>
        <v/>
      </c>
      <c r="I1546">
        <f>IF(OR($F1546="",$G1546=""),"",IF(ISNUMBER(Sync!$AE1546),MOD(Sync!$AE1546,100),IFERROR(VALUE(TRIM(MID(MID(Sync!$AE1546,FIND("/",Sync!$AE1546)+1,20),FIND("/",MID(Sync!$AE1546,FIND("/",Sync!$AE1546)+1,20))+1,20))),"")))</f>
        <v/>
      </c>
      <c r="J1546">
        <f>IF($F1546="","",IF(OR($G1546="",$H1546="",$I1546="",$G1546&lt;1300,$G1546&gt;1500,$H1546&lt;1,$H1546&gt;12,$I1546&lt;1,$I1546&gt;31),"نامعتبر",RIGHT("0000"&amp;$G1546,4)&amp;"/"&amp;RIGHT("00"&amp;$H1546,2)&amp;"/"&amp;RIGHT("00"&amp;$I1546,2)))</f>
        <v/>
      </c>
      <c r="K1546">
        <f>IF(OR($F1546="",$J1546="",$J1546="نامعتبر"),"",LEFT($J1546,4)&amp;MID($J1546,6,2)&amp;RIGHT($J1546,2)&amp;$N1546&amp;"|"&amp;"2"&amp;RIGHT("00000"&amp;1541,5))</f>
        <v/>
      </c>
      <c r="L1546">
        <f>IF($K1546="","",COUNTIFS(LdgSellerA,$F1546,LdgKeyA,"&lt;"&amp;$K1546)+COUNTIFS(LdgSellerB,$F1546,LdgKeyB,"&lt;"&amp;$K1546)+1)</f>
        <v/>
      </c>
      <c r="M1546">
        <f>IF($L1546="","",$F1546&amp;"|"&amp;RIGHT("000000"&amp;$L1546,6))</f>
        <v/>
      </c>
      <c r="N1546">
        <f>IF($F1546="","",IF(Sync!$AF1546="","0000",IF(AND(ISNUMBER(Sync!$AF1546),Sync!$AF1546&gt;=0,Sync!$AF1546&lt;1),RIGHT("00"&amp;HOUR(Sync!$AF1546),2)&amp;RIGHT("00"&amp;MINUTE(Sync!$AF1546),2),IFERROR(RIGHT("00"&amp;VALUE(LEFT(Sync!$AF1546,FIND(":",Sync!$AF1546)-1)),2)&amp;RIGHT("00"&amp;VALUE(MID(Sync!$AF1546,FIND(":",Sync!$AF1546)+1,2)),2),"0000"))))</f>
        <v/>
      </c>
    </row>
    <row r="1547">
      <c r="A1547">
        <f>IF(OR(Calc!$E1551="",Calc!$E1551="نامعتبر",Calc!$G1551=""),"",Calc!$G1551)</f>
        <v/>
      </c>
      <c r="B1547">
        <f>IF($A1547="","",LEFT(Calc!$E1551,4)&amp;MID(Calc!$E1551,6,2)&amp;RIGHT(Calc!$E1551,2)&amp;Calc!$Q1551&amp;"|"&amp;"1"&amp;RIGHT("00000"&amp;1542,5))</f>
        <v/>
      </c>
      <c r="C1547">
        <f>IF($B1547="","",COUNTIFS(LdgSellerA,$A1547,LdgKeyA,"&lt;"&amp;$B1547)+COUNTIFS(LdgSellerB,$A1547,LdgKeyB,"&lt;"&amp;$B1547)+1)</f>
        <v/>
      </c>
      <c r="D1547">
        <f>IF($C1547="","",$A1547&amp;"|"&amp;RIGHT("000000"&amp;$C1547,6))</f>
        <v/>
      </c>
      <c r="F1547">
        <f>IF(Sync!$AH1547="","",IF(LEFT(UPPER(TRIM(Sync!$AH1547)),2)="SL",UPPER(TRIM(Sync!$AH1547)),""))</f>
        <v/>
      </c>
      <c r="G1547">
        <f>IF($F1547="","",IF(Sync!$AE1547="","",IF(ISNUMBER(Sync!$AE1547),IF(AND(Sync!$AE1547&gt;=10000101,Sync!$AE1547&lt;=99991231),INT(Sync!$AE1547/10000),""),IFERROR(VALUE(TRIM(LEFT(Sync!$AE1547,FIND("/",Sync!$AE1547)-1))),""))))</f>
        <v/>
      </c>
      <c r="H1547">
        <f>IF(OR($F1547="",$G1547=""),"",IF(ISNUMBER(Sync!$AE1547),INT(MOD(Sync!$AE1547,10000)/100),IFERROR(VALUE(TRIM(LEFT(MID(Sync!$AE1547,FIND("/",Sync!$AE1547)+1,20),FIND("/",MID(Sync!$AE1547,FIND("/",Sync!$AE1547)+1,20))-1))),"")))</f>
        <v/>
      </c>
      <c r="I1547">
        <f>IF(OR($F1547="",$G1547=""),"",IF(ISNUMBER(Sync!$AE1547),MOD(Sync!$AE1547,100),IFERROR(VALUE(TRIM(MID(MID(Sync!$AE1547,FIND("/",Sync!$AE1547)+1,20),FIND("/",MID(Sync!$AE1547,FIND("/",Sync!$AE1547)+1,20))+1,20))),"")))</f>
        <v/>
      </c>
      <c r="J1547">
        <f>IF($F1547="","",IF(OR($G1547="",$H1547="",$I1547="",$G1547&lt;1300,$G1547&gt;1500,$H1547&lt;1,$H1547&gt;12,$I1547&lt;1,$I1547&gt;31),"نامعتبر",RIGHT("0000"&amp;$G1547,4)&amp;"/"&amp;RIGHT("00"&amp;$H1547,2)&amp;"/"&amp;RIGHT("00"&amp;$I1547,2)))</f>
        <v/>
      </c>
      <c r="K1547">
        <f>IF(OR($F1547="",$J1547="",$J1547="نامعتبر"),"",LEFT($J1547,4)&amp;MID($J1547,6,2)&amp;RIGHT($J1547,2)&amp;$N1547&amp;"|"&amp;"2"&amp;RIGHT("00000"&amp;1542,5))</f>
        <v/>
      </c>
      <c r="L1547">
        <f>IF($K1547="","",COUNTIFS(LdgSellerA,$F1547,LdgKeyA,"&lt;"&amp;$K1547)+COUNTIFS(LdgSellerB,$F1547,LdgKeyB,"&lt;"&amp;$K1547)+1)</f>
        <v/>
      </c>
      <c r="M1547">
        <f>IF($L1547="","",$F1547&amp;"|"&amp;RIGHT("000000"&amp;$L1547,6))</f>
        <v/>
      </c>
      <c r="N1547">
        <f>IF($F1547="","",IF(Sync!$AF1547="","0000",IF(AND(ISNUMBER(Sync!$AF1547),Sync!$AF1547&gt;=0,Sync!$AF1547&lt;1),RIGHT("00"&amp;HOUR(Sync!$AF1547),2)&amp;RIGHT("00"&amp;MINUTE(Sync!$AF1547),2),IFERROR(RIGHT("00"&amp;VALUE(LEFT(Sync!$AF1547,FIND(":",Sync!$AF1547)-1)),2)&amp;RIGHT("00"&amp;VALUE(MID(Sync!$AF1547,FIND(":",Sync!$AF1547)+1,2)),2),"0000"))))</f>
        <v/>
      </c>
    </row>
    <row r="1548">
      <c r="A1548">
        <f>IF(OR(Calc!$E1552="",Calc!$E1552="نامعتبر",Calc!$G1552=""),"",Calc!$G1552)</f>
        <v/>
      </c>
      <c r="B1548">
        <f>IF($A1548="","",LEFT(Calc!$E1552,4)&amp;MID(Calc!$E1552,6,2)&amp;RIGHT(Calc!$E1552,2)&amp;Calc!$Q1552&amp;"|"&amp;"1"&amp;RIGHT("00000"&amp;1543,5))</f>
        <v/>
      </c>
      <c r="C1548">
        <f>IF($B1548="","",COUNTIFS(LdgSellerA,$A1548,LdgKeyA,"&lt;"&amp;$B1548)+COUNTIFS(LdgSellerB,$A1548,LdgKeyB,"&lt;"&amp;$B1548)+1)</f>
        <v/>
      </c>
      <c r="D1548">
        <f>IF($C1548="","",$A1548&amp;"|"&amp;RIGHT("000000"&amp;$C1548,6))</f>
        <v/>
      </c>
      <c r="F1548">
        <f>IF(Sync!$AH1548="","",IF(LEFT(UPPER(TRIM(Sync!$AH1548)),2)="SL",UPPER(TRIM(Sync!$AH1548)),""))</f>
        <v/>
      </c>
      <c r="G1548">
        <f>IF($F1548="","",IF(Sync!$AE1548="","",IF(ISNUMBER(Sync!$AE1548),IF(AND(Sync!$AE1548&gt;=10000101,Sync!$AE1548&lt;=99991231),INT(Sync!$AE1548/10000),""),IFERROR(VALUE(TRIM(LEFT(Sync!$AE1548,FIND("/",Sync!$AE1548)-1))),""))))</f>
        <v/>
      </c>
      <c r="H1548">
        <f>IF(OR($F1548="",$G1548=""),"",IF(ISNUMBER(Sync!$AE1548),INT(MOD(Sync!$AE1548,10000)/100),IFERROR(VALUE(TRIM(LEFT(MID(Sync!$AE1548,FIND("/",Sync!$AE1548)+1,20),FIND("/",MID(Sync!$AE1548,FIND("/",Sync!$AE1548)+1,20))-1))),"")))</f>
        <v/>
      </c>
      <c r="I1548">
        <f>IF(OR($F1548="",$G1548=""),"",IF(ISNUMBER(Sync!$AE1548),MOD(Sync!$AE1548,100),IFERROR(VALUE(TRIM(MID(MID(Sync!$AE1548,FIND("/",Sync!$AE1548)+1,20),FIND("/",MID(Sync!$AE1548,FIND("/",Sync!$AE1548)+1,20))+1,20))),"")))</f>
        <v/>
      </c>
      <c r="J1548">
        <f>IF($F1548="","",IF(OR($G1548="",$H1548="",$I1548="",$G1548&lt;1300,$G1548&gt;1500,$H1548&lt;1,$H1548&gt;12,$I1548&lt;1,$I1548&gt;31),"نامعتبر",RIGHT("0000"&amp;$G1548,4)&amp;"/"&amp;RIGHT("00"&amp;$H1548,2)&amp;"/"&amp;RIGHT("00"&amp;$I1548,2)))</f>
        <v/>
      </c>
      <c r="K1548">
        <f>IF(OR($F1548="",$J1548="",$J1548="نامعتبر"),"",LEFT($J1548,4)&amp;MID($J1548,6,2)&amp;RIGHT($J1548,2)&amp;$N1548&amp;"|"&amp;"2"&amp;RIGHT("00000"&amp;1543,5))</f>
        <v/>
      </c>
      <c r="L1548">
        <f>IF($K1548="","",COUNTIFS(LdgSellerA,$F1548,LdgKeyA,"&lt;"&amp;$K1548)+COUNTIFS(LdgSellerB,$F1548,LdgKeyB,"&lt;"&amp;$K1548)+1)</f>
        <v/>
      </c>
      <c r="M1548">
        <f>IF($L1548="","",$F1548&amp;"|"&amp;RIGHT("000000"&amp;$L1548,6))</f>
        <v/>
      </c>
      <c r="N1548">
        <f>IF($F1548="","",IF(Sync!$AF1548="","0000",IF(AND(ISNUMBER(Sync!$AF1548),Sync!$AF1548&gt;=0,Sync!$AF1548&lt;1),RIGHT("00"&amp;HOUR(Sync!$AF1548),2)&amp;RIGHT("00"&amp;MINUTE(Sync!$AF1548),2),IFERROR(RIGHT("00"&amp;VALUE(LEFT(Sync!$AF1548,FIND(":",Sync!$AF1548)-1)),2)&amp;RIGHT("00"&amp;VALUE(MID(Sync!$AF1548,FIND(":",Sync!$AF1548)+1,2)),2),"0000"))))</f>
        <v/>
      </c>
    </row>
    <row r="1549">
      <c r="A1549">
        <f>IF(OR(Calc!$E1553="",Calc!$E1553="نامعتبر",Calc!$G1553=""),"",Calc!$G1553)</f>
        <v/>
      </c>
      <c r="B1549">
        <f>IF($A1549="","",LEFT(Calc!$E1553,4)&amp;MID(Calc!$E1553,6,2)&amp;RIGHT(Calc!$E1553,2)&amp;Calc!$Q1553&amp;"|"&amp;"1"&amp;RIGHT("00000"&amp;1544,5))</f>
        <v/>
      </c>
      <c r="C1549">
        <f>IF($B1549="","",COUNTIFS(LdgSellerA,$A1549,LdgKeyA,"&lt;"&amp;$B1549)+COUNTIFS(LdgSellerB,$A1549,LdgKeyB,"&lt;"&amp;$B1549)+1)</f>
        <v/>
      </c>
      <c r="D1549">
        <f>IF($C1549="","",$A1549&amp;"|"&amp;RIGHT("000000"&amp;$C1549,6))</f>
        <v/>
      </c>
      <c r="F1549">
        <f>IF(Sync!$AH1549="","",IF(LEFT(UPPER(TRIM(Sync!$AH1549)),2)="SL",UPPER(TRIM(Sync!$AH1549)),""))</f>
        <v/>
      </c>
      <c r="G1549">
        <f>IF($F1549="","",IF(Sync!$AE1549="","",IF(ISNUMBER(Sync!$AE1549),IF(AND(Sync!$AE1549&gt;=10000101,Sync!$AE1549&lt;=99991231),INT(Sync!$AE1549/10000),""),IFERROR(VALUE(TRIM(LEFT(Sync!$AE1549,FIND("/",Sync!$AE1549)-1))),""))))</f>
        <v/>
      </c>
      <c r="H1549">
        <f>IF(OR($F1549="",$G1549=""),"",IF(ISNUMBER(Sync!$AE1549),INT(MOD(Sync!$AE1549,10000)/100),IFERROR(VALUE(TRIM(LEFT(MID(Sync!$AE1549,FIND("/",Sync!$AE1549)+1,20),FIND("/",MID(Sync!$AE1549,FIND("/",Sync!$AE1549)+1,20))-1))),"")))</f>
        <v/>
      </c>
      <c r="I1549">
        <f>IF(OR($F1549="",$G1549=""),"",IF(ISNUMBER(Sync!$AE1549),MOD(Sync!$AE1549,100),IFERROR(VALUE(TRIM(MID(MID(Sync!$AE1549,FIND("/",Sync!$AE1549)+1,20),FIND("/",MID(Sync!$AE1549,FIND("/",Sync!$AE1549)+1,20))+1,20))),"")))</f>
        <v/>
      </c>
      <c r="J1549">
        <f>IF($F1549="","",IF(OR($G1549="",$H1549="",$I1549="",$G1549&lt;1300,$G1549&gt;1500,$H1549&lt;1,$H1549&gt;12,$I1549&lt;1,$I1549&gt;31),"نامعتبر",RIGHT("0000"&amp;$G1549,4)&amp;"/"&amp;RIGHT("00"&amp;$H1549,2)&amp;"/"&amp;RIGHT("00"&amp;$I1549,2)))</f>
        <v/>
      </c>
      <c r="K1549">
        <f>IF(OR($F1549="",$J1549="",$J1549="نامعتبر"),"",LEFT($J1549,4)&amp;MID($J1549,6,2)&amp;RIGHT($J1549,2)&amp;$N1549&amp;"|"&amp;"2"&amp;RIGHT("00000"&amp;1544,5))</f>
        <v/>
      </c>
      <c r="L1549">
        <f>IF($K1549="","",COUNTIFS(LdgSellerA,$F1549,LdgKeyA,"&lt;"&amp;$K1549)+COUNTIFS(LdgSellerB,$F1549,LdgKeyB,"&lt;"&amp;$K1549)+1)</f>
        <v/>
      </c>
      <c r="M1549">
        <f>IF($L1549="","",$F1549&amp;"|"&amp;RIGHT("000000"&amp;$L1549,6))</f>
        <v/>
      </c>
      <c r="N1549">
        <f>IF($F1549="","",IF(Sync!$AF1549="","0000",IF(AND(ISNUMBER(Sync!$AF1549),Sync!$AF1549&gt;=0,Sync!$AF1549&lt;1),RIGHT("00"&amp;HOUR(Sync!$AF1549),2)&amp;RIGHT("00"&amp;MINUTE(Sync!$AF1549),2),IFERROR(RIGHT("00"&amp;VALUE(LEFT(Sync!$AF1549,FIND(":",Sync!$AF1549)-1)),2)&amp;RIGHT("00"&amp;VALUE(MID(Sync!$AF1549,FIND(":",Sync!$AF1549)+1,2)),2),"0000"))))</f>
        <v/>
      </c>
    </row>
    <row r="1550">
      <c r="A1550">
        <f>IF(OR(Calc!$E1554="",Calc!$E1554="نامعتبر",Calc!$G1554=""),"",Calc!$G1554)</f>
        <v/>
      </c>
      <c r="B1550">
        <f>IF($A1550="","",LEFT(Calc!$E1554,4)&amp;MID(Calc!$E1554,6,2)&amp;RIGHT(Calc!$E1554,2)&amp;Calc!$Q1554&amp;"|"&amp;"1"&amp;RIGHT("00000"&amp;1545,5))</f>
        <v/>
      </c>
      <c r="C1550">
        <f>IF($B1550="","",COUNTIFS(LdgSellerA,$A1550,LdgKeyA,"&lt;"&amp;$B1550)+COUNTIFS(LdgSellerB,$A1550,LdgKeyB,"&lt;"&amp;$B1550)+1)</f>
        <v/>
      </c>
      <c r="D1550">
        <f>IF($C1550="","",$A1550&amp;"|"&amp;RIGHT("000000"&amp;$C1550,6))</f>
        <v/>
      </c>
      <c r="F1550">
        <f>IF(Sync!$AH1550="","",IF(LEFT(UPPER(TRIM(Sync!$AH1550)),2)="SL",UPPER(TRIM(Sync!$AH1550)),""))</f>
        <v/>
      </c>
      <c r="G1550">
        <f>IF($F1550="","",IF(Sync!$AE1550="","",IF(ISNUMBER(Sync!$AE1550),IF(AND(Sync!$AE1550&gt;=10000101,Sync!$AE1550&lt;=99991231),INT(Sync!$AE1550/10000),""),IFERROR(VALUE(TRIM(LEFT(Sync!$AE1550,FIND("/",Sync!$AE1550)-1))),""))))</f>
        <v/>
      </c>
      <c r="H1550">
        <f>IF(OR($F1550="",$G1550=""),"",IF(ISNUMBER(Sync!$AE1550),INT(MOD(Sync!$AE1550,10000)/100),IFERROR(VALUE(TRIM(LEFT(MID(Sync!$AE1550,FIND("/",Sync!$AE1550)+1,20),FIND("/",MID(Sync!$AE1550,FIND("/",Sync!$AE1550)+1,20))-1))),"")))</f>
        <v/>
      </c>
      <c r="I1550">
        <f>IF(OR($F1550="",$G1550=""),"",IF(ISNUMBER(Sync!$AE1550),MOD(Sync!$AE1550,100),IFERROR(VALUE(TRIM(MID(MID(Sync!$AE1550,FIND("/",Sync!$AE1550)+1,20),FIND("/",MID(Sync!$AE1550,FIND("/",Sync!$AE1550)+1,20))+1,20))),"")))</f>
        <v/>
      </c>
      <c r="J1550">
        <f>IF($F1550="","",IF(OR($G1550="",$H1550="",$I1550="",$G1550&lt;1300,$G1550&gt;1500,$H1550&lt;1,$H1550&gt;12,$I1550&lt;1,$I1550&gt;31),"نامعتبر",RIGHT("0000"&amp;$G1550,4)&amp;"/"&amp;RIGHT("00"&amp;$H1550,2)&amp;"/"&amp;RIGHT("00"&amp;$I1550,2)))</f>
        <v/>
      </c>
      <c r="K1550">
        <f>IF(OR($F1550="",$J1550="",$J1550="نامعتبر"),"",LEFT($J1550,4)&amp;MID($J1550,6,2)&amp;RIGHT($J1550,2)&amp;$N1550&amp;"|"&amp;"2"&amp;RIGHT("00000"&amp;1545,5))</f>
        <v/>
      </c>
      <c r="L1550">
        <f>IF($K1550="","",COUNTIFS(LdgSellerA,$F1550,LdgKeyA,"&lt;"&amp;$K1550)+COUNTIFS(LdgSellerB,$F1550,LdgKeyB,"&lt;"&amp;$K1550)+1)</f>
        <v/>
      </c>
      <c r="M1550">
        <f>IF($L1550="","",$F1550&amp;"|"&amp;RIGHT("000000"&amp;$L1550,6))</f>
        <v/>
      </c>
      <c r="N1550">
        <f>IF($F1550="","",IF(Sync!$AF1550="","0000",IF(AND(ISNUMBER(Sync!$AF1550),Sync!$AF1550&gt;=0,Sync!$AF1550&lt;1),RIGHT("00"&amp;HOUR(Sync!$AF1550),2)&amp;RIGHT("00"&amp;MINUTE(Sync!$AF1550),2),IFERROR(RIGHT("00"&amp;VALUE(LEFT(Sync!$AF1550,FIND(":",Sync!$AF1550)-1)),2)&amp;RIGHT("00"&amp;VALUE(MID(Sync!$AF1550,FIND(":",Sync!$AF1550)+1,2)),2),"0000"))))</f>
        <v/>
      </c>
    </row>
    <row r="1551">
      <c r="A1551">
        <f>IF(OR(Calc!$E1555="",Calc!$E1555="نامعتبر",Calc!$G1555=""),"",Calc!$G1555)</f>
        <v/>
      </c>
      <c r="B1551">
        <f>IF($A1551="","",LEFT(Calc!$E1555,4)&amp;MID(Calc!$E1555,6,2)&amp;RIGHT(Calc!$E1555,2)&amp;Calc!$Q1555&amp;"|"&amp;"1"&amp;RIGHT("00000"&amp;1546,5))</f>
        <v/>
      </c>
      <c r="C1551">
        <f>IF($B1551="","",COUNTIFS(LdgSellerA,$A1551,LdgKeyA,"&lt;"&amp;$B1551)+COUNTIFS(LdgSellerB,$A1551,LdgKeyB,"&lt;"&amp;$B1551)+1)</f>
        <v/>
      </c>
      <c r="D1551">
        <f>IF($C1551="","",$A1551&amp;"|"&amp;RIGHT("000000"&amp;$C1551,6))</f>
        <v/>
      </c>
      <c r="F1551">
        <f>IF(Sync!$AH1551="","",IF(LEFT(UPPER(TRIM(Sync!$AH1551)),2)="SL",UPPER(TRIM(Sync!$AH1551)),""))</f>
        <v/>
      </c>
      <c r="G1551">
        <f>IF($F1551="","",IF(Sync!$AE1551="","",IF(ISNUMBER(Sync!$AE1551),IF(AND(Sync!$AE1551&gt;=10000101,Sync!$AE1551&lt;=99991231),INT(Sync!$AE1551/10000),""),IFERROR(VALUE(TRIM(LEFT(Sync!$AE1551,FIND("/",Sync!$AE1551)-1))),""))))</f>
        <v/>
      </c>
      <c r="H1551">
        <f>IF(OR($F1551="",$G1551=""),"",IF(ISNUMBER(Sync!$AE1551),INT(MOD(Sync!$AE1551,10000)/100),IFERROR(VALUE(TRIM(LEFT(MID(Sync!$AE1551,FIND("/",Sync!$AE1551)+1,20),FIND("/",MID(Sync!$AE1551,FIND("/",Sync!$AE1551)+1,20))-1))),"")))</f>
        <v/>
      </c>
      <c r="I1551">
        <f>IF(OR($F1551="",$G1551=""),"",IF(ISNUMBER(Sync!$AE1551),MOD(Sync!$AE1551,100),IFERROR(VALUE(TRIM(MID(MID(Sync!$AE1551,FIND("/",Sync!$AE1551)+1,20),FIND("/",MID(Sync!$AE1551,FIND("/",Sync!$AE1551)+1,20))+1,20))),"")))</f>
        <v/>
      </c>
      <c r="J1551">
        <f>IF($F1551="","",IF(OR($G1551="",$H1551="",$I1551="",$G1551&lt;1300,$G1551&gt;1500,$H1551&lt;1,$H1551&gt;12,$I1551&lt;1,$I1551&gt;31),"نامعتبر",RIGHT("0000"&amp;$G1551,4)&amp;"/"&amp;RIGHT("00"&amp;$H1551,2)&amp;"/"&amp;RIGHT("00"&amp;$I1551,2)))</f>
        <v/>
      </c>
      <c r="K1551">
        <f>IF(OR($F1551="",$J1551="",$J1551="نامعتبر"),"",LEFT($J1551,4)&amp;MID($J1551,6,2)&amp;RIGHT($J1551,2)&amp;$N1551&amp;"|"&amp;"2"&amp;RIGHT("00000"&amp;1546,5))</f>
        <v/>
      </c>
      <c r="L1551">
        <f>IF($K1551="","",COUNTIFS(LdgSellerA,$F1551,LdgKeyA,"&lt;"&amp;$K1551)+COUNTIFS(LdgSellerB,$F1551,LdgKeyB,"&lt;"&amp;$K1551)+1)</f>
        <v/>
      </c>
      <c r="M1551">
        <f>IF($L1551="","",$F1551&amp;"|"&amp;RIGHT("000000"&amp;$L1551,6))</f>
        <v/>
      </c>
      <c r="N1551">
        <f>IF($F1551="","",IF(Sync!$AF1551="","0000",IF(AND(ISNUMBER(Sync!$AF1551),Sync!$AF1551&gt;=0,Sync!$AF1551&lt;1),RIGHT("00"&amp;HOUR(Sync!$AF1551),2)&amp;RIGHT("00"&amp;MINUTE(Sync!$AF1551),2),IFERROR(RIGHT("00"&amp;VALUE(LEFT(Sync!$AF1551,FIND(":",Sync!$AF1551)-1)),2)&amp;RIGHT("00"&amp;VALUE(MID(Sync!$AF1551,FIND(":",Sync!$AF1551)+1,2)),2),"0000"))))</f>
        <v/>
      </c>
    </row>
    <row r="1552">
      <c r="A1552">
        <f>IF(OR(Calc!$E1556="",Calc!$E1556="نامعتبر",Calc!$G1556=""),"",Calc!$G1556)</f>
        <v/>
      </c>
      <c r="B1552">
        <f>IF($A1552="","",LEFT(Calc!$E1556,4)&amp;MID(Calc!$E1556,6,2)&amp;RIGHT(Calc!$E1556,2)&amp;Calc!$Q1556&amp;"|"&amp;"1"&amp;RIGHT("00000"&amp;1547,5))</f>
        <v/>
      </c>
      <c r="C1552">
        <f>IF($B1552="","",COUNTIFS(LdgSellerA,$A1552,LdgKeyA,"&lt;"&amp;$B1552)+COUNTIFS(LdgSellerB,$A1552,LdgKeyB,"&lt;"&amp;$B1552)+1)</f>
        <v/>
      </c>
      <c r="D1552">
        <f>IF($C1552="","",$A1552&amp;"|"&amp;RIGHT("000000"&amp;$C1552,6))</f>
        <v/>
      </c>
      <c r="F1552">
        <f>IF(Sync!$AH1552="","",IF(LEFT(UPPER(TRIM(Sync!$AH1552)),2)="SL",UPPER(TRIM(Sync!$AH1552)),""))</f>
        <v/>
      </c>
      <c r="G1552">
        <f>IF($F1552="","",IF(Sync!$AE1552="","",IF(ISNUMBER(Sync!$AE1552),IF(AND(Sync!$AE1552&gt;=10000101,Sync!$AE1552&lt;=99991231),INT(Sync!$AE1552/10000),""),IFERROR(VALUE(TRIM(LEFT(Sync!$AE1552,FIND("/",Sync!$AE1552)-1))),""))))</f>
        <v/>
      </c>
      <c r="H1552">
        <f>IF(OR($F1552="",$G1552=""),"",IF(ISNUMBER(Sync!$AE1552),INT(MOD(Sync!$AE1552,10000)/100),IFERROR(VALUE(TRIM(LEFT(MID(Sync!$AE1552,FIND("/",Sync!$AE1552)+1,20),FIND("/",MID(Sync!$AE1552,FIND("/",Sync!$AE1552)+1,20))-1))),"")))</f>
        <v/>
      </c>
      <c r="I1552">
        <f>IF(OR($F1552="",$G1552=""),"",IF(ISNUMBER(Sync!$AE1552),MOD(Sync!$AE1552,100),IFERROR(VALUE(TRIM(MID(MID(Sync!$AE1552,FIND("/",Sync!$AE1552)+1,20),FIND("/",MID(Sync!$AE1552,FIND("/",Sync!$AE1552)+1,20))+1,20))),"")))</f>
        <v/>
      </c>
      <c r="J1552">
        <f>IF($F1552="","",IF(OR($G1552="",$H1552="",$I1552="",$G1552&lt;1300,$G1552&gt;1500,$H1552&lt;1,$H1552&gt;12,$I1552&lt;1,$I1552&gt;31),"نامعتبر",RIGHT("0000"&amp;$G1552,4)&amp;"/"&amp;RIGHT("00"&amp;$H1552,2)&amp;"/"&amp;RIGHT("00"&amp;$I1552,2)))</f>
        <v/>
      </c>
      <c r="K1552">
        <f>IF(OR($F1552="",$J1552="",$J1552="نامعتبر"),"",LEFT($J1552,4)&amp;MID($J1552,6,2)&amp;RIGHT($J1552,2)&amp;$N1552&amp;"|"&amp;"2"&amp;RIGHT("00000"&amp;1547,5))</f>
        <v/>
      </c>
      <c r="L1552">
        <f>IF($K1552="","",COUNTIFS(LdgSellerA,$F1552,LdgKeyA,"&lt;"&amp;$K1552)+COUNTIFS(LdgSellerB,$F1552,LdgKeyB,"&lt;"&amp;$K1552)+1)</f>
        <v/>
      </c>
      <c r="M1552">
        <f>IF($L1552="","",$F1552&amp;"|"&amp;RIGHT("000000"&amp;$L1552,6))</f>
        <v/>
      </c>
      <c r="N1552">
        <f>IF($F1552="","",IF(Sync!$AF1552="","0000",IF(AND(ISNUMBER(Sync!$AF1552),Sync!$AF1552&gt;=0,Sync!$AF1552&lt;1),RIGHT("00"&amp;HOUR(Sync!$AF1552),2)&amp;RIGHT("00"&amp;MINUTE(Sync!$AF1552),2),IFERROR(RIGHT("00"&amp;VALUE(LEFT(Sync!$AF1552,FIND(":",Sync!$AF1552)-1)),2)&amp;RIGHT("00"&amp;VALUE(MID(Sync!$AF1552,FIND(":",Sync!$AF1552)+1,2)),2),"0000"))))</f>
        <v/>
      </c>
    </row>
    <row r="1553">
      <c r="A1553">
        <f>IF(OR(Calc!$E1557="",Calc!$E1557="نامعتبر",Calc!$G1557=""),"",Calc!$G1557)</f>
        <v/>
      </c>
      <c r="B1553">
        <f>IF($A1553="","",LEFT(Calc!$E1557,4)&amp;MID(Calc!$E1557,6,2)&amp;RIGHT(Calc!$E1557,2)&amp;Calc!$Q1557&amp;"|"&amp;"1"&amp;RIGHT("00000"&amp;1548,5))</f>
        <v/>
      </c>
      <c r="C1553">
        <f>IF($B1553="","",COUNTIFS(LdgSellerA,$A1553,LdgKeyA,"&lt;"&amp;$B1553)+COUNTIFS(LdgSellerB,$A1553,LdgKeyB,"&lt;"&amp;$B1553)+1)</f>
        <v/>
      </c>
      <c r="D1553">
        <f>IF($C1553="","",$A1553&amp;"|"&amp;RIGHT("000000"&amp;$C1553,6))</f>
        <v/>
      </c>
      <c r="F1553">
        <f>IF(Sync!$AH1553="","",IF(LEFT(UPPER(TRIM(Sync!$AH1553)),2)="SL",UPPER(TRIM(Sync!$AH1553)),""))</f>
        <v/>
      </c>
      <c r="G1553">
        <f>IF($F1553="","",IF(Sync!$AE1553="","",IF(ISNUMBER(Sync!$AE1553),IF(AND(Sync!$AE1553&gt;=10000101,Sync!$AE1553&lt;=99991231),INT(Sync!$AE1553/10000),""),IFERROR(VALUE(TRIM(LEFT(Sync!$AE1553,FIND("/",Sync!$AE1553)-1))),""))))</f>
        <v/>
      </c>
      <c r="H1553">
        <f>IF(OR($F1553="",$G1553=""),"",IF(ISNUMBER(Sync!$AE1553),INT(MOD(Sync!$AE1553,10000)/100),IFERROR(VALUE(TRIM(LEFT(MID(Sync!$AE1553,FIND("/",Sync!$AE1553)+1,20),FIND("/",MID(Sync!$AE1553,FIND("/",Sync!$AE1553)+1,20))-1))),"")))</f>
        <v/>
      </c>
      <c r="I1553">
        <f>IF(OR($F1553="",$G1553=""),"",IF(ISNUMBER(Sync!$AE1553),MOD(Sync!$AE1553,100),IFERROR(VALUE(TRIM(MID(MID(Sync!$AE1553,FIND("/",Sync!$AE1553)+1,20),FIND("/",MID(Sync!$AE1553,FIND("/",Sync!$AE1553)+1,20))+1,20))),"")))</f>
        <v/>
      </c>
      <c r="J1553">
        <f>IF($F1553="","",IF(OR($G1553="",$H1553="",$I1553="",$G1553&lt;1300,$G1553&gt;1500,$H1553&lt;1,$H1553&gt;12,$I1553&lt;1,$I1553&gt;31),"نامعتبر",RIGHT("0000"&amp;$G1553,4)&amp;"/"&amp;RIGHT("00"&amp;$H1553,2)&amp;"/"&amp;RIGHT("00"&amp;$I1553,2)))</f>
        <v/>
      </c>
      <c r="K1553">
        <f>IF(OR($F1553="",$J1553="",$J1553="نامعتبر"),"",LEFT($J1553,4)&amp;MID($J1553,6,2)&amp;RIGHT($J1553,2)&amp;$N1553&amp;"|"&amp;"2"&amp;RIGHT("00000"&amp;1548,5))</f>
        <v/>
      </c>
      <c r="L1553">
        <f>IF($K1553="","",COUNTIFS(LdgSellerA,$F1553,LdgKeyA,"&lt;"&amp;$K1553)+COUNTIFS(LdgSellerB,$F1553,LdgKeyB,"&lt;"&amp;$K1553)+1)</f>
        <v/>
      </c>
      <c r="M1553">
        <f>IF($L1553="","",$F1553&amp;"|"&amp;RIGHT("000000"&amp;$L1553,6))</f>
        <v/>
      </c>
      <c r="N1553">
        <f>IF($F1553="","",IF(Sync!$AF1553="","0000",IF(AND(ISNUMBER(Sync!$AF1553),Sync!$AF1553&gt;=0,Sync!$AF1553&lt;1),RIGHT("00"&amp;HOUR(Sync!$AF1553),2)&amp;RIGHT("00"&amp;MINUTE(Sync!$AF1553),2),IFERROR(RIGHT("00"&amp;VALUE(LEFT(Sync!$AF1553,FIND(":",Sync!$AF1553)-1)),2)&amp;RIGHT("00"&amp;VALUE(MID(Sync!$AF1553,FIND(":",Sync!$AF1553)+1,2)),2),"0000"))))</f>
        <v/>
      </c>
    </row>
    <row r="1554">
      <c r="A1554">
        <f>IF(OR(Calc!$E1558="",Calc!$E1558="نامعتبر",Calc!$G1558=""),"",Calc!$G1558)</f>
        <v/>
      </c>
      <c r="B1554">
        <f>IF($A1554="","",LEFT(Calc!$E1558,4)&amp;MID(Calc!$E1558,6,2)&amp;RIGHT(Calc!$E1558,2)&amp;Calc!$Q1558&amp;"|"&amp;"1"&amp;RIGHT("00000"&amp;1549,5))</f>
        <v/>
      </c>
      <c r="C1554">
        <f>IF($B1554="","",COUNTIFS(LdgSellerA,$A1554,LdgKeyA,"&lt;"&amp;$B1554)+COUNTIFS(LdgSellerB,$A1554,LdgKeyB,"&lt;"&amp;$B1554)+1)</f>
        <v/>
      </c>
      <c r="D1554">
        <f>IF($C1554="","",$A1554&amp;"|"&amp;RIGHT("000000"&amp;$C1554,6))</f>
        <v/>
      </c>
      <c r="F1554">
        <f>IF(Sync!$AH1554="","",IF(LEFT(UPPER(TRIM(Sync!$AH1554)),2)="SL",UPPER(TRIM(Sync!$AH1554)),""))</f>
        <v/>
      </c>
      <c r="G1554">
        <f>IF($F1554="","",IF(Sync!$AE1554="","",IF(ISNUMBER(Sync!$AE1554),IF(AND(Sync!$AE1554&gt;=10000101,Sync!$AE1554&lt;=99991231),INT(Sync!$AE1554/10000),""),IFERROR(VALUE(TRIM(LEFT(Sync!$AE1554,FIND("/",Sync!$AE1554)-1))),""))))</f>
        <v/>
      </c>
      <c r="H1554">
        <f>IF(OR($F1554="",$G1554=""),"",IF(ISNUMBER(Sync!$AE1554),INT(MOD(Sync!$AE1554,10000)/100),IFERROR(VALUE(TRIM(LEFT(MID(Sync!$AE1554,FIND("/",Sync!$AE1554)+1,20),FIND("/",MID(Sync!$AE1554,FIND("/",Sync!$AE1554)+1,20))-1))),"")))</f>
        <v/>
      </c>
      <c r="I1554">
        <f>IF(OR($F1554="",$G1554=""),"",IF(ISNUMBER(Sync!$AE1554),MOD(Sync!$AE1554,100),IFERROR(VALUE(TRIM(MID(MID(Sync!$AE1554,FIND("/",Sync!$AE1554)+1,20),FIND("/",MID(Sync!$AE1554,FIND("/",Sync!$AE1554)+1,20))+1,20))),"")))</f>
        <v/>
      </c>
      <c r="J1554">
        <f>IF($F1554="","",IF(OR($G1554="",$H1554="",$I1554="",$G1554&lt;1300,$G1554&gt;1500,$H1554&lt;1,$H1554&gt;12,$I1554&lt;1,$I1554&gt;31),"نامعتبر",RIGHT("0000"&amp;$G1554,4)&amp;"/"&amp;RIGHT("00"&amp;$H1554,2)&amp;"/"&amp;RIGHT("00"&amp;$I1554,2)))</f>
        <v/>
      </c>
      <c r="K1554">
        <f>IF(OR($F1554="",$J1554="",$J1554="نامعتبر"),"",LEFT($J1554,4)&amp;MID($J1554,6,2)&amp;RIGHT($J1554,2)&amp;$N1554&amp;"|"&amp;"2"&amp;RIGHT("00000"&amp;1549,5))</f>
        <v/>
      </c>
      <c r="L1554">
        <f>IF($K1554="","",COUNTIFS(LdgSellerA,$F1554,LdgKeyA,"&lt;"&amp;$K1554)+COUNTIFS(LdgSellerB,$F1554,LdgKeyB,"&lt;"&amp;$K1554)+1)</f>
        <v/>
      </c>
      <c r="M1554">
        <f>IF($L1554="","",$F1554&amp;"|"&amp;RIGHT("000000"&amp;$L1554,6))</f>
        <v/>
      </c>
      <c r="N1554">
        <f>IF($F1554="","",IF(Sync!$AF1554="","0000",IF(AND(ISNUMBER(Sync!$AF1554),Sync!$AF1554&gt;=0,Sync!$AF1554&lt;1),RIGHT("00"&amp;HOUR(Sync!$AF1554),2)&amp;RIGHT("00"&amp;MINUTE(Sync!$AF1554),2),IFERROR(RIGHT("00"&amp;VALUE(LEFT(Sync!$AF1554,FIND(":",Sync!$AF1554)-1)),2)&amp;RIGHT("00"&amp;VALUE(MID(Sync!$AF1554,FIND(":",Sync!$AF1554)+1,2)),2),"0000"))))</f>
        <v/>
      </c>
    </row>
    <row r="1555">
      <c r="A1555">
        <f>IF(OR(Calc!$E1559="",Calc!$E1559="نامعتبر",Calc!$G1559=""),"",Calc!$G1559)</f>
        <v/>
      </c>
      <c r="B1555">
        <f>IF($A1555="","",LEFT(Calc!$E1559,4)&amp;MID(Calc!$E1559,6,2)&amp;RIGHT(Calc!$E1559,2)&amp;Calc!$Q1559&amp;"|"&amp;"1"&amp;RIGHT("00000"&amp;1550,5))</f>
        <v/>
      </c>
      <c r="C1555">
        <f>IF($B1555="","",COUNTIFS(LdgSellerA,$A1555,LdgKeyA,"&lt;"&amp;$B1555)+COUNTIFS(LdgSellerB,$A1555,LdgKeyB,"&lt;"&amp;$B1555)+1)</f>
        <v/>
      </c>
      <c r="D1555">
        <f>IF($C1555="","",$A1555&amp;"|"&amp;RIGHT("000000"&amp;$C1555,6))</f>
        <v/>
      </c>
      <c r="F1555">
        <f>IF(Sync!$AH1555="","",IF(LEFT(UPPER(TRIM(Sync!$AH1555)),2)="SL",UPPER(TRIM(Sync!$AH1555)),""))</f>
        <v/>
      </c>
      <c r="G1555">
        <f>IF($F1555="","",IF(Sync!$AE1555="","",IF(ISNUMBER(Sync!$AE1555),IF(AND(Sync!$AE1555&gt;=10000101,Sync!$AE1555&lt;=99991231),INT(Sync!$AE1555/10000),""),IFERROR(VALUE(TRIM(LEFT(Sync!$AE1555,FIND("/",Sync!$AE1555)-1))),""))))</f>
        <v/>
      </c>
      <c r="H1555">
        <f>IF(OR($F1555="",$G1555=""),"",IF(ISNUMBER(Sync!$AE1555),INT(MOD(Sync!$AE1555,10000)/100),IFERROR(VALUE(TRIM(LEFT(MID(Sync!$AE1555,FIND("/",Sync!$AE1555)+1,20),FIND("/",MID(Sync!$AE1555,FIND("/",Sync!$AE1555)+1,20))-1))),"")))</f>
        <v/>
      </c>
      <c r="I1555">
        <f>IF(OR($F1555="",$G1555=""),"",IF(ISNUMBER(Sync!$AE1555),MOD(Sync!$AE1555,100),IFERROR(VALUE(TRIM(MID(MID(Sync!$AE1555,FIND("/",Sync!$AE1555)+1,20),FIND("/",MID(Sync!$AE1555,FIND("/",Sync!$AE1555)+1,20))+1,20))),"")))</f>
        <v/>
      </c>
      <c r="J1555">
        <f>IF($F1555="","",IF(OR($G1555="",$H1555="",$I1555="",$G1555&lt;1300,$G1555&gt;1500,$H1555&lt;1,$H1555&gt;12,$I1555&lt;1,$I1555&gt;31),"نامعتبر",RIGHT("0000"&amp;$G1555,4)&amp;"/"&amp;RIGHT("00"&amp;$H1555,2)&amp;"/"&amp;RIGHT("00"&amp;$I1555,2)))</f>
        <v/>
      </c>
      <c r="K1555">
        <f>IF(OR($F1555="",$J1555="",$J1555="نامعتبر"),"",LEFT($J1555,4)&amp;MID($J1555,6,2)&amp;RIGHT($J1555,2)&amp;$N1555&amp;"|"&amp;"2"&amp;RIGHT("00000"&amp;1550,5))</f>
        <v/>
      </c>
      <c r="L1555">
        <f>IF($K1555="","",COUNTIFS(LdgSellerA,$F1555,LdgKeyA,"&lt;"&amp;$K1555)+COUNTIFS(LdgSellerB,$F1555,LdgKeyB,"&lt;"&amp;$K1555)+1)</f>
        <v/>
      </c>
      <c r="M1555">
        <f>IF($L1555="","",$F1555&amp;"|"&amp;RIGHT("000000"&amp;$L1555,6))</f>
        <v/>
      </c>
      <c r="N1555">
        <f>IF($F1555="","",IF(Sync!$AF1555="","0000",IF(AND(ISNUMBER(Sync!$AF1555),Sync!$AF1555&gt;=0,Sync!$AF1555&lt;1),RIGHT("00"&amp;HOUR(Sync!$AF1555),2)&amp;RIGHT("00"&amp;MINUTE(Sync!$AF1555),2),IFERROR(RIGHT("00"&amp;VALUE(LEFT(Sync!$AF1555,FIND(":",Sync!$AF1555)-1)),2)&amp;RIGHT("00"&amp;VALUE(MID(Sync!$AF1555,FIND(":",Sync!$AF1555)+1,2)),2),"0000"))))</f>
        <v/>
      </c>
    </row>
    <row r="1556">
      <c r="A1556">
        <f>IF(OR(Calc!$E1560="",Calc!$E1560="نامعتبر",Calc!$G1560=""),"",Calc!$G1560)</f>
        <v/>
      </c>
      <c r="B1556">
        <f>IF($A1556="","",LEFT(Calc!$E1560,4)&amp;MID(Calc!$E1560,6,2)&amp;RIGHT(Calc!$E1560,2)&amp;Calc!$Q1560&amp;"|"&amp;"1"&amp;RIGHT("00000"&amp;1551,5))</f>
        <v/>
      </c>
      <c r="C1556">
        <f>IF($B1556="","",COUNTIFS(LdgSellerA,$A1556,LdgKeyA,"&lt;"&amp;$B1556)+COUNTIFS(LdgSellerB,$A1556,LdgKeyB,"&lt;"&amp;$B1556)+1)</f>
        <v/>
      </c>
      <c r="D1556">
        <f>IF($C1556="","",$A1556&amp;"|"&amp;RIGHT("000000"&amp;$C1556,6))</f>
        <v/>
      </c>
      <c r="F1556">
        <f>IF(Sync!$AH1556="","",IF(LEFT(UPPER(TRIM(Sync!$AH1556)),2)="SL",UPPER(TRIM(Sync!$AH1556)),""))</f>
        <v/>
      </c>
      <c r="G1556">
        <f>IF($F1556="","",IF(Sync!$AE1556="","",IF(ISNUMBER(Sync!$AE1556),IF(AND(Sync!$AE1556&gt;=10000101,Sync!$AE1556&lt;=99991231),INT(Sync!$AE1556/10000),""),IFERROR(VALUE(TRIM(LEFT(Sync!$AE1556,FIND("/",Sync!$AE1556)-1))),""))))</f>
        <v/>
      </c>
      <c r="H1556">
        <f>IF(OR($F1556="",$G1556=""),"",IF(ISNUMBER(Sync!$AE1556),INT(MOD(Sync!$AE1556,10000)/100),IFERROR(VALUE(TRIM(LEFT(MID(Sync!$AE1556,FIND("/",Sync!$AE1556)+1,20),FIND("/",MID(Sync!$AE1556,FIND("/",Sync!$AE1556)+1,20))-1))),"")))</f>
        <v/>
      </c>
      <c r="I1556">
        <f>IF(OR($F1556="",$G1556=""),"",IF(ISNUMBER(Sync!$AE1556),MOD(Sync!$AE1556,100),IFERROR(VALUE(TRIM(MID(MID(Sync!$AE1556,FIND("/",Sync!$AE1556)+1,20),FIND("/",MID(Sync!$AE1556,FIND("/",Sync!$AE1556)+1,20))+1,20))),"")))</f>
        <v/>
      </c>
      <c r="J1556">
        <f>IF($F1556="","",IF(OR($G1556="",$H1556="",$I1556="",$G1556&lt;1300,$G1556&gt;1500,$H1556&lt;1,$H1556&gt;12,$I1556&lt;1,$I1556&gt;31),"نامعتبر",RIGHT("0000"&amp;$G1556,4)&amp;"/"&amp;RIGHT("00"&amp;$H1556,2)&amp;"/"&amp;RIGHT("00"&amp;$I1556,2)))</f>
        <v/>
      </c>
      <c r="K1556">
        <f>IF(OR($F1556="",$J1556="",$J1556="نامعتبر"),"",LEFT($J1556,4)&amp;MID($J1556,6,2)&amp;RIGHT($J1556,2)&amp;$N1556&amp;"|"&amp;"2"&amp;RIGHT("00000"&amp;1551,5))</f>
        <v/>
      </c>
      <c r="L1556">
        <f>IF($K1556="","",COUNTIFS(LdgSellerA,$F1556,LdgKeyA,"&lt;"&amp;$K1556)+COUNTIFS(LdgSellerB,$F1556,LdgKeyB,"&lt;"&amp;$K1556)+1)</f>
        <v/>
      </c>
      <c r="M1556">
        <f>IF($L1556="","",$F1556&amp;"|"&amp;RIGHT("000000"&amp;$L1556,6))</f>
        <v/>
      </c>
      <c r="N1556">
        <f>IF($F1556="","",IF(Sync!$AF1556="","0000",IF(AND(ISNUMBER(Sync!$AF1556),Sync!$AF1556&gt;=0,Sync!$AF1556&lt;1),RIGHT("00"&amp;HOUR(Sync!$AF1556),2)&amp;RIGHT("00"&amp;MINUTE(Sync!$AF1556),2),IFERROR(RIGHT("00"&amp;VALUE(LEFT(Sync!$AF1556,FIND(":",Sync!$AF1556)-1)),2)&amp;RIGHT("00"&amp;VALUE(MID(Sync!$AF1556,FIND(":",Sync!$AF1556)+1,2)),2),"0000"))))</f>
        <v/>
      </c>
    </row>
    <row r="1557">
      <c r="A1557">
        <f>IF(OR(Calc!$E1561="",Calc!$E1561="نامعتبر",Calc!$G1561=""),"",Calc!$G1561)</f>
        <v/>
      </c>
      <c r="B1557">
        <f>IF($A1557="","",LEFT(Calc!$E1561,4)&amp;MID(Calc!$E1561,6,2)&amp;RIGHT(Calc!$E1561,2)&amp;Calc!$Q1561&amp;"|"&amp;"1"&amp;RIGHT("00000"&amp;1552,5))</f>
        <v/>
      </c>
      <c r="C1557">
        <f>IF($B1557="","",COUNTIFS(LdgSellerA,$A1557,LdgKeyA,"&lt;"&amp;$B1557)+COUNTIFS(LdgSellerB,$A1557,LdgKeyB,"&lt;"&amp;$B1557)+1)</f>
        <v/>
      </c>
      <c r="D1557">
        <f>IF($C1557="","",$A1557&amp;"|"&amp;RIGHT("000000"&amp;$C1557,6))</f>
        <v/>
      </c>
      <c r="F1557">
        <f>IF(Sync!$AH1557="","",IF(LEFT(UPPER(TRIM(Sync!$AH1557)),2)="SL",UPPER(TRIM(Sync!$AH1557)),""))</f>
        <v/>
      </c>
      <c r="G1557">
        <f>IF($F1557="","",IF(Sync!$AE1557="","",IF(ISNUMBER(Sync!$AE1557),IF(AND(Sync!$AE1557&gt;=10000101,Sync!$AE1557&lt;=99991231),INT(Sync!$AE1557/10000),""),IFERROR(VALUE(TRIM(LEFT(Sync!$AE1557,FIND("/",Sync!$AE1557)-1))),""))))</f>
        <v/>
      </c>
      <c r="H1557">
        <f>IF(OR($F1557="",$G1557=""),"",IF(ISNUMBER(Sync!$AE1557),INT(MOD(Sync!$AE1557,10000)/100),IFERROR(VALUE(TRIM(LEFT(MID(Sync!$AE1557,FIND("/",Sync!$AE1557)+1,20),FIND("/",MID(Sync!$AE1557,FIND("/",Sync!$AE1557)+1,20))-1))),"")))</f>
        <v/>
      </c>
      <c r="I1557">
        <f>IF(OR($F1557="",$G1557=""),"",IF(ISNUMBER(Sync!$AE1557),MOD(Sync!$AE1557,100),IFERROR(VALUE(TRIM(MID(MID(Sync!$AE1557,FIND("/",Sync!$AE1557)+1,20),FIND("/",MID(Sync!$AE1557,FIND("/",Sync!$AE1557)+1,20))+1,20))),"")))</f>
        <v/>
      </c>
      <c r="J1557">
        <f>IF($F1557="","",IF(OR($G1557="",$H1557="",$I1557="",$G1557&lt;1300,$G1557&gt;1500,$H1557&lt;1,$H1557&gt;12,$I1557&lt;1,$I1557&gt;31),"نامعتبر",RIGHT("0000"&amp;$G1557,4)&amp;"/"&amp;RIGHT("00"&amp;$H1557,2)&amp;"/"&amp;RIGHT("00"&amp;$I1557,2)))</f>
        <v/>
      </c>
      <c r="K1557">
        <f>IF(OR($F1557="",$J1557="",$J1557="نامعتبر"),"",LEFT($J1557,4)&amp;MID($J1557,6,2)&amp;RIGHT($J1557,2)&amp;$N1557&amp;"|"&amp;"2"&amp;RIGHT("00000"&amp;1552,5))</f>
        <v/>
      </c>
      <c r="L1557">
        <f>IF($K1557="","",COUNTIFS(LdgSellerA,$F1557,LdgKeyA,"&lt;"&amp;$K1557)+COUNTIFS(LdgSellerB,$F1557,LdgKeyB,"&lt;"&amp;$K1557)+1)</f>
        <v/>
      </c>
      <c r="M1557">
        <f>IF($L1557="","",$F1557&amp;"|"&amp;RIGHT("000000"&amp;$L1557,6))</f>
        <v/>
      </c>
      <c r="N1557">
        <f>IF($F1557="","",IF(Sync!$AF1557="","0000",IF(AND(ISNUMBER(Sync!$AF1557),Sync!$AF1557&gt;=0,Sync!$AF1557&lt;1),RIGHT("00"&amp;HOUR(Sync!$AF1557),2)&amp;RIGHT("00"&amp;MINUTE(Sync!$AF1557),2),IFERROR(RIGHT("00"&amp;VALUE(LEFT(Sync!$AF1557,FIND(":",Sync!$AF1557)-1)),2)&amp;RIGHT("00"&amp;VALUE(MID(Sync!$AF1557,FIND(":",Sync!$AF1557)+1,2)),2),"0000"))))</f>
        <v/>
      </c>
    </row>
    <row r="1558">
      <c r="A1558">
        <f>IF(OR(Calc!$E1562="",Calc!$E1562="نامعتبر",Calc!$G1562=""),"",Calc!$G1562)</f>
        <v/>
      </c>
      <c r="B1558">
        <f>IF($A1558="","",LEFT(Calc!$E1562,4)&amp;MID(Calc!$E1562,6,2)&amp;RIGHT(Calc!$E1562,2)&amp;Calc!$Q1562&amp;"|"&amp;"1"&amp;RIGHT("00000"&amp;1553,5))</f>
        <v/>
      </c>
      <c r="C1558">
        <f>IF($B1558="","",COUNTIFS(LdgSellerA,$A1558,LdgKeyA,"&lt;"&amp;$B1558)+COUNTIFS(LdgSellerB,$A1558,LdgKeyB,"&lt;"&amp;$B1558)+1)</f>
        <v/>
      </c>
      <c r="D1558">
        <f>IF($C1558="","",$A1558&amp;"|"&amp;RIGHT("000000"&amp;$C1558,6))</f>
        <v/>
      </c>
      <c r="F1558">
        <f>IF(Sync!$AH1558="","",IF(LEFT(UPPER(TRIM(Sync!$AH1558)),2)="SL",UPPER(TRIM(Sync!$AH1558)),""))</f>
        <v/>
      </c>
      <c r="G1558">
        <f>IF($F1558="","",IF(Sync!$AE1558="","",IF(ISNUMBER(Sync!$AE1558),IF(AND(Sync!$AE1558&gt;=10000101,Sync!$AE1558&lt;=99991231),INT(Sync!$AE1558/10000),""),IFERROR(VALUE(TRIM(LEFT(Sync!$AE1558,FIND("/",Sync!$AE1558)-1))),""))))</f>
        <v/>
      </c>
      <c r="H1558">
        <f>IF(OR($F1558="",$G1558=""),"",IF(ISNUMBER(Sync!$AE1558),INT(MOD(Sync!$AE1558,10000)/100),IFERROR(VALUE(TRIM(LEFT(MID(Sync!$AE1558,FIND("/",Sync!$AE1558)+1,20),FIND("/",MID(Sync!$AE1558,FIND("/",Sync!$AE1558)+1,20))-1))),"")))</f>
        <v/>
      </c>
      <c r="I1558">
        <f>IF(OR($F1558="",$G1558=""),"",IF(ISNUMBER(Sync!$AE1558),MOD(Sync!$AE1558,100),IFERROR(VALUE(TRIM(MID(MID(Sync!$AE1558,FIND("/",Sync!$AE1558)+1,20),FIND("/",MID(Sync!$AE1558,FIND("/",Sync!$AE1558)+1,20))+1,20))),"")))</f>
        <v/>
      </c>
      <c r="J1558">
        <f>IF($F1558="","",IF(OR($G1558="",$H1558="",$I1558="",$G1558&lt;1300,$G1558&gt;1500,$H1558&lt;1,$H1558&gt;12,$I1558&lt;1,$I1558&gt;31),"نامعتبر",RIGHT("0000"&amp;$G1558,4)&amp;"/"&amp;RIGHT("00"&amp;$H1558,2)&amp;"/"&amp;RIGHT("00"&amp;$I1558,2)))</f>
        <v/>
      </c>
      <c r="K1558">
        <f>IF(OR($F1558="",$J1558="",$J1558="نامعتبر"),"",LEFT($J1558,4)&amp;MID($J1558,6,2)&amp;RIGHT($J1558,2)&amp;$N1558&amp;"|"&amp;"2"&amp;RIGHT("00000"&amp;1553,5))</f>
        <v/>
      </c>
      <c r="L1558">
        <f>IF($K1558="","",COUNTIFS(LdgSellerA,$F1558,LdgKeyA,"&lt;"&amp;$K1558)+COUNTIFS(LdgSellerB,$F1558,LdgKeyB,"&lt;"&amp;$K1558)+1)</f>
        <v/>
      </c>
      <c r="M1558">
        <f>IF($L1558="","",$F1558&amp;"|"&amp;RIGHT("000000"&amp;$L1558,6))</f>
        <v/>
      </c>
      <c r="N1558">
        <f>IF($F1558="","",IF(Sync!$AF1558="","0000",IF(AND(ISNUMBER(Sync!$AF1558),Sync!$AF1558&gt;=0,Sync!$AF1558&lt;1),RIGHT("00"&amp;HOUR(Sync!$AF1558),2)&amp;RIGHT("00"&amp;MINUTE(Sync!$AF1558),2),IFERROR(RIGHT("00"&amp;VALUE(LEFT(Sync!$AF1558,FIND(":",Sync!$AF1558)-1)),2)&amp;RIGHT("00"&amp;VALUE(MID(Sync!$AF1558,FIND(":",Sync!$AF1558)+1,2)),2),"0000"))))</f>
        <v/>
      </c>
    </row>
    <row r="1559">
      <c r="A1559">
        <f>IF(OR(Calc!$E1563="",Calc!$E1563="نامعتبر",Calc!$G1563=""),"",Calc!$G1563)</f>
        <v/>
      </c>
      <c r="B1559">
        <f>IF($A1559="","",LEFT(Calc!$E1563,4)&amp;MID(Calc!$E1563,6,2)&amp;RIGHT(Calc!$E1563,2)&amp;Calc!$Q1563&amp;"|"&amp;"1"&amp;RIGHT("00000"&amp;1554,5))</f>
        <v/>
      </c>
      <c r="C1559">
        <f>IF($B1559="","",COUNTIFS(LdgSellerA,$A1559,LdgKeyA,"&lt;"&amp;$B1559)+COUNTIFS(LdgSellerB,$A1559,LdgKeyB,"&lt;"&amp;$B1559)+1)</f>
        <v/>
      </c>
      <c r="D1559">
        <f>IF($C1559="","",$A1559&amp;"|"&amp;RIGHT("000000"&amp;$C1559,6))</f>
        <v/>
      </c>
      <c r="F1559">
        <f>IF(Sync!$AH1559="","",IF(LEFT(UPPER(TRIM(Sync!$AH1559)),2)="SL",UPPER(TRIM(Sync!$AH1559)),""))</f>
        <v/>
      </c>
      <c r="G1559">
        <f>IF($F1559="","",IF(Sync!$AE1559="","",IF(ISNUMBER(Sync!$AE1559),IF(AND(Sync!$AE1559&gt;=10000101,Sync!$AE1559&lt;=99991231),INT(Sync!$AE1559/10000),""),IFERROR(VALUE(TRIM(LEFT(Sync!$AE1559,FIND("/",Sync!$AE1559)-1))),""))))</f>
        <v/>
      </c>
      <c r="H1559">
        <f>IF(OR($F1559="",$G1559=""),"",IF(ISNUMBER(Sync!$AE1559),INT(MOD(Sync!$AE1559,10000)/100),IFERROR(VALUE(TRIM(LEFT(MID(Sync!$AE1559,FIND("/",Sync!$AE1559)+1,20),FIND("/",MID(Sync!$AE1559,FIND("/",Sync!$AE1559)+1,20))-1))),"")))</f>
        <v/>
      </c>
      <c r="I1559">
        <f>IF(OR($F1559="",$G1559=""),"",IF(ISNUMBER(Sync!$AE1559),MOD(Sync!$AE1559,100),IFERROR(VALUE(TRIM(MID(MID(Sync!$AE1559,FIND("/",Sync!$AE1559)+1,20),FIND("/",MID(Sync!$AE1559,FIND("/",Sync!$AE1559)+1,20))+1,20))),"")))</f>
        <v/>
      </c>
      <c r="J1559">
        <f>IF($F1559="","",IF(OR($G1559="",$H1559="",$I1559="",$G1559&lt;1300,$G1559&gt;1500,$H1559&lt;1,$H1559&gt;12,$I1559&lt;1,$I1559&gt;31),"نامعتبر",RIGHT("0000"&amp;$G1559,4)&amp;"/"&amp;RIGHT("00"&amp;$H1559,2)&amp;"/"&amp;RIGHT("00"&amp;$I1559,2)))</f>
        <v/>
      </c>
      <c r="K1559">
        <f>IF(OR($F1559="",$J1559="",$J1559="نامعتبر"),"",LEFT($J1559,4)&amp;MID($J1559,6,2)&amp;RIGHT($J1559,2)&amp;$N1559&amp;"|"&amp;"2"&amp;RIGHT("00000"&amp;1554,5))</f>
        <v/>
      </c>
      <c r="L1559">
        <f>IF($K1559="","",COUNTIFS(LdgSellerA,$F1559,LdgKeyA,"&lt;"&amp;$K1559)+COUNTIFS(LdgSellerB,$F1559,LdgKeyB,"&lt;"&amp;$K1559)+1)</f>
        <v/>
      </c>
      <c r="M1559">
        <f>IF($L1559="","",$F1559&amp;"|"&amp;RIGHT("000000"&amp;$L1559,6))</f>
        <v/>
      </c>
      <c r="N1559">
        <f>IF($F1559="","",IF(Sync!$AF1559="","0000",IF(AND(ISNUMBER(Sync!$AF1559),Sync!$AF1559&gt;=0,Sync!$AF1559&lt;1),RIGHT("00"&amp;HOUR(Sync!$AF1559),2)&amp;RIGHT("00"&amp;MINUTE(Sync!$AF1559),2),IFERROR(RIGHT("00"&amp;VALUE(LEFT(Sync!$AF1559,FIND(":",Sync!$AF1559)-1)),2)&amp;RIGHT("00"&amp;VALUE(MID(Sync!$AF1559,FIND(":",Sync!$AF1559)+1,2)),2),"0000"))))</f>
        <v/>
      </c>
    </row>
    <row r="1560">
      <c r="A1560">
        <f>IF(OR(Calc!$E1564="",Calc!$E1564="نامعتبر",Calc!$G1564=""),"",Calc!$G1564)</f>
        <v/>
      </c>
      <c r="B1560">
        <f>IF($A1560="","",LEFT(Calc!$E1564,4)&amp;MID(Calc!$E1564,6,2)&amp;RIGHT(Calc!$E1564,2)&amp;Calc!$Q1564&amp;"|"&amp;"1"&amp;RIGHT("00000"&amp;1555,5))</f>
        <v/>
      </c>
      <c r="C1560">
        <f>IF($B1560="","",COUNTIFS(LdgSellerA,$A1560,LdgKeyA,"&lt;"&amp;$B1560)+COUNTIFS(LdgSellerB,$A1560,LdgKeyB,"&lt;"&amp;$B1560)+1)</f>
        <v/>
      </c>
      <c r="D1560">
        <f>IF($C1560="","",$A1560&amp;"|"&amp;RIGHT("000000"&amp;$C1560,6))</f>
        <v/>
      </c>
      <c r="F1560">
        <f>IF(Sync!$AH1560="","",IF(LEFT(UPPER(TRIM(Sync!$AH1560)),2)="SL",UPPER(TRIM(Sync!$AH1560)),""))</f>
        <v/>
      </c>
      <c r="G1560">
        <f>IF($F1560="","",IF(Sync!$AE1560="","",IF(ISNUMBER(Sync!$AE1560),IF(AND(Sync!$AE1560&gt;=10000101,Sync!$AE1560&lt;=99991231),INT(Sync!$AE1560/10000),""),IFERROR(VALUE(TRIM(LEFT(Sync!$AE1560,FIND("/",Sync!$AE1560)-1))),""))))</f>
        <v/>
      </c>
      <c r="H1560">
        <f>IF(OR($F1560="",$G1560=""),"",IF(ISNUMBER(Sync!$AE1560),INT(MOD(Sync!$AE1560,10000)/100),IFERROR(VALUE(TRIM(LEFT(MID(Sync!$AE1560,FIND("/",Sync!$AE1560)+1,20),FIND("/",MID(Sync!$AE1560,FIND("/",Sync!$AE1560)+1,20))-1))),"")))</f>
        <v/>
      </c>
      <c r="I1560">
        <f>IF(OR($F1560="",$G1560=""),"",IF(ISNUMBER(Sync!$AE1560),MOD(Sync!$AE1560,100),IFERROR(VALUE(TRIM(MID(MID(Sync!$AE1560,FIND("/",Sync!$AE1560)+1,20),FIND("/",MID(Sync!$AE1560,FIND("/",Sync!$AE1560)+1,20))+1,20))),"")))</f>
        <v/>
      </c>
      <c r="J1560">
        <f>IF($F1560="","",IF(OR($G1560="",$H1560="",$I1560="",$G1560&lt;1300,$G1560&gt;1500,$H1560&lt;1,$H1560&gt;12,$I1560&lt;1,$I1560&gt;31),"نامعتبر",RIGHT("0000"&amp;$G1560,4)&amp;"/"&amp;RIGHT("00"&amp;$H1560,2)&amp;"/"&amp;RIGHT("00"&amp;$I1560,2)))</f>
        <v/>
      </c>
      <c r="K1560">
        <f>IF(OR($F1560="",$J1560="",$J1560="نامعتبر"),"",LEFT($J1560,4)&amp;MID($J1560,6,2)&amp;RIGHT($J1560,2)&amp;$N1560&amp;"|"&amp;"2"&amp;RIGHT("00000"&amp;1555,5))</f>
        <v/>
      </c>
      <c r="L1560">
        <f>IF($K1560="","",COUNTIFS(LdgSellerA,$F1560,LdgKeyA,"&lt;"&amp;$K1560)+COUNTIFS(LdgSellerB,$F1560,LdgKeyB,"&lt;"&amp;$K1560)+1)</f>
        <v/>
      </c>
      <c r="M1560">
        <f>IF($L1560="","",$F1560&amp;"|"&amp;RIGHT("000000"&amp;$L1560,6))</f>
        <v/>
      </c>
      <c r="N1560">
        <f>IF($F1560="","",IF(Sync!$AF1560="","0000",IF(AND(ISNUMBER(Sync!$AF1560),Sync!$AF1560&gt;=0,Sync!$AF1560&lt;1),RIGHT("00"&amp;HOUR(Sync!$AF1560),2)&amp;RIGHT("00"&amp;MINUTE(Sync!$AF1560),2),IFERROR(RIGHT("00"&amp;VALUE(LEFT(Sync!$AF1560,FIND(":",Sync!$AF1560)-1)),2)&amp;RIGHT("00"&amp;VALUE(MID(Sync!$AF1560,FIND(":",Sync!$AF1560)+1,2)),2),"0000"))))</f>
        <v/>
      </c>
    </row>
    <row r="1561">
      <c r="A1561">
        <f>IF(OR(Calc!$E1565="",Calc!$E1565="نامعتبر",Calc!$G1565=""),"",Calc!$G1565)</f>
        <v/>
      </c>
      <c r="B1561">
        <f>IF($A1561="","",LEFT(Calc!$E1565,4)&amp;MID(Calc!$E1565,6,2)&amp;RIGHT(Calc!$E1565,2)&amp;Calc!$Q1565&amp;"|"&amp;"1"&amp;RIGHT("00000"&amp;1556,5))</f>
        <v/>
      </c>
      <c r="C1561">
        <f>IF($B1561="","",COUNTIFS(LdgSellerA,$A1561,LdgKeyA,"&lt;"&amp;$B1561)+COUNTIFS(LdgSellerB,$A1561,LdgKeyB,"&lt;"&amp;$B1561)+1)</f>
        <v/>
      </c>
      <c r="D1561">
        <f>IF($C1561="","",$A1561&amp;"|"&amp;RIGHT("000000"&amp;$C1561,6))</f>
        <v/>
      </c>
      <c r="F1561">
        <f>IF(Sync!$AH1561="","",IF(LEFT(UPPER(TRIM(Sync!$AH1561)),2)="SL",UPPER(TRIM(Sync!$AH1561)),""))</f>
        <v/>
      </c>
      <c r="G1561">
        <f>IF($F1561="","",IF(Sync!$AE1561="","",IF(ISNUMBER(Sync!$AE1561),IF(AND(Sync!$AE1561&gt;=10000101,Sync!$AE1561&lt;=99991231),INT(Sync!$AE1561/10000),""),IFERROR(VALUE(TRIM(LEFT(Sync!$AE1561,FIND("/",Sync!$AE1561)-1))),""))))</f>
        <v/>
      </c>
      <c r="H1561">
        <f>IF(OR($F1561="",$G1561=""),"",IF(ISNUMBER(Sync!$AE1561),INT(MOD(Sync!$AE1561,10000)/100),IFERROR(VALUE(TRIM(LEFT(MID(Sync!$AE1561,FIND("/",Sync!$AE1561)+1,20),FIND("/",MID(Sync!$AE1561,FIND("/",Sync!$AE1561)+1,20))-1))),"")))</f>
        <v/>
      </c>
      <c r="I1561">
        <f>IF(OR($F1561="",$G1561=""),"",IF(ISNUMBER(Sync!$AE1561),MOD(Sync!$AE1561,100),IFERROR(VALUE(TRIM(MID(MID(Sync!$AE1561,FIND("/",Sync!$AE1561)+1,20),FIND("/",MID(Sync!$AE1561,FIND("/",Sync!$AE1561)+1,20))+1,20))),"")))</f>
        <v/>
      </c>
      <c r="J1561">
        <f>IF($F1561="","",IF(OR($G1561="",$H1561="",$I1561="",$G1561&lt;1300,$G1561&gt;1500,$H1561&lt;1,$H1561&gt;12,$I1561&lt;1,$I1561&gt;31),"نامعتبر",RIGHT("0000"&amp;$G1561,4)&amp;"/"&amp;RIGHT("00"&amp;$H1561,2)&amp;"/"&amp;RIGHT("00"&amp;$I1561,2)))</f>
        <v/>
      </c>
      <c r="K1561">
        <f>IF(OR($F1561="",$J1561="",$J1561="نامعتبر"),"",LEFT($J1561,4)&amp;MID($J1561,6,2)&amp;RIGHT($J1561,2)&amp;$N1561&amp;"|"&amp;"2"&amp;RIGHT("00000"&amp;1556,5))</f>
        <v/>
      </c>
      <c r="L1561">
        <f>IF($K1561="","",COUNTIFS(LdgSellerA,$F1561,LdgKeyA,"&lt;"&amp;$K1561)+COUNTIFS(LdgSellerB,$F1561,LdgKeyB,"&lt;"&amp;$K1561)+1)</f>
        <v/>
      </c>
      <c r="M1561">
        <f>IF($L1561="","",$F1561&amp;"|"&amp;RIGHT("000000"&amp;$L1561,6))</f>
        <v/>
      </c>
      <c r="N1561">
        <f>IF($F1561="","",IF(Sync!$AF1561="","0000",IF(AND(ISNUMBER(Sync!$AF1561),Sync!$AF1561&gt;=0,Sync!$AF1561&lt;1),RIGHT("00"&amp;HOUR(Sync!$AF1561),2)&amp;RIGHT("00"&amp;MINUTE(Sync!$AF1561),2),IFERROR(RIGHT("00"&amp;VALUE(LEFT(Sync!$AF1561,FIND(":",Sync!$AF1561)-1)),2)&amp;RIGHT("00"&amp;VALUE(MID(Sync!$AF1561,FIND(":",Sync!$AF1561)+1,2)),2),"0000"))))</f>
        <v/>
      </c>
    </row>
    <row r="1562">
      <c r="A1562">
        <f>IF(OR(Calc!$E1566="",Calc!$E1566="نامعتبر",Calc!$G1566=""),"",Calc!$G1566)</f>
        <v/>
      </c>
      <c r="B1562">
        <f>IF($A1562="","",LEFT(Calc!$E1566,4)&amp;MID(Calc!$E1566,6,2)&amp;RIGHT(Calc!$E1566,2)&amp;Calc!$Q1566&amp;"|"&amp;"1"&amp;RIGHT("00000"&amp;1557,5))</f>
        <v/>
      </c>
      <c r="C1562">
        <f>IF($B1562="","",COUNTIFS(LdgSellerA,$A1562,LdgKeyA,"&lt;"&amp;$B1562)+COUNTIFS(LdgSellerB,$A1562,LdgKeyB,"&lt;"&amp;$B1562)+1)</f>
        <v/>
      </c>
      <c r="D1562">
        <f>IF($C1562="","",$A1562&amp;"|"&amp;RIGHT("000000"&amp;$C1562,6))</f>
        <v/>
      </c>
      <c r="F1562">
        <f>IF(Sync!$AH1562="","",IF(LEFT(UPPER(TRIM(Sync!$AH1562)),2)="SL",UPPER(TRIM(Sync!$AH1562)),""))</f>
        <v/>
      </c>
      <c r="G1562">
        <f>IF($F1562="","",IF(Sync!$AE1562="","",IF(ISNUMBER(Sync!$AE1562),IF(AND(Sync!$AE1562&gt;=10000101,Sync!$AE1562&lt;=99991231),INT(Sync!$AE1562/10000),""),IFERROR(VALUE(TRIM(LEFT(Sync!$AE1562,FIND("/",Sync!$AE1562)-1))),""))))</f>
        <v/>
      </c>
      <c r="H1562">
        <f>IF(OR($F1562="",$G1562=""),"",IF(ISNUMBER(Sync!$AE1562),INT(MOD(Sync!$AE1562,10000)/100),IFERROR(VALUE(TRIM(LEFT(MID(Sync!$AE1562,FIND("/",Sync!$AE1562)+1,20),FIND("/",MID(Sync!$AE1562,FIND("/",Sync!$AE1562)+1,20))-1))),"")))</f>
        <v/>
      </c>
      <c r="I1562">
        <f>IF(OR($F1562="",$G1562=""),"",IF(ISNUMBER(Sync!$AE1562),MOD(Sync!$AE1562,100),IFERROR(VALUE(TRIM(MID(MID(Sync!$AE1562,FIND("/",Sync!$AE1562)+1,20),FIND("/",MID(Sync!$AE1562,FIND("/",Sync!$AE1562)+1,20))+1,20))),"")))</f>
        <v/>
      </c>
      <c r="J1562">
        <f>IF($F1562="","",IF(OR($G1562="",$H1562="",$I1562="",$G1562&lt;1300,$G1562&gt;1500,$H1562&lt;1,$H1562&gt;12,$I1562&lt;1,$I1562&gt;31),"نامعتبر",RIGHT("0000"&amp;$G1562,4)&amp;"/"&amp;RIGHT("00"&amp;$H1562,2)&amp;"/"&amp;RIGHT("00"&amp;$I1562,2)))</f>
        <v/>
      </c>
      <c r="K1562">
        <f>IF(OR($F1562="",$J1562="",$J1562="نامعتبر"),"",LEFT($J1562,4)&amp;MID($J1562,6,2)&amp;RIGHT($J1562,2)&amp;$N1562&amp;"|"&amp;"2"&amp;RIGHT("00000"&amp;1557,5))</f>
        <v/>
      </c>
      <c r="L1562">
        <f>IF($K1562="","",COUNTIFS(LdgSellerA,$F1562,LdgKeyA,"&lt;"&amp;$K1562)+COUNTIFS(LdgSellerB,$F1562,LdgKeyB,"&lt;"&amp;$K1562)+1)</f>
        <v/>
      </c>
      <c r="M1562">
        <f>IF($L1562="","",$F1562&amp;"|"&amp;RIGHT("000000"&amp;$L1562,6))</f>
        <v/>
      </c>
      <c r="N1562">
        <f>IF($F1562="","",IF(Sync!$AF1562="","0000",IF(AND(ISNUMBER(Sync!$AF1562),Sync!$AF1562&gt;=0,Sync!$AF1562&lt;1),RIGHT("00"&amp;HOUR(Sync!$AF1562),2)&amp;RIGHT("00"&amp;MINUTE(Sync!$AF1562),2),IFERROR(RIGHT("00"&amp;VALUE(LEFT(Sync!$AF1562,FIND(":",Sync!$AF1562)-1)),2)&amp;RIGHT("00"&amp;VALUE(MID(Sync!$AF1562,FIND(":",Sync!$AF1562)+1,2)),2),"0000"))))</f>
        <v/>
      </c>
    </row>
    <row r="1563">
      <c r="A1563">
        <f>IF(OR(Calc!$E1567="",Calc!$E1567="نامعتبر",Calc!$G1567=""),"",Calc!$G1567)</f>
        <v/>
      </c>
      <c r="B1563">
        <f>IF($A1563="","",LEFT(Calc!$E1567,4)&amp;MID(Calc!$E1567,6,2)&amp;RIGHT(Calc!$E1567,2)&amp;Calc!$Q1567&amp;"|"&amp;"1"&amp;RIGHT("00000"&amp;1558,5))</f>
        <v/>
      </c>
      <c r="C1563">
        <f>IF($B1563="","",COUNTIFS(LdgSellerA,$A1563,LdgKeyA,"&lt;"&amp;$B1563)+COUNTIFS(LdgSellerB,$A1563,LdgKeyB,"&lt;"&amp;$B1563)+1)</f>
        <v/>
      </c>
      <c r="D1563">
        <f>IF($C1563="","",$A1563&amp;"|"&amp;RIGHT("000000"&amp;$C1563,6))</f>
        <v/>
      </c>
      <c r="F1563">
        <f>IF(Sync!$AH1563="","",IF(LEFT(UPPER(TRIM(Sync!$AH1563)),2)="SL",UPPER(TRIM(Sync!$AH1563)),""))</f>
        <v/>
      </c>
      <c r="G1563">
        <f>IF($F1563="","",IF(Sync!$AE1563="","",IF(ISNUMBER(Sync!$AE1563),IF(AND(Sync!$AE1563&gt;=10000101,Sync!$AE1563&lt;=99991231),INT(Sync!$AE1563/10000),""),IFERROR(VALUE(TRIM(LEFT(Sync!$AE1563,FIND("/",Sync!$AE1563)-1))),""))))</f>
        <v/>
      </c>
      <c r="H1563">
        <f>IF(OR($F1563="",$G1563=""),"",IF(ISNUMBER(Sync!$AE1563),INT(MOD(Sync!$AE1563,10000)/100),IFERROR(VALUE(TRIM(LEFT(MID(Sync!$AE1563,FIND("/",Sync!$AE1563)+1,20),FIND("/",MID(Sync!$AE1563,FIND("/",Sync!$AE1563)+1,20))-1))),"")))</f>
        <v/>
      </c>
      <c r="I1563">
        <f>IF(OR($F1563="",$G1563=""),"",IF(ISNUMBER(Sync!$AE1563),MOD(Sync!$AE1563,100),IFERROR(VALUE(TRIM(MID(MID(Sync!$AE1563,FIND("/",Sync!$AE1563)+1,20),FIND("/",MID(Sync!$AE1563,FIND("/",Sync!$AE1563)+1,20))+1,20))),"")))</f>
        <v/>
      </c>
      <c r="J1563">
        <f>IF($F1563="","",IF(OR($G1563="",$H1563="",$I1563="",$G1563&lt;1300,$G1563&gt;1500,$H1563&lt;1,$H1563&gt;12,$I1563&lt;1,$I1563&gt;31),"نامعتبر",RIGHT("0000"&amp;$G1563,4)&amp;"/"&amp;RIGHT("00"&amp;$H1563,2)&amp;"/"&amp;RIGHT("00"&amp;$I1563,2)))</f>
        <v/>
      </c>
      <c r="K1563">
        <f>IF(OR($F1563="",$J1563="",$J1563="نامعتبر"),"",LEFT($J1563,4)&amp;MID($J1563,6,2)&amp;RIGHT($J1563,2)&amp;$N1563&amp;"|"&amp;"2"&amp;RIGHT("00000"&amp;1558,5))</f>
        <v/>
      </c>
      <c r="L1563">
        <f>IF($K1563="","",COUNTIFS(LdgSellerA,$F1563,LdgKeyA,"&lt;"&amp;$K1563)+COUNTIFS(LdgSellerB,$F1563,LdgKeyB,"&lt;"&amp;$K1563)+1)</f>
        <v/>
      </c>
      <c r="M1563">
        <f>IF($L1563="","",$F1563&amp;"|"&amp;RIGHT("000000"&amp;$L1563,6))</f>
        <v/>
      </c>
      <c r="N1563">
        <f>IF($F1563="","",IF(Sync!$AF1563="","0000",IF(AND(ISNUMBER(Sync!$AF1563),Sync!$AF1563&gt;=0,Sync!$AF1563&lt;1),RIGHT("00"&amp;HOUR(Sync!$AF1563),2)&amp;RIGHT("00"&amp;MINUTE(Sync!$AF1563),2),IFERROR(RIGHT("00"&amp;VALUE(LEFT(Sync!$AF1563,FIND(":",Sync!$AF1563)-1)),2)&amp;RIGHT("00"&amp;VALUE(MID(Sync!$AF1563,FIND(":",Sync!$AF1563)+1,2)),2),"0000"))))</f>
        <v/>
      </c>
    </row>
    <row r="1564">
      <c r="A1564">
        <f>IF(OR(Calc!$E1568="",Calc!$E1568="نامعتبر",Calc!$G1568=""),"",Calc!$G1568)</f>
        <v/>
      </c>
      <c r="B1564">
        <f>IF($A1564="","",LEFT(Calc!$E1568,4)&amp;MID(Calc!$E1568,6,2)&amp;RIGHT(Calc!$E1568,2)&amp;Calc!$Q1568&amp;"|"&amp;"1"&amp;RIGHT("00000"&amp;1559,5))</f>
        <v/>
      </c>
      <c r="C1564">
        <f>IF($B1564="","",COUNTIFS(LdgSellerA,$A1564,LdgKeyA,"&lt;"&amp;$B1564)+COUNTIFS(LdgSellerB,$A1564,LdgKeyB,"&lt;"&amp;$B1564)+1)</f>
        <v/>
      </c>
      <c r="D1564">
        <f>IF($C1564="","",$A1564&amp;"|"&amp;RIGHT("000000"&amp;$C1564,6))</f>
        <v/>
      </c>
      <c r="F1564">
        <f>IF(Sync!$AH1564="","",IF(LEFT(UPPER(TRIM(Sync!$AH1564)),2)="SL",UPPER(TRIM(Sync!$AH1564)),""))</f>
        <v/>
      </c>
      <c r="G1564">
        <f>IF($F1564="","",IF(Sync!$AE1564="","",IF(ISNUMBER(Sync!$AE1564),IF(AND(Sync!$AE1564&gt;=10000101,Sync!$AE1564&lt;=99991231),INT(Sync!$AE1564/10000),""),IFERROR(VALUE(TRIM(LEFT(Sync!$AE1564,FIND("/",Sync!$AE1564)-1))),""))))</f>
        <v/>
      </c>
      <c r="H1564">
        <f>IF(OR($F1564="",$G1564=""),"",IF(ISNUMBER(Sync!$AE1564),INT(MOD(Sync!$AE1564,10000)/100),IFERROR(VALUE(TRIM(LEFT(MID(Sync!$AE1564,FIND("/",Sync!$AE1564)+1,20),FIND("/",MID(Sync!$AE1564,FIND("/",Sync!$AE1564)+1,20))-1))),"")))</f>
        <v/>
      </c>
      <c r="I1564">
        <f>IF(OR($F1564="",$G1564=""),"",IF(ISNUMBER(Sync!$AE1564),MOD(Sync!$AE1564,100),IFERROR(VALUE(TRIM(MID(MID(Sync!$AE1564,FIND("/",Sync!$AE1564)+1,20),FIND("/",MID(Sync!$AE1564,FIND("/",Sync!$AE1564)+1,20))+1,20))),"")))</f>
        <v/>
      </c>
      <c r="J1564">
        <f>IF($F1564="","",IF(OR($G1564="",$H1564="",$I1564="",$G1564&lt;1300,$G1564&gt;1500,$H1564&lt;1,$H1564&gt;12,$I1564&lt;1,$I1564&gt;31),"نامعتبر",RIGHT("0000"&amp;$G1564,4)&amp;"/"&amp;RIGHT("00"&amp;$H1564,2)&amp;"/"&amp;RIGHT("00"&amp;$I1564,2)))</f>
        <v/>
      </c>
      <c r="K1564">
        <f>IF(OR($F1564="",$J1564="",$J1564="نامعتبر"),"",LEFT($J1564,4)&amp;MID($J1564,6,2)&amp;RIGHT($J1564,2)&amp;$N1564&amp;"|"&amp;"2"&amp;RIGHT("00000"&amp;1559,5))</f>
        <v/>
      </c>
      <c r="L1564">
        <f>IF($K1564="","",COUNTIFS(LdgSellerA,$F1564,LdgKeyA,"&lt;"&amp;$K1564)+COUNTIFS(LdgSellerB,$F1564,LdgKeyB,"&lt;"&amp;$K1564)+1)</f>
        <v/>
      </c>
      <c r="M1564">
        <f>IF($L1564="","",$F1564&amp;"|"&amp;RIGHT("000000"&amp;$L1564,6))</f>
        <v/>
      </c>
      <c r="N1564">
        <f>IF($F1564="","",IF(Sync!$AF1564="","0000",IF(AND(ISNUMBER(Sync!$AF1564),Sync!$AF1564&gt;=0,Sync!$AF1564&lt;1),RIGHT("00"&amp;HOUR(Sync!$AF1564),2)&amp;RIGHT("00"&amp;MINUTE(Sync!$AF1564),2),IFERROR(RIGHT("00"&amp;VALUE(LEFT(Sync!$AF1564,FIND(":",Sync!$AF1564)-1)),2)&amp;RIGHT("00"&amp;VALUE(MID(Sync!$AF1564,FIND(":",Sync!$AF1564)+1,2)),2),"0000"))))</f>
        <v/>
      </c>
    </row>
    <row r="1565">
      <c r="A1565">
        <f>IF(OR(Calc!$E1569="",Calc!$E1569="نامعتبر",Calc!$G1569=""),"",Calc!$G1569)</f>
        <v/>
      </c>
      <c r="B1565">
        <f>IF($A1565="","",LEFT(Calc!$E1569,4)&amp;MID(Calc!$E1569,6,2)&amp;RIGHT(Calc!$E1569,2)&amp;Calc!$Q1569&amp;"|"&amp;"1"&amp;RIGHT("00000"&amp;1560,5))</f>
        <v/>
      </c>
      <c r="C1565">
        <f>IF($B1565="","",COUNTIFS(LdgSellerA,$A1565,LdgKeyA,"&lt;"&amp;$B1565)+COUNTIFS(LdgSellerB,$A1565,LdgKeyB,"&lt;"&amp;$B1565)+1)</f>
        <v/>
      </c>
      <c r="D1565">
        <f>IF($C1565="","",$A1565&amp;"|"&amp;RIGHT("000000"&amp;$C1565,6))</f>
        <v/>
      </c>
      <c r="F1565">
        <f>IF(Sync!$AH1565="","",IF(LEFT(UPPER(TRIM(Sync!$AH1565)),2)="SL",UPPER(TRIM(Sync!$AH1565)),""))</f>
        <v/>
      </c>
      <c r="G1565">
        <f>IF($F1565="","",IF(Sync!$AE1565="","",IF(ISNUMBER(Sync!$AE1565),IF(AND(Sync!$AE1565&gt;=10000101,Sync!$AE1565&lt;=99991231),INT(Sync!$AE1565/10000),""),IFERROR(VALUE(TRIM(LEFT(Sync!$AE1565,FIND("/",Sync!$AE1565)-1))),""))))</f>
        <v/>
      </c>
      <c r="H1565">
        <f>IF(OR($F1565="",$G1565=""),"",IF(ISNUMBER(Sync!$AE1565),INT(MOD(Sync!$AE1565,10000)/100),IFERROR(VALUE(TRIM(LEFT(MID(Sync!$AE1565,FIND("/",Sync!$AE1565)+1,20),FIND("/",MID(Sync!$AE1565,FIND("/",Sync!$AE1565)+1,20))-1))),"")))</f>
        <v/>
      </c>
      <c r="I1565">
        <f>IF(OR($F1565="",$G1565=""),"",IF(ISNUMBER(Sync!$AE1565),MOD(Sync!$AE1565,100),IFERROR(VALUE(TRIM(MID(MID(Sync!$AE1565,FIND("/",Sync!$AE1565)+1,20),FIND("/",MID(Sync!$AE1565,FIND("/",Sync!$AE1565)+1,20))+1,20))),"")))</f>
        <v/>
      </c>
      <c r="J1565">
        <f>IF($F1565="","",IF(OR($G1565="",$H1565="",$I1565="",$G1565&lt;1300,$G1565&gt;1500,$H1565&lt;1,$H1565&gt;12,$I1565&lt;1,$I1565&gt;31),"نامعتبر",RIGHT("0000"&amp;$G1565,4)&amp;"/"&amp;RIGHT("00"&amp;$H1565,2)&amp;"/"&amp;RIGHT("00"&amp;$I1565,2)))</f>
        <v/>
      </c>
      <c r="K1565">
        <f>IF(OR($F1565="",$J1565="",$J1565="نامعتبر"),"",LEFT($J1565,4)&amp;MID($J1565,6,2)&amp;RIGHT($J1565,2)&amp;$N1565&amp;"|"&amp;"2"&amp;RIGHT("00000"&amp;1560,5))</f>
        <v/>
      </c>
      <c r="L1565">
        <f>IF($K1565="","",COUNTIFS(LdgSellerA,$F1565,LdgKeyA,"&lt;"&amp;$K1565)+COUNTIFS(LdgSellerB,$F1565,LdgKeyB,"&lt;"&amp;$K1565)+1)</f>
        <v/>
      </c>
      <c r="M1565">
        <f>IF($L1565="","",$F1565&amp;"|"&amp;RIGHT("000000"&amp;$L1565,6))</f>
        <v/>
      </c>
      <c r="N1565">
        <f>IF($F1565="","",IF(Sync!$AF1565="","0000",IF(AND(ISNUMBER(Sync!$AF1565),Sync!$AF1565&gt;=0,Sync!$AF1565&lt;1),RIGHT("00"&amp;HOUR(Sync!$AF1565),2)&amp;RIGHT("00"&amp;MINUTE(Sync!$AF1565),2),IFERROR(RIGHT("00"&amp;VALUE(LEFT(Sync!$AF1565,FIND(":",Sync!$AF1565)-1)),2)&amp;RIGHT("00"&amp;VALUE(MID(Sync!$AF1565,FIND(":",Sync!$AF1565)+1,2)),2),"0000"))))</f>
        <v/>
      </c>
    </row>
    <row r="1566">
      <c r="A1566">
        <f>IF(OR(Calc!$E1570="",Calc!$E1570="نامعتبر",Calc!$G1570=""),"",Calc!$G1570)</f>
        <v/>
      </c>
      <c r="B1566">
        <f>IF($A1566="","",LEFT(Calc!$E1570,4)&amp;MID(Calc!$E1570,6,2)&amp;RIGHT(Calc!$E1570,2)&amp;Calc!$Q1570&amp;"|"&amp;"1"&amp;RIGHT("00000"&amp;1561,5))</f>
        <v/>
      </c>
      <c r="C1566">
        <f>IF($B1566="","",COUNTIFS(LdgSellerA,$A1566,LdgKeyA,"&lt;"&amp;$B1566)+COUNTIFS(LdgSellerB,$A1566,LdgKeyB,"&lt;"&amp;$B1566)+1)</f>
        <v/>
      </c>
      <c r="D1566">
        <f>IF($C1566="","",$A1566&amp;"|"&amp;RIGHT("000000"&amp;$C1566,6))</f>
        <v/>
      </c>
      <c r="F1566">
        <f>IF(Sync!$AH1566="","",IF(LEFT(UPPER(TRIM(Sync!$AH1566)),2)="SL",UPPER(TRIM(Sync!$AH1566)),""))</f>
        <v/>
      </c>
      <c r="G1566">
        <f>IF($F1566="","",IF(Sync!$AE1566="","",IF(ISNUMBER(Sync!$AE1566),IF(AND(Sync!$AE1566&gt;=10000101,Sync!$AE1566&lt;=99991231),INT(Sync!$AE1566/10000),""),IFERROR(VALUE(TRIM(LEFT(Sync!$AE1566,FIND("/",Sync!$AE1566)-1))),""))))</f>
        <v/>
      </c>
      <c r="H1566">
        <f>IF(OR($F1566="",$G1566=""),"",IF(ISNUMBER(Sync!$AE1566),INT(MOD(Sync!$AE1566,10000)/100),IFERROR(VALUE(TRIM(LEFT(MID(Sync!$AE1566,FIND("/",Sync!$AE1566)+1,20),FIND("/",MID(Sync!$AE1566,FIND("/",Sync!$AE1566)+1,20))-1))),"")))</f>
        <v/>
      </c>
      <c r="I1566">
        <f>IF(OR($F1566="",$G1566=""),"",IF(ISNUMBER(Sync!$AE1566),MOD(Sync!$AE1566,100),IFERROR(VALUE(TRIM(MID(MID(Sync!$AE1566,FIND("/",Sync!$AE1566)+1,20),FIND("/",MID(Sync!$AE1566,FIND("/",Sync!$AE1566)+1,20))+1,20))),"")))</f>
        <v/>
      </c>
      <c r="J1566">
        <f>IF($F1566="","",IF(OR($G1566="",$H1566="",$I1566="",$G1566&lt;1300,$G1566&gt;1500,$H1566&lt;1,$H1566&gt;12,$I1566&lt;1,$I1566&gt;31),"نامعتبر",RIGHT("0000"&amp;$G1566,4)&amp;"/"&amp;RIGHT("00"&amp;$H1566,2)&amp;"/"&amp;RIGHT("00"&amp;$I1566,2)))</f>
        <v/>
      </c>
      <c r="K1566">
        <f>IF(OR($F1566="",$J1566="",$J1566="نامعتبر"),"",LEFT($J1566,4)&amp;MID($J1566,6,2)&amp;RIGHT($J1566,2)&amp;$N1566&amp;"|"&amp;"2"&amp;RIGHT("00000"&amp;1561,5))</f>
        <v/>
      </c>
      <c r="L1566">
        <f>IF($K1566="","",COUNTIFS(LdgSellerA,$F1566,LdgKeyA,"&lt;"&amp;$K1566)+COUNTIFS(LdgSellerB,$F1566,LdgKeyB,"&lt;"&amp;$K1566)+1)</f>
        <v/>
      </c>
      <c r="M1566">
        <f>IF($L1566="","",$F1566&amp;"|"&amp;RIGHT("000000"&amp;$L1566,6))</f>
        <v/>
      </c>
      <c r="N1566">
        <f>IF($F1566="","",IF(Sync!$AF1566="","0000",IF(AND(ISNUMBER(Sync!$AF1566),Sync!$AF1566&gt;=0,Sync!$AF1566&lt;1),RIGHT("00"&amp;HOUR(Sync!$AF1566),2)&amp;RIGHT("00"&amp;MINUTE(Sync!$AF1566),2),IFERROR(RIGHT("00"&amp;VALUE(LEFT(Sync!$AF1566,FIND(":",Sync!$AF1566)-1)),2)&amp;RIGHT("00"&amp;VALUE(MID(Sync!$AF1566,FIND(":",Sync!$AF1566)+1,2)),2),"0000"))))</f>
        <v/>
      </c>
    </row>
    <row r="1567">
      <c r="A1567">
        <f>IF(OR(Calc!$E1571="",Calc!$E1571="نامعتبر",Calc!$G1571=""),"",Calc!$G1571)</f>
        <v/>
      </c>
      <c r="B1567">
        <f>IF($A1567="","",LEFT(Calc!$E1571,4)&amp;MID(Calc!$E1571,6,2)&amp;RIGHT(Calc!$E1571,2)&amp;Calc!$Q1571&amp;"|"&amp;"1"&amp;RIGHT("00000"&amp;1562,5))</f>
        <v/>
      </c>
      <c r="C1567">
        <f>IF($B1567="","",COUNTIFS(LdgSellerA,$A1567,LdgKeyA,"&lt;"&amp;$B1567)+COUNTIFS(LdgSellerB,$A1567,LdgKeyB,"&lt;"&amp;$B1567)+1)</f>
        <v/>
      </c>
      <c r="D1567">
        <f>IF($C1567="","",$A1567&amp;"|"&amp;RIGHT("000000"&amp;$C1567,6))</f>
        <v/>
      </c>
      <c r="F1567">
        <f>IF(Sync!$AH1567="","",IF(LEFT(UPPER(TRIM(Sync!$AH1567)),2)="SL",UPPER(TRIM(Sync!$AH1567)),""))</f>
        <v/>
      </c>
      <c r="G1567">
        <f>IF($F1567="","",IF(Sync!$AE1567="","",IF(ISNUMBER(Sync!$AE1567),IF(AND(Sync!$AE1567&gt;=10000101,Sync!$AE1567&lt;=99991231),INT(Sync!$AE1567/10000),""),IFERROR(VALUE(TRIM(LEFT(Sync!$AE1567,FIND("/",Sync!$AE1567)-1))),""))))</f>
        <v/>
      </c>
      <c r="H1567">
        <f>IF(OR($F1567="",$G1567=""),"",IF(ISNUMBER(Sync!$AE1567),INT(MOD(Sync!$AE1567,10000)/100),IFERROR(VALUE(TRIM(LEFT(MID(Sync!$AE1567,FIND("/",Sync!$AE1567)+1,20),FIND("/",MID(Sync!$AE1567,FIND("/",Sync!$AE1567)+1,20))-1))),"")))</f>
        <v/>
      </c>
      <c r="I1567">
        <f>IF(OR($F1567="",$G1567=""),"",IF(ISNUMBER(Sync!$AE1567),MOD(Sync!$AE1567,100),IFERROR(VALUE(TRIM(MID(MID(Sync!$AE1567,FIND("/",Sync!$AE1567)+1,20),FIND("/",MID(Sync!$AE1567,FIND("/",Sync!$AE1567)+1,20))+1,20))),"")))</f>
        <v/>
      </c>
      <c r="J1567">
        <f>IF($F1567="","",IF(OR($G1567="",$H1567="",$I1567="",$G1567&lt;1300,$G1567&gt;1500,$H1567&lt;1,$H1567&gt;12,$I1567&lt;1,$I1567&gt;31),"نامعتبر",RIGHT("0000"&amp;$G1567,4)&amp;"/"&amp;RIGHT("00"&amp;$H1567,2)&amp;"/"&amp;RIGHT("00"&amp;$I1567,2)))</f>
        <v/>
      </c>
      <c r="K1567">
        <f>IF(OR($F1567="",$J1567="",$J1567="نامعتبر"),"",LEFT($J1567,4)&amp;MID($J1567,6,2)&amp;RIGHT($J1567,2)&amp;$N1567&amp;"|"&amp;"2"&amp;RIGHT("00000"&amp;1562,5))</f>
        <v/>
      </c>
      <c r="L1567">
        <f>IF($K1567="","",COUNTIFS(LdgSellerA,$F1567,LdgKeyA,"&lt;"&amp;$K1567)+COUNTIFS(LdgSellerB,$F1567,LdgKeyB,"&lt;"&amp;$K1567)+1)</f>
        <v/>
      </c>
      <c r="M1567">
        <f>IF($L1567="","",$F1567&amp;"|"&amp;RIGHT("000000"&amp;$L1567,6))</f>
        <v/>
      </c>
      <c r="N1567">
        <f>IF($F1567="","",IF(Sync!$AF1567="","0000",IF(AND(ISNUMBER(Sync!$AF1567),Sync!$AF1567&gt;=0,Sync!$AF1567&lt;1),RIGHT("00"&amp;HOUR(Sync!$AF1567),2)&amp;RIGHT("00"&amp;MINUTE(Sync!$AF1567),2),IFERROR(RIGHT("00"&amp;VALUE(LEFT(Sync!$AF1567,FIND(":",Sync!$AF1567)-1)),2)&amp;RIGHT("00"&amp;VALUE(MID(Sync!$AF1567,FIND(":",Sync!$AF1567)+1,2)),2),"0000"))))</f>
        <v/>
      </c>
    </row>
    <row r="1568">
      <c r="A1568">
        <f>IF(OR(Calc!$E1572="",Calc!$E1572="نامعتبر",Calc!$G1572=""),"",Calc!$G1572)</f>
        <v/>
      </c>
      <c r="B1568">
        <f>IF($A1568="","",LEFT(Calc!$E1572,4)&amp;MID(Calc!$E1572,6,2)&amp;RIGHT(Calc!$E1572,2)&amp;Calc!$Q1572&amp;"|"&amp;"1"&amp;RIGHT("00000"&amp;1563,5))</f>
        <v/>
      </c>
      <c r="C1568">
        <f>IF($B1568="","",COUNTIFS(LdgSellerA,$A1568,LdgKeyA,"&lt;"&amp;$B1568)+COUNTIFS(LdgSellerB,$A1568,LdgKeyB,"&lt;"&amp;$B1568)+1)</f>
        <v/>
      </c>
      <c r="D1568">
        <f>IF($C1568="","",$A1568&amp;"|"&amp;RIGHT("000000"&amp;$C1568,6))</f>
        <v/>
      </c>
      <c r="F1568">
        <f>IF(Sync!$AH1568="","",IF(LEFT(UPPER(TRIM(Sync!$AH1568)),2)="SL",UPPER(TRIM(Sync!$AH1568)),""))</f>
        <v/>
      </c>
      <c r="G1568">
        <f>IF($F1568="","",IF(Sync!$AE1568="","",IF(ISNUMBER(Sync!$AE1568),IF(AND(Sync!$AE1568&gt;=10000101,Sync!$AE1568&lt;=99991231),INT(Sync!$AE1568/10000),""),IFERROR(VALUE(TRIM(LEFT(Sync!$AE1568,FIND("/",Sync!$AE1568)-1))),""))))</f>
        <v/>
      </c>
      <c r="H1568">
        <f>IF(OR($F1568="",$G1568=""),"",IF(ISNUMBER(Sync!$AE1568),INT(MOD(Sync!$AE1568,10000)/100),IFERROR(VALUE(TRIM(LEFT(MID(Sync!$AE1568,FIND("/",Sync!$AE1568)+1,20),FIND("/",MID(Sync!$AE1568,FIND("/",Sync!$AE1568)+1,20))-1))),"")))</f>
        <v/>
      </c>
      <c r="I1568">
        <f>IF(OR($F1568="",$G1568=""),"",IF(ISNUMBER(Sync!$AE1568),MOD(Sync!$AE1568,100),IFERROR(VALUE(TRIM(MID(MID(Sync!$AE1568,FIND("/",Sync!$AE1568)+1,20),FIND("/",MID(Sync!$AE1568,FIND("/",Sync!$AE1568)+1,20))+1,20))),"")))</f>
        <v/>
      </c>
      <c r="J1568">
        <f>IF($F1568="","",IF(OR($G1568="",$H1568="",$I1568="",$G1568&lt;1300,$G1568&gt;1500,$H1568&lt;1,$H1568&gt;12,$I1568&lt;1,$I1568&gt;31),"نامعتبر",RIGHT("0000"&amp;$G1568,4)&amp;"/"&amp;RIGHT("00"&amp;$H1568,2)&amp;"/"&amp;RIGHT("00"&amp;$I1568,2)))</f>
        <v/>
      </c>
      <c r="K1568">
        <f>IF(OR($F1568="",$J1568="",$J1568="نامعتبر"),"",LEFT($J1568,4)&amp;MID($J1568,6,2)&amp;RIGHT($J1568,2)&amp;$N1568&amp;"|"&amp;"2"&amp;RIGHT("00000"&amp;1563,5))</f>
        <v/>
      </c>
      <c r="L1568">
        <f>IF($K1568="","",COUNTIFS(LdgSellerA,$F1568,LdgKeyA,"&lt;"&amp;$K1568)+COUNTIFS(LdgSellerB,$F1568,LdgKeyB,"&lt;"&amp;$K1568)+1)</f>
        <v/>
      </c>
      <c r="M1568">
        <f>IF($L1568="","",$F1568&amp;"|"&amp;RIGHT("000000"&amp;$L1568,6))</f>
        <v/>
      </c>
      <c r="N1568">
        <f>IF($F1568="","",IF(Sync!$AF1568="","0000",IF(AND(ISNUMBER(Sync!$AF1568),Sync!$AF1568&gt;=0,Sync!$AF1568&lt;1),RIGHT("00"&amp;HOUR(Sync!$AF1568),2)&amp;RIGHT("00"&amp;MINUTE(Sync!$AF1568),2),IFERROR(RIGHT("00"&amp;VALUE(LEFT(Sync!$AF1568,FIND(":",Sync!$AF1568)-1)),2)&amp;RIGHT("00"&amp;VALUE(MID(Sync!$AF1568,FIND(":",Sync!$AF1568)+1,2)),2),"0000"))))</f>
        <v/>
      </c>
    </row>
    <row r="1569">
      <c r="A1569">
        <f>IF(OR(Calc!$E1573="",Calc!$E1573="نامعتبر",Calc!$G1573=""),"",Calc!$G1573)</f>
        <v/>
      </c>
      <c r="B1569">
        <f>IF($A1569="","",LEFT(Calc!$E1573,4)&amp;MID(Calc!$E1573,6,2)&amp;RIGHT(Calc!$E1573,2)&amp;Calc!$Q1573&amp;"|"&amp;"1"&amp;RIGHT("00000"&amp;1564,5))</f>
        <v/>
      </c>
      <c r="C1569">
        <f>IF($B1569="","",COUNTIFS(LdgSellerA,$A1569,LdgKeyA,"&lt;"&amp;$B1569)+COUNTIFS(LdgSellerB,$A1569,LdgKeyB,"&lt;"&amp;$B1569)+1)</f>
        <v/>
      </c>
      <c r="D1569">
        <f>IF($C1569="","",$A1569&amp;"|"&amp;RIGHT("000000"&amp;$C1569,6))</f>
        <v/>
      </c>
      <c r="F1569">
        <f>IF(Sync!$AH1569="","",IF(LEFT(UPPER(TRIM(Sync!$AH1569)),2)="SL",UPPER(TRIM(Sync!$AH1569)),""))</f>
        <v/>
      </c>
      <c r="G1569">
        <f>IF($F1569="","",IF(Sync!$AE1569="","",IF(ISNUMBER(Sync!$AE1569),IF(AND(Sync!$AE1569&gt;=10000101,Sync!$AE1569&lt;=99991231),INT(Sync!$AE1569/10000),""),IFERROR(VALUE(TRIM(LEFT(Sync!$AE1569,FIND("/",Sync!$AE1569)-1))),""))))</f>
        <v/>
      </c>
      <c r="H1569">
        <f>IF(OR($F1569="",$G1569=""),"",IF(ISNUMBER(Sync!$AE1569),INT(MOD(Sync!$AE1569,10000)/100),IFERROR(VALUE(TRIM(LEFT(MID(Sync!$AE1569,FIND("/",Sync!$AE1569)+1,20),FIND("/",MID(Sync!$AE1569,FIND("/",Sync!$AE1569)+1,20))-1))),"")))</f>
        <v/>
      </c>
      <c r="I1569">
        <f>IF(OR($F1569="",$G1569=""),"",IF(ISNUMBER(Sync!$AE1569),MOD(Sync!$AE1569,100),IFERROR(VALUE(TRIM(MID(MID(Sync!$AE1569,FIND("/",Sync!$AE1569)+1,20),FIND("/",MID(Sync!$AE1569,FIND("/",Sync!$AE1569)+1,20))+1,20))),"")))</f>
        <v/>
      </c>
      <c r="J1569">
        <f>IF($F1569="","",IF(OR($G1569="",$H1569="",$I1569="",$G1569&lt;1300,$G1569&gt;1500,$H1569&lt;1,$H1569&gt;12,$I1569&lt;1,$I1569&gt;31),"نامعتبر",RIGHT("0000"&amp;$G1569,4)&amp;"/"&amp;RIGHT("00"&amp;$H1569,2)&amp;"/"&amp;RIGHT("00"&amp;$I1569,2)))</f>
        <v/>
      </c>
      <c r="K1569">
        <f>IF(OR($F1569="",$J1569="",$J1569="نامعتبر"),"",LEFT($J1569,4)&amp;MID($J1569,6,2)&amp;RIGHT($J1569,2)&amp;$N1569&amp;"|"&amp;"2"&amp;RIGHT("00000"&amp;1564,5))</f>
        <v/>
      </c>
      <c r="L1569">
        <f>IF($K1569="","",COUNTIFS(LdgSellerA,$F1569,LdgKeyA,"&lt;"&amp;$K1569)+COUNTIFS(LdgSellerB,$F1569,LdgKeyB,"&lt;"&amp;$K1569)+1)</f>
        <v/>
      </c>
      <c r="M1569">
        <f>IF($L1569="","",$F1569&amp;"|"&amp;RIGHT("000000"&amp;$L1569,6))</f>
        <v/>
      </c>
      <c r="N1569">
        <f>IF($F1569="","",IF(Sync!$AF1569="","0000",IF(AND(ISNUMBER(Sync!$AF1569),Sync!$AF1569&gt;=0,Sync!$AF1569&lt;1),RIGHT("00"&amp;HOUR(Sync!$AF1569),2)&amp;RIGHT("00"&amp;MINUTE(Sync!$AF1569),2),IFERROR(RIGHT("00"&amp;VALUE(LEFT(Sync!$AF1569,FIND(":",Sync!$AF1569)-1)),2)&amp;RIGHT("00"&amp;VALUE(MID(Sync!$AF1569,FIND(":",Sync!$AF1569)+1,2)),2),"0000"))))</f>
        <v/>
      </c>
    </row>
    <row r="1570">
      <c r="A1570">
        <f>IF(OR(Calc!$E1574="",Calc!$E1574="نامعتبر",Calc!$G1574=""),"",Calc!$G1574)</f>
        <v/>
      </c>
      <c r="B1570">
        <f>IF($A1570="","",LEFT(Calc!$E1574,4)&amp;MID(Calc!$E1574,6,2)&amp;RIGHT(Calc!$E1574,2)&amp;Calc!$Q1574&amp;"|"&amp;"1"&amp;RIGHT("00000"&amp;1565,5))</f>
        <v/>
      </c>
      <c r="C1570">
        <f>IF($B1570="","",COUNTIFS(LdgSellerA,$A1570,LdgKeyA,"&lt;"&amp;$B1570)+COUNTIFS(LdgSellerB,$A1570,LdgKeyB,"&lt;"&amp;$B1570)+1)</f>
        <v/>
      </c>
      <c r="D1570">
        <f>IF($C1570="","",$A1570&amp;"|"&amp;RIGHT("000000"&amp;$C1570,6))</f>
        <v/>
      </c>
      <c r="F1570">
        <f>IF(Sync!$AH1570="","",IF(LEFT(UPPER(TRIM(Sync!$AH1570)),2)="SL",UPPER(TRIM(Sync!$AH1570)),""))</f>
        <v/>
      </c>
      <c r="G1570">
        <f>IF($F1570="","",IF(Sync!$AE1570="","",IF(ISNUMBER(Sync!$AE1570),IF(AND(Sync!$AE1570&gt;=10000101,Sync!$AE1570&lt;=99991231),INT(Sync!$AE1570/10000),""),IFERROR(VALUE(TRIM(LEFT(Sync!$AE1570,FIND("/",Sync!$AE1570)-1))),""))))</f>
        <v/>
      </c>
      <c r="H1570">
        <f>IF(OR($F1570="",$G1570=""),"",IF(ISNUMBER(Sync!$AE1570),INT(MOD(Sync!$AE1570,10000)/100),IFERROR(VALUE(TRIM(LEFT(MID(Sync!$AE1570,FIND("/",Sync!$AE1570)+1,20),FIND("/",MID(Sync!$AE1570,FIND("/",Sync!$AE1570)+1,20))-1))),"")))</f>
        <v/>
      </c>
      <c r="I1570">
        <f>IF(OR($F1570="",$G1570=""),"",IF(ISNUMBER(Sync!$AE1570),MOD(Sync!$AE1570,100),IFERROR(VALUE(TRIM(MID(MID(Sync!$AE1570,FIND("/",Sync!$AE1570)+1,20),FIND("/",MID(Sync!$AE1570,FIND("/",Sync!$AE1570)+1,20))+1,20))),"")))</f>
        <v/>
      </c>
      <c r="J1570">
        <f>IF($F1570="","",IF(OR($G1570="",$H1570="",$I1570="",$G1570&lt;1300,$G1570&gt;1500,$H1570&lt;1,$H1570&gt;12,$I1570&lt;1,$I1570&gt;31),"نامعتبر",RIGHT("0000"&amp;$G1570,4)&amp;"/"&amp;RIGHT("00"&amp;$H1570,2)&amp;"/"&amp;RIGHT("00"&amp;$I1570,2)))</f>
        <v/>
      </c>
      <c r="K1570">
        <f>IF(OR($F1570="",$J1570="",$J1570="نامعتبر"),"",LEFT($J1570,4)&amp;MID($J1570,6,2)&amp;RIGHT($J1570,2)&amp;$N1570&amp;"|"&amp;"2"&amp;RIGHT("00000"&amp;1565,5))</f>
        <v/>
      </c>
      <c r="L1570">
        <f>IF($K1570="","",COUNTIFS(LdgSellerA,$F1570,LdgKeyA,"&lt;"&amp;$K1570)+COUNTIFS(LdgSellerB,$F1570,LdgKeyB,"&lt;"&amp;$K1570)+1)</f>
        <v/>
      </c>
      <c r="M1570">
        <f>IF($L1570="","",$F1570&amp;"|"&amp;RIGHT("000000"&amp;$L1570,6))</f>
        <v/>
      </c>
      <c r="N1570">
        <f>IF($F1570="","",IF(Sync!$AF1570="","0000",IF(AND(ISNUMBER(Sync!$AF1570),Sync!$AF1570&gt;=0,Sync!$AF1570&lt;1),RIGHT("00"&amp;HOUR(Sync!$AF1570),2)&amp;RIGHT("00"&amp;MINUTE(Sync!$AF1570),2),IFERROR(RIGHT("00"&amp;VALUE(LEFT(Sync!$AF1570,FIND(":",Sync!$AF1570)-1)),2)&amp;RIGHT("00"&amp;VALUE(MID(Sync!$AF1570,FIND(":",Sync!$AF1570)+1,2)),2),"0000"))))</f>
        <v/>
      </c>
    </row>
    <row r="1571">
      <c r="A1571">
        <f>IF(OR(Calc!$E1575="",Calc!$E1575="نامعتبر",Calc!$G1575=""),"",Calc!$G1575)</f>
        <v/>
      </c>
      <c r="B1571">
        <f>IF($A1571="","",LEFT(Calc!$E1575,4)&amp;MID(Calc!$E1575,6,2)&amp;RIGHT(Calc!$E1575,2)&amp;Calc!$Q1575&amp;"|"&amp;"1"&amp;RIGHT("00000"&amp;1566,5))</f>
        <v/>
      </c>
      <c r="C1571">
        <f>IF($B1571="","",COUNTIFS(LdgSellerA,$A1571,LdgKeyA,"&lt;"&amp;$B1571)+COUNTIFS(LdgSellerB,$A1571,LdgKeyB,"&lt;"&amp;$B1571)+1)</f>
        <v/>
      </c>
      <c r="D1571">
        <f>IF($C1571="","",$A1571&amp;"|"&amp;RIGHT("000000"&amp;$C1571,6))</f>
        <v/>
      </c>
      <c r="F1571">
        <f>IF(Sync!$AH1571="","",IF(LEFT(UPPER(TRIM(Sync!$AH1571)),2)="SL",UPPER(TRIM(Sync!$AH1571)),""))</f>
        <v/>
      </c>
      <c r="G1571">
        <f>IF($F1571="","",IF(Sync!$AE1571="","",IF(ISNUMBER(Sync!$AE1571),IF(AND(Sync!$AE1571&gt;=10000101,Sync!$AE1571&lt;=99991231),INT(Sync!$AE1571/10000),""),IFERROR(VALUE(TRIM(LEFT(Sync!$AE1571,FIND("/",Sync!$AE1571)-1))),""))))</f>
        <v/>
      </c>
      <c r="H1571">
        <f>IF(OR($F1571="",$G1571=""),"",IF(ISNUMBER(Sync!$AE1571),INT(MOD(Sync!$AE1571,10000)/100),IFERROR(VALUE(TRIM(LEFT(MID(Sync!$AE1571,FIND("/",Sync!$AE1571)+1,20),FIND("/",MID(Sync!$AE1571,FIND("/",Sync!$AE1571)+1,20))-1))),"")))</f>
        <v/>
      </c>
      <c r="I1571">
        <f>IF(OR($F1571="",$G1571=""),"",IF(ISNUMBER(Sync!$AE1571),MOD(Sync!$AE1571,100),IFERROR(VALUE(TRIM(MID(MID(Sync!$AE1571,FIND("/",Sync!$AE1571)+1,20),FIND("/",MID(Sync!$AE1571,FIND("/",Sync!$AE1571)+1,20))+1,20))),"")))</f>
        <v/>
      </c>
      <c r="J1571">
        <f>IF($F1571="","",IF(OR($G1571="",$H1571="",$I1571="",$G1571&lt;1300,$G1571&gt;1500,$H1571&lt;1,$H1571&gt;12,$I1571&lt;1,$I1571&gt;31),"نامعتبر",RIGHT("0000"&amp;$G1571,4)&amp;"/"&amp;RIGHT("00"&amp;$H1571,2)&amp;"/"&amp;RIGHT("00"&amp;$I1571,2)))</f>
        <v/>
      </c>
      <c r="K1571">
        <f>IF(OR($F1571="",$J1571="",$J1571="نامعتبر"),"",LEFT($J1571,4)&amp;MID($J1571,6,2)&amp;RIGHT($J1571,2)&amp;$N1571&amp;"|"&amp;"2"&amp;RIGHT("00000"&amp;1566,5))</f>
        <v/>
      </c>
      <c r="L1571">
        <f>IF($K1571="","",COUNTIFS(LdgSellerA,$F1571,LdgKeyA,"&lt;"&amp;$K1571)+COUNTIFS(LdgSellerB,$F1571,LdgKeyB,"&lt;"&amp;$K1571)+1)</f>
        <v/>
      </c>
      <c r="M1571">
        <f>IF($L1571="","",$F1571&amp;"|"&amp;RIGHT("000000"&amp;$L1571,6))</f>
        <v/>
      </c>
      <c r="N1571">
        <f>IF($F1571="","",IF(Sync!$AF1571="","0000",IF(AND(ISNUMBER(Sync!$AF1571),Sync!$AF1571&gt;=0,Sync!$AF1571&lt;1),RIGHT("00"&amp;HOUR(Sync!$AF1571),2)&amp;RIGHT("00"&amp;MINUTE(Sync!$AF1571),2),IFERROR(RIGHT("00"&amp;VALUE(LEFT(Sync!$AF1571,FIND(":",Sync!$AF1571)-1)),2)&amp;RIGHT("00"&amp;VALUE(MID(Sync!$AF1571,FIND(":",Sync!$AF1571)+1,2)),2),"0000"))))</f>
        <v/>
      </c>
    </row>
    <row r="1572">
      <c r="A1572">
        <f>IF(OR(Calc!$E1576="",Calc!$E1576="نامعتبر",Calc!$G1576=""),"",Calc!$G1576)</f>
        <v/>
      </c>
      <c r="B1572">
        <f>IF($A1572="","",LEFT(Calc!$E1576,4)&amp;MID(Calc!$E1576,6,2)&amp;RIGHT(Calc!$E1576,2)&amp;Calc!$Q1576&amp;"|"&amp;"1"&amp;RIGHT("00000"&amp;1567,5))</f>
        <v/>
      </c>
      <c r="C1572">
        <f>IF($B1572="","",COUNTIFS(LdgSellerA,$A1572,LdgKeyA,"&lt;"&amp;$B1572)+COUNTIFS(LdgSellerB,$A1572,LdgKeyB,"&lt;"&amp;$B1572)+1)</f>
        <v/>
      </c>
      <c r="D1572">
        <f>IF($C1572="","",$A1572&amp;"|"&amp;RIGHT("000000"&amp;$C1572,6))</f>
        <v/>
      </c>
      <c r="F1572">
        <f>IF(Sync!$AH1572="","",IF(LEFT(UPPER(TRIM(Sync!$AH1572)),2)="SL",UPPER(TRIM(Sync!$AH1572)),""))</f>
        <v/>
      </c>
      <c r="G1572">
        <f>IF($F1572="","",IF(Sync!$AE1572="","",IF(ISNUMBER(Sync!$AE1572),IF(AND(Sync!$AE1572&gt;=10000101,Sync!$AE1572&lt;=99991231),INT(Sync!$AE1572/10000),""),IFERROR(VALUE(TRIM(LEFT(Sync!$AE1572,FIND("/",Sync!$AE1572)-1))),""))))</f>
        <v/>
      </c>
      <c r="H1572">
        <f>IF(OR($F1572="",$G1572=""),"",IF(ISNUMBER(Sync!$AE1572),INT(MOD(Sync!$AE1572,10000)/100),IFERROR(VALUE(TRIM(LEFT(MID(Sync!$AE1572,FIND("/",Sync!$AE1572)+1,20),FIND("/",MID(Sync!$AE1572,FIND("/",Sync!$AE1572)+1,20))-1))),"")))</f>
        <v/>
      </c>
      <c r="I1572">
        <f>IF(OR($F1572="",$G1572=""),"",IF(ISNUMBER(Sync!$AE1572),MOD(Sync!$AE1572,100),IFERROR(VALUE(TRIM(MID(MID(Sync!$AE1572,FIND("/",Sync!$AE1572)+1,20),FIND("/",MID(Sync!$AE1572,FIND("/",Sync!$AE1572)+1,20))+1,20))),"")))</f>
        <v/>
      </c>
      <c r="J1572">
        <f>IF($F1572="","",IF(OR($G1572="",$H1572="",$I1572="",$G1572&lt;1300,$G1572&gt;1500,$H1572&lt;1,$H1572&gt;12,$I1572&lt;1,$I1572&gt;31),"نامعتبر",RIGHT("0000"&amp;$G1572,4)&amp;"/"&amp;RIGHT("00"&amp;$H1572,2)&amp;"/"&amp;RIGHT("00"&amp;$I1572,2)))</f>
        <v/>
      </c>
      <c r="K1572">
        <f>IF(OR($F1572="",$J1572="",$J1572="نامعتبر"),"",LEFT($J1572,4)&amp;MID($J1572,6,2)&amp;RIGHT($J1572,2)&amp;$N1572&amp;"|"&amp;"2"&amp;RIGHT("00000"&amp;1567,5))</f>
        <v/>
      </c>
      <c r="L1572">
        <f>IF($K1572="","",COUNTIFS(LdgSellerA,$F1572,LdgKeyA,"&lt;"&amp;$K1572)+COUNTIFS(LdgSellerB,$F1572,LdgKeyB,"&lt;"&amp;$K1572)+1)</f>
        <v/>
      </c>
      <c r="M1572">
        <f>IF($L1572="","",$F1572&amp;"|"&amp;RIGHT("000000"&amp;$L1572,6))</f>
        <v/>
      </c>
      <c r="N1572">
        <f>IF($F1572="","",IF(Sync!$AF1572="","0000",IF(AND(ISNUMBER(Sync!$AF1572),Sync!$AF1572&gt;=0,Sync!$AF1572&lt;1),RIGHT("00"&amp;HOUR(Sync!$AF1572),2)&amp;RIGHT("00"&amp;MINUTE(Sync!$AF1572),2),IFERROR(RIGHT("00"&amp;VALUE(LEFT(Sync!$AF1572,FIND(":",Sync!$AF1572)-1)),2)&amp;RIGHT("00"&amp;VALUE(MID(Sync!$AF1572,FIND(":",Sync!$AF1572)+1,2)),2),"0000"))))</f>
        <v/>
      </c>
    </row>
    <row r="1573">
      <c r="A1573">
        <f>IF(OR(Calc!$E1577="",Calc!$E1577="نامعتبر",Calc!$G1577=""),"",Calc!$G1577)</f>
        <v/>
      </c>
      <c r="B1573">
        <f>IF($A1573="","",LEFT(Calc!$E1577,4)&amp;MID(Calc!$E1577,6,2)&amp;RIGHT(Calc!$E1577,2)&amp;Calc!$Q1577&amp;"|"&amp;"1"&amp;RIGHT("00000"&amp;1568,5))</f>
        <v/>
      </c>
      <c r="C1573">
        <f>IF($B1573="","",COUNTIFS(LdgSellerA,$A1573,LdgKeyA,"&lt;"&amp;$B1573)+COUNTIFS(LdgSellerB,$A1573,LdgKeyB,"&lt;"&amp;$B1573)+1)</f>
        <v/>
      </c>
      <c r="D1573">
        <f>IF($C1573="","",$A1573&amp;"|"&amp;RIGHT("000000"&amp;$C1573,6))</f>
        <v/>
      </c>
      <c r="F1573">
        <f>IF(Sync!$AH1573="","",IF(LEFT(UPPER(TRIM(Sync!$AH1573)),2)="SL",UPPER(TRIM(Sync!$AH1573)),""))</f>
        <v/>
      </c>
      <c r="G1573">
        <f>IF($F1573="","",IF(Sync!$AE1573="","",IF(ISNUMBER(Sync!$AE1573),IF(AND(Sync!$AE1573&gt;=10000101,Sync!$AE1573&lt;=99991231),INT(Sync!$AE1573/10000),""),IFERROR(VALUE(TRIM(LEFT(Sync!$AE1573,FIND("/",Sync!$AE1573)-1))),""))))</f>
        <v/>
      </c>
      <c r="H1573">
        <f>IF(OR($F1573="",$G1573=""),"",IF(ISNUMBER(Sync!$AE1573),INT(MOD(Sync!$AE1573,10000)/100),IFERROR(VALUE(TRIM(LEFT(MID(Sync!$AE1573,FIND("/",Sync!$AE1573)+1,20),FIND("/",MID(Sync!$AE1573,FIND("/",Sync!$AE1573)+1,20))-1))),"")))</f>
        <v/>
      </c>
      <c r="I1573">
        <f>IF(OR($F1573="",$G1573=""),"",IF(ISNUMBER(Sync!$AE1573),MOD(Sync!$AE1573,100),IFERROR(VALUE(TRIM(MID(MID(Sync!$AE1573,FIND("/",Sync!$AE1573)+1,20),FIND("/",MID(Sync!$AE1573,FIND("/",Sync!$AE1573)+1,20))+1,20))),"")))</f>
        <v/>
      </c>
      <c r="J1573">
        <f>IF($F1573="","",IF(OR($G1573="",$H1573="",$I1573="",$G1573&lt;1300,$G1573&gt;1500,$H1573&lt;1,$H1573&gt;12,$I1573&lt;1,$I1573&gt;31),"نامعتبر",RIGHT("0000"&amp;$G1573,4)&amp;"/"&amp;RIGHT("00"&amp;$H1573,2)&amp;"/"&amp;RIGHT("00"&amp;$I1573,2)))</f>
        <v/>
      </c>
      <c r="K1573">
        <f>IF(OR($F1573="",$J1573="",$J1573="نامعتبر"),"",LEFT($J1573,4)&amp;MID($J1573,6,2)&amp;RIGHT($J1573,2)&amp;$N1573&amp;"|"&amp;"2"&amp;RIGHT("00000"&amp;1568,5))</f>
        <v/>
      </c>
      <c r="L1573">
        <f>IF($K1573="","",COUNTIFS(LdgSellerA,$F1573,LdgKeyA,"&lt;"&amp;$K1573)+COUNTIFS(LdgSellerB,$F1573,LdgKeyB,"&lt;"&amp;$K1573)+1)</f>
        <v/>
      </c>
      <c r="M1573">
        <f>IF($L1573="","",$F1573&amp;"|"&amp;RIGHT("000000"&amp;$L1573,6))</f>
        <v/>
      </c>
      <c r="N1573">
        <f>IF($F1573="","",IF(Sync!$AF1573="","0000",IF(AND(ISNUMBER(Sync!$AF1573),Sync!$AF1573&gt;=0,Sync!$AF1573&lt;1),RIGHT("00"&amp;HOUR(Sync!$AF1573),2)&amp;RIGHT("00"&amp;MINUTE(Sync!$AF1573),2),IFERROR(RIGHT("00"&amp;VALUE(LEFT(Sync!$AF1573,FIND(":",Sync!$AF1573)-1)),2)&amp;RIGHT("00"&amp;VALUE(MID(Sync!$AF1573,FIND(":",Sync!$AF1573)+1,2)),2),"0000"))))</f>
        <v/>
      </c>
    </row>
    <row r="1574">
      <c r="A1574">
        <f>IF(OR(Calc!$E1578="",Calc!$E1578="نامعتبر",Calc!$G1578=""),"",Calc!$G1578)</f>
        <v/>
      </c>
      <c r="B1574">
        <f>IF($A1574="","",LEFT(Calc!$E1578,4)&amp;MID(Calc!$E1578,6,2)&amp;RIGHT(Calc!$E1578,2)&amp;Calc!$Q1578&amp;"|"&amp;"1"&amp;RIGHT("00000"&amp;1569,5))</f>
        <v/>
      </c>
      <c r="C1574">
        <f>IF($B1574="","",COUNTIFS(LdgSellerA,$A1574,LdgKeyA,"&lt;"&amp;$B1574)+COUNTIFS(LdgSellerB,$A1574,LdgKeyB,"&lt;"&amp;$B1574)+1)</f>
        <v/>
      </c>
      <c r="D1574">
        <f>IF($C1574="","",$A1574&amp;"|"&amp;RIGHT("000000"&amp;$C1574,6))</f>
        <v/>
      </c>
      <c r="F1574">
        <f>IF(Sync!$AH1574="","",IF(LEFT(UPPER(TRIM(Sync!$AH1574)),2)="SL",UPPER(TRIM(Sync!$AH1574)),""))</f>
        <v/>
      </c>
      <c r="G1574">
        <f>IF($F1574="","",IF(Sync!$AE1574="","",IF(ISNUMBER(Sync!$AE1574),IF(AND(Sync!$AE1574&gt;=10000101,Sync!$AE1574&lt;=99991231),INT(Sync!$AE1574/10000),""),IFERROR(VALUE(TRIM(LEFT(Sync!$AE1574,FIND("/",Sync!$AE1574)-1))),""))))</f>
        <v/>
      </c>
      <c r="H1574">
        <f>IF(OR($F1574="",$G1574=""),"",IF(ISNUMBER(Sync!$AE1574),INT(MOD(Sync!$AE1574,10000)/100),IFERROR(VALUE(TRIM(LEFT(MID(Sync!$AE1574,FIND("/",Sync!$AE1574)+1,20),FIND("/",MID(Sync!$AE1574,FIND("/",Sync!$AE1574)+1,20))-1))),"")))</f>
        <v/>
      </c>
      <c r="I1574">
        <f>IF(OR($F1574="",$G1574=""),"",IF(ISNUMBER(Sync!$AE1574),MOD(Sync!$AE1574,100),IFERROR(VALUE(TRIM(MID(MID(Sync!$AE1574,FIND("/",Sync!$AE1574)+1,20),FIND("/",MID(Sync!$AE1574,FIND("/",Sync!$AE1574)+1,20))+1,20))),"")))</f>
        <v/>
      </c>
      <c r="J1574">
        <f>IF($F1574="","",IF(OR($G1574="",$H1574="",$I1574="",$G1574&lt;1300,$G1574&gt;1500,$H1574&lt;1,$H1574&gt;12,$I1574&lt;1,$I1574&gt;31),"نامعتبر",RIGHT("0000"&amp;$G1574,4)&amp;"/"&amp;RIGHT("00"&amp;$H1574,2)&amp;"/"&amp;RIGHT("00"&amp;$I1574,2)))</f>
        <v/>
      </c>
      <c r="K1574">
        <f>IF(OR($F1574="",$J1574="",$J1574="نامعتبر"),"",LEFT($J1574,4)&amp;MID($J1574,6,2)&amp;RIGHT($J1574,2)&amp;$N1574&amp;"|"&amp;"2"&amp;RIGHT("00000"&amp;1569,5))</f>
        <v/>
      </c>
      <c r="L1574">
        <f>IF($K1574="","",COUNTIFS(LdgSellerA,$F1574,LdgKeyA,"&lt;"&amp;$K1574)+COUNTIFS(LdgSellerB,$F1574,LdgKeyB,"&lt;"&amp;$K1574)+1)</f>
        <v/>
      </c>
      <c r="M1574">
        <f>IF($L1574="","",$F1574&amp;"|"&amp;RIGHT("000000"&amp;$L1574,6))</f>
        <v/>
      </c>
      <c r="N1574">
        <f>IF($F1574="","",IF(Sync!$AF1574="","0000",IF(AND(ISNUMBER(Sync!$AF1574),Sync!$AF1574&gt;=0,Sync!$AF1574&lt;1),RIGHT("00"&amp;HOUR(Sync!$AF1574),2)&amp;RIGHT("00"&amp;MINUTE(Sync!$AF1574),2),IFERROR(RIGHT("00"&amp;VALUE(LEFT(Sync!$AF1574,FIND(":",Sync!$AF1574)-1)),2)&amp;RIGHT("00"&amp;VALUE(MID(Sync!$AF1574,FIND(":",Sync!$AF1574)+1,2)),2),"0000"))))</f>
        <v/>
      </c>
    </row>
    <row r="1575">
      <c r="A1575">
        <f>IF(OR(Calc!$E1579="",Calc!$E1579="نامعتبر",Calc!$G1579=""),"",Calc!$G1579)</f>
        <v/>
      </c>
      <c r="B1575">
        <f>IF($A1575="","",LEFT(Calc!$E1579,4)&amp;MID(Calc!$E1579,6,2)&amp;RIGHT(Calc!$E1579,2)&amp;Calc!$Q1579&amp;"|"&amp;"1"&amp;RIGHT("00000"&amp;1570,5))</f>
        <v/>
      </c>
      <c r="C1575">
        <f>IF($B1575="","",COUNTIFS(LdgSellerA,$A1575,LdgKeyA,"&lt;"&amp;$B1575)+COUNTIFS(LdgSellerB,$A1575,LdgKeyB,"&lt;"&amp;$B1575)+1)</f>
        <v/>
      </c>
      <c r="D1575">
        <f>IF($C1575="","",$A1575&amp;"|"&amp;RIGHT("000000"&amp;$C1575,6))</f>
        <v/>
      </c>
      <c r="F1575">
        <f>IF(Sync!$AH1575="","",IF(LEFT(UPPER(TRIM(Sync!$AH1575)),2)="SL",UPPER(TRIM(Sync!$AH1575)),""))</f>
        <v/>
      </c>
      <c r="G1575">
        <f>IF($F1575="","",IF(Sync!$AE1575="","",IF(ISNUMBER(Sync!$AE1575),IF(AND(Sync!$AE1575&gt;=10000101,Sync!$AE1575&lt;=99991231),INT(Sync!$AE1575/10000),""),IFERROR(VALUE(TRIM(LEFT(Sync!$AE1575,FIND("/",Sync!$AE1575)-1))),""))))</f>
        <v/>
      </c>
      <c r="H1575">
        <f>IF(OR($F1575="",$G1575=""),"",IF(ISNUMBER(Sync!$AE1575),INT(MOD(Sync!$AE1575,10000)/100),IFERROR(VALUE(TRIM(LEFT(MID(Sync!$AE1575,FIND("/",Sync!$AE1575)+1,20),FIND("/",MID(Sync!$AE1575,FIND("/",Sync!$AE1575)+1,20))-1))),"")))</f>
        <v/>
      </c>
      <c r="I1575">
        <f>IF(OR($F1575="",$G1575=""),"",IF(ISNUMBER(Sync!$AE1575),MOD(Sync!$AE1575,100),IFERROR(VALUE(TRIM(MID(MID(Sync!$AE1575,FIND("/",Sync!$AE1575)+1,20),FIND("/",MID(Sync!$AE1575,FIND("/",Sync!$AE1575)+1,20))+1,20))),"")))</f>
        <v/>
      </c>
      <c r="J1575">
        <f>IF($F1575="","",IF(OR($G1575="",$H1575="",$I1575="",$G1575&lt;1300,$G1575&gt;1500,$H1575&lt;1,$H1575&gt;12,$I1575&lt;1,$I1575&gt;31),"نامعتبر",RIGHT("0000"&amp;$G1575,4)&amp;"/"&amp;RIGHT("00"&amp;$H1575,2)&amp;"/"&amp;RIGHT("00"&amp;$I1575,2)))</f>
        <v/>
      </c>
      <c r="K1575">
        <f>IF(OR($F1575="",$J1575="",$J1575="نامعتبر"),"",LEFT($J1575,4)&amp;MID($J1575,6,2)&amp;RIGHT($J1575,2)&amp;$N1575&amp;"|"&amp;"2"&amp;RIGHT("00000"&amp;1570,5))</f>
        <v/>
      </c>
      <c r="L1575">
        <f>IF($K1575="","",COUNTIFS(LdgSellerA,$F1575,LdgKeyA,"&lt;"&amp;$K1575)+COUNTIFS(LdgSellerB,$F1575,LdgKeyB,"&lt;"&amp;$K1575)+1)</f>
        <v/>
      </c>
      <c r="M1575">
        <f>IF($L1575="","",$F1575&amp;"|"&amp;RIGHT("000000"&amp;$L1575,6))</f>
        <v/>
      </c>
      <c r="N1575">
        <f>IF($F1575="","",IF(Sync!$AF1575="","0000",IF(AND(ISNUMBER(Sync!$AF1575),Sync!$AF1575&gt;=0,Sync!$AF1575&lt;1),RIGHT("00"&amp;HOUR(Sync!$AF1575),2)&amp;RIGHT("00"&amp;MINUTE(Sync!$AF1575),2),IFERROR(RIGHT("00"&amp;VALUE(LEFT(Sync!$AF1575,FIND(":",Sync!$AF1575)-1)),2)&amp;RIGHT("00"&amp;VALUE(MID(Sync!$AF1575,FIND(":",Sync!$AF1575)+1,2)),2),"0000"))))</f>
        <v/>
      </c>
    </row>
    <row r="1576">
      <c r="A1576">
        <f>IF(OR(Calc!$E1580="",Calc!$E1580="نامعتبر",Calc!$G1580=""),"",Calc!$G1580)</f>
        <v/>
      </c>
      <c r="B1576">
        <f>IF($A1576="","",LEFT(Calc!$E1580,4)&amp;MID(Calc!$E1580,6,2)&amp;RIGHT(Calc!$E1580,2)&amp;Calc!$Q1580&amp;"|"&amp;"1"&amp;RIGHT("00000"&amp;1571,5))</f>
        <v/>
      </c>
      <c r="C1576">
        <f>IF($B1576="","",COUNTIFS(LdgSellerA,$A1576,LdgKeyA,"&lt;"&amp;$B1576)+COUNTIFS(LdgSellerB,$A1576,LdgKeyB,"&lt;"&amp;$B1576)+1)</f>
        <v/>
      </c>
      <c r="D1576">
        <f>IF($C1576="","",$A1576&amp;"|"&amp;RIGHT("000000"&amp;$C1576,6))</f>
        <v/>
      </c>
      <c r="F1576">
        <f>IF(Sync!$AH1576="","",IF(LEFT(UPPER(TRIM(Sync!$AH1576)),2)="SL",UPPER(TRIM(Sync!$AH1576)),""))</f>
        <v/>
      </c>
      <c r="G1576">
        <f>IF($F1576="","",IF(Sync!$AE1576="","",IF(ISNUMBER(Sync!$AE1576),IF(AND(Sync!$AE1576&gt;=10000101,Sync!$AE1576&lt;=99991231),INT(Sync!$AE1576/10000),""),IFERROR(VALUE(TRIM(LEFT(Sync!$AE1576,FIND("/",Sync!$AE1576)-1))),""))))</f>
        <v/>
      </c>
      <c r="H1576">
        <f>IF(OR($F1576="",$G1576=""),"",IF(ISNUMBER(Sync!$AE1576),INT(MOD(Sync!$AE1576,10000)/100),IFERROR(VALUE(TRIM(LEFT(MID(Sync!$AE1576,FIND("/",Sync!$AE1576)+1,20),FIND("/",MID(Sync!$AE1576,FIND("/",Sync!$AE1576)+1,20))-1))),"")))</f>
        <v/>
      </c>
      <c r="I1576">
        <f>IF(OR($F1576="",$G1576=""),"",IF(ISNUMBER(Sync!$AE1576),MOD(Sync!$AE1576,100),IFERROR(VALUE(TRIM(MID(MID(Sync!$AE1576,FIND("/",Sync!$AE1576)+1,20),FIND("/",MID(Sync!$AE1576,FIND("/",Sync!$AE1576)+1,20))+1,20))),"")))</f>
        <v/>
      </c>
      <c r="J1576">
        <f>IF($F1576="","",IF(OR($G1576="",$H1576="",$I1576="",$G1576&lt;1300,$G1576&gt;1500,$H1576&lt;1,$H1576&gt;12,$I1576&lt;1,$I1576&gt;31),"نامعتبر",RIGHT("0000"&amp;$G1576,4)&amp;"/"&amp;RIGHT("00"&amp;$H1576,2)&amp;"/"&amp;RIGHT("00"&amp;$I1576,2)))</f>
        <v/>
      </c>
      <c r="K1576">
        <f>IF(OR($F1576="",$J1576="",$J1576="نامعتبر"),"",LEFT($J1576,4)&amp;MID($J1576,6,2)&amp;RIGHT($J1576,2)&amp;$N1576&amp;"|"&amp;"2"&amp;RIGHT("00000"&amp;1571,5))</f>
        <v/>
      </c>
      <c r="L1576">
        <f>IF($K1576="","",COUNTIFS(LdgSellerA,$F1576,LdgKeyA,"&lt;"&amp;$K1576)+COUNTIFS(LdgSellerB,$F1576,LdgKeyB,"&lt;"&amp;$K1576)+1)</f>
        <v/>
      </c>
      <c r="M1576">
        <f>IF($L1576="","",$F1576&amp;"|"&amp;RIGHT("000000"&amp;$L1576,6))</f>
        <v/>
      </c>
      <c r="N1576">
        <f>IF($F1576="","",IF(Sync!$AF1576="","0000",IF(AND(ISNUMBER(Sync!$AF1576),Sync!$AF1576&gt;=0,Sync!$AF1576&lt;1),RIGHT("00"&amp;HOUR(Sync!$AF1576),2)&amp;RIGHT("00"&amp;MINUTE(Sync!$AF1576),2),IFERROR(RIGHT("00"&amp;VALUE(LEFT(Sync!$AF1576,FIND(":",Sync!$AF1576)-1)),2)&amp;RIGHT("00"&amp;VALUE(MID(Sync!$AF1576,FIND(":",Sync!$AF1576)+1,2)),2),"0000"))))</f>
        <v/>
      </c>
    </row>
    <row r="1577">
      <c r="A1577">
        <f>IF(OR(Calc!$E1581="",Calc!$E1581="نامعتبر",Calc!$G1581=""),"",Calc!$G1581)</f>
        <v/>
      </c>
      <c r="B1577">
        <f>IF($A1577="","",LEFT(Calc!$E1581,4)&amp;MID(Calc!$E1581,6,2)&amp;RIGHT(Calc!$E1581,2)&amp;Calc!$Q1581&amp;"|"&amp;"1"&amp;RIGHT("00000"&amp;1572,5))</f>
        <v/>
      </c>
      <c r="C1577">
        <f>IF($B1577="","",COUNTIFS(LdgSellerA,$A1577,LdgKeyA,"&lt;"&amp;$B1577)+COUNTIFS(LdgSellerB,$A1577,LdgKeyB,"&lt;"&amp;$B1577)+1)</f>
        <v/>
      </c>
      <c r="D1577">
        <f>IF($C1577="","",$A1577&amp;"|"&amp;RIGHT("000000"&amp;$C1577,6))</f>
        <v/>
      </c>
      <c r="F1577">
        <f>IF(Sync!$AH1577="","",IF(LEFT(UPPER(TRIM(Sync!$AH1577)),2)="SL",UPPER(TRIM(Sync!$AH1577)),""))</f>
        <v/>
      </c>
      <c r="G1577">
        <f>IF($F1577="","",IF(Sync!$AE1577="","",IF(ISNUMBER(Sync!$AE1577),IF(AND(Sync!$AE1577&gt;=10000101,Sync!$AE1577&lt;=99991231),INT(Sync!$AE1577/10000),""),IFERROR(VALUE(TRIM(LEFT(Sync!$AE1577,FIND("/",Sync!$AE1577)-1))),""))))</f>
        <v/>
      </c>
      <c r="H1577">
        <f>IF(OR($F1577="",$G1577=""),"",IF(ISNUMBER(Sync!$AE1577),INT(MOD(Sync!$AE1577,10000)/100),IFERROR(VALUE(TRIM(LEFT(MID(Sync!$AE1577,FIND("/",Sync!$AE1577)+1,20),FIND("/",MID(Sync!$AE1577,FIND("/",Sync!$AE1577)+1,20))-1))),"")))</f>
        <v/>
      </c>
      <c r="I1577">
        <f>IF(OR($F1577="",$G1577=""),"",IF(ISNUMBER(Sync!$AE1577),MOD(Sync!$AE1577,100),IFERROR(VALUE(TRIM(MID(MID(Sync!$AE1577,FIND("/",Sync!$AE1577)+1,20),FIND("/",MID(Sync!$AE1577,FIND("/",Sync!$AE1577)+1,20))+1,20))),"")))</f>
        <v/>
      </c>
      <c r="J1577">
        <f>IF($F1577="","",IF(OR($G1577="",$H1577="",$I1577="",$G1577&lt;1300,$G1577&gt;1500,$H1577&lt;1,$H1577&gt;12,$I1577&lt;1,$I1577&gt;31),"نامعتبر",RIGHT("0000"&amp;$G1577,4)&amp;"/"&amp;RIGHT("00"&amp;$H1577,2)&amp;"/"&amp;RIGHT("00"&amp;$I1577,2)))</f>
        <v/>
      </c>
      <c r="K1577">
        <f>IF(OR($F1577="",$J1577="",$J1577="نامعتبر"),"",LEFT($J1577,4)&amp;MID($J1577,6,2)&amp;RIGHT($J1577,2)&amp;$N1577&amp;"|"&amp;"2"&amp;RIGHT("00000"&amp;1572,5))</f>
        <v/>
      </c>
      <c r="L1577">
        <f>IF($K1577="","",COUNTIFS(LdgSellerA,$F1577,LdgKeyA,"&lt;"&amp;$K1577)+COUNTIFS(LdgSellerB,$F1577,LdgKeyB,"&lt;"&amp;$K1577)+1)</f>
        <v/>
      </c>
      <c r="M1577">
        <f>IF($L1577="","",$F1577&amp;"|"&amp;RIGHT("000000"&amp;$L1577,6))</f>
        <v/>
      </c>
      <c r="N1577">
        <f>IF($F1577="","",IF(Sync!$AF1577="","0000",IF(AND(ISNUMBER(Sync!$AF1577),Sync!$AF1577&gt;=0,Sync!$AF1577&lt;1),RIGHT("00"&amp;HOUR(Sync!$AF1577),2)&amp;RIGHT("00"&amp;MINUTE(Sync!$AF1577),2),IFERROR(RIGHT("00"&amp;VALUE(LEFT(Sync!$AF1577,FIND(":",Sync!$AF1577)-1)),2)&amp;RIGHT("00"&amp;VALUE(MID(Sync!$AF1577,FIND(":",Sync!$AF1577)+1,2)),2),"0000"))))</f>
        <v/>
      </c>
    </row>
    <row r="1578">
      <c r="A1578">
        <f>IF(OR(Calc!$E1582="",Calc!$E1582="نامعتبر",Calc!$G1582=""),"",Calc!$G1582)</f>
        <v/>
      </c>
      <c r="B1578">
        <f>IF($A1578="","",LEFT(Calc!$E1582,4)&amp;MID(Calc!$E1582,6,2)&amp;RIGHT(Calc!$E1582,2)&amp;Calc!$Q1582&amp;"|"&amp;"1"&amp;RIGHT("00000"&amp;1573,5))</f>
        <v/>
      </c>
      <c r="C1578">
        <f>IF($B1578="","",COUNTIFS(LdgSellerA,$A1578,LdgKeyA,"&lt;"&amp;$B1578)+COUNTIFS(LdgSellerB,$A1578,LdgKeyB,"&lt;"&amp;$B1578)+1)</f>
        <v/>
      </c>
      <c r="D1578">
        <f>IF($C1578="","",$A1578&amp;"|"&amp;RIGHT("000000"&amp;$C1578,6))</f>
        <v/>
      </c>
      <c r="F1578">
        <f>IF(Sync!$AH1578="","",IF(LEFT(UPPER(TRIM(Sync!$AH1578)),2)="SL",UPPER(TRIM(Sync!$AH1578)),""))</f>
        <v/>
      </c>
      <c r="G1578">
        <f>IF($F1578="","",IF(Sync!$AE1578="","",IF(ISNUMBER(Sync!$AE1578),IF(AND(Sync!$AE1578&gt;=10000101,Sync!$AE1578&lt;=99991231),INT(Sync!$AE1578/10000),""),IFERROR(VALUE(TRIM(LEFT(Sync!$AE1578,FIND("/",Sync!$AE1578)-1))),""))))</f>
        <v/>
      </c>
      <c r="H1578">
        <f>IF(OR($F1578="",$G1578=""),"",IF(ISNUMBER(Sync!$AE1578),INT(MOD(Sync!$AE1578,10000)/100),IFERROR(VALUE(TRIM(LEFT(MID(Sync!$AE1578,FIND("/",Sync!$AE1578)+1,20),FIND("/",MID(Sync!$AE1578,FIND("/",Sync!$AE1578)+1,20))-1))),"")))</f>
        <v/>
      </c>
      <c r="I1578">
        <f>IF(OR($F1578="",$G1578=""),"",IF(ISNUMBER(Sync!$AE1578),MOD(Sync!$AE1578,100),IFERROR(VALUE(TRIM(MID(MID(Sync!$AE1578,FIND("/",Sync!$AE1578)+1,20),FIND("/",MID(Sync!$AE1578,FIND("/",Sync!$AE1578)+1,20))+1,20))),"")))</f>
        <v/>
      </c>
      <c r="J1578">
        <f>IF($F1578="","",IF(OR($G1578="",$H1578="",$I1578="",$G1578&lt;1300,$G1578&gt;1500,$H1578&lt;1,$H1578&gt;12,$I1578&lt;1,$I1578&gt;31),"نامعتبر",RIGHT("0000"&amp;$G1578,4)&amp;"/"&amp;RIGHT("00"&amp;$H1578,2)&amp;"/"&amp;RIGHT("00"&amp;$I1578,2)))</f>
        <v/>
      </c>
      <c r="K1578">
        <f>IF(OR($F1578="",$J1578="",$J1578="نامعتبر"),"",LEFT($J1578,4)&amp;MID($J1578,6,2)&amp;RIGHT($J1578,2)&amp;$N1578&amp;"|"&amp;"2"&amp;RIGHT("00000"&amp;1573,5))</f>
        <v/>
      </c>
      <c r="L1578">
        <f>IF($K1578="","",COUNTIFS(LdgSellerA,$F1578,LdgKeyA,"&lt;"&amp;$K1578)+COUNTIFS(LdgSellerB,$F1578,LdgKeyB,"&lt;"&amp;$K1578)+1)</f>
        <v/>
      </c>
      <c r="M1578">
        <f>IF($L1578="","",$F1578&amp;"|"&amp;RIGHT("000000"&amp;$L1578,6))</f>
        <v/>
      </c>
      <c r="N1578">
        <f>IF($F1578="","",IF(Sync!$AF1578="","0000",IF(AND(ISNUMBER(Sync!$AF1578),Sync!$AF1578&gt;=0,Sync!$AF1578&lt;1),RIGHT("00"&amp;HOUR(Sync!$AF1578),2)&amp;RIGHT("00"&amp;MINUTE(Sync!$AF1578),2),IFERROR(RIGHT("00"&amp;VALUE(LEFT(Sync!$AF1578,FIND(":",Sync!$AF1578)-1)),2)&amp;RIGHT("00"&amp;VALUE(MID(Sync!$AF1578,FIND(":",Sync!$AF1578)+1,2)),2),"0000"))))</f>
        <v/>
      </c>
    </row>
    <row r="1579">
      <c r="A1579">
        <f>IF(OR(Calc!$E1583="",Calc!$E1583="نامعتبر",Calc!$G1583=""),"",Calc!$G1583)</f>
        <v/>
      </c>
      <c r="B1579">
        <f>IF($A1579="","",LEFT(Calc!$E1583,4)&amp;MID(Calc!$E1583,6,2)&amp;RIGHT(Calc!$E1583,2)&amp;Calc!$Q1583&amp;"|"&amp;"1"&amp;RIGHT("00000"&amp;1574,5))</f>
        <v/>
      </c>
      <c r="C1579">
        <f>IF($B1579="","",COUNTIFS(LdgSellerA,$A1579,LdgKeyA,"&lt;"&amp;$B1579)+COUNTIFS(LdgSellerB,$A1579,LdgKeyB,"&lt;"&amp;$B1579)+1)</f>
        <v/>
      </c>
      <c r="D1579">
        <f>IF($C1579="","",$A1579&amp;"|"&amp;RIGHT("000000"&amp;$C1579,6))</f>
        <v/>
      </c>
      <c r="F1579">
        <f>IF(Sync!$AH1579="","",IF(LEFT(UPPER(TRIM(Sync!$AH1579)),2)="SL",UPPER(TRIM(Sync!$AH1579)),""))</f>
        <v/>
      </c>
      <c r="G1579">
        <f>IF($F1579="","",IF(Sync!$AE1579="","",IF(ISNUMBER(Sync!$AE1579),IF(AND(Sync!$AE1579&gt;=10000101,Sync!$AE1579&lt;=99991231),INT(Sync!$AE1579/10000),""),IFERROR(VALUE(TRIM(LEFT(Sync!$AE1579,FIND("/",Sync!$AE1579)-1))),""))))</f>
        <v/>
      </c>
      <c r="H1579">
        <f>IF(OR($F1579="",$G1579=""),"",IF(ISNUMBER(Sync!$AE1579),INT(MOD(Sync!$AE1579,10000)/100),IFERROR(VALUE(TRIM(LEFT(MID(Sync!$AE1579,FIND("/",Sync!$AE1579)+1,20),FIND("/",MID(Sync!$AE1579,FIND("/",Sync!$AE1579)+1,20))-1))),"")))</f>
        <v/>
      </c>
      <c r="I1579">
        <f>IF(OR($F1579="",$G1579=""),"",IF(ISNUMBER(Sync!$AE1579),MOD(Sync!$AE1579,100),IFERROR(VALUE(TRIM(MID(MID(Sync!$AE1579,FIND("/",Sync!$AE1579)+1,20),FIND("/",MID(Sync!$AE1579,FIND("/",Sync!$AE1579)+1,20))+1,20))),"")))</f>
        <v/>
      </c>
      <c r="J1579">
        <f>IF($F1579="","",IF(OR($G1579="",$H1579="",$I1579="",$G1579&lt;1300,$G1579&gt;1500,$H1579&lt;1,$H1579&gt;12,$I1579&lt;1,$I1579&gt;31),"نامعتبر",RIGHT("0000"&amp;$G1579,4)&amp;"/"&amp;RIGHT("00"&amp;$H1579,2)&amp;"/"&amp;RIGHT("00"&amp;$I1579,2)))</f>
        <v/>
      </c>
      <c r="K1579">
        <f>IF(OR($F1579="",$J1579="",$J1579="نامعتبر"),"",LEFT($J1579,4)&amp;MID($J1579,6,2)&amp;RIGHT($J1579,2)&amp;$N1579&amp;"|"&amp;"2"&amp;RIGHT("00000"&amp;1574,5))</f>
        <v/>
      </c>
      <c r="L1579">
        <f>IF($K1579="","",COUNTIFS(LdgSellerA,$F1579,LdgKeyA,"&lt;"&amp;$K1579)+COUNTIFS(LdgSellerB,$F1579,LdgKeyB,"&lt;"&amp;$K1579)+1)</f>
        <v/>
      </c>
      <c r="M1579">
        <f>IF($L1579="","",$F1579&amp;"|"&amp;RIGHT("000000"&amp;$L1579,6))</f>
        <v/>
      </c>
      <c r="N1579">
        <f>IF($F1579="","",IF(Sync!$AF1579="","0000",IF(AND(ISNUMBER(Sync!$AF1579),Sync!$AF1579&gt;=0,Sync!$AF1579&lt;1),RIGHT("00"&amp;HOUR(Sync!$AF1579),2)&amp;RIGHT("00"&amp;MINUTE(Sync!$AF1579),2),IFERROR(RIGHT("00"&amp;VALUE(LEFT(Sync!$AF1579,FIND(":",Sync!$AF1579)-1)),2)&amp;RIGHT("00"&amp;VALUE(MID(Sync!$AF1579,FIND(":",Sync!$AF1579)+1,2)),2),"0000"))))</f>
        <v/>
      </c>
    </row>
    <row r="1580">
      <c r="A1580">
        <f>IF(OR(Calc!$E1584="",Calc!$E1584="نامعتبر",Calc!$G1584=""),"",Calc!$G1584)</f>
        <v/>
      </c>
      <c r="B1580">
        <f>IF($A1580="","",LEFT(Calc!$E1584,4)&amp;MID(Calc!$E1584,6,2)&amp;RIGHT(Calc!$E1584,2)&amp;Calc!$Q1584&amp;"|"&amp;"1"&amp;RIGHT("00000"&amp;1575,5))</f>
        <v/>
      </c>
      <c r="C1580">
        <f>IF($B1580="","",COUNTIFS(LdgSellerA,$A1580,LdgKeyA,"&lt;"&amp;$B1580)+COUNTIFS(LdgSellerB,$A1580,LdgKeyB,"&lt;"&amp;$B1580)+1)</f>
        <v/>
      </c>
      <c r="D1580">
        <f>IF($C1580="","",$A1580&amp;"|"&amp;RIGHT("000000"&amp;$C1580,6))</f>
        <v/>
      </c>
      <c r="F1580">
        <f>IF(Sync!$AH1580="","",IF(LEFT(UPPER(TRIM(Sync!$AH1580)),2)="SL",UPPER(TRIM(Sync!$AH1580)),""))</f>
        <v/>
      </c>
      <c r="G1580">
        <f>IF($F1580="","",IF(Sync!$AE1580="","",IF(ISNUMBER(Sync!$AE1580),IF(AND(Sync!$AE1580&gt;=10000101,Sync!$AE1580&lt;=99991231),INT(Sync!$AE1580/10000),""),IFERROR(VALUE(TRIM(LEFT(Sync!$AE1580,FIND("/",Sync!$AE1580)-1))),""))))</f>
        <v/>
      </c>
      <c r="H1580">
        <f>IF(OR($F1580="",$G1580=""),"",IF(ISNUMBER(Sync!$AE1580),INT(MOD(Sync!$AE1580,10000)/100),IFERROR(VALUE(TRIM(LEFT(MID(Sync!$AE1580,FIND("/",Sync!$AE1580)+1,20),FIND("/",MID(Sync!$AE1580,FIND("/",Sync!$AE1580)+1,20))-1))),"")))</f>
        <v/>
      </c>
      <c r="I1580">
        <f>IF(OR($F1580="",$G1580=""),"",IF(ISNUMBER(Sync!$AE1580),MOD(Sync!$AE1580,100),IFERROR(VALUE(TRIM(MID(MID(Sync!$AE1580,FIND("/",Sync!$AE1580)+1,20),FIND("/",MID(Sync!$AE1580,FIND("/",Sync!$AE1580)+1,20))+1,20))),"")))</f>
        <v/>
      </c>
      <c r="J1580">
        <f>IF($F1580="","",IF(OR($G1580="",$H1580="",$I1580="",$G1580&lt;1300,$G1580&gt;1500,$H1580&lt;1,$H1580&gt;12,$I1580&lt;1,$I1580&gt;31),"نامعتبر",RIGHT("0000"&amp;$G1580,4)&amp;"/"&amp;RIGHT("00"&amp;$H1580,2)&amp;"/"&amp;RIGHT("00"&amp;$I1580,2)))</f>
        <v/>
      </c>
      <c r="K1580">
        <f>IF(OR($F1580="",$J1580="",$J1580="نامعتبر"),"",LEFT($J1580,4)&amp;MID($J1580,6,2)&amp;RIGHT($J1580,2)&amp;$N1580&amp;"|"&amp;"2"&amp;RIGHT("00000"&amp;1575,5))</f>
        <v/>
      </c>
      <c r="L1580">
        <f>IF($K1580="","",COUNTIFS(LdgSellerA,$F1580,LdgKeyA,"&lt;"&amp;$K1580)+COUNTIFS(LdgSellerB,$F1580,LdgKeyB,"&lt;"&amp;$K1580)+1)</f>
        <v/>
      </c>
      <c r="M1580">
        <f>IF($L1580="","",$F1580&amp;"|"&amp;RIGHT("000000"&amp;$L1580,6))</f>
        <v/>
      </c>
      <c r="N1580">
        <f>IF($F1580="","",IF(Sync!$AF1580="","0000",IF(AND(ISNUMBER(Sync!$AF1580),Sync!$AF1580&gt;=0,Sync!$AF1580&lt;1),RIGHT("00"&amp;HOUR(Sync!$AF1580),2)&amp;RIGHT("00"&amp;MINUTE(Sync!$AF1580),2),IFERROR(RIGHT("00"&amp;VALUE(LEFT(Sync!$AF1580,FIND(":",Sync!$AF1580)-1)),2)&amp;RIGHT("00"&amp;VALUE(MID(Sync!$AF1580,FIND(":",Sync!$AF1580)+1,2)),2),"0000"))))</f>
        <v/>
      </c>
    </row>
    <row r="1581">
      <c r="A1581">
        <f>IF(OR(Calc!$E1585="",Calc!$E1585="نامعتبر",Calc!$G1585=""),"",Calc!$G1585)</f>
        <v/>
      </c>
      <c r="B1581">
        <f>IF($A1581="","",LEFT(Calc!$E1585,4)&amp;MID(Calc!$E1585,6,2)&amp;RIGHT(Calc!$E1585,2)&amp;Calc!$Q1585&amp;"|"&amp;"1"&amp;RIGHT("00000"&amp;1576,5))</f>
        <v/>
      </c>
      <c r="C1581">
        <f>IF($B1581="","",COUNTIFS(LdgSellerA,$A1581,LdgKeyA,"&lt;"&amp;$B1581)+COUNTIFS(LdgSellerB,$A1581,LdgKeyB,"&lt;"&amp;$B1581)+1)</f>
        <v/>
      </c>
      <c r="D1581">
        <f>IF($C1581="","",$A1581&amp;"|"&amp;RIGHT("000000"&amp;$C1581,6))</f>
        <v/>
      </c>
      <c r="F1581">
        <f>IF(Sync!$AH1581="","",IF(LEFT(UPPER(TRIM(Sync!$AH1581)),2)="SL",UPPER(TRIM(Sync!$AH1581)),""))</f>
        <v/>
      </c>
      <c r="G1581">
        <f>IF($F1581="","",IF(Sync!$AE1581="","",IF(ISNUMBER(Sync!$AE1581),IF(AND(Sync!$AE1581&gt;=10000101,Sync!$AE1581&lt;=99991231),INT(Sync!$AE1581/10000),""),IFERROR(VALUE(TRIM(LEFT(Sync!$AE1581,FIND("/",Sync!$AE1581)-1))),""))))</f>
        <v/>
      </c>
      <c r="H1581">
        <f>IF(OR($F1581="",$G1581=""),"",IF(ISNUMBER(Sync!$AE1581),INT(MOD(Sync!$AE1581,10000)/100),IFERROR(VALUE(TRIM(LEFT(MID(Sync!$AE1581,FIND("/",Sync!$AE1581)+1,20),FIND("/",MID(Sync!$AE1581,FIND("/",Sync!$AE1581)+1,20))-1))),"")))</f>
        <v/>
      </c>
      <c r="I1581">
        <f>IF(OR($F1581="",$G1581=""),"",IF(ISNUMBER(Sync!$AE1581),MOD(Sync!$AE1581,100),IFERROR(VALUE(TRIM(MID(MID(Sync!$AE1581,FIND("/",Sync!$AE1581)+1,20),FIND("/",MID(Sync!$AE1581,FIND("/",Sync!$AE1581)+1,20))+1,20))),"")))</f>
        <v/>
      </c>
      <c r="J1581">
        <f>IF($F1581="","",IF(OR($G1581="",$H1581="",$I1581="",$G1581&lt;1300,$G1581&gt;1500,$H1581&lt;1,$H1581&gt;12,$I1581&lt;1,$I1581&gt;31),"نامعتبر",RIGHT("0000"&amp;$G1581,4)&amp;"/"&amp;RIGHT("00"&amp;$H1581,2)&amp;"/"&amp;RIGHT("00"&amp;$I1581,2)))</f>
        <v/>
      </c>
      <c r="K1581">
        <f>IF(OR($F1581="",$J1581="",$J1581="نامعتبر"),"",LEFT($J1581,4)&amp;MID($J1581,6,2)&amp;RIGHT($J1581,2)&amp;$N1581&amp;"|"&amp;"2"&amp;RIGHT("00000"&amp;1576,5))</f>
        <v/>
      </c>
      <c r="L1581">
        <f>IF($K1581="","",COUNTIFS(LdgSellerA,$F1581,LdgKeyA,"&lt;"&amp;$K1581)+COUNTIFS(LdgSellerB,$F1581,LdgKeyB,"&lt;"&amp;$K1581)+1)</f>
        <v/>
      </c>
      <c r="M1581">
        <f>IF($L1581="","",$F1581&amp;"|"&amp;RIGHT("000000"&amp;$L1581,6))</f>
        <v/>
      </c>
      <c r="N1581">
        <f>IF($F1581="","",IF(Sync!$AF1581="","0000",IF(AND(ISNUMBER(Sync!$AF1581),Sync!$AF1581&gt;=0,Sync!$AF1581&lt;1),RIGHT("00"&amp;HOUR(Sync!$AF1581),2)&amp;RIGHT("00"&amp;MINUTE(Sync!$AF1581),2),IFERROR(RIGHT("00"&amp;VALUE(LEFT(Sync!$AF1581,FIND(":",Sync!$AF1581)-1)),2)&amp;RIGHT("00"&amp;VALUE(MID(Sync!$AF1581,FIND(":",Sync!$AF1581)+1,2)),2),"0000"))))</f>
        <v/>
      </c>
    </row>
    <row r="1582">
      <c r="A1582">
        <f>IF(OR(Calc!$E1586="",Calc!$E1586="نامعتبر",Calc!$G1586=""),"",Calc!$G1586)</f>
        <v/>
      </c>
      <c r="B1582">
        <f>IF($A1582="","",LEFT(Calc!$E1586,4)&amp;MID(Calc!$E1586,6,2)&amp;RIGHT(Calc!$E1586,2)&amp;Calc!$Q1586&amp;"|"&amp;"1"&amp;RIGHT("00000"&amp;1577,5))</f>
        <v/>
      </c>
      <c r="C1582">
        <f>IF($B1582="","",COUNTIFS(LdgSellerA,$A1582,LdgKeyA,"&lt;"&amp;$B1582)+COUNTIFS(LdgSellerB,$A1582,LdgKeyB,"&lt;"&amp;$B1582)+1)</f>
        <v/>
      </c>
      <c r="D1582">
        <f>IF($C1582="","",$A1582&amp;"|"&amp;RIGHT("000000"&amp;$C1582,6))</f>
        <v/>
      </c>
      <c r="F1582">
        <f>IF(Sync!$AH1582="","",IF(LEFT(UPPER(TRIM(Sync!$AH1582)),2)="SL",UPPER(TRIM(Sync!$AH1582)),""))</f>
        <v/>
      </c>
      <c r="G1582">
        <f>IF($F1582="","",IF(Sync!$AE1582="","",IF(ISNUMBER(Sync!$AE1582),IF(AND(Sync!$AE1582&gt;=10000101,Sync!$AE1582&lt;=99991231),INT(Sync!$AE1582/10000),""),IFERROR(VALUE(TRIM(LEFT(Sync!$AE1582,FIND("/",Sync!$AE1582)-1))),""))))</f>
        <v/>
      </c>
      <c r="H1582">
        <f>IF(OR($F1582="",$G1582=""),"",IF(ISNUMBER(Sync!$AE1582),INT(MOD(Sync!$AE1582,10000)/100),IFERROR(VALUE(TRIM(LEFT(MID(Sync!$AE1582,FIND("/",Sync!$AE1582)+1,20),FIND("/",MID(Sync!$AE1582,FIND("/",Sync!$AE1582)+1,20))-1))),"")))</f>
        <v/>
      </c>
      <c r="I1582">
        <f>IF(OR($F1582="",$G1582=""),"",IF(ISNUMBER(Sync!$AE1582),MOD(Sync!$AE1582,100),IFERROR(VALUE(TRIM(MID(MID(Sync!$AE1582,FIND("/",Sync!$AE1582)+1,20),FIND("/",MID(Sync!$AE1582,FIND("/",Sync!$AE1582)+1,20))+1,20))),"")))</f>
        <v/>
      </c>
      <c r="J1582">
        <f>IF($F1582="","",IF(OR($G1582="",$H1582="",$I1582="",$G1582&lt;1300,$G1582&gt;1500,$H1582&lt;1,$H1582&gt;12,$I1582&lt;1,$I1582&gt;31),"نامعتبر",RIGHT("0000"&amp;$G1582,4)&amp;"/"&amp;RIGHT("00"&amp;$H1582,2)&amp;"/"&amp;RIGHT("00"&amp;$I1582,2)))</f>
        <v/>
      </c>
      <c r="K1582">
        <f>IF(OR($F1582="",$J1582="",$J1582="نامعتبر"),"",LEFT($J1582,4)&amp;MID($J1582,6,2)&amp;RIGHT($J1582,2)&amp;$N1582&amp;"|"&amp;"2"&amp;RIGHT("00000"&amp;1577,5))</f>
        <v/>
      </c>
      <c r="L1582">
        <f>IF($K1582="","",COUNTIFS(LdgSellerA,$F1582,LdgKeyA,"&lt;"&amp;$K1582)+COUNTIFS(LdgSellerB,$F1582,LdgKeyB,"&lt;"&amp;$K1582)+1)</f>
        <v/>
      </c>
      <c r="M1582">
        <f>IF($L1582="","",$F1582&amp;"|"&amp;RIGHT("000000"&amp;$L1582,6))</f>
        <v/>
      </c>
      <c r="N1582">
        <f>IF($F1582="","",IF(Sync!$AF1582="","0000",IF(AND(ISNUMBER(Sync!$AF1582),Sync!$AF1582&gt;=0,Sync!$AF1582&lt;1),RIGHT("00"&amp;HOUR(Sync!$AF1582),2)&amp;RIGHT("00"&amp;MINUTE(Sync!$AF1582),2),IFERROR(RIGHT("00"&amp;VALUE(LEFT(Sync!$AF1582,FIND(":",Sync!$AF1582)-1)),2)&amp;RIGHT("00"&amp;VALUE(MID(Sync!$AF1582,FIND(":",Sync!$AF1582)+1,2)),2),"0000"))))</f>
        <v/>
      </c>
    </row>
    <row r="1583">
      <c r="A1583">
        <f>IF(OR(Calc!$E1587="",Calc!$E1587="نامعتبر",Calc!$G1587=""),"",Calc!$G1587)</f>
        <v/>
      </c>
      <c r="B1583">
        <f>IF($A1583="","",LEFT(Calc!$E1587,4)&amp;MID(Calc!$E1587,6,2)&amp;RIGHT(Calc!$E1587,2)&amp;Calc!$Q1587&amp;"|"&amp;"1"&amp;RIGHT("00000"&amp;1578,5))</f>
        <v/>
      </c>
      <c r="C1583">
        <f>IF($B1583="","",COUNTIFS(LdgSellerA,$A1583,LdgKeyA,"&lt;"&amp;$B1583)+COUNTIFS(LdgSellerB,$A1583,LdgKeyB,"&lt;"&amp;$B1583)+1)</f>
        <v/>
      </c>
      <c r="D1583">
        <f>IF($C1583="","",$A1583&amp;"|"&amp;RIGHT("000000"&amp;$C1583,6))</f>
        <v/>
      </c>
      <c r="F1583">
        <f>IF(Sync!$AH1583="","",IF(LEFT(UPPER(TRIM(Sync!$AH1583)),2)="SL",UPPER(TRIM(Sync!$AH1583)),""))</f>
        <v/>
      </c>
      <c r="G1583">
        <f>IF($F1583="","",IF(Sync!$AE1583="","",IF(ISNUMBER(Sync!$AE1583),IF(AND(Sync!$AE1583&gt;=10000101,Sync!$AE1583&lt;=99991231),INT(Sync!$AE1583/10000),""),IFERROR(VALUE(TRIM(LEFT(Sync!$AE1583,FIND("/",Sync!$AE1583)-1))),""))))</f>
        <v/>
      </c>
      <c r="H1583">
        <f>IF(OR($F1583="",$G1583=""),"",IF(ISNUMBER(Sync!$AE1583),INT(MOD(Sync!$AE1583,10000)/100),IFERROR(VALUE(TRIM(LEFT(MID(Sync!$AE1583,FIND("/",Sync!$AE1583)+1,20),FIND("/",MID(Sync!$AE1583,FIND("/",Sync!$AE1583)+1,20))-1))),"")))</f>
        <v/>
      </c>
      <c r="I1583">
        <f>IF(OR($F1583="",$G1583=""),"",IF(ISNUMBER(Sync!$AE1583),MOD(Sync!$AE1583,100),IFERROR(VALUE(TRIM(MID(MID(Sync!$AE1583,FIND("/",Sync!$AE1583)+1,20),FIND("/",MID(Sync!$AE1583,FIND("/",Sync!$AE1583)+1,20))+1,20))),"")))</f>
        <v/>
      </c>
      <c r="J1583">
        <f>IF($F1583="","",IF(OR($G1583="",$H1583="",$I1583="",$G1583&lt;1300,$G1583&gt;1500,$H1583&lt;1,$H1583&gt;12,$I1583&lt;1,$I1583&gt;31),"نامعتبر",RIGHT("0000"&amp;$G1583,4)&amp;"/"&amp;RIGHT("00"&amp;$H1583,2)&amp;"/"&amp;RIGHT("00"&amp;$I1583,2)))</f>
        <v/>
      </c>
      <c r="K1583">
        <f>IF(OR($F1583="",$J1583="",$J1583="نامعتبر"),"",LEFT($J1583,4)&amp;MID($J1583,6,2)&amp;RIGHT($J1583,2)&amp;$N1583&amp;"|"&amp;"2"&amp;RIGHT("00000"&amp;1578,5))</f>
        <v/>
      </c>
      <c r="L1583">
        <f>IF($K1583="","",COUNTIFS(LdgSellerA,$F1583,LdgKeyA,"&lt;"&amp;$K1583)+COUNTIFS(LdgSellerB,$F1583,LdgKeyB,"&lt;"&amp;$K1583)+1)</f>
        <v/>
      </c>
      <c r="M1583">
        <f>IF($L1583="","",$F1583&amp;"|"&amp;RIGHT("000000"&amp;$L1583,6))</f>
        <v/>
      </c>
      <c r="N1583">
        <f>IF($F1583="","",IF(Sync!$AF1583="","0000",IF(AND(ISNUMBER(Sync!$AF1583),Sync!$AF1583&gt;=0,Sync!$AF1583&lt;1),RIGHT("00"&amp;HOUR(Sync!$AF1583),2)&amp;RIGHT("00"&amp;MINUTE(Sync!$AF1583),2),IFERROR(RIGHT("00"&amp;VALUE(LEFT(Sync!$AF1583,FIND(":",Sync!$AF1583)-1)),2)&amp;RIGHT("00"&amp;VALUE(MID(Sync!$AF1583,FIND(":",Sync!$AF1583)+1,2)),2),"0000"))))</f>
        <v/>
      </c>
    </row>
    <row r="1584">
      <c r="A1584">
        <f>IF(OR(Calc!$E1588="",Calc!$E1588="نامعتبر",Calc!$G1588=""),"",Calc!$G1588)</f>
        <v/>
      </c>
      <c r="B1584">
        <f>IF($A1584="","",LEFT(Calc!$E1588,4)&amp;MID(Calc!$E1588,6,2)&amp;RIGHT(Calc!$E1588,2)&amp;Calc!$Q1588&amp;"|"&amp;"1"&amp;RIGHT("00000"&amp;1579,5))</f>
        <v/>
      </c>
      <c r="C1584">
        <f>IF($B1584="","",COUNTIFS(LdgSellerA,$A1584,LdgKeyA,"&lt;"&amp;$B1584)+COUNTIFS(LdgSellerB,$A1584,LdgKeyB,"&lt;"&amp;$B1584)+1)</f>
        <v/>
      </c>
      <c r="D1584">
        <f>IF($C1584="","",$A1584&amp;"|"&amp;RIGHT("000000"&amp;$C1584,6))</f>
        <v/>
      </c>
      <c r="F1584">
        <f>IF(Sync!$AH1584="","",IF(LEFT(UPPER(TRIM(Sync!$AH1584)),2)="SL",UPPER(TRIM(Sync!$AH1584)),""))</f>
        <v/>
      </c>
      <c r="G1584">
        <f>IF($F1584="","",IF(Sync!$AE1584="","",IF(ISNUMBER(Sync!$AE1584),IF(AND(Sync!$AE1584&gt;=10000101,Sync!$AE1584&lt;=99991231),INT(Sync!$AE1584/10000),""),IFERROR(VALUE(TRIM(LEFT(Sync!$AE1584,FIND("/",Sync!$AE1584)-1))),""))))</f>
        <v/>
      </c>
      <c r="H1584">
        <f>IF(OR($F1584="",$G1584=""),"",IF(ISNUMBER(Sync!$AE1584),INT(MOD(Sync!$AE1584,10000)/100),IFERROR(VALUE(TRIM(LEFT(MID(Sync!$AE1584,FIND("/",Sync!$AE1584)+1,20),FIND("/",MID(Sync!$AE1584,FIND("/",Sync!$AE1584)+1,20))-1))),"")))</f>
        <v/>
      </c>
      <c r="I1584">
        <f>IF(OR($F1584="",$G1584=""),"",IF(ISNUMBER(Sync!$AE1584),MOD(Sync!$AE1584,100),IFERROR(VALUE(TRIM(MID(MID(Sync!$AE1584,FIND("/",Sync!$AE1584)+1,20),FIND("/",MID(Sync!$AE1584,FIND("/",Sync!$AE1584)+1,20))+1,20))),"")))</f>
        <v/>
      </c>
      <c r="J1584">
        <f>IF($F1584="","",IF(OR($G1584="",$H1584="",$I1584="",$G1584&lt;1300,$G1584&gt;1500,$H1584&lt;1,$H1584&gt;12,$I1584&lt;1,$I1584&gt;31),"نامعتبر",RIGHT("0000"&amp;$G1584,4)&amp;"/"&amp;RIGHT("00"&amp;$H1584,2)&amp;"/"&amp;RIGHT("00"&amp;$I1584,2)))</f>
        <v/>
      </c>
      <c r="K1584">
        <f>IF(OR($F1584="",$J1584="",$J1584="نامعتبر"),"",LEFT($J1584,4)&amp;MID($J1584,6,2)&amp;RIGHT($J1584,2)&amp;$N1584&amp;"|"&amp;"2"&amp;RIGHT("00000"&amp;1579,5))</f>
        <v/>
      </c>
      <c r="L1584">
        <f>IF($K1584="","",COUNTIFS(LdgSellerA,$F1584,LdgKeyA,"&lt;"&amp;$K1584)+COUNTIFS(LdgSellerB,$F1584,LdgKeyB,"&lt;"&amp;$K1584)+1)</f>
        <v/>
      </c>
      <c r="M1584">
        <f>IF($L1584="","",$F1584&amp;"|"&amp;RIGHT("000000"&amp;$L1584,6))</f>
        <v/>
      </c>
      <c r="N1584">
        <f>IF($F1584="","",IF(Sync!$AF1584="","0000",IF(AND(ISNUMBER(Sync!$AF1584),Sync!$AF1584&gt;=0,Sync!$AF1584&lt;1),RIGHT("00"&amp;HOUR(Sync!$AF1584),2)&amp;RIGHT("00"&amp;MINUTE(Sync!$AF1584),2),IFERROR(RIGHT("00"&amp;VALUE(LEFT(Sync!$AF1584,FIND(":",Sync!$AF1584)-1)),2)&amp;RIGHT("00"&amp;VALUE(MID(Sync!$AF1584,FIND(":",Sync!$AF1584)+1,2)),2),"0000"))))</f>
        <v/>
      </c>
    </row>
    <row r="1585">
      <c r="A1585">
        <f>IF(OR(Calc!$E1589="",Calc!$E1589="نامعتبر",Calc!$G1589=""),"",Calc!$G1589)</f>
        <v/>
      </c>
      <c r="B1585">
        <f>IF($A1585="","",LEFT(Calc!$E1589,4)&amp;MID(Calc!$E1589,6,2)&amp;RIGHT(Calc!$E1589,2)&amp;Calc!$Q1589&amp;"|"&amp;"1"&amp;RIGHT("00000"&amp;1580,5))</f>
        <v/>
      </c>
      <c r="C1585">
        <f>IF($B1585="","",COUNTIFS(LdgSellerA,$A1585,LdgKeyA,"&lt;"&amp;$B1585)+COUNTIFS(LdgSellerB,$A1585,LdgKeyB,"&lt;"&amp;$B1585)+1)</f>
        <v/>
      </c>
      <c r="D1585">
        <f>IF($C1585="","",$A1585&amp;"|"&amp;RIGHT("000000"&amp;$C1585,6))</f>
        <v/>
      </c>
      <c r="F1585">
        <f>IF(Sync!$AH1585="","",IF(LEFT(UPPER(TRIM(Sync!$AH1585)),2)="SL",UPPER(TRIM(Sync!$AH1585)),""))</f>
        <v/>
      </c>
      <c r="G1585">
        <f>IF($F1585="","",IF(Sync!$AE1585="","",IF(ISNUMBER(Sync!$AE1585),IF(AND(Sync!$AE1585&gt;=10000101,Sync!$AE1585&lt;=99991231),INT(Sync!$AE1585/10000),""),IFERROR(VALUE(TRIM(LEFT(Sync!$AE1585,FIND("/",Sync!$AE1585)-1))),""))))</f>
        <v/>
      </c>
      <c r="H1585">
        <f>IF(OR($F1585="",$G1585=""),"",IF(ISNUMBER(Sync!$AE1585),INT(MOD(Sync!$AE1585,10000)/100),IFERROR(VALUE(TRIM(LEFT(MID(Sync!$AE1585,FIND("/",Sync!$AE1585)+1,20),FIND("/",MID(Sync!$AE1585,FIND("/",Sync!$AE1585)+1,20))-1))),"")))</f>
        <v/>
      </c>
      <c r="I1585">
        <f>IF(OR($F1585="",$G1585=""),"",IF(ISNUMBER(Sync!$AE1585),MOD(Sync!$AE1585,100),IFERROR(VALUE(TRIM(MID(MID(Sync!$AE1585,FIND("/",Sync!$AE1585)+1,20),FIND("/",MID(Sync!$AE1585,FIND("/",Sync!$AE1585)+1,20))+1,20))),"")))</f>
        <v/>
      </c>
      <c r="J1585">
        <f>IF($F1585="","",IF(OR($G1585="",$H1585="",$I1585="",$G1585&lt;1300,$G1585&gt;1500,$H1585&lt;1,$H1585&gt;12,$I1585&lt;1,$I1585&gt;31),"نامعتبر",RIGHT("0000"&amp;$G1585,4)&amp;"/"&amp;RIGHT("00"&amp;$H1585,2)&amp;"/"&amp;RIGHT("00"&amp;$I1585,2)))</f>
        <v/>
      </c>
      <c r="K1585">
        <f>IF(OR($F1585="",$J1585="",$J1585="نامعتبر"),"",LEFT($J1585,4)&amp;MID($J1585,6,2)&amp;RIGHT($J1585,2)&amp;$N1585&amp;"|"&amp;"2"&amp;RIGHT("00000"&amp;1580,5))</f>
        <v/>
      </c>
      <c r="L1585">
        <f>IF($K1585="","",COUNTIFS(LdgSellerA,$F1585,LdgKeyA,"&lt;"&amp;$K1585)+COUNTIFS(LdgSellerB,$F1585,LdgKeyB,"&lt;"&amp;$K1585)+1)</f>
        <v/>
      </c>
      <c r="M1585">
        <f>IF($L1585="","",$F1585&amp;"|"&amp;RIGHT("000000"&amp;$L1585,6))</f>
        <v/>
      </c>
      <c r="N1585">
        <f>IF($F1585="","",IF(Sync!$AF1585="","0000",IF(AND(ISNUMBER(Sync!$AF1585),Sync!$AF1585&gt;=0,Sync!$AF1585&lt;1),RIGHT("00"&amp;HOUR(Sync!$AF1585),2)&amp;RIGHT("00"&amp;MINUTE(Sync!$AF1585),2),IFERROR(RIGHT("00"&amp;VALUE(LEFT(Sync!$AF1585,FIND(":",Sync!$AF1585)-1)),2)&amp;RIGHT("00"&amp;VALUE(MID(Sync!$AF1585,FIND(":",Sync!$AF1585)+1,2)),2),"0000"))))</f>
        <v/>
      </c>
    </row>
    <row r="1586">
      <c r="A1586">
        <f>IF(OR(Calc!$E1590="",Calc!$E1590="نامعتبر",Calc!$G1590=""),"",Calc!$G1590)</f>
        <v/>
      </c>
      <c r="B1586">
        <f>IF($A1586="","",LEFT(Calc!$E1590,4)&amp;MID(Calc!$E1590,6,2)&amp;RIGHT(Calc!$E1590,2)&amp;Calc!$Q1590&amp;"|"&amp;"1"&amp;RIGHT("00000"&amp;1581,5))</f>
        <v/>
      </c>
      <c r="C1586">
        <f>IF($B1586="","",COUNTIFS(LdgSellerA,$A1586,LdgKeyA,"&lt;"&amp;$B1586)+COUNTIFS(LdgSellerB,$A1586,LdgKeyB,"&lt;"&amp;$B1586)+1)</f>
        <v/>
      </c>
      <c r="D1586">
        <f>IF($C1586="","",$A1586&amp;"|"&amp;RIGHT("000000"&amp;$C1586,6))</f>
        <v/>
      </c>
      <c r="F1586">
        <f>IF(Sync!$AH1586="","",IF(LEFT(UPPER(TRIM(Sync!$AH1586)),2)="SL",UPPER(TRIM(Sync!$AH1586)),""))</f>
        <v/>
      </c>
      <c r="G1586">
        <f>IF($F1586="","",IF(Sync!$AE1586="","",IF(ISNUMBER(Sync!$AE1586),IF(AND(Sync!$AE1586&gt;=10000101,Sync!$AE1586&lt;=99991231),INT(Sync!$AE1586/10000),""),IFERROR(VALUE(TRIM(LEFT(Sync!$AE1586,FIND("/",Sync!$AE1586)-1))),""))))</f>
        <v/>
      </c>
      <c r="H1586">
        <f>IF(OR($F1586="",$G1586=""),"",IF(ISNUMBER(Sync!$AE1586),INT(MOD(Sync!$AE1586,10000)/100),IFERROR(VALUE(TRIM(LEFT(MID(Sync!$AE1586,FIND("/",Sync!$AE1586)+1,20),FIND("/",MID(Sync!$AE1586,FIND("/",Sync!$AE1586)+1,20))-1))),"")))</f>
        <v/>
      </c>
      <c r="I1586">
        <f>IF(OR($F1586="",$G1586=""),"",IF(ISNUMBER(Sync!$AE1586),MOD(Sync!$AE1586,100),IFERROR(VALUE(TRIM(MID(MID(Sync!$AE1586,FIND("/",Sync!$AE1586)+1,20),FIND("/",MID(Sync!$AE1586,FIND("/",Sync!$AE1586)+1,20))+1,20))),"")))</f>
        <v/>
      </c>
      <c r="J1586">
        <f>IF($F1586="","",IF(OR($G1586="",$H1586="",$I1586="",$G1586&lt;1300,$G1586&gt;1500,$H1586&lt;1,$H1586&gt;12,$I1586&lt;1,$I1586&gt;31),"نامعتبر",RIGHT("0000"&amp;$G1586,4)&amp;"/"&amp;RIGHT("00"&amp;$H1586,2)&amp;"/"&amp;RIGHT("00"&amp;$I1586,2)))</f>
        <v/>
      </c>
      <c r="K1586">
        <f>IF(OR($F1586="",$J1586="",$J1586="نامعتبر"),"",LEFT($J1586,4)&amp;MID($J1586,6,2)&amp;RIGHT($J1586,2)&amp;$N1586&amp;"|"&amp;"2"&amp;RIGHT("00000"&amp;1581,5))</f>
        <v/>
      </c>
      <c r="L1586">
        <f>IF($K1586="","",COUNTIFS(LdgSellerA,$F1586,LdgKeyA,"&lt;"&amp;$K1586)+COUNTIFS(LdgSellerB,$F1586,LdgKeyB,"&lt;"&amp;$K1586)+1)</f>
        <v/>
      </c>
      <c r="M1586">
        <f>IF($L1586="","",$F1586&amp;"|"&amp;RIGHT("000000"&amp;$L1586,6))</f>
        <v/>
      </c>
      <c r="N1586">
        <f>IF($F1586="","",IF(Sync!$AF1586="","0000",IF(AND(ISNUMBER(Sync!$AF1586),Sync!$AF1586&gt;=0,Sync!$AF1586&lt;1),RIGHT("00"&amp;HOUR(Sync!$AF1586),2)&amp;RIGHT("00"&amp;MINUTE(Sync!$AF1586),2),IFERROR(RIGHT("00"&amp;VALUE(LEFT(Sync!$AF1586,FIND(":",Sync!$AF1586)-1)),2)&amp;RIGHT("00"&amp;VALUE(MID(Sync!$AF1586,FIND(":",Sync!$AF1586)+1,2)),2),"0000"))))</f>
        <v/>
      </c>
    </row>
    <row r="1587">
      <c r="A1587">
        <f>IF(OR(Calc!$E1591="",Calc!$E1591="نامعتبر",Calc!$G1591=""),"",Calc!$G1591)</f>
        <v/>
      </c>
      <c r="B1587">
        <f>IF($A1587="","",LEFT(Calc!$E1591,4)&amp;MID(Calc!$E1591,6,2)&amp;RIGHT(Calc!$E1591,2)&amp;Calc!$Q1591&amp;"|"&amp;"1"&amp;RIGHT("00000"&amp;1582,5))</f>
        <v/>
      </c>
      <c r="C1587">
        <f>IF($B1587="","",COUNTIFS(LdgSellerA,$A1587,LdgKeyA,"&lt;"&amp;$B1587)+COUNTIFS(LdgSellerB,$A1587,LdgKeyB,"&lt;"&amp;$B1587)+1)</f>
        <v/>
      </c>
      <c r="D1587">
        <f>IF($C1587="","",$A1587&amp;"|"&amp;RIGHT("000000"&amp;$C1587,6))</f>
        <v/>
      </c>
      <c r="F1587">
        <f>IF(Sync!$AH1587="","",IF(LEFT(UPPER(TRIM(Sync!$AH1587)),2)="SL",UPPER(TRIM(Sync!$AH1587)),""))</f>
        <v/>
      </c>
      <c r="G1587">
        <f>IF($F1587="","",IF(Sync!$AE1587="","",IF(ISNUMBER(Sync!$AE1587),IF(AND(Sync!$AE1587&gt;=10000101,Sync!$AE1587&lt;=99991231),INT(Sync!$AE1587/10000),""),IFERROR(VALUE(TRIM(LEFT(Sync!$AE1587,FIND("/",Sync!$AE1587)-1))),""))))</f>
        <v/>
      </c>
      <c r="H1587">
        <f>IF(OR($F1587="",$G1587=""),"",IF(ISNUMBER(Sync!$AE1587),INT(MOD(Sync!$AE1587,10000)/100),IFERROR(VALUE(TRIM(LEFT(MID(Sync!$AE1587,FIND("/",Sync!$AE1587)+1,20),FIND("/",MID(Sync!$AE1587,FIND("/",Sync!$AE1587)+1,20))-1))),"")))</f>
        <v/>
      </c>
      <c r="I1587">
        <f>IF(OR($F1587="",$G1587=""),"",IF(ISNUMBER(Sync!$AE1587),MOD(Sync!$AE1587,100),IFERROR(VALUE(TRIM(MID(MID(Sync!$AE1587,FIND("/",Sync!$AE1587)+1,20),FIND("/",MID(Sync!$AE1587,FIND("/",Sync!$AE1587)+1,20))+1,20))),"")))</f>
        <v/>
      </c>
      <c r="J1587">
        <f>IF($F1587="","",IF(OR($G1587="",$H1587="",$I1587="",$G1587&lt;1300,$G1587&gt;1500,$H1587&lt;1,$H1587&gt;12,$I1587&lt;1,$I1587&gt;31),"نامعتبر",RIGHT("0000"&amp;$G1587,4)&amp;"/"&amp;RIGHT("00"&amp;$H1587,2)&amp;"/"&amp;RIGHT("00"&amp;$I1587,2)))</f>
        <v/>
      </c>
      <c r="K1587">
        <f>IF(OR($F1587="",$J1587="",$J1587="نامعتبر"),"",LEFT($J1587,4)&amp;MID($J1587,6,2)&amp;RIGHT($J1587,2)&amp;$N1587&amp;"|"&amp;"2"&amp;RIGHT("00000"&amp;1582,5))</f>
        <v/>
      </c>
      <c r="L1587">
        <f>IF($K1587="","",COUNTIFS(LdgSellerA,$F1587,LdgKeyA,"&lt;"&amp;$K1587)+COUNTIFS(LdgSellerB,$F1587,LdgKeyB,"&lt;"&amp;$K1587)+1)</f>
        <v/>
      </c>
      <c r="M1587">
        <f>IF($L1587="","",$F1587&amp;"|"&amp;RIGHT("000000"&amp;$L1587,6))</f>
        <v/>
      </c>
      <c r="N1587">
        <f>IF($F1587="","",IF(Sync!$AF1587="","0000",IF(AND(ISNUMBER(Sync!$AF1587),Sync!$AF1587&gt;=0,Sync!$AF1587&lt;1),RIGHT("00"&amp;HOUR(Sync!$AF1587),2)&amp;RIGHT("00"&amp;MINUTE(Sync!$AF1587),2),IFERROR(RIGHT("00"&amp;VALUE(LEFT(Sync!$AF1587,FIND(":",Sync!$AF1587)-1)),2)&amp;RIGHT("00"&amp;VALUE(MID(Sync!$AF1587,FIND(":",Sync!$AF1587)+1,2)),2),"0000"))))</f>
        <v/>
      </c>
    </row>
    <row r="1588">
      <c r="A1588">
        <f>IF(OR(Calc!$E1592="",Calc!$E1592="نامعتبر",Calc!$G1592=""),"",Calc!$G1592)</f>
        <v/>
      </c>
      <c r="B1588">
        <f>IF($A1588="","",LEFT(Calc!$E1592,4)&amp;MID(Calc!$E1592,6,2)&amp;RIGHT(Calc!$E1592,2)&amp;Calc!$Q1592&amp;"|"&amp;"1"&amp;RIGHT("00000"&amp;1583,5))</f>
        <v/>
      </c>
      <c r="C1588">
        <f>IF($B1588="","",COUNTIFS(LdgSellerA,$A1588,LdgKeyA,"&lt;"&amp;$B1588)+COUNTIFS(LdgSellerB,$A1588,LdgKeyB,"&lt;"&amp;$B1588)+1)</f>
        <v/>
      </c>
      <c r="D1588">
        <f>IF($C1588="","",$A1588&amp;"|"&amp;RIGHT("000000"&amp;$C1588,6))</f>
        <v/>
      </c>
      <c r="F1588">
        <f>IF(Sync!$AH1588="","",IF(LEFT(UPPER(TRIM(Sync!$AH1588)),2)="SL",UPPER(TRIM(Sync!$AH1588)),""))</f>
        <v/>
      </c>
      <c r="G1588">
        <f>IF($F1588="","",IF(Sync!$AE1588="","",IF(ISNUMBER(Sync!$AE1588),IF(AND(Sync!$AE1588&gt;=10000101,Sync!$AE1588&lt;=99991231),INT(Sync!$AE1588/10000),""),IFERROR(VALUE(TRIM(LEFT(Sync!$AE1588,FIND("/",Sync!$AE1588)-1))),""))))</f>
        <v/>
      </c>
      <c r="H1588">
        <f>IF(OR($F1588="",$G1588=""),"",IF(ISNUMBER(Sync!$AE1588),INT(MOD(Sync!$AE1588,10000)/100),IFERROR(VALUE(TRIM(LEFT(MID(Sync!$AE1588,FIND("/",Sync!$AE1588)+1,20),FIND("/",MID(Sync!$AE1588,FIND("/",Sync!$AE1588)+1,20))-1))),"")))</f>
        <v/>
      </c>
      <c r="I1588">
        <f>IF(OR($F1588="",$G1588=""),"",IF(ISNUMBER(Sync!$AE1588),MOD(Sync!$AE1588,100),IFERROR(VALUE(TRIM(MID(MID(Sync!$AE1588,FIND("/",Sync!$AE1588)+1,20),FIND("/",MID(Sync!$AE1588,FIND("/",Sync!$AE1588)+1,20))+1,20))),"")))</f>
        <v/>
      </c>
      <c r="J1588">
        <f>IF($F1588="","",IF(OR($G1588="",$H1588="",$I1588="",$G1588&lt;1300,$G1588&gt;1500,$H1588&lt;1,$H1588&gt;12,$I1588&lt;1,$I1588&gt;31),"نامعتبر",RIGHT("0000"&amp;$G1588,4)&amp;"/"&amp;RIGHT("00"&amp;$H1588,2)&amp;"/"&amp;RIGHT("00"&amp;$I1588,2)))</f>
        <v/>
      </c>
      <c r="K1588">
        <f>IF(OR($F1588="",$J1588="",$J1588="نامعتبر"),"",LEFT($J1588,4)&amp;MID($J1588,6,2)&amp;RIGHT($J1588,2)&amp;$N1588&amp;"|"&amp;"2"&amp;RIGHT("00000"&amp;1583,5))</f>
        <v/>
      </c>
      <c r="L1588">
        <f>IF($K1588="","",COUNTIFS(LdgSellerA,$F1588,LdgKeyA,"&lt;"&amp;$K1588)+COUNTIFS(LdgSellerB,$F1588,LdgKeyB,"&lt;"&amp;$K1588)+1)</f>
        <v/>
      </c>
      <c r="M1588">
        <f>IF($L1588="","",$F1588&amp;"|"&amp;RIGHT("000000"&amp;$L1588,6))</f>
        <v/>
      </c>
      <c r="N1588">
        <f>IF($F1588="","",IF(Sync!$AF1588="","0000",IF(AND(ISNUMBER(Sync!$AF1588),Sync!$AF1588&gt;=0,Sync!$AF1588&lt;1),RIGHT("00"&amp;HOUR(Sync!$AF1588),2)&amp;RIGHT("00"&amp;MINUTE(Sync!$AF1588),2),IFERROR(RIGHT("00"&amp;VALUE(LEFT(Sync!$AF1588,FIND(":",Sync!$AF1588)-1)),2)&amp;RIGHT("00"&amp;VALUE(MID(Sync!$AF1588,FIND(":",Sync!$AF1588)+1,2)),2),"0000"))))</f>
        <v/>
      </c>
    </row>
    <row r="1589">
      <c r="A1589">
        <f>IF(OR(Calc!$E1593="",Calc!$E1593="نامعتبر",Calc!$G1593=""),"",Calc!$G1593)</f>
        <v/>
      </c>
      <c r="B1589">
        <f>IF($A1589="","",LEFT(Calc!$E1593,4)&amp;MID(Calc!$E1593,6,2)&amp;RIGHT(Calc!$E1593,2)&amp;Calc!$Q1593&amp;"|"&amp;"1"&amp;RIGHT("00000"&amp;1584,5))</f>
        <v/>
      </c>
      <c r="C1589">
        <f>IF($B1589="","",COUNTIFS(LdgSellerA,$A1589,LdgKeyA,"&lt;"&amp;$B1589)+COUNTIFS(LdgSellerB,$A1589,LdgKeyB,"&lt;"&amp;$B1589)+1)</f>
        <v/>
      </c>
      <c r="D1589">
        <f>IF($C1589="","",$A1589&amp;"|"&amp;RIGHT("000000"&amp;$C1589,6))</f>
        <v/>
      </c>
      <c r="F1589">
        <f>IF(Sync!$AH1589="","",IF(LEFT(UPPER(TRIM(Sync!$AH1589)),2)="SL",UPPER(TRIM(Sync!$AH1589)),""))</f>
        <v/>
      </c>
      <c r="G1589">
        <f>IF($F1589="","",IF(Sync!$AE1589="","",IF(ISNUMBER(Sync!$AE1589),IF(AND(Sync!$AE1589&gt;=10000101,Sync!$AE1589&lt;=99991231),INT(Sync!$AE1589/10000),""),IFERROR(VALUE(TRIM(LEFT(Sync!$AE1589,FIND("/",Sync!$AE1589)-1))),""))))</f>
        <v/>
      </c>
      <c r="H1589">
        <f>IF(OR($F1589="",$G1589=""),"",IF(ISNUMBER(Sync!$AE1589),INT(MOD(Sync!$AE1589,10000)/100),IFERROR(VALUE(TRIM(LEFT(MID(Sync!$AE1589,FIND("/",Sync!$AE1589)+1,20),FIND("/",MID(Sync!$AE1589,FIND("/",Sync!$AE1589)+1,20))-1))),"")))</f>
        <v/>
      </c>
      <c r="I1589">
        <f>IF(OR($F1589="",$G1589=""),"",IF(ISNUMBER(Sync!$AE1589),MOD(Sync!$AE1589,100),IFERROR(VALUE(TRIM(MID(MID(Sync!$AE1589,FIND("/",Sync!$AE1589)+1,20),FIND("/",MID(Sync!$AE1589,FIND("/",Sync!$AE1589)+1,20))+1,20))),"")))</f>
        <v/>
      </c>
      <c r="J1589">
        <f>IF($F1589="","",IF(OR($G1589="",$H1589="",$I1589="",$G1589&lt;1300,$G1589&gt;1500,$H1589&lt;1,$H1589&gt;12,$I1589&lt;1,$I1589&gt;31),"نامعتبر",RIGHT("0000"&amp;$G1589,4)&amp;"/"&amp;RIGHT("00"&amp;$H1589,2)&amp;"/"&amp;RIGHT("00"&amp;$I1589,2)))</f>
        <v/>
      </c>
      <c r="K1589">
        <f>IF(OR($F1589="",$J1589="",$J1589="نامعتبر"),"",LEFT($J1589,4)&amp;MID($J1589,6,2)&amp;RIGHT($J1589,2)&amp;$N1589&amp;"|"&amp;"2"&amp;RIGHT("00000"&amp;1584,5))</f>
        <v/>
      </c>
      <c r="L1589">
        <f>IF($K1589="","",COUNTIFS(LdgSellerA,$F1589,LdgKeyA,"&lt;"&amp;$K1589)+COUNTIFS(LdgSellerB,$F1589,LdgKeyB,"&lt;"&amp;$K1589)+1)</f>
        <v/>
      </c>
      <c r="M1589">
        <f>IF($L1589="","",$F1589&amp;"|"&amp;RIGHT("000000"&amp;$L1589,6))</f>
        <v/>
      </c>
      <c r="N1589">
        <f>IF($F1589="","",IF(Sync!$AF1589="","0000",IF(AND(ISNUMBER(Sync!$AF1589),Sync!$AF1589&gt;=0,Sync!$AF1589&lt;1),RIGHT("00"&amp;HOUR(Sync!$AF1589),2)&amp;RIGHT("00"&amp;MINUTE(Sync!$AF1589),2),IFERROR(RIGHT("00"&amp;VALUE(LEFT(Sync!$AF1589,FIND(":",Sync!$AF1589)-1)),2)&amp;RIGHT("00"&amp;VALUE(MID(Sync!$AF1589,FIND(":",Sync!$AF1589)+1,2)),2),"0000"))))</f>
        <v/>
      </c>
    </row>
    <row r="1590">
      <c r="A1590">
        <f>IF(OR(Calc!$E1594="",Calc!$E1594="نامعتبر",Calc!$G1594=""),"",Calc!$G1594)</f>
        <v/>
      </c>
      <c r="B1590">
        <f>IF($A1590="","",LEFT(Calc!$E1594,4)&amp;MID(Calc!$E1594,6,2)&amp;RIGHT(Calc!$E1594,2)&amp;Calc!$Q1594&amp;"|"&amp;"1"&amp;RIGHT("00000"&amp;1585,5))</f>
        <v/>
      </c>
      <c r="C1590">
        <f>IF($B1590="","",COUNTIFS(LdgSellerA,$A1590,LdgKeyA,"&lt;"&amp;$B1590)+COUNTIFS(LdgSellerB,$A1590,LdgKeyB,"&lt;"&amp;$B1590)+1)</f>
        <v/>
      </c>
      <c r="D1590">
        <f>IF($C1590="","",$A1590&amp;"|"&amp;RIGHT("000000"&amp;$C1590,6))</f>
        <v/>
      </c>
      <c r="F1590">
        <f>IF(Sync!$AH1590="","",IF(LEFT(UPPER(TRIM(Sync!$AH1590)),2)="SL",UPPER(TRIM(Sync!$AH1590)),""))</f>
        <v/>
      </c>
      <c r="G1590">
        <f>IF($F1590="","",IF(Sync!$AE1590="","",IF(ISNUMBER(Sync!$AE1590),IF(AND(Sync!$AE1590&gt;=10000101,Sync!$AE1590&lt;=99991231),INT(Sync!$AE1590/10000),""),IFERROR(VALUE(TRIM(LEFT(Sync!$AE1590,FIND("/",Sync!$AE1590)-1))),""))))</f>
        <v/>
      </c>
      <c r="H1590">
        <f>IF(OR($F1590="",$G1590=""),"",IF(ISNUMBER(Sync!$AE1590),INT(MOD(Sync!$AE1590,10000)/100),IFERROR(VALUE(TRIM(LEFT(MID(Sync!$AE1590,FIND("/",Sync!$AE1590)+1,20),FIND("/",MID(Sync!$AE1590,FIND("/",Sync!$AE1590)+1,20))-1))),"")))</f>
        <v/>
      </c>
      <c r="I1590">
        <f>IF(OR($F1590="",$G1590=""),"",IF(ISNUMBER(Sync!$AE1590),MOD(Sync!$AE1590,100),IFERROR(VALUE(TRIM(MID(MID(Sync!$AE1590,FIND("/",Sync!$AE1590)+1,20),FIND("/",MID(Sync!$AE1590,FIND("/",Sync!$AE1590)+1,20))+1,20))),"")))</f>
        <v/>
      </c>
      <c r="J1590">
        <f>IF($F1590="","",IF(OR($G1590="",$H1590="",$I1590="",$G1590&lt;1300,$G1590&gt;1500,$H1590&lt;1,$H1590&gt;12,$I1590&lt;1,$I1590&gt;31),"نامعتبر",RIGHT("0000"&amp;$G1590,4)&amp;"/"&amp;RIGHT("00"&amp;$H1590,2)&amp;"/"&amp;RIGHT("00"&amp;$I1590,2)))</f>
        <v/>
      </c>
      <c r="K1590">
        <f>IF(OR($F1590="",$J1590="",$J1590="نامعتبر"),"",LEFT($J1590,4)&amp;MID($J1590,6,2)&amp;RIGHT($J1590,2)&amp;$N1590&amp;"|"&amp;"2"&amp;RIGHT("00000"&amp;1585,5))</f>
        <v/>
      </c>
      <c r="L1590">
        <f>IF($K1590="","",COUNTIFS(LdgSellerA,$F1590,LdgKeyA,"&lt;"&amp;$K1590)+COUNTIFS(LdgSellerB,$F1590,LdgKeyB,"&lt;"&amp;$K1590)+1)</f>
        <v/>
      </c>
      <c r="M1590">
        <f>IF($L1590="","",$F1590&amp;"|"&amp;RIGHT("000000"&amp;$L1590,6))</f>
        <v/>
      </c>
      <c r="N1590">
        <f>IF($F1590="","",IF(Sync!$AF1590="","0000",IF(AND(ISNUMBER(Sync!$AF1590),Sync!$AF1590&gt;=0,Sync!$AF1590&lt;1),RIGHT("00"&amp;HOUR(Sync!$AF1590),2)&amp;RIGHT("00"&amp;MINUTE(Sync!$AF1590),2),IFERROR(RIGHT("00"&amp;VALUE(LEFT(Sync!$AF1590,FIND(":",Sync!$AF1590)-1)),2)&amp;RIGHT("00"&amp;VALUE(MID(Sync!$AF1590,FIND(":",Sync!$AF1590)+1,2)),2),"0000"))))</f>
        <v/>
      </c>
    </row>
    <row r="1591">
      <c r="A1591">
        <f>IF(OR(Calc!$E1595="",Calc!$E1595="نامعتبر",Calc!$G1595=""),"",Calc!$G1595)</f>
        <v/>
      </c>
      <c r="B1591">
        <f>IF($A1591="","",LEFT(Calc!$E1595,4)&amp;MID(Calc!$E1595,6,2)&amp;RIGHT(Calc!$E1595,2)&amp;Calc!$Q1595&amp;"|"&amp;"1"&amp;RIGHT("00000"&amp;1586,5))</f>
        <v/>
      </c>
      <c r="C1591">
        <f>IF($B1591="","",COUNTIFS(LdgSellerA,$A1591,LdgKeyA,"&lt;"&amp;$B1591)+COUNTIFS(LdgSellerB,$A1591,LdgKeyB,"&lt;"&amp;$B1591)+1)</f>
        <v/>
      </c>
      <c r="D1591">
        <f>IF($C1591="","",$A1591&amp;"|"&amp;RIGHT("000000"&amp;$C1591,6))</f>
        <v/>
      </c>
      <c r="F1591">
        <f>IF(Sync!$AH1591="","",IF(LEFT(UPPER(TRIM(Sync!$AH1591)),2)="SL",UPPER(TRIM(Sync!$AH1591)),""))</f>
        <v/>
      </c>
      <c r="G1591">
        <f>IF($F1591="","",IF(Sync!$AE1591="","",IF(ISNUMBER(Sync!$AE1591),IF(AND(Sync!$AE1591&gt;=10000101,Sync!$AE1591&lt;=99991231),INT(Sync!$AE1591/10000),""),IFERROR(VALUE(TRIM(LEFT(Sync!$AE1591,FIND("/",Sync!$AE1591)-1))),""))))</f>
        <v/>
      </c>
      <c r="H1591">
        <f>IF(OR($F1591="",$G1591=""),"",IF(ISNUMBER(Sync!$AE1591),INT(MOD(Sync!$AE1591,10000)/100),IFERROR(VALUE(TRIM(LEFT(MID(Sync!$AE1591,FIND("/",Sync!$AE1591)+1,20),FIND("/",MID(Sync!$AE1591,FIND("/",Sync!$AE1591)+1,20))-1))),"")))</f>
        <v/>
      </c>
      <c r="I1591">
        <f>IF(OR($F1591="",$G1591=""),"",IF(ISNUMBER(Sync!$AE1591),MOD(Sync!$AE1591,100),IFERROR(VALUE(TRIM(MID(MID(Sync!$AE1591,FIND("/",Sync!$AE1591)+1,20),FIND("/",MID(Sync!$AE1591,FIND("/",Sync!$AE1591)+1,20))+1,20))),"")))</f>
        <v/>
      </c>
      <c r="J1591">
        <f>IF($F1591="","",IF(OR($G1591="",$H1591="",$I1591="",$G1591&lt;1300,$G1591&gt;1500,$H1591&lt;1,$H1591&gt;12,$I1591&lt;1,$I1591&gt;31),"نامعتبر",RIGHT("0000"&amp;$G1591,4)&amp;"/"&amp;RIGHT("00"&amp;$H1591,2)&amp;"/"&amp;RIGHT("00"&amp;$I1591,2)))</f>
        <v/>
      </c>
      <c r="K1591">
        <f>IF(OR($F1591="",$J1591="",$J1591="نامعتبر"),"",LEFT($J1591,4)&amp;MID($J1591,6,2)&amp;RIGHT($J1591,2)&amp;$N1591&amp;"|"&amp;"2"&amp;RIGHT("00000"&amp;1586,5))</f>
        <v/>
      </c>
      <c r="L1591">
        <f>IF($K1591="","",COUNTIFS(LdgSellerA,$F1591,LdgKeyA,"&lt;"&amp;$K1591)+COUNTIFS(LdgSellerB,$F1591,LdgKeyB,"&lt;"&amp;$K1591)+1)</f>
        <v/>
      </c>
      <c r="M1591">
        <f>IF($L1591="","",$F1591&amp;"|"&amp;RIGHT("000000"&amp;$L1591,6))</f>
        <v/>
      </c>
      <c r="N1591">
        <f>IF($F1591="","",IF(Sync!$AF1591="","0000",IF(AND(ISNUMBER(Sync!$AF1591),Sync!$AF1591&gt;=0,Sync!$AF1591&lt;1),RIGHT("00"&amp;HOUR(Sync!$AF1591),2)&amp;RIGHT("00"&amp;MINUTE(Sync!$AF1591),2),IFERROR(RIGHT("00"&amp;VALUE(LEFT(Sync!$AF1591,FIND(":",Sync!$AF1591)-1)),2)&amp;RIGHT("00"&amp;VALUE(MID(Sync!$AF1591,FIND(":",Sync!$AF1591)+1,2)),2),"0000"))))</f>
        <v/>
      </c>
    </row>
    <row r="1592">
      <c r="A1592">
        <f>IF(OR(Calc!$E1596="",Calc!$E1596="نامعتبر",Calc!$G1596=""),"",Calc!$G1596)</f>
        <v/>
      </c>
      <c r="B1592">
        <f>IF($A1592="","",LEFT(Calc!$E1596,4)&amp;MID(Calc!$E1596,6,2)&amp;RIGHT(Calc!$E1596,2)&amp;Calc!$Q1596&amp;"|"&amp;"1"&amp;RIGHT("00000"&amp;1587,5))</f>
        <v/>
      </c>
      <c r="C1592">
        <f>IF($B1592="","",COUNTIFS(LdgSellerA,$A1592,LdgKeyA,"&lt;"&amp;$B1592)+COUNTIFS(LdgSellerB,$A1592,LdgKeyB,"&lt;"&amp;$B1592)+1)</f>
        <v/>
      </c>
      <c r="D1592">
        <f>IF($C1592="","",$A1592&amp;"|"&amp;RIGHT("000000"&amp;$C1592,6))</f>
        <v/>
      </c>
      <c r="F1592">
        <f>IF(Sync!$AH1592="","",IF(LEFT(UPPER(TRIM(Sync!$AH1592)),2)="SL",UPPER(TRIM(Sync!$AH1592)),""))</f>
        <v/>
      </c>
      <c r="G1592">
        <f>IF($F1592="","",IF(Sync!$AE1592="","",IF(ISNUMBER(Sync!$AE1592),IF(AND(Sync!$AE1592&gt;=10000101,Sync!$AE1592&lt;=99991231),INT(Sync!$AE1592/10000),""),IFERROR(VALUE(TRIM(LEFT(Sync!$AE1592,FIND("/",Sync!$AE1592)-1))),""))))</f>
        <v/>
      </c>
      <c r="H1592">
        <f>IF(OR($F1592="",$G1592=""),"",IF(ISNUMBER(Sync!$AE1592),INT(MOD(Sync!$AE1592,10000)/100),IFERROR(VALUE(TRIM(LEFT(MID(Sync!$AE1592,FIND("/",Sync!$AE1592)+1,20),FIND("/",MID(Sync!$AE1592,FIND("/",Sync!$AE1592)+1,20))-1))),"")))</f>
        <v/>
      </c>
      <c r="I1592">
        <f>IF(OR($F1592="",$G1592=""),"",IF(ISNUMBER(Sync!$AE1592),MOD(Sync!$AE1592,100),IFERROR(VALUE(TRIM(MID(MID(Sync!$AE1592,FIND("/",Sync!$AE1592)+1,20),FIND("/",MID(Sync!$AE1592,FIND("/",Sync!$AE1592)+1,20))+1,20))),"")))</f>
        <v/>
      </c>
      <c r="J1592">
        <f>IF($F1592="","",IF(OR($G1592="",$H1592="",$I1592="",$G1592&lt;1300,$G1592&gt;1500,$H1592&lt;1,$H1592&gt;12,$I1592&lt;1,$I1592&gt;31),"نامعتبر",RIGHT("0000"&amp;$G1592,4)&amp;"/"&amp;RIGHT("00"&amp;$H1592,2)&amp;"/"&amp;RIGHT("00"&amp;$I1592,2)))</f>
        <v/>
      </c>
      <c r="K1592">
        <f>IF(OR($F1592="",$J1592="",$J1592="نامعتبر"),"",LEFT($J1592,4)&amp;MID($J1592,6,2)&amp;RIGHT($J1592,2)&amp;$N1592&amp;"|"&amp;"2"&amp;RIGHT("00000"&amp;1587,5))</f>
        <v/>
      </c>
      <c r="L1592">
        <f>IF($K1592="","",COUNTIFS(LdgSellerA,$F1592,LdgKeyA,"&lt;"&amp;$K1592)+COUNTIFS(LdgSellerB,$F1592,LdgKeyB,"&lt;"&amp;$K1592)+1)</f>
        <v/>
      </c>
      <c r="M1592">
        <f>IF($L1592="","",$F1592&amp;"|"&amp;RIGHT("000000"&amp;$L1592,6))</f>
        <v/>
      </c>
      <c r="N1592">
        <f>IF($F1592="","",IF(Sync!$AF1592="","0000",IF(AND(ISNUMBER(Sync!$AF1592),Sync!$AF1592&gt;=0,Sync!$AF1592&lt;1),RIGHT("00"&amp;HOUR(Sync!$AF1592),2)&amp;RIGHT("00"&amp;MINUTE(Sync!$AF1592),2),IFERROR(RIGHT("00"&amp;VALUE(LEFT(Sync!$AF1592,FIND(":",Sync!$AF1592)-1)),2)&amp;RIGHT("00"&amp;VALUE(MID(Sync!$AF1592,FIND(":",Sync!$AF1592)+1,2)),2),"0000"))))</f>
        <v/>
      </c>
    </row>
    <row r="1593">
      <c r="A1593">
        <f>IF(OR(Calc!$E1597="",Calc!$E1597="نامعتبر",Calc!$G1597=""),"",Calc!$G1597)</f>
        <v/>
      </c>
      <c r="B1593">
        <f>IF($A1593="","",LEFT(Calc!$E1597,4)&amp;MID(Calc!$E1597,6,2)&amp;RIGHT(Calc!$E1597,2)&amp;Calc!$Q1597&amp;"|"&amp;"1"&amp;RIGHT("00000"&amp;1588,5))</f>
        <v/>
      </c>
      <c r="C1593">
        <f>IF($B1593="","",COUNTIFS(LdgSellerA,$A1593,LdgKeyA,"&lt;"&amp;$B1593)+COUNTIFS(LdgSellerB,$A1593,LdgKeyB,"&lt;"&amp;$B1593)+1)</f>
        <v/>
      </c>
      <c r="D1593">
        <f>IF($C1593="","",$A1593&amp;"|"&amp;RIGHT("000000"&amp;$C1593,6))</f>
        <v/>
      </c>
      <c r="F1593">
        <f>IF(Sync!$AH1593="","",IF(LEFT(UPPER(TRIM(Sync!$AH1593)),2)="SL",UPPER(TRIM(Sync!$AH1593)),""))</f>
        <v/>
      </c>
      <c r="G1593">
        <f>IF($F1593="","",IF(Sync!$AE1593="","",IF(ISNUMBER(Sync!$AE1593),IF(AND(Sync!$AE1593&gt;=10000101,Sync!$AE1593&lt;=99991231),INT(Sync!$AE1593/10000),""),IFERROR(VALUE(TRIM(LEFT(Sync!$AE1593,FIND("/",Sync!$AE1593)-1))),""))))</f>
        <v/>
      </c>
      <c r="H1593">
        <f>IF(OR($F1593="",$G1593=""),"",IF(ISNUMBER(Sync!$AE1593),INT(MOD(Sync!$AE1593,10000)/100),IFERROR(VALUE(TRIM(LEFT(MID(Sync!$AE1593,FIND("/",Sync!$AE1593)+1,20),FIND("/",MID(Sync!$AE1593,FIND("/",Sync!$AE1593)+1,20))-1))),"")))</f>
        <v/>
      </c>
      <c r="I1593">
        <f>IF(OR($F1593="",$G1593=""),"",IF(ISNUMBER(Sync!$AE1593),MOD(Sync!$AE1593,100),IFERROR(VALUE(TRIM(MID(MID(Sync!$AE1593,FIND("/",Sync!$AE1593)+1,20),FIND("/",MID(Sync!$AE1593,FIND("/",Sync!$AE1593)+1,20))+1,20))),"")))</f>
        <v/>
      </c>
      <c r="J1593">
        <f>IF($F1593="","",IF(OR($G1593="",$H1593="",$I1593="",$G1593&lt;1300,$G1593&gt;1500,$H1593&lt;1,$H1593&gt;12,$I1593&lt;1,$I1593&gt;31),"نامعتبر",RIGHT("0000"&amp;$G1593,4)&amp;"/"&amp;RIGHT("00"&amp;$H1593,2)&amp;"/"&amp;RIGHT("00"&amp;$I1593,2)))</f>
        <v/>
      </c>
      <c r="K1593">
        <f>IF(OR($F1593="",$J1593="",$J1593="نامعتبر"),"",LEFT($J1593,4)&amp;MID($J1593,6,2)&amp;RIGHT($J1593,2)&amp;$N1593&amp;"|"&amp;"2"&amp;RIGHT("00000"&amp;1588,5))</f>
        <v/>
      </c>
      <c r="L1593">
        <f>IF($K1593="","",COUNTIFS(LdgSellerA,$F1593,LdgKeyA,"&lt;"&amp;$K1593)+COUNTIFS(LdgSellerB,$F1593,LdgKeyB,"&lt;"&amp;$K1593)+1)</f>
        <v/>
      </c>
      <c r="M1593">
        <f>IF($L1593="","",$F1593&amp;"|"&amp;RIGHT("000000"&amp;$L1593,6))</f>
        <v/>
      </c>
      <c r="N1593">
        <f>IF($F1593="","",IF(Sync!$AF1593="","0000",IF(AND(ISNUMBER(Sync!$AF1593),Sync!$AF1593&gt;=0,Sync!$AF1593&lt;1),RIGHT("00"&amp;HOUR(Sync!$AF1593),2)&amp;RIGHT("00"&amp;MINUTE(Sync!$AF1593),2),IFERROR(RIGHT("00"&amp;VALUE(LEFT(Sync!$AF1593,FIND(":",Sync!$AF1593)-1)),2)&amp;RIGHT("00"&amp;VALUE(MID(Sync!$AF1593,FIND(":",Sync!$AF1593)+1,2)),2),"0000"))))</f>
        <v/>
      </c>
    </row>
    <row r="1594">
      <c r="A1594">
        <f>IF(OR(Calc!$E1598="",Calc!$E1598="نامعتبر",Calc!$G1598=""),"",Calc!$G1598)</f>
        <v/>
      </c>
      <c r="B1594">
        <f>IF($A1594="","",LEFT(Calc!$E1598,4)&amp;MID(Calc!$E1598,6,2)&amp;RIGHT(Calc!$E1598,2)&amp;Calc!$Q1598&amp;"|"&amp;"1"&amp;RIGHT("00000"&amp;1589,5))</f>
        <v/>
      </c>
      <c r="C1594">
        <f>IF($B1594="","",COUNTIFS(LdgSellerA,$A1594,LdgKeyA,"&lt;"&amp;$B1594)+COUNTIFS(LdgSellerB,$A1594,LdgKeyB,"&lt;"&amp;$B1594)+1)</f>
        <v/>
      </c>
      <c r="D1594">
        <f>IF($C1594="","",$A1594&amp;"|"&amp;RIGHT("000000"&amp;$C1594,6))</f>
        <v/>
      </c>
      <c r="F1594">
        <f>IF(Sync!$AH1594="","",IF(LEFT(UPPER(TRIM(Sync!$AH1594)),2)="SL",UPPER(TRIM(Sync!$AH1594)),""))</f>
        <v/>
      </c>
      <c r="G1594">
        <f>IF($F1594="","",IF(Sync!$AE1594="","",IF(ISNUMBER(Sync!$AE1594),IF(AND(Sync!$AE1594&gt;=10000101,Sync!$AE1594&lt;=99991231),INT(Sync!$AE1594/10000),""),IFERROR(VALUE(TRIM(LEFT(Sync!$AE1594,FIND("/",Sync!$AE1594)-1))),""))))</f>
        <v/>
      </c>
      <c r="H1594">
        <f>IF(OR($F1594="",$G1594=""),"",IF(ISNUMBER(Sync!$AE1594),INT(MOD(Sync!$AE1594,10000)/100),IFERROR(VALUE(TRIM(LEFT(MID(Sync!$AE1594,FIND("/",Sync!$AE1594)+1,20),FIND("/",MID(Sync!$AE1594,FIND("/",Sync!$AE1594)+1,20))-1))),"")))</f>
        <v/>
      </c>
      <c r="I1594">
        <f>IF(OR($F1594="",$G1594=""),"",IF(ISNUMBER(Sync!$AE1594),MOD(Sync!$AE1594,100),IFERROR(VALUE(TRIM(MID(MID(Sync!$AE1594,FIND("/",Sync!$AE1594)+1,20),FIND("/",MID(Sync!$AE1594,FIND("/",Sync!$AE1594)+1,20))+1,20))),"")))</f>
        <v/>
      </c>
      <c r="J1594">
        <f>IF($F1594="","",IF(OR($G1594="",$H1594="",$I1594="",$G1594&lt;1300,$G1594&gt;1500,$H1594&lt;1,$H1594&gt;12,$I1594&lt;1,$I1594&gt;31),"نامعتبر",RIGHT("0000"&amp;$G1594,4)&amp;"/"&amp;RIGHT("00"&amp;$H1594,2)&amp;"/"&amp;RIGHT("00"&amp;$I1594,2)))</f>
        <v/>
      </c>
      <c r="K1594">
        <f>IF(OR($F1594="",$J1594="",$J1594="نامعتبر"),"",LEFT($J1594,4)&amp;MID($J1594,6,2)&amp;RIGHT($J1594,2)&amp;$N1594&amp;"|"&amp;"2"&amp;RIGHT("00000"&amp;1589,5))</f>
        <v/>
      </c>
      <c r="L1594">
        <f>IF($K1594="","",COUNTIFS(LdgSellerA,$F1594,LdgKeyA,"&lt;"&amp;$K1594)+COUNTIFS(LdgSellerB,$F1594,LdgKeyB,"&lt;"&amp;$K1594)+1)</f>
        <v/>
      </c>
      <c r="M1594">
        <f>IF($L1594="","",$F1594&amp;"|"&amp;RIGHT("000000"&amp;$L1594,6))</f>
        <v/>
      </c>
      <c r="N1594">
        <f>IF($F1594="","",IF(Sync!$AF1594="","0000",IF(AND(ISNUMBER(Sync!$AF1594),Sync!$AF1594&gt;=0,Sync!$AF1594&lt;1),RIGHT("00"&amp;HOUR(Sync!$AF1594),2)&amp;RIGHT("00"&amp;MINUTE(Sync!$AF1594),2),IFERROR(RIGHT("00"&amp;VALUE(LEFT(Sync!$AF1594,FIND(":",Sync!$AF1594)-1)),2)&amp;RIGHT("00"&amp;VALUE(MID(Sync!$AF1594,FIND(":",Sync!$AF1594)+1,2)),2),"0000"))))</f>
        <v/>
      </c>
    </row>
    <row r="1595">
      <c r="A1595">
        <f>IF(OR(Calc!$E1599="",Calc!$E1599="نامعتبر",Calc!$G1599=""),"",Calc!$G1599)</f>
        <v/>
      </c>
      <c r="B1595">
        <f>IF($A1595="","",LEFT(Calc!$E1599,4)&amp;MID(Calc!$E1599,6,2)&amp;RIGHT(Calc!$E1599,2)&amp;Calc!$Q1599&amp;"|"&amp;"1"&amp;RIGHT("00000"&amp;1590,5))</f>
        <v/>
      </c>
      <c r="C1595">
        <f>IF($B1595="","",COUNTIFS(LdgSellerA,$A1595,LdgKeyA,"&lt;"&amp;$B1595)+COUNTIFS(LdgSellerB,$A1595,LdgKeyB,"&lt;"&amp;$B1595)+1)</f>
        <v/>
      </c>
      <c r="D1595">
        <f>IF($C1595="","",$A1595&amp;"|"&amp;RIGHT("000000"&amp;$C1595,6))</f>
        <v/>
      </c>
      <c r="F1595">
        <f>IF(Sync!$AH1595="","",IF(LEFT(UPPER(TRIM(Sync!$AH1595)),2)="SL",UPPER(TRIM(Sync!$AH1595)),""))</f>
        <v/>
      </c>
      <c r="G1595">
        <f>IF($F1595="","",IF(Sync!$AE1595="","",IF(ISNUMBER(Sync!$AE1595),IF(AND(Sync!$AE1595&gt;=10000101,Sync!$AE1595&lt;=99991231),INT(Sync!$AE1595/10000),""),IFERROR(VALUE(TRIM(LEFT(Sync!$AE1595,FIND("/",Sync!$AE1595)-1))),""))))</f>
        <v/>
      </c>
      <c r="H1595">
        <f>IF(OR($F1595="",$G1595=""),"",IF(ISNUMBER(Sync!$AE1595),INT(MOD(Sync!$AE1595,10000)/100),IFERROR(VALUE(TRIM(LEFT(MID(Sync!$AE1595,FIND("/",Sync!$AE1595)+1,20),FIND("/",MID(Sync!$AE1595,FIND("/",Sync!$AE1595)+1,20))-1))),"")))</f>
        <v/>
      </c>
      <c r="I1595">
        <f>IF(OR($F1595="",$G1595=""),"",IF(ISNUMBER(Sync!$AE1595),MOD(Sync!$AE1595,100),IFERROR(VALUE(TRIM(MID(MID(Sync!$AE1595,FIND("/",Sync!$AE1595)+1,20),FIND("/",MID(Sync!$AE1595,FIND("/",Sync!$AE1595)+1,20))+1,20))),"")))</f>
        <v/>
      </c>
      <c r="J1595">
        <f>IF($F1595="","",IF(OR($G1595="",$H1595="",$I1595="",$G1595&lt;1300,$G1595&gt;1500,$H1595&lt;1,$H1595&gt;12,$I1595&lt;1,$I1595&gt;31),"نامعتبر",RIGHT("0000"&amp;$G1595,4)&amp;"/"&amp;RIGHT("00"&amp;$H1595,2)&amp;"/"&amp;RIGHT("00"&amp;$I1595,2)))</f>
        <v/>
      </c>
      <c r="K1595">
        <f>IF(OR($F1595="",$J1595="",$J1595="نامعتبر"),"",LEFT($J1595,4)&amp;MID($J1595,6,2)&amp;RIGHT($J1595,2)&amp;$N1595&amp;"|"&amp;"2"&amp;RIGHT("00000"&amp;1590,5))</f>
        <v/>
      </c>
      <c r="L1595">
        <f>IF($K1595="","",COUNTIFS(LdgSellerA,$F1595,LdgKeyA,"&lt;"&amp;$K1595)+COUNTIFS(LdgSellerB,$F1595,LdgKeyB,"&lt;"&amp;$K1595)+1)</f>
        <v/>
      </c>
      <c r="M1595">
        <f>IF($L1595="","",$F1595&amp;"|"&amp;RIGHT("000000"&amp;$L1595,6))</f>
        <v/>
      </c>
      <c r="N1595">
        <f>IF($F1595="","",IF(Sync!$AF1595="","0000",IF(AND(ISNUMBER(Sync!$AF1595),Sync!$AF1595&gt;=0,Sync!$AF1595&lt;1),RIGHT("00"&amp;HOUR(Sync!$AF1595),2)&amp;RIGHT("00"&amp;MINUTE(Sync!$AF1595),2),IFERROR(RIGHT("00"&amp;VALUE(LEFT(Sync!$AF1595,FIND(":",Sync!$AF1595)-1)),2)&amp;RIGHT("00"&amp;VALUE(MID(Sync!$AF1595,FIND(":",Sync!$AF1595)+1,2)),2),"0000"))))</f>
        <v/>
      </c>
    </row>
    <row r="1596">
      <c r="A1596">
        <f>IF(OR(Calc!$E1600="",Calc!$E1600="نامعتبر",Calc!$G1600=""),"",Calc!$G1600)</f>
        <v/>
      </c>
      <c r="B1596">
        <f>IF($A1596="","",LEFT(Calc!$E1600,4)&amp;MID(Calc!$E1600,6,2)&amp;RIGHT(Calc!$E1600,2)&amp;Calc!$Q1600&amp;"|"&amp;"1"&amp;RIGHT("00000"&amp;1591,5))</f>
        <v/>
      </c>
      <c r="C1596">
        <f>IF($B1596="","",COUNTIFS(LdgSellerA,$A1596,LdgKeyA,"&lt;"&amp;$B1596)+COUNTIFS(LdgSellerB,$A1596,LdgKeyB,"&lt;"&amp;$B1596)+1)</f>
        <v/>
      </c>
      <c r="D1596">
        <f>IF($C1596="","",$A1596&amp;"|"&amp;RIGHT("000000"&amp;$C1596,6))</f>
        <v/>
      </c>
      <c r="F1596">
        <f>IF(Sync!$AH1596="","",IF(LEFT(UPPER(TRIM(Sync!$AH1596)),2)="SL",UPPER(TRIM(Sync!$AH1596)),""))</f>
        <v/>
      </c>
      <c r="G1596">
        <f>IF($F1596="","",IF(Sync!$AE1596="","",IF(ISNUMBER(Sync!$AE1596),IF(AND(Sync!$AE1596&gt;=10000101,Sync!$AE1596&lt;=99991231),INT(Sync!$AE1596/10000),""),IFERROR(VALUE(TRIM(LEFT(Sync!$AE1596,FIND("/",Sync!$AE1596)-1))),""))))</f>
        <v/>
      </c>
      <c r="H1596">
        <f>IF(OR($F1596="",$G1596=""),"",IF(ISNUMBER(Sync!$AE1596),INT(MOD(Sync!$AE1596,10000)/100),IFERROR(VALUE(TRIM(LEFT(MID(Sync!$AE1596,FIND("/",Sync!$AE1596)+1,20),FIND("/",MID(Sync!$AE1596,FIND("/",Sync!$AE1596)+1,20))-1))),"")))</f>
        <v/>
      </c>
      <c r="I1596">
        <f>IF(OR($F1596="",$G1596=""),"",IF(ISNUMBER(Sync!$AE1596),MOD(Sync!$AE1596,100),IFERROR(VALUE(TRIM(MID(MID(Sync!$AE1596,FIND("/",Sync!$AE1596)+1,20),FIND("/",MID(Sync!$AE1596,FIND("/",Sync!$AE1596)+1,20))+1,20))),"")))</f>
        <v/>
      </c>
      <c r="J1596">
        <f>IF($F1596="","",IF(OR($G1596="",$H1596="",$I1596="",$G1596&lt;1300,$G1596&gt;1500,$H1596&lt;1,$H1596&gt;12,$I1596&lt;1,$I1596&gt;31),"نامعتبر",RIGHT("0000"&amp;$G1596,4)&amp;"/"&amp;RIGHT("00"&amp;$H1596,2)&amp;"/"&amp;RIGHT("00"&amp;$I1596,2)))</f>
        <v/>
      </c>
      <c r="K1596">
        <f>IF(OR($F1596="",$J1596="",$J1596="نامعتبر"),"",LEFT($J1596,4)&amp;MID($J1596,6,2)&amp;RIGHT($J1596,2)&amp;$N1596&amp;"|"&amp;"2"&amp;RIGHT("00000"&amp;1591,5))</f>
        <v/>
      </c>
      <c r="L1596">
        <f>IF($K1596="","",COUNTIFS(LdgSellerA,$F1596,LdgKeyA,"&lt;"&amp;$K1596)+COUNTIFS(LdgSellerB,$F1596,LdgKeyB,"&lt;"&amp;$K1596)+1)</f>
        <v/>
      </c>
      <c r="M1596">
        <f>IF($L1596="","",$F1596&amp;"|"&amp;RIGHT("000000"&amp;$L1596,6))</f>
        <v/>
      </c>
      <c r="N1596">
        <f>IF($F1596="","",IF(Sync!$AF1596="","0000",IF(AND(ISNUMBER(Sync!$AF1596),Sync!$AF1596&gt;=0,Sync!$AF1596&lt;1),RIGHT("00"&amp;HOUR(Sync!$AF1596),2)&amp;RIGHT("00"&amp;MINUTE(Sync!$AF1596),2),IFERROR(RIGHT("00"&amp;VALUE(LEFT(Sync!$AF1596,FIND(":",Sync!$AF1596)-1)),2)&amp;RIGHT("00"&amp;VALUE(MID(Sync!$AF1596,FIND(":",Sync!$AF1596)+1,2)),2),"0000"))))</f>
        <v/>
      </c>
    </row>
    <row r="1597">
      <c r="A1597">
        <f>IF(OR(Calc!$E1601="",Calc!$E1601="نامعتبر",Calc!$G1601=""),"",Calc!$G1601)</f>
        <v/>
      </c>
      <c r="B1597">
        <f>IF($A1597="","",LEFT(Calc!$E1601,4)&amp;MID(Calc!$E1601,6,2)&amp;RIGHT(Calc!$E1601,2)&amp;Calc!$Q1601&amp;"|"&amp;"1"&amp;RIGHT("00000"&amp;1592,5))</f>
        <v/>
      </c>
      <c r="C1597">
        <f>IF($B1597="","",COUNTIFS(LdgSellerA,$A1597,LdgKeyA,"&lt;"&amp;$B1597)+COUNTIFS(LdgSellerB,$A1597,LdgKeyB,"&lt;"&amp;$B1597)+1)</f>
        <v/>
      </c>
      <c r="D1597">
        <f>IF($C1597="","",$A1597&amp;"|"&amp;RIGHT("000000"&amp;$C1597,6))</f>
        <v/>
      </c>
      <c r="F1597">
        <f>IF(Sync!$AH1597="","",IF(LEFT(UPPER(TRIM(Sync!$AH1597)),2)="SL",UPPER(TRIM(Sync!$AH1597)),""))</f>
        <v/>
      </c>
      <c r="G1597">
        <f>IF($F1597="","",IF(Sync!$AE1597="","",IF(ISNUMBER(Sync!$AE1597),IF(AND(Sync!$AE1597&gt;=10000101,Sync!$AE1597&lt;=99991231),INT(Sync!$AE1597/10000),""),IFERROR(VALUE(TRIM(LEFT(Sync!$AE1597,FIND("/",Sync!$AE1597)-1))),""))))</f>
        <v/>
      </c>
      <c r="H1597">
        <f>IF(OR($F1597="",$G1597=""),"",IF(ISNUMBER(Sync!$AE1597),INT(MOD(Sync!$AE1597,10000)/100),IFERROR(VALUE(TRIM(LEFT(MID(Sync!$AE1597,FIND("/",Sync!$AE1597)+1,20),FIND("/",MID(Sync!$AE1597,FIND("/",Sync!$AE1597)+1,20))-1))),"")))</f>
        <v/>
      </c>
      <c r="I1597">
        <f>IF(OR($F1597="",$G1597=""),"",IF(ISNUMBER(Sync!$AE1597),MOD(Sync!$AE1597,100),IFERROR(VALUE(TRIM(MID(MID(Sync!$AE1597,FIND("/",Sync!$AE1597)+1,20),FIND("/",MID(Sync!$AE1597,FIND("/",Sync!$AE1597)+1,20))+1,20))),"")))</f>
        <v/>
      </c>
      <c r="J1597">
        <f>IF($F1597="","",IF(OR($G1597="",$H1597="",$I1597="",$G1597&lt;1300,$G1597&gt;1500,$H1597&lt;1,$H1597&gt;12,$I1597&lt;1,$I1597&gt;31),"نامعتبر",RIGHT("0000"&amp;$G1597,4)&amp;"/"&amp;RIGHT("00"&amp;$H1597,2)&amp;"/"&amp;RIGHT("00"&amp;$I1597,2)))</f>
        <v/>
      </c>
      <c r="K1597">
        <f>IF(OR($F1597="",$J1597="",$J1597="نامعتبر"),"",LEFT($J1597,4)&amp;MID($J1597,6,2)&amp;RIGHT($J1597,2)&amp;$N1597&amp;"|"&amp;"2"&amp;RIGHT("00000"&amp;1592,5))</f>
        <v/>
      </c>
      <c r="L1597">
        <f>IF($K1597="","",COUNTIFS(LdgSellerA,$F1597,LdgKeyA,"&lt;"&amp;$K1597)+COUNTIFS(LdgSellerB,$F1597,LdgKeyB,"&lt;"&amp;$K1597)+1)</f>
        <v/>
      </c>
      <c r="M1597">
        <f>IF($L1597="","",$F1597&amp;"|"&amp;RIGHT("000000"&amp;$L1597,6))</f>
        <v/>
      </c>
      <c r="N1597">
        <f>IF($F1597="","",IF(Sync!$AF1597="","0000",IF(AND(ISNUMBER(Sync!$AF1597),Sync!$AF1597&gt;=0,Sync!$AF1597&lt;1),RIGHT("00"&amp;HOUR(Sync!$AF1597),2)&amp;RIGHT("00"&amp;MINUTE(Sync!$AF1597),2),IFERROR(RIGHT("00"&amp;VALUE(LEFT(Sync!$AF1597,FIND(":",Sync!$AF1597)-1)),2)&amp;RIGHT("00"&amp;VALUE(MID(Sync!$AF1597,FIND(":",Sync!$AF1597)+1,2)),2),"0000"))))</f>
        <v/>
      </c>
    </row>
    <row r="1598">
      <c r="A1598">
        <f>IF(OR(Calc!$E1602="",Calc!$E1602="نامعتبر",Calc!$G1602=""),"",Calc!$G1602)</f>
        <v/>
      </c>
      <c r="B1598">
        <f>IF($A1598="","",LEFT(Calc!$E1602,4)&amp;MID(Calc!$E1602,6,2)&amp;RIGHT(Calc!$E1602,2)&amp;Calc!$Q1602&amp;"|"&amp;"1"&amp;RIGHT("00000"&amp;1593,5))</f>
        <v/>
      </c>
      <c r="C1598">
        <f>IF($B1598="","",COUNTIFS(LdgSellerA,$A1598,LdgKeyA,"&lt;"&amp;$B1598)+COUNTIFS(LdgSellerB,$A1598,LdgKeyB,"&lt;"&amp;$B1598)+1)</f>
        <v/>
      </c>
      <c r="D1598">
        <f>IF($C1598="","",$A1598&amp;"|"&amp;RIGHT("000000"&amp;$C1598,6))</f>
        <v/>
      </c>
      <c r="F1598">
        <f>IF(Sync!$AH1598="","",IF(LEFT(UPPER(TRIM(Sync!$AH1598)),2)="SL",UPPER(TRIM(Sync!$AH1598)),""))</f>
        <v/>
      </c>
      <c r="G1598">
        <f>IF($F1598="","",IF(Sync!$AE1598="","",IF(ISNUMBER(Sync!$AE1598),IF(AND(Sync!$AE1598&gt;=10000101,Sync!$AE1598&lt;=99991231),INT(Sync!$AE1598/10000),""),IFERROR(VALUE(TRIM(LEFT(Sync!$AE1598,FIND("/",Sync!$AE1598)-1))),""))))</f>
        <v/>
      </c>
      <c r="H1598">
        <f>IF(OR($F1598="",$G1598=""),"",IF(ISNUMBER(Sync!$AE1598),INT(MOD(Sync!$AE1598,10000)/100),IFERROR(VALUE(TRIM(LEFT(MID(Sync!$AE1598,FIND("/",Sync!$AE1598)+1,20),FIND("/",MID(Sync!$AE1598,FIND("/",Sync!$AE1598)+1,20))-1))),"")))</f>
        <v/>
      </c>
      <c r="I1598">
        <f>IF(OR($F1598="",$G1598=""),"",IF(ISNUMBER(Sync!$AE1598),MOD(Sync!$AE1598,100),IFERROR(VALUE(TRIM(MID(MID(Sync!$AE1598,FIND("/",Sync!$AE1598)+1,20),FIND("/",MID(Sync!$AE1598,FIND("/",Sync!$AE1598)+1,20))+1,20))),"")))</f>
        <v/>
      </c>
      <c r="J1598">
        <f>IF($F1598="","",IF(OR($G1598="",$H1598="",$I1598="",$G1598&lt;1300,$G1598&gt;1500,$H1598&lt;1,$H1598&gt;12,$I1598&lt;1,$I1598&gt;31),"نامعتبر",RIGHT("0000"&amp;$G1598,4)&amp;"/"&amp;RIGHT("00"&amp;$H1598,2)&amp;"/"&amp;RIGHT("00"&amp;$I1598,2)))</f>
        <v/>
      </c>
      <c r="K1598">
        <f>IF(OR($F1598="",$J1598="",$J1598="نامعتبر"),"",LEFT($J1598,4)&amp;MID($J1598,6,2)&amp;RIGHT($J1598,2)&amp;$N1598&amp;"|"&amp;"2"&amp;RIGHT("00000"&amp;1593,5))</f>
        <v/>
      </c>
      <c r="L1598">
        <f>IF($K1598="","",COUNTIFS(LdgSellerA,$F1598,LdgKeyA,"&lt;"&amp;$K1598)+COUNTIFS(LdgSellerB,$F1598,LdgKeyB,"&lt;"&amp;$K1598)+1)</f>
        <v/>
      </c>
      <c r="M1598">
        <f>IF($L1598="","",$F1598&amp;"|"&amp;RIGHT("000000"&amp;$L1598,6))</f>
        <v/>
      </c>
      <c r="N1598">
        <f>IF($F1598="","",IF(Sync!$AF1598="","0000",IF(AND(ISNUMBER(Sync!$AF1598),Sync!$AF1598&gt;=0,Sync!$AF1598&lt;1),RIGHT("00"&amp;HOUR(Sync!$AF1598),2)&amp;RIGHT("00"&amp;MINUTE(Sync!$AF1598),2),IFERROR(RIGHT("00"&amp;VALUE(LEFT(Sync!$AF1598,FIND(":",Sync!$AF1598)-1)),2)&amp;RIGHT("00"&amp;VALUE(MID(Sync!$AF1598,FIND(":",Sync!$AF1598)+1,2)),2),"0000"))))</f>
        <v/>
      </c>
    </row>
    <row r="1599">
      <c r="A1599">
        <f>IF(OR(Calc!$E1603="",Calc!$E1603="نامعتبر",Calc!$G1603=""),"",Calc!$G1603)</f>
        <v/>
      </c>
      <c r="B1599">
        <f>IF($A1599="","",LEFT(Calc!$E1603,4)&amp;MID(Calc!$E1603,6,2)&amp;RIGHT(Calc!$E1603,2)&amp;Calc!$Q1603&amp;"|"&amp;"1"&amp;RIGHT("00000"&amp;1594,5))</f>
        <v/>
      </c>
      <c r="C1599">
        <f>IF($B1599="","",COUNTIFS(LdgSellerA,$A1599,LdgKeyA,"&lt;"&amp;$B1599)+COUNTIFS(LdgSellerB,$A1599,LdgKeyB,"&lt;"&amp;$B1599)+1)</f>
        <v/>
      </c>
      <c r="D1599">
        <f>IF($C1599="","",$A1599&amp;"|"&amp;RIGHT("000000"&amp;$C1599,6))</f>
        <v/>
      </c>
      <c r="F1599">
        <f>IF(Sync!$AH1599="","",IF(LEFT(UPPER(TRIM(Sync!$AH1599)),2)="SL",UPPER(TRIM(Sync!$AH1599)),""))</f>
        <v/>
      </c>
      <c r="G1599">
        <f>IF($F1599="","",IF(Sync!$AE1599="","",IF(ISNUMBER(Sync!$AE1599),IF(AND(Sync!$AE1599&gt;=10000101,Sync!$AE1599&lt;=99991231),INT(Sync!$AE1599/10000),""),IFERROR(VALUE(TRIM(LEFT(Sync!$AE1599,FIND("/",Sync!$AE1599)-1))),""))))</f>
        <v/>
      </c>
      <c r="H1599">
        <f>IF(OR($F1599="",$G1599=""),"",IF(ISNUMBER(Sync!$AE1599),INT(MOD(Sync!$AE1599,10000)/100),IFERROR(VALUE(TRIM(LEFT(MID(Sync!$AE1599,FIND("/",Sync!$AE1599)+1,20),FIND("/",MID(Sync!$AE1599,FIND("/",Sync!$AE1599)+1,20))-1))),"")))</f>
        <v/>
      </c>
      <c r="I1599">
        <f>IF(OR($F1599="",$G1599=""),"",IF(ISNUMBER(Sync!$AE1599),MOD(Sync!$AE1599,100),IFERROR(VALUE(TRIM(MID(MID(Sync!$AE1599,FIND("/",Sync!$AE1599)+1,20),FIND("/",MID(Sync!$AE1599,FIND("/",Sync!$AE1599)+1,20))+1,20))),"")))</f>
        <v/>
      </c>
      <c r="J1599">
        <f>IF($F1599="","",IF(OR($G1599="",$H1599="",$I1599="",$G1599&lt;1300,$G1599&gt;1500,$H1599&lt;1,$H1599&gt;12,$I1599&lt;1,$I1599&gt;31),"نامعتبر",RIGHT("0000"&amp;$G1599,4)&amp;"/"&amp;RIGHT("00"&amp;$H1599,2)&amp;"/"&amp;RIGHT("00"&amp;$I1599,2)))</f>
        <v/>
      </c>
      <c r="K1599">
        <f>IF(OR($F1599="",$J1599="",$J1599="نامعتبر"),"",LEFT($J1599,4)&amp;MID($J1599,6,2)&amp;RIGHT($J1599,2)&amp;$N1599&amp;"|"&amp;"2"&amp;RIGHT("00000"&amp;1594,5))</f>
        <v/>
      </c>
      <c r="L1599">
        <f>IF($K1599="","",COUNTIFS(LdgSellerA,$F1599,LdgKeyA,"&lt;"&amp;$K1599)+COUNTIFS(LdgSellerB,$F1599,LdgKeyB,"&lt;"&amp;$K1599)+1)</f>
        <v/>
      </c>
      <c r="M1599">
        <f>IF($L1599="","",$F1599&amp;"|"&amp;RIGHT("000000"&amp;$L1599,6))</f>
        <v/>
      </c>
      <c r="N1599">
        <f>IF($F1599="","",IF(Sync!$AF1599="","0000",IF(AND(ISNUMBER(Sync!$AF1599),Sync!$AF1599&gt;=0,Sync!$AF1599&lt;1),RIGHT("00"&amp;HOUR(Sync!$AF1599),2)&amp;RIGHT("00"&amp;MINUTE(Sync!$AF1599),2),IFERROR(RIGHT("00"&amp;VALUE(LEFT(Sync!$AF1599,FIND(":",Sync!$AF1599)-1)),2)&amp;RIGHT("00"&amp;VALUE(MID(Sync!$AF1599,FIND(":",Sync!$AF1599)+1,2)),2),"0000"))))</f>
        <v/>
      </c>
    </row>
    <row r="1600">
      <c r="A1600">
        <f>IF(OR(Calc!$E1604="",Calc!$E1604="نامعتبر",Calc!$G1604=""),"",Calc!$G1604)</f>
        <v/>
      </c>
      <c r="B1600">
        <f>IF($A1600="","",LEFT(Calc!$E1604,4)&amp;MID(Calc!$E1604,6,2)&amp;RIGHT(Calc!$E1604,2)&amp;Calc!$Q1604&amp;"|"&amp;"1"&amp;RIGHT("00000"&amp;1595,5))</f>
        <v/>
      </c>
      <c r="C1600">
        <f>IF($B1600="","",COUNTIFS(LdgSellerA,$A1600,LdgKeyA,"&lt;"&amp;$B1600)+COUNTIFS(LdgSellerB,$A1600,LdgKeyB,"&lt;"&amp;$B1600)+1)</f>
        <v/>
      </c>
      <c r="D1600">
        <f>IF($C1600="","",$A1600&amp;"|"&amp;RIGHT("000000"&amp;$C1600,6))</f>
        <v/>
      </c>
      <c r="F1600">
        <f>IF(Sync!$AH1600="","",IF(LEFT(UPPER(TRIM(Sync!$AH1600)),2)="SL",UPPER(TRIM(Sync!$AH1600)),""))</f>
        <v/>
      </c>
      <c r="G1600">
        <f>IF($F1600="","",IF(Sync!$AE1600="","",IF(ISNUMBER(Sync!$AE1600),IF(AND(Sync!$AE1600&gt;=10000101,Sync!$AE1600&lt;=99991231),INT(Sync!$AE1600/10000),""),IFERROR(VALUE(TRIM(LEFT(Sync!$AE1600,FIND("/",Sync!$AE1600)-1))),""))))</f>
        <v/>
      </c>
      <c r="H1600">
        <f>IF(OR($F1600="",$G1600=""),"",IF(ISNUMBER(Sync!$AE1600),INT(MOD(Sync!$AE1600,10000)/100),IFERROR(VALUE(TRIM(LEFT(MID(Sync!$AE1600,FIND("/",Sync!$AE1600)+1,20),FIND("/",MID(Sync!$AE1600,FIND("/",Sync!$AE1600)+1,20))-1))),"")))</f>
        <v/>
      </c>
      <c r="I1600">
        <f>IF(OR($F1600="",$G1600=""),"",IF(ISNUMBER(Sync!$AE1600),MOD(Sync!$AE1600,100),IFERROR(VALUE(TRIM(MID(MID(Sync!$AE1600,FIND("/",Sync!$AE1600)+1,20),FIND("/",MID(Sync!$AE1600,FIND("/",Sync!$AE1600)+1,20))+1,20))),"")))</f>
        <v/>
      </c>
      <c r="J1600">
        <f>IF($F1600="","",IF(OR($G1600="",$H1600="",$I1600="",$G1600&lt;1300,$G1600&gt;1500,$H1600&lt;1,$H1600&gt;12,$I1600&lt;1,$I1600&gt;31),"نامعتبر",RIGHT("0000"&amp;$G1600,4)&amp;"/"&amp;RIGHT("00"&amp;$H1600,2)&amp;"/"&amp;RIGHT("00"&amp;$I1600,2)))</f>
        <v/>
      </c>
      <c r="K1600">
        <f>IF(OR($F1600="",$J1600="",$J1600="نامعتبر"),"",LEFT($J1600,4)&amp;MID($J1600,6,2)&amp;RIGHT($J1600,2)&amp;$N1600&amp;"|"&amp;"2"&amp;RIGHT("00000"&amp;1595,5))</f>
        <v/>
      </c>
      <c r="L1600">
        <f>IF($K1600="","",COUNTIFS(LdgSellerA,$F1600,LdgKeyA,"&lt;"&amp;$K1600)+COUNTIFS(LdgSellerB,$F1600,LdgKeyB,"&lt;"&amp;$K1600)+1)</f>
        <v/>
      </c>
      <c r="M1600">
        <f>IF($L1600="","",$F1600&amp;"|"&amp;RIGHT("000000"&amp;$L1600,6))</f>
        <v/>
      </c>
      <c r="N1600">
        <f>IF($F1600="","",IF(Sync!$AF1600="","0000",IF(AND(ISNUMBER(Sync!$AF1600),Sync!$AF1600&gt;=0,Sync!$AF1600&lt;1),RIGHT("00"&amp;HOUR(Sync!$AF1600),2)&amp;RIGHT("00"&amp;MINUTE(Sync!$AF1600),2),IFERROR(RIGHT("00"&amp;VALUE(LEFT(Sync!$AF1600,FIND(":",Sync!$AF1600)-1)),2)&amp;RIGHT("00"&amp;VALUE(MID(Sync!$AF1600,FIND(":",Sync!$AF1600)+1,2)),2),"0000"))))</f>
        <v/>
      </c>
    </row>
    <row r="1601">
      <c r="A1601">
        <f>IF(OR(Calc!$E1605="",Calc!$E1605="نامعتبر",Calc!$G1605=""),"",Calc!$G1605)</f>
        <v/>
      </c>
      <c r="B1601">
        <f>IF($A1601="","",LEFT(Calc!$E1605,4)&amp;MID(Calc!$E1605,6,2)&amp;RIGHT(Calc!$E1605,2)&amp;Calc!$Q1605&amp;"|"&amp;"1"&amp;RIGHT("00000"&amp;1596,5))</f>
        <v/>
      </c>
      <c r="C1601">
        <f>IF($B1601="","",COUNTIFS(LdgSellerA,$A1601,LdgKeyA,"&lt;"&amp;$B1601)+COUNTIFS(LdgSellerB,$A1601,LdgKeyB,"&lt;"&amp;$B1601)+1)</f>
        <v/>
      </c>
      <c r="D1601">
        <f>IF($C1601="","",$A1601&amp;"|"&amp;RIGHT("000000"&amp;$C1601,6))</f>
        <v/>
      </c>
      <c r="F1601">
        <f>IF(Sync!$AH1601="","",IF(LEFT(UPPER(TRIM(Sync!$AH1601)),2)="SL",UPPER(TRIM(Sync!$AH1601)),""))</f>
        <v/>
      </c>
      <c r="G1601">
        <f>IF($F1601="","",IF(Sync!$AE1601="","",IF(ISNUMBER(Sync!$AE1601),IF(AND(Sync!$AE1601&gt;=10000101,Sync!$AE1601&lt;=99991231),INT(Sync!$AE1601/10000),""),IFERROR(VALUE(TRIM(LEFT(Sync!$AE1601,FIND("/",Sync!$AE1601)-1))),""))))</f>
        <v/>
      </c>
      <c r="H1601">
        <f>IF(OR($F1601="",$G1601=""),"",IF(ISNUMBER(Sync!$AE1601),INT(MOD(Sync!$AE1601,10000)/100),IFERROR(VALUE(TRIM(LEFT(MID(Sync!$AE1601,FIND("/",Sync!$AE1601)+1,20),FIND("/",MID(Sync!$AE1601,FIND("/",Sync!$AE1601)+1,20))-1))),"")))</f>
        <v/>
      </c>
      <c r="I1601">
        <f>IF(OR($F1601="",$G1601=""),"",IF(ISNUMBER(Sync!$AE1601),MOD(Sync!$AE1601,100),IFERROR(VALUE(TRIM(MID(MID(Sync!$AE1601,FIND("/",Sync!$AE1601)+1,20),FIND("/",MID(Sync!$AE1601,FIND("/",Sync!$AE1601)+1,20))+1,20))),"")))</f>
        <v/>
      </c>
      <c r="J1601">
        <f>IF($F1601="","",IF(OR($G1601="",$H1601="",$I1601="",$G1601&lt;1300,$G1601&gt;1500,$H1601&lt;1,$H1601&gt;12,$I1601&lt;1,$I1601&gt;31),"نامعتبر",RIGHT("0000"&amp;$G1601,4)&amp;"/"&amp;RIGHT("00"&amp;$H1601,2)&amp;"/"&amp;RIGHT("00"&amp;$I1601,2)))</f>
        <v/>
      </c>
      <c r="K1601">
        <f>IF(OR($F1601="",$J1601="",$J1601="نامعتبر"),"",LEFT($J1601,4)&amp;MID($J1601,6,2)&amp;RIGHT($J1601,2)&amp;$N1601&amp;"|"&amp;"2"&amp;RIGHT("00000"&amp;1596,5))</f>
        <v/>
      </c>
      <c r="L1601">
        <f>IF($K1601="","",COUNTIFS(LdgSellerA,$F1601,LdgKeyA,"&lt;"&amp;$K1601)+COUNTIFS(LdgSellerB,$F1601,LdgKeyB,"&lt;"&amp;$K1601)+1)</f>
        <v/>
      </c>
      <c r="M1601">
        <f>IF($L1601="","",$F1601&amp;"|"&amp;RIGHT("000000"&amp;$L1601,6))</f>
        <v/>
      </c>
      <c r="N1601">
        <f>IF($F1601="","",IF(Sync!$AF1601="","0000",IF(AND(ISNUMBER(Sync!$AF1601),Sync!$AF1601&gt;=0,Sync!$AF1601&lt;1),RIGHT("00"&amp;HOUR(Sync!$AF1601),2)&amp;RIGHT("00"&amp;MINUTE(Sync!$AF1601),2),IFERROR(RIGHT("00"&amp;VALUE(LEFT(Sync!$AF1601,FIND(":",Sync!$AF1601)-1)),2)&amp;RIGHT("00"&amp;VALUE(MID(Sync!$AF1601,FIND(":",Sync!$AF1601)+1,2)),2),"0000"))))</f>
        <v/>
      </c>
    </row>
    <row r="1602">
      <c r="A1602">
        <f>IF(OR(Calc!$E1606="",Calc!$E1606="نامعتبر",Calc!$G1606=""),"",Calc!$G1606)</f>
        <v/>
      </c>
      <c r="B1602">
        <f>IF($A1602="","",LEFT(Calc!$E1606,4)&amp;MID(Calc!$E1606,6,2)&amp;RIGHT(Calc!$E1606,2)&amp;Calc!$Q1606&amp;"|"&amp;"1"&amp;RIGHT("00000"&amp;1597,5))</f>
        <v/>
      </c>
      <c r="C1602">
        <f>IF($B1602="","",COUNTIFS(LdgSellerA,$A1602,LdgKeyA,"&lt;"&amp;$B1602)+COUNTIFS(LdgSellerB,$A1602,LdgKeyB,"&lt;"&amp;$B1602)+1)</f>
        <v/>
      </c>
      <c r="D1602">
        <f>IF($C1602="","",$A1602&amp;"|"&amp;RIGHT("000000"&amp;$C1602,6))</f>
        <v/>
      </c>
      <c r="F1602">
        <f>IF(Sync!$AH1602="","",IF(LEFT(UPPER(TRIM(Sync!$AH1602)),2)="SL",UPPER(TRIM(Sync!$AH1602)),""))</f>
        <v/>
      </c>
      <c r="G1602">
        <f>IF($F1602="","",IF(Sync!$AE1602="","",IF(ISNUMBER(Sync!$AE1602),IF(AND(Sync!$AE1602&gt;=10000101,Sync!$AE1602&lt;=99991231),INT(Sync!$AE1602/10000),""),IFERROR(VALUE(TRIM(LEFT(Sync!$AE1602,FIND("/",Sync!$AE1602)-1))),""))))</f>
        <v/>
      </c>
      <c r="H1602">
        <f>IF(OR($F1602="",$G1602=""),"",IF(ISNUMBER(Sync!$AE1602),INT(MOD(Sync!$AE1602,10000)/100),IFERROR(VALUE(TRIM(LEFT(MID(Sync!$AE1602,FIND("/",Sync!$AE1602)+1,20),FIND("/",MID(Sync!$AE1602,FIND("/",Sync!$AE1602)+1,20))-1))),"")))</f>
        <v/>
      </c>
      <c r="I1602">
        <f>IF(OR($F1602="",$G1602=""),"",IF(ISNUMBER(Sync!$AE1602),MOD(Sync!$AE1602,100),IFERROR(VALUE(TRIM(MID(MID(Sync!$AE1602,FIND("/",Sync!$AE1602)+1,20),FIND("/",MID(Sync!$AE1602,FIND("/",Sync!$AE1602)+1,20))+1,20))),"")))</f>
        <v/>
      </c>
      <c r="J1602">
        <f>IF($F1602="","",IF(OR($G1602="",$H1602="",$I1602="",$G1602&lt;1300,$G1602&gt;1500,$H1602&lt;1,$H1602&gt;12,$I1602&lt;1,$I1602&gt;31),"نامعتبر",RIGHT("0000"&amp;$G1602,4)&amp;"/"&amp;RIGHT("00"&amp;$H1602,2)&amp;"/"&amp;RIGHT("00"&amp;$I1602,2)))</f>
        <v/>
      </c>
      <c r="K1602">
        <f>IF(OR($F1602="",$J1602="",$J1602="نامعتبر"),"",LEFT($J1602,4)&amp;MID($J1602,6,2)&amp;RIGHT($J1602,2)&amp;$N1602&amp;"|"&amp;"2"&amp;RIGHT("00000"&amp;1597,5))</f>
        <v/>
      </c>
      <c r="L1602">
        <f>IF($K1602="","",COUNTIFS(LdgSellerA,$F1602,LdgKeyA,"&lt;"&amp;$K1602)+COUNTIFS(LdgSellerB,$F1602,LdgKeyB,"&lt;"&amp;$K1602)+1)</f>
        <v/>
      </c>
      <c r="M1602">
        <f>IF($L1602="","",$F1602&amp;"|"&amp;RIGHT("000000"&amp;$L1602,6))</f>
        <v/>
      </c>
      <c r="N1602">
        <f>IF($F1602="","",IF(Sync!$AF1602="","0000",IF(AND(ISNUMBER(Sync!$AF1602),Sync!$AF1602&gt;=0,Sync!$AF1602&lt;1),RIGHT("00"&amp;HOUR(Sync!$AF1602),2)&amp;RIGHT("00"&amp;MINUTE(Sync!$AF1602),2),IFERROR(RIGHT("00"&amp;VALUE(LEFT(Sync!$AF1602,FIND(":",Sync!$AF1602)-1)),2)&amp;RIGHT("00"&amp;VALUE(MID(Sync!$AF1602,FIND(":",Sync!$AF1602)+1,2)),2),"0000"))))</f>
        <v/>
      </c>
    </row>
    <row r="1603">
      <c r="A1603">
        <f>IF(OR(Calc!$E1607="",Calc!$E1607="نامعتبر",Calc!$G1607=""),"",Calc!$G1607)</f>
        <v/>
      </c>
      <c r="B1603">
        <f>IF($A1603="","",LEFT(Calc!$E1607,4)&amp;MID(Calc!$E1607,6,2)&amp;RIGHT(Calc!$E1607,2)&amp;Calc!$Q1607&amp;"|"&amp;"1"&amp;RIGHT("00000"&amp;1598,5))</f>
        <v/>
      </c>
      <c r="C1603">
        <f>IF($B1603="","",COUNTIFS(LdgSellerA,$A1603,LdgKeyA,"&lt;"&amp;$B1603)+COUNTIFS(LdgSellerB,$A1603,LdgKeyB,"&lt;"&amp;$B1603)+1)</f>
        <v/>
      </c>
      <c r="D1603">
        <f>IF($C1603="","",$A1603&amp;"|"&amp;RIGHT("000000"&amp;$C1603,6))</f>
        <v/>
      </c>
      <c r="F1603">
        <f>IF(Sync!$AH1603="","",IF(LEFT(UPPER(TRIM(Sync!$AH1603)),2)="SL",UPPER(TRIM(Sync!$AH1603)),""))</f>
        <v/>
      </c>
      <c r="G1603">
        <f>IF($F1603="","",IF(Sync!$AE1603="","",IF(ISNUMBER(Sync!$AE1603),IF(AND(Sync!$AE1603&gt;=10000101,Sync!$AE1603&lt;=99991231),INT(Sync!$AE1603/10000),""),IFERROR(VALUE(TRIM(LEFT(Sync!$AE1603,FIND("/",Sync!$AE1603)-1))),""))))</f>
        <v/>
      </c>
      <c r="H1603">
        <f>IF(OR($F1603="",$G1603=""),"",IF(ISNUMBER(Sync!$AE1603),INT(MOD(Sync!$AE1603,10000)/100),IFERROR(VALUE(TRIM(LEFT(MID(Sync!$AE1603,FIND("/",Sync!$AE1603)+1,20),FIND("/",MID(Sync!$AE1603,FIND("/",Sync!$AE1603)+1,20))-1))),"")))</f>
        <v/>
      </c>
      <c r="I1603">
        <f>IF(OR($F1603="",$G1603=""),"",IF(ISNUMBER(Sync!$AE1603),MOD(Sync!$AE1603,100),IFERROR(VALUE(TRIM(MID(MID(Sync!$AE1603,FIND("/",Sync!$AE1603)+1,20),FIND("/",MID(Sync!$AE1603,FIND("/",Sync!$AE1603)+1,20))+1,20))),"")))</f>
        <v/>
      </c>
      <c r="J1603">
        <f>IF($F1603="","",IF(OR($G1603="",$H1603="",$I1603="",$G1603&lt;1300,$G1603&gt;1500,$H1603&lt;1,$H1603&gt;12,$I1603&lt;1,$I1603&gt;31),"نامعتبر",RIGHT("0000"&amp;$G1603,4)&amp;"/"&amp;RIGHT("00"&amp;$H1603,2)&amp;"/"&amp;RIGHT("00"&amp;$I1603,2)))</f>
        <v/>
      </c>
      <c r="K1603">
        <f>IF(OR($F1603="",$J1603="",$J1603="نامعتبر"),"",LEFT($J1603,4)&amp;MID($J1603,6,2)&amp;RIGHT($J1603,2)&amp;$N1603&amp;"|"&amp;"2"&amp;RIGHT("00000"&amp;1598,5))</f>
        <v/>
      </c>
      <c r="L1603">
        <f>IF($K1603="","",COUNTIFS(LdgSellerA,$F1603,LdgKeyA,"&lt;"&amp;$K1603)+COUNTIFS(LdgSellerB,$F1603,LdgKeyB,"&lt;"&amp;$K1603)+1)</f>
        <v/>
      </c>
      <c r="M1603">
        <f>IF($L1603="","",$F1603&amp;"|"&amp;RIGHT("000000"&amp;$L1603,6))</f>
        <v/>
      </c>
      <c r="N1603">
        <f>IF($F1603="","",IF(Sync!$AF1603="","0000",IF(AND(ISNUMBER(Sync!$AF1603),Sync!$AF1603&gt;=0,Sync!$AF1603&lt;1),RIGHT("00"&amp;HOUR(Sync!$AF1603),2)&amp;RIGHT("00"&amp;MINUTE(Sync!$AF1603),2),IFERROR(RIGHT("00"&amp;VALUE(LEFT(Sync!$AF1603,FIND(":",Sync!$AF1603)-1)),2)&amp;RIGHT("00"&amp;VALUE(MID(Sync!$AF1603,FIND(":",Sync!$AF1603)+1,2)),2),"0000"))))</f>
        <v/>
      </c>
    </row>
    <row r="1604">
      <c r="A1604">
        <f>IF(OR(Calc!$E1608="",Calc!$E1608="نامعتبر",Calc!$G1608=""),"",Calc!$G1608)</f>
        <v/>
      </c>
      <c r="B1604">
        <f>IF($A1604="","",LEFT(Calc!$E1608,4)&amp;MID(Calc!$E1608,6,2)&amp;RIGHT(Calc!$E1608,2)&amp;Calc!$Q1608&amp;"|"&amp;"1"&amp;RIGHT("00000"&amp;1599,5))</f>
        <v/>
      </c>
      <c r="C1604">
        <f>IF($B1604="","",COUNTIFS(LdgSellerA,$A1604,LdgKeyA,"&lt;"&amp;$B1604)+COUNTIFS(LdgSellerB,$A1604,LdgKeyB,"&lt;"&amp;$B1604)+1)</f>
        <v/>
      </c>
      <c r="D1604">
        <f>IF($C1604="","",$A1604&amp;"|"&amp;RIGHT("000000"&amp;$C1604,6))</f>
        <v/>
      </c>
      <c r="F1604">
        <f>IF(Sync!$AH1604="","",IF(LEFT(UPPER(TRIM(Sync!$AH1604)),2)="SL",UPPER(TRIM(Sync!$AH1604)),""))</f>
        <v/>
      </c>
      <c r="G1604">
        <f>IF($F1604="","",IF(Sync!$AE1604="","",IF(ISNUMBER(Sync!$AE1604),IF(AND(Sync!$AE1604&gt;=10000101,Sync!$AE1604&lt;=99991231),INT(Sync!$AE1604/10000),""),IFERROR(VALUE(TRIM(LEFT(Sync!$AE1604,FIND("/",Sync!$AE1604)-1))),""))))</f>
        <v/>
      </c>
      <c r="H1604">
        <f>IF(OR($F1604="",$G1604=""),"",IF(ISNUMBER(Sync!$AE1604),INT(MOD(Sync!$AE1604,10000)/100),IFERROR(VALUE(TRIM(LEFT(MID(Sync!$AE1604,FIND("/",Sync!$AE1604)+1,20),FIND("/",MID(Sync!$AE1604,FIND("/",Sync!$AE1604)+1,20))-1))),"")))</f>
        <v/>
      </c>
      <c r="I1604">
        <f>IF(OR($F1604="",$G1604=""),"",IF(ISNUMBER(Sync!$AE1604),MOD(Sync!$AE1604,100),IFERROR(VALUE(TRIM(MID(MID(Sync!$AE1604,FIND("/",Sync!$AE1604)+1,20),FIND("/",MID(Sync!$AE1604,FIND("/",Sync!$AE1604)+1,20))+1,20))),"")))</f>
        <v/>
      </c>
      <c r="J1604">
        <f>IF($F1604="","",IF(OR($G1604="",$H1604="",$I1604="",$G1604&lt;1300,$G1604&gt;1500,$H1604&lt;1,$H1604&gt;12,$I1604&lt;1,$I1604&gt;31),"نامعتبر",RIGHT("0000"&amp;$G1604,4)&amp;"/"&amp;RIGHT("00"&amp;$H1604,2)&amp;"/"&amp;RIGHT("00"&amp;$I1604,2)))</f>
        <v/>
      </c>
      <c r="K1604">
        <f>IF(OR($F1604="",$J1604="",$J1604="نامعتبر"),"",LEFT($J1604,4)&amp;MID($J1604,6,2)&amp;RIGHT($J1604,2)&amp;$N1604&amp;"|"&amp;"2"&amp;RIGHT("00000"&amp;1599,5))</f>
        <v/>
      </c>
      <c r="L1604">
        <f>IF($K1604="","",COUNTIFS(LdgSellerA,$F1604,LdgKeyA,"&lt;"&amp;$K1604)+COUNTIFS(LdgSellerB,$F1604,LdgKeyB,"&lt;"&amp;$K1604)+1)</f>
        <v/>
      </c>
      <c r="M1604">
        <f>IF($L1604="","",$F1604&amp;"|"&amp;RIGHT("000000"&amp;$L1604,6))</f>
        <v/>
      </c>
      <c r="N1604">
        <f>IF($F1604="","",IF(Sync!$AF1604="","0000",IF(AND(ISNUMBER(Sync!$AF1604),Sync!$AF1604&gt;=0,Sync!$AF1604&lt;1),RIGHT("00"&amp;HOUR(Sync!$AF1604),2)&amp;RIGHT("00"&amp;MINUTE(Sync!$AF1604),2),IFERROR(RIGHT("00"&amp;VALUE(LEFT(Sync!$AF1604,FIND(":",Sync!$AF1604)-1)),2)&amp;RIGHT("00"&amp;VALUE(MID(Sync!$AF1604,FIND(":",Sync!$AF1604)+1,2)),2),"0000"))))</f>
        <v/>
      </c>
    </row>
    <row r="1605">
      <c r="A1605">
        <f>IF(OR(Calc!$E1609="",Calc!$E1609="نامعتبر",Calc!$G1609=""),"",Calc!$G1609)</f>
        <v/>
      </c>
      <c r="B1605">
        <f>IF($A1605="","",LEFT(Calc!$E1609,4)&amp;MID(Calc!$E1609,6,2)&amp;RIGHT(Calc!$E1609,2)&amp;Calc!$Q1609&amp;"|"&amp;"1"&amp;RIGHT("00000"&amp;1600,5))</f>
        <v/>
      </c>
      <c r="C1605">
        <f>IF($B1605="","",COUNTIFS(LdgSellerA,$A1605,LdgKeyA,"&lt;"&amp;$B1605)+COUNTIFS(LdgSellerB,$A1605,LdgKeyB,"&lt;"&amp;$B1605)+1)</f>
        <v/>
      </c>
      <c r="D1605">
        <f>IF($C1605="","",$A1605&amp;"|"&amp;RIGHT("000000"&amp;$C1605,6))</f>
        <v/>
      </c>
      <c r="F1605">
        <f>IF(Sync!$AH1605="","",IF(LEFT(UPPER(TRIM(Sync!$AH1605)),2)="SL",UPPER(TRIM(Sync!$AH1605)),""))</f>
        <v/>
      </c>
      <c r="G1605">
        <f>IF($F1605="","",IF(Sync!$AE1605="","",IF(ISNUMBER(Sync!$AE1605),IF(AND(Sync!$AE1605&gt;=10000101,Sync!$AE1605&lt;=99991231),INT(Sync!$AE1605/10000),""),IFERROR(VALUE(TRIM(LEFT(Sync!$AE1605,FIND("/",Sync!$AE1605)-1))),""))))</f>
        <v/>
      </c>
      <c r="H1605">
        <f>IF(OR($F1605="",$G1605=""),"",IF(ISNUMBER(Sync!$AE1605),INT(MOD(Sync!$AE1605,10000)/100),IFERROR(VALUE(TRIM(LEFT(MID(Sync!$AE1605,FIND("/",Sync!$AE1605)+1,20),FIND("/",MID(Sync!$AE1605,FIND("/",Sync!$AE1605)+1,20))-1))),"")))</f>
        <v/>
      </c>
      <c r="I1605">
        <f>IF(OR($F1605="",$G1605=""),"",IF(ISNUMBER(Sync!$AE1605),MOD(Sync!$AE1605,100),IFERROR(VALUE(TRIM(MID(MID(Sync!$AE1605,FIND("/",Sync!$AE1605)+1,20),FIND("/",MID(Sync!$AE1605,FIND("/",Sync!$AE1605)+1,20))+1,20))),"")))</f>
        <v/>
      </c>
      <c r="J1605">
        <f>IF($F1605="","",IF(OR($G1605="",$H1605="",$I1605="",$G1605&lt;1300,$G1605&gt;1500,$H1605&lt;1,$H1605&gt;12,$I1605&lt;1,$I1605&gt;31),"نامعتبر",RIGHT("0000"&amp;$G1605,4)&amp;"/"&amp;RIGHT("00"&amp;$H1605,2)&amp;"/"&amp;RIGHT("00"&amp;$I1605,2)))</f>
        <v/>
      </c>
      <c r="K1605">
        <f>IF(OR($F1605="",$J1605="",$J1605="نامعتبر"),"",LEFT($J1605,4)&amp;MID($J1605,6,2)&amp;RIGHT($J1605,2)&amp;$N1605&amp;"|"&amp;"2"&amp;RIGHT("00000"&amp;1600,5))</f>
        <v/>
      </c>
      <c r="L1605">
        <f>IF($K1605="","",COUNTIFS(LdgSellerA,$F1605,LdgKeyA,"&lt;"&amp;$K1605)+COUNTIFS(LdgSellerB,$F1605,LdgKeyB,"&lt;"&amp;$K1605)+1)</f>
        <v/>
      </c>
      <c r="M1605">
        <f>IF($L1605="","",$F1605&amp;"|"&amp;RIGHT("000000"&amp;$L1605,6))</f>
        <v/>
      </c>
      <c r="N1605">
        <f>IF($F1605="","",IF(Sync!$AF1605="","0000",IF(AND(ISNUMBER(Sync!$AF1605),Sync!$AF1605&gt;=0,Sync!$AF1605&lt;1),RIGHT("00"&amp;HOUR(Sync!$AF1605),2)&amp;RIGHT("00"&amp;MINUTE(Sync!$AF1605),2),IFERROR(RIGHT("00"&amp;VALUE(LEFT(Sync!$AF1605,FIND(":",Sync!$AF1605)-1)),2)&amp;RIGHT("00"&amp;VALUE(MID(Sync!$AF1605,FIND(":",Sync!$AF1605)+1,2)),2),"0000"))))</f>
        <v/>
      </c>
    </row>
    <row r="1606">
      <c r="A1606">
        <f>IF(OR(Calc!$E1610="",Calc!$E1610="نامعتبر",Calc!$G1610=""),"",Calc!$G1610)</f>
        <v/>
      </c>
      <c r="B1606">
        <f>IF($A1606="","",LEFT(Calc!$E1610,4)&amp;MID(Calc!$E1610,6,2)&amp;RIGHT(Calc!$E1610,2)&amp;Calc!$Q1610&amp;"|"&amp;"1"&amp;RIGHT("00000"&amp;1601,5))</f>
        <v/>
      </c>
      <c r="C1606">
        <f>IF($B1606="","",COUNTIFS(LdgSellerA,$A1606,LdgKeyA,"&lt;"&amp;$B1606)+COUNTIFS(LdgSellerB,$A1606,LdgKeyB,"&lt;"&amp;$B1606)+1)</f>
        <v/>
      </c>
      <c r="D1606">
        <f>IF($C1606="","",$A1606&amp;"|"&amp;RIGHT("000000"&amp;$C1606,6))</f>
        <v/>
      </c>
      <c r="F1606">
        <f>IF(Sync!$AH1606="","",IF(LEFT(UPPER(TRIM(Sync!$AH1606)),2)="SL",UPPER(TRIM(Sync!$AH1606)),""))</f>
        <v/>
      </c>
      <c r="G1606">
        <f>IF($F1606="","",IF(Sync!$AE1606="","",IF(ISNUMBER(Sync!$AE1606),IF(AND(Sync!$AE1606&gt;=10000101,Sync!$AE1606&lt;=99991231),INT(Sync!$AE1606/10000),""),IFERROR(VALUE(TRIM(LEFT(Sync!$AE1606,FIND("/",Sync!$AE1606)-1))),""))))</f>
        <v/>
      </c>
      <c r="H1606">
        <f>IF(OR($F1606="",$G1606=""),"",IF(ISNUMBER(Sync!$AE1606),INT(MOD(Sync!$AE1606,10000)/100),IFERROR(VALUE(TRIM(LEFT(MID(Sync!$AE1606,FIND("/",Sync!$AE1606)+1,20),FIND("/",MID(Sync!$AE1606,FIND("/",Sync!$AE1606)+1,20))-1))),"")))</f>
        <v/>
      </c>
      <c r="I1606">
        <f>IF(OR($F1606="",$G1606=""),"",IF(ISNUMBER(Sync!$AE1606),MOD(Sync!$AE1606,100),IFERROR(VALUE(TRIM(MID(MID(Sync!$AE1606,FIND("/",Sync!$AE1606)+1,20),FIND("/",MID(Sync!$AE1606,FIND("/",Sync!$AE1606)+1,20))+1,20))),"")))</f>
        <v/>
      </c>
      <c r="J1606">
        <f>IF($F1606="","",IF(OR($G1606="",$H1606="",$I1606="",$G1606&lt;1300,$G1606&gt;1500,$H1606&lt;1,$H1606&gt;12,$I1606&lt;1,$I1606&gt;31),"نامعتبر",RIGHT("0000"&amp;$G1606,4)&amp;"/"&amp;RIGHT("00"&amp;$H1606,2)&amp;"/"&amp;RIGHT("00"&amp;$I1606,2)))</f>
        <v/>
      </c>
      <c r="K1606">
        <f>IF(OR($F1606="",$J1606="",$J1606="نامعتبر"),"",LEFT($J1606,4)&amp;MID($J1606,6,2)&amp;RIGHT($J1606,2)&amp;$N1606&amp;"|"&amp;"2"&amp;RIGHT("00000"&amp;1601,5))</f>
        <v/>
      </c>
      <c r="L1606">
        <f>IF($K1606="","",COUNTIFS(LdgSellerA,$F1606,LdgKeyA,"&lt;"&amp;$K1606)+COUNTIFS(LdgSellerB,$F1606,LdgKeyB,"&lt;"&amp;$K1606)+1)</f>
        <v/>
      </c>
      <c r="M1606">
        <f>IF($L1606="","",$F1606&amp;"|"&amp;RIGHT("000000"&amp;$L1606,6))</f>
        <v/>
      </c>
      <c r="N1606">
        <f>IF($F1606="","",IF(Sync!$AF1606="","0000",IF(AND(ISNUMBER(Sync!$AF1606),Sync!$AF1606&gt;=0,Sync!$AF1606&lt;1),RIGHT("00"&amp;HOUR(Sync!$AF1606),2)&amp;RIGHT("00"&amp;MINUTE(Sync!$AF1606),2),IFERROR(RIGHT("00"&amp;VALUE(LEFT(Sync!$AF1606,FIND(":",Sync!$AF1606)-1)),2)&amp;RIGHT("00"&amp;VALUE(MID(Sync!$AF1606,FIND(":",Sync!$AF1606)+1,2)),2),"0000"))))</f>
        <v/>
      </c>
    </row>
    <row r="1607">
      <c r="A1607">
        <f>IF(OR(Calc!$E1611="",Calc!$E1611="نامعتبر",Calc!$G1611=""),"",Calc!$G1611)</f>
        <v/>
      </c>
      <c r="B1607">
        <f>IF($A1607="","",LEFT(Calc!$E1611,4)&amp;MID(Calc!$E1611,6,2)&amp;RIGHT(Calc!$E1611,2)&amp;Calc!$Q1611&amp;"|"&amp;"1"&amp;RIGHT("00000"&amp;1602,5))</f>
        <v/>
      </c>
      <c r="C1607">
        <f>IF($B1607="","",COUNTIFS(LdgSellerA,$A1607,LdgKeyA,"&lt;"&amp;$B1607)+COUNTIFS(LdgSellerB,$A1607,LdgKeyB,"&lt;"&amp;$B1607)+1)</f>
        <v/>
      </c>
      <c r="D1607">
        <f>IF($C1607="","",$A1607&amp;"|"&amp;RIGHT("000000"&amp;$C1607,6))</f>
        <v/>
      </c>
      <c r="F1607">
        <f>IF(Sync!$AH1607="","",IF(LEFT(UPPER(TRIM(Sync!$AH1607)),2)="SL",UPPER(TRIM(Sync!$AH1607)),""))</f>
        <v/>
      </c>
      <c r="G1607">
        <f>IF($F1607="","",IF(Sync!$AE1607="","",IF(ISNUMBER(Sync!$AE1607),IF(AND(Sync!$AE1607&gt;=10000101,Sync!$AE1607&lt;=99991231),INT(Sync!$AE1607/10000),""),IFERROR(VALUE(TRIM(LEFT(Sync!$AE1607,FIND("/",Sync!$AE1607)-1))),""))))</f>
        <v/>
      </c>
      <c r="H1607">
        <f>IF(OR($F1607="",$G1607=""),"",IF(ISNUMBER(Sync!$AE1607),INT(MOD(Sync!$AE1607,10000)/100),IFERROR(VALUE(TRIM(LEFT(MID(Sync!$AE1607,FIND("/",Sync!$AE1607)+1,20),FIND("/",MID(Sync!$AE1607,FIND("/",Sync!$AE1607)+1,20))-1))),"")))</f>
        <v/>
      </c>
      <c r="I1607">
        <f>IF(OR($F1607="",$G1607=""),"",IF(ISNUMBER(Sync!$AE1607),MOD(Sync!$AE1607,100),IFERROR(VALUE(TRIM(MID(MID(Sync!$AE1607,FIND("/",Sync!$AE1607)+1,20),FIND("/",MID(Sync!$AE1607,FIND("/",Sync!$AE1607)+1,20))+1,20))),"")))</f>
        <v/>
      </c>
      <c r="J1607">
        <f>IF($F1607="","",IF(OR($G1607="",$H1607="",$I1607="",$G1607&lt;1300,$G1607&gt;1500,$H1607&lt;1,$H1607&gt;12,$I1607&lt;1,$I1607&gt;31),"نامعتبر",RIGHT("0000"&amp;$G1607,4)&amp;"/"&amp;RIGHT("00"&amp;$H1607,2)&amp;"/"&amp;RIGHT("00"&amp;$I1607,2)))</f>
        <v/>
      </c>
      <c r="K1607">
        <f>IF(OR($F1607="",$J1607="",$J1607="نامعتبر"),"",LEFT($J1607,4)&amp;MID($J1607,6,2)&amp;RIGHT($J1607,2)&amp;$N1607&amp;"|"&amp;"2"&amp;RIGHT("00000"&amp;1602,5))</f>
        <v/>
      </c>
      <c r="L1607">
        <f>IF($K1607="","",COUNTIFS(LdgSellerA,$F1607,LdgKeyA,"&lt;"&amp;$K1607)+COUNTIFS(LdgSellerB,$F1607,LdgKeyB,"&lt;"&amp;$K1607)+1)</f>
        <v/>
      </c>
      <c r="M1607">
        <f>IF($L1607="","",$F1607&amp;"|"&amp;RIGHT("000000"&amp;$L1607,6))</f>
        <v/>
      </c>
      <c r="N1607">
        <f>IF($F1607="","",IF(Sync!$AF1607="","0000",IF(AND(ISNUMBER(Sync!$AF1607),Sync!$AF1607&gt;=0,Sync!$AF1607&lt;1),RIGHT("00"&amp;HOUR(Sync!$AF1607),2)&amp;RIGHT("00"&amp;MINUTE(Sync!$AF1607),2),IFERROR(RIGHT("00"&amp;VALUE(LEFT(Sync!$AF1607,FIND(":",Sync!$AF1607)-1)),2)&amp;RIGHT("00"&amp;VALUE(MID(Sync!$AF1607,FIND(":",Sync!$AF1607)+1,2)),2),"0000"))))</f>
        <v/>
      </c>
    </row>
    <row r="1608">
      <c r="A1608">
        <f>IF(OR(Calc!$E1612="",Calc!$E1612="نامعتبر",Calc!$G1612=""),"",Calc!$G1612)</f>
        <v/>
      </c>
      <c r="B1608">
        <f>IF($A1608="","",LEFT(Calc!$E1612,4)&amp;MID(Calc!$E1612,6,2)&amp;RIGHT(Calc!$E1612,2)&amp;Calc!$Q1612&amp;"|"&amp;"1"&amp;RIGHT("00000"&amp;1603,5))</f>
        <v/>
      </c>
      <c r="C1608">
        <f>IF($B1608="","",COUNTIFS(LdgSellerA,$A1608,LdgKeyA,"&lt;"&amp;$B1608)+COUNTIFS(LdgSellerB,$A1608,LdgKeyB,"&lt;"&amp;$B1608)+1)</f>
        <v/>
      </c>
      <c r="D1608">
        <f>IF($C1608="","",$A1608&amp;"|"&amp;RIGHT("000000"&amp;$C1608,6))</f>
        <v/>
      </c>
      <c r="F1608">
        <f>IF(Sync!$AH1608="","",IF(LEFT(UPPER(TRIM(Sync!$AH1608)),2)="SL",UPPER(TRIM(Sync!$AH1608)),""))</f>
        <v/>
      </c>
      <c r="G1608">
        <f>IF($F1608="","",IF(Sync!$AE1608="","",IF(ISNUMBER(Sync!$AE1608),IF(AND(Sync!$AE1608&gt;=10000101,Sync!$AE1608&lt;=99991231),INT(Sync!$AE1608/10000),""),IFERROR(VALUE(TRIM(LEFT(Sync!$AE1608,FIND("/",Sync!$AE1608)-1))),""))))</f>
        <v/>
      </c>
      <c r="H1608">
        <f>IF(OR($F1608="",$G1608=""),"",IF(ISNUMBER(Sync!$AE1608),INT(MOD(Sync!$AE1608,10000)/100),IFERROR(VALUE(TRIM(LEFT(MID(Sync!$AE1608,FIND("/",Sync!$AE1608)+1,20),FIND("/",MID(Sync!$AE1608,FIND("/",Sync!$AE1608)+1,20))-1))),"")))</f>
        <v/>
      </c>
      <c r="I1608">
        <f>IF(OR($F1608="",$G1608=""),"",IF(ISNUMBER(Sync!$AE1608),MOD(Sync!$AE1608,100),IFERROR(VALUE(TRIM(MID(MID(Sync!$AE1608,FIND("/",Sync!$AE1608)+1,20),FIND("/",MID(Sync!$AE1608,FIND("/",Sync!$AE1608)+1,20))+1,20))),"")))</f>
        <v/>
      </c>
      <c r="J1608">
        <f>IF($F1608="","",IF(OR($G1608="",$H1608="",$I1608="",$G1608&lt;1300,$G1608&gt;1500,$H1608&lt;1,$H1608&gt;12,$I1608&lt;1,$I1608&gt;31),"نامعتبر",RIGHT("0000"&amp;$G1608,4)&amp;"/"&amp;RIGHT("00"&amp;$H1608,2)&amp;"/"&amp;RIGHT("00"&amp;$I1608,2)))</f>
        <v/>
      </c>
      <c r="K1608">
        <f>IF(OR($F1608="",$J1608="",$J1608="نامعتبر"),"",LEFT($J1608,4)&amp;MID($J1608,6,2)&amp;RIGHT($J1608,2)&amp;$N1608&amp;"|"&amp;"2"&amp;RIGHT("00000"&amp;1603,5))</f>
        <v/>
      </c>
      <c r="L1608">
        <f>IF($K1608="","",COUNTIFS(LdgSellerA,$F1608,LdgKeyA,"&lt;"&amp;$K1608)+COUNTIFS(LdgSellerB,$F1608,LdgKeyB,"&lt;"&amp;$K1608)+1)</f>
        <v/>
      </c>
      <c r="M1608">
        <f>IF($L1608="","",$F1608&amp;"|"&amp;RIGHT("000000"&amp;$L1608,6))</f>
        <v/>
      </c>
      <c r="N1608">
        <f>IF($F1608="","",IF(Sync!$AF1608="","0000",IF(AND(ISNUMBER(Sync!$AF1608),Sync!$AF1608&gt;=0,Sync!$AF1608&lt;1),RIGHT("00"&amp;HOUR(Sync!$AF1608),2)&amp;RIGHT("00"&amp;MINUTE(Sync!$AF1608),2),IFERROR(RIGHT("00"&amp;VALUE(LEFT(Sync!$AF1608,FIND(":",Sync!$AF1608)-1)),2)&amp;RIGHT("00"&amp;VALUE(MID(Sync!$AF1608,FIND(":",Sync!$AF1608)+1,2)),2),"0000"))))</f>
        <v/>
      </c>
    </row>
    <row r="1609">
      <c r="A1609">
        <f>IF(OR(Calc!$E1613="",Calc!$E1613="نامعتبر",Calc!$G1613=""),"",Calc!$G1613)</f>
        <v/>
      </c>
      <c r="B1609">
        <f>IF($A1609="","",LEFT(Calc!$E1613,4)&amp;MID(Calc!$E1613,6,2)&amp;RIGHT(Calc!$E1613,2)&amp;Calc!$Q1613&amp;"|"&amp;"1"&amp;RIGHT("00000"&amp;1604,5))</f>
        <v/>
      </c>
      <c r="C1609">
        <f>IF($B1609="","",COUNTIFS(LdgSellerA,$A1609,LdgKeyA,"&lt;"&amp;$B1609)+COUNTIFS(LdgSellerB,$A1609,LdgKeyB,"&lt;"&amp;$B1609)+1)</f>
        <v/>
      </c>
      <c r="D1609">
        <f>IF($C1609="","",$A1609&amp;"|"&amp;RIGHT("000000"&amp;$C1609,6))</f>
        <v/>
      </c>
      <c r="F1609">
        <f>IF(Sync!$AH1609="","",IF(LEFT(UPPER(TRIM(Sync!$AH1609)),2)="SL",UPPER(TRIM(Sync!$AH1609)),""))</f>
        <v/>
      </c>
      <c r="G1609">
        <f>IF($F1609="","",IF(Sync!$AE1609="","",IF(ISNUMBER(Sync!$AE1609),IF(AND(Sync!$AE1609&gt;=10000101,Sync!$AE1609&lt;=99991231),INT(Sync!$AE1609/10000),""),IFERROR(VALUE(TRIM(LEFT(Sync!$AE1609,FIND("/",Sync!$AE1609)-1))),""))))</f>
        <v/>
      </c>
      <c r="H1609">
        <f>IF(OR($F1609="",$G1609=""),"",IF(ISNUMBER(Sync!$AE1609),INT(MOD(Sync!$AE1609,10000)/100),IFERROR(VALUE(TRIM(LEFT(MID(Sync!$AE1609,FIND("/",Sync!$AE1609)+1,20),FIND("/",MID(Sync!$AE1609,FIND("/",Sync!$AE1609)+1,20))-1))),"")))</f>
        <v/>
      </c>
      <c r="I1609">
        <f>IF(OR($F1609="",$G1609=""),"",IF(ISNUMBER(Sync!$AE1609),MOD(Sync!$AE1609,100),IFERROR(VALUE(TRIM(MID(MID(Sync!$AE1609,FIND("/",Sync!$AE1609)+1,20),FIND("/",MID(Sync!$AE1609,FIND("/",Sync!$AE1609)+1,20))+1,20))),"")))</f>
        <v/>
      </c>
      <c r="J1609">
        <f>IF($F1609="","",IF(OR($G1609="",$H1609="",$I1609="",$G1609&lt;1300,$G1609&gt;1500,$H1609&lt;1,$H1609&gt;12,$I1609&lt;1,$I1609&gt;31),"نامعتبر",RIGHT("0000"&amp;$G1609,4)&amp;"/"&amp;RIGHT("00"&amp;$H1609,2)&amp;"/"&amp;RIGHT("00"&amp;$I1609,2)))</f>
        <v/>
      </c>
      <c r="K1609">
        <f>IF(OR($F1609="",$J1609="",$J1609="نامعتبر"),"",LEFT($J1609,4)&amp;MID($J1609,6,2)&amp;RIGHT($J1609,2)&amp;$N1609&amp;"|"&amp;"2"&amp;RIGHT("00000"&amp;1604,5))</f>
        <v/>
      </c>
      <c r="L1609">
        <f>IF($K1609="","",COUNTIFS(LdgSellerA,$F1609,LdgKeyA,"&lt;"&amp;$K1609)+COUNTIFS(LdgSellerB,$F1609,LdgKeyB,"&lt;"&amp;$K1609)+1)</f>
        <v/>
      </c>
      <c r="M1609">
        <f>IF($L1609="","",$F1609&amp;"|"&amp;RIGHT("000000"&amp;$L1609,6))</f>
        <v/>
      </c>
      <c r="N1609">
        <f>IF($F1609="","",IF(Sync!$AF1609="","0000",IF(AND(ISNUMBER(Sync!$AF1609),Sync!$AF1609&gt;=0,Sync!$AF1609&lt;1),RIGHT("00"&amp;HOUR(Sync!$AF1609),2)&amp;RIGHT("00"&amp;MINUTE(Sync!$AF1609),2),IFERROR(RIGHT("00"&amp;VALUE(LEFT(Sync!$AF1609,FIND(":",Sync!$AF1609)-1)),2)&amp;RIGHT("00"&amp;VALUE(MID(Sync!$AF1609,FIND(":",Sync!$AF1609)+1,2)),2),"0000"))))</f>
        <v/>
      </c>
    </row>
    <row r="1610">
      <c r="A1610">
        <f>IF(OR(Calc!$E1614="",Calc!$E1614="نامعتبر",Calc!$G1614=""),"",Calc!$G1614)</f>
        <v/>
      </c>
      <c r="B1610">
        <f>IF($A1610="","",LEFT(Calc!$E1614,4)&amp;MID(Calc!$E1614,6,2)&amp;RIGHT(Calc!$E1614,2)&amp;Calc!$Q1614&amp;"|"&amp;"1"&amp;RIGHT("00000"&amp;1605,5))</f>
        <v/>
      </c>
      <c r="C1610">
        <f>IF($B1610="","",COUNTIFS(LdgSellerA,$A1610,LdgKeyA,"&lt;"&amp;$B1610)+COUNTIFS(LdgSellerB,$A1610,LdgKeyB,"&lt;"&amp;$B1610)+1)</f>
        <v/>
      </c>
      <c r="D1610">
        <f>IF($C1610="","",$A1610&amp;"|"&amp;RIGHT("000000"&amp;$C1610,6))</f>
        <v/>
      </c>
      <c r="F1610">
        <f>IF(Sync!$AH1610="","",IF(LEFT(UPPER(TRIM(Sync!$AH1610)),2)="SL",UPPER(TRIM(Sync!$AH1610)),""))</f>
        <v/>
      </c>
      <c r="G1610">
        <f>IF($F1610="","",IF(Sync!$AE1610="","",IF(ISNUMBER(Sync!$AE1610),IF(AND(Sync!$AE1610&gt;=10000101,Sync!$AE1610&lt;=99991231),INT(Sync!$AE1610/10000),""),IFERROR(VALUE(TRIM(LEFT(Sync!$AE1610,FIND("/",Sync!$AE1610)-1))),""))))</f>
        <v/>
      </c>
      <c r="H1610">
        <f>IF(OR($F1610="",$G1610=""),"",IF(ISNUMBER(Sync!$AE1610),INT(MOD(Sync!$AE1610,10000)/100),IFERROR(VALUE(TRIM(LEFT(MID(Sync!$AE1610,FIND("/",Sync!$AE1610)+1,20),FIND("/",MID(Sync!$AE1610,FIND("/",Sync!$AE1610)+1,20))-1))),"")))</f>
        <v/>
      </c>
      <c r="I1610">
        <f>IF(OR($F1610="",$G1610=""),"",IF(ISNUMBER(Sync!$AE1610),MOD(Sync!$AE1610,100),IFERROR(VALUE(TRIM(MID(MID(Sync!$AE1610,FIND("/",Sync!$AE1610)+1,20),FIND("/",MID(Sync!$AE1610,FIND("/",Sync!$AE1610)+1,20))+1,20))),"")))</f>
        <v/>
      </c>
      <c r="J1610">
        <f>IF($F1610="","",IF(OR($G1610="",$H1610="",$I1610="",$G1610&lt;1300,$G1610&gt;1500,$H1610&lt;1,$H1610&gt;12,$I1610&lt;1,$I1610&gt;31),"نامعتبر",RIGHT("0000"&amp;$G1610,4)&amp;"/"&amp;RIGHT("00"&amp;$H1610,2)&amp;"/"&amp;RIGHT("00"&amp;$I1610,2)))</f>
        <v/>
      </c>
      <c r="K1610">
        <f>IF(OR($F1610="",$J1610="",$J1610="نامعتبر"),"",LEFT($J1610,4)&amp;MID($J1610,6,2)&amp;RIGHT($J1610,2)&amp;$N1610&amp;"|"&amp;"2"&amp;RIGHT("00000"&amp;1605,5))</f>
        <v/>
      </c>
      <c r="L1610">
        <f>IF($K1610="","",COUNTIFS(LdgSellerA,$F1610,LdgKeyA,"&lt;"&amp;$K1610)+COUNTIFS(LdgSellerB,$F1610,LdgKeyB,"&lt;"&amp;$K1610)+1)</f>
        <v/>
      </c>
      <c r="M1610">
        <f>IF($L1610="","",$F1610&amp;"|"&amp;RIGHT("000000"&amp;$L1610,6))</f>
        <v/>
      </c>
      <c r="N1610">
        <f>IF($F1610="","",IF(Sync!$AF1610="","0000",IF(AND(ISNUMBER(Sync!$AF1610),Sync!$AF1610&gt;=0,Sync!$AF1610&lt;1),RIGHT("00"&amp;HOUR(Sync!$AF1610),2)&amp;RIGHT("00"&amp;MINUTE(Sync!$AF1610),2),IFERROR(RIGHT("00"&amp;VALUE(LEFT(Sync!$AF1610,FIND(":",Sync!$AF1610)-1)),2)&amp;RIGHT("00"&amp;VALUE(MID(Sync!$AF1610,FIND(":",Sync!$AF1610)+1,2)),2),"0000"))))</f>
        <v/>
      </c>
    </row>
    <row r="1611">
      <c r="A1611">
        <f>IF(OR(Calc!$E1615="",Calc!$E1615="نامعتبر",Calc!$G1615=""),"",Calc!$G1615)</f>
        <v/>
      </c>
      <c r="B1611">
        <f>IF($A1611="","",LEFT(Calc!$E1615,4)&amp;MID(Calc!$E1615,6,2)&amp;RIGHT(Calc!$E1615,2)&amp;Calc!$Q1615&amp;"|"&amp;"1"&amp;RIGHT("00000"&amp;1606,5))</f>
        <v/>
      </c>
      <c r="C1611">
        <f>IF($B1611="","",COUNTIFS(LdgSellerA,$A1611,LdgKeyA,"&lt;"&amp;$B1611)+COUNTIFS(LdgSellerB,$A1611,LdgKeyB,"&lt;"&amp;$B1611)+1)</f>
        <v/>
      </c>
      <c r="D1611">
        <f>IF($C1611="","",$A1611&amp;"|"&amp;RIGHT("000000"&amp;$C1611,6))</f>
        <v/>
      </c>
      <c r="F1611">
        <f>IF(Sync!$AH1611="","",IF(LEFT(UPPER(TRIM(Sync!$AH1611)),2)="SL",UPPER(TRIM(Sync!$AH1611)),""))</f>
        <v/>
      </c>
      <c r="G1611">
        <f>IF($F1611="","",IF(Sync!$AE1611="","",IF(ISNUMBER(Sync!$AE1611),IF(AND(Sync!$AE1611&gt;=10000101,Sync!$AE1611&lt;=99991231),INT(Sync!$AE1611/10000),""),IFERROR(VALUE(TRIM(LEFT(Sync!$AE1611,FIND("/",Sync!$AE1611)-1))),""))))</f>
        <v/>
      </c>
      <c r="H1611">
        <f>IF(OR($F1611="",$G1611=""),"",IF(ISNUMBER(Sync!$AE1611),INT(MOD(Sync!$AE1611,10000)/100),IFERROR(VALUE(TRIM(LEFT(MID(Sync!$AE1611,FIND("/",Sync!$AE1611)+1,20),FIND("/",MID(Sync!$AE1611,FIND("/",Sync!$AE1611)+1,20))-1))),"")))</f>
        <v/>
      </c>
      <c r="I1611">
        <f>IF(OR($F1611="",$G1611=""),"",IF(ISNUMBER(Sync!$AE1611),MOD(Sync!$AE1611,100),IFERROR(VALUE(TRIM(MID(MID(Sync!$AE1611,FIND("/",Sync!$AE1611)+1,20),FIND("/",MID(Sync!$AE1611,FIND("/",Sync!$AE1611)+1,20))+1,20))),"")))</f>
        <v/>
      </c>
      <c r="J1611">
        <f>IF($F1611="","",IF(OR($G1611="",$H1611="",$I1611="",$G1611&lt;1300,$G1611&gt;1500,$H1611&lt;1,$H1611&gt;12,$I1611&lt;1,$I1611&gt;31),"نامعتبر",RIGHT("0000"&amp;$G1611,4)&amp;"/"&amp;RIGHT("00"&amp;$H1611,2)&amp;"/"&amp;RIGHT("00"&amp;$I1611,2)))</f>
        <v/>
      </c>
      <c r="K1611">
        <f>IF(OR($F1611="",$J1611="",$J1611="نامعتبر"),"",LEFT($J1611,4)&amp;MID($J1611,6,2)&amp;RIGHT($J1611,2)&amp;$N1611&amp;"|"&amp;"2"&amp;RIGHT("00000"&amp;1606,5))</f>
        <v/>
      </c>
      <c r="L1611">
        <f>IF($K1611="","",COUNTIFS(LdgSellerA,$F1611,LdgKeyA,"&lt;"&amp;$K1611)+COUNTIFS(LdgSellerB,$F1611,LdgKeyB,"&lt;"&amp;$K1611)+1)</f>
        <v/>
      </c>
      <c r="M1611">
        <f>IF($L1611="","",$F1611&amp;"|"&amp;RIGHT("000000"&amp;$L1611,6))</f>
        <v/>
      </c>
      <c r="N1611">
        <f>IF($F1611="","",IF(Sync!$AF1611="","0000",IF(AND(ISNUMBER(Sync!$AF1611),Sync!$AF1611&gt;=0,Sync!$AF1611&lt;1),RIGHT("00"&amp;HOUR(Sync!$AF1611),2)&amp;RIGHT("00"&amp;MINUTE(Sync!$AF1611),2),IFERROR(RIGHT("00"&amp;VALUE(LEFT(Sync!$AF1611,FIND(":",Sync!$AF1611)-1)),2)&amp;RIGHT("00"&amp;VALUE(MID(Sync!$AF1611,FIND(":",Sync!$AF1611)+1,2)),2),"0000"))))</f>
        <v/>
      </c>
    </row>
    <row r="1612">
      <c r="A1612">
        <f>IF(OR(Calc!$E1616="",Calc!$E1616="نامعتبر",Calc!$G1616=""),"",Calc!$G1616)</f>
        <v/>
      </c>
      <c r="B1612">
        <f>IF($A1612="","",LEFT(Calc!$E1616,4)&amp;MID(Calc!$E1616,6,2)&amp;RIGHT(Calc!$E1616,2)&amp;Calc!$Q1616&amp;"|"&amp;"1"&amp;RIGHT("00000"&amp;1607,5))</f>
        <v/>
      </c>
      <c r="C1612">
        <f>IF($B1612="","",COUNTIFS(LdgSellerA,$A1612,LdgKeyA,"&lt;"&amp;$B1612)+COUNTIFS(LdgSellerB,$A1612,LdgKeyB,"&lt;"&amp;$B1612)+1)</f>
        <v/>
      </c>
      <c r="D1612">
        <f>IF($C1612="","",$A1612&amp;"|"&amp;RIGHT("000000"&amp;$C1612,6))</f>
        <v/>
      </c>
      <c r="F1612">
        <f>IF(Sync!$AH1612="","",IF(LEFT(UPPER(TRIM(Sync!$AH1612)),2)="SL",UPPER(TRIM(Sync!$AH1612)),""))</f>
        <v/>
      </c>
      <c r="G1612">
        <f>IF($F1612="","",IF(Sync!$AE1612="","",IF(ISNUMBER(Sync!$AE1612),IF(AND(Sync!$AE1612&gt;=10000101,Sync!$AE1612&lt;=99991231),INT(Sync!$AE1612/10000),""),IFERROR(VALUE(TRIM(LEFT(Sync!$AE1612,FIND("/",Sync!$AE1612)-1))),""))))</f>
        <v/>
      </c>
      <c r="H1612">
        <f>IF(OR($F1612="",$G1612=""),"",IF(ISNUMBER(Sync!$AE1612),INT(MOD(Sync!$AE1612,10000)/100),IFERROR(VALUE(TRIM(LEFT(MID(Sync!$AE1612,FIND("/",Sync!$AE1612)+1,20),FIND("/",MID(Sync!$AE1612,FIND("/",Sync!$AE1612)+1,20))-1))),"")))</f>
        <v/>
      </c>
      <c r="I1612">
        <f>IF(OR($F1612="",$G1612=""),"",IF(ISNUMBER(Sync!$AE1612),MOD(Sync!$AE1612,100),IFERROR(VALUE(TRIM(MID(MID(Sync!$AE1612,FIND("/",Sync!$AE1612)+1,20),FIND("/",MID(Sync!$AE1612,FIND("/",Sync!$AE1612)+1,20))+1,20))),"")))</f>
        <v/>
      </c>
      <c r="J1612">
        <f>IF($F1612="","",IF(OR($G1612="",$H1612="",$I1612="",$G1612&lt;1300,$G1612&gt;1500,$H1612&lt;1,$H1612&gt;12,$I1612&lt;1,$I1612&gt;31),"نامعتبر",RIGHT("0000"&amp;$G1612,4)&amp;"/"&amp;RIGHT("00"&amp;$H1612,2)&amp;"/"&amp;RIGHT("00"&amp;$I1612,2)))</f>
        <v/>
      </c>
      <c r="K1612">
        <f>IF(OR($F1612="",$J1612="",$J1612="نامعتبر"),"",LEFT($J1612,4)&amp;MID($J1612,6,2)&amp;RIGHT($J1612,2)&amp;$N1612&amp;"|"&amp;"2"&amp;RIGHT("00000"&amp;1607,5))</f>
        <v/>
      </c>
      <c r="L1612">
        <f>IF($K1612="","",COUNTIFS(LdgSellerA,$F1612,LdgKeyA,"&lt;"&amp;$K1612)+COUNTIFS(LdgSellerB,$F1612,LdgKeyB,"&lt;"&amp;$K1612)+1)</f>
        <v/>
      </c>
      <c r="M1612">
        <f>IF($L1612="","",$F1612&amp;"|"&amp;RIGHT("000000"&amp;$L1612,6))</f>
        <v/>
      </c>
      <c r="N1612">
        <f>IF($F1612="","",IF(Sync!$AF1612="","0000",IF(AND(ISNUMBER(Sync!$AF1612),Sync!$AF1612&gt;=0,Sync!$AF1612&lt;1),RIGHT("00"&amp;HOUR(Sync!$AF1612),2)&amp;RIGHT("00"&amp;MINUTE(Sync!$AF1612),2),IFERROR(RIGHT("00"&amp;VALUE(LEFT(Sync!$AF1612,FIND(":",Sync!$AF1612)-1)),2)&amp;RIGHT("00"&amp;VALUE(MID(Sync!$AF1612,FIND(":",Sync!$AF1612)+1,2)),2),"0000"))))</f>
        <v/>
      </c>
    </row>
    <row r="1613">
      <c r="A1613">
        <f>IF(OR(Calc!$E1617="",Calc!$E1617="نامعتبر",Calc!$G1617=""),"",Calc!$G1617)</f>
        <v/>
      </c>
      <c r="B1613">
        <f>IF($A1613="","",LEFT(Calc!$E1617,4)&amp;MID(Calc!$E1617,6,2)&amp;RIGHT(Calc!$E1617,2)&amp;Calc!$Q1617&amp;"|"&amp;"1"&amp;RIGHT("00000"&amp;1608,5))</f>
        <v/>
      </c>
      <c r="C1613">
        <f>IF($B1613="","",COUNTIFS(LdgSellerA,$A1613,LdgKeyA,"&lt;"&amp;$B1613)+COUNTIFS(LdgSellerB,$A1613,LdgKeyB,"&lt;"&amp;$B1613)+1)</f>
        <v/>
      </c>
      <c r="D1613">
        <f>IF($C1613="","",$A1613&amp;"|"&amp;RIGHT("000000"&amp;$C1613,6))</f>
        <v/>
      </c>
      <c r="F1613">
        <f>IF(Sync!$AH1613="","",IF(LEFT(UPPER(TRIM(Sync!$AH1613)),2)="SL",UPPER(TRIM(Sync!$AH1613)),""))</f>
        <v/>
      </c>
      <c r="G1613">
        <f>IF($F1613="","",IF(Sync!$AE1613="","",IF(ISNUMBER(Sync!$AE1613),IF(AND(Sync!$AE1613&gt;=10000101,Sync!$AE1613&lt;=99991231),INT(Sync!$AE1613/10000),""),IFERROR(VALUE(TRIM(LEFT(Sync!$AE1613,FIND("/",Sync!$AE1613)-1))),""))))</f>
        <v/>
      </c>
      <c r="H1613">
        <f>IF(OR($F1613="",$G1613=""),"",IF(ISNUMBER(Sync!$AE1613),INT(MOD(Sync!$AE1613,10000)/100),IFERROR(VALUE(TRIM(LEFT(MID(Sync!$AE1613,FIND("/",Sync!$AE1613)+1,20),FIND("/",MID(Sync!$AE1613,FIND("/",Sync!$AE1613)+1,20))-1))),"")))</f>
        <v/>
      </c>
      <c r="I1613">
        <f>IF(OR($F1613="",$G1613=""),"",IF(ISNUMBER(Sync!$AE1613),MOD(Sync!$AE1613,100),IFERROR(VALUE(TRIM(MID(MID(Sync!$AE1613,FIND("/",Sync!$AE1613)+1,20),FIND("/",MID(Sync!$AE1613,FIND("/",Sync!$AE1613)+1,20))+1,20))),"")))</f>
        <v/>
      </c>
      <c r="J1613">
        <f>IF($F1613="","",IF(OR($G1613="",$H1613="",$I1613="",$G1613&lt;1300,$G1613&gt;1500,$H1613&lt;1,$H1613&gt;12,$I1613&lt;1,$I1613&gt;31),"نامعتبر",RIGHT("0000"&amp;$G1613,4)&amp;"/"&amp;RIGHT("00"&amp;$H1613,2)&amp;"/"&amp;RIGHT("00"&amp;$I1613,2)))</f>
        <v/>
      </c>
      <c r="K1613">
        <f>IF(OR($F1613="",$J1613="",$J1613="نامعتبر"),"",LEFT($J1613,4)&amp;MID($J1613,6,2)&amp;RIGHT($J1613,2)&amp;$N1613&amp;"|"&amp;"2"&amp;RIGHT("00000"&amp;1608,5))</f>
        <v/>
      </c>
      <c r="L1613">
        <f>IF($K1613="","",COUNTIFS(LdgSellerA,$F1613,LdgKeyA,"&lt;"&amp;$K1613)+COUNTIFS(LdgSellerB,$F1613,LdgKeyB,"&lt;"&amp;$K1613)+1)</f>
        <v/>
      </c>
      <c r="M1613">
        <f>IF($L1613="","",$F1613&amp;"|"&amp;RIGHT("000000"&amp;$L1613,6))</f>
        <v/>
      </c>
      <c r="N1613">
        <f>IF($F1613="","",IF(Sync!$AF1613="","0000",IF(AND(ISNUMBER(Sync!$AF1613),Sync!$AF1613&gt;=0,Sync!$AF1613&lt;1),RIGHT("00"&amp;HOUR(Sync!$AF1613),2)&amp;RIGHT("00"&amp;MINUTE(Sync!$AF1613),2),IFERROR(RIGHT("00"&amp;VALUE(LEFT(Sync!$AF1613,FIND(":",Sync!$AF1613)-1)),2)&amp;RIGHT("00"&amp;VALUE(MID(Sync!$AF1613,FIND(":",Sync!$AF1613)+1,2)),2),"0000"))))</f>
        <v/>
      </c>
    </row>
    <row r="1614">
      <c r="A1614">
        <f>IF(OR(Calc!$E1618="",Calc!$E1618="نامعتبر",Calc!$G1618=""),"",Calc!$G1618)</f>
        <v/>
      </c>
      <c r="B1614">
        <f>IF($A1614="","",LEFT(Calc!$E1618,4)&amp;MID(Calc!$E1618,6,2)&amp;RIGHT(Calc!$E1618,2)&amp;Calc!$Q1618&amp;"|"&amp;"1"&amp;RIGHT("00000"&amp;1609,5))</f>
        <v/>
      </c>
      <c r="C1614">
        <f>IF($B1614="","",COUNTIFS(LdgSellerA,$A1614,LdgKeyA,"&lt;"&amp;$B1614)+COUNTIFS(LdgSellerB,$A1614,LdgKeyB,"&lt;"&amp;$B1614)+1)</f>
        <v/>
      </c>
      <c r="D1614">
        <f>IF($C1614="","",$A1614&amp;"|"&amp;RIGHT("000000"&amp;$C1614,6))</f>
        <v/>
      </c>
      <c r="F1614">
        <f>IF(Sync!$AH1614="","",IF(LEFT(UPPER(TRIM(Sync!$AH1614)),2)="SL",UPPER(TRIM(Sync!$AH1614)),""))</f>
        <v/>
      </c>
      <c r="G1614">
        <f>IF($F1614="","",IF(Sync!$AE1614="","",IF(ISNUMBER(Sync!$AE1614),IF(AND(Sync!$AE1614&gt;=10000101,Sync!$AE1614&lt;=99991231),INT(Sync!$AE1614/10000),""),IFERROR(VALUE(TRIM(LEFT(Sync!$AE1614,FIND("/",Sync!$AE1614)-1))),""))))</f>
        <v/>
      </c>
      <c r="H1614">
        <f>IF(OR($F1614="",$G1614=""),"",IF(ISNUMBER(Sync!$AE1614),INT(MOD(Sync!$AE1614,10000)/100),IFERROR(VALUE(TRIM(LEFT(MID(Sync!$AE1614,FIND("/",Sync!$AE1614)+1,20),FIND("/",MID(Sync!$AE1614,FIND("/",Sync!$AE1614)+1,20))-1))),"")))</f>
        <v/>
      </c>
      <c r="I1614">
        <f>IF(OR($F1614="",$G1614=""),"",IF(ISNUMBER(Sync!$AE1614),MOD(Sync!$AE1614,100),IFERROR(VALUE(TRIM(MID(MID(Sync!$AE1614,FIND("/",Sync!$AE1614)+1,20),FIND("/",MID(Sync!$AE1614,FIND("/",Sync!$AE1614)+1,20))+1,20))),"")))</f>
        <v/>
      </c>
      <c r="J1614">
        <f>IF($F1614="","",IF(OR($G1614="",$H1614="",$I1614="",$G1614&lt;1300,$G1614&gt;1500,$H1614&lt;1,$H1614&gt;12,$I1614&lt;1,$I1614&gt;31),"نامعتبر",RIGHT("0000"&amp;$G1614,4)&amp;"/"&amp;RIGHT("00"&amp;$H1614,2)&amp;"/"&amp;RIGHT("00"&amp;$I1614,2)))</f>
        <v/>
      </c>
      <c r="K1614">
        <f>IF(OR($F1614="",$J1614="",$J1614="نامعتبر"),"",LEFT($J1614,4)&amp;MID($J1614,6,2)&amp;RIGHT($J1614,2)&amp;$N1614&amp;"|"&amp;"2"&amp;RIGHT("00000"&amp;1609,5))</f>
        <v/>
      </c>
      <c r="L1614">
        <f>IF($K1614="","",COUNTIFS(LdgSellerA,$F1614,LdgKeyA,"&lt;"&amp;$K1614)+COUNTIFS(LdgSellerB,$F1614,LdgKeyB,"&lt;"&amp;$K1614)+1)</f>
        <v/>
      </c>
      <c r="M1614">
        <f>IF($L1614="","",$F1614&amp;"|"&amp;RIGHT("000000"&amp;$L1614,6))</f>
        <v/>
      </c>
      <c r="N1614">
        <f>IF($F1614="","",IF(Sync!$AF1614="","0000",IF(AND(ISNUMBER(Sync!$AF1614),Sync!$AF1614&gt;=0,Sync!$AF1614&lt;1),RIGHT("00"&amp;HOUR(Sync!$AF1614),2)&amp;RIGHT("00"&amp;MINUTE(Sync!$AF1614),2),IFERROR(RIGHT("00"&amp;VALUE(LEFT(Sync!$AF1614,FIND(":",Sync!$AF1614)-1)),2)&amp;RIGHT("00"&amp;VALUE(MID(Sync!$AF1614,FIND(":",Sync!$AF1614)+1,2)),2),"0000"))))</f>
        <v/>
      </c>
    </row>
    <row r="1615">
      <c r="A1615">
        <f>IF(OR(Calc!$E1619="",Calc!$E1619="نامعتبر",Calc!$G1619=""),"",Calc!$G1619)</f>
        <v/>
      </c>
      <c r="B1615">
        <f>IF($A1615="","",LEFT(Calc!$E1619,4)&amp;MID(Calc!$E1619,6,2)&amp;RIGHT(Calc!$E1619,2)&amp;Calc!$Q1619&amp;"|"&amp;"1"&amp;RIGHT("00000"&amp;1610,5))</f>
        <v/>
      </c>
      <c r="C1615">
        <f>IF($B1615="","",COUNTIFS(LdgSellerA,$A1615,LdgKeyA,"&lt;"&amp;$B1615)+COUNTIFS(LdgSellerB,$A1615,LdgKeyB,"&lt;"&amp;$B1615)+1)</f>
        <v/>
      </c>
      <c r="D1615">
        <f>IF($C1615="","",$A1615&amp;"|"&amp;RIGHT("000000"&amp;$C1615,6))</f>
        <v/>
      </c>
      <c r="F1615">
        <f>IF(Sync!$AH1615="","",IF(LEFT(UPPER(TRIM(Sync!$AH1615)),2)="SL",UPPER(TRIM(Sync!$AH1615)),""))</f>
        <v/>
      </c>
      <c r="G1615">
        <f>IF($F1615="","",IF(Sync!$AE1615="","",IF(ISNUMBER(Sync!$AE1615),IF(AND(Sync!$AE1615&gt;=10000101,Sync!$AE1615&lt;=99991231),INT(Sync!$AE1615/10000),""),IFERROR(VALUE(TRIM(LEFT(Sync!$AE1615,FIND("/",Sync!$AE1615)-1))),""))))</f>
        <v/>
      </c>
      <c r="H1615">
        <f>IF(OR($F1615="",$G1615=""),"",IF(ISNUMBER(Sync!$AE1615),INT(MOD(Sync!$AE1615,10000)/100),IFERROR(VALUE(TRIM(LEFT(MID(Sync!$AE1615,FIND("/",Sync!$AE1615)+1,20),FIND("/",MID(Sync!$AE1615,FIND("/",Sync!$AE1615)+1,20))-1))),"")))</f>
        <v/>
      </c>
      <c r="I1615">
        <f>IF(OR($F1615="",$G1615=""),"",IF(ISNUMBER(Sync!$AE1615),MOD(Sync!$AE1615,100),IFERROR(VALUE(TRIM(MID(MID(Sync!$AE1615,FIND("/",Sync!$AE1615)+1,20),FIND("/",MID(Sync!$AE1615,FIND("/",Sync!$AE1615)+1,20))+1,20))),"")))</f>
        <v/>
      </c>
      <c r="J1615">
        <f>IF($F1615="","",IF(OR($G1615="",$H1615="",$I1615="",$G1615&lt;1300,$G1615&gt;1500,$H1615&lt;1,$H1615&gt;12,$I1615&lt;1,$I1615&gt;31),"نامعتبر",RIGHT("0000"&amp;$G1615,4)&amp;"/"&amp;RIGHT("00"&amp;$H1615,2)&amp;"/"&amp;RIGHT("00"&amp;$I1615,2)))</f>
        <v/>
      </c>
      <c r="K1615">
        <f>IF(OR($F1615="",$J1615="",$J1615="نامعتبر"),"",LEFT($J1615,4)&amp;MID($J1615,6,2)&amp;RIGHT($J1615,2)&amp;$N1615&amp;"|"&amp;"2"&amp;RIGHT("00000"&amp;1610,5))</f>
        <v/>
      </c>
      <c r="L1615">
        <f>IF($K1615="","",COUNTIFS(LdgSellerA,$F1615,LdgKeyA,"&lt;"&amp;$K1615)+COUNTIFS(LdgSellerB,$F1615,LdgKeyB,"&lt;"&amp;$K1615)+1)</f>
        <v/>
      </c>
      <c r="M1615">
        <f>IF($L1615="","",$F1615&amp;"|"&amp;RIGHT("000000"&amp;$L1615,6))</f>
        <v/>
      </c>
      <c r="N1615">
        <f>IF($F1615="","",IF(Sync!$AF1615="","0000",IF(AND(ISNUMBER(Sync!$AF1615),Sync!$AF1615&gt;=0,Sync!$AF1615&lt;1),RIGHT("00"&amp;HOUR(Sync!$AF1615),2)&amp;RIGHT("00"&amp;MINUTE(Sync!$AF1615),2),IFERROR(RIGHT("00"&amp;VALUE(LEFT(Sync!$AF1615,FIND(":",Sync!$AF1615)-1)),2)&amp;RIGHT("00"&amp;VALUE(MID(Sync!$AF1615,FIND(":",Sync!$AF1615)+1,2)),2),"0000"))))</f>
        <v/>
      </c>
    </row>
    <row r="1616">
      <c r="A1616">
        <f>IF(OR(Calc!$E1620="",Calc!$E1620="نامعتبر",Calc!$G1620=""),"",Calc!$G1620)</f>
        <v/>
      </c>
      <c r="B1616">
        <f>IF($A1616="","",LEFT(Calc!$E1620,4)&amp;MID(Calc!$E1620,6,2)&amp;RIGHT(Calc!$E1620,2)&amp;Calc!$Q1620&amp;"|"&amp;"1"&amp;RIGHT("00000"&amp;1611,5))</f>
        <v/>
      </c>
      <c r="C1616">
        <f>IF($B1616="","",COUNTIFS(LdgSellerA,$A1616,LdgKeyA,"&lt;"&amp;$B1616)+COUNTIFS(LdgSellerB,$A1616,LdgKeyB,"&lt;"&amp;$B1616)+1)</f>
        <v/>
      </c>
      <c r="D1616">
        <f>IF($C1616="","",$A1616&amp;"|"&amp;RIGHT("000000"&amp;$C1616,6))</f>
        <v/>
      </c>
      <c r="F1616">
        <f>IF(Sync!$AH1616="","",IF(LEFT(UPPER(TRIM(Sync!$AH1616)),2)="SL",UPPER(TRIM(Sync!$AH1616)),""))</f>
        <v/>
      </c>
      <c r="G1616">
        <f>IF($F1616="","",IF(Sync!$AE1616="","",IF(ISNUMBER(Sync!$AE1616),IF(AND(Sync!$AE1616&gt;=10000101,Sync!$AE1616&lt;=99991231),INT(Sync!$AE1616/10000),""),IFERROR(VALUE(TRIM(LEFT(Sync!$AE1616,FIND("/",Sync!$AE1616)-1))),""))))</f>
        <v/>
      </c>
      <c r="H1616">
        <f>IF(OR($F1616="",$G1616=""),"",IF(ISNUMBER(Sync!$AE1616),INT(MOD(Sync!$AE1616,10000)/100),IFERROR(VALUE(TRIM(LEFT(MID(Sync!$AE1616,FIND("/",Sync!$AE1616)+1,20),FIND("/",MID(Sync!$AE1616,FIND("/",Sync!$AE1616)+1,20))-1))),"")))</f>
        <v/>
      </c>
      <c r="I1616">
        <f>IF(OR($F1616="",$G1616=""),"",IF(ISNUMBER(Sync!$AE1616),MOD(Sync!$AE1616,100),IFERROR(VALUE(TRIM(MID(MID(Sync!$AE1616,FIND("/",Sync!$AE1616)+1,20),FIND("/",MID(Sync!$AE1616,FIND("/",Sync!$AE1616)+1,20))+1,20))),"")))</f>
        <v/>
      </c>
      <c r="J1616">
        <f>IF($F1616="","",IF(OR($G1616="",$H1616="",$I1616="",$G1616&lt;1300,$G1616&gt;1500,$H1616&lt;1,$H1616&gt;12,$I1616&lt;1,$I1616&gt;31),"نامعتبر",RIGHT("0000"&amp;$G1616,4)&amp;"/"&amp;RIGHT("00"&amp;$H1616,2)&amp;"/"&amp;RIGHT("00"&amp;$I1616,2)))</f>
        <v/>
      </c>
      <c r="K1616">
        <f>IF(OR($F1616="",$J1616="",$J1616="نامعتبر"),"",LEFT($J1616,4)&amp;MID($J1616,6,2)&amp;RIGHT($J1616,2)&amp;$N1616&amp;"|"&amp;"2"&amp;RIGHT("00000"&amp;1611,5))</f>
        <v/>
      </c>
      <c r="L1616">
        <f>IF($K1616="","",COUNTIFS(LdgSellerA,$F1616,LdgKeyA,"&lt;"&amp;$K1616)+COUNTIFS(LdgSellerB,$F1616,LdgKeyB,"&lt;"&amp;$K1616)+1)</f>
        <v/>
      </c>
      <c r="M1616">
        <f>IF($L1616="","",$F1616&amp;"|"&amp;RIGHT("000000"&amp;$L1616,6))</f>
        <v/>
      </c>
      <c r="N1616">
        <f>IF($F1616="","",IF(Sync!$AF1616="","0000",IF(AND(ISNUMBER(Sync!$AF1616),Sync!$AF1616&gt;=0,Sync!$AF1616&lt;1),RIGHT("00"&amp;HOUR(Sync!$AF1616),2)&amp;RIGHT("00"&amp;MINUTE(Sync!$AF1616),2),IFERROR(RIGHT("00"&amp;VALUE(LEFT(Sync!$AF1616,FIND(":",Sync!$AF1616)-1)),2)&amp;RIGHT("00"&amp;VALUE(MID(Sync!$AF1616,FIND(":",Sync!$AF1616)+1,2)),2),"0000"))))</f>
        <v/>
      </c>
    </row>
    <row r="1617">
      <c r="A1617">
        <f>IF(OR(Calc!$E1621="",Calc!$E1621="نامعتبر",Calc!$G1621=""),"",Calc!$G1621)</f>
        <v/>
      </c>
      <c r="B1617">
        <f>IF($A1617="","",LEFT(Calc!$E1621,4)&amp;MID(Calc!$E1621,6,2)&amp;RIGHT(Calc!$E1621,2)&amp;Calc!$Q1621&amp;"|"&amp;"1"&amp;RIGHT("00000"&amp;1612,5))</f>
        <v/>
      </c>
      <c r="C1617">
        <f>IF($B1617="","",COUNTIFS(LdgSellerA,$A1617,LdgKeyA,"&lt;"&amp;$B1617)+COUNTIFS(LdgSellerB,$A1617,LdgKeyB,"&lt;"&amp;$B1617)+1)</f>
        <v/>
      </c>
      <c r="D1617">
        <f>IF($C1617="","",$A1617&amp;"|"&amp;RIGHT("000000"&amp;$C1617,6))</f>
        <v/>
      </c>
      <c r="F1617">
        <f>IF(Sync!$AH1617="","",IF(LEFT(UPPER(TRIM(Sync!$AH1617)),2)="SL",UPPER(TRIM(Sync!$AH1617)),""))</f>
        <v/>
      </c>
      <c r="G1617">
        <f>IF($F1617="","",IF(Sync!$AE1617="","",IF(ISNUMBER(Sync!$AE1617),IF(AND(Sync!$AE1617&gt;=10000101,Sync!$AE1617&lt;=99991231),INT(Sync!$AE1617/10000),""),IFERROR(VALUE(TRIM(LEFT(Sync!$AE1617,FIND("/",Sync!$AE1617)-1))),""))))</f>
        <v/>
      </c>
      <c r="H1617">
        <f>IF(OR($F1617="",$G1617=""),"",IF(ISNUMBER(Sync!$AE1617),INT(MOD(Sync!$AE1617,10000)/100),IFERROR(VALUE(TRIM(LEFT(MID(Sync!$AE1617,FIND("/",Sync!$AE1617)+1,20),FIND("/",MID(Sync!$AE1617,FIND("/",Sync!$AE1617)+1,20))-1))),"")))</f>
        <v/>
      </c>
      <c r="I1617">
        <f>IF(OR($F1617="",$G1617=""),"",IF(ISNUMBER(Sync!$AE1617),MOD(Sync!$AE1617,100),IFERROR(VALUE(TRIM(MID(MID(Sync!$AE1617,FIND("/",Sync!$AE1617)+1,20),FIND("/",MID(Sync!$AE1617,FIND("/",Sync!$AE1617)+1,20))+1,20))),"")))</f>
        <v/>
      </c>
      <c r="J1617">
        <f>IF($F1617="","",IF(OR($G1617="",$H1617="",$I1617="",$G1617&lt;1300,$G1617&gt;1500,$H1617&lt;1,$H1617&gt;12,$I1617&lt;1,$I1617&gt;31),"نامعتبر",RIGHT("0000"&amp;$G1617,4)&amp;"/"&amp;RIGHT("00"&amp;$H1617,2)&amp;"/"&amp;RIGHT("00"&amp;$I1617,2)))</f>
        <v/>
      </c>
      <c r="K1617">
        <f>IF(OR($F1617="",$J1617="",$J1617="نامعتبر"),"",LEFT($J1617,4)&amp;MID($J1617,6,2)&amp;RIGHT($J1617,2)&amp;$N1617&amp;"|"&amp;"2"&amp;RIGHT("00000"&amp;1612,5))</f>
        <v/>
      </c>
      <c r="L1617">
        <f>IF($K1617="","",COUNTIFS(LdgSellerA,$F1617,LdgKeyA,"&lt;"&amp;$K1617)+COUNTIFS(LdgSellerB,$F1617,LdgKeyB,"&lt;"&amp;$K1617)+1)</f>
        <v/>
      </c>
      <c r="M1617">
        <f>IF($L1617="","",$F1617&amp;"|"&amp;RIGHT("000000"&amp;$L1617,6))</f>
        <v/>
      </c>
      <c r="N1617">
        <f>IF($F1617="","",IF(Sync!$AF1617="","0000",IF(AND(ISNUMBER(Sync!$AF1617),Sync!$AF1617&gt;=0,Sync!$AF1617&lt;1),RIGHT("00"&amp;HOUR(Sync!$AF1617),2)&amp;RIGHT("00"&amp;MINUTE(Sync!$AF1617),2),IFERROR(RIGHT("00"&amp;VALUE(LEFT(Sync!$AF1617,FIND(":",Sync!$AF1617)-1)),2)&amp;RIGHT("00"&amp;VALUE(MID(Sync!$AF1617,FIND(":",Sync!$AF1617)+1,2)),2),"0000"))))</f>
        <v/>
      </c>
    </row>
    <row r="1618">
      <c r="A1618">
        <f>IF(OR(Calc!$E1622="",Calc!$E1622="نامعتبر",Calc!$G1622=""),"",Calc!$G1622)</f>
        <v/>
      </c>
      <c r="B1618">
        <f>IF($A1618="","",LEFT(Calc!$E1622,4)&amp;MID(Calc!$E1622,6,2)&amp;RIGHT(Calc!$E1622,2)&amp;Calc!$Q1622&amp;"|"&amp;"1"&amp;RIGHT("00000"&amp;1613,5))</f>
        <v/>
      </c>
      <c r="C1618">
        <f>IF($B1618="","",COUNTIFS(LdgSellerA,$A1618,LdgKeyA,"&lt;"&amp;$B1618)+COUNTIFS(LdgSellerB,$A1618,LdgKeyB,"&lt;"&amp;$B1618)+1)</f>
        <v/>
      </c>
      <c r="D1618">
        <f>IF($C1618="","",$A1618&amp;"|"&amp;RIGHT("000000"&amp;$C1618,6))</f>
        <v/>
      </c>
      <c r="F1618">
        <f>IF(Sync!$AH1618="","",IF(LEFT(UPPER(TRIM(Sync!$AH1618)),2)="SL",UPPER(TRIM(Sync!$AH1618)),""))</f>
        <v/>
      </c>
      <c r="G1618">
        <f>IF($F1618="","",IF(Sync!$AE1618="","",IF(ISNUMBER(Sync!$AE1618),IF(AND(Sync!$AE1618&gt;=10000101,Sync!$AE1618&lt;=99991231),INT(Sync!$AE1618/10000),""),IFERROR(VALUE(TRIM(LEFT(Sync!$AE1618,FIND("/",Sync!$AE1618)-1))),""))))</f>
        <v/>
      </c>
      <c r="H1618">
        <f>IF(OR($F1618="",$G1618=""),"",IF(ISNUMBER(Sync!$AE1618),INT(MOD(Sync!$AE1618,10000)/100),IFERROR(VALUE(TRIM(LEFT(MID(Sync!$AE1618,FIND("/",Sync!$AE1618)+1,20),FIND("/",MID(Sync!$AE1618,FIND("/",Sync!$AE1618)+1,20))-1))),"")))</f>
        <v/>
      </c>
      <c r="I1618">
        <f>IF(OR($F1618="",$G1618=""),"",IF(ISNUMBER(Sync!$AE1618),MOD(Sync!$AE1618,100),IFERROR(VALUE(TRIM(MID(MID(Sync!$AE1618,FIND("/",Sync!$AE1618)+1,20),FIND("/",MID(Sync!$AE1618,FIND("/",Sync!$AE1618)+1,20))+1,20))),"")))</f>
        <v/>
      </c>
      <c r="J1618">
        <f>IF($F1618="","",IF(OR($G1618="",$H1618="",$I1618="",$G1618&lt;1300,$G1618&gt;1500,$H1618&lt;1,$H1618&gt;12,$I1618&lt;1,$I1618&gt;31),"نامعتبر",RIGHT("0000"&amp;$G1618,4)&amp;"/"&amp;RIGHT("00"&amp;$H1618,2)&amp;"/"&amp;RIGHT("00"&amp;$I1618,2)))</f>
        <v/>
      </c>
      <c r="K1618">
        <f>IF(OR($F1618="",$J1618="",$J1618="نامعتبر"),"",LEFT($J1618,4)&amp;MID($J1618,6,2)&amp;RIGHT($J1618,2)&amp;$N1618&amp;"|"&amp;"2"&amp;RIGHT("00000"&amp;1613,5))</f>
        <v/>
      </c>
      <c r="L1618">
        <f>IF($K1618="","",COUNTIFS(LdgSellerA,$F1618,LdgKeyA,"&lt;"&amp;$K1618)+COUNTIFS(LdgSellerB,$F1618,LdgKeyB,"&lt;"&amp;$K1618)+1)</f>
        <v/>
      </c>
      <c r="M1618">
        <f>IF($L1618="","",$F1618&amp;"|"&amp;RIGHT("000000"&amp;$L1618,6))</f>
        <v/>
      </c>
      <c r="N1618">
        <f>IF($F1618="","",IF(Sync!$AF1618="","0000",IF(AND(ISNUMBER(Sync!$AF1618),Sync!$AF1618&gt;=0,Sync!$AF1618&lt;1),RIGHT("00"&amp;HOUR(Sync!$AF1618),2)&amp;RIGHT("00"&amp;MINUTE(Sync!$AF1618),2),IFERROR(RIGHT("00"&amp;VALUE(LEFT(Sync!$AF1618,FIND(":",Sync!$AF1618)-1)),2)&amp;RIGHT("00"&amp;VALUE(MID(Sync!$AF1618,FIND(":",Sync!$AF1618)+1,2)),2),"0000"))))</f>
        <v/>
      </c>
    </row>
    <row r="1619">
      <c r="A1619">
        <f>IF(OR(Calc!$E1623="",Calc!$E1623="نامعتبر",Calc!$G1623=""),"",Calc!$G1623)</f>
        <v/>
      </c>
      <c r="B1619">
        <f>IF($A1619="","",LEFT(Calc!$E1623,4)&amp;MID(Calc!$E1623,6,2)&amp;RIGHT(Calc!$E1623,2)&amp;Calc!$Q1623&amp;"|"&amp;"1"&amp;RIGHT("00000"&amp;1614,5))</f>
        <v/>
      </c>
      <c r="C1619">
        <f>IF($B1619="","",COUNTIFS(LdgSellerA,$A1619,LdgKeyA,"&lt;"&amp;$B1619)+COUNTIFS(LdgSellerB,$A1619,LdgKeyB,"&lt;"&amp;$B1619)+1)</f>
        <v/>
      </c>
      <c r="D1619">
        <f>IF($C1619="","",$A1619&amp;"|"&amp;RIGHT("000000"&amp;$C1619,6))</f>
        <v/>
      </c>
      <c r="F1619">
        <f>IF(Sync!$AH1619="","",IF(LEFT(UPPER(TRIM(Sync!$AH1619)),2)="SL",UPPER(TRIM(Sync!$AH1619)),""))</f>
        <v/>
      </c>
      <c r="G1619">
        <f>IF($F1619="","",IF(Sync!$AE1619="","",IF(ISNUMBER(Sync!$AE1619),IF(AND(Sync!$AE1619&gt;=10000101,Sync!$AE1619&lt;=99991231),INT(Sync!$AE1619/10000),""),IFERROR(VALUE(TRIM(LEFT(Sync!$AE1619,FIND("/",Sync!$AE1619)-1))),""))))</f>
        <v/>
      </c>
      <c r="H1619">
        <f>IF(OR($F1619="",$G1619=""),"",IF(ISNUMBER(Sync!$AE1619),INT(MOD(Sync!$AE1619,10000)/100),IFERROR(VALUE(TRIM(LEFT(MID(Sync!$AE1619,FIND("/",Sync!$AE1619)+1,20),FIND("/",MID(Sync!$AE1619,FIND("/",Sync!$AE1619)+1,20))-1))),"")))</f>
        <v/>
      </c>
      <c r="I1619">
        <f>IF(OR($F1619="",$G1619=""),"",IF(ISNUMBER(Sync!$AE1619),MOD(Sync!$AE1619,100),IFERROR(VALUE(TRIM(MID(MID(Sync!$AE1619,FIND("/",Sync!$AE1619)+1,20),FIND("/",MID(Sync!$AE1619,FIND("/",Sync!$AE1619)+1,20))+1,20))),"")))</f>
        <v/>
      </c>
      <c r="J1619">
        <f>IF($F1619="","",IF(OR($G1619="",$H1619="",$I1619="",$G1619&lt;1300,$G1619&gt;1500,$H1619&lt;1,$H1619&gt;12,$I1619&lt;1,$I1619&gt;31),"نامعتبر",RIGHT("0000"&amp;$G1619,4)&amp;"/"&amp;RIGHT("00"&amp;$H1619,2)&amp;"/"&amp;RIGHT("00"&amp;$I1619,2)))</f>
        <v/>
      </c>
      <c r="K1619">
        <f>IF(OR($F1619="",$J1619="",$J1619="نامعتبر"),"",LEFT($J1619,4)&amp;MID($J1619,6,2)&amp;RIGHT($J1619,2)&amp;$N1619&amp;"|"&amp;"2"&amp;RIGHT("00000"&amp;1614,5))</f>
        <v/>
      </c>
      <c r="L1619">
        <f>IF($K1619="","",COUNTIFS(LdgSellerA,$F1619,LdgKeyA,"&lt;"&amp;$K1619)+COUNTIFS(LdgSellerB,$F1619,LdgKeyB,"&lt;"&amp;$K1619)+1)</f>
        <v/>
      </c>
      <c r="M1619">
        <f>IF($L1619="","",$F1619&amp;"|"&amp;RIGHT("000000"&amp;$L1619,6))</f>
        <v/>
      </c>
      <c r="N1619">
        <f>IF($F1619="","",IF(Sync!$AF1619="","0000",IF(AND(ISNUMBER(Sync!$AF1619),Sync!$AF1619&gt;=0,Sync!$AF1619&lt;1),RIGHT("00"&amp;HOUR(Sync!$AF1619),2)&amp;RIGHT("00"&amp;MINUTE(Sync!$AF1619),2),IFERROR(RIGHT("00"&amp;VALUE(LEFT(Sync!$AF1619,FIND(":",Sync!$AF1619)-1)),2)&amp;RIGHT("00"&amp;VALUE(MID(Sync!$AF1619,FIND(":",Sync!$AF1619)+1,2)),2),"0000"))))</f>
        <v/>
      </c>
    </row>
    <row r="1620">
      <c r="A1620">
        <f>IF(OR(Calc!$E1624="",Calc!$E1624="نامعتبر",Calc!$G1624=""),"",Calc!$G1624)</f>
        <v/>
      </c>
      <c r="B1620">
        <f>IF($A1620="","",LEFT(Calc!$E1624,4)&amp;MID(Calc!$E1624,6,2)&amp;RIGHT(Calc!$E1624,2)&amp;Calc!$Q1624&amp;"|"&amp;"1"&amp;RIGHT("00000"&amp;1615,5))</f>
        <v/>
      </c>
      <c r="C1620">
        <f>IF($B1620="","",COUNTIFS(LdgSellerA,$A1620,LdgKeyA,"&lt;"&amp;$B1620)+COUNTIFS(LdgSellerB,$A1620,LdgKeyB,"&lt;"&amp;$B1620)+1)</f>
        <v/>
      </c>
      <c r="D1620">
        <f>IF($C1620="","",$A1620&amp;"|"&amp;RIGHT("000000"&amp;$C1620,6))</f>
        <v/>
      </c>
      <c r="F1620">
        <f>IF(Sync!$AH1620="","",IF(LEFT(UPPER(TRIM(Sync!$AH1620)),2)="SL",UPPER(TRIM(Sync!$AH1620)),""))</f>
        <v/>
      </c>
      <c r="G1620">
        <f>IF($F1620="","",IF(Sync!$AE1620="","",IF(ISNUMBER(Sync!$AE1620),IF(AND(Sync!$AE1620&gt;=10000101,Sync!$AE1620&lt;=99991231),INT(Sync!$AE1620/10000),""),IFERROR(VALUE(TRIM(LEFT(Sync!$AE1620,FIND("/",Sync!$AE1620)-1))),""))))</f>
        <v/>
      </c>
      <c r="H1620">
        <f>IF(OR($F1620="",$G1620=""),"",IF(ISNUMBER(Sync!$AE1620),INT(MOD(Sync!$AE1620,10000)/100),IFERROR(VALUE(TRIM(LEFT(MID(Sync!$AE1620,FIND("/",Sync!$AE1620)+1,20),FIND("/",MID(Sync!$AE1620,FIND("/",Sync!$AE1620)+1,20))-1))),"")))</f>
        <v/>
      </c>
      <c r="I1620">
        <f>IF(OR($F1620="",$G1620=""),"",IF(ISNUMBER(Sync!$AE1620),MOD(Sync!$AE1620,100),IFERROR(VALUE(TRIM(MID(MID(Sync!$AE1620,FIND("/",Sync!$AE1620)+1,20),FIND("/",MID(Sync!$AE1620,FIND("/",Sync!$AE1620)+1,20))+1,20))),"")))</f>
        <v/>
      </c>
      <c r="J1620">
        <f>IF($F1620="","",IF(OR($G1620="",$H1620="",$I1620="",$G1620&lt;1300,$G1620&gt;1500,$H1620&lt;1,$H1620&gt;12,$I1620&lt;1,$I1620&gt;31),"نامعتبر",RIGHT("0000"&amp;$G1620,4)&amp;"/"&amp;RIGHT("00"&amp;$H1620,2)&amp;"/"&amp;RIGHT("00"&amp;$I1620,2)))</f>
        <v/>
      </c>
      <c r="K1620">
        <f>IF(OR($F1620="",$J1620="",$J1620="نامعتبر"),"",LEFT($J1620,4)&amp;MID($J1620,6,2)&amp;RIGHT($J1620,2)&amp;$N1620&amp;"|"&amp;"2"&amp;RIGHT("00000"&amp;1615,5))</f>
        <v/>
      </c>
      <c r="L1620">
        <f>IF($K1620="","",COUNTIFS(LdgSellerA,$F1620,LdgKeyA,"&lt;"&amp;$K1620)+COUNTIFS(LdgSellerB,$F1620,LdgKeyB,"&lt;"&amp;$K1620)+1)</f>
        <v/>
      </c>
      <c r="M1620">
        <f>IF($L1620="","",$F1620&amp;"|"&amp;RIGHT("000000"&amp;$L1620,6))</f>
        <v/>
      </c>
      <c r="N1620">
        <f>IF($F1620="","",IF(Sync!$AF1620="","0000",IF(AND(ISNUMBER(Sync!$AF1620),Sync!$AF1620&gt;=0,Sync!$AF1620&lt;1),RIGHT("00"&amp;HOUR(Sync!$AF1620),2)&amp;RIGHT("00"&amp;MINUTE(Sync!$AF1620),2),IFERROR(RIGHT("00"&amp;VALUE(LEFT(Sync!$AF1620,FIND(":",Sync!$AF1620)-1)),2)&amp;RIGHT("00"&amp;VALUE(MID(Sync!$AF1620,FIND(":",Sync!$AF1620)+1,2)),2),"0000"))))</f>
        <v/>
      </c>
    </row>
    <row r="1621">
      <c r="A1621">
        <f>IF(OR(Calc!$E1625="",Calc!$E1625="نامعتبر",Calc!$G1625=""),"",Calc!$G1625)</f>
        <v/>
      </c>
      <c r="B1621">
        <f>IF($A1621="","",LEFT(Calc!$E1625,4)&amp;MID(Calc!$E1625,6,2)&amp;RIGHT(Calc!$E1625,2)&amp;Calc!$Q1625&amp;"|"&amp;"1"&amp;RIGHT("00000"&amp;1616,5))</f>
        <v/>
      </c>
      <c r="C1621">
        <f>IF($B1621="","",COUNTIFS(LdgSellerA,$A1621,LdgKeyA,"&lt;"&amp;$B1621)+COUNTIFS(LdgSellerB,$A1621,LdgKeyB,"&lt;"&amp;$B1621)+1)</f>
        <v/>
      </c>
      <c r="D1621">
        <f>IF($C1621="","",$A1621&amp;"|"&amp;RIGHT("000000"&amp;$C1621,6))</f>
        <v/>
      </c>
      <c r="F1621">
        <f>IF(Sync!$AH1621="","",IF(LEFT(UPPER(TRIM(Sync!$AH1621)),2)="SL",UPPER(TRIM(Sync!$AH1621)),""))</f>
        <v/>
      </c>
      <c r="G1621">
        <f>IF($F1621="","",IF(Sync!$AE1621="","",IF(ISNUMBER(Sync!$AE1621),IF(AND(Sync!$AE1621&gt;=10000101,Sync!$AE1621&lt;=99991231),INT(Sync!$AE1621/10000),""),IFERROR(VALUE(TRIM(LEFT(Sync!$AE1621,FIND("/",Sync!$AE1621)-1))),""))))</f>
        <v/>
      </c>
      <c r="H1621">
        <f>IF(OR($F1621="",$G1621=""),"",IF(ISNUMBER(Sync!$AE1621),INT(MOD(Sync!$AE1621,10000)/100),IFERROR(VALUE(TRIM(LEFT(MID(Sync!$AE1621,FIND("/",Sync!$AE1621)+1,20),FIND("/",MID(Sync!$AE1621,FIND("/",Sync!$AE1621)+1,20))-1))),"")))</f>
        <v/>
      </c>
      <c r="I1621">
        <f>IF(OR($F1621="",$G1621=""),"",IF(ISNUMBER(Sync!$AE1621),MOD(Sync!$AE1621,100),IFERROR(VALUE(TRIM(MID(MID(Sync!$AE1621,FIND("/",Sync!$AE1621)+1,20),FIND("/",MID(Sync!$AE1621,FIND("/",Sync!$AE1621)+1,20))+1,20))),"")))</f>
        <v/>
      </c>
      <c r="J1621">
        <f>IF($F1621="","",IF(OR($G1621="",$H1621="",$I1621="",$G1621&lt;1300,$G1621&gt;1500,$H1621&lt;1,$H1621&gt;12,$I1621&lt;1,$I1621&gt;31),"نامعتبر",RIGHT("0000"&amp;$G1621,4)&amp;"/"&amp;RIGHT("00"&amp;$H1621,2)&amp;"/"&amp;RIGHT("00"&amp;$I1621,2)))</f>
        <v/>
      </c>
      <c r="K1621">
        <f>IF(OR($F1621="",$J1621="",$J1621="نامعتبر"),"",LEFT($J1621,4)&amp;MID($J1621,6,2)&amp;RIGHT($J1621,2)&amp;$N1621&amp;"|"&amp;"2"&amp;RIGHT("00000"&amp;1616,5))</f>
        <v/>
      </c>
      <c r="L1621">
        <f>IF($K1621="","",COUNTIFS(LdgSellerA,$F1621,LdgKeyA,"&lt;"&amp;$K1621)+COUNTIFS(LdgSellerB,$F1621,LdgKeyB,"&lt;"&amp;$K1621)+1)</f>
        <v/>
      </c>
      <c r="M1621">
        <f>IF($L1621="","",$F1621&amp;"|"&amp;RIGHT("000000"&amp;$L1621,6))</f>
        <v/>
      </c>
      <c r="N1621">
        <f>IF($F1621="","",IF(Sync!$AF1621="","0000",IF(AND(ISNUMBER(Sync!$AF1621),Sync!$AF1621&gt;=0,Sync!$AF1621&lt;1),RIGHT("00"&amp;HOUR(Sync!$AF1621),2)&amp;RIGHT("00"&amp;MINUTE(Sync!$AF1621),2),IFERROR(RIGHT("00"&amp;VALUE(LEFT(Sync!$AF1621,FIND(":",Sync!$AF1621)-1)),2)&amp;RIGHT("00"&amp;VALUE(MID(Sync!$AF1621,FIND(":",Sync!$AF1621)+1,2)),2),"0000"))))</f>
        <v/>
      </c>
    </row>
    <row r="1622">
      <c r="A1622">
        <f>IF(OR(Calc!$E1626="",Calc!$E1626="نامعتبر",Calc!$G1626=""),"",Calc!$G1626)</f>
        <v/>
      </c>
      <c r="B1622">
        <f>IF($A1622="","",LEFT(Calc!$E1626,4)&amp;MID(Calc!$E1626,6,2)&amp;RIGHT(Calc!$E1626,2)&amp;Calc!$Q1626&amp;"|"&amp;"1"&amp;RIGHT("00000"&amp;1617,5))</f>
        <v/>
      </c>
      <c r="C1622">
        <f>IF($B1622="","",COUNTIFS(LdgSellerA,$A1622,LdgKeyA,"&lt;"&amp;$B1622)+COUNTIFS(LdgSellerB,$A1622,LdgKeyB,"&lt;"&amp;$B1622)+1)</f>
        <v/>
      </c>
      <c r="D1622">
        <f>IF($C1622="","",$A1622&amp;"|"&amp;RIGHT("000000"&amp;$C1622,6))</f>
        <v/>
      </c>
      <c r="F1622">
        <f>IF(Sync!$AH1622="","",IF(LEFT(UPPER(TRIM(Sync!$AH1622)),2)="SL",UPPER(TRIM(Sync!$AH1622)),""))</f>
        <v/>
      </c>
      <c r="G1622">
        <f>IF($F1622="","",IF(Sync!$AE1622="","",IF(ISNUMBER(Sync!$AE1622),IF(AND(Sync!$AE1622&gt;=10000101,Sync!$AE1622&lt;=99991231),INT(Sync!$AE1622/10000),""),IFERROR(VALUE(TRIM(LEFT(Sync!$AE1622,FIND("/",Sync!$AE1622)-1))),""))))</f>
        <v/>
      </c>
      <c r="H1622">
        <f>IF(OR($F1622="",$G1622=""),"",IF(ISNUMBER(Sync!$AE1622),INT(MOD(Sync!$AE1622,10000)/100),IFERROR(VALUE(TRIM(LEFT(MID(Sync!$AE1622,FIND("/",Sync!$AE1622)+1,20),FIND("/",MID(Sync!$AE1622,FIND("/",Sync!$AE1622)+1,20))-1))),"")))</f>
        <v/>
      </c>
      <c r="I1622">
        <f>IF(OR($F1622="",$G1622=""),"",IF(ISNUMBER(Sync!$AE1622),MOD(Sync!$AE1622,100),IFERROR(VALUE(TRIM(MID(MID(Sync!$AE1622,FIND("/",Sync!$AE1622)+1,20),FIND("/",MID(Sync!$AE1622,FIND("/",Sync!$AE1622)+1,20))+1,20))),"")))</f>
        <v/>
      </c>
      <c r="J1622">
        <f>IF($F1622="","",IF(OR($G1622="",$H1622="",$I1622="",$G1622&lt;1300,$G1622&gt;1500,$H1622&lt;1,$H1622&gt;12,$I1622&lt;1,$I1622&gt;31),"نامعتبر",RIGHT("0000"&amp;$G1622,4)&amp;"/"&amp;RIGHT("00"&amp;$H1622,2)&amp;"/"&amp;RIGHT("00"&amp;$I1622,2)))</f>
        <v/>
      </c>
      <c r="K1622">
        <f>IF(OR($F1622="",$J1622="",$J1622="نامعتبر"),"",LEFT($J1622,4)&amp;MID($J1622,6,2)&amp;RIGHT($J1622,2)&amp;$N1622&amp;"|"&amp;"2"&amp;RIGHT("00000"&amp;1617,5))</f>
        <v/>
      </c>
      <c r="L1622">
        <f>IF($K1622="","",COUNTIFS(LdgSellerA,$F1622,LdgKeyA,"&lt;"&amp;$K1622)+COUNTIFS(LdgSellerB,$F1622,LdgKeyB,"&lt;"&amp;$K1622)+1)</f>
        <v/>
      </c>
      <c r="M1622">
        <f>IF($L1622="","",$F1622&amp;"|"&amp;RIGHT("000000"&amp;$L1622,6))</f>
        <v/>
      </c>
      <c r="N1622">
        <f>IF($F1622="","",IF(Sync!$AF1622="","0000",IF(AND(ISNUMBER(Sync!$AF1622),Sync!$AF1622&gt;=0,Sync!$AF1622&lt;1),RIGHT("00"&amp;HOUR(Sync!$AF1622),2)&amp;RIGHT("00"&amp;MINUTE(Sync!$AF1622),2),IFERROR(RIGHT("00"&amp;VALUE(LEFT(Sync!$AF1622,FIND(":",Sync!$AF1622)-1)),2)&amp;RIGHT("00"&amp;VALUE(MID(Sync!$AF1622,FIND(":",Sync!$AF1622)+1,2)),2),"0000"))))</f>
        <v/>
      </c>
    </row>
    <row r="1623">
      <c r="A1623">
        <f>IF(OR(Calc!$E1627="",Calc!$E1627="نامعتبر",Calc!$G1627=""),"",Calc!$G1627)</f>
        <v/>
      </c>
      <c r="B1623">
        <f>IF($A1623="","",LEFT(Calc!$E1627,4)&amp;MID(Calc!$E1627,6,2)&amp;RIGHT(Calc!$E1627,2)&amp;Calc!$Q1627&amp;"|"&amp;"1"&amp;RIGHT("00000"&amp;1618,5))</f>
        <v/>
      </c>
      <c r="C1623">
        <f>IF($B1623="","",COUNTIFS(LdgSellerA,$A1623,LdgKeyA,"&lt;"&amp;$B1623)+COUNTIFS(LdgSellerB,$A1623,LdgKeyB,"&lt;"&amp;$B1623)+1)</f>
        <v/>
      </c>
      <c r="D1623">
        <f>IF($C1623="","",$A1623&amp;"|"&amp;RIGHT("000000"&amp;$C1623,6))</f>
        <v/>
      </c>
      <c r="F1623">
        <f>IF(Sync!$AH1623="","",IF(LEFT(UPPER(TRIM(Sync!$AH1623)),2)="SL",UPPER(TRIM(Sync!$AH1623)),""))</f>
        <v/>
      </c>
      <c r="G1623">
        <f>IF($F1623="","",IF(Sync!$AE1623="","",IF(ISNUMBER(Sync!$AE1623),IF(AND(Sync!$AE1623&gt;=10000101,Sync!$AE1623&lt;=99991231),INT(Sync!$AE1623/10000),""),IFERROR(VALUE(TRIM(LEFT(Sync!$AE1623,FIND("/",Sync!$AE1623)-1))),""))))</f>
        <v/>
      </c>
      <c r="H1623">
        <f>IF(OR($F1623="",$G1623=""),"",IF(ISNUMBER(Sync!$AE1623),INT(MOD(Sync!$AE1623,10000)/100),IFERROR(VALUE(TRIM(LEFT(MID(Sync!$AE1623,FIND("/",Sync!$AE1623)+1,20),FIND("/",MID(Sync!$AE1623,FIND("/",Sync!$AE1623)+1,20))-1))),"")))</f>
        <v/>
      </c>
      <c r="I1623">
        <f>IF(OR($F1623="",$G1623=""),"",IF(ISNUMBER(Sync!$AE1623),MOD(Sync!$AE1623,100),IFERROR(VALUE(TRIM(MID(MID(Sync!$AE1623,FIND("/",Sync!$AE1623)+1,20),FIND("/",MID(Sync!$AE1623,FIND("/",Sync!$AE1623)+1,20))+1,20))),"")))</f>
        <v/>
      </c>
      <c r="J1623">
        <f>IF($F1623="","",IF(OR($G1623="",$H1623="",$I1623="",$G1623&lt;1300,$G1623&gt;1500,$H1623&lt;1,$H1623&gt;12,$I1623&lt;1,$I1623&gt;31),"نامعتبر",RIGHT("0000"&amp;$G1623,4)&amp;"/"&amp;RIGHT("00"&amp;$H1623,2)&amp;"/"&amp;RIGHT("00"&amp;$I1623,2)))</f>
        <v/>
      </c>
      <c r="K1623">
        <f>IF(OR($F1623="",$J1623="",$J1623="نامعتبر"),"",LEFT($J1623,4)&amp;MID($J1623,6,2)&amp;RIGHT($J1623,2)&amp;$N1623&amp;"|"&amp;"2"&amp;RIGHT("00000"&amp;1618,5))</f>
        <v/>
      </c>
      <c r="L1623">
        <f>IF($K1623="","",COUNTIFS(LdgSellerA,$F1623,LdgKeyA,"&lt;"&amp;$K1623)+COUNTIFS(LdgSellerB,$F1623,LdgKeyB,"&lt;"&amp;$K1623)+1)</f>
        <v/>
      </c>
      <c r="M1623">
        <f>IF($L1623="","",$F1623&amp;"|"&amp;RIGHT("000000"&amp;$L1623,6))</f>
        <v/>
      </c>
      <c r="N1623">
        <f>IF($F1623="","",IF(Sync!$AF1623="","0000",IF(AND(ISNUMBER(Sync!$AF1623),Sync!$AF1623&gt;=0,Sync!$AF1623&lt;1),RIGHT("00"&amp;HOUR(Sync!$AF1623),2)&amp;RIGHT("00"&amp;MINUTE(Sync!$AF1623),2),IFERROR(RIGHT("00"&amp;VALUE(LEFT(Sync!$AF1623,FIND(":",Sync!$AF1623)-1)),2)&amp;RIGHT("00"&amp;VALUE(MID(Sync!$AF1623,FIND(":",Sync!$AF1623)+1,2)),2),"0000"))))</f>
        <v/>
      </c>
    </row>
    <row r="1624">
      <c r="A1624">
        <f>IF(OR(Calc!$E1628="",Calc!$E1628="نامعتبر",Calc!$G1628=""),"",Calc!$G1628)</f>
        <v/>
      </c>
      <c r="B1624">
        <f>IF($A1624="","",LEFT(Calc!$E1628,4)&amp;MID(Calc!$E1628,6,2)&amp;RIGHT(Calc!$E1628,2)&amp;Calc!$Q1628&amp;"|"&amp;"1"&amp;RIGHT("00000"&amp;1619,5))</f>
        <v/>
      </c>
      <c r="C1624">
        <f>IF($B1624="","",COUNTIFS(LdgSellerA,$A1624,LdgKeyA,"&lt;"&amp;$B1624)+COUNTIFS(LdgSellerB,$A1624,LdgKeyB,"&lt;"&amp;$B1624)+1)</f>
        <v/>
      </c>
      <c r="D1624">
        <f>IF($C1624="","",$A1624&amp;"|"&amp;RIGHT("000000"&amp;$C1624,6))</f>
        <v/>
      </c>
      <c r="F1624">
        <f>IF(Sync!$AH1624="","",IF(LEFT(UPPER(TRIM(Sync!$AH1624)),2)="SL",UPPER(TRIM(Sync!$AH1624)),""))</f>
        <v/>
      </c>
      <c r="G1624">
        <f>IF($F1624="","",IF(Sync!$AE1624="","",IF(ISNUMBER(Sync!$AE1624),IF(AND(Sync!$AE1624&gt;=10000101,Sync!$AE1624&lt;=99991231),INT(Sync!$AE1624/10000),""),IFERROR(VALUE(TRIM(LEFT(Sync!$AE1624,FIND("/",Sync!$AE1624)-1))),""))))</f>
        <v/>
      </c>
      <c r="H1624">
        <f>IF(OR($F1624="",$G1624=""),"",IF(ISNUMBER(Sync!$AE1624),INT(MOD(Sync!$AE1624,10000)/100),IFERROR(VALUE(TRIM(LEFT(MID(Sync!$AE1624,FIND("/",Sync!$AE1624)+1,20),FIND("/",MID(Sync!$AE1624,FIND("/",Sync!$AE1624)+1,20))-1))),"")))</f>
        <v/>
      </c>
      <c r="I1624">
        <f>IF(OR($F1624="",$G1624=""),"",IF(ISNUMBER(Sync!$AE1624),MOD(Sync!$AE1624,100),IFERROR(VALUE(TRIM(MID(MID(Sync!$AE1624,FIND("/",Sync!$AE1624)+1,20),FIND("/",MID(Sync!$AE1624,FIND("/",Sync!$AE1624)+1,20))+1,20))),"")))</f>
        <v/>
      </c>
      <c r="J1624">
        <f>IF($F1624="","",IF(OR($G1624="",$H1624="",$I1624="",$G1624&lt;1300,$G1624&gt;1500,$H1624&lt;1,$H1624&gt;12,$I1624&lt;1,$I1624&gt;31),"نامعتبر",RIGHT("0000"&amp;$G1624,4)&amp;"/"&amp;RIGHT("00"&amp;$H1624,2)&amp;"/"&amp;RIGHT("00"&amp;$I1624,2)))</f>
        <v/>
      </c>
      <c r="K1624">
        <f>IF(OR($F1624="",$J1624="",$J1624="نامعتبر"),"",LEFT($J1624,4)&amp;MID($J1624,6,2)&amp;RIGHT($J1624,2)&amp;$N1624&amp;"|"&amp;"2"&amp;RIGHT("00000"&amp;1619,5))</f>
        <v/>
      </c>
      <c r="L1624">
        <f>IF($K1624="","",COUNTIFS(LdgSellerA,$F1624,LdgKeyA,"&lt;"&amp;$K1624)+COUNTIFS(LdgSellerB,$F1624,LdgKeyB,"&lt;"&amp;$K1624)+1)</f>
        <v/>
      </c>
      <c r="M1624">
        <f>IF($L1624="","",$F1624&amp;"|"&amp;RIGHT("000000"&amp;$L1624,6))</f>
        <v/>
      </c>
      <c r="N1624">
        <f>IF($F1624="","",IF(Sync!$AF1624="","0000",IF(AND(ISNUMBER(Sync!$AF1624),Sync!$AF1624&gt;=0,Sync!$AF1624&lt;1),RIGHT("00"&amp;HOUR(Sync!$AF1624),2)&amp;RIGHT("00"&amp;MINUTE(Sync!$AF1624),2),IFERROR(RIGHT("00"&amp;VALUE(LEFT(Sync!$AF1624,FIND(":",Sync!$AF1624)-1)),2)&amp;RIGHT("00"&amp;VALUE(MID(Sync!$AF1624,FIND(":",Sync!$AF1624)+1,2)),2),"0000"))))</f>
        <v/>
      </c>
    </row>
    <row r="1625">
      <c r="A1625">
        <f>IF(OR(Calc!$E1629="",Calc!$E1629="نامعتبر",Calc!$G1629=""),"",Calc!$G1629)</f>
        <v/>
      </c>
      <c r="B1625">
        <f>IF($A1625="","",LEFT(Calc!$E1629,4)&amp;MID(Calc!$E1629,6,2)&amp;RIGHT(Calc!$E1629,2)&amp;Calc!$Q1629&amp;"|"&amp;"1"&amp;RIGHT("00000"&amp;1620,5))</f>
        <v/>
      </c>
      <c r="C1625">
        <f>IF($B1625="","",COUNTIFS(LdgSellerA,$A1625,LdgKeyA,"&lt;"&amp;$B1625)+COUNTIFS(LdgSellerB,$A1625,LdgKeyB,"&lt;"&amp;$B1625)+1)</f>
        <v/>
      </c>
      <c r="D1625">
        <f>IF($C1625="","",$A1625&amp;"|"&amp;RIGHT("000000"&amp;$C1625,6))</f>
        <v/>
      </c>
      <c r="F1625">
        <f>IF(Sync!$AH1625="","",IF(LEFT(UPPER(TRIM(Sync!$AH1625)),2)="SL",UPPER(TRIM(Sync!$AH1625)),""))</f>
        <v/>
      </c>
      <c r="G1625">
        <f>IF($F1625="","",IF(Sync!$AE1625="","",IF(ISNUMBER(Sync!$AE1625),IF(AND(Sync!$AE1625&gt;=10000101,Sync!$AE1625&lt;=99991231),INT(Sync!$AE1625/10000),""),IFERROR(VALUE(TRIM(LEFT(Sync!$AE1625,FIND("/",Sync!$AE1625)-1))),""))))</f>
        <v/>
      </c>
      <c r="H1625">
        <f>IF(OR($F1625="",$G1625=""),"",IF(ISNUMBER(Sync!$AE1625),INT(MOD(Sync!$AE1625,10000)/100),IFERROR(VALUE(TRIM(LEFT(MID(Sync!$AE1625,FIND("/",Sync!$AE1625)+1,20),FIND("/",MID(Sync!$AE1625,FIND("/",Sync!$AE1625)+1,20))-1))),"")))</f>
        <v/>
      </c>
      <c r="I1625">
        <f>IF(OR($F1625="",$G1625=""),"",IF(ISNUMBER(Sync!$AE1625),MOD(Sync!$AE1625,100),IFERROR(VALUE(TRIM(MID(MID(Sync!$AE1625,FIND("/",Sync!$AE1625)+1,20),FIND("/",MID(Sync!$AE1625,FIND("/",Sync!$AE1625)+1,20))+1,20))),"")))</f>
        <v/>
      </c>
      <c r="J1625">
        <f>IF($F1625="","",IF(OR($G1625="",$H1625="",$I1625="",$G1625&lt;1300,$G1625&gt;1500,$H1625&lt;1,$H1625&gt;12,$I1625&lt;1,$I1625&gt;31),"نامعتبر",RIGHT("0000"&amp;$G1625,4)&amp;"/"&amp;RIGHT("00"&amp;$H1625,2)&amp;"/"&amp;RIGHT("00"&amp;$I1625,2)))</f>
        <v/>
      </c>
      <c r="K1625">
        <f>IF(OR($F1625="",$J1625="",$J1625="نامعتبر"),"",LEFT($J1625,4)&amp;MID($J1625,6,2)&amp;RIGHT($J1625,2)&amp;$N1625&amp;"|"&amp;"2"&amp;RIGHT("00000"&amp;1620,5))</f>
        <v/>
      </c>
      <c r="L1625">
        <f>IF($K1625="","",COUNTIFS(LdgSellerA,$F1625,LdgKeyA,"&lt;"&amp;$K1625)+COUNTIFS(LdgSellerB,$F1625,LdgKeyB,"&lt;"&amp;$K1625)+1)</f>
        <v/>
      </c>
      <c r="M1625">
        <f>IF($L1625="","",$F1625&amp;"|"&amp;RIGHT("000000"&amp;$L1625,6))</f>
        <v/>
      </c>
      <c r="N1625">
        <f>IF($F1625="","",IF(Sync!$AF1625="","0000",IF(AND(ISNUMBER(Sync!$AF1625),Sync!$AF1625&gt;=0,Sync!$AF1625&lt;1),RIGHT("00"&amp;HOUR(Sync!$AF1625),2)&amp;RIGHT("00"&amp;MINUTE(Sync!$AF1625),2),IFERROR(RIGHT("00"&amp;VALUE(LEFT(Sync!$AF1625,FIND(":",Sync!$AF1625)-1)),2)&amp;RIGHT("00"&amp;VALUE(MID(Sync!$AF1625,FIND(":",Sync!$AF1625)+1,2)),2),"0000"))))</f>
        <v/>
      </c>
    </row>
    <row r="1626">
      <c r="A1626">
        <f>IF(OR(Calc!$E1630="",Calc!$E1630="نامعتبر",Calc!$G1630=""),"",Calc!$G1630)</f>
        <v/>
      </c>
      <c r="B1626">
        <f>IF($A1626="","",LEFT(Calc!$E1630,4)&amp;MID(Calc!$E1630,6,2)&amp;RIGHT(Calc!$E1630,2)&amp;Calc!$Q1630&amp;"|"&amp;"1"&amp;RIGHT("00000"&amp;1621,5))</f>
        <v/>
      </c>
      <c r="C1626">
        <f>IF($B1626="","",COUNTIFS(LdgSellerA,$A1626,LdgKeyA,"&lt;"&amp;$B1626)+COUNTIFS(LdgSellerB,$A1626,LdgKeyB,"&lt;"&amp;$B1626)+1)</f>
        <v/>
      </c>
      <c r="D1626">
        <f>IF($C1626="","",$A1626&amp;"|"&amp;RIGHT("000000"&amp;$C1626,6))</f>
        <v/>
      </c>
      <c r="F1626">
        <f>IF(Sync!$AH1626="","",IF(LEFT(UPPER(TRIM(Sync!$AH1626)),2)="SL",UPPER(TRIM(Sync!$AH1626)),""))</f>
        <v/>
      </c>
      <c r="G1626">
        <f>IF($F1626="","",IF(Sync!$AE1626="","",IF(ISNUMBER(Sync!$AE1626),IF(AND(Sync!$AE1626&gt;=10000101,Sync!$AE1626&lt;=99991231),INT(Sync!$AE1626/10000),""),IFERROR(VALUE(TRIM(LEFT(Sync!$AE1626,FIND("/",Sync!$AE1626)-1))),""))))</f>
        <v/>
      </c>
      <c r="H1626">
        <f>IF(OR($F1626="",$G1626=""),"",IF(ISNUMBER(Sync!$AE1626),INT(MOD(Sync!$AE1626,10000)/100),IFERROR(VALUE(TRIM(LEFT(MID(Sync!$AE1626,FIND("/",Sync!$AE1626)+1,20),FIND("/",MID(Sync!$AE1626,FIND("/",Sync!$AE1626)+1,20))-1))),"")))</f>
        <v/>
      </c>
      <c r="I1626">
        <f>IF(OR($F1626="",$G1626=""),"",IF(ISNUMBER(Sync!$AE1626),MOD(Sync!$AE1626,100),IFERROR(VALUE(TRIM(MID(MID(Sync!$AE1626,FIND("/",Sync!$AE1626)+1,20),FIND("/",MID(Sync!$AE1626,FIND("/",Sync!$AE1626)+1,20))+1,20))),"")))</f>
        <v/>
      </c>
      <c r="J1626">
        <f>IF($F1626="","",IF(OR($G1626="",$H1626="",$I1626="",$G1626&lt;1300,$G1626&gt;1500,$H1626&lt;1,$H1626&gt;12,$I1626&lt;1,$I1626&gt;31),"نامعتبر",RIGHT("0000"&amp;$G1626,4)&amp;"/"&amp;RIGHT("00"&amp;$H1626,2)&amp;"/"&amp;RIGHT("00"&amp;$I1626,2)))</f>
        <v/>
      </c>
      <c r="K1626">
        <f>IF(OR($F1626="",$J1626="",$J1626="نامعتبر"),"",LEFT($J1626,4)&amp;MID($J1626,6,2)&amp;RIGHT($J1626,2)&amp;$N1626&amp;"|"&amp;"2"&amp;RIGHT("00000"&amp;1621,5))</f>
        <v/>
      </c>
      <c r="L1626">
        <f>IF($K1626="","",COUNTIFS(LdgSellerA,$F1626,LdgKeyA,"&lt;"&amp;$K1626)+COUNTIFS(LdgSellerB,$F1626,LdgKeyB,"&lt;"&amp;$K1626)+1)</f>
        <v/>
      </c>
      <c r="M1626">
        <f>IF($L1626="","",$F1626&amp;"|"&amp;RIGHT("000000"&amp;$L1626,6))</f>
        <v/>
      </c>
      <c r="N1626">
        <f>IF($F1626="","",IF(Sync!$AF1626="","0000",IF(AND(ISNUMBER(Sync!$AF1626),Sync!$AF1626&gt;=0,Sync!$AF1626&lt;1),RIGHT("00"&amp;HOUR(Sync!$AF1626),2)&amp;RIGHT("00"&amp;MINUTE(Sync!$AF1626),2),IFERROR(RIGHT("00"&amp;VALUE(LEFT(Sync!$AF1626,FIND(":",Sync!$AF1626)-1)),2)&amp;RIGHT("00"&amp;VALUE(MID(Sync!$AF1626,FIND(":",Sync!$AF1626)+1,2)),2),"0000"))))</f>
        <v/>
      </c>
    </row>
    <row r="1627">
      <c r="A1627">
        <f>IF(OR(Calc!$E1631="",Calc!$E1631="نامعتبر",Calc!$G1631=""),"",Calc!$G1631)</f>
        <v/>
      </c>
      <c r="B1627">
        <f>IF($A1627="","",LEFT(Calc!$E1631,4)&amp;MID(Calc!$E1631,6,2)&amp;RIGHT(Calc!$E1631,2)&amp;Calc!$Q1631&amp;"|"&amp;"1"&amp;RIGHT("00000"&amp;1622,5))</f>
        <v/>
      </c>
      <c r="C1627">
        <f>IF($B1627="","",COUNTIFS(LdgSellerA,$A1627,LdgKeyA,"&lt;"&amp;$B1627)+COUNTIFS(LdgSellerB,$A1627,LdgKeyB,"&lt;"&amp;$B1627)+1)</f>
        <v/>
      </c>
      <c r="D1627">
        <f>IF($C1627="","",$A1627&amp;"|"&amp;RIGHT("000000"&amp;$C1627,6))</f>
        <v/>
      </c>
      <c r="F1627">
        <f>IF(Sync!$AH1627="","",IF(LEFT(UPPER(TRIM(Sync!$AH1627)),2)="SL",UPPER(TRIM(Sync!$AH1627)),""))</f>
        <v/>
      </c>
      <c r="G1627">
        <f>IF($F1627="","",IF(Sync!$AE1627="","",IF(ISNUMBER(Sync!$AE1627),IF(AND(Sync!$AE1627&gt;=10000101,Sync!$AE1627&lt;=99991231),INT(Sync!$AE1627/10000),""),IFERROR(VALUE(TRIM(LEFT(Sync!$AE1627,FIND("/",Sync!$AE1627)-1))),""))))</f>
        <v/>
      </c>
      <c r="H1627">
        <f>IF(OR($F1627="",$G1627=""),"",IF(ISNUMBER(Sync!$AE1627),INT(MOD(Sync!$AE1627,10000)/100),IFERROR(VALUE(TRIM(LEFT(MID(Sync!$AE1627,FIND("/",Sync!$AE1627)+1,20),FIND("/",MID(Sync!$AE1627,FIND("/",Sync!$AE1627)+1,20))-1))),"")))</f>
        <v/>
      </c>
      <c r="I1627">
        <f>IF(OR($F1627="",$G1627=""),"",IF(ISNUMBER(Sync!$AE1627),MOD(Sync!$AE1627,100),IFERROR(VALUE(TRIM(MID(MID(Sync!$AE1627,FIND("/",Sync!$AE1627)+1,20),FIND("/",MID(Sync!$AE1627,FIND("/",Sync!$AE1627)+1,20))+1,20))),"")))</f>
        <v/>
      </c>
      <c r="J1627">
        <f>IF($F1627="","",IF(OR($G1627="",$H1627="",$I1627="",$G1627&lt;1300,$G1627&gt;1500,$H1627&lt;1,$H1627&gt;12,$I1627&lt;1,$I1627&gt;31),"نامعتبر",RIGHT("0000"&amp;$G1627,4)&amp;"/"&amp;RIGHT("00"&amp;$H1627,2)&amp;"/"&amp;RIGHT("00"&amp;$I1627,2)))</f>
        <v/>
      </c>
      <c r="K1627">
        <f>IF(OR($F1627="",$J1627="",$J1627="نامعتبر"),"",LEFT($J1627,4)&amp;MID($J1627,6,2)&amp;RIGHT($J1627,2)&amp;$N1627&amp;"|"&amp;"2"&amp;RIGHT("00000"&amp;1622,5))</f>
        <v/>
      </c>
      <c r="L1627">
        <f>IF($K1627="","",COUNTIFS(LdgSellerA,$F1627,LdgKeyA,"&lt;"&amp;$K1627)+COUNTIFS(LdgSellerB,$F1627,LdgKeyB,"&lt;"&amp;$K1627)+1)</f>
        <v/>
      </c>
      <c r="M1627">
        <f>IF($L1627="","",$F1627&amp;"|"&amp;RIGHT("000000"&amp;$L1627,6))</f>
        <v/>
      </c>
      <c r="N1627">
        <f>IF($F1627="","",IF(Sync!$AF1627="","0000",IF(AND(ISNUMBER(Sync!$AF1627),Sync!$AF1627&gt;=0,Sync!$AF1627&lt;1),RIGHT("00"&amp;HOUR(Sync!$AF1627),2)&amp;RIGHT("00"&amp;MINUTE(Sync!$AF1627),2),IFERROR(RIGHT("00"&amp;VALUE(LEFT(Sync!$AF1627,FIND(":",Sync!$AF1627)-1)),2)&amp;RIGHT("00"&amp;VALUE(MID(Sync!$AF1627,FIND(":",Sync!$AF1627)+1,2)),2),"0000"))))</f>
        <v/>
      </c>
    </row>
    <row r="1628">
      <c r="A1628">
        <f>IF(OR(Calc!$E1632="",Calc!$E1632="نامعتبر",Calc!$G1632=""),"",Calc!$G1632)</f>
        <v/>
      </c>
      <c r="B1628">
        <f>IF($A1628="","",LEFT(Calc!$E1632,4)&amp;MID(Calc!$E1632,6,2)&amp;RIGHT(Calc!$E1632,2)&amp;Calc!$Q1632&amp;"|"&amp;"1"&amp;RIGHT("00000"&amp;1623,5))</f>
        <v/>
      </c>
      <c r="C1628">
        <f>IF($B1628="","",COUNTIFS(LdgSellerA,$A1628,LdgKeyA,"&lt;"&amp;$B1628)+COUNTIFS(LdgSellerB,$A1628,LdgKeyB,"&lt;"&amp;$B1628)+1)</f>
        <v/>
      </c>
      <c r="D1628">
        <f>IF($C1628="","",$A1628&amp;"|"&amp;RIGHT("000000"&amp;$C1628,6))</f>
        <v/>
      </c>
      <c r="F1628">
        <f>IF(Sync!$AH1628="","",IF(LEFT(UPPER(TRIM(Sync!$AH1628)),2)="SL",UPPER(TRIM(Sync!$AH1628)),""))</f>
        <v/>
      </c>
      <c r="G1628">
        <f>IF($F1628="","",IF(Sync!$AE1628="","",IF(ISNUMBER(Sync!$AE1628),IF(AND(Sync!$AE1628&gt;=10000101,Sync!$AE1628&lt;=99991231),INT(Sync!$AE1628/10000),""),IFERROR(VALUE(TRIM(LEFT(Sync!$AE1628,FIND("/",Sync!$AE1628)-1))),""))))</f>
        <v/>
      </c>
      <c r="H1628">
        <f>IF(OR($F1628="",$G1628=""),"",IF(ISNUMBER(Sync!$AE1628),INT(MOD(Sync!$AE1628,10000)/100),IFERROR(VALUE(TRIM(LEFT(MID(Sync!$AE1628,FIND("/",Sync!$AE1628)+1,20),FIND("/",MID(Sync!$AE1628,FIND("/",Sync!$AE1628)+1,20))-1))),"")))</f>
        <v/>
      </c>
      <c r="I1628">
        <f>IF(OR($F1628="",$G1628=""),"",IF(ISNUMBER(Sync!$AE1628),MOD(Sync!$AE1628,100),IFERROR(VALUE(TRIM(MID(MID(Sync!$AE1628,FIND("/",Sync!$AE1628)+1,20),FIND("/",MID(Sync!$AE1628,FIND("/",Sync!$AE1628)+1,20))+1,20))),"")))</f>
        <v/>
      </c>
      <c r="J1628">
        <f>IF($F1628="","",IF(OR($G1628="",$H1628="",$I1628="",$G1628&lt;1300,$G1628&gt;1500,$H1628&lt;1,$H1628&gt;12,$I1628&lt;1,$I1628&gt;31),"نامعتبر",RIGHT("0000"&amp;$G1628,4)&amp;"/"&amp;RIGHT("00"&amp;$H1628,2)&amp;"/"&amp;RIGHT("00"&amp;$I1628,2)))</f>
        <v/>
      </c>
      <c r="K1628">
        <f>IF(OR($F1628="",$J1628="",$J1628="نامعتبر"),"",LEFT($J1628,4)&amp;MID($J1628,6,2)&amp;RIGHT($J1628,2)&amp;$N1628&amp;"|"&amp;"2"&amp;RIGHT("00000"&amp;1623,5))</f>
        <v/>
      </c>
      <c r="L1628">
        <f>IF($K1628="","",COUNTIFS(LdgSellerA,$F1628,LdgKeyA,"&lt;"&amp;$K1628)+COUNTIFS(LdgSellerB,$F1628,LdgKeyB,"&lt;"&amp;$K1628)+1)</f>
        <v/>
      </c>
      <c r="M1628">
        <f>IF($L1628="","",$F1628&amp;"|"&amp;RIGHT("000000"&amp;$L1628,6))</f>
        <v/>
      </c>
      <c r="N1628">
        <f>IF($F1628="","",IF(Sync!$AF1628="","0000",IF(AND(ISNUMBER(Sync!$AF1628),Sync!$AF1628&gt;=0,Sync!$AF1628&lt;1),RIGHT("00"&amp;HOUR(Sync!$AF1628),2)&amp;RIGHT("00"&amp;MINUTE(Sync!$AF1628),2),IFERROR(RIGHT("00"&amp;VALUE(LEFT(Sync!$AF1628,FIND(":",Sync!$AF1628)-1)),2)&amp;RIGHT("00"&amp;VALUE(MID(Sync!$AF1628,FIND(":",Sync!$AF1628)+1,2)),2),"0000"))))</f>
        <v/>
      </c>
    </row>
    <row r="1629">
      <c r="A1629">
        <f>IF(OR(Calc!$E1633="",Calc!$E1633="نامعتبر",Calc!$G1633=""),"",Calc!$G1633)</f>
        <v/>
      </c>
      <c r="B1629">
        <f>IF($A1629="","",LEFT(Calc!$E1633,4)&amp;MID(Calc!$E1633,6,2)&amp;RIGHT(Calc!$E1633,2)&amp;Calc!$Q1633&amp;"|"&amp;"1"&amp;RIGHT("00000"&amp;1624,5))</f>
        <v/>
      </c>
      <c r="C1629">
        <f>IF($B1629="","",COUNTIFS(LdgSellerA,$A1629,LdgKeyA,"&lt;"&amp;$B1629)+COUNTIFS(LdgSellerB,$A1629,LdgKeyB,"&lt;"&amp;$B1629)+1)</f>
        <v/>
      </c>
      <c r="D1629">
        <f>IF($C1629="","",$A1629&amp;"|"&amp;RIGHT("000000"&amp;$C1629,6))</f>
        <v/>
      </c>
      <c r="F1629">
        <f>IF(Sync!$AH1629="","",IF(LEFT(UPPER(TRIM(Sync!$AH1629)),2)="SL",UPPER(TRIM(Sync!$AH1629)),""))</f>
        <v/>
      </c>
      <c r="G1629">
        <f>IF($F1629="","",IF(Sync!$AE1629="","",IF(ISNUMBER(Sync!$AE1629),IF(AND(Sync!$AE1629&gt;=10000101,Sync!$AE1629&lt;=99991231),INT(Sync!$AE1629/10000),""),IFERROR(VALUE(TRIM(LEFT(Sync!$AE1629,FIND("/",Sync!$AE1629)-1))),""))))</f>
        <v/>
      </c>
      <c r="H1629">
        <f>IF(OR($F1629="",$G1629=""),"",IF(ISNUMBER(Sync!$AE1629),INT(MOD(Sync!$AE1629,10000)/100),IFERROR(VALUE(TRIM(LEFT(MID(Sync!$AE1629,FIND("/",Sync!$AE1629)+1,20),FIND("/",MID(Sync!$AE1629,FIND("/",Sync!$AE1629)+1,20))-1))),"")))</f>
        <v/>
      </c>
      <c r="I1629">
        <f>IF(OR($F1629="",$G1629=""),"",IF(ISNUMBER(Sync!$AE1629),MOD(Sync!$AE1629,100),IFERROR(VALUE(TRIM(MID(MID(Sync!$AE1629,FIND("/",Sync!$AE1629)+1,20),FIND("/",MID(Sync!$AE1629,FIND("/",Sync!$AE1629)+1,20))+1,20))),"")))</f>
        <v/>
      </c>
      <c r="J1629">
        <f>IF($F1629="","",IF(OR($G1629="",$H1629="",$I1629="",$G1629&lt;1300,$G1629&gt;1500,$H1629&lt;1,$H1629&gt;12,$I1629&lt;1,$I1629&gt;31),"نامعتبر",RIGHT("0000"&amp;$G1629,4)&amp;"/"&amp;RIGHT("00"&amp;$H1629,2)&amp;"/"&amp;RIGHT("00"&amp;$I1629,2)))</f>
        <v/>
      </c>
      <c r="K1629">
        <f>IF(OR($F1629="",$J1629="",$J1629="نامعتبر"),"",LEFT($J1629,4)&amp;MID($J1629,6,2)&amp;RIGHT($J1629,2)&amp;$N1629&amp;"|"&amp;"2"&amp;RIGHT("00000"&amp;1624,5))</f>
        <v/>
      </c>
      <c r="L1629">
        <f>IF($K1629="","",COUNTIFS(LdgSellerA,$F1629,LdgKeyA,"&lt;"&amp;$K1629)+COUNTIFS(LdgSellerB,$F1629,LdgKeyB,"&lt;"&amp;$K1629)+1)</f>
        <v/>
      </c>
      <c r="M1629">
        <f>IF($L1629="","",$F1629&amp;"|"&amp;RIGHT("000000"&amp;$L1629,6))</f>
        <v/>
      </c>
      <c r="N1629">
        <f>IF($F1629="","",IF(Sync!$AF1629="","0000",IF(AND(ISNUMBER(Sync!$AF1629),Sync!$AF1629&gt;=0,Sync!$AF1629&lt;1),RIGHT("00"&amp;HOUR(Sync!$AF1629),2)&amp;RIGHT("00"&amp;MINUTE(Sync!$AF1629),2),IFERROR(RIGHT("00"&amp;VALUE(LEFT(Sync!$AF1629,FIND(":",Sync!$AF1629)-1)),2)&amp;RIGHT("00"&amp;VALUE(MID(Sync!$AF1629,FIND(":",Sync!$AF1629)+1,2)),2),"0000"))))</f>
        <v/>
      </c>
    </row>
    <row r="1630">
      <c r="A1630">
        <f>IF(OR(Calc!$E1634="",Calc!$E1634="نامعتبر",Calc!$G1634=""),"",Calc!$G1634)</f>
        <v/>
      </c>
      <c r="B1630">
        <f>IF($A1630="","",LEFT(Calc!$E1634,4)&amp;MID(Calc!$E1634,6,2)&amp;RIGHT(Calc!$E1634,2)&amp;Calc!$Q1634&amp;"|"&amp;"1"&amp;RIGHT("00000"&amp;1625,5))</f>
        <v/>
      </c>
      <c r="C1630">
        <f>IF($B1630="","",COUNTIFS(LdgSellerA,$A1630,LdgKeyA,"&lt;"&amp;$B1630)+COUNTIFS(LdgSellerB,$A1630,LdgKeyB,"&lt;"&amp;$B1630)+1)</f>
        <v/>
      </c>
      <c r="D1630">
        <f>IF($C1630="","",$A1630&amp;"|"&amp;RIGHT("000000"&amp;$C1630,6))</f>
        <v/>
      </c>
      <c r="F1630">
        <f>IF(Sync!$AH1630="","",IF(LEFT(UPPER(TRIM(Sync!$AH1630)),2)="SL",UPPER(TRIM(Sync!$AH1630)),""))</f>
        <v/>
      </c>
      <c r="G1630">
        <f>IF($F1630="","",IF(Sync!$AE1630="","",IF(ISNUMBER(Sync!$AE1630),IF(AND(Sync!$AE1630&gt;=10000101,Sync!$AE1630&lt;=99991231),INT(Sync!$AE1630/10000),""),IFERROR(VALUE(TRIM(LEFT(Sync!$AE1630,FIND("/",Sync!$AE1630)-1))),""))))</f>
        <v/>
      </c>
      <c r="H1630">
        <f>IF(OR($F1630="",$G1630=""),"",IF(ISNUMBER(Sync!$AE1630),INT(MOD(Sync!$AE1630,10000)/100),IFERROR(VALUE(TRIM(LEFT(MID(Sync!$AE1630,FIND("/",Sync!$AE1630)+1,20),FIND("/",MID(Sync!$AE1630,FIND("/",Sync!$AE1630)+1,20))-1))),"")))</f>
        <v/>
      </c>
      <c r="I1630">
        <f>IF(OR($F1630="",$G1630=""),"",IF(ISNUMBER(Sync!$AE1630),MOD(Sync!$AE1630,100),IFERROR(VALUE(TRIM(MID(MID(Sync!$AE1630,FIND("/",Sync!$AE1630)+1,20),FIND("/",MID(Sync!$AE1630,FIND("/",Sync!$AE1630)+1,20))+1,20))),"")))</f>
        <v/>
      </c>
      <c r="J1630">
        <f>IF($F1630="","",IF(OR($G1630="",$H1630="",$I1630="",$G1630&lt;1300,$G1630&gt;1500,$H1630&lt;1,$H1630&gt;12,$I1630&lt;1,$I1630&gt;31),"نامعتبر",RIGHT("0000"&amp;$G1630,4)&amp;"/"&amp;RIGHT("00"&amp;$H1630,2)&amp;"/"&amp;RIGHT("00"&amp;$I1630,2)))</f>
        <v/>
      </c>
      <c r="K1630">
        <f>IF(OR($F1630="",$J1630="",$J1630="نامعتبر"),"",LEFT($J1630,4)&amp;MID($J1630,6,2)&amp;RIGHT($J1630,2)&amp;$N1630&amp;"|"&amp;"2"&amp;RIGHT("00000"&amp;1625,5))</f>
        <v/>
      </c>
      <c r="L1630">
        <f>IF($K1630="","",COUNTIFS(LdgSellerA,$F1630,LdgKeyA,"&lt;"&amp;$K1630)+COUNTIFS(LdgSellerB,$F1630,LdgKeyB,"&lt;"&amp;$K1630)+1)</f>
        <v/>
      </c>
      <c r="M1630">
        <f>IF($L1630="","",$F1630&amp;"|"&amp;RIGHT("000000"&amp;$L1630,6))</f>
        <v/>
      </c>
      <c r="N1630">
        <f>IF($F1630="","",IF(Sync!$AF1630="","0000",IF(AND(ISNUMBER(Sync!$AF1630),Sync!$AF1630&gt;=0,Sync!$AF1630&lt;1),RIGHT("00"&amp;HOUR(Sync!$AF1630),2)&amp;RIGHT("00"&amp;MINUTE(Sync!$AF1630),2),IFERROR(RIGHT("00"&amp;VALUE(LEFT(Sync!$AF1630,FIND(":",Sync!$AF1630)-1)),2)&amp;RIGHT("00"&amp;VALUE(MID(Sync!$AF1630,FIND(":",Sync!$AF1630)+1,2)),2),"0000"))))</f>
        <v/>
      </c>
    </row>
    <row r="1631">
      <c r="A1631">
        <f>IF(OR(Calc!$E1635="",Calc!$E1635="نامعتبر",Calc!$G1635=""),"",Calc!$G1635)</f>
        <v/>
      </c>
      <c r="B1631">
        <f>IF($A1631="","",LEFT(Calc!$E1635,4)&amp;MID(Calc!$E1635,6,2)&amp;RIGHT(Calc!$E1635,2)&amp;Calc!$Q1635&amp;"|"&amp;"1"&amp;RIGHT("00000"&amp;1626,5))</f>
        <v/>
      </c>
      <c r="C1631">
        <f>IF($B1631="","",COUNTIFS(LdgSellerA,$A1631,LdgKeyA,"&lt;"&amp;$B1631)+COUNTIFS(LdgSellerB,$A1631,LdgKeyB,"&lt;"&amp;$B1631)+1)</f>
        <v/>
      </c>
      <c r="D1631">
        <f>IF($C1631="","",$A1631&amp;"|"&amp;RIGHT("000000"&amp;$C1631,6))</f>
        <v/>
      </c>
      <c r="F1631">
        <f>IF(Sync!$AH1631="","",IF(LEFT(UPPER(TRIM(Sync!$AH1631)),2)="SL",UPPER(TRIM(Sync!$AH1631)),""))</f>
        <v/>
      </c>
      <c r="G1631">
        <f>IF($F1631="","",IF(Sync!$AE1631="","",IF(ISNUMBER(Sync!$AE1631),IF(AND(Sync!$AE1631&gt;=10000101,Sync!$AE1631&lt;=99991231),INT(Sync!$AE1631/10000),""),IFERROR(VALUE(TRIM(LEFT(Sync!$AE1631,FIND("/",Sync!$AE1631)-1))),""))))</f>
        <v/>
      </c>
      <c r="H1631">
        <f>IF(OR($F1631="",$G1631=""),"",IF(ISNUMBER(Sync!$AE1631),INT(MOD(Sync!$AE1631,10000)/100),IFERROR(VALUE(TRIM(LEFT(MID(Sync!$AE1631,FIND("/",Sync!$AE1631)+1,20),FIND("/",MID(Sync!$AE1631,FIND("/",Sync!$AE1631)+1,20))-1))),"")))</f>
        <v/>
      </c>
      <c r="I1631">
        <f>IF(OR($F1631="",$G1631=""),"",IF(ISNUMBER(Sync!$AE1631),MOD(Sync!$AE1631,100),IFERROR(VALUE(TRIM(MID(MID(Sync!$AE1631,FIND("/",Sync!$AE1631)+1,20),FIND("/",MID(Sync!$AE1631,FIND("/",Sync!$AE1631)+1,20))+1,20))),"")))</f>
        <v/>
      </c>
      <c r="J1631">
        <f>IF($F1631="","",IF(OR($G1631="",$H1631="",$I1631="",$G1631&lt;1300,$G1631&gt;1500,$H1631&lt;1,$H1631&gt;12,$I1631&lt;1,$I1631&gt;31),"نامعتبر",RIGHT("0000"&amp;$G1631,4)&amp;"/"&amp;RIGHT("00"&amp;$H1631,2)&amp;"/"&amp;RIGHT("00"&amp;$I1631,2)))</f>
        <v/>
      </c>
      <c r="K1631">
        <f>IF(OR($F1631="",$J1631="",$J1631="نامعتبر"),"",LEFT($J1631,4)&amp;MID($J1631,6,2)&amp;RIGHT($J1631,2)&amp;$N1631&amp;"|"&amp;"2"&amp;RIGHT("00000"&amp;1626,5))</f>
        <v/>
      </c>
      <c r="L1631">
        <f>IF($K1631="","",COUNTIFS(LdgSellerA,$F1631,LdgKeyA,"&lt;"&amp;$K1631)+COUNTIFS(LdgSellerB,$F1631,LdgKeyB,"&lt;"&amp;$K1631)+1)</f>
        <v/>
      </c>
      <c r="M1631">
        <f>IF($L1631="","",$F1631&amp;"|"&amp;RIGHT("000000"&amp;$L1631,6))</f>
        <v/>
      </c>
      <c r="N1631">
        <f>IF($F1631="","",IF(Sync!$AF1631="","0000",IF(AND(ISNUMBER(Sync!$AF1631),Sync!$AF1631&gt;=0,Sync!$AF1631&lt;1),RIGHT("00"&amp;HOUR(Sync!$AF1631),2)&amp;RIGHT("00"&amp;MINUTE(Sync!$AF1631),2),IFERROR(RIGHT("00"&amp;VALUE(LEFT(Sync!$AF1631,FIND(":",Sync!$AF1631)-1)),2)&amp;RIGHT("00"&amp;VALUE(MID(Sync!$AF1631,FIND(":",Sync!$AF1631)+1,2)),2),"0000"))))</f>
        <v/>
      </c>
    </row>
    <row r="1632">
      <c r="A1632">
        <f>IF(OR(Calc!$E1636="",Calc!$E1636="نامعتبر",Calc!$G1636=""),"",Calc!$G1636)</f>
        <v/>
      </c>
      <c r="B1632">
        <f>IF($A1632="","",LEFT(Calc!$E1636,4)&amp;MID(Calc!$E1636,6,2)&amp;RIGHT(Calc!$E1636,2)&amp;Calc!$Q1636&amp;"|"&amp;"1"&amp;RIGHT("00000"&amp;1627,5))</f>
        <v/>
      </c>
      <c r="C1632">
        <f>IF($B1632="","",COUNTIFS(LdgSellerA,$A1632,LdgKeyA,"&lt;"&amp;$B1632)+COUNTIFS(LdgSellerB,$A1632,LdgKeyB,"&lt;"&amp;$B1632)+1)</f>
        <v/>
      </c>
      <c r="D1632">
        <f>IF($C1632="","",$A1632&amp;"|"&amp;RIGHT("000000"&amp;$C1632,6))</f>
        <v/>
      </c>
      <c r="F1632">
        <f>IF(Sync!$AH1632="","",IF(LEFT(UPPER(TRIM(Sync!$AH1632)),2)="SL",UPPER(TRIM(Sync!$AH1632)),""))</f>
        <v/>
      </c>
      <c r="G1632">
        <f>IF($F1632="","",IF(Sync!$AE1632="","",IF(ISNUMBER(Sync!$AE1632),IF(AND(Sync!$AE1632&gt;=10000101,Sync!$AE1632&lt;=99991231),INT(Sync!$AE1632/10000),""),IFERROR(VALUE(TRIM(LEFT(Sync!$AE1632,FIND("/",Sync!$AE1632)-1))),""))))</f>
        <v/>
      </c>
      <c r="H1632">
        <f>IF(OR($F1632="",$G1632=""),"",IF(ISNUMBER(Sync!$AE1632),INT(MOD(Sync!$AE1632,10000)/100),IFERROR(VALUE(TRIM(LEFT(MID(Sync!$AE1632,FIND("/",Sync!$AE1632)+1,20),FIND("/",MID(Sync!$AE1632,FIND("/",Sync!$AE1632)+1,20))-1))),"")))</f>
        <v/>
      </c>
      <c r="I1632">
        <f>IF(OR($F1632="",$G1632=""),"",IF(ISNUMBER(Sync!$AE1632),MOD(Sync!$AE1632,100),IFERROR(VALUE(TRIM(MID(MID(Sync!$AE1632,FIND("/",Sync!$AE1632)+1,20),FIND("/",MID(Sync!$AE1632,FIND("/",Sync!$AE1632)+1,20))+1,20))),"")))</f>
        <v/>
      </c>
      <c r="J1632">
        <f>IF($F1632="","",IF(OR($G1632="",$H1632="",$I1632="",$G1632&lt;1300,$G1632&gt;1500,$H1632&lt;1,$H1632&gt;12,$I1632&lt;1,$I1632&gt;31),"نامعتبر",RIGHT("0000"&amp;$G1632,4)&amp;"/"&amp;RIGHT("00"&amp;$H1632,2)&amp;"/"&amp;RIGHT("00"&amp;$I1632,2)))</f>
        <v/>
      </c>
      <c r="K1632">
        <f>IF(OR($F1632="",$J1632="",$J1632="نامعتبر"),"",LEFT($J1632,4)&amp;MID($J1632,6,2)&amp;RIGHT($J1632,2)&amp;$N1632&amp;"|"&amp;"2"&amp;RIGHT("00000"&amp;1627,5))</f>
        <v/>
      </c>
      <c r="L1632">
        <f>IF($K1632="","",COUNTIFS(LdgSellerA,$F1632,LdgKeyA,"&lt;"&amp;$K1632)+COUNTIFS(LdgSellerB,$F1632,LdgKeyB,"&lt;"&amp;$K1632)+1)</f>
        <v/>
      </c>
      <c r="M1632">
        <f>IF($L1632="","",$F1632&amp;"|"&amp;RIGHT("000000"&amp;$L1632,6))</f>
        <v/>
      </c>
      <c r="N1632">
        <f>IF($F1632="","",IF(Sync!$AF1632="","0000",IF(AND(ISNUMBER(Sync!$AF1632),Sync!$AF1632&gt;=0,Sync!$AF1632&lt;1),RIGHT("00"&amp;HOUR(Sync!$AF1632),2)&amp;RIGHT("00"&amp;MINUTE(Sync!$AF1632),2),IFERROR(RIGHT("00"&amp;VALUE(LEFT(Sync!$AF1632,FIND(":",Sync!$AF1632)-1)),2)&amp;RIGHT("00"&amp;VALUE(MID(Sync!$AF1632,FIND(":",Sync!$AF1632)+1,2)),2),"0000"))))</f>
        <v/>
      </c>
    </row>
    <row r="1633">
      <c r="A1633">
        <f>IF(OR(Calc!$E1637="",Calc!$E1637="نامعتبر",Calc!$G1637=""),"",Calc!$G1637)</f>
        <v/>
      </c>
      <c r="B1633">
        <f>IF($A1633="","",LEFT(Calc!$E1637,4)&amp;MID(Calc!$E1637,6,2)&amp;RIGHT(Calc!$E1637,2)&amp;Calc!$Q1637&amp;"|"&amp;"1"&amp;RIGHT("00000"&amp;1628,5))</f>
        <v/>
      </c>
      <c r="C1633">
        <f>IF($B1633="","",COUNTIFS(LdgSellerA,$A1633,LdgKeyA,"&lt;"&amp;$B1633)+COUNTIFS(LdgSellerB,$A1633,LdgKeyB,"&lt;"&amp;$B1633)+1)</f>
        <v/>
      </c>
      <c r="D1633">
        <f>IF($C1633="","",$A1633&amp;"|"&amp;RIGHT("000000"&amp;$C1633,6))</f>
        <v/>
      </c>
      <c r="F1633">
        <f>IF(Sync!$AH1633="","",IF(LEFT(UPPER(TRIM(Sync!$AH1633)),2)="SL",UPPER(TRIM(Sync!$AH1633)),""))</f>
        <v/>
      </c>
      <c r="G1633">
        <f>IF($F1633="","",IF(Sync!$AE1633="","",IF(ISNUMBER(Sync!$AE1633),IF(AND(Sync!$AE1633&gt;=10000101,Sync!$AE1633&lt;=99991231),INT(Sync!$AE1633/10000),""),IFERROR(VALUE(TRIM(LEFT(Sync!$AE1633,FIND("/",Sync!$AE1633)-1))),""))))</f>
        <v/>
      </c>
      <c r="H1633">
        <f>IF(OR($F1633="",$G1633=""),"",IF(ISNUMBER(Sync!$AE1633),INT(MOD(Sync!$AE1633,10000)/100),IFERROR(VALUE(TRIM(LEFT(MID(Sync!$AE1633,FIND("/",Sync!$AE1633)+1,20),FIND("/",MID(Sync!$AE1633,FIND("/",Sync!$AE1633)+1,20))-1))),"")))</f>
        <v/>
      </c>
      <c r="I1633">
        <f>IF(OR($F1633="",$G1633=""),"",IF(ISNUMBER(Sync!$AE1633),MOD(Sync!$AE1633,100),IFERROR(VALUE(TRIM(MID(MID(Sync!$AE1633,FIND("/",Sync!$AE1633)+1,20),FIND("/",MID(Sync!$AE1633,FIND("/",Sync!$AE1633)+1,20))+1,20))),"")))</f>
        <v/>
      </c>
      <c r="J1633">
        <f>IF($F1633="","",IF(OR($G1633="",$H1633="",$I1633="",$G1633&lt;1300,$G1633&gt;1500,$H1633&lt;1,$H1633&gt;12,$I1633&lt;1,$I1633&gt;31),"نامعتبر",RIGHT("0000"&amp;$G1633,4)&amp;"/"&amp;RIGHT("00"&amp;$H1633,2)&amp;"/"&amp;RIGHT("00"&amp;$I1633,2)))</f>
        <v/>
      </c>
      <c r="K1633">
        <f>IF(OR($F1633="",$J1633="",$J1633="نامعتبر"),"",LEFT($J1633,4)&amp;MID($J1633,6,2)&amp;RIGHT($J1633,2)&amp;$N1633&amp;"|"&amp;"2"&amp;RIGHT("00000"&amp;1628,5))</f>
        <v/>
      </c>
      <c r="L1633">
        <f>IF($K1633="","",COUNTIFS(LdgSellerA,$F1633,LdgKeyA,"&lt;"&amp;$K1633)+COUNTIFS(LdgSellerB,$F1633,LdgKeyB,"&lt;"&amp;$K1633)+1)</f>
        <v/>
      </c>
      <c r="M1633">
        <f>IF($L1633="","",$F1633&amp;"|"&amp;RIGHT("000000"&amp;$L1633,6))</f>
        <v/>
      </c>
      <c r="N1633">
        <f>IF($F1633="","",IF(Sync!$AF1633="","0000",IF(AND(ISNUMBER(Sync!$AF1633),Sync!$AF1633&gt;=0,Sync!$AF1633&lt;1),RIGHT("00"&amp;HOUR(Sync!$AF1633),2)&amp;RIGHT("00"&amp;MINUTE(Sync!$AF1633),2),IFERROR(RIGHT("00"&amp;VALUE(LEFT(Sync!$AF1633,FIND(":",Sync!$AF1633)-1)),2)&amp;RIGHT("00"&amp;VALUE(MID(Sync!$AF1633,FIND(":",Sync!$AF1633)+1,2)),2),"0000"))))</f>
        <v/>
      </c>
    </row>
    <row r="1634">
      <c r="A1634">
        <f>IF(OR(Calc!$E1638="",Calc!$E1638="نامعتبر",Calc!$G1638=""),"",Calc!$G1638)</f>
        <v/>
      </c>
      <c r="B1634">
        <f>IF($A1634="","",LEFT(Calc!$E1638,4)&amp;MID(Calc!$E1638,6,2)&amp;RIGHT(Calc!$E1638,2)&amp;Calc!$Q1638&amp;"|"&amp;"1"&amp;RIGHT("00000"&amp;1629,5))</f>
        <v/>
      </c>
      <c r="C1634">
        <f>IF($B1634="","",COUNTIFS(LdgSellerA,$A1634,LdgKeyA,"&lt;"&amp;$B1634)+COUNTIFS(LdgSellerB,$A1634,LdgKeyB,"&lt;"&amp;$B1634)+1)</f>
        <v/>
      </c>
      <c r="D1634">
        <f>IF($C1634="","",$A1634&amp;"|"&amp;RIGHT("000000"&amp;$C1634,6))</f>
        <v/>
      </c>
      <c r="F1634">
        <f>IF(Sync!$AH1634="","",IF(LEFT(UPPER(TRIM(Sync!$AH1634)),2)="SL",UPPER(TRIM(Sync!$AH1634)),""))</f>
        <v/>
      </c>
      <c r="G1634">
        <f>IF($F1634="","",IF(Sync!$AE1634="","",IF(ISNUMBER(Sync!$AE1634),IF(AND(Sync!$AE1634&gt;=10000101,Sync!$AE1634&lt;=99991231),INT(Sync!$AE1634/10000),""),IFERROR(VALUE(TRIM(LEFT(Sync!$AE1634,FIND("/",Sync!$AE1634)-1))),""))))</f>
        <v/>
      </c>
      <c r="H1634">
        <f>IF(OR($F1634="",$G1634=""),"",IF(ISNUMBER(Sync!$AE1634),INT(MOD(Sync!$AE1634,10000)/100),IFERROR(VALUE(TRIM(LEFT(MID(Sync!$AE1634,FIND("/",Sync!$AE1634)+1,20),FIND("/",MID(Sync!$AE1634,FIND("/",Sync!$AE1634)+1,20))-1))),"")))</f>
        <v/>
      </c>
      <c r="I1634">
        <f>IF(OR($F1634="",$G1634=""),"",IF(ISNUMBER(Sync!$AE1634),MOD(Sync!$AE1634,100),IFERROR(VALUE(TRIM(MID(MID(Sync!$AE1634,FIND("/",Sync!$AE1634)+1,20),FIND("/",MID(Sync!$AE1634,FIND("/",Sync!$AE1634)+1,20))+1,20))),"")))</f>
        <v/>
      </c>
      <c r="J1634">
        <f>IF($F1634="","",IF(OR($G1634="",$H1634="",$I1634="",$G1634&lt;1300,$G1634&gt;1500,$H1634&lt;1,$H1634&gt;12,$I1634&lt;1,$I1634&gt;31),"نامعتبر",RIGHT("0000"&amp;$G1634,4)&amp;"/"&amp;RIGHT("00"&amp;$H1634,2)&amp;"/"&amp;RIGHT("00"&amp;$I1634,2)))</f>
        <v/>
      </c>
      <c r="K1634">
        <f>IF(OR($F1634="",$J1634="",$J1634="نامعتبر"),"",LEFT($J1634,4)&amp;MID($J1634,6,2)&amp;RIGHT($J1634,2)&amp;$N1634&amp;"|"&amp;"2"&amp;RIGHT("00000"&amp;1629,5))</f>
        <v/>
      </c>
      <c r="L1634">
        <f>IF($K1634="","",COUNTIFS(LdgSellerA,$F1634,LdgKeyA,"&lt;"&amp;$K1634)+COUNTIFS(LdgSellerB,$F1634,LdgKeyB,"&lt;"&amp;$K1634)+1)</f>
        <v/>
      </c>
      <c r="M1634">
        <f>IF($L1634="","",$F1634&amp;"|"&amp;RIGHT("000000"&amp;$L1634,6))</f>
        <v/>
      </c>
      <c r="N1634">
        <f>IF($F1634="","",IF(Sync!$AF1634="","0000",IF(AND(ISNUMBER(Sync!$AF1634),Sync!$AF1634&gt;=0,Sync!$AF1634&lt;1),RIGHT("00"&amp;HOUR(Sync!$AF1634),2)&amp;RIGHT("00"&amp;MINUTE(Sync!$AF1634),2),IFERROR(RIGHT("00"&amp;VALUE(LEFT(Sync!$AF1634,FIND(":",Sync!$AF1634)-1)),2)&amp;RIGHT("00"&amp;VALUE(MID(Sync!$AF1634,FIND(":",Sync!$AF1634)+1,2)),2),"0000"))))</f>
        <v/>
      </c>
    </row>
    <row r="1635">
      <c r="A1635">
        <f>IF(OR(Calc!$E1639="",Calc!$E1639="نامعتبر",Calc!$G1639=""),"",Calc!$G1639)</f>
        <v/>
      </c>
      <c r="B1635">
        <f>IF($A1635="","",LEFT(Calc!$E1639,4)&amp;MID(Calc!$E1639,6,2)&amp;RIGHT(Calc!$E1639,2)&amp;Calc!$Q1639&amp;"|"&amp;"1"&amp;RIGHT("00000"&amp;1630,5))</f>
        <v/>
      </c>
      <c r="C1635">
        <f>IF($B1635="","",COUNTIFS(LdgSellerA,$A1635,LdgKeyA,"&lt;"&amp;$B1635)+COUNTIFS(LdgSellerB,$A1635,LdgKeyB,"&lt;"&amp;$B1635)+1)</f>
        <v/>
      </c>
      <c r="D1635">
        <f>IF($C1635="","",$A1635&amp;"|"&amp;RIGHT("000000"&amp;$C1635,6))</f>
        <v/>
      </c>
      <c r="F1635">
        <f>IF(Sync!$AH1635="","",IF(LEFT(UPPER(TRIM(Sync!$AH1635)),2)="SL",UPPER(TRIM(Sync!$AH1635)),""))</f>
        <v/>
      </c>
      <c r="G1635">
        <f>IF($F1635="","",IF(Sync!$AE1635="","",IF(ISNUMBER(Sync!$AE1635),IF(AND(Sync!$AE1635&gt;=10000101,Sync!$AE1635&lt;=99991231),INT(Sync!$AE1635/10000),""),IFERROR(VALUE(TRIM(LEFT(Sync!$AE1635,FIND("/",Sync!$AE1635)-1))),""))))</f>
        <v/>
      </c>
      <c r="H1635">
        <f>IF(OR($F1635="",$G1635=""),"",IF(ISNUMBER(Sync!$AE1635),INT(MOD(Sync!$AE1635,10000)/100),IFERROR(VALUE(TRIM(LEFT(MID(Sync!$AE1635,FIND("/",Sync!$AE1635)+1,20),FIND("/",MID(Sync!$AE1635,FIND("/",Sync!$AE1635)+1,20))-1))),"")))</f>
        <v/>
      </c>
      <c r="I1635">
        <f>IF(OR($F1635="",$G1635=""),"",IF(ISNUMBER(Sync!$AE1635),MOD(Sync!$AE1635,100),IFERROR(VALUE(TRIM(MID(MID(Sync!$AE1635,FIND("/",Sync!$AE1635)+1,20),FIND("/",MID(Sync!$AE1635,FIND("/",Sync!$AE1635)+1,20))+1,20))),"")))</f>
        <v/>
      </c>
      <c r="J1635">
        <f>IF($F1635="","",IF(OR($G1635="",$H1635="",$I1635="",$G1635&lt;1300,$G1635&gt;1500,$H1635&lt;1,$H1635&gt;12,$I1635&lt;1,$I1635&gt;31),"نامعتبر",RIGHT("0000"&amp;$G1635,4)&amp;"/"&amp;RIGHT("00"&amp;$H1635,2)&amp;"/"&amp;RIGHT("00"&amp;$I1635,2)))</f>
        <v/>
      </c>
      <c r="K1635">
        <f>IF(OR($F1635="",$J1635="",$J1635="نامعتبر"),"",LEFT($J1635,4)&amp;MID($J1635,6,2)&amp;RIGHT($J1635,2)&amp;$N1635&amp;"|"&amp;"2"&amp;RIGHT("00000"&amp;1630,5))</f>
        <v/>
      </c>
      <c r="L1635">
        <f>IF($K1635="","",COUNTIFS(LdgSellerA,$F1635,LdgKeyA,"&lt;"&amp;$K1635)+COUNTIFS(LdgSellerB,$F1635,LdgKeyB,"&lt;"&amp;$K1635)+1)</f>
        <v/>
      </c>
      <c r="M1635">
        <f>IF($L1635="","",$F1635&amp;"|"&amp;RIGHT("000000"&amp;$L1635,6))</f>
        <v/>
      </c>
      <c r="N1635">
        <f>IF($F1635="","",IF(Sync!$AF1635="","0000",IF(AND(ISNUMBER(Sync!$AF1635),Sync!$AF1635&gt;=0,Sync!$AF1635&lt;1),RIGHT("00"&amp;HOUR(Sync!$AF1635),2)&amp;RIGHT("00"&amp;MINUTE(Sync!$AF1635),2),IFERROR(RIGHT("00"&amp;VALUE(LEFT(Sync!$AF1635,FIND(":",Sync!$AF1635)-1)),2)&amp;RIGHT("00"&amp;VALUE(MID(Sync!$AF1635,FIND(":",Sync!$AF1635)+1,2)),2),"0000"))))</f>
        <v/>
      </c>
    </row>
    <row r="1636">
      <c r="A1636">
        <f>IF(OR(Calc!$E1640="",Calc!$E1640="نامعتبر",Calc!$G1640=""),"",Calc!$G1640)</f>
        <v/>
      </c>
      <c r="B1636">
        <f>IF($A1636="","",LEFT(Calc!$E1640,4)&amp;MID(Calc!$E1640,6,2)&amp;RIGHT(Calc!$E1640,2)&amp;Calc!$Q1640&amp;"|"&amp;"1"&amp;RIGHT("00000"&amp;1631,5))</f>
        <v/>
      </c>
      <c r="C1636">
        <f>IF($B1636="","",COUNTIFS(LdgSellerA,$A1636,LdgKeyA,"&lt;"&amp;$B1636)+COUNTIFS(LdgSellerB,$A1636,LdgKeyB,"&lt;"&amp;$B1636)+1)</f>
        <v/>
      </c>
      <c r="D1636">
        <f>IF($C1636="","",$A1636&amp;"|"&amp;RIGHT("000000"&amp;$C1636,6))</f>
        <v/>
      </c>
      <c r="F1636">
        <f>IF(Sync!$AH1636="","",IF(LEFT(UPPER(TRIM(Sync!$AH1636)),2)="SL",UPPER(TRIM(Sync!$AH1636)),""))</f>
        <v/>
      </c>
      <c r="G1636">
        <f>IF($F1636="","",IF(Sync!$AE1636="","",IF(ISNUMBER(Sync!$AE1636),IF(AND(Sync!$AE1636&gt;=10000101,Sync!$AE1636&lt;=99991231),INT(Sync!$AE1636/10000),""),IFERROR(VALUE(TRIM(LEFT(Sync!$AE1636,FIND("/",Sync!$AE1636)-1))),""))))</f>
        <v/>
      </c>
      <c r="H1636">
        <f>IF(OR($F1636="",$G1636=""),"",IF(ISNUMBER(Sync!$AE1636),INT(MOD(Sync!$AE1636,10000)/100),IFERROR(VALUE(TRIM(LEFT(MID(Sync!$AE1636,FIND("/",Sync!$AE1636)+1,20),FIND("/",MID(Sync!$AE1636,FIND("/",Sync!$AE1636)+1,20))-1))),"")))</f>
        <v/>
      </c>
      <c r="I1636">
        <f>IF(OR($F1636="",$G1636=""),"",IF(ISNUMBER(Sync!$AE1636),MOD(Sync!$AE1636,100),IFERROR(VALUE(TRIM(MID(MID(Sync!$AE1636,FIND("/",Sync!$AE1636)+1,20),FIND("/",MID(Sync!$AE1636,FIND("/",Sync!$AE1636)+1,20))+1,20))),"")))</f>
        <v/>
      </c>
      <c r="J1636">
        <f>IF($F1636="","",IF(OR($G1636="",$H1636="",$I1636="",$G1636&lt;1300,$G1636&gt;1500,$H1636&lt;1,$H1636&gt;12,$I1636&lt;1,$I1636&gt;31),"نامعتبر",RIGHT("0000"&amp;$G1636,4)&amp;"/"&amp;RIGHT("00"&amp;$H1636,2)&amp;"/"&amp;RIGHT("00"&amp;$I1636,2)))</f>
        <v/>
      </c>
      <c r="K1636">
        <f>IF(OR($F1636="",$J1636="",$J1636="نامعتبر"),"",LEFT($J1636,4)&amp;MID($J1636,6,2)&amp;RIGHT($J1636,2)&amp;$N1636&amp;"|"&amp;"2"&amp;RIGHT("00000"&amp;1631,5))</f>
        <v/>
      </c>
      <c r="L1636">
        <f>IF($K1636="","",COUNTIFS(LdgSellerA,$F1636,LdgKeyA,"&lt;"&amp;$K1636)+COUNTIFS(LdgSellerB,$F1636,LdgKeyB,"&lt;"&amp;$K1636)+1)</f>
        <v/>
      </c>
      <c r="M1636">
        <f>IF($L1636="","",$F1636&amp;"|"&amp;RIGHT("000000"&amp;$L1636,6))</f>
        <v/>
      </c>
      <c r="N1636">
        <f>IF($F1636="","",IF(Sync!$AF1636="","0000",IF(AND(ISNUMBER(Sync!$AF1636),Sync!$AF1636&gt;=0,Sync!$AF1636&lt;1),RIGHT("00"&amp;HOUR(Sync!$AF1636),2)&amp;RIGHT("00"&amp;MINUTE(Sync!$AF1636),2),IFERROR(RIGHT("00"&amp;VALUE(LEFT(Sync!$AF1636,FIND(":",Sync!$AF1636)-1)),2)&amp;RIGHT("00"&amp;VALUE(MID(Sync!$AF1636,FIND(":",Sync!$AF1636)+1,2)),2),"0000"))))</f>
        <v/>
      </c>
    </row>
    <row r="1637">
      <c r="A1637">
        <f>IF(OR(Calc!$E1641="",Calc!$E1641="نامعتبر",Calc!$G1641=""),"",Calc!$G1641)</f>
        <v/>
      </c>
      <c r="B1637">
        <f>IF($A1637="","",LEFT(Calc!$E1641,4)&amp;MID(Calc!$E1641,6,2)&amp;RIGHT(Calc!$E1641,2)&amp;Calc!$Q1641&amp;"|"&amp;"1"&amp;RIGHT("00000"&amp;1632,5))</f>
        <v/>
      </c>
      <c r="C1637">
        <f>IF($B1637="","",COUNTIFS(LdgSellerA,$A1637,LdgKeyA,"&lt;"&amp;$B1637)+COUNTIFS(LdgSellerB,$A1637,LdgKeyB,"&lt;"&amp;$B1637)+1)</f>
        <v/>
      </c>
      <c r="D1637">
        <f>IF($C1637="","",$A1637&amp;"|"&amp;RIGHT("000000"&amp;$C1637,6))</f>
        <v/>
      </c>
      <c r="F1637">
        <f>IF(Sync!$AH1637="","",IF(LEFT(UPPER(TRIM(Sync!$AH1637)),2)="SL",UPPER(TRIM(Sync!$AH1637)),""))</f>
        <v/>
      </c>
      <c r="G1637">
        <f>IF($F1637="","",IF(Sync!$AE1637="","",IF(ISNUMBER(Sync!$AE1637),IF(AND(Sync!$AE1637&gt;=10000101,Sync!$AE1637&lt;=99991231),INT(Sync!$AE1637/10000),""),IFERROR(VALUE(TRIM(LEFT(Sync!$AE1637,FIND("/",Sync!$AE1637)-1))),""))))</f>
        <v/>
      </c>
      <c r="H1637">
        <f>IF(OR($F1637="",$G1637=""),"",IF(ISNUMBER(Sync!$AE1637),INT(MOD(Sync!$AE1637,10000)/100),IFERROR(VALUE(TRIM(LEFT(MID(Sync!$AE1637,FIND("/",Sync!$AE1637)+1,20),FIND("/",MID(Sync!$AE1637,FIND("/",Sync!$AE1637)+1,20))-1))),"")))</f>
        <v/>
      </c>
      <c r="I1637">
        <f>IF(OR($F1637="",$G1637=""),"",IF(ISNUMBER(Sync!$AE1637),MOD(Sync!$AE1637,100),IFERROR(VALUE(TRIM(MID(MID(Sync!$AE1637,FIND("/",Sync!$AE1637)+1,20),FIND("/",MID(Sync!$AE1637,FIND("/",Sync!$AE1637)+1,20))+1,20))),"")))</f>
        <v/>
      </c>
      <c r="J1637">
        <f>IF($F1637="","",IF(OR($G1637="",$H1637="",$I1637="",$G1637&lt;1300,$G1637&gt;1500,$H1637&lt;1,$H1637&gt;12,$I1637&lt;1,$I1637&gt;31),"نامعتبر",RIGHT("0000"&amp;$G1637,4)&amp;"/"&amp;RIGHT("00"&amp;$H1637,2)&amp;"/"&amp;RIGHT("00"&amp;$I1637,2)))</f>
        <v/>
      </c>
      <c r="K1637">
        <f>IF(OR($F1637="",$J1637="",$J1637="نامعتبر"),"",LEFT($J1637,4)&amp;MID($J1637,6,2)&amp;RIGHT($J1637,2)&amp;$N1637&amp;"|"&amp;"2"&amp;RIGHT("00000"&amp;1632,5))</f>
        <v/>
      </c>
      <c r="L1637">
        <f>IF($K1637="","",COUNTIFS(LdgSellerA,$F1637,LdgKeyA,"&lt;"&amp;$K1637)+COUNTIFS(LdgSellerB,$F1637,LdgKeyB,"&lt;"&amp;$K1637)+1)</f>
        <v/>
      </c>
      <c r="M1637">
        <f>IF($L1637="","",$F1637&amp;"|"&amp;RIGHT("000000"&amp;$L1637,6))</f>
        <v/>
      </c>
      <c r="N1637">
        <f>IF($F1637="","",IF(Sync!$AF1637="","0000",IF(AND(ISNUMBER(Sync!$AF1637),Sync!$AF1637&gt;=0,Sync!$AF1637&lt;1),RIGHT("00"&amp;HOUR(Sync!$AF1637),2)&amp;RIGHT("00"&amp;MINUTE(Sync!$AF1637),2),IFERROR(RIGHT("00"&amp;VALUE(LEFT(Sync!$AF1637,FIND(":",Sync!$AF1637)-1)),2)&amp;RIGHT("00"&amp;VALUE(MID(Sync!$AF1637,FIND(":",Sync!$AF1637)+1,2)),2),"0000"))))</f>
        <v/>
      </c>
    </row>
    <row r="1638">
      <c r="A1638">
        <f>IF(OR(Calc!$E1642="",Calc!$E1642="نامعتبر",Calc!$G1642=""),"",Calc!$G1642)</f>
        <v/>
      </c>
      <c r="B1638">
        <f>IF($A1638="","",LEFT(Calc!$E1642,4)&amp;MID(Calc!$E1642,6,2)&amp;RIGHT(Calc!$E1642,2)&amp;Calc!$Q1642&amp;"|"&amp;"1"&amp;RIGHT("00000"&amp;1633,5))</f>
        <v/>
      </c>
      <c r="C1638">
        <f>IF($B1638="","",COUNTIFS(LdgSellerA,$A1638,LdgKeyA,"&lt;"&amp;$B1638)+COUNTIFS(LdgSellerB,$A1638,LdgKeyB,"&lt;"&amp;$B1638)+1)</f>
        <v/>
      </c>
      <c r="D1638">
        <f>IF($C1638="","",$A1638&amp;"|"&amp;RIGHT("000000"&amp;$C1638,6))</f>
        <v/>
      </c>
      <c r="F1638">
        <f>IF(Sync!$AH1638="","",IF(LEFT(UPPER(TRIM(Sync!$AH1638)),2)="SL",UPPER(TRIM(Sync!$AH1638)),""))</f>
        <v/>
      </c>
      <c r="G1638">
        <f>IF($F1638="","",IF(Sync!$AE1638="","",IF(ISNUMBER(Sync!$AE1638),IF(AND(Sync!$AE1638&gt;=10000101,Sync!$AE1638&lt;=99991231),INT(Sync!$AE1638/10000),""),IFERROR(VALUE(TRIM(LEFT(Sync!$AE1638,FIND("/",Sync!$AE1638)-1))),""))))</f>
        <v/>
      </c>
      <c r="H1638">
        <f>IF(OR($F1638="",$G1638=""),"",IF(ISNUMBER(Sync!$AE1638),INT(MOD(Sync!$AE1638,10000)/100),IFERROR(VALUE(TRIM(LEFT(MID(Sync!$AE1638,FIND("/",Sync!$AE1638)+1,20),FIND("/",MID(Sync!$AE1638,FIND("/",Sync!$AE1638)+1,20))-1))),"")))</f>
        <v/>
      </c>
      <c r="I1638">
        <f>IF(OR($F1638="",$G1638=""),"",IF(ISNUMBER(Sync!$AE1638),MOD(Sync!$AE1638,100),IFERROR(VALUE(TRIM(MID(MID(Sync!$AE1638,FIND("/",Sync!$AE1638)+1,20),FIND("/",MID(Sync!$AE1638,FIND("/",Sync!$AE1638)+1,20))+1,20))),"")))</f>
        <v/>
      </c>
      <c r="J1638">
        <f>IF($F1638="","",IF(OR($G1638="",$H1638="",$I1638="",$G1638&lt;1300,$G1638&gt;1500,$H1638&lt;1,$H1638&gt;12,$I1638&lt;1,$I1638&gt;31),"نامعتبر",RIGHT("0000"&amp;$G1638,4)&amp;"/"&amp;RIGHT("00"&amp;$H1638,2)&amp;"/"&amp;RIGHT("00"&amp;$I1638,2)))</f>
        <v/>
      </c>
      <c r="K1638">
        <f>IF(OR($F1638="",$J1638="",$J1638="نامعتبر"),"",LEFT($J1638,4)&amp;MID($J1638,6,2)&amp;RIGHT($J1638,2)&amp;$N1638&amp;"|"&amp;"2"&amp;RIGHT("00000"&amp;1633,5))</f>
        <v/>
      </c>
      <c r="L1638">
        <f>IF($K1638="","",COUNTIFS(LdgSellerA,$F1638,LdgKeyA,"&lt;"&amp;$K1638)+COUNTIFS(LdgSellerB,$F1638,LdgKeyB,"&lt;"&amp;$K1638)+1)</f>
        <v/>
      </c>
      <c r="M1638">
        <f>IF($L1638="","",$F1638&amp;"|"&amp;RIGHT("000000"&amp;$L1638,6))</f>
        <v/>
      </c>
      <c r="N1638">
        <f>IF($F1638="","",IF(Sync!$AF1638="","0000",IF(AND(ISNUMBER(Sync!$AF1638),Sync!$AF1638&gt;=0,Sync!$AF1638&lt;1),RIGHT("00"&amp;HOUR(Sync!$AF1638),2)&amp;RIGHT("00"&amp;MINUTE(Sync!$AF1638),2),IFERROR(RIGHT("00"&amp;VALUE(LEFT(Sync!$AF1638,FIND(":",Sync!$AF1638)-1)),2)&amp;RIGHT("00"&amp;VALUE(MID(Sync!$AF1638,FIND(":",Sync!$AF1638)+1,2)),2),"0000"))))</f>
        <v/>
      </c>
    </row>
    <row r="1639">
      <c r="A1639">
        <f>IF(OR(Calc!$E1643="",Calc!$E1643="نامعتبر",Calc!$G1643=""),"",Calc!$G1643)</f>
        <v/>
      </c>
      <c r="B1639">
        <f>IF($A1639="","",LEFT(Calc!$E1643,4)&amp;MID(Calc!$E1643,6,2)&amp;RIGHT(Calc!$E1643,2)&amp;Calc!$Q1643&amp;"|"&amp;"1"&amp;RIGHT("00000"&amp;1634,5))</f>
        <v/>
      </c>
      <c r="C1639">
        <f>IF($B1639="","",COUNTIFS(LdgSellerA,$A1639,LdgKeyA,"&lt;"&amp;$B1639)+COUNTIFS(LdgSellerB,$A1639,LdgKeyB,"&lt;"&amp;$B1639)+1)</f>
        <v/>
      </c>
      <c r="D1639">
        <f>IF($C1639="","",$A1639&amp;"|"&amp;RIGHT("000000"&amp;$C1639,6))</f>
        <v/>
      </c>
      <c r="F1639">
        <f>IF(Sync!$AH1639="","",IF(LEFT(UPPER(TRIM(Sync!$AH1639)),2)="SL",UPPER(TRIM(Sync!$AH1639)),""))</f>
        <v/>
      </c>
      <c r="G1639">
        <f>IF($F1639="","",IF(Sync!$AE1639="","",IF(ISNUMBER(Sync!$AE1639),IF(AND(Sync!$AE1639&gt;=10000101,Sync!$AE1639&lt;=99991231),INT(Sync!$AE1639/10000),""),IFERROR(VALUE(TRIM(LEFT(Sync!$AE1639,FIND("/",Sync!$AE1639)-1))),""))))</f>
        <v/>
      </c>
      <c r="H1639">
        <f>IF(OR($F1639="",$G1639=""),"",IF(ISNUMBER(Sync!$AE1639),INT(MOD(Sync!$AE1639,10000)/100),IFERROR(VALUE(TRIM(LEFT(MID(Sync!$AE1639,FIND("/",Sync!$AE1639)+1,20),FIND("/",MID(Sync!$AE1639,FIND("/",Sync!$AE1639)+1,20))-1))),"")))</f>
        <v/>
      </c>
      <c r="I1639">
        <f>IF(OR($F1639="",$G1639=""),"",IF(ISNUMBER(Sync!$AE1639),MOD(Sync!$AE1639,100),IFERROR(VALUE(TRIM(MID(MID(Sync!$AE1639,FIND("/",Sync!$AE1639)+1,20),FIND("/",MID(Sync!$AE1639,FIND("/",Sync!$AE1639)+1,20))+1,20))),"")))</f>
        <v/>
      </c>
      <c r="J1639">
        <f>IF($F1639="","",IF(OR($G1639="",$H1639="",$I1639="",$G1639&lt;1300,$G1639&gt;1500,$H1639&lt;1,$H1639&gt;12,$I1639&lt;1,$I1639&gt;31),"نامعتبر",RIGHT("0000"&amp;$G1639,4)&amp;"/"&amp;RIGHT("00"&amp;$H1639,2)&amp;"/"&amp;RIGHT("00"&amp;$I1639,2)))</f>
        <v/>
      </c>
      <c r="K1639">
        <f>IF(OR($F1639="",$J1639="",$J1639="نامعتبر"),"",LEFT($J1639,4)&amp;MID($J1639,6,2)&amp;RIGHT($J1639,2)&amp;$N1639&amp;"|"&amp;"2"&amp;RIGHT("00000"&amp;1634,5))</f>
        <v/>
      </c>
      <c r="L1639">
        <f>IF($K1639="","",COUNTIFS(LdgSellerA,$F1639,LdgKeyA,"&lt;"&amp;$K1639)+COUNTIFS(LdgSellerB,$F1639,LdgKeyB,"&lt;"&amp;$K1639)+1)</f>
        <v/>
      </c>
      <c r="M1639">
        <f>IF($L1639="","",$F1639&amp;"|"&amp;RIGHT("000000"&amp;$L1639,6))</f>
        <v/>
      </c>
      <c r="N1639">
        <f>IF($F1639="","",IF(Sync!$AF1639="","0000",IF(AND(ISNUMBER(Sync!$AF1639),Sync!$AF1639&gt;=0,Sync!$AF1639&lt;1),RIGHT("00"&amp;HOUR(Sync!$AF1639),2)&amp;RIGHT("00"&amp;MINUTE(Sync!$AF1639),2),IFERROR(RIGHT("00"&amp;VALUE(LEFT(Sync!$AF1639,FIND(":",Sync!$AF1639)-1)),2)&amp;RIGHT("00"&amp;VALUE(MID(Sync!$AF1639,FIND(":",Sync!$AF1639)+1,2)),2),"0000"))))</f>
        <v/>
      </c>
    </row>
    <row r="1640">
      <c r="A1640">
        <f>IF(OR(Calc!$E1644="",Calc!$E1644="نامعتبر",Calc!$G1644=""),"",Calc!$G1644)</f>
        <v/>
      </c>
      <c r="B1640">
        <f>IF($A1640="","",LEFT(Calc!$E1644,4)&amp;MID(Calc!$E1644,6,2)&amp;RIGHT(Calc!$E1644,2)&amp;Calc!$Q1644&amp;"|"&amp;"1"&amp;RIGHT("00000"&amp;1635,5))</f>
        <v/>
      </c>
      <c r="C1640">
        <f>IF($B1640="","",COUNTIFS(LdgSellerA,$A1640,LdgKeyA,"&lt;"&amp;$B1640)+COUNTIFS(LdgSellerB,$A1640,LdgKeyB,"&lt;"&amp;$B1640)+1)</f>
        <v/>
      </c>
      <c r="D1640">
        <f>IF($C1640="","",$A1640&amp;"|"&amp;RIGHT("000000"&amp;$C1640,6))</f>
        <v/>
      </c>
      <c r="F1640">
        <f>IF(Sync!$AH1640="","",IF(LEFT(UPPER(TRIM(Sync!$AH1640)),2)="SL",UPPER(TRIM(Sync!$AH1640)),""))</f>
        <v/>
      </c>
      <c r="G1640">
        <f>IF($F1640="","",IF(Sync!$AE1640="","",IF(ISNUMBER(Sync!$AE1640),IF(AND(Sync!$AE1640&gt;=10000101,Sync!$AE1640&lt;=99991231),INT(Sync!$AE1640/10000),""),IFERROR(VALUE(TRIM(LEFT(Sync!$AE1640,FIND("/",Sync!$AE1640)-1))),""))))</f>
        <v/>
      </c>
      <c r="H1640">
        <f>IF(OR($F1640="",$G1640=""),"",IF(ISNUMBER(Sync!$AE1640),INT(MOD(Sync!$AE1640,10000)/100),IFERROR(VALUE(TRIM(LEFT(MID(Sync!$AE1640,FIND("/",Sync!$AE1640)+1,20),FIND("/",MID(Sync!$AE1640,FIND("/",Sync!$AE1640)+1,20))-1))),"")))</f>
        <v/>
      </c>
      <c r="I1640">
        <f>IF(OR($F1640="",$G1640=""),"",IF(ISNUMBER(Sync!$AE1640),MOD(Sync!$AE1640,100),IFERROR(VALUE(TRIM(MID(MID(Sync!$AE1640,FIND("/",Sync!$AE1640)+1,20),FIND("/",MID(Sync!$AE1640,FIND("/",Sync!$AE1640)+1,20))+1,20))),"")))</f>
        <v/>
      </c>
      <c r="J1640">
        <f>IF($F1640="","",IF(OR($G1640="",$H1640="",$I1640="",$G1640&lt;1300,$G1640&gt;1500,$H1640&lt;1,$H1640&gt;12,$I1640&lt;1,$I1640&gt;31),"نامعتبر",RIGHT("0000"&amp;$G1640,4)&amp;"/"&amp;RIGHT("00"&amp;$H1640,2)&amp;"/"&amp;RIGHT("00"&amp;$I1640,2)))</f>
        <v/>
      </c>
      <c r="K1640">
        <f>IF(OR($F1640="",$J1640="",$J1640="نامعتبر"),"",LEFT($J1640,4)&amp;MID($J1640,6,2)&amp;RIGHT($J1640,2)&amp;$N1640&amp;"|"&amp;"2"&amp;RIGHT("00000"&amp;1635,5))</f>
        <v/>
      </c>
      <c r="L1640">
        <f>IF($K1640="","",COUNTIFS(LdgSellerA,$F1640,LdgKeyA,"&lt;"&amp;$K1640)+COUNTIFS(LdgSellerB,$F1640,LdgKeyB,"&lt;"&amp;$K1640)+1)</f>
        <v/>
      </c>
      <c r="M1640">
        <f>IF($L1640="","",$F1640&amp;"|"&amp;RIGHT("000000"&amp;$L1640,6))</f>
        <v/>
      </c>
      <c r="N1640">
        <f>IF($F1640="","",IF(Sync!$AF1640="","0000",IF(AND(ISNUMBER(Sync!$AF1640),Sync!$AF1640&gt;=0,Sync!$AF1640&lt;1),RIGHT("00"&amp;HOUR(Sync!$AF1640),2)&amp;RIGHT("00"&amp;MINUTE(Sync!$AF1640),2),IFERROR(RIGHT("00"&amp;VALUE(LEFT(Sync!$AF1640,FIND(":",Sync!$AF1640)-1)),2)&amp;RIGHT("00"&amp;VALUE(MID(Sync!$AF1640,FIND(":",Sync!$AF1640)+1,2)),2),"0000"))))</f>
        <v/>
      </c>
    </row>
    <row r="1641">
      <c r="A1641">
        <f>IF(OR(Calc!$E1645="",Calc!$E1645="نامعتبر",Calc!$G1645=""),"",Calc!$G1645)</f>
        <v/>
      </c>
      <c r="B1641">
        <f>IF($A1641="","",LEFT(Calc!$E1645,4)&amp;MID(Calc!$E1645,6,2)&amp;RIGHT(Calc!$E1645,2)&amp;Calc!$Q1645&amp;"|"&amp;"1"&amp;RIGHT("00000"&amp;1636,5))</f>
        <v/>
      </c>
      <c r="C1641">
        <f>IF($B1641="","",COUNTIFS(LdgSellerA,$A1641,LdgKeyA,"&lt;"&amp;$B1641)+COUNTIFS(LdgSellerB,$A1641,LdgKeyB,"&lt;"&amp;$B1641)+1)</f>
        <v/>
      </c>
      <c r="D1641">
        <f>IF($C1641="","",$A1641&amp;"|"&amp;RIGHT("000000"&amp;$C1641,6))</f>
        <v/>
      </c>
      <c r="F1641">
        <f>IF(Sync!$AH1641="","",IF(LEFT(UPPER(TRIM(Sync!$AH1641)),2)="SL",UPPER(TRIM(Sync!$AH1641)),""))</f>
        <v/>
      </c>
      <c r="G1641">
        <f>IF($F1641="","",IF(Sync!$AE1641="","",IF(ISNUMBER(Sync!$AE1641),IF(AND(Sync!$AE1641&gt;=10000101,Sync!$AE1641&lt;=99991231),INT(Sync!$AE1641/10000),""),IFERROR(VALUE(TRIM(LEFT(Sync!$AE1641,FIND("/",Sync!$AE1641)-1))),""))))</f>
        <v/>
      </c>
      <c r="H1641">
        <f>IF(OR($F1641="",$G1641=""),"",IF(ISNUMBER(Sync!$AE1641),INT(MOD(Sync!$AE1641,10000)/100),IFERROR(VALUE(TRIM(LEFT(MID(Sync!$AE1641,FIND("/",Sync!$AE1641)+1,20),FIND("/",MID(Sync!$AE1641,FIND("/",Sync!$AE1641)+1,20))-1))),"")))</f>
        <v/>
      </c>
      <c r="I1641">
        <f>IF(OR($F1641="",$G1641=""),"",IF(ISNUMBER(Sync!$AE1641),MOD(Sync!$AE1641,100),IFERROR(VALUE(TRIM(MID(MID(Sync!$AE1641,FIND("/",Sync!$AE1641)+1,20),FIND("/",MID(Sync!$AE1641,FIND("/",Sync!$AE1641)+1,20))+1,20))),"")))</f>
        <v/>
      </c>
      <c r="J1641">
        <f>IF($F1641="","",IF(OR($G1641="",$H1641="",$I1641="",$G1641&lt;1300,$G1641&gt;1500,$H1641&lt;1,$H1641&gt;12,$I1641&lt;1,$I1641&gt;31),"نامعتبر",RIGHT("0000"&amp;$G1641,4)&amp;"/"&amp;RIGHT("00"&amp;$H1641,2)&amp;"/"&amp;RIGHT("00"&amp;$I1641,2)))</f>
        <v/>
      </c>
      <c r="K1641">
        <f>IF(OR($F1641="",$J1641="",$J1641="نامعتبر"),"",LEFT($J1641,4)&amp;MID($J1641,6,2)&amp;RIGHT($J1641,2)&amp;$N1641&amp;"|"&amp;"2"&amp;RIGHT("00000"&amp;1636,5))</f>
        <v/>
      </c>
      <c r="L1641">
        <f>IF($K1641="","",COUNTIFS(LdgSellerA,$F1641,LdgKeyA,"&lt;"&amp;$K1641)+COUNTIFS(LdgSellerB,$F1641,LdgKeyB,"&lt;"&amp;$K1641)+1)</f>
        <v/>
      </c>
      <c r="M1641">
        <f>IF($L1641="","",$F1641&amp;"|"&amp;RIGHT("000000"&amp;$L1641,6))</f>
        <v/>
      </c>
      <c r="N1641">
        <f>IF($F1641="","",IF(Sync!$AF1641="","0000",IF(AND(ISNUMBER(Sync!$AF1641),Sync!$AF1641&gt;=0,Sync!$AF1641&lt;1),RIGHT("00"&amp;HOUR(Sync!$AF1641),2)&amp;RIGHT("00"&amp;MINUTE(Sync!$AF1641),2),IFERROR(RIGHT("00"&amp;VALUE(LEFT(Sync!$AF1641,FIND(":",Sync!$AF1641)-1)),2)&amp;RIGHT("00"&amp;VALUE(MID(Sync!$AF1641,FIND(":",Sync!$AF1641)+1,2)),2),"0000"))))</f>
        <v/>
      </c>
    </row>
    <row r="1642">
      <c r="A1642">
        <f>IF(OR(Calc!$E1646="",Calc!$E1646="نامعتبر",Calc!$G1646=""),"",Calc!$G1646)</f>
        <v/>
      </c>
      <c r="B1642">
        <f>IF($A1642="","",LEFT(Calc!$E1646,4)&amp;MID(Calc!$E1646,6,2)&amp;RIGHT(Calc!$E1646,2)&amp;Calc!$Q1646&amp;"|"&amp;"1"&amp;RIGHT("00000"&amp;1637,5))</f>
        <v/>
      </c>
      <c r="C1642">
        <f>IF($B1642="","",COUNTIFS(LdgSellerA,$A1642,LdgKeyA,"&lt;"&amp;$B1642)+COUNTIFS(LdgSellerB,$A1642,LdgKeyB,"&lt;"&amp;$B1642)+1)</f>
        <v/>
      </c>
      <c r="D1642">
        <f>IF($C1642="","",$A1642&amp;"|"&amp;RIGHT("000000"&amp;$C1642,6))</f>
        <v/>
      </c>
      <c r="F1642">
        <f>IF(Sync!$AH1642="","",IF(LEFT(UPPER(TRIM(Sync!$AH1642)),2)="SL",UPPER(TRIM(Sync!$AH1642)),""))</f>
        <v/>
      </c>
      <c r="G1642">
        <f>IF($F1642="","",IF(Sync!$AE1642="","",IF(ISNUMBER(Sync!$AE1642),IF(AND(Sync!$AE1642&gt;=10000101,Sync!$AE1642&lt;=99991231),INT(Sync!$AE1642/10000),""),IFERROR(VALUE(TRIM(LEFT(Sync!$AE1642,FIND("/",Sync!$AE1642)-1))),""))))</f>
        <v/>
      </c>
      <c r="H1642">
        <f>IF(OR($F1642="",$G1642=""),"",IF(ISNUMBER(Sync!$AE1642),INT(MOD(Sync!$AE1642,10000)/100),IFERROR(VALUE(TRIM(LEFT(MID(Sync!$AE1642,FIND("/",Sync!$AE1642)+1,20),FIND("/",MID(Sync!$AE1642,FIND("/",Sync!$AE1642)+1,20))-1))),"")))</f>
        <v/>
      </c>
      <c r="I1642">
        <f>IF(OR($F1642="",$G1642=""),"",IF(ISNUMBER(Sync!$AE1642),MOD(Sync!$AE1642,100),IFERROR(VALUE(TRIM(MID(MID(Sync!$AE1642,FIND("/",Sync!$AE1642)+1,20),FIND("/",MID(Sync!$AE1642,FIND("/",Sync!$AE1642)+1,20))+1,20))),"")))</f>
        <v/>
      </c>
      <c r="J1642">
        <f>IF($F1642="","",IF(OR($G1642="",$H1642="",$I1642="",$G1642&lt;1300,$G1642&gt;1500,$H1642&lt;1,$H1642&gt;12,$I1642&lt;1,$I1642&gt;31),"نامعتبر",RIGHT("0000"&amp;$G1642,4)&amp;"/"&amp;RIGHT("00"&amp;$H1642,2)&amp;"/"&amp;RIGHT("00"&amp;$I1642,2)))</f>
        <v/>
      </c>
      <c r="K1642">
        <f>IF(OR($F1642="",$J1642="",$J1642="نامعتبر"),"",LEFT($J1642,4)&amp;MID($J1642,6,2)&amp;RIGHT($J1642,2)&amp;$N1642&amp;"|"&amp;"2"&amp;RIGHT("00000"&amp;1637,5))</f>
        <v/>
      </c>
      <c r="L1642">
        <f>IF($K1642="","",COUNTIFS(LdgSellerA,$F1642,LdgKeyA,"&lt;"&amp;$K1642)+COUNTIFS(LdgSellerB,$F1642,LdgKeyB,"&lt;"&amp;$K1642)+1)</f>
        <v/>
      </c>
      <c r="M1642">
        <f>IF($L1642="","",$F1642&amp;"|"&amp;RIGHT("000000"&amp;$L1642,6))</f>
        <v/>
      </c>
      <c r="N1642">
        <f>IF($F1642="","",IF(Sync!$AF1642="","0000",IF(AND(ISNUMBER(Sync!$AF1642),Sync!$AF1642&gt;=0,Sync!$AF1642&lt;1),RIGHT("00"&amp;HOUR(Sync!$AF1642),2)&amp;RIGHT("00"&amp;MINUTE(Sync!$AF1642),2),IFERROR(RIGHT("00"&amp;VALUE(LEFT(Sync!$AF1642,FIND(":",Sync!$AF1642)-1)),2)&amp;RIGHT("00"&amp;VALUE(MID(Sync!$AF1642,FIND(":",Sync!$AF1642)+1,2)),2),"0000"))))</f>
        <v/>
      </c>
    </row>
    <row r="1643">
      <c r="A1643">
        <f>IF(OR(Calc!$E1647="",Calc!$E1647="نامعتبر",Calc!$G1647=""),"",Calc!$G1647)</f>
        <v/>
      </c>
      <c r="B1643">
        <f>IF($A1643="","",LEFT(Calc!$E1647,4)&amp;MID(Calc!$E1647,6,2)&amp;RIGHT(Calc!$E1647,2)&amp;Calc!$Q1647&amp;"|"&amp;"1"&amp;RIGHT("00000"&amp;1638,5))</f>
        <v/>
      </c>
      <c r="C1643">
        <f>IF($B1643="","",COUNTIFS(LdgSellerA,$A1643,LdgKeyA,"&lt;"&amp;$B1643)+COUNTIFS(LdgSellerB,$A1643,LdgKeyB,"&lt;"&amp;$B1643)+1)</f>
        <v/>
      </c>
      <c r="D1643">
        <f>IF($C1643="","",$A1643&amp;"|"&amp;RIGHT("000000"&amp;$C1643,6))</f>
        <v/>
      </c>
      <c r="F1643">
        <f>IF(Sync!$AH1643="","",IF(LEFT(UPPER(TRIM(Sync!$AH1643)),2)="SL",UPPER(TRIM(Sync!$AH1643)),""))</f>
        <v/>
      </c>
      <c r="G1643">
        <f>IF($F1643="","",IF(Sync!$AE1643="","",IF(ISNUMBER(Sync!$AE1643),IF(AND(Sync!$AE1643&gt;=10000101,Sync!$AE1643&lt;=99991231),INT(Sync!$AE1643/10000),""),IFERROR(VALUE(TRIM(LEFT(Sync!$AE1643,FIND("/",Sync!$AE1643)-1))),""))))</f>
        <v/>
      </c>
      <c r="H1643">
        <f>IF(OR($F1643="",$G1643=""),"",IF(ISNUMBER(Sync!$AE1643),INT(MOD(Sync!$AE1643,10000)/100),IFERROR(VALUE(TRIM(LEFT(MID(Sync!$AE1643,FIND("/",Sync!$AE1643)+1,20),FIND("/",MID(Sync!$AE1643,FIND("/",Sync!$AE1643)+1,20))-1))),"")))</f>
        <v/>
      </c>
      <c r="I1643">
        <f>IF(OR($F1643="",$G1643=""),"",IF(ISNUMBER(Sync!$AE1643),MOD(Sync!$AE1643,100),IFERROR(VALUE(TRIM(MID(MID(Sync!$AE1643,FIND("/",Sync!$AE1643)+1,20),FIND("/",MID(Sync!$AE1643,FIND("/",Sync!$AE1643)+1,20))+1,20))),"")))</f>
        <v/>
      </c>
      <c r="J1643">
        <f>IF($F1643="","",IF(OR($G1643="",$H1643="",$I1643="",$G1643&lt;1300,$G1643&gt;1500,$H1643&lt;1,$H1643&gt;12,$I1643&lt;1,$I1643&gt;31),"نامعتبر",RIGHT("0000"&amp;$G1643,4)&amp;"/"&amp;RIGHT("00"&amp;$H1643,2)&amp;"/"&amp;RIGHT("00"&amp;$I1643,2)))</f>
        <v/>
      </c>
      <c r="K1643">
        <f>IF(OR($F1643="",$J1643="",$J1643="نامعتبر"),"",LEFT($J1643,4)&amp;MID($J1643,6,2)&amp;RIGHT($J1643,2)&amp;$N1643&amp;"|"&amp;"2"&amp;RIGHT("00000"&amp;1638,5))</f>
        <v/>
      </c>
      <c r="L1643">
        <f>IF($K1643="","",COUNTIFS(LdgSellerA,$F1643,LdgKeyA,"&lt;"&amp;$K1643)+COUNTIFS(LdgSellerB,$F1643,LdgKeyB,"&lt;"&amp;$K1643)+1)</f>
        <v/>
      </c>
      <c r="M1643">
        <f>IF($L1643="","",$F1643&amp;"|"&amp;RIGHT("000000"&amp;$L1643,6))</f>
        <v/>
      </c>
      <c r="N1643">
        <f>IF($F1643="","",IF(Sync!$AF1643="","0000",IF(AND(ISNUMBER(Sync!$AF1643),Sync!$AF1643&gt;=0,Sync!$AF1643&lt;1),RIGHT("00"&amp;HOUR(Sync!$AF1643),2)&amp;RIGHT("00"&amp;MINUTE(Sync!$AF1643),2),IFERROR(RIGHT("00"&amp;VALUE(LEFT(Sync!$AF1643,FIND(":",Sync!$AF1643)-1)),2)&amp;RIGHT("00"&amp;VALUE(MID(Sync!$AF1643,FIND(":",Sync!$AF1643)+1,2)),2),"0000"))))</f>
        <v/>
      </c>
    </row>
    <row r="1644">
      <c r="A1644">
        <f>IF(OR(Calc!$E1648="",Calc!$E1648="نامعتبر",Calc!$G1648=""),"",Calc!$G1648)</f>
        <v/>
      </c>
      <c r="B1644">
        <f>IF($A1644="","",LEFT(Calc!$E1648,4)&amp;MID(Calc!$E1648,6,2)&amp;RIGHT(Calc!$E1648,2)&amp;Calc!$Q1648&amp;"|"&amp;"1"&amp;RIGHT("00000"&amp;1639,5))</f>
        <v/>
      </c>
      <c r="C1644">
        <f>IF($B1644="","",COUNTIFS(LdgSellerA,$A1644,LdgKeyA,"&lt;"&amp;$B1644)+COUNTIFS(LdgSellerB,$A1644,LdgKeyB,"&lt;"&amp;$B1644)+1)</f>
        <v/>
      </c>
      <c r="D1644">
        <f>IF($C1644="","",$A1644&amp;"|"&amp;RIGHT("000000"&amp;$C1644,6))</f>
        <v/>
      </c>
      <c r="F1644">
        <f>IF(Sync!$AH1644="","",IF(LEFT(UPPER(TRIM(Sync!$AH1644)),2)="SL",UPPER(TRIM(Sync!$AH1644)),""))</f>
        <v/>
      </c>
      <c r="G1644">
        <f>IF($F1644="","",IF(Sync!$AE1644="","",IF(ISNUMBER(Sync!$AE1644),IF(AND(Sync!$AE1644&gt;=10000101,Sync!$AE1644&lt;=99991231),INT(Sync!$AE1644/10000),""),IFERROR(VALUE(TRIM(LEFT(Sync!$AE1644,FIND("/",Sync!$AE1644)-1))),""))))</f>
        <v/>
      </c>
      <c r="H1644">
        <f>IF(OR($F1644="",$G1644=""),"",IF(ISNUMBER(Sync!$AE1644),INT(MOD(Sync!$AE1644,10000)/100),IFERROR(VALUE(TRIM(LEFT(MID(Sync!$AE1644,FIND("/",Sync!$AE1644)+1,20),FIND("/",MID(Sync!$AE1644,FIND("/",Sync!$AE1644)+1,20))-1))),"")))</f>
        <v/>
      </c>
      <c r="I1644">
        <f>IF(OR($F1644="",$G1644=""),"",IF(ISNUMBER(Sync!$AE1644),MOD(Sync!$AE1644,100),IFERROR(VALUE(TRIM(MID(MID(Sync!$AE1644,FIND("/",Sync!$AE1644)+1,20),FIND("/",MID(Sync!$AE1644,FIND("/",Sync!$AE1644)+1,20))+1,20))),"")))</f>
        <v/>
      </c>
      <c r="J1644">
        <f>IF($F1644="","",IF(OR($G1644="",$H1644="",$I1644="",$G1644&lt;1300,$G1644&gt;1500,$H1644&lt;1,$H1644&gt;12,$I1644&lt;1,$I1644&gt;31),"نامعتبر",RIGHT("0000"&amp;$G1644,4)&amp;"/"&amp;RIGHT("00"&amp;$H1644,2)&amp;"/"&amp;RIGHT("00"&amp;$I1644,2)))</f>
        <v/>
      </c>
      <c r="K1644">
        <f>IF(OR($F1644="",$J1644="",$J1644="نامعتبر"),"",LEFT($J1644,4)&amp;MID($J1644,6,2)&amp;RIGHT($J1644,2)&amp;$N1644&amp;"|"&amp;"2"&amp;RIGHT("00000"&amp;1639,5))</f>
        <v/>
      </c>
      <c r="L1644">
        <f>IF($K1644="","",COUNTIFS(LdgSellerA,$F1644,LdgKeyA,"&lt;"&amp;$K1644)+COUNTIFS(LdgSellerB,$F1644,LdgKeyB,"&lt;"&amp;$K1644)+1)</f>
        <v/>
      </c>
      <c r="M1644">
        <f>IF($L1644="","",$F1644&amp;"|"&amp;RIGHT("000000"&amp;$L1644,6))</f>
        <v/>
      </c>
      <c r="N1644">
        <f>IF($F1644="","",IF(Sync!$AF1644="","0000",IF(AND(ISNUMBER(Sync!$AF1644),Sync!$AF1644&gt;=0,Sync!$AF1644&lt;1),RIGHT("00"&amp;HOUR(Sync!$AF1644),2)&amp;RIGHT("00"&amp;MINUTE(Sync!$AF1644),2),IFERROR(RIGHT("00"&amp;VALUE(LEFT(Sync!$AF1644,FIND(":",Sync!$AF1644)-1)),2)&amp;RIGHT("00"&amp;VALUE(MID(Sync!$AF1644,FIND(":",Sync!$AF1644)+1,2)),2),"0000"))))</f>
        <v/>
      </c>
    </row>
    <row r="1645">
      <c r="A1645">
        <f>IF(OR(Calc!$E1649="",Calc!$E1649="نامعتبر",Calc!$G1649=""),"",Calc!$G1649)</f>
        <v/>
      </c>
      <c r="B1645">
        <f>IF($A1645="","",LEFT(Calc!$E1649,4)&amp;MID(Calc!$E1649,6,2)&amp;RIGHT(Calc!$E1649,2)&amp;Calc!$Q1649&amp;"|"&amp;"1"&amp;RIGHT("00000"&amp;1640,5))</f>
        <v/>
      </c>
      <c r="C1645">
        <f>IF($B1645="","",COUNTIFS(LdgSellerA,$A1645,LdgKeyA,"&lt;"&amp;$B1645)+COUNTIFS(LdgSellerB,$A1645,LdgKeyB,"&lt;"&amp;$B1645)+1)</f>
        <v/>
      </c>
      <c r="D1645">
        <f>IF($C1645="","",$A1645&amp;"|"&amp;RIGHT("000000"&amp;$C1645,6))</f>
        <v/>
      </c>
      <c r="F1645">
        <f>IF(Sync!$AH1645="","",IF(LEFT(UPPER(TRIM(Sync!$AH1645)),2)="SL",UPPER(TRIM(Sync!$AH1645)),""))</f>
        <v/>
      </c>
      <c r="G1645">
        <f>IF($F1645="","",IF(Sync!$AE1645="","",IF(ISNUMBER(Sync!$AE1645),IF(AND(Sync!$AE1645&gt;=10000101,Sync!$AE1645&lt;=99991231),INT(Sync!$AE1645/10000),""),IFERROR(VALUE(TRIM(LEFT(Sync!$AE1645,FIND("/",Sync!$AE1645)-1))),""))))</f>
        <v/>
      </c>
      <c r="H1645">
        <f>IF(OR($F1645="",$G1645=""),"",IF(ISNUMBER(Sync!$AE1645),INT(MOD(Sync!$AE1645,10000)/100),IFERROR(VALUE(TRIM(LEFT(MID(Sync!$AE1645,FIND("/",Sync!$AE1645)+1,20),FIND("/",MID(Sync!$AE1645,FIND("/",Sync!$AE1645)+1,20))-1))),"")))</f>
        <v/>
      </c>
      <c r="I1645">
        <f>IF(OR($F1645="",$G1645=""),"",IF(ISNUMBER(Sync!$AE1645),MOD(Sync!$AE1645,100),IFERROR(VALUE(TRIM(MID(MID(Sync!$AE1645,FIND("/",Sync!$AE1645)+1,20),FIND("/",MID(Sync!$AE1645,FIND("/",Sync!$AE1645)+1,20))+1,20))),"")))</f>
        <v/>
      </c>
      <c r="J1645">
        <f>IF($F1645="","",IF(OR($G1645="",$H1645="",$I1645="",$G1645&lt;1300,$G1645&gt;1500,$H1645&lt;1,$H1645&gt;12,$I1645&lt;1,$I1645&gt;31),"نامعتبر",RIGHT("0000"&amp;$G1645,4)&amp;"/"&amp;RIGHT("00"&amp;$H1645,2)&amp;"/"&amp;RIGHT("00"&amp;$I1645,2)))</f>
        <v/>
      </c>
      <c r="K1645">
        <f>IF(OR($F1645="",$J1645="",$J1645="نامعتبر"),"",LEFT($J1645,4)&amp;MID($J1645,6,2)&amp;RIGHT($J1645,2)&amp;$N1645&amp;"|"&amp;"2"&amp;RIGHT("00000"&amp;1640,5))</f>
        <v/>
      </c>
      <c r="L1645">
        <f>IF($K1645="","",COUNTIFS(LdgSellerA,$F1645,LdgKeyA,"&lt;"&amp;$K1645)+COUNTIFS(LdgSellerB,$F1645,LdgKeyB,"&lt;"&amp;$K1645)+1)</f>
        <v/>
      </c>
      <c r="M1645">
        <f>IF($L1645="","",$F1645&amp;"|"&amp;RIGHT("000000"&amp;$L1645,6))</f>
        <v/>
      </c>
      <c r="N1645">
        <f>IF($F1645="","",IF(Sync!$AF1645="","0000",IF(AND(ISNUMBER(Sync!$AF1645),Sync!$AF1645&gt;=0,Sync!$AF1645&lt;1),RIGHT("00"&amp;HOUR(Sync!$AF1645),2)&amp;RIGHT("00"&amp;MINUTE(Sync!$AF1645),2),IFERROR(RIGHT("00"&amp;VALUE(LEFT(Sync!$AF1645,FIND(":",Sync!$AF1645)-1)),2)&amp;RIGHT("00"&amp;VALUE(MID(Sync!$AF1645,FIND(":",Sync!$AF1645)+1,2)),2),"0000"))))</f>
        <v/>
      </c>
    </row>
    <row r="1646">
      <c r="A1646">
        <f>IF(OR(Calc!$E1650="",Calc!$E1650="نامعتبر",Calc!$G1650=""),"",Calc!$G1650)</f>
        <v/>
      </c>
      <c r="B1646">
        <f>IF($A1646="","",LEFT(Calc!$E1650,4)&amp;MID(Calc!$E1650,6,2)&amp;RIGHT(Calc!$E1650,2)&amp;Calc!$Q1650&amp;"|"&amp;"1"&amp;RIGHT("00000"&amp;1641,5))</f>
        <v/>
      </c>
      <c r="C1646">
        <f>IF($B1646="","",COUNTIFS(LdgSellerA,$A1646,LdgKeyA,"&lt;"&amp;$B1646)+COUNTIFS(LdgSellerB,$A1646,LdgKeyB,"&lt;"&amp;$B1646)+1)</f>
        <v/>
      </c>
      <c r="D1646">
        <f>IF($C1646="","",$A1646&amp;"|"&amp;RIGHT("000000"&amp;$C1646,6))</f>
        <v/>
      </c>
      <c r="F1646">
        <f>IF(Sync!$AH1646="","",IF(LEFT(UPPER(TRIM(Sync!$AH1646)),2)="SL",UPPER(TRIM(Sync!$AH1646)),""))</f>
        <v/>
      </c>
      <c r="G1646">
        <f>IF($F1646="","",IF(Sync!$AE1646="","",IF(ISNUMBER(Sync!$AE1646),IF(AND(Sync!$AE1646&gt;=10000101,Sync!$AE1646&lt;=99991231),INT(Sync!$AE1646/10000),""),IFERROR(VALUE(TRIM(LEFT(Sync!$AE1646,FIND("/",Sync!$AE1646)-1))),""))))</f>
        <v/>
      </c>
      <c r="H1646">
        <f>IF(OR($F1646="",$G1646=""),"",IF(ISNUMBER(Sync!$AE1646),INT(MOD(Sync!$AE1646,10000)/100),IFERROR(VALUE(TRIM(LEFT(MID(Sync!$AE1646,FIND("/",Sync!$AE1646)+1,20),FIND("/",MID(Sync!$AE1646,FIND("/",Sync!$AE1646)+1,20))-1))),"")))</f>
        <v/>
      </c>
      <c r="I1646">
        <f>IF(OR($F1646="",$G1646=""),"",IF(ISNUMBER(Sync!$AE1646),MOD(Sync!$AE1646,100),IFERROR(VALUE(TRIM(MID(MID(Sync!$AE1646,FIND("/",Sync!$AE1646)+1,20),FIND("/",MID(Sync!$AE1646,FIND("/",Sync!$AE1646)+1,20))+1,20))),"")))</f>
        <v/>
      </c>
      <c r="J1646">
        <f>IF($F1646="","",IF(OR($G1646="",$H1646="",$I1646="",$G1646&lt;1300,$G1646&gt;1500,$H1646&lt;1,$H1646&gt;12,$I1646&lt;1,$I1646&gt;31),"نامعتبر",RIGHT("0000"&amp;$G1646,4)&amp;"/"&amp;RIGHT("00"&amp;$H1646,2)&amp;"/"&amp;RIGHT("00"&amp;$I1646,2)))</f>
        <v/>
      </c>
      <c r="K1646">
        <f>IF(OR($F1646="",$J1646="",$J1646="نامعتبر"),"",LEFT($J1646,4)&amp;MID($J1646,6,2)&amp;RIGHT($J1646,2)&amp;$N1646&amp;"|"&amp;"2"&amp;RIGHT("00000"&amp;1641,5))</f>
        <v/>
      </c>
      <c r="L1646">
        <f>IF($K1646="","",COUNTIFS(LdgSellerA,$F1646,LdgKeyA,"&lt;"&amp;$K1646)+COUNTIFS(LdgSellerB,$F1646,LdgKeyB,"&lt;"&amp;$K1646)+1)</f>
        <v/>
      </c>
      <c r="M1646">
        <f>IF($L1646="","",$F1646&amp;"|"&amp;RIGHT("000000"&amp;$L1646,6))</f>
        <v/>
      </c>
      <c r="N1646">
        <f>IF($F1646="","",IF(Sync!$AF1646="","0000",IF(AND(ISNUMBER(Sync!$AF1646),Sync!$AF1646&gt;=0,Sync!$AF1646&lt;1),RIGHT("00"&amp;HOUR(Sync!$AF1646),2)&amp;RIGHT("00"&amp;MINUTE(Sync!$AF1646),2),IFERROR(RIGHT("00"&amp;VALUE(LEFT(Sync!$AF1646,FIND(":",Sync!$AF1646)-1)),2)&amp;RIGHT("00"&amp;VALUE(MID(Sync!$AF1646,FIND(":",Sync!$AF1646)+1,2)),2),"0000"))))</f>
        <v/>
      </c>
    </row>
    <row r="1647">
      <c r="A1647">
        <f>IF(OR(Calc!$E1651="",Calc!$E1651="نامعتبر",Calc!$G1651=""),"",Calc!$G1651)</f>
        <v/>
      </c>
      <c r="B1647">
        <f>IF($A1647="","",LEFT(Calc!$E1651,4)&amp;MID(Calc!$E1651,6,2)&amp;RIGHT(Calc!$E1651,2)&amp;Calc!$Q1651&amp;"|"&amp;"1"&amp;RIGHT("00000"&amp;1642,5))</f>
        <v/>
      </c>
      <c r="C1647">
        <f>IF($B1647="","",COUNTIFS(LdgSellerA,$A1647,LdgKeyA,"&lt;"&amp;$B1647)+COUNTIFS(LdgSellerB,$A1647,LdgKeyB,"&lt;"&amp;$B1647)+1)</f>
        <v/>
      </c>
      <c r="D1647">
        <f>IF($C1647="","",$A1647&amp;"|"&amp;RIGHT("000000"&amp;$C1647,6))</f>
        <v/>
      </c>
      <c r="F1647">
        <f>IF(Sync!$AH1647="","",IF(LEFT(UPPER(TRIM(Sync!$AH1647)),2)="SL",UPPER(TRIM(Sync!$AH1647)),""))</f>
        <v/>
      </c>
      <c r="G1647">
        <f>IF($F1647="","",IF(Sync!$AE1647="","",IF(ISNUMBER(Sync!$AE1647),IF(AND(Sync!$AE1647&gt;=10000101,Sync!$AE1647&lt;=99991231),INT(Sync!$AE1647/10000),""),IFERROR(VALUE(TRIM(LEFT(Sync!$AE1647,FIND("/",Sync!$AE1647)-1))),""))))</f>
        <v/>
      </c>
      <c r="H1647">
        <f>IF(OR($F1647="",$G1647=""),"",IF(ISNUMBER(Sync!$AE1647),INT(MOD(Sync!$AE1647,10000)/100),IFERROR(VALUE(TRIM(LEFT(MID(Sync!$AE1647,FIND("/",Sync!$AE1647)+1,20),FIND("/",MID(Sync!$AE1647,FIND("/",Sync!$AE1647)+1,20))-1))),"")))</f>
        <v/>
      </c>
      <c r="I1647">
        <f>IF(OR($F1647="",$G1647=""),"",IF(ISNUMBER(Sync!$AE1647),MOD(Sync!$AE1647,100),IFERROR(VALUE(TRIM(MID(MID(Sync!$AE1647,FIND("/",Sync!$AE1647)+1,20),FIND("/",MID(Sync!$AE1647,FIND("/",Sync!$AE1647)+1,20))+1,20))),"")))</f>
        <v/>
      </c>
      <c r="J1647">
        <f>IF($F1647="","",IF(OR($G1647="",$H1647="",$I1647="",$G1647&lt;1300,$G1647&gt;1500,$H1647&lt;1,$H1647&gt;12,$I1647&lt;1,$I1647&gt;31),"نامعتبر",RIGHT("0000"&amp;$G1647,4)&amp;"/"&amp;RIGHT("00"&amp;$H1647,2)&amp;"/"&amp;RIGHT("00"&amp;$I1647,2)))</f>
        <v/>
      </c>
      <c r="K1647">
        <f>IF(OR($F1647="",$J1647="",$J1647="نامعتبر"),"",LEFT($J1647,4)&amp;MID($J1647,6,2)&amp;RIGHT($J1647,2)&amp;$N1647&amp;"|"&amp;"2"&amp;RIGHT("00000"&amp;1642,5))</f>
        <v/>
      </c>
      <c r="L1647">
        <f>IF($K1647="","",COUNTIFS(LdgSellerA,$F1647,LdgKeyA,"&lt;"&amp;$K1647)+COUNTIFS(LdgSellerB,$F1647,LdgKeyB,"&lt;"&amp;$K1647)+1)</f>
        <v/>
      </c>
      <c r="M1647">
        <f>IF($L1647="","",$F1647&amp;"|"&amp;RIGHT("000000"&amp;$L1647,6))</f>
        <v/>
      </c>
      <c r="N1647">
        <f>IF($F1647="","",IF(Sync!$AF1647="","0000",IF(AND(ISNUMBER(Sync!$AF1647),Sync!$AF1647&gt;=0,Sync!$AF1647&lt;1),RIGHT("00"&amp;HOUR(Sync!$AF1647),2)&amp;RIGHT("00"&amp;MINUTE(Sync!$AF1647),2),IFERROR(RIGHT("00"&amp;VALUE(LEFT(Sync!$AF1647,FIND(":",Sync!$AF1647)-1)),2)&amp;RIGHT("00"&amp;VALUE(MID(Sync!$AF1647,FIND(":",Sync!$AF1647)+1,2)),2),"0000"))))</f>
        <v/>
      </c>
    </row>
    <row r="1648">
      <c r="A1648">
        <f>IF(OR(Calc!$E1652="",Calc!$E1652="نامعتبر",Calc!$G1652=""),"",Calc!$G1652)</f>
        <v/>
      </c>
      <c r="B1648">
        <f>IF($A1648="","",LEFT(Calc!$E1652,4)&amp;MID(Calc!$E1652,6,2)&amp;RIGHT(Calc!$E1652,2)&amp;Calc!$Q1652&amp;"|"&amp;"1"&amp;RIGHT("00000"&amp;1643,5))</f>
        <v/>
      </c>
      <c r="C1648">
        <f>IF($B1648="","",COUNTIFS(LdgSellerA,$A1648,LdgKeyA,"&lt;"&amp;$B1648)+COUNTIFS(LdgSellerB,$A1648,LdgKeyB,"&lt;"&amp;$B1648)+1)</f>
        <v/>
      </c>
      <c r="D1648">
        <f>IF($C1648="","",$A1648&amp;"|"&amp;RIGHT("000000"&amp;$C1648,6))</f>
        <v/>
      </c>
      <c r="F1648">
        <f>IF(Sync!$AH1648="","",IF(LEFT(UPPER(TRIM(Sync!$AH1648)),2)="SL",UPPER(TRIM(Sync!$AH1648)),""))</f>
        <v/>
      </c>
      <c r="G1648">
        <f>IF($F1648="","",IF(Sync!$AE1648="","",IF(ISNUMBER(Sync!$AE1648),IF(AND(Sync!$AE1648&gt;=10000101,Sync!$AE1648&lt;=99991231),INT(Sync!$AE1648/10000),""),IFERROR(VALUE(TRIM(LEFT(Sync!$AE1648,FIND("/",Sync!$AE1648)-1))),""))))</f>
        <v/>
      </c>
      <c r="H1648">
        <f>IF(OR($F1648="",$G1648=""),"",IF(ISNUMBER(Sync!$AE1648),INT(MOD(Sync!$AE1648,10000)/100),IFERROR(VALUE(TRIM(LEFT(MID(Sync!$AE1648,FIND("/",Sync!$AE1648)+1,20),FIND("/",MID(Sync!$AE1648,FIND("/",Sync!$AE1648)+1,20))-1))),"")))</f>
        <v/>
      </c>
      <c r="I1648">
        <f>IF(OR($F1648="",$G1648=""),"",IF(ISNUMBER(Sync!$AE1648),MOD(Sync!$AE1648,100),IFERROR(VALUE(TRIM(MID(MID(Sync!$AE1648,FIND("/",Sync!$AE1648)+1,20),FIND("/",MID(Sync!$AE1648,FIND("/",Sync!$AE1648)+1,20))+1,20))),"")))</f>
        <v/>
      </c>
      <c r="J1648">
        <f>IF($F1648="","",IF(OR($G1648="",$H1648="",$I1648="",$G1648&lt;1300,$G1648&gt;1500,$H1648&lt;1,$H1648&gt;12,$I1648&lt;1,$I1648&gt;31),"نامعتبر",RIGHT("0000"&amp;$G1648,4)&amp;"/"&amp;RIGHT("00"&amp;$H1648,2)&amp;"/"&amp;RIGHT("00"&amp;$I1648,2)))</f>
        <v/>
      </c>
      <c r="K1648">
        <f>IF(OR($F1648="",$J1648="",$J1648="نامعتبر"),"",LEFT($J1648,4)&amp;MID($J1648,6,2)&amp;RIGHT($J1648,2)&amp;$N1648&amp;"|"&amp;"2"&amp;RIGHT("00000"&amp;1643,5))</f>
        <v/>
      </c>
      <c r="L1648">
        <f>IF($K1648="","",COUNTIFS(LdgSellerA,$F1648,LdgKeyA,"&lt;"&amp;$K1648)+COUNTIFS(LdgSellerB,$F1648,LdgKeyB,"&lt;"&amp;$K1648)+1)</f>
        <v/>
      </c>
      <c r="M1648">
        <f>IF($L1648="","",$F1648&amp;"|"&amp;RIGHT("000000"&amp;$L1648,6))</f>
        <v/>
      </c>
      <c r="N1648">
        <f>IF($F1648="","",IF(Sync!$AF1648="","0000",IF(AND(ISNUMBER(Sync!$AF1648),Sync!$AF1648&gt;=0,Sync!$AF1648&lt;1),RIGHT("00"&amp;HOUR(Sync!$AF1648),2)&amp;RIGHT("00"&amp;MINUTE(Sync!$AF1648),2),IFERROR(RIGHT("00"&amp;VALUE(LEFT(Sync!$AF1648,FIND(":",Sync!$AF1648)-1)),2)&amp;RIGHT("00"&amp;VALUE(MID(Sync!$AF1648,FIND(":",Sync!$AF1648)+1,2)),2),"0000"))))</f>
        <v/>
      </c>
    </row>
    <row r="1649">
      <c r="A1649">
        <f>IF(OR(Calc!$E1653="",Calc!$E1653="نامعتبر",Calc!$G1653=""),"",Calc!$G1653)</f>
        <v/>
      </c>
      <c r="B1649">
        <f>IF($A1649="","",LEFT(Calc!$E1653,4)&amp;MID(Calc!$E1653,6,2)&amp;RIGHT(Calc!$E1653,2)&amp;Calc!$Q1653&amp;"|"&amp;"1"&amp;RIGHT("00000"&amp;1644,5))</f>
        <v/>
      </c>
      <c r="C1649">
        <f>IF($B1649="","",COUNTIFS(LdgSellerA,$A1649,LdgKeyA,"&lt;"&amp;$B1649)+COUNTIFS(LdgSellerB,$A1649,LdgKeyB,"&lt;"&amp;$B1649)+1)</f>
        <v/>
      </c>
      <c r="D1649">
        <f>IF($C1649="","",$A1649&amp;"|"&amp;RIGHT("000000"&amp;$C1649,6))</f>
        <v/>
      </c>
      <c r="F1649">
        <f>IF(Sync!$AH1649="","",IF(LEFT(UPPER(TRIM(Sync!$AH1649)),2)="SL",UPPER(TRIM(Sync!$AH1649)),""))</f>
        <v/>
      </c>
      <c r="G1649">
        <f>IF($F1649="","",IF(Sync!$AE1649="","",IF(ISNUMBER(Sync!$AE1649),IF(AND(Sync!$AE1649&gt;=10000101,Sync!$AE1649&lt;=99991231),INT(Sync!$AE1649/10000),""),IFERROR(VALUE(TRIM(LEFT(Sync!$AE1649,FIND("/",Sync!$AE1649)-1))),""))))</f>
        <v/>
      </c>
      <c r="H1649">
        <f>IF(OR($F1649="",$G1649=""),"",IF(ISNUMBER(Sync!$AE1649),INT(MOD(Sync!$AE1649,10000)/100),IFERROR(VALUE(TRIM(LEFT(MID(Sync!$AE1649,FIND("/",Sync!$AE1649)+1,20),FIND("/",MID(Sync!$AE1649,FIND("/",Sync!$AE1649)+1,20))-1))),"")))</f>
        <v/>
      </c>
      <c r="I1649">
        <f>IF(OR($F1649="",$G1649=""),"",IF(ISNUMBER(Sync!$AE1649),MOD(Sync!$AE1649,100),IFERROR(VALUE(TRIM(MID(MID(Sync!$AE1649,FIND("/",Sync!$AE1649)+1,20),FIND("/",MID(Sync!$AE1649,FIND("/",Sync!$AE1649)+1,20))+1,20))),"")))</f>
        <v/>
      </c>
      <c r="J1649">
        <f>IF($F1649="","",IF(OR($G1649="",$H1649="",$I1649="",$G1649&lt;1300,$G1649&gt;1500,$H1649&lt;1,$H1649&gt;12,$I1649&lt;1,$I1649&gt;31),"نامعتبر",RIGHT("0000"&amp;$G1649,4)&amp;"/"&amp;RIGHT("00"&amp;$H1649,2)&amp;"/"&amp;RIGHT("00"&amp;$I1649,2)))</f>
        <v/>
      </c>
      <c r="K1649">
        <f>IF(OR($F1649="",$J1649="",$J1649="نامعتبر"),"",LEFT($J1649,4)&amp;MID($J1649,6,2)&amp;RIGHT($J1649,2)&amp;$N1649&amp;"|"&amp;"2"&amp;RIGHT("00000"&amp;1644,5))</f>
        <v/>
      </c>
      <c r="L1649">
        <f>IF($K1649="","",COUNTIFS(LdgSellerA,$F1649,LdgKeyA,"&lt;"&amp;$K1649)+COUNTIFS(LdgSellerB,$F1649,LdgKeyB,"&lt;"&amp;$K1649)+1)</f>
        <v/>
      </c>
      <c r="M1649">
        <f>IF($L1649="","",$F1649&amp;"|"&amp;RIGHT("000000"&amp;$L1649,6))</f>
        <v/>
      </c>
      <c r="N1649">
        <f>IF($F1649="","",IF(Sync!$AF1649="","0000",IF(AND(ISNUMBER(Sync!$AF1649),Sync!$AF1649&gt;=0,Sync!$AF1649&lt;1),RIGHT("00"&amp;HOUR(Sync!$AF1649),2)&amp;RIGHT("00"&amp;MINUTE(Sync!$AF1649),2),IFERROR(RIGHT("00"&amp;VALUE(LEFT(Sync!$AF1649,FIND(":",Sync!$AF1649)-1)),2)&amp;RIGHT("00"&amp;VALUE(MID(Sync!$AF1649,FIND(":",Sync!$AF1649)+1,2)),2),"0000"))))</f>
        <v/>
      </c>
    </row>
    <row r="1650">
      <c r="A1650">
        <f>IF(OR(Calc!$E1654="",Calc!$E1654="نامعتبر",Calc!$G1654=""),"",Calc!$G1654)</f>
        <v/>
      </c>
      <c r="B1650">
        <f>IF($A1650="","",LEFT(Calc!$E1654,4)&amp;MID(Calc!$E1654,6,2)&amp;RIGHT(Calc!$E1654,2)&amp;Calc!$Q1654&amp;"|"&amp;"1"&amp;RIGHT("00000"&amp;1645,5))</f>
        <v/>
      </c>
      <c r="C1650">
        <f>IF($B1650="","",COUNTIFS(LdgSellerA,$A1650,LdgKeyA,"&lt;"&amp;$B1650)+COUNTIFS(LdgSellerB,$A1650,LdgKeyB,"&lt;"&amp;$B1650)+1)</f>
        <v/>
      </c>
      <c r="D1650">
        <f>IF($C1650="","",$A1650&amp;"|"&amp;RIGHT("000000"&amp;$C1650,6))</f>
        <v/>
      </c>
      <c r="F1650">
        <f>IF(Sync!$AH1650="","",IF(LEFT(UPPER(TRIM(Sync!$AH1650)),2)="SL",UPPER(TRIM(Sync!$AH1650)),""))</f>
        <v/>
      </c>
      <c r="G1650">
        <f>IF($F1650="","",IF(Sync!$AE1650="","",IF(ISNUMBER(Sync!$AE1650),IF(AND(Sync!$AE1650&gt;=10000101,Sync!$AE1650&lt;=99991231),INT(Sync!$AE1650/10000),""),IFERROR(VALUE(TRIM(LEFT(Sync!$AE1650,FIND("/",Sync!$AE1650)-1))),""))))</f>
        <v/>
      </c>
      <c r="H1650">
        <f>IF(OR($F1650="",$G1650=""),"",IF(ISNUMBER(Sync!$AE1650),INT(MOD(Sync!$AE1650,10000)/100),IFERROR(VALUE(TRIM(LEFT(MID(Sync!$AE1650,FIND("/",Sync!$AE1650)+1,20),FIND("/",MID(Sync!$AE1650,FIND("/",Sync!$AE1650)+1,20))-1))),"")))</f>
        <v/>
      </c>
      <c r="I1650">
        <f>IF(OR($F1650="",$G1650=""),"",IF(ISNUMBER(Sync!$AE1650),MOD(Sync!$AE1650,100),IFERROR(VALUE(TRIM(MID(MID(Sync!$AE1650,FIND("/",Sync!$AE1650)+1,20),FIND("/",MID(Sync!$AE1650,FIND("/",Sync!$AE1650)+1,20))+1,20))),"")))</f>
        <v/>
      </c>
      <c r="J1650">
        <f>IF($F1650="","",IF(OR($G1650="",$H1650="",$I1650="",$G1650&lt;1300,$G1650&gt;1500,$H1650&lt;1,$H1650&gt;12,$I1650&lt;1,$I1650&gt;31),"نامعتبر",RIGHT("0000"&amp;$G1650,4)&amp;"/"&amp;RIGHT("00"&amp;$H1650,2)&amp;"/"&amp;RIGHT("00"&amp;$I1650,2)))</f>
        <v/>
      </c>
      <c r="K1650">
        <f>IF(OR($F1650="",$J1650="",$J1650="نامعتبر"),"",LEFT($J1650,4)&amp;MID($J1650,6,2)&amp;RIGHT($J1650,2)&amp;$N1650&amp;"|"&amp;"2"&amp;RIGHT("00000"&amp;1645,5))</f>
        <v/>
      </c>
      <c r="L1650">
        <f>IF($K1650="","",COUNTIFS(LdgSellerA,$F1650,LdgKeyA,"&lt;"&amp;$K1650)+COUNTIFS(LdgSellerB,$F1650,LdgKeyB,"&lt;"&amp;$K1650)+1)</f>
        <v/>
      </c>
      <c r="M1650">
        <f>IF($L1650="","",$F1650&amp;"|"&amp;RIGHT("000000"&amp;$L1650,6))</f>
        <v/>
      </c>
      <c r="N1650">
        <f>IF($F1650="","",IF(Sync!$AF1650="","0000",IF(AND(ISNUMBER(Sync!$AF1650),Sync!$AF1650&gt;=0,Sync!$AF1650&lt;1),RIGHT("00"&amp;HOUR(Sync!$AF1650),2)&amp;RIGHT("00"&amp;MINUTE(Sync!$AF1650),2),IFERROR(RIGHT("00"&amp;VALUE(LEFT(Sync!$AF1650,FIND(":",Sync!$AF1650)-1)),2)&amp;RIGHT("00"&amp;VALUE(MID(Sync!$AF1650,FIND(":",Sync!$AF1650)+1,2)),2),"0000"))))</f>
        <v/>
      </c>
    </row>
    <row r="1651">
      <c r="A1651">
        <f>IF(OR(Calc!$E1655="",Calc!$E1655="نامعتبر",Calc!$G1655=""),"",Calc!$G1655)</f>
        <v/>
      </c>
      <c r="B1651">
        <f>IF($A1651="","",LEFT(Calc!$E1655,4)&amp;MID(Calc!$E1655,6,2)&amp;RIGHT(Calc!$E1655,2)&amp;Calc!$Q1655&amp;"|"&amp;"1"&amp;RIGHT("00000"&amp;1646,5))</f>
        <v/>
      </c>
      <c r="C1651">
        <f>IF($B1651="","",COUNTIFS(LdgSellerA,$A1651,LdgKeyA,"&lt;"&amp;$B1651)+COUNTIFS(LdgSellerB,$A1651,LdgKeyB,"&lt;"&amp;$B1651)+1)</f>
        <v/>
      </c>
      <c r="D1651">
        <f>IF($C1651="","",$A1651&amp;"|"&amp;RIGHT("000000"&amp;$C1651,6))</f>
        <v/>
      </c>
      <c r="F1651">
        <f>IF(Sync!$AH1651="","",IF(LEFT(UPPER(TRIM(Sync!$AH1651)),2)="SL",UPPER(TRIM(Sync!$AH1651)),""))</f>
        <v/>
      </c>
      <c r="G1651">
        <f>IF($F1651="","",IF(Sync!$AE1651="","",IF(ISNUMBER(Sync!$AE1651),IF(AND(Sync!$AE1651&gt;=10000101,Sync!$AE1651&lt;=99991231),INT(Sync!$AE1651/10000),""),IFERROR(VALUE(TRIM(LEFT(Sync!$AE1651,FIND("/",Sync!$AE1651)-1))),""))))</f>
        <v/>
      </c>
      <c r="H1651">
        <f>IF(OR($F1651="",$G1651=""),"",IF(ISNUMBER(Sync!$AE1651),INT(MOD(Sync!$AE1651,10000)/100),IFERROR(VALUE(TRIM(LEFT(MID(Sync!$AE1651,FIND("/",Sync!$AE1651)+1,20),FIND("/",MID(Sync!$AE1651,FIND("/",Sync!$AE1651)+1,20))-1))),"")))</f>
        <v/>
      </c>
      <c r="I1651">
        <f>IF(OR($F1651="",$G1651=""),"",IF(ISNUMBER(Sync!$AE1651),MOD(Sync!$AE1651,100),IFERROR(VALUE(TRIM(MID(MID(Sync!$AE1651,FIND("/",Sync!$AE1651)+1,20),FIND("/",MID(Sync!$AE1651,FIND("/",Sync!$AE1651)+1,20))+1,20))),"")))</f>
        <v/>
      </c>
      <c r="J1651">
        <f>IF($F1651="","",IF(OR($G1651="",$H1651="",$I1651="",$G1651&lt;1300,$G1651&gt;1500,$H1651&lt;1,$H1651&gt;12,$I1651&lt;1,$I1651&gt;31),"نامعتبر",RIGHT("0000"&amp;$G1651,4)&amp;"/"&amp;RIGHT("00"&amp;$H1651,2)&amp;"/"&amp;RIGHT("00"&amp;$I1651,2)))</f>
        <v/>
      </c>
      <c r="K1651">
        <f>IF(OR($F1651="",$J1651="",$J1651="نامعتبر"),"",LEFT($J1651,4)&amp;MID($J1651,6,2)&amp;RIGHT($J1651,2)&amp;$N1651&amp;"|"&amp;"2"&amp;RIGHT("00000"&amp;1646,5))</f>
        <v/>
      </c>
      <c r="L1651">
        <f>IF($K1651="","",COUNTIFS(LdgSellerA,$F1651,LdgKeyA,"&lt;"&amp;$K1651)+COUNTIFS(LdgSellerB,$F1651,LdgKeyB,"&lt;"&amp;$K1651)+1)</f>
        <v/>
      </c>
      <c r="M1651">
        <f>IF($L1651="","",$F1651&amp;"|"&amp;RIGHT("000000"&amp;$L1651,6))</f>
        <v/>
      </c>
      <c r="N1651">
        <f>IF($F1651="","",IF(Sync!$AF1651="","0000",IF(AND(ISNUMBER(Sync!$AF1651),Sync!$AF1651&gt;=0,Sync!$AF1651&lt;1),RIGHT("00"&amp;HOUR(Sync!$AF1651),2)&amp;RIGHT("00"&amp;MINUTE(Sync!$AF1651),2),IFERROR(RIGHT("00"&amp;VALUE(LEFT(Sync!$AF1651,FIND(":",Sync!$AF1651)-1)),2)&amp;RIGHT("00"&amp;VALUE(MID(Sync!$AF1651,FIND(":",Sync!$AF1651)+1,2)),2),"0000"))))</f>
        <v/>
      </c>
    </row>
    <row r="1652">
      <c r="A1652">
        <f>IF(OR(Calc!$E1656="",Calc!$E1656="نامعتبر",Calc!$G1656=""),"",Calc!$G1656)</f>
        <v/>
      </c>
      <c r="B1652">
        <f>IF($A1652="","",LEFT(Calc!$E1656,4)&amp;MID(Calc!$E1656,6,2)&amp;RIGHT(Calc!$E1656,2)&amp;Calc!$Q1656&amp;"|"&amp;"1"&amp;RIGHT("00000"&amp;1647,5))</f>
        <v/>
      </c>
      <c r="C1652">
        <f>IF($B1652="","",COUNTIFS(LdgSellerA,$A1652,LdgKeyA,"&lt;"&amp;$B1652)+COUNTIFS(LdgSellerB,$A1652,LdgKeyB,"&lt;"&amp;$B1652)+1)</f>
        <v/>
      </c>
      <c r="D1652">
        <f>IF($C1652="","",$A1652&amp;"|"&amp;RIGHT("000000"&amp;$C1652,6))</f>
        <v/>
      </c>
      <c r="F1652">
        <f>IF(Sync!$AH1652="","",IF(LEFT(UPPER(TRIM(Sync!$AH1652)),2)="SL",UPPER(TRIM(Sync!$AH1652)),""))</f>
        <v/>
      </c>
      <c r="G1652">
        <f>IF($F1652="","",IF(Sync!$AE1652="","",IF(ISNUMBER(Sync!$AE1652),IF(AND(Sync!$AE1652&gt;=10000101,Sync!$AE1652&lt;=99991231),INT(Sync!$AE1652/10000),""),IFERROR(VALUE(TRIM(LEFT(Sync!$AE1652,FIND("/",Sync!$AE1652)-1))),""))))</f>
        <v/>
      </c>
      <c r="H1652">
        <f>IF(OR($F1652="",$G1652=""),"",IF(ISNUMBER(Sync!$AE1652),INT(MOD(Sync!$AE1652,10000)/100),IFERROR(VALUE(TRIM(LEFT(MID(Sync!$AE1652,FIND("/",Sync!$AE1652)+1,20),FIND("/",MID(Sync!$AE1652,FIND("/",Sync!$AE1652)+1,20))-1))),"")))</f>
        <v/>
      </c>
      <c r="I1652">
        <f>IF(OR($F1652="",$G1652=""),"",IF(ISNUMBER(Sync!$AE1652),MOD(Sync!$AE1652,100),IFERROR(VALUE(TRIM(MID(MID(Sync!$AE1652,FIND("/",Sync!$AE1652)+1,20),FIND("/",MID(Sync!$AE1652,FIND("/",Sync!$AE1652)+1,20))+1,20))),"")))</f>
        <v/>
      </c>
      <c r="J1652">
        <f>IF($F1652="","",IF(OR($G1652="",$H1652="",$I1652="",$G1652&lt;1300,$G1652&gt;1500,$H1652&lt;1,$H1652&gt;12,$I1652&lt;1,$I1652&gt;31),"نامعتبر",RIGHT("0000"&amp;$G1652,4)&amp;"/"&amp;RIGHT("00"&amp;$H1652,2)&amp;"/"&amp;RIGHT("00"&amp;$I1652,2)))</f>
        <v/>
      </c>
      <c r="K1652">
        <f>IF(OR($F1652="",$J1652="",$J1652="نامعتبر"),"",LEFT($J1652,4)&amp;MID($J1652,6,2)&amp;RIGHT($J1652,2)&amp;$N1652&amp;"|"&amp;"2"&amp;RIGHT("00000"&amp;1647,5))</f>
        <v/>
      </c>
      <c r="L1652">
        <f>IF($K1652="","",COUNTIFS(LdgSellerA,$F1652,LdgKeyA,"&lt;"&amp;$K1652)+COUNTIFS(LdgSellerB,$F1652,LdgKeyB,"&lt;"&amp;$K1652)+1)</f>
        <v/>
      </c>
      <c r="M1652">
        <f>IF($L1652="","",$F1652&amp;"|"&amp;RIGHT("000000"&amp;$L1652,6))</f>
        <v/>
      </c>
      <c r="N1652">
        <f>IF($F1652="","",IF(Sync!$AF1652="","0000",IF(AND(ISNUMBER(Sync!$AF1652),Sync!$AF1652&gt;=0,Sync!$AF1652&lt;1),RIGHT("00"&amp;HOUR(Sync!$AF1652),2)&amp;RIGHT("00"&amp;MINUTE(Sync!$AF1652),2),IFERROR(RIGHT("00"&amp;VALUE(LEFT(Sync!$AF1652,FIND(":",Sync!$AF1652)-1)),2)&amp;RIGHT("00"&amp;VALUE(MID(Sync!$AF1652,FIND(":",Sync!$AF1652)+1,2)),2),"0000"))))</f>
        <v/>
      </c>
    </row>
    <row r="1653">
      <c r="A1653">
        <f>IF(OR(Calc!$E1657="",Calc!$E1657="نامعتبر",Calc!$G1657=""),"",Calc!$G1657)</f>
        <v/>
      </c>
      <c r="B1653">
        <f>IF($A1653="","",LEFT(Calc!$E1657,4)&amp;MID(Calc!$E1657,6,2)&amp;RIGHT(Calc!$E1657,2)&amp;Calc!$Q1657&amp;"|"&amp;"1"&amp;RIGHT("00000"&amp;1648,5))</f>
        <v/>
      </c>
      <c r="C1653">
        <f>IF($B1653="","",COUNTIFS(LdgSellerA,$A1653,LdgKeyA,"&lt;"&amp;$B1653)+COUNTIFS(LdgSellerB,$A1653,LdgKeyB,"&lt;"&amp;$B1653)+1)</f>
        <v/>
      </c>
      <c r="D1653">
        <f>IF($C1653="","",$A1653&amp;"|"&amp;RIGHT("000000"&amp;$C1653,6))</f>
        <v/>
      </c>
      <c r="F1653">
        <f>IF(Sync!$AH1653="","",IF(LEFT(UPPER(TRIM(Sync!$AH1653)),2)="SL",UPPER(TRIM(Sync!$AH1653)),""))</f>
        <v/>
      </c>
      <c r="G1653">
        <f>IF($F1653="","",IF(Sync!$AE1653="","",IF(ISNUMBER(Sync!$AE1653),IF(AND(Sync!$AE1653&gt;=10000101,Sync!$AE1653&lt;=99991231),INT(Sync!$AE1653/10000),""),IFERROR(VALUE(TRIM(LEFT(Sync!$AE1653,FIND("/",Sync!$AE1653)-1))),""))))</f>
        <v/>
      </c>
      <c r="H1653">
        <f>IF(OR($F1653="",$G1653=""),"",IF(ISNUMBER(Sync!$AE1653),INT(MOD(Sync!$AE1653,10000)/100),IFERROR(VALUE(TRIM(LEFT(MID(Sync!$AE1653,FIND("/",Sync!$AE1653)+1,20),FIND("/",MID(Sync!$AE1653,FIND("/",Sync!$AE1653)+1,20))-1))),"")))</f>
        <v/>
      </c>
      <c r="I1653">
        <f>IF(OR($F1653="",$G1653=""),"",IF(ISNUMBER(Sync!$AE1653),MOD(Sync!$AE1653,100),IFERROR(VALUE(TRIM(MID(MID(Sync!$AE1653,FIND("/",Sync!$AE1653)+1,20),FIND("/",MID(Sync!$AE1653,FIND("/",Sync!$AE1653)+1,20))+1,20))),"")))</f>
        <v/>
      </c>
      <c r="J1653">
        <f>IF($F1653="","",IF(OR($G1653="",$H1653="",$I1653="",$G1653&lt;1300,$G1653&gt;1500,$H1653&lt;1,$H1653&gt;12,$I1653&lt;1,$I1653&gt;31),"نامعتبر",RIGHT("0000"&amp;$G1653,4)&amp;"/"&amp;RIGHT("00"&amp;$H1653,2)&amp;"/"&amp;RIGHT("00"&amp;$I1653,2)))</f>
        <v/>
      </c>
      <c r="K1653">
        <f>IF(OR($F1653="",$J1653="",$J1653="نامعتبر"),"",LEFT($J1653,4)&amp;MID($J1653,6,2)&amp;RIGHT($J1653,2)&amp;$N1653&amp;"|"&amp;"2"&amp;RIGHT("00000"&amp;1648,5))</f>
        <v/>
      </c>
      <c r="L1653">
        <f>IF($K1653="","",COUNTIFS(LdgSellerA,$F1653,LdgKeyA,"&lt;"&amp;$K1653)+COUNTIFS(LdgSellerB,$F1653,LdgKeyB,"&lt;"&amp;$K1653)+1)</f>
        <v/>
      </c>
      <c r="M1653">
        <f>IF($L1653="","",$F1653&amp;"|"&amp;RIGHT("000000"&amp;$L1653,6))</f>
        <v/>
      </c>
      <c r="N1653">
        <f>IF($F1653="","",IF(Sync!$AF1653="","0000",IF(AND(ISNUMBER(Sync!$AF1653),Sync!$AF1653&gt;=0,Sync!$AF1653&lt;1),RIGHT("00"&amp;HOUR(Sync!$AF1653),2)&amp;RIGHT("00"&amp;MINUTE(Sync!$AF1653),2),IFERROR(RIGHT("00"&amp;VALUE(LEFT(Sync!$AF1653,FIND(":",Sync!$AF1653)-1)),2)&amp;RIGHT("00"&amp;VALUE(MID(Sync!$AF1653,FIND(":",Sync!$AF1653)+1,2)),2),"0000"))))</f>
        <v/>
      </c>
    </row>
    <row r="1654">
      <c r="A1654">
        <f>IF(OR(Calc!$E1658="",Calc!$E1658="نامعتبر",Calc!$G1658=""),"",Calc!$G1658)</f>
        <v/>
      </c>
      <c r="B1654">
        <f>IF($A1654="","",LEFT(Calc!$E1658,4)&amp;MID(Calc!$E1658,6,2)&amp;RIGHT(Calc!$E1658,2)&amp;Calc!$Q1658&amp;"|"&amp;"1"&amp;RIGHT("00000"&amp;1649,5))</f>
        <v/>
      </c>
      <c r="C1654">
        <f>IF($B1654="","",COUNTIFS(LdgSellerA,$A1654,LdgKeyA,"&lt;"&amp;$B1654)+COUNTIFS(LdgSellerB,$A1654,LdgKeyB,"&lt;"&amp;$B1654)+1)</f>
        <v/>
      </c>
      <c r="D1654">
        <f>IF($C1654="","",$A1654&amp;"|"&amp;RIGHT("000000"&amp;$C1654,6))</f>
        <v/>
      </c>
      <c r="F1654">
        <f>IF(Sync!$AH1654="","",IF(LEFT(UPPER(TRIM(Sync!$AH1654)),2)="SL",UPPER(TRIM(Sync!$AH1654)),""))</f>
        <v/>
      </c>
      <c r="G1654">
        <f>IF($F1654="","",IF(Sync!$AE1654="","",IF(ISNUMBER(Sync!$AE1654),IF(AND(Sync!$AE1654&gt;=10000101,Sync!$AE1654&lt;=99991231),INT(Sync!$AE1654/10000),""),IFERROR(VALUE(TRIM(LEFT(Sync!$AE1654,FIND("/",Sync!$AE1654)-1))),""))))</f>
        <v/>
      </c>
      <c r="H1654">
        <f>IF(OR($F1654="",$G1654=""),"",IF(ISNUMBER(Sync!$AE1654),INT(MOD(Sync!$AE1654,10000)/100),IFERROR(VALUE(TRIM(LEFT(MID(Sync!$AE1654,FIND("/",Sync!$AE1654)+1,20),FIND("/",MID(Sync!$AE1654,FIND("/",Sync!$AE1654)+1,20))-1))),"")))</f>
        <v/>
      </c>
      <c r="I1654">
        <f>IF(OR($F1654="",$G1654=""),"",IF(ISNUMBER(Sync!$AE1654),MOD(Sync!$AE1654,100),IFERROR(VALUE(TRIM(MID(MID(Sync!$AE1654,FIND("/",Sync!$AE1654)+1,20),FIND("/",MID(Sync!$AE1654,FIND("/",Sync!$AE1654)+1,20))+1,20))),"")))</f>
        <v/>
      </c>
      <c r="J1654">
        <f>IF($F1654="","",IF(OR($G1654="",$H1654="",$I1654="",$G1654&lt;1300,$G1654&gt;1500,$H1654&lt;1,$H1654&gt;12,$I1654&lt;1,$I1654&gt;31),"نامعتبر",RIGHT("0000"&amp;$G1654,4)&amp;"/"&amp;RIGHT("00"&amp;$H1654,2)&amp;"/"&amp;RIGHT("00"&amp;$I1654,2)))</f>
        <v/>
      </c>
      <c r="K1654">
        <f>IF(OR($F1654="",$J1654="",$J1654="نامعتبر"),"",LEFT($J1654,4)&amp;MID($J1654,6,2)&amp;RIGHT($J1654,2)&amp;$N1654&amp;"|"&amp;"2"&amp;RIGHT("00000"&amp;1649,5))</f>
        <v/>
      </c>
      <c r="L1654">
        <f>IF($K1654="","",COUNTIFS(LdgSellerA,$F1654,LdgKeyA,"&lt;"&amp;$K1654)+COUNTIFS(LdgSellerB,$F1654,LdgKeyB,"&lt;"&amp;$K1654)+1)</f>
        <v/>
      </c>
      <c r="M1654">
        <f>IF($L1654="","",$F1654&amp;"|"&amp;RIGHT("000000"&amp;$L1654,6))</f>
        <v/>
      </c>
      <c r="N1654">
        <f>IF($F1654="","",IF(Sync!$AF1654="","0000",IF(AND(ISNUMBER(Sync!$AF1654),Sync!$AF1654&gt;=0,Sync!$AF1654&lt;1),RIGHT("00"&amp;HOUR(Sync!$AF1654),2)&amp;RIGHT("00"&amp;MINUTE(Sync!$AF1654),2),IFERROR(RIGHT("00"&amp;VALUE(LEFT(Sync!$AF1654,FIND(":",Sync!$AF1654)-1)),2)&amp;RIGHT("00"&amp;VALUE(MID(Sync!$AF1654,FIND(":",Sync!$AF1654)+1,2)),2),"0000"))))</f>
        <v/>
      </c>
    </row>
    <row r="1655">
      <c r="A1655">
        <f>IF(OR(Calc!$E1659="",Calc!$E1659="نامعتبر",Calc!$G1659=""),"",Calc!$G1659)</f>
        <v/>
      </c>
      <c r="B1655">
        <f>IF($A1655="","",LEFT(Calc!$E1659,4)&amp;MID(Calc!$E1659,6,2)&amp;RIGHT(Calc!$E1659,2)&amp;Calc!$Q1659&amp;"|"&amp;"1"&amp;RIGHT("00000"&amp;1650,5))</f>
        <v/>
      </c>
      <c r="C1655">
        <f>IF($B1655="","",COUNTIFS(LdgSellerA,$A1655,LdgKeyA,"&lt;"&amp;$B1655)+COUNTIFS(LdgSellerB,$A1655,LdgKeyB,"&lt;"&amp;$B1655)+1)</f>
        <v/>
      </c>
      <c r="D1655">
        <f>IF($C1655="","",$A1655&amp;"|"&amp;RIGHT("000000"&amp;$C1655,6))</f>
        <v/>
      </c>
      <c r="F1655">
        <f>IF(Sync!$AH1655="","",IF(LEFT(UPPER(TRIM(Sync!$AH1655)),2)="SL",UPPER(TRIM(Sync!$AH1655)),""))</f>
        <v/>
      </c>
      <c r="G1655">
        <f>IF($F1655="","",IF(Sync!$AE1655="","",IF(ISNUMBER(Sync!$AE1655),IF(AND(Sync!$AE1655&gt;=10000101,Sync!$AE1655&lt;=99991231),INT(Sync!$AE1655/10000),""),IFERROR(VALUE(TRIM(LEFT(Sync!$AE1655,FIND("/",Sync!$AE1655)-1))),""))))</f>
        <v/>
      </c>
      <c r="H1655">
        <f>IF(OR($F1655="",$G1655=""),"",IF(ISNUMBER(Sync!$AE1655),INT(MOD(Sync!$AE1655,10000)/100),IFERROR(VALUE(TRIM(LEFT(MID(Sync!$AE1655,FIND("/",Sync!$AE1655)+1,20),FIND("/",MID(Sync!$AE1655,FIND("/",Sync!$AE1655)+1,20))-1))),"")))</f>
        <v/>
      </c>
      <c r="I1655">
        <f>IF(OR($F1655="",$G1655=""),"",IF(ISNUMBER(Sync!$AE1655),MOD(Sync!$AE1655,100),IFERROR(VALUE(TRIM(MID(MID(Sync!$AE1655,FIND("/",Sync!$AE1655)+1,20),FIND("/",MID(Sync!$AE1655,FIND("/",Sync!$AE1655)+1,20))+1,20))),"")))</f>
        <v/>
      </c>
      <c r="J1655">
        <f>IF($F1655="","",IF(OR($G1655="",$H1655="",$I1655="",$G1655&lt;1300,$G1655&gt;1500,$H1655&lt;1,$H1655&gt;12,$I1655&lt;1,$I1655&gt;31),"نامعتبر",RIGHT("0000"&amp;$G1655,4)&amp;"/"&amp;RIGHT("00"&amp;$H1655,2)&amp;"/"&amp;RIGHT("00"&amp;$I1655,2)))</f>
        <v/>
      </c>
      <c r="K1655">
        <f>IF(OR($F1655="",$J1655="",$J1655="نامعتبر"),"",LEFT($J1655,4)&amp;MID($J1655,6,2)&amp;RIGHT($J1655,2)&amp;$N1655&amp;"|"&amp;"2"&amp;RIGHT("00000"&amp;1650,5))</f>
        <v/>
      </c>
      <c r="L1655">
        <f>IF($K1655="","",COUNTIFS(LdgSellerA,$F1655,LdgKeyA,"&lt;"&amp;$K1655)+COUNTIFS(LdgSellerB,$F1655,LdgKeyB,"&lt;"&amp;$K1655)+1)</f>
        <v/>
      </c>
      <c r="M1655">
        <f>IF($L1655="","",$F1655&amp;"|"&amp;RIGHT("000000"&amp;$L1655,6))</f>
        <v/>
      </c>
      <c r="N1655">
        <f>IF($F1655="","",IF(Sync!$AF1655="","0000",IF(AND(ISNUMBER(Sync!$AF1655),Sync!$AF1655&gt;=0,Sync!$AF1655&lt;1),RIGHT("00"&amp;HOUR(Sync!$AF1655),2)&amp;RIGHT("00"&amp;MINUTE(Sync!$AF1655),2),IFERROR(RIGHT("00"&amp;VALUE(LEFT(Sync!$AF1655,FIND(":",Sync!$AF1655)-1)),2)&amp;RIGHT("00"&amp;VALUE(MID(Sync!$AF1655,FIND(":",Sync!$AF1655)+1,2)),2),"0000"))))</f>
        <v/>
      </c>
    </row>
    <row r="1656">
      <c r="A1656">
        <f>IF(OR(Calc!$E1660="",Calc!$E1660="نامعتبر",Calc!$G1660=""),"",Calc!$G1660)</f>
        <v/>
      </c>
      <c r="B1656">
        <f>IF($A1656="","",LEFT(Calc!$E1660,4)&amp;MID(Calc!$E1660,6,2)&amp;RIGHT(Calc!$E1660,2)&amp;Calc!$Q1660&amp;"|"&amp;"1"&amp;RIGHT("00000"&amp;1651,5))</f>
        <v/>
      </c>
      <c r="C1656">
        <f>IF($B1656="","",COUNTIFS(LdgSellerA,$A1656,LdgKeyA,"&lt;"&amp;$B1656)+COUNTIFS(LdgSellerB,$A1656,LdgKeyB,"&lt;"&amp;$B1656)+1)</f>
        <v/>
      </c>
      <c r="D1656">
        <f>IF($C1656="","",$A1656&amp;"|"&amp;RIGHT("000000"&amp;$C1656,6))</f>
        <v/>
      </c>
      <c r="F1656">
        <f>IF(Sync!$AH1656="","",IF(LEFT(UPPER(TRIM(Sync!$AH1656)),2)="SL",UPPER(TRIM(Sync!$AH1656)),""))</f>
        <v/>
      </c>
      <c r="G1656">
        <f>IF($F1656="","",IF(Sync!$AE1656="","",IF(ISNUMBER(Sync!$AE1656),IF(AND(Sync!$AE1656&gt;=10000101,Sync!$AE1656&lt;=99991231),INT(Sync!$AE1656/10000),""),IFERROR(VALUE(TRIM(LEFT(Sync!$AE1656,FIND("/",Sync!$AE1656)-1))),""))))</f>
        <v/>
      </c>
      <c r="H1656">
        <f>IF(OR($F1656="",$G1656=""),"",IF(ISNUMBER(Sync!$AE1656),INT(MOD(Sync!$AE1656,10000)/100),IFERROR(VALUE(TRIM(LEFT(MID(Sync!$AE1656,FIND("/",Sync!$AE1656)+1,20),FIND("/",MID(Sync!$AE1656,FIND("/",Sync!$AE1656)+1,20))-1))),"")))</f>
        <v/>
      </c>
      <c r="I1656">
        <f>IF(OR($F1656="",$G1656=""),"",IF(ISNUMBER(Sync!$AE1656),MOD(Sync!$AE1656,100),IFERROR(VALUE(TRIM(MID(MID(Sync!$AE1656,FIND("/",Sync!$AE1656)+1,20),FIND("/",MID(Sync!$AE1656,FIND("/",Sync!$AE1656)+1,20))+1,20))),"")))</f>
        <v/>
      </c>
      <c r="J1656">
        <f>IF($F1656="","",IF(OR($G1656="",$H1656="",$I1656="",$G1656&lt;1300,$G1656&gt;1500,$H1656&lt;1,$H1656&gt;12,$I1656&lt;1,$I1656&gt;31),"نامعتبر",RIGHT("0000"&amp;$G1656,4)&amp;"/"&amp;RIGHT("00"&amp;$H1656,2)&amp;"/"&amp;RIGHT("00"&amp;$I1656,2)))</f>
        <v/>
      </c>
      <c r="K1656">
        <f>IF(OR($F1656="",$J1656="",$J1656="نامعتبر"),"",LEFT($J1656,4)&amp;MID($J1656,6,2)&amp;RIGHT($J1656,2)&amp;$N1656&amp;"|"&amp;"2"&amp;RIGHT("00000"&amp;1651,5))</f>
        <v/>
      </c>
      <c r="L1656">
        <f>IF($K1656="","",COUNTIFS(LdgSellerA,$F1656,LdgKeyA,"&lt;"&amp;$K1656)+COUNTIFS(LdgSellerB,$F1656,LdgKeyB,"&lt;"&amp;$K1656)+1)</f>
        <v/>
      </c>
      <c r="M1656">
        <f>IF($L1656="","",$F1656&amp;"|"&amp;RIGHT("000000"&amp;$L1656,6))</f>
        <v/>
      </c>
      <c r="N1656">
        <f>IF($F1656="","",IF(Sync!$AF1656="","0000",IF(AND(ISNUMBER(Sync!$AF1656),Sync!$AF1656&gt;=0,Sync!$AF1656&lt;1),RIGHT("00"&amp;HOUR(Sync!$AF1656),2)&amp;RIGHT("00"&amp;MINUTE(Sync!$AF1656),2),IFERROR(RIGHT("00"&amp;VALUE(LEFT(Sync!$AF1656,FIND(":",Sync!$AF1656)-1)),2)&amp;RIGHT("00"&amp;VALUE(MID(Sync!$AF1656,FIND(":",Sync!$AF1656)+1,2)),2),"0000"))))</f>
        <v/>
      </c>
    </row>
    <row r="1657">
      <c r="A1657">
        <f>IF(OR(Calc!$E1661="",Calc!$E1661="نامعتبر",Calc!$G1661=""),"",Calc!$G1661)</f>
        <v/>
      </c>
      <c r="B1657">
        <f>IF($A1657="","",LEFT(Calc!$E1661,4)&amp;MID(Calc!$E1661,6,2)&amp;RIGHT(Calc!$E1661,2)&amp;Calc!$Q1661&amp;"|"&amp;"1"&amp;RIGHT("00000"&amp;1652,5))</f>
        <v/>
      </c>
      <c r="C1657">
        <f>IF($B1657="","",COUNTIFS(LdgSellerA,$A1657,LdgKeyA,"&lt;"&amp;$B1657)+COUNTIFS(LdgSellerB,$A1657,LdgKeyB,"&lt;"&amp;$B1657)+1)</f>
        <v/>
      </c>
      <c r="D1657">
        <f>IF($C1657="","",$A1657&amp;"|"&amp;RIGHT("000000"&amp;$C1657,6))</f>
        <v/>
      </c>
      <c r="F1657">
        <f>IF(Sync!$AH1657="","",IF(LEFT(UPPER(TRIM(Sync!$AH1657)),2)="SL",UPPER(TRIM(Sync!$AH1657)),""))</f>
        <v/>
      </c>
      <c r="G1657">
        <f>IF($F1657="","",IF(Sync!$AE1657="","",IF(ISNUMBER(Sync!$AE1657),IF(AND(Sync!$AE1657&gt;=10000101,Sync!$AE1657&lt;=99991231),INT(Sync!$AE1657/10000),""),IFERROR(VALUE(TRIM(LEFT(Sync!$AE1657,FIND("/",Sync!$AE1657)-1))),""))))</f>
        <v/>
      </c>
      <c r="H1657">
        <f>IF(OR($F1657="",$G1657=""),"",IF(ISNUMBER(Sync!$AE1657),INT(MOD(Sync!$AE1657,10000)/100),IFERROR(VALUE(TRIM(LEFT(MID(Sync!$AE1657,FIND("/",Sync!$AE1657)+1,20),FIND("/",MID(Sync!$AE1657,FIND("/",Sync!$AE1657)+1,20))-1))),"")))</f>
        <v/>
      </c>
      <c r="I1657">
        <f>IF(OR($F1657="",$G1657=""),"",IF(ISNUMBER(Sync!$AE1657),MOD(Sync!$AE1657,100),IFERROR(VALUE(TRIM(MID(MID(Sync!$AE1657,FIND("/",Sync!$AE1657)+1,20),FIND("/",MID(Sync!$AE1657,FIND("/",Sync!$AE1657)+1,20))+1,20))),"")))</f>
        <v/>
      </c>
      <c r="J1657">
        <f>IF($F1657="","",IF(OR($G1657="",$H1657="",$I1657="",$G1657&lt;1300,$G1657&gt;1500,$H1657&lt;1,$H1657&gt;12,$I1657&lt;1,$I1657&gt;31),"نامعتبر",RIGHT("0000"&amp;$G1657,4)&amp;"/"&amp;RIGHT("00"&amp;$H1657,2)&amp;"/"&amp;RIGHT("00"&amp;$I1657,2)))</f>
        <v/>
      </c>
      <c r="K1657">
        <f>IF(OR($F1657="",$J1657="",$J1657="نامعتبر"),"",LEFT($J1657,4)&amp;MID($J1657,6,2)&amp;RIGHT($J1657,2)&amp;$N1657&amp;"|"&amp;"2"&amp;RIGHT("00000"&amp;1652,5))</f>
        <v/>
      </c>
      <c r="L1657">
        <f>IF($K1657="","",COUNTIFS(LdgSellerA,$F1657,LdgKeyA,"&lt;"&amp;$K1657)+COUNTIFS(LdgSellerB,$F1657,LdgKeyB,"&lt;"&amp;$K1657)+1)</f>
        <v/>
      </c>
      <c r="M1657">
        <f>IF($L1657="","",$F1657&amp;"|"&amp;RIGHT("000000"&amp;$L1657,6))</f>
        <v/>
      </c>
      <c r="N1657">
        <f>IF($F1657="","",IF(Sync!$AF1657="","0000",IF(AND(ISNUMBER(Sync!$AF1657),Sync!$AF1657&gt;=0,Sync!$AF1657&lt;1),RIGHT("00"&amp;HOUR(Sync!$AF1657),2)&amp;RIGHT("00"&amp;MINUTE(Sync!$AF1657),2),IFERROR(RIGHT("00"&amp;VALUE(LEFT(Sync!$AF1657,FIND(":",Sync!$AF1657)-1)),2)&amp;RIGHT("00"&amp;VALUE(MID(Sync!$AF1657,FIND(":",Sync!$AF1657)+1,2)),2),"0000"))))</f>
        <v/>
      </c>
    </row>
    <row r="1658">
      <c r="A1658">
        <f>IF(OR(Calc!$E1662="",Calc!$E1662="نامعتبر",Calc!$G1662=""),"",Calc!$G1662)</f>
        <v/>
      </c>
      <c r="B1658">
        <f>IF($A1658="","",LEFT(Calc!$E1662,4)&amp;MID(Calc!$E1662,6,2)&amp;RIGHT(Calc!$E1662,2)&amp;Calc!$Q1662&amp;"|"&amp;"1"&amp;RIGHT("00000"&amp;1653,5))</f>
        <v/>
      </c>
      <c r="C1658">
        <f>IF($B1658="","",COUNTIFS(LdgSellerA,$A1658,LdgKeyA,"&lt;"&amp;$B1658)+COUNTIFS(LdgSellerB,$A1658,LdgKeyB,"&lt;"&amp;$B1658)+1)</f>
        <v/>
      </c>
      <c r="D1658">
        <f>IF($C1658="","",$A1658&amp;"|"&amp;RIGHT("000000"&amp;$C1658,6))</f>
        <v/>
      </c>
      <c r="F1658">
        <f>IF(Sync!$AH1658="","",IF(LEFT(UPPER(TRIM(Sync!$AH1658)),2)="SL",UPPER(TRIM(Sync!$AH1658)),""))</f>
        <v/>
      </c>
      <c r="G1658">
        <f>IF($F1658="","",IF(Sync!$AE1658="","",IF(ISNUMBER(Sync!$AE1658),IF(AND(Sync!$AE1658&gt;=10000101,Sync!$AE1658&lt;=99991231),INT(Sync!$AE1658/10000),""),IFERROR(VALUE(TRIM(LEFT(Sync!$AE1658,FIND("/",Sync!$AE1658)-1))),""))))</f>
        <v/>
      </c>
      <c r="H1658">
        <f>IF(OR($F1658="",$G1658=""),"",IF(ISNUMBER(Sync!$AE1658),INT(MOD(Sync!$AE1658,10000)/100),IFERROR(VALUE(TRIM(LEFT(MID(Sync!$AE1658,FIND("/",Sync!$AE1658)+1,20),FIND("/",MID(Sync!$AE1658,FIND("/",Sync!$AE1658)+1,20))-1))),"")))</f>
        <v/>
      </c>
      <c r="I1658">
        <f>IF(OR($F1658="",$G1658=""),"",IF(ISNUMBER(Sync!$AE1658),MOD(Sync!$AE1658,100),IFERROR(VALUE(TRIM(MID(MID(Sync!$AE1658,FIND("/",Sync!$AE1658)+1,20),FIND("/",MID(Sync!$AE1658,FIND("/",Sync!$AE1658)+1,20))+1,20))),"")))</f>
        <v/>
      </c>
      <c r="J1658">
        <f>IF($F1658="","",IF(OR($G1658="",$H1658="",$I1658="",$G1658&lt;1300,$G1658&gt;1500,$H1658&lt;1,$H1658&gt;12,$I1658&lt;1,$I1658&gt;31),"نامعتبر",RIGHT("0000"&amp;$G1658,4)&amp;"/"&amp;RIGHT("00"&amp;$H1658,2)&amp;"/"&amp;RIGHT("00"&amp;$I1658,2)))</f>
        <v/>
      </c>
      <c r="K1658">
        <f>IF(OR($F1658="",$J1658="",$J1658="نامعتبر"),"",LEFT($J1658,4)&amp;MID($J1658,6,2)&amp;RIGHT($J1658,2)&amp;$N1658&amp;"|"&amp;"2"&amp;RIGHT("00000"&amp;1653,5))</f>
        <v/>
      </c>
      <c r="L1658">
        <f>IF($K1658="","",COUNTIFS(LdgSellerA,$F1658,LdgKeyA,"&lt;"&amp;$K1658)+COUNTIFS(LdgSellerB,$F1658,LdgKeyB,"&lt;"&amp;$K1658)+1)</f>
        <v/>
      </c>
      <c r="M1658">
        <f>IF($L1658="","",$F1658&amp;"|"&amp;RIGHT("000000"&amp;$L1658,6))</f>
        <v/>
      </c>
      <c r="N1658">
        <f>IF($F1658="","",IF(Sync!$AF1658="","0000",IF(AND(ISNUMBER(Sync!$AF1658),Sync!$AF1658&gt;=0,Sync!$AF1658&lt;1),RIGHT("00"&amp;HOUR(Sync!$AF1658),2)&amp;RIGHT("00"&amp;MINUTE(Sync!$AF1658),2),IFERROR(RIGHT("00"&amp;VALUE(LEFT(Sync!$AF1658,FIND(":",Sync!$AF1658)-1)),2)&amp;RIGHT("00"&amp;VALUE(MID(Sync!$AF1658,FIND(":",Sync!$AF1658)+1,2)),2),"0000"))))</f>
        <v/>
      </c>
    </row>
    <row r="1659">
      <c r="A1659">
        <f>IF(OR(Calc!$E1663="",Calc!$E1663="نامعتبر",Calc!$G1663=""),"",Calc!$G1663)</f>
        <v/>
      </c>
      <c r="B1659">
        <f>IF($A1659="","",LEFT(Calc!$E1663,4)&amp;MID(Calc!$E1663,6,2)&amp;RIGHT(Calc!$E1663,2)&amp;Calc!$Q1663&amp;"|"&amp;"1"&amp;RIGHT("00000"&amp;1654,5))</f>
        <v/>
      </c>
      <c r="C1659">
        <f>IF($B1659="","",COUNTIFS(LdgSellerA,$A1659,LdgKeyA,"&lt;"&amp;$B1659)+COUNTIFS(LdgSellerB,$A1659,LdgKeyB,"&lt;"&amp;$B1659)+1)</f>
        <v/>
      </c>
      <c r="D1659">
        <f>IF($C1659="","",$A1659&amp;"|"&amp;RIGHT("000000"&amp;$C1659,6))</f>
        <v/>
      </c>
      <c r="F1659">
        <f>IF(Sync!$AH1659="","",IF(LEFT(UPPER(TRIM(Sync!$AH1659)),2)="SL",UPPER(TRIM(Sync!$AH1659)),""))</f>
        <v/>
      </c>
      <c r="G1659">
        <f>IF($F1659="","",IF(Sync!$AE1659="","",IF(ISNUMBER(Sync!$AE1659),IF(AND(Sync!$AE1659&gt;=10000101,Sync!$AE1659&lt;=99991231),INT(Sync!$AE1659/10000),""),IFERROR(VALUE(TRIM(LEFT(Sync!$AE1659,FIND("/",Sync!$AE1659)-1))),""))))</f>
        <v/>
      </c>
      <c r="H1659">
        <f>IF(OR($F1659="",$G1659=""),"",IF(ISNUMBER(Sync!$AE1659),INT(MOD(Sync!$AE1659,10000)/100),IFERROR(VALUE(TRIM(LEFT(MID(Sync!$AE1659,FIND("/",Sync!$AE1659)+1,20),FIND("/",MID(Sync!$AE1659,FIND("/",Sync!$AE1659)+1,20))-1))),"")))</f>
        <v/>
      </c>
      <c r="I1659">
        <f>IF(OR($F1659="",$G1659=""),"",IF(ISNUMBER(Sync!$AE1659),MOD(Sync!$AE1659,100),IFERROR(VALUE(TRIM(MID(MID(Sync!$AE1659,FIND("/",Sync!$AE1659)+1,20),FIND("/",MID(Sync!$AE1659,FIND("/",Sync!$AE1659)+1,20))+1,20))),"")))</f>
        <v/>
      </c>
      <c r="J1659">
        <f>IF($F1659="","",IF(OR($G1659="",$H1659="",$I1659="",$G1659&lt;1300,$G1659&gt;1500,$H1659&lt;1,$H1659&gt;12,$I1659&lt;1,$I1659&gt;31),"نامعتبر",RIGHT("0000"&amp;$G1659,4)&amp;"/"&amp;RIGHT("00"&amp;$H1659,2)&amp;"/"&amp;RIGHT("00"&amp;$I1659,2)))</f>
        <v/>
      </c>
      <c r="K1659">
        <f>IF(OR($F1659="",$J1659="",$J1659="نامعتبر"),"",LEFT($J1659,4)&amp;MID($J1659,6,2)&amp;RIGHT($J1659,2)&amp;$N1659&amp;"|"&amp;"2"&amp;RIGHT("00000"&amp;1654,5))</f>
        <v/>
      </c>
      <c r="L1659">
        <f>IF($K1659="","",COUNTIFS(LdgSellerA,$F1659,LdgKeyA,"&lt;"&amp;$K1659)+COUNTIFS(LdgSellerB,$F1659,LdgKeyB,"&lt;"&amp;$K1659)+1)</f>
        <v/>
      </c>
      <c r="M1659">
        <f>IF($L1659="","",$F1659&amp;"|"&amp;RIGHT("000000"&amp;$L1659,6))</f>
        <v/>
      </c>
      <c r="N1659">
        <f>IF($F1659="","",IF(Sync!$AF1659="","0000",IF(AND(ISNUMBER(Sync!$AF1659),Sync!$AF1659&gt;=0,Sync!$AF1659&lt;1),RIGHT("00"&amp;HOUR(Sync!$AF1659),2)&amp;RIGHT("00"&amp;MINUTE(Sync!$AF1659),2),IFERROR(RIGHT("00"&amp;VALUE(LEFT(Sync!$AF1659,FIND(":",Sync!$AF1659)-1)),2)&amp;RIGHT("00"&amp;VALUE(MID(Sync!$AF1659,FIND(":",Sync!$AF1659)+1,2)),2),"0000"))))</f>
        <v/>
      </c>
    </row>
    <row r="1660">
      <c r="A1660">
        <f>IF(OR(Calc!$E1664="",Calc!$E1664="نامعتبر",Calc!$G1664=""),"",Calc!$G1664)</f>
        <v/>
      </c>
      <c r="B1660">
        <f>IF($A1660="","",LEFT(Calc!$E1664,4)&amp;MID(Calc!$E1664,6,2)&amp;RIGHT(Calc!$E1664,2)&amp;Calc!$Q1664&amp;"|"&amp;"1"&amp;RIGHT("00000"&amp;1655,5))</f>
        <v/>
      </c>
      <c r="C1660">
        <f>IF($B1660="","",COUNTIFS(LdgSellerA,$A1660,LdgKeyA,"&lt;"&amp;$B1660)+COUNTIFS(LdgSellerB,$A1660,LdgKeyB,"&lt;"&amp;$B1660)+1)</f>
        <v/>
      </c>
      <c r="D1660">
        <f>IF($C1660="","",$A1660&amp;"|"&amp;RIGHT("000000"&amp;$C1660,6))</f>
        <v/>
      </c>
      <c r="F1660">
        <f>IF(Sync!$AH1660="","",IF(LEFT(UPPER(TRIM(Sync!$AH1660)),2)="SL",UPPER(TRIM(Sync!$AH1660)),""))</f>
        <v/>
      </c>
      <c r="G1660">
        <f>IF($F1660="","",IF(Sync!$AE1660="","",IF(ISNUMBER(Sync!$AE1660),IF(AND(Sync!$AE1660&gt;=10000101,Sync!$AE1660&lt;=99991231),INT(Sync!$AE1660/10000),""),IFERROR(VALUE(TRIM(LEFT(Sync!$AE1660,FIND("/",Sync!$AE1660)-1))),""))))</f>
        <v/>
      </c>
      <c r="H1660">
        <f>IF(OR($F1660="",$G1660=""),"",IF(ISNUMBER(Sync!$AE1660),INT(MOD(Sync!$AE1660,10000)/100),IFERROR(VALUE(TRIM(LEFT(MID(Sync!$AE1660,FIND("/",Sync!$AE1660)+1,20),FIND("/",MID(Sync!$AE1660,FIND("/",Sync!$AE1660)+1,20))-1))),"")))</f>
        <v/>
      </c>
      <c r="I1660">
        <f>IF(OR($F1660="",$G1660=""),"",IF(ISNUMBER(Sync!$AE1660),MOD(Sync!$AE1660,100),IFERROR(VALUE(TRIM(MID(MID(Sync!$AE1660,FIND("/",Sync!$AE1660)+1,20),FIND("/",MID(Sync!$AE1660,FIND("/",Sync!$AE1660)+1,20))+1,20))),"")))</f>
        <v/>
      </c>
      <c r="J1660">
        <f>IF($F1660="","",IF(OR($G1660="",$H1660="",$I1660="",$G1660&lt;1300,$G1660&gt;1500,$H1660&lt;1,$H1660&gt;12,$I1660&lt;1,$I1660&gt;31),"نامعتبر",RIGHT("0000"&amp;$G1660,4)&amp;"/"&amp;RIGHT("00"&amp;$H1660,2)&amp;"/"&amp;RIGHT("00"&amp;$I1660,2)))</f>
        <v/>
      </c>
      <c r="K1660">
        <f>IF(OR($F1660="",$J1660="",$J1660="نامعتبر"),"",LEFT($J1660,4)&amp;MID($J1660,6,2)&amp;RIGHT($J1660,2)&amp;$N1660&amp;"|"&amp;"2"&amp;RIGHT("00000"&amp;1655,5))</f>
        <v/>
      </c>
      <c r="L1660">
        <f>IF($K1660="","",COUNTIFS(LdgSellerA,$F1660,LdgKeyA,"&lt;"&amp;$K1660)+COUNTIFS(LdgSellerB,$F1660,LdgKeyB,"&lt;"&amp;$K1660)+1)</f>
        <v/>
      </c>
      <c r="M1660">
        <f>IF($L1660="","",$F1660&amp;"|"&amp;RIGHT("000000"&amp;$L1660,6))</f>
        <v/>
      </c>
      <c r="N1660">
        <f>IF($F1660="","",IF(Sync!$AF1660="","0000",IF(AND(ISNUMBER(Sync!$AF1660),Sync!$AF1660&gt;=0,Sync!$AF1660&lt;1),RIGHT("00"&amp;HOUR(Sync!$AF1660),2)&amp;RIGHT("00"&amp;MINUTE(Sync!$AF1660),2),IFERROR(RIGHT("00"&amp;VALUE(LEFT(Sync!$AF1660,FIND(":",Sync!$AF1660)-1)),2)&amp;RIGHT("00"&amp;VALUE(MID(Sync!$AF1660,FIND(":",Sync!$AF1660)+1,2)),2),"0000"))))</f>
        <v/>
      </c>
    </row>
    <row r="1661">
      <c r="A1661">
        <f>IF(OR(Calc!$E1665="",Calc!$E1665="نامعتبر",Calc!$G1665=""),"",Calc!$G1665)</f>
        <v/>
      </c>
      <c r="B1661">
        <f>IF($A1661="","",LEFT(Calc!$E1665,4)&amp;MID(Calc!$E1665,6,2)&amp;RIGHT(Calc!$E1665,2)&amp;Calc!$Q1665&amp;"|"&amp;"1"&amp;RIGHT("00000"&amp;1656,5))</f>
        <v/>
      </c>
      <c r="C1661">
        <f>IF($B1661="","",COUNTIFS(LdgSellerA,$A1661,LdgKeyA,"&lt;"&amp;$B1661)+COUNTIFS(LdgSellerB,$A1661,LdgKeyB,"&lt;"&amp;$B1661)+1)</f>
        <v/>
      </c>
      <c r="D1661">
        <f>IF($C1661="","",$A1661&amp;"|"&amp;RIGHT("000000"&amp;$C1661,6))</f>
        <v/>
      </c>
      <c r="F1661">
        <f>IF(Sync!$AH1661="","",IF(LEFT(UPPER(TRIM(Sync!$AH1661)),2)="SL",UPPER(TRIM(Sync!$AH1661)),""))</f>
        <v/>
      </c>
      <c r="G1661">
        <f>IF($F1661="","",IF(Sync!$AE1661="","",IF(ISNUMBER(Sync!$AE1661),IF(AND(Sync!$AE1661&gt;=10000101,Sync!$AE1661&lt;=99991231),INT(Sync!$AE1661/10000),""),IFERROR(VALUE(TRIM(LEFT(Sync!$AE1661,FIND("/",Sync!$AE1661)-1))),""))))</f>
        <v/>
      </c>
      <c r="H1661">
        <f>IF(OR($F1661="",$G1661=""),"",IF(ISNUMBER(Sync!$AE1661),INT(MOD(Sync!$AE1661,10000)/100),IFERROR(VALUE(TRIM(LEFT(MID(Sync!$AE1661,FIND("/",Sync!$AE1661)+1,20),FIND("/",MID(Sync!$AE1661,FIND("/",Sync!$AE1661)+1,20))-1))),"")))</f>
        <v/>
      </c>
      <c r="I1661">
        <f>IF(OR($F1661="",$G1661=""),"",IF(ISNUMBER(Sync!$AE1661),MOD(Sync!$AE1661,100),IFERROR(VALUE(TRIM(MID(MID(Sync!$AE1661,FIND("/",Sync!$AE1661)+1,20),FIND("/",MID(Sync!$AE1661,FIND("/",Sync!$AE1661)+1,20))+1,20))),"")))</f>
        <v/>
      </c>
      <c r="J1661">
        <f>IF($F1661="","",IF(OR($G1661="",$H1661="",$I1661="",$G1661&lt;1300,$G1661&gt;1500,$H1661&lt;1,$H1661&gt;12,$I1661&lt;1,$I1661&gt;31),"نامعتبر",RIGHT("0000"&amp;$G1661,4)&amp;"/"&amp;RIGHT("00"&amp;$H1661,2)&amp;"/"&amp;RIGHT("00"&amp;$I1661,2)))</f>
        <v/>
      </c>
      <c r="K1661">
        <f>IF(OR($F1661="",$J1661="",$J1661="نامعتبر"),"",LEFT($J1661,4)&amp;MID($J1661,6,2)&amp;RIGHT($J1661,2)&amp;$N1661&amp;"|"&amp;"2"&amp;RIGHT("00000"&amp;1656,5))</f>
        <v/>
      </c>
      <c r="L1661">
        <f>IF($K1661="","",COUNTIFS(LdgSellerA,$F1661,LdgKeyA,"&lt;"&amp;$K1661)+COUNTIFS(LdgSellerB,$F1661,LdgKeyB,"&lt;"&amp;$K1661)+1)</f>
        <v/>
      </c>
      <c r="M1661">
        <f>IF($L1661="","",$F1661&amp;"|"&amp;RIGHT("000000"&amp;$L1661,6))</f>
        <v/>
      </c>
      <c r="N1661">
        <f>IF($F1661="","",IF(Sync!$AF1661="","0000",IF(AND(ISNUMBER(Sync!$AF1661),Sync!$AF1661&gt;=0,Sync!$AF1661&lt;1),RIGHT("00"&amp;HOUR(Sync!$AF1661),2)&amp;RIGHT("00"&amp;MINUTE(Sync!$AF1661),2),IFERROR(RIGHT("00"&amp;VALUE(LEFT(Sync!$AF1661,FIND(":",Sync!$AF1661)-1)),2)&amp;RIGHT("00"&amp;VALUE(MID(Sync!$AF1661,FIND(":",Sync!$AF1661)+1,2)),2),"0000"))))</f>
        <v/>
      </c>
    </row>
    <row r="1662">
      <c r="A1662">
        <f>IF(OR(Calc!$E1666="",Calc!$E1666="نامعتبر",Calc!$G1666=""),"",Calc!$G1666)</f>
        <v/>
      </c>
      <c r="B1662">
        <f>IF($A1662="","",LEFT(Calc!$E1666,4)&amp;MID(Calc!$E1666,6,2)&amp;RIGHT(Calc!$E1666,2)&amp;Calc!$Q1666&amp;"|"&amp;"1"&amp;RIGHT("00000"&amp;1657,5))</f>
        <v/>
      </c>
      <c r="C1662">
        <f>IF($B1662="","",COUNTIFS(LdgSellerA,$A1662,LdgKeyA,"&lt;"&amp;$B1662)+COUNTIFS(LdgSellerB,$A1662,LdgKeyB,"&lt;"&amp;$B1662)+1)</f>
        <v/>
      </c>
      <c r="D1662">
        <f>IF($C1662="","",$A1662&amp;"|"&amp;RIGHT("000000"&amp;$C1662,6))</f>
        <v/>
      </c>
      <c r="F1662">
        <f>IF(Sync!$AH1662="","",IF(LEFT(UPPER(TRIM(Sync!$AH1662)),2)="SL",UPPER(TRIM(Sync!$AH1662)),""))</f>
        <v/>
      </c>
      <c r="G1662">
        <f>IF($F1662="","",IF(Sync!$AE1662="","",IF(ISNUMBER(Sync!$AE1662),IF(AND(Sync!$AE1662&gt;=10000101,Sync!$AE1662&lt;=99991231),INT(Sync!$AE1662/10000),""),IFERROR(VALUE(TRIM(LEFT(Sync!$AE1662,FIND("/",Sync!$AE1662)-1))),""))))</f>
        <v/>
      </c>
      <c r="H1662">
        <f>IF(OR($F1662="",$G1662=""),"",IF(ISNUMBER(Sync!$AE1662),INT(MOD(Sync!$AE1662,10000)/100),IFERROR(VALUE(TRIM(LEFT(MID(Sync!$AE1662,FIND("/",Sync!$AE1662)+1,20),FIND("/",MID(Sync!$AE1662,FIND("/",Sync!$AE1662)+1,20))-1))),"")))</f>
        <v/>
      </c>
      <c r="I1662">
        <f>IF(OR($F1662="",$G1662=""),"",IF(ISNUMBER(Sync!$AE1662),MOD(Sync!$AE1662,100),IFERROR(VALUE(TRIM(MID(MID(Sync!$AE1662,FIND("/",Sync!$AE1662)+1,20),FIND("/",MID(Sync!$AE1662,FIND("/",Sync!$AE1662)+1,20))+1,20))),"")))</f>
        <v/>
      </c>
      <c r="J1662">
        <f>IF($F1662="","",IF(OR($G1662="",$H1662="",$I1662="",$G1662&lt;1300,$G1662&gt;1500,$H1662&lt;1,$H1662&gt;12,$I1662&lt;1,$I1662&gt;31),"نامعتبر",RIGHT("0000"&amp;$G1662,4)&amp;"/"&amp;RIGHT("00"&amp;$H1662,2)&amp;"/"&amp;RIGHT("00"&amp;$I1662,2)))</f>
        <v/>
      </c>
      <c r="K1662">
        <f>IF(OR($F1662="",$J1662="",$J1662="نامعتبر"),"",LEFT($J1662,4)&amp;MID($J1662,6,2)&amp;RIGHT($J1662,2)&amp;$N1662&amp;"|"&amp;"2"&amp;RIGHT("00000"&amp;1657,5))</f>
        <v/>
      </c>
      <c r="L1662">
        <f>IF($K1662="","",COUNTIFS(LdgSellerA,$F1662,LdgKeyA,"&lt;"&amp;$K1662)+COUNTIFS(LdgSellerB,$F1662,LdgKeyB,"&lt;"&amp;$K1662)+1)</f>
        <v/>
      </c>
      <c r="M1662">
        <f>IF($L1662="","",$F1662&amp;"|"&amp;RIGHT("000000"&amp;$L1662,6))</f>
        <v/>
      </c>
      <c r="N1662">
        <f>IF($F1662="","",IF(Sync!$AF1662="","0000",IF(AND(ISNUMBER(Sync!$AF1662),Sync!$AF1662&gt;=0,Sync!$AF1662&lt;1),RIGHT("00"&amp;HOUR(Sync!$AF1662),2)&amp;RIGHT("00"&amp;MINUTE(Sync!$AF1662),2),IFERROR(RIGHT("00"&amp;VALUE(LEFT(Sync!$AF1662,FIND(":",Sync!$AF1662)-1)),2)&amp;RIGHT("00"&amp;VALUE(MID(Sync!$AF1662,FIND(":",Sync!$AF1662)+1,2)),2),"0000"))))</f>
        <v/>
      </c>
    </row>
    <row r="1663">
      <c r="A1663">
        <f>IF(OR(Calc!$E1667="",Calc!$E1667="نامعتبر",Calc!$G1667=""),"",Calc!$G1667)</f>
        <v/>
      </c>
      <c r="B1663">
        <f>IF($A1663="","",LEFT(Calc!$E1667,4)&amp;MID(Calc!$E1667,6,2)&amp;RIGHT(Calc!$E1667,2)&amp;Calc!$Q1667&amp;"|"&amp;"1"&amp;RIGHT("00000"&amp;1658,5))</f>
        <v/>
      </c>
      <c r="C1663">
        <f>IF($B1663="","",COUNTIFS(LdgSellerA,$A1663,LdgKeyA,"&lt;"&amp;$B1663)+COUNTIFS(LdgSellerB,$A1663,LdgKeyB,"&lt;"&amp;$B1663)+1)</f>
        <v/>
      </c>
      <c r="D1663">
        <f>IF($C1663="","",$A1663&amp;"|"&amp;RIGHT("000000"&amp;$C1663,6))</f>
        <v/>
      </c>
      <c r="F1663">
        <f>IF(Sync!$AH1663="","",IF(LEFT(UPPER(TRIM(Sync!$AH1663)),2)="SL",UPPER(TRIM(Sync!$AH1663)),""))</f>
        <v/>
      </c>
      <c r="G1663">
        <f>IF($F1663="","",IF(Sync!$AE1663="","",IF(ISNUMBER(Sync!$AE1663),IF(AND(Sync!$AE1663&gt;=10000101,Sync!$AE1663&lt;=99991231),INT(Sync!$AE1663/10000),""),IFERROR(VALUE(TRIM(LEFT(Sync!$AE1663,FIND("/",Sync!$AE1663)-1))),""))))</f>
        <v/>
      </c>
      <c r="H1663">
        <f>IF(OR($F1663="",$G1663=""),"",IF(ISNUMBER(Sync!$AE1663),INT(MOD(Sync!$AE1663,10000)/100),IFERROR(VALUE(TRIM(LEFT(MID(Sync!$AE1663,FIND("/",Sync!$AE1663)+1,20),FIND("/",MID(Sync!$AE1663,FIND("/",Sync!$AE1663)+1,20))-1))),"")))</f>
        <v/>
      </c>
      <c r="I1663">
        <f>IF(OR($F1663="",$G1663=""),"",IF(ISNUMBER(Sync!$AE1663),MOD(Sync!$AE1663,100),IFERROR(VALUE(TRIM(MID(MID(Sync!$AE1663,FIND("/",Sync!$AE1663)+1,20),FIND("/",MID(Sync!$AE1663,FIND("/",Sync!$AE1663)+1,20))+1,20))),"")))</f>
        <v/>
      </c>
      <c r="J1663">
        <f>IF($F1663="","",IF(OR($G1663="",$H1663="",$I1663="",$G1663&lt;1300,$G1663&gt;1500,$H1663&lt;1,$H1663&gt;12,$I1663&lt;1,$I1663&gt;31),"نامعتبر",RIGHT("0000"&amp;$G1663,4)&amp;"/"&amp;RIGHT("00"&amp;$H1663,2)&amp;"/"&amp;RIGHT("00"&amp;$I1663,2)))</f>
        <v/>
      </c>
      <c r="K1663">
        <f>IF(OR($F1663="",$J1663="",$J1663="نامعتبر"),"",LEFT($J1663,4)&amp;MID($J1663,6,2)&amp;RIGHT($J1663,2)&amp;$N1663&amp;"|"&amp;"2"&amp;RIGHT("00000"&amp;1658,5))</f>
        <v/>
      </c>
      <c r="L1663">
        <f>IF($K1663="","",COUNTIFS(LdgSellerA,$F1663,LdgKeyA,"&lt;"&amp;$K1663)+COUNTIFS(LdgSellerB,$F1663,LdgKeyB,"&lt;"&amp;$K1663)+1)</f>
        <v/>
      </c>
      <c r="M1663">
        <f>IF($L1663="","",$F1663&amp;"|"&amp;RIGHT("000000"&amp;$L1663,6))</f>
        <v/>
      </c>
      <c r="N1663">
        <f>IF($F1663="","",IF(Sync!$AF1663="","0000",IF(AND(ISNUMBER(Sync!$AF1663),Sync!$AF1663&gt;=0,Sync!$AF1663&lt;1),RIGHT("00"&amp;HOUR(Sync!$AF1663),2)&amp;RIGHT("00"&amp;MINUTE(Sync!$AF1663),2),IFERROR(RIGHT("00"&amp;VALUE(LEFT(Sync!$AF1663,FIND(":",Sync!$AF1663)-1)),2)&amp;RIGHT("00"&amp;VALUE(MID(Sync!$AF1663,FIND(":",Sync!$AF1663)+1,2)),2),"0000"))))</f>
        <v/>
      </c>
    </row>
    <row r="1664">
      <c r="A1664">
        <f>IF(OR(Calc!$E1668="",Calc!$E1668="نامعتبر",Calc!$G1668=""),"",Calc!$G1668)</f>
        <v/>
      </c>
      <c r="B1664">
        <f>IF($A1664="","",LEFT(Calc!$E1668,4)&amp;MID(Calc!$E1668,6,2)&amp;RIGHT(Calc!$E1668,2)&amp;Calc!$Q1668&amp;"|"&amp;"1"&amp;RIGHT("00000"&amp;1659,5))</f>
        <v/>
      </c>
      <c r="C1664">
        <f>IF($B1664="","",COUNTIFS(LdgSellerA,$A1664,LdgKeyA,"&lt;"&amp;$B1664)+COUNTIFS(LdgSellerB,$A1664,LdgKeyB,"&lt;"&amp;$B1664)+1)</f>
        <v/>
      </c>
      <c r="D1664">
        <f>IF($C1664="","",$A1664&amp;"|"&amp;RIGHT("000000"&amp;$C1664,6))</f>
        <v/>
      </c>
      <c r="F1664">
        <f>IF(Sync!$AH1664="","",IF(LEFT(UPPER(TRIM(Sync!$AH1664)),2)="SL",UPPER(TRIM(Sync!$AH1664)),""))</f>
        <v/>
      </c>
      <c r="G1664">
        <f>IF($F1664="","",IF(Sync!$AE1664="","",IF(ISNUMBER(Sync!$AE1664),IF(AND(Sync!$AE1664&gt;=10000101,Sync!$AE1664&lt;=99991231),INT(Sync!$AE1664/10000),""),IFERROR(VALUE(TRIM(LEFT(Sync!$AE1664,FIND("/",Sync!$AE1664)-1))),""))))</f>
        <v/>
      </c>
      <c r="H1664">
        <f>IF(OR($F1664="",$G1664=""),"",IF(ISNUMBER(Sync!$AE1664),INT(MOD(Sync!$AE1664,10000)/100),IFERROR(VALUE(TRIM(LEFT(MID(Sync!$AE1664,FIND("/",Sync!$AE1664)+1,20),FIND("/",MID(Sync!$AE1664,FIND("/",Sync!$AE1664)+1,20))-1))),"")))</f>
        <v/>
      </c>
      <c r="I1664">
        <f>IF(OR($F1664="",$G1664=""),"",IF(ISNUMBER(Sync!$AE1664),MOD(Sync!$AE1664,100),IFERROR(VALUE(TRIM(MID(MID(Sync!$AE1664,FIND("/",Sync!$AE1664)+1,20),FIND("/",MID(Sync!$AE1664,FIND("/",Sync!$AE1664)+1,20))+1,20))),"")))</f>
        <v/>
      </c>
      <c r="J1664">
        <f>IF($F1664="","",IF(OR($G1664="",$H1664="",$I1664="",$G1664&lt;1300,$G1664&gt;1500,$H1664&lt;1,$H1664&gt;12,$I1664&lt;1,$I1664&gt;31),"نامعتبر",RIGHT("0000"&amp;$G1664,4)&amp;"/"&amp;RIGHT("00"&amp;$H1664,2)&amp;"/"&amp;RIGHT("00"&amp;$I1664,2)))</f>
        <v/>
      </c>
      <c r="K1664">
        <f>IF(OR($F1664="",$J1664="",$J1664="نامعتبر"),"",LEFT($J1664,4)&amp;MID($J1664,6,2)&amp;RIGHT($J1664,2)&amp;$N1664&amp;"|"&amp;"2"&amp;RIGHT("00000"&amp;1659,5))</f>
        <v/>
      </c>
      <c r="L1664">
        <f>IF($K1664="","",COUNTIFS(LdgSellerA,$F1664,LdgKeyA,"&lt;"&amp;$K1664)+COUNTIFS(LdgSellerB,$F1664,LdgKeyB,"&lt;"&amp;$K1664)+1)</f>
        <v/>
      </c>
      <c r="M1664">
        <f>IF($L1664="","",$F1664&amp;"|"&amp;RIGHT("000000"&amp;$L1664,6))</f>
        <v/>
      </c>
      <c r="N1664">
        <f>IF($F1664="","",IF(Sync!$AF1664="","0000",IF(AND(ISNUMBER(Sync!$AF1664),Sync!$AF1664&gt;=0,Sync!$AF1664&lt;1),RIGHT("00"&amp;HOUR(Sync!$AF1664),2)&amp;RIGHT("00"&amp;MINUTE(Sync!$AF1664),2),IFERROR(RIGHT("00"&amp;VALUE(LEFT(Sync!$AF1664,FIND(":",Sync!$AF1664)-1)),2)&amp;RIGHT("00"&amp;VALUE(MID(Sync!$AF1664,FIND(":",Sync!$AF1664)+1,2)),2),"0000"))))</f>
        <v/>
      </c>
    </row>
    <row r="1665">
      <c r="A1665">
        <f>IF(OR(Calc!$E1669="",Calc!$E1669="نامعتبر",Calc!$G1669=""),"",Calc!$G1669)</f>
        <v/>
      </c>
      <c r="B1665">
        <f>IF($A1665="","",LEFT(Calc!$E1669,4)&amp;MID(Calc!$E1669,6,2)&amp;RIGHT(Calc!$E1669,2)&amp;Calc!$Q1669&amp;"|"&amp;"1"&amp;RIGHT("00000"&amp;1660,5))</f>
        <v/>
      </c>
      <c r="C1665">
        <f>IF($B1665="","",COUNTIFS(LdgSellerA,$A1665,LdgKeyA,"&lt;"&amp;$B1665)+COUNTIFS(LdgSellerB,$A1665,LdgKeyB,"&lt;"&amp;$B1665)+1)</f>
        <v/>
      </c>
      <c r="D1665">
        <f>IF($C1665="","",$A1665&amp;"|"&amp;RIGHT("000000"&amp;$C1665,6))</f>
        <v/>
      </c>
      <c r="F1665">
        <f>IF(Sync!$AH1665="","",IF(LEFT(UPPER(TRIM(Sync!$AH1665)),2)="SL",UPPER(TRIM(Sync!$AH1665)),""))</f>
        <v/>
      </c>
      <c r="G1665">
        <f>IF($F1665="","",IF(Sync!$AE1665="","",IF(ISNUMBER(Sync!$AE1665),IF(AND(Sync!$AE1665&gt;=10000101,Sync!$AE1665&lt;=99991231),INT(Sync!$AE1665/10000),""),IFERROR(VALUE(TRIM(LEFT(Sync!$AE1665,FIND("/",Sync!$AE1665)-1))),""))))</f>
        <v/>
      </c>
      <c r="H1665">
        <f>IF(OR($F1665="",$G1665=""),"",IF(ISNUMBER(Sync!$AE1665),INT(MOD(Sync!$AE1665,10000)/100),IFERROR(VALUE(TRIM(LEFT(MID(Sync!$AE1665,FIND("/",Sync!$AE1665)+1,20),FIND("/",MID(Sync!$AE1665,FIND("/",Sync!$AE1665)+1,20))-1))),"")))</f>
        <v/>
      </c>
      <c r="I1665">
        <f>IF(OR($F1665="",$G1665=""),"",IF(ISNUMBER(Sync!$AE1665),MOD(Sync!$AE1665,100),IFERROR(VALUE(TRIM(MID(MID(Sync!$AE1665,FIND("/",Sync!$AE1665)+1,20),FIND("/",MID(Sync!$AE1665,FIND("/",Sync!$AE1665)+1,20))+1,20))),"")))</f>
        <v/>
      </c>
      <c r="J1665">
        <f>IF($F1665="","",IF(OR($G1665="",$H1665="",$I1665="",$G1665&lt;1300,$G1665&gt;1500,$H1665&lt;1,$H1665&gt;12,$I1665&lt;1,$I1665&gt;31),"نامعتبر",RIGHT("0000"&amp;$G1665,4)&amp;"/"&amp;RIGHT("00"&amp;$H1665,2)&amp;"/"&amp;RIGHT("00"&amp;$I1665,2)))</f>
        <v/>
      </c>
      <c r="K1665">
        <f>IF(OR($F1665="",$J1665="",$J1665="نامعتبر"),"",LEFT($J1665,4)&amp;MID($J1665,6,2)&amp;RIGHT($J1665,2)&amp;$N1665&amp;"|"&amp;"2"&amp;RIGHT("00000"&amp;1660,5))</f>
        <v/>
      </c>
      <c r="L1665">
        <f>IF($K1665="","",COUNTIFS(LdgSellerA,$F1665,LdgKeyA,"&lt;"&amp;$K1665)+COUNTIFS(LdgSellerB,$F1665,LdgKeyB,"&lt;"&amp;$K1665)+1)</f>
        <v/>
      </c>
      <c r="M1665">
        <f>IF($L1665="","",$F1665&amp;"|"&amp;RIGHT("000000"&amp;$L1665,6))</f>
        <v/>
      </c>
      <c r="N1665">
        <f>IF($F1665="","",IF(Sync!$AF1665="","0000",IF(AND(ISNUMBER(Sync!$AF1665),Sync!$AF1665&gt;=0,Sync!$AF1665&lt;1),RIGHT("00"&amp;HOUR(Sync!$AF1665),2)&amp;RIGHT("00"&amp;MINUTE(Sync!$AF1665),2),IFERROR(RIGHT("00"&amp;VALUE(LEFT(Sync!$AF1665,FIND(":",Sync!$AF1665)-1)),2)&amp;RIGHT("00"&amp;VALUE(MID(Sync!$AF1665,FIND(":",Sync!$AF1665)+1,2)),2),"0000"))))</f>
        <v/>
      </c>
    </row>
    <row r="1666">
      <c r="A1666">
        <f>IF(OR(Calc!$E1670="",Calc!$E1670="نامعتبر",Calc!$G1670=""),"",Calc!$G1670)</f>
        <v/>
      </c>
      <c r="B1666">
        <f>IF($A1666="","",LEFT(Calc!$E1670,4)&amp;MID(Calc!$E1670,6,2)&amp;RIGHT(Calc!$E1670,2)&amp;Calc!$Q1670&amp;"|"&amp;"1"&amp;RIGHT("00000"&amp;1661,5))</f>
        <v/>
      </c>
      <c r="C1666">
        <f>IF($B1666="","",COUNTIFS(LdgSellerA,$A1666,LdgKeyA,"&lt;"&amp;$B1666)+COUNTIFS(LdgSellerB,$A1666,LdgKeyB,"&lt;"&amp;$B1666)+1)</f>
        <v/>
      </c>
      <c r="D1666">
        <f>IF($C1666="","",$A1666&amp;"|"&amp;RIGHT("000000"&amp;$C1666,6))</f>
        <v/>
      </c>
      <c r="F1666">
        <f>IF(Sync!$AH1666="","",IF(LEFT(UPPER(TRIM(Sync!$AH1666)),2)="SL",UPPER(TRIM(Sync!$AH1666)),""))</f>
        <v/>
      </c>
      <c r="G1666">
        <f>IF($F1666="","",IF(Sync!$AE1666="","",IF(ISNUMBER(Sync!$AE1666),IF(AND(Sync!$AE1666&gt;=10000101,Sync!$AE1666&lt;=99991231),INT(Sync!$AE1666/10000),""),IFERROR(VALUE(TRIM(LEFT(Sync!$AE1666,FIND("/",Sync!$AE1666)-1))),""))))</f>
        <v/>
      </c>
      <c r="H1666">
        <f>IF(OR($F1666="",$G1666=""),"",IF(ISNUMBER(Sync!$AE1666),INT(MOD(Sync!$AE1666,10000)/100),IFERROR(VALUE(TRIM(LEFT(MID(Sync!$AE1666,FIND("/",Sync!$AE1666)+1,20),FIND("/",MID(Sync!$AE1666,FIND("/",Sync!$AE1666)+1,20))-1))),"")))</f>
        <v/>
      </c>
      <c r="I1666">
        <f>IF(OR($F1666="",$G1666=""),"",IF(ISNUMBER(Sync!$AE1666),MOD(Sync!$AE1666,100),IFERROR(VALUE(TRIM(MID(MID(Sync!$AE1666,FIND("/",Sync!$AE1666)+1,20),FIND("/",MID(Sync!$AE1666,FIND("/",Sync!$AE1666)+1,20))+1,20))),"")))</f>
        <v/>
      </c>
      <c r="J1666">
        <f>IF($F1666="","",IF(OR($G1666="",$H1666="",$I1666="",$G1666&lt;1300,$G1666&gt;1500,$H1666&lt;1,$H1666&gt;12,$I1666&lt;1,$I1666&gt;31),"نامعتبر",RIGHT("0000"&amp;$G1666,4)&amp;"/"&amp;RIGHT("00"&amp;$H1666,2)&amp;"/"&amp;RIGHT("00"&amp;$I1666,2)))</f>
        <v/>
      </c>
      <c r="K1666">
        <f>IF(OR($F1666="",$J1666="",$J1666="نامعتبر"),"",LEFT($J1666,4)&amp;MID($J1666,6,2)&amp;RIGHT($J1666,2)&amp;$N1666&amp;"|"&amp;"2"&amp;RIGHT("00000"&amp;1661,5))</f>
        <v/>
      </c>
      <c r="L1666">
        <f>IF($K1666="","",COUNTIFS(LdgSellerA,$F1666,LdgKeyA,"&lt;"&amp;$K1666)+COUNTIFS(LdgSellerB,$F1666,LdgKeyB,"&lt;"&amp;$K1666)+1)</f>
        <v/>
      </c>
      <c r="M1666">
        <f>IF($L1666="","",$F1666&amp;"|"&amp;RIGHT("000000"&amp;$L1666,6))</f>
        <v/>
      </c>
      <c r="N1666">
        <f>IF($F1666="","",IF(Sync!$AF1666="","0000",IF(AND(ISNUMBER(Sync!$AF1666),Sync!$AF1666&gt;=0,Sync!$AF1666&lt;1),RIGHT("00"&amp;HOUR(Sync!$AF1666),2)&amp;RIGHT("00"&amp;MINUTE(Sync!$AF1666),2),IFERROR(RIGHT("00"&amp;VALUE(LEFT(Sync!$AF1666,FIND(":",Sync!$AF1666)-1)),2)&amp;RIGHT("00"&amp;VALUE(MID(Sync!$AF1666,FIND(":",Sync!$AF1666)+1,2)),2),"0000"))))</f>
        <v/>
      </c>
    </row>
    <row r="1667">
      <c r="A1667">
        <f>IF(OR(Calc!$E1671="",Calc!$E1671="نامعتبر",Calc!$G1671=""),"",Calc!$G1671)</f>
        <v/>
      </c>
      <c r="B1667">
        <f>IF($A1667="","",LEFT(Calc!$E1671,4)&amp;MID(Calc!$E1671,6,2)&amp;RIGHT(Calc!$E1671,2)&amp;Calc!$Q1671&amp;"|"&amp;"1"&amp;RIGHT("00000"&amp;1662,5))</f>
        <v/>
      </c>
      <c r="C1667">
        <f>IF($B1667="","",COUNTIFS(LdgSellerA,$A1667,LdgKeyA,"&lt;"&amp;$B1667)+COUNTIFS(LdgSellerB,$A1667,LdgKeyB,"&lt;"&amp;$B1667)+1)</f>
        <v/>
      </c>
      <c r="D1667">
        <f>IF($C1667="","",$A1667&amp;"|"&amp;RIGHT("000000"&amp;$C1667,6))</f>
        <v/>
      </c>
      <c r="F1667">
        <f>IF(Sync!$AH1667="","",IF(LEFT(UPPER(TRIM(Sync!$AH1667)),2)="SL",UPPER(TRIM(Sync!$AH1667)),""))</f>
        <v/>
      </c>
      <c r="G1667">
        <f>IF($F1667="","",IF(Sync!$AE1667="","",IF(ISNUMBER(Sync!$AE1667),IF(AND(Sync!$AE1667&gt;=10000101,Sync!$AE1667&lt;=99991231),INT(Sync!$AE1667/10000),""),IFERROR(VALUE(TRIM(LEFT(Sync!$AE1667,FIND("/",Sync!$AE1667)-1))),""))))</f>
        <v/>
      </c>
      <c r="H1667">
        <f>IF(OR($F1667="",$G1667=""),"",IF(ISNUMBER(Sync!$AE1667),INT(MOD(Sync!$AE1667,10000)/100),IFERROR(VALUE(TRIM(LEFT(MID(Sync!$AE1667,FIND("/",Sync!$AE1667)+1,20),FIND("/",MID(Sync!$AE1667,FIND("/",Sync!$AE1667)+1,20))-1))),"")))</f>
        <v/>
      </c>
      <c r="I1667">
        <f>IF(OR($F1667="",$G1667=""),"",IF(ISNUMBER(Sync!$AE1667),MOD(Sync!$AE1667,100),IFERROR(VALUE(TRIM(MID(MID(Sync!$AE1667,FIND("/",Sync!$AE1667)+1,20),FIND("/",MID(Sync!$AE1667,FIND("/",Sync!$AE1667)+1,20))+1,20))),"")))</f>
        <v/>
      </c>
      <c r="J1667">
        <f>IF($F1667="","",IF(OR($G1667="",$H1667="",$I1667="",$G1667&lt;1300,$G1667&gt;1500,$H1667&lt;1,$H1667&gt;12,$I1667&lt;1,$I1667&gt;31),"نامعتبر",RIGHT("0000"&amp;$G1667,4)&amp;"/"&amp;RIGHT("00"&amp;$H1667,2)&amp;"/"&amp;RIGHT("00"&amp;$I1667,2)))</f>
        <v/>
      </c>
      <c r="K1667">
        <f>IF(OR($F1667="",$J1667="",$J1667="نامعتبر"),"",LEFT($J1667,4)&amp;MID($J1667,6,2)&amp;RIGHT($J1667,2)&amp;$N1667&amp;"|"&amp;"2"&amp;RIGHT("00000"&amp;1662,5))</f>
        <v/>
      </c>
      <c r="L1667">
        <f>IF($K1667="","",COUNTIFS(LdgSellerA,$F1667,LdgKeyA,"&lt;"&amp;$K1667)+COUNTIFS(LdgSellerB,$F1667,LdgKeyB,"&lt;"&amp;$K1667)+1)</f>
        <v/>
      </c>
      <c r="M1667">
        <f>IF($L1667="","",$F1667&amp;"|"&amp;RIGHT("000000"&amp;$L1667,6))</f>
        <v/>
      </c>
      <c r="N1667">
        <f>IF($F1667="","",IF(Sync!$AF1667="","0000",IF(AND(ISNUMBER(Sync!$AF1667),Sync!$AF1667&gt;=0,Sync!$AF1667&lt;1),RIGHT("00"&amp;HOUR(Sync!$AF1667),2)&amp;RIGHT("00"&amp;MINUTE(Sync!$AF1667),2),IFERROR(RIGHT("00"&amp;VALUE(LEFT(Sync!$AF1667,FIND(":",Sync!$AF1667)-1)),2)&amp;RIGHT("00"&amp;VALUE(MID(Sync!$AF1667,FIND(":",Sync!$AF1667)+1,2)),2),"0000"))))</f>
        <v/>
      </c>
    </row>
    <row r="1668">
      <c r="A1668">
        <f>IF(OR(Calc!$E1672="",Calc!$E1672="نامعتبر",Calc!$G1672=""),"",Calc!$G1672)</f>
        <v/>
      </c>
      <c r="B1668">
        <f>IF($A1668="","",LEFT(Calc!$E1672,4)&amp;MID(Calc!$E1672,6,2)&amp;RIGHT(Calc!$E1672,2)&amp;Calc!$Q1672&amp;"|"&amp;"1"&amp;RIGHT("00000"&amp;1663,5))</f>
        <v/>
      </c>
      <c r="C1668">
        <f>IF($B1668="","",COUNTIFS(LdgSellerA,$A1668,LdgKeyA,"&lt;"&amp;$B1668)+COUNTIFS(LdgSellerB,$A1668,LdgKeyB,"&lt;"&amp;$B1668)+1)</f>
        <v/>
      </c>
      <c r="D1668">
        <f>IF($C1668="","",$A1668&amp;"|"&amp;RIGHT("000000"&amp;$C1668,6))</f>
        <v/>
      </c>
      <c r="F1668">
        <f>IF(Sync!$AH1668="","",IF(LEFT(UPPER(TRIM(Sync!$AH1668)),2)="SL",UPPER(TRIM(Sync!$AH1668)),""))</f>
        <v/>
      </c>
      <c r="G1668">
        <f>IF($F1668="","",IF(Sync!$AE1668="","",IF(ISNUMBER(Sync!$AE1668),IF(AND(Sync!$AE1668&gt;=10000101,Sync!$AE1668&lt;=99991231),INT(Sync!$AE1668/10000),""),IFERROR(VALUE(TRIM(LEFT(Sync!$AE1668,FIND("/",Sync!$AE1668)-1))),""))))</f>
        <v/>
      </c>
      <c r="H1668">
        <f>IF(OR($F1668="",$G1668=""),"",IF(ISNUMBER(Sync!$AE1668),INT(MOD(Sync!$AE1668,10000)/100),IFERROR(VALUE(TRIM(LEFT(MID(Sync!$AE1668,FIND("/",Sync!$AE1668)+1,20),FIND("/",MID(Sync!$AE1668,FIND("/",Sync!$AE1668)+1,20))-1))),"")))</f>
        <v/>
      </c>
      <c r="I1668">
        <f>IF(OR($F1668="",$G1668=""),"",IF(ISNUMBER(Sync!$AE1668),MOD(Sync!$AE1668,100),IFERROR(VALUE(TRIM(MID(MID(Sync!$AE1668,FIND("/",Sync!$AE1668)+1,20),FIND("/",MID(Sync!$AE1668,FIND("/",Sync!$AE1668)+1,20))+1,20))),"")))</f>
        <v/>
      </c>
      <c r="J1668">
        <f>IF($F1668="","",IF(OR($G1668="",$H1668="",$I1668="",$G1668&lt;1300,$G1668&gt;1500,$H1668&lt;1,$H1668&gt;12,$I1668&lt;1,$I1668&gt;31),"نامعتبر",RIGHT("0000"&amp;$G1668,4)&amp;"/"&amp;RIGHT("00"&amp;$H1668,2)&amp;"/"&amp;RIGHT("00"&amp;$I1668,2)))</f>
        <v/>
      </c>
      <c r="K1668">
        <f>IF(OR($F1668="",$J1668="",$J1668="نامعتبر"),"",LEFT($J1668,4)&amp;MID($J1668,6,2)&amp;RIGHT($J1668,2)&amp;$N1668&amp;"|"&amp;"2"&amp;RIGHT("00000"&amp;1663,5))</f>
        <v/>
      </c>
      <c r="L1668">
        <f>IF($K1668="","",COUNTIFS(LdgSellerA,$F1668,LdgKeyA,"&lt;"&amp;$K1668)+COUNTIFS(LdgSellerB,$F1668,LdgKeyB,"&lt;"&amp;$K1668)+1)</f>
        <v/>
      </c>
      <c r="M1668">
        <f>IF($L1668="","",$F1668&amp;"|"&amp;RIGHT("000000"&amp;$L1668,6))</f>
        <v/>
      </c>
      <c r="N1668">
        <f>IF($F1668="","",IF(Sync!$AF1668="","0000",IF(AND(ISNUMBER(Sync!$AF1668),Sync!$AF1668&gt;=0,Sync!$AF1668&lt;1),RIGHT("00"&amp;HOUR(Sync!$AF1668),2)&amp;RIGHT("00"&amp;MINUTE(Sync!$AF1668),2),IFERROR(RIGHT("00"&amp;VALUE(LEFT(Sync!$AF1668,FIND(":",Sync!$AF1668)-1)),2)&amp;RIGHT("00"&amp;VALUE(MID(Sync!$AF1668,FIND(":",Sync!$AF1668)+1,2)),2),"0000"))))</f>
        <v/>
      </c>
    </row>
    <row r="1669">
      <c r="A1669">
        <f>IF(OR(Calc!$E1673="",Calc!$E1673="نامعتبر",Calc!$G1673=""),"",Calc!$G1673)</f>
        <v/>
      </c>
      <c r="B1669">
        <f>IF($A1669="","",LEFT(Calc!$E1673,4)&amp;MID(Calc!$E1673,6,2)&amp;RIGHT(Calc!$E1673,2)&amp;Calc!$Q1673&amp;"|"&amp;"1"&amp;RIGHT("00000"&amp;1664,5))</f>
        <v/>
      </c>
      <c r="C1669">
        <f>IF($B1669="","",COUNTIFS(LdgSellerA,$A1669,LdgKeyA,"&lt;"&amp;$B1669)+COUNTIFS(LdgSellerB,$A1669,LdgKeyB,"&lt;"&amp;$B1669)+1)</f>
        <v/>
      </c>
      <c r="D1669">
        <f>IF($C1669="","",$A1669&amp;"|"&amp;RIGHT("000000"&amp;$C1669,6))</f>
        <v/>
      </c>
      <c r="F1669">
        <f>IF(Sync!$AH1669="","",IF(LEFT(UPPER(TRIM(Sync!$AH1669)),2)="SL",UPPER(TRIM(Sync!$AH1669)),""))</f>
        <v/>
      </c>
      <c r="G1669">
        <f>IF($F1669="","",IF(Sync!$AE1669="","",IF(ISNUMBER(Sync!$AE1669),IF(AND(Sync!$AE1669&gt;=10000101,Sync!$AE1669&lt;=99991231),INT(Sync!$AE1669/10000),""),IFERROR(VALUE(TRIM(LEFT(Sync!$AE1669,FIND("/",Sync!$AE1669)-1))),""))))</f>
        <v/>
      </c>
      <c r="H1669">
        <f>IF(OR($F1669="",$G1669=""),"",IF(ISNUMBER(Sync!$AE1669),INT(MOD(Sync!$AE1669,10000)/100),IFERROR(VALUE(TRIM(LEFT(MID(Sync!$AE1669,FIND("/",Sync!$AE1669)+1,20),FIND("/",MID(Sync!$AE1669,FIND("/",Sync!$AE1669)+1,20))-1))),"")))</f>
        <v/>
      </c>
      <c r="I1669">
        <f>IF(OR($F1669="",$G1669=""),"",IF(ISNUMBER(Sync!$AE1669),MOD(Sync!$AE1669,100),IFERROR(VALUE(TRIM(MID(MID(Sync!$AE1669,FIND("/",Sync!$AE1669)+1,20),FIND("/",MID(Sync!$AE1669,FIND("/",Sync!$AE1669)+1,20))+1,20))),"")))</f>
        <v/>
      </c>
      <c r="J1669">
        <f>IF($F1669="","",IF(OR($G1669="",$H1669="",$I1669="",$G1669&lt;1300,$G1669&gt;1500,$H1669&lt;1,$H1669&gt;12,$I1669&lt;1,$I1669&gt;31),"نامعتبر",RIGHT("0000"&amp;$G1669,4)&amp;"/"&amp;RIGHT("00"&amp;$H1669,2)&amp;"/"&amp;RIGHT("00"&amp;$I1669,2)))</f>
        <v/>
      </c>
      <c r="K1669">
        <f>IF(OR($F1669="",$J1669="",$J1669="نامعتبر"),"",LEFT($J1669,4)&amp;MID($J1669,6,2)&amp;RIGHT($J1669,2)&amp;$N1669&amp;"|"&amp;"2"&amp;RIGHT("00000"&amp;1664,5))</f>
        <v/>
      </c>
      <c r="L1669">
        <f>IF($K1669="","",COUNTIFS(LdgSellerA,$F1669,LdgKeyA,"&lt;"&amp;$K1669)+COUNTIFS(LdgSellerB,$F1669,LdgKeyB,"&lt;"&amp;$K1669)+1)</f>
        <v/>
      </c>
      <c r="M1669">
        <f>IF($L1669="","",$F1669&amp;"|"&amp;RIGHT("000000"&amp;$L1669,6))</f>
        <v/>
      </c>
      <c r="N1669">
        <f>IF($F1669="","",IF(Sync!$AF1669="","0000",IF(AND(ISNUMBER(Sync!$AF1669),Sync!$AF1669&gt;=0,Sync!$AF1669&lt;1),RIGHT("00"&amp;HOUR(Sync!$AF1669),2)&amp;RIGHT("00"&amp;MINUTE(Sync!$AF1669),2),IFERROR(RIGHT("00"&amp;VALUE(LEFT(Sync!$AF1669,FIND(":",Sync!$AF1669)-1)),2)&amp;RIGHT("00"&amp;VALUE(MID(Sync!$AF1669,FIND(":",Sync!$AF1669)+1,2)),2),"0000"))))</f>
        <v/>
      </c>
    </row>
    <row r="1670">
      <c r="A1670">
        <f>IF(OR(Calc!$E1674="",Calc!$E1674="نامعتبر",Calc!$G1674=""),"",Calc!$G1674)</f>
        <v/>
      </c>
      <c r="B1670">
        <f>IF($A1670="","",LEFT(Calc!$E1674,4)&amp;MID(Calc!$E1674,6,2)&amp;RIGHT(Calc!$E1674,2)&amp;Calc!$Q1674&amp;"|"&amp;"1"&amp;RIGHT("00000"&amp;1665,5))</f>
        <v/>
      </c>
      <c r="C1670">
        <f>IF($B1670="","",COUNTIFS(LdgSellerA,$A1670,LdgKeyA,"&lt;"&amp;$B1670)+COUNTIFS(LdgSellerB,$A1670,LdgKeyB,"&lt;"&amp;$B1670)+1)</f>
        <v/>
      </c>
      <c r="D1670">
        <f>IF($C1670="","",$A1670&amp;"|"&amp;RIGHT("000000"&amp;$C1670,6))</f>
        <v/>
      </c>
      <c r="F1670">
        <f>IF(Sync!$AH1670="","",IF(LEFT(UPPER(TRIM(Sync!$AH1670)),2)="SL",UPPER(TRIM(Sync!$AH1670)),""))</f>
        <v/>
      </c>
      <c r="G1670">
        <f>IF($F1670="","",IF(Sync!$AE1670="","",IF(ISNUMBER(Sync!$AE1670),IF(AND(Sync!$AE1670&gt;=10000101,Sync!$AE1670&lt;=99991231),INT(Sync!$AE1670/10000),""),IFERROR(VALUE(TRIM(LEFT(Sync!$AE1670,FIND("/",Sync!$AE1670)-1))),""))))</f>
        <v/>
      </c>
      <c r="H1670">
        <f>IF(OR($F1670="",$G1670=""),"",IF(ISNUMBER(Sync!$AE1670),INT(MOD(Sync!$AE1670,10000)/100),IFERROR(VALUE(TRIM(LEFT(MID(Sync!$AE1670,FIND("/",Sync!$AE1670)+1,20),FIND("/",MID(Sync!$AE1670,FIND("/",Sync!$AE1670)+1,20))-1))),"")))</f>
        <v/>
      </c>
      <c r="I1670">
        <f>IF(OR($F1670="",$G1670=""),"",IF(ISNUMBER(Sync!$AE1670),MOD(Sync!$AE1670,100),IFERROR(VALUE(TRIM(MID(MID(Sync!$AE1670,FIND("/",Sync!$AE1670)+1,20),FIND("/",MID(Sync!$AE1670,FIND("/",Sync!$AE1670)+1,20))+1,20))),"")))</f>
        <v/>
      </c>
      <c r="J1670">
        <f>IF($F1670="","",IF(OR($G1670="",$H1670="",$I1670="",$G1670&lt;1300,$G1670&gt;1500,$H1670&lt;1,$H1670&gt;12,$I1670&lt;1,$I1670&gt;31),"نامعتبر",RIGHT("0000"&amp;$G1670,4)&amp;"/"&amp;RIGHT("00"&amp;$H1670,2)&amp;"/"&amp;RIGHT("00"&amp;$I1670,2)))</f>
        <v/>
      </c>
      <c r="K1670">
        <f>IF(OR($F1670="",$J1670="",$J1670="نامعتبر"),"",LEFT($J1670,4)&amp;MID($J1670,6,2)&amp;RIGHT($J1670,2)&amp;$N1670&amp;"|"&amp;"2"&amp;RIGHT("00000"&amp;1665,5))</f>
        <v/>
      </c>
      <c r="L1670">
        <f>IF($K1670="","",COUNTIFS(LdgSellerA,$F1670,LdgKeyA,"&lt;"&amp;$K1670)+COUNTIFS(LdgSellerB,$F1670,LdgKeyB,"&lt;"&amp;$K1670)+1)</f>
        <v/>
      </c>
      <c r="M1670">
        <f>IF($L1670="","",$F1670&amp;"|"&amp;RIGHT("000000"&amp;$L1670,6))</f>
        <v/>
      </c>
      <c r="N1670">
        <f>IF($F1670="","",IF(Sync!$AF1670="","0000",IF(AND(ISNUMBER(Sync!$AF1670),Sync!$AF1670&gt;=0,Sync!$AF1670&lt;1),RIGHT("00"&amp;HOUR(Sync!$AF1670),2)&amp;RIGHT("00"&amp;MINUTE(Sync!$AF1670),2),IFERROR(RIGHT("00"&amp;VALUE(LEFT(Sync!$AF1670,FIND(":",Sync!$AF1670)-1)),2)&amp;RIGHT("00"&amp;VALUE(MID(Sync!$AF1670,FIND(":",Sync!$AF1670)+1,2)),2),"0000"))))</f>
        <v/>
      </c>
    </row>
    <row r="1671">
      <c r="A1671">
        <f>IF(OR(Calc!$E1675="",Calc!$E1675="نامعتبر",Calc!$G1675=""),"",Calc!$G1675)</f>
        <v/>
      </c>
      <c r="B1671">
        <f>IF($A1671="","",LEFT(Calc!$E1675,4)&amp;MID(Calc!$E1675,6,2)&amp;RIGHT(Calc!$E1675,2)&amp;Calc!$Q1675&amp;"|"&amp;"1"&amp;RIGHT("00000"&amp;1666,5))</f>
        <v/>
      </c>
      <c r="C1671">
        <f>IF($B1671="","",COUNTIFS(LdgSellerA,$A1671,LdgKeyA,"&lt;"&amp;$B1671)+COUNTIFS(LdgSellerB,$A1671,LdgKeyB,"&lt;"&amp;$B1671)+1)</f>
        <v/>
      </c>
      <c r="D1671">
        <f>IF($C1671="","",$A1671&amp;"|"&amp;RIGHT("000000"&amp;$C1671,6))</f>
        <v/>
      </c>
      <c r="F1671">
        <f>IF(Sync!$AH1671="","",IF(LEFT(UPPER(TRIM(Sync!$AH1671)),2)="SL",UPPER(TRIM(Sync!$AH1671)),""))</f>
        <v/>
      </c>
      <c r="G1671">
        <f>IF($F1671="","",IF(Sync!$AE1671="","",IF(ISNUMBER(Sync!$AE1671),IF(AND(Sync!$AE1671&gt;=10000101,Sync!$AE1671&lt;=99991231),INT(Sync!$AE1671/10000),""),IFERROR(VALUE(TRIM(LEFT(Sync!$AE1671,FIND("/",Sync!$AE1671)-1))),""))))</f>
        <v/>
      </c>
      <c r="H1671">
        <f>IF(OR($F1671="",$G1671=""),"",IF(ISNUMBER(Sync!$AE1671),INT(MOD(Sync!$AE1671,10000)/100),IFERROR(VALUE(TRIM(LEFT(MID(Sync!$AE1671,FIND("/",Sync!$AE1671)+1,20),FIND("/",MID(Sync!$AE1671,FIND("/",Sync!$AE1671)+1,20))-1))),"")))</f>
        <v/>
      </c>
      <c r="I1671">
        <f>IF(OR($F1671="",$G1671=""),"",IF(ISNUMBER(Sync!$AE1671),MOD(Sync!$AE1671,100),IFERROR(VALUE(TRIM(MID(MID(Sync!$AE1671,FIND("/",Sync!$AE1671)+1,20),FIND("/",MID(Sync!$AE1671,FIND("/",Sync!$AE1671)+1,20))+1,20))),"")))</f>
        <v/>
      </c>
      <c r="J1671">
        <f>IF($F1671="","",IF(OR($G1671="",$H1671="",$I1671="",$G1671&lt;1300,$G1671&gt;1500,$H1671&lt;1,$H1671&gt;12,$I1671&lt;1,$I1671&gt;31),"نامعتبر",RIGHT("0000"&amp;$G1671,4)&amp;"/"&amp;RIGHT("00"&amp;$H1671,2)&amp;"/"&amp;RIGHT("00"&amp;$I1671,2)))</f>
        <v/>
      </c>
      <c r="K1671">
        <f>IF(OR($F1671="",$J1671="",$J1671="نامعتبر"),"",LEFT($J1671,4)&amp;MID($J1671,6,2)&amp;RIGHT($J1671,2)&amp;$N1671&amp;"|"&amp;"2"&amp;RIGHT("00000"&amp;1666,5))</f>
        <v/>
      </c>
      <c r="L1671">
        <f>IF($K1671="","",COUNTIFS(LdgSellerA,$F1671,LdgKeyA,"&lt;"&amp;$K1671)+COUNTIFS(LdgSellerB,$F1671,LdgKeyB,"&lt;"&amp;$K1671)+1)</f>
        <v/>
      </c>
      <c r="M1671">
        <f>IF($L1671="","",$F1671&amp;"|"&amp;RIGHT("000000"&amp;$L1671,6))</f>
        <v/>
      </c>
      <c r="N1671">
        <f>IF($F1671="","",IF(Sync!$AF1671="","0000",IF(AND(ISNUMBER(Sync!$AF1671),Sync!$AF1671&gt;=0,Sync!$AF1671&lt;1),RIGHT("00"&amp;HOUR(Sync!$AF1671),2)&amp;RIGHT("00"&amp;MINUTE(Sync!$AF1671),2),IFERROR(RIGHT("00"&amp;VALUE(LEFT(Sync!$AF1671,FIND(":",Sync!$AF1671)-1)),2)&amp;RIGHT("00"&amp;VALUE(MID(Sync!$AF1671,FIND(":",Sync!$AF1671)+1,2)),2),"0000"))))</f>
        <v/>
      </c>
    </row>
    <row r="1672">
      <c r="A1672">
        <f>IF(OR(Calc!$E1676="",Calc!$E1676="نامعتبر",Calc!$G1676=""),"",Calc!$G1676)</f>
        <v/>
      </c>
      <c r="B1672">
        <f>IF($A1672="","",LEFT(Calc!$E1676,4)&amp;MID(Calc!$E1676,6,2)&amp;RIGHT(Calc!$E1676,2)&amp;Calc!$Q1676&amp;"|"&amp;"1"&amp;RIGHT("00000"&amp;1667,5))</f>
        <v/>
      </c>
      <c r="C1672">
        <f>IF($B1672="","",COUNTIFS(LdgSellerA,$A1672,LdgKeyA,"&lt;"&amp;$B1672)+COUNTIFS(LdgSellerB,$A1672,LdgKeyB,"&lt;"&amp;$B1672)+1)</f>
        <v/>
      </c>
      <c r="D1672">
        <f>IF($C1672="","",$A1672&amp;"|"&amp;RIGHT("000000"&amp;$C1672,6))</f>
        <v/>
      </c>
      <c r="F1672">
        <f>IF(Sync!$AH1672="","",IF(LEFT(UPPER(TRIM(Sync!$AH1672)),2)="SL",UPPER(TRIM(Sync!$AH1672)),""))</f>
        <v/>
      </c>
      <c r="G1672">
        <f>IF($F1672="","",IF(Sync!$AE1672="","",IF(ISNUMBER(Sync!$AE1672),IF(AND(Sync!$AE1672&gt;=10000101,Sync!$AE1672&lt;=99991231),INT(Sync!$AE1672/10000),""),IFERROR(VALUE(TRIM(LEFT(Sync!$AE1672,FIND("/",Sync!$AE1672)-1))),""))))</f>
        <v/>
      </c>
      <c r="H1672">
        <f>IF(OR($F1672="",$G1672=""),"",IF(ISNUMBER(Sync!$AE1672),INT(MOD(Sync!$AE1672,10000)/100),IFERROR(VALUE(TRIM(LEFT(MID(Sync!$AE1672,FIND("/",Sync!$AE1672)+1,20),FIND("/",MID(Sync!$AE1672,FIND("/",Sync!$AE1672)+1,20))-1))),"")))</f>
        <v/>
      </c>
      <c r="I1672">
        <f>IF(OR($F1672="",$G1672=""),"",IF(ISNUMBER(Sync!$AE1672),MOD(Sync!$AE1672,100),IFERROR(VALUE(TRIM(MID(MID(Sync!$AE1672,FIND("/",Sync!$AE1672)+1,20),FIND("/",MID(Sync!$AE1672,FIND("/",Sync!$AE1672)+1,20))+1,20))),"")))</f>
        <v/>
      </c>
      <c r="J1672">
        <f>IF($F1672="","",IF(OR($G1672="",$H1672="",$I1672="",$G1672&lt;1300,$G1672&gt;1500,$H1672&lt;1,$H1672&gt;12,$I1672&lt;1,$I1672&gt;31),"نامعتبر",RIGHT("0000"&amp;$G1672,4)&amp;"/"&amp;RIGHT("00"&amp;$H1672,2)&amp;"/"&amp;RIGHT("00"&amp;$I1672,2)))</f>
        <v/>
      </c>
      <c r="K1672">
        <f>IF(OR($F1672="",$J1672="",$J1672="نامعتبر"),"",LEFT($J1672,4)&amp;MID($J1672,6,2)&amp;RIGHT($J1672,2)&amp;$N1672&amp;"|"&amp;"2"&amp;RIGHT("00000"&amp;1667,5))</f>
        <v/>
      </c>
      <c r="L1672">
        <f>IF($K1672="","",COUNTIFS(LdgSellerA,$F1672,LdgKeyA,"&lt;"&amp;$K1672)+COUNTIFS(LdgSellerB,$F1672,LdgKeyB,"&lt;"&amp;$K1672)+1)</f>
        <v/>
      </c>
      <c r="M1672">
        <f>IF($L1672="","",$F1672&amp;"|"&amp;RIGHT("000000"&amp;$L1672,6))</f>
        <v/>
      </c>
      <c r="N1672">
        <f>IF($F1672="","",IF(Sync!$AF1672="","0000",IF(AND(ISNUMBER(Sync!$AF1672),Sync!$AF1672&gt;=0,Sync!$AF1672&lt;1),RIGHT("00"&amp;HOUR(Sync!$AF1672),2)&amp;RIGHT("00"&amp;MINUTE(Sync!$AF1672),2),IFERROR(RIGHT("00"&amp;VALUE(LEFT(Sync!$AF1672,FIND(":",Sync!$AF1672)-1)),2)&amp;RIGHT("00"&amp;VALUE(MID(Sync!$AF1672,FIND(":",Sync!$AF1672)+1,2)),2),"0000"))))</f>
        <v/>
      </c>
    </row>
    <row r="1673">
      <c r="A1673">
        <f>IF(OR(Calc!$E1677="",Calc!$E1677="نامعتبر",Calc!$G1677=""),"",Calc!$G1677)</f>
        <v/>
      </c>
      <c r="B1673">
        <f>IF($A1673="","",LEFT(Calc!$E1677,4)&amp;MID(Calc!$E1677,6,2)&amp;RIGHT(Calc!$E1677,2)&amp;Calc!$Q1677&amp;"|"&amp;"1"&amp;RIGHT("00000"&amp;1668,5))</f>
        <v/>
      </c>
      <c r="C1673">
        <f>IF($B1673="","",COUNTIFS(LdgSellerA,$A1673,LdgKeyA,"&lt;"&amp;$B1673)+COUNTIFS(LdgSellerB,$A1673,LdgKeyB,"&lt;"&amp;$B1673)+1)</f>
        <v/>
      </c>
      <c r="D1673">
        <f>IF($C1673="","",$A1673&amp;"|"&amp;RIGHT("000000"&amp;$C1673,6))</f>
        <v/>
      </c>
      <c r="F1673">
        <f>IF(Sync!$AH1673="","",IF(LEFT(UPPER(TRIM(Sync!$AH1673)),2)="SL",UPPER(TRIM(Sync!$AH1673)),""))</f>
        <v/>
      </c>
      <c r="G1673">
        <f>IF($F1673="","",IF(Sync!$AE1673="","",IF(ISNUMBER(Sync!$AE1673),IF(AND(Sync!$AE1673&gt;=10000101,Sync!$AE1673&lt;=99991231),INT(Sync!$AE1673/10000),""),IFERROR(VALUE(TRIM(LEFT(Sync!$AE1673,FIND("/",Sync!$AE1673)-1))),""))))</f>
        <v/>
      </c>
      <c r="H1673">
        <f>IF(OR($F1673="",$G1673=""),"",IF(ISNUMBER(Sync!$AE1673),INT(MOD(Sync!$AE1673,10000)/100),IFERROR(VALUE(TRIM(LEFT(MID(Sync!$AE1673,FIND("/",Sync!$AE1673)+1,20),FIND("/",MID(Sync!$AE1673,FIND("/",Sync!$AE1673)+1,20))-1))),"")))</f>
        <v/>
      </c>
      <c r="I1673">
        <f>IF(OR($F1673="",$G1673=""),"",IF(ISNUMBER(Sync!$AE1673),MOD(Sync!$AE1673,100),IFERROR(VALUE(TRIM(MID(MID(Sync!$AE1673,FIND("/",Sync!$AE1673)+1,20),FIND("/",MID(Sync!$AE1673,FIND("/",Sync!$AE1673)+1,20))+1,20))),"")))</f>
        <v/>
      </c>
      <c r="J1673">
        <f>IF($F1673="","",IF(OR($G1673="",$H1673="",$I1673="",$G1673&lt;1300,$G1673&gt;1500,$H1673&lt;1,$H1673&gt;12,$I1673&lt;1,$I1673&gt;31),"نامعتبر",RIGHT("0000"&amp;$G1673,4)&amp;"/"&amp;RIGHT("00"&amp;$H1673,2)&amp;"/"&amp;RIGHT("00"&amp;$I1673,2)))</f>
        <v/>
      </c>
      <c r="K1673">
        <f>IF(OR($F1673="",$J1673="",$J1673="نامعتبر"),"",LEFT($J1673,4)&amp;MID($J1673,6,2)&amp;RIGHT($J1673,2)&amp;$N1673&amp;"|"&amp;"2"&amp;RIGHT("00000"&amp;1668,5))</f>
        <v/>
      </c>
      <c r="L1673">
        <f>IF($K1673="","",COUNTIFS(LdgSellerA,$F1673,LdgKeyA,"&lt;"&amp;$K1673)+COUNTIFS(LdgSellerB,$F1673,LdgKeyB,"&lt;"&amp;$K1673)+1)</f>
        <v/>
      </c>
      <c r="M1673">
        <f>IF($L1673="","",$F1673&amp;"|"&amp;RIGHT("000000"&amp;$L1673,6))</f>
        <v/>
      </c>
      <c r="N1673">
        <f>IF($F1673="","",IF(Sync!$AF1673="","0000",IF(AND(ISNUMBER(Sync!$AF1673),Sync!$AF1673&gt;=0,Sync!$AF1673&lt;1),RIGHT("00"&amp;HOUR(Sync!$AF1673),2)&amp;RIGHT("00"&amp;MINUTE(Sync!$AF1673),2),IFERROR(RIGHT("00"&amp;VALUE(LEFT(Sync!$AF1673,FIND(":",Sync!$AF1673)-1)),2)&amp;RIGHT("00"&amp;VALUE(MID(Sync!$AF1673,FIND(":",Sync!$AF1673)+1,2)),2),"0000"))))</f>
        <v/>
      </c>
    </row>
    <row r="1674">
      <c r="A1674">
        <f>IF(OR(Calc!$E1678="",Calc!$E1678="نامعتبر",Calc!$G1678=""),"",Calc!$G1678)</f>
        <v/>
      </c>
      <c r="B1674">
        <f>IF($A1674="","",LEFT(Calc!$E1678,4)&amp;MID(Calc!$E1678,6,2)&amp;RIGHT(Calc!$E1678,2)&amp;Calc!$Q1678&amp;"|"&amp;"1"&amp;RIGHT("00000"&amp;1669,5))</f>
        <v/>
      </c>
      <c r="C1674">
        <f>IF($B1674="","",COUNTIFS(LdgSellerA,$A1674,LdgKeyA,"&lt;"&amp;$B1674)+COUNTIFS(LdgSellerB,$A1674,LdgKeyB,"&lt;"&amp;$B1674)+1)</f>
        <v/>
      </c>
      <c r="D1674">
        <f>IF($C1674="","",$A1674&amp;"|"&amp;RIGHT("000000"&amp;$C1674,6))</f>
        <v/>
      </c>
      <c r="F1674">
        <f>IF(Sync!$AH1674="","",IF(LEFT(UPPER(TRIM(Sync!$AH1674)),2)="SL",UPPER(TRIM(Sync!$AH1674)),""))</f>
        <v/>
      </c>
      <c r="G1674">
        <f>IF($F1674="","",IF(Sync!$AE1674="","",IF(ISNUMBER(Sync!$AE1674),IF(AND(Sync!$AE1674&gt;=10000101,Sync!$AE1674&lt;=99991231),INT(Sync!$AE1674/10000),""),IFERROR(VALUE(TRIM(LEFT(Sync!$AE1674,FIND("/",Sync!$AE1674)-1))),""))))</f>
        <v/>
      </c>
      <c r="H1674">
        <f>IF(OR($F1674="",$G1674=""),"",IF(ISNUMBER(Sync!$AE1674),INT(MOD(Sync!$AE1674,10000)/100),IFERROR(VALUE(TRIM(LEFT(MID(Sync!$AE1674,FIND("/",Sync!$AE1674)+1,20),FIND("/",MID(Sync!$AE1674,FIND("/",Sync!$AE1674)+1,20))-1))),"")))</f>
        <v/>
      </c>
      <c r="I1674">
        <f>IF(OR($F1674="",$G1674=""),"",IF(ISNUMBER(Sync!$AE1674),MOD(Sync!$AE1674,100),IFERROR(VALUE(TRIM(MID(MID(Sync!$AE1674,FIND("/",Sync!$AE1674)+1,20),FIND("/",MID(Sync!$AE1674,FIND("/",Sync!$AE1674)+1,20))+1,20))),"")))</f>
        <v/>
      </c>
      <c r="J1674">
        <f>IF($F1674="","",IF(OR($G1674="",$H1674="",$I1674="",$G1674&lt;1300,$G1674&gt;1500,$H1674&lt;1,$H1674&gt;12,$I1674&lt;1,$I1674&gt;31),"نامعتبر",RIGHT("0000"&amp;$G1674,4)&amp;"/"&amp;RIGHT("00"&amp;$H1674,2)&amp;"/"&amp;RIGHT("00"&amp;$I1674,2)))</f>
        <v/>
      </c>
      <c r="K1674">
        <f>IF(OR($F1674="",$J1674="",$J1674="نامعتبر"),"",LEFT($J1674,4)&amp;MID($J1674,6,2)&amp;RIGHT($J1674,2)&amp;$N1674&amp;"|"&amp;"2"&amp;RIGHT("00000"&amp;1669,5))</f>
        <v/>
      </c>
      <c r="L1674">
        <f>IF($K1674="","",COUNTIFS(LdgSellerA,$F1674,LdgKeyA,"&lt;"&amp;$K1674)+COUNTIFS(LdgSellerB,$F1674,LdgKeyB,"&lt;"&amp;$K1674)+1)</f>
        <v/>
      </c>
      <c r="M1674">
        <f>IF($L1674="","",$F1674&amp;"|"&amp;RIGHT("000000"&amp;$L1674,6))</f>
        <v/>
      </c>
      <c r="N1674">
        <f>IF($F1674="","",IF(Sync!$AF1674="","0000",IF(AND(ISNUMBER(Sync!$AF1674),Sync!$AF1674&gt;=0,Sync!$AF1674&lt;1),RIGHT("00"&amp;HOUR(Sync!$AF1674),2)&amp;RIGHT("00"&amp;MINUTE(Sync!$AF1674),2),IFERROR(RIGHT("00"&amp;VALUE(LEFT(Sync!$AF1674,FIND(":",Sync!$AF1674)-1)),2)&amp;RIGHT("00"&amp;VALUE(MID(Sync!$AF1674,FIND(":",Sync!$AF1674)+1,2)),2),"0000"))))</f>
        <v/>
      </c>
    </row>
    <row r="1675">
      <c r="A1675">
        <f>IF(OR(Calc!$E1679="",Calc!$E1679="نامعتبر",Calc!$G1679=""),"",Calc!$G1679)</f>
        <v/>
      </c>
      <c r="B1675">
        <f>IF($A1675="","",LEFT(Calc!$E1679,4)&amp;MID(Calc!$E1679,6,2)&amp;RIGHT(Calc!$E1679,2)&amp;Calc!$Q1679&amp;"|"&amp;"1"&amp;RIGHT("00000"&amp;1670,5))</f>
        <v/>
      </c>
      <c r="C1675">
        <f>IF($B1675="","",COUNTIFS(LdgSellerA,$A1675,LdgKeyA,"&lt;"&amp;$B1675)+COUNTIFS(LdgSellerB,$A1675,LdgKeyB,"&lt;"&amp;$B1675)+1)</f>
        <v/>
      </c>
      <c r="D1675">
        <f>IF($C1675="","",$A1675&amp;"|"&amp;RIGHT("000000"&amp;$C1675,6))</f>
        <v/>
      </c>
      <c r="F1675">
        <f>IF(Sync!$AH1675="","",IF(LEFT(UPPER(TRIM(Sync!$AH1675)),2)="SL",UPPER(TRIM(Sync!$AH1675)),""))</f>
        <v/>
      </c>
      <c r="G1675">
        <f>IF($F1675="","",IF(Sync!$AE1675="","",IF(ISNUMBER(Sync!$AE1675),IF(AND(Sync!$AE1675&gt;=10000101,Sync!$AE1675&lt;=99991231),INT(Sync!$AE1675/10000),""),IFERROR(VALUE(TRIM(LEFT(Sync!$AE1675,FIND("/",Sync!$AE1675)-1))),""))))</f>
        <v/>
      </c>
      <c r="H1675">
        <f>IF(OR($F1675="",$G1675=""),"",IF(ISNUMBER(Sync!$AE1675),INT(MOD(Sync!$AE1675,10000)/100),IFERROR(VALUE(TRIM(LEFT(MID(Sync!$AE1675,FIND("/",Sync!$AE1675)+1,20),FIND("/",MID(Sync!$AE1675,FIND("/",Sync!$AE1675)+1,20))-1))),"")))</f>
        <v/>
      </c>
      <c r="I1675">
        <f>IF(OR($F1675="",$G1675=""),"",IF(ISNUMBER(Sync!$AE1675),MOD(Sync!$AE1675,100),IFERROR(VALUE(TRIM(MID(MID(Sync!$AE1675,FIND("/",Sync!$AE1675)+1,20),FIND("/",MID(Sync!$AE1675,FIND("/",Sync!$AE1675)+1,20))+1,20))),"")))</f>
        <v/>
      </c>
      <c r="J1675">
        <f>IF($F1675="","",IF(OR($G1675="",$H1675="",$I1675="",$G1675&lt;1300,$G1675&gt;1500,$H1675&lt;1,$H1675&gt;12,$I1675&lt;1,$I1675&gt;31),"نامعتبر",RIGHT("0000"&amp;$G1675,4)&amp;"/"&amp;RIGHT("00"&amp;$H1675,2)&amp;"/"&amp;RIGHT("00"&amp;$I1675,2)))</f>
        <v/>
      </c>
      <c r="K1675">
        <f>IF(OR($F1675="",$J1675="",$J1675="نامعتبر"),"",LEFT($J1675,4)&amp;MID($J1675,6,2)&amp;RIGHT($J1675,2)&amp;$N1675&amp;"|"&amp;"2"&amp;RIGHT("00000"&amp;1670,5))</f>
        <v/>
      </c>
      <c r="L1675">
        <f>IF($K1675="","",COUNTIFS(LdgSellerA,$F1675,LdgKeyA,"&lt;"&amp;$K1675)+COUNTIFS(LdgSellerB,$F1675,LdgKeyB,"&lt;"&amp;$K1675)+1)</f>
        <v/>
      </c>
      <c r="M1675">
        <f>IF($L1675="","",$F1675&amp;"|"&amp;RIGHT("000000"&amp;$L1675,6))</f>
        <v/>
      </c>
      <c r="N1675">
        <f>IF($F1675="","",IF(Sync!$AF1675="","0000",IF(AND(ISNUMBER(Sync!$AF1675),Sync!$AF1675&gt;=0,Sync!$AF1675&lt;1),RIGHT("00"&amp;HOUR(Sync!$AF1675),2)&amp;RIGHT("00"&amp;MINUTE(Sync!$AF1675),2),IFERROR(RIGHT("00"&amp;VALUE(LEFT(Sync!$AF1675,FIND(":",Sync!$AF1675)-1)),2)&amp;RIGHT("00"&amp;VALUE(MID(Sync!$AF1675,FIND(":",Sync!$AF1675)+1,2)),2),"0000"))))</f>
        <v/>
      </c>
    </row>
    <row r="1676">
      <c r="A1676">
        <f>IF(OR(Calc!$E1680="",Calc!$E1680="نامعتبر",Calc!$G1680=""),"",Calc!$G1680)</f>
        <v/>
      </c>
      <c r="B1676">
        <f>IF($A1676="","",LEFT(Calc!$E1680,4)&amp;MID(Calc!$E1680,6,2)&amp;RIGHT(Calc!$E1680,2)&amp;Calc!$Q1680&amp;"|"&amp;"1"&amp;RIGHT("00000"&amp;1671,5))</f>
        <v/>
      </c>
      <c r="C1676">
        <f>IF($B1676="","",COUNTIFS(LdgSellerA,$A1676,LdgKeyA,"&lt;"&amp;$B1676)+COUNTIFS(LdgSellerB,$A1676,LdgKeyB,"&lt;"&amp;$B1676)+1)</f>
        <v/>
      </c>
      <c r="D1676">
        <f>IF($C1676="","",$A1676&amp;"|"&amp;RIGHT("000000"&amp;$C1676,6))</f>
        <v/>
      </c>
      <c r="F1676">
        <f>IF(Sync!$AH1676="","",IF(LEFT(UPPER(TRIM(Sync!$AH1676)),2)="SL",UPPER(TRIM(Sync!$AH1676)),""))</f>
        <v/>
      </c>
      <c r="G1676">
        <f>IF($F1676="","",IF(Sync!$AE1676="","",IF(ISNUMBER(Sync!$AE1676),IF(AND(Sync!$AE1676&gt;=10000101,Sync!$AE1676&lt;=99991231),INT(Sync!$AE1676/10000),""),IFERROR(VALUE(TRIM(LEFT(Sync!$AE1676,FIND("/",Sync!$AE1676)-1))),""))))</f>
        <v/>
      </c>
      <c r="H1676">
        <f>IF(OR($F1676="",$G1676=""),"",IF(ISNUMBER(Sync!$AE1676),INT(MOD(Sync!$AE1676,10000)/100),IFERROR(VALUE(TRIM(LEFT(MID(Sync!$AE1676,FIND("/",Sync!$AE1676)+1,20),FIND("/",MID(Sync!$AE1676,FIND("/",Sync!$AE1676)+1,20))-1))),"")))</f>
        <v/>
      </c>
      <c r="I1676">
        <f>IF(OR($F1676="",$G1676=""),"",IF(ISNUMBER(Sync!$AE1676),MOD(Sync!$AE1676,100),IFERROR(VALUE(TRIM(MID(MID(Sync!$AE1676,FIND("/",Sync!$AE1676)+1,20),FIND("/",MID(Sync!$AE1676,FIND("/",Sync!$AE1676)+1,20))+1,20))),"")))</f>
        <v/>
      </c>
      <c r="J1676">
        <f>IF($F1676="","",IF(OR($G1676="",$H1676="",$I1676="",$G1676&lt;1300,$G1676&gt;1500,$H1676&lt;1,$H1676&gt;12,$I1676&lt;1,$I1676&gt;31),"نامعتبر",RIGHT("0000"&amp;$G1676,4)&amp;"/"&amp;RIGHT("00"&amp;$H1676,2)&amp;"/"&amp;RIGHT("00"&amp;$I1676,2)))</f>
        <v/>
      </c>
      <c r="K1676">
        <f>IF(OR($F1676="",$J1676="",$J1676="نامعتبر"),"",LEFT($J1676,4)&amp;MID($J1676,6,2)&amp;RIGHT($J1676,2)&amp;$N1676&amp;"|"&amp;"2"&amp;RIGHT("00000"&amp;1671,5))</f>
        <v/>
      </c>
      <c r="L1676">
        <f>IF($K1676="","",COUNTIFS(LdgSellerA,$F1676,LdgKeyA,"&lt;"&amp;$K1676)+COUNTIFS(LdgSellerB,$F1676,LdgKeyB,"&lt;"&amp;$K1676)+1)</f>
        <v/>
      </c>
      <c r="M1676">
        <f>IF($L1676="","",$F1676&amp;"|"&amp;RIGHT("000000"&amp;$L1676,6))</f>
        <v/>
      </c>
      <c r="N1676">
        <f>IF($F1676="","",IF(Sync!$AF1676="","0000",IF(AND(ISNUMBER(Sync!$AF1676),Sync!$AF1676&gt;=0,Sync!$AF1676&lt;1),RIGHT("00"&amp;HOUR(Sync!$AF1676),2)&amp;RIGHT("00"&amp;MINUTE(Sync!$AF1676),2),IFERROR(RIGHT("00"&amp;VALUE(LEFT(Sync!$AF1676,FIND(":",Sync!$AF1676)-1)),2)&amp;RIGHT("00"&amp;VALUE(MID(Sync!$AF1676,FIND(":",Sync!$AF1676)+1,2)),2),"0000"))))</f>
        <v/>
      </c>
    </row>
    <row r="1677">
      <c r="A1677">
        <f>IF(OR(Calc!$E1681="",Calc!$E1681="نامعتبر",Calc!$G1681=""),"",Calc!$G1681)</f>
        <v/>
      </c>
      <c r="B1677">
        <f>IF($A1677="","",LEFT(Calc!$E1681,4)&amp;MID(Calc!$E1681,6,2)&amp;RIGHT(Calc!$E1681,2)&amp;Calc!$Q1681&amp;"|"&amp;"1"&amp;RIGHT("00000"&amp;1672,5))</f>
        <v/>
      </c>
      <c r="C1677">
        <f>IF($B1677="","",COUNTIFS(LdgSellerA,$A1677,LdgKeyA,"&lt;"&amp;$B1677)+COUNTIFS(LdgSellerB,$A1677,LdgKeyB,"&lt;"&amp;$B1677)+1)</f>
        <v/>
      </c>
      <c r="D1677">
        <f>IF($C1677="","",$A1677&amp;"|"&amp;RIGHT("000000"&amp;$C1677,6))</f>
        <v/>
      </c>
      <c r="F1677">
        <f>IF(Sync!$AH1677="","",IF(LEFT(UPPER(TRIM(Sync!$AH1677)),2)="SL",UPPER(TRIM(Sync!$AH1677)),""))</f>
        <v/>
      </c>
      <c r="G1677">
        <f>IF($F1677="","",IF(Sync!$AE1677="","",IF(ISNUMBER(Sync!$AE1677),IF(AND(Sync!$AE1677&gt;=10000101,Sync!$AE1677&lt;=99991231),INT(Sync!$AE1677/10000),""),IFERROR(VALUE(TRIM(LEFT(Sync!$AE1677,FIND("/",Sync!$AE1677)-1))),""))))</f>
        <v/>
      </c>
      <c r="H1677">
        <f>IF(OR($F1677="",$G1677=""),"",IF(ISNUMBER(Sync!$AE1677),INT(MOD(Sync!$AE1677,10000)/100),IFERROR(VALUE(TRIM(LEFT(MID(Sync!$AE1677,FIND("/",Sync!$AE1677)+1,20),FIND("/",MID(Sync!$AE1677,FIND("/",Sync!$AE1677)+1,20))-1))),"")))</f>
        <v/>
      </c>
      <c r="I1677">
        <f>IF(OR($F1677="",$G1677=""),"",IF(ISNUMBER(Sync!$AE1677),MOD(Sync!$AE1677,100),IFERROR(VALUE(TRIM(MID(MID(Sync!$AE1677,FIND("/",Sync!$AE1677)+1,20),FIND("/",MID(Sync!$AE1677,FIND("/",Sync!$AE1677)+1,20))+1,20))),"")))</f>
        <v/>
      </c>
      <c r="J1677">
        <f>IF($F1677="","",IF(OR($G1677="",$H1677="",$I1677="",$G1677&lt;1300,$G1677&gt;1500,$H1677&lt;1,$H1677&gt;12,$I1677&lt;1,$I1677&gt;31),"نامعتبر",RIGHT("0000"&amp;$G1677,4)&amp;"/"&amp;RIGHT("00"&amp;$H1677,2)&amp;"/"&amp;RIGHT("00"&amp;$I1677,2)))</f>
        <v/>
      </c>
      <c r="K1677">
        <f>IF(OR($F1677="",$J1677="",$J1677="نامعتبر"),"",LEFT($J1677,4)&amp;MID($J1677,6,2)&amp;RIGHT($J1677,2)&amp;$N1677&amp;"|"&amp;"2"&amp;RIGHT("00000"&amp;1672,5))</f>
        <v/>
      </c>
      <c r="L1677">
        <f>IF($K1677="","",COUNTIFS(LdgSellerA,$F1677,LdgKeyA,"&lt;"&amp;$K1677)+COUNTIFS(LdgSellerB,$F1677,LdgKeyB,"&lt;"&amp;$K1677)+1)</f>
        <v/>
      </c>
      <c r="M1677">
        <f>IF($L1677="","",$F1677&amp;"|"&amp;RIGHT("000000"&amp;$L1677,6))</f>
        <v/>
      </c>
      <c r="N1677">
        <f>IF($F1677="","",IF(Sync!$AF1677="","0000",IF(AND(ISNUMBER(Sync!$AF1677),Sync!$AF1677&gt;=0,Sync!$AF1677&lt;1),RIGHT("00"&amp;HOUR(Sync!$AF1677),2)&amp;RIGHT("00"&amp;MINUTE(Sync!$AF1677),2),IFERROR(RIGHT("00"&amp;VALUE(LEFT(Sync!$AF1677,FIND(":",Sync!$AF1677)-1)),2)&amp;RIGHT("00"&amp;VALUE(MID(Sync!$AF1677,FIND(":",Sync!$AF1677)+1,2)),2),"0000"))))</f>
        <v/>
      </c>
    </row>
    <row r="1678">
      <c r="A1678">
        <f>IF(OR(Calc!$E1682="",Calc!$E1682="نامعتبر",Calc!$G1682=""),"",Calc!$G1682)</f>
        <v/>
      </c>
      <c r="B1678">
        <f>IF($A1678="","",LEFT(Calc!$E1682,4)&amp;MID(Calc!$E1682,6,2)&amp;RIGHT(Calc!$E1682,2)&amp;Calc!$Q1682&amp;"|"&amp;"1"&amp;RIGHT("00000"&amp;1673,5))</f>
        <v/>
      </c>
      <c r="C1678">
        <f>IF($B1678="","",COUNTIFS(LdgSellerA,$A1678,LdgKeyA,"&lt;"&amp;$B1678)+COUNTIFS(LdgSellerB,$A1678,LdgKeyB,"&lt;"&amp;$B1678)+1)</f>
        <v/>
      </c>
      <c r="D1678">
        <f>IF($C1678="","",$A1678&amp;"|"&amp;RIGHT("000000"&amp;$C1678,6))</f>
        <v/>
      </c>
      <c r="F1678">
        <f>IF(Sync!$AH1678="","",IF(LEFT(UPPER(TRIM(Sync!$AH1678)),2)="SL",UPPER(TRIM(Sync!$AH1678)),""))</f>
        <v/>
      </c>
      <c r="G1678">
        <f>IF($F1678="","",IF(Sync!$AE1678="","",IF(ISNUMBER(Sync!$AE1678),IF(AND(Sync!$AE1678&gt;=10000101,Sync!$AE1678&lt;=99991231),INT(Sync!$AE1678/10000),""),IFERROR(VALUE(TRIM(LEFT(Sync!$AE1678,FIND("/",Sync!$AE1678)-1))),""))))</f>
        <v/>
      </c>
      <c r="H1678">
        <f>IF(OR($F1678="",$G1678=""),"",IF(ISNUMBER(Sync!$AE1678),INT(MOD(Sync!$AE1678,10000)/100),IFERROR(VALUE(TRIM(LEFT(MID(Sync!$AE1678,FIND("/",Sync!$AE1678)+1,20),FIND("/",MID(Sync!$AE1678,FIND("/",Sync!$AE1678)+1,20))-1))),"")))</f>
        <v/>
      </c>
      <c r="I1678">
        <f>IF(OR($F1678="",$G1678=""),"",IF(ISNUMBER(Sync!$AE1678),MOD(Sync!$AE1678,100),IFERROR(VALUE(TRIM(MID(MID(Sync!$AE1678,FIND("/",Sync!$AE1678)+1,20),FIND("/",MID(Sync!$AE1678,FIND("/",Sync!$AE1678)+1,20))+1,20))),"")))</f>
        <v/>
      </c>
      <c r="J1678">
        <f>IF($F1678="","",IF(OR($G1678="",$H1678="",$I1678="",$G1678&lt;1300,$G1678&gt;1500,$H1678&lt;1,$H1678&gt;12,$I1678&lt;1,$I1678&gt;31),"نامعتبر",RIGHT("0000"&amp;$G1678,4)&amp;"/"&amp;RIGHT("00"&amp;$H1678,2)&amp;"/"&amp;RIGHT("00"&amp;$I1678,2)))</f>
        <v/>
      </c>
      <c r="K1678">
        <f>IF(OR($F1678="",$J1678="",$J1678="نامعتبر"),"",LEFT($J1678,4)&amp;MID($J1678,6,2)&amp;RIGHT($J1678,2)&amp;$N1678&amp;"|"&amp;"2"&amp;RIGHT("00000"&amp;1673,5))</f>
        <v/>
      </c>
      <c r="L1678">
        <f>IF($K1678="","",COUNTIFS(LdgSellerA,$F1678,LdgKeyA,"&lt;"&amp;$K1678)+COUNTIFS(LdgSellerB,$F1678,LdgKeyB,"&lt;"&amp;$K1678)+1)</f>
        <v/>
      </c>
      <c r="M1678">
        <f>IF($L1678="","",$F1678&amp;"|"&amp;RIGHT("000000"&amp;$L1678,6))</f>
        <v/>
      </c>
      <c r="N1678">
        <f>IF($F1678="","",IF(Sync!$AF1678="","0000",IF(AND(ISNUMBER(Sync!$AF1678),Sync!$AF1678&gt;=0,Sync!$AF1678&lt;1),RIGHT("00"&amp;HOUR(Sync!$AF1678),2)&amp;RIGHT("00"&amp;MINUTE(Sync!$AF1678),2),IFERROR(RIGHT("00"&amp;VALUE(LEFT(Sync!$AF1678,FIND(":",Sync!$AF1678)-1)),2)&amp;RIGHT("00"&amp;VALUE(MID(Sync!$AF1678,FIND(":",Sync!$AF1678)+1,2)),2),"0000"))))</f>
        <v/>
      </c>
    </row>
    <row r="1679">
      <c r="A1679">
        <f>IF(OR(Calc!$E1683="",Calc!$E1683="نامعتبر",Calc!$G1683=""),"",Calc!$G1683)</f>
        <v/>
      </c>
      <c r="B1679">
        <f>IF($A1679="","",LEFT(Calc!$E1683,4)&amp;MID(Calc!$E1683,6,2)&amp;RIGHT(Calc!$E1683,2)&amp;Calc!$Q1683&amp;"|"&amp;"1"&amp;RIGHT("00000"&amp;1674,5))</f>
        <v/>
      </c>
      <c r="C1679">
        <f>IF($B1679="","",COUNTIFS(LdgSellerA,$A1679,LdgKeyA,"&lt;"&amp;$B1679)+COUNTIFS(LdgSellerB,$A1679,LdgKeyB,"&lt;"&amp;$B1679)+1)</f>
        <v/>
      </c>
      <c r="D1679">
        <f>IF($C1679="","",$A1679&amp;"|"&amp;RIGHT("000000"&amp;$C1679,6))</f>
        <v/>
      </c>
      <c r="F1679">
        <f>IF(Sync!$AH1679="","",IF(LEFT(UPPER(TRIM(Sync!$AH1679)),2)="SL",UPPER(TRIM(Sync!$AH1679)),""))</f>
        <v/>
      </c>
      <c r="G1679">
        <f>IF($F1679="","",IF(Sync!$AE1679="","",IF(ISNUMBER(Sync!$AE1679),IF(AND(Sync!$AE1679&gt;=10000101,Sync!$AE1679&lt;=99991231),INT(Sync!$AE1679/10000),""),IFERROR(VALUE(TRIM(LEFT(Sync!$AE1679,FIND("/",Sync!$AE1679)-1))),""))))</f>
        <v/>
      </c>
      <c r="H1679">
        <f>IF(OR($F1679="",$G1679=""),"",IF(ISNUMBER(Sync!$AE1679),INT(MOD(Sync!$AE1679,10000)/100),IFERROR(VALUE(TRIM(LEFT(MID(Sync!$AE1679,FIND("/",Sync!$AE1679)+1,20),FIND("/",MID(Sync!$AE1679,FIND("/",Sync!$AE1679)+1,20))-1))),"")))</f>
        <v/>
      </c>
      <c r="I1679">
        <f>IF(OR($F1679="",$G1679=""),"",IF(ISNUMBER(Sync!$AE1679),MOD(Sync!$AE1679,100),IFERROR(VALUE(TRIM(MID(MID(Sync!$AE1679,FIND("/",Sync!$AE1679)+1,20),FIND("/",MID(Sync!$AE1679,FIND("/",Sync!$AE1679)+1,20))+1,20))),"")))</f>
        <v/>
      </c>
      <c r="J1679">
        <f>IF($F1679="","",IF(OR($G1679="",$H1679="",$I1679="",$G1679&lt;1300,$G1679&gt;1500,$H1679&lt;1,$H1679&gt;12,$I1679&lt;1,$I1679&gt;31),"نامعتبر",RIGHT("0000"&amp;$G1679,4)&amp;"/"&amp;RIGHT("00"&amp;$H1679,2)&amp;"/"&amp;RIGHT("00"&amp;$I1679,2)))</f>
        <v/>
      </c>
      <c r="K1679">
        <f>IF(OR($F1679="",$J1679="",$J1679="نامعتبر"),"",LEFT($J1679,4)&amp;MID($J1679,6,2)&amp;RIGHT($J1679,2)&amp;$N1679&amp;"|"&amp;"2"&amp;RIGHT("00000"&amp;1674,5))</f>
        <v/>
      </c>
      <c r="L1679">
        <f>IF($K1679="","",COUNTIFS(LdgSellerA,$F1679,LdgKeyA,"&lt;"&amp;$K1679)+COUNTIFS(LdgSellerB,$F1679,LdgKeyB,"&lt;"&amp;$K1679)+1)</f>
        <v/>
      </c>
      <c r="M1679">
        <f>IF($L1679="","",$F1679&amp;"|"&amp;RIGHT("000000"&amp;$L1679,6))</f>
        <v/>
      </c>
      <c r="N1679">
        <f>IF($F1679="","",IF(Sync!$AF1679="","0000",IF(AND(ISNUMBER(Sync!$AF1679),Sync!$AF1679&gt;=0,Sync!$AF1679&lt;1),RIGHT("00"&amp;HOUR(Sync!$AF1679),2)&amp;RIGHT("00"&amp;MINUTE(Sync!$AF1679),2),IFERROR(RIGHT("00"&amp;VALUE(LEFT(Sync!$AF1679,FIND(":",Sync!$AF1679)-1)),2)&amp;RIGHT("00"&amp;VALUE(MID(Sync!$AF1679,FIND(":",Sync!$AF1679)+1,2)),2),"0000"))))</f>
        <v/>
      </c>
    </row>
    <row r="1680">
      <c r="A1680">
        <f>IF(OR(Calc!$E1684="",Calc!$E1684="نامعتبر",Calc!$G1684=""),"",Calc!$G1684)</f>
        <v/>
      </c>
      <c r="B1680">
        <f>IF($A1680="","",LEFT(Calc!$E1684,4)&amp;MID(Calc!$E1684,6,2)&amp;RIGHT(Calc!$E1684,2)&amp;Calc!$Q1684&amp;"|"&amp;"1"&amp;RIGHT("00000"&amp;1675,5))</f>
        <v/>
      </c>
      <c r="C1680">
        <f>IF($B1680="","",COUNTIFS(LdgSellerA,$A1680,LdgKeyA,"&lt;"&amp;$B1680)+COUNTIFS(LdgSellerB,$A1680,LdgKeyB,"&lt;"&amp;$B1680)+1)</f>
        <v/>
      </c>
      <c r="D1680">
        <f>IF($C1680="","",$A1680&amp;"|"&amp;RIGHT("000000"&amp;$C1680,6))</f>
        <v/>
      </c>
      <c r="F1680">
        <f>IF(Sync!$AH1680="","",IF(LEFT(UPPER(TRIM(Sync!$AH1680)),2)="SL",UPPER(TRIM(Sync!$AH1680)),""))</f>
        <v/>
      </c>
      <c r="G1680">
        <f>IF($F1680="","",IF(Sync!$AE1680="","",IF(ISNUMBER(Sync!$AE1680),IF(AND(Sync!$AE1680&gt;=10000101,Sync!$AE1680&lt;=99991231),INT(Sync!$AE1680/10000),""),IFERROR(VALUE(TRIM(LEFT(Sync!$AE1680,FIND("/",Sync!$AE1680)-1))),""))))</f>
        <v/>
      </c>
      <c r="H1680">
        <f>IF(OR($F1680="",$G1680=""),"",IF(ISNUMBER(Sync!$AE1680),INT(MOD(Sync!$AE1680,10000)/100),IFERROR(VALUE(TRIM(LEFT(MID(Sync!$AE1680,FIND("/",Sync!$AE1680)+1,20),FIND("/",MID(Sync!$AE1680,FIND("/",Sync!$AE1680)+1,20))-1))),"")))</f>
        <v/>
      </c>
      <c r="I1680">
        <f>IF(OR($F1680="",$G1680=""),"",IF(ISNUMBER(Sync!$AE1680),MOD(Sync!$AE1680,100),IFERROR(VALUE(TRIM(MID(MID(Sync!$AE1680,FIND("/",Sync!$AE1680)+1,20),FIND("/",MID(Sync!$AE1680,FIND("/",Sync!$AE1680)+1,20))+1,20))),"")))</f>
        <v/>
      </c>
      <c r="J1680">
        <f>IF($F1680="","",IF(OR($G1680="",$H1680="",$I1680="",$G1680&lt;1300,$G1680&gt;1500,$H1680&lt;1,$H1680&gt;12,$I1680&lt;1,$I1680&gt;31),"نامعتبر",RIGHT("0000"&amp;$G1680,4)&amp;"/"&amp;RIGHT("00"&amp;$H1680,2)&amp;"/"&amp;RIGHT("00"&amp;$I1680,2)))</f>
        <v/>
      </c>
      <c r="K1680">
        <f>IF(OR($F1680="",$J1680="",$J1680="نامعتبر"),"",LEFT($J1680,4)&amp;MID($J1680,6,2)&amp;RIGHT($J1680,2)&amp;$N1680&amp;"|"&amp;"2"&amp;RIGHT("00000"&amp;1675,5))</f>
        <v/>
      </c>
      <c r="L1680">
        <f>IF($K1680="","",COUNTIFS(LdgSellerA,$F1680,LdgKeyA,"&lt;"&amp;$K1680)+COUNTIFS(LdgSellerB,$F1680,LdgKeyB,"&lt;"&amp;$K1680)+1)</f>
        <v/>
      </c>
      <c r="M1680">
        <f>IF($L1680="","",$F1680&amp;"|"&amp;RIGHT("000000"&amp;$L1680,6))</f>
        <v/>
      </c>
      <c r="N1680">
        <f>IF($F1680="","",IF(Sync!$AF1680="","0000",IF(AND(ISNUMBER(Sync!$AF1680),Sync!$AF1680&gt;=0,Sync!$AF1680&lt;1),RIGHT("00"&amp;HOUR(Sync!$AF1680),2)&amp;RIGHT("00"&amp;MINUTE(Sync!$AF1680),2),IFERROR(RIGHT("00"&amp;VALUE(LEFT(Sync!$AF1680,FIND(":",Sync!$AF1680)-1)),2)&amp;RIGHT("00"&amp;VALUE(MID(Sync!$AF1680,FIND(":",Sync!$AF1680)+1,2)),2),"0000"))))</f>
        <v/>
      </c>
    </row>
    <row r="1681">
      <c r="A1681">
        <f>IF(OR(Calc!$E1685="",Calc!$E1685="نامعتبر",Calc!$G1685=""),"",Calc!$G1685)</f>
        <v/>
      </c>
      <c r="B1681">
        <f>IF($A1681="","",LEFT(Calc!$E1685,4)&amp;MID(Calc!$E1685,6,2)&amp;RIGHT(Calc!$E1685,2)&amp;Calc!$Q1685&amp;"|"&amp;"1"&amp;RIGHT("00000"&amp;1676,5))</f>
        <v/>
      </c>
      <c r="C1681">
        <f>IF($B1681="","",COUNTIFS(LdgSellerA,$A1681,LdgKeyA,"&lt;"&amp;$B1681)+COUNTIFS(LdgSellerB,$A1681,LdgKeyB,"&lt;"&amp;$B1681)+1)</f>
        <v/>
      </c>
      <c r="D1681">
        <f>IF($C1681="","",$A1681&amp;"|"&amp;RIGHT("000000"&amp;$C1681,6))</f>
        <v/>
      </c>
      <c r="F1681">
        <f>IF(Sync!$AH1681="","",IF(LEFT(UPPER(TRIM(Sync!$AH1681)),2)="SL",UPPER(TRIM(Sync!$AH1681)),""))</f>
        <v/>
      </c>
      <c r="G1681">
        <f>IF($F1681="","",IF(Sync!$AE1681="","",IF(ISNUMBER(Sync!$AE1681),IF(AND(Sync!$AE1681&gt;=10000101,Sync!$AE1681&lt;=99991231),INT(Sync!$AE1681/10000),""),IFERROR(VALUE(TRIM(LEFT(Sync!$AE1681,FIND("/",Sync!$AE1681)-1))),""))))</f>
        <v/>
      </c>
      <c r="H1681">
        <f>IF(OR($F1681="",$G1681=""),"",IF(ISNUMBER(Sync!$AE1681),INT(MOD(Sync!$AE1681,10000)/100),IFERROR(VALUE(TRIM(LEFT(MID(Sync!$AE1681,FIND("/",Sync!$AE1681)+1,20),FIND("/",MID(Sync!$AE1681,FIND("/",Sync!$AE1681)+1,20))-1))),"")))</f>
        <v/>
      </c>
      <c r="I1681">
        <f>IF(OR($F1681="",$G1681=""),"",IF(ISNUMBER(Sync!$AE1681),MOD(Sync!$AE1681,100),IFERROR(VALUE(TRIM(MID(MID(Sync!$AE1681,FIND("/",Sync!$AE1681)+1,20),FIND("/",MID(Sync!$AE1681,FIND("/",Sync!$AE1681)+1,20))+1,20))),"")))</f>
        <v/>
      </c>
      <c r="J1681">
        <f>IF($F1681="","",IF(OR($G1681="",$H1681="",$I1681="",$G1681&lt;1300,$G1681&gt;1500,$H1681&lt;1,$H1681&gt;12,$I1681&lt;1,$I1681&gt;31),"نامعتبر",RIGHT("0000"&amp;$G1681,4)&amp;"/"&amp;RIGHT("00"&amp;$H1681,2)&amp;"/"&amp;RIGHT("00"&amp;$I1681,2)))</f>
        <v/>
      </c>
      <c r="K1681">
        <f>IF(OR($F1681="",$J1681="",$J1681="نامعتبر"),"",LEFT($J1681,4)&amp;MID($J1681,6,2)&amp;RIGHT($J1681,2)&amp;$N1681&amp;"|"&amp;"2"&amp;RIGHT("00000"&amp;1676,5))</f>
        <v/>
      </c>
      <c r="L1681">
        <f>IF($K1681="","",COUNTIFS(LdgSellerA,$F1681,LdgKeyA,"&lt;"&amp;$K1681)+COUNTIFS(LdgSellerB,$F1681,LdgKeyB,"&lt;"&amp;$K1681)+1)</f>
        <v/>
      </c>
      <c r="M1681">
        <f>IF($L1681="","",$F1681&amp;"|"&amp;RIGHT("000000"&amp;$L1681,6))</f>
        <v/>
      </c>
      <c r="N1681">
        <f>IF($F1681="","",IF(Sync!$AF1681="","0000",IF(AND(ISNUMBER(Sync!$AF1681),Sync!$AF1681&gt;=0,Sync!$AF1681&lt;1),RIGHT("00"&amp;HOUR(Sync!$AF1681),2)&amp;RIGHT("00"&amp;MINUTE(Sync!$AF1681),2),IFERROR(RIGHT("00"&amp;VALUE(LEFT(Sync!$AF1681,FIND(":",Sync!$AF1681)-1)),2)&amp;RIGHT("00"&amp;VALUE(MID(Sync!$AF1681,FIND(":",Sync!$AF1681)+1,2)),2),"0000"))))</f>
        <v/>
      </c>
    </row>
    <row r="1682">
      <c r="A1682">
        <f>IF(OR(Calc!$E1686="",Calc!$E1686="نامعتبر",Calc!$G1686=""),"",Calc!$G1686)</f>
        <v/>
      </c>
      <c r="B1682">
        <f>IF($A1682="","",LEFT(Calc!$E1686,4)&amp;MID(Calc!$E1686,6,2)&amp;RIGHT(Calc!$E1686,2)&amp;Calc!$Q1686&amp;"|"&amp;"1"&amp;RIGHT("00000"&amp;1677,5))</f>
        <v/>
      </c>
      <c r="C1682">
        <f>IF($B1682="","",COUNTIFS(LdgSellerA,$A1682,LdgKeyA,"&lt;"&amp;$B1682)+COUNTIFS(LdgSellerB,$A1682,LdgKeyB,"&lt;"&amp;$B1682)+1)</f>
        <v/>
      </c>
      <c r="D1682">
        <f>IF($C1682="","",$A1682&amp;"|"&amp;RIGHT("000000"&amp;$C1682,6))</f>
        <v/>
      </c>
      <c r="F1682">
        <f>IF(Sync!$AH1682="","",IF(LEFT(UPPER(TRIM(Sync!$AH1682)),2)="SL",UPPER(TRIM(Sync!$AH1682)),""))</f>
        <v/>
      </c>
      <c r="G1682">
        <f>IF($F1682="","",IF(Sync!$AE1682="","",IF(ISNUMBER(Sync!$AE1682),IF(AND(Sync!$AE1682&gt;=10000101,Sync!$AE1682&lt;=99991231),INT(Sync!$AE1682/10000),""),IFERROR(VALUE(TRIM(LEFT(Sync!$AE1682,FIND("/",Sync!$AE1682)-1))),""))))</f>
        <v/>
      </c>
      <c r="H1682">
        <f>IF(OR($F1682="",$G1682=""),"",IF(ISNUMBER(Sync!$AE1682),INT(MOD(Sync!$AE1682,10000)/100),IFERROR(VALUE(TRIM(LEFT(MID(Sync!$AE1682,FIND("/",Sync!$AE1682)+1,20),FIND("/",MID(Sync!$AE1682,FIND("/",Sync!$AE1682)+1,20))-1))),"")))</f>
        <v/>
      </c>
      <c r="I1682">
        <f>IF(OR($F1682="",$G1682=""),"",IF(ISNUMBER(Sync!$AE1682),MOD(Sync!$AE1682,100),IFERROR(VALUE(TRIM(MID(MID(Sync!$AE1682,FIND("/",Sync!$AE1682)+1,20),FIND("/",MID(Sync!$AE1682,FIND("/",Sync!$AE1682)+1,20))+1,20))),"")))</f>
        <v/>
      </c>
      <c r="J1682">
        <f>IF($F1682="","",IF(OR($G1682="",$H1682="",$I1682="",$G1682&lt;1300,$G1682&gt;1500,$H1682&lt;1,$H1682&gt;12,$I1682&lt;1,$I1682&gt;31),"نامعتبر",RIGHT("0000"&amp;$G1682,4)&amp;"/"&amp;RIGHT("00"&amp;$H1682,2)&amp;"/"&amp;RIGHT("00"&amp;$I1682,2)))</f>
        <v/>
      </c>
      <c r="K1682">
        <f>IF(OR($F1682="",$J1682="",$J1682="نامعتبر"),"",LEFT($J1682,4)&amp;MID($J1682,6,2)&amp;RIGHT($J1682,2)&amp;$N1682&amp;"|"&amp;"2"&amp;RIGHT("00000"&amp;1677,5))</f>
        <v/>
      </c>
      <c r="L1682">
        <f>IF($K1682="","",COUNTIFS(LdgSellerA,$F1682,LdgKeyA,"&lt;"&amp;$K1682)+COUNTIFS(LdgSellerB,$F1682,LdgKeyB,"&lt;"&amp;$K1682)+1)</f>
        <v/>
      </c>
      <c r="M1682">
        <f>IF($L1682="","",$F1682&amp;"|"&amp;RIGHT("000000"&amp;$L1682,6))</f>
        <v/>
      </c>
      <c r="N1682">
        <f>IF($F1682="","",IF(Sync!$AF1682="","0000",IF(AND(ISNUMBER(Sync!$AF1682),Sync!$AF1682&gt;=0,Sync!$AF1682&lt;1),RIGHT("00"&amp;HOUR(Sync!$AF1682),2)&amp;RIGHT("00"&amp;MINUTE(Sync!$AF1682),2),IFERROR(RIGHT("00"&amp;VALUE(LEFT(Sync!$AF1682,FIND(":",Sync!$AF1682)-1)),2)&amp;RIGHT("00"&amp;VALUE(MID(Sync!$AF1682,FIND(":",Sync!$AF1682)+1,2)),2),"0000"))))</f>
        <v/>
      </c>
    </row>
    <row r="1683">
      <c r="A1683">
        <f>IF(OR(Calc!$E1687="",Calc!$E1687="نامعتبر",Calc!$G1687=""),"",Calc!$G1687)</f>
        <v/>
      </c>
      <c r="B1683">
        <f>IF($A1683="","",LEFT(Calc!$E1687,4)&amp;MID(Calc!$E1687,6,2)&amp;RIGHT(Calc!$E1687,2)&amp;Calc!$Q1687&amp;"|"&amp;"1"&amp;RIGHT("00000"&amp;1678,5))</f>
        <v/>
      </c>
      <c r="C1683">
        <f>IF($B1683="","",COUNTIFS(LdgSellerA,$A1683,LdgKeyA,"&lt;"&amp;$B1683)+COUNTIFS(LdgSellerB,$A1683,LdgKeyB,"&lt;"&amp;$B1683)+1)</f>
        <v/>
      </c>
      <c r="D1683">
        <f>IF($C1683="","",$A1683&amp;"|"&amp;RIGHT("000000"&amp;$C1683,6))</f>
        <v/>
      </c>
      <c r="F1683">
        <f>IF(Sync!$AH1683="","",IF(LEFT(UPPER(TRIM(Sync!$AH1683)),2)="SL",UPPER(TRIM(Sync!$AH1683)),""))</f>
        <v/>
      </c>
      <c r="G1683">
        <f>IF($F1683="","",IF(Sync!$AE1683="","",IF(ISNUMBER(Sync!$AE1683),IF(AND(Sync!$AE1683&gt;=10000101,Sync!$AE1683&lt;=99991231),INT(Sync!$AE1683/10000),""),IFERROR(VALUE(TRIM(LEFT(Sync!$AE1683,FIND("/",Sync!$AE1683)-1))),""))))</f>
        <v/>
      </c>
      <c r="H1683">
        <f>IF(OR($F1683="",$G1683=""),"",IF(ISNUMBER(Sync!$AE1683),INT(MOD(Sync!$AE1683,10000)/100),IFERROR(VALUE(TRIM(LEFT(MID(Sync!$AE1683,FIND("/",Sync!$AE1683)+1,20),FIND("/",MID(Sync!$AE1683,FIND("/",Sync!$AE1683)+1,20))-1))),"")))</f>
        <v/>
      </c>
      <c r="I1683">
        <f>IF(OR($F1683="",$G1683=""),"",IF(ISNUMBER(Sync!$AE1683),MOD(Sync!$AE1683,100),IFERROR(VALUE(TRIM(MID(MID(Sync!$AE1683,FIND("/",Sync!$AE1683)+1,20),FIND("/",MID(Sync!$AE1683,FIND("/",Sync!$AE1683)+1,20))+1,20))),"")))</f>
        <v/>
      </c>
      <c r="J1683">
        <f>IF($F1683="","",IF(OR($G1683="",$H1683="",$I1683="",$G1683&lt;1300,$G1683&gt;1500,$H1683&lt;1,$H1683&gt;12,$I1683&lt;1,$I1683&gt;31),"نامعتبر",RIGHT("0000"&amp;$G1683,4)&amp;"/"&amp;RIGHT("00"&amp;$H1683,2)&amp;"/"&amp;RIGHT("00"&amp;$I1683,2)))</f>
        <v/>
      </c>
      <c r="K1683">
        <f>IF(OR($F1683="",$J1683="",$J1683="نامعتبر"),"",LEFT($J1683,4)&amp;MID($J1683,6,2)&amp;RIGHT($J1683,2)&amp;$N1683&amp;"|"&amp;"2"&amp;RIGHT("00000"&amp;1678,5))</f>
        <v/>
      </c>
      <c r="L1683">
        <f>IF($K1683="","",COUNTIFS(LdgSellerA,$F1683,LdgKeyA,"&lt;"&amp;$K1683)+COUNTIFS(LdgSellerB,$F1683,LdgKeyB,"&lt;"&amp;$K1683)+1)</f>
        <v/>
      </c>
      <c r="M1683">
        <f>IF($L1683="","",$F1683&amp;"|"&amp;RIGHT("000000"&amp;$L1683,6))</f>
        <v/>
      </c>
      <c r="N1683">
        <f>IF($F1683="","",IF(Sync!$AF1683="","0000",IF(AND(ISNUMBER(Sync!$AF1683),Sync!$AF1683&gt;=0,Sync!$AF1683&lt;1),RIGHT("00"&amp;HOUR(Sync!$AF1683),2)&amp;RIGHT("00"&amp;MINUTE(Sync!$AF1683),2),IFERROR(RIGHT("00"&amp;VALUE(LEFT(Sync!$AF1683,FIND(":",Sync!$AF1683)-1)),2)&amp;RIGHT("00"&amp;VALUE(MID(Sync!$AF1683,FIND(":",Sync!$AF1683)+1,2)),2),"0000"))))</f>
        <v/>
      </c>
    </row>
    <row r="1684">
      <c r="A1684">
        <f>IF(OR(Calc!$E1688="",Calc!$E1688="نامعتبر",Calc!$G1688=""),"",Calc!$G1688)</f>
        <v/>
      </c>
      <c r="B1684">
        <f>IF($A1684="","",LEFT(Calc!$E1688,4)&amp;MID(Calc!$E1688,6,2)&amp;RIGHT(Calc!$E1688,2)&amp;Calc!$Q1688&amp;"|"&amp;"1"&amp;RIGHT("00000"&amp;1679,5))</f>
        <v/>
      </c>
      <c r="C1684">
        <f>IF($B1684="","",COUNTIFS(LdgSellerA,$A1684,LdgKeyA,"&lt;"&amp;$B1684)+COUNTIFS(LdgSellerB,$A1684,LdgKeyB,"&lt;"&amp;$B1684)+1)</f>
        <v/>
      </c>
      <c r="D1684">
        <f>IF($C1684="","",$A1684&amp;"|"&amp;RIGHT("000000"&amp;$C1684,6))</f>
        <v/>
      </c>
      <c r="F1684">
        <f>IF(Sync!$AH1684="","",IF(LEFT(UPPER(TRIM(Sync!$AH1684)),2)="SL",UPPER(TRIM(Sync!$AH1684)),""))</f>
        <v/>
      </c>
      <c r="G1684">
        <f>IF($F1684="","",IF(Sync!$AE1684="","",IF(ISNUMBER(Sync!$AE1684),IF(AND(Sync!$AE1684&gt;=10000101,Sync!$AE1684&lt;=99991231),INT(Sync!$AE1684/10000),""),IFERROR(VALUE(TRIM(LEFT(Sync!$AE1684,FIND("/",Sync!$AE1684)-1))),""))))</f>
        <v/>
      </c>
      <c r="H1684">
        <f>IF(OR($F1684="",$G1684=""),"",IF(ISNUMBER(Sync!$AE1684),INT(MOD(Sync!$AE1684,10000)/100),IFERROR(VALUE(TRIM(LEFT(MID(Sync!$AE1684,FIND("/",Sync!$AE1684)+1,20),FIND("/",MID(Sync!$AE1684,FIND("/",Sync!$AE1684)+1,20))-1))),"")))</f>
        <v/>
      </c>
      <c r="I1684">
        <f>IF(OR($F1684="",$G1684=""),"",IF(ISNUMBER(Sync!$AE1684),MOD(Sync!$AE1684,100),IFERROR(VALUE(TRIM(MID(MID(Sync!$AE1684,FIND("/",Sync!$AE1684)+1,20),FIND("/",MID(Sync!$AE1684,FIND("/",Sync!$AE1684)+1,20))+1,20))),"")))</f>
        <v/>
      </c>
      <c r="J1684">
        <f>IF($F1684="","",IF(OR($G1684="",$H1684="",$I1684="",$G1684&lt;1300,$G1684&gt;1500,$H1684&lt;1,$H1684&gt;12,$I1684&lt;1,$I1684&gt;31),"نامعتبر",RIGHT("0000"&amp;$G1684,4)&amp;"/"&amp;RIGHT("00"&amp;$H1684,2)&amp;"/"&amp;RIGHT("00"&amp;$I1684,2)))</f>
        <v/>
      </c>
      <c r="K1684">
        <f>IF(OR($F1684="",$J1684="",$J1684="نامعتبر"),"",LEFT($J1684,4)&amp;MID($J1684,6,2)&amp;RIGHT($J1684,2)&amp;$N1684&amp;"|"&amp;"2"&amp;RIGHT("00000"&amp;1679,5))</f>
        <v/>
      </c>
      <c r="L1684">
        <f>IF($K1684="","",COUNTIFS(LdgSellerA,$F1684,LdgKeyA,"&lt;"&amp;$K1684)+COUNTIFS(LdgSellerB,$F1684,LdgKeyB,"&lt;"&amp;$K1684)+1)</f>
        <v/>
      </c>
      <c r="M1684">
        <f>IF($L1684="","",$F1684&amp;"|"&amp;RIGHT("000000"&amp;$L1684,6))</f>
        <v/>
      </c>
      <c r="N1684">
        <f>IF($F1684="","",IF(Sync!$AF1684="","0000",IF(AND(ISNUMBER(Sync!$AF1684),Sync!$AF1684&gt;=0,Sync!$AF1684&lt;1),RIGHT("00"&amp;HOUR(Sync!$AF1684),2)&amp;RIGHT("00"&amp;MINUTE(Sync!$AF1684),2),IFERROR(RIGHT("00"&amp;VALUE(LEFT(Sync!$AF1684,FIND(":",Sync!$AF1684)-1)),2)&amp;RIGHT("00"&amp;VALUE(MID(Sync!$AF1684,FIND(":",Sync!$AF1684)+1,2)),2),"0000"))))</f>
        <v/>
      </c>
    </row>
    <row r="1685">
      <c r="A1685">
        <f>IF(OR(Calc!$E1689="",Calc!$E1689="نامعتبر",Calc!$G1689=""),"",Calc!$G1689)</f>
        <v/>
      </c>
      <c r="B1685">
        <f>IF($A1685="","",LEFT(Calc!$E1689,4)&amp;MID(Calc!$E1689,6,2)&amp;RIGHT(Calc!$E1689,2)&amp;Calc!$Q1689&amp;"|"&amp;"1"&amp;RIGHT("00000"&amp;1680,5))</f>
        <v/>
      </c>
      <c r="C1685">
        <f>IF($B1685="","",COUNTIFS(LdgSellerA,$A1685,LdgKeyA,"&lt;"&amp;$B1685)+COUNTIFS(LdgSellerB,$A1685,LdgKeyB,"&lt;"&amp;$B1685)+1)</f>
        <v/>
      </c>
      <c r="D1685">
        <f>IF($C1685="","",$A1685&amp;"|"&amp;RIGHT("000000"&amp;$C1685,6))</f>
        <v/>
      </c>
      <c r="F1685">
        <f>IF(Sync!$AH1685="","",IF(LEFT(UPPER(TRIM(Sync!$AH1685)),2)="SL",UPPER(TRIM(Sync!$AH1685)),""))</f>
        <v/>
      </c>
      <c r="G1685">
        <f>IF($F1685="","",IF(Sync!$AE1685="","",IF(ISNUMBER(Sync!$AE1685),IF(AND(Sync!$AE1685&gt;=10000101,Sync!$AE1685&lt;=99991231),INT(Sync!$AE1685/10000),""),IFERROR(VALUE(TRIM(LEFT(Sync!$AE1685,FIND("/",Sync!$AE1685)-1))),""))))</f>
        <v/>
      </c>
      <c r="H1685">
        <f>IF(OR($F1685="",$G1685=""),"",IF(ISNUMBER(Sync!$AE1685),INT(MOD(Sync!$AE1685,10000)/100),IFERROR(VALUE(TRIM(LEFT(MID(Sync!$AE1685,FIND("/",Sync!$AE1685)+1,20),FIND("/",MID(Sync!$AE1685,FIND("/",Sync!$AE1685)+1,20))-1))),"")))</f>
        <v/>
      </c>
      <c r="I1685">
        <f>IF(OR($F1685="",$G1685=""),"",IF(ISNUMBER(Sync!$AE1685),MOD(Sync!$AE1685,100),IFERROR(VALUE(TRIM(MID(MID(Sync!$AE1685,FIND("/",Sync!$AE1685)+1,20),FIND("/",MID(Sync!$AE1685,FIND("/",Sync!$AE1685)+1,20))+1,20))),"")))</f>
        <v/>
      </c>
      <c r="J1685">
        <f>IF($F1685="","",IF(OR($G1685="",$H1685="",$I1685="",$G1685&lt;1300,$G1685&gt;1500,$H1685&lt;1,$H1685&gt;12,$I1685&lt;1,$I1685&gt;31),"نامعتبر",RIGHT("0000"&amp;$G1685,4)&amp;"/"&amp;RIGHT("00"&amp;$H1685,2)&amp;"/"&amp;RIGHT("00"&amp;$I1685,2)))</f>
        <v/>
      </c>
      <c r="K1685">
        <f>IF(OR($F1685="",$J1685="",$J1685="نامعتبر"),"",LEFT($J1685,4)&amp;MID($J1685,6,2)&amp;RIGHT($J1685,2)&amp;$N1685&amp;"|"&amp;"2"&amp;RIGHT("00000"&amp;1680,5))</f>
        <v/>
      </c>
      <c r="L1685">
        <f>IF($K1685="","",COUNTIFS(LdgSellerA,$F1685,LdgKeyA,"&lt;"&amp;$K1685)+COUNTIFS(LdgSellerB,$F1685,LdgKeyB,"&lt;"&amp;$K1685)+1)</f>
        <v/>
      </c>
      <c r="M1685">
        <f>IF($L1685="","",$F1685&amp;"|"&amp;RIGHT("000000"&amp;$L1685,6))</f>
        <v/>
      </c>
      <c r="N1685">
        <f>IF($F1685="","",IF(Sync!$AF1685="","0000",IF(AND(ISNUMBER(Sync!$AF1685),Sync!$AF1685&gt;=0,Sync!$AF1685&lt;1),RIGHT("00"&amp;HOUR(Sync!$AF1685),2)&amp;RIGHT("00"&amp;MINUTE(Sync!$AF1685),2),IFERROR(RIGHT("00"&amp;VALUE(LEFT(Sync!$AF1685,FIND(":",Sync!$AF1685)-1)),2)&amp;RIGHT("00"&amp;VALUE(MID(Sync!$AF1685,FIND(":",Sync!$AF1685)+1,2)),2),"0000"))))</f>
        <v/>
      </c>
    </row>
    <row r="1686">
      <c r="A1686">
        <f>IF(OR(Calc!$E1690="",Calc!$E1690="نامعتبر",Calc!$G1690=""),"",Calc!$G1690)</f>
        <v/>
      </c>
      <c r="B1686">
        <f>IF($A1686="","",LEFT(Calc!$E1690,4)&amp;MID(Calc!$E1690,6,2)&amp;RIGHT(Calc!$E1690,2)&amp;Calc!$Q1690&amp;"|"&amp;"1"&amp;RIGHT("00000"&amp;1681,5))</f>
        <v/>
      </c>
      <c r="C1686">
        <f>IF($B1686="","",COUNTIFS(LdgSellerA,$A1686,LdgKeyA,"&lt;"&amp;$B1686)+COUNTIFS(LdgSellerB,$A1686,LdgKeyB,"&lt;"&amp;$B1686)+1)</f>
        <v/>
      </c>
      <c r="D1686">
        <f>IF($C1686="","",$A1686&amp;"|"&amp;RIGHT("000000"&amp;$C1686,6))</f>
        <v/>
      </c>
      <c r="F1686">
        <f>IF(Sync!$AH1686="","",IF(LEFT(UPPER(TRIM(Sync!$AH1686)),2)="SL",UPPER(TRIM(Sync!$AH1686)),""))</f>
        <v/>
      </c>
      <c r="G1686">
        <f>IF($F1686="","",IF(Sync!$AE1686="","",IF(ISNUMBER(Sync!$AE1686),IF(AND(Sync!$AE1686&gt;=10000101,Sync!$AE1686&lt;=99991231),INT(Sync!$AE1686/10000),""),IFERROR(VALUE(TRIM(LEFT(Sync!$AE1686,FIND("/",Sync!$AE1686)-1))),""))))</f>
        <v/>
      </c>
      <c r="H1686">
        <f>IF(OR($F1686="",$G1686=""),"",IF(ISNUMBER(Sync!$AE1686),INT(MOD(Sync!$AE1686,10000)/100),IFERROR(VALUE(TRIM(LEFT(MID(Sync!$AE1686,FIND("/",Sync!$AE1686)+1,20),FIND("/",MID(Sync!$AE1686,FIND("/",Sync!$AE1686)+1,20))-1))),"")))</f>
        <v/>
      </c>
      <c r="I1686">
        <f>IF(OR($F1686="",$G1686=""),"",IF(ISNUMBER(Sync!$AE1686),MOD(Sync!$AE1686,100),IFERROR(VALUE(TRIM(MID(MID(Sync!$AE1686,FIND("/",Sync!$AE1686)+1,20),FIND("/",MID(Sync!$AE1686,FIND("/",Sync!$AE1686)+1,20))+1,20))),"")))</f>
        <v/>
      </c>
      <c r="J1686">
        <f>IF($F1686="","",IF(OR($G1686="",$H1686="",$I1686="",$G1686&lt;1300,$G1686&gt;1500,$H1686&lt;1,$H1686&gt;12,$I1686&lt;1,$I1686&gt;31),"نامعتبر",RIGHT("0000"&amp;$G1686,4)&amp;"/"&amp;RIGHT("00"&amp;$H1686,2)&amp;"/"&amp;RIGHT("00"&amp;$I1686,2)))</f>
        <v/>
      </c>
      <c r="K1686">
        <f>IF(OR($F1686="",$J1686="",$J1686="نامعتبر"),"",LEFT($J1686,4)&amp;MID($J1686,6,2)&amp;RIGHT($J1686,2)&amp;$N1686&amp;"|"&amp;"2"&amp;RIGHT("00000"&amp;1681,5))</f>
        <v/>
      </c>
      <c r="L1686">
        <f>IF($K1686="","",COUNTIFS(LdgSellerA,$F1686,LdgKeyA,"&lt;"&amp;$K1686)+COUNTIFS(LdgSellerB,$F1686,LdgKeyB,"&lt;"&amp;$K1686)+1)</f>
        <v/>
      </c>
      <c r="M1686">
        <f>IF($L1686="","",$F1686&amp;"|"&amp;RIGHT("000000"&amp;$L1686,6))</f>
        <v/>
      </c>
      <c r="N1686">
        <f>IF($F1686="","",IF(Sync!$AF1686="","0000",IF(AND(ISNUMBER(Sync!$AF1686),Sync!$AF1686&gt;=0,Sync!$AF1686&lt;1),RIGHT("00"&amp;HOUR(Sync!$AF1686),2)&amp;RIGHT("00"&amp;MINUTE(Sync!$AF1686),2),IFERROR(RIGHT("00"&amp;VALUE(LEFT(Sync!$AF1686,FIND(":",Sync!$AF1686)-1)),2)&amp;RIGHT("00"&amp;VALUE(MID(Sync!$AF1686,FIND(":",Sync!$AF1686)+1,2)),2),"0000"))))</f>
        <v/>
      </c>
    </row>
    <row r="1687">
      <c r="A1687">
        <f>IF(OR(Calc!$E1691="",Calc!$E1691="نامعتبر",Calc!$G1691=""),"",Calc!$G1691)</f>
        <v/>
      </c>
      <c r="B1687">
        <f>IF($A1687="","",LEFT(Calc!$E1691,4)&amp;MID(Calc!$E1691,6,2)&amp;RIGHT(Calc!$E1691,2)&amp;Calc!$Q1691&amp;"|"&amp;"1"&amp;RIGHT("00000"&amp;1682,5))</f>
        <v/>
      </c>
      <c r="C1687">
        <f>IF($B1687="","",COUNTIFS(LdgSellerA,$A1687,LdgKeyA,"&lt;"&amp;$B1687)+COUNTIFS(LdgSellerB,$A1687,LdgKeyB,"&lt;"&amp;$B1687)+1)</f>
        <v/>
      </c>
      <c r="D1687">
        <f>IF($C1687="","",$A1687&amp;"|"&amp;RIGHT("000000"&amp;$C1687,6))</f>
        <v/>
      </c>
      <c r="F1687">
        <f>IF(Sync!$AH1687="","",IF(LEFT(UPPER(TRIM(Sync!$AH1687)),2)="SL",UPPER(TRIM(Sync!$AH1687)),""))</f>
        <v/>
      </c>
      <c r="G1687">
        <f>IF($F1687="","",IF(Sync!$AE1687="","",IF(ISNUMBER(Sync!$AE1687),IF(AND(Sync!$AE1687&gt;=10000101,Sync!$AE1687&lt;=99991231),INT(Sync!$AE1687/10000),""),IFERROR(VALUE(TRIM(LEFT(Sync!$AE1687,FIND("/",Sync!$AE1687)-1))),""))))</f>
        <v/>
      </c>
      <c r="H1687">
        <f>IF(OR($F1687="",$G1687=""),"",IF(ISNUMBER(Sync!$AE1687),INT(MOD(Sync!$AE1687,10000)/100),IFERROR(VALUE(TRIM(LEFT(MID(Sync!$AE1687,FIND("/",Sync!$AE1687)+1,20),FIND("/",MID(Sync!$AE1687,FIND("/",Sync!$AE1687)+1,20))-1))),"")))</f>
        <v/>
      </c>
      <c r="I1687">
        <f>IF(OR($F1687="",$G1687=""),"",IF(ISNUMBER(Sync!$AE1687),MOD(Sync!$AE1687,100),IFERROR(VALUE(TRIM(MID(MID(Sync!$AE1687,FIND("/",Sync!$AE1687)+1,20),FIND("/",MID(Sync!$AE1687,FIND("/",Sync!$AE1687)+1,20))+1,20))),"")))</f>
        <v/>
      </c>
      <c r="J1687">
        <f>IF($F1687="","",IF(OR($G1687="",$H1687="",$I1687="",$G1687&lt;1300,$G1687&gt;1500,$H1687&lt;1,$H1687&gt;12,$I1687&lt;1,$I1687&gt;31),"نامعتبر",RIGHT("0000"&amp;$G1687,4)&amp;"/"&amp;RIGHT("00"&amp;$H1687,2)&amp;"/"&amp;RIGHT("00"&amp;$I1687,2)))</f>
        <v/>
      </c>
      <c r="K1687">
        <f>IF(OR($F1687="",$J1687="",$J1687="نامعتبر"),"",LEFT($J1687,4)&amp;MID($J1687,6,2)&amp;RIGHT($J1687,2)&amp;$N1687&amp;"|"&amp;"2"&amp;RIGHT("00000"&amp;1682,5))</f>
        <v/>
      </c>
      <c r="L1687">
        <f>IF($K1687="","",COUNTIFS(LdgSellerA,$F1687,LdgKeyA,"&lt;"&amp;$K1687)+COUNTIFS(LdgSellerB,$F1687,LdgKeyB,"&lt;"&amp;$K1687)+1)</f>
        <v/>
      </c>
      <c r="M1687">
        <f>IF($L1687="","",$F1687&amp;"|"&amp;RIGHT("000000"&amp;$L1687,6))</f>
        <v/>
      </c>
      <c r="N1687">
        <f>IF($F1687="","",IF(Sync!$AF1687="","0000",IF(AND(ISNUMBER(Sync!$AF1687),Sync!$AF1687&gt;=0,Sync!$AF1687&lt;1),RIGHT("00"&amp;HOUR(Sync!$AF1687),2)&amp;RIGHT("00"&amp;MINUTE(Sync!$AF1687),2),IFERROR(RIGHT("00"&amp;VALUE(LEFT(Sync!$AF1687,FIND(":",Sync!$AF1687)-1)),2)&amp;RIGHT("00"&amp;VALUE(MID(Sync!$AF1687,FIND(":",Sync!$AF1687)+1,2)),2),"0000"))))</f>
        <v/>
      </c>
    </row>
    <row r="1688">
      <c r="A1688">
        <f>IF(OR(Calc!$E1692="",Calc!$E1692="نامعتبر",Calc!$G1692=""),"",Calc!$G1692)</f>
        <v/>
      </c>
      <c r="B1688">
        <f>IF($A1688="","",LEFT(Calc!$E1692,4)&amp;MID(Calc!$E1692,6,2)&amp;RIGHT(Calc!$E1692,2)&amp;Calc!$Q1692&amp;"|"&amp;"1"&amp;RIGHT("00000"&amp;1683,5))</f>
        <v/>
      </c>
      <c r="C1688">
        <f>IF($B1688="","",COUNTIFS(LdgSellerA,$A1688,LdgKeyA,"&lt;"&amp;$B1688)+COUNTIFS(LdgSellerB,$A1688,LdgKeyB,"&lt;"&amp;$B1688)+1)</f>
        <v/>
      </c>
      <c r="D1688">
        <f>IF($C1688="","",$A1688&amp;"|"&amp;RIGHT("000000"&amp;$C1688,6))</f>
        <v/>
      </c>
      <c r="F1688">
        <f>IF(Sync!$AH1688="","",IF(LEFT(UPPER(TRIM(Sync!$AH1688)),2)="SL",UPPER(TRIM(Sync!$AH1688)),""))</f>
        <v/>
      </c>
      <c r="G1688">
        <f>IF($F1688="","",IF(Sync!$AE1688="","",IF(ISNUMBER(Sync!$AE1688),IF(AND(Sync!$AE1688&gt;=10000101,Sync!$AE1688&lt;=99991231),INT(Sync!$AE1688/10000),""),IFERROR(VALUE(TRIM(LEFT(Sync!$AE1688,FIND("/",Sync!$AE1688)-1))),""))))</f>
        <v/>
      </c>
      <c r="H1688">
        <f>IF(OR($F1688="",$G1688=""),"",IF(ISNUMBER(Sync!$AE1688),INT(MOD(Sync!$AE1688,10000)/100),IFERROR(VALUE(TRIM(LEFT(MID(Sync!$AE1688,FIND("/",Sync!$AE1688)+1,20),FIND("/",MID(Sync!$AE1688,FIND("/",Sync!$AE1688)+1,20))-1))),"")))</f>
        <v/>
      </c>
      <c r="I1688">
        <f>IF(OR($F1688="",$G1688=""),"",IF(ISNUMBER(Sync!$AE1688),MOD(Sync!$AE1688,100),IFERROR(VALUE(TRIM(MID(MID(Sync!$AE1688,FIND("/",Sync!$AE1688)+1,20),FIND("/",MID(Sync!$AE1688,FIND("/",Sync!$AE1688)+1,20))+1,20))),"")))</f>
        <v/>
      </c>
      <c r="J1688">
        <f>IF($F1688="","",IF(OR($G1688="",$H1688="",$I1688="",$G1688&lt;1300,$G1688&gt;1500,$H1688&lt;1,$H1688&gt;12,$I1688&lt;1,$I1688&gt;31),"نامعتبر",RIGHT("0000"&amp;$G1688,4)&amp;"/"&amp;RIGHT("00"&amp;$H1688,2)&amp;"/"&amp;RIGHT("00"&amp;$I1688,2)))</f>
        <v/>
      </c>
      <c r="K1688">
        <f>IF(OR($F1688="",$J1688="",$J1688="نامعتبر"),"",LEFT($J1688,4)&amp;MID($J1688,6,2)&amp;RIGHT($J1688,2)&amp;$N1688&amp;"|"&amp;"2"&amp;RIGHT("00000"&amp;1683,5))</f>
        <v/>
      </c>
      <c r="L1688">
        <f>IF($K1688="","",COUNTIFS(LdgSellerA,$F1688,LdgKeyA,"&lt;"&amp;$K1688)+COUNTIFS(LdgSellerB,$F1688,LdgKeyB,"&lt;"&amp;$K1688)+1)</f>
        <v/>
      </c>
      <c r="M1688">
        <f>IF($L1688="","",$F1688&amp;"|"&amp;RIGHT("000000"&amp;$L1688,6))</f>
        <v/>
      </c>
      <c r="N1688">
        <f>IF($F1688="","",IF(Sync!$AF1688="","0000",IF(AND(ISNUMBER(Sync!$AF1688),Sync!$AF1688&gt;=0,Sync!$AF1688&lt;1),RIGHT("00"&amp;HOUR(Sync!$AF1688),2)&amp;RIGHT("00"&amp;MINUTE(Sync!$AF1688),2),IFERROR(RIGHT("00"&amp;VALUE(LEFT(Sync!$AF1688,FIND(":",Sync!$AF1688)-1)),2)&amp;RIGHT("00"&amp;VALUE(MID(Sync!$AF1688,FIND(":",Sync!$AF1688)+1,2)),2),"0000"))))</f>
        <v/>
      </c>
    </row>
    <row r="1689">
      <c r="A1689">
        <f>IF(OR(Calc!$E1693="",Calc!$E1693="نامعتبر",Calc!$G1693=""),"",Calc!$G1693)</f>
        <v/>
      </c>
      <c r="B1689">
        <f>IF($A1689="","",LEFT(Calc!$E1693,4)&amp;MID(Calc!$E1693,6,2)&amp;RIGHT(Calc!$E1693,2)&amp;Calc!$Q1693&amp;"|"&amp;"1"&amp;RIGHT("00000"&amp;1684,5))</f>
        <v/>
      </c>
      <c r="C1689">
        <f>IF($B1689="","",COUNTIFS(LdgSellerA,$A1689,LdgKeyA,"&lt;"&amp;$B1689)+COUNTIFS(LdgSellerB,$A1689,LdgKeyB,"&lt;"&amp;$B1689)+1)</f>
        <v/>
      </c>
      <c r="D1689">
        <f>IF($C1689="","",$A1689&amp;"|"&amp;RIGHT("000000"&amp;$C1689,6))</f>
        <v/>
      </c>
      <c r="F1689">
        <f>IF(Sync!$AH1689="","",IF(LEFT(UPPER(TRIM(Sync!$AH1689)),2)="SL",UPPER(TRIM(Sync!$AH1689)),""))</f>
        <v/>
      </c>
      <c r="G1689">
        <f>IF($F1689="","",IF(Sync!$AE1689="","",IF(ISNUMBER(Sync!$AE1689),IF(AND(Sync!$AE1689&gt;=10000101,Sync!$AE1689&lt;=99991231),INT(Sync!$AE1689/10000),""),IFERROR(VALUE(TRIM(LEFT(Sync!$AE1689,FIND("/",Sync!$AE1689)-1))),""))))</f>
        <v/>
      </c>
      <c r="H1689">
        <f>IF(OR($F1689="",$G1689=""),"",IF(ISNUMBER(Sync!$AE1689),INT(MOD(Sync!$AE1689,10000)/100),IFERROR(VALUE(TRIM(LEFT(MID(Sync!$AE1689,FIND("/",Sync!$AE1689)+1,20),FIND("/",MID(Sync!$AE1689,FIND("/",Sync!$AE1689)+1,20))-1))),"")))</f>
        <v/>
      </c>
      <c r="I1689">
        <f>IF(OR($F1689="",$G1689=""),"",IF(ISNUMBER(Sync!$AE1689),MOD(Sync!$AE1689,100),IFERROR(VALUE(TRIM(MID(MID(Sync!$AE1689,FIND("/",Sync!$AE1689)+1,20),FIND("/",MID(Sync!$AE1689,FIND("/",Sync!$AE1689)+1,20))+1,20))),"")))</f>
        <v/>
      </c>
      <c r="J1689">
        <f>IF($F1689="","",IF(OR($G1689="",$H1689="",$I1689="",$G1689&lt;1300,$G1689&gt;1500,$H1689&lt;1,$H1689&gt;12,$I1689&lt;1,$I1689&gt;31),"نامعتبر",RIGHT("0000"&amp;$G1689,4)&amp;"/"&amp;RIGHT("00"&amp;$H1689,2)&amp;"/"&amp;RIGHT("00"&amp;$I1689,2)))</f>
        <v/>
      </c>
      <c r="K1689">
        <f>IF(OR($F1689="",$J1689="",$J1689="نامعتبر"),"",LEFT($J1689,4)&amp;MID($J1689,6,2)&amp;RIGHT($J1689,2)&amp;$N1689&amp;"|"&amp;"2"&amp;RIGHT("00000"&amp;1684,5))</f>
        <v/>
      </c>
      <c r="L1689">
        <f>IF($K1689="","",COUNTIFS(LdgSellerA,$F1689,LdgKeyA,"&lt;"&amp;$K1689)+COUNTIFS(LdgSellerB,$F1689,LdgKeyB,"&lt;"&amp;$K1689)+1)</f>
        <v/>
      </c>
      <c r="M1689">
        <f>IF($L1689="","",$F1689&amp;"|"&amp;RIGHT("000000"&amp;$L1689,6))</f>
        <v/>
      </c>
      <c r="N1689">
        <f>IF($F1689="","",IF(Sync!$AF1689="","0000",IF(AND(ISNUMBER(Sync!$AF1689),Sync!$AF1689&gt;=0,Sync!$AF1689&lt;1),RIGHT("00"&amp;HOUR(Sync!$AF1689),2)&amp;RIGHT("00"&amp;MINUTE(Sync!$AF1689),2),IFERROR(RIGHT("00"&amp;VALUE(LEFT(Sync!$AF1689,FIND(":",Sync!$AF1689)-1)),2)&amp;RIGHT("00"&amp;VALUE(MID(Sync!$AF1689,FIND(":",Sync!$AF1689)+1,2)),2),"0000"))))</f>
        <v/>
      </c>
    </row>
    <row r="1690">
      <c r="A1690">
        <f>IF(OR(Calc!$E1694="",Calc!$E1694="نامعتبر",Calc!$G1694=""),"",Calc!$G1694)</f>
        <v/>
      </c>
      <c r="B1690">
        <f>IF($A1690="","",LEFT(Calc!$E1694,4)&amp;MID(Calc!$E1694,6,2)&amp;RIGHT(Calc!$E1694,2)&amp;Calc!$Q1694&amp;"|"&amp;"1"&amp;RIGHT("00000"&amp;1685,5))</f>
        <v/>
      </c>
      <c r="C1690">
        <f>IF($B1690="","",COUNTIFS(LdgSellerA,$A1690,LdgKeyA,"&lt;"&amp;$B1690)+COUNTIFS(LdgSellerB,$A1690,LdgKeyB,"&lt;"&amp;$B1690)+1)</f>
        <v/>
      </c>
      <c r="D1690">
        <f>IF($C1690="","",$A1690&amp;"|"&amp;RIGHT("000000"&amp;$C1690,6))</f>
        <v/>
      </c>
      <c r="F1690">
        <f>IF(Sync!$AH1690="","",IF(LEFT(UPPER(TRIM(Sync!$AH1690)),2)="SL",UPPER(TRIM(Sync!$AH1690)),""))</f>
        <v/>
      </c>
      <c r="G1690">
        <f>IF($F1690="","",IF(Sync!$AE1690="","",IF(ISNUMBER(Sync!$AE1690),IF(AND(Sync!$AE1690&gt;=10000101,Sync!$AE1690&lt;=99991231),INT(Sync!$AE1690/10000),""),IFERROR(VALUE(TRIM(LEFT(Sync!$AE1690,FIND("/",Sync!$AE1690)-1))),""))))</f>
        <v/>
      </c>
      <c r="H1690">
        <f>IF(OR($F1690="",$G1690=""),"",IF(ISNUMBER(Sync!$AE1690),INT(MOD(Sync!$AE1690,10000)/100),IFERROR(VALUE(TRIM(LEFT(MID(Sync!$AE1690,FIND("/",Sync!$AE1690)+1,20),FIND("/",MID(Sync!$AE1690,FIND("/",Sync!$AE1690)+1,20))-1))),"")))</f>
        <v/>
      </c>
      <c r="I1690">
        <f>IF(OR($F1690="",$G1690=""),"",IF(ISNUMBER(Sync!$AE1690),MOD(Sync!$AE1690,100),IFERROR(VALUE(TRIM(MID(MID(Sync!$AE1690,FIND("/",Sync!$AE1690)+1,20),FIND("/",MID(Sync!$AE1690,FIND("/",Sync!$AE1690)+1,20))+1,20))),"")))</f>
        <v/>
      </c>
      <c r="J1690">
        <f>IF($F1690="","",IF(OR($G1690="",$H1690="",$I1690="",$G1690&lt;1300,$G1690&gt;1500,$H1690&lt;1,$H1690&gt;12,$I1690&lt;1,$I1690&gt;31),"نامعتبر",RIGHT("0000"&amp;$G1690,4)&amp;"/"&amp;RIGHT("00"&amp;$H1690,2)&amp;"/"&amp;RIGHT("00"&amp;$I1690,2)))</f>
        <v/>
      </c>
      <c r="K1690">
        <f>IF(OR($F1690="",$J1690="",$J1690="نامعتبر"),"",LEFT($J1690,4)&amp;MID($J1690,6,2)&amp;RIGHT($J1690,2)&amp;$N1690&amp;"|"&amp;"2"&amp;RIGHT("00000"&amp;1685,5))</f>
        <v/>
      </c>
      <c r="L1690">
        <f>IF($K1690="","",COUNTIFS(LdgSellerA,$F1690,LdgKeyA,"&lt;"&amp;$K1690)+COUNTIFS(LdgSellerB,$F1690,LdgKeyB,"&lt;"&amp;$K1690)+1)</f>
        <v/>
      </c>
      <c r="M1690">
        <f>IF($L1690="","",$F1690&amp;"|"&amp;RIGHT("000000"&amp;$L1690,6))</f>
        <v/>
      </c>
      <c r="N1690">
        <f>IF($F1690="","",IF(Sync!$AF1690="","0000",IF(AND(ISNUMBER(Sync!$AF1690),Sync!$AF1690&gt;=0,Sync!$AF1690&lt;1),RIGHT("00"&amp;HOUR(Sync!$AF1690),2)&amp;RIGHT("00"&amp;MINUTE(Sync!$AF1690),2),IFERROR(RIGHT("00"&amp;VALUE(LEFT(Sync!$AF1690,FIND(":",Sync!$AF1690)-1)),2)&amp;RIGHT("00"&amp;VALUE(MID(Sync!$AF1690,FIND(":",Sync!$AF1690)+1,2)),2),"0000"))))</f>
        <v/>
      </c>
    </row>
    <row r="1691">
      <c r="A1691">
        <f>IF(OR(Calc!$E1695="",Calc!$E1695="نامعتبر",Calc!$G1695=""),"",Calc!$G1695)</f>
        <v/>
      </c>
      <c r="B1691">
        <f>IF($A1691="","",LEFT(Calc!$E1695,4)&amp;MID(Calc!$E1695,6,2)&amp;RIGHT(Calc!$E1695,2)&amp;Calc!$Q1695&amp;"|"&amp;"1"&amp;RIGHT("00000"&amp;1686,5))</f>
        <v/>
      </c>
      <c r="C1691">
        <f>IF($B1691="","",COUNTIFS(LdgSellerA,$A1691,LdgKeyA,"&lt;"&amp;$B1691)+COUNTIFS(LdgSellerB,$A1691,LdgKeyB,"&lt;"&amp;$B1691)+1)</f>
        <v/>
      </c>
      <c r="D1691">
        <f>IF($C1691="","",$A1691&amp;"|"&amp;RIGHT("000000"&amp;$C1691,6))</f>
        <v/>
      </c>
      <c r="F1691">
        <f>IF(Sync!$AH1691="","",IF(LEFT(UPPER(TRIM(Sync!$AH1691)),2)="SL",UPPER(TRIM(Sync!$AH1691)),""))</f>
        <v/>
      </c>
      <c r="G1691">
        <f>IF($F1691="","",IF(Sync!$AE1691="","",IF(ISNUMBER(Sync!$AE1691),IF(AND(Sync!$AE1691&gt;=10000101,Sync!$AE1691&lt;=99991231),INT(Sync!$AE1691/10000),""),IFERROR(VALUE(TRIM(LEFT(Sync!$AE1691,FIND("/",Sync!$AE1691)-1))),""))))</f>
        <v/>
      </c>
      <c r="H1691">
        <f>IF(OR($F1691="",$G1691=""),"",IF(ISNUMBER(Sync!$AE1691),INT(MOD(Sync!$AE1691,10000)/100),IFERROR(VALUE(TRIM(LEFT(MID(Sync!$AE1691,FIND("/",Sync!$AE1691)+1,20),FIND("/",MID(Sync!$AE1691,FIND("/",Sync!$AE1691)+1,20))-1))),"")))</f>
        <v/>
      </c>
      <c r="I1691">
        <f>IF(OR($F1691="",$G1691=""),"",IF(ISNUMBER(Sync!$AE1691),MOD(Sync!$AE1691,100),IFERROR(VALUE(TRIM(MID(MID(Sync!$AE1691,FIND("/",Sync!$AE1691)+1,20),FIND("/",MID(Sync!$AE1691,FIND("/",Sync!$AE1691)+1,20))+1,20))),"")))</f>
        <v/>
      </c>
      <c r="J1691">
        <f>IF($F1691="","",IF(OR($G1691="",$H1691="",$I1691="",$G1691&lt;1300,$G1691&gt;1500,$H1691&lt;1,$H1691&gt;12,$I1691&lt;1,$I1691&gt;31),"نامعتبر",RIGHT("0000"&amp;$G1691,4)&amp;"/"&amp;RIGHT("00"&amp;$H1691,2)&amp;"/"&amp;RIGHT("00"&amp;$I1691,2)))</f>
        <v/>
      </c>
      <c r="K1691">
        <f>IF(OR($F1691="",$J1691="",$J1691="نامعتبر"),"",LEFT($J1691,4)&amp;MID($J1691,6,2)&amp;RIGHT($J1691,2)&amp;$N1691&amp;"|"&amp;"2"&amp;RIGHT("00000"&amp;1686,5))</f>
        <v/>
      </c>
      <c r="L1691">
        <f>IF($K1691="","",COUNTIFS(LdgSellerA,$F1691,LdgKeyA,"&lt;"&amp;$K1691)+COUNTIFS(LdgSellerB,$F1691,LdgKeyB,"&lt;"&amp;$K1691)+1)</f>
        <v/>
      </c>
      <c r="M1691">
        <f>IF($L1691="","",$F1691&amp;"|"&amp;RIGHT("000000"&amp;$L1691,6))</f>
        <v/>
      </c>
      <c r="N1691">
        <f>IF($F1691="","",IF(Sync!$AF1691="","0000",IF(AND(ISNUMBER(Sync!$AF1691),Sync!$AF1691&gt;=0,Sync!$AF1691&lt;1),RIGHT("00"&amp;HOUR(Sync!$AF1691),2)&amp;RIGHT("00"&amp;MINUTE(Sync!$AF1691),2),IFERROR(RIGHT("00"&amp;VALUE(LEFT(Sync!$AF1691,FIND(":",Sync!$AF1691)-1)),2)&amp;RIGHT("00"&amp;VALUE(MID(Sync!$AF1691,FIND(":",Sync!$AF1691)+1,2)),2),"0000"))))</f>
        <v/>
      </c>
    </row>
    <row r="1692">
      <c r="A1692">
        <f>IF(OR(Calc!$E1696="",Calc!$E1696="نامعتبر",Calc!$G1696=""),"",Calc!$G1696)</f>
        <v/>
      </c>
      <c r="B1692">
        <f>IF($A1692="","",LEFT(Calc!$E1696,4)&amp;MID(Calc!$E1696,6,2)&amp;RIGHT(Calc!$E1696,2)&amp;Calc!$Q1696&amp;"|"&amp;"1"&amp;RIGHT("00000"&amp;1687,5))</f>
        <v/>
      </c>
      <c r="C1692">
        <f>IF($B1692="","",COUNTIFS(LdgSellerA,$A1692,LdgKeyA,"&lt;"&amp;$B1692)+COUNTIFS(LdgSellerB,$A1692,LdgKeyB,"&lt;"&amp;$B1692)+1)</f>
        <v/>
      </c>
      <c r="D1692">
        <f>IF($C1692="","",$A1692&amp;"|"&amp;RIGHT("000000"&amp;$C1692,6))</f>
        <v/>
      </c>
      <c r="F1692">
        <f>IF(Sync!$AH1692="","",IF(LEFT(UPPER(TRIM(Sync!$AH1692)),2)="SL",UPPER(TRIM(Sync!$AH1692)),""))</f>
        <v/>
      </c>
      <c r="G1692">
        <f>IF($F1692="","",IF(Sync!$AE1692="","",IF(ISNUMBER(Sync!$AE1692),IF(AND(Sync!$AE1692&gt;=10000101,Sync!$AE1692&lt;=99991231),INT(Sync!$AE1692/10000),""),IFERROR(VALUE(TRIM(LEFT(Sync!$AE1692,FIND("/",Sync!$AE1692)-1))),""))))</f>
        <v/>
      </c>
      <c r="H1692">
        <f>IF(OR($F1692="",$G1692=""),"",IF(ISNUMBER(Sync!$AE1692),INT(MOD(Sync!$AE1692,10000)/100),IFERROR(VALUE(TRIM(LEFT(MID(Sync!$AE1692,FIND("/",Sync!$AE1692)+1,20),FIND("/",MID(Sync!$AE1692,FIND("/",Sync!$AE1692)+1,20))-1))),"")))</f>
        <v/>
      </c>
      <c r="I1692">
        <f>IF(OR($F1692="",$G1692=""),"",IF(ISNUMBER(Sync!$AE1692),MOD(Sync!$AE1692,100),IFERROR(VALUE(TRIM(MID(MID(Sync!$AE1692,FIND("/",Sync!$AE1692)+1,20),FIND("/",MID(Sync!$AE1692,FIND("/",Sync!$AE1692)+1,20))+1,20))),"")))</f>
        <v/>
      </c>
      <c r="J1692">
        <f>IF($F1692="","",IF(OR($G1692="",$H1692="",$I1692="",$G1692&lt;1300,$G1692&gt;1500,$H1692&lt;1,$H1692&gt;12,$I1692&lt;1,$I1692&gt;31),"نامعتبر",RIGHT("0000"&amp;$G1692,4)&amp;"/"&amp;RIGHT("00"&amp;$H1692,2)&amp;"/"&amp;RIGHT("00"&amp;$I1692,2)))</f>
        <v/>
      </c>
      <c r="K1692">
        <f>IF(OR($F1692="",$J1692="",$J1692="نامعتبر"),"",LEFT($J1692,4)&amp;MID($J1692,6,2)&amp;RIGHT($J1692,2)&amp;$N1692&amp;"|"&amp;"2"&amp;RIGHT("00000"&amp;1687,5))</f>
        <v/>
      </c>
      <c r="L1692">
        <f>IF($K1692="","",COUNTIFS(LdgSellerA,$F1692,LdgKeyA,"&lt;"&amp;$K1692)+COUNTIFS(LdgSellerB,$F1692,LdgKeyB,"&lt;"&amp;$K1692)+1)</f>
        <v/>
      </c>
      <c r="M1692">
        <f>IF($L1692="","",$F1692&amp;"|"&amp;RIGHT("000000"&amp;$L1692,6))</f>
        <v/>
      </c>
      <c r="N1692">
        <f>IF($F1692="","",IF(Sync!$AF1692="","0000",IF(AND(ISNUMBER(Sync!$AF1692),Sync!$AF1692&gt;=0,Sync!$AF1692&lt;1),RIGHT("00"&amp;HOUR(Sync!$AF1692),2)&amp;RIGHT("00"&amp;MINUTE(Sync!$AF1692),2),IFERROR(RIGHT("00"&amp;VALUE(LEFT(Sync!$AF1692,FIND(":",Sync!$AF1692)-1)),2)&amp;RIGHT("00"&amp;VALUE(MID(Sync!$AF1692,FIND(":",Sync!$AF1692)+1,2)),2),"0000"))))</f>
        <v/>
      </c>
    </row>
    <row r="1693">
      <c r="A1693">
        <f>IF(OR(Calc!$E1697="",Calc!$E1697="نامعتبر",Calc!$G1697=""),"",Calc!$G1697)</f>
        <v/>
      </c>
      <c r="B1693">
        <f>IF($A1693="","",LEFT(Calc!$E1697,4)&amp;MID(Calc!$E1697,6,2)&amp;RIGHT(Calc!$E1697,2)&amp;Calc!$Q1697&amp;"|"&amp;"1"&amp;RIGHT("00000"&amp;1688,5))</f>
        <v/>
      </c>
      <c r="C1693">
        <f>IF($B1693="","",COUNTIFS(LdgSellerA,$A1693,LdgKeyA,"&lt;"&amp;$B1693)+COUNTIFS(LdgSellerB,$A1693,LdgKeyB,"&lt;"&amp;$B1693)+1)</f>
        <v/>
      </c>
      <c r="D1693">
        <f>IF($C1693="","",$A1693&amp;"|"&amp;RIGHT("000000"&amp;$C1693,6))</f>
        <v/>
      </c>
      <c r="F1693">
        <f>IF(Sync!$AH1693="","",IF(LEFT(UPPER(TRIM(Sync!$AH1693)),2)="SL",UPPER(TRIM(Sync!$AH1693)),""))</f>
        <v/>
      </c>
      <c r="G1693">
        <f>IF($F1693="","",IF(Sync!$AE1693="","",IF(ISNUMBER(Sync!$AE1693),IF(AND(Sync!$AE1693&gt;=10000101,Sync!$AE1693&lt;=99991231),INT(Sync!$AE1693/10000),""),IFERROR(VALUE(TRIM(LEFT(Sync!$AE1693,FIND("/",Sync!$AE1693)-1))),""))))</f>
        <v/>
      </c>
      <c r="H1693">
        <f>IF(OR($F1693="",$G1693=""),"",IF(ISNUMBER(Sync!$AE1693),INT(MOD(Sync!$AE1693,10000)/100),IFERROR(VALUE(TRIM(LEFT(MID(Sync!$AE1693,FIND("/",Sync!$AE1693)+1,20),FIND("/",MID(Sync!$AE1693,FIND("/",Sync!$AE1693)+1,20))-1))),"")))</f>
        <v/>
      </c>
      <c r="I1693">
        <f>IF(OR($F1693="",$G1693=""),"",IF(ISNUMBER(Sync!$AE1693),MOD(Sync!$AE1693,100),IFERROR(VALUE(TRIM(MID(MID(Sync!$AE1693,FIND("/",Sync!$AE1693)+1,20),FIND("/",MID(Sync!$AE1693,FIND("/",Sync!$AE1693)+1,20))+1,20))),"")))</f>
        <v/>
      </c>
      <c r="J1693">
        <f>IF($F1693="","",IF(OR($G1693="",$H1693="",$I1693="",$G1693&lt;1300,$G1693&gt;1500,$H1693&lt;1,$H1693&gt;12,$I1693&lt;1,$I1693&gt;31),"نامعتبر",RIGHT("0000"&amp;$G1693,4)&amp;"/"&amp;RIGHT("00"&amp;$H1693,2)&amp;"/"&amp;RIGHT("00"&amp;$I1693,2)))</f>
        <v/>
      </c>
      <c r="K1693">
        <f>IF(OR($F1693="",$J1693="",$J1693="نامعتبر"),"",LEFT($J1693,4)&amp;MID($J1693,6,2)&amp;RIGHT($J1693,2)&amp;$N1693&amp;"|"&amp;"2"&amp;RIGHT("00000"&amp;1688,5))</f>
        <v/>
      </c>
      <c r="L1693">
        <f>IF($K1693="","",COUNTIFS(LdgSellerA,$F1693,LdgKeyA,"&lt;"&amp;$K1693)+COUNTIFS(LdgSellerB,$F1693,LdgKeyB,"&lt;"&amp;$K1693)+1)</f>
        <v/>
      </c>
      <c r="M1693">
        <f>IF($L1693="","",$F1693&amp;"|"&amp;RIGHT("000000"&amp;$L1693,6))</f>
        <v/>
      </c>
      <c r="N1693">
        <f>IF($F1693="","",IF(Sync!$AF1693="","0000",IF(AND(ISNUMBER(Sync!$AF1693),Sync!$AF1693&gt;=0,Sync!$AF1693&lt;1),RIGHT("00"&amp;HOUR(Sync!$AF1693),2)&amp;RIGHT("00"&amp;MINUTE(Sync!$AF1693),2),IFERROR(RIGHT("00"&amp;VALUE(LEFT(Sync!$AF1693,FIND(":",Sync!$AF1693)-1)),2)&amp;RIGHT("00"&amp;VALUE(MID(Sync!$AF1693,FIND(":",Sync!$AF1693)+1,2)),2),"0000"))))</f>
        <v/>
      </c>
    </row>
    <row r="1694">
      <c r="A1694">
        <f>IF(OR(Calc!$E1698="",Calc!$E1698="نامعتبر",Calc!$G1698=""),"",Calc!$G1698)</f>
        <v/>
      </c>
      <c r="B1694">
        <f>IF($A1694="","",LEFT(Calc!$E1698,4)&amp;MID(Calc!$E1698,6,2)&amp;RIGHT(Calc!$E1698,2)&amp;Calc!$Q1698&amp;"|"&amp;"1"&amp;RIGHT("00000"&amp;1689,5))</f>
        <v/>
      </c>
      <c r="C1694">
        <f>IF($B1694="","",COUNTIFS(LdgSellerA,$A1694,LdgKeyA,"&lt;"&amp;$B1694)+COUNTIFS(LdgSellerB,$A1694,LdgKeyB,"&lt;"&amp;$B1694)+1)</f>
        <v/>
      </c>
      <c r="D1694">
        <f>IF($C1694="","",$A1694&amp;"|"&amp;RIGHT("000000"&amp;$C1694,6))</f>
        <v/>
      </c>
      <c r="F1694">
        <f>IF(Sync!$AH1694="","",IF(LEFT(UPPER(TRIM(Sync!$AH1694)),2)="SL",UPPER(TRIM(Sync!$AH1694)),""))</f>
        <v/>
      </c>
      <c r="G1694">
        <f>IF($F1694="","",IF(Sync!$AE1694="","",IF(ISNUMBER(Sync!$AE1694),IF(AND(Sync!$AE1694&gt;=10000101,Sync!$AE1694&lt;=99991231),INT(Sync!$AE1694/10000),""),IFERROR(VALUE(TRIM(LEFT(Sync!$AE1694,FIND("/",Sync!$AE1694)-1))),""))))</f>
        <v/>
      </c>
      <c r="H1694">
        <f>IF(OR($F1694="",$G1694=""),"",IF(ISNUMBER(Sync!$AE1694),INT(MOD(Sync!$AE1694,10000)/100),IFERROR(VALUE(TRIM(LEFT(MID(Sync!$AE1694,FIND("/",Sync!$AE1694)+1,20),FIND("/",MID(Sync!$AE1694,FIND("/",Sync!$AE1694)+1,20))-1))),"")))</f>
        <v/>
      </c>
      <c r="I1694">
        <f>IF(OR($F1694="",$G1694=""),"",IF(ISNUMBER(Sync!$AE1694),MOD(Sync!$AE1694,100),IFERROR(VALUE(TRIM(MID(MID(Sync!$AE1694,FIND("/",Sync!$AE1694)+1,20),FIND("/",MID(Sync!$AE1694,FIND("/",Sync!$AE1694)+1,20))+1,20))),"")))</f>
        <v/>
      </c>
      <c r="J1694">
        <f>IF($F1694="","",IF(OR($G1694="",$H1694="",$I1694="",$G1694&lt;1300,$G1694&gt;1500,$H1694&lt;1,$H1694&gt;12,$I1694&lt;1,$I1694&gt;31),"نامعتبر",RIGHT("0000"&amp;$G1694,4)&amp;"/"&amp;RIGHT("00"&amp;$H1694,2)&amp;"/"&amp;RIGHT("00"&amp;$I1694,2)))</f>
        <v/>
      </c>
      <c r="K1694">
        <f>IF(OR($F1694="",$J1694="",$J1694="نامعتبر"),"",LEFT($J1694,4)&amp;MID($J1694,6,2)&amp;RIGHT($J1694,2)&amp;$N1694&amp;"|"&amp;"2"&amp;RIGHT("00000"&amp;1689,5))</f>
        <v/>
      </c>
      <c r="L1694">
        <f>IF($K1694="","",COUNTIFS(LdgSellerA,$F1694,LdgKeyA,"&lt;"&amp;$K1694)+COUNTIFS(LdgSellerB,$F1694,LdgKeyB,"&lt;"&amp;$K1694)+1)</f>
        <v/>
      </c>
      <c r="M1694">
        <f>IF($L1694="","",$F1694&amp;"|"&amp;RIGHT("000000"&amp;$L1694,6))</f>
        <v/>
      </c>
      <c r="N1694">
        <f>IF($F1694="","",IF(Sync!$AF1694="","0000",IF(AND(ISNUMBER(Sync!$AF1694),Sync!$AF1694&gt;=0,Sync!$AF1694&lt;1),RIGHT("00"&amp;HOUR(Sync!$AF1694),2)&amp;RIGHT("00"&amp;MINUTE(Sync!$AF1694),2),IFERROR(RIGHT("00"&amp;VALUE(LEFT(Sync!$AF1694,FIND(":",Sync!$AF1694)-1)),2)&amp;RIGHT("00"&amp;VALUE(MID(Sync!$AF1694,FIND(":",Sync!$AF1694)+1,2)),2),"0000"))))</f>
        <v/>
      </c>
    </row>
    <row r="1695">
      <c r="A1695">
        <f>IF(OR(Calc!$E1699="",Calc!$E1699="نامعتبر",Calc!$G1699=""),"",Calc!$G1699)</f>
        <v/>
      </c>
      <c r="B1695">
        <f>IF($A1695="","",LEFT(Calc!$E1699,4)&amp;MID(Calc!$E1699,6,2)&amp;RIGHT(Calc!$E1699,2)&amp;Calc!$Q1699&amp;"|"&amp;"1"&amp;RIGHT("00000"&amp;1690,5))</f>
        <v/>
      </c>
      <c r="C1695">
        <f>IF($B1695="","",COUNTIFS(LdgSellerA,$A1695,LdgKeyA,"&lt;"&amp;$B1695)+COUNTIFS(LdgSellerB,$A1695,LdgKeyB,"&lt;"&amp;$B1695)+1)</f>
        <v/>
      </c>
      <c r="D1695">
        <f>IF($C1695="","",$A1695&amp;"|"&amp;RIGHT("000000"&amp;$C1695,6))</f>
        <v/>
      </c>
      <c r="F1695">
        <f>IF(Sync!$AH1695="","",IF(LEFT(UPPER(TRIM(Sync!$AH1695)),2)="SL",UPPER(TRIM(Sync!$AH1695)),""))</f>
        <v/>
      </c>
      <c r="G1695">
        <f>IF($F1695="","",IF(Sync!$AE1695="","",IF(ISNUMBER(Sync!$AE1695),IF(AND(Sync!$AE1695&gt;=10000101,Sync!$AE1695&lt;=99991231),INT(Sync!$AE1695/10000),""),IFERROR(VALUE(TRIM(LEFT(Sync!$AE1695,FIND("/",Sync!$AE1695)-1))),""))))</f>
        <v/>
      </c>
      <c r="H1695">
        <f>IF(OR($F1695="",$G1695=""),"",IF(ISNUMBER(Sync!$AE1695),INT(MOD(Sync!$AE1695,10000)/100),IFERROR(VALUE(TRIM(LEFT(MID(Sync!$AE1695,FIND("/",Sync!$AE1695)+1,20),FIND("/",MID(Sync!$AE1695,FIND("/",Sync!$AE1695)+1,20))-1))),"")))</f>
        <v/>
      </c>
      <c r="I1695">
        <f>IF(OR($F1695="",$G1695=""),"",IF(ISNUMBER(Sync!$AE1695),MOD(Sync!$AE1695,100),IFERROR(VALUE(TRIM(MID(MID(Sync!$AE1695,FIND("/",Sync!$AE1695)+1,20),FIND("/",MID(Sync!$AE1695,FIND("/",Sync!$AE1695)+1,20))+1,20))),"")))</f>
        <v/>
      </c>
      <c r="J1695">
        <f>IF($F1695="","",IF(OR($G1695="",$H1695="",$I1695="",$G1695&lt;1300,$G1695&gt;1500,$H1695&lt;1,$H1695&gt;12,$I1695&lt;1,$I1695&gt;31),"نامعتبر",RIGHT("0000"&amp;$G1695,4)&amp;"/"&amp;RIGHT("00"&amp;$H1695,2)&amp;"/"&amp;RIGHT("00"&amp;$I1695,2)))</f>
        <v/>
      </c>
      <c r="K1695">
        <f>IF(OR($F1695="",$J1695="",$J1695="نامعتبر"),"",LEFT($J1695,4)&amp;MID($J1695,6,2)&amp;RIGHT($J1695,2)&amp;$N1695&amp;"|"&amp;"2"&amp;RIGHT("00000"&amp;1690,5))</f>
        <v/>
      </c>
      <c r="L1695">
        <f>IF($K1695="","",COUNTIFS(LdgSellerA,$F1695,LdgKeyA,"&lt;"&amp;$K1695)+COUNTIFS(LdgSellerB,$F1695,LdgKeyB,"&lt;"&amp;$K1695)+1)</f>
        <v/>
      </c>
      <c r="M1695">
        <f>IF($L1695="","",$F1695&amp;"|"&amp;RIGHT("000000"&amp;$L1695,6))</f>
        <v/>
      </c>
      <c r="N1695">
        <f>IF($F1695="","",IF(Sync!$AF1695="","0000",IF(AND(ISNUMBER(Sync!$AF1695),Sync!$AF1695&gt;=0,Sync!$AF1695&lt;1),RIGHT("00"&amp;HOUR(Sync!$AF1695),2)&amp;RIGHT("00"&amp;MINUTE(Sync!$AF1695),2),IFERROR(RIGHT("00"&amp;VALUE(LEFT(Sync!$AF1695,FIND(":",Sync!$AF1695)-1)),2)&amp;RIGHT("00"&amp;VALUE(MID(Sync!$AF1695,FIND(":",Sync!$AF1695)+1,2)),2),"0000"))))</f>
        <v/>
      </c>
    </row>
    <row r="1696">
      <c r="A1696">
        <f>IF(OR(Calc!$E1700="",Calc!$E1700="نامعتبر",Calc!$G1700=""),"",Calc!$G1700)</f>
        <v/>
      </c>
      <c r="B1696">
        <f>IF($A1696="","",LEFT(Calc!$E1700,4)&amp;MID(Calc!$E1700,6,2)&amp;RIGHT(Calc!$E1700,2)&amp;Calc!$Q1700&amp;"|"&amp;"1"&amp;RIGHT("00000"&amp;1691,5))</f>
        <v/>
      </c>
      <c r="C1696">
        <f>IF($B1696="","",COUNTIFS(LdgSellerA,$A1696,LdgKeyA,"&lt;"&amp;$B1696)+COUNTIFS(LdgSellerB,$A1696,LdgKeyB,"&lt;"&amp;$B1696)+1)</f>
        <v/>
      </c>
      <c r="D1696">
        <f>IF($C1696="","",$A1696&amp;"|"&amp;RIGHT("000000"&amp;$C1696,6))</f>
        <v/>
      </c>
      <c r="F1696">
        <f>IF(Sync!$AH1696="","",IF(LEFT(UPPER(TRIM(Sync!$AH1696)),2)="SL",UPPER(TRIM(Sync!$AH1696)),""))</f>
        <v/>
      </c>
      <c r="G1696">
        <f>IF($F1696="","",IF(Sync!$AE1696="","",IF(ISNUMBER(Sync!$AE1696),IF(AND(Sync!$AE1696&gt;=10000101,Sync!$AE1696&lt;=99991231),INT(Sync!$AE1696/10000),""),IFERROR(VALUE(TRIM(LEFT(Sync!$AE1696,FIND("/",Sync!$AE1696)-1))),""))))</f>
        <v/>
      </c>
      <c r="H1696">
        <f>IF(OR($F1696="",$G1696=""),"",IF(ISNUMBER(Sync!$AE1696),INT(MOD(Sync!$AE1696,10000)/100),IFERROR(VALUE(TRIM(LEFT(MID(Sync!$AE1696,FIND("/",Sync!$AE1696)+1,20),FIND("/",MID(Sync!$AE1696,FIND("/",Sync!$AE1696)+1,20))-1))),"")))</f>
        <v/>
      </c>
      <c r="I1696">
        <f>IF(OR($F1696="",$G1696=""),"",IF(ISNUMBER(Sync!$AE1696),MOD(Sync!$AE1696,100),IFERROR(VALUE(TRIM(MID(MID(Sync!$AE1696,FIND("/",Sync!$AE1696)+1,20),FIND("/",MID(Sync!$AE1696,FIND("/",Sync!$AE1696)+1,20))+1,20))),"")))</f>
        <v/>
      </c>
      <c r="J1696">
        <f>IF($F1696="","",IF(OR($G1696="",$H1696="",$I1696="",$G1696&lt;1300,$G1696&gt;1500,$H1696&lt;1,$H1696&gt;12,$I1696&lt;1,$I1696&gt;31),"نامعتبر",RIGHT("0000"&amp;$G1696,4)&amp;"/"&amp;RIGHT("00"&amp;$H1696,2)&amp;"/"&amp;RIGHT("00"&amp;$I1696,2)))</f>
        <v/>
      </c>
      <c r="K1696">
        <f>IF(OR($F1696="",$J1696="",$J1696="نامعتبر"),"",LEFT($J1696,4)&amp;MID($J1696,6,2)&amp;RIGHT($J1696,2)&amp;$N1696&amp;"|"&amp;"2"&amp;RIGHT("00000"&amp;1691,5))</f>
        <v/>
      </c>
      <c r="L1696">
        <f>IF($K1696="","",COUNTIFS(LdgSellerA,$F1696,LdgKeyA,"&lt;"&amp;$K1696)+COUNTIFS(LdgSellerB,$F1696,LdgKeyB,"&lt;"&amp;$K1696)+1)</f>
        <v/>
      </c>
      <c r="M1696">
        <f>IF($L1696="","",$F1696&amp;"|"&amp;RIGHT("000000"&amp;$L1696,6))</f>
        <v/>
      </c>
      <c r="N1696">
        <f>IF($F1696="","",IF(Sync!$AF1696="","0000",IF(AND(ISNUMBER(Sync!$AF1696),Sync!$AF1696&gt;=0,Sync!$AF1696&lt;1),RIGHT("00"&amp;HOUR(Sync!$AF1696),2)&amp;RIGHT("00"&amp;MINUTE(Sync!$AF1696),2),IFERROR(RIGHT("00"&amp;VALUE(LEFT(Sync!$AF1696,FIND(":",Sync!$AF1696)-1)),2)&amp;RIGHT("00"&amp;VALUE(MID(Sync!$AF1696,FIND(":",Sync!$AF1696)+1,2)),2),"0000"))))</f>
        <v/>
      </c>
    </row>
    <row r="1697">
      <c r="A1697">
        <f>IF(OR(Calc!$E1701="",Calc!$E1701="نامعتبر",Calc!$G1701=""),"",Calc!$G1701)</f>
        <v/>
      </c>
      <c r="B1697">
        <f>IF($A1697="","",LEFT(Calc!$E1701,4)&amp;MID(Calc!$E1701,6,2)&amp;RIGHT(Calc!$E1701,2)&amp;Calc!$Q1701&amp;"|"&amp;"1"&amp;RIGHT("00000"&amp;1692,5))</f>
        <v/>
      </c>
      <c r="C1697">
        <f>IF($B1697="","",COUNTIFS(LdgSellerA,$A1697,LdgKeyA,"&lt;"&amp;$B1697)+COUNTIFS(LdgSellerB,$A1697,LdgKeyB,"&lt;"&amp;$B1697)+1)</f>
        <v/>
      </c>
      <c r="D1697">
        <f>IF($C1697="","",$A1697&amp;"|"&amp;RIGHT("000000"&amp;$C1697,6))</f>
        <v/>
      </c>
      <c r="F1697">
        <f>IF(Sync!$AH1697="","",IF(LEFT(UPPER(TRIM(Sync!$AH1697)),2)="SL",UPPER(TRIM(Sync!$AH1697)),""))</f>
        <v/>
      </c>
      <c r="G1697">
        <f>IF($F1697="","",IF(Sync!$AE1697="","",IF(ISNUMBER(Sync!$AE1697),IF(AND(Sync!$AE1697&gt;=10000101,Sync!$AE1697&lt;=99991231),INT(Sync!$AE1697/10000),""),IFERROR(VALUE(TRIM(LEFT(Sync!$AE1697,FIND("/",Sync!$AE1697)-1))),""))))</f>
        <v/>
      </c>
      <c r="H1697">
        <f>IF(OR($F1697="",$G1697=""),"",IF(ISNUMBER(Sync!$AE1697),INT(MOD(Sync!$AE1697,10000)/100),IFERROR(VALUE(TRIM(LEFT(MID(Sync!$AE1697,FIND("/",Sync!$AE1697)+1,20),FIND("/",MID(Sync!$AE1697,FIND("/",Sync!$AE1697)+1,20))-1))),"")))</f>
        <v/>
      </c>
      <c r="I1697">
        <f>IF(OR($F1697="",$G1697=""),"",IF(ISNUMBER(Sync!$AE1697),MOD(Sync!$AE1697,100),IFERROR(VALUE(TRIM(MID(MID(Sync!$AE1697,FIND("/",Sync!$AE1697)+1,20),FIND("/",MID(Sync!$AE1697,FIND("/",Sync!$AE1697)+1,20))+1,20))),"")))</f>
        <v/>
      </c>
      <c r="J1697">
        <f>IF($F1697="","",IF(OR($G1697="",$H1697="",$I1697="",$G1697&lt;1300,$G1697&gt;1500,$H1697&lt;1,$H1697&gt;12,$I1697&lt;1,$I1697&gt;31),"نامعتبر",RIGHT("0000"&amp;$G1697,4)&amp;"/"&amp;RIGHT("00"&amp;$H1697,2)&amp;"/"&amp;RIGHT("00"&amp;$I1697,2)))</f>
        <v/>
      </c>
      <c r="K1697">
        <f>IF(OR($F1697="",$J1697="",$J1697="نامعتبر"),"",LEFT($J1697,4)&amp;MID($J1697,6,2)&amp;RIGHT($J1697,2)&amp;$N1697&amp;"|"&amp;"2"&amp;RIGHT("00000"&amp;1692,5))</f>
        <v/>
      </c>
      <c r="L1697">
        <f>IF($K1697="","",COUNTIFS(LdgSellerA,$F1697,LdgKeyA,"&lt;"&amp;$K1697)+COUNTIFS(LdgSellerB,$F1697,LdgKeyB,"&lt;"&amp;$K1697)+1)</f>
        <v/>
      </c>
      <c r="M1697">
        <f>IF($L1697="","",$F1697&amp;"|"&amp;RIGHT("000000"&amp;$L1697,6))</f>
        <v/>
      </c>
      <c r="N1697">
        <f>IF($F1697="","",IF(Sync!$AF1697="","0000",IF(AND(ISNUMBER(Sync!$AF1697),Sync!$AF1697&gt;=0,Sync!$AF1697&lt;1),RIGHT("00"&amp;HOUR(Sync!$AF1697),2)&amp;RIGHT("00"&amp;MINUTE(Sync!$AF1697),2),IFERROR(RIGHT("00"&amp;VALUE(LEFT(Sync!$AF1697,FIND(":",Sync!$AF1697)-1)),2)&amp;RIGHT("00"&amp;VALUE(MID(Sync!$AF1697,FIND(":",Sync!$AF1697)+1,2)),2),"0000"))))</f>
        <v/>
      </c>
    </row>
    <row r="1698">
      <c r="A1698">
        <f>IF(OR(Calc!$E1702="",Calc!$E1702="نامعتبر",Calc!$G1702=""),"",Calc!$G1702)</f>
        <v/>
      </c>
      <c r="B1698">
        <f>IF($A1698="","",LEFT(Calc!$E1702,4)&amp;MID(Calc!$E1702,6,2)&amp;RIGHT(Calc!$E1702,2)&amp;Calc!$Q1702&amp;"|"&amp;"1"&amp;RIGHT("00000"&amp;1693,5))</f>
        <v/>
      </c>
      <c r="C1698">
        <f>IF($B1698="","",COUNTIFS(LdgSellerA,$A1698,LdgKeyA,"&lt;"&amp;$B1698)+COUNTIFS(LdgSellerB,$A1698,LdgKeyB,"&lt;"&amp;$B1698)+1)</f>
        <v/>
      </c>
      <c r="D1698">
        <f>IF($C1698="","",$A1698&amp;"|"&amp;RIGHT("000000"&amp;$C1698,6))</f>
        <v/>
      </c>
      <c r="F1698">
        <f>IF(Sync!$AH1698="","",IF(LEFT(UPPER(TRIM(Sync!$AH1698)),2)="SL",UPPER(TRIM(Sync!$AH1698)),""))</f>
        <v/>
      </c>
      <c r="G1698">
        <f>IF($F1698="","",IF(Sync!$AE1698="","",IF(ISNUMBER(Sync!$AE1698),IF(AND(Sync!$AE1698&gt;=10000101,Sync!$AE1698&lt;=99991231),INT(Sync!$AE1698/10000),""),IFERROR(VALUE(TRIM(LEFT(Sync!$AE1698,FIND("/",Sync!$AE1698)-1))),""))))</f>
        <v/>
      </c>
      <c r="H1698">
        <f>IF(OR($F1698="",$G1698=""),"",IF(ISNUMBER(Sync!$AE1698),INT(MOD(Sync!$AE1698,10000)/100),IFERROR(VALUE(TRIM(LEFT(MID(Sync!$AE1698,FIND("/",Sync!$AE1698)+1,20),FIND("/",MID(Sync!$AE1698,FIND("/",Sync!$AE1698)+1,20))-1))),"")))</f>
        <v/>
      </c>
      <c r="I1698">
        <f>IF(OR($F1698="",$G1698=""),"",IF(ISNUMBER(Sync!$AE1698),MOD(Sync!$AE1698,100),IFERROR(VALUE(TRIM(MID(MID(Sync!$AE1698,FIND("/",Sync!$AE1698)+1,20),FIND("/",MID(Sync!$AE1698,FIND("/",Sync!$AE1698)+1,20))+1,20))),"")))</f>
        <v/>
      </c>
      <c r="J1698">
        <f>IF($F1698="","",IF(OR($G1698="",$H1698="",$I1698="",$G1698&lt;1300,$G1698&gt;1500,$H1698&lt;1,$H1698&gt;12,$I1698&lt;1,$I1698&gt;31),"نامعتبر",RIGHT("0000"&amp;$G1698,4)&amp;"/"&amp;RIGHT("00"&amp;$H1698,2)&amp;"/"&amp;RIGHT("00"&amp;$I1698,2)))</f>
        <v/>
      </c>
      <c r="K1698">
        <f>IF(OR($F1698="",$J1698="",$J1698="نامعتبر"),"",LEFT($J1698,4)&amp;MID($J1698,6,2)&amp;RIGHT($J1698,2)&amp;$N1698&amp;"|"&amp;"2"&amp;RIGHT("00000"&amp;1693,5))</f>
        <v/>
      </c>
      <c r="L1698">
        <f>IF($K1698="","",COUNTIFS(LdgSellerA,$F1698,LdgKeyA,"&lt;"&amp;$K1698)+COUNTIFS(LdgSellerB,$F1698,LdgKeyB,"&lt;"&amp;$K1698)+1)</f>
        <v/>
      </c>
      <c r="M1698">
        <f>IF($L1698="","",$F1698&amp;"|"&amp;RIGHT("000000"&amp;$L1698,6))</f>
        <v/>
      </c>
      <c r="N1698">
        <f>IF($F1698="","",IF(Sync!$AF1698="","0000",IF(AND(ISNUMBER(Sync!$AF1698),Sync!$AF1698&gt;=0,Sync!$AF1698&lt;1),RIGHT("00"&amp;HOUR(Sync!$AF1698),2)&amp;RIGHT("00"&amp;MINUTE(Sync!$AF1698),2),IFERROR(RIGHT("00"&amp;VALUE(LEFT(Sync!$AF1698,FIND(":",Sync!$AF1698)-1)),2)&amp;RIGHT("00"&amp;VALUE(MID(Sync!$AF1698,FIND(":",Sync!$AF1698)+1,2)),2),"0000"))))</f>
        <v/>
      </c>
    </row>
    <row r="1699">
      <c r="A1699">
        <f>IF(OR(Calc!$E1703="",Calc!$E1703="نامعتبر",Calc!$G1703=""),"",Calc!$G1703)</f>
        <v/>
      </c>
      <c r="B1699">
        <f>IF($A1699="","",LEFT(Calc!$E1703,4)&amp;MID(Calc!$E1703,6,2)&amp;RIGHT(Calc!$E1703,2)&amp;Calc!$Q1703&amp;"|"&amp;"1"&amp;RIGHT("00000"&amp;1694,5))</f>
        <v/>
      </c>
      <c r="C1699">
        <f>IF($B1699="","",COUNTIFS(LdgSellerA,$A1699,LdgKeyA,"&lt;"&amp;$B1699)+COUNTIFS(LdgSellerB,$A1699,LdgKeyB,"&lt;"&amp;$B1699)+1)</f>
        <v/>
      </c>
      <c r="D1699">
        <f>IF($C1699="","",$A1699&amp;"|"&amp;RIGHT("000000"&amp;$C1699,6))</f>
        <v/>
      </c>
      <c r="F1699">
        <f>IF(Sync!$AH1699="","",IF(LEFT(UPPER(TRIM(Sync!$AH1699)),2)="SL",UPPER(TRIM(Sync!$AH1699)),""))</f>
        <v/>
      </c>
      <c r="G1699">
        <f>IF($F1699="","",IF(Sync!$AE1699="","",IF(ISNUMBER(Sync!$AE1699),IF(AND(Sync!$AE1699&gt;=10000101,Sync!$AE1699&lt;=99991231),INT(Sync!$AE1699/10000),""),IFERROR(VALUE(TRIM(LEFT(Sync!$AE1699,FIND("/",Sync!$AE1699)-1))),""))))</f>
        <v/>
      </c>
      <c r="H1699">
        <f>IF(OR($F1699="",$G1699=""),"",IF(ISNUMBER(Sync!$AE1699),INT(MOD(Sync!$AE1699,10000)/100),IFERROR(VALUE(TRIM(LEFT(MID(Sync!$AE1699,FIND("/",Sync!$AE1699)+1,20),FIND("/",MID(Sync!$AE1699,FIND("/",Sync!$AE1699)+1,20))-1))),"")))</f>
        <v/>
      </c>
      <c r="I1699">
        <f>IF(OR($F1699="",$G1699=""),"",IF(ISNUMBER(Sync!$AE1699),MOD(Sync!$AE1699,100),IFERROR(VALUE(TRIM(MID(MID(Sync!$AE1699,FIND("/",Sync!$AE1699)+1,20),FIND("/",MID(Sync!$AE1699,FIND("/",Sync!$AE1699)+1,20))+1,20))),"")))</f>
        <v/>
      </c>
      <c r="J1699">
        <f>IF($F1699="","",IF(OR($G1699="",$H1699="",$I1699="",$G1699&lt;1300,$G1699&gt;1500,$H1699&lt;1,$H1699&gt;12,$I1699&lt;1,$I1699&gt;31),"نامعتبر",RIGHT("0000"&amp;$G1699,4)&amp;"/"&amp;RIGHT("00"&amp;$H1699,2)&amp;"/"&amp;RIGHT("00"&amp;$I1699,2)))</f>
        <v/>
      </c>
      <c r="K1699">
        <f>IF(OR($F1699="",$J1699="",$J1699="نامعتبر"),"",LEFT($J1699,4)&amp;MID($J1699,6,2)&amp;RIGHT($J1699,2)&amp;$N1699&amp;"|"&amp;"2"&amp;RIGHT("00000"&amp;1694,5))</f>
        <v/>
      </c>
      <c r="L1699">
        <f>IF($K1699="","",COUNTIFS(LdgSellerA,$F1699,LdgKeyA,"&lt;"&amp;$K1699)+COUNTIFS(LdgSellerB,$F1699,LdgKeyB,"&lt;"&amp;$K1699)+1)</f>
        <v/>
      </c>
      <c r="M1699">
        <f>IF($L1699="","",$F1699&amp;"|"&amp;RIGHT("000000"&amp;$L1699,6))</f>
        <v/>
      </c>
      <c r="N1699">
        <f>IF($F1699="","",IF(Sync!$AF1699="","0000",IF(AND(ISNUMBER(Sync!$AF1699),Sync!$AF1699&gt;=0,Sync!$AF1699&lt;1),RIGHT("00"&amp;HOUR(Sync!$AF1699),2)&amp;RIGHT("00"&amp;MINUTE(Sync!$AF1699),2),IFERROR(RIGHT("00"&amp;VALUE(LEFT(Sync!$AF1699,FIND(":",Sync!$AF1699)-1)),2)&amp;RIGHT("00"&amp;VALUE(MID(Sync!$AF1699,FIND(":",Sync!$AF1699)+1,2)),2),"0000"))))</f>
        <v/>
      </c>
    </row>
    <row r="1700">
      <c r="A1700">
        <f>IF(OR(Calc!$E1704="",Calc!$E1704="نامعتبر",Calc!$G1704=""),"",Calc!$G1704)</f>
        <v/>
      </c>
      <c r="B1700">
        <f>IF($A1700="","",LEFT(Calc!$E1704,4)&amp;MID(Calc!$E1704,6,2)&amp;RIGHT(Calc!$E1704,2)&amp;Calc!$Q1704&amp;"|"&amp;"1"&amp;RIGHT("00000"&amp;1695,5))</f>
        <v/>
      </c>
      <c r="C1700">
        <f>IF($B1700="","",COUNTIFS(LdgSellerA,$A1700,LdgKeyA,"&lt;"&amp;$B1700)+COUNTIFS(LdgSellerB,$A1700,LdgKeyB,"&lt;"&amp;$B1700)+1)</f>
        <v/>
      </c>
      <c r="D1700">
        <f>IF($C1700="","",$A1700&amp;"|"&amp;RIGHT("000000"&amp;$C1700,6))</f>
        <v/>
      </c>
      <c r="F1700">
        <f>IF(Sync!$AH1700="","",IF(LEFT(UPPER(TRIM(Sync!$AH1700)),2)="SL",UPPER(TRIM(Sync!$AH1700)),""))</f>
        <v/>
      </c>
      <c r="G1700">
        <f>IF($F1700="","",IF(Sync!$AE1700="","",IF(ISNUMBER(Sync!$AE1700),IF(AND(Sync!$AE1700&gt;=10000101,Sync!$AE1700&lt;=99991231),INT(Sync!$AE1700/10000),""),IFERROR(VALUE(TRIM(LEFT(Sync!$AE1700,FIND("/",Sync!$AE1700)-1))),""))))</f>
        <v/>
      </c>
      <c r="H1700">
        <f>IF(OR($F1700="",$G1700=""),"",IF(ISNUMBER(Sync!$AE1700),INT(MOD(Sync!$AE1700,10000)/100),IFERROR(VALUE(TRIM(LEFT(MID(Sync!$AE1700,FIND("/",Sync!$AE1700)+1,20),FIND("/",MID(Sync!$AE1700,FIND("/",Sync!$AE1700)+1,20))-1))),"")))</f>
        <v/>
      </c>
      <c r="I1700">
        <f>IF(OR($F1700="",$G1700=""),"",IF(ISNUMBER(Sync!$AE1700),MOD(Sync!$AE1700,100),IFERROR(VALUE(TRIM(MID(MID(Sync!$AE1700,FIND("/",Sync!$AE1700)+1,20),FIND("/",MID(Sync!$AE1700,FIND("/",Sync!$AE1700)+1,20))+1,20))),"")))</f>
        <v/>
      </c>
      <c r="J1700">
        <f>IF($F1700="","",IF(OR($G1700="",$H1700="",$I1700="",$G1700&lt;1300,$G1700&gt;1500,$H1700&lt;1,$H1700&gt;12,$I1700&lt;1,$I1700&gt;31),"نامعتبر",RIGHT("0000"&amp;$G1700,4)&amp;"/"&amp;RIGHT("00"&amp;$H1700,2)&amp;"/"&amp;RIGHT("00"&amp;$I1700,2)))</f>
        <v/>
      </c>
      <c r="K1700">
        <f>IF(OR($F1700="",$J1700="",$J1700="نامعتبر"),"",LEFT($J1700,4)&amp;MID($J1700,6,2)&amp;RIGHT($J1700,2)&amp;$N1700&amp;"|"&amp;"2"&amp;RIGHT("00000"&amp;1695,5))</f>
        <v/>
      </c>
      <c r="L1700">
        <f>IF($K1700="","",COUNTIFS(LdgSellerA,$F1700,LdgKeyA,"&lt;"&amp;$K1700)+COUNTIFS(LdgSellerB,$F1700,LdgKeyB,"&lt;"&amp;$K1700)+1)</f>
        <v/>
      </c>
      <c r="M1700">
        <f>IF($L1700="","",$F1700&amp;"|"&amp;RIGHT("000000"&amp;$L1700,6))</f>
        <v/>
      </c>
      <c r="N1700">
        <f>IF($F1700="","",IF(Sync!$AF1700="","0000",IF(AND(ISNUMBER(Sync!$AF1700),Sync!$AF1700&gt;=0,Sync!$AF1700&lt;1),RIGHT("00"&amp;HOUR(Sync!$AF1700),2)&amp;RIGHT("00"&amp;MINUTE(Sync!$AF1700),2),IFERROR(RIGHT("00"&amp;VALUE(LEFT(Sync!$AF1700,FIND(":",Sync!$AF1700)-1)),2)&amp;RIGHT("00"&amp;VALUE(MID(Sync!$AF1700,FIND(":",Sync!$AF1700)+1,2)),2),"0000"))))</f>
        <v/>
      </c>
    </row>
    <row r="1701">
      <c r="A1701">
        <f>IF(OR(Calc!$E1705="",Calc!$E1705="نامعتبر",Calc!$G1705=""),"",Calc!$G1705)</f>
        <v/>
      </c>
      <c r="B1701">
        <f>IF($A1701="","",LEFT(Calc!$E1705,4)&amp;MID(Calc!$E1705,6,2)&amp;RIGHT(Calc!$E1705,2)&amp;Calc!$Q1705&amp;"|"&amp;"1"&amp;RIGHT("00000"&amp;1696,5))</f>
        <v/>
      </c>
      <c r="C1701">
        <f>IF($B1701="","",COUNTIFS(LdgSellerA,$A1701,LdgKeyA,"&lt;"&amp;$B1701)+COUNTIFS(LdgSellerB,$A1701,LdgKeyB,"&lt;"&amp;$B1701)+1)</f>
        <v/>
      </c>
      <c r="D1701">
        <f>IF($C1701="","",$A1701&amp;"|"&amp;RIGHT("000000"&amp;$C1701,6))</f>
        <v/>
      </c>
      <c r="F1701">
        <f>IF(Sync!$AH1701="","",IF(LEFT(UPPER(TRIM(Sync!$AH1701)),2)="SL",UPPER(TRIM(Sync!$AH1701)),""))</f>
        <v/>
      </c>
      <c r="G1701">
        <f>IF($F1701="","",IF(Sync!$AE1701="","",IF(ISNUMBER(Sync!$AE1701),IF(AND(Sync!$AE1701&gt;=10000101,Sync!$AE1701&lt;=99991231),INT(Sync!$AE1701/10000),""),IFERROR(VALUE(TRIM(LEFT(Sync!$AE1701,FIND("/",Sync!$AE1701)-1))),""))))</f>
        <v/>
      </c>
      <c r="H1701">
        <f>IF(OR($F1701="",$G1701=""),"",IF(ISNUMBER(Sync!$AE1701),INT(MOD(Sync!$AE1701,10000)/100),IFERROR(VALUE(TRIM(LEFT(MID(Sync!$AE1701,FIND("/",Sync!$AE1701)+1,20),FIND("/",MID(Sync!$AE1701,FIND("/",Sync!$AE1701)+1,20))-1))),"")))</f>
        <v/>
      </c>
      <c r="I1701">
        <f>IF(OR($F1701="",$G1701=""),"",IF(ISNUMBER(Sync!$AE1701),MOD(Sync!$AE1701,100),IFERROR(VALUE(TRIM(MID(MID(Sync!$AE1701,FIND("/",Sync!$AE1701)+1,20),FIND("/",MID(Sync!$AE1701,FIND("/",Sync!$AE1701)+1,20))+1,20))),"")))</f>
        <v/>
      </c>
      <c r="J1701">
        <f>IF($F1701="","",IF(OR($G1701="",$H1701="",$I1701="",$G1701&lt;1300,$G1701&gt;1500,$H1701&lt;1,$H1701&gt;12,$I1701&lt;1,$I1701&gt;31),"نامعتبر",RIGHT("0000"&amp;$G1701,4)&amp;"/"&amp;RIGHT("00"&amp;$H1701,2)&amp;"/"&amp;RIGHT("00"&amp;$I1701,2)))</f>
        <v/>
      </c>
      <c r="K1701">
        <f>IF(OR($F1701="",$J1701="",$J1701="نامعتبر"),"",LEFT($J1701,4)&amp;MID($J1701,6,2)&amp;RIGHT($J1701,2)&amp;$N1701&amp;"|"&amp;"2"&amp;RIGHT("00000"&amp;1696,5))</f>
        <v/>
      </c>
      <c r="L1701">
        <f>IF($K1701="","",COUNTIFS(LdgSellerA,$F1701,LdgKeyA,"&lt;"&amp;$K1701)+COUNTIFS(LdgSellerB,$F1701,LdgKeyB,"&lt;"&amp;$K1701)+1)</f>
        <v/>
      </c>
      <c r="M1701">
        <f>IF($L1701="","",$F1701&amp;"|"&amp;RIGHT("000000"&amp;$L1701,6))</f>
        <v/>
      </c>
      <c r="N1701">
        <f>IF($F1701="","",IF(Sync!$AF1701="","0000",IF(AND(ISNUMBER(Sync!$AF1701),Sync!$AF1701&gt;=0,Sync!$AF1701&lt;1),RIGHT("00"&amp;HOUR(Sync!$AF1701),2)&amp;RIGHT("00"&amp;MINUTE(Sync!$AF1701),2),IFERROR(RIGHT("00"&amp;VALUE(LEFT(Sync!$AF1701,FIND(":",Sync!$AF1701)-1)),2)&amp;RIGHT("00"&amp;VALUE(MID(Sync!$AF1701,FIND(":",Sync!$AF1701)+1,2)),2),"0000"))))</f>
        <v/>
      </c>
    </row>
    <row r="1702">
      <c r="A1702">
        <f>IF(OR(Calc!$E1706="",Calc!$E1706="نامعتبر",Calc!$G1706=""),"",Calc!$G1706)</f>
        <v/>
      </c>
      <c r="B1702">
        <f>IF($A1702="","",LEFT(Calc!$E1706,4)&amp;MID(Calc!$E1706,6,2)&amp;RIGHT(Calc!$E1706,2)&amp;Calc!$Q1706&amp;"|"&amp;"1"&amp;RIGHT("00000"&amp;1697,5))</f>
        <v/>
      </c>
      <c r="C1702">
        <f>IF($B1702="","",COUNTIFS(LdgSellerA,$A1702,LdgKeyA,"&lt;"&amp;$B1702)+COUNTIFS(LdgSellerB,$A1702,LdgKeyB,"&lt;"&amp;$B1702)+1)</f>
        <v/>
      </c>
      <c r="D1702">
        <f>IF($C1702="","",$A1702&amp;"|"&amp;RIGHT("000000"&amp;$C1702,6))</f>
        <v/>
      </c>
      <c r="F1702">
        <f>IF(Sync!$AH1702="","",IF(LEFT(UPPER(TRIM(Sync!$AH1702)),2)="SL",UPPER(TRIM(Sync!$AH1702)),""))</f>
        <v/>
      </c>
      <c r="G1702">
        <f>IF($F1702="","",IF(Sync!$AE1702="","",IF(ISNUMBER(Sync!$AE1702),IF(AND(Sync!$AE1702&gt;=10000101,Sync!$AE1702&lt;=99991231),INT(Sync!$AE1702/10000),""),IFERROR(VALUE(TRIM(LEFT(Sync!$AE1702,FIND("/",Sync!$AE1702)-1))),""))))</f>
        <v/>
      </c>
      <c r="H1702">
        <f>IF(OR($F1702="",$G1702=""),"",IF(ISNUMBER(Sync!$AE1702),INT(MOD(Sync!$AE1702,10000)/100),IFERROR(VALUE(TRIM(LEFT(MID(Sync!$AE1702,FIND("/",Sync!$AE1702)+1,20),FIND("/",MID(Sync!$AE1702,FIND("/",Sync!$AE1702)+1,20))-1))),"")))</f>
        <v/>
      </c>
      <c r="I1702">
        <f>IF(OR($F1702="",$G1702=""),"",IF(ISNUMBER(Sync!$AE1702),MOD(Sync!$AE1702,100),IFERROR(VALUE(TRIM(MID(MID(Sync!$AE1702,FIND("/",Sync!$AE1702)+1,20),FIND("/",MID(Sync!$AE1702,FIND("/",Sync!$AE1702)+1,20))+1,20))),"")))</f>
        <v/>
      </c>
      <c r="J1702">
        <f>IF($F1702="","",IF(OR($G1702="",$H1702="",$I1702="",$G1702&lt;1300,$G1702&gt;1500,$H1702&lt;1,$H1702&gt;12,$I1702&lt;1,$I1702&gt;31),"نامعتبر",RIGHT("0000"&amp;$G1702,4)&amp;"/"&amp;RIGHT("00"&amp;$H1702,2)&amp;"/"&amp;RIGHT("00"&amp;$I1702,2)))</f>
        <v/>
      </c>
      <c r="K1702">
        <f>IF(OR($F1702="",$J1702="",$J1702="نامعتبر"),"",LEFT($J1702,4)&amp;MID($J1702,6,2)&amp;RIGHT($J1702,2)&amp;$N1702&amp;"|"&amp;"2"&amp;RIGHT("00000"&amp;1697,5))</f>
        <v/>
      </c>
      <c r="L1702">
        <f>IF($K1702="","",COUNTIFS(LdgSellerA,$F1702,LdgKeyA,"&lt;"&amp;$K1702)+COUNTIFS(LdgSellerB,$F1702,LdgKeyB,"&lt;"&amp;$K1702)+1)</f>
        <v/>
      </c>
      <c r="M1702">
        <f>IF($L1702="","",$F1702&amp;"|"&amp;RIGHT("000000"&amp;$L1702,6))</f>
        <v/>
      </c>
      <c r="N1702">
        <f>IF($F1702="","",IF(Sync!$AF1702="","0000",IF(AND(ISNUMBER(Sync!$AF1702),Sync!$AF1702&gt;=0,Sync!$AF1702&lt;1),RIGHT("00"&amp;HOUR(Sync!$AF1702),2)&amp;RIGHT("00"&amp;MINUTE(Sync!$AF1702),2),IFERROR(RIGHT("00"&amp;VALUE(LEFT(Sync!$AF1702,FIND(":",Sync!$AF1702)-1)),2)&amp;RIGHT("00"&amp;VALUE(MID(Sync!$AF1702,FIND(":",Sync!$AF1702)+1,2)),2),"0000"))))</f>
        <v/>
      </c>
    </row>
    <row r="1703">
      <c r="A1703">
        <f>IF(OR(Calc!$E1707="",Calc!$E1707="نامعتبر",Calc!$G1707=""),"",Calc!$G1707)</f>
        <v/>
      </c>
      <c r="B1703">
        <f>IF($A1703="","",LEFT(Calc!$E1707,4)&amp;MID(Calc!$E1707,6,2)&amp;RIGHT(Calc!$E1707,2)&amp;Calc!$Q1707&amp;"|"&amp;"1"&amp;RIGHT("00000"&amp;1698,5))</f>
        <v/>
      </c>
      <c r="C1703">
        <f>IF($B1703="","",COUNTIFS(LdgSellerA,$A1703,LdgKeyA,"&lt;"&amp;$B1703)+COUNTIFS(LdgSellerB,$A1703,LdgKeyB,"&lt;"&amp;$B1703)+1)</f>
        <v/>
      </c>
      <c r="D1703">
        <f>IF($C1703="","",$A1703&amp;"|"&amp;RIGHT("000000"&amp;$C1703,6))</f>
        <v/>
      </c>
      <c r="F1703">
        <f>IF(Sync!$AH1703="","",IF(LEFT(UPPER(TRIM(Sync!$AH1703)),2)="SL",UPPER(TRIM(Sync!$AH1703)),""))</f>
        <v/>
      </c>
      <c r="G1703">
        <f>IF($F1703="","",IF(Sync!$AE1703="","",IF(ISNUMBER(Sync!$AE1703),IF(AND(Sync!$AE1703&gt;=10000101,Sync!$AE1703&lt;=99991231),INT(Sync!$AE1703/10000),""),IFERROR(VALUE(TRIM(LEFT(Sync!$AE1703,FIND("/",Sync!$AE1703)-1))),""))))</f>
        <v/>
      </c>
      <c r="H1703">
        <f>IF(OR($F1703="",$G1703=""),"",IF(ISNUMBER(Sync!$AE1703),INT(MOD(Sync!$AE1703,10000)/100),IFERROR(VALUE(TRIM(LEFT(MID(Sync!$AE1703,FIND("/",Sync!$AE1703)+1,20),FIND("/",MID(Sync!$AE1703,FIND("/",Sync!$AE1703)+1,20))-1))),"")))</f>
        <v/>
      </c>
      <c r="I1703">
        <f>IF(OR($F1703="",$G1703=""),"",IF(ISNUMBER(Sync!$AE1703),MOD(Sync!$AE1703,100),IFERROR(VALUE(TRIM(MID(MID(Sync!$AE1703,FIND("/",Sync!$AE1703)+1,20),FIND("/",MID(Sync!$AE1703,FIND("/",Sync!$AE1703)+1,20))+1,20))),"")))</f>
        <v/>
      </c>
      <c r="J1703">
        <f>IF($F1703="","",IF(OR($G1703="",$H1703="",$I1703="",$G1703&lt;1300,$G1703&gt;1500,$H1703&lt;1,$H1703&gt;12,$I1703&lt;1,$I1703&gt;31),"نامعتبر",RIGHT("0000"&amp;$G1703,4)&amp;"/"&amp;RIGHT("00"&amp;$H1703,2)&amp;"/"&amp;RIGHT("00"&amp;$I1703,2)))</f>
        <v/>
      </c>
      <c r="K1703">
        <f>IF(OR($F1703="",$J1703="",$J1703="نامعتبر"),"",LEFT($J1703,4)&amp;MID($J1703,6,2)&amp;RIGHT($J1703,2)&amp;$N1703&amp;"|"&amp;"2"&amp;RIGHT("00000"&amp;1698,5))</f>
        <v/>
      </c>
      <c r="L1703">
        <f>IF($K1703="","",COUNTIFS(LdgSellerA,$F1703,LdgKeyA,"&lt;"&amp;$K1703)+COUNTIFS(LdgSellerB,$F1703,LdgKeyB,"&lt;"&amp;$K1703)+1)</f>
        <v/>
      </c>
      <c r="M1703">
        <f>IF($L1703="","",$F1703&amp;"|"&amp;RIGHT("000000"&amp;$L1703,6))</f>
        <v/>
      </c>
      <c r="N1703">
        <f>IF($F1703="","",IF(Sync!$AF1703="","0000",IF(AND(ISNUMBER(Sync!$AF1703),Sync!$AF1703&gt;=0,Sync!$AF1703&lt;1),RIGHT("00"&amp;HOUR(Sync!$AF1703),2)&amp;RIGHT("00"&amp;MINUTE(Sync!$AF1703),2),IFERROR(RIGHT("00"&amp;VALUE(LEFT(Sync!$AF1703,FIND(":",Sync!$AF1703)-1)),2)&amp;RIGHT("00"&amp;VALUE(MID(Sync!$AF1703,FIND(":",Sync!$AF1703)+1,2)),2),"0000"))))</f>
        <v/>
      </c>
    </row>
    <row r="1704">
      <c r="A1704">
        <f>IF(OR(Calc!$E1708="",Calc!$E1708="نامعتبر",Calc!$G1708=""),"",Calc!$G1708)</f>
        <v/>
      </c>
      <c r="B1704">
        <f>IF($A1704="","",LEFT(Calc!$E1708,4)&amp;MID(Calc!$E1708,6,2)&amp;RIGHT(Calc!$E1708,2)&amp;Calc!$Q1708&amp;"|"&amp;"1"&amp;RIGHT("00000"&amp;1699,5))</f>
        <v/>
      </c>
      <c r="C1704">
        <f>IF($B1704="","",COUNTIFS(LdgSellerA,$A1704,LdgKeyA,"&lt;"&amp;$B1704)+COUNTIFS(LdgSellerB,$A1704,LdgKeyB,"&lt;"&amp;$B1704)+1)</f>
        <v/>
      </c>
      <c r="D1704">
        <f>IF($C1704="","",$A1704&amp;"|"&amp;RIGHT("000000"&amp;$C1704,6))</f>
        <v/>
      </c>
      <c r="F1704">
        <f>IF(Sync!$AH1704="","",IF(LEFT(UPPER(TRIM(Sync!$AH1704)),2)="SL",UPPER(TRIM(Sync!$AH1704)),""))</f>
        <v/>
      </c>
      <c r="G1704">
        <f>IF($F1704="","",IF(Sync!$AE1704="","",IF(ISNUMBER(Sync!$AE1704),IF(AND(Sync!$AE1704&gt;=10000101,Sync!$AE1704&lt;=99991231),INT(Sync!$AE1704/10000),""),IFERROR(VALUE(TRIM(LEFT(Sync!$AE1704,FIND("/",Sync!$AE1704)-1))),""))))</f>
        <v/>
      </c>
      <c r="H1704">
        <f>IF(OR($F1704="",$G1704=""),"",IF(ISNUMBER(Sync!$AE1704),INT(MOD(Sync!$AE1704,10000)/100),IFERROR(VALUE(TRIM(LEFT(MID(Sync!$AE1704,FIND("/",Sync!$AE1704)+1,20),FIND("/",MID(Sync!$AE1704,FIND("/",Sync!$AE1704)+1,20))-1))),"")))</f>
        <v/>
      </c>
      <c r="I1704">
        <f>IF(OR($F1704="",$G1704=""),"",IF(ISNUMBER(Sync!$AE1704),MOD(Sync!$AE1704,100),IFERROR(VALUE(TRIM(MID(MID(Sync!$AE1704,FIND("/",Sync!$AE1704)+1,20),FIND("/",MID(Sync!$AE1704,FIND("/",Sync!$AE1704)+1,20))+1,20))),"")))</f>
        <v/>
      </c>
      <c r="J1704">
        <f>IF($F1704="","",IF(OR($G1704="",$H1704="",$I1704="",$G1704&lt;1300,$G1704&gt;1500,$H1704&lt;1,$H1704&gt;12,$I1704&lt;1,$I1704&gt;31),"نامعتبر",RIGHT("0000"&amp;$G1704,4)&amp;"/"&amp;RIGHT("00"&amp;$H1704,2)&amp;"/"&amp;RIGHT("00"&amp;$I1704,2)))</f>
        <v/>
      </c>
      <c r="K1704">
        <f>IF(OR($F1704="",$J1704="",$J1704="نامعتبر"),"",LEFT($J1704,4)&amp;MID($J1704,6,2)&amp;RIGHT($J1704,2)&amp;$N1704&amp;"|"&amp;"2"&amp;RIGHT("00000"&amp;1699,5))</f>
        <v/>
      </c>
      <c r="L1704">
        <f>IF($K1704="","",COUNTIFS(LdgSellerA,$F1704,LdgKeyA,"&lt;"&amp;$K1704)+COUNTIFS(LdgSellerB,$F1704,LdgKeyB,"&lt;"&amp;$K1704)+1)</f>
        <v/>
      </c>
      <c r="M1704">
        <f>IF($L1704="","",$F1704&amp;"|"&amp;RIGHT("000000"&amp;$L1704,6))</f>
        <v/>
      </c>
      <c r="N1704">
        <f>IF($F1704="","",IF(Sync!$AF1704="","0000",IF(AND(ISNUMBER(Sync!$AF1704),Sync!$AF1704&gt;=0,Sync!$AF1704&lt;1),RIGHT("00"&amp;HOUR(Sync!$AF1704),2)&amp;RIGHT("00"&amp;MINUTE(Sync!$AF1704),2),IFERROR(RIGHT("00"&amp;VALUE(LEFT(Sync!$AF1704,FIND(":",Sync!$AF1704)-1)),2)&amp;RIGHT("00"&amp;VALUE(MID(Sync!$AF1704,FIND(":",Sync!$AF1704)+1,2)),2),"0000"))))</f>
        <v/>
      </c>
    </row>
    <row r="1705">
      <c r="A1705">
        <f>IF(OR(Calc!$E1709="",Calc!$E1709="نامعتبر",Calc!$G1709=""),"",Calc!$G1709)</f>
        <v/>
      </c>
      <c r="B1705">
        <f>IF($A1705="","",LEFT(Calc!$E1709,4)&amp;MID(Calc!$E1709,6,2)&amp;RIGHT(Calc!$E1709,2)&amp;Calc!$Q1709&amp;"|"&amp;"1"&amp;RIGHT("00000"&amp;1700,5))</f>
        <v/>
      </c>
      <c r="C1705">
        <f>IF($B1705="","",COUNTIFS(LdgSellerA,$A1705,LdgKeyA,"&lt;"&amp;$B1705)+COUNTIFS(LdgSellerB,$A1705,LdgKeyB,"&lt;"&amp;$B1705)+1)</f>
        <v/>
      </c>
      <c r="D1705">
        <f>IF($C1705="","",$A1705&amp;"|"&amp;RIGHT("000000"&amp;$C1705,6))</f>
        <v/>
      </c>
      <c r="F1705">
        <f>IF(Sync!$AH1705="","",IF(LEFT(UPPER(TRIM(Sync!$AH1705)),2)="SL",UPPER(TRIM(Sync!$AH1705)),""))</f>
        <v/>
      </c>
      <c r="G1705">
        <f>IF($F1705="","",IF(Sync!$AE1705="","",IF(ISNUMBER(Sync!$AE1705),IF(AND(Sync!$AE1705&gt;=10000101,Sync!$AE1705&lt;=99991231),INT(Sync!$AE1705/10000),""),IFERROR(VALUE(TRIM(LEFT(Sync!$AE1705,FIND("/",Sync!$AE1705)-1))),""))))</f>
        <v/>
      </c>
      <c r="H1705">
        <f>IF(OR($F1705="",$G1705=""),"",IF(ISNUMBER(Sync!$AE1705),INT(MOD(Sync!$AE1705,10000)/100),IFERROR(VALUE(TRIM(LEFT(MID(Sync!$AE1705,FIND("/",Sync!$AE1705)+1,20),FIND("/",MID(Sync!$AE1705,FIND("/",Sync!$AE1705)+1,20))-1))),"")))</f>
        <v/>
      </c>
      <c r="I1705">
        <f>IF(OR($F1705="",$G1705=""),"",IF(ISNUMBER(Sync!$AE1705),MOD(Sync!$AE1705,100),IFERROR(VALUE(TRIM(MID(MID(Sync!$AE1705,FIND("/",Sync!$AE1705)+1,20),FIND("/",MID(Sync!$AE1705,FIND("/",Sync!$AE1705)+1,20))+1,20))),"")))</f>
        <v/>
      </c>
      <c r="J1705">
        <f>IF($F1705="","",IF(OR($G1705="",$H1705="",$I1705="",$G1705&lt;1300,$G1705&gt;1500,$H1705&lt;1,$H1705&gt;12,$I1705&lt;1,$I1705&gt;31),"نامعتبر",RIGHT("0000"&amp;$G1705,4)&amp;"/"&amp;RIGHT("00"&amp;$H1705,2)&amp;"/"&amp;RIGHT("00"&amp;$I1705,2)))</f>
        <v/>
      </c>
      <c r="K1705">
        <f>IF(OR($F1705="",$J1705="",$J1705="نامعتبر"),"",LEFT($J1705,4)&amp;MID($J1705,6,2)&amp;RIGHT($J1705,2)&amp;$N1705&amp;"|"&amp;"2"&amp;RIGHT("00000"&amp;1700,5))</f>
        <v/>
      </c>
      <c r="L1705">
        <f>IF($K1705="","",COUNTIFS(LdgSellerA,$F1705,LdgKeyA,"&lt;"&amp;$K1705)+COUNTIFS(LdgSellerB,$F1705,LdgKeyB,"&lt;"&amp;$K1705)+1)</f>
        <v/>
      </c>
      <c r="M1705">
        <f>IF($L1705="","",$F1705&amp;"|"&amp;RIGHT("000000"&amp;$L1705,6))</f>
        <v/>
      </c>
      <c r="N1705">
        <f>IF($F1705="","",IF(Sync!$AF1705="","0000",IF(AND(ISNUMBER(Sync!$AF1705),Sync!$AF1705&gt;=0,Sync!$AF1705&lt;1),RIGHT("00"&amp;HOUR(Sync!$AF1705),2)&amp;RIGHT("00"&amp;MINUTE(Sync!$AF1705),2),IFERROR(RIGHT("00"&amp;VALUE(LEFT(Sync!$AF1705,FIND(":",Sync!$AF1705)-1)),2)&amp;RIGHT("00"&amp;VALUE(MID(Sync!$AF1705,FIND(":",Sync!$AF1705)+1,2)),2),"0000"))))</f>
        <v/>
      </c>
    </row>
    <row r="1706">
      <c r="A1706">
        <f>IF(OR(Calc!$E1710="",Calc!$E1710="نامعتبر",Calc!$G1710=""),"",Calc!$G1710)</f>
        <v/>
      </c>
      <c r="B1706">
        <f>IF($A1706="","",LEFT(Calc!$E1710,4)&amp;MID(Calc!$E1710,6,2)&amp;RIGHT(Calc!$E1710,2)&amp;Calc!$Q1710&amp;"|"&amp;"1"&amp;RIGHT("00000"&amp;1701,5))</f>
        <v/>
      </c>
      <c r="C1706">
        <f>IF($B1706="","",COUNTIFS(LdgSellerA,$A1706,LdgKeyA,"&lt;"&amp;$B1706)+COUNTIFS(LdgSellerB,$A1706,LdgKeyB,"&lt;"&amp;$B1706)+1)</f>
        <v/>
      </c>
      <c r="D1706">
        <f>IF($C1706="","",$A1706&amp;"|"&amp;RIGHT("000000"&amp;$C1706,6))</f>
        <v/>
      </c>
      <c r="F1706">
        <f>IF(Sync!$AH1706="","",IF(LEFT(UPPER(TRIM(Sync!$AH1706)),2)="SL",UPPER(TRIM(Sync!$AH1706)),""))</f>
        <v/>
      </c>
      <c r="G1706">
        <f>IF($F1706="","",IF(Sync!$AE1706="","",IF(ISNUMBER(Sync!$AE1706),IF(AND(Sync!$AE1706&gt;=10000101,Sync!$AE1706&lt;=99991231),INT(Sync!$AE1706/10000),""),IFERROR(VALUE(TRIM(LEFT(Sync!$AE1706,FIND("/",Sync!$AE1706)-1))),""))))</f>
        <v/>
      </c>
      <c r="H1706">
        <f>IF(OR($F1706="",$G1706=""),"",IF(ISNUMBER(Sync!$AE1706),INT(MOD(Sync!$AE1706,10000)/100),IFERROR(VALUE(TRIM(LEFT(MID(Sync!$AE1706,FIND("/",Sync!$AE1706)+1,20),FIND("/",MID(Sync!$AE1706,FIND("/",Sync!$AE1706)+1,20))-1))),"")))</f>
        <v/>
      </c>
      <c r="I1706">
        <f>IF(OR($F1706="",$G1706=""),"",IF(ISNUMBER(Sync!$AE1706),MOD(Sync!$AE1706,100),IFERROR(VALUE(TRIM(MID(MID(Sync!$AE1706,FIND("/",Sync!$AE1706)+1,20),FIND("/",MID(Sync!$AE1706,FIND("/",Sync!$AE1706)+1,20))+1,20))),"")))</f>
        <v/>
      </c>
      <c r="J1706">
        <f>IF($F1706="","",IF(OR($G1706="",$H1706="",$I1706="",$G1706&lt;1300,$G1706&gt;1500,$H1706&lt;1,$H1706&gt;12,$I1706&lt;1,$I1706&gt;31),"نامعتبر",RIGHT("0000"&amp;$G1706,4)&amp;"/"&amp;RIGHT("00"&amp;$H1706,2)&amp;"/"&amp;RIGHT("00"&amp;$I1706,2)))</f>
        <v/>
      </c>
      <c r="K1706">
        <f>IF(OR($F1706="",$J1706="",$J1706="نامعتبر"),"",LEFT($J1706,4)&amp;MID($J1706,6,2)&amp;RIGHT($J1706,2)&amp;$N1706&amp;"|"&amp;"2"&amp;RIGHT("00000"&amp;1701,5))</f>
        <v/>
      </c>
      <c r="L1706">
        <f>IF($K1706="","",COUNTIFS(LdgSellerA,$F1706,LdgKeyA,"&lt;"&amp;$K1706)+COUNTIFS(LdgSellerB,$F1706,LdgKeyB,"&lt;"&amp;$K1706)+1)</f>
        <v/>
      </c>
      <c r="M1706">
        <f>IF($L1706="","",$F1706&amp;"|"&amp;RIGHT("000000"&amp;$L1706,6))</f>
        <v/>
      </c>
      <c r="N1706">
        <f>IF($F1706="","",IF(Sync!$AF1706="","0000",IF(AND(ISNUMBER(Sync!$AF1706),Sync!$AF1706&gt;=0,Sync!$AF1706&lt;1),RIGHT("00"&amp;HOUR(Sync!$AF1706),2)&amp;RIGHT("00"&amp;MINUTE(Sync!$AF1706),2),IFERROR(RIGHT("00"&amp;VALUE(LEFT(Sync!$AF1706,FIND(":",Sync!$AF1706)-1)),2)&amp;RIGHT("00"&amp;VALUE(MID(Sync!$AF1706,FIND(":",Sync!$AF1706)+1,2)),2),"0000"))))</f>
        <v/>
      </c>
    </row>
    <row r="1707">
      <c r="A1707">
        <f>IF(OR(Calc!$E1711="",Calc!$E1711="نامعتبر",Calc!$G1711=""),"",Calc!$G1711)</f>
        <v/>
      </c>
      <c r="B1707">
        <f>IF($A1707="","",LEFT(Calc!$E1711,4)&amp;MID(Calc!$E1711,6,2)&amp;RIGHT(Calc!$E1711,2)&amp;Calc!$Q1711&amp;"|"&amp;"1"&amp;RIGHT("00000"&amp;1702,5))</f>
        <v/>
      </c>
      <c r="C1707">
        <f>IF($B1707="","",COUNTIFS(LdgSellerA,$A1707,LdgKeyA,"&lt;"&amp;$B1707)+COUNTIFS(LdgSellerB,$A1707,LdgKeyB,"&lt;"&amp;$B1707)+1)</f>
        <v/>
      </c>
      <c r="D1707">
        <f>IF($C1707="","",$A1707&amp;"|"&amp;RIGHT("000000"&amp;$C1707,6))</f>
        <v/>
      </c>
      <c r="F1707">
        <f>IF(Sync!$AH1707="","",IF(LEFT(UPPER(TRIM(Sync!$AH1707)),2)="SL",UPPER(TRIM(Sync!$AH1707)),""))</f>
        <v/>
      </c>
      <c r="G1707">
        <f>IF($F1707="","",IF(Sync!$AE1707="","",IF(ISNUMBER(Sync!$AE1707),IF(AND(Sync!$AE1707&gt;=10000101,Sync!$AE1707&lt;=99991231),INT(Sync!$AE1707/10000),""),IFERROR(VALUE(TRIM(LEFT(Sync!$AE1707,FIND("/",Sync!$AE1707)-1))),""))))</f>
        <v/>
      </c>
      <c r="H1707">
        <f>IF(OR($F1707="",$G1707=""),"",IF(ISNUMBER(Sync!$AE1707),INT(MOD(Sync!$AE1707,10000)/100),IFERROR(VALUE(TRIM(LEFT(MID(Sync!$AE1707,FIND("/",Sync!$AE1707)+1,20),FIND("/",MID(Sync!$AE1707,FIND("/",Sync!$AE1707)+1,20))-1))),"")))</f>
        <v/>
      </c>
      <c r="I1707">
        <f>IF(OR($F1707="",$G1707=""),"",IF(ISNUMBER(Sync!$AE1707),MOD(Sync!$AE1707,100),IFERROR(VALUE(TRIM(MID(MID(Sync!$AE1707,FIND("/",Sync!$AE1707)+1,20),FIND("/",MID(Sync!$AE1707,FIND("/",Sync!$AE1707)+1,20))+1,20))),"")))</f>
        <v/>
      </c>
      <c r="J1707">
        <f>IF($F1707="","",IF(OR($G1707="",$H1707="",$I1707="",$G1707&lt;1300,$G1707&gt;1500,$H1707&lt;1,$H1707&gt;12,$I1707&lt;1,$I1707&gt;31),"نامعتبر",RIGHT("0000"&amp;$G1707,4)&amp;"/"&amp;RIGHT("00"&amp;$H1707,2)&amp;"/"&amp;RIGHT("00"&amp;$I1707,2)))</f>
        <v/>
      </c>
      <c r="K1707">
        <f>IF(OR($F1707="",$J1707="",$J1707="نامعتبر"),"",LEFT($J1707,4)&amp;MID($J1707,6,2)&amp;RIGHT($J1707,2)&amp;$N1707&amp;"|"&amp;"2"&amp;RIGHT("00000"&amp;1702,5))</f>
        <v/>
      </c>
      <c r="L1707">
        <f>IF($K1707="","",COUNTIFS(LdgSellerA,$F1707,LdgKeyA,"&lt;"&amp;$K1707)+COUNTIFS(LdgSellerB,$F1707,LdgKeyB,"&lt;"&amp;$K1707)+1)</f>
        <v/>
      </c>
      <c r="M1707">
        <f>IF($L1707="","",$F1707&amp;"|"&amp;RIGHT("000000"&amp;$L1707,6))</f>
        <v/>
      </c>
      <c r="N1707">
        <f>IF($F1707="","",IF(Sync!$AF1707="","0000",IF(AND(ISNUMBER(Sync!$AF1707),Sync!$AF1707&gt;=0,Sync!$AF1707&lt;1),RIGHT("00"&amp;HOUR(Sync!$AF1707),2)&amp;RIGHT("00"&amp;MINUTE(Sync!$AF1707),2),IFERROR(RIGHT("00"&amp;VALUE(LEFT(Sync!$AF1707,FIND(":",Sync!$AF1707)-1)),2)&amp;RIGHT("00"&amp;VALUE(MID(Sync!$AF1707,FIND(":",Sync!$AF1707)+1,2)),2),"0000"))))</f>
        <v/>
      </c>
    </row>
    <row r="1708">
      <c r="A1708">
        <f>IF(OR(Calc!$E1712="",Calc!$E1712="نامعتبر",Calc!$G1712=""),"",Calc!$G1712)</f>
        <v/>
      </c>
      <c r="B1708">
        <f>IF($A1708="","",LEFT(Calc!$E1712,4)&amp;MID(Calc!$E1712,6,2)&amp;RIGHT(Calc!$E1712,2)&amp;Calc!$Q1712&amp;"|"&amp;"1"&amp;RIGHT("00000"&amp;1703,5))</f>
        <v/>
      </c>
      <c r="C1708">
        <f>IF($B1708="","",COUNTIFS(LdgSellerA,$A1708,LdgKeyA,"&lt;"&amp;$B1708)+COUNTIFS(LdgSellerB,$A1708,LdgKeyB,"&lt;"&amp;$B1708)+1)</f>
        <v/>
      </c>
      <c r="D1708">
        <f>IF($C1708="","",$A1708&amp;"|"&amp;RIGHT("000000"&amp;$C1708,6))</f>
        <v/>
      </c>
      <c r="F1708">
        <f>IF(Sync!$AH1708="","",IF(LEFT(UPPER(TRIM(Sync!$AH1708)),2)="SL",UPPER(TRIM(Sync!$AH1708)),""))</f>
        <v/>
      </c>
      <c r="G1708">
        <f>IF($F1708="","",IF(Sync!$AE1708="","",IF(ISNUMBER(Sync!$AE1708),IF(AND(Sync!$AE1708&gt;=10000101,Sync!$AE1708&lt;=99991231),INT(Sync!$AE1708/10000),""),IFERROR(VALUE(TRIM(LEFT(Sync!$AE1708,FIND("/",Sync!$AE1708)-1))),""))))</f>
        <v/>
      </c>
      <c r="H1708">
        <f>IF(OR($F1708="",$G1708=""),"",IF(ISNUMBER(Sync!$AE1708),INT(MOD(Sync!$AE1708,10000)/100),IFERROR(VALUE(TRIM(LEFT(MID(Sync!$AE1708,FIND("/",Sync!$AE1708)+1,20),FIND("/",MID(Sync!$AE1708,FIND("/",Sync!$AE1708)+1,20))-1))),"")))</f>
        <v/>
      </c>
      <c r="I1708">
        <f>IF(OR($F1708="",$G1708=""),"",IF(ISNUMBER(Sync!$AE1708),MOD(Sync!$AE1708,100),IFERROR(VALUE(TRIM(MID(MID(Sync!$AE1708,FIND("/",Sync!$AE1708)+1,20),FIND("/",MID(Sync!$AE1708,FIND("/",Sync!$AE1708)+1,20))+1,20))),"")))</f>
        <v/>
      </c>
      <c r="J1708">
        <f>IF($F1708="","",IF(OR($G1708="",$H1708="",$I1708="",$G1708&lt;1300,$G1708&gt;1500,$H1708&lt;1,$H1708&gt;12,$I1708&lt;1,$I1708&gt;31),"نامعتبر",RIGHT("0000"&amp;$G1708,4)&amp;"/"&amp;RIGHT("00"&amp;$H1708,2)&amp;"/"&amp;RIGHT("00"&amp;$I1708,2)))</f>
        <v/>
      </c>
      <c r="K1708">
        <f>IF(OR($F1708="",$J1708="",$J1708="نامعتبر"),"",LEFT($J1708,4)&amp;MID($J1708,6,2)&amp;RIGHT($J1708,2)&amp;$N1708&amp;"|"&amp;"2"&amp;RIGHT("00000"&amp;1703,5))</f>
        <v/>
      </c>
      <c r="L1708">
        <f>IF($K1708="","",COUNTIFS(LdgSellerA,$F1708,LdgKeyA,"&lt;"&amp;$K1708)+COUNTIFS(LdgSellerB,$F1708,LdgKeyB,"&lt;"&amp;$K1708)+1)</f>
        <v/>
      </c>
      <c r="M1708">
        <f>IF($L1708="","",$F1708&amp;"|"&amp;RIGHT("000000"&amp;$L1708,6))</f>
        <v/>
      </c>
      <c r="N1708">
        <f>IF($F1708="","",IF(Sync!$AF1708="","0000",IF(AND(ISNUMBER(Sync!$AF1708),Sync!$AF1708&gt;=0,Sync!$AF1708&lt;1),RIGHT("00"&amp;HOUR(Sync!$AF1708),2)&amp;RIGHT("00"&amp;MINUTE(Sync!$AF1708),2),IFERROR(RIGHT("00"&amp;VALUE(LEFT(Sync!$AF1708,FIND(":",Sync!$AF1708)-1)),2)&amp;RIGHT("00"&amp;VALUE(MID(Sync!$AF1708,FIND(":",Sync!$AF1708)+1,2)),2),"0000"))))</f>
        <v/>
      </c>
    </row>
    <row r="1709">
      <c r="A1709">
        <f>IF(OR(Calc!$E1713="",Calc!$E1713="نامعتبر",Calc!$G1713=""),"",Calc!$G1713)</f>
        <v/>
      </c>
      <c r="B1709">
        <f>IF($A1709="","",LEFT(Calc!$E1713,4)&amp;MID(Calc!$E1713,6,2)&amp;RIGHT(Calc!$E1713,2)&amp;Calc!$Q1713&amp;"|"&amp;"1"&amp;RIGHT("00000"&amp;1704,5))</f>
        <v/>
      </c>
      <c r="C1709">
        <f>IF($B1709="","",COUNTIFS(LdgSellerA,$A1709,LdgKeyA,"&lt;"&amp;$B1709)+COUNTIFS(LdgSellerB,$A1709,LdgKeyB,"&lt;"&amp;$B1709)+1)</f>
        <v/>
      </c>
      <c r="D1709">
        <f>IF($C1709="","",$A1709&amp;"|"&amp;RIGHT("000000"&amp;$C1709,6))</f>
        <v/>
      </c>
      <c r="F1709">
        <f>IF(Sync!$AH1709="","",IF(LEFT(UPPER(TRIM(Sync!$AH1709)),2)="SL",UPPER(TRIM(Sync!$AH1709)),""))</f>
        <v/>
      </c>
      <c r="G1709">
        <f>IF($F1709="","",IF(Sync!$AE1709="","",IF(ISNUMBER(Sync!$AE1709),IF(AND(Sync!$AE1709&gt;=10000101,Sync!$AE1709&lt;=99991231),INT(Sync!$AE1709/10000),""),IFERROR(VALUE(TRIM(LEFT(Sync!$AE1709,FIND("/",Sync!$AE1709)-1))),""))))</f>
        <v/>
      </c>
      <c r="H1709">
        <f>IF(OR($F1709="",$G1709=""),"",IF(ISNUMBER(Sync!$AE1709),INT(MOD(Sync!$AE1709,10000)/100),IFERROR(VALUE(TRIM(LEFT(MID(Sync!$AE1709,FIND("/",Sync!$AE1709)+1,20),FIND("/",MID(Sync!$AE1709,FIND("/",Sync!$AE1709)+1,20))-1))),"")))</f>
        <v/>
      </c>
      <c r="I1709">
        <f>IF(OR($F1709="",$G1709=""),"",IF(ISNUMBER(Sync!$AE1709),MOD(Sync!$AE1709,100),IFERROR(VALUE(TRIM(MID(MID(Sync!$AE1709,FIND("/",Sync!$AE1709)+1,20),FIND("/",MID(Sync!$AE1709,FIND("/",Sync!$AE1709)+1,20))+1,20))),"")))</f>
        <v/>
      </c>
      <c r="J1709">
        <f>IF($F1709="","",IF(OR($G1709="",$H1709="",$I1709="",$G1709&lt;1300,$G1709&gt;1500,$H1709&lt;1,$H1709&gt;12,$I1709&lt;1,$I1709&gt;31),"نامعتبر",RIGHT("0000"&amp;$G1709,4)&amp;"/"&amp;RIGHT("00"&amp;$H1709,2)&amp;"/"&amp;RIGHT("00"&amp;$I1709,2)))</f>
        <v/>
      </c>
      <c r="K1709">
        <f>IF(OR($F1709="",$J1709="",$J1709="نامعتبر"),"",LEFT($J1709,4)&amp;MID($J1709,6,2)&amp;RIGHT($J1709,2)&amp;$N1709&amp;"|"&amp;"2"&amp;RIGHT("00000"&amp;1704,5))</f>
        <v/>
      </c>
      <c r="L1709">
        <f>IF($K1709="","",COUNTIFS(LdgSellerA,$F1709,LdgKeyA,"&lt;"&amp;$K1709)+COUNTIFS(LdgSellerB,$F1709,LdgKeyB,"&lt;"&amp;$K1709)+1)</f>
        <v/>
      </c>
      <c r="M1709">
        <f>IF($L1709="","",$F1709&amp;"|"&amp;RIGHT("000000"&amp;$L1709,6))</f>
        <v/>
      </c>
      <c r="N1709">
        <f>IF($F1709="","",IF(Sync!$AF1709="","0000",IF(AND(ISNUMBER(Sync!$AF1709),Sync!$AF1709&gt;=0,Sync!$AF1709&lt;1),RIGHT("00"&amp;HOUR(Sync!$AF1709),2)&amp;RIGHT("00"&amp;MINUTE(Sync!$AF1709),2),IFERROR(RIGHT("00"&amp;VALUE(LEFT(Sync!$AF1709,FIND(":",Sync!$AF1709)-1)),2)&amp;RIGHT("00"&amp;VALUE(MID(Sync!$AF1709,FIND(":",Sync!$AF1709)+1,2)),2),"0000"))))</f>
        <v/>
      </c>
    </row>
    <row r="1710">
      <c r="A1710">
        <f>IF(OR(Calc!$E1714="",Calc!$E1714="نامعتبر",Calc!$G1714=""),"",Calc!$G1714)</f>
        <v/>
      </c>
      <c r="B1710">
        <f>IF($A1710="","",LEFT(Calc!$E1714,4)&amp;MID(Calc!$E1714,6,2)&amp;RIGHT(Calc!$E1714,2)&amp;Calc!$Q1714&amp;"|"&amp;"1"&amp;RIGHT("00000"&amp;1705,5))</f>
        <v/>
      </c>
      <c r="C1710">
        <f>IF($B1710="","",COUNTIFS(LdgSellerA,$A1710,LdgKeyA,"&lt;"&amp;$B1710)+COUNTIFS(LdgSellerB,$A1710,LdgKeyB,"&lt;"&amp;$B1710)+1)</f>
        <v/>
      </c>
      <c r="D1710">
        <f>IF($C1710="","",$A1710&amp;"|"&amp;RIGHT("000000"&amp;$C1710,6))</f>
        <v/>
      </c>
      <c r="F1710">
        <f>IF(Sync!$AH1710="","",IF(LEFT(UPPER(TRIM(Sync!$AH1710)),2)="SL",UPPER(TRIM(Sync!$AH1710)),""))</f>
        <v/>
      </c>
      <c r="G1710">
        <f>IF($F1710="","",IF(Sync!$AE1710="","",IF(ISNUMBER(Sync!$AE1710),IF(AND(Sync!$AE1710&gt;=10000101,Sync!$AE1710&lt;=99991231),INT(Sync!$AE1710/10000),""),IFERROR(VALUE(TRIM(LEFT(Sync!$AE1710,FIND("/",Sync!$AE1710)-1))),""))))</f>
        <v/>
      </c>
      <c r="H1710">
        <f>IF(OR($F1710="",$G1710=""),"",IF(ISNUMBER(Sync!$AE1710),INT(MOD(Sync!$AE1710,10000)/100),IFERROR(VALUE(TRIM(LEFT(MID(Sync!$AE1710,FIND("/",Sync!$AE1710)+1,20),FIND("/",MID(Sync!$AE1710,FIND("/",Sync!$AE1710)+1,20))-1))),"")))</f>
        <v/>
      </c>
      <c r="I1710">
        <f>IF(OR($F1710="",$G1710=""),"",IF(ISNUMBER(Sync!$AE1710),MOD(Sync!$AE1710,100),IFERROR(VALUE(TRIM(MID(MID(Sync!$AE1710,FIND("/",Sync!$AE1710)+1,20),FIND("/",MID(Sync!$AE1710,FIND("/",Sync!$AE1710)+1,20))+1,20))),"")))</f>
        <v/>
      </c>
      <c r="J1710">
        <f>IF($F1710="","",IF(OR($G1710="",$H1710="",$I1710="",$G1710&lt;1300,$G1710&gt;1500,$H1710&lt;1,$H1710&gt;12,$I1710&lt;1,$I1710&gt;31),"نامعتبر",RIGHT("0000"&amp;$G1710,4)&amp;"/"&amp;RIGHT("00"&amp;$H1710,2)&amp;"/"&amp;RIGHT("00"&amp;$I1710,2)))</f>
        <v/>
      </c>
      <c r="K1710">
        <f>IF(OR($F1710="",$J1710="",$J1710="نامعتبر"),"",LEFT($J1710,4)&amp;MID($J1710,6,2)&amp;RIGHT($J1710,2)&amp;$N1710&amp;"|"&amp;"2"&amp;RIGHT("00000"&amp;1705,5))</f>
        <v/>
      </c>
      <c r="L1710">
        <f>IF($K1710="","",COUNTIFS(LdgSellerA,$F1710,LdgKeyA,"&lt;"&amp;$K1710)+COUNTIFS(LdgSellerB,$F1710,LdgKeyB,"&lt;"&amp;$K1710)+1)</f>
        <v/>
      </c>
      <c r="M1710">
        <f>IF($L1710="","",$F1710&amp;"|"&amp;RIGHT("000000"&amp;$L1710,6))</f>
        <v/>
      </c>
      <c r="N1710">
        <f>IF($F1710="","",IF(Sync!$AF1710="","0000",IF(AND(ISNUMBER(Sync!$AF1710),Sync!$AF1710&gt;=0,Sync!$AF1710&lt;1),RIGHT("00"&amp;HOUR(Sync!$AF1710),2)&amp;RIGHT("00"&amp;MINUTE(Sync!$AF1710),2),IFERROR(RIGHT("00"&amp;VALUE(LEFT(Sync!$AF1710,FIND(":",Sync!$AF1710)-1)),2)&amp;RIGHT("00"&amp;VALUE(MID(Sync!$AF1710,FIND(":",Sync!$AF1710)+1,2)),2),"0000"))))</f>
        <v/>
      </c>
    </row>
    <row r="1711">
      <c r="A1711">
        <f>IF(OR(Calc!$E1715="",Calc!$E1715="نامعتبر",Calc!$G1715=""),"",Calc!$G1715)</f>
        <v/>
      </c>
      <c r="B1711">
        <f>IF($A1711="","",LEFT(Calc!$E1715,4)&amp;MID(Calc!$E1715,6,2)&amp;RIGHT(Calc!$E1715,2)&amp;Calc!$Q1715&amp;"|"&amp;"1"&amp;RIGHT("00000"&amp;1706,5))</f>
        <v/>
      </c>
      <c r="C1711">
        <f>IF($B1711="","",COUNTIFS(LdgSellerA,$A1711,LdgKeyA,"&lt;"&amp;$B1711)+COUNTIFS(LdgSellerB,$A1711,LdgKeyB,"&lt;"&amp;$B1711)+1)</f>
        <v/>
      </c>
      <c r="D1711">
        <f>IF($C1711="","",$A1711&amp;"|"&amp;RIGHT("000000"&amp;$C1711,6))</f>
        <v/>
      </c>
      <c r="F1711">
        <f>IF(Sync!$AH1711="","",IF(LEFT(UPPER(TRIM(Sync!$AH1711)),2)="SL",UPPER(TRIM(Sync!$AH1711)),""))</f>
        <v/>
      </c>
      <c r="G1711">
        <f>IF($F1711="","",IF(Sync!$AE1711="","",IF(ISNUMBER(Sync!$AE1711),IF(AND(Sync!$AE1711&gt;=10000101,Sync!$AE1711&lt;=99991231),INT(Sync!$AE1711/10000),""),IFERROR(VALUE(TRIM(LEFT(Sync!$AE1711,FIND("/",Sync!$AE1711)-1))),""))))</f>
        <v/>
      </c>
      <c r="H1711">
        <f>IF(OR($F1711="",$G1711=""),"",IF(ISNUMBER(Sync!$AE1711),INT(MOD(Sync!$AE1711,10000)/100),IFERROR(VALUE(TRIM(LEFT(MID(Sync!$AE1711,FIND("/",Sync!$AE1711)+1,20),FIND("/",MID(Sync!$AE1711,FIND("/",Sync!$AE1711)+1,20))-1))),"")))</f>
        <v/>
      </c>
      <c r="I1711">
        <f>IF(OR($F1711="",$G1711=""),"",IF(ISNUMBER(Sync!$AE1711),MOD(Sync!$AE1711,100),IFERROR(VALUE(TRIM(MID(MID(Sync!$AE1711,FIND("/",Sync!$AE1711)+1,20),FIND("/",MID(Sync!$AE1711,FIND("/",Sync!$AE1711)+1,20))+1,20))),"")))</f>
        <v/>
      </c>
      <c r="J1711">
        <f>IF($F1711="","",IF(OR($G1711="",$H1711="",$I1711="",$G1711&lt;1300,$G1711&gt;1500,$H1711&lt;1,$H1711&gt;12,$I1711&lt;1,$I1711&gt;31),"نامعتبر",RIGHT("0000"&amp;$G1711,4)&amp;"/"&amp;RIGHT("00"&amp;$H1711,2)&amp;"/"&amp;RIGHT("00"&amp;$I1711,2)))</f>
        <v/>
      </c>
      <c r="K1711">
        <f>IF(OR($F1711="",$J1711="",$J1711="نامعتبر"),"",LEFT($J1711,4)&amp;MID($J1711,6,2)&amp;RIGHT($J1711,2)&amp;$N1711&amp;"|"&amp;"2"&amp;RIGHT("00000"&amp;1706,5))</f>
        <v/>
      </c>
      <c r="L1711">
        <f>IF($K1711="","",COUNTIFS(LdgSellerA,$F1711,LdgKeyA,"&lt;"&amp;$K1711)+COUNTIFS(LdgSellerB,$F1711,LdgKeyB,"&lt;"&amp;$K1711)+1)</f>
        <v/>
      </c>
      <c r="M1711">
        <f>IF($L1711="","",$F1711&amp;"|"&amp;RIGHT("000000"&amp;$L1711,6))</f>
        <v/>
      </c>
      <c r="N1711">
        <f>IF($F1711="","",IF(Sync!$AF1711="","0000",IF(AND(ISNUMBER(Sync!$AF1711),Sync!$AF1711&gt;=0,Sync!$AF1711&lt;1),RIGHT("00"&amp;HOUR(Sync!$AF1711),2)&amp;RIGHT("00"&amp;MINUTE(Sync!$AF1711),2),IFERROR(RIGHT("00"&amp;VALUE(LEFT(Sync!$AF1711,FIND(":",Sync!$AF1711)-1)),2)&amp;RIGHT("00"&amp;VALUE(MID(Sync!$AF1711,FIND(":",Sync!$AF1711)+1,2)),2),"0000"))))</f>
        <v/>
      </c>
    </row>
    <row r="1712">
      <c r="A1712">
        <f>IF(OR(Calc!$E1716="",Calc!$E1716="نامعتبر",Calc!$G1716=""),"",Calc!$G1716)</f>
        <v/>
      </c>
      <c r="B1712">
        <f>IF($A1712="","",LEFT(Calc!$E1716,4)&amp;MID(Calc!$E1716,6,2)&amp;RIGHT(Calc!$E1716,2)&amp;Calc!$Q1716&amp;"|"&amp;"1"&amp;RIGHT("00000"&amp;1707,5))</f>
        <v/>
      </c>
      <c r="C1712">
        <f>IF($B1712="","",COUNTIFS(LdgSellerA,$A1712,LdgKeyA,"&lt;"&amp;$B1712)+COUNTIFS(LdgSellerB,$A1712,LdgKeyB,"&lt;"&amp;$B1712)+1)</f>
        <v/>
      </c>
      <c r="D1712">
        <f>IF($C1712="","",$A1712&amp;"|"&amp;RIGHT("000000"&amp;$C1712,6))</f>
        <v/>
      </c>
      <c r="F1712">
        <f>IF(Sync!$AH1712="","",IF(LEFT(UPPER(TRIM(Sync!$AH1712)),2)="SL",UPPER(TRIM(Sync!$AH1712)),""))</f>
        <v/>
      </c>
      <c r="G1712">
        <f>IF($F1712="","",IF(Sync!$AE1712="","",IF(ISNUMBER(Sync!$AE1712),IF(AND(Sync!$AE1712&gt;=10000101,Sync!$AE1712&lt;=99991231),INT(Sync!$AE1712/10000),""),IFERROR(VALUE(TRIM(LEFT(Sync!$AE1712,FIND("/",Sync!$AE1712)-1))),""))))</f>
        <v/>
      </c>
      <c r="H1712">
        <f>IF(OR($F1712="",$G1712=""),"",IF(ISNUMBER(Sync!$AE1712),INT(MOD(Sync!$AE1712,10000)/100),IFERROR(VALUE(TRIM(LEFT(MID(Sync!$AE1712,FIND("/",Sync!$AE1712)+1,20),FIND("/",MID(Sync!$AE1712,FIND("/",Sync!$AE1712)+1,20))-1))),"")))</f>
        <v/>
      </c>
      <c r="I1712">
        <f>IF(OR($F1712="",$G1712=""),"",IF(ISNUMBER(Sync!$AE1712),MOD(Sync!$AE1712,100),IFERROR(VALUE(TRIM(MID(MID(Sync!$AE1712,FIND("/",Sync!$AE1712)+1,20),FIND("/",MID(Sync!$AE1712,FIND("/",Sync!$AE1712)+1,20))+1,20))),"")))</f>
        <v/>
      </c>
      <c r="J1712">
        <f>IF($F1712="","",IF(OR($G1712="",$H1712="",$I1712="",$G1712&lt;1300,$G1712&gt;1500,$H1712&lt;1,$H1712&gt;12,$I1712&lt;1,$I1712&gt;31),"نامعتبر",RIGHT("0000"&amp;$G1712,4)&amp;"/"&amp;RIGHT("00"&amp;$H1712,2)&amp;"/"&amp;RIGHT("00"&amp;$I1712,2)))</f>
        <v/>
      </c>
      <c r="K1712">
        <f>IF(OR($F1712="",$J1712="",$J1712="نامعتبر"),"",LEFT($J1712,4)&amp;MID($J1712,6,2)&amp;RIGHT($J1712,2)&amp;$N1712&amp;"|"&amp;"2"&amp;RIGHT("00000"&amp;1707,5))</f>
        <v/>
      </c>
      <c r="L1712">
        <f>IF($K1712="","",COUNTIFS(LdgSellerA,$F1712,LdgKeyA,"&lt;"&amp;$K1712)+COUNTIFS(LdgSellerB,$F1712,LdgKeyB,"&lt;"&amp;$K1712)+1)</f>
        <v/>
      </c>
      <c r="M1712">
        <f>IF($L1712="","",$F1712&amp;"|"&amp;RIGHT("000000"&amp;$L1712,6))</f>
        <v/>
      </c>
      <c r="N1712">
        <f>IF($F1712="","",IF(Sync!$AF1712="","0000",IF(AND(ISNUMBER(Sync!$AF1712),Sync!$AF1712&gt;=0,Sync!$AF1712&lt;1),RIGHT("00"&amp;HOUR(Sync!$AF1712),2)&amp;RIGHT("00"&amp;MINUTE(Sync!$AF1712),2),IFERROR(RIGHT("00"&amp;VALUE(LEFT(Sync!$AF1712,FIND(":",Sync!$AF1712)-1)),2)&amp;RIGHT("00"&amp;VALUE(MID(Sync!$AF1712,FIND(":",Sync!$AF1712)+1,2)),2),"0000"))))</f>
        <v/>
      </c>
    </row>
    <row r="1713">
      <c r="A1713">
        <f>IF(OR(Calc!$E1717="",Calc!$E1717="نامعتبر",Calc!$G1717=""),"",Calc!$G1717)</f>
        <v/>
      </c>
      <c r="B1713">
        <f>IF($A1713="","",LEFT(Calc!$E1717,4)&amp;MID(Calc!$E1717,6,2)&amp;RIGHT(Calc!$E1717,2)&amp;Calc!$Q1717&amp;"|"&amp;"1"&amp;RIGHT("00000"&amp;1708,5))</f>
        <v/>
      </c>
      <c r="C1713">
        <f>IF($B1713="","",COUNTIFS(LdgSellerA,$A1713,LdgKeyA,"&lt;"&amp;$B1713)+COUNTIFS(LdgSellerB,$A1713,LdgKeyB,"&lt;"&amp;$B1713)+1)</f>
        <v/>
      </c>
      <c r="D1713">
        <f>IF($C1713="","",$A1713&amp;"|"&amp;RIGHT("000000"&amp;$C1713,6))</f>
        <v/>
      </c>
      <c r="F1713">
        <f>IF(Sync!$AH1713="","",IF(LEFT(UPPER(TRIM(Sync!$AH1713)),2)="SL",UPPER(TRIM(Sync!$AH1713)),""))</f>
        <v/>
      </c>
      <c r="G1713">
        <f>IF($F1713="","",IF(Sync!$AE1713="","",IF(ISNUMBER(Sync!$AE1713),IF(AND(Sync!$AE1713&gt;=10000101,Sync!$AE1713&lt;=99991231),INT(Sync!$AE1713/10000),""),IFERROR(VALUE(TRIM(LEFT(Sync!$AE1713,FIND("/",Sync!$AE1713)-1))),""))))</f>
        <v/>
      </c>
      <c r="H1713">
        <f>IF(OR($F1713="",$G1713=""),"",IF(ISNUMBER(Sync!$AE1713),INT(MOD(Sync!$AE1713,10000)/100),IFERROR(VALUE(TRIM(LEFT(MID(Sync!$AE1713,FIND("/",Sync!$AE1713)+1,20),FIND("/",MID(Sync!$AE1713,FIND("/",Sync!$AE1713)+1,20))-1))),"")))</f>
        <v/>
      </c>
      <c r="I1713">
        <f>IF(OR($F1713="",$G1713=""),"",IF(ISNUMBER(Sync!$AE1713),MOD(Sync!$AE1713,100),IFERROR(VALUE(TRIM(MID(MID(Sync!$AE1713,FIND("/",Sync!$AE1713)+1,20),FIND("/",MID(Sync!$AE1713,FIND("/",Sync!$AE1713)+1,20))+1,20))),"")))</f>
        <v/>
      </c>
      <c r="J1713">
        <f>IF($F1713="","",IF(OR($G1713="",$H1713="",$I1713="",$G1713&lt;1300,$G1713&gt;1500,$H1713&lt;1,$H1713&gt;12,$I1713&lt;1,$I1713&gt;31),"نامعتبر",RIGHT("0000"&amp;$G1713,4)&amp;"/"&amp;RIGHT("00"&amp;$H1713,2)&amp;"/"&amp;RIGHT("00"&amp;$I1713,2)))</f>
        <v/>
      </c>
      <c r="K1713">
        <f>IF(OR($F1713="",$J1713="",$J1713="نامعتبر"),"",LEFT($J1713,4)&amp;MID($J1713,6,2)&amp;RIGHT($J1713,2)&amp;$N1713&amp;"|"&amp;"2"&amp;RIGHT("00000"&amp;1708,5))</f>
        <v/>
      </c>
      <c r="L1713">
        <f>IF($K1713="","",COUNTIFS(LdgSellerA,$F1713,LdgKeyA,"&lt;"&amp;$K1713)+COUNTIFS(LdgSellerB,$F1713,LdgKeyB,"&lt;"&amp;$K1713)+1)</f>
        <v/>
      </c>
      <c r="M1713">
        <f>IF($L1713="","",$F1713&amp;"|"&amp;RIGHT("000000"&amp;$L1713,6))</f>
        <v/>
      </c>
      <c r="N1713">
        <f>IF($F1713="","",IF(Sync!$AF1713="","0000",IF(AND(ISNUMBER(Sync!$AF1713),Sync!$AF1713&gt;=0,Sync!$AF1713&lt;1),RIGHT("00"&amp;HOUR(Sync!$AF1713),2)&amp;RIGHT("00"&amp;MINUTE(Sync!$AF1713),2),IFERROR(RIGHT("00"&amp;VALUE(LEFT(Sync!$AF1713,FIND(":",Sync!$AF1713)-1)),2)&amp;RIGHT("00"&amp;VALUE(MID(Sync!$AF1713,FIND(":",Sync!$AF1713)+1,2)),2),"0000"))))</f>
        <v/>
      </c>
    </row>
    <row r="1714">
      <c r="A1714">
        <f>IF(OR(Calc!$E1718="",Calc!$E1718="نامعتبر",Calc!$G1718=""),"",Calc!$G1718)</f>
        <v/>
      </c>
      <c r="B1714">
        <f>IF($A1714="","",LEFT(Calc!$E1718,4)&amp;MID(Calc!$E1718,6,2)&amp;RIGHT(Calc!$E1718,2)&amp;Calc!$Q1718&amp;"|"&amp;"1"&amp;RIGHT("00000"&amp;1709,5))</f>
        <v/>
      </c>
      <c r="C1714">
        <f>IF($B1714="","",COUNTIFS(LdgSellerA,$A1714,LdgKeyA,"&lt;"&amp;$B1714)+COUNTIFS(LdgSellerB,$A1714,LdgKeyB,"&lt;"&amp;$B1714)+1)</f>
        <v/>
      </c>
      <c r="D1714">
        <f>IF($C1714="","",$A1714&amp;"|"&amp;RIGHT("000000"&amp;$C1714,6))</f>
        <v/>
      </c>
      <c r="F1714">
        <f>IF(Sync!$AH1714="","",IF(LEFT(UPPER(TRIM(Sync!$AH1714)),2)="SL",UPPER(TRIM(Sync!$AH1714)),""))</f>
        <v/>
      </c>
      <c r="G1714">
        <f>IF($F1714="","",IF(Sync!$AE1714="","",IF(ISNUMBER(Sync!$AE1714),IF(AND(Sync!$AE1714&gt;=10000101,Sync!$AE1714&lt;=99991231),INT(Sync!$AE1714/10000),""),IFERROR(VALUE(TRIM(LEFT(Sync!$AE1714,FIND("/",Sync!$AE1714)-1))),""))))</f>
        <v/>
      </c>
      <c r="H1714">
        <f>IF(OR($F1714="",$G1714=""),"",IF(ISNUMBER(Sync!$AE1714),INT(MOD(Sync!$AE1714,10000)/100),IFERROR(VALUE(TRIM(LEFT(MID(Sync!$AE1714,FIND("/",Sync!$AE1714)+1,20),FIND("/",MID(Sync!$AE1714,FIND("/",Sync!$AE1714)+1,20))-1))),"")))</f>
        <v/>
      </c>
      <c r="I1714">
        <f>IF(OR($F1714="",$G1714=""),"",IF(ISNUMBER(Sync!$AE1714),MOD(Sync!$AE1714,100),IFERROR(VALUE(TRIM(MID(MID(Sync!$AE1714,FIND("/",Sync!$AE1714)+1,20),FIND("/",MID(Sync!$AE1714,FIND("/",Sync!$AE1714)+1,20))+1,20))),"")))</f>
        <v/>
      </c>
      <c r="J1714">
        <f>IF($F1714="","",IF(OR($G1714="",$H1714="",$I1714="",$G1714&lt;1300,$G1714&gt;1500,$H1714&lt;1,$H1714&gt;12,$I1714&lt;1,$I1714&gt;31),"نامعتبر",RIGHT("0000"&amp;$G1714,4)&amp;"/"&amp;RIGHT("00"&amp;$H1714,2)&amp;"/"&amp;RIGHT("00"&amp;$I1714,2)))</f>
        <v/>
      </c>
      <c r="K1714">
        <f>IF(OR($F1714="",$J1714="",$J1714="نامعتبر"),"",LEFT($J1714,4)&amp;MID($J1714,6,2)&amp;RIGHT($J1714,2)&amp;$N1714&amp;"|"&amp;"2"&amp;RIGHT("00000"&amp;1709,5))</f>
        <v/>
      </c>
      <c r="L1714">
        <f>IF($K1714="","",COUNTIFS(LdgSellerA,$F1714,LdgKeyA,"&lt;"&amp;$K1714)+COUNTIFS(LdgSellerB,$F1714,LdgKeyB,"&lt;"&amp;$K1714)+1)</f>
        <v/>
      </c>
      <c r="M1714">
        <f>IF($L1714="","",$F1714&amp;"|"&amp;RIGHT("000000"&amp;$L1714,6))</f>
        <v/>
      </c>
      <c r="N1714">
        <f>IF($F1714="","",IF(Sync!$AF1714="","0000",IF(AND(ISNUMBER(Sync!$AF1714),Sync!$AF1714&gt;=0,Sync!$AF1714&lt;1),RIGHT("00"&amp;HOUR(Sync!$AF1714),2)&amp;RIGHT("00"&amp;MINUTE(Sync!$AF1714),2),IFERROR(RIGHT("00"&amp;VALUE(LEFT(Sync!$AF1714,FIND(":",Sync!$AF1714)-1)),2)&amp;RIGHT("00"&amp;VALUE(MID(Sync!$AF1714,FIND(":",Sync!$AF1714)+1,2)),2),"0000"))))</f>
        <v/>
      </c>
    </row>
    <row r="1715">
      <c r="A1715">
        <f>IF(OR(Calc!$E1719="",Calc!$E1719="نامعتبر",Calc!$G1719=""),"",Calc!$G1719)</f>
        <v/>
      </c>
      <c r="B1715">
        <f>IF($A1715="","",LEFT(Calc!$E1719,4)&amp;MID(Calc!$E1719,6,2)&amp;RIGHT(Calc!$E1719,2)&amp;Calc!$Q1719&amp;"|"&amp;"1"&amp;RIGHT("00000"&amp;1710,5))</f>
        <v/>
      </c>
      <c r="C1715">
        <f>IF($B1715="","",COUNTIFS(LdgSellerA,$A1715,LdgKeyA,"&lt;"&amp;$B1715)+COUNTIFS(LdgSellerB,$A1715,LdgKeyB,"&lt;"&amp;$B1715)+1)</f>
        <v/>
      </c>
      <c r="D1715">
        <f>IF($C1715="","",$A1715&amp;"|"&amp;RIGHT("000000"&amp;$C1715,6))</f>
        <v/>
      </c>
      <c r="F1715">
        <f>IF(Sync!$AH1715="","",IF(LEFT(UPPER(TRIM(Sync!$AH1715)),2)="SL",UPPER(TRIM(Sync!$AH1715)),""))</f>
        <v/>
      </c>
      <c r="G1715">
        <f>IF($F1715="","",IF(Sync!$AE1715="","",IF(ISNUMBER(Sync!$AE1715),IF(AND(Sync!$AE1715&gt;=10000101,Sync!$AE1715&lt;=99991231),INT(Sync!$AE1715/10000),""),IFERROR(VALUE(TRIM(LEFT(Sync!$AE1715,FIND("/",Sync!$AE1715)-1))),""))))</f>
        <v/>
      </c>
      <c r="H1715">
        <f>IF(OR($F1715="",$G1715=""),"",IF(ISNUMBER(Sync!$AE1715),INT(MOD(Sync!$AE1715,10000)/100),IFERROR(VALUE(TRIM(LEFT(MID(Sync!$AE1715,FIND("/",Sync!$AE1715)+1,20),FIND("/",MID(Sync!$AE1715,FIND("/",Sync!$AE1715)+1,20))-1))),"")))</f>
        <v/>
      </c>
      <c r="I1715">
        <f>IF(OR($F1715="",$G1715=""),"",IF(ISNUMBER(Sync!$AE1715),MOD(Sync!$AE1715,100),IFERROR(VALUE(TRIM(MID(MID(Sync!$AE1715,FIND("/",Sync!$AE1715)+1,20),FIND("/",MID(Sync!$AE1715,FIND("/",Sync!$AE1715)+1,20))+1,20))),"")))</f>
        <v/>
      </c>
      <c r="J1715">
        <f>IF($F1715="","",IF(OR($G1715="",$H1715="",$I1715="",$G1715&lt;1300,$G1715&gt;1500,$H1715&lt;1,$H1715&gt;12,$I1715&lt;1,$I1715&gt;31),"نامعتبر",RIGHT("0000"&amp;$G1715,4)&amp;"/"&amp;RIGHT("00"&amp;$H1715,2)&amp;"/"&amp;RIGHT("00"&amp;$I1715,2)))</f>
        <v/>
      </c>
      <c r="K1715">
        <f>IF(OR($F1715="",$J1715="",$J1715="نامعتبر"),"",LEFT($J1715,4)&amp;MID($J1715,6,2)&amp;RIGHT($J1715,2)&amp;$N1715&amp;"|"&amp;"2"&amp;RIGHT("00000"&amp;1710,5))</f>
        <v/>
      </c>
      <c r="L1715">
        <f>IF($K1715="","",COUNTIFS(LdgSellerA,$F1715,LdgKeyA,"&lt;"&amp;$K1715)+COUNTIFS(LdgSellerB,$F1715,LdgKeyB,"&lt;"&amp;$K1715)+1)</f>
        <v/>
      </c>
      <c r="M1715">
        <f>IF($L1715="","",$F1715&amp;"|"&amp;RIGHT("000000"&amp;$L1715,6))</f>
        <v/>
      </c>
      <c r="N1715">
        <f>IF($F1715="","",IF(Sync!$AF1715="","0000",IF(AND(ISNUMBER(Sync!$AF1715),Sync!$AF1715&gt;=0,Sync!$AF1715&lt;1),RIGHT("00"&amp;HOUR(Sync!$AF1715),2)&amp;RIGHT("00"&amp;MINUTE(Sync!$AF1715),2),IFERROR(RIGHT("00"&amp;VALUE(LEFT(Sync!$AF1715,FIND(":",Sync!$AF1715)-1)),2)&amp;RIGHT("00"&amp;VALUE(MID(Sync!$AF1715,FIND(":",Sync!$AF1715)+1,2)),2),"0000"))))</f>
        <v/>
      </c>
    </row>
    <row r="1716">
      <c r="A1716">
        <f>IF(OR(Calc!$E1720="",Calc!$E1720="نامعتبر",Calc!$G1720=""),"",Calc!$G1720)</f>
        <v/>
      </c>
      <c r="B1716">
        <f>IF($A1716="","",LEFT(Calc!$E1720,4)&amp;MID(Calc!$E1720,6,2)&amp;RIGHT(Calc!$E1720,2)&amp;Calc!$Q1720&amp;"|"&amp;"1"&amp;RIGHT("00000"&amp;1711,5))</f>
        <v/>
      </c>
      <c r="C1716">
        <f>IF($B1716="","",COUNTIFS(LdgSellerA,$A1716,LdgKeyA,"&lt;"&amp;$B1716)+COUNTIFS(LdgSellerB,$A1716,LdgKeyB,"&lt;"&amp;$B1716)+1)</f>
        <v/>
      </c>
      <c r="D1716">
        <f>IF($C1716="","",$A1716&amp;"|"&amp;RIGHT("000000"&amp;$C1716,6))</f>
        <v/>
      </c>
      <c r="F1716">
        <f>IF(Sync!$AH1716="","",IF(LEFT(UPPER(TRIM(Sync!$AH1716)),2)="SL",UPPER(TRIM(Sync!$AH1716)),""))</f>
        <v/>
      </c>
      <c r="G1716">
        <f>IF($F1716="","",IF(Sync!$AE1716="","",IF(ISNUMBER(Sync!$AE1716),IF(AND(Sync!$AE1716&gt;=10000101,Sync!$AE1716&lt;=99991231),INT(Sync!$AE1716/10000),""),IFERROR(VALUE(TRIM(LEFT(Sync!$AE1716,FIND("/",Sync!$AE1716)-1))),""))))</f>
        <v/>
      </c>
      <c r="H1716">
        <f>IF(OR($F1716="",$G1716=""),"",IF(ISNUMBER(Sync!$AE1716),INT(MOD(Sync!$AE1716,10000)/100),IFERROR(VALUE(TRIM(LEFT(MID(Sync!$AE1716,FIND("/",Sync!$AE1716)+1,20),FIND("/",MID(Sync!$AE1716,FIND("/",Sync!$AE1716)+1,20))-1))),"")))</f>
        <v/>
      </c>
      <c r="I1716">
        <f>IF(OR($F1716="",$G1716=""),"",IF(ISNUMBER(Sync!$AE1716),MOD(Sync!$AE1716,100),IFERROR(VALUE(TRIM(MID(MID(Sync!$AE1716,FIND("/",Sync!$AE1716)+1,20),FIND("/",MID(Sync!$AE1716,FIND("/",Sync!$AE1716)+1,20))+1,20))),"")))</f>
        <v/>
      </c>
      <c r="J1716">
        <f>IF($F1716="","",IF(OR($G1716="",$H1716="",$I1716="",$G1716&lt;1300,$G1716&gt;1500,$H1716&lt;1,$H1716&gt;12,$I1716&lt;1,$I1716&gt;31),"نامعتبر",RIGHT("0000"&amp;$G1716,4)&amp;"/"&amp;RIGHT("00"&amp;$H1716,2)&amp;"/"&amp;RIGHT("00"&amp;$I1716,2)))</f>
        <v/>
      </c>
      <c r="K1716">
        <f>IF(OR($F1716="",$J1716="",$J1716="نامعتبر"),"",LEFT($J1716,4)&amp;MID($J1716,6,2)&amp;RIGHT($J1716,2)&amp;$N1716&amp;"|"&amp;"2"&amp;RIGHT("00000"&amp;1711,5))</f>
        <v/>
      </c>
      <c r="L1716">
        <f>IF($K1716="","",COUNTIFS(LdgSellerA,$F1716,LdgKeyA,"&lt;"&amp;$K1716)+COUNTIFS(LdgSellerB,$F1716,LdgKeyB,"&lt;"&amp;$K1716)+1)</f>
        <v/>
      </c>
      <c r="M1716">
        <f>IF($L1716="","",$F1716&amp;"|"&amp;RIGHT("000000"&amp;$L1716,6))</f>
        <v/>
      </c>
      <c r="N1716">
        <f>IF($F1716="","",IF(Sync!$AF1716="","0000",IF(AND(ISNUMBER(Sync!$AF1716),Sync!$AF1716&gt;=0,Sync!$AF1716&lt;1),RIGHT("00"&amp;HOUR(Sync!$AF1716),2)&amp;RIGHT("00"&amp;MINUTE(Sync!$AF1716),2),IFERROR(RIGHT("00"&amp;VALUE(LEFT(Sync!$AF1716,FIND(":",Sync!$AF1716)-1)),2)&amp;RIGHT("00"&amp;VALUE(MID(Sync!$AF1716,FIND(":",Sync!$AF1716)+1,2)),2),"0000"))))</f>
        <v/>
      </c>
    </row>
    <row r="1717">
      <c r="A1717">
        <f>IF(OR(Calc!$E1721="",Calc!$E1721="نامعتبر",Calc!$G1721=""),"",Calc!$G1721)</f>
        <v/>
      </c>
      <c r="B1717">
        <f>IF($A1717="","",LEFT(Calc!$E1721,4)&amp;MID(Calc!$E1721,6,2)&amp;RIGHT(Calc!$E1721,2)&amp;Calc!$Q1721&amp;"|"&amp;"1"&amp;RIGHT("00000"&amp;1712,5))</f>
        <v/>
      </c>
      <c r="C1717">
        <f>IF($B1717="","",COUNTIFS(LdgSellerA,$A1717,LdgKeyA,"&lt;"&amp;$B1717)+COUNTIFS(LdgSellerB,$A1717,LdgKeyB,"&lt;"&amp;$B1717)+1)</f>
        <v/>
      </c>
      <c r="D1717">
        <f>IF($C1717="","",$A1717&amp;"|"&amp;RIGHT("000000"&amp;$C1717,6))</f>
        <v/>
      </c>
      <c r="F1717">
        <f>IF(Sync!$AH1717="","",IF(LEFT(UPPER(TRIM(Sync!$AH1717)),2)="SL",UPPER(TRIM(Sync!$AH1717)),""))</f>
        <v/>
      </c>
      <c r="G1717">
        <f>IF($F1717="","",IF(Sync!$AE1717="","",IF(ISNUMBER(Sync!$AE1717),IF(AND(Sync!$AE1717&gt;=10000101,Sync!$AE1717&lt;=99991231),INT(Sync!$AE1717/10000),""),IFERROR(VALUE(TRIM(LEFT(Sync!$AE1717,FIND("/",Sync!$AE1717)-1))),""))))</f>
        <v/>
      </c>
      <c r="H1717">
        <f>IF(OR($F1717="",$G1717=""),"",IF(ISNUMBER(Sync!$AE1717),INT(MOD(Sync!$AE1717,10000)/100),IFERROR(VALUE(TRIM(LEFT(MID(Sync!$AE1717,FIND("/",Sync!$AE1717)+1,20),FIND("/",MID(Sync!$AE1717,FIND("/",Sync!$AE1717)+1,20))-1))),"")))</f>
        <v/>
      </c>
      <c r="I1717">
        <f>IF(OR($F1717="",$G1717=""),"",IF(ISNUMBER(Sync!$AE1717),MOD(Sync!$AE1717,100),IFERROR(VALUE(TRIM(MID(MID(Sync!$AE1717,FIND("/",Sync!$AE1717)+1,20),FIND("/",MID(Sync!$AE1717,FIND("/",Sync!$AE1717)+1,20))+1,20))),"")))</f>
        <v/>
      </c>
      <c r="J1717">
        <f>IF($F1717="","",IF(OR($G1717="",$H1717="",$I1717="",$G1717&lt;1300,$G1717&gt;1500,$H1717&lt;1,$H1717&gt;12,$I1717&lt;1,$I1717&gt;31),"نامعتبر",RIGHT("0000"&amp;$G1717,4)&amp;"/"&amp;RIGHT("00"&amp;$H1717,2)&amp;"/"&amp;RIGHT("00"&amp;$I1717,2)))</f>
        <v/>
      </c>
      <c r="K1717">
        <f>IF(OR($F1717="",$J1717="",$J1717="نامعتبر"),"",LEFT($J1717,4)&amp;MID($J1717,6,2)&amp;RIGHT($J1717,2)&amp;$N1717&amp;"|"&amp;"2"&amp;RIGHT("00000"&amp;1712,5))</f>
        <v/>
      </c>
      <c r="L1717">
        <f>IF($K1717="","",COUNTIFS(LdgSellerA,$F1717,LdgKeyA,"&lt;"&amp;$K1717)+COUNTIFS(LdgSellerB,$F1717,LdgKeyB,"&lt;"&amp;$K1717)+1)</f>
        <v/>
      </c>
      <c r="M1717">
        <f>IF($L1717="","",$F1717&amp;"|"&amp;RIGHT("000000"&amp;$L1717,6))</f>
        <v/>
      </c>
      <c r="N1717">
        <f>IF($F1717="","",IF(Sync!$AF1717="","0000",IF(AND(ISNUMBER(Sync!$AF1717),Sync!$AF1717&gt;=0,Sync!$AF1717&lt;1),RIGHT("00"&amp;HOUR(Sync!$AF1717),2)&amp;RIGHT("00"&amp;MINUTE(Sync!$AF1717),2),IFERROR(RIGHT("00"&amp;VALUE(LEFT(Sync!$AF1717,FIND(":",Sync!$AF1717)-1)),2)&amp;RIGHT("00"&amp;VALUE(MID(Sync!$AF1717,FIND(":",Sync!$AF1717)+1,2)),2),"0000"))))</f>
        <v/>
      </c>
    </row>
    <row r="1718">
      <c r="A1718">
        <f>IF(OR(Calc!$E1722="",Calc!$E1722="نامعتبر",Calc!$G1722=""),"",Calc!$G1722)</f>
        <v/>
      </c>
      <c r="B1718">
        <f>IF($A1718="","",LEFT(Calc!$E1722,4)&amp;MID(Calc!$E1722,6,2)&amp;RIGHT(Calc!$E1722,2)&amp;Calc!$Q1722&amp;"|"&amp;"1"&amp;RIGHT("00000"&amp;1713,5))</f>
        <v/>
      </c>
      <c r="C1718">
        <f>IF($B1718="","",COUNTIFS(LdgSellerA,$A1718,LdgKeyA,"&lt;"&amp;$B1718)+COUNTIFS(LdgSellerB,$A1718,LdgKeyB,"&lt;"&amp;$B1718)+1)</f>
        <v/>
      </c>
      <c r="D1718">
        <f>IF($C1718="","",$A1718&amp;"|"&amp;RIGHT("000000"&amp;$C1718,6))</f>
        <v/>
      </c>
      <c r="F1718">
        <f>IF(Sync!$AH1718="","",IF(LEFT(UPPER(TRIM(Sync!$AH1718)),2)="SL",UPPER(TRIM(Sync!$AH1718)),""))</f>
        <v/>
      </c>
      <c r="G1718">
        <f>IF($F1718="","",IF(Sync!$AE1718="","",IF(ISNUMBER(Sync!$AE1718),IF(AND(Sync!$AE1718&gt;=10000101,Sync!$AE1718&lt;=99991231),INT(Sync!$AE1718/10000),""),IFERROR(VALUE(TRIM(LEFT(Sync!$AE1718,FIND("/",Sync!$AE1718)-1))),""))))</f>
        <v/>
      </c>
      <c r="H1718">
        <f>IF(OR($F1718="",$G1718=""),"",IF(ISNUMBER(Sync!$AE1718),INT(MOD(Sync!$AE1718,10000)/100),IFERROR(VALUE(TRIM(LEFT(MID(Sync!$AE1718,FIND("/",Sync!$AE1718)+1,20),FIND("/",MID(Sync!$AE1718,FIND("/",Sync!$AE1718)+1,20))-1))),"")))</f>
        <v/>
      </c>
      <c r="I1718">
        <f>IF(OR($F1718="",$G1718=""),"",IF(ISNUMBER(Sync!$AE1718),MOD(Sync!$AE1718,100),IFERROR(VALUE(TRIM(MID(MID(Sync!$AE1718,FIND("/",Sync!$AE1718)+1,20),FIND("/",MID(Sync!$AE1718,FIND("/",Sync!$AE1718)+1,20))+1,20))),"")))</f>
        <v/>
      </c>
      <c r="J1718">
        <f>IF($F1718="","",IF(OR($G1718="",$H1718="",$I1718="",$G1718&lt;1300,$G1718&gt;1500,$H1718&lt;1,$H1718&gt;12,$I1718&lt;1,$I1718&gt;31),"نامعتبر",RIGHT("0000"&amp;$G1718,4)&amp;"/"&amp;RIGHT("00"&amp;$H1718,2)&amp;"/"&amp;RIGHT("00"&amp;$I1718,2)))</f>
        <v/>
      </c>
      <c r="K1718">
        <f>IF(OR($F1718="",$J1718="",$J1718="نامعتبر"),"",LEFT($J1718,4)&amp;MID($J1718,6,2)&amp;RIGHT($J1718,2)&amp;$N1718&amp;"|"&amp;"2"&amp;RIGHT("00000"&amp;1713,5))</f>
        <v/>
      </c>
      <c r="L1718">
        <f>IF($K1718="","",COUNTIFS(LdgSellerA,$F1718,LdgKeyA,"&lt;"&amp;$K1718)+COUNTIFS(LdgSellerB,$F1718,LdgKeyB,"&lt;"&amp;$K1718)+1)</f>
        <v/>
      </c>
      <c r="M1718">
        <f>IF($L1718="","",$F1718&amp;"|"&amp;RIGHT("000000"&amp;$L1718,6))</f>
        <v/>
      </c>
      <c r="N1718">
        <f>IF($F1718="","",IF(Sync!$AF1718="","0000",IF(AND(ISNUMBER(Sync!$AF1718),Sync!$AF1718&gt;=0,Sync!$AF1718&lt;1),RIGHT("00"&amp;HOUR(Sync!$AF1718),2)&amp;RIGHT("00"&amp;MINUTE(Sync!$AF1718),2),IFERROR(RIGHT("00"&amp;VALUE(LEFT(Sync!$AF1718,FIND(":",Sync!$AF1718)-1)),2)&amp;RIGHT("00"&amp;VALUE(MID(Sync!$AF1718,FIND(":",Sync!$AF1718)+1,2)),2),"0000"))))</f>
        <v/>
      </c>
    </row>
    <row r="1719">
      <c r="A1719">
        <f>IF(OR(Calc!$E1723="",Calc!$E1723="نامعتبر",Calc!$G1723=""),"",Calc!$G1723)</f>
        <v/>
      </c>
      <c r="B1719">
        <f>IF($A1719="","",LEFT(Calc!$E1723,4)&amp;MID(Calc!$E1723,6,2)&amp;RIGHT(Calc!$E1723,2)&amp;Calc!$Q1723&amp;"|"&amp;"1"&amp;RIGHT("00000"&amp;1714,5))</f>
        <v/>
      </c>
      <c r="C1719">
        <f>IF($B1719="","",COUNTIFS(LdgSellerA,$A1719,LdgKeyA,"&lt;"&amp;$B1719)+COUNTIFS(LdgSellerB,$A1719,LdgKeyB,"&lt;"&amp;$B1719)+1)</f>
        <v/>
      </c>
      <c r="D1719">
        <f>IF($C1719="","",$A1719&amp;"|"&amp;RIGHT("000000"&amp;$C1719,6))</f>
        <v/>
      </c>
      <c r="F1719">
        <f>IF(Sync!$AH1719="","",IF(LEFT(UPPER(TRIM(Sync!$AH1719)),2)="SL",UPPER(TRIM(Sync!$AH1719)),""))</f>
        <v/>
      </c>
      <c r="G1719">
        <f>IF($F1719="","",IF(Sync!$AE1719="","",IF(ISNUMBER(Sync!$AE1719),IF(AND(Sync!$AE1719&gt;=10000101,Sync!$AE1719&lt;=99991231),INT(Sync!$AE1719/10000),""),IFERROR(VALUE(TRIM(LEFT(Sync!$AE1719,FIND("/",Sync!$AE1719)-1))),""))))</f>
        <v/>
      </c>
      <c r="H1719">
        <f>IF(OR($F1719="",$G1719=""),"",IF(ISNUMBER(Sync!$AE1719),INT(MOD(Sync!$AE1719,10000)/100),IFERROR(VALUE(TRIM(LEFT(MID(Sync!$AE1719,FIND("/",Sync!$AE1719)+1,20),FIND("/",MID(Sync!$AE1719,FIND("/",Sync!$AE1719)+1,20))-1))),"")))</f>
        <v/>
      </c>
      <c r="I1719">
        <f>IF(OR($F1719="",$G1719=""),"",IF(ISNUMBER(Sync!$AE1719),MOD(Sync!$AE1719,100),IFERROR(VALUE(TRIM(MID(MID(Sync!$AE1719,FIND("/",Sync!$AE1719)+1,20),FIND("/",MID(Sync!$AE1719,FIND("/",Sync!$AE1719)+1,20))+1,20))),"")))</f>
        <v/>
      </c>
      <c r="J1719">
        <f>IF($F1719="","",IF(OR($G1719="",$H1719="",$I1719="",$G1719&lt;1300,$G1719&gt;1500,$H1719&lt;1,$H1719&gt;12,$I1719&lt;1,$I1719&gt;31),"نامعتبر",RIGHT("0000"&amp;$G1719,4)&amp;"/"&amp;RIGHT("00"&amp;$H1719,2)&amp;"/"&amp;RIGHT("00"&amp;$I1719,2)))</f>
        <v/>
      </c>
      <c r="K1719">
        <f>IF(OR($F1719="",$J1719="",$J1719="نامعتبر"),"",LEFT($J1719,4)&amp;MID($J1719,6,2)&amp;RIGHT($J1719,2)&amp;$N1719&amp;"|"&amp;"2"&amp;RIGHT("00000"&amp;1714,5))</f>
        <v/>
      </c>
      <c r="L1719">
        <f>IF($K1719="","",COUNTIFS(LdgSellerA,$F1719,LdgKeyA,"&lt;"&amp;$K1719)+COUNTIFS(LdgSellerB,$F1719,LdgKeyB,"&lt;"&amp;$K1719)+1)</f>
        <v/>
      </c>
      <c r="M1719">
        <f>IF($L1719="","",$F1719&amp;"|"&amp;RIGHT("000000"&amp;$L1719,6))</f>
        <v/>
      </c>
      <c r="N1719">
        <f>IF($F1719="","",IF(Sync!$AF1719="","0000",IF(AND(ISNUMBER(Sync!$AF1719),Sync!$AF1719&gt;=0,Sync!$AF1719&lt;1),RIGHT("00"&amp;HOUR(Sync!$AF1719),2)&amp;RIGHT("00"&amp;MINUTE(Sync!$AF1719),2),IFERROR(RIGHT("00"&amp;VALUE(LEFT(Sync!$AF1719,FIND(":",Sync!$AF1719)-1)),2)&amp;RIGHT("00"&amp;VALUE(MID(Sync!$AF1719,FIND(":",Sync!$AF1719)+1,2)),2),"0000"))))</f>
        <v/>
      </c>
    </row>
    <row r="1720">
      <c r="A1720">
        <f>IF(OR(Calc!$E1724="",Calc!$E1724="نامعتبر",Calc!$G1724=""),"",Calc!$G1724)</f>
        <v/>
      </c>
      <c r="B1720">
        <f>IF($A1720="","",LEFT(Calc!$E1724,4)&amp;MID(Calc!$E1724,6,2)&amp;RIGHT(Calc!$E1724,2)&amp;Calc!$Q1724&amp;"|"&amp;"1"&amp;RIGHT("00000"&amp;1715,5))</f>
        <v/>
      </c>
      <c r="C1720">
        <f>IF($B1720="","",COUNTIFS(LdgSellerA,$A1720,LdgKeyA,"&lt;"&amp;$B1720)+COUNTIFS(LdgSellerB,$A1720,LdgKeyB,"&lt;"&amp;$B1720)+1)</f>
        <v/>
      </c>
      <c r="D1720">
        <f>IF($C1720="","",$A1720&amp;"|"&amp;RIGHT("000000"&amp;$C1720,6))</f>
        <v/>
      </c>
      <c r="F1720">
        <f>IF(Sync!$AH1720="","",IF(LEFT(UPPER(TRIM(Sync!$AH1720)),2)="SL",UPPER(TRIM(Sync!$AH1720)),""))</f>
        <v/>
      </c>
      <c r="G1720">
        <f>IF($F1720="","",IF(Sync!$AE1720="","",IF(ISNUMBER(Sync!$AE1720),IF(AND(Sync!$AE1720&gt;=10000101,Sync!$AE1720&lt;=99991231),INT(Sync!$AE1720/10000),""),IFERROR(VALUE(TRIM(LEFT(Sync!$AE1720,FIND("/",Sync!$AE1720)-1))),""))))</f>
        <v/>
      </c>
      <c r="H1720">
        <f>IF(OR($F1720="",$G1720=""),"",IF(ISNUMBER(Sync!$AE1720),INT(MOD(Sync!$AE1720,10000)/100),IFERROR(VALUE(TRIM(LEFT(MID(Sync!$AE1720,FIND("/",Sync!$AE1720)+1,20),FIND("/",MID(Sync!$AE1720,FIND("/",Sync!$AE1720)+1,20))-1))),"")))</f>
        <v/>
      </c>
      <c r="I1720">
        <f>IF(OR($F1720="",$G1720=""),"",IF(ISNUMBER(Sync!$AE1720),MOD(Sync!$AE1720,100),IFERROR(VALUE(TRIM(MID(MID(Sync!$AE1720,FIND("/",Sync!$AE1720)+1,20),FIND("/",MID(Sync!$AE1720,FIND("/",Sync!$AE1720)+1,20))+1,20))),"")))</f>
        <v/>
      </c>
      <c r="J1720">
        <f>IF($F1720="","",IF(OR($G1720="",$H1720="",$I1720="",$G1720&lt;1300,$G1720&gt;1500,$H1720&lt;1,$H1720&gt;12,$I1720&lt;1,$I1720&gt;31),"نامعتبر",RIGHT("0000"&amp;$G1720,4)&amp;"/"&amp;RIGHT("00"&amp;$H1720,2)&amp;"/"&amp;RIGHT("00"&amp;$I1720,2)))</f>
        <v/>
      </c>
      <c r="K1720">
        <f>IF(OR($F1720="",$J1720="",$J1720="نامعتبر"),"",LEFT($J1720,4)&amp;MID($J1720,6,2)&amp;RIGHT($J1720,2)&amp;$N1720&amp;"|"&amp;"2"&amp;RIGHT("00000"&amp;1715,5))</f>
        <v/>
      </c>
      <c r="L1720">
        <f>IF($K1720="","",COUNTIFS(LdgSellerA,$F1720,LdgKeyA,"&lt;"&amp;$K1720)+COUNTIFS(LdgSellerB,$F1720,LdgKeyB,"&lt;"&amp;$K1720)+1)</f>
        <v/>
      </c>
      <c r="M1720">
        <f>IF($L1720="","",$F1720&amp;"|"&amp;RIGHT("000000"&amp;$L1720,6))</f>
        <v/>
      </c>
      <c r="N1720">
        <f>IF($F1720="","",IF(Sync!$AF1720="","0000",IF(AND(ISNUMBER(Sync!$AF1720),Sync!$AF1720&gt;=0,Sync!$AF1720&lt;1),RIGHT("00"&amp;HOUR(Sync!$AF1720),2)&amp;RIGHT("00"&amp;MINUTE(Sync!$AF1720),2),IFERROR(RIGHT("00"&amp;VALUE(LEFT(Sync!$AF1720,FIND(":",Sync!$AF1720)-1)),2)&amp;RIGHT("00"&amp;VALUE(MID(Sync!$AF1720,FIND(":",Sync!$AF1720)+1,2)),2),"0000"))))</f>
        <v/>
      </c>
    </row>
    <row r="1721">
      <c r="A1721">
        <f>IF(OR(Calc!$E1725="",Calc!$E1725="نامعتبر",Calc!$G1725=""),"",Calc!$G1725)</f>
        <v/>
      </c>
      <c r="B1721">
        <f>IF($A1721="","",LEFT(Calc!$E1725,4)&amp;MID(Calc!$E1725,6,2)&amp;RIGHT(Calc!$E1725,2)&amp;Calc!$Q1725&amp;"|"&amp;"1"&amp;RIGHT("00000"&amp;1716,5))</f>
        <v/>
      </c>
      <c r="C1721">
        <f>IF($B1721="","",COUNTIFS(LdgSellerA,$A1721,LdgKeyA,"&lt;"&amp;$B1721)+COUNTIFS(LdgSellerB,$A1721,LdgKeyB,"&lt;"&amp;$B1721)+1)</f>
        <v/>
      </c>
      <c r="D1721">
        <f>IF($C1721="","",$A1721&amp;"|"&amp;RIGHT("000000"&amp;$C1721,6))</f>
        <v/>
      </c>
      <c r="F1721">
        <f>IF(Sync!$AH1721="","",IF(LEFT(UPPER(TRIM(Sync!$AH1721)),2)="SL",UPPER(TRIM(Sync!$AH1721)),""))</f>
        <v/>
      </c>
      <c r="G1721">
        <f>IF($F1721="","",IF(Sync!$AE1721="","",IF(ISNUMBER(Sync!$AE1721),IF(AND(Sync!$AE1721&gt;=10000101,Sync!$AE1721&lt;=99991231),INT(Sync!$AE1721/10000),""),IFERROR(VALUE(TRIM(LEFT(Sync!$AE1721,FIND("/",Sync!$AE1721)-1))),""))))</f>
        <v/>
      </c>
      <c r="H1721">
        <f>IF(OR($F1721="",$G1721=""),"",IF(ISNUMBER(Sync!$AE1721),INT(MOD(Sync!$AE1721,10000)/100),IFERROR(VALUE(TRIM(LEFT(MID(Sync!$AE1721,FIND("/",Sync!$AE1721)+1,20),FIND("/",MID(Sync!$AE1721,FIND("/",Sync!$AE1721)+1,20))-1))),"")))</f>
        <v/>
      </c>
      <c r="I1721">
        <f>IF(OR($F1721="",$G1721=""),"",IF(ISNUMBER(Sync!$AE1721),MOD(Sync!$AE1721,100),IFERROR(VALUE(TRIM(MID(MID(Sync!$AE1721,FIND("/",Sync!$AE1721)+1,20),FIND("/",MID(Sync!$AE1721,FIND("/",Sync!$AE1721)+1,20))+1,20))),"")))</f>
        <v/>
      </c>
      <c r="J1721">
        <f>IF($F1721="","",IF(OR($G1721="",$H1721="",$I1721="",$G1721&lt;1300,$G1721&gt;1500,$H1721&lt;1,$H1721&gt;12,$I1721&lt;1,$I1721&gt;31),"نامعتبر",RIGHT("0000"&amp;$G1721,4)&amp;"/"&amp;RIGHT("00"&amp;$H1721,2)&amp;"/"&amp;RIGHT("00"&amp;$I1721,2)))</f>
        <v/>
      </c>
      <c r="K1721">
        <f>IF(OR($F1721="",$J1721="",$J1721="نامعتبر"),"",LEFT($J1721,4)&amp;MID($J1721,6,2)&amp;RIGHT($J1721,2)&amp;$N1721&amp;"|"&amp;"2"&amp;RIGHT("00000"&amp;1716,5))</f>
        <v/>
      </c>
      <c r="L1721">
        <f>IF($K1721="","",COUNTIFS(LdgSellerA,$F1721,LdgKeyA,"&lt;"&amp;$K1721)+COUNTIFS(LdgSellerB,$F1721,LdgKeyB,"&lt;"&amp;$K1721)+1)</f>
        <v/>
      </c>
      <c r="M1721">
        <f>IF($L1721="","",$F1721&amp;"|"&amp;RIGHT("000000"&amp;$L1721,6))</f>
        <v/>
      </c>
      <c r="N1721">
        <f>IF($F1721="","",IF(Sync!$AF1721="","0000",IF(AND(ISNUMBER(Sync!$AF1721),Sync!$AF1721&gt;=0,Sync!$AF1721&lt;1),RIGHT("00"&amp;HOUR(Sync!$AF1721),2)&amp;RIGHT("00"&amp;MINUTE(Sync!$AF1721),2),IFERROR(RIGHT("00"&amp;VALUE(LEFT(Sync!$AF1721,FIND(":",Sync!$AF1721)-1)),2)&amp;RIGHT("00"&amp;VALUE(MID(Sync!$AF1721,FIND(":",Sync!$AF1721)+1,2)),2),"0000"))))</f>
        <v/>
      </c>
    </row>
    <row r="1722">
      <c r="A1722">
        <f>IF(OR(Calc!$E1726="",Calc!$E1726="نامعتبر",Calc!$G1726=""),"",Calc!$G1726)</f>
        <v/>
      </c>
      <c r="B1722">
        <f>IF($A1722="","",LEFT(Calc!$E1726,4)&amp;MID(Calc!$E1726,6,2)&amp;RIGHT(Calc!$E1726,2)&amp;Calc!$Q1726&amp;"|"&amp;"1"&amp;RIGHT("00000"&amp;1717,5))</f>
        <v/>
      </c>
      <c r="C1722">
        <f>IF($B1722="","",COUNTIFS(LdgSellerA,$A1722,LdgKeyA,"&lt;"&amp;$B1722)+COUNTIFS(LdgSellerB,$A1722,LdgKeyB,"&lt;"&amp;$B1722)+1)</f>
        <v/>
      </c>
      <c r="D1722">
        <f>IF($C1722="","",$A1722&amp;"|"&amp;RIGHT("000000"&amp;$C1722,6))</f>
        <v/>
      </c>
      <c r="F1722">
        <f>IF(Sync!$AH1722="","",IF(LEFT(UPPER(TRIM(Sync!$AH1722)),2)="SL",UPPER(TRIM(Sync!$AH1722)),""))</f>
        <v/>
      </c>
      <c r="G1722">
        <f>IF($F1722="","",IF(Sync!$AE1722="","",IF(ISNUMBER(Sync!$AE1722),IF(AND(Sync!$AE1722&gt;=10000101,Sync!$AE1722&lt;=99991231),INT(Sync!$AE1722/10000),""),IFERROR(VALUE(TRIM(LEFT(Sync!$AE1722,FIND("/",Sync!$AE1722)-1))),""))))</f>
        <v/>
      </c>
      <c r="H1722">
        <f>IF(OR($F1722="",$G1722=""),"",IF(ISNUMBER(Sync!$AE1722),INT(MOD(Sync!$AE1722,10000)/100),IFERROR(VALUE(TRIM(LEFT(MID(Sync!$AE1722,FIND("/",Sync!$AE1722)+1,20),FIND("/",MID(Sync!$AE1722,FIND("/",Sync!$AE1722)+1,20))-1))),"")))</f>
        <v/>
      </c>
      <c r="I1722">
        <f>IF(OR($F1722="",$G1722=""),"",IF(ISNUMBER(Sync!$AE1722),MOD(Sync!$AE1722,100),IFERROR(VALUE(TRIM(MID(MID(Sync!$AE1722,FIND("/",Sync!$AE1722)+1,20),FIND("/",MID(Sync!$AE1722,FIND("/",Sync!$AE1722)+1,20))+1,20))),"")))</f>
        <v/>
      </c>
      <c r="J1722">
        <f>IF($F1722="","",IF(OR($G1722="",$H1722="",$I1722="",$G1722&lt;1300,$G1722&gt;1500,$H1722&lt;1,$H1722&gt;12,$I1722&lt;1,$I1722&gt;31),"نامعتبر",RIGHT("0000"&amp;$G1722,4)&amp;"/"&amp;RIGHT("00"&amp;$H1722,2)&amp;"/"&amp;RIGHT("00"&amp;$I1722,2)))</f>
        <v/>
      </c>
      <c r="K1722">
        <f>IF(OR($F1722="",$J1722="",$J1722="نامعتبر"),"",LEFT($J1722,4)&amp;MID($J1722,6,2)&amp;RIGHT($J1722,2)&amp;$N1722&amp;"|"&amp;"2"&amp;RIGHT("00000"&amp;1717,5))</f>
        <v/>
      </c>
      <c r="L1722">
        <f>IF($K1722="","",COUNTIFS(LdgSellerA,$F1722,LdgKeyA,"&lt;"&amp;$K1722)+COUNTIFS(LdgSellerB,$F1722,LdgKeyB,"&lt;"&amp;$K1722)+1)</f>
        <v/>
      </c>
      <c r="M1722">
        <f>IF($L1722="","",$F1722&amp;"|"&amp;RIGHT("000000"&amp;$L1722,6))</f>
        <v/>
      </c>
      <c r="N1722">
        <f>IF($F1722="","",IF(Sync!$AF1722="","0000",IF(AND(ISNUMBER(Sync!$AF1722),Sync!$AF1722&gt;=0,Sync!$AF1722&lt;1),RIGHT("00"&amp;HOUR(Sync!$AF1722),2)&amp;RIGHT("00"&amp;MINUTE(Sync!$AF1722),2),IFERROR(RIGHT("00"&amp;VALUE(LEFT(Sync!$AF1722,FIND(":",Sync!$AF1722)-1)),2)&amp;RIGHT("00"&amp;VALUE(MID(Sync!$AF1722,FIND(":",Sync!$AF1722)+1,2)),2),"0000"))))</f>
        <v/>
      </c>
    </row>
    <row r="1723">
      <c r="A1723">
        <f>IF(OR(Calc!$E1727="",Calc!$E1727="نامعتبر",Calc!$G1727=""),"",Calc!$G1727)</f>
        <v/>
      </c>
      <c r="B1723">
        <f>IF($A1723="","",LEFT(Calc!$E1727,4)&amp;MID(Calc!$E1727,6,2)&amp;RIGHT(Calc!$E1727,2)&amp;Calc!$Q1727&amp;"|"&amp;"1"&amp;RIGHT("00000"&amp;1718,5))</f>
        <v/>
      </c>
      <c r="C1723">
        <f>IF($B1723="","",COUNTIFS(LdgSellerA,$A1723,LdgKeyA,"&lt;"&amp;$B1723)+COUNTIFS(LdgSellerB,$A1723,LdgKeyB,"&lt;"&amp;$B1723)+1)</f>
        <v/>
      </c>
      <c r="D1723">
        <f>IF($C1723="","",$A1723&amp;"|"&amp;RIGHT("000000"&amp;$C1723,6))</f>
        <v/>
      </c>
      <c r="F1723">
        <f>IF(Sync!$AH1723="","",IF(LEFT(UPPER(TRIM(Sync!$AH1723)),2)="SL",UPPER(TRIM(Sync!$AH1723)),""))</f>
        <v/>
      </c>
      <c r="G1723">
        <f>IF($F1723="","",IF(Sync!$AE1723="","",IF(ISNUMBER(Sync!$AE1723),IF(AND(Sync!$AE1723&gt;=10000101,Sync!$AE1723&lt;=99991231),INT(Sync!$AE1723/10000),""),IFERROR(VALUE(TRIM(LEFT(Sync!$AE1723,FIND("/",Sync!$AE1723)-1))),""))))</f>
        <v/>
      </c>
      <c r="H1723">
        <f>IF(OR($F1723="",$G1723=""),"",IF(ISNUMBER(Sync!$AE1723),INT(MOD(Sync!$AE1723,10000)/100),IFERROR(VALUE(TRIM(LEFT(MID(Sync!$AE1723,FIND("/",Sync!$AE1723)+1,20),FIND("/",MID(Sync!$AE1723,FIND("/",Sync!$AE1723)+1,20))-1))),"")))</f>
        <v/>
      </c>
      <c r="I1723">
        <f>IF(OR($F1723="",$G1723=""),"",IF(ISNUMBER(Sync!$AE1723),MOD(Sync!$AE1723,100),IFERROR(VALUE(TRIM(MID(MID(Sync!$AE1723,FIND("/",Sync!$AE1723)+1,20),FIND("/",MID(Sync!$AE1723,FIND("/",Sync!$AE1723)+1,20))+1,20))),"")))</f>
        <v/>
      </c>
      <c r="J1723">
        <f>IF($F1723="","",IF(OR($G1723="",$H1723="",$I1723="",$G1723&lt;1300,$G1723&gt;1500,$H1723&lt;1,$H1723&gt;12,$I1723&lt;1,$I1723&gt;31),"نامعتبر",RIGHT("0000"&amp;$G1723,4)&amp;"/"&amp;RIGHT("00"&amp;$H1723,2)&amp;"/"&amp;RIGHT("00"&amp;$I1723,2)))</f>
        <v/>
      </c>
      <c r="K1723">
        <f>IF(OR($F1723="",$J1723="",$J1723="نامعتبر"),"",LEFT($J1723,4)&amp;MID($J1723,6,2)&amp;RIGHT($J1723,2)&amp;$N1723&amp;"|"&amp;"2"&amp;RIGHT("00000"&amp;1718,5))</f>
        <v/>
      </c>
      <c r="L1723">
        <f>IF($K1723="","",COUNTIFS(LdgSellerA,$F1723,LdgKeyA,"&lt;"&amp;$K1723)+COUNTIFS(LdgSellerB,$F1723,LdgKeyB,"&lt;"&amp;$K1723)+1)</f>
        <v/>
      </c>
      <c r="M1723">
        <f>IF($L1723="","",$F1723&amp;"|"&amp;RIGHT("000000"&amp;$L1723,6))</f>
        <v/>
      </c>
      <c r="N1723">
        <f>IF($F1723="","",IF(Sync!$AF1723="","0000",IF(AND(ISNUMBER(Sync!$AF1723),Sync!$AF1723&gt;=0,Sync!$AF1723&lt;1),RIGHT("00"&amp;HOUR(Sync!$AF1723),2)&amp;RIGHT("00"&amp;MINUTE(Sync!$AF1723),2),IFERROR(RIGHT("00"&amp;VALUE(LEFT(Sync!$AF1723,FIND(":",Sync!$AF1723)-1)),2)&amp;RIGHT("00"&amp;VALUE(MID(Sync!$AF1723,FIND(":",Sync!$AF1723)+1,2)),2),"0000"))))</f>
        <v/>
      </c>
    </row>
    <row r="1724">
      <c r="A1724">
        <f>IF(OR(Calc!$E1728="",Calc!$E1728="نامعتبر",Calc!$G1728=""),"",Calc!$G1728)</f>
        <v/>
      </c>
      <c r="B1724">
        <f>IF($A1724="","",LEFT(Calc!$E1728,4)&amp;MID(Calc!$E1728,6,2)&amp;RIGHT(Calc!$E1728,2)&amp;Calc!$Q1728&amp;"|"&amp;"1"&amp;RIGHT("00000"&amp;1719,5))</f>
        <v/>
      </c>
      <c r="C1724">
        <f>IF($B1724="","",COUNTIFS(LdgSellerA,$A1724,LdgKeyA,"&lt;"&amp;$B1724)+COUNTIFS(LdgSellerB,$A1724,LdgKeyB,"&lt;"&amp;$B1724)+1)</f>
        <v/>
      </c>
      <c r="D1724">
        <f>IF($C1724="","",$A1724&amp;"|"&amp;RIGHT("000000"&amp;$C1724,6))</f>
        <v/>
      </c>
      <c r="F1724">
        <f>IF(Sync!$AH1724="","",IF(LEFT(UPPER(TRIM(Sync!$AH1724)),2)="SL",UPPER(TRIM(Sync!$AH1724)),""))</f>
        <v/>
      </c>
      <c r="G1724">
        <f>IF($F1724="","",IF(Sync!$AE1724="","",IF(ISNUMBER(Sync!$AE1724),IF(AND(Sync!$AE1724&gt;=10000101,Sync!$AE1724&lt;=99991231),INT(Sync!$AE1724/10000),""),IFERROR(VALUE(TRIM(LEFT(Sync!$AE1724,FIND("/",Sync!$AE1724)-1))),""))))</f>
        <v/>
      </c>
      <c r="H1724">
        <f>IF(OR($F1724="",$G1724=""),"",IF(ISNUMBER(Sync!$AE1724),INT(MOD(Sync!$AE1724,10000)/100),IFERROR(VALUE(TRIM(LEFT(MID(Sync!$AE1724,FIND("/",Sync!$AE1724)+1,20),FIND("/",MID(Sync!$AE1724,FIND("/",Sync!$AE1724)+1,20))-1))),"")))</f>
        <v/>
      </c>
      <c r="I1724">
        <f>IF(OR($F1724="",$G1724=""),"",IF(ISNUMBER(Sync!$AE1724),MOD(Sync!$AE1724,100),IFERROR(VALUE(TRIM(MID(MID(Sync!$AE1724,FIND("/",Sync!$AE1724)+1,20),FIND("/",MID(Sync!$AE1724,FIND("/",Sync!$AE1724)+1,20))+1,20))),"")))</f>
        <v/>
      </c>
      <c r="J1724">
        <f>IF($F1724="","",IF(OR($G1724="",$H1724="",$I1724="",$G1724&lt;1300,$G1724&gt;1500,$H1724&lt;1,$H1724&gt;12,$I1724&lt;1,$I1724&gt;31),"نامعتبر",RIGHT("0000"&amp;$G1724,4)&amp;"/"&amp;RIGHT("00"&amp;$H1724,2)&amp;"/"&amp;RIGHT("00"&amp;$I1724,2)))</f>
        <v/>
      </c>
      <c r="K1724">
        <f>IF(OR($F1724="",$J1724="",$J1724="نامعتبر"),"",LEFT($J1724,4)&amp;MID($J1724,6,2)&amp;RIGHT($J1724,2)&amp;$N1724&amp;"|"&amp;"2"&amp;RIGHT("00000"&amp;1719,5))</f>
        <v/>
      </c>
      <c r="L1724">
        <f>IF($K1724="","",COUNTIFS(LdgSellerA,$F1724,LdgKeyA,"&lt;"&amp;$K1724)+COUNTIFS(LdgSellerB,$F1724,LdgKeyB,"&lt;"&amp;$K1724)+1)</f>
        <v/>
      </c>
      <c r="M1724">
        <f>IF($L1724="","",$F1724&amp;"|"&amp;RIGHT("000000"&amp;$L1724,6))</f>
        <v/>
      </c>
      <c r="N1724">
        <f>IF($F1724="","",IF(Sync!$AF1724="","0000",IF(AND(ISNUMBER(Sync!$AF1724),Sync!$AF1724&gt;=0,Sync!$AF1724&lt;1),RIGHT("00"&amp;HOUR(Sync!$AF1724),2)&amp;RIGHT("00"&amp;MINUTE(Sync!$AF1724),2),IFERROR(RIGHT("00"&amp;VALUE(LEFT(Sync!$AF1724,FIND(":",Sync!$AF1724)-1)),2)&amp;RIGHT("00"&amp;VALUE(MID(Sync!$AF1724,FIND(":",Sync!$AF1724)+1,2)),2),"0000"))))</f>
        <v/>
      </c>
    </row>
    <row r="1725">
      <c r="A1725">
        <f>IF(OR(Calc!$E1729="",Calc!$E1729="نامعتبر",Calc!$G1729=""),"",Calc!$G1729)</f>
        <v/>
      </c>
      <c r="B1725">
        <f>IF($A1725="","",LEFT(Calc!$E1729,4)&amp;MID(Calc!$E1729,6,2)&amp;RIGHT(Calc!$E1729,2)&amp;Calc!$Q1729&amp;"|"&amp;"1"&amp;RIGHT("00000"&amp;1720,5))</f>
        <v/>
      </c>
      <c r="C1725">
        <f>IF($B1725="","",COUNTIFS(LdgSellerA,$A1725,LdgKeyA,"&lt;"&amp;$B1725)+COUNTIFS(LdgSellerB,$A1725,LdgKeyB,"&lt;"&amp;$B1725)+1)</f>
        <v/>
      </c>
      <c r="D1725">
        <f>IF($C1725="","",$A1725&amp;"|"&amp;RIGHT("000000"&amp;$C1725,6))</f>
        <v/>
      </c>
      <c r="F1725">
        <f>IF(Sync!$AH1725="","",IF(LEFT(UPPER(TRIM(Sync!$AH1725)),2)="SL",UPPER(TRIM(Sync!$AH1725)),""))</f>
        <v/>
      </c>
      <c r="G1725">
        <f>IF($F1725="","",IF(Sync!$AE1725="","",IF(ISNUMBER(Sync!$AE1725),IF(AND(Sync!$AE1725&gt;=10000101,Sync!$AE1725&lt;=99991231),INT(Sync!$AE1725/10000),""),IFERROR(VALUE(TRIM(LEFT(Sync!$AE1725,FIND("/",Sync!$AE1725)-1))),""))))</f>
        <v/>
      </c>
      <c r="H1725">
        <f>IF(OR($F1725="",$G1725=""),"",IF(ISNUMBER(Sync!$AE1725),INT(MOD(Sync!$AE1725,10000)/100),IFERROR(VALUE(TRIM(LEFT(MID(Sync!$AE1725,FIND("/",Sync!$AE1725)+1,20),FIND("/",MID(Sync!$AE1725,FIND("/",Sync!$AE1725)+1,20))-1))),"")))</f>
        <v/>
      </c>
      <c r="I1725">
        <f>IF(OR($F1725="",$G1725=""),"",IF(ISNUMBER(Sync!$AE1725),MOD(Sync!$AE1725,100),IFERROR(VALUE(TRIM(MID(MID(Sync!$AE1725,FIND("/",Sync!$AE1725)+1,20),FIND("/",MID(Sync!$AE1725,FIND("/",Sync!$AE1725)+1,20))+1,20))),"")))</f>
        <v/>
      </c>
      <c r="J1725">
        <f>IF($F1725="","",IF(OR($G1725="",$H1725="",$I1725="",$G1725&lt;1300,$G1725&gt;1500,$H1725&lt;1,$H1725&gt;12,$I1725&lt;1,$I1725&gt;31),"نامعتبر",RIGHT("0000"&amp;$G1725,4)&amp;"/"&amp;RIGHT("00"&amp;$H1725,2)&amp;"/"&amp;RIGHT("00"&amp;$I1725,2)))</f>
        <v/>
      </c>
      <c r="K1725">
        <f>IF(OR($F1725="",$J1725="",$J1725="نامعتبر"),"",LEFT($J1725,4)&amp;MID($J1725,6,2)&amp;RIGHT($J1725,2)&amp;$N1725&amp;"|"&amp;"2"&amp;RIGHT("00000"&amp;1720,5))</f>
        <v/>
      </c>
      <c r="L1725">
        <f>IF($K1725="","",COUNTIFS(LdgSellerA,$F1725,LdgKeyA,"&lt;"&amp;$K1725)+COUNTIFS(LdgSellerB,$F1725,LdgKeyB,"&lt;"&amp;$K1725)+1)</f>
        <v/>
      </c>
      <c r="M1725">
        <f>IF($L1725="","",$F1725&amp;"|"&amp;RIGHT("000000"&amp;$L1725,6))</f>
        <v/>
      </c>
      <c r="N1725">
        <f>IF($F1725="","",IF(Sync!$AF1725="","0000",IF(AND(ISNUMBER(Sync!$AF1725),Sync!$AF1725&gt;=0,Sync!$AF1725&lt;1),RIGHT("00"&amp;HOUR(Sync!$AF1725),2)&amp;RIGHT("00"&amp;MINUTE(Sync!$AF1725),2),IFERROR(RIGHT("00"&amp;VALUE(LEFT(Sync!$AF1725,FIND(":",Sync!$AF1725)-1)),2)&amp;RIGHT("00"&amp;VALUE(MID(Sync!$AF1725,FIND(":",Sync!$AF1725)+1,2)),2),"0000"))))</f>
        <v/>
      </c>
    </row>
    <row r="1726">
      <c r="A1726">
        <f>IF(OR(Calc!$E1730="",Calc!$E1730="نامعتبر",Calc!$G1730=""),"",Calc!$G1730)</f>
        <v/>
      </c>
      <c r="B1726">
        <f>IF($A1726="","",LEFT(Calc!$E1730,4)&amp;MID(Calc!$E1730,6,2)&amp;RIGHT(Calc!$E1730,2)&amp;Calc!$Q1730&amp;"|"&amp;"1"&amp;RIGHT("00000"&amp;1721,5))</f>
        <v/>
      </c>
      <c r="C1726">
        <f>IF($B1726="","",COUNTIFS(LdgSellerA,$A1726,LdgKeyA,"&lt;"&amp;$B1726)+COUNTIFS(LdgSellerB,$A1726,LdgKeyB,"&lt;"&amp;$B1726)+1)</f>
        <v/>
      </c>
      <c r="D1726">
        <f>IF($C1726="","",$A1726&amp;"|"&amp;RIGHT("000000"&amp;$C1726,6))</f>
        <v/>
      </c>
      <c r="F1726">
        <f>IF(Sync!$AH1726="","",IF(LEFT(UPPER(TRIM(Sync!$AH1726)),2)="SL",UPPER(TRIM(Sync!$AH1726)),""))</f>
        <v/>
      </c>
      <c r="G1726">
        <f>IF($F1726="","",IF(Sync!$AE1726="","",IF(ISNUMBER(Sync!$AE1726),IF(AND(Sync!$AE1726&gt;=10000101,Sync!$AE1726&lt;=99991231),INT(Sync!$AE1726/10000),""),IFERROR(VALUE(TRIM(LEFT(Sync!$AE1726,FIND("/",Sync!$AE1726)-1))),""))))</f>
        <v/>
      </c>
      <c r="H1726">
        <f>IF(OR($F1726="",$G1726=""),"",IF(ISNUMBER(Sync!$AE1726),INT(MOD(Sync!$AE1726,10000)/100),IFERROR(VALUE(TRIM(LEFT(MID(Sync!$AE1726,FIND("/",Sync!$AE1726)+1,20),FIND("/",MID(Sync!$AE1726,FIND("/",Sync!$AE1726)+1,20))-1))),"")))</f>
        <v/>
      </c>
      <c r="I1726">
        <f>IF(OR($F1726="",$G1726=""),"",IF(ISNUMBER(Sync!$AE1726),MOD(Sync!$AE1726,100),IFERROR(VALUE(TRIM(MID(MID(Sync!$AE1726,FIND("/",Sync!$AE1726)+1,20),FIND("/",MID(Sync!$AE1726,FIND("/",Sync!$AE1726)+1,20))+1,20))),"")))</f>
        <v/>
      </c>
      <c r="J1726">
        <f>IF($F1726="","",IF(OR($G1726="",$H1726="",$I1726="",$G1726&lt;1300,$G1726&gt;1500,$H1726&lt;1,$H1726&gt;12,$I1726&lt;1,$I1726&gt;31),"نامعتبر",RIGHT("0000"&amp;$G1726,4)&amp;"/"&amp;RIGHT("00"&amp;$H1726,2)&amp;"/"&amp;RIGHT("00"&amp;$I1726,2)))</f>
        <v/>
      </c>
      <c r="K1726">
        <f>IF(OR($F1726="",$J1726="",$J1726="نامعتبر"),"",LEFT($J1726,4)&amp;MID($J1726,6,2)&amp;RIGHT($J1726,2)&amp;$N1726&amp;"|"&amp;"2"&amp;RIGHT("00000"&amp;1721,5))</f>
        <v/>
      </c>
      <c r="L1726">
        <f>IF($K1726="","",COUNTIFS(LdgSellerA,$F1726,LdgKeyA,"&lt;"&amp;$K1726)+COUNTIFS(LdgSellerB,$F1726,LdgKeyB,"&lt;"&amp;$K1726)+1)</f>
        <v/>
      </c>
      <c r="M1726">
        <f>IF($L1726="","",$F1726&amp;"|"&amp;RIGHT("000000"&amp;$L1726,6))</f>
        <v/>
      </c>
      <c r="N1726">
        <f>IF($F1726="","",IF(Sync!$AF1726="","0000",IF(AND(ISNUMBER(Sync!$AF1726),Sync!$AF1726&gt;=0,Sync!$AF1726&lt;1),RIGHT("00"&amp;HOUR(Sync!$AF1726),2)&amp;RIGHT("00"&amp;MINUTE(Sync!$AF1726),2),IFERROR(RIGHT("00"&amp;VALUE(LEFT(Sync!$AF1726,FIND(":",Sync!$AF1726)-1)),2)&amp;RIGHT("00"&amp;VALUE(MID(Sync!$AF1726,FIND(":",Sync!$AF1726)+1,2)),2),"0000"))))</f>
        <v/>
      </c>
    </row>
    <row r="1727">
      <c r="A1727">
        <f>IF(OR(Calc!$E1731="",Calc!$E1731="نامعتبر",Calc!$G1731=""),"",Calc!$G1731)</f>
        <v/>
      </c>
      <c r="B1727">
        <f>IF($A1727="","",LEFT(Calc!$E1731,4)&amp;MID(Calc!$E1731,6,2)&amp;RIGHT(Calc!$E1731,2)&amp;Calc!$Q1731&amp;"|"&amp;"1"&amp;RIGHT("00000"&amp;1722,5))</f>
        <v/>
      </c>
      <c r="C1727">
        <f>IF($B1727="","",COUNTIFS(LdgSellerA,$A1727,LdgKeyA,"&lt;"&amp;$B1727)+COUNTIFS(LdgSellerB,$A1727,LdgKeyB,"&lt;"&amp;$B1727)+1)</f>
        <v/>
      </c>
      <c r="D1727">
        <f>IF($C1727="","",$A1727&amp;"|"&amp;RIGHT("000000"&amp;$C1727,6))</f>
        <v/>
      </c>
      <c r="F1727">
        <f>IF(Sync!$AH1727="","",IF(LEFT(UPPER(TRIM(Sync!$AH1727)),2)="SL",UPPER(TRIM(Sync!$AH1727)),""))</f>
        <v/>
      </c>
      <c r="G1727">
        <f>IF($F1727="","",IF(Sync!$AE1727="","",IF(ISNUMBER(Sync!$AE1727),IF(AND(Sync!$AE1727&gt;=10000101,Sync!$AE1727&lt;=99991231),INT(Sync!$AE1727/10000),""),IFERROR(VALUE(TRIM(LEFT(Sync!$AE1727,FIND("/",Sync!$AE1727)-1))),""))))</f>
        <v/>
      </c>
      <c r="H1727">
        <f>IF(OR($F1727="",$G1727=""),"",IF(ISNUMBER(Sync!$AE1727),INT(MOD(Sync!$AE1727,10000)/100),IFERROR(VALUE(TRIM(LEFT(MID(Sync!$AE1727,FIND("/",Sync!$AE1727)+1,20),FIND("/",MID(Sync!$AE1727,FIND("/",Sync!$AE1727)+1,20))-1))),"")))</f>
        <v/>
      </c>
      <c r="I1727">
        <f>IF(OR($F1727="",$G1727=""),"",IF(ISNUMBER(Sync!$AE1727),MOD(Sync!$AE1727,100),IFERROR(VALUE(TRIM(MID(MID(Sync!$AE1727,FIND("/",Sync!$AE1727)+1,20),FIND("/",MID(Sync!$AE1727,FIND("/",Sync!$AE1727)+1,20))+1,20))),"")))</f>
        <v/>
      </c>
      <c r="J1727">
        <f>IF($F1727="","",IF(OR($G1727="",$H1727="",$I1727="",$G1727&lt;1300,$G1727&gt;1500,$H1727&lt;1,$H1727&gt;12,$I1727&lt;1,$I1727&gt;31),"نامعتبر",RIGHT("0000"&amp;$G1727,4)&amp;"/"&amp;RIGHT("00"&amp;$H1727,2)&amp;"/"&amp;RIGHT("00"&amp;$I1727,2)))</f>
        <v/>
      </c>
      <c r="K1727">
        <f>IF(OR($F1727="",$J1727="",$J1727="نامعتبر"),"",LEFT($J1727,4)&amp;MID($J1727,6,2)&amp;RIGHT($J1727,2)&amp;$N1727&amp;"|"&amp;"2"&amp;RIGHT("00000"&amp;1722,5))</f>
        <v/>
      </c>
      <c r="L1727">
        <f>IF($K1727="","",COUNTIFS(LdgSellerA,$F1727,LdgKeyA,"&lt;"&amp;$K1727)+COUNTIFS(LdgSellerB,$F1727,LdgKeyB,"&lt;"&amp;$K1727)+1)</f>
        <v/>
      </c>
      <c r="M1727">
        <f>IF($L1727="","",$F1727&amp;"|"&amp;RIGHT("000000"&amp;$L1727,6))</f>
        <v/>
      </c>
      <c r="N1727">
        <f>IF($F1727="","",IF(Sync!$AF1727="","0000",IF(AND(ISNUMBER(Sync!$AF1727),Sync!$AF1727&gt;=0,Sync!$AF1727&lt;1),RIGHT("00"&amp;HOUR(Sync!$AF1727),2)&amp;RIGHT("00"&amp;MINUTE(Sync!$AF1727),2),IFERROR(RIGHT("00"&amp;VALUE(LEFT(Sync!$AF1727,FIND(":",Sync!$AF1727)-1)),2)&amp;RIGHT("00"&amp;VALUE(MID(Sync!$AF1727,FIND(":",Sync!$AF1727)+1,2)),2),"0000"))))</f>
        <v/>
      </c>
    </row>
    <row r="1728">
      <c r="A1728">
        <f>IF(OR(Calc!$E1732="",Calc!$E1732="نامعتبر",Calc!$G1732=""),"",Calc!$G1732)</f>
        <v/>
      </c>
      <c r="B1728">
        <f>IF($A1728="","",LEFT(Calc!$E1732,4)&amp;MID(Calc!$E1732,6,2)&amp;RIGHT(Calc!$E1732,2)&amp;Calc!$Q1732&amp;"|"&amp;"1"&amp;RIGHT("00000"&amp;1723,5))</f>
        <v/>
      </c>
      <c r="C1728">
        <f>IF($B1728="","",COUNTIFS(LdgSellerA,$A1728,LdgKeyA,"&lt;"&amp;$B1728)+COUNTIFS(LdgSellerB,$A1728,LdgKeyB,"&lt;"&amp;$B1728)+1)</f>
        <v/>
      </c>
      <c r="D1728">
        <f>IF($C1728="","",$A1728&amp;"|"&amp;RIGHT("000000"&amp;$C1728,6))</f>
        <v/>
      </c>
      <c r="F1728">
        <f>IF(Sync!$AH1728="","",IF(LEFT(UPPER(TRIM(Sync!$AH1728)),2)="SL",UPPER(TRIM(Sync!$AH1728)),""))</f>
        <v/>
      </c>
      <c r="G1728">
        <f>IF($F1728="","",IF(Sync!$AE1728="","",IF(ISNUMBER(Sync!$AE1728),IF(AND(Sync!$AE1728&gt;=10000101,Sync!$AE1728&lt;=99991231),INT(Sync!$AE1728/10000),""),IFERROR(VALUE(TRIM(LEFT(Sync!$AE1728,FIND("/",Sync!$AE1728)-1))),""))))</f>
        <v/>
      </c>
      <c r="H1728">
        <f>IF(OR($F1728="",$G1728=""),"",IF(ISNUMBER(Sync!$AE1728),INT(MOD(Sync!$AE1728,10000)/100),IFERROR(VALUE(TRIM(LEFT(MID(Sync!$AE1728,FIND("/",Sync!$AE1728)+1,20),FIND("/",MID(Sync!$AE1728,FIND("/",Sync!$AE1728)+1,20))-1))),"")))</f>
        <v/>
      </c>
      <c r="I1728">
        <f>IF(OR($F1728="",$G1728=""),"",IF(ISNUMBER(Sync!$AE1728),MOD(Sync!$AE1728,100),IFERROR(VALUE(TRIM(MID(MID(Sync!$AE1728,FIND("/",Sync!$AE1728)+1,20),FIND("/",MID(Sync!$AE1728,FIND("/",Sync!$AE1728)+1,20))+1,20))),"")))</f>
        <v/>
      </c>
      <c r="J1728">
        <f>IF($F1728="","",IF(OR($G1728="",$H1728="",$I1728="",$G1728&lt;1300,$G1728&gt;1500,$H1728&lt;1,$H1728&gt;12,$I1728&lt;1,$I1728&gt;31),"نامعتبر",RIGHT("0000"&amp;$G1728,4)&amp;"/"&amp;RIGHT("00"&amp;$H1728,2)&amp;"/"&amp;RIGHT("00"&amp;$I1728,2)))</f>
        <v/>
      </c>
      <c r="K1728">
        <f>IF(OR($F1728="",$J1728="",$J1728="نامعتبر"),"",LEFT($J1728,4)&amp;MID($J1728,6,2)&amp;RIGHT($J1728,2)&amp;$N1728&amp;"|"&amp;"2"&amp;RIGHT("00000"&amp;1723,5))</f>
        <v/>
      </c>
      <c r="L1728">
        <f>IF($K1728="","",COUNTIFS(LdgSellerA,$F1728,LdgKeyA,"&lt;"&amp;$K1728)+COUNTIFS(LdgSellerB,$F1728,LdgKeyB,"&lt;"&amp;$K1728)+1)</f>
        <v/>
      </c>
      <c r="M1728">
        <f>IF($L1728="","",$F1728&amp;"|"&amp;RIGHT("000000"&amp;$L1728,6))</f>
        <v/>
      </c>
      <c r="N1728">
        <f>IF($F1728="","",IF(Sync!$AF1728="","0000",IF(AND(ISNUMBER(Sync!$AF1728),Sync!$AF1728&gt;=0,Sync!$AF1728&lt;1),RIGHT("00"&amp;HOUR(Sync!$AF1728),2)&amp;RIGHT("00"&amp;MINUTE(Sync!$AF1728),2),IFERROR(RIGHT("00"&amp;VALUE(LEFT(Sync!$AF1728,FIND(":",Sync!$AF1728)-1)),2)&amp;RIGHT("00"&amp;VALUE(MID(Sync!$AF1728,FIND(":",Sync!$AF1728)+1,2)),2),"0000"))))</f>
        <v/>
      </c>
    </row>
    <row r="1729">
      <c r="A1729">
        <f>IF(OR(Calc!$E1733="",Calc!$E1733="نامعتبر",Calc!$G1733=""),"",Calc!$G1733)</f>
        <v/>
      </c>
      <c r="B1729">
        <f>IF($A1729="","",LEFT(Calc!$E1733,4)&amp;MID(Calc!$E1733,6,2)&amp;RIGHT(Calc!$E1733,2)&amp;Calc!$Q1733&amp;"|"&amp;"1"&amp;RIGHT("00000"&amp;1724,5))</f>
        <v/>
      </c>
      <c r="C1729">
        <f>IF($B1729="","",COUNTIFS(LdgSellerA,$A1729,LdgKeyA,"&lt;"&amp;$B1729)+COUNTIFS(LdgSellerB,$A1729,LdgKeyB,"&lt;"&amp;$B1729)+1)</f>
        <v/>
      </c>
      <c r="D1729">
        <f>IF($C1729="","",$A1729&amp;"|"&amp;RIGHT("000000"&amp;$C1729,6))</f>
        <v/>
      </c>
      <c r="F1729">
        <f>IF(Sync!$AH1729="","",IF(LEFT(UPPER(TRIM(Sync!$AH1729)),2)="SL",UPPER(TRIM(Sync!$AH1729)),""))</f>
        <v/>
      </c>
      <c r="G1729">
        <f>IF($F1729="","",IF(Sync!$AE1729="","",IF(ISNUMBER(Sync!$AE1729),IF(AND(Sync!$AE1729&gt;=10000101,Sync!$AE1729&lt;=99991231),INT(Sync!$AE1729/10000),""),IFERROR(VALUE(TRIM(LEFT(Sync!$AE1729,FIND("/",Sync!$AE1729)-1))),""))))</f>
        <v/>
      </c>
      <c r="H1729">
        <f>IF(OR($F1729="",$G1729=""),"",IF(ISNUMBER(Sync!$AE1729),INT(MOD(Sync!$AE1729,10000)/100),IFERROR(VALUE(TRIM(LEFT(MID(Sync!$AE1729,FIND("/",Sync!$AE1729)+1,20),FIND("/",MID(Sync!$AE1729,FIND("/",Sync!$AE1729)+1,20))-1))),"")))</f>
        <v/>
      </c>
      <c r="I1729">
        <f>IF(OR($F1729="",$G1729=""),"",IF(ISNUMBER(Sync!$AE1729),MOD(Sync!$AE1729,100),IFERROR(VALUE(TRIM(MID(MID(Sync!$AE1729,FIND("/",Sync!$AE1729)+1,20),FIND("/",MID(Sync!$AE1729,FIND("/",Sync!$AE1729)+1,20))+1,20))),"")))</f>
        <v/>
      </c>
      <c r="J1729">
        <f>IF($F1729="","",IF(OR($G1729="",$H1729="",$I1729="",$G1729&lt;1300,$G1729&gt;1500,$H1729&lt;1,$H1729&gt;12,$I1729&lt;1,$I1729&gt;31),"نامعتبر",RIGHT("0000"&amp;$G1729,4)&amp;"/"&amp;RIGHT("00"&amp;$H1729,2)&amp;"/"&amp;RIGHT("00"&amp;$I1729,2)))</f>
        <v/>
      </c>
      <c r="K1729">
        <f>IF(OR($F1729="",$J1729="",$J1729="نامعتبر"),"",LEFT($J1729,4)&amp;MID($J1729,6,2)&amp;RIGHT($J1729,2)&amp;$N1729&amp;"|"&amp;"2"&amp;RIGHT("00000"&amp;1724,5))</f>
        <v/>
      </c>
      <c r="L1729">
        <f>IF($K1729="","",COUNTIFS(LdgSellerA,$F1729,LdgKeyA,"&lt;"&amp;$K1729)+COUNTIFS(LdgSellerB,$F1729,LdgKeyB,"&lt;"&amp;$K1729)+1)</f>
        <v/>
      </c>
      <c r="M1729">
        <f>IF($L1729="","",$F1729&amp;"|"&amp;RIGHT("000000"&amp;$L1729,6))</f>
        <v/>
      </c>
      <c r="N1729">
        <f>IF($F1729="","",IF(Sync!$AF1729="","0000",IF(AND(ISNUMBER(Sync!$AF1729),Sync!$AF1729&gt;=0,Sync!$AF1729&lt;1),RIGHT("00"&amp;HOUR(Sync!$AF1729),2)&amp;RIGHT("00"&amp;MINUTE(Sync!$AF1729),2),IFERROR(RIGHT("00"&amp;VALUE(LEFT(Sync!$AF1729,FIND(":",Sync!$AF1729)-1)),2)&amp;RIGHT("00"&amp;VALUE(MID(Sync!$AF1729,FIND(":",Sync!$AF1729)+1,2)),2),"0000"))))</f>
        <v/>
      </c>
    </row>
    <row r="1730">
      <c r="A1730">
        <f>IF(OR(Calc!$E1734="",Calc!$E1734="نامعتبر",Calc!$G1734=""),"",Calc!$G1734)</f>
        <v/>
      </c>
      <c r="B1730">
        <f>IF($A1730="","",LEFT(Calc!$E1734,4)&amp;MID(Calc!$E1734,6,2)&amp;RIGHT(Calc!$E1734,2)&amp;Calc!$Q1734&amp;"|"&amp;"1"&amp;RIGHT("00000"&amp;1725,5))</f>
        <v/>
      </c>
      <c r="C1730">
        <f>IF($B1730="","",COUNTIFS(LdgSellerA,$A1730,LdgKeyA,"&lt;"&amp;$B1730)+COUNTIFS(LdgSellerB,$A1730,LdgKeyB,"&lt;"&amp;$B1730)+1)</f>
        <v/>
      </c>
      <c r="D1730">
        <f>IF($C1730="","",$A1730&amp;"|"&amp;RIGHT("000000"&amp;$C1730,6))</f>
        <v/>
      </c>
      <c r="F1730">
        <f>IF(Sync!$AH1730="","",IF(LEFT(UPPER(TRIM(Sync!$AH1730)),2)="SL",UPPER(TRIM(Sync!$AH1730)),""))</f>
        <v/>
      </c>
      <c r="G1730">
        <f>IF($F1730="","",IF(Sync!$AE1730="","",IF(ISNUMBER(Sync!$AE1730),IF(AND(Sync!$AE1730&gt;=10000101,Sync!$AE1730&lt;=99991231),INT(Sync!$AE1730/10000),""),IFERROR(VALUE(TRIM(LEFT(Sync!$AE1730,FIND("/",Sync!$AE1730)-1))),""))))</f>
        <v/>
      </c>
      <c r="H1730">
        <f>IF(OR($F1730="",$G1730=""),"",IF(ISNUMBER(Sync!$AE1730),INT(MOD(Sync!$AE1730,10000)/100),IFERROR(VALUE(TRIM(LEFT(MID(Sync!$AE1730,FIND("/",Sync!$AE1730)+1,20),FIND("/",MID(Sync!$AE1730,FIND("/",Sync!$AE1730)+1,20))-1))),"")))</f>
        <v/>
      </c>
      <c r="I1730">
        <f>IF(OR($F1730="",$G1730=""),"",IF(ISNUMBER(Sync!$AE1730),MOD(Sync!$AE1730,100),IFERROR(VALUE(TRIM(MID(MID(Sync!$AE1730,FIND("/",Sync!$AE1730)+1,20),FIND("/",MID(Sync!$AE1730,FIND("/",Sync!$AE1730)+1,20))+1,20))),"")))</f>
        <v/>
      </c>
      <c r="J1730">
        <f>IF($F1730="","",IF(OR($G1730="",$H1730="",$I1730="",$G1730&lt;1300,$G1730&gt;1500,$H1730&lt;1,$H1730&gt;12,$I1730&lt;1,$I1730&gt;31),"نامعتبر",RIGHT("0000"&amp;$G1730,4)&amp;"/"&amp;RIGHT("00"&amp;$H1730,2)&amp;"/"&amp;RIGHT("00"&amp;$I1730,2)))</f>
        <v/>
      </c>
      <c r="K1730">
        <f>IF(OR($F1730="",$J1730="",$J1730="نامعتبر"),"",LEFT($J1730,4)&amp;MID($J1730,6,2)&amp;RIGHT($J1730,2)&amp;$N1730&amp;"|"&amp;"2"&amp;RIGHT("00000"&amp;1725,5))</f>
        <v/>
      </c>
      <c r="L1730">
        <f>IF($K1730="","",COUNTIFS(LdgSellerA,$F1730,LdgKeyA,"&lt;"&amp;$K1730)+COUNTIFS(LdgSellerB,$F1730,LdgKeyB,"&lt;"&amp;$K1730)+1)</f>
        <v/>
      </c>
      <c r="M1730">
        <f>IF($L1730="","",$F1730&amp;"|"&amp;RIGHT("000000"&amp;$L1730,6))</f>
        <v/>
      </c>
      <c r="N1730">
        <f>IF($F1730="","",IF(Sync!$AF1730="","0000",IF(AND(ISNUMBER(Sync!$AF1730),Sync!$AF1730&gt;=0,Sync!$AF1730&lt;1),RIGHT("00"&amp;HOUR(Sync!$AF1730),2)&amp;RIGHT("00"&amp;MINUTE(Sync!$AF1730),2),IFERROR(RIGHT("00"&amp;VALUE(LEFT(Sync!$AF1730,FIND(":",Sync!$AF1730)-1)),2)&amp;RIGHT("00"&amp;VALUE(MID(Sync!$AF1730,FIND(":",Sync!$AF1730)+1,2)),2),"0000"))))</f>
        <v/>
      </c>
    </row>
    <row r="1731">
      <c r="A1731">
        <f>IF(OR(Calc!$E1735="",Calc!$E1735="نامعتبر",Calc!$G1735=""),"",Calc!$G1735)</f>
        <v/>
      </c>
      <c r="B1731">
        <f>IF($A1731="","",LEFT(Calc!$E1735,4)&amp;MID(Calc!$E1735,6,2)&amp;RIGHT(Calc!$E1735,2)&amp;Calc!$Q1735&amp;"|"&amp;"1"&amp;RIGHT("00000"&amp;1726,5))</f>
        <v/>
      </c>
      <c r="C1731">
        <f>IF($B1731="","",COUNTIFS(LdgSellerA,$A1731,LdgKeyA,"&lt;"&amp;$B1731)+COUNTIFS(LdgSellerB,$A1731,LdgKeyB,"&lt;"&amp;$B1731)+1)</f>
        <v/>
      </c>
      <c r="D1731">
        <f>IF($C1731="","",$A1731&amp;"|"&amp;RIGHT("000000"&amp;$C1731,6))</f>
        <v/>
      </c>
      <c r="F1731">
        <f>IF(Sync!$AH1731="","",IF(LEFT(UPPER(TRIM(Sync!$AH1731)),2)="SL",UPPER(TRIM(Sync!$AH1731)),""))</f>
        <v/>
      </c>
      <c r="G1731">
        <f>IF($F1731="","",IF(Sync!$AE1731="","",IF(ISNUMBER(Sync!$AE1731),IF(AND(Sync!$AE1731&gt;=10000101,Sync!$AE1731&lt;=99991231),INT(Sync!$AE1731/10000),""),IFERROR(VALUE(TRIM(LEFT(Sync!$AE1731,FIND("/",Sync!$AE1731)-1))),""))))</f>
        <v/>
      </c>
      <c r="H1731">
        <f>IF(OR($F1731="",$G1731=""),"",IF(ISNUMBER(Sync!$AE1731),INT(MOD(Sync!$AE1731,10000)/100),IFERROR(VALUE(TRIM(LEFT(MID(Sync!$AE1731,FIND("/",Sync!$AE1731)+1,20),FIND("/",MID(Sync!$AE1731,FIND("/",Sync!$AE1731)+1,20))-1))),"")))</f>
        <v/>
      </c>
      <c r="I1731">
        <f>IF(OR($F1731="",$G1731=""),"",IF(ISNUMBER(Sync!$AE1731),MOD(Sync!$AE1731,100),IFERROR(VALUE(TRIM(MID(MID(Sync!$AE1731,FIND("/",Sync!$AE1731)+1,20),FIND("/",MID(Sync!$AE1731,FIND("/",Sync!$AE1731)+1,20))+1,20))),"")))</f>
        <v/>
      </c>
      <c r="J1731">
        <f>IF($F1731="","",IF(OR($G1731="",$H1731="",$I1731="",$G1731&lt;1300,$G1731&gt;1500,$H1731&lt;1,$H1731&gt;12,$I1731&lt;1,$I1731&gt;31),"نامعتبر",RIGHT("0000"&amp;$G1731,4)&amp;"/"&amp;RIGHT("00"&amp;$H1731,2)&amp;"/"&amp;RIGHT("00"&amp;$I1731,2)))</f>
        <v/>
      </c>
      <c r="K1731">
        <f>IF(OR($F1731="",$J1731="",$J1731="نامعتبر"),"",LEFT($J1731,4)&amp;MID($J1731,6,2)&amp;RIGHT($J1731,2)&amp;$N1731&amp;"|"&amp;"2"&amp;RIGHT("00000"&amp;1726,5))</f>
        <v/>
      </c>
      <c r="L1731">
        <f>IF($K1731="","",COUNTIFS(LdgSellerA,$F1731,LdgKeyA,"&lt;"&amp;$K1731)+COUNTIFS(LdgSellerB,$F1731,LdgKeyB,"&lt;"&amp;$K1731)+1)</f>
        <v/>
      </c>
      <c r="M1731">
        <f>IF($L1731="","",$F1731&amp;"|"&amp;RIGHT("000000"&amp;$L1731,6))</f>
        <v/>
      </c>
      <c r="N1731">
        <f>IF($F1731="","",IF(Sync!$AF1731="","0000",IF(AND(ISNUMBER(Sync!$AF1731),Sync!$AF1731&gt;=0,Sync!$AF1731&lt;1),RIGHT("00"&amp;HOUR(Sync!$AF1731),2)&amp;RIGHT("00"&amp;MINUTE(Sync!$AF1731),2),IFERROR(RIGHT("00"&amp;VALUE(LEFT(Sync!$AF1731,FIND(":",Sync!$AF1731)-1)),2)&amp;RIGHT("00"&amp;VALUE(MID(Sync!$AF1731,FIND(":",Sync!$AF1731)+1,2)),2),"0000"))))</f>
        <v/>
      </c>
    </row>
    <row r="1732">
      <c r="A1732">
        <f>IF(OR(Calc!$E1736="",Calc!$E1736="نامعتبر",Calc!$G1736=""),"",Calc!$G1736)</f>
        <v/>
      </c>
      <c r="B1732">
        <f>IF($A1732="","",LEFT(Calc!$E1736,4)&amp;MID(Calc!$E1736,6,2)&amp;RIGHT(Calc!$E1736,2)&amp;Calc!$Q1736&amp;"|"&amp;"1"&amp;RIGHT("00000"&amp;1727,5))</f>
        <v/>
      </c>
      <c r="C1732">
        <f>IF($B1732="","",COUNTIFS(LdgSellerA,$A1732,LdgKeyA,"&lt;"&amp;$B1732)+COUNTIFS(LdgSellerB,$A1732,LdgKeyB,"&lt;"&amp;$B1732)+1)</f>
        <v/>
      </c>
      <c r="D1732">
        <f>IF($C1732="","",$A1732&amp;"|"&amp;RIGHT("000000"&amp;$C1732,6))</f>
        <v/>
      </c>
      <c r="F1732">
        <f>IF(Sync!$AH1732="","",IF(LEFT(UPPER(TRIM(Sync!$AH1732)),2)="SL",UPPER(TRIM(Sync!$AH1732)),""))</f>
        <v/>
      </c>
      <c r="G1732">
        <f>IF($F1732="","",IF(Sync!$AE1732="","",IF(ISNUMBER(Sync!$AE1732),IF(AND(Sync!$AE1732&gt;=10000101,Sync!$AE1732&lt;=99991231),INT(Sync!$AE1732/10000),""),IFERROR(VALUE(TRIM(LEFT(Sync!$AE1732,FIND("/",Sync!$AE1732)-1))),""))))</f>
        <v/>
      </c>
      <c r="H1732">
        <f>IF(OR($F1732="",$G1732=""),"",IF(ISNUMBER(Sync!$AE1732),INT(MOD(Sync!$AE1732,10000)/100),IFERROR(VALUE(TRIM(LEFT(MID(Sync!$AE1732,FIND("/",Sync!$AE1732)+1,20),FIND("/",MID(Sync!$AE1732,FIND("/",Sync!$AE1732)+1,20))-1))),"")))</f>
        <v/>
      </c>
      <c r="I1732">
        <f>IF(OR($F1732="",$G1732=""),"",IF(ISNUMBER(Sync!$AE1732),MOD(Sync!$AE1732,100),IFERROR(VALUE(TRIM(MID(MID(Sync!$AE1732,FIND("/",Sync!$AE1732)+1,20),FIND("/",MID(Sync!$AE1732,FIND("/",Sync!$AE1732)+1,20))+1,20))),"")))</f>
        <v/>
      </c>
      <c r="J1732">
        <f>IF($F1732="","",IF(OR($G1732="",$H1732="",$I1732="",$G1732&lt;1300,$G1732&gt;1500,$H1732&lt;1,$H1732&gt;12,$I1732&lt;1,$I1732&gt;31),"نامعتبر",RIGHT("0000"&amp;$G1732,4)&amp;"/"&amp;RIGHT("00"&amp;$H1732,2)&amp;"/"&amp;RIGHT("00"&amp;$I1732,2)))</f>
        <v/>
      </c>
      <c r="K1732">
        <f>IF(OR($F1732="",$J1732="",$J1732="نامعتبر"),"",LEFT($J1732,4)&amp;MID($J1732,6,2)&amp;RIGHT($J1732,2)&amp;$N1732&amp;"|"&amp;"2"&amp;RIGHT("00000"&amp;1727,5))</f>
        <v/>
      </c>
      <c r="L1732">
        <f>IF($K1732="","",COUNTIFS(LdgSellerA,$F1732,LdgKeyA,"&lt;"&amp;$K1732)+COUNTIFS(LdgSellerB,$F1732,LdgKeyB,"&lt;"&amp;$K1732)+1)</f>
        <v/>
      </c>
      <c r="M1732">
        <f>IF($L1732="","",$F1732&amp;"|"&amp;RIGHT("000000"&amp;$L1732,6))</f>
        <v/>
      </c>
      <c r="N1732">
        <f>IF($F1732="","",IF(Sync!$AF1732="","0000",IF(AND(ISNUMBER(Sync!$AF1732),Sync!$AF1732&gt;=0,Sync!$AF1732&lt;1),RIGHT("00"&amp;HOUR(Sync!$AF1732),2)&amp;RIGHT("00"&amp;MINUTE(Sync!$AF1732),2),IFERROR(RIGHT("00"&amp;VALUE(LEFT(Sync!$AF1732,FIND(":",Sync!$AF1732)-1)),2)&amp;RIGHT("00"&amp;VALUE(MID(Sync!$AF1732,FIND(":",Sync!$AF1732)+1,2)),2),"0000"))))</f>
        <v/>
      </c>
    </row>
    <row r="1733">
      <c r="A1733">
        <f>IF(OR(Calc!$E1737="",Calc!$E1737="نامعتبر",Calc!$G1737=""),"",Calc!$G1737)</f>
        <v/>
      </c>
      <c r="B1733">
        <f>IF($A1733="","",LEFT(Calc!$E1737,4)&amp;MID(Calc!$E1737,6,2)&amp;RIGHT(Calc!$E1737,2)&amp;Calc!$Q1737&amp;"|"&amp;"1"&amp;RIGHT("00000"&amp;1728,5))</f>
        <v/>
      </c>
      <c r="C1733">
        <f>IF($B1733="","",COUNTIFS(LdgSellerA,$A1733,LdgKeyA,"&lt;"&amp;$B1733)+COUNTIFS(LdgSellerB,$A1733,LdgKeyB,"&lt;"&amp;$B1733)+1)</f>
        <v/>
      </c>
      <c r="D1733">
        <f>IF($C1733="","",$A1733&amp;"|"&amp;RIGHT("000000"&amp;$C1733,6))</f>
        <v/>
      </c>
      <c r="F1733">
        <f>IF(Sync!$AH1733="","",IF(LEFT(UPPER(TRIM(Sync!$AH1733)),2)="SL",UPPER(TRIM(Sync!$AH1733)),""))</f>
        <v/>
      </c>
      <c r="G1733">
        <f>IF($F1733="","",IF(Sync!$AE1733="","",IF(ISNUMBER(Sync!$AE1733),IF(AND(Sync!$AE1733&gt;=10000101,Sync!$AE1733&lt;=99991231),INT(Sync!$AE1733/10000),""),IFERROR(VALUE(TRIM(LEFT(Sync!$AE1733,FIND("/",Sync!$AE1733)-1))),""))))</f>
        <v/>
      </c>
      <c r="H1733">
        <f>IF(OR($F1733="",$G1733=""),"",IF(ISNUMBER(Sync!$AE1733),INT(MOD(Sync!$AE1733,10000)/100),IFERROR(VALUE(TRIM(LEFT(MID(Sync!$AE1733,FIND("/",Sync!$AE1733)+1,20),FIND("/",MID(Sync!$AE1733,FIND("/",Sync!$AE1733)+1,20))-1))),"")))</f>
        <v/>
      </c>
      <c r="I1733">
        <f>IF(OR($F1733="",$G1733=""),"",IF(ISNUMBER(Sync!$AE1733),MOD(Sync!$AE1733,100),IFERROR(VALUE(TRIM(MID(MID(Sync!$AE1733,FIND("/",Sync!$AE1733)+1,20),FIND("/",MID(Sync!$AE1733,FIND("/",Sync!$AE1733)+1,20))+1,20))),"")))</f>
        <v/>
      </c>
      <c r="J1733">
        <f>IF($F1733="","",IF(OR($G1733="",$H1733="",$I1733="",$G1733&lt;1300,$G1733&gt;1500,$H1733&lt;1,$H1733&gt;12,$I1733&lt;1,$I1733&gt;31),"نامعتبر",RIGHT("0000"&amp;$G1733,4)&amp;"/"&amp;RIGHT("00"&amp;$H1733,2)&amp;"/"&amp;RIGHT("00"&amp;$I1733,2)))</f>
        <v/>
      </c>
      <c r="K1733">
        <f>IF(OR($F1733="",$J1733="",$J1733="نامعتبر"),"",LEFT($J1733,4)&amp;MID($J1733,6,2)&amp;RIGHT($J1733,2)&amp;$N1733&amp;"|"&amp;"2"&amp;RIGHT("00000"&amp;1728,5))</f>
        <v/>
      </c>
      <c r="L1733">
        <f>IF($K1733="","",COUNTIFS(LdgSellerA,$F1733,LdgKeyA,"&lt;"&amp;$K1733)+COUNTIFS(LdgSellerB,$F1733,LdgKeyB,"&lt;"&amp;$K1733)+1)</f>
        <v/>
      </c>
      <c r="M1733">
        <f>IF($L1733="","",$F1733&amp;"|"&amp;RIGHT("000000"&amp;$L1733,6))</f>
        <v/>
      </c>
      <c r="N1733">
        <f>IF($F1733="","",IF(Sync!$AF1733="","0000",IF(AND(ISNUMBER(Sync!$AF1733),Sync!$AF1733&gt;=0,Sync!$AF1733&lt;1),RIGHT("00"&amp;HOUR(Sync!$AF1733),2)&amp;RIGHT("00"&amp;MINUTE(Sync!$AF1733),2),IFERROR(RIGHT("00"&amp;VALUE(LEFT(Sync!$AF1733,FIND(":",Sync!$AF1733)-1)),2)&amp;RIGHT("00"&amp;VALUE(MID(Sync!$AF1733,FIND(":",Sync!$AF1733)+1,2)),2),"0000"))))</f>
        <v/>
      </c>
    </row>
    <row r="1734">
      <c r="A1734">
        <f>IF(OR(Calc!$E1738="",Calc!$E1738="نامعتبر",Calc!$G1738=""),"",Calc!$G1738)</f>
        <v/>
      </c>
      <c r="B1734">
        <f>IF($A1734="","",LEFT(Calc!$E1738,4)&amp;MID(Calc!$E1738,6,2)&amp;RIGHT(Calc!$E1738,2)&amp;Calc!$Q1738&amp;"|"&amp;"1"&amp;RIGHT("00000"&amp;1729,5))</f>
        <v/>
      </c>
      <c r="C1734">
        <f>IF($B1734="","",COUNTIFS(LdgSellerA,$A1734,LdgKeyA,"&lt;"&amp;$B1734)+COUNTIFS(LdgSellerB,$A1734,LdgKeyB,"&lt;"&amp;$B1734)+1)</f>
        <v/>
      </c>
      <c r="D1734">
        <f>IF($C1734="","",$A1734&amp;"|"&amp;RIGHT("000000"&amp;$C1734,6))</f>
        <v/>
      </c>
      <c r="F1734">
        <f>IF(Sync!$AH1734="","",IF(LEFT(UPPER(TRIM(Sync!$AH1734)),2)="SL",UPPER(TRIM(Sync!$AH1734)),""))</f>
        <v/>
      </c>
      <c r="G1734">
        <f>IF($F1734="","",IF(Sync!$AE1734="","",IF(ISNUMBER(Sync!$AE1734),IF(AND(Sync!$AE1734&gt;=10000101,Sync!$AE1734&lt;=99991231),INT(Sync!$AE1734/10000),""),IFERROR(VALUE(TRIM(LEFT(Sync!$AE1734,FIND("/",Sync!$AE1734)-1))),""))))</f>
        <v/>
      </c>
      <c r="H1734">
        <f>IF(OR($F1734="",$G1734=""),"",IF(ISNUMBER(Sync!$AE1734),INT(MOD(Sync!$AE1734,10000)/100),IFERROR(VALUE(TRIM(LEFT(MID(Sync!$AE1734,FIND("/",Sync!$AE1734)+1,20),FIND("/",MID(Sync!$AE1734,FIND("/",Sync!$AE1734)+1,20))-1))),"")))</f>
        <v/>
      </c>
      <c r="I1734">
        <f>IF(OR($F1734="",$G1734=""),"",IF(ISNUMBER(Sync!$AE1734),MOD(Sync!$AE1734,100),IFERROR(VALUE(TRIM(MID(MID(Sync!$AE1734,FIND("/",Sync!$AE1734)+1,20),FIND("/",MID(Sync!$AE1734,FIND("/",Sync!$AE1734)+1,20))+1,20))),"")))</f>
        <v/>
      </c>
      <c r="J1734">
        <f>IF($F1734="","",IF(OR($G1734="",$H1734="",$I1734="",$G1734&lt;1300,$G1734&gt;1500,$H1734&lt;1,$H1734&gt;12,$I1734&lt;1,$I1734&gt;31),"نامعتبر",RIGHT("0000"&amp;$G1734,4)&amp;"/"&amp;RIGHT("00"&amp;$H1734,2)&amp;"/"&amp;RIGHT("00"&amp;$I1734,2)))</f>
        <v/>
      </c>
      <c r="K1734">
        <f>IF(OR($F1734="",$J1734="",$J1734="نامعتبر"),"",LEFT($J1734,4)&amp;MID($J1734,6,2)&amp;RIGHT($J1734,2)&amp;$N1734&amp;"|"&amp;"2"&amp;RIGHT("00000"&amp;1729,5))</f>
        <v/>
      </c>
      <c r="L1734">
        <f>IF($K1734="","",COUNTIFS(LdgSellerA,$F1734,LdgKeyA,"&lt;"&amp;$K1734)+COUNTIFS(LdgSellerB,$F1734,LdgKeyB,"&lt;"&amp;$K1734)+1)</f>
        <v/>
      </c>
      <c r="M1734">
        <f>IF($L1734="","",$F1734&amp;"|"&amp;RIGHT("000000"&amp;$L1734,6))</f>
        <v/>
      </c>
      <c r="N1734">
        <f>IF($F1734="","",IF(Sync!$AF1734="","0000",IF(AND(ISNUMBER(Sync!$AF1734),Sync!$AF1734&gt;=0,Sync!$AF1734&lt;1),RIGHT("00"&amp;HOUR(Sync!$AF1734),2)&amp;RIGHT("00"&amp;MINUTE(Sync!$AF1734),2),IFERROR(RIGHT("00"&amp;VALUE(LEFT(Sync!$AF1734,FIND(":",Sync!$AF1734)-1)),2)&amp;RIGHT("00"&amp;VALUE(MID(Sync!$AF1734,FIND(":",Sync!$AF1734)+1,2)),2),"0000"))))</f>
        <v/>
      </c>
    </row>
    <row r="1735">
      <c r="A1735">
        <f>IF(OR(Calc!$E1739="",Calc!$E1739="نامعتبر",Calc!$G1739=""),"",Calc!$G1739)</f>
        <v/>
      </c>
      <c r="B1735">
        <f>IF($A1735="","",LEFT(Calc!$E1739,4)&amp;MID(Calc!$E1739,6,2)&amp;RIGHT(Calc!$E1739,2)&amp;Calc!$Q1739&amp;"|"&amp;"1"&amp;RIGHT("00000"&amp;1730,5))</f>
        <v/>
      </c>
      <c r="C1735">
        <f>IF($B1735="","",COUNTIFS(LdgSellerA,$A1735,LdgKeyA,"&lt;"&amp;$B1735)+COUNTIFS(LdgSellerB,$A1735,LdgKeyB,"&lt;"&amp;$B1735)+1)</f>
        <v/>
      </c>
      <c r="D1735">
        <f>IF($C1735="","",$A1735&amp;"|"&amp;RIGHT("000000"&amp;$C1735,6))</f>
        <v/>
      </c>
      <c r="F1735">
        <f>IF(Sync!$AH1735="","",IF(LEFT(UPPER(TRIM(Sync!$AH1735)),2)="SL",UPPER(TRIM(Sync!$AH1735)),""))</f>
        <v/>
      </c>
      <c r="G1735">
        <f>IF($F1735="","",IF(Sync!$AE1735="","",IF(ISNUMBER(Sync!$AE1735),IF(AND(Sync!$AE1735&gt;=10000101,Sync!$AE1735&lt;=99991231),INT(Sync!$AE1735/10000),""),IFERROR(VALUE(TRIM(LEFT(Sync!$AE1735,FIND("/",Sync!$AE1735)-1))),""))))</f>
        <v/>
      </c>
      <c r="H1735">
        <f>IF(OR($F1735="",$G1735=""),"",IF(ISNUMBER(Sync!$AE1735),INT(MOD(Sync!$AE1735,10000)/100),IFERROR(VALUE(TRIM(LEFT(MID(Sync!$AE1735,FIND("/",Sync!$AE1735)+1,20),FIND("/",MID(Sync!$AE1735,FIND("/",Sync!$AE1735)+1,20))-1))),"")))</f>
        <v/>
      </c>
      <c r="I1735">
        <f>IF(OR($F1735="",$G1735=""),"",IF(ISNUMBER(Sync!$AE1735),MOD(Sync!$AE1735,100),IFERROR(VALUE(TRIM(MID(MID(Sync!$AE1735,FIND("/",Sync!$AE1735)+1,20),FIND("/",MID(Sync!$AE1735,FIND("/",Sync!$AE1735)+1,20))+1,20))),"")))</f>
        <v/>
      </c>
      <c r="J1735">
        <f>IF($F1735="","",IF(OR($G1735="",$H1735="",$I1735="",$G1735&lt;1300,$G1735&gt;1500,$H1735&lt;1,$H1735&gt;12,$I1735&lt;1,$I1735&gt;31),"نامعتبر",RIGHT("0000"&amp;$G1735,4)&amp;"/"&amp;RIGHT("00"&amp;$H1735,2)&amp;"/"&amp;RIGHT("00"&amp;$I1735,2)))</f>
        <v/>
      </c>
      <c r="K1735">
        <f>IF(OR($F1735="",$J1735="",$J1735="نامعتبر"),"",LEFT($J1735,4)&amp;MID($J1735,6,2)&amp;RIGHT($J1735,2)&amp;$N1735&amp;"|"&amp;"2"&amp;RIGHT("00000"&amp;1730,5))</f>
        <v/>
      </c>
      <c r="L1735">
        <f>IF($K1735="","",COUNTIFS(LdgSellerA,$F1735,LdgKeyA,"&lt;"&amp;$K1735)+COUNTIFS(LdgSellerB,$F1735,LdgKeyB,"&lt;"&amp;$K1735)+1)</f>
        <v/>
      </c>
      <c r="M1735">
        <f>IF($L1735="","",$F1735&amp;"|"&amp;RIGHT("000000"&amp;$L1735,6))</f>
        <v/>
      </c>
      <c r="N1735">
        <f>IF($F1735="","",IF(Sync!$AF1735="","0000",IF(AND(ISNUMBER(Sync!$AF1735),Sync!$AF1735&gt;=0,Sync!$AF1735&lt;1),RIGHT("00"&amp;HOUR(Sync!$AF1735),2)&amp;RIGHT("00"&amp;MINUTE(Sync!$AF1735),2),IFERROR(RIGHT("00"&amp;VALUE(LEFT(Sync!$AF1735,FIND(":",Sync!$AF1735)-1)),2)&amp;RIGHT("00"&amp;VALUE(MID(Sync!$AF1735,FIND(":",Sync!$AF1735)+1,2)),2),"0000"))))</f>
        <v/>
      </c>
    </row>
    <row r="1736">
      <c r="A1736">
        <f>IF(OR(Calc!$E1740="",Calc!$E1740="نامعتبر",Calc!$G1740=""),"",Calc!$G1740)</f>
        <v/>
      </c>
      <c r="B1736">
        <f>IF($A1736="","",LEFT(Calc!$E1740,4)&amp;MID(Calc!$E1740,6,2)&amp;RIGHT(Calc!$E1740,2)&amp;Calc!$Q1740&amp;"|"&amp;"1"&amp;RIGHT("00000"&amp;1731,5))</f>
        <v/>
      </c>
      <c r="C1736">
        <f>IF($B1736="","",COUNTIFS(LdgSellerA,$A1736,LdgKeyA,"&lt;"&amp;$B1736)+COUNTIFS(LdgSellerB,$A1736,LdgKeyB,"&lt;"&amp;$B1736)+1)</f>
        <v/>
      </c>
      <c r="D1736">
        <f>IF($C1736="","",$A1736&amp;"|"&amp;RIGHT("000000"&amp;$C1736,6))</f>
        <v/>
      </c>
      <c r="F1736">
        <f>IF(Sync!$AH1736="","",IF(LEFT(UPPER(TRIM(Sync!$AH1736)),2)="SL",UPPER(TRIM(Sync!$AH1736)),""))</f>
        <v/>
      </c>
      <c r="G1736">
        <f>IF($F1736="","",IF(Sync!$AE1736="","",IF(ISNUMBER(Sync!$AE1736),IF(AND(Sync!$AE1736&gt;=10000101,Sync!$AE1736&lt;=99991231),INT(Sync!$AE1736/10000),""),IFERROR(VALUE(TRIM(LEFT(Sync!$AE1736,FIND("/",Sync!$AE1736)-1))),""))))</f>
        <v/>
      </c>
      <c r="H1736">
        <f>IF(OR($F1736="",$G1736=""),"",IF(ISNUMBER(Sync!$AE1736),INT(MOD(Sync!$AE1736,10000)/100),IFERROR(VALUE(TRIM(LEFT(MID(Sync!$AE1736,FIND("/",Sync!$AE1736)+1,20),FIND("/",MID(Sync!$AE1736,FIND("/",Sync!$AE1736)+1,20))-1))),"")))</f>
        <v/>
      </c>
      <c r="I1736">
        <f>IF(OR($F1736="",$G1736=""),"",IF(ISNUMBER(Sync!$AE1736),MOD(Sync!$AE1736,100),IFERROR(VALUE(TRIM(MID(MID(Sync!$AE1736,FIND("/",Sync!$AE1736)+1,20),FIND("/",MID(Sync!$AE1736,FIND("/",Sync!$AE1736)+1,20))+1,20))),"")))</f>
        <v/>
      </c>
      <c r="J1736">
        <f>IF($F1736="","",IF(OR($G1736="",$H1736="",$I1736="",$G1736&lt;1300,$G1736&gt;1500,$H1736&lt;1,$H1736&gt;12,$I1736&lt;1,$I1736&gt;31),"نامعتبر",RIGHT("0000"&amp;$G1736,4)&amp;"/"&amp;RIGHT("00"&amp;$H1736,2)&amp;"/"&amp;RIGHT("00"&amp;$I1736,2)))</f>
        <v/>
      </c>
      <c r="K1736">
        <f>IF(OR($F1736="",$J1736="",$J1736="نامعتبر"),"",LEFT($J1736,4)&amp;MID($J1736,6,2)&amp;RIGHT($J1736,2)&amp;$N1736&amp;"|"&amp;"2"&amp;RIGHT("00000"&amp;1731,5))</f>
        <v/>
      </c>
      <c r="L1736">
        <f>IF($K1736="","",COUNTIFS(LdgSellerA,$F1736,LdgKeyA,"&lt;"&amp;$K1736)+COUNTIFS(LdgSellerB,$F1736,LdgKeyB,"&lt;"&amp;$K1736)+1)</f>
        <v/>
      </c>
      <c r="M1736">
        <f>IF($L1736="","",$F1736&amp;"|"&amp;RIGHT("000000"&amp;$L1736,6))</f>
        <v/>
      </c>
      <c r="N1736">
        <f>IF($F1736="","",IF(Sync!$AF1736="","0000",IF(AND(ISNUMBER(Sync!$AF1736),Sync!$AF1736&gt;=0,Sync!$AF1736&lt;1),RIGHT("00"&amp;HOUR(Sync!$AF1736),2)&amp;RIGHT("00"&amp;MINUTE(Sync!$AF1736),2),IFERROR(RIGHT("00"&amp;VALUE(LEFT(Sync!$AF1736,FIND(":",Sync!$AF1736)-1)),2)&amp;RIGHT("00"&amp;VALUE(MID(Sync!$AF1736,FIND(":",Sync!$AF1736)+1,2)),2),"0000"))))</f>
        <v/>
      </c>
    </row>
    <row r="1737">
      <c r="A1737">
        <f>IF(OR(Calc!$E1741="",Calc!$E1741="نامعتبر",Calc!$G1741=""),"",Calc!$G1741)</f>
        <v/>
      </c>
      <c r="B1737">
        <f>IF($A1737="","",LEFT(Calc!$E1741,4)&amp;MID(Calc!$E1741,6,2)&amp;RIGHT(Calc!$E1741,2)&amp;Calc!$Q1741&amp;"|"&amp;"1"&amp;RIGHT("00000"&amp;1732,5))</f>
        <v/>
      </c>
      <c r="C1737">
        <f>IF($B1737="","",COUNTIFS(LdgSellerA,$A1737,LdgKeyA,"&lt;"&amp;$B1737)+COUNTIFS(LdgSellerB,$A1737,LdgKeyB,"&lt;"&amp;$B1737)+1)</f>
        <v/>
      </c>
      <c r="D1737">
        <f>IF($C1737="","",$A1737&amp;"|"&amp;RIGHT("000000"&amp;$C1737,6))</f>
        <v/>
      </c>
      <c r="F1737">
        <f>IF(Sync!$AH1737="","",IF(LEFT(UPPER(TRIM(Sync!$AH1737)),2)="SL",UPPER(TRIM(Sync!$AH1737)),""))</f>
        <v/>
      </c>
      <c r="G1737">
        <f>IF($F1737="","",IF(Sync!$AE1737="","",IF(ISNUMBER(Sync!$AE1737),IF(AND(Sync!$AE1737&gt;=10000101,Sync!$AE1737&lt;=99991231),INT(Sync!$AE1737/10000),""),IFERROR(VALUE(TRIM(LEFT(Sync!$AE1737,FIND("/",Sync!$AE1737)-1))),""))))</f>
        <v/>
      </c>
      <c r="H1737">
        <f>IF(OR($F1737="",$G1737=""),"",IF(ISNUMBER(Sync!$AE1737),INT(MOD(Sync!$AE1737,10000)/100),IFERROR(VALUE(TRIM(LEFT(MID(Sync!$AE1737,FIND("/",Sync!$AE1737)+1,20),FIND("/",MID(Sync!$AE1737,FIND("/",Sync!$AE1737)+1,20))-1))),"")))</f>
        <v/>
      </c>
      <c r="I1737">
        <f>IF(OR($F1737="",$G1737=""),"",IF(ISNUMBER(Sync!$AE1737),MOD(Sync!$AE1737,100),IFERROR(VALUE(TRIM(MID(MID(Sync!$AE1737,FIND("/",Sync!$AE1737)+1,20),FIND("/",MID(Sync!$AE1737,FIND("/",Sync!$AE1737)+1,20))+1,20))),"")))</f>
        <v/>
      </c>
      <c r="J1737">
        <f>IF($F1737="","",IF(OR($G1737="",$H1737="",$I1737="",$G1737&lt;1300,$G1737&gt;1500,$H1737&lt;1,$H1737&gt;12,$I1737&lt;1,$I1737&gt;31),"نامعتبر",RIGHT("0000"&amp;$G1737,4)&amp;"/"&amp;RIGHT("00"&amp;$H1737,2)&amp;"/"&amp;RIGHT("00"&amp;$I1737,2)))</f>
        <v/>
      </c>
      <c r="K1737">
        <f>IF(OR($F1737="",$J1737="",$J1737="نامعتبر"),"",LEFT($J1737,4)&amp;MID($J1737,6,2)&amp;RIGHT($J1737,2)&amp;$N1737&amp;"|"&amp;"2"&amp;RIGHT("00000"&amp;1732,5))</f>
        <v/>
      </c>
      <c r="L1737">
        <f>IF($K1737="","",COUNTIFS(LdgSellerA,$F1737,LdgKeyA,"&lt;"&amp;$K1737)+COUNTIFS(LdgSellerB,$F1737,LdgKeyB,"&lt;"&amp;$K1737)+1)</f>
        <v/>
      </c>
      <c r="M1737">
        <f>IF($L1737="","",$F1737&amp;"|"&amp;RIGHT("000000"&amp;$L1737,6))</f>
        <v/>
      </c>
      <c r="N1737">
        <f>IF($F1737="","",IF(Sync!$AF1737="","0000",IF(AND(ISNUMBER(Sync!$AF1737),Sync!$AF1737&gt;=0,Sync!$AF1737&lt;1),RIGHT("00"&amp;HOUR(Sync!$AF1737),2)&amp;RIGHT("00"&amp;MINUTE(Sync!$AF1737),2),IFERROR(RIGHT("00"&amp;VALUE(LEFT(Sync!$AF1737,FIND(":",Sync!$AF1737)-1)),2)&amp;RIGHT("00"&amp;VALUE(MID(Sync!$AF1737,FIND(":",Sync!$AF1737)+1,2)),2),"0000"))))</f>
        <v/>
      </c>
    </row>
    <row r="1738">
      <c r="A1738">
        <f>IF(OR(Calc!$E1742="",Calc!$E1742="نامعتبر",Calc!$G1742=""),"",Calc!$G1742)</f>
        <v/>
      </c>
      <c r="B1738">
        <f>IF($A1738="","",LEFT(Calc!$E1742,4)&amp;MID(Calc!$E1742,6,2)&amp;RIGHT(Calc!$E1742,2)&amp;Calc!$Q1742&amp;"|"&amp;"1"&amp;RIGHT("00000"&amp;1733,5))</f>
        <v/>
      </c>
      <c r="C1738">
        <f>IF($B1738="","",COUNTIFS(LdgSellerA,$A1738,LdgKeyA,"&lt;"&amp;$B1738)+COUNTIFS(LdgSellerB,$A1738,LdgKeyB,"&lt;"&amp;$B1738)+1)</f>
        <v/>
      </c>
      <c r="D1738">
        <f>IF($C1738="","",$A1738&amp;"|"&amp;RIGHT("000000"&amp;$C1738,6))</f>
        <v/>
      </c>
      <c r="F1738">
        <f>IF(Sync!$AH1738="","",IF(LEFT(UPPER(TRIM(Sync!$AH1738)),2)="SL",UPPER(TRIM(Sync!$AH1738)),""))</f>
        <v/>
      </c>
      <c r="G1738">
        <f>IF($F1738="","",IF(Sync!$AE1738="","",IF(ISNUMBER(Sync!$AE1738),IF(AND(Sync!$AE1738&gt;=10000101,Sync!$AE1738&lt;=99991231),INT(Sync!$AE1738/10000),""),IFERROR(VALUE(TRIM(LEFT(Sync!$AE1738,FIND("/",Sync!$AE1738)-1))),""))))</f>
        <v/>
      </c>
      <c r="H1738">
        <f>IF(OR($F1738="",$G1738=""),"",IF(ISNUMBER(Sync!$AE1738),INT(MOD(Sync!$AE1738,10000)/100),IFERROR(VALUE(TRIM(LEFT(MID(Sync!$AE1738,FIND("/",Sync!$AE1738)+1,20),FIND("/",MID(Sync!$AE1738,FIND("/",Sync!$AE1738)+1,20))-1))),"")))</f>
        <v/>
      </c>
      <c r="I1738">
        <f>IF(OR($F1738="",$G1738=""),"",IF(ISNUMBER(Sync!$AE1738),MOD(Sync!$AE1738,100),IFERROR(VALUE(TRIM(MID(MID(Sync!$AE1738,FIND("/",Sync!$AE1738)+1,20),FIND("/",MID(Sync!$AE1738,FIND("/",Sync!$AE1738)+1,20))+1,20))),"")))</f>
        <v/>
      </c>
      <c r="J1738">
        <f>IF($F1738="","",IF(OR($G1738="",$H1738="",$I1738="",$G1738&lt;1300,$G1738&gt;1500,$H1738&lt;1,$H1738&gt;12,$I1738&lt;1,$I1738&gt;31),"نامعتبر",RIGHT("0000"&amp;$G1738,4)&amp;"/"&amp;RIGHT("00"&amp;$H1738,2)&amp;"/"&amp;RIGHT("00"&amp;$I1738,2)))</f>
        <v/>
      </c>
      <c r="K1738">
        <f>IF(OR($F1738="",$J1738="",$J1738="نامعتبر"),"",LEFT($J1738,4)&amp;MID($J1738,6,2)&amp;RIGHT($J1738,2)&amp;$N1738&amp;"|"&amp;"2"&amp;RIGHT("00000"&amp;1733,5))</f>
        <v/>
      </c>
      <c r="L1738">
        <f>IF($K1738="","",COUNTIFS(LdgSellerA,$F1738,LdgKeyA,"&lt;"&amp;$K1738)+COUNTIFS(LdgSellerB,$F1738,LdgKeyB,"&lt;"&amp;$K1738)+1)</f>
        <v/>
      </c>
      <c r="M1738">
        <f>IF($L1738="","",$F1738&amp;"|"&amp;RIGHT("000000"&amp;$L1738,6))</f>
        <v/>
      </c>
      <c r="N1738">
        <f>IF($F1738="","",IF(Sync!$AF1738="","0000",IF(AND(ISNUMBER(Sync!$AF1738),Sync!$AF1738&gt;=0,Sync!$AF1738&lt;1),RIGHT("00"&amp;HOUR(Sync!$AF1738),2)&amp;RIGHT("00"&amp;MINUTE(Sync!$AF1738),2),IFERROR(RIGHT("00"&amp;VALUE(LEFT(Sync!$AF1738,FIND(":",Sync!$AF1738)-1)),2)&amp;RIGHT("00"&amp;VALUE(MID(Sync!$AF1738,FIND(":",Sync!$AF1738)+1,2)),2),"0000"))))</f>
        <v/>
      </c>
    </row>
    <row r="1739">
      <c r="A1739">
        <f>IF(OR(Calc!$E1743="",Calc!$E1743="نامعتبر",Calc!$G1743=""),"",Calc!$G1743)</f>
        <v/>
      </c>
      <c r="B1739">
        <f>IF($A1739="","",LEFT(Calc!$E1743,4)&amp;MID(Calc!$E1743,6,2)&amp;RIGHT(Calc!$E1743,2)&amp;Calc!$Q1743&amp;"|"&amp;"1"&amp;RIGHT("00000"&amp;1734,5))</f>
        <v/>
      </c>
      <c r="C1739">
        <f>IF($B1739="","",COUNTIFS(LdgSellerA,$A1739,LdgKeyA,"&lt;"&amp;$B1739)+COUNTIFS(LdgSellerB,$A1739,LdgKeyB,"&lt;"&amp;$B1739)+1)</f>
        <v/>
      </c>
      <c r="D1739">
        <f>IF($C1739="","",$A1739&amp;"|"&amp;RIGHT("000000"&amp;$C1739,6))</f>
        <v/>
      </c>
      <c r="F1739">
        <f>IF(Sync!$AH1739="","",IF(LEFT(UPPER(TRIM(Sync!$AH1739)),2)="SL",UPPER(TRIM(Sync!$AH1739)),""))</f>
        <v/>
      </c>
      <c r="G1739">
        <f>IF($F1739="","",IF(Sync!$AE1739="","",IF(ISNUMBER(Sync!$AE1739),IF(AND(Sync!$AE1739&gt;=10000101,Sync!$AE1739&lt;=99991231),INT(Sync!$AE1739/10000),""),IFERROR(VALUE(TRIM(LEFT(Sync!$AE1739,FIND("/",Sync!$AE1739)-1))),""))))</f>
        <v/>
      </c>
      <c r="H1739">
        <f>IF(OR($F1739="",$G1739=""),"",IF(ISNUMBER(Sync!$AE1739),INT(MOD(Sync!$AE1739,10000)/100),IFERROR(VALUE(TRIM(LEFT(MID(Sync!$AE1739,FIND("/",Sync!$AE1739)+1,20),FIND("/",MID(Sync!$AE1739,FIND("/",Sync!$AE1739)+1,20))-1))),"")))</f>
        <v/>
      </c>
      <c r="I1739">
        <f>IF(OR($F1739="",$G1739=""),"",IF(ISNUMBER(Sync!$AE1739),MOD(Sync!$AE1739,100),IFERROR(VALUE(TRIM(MID(MID(Sync!$AE1739,FIND("/",Sync!$AE1739)+1,20),FIND("/",MID(Sync!$AE1739,FIND("/",Sync!$AE1739)+1,20))+1,20))),"")))</f>
        <v/>
      </c>
      <c r="J1739">
        <f>IF($F1739="","",IF(OR($G1739="",$H1739="",$I1739="",$G1739&lt;1300,$G1739&gt;1500,$H1739&lt;1,$H1739&gt;12,$I1739&lt;1,$I1739&gt;31),"نامعتبر",RIGHT("0000"&amp;$G1739,4)&amp;"/"&amp;RIGHT("00"&amp;$H1739,2)&amp;"/"&amp;RIGHT("00"&amp;$I1739,2)))</f>
        <v/>
      </c>
      <c r="K1739">
        <f>IF(OR($F1739="",$J1739="",$J1739="نامعتبر"),"",LEFT($J1739,4)&amp;MID($J1739,6,2)&amp;RIGHT($J1739,2)&amp;$N1739&amp;"|"&amp;"2"&amp;RIGHT("00000"&amp;1734,5))</f>
        <v/>
      </c>
      <c r="L1739">
        <f>IF($K1739="","",COUNTIFS(LdgSellerA,$F1739,LdgKeyA,"&lt;"&amp;$K1739)+COUNTIFS(LdgSellerB,$F1739,LdgKeyB,"&lt;"&amp;$K1739)+1)</f>
        <v/>
      </c>
      <c r="M1739">
        <f>IF($L1739="","",$F1739&amp;"|"&amp;RIGHT("000000"&amp;$L1739,6))</f>
        <v/>
      </c>
      <c r="N1739">
        <f>IF($F1739="","",IF(Sync!$AF1739="","0000",IF(AND(ISNUMBER(Sync!$AF1739),Sync!$AF1739&gt;=0,Sync!$AF1739&lt;1),RIGHT("00"&amp;HOUR(Sync!$AF1739),2)&amp;RIGHT("00"&amp;MINUTE(Sync!$AF1739),2),IFERROR(RIGHT("00"&amp;VALUE(LEFT(Sync!$AF1739,FIND(":",Sync!$AF1739)-1)),2)&amp;RIGHT("00"&amp;VALUE(MID(Sync!$AF1739,FIND(":",Sync!$AF1739)+1,2)),2),"0000"))))</f>
        <v/>
      </c>
    </row>
    <row r="1740">
      <c r="A1740">
        <f>IF(OR(Calc!$E1744="",Calc!$E1744="نامعتبر",Calc!$G1744=""),"",Calc!$G1744)</f>
        <v/>
      </c>
      <c r="B1740">
        <f>IF($A1740="","",LEFT(Calc!$E1744,4)&amp;MID(Calc!$E1744,6,2)&amp;RIGHT(Calc!$E1744,2)&amp;Calc!$Q1744&amp;"|"&amp;"1"&amp;RIGHT("00000"&amp;1735,5))</f>
        <v/>
      </c>
      <c r="C1740">
        <f>IF($B1740="","",COUNTIFS(LdgSellerA,$A1740,LdgKeyA,"&lt;"&amp;$B1740)+COUNTIFS(LdgSellerB,$A1740,LdgKeyB,"&lt;"&amp;$B1740)+1)</f>
        <v/>
      </c>
      <c r="D1740">
        <f>IF($C1740="","",$A1740&amp;"|"&amp;RIGHT("000000"&amp;$C1740,6))</f>
        <v/>
      </c>
      <c r="F1740">
        <f>IF(Sync!$AH1740="","",IF(LEFT(UPPER(TRIM(Sync!$AH1740)),2)="SL",UPPER(TRIM(Sync!$AH1740)),""))</f>
        <v/>
      </c>
      <c r="G1740">
        <f>IF($F1740="","",IF(Sync!$AE1740="","",IF(ISNUMBER(Sync!$AE1740),IF(AND(Sync!$AE1740&gt;=10000101,Sync!$AE1740&lt;=99991231),INT(Sync!$AE1740/10000),""),IFERROR(VALUE(TRIM(LEFT(Sync!$AE1740,FIND("/",Sync!$AE1740)-1))),""))))</f>
        <v/>
      </c>
      <c r="H1740">
        <f>IF(OR($F1740="",$G1740=""),"",IF(ISNUMBER(Sync!$AE1740),INT(MOD(Sync!$AE1740,10000)/100),IFERROR(VALUE(TRIM(LEFT(MID(Sync!$AE1740,FIND("/",Sync!$AE1740)+1,20),FIND("/",MID(Sync!$AE1740,FIND("/",Sync!$AE1740)+1,20))-1))),"")))</f>
        <v/>
      </c>
      <c r="I1740">
        <f>IF(OR($F1740="",$G1740=""),"",IF(ISNUMBER(Sync!$AE1740),MOD(Sync!$AE1740,100),IFERROR(VALUE(TRIM(MID(MID(Sync!$AE1740,FIND("/",Sync!$AE1740)+1,20),FIND("/",MID(Sync!$AE1740,FIND("/",Sync!$AE1740)+1,20))+1,20))),"")))</f>
        <v/>
      </c>
      <c r="J1740">
        <f>IF($F1740="","",IF(OR($G1740="",$H1740="",$I1740="",$G1740&lt;1300,$G1740&gt;1500,$H1740&lt;1,$H1740&gt;12,$I1740&lt;1,$I1740&gt;31),"نامعتبر",RIGHT("0000"&amp;$G1740,4)&amp;"/"&amp;RIGHT("00"&amp;$H1740,2)&amp;"/"&amp;RIGHT("00"&amp;$I1740,2)))</f>
        <v/>
      </c>
      <c r="K1740">
        <f>IF(OR($F1740="",$J1740="",$J1740="نامعتبر"),"",LEFT($J1740,4)&amp;MID($J1740,6,2)&amp;RIGHT($J1740,2)&amp;$N1740&amp;"|"&amp;"2"&amp;RIGHT("00000"&amp;1735,5))</f>
        <v/>
      </c>
      <c r="L1740">
        <f>IF($K1740="","",COUNTIFS(LdgSellerA,$F1740,LdgKeyA,"&lt;"&amp;$K1740)+COUNTIFS(LdgSellerB,$F1740,LdgKeyB,"&lt;"&amp;$K1740)+1)</f>
        <v/>
      </c>
      <c r="M1740">
        <f>IF($L1740="","",$F1740&amp;"|"&amp;RIGHT("000000"&amp;$L1740,6))</f>
        <v/>
      </c>
      <c r="N1740">
        <f>IF($F1740="","",IF(Sync!$AF1740="","0000",IF(AND(ISNUMBER(Sync!$AF1740),Sync!$AF1740&gt;=0,Sync!$AF1740&lt;1),RIGHT("00"&amp;HOUR(Sync!$AF1740),2)&amp;RIGHT("00"&amp;MINUTE(Sync!$AF1740),2),IFERROR(RIGHT("00"&amp;VALUE(LEFT(Sync!$AF1740,FIND(":",Sync!$AF1740)-1)),2)&amp;RIGHT("00"&amp;VALUE(MID(Sync!$AF1740,FIND(":",Sync!$AF1740)+1,2)),2),"0000"))))</f>
        <v/>
      </c>
    </row>
    <row r="1741">
      <c r="A1741">
        <f>IF(OR(Calc!$E1745="",Calc!$E1745="نامعتبر",Calc!$G1745=""),"",Calc!$G1745)</f>
        <v/>
      </c>
      <c r="B1741">
        <f>IF($A1741="","",LEFT(Calc!$E1745,4)&amp;MID(Calc!$E1745,6,2)&amp;RIGHT(Calc!$E1745,2)&amp;Calc!$Q1745&amp;"|"&amp;"1"&amp;RIGHT("00000"&amp;1736,5))</f>
        <v/>
      </c>
      <c r="C1741">
        <f>IF($B1741="","",COUNTIFS(LdgSellerA,$A1741,LdgKeyA,"&lt;"&amp;$B1741)+COUNTIFS(LdgSellerB,$A1741,LdgKeyB,"&lt;"&amp;$B1741)+1)</f>
        <v/>
      </c>
      <c r="D1741">
        <f>IF($C1741="","",$A1741&amp;"|"&amp;RIGHT("000000"&amp;$C1741,6))</f>
        <v/>
      </c>
      <c r="F1741">
        <f>IF(Sync!$AH1741="","",IF(LEFT(UPPER(TRIM(Sync!$AH1741)),2)="SL",UPPER(TRIM(Sync!$AH1741)),""))</f>
        <v/>
      </c>
      <c r="G1741">
        <f>IF($F1741="","",IF(Sync!$AE1741="","",IF(ISNUMBER(Sync!$AE1741),IF(AND(Sync!$AE1741&gt;=10000101,Sync!$AE1741&lt;=99991231),INT(Sync!$AE1741/10000),""),IFERROR(VALUE(TRIM(LEFT(Sync!$AE1741,FIND("/",Sync!$AE1741)-1))),""))))</f>
        <v/>
      </c>
      <c r="H1741">
        <f>IF(OR($F1741="",$G1741=""),"",IF(ISNUMBER(Sync!$AE1741),INT(MOD(Sync!$AE1741,10000)/100),IFERROR(VALUE(TRIM(LEFT(MID(Sync!$AE1741,FIND("/",Sync!$AE1741)+1,20),FIND("/",MID(Sync!$AE1741,FIND("/",Sync!$AE1741)+1,20))-1))),"")))</f>
        <v/>
      </c>
      <c r="I1741">
        <f>IF(OR($F1741="",$G1741=""),"",IF(ISNUMBER(Sync!$AE1741),MOD(Sync!$AE1741,100),IFERROR(VALUE(TRIM(MID(MID(Sync!$AE1741,FIND("/",Sync!$AE1741)+1,20),FIND("/",MID(Sync!$AE1741,FIND("/",Sync!$AE1741)+1,20))+1,20))),"")))</f>
        <v/>
      </c>
      <c r="J1741">
        <f>IF($F1741="","",IF(OR($G1741="",$H1741="",$I1741="",$G1741&lt;1300,$G1741&gt;1500,$H1741&lt;1,$H1741&gt;12,$I1741&lt;1,$I1741&gt;31),"نامعتبر",RIGHT("0000"&amp;$G1741,4)&amp;"/"&amp;RIGHT("00"&amp;$H1741,2)&amp;"/"&amp;RIGHT("00"&amp;$I1741,2)))</f>
        <v/>
      </c>
      <c r="K1741">
        <f>IF(OR($F1741="",$J1741="",$J1741="نامعتبر"),"",LEFT($J1741,4)&amp;MID($J1741,6,2)&amp;RIGHT($J1741,2)&amp;$N1741&amp;"|"&amp;"2"&amp;RIGHT("00000"&amp;1736,5))</f>
        <v/>
      </c>
      <c r="L1741">
        <f>IF($K1741="","",COUNTIFS(LdgSellerA,$F1741,LdgKeyA,"&lt;"&amp;$K1741)+COUNTIFS(LdgSellerB,$F1741,LdgKeyB,"&lt;"&amp;$K1741)+1)</f>
        <v/>
      </c>
      <c r="M1741">
        <f>IF($L1741="","",$F1741&amp;"|"&amp;RIGHT("000000"&amp;$L1741,6))</f>
        <v/>
      </c>
      <c r="N1741">
        <f>IF($F1741="","",IF(Sync!$AF1741="","0000",IF(AND(ISNUMBER(Sync!$AF1741),Sync!$AF1741&gt;=0,Sync!$AF1741&lt;1),RIGHT("00"&amp;HOUR(Sync!$AF1741),2)&amp;RIGHT("00"&amp;MINUTE(Sync!$AF1741),2),IFERROR(RIGHT("00"&amp;VALUE(LEFT(Sync!$AF1741,FIND(":",Sync!$AF1741)-1)),2)&amp;RIGHT("00"&amp;VALUE(MID(Sync!$AF1741,FIND(":",Sync!$AF1741)+1,2)),2),"0000"))))</f>
        <v/>
      </c>
    </row>
    <row r="1742">
      <c r="A1742">
        <f>IF(OR(Calc!$E1746="",Calc!$E1746="نامعتبر",Calc!$G1746=""),"",Calc!$G1746)</f>
        <v/>
      </c>
      <c r="B1742">
        <f>IF($A1742="","",LEFT(Calc!$E1746,4)&amp;MID(Calc!$E1746,6,2)&amp;RIGHT(Calc!$E1746,2)&amp;Calc!$Q1746&amp;"|"&amp;"1"&amp;RIGHT("00000"&amp;1737,5))</f>
        <v/>
      </c>
      <c r="C1742">
        <f>IF($B1742="","",COUNTIFS(LdgSellerA,$A1742,LdgKeyA,"&lt;"&amp;$B1742)+COUNTIFS(LdgSellerB,$A1742,LdgKeyB,"&lt;"&amp;$B1742)+1)</f>
        <v/>
      </c>
      <c r="D1742">
        <f>IF($C1742="","",$A1742&amp;"|"&amp;RIGHT("000000"&amp;$C1742,6))</f>
        <v/>
      </c>
      <c r="F1742">
        <f>IF(Sync!$AH1742="","",IF(LEFT(UPPER(TRIM(Sync!$AH1742)),2)="SL",UPPER(TRIM(Sync!$AH1742)),""))</f>
        <v/>
      </c>
      <c r="G1742">
        <f>IF($F1742="","",IF(Sync!$AE1742="","",IF(ISNUMBER(Sync!$AE1742),IF(AND(Sync!$AE1742&gt;=10000101,Sync!$AE1742&lt;=99991231),INT(Sync!$AE1742/10000),""),IFERROR(VALUE(TRIM(LEFT(Sync!$AE1742,FIND("/",Sync!$AE1742)-1))),""))))</f>
        <v/>
      </c>
      <c r="H1742">
        <f>IF(OR($F1742="",$G1742=""),"",IF(ISNUMBER(Sync!$AE1742),INT(MOD(Sync!$AE1742,10000)/100),IFERROR(VALUE(TRIM(LEFT(MID(Sync!$AE1742,FIND("/",Sync!$AE1742)+1,20),FIND("/",MID(Sync!$AE1742,FIND("/",Sync!$AE1742)+1,20))-1))),"")))</f>
        <v/>
      </c>
      <c r="I1742">
        <f>IF(OR($F1742="",$G1742=""),"",IF(ISNUMBER(Sync!$AE1742),MOD(Sync!$AE1742,100),IFERROR(VALUE(TRIM(MID(MID(Sync!$AE1742,FIND("/",Sync!$AE1742)+1,20),FIND("/",MID(Sync!$AE1742,FIND("/",Sync!$AE1742)+1,20))+1,20))),"")))</f>
        <v/>
      </c>
      <c r="J1742">
        <f>IF($F1742="","",IF(OR($G1742="",$H1742="",$I1742="",$G1742&lt;1300,$G1742&gt;1500,$H1742&lt;1,$H1742&gt;12,$I1742&lt;1,$I1742&gt;31),"نامعتبر",RIGHT("0000"&amp;$G1742,4)&amp;"/"&amp;RIGHT("00"&amp;$H1742,2)&amp;"/"&amp;RIGHT("00"&amp;$I1742,2)))</f>
        <v/>
      </c>
      <c r="K1742">
        <f>IF(OR($F1742="",$J1742="",$J1742="نامعتبر"),"",LEFT($J1742,4)&amp;MID($J1742,6,2)&amp;RIGHT($J1742,2)&amp;$N1742&amp;"|"&amp;"2"&amp;RIGHT("00000"&amp;1737,5))</f>
        <v/>
      </c>
      <c r="L1742">
        <f>IF($K1742="","",COUNTIFS(LdgSellerA,$F1742,LdgKeyA,"&lt;"&amp;$K1742)+COUNTIFS(LdgSellerB,$F1742,LdgKeyB,"&lt;"&amp;$K1742)+1)</f>
        <v/>
      </c>
      <c r="M1742">
        <f>IF($L1742="","",$F1742&amp;"|"&amp;RIGHT("000000"&amp;$L1742,6))</f>
        <v/>
      </c>
      <c r="N1742">
        <f>IF($F1742="","",IF(Sync!$AF1742="","0000",IF(AND(ISNUMBER(Sync!$AF1742),Sync!$AF1742&gt;=0,Sync!$AF1742&lt;1),RIGHT("00"&amp;HOUR(Sync!$AF1742),2)&amp;RIGHT("00"&amp;MINUTE(Sync!$AF1742),2),IFERROR(RIGHT("00"&amp;VALUE(LEFT(Sync!$AF1742,FIND(":",Sync!$AF1742)-1)),2)&amp;RIGHT("00"&amp;VALUE(MID(Sync!$AF1742,FIND(":",Sync!$AF1742)+1,2)),2),"0000"))))</f>
        <v/>
      </c>
    </row>
    <row r="1743">
      <c r="A1743">
        <f>IF(OR(Calc!$E1747="",Calc!$E1747="نامعتبر",Calc!$G1747=""),"",Calc!$G1747)</f>
        <v/>
      </c>
      <c r="B1743">
        <f>IF($A1743="","",LEFT(Calc!$E1747,4)&amp;MID(Calc!$E1747,6,2)&amp;RIGHT(Calc!$E1747,2)&amp;Calc!$Q1747&amp;"|"&amp;"1"&amp;RIGHT("00000"&amp;1738,5))</f>
        <v/>
      </c>
      <c r="C1743">
        <f>IF($B1743="","",COUNTIFS(LdgSellerA,$A1743,LdgKeyA,"&lt;"&amp;$B1743)+COUNTIFS(LdgSellerB,$A1743,LdgKeyB,"&lt;"&amp;$B1743)+1)</f>
        <v/>
      </c>
      <c r="D1743">
        <f>IF($C1743="","",$A1743&amp;"|"&amp;RIGHT("000000"&amp;$C1743,6))</f>
        <v/>
      </c>
      <c r="F1743">
        <f>IF(Sync!$AH1743="","",IF(LEFT(UPPER(TRIM(Sync!$AH1743)),2)="SL",UPPER(TRIM(Sync!$AH1743)),""))</f>
        <v/>
      </c>
      <c r="G1743">
        <f>IF($F1743="","",IF(Sync!$AE1743="","",IF(ISNUMBER(Sync!$AE1743),IF(AND(Sync!$AE1743&gt;=10000101,Sync!$AE1743&lt;=99991231),INT(Sync!$AE1743/10000),""),IFERROR(VALUE(TRIM(LEFT(Sync!$AE1743,FIND("/",Sync!$AE1743)-1))),""))))</f>
        <v/>
      </c>
      <c r="H1743">
        <f>IF(OR($F1743="",$G1743=""),"",IF(ISNUMBER(Sync!$AE1743),INT(MOD(Sync!$AE1743,10000)/100),IFERROR(VALUE(TRIM(LEFT(MID(Sync!$AE1743,FIND("/",Sync!$AE1743)+1,20),FIND("/",MID(Sync!$AE1743,FIND("/",Sync!$AE1743)+1,20))-1))),"")))</f>
        <v/>
      </c>
      <c r="I1743">
        <f>IF(OR($F1743="",$G1743=""),"",IF(ISNUMBER(Sync!$AE1743),MOD(Sync!$AE1743,100),IFERROR(VALUE(TRIM(MID(MID(Sync!$AE1743,FIND("/",Sync!$AE1743)+1,20),FIND("/",MID(Sync!$AE1743,FIND("/",Sync!$AE1743)+1,20))+1,20))),"")))</f>
        <v/>
      </c>
      <c r="J1743">
        <f>IF($F1743="","",IF(OR($G1743="",$H1743="",$I1743="",$G1743&lt;1300,$G1743&gt;1500,$H1743&lt;1,$H1743&gt;12,$I1743&lt;1,$I1743&gt;31),"نامعتبر",RIGHT("0000"&amp;$G1743,4)&amp;"/"&amp;RIGHT("00"&amp;$H1743,2)&amp;"/"&amp;RIGHT("00"&amp;$I1743,2)))</f>
        <v/>
      </c>
      <c r="K1743">
        <f>IF(OR($F1743="",$J1743="",$J1743="نامعتبر"),"",LEFT($J1743,4)&amp;MID($J1743,6,2)&amp;RIGHT($J1743,2)&amp;$N1743&amp;"|"&amp;"2"&amp;RIGHT("00000"&amp;1738,5))</f>
        <v/>
      </c>
      <c r="L1743">
        <f>IF($K1743="","",COUNTIFS(LdgSellerA,$F1743,LdgKeyA,"&lt;"&amp;$K1743)+COUNTIFS(LdgSellerB,$F1743,LdgKeyB,"&lt;"&amp;$K1743)+1)</f>
        <v/>
      </c>
      <c r="M1743">
        <f>IF($L1743="","",$F1743&amp;"|"&amp;RIGHT("000000"&amp;$L1743,6))</f>
        <v/>
      </c>
      <c r="N1743">
        <f>IF($F1743="","",IF(Sync!$AF1743="","0000",IF(AND(ISNUMBER(Sync!$AF1743),Sync!$AF1743&gt;=0,Sync!$AF1743&lt;1),RIGHT("00"&amp;HOUR(Sync!$AF1743),2)&amp;RIGHT("00"&amp;MINUTE(Sync!$AF1743),2),IFERROR(RIGHT("00"&amp;VALUE(LEFT(Sync!$AF1743,FIND(":",Sync!$AF1743)-1)),2)&amp;RIGHT("00"&amp;VALUE(MID(Sync!$AF1743,FIND(":",Sync!$AF1743)+1,2)),2),"0000"))))</f>
        <v/>
      </c>
    </row>
    <row r="1744">
      <c r="A1744">
        <f>IF(OR(Calc!$E1748="",Calc!$E1748="نامعتبر",Calc!$G1748=""),"",Calc!$G1748)</f>
        <v/>
      </c>
      <c r="B1744">
        <f>IF($A1744="","",LEFT(Calc!$E1748,4)&amp;MID(Calc!$E1748,6,2)&amp;RIGHT(Calc!$E1748,2)&amp;Calc!$Q1748&amp;"|"&amp;"1"&amp;RIGHT("00000"&amp;1739,5))</f>
        <v/>
      </c>
      <c r="C1744">
        <f>IF($B1744="","",COUNTIFS(LdgSellerA,$A1744,LdgKeyA,"&lt;"&amp;$B1744)+COUNTIFS(LdgSellerB,$A1744,LdgKeyB,"&lt;"&amp;$B1744)+1)</f>
        <v/>
      </c>
      <c r="D1744">
        <f>IF($C1744="","",$A1744&amp;"|"&amp;RIGHT("000000"&amp;$C1744,6))</f>
        <v/>
      </c>
      <c r="F1744">
        <f>IF(Sync!$AH1744="","",IF(LEFT(UPPER(TRIM(Sync!$AH1744)),2)="SL",UPPER(TRIM(Sync!$AH1744)),""))</f>
        <v/>
      </c>
      <c r="G1744">
        <f>IF($F1744="","",IF(Sync!$AE1744="","",IF(ISNUMBER(Sync!$AE1744),IF(AND(Sync!$AE1744&gt;=10000101,Sync!$AE1744&lt;=99991231),INT(Sync!$AE1744/10000),""),IFERROR(VALUE(TRIM(LEFT(Sync!$AE1744,FIND("/",Sync!$AE1744)-1))),""))))</f>
        <v/>
      </c>
      <c r="H1744">
        <f>IF(OR($F1744="",$G1744=""),"",IF(ISNUMBER(Sync!$AE1744),INT(MOD(Sync!$AE1744,10000)/100),IFERROR(VALUE(TRIM(LEFT(MID(Sync!$AE1744,FIND("/",Sync!$AE1744)+1,20),FIND("/",MID(Sync!$AE1744,FIND("/",Sync!$AE1744)+1,20))-1))),"")))</f>
        <v/>
      </c>
      <c r="I1744">
        <f>IF(OR($F1744="",$G1744=""),"",IF(ISNUMBER(Sync!$AE1744),MOD(Sync!$AE1744,100),IFERROR(VALUE(TRIM(MID(MID(Sync!$AE1744,FIND("/",Sync!$AE1744)+1,20),FIND("/",MID(Sync!$AE1744,FIND("/",Sync!$AE1744)+1,20))+1,20))),"")))</f>
        <v/>
      </c>
      <c r="J1744">
        <f>IF($F1744="","",IF(OR($G1744="",$H1744="",$I1744="",$G1744&lt;1300,$G1744&gt;1500,$H1744&lt;1,$H1744&gt;12,$I1744&lt;1,$I1744&gt;31),"نامعتبر",RIGHT("0000"&amp;$G1744,4)&amp;"/"&amp;RIGHT("00"&amp;$H1744,2)&amp;"/"&amp;RIGHT("00"&amp;$I1744,2)))</f>
        <v/>
      </c>
      <c r="K1744">
        <f>IF(OR($F1744="",$J1744="",$J1744="نامعتبر"),"",LEFT($J1744,4)&amp;MID($J1744,6,2)&amp;RIGHT($J1744,2)&amp;$N1744&amp;"|"&amp;"2"&amp;RIGHT("00000"&amp;1739,5))</f>
        <v/>
      </c>
      <c r="L1744">
        <f>IF($K1744="","",COUNTIFS(LdgSellerA,$F1744,LdgKeyA,"&lt;"&amp;$K1744)+COUNTIFS(LdgSellerB,$F1744,LdgKeyB,"&lt;"&amp;$K1744)+1)</f>
        <v/>
      </c>
      <c r="M1744">
        <f>IF($L1744="","",$F1744&amp;"|"&amp;RIGHT("000000"&amp;$L1744,6))</f>
        <v/>
      </c>
      <c r="N1744">
        <f>IF($F1744="","",IF(Sync!$AF1744="","0000",IF(AND(ISNUMBER(Sync!$AF1744),Sync!$AF1744&gt;=0,Sync!$AF1744&lt;1),RIGHT("00"&amp;HOUR(Sync!$AF1744),2)&amp;RIGHT("00"&amp;MINUTE(Sync!$AF1744),2),IFERROR(RIGHT("00"&amp;VALUE(LEFT(Sync!$AF1744,FIND(":",Sync!$AF1744)-1)),2)&amp;RIGHT("00"&amp;VALUE(MID(Sync!$AF1744,FIND(":",Sync!$AF1744)+1,2)),2),"0000"))))</f>
        <v/>
      </c>
    </row>
    <row r="1745">
      <c r="A1745">
        <f>IF(OR(Calc!$E1749="",Calc!$E1749="نامعتبر",Calc!$G1749=""),"",Calc!$G1749)</f>
        <v/>
      </c>
      <c r="B1745">
        <f>IF($A1745="","",LEFT(Calc!$E1749,4)&amp;MID(Calc!$E1749,6,2)&amp;RIGHT(Calc!$E1749,2)&amp;Calc!$Q1749&amp;"|"&amp;"1"&amp;RIGHT("00000"&amp;1740,5))</f>
        <v/>
      </c>
      <c r="C1745">
        <f>IF($B1745="","",COUNTIFS(LdgSellerA,$A1745,LdgKeyA,"&lt;"&amp;$B1745)+COUNTIFS(LdgSellerB,$A1745,LdgKeyB,"&lt;"&amp;$B1745)+1)</f>
        <v/>
      </c>
      <c r="D1745">
        <f>IF($C1745="","",$A1745&amp;"|"&amp;RIGHT("000000"&amp;$C1745,6))</f>
        <v/>
      </c>
      <c r="F1745">
        <f>IF(Sync!$AH1745="","",IF(LEFT(UPPER(TRIM(Sync!$AH1745)),2)="SL",UPPER(TRIM(Sync!$AH1745)),""))</f>
        <v/>
      </c>
      <c r="G1745">
        <f>IF($F1745="","",IF(Sync!$AE1745="","",IF(ISNUMBER(Sync!$AE1745),IF(AND(Sync!$AE1745&gt;=10000101,Sync!$AE1745&lt;=99991231),INT(Sync!$AE1745/10000),""),IFERROR(VALUE(TRIM(LEFT(Sync!$AE1745,FIND("/",Sync!$AE1745)-1))),""))))</f>
        <v/>
      </c>
      <c r="H1745">
        <f>IF(OR($F1745="",$G1745=""),"",IF(ISNUMBER(Sync!$AE1745),INT(MOD(Sync!$AE1745,10000)/100),IFERROR(VALUE(TRIM(LEFT(MID(Sync!$AE1745,FIND("/",Sync!$AE1745)+1,20),FIND("/",MID(Sync!$AE1745,FIND("/",Sync!$AE1745)+1,20))-1))),"")))</f>
        <v/>
      </c>
      <c r="I1745">
        <f>IF(OR($F1745="",$G1745=""),"",IF(ISNUMBER(Sync!$AE1745),MOD(Sync!$AE1745,100),IFERROR(VALUE(TRIM(MID(MID(Sync!$AE1745,FIND("/",Sync!$AE1745)+1,20),FIND("/",MID(Sync!$AE1745,FIND("/",Sync!$AE1745)+1,20))+1,20))),"")))</f>
        <v/>
      </c>
      <c r="J1745">
        <f>IF($F1745="","",IF(OR($G1745="",$H1745="",$I1745="",$G1745&lt;1300,$G1745&gt;1500,$H1745&lt;1,$H1745&gt;12,$I1745&lt;1,$I1745&gt;31),"نامعتبر",RIGHT("0000"&amp;$G1745,4)&amp;"/"&amp;RIGHT("00"&amp;$H1745,2)&amp;"/"&amp;RIGHT("00"&amp;$I1745,2)))</f>
        <v/>
      </c>
      <c r="K1745">
        <f>IF(OR($F1745="",$J1745="",$J1745="نامعتبر"),"",LEFT($J1745,4)&amp;MID($J1745,6,2)&amp;RIGHT($J1745,2)&amp;$N1745&amp;"|"&amp;"2"&amp;RIGHT("00000"&amp;1740,5))</f>
        <v/>
      </c>
      <c r="L1745">
        <f>IF($K1745="","",COUNTIFS(LdgSellerA,$F1745,LdgKeyA,"&lt;"&amp;$K1745)+COUNTIFS(LdgSellerB,$F1745,LdgKeyB,"&lt;"&amp;$K1745)+1)</f>
        <v/>
      </c>
      <c r="M1745">
        <f>IF($L1745="","",$F1745&amp;"|"&amp;RIGHT("000000"&amp;$L1745,6))</f>
        <v/>
      </c>
      <c r="N1745">
        <f>IF($F1745="","",IF(Sync!$AF1745="","0000",IF(AND(ISNUMBER(Sync!$AF1745),Sync!$AF1745&gt;=0,Sync!$AF1745&lt;1),RIGHT("00"&amp;HOUR(Sync!$AF1745),2)&amp;RIGHT("00"&amp;MINUTE(Sync!$AF1745),2),IFERROR(RIGHT("00"&amp;VALUE(LEFT(Sync!$AF1745,FIND(":",Sync!$AF1745)-1)),2)&amp;RIGHT("00"&amp;VALUE(MID(Sync!$AF1745,FIND(":",Sync!$AF1745)+1,2)),2),"0000"))))</f>
        <v/>
      </c>
    </row>
    <row r="1746">
      <c r="A1746">
        <f>IF(OR(Calc!$E1750="",Calc!$E1750="نامعتبر",Calc!$G1750=""),"",Calc!$G1750)</f>
        <v/>
      </c>
      <c r="B1746">
        <f>IF($A1746="","",LEFT(Calc!$E1750,4)&amp;MID(Calc!$E1750,6,2)&amp;RIGHT(Calc!$E1750,2)&amp;Calc!$Q1750&amp;"|"&amp;"1"&amp;RIGHT("00000"&amp;1741,5))</f>
        <v/>
      </c>
      <c r="C1746">
        <f>IF($B1746="","",COUNTIFS(LdgSellerA,$A1746,LdgKeyA,"&lt;"&amp;$B1746)+COUNTIFS(LdgSellerB,$A1746,LdgKeyB,"&lt;"&amp;$B1746)+1)</f>
        <v/>
      </c>
      <c r="D1746">
        <f>IF($C1746="","",$A1746&amp;"|"&amp;RIGHT("000000"&amp;$C1746,6))</f>
        <v/>
      </c>
      <c r="F1746">
        <f>IF(Sync!$AH1746="","",IF(LEFT(UPPER(TRIM(Sync!$AH1746)),2)="SL",UPPER(TRIM(Sync!$AH1746)),""))</f>
        <v/>
      </c>
      <c r="G1746">
        <f>IF($F1746="","",IF(Sync!$AE1746="","",IF(ISNUMBER(Sync!$AE1746),IF(AND(Sync!$AE1746&gt;=10000101,Sync!$AE1746&lt;=99991231),INT(Sync!$AE1746/10000),""),IFERROR(VALUE(TRIM(LEFT(Sync!$AE1746,FIND("/",Sync!$AE1746)-1))),""))))</f>
        <v/>
      </c>
      <c r="H1746">
        <f>IF(OR($F1746="",$G1746=""),"",IF(ISNUMBER(Sync!$AE1746),INT(MOD(Sync!$AE1746,10000)/100),IFERROR(VALUE(TRIM(LEFT(MID(Sync!$AE1746,FIND("/",Sync!$AE1746)+1,20),FIND("/",MID(Sync!$AE1746,FIND("/",Sync!$AE1746)+1,20))-1))),"")))</f>
        <v/>
      </c>
      <c r="I1746">
        <f>IF(OR($F1746="",$G1746=""),"",IF(ISNUMBER(Sync!$AE1746),MOD(Sync!$AE1746,100),IFERROR(VALUE(TRIM(MID(MID(Sync!$AE1746,FIND("/",Sync!$AE1746)+1,20),FIND("/",MID(Sync!$AE1746,FIND("/",Sync!$AE1746)+1,20))+1,20))),"")))</f>
        <v/>
      </c>
      <c r="J1746">
        <f>IF($F1746="","",IF(OR($G1746="",$H1746="",$I1746="",$G1746&lt;1300,$G1746&gt;1500,$H1746&lt;1,$H1746&gt;12,$I1746&lt;1,$I1746&gt;31),"نامعتبر",RIGHT("0000"&amp;$G1746,4)&amp;"/"&amp;RIGHT("00"&amp;$H1746,2)&amp;"/"&amp;RIGHT("00"&amp;$I1746,2)))</f>
        <v/>
      </c>
      <c r="K1746">
        <f>IF(OR($F1746="",$J1746="",$J1746="نامعتبر"),"",LEFT($J1746,4)&amp;MID($J1746,6,2)&amp;RIGHT($J1746,2)&amp;$N1746&amp;"|"&amp;"2"&amp;RIGHT("00000"&amp;1741,5))</f>
        <v/>
      </c>
      <c r="L1746">
        <f>IF($K1746="","",COUNTIFS(LdgSellerA,$F1746,LdgKeyA,"&lt;"&amp;$K1746)+COUNTIFS(LdgSellerB,$F1746,LdgKeyB,"&lt;"&amp;$K1746)+1)</f>
        <v/>
      </c>
      <c r="M1746">
        <f>IF($L1746="","",$F1746&amp;"|"&amp;RIGHT("000000"&amp;$L1746,6))</f>
        <v/>
      </c>
      <c r="N1746">
        <f>IF($F1746="","",IF(Sync!$AF1746="","0000",IF(AND(ISNUMBER(Sync!$AF1746),Sync!$AF1746&gt;=0,Sync!$AF1746&lt;1),RIGHT("00"&amp;HOUR(Sync!$AF1746),2)&amp;RIGHT("00"&amp;MINUTE(Sync!$AF1746),2),IFERROR(RIGHT("00"&amp;VALUE(LEFT(Sync!$AF1746,FIND(":",Sync!$AF1746)-1)),2)&amp;RIGHT("00"&amp;VALUE(MID(Sync!$AF1746,FIND(":",Sync!$AF1746)+1,2)),2),"0000"))))</f>
        <v/>
      </c>
    </row>
    <row r="1747">
      <c r="A1747">
        <f>IF(OR(Calc!$E1751="",Calc!$E1751="نامعتبر",Calc!$G1751=""),"",Calc!$G1751)</f>
        <v/>
      </c>
      <c r="B1747">
        <f>IF($A1747="","",LEFT(Calc!$E1751,4)&amp;MID(Calc!$E1751,6,2)&amp;RIGHT(Calc!$E1751,2)&amp;Calc!$Q1751&amp;"|"&amp;"1"&amp;RIGHT("00000"&amp;1742,5))</f>
        <v/>
      </c>
      <c r="C1747">
        <f>IF($B1747="","",COUNTIFS(LdgSellerA,$A1747,LdgKeyA,"&lt;"&amp;$B1747)+COUNTIFS(LdgSellerB,$A1747,LdgKeyB,"&lt;"&amp;$B1747)+1)</f>
        <v/>
      </c>
      <c r="D1747">
        <f>IF($C1747="","",$A1747&amp;"|"&amp;RIGHT("000000"&amp;$C1747,6))</f>
        <v/>
      </c>
      <c r="F1747">
        <f>IF(Sync!$AH1747="","",IF(LEFT(UPPER(TRIM(Sync!$AH1747)),2)="SL",UPPER(TRIM(Sync!$AH1747)),""))</f>
        <v/>
      </c>
      <c r="G1747">
        <f>IF($F1747="","",IF(Sync!$AE1747="","",IF(ISNUMBER(Sync!$AE1747),IF(AND(Sync!$AE1747&gt;=10000101,Sync!$AE1747&lt;=99991231),INT(Sync!$AE1747/10000),""),IFERROR(VALUE(TRIM(LEFT(Sync!$AE1747,FIND("/",Sync!$AE1747)-1))),""))))</f>
        <v/>
      </c>
      <c r="H1747">
        <f>IF(OR($F1747="",$G1747=""),"",IF(ISNUMBER(Sync!$AE1747),INT(MOD(Sync!$AE1747,10000)/100),IFERROR(VALUE(TRIM(LEFT(MID(Sync!$AE1747,FIND("/",Sync!$AE1747)+1,20),FIND("/",MID(Sync!$AE1747,FIND("/",Sync!$AE1747)+1,20))-1))),"")))</f>
        <v/>
      </c>
      <c r="I1747">
        <f>IF(OR($F1747="",$G1747=""),"",IF(ISNUMBER(Sync!$AE1747),MOD(Sync!$AE1747,100),IFERROR(VALUE(TRIM(MID(MID(Sync!$AE1747,FIND("/",Sync!$AE1747)+1,20),FIND("/",MID(Sync!$AE1747,FIND("/",Sync!$AE1747)+1,20))+1,20))),"")))</f>
        <v/>
      </c>
      <c r="J1747">
        <f>IF($F1747="","",IF(OR($G1747="",$H1747="",$I1747="",$G1747&lt;1300,$G1747&gt;1500,$H1747&lt;1,$H1747&gt;12,$I1747&lt;1,$I1747&gt;31),"نامعتبر",RIGHT("0000"&amp;$G1747,4)&amp;"/"&amp;RIGHT("00"&amp;$H1747,2)&amp;"/"&amp;RIGHT("00"&amp;$I1747,2)))</f>
        <v/>
      </c>
      <c r="K1747">
        <f>IF(OR($F1747="",$J1747="",$J1747="نامعتبر"),"",LEFT($J1747,4)&amp;MID($J1747,6,2)&amp;RIGHT($J1747,2)&amp;$N1747&amp;"|"&amp;"2"&amp;RIGHT("00000"&amp;1742,5))</f>
        <v/>
      </c>
      <c r="L1747">
        <f>IF($K1747="","",COUNTIFS(LdgSellerA,$F1747,LdgKeyA,"&lt;"&amp;$K1747)+COUNTIFS(LdgSellerB,$F1747,LdgKeyB,"&lt;"&amp;$K1747)+1)</f>
        <v/>
      </c>
      <c r="M1747">
        <f>IF($L1747="","",$F1747&amp;"|"&amp;RIGHT("000000"&amp;$L1747,6))</f>
        <v/>
      </c>
      <c r="N1747">
        <f>IF($F1747="","",IF(Sync!$AF1747="","0000",IF(AND(ISNUMBER(Sync!$AF1747),Sync!$AF1747&gt;=0,Sync!$AF1747&lt;1),RIGHT("00"&amp;HOUR(Sync!$AF1747),2)&amp;RIGHT("00"&amp;MINUTE(Sync!$AF1747),2),IFERROR(RIGHT("00"&amp;VALUE(LEFT(Sync!$AF1747,FIND(":",Sync!$AF1747)-1)),2)&amp;RIGHT("00"&amp;VALUE(MID(Sync!$AF1747,FIND(":",Sync!$AF1747)+1,2)),2),"0000"))))</f>
        <v/>
      </c>
    </row>
    <row r="1748">
      <c r="A1748">
        <f>IF(OR(Calc!$E1752="",Calc!$E1752="نامعتبر",Calc!$G1752=""),"",Calc!$G1752)</f>
        <v/>
      </c>
      <c r="B1748">
        <f>IF($A1748="","",LEFT(Calc!$E1752,4)&amp;MID(Calc!$E1752,6,2)&amp;RIGHT(Calc!$E1752,2)&amp;Calc!$Q1752&amp;"|"&amp;"1"&amp;RIGHT("00000"&amp;1743,5))</f>
        <v/>
      </c>
      <c r="C1748">
        <f>IF($B1748="","",COUNTIFS(LdgSellerA,$A1748,LdgKeyA,"&lt;"&amp;$B1748)+COUNTIFS(LdgSellerB,$A1748,LdgKeyB,"&lt;"&amp;$B1748)+1)</f>
        <v/>
      </c>
      <c r="D1748">
        <f>IF($C1748="","",$A1748&amp;"|"&amp;RIGHT("000000"&amp;$C1748,6))</f>
        <v/>
      </c>
      <c r="F1748">
        <f>IF(Sync!$AH1748="","",IF(LEFT(UPPER(TRIM(Sync!$AH1748)),2)="SL",UPPER(TRIM(Sync!$AH1748)),""))</f>
        <v/>
      </c>
      <c r="G1748">
        <f>IF($F1748="","",IF(Sync!$AE1748="","",IF(ISNUMBER(Sync!$AE1748),IF(AND(Sync!$AE1748&gt;=10000101,Sync!$AE1748&lt;=99991231),INT(Sync!$AE1748/10000),""),IFERROR(VALUE(TRIM(LEFT(Sync!$AE1748,FIND("/",Sync!$AE1748)-1))),""))))</f>
        <v/>
      </c>
      <c r="H1748">
        <f>IF(OR($F1748="",$G1748=""),"",IF(ISNUMBER(Sync!$AE1748),INT(MOD(Sync!$AE1748,10000)/100),IFERROR(VALUE(TRIM(LEFT(MID(Sync!$AE1748,FIND("/",Sync!$AE1748)+1,20),FIND("/",MID(Sync!$AE1748,FIND("/",Sync!$AE1748)+1,20))-1))),"")))</f>
        <v/>
      </c>
      <c r="I1748">
        <f>IF(OR($F1748="",$G1748=""),"",IF(ISNUMBER(Sync!$AE1748),MOD(Sync!$AE1748,100),IFERROR(VALUE(TRIM(MID(MID(Sync!$AE1748,FIND("/",Sync!$AE1748)+1,20),FIND("/",MID(Sync!$AE1748,FIND("/",Sync!$AE1748)+1,20))+1,20))),"")))</f>
        <v/>
      </c>
      <c r="J1748">
        <f>IF($F1748="","",IF(OR($G1748="",$H1748="",$I1748="",$G1748&lt;1300,$G1748&gt;1500,$H1748&lt;1,$H1748&gt;12,$I1748&lt;1,$I1748&gt;31),"نامعتبر",RIGHT("0000"&amp;$G1748,4)&amp;"/"&amp;RIGHT("00"&amp;$H1748,2)&amp;"/"&amp;RIGHT("00"&amp;$I1748,2)))</f>
        <v/>
      </c>
      <c r="K1748">
        <f>IF(OR($F1748="",$J1748="",$J1748="نامعتبر"),"",LEFT($J1748,4)&amp;MID($J1748,6,2)&amp;RIGHT($J1748,2)&amp;$N1748&amp;"|"&amp;"2"&amp;RIGHT("00000"&amp;1743,5))</f>
        <v/>
      </c>
      <c r="L1748">
        <f>IF($K1748="","",COUNTIFS(LdgSellerA,$F1748,LdgKeyA,"&lt;"&amp;$K1748)+COUNTIFS(LdgSellerB,$F1748,LdgKeyB,"&lt;"&amp;$K1748)+1)</f>
        <v/>
      </c>
      <c r="M1748">
        <f>IF($L1748="","",$F1748&amp;"|"&amp;RIGHT("000000"&amp;$L1748,6))</f>
        <v/>
      </c>
      <c r="N1748">
        <f>IF($F1748="","",IF(Sync!$AF1748="","0000",IF(AND(ISNUMBER(Sync!$AF1748),Sync!$AF1748&gt;=0,Sync!$AF1748&lt;1),RIGHT("00"&amp;HOUR(Sync!$AF1748),2)&amp;RIGHT("00"&amp;MINUTE(Sync!$AF1748),2),IFERROR(RIGHT("00"&amp;VALUE(LEFT(Sync!$AF1748,FIND(":",Sync!$AF1748)-1)),2)&amp;RIGHT("00"&amp;VALUE(MID(Sync!$AF1748,FIND(":",Sync!$AF1748)+1,2)),2),"0000"))))</f>
        <v/>
      </c>
    </row>
    <row r="1749">
      <c r="A1749">
        <f>IF(OR(Calc!$E1753="",Calc!$E1753="نامعتبر",Calc!$G1753=""),"",Calc!$G1753)</f>
        <v/>
      </c>
      <c r="B1749">
        <f>IF($A1749="","",LEFT(Calc!$E1753,4)&amp;MID(Calc!$E1753,6,2)&amp;RIGHT(Calc!$E1753,2)&amp;Calc!$Q1753&amp;"|"&amp;"1"&amp;RIGHT("00000"&amp;1744,5))</f>
        <v/>
      </c>
      <c r="C1749">
        <f>IF($B1749="","",COUNTIFS(LdgSellerA,$A1749,LdgKeyA,"&lt;"&amp;$B1749)+COUNTIFS(LdgSellerB,$A1749,LdgKeyB,"&lt;"&amp;$B1749)+1)</f>
        <v/>
      </c>
      <c r="D1749">
        <f>IF($C1749="","",$A1749&amp;"|"&amp;RIGHT("000000"&amp;$C1749,6))</f>
        <v/>
      </c>
      <c r="F1749">
        <f>IF(Sync!$AH1749="","",IF(LEFT(UPPER(TRIM(Sync!$AH1749)),2)="SL",UPPER(TRIM(Sync!$AH1749)),""))</f>
        <v/>
      </c>
      <c r="G1749">
        <f>IF($F1749="","",IF(Sync!$AE1749="","",IF(ISNUMBER(Sync!$AE1749),IF(AND(Sync!$AE1749&gt;=10000101,Sync!$AE1749&lt;=99991231),INT(Sync!$AE1749/10000),""),IFERROR(VALUE(TRIM(LEFT(Sync!$AE1749,FIND("/",Sync!$AE1749)-1))),""))))</f>
        <v/>
      </c>
      <c r="H1749">
        <f>IF(OR($F1749="",$G1749=""),"",IF(ISNUMBER(Sync!$AE1749),INT(MOD(Sync!$AE1749,10000)/100),IFERROR(VALUE(TRIM(LEFT(MID(Sync!$AE1749,FIND("/",Sync!$AE1749)+1,20),FIND("/",MID(Sync!$AE1749,FIND("/",Sync!$AE1749)+1,20))-1))),"")))</f>
        <v/>
      </c>
      <c r="I1749">
        <f>IF(OR($F1749="",$G1749=""),"",IF(ISNUMBER(Sync!$AE1749),MOD(Sync!$AE1749,100),IFERROR(VALUE(TRIM(MID(MID(Sync!$AE1749,FIND("/",Sync!$AE1749)+1,20),FIND("/",MID(Sync!$AE1749,FIND("/",Sync!$AE1749)+1,20))+1,20))),"")))</f>
        <v/>
      </c>
      <c r="J1749">
        <f>IF($F1749="","",IF(OR($G1749="",$H1749="",$I1749="",$G1749&lt;1300,$G1749&gt;1500,$H1749&lt;1,$H1749&gt;12,$I1749&lt;1,$I1749&gt;31),"نامعتبر",RIGHT("0000"&amp;$G1749,4)&amp;"/"&amp;RIGHT("00"&amp;$H1749,2)&amp;"/"&amp;RIGHT("00"&amp;$I1749,2)))</f>
        <v/>
      </c>
      <c r="K1749">
        <f>IF(OR($F1749="",$J1749="",$J1749="نامعتبر"),"",LEFT($J1749,4)&amp;MID($J1749,6,2)&amp;RIGHT($J1749,2)&amp;$N1749&amp;"|"&amp;"2"&amp;RIGHT("00000"&amp;1744,5))</f>
        <v/>
      </c>
      <c r="L1749">
        <f>IF($K1749="","",COUNTIFS(LdgSellerA,$F1749,LdgKeyA,"&lt;"&amp;$K1749)+COUNTIFS(LdgSellerB,$F1749,LdgKeyB,"&lt;"&amp;$K1749)+1)</f>
        <v/>
      </c>
      <c r="M1749">
        <f>IF($L1749="","",$F1749&amp;"|"&amp;RIGHT("000000"&amp;$L1749,6))</f>
        <v/>
      </c>
      <c r="N1749">
        <f>IF($F1749="","",IF(Sync!$AF1749="","0000",IF(AND(ISNUMBER(Sync!$AF1749),Sync!$AF1749&gt;=0,Sync!$AF1749&lt;1),RIGHT("00"&amp;HOUR(Sync!$AF1749),2)&amp;RIGHT("00"&amp;MINUTE(Sync!$AF1749),2),IFERROR(RIGHT("00"&amp;VALUE(LEFT(Sync!$AF1749,FIND(":",Sync!$AF1749)-1)),2)&amp;RIGHT("00"&amp;VALUE(MID(Sync!$AF1749,FIND(":",Sync!$AF1749)+1,2)),2),"0000"))))</f>
        <v/>
      </c>
    </row>
    <row r="1750">
      <c r="A1750">
        <f>IF(OR(Calc!$E1754="",Calc!$E1754="نامعتبر",Calc!$G1754=""),"",Calc!$G1754)</f>
        <v/>
      </c>
      <c r="B1750">
        <f>IF($A1750="","",LEFT(Calc!$E1754,4)&amp;MID(Calc!$E1754,6,2)&amp;RIGHT(Calc!$E1754,2)&amp;Calc!$Q1754&amp;"|"&amp;"1"&amp;RIGHT("00000"&amp;1745,5))</f>
        <v/>
      </c>
      <c r="C1750">
        <f>IF($B1750="","",COUNTIFS(LdgSellerA,$A1750,LdgKeyA,"&lt;"&amp;$B1750)+COUNTIFS(LdgSellerB,$A1750,LdgKeyB,"&lt;"&amp;$B1750)+1)</f>
        <v/>
      </c>
      <c r="D1750">
        <f>IF($C1750="","",$A1750&amp;"|"&amp;RIGHT("000000"&amp;$C1750,6))</f>
        <v/>
      </c>
      <c r="F1750">
        <f>IF(Sync!$AH1750="","",IF(LEFT(UPPER(TRIM(Sync!$AH1750)),2)="SL",UPPER(TRIM(Sync!$AH1750)),""))</f>
        <v/>
      </c>
      <c r="G1750">
        <f>IF($F1750="","",IF(Sync!$AE1750="","",IF(ISNUMBER(Sync!$AE1750),IF(AND(Sync!$AE1750&gt;=10000101,Sync!$AE1750&lt;=99991231),INT(Sync!$AE1750/10000),""),IFERROR(VALUE(TRIM(LEFT(Sync!$AE1750,FIND("/",Sync!$AE1750)-1))),""))))</f>
        <v/>
      </c>
      <c r="H1750">
        <f>IF(OR($F1750="",$G1750=""),"",IF(ISNUMBER(Sync!$AE1750),INT(MOD(Sync!$AE1750,10000)/100),IFERROR(VALUE(TRIM(LEFT(MID(Sync!$AE1750,FIND("/",Sync!$AE1750)+1,20),FIND("/",MID(Sync!$AE1750,FIND("/",Sync!$AE1750)+1,20))-1))),"")))</f>
        <v/>
      </c>
      <c r="I1750">
        <f>IF(OR($F1750="",$G1750=""),"",IF(ISNUMBER(Sync!$AE1750),MOD(Sync!$AE1750,100),IFERROR(VALUE(TRIM(MID(MID(Sync!$AE1750,FIND("/",Sync!$AE1750)+1,20),FIND("/",MID(Sync!$AE1750,FIND("/",Sync!$AE1750)+1,20))+1,20))),"")))</f>
        <v/>
      </c>
      <c r="J1750">
        <f>IF($F1750="","",IF(OR($G1750="",$H1750="",$I1750="",$G1750&lt;1300,$G1750&gt;1500,$H1750&lt;1,$H1750&gt;12,$I1750&lt;1,$I1750&gt;31),"نامعتبر",RIGHT("0000"&amp;$G1750,4)&amp;"/"&amp;RIGHT("00"&amp;$H1750,2)&amp;"/"&amp;RIGHT("00"&amp;$I1750,2)))</f>
        <v/>
      </c>
      <c r="K1750">
        <f>IF(OR($F1750="",$J1750="",$J1750="نامعتبر"),"",LEFT($J1750,4)&amp;MID($J1750,6,2)&amp;RIGHT($J1750,2)&amp;$N1750&amp;"|"&amp;"2"&amp;RIGHT("00000"&amp;1745,5))</f>
        <v/>
      </c>
      <c r="L1750">
        <f>IF($K1750="","",COUNTIFS(LdgSellerA,$F1750,LdgKeyA,"&lt;"&amp;$K1750)+COUNTIFS(LdgSellerB,$F1750,LdgKeyB,"&lt;"&amp;$K1750)+1)</f>
        <v/>
      </c>
      <c r="M1750">
        <f>IF($L1750="","",$F1750&amp;"|"&amp;RIGHT("000000"&amp;$L1750,6))</f>
        <v/>
      </c>
      <c r="N1750">
        <f>IF($F1750="","",IF(Sync!$AF1750="","0000",IF(AND(ISNUMBER(Sync!$AF1750),Sync!$AF1750&gt;=0,Sync!$AF1750&lt;1),RIGHT("00"&amp;HOUR(Sync!$AF1750),2)&amp;RIGHT("00"&amp;MINUTE(Sync!$AF1750),2),IFERROR(RIGHT("00"&amp;VALUE(LEFT(Sync!$AF1750,FIND(":",Sync!$AF1750)-1)),2)&amp;RIGHT("00"&amp;VALUE(MID(Sync!$AF1750,FIND(":",Sync!$AF1750)+1,2)),2),"0000"))))</f>
        <v/>
      </c>
    </row>
    <row r="1751">
      <c r="A1751">
        <f>IF(OR(Calc!$E1755="",Calc!$E1755="نامعتبر",Calc!$G1755=""),"",Calc!$G1755)</f>
        <v/>
      </c>
      <c r="B1751">
        <f>IF($A1751="","",LEFT(Calc!$E1755,4)&amp;MID(Calc!$E1755,6,2)&amp;RIGHT(Calc!$E1755,2)&amp;Calc!$Q1755&amp;"|"&amp;"1"&amp;RIGHT("00000"&amp;1746,5))</f>
        <v/>
      </c>
      <c r="C1751">
        <f>IF($B1751="","",COUNTIFS(LdgSellerA,$A1751,LdgKeyA,"&lt;"&amp;$B1751)+COUNTIFS(LdgSellerB,$A1751,LdgKeyB,"&lt;"&amp;$B1751)+1)</f>
        <v/>
      </c>
      <c r="D1751">
        <f>IF($C1751="","",$A1751&amp;"|"&amp;RIGHT("000000"&amp;$C1751,6))</f>
        <v/>
      </c>
      <c r="F1751">
        <f>IF(Sync!$AH1751="","",IF(LEFT(UPPER(TRIM(Sync!$AH1751)),2)="SL",UPPER(TRIM(Sync!$AH1751)),""))</f>
        <v/>
      </c>
      <c r="G1751">
        <f>IF($F1751="","",IF(Sync!$AE1751="","",IF(ISNUMBER(Sync!$AE1751),IF(AND(Sync!$AE1751&gt;=10000101,Sync!$AE1751&lt;=99991231),INT(Sync!$AE1751/10000),""),IFERROR(VALUE(TRIM(LEFT(Sync!$AE1751,FIND("/",Sync!$AE1751)-1))),""))))</f>
        <v/>
      </c>
      <c r="H1751">
        <f>IF(OR($F1751="",$G1751=""),"",IF(ISNUMBER(Sync!$AE1751),INT(MOD(Sync!$AE1751,10000)/100),IFERROR(VALUE(TRIM(LEFT(MID(Sync!$AE1751,FIND("/",Sync!$AE1751)+1,20),FIND("/",MID(Sync!$AE1751,FIND("/",Sync!$AE1751)+1,20))-1))),"")))</f>
        <v/>
      </c>
      <c r="I1751">
        <f>IF(OR($F1751="",$G1751=""),"",IF(ISNUMBER(Sync!$AE1751),MOD(Sync!$AE1751,100),IFERROR(VALUE(TRIM(MID(MID(Sync!$AE1751,FIND("/",Sync!$AE1751)+1,20),FIND("/",MID(Sync!$AE1751,FIND("/",Sync!$AE1751)+1,20))+1,20))),"")))</f>
        <v/>
      </c>
      <c r="J1751">
        <f>IF($F1751="","",IF(OR($G1751="",$H1751="",$I1751="",$G1751&lt;1300,$G1751&gt;1500,$H1751&lt;1,$H1751&gt;12,$I1751&lt;1,$I1751&gt;31),"نامعتبر",RIGHT("0000"&amp;$G1751,4)&amp;"/"&amp;RIGHT("00"&amp;$H1751,2)&amp;"/"&amp;RIGHT("00"&amp;$I1751,2)))</f>
        <v/>
      </c>
      <c r="K1751">
        <f>IF(OR($F1751="",$J1751="",$J1751="نامعتبر"),"",LEFT($J1751,4)&amp;MID($J1751,6,2)&amp;RIGHT($J1751,2)&amp;$N1751&amp;"|"&amp;"2"&amp;RIGHT("00000"&amp;1746,5))</f>
        <v/>
      </c>
      <c r="L1751">
        <f>IF($K1751="","",COUNTIFS(LdgSellerA,$F1751,LdgKeyA,"&lt;"&amp;$K1751)+COUNTIFS(LdgSellerB,$F1751,LdgKeyB,"&lt;"&amp;$K1751)+1)</f>
        <v/>
      </c>
      <c r="M1751">
        <f>IF($L1751="","",$F1751&amp;"|"&amp;RIGHT("000000"&amp;$L1751,6))</f>
        <v/>
      </c>
      <c r="N1751">
        <f>IF($F1751="","",IF(Sync!$AF1751="","0000",IF(AND(ISNUMBER(Sync!$AF1751),Sync!$AF1751&gt;=0,Sync!$AF1751&lt;1),RIGHT("00"&amp;HOUR(Sync!$AF1751),2)&amp;RIGHT("00"&amp;MINUTE(Sync!$AF1751),2),IFERROR(RIGHT("00"&amp;VALUE(LEFT(Sync!$AF1751,FIND(":",Sync!$AF1751)-1)),2)&amp;RIGHT("00"&amp;VALUE(MID(Sync!$AF1751,FIND(":",Sync!$AF1751)+1,2)),2),"0000"))))</f>
        <v/>
      </c>
    </row>
    <row r="1752">
      <c r="A1752">
        <f>IF(OR(Calc!$E1756="",Calc!$E1756="نامعتبر",Calc!$G1756=""),"",Calc!$G1756)</f>
        <v/>
      </c>
      <c r="B1752">
        <f>IF($A1752="","",LEFT(Calc!$E1756,4)&amp;MID(Calc!$E1756,6,2)&amp;RIGHT(Calc!$E1756,2)&amp;Calc!$Q1756&amp;"|"&amp;"1"&amp;RIGHT("00000"&amp;1747,5))</f>
        <v/>
      </c>
      <c r="C1752">
        <f>IF($B1752="","",COUNTIFS(LdgSellerA,$A1752,LdgKeyA,"&lt;"&amp;$B1752)+COUNTIFS(LdgSellerB,$A1752,LdgKeyB,"&lt;"&amp;$B1752)+1)</f>
        <v/>
      </c>
      <c r="D1752">
        <f>IF($C1752="","",$A1752&amp;"|"&amp;RIGHT("000000"&amp;$C1752,6))</f>
        <v/>
      </c>
      <c r="F1752">
        <f>IF(Sync!$AH1752="","",IF(LEFT(UPPER(TRIM(Sync!$AH1752)),2)="SL",UPPER(TRIM(Sync!$AH1752)),""))</f>
        <v/>
      </c>
      <c r="G1752">
        <f>IF($F1752="","",IF(Sync!$AE1752="","",IF(ISNUMBER(Sync!$AE1752),IF(AND(Sync!$AE1752&gt;=10000101,Sync!$AE1752&lt;=99991231),INT(Sync!$AE1752/10000),""),IFERROR(VALUE(TRIM(LEFT(Sync!$AE1752,FIND("/",Sync!$AE1752)-1))),""))))</f>
        <v/>
      </c>
      <c r="H1752">
        <f>IF(OR($F1752="",$G1752=""),"",IF(ISNUMBER(Sync!$AE1752),INT(MOD(Sync!$AE1752,10000)/100),IFERROR(VALUE(TRIM(LEFT(MID(Sync!$AE1752,FIND("/",Sync!$AE1752)+1,20),FIND("/",MID(Sync!$AE1752,FIND("/",Sync!$AE1752)+1,20))-1))),"")))</f>
        <v/>
      </c>
      <c r="I1752">
        <f>IF(OR($F1752="",$G1752=""),"",IF(ISNUMBER(Sync!$AE1752),MOD(Sync!$AE1752,100),IFERROR(VALUE(TRIM(MID(MID(Sync!$AE1752,FIND("/",Sync!$AE1752)+1,20),FIND("/",MID(Sync!$AE1752,FIND("/",Sync!$AE1752)+1,20))+1,20))),"")))</f>
        <v/>
      </c>
      <c r="J1752">
        <f>IF($F1752="","",IF(OR($G1752="",$H1752="",$I1752="",$G1752&lt;1300,$G1752&gt;1500,$H1752&lt;1,$H1752&gt;12,$I1752&lt;1,$I1752&gt;31),"نامعتبر",RIGHT("0000"&amp;$G1752,4)&amp;"/"&amp;RIGHT("00"&amp;$H1752,2)&amp;"/"&amp;RIGHT("00"&amp;$I1752,2)))</f>
        <v/>
      </c>
      <c r="K1752">
        <f>IF(OR($F1752="",$J1752="",$J1752="نامعتبر"),"",LEFT($J1752,4)&amp;MID($J1752,6,2)&amp;RIGHT($J1752,2)&amp;$N1752&amp;"|"&amp;"2"&amp;RIGHT("00000"&amp;1747,5))</f>
        <v/>
      </c>
      <c r="L1752">
        <f>IF($K1752="","",COUNTIFS(LdgSellerA,$F1752,LdgKeyA,"&lt;"&amp;$K1752)+COUNTIFS(LdgSellerB,$F1752,LdgKeyB,"&lt;"&amp;$K1752)+1)</f>
        <v/>
      </c>
      <c r="M1752">
        <f>IF($L1752="","",$F1752&amp;"|"&amp;RIGHT("000000"&amp;$L1752,6))</f>
        <v/>
      </c>
      <c r="N1752">
        <f>IF($F1752="","",IF(Sync!$AF1752="","0000",IF(AND(ISNUMBER(Sync!$AF1752),Sync!$AF1752&gt;=0,Sync!$AF1752&lt;1),RIGHT("00"&amp;HOUR(Sync!$AF1752),2)&amp;RIGHT("00"&amp;MINUTE(Sync!$AF1752),2),IFERROR(RIGHT("00"&amp;VALUE(LEFT(Sync!$AF1752,FIND(":",Sync!$AF1752)-1)),2)&amp;RIGHT("00"&amp;VALUE(MID(Sync!$AF1752,FIND(":",Sync!$AF1752)+1,2)),2),"0000"))))</f>
        <v/>
      </c>
    </row>
    <row r="1753">
      <c r="A1753">
        <f>IF(OR(Calc!$E1757="",Calc!$E1757="نامعتبر",Calc!$G1757=""),"",Calc!$G1757)</f>
        <v/>
      </c>
      <c r="B1753">
        <f>IF($A1753="","",LEFT(Calc!$E1757,4)&amp;MID(Calc!$E1757,6,2)&amp;RIGHT(Calc!$E1757,2)&amp;Calc!$Q1757&amp;"|"&amp;"1"&amp;RIGHT("00000"&amp;1748,5))</f>
        <v/>
      </c>
      <c r="C1753">
        <f>IF($B1753="","",COUNTIFS(LdgSellerA,$A1753,LdgKeyA,"&lt;"&amp;$B1753)+COUNTIFS(LdgSellerB,$A1753,LdgKeyB,"&lt;"&amp;$B1753)+1)</f>
        <v/>
      </c>
      <c r="D1753">
        <f>IF($C1753="","",$A1753&amp;"|"&amp;RIGHT("000000"&amp;$C1753,6))</f>
        <v/>
      </c>
      <c r="F1753">
        <f>IF(Sync!$AH1753="","",IF(LEFT(UPPER(TRIM(Sync!$AH1753)),2)="SL",UPPER(TRIM(Sync!$AH1753)),""))</f>
        <v/>
      </c>
      <c r="G1753">
        <f>IF($F1753="","",IF(Sync!$AE1753="","",IF(ISNUMBER(Sync!$AE1753),IF(AND(Sync!$AE1753&gt;=10000101,Sync!$AE1753&lt;=99991231),INT(Sync!$AE1753/10000),""),IFERROR(VALUE(TRIM(LEFT(Sync!$AE1753,FIND("/",Sync!$AE1753)-1))),""))))</f>
        <v/>
      </c>
      <c r="H1753">
        <f>IF(OR($F1753="",$G1753=""),"",IF(ISNUMBER(Sync!$AE1753),INT(MOD(Sync!$AE1753,10000)/100),IFERROR(VALUE(TRIM(LEFT(MID(Sync!$AE1753,FIND("/",Sync!$AE1753)+1,20),FIND("/",MID(Sync!$AE1753,FIND("/",Sync!$AE1753)+1,20))-1))),"")))</f>
        <v/>
      </c>
      <c r="I1753">
        <f>IF(OR($F1753="",$G1753=""),"",IF(ISNUMBER(Sync!$AE1753),MOD(Sync!$AE1753,100),IFERROR(VALUE(TRIM(MID(MID(Sync!$AE1753,FIND("/",Sync!$AE1753)+1,20),FIND("/",MID(Sync!$AE1753,FIND("/",Sync!$AE1753)+1,20))+1,20))),"")))</f>
        <v/>
      </c>
      <c r="J1753">
        <f>IF($F1753="","",IF(OR($G1753="",$H1753="",$I1753="",$G1753&lt;1300,$G1753&gt;1500,$H1753&lt;1,$H1753&gt;12,$I1753&lt;1,$I1753&gt;31),"نامعتبر",RIGHT("0000"&amp;$G1753,4)&amp;"/"&amp;RIGHT("00"&amp;$H1753,2)&amp;"/"&amp;RIGHT("00"&amp;$I1753,2)))</f>
        <v/>
      </c>
      <c r="K1753">
        <f>IF(OR($F1753="",$J1753="",$J1753="نامعتبر"),"",LEFT($J1753,4)&amp;MID($J1753,6,2)&amp;RIGHT($J1753,2)&amp;$N1753&amp;"|"&amp;"2"&amp;RIGHT("00000"&amp;1748,5))</f>
        <v/>
      </c>
      <c r="L1753">
        <f>IF($K1753="","",COUNTIFS(LdgSellerA,$F1753,LdgKeyA,"&lt;"&amp;$K1753)+COUNTIFS(LdgSellerB,$F1753,LdgKeyB,"&lt;"&amp;$K1753)+1)</f>
        <v/>
      </c>
      <c r="M1753">
        <f>IF($L1753="","",$F1753&amp;"|"&amp;RIGHT("000000"&amp;$L1753,6))</f>
        <v/>
      </c>
      <c r="N1753">
        <f>IF($F1753="","",IF(Sync!$AF1753="","0000",IF(AND(ISNUMBER(Sync!$AF1753),Sync!$AF1753&gt;=0,Sync!$AF1753&lt;1),RIGHT("00"&amp;HOUR(Sync!$AF1753),2)&amp;RIGHT("00"&amp;MINUTE(Sync!$AF1753),2),IFERROR(RIGHT("00"&amp;VALUE(LEFT(Sync!$AF1753,FIND(":",Sync!$AF1753)-1)),2)&amp;RIGHT("00"&amp;VALUE(MID(Sync!$AF1753,FIND(":",Sync!$AF1753)+1,2)),2),"0000"))))</f>
        <v/>
      </c>
    </row>
    <row r="1754">
      <c r="A1754">
        <f>IF(OR(Calc!$E1758="",Calc!$E1758="نامعتبر",Calc!$G1758=""),"",Calc!$G1758)</f>
        <v/>
      </c>
      <c r="B1754">
        <f>IF($A1754="","",LEFT(Calc!$E1758,4)&amp;MID(Calc!$E1758,6,2)&amp;RIGHT(Calc!$E1758,2)&amp;Calc!$Q1758&amp;"|"&amp;"1"&amp;RIGHT("00000"&amp;1749,5))</f>
        <v/>
      </c>
      <c r="C1754">
        <f>IF($B1754="","",COUNTIFS(LdgSellerA,$A1754,LdgKeyA,"&lt;"&amp;$B1754)+COUNTIFS(LdgSellerB,$A1754,LdgKeyB,"&lt;"&amp;$B1754)+1)</f>
        <v/>
      </c>
      <c r="D1754">
        <f>IF($C1754="","",$A1754&amp;"|"&amp;RIGHT("000000"&amp;$C1754,6))</f>
        <v/>
      </c>
      <c r="F1754">
        <f>IF(Sync!$AH1754="","",IF(LEFT(UPPER(TRIM(Sync!$AH1754)),2)="SL",UPPER(TRIM(Sync!$AH1754)),""))</f>
        <v/>
      </c>
      <c r="G1754">
        <f>IF($F1754="","",IF(Sync!$AE1754="","",IF(ISNUMBER(Sync!$AE1754),IF(AND(Sync!$AE1754&gt;=10000101,Sync!$AE1754&lt;=99991231),INT(Sync!$AE1754/10000),""),IFERROR(VALUE(TRIM(LEFT(Sync!$AE1754,FIND("/",Sync!$AE1754)-1))),""))))</f>
        <v/>
      </c>
      <c r="H1754">
        <f>IF(OR($F1754="",$G1754=""),"",IF(ISNUMBER(Sync!$AE1754),INT(MOD(Sync!$AE1754,10000)/100),IFERROR(VALUE(TRIM(LEFT(MID(Sync!$AE1754,FIND("/",Sync!$AE1754)+1,20),FIND("/",MID(Sync!$AE1754,FIND("/",Sync!$AE1754)+1,20))-1))),"")))</f>
        <v/>
      </c>
      <c r="I1754">
        <f>IF(OR($F1754="",$G1754=""),"",IF(ISNUMBER(Sync!$AE1754),MOD(Sync!$AE1754,100),IFERROR(VALUE(TRIM(MID(MID(Sync!$AE1754,FIND("/",Sync!$AE1754)+1,20),FIND("/",MID(Sync!$AE1754,FIND("/",Sync!$AE1754)+1,20))+1,20))),"")))</f>
        <v/>
      </c>
      <c r="J1754">
        <f>IF($F1754="","",IF(OR($G1754="",$H1754="",$I1754="",$G1754&lt;1300,$G1754&gt;1500,$H1754&lt;1,$H1754&gt;12,$I1754&lt;1,$I1754&gt;31),"نامعتبر",RIGHT("0000"&amp;$G1754,4)&amp;"/"&amp;RIGHT("00"&amp;$H1754,2)&amp;"/"&amp;RIGHT("00"&amp;$I1754,2)))</f>
        <v/>
      </c>
      <c r="K1754">
        <f>IF(OR($F1754="",$J1754="",$J1754="نامعتبر"),"",LEFT($J1754,4)&amp;MID($J1754,6,2)&amp;RIGHT($J1754,2)&amp;$N1754&amp;"|"&amp;"2"&amp;RIGHT("00000"&amp;1749,5))</f>
        <v/>
      </c>
      <c r="L1754">
        <f>IF($K1754="","",COUNTIFS(LdgSellerA,$F1754,LdgKeyA,"&lt;"&amp;$K1754)+COUNTIFS(LdgSellerB,$F1754,LdgKeyB,"&lt;"&amp;$K1754)+1)</f>
        <v/>
      </c>
      <c r="M1754">
        <f>IF($L1754="","",$F1754&amp;"|"&amp;RIGHT("000000"&amp;$L1754,6))</f>
        <v/>
      </c>
      <c r="N1754">
        <f>IF($F1754="","",IF(Sync!$AF1754="","0000",IF(AND(ISNUMBER(Sync!$AF1754),Sync!$AF1754&gt;=0,Sync!$AF1754&lt;1),RIGHT("00"&amp;HOUR(Sync!$AF1754),2)&amp;RIGHT("00"&amp;MINUTE(Sync!$AF1754),2),IFERROR(RIGHT("00"&amp;VALUE(LEFT(Sync!$AF1754,FIND(":",Sync!$AF1754)-1)),2)&amp;RIGHT("00"&amp;VALUE(MID(Sync!$AF1754,FIND(":",Sync!$AF1754)+1,2)),2),"0000"))))</f>
        <v/>
      </c>
    </row>
    <row r="1755">
      <c r="A1755">
        <f>IF(OR(Calc!$E1759="",Calc!$E1759="نامعتبر",Calc!$G1759=""),"",Calc!$G1759)</f>
        <v/>
      </c>
      <c r="B1755">
        <f>IF($A1755="","",LEFT(Calc!$E1759,4)&amp;MID(Calc!$E1759,6,2)&amp;RIGHT(Calc!$E1759,2)&amp;Calc!$Q1759&amp;"|"&amp;"1"&amp;RIGHT("00000"&amp;1750,5))</f>
        <v/>
      </c>
      <c r="C1755">
        <f>IF($B1755="","",COUNTIFS(LdgSellerA,$A1755,LdgKeyA,"&lt;"&amp;$B1755)+COUNTIFS(LdgSellerB,$A1755,LdgKeyB,"&lt;"&amp;$B1755)+1)</f>
        <v/>
      </c>
      <c r="D1755">
        <f>IF($C1755="","",$A1755&amp;"|"&amp;RIGHT("000000"&amp;$C1755,6))</f>
        <v/>
      </c>
      <c r="F1755">
        <f>IF(Sync!$AH1755="","",IF(LEFT(UPPER(TRIM(Sync!$AH1755)),2)="SL",UPPER(TRIM(Sync!$AH1755)),""))</f>
        <v/>
      </c>
      <c r="G1755">
        <f>IF($F1755="","",IF(Sync!$AE1755="","",IF(ISNUMBER(Sync!$AE1755),IF(AND(Sync!$AE1755&gt;=10000101,Sync!$AE1755&lt;=99991231),INT(Sync!$AE1755/10000),""),IFERROR(VALUE(TRIM(LEFT(Sync!$AE1755,FIND("/",Sync!$AE1755)-1))),""))))</f>
        <v/>
      </c>
      <c r="H1755">
        <f>IF(OR($F1755="",$G1755=""),"",IF(ISNUMBER(Sync!$AE1755),INT(MOD(Sync!$AE1755,10000)/100),IFERROR(VALUE(TRIM(LEFT(MID(Sync!$AE1755,FIND("/",Sync!$AE1755)+1,20),FIND("/",MID(Sync!$AE1755,FIND("/",Sync!$AE1755)+1,20))-1))),"")))</f>
        <v/>
      </c>
      <c r="I1755">
        <f>IF(OR($F1755="",$G1755=""),"",IF(ISNUMBER(Sync!$AE1755),MOD(Sync!$AE1755,100),IFERROR(VALUE(TRIM(MID(MID(Sync!$AE1755,FIND("/",Sync!$AE1755)+1,20),FIND("/",MID(Sync!$AE1755,FIND("/",Sync!$AE1755)+1,20))+1,20))),"")))</f>
        <v/>
      </c>
      <c r="J1755">
        <f>IF($F1755="","",IF(OR($G1755="",$H1755="",$I1755="",$G1755&lt;1300,$G1755&gt;1500,$H1755&lt;1,$H1755&gt;12,$I1755&lt;1,$I1755&gt;31),"نامعتبر",RIGHT("0000"&amp;$G1755,4)&amp;"/"&amp;RIGHT("00"&amp;$H1755,2)&amp;"/"&amp;RIGHT("00"&amp;$I1755,2)))</f>
        <v/>
      </c>
      <c r="K1755">
        <f>IF(OR($F1755="",$J1755="",$J1755="نامعتبر"),"",LEFT($J1755,4)&amp;MID($J1755,6,2)&amp;RIGHT($J1755,2)&amp;$N1755&amp;"|"&amp;"2"&amp;RIGHT("00000"&amp;1750,5))</f>
        <v/>
      </c>
      <c r="L1755">
        <f>IF($K1755="","",COUNTIFS(LdgSellerA,$F1755,LdgKeyA,"&lt;"&amp;$K1755)+COUNTIFS(LdgSellerB,$F1755,LdgKeyB,"&lt;"&amp;$K1755)+1)</f>
        <v/>
      </c>
      <c r="M1755">
        <f>IF($L1755="","",$F1755&amp;"|"&amp;RIGHT("000000"&amp;$L1755,6))</f>
        <v/>
      </c>
      <c r="N1755">
        <f>IF($F1755="","",IF(Sync!$AF1755="","0000",IF(AND(ISNUMBER(Sync!$AF1755),Sync!$AF1755&gt;=0,Sync!$AF1755&lt;1),RIGHT("00"&amp;HOUR(Sync!$AF1755),2)&amp;RIGHT("00"&amp;MINUTE(Sync!$AF1755),2),IFERROR(RIGHT("00"&amp;VALUE(LEFT(Sync!$AF1755,FIND(":",Sync!$AF1755)-1)),2)&amp;RIGHT("00"&amp;VALUE(MID(Sync!$AF1755,FIND(":",Sync!$AF1755)+1,2)),2),"0000"))))</f>
        <v/>
      </c>
    </row>
    <row r="1756">
      <c r="A1756">
        <f>IF(OR(Calc!$E1760="",Calc!$E1760="نامعتبر",Calc!$G1760=""),"",Calc!$G1760)</f>
        <v/>
      </c>
      <c r="B1756">
        <f>IF($A1756="","",LEFT(Calc!$E1760,4)&amp;MID(Calc!$E1760,6,2)&amp;RIGHT(Calc!$E1760,2)&amp;Calc!$Q1760&amp;"|"&amp;"1"&amp;RIGHT("00000"&amp;1751,5))</f>
        <v/>
      </c>
      <c r="C1756">
        <f>IF($B1756="","",COUNTIFS(LdgSellerA,$A1756,LdgKeyA,"&lt;"&amp;$B1756)+COUNTIFS(LdgSellerB,$A1756,LdgKeyB,"&lt;"&amp;$B1756)+1)</f>
        <v/>
      </c>
      <c r="D1756">
        <f>IF($C1756="","",$A1756&amp;"|"&amp;RIGHT("000000"&amp;$C1756,6))</f>
        <v/>
      </c>
      <c r="F1756">
        <f>IF(Sync!$AH1756="","",IF(LEFT(UPPER(TRIM(Sync!$AH1756)),2)="SL",UPPER(TRIM(Sync!$AH1756)),""))</f>
        <v/>
      </c>
      <c r="G1756">
        <f>IF($F1756="","",IF(Sync!$AE1756="","",IF(ISNUMBER(Sync!$AE1756),IF(AND(Sync!$AE1756&gt;=10000101,Sync!$AE1756&lt;=99991231),INT(Sync!$AE1756/10000),""),IFERROR(VALUE(TRIM(LEFT(Sync!$AE1756,FIND("/",Sync!$AE1756)-1))),""))))</f>
        <v/>
      </c>
      <c r="H1756">
        <f>IF(OR($F1756="",$G1756=""),"",IF(ISNUMBER(Sync!$AE1756),INT(MOD(Sync!$AE1756,10000)/100),IFERROR(VALUE(TRIM(LEFT(MID(Sync!$AE1756,FIND("/",Sync!$AE1756)+1,20),FIND("/",MID(Sync!$AE1756,FIND("/",Sync!$AE1756)+1,20))-1))),"")))</f>
        <v/>
      </c>
      <c r="I1756">
        <f>IF(OR($F1756="",$G1756=""),"",IF(ISNUMBER(Sync!$AE1756),MOD(Sync!$AE1756,100),IFERROR(VALUE(TRIM(MID(MID(Sync!$AE1756,FIND("/",Sync!$AE1756)+1,20),FIND("/",MID(Sync!$AE1756,FIND("/",Sync!$AE1756)+1,20))+1,20))),"")))</f>
        <v/>
      </c>
      <c r="J1756">
        <f>IF($F1756="","",IF(OR($G1756="",$H1756="",$I1756="",$G1756&lt;1300,$G1756&gt;1500,$H1756&lt;1,$H1756&gt;12,$I1756&lt;1,$I1756&gt;31),"نامعتبر",RIGHT("0000"&amp;$G1756,4)&amp;"/"&amp;RIGHT("00"&amp;$H1756,2)&amp;"/"&amp;RIGHT("00"&amp;$I1756,2)))</f>
        <v/>
      </c>
      <c r="K1756">
        <f>IF(OR($F1756="",$J1756="",$J1756="نامعتبر"),"",LEFT($J1756,4)&amp;MID($J1756,6,2)&amp;RIGHT($J1756,2)&amp;$N1756&amp;"|"&amp;"2"&amp;RIGHT("00000"&amp;1751,5))</f>
        <v/>
      </c>
      <c r="L1756">
        <f>IF($K1756="","",COUNTIFS(LdgSellerA,$F1756,LdgKeyA,"&lt;"&amp;$K1756)+COUNTIFS(LdgSellerB,$F1756,LdgKeyB,"&lt;"&amp;$K1756)+1)</f>
        <v/>
      </c>
      <c r="M1756">
        <f>IF($L1756="","",$F1756&amp;"|"&amp;RIGHT("000000"&amp;$L1756,6))</f>
        <v/>
      </c>
      <c r="N1756">
        <f>IF($F1756="","",IF(Sync!$AF1756="","0000",IF(AND(ISNUMBER(Sync!$AF1756),Sync!$AF1756&gt;=0,Sync!$AF1756&lt;1),RIGHT("00"&amp;HOUR(Sync!$AF1756),2)&amp;RIGHT("00"&amp;MINUTE(Sync!$AF1756),2),IFERROR(RIGHT("00"&amp;VALUE(LEFT(Sync!$AF1756,FIND(":",Sync!$AF1756)-1)),2)&amp;RIGHT("00"&amp;VALUE(MID(Sync!$AF1756,FIND(":",Sync!$AF1756)+1,2)),2),"0000"))))</f>
        <v/>
      </c>
    </row>
    <row r="1757">
      <c r="A1757">
        <f>IF(OR(Calc!$E1761="",Calc!$E1761="نامعتبر",Calc!$G1761=""),"",Calc!$G1761)</f>
        <v/>
      </c>
      <c r="B1757">
        <f>IF($A1757="","",LEFT(Calc!$E1761,4)&amp;MID(Calc!$E1761,6,2)&amp;RIGHT(Calc!$E1761,2)&amp;Calc!$Q1761&amp;"|"&amp;"1"&amp;RIGHT("00000"&amp;1752,5))</f>
        <v/>
      </c>
      <c r="C1757">
        <f>IF($B1757="","",COUNTIFS(LdgSellerA,$A1757,LdgKeyA,"&lt;"&amp;$B1757)+COUNTIFS(LdgSellerB,$A1757,LdgKeyB,"&lt;"&amp;$B1757)+1)</f>
        <v/>
      </c>
      <c r="D1757">
        <f>IF($C1757="","",$A1757&amp;"|"&amp;RIGHT("000000"&amp;$C1757,6))</f>
        <v/>
      </c>
      <c r="F1757">
        <f>IF(Sync!$AH1757="","",IF(LEFT(UPPER(TRIM(Sync!$AH1757)),2)="SL",UPPER(TRIM(Sync!$AH1757)),""))</f>
        <v/>
      </c>
      <c r="G1757">
        <f>IF($F1757="","",IF(Sync!$AE1757="","",IF(ISNUMBER(Sync!$AE1757),IF(AND(Sync!$AE1757&gt;=10000101,Sync!$AE1757&lt;=99991231),INT(Sync!$AE1757/10000),""),IFERROR(VALUE(TRIM(LEFT(Sync!$AE1757,FIND("/",Sync!$AE1757)-1))),""))))</f>
        <v/>
      </c>
      <c r="H1757">
        <f>IF(OR($F1757="",$G1757=""),"",IF(ISNUMBER(Sync!$AE1757),INT(MOD(Sync!$AE1757,10000)/100),IFERROR(VALUE(TRIM(LEFT(MID(Sync!$AE1757,FIND("/",Sync!$AE1757)+1,20),FIND("/",MID(Sync!$AE1757,FIND("/",Sync!$AE1757)+1,20))-1))),"")))</f>
        <v/>
      </c>
      <c r="I1757">
        <f>IF(OR($F1757="",$G1757=""),"",IF(ISNUMBER(Sync!$AE1757),MOD(Sync!$AE1757,100),IFERROR(VALUE(TRIM(MID(MID(Sync!$AE1757,FIND("/",Sync!$AE1757)+1,20),FIND("/",MID(Sync!$AE1757,FIND("/",Sync!$AE1757)+1,20))+1,20))),"")))</f>
        <v/>
      </c>
      <c r="J1757">
        <f>IF($F1757="","",IF(OR($G1757="",$H1757="",$I1757="",$G1757&lt;1300,$G1757&gt;1500,$H1757&lt;1,$H1757&gt;12,$I1757&lt;1,$I1757&gt;31),"نامعتبر",RIGHT("0000"&amp;$G1757,4)&amp;"/"&amp;RIGHT("00"&amp;$H1757,2)&amp;"/"&amp;RIGHT("00"&amp;$I1757,2)))</f>
        <v/>
      </c>
      <c r="K1757">
        <f>IF(OR($F1757="",$J1757="",$J1757="نامعتبر"),"",LEFT($J1757,4)&amp;MID($J1757,6,2)&amp;RIGHT($J1757,2)&amp;$N1757&amp;"|"&amp;"2"&amp;RIGHT("00000"&amp;1752,5))</f>
        <v/>
      </c>
      <c r="L1757">
        <f>IF($K1757="","",COUNTIFS(LdgSellerA,$F1757,LdgKeyA,"&lt;"&amp;$K1757)+COUNTIFS(LdgSellerB,$F1757,LdgKeyB,"&lt;"&amp;$K1757)+1)</f>
        <v/>
      </c>
      <c r="M1757">
        <f>IF($L1757="","",$F1757&amp;"|"&amp;RIGHT("000000"&amp;$L1757,6))</f>
        <v/>
      </c>
      <c r="N1757">
        <f>IF($F1757="","",IF(Sync!$AF1757="","0000",IF(AND(ISNUMBER(Sync!$AF1757),Sync!$AF1757&gt;=0,Sync!$AF1757&lt;1),RIGHT("00"&amp;HOUR(Sync!$AF1757),2)&amp;RIGHT("00"&amp;MINUTE(Sync!$AF1757),2),IFERROR(RIGHT("00"&amp;VALUE(LEFT(Sync!$AF1757,FIND(":",Sync!$AF1757)-1)),2)&amp;RIGHT("00"&amp;VALUE(MID(Sync!$AF1757,FIND(":",Sync!$AF1757)+1,2)),2),"0000"))))</f>
        <v/>
      </c>
    </row>
    <row r="1758">
      <c r="A1758">
        <f>IF(OR(Calc!$E1762="",Calc!$E1762="نامعتبر",Calc!$G1762=""),"",Calc!$G1762)</f>
        <v/>
      </c>
      <c r="B1758">
        <f>IF($A1758="","",LEFT(Calc!$E1762,4)&amp;MID(Calc!$E1762,6,2)&amp;RIGHT(Calc!$E1762,2)&amp;Calc!$Q1762&amp;"|"&amp;"1"&amp;RIGHT("00000"&amp;1753,5))</f>
        <v/>
      </c>
      <c r="C1758">
        <f>IF($B1758="","",COUNTIFS(LdgSellerA,$A1758,LdgKeyA,"&lt;"&amp;$B1758)+COUNTIFS(LdgSellerB,$A1758,LdgKeyB,"&lt;"&amp;$B1758)+1)</f>
        <v/>
      </c>
      <c r="D1758">
        <f>IF($C1758="","",$A1758&amp;"|"&amp;RIGHT("000000"&amp;$C1758,6))</f>
        <v/>
      </c>
      <c r="F1758">
        <f>IF(Sync!$AH1758="","",IF(LEFT(UPPER(TRIM(Sync!$AH1758)),2)="SL",UPPER(TRIM(Sync!$AH1758)),""))</f>
        <v/>
      </c>
      <c r="G1758">
        <f>IF($F1758="","",IF(Sync!$AE1758="","",IF(ISNUMBER(Sync!$AE1758),IF(AND(Sync!$AE1758&gt;=10000101,Sync!$AE1758&lt;=99991231),INT(Sync!$AE1758/10000),""),IFERROR(VALUE(TRIM(LEFT(Sync!$AE1758,FIND("/",Sync!$AE1758)-1))),""))))</f>
        <v/>
      </c>
      <c r="H1758">
        <f>IF(OR($F1758="",$G1758=""),"",IF(ISNUMBER(Sync!$AE1758),INT(MOD(Sync!$AE1758,10000)/100),IFERROR(VALUE(TRIM(LEFT(MID(Sync!$AE1758,FIND("/",Sync!$AE1758)+1,20),FIND("/",MID(Sync!$AE1758,FIND("/",Sync!$AE1758)+1,20))-1))),"")))</f>
        <v/>
      </c>
      <c r="I1758">
        <f>IF(OR($F1758="",$G1758=""),"",IF(ISNUMBER(Sync!$AE1758),MOD(Sync!$AE1758,100),IFERROR(VALUE(TRIM(MID(MID(Sync!$AE1758,FIND("/",Sync!$AE1758)+1,20),FIND("/",MID(Sync!$AE1758,FIND("/",Sync!$AE1758)+1,20))+1,20))),"")))</f>
        <v/>
      </c>
      <c r="J1758">
        <f>IF($F1758="","",IF(OR($G1758="",$H1758="",$I1758="",$G1758&lt;1300,$G1758&gt;1500,$H1758&lt;1,$H1758&gt;12,$I1758&lt;1,$I1758&gt;31),"نامعتبر",RIGHT("0000"&amp;$G1758,4)&amp;"/"&amp;RIGHT("00"&amp;$H1758,2)&amp;"/"&amp;RIGHT("00"&amp;$I1758,2)))</f>
        <v/>
      </c>
      <c r="K1758">
        <f>IF(OR($F1758="",$J1758="",$J1758="نامعتبر"),"",LEFT($J1758,4)&amp;MID($J1758,6,2)&amp;RIGHT($J1758,2)&amp;$N1758&amp;"|"&amp;"2"&amp;RIGHT("00000"&amp;1753,5))</f>
        <v/>
      </c>
      <c r="L1758">
        <f>IF($K1758="","",COUNTIFS(LdgSellerA,$F1758,LdgKeyA,"&lt;"&amp;$K1758)+COUNTIFS(LdgSellerB,$F1758,LdgKeyB,"&lt;"&amp;$K1758)+1)</f>
        <v/>
      </c>
      <c r="M1758">
        <f>IF($L1758="","",$F1758&amp;"|"&amp;RIGHT("000000"&amp;$L1758,6))</f>
        <v/>
      </c>
      <c r="N1758">
        <f>IF($F1758="","",IF(Sync!$AF1758="","0000",IF(AND(ISNUMBER(Sync!$AF1758),Sync!$AF1758&gt;=0,Sync!$AF1758&lt;1),RIGHT("00"&amp;HOUR(Sync!$AF1758),2)&amp;RIGHT("00"&amp;MINUTE(Sync!$AF1758),2),IFERROR(RIGHT("00"&amp;VALUE(LEFT(Sync!$AF1758,FIND(":",Sync!$AF1758)-1)),2)&amp;RIGHT("00"&amp;VALUE(MID(Sync!$AF1758,FIND(":",Sync!$AF1758)+1,2)),2),"0000"))))</f>
        <v/>
      </c>
    </row>
    <row r="1759">
      <c r="A1759">
        <f>IF(OR(Calc!$E1763="",Calc!$E1763="نامعتبر",Calc!$G1763=""),"",Calc!$G1763)</f>
        <v/>
      </c>
      <c r="B1759">
        <f>IF($A1759="","",LEFT(Calc!$E1763,4)&amp;MID(Calc!$E1763,6,2)&amp;RIGHT(Calc!$E1763,2)&amp;Calc!$Q1763&amp;"|"&amp;"1"&amp;RIGHT("00000"&amp;1754,5))</f>
        <v/>
      </c>
      <c r="C1759">
        <f>IF($B1759="","",COUNTIFS(LdgSellerA,$A1759,LdgKeyA,"&lt;"&amp;$B1759)+COUNTIFS(LdgSellerB,$A1759,LdgKeyB,"&lt;"&amp;$B1759)+1)</f>
        <v/>
      </c>
      <c r="D1759">
        <f>IF($C1759="","",$A1759&amp;"|"&amp;RIGHT("000000"&amp;$C1759,6))</f>
        <v/>
      </c>
      <c r="F1759">
        <f>IF(Sync!$AH1759="","",IF(LEFT(UPPER(TRIM(Sync!$AH1759)),2)="SL",UPPER(TRIM(Sync!$AH1759)),""))</f>
        <v/>
      </c>
      <c r="G1759">
        <f>IF($F1759="","",IF(Sync!$AE1759="","",IF(ISNUMBER(Sync!$AE1759),IF(AND(Sync!$AE1759&gt;=10000101,Sync!$AE1759&lt;=99991231),INT(Sync!$AE1759/10000),""),IFERROR(VALUE(TRIM(LEFT(Sync!$AE1759,FIND("/",Sync!$AE1759)-1))),""))))</f>
        <v/>
      </c>
      <c r="H1759">
        <f>IF(OR($F1759="",$G1759=""),"",IF(ISNUMBER(Sync!$AE1759),INT(MOD(Sync!$AE1759,10000)/100),IFERROR(VALUE(TRIM(LEFT(MID(Sync!$AE1759,FIND("/",Sync!$AE1759)+1,20),FIND("/",MID(Sync!$AE1759,FIND("/",Sync!$AE1759)+1,20))-1))),"")))</f>
        <v/>
      </c>
      <c r="I1759">
        <f>IF(OR($F1759="",$G1759=""),"",IF(ISNUMBER(Sync!$AE1759),MOD(Sync!$AE1759,100),IFERROR(VALUE(TRIM(MID(MID(Sync!$AE1759,FIND("/",Sync!$AE1759)+1,20),FIND("/",MID(Sync!$AE1759,FIND("/",Sync!$AE1759)+1,20))+1,20))),"")))</f>
        <v/>
      </c>
      <c r="J1759">
        <f>IF($F1759="","",IF(OR($G1759="",$H1759="",$I1759="",$G1759&lt;1300,$G1759&gt;1500,$H1759&lt;1,$H1759&gt;12,$I1759&lt;1,$I1759&gt;31),"نامعتبر",RIGHT("0000"&amp;$G1759,4)&amp;"/"&amp;RIGHT("00"&amp;$H1759,2)&amp;"/"&amp;RIGHT("00"&amp;$I1759,2)))</f>
        <v/>
      </c>
      <c r="K1759">
        <f>IF(OR($F1759="",$J1759="",$J1759="نامعتبر"),"",LEFT($J1759,4)&amp;MID($J1759,6,2)&amp;RIGHT($J1759,2)&amp;$N1759&amp;"|"&amp;"2"&amp;RIGHT("00000"&amp;1754,5))</f>
        <v/>
      </c>
      <c r="L1759">
        <f>IF($K1759="","",COUNTIFS(LdgSellerA,$F1759,LdgKeyA,"&lt;"&amp;$K1759)+COUNTIFS(LdgSellerB,$F1759,LdgKeyB,"&lt;"&amp;$K1759)+1)</f>
        <v/>
      </c>
      <c r="M1759">
        <f>IF($L1759="","",$F1759&amp;"|"&amp;RIGHT("000000"&amp;$L1759,6))</f>
        <v/>
      </c>
      <c r="N1759">
        <f>IF($F1759="","",IF(Sync!$AF1759="","0000",IF(AND(ISNUMBER(Sync!$AF1759),Sync!$AF1759&gt;=0,Sync!$AF1759&lt;1),RIGHT("00"&amp;HOUR(Sync!$AF1759),2)&amp;RIGHT("00"&amp;MINUTE(Sync!$AF1759),2),IFERROR(RIGHT("00"&amp;VALUE(LEFT(Sync!$AF1759,FIND(":",Sync!$AF1759)-1)),2)&amp;RIGHT("00"&amp;VALUE(MID(Sync!$AF1759,FIND(":",Sync!$AF1759)+1,2)),2),"0000"))))</f>
        <v/>
      </c>
    </row>
    <row r="1760">
      <c r="A1760">
        <f>IF(OR(Calc!$E1764="",Calc!$E1764="نامعتبر",Calc!$G1764=""),"",Calc!$G1764)</f>
        <v/>
      </c>
      <c r="B1760">
        <f>IF($A1760="","",LEFT(Calc!$E1764,4)&amp;MID(Calc!$E1764,6,2)&amp;RIGHT(Calc!$E1764,2)&amp;Calc!$Q1764&amp;"|"&amp;"1"&amp;RIGHT("00000"&amp;1755,5))</f>
        <v/>
      </c>
      <c r="C1760">
        <f>IF($B1760="","",COUNTIFS(LdgSellerA,$A1760,LdgKeyA,"&lt;"&amp;$B1760)+COUNTIFS(LdgSellerB,$A1760,LdgKeyB,"&lt;"&amp;$B1760)+1)</f>
        <v/>
      </c>
      <c r="D1760">
        <f>IF($C1760="","",$A1760&amp;"|"&amp;RIGHT("000000"&amp;$C1760,6))</f>
        <v/>
      </c>
      <c r="F1760">
        <f>IF(Sync!$AH1760="","",IF(LEFT(UPPER(TRIM(Sync!$AH1760)),2)="SL",UPPER(TRIM(Sync!$AH1760)),""))</f>
        <v/>
      </c>
      <c r="G1760">
        <f>IF($F1760="","",IF(Sync!$AE1760="","",IF(ISNUMBER(Sync!$AE1760),IF(AND(Sync!$AE1760&gt;=10000101,Sync!$AE1760&lt;=99991231),INT(Sync!$AE1760/10000),""),IFERROR(VALUE(TRIM(LEFT(Sync!$AE1760,FIND("/",Sync!$AE1760)-1))),""))))</f>
        <v/>
      </c>
      <c r="H1760">
        <f>IF(OR($F1760="",$G1760=""),"",IF(ISNUMBER(Sync!$AE1760),INT(MOD(Sync!$AE1760,10000)/100),IFERROR(VALUE(TRIM(LEFT(MID(Sync!$AE1760,FIND("/",Sync!$AE1760)+1,20),FIND("/",MID(Sync!$AE1760,FIND("/",Sync!$AE1760)+1,20))-1))),"")))</f>
        <v/>
      </c>
      <c r="I1760">
        <f>IF(OR($F1760="",$G1760=""),"",IF(ISNUMBER(Sync!$AE1760),MOD(Sync!$AE1760,100),IFERROR(VALUE(TRIM(MID(MID(Sync!$AE1760,FIND("/",Sync!$AE1760)+1,20),FIND("/",MID(Sync!$AE1760,FIND("/",Sync!$AE1760)+1,20))+1,20))),"")))</f>
        <v/>
      </c>
      <c r="J1760">
        <f>IF($F1760="","",IF(OR($G1760="",$H1760="",$I1760="",$G1760&lt;1300,$G1760&gt;1500,$H1760&lt;1,$H1760&gt;12,$I1760&lt;1,$I1760&gt;31),"نامعتبر",RIGHT("0000"&amp;$G1760,4)&amp;"/"&amp;RIGHT("00"&amp;$H1760,2)&amp;"/"&amp;RIGHT("00"&amp;$I1760,2)))</f>
        <v/>
      </c>
      <c r="K1760">
        <f>IF(OR($F1760="",$J1760="",$J1760="نامعتبر"),"",LEFT($J1760,4)&amp;MID($J1760,6,2)&amp;RIGHT($J1760,2)&amp;$N1760&amp;"|"&amp;"2"&amp;RIGHT("00000"&amp;1755,5))</f>
        <v/>
      </c>
      <c r="L1760">
        <f>IF($K1760="","",COUNTIFS(LdgSellerA,$F1760,LdgKeyA,"&lt;"&amp;$K1760)+COUNTIFS(LdgSellerB,$F1760,LdgKeyB,"&lt;"&amp;$K1760)+1)</f>
        <v/>
      </c>
      <c r="M1760">
        <f>IF($L1760="","",$F1760&amp;"|"&amp;RIGHT("000000"&amp;$L1760,6))</f>
        <v/>
      </c>
      <c r="N1760">
        <f>IF($F1760="","",IF(Sync!$AF1760="","0000",IF(AND(ISNUMBER(Sync!$AF1760),Sync!$AF1760&gt;=0,Sync!$AF1760&lt;1),RIGHT("00"&amp;HOUR(Sync!$AF1760),2)&amp;RIGHT("00"&amp;MINUTE(Sync!$AF1760),2),IFERROR(RIGHT("00"&amp;VALUE(LEFT(Sync!$AF1760,FIND(":",Sync!$AF1760)-1)),2)&amp;RIGHT("00"&amp;VALUE(MID(Sync!$AF1760,FIND(":",Sync!$AF1760)+1,2)),2),"0000"))))</f>
        <v/>
      </c>
    </row>
    <row r="1761">
      <c r="A1761">
        <f>IF(OR(Calc!$E1765="",Calc!$E1765="نامعتبر",Calc!$G1765=""),"",Calc!$G1765)</f>
        <v/>
      </c>
      <c r="B1761">
        <f>IF($A1761="","",LEFT(Calc!$E1765,4)&amp;MID(Calc!$E1765,6,2)&amp;RIGHT(Calc!$E1765,2)&amp;Calc!$Q1765&amp;"|"&amp;"1"&amp;RIGHT("00000"&amp;1756,5))</f>
        <v/>
      </c>
      <c r="C1761">
        <f>IF($B1761="","",COUNTIFS(LdgSellerA,$A1761,LdgKeyA,"&lt;"&amp;$B1761)+COUNTIFS(LdgSellerB,$A1761,LdgKeyB,"&lt;"&amp;$B1761)+1)</f>
        <v/>
      </c>
      <c r="D1761">
        <f>IF($C1761="","",$A1761&amp;"|"&amp;RIGHT("000000"&amp;$C1761,6))</f>
        <v/>
      </c>
      <c r="F1761">
        <f>IF(Sync!$AH1761="","",IF(LEFT(UPPER(TRIM(Sync!$AH1761)),2)="SL",UPPER(TRIM(Sync!$AH1761)),""))</f>
        <v/>
      </c>
      <c r="G1761">
        <f>IF($F1761="","",IF(Sync!$AE1761="","",IF(ISNUMBER(Sync!$AE1761),IF(AND(Sync!$AE1761&gt;=10000101,Sync!$AE1761&lt;=99991231),INT(Sync!$AE1761/10000),""),IFERROR(VALUE(TRIM(LEFT(Sync!$AE1761,FIND("/",Sync!$AE1761)-1))),""))))</f>
        <v/>
      </c>
      <c r="H1761">
        <f>IF(OR($F1761="",$G1761=""),"",IF(ISNUMBER(Sync!$AE1761),INT(MOD(Sync!$AE1761,10000)/100),IFERROR(VALUE(TRIM(LEFT(MID(Sync!$AE1761,FIND("/",Sync!$AE1761)+1,20),FIND("/",MID(Sync!$AE1761,FIND("/",Sync!$AE1761)+1,20))-1))),"")))</f>
        <v/>
      </c>
      <c r="I1761">
        <f>IF(OR($F1761="",$G1761=""),"",IF(ISNUMBER(Sync!$AE1761),MOD(Sync!$AE1761,100),IFERROR(VALUE(TRIM(MID(MID(Sync!$AE1761,FIND("/",Sync!$AE1761)+1,20),FIND("/",MID(Sync!$AE1761,FIND("/",Sync!$AE1761)+1,20))+1,20))),"")))</f>
        <v/>
      </c>
      <c r="J1761">
        <f>IF($F1761="","",IF(OR($G1761="",$H1761="",$I1761="",$G1761&lt;1300,$G1761&gt;1500,$H1761&lt;1,$H1761&gt;12,$I1761&lt;1,$I1761&gt;31),"نامعتبر",RIGHT("0000"&amp;$G1761,4)&amp;"/"&amp;RIGHT("00"&amp;$H1761,2)&amp;"/"&amp;RIGHT("00"&amp;$I1761,2)))</f>
        <v/>
      </c>
      <c r="K1761">
        <f>IF(OR($F1761="",$J1761="",$J1761="نامعتبر"),"",LEFT($J1761,4)&amp;MID($J1761,6,2)&amp;RIGHT($J1761,2)&amp;$N1761&amp;"|"&amp;"2"&amp;RIGHT("00000"&amp;1756,5))</f>
        <v/>
      </c>
      <c r="L1761">
        <f>IF($K1761="","",COUNTIFS(LdgSellerA,$F1761,LdgKeyA,"&lt;"&amp;$K1761)+COUNTIFS(LdgSellerB,$F1761,LdgKeyB,"&lt;"&amp;$K1761)+1)</f>
        <v/>
      </c>
      <c r="M1761">
        <f>IF($L1761="","",$F1761&amp;"|"&amp;RIGHT("000000"&amp;$L1761,6))</f>
        <v/>
      </c>
      <c r="N1761">
        <f>IF($F1761="","",IF(Sync!$AF1761="","0000",IF(AND(ISNUMBER(Sync!$AF1761),Sync!$AF1761&gt;=0,Sync!$AF1761&lt;1),RIGHT("00"&amp;HOUR(Sync!$AF1761),2)&amp;RIGHT("00"&amp;MINUTE(Sync!$AF1761),2),IFERROR(RIGHT("00"&amp;VALUE(LEFT(Sync!$AF1761,FIND(":",Sync!$AF1761)-1)),2)&amp;RIGHT("00"&amp;VALUE(MID(Sync!$AF1761,FIND(":",Sync!$AF1761)+1,2)),2),"0000"))))</f>
        <v/>
      </c>
    </row>
    <row r="1762">
      <c r="A1762">
        <f>IF(OR(Calc!$E1766="",Calc!$E1766="نامعتبر",Calc!$G1766=""),"",Calc!$G1766)</f>
        <v/>
      </c>
      <c r="B1762">
        <f>IF($A1762="","",LEFT(Calc!$E1766,4)&amp;MID(Calc!$E1766,6,2)&amp;RIGHT(Calc!$E1766,2)&amp;Calc!$Q1766&amp;"|"&amp;"1"&amp;RIGHT("00000"&amp;1757,5))</f>
        <v/>
      </c>
      <c r="C1762">
        <f>IF($B1762="","",COUNTIFS(LdgSellerA,$A1762,LdgKeyA,"&lt;"&amp;$B1762)+COUNTIFS(LdgSellerB,$A1762,LdgKeyB,"&lt;"&amp;$B1762)+1)</f>
        <v/>
      </c>
      <c r="D1762">
        <f>IF($C1762="","",$A1762&amp;"|"&amp;RIGHT("000000"&amp;$C1762,6))</f>
        <v/>
      </c>
      <c r="F1762">
        <f>IF(Sync!$AH1762="","",IF(LEFT(UPPER(TRIM(Sync!$AH1762)),2)="SL",UPPER(TRIM(Sync!$AH1762)),""))</f>
        <v/>
      </c>
      <c r="G1762">
        <f>IF($F1762="","",IF(Sync!$AE1762="","",IF(ISNUMBER(Sync!$AE1762),IF(AND(Sync!$AE1762&gt;=10000101,Sync!$AE1762&lt;=99991231),INT(Sync!$AE1762/10000),""),IFERROR(VALUE(TRIM(LEFT(Sync!$AE1762,FIND("/",Sync!$AE1762)-1))),""))))</f>
        <v/>
      </c>
      <c r="H1762">
        <f>IF(OR($F1762="",$G1762=""),"",IF(ISNUMBER(Sync!$AE1762),INT(MOD(Sync!$AE1762,10000)/100),IFERROR(VALUE(TRIM(LEFT(MID(Sync!$AE1762,FIND("/",Sync!$AE1762)+1,20),FIND("/",MID(Sync!$AE1762,FIND("/",Sync!$AE1762)+1,20))-1))),"")))</f>
        <v/>
      </c>
      <c r="I1762">
        <f>IF(OR($F1762="",$G1762=""),"",IF(ISNUMBER(Sync!$AE1762),MOD(Sync!$AE1762,100),IFERROR(VALUE(TRIM(MID(MID(Sync!$AE1762,FIND("/",Sync!$AE1762)+1,20),FIND("/",MID(Sync!$AE1762,FIND("/",Sync!$AE1762)+1,20))+1,20))),"")))</f>
        <v/>
      </c>
      <c r="J1762">
        <f>IF($F1762="","",IF(OR($G1762="",$H1762="",$I1762="",$G1762&lt;1300,$G1762&gt;1500,$H1762&lt;1,$H1762&gt;12,$I1762&lt;1,$I1762&gt;31),"نامعتبر",RIGHT("0000"&amp;$G1762,4)&amp;"/"&amp;RIGHT("00"&amp;$H1762,2)&amp;"/"&amp;RIGHT("00"&amp;$I1762,2)))</f>
        <v/>
      </c>
      <c r="K1762">
        <f>IF(OR($F1762="",$J1762="",$J1762="نامعتبر"),"",LEFT($J1762,4)&amp;MID($J1762,6,2)&amp;RIGHT($J1762,2)&amp;$N1762&amp;"|"&amp;"2"&amp;RIGHT("00000"&amp;1757,5))</f>
        <v/>
      </c>
      <c r="L1762">
        <f>IF($K1762="","",COUNTIFS(LdgSellerA,$F1762,LdgKeyA,"&lt;"&amp;$K1762)+COUNTIFS(LdgSellerB,$F1762,LdgKeyB,"&lt;"&amp;$K1762)+1)</f>
        <v/>
      </c>
      <c r="M1762">
        <f>IF($L1762="","",$F1762&amp;"|"&amp;RIGHT("000000"&amp;$L1762,6))</f>
        <v/>
      </c>
      <c r="N1762">
        <f>IF($F1762="","",IF(Sync!$AF1762="","0000",IF(AND(ISNUMBER(Sync!$AF1762),Sync!$AF1762&gt;=0,Sync!$AF1762&lt;1),RIGHT("00"&amp;HOUR(Sync!$AF1762),2)&amp;RIGHT("00"&amp;MINUTE(Sync!$AF1762),2),IFERROR(RIGHT("00"&amp;VALUE(LEFT(Sync!$AF1762,FIND(":",Sync!$AF1762)-1)),2)&amp;RIGHT("00"&amp;VALUE(MID(Sync!$AF1762,FIND(":",Sync!$AF1762)+1,2)),2),"0000"))))</f>
        <v/>
      </c>
    </row>
    <row r="1763">
      <c r="A1763">
        <f>IF(OR(Calc!$E1767="",Calc!$E1767="نامعتبر",Calc!$G1767=""),"",Calc!$G1767)</f>
        <v/>
      </c>
      <c r="B1763">
        <f>IF($A1763="","",LEFT(Calc!$E1767,4)&amp;MID(Calc!$E1767,6,2)&amp;RIGHT(Calc!$E1767,2)&amp;Calc!$Q1767&amp;"|"&amp;"1"&amp;RIGHT("00000"&amp;1758,5))</f>
        <v/>
      </c>
      <c r="C1763">
        <f>IF($B1763="","",COUNTIFS(LdgSellerA,$A1763,LdgKeyA,"&lt;"&amp;$B1763)+COUNTIFS(LdgSellerB,$A1763,LdgKeyB,"&lt;"&amp;$B1763)+1)</f>
        <v/>
      </c>
      <c r="D1763">
        <f>IF($C1763="","",$A1763&amp;"|"&amp;RIGHT("000000"&amp;$C1763,6))</f>
        <v/>
      </c>
      <c r="F1763">
        <f>IF(Sync!$AH1763="","",IF(LEFT(UPPER(TRIM(Sync!$AH1763)),2)="SL",UPPER(TRIM(Sync!$AH1763)),""))</f>
        <v/>
      </c>
      <c r="G1763">
        <f>IF($F1763="","",IF(Sync!$AE1763="","",IF(ISNUMBER(Sync!$AE1763),IF(AND(Sync!$AE1763&gt;=10000101,Sync!$AE1763&lt;=99991231),INT(Sync!$AE1763/10000),""),IFERROR(VALUE(TRIM(LEFT(Sync!$AE1763,FIND("/",Sync!$AE1763)-1))),""))))</f>
        <v/>
      </c>
      <c r="H1763">
        <f>IF(OR($F1763="",$G1763=""),"",IF(ISNUMBER(Sync!$AE1763),INT(MOD(Sync!$AE1763,10000)/100),IFERROR(VALUE(TRIM(LEFT(MID(Sync!$AE1763,FIND("/",Sync!$AE1763)+1,20),FIND("/",MID(Sync!$AE1763,FIND("/",Sync!$AE1763)+1,20))-1))),"")))</f>
        <v/>
      </c>
      <c r="I1763">
        <f>IF(OR($F1763="",$G1763=""),"",IF(ISNUMBER(Sync!$AE1763),MOD(Sync!$AE1763,100),IFERROR(VALUE(TRIM(MID(MID(Sync!$AE1763,FIND("/",Sync!$AE1763)+1,20),FIND("/",MID(Sync!$AE1763,FIND("/",Sync!$AE1763)+1,20))+1,20))),"")))</f>
        <v/>
      </c>
      <c r="J1763">
        <f>IF($F1763="","",IF(OR($G1763="",$H1763="",$I1763="",$G1763&lt;1300,$G1763&gt;1500,$H1763&lt;1,$H1763&gt;12,$I1763&lt;1,$I1763&gt;31),"نامعتبر",RIGHT("0000"&amp;$G1763,4)&amp;"/"&amp;RIGHT("00"&amp;$H1763,2)&amp;"/"&amp;RIGHT("00"&amp;$I1763,2)))</f>
        <v/>
      </c>
      <c r="K1763">
        <f>IF(OR($F1763="",$J1763="",$J1763="نامعتبر"),"",LEFT($J1763,4)&amp;MID($J1763,6,2)&amp;RIGHT($J1763,2)&amp;$N1763&amp;"|"&amp;"2"&amp;RIGHT("00000"&amp;1758,5))</f>
        <v/>
      </c>
      <c r="L1763">
        <f>IF($K1763="","",COUNTIFS(LdgSellerA,$F1763,LdgKeyA,"&lt;"&amp;$K1763)+COUNTIFS(LdgSellerB,$F1763,LdgKeyB,"&lt;"&amp;$K1763)+1)</f>
        <v/>
      </c>
      <c r="M1763">
        <f>IF($L1763="","",$F1763&amp;"|"&amp;RIGHT("000000"&amp;$L1763,6))</f>
        <v/>
      </c>
      <c r="N1763">
        <f>IF($F1763="","",IF(Sync!$AF1763="","0000",IF(AND(ISNUMBER(Sync!$AF1763),Sync!$AF1763&gt;=0,Sync!$AF1763&lt;1),RIGHT("00"&amp;HOUR(Sync!$AF1763),2)&amp;RIGHT("00"&amp;MINUTE(Sync!$AF1763),2),IFERROR(RIGHT("00"&amp;VALUE(LEFT(Sync!$AF1763,FIND(":",Sync!$AF1763)-1)),2)&amp;RIGHT("00"&amp;VALUE(MID(Sync!$AF1763,FIND(":",Sync!$AF1763)+1,2)),2),"0000"))))</f>
        <v/>
      </c>
    </row>
    <row r="1764">
      <c r="A1764">
        <f>IF(OR(Calc!$E1768="",Calc!$E1768="نامعتبر",Calc!$G1768=""),"",Calc!$G1768)</f>
        <v/>
      </c>
      <c r="B1764">
        <f>IF($A1764="","",LEFT(Calc!$E1768,4)&amp;MID(Calc!$E1768,6,2)&amp;RIGHT(Calc!$E1768,2)&amp;Calc!$Q1768&amp;"|"&amp;"1"&amp;RIGHT("00000"&amp;1759,5))</f>
        <v/>
      </c>
      <c r="C1764">
        <f>IF($B1764="","",COUNTIFS(LdgSellerA,$A1764,LdgKeyA,"&lt;"&amp;$B1764)+COUNTIFS(LdgSellerB,$A1764,LdgKeyB,"&lt;"&amp;$B1764)+1)</f>
        <v/>
      </c>
      <c r="D1764">
        <f>IF($C1764="","",$A1764&amp;"|"&amp;RIGHT("000000"&amp;$C1764,6))</f>
        <v/>
      </c>
      <c r="F1764">
        <f>IF(Sync!$AH1764="","",IF(LEFT(UPPER(TRIM(Sync!$AH1764)),2)="SL",UPPER(TRIM(Sync!$AH1764)),""))</f>
        <v/>
      </c>
      <c r="G1764">
        <f>IF($F1764="","",IF(Sync!$AE1764="","",IF(ISNUMBER(Sync!$AE1764),IF(AND(Sync!$AE1764&gt;=10000101,Sync!$AE1764&lt;=99991231),INT(Sync!$AE1764/10000),""),IFERROR(VALUE(TRIM(LEFT(Sync!$AE1764,FIND("/",Sync!$AE1764)-1))),""))))</f>
        <v/>
      </c>
      <c r="H1764">
        <f>IF(OR($F1764="",$G1764=""),"",IF(ISNUMBER(Sync!$AE1764),INT(MOD(Sync!$AE1764,10000)/100),IFERROR(VALUE(TRIM(LEFT(MID(Sync!$AE1764,FIND("/",Sync!$AE1764)+1,20),FIND("/",MID(Sync!$AE1764,FIND("/",Sync!$AE1764)+1,20))-1))),"")))</f>
        <v/>
      </c>
      <c r="I1764">
        <f>IF(OR($F1764="",$G1764=""),"",IF(ISNUMBER(Sync!$AE1764),MOD(Sync!$AE1764,100),IFERROR(VALUE(TRIM(MID(MID(Sync!$AE1764,FIND("/",Sync!$AE1764)+1,20),FIND("/",MID(Sync!$AE1764,FIND("/",Sync!$AE1764)+1,20))+1,20))),"")))</f>
        <v/>
      </c>
      <c r="J1764">
        <f>IF($F1764="","",IF(OR($G1764="",$H1764="",$I1764="",$G1764&lt;1300,$G1764&gt;1500,$H1764&lt;1,$H1764&gt;12,$I1764&lt;1,$I1764&gt;31),"نامعتبر",RIGHT("0000"&amp;$G1764,4)&amp;"/"&amp;RIGHT("00"&amp;$H1764,2)&amp;"/"&amp;RIGHT("00"&amp;$I1764,2)))</f>
        <v/>
      </c>
      <c r="K1764">
        <f>IF(OR($F1764="",$J1764="",$J1764="نامعتبر"),"",LEFT($J1764,4)&amp;MID($J1764,6,2)&amp;RIGHT($J1764,2)&amp;$N1764&amp;"|"&amp;"2"&amp;RIGHT("00000"&amp;1759,5))</f>
        <v/>
      </c>
      <c r="L1764">
        <f>IF($K1764="","",COUNTIFS(LdgSellerA,$F1764,LdgKeyA,"&lt;"&amp;$K1764)+COUNTIFS(LdgSellerB,$F1764,LdgKeyB,"&lt;"&amp;$K1764)+1)</f>
        <v/>
      </c>
      <c r="M1764">
        <f>IF($L1764="","",$F1764&amp;"|"&amp;RIGHT("000000"&amp;$L1764,6))</f>
        <v/>
      </c>
      <c r="N1764">
        <f>IF($F1764="","",IF(Sync!$AF1764="","0000",IF(AND(ISNUMBER(Sync!$AF1764),Sync!$AF1764&gt;=0,Sync!$AF1764&lt;1),RIGHT("00"&amp;HOUR(Sync!$AF1764),2)&amp;RIGHT("00"&amp;MINUTE(Sync!$AF1764),2),IFERROR(RIGHT("00"&amp;VALUE(LEFT(Sync!$AF1764,FIND(":",Sync!$AF1764)-1)),2)&amp;RIGHT("00"&amp;VALUE(MID(Sync!$AF1764,FIND(":",Sync!$AF1764)+1,2)),2),"0000"))))</f>
        <v/>
      </c>
    </row>
    <row r="1765">
      <c r="A1765">
        <f>IF(OR(Calc!$E1769="",Calc!$E1769="نامعتبر",Calc!$G1769=""),"",Calc!$G1769)</f>
        <v/>
      </c>
      <c r="B1765">
        <f>IF($A1765="","",LEFT(Calc!$E1769,4)&amp;MID(Calc!$E1769,6,2)&amp;RIGHT(Calc!$E1769,2)&amp;Calc!$Q1769&amp;"|"&amp;"1"&amp;RIGHT("00000"&amp;1760,5))</f>
        <v/>
      </c>
      <c r="C1765">
        <f>IF($B1765="","",COUNTIFS(LdgSellerA,$A1765,LdgKeyA,"&lt;"&amp;$B1765)+COUNTIFS(LdgSellerB,$A1765,LdgKeyB,"&lt;"&amp;$B1765)+1)</f>
        <v/>
      </c>
      <c r="D1765">
        <f>IF($C1765="","",$A1765&amp;"|"&amp;RIGHT("000000"&amp;$C1765,6))</f>
        <v/>
      </c>
      <c r="F1765">
        <f>IF(Sync!$AH1765="","",IF(LEFT(UPPER(TRIM(Sync!$AH1765)),2)="SL",UPPER(TRIM(Sync!$AH1765)),""))</f>
        <v/>
      </c>
      <c r="G1765">
        <f>IF($F1765="","",IF(Sync!$AE1765="","",IF(ISNUMBER(Sync!$AE1765),IF(AND(Sync!$AE1765&gt;=10000101,Sync!$AE1765&lt;=99991231),INT(Sync!$AE1765/10000),""),IFERROR(VALUE(TRIM(LEFT(Sync!$AE1765,FIND("/",Sync!$AE1765)-1))),""))))</f>
        <v/>
      </c>
      <c r="H1765">
        <f>IF(OR($F1765="",$G1765=""),"",IF(ISNUMBER(Sync!$AE1765),INT(MOD(Sync!$AE1765,10000)/100),IFERROR(VALUE(TRIM(LEFT(MID(Sync!$AE1765,FIND("/",Sync!$AE1765)+1,20),FIND("/",MID(Sync!$AE1765,FIND("/",Sync!$AE1765)+1,20))-1))),"")))</f>
        <v/>
      </c>
      <c r="I1765">
        <f>IF(OR($F1765="",$G1765=""),"",IF(ISNUMBER(Sync!$AE1765),MOD(Sync!$AE1765,100),IFERROR(VALUE(TRIM(MID(MID(Sync!$AE1765,FIND("/",Sync!$AE1765)+1,20),FIND("/",MID(Sync!$AE1765,FIND("/",Sync!$AE1765)+1,20))+1,20))),"")))</f>
        <v/>
      </c>
      <c r="J1765">
        <f>IF($F1765="","",IF(OR($G1765="",$H1765="",$I1765="",$G1765&lt;1300,$G1765&gt;1500,$H1765&lt;1,$H1765&gt;12,$I1765&lt;1,$I1765&gt;31),"نامعتبر",RIGHT("0000"&amp;$G1765,4)&amp;"/"&amp;RIGHT("00"&amp;$H1765,2)&amp;"/"&amp;RIGHT("00"&amp;$I1765,2)))</f>
        <v/>
      </c>
      <c r="K1765">
        <f>IF(OR($F1765="",$J1765="",$J1765="نامعتبر"),"",LEFT($J1765,4)&amp;MID($J1765,6,2)&amp;RIGHT($J1765,2)&amp;$N1765&amp;"|"&amp;"2"&amp;RIGHT("00000"&amp;1760,5))</f>
        <v/>
      </c>
      <c r="L1765">
        <f>IF($K1765="","",COUNTIFS(LdgSellerA,$F1765,LdgKeyA,"&lt;"&amp;$K1765)+COUNTIFS(LdgSellerB,$F1765,LdgKeyB,"&lt;"&amp;$K1765)+1)</f>
        <v/>
      </c>
      <c r="M1765">
        <f>IF($L1765="","",$F1765&amp;"|"&amp;RIGHT("000000"&amp;$L1765,6))</f>
        <v/>
      </c>
      <c r="N1765">
        <f>IF($F1765="","",IF(Sync!$AF1765="","0000",IF(AND(ISNUMBER(Sync!$AF1765),Sync!$AF1765&gt;=0,Sync!$AF1765&lt;1),RIGHT("00"&amp;HOUR(Sync!$AF1765),2)&amp;RIGHT("00"&amp;MINUTE(Sync!$AF1765),2),IFERROR(RIGHT("00"&amp;VALUE(LEFT(Sync!$AF1765,FIND(":",Sync!$AF1765)-1)),2)&amp;RIGHT("00"&amp;VALUE(MID(Sync!$AF1765,FIND(":",Sync!$AF1765)+1,2)),2),"0000"))))</f>
        <v/>
      </c>
    </row>
    <row r="1766">
      <c r="A1766">
        <f>IF(OR(Calc!$E1770="",Calc!$E1770="نامعتبر",Calc!$G1770=""),"",Calc!$G1770)</f>
        <v/>
      </c>
      <c r="B1766">
        <f>IF($A1766="","",LEFT(Calc!$E1770,4)&amp;MID(Calc!$E1770,6,2)&amp;RIGHT(Calc!$E1770,2)&amp;Calc!$Q1770&amp;"|"&amp;"1"&amp;RIGHT("00000"&amp;1761,5))</f>
        <v/>
      </c>
      <c r="C1766">
        <f>IF($B1766="","",COUNTIFS(LdgSellerA,$A1766,LdgKeyA,"&lt;"&amp;$B1766)+COUNTIFS(LdgSellerB,$A1766,LdgKeyB,"&lt;"&amp;$B1766)+1)</f>
        <v/>
      </c>
      <c r="D1766">
        <f>IF($C1766="","",$A1766&amp;"|"&amp;RIGHT("000000"&amp;$C1766,6))</f>
        <v/>
      </c>
      <c r="F1766">
        <f>IF(Sync!$AH1766="","",IF(LEFT(UPPER(TRIM(Sync!$AH1766)),2)="SL",UPPER(TRIM(Sync!$AH1766)),""))</f>
        <v/>
      </c>
      <c r="G1766">
        <f>IF($F1766="","",IF(Sync!$AE1766="","",IF(ISNUMBER(Sync!$AE1766),IF(AND(Sync!$AE1766&gt;=10000101,Sync!$AE1766&lt;=99991231),INT(Sync!$AE1766/10000),""),IFERROR(VALUE(TRIM(LEFT(Sync!$AE1766,FIND("/",Sync!$AE1766)-1))),""))))</f>
        <v/>
      </c>
      <c r="H1766">
        <f>IF(OR($F1766="",$G1766=""),"",IF(ISNUMBER(Sync!$AE1766),INT(MOD(Sync!$AE1766,10000)/100),IFERROR(VALUE(TRIM(LEFT(MID(Sync!$AE1766,FIND("/",Sync!$AE1766)+1,20),FIND("/",MID(Sync!$AE1766,FIND("/",Sync!$AE1766)+1,20))-1))),"")))</f>
        <v/>
      </c>
      <c r="I1766">
        <f>IF(OR($F1766="",$G1766=""),"",IF(ISNUMBER(Sync!$AE1766),MOD(Sync!$AE1766,100),IFERROR(VALUE(TRIM(MID(MID(Sync!$AE1766,FIND("/",Sync!$AE1766)+1,20),FIND("/",MID(Sync!$AE1766,FIND("/",Sync!$AE1766)+1,20))+1,20))),"")))</f>
        <v/>
      </c>
      <c r="J1766">
        <f>IF($F1766="","",IF(OR($G1766="",$H1766="",$I1766="",$G1766&lt;1300,$G1766&gt;1500,$H1766&lt;1,$H1766&gt;12,$I1766&lt;1,$I1766&gt;31),"نامعتبر",RIGHT("0000"&amp;$G1766,4)&amp;"/"&amp;RIGHT("00"&amp;$H1766,2)&amp;"/"&amp;RIGHT("00"&amp;$I1766,2)))</f>
        <v/>
      </c>
      <c r="K1766">
        <f>IF(OR($F1766="",$J1766="",$J1766="نامعتبر"),"",LEFT($J1766,4)&amp;MID($J1766,6,2)&amp;RIGHT($J1766,2)&amp;$N1766&amp;"|"&amp;"2"&amp;RIGHT("00000"&amp;1761,5))</f>
        <v/>
      </c>
      <c r="L1766">
        <f>IF($K1766="","",COUNTIFS(LdgSellerA,$F1766,LdgKeyA,"&lt;"&amp;$K1766)+COUNTIFS(LdgSellerB,$F1766,LdgKeyB,"&lt;"&amp;$K1766)+1)</f>
        <v/>
      </c>
      <c r="M1766">
        <f>IF($L1766="","",$F1766&amp;"|"&amp;RIGHT("000000"&amp;$L1766,6))</f>
        <v/>
      </c>
      <c r="N1766">
        <f>IF($F1766="","",IF(Sync!$AF1766="","0000",IF(AND(ISNUMBER(Sync!$AF1766),Sync!$AF1766&gt;=0,Sync!$AF1766&lt;1),RIGHT("00"&amp;HOUR(Sync!$AF1766),2)&amp;RIGHT("00"&amp;MINUTE(Sync!$AF1766),2),IFERROR(RIGHT("00"&amp;VALUE(LEFT(Sync!$AF1766,FIND(":",Sync!$AF1766)-1)),2)&amp;RIGHT("00"&amp;VALUE(MID(Sync!$AF1766,FIND(":",Sync!$AF1766)+1,2)),2),"0000"))))</f>
        <v/>
      </c>
    </row>
    <row r="1767">
      <c r="A1767">
        <f>IF(OR(Calc!$E1771="",Calc!$E1771="نامعتبر",Calc!$G1771=""),"",Calc!$G1771)</f>
        <v/>
      </c>
      <c r="B1767">
        <f>IF($A1767="","",LEFT(Calc!$E1771,4)&amp;MID(Calc!$E1771,6,2)&amp;RIGHT(Calc!$E1771,2)&amp;Calc!$Q1771&amp;"|"&amp;"1"&amp;RIGHT("00000"&amp;1762,5))</f>
        <v/>
      </c>
      <c r="C1767">
        <f>IF($B1767="","",COUNTIFS(LdgSellerA,$A1767,LdgKeyA,"&lt;"&amp;$B1767)+COUNTIFS(LdgSellerB,$A1767,LdgKeyB,"&lt;"&amp;$B1767)+1)</f>
        <v/>
      </c>
      <c r="D1767">
        <f>IF($C1767="","",$A1767&amp;"|"&amp;RIGHT("000000"&amp;$C1767,6))</f>
        <v/>
      </c>
      <c r="F1767">
        <f>IF(Sync!$AH1767="","",IF(LEFT(UPPER(TRIM(Sync!$AH1767)),2)="SL",UPPER(TRIM(Sync!$AH1767)),""))</f>
        <v/>
      </c>
      <c r="G1767">
        <f>IF($F1767="","",IF(Sync!$AE1767="","",IF(ISNUMBER(Sync!$AE1767),IF(AND(Sync!$AE1767&gt;=10000101,Sync!$AE1767&lt;=99991231),INT(Sync!$AE1767/10000),""),IFERROR(VALUE(TRIM(LEFT(Sync!$AE1767,FIND("/",Sync!$AE1767)-1))),""))))</f>
        <v/>
      </c>
      <c r="H1767">
        <f>IF(OR($F1767="",$G1767=""),"",IF(ISNUMBER(Sync!$AE1767),INT(MOD(Sync!$AE1767,10000)/100),IFERROR(VALUE(TRIM(LEFT(MID(Sync!$AE1767,FIND("/",Sync!$AE1767)+1,20),FIND("/",MID(Sync!$AE1767,FIND("/",Sync!$AE1767)+1,20))-1))),"")))</f>
        <v/>
      </c>
      <c r="I1767">
        <f>IF(OR($F1767="",$G1767=""),"",IF(ISNUMBER(Sync!$AE1767),MOD(Sync!$AE1767,100),IFERROR(VALUE(TRIM(MID(MID(Sync!$AE1767,FIND("/",Sync!$AE1767)+1,20),FIND("/",MID(Sync!$AE1767,FIND("/",Sync!$AE1767)+1,20))+1,20))),"")))</f>
        <v/>
      </c>
      <c r="J1767">
        <f>IF($F1767="","",IF(OR($G1767="",$H1767="",$I1767="",$G1767&lt;1300,$G1767&gt;1500,$H1767&lt;1,$H1767&gt;12,$I1767&lt;1,$I1767&gt;31),"نامعتبر",RIGHT("0000"&amp;$G1767,4)&amp;"/"&amp;RIGHT("00"&amp;$H1767,2)&amp;"/"&amp;RIGHT("00"&amp;$I1767,2)))</f>
        <v/>
      </c>
      <c r="K1767">
        <f>IF(OR($F1767="",$J1767="",$J1767="نامعتبر"),"",LEFT($J1767,4)&amp;MID($J1767,6,2)&amp;RIGHT($J1767,2)&amp;$N1767&amp;"|"&amp;"2"&amp;RIGHT("00000"&amp;1762,5))</f>
        <v/>
      </c>
      <c r="L1767">
        <f>IF($K1767="","",COUNTIFS(LdgSellerA,$F1767,LdgKeyA,"&lt;"&amp;$K1767)+COUNTIFS(LdgSellerB,$F1767,LdgKeyB,"&lt;"&amp;$K1767)+1)</f>
        <v/>
      </c>
      <c r="M1767">
        <f>IF($L1767="","",$F1767&amp;"|"&amp;RIGHT("000000"&amp;$L1767,6))</f>
        <v/>
      </c>
      <c r="N1767">
        <f>IF($F1767="","",IF(Sync!$AF1767="","0000",IF(AND(ISNUMBER(Sync!$AF1767),Sync!$AF1767&gt;=0,Sync!$AF1767&lt;1),RIGHT("00"&amp;HOUR(Sync!$AF1767),2)&amp;RIGHT("00"&amp;MINUTE(Sync!$AF1767),2),IFERROR(RIGHT("00"&amp;VALUE(LEFT(Sync!$AF1767,FIND(":",Sync!$AF1767)-1)),2)&amp;RIGHT("00"&amp;VALUE(MID(Sync!$AF1767,FIND(":",Sync!$AF1767)+1,2)),2),"0000"))))</f>
        <v/>
      </c>
    </row>
    <row r="1768">
      <c r="A1768">
        <f>IF(OR(Calc!$E1772="",Calc!$E1772="نامعتبر",Calc!$G1772=""),"",Calc!$G1772)</f>
        <v/>
      </c>
      <c r="B1768">
        <f>IF($A1768="","",LEFT(Calc!$E1772,4)&amp;MID(Calc!$E1772,6,2)&amp;RIGHT(Calc!$E1772,2)&amp;Calc!$Q1772&amp;"|"&amp;"1"&amp;RIGHT("00000"&amp;1763,5))</f>
        <v/>
      </c>
      <c r="C1768">
        <f>IF($B1768="","",COUNTIFS(LdgSellerA,$A1768,LdgKeyA,"&lt;"&amp;$B1768)+COUNTIFS(LdgSellerB,$A1768,LdgKeyB,"&lt;"&amp;$B1768)+1)</f>
        <v/>
      </c>
      <c r="D1768">
        <f>IF($C1768="","",$A1768&amp;"|"&amp;RIGHT("000000"&amp;$C1768,6))</f>
        <v/>
      </c>
      <c r="F1768">
        <f>IF(Sync!$AH1768="","",IF(LEFT(UPPER(TRIM(Sync!$AH1768)),2)="SL",UPPER(TRIM(Sync!$AH1768)),""))</f>
        <v/>
      </c>
      <c r="G1768">
        <f>IF($F1768="","",IF(Sync!$AE1768="","",IF(ISNUMBER(Sync!$AE1768),IF(AND(Sync!$AE1768&gt;=10000101,Sync!$AE1768&lt;=99991231),INT(Sync!$AE1768/10000),""),IFERROR(VALUE(TRIM(LEFT(Sync!$AE1768,FIND("/",Sync!$AE1768)-1))),""))))</f>
        <v/>
      </c>
      <c r="H1768">
        <f>IF(OR($F1768="",$G1768=""),"",IF(ISNUMBER(Sync!$AE1768),INT(MOD(Sync!$AE1768,10000)/100),IFERROR(VALUE(TRIM(LEFT(MID(Sync!$AE1768,FIND("/",Sync!$AE1768)+1,20),FIND("/",MID(Sync!$AE1768,FIND("/",Sync!$AE1768)+1,20))-1))),"")))</f>
        <v/>
      </c>
      <c r="I1768">
        <f>IF(OR($F1768="",$G1768=""),"",IF(ISNUMBER(Sync!$AE1768),MOD(Sync!$AE1768,100),IFERROR(VALUE(TRIM(MID(MID(Sync!$AE1768,FIND("/",Sync!$AE1768)+1,20),FIND("/",MID(Sync!$AE1768,FIND("/",Sync!$AE1768)+1,20))+1,20))),"")))</f>
        <v/>
      </c>
      <c r="J1768">
        <f>IF($F1768="","",IF(OR($G1768="",$H1768="",$I1768="",$G1768&lt;1300,$G1768&gt;1500,$H1768&lt;1,$H1768&gt;12,$I1768&lt;1,$I1768&gt;31),"نامعتبر",RIGHT("0000"&amp;$G1768,4)&amp;"/"&amp;RIGHT("00"&amp;$H1768,2)&amp;"/"&amp;RIGHT("00"&amp;$I1768,2)))</f>
        <v/>
      </c>
      <c r="K1768">
        <f>IF(OR($F1768="",$J1768="",$J1768="نامعتبر"),"",LEFT($J1768,4)&amp;MID($J1768,6,2)&amp;RIGHT($J1768,2)&amp;$N1768&amp;"|"&amp;"2"&amp;RIGHT("00000"&amp;1763,5))</f>
        <v/>
      </c>
      <c r="L1768">
        <f>IF($K1768="","",COUNTIFS(LdgSellerA,$F1768,LdgKeyA,"&lt;"&amp;$K1768)+COUNTIFS(LdgSellerB,$F1768,LdgKeyB,"&lt;"&amp;$K1768)+1)</f>
        <v/>
      </c>
      <c r="M1768">
        <f>IF($L1768="","",$F1768&amp;"|"&amp;RIGHT("000000"&amp;$L1768,6))</f>
        <v/>
      </c>
      <c r="N1768">
        <f>IF($F1768="","",IF(Sync!$AF1768="","0000",IF(AND(ISNUMBER(Sync!$AF1768),Sync!$AF1768&gt;=0,Sync!$AF1768&lt;1),RIGHT("00"&amp;HOUR(Sync!$AF1768),2)&amp;RIGHT("00"&amp;MINUTE(Sync!$AF1768),2),IFERROR(RIGHT("00"&amp;VALUE(LEFT(Sync!$AF1768,FIND(":",Sync!$AF1768)-1)),2)&amp;RIGHT("00"&amp;VALUE(MID(Sync!$AF1768,FIND(":",Sync!$AF1768)+1,2)),2),"0000"))))</f>
        <v/>
      </c>
    </row>
    <row r="1769">
      <c r="A1769">
        <f>IF(OR(Calc!$E1773="",Calc!$E1773="نامعتبر",Calc!$G1773=""),"",Calc!$G1773)</f>
        <v/>
      </c>
      <c r="B1769">
        <f>IF($A1769="","",LEFT(Calc!$E1773,4)&amp;MID(Calc!$E1773,6,2)&amp;RIGHT(Calc!$E1773,2)&amp;Calc!$Q1773&amp;"|"&amp;"1"&amp;RIGHT("00000"&amp;1764,5))</f>
        <v/>
      </c>
      <c r="C1769">
        <f>IF($B1769="","",COUNTIFS(LdgSellerA,$A1769,LdgKeyA,"&lt;"&amp;$B1769)+COUNTIFS(LdgSellerB,$A1769,LdgKeyB,"&lt;"&amp;$B1769)+1)</f>
        <v/>
      </c>
      <c r="D1769">
        <f>IF($C1769="","",$A1769&amp;"|"&amp;RIGHT("000000"&amp;$C1769,6))</f>
        <v/>
      </c>
      <c r="F1769">
        <f>IF(Sync!$AH1769="","",IF(LEFT(UPPER(TRIM(Sync!$AH1769)),2)="SL",UPPER(TRIM(Sync!$AH1769)),""))</f>
        <v/>
      </c>
      <c r="G1769">
        <f>IF($F1769="","",IF(Sync!$AE1769="","",IF(ISNUMBER(Sync!$AE1769),IF(AND(Sync!$AE1769&gt;=10000101,Sync!$AE1769&lt;=99991231),INT(Sync!$AE1769/10000),""),IFERROR(VALUE(TRIM(LEFT(Sync!$AE1769,FIND("/",Sync!$AE1769)-1))),""))))</f>
        <v/>
      </c>
      <c r="H1769">
        <f>IF(OR($F1769="",$G1769=""),"",IF(ISNUMBER(Sync!$AE1769),INT(MOD(Sync!$AE1769,10000)/100),IFERROR(VALUE(TRIM(LEFT(MID(Sync!$AE1769,FIND("/",Sync!$AE1769)+1,20),FIND("/",MID(Sync!$AE1769,FIND("/",Sync!$AE1769)+1,20))-1))),"")))</f>
        <v/>
      </c>
      <c r="I1769">
        <f>IF(OR($F1769="",$G1769=""),"",IF(ISNUMBER(Sync!$AE1769),MOD(Sync!$AE1769,100),IFERROR(VALUE(TRIM(MID(MID(Sync!$AE1769,FIND("/",Sync!$AE1769)+1,20),FIND("/",MID(Sync!$AE1769,FIND("/",Sync!$AE1769)+1,20))+1,20))),"")))</f>
        <v/>
      </c>
      <c r="J1769">
        <f>IF($F1769="","",IF(OR($G1769="",$H1769="",$I1769="",$G1769&lt;1300,$G1769&gt;1500,$H1769&lt;1,$H1769&gt;12,$I1769&lt;1,$I1769&gt;31),"نامعتبر",RIGHT("0000"&amp;$G1769,4)&amp;"/"&amp;RIGHT("00"&amp;$H1769,2)&amp;"/"&amp;RIGHT("00"&amp;$I1769,2)))</f>
        <v/>
      </c>
      <c r="K1769">
        <f>IF(OR($F1769="",$J1769="",$J1769="نامعتبر"),"",LEFT($J1769,4)&amp;MID($J1769,6,2)&amp;RIGHT($J1769,2)&amp;$N1769&amp;"|"&amp;"2"&amp;RIGHT("00000"&amp;1764,5))</f>
        <v/>
      </c>
      <c r="L1769">
        <f>IF($K1769="","",COUNTIFS(LdgSellerA,$F1769,LdgKeyA,"&lt;"&amp;$K1769)+COUNTIFS(LdgSellerB,$F1769,LdgKeyB,"&lt;"&amp;$K1769)+1)</f>
        <v/>
      </c>
      <c r="M1769">
        <f>IF($L1769="","",$F1769&amp;"|"&amp;RIGHT("000000"&amp;$L1769,6))</f>
        <v/>
      </c>
      <c r="N1769">
        <f>IF($F1769="","",IF(Sync!$AF1769="","0000",IF(AND(ISNUMBER(Sync!$AF1769),Sync!$AF1769&gt;=0,Sync!$AF1769&lt;1),RIGHT("00"&amp;HOUR(Sync!$AF1769),2)&amp;RIGHT("00"&amp;MINUTE(Sync!$AF1769),2),IFERROR(RIGHT("00"&amp;VALUE(LEFT(Sync!$AF1769,FIND(":",Sync!$AF1769)-1)),2)&amp;RIGHT("00"&amp;VALUE(MID(Sync!$AF1769,FIND(":",Sync!$AF1769)+1,2)),2),"0000"))))</f>
        <v/>
      </c>
    </row>
    <row r="1770">
      <c r="A1770">
        <f>IF(OR(Calc!$E1774="",Calc!$E1774="نامعتبر",Calc!$G1774=""),"",Calc!$G1774)</f>
        <v/>
      </c>
      <c r="B1770">
        <f>IF($A1770="","",LEFT(Calc!$E1774,4)&amp;MID(Calc!$E1774,6,2)&amp;RIGHT(Calc!$E1774,2)&amp;Calc!$Q1774&amp;"|"&amp;"1"&amp;RIGHT("00000"&amp;1765,5))</f>
        <v/>
      </c>
      <c r="C1770">
        <f>IF($B1770="","",COUNTIFS(LdgSellerA,$A1770,LdgKeyA,"&lt;"&amp;$B1770)+COUNTIFS(LdgSellerB,$A1770,LdgKeyB,"&lt;"&amp;$B1770)+1)</f>
        <v/>
      </c>
      <c r="D1770">
        <f>IF($C1770="","",$A1770&amp;"|"&amp;RIGHT("000000"&amp;$C1770,6))</f>
        <v/>
      </c>
      <c r="F1770">
        <f>IF(Sync!$AH1770="","",IF(LEFT(UPPER(TRIM(Sync!$AH1770)),2)="SL",UPPER(TRIM(Sync!$AH1770)),""))</f>
        <v/>
      </c>
      <c r="G1770">
        <f>IF($F1770="","",IF(Sync!$AE1770="","",IF(ISNUMBER(Sync!$AE1770),IF(AND(Sync!$AE1770&gt;=10000101,Sync!$AE1770&lt;=99991231),INT(Sync!$AE1770/10000),""),IFERROR(VALUE(TRIM(LEFT(Sync!$AE1770,FIND("/",Sync!$AE1770)-1))),""))))</f>
        <v/>
      </c>
      <c r="H1770">
        <f>IF(OR($F1770="",$G1770=""),"",IF(ISNUMBER(Sync!$AE1770),INT(MOD(Sync!$AE1770,10000)/100),IFERROR(VALUE(TRIM(LEFT(MID(Sync!$AE1770,FIND("/",Sync!$AE1770)+1,20),FIND("/",MID(Sync!$AE1770,FIND("/",Sync!$AE1770)+1,20))-1))),"")))</f>
        <v/>
      </c>
      <c r="I1770">
        <f>IF(OR($F1770="",$G1770=""),"",IF(ISNUMBER(Sync!$AE1770),MOD(Sync!$AE1770,100),IFERROR(VALUE(TRIM(MID(MID(Sync!$AE1770,FIND("/",Sync!$AE1770)+1,20),FIND("/",MID(Sync!$AE1770,FIND("/",Sync!$AE1770)+1,20))+1,20))),"")))</f>
        <v/>
      </c>
      <c r="J1770">
        <f>IF($F1770="","",IF(OR($G1770="",$H1770="",$I1770="",$G1770&lt;1300,$G1770&gt;1500,$H1770&lt;1,$H1770&gt;12,$I1770&lt;1,$I1770&gt;31),"نامعتبر",RIGHT("0000"&amp;$G1770,4)&amp;"/"&amp;RIGHT("00"&amp;$H1770,2)&amp;"/"&amp;RIGHT("00"&amp;$I1770,2)))</f>
        <v/>
      </c>
      <c r="K1770">
        <f>IF(OR($F1770="",$J1770="",$J1770="نامعتبر"),"",LEFT($J1770,4)&amp;MID($J1770,6,2)&amp;RIGHT($J1770,2)&amp;$N1770&amp;"|"&amp;"2"&amp;RIGHT("00000"&amp;1765,5))</f>
        <v/>
      </c>
      <c r="L1770">
        <f>IF($K1770="","",COUNTIFS(LdgSellerA,$F1770,LdgKeyA,"&lt;"&amp;$K1770)+COUNTIFS(LdgSellerB,$F1770,LdgKeyB,"&lt;"&amp;$K1770)+1)</f>
        <v/>
      </c>
      <c r="M1770">
        <f>IF($L1770="","",$F1770&amp;"|"&amp;RIGHT("000000"&amp;$L1770,6))</f>
        <v/>
      </c>
      <c r="N1770">
        <f>IF($F1770="","",IF(Sync!$AF1770="","0000",IF(AND(ISNUMBER(Sync!$AF1770),Sync!$AF1770&gt;=0,Sync!$AF1770&lt;1),RIGHT("00"&amp;HOUR(Sync!$AF1770),2)&amp;RIGHT("00"&amp;MINUTE(Sync!$AF1770),2),IFERROR(RIGHT("00"&amp;VALUE(LEFT(Sync!$AF1770,FIND(":",Sync!$AF1770)-1)),2)&amp;RIGHT("00"&amp;VALUE(MID(Sync!$AF1770,FIND(":",Sync!$AF1770)+1,2)),2),"0000"))))</f>
        <v/>
      </c>
    </row>
    <row r="1771">
      <c r="A1771">
        <f>IF(OR(Calc!$E1775="",Calc!$E1775="نامعتبر",Calc!$G1775=""),"",Calc!$G1775)</f>
        <v/>
      </c>
      <c r="B1771">
        <f>IF($A1771="","",LEFT(Calc!$E1775,4)&amp;MID(Calc!$E1775,6,2)&amp;RIGHT(Calc!$E1775,2)&amp;Calc!$Q1775&amp;"|"&amp;"1"&amp;RIGHT("00000"&amp;1766,5))</f>
        <v/>
      </c>
      <c r="C1771">
        <f>IF($B1771="","",COUNTIFS(LdgSellerA,$A1771,LdgKeyA,"&lt;"&amp;$B1771)+COUNTIFS(LdgSellerB,$A1771,LdgKeyB,"&lt;"&amp;$B1771)+1)</f>
        <v/>
      </c>
      <c r="D1771">
        <f>IF($C1771="","",$A1771&amp;"|"&amp;RIGHT("000000"&amp;$C1771,6))</f>
        <v/>
      </c>
      <c r="F1771">
        <f>IF(Sync!$AH1771="","",IF(LEFT(UPPER(TRIM(Sync!$AH1771)),2)="SL",UPPER(TRIM(Sync!$AH1771)),""))</f>
        <v/>
      </c>
      <c r="G1771">
        <f>IF($F1771="","",IF(Sync!$AE1771="","",IF(ISNUMBER(Sync!$AE1771),IF(AND(Sync!$AE1771&gt;=10000101,Sync!$AE1771&lt;=99991231),INT(Sync!$AE1771/10000),""),IFERROR(VALUE(TRIM(LEFT(Sync!$AE1771,FIND("/",Sync!$AE1771)-1))),""))))</f>
        <v/>
      </c>
      <c r="H1771">
        <f>IF(OR($F1771="",$G1771=""),"",IF(ISNUMBER(Sync!$AE1771),INT(MOD(Sync!$AE1771,10000)/100),IFERROR(VALUE(TRIM(LEFT(MID(Sync!$AE1771,FIND("/",Sync!$AE1771)+1,20),FIND("/",MID(Sync!$AE1771,FIND("/",Sync!$AE1771)+1,20))-1))),"")))</f>
        <v/>
      </c>
      <c r="I1771">
        <f>IF(OR($F1771="",$G1771=""),"",IF(ISNUMBER(Sync!$AE1771),MOD(Sync!$AE1771,100),IFERROR(VALUE(TRIM(MID(MID(Sync!$AE1771,FIND("/",Sync!$AE1771)+1,20),FIND("/",MID(Sync!$AE1771,FIND("/",Sync!$AE1771)+1,20))+1,20))),"")))</f>
        <v/>
      </c>
      <c r="J1771">
        <f>IF($F1771="","",IF(OR($G1771="",$H1771="",$I1771="",$G1771&lt;1300,$G1771&gt;1500,$H1771&lt;1,$H1771&gt;12,$I1771&lt;1,$I1771&gt;31),"نامعتبر",RIGHT("0000"&amp;$G1771,4)&amp;"/"&amp;RIGHT("00"&amp;$H1771,2)&amp;"/"&amp;RIGHT("00"&amp;$I1771,2)))</f>
        <v/>
      </c>
      <c r="K1771">
        <f>IF(OR($F1771="",$J1771="",$J1771="نامعتبر"),"",LEFT($J1771,4)&amp;MID($J1771,6,2)&amp;RIGHT($J1771,2)&amp;$N1771&amp;"|"&amp;"2"&amp;RIGHT("00000"&amp;1766,5))</f>
        <v/>
      </c>
      <c r="L1771">
        <f>IF($K1771="","",COUNTIFS(LdgSellerA,$F1771,LdgKeyA,"&lt;"&amp;$K1771)+COUNTIFS(LdgSellerB,$F1771,LdgKeyB,"&lt;"&amp;$K1771)+1)</f>
        <v/>
      </c>
      <c r="M1771">
        <f>IF($L1771="","",$F1771&amp;"|"&amp;RIGHT("000000"&amp;$L1771,6))</f>
        <v/>
      </c>
      <c r="N1771">
        <f>IF($F1771="","",IF(Sync!$AF1771="","0000",IF(AND(ISNUMBER(Sync!$AF1771),Sync!$AF1771&gt;=0,Sync!$AF1771&lt;1),RIGHT("00"&amp;HOUR(Sync!$AF1771),2)&amp;RIGHT("00"&amp;MINUTE(Sync!$AF1771),2),IFERROR(RIGHT("00"&amp;VALUE(LEFT(Sync!$AF1771,FIND(":",Sync!$AF1771)-1)),2)&amp;RIGHT("00"&amp;VALUE(MID(Sync!$AF1771,FIND(":",Sync!$AF1771)+1,2)),2),"0000"))))</f>
        <v/>
      </c>
    </row>
    <row r="1772">
      <c r="A1772">
        <f>IF(OR(Calc!$E1776="",Calc!$E1776="نامعتبر",Calc!$G1776=""),"",Calc!$G1776)</f>
        <v/>
      </c>
      <c r="B1772">
        <f>IF($A1772="","",LEFT(Calc!$E1776,4)&amp;MID(Calc!$E1776,6,2)&amp;RIGHT(Calc!$E1776,2)&amp;Calc!$Q1776&amp;"|"&amp;"1"&amp;RIGHT("00000"&amp;1767,5))</f>
        <v/>
      </c>
      <c r="C1772">
        <f>IF($B1772="","",COUNTIFS(LdgSellerA,$A1772,LdgKeyA,"&lt;"&amp;$B1772)+COUNTIFS(LdgSellerB,$A1772,LdgKeyB,"&lt;"&amp;$B1772)+1)</f>
        <v/>
      </c>
      <c r="D1772">
        <f>IF($C1772="","",$A1772&amp;"|"&amp;RIGHT("000000"&amp;$C1772,6))</f>
        <v/>
      </c>
      <c r="F1772">
        <f>IF(Sync!$AH1772="","",IF(LEFT(UPPER(TRIM(Sync!$AH1772)),2)="SL",UPPER(TRIM(Sync!$AH1772)),""))</f>
        <v/>
      </c>
      <c r="G1772">
        <f>IF($F1772="","",IF(Sync!$AE1772="","",IF(ISNUMBER(Sync!$AE1772),IF(AND(Sync!$AE1772&gt;=10000101,Sync!$AE1772&lt;=99991231),INT(Sync!$AE1772/10000),""),IFERROR(VALUE(TRIM(LEFT(Sync!$AE1772,FIND("/",Sync!$AE1772)-1))),""))))</f>
        <v/>
      </c>
      <c r="H1772">
        <f>IF(OR($F1772="",$G1772=""),"",IF(ISNUMBER(Sync!$AE1772),INT(MOD(Sync!$AE1772,10000)/100),IFERROR(VALUE(TRIM(LEFT(MID(Sync!$AE1772,FIND("/",Sync!$AE1772)+1,20),FIND("/",MID(Sync!$AE1772,FIND("/",Sync!$AE1772)+1,20))-1))),"")))</f>
        <v/>
      </c>
      <c r="I1772">
        <f>IF(OR($F1772="",$G1772=""),"",IF(ISNUMBER(Sync!$AE1772),MOD(Sync!$AE1772,100),IFERROR(VALUE(TRIM(MID(MID(Sync!$AE1772,FIND("/",Sync!$AE1772)+1,20),FIND("/",MID(Sync!$AE1772,FIND("/",Sync!$AE1772)+1,20))+1,20))),"")))</f>
        <v/>
      </c>
      <c r="J1772">
        <f>IF($F1772="","",IF(OR($G1772="",$H1772="",$I1772="",$G1772&lt;1300,$G1772&gt;1500,$H1772&lt;1,$H1772&gt;12,$I1772&lt;1,$I1772&gt;31),"نامعتبر",RIGHT("0000"&amp;$G1772,4)&amp;"/"&amp;RIGHT("00"&amp;$H1772,2)&amp;"/"&amp;RIGHT("00"&amp;$I1772,2)))</f>
        <v/>
      </c>
      <c r="K1772">
        <f>IF(OR($F1772="",$J1772="",$J1772="نامعتبر"),"",LEFT($J1772,4)&amp;MID($J1772,6,2)&amp;RIGHT($J1772,2)&amp;$N1772&amp;"|"&amp;"2"&amp;RIGHT("00000"&amp;1767,5))</f>
        <v/>
      </c>
      <c r="L1772">
        <f>IF($K1772="","",COUNTIFS(LdgSellerA,$F1772,LdgKeyA,"&lt;"&amp;$K1772)+COUNTIFS(LdgSellerB,$F1772,LdgKeyB,"&lt;"&amp;$K1772)+1)</f>
        <v/>
      </c>
      <c r="M1772">
        <f>IF($L1772="","",$F1772&amp;"|"&amp;RIGHT("000000"&amp;$L1772,6))</f>
        <v/>
      </c>
      <c r="N1772">
        <f>IF($F1772="","",IF(Sync!$AF1772="","0000",IF(AND(ISNUMBER(Sync!$AF1772),Sync!$AF1772&gt;=0,Sync!$AF1772&lt;1),RIGHT("00"&amp;HOUR(Sync!$AF1772),2)&amp;RIGHT("00"&amp;MINUTE(Sync!$AF1772),2),IFERROR(RIGHT("00"&amp;VALUE(LEFT(Sync!$AF1772,FIND(":",Sync!$AF1772)-1)),2)&amp;RIGHT("00"&amp;VALUE(MID(Sync!$AF1772,FIND(":",Sync!$AF1772)+1,2)),2),"0000"))))</f>
        <v/>
      </c>
    </row>
    <row r="1773">
      <c r="A1773">
        <f>IF(OR(Calc!$E1777="",Calc!$E1777="نامعتبر",Calc!$G1777=""),"",Calc!$G1777)</f>
        <v/>
      </c>
      <c r="B1773">
        <f>IF($A1773="","",LEFT(Calc!$E1777,4)&amp;MID(Calc!$E1777,6,2)&amp;RIGHT(Calc!$E1777,2)&amp;Calc!$Q1777&amp;"|"&amp;"1"&amp;RIGHT("00000"&amp;1768,5))</f>
        <v/>
      </c>
      <c r="C1773">
        <f>IF($B1773="","",COUNTIFS(LdgSellerA,$A1773,LdgKeyA,"&lt;"&amp;$B1773)+COUNTIFS(LdgSellerB,$A1773,LdgKeyB,"&lt;"&amp;$B1773)+1)</f>
        <v/>
      </c>
      <c r="D1773">
        <f>IF($C1773="","",$A1773&amp;"|"&amp;RIGHT("000000"&amp;$C1773,6))</f>
        <v/>
      </c>
      <c r="F1773">
        <f>IF(Sync!$AH1773="","",IF(LEFT(UPPER(TRIM(Sync!$AH1773)),2)="SL",UPPER(TRIM(Sync!$AH1773)),""))</f>
        <v/>
      </c>
      <c r="G1773">
        <f>IF($F1773="","",IF(Sync!$AE1773="","",IF(ISNUMBER(Sync!$AE1773),IF(AND(Sync!$AE1773&gt;=10000101,Sync!$AE1773&lt;=99991231),INT(Sync!$AE1773/10000),""),IFERROR(VALUE(TRIM(LEFT(Sync!$AE1773,FIND("/",Sync!$AE1773)-1))),""))))</f>
        <v/>
      </c>
      <c r="H1773">
        <f>IF(OR($F1773="",$G1773=""),"",IF(ISNUMBER(Sync!$AE1773),INT(MOD(Sync!$AE1773,10000)/100),IFERROR(VALUE(TRIM(LEFT(MID(Sync!$AE1773,FIND("/",Sync!$AE1773)+1,20),FIND("/",MID(Sync!$AE1773,FIND("/",Sync!$AE1773)+1,20))-1))),"")))</f>
        <v/>
      </c>
      <c r="I1773">
        <f>IF(OR($F1773="",$G1773=""),"",IF(ISNUMBER(Sync!$AE1773),MOD(Sync!$AE1773,100),IFERROR(VALUE(TRIM(MID(MID(Sync!$AE1773,FIND("/",Sync!$AE1773)+1,20),FIND("/",MID(Sync!$AE1773,FIND("/",Sync!$AE1773)+1,20))+1,20))),"")))</f>
        <v/>
      </c>
      <c r="J1773">
        <f>IF($F1773="","",IF(OR($G1773="",$H1773="",$I1773="",$G1773&lt;1300,$G1773&gt;1500,$H1773&lt;1,$H1773&gt;12,$I1773&lt;1,$I1773&gt;31),"نامعتبر",RIGHT("0000"&amp;$G1773,4)&amp;"/"&amp;RIGHT("00"&amp;$H1773,2)&amp;"/"&amp;RIGHT("00"&amp;$I1773,2)))</f>
        <v/>
      </c>
      <c r="K1773">
        <f>IF(OR($F1773="",$J1773="",$J1773="نامعتبر"),"",LEFT($J1773,4)&amp;MID($J1773,6,2)&amp;RIGHT($J1773,2)&amp;$N1773&amp;"|"&amp;"2"&amp;RIGHT("00000"&amp;1768,5))</f>
        <v/>
      </c>
      <c r="L1773">
        <f>IF($K1773="","",COUNTIFS(LdgSellerA,$F1773,LdgKeyA,"&lt;"&amp;$K1773)+COUNTIFS(LdgSellerB,$F1773,LdgKeyB,"&lt;"&amp;$K1773)+1)</f>
        <v/>
      </c>
      <c r="M1773">
        <f>IF($L1773="","",$F1773&amp;"|"&amp;RIGHT("000000"&amp;$L1773,6))</f>
        <v/>
      </c>
      <c r="N1773">
        <f>IF($F1773="","",IF(Sync!$AF1773="","0000",IF(AND(ISNUMBER(Sync!$AF1773),Sync!$AF1773&gt;=0,Sync!$AF1773&lt;1),RIGHT("00"&amp;HOUR(Sync!$AF1773),2)&amp;RIGHT("00"&amp;MINUTE(Sync!$AF1773),2),IFERROR(RIGHT("00"&amp;VALUE(LEFT(Sync!$AF1773,FIND(":",Sync!$AF1773)-1)),2)&amp;RIGHT("00"&amp;VALUE(MID(Sync!$AF1773,FIND(":",Sync!$AF1773)+1,2)),2),"0000"))))</f>
        <v/>
      </c>
    </row>
    <row r="1774">
      <c r="A1774">
        <f>IF(OR(Calc!$E1778="",Calc!$E1778="نامعتبر",Calc!$G1778=""),"",Calc!$G1778)</f>
        <v/>
      </c>
      <c r="B1774">
        <f>IF($A1774="","",LEFT(Calc!$E1778,4)&amp;MID(Calc!$E1778,6,2)&amp;RIGHT(Calc!$E1778,2)&amp;Calc!$Q1778&amp;"|"&amp;"1"&amp;RIGHT("00000"&amp;1769,5))</f>
        <v/>
      </c>
      <c r="C1774">
        <f>IF($B1774="","",COUNTIFS(LdgSellerA,$A1774,LdgKeyA,"&lt;"&amp;$B1774)+COUNTIFS(LdgSellerB,$A1774,LdgKeyB,"&lt;"&amp;$B1774)+1)</f>
        <v/>
      </c>
      <c r="D1774">
        <f>IF($C1774="","",$A1774&amp;"|"&amp;RIGHT("000000"&amp;$C1774,6))</f>
        <v/>
      </c>
      <c r="F1774">
        <f>IF(Sync!$AH1774="","",IF(LEFT(UPPER(TRIM(Sync!$AH1774)),2)="SL",UPPER(TRIM(Sync!$AH1774)),""))</f>
        <v/>
      </c>
      <c r="G1774">
        <f>IF($F1774="","",IF(Sync!$AE1774="","",IF(ISNUMBER(Sync!$AE1774),IF(AND(Sync!$AE1774&gt;=10000101,Sync!$AE1774&lt;=99991231),INT(Sync!$AE1774/10000),""),IFERROR(VALUE(TRIM(LEFT(Sync!$AE1774,FIND("/",Sync!$AE1774)-1))),""))))</f>
        <v/>
      </c>
      <c r="H1774">
        <f>IF(OR($F1774="",$G1774=""),"",IF(ISNUMBER(Sync!$AE1774),INT(MOD(Sync!$AE1774,10000)/100),IFERROR(VALUE(TRIM(LEFT(MID(Sync!$AE1774,FIND("/",Sync!$AE1774)+1,20),FIND("/",MID(Sync!$AE1774,FIND("/",Sync!$AE1774)+1,20))-1))),"")))</f>
        <v/>
      </c>
      <c r="I1774">
        <f>IF(OR($F1774="",$G1774=""),"",IF(ISNUMBER(Sync!$AE1774),MOD(Sync!$AE1774,100),IFERROR(VALUE(TRIM(MID(MID(Sync!$AE1774,FIND("/",Sync!$AE1774)+1,20),FIND("/",MID(Sync!$AE1774,FIND("/",Sync!$AE1774)+1,20))+1,20))),"")))</f>
        <v/>
      </c>
      <c r="J1774">
        <f>IF($F1774="","",IF(OR($G1774="",$H1774="",$I1774="",$G1774&lt;1300,$G1774&gt;1500,$H1774&lt;1,$H1774&gt;12,$I1774&lt;1,$I1774&gt;31),"نامعتبر",RIGHT("0000"&amp;$G1774,4)&amp;"/"&amp;RIGHT("00"&amp;$H1774,2)&amp;"/"&amp;RIGHT("00"&amp;$I1774,2)))</f>
        <v/>
      </c>
      <c r="K1774">
        <f>IF(OR($F1774="",$J1774="",$J1774="نامعتبر"),"",LEFT($J1774,4)&amp;MID($J1774,6,2)&amp;RIGHT($J1774,2)&amp;$N1774&amp;"|"&amp;"2"&amp;RIGHT("00000"&amp;1769,5))</f>
        <v/>
      </c>
      <c r="L1774">
        <f>IF($K1774="","",COUNTIFS(LdgSellerA,$F1774,LdgKeyA,"&lt;"&amp;$K1774)+COUNTIFS(LdgSellerB,$F1774,LdgKeyB,"&lt;"&amp;$K1774)+1)</f>
        <v/>
      </c>
      <c r="M1774">
        <f>IF($L1774="","",$F1774&amp;"|"&amp;RIGHT("000000"&amp;$L1774,6))</f>
        <v/>
      </c>
      <c r="N1774">
        <f>IF($F1774="","",IF(Sync!$AF1774="","0000",IF(AND(ISNUMBER(Sync!$AF1774),Sync!$AF1774&gt;=0,Sync!$AF1774&lt;1),RIGHT("00"&amp;HOUR(Sync!$AF1774),2)&amp;RIGHT("00"&amp;MINUTE(Sync!$AF1774),2),IFERROR(RIGHT("00"&amp;VALUE(LEFT(Sync!$AF1774,FIND(":",Sync!$AF1774)-1)),2)&amp;RIGHT("00"&amp;VALUE(MID(Sync!$AF1774,FIND(":",Sync!$AF1774)+1,2)),2),"0000"))))</f>
        <v/>
      </c>
    </row>
    <row r="1775">
      <c r="A1775">
        <f>IF(OR(Calc!$E1779="",Calc!$E1779="نامعتبر",Calc!$G1779=""),"",Calc!$G1779)</f>
        <v/>
      </c>
      <c r="B1775">
        <f>IF($A1775="","",LEFT(Calc!$E1779,4)&amp;MID(Calc!$E1779,6,2)&amp;RIGHT(Calc!$E1779,2)&amp;Calc!$Q1779&amp;"|"&amp;"1"&amp;RIGHT("00000"&amp;1770,5))</f>
        <v/>
      </c>
      <c r="C1775">
        <f>IF($B1775="","",COUNTIFS(LdgSellerA,$A1775,LdgKeyA,"&lt;"&amp;$B1775)+COUNTIFS(LdgSellerB,$A1775,LdgKeyB,"&lt;"&amp;$B1775)+1)</f>
        <v/>
      </c>
      <c r="D1775">
        <f>IF($C1775="","",$A1775&amp;"|"&amp;RIGHT("000000"&amp;$C1775,6))</f>
        <v/>
      </c>
      <c r="F1775">
        <f>IF(Sync!$AH1775="","",IF(LEFT(UPPER(TRIM(Sync!$AH1775)),2)="SL",UPPER(TRIM(Sync!$AH1775)),""))</f>
        <v/>
      </c>
      <c r="G1775">
        <f>IF($F1775="","",IF(Sync!$AE1775="","",IF(ISNUMBER(Sync!$AE1775),IF(AND(Sync!$AE1775&gt;=10000101,Sync!$AE1775&lt;=99991231),INT(Sync!$AE1775/10000),""),IFERROR(VALUE(TRIM(LEFT(Sync!$AE1775,FIND("/",Sync!$AE1775)-1))),""))))</f>
        <v/>
      </c>
      <c r="H1775">
        <f>IF(OR($F1775="",$G1775=""),"",IF(ISNUMBER(Sync!$AE1775),INT(MOD(Sync!$AE1775,10000)/100),IFERROR(VALUE(TRIM(LEFT(MID(Sync!$AE1775,FIND("/",Sync!$AE1775)+1,20),FIND("/",MID(Sync!$AE1775,FIND("/",Sync!$AE1775)+1,20))-1))),"")))</f>
        <v/>
      </c>
      <c r="I1775">
        <f>IF(OR($F1775="",$G1775=""),"",IF(ISNUMBER(Sync!$AE1775),MOD(Sync!$AE1775,100),IFERROR(VALUE(TRIM(MID(MID(Sync!$AE1775,FIND("/",Sync!$AE1775)+1,20),FIND("/",MID(Sync!$AE1775,FIND("/",Sync!$AE1775)+1,20))+1,20))),"")))</f>
        <v/>
      </c>
      <c r="J1775">
        <f>IF($F1775="","",IF(OR($G1775="",$H1775="",$I1775="",$G1775&lt;1300,$G1775&gt;1500,$H1775&lt;1,$H1775&gt;12,$I1775&lt;1,$I1775&gt;31),"نامعتبر",RIGHT("0000"&amp;$G1775,4)&amp;"/"&amp;RIGHT("00"&amp;$H1775,2)&amp;"/"&amp;RIGHT("00"&amp;$I1775,2)))</f>
        <v/>
      </c>
      <c r="K1775">
        <f>IF(OR($F1775="",$J1775="",$J1775="نامعتبر"),"",LEFT($J1775,4)&amp;MID($J1775,6,2)&amp;RIGHT($J1775,2)&amp;$N1775&amp;"|"&amp;"2"&amp;RIGHT("00000"&amp;1770,5))</f>
        <v/>
      </c>
      <c r="L1775">
        <f>IF($K1775="","",COUNTIFS(LdgSellerA,$F1775,LdgKeyA,"&lt;"&amp;$K1775)+COUNTIFS(LdgSellerB,$F1775,LdgKeyB,"&lt;"&amp;$K1775)+1)</f>
        <v/>
      </c>
      <c r="M1775">
        <f>IF($L1775="","",$F1775&amp;"|"&amp;RIGHT("000000"&amp;$L1775,6))</f>
        <v/>
      </c>
      <c r="N1775">
        <f>IF($F1775="","",IF(Sync!$AF1775="","0000",IF(AND(ISNUMBER(Sync!$AF1775),Sync!$AF1775&gt;=0,Sync!$AF1775&lt;1),RIGHT("00"&amp;HOUR(Sync!$AF1775),2)&amp;RIGHT("00"&amp;MINUTE(Sync!$AF1775),2),IFERROR(RIGHT("00"&amp;VALUE(LEFT(Sync!$AF1775,FIND(":",Sync!$AF1775)-1)),2)&amp;RIGHT("00"&amp;VALUE(MID(Sync!$AF1775,FIND(":",Sync!$AF1775)+1,2)),2),"0000"))))</f>
        <v/>
      </c>
    </row>
    <row r="1776">
      <c r="A1776">
        <f>IF(OR(Calc!$E1780="",Calc!$E1780="نامعتبر",Calc!$G1780=""),"",Calc!$G1780)</f>
        <v/>
      </c>
      <c r="B1776">
        <f>IF($A1776="","",LEFT(Calc!$E1780,4)&amp;MID(Calc!$E1780,6,2)&amp;RIGHT(Calc!$E1780,2)&amp;Calc!$Q1780&amp;"|"&amp;"1"&amp;RIGHT("00000"&amp;1771,5))</f>
        <v/>
      </c>
      <c r="C1776">
        <f>IF($B1776="","",COUNTIFS(LdgSellerA,$A1776,LdgKeyA,"&lt;"&amp;$B1776)+COUNTIFS(LdgSellerB,$A1776,LdgKeyB,"&lt;"&amp;$B1776)+1)</f>
        <v/>
      </c>
      <c r="D1776">
        <f>IF($C1776="","",$A1776&amp;"|"&amp;RIGHT("000000"&amp;$C1776,6))</f>
        <v/>
      </c>
      <c r="F1776">
        <f>IF(Sync!$AH1776="","",IF(LEFT(UPPER(TRIM(Sync!$AH1776)),2)="SL",UPPER(TRIM(Sync!$AH1776)),""))</f>
        <v/>
      </c>
      <c r="G1776">
        <f>IF($F1776="","",IF(Sync!$AE1776="","",IF(ISNUMBER(Sync!$AE1776),IF(AND(Sync!$AE1776&gt;=10000101,Sync!$AE1776&lt;=99991231),INT(Sync!$AE1776/10000),""),IFERROR(VALUE(TRIM(LEFT(Sync!$AE1776,FIND("/",Sync!$AE1776)-1))),""))))</f>
        <v/>
      </c>
      <c r="H1776">
        <f>IF(OR($F1776="",$G1776=""),"",IF(ISNUMBER(Sync!$AE1776),INT(MOD(Sync!$AE1776,10000)/100),IFERROR(VALUE(TRIM(LEFT(MID(Sync!$AE1776,FIND("/",Sync!$AE1776)+1,20),FIND("/",MID(Sync!$AE1776,FIND("/",Sync!$AE1776)+1,20))-1))),"")))</f>
        <v/>
      </c>
      <c r="I1776">
        <f>IF(OR($F1776="",$G1776=""),"",IF(ISNUMBER(Sync!$AE1776),MOD(Sync!$AE1776,100),IFERROR(VALUE(TRIM(MID(MID(Sync!$AE1776,FIND("/",Sync!$AE1776)+1,20),FIND("/",MID(Sync!$AE1776,FIND("/",Sync!$AE1776)+1,20))+1,20))),"")))</f>
        <v/>
      </c>
      <c r="J1776">
        <f>IF($F1776="","",IF(OR($G1776="",$H1776="",$I1776="",$G1776&lt;1300,$G1776&gt;1500,$H1776&lt;1,$H1776&gt;12,$I1776&lt;1,$I1776&gt;31),"نامعتبر",RIGHT("0000"&amp;$G1776,4)&amp;"/"&amp;RIGHT("00"&amp;$H1776,2)&amp;"/"&amp;RIGHT("00"&amp;$I1776,2)))</f>
        <v/>
      </c>
      <c r="K1776">
        <f>IF(OR($F1776="",$J1776="",$J1776="نامعتبر"),"",LEFT($J1776,4)&amp;MID($J1776,6,2)&amp;RIGHT($J1776,2)&amp;$N1776&amp;"|"&amp;"2"&amp;RIGHT("00000"&amp;1771,5))</f>
        <v/>
      </c>
      <c r="L1776">
        <f>IF($K1776="","",COUNTIFS(LdgSellerA,$F1776,LdgKeyA,"&lt;"&amp;$K1776)+COUNTIFS(LdgSellerB,$F1776,LdgKeyB,"&lt;"&amp;$K1776)+1)</f>
        <v/>
      </c>
      <c r="M1776">
        <f>IF($L1776="","",$F1776&amp;"|"&amp;RIGHT("000000"&amp;$L1776,6))</f>
        <v/>
      </c>
      <c r="N1776">
        <f>IF($F1776="","",IF(Sync!$AF1776="","0000",IF(AND(ISNUMBER(Sync!$AF1776),Sync!$AF1776&gt;=0,Sync!$AF1776&lt;1),RIGHT("00"&amp;HOUR(Sync!$AF1776),2)&amp;RIGHT("00"&amp;MINUTE(Sync!$AF1776),2),IFERROR(RIGHT("00"&amp;VALUE(LEFT(Sync!$AF1776,FIND(":",Sync!$AF1776)-1)),2)&amp;RIGHT("00"&amp;VALUE(MID(Sync!$AF1776,FIND(":",Sync!$AF1776)+1,2)),2),"0000"))))</f>
        <v/>
      </c>
    </row>
    <row r="1777">
      <c r="A1777">
        <f>IF(OR(Calc!$E1781="",Calc!$E1781="نامعتبر",Calc!$G1781=""),"",Calc!$G1781)</f>
        <v/>
      </c>
      <c r="B1777">
        <f>IF($A1777="","",LEFT(Calc!$E1781,4)&amp;MID(Calc!$E1781,6,2)&amp;RIGHT(Calc!$E1781,2)&amp;Calc!$Q1781&amp;"|"&amp;"1"&amp;RIGHT("00000"&amp;1772,5))</f>
        <v/>
      </c>
      <c r="C1777">
        <f>IF($B1777="","",COUNTIFS(LdgSellerA,$A1777,LdgKeyA,"&lt;"&amp;$B1777)+COUNTIFS(LdgSellerB,$A1777,LdgKeyB,"&lt;"&amp;$B1777)+1)</f>
        <v/>
      </c>
      <c r="D1777">
        <f>IF($C1777="","",$A1777&amp;"|"&amp;RIGHT("000000"&amp;$C1777,6))</f>
        <v/>
      </c>
      <c r="F1777">
        <f>IF(Sync!$AH1777="","",IF(LEFT(UPPER(TRIM(Sync!$AH1777)),2)="SL",UPPER(TRIM(Sync!$AH1777)),""))</f>
        <v/>
      </c>
      <c r="G1777">
        <f>IF($F1777="","",IF(Sync!$AE1777="","",IF(ISNUMBER(Sync!$AE1777),IF(AND(Sync!$AE1777&gt;=10000101,Sync!$AE1777&lt;=99991231),INT(Sync!$AE1777/10000),""),IFERROR(VALUE(TRIM(LEFT(Sync!$AE1777,FIND("/",Sync!$AE1777)-1))),""))))</f>
        <v/>
      </c>
      <c r="H1777">
        <f>IF(OR($F1777="",$G1777=""),"",IF(ISNUMBER(Sync!$AE1777),INT(MOD(Sync!$AE1777,10000)/100),IFERROR(VALUE(TRIM(LEFT(MID(Sync!$AE1777,FIND("/",Sync!$AE1777)+1,20),FIND("/",MID(Sync!$AE1777,FIND("/",Sync!$AE1777)+1,20))-1))),"")))</f>
        <v/>
      </c>
      <c r="I1777">
        <f>IF(OR($F1777="",$G1777=""),"",IF(ISNUMBER(Sync!$AE1777),MOD(Sync!$AE1777,100),IFERROR(VALUE(TRIM(MID(MID(Sync!$AE1777,FIND("/",Sync!$AE1777)+1,20),FIND("/",MID(Sync!$AE1777,FIND("/",Sync!$AE1777)+1,20))+1,20))),"")))</f>
        <v/>
      </c>
      <c r="J1777">
        <f>IF($F1777="","",IF(OR($G1777="",$H1777="",$I1777="",$G1777&lt;1300,$G1777&gt;1500,$H1777&lt;1,$H1777&gt;12,$I1777&lt;1,$I1777&gt;31),"نامعتبر",RIGHT("0000"&amp;$G1777,4)&amp;"/"&amp;RIGHT("00"&amp;$H1777,2)&amp;"/"&amp;RIGHT("00"&amp;$I1777,2)))</f>
        <v/>
      </c>
      <c r="K1777">
        <f>IF(OR($F1777="",$J1777="",$J1777="نامعتبر"),"",LEFT($J1777,4)&amp;MID($J1777,6,2)&amp;RIGHT($J1777,2)&amp;$N1777&amp;"|"&amp;"2"&amp;RIGHT("00000"&amp;1772,5))</f>
        <v/>
      </c>
      <c r="L1777">
        <f>IF($K1777="","",COUNTIFS(LdgSellerA,$F1777,LdgKeyA,"&lt;"&amp;$K1777)+COUNTIFS(LdgSellerB,$F1777,LdgKeyB,"&lt;"&amp;$K1777)+1)</f>
        <v/>
      </c>
      <c r="M1777">
        <f>IF($L1777="","",$F1777&amp;"|"&amp;RIGHT("000000"&amp;$L1777,6))</f>
        <v/>
      </c>
      <c r="N1777">
        <f>IF($F1777="","",IF(Sync!$AF1777="","0000",IF(AND(ISNUMBER(Sync!$AF1777),Sync!$AF1777&gt;=0,Sync!$AF1777&lt;1),RIGHT("00"&amp;HOUR(Sync!$AF1777),2)&amp;RIGHT("00"&amp;MINUTE(Sync!$AF1777),2),IFERROR(RIGHT("00"&amp;VALUE(LEFT(Sync!$AF1777,FIND(":",Sync!$AF1777)-1)),2)&amp;RIGHT("00"&amp;VALUE(MID(Sync!$AF1777,FIND(":",Sync!$AF1777)+1,2)),2),"0000"))))</f>
        <v/>
      </c>
    </row>
    <row r="1778">
      <c r="A1778">
        <f>IF(OR(Calc!$E1782="",Calc!$E1782="نامعتبر",Calc!$G1782=""),"",Calc!$G1782)</f>
        <v/>
      </c>
      <c r="B1778">
        <f>IF($A1778="","",LEFT(Calc!$E1782,4)&amp;MID(Calc!$E1782,6,2)&amp;RIGHT(Calc!$E1782,2)&amp;Calc!$Q1782&amp;"|"&amp;"1"&amp;RIGHT("00000"&amp;1773,5))</f>
        <v/>
      </c>
      <c r="C1778">
        <f>IF($B1778="","",COUNTIFS(LdgSellerA,$A1778,LdgKeyA,"&lt;"&amp;$B1778)+COUNTIFS(LdgSellerB,$A1778,LdgKeyB,"&lt;"&amp;$B1778)+1)</f>
        <v/>
      </c>
      <c r="D1778">
        <f>IF($C1778="","",$A1778&amp;"|"&amp;RIGHT("000000"&amp;$C1778,6))</f>
        <v/>
      </c>
      <c r="F1778">
        <f>IF(Sync!$AH1778="","",IF(LEFT(UPPER(TRIM(Sync!$AH1778)),2)="SL",UPPER(TRIM(Sync!$AH1778)),""))</f>
        <v/>
      </c>
      <c r="G1778">
        <f>IF($F1778="","",IF(Sync!$AE1778="","",IF(ISNUMBER(Sync!$AE1778),IF(AND(Sync!$AE1778&gt;=10000101,Sync!$AE1778&lt;=99991231),INT(Sync!$AE1778/10000),""),IFERROR(VALUE(TRIM(LEFT(Sync!$AE1778,FIND("/",Sync!$AE1778)-1))),""))))</f>
        <v/>
      </c>
      <c r="H1778">
        <f>IF(OR($F1778="",$G1778=""),"",IF(ISNUMBER(Sync!$AE1778),INT(MOD(Sync!$AE1778,10000)/100),IFERROR(VALUE(TRIM(LEFT(MID(Sync!$AE1778,FIND("/",Sync!$AE1778)+1,20),FIND("/",MID(Sync!$AE1778,FIND("/",Sync!$AE1778)+1,20))-1))),"")))</f>
        <v/>
      </c>
      <c r="I1778">
        <f>IF(OR($F1778="",$G1778=""),"",IF(ISNUMBER(Sync!$AE1778),MOD(Sync!$AE1778,100),IFERROR(VALUE(TRIM(MID(MID(Sync!$AE1778,FIND("/",Sync!$AE1778)+1,20),FIND("/",MID(Sync!$AE1778,FIND("/",Sync!$AE1778)+1,20))+1,20))),"")))</f>
        <v/>
      </c>
      <c r="J1778">
        <f>IF($F1778="","",IF(OR($G1778="",$H1778="",$I1778="",$G1778&lt;1300,$G1778&gt;1500,$H1778&lt;1,$H1778&gt;12,$I1778&lt;1,$I1778&gt;31),"نامعتبر",RIGHT("0000"&amp;$G1778,4)&amp;"/"&amp;RIGHT("00"&amp;$H1778,2)&amp;"/"&amp;RIGHT("00"&amp;$I1778,2)))</f>
        <v/>
      </c>
      <c r="K1778">
        <f>IF(OR($F1778="",$J1778="",$J1778="نامعتبر"),"",LEFT($J1778,4)&amp;MID($J1778,6,2)&amp;RIGHT($J1778,2)&amp;$N1778&amp;"|"&amp;"2"&amp;RIGHT("00000"&amp;1773,5))</f>
        <v/>
      </c>
      <c r="L1778">
        <f>IF($K1778="","",COUNTIFS(LdgSellerA,$F1778,LdgKeyA,"&lt;"&amp;$K1778)+COUNTIFS(LdgSellerB,$F1778,LdgKeyB,"&lt;"&amp;$K1778)+1)</f>
        <v/>
      </c>
      <c r="M1778">
        <f>IF($L1778="","",$F1778&amp;"|"&amp;RIGHT("000000"&amp;$L1778,6))</f>
        <v/>
      </c>
      <c r="N1778">
        <f>IF($F1778="","",IF(Sync!$AF1778="","0000",IF(AND(ISNUMBER(Sync!$AF1778),Sync!$AF1778&gt;=0,Sync!$AF1778&lt;1),RIGHT("00"&amp;HOUR(Sync!$AF1778),2)&amp;RIGHT("00"&amp;MINUTE(Sync!$AF1778),2),IFERROR(RIGHT("00"&amp;VALUE(LEFT(Sync!$AF1778,FIND(":",Sync!$AF1778)-1)),2)&amp;RIGHT("00"&amp;VALUE(MID(Sync!$AF1778,FIND(":",Sync!$AF1778)+1,2)),2),"0000"))))</f>
        <v/>
      </c>
    </row>
    <row r="1779">
      <c r="A1779">
        <f>IF(OR(Calc!$E1783="",Calc!$E1783="نامعتبر",Calc!$G1783=""),"",Calc!$G1783)</f>
        <v/>
      </c>
      <c r="B1779">
        <f>IF($A1779="","",LEFT(Calc!$E1783,4)&amp;MID(Calc!$E1783,6,2)&amp;RIGHT(Calc!$E1783,2)&amp;Calc!$Q1783&amp;"|"&amp;"1"&amp;RIGHT("00000"&amp;1774,5))</f>
        <v/>
      </c>
      <c r="C1779">
        <f>IF($B1779="","",COUNTIFS(LdgSellerA,$A1779,LdgKeyA,"&lt;"&amp;$B1779)+COUNTIFS(LdgSellerB,$A1779,LdgKeyB,"&lt;"&amp;$B1779)+1)</f>
        <v/>
      </c>
      <c r="D1779">
        <f>IF($C1779="","",$A1779&amp;"|"&amp;RIGHT("000000"&amp;$C1779,6))</f>
        <v/>
      </c>
      <c r="F1779">
        <f>IF(Sync!$AH1779="","",IF(LEFT(UPPER(TRIM(Sync!$AH1779)),2)="SL",UPPER(TRIM(Sync!$AH1779)),""))</f>
        <v/>
      </c>
      <c r="G1779">
        <f>IF($F1779="","",IF(Sync!$AE1779="","",IF(ISNUMBER(Sync!$AE1779),IF(AND(Sync!$AE1779&gt;=10000101,Sync!$AE1779&lt;=99991231),INT(Sync!$AE1779/10000),""),IFERROR(VALUE(TRIM(LEFT(Sync!$AE1779,FIND("/",Sync!$AE1779)-1))),""))))</f>
        <v/>
      </c>
      <c r="H1779">
        <f>IF(OR($F1779="",$G1779=""),"",IF(ISNUMBER(Sync!$AE1779),INT(MOD(Sync!$AE1779,10000)/100),IFERROR(VALUE(TRIM(LEFT(MID(Sync!$AE1779,FIND("/",Sync!$AE1779)+1,20),FIND("/",MID(Sync!$AE1779,FIND("/",Sync!$AE1779)+1,20))-1))),"")))</f>
        <v/>
      </c>
      <c r="I1779">
        <f>IF(OR($F1779="",$G1779=""),"",IF(ISNUMBER(Sync!$AE1779),MOD(Sync!$AE1779,100),IFERROR(VALUE(TRIM(MID(MID(Sync!$AE1779,FIND("/",Sync!$AE1779)+1,20),FIND("/",MID(Sync!$AE1779,FIND("/",Sync!$AE1779)+1,20))+1,20))),"")))</f>
        <v/>
      </c>
      <c r="J1779">
        <f>IF($F1779="","",IF(OR($G1779="",$H1779="",$I1779="",$G1779&lt;1300,$G1779&gt;1500,$H1779&lt;1,$H1779&gt;12,$I1779&lt;1,$I1779&gt;31),"نامعتبر",RIGHT("0000"&amp;$G1779,4)&amp;"/"&amp;RIGHT("00"&amp;$H1779,2)&amp;"/"&amp;RIGHT("00"&amp;$I1779,2)))</f>
        <v/>
      </c>
      <c r="K1779">
        <f>IF(OR($F1779="",$J1779="",$J1779="نامعتبر"),"",LEFT($J1779,4)&amp;MID($J1779,6,2)&amp;RIGHT($J1779,2)&amp;$N1779&amp;"|"&amp;"2"&amp;RIGHT("00000"&amp;1774,5))</f>
        <v/>
      </c>
      <c r="L1779">
        <f>IF($K1779="","",COUNTIFS(LdgSellerA,$F1779,LdgKeyA,"&lt;"&amp;$K1779)+COUNTIFS(LdgSellerB,$F1779,LdgKeyB,"&lt;"&amp;$K1779)+1)</f>
        <v/>
      </c>
      <c r="M1779">
        <f>IF($L1779="","",$F1779&amp;"|"&amp;RIGHT("000000"&amp;$L1779,6))</f>
        <v/>
      </c>
      <c r="N1779">
        <f>IF($F1779="","",IF(Sync!$AF1779="","0000",IF(AND(ISNUMBER(Sync!$AF1779),Sync!$AF1779&gt;=0,Sync!$AF1779&lt;1),RIGHT("00"&amp;HOUR(Sync!$AF1779),2)&amp;RIGHT("00"&amp;MINUTE(Sync!$AF1779),2),IFERROR(RIGHT("00"&amp;VALUE(LEFT(Sync!$AF1779,FIND(":",Sync!$AF1779)-1)),2)&amp;RIGHT("00"&amp;VALUE(MID(Sync!$AF1779,FIND(":",Sync!$AF1779)+1,2)),2),"0000"))))</f>
        <v/>
      </c>
    </row>
    <row r="1780">
      <c r="A1780">
        <f>IF(OR(Calc!$E1784="",Calc!$E1784="نامعتبر",Calc!$G1784=""),"",Calc!$G1784)</f>
        <v/>
      </c>
      <c r="B1780">
        <f>IF($A1780="","",LEFT(Calc!$E1784,4)&amp;MID(Calc!$E1784,6,2)&amp;RIGHT(Calc!$E1784,2)&amp;Calc!$Q1784&amp;"|"&amp;"1"&amp;RIGHT("00000"&amp;1775,5))</f>
        <v/>
      </c>
      <c r="C1780">
        <f>IF($B1780="","",COUNTIFS(LdgSellerA,$A1780,LdgKeyA,"&lt;"&amp;$B1780)+COUNTIFS(LdgSellerB,$A1780,LdgKeyB,"&lt;"&amp;$B1780)+1)</f>
        <v/>
      </c>
      <c r="D1780">
        <f>IF($C1780="","",$A1780&amp;"|"&amp;RIGHT("000000"&amp;$C1780,6))</f>
        <v/>
      </c>
      <c r="F1780">
        <f>IF(Sync!$AH1780="","",IF(LEFT(UPPER(TRIM(Sync!$AH1780)),2)="SL",UPPER(TRIM(Sync!$AH1780)),""))</f>
        <v/>
      </c>
      <c r="G1780">
        <f>IF($F1780="","",IF(Sync!$AE1780="","",IF(ISNUMBER(Sync!$AE1780),IF(AND(Sync!$AE1780&gt;=10000101,Sync!$AE1780&lt;=99991231),INT(Sync!$AE1780/10000),""),IFERROR(VALUE(TRIM(LEFT(Sync!$AE1780,FIND("/",Sync!$AE1780)-1))),""))))</f>
        <v/>
      </c>
      <c r="H1780">
        <f>IF(OR($F1780="",$G1780=""),"",IF(ISNUMBER(Sync!$AE1780),INT(MOD(Sync!$AE1780,10000)/100),IFERROR(VALUE(TRIM(LEFT(MID(Sync!$AE1780,FIND("/",Sync!$AE1780)+1,20),FIND("/",MID(Sync!$AE1780,FIND("/",Sync!$AE1780)+1,20))-1))),"")))</f>
        <v/>
      </c>
      <c r="I1780">
        <f>IF(OR($F1780="",$G1780=""),"",IF(ISNUMBER(Sync!$AE1780),MOD(Sync!$AE1780,100),IFERROR(VALUE(TRIM(MID(MID(Sync!$AE1780,FIND("/",Sync!$AE1780)+1,20),FIND("/",MID(Sync!$AE1780,FIND("/",Sync!$AE1780)+1,20))+1,20))),"")))</f>
        <v/>
      </c>
      <c r="J1780">
        <f>IF($F1780="","",IF(OR($G1780="",$H1780="",$I1780="",$G1780&lt;1300,$G1780&gt;1500,$H1780&lt;1,$H1780&gt;12,$I1780&lt;1,$I1780&gt;31),"نامعتبر",RIGHT("0000"&amp;$G1780,4)&amp;"/"&amp;RIGHT("00"&amp;$H1780,2)&amp;"/"&amp;RIGHT("00"&amp;$I1780,2)))</f>
        <v/>
      </c>
      <c r="K1780">
        <f>IF(OR($F1780="",$J1780="",$J1780="نامعتبر"),"",LEFT($J1780,4)&amp;MID($J1780,6,2)&amp;RIGHT($J1780,2)&amp;$N1780&amp;"|"&amp;"2"&amp;RIGHT("00000"&amp;1775,5))</f>
        <v/>
      </c>
      <c r="L1780">
        <f>IF($K1780="","",COUNTIFS(LdgSellerA,$F1780,LdgKeyA,"&lt;"&amp;$K1780)+COUNTIFS(LdgSellerB,$F1780,LdgKeyB,"&lt;"&amp;$K1780)+1)</f>
        <v/>
      </c>
      <c r="M1780">
        <f>IF($L1780="","",$F1780&amp;"|"&amp;RIGHT("000000"&amp;$L1780,6))</f>
        <v/>
      </c>
      <c r="N1780">
        <f>IF($F1780="","",IF(Sync!$AF1780="","0000",IF(AND(ISNUMBER(Sync!$AF1780),Sync!$AF1780&gt;=0,Sync!$AF1780&lt;1),RIGHT("00"&amp;HOUR(Sync!$AF1780),2)&amp;RIGHT("00"&amp;MINUTE(Sync!$AF1780),2),IFERROR(RIGHT("00"&amp;VALUE(LEFT(Sync!$AF1780,FIND(":",Sync!$AF1780)-1)),2)&amp;RIGHT("00"&amp;VALUE(MID(Sync!$AF1780,FIND(":",Sync!$AF1780)+1,2)),2),"0000"))))</f>
        <v/>
      </c>
    </row>
    <row r="1781">
      <c r="A1781">
        <f>IF(OR(Calc!$E1785="",Calc!$E1785="نامعتبر",Calc!$G1785=""),"",Calc!$G1785)</f>
        <v/>
      </c>
      <c r="B1781">
        <f>IF($A1781="","",LEFT(Calc!$E1785,4)&amp;MID(Calc!$E1785,6,2)&amp;RIGHT(Calc!$E1785,2)&amp;Calc!$Q1785&amp;"|"&amp;"1"&amp;RIGHT("00000"&amp;1776,5))</f>
        <v/>
      </c>
      <c r="C1781">
        <f>IF($B1781="","",COUNTIFS(LdgSellerA,$A1781,LdgKeyA,"&lt;"&amp;$B1781)+COUNTIFS(LdgSellerB,$A1781,LdgKeyB,"&lt;"&amp;$B1781)+1)</f>
        <v/>
      </c>
      <c r="D1781">
        <f>IF($C1781="","",$A1781&amp;"|"&amp;RIGHT("000000"&amp;$C1781,6))</f>
        <v/>
      </c>
      <c r="F1781">
        <f>IF(Sync!$AH1781="","",IF(LEFT(UPPER(TRIM(Sync!$AH1781)),2)="SL",UPPER(TRIM(Sync!$AH1781)),""))</f>
        <v/>
      </c>
      <c r="G1781">
        <f>IF($F1781="","",IF(Sync!$AE1781="","",IF(ISNUMBER(Sync!$AE1781),IF(AND(Sync!$AE1781&gt;=10000101,Sync!$AE1781&lt;=99991231),INT(Sync!$AE1781/10000),""),IFERROR(VALUE(TRIM(LEFT(Sync!$AE1781,FIND("/",Sync!$AE1781)-1))),""))))</f>
        <v/>
      </c>
      <c r="H1781">
        <f>IF(OR($F1781="",$G1781=""),"",IF(ISNUMBER(Sync!$AE1781),INT(MOD(Sync!$AE1781,10000)/100),IFERROR(VALUE(TRIM(LEFT(MID(Sync!$AE1781,FIND("/",Sync!$AE1781)+1,20),FIND("/",MID(Sync!$AE1781,FIND("/",Sync!$AE1781)+1,20))-1))),"")))</f>
        <v/>
      </c>
      <c r="I1781">
        <f>IF(OR($F1781="",$G1781=""),"",IF(ISNUMBER(Sync!$AE1781),MOD(Sync!$AE1781,100),IFERROR(VALUE(TRIM(MID(MID(Sync!$AE1781,FIND("/",Sync!$AE1781)+1,20),FIND("/",MID(Sync!$AE1781,FIND("/",Sync!$AE1781)+1,20))+1,20))),"")))</f>
        <v/>
      </c>
      <c r="J1781">
        <f>IF($F1781="","",IF(OR($G1781="",$H1781="",$I1781="",$G1781&lt;1300,$G1781&gt;1500,$H1781&lt;1,$H1781&gt;12,$I1781&lt;1,$I1781&gt;31),"نامعتبر",RIGHT("0000"&amp;$G1781,4)&amp;"/"&amp;RIGHT("00"&amp;$H1781,2)&amp;"/"&amp;RIGHT("00"&amp;$I1781,2)))</f>
        <v/>
      </c>
      <c r="K1781">
        <f>IF(OR($F1781="",$J1781="",$J1781="نامعتبر"),"",LEFT($J1781,4)&amp;MID($J1781,6,2)&amp;RIGHT($J1781,2)&amp;$N1781&amp;"|"&amp;"2"&amp;RIGHT("00000"&amp;1776,5))</f>
        <v/>
      </c>
      <c r="L1781">
        <f>IF($K1781="","",COUNTIFS(LdgSellerA,$F1781,LdgKeyA,"&lt;"&amp;$K1781)+COUNTIFS(LdgSellerB,$F1781,LdgKeyB,"&lt;"&amp;$K1781)+1)</f>
        <v/>
      </c>
      <c r="M1781">
        <f>IF($L1781="","",$F1781&amp;"|"&amp;RIGHT("000000"&amp;$L1781,6))</f>
        <v/>
      </c>
      <c r="N1781">
        <f>IF($F1781="","",IF(Sync!$AF1781="","0000",IF(AND(ISNUMBER(Sync!$AF1781),Sync!$AF1781&gt;=0,Sync!$AF1781&lt;1),RIGHT("00"&amp;HOUR(Sync!$AF1781),2)&amp;RIGHT("00"&amp;MINUTE(Sync!$AF1781),2),IFERROR(RIGHT("00"&amp;VALUE(LEFT(Sync!$AF1781,FIND(":",Sync!$AF1781)-1)),2)&amp;RIGHT("00"&amp;VALUE(MID(Sync!$AF1781,FIND(":",Sync!$AF1781)+1,2)),2),"0000"))))</f>
        <v/>
      </c>
    </row>
    <row r="1782">
      <c r="A1782">
        <f>IF(OR(Calc!$E1786="",Calc!$E1786="نامعتبر",Calc!$G1786=""),"",Calc!$G1786)</f>
        <v/>
      </c>
      <c r="B1782">
        <f>IF($A1782="","",LEFT(Calc!$E1786,4)&amp;MID(Calc!$E1786,6,2)&amp;RIGHT(Calc!$E1786,2)&amp;Calc!$Q1786&amp;"|"&amp;"1"&amp;RIGHT("00000"&amp;1777,5))</f>
        <v/>
      </c>
      <c r="C1782">
        <f>IF($B1782="","",COUNTIFS(LdgSellerA,$A1782,LdgKeyA,"&lt;"&amp;$B1782)+COUNTIFS(LdgSellerB,$A1782,LdgKeyB,"&lt;"&amp;$B1782)+1)</f>
        <v/>
      </c>
      <c r="D1782">
        <f>IF($C1782="","",$A1782&amp;"|"&amp;RIGHT("000000"&amp;$C1782,6))</f>
        <v/>
      </c>
      <c r="F1782">
        <f>IF(Sync!$AH1782="","",IF(LEFT(UPPER(TRIM(Sync!$AH1782)),2)="SL",UPPER(TRIM(Sync!$AH1782)),""))</f>
        <v/>
      </c>
      <c r="G1782">
        <f>IF($F1782="","",IF(Sync!$AE1782="","",IF(ISNUMBER(Sync!$AE1782),IF(AND(Sync!$AE1782&gt;=10000101,Sync!$AE1782&lt;=99991231),INT(Sync!$AE1782/10000),""),IFERROR(VALUE(TRIM(LEFT(Sync!$AE1782,FIND("/",Sync!$AE1782)-1))),""))))</f>
        <v/>
      </c>
      <c r="H1782">
        <f>IF(OR($F1782="",$G1782=""),"",IF(ISNUMBER(Sync!$AE1782),INT(MOD(Sync!$AE1782,10000)/100),IFERROR(VALUE(TRIM(LEFT(MID(Sync!$AE1782,FIND("/",Sync!$AE1782)+1,20),FIND("/",MID(Sync!$AE1782,FIND("/",Sync!$AE1782)+1,20))-1))),"")))</f>
        <v/>
      </c>
      <c r="I1782">
        <f>IF(OR($F1782="",$G1782=""),"",IF(ISNUMBER(Sync!$AE1782),MOD(Sync!$AE1782,100),IFERROR(VALUE(TRIM(MID(MID(Sync!$AE1782,FIND("/",Sync!$AE1782)+1,20),FIND("/",MID(Sync!$AE1782,FIND("/",Sync!$AE1782)+1,20))+1,20))),"")))</f>
        <v/>
      </c>
      <c r="J1782">
        <f>IF($F1782="","",IF(OR($G1782="",$H1782="",$I1782="",$G1782&lt;1300,$G1782&gt;1500,$H1782&lt;1,$H1782&gt;12,$I1782&lt;1,$I1782&gt;31),"نامعتبر",RIGHT("0000"&amp;$G1782,4)&amp;"/"&amp;RIGHT("00"&amp;$H1782,2)&amp;"/"&amp;RIGHT("00"&amp;$I1782,2)))</f>
        <v/>
      </c>
      <c r="K1782">
        <f>IF(OR($F1782="",$J1782="",$J1782="نامعتبر"),"",LEFT($J1782,4)&amp;MID($J1782,6,2)&amp;RIGHT($J1782,2)&amp;$N1782&amp;"|"&amp;"2"&amp;RIGHT("00000"&amp;1777,5))</f>
        <v/>
      </c>
      <c r="L1782">
        <f>IF($K1782="","",COUNTIFS(LdgSellerA,$F1782,LdgKeyA,"&lt;"&amp;$K1782)+COUNTIFS(LdgSellerB,$F1782,LdgKeyB,"&lt;"&amp;$K1782)+1)</f>
        <v/>
      </c>
      <c r="M1782">
        <f>IF($L1782="","",$F1782&amp;"|"&amp;RIGHT("000000"&amp;$L1782,6))</f>
        <v/>
      </c>
      <c r="N1782">
        <f>IF($F1782="","",IF(Sync!$AF1782="","0000",IF(AND(ISNUMBER(Sync!$AF1782),Sync!$AF1782&gt;=0,Sync!$AF1782&lt;1),RIGHT("00"&amp;HOUR(Sync!$AF1782),2)&amp;RIGHT("00"&amp;MINUTE(Sync!$AF1782),2),IFERROR(RIGHT("00"&amp;VALUE(LEFT(Sync!$AF1782,FIND(":",Sync!$AF1782)-1)),2)&amp;RIGHT("00"&amp;VALUE(MID(Sync!$AF1782,FIND(":",Sync!$AF1782)+1,2)),2),"0000"))))</f>
        <v/>
      </c>
    </row>
    <row r="1783">
      <c r="A1783">
        <f>IF(OR(Calc!$E1787="",Calc!$E1787="نامعتبر",Calc!$G1787=""),"",Calc!$G1787)</f>
        <v/>
      </c>
      <c r="B1783">
        <f>IF($A1783="","",LEFT(Calc!$E1787,4)&amp;MID(Calc!$E1787,6,2)&amp;RIGHT(Calc!$E1787,2)&amp;Calc!$Q1787&amp;"|"&amp;"1"&amp;RIGHT("00000"&amp;1778,5))</f>
        <v/>
      </c>
      <c r="C1783">
        <f>IF($B1783="","",COUNTIFS(LdgSellerA,$A1783,LdgKeyA,"&lt;"&amp;$B1783)+COUNTIFS(LdgSellerB,$A1783,LdgKeyB,"&lt;"&amp;$B1783)+1)</f>
        <v/>
      </c>
      <c r="D1783">
        <f>IF($C1783="","",$A1783&amp;"|"&amp;RIGHT("000000"&amp;$C1783,6))</f>
        <v/>
      </c>
      <c r="F1783">
        <f>IF(Sync!$AH1783="","",IF(LEFT(UPPER(TRIM(Sync!$AH1783)),2)="SL",UPPER(TRIM(Sync!$AH1783)),""))</f>
        <v/>
      </c>
      <c r="G1783">
        <f>IF($F1783="","",IF(Sync!$AE1783="","",IF(ISNUMBER(Sync!$AE1783),IF(AND(Sync!$AE1783&gt;=10000101,Sync!$AE1783&lt;=99991231),INT(Sync!$AE1783/10000),""),IFERROR(VALUE(TRIM(LEFT(Sync!$AE1783,FIND("/",Sync!$AE1783)-1))),""))))</f>
        <v/>
      </c>
      <c r="H1783">
        <f>IF(OR($F1783="",$G1783=""),"",IF(ISNUMBER(Sync!$AE1783),INT(MOD(Sync!$AE1783,10000)/100),IFERROR(VALUE(TRIM(LEFT(MID(Sync!$AE1783,FIND("/",Sync!$AE1783)+1,20),FIND("/",MID(Sync!$AE1783,FIND("/",Sync!$AE1783)+1,20))-1))),"")))</f>
        <v/>
      </c>
      <c r="I1783">
        <f>IF(OR($F1783="",$G1783=""),"",IF(ISNUMBER(Sync!$AE1783),MOD(Sync!$AE1783,100),IFERROR(VALUE(TRIM(MID(MID(Sync!$AE1783,FIND("/",Sync!$AE1783)+1,20),FIND("/",MID(Sync!$AE1783,FIND("/",Sync!$AE1783)+1,20))+1,20))),"")))</f>
        <v/>
      </c>
      <c r="J1783">
        <f>IF($F1783="","",IF(OR($G1783="",$H1783="",$I1783="",$G1783&lt;1300,$G1783&gt;1500,$H1783&lt;1,$H1783&gt;12,$I1783&lt;1,$I1783&gt;31),"نامعتبر",RIGHT("0000"&amp;$G1783,4)&amp;"/"&amp;RIGHT("00"&amp;$H1783,2)&amp;"/"&amp;RIGHT("00"&amp;$I1783,2)))</f>
        <v/>
      </c>
      <c r="K1783">
        <f>IF(OR($F1783="",$J1783="",$J1783="نامعتبر"),"",LEFT($J1783,4)&amp;MID($J1783,6,2)&amp;RIGHT($J1783,2)&amp;$N1783&amp;"|"&amp;"2"&amp;RIGHT("00000"&amp;1778,5))</f>
        <v/>
      </c>
      <c r="L1783">
        <f>IF($K1783="","",COUNTIFS(LdgSellerA,$F1783,LdgKeyA,"&lt;"&amp;$K1783)+COUNTIFS(LdgSellerB,$F1783,LdgKeyB,"&lt;"&amp;$K1783)+1)</f>
        <v/>
      </c>
      <c r="M1783">
        <f>IF($L1783="","",$F1783&amp;"|"&amp;RIGHT("000000"&amp;$L1783,6))</f>
        <v/>
      </c>
      <c r="N1783">
        <f>IF($F1783="","",IF(Sync!$AF1783="","0000",IF(AND(ISNUMBER(Sync!$AF1783),Sync!$AF1783&gt;=0,Sync!$AF1783&lt;1),RIGHT("00"&amp;HOUR(Sync!$AF1783),2)&amp;RIGHT("00"&amp;MINUTE(Sync!$AF1783),2),IFERROR(RIGHT("00"&amp;VALUE(LEFT(Sync!$AF1783,FIND(":",Sync!$AF1783)-1)),2)&amp;RIGHT("00"&amp;VALUE(MID(Sync!$AF1783,FIND(":",Sync!$AF1783)+1,2)),2),"0000"))))</f>
        <v/>
      </c>
    </row>
    <row r="1784">
      <c r="A1784">
        <f>IF(OR(Calc!$E1788="",Calc!$E1788="نامعتبر",Calc!$G1788=""),"",Calc!$G1788)</f>
        <v/>
      </c>
      <c r="B1784">
        <f>IF($A1784="","",LEFT(Calc!$E1788,4)&amp;MID(Calc!$E1788,6,2)&amp;RIGHT(Calc!$E1788,2)&amp;Calc!$Q1788&amp;"|"&amp;"1"&amp;RIGHT("00000"&amp;1779,5))</f>
        <v/>
      </c>
      <c r="C1784">
        <f>IF($B1784="","",COUNTIFS(LdgSellerA,$A1784,LdgKeyA,"&lt;"&amp;$B1784)+COUNTIFS(LdgSellerB,$A1784,LdgKeyB,"&lt;"&amp;$B1784)+1)</f>
        <v/>
      </c>
      <c r="D1784">
        <f>IF($C1784="","",$A1784&amp;"|"&amp;RIGHT("000000"&amp;$C1784,6))</f>
        <v/>
      </c>
      <c r="F1784">
        <f>IF(Sync!$AH1784="","",IF(LEFT(UPPER(TRIM(Sync!$AH1784)),2)="SL",UPPER(TRIM(Sync!$AH1784)),""))</f>
        <v/>
      </c>
      <c r="G1784">
        <f>IF($F1784="","",IF(Sync!$AE1784="","",IF(ISNUMBER(Sync!$AE1784),IF(AND(Sync!$AE1784&gt;=10000101,Sync!$AE1784&lt;=99991231),INT(Sync!$AE1784/10000),""),IFERROR(VALUE(TRIM(LEFT(Sync!$AE1784,FIND("/",Sync!$AE1784)-1))),""))))</f>
        <v/>
      </c>
      <c r="H1784">
        <f>IF(OR($F1784="",$G1784=""),"",IF(ISNUMBER(Sync!$AE1784),INT(MOD(Sync!$AE1784,10000)/100),IFERROR(VALUE(TRIM(LEFT(MID(Sync!$AE1784,FIND("/",Sync!$AE1784)+1,20),FIND("/",MID(Sync!$AE1784,FIND("/",Sync!$AE1784)+1,20))-1))),"")))</f>
        <v/>
      </c>
      <c r="I1784">
        <f>IF(OR($F1784="",$G1784=""),"",IF(ISNUMBER(Sync!$AE1784),MOD(Sync!$AE1784,100),IFERROR(VALUE(TRIM(MID(MID(Sync!$AE1784,FIND("/",Sync!$AE1784)+1,20),FIND("/",MID(Sync!$AE1784,FIND("/",Sync!$AE1784)+1,20))+1,20))),"")))</f>
        <v/>
      </c>
      <c r="J1784">
        <f>IF($F1784="","",IF(OR($G1784="",$H1784="",$I1784="",$G1784&lt;1300,$G1784&gt;1500,$H1784&lt;1,$H1784&gt;12,$I1784&lt;1,$I1784&gt;31),"نامعتبر",RIGHT("0000"&amp;$G1784,4)&amp;"/"&amp;RIGHT("00"&amp;$H1784,2)&amp;"/"&amp;RIGHT("00"&amp;$I1784,2)))</f>
        <v/>
      </c>
      <c r="K1784">
        <f>IF(OR($F1784="",$J1784="",$J1784="نامعتبر"),"",LEFT($J1784,4)&amp;MID($J1784,6,2)&amp;RIGHT($J1784,2)&amp;$N1784&amp;"|"&amp;"2"&amp;RIGHT("00000"&amp;1779,5))</f>
        <v/>
      </c>
      <c r="L1784">
        <f>IF($K1784="","",COUNTIFS(LdgSellerA,$F1784,LdgKeyA,"&lt;"&amp;$K1784)+COUNTIFS(LdgSellerB,$F1784,LdgKeyB,"&lt;"&amp;$K1784)+1)</f>
        <v/>
      </c>
      <c r="M1784">
        <f>IF($L1784="","",$F1784&amp;"|"&amp;RIGHT("000000"&amp;$L1784,6))</f>
        <v/>
      </c>
      <c r="N1784">
        <f>IF($F1784="","",IF(Sync!$AF1784="","0000",IF(AND(ISNUMBER(Sync!$AF1784),Sync!$AF1784&gt;=0,Sync!$AF1784&lt;1),RIGHT("00"&amp;HOUR(Sync!$AF1784),2)&amp;RIGHT("00"&amp;MINUTE(Sync!$AF1784),2),IFERROR(RIGHT("00"&amp;VALUE(LEFT(Sync!$AF1784,FIND(":",Sync!$AF1784)-1)),2)&amp;RIGHT("00"&amp;VALUE(MID(Sync!$AF1784,FIND(":",Sync!$AF1784)+1,2)),2),"0000"))))</f>
        <v/>
      </c>
    </row>
    <row r="1785">
      <c r="A1785">
        <f>IF(OR(Calc!$E1789="",Calc!$E1789="نامعتبر",Calc!$G1789=""),"",Calc!$G1789)</f>
        <v/>
      </c>
      <c r="B1785">
        <f>IF($A1785="","",LEFT(Calc!$E1789,4)&amp;MID(Calc!$E1789,6,2)&amp;RIGHT(Calc!$E1789,2)&amp;Calc!$Q1789&amp;"|"&amp;"1"&amp;RIGHT("00000"&amp;1780,5))</f>
        <v/>
      </c>
      <c r="C1785">
        <f>IF($B1785="","",COUNTIFS(LdgSellerA,$A1785,LdgKeyA,"&lt;"&amp;$B1785)+COUNTIFS(LdgSellerB,$A1785,LdgKeyB,"&lt;"&amp;$B1785)+1)</f>
        <v/>
      </c>
      <c r="D1785">
        <f>IF($C1785="","",$A1785&amp;"|"&amp;RIGHT("000000"&amp;$C1785,6))</f>
        <v/>
      </c>
      <c r="F1785">
        <f>IF(Sync!$AH1785="","",IF(LEFT(UPPER(TRIM(Sync!$AH1785)),2)="SL",UPPER(TRIM(Sync!$AH1785)),""))</f>
        <v/>
      </c>
      <c r="G1785">
        <f>IF($F1785="","",IF(Sync!$AE1785="","",IF(ISNUMBER(Sync!$AE1785),IF(AND(Sync!$AE1785&gt;=10000101,Sync!$AE1785&lt;=99991231),INT(Sync!$AE1785/10000),""),IFERROR(VALUE(TRIM(LEFT(Sync!$AE1785,FIND("/",Sync!$AE1785)-1))),""))))</f>
        <v/>
      </c>
      <c r="H1785">
        <f>IF(OR($F1785="",$G1785=""),"",IF(ISNUMBER(Sync!$AE1785),INT(MOD(Sync!$AE1785,10000)/100),IFERROR(VALUE(TRIM(LEFT(MID(Sync!$AE1785,FIND("/",Sync!$AE1785)+1,20),FIND("/",MID(Sync!$AE1785,FIND("/",Sync!$AE1785)+1,20))-1))),"")))</f>
        <v/>
      </c>
      <c r="I1785">
        <f>IF(OR($F1785="",$G1785=""),"",IF(ISNUMBER(Sync!$AE1785),MOD(Sync!$AE1785,100),IFERROR(VALUE(TRIM(MID(MID(Sync!$AE1785,FIND("/",Sync!$AE1785)+1,20),FIND("/",MID(Sync!$AE1785,FIND("/",Sync!$AE1785)+1,20))+1,20))),"")))</f>
        <v/>
      </c>
      <c r="J1785">
        <f>IF($F1785="","",IF(OR($G1785="",$H1785="",$I1785="",$G1785&lt;1300,$G1785&gt;1500,$H1785&lt;1,$H1785&gt;12,$I1785&lt;1,$I1785&gt;31),"نامعتبر",RIGHT("0000"&amp;$G1785,4)&amp;"/"&amp;RIGHT("00"&amp;$H1785,2)&amp;"/"&amp;RIGHT("00"&amp;$I1785,2)))</f>
        <v/>
      </c>
      <c r="K1785">
        <f>IF(OR($F1785="",$J1785="",$J1785="نامعتبر"),"",LEFT($J1785,4)&amp;MID($J1785,6,2)&amp;RIGHT($J1785,2)&amp;$N1785&amp;"|"&amp;"2"&amp;RIGHT("00000"&amp;1780,5))</f>
        <v/>
      </c>
      <c r="L1785">
        <f>IF($K1785="","",COUNTIFS(LdgSellerA,$F1785,LdgKeyA,"&lt;"&amp;$K1785)+COUNTIFS(LdgSellerB,$F1785,LdgKeyB,"&lt;"&amp;$K1785)+1)</f>
        <v/>
      </c>
      <c r="M1785">
        <f>IF($L1785="","",$F1785&amp;"|"&amp;RIGHT("000000"&amp;$L1785,6))</f>
        <v/>
      </c>
      <c r="N1785">
        <f>IF($F1785="","",IF(Sync!$AF1785="","0000",IF(AND(ISNUMBER(Sync!$AF1785),Sync!$AF1785&gt;=0,Sync!$AF1785&lt;1),RIGHT("00"&amp;HOUR(Sync!$AF1785),2)&amp;RIGHT("00"&amp;MINUTE(Sync!$AF1785),2),IFERROR(RIGHT("00"&amp;VALUE(LEFT(Sync!$AF1785,FIND(":",Sync!$AF1785)-1)),2)&amp;RIGHT("00"&amp;VALUE(MID(Sync!$AF1785,FIND(":",Sync!$AF1785)+1,2)),2),"0000"))))</f>
        <v/>
      </c>
    </row>
    <row r="1786">
      <c r="A1786">
        <f>IF(OR(Calc!$E1790="",Calc!$E1790="نامعتبر",Calc!$G1790=""),"",Calc!$G1790)</f>
        <v/>
      </c>
      <c r="B1786">
        <f>IF($A1786="","",LEFT(Calc!$E1790,4)&amp;MID(Calc!$E1790,6,2)&amp;RIGHT(Calc!$E1790,2)&amp;Calc!$Q1790&amp;"|"&amp;"1"&amp;RIGHT("00000"&amp;1781,5))</f>
        <v/>
      </c>
      <c r="C1786">
        <f>IF($B1786="","",COUNTIFS(LdgSellerA,$A1786,LdgKeyA,"&lt;"&amp;$B1786)+COUNTIFS(LdgSellerB,$A1786,LdgKeyB,"&lt;"&amp;$B1786)+1)</f>
        <v/>
      </c>
      <c r="D1786">
        <f>IF($C1786="","",$A1786&amp;"|"&amp;RIGHT("000000"&amp;$C1786,6))</f>
        <v/>
      </c>
      <c r="F1786">
        <f>IF(Sync!$AH1786="","",IF(LEFT(UPPER(TRIM(Sync!$AH1786)),2)="SL",UPPER(TRIM(Sync!$AH1786)),""))</f>
        <v/>
      </c>
      <c r="G1786">
        <f>IF($F1786="","",IF(Sync!$AE1786="","",IF(ISNUMBER(Sync!$AE1786),IF(AND(Sync!$AE1786&gt;=10000101,Sync!$AE1786&lt;=99991231),INT(Sync!$AE1786/10000),""),IFERROR(VALUE(TRIM(LEFT(Sync!$AE1786,FIND("/",Sync!$AE1786)-1))),""))))</f>
        <v/>
      </c>
      <c r="H1786">
        <f>IF(OR($F1786="",$G1786=""),"",IF(ISNUMBER(Sync!$AE1786),INT(MOD(Sync!$AE1786,10000)/100),IFERROR(VALUE(TRIM(LEFT(MID(Sync!$AE1786,FIND("/",Sync!$AE1786)+1,20),FIND("/",MID(Sync!$AE1786,FIND("/",Sync!$AE1786)+1,20))-1))),"")))</f>
        <v/>
      </c>
      <c r="I1786">
        <f>IF(OR($F1786="",$G1786=""),"",IF(ISNUMBER(Sync!$AE1786),MOD(Sync!$AE1786,100),IFERROR(VALUE(TRIM(MID(MID(Sync!$AE1786,FIND("/",Sync!$AE1786)+1,20),FIND("/",MID(Sync!$AE1786,FIND("/",Sync!$AE1786)+1,20))+1,20))),"")))</f>
        <v/>
      </c>
      <c r="J1786">
        <f>IF($F1786="","",IF(OR($G1786="",$H1786="",$I1786="",$G1786&lt;1300,$G1786&gt;1500,$H1786&lt;1,$H1786&gt;12,$I1786&lt;1,$I1786&gt;31),"نامعتبر",RIGHT("0000"&amp;$G1786,4)&amp;"/"&amp;RIGHT("00"&amp;$H1786,2)&amp;"/"&amp;RIGHT("00"&amp;$I1786,2)))</f>
        <v/>
      </c>
      <c r="K1786">
        <f>IF(OR($F1786="",$J1786="",$J1786="نامعتبر"),"",LEFT($J1786,4)&amp;MID($J1786,6,2)&amp;RIGHT($J1786,2)&amp;$N1786&amp;"|"&amp;"2"&amp;RIGHT("00000"&amp;1781,5))</f>
        <v/>
      </c>
      <c r="L1786">
        <f>IF($K1786="","",COUNTIFS(LdgSellerA,$F1786,LdgKeyA,"&lt;"&amp;$K1786)+COUNTIFS(LdgSellerB,$F1786,LdgKeyB,"&lt;"&amp;$K1786)+1)</f>
        <v/>
      </c>
      <c r="M1786">
        <f>IF($L1786="","",$F1786&amp;"|"&amp;RIGHT("000000"&amp;$L1786,6))</f>
        <v/>
      </c>
      <c r="N1786">
        <f>IF($F1786="","",IF(Sync!$AF1786="","0000",IF(AND(ISNUMBER(Sync!$AF1786),Sync!$AF1786&gt;=0,Sync!$AF1786&lt;1),RIGHT("00"&amp;HOUR(Sync!$AF1786),2)&amp;RIGHT("00"&amp;MINUTE(Sync!$AF1786),2),IFERROR(RIGHT("00"&amp;VALUE(LEFT(Sync!$AF1786,FIND(":",Sync!$AF1786)-1)),2)&amp;RIGHT("00"&amp;VALUE(MID(Sync!$AF1786,FIND(":",Sync!$AF1786)+1,2)),2),"0000"))))</f>
        <v/>
      </c>
    </row>
    <row r="1787">
      <c r="A1787">
        <f>IF(OR(Calc!$E1791="",Calc!$E1791="نامعتبر",Calc!$G1791=""),"",Calc!$G1791)</f>
        <v/>
      </c>
      <c r="B1787">
        <f>IF($A1787="","",LEFT(Calc!$E1791,4)&amp;MID(Calc!$E1791,6,2)&amp;RIGHT(Calc!$E1791,2)&amp;Calc!$Q1791&amp;"|"&amp;"1"&amp;RIGHT("00000"&amp;1782,5))</f>
        <v/>
      </c>
      <c r="C1787">
        <f>IF($B1787="","",COUNTIFS(LdgSellerA,$A1787,LdgKeyA,"&lt;"&amp;$B1787)+COUNTIFS(LdgSellerB,$A1787,LdgKeyB,"&lt;"&amp;$B1787)+1)</f>
        <v/>
      </c>
      <c r="D1787">
        <f>IF($C1787="","",$A1787&amp;"|"&amp;RIGHT("000000"&amp;$C1787,6))</f>
        <v/>
      </c>
      <c r="F1787">
        <f>IF(Sync!$AH1787="","",IF(LEFT(UPPER(TRIM(Sync!$AH1787)),2)="SL",UPPER(TRIM(Sync!$AH1787)),""))</f>
        <v/>
      </c>
      <c r="G1787">
        <f>IF($F1787="","",IF(Sync!$AE1787="","",IF(ISNUMBER(Sync!$AE1787),IF(AND(Sync!$AE1787&gt;=10000101,Sync!$AE1787&lt;=99991231),INT(Sync!$AE1787/10000),""),IFERROR(VALUE(TRIM(LEFT(Sync!$AE1787,FIND("/",Sync!$AE1787)-1))),""))))</f>
        <v/>
      </c>
      <c r="H1787">
        <f>IF(OR($F1787="",$G1787=""),"",IF(ISNUMBER(Sync!$AE1787),INT(MOD(Sync!$AE1787,10000)/100),IFERROR(VALUE(TRIM(LEFT(MID(Sync!$AE1787,FIND("/",Sync!$AE1787)+1,20),FIND("/",MID(Sync!$AE1787,FIND("/",Sync!$AE1787)+1,20))-1))),"")))</f>
        <v/>
      </c>
      <c r="I1787">
        <f>IF(OR($F1787="",$G1787=""),"",IF(ISNUMBER(Sync!$AE1787),MOD(Sync!$AE1787,100),IFERROR(VALUE(TRIM(MID(MID(Sync!$AE1787,FIND("/",Sync!$AE1787)+1,20),FIND("/",MID(Sync!$AE1787,FIND("/",Sync!$AE1787)+1,20))+1,20))),"")))</f>
        <v/>
      </c>
      <c r="J1787">
        <f>IF($F1787="","",IF(OR($G1787="",$H1787="",$I1787="",$G1787&lt;1300,$G1787&gt;1500,$H1787&lt;1,$H1787&gt;12,$I1787&lt;1,$I1787&gt;31),"نامعتبر",RIGHT("0000"&amp;$G1787,4)&amp;"/"&amp;RIGHT("00"&amp;$H1787,2)&amp;"/"&amp;RIGHT("00"&amp;$I1787,2)))</f>
        <v/>
      </c>
      <c r="K1787">
        <f>IF(OR($F1787="",$J1787="",$J1787="نامعتبر"),"",LEFT($J1787,4)&amp;MID($J1787,6,2)&amp;RIGHT($J1787,2)&amp;$N1787&amp;"|"&amp;"2"&amp;RIGHT("00000"&amp;1782,5))</f>
        <v/>
      </c>
      <c r="L1787">
        <f>IF($K1787="","",COUNTIFS(LdgSellerA,$F1787,LdgKeyA,"&lt;"&amp;$K1787)+COUNTIFS(LdgSellerB,$F1787,LdgKeyB,"&lt;"&amp;$K1787)+1)</f>
        <v/>
      </c>
      <c r="M1787">
        <f>IF($L1787="","",$F1787&amp;"|"&amp;RIGHT("000000"&amp;$L1787,6))</f>
        <v/>
      </c>
      <c r="N1787">
        <f>IF($F1787="","",IF(Sync!$AF1787="","0000",IF(AND(ISNUMBER(Sync!$AF1787),Sync!$AF1787&gt;=0,Sync!$AF1787&lt;1),RIGHT("00"&amp;HOUR(Sync!$AF1787),2)&amp;RIGHT("00"&amp;MINUTE(Sync!$AF1787),2),IFERROR(RIGHT("00"&amp;VALUE(LEFT(Sync!$AF1787,FIND(":",Sync!$AF1787)-1)),2)&amp;RIGHT("00"&amp;VALUE(MID(Sync!$AF1787,FIND(":",Sync!$AF1787)+1,2)),2),"0000"))))</f>
        <v/>
      </c>
    </row>
    <row r="1788">
      <c r="A1788">
        <f>IF(OR(Calc!$E1792="",Calc!$E1792="نامعتبر",Calc!$G1792=""),"",Calc!$G1792)</f>
        <v/>
      </c>
      <c r="B1788">
        <f>IF($A1788="","",LEFT(Calc!$E1792,4)&amp;MID(Calc!$E1792,6,2)&amp;RIGHT(Calc!$E1792,2)&amp;Calc!$Q1792&amp;"|"&amp;"1"&amp;RIGHT("00000"&amp;1783,5))</f>
        <v/>
      </c>
      <c r="C1788">
        <f>IF($B1788="","",COUNTIFS(LdgSellerA,$A1788,LdgKeyA,"&lt;"&amp;$B1788)+COUNTIFS(LdgSellerB,$A1788,LdgKeyB,"&lt;"&amp;$B1788)+1)</f>
        <v/>
      </c>
      <c r="D1788">
        <f>IF($C1788="","",$A1788&amp;"|"&amp;RIGHT("000000"&amp;$C1788,6))</f>
        <v/>
      </c>
      <c r="F1788">
        <f>IF(Sync!$AH1788="","",IF(LEFT(UPPER(TRIM(Sync!$AH1788)),2)="SL",UPPER(TRIM(Sync!$AH1788)),""))</f>
        <v/>
      </c>
      <c r="G1788">
        <f>IF($F1788="","",IF(Sync!$AE1788="","",IF(ISNUMBER(Sync!$AE1788),IF(AND(Sync!$AE1788&gt;=10000101,Sync!$AE1788&lt;=99991231),INT(Sync!$AE1788/10000),""),IFERROR(VALUE(TRIM(LEFT(Sync!$AE1788,FIND("/",Sync!$AE1788)-1))),""))))</f>
        <v/>
      </c>
      <c r="H1788">
        <f>IF(OR($F1788="",$G1788=""),"",IF(ISNUMBER(Sync!$AE1788),INT(MOD(Sync!$AE1788,10000)/100),IFERROR(VALUE(TRIM(LEFT(MID(Sync!$AE1788,FIND("/",Sync!$AE1788)+1,20),FIND("/",MID(Sync!$AE1788,FIND("/",Sync!$AE1788)+1,20))-1))),"")))</f>
        <v/>
      </c>
      <c r="I1788">
        <f>IF(OR($F1788="",$G1788=""),"",IF(ISNUMBER(Sync!$AE1788),MOD(Sync!$AE1788,100),IFERROR(VALUE(TRIM(MID(MID(Sync!$AE1788,FIND("/",Sync!$AE1788)+1,20),FIND("/",MID(Sync!$AE1788,FIND("/",Sync!$AE1788)+1,20))+1,20))),"")))</f>
        <v/>
      </c>
      <c r="J1788">
        <f>IF($F1788="","",IF(OR($G1788="",$H1788="",$I1788="",$G1788&lt;1300,$G1788&gt;1500,$H1788&lt;1,$H1788&gt;12,$I1788&lt;1,$I1788&gt;31),"نامعتبر",RIGHT("0000"&amp;$G1788,4)&amp;"/"&amp;RIGHT("00"&amp;$H1788,2)&amp;"/"&amp;RIGHT("00"&amp;$I1788,2)))</f>
        <v/>
      </c>
      <c r="K1788">
        <f>IF(OR($F1788="",$J1788="",$J1788="نامعتبر"),"",LEFT($J1788,4)&amp;MID($J1788,6,2)&amp;RIGHT($J1788,2)&amp;$N1788&amp;"|"&amp;"2"&amp;RIGHT("00000"&amp;1783,5))</f>
        <v/>
      </c>
      <c r="L1788">
        <f>IF($K1788="","",COUNTIFS(LdgSellerA,$F1788,LdgKeyA,"&lt;"&amp;$K1788)+COUNTIFS(LdgSellerB,$F1788,LdgKeyB,"&lt;"&amp;$K1788)+1)</f>
        <v/>
      </c>
      <c r="M1788">
        <f>IF($L1788="","",$F1788&amp;"|"&amp;RIGHT("000000"&amp;$L1788,6))</f>
        <v/>
      </c>
      <c r="N1788">
        <f>IF($F1788="","",IF(Sync!$AF1788="","0000",IF(AND(ISNUMBER(Sync!$AF1788),Sync!$AF1788&gt;=0,Sync!$AF1788&lt;1),RIGHT("00"&amp;HOUR(Sync!$AF1788),2)&amp;RIGHT("00"&amp;MINUTE(Sync!$AF1788),2),IFERROR(RIGHT("00"&amp;VALUE(LEFT(Sync!$AF1788,FIND(":",Sync!$AF1788)-1)),2)&amp;RIGHT("00"&amp;VALUE(MID(Sync!$AF1788,FIND(":",Sync!$AF1788)+1,2)),2),"0000"))))</f>
        <v/>
      </c>
    </row>
    <row r="1789">
      <c r="A1789">
        <f>IF(OR(Calc!$E1793="",Calc!$E1793="نامعتبر",Calc!$G1793=""),"",Calc!$G1793)</f>
        <v/>
      </c>
      <c r="B1789">
        <f>IF($A1789="","",LEFT(Calc!$E1793,4)&amp;MID(Calc!$E1793,6,2)&amp;RIGHT(Calc!$E1793,2)&amp;Calc!$Q1793&amp;"|"&amp;"1"&amp;RIGHT("00000"&amp;1784,5))</f>
        <v/>
      </c>
      <c r="C1789">
        <f>IF($B1789="","",COUNTIFS(LdgSellerA,$A1789,LdgKeyA,"&lt;"&amp;$B1789)+COUNTIFS(LdgSellerB,$A1789,LdgKeyB,"&lt;"&amp;$B1789)+1)</f>
        <v/>
      </c>
      <c r="D1789">
        <f>IF($C1789="","",$A1789&amp;"|"&amp;RIGHT("000000"&amp;$C1789,6))</f>
        <v/>
      </c>
      <c r="F1789">
        <f>IF(Sync!$AH1789="","",IF(LEFT(UPPER(TRIM(Sync!$AH1789)),2)="SL",UPPER(TRIM(Sync!$AH1789)),""))</f>
        <v/>
      </c>
      <c r="G1789">
        <f>IF($F1789="","",IF(Sync!$AE1789="","",IF(ISNUMBER(Sync!$AE1789),IF(AND(Sync!$AE1789&gt;=10000101,Sync!$AE1789&lt;=99991231),INT(Sync!$AE1789/10000),""),IFERROR(VALUE(TRIM(LEFT(Sync!$AE1789,FIND("/",Sync!$AE1789)-1))),""))))</f>
        <v/>
      </c>
      <c r="H1789">
        <f>IF(OR($F1789="",$G1789=""),"",IF(ISNUMBER(Sync!$AE1789),INT(MOD(Sync!$AE1789,10000)/100),IFERROR(VALUE(TRIM(LEFT(MID(Sync!$AE1789,FIND("/",Sync!$AE1789)+1,20),FIND("/",MID(Sync!$AE1789,FIND("/",Sync!$AE1789)+1,20))-1))),"")))</f>
        <v/>
      </c>
      <c r="I1789">
        <f>IF(OR($F1789="",$G1789=""),"",IF(ISNUMBER(Sync!$AE1789),MOD(Sync!$AE1789,100),IFERROR(VALUE(TRIM(MID(MID(Sync!$AE1789,FIND("/",Sync!$AE1789)+1,20),FIND("/",MID(Sync!$AE1789,FIND("/",Sync!$AE1789)+1,20))+1,20))),"")))</f>
        <v/>
      </c>
      <c r="J1789">
        <f>IF($F1789="","",IF(OR($G1789="",$H1789="",$I1789="",$G1789&lt;1300,$G1789&gt;1500,$H1789&lt;1,$H1789&gt;12,$I1789&lt;1,$I1789&gt;31),"نامعتبر",RIGHT("0000"&amp;$G1789,4)&amp;"/"&amp;RIGHT("00"&amp;$H1789,2)&amp;"/"&amp;RIGHT("00"&amp;$I1789,2)))</f>
        <v/>
      </c>
      <c r="K1789">
        <f>IF(OR($F1789="",$J1789="",$J1789="نامعتبر"),"",LEFT($J1789,4)&amp;MID($J1789,6,2)&amp;RIGHT($J1789,2)&amp;$N1789&amp;"|"&amp;"2"&amp;RIGHT("00000"&amp;1784,5))</f>
        <v/>
      </c>
      <c r="L1789">
        <f>IF($K1789="","",COUNTIFS(LdgSellerA,$F1789,LdgKeyA,"&lt;"&amp;$K1789)+COUNTIFS(LdgSellerB,$F1789,LdgKeyB,"&lt;"&amp;$K1789)+1)</f>
        <v/>
      </c>
      <c r="M1789">
        <f>IF($L1789="","",$F1789&amp;"|"&amp;RIGHT("000000"&amp;$L1789,6))</f>
        <v/>
      </c>
      <c r="N1789">
        <f>IF($F1789="","",IF(Sync!$AF1789="","0000",IF(AND(ISNUMBER(Sync!$AF1789),Sync!$AF1789&gt;=0,Sync!$AF1789&lt;1),RIGHT("00"&amp;HOUR(Sync!$AF1789),2)&amp;RIGHT("00"&amp;MINUTE(Sync!$AF1789),2),IFERROR(RIGHT("00"&amp;VALUE(LEFT(Sync!$AF1789,FIND(":",Sync!$AF1789)-1)),2)&amp;RIGHT("00"&amp;VALUE(MID(Sync!$AF1789,FIND(":",Sync!$AF1789)+1,2)),2),"0000"))))</f>
        <v/>
      </c>
    </row>
    <row r="1790">
      <c r="A1790">
        <f>IF(OR(Calc!$E1794="",Calc!$E1794="نامعتبر",Calc!$G1794=""),"",Calc!$G1794)</f>
        <v/>
      </c>
      <c r="B1790">
        <f>IF($A1790="","",LEFT(Calc!$E1794,4)&amp;MID(Calc!$E1794,6,2)&amp;RIGHT(Calc!$E1794,2)&amp;Calc!$Q1794&amp;"|"&amp;"1"&amp;RIGHT("00000"&amp;1785,5))</f>
        <v/>
      </c>
      <c r="C1790">
        <f>IF($B1790="","",COUNTIFS(LdgSellerA,$A1790,LdgKeyA,"&lt;"&amp;$B1790)+COUNTIFS(LdgSellerB,$A1790,LdgKeyB,"&lt;"&amp;$B1790)+1)</f>
        <v/>
      </c>
      <c r="D1790">
        <f>IF($C1790="","",$A1790&amp;"|"&amp;RIGHT("000000"&amp;$C1790,6))</f>
        <v/>
      </c>
      <c r="F1790">
        <f>IF(Sync!$AH1790="","",IF(LEFT(UPPER(TRIM(Sync!$AH1790)),2)="SL",UPPER(TRIM(Sync!$AH1790)),""))</f>
        <v/>
      </c>
      <c r="G1790">
        <f>IF($F1790="","",IF(Sync!$AE1790="","",IF(ISNUMBER(Sync!$AE1790),IF(AND(Sync!$AE1790&gt;=10000101,Sync!$AE1790&lt;=99991231),INT(Sync!$AE1790/10000),""),IFERROR(VALUE(TRIM(LEFT(Sync!$AE1790,FIND("/",Sync!$AE1790)-1))),""))))</f>
        <v/>
      </c>
      <c r="H1790">
        <f>IF(OR($F1790="",$G1790=""),"",IF(ISNUMBER(Sync!$AE1790),INT(MOD(Sync!$AE1790,10000)/100),IFERROR(VALUE(TRIM(LEFT(MID(Sync!$AE1790,FIND("/",Sync!$AE1790)+1,20),FIND("/",MID(Sync!$AE1790,FIND("/",Sync!$AE1790)+1,20))-1))),"")))</f>
        <v/>
      </c>
      <c r="I1790">
        <f>IF(OR($F1790="",$G1790=""),"",IF(ISNUMBER(Sync!$AE1790),MOD(Sync!$AE1790,100),IFERROR(VALUE(TRIM(MID(MID(Sync!$AE1790,FIND("/",Sync!$AE1790)+1,20),FIND("/",MID(Sync!$AE1790,FIND("/",Sync!$AE1790)+1,20))+1,20))),"")))</f>
        <v/>
      </c>
      <c r="J1790">
        <f>IF($F1790="","",IF(OR($G1790="",$H1790="",$I1790="",$G1790&lt;1300,$G1790&gt;1500,$H1790&lt;1,$H1790&gt;12,$I1790&lt;1,$I1790&gt;31),"نامعتبر",RIGHT("0000"&amp;$G1790,4)&amp;"/"&amp;RIGHT("00"&amp;$H1790,2)&amp;"/"&amp;RIGHT("00"&amp;$I1790,2)))</f>
        <v/>
      </c>
      <c r="K1790">
        <f>IF(OR($F1790="",$J1790="",$J1790="نامعتبر"),"",LEFT($J1790,4)&amp;MID($J1790,6,2)&amp;RIGHT($J1790,2)&amp;$N1790&amp;"|"&amp;"2"&amp;RIGHT("00000"&amp;1785,5))</f>
        <v/>
      </c>
      <c r="L1790">
        <f>IF($K1790="","",COUNTIFS(LdgSellerA,$F1790,LdgKeyA,"&lt;"&amp;$K1790)+COUNTIFS(LdgSellerB,$F1790,LdgKeyB,"&lt;"&amp;$K1790)+1)</f>
        <v/>
      </c>
      <c r="M1790">
        <f>IF($L1790="","",$F1790&amp;"|"&amp;RIGHT("000000"&amp;$L1790,6))</f>
        <v/>
      </c>
      <c r="N1790">
        <f>IF($F1790="","",IF(Sync!$AF1790="","0000",IF(AND(ISNUMBER(Sync!$AF1790),Sync!$AF1790&gt;=0,Sync!$AF1790&lt;1),RIGHT("00"&amp;HOUR(Sync!$AF1790),2)&amp;RIGHT("00"&amp;MINUTE(Sync!$AF1790),2),IFERROR(RIGHT("00"&amp;VALUE(LEFT(Sync!$AF1790,FIND(":",Sync!$AF1790)-1)),2)&amp;RIGHT("00"&amp;VALUE(MID(Sync!$AF1790,FIND(":",Sync!$AF1790)+1,2)),2),"0000"))))</f>
        <v/>
      </c>
    </row>
    <row r="1791">
      <c r="A1791">
        <f>IF(OR(Calc!$E1795="",Calc!$E1795="نامعتبر",Calc!$G1795=""),"",Calc!$G1795)</f>
        <v/>
      </c>
      <c r="B1791">
        <f>IF($A1791="","",LEFT(Calc!$E1795,4)&amp;MID(Calc!$E1795,6,2)&amp;RIGHT(Calc!$E1795,2)&amp;Calc!$Q1795&amp;"|"&amp;"1"&amp;RIGHT("00000"&amp;1786,5))</f>
        <v/>
      </c>
      <c r="C1791">
        <f>IF($B1791="","",COUNTIFS(LdgSellerA,$A1791,LdgKeyA,"&lt;"&amp;$B1791)+COUNTIFS(LdgSellerB,$A1791,LdgKeyB,"&lt;"&amp;$B1791)+1)</f>
        <v/>
      </c>
      <c r="D1791">
        <f>IF($C1791="","",$A1791&amp;"|"&amp;RIGHT("000000"&amp;$C1791,6))</f>
        <v/>
      </c>
      <c r="F1791">
        <f>IF(Sync!$AH1791="","",IF(LEFT(UPPER(TRIM(Sync!$AH1791)),2)="SL",UPPER(TRIM(Sync!$AH1791)),""))</f>
        <v/>
      </c>
      <c r="G1791">
        <f>IF($F1791="","",IF(Sync!$AE1791="","",IF(ISNUMBER(Sync!$AE1791),IF(AND(Sync!$AE1791&gt;=10000101,Sync!$AE1791&lt;=99991231),INT(Sync!$AE1791/10000),""),IFERROR(VALUE(TRIM(LEFT(Sync!$AE1791,FIND("/",Sync!$AE1791)-1))),""))))</f>
        <v/>
      </c>
      <c r="H1791">
        <f>IF(OR($F1791="",$G1791=""),"",IF(ISNUMBER(Sync!$AE1791),INT(MOD(Sync!$AE1791,10000)/100),IFERROR(VALUE(TRIM(LEFT(MID(Sync!$AE1791,FIND("/",Sync!$AE1791)+1,20),FIND("/",MID(Sync!$AE1791,FIND("/",Sync!$AE1791)+1,20))-1))),"")))</f>
        <v/>
      </c>
      <c r="I1791">
        <f>IF(OR($F1791="",$G1791=""),"",IF(ISNUMBER(Sync!$AE1791),MOD(Sync!$AE1791,100),IFERROR(VALUE(TRIM(MID(MID(Sync!$AE1791,FIND("/",Sync!$AE1791)+1,20),FIND("/",MID(Sync!$AE1791,FIND("/",Sync!$AE1791)+1,20))+1,20))),"")))</f>
        <v/>
      </c>
      <c r="J1791">
        <f>IF($F1791="","",IF(OR($G1791="",$H1791="",$I1791="",$G1791&lt;1300,$G1791&gt;1500,$H1791&lt;1,$H1791&gt;12,$I1791&lt;1,$I1791&gt;31),"نامعتبر",RIGHT("0000"&amp;$G1791,4)&amp;"/"&amp;RIGHT("00"&amp;$H1791,2)&amp;"/"&amp;RIGHT("00"&amp;$I1791,2)))</f>
        <v/>
      </c>
      <c r="K1791">
        <f>IF(OR($F1791="",$J1791="",$J1791="نامعتبر"),"",LEFT($J1791,4)&amp;MID($J1791,6,2)&amp;RIGHT($J1791,2)&amp;$N1791&amp;"|"&amp;"2"&amp;RIGHT("00000"&amp;1786,5))</f>
        <v/>
      </c>
      <c r="L1791">
        <f>IF($K1791="","",COUNTIFS(LdgSellerA,$F1791,LdgKeyA,"&lt;"&amp;$K1791)+COUNTIFS(LdgSellerB,$F1791,LdgKeyB,"&lt;"&amp;$K1791)+1)</f>
        <v/>
      </c>
      <c r="M1791">
        <f>IF($L1791="","",$F1791&amp;"|"&amp;RIGHT("000000"&amp;$L1791,6))</f>
        <v/>
      </c>
      <c r="N1791">
        <f>IF($F1791="","",IF(Sync!$AF1791="","0000",IF(AND(ISNUMBER(Sync!$AF1791),Sync!$AF1791&gt;=0,Sync!$AF1791&lt;1),RIGHT("00"&amp;HOUR(Sync!$AF1791),2)&amp;RIGHT("00"&amp;MINUTE(Sync!$AF1791),2),IFERROR(RIGHT("00"&amp;VALUE(LEFT(Sync!$AF1791,FIND(":",Sync!$AF1791)-1)),2)&amp;RIGHT("00"&amp;VALUE(MID(Sync!$AF1791,FIND(":",Sync!$AF1791)+1,2)),2),"0000"))))</f>
        <v/>
      </c>
    </row>
    <row r="1792">
      <c r="A1792">
        <f>IF(OR(Calc!$E1796="",Calc!$E1796="نامعتبر",Calc!$G1796=""),"",Calc!$G1796)</f>
        <v/>
      </c>
      <c r="B1792">
        <f>IF($A1792="","",LEFT(Calc!$E1796,4)&amp;MID(Calc!$E1796,6,2)&amp;RIGHT(Calc!$E1796,2)&amp;Calc!$Q1796&amp;"|"&amp;"1"&amp;RIGHT("00000"&amp;1787,5))</f>
        <v/>
      </c>
      <c r="C1792">
        <f>IF($B1792="","",COUNTIFS(LdgSellerA,$A1792,LdgKeyA,"&lt;"&amp;$B1792)+COUNTIFS(LdgSellerB,$A1792,LdgKeyB,"&lt;"&amp;$B1792)+1)</f>
        <v/>
      </c>
      <c r="D1792">
        <f>IF($C1792="","",$A1792&amp;"|"&amp;RIGHT("000000"&amp;$C1792,6))</f>
        <v/>
      </c>
      <c r="F1792">
        <f>IF(Sync!$AH1792="","",IF(LEFT(UPPER(TRIM(Sync!$AH1792)),2)="SL",UPPER(TRIM(Sync!$AH1792)),""))</f>
        <v/>
      </c>
      <c r="G1792">
        <f>IF($F1792="","",IF(Sync!$AE1792="","",IF(ISNUMBER(Sync!$AE1792),IF(AND(Sync!$AE1792&gt;=10000101,Sync!$AE1792&lt;=99991231),INT(Sync!$AE1792/10000),""),IFERROR(VALUE(TRIM(LEFT(Sync!$AE1792,FIND("/",Sync!$AE1792)-1))),""))))</f>
        <v/>
      </c>
      <c r="H1792">
        <f>IF(OR($F1792="",$G1792=""),"",IF(ISNUMBER(Sync!$AE1792),INT(MOD(Sync!$AE1792,10000)/100),IFERROR(VALUE(TRIM(LEFT(MID(Sync!$AE1792,FIND("/",Sync!$AE1792)+1,20),FIND("/",MID(Sync!$AE1792,FIND("/",Sync!$AE1792)+1,20))-1))),"")))</f>
        <v/>
      </c>
      <c r="I1792">
        <f>IF(OR($F1792="",$G1792=""),"",IF(ISNUMBER(Sync!$AE1792),MOD(Sync!$AE1792,100),IFERROR(VALUE(TRIM(MID(MID(Sync!$AE1792,FIND("/",Sync!$AE1792)+1,20),FIND("/",MID(Sync!$AE1792,FIND("/",Sync!$AE1792)+1,20))+1,20))),"")))</f>
        <v/>
      </c>
      <c r="J1792">
        <f>IF($F1792="","",IF(OR($G1792="",$H1792="",$I1792="",$G1792&lt;1300,$G1792&gt;1500,$H1792&lt;1,$H1792&gt;12,$I1792&lt;1,$I1792&gt;31),"نامعتبر",RIGHT("0000"&amp;$G1792,4)&amp;"/"&amp;RIGHT("00"&amp;$H1792,2)&amp;"/"&amp;RIGHT("00"&amp;$I1792,2)))</f>
        <v/>
      </c>
      <c r="K1792">
        <f>IF(OR($F1792="",$J1792="",$J1792="نامعتبر"),"",LEFT($J1792,4)&amp;MID($J1792,6,2)&amp;RIGHT($J1792,2)&amp;$N1792&amp;"|"&amp;"2"&amp;RIGHT("00000"&amp;1787,5))</f>
        <v/>
      </c>
      <c r="L1792">
        <f>IF($K1792="","",COUNTIFS(LdgSellerA,$F1792,LdgKeyA,"&lt;"&amp;$K1792)+COUNTIFS(LdgSellerB,$F1792,LdgKeyB,"&lt;"&amp;$K1792)+1)</f>
        <v/>
      </c>
      <c r="M1792">
        <f>IF($L1792="","",$F1792&amp;"|"&amp;RIGHT("000000"&amp;$L1792,6))</f>
        <v/>
      </c>
      <c r="N1792">
        <f>IF($F1792="","",IF(Sync!$AF1792="","0000",IF(AND(ISNUMBER(Sync!$AF1792),Sync!$AF1792&gt;=0,Sync!$AF1792&lt;1),RIGHT("00"&amp;HOUR(Sync!$AF1792),2)&amp;RIGHT("00"&amp;MINUTE(Sync!$AF1792),2),IFERROR(RIGHT("00"&amp;VALUE(LEFT(Sync!$AF1792,FIND(":",Sync!$AF1792)-1)),2)&amp;RIGHT("00"&amp;VALUE(MID(Sync!$AF1792,FIND(":",Sync!$AF1792)+1,2)),2),"0000"))))</f>
        <v/>
      </c>
    </row>
    <row r="1793">
      <c r="A1793">
        <f>IF(OR(Calc!$E1797="",Calc!$E1797="نامعتبر",Calc!$G1797=""),"",Calc!$G1797)</f>
        <v/>
      </c>
      <c r="B1793">
        <f>IF($A1793="","",LEFT(Calc!$E1797,4)&amp;MID(Calc!$E1797,6,2)&amp;RIGHT(Calc!$E1797,2)&amp;Calc!$Q1797&amp;"|"&amp;"1"&amp;RIGHT("00000"&amp;1788,5))</f>
        <v/>
      </c>
      <c r="C1793">
        <f>IF($B1793="","",COUNTIFS(LdgSellerA,$A1793,LdgKeyA,"&lt;"&amp;$B1793)+COUNTIFS(LdgSellerB,$A1793,LdgKeyB,"&lt;"&amp;$B1793)+1)</f>
        <v/>
      </c>
      <c r="D1793">
        <f>IF($C1793="","",$A1793&amp;"|"&amp;RIGHT("000000"&amp;$C1793,6))</f>
        <v/>
      </c>
      <c r="F1793">
        <f>IF(Sync!$AH1793="","",IF(LEFT(UPPER(TRIM(Sync!$AH1793)),2)="SL",UPPER(TRIM(Sync!$AH1793)),""))</f>
        <v/>
      </c>
      <c r="G1793">
        <f>IF($F1793="","",IF(Sync!$AE1793="","",IF(ISNUMBER(Sync!$AE1793),IF(AND(Sync!$AE1793&gt;=10000101,Sync!$AE1793&lt;=99991231),INT(Sync!$AE1793/10000),""),IFERROR(VALUE(TRIM(LEFT(Sync!$AE1793,FIND("/",Sync!$AE1793)-1))),""))))</f>
        <v/>
      </c>
      <c r="H1793">
        <f>IF(OR($F1793="",$G1793=""),"",IF(ISNUMBER(Sync!$AE1793),INT(MOD(Sync!$AE1793,10000)/100),IFERROR(VALUE(TRIM(LEFT(MID(Sync!$AE1793,FIND("/",Sync!$AE1793)+1,20),FIND("/",MID(Sync!$AE1793,FIND("/",Sync!$AE1793)+1,20))-1))),"")))</f>
        <v/>
      </c>
      <c r="I1793">
        <f>IF(OR($F1793="",$G1793=""),"",IF(ISNUMBER(Sync!$AE1793),MOD(Sync!$AE1793,100),IFERROR(VALUE(TRIM(MID(MID(Sync!$AE1793,FIND("/",Sync!$AE1793)+1,20),FIND("/",MID(Sync!$AE1793,FIND("/",Sync!$AE1793)+1,20))+1,20))),"")))</f>
        <v/>
      </c>
      <c r="J1793">
        <f>IF($F1793="","",IF(OR($G1793="",$H1793="",$I1793="",$G1793&lt;1300,$G1793&gt;1500,$H1793&lt;1,$H1793&gt;12,$I1793&lt;1,$I1793&gt;31),"نامعتبر",RIGHT("0000"&amp;$G1793,4)&amp;"/"&amp;RIGHT("00"&amp;$H1793,2)&amp;"/"&amp;RIGHT("00"&amp;$I1793,2)))</f>
        <v/>
      </c>
      <c r="K1793">
        <f>IF(OR($F1793="",$J1793="",$J1793="نامعتبر"),"",LEFT($J1793,4)&amp;MID($J1793,6,2)&amp;RIGHT($J1793,2)&amp;$N1793&amp;"|"&amp;"2"&amp;RIGHT("00000"&amp;1788,5))</f>
        <v/>
      </c>
      <c r="L1793">
        <f>IF($K1793="","",COUNTIFS(LdgSellerA,$F1793,LdgKeyA,"&lt;"&amp;$K1793)+COUNTIFS(LdgSellerB,$F1793,LdgKeyB,"&lt;"&amp;$K1793)+1)</f>
        <v/>
      </c>
      <c r="M1793">
        <f>IF($L1793="","",$F1793&amp;"|"&amp;RIGHT("000000"&amp;$L1793,6))</f>
        <v/>
      </c>
      <c r="N1793">
        <f>IF($F1793="","",IF(Sync!$AF1793="","0000",IF(AND(ISNUMBER(Sync!$AF1793),Sync!$AF1793&gt;=0,Sync!$AF1793&lt;1),RIGHT("00"&amp;HOUR(Sync!$AF1793),2)&amp;RIGHT("00"&amp;MINUTE(Sync!$AF1793),2),IFERROR(RIGHT("00"&amp;VALUE(LEFT(Sync!$AF1793,FIND(":",Sync!$AF1793)-1)),2)&amp;RIGHT("00"&amp;VALUE(MID(Sync!$AF1793,FIND(":",Sync!$AF1793)+1,2)),2),"0000"))))</f>
        <v/>
      </c>
    </row>
    <row r="1794">
      <c r="A1794">
        <f>IF(OR(Calc!$E1798="",Calc!$E1798="نامعتبر",Calc!$G1798=""),"",Calc!$G1798)</f>
        <v/>
      </c>
      <c r="B1794">
        <f>IF($A1794="","",LEFT(Calc!$E1798,4)&amp;MID(Calc!$E1798,6,2)&amp;RIGHT(Calc!$E1798,2)&amp;Calc!$Q1798&amp;"|"&amp;"1"&amp;RIGHT("00000"&amp;1789,5))</f>
        <v/>
      </c>
      <c r="C1794">
        <f>IF($B1794="","",COUNTIFS(LdgSellerA,$A1794,LdgKeyA,"&lt;"&amp;$B1794)+COUNTIFS(LdgSellerB,$A1794,LdgKeyB,"&lt;"&amp;$B1794)+1)</f>
        <v/>
      </c>
      <c r="D1794">
        <f>IF($C1794="","",$A1794&amp;"|"&amp;RIGHT("000000"&amp;$C1794,6))</f>
        <v/>
      </c>
      <c r="F1794">
        <f>IF(Sync!$AH1794="","",IF(LEFT(UPPER(TRIM(Sync!$AH1794)),2)="SL",UPPER(TRIM(Sync!$AH1794)),""))</f>
        <v/>
      </c>
      <c r="G1794">
        <f>IF($F1794="","",IF(Sync!$AE1794="","",IF(ISNUMBER(Sync!$AE1794),IF(AND(Sync!$AE1794&gt;=10000101,Sync!$AE1794&lt;=99991231),INT(Sync!$AE1794/10000),""),IFERROR(VALUE(TRIM(LEFT(Sync!$AE1794,FIND("/",Sync!$AE1794)-1))),""))))</f>
        <v/>
      </c>
      <c r="H1794">
        <f>IF(OR($F1794="",$G1794=""),"",IF(ISNUMBER(Sync!$AE1794),INT(MOD(Sync!$AE1794,10000)/100),IFERROR(VALUE(TRIM(LEFT(MID(Sync!$AE1794,FIND("/",Sync!$AE1794)+1,20),FIND("/",MID(Sync!$AE1794,FIND("/",Sync!$AE1794)+1,20))-1))),"")))</f>
        <v/>
      </c>
      <c r="I1794">
        <f>IF(OR($F1794="",$G1794=""),"",IF(ISNUMBER(Sync!$AE1794),MOD(Sync!$AE1794,100),IFERROR(VALUE(TRIM(MID(MID(Sync!$AE1794,FIND("/",Sync!$AE1794)+1,20),FIND("/",MID(Sync!$AE1794,FIND("/",Sync!$AE1794)+1,20))+1,20))),"")))</f>
        <v/>
      </c>
      <c r="J1794">
        <f>IF($F1794="","",IF(OR($G1794="",$H1794="",$I1794="",$G1794&lt;1300,$G1794&gt;1500,$H1794&lt;1,$H1794&gt;12,$I1794&lt;1,$I1794&gt;31),"نامعتبر",RIGHT("0000"&amp;$G1794,4)&amp;"/"&amp;RIGHT("00"&amp;$H1794,2)&amp;"/"&amp;RIGHT("00"&amp;$I1794,2)))</f>
        <v/>
      </c>
      <c r="K1794">
        <f>IF(OR($F1794="",$J1794="",$J1794="نامعتبر"),"",LEFT($J1794,4)&amp;MID($J1794,6,2)&amp;RIGHT($J1794,2)&amp;$N1794&amp;"|"&amp;"2"&amp;RIGHT("00000"&amp;1789,5))</f>
        <v/>
      </c>
      <c r="L1794">
        <f>IF($K1794="","",COUNTIFS(LdgSellerA,$F1794,LdgKeyA,"&lt;"&amp;$K1794)+COUNTIFS(LdgSellerB,$F1794,LdgKeyB,"&lt;"&amp;$K1794)+1)</f>
        <v/>
      </c>
      <c r="M1794">
        <f>IF($L1794="","",$F1794&amp;"|"&amp;RIGHT("000000"&amp;$L1794,6))</f>
        <v/>
      </c>
      <c r="N1794">
        <f>IF($F1794="","",IF(Sync!$AF1794="","0000",IF(AND(ISNUMBER(Sync!$AF1794),Sync!$AF1794&gt;=0,Sync!$AF1794&lt;1),RIGHT("00"&amp;HOUR(Sync!$AF1794),2)&amp;RIGHT("00"&amp;MINUTE(Sync!$AF1794),2),IFERROR(RIGHT("00"&amp;VALUE(LEFT(Sync!$AF1794,FIND(":",Sync!$AF1794)-1)),2)&amp;RIGHT("00"&amp;VALUE(MID(Sync!$AF1794,FIND(":",Sync!$AF1794)+1,2)),2),"0000"))))</f>
        <v/>
      </c>
    </row>
    <row r="1795">
      <c r="A1795">
        <f>IF(OR(Calc!$E1799="",Calc!$E1799="نامعتبر",Calc!$G1799=""),"",Calc!$G1799)</f>
        <v/>
      </c>
      <c r="B1795">
        <f>IF($A1795="","",LEFT(Calc!$E1799,4)&amp;MID(Calc!$E1799,6,2)&amp;RIGHT(Calc!$E1799,2)&amp;Calc!$Q1799&amp;"|"&amp;"1"&amp;RIGHT("00000"&amp;1790,5))</f>
        <v/>
      </c>
      <c r="C1795">
        <f>IF($B1795="","",COUNTIFS(LdgSellerA,$A1795,LdgKeyA,"&lt;"&amp;$B1795)+COUNTIFS(LdgSellerB,$A1795,LdgKeyB,"&lt;"&amp;$B1795)+1)</f>
        <v/>
      </c>
      <c r="D1795">
        <f>IF($C1795="","",$A1795&amp;"|"&amp;RIGHT("000000"&amp;$C1795,6))</f>
        <v/>
      </c>
      <c r="F1795">
        <f>IF(Sync!$AH1795="","",IF(LEFT(UPPER(TRIM(Sync!$AH1795)),2)="SL",UPPER(TRIM(Sync!$AH1795)),""))</f>
        <v/>
      </c>
      <c r="G1795">
        <f>IF($F1795="","",IF(Sync!$AE1795="","",IF(ISNUMBER(Sync!$AE1795),IF(AND(Sync!$AE1795&gt;=10000101,Sync!$AE1795&lt;=99991231),INT(Sync!$AE1795/10000),""),IFERROR(VALUE(TRIM(LEFT(Sync!$AE1795,FIND("/",Sync!$AE1795)-1))),""))))</f>
        <v/>
      </c>
      <c r="H1795">
        <f>IF(OR($F1795="",$G1795=""),"",IF(ISNUMBER(Sync!$AE1795),INT(MOD(Sync!$AE1795,10000)/100),IFERROR(VALUE(TRIM(LEFT(MID(Sync!$AE1795,FIND("/",Sync!$AE1795)+1,20),FIND("/",MID(Sync!$AE1795,FIND("/",Sync!$AE1795)+1,20))-1))),"")))</f>
        <v/>
      </c>
      <c r="I1795">
        <f>IF(OR($F1795="",$G1795=""),"",IF(ISNUMBER(Sync!$AE1795),MOD(Sync!$AE1795,100),IFERROR(VALUE(TRIM(MID(MID(Sync!$AE1795,FIND("/",Sync!$AE1795)+1,20),FIND("/",MID(Sync!$AE1795,FIND("/",Sync!$AE1795)+1,20))+1,20))),"")))</f>
        <v/>
      </c>
      <c r="J1795">
        <f>IF($F1795="","",IF(OR($G1795="",$H1795="",$I1795="",$G1795&lt;1300,$G1795&gt;1500,$H1795&lt;1,$H1795&gt;12,$I1795&lt;1,$I1795&gt;31),"نامعتبر",RIGHT("0000"&amp;$G1795,4)&amp;"/"&amp;RIGHT("00"&amp;$H1795,2)&amp;"/"&amp;RIGHT("00"&amp;$I1795,2)))</f>
        <v/>
      </c>
      <c r="K1795">
        <f>IF(OR($F1795="",$J1795="",$J1795="نامعتبر"),"",LEFT($J1795,4)&amp;MID($J1795,6,2)&amp;RIGHT($J1795,2)&amp;$N1795&amp;"|"&amp;"2"&amp;RIGHT("00000"&amp;1790,5))</f>
        <v/>
      </c>
      <c r="L1795">
        <f>IF($K1795="","",COUNTIFS(LdgSellerA,$F1795,LdgKeyA,"&lt;"&amp;$K1795)+COUNTIFS(LdgSellerB,$F1795,LdgKeyB,"&lt;"&amp;$K1795)+1)</f>
        <v/>
      </c>
      <c r="M1795">
        <f>IF($L1795="","",$F1795&amp;"|"&amp;RIGHT("000000"&amp;$L1795,6))</f>
        <v/>
      </c>
      <c r="N1795">
        <f>IF($F1795="","",IF(Sync!$AF1795="","0000",IF(AND(ISNUMBER(Sync!$AF1795),Sync!$AF1795&gt;=0,Sync!$AF1795&lt;1),RIGHT("00"&amp;HOUR(Sync!$AF1795),2)&amp;RIGHT("00"&amp;MINUTE(Sync!$AF1795),2),IFERROR(RIGHT("00"&amp;VALUE(LEFT(Sync!$AF1795,FIND(":",Sync!$AF1795)-1)),2)&amp;RIGHT("00"&amp;VALUE(MID(Sync!$AF1795,FIND(":",Sync!$AF1795)+1,2)),2),"0000"))))</f>
        <v/>
      </c>
    </row>
    <row r="1796">
      <c r="A1796">
        <f>IF(OR(Calc!$E1800="",Calc!$E1800="نامعتبر",Calc!$G1800=""),"",Calc!$G1800)</f>
        <v/>
      </c>
      <c r="B1796">
        <f>IF($A1796="","",LEFT(Calc!$E1800,4)&amp;MID(Calc!$E1800,6,2)&amp;RIGHT(Calc!$E1800,2)&amp;Calc!$Q1800&amp;"|"&amp;"1"&amp;RIGHT("00000"&amp;1791,5))</f>
        <v/>
      </c>
      <c r="C1796">
        <f>IF($B1796="","",COUNTIFS(LdgSellerA,$A1796,LdgKeyA,"&lt;"&amp;$B1796)+COUNTIFS(LdgSellerB,$A1796,LdgKeyB,"&lt;"&amp;$B1796)+1)</f>
        <v/>
      </c>
      <c r="D1796">
        <f>IF($C1796="","",$A1796&amp;"|"&amp;RIGHT("000000"&amp;$C1796,6))</f>
        <v/>
      </c>
      <c r="F1796">
        <f>IF(Sync!$AH1796="","",IF(LEFT(UPPER(TRIM(Sync!$AH1796)),2)="SL",UPPER(TRIM(Sync!$AH1796)),""))</f>
        <v/>
      </c>
      <c r="G1796">
        <f>IF($F1796="","",IF(Sync!$AE1796="","",IF(ISNUMBER(Sync!$AE1796),IF(AND(Sync!$AE1796&gt;=10000101,Sync!$AE1796&lt;=99991231),INT(Sync!$AE1796/10000),""),IFERROR(VALUE(TRIM(LEFT(Sync!$AE1796,FIND("/",Sync!$AE1796)-1))),""))))</f>
        <v/>
      </c>
      <c r="H1796">
        <f>IF(OR($F1796="",$G1796=""),"",IF(ISNUMBER(Sync!$AE1796),INT(MOD(Sync!$AE1796,10000)/100),IFERROR(VALUE(TRIM(LEFT(MID(Sync!$AE1796,FIND("/",Sync!$AE1796)+1,20),FIND("/",MID(Sync!$AE1796,FIND("/",Sync!$AE1796)+1,20))-1))),"")))</f>
        <v/>
      </c>
      <c r="I1796">
        <f>IF(OR($F1796="",$G1796=""),"",IF(ISNUMBER(Sync!$AE1796),MOD(Sync!$AE1796,100),IFERROR(VALUE(TRIM(MID(MID(Sync!$AE1796,FIND("/",Sync!$AE1796)+1,20),FIND("/",MID(Sync!$AE1796,FIND("/",Sync!$AE1796)+1,20))+1,20))),"")))</f>
        <v/>
      </c>
      <c r="J1796">
        <f>IF($F1796="","",IF(OR($G1796="",$H1796="",$I1796="",$G1796&lt;1300,$G1796&gt;1500,$H1796&lt;1,$H1796&gt;12,$I1796&lt;1,$I1796&gt;31),"نامعتبر",RIGHT("0000"&amp;$G1796,4)&amp;"/"&amp;RIGHT("00"&amp;$H1796,2)&amp;"/"&amp;RIGHT("00"&amp;$I1796,2)))</f>
        <v/>
      </c>
      <c r="K1796">
        <f>IF(OR($F1796="",$J1796="",$J1796="نامعتبر"),"",LEFT($J1796,4)&amp;MID($J1796,6,2)&amp;RIGHT($J1796,2)&amp;$N1796&amp;"|"&amp;"2"&amp;RIGHT("00000"&amp;1791,5))</f>
        <v/>
      </c>
      <c r="L1796">
        <f>IF($K1796="","",COUNTIFS(LdgSellerA,$F1796,LdgKeyA,"&lt;"&amp;$K1796)+COUNTIFS(LdgSellerB,$F1796,LdgKeyB,"&lt;"&amp;$K1796)+1)</f>
        <v/>
      </c>
      <c r="M1796">
        <f>IF($L1796="","",$F1796&amp;"|"&amp;RIGHT("000000"&amp;$L1796,6))</f>
        <v/>
      </c>
      <c r="N1796">
        <f>IF($F1796="","",IF(Sync!$AF1796="","0000",IF(AND(ISNUMBER(Sync!$AF1796),Sync!$AF1796&gt;=0,Sync!$AF1796&lt;1),RIGHT("00"&amp;HOUR(Sync!$AF1796),2)&amp;RIGHT("00"&amp;MINUTE(Sync!$AF1796),2),IFERROR(RIGHT("00"&amp;VALUE(LEFT(Sync!$AF1796,FIND(":",Sync!$AF1796)-1)),2)&amp;RIGHT("00"&amp;VALUE(MID(Sync!$AF1796,FIND(":",Sync!$AF1796)+1,2)),2),"0000"))))</f>
        <v/>
      </c>
    </row>
    <row r="1797">
      <c r="A1797">
        <f>IF(OR(Calc!$E1801="",Calc!$E1801="نامعتبر",Calc!$G1801=""),"",Calc!$G1801)</f>
        <v/>
      </c>
      <c r="B1797">
        <f>IF($A1797="","",LEFT(Calc!$E1801,4)&amp;MID(Calc!$E1801,6,2)&amp;RIGHT(Calc!$E1801,2)&amp;Calc!$Q1801&amp;"|"&amp;"1"&amp;RIGHT("00000"&amp;1792,5))</f>
        <v/>
      </c>
      <c r="C1797">
        <f>IF($B1797="","",COUNTIFS(LdgSellerA,$A1797,LdgKeyA,"&lt;"&amp;$B1797)+COUNTIFS(LdgSellerB,$A1797,LdgKeyB,"&lt;"&amp;$B1797)+1)</f>
        <v/>
      </c>
      <c r="D1797">
        <f>IF($C1797="","",$A1797&amp;"|"&amp;RIGHT("000000"&amp;$C1797,6))</f>
        <v/>
      </c>
      <c r="F1797">
        <f>IF(Sync!$AH1797="","",IF(LEFT(UPPER(TRIM(Sync!$AH1797)),2)="SL",UPPER(TRIM(Sync!$AH1797)),""))</f>
        <v/>
      </c>
      <c r="G1797">
        <f>IF($F1797="","",IF(Sync!$AE1797="","",IF(ISNUMBER(Sync!$AE1797),IF(AND(Sync!$AE1797&gt;=10000101,Sync!$AE1797&lt;=99991231),INT(Sync!$AE1797/10000),""),IFERROR(VALUE(TRIM(LEFT(Sync!$AE1797,FIND("/",Sync!$AE1797)-1))),""))))</f>
        <v/>
      </c>
      <c r="H1797">
        <f>IF(OR($F1797="",$G1797=""),"",IF(ISNUMBER(Sync!$AE1797),INT(MOD(Sync!$AE1797,10000)/100),IFERROR(VALUE(TRIM(LEFT(MID(Sync!$AE1797,FIND("/",Sync!$AE1797)+1,20),FIND("/",MID(Sync!$AE1797,FIND("/",Sync!$AE1797)+1,20))-1))),"")))</f>
        <v/>
      </c>
      <c r="I1797">
        <f>IF(OR($F1797="",$G1797=""),"",IF(ISNUMBER(Sync!$AE1797),MOD(Sync!$AE1797,100),IFERROR(VALUE(TRIM(MID(MID(Sync!$AE1797,FIND("/",Sync!$AE1797)+1,20),FIND("/",MID(Sync!$AE1797,FIND("/",Sync!$AE1797)+1,20))+1,20))),"")))</f>
        <v/>
      </c>
      <c r="J1797">
        <f>IF($F1797="","",IF(OR($G1797="",$H1797="",$I1797="",$G1797&lt;1300,$G1797&gt;1500,$H1797&lt;1,$H1797&gt;12,$I1797&lt;1,$I1797&gt;31),"نامعتبر",RIGHT("0000"&amp;$G1797,4)&amp;"/"&amp;RIGHT("00"&amp;$H1797,2)&amp;"/"&amp;RIGHT("00"&amp;$I1797,2)))</f>
        <v/>
      </c>
      <c r="K1797">
        <f>IF(OR($F1797="",$J1797="",$J1797="نامعتبر"),"",LEFT($J1797,4)&amp;MID($J1797,6,2)&amp;RIGHT($J1797,2)&amp;$N1797&amp;"|"&amp;"2"&amp;RIGHT("00000"&amp;1792,5))</f>
        <v/>
      </c>
      <c r="L1797">
        <f>IF($K1797="","",COUNTIFS(LdgSellerA,$F1797,LdgKeyA,"&lt;"&amp;$K1797)+COUNTIFS(LdgSellerB,$F1797,LdgKeyB,"&lt;"&amp;$K1797)+1)</f>
        <v/>
      </c>
      <c r="M1797">
        <f>IF($L1797="","",$F1797&amp;"|"&amp;RIGHT("000000"&amp;$L1797,6))</f>
        <v/>
      </c>
      <c r="N1797">
        <f>IF($F1797="","",IF(Sync!$AF1797="","0000",IF(AND(ISNUMBER(Sync!$AF1797),Sync!$AF1797&gt;=0,Sync!$AF1797&lt;1),RIGHT("00"&amp;HOUR(Sync!$AF1797),2)&amp;RIGHT("00"&amp;MINUTE(Sync!$AF1797),2),IFERROR(RIGHT("00"&amp;VALUE(LEFT(Sync!$AF1797,FIND(":",Sync!$AF1797)-1)),2)&amp;RIGHT("00"&amp;VALUE(MID(Sync!$AF1797,FIND(":",Sync!$AF1797)+1,2)),2),"0000"))))</f>
        <v/>
      </c>
    </row>
    <row r="1798">
      <c r="A1798">
        <f>IF(OR(Calc!$E1802="",Calc!$E1802="نامعتبر",Calc!$G1802=""),"",Calc!$G1802)</f>
        <v/>
      </c>
      <c r="B1798">
        <f>IF($A1798="","",LEFT(Calc!$E1802,4)&amp;MID(Calc!$E1802,6,2)&amp;RIGHT(Calc!$E1802,2)&amp;Calc!$Q1802&amp;"|"&amp;"1"&amp;RIGHT("00000"&amp;1793,5))</f>
        <v/>
      </c>
      <c r="C1798">
        <f>IF($B1798="","",COUNTIFS(LdgSellerA,$A1798,LdgKeyA,"&lt;"&amp;$B1798)+COUNTIFS(LdgSellerB,$A1798,LdgKeyB,"&lt;"&amp;$B1798)+1)</f>
        <v/>
      </c>
      <c r="D1798">
        <f>IF($C1798="","",$A1798&amp;"|"&amp;RIGHT("000000"&amp;$C1798,6))</f>
        <v/>
      </c>
      <c r="F1798">
        <f>IF(Sync!$AH1798="","",IF(LEFT(UPPER(TRIM(Sync!$AH1798)),2)="SL",UPPER(TRIM(Sync!$AH1798)),""))</f>
        <v/>
      </c>
      <c r="G1798">
        <f>IF($F1798="","",IF(Sync!$AE1798="","",IF(ISNUMBER(Sync!$AE1798),IF(AND(Sync!$AE1798&gt;=10000101,Sync!$AE1798&lt;=99991231),INT(Sync!$AE1798/10000),""),IFERROR(VALUE(TRIM(LEFT(Sync!$AE1798,FIND("/",Sync!$AE1798)-1))),""))))</f>
        <v/>
      </c>
      <c r="H1798">
        <f>IF(OR($F1798="",$G1798=""),"",IF(ISNUMBER(Sync!$AE1798),INT(MOD(Sync!$AE1798,10000)/100),IFERROR(VALUE(TRIM(LEFT(MID(Sync!$AE1798,FIND("/",Sync!$AE1798)+1,20),FIND("/",MID(Sync!$AE1798,FIND("/",Sync!$AE1798)+1,20))-1))),"")))</f>
        <v/>
      </c>
      <c r="I1798">
        <f>IF(OR($F1798="",$G1798=""),"",IF(ISNUMBER(Sync!$AE1798),MOD(Sync!$AE1798,100),IFERROR(VALUE(TRIM(MID(MID(Sync!$AE1798,FIND("/",Sync!$AE1798)+1,20),FIND("/",MID(Sync!$AE1798,FIND("/",Sync!$AE1798)+1,20))+1,20))),"")))</f>
        <v/>
      </c>
      <c r="J1798">
        <f>IF($F1798="","",IF(OR($G1798="",$H1798="",$I1798="",$G1798&lt;1300,$G1798&gt;1500,$H1798&lt;1,$H1798&gt;12,$I1798&lt;1,$I1798&gt;31),"نامعتبر",RIGHT("0000"&amp;$G1798,4)&amp;"/"&amp;RIGHT("00"&amp;$H1798,2)&amp;"/"&amp;RIGHT("00"&amp;$I1798,2)))</f>
        <v/>
      </c>
      <c r="K1798">
        <f>IF(OR($F1798="",$J1798="",$J1798="نامعتبر"),"",LEFT($J1798,4)&amp;MID($J1798,6,2)&amp;RIGHT($J1798,2)&amp;$N1798&amp;"|"&amp;"2"&amp;RIGHT("00000"&amp;1793,5))</f>
        <v/>
      </c>
      <c r="L1798">
        <f>IF($K1798="","",COUNTIFS(LdgSellerA,$F1798,LdgKeyA,"&lt;"&amp;$K1798)+COUNTIFS(LdgSellerB,$F1798,LdgKeyB,"&lt;"&amp;$K1798)+1)</f>
        <v/>
      </c>
      <c r="M1798">
        <f>IF($L1798="","",$F1798&amp;"|"&amp;RIGHT("000000"&amp;$L1798,6))</f>
        <v/>
      </c>
      <c r="N1798">
        <f>IF($F1798="","",IF(Sync!$AF1798="","0000",IF(AND(ISNUMBER(Sync!$AF1798),Sync!$AF1798&gt;=0,Sync!$AF1798&lt;1),RIGHT("00"&amp;HOUR(Sync!$AF1798),2)&amp;RIGHT("00"&amp;MINUTE(Sync!$AF1798),2),IFERROR(RIGHT("00"&amp;VALUE(LEFT(Sync!$AF1798,FIND(":",Sync!$AF1798)-1)),2)&amp;RIGHT("00"&amp;VALUE(MID(Sync!$AF1798,FIND(":",Sync!$AF1798)+1,2)),2),"0000"))))</f>
        <v/>
      </c>
    </row>
    <row r="1799">
      <c r="A1799">
        <f>IF(OR(Calc!$E1803="",Calc!$E1803="نامعتبر",Calc!$G1803=""),"",Calc!$G1803)</f>
        <v/>
      </c>
      <c r="B1799">
        <f>IF($A1799="","",LEFT(Calc!$E1803,4)&amp;MID(Calc!$E1803,6,2)&amp;RIGHT(Calc!$E1803,2)&amp;Calc!$Q1803&amp;"|"&amp;"1"&amp;RIGHT("00000"&amp;1794,5))</f>
        <v/>
      </c>
      <c r="C1799">
        <f>IF($B1799="","",COUNTIFS(LdgSellerA,$A1799,LdgKeyA,"&lt;"&amp;$B1799)+COUNTIFS(LdgSellerB,$A1799,LdgKeyB,"&lt;"&amp;$B1799)+1)</f>
        <v/>
      </c>
      <c r="D1799">
        <f>IF($C1799="","",$A1799&amp;"|"&amp;RIGHT("000000"&amp;$C1799,6))</f>
        <v/>
      </c>
      <c r="F1799">
        <f>IF(Sync!$AH1799="","",IF(LEFT(UPPER(TRIM(Sync!$AH1799)),2)="SL",UPPER(TRIM(Sync!$AH1799)),""))</f>
        <v/>
      </c>
      <c r="G1799">
        <f>IF($F1799="","",IF(Sync!$AE1799="","",IF(ISNUMBER(Sync!$AE1799),IF(AND(Sync!$AE1799&gt;=10000101,Sync!$AE1799&lt;=99991231),INT(Sync!$AE1799/10000),""),IFERROR(VALUE(TRIM(LEFT(Sync!$AE1799,FIND("/",Sync!$AE1799)-1))),""))))</f>
        <v/>
      </c>
      <c r="H1799">
        <f>IF(OR($F1799="",$G1799=""),"",IF(ISNUMBER(Sync!$AE1799),INT(MOD(Sync!$AE1799,10000)/100),IFERROR(VALUE(TRIM(LEFT(MID(Sync!$AE1799,FIND("/",Sync!$AE1799)+1,20),FIND("/",MID(Sync!$AE1799,FIND("/",Sync!$AE1799)+1,20))-1))),"")))</f>
        <v/>
      </c>
      <c r="I1799">
        <f>IF(OR($F1799="",$G1799=""),"",IF(ISNUMBER(Sync!$AE1799),MOD(Sync!$AE1799,100),IFERROR(VALUE(TRIM(MID(MID(Sync!$AE1799,FIND("/",Sync!$AE1799)+1,20),FIND("/",MID(Sync!$AE1799,FIND("/",Sync!$AE1799)+1,20))+1,20))),"")))</f>
        <v/>
      </c>
      <c r="J1799">
        <f>IF($F1799="","",IF(OR($G1799="",$H1799="",$I1799="",$G1799&lt;1300,$G1799&gt;1500,$H1799&lt;1,$H1799&gt;12,$I1799&lt;1,$I1799&gt;31),"نامعتبر",RIGHT("0000"&amp;$G1799,4)&amp;"/"&amp;RIGHT("00"&amp;$H1799,2)&amp;"/"&amp;RIGHT("00"&amp;$I1799,2)))</f>
        <v/>
      </c>
      <c r="K1799">
        <f>IF(OR($F1799="",$J1799="",$J1799="نامعتبر"),"",LEFT($J1799,4)&amp;MID($J1799,6,2)&amp;RIGHT($J1799,2)&amp;$N1799&amp;"|"&amp;"2"&amp;RIGHT("00000"&amp;1794,5))</f>
        <v/>
      </c>
      <c r="L1799">
        <f>IF($K1799="","",COUNTIFS(LdgSellerA,$F1799,LdgKeyA,"&lt;"&amp;$K1799)+COUNTIFS(LdgSellerB,$F1799,LdgKeyB,"&lt;"&amp;$K1799)+1)</f>
        <v/>
      </c>
      <c r="M1799">
        <f>IF($L1799="","",$F1799&amp;"|"&amp;RIGHT("000000"&amp;$L1799,6))</f>
        <v/>
      </c>
      <c r="N1799">
        <f>IF($F1799="","",IF(Sync!$AF1799="","0000",IF(AND(ISNUMBER(Sync!$AF1799),Sync!$AF1799&gt;=0,Sync!$AF1799&lt;1),RIGHT("00"&amp;HOUR(Sync!$AF1799),2)&amp;RIGHT("00"&amp;MINUTE(Sync!$AF1799),2),IFERROR(RIGHT("00"&amp;VALUE(LEFT(Sync!$AF1799,FIND(":",Sync!$AF1799)-1)),2)&amp;RIGHT("00"&amp;VALUE(MID(Sync!$AF1799,FIND(":",Sync!$AF1799)+1,2)),2),"0000"))))</f>
        <v/>
      </c>
    </row>
    <row r="1800">
      <c r="A1800">
        <f>IF(OR(Calc!$E1804="",Calc!$E1804="نامعتبر",Calc!$G1804=""),"",Calc!$G1804)</f>
        <v/>
      </c>
      <c r="B1800">
        <f>IF($A1800="","",LEFT(Calc!$E1804,4)&amp;MID(Calc!$E1804,6,2)&amp;RIGHT(Calc!$E1804,2)&amp;Calc!$Q1804&amp;"|"&amp;"1"&amp;RIGHT("00000"&amp;1795,5))</f>
        <v/>
      </c>
      <c r="C1800">
        <f>IF($B1800="","",COUNTIFS(LdgSellerA,$A1800,LdgKeyA,"&lt;"&amp;$B1800)+COUNTIFS(LdgSellerB,$A1800,LdgKeyB,"&lt;"&amp;$B1800)+1)</f>
        <v/>
      </c>
      <c r="D1800">
        <f>IF($C1800="","",$A1800&amp;"|"&amp;RIGHT("000000"&amp;$C1800,6))</f>
        <v/>
      </c>
      <c r="F1800">
        <f>IF(Sync!$AH1800="","",IF(LEFT(UPPER(TRIM(Sync!$AH1800)),2)="SL",UPPER(TRIM(Sync!$AH1800)),""))</f>
        <v/>
      </c>
      <c r="G1800">
        <f>IF($F1800="","",IF(Sync!$AE1800="","",IF(ISNUMBER(Sync!$AE1800),IF(AND(Sync!$AE1800&gt;=10000101,Sync!$AE1800&lt;=99991231),INT(Sync!$AE1800/10000),""),IFERROR(VALUE(TRIM(LEFT(Sync!$AE1800,FIND("/",Sync!$AE1800)-1))),""))))</f>
        <v/>
      </c>
      <c r="H1800">
        <f>IF(OR($F1800="",$G1800=""),"",IF(ISNUMBER(Sync!$AE1800),INT(MOD(Sync!$AE1800,10000)/100),IFERROR(VALUE(TRIM(LEFT(MID(Sync!$AE1800,FIND("/",Sync!$AE1800)+1,20),FIND("/",MID(Sync!$AE1800,FIND("/",Sync!$AE1800)+1,20))-1))),"")))</f>
        <v/>
      </c>
      <c r="I1800">
        <f>IF(OR($F1800="",$G1800=""),"",IF(ISNUMBER(Sync!$AE1800),MOD(Sync!$AE1800,100),IFERROR(VALUE(TRIM(MID(MID(Sync!$AE1800,FIND("/",Sync!$AE1800)+1,20),FIND("/",MID(Sync!$AE1800,FIND("/",Sync!$AE1800)+1,20))+1,20))),"")))</f>
        <v/>
      </c>
      <c r="J1800">
        <f>IF($F1800="","",IF(OR($G1800="",$H1800="",$I1800="",$G1800&lt;1300,$G1800&gt;1500,$H1800&lt;1,$H1800&gt;12,$I1800&lt;1,$I1800&gt;31),"نامعتبر",RIGHT("0000"&amp;$G1800,4)&amp;"/"&amp;RIGHT("00"&amp;$H1800,2)&amp;"/"&amp;RIGHT("00"&amp;$I1800,2)))</f>
        <v/>
      </c>
      <c r="K1800">
        <f>IF(OR($F1800="",$J1800="",$J1800="نامعتبر"),"",LEFT($J1800,4)&amp;MID($J1800,6,2)&amp;RIGHT($J1800,2)&amp;$N1800&amp;"|"&amp;"2"&amp;RIGHT("00000"&amp;1795,5))</f>
        <v/>
      </c>
      <c r="L1800">
        <f>IF($K1800="","",COUNTIFS(LdgSellerA,$F1800,LdgKeyA,"&lt;"&amp;$K1800)+COUNTIFS(LdgSellerB,$F1800,LdgKeyB,"&lt;"&amp;$K1800)+1)</f>
        <v/>
      </c>
      <c r="M1800">
        <f>IF($L1800="","",$F1800&amp;"|"&amp;RIGHT("000000"&amp;$L1800,6))</f>
        <v/>
      </c>
      <c r="N1800">
        <f>IF($F1800="","",IF(Sync!$AF1800="","0000",IF(AND(ISNUMBER(Sync!$AF1800),Sync!$AF1800&gt;=0,Sync!$AF1800&lt;1),RIGHT("00"&amp;HOUR(Sync!$AF1800),2)&amp;RIGHT("00"&amp;MINUTE(Sync!$AF1800),2),IFERROR(RIGHT("00"&amp;VALUE(LEFT(Sync!$AF1800,FIND(":",Sync!$AF1800)-1)),2)&amp;RIGHT("00"&amp;VALUE(MID(Sync!$AF1800,FIND(":",Sync!$AF1800)+1,2)),2),"0000"))))</f>
        <v/>
      </c>
    </row>
    <row r="1801">
      <c r="A1801">
        <f>IF(OR(Calc!$E1805="",Calc!$E1805="نامعتبر",Calc!$G1805=""),"",Calc!$G1805)</f>
        <v/>
      </c>
      <c r="B1801">
        <f>IF($A1801="","",LEFT(Calc!$E1805,4)&amp;MID(Calc!$E1805,6,2)&amp;RIGHT(Calc!$E1805,2)&amp;Calc!$Q1805&amp;"|"&amp;"1"&amp;RIGHT("00000"&amp;1796,5))</f>
        <v/>
      </c>
      <c r="C1801">
        <f>IF($B1801="","",COUNTIFS(LdgSellerA,$A1801,LdgKeyA,"&lt;"&amp;$B1801)+COUNTIFS(LdgSellerB,$A1801,LdgKeyB,"&lt;"&amp;$B1801)+1)</f>
        <v/>
      </c>
      <c r="D1801">
        <f>IF($C1801="","",$A1801&amp;"|"&amp;RIGHT("000000"&amp;$C1801,6))</f>
        <v/>
      </c>
      <c r="F1801">
        <f>IF(Sync!$AH1801="","",IF(LEFT(UPPER(TRIM(Sync!$AH1801)),2)="SL",UPPER(TRIM(Sync!$AH1801)),""))</f>
        <v/>
      </c>
      <c r="G1801">
        <f>IF($F1801="","",IF(Sync!$AE1801="","",IF(ISNUMBER(Sync!$AE1801),IF(AND(Sync!$AE1801&gt;=10000101,Sync!$AE1801&lt;=99991231),INT(Sync!$AE1801/10000),""),IFERROR(VALUE(TRIM(LEFT(Sync!$AE1801,FIND("/",Sync!$AE1801)-1))),""))))</f>
        <v/>
      </c>
      <c r="H1801">
        <f>IF(OR($F1801="",$G1801=""),"",IF(ISNUMBER(Sync!$AE1801),INT(MOD(Sync!$AE1801,10000)/100),IFERROR(VALUE(TRIM(LEFT(MID(Sync!$AE1801,FIND("/",Sync!$AE1801)+1,20),FIND("/",MID(Sync!$AE1801,FIND("/",Sync!$AE1801)+1,20))-1))),"")))</f>
        <v/>
      </c>
      <c r="I1801">
        <f>IF(OR($F1801="",$G1801=""),"",IF(ISNUMBER(Sync!$AE1801),MOD(Sync!$AE1801,100),IFERROR(VALUE(TRIM(MID(MID(Sync!$AE1801,FIND("/",Sync!$AE1801)+1,20),FIND("/",MID(Sync!$AE1801,FIND("/",Sync!$AE1801)+1,20))+1,20))),"")))</f>
        <v/>
      </c>
      <c r="J1801">
        <f>IF($F1801="","",IF(OR($G1801="",$H1801="",$I1801="",$G1801&lt;1300,$G1801&gt;1500,$H1801&lt;1,$H1801&gt;12,$I1801&lt;1,$I1801&gt;31),"نامعتبر",RIGHT("0000"&amp;$G1801,4)&amp;"/"&amp;RIGHT("00"&amp;$H1801,2)&amp;"/"&amp;RIGHT("00"&amp;$I1801,2)))</f>
        <v/>
      </c>
      <c r="K1801">
        <f>IF(OR($F1801="",$J1801="",$J1801="نامعتبر"),"",LEFT($J1801,4)&amp;MID($J1801,6,2)&amp;RIGHT($J1801,2)&amp;$N1801&amp;"|"&amp;"2"&amp;RIGHT("00000"&amp;1796,5))</f>
        <v/>
      </c>
      <c r="L1801">
        <f>IF($K1801="","",COUNTIFS(LdgSellerA,$F1801,LdgKeyA,"&lt;"&amp;$K1801)+COUNTIFS(LdgSellerB,$F1801,LdgKeyB,"&lt;"&amp;$K1801)+1)</f>
        <v/>
      </c>
      <c r="M1801">
        <f>IF($L1801="","",$F1801&amp;"|"&amp;RIGHT("000000"&amp;$L1801,6))</f>
        <v/>
      </c>
      <c r="N1801">
        <f>IF($F1801="","",IF(Sync!$AF1801="","0000",IF(AND(ISNUMBER(Sync!$AF1801),Sync!$AF1801&gt;=0,Sync!$AF1801&lt;1),RIGHT("00"&amp;HOUR(Sync!$AF1801),2)&amp;RIGHT("00"&amp;MINUTE(Sync!$AF1801),2),IFERROR(RIGHT("00"&amp;VALUE(LEFT(Sync!$AF1801,FIND(":",Sync!$AF1801)-1)),2)&amp;RIGHT("00"&amp;VALUE(MID(Sync!$AF1801,FIND(":",Sync!$AF1801)+1,2)),2),"0000"))))</f>
        <v/>
      </c>
    </row>
    <row r="1802">
      <c r="A1802">
        <f>IF(OR(Calc!$E1806="",Calc!$E1806="نامعتبر",Calc!$G1806=""),"",Calc!$G1806)</f>
        <v/>
      </c>
      <c r="B1802">
        <f>IF($A1802="","",LEFT(Calc!$E1806,4)&amp;MID(Calc!$E1806,6,2)&amp;RIGHT(Calc!$E1806,2)&amp;Calc!$Q1806&amp;"|"&amp;"1"&amp;RIGHT("00000"&amp;1797,5))</f>
        <v/>
      </c>
      <c r="C1802">
        <f>IF($B1802="","",COUNTIFS(LdgSellerA,$A1802,LdgKeyA,"&lt;"&amp;$B1802)+COUNTIFS(LdgSellerB,$A1802,LdgKeyB,"&lt;"&amp;$B1802)+1)</f>
        <v/>
      </c>
      <c r="D1802">
        <f>IF($C1802="","",$A1802&amp;"|"&amp;RIGHT("000000"&amp;$C1802,6))</f>
        <v/>
      </c>
      <c r="F1802">
        <f>IF(Sync!$AH1802="","",IF(LEFT(UPPER(TRIM(Sync!$AH1802)),2)="SL",UPPER(TRIM(Sync!$AH1802)),""))</f>
        <v/>
      </c>
      <c r="G1802">
        <f>IF($F1802="","",IF(Sync!$AE1802="","",IF(ISNUMBER(Sync!$AE1802),IF(AND(Sync!$AE1802&gt;=10000101,Sync!$AE1802&lt;=99991231),INT(Sync!$AE1802/10000),""),IFERROR(VALUE(TRIM(LEFT(Sync!$AE1802,FIND("/",Sync!$AE1802)-1))),""))))</f>
        <v/>
      </c>
      <c r="H1802">
        <f>IF(OR($F1802="",$G1802=""),"",IF(ISNUMBER(Sync!$AE1802),INT(MOD(Sync!$AE1802,10000)/100),IFERROR(VALUE(TRIM(LEFT(MID(Sync!$AE1802,FIND("/",Sync!$AE1802)+1,20),FIND("/",MID(Sync!$AE1802,FIND("/",Sync!$AE1802)+1,20))-1))),"")))</f>
        <v/>
      </c>
      <c r="I1802">
        <f>IF(OR($F1802="",$G1802=""),"",IF(ISNUMBER(Sync!$AE1802),MOD(Sync!$AE1802,100),IFERROR(VALUE(TRIM(MID(MID(Sync!$AE1802,FIND("/",Sync!$AE1802)+1,20),FIND("/",MID(Sync!$AE1802,FIND("/",Sync!$AE1802)+1,20))+1,20))),"")))</f>
        <v/>
      </c>
      <c r="J1802">
        <f>IF($F1802="","",IF(OR($G1802="",$H1802="",$I1802="",$G1802&lt;1300,$G1802&gt;1500,$H1802&lt;1,$H1802&gt;12,$I1802&lt;1,$I1802&gt;31),"نامعتبر",RIGHT("0000"&amp;$G1802,4)&amp;"/"&amp;RIGHT("00"&amp;$H1802,2)&amp;"/"&amp;RIGHT("00"&amp;$I1802,2)))</f>
        <v/>
      </c>
      <c r="K1802">
        <f>IF(OR($F1802="",$J1802="",$J1802="نامعتبر"),"",LEFT($J1802,4)&amp;MID($J1802,6,2)&amp;RIGHT($J1802,2)&amp;$N1802&amp;"|"&amp;"2"&amp;RIGHT("00000"&amp;1797,5))</f>
        <v/>
      </c>
      <c r="L1802">
        <f>IF($K1802="","",COUNTIFS(LdgSellerA,$F1802,LdgKeyA,"&lt;"&amp;$K1802)+COUNTIFS(LdgSellerB,$F1802,LdgKeyB,"&lt;"&amp;$K1802)+1)</f>
        <v/>
      </c>
      <c r="M1802">
        <f>IF($L1802="","",$F1802&amp;"|"&amp;RIGHT("000000"&amp;$L1802,6))</f>
        <v/>
      </c>
      <c r="N1802">
        <f>IF($F1802="","",IF(Sync!$AF1802="","0000",IF(AND(ISNUMBER(Sync!$AF1802),Sync!$AF1802&gt;=0,Sync!$AF1802&lt;1),RIGHT("00"&amp;HOUR(Sync!$AF1802),2)&amp;RIGHT("00"&amp;MINUTE(Sync!$AF1802),2),IFERROR(RIGHT("00"&amp;VALUE(LEFT(Sync!$AF1802,FIND(":",Sync!$AF1802)-1)),2)&amp;RIGHT("00"&amp;VALUE(MID(Sync!$AF1802,FIND(":",Sync!$AF1802)+1,2)),2),"0000"))))</f>
        <v/>
      </c>
    </row>
    <row r="1803">
      <c r="A1803">
        <f>IF(OR(Calc!$E1807="",Calc!$E1807="نامعتبر",Calc!$G1807=""),"",Calc!$G1807)</f>
        <v/>
      </c>
      <c r="B1803">
        <f>IF($A1803="","",LEFT(Calc!$E1807,4)&amp;MID(Calc!$E1807,6,2)&amp;RIGHT(Calc!$E1807,2)&amp;Calc!$Q1807&amp;"|"&amp;"1"&amp;RIGHT("00000"&amp;1798,5))</f>
        <v/>
      </c>
      <c r="C1803">
        <f>IF($B1803="","",COUNTIFS(LdgSellerA,$A1803,LdgKeyA,"&lt;"&amp;$B1803)+COUNTIFS(LdgSellerB,$A1803,LdgKeyB,"&lt;"&amp;$B1803)+1)</f>
        <v/>
      </c>
      <c r="D1803">
        <f>IF($C1803="","",$A1803&amp;"|"&amp;RIGHT("000000"&amp;$C1803,6))</f>
        <v/>
      </c>
      <c r="F1803">
        <f>IF(Sync!$AH1803="","",IF(LEFT(UPPER(TRIM(Sync!$AH1803)),2)="SL",UPPER(TRIM(Sync!$AH1803)),""))</f>
        <v/>
      </c>
      <c r="G1803">
        <f>IF($F1803="","",IF(Sync!$AE1803="","",IF(ISNUMBER(Sync!$AE1803),IF(AND(Sync!$AE1803&gt;=10000101,Sync!$AE1803&lt;=99991231),INT(Sync!$AE1803/10000),""),IFERROR(VALUE(TRIM(LEFT(Sync!$AE1803,FIND("/",Sync!$AE1803)-1))),""))))</f>
        <v/>
      </c>
      <c r="H1803">
        <f>IF(OR($F1803="",$G1803=""),"",IF(ISNUMBER(Sync!$AE1803),INT(MOD(Sync!$AE1803,10000)/100),IFERROR(VALUE(TRIM(LEFT(MID(Sync!$AE1803,FIND("/",Sync!$AE1803)+1,20),FIND("/",MID(Sync!$AE1803,FIND("/",Sync!$AE1803)+1,20))-1))),"")))</f>
        <v/>
      </c>
      <c r="I1803">
        <f>IF(OR($F1803="",$G1803=""),"",IF(ISNUMBER(Sync!$AE1803),MOD(Sync!$AE1803,100),IFERROR(VALUE(TRIM(MID(MID(Sync!$AE1803,FIND("/",Sync!$AE1803)+1,20),FIND("/",MID(Sync!$AE1803,FIND("/",Sync!$AE1803)+1,20))+1,20))),"")))</f>
        <v/>
      </c>
      <c r="J1803">
        <f>IF($F1803="","",IF(OR($G1803="",$H1803="",$I1803="",$G1803&lt;1300,$G1803&gt;1500,$H1803&lt;1,$H1803&gt;12,$I1803&lt;1,$I1803&gt;31),"نامعتبر",RIGHT("0000"&amp;$G1803,4)&amp;"/"&amp;RIGHT("00"&amp;$H1803,2)&amp;"/"&amp;RIGHT("00"&amp;$I1803,2)))</f>
        <v/>
      </c>
      <c r="K1803">
        <f>IF(OR($F1803="",$J1803="",$J1803="نامعتبر"),"",LEFT($J1803,4)&amp;MID($J1803,6,2)&amp;RIGHT($J1803,2)&amp;$N1803&amp;"|"&amp;"2"&amp;RIGHT("00000"&amp;1798,5))</f>
        <v/>
      </c>
      <c r="L1803">
        <f>IF($K1803="","",COUNTIFS(LdgSellerA,$F1803,LdgKeyA,"&lt;"&amp;$K1803)+COUNTIFS(LdgSellerB,$F1803,LdgKeyB,"&lt;"&amp;$K1803)+1)</f>
        <v/>
      </c>
      <c r="M1803">
        <f>IF($L1803="","",$F1803&amp;"|"&amp;RIGHT("000000"&amp;$L1803,6))</f>
        <v/>
      </c>
      <c r="N1803">
        <f>IF($F1803="","",IF(Sync!$AF1803="","0000",IF(AND(ISNUMBER(Sync!$AF1803),Sync!$AF1803&gt;=0,Sync!$AF1803&lt;1),RIGHT("00"&amp;HOUR(Sync!$AF1803),2)&amp;RIGHT("00"&amp;MINUTE(Sync!$AF1803),2),IFERROR(RIGHT("00"&amp;VALUE(LEFT(Sync!$AF1803,FIND(":",Sync!$AF1803)-1)),2)&amp;RIGHT("00"&amp;VALUE(MID(Sync!$AF1803,FIND(":",Sync!$AF1803)+1,2)),2),"0000"))))</f>
        <v/>
      </c>
    </row>
    <row r="1804">
      <c r="A1804">
        <f>IF(OR(Calc!$E1808="",Calc!$E1808="نامعتبر",Calc!$G1808=""),"",Calc!$G1808)</f>
        <v/>
      </c>
      <c r="B1804">
        <f>IF($A1804="","",LEFT(Calc!$E1808,4)&amp;MID(Calc!$E1808,6,2)&amp;RIGHT(Calc!$E1808,2)&amp;Calc!$Q1808&amp;"|"&amp;"1"&amp;RIGHT("00000"&amp;1799,5))</f>
        <v/>
      </c>
      <c r="C1804">
        <f>IF($B1804="","",COUNTIFS(LdgSellerA,$A1804,LdgKeyA,"&lt;"&amp;$B1804)+COUNTIFS(LdgSellerB,$A1804,LdgKeyB,"&lt;"&amp;$B1804)+1)</f>
        <v/>
      </c>
      <c r="D1804">
        <f>IF($C1804="","",$A1804&amp;"|"&amp;RIGHT("000000"&amp;$C1804,6))</f>
        <v/>
      </c>
      <c r="F1804">
        <f>IF(Sync!$AH1804="","",IF(LEFT(UPPER(TRIM(Sync!$AH1804)),2)="SL",UPPER(TRIM(Sync!$AH1804)),""))</f>
        <v/>
      </c>
      <c r="G1804">
        <f>IF($F1804="","",IF(Sync!$AE1804="","",IF(ISNUMBER(Sync!$AE1804),IF(AND(Sync!$AE1804&gt;=10000101,Sync!$AE1804&lt;=99991231),INT(Sync!$AE1804/10000),""),IFERROR(VALUE(TRIM(LEFT(Sync!$AE1804,FIND("/",Sync!$AE1804)-1))),""))))</f>
        <v/>
      </c>
      <c r="H1804">
        <f>IF(OR($F1804="",$G1804=""),"",IF(ISNUMBER(Sync!$AE1804),INT(MOD(Sync!$AE1804,10000)/100),IFERROR(VALUE(TRIM(LEFT(MID(Sync!$AE1804,FIND("/",Sync!$AE1804)+1,20),FIND("/",MID(Sync!$AE1804,FIND("/",Sync!$AE1804)+1,20))-1))),"")))</f>
        <v/>
      </c>
      <c r="I1804">
        <f>IF(OR($F1804="",$G1804=""),"",IF(ISNUMBER(Sync!$AE1804),MOD(Sync!$AE1804,100),IFERROR(VALUE(TRIM(MID(MID(Sync!$AE1804,FIND("/",Sync!$AE1804)+1,20),FIND("/",MID(Sync!$AE1804,FIND("/",Sync!$AE1804)+1,20))+1,20))),"")))</f>
        <v/>
      </c>
      <c r="J1804">
        <f>IF($F1804="","",IF(OR($G1804="",$H1804="",$I1804="",$G1804&lt;1300,$G1804&gt;1500,$H1804&lt;1,$H1804&gt;12,$I1804&lt;1,$I1804&gt;31),"نامعتبر",RIGHT("0000"&amp;$G1804,4)&amp;"/"&amp;RIGHT("00"&amp;$H1804,2)&amp;"/"&amp;RIGHT("00"&amp;$I1804,2)))</f>
        <v/>
      </c>
      <c r="K1804">
        <f>IF(OR($F1804="",$J1804="",$J1804="نامعتبر"),"",LEFT($J1804,4)&amp;MID($J1804,6,2)&amp;RIGHT($J1804,2)&amp;$N1804&amp;"|"&amp;"2"&amp;RIGHT("00000"&amp;1799,5))</f>
        <v/>
      </c>
      <c r="L1804">
        <f>IF($K1804="","",COUNTIFS(LdgSellerA,$F1804,LdgKeyA,"&lt;"&amp;$K1804)+COUNTIFS(LdgSellerB,$F1804,LdgKeyB,"&lt;"&amp;$K1804)+1)</f>
        <v/>
      </c>
      <c r="M1804">
        <f>IF($L1804="","",$F1804&amp;"|"&amp;RIGHT("000000"&amp;$L1804,6))</f>
        <v/>
      </c>
      <c r="N1804">
        <f>IF($F1804="","",IF(Sync!$AF1804="","0000",IF(AND(ISNUMBER(Sync!$AF1804),Sync!$AF1804&gt;=0,Sync!$AF1804&lt;1),RIGHT("00"&amp;HOUR(Sync!$AF1804),2)&amp;RIGHT("00"&amp;MINUTE(Sync!$AF1804),2),IFERROR(RIGHT("00"&amp;VALUE(LEFT(Sync!$AF1804,FIND(":",Sync!$AF1804)-1)),2)&amp;RIGHT("00"&amp;VALUE(MID(Sync!$AF1804,FIND(":",Sync!$AF1804)+1,2)),2),"0000"))))</f>
        <v/>
      </c>
    </row>
    <row r="1805">
      <c r="A1805">
        <f>IF(OR(Calc!$E1809="",Calc!$E1809="نامعتبر",Calc!$G1809=""),"",Calc!$G1809)</f>
        <v/>
      </c>
      <c r="B1805">
        <f>IF($A1805="","",LEFT(Calc!$E1809,4)&amp;MID(Calc!$E1809,6,2)&amp;RIGHT(Calc!$E1809,2)&amp;Calc!$Q1809&amp;"|"&amp;"1"&amp;RIGHT("00000"&amp;1800,5))</f>
        <v/>
      </c>
      <c r="C1805">
        <f>IF($B1805="","",COUNTIFS(LdgSellerA,$A1805,LdgKeyA,"&lt;"&amp;$B1805)+COUNTIFS(LdgSellerB,$A1805,LdgKeyB,"&lt;"&amp;$B1805)+1)</f>
        <v/>
      </c>
      <c r="D1805">
        <f>IF($C1805="","",$A1805&amp;"|"&amp;RIGHT("000000"&amp;$C1805,6))</f>
        <v/>
      </c>
      <c r="F1805">
        <f>IF(Sync!$AH1805="","",IF(LEFT(UPPER(TRIM(Sync!$AH1805)),2)="SL",UPPER(TRIM(Sync!$AH1805)),""))</f>
        <v/>
      </c>
      <c r="G1805">
        <f>IF($F1805="","",IF(Sync!$AE1805="","",IF(ISNUMBER(Sync!$AE1805),IF(AND(Sync!$AE1805&gt;=10000101,Sync!$AE1805&lt;=99991231),INT(Sync!$AE1805/10000),""),IFERROR(VALUE(TRIM(LEFT(Sync!$AE1805,FIND("/",Sync!$AE1805)-1))),""))))</f>
        <v/>
      </c>
      <c r="H1805">
        <f>IF(OR($F1805="",$G1805=""),"",IF(ISNUMBER(Sync!$AE1805),INT(MOD(Sync!$AE1805,10000)/100),IFERROR(VALUE(TRIM(LEFT(MID(Sync!$AE1805,FIND("/",Sync!$AE1805)+1,20),FIND("/",MID(Sync!$AE1805,FIND("/",Sync!$AE1805)+1,20))-1))),"")))</f>
        <v/>
      </c>
      <c r="I1805">
        <f>IF(OR($F1805="",$G1805=""),"",IF(ISNUMBER(Sync!$AE1805),MOD(Sync!$AE1805,100),IFERROR(VALUE(TRIM(MID(MID(Sync!$AE1805,FIND("/",Sync!$AE1805)+1,20),FIND("/",MID(Sync!$AE1805,FIND("/",Sync!$AE1805)+1,20))+1,20))),"")))</f>
        <v/>
      </c>
      <c r="J1805">
        <f>IF($F1805="","",IF(OR($G1805="",$H1805="",$I1805="",$G1805&lt;1300,$G1805&gt;1500,$H1805&lt;1,$H1805&gt;12,$I1805&lt;1,$I1805&gt;31),"نامعتبر",RIGHT("0000"&amp;$G1805,4)&amp;"/"&amp;RIGHT("00"&amp;$H1805,2)&amp;"/"&amp;RIGHT("00"&amp;$I1805,2)))</f>
        <v/>
      </c>
      <c r="K1805">
        <f>IF(OR($F1805="",$J1805="",$J1805="نامعتبر"),"",LEFT($J1805,4)&amp;MID($J1805,6,2)&amp;RIGHT($J1805,2)&amp;$N1805&amp;"|"&amp;"2"&amp;RIGHT("00000"&amp;1800,5))</f>
        <v/>
      </c>
      <c r="L1805">
        <f>IF($K1805="","",COUNTIFS(LdgSellerA,$F1805,LdgKeyA,"&lt;"&amp;$K1805)+COUNTIFS(LdgSellerB,$F1805,LdgKeyB,"&lt;"&amp;$K1805)+1)</f>
        <v/>
      </c>
      <c r="M1805">
        <f>IF($L1805="","",$F1805&amp;"|"&amp;RIGHT("000000"&amp;$L1805,6))</f>
        <v/>
      </c>
      <c r="N1805">
        <f>IF($F1805="","",IF(Sync!$AF1805="","0000",IF(AND(ISNUMBER(Sync!$AF1805),Sync!$AF1805&gt;=0,Sync!$AF1805&lt;1),RIGHT("00"&amp;HOUR(Sync!$AF1805),2)&amp;RIGHT("00"&amp;MINUTE(Sync!$AF1805),2),IFERROR(RIGHT("00"&amp;VALUE(LEFT(Sync!$AF1805,FIND(":",Sync!$AF1805)-1)),2)&amp;RIGHT("00"&amp;VALUE(MID(Sync!$AF1805,FIND(":",Sync!$AF1805)+1,2)),2),"0000"))))</f>
        <v/>
      </c>
    </row>
    <row r="1806">
      <c r="A1806">
        <f>IF(OR(Calc!$E1810="",Calc!$E1810="نامعتبر",Calc!$G1810=""),"",Calc!$G1810)</f>
        <v/>
      </c>
      <c r="B1806">
        <f>IF($A1806="","",LEFT(Calc!$E1810,4)&amp;MID(Calc!$E1810,6,2)&amp;RIGHT(Calc!$E1810,2)&amp;Calc!$Q1810&amp;"|"&amp;"1"&amp;RIGHT("00000"&amp;1801,5))</f>
        <v/>
      </c>
      <c r="C1806">
        <f>IF($B1806="","",COUNTIFS(LdgSellerA,$A1806,LdgKeyA,"&lt;"&amp;$B1806)+COUNTIFS(LdgSellerB,$A1806,LdgKeyB,"&lt;"&amp;$B1806)+1)</f>
        <v/>
      </c>
      <c r="D1806">
        <f>IF($C1806="","",$A1806&amp;"|"&amp;RIGHT("000000"&amp;$C1806,6))</f>
        <v/>
      </c>
      <c r="F1806">
        <f>IF(Sync!$AH1806="","",IF(LEFT(UPPER(TRIM(Sync!$AH1806)),2)="SL",UPPER(TRIM(Sync!$AH1806)),""))</f>
        <v/>
      </c>
      <c r="G1806">
        <f>IF($F1806="","",IF(Sync!$AE1806="","",IF(ISNUMBER(Sync!$AE1806),IF(AND(Sync!$AE1806&gt;=10000101,Sync!$AE1806&lt;=99991231),INT(Sync!$AE1806/10000),""),IFERROR(VALUE(TRIM(LEFT(Sync!$AE1806,FIND("/",Sync!$AE1806)-1))),""))))</f>
        <v/>
      </c>
      <c r="H1806">
        <f>IF(OR($F1806="",$G1806=""),"",IF(ISNUMBER(Sync!$AE1806),INT(MOD(Sync!$AE1806,10000)/100),IFERROR(VALUE(TRIM(LEFT(MID(Sync!$AE1806,FIND("/",Sync!$AE1806)+1,20),FIND("/",MID(Sync!$AE1806,FIND("/",Sync!$AE1806)+1,20))-1))),"")))</f>
        <v/>
      </c>
      <c r="I1806">
        <f>IF(OR($F1806="",$G1806=""),"",IF(ISNUMBER(Sync!$AE1806),MOD(Sync!$AE1806,100),IFERROR(VALUE(TRIM(MID(MID(Sync!$AE1806,FIND("/",Sync!$AE1806)+1,20),FIND("/",MID(Sync!$AE1806,FIND("/",Sync!$AE1806)+1,20))+1,20))),"")))</f>
        <v/>
      </c>
      <c r="J1806">
        <f>IF($F1806="","",IF(OR($G1806="",$H1806="",$I1806="",$G1806&lt;1300,$G1806&gt;1500,$H1806&lt;1,$H1806&gt;12,$I1806&lt;1,$I1806&gt;31),"نامعتبر",RIGHT("0000"&amp;$G1806,4)&amp;"/"&amp;RIGHT("00"&amp;$H1806,2)&amp;"/"&amp;RIGHT("00"&amp;$I1806,2)))</f>
        <v/>
      </c>
      <c r="K1806">
        <f>IF(OR($F1806="",$J1806="",$J1806="نامعتبر"),"",LEFT($J1806,4)&amp;MID($J1806,6,2)&amp;RIGHT($J1806,2)&amp;$N1806&amp;"|"&amp;"2"&amp;RIGHT("00000"&amp;1801,5))</f>
        <v/>
      </c>
      <c r="L1806">
        <f>IF($K1806="","",COUNTIFS(LdgSellerA,$F1806,LdgKeyA,"&lt;"&amp;$K1806)+COUNTIFS(LdgSellerB,$F1806,LdgKeyB,"&lt;"&amp;$K1806)+1)</f>
        <v/>
      </c>
      <c r="M1806">
        <f>IF($L1806="","",$F1806&amp;"|"&amp;RIGHT("000000"&amp;$L1806,6))</f>
        <v/>
      </c>
      <c r="N1806">
        <f>IF($F1806="","",IF(Sync!$AF1806="","0000",IF(AND(ISNUMBER(Sync!$AF1806),Sync!$AF1806&gt;=0,Sync!$AF1806&lt;1),RIGHT("00"&amp;HOUR(Sync!$AF1806),2)&amp;RIGHT("00"&amp;MINUTE(Sync!$AF1806),2),IFERROR(RIGHT("00"&amp;VALUE(LEFT(Sync!$AF1806,FIND(":",Sync!$AF1806)-1)),2)&amp;RIGHT("00"&amp;VALUE(MID(Sync!$AF1806,FIND(":",Sync!$AF1806)+1,2)),2),"0000"))))</f>
        <v/>
      </c>
    </row>
    <row r="1807">
      <c r="A1807">
        <f>IF(OR(Calc!$E1811="",Calc!$E1811="نامعتبر",Calc!$G1811=""),"",Calc!$G1811)</f>
        <v/>
      </c>
      <c r="B1807">
        <f>IF($A1807="","",LEFT(Calc!$E1811,4)&amp;MID(Calc!$E1811,6,2)&amp;RIGHT(Calc!$E1811,2)&amp;Calc!$Q1811&amp;"|"&amp;"1"&amp;RIGHT("00000"&amp;1802,5))</f>
        <v/>
      </c>
      <c r="C1807">
        <f>IF($B1807="","",COUNTIFS(LdgSellerA,$A1807,LdgKeyA,"&lt;"&amp;$B1807)+COUNTIFS(LdgSellerB,$A1807,LdgKeyB,"&lt;"&amp;$B1807)+1)</f>
        <v/>
      </c>
      <c r="D1807">
        <f>IF($C1807="","",$A1807&amp;"|"&amp;RIGHT("000000"&amp;$C1807,6))</f>
        <v/>
      </c>
      <c r="F1807">
        <f>IF(Sync!$AH1807="","",IF(LEFT(UPPER(TRIM(Sync!$AH1807)),2)="SL",UPPER(TRIM(Sync!$AH1807)),""))</f>
        <v/>
      </c>
      <c r="G1807">
        <f>IF($F1807="","",IF(Sync!$AE1807="","",IF(ISNUMBER(Sync!$AE1807),IF(AND(Sync!$AE1807&gt;=10000101,Sync!$AE1807&lt;=99991231),INT(Sync!$AE1807/10000),""),IFERROR(VALUE(TRIM(LEFT(Sync!$AE1807,FIND("/",Sync!$AE1807)-1))),""))))</f>
        <v/>
      </c>
      <c r="H1807">
        <f>IF(OR($F1807="",$G1807=""),"",IF(ISNUMBER(Sync!$AE1807),INT(MOD(Sync!$AE1807,10000)/100),IFERROR(VALUE(TRIM(LEFT(MID(Sync!$AE1807,FIND("/",Sync!$AE1807)+1,20),FIND("/",MID(Sync!$AE1807,FIND("/",Sync!$AE1807)+1,20))-1))),"")))</f>
        <v/>
      </c>
      <c r="I1807">
        <f>IF(OR($F1807="",$G1807=""),"",IF(ISNUMBER(Sync!$AE1807),MOD(Sync!$AE1807,100),IFERROR(VALUE(TRIM(MID(MID(Sync!$AE1807,FIND("/",Sync!$AE1807)+1,20),FIND("/",MID(Sync!$AE1807,FIND("/",Sync!$AE1807)+1,20))+1,20))),"")))</f>
        <v/>
      </c>
      <c r="J1807">
        <f>IF($F1807="","",IF(OR($G1807="",$H1807="",$I1807="",$G1807&lt;1300,$G1807&gt;1500,$H1807&lt;1,$H1807&gt;12,$I1807&lt;1,$I1807&gt;31),"نامعتبر",RIGHT("0000"&amp;$G1807,4)&amp;"/"&amp;RIGHT("00"&amp;$H1807,2)&amp;"/"&amp;RIGHT("00"&amp;$I1807,2)))</f>
        <v/>
      </c>
      <c r="K1807">
        <f>IF(OR($F1807="",$J1807="",$J1807="نامعتبر"),"",LEFT($J1807,4)&amp;MID($J1807,6,2)&amp;RIGHT($J1807,2)&amp;$N1807&amp;"|"&amp;"2"&amp;RIGHT("00000"&amp;1802,5))</f>
        <v/>
      </c>
      <c r="L1807">
        <f>IF($K1807="","",COUNTIFS(LdgSellerA,$F1807,LdgKeyA,"&lt;"&amp;$K1807)+COUNTIFS(LdgSellerB,$F1807,LdgKeyB,"&lt;"&amp;$K1807)+1)</f>
        <v/>
      </c>
      <c r="M1807">
        <f>IF($L1807="","",$F1807&amp;"|"&amp;RIGHT("000000"&amp;$L1807,6))</f>
        <v/>
      </c>
      <c r="N1807">
        <f>IF($F1807="","",IF(Sync!$AF1807="","0000",IF(AND(ISNUMBER(Sync!$AF1807),Sync!$AF1807&gt;=0,Sync!$AF1807&lt;1),RIGHT("00"&amp;HOUR(Sync!$AF1807),2)&amp;RIGHT("00"&amp;MINUTE(Sync!$AF1807),2),IFERROR(RIGHT("00"&amp;VALUE(LEFT(Sync!$AF1807,FIND(":",Sync!$AF1807)-1)),2)&amp;RIGHT("00"&amp;VALUE(MID(Sync!$AF1807,FIND(":",Sync!$AF1807)+1,2)),2),"0000"))))</f>
        <v/>
      </c>
    </row>
    <row r="1808">
      <c r="A1808">
        <f>IF(OR(Calc!$E1812="",Calc!$E1812="نامعتبر",Calc!$G1812=""),"",Calc!$G1812)</f>
        <v/>
      </c>
      <c r="B1808">
        <f>IF($A1808="","",LEFT(Calc!$E1812,4)&amp;MID(Calc!$E1812,6,2)&amp;RIGHT(Calc!$E1812,2)&amp;Calc!$Q1812&amp;"|"&amp;"1"&amp;RIGHT("00000"&amp;1803,5))</f>
        <v/>
      </c>
      <c r="C1808">
        <f>IF($B1808="","",COUNTIFS(LdgSellerA,$A1808,LdgKeyA,"&lt;"&amp;$B1808)+COUNTIFS(LdgSellerB,$A1808,LdgKeyB,"&lt;"&amp;$B1808)+1)</f>
        <v/>
      </c>
      <c r="D1808">
        <f>IF($C1808="","",$A1808&amp;"|"&amp;RIGHT("000000"&amp;$C1808,6))</f>
        <v/>
      </c>
      <c r="F1808">
        <f>IF(Sync!$AH1808="","",IF(LEFT(UPPER(TRIM(Sync!$AH1808)),2)="SL",UPPER(TRIM(Sync!$AH1808)),""))</f>
        <v/>
      </c>
      <c r="G1808">
        <f>IF($F1808="","",IF(Sync!$AE1808="","",IF(ISNUMBER(Sync!$AE1808),IF(AND(Sync!$AE1808&gt;=10000101,Sync!$AE1808&lt;=99991231),INT(Sync!$AE1808/10000),""),IFERROR(VALUE(TRIM(LEFT(Sync!$AE1808,FIND("/",Sync!$AE1808)-1))),""))))</f>
        <v/>
      </c>
      <c r="H1808">
        <f>IF(OR($F1808="",$G1808=""),"",IF(ISNUMBER(Sync!$AE1808),INT(MOD(Sync!$AE1808,10000)/100),IFERROR(VALUE(TRIM(LEFT(MID(Sync!$AE1808,FIND("/",Sync!$AE1808)+1,20),FIND("/",MID(Sync!$AE1808,FIND("/",Sync!$AE1808)+1,20))-1))),"")))</f>
        <v/>
      </c>
      <c r="I1808">
        <f>IF(OR($F1808="",$G1808=""),"",IF(ISNUMBER(Sync!$AE1808),MOD(Sync!$AE1808,100),IFERROR(VALUE(TRIM(MID(MID(Sync!$AE1808,FIND("/",Sync!$AE1808)+1,20),FIND("/",MID(Sync!$AE1808,FIND("/",Sync!$AE1808)+1,20))+1,20))),"")))</f>
        <v/>
      </c>
      <c r="J1808">
        <f>IF($F1808="","",IF(OR($G1808="",$H1808="",$I1808="",$G1808&lt;1300,$G1808&gt;1500,$H1808&lt;1,$H1808&gt;12,$I1808&lt;1,$I1808&gt;31),"نامعتبر",RIGHT("0000"&amp;$G1808,4)&amp;"/"&amp;RIGHT("00"&amp;$H1808,2)&amp;"/"&amp;RIGHT("00"&amp;$I1808,2)))</f>
        <v/>
      </c>
      <c r="K1808">
        <f>IF(OR($F1808="",$J1808="",$J1808="نامعتبر"),"",LEFT($J1808,4)&amp;MID($J1808,6,2)&amp;RIGHT($J1808,2)&amp;$N1808&amp;"|"&amp;"2"&amp;RIGHT("00000"&amp;1803,5))</f>
        <v/>
      </c>
      <c r="L1808">
        <f>IF($K1808="","",COUNTIFS(LdgSellerA,$F1808,LdgKeyA,"&lt;"&amp;$K1808)+COUNTIFS(LdgSellerB,$F1808,LdgKeyB,"&lt;"&amp;$K1808)+1)</f>
        <v/>
      </c>
      <c r="M1808">
        <f>IF($L1808="","",$F1808&amp;"|"&amp;RIGHT("000000"&amp;$L1808,6))</f>
        <v/>
      </c>
      <c r="N1808">
        <f>IF($F1808="","",IF(Sync!$AF1808="","0000",IF(AND(ISNUMBER(Sync!$AF1808),Sync!$AF1808&gt;=0,Sync!$AF1808&lt;1),RIGHT("00"&amp;HOUR(Sync!$AF1808),2)&amp;RIGHT("00"&amp;MINUTE(Sync!$AF1808),2),IFERROR(RIGHT("00"&amp;VALUE(LEFT(Sync!$AF1808,FIND(":",Sync!$AF1808)-1)),2)&amp;RIGHT("00"&amp;VALUE(MID(Sync!$AF1808,FIND(":",Sync!$AF1808)+1,2)),2),"0000"))))</f>
        <v/>
      </c>
    </row>
    <row r="1809">
      <c r="A1809">
        <f>IF(OR(Calc!$E1813="",Calc!$E1813="نامعتبر",Calc!$G1813=""),"",Calc!$G1813)</f>
        <v/>
      </c>
      <c r="B1809">
        <f>IF($A1809="","",LEFT(Calc!$E1813,4)&amp;MID(Calc!$E1813,6,2)&amp;RIGHT(Calc!$E1813,2)&amp;Calc!$Q1813&amp;"|"&amp;"1"&amp;RIGHT("00000"&amp;1804,5))</f>
        <v/>
      </c>
      <c r="C1809">
        <f>IF($B1809="","",COUNTIFS(LdgSellerA,$A1809,LdgKeyA,"&lt;"&amp;$B1809)+COUNTIFS(LdgSellerB,$A1809,LdgKeyB,"&lt;"&amp;$B1809)+1)</f>
        <v/>
      </c>
      <c r="D1809">
        <f>IF($C1809="","",$A1809&amp;"|"&amp;RIGHT("000000"&amp;$C1809,6))</f>
        <v/>
      </c>
      <c r="F1809">
        <f>IF(Sync!$AH1809="","",IF(LEFT(UPPER(TRIM(Sync!$AH1809)),2)="SL",UPPER(TRIM(Sync!$AH1809)),""))</f>
        <v/>
      </c>
      <c r="G1809">
        <f>IF($F1809="","",IF(Sync!$AE1809="","",IF(ISNUMBER(Sync!$AE1809),IF(AND(Sync!$AE1809&gt;=10000101,Sync!$AE1809&lt;=99991231),INT(Sync!$AE1809/10000),""),IFERROR(VALUE(TRIM(LEFT(Sync!$AE1809,FIND("/",Sync!$AE1809)-1))),""))))</f>
        <v/>
      </c>
      <c r="H1809">
        <f>IF(OR($F1809="",$G1809=""),"",IF(ISNUMBER(Sync!$AE1809),INT(MOD(Sync!$AE1809,10000)/100),IFERROR(VALUE(TRIM(LEFT(MID(Sync!$AE1809,FIND("/",Sync!$AE1809)+1,20),FIND("/",MID(Sync!$AE1809,FIND("/",Sync!$AE1809)+1,20))-1))),"")))</f>
        <v/>
      </c>
      <c r="I1809">
        <f>IF(OR($F1809="",$G1809=""),"",IF(ISNUMBER(Sync!$AE1809),MOD(Sync!$AE1809,100),IFERROR(VALUE(TRIM(MID(MID(Sync!$AE1809,FIND("/",Sync!$AE1809)+1,20),FIND("/",MID(Sync!$AE1809,FIND("/",Sync!$AE1809)+1,20))+1,20))),"")))</f>
        <v/>
      </c>
      <c r="J1809">
        <f>IF($F1809="","",IF(OR($G1809="",$H1809="",$I1809="",$G1809&lt;1300,$G1809&gt;1500,$H1809&lt;1,$H1809&gt;12,$I1809&lt;1,$I1809&gt;31),"نامعتبر",RIGHT("0000"&amp;$G1809,4)&amp;"/"&amp;RIGHT("00"&amp;$H1809,2)&amp;"/"&amp;RIGHT("00"&amp;$I1809,2)))</f>
        <v/>
      </c>
      <c r="K1809">
        <f>IF(OR($F1809="",$J1809="",$J1809="نامعتبر"),"",LEFT($J1809,4)&amp;MID($J1809,6,2)&amp;RIGHT($J1809,2)&amp;$N1809&amp;"|"&amp;"2"&amp;RIGHT("00000"&amp;1804,5))</f>
        <v/>
      </c>
      <c r="L1809">
        <f>IF($K1809="","",COUNTIFS(LdgSellerA,$F1809,LdgKeyA,"&lt;"&amp;$K1809)+COUNTIFS(LdgSellerB,$F1809,LdgKeyB,"&lt;"&amp;$K1809)+1)</f>
        <v/>
      </c>
      <c r="M1809">
        <f>IF($L1809="","",$F1809&amp;"|"&amp;RIGHT("000000"&amp;$L1809,6))</f>
        <v/>
      </c>
      <c r="N1809">
        <f>IF($F1809="","",IF(Sync!$AF1809="","0000",IF(AND(ISNUMBER(Sync!$AF1809),Sync!$AF1809&gt;=0,Sync!$AF1809&lt;1),RIGHT("00"&amp;HOUR(Sync!$AF1809),2)&amp;RIGHT("00"&amp;MINUTE(Sync!$AF1809),2),IFERROR(RIGHT("00"&amp;VALUE(LEFT(Sync!$AF1809,FIND(":",Sync!$AF1809)-1)),2)&amp;RIGHT("00"&amp;VALUE(MID(Sync!$AF1809,FIND(":",Sync!$AF1809)+1,2)),2),"0000"))))</f>
        <v/>
      </c>
    </row>
    <row r="1810">
      <c r="A1810">
        <f>IF(OR(Calc!$E1814="",Calc!$E1814="نامعتبر",Calc!$G1814=""),"",Calc!$G1814)</f>
        <v/>
      </c>
      <c r="B1810">
        <f>IF($A1810="","",LEFT(Calc!$E1814,4)&amp;MID(Calc!$E1814,6,2)&amp;RIGHT(Calc!$E1814,2)&amp;Calc!$Q1814&amp;"|"&amp;"1"&amp;RIGHT("00000"&amp;1805,5))</f>
        <v/>
      </c>
      <c r="C1810">
        <f>IF($B1810="","",COUNTIFS(LdgSellerA,$A1810,LdgKeyA,"&lt;"&amp;$B1810)+COUNTIFS(LdgSellerB,$A1810,LdgKeyB,"&lt;"&amp;$B1810)+1)</f>
        <v/>
      </c>
      <c r="D1810">
        <f>IF($C1810="","",$A1810&amp;"|"&amp;RIGHT("000000"&amp;$C1810,6))</f>
        <v/>
      </c>
      <c r="F1810">
        <f>IF(Sync!$AH1810="","",IF(LEFT(UPPER(TRIM(Sync!$AH1810)),2)="SL",UPPER(TRIM(Sync!$AH1810)),""))</f>
        <v/>
      </c>
      <c r="G1810">
        <f>IF($F1810="","",IF(Sync!$AE1810="","",IF(ISNUMBER(Sync!$AE1810),IF(AND(Sync!$AE1810&gt;=10000101,Sync!$AE1810&lt;=99991231),INT(Sync!$AE1810/10000),""),IFERROR(VALUE(TRIM(LEFT(Sync!$AE1810,FIND("/",Sync!$AE1810)-1))),""))))</f>
        <v/>
      </c>
      <c r="H1810">
        <f>IF(OR($F1810="",$G1810=""),"",IF(ISNUMBER(Sync!$AE1810),INT(MOD(Sync!$AE1810,10000)/100),IFERROR(VALUE(TRIM(LEFT(MID(Sync!$AE1810,FIND("/",Sync!$AE1810)+1,20),FIND("/",MID(Sync!$AE1810,FIND("/",Sync!$AE1810)+1,20))-1))),"")))</f>
        <v/>
      </c>
      <c r="I1810">
        <f>IF(OR($F1810="",$G1810=""),"",IF(ISNUMBER(Sync!$AE1810),MOD(Sync!$AE1810,100),IFERROR(VALUE(TRIM(MID(MID(Sync!$AE1810,FIND("/",Sync!$AE1810)+1,20),FIND("/",MID(Sync!$AE1810,FIND("/",Sync!$AE1810)+1,20))+1,20))),"")))</f>
        <v/>
      </c>
      <c r="J1810">
        <f>IF($F1810="","",IF(OR($G1810="",$H1810="",$I1810="",$G1810&lt;1300,$G1810&gt;1500,$H1810&lt;1,$H1810&gt;12,$I1810&lt;1,$I1810&gt;31),"نامعتبر",RIGHT("0000"&amp;$G1810,4)&amp;"/"&amp;RIGHT("00"&amp;$H1810,2)&amp;"/"&amp;RIGHT("00"&amp;$I1810,2)))</f>
        <v/>
      </c>
      <c r="K1810">
        <f>IF(OR($F1810="",$J1810="",$J1810="نامعتبر"),"",LEFT($J1810,4)&amp;MID($J1810,6,2)&amp;RIGHT($J1810,2)&amp;$N1810&amp;"|"&amp;"2"&amp;RIGHT("00000"&amp;1805,5))</f>
        <v/>
      </c>
      <c r="L1810">
        <f>IF($K1810="","",COUNTIFS(LdgSellerA,$F1810,LdgKeyA,"&lt;"&amp;$K1810)+COUNTIFS(LdgSellerB,$F1810,LdgKeyB,"&lt;"&amp;$K1810)+1)</f>
        <v/>
      </c>
      <c r="M1810">
        <f>IF($L1810="","",$F1810&amp;"|"&amp;RIGHT("000000"&amp;$L1810,6))</f>
        <v/>
      </c>
      <c r="N1810">
        <f>IF($F1810="","",IF(Sync!$AF1810="","0000",IF(AND(ISNUMBER(Sync!$AF1810),Sync!$AF1810&gt;=0,Sync!$AF1810&lt;1),RIGHT("00"&amp;HOUR(Sync!$AF1810),2)&amp;RIGHT("00"&amp;MINUTE(Sync!$AF1810),2),IFERROR(RIGHT("00"&amp;VALUE(LEFT(Sync!$AF1810,FIND(":",Sync!$AF1810)-1)),2)&amp;RIGHT("00"&amp;VALUE(MID(Sync!$AF1810,FIND(":",Sync!$AF1810)+1,2)),2),"0000"))))</f>
        <v/>
      </c>
    </row>
    <row r="1811">
      <c r="A1811">
        <f>IF(OR(Calc!$E1815="",Calc!$E1815="نامعتبر",Calc!$G1815=""),"",Calc!$G1815)</f>
        <v/>
      </c>
      <c r="B1811">
        <f>IF($A1811="","",LEFT(Calc!$E1815,4)&amp;MID(Calc!$E1815,6,2)&amp;RIGHT(Calc!$E1815,2)&amp;Calc!$Q1815&amp;"|"&amp;"1"&amp;RIGHT("00000"&amp;1806,5))</f>
        <v/>
      </c>
      <c r="C1811">
        <f>IF($B1811="","",COUNTIFS(LdgSellerA,$A1811,LdgKeyA,"&lt;"&amp;$B1811)+COUNTIFS(LdgSellerB,$A1811,LdgKeyB,"&lt;"&amp;$B1811)+1)</f>
        <v/>
      </c>
      <c r="D1811">
        <f>IF($C1811="","",$A1811&amp;"|"&amp;RIGHT("000000"&amp;$C1811,6))</f>
        <v/>
      </c>
      <c r="F1811">
        <f>IF(Sync!$AH1811="","",IF(LEFT(UPPER(TRIM(Sync!$AH1811)),2)="SL",UPPER(TRIM(Sync!$AH1811)),""))</f>
        <v/>
      </c>
      <c r="G1811">
        <f>IF($F1811="","",IF(Sync!$AE1811="","",IF(ISNUMBER(Sync!$AE1811),IF(AND(Sync!$AE1811&gt;=10000101,Sync!$AE1811&lt;=99991231),INT(Sync!$AE1811/10000),""),IFERROR(VALUE(TRIM(LEFT(Sync!$AE1811,FIND("/",Sync!$AE1811)-1))),""))))</f>
        <v/>
      </c>
      <c r="H1811">
        <f>IF(OR($F1811="",$G1811=""),"",IF(ISNUMBER(Sync!$AE1811),INT(MOD(Sync!$AE1811,10000)/100),IFERROR(VALUE(TRIM(LEFT(MID(Sync!$AE1811,FIND("/",Sync!$AE1811)+1,20),FIND("/",MID(Sync!$AE1811,FIND("/",Sync!$AE1811)+1,20))-1))),"")))</f>
        <v/>
      </c>
      <c r="I1811">
        <f>IF(OR($F1811="",$G1811=""),"",IF(ISNUMBER(Sync!$AE1811),MOD(Sync!$AE1811,100),IFERROR(VALUE(TRIM(MID(MID(Sync!$AE1811,FIND("/",Sync!$AE1811)+1,20),FIND("/",MID(Sync!$AE1811,FIND("/",Sync!$AE1811)+1,20))+1,20))),"")))</f>
        <v/>
      </c>
      <c r="J1811">
        <f>IF($F1811="","",IF(OR($G1811="",$H1811="",$I1811="",$G1811&lt;1300,$G1811&gt;1500,$H1811&lt;1,$H1811&gt;12,$I1811&lt;1,$I1811&gt;31),"نامعتبر",RIGHT("0000"&amp;$G1811,4)&amp;"/"&amp;RIGHT("00"&amp;$H1811,2)&amp;"/"&amp;RIGHT("00"&amp;$I1811,2)))</f>
        <v/>
      </c>
      <c r="K1811">
        <f>IF(OR($F1811="",$J1811="",$J1811="نامعتبر"),"",LEFT($J1811,4)&amp;MID($J1811,6,2)&amp;RIGHT($J1811,2)&amp;$N1811&amp;"|"&amp;"2"&amp;RIGHT("00000"&amp;1806,5))</f>
        <v/>
      </c>
      <c r="L1811">
        <f>IF($K1811="","",COUNTIFS(LdgSellerA,$F1811,LdgKeyA,"&lt;"&amp;$K1811)+COUNTIFS(LdgSellerB,$F1811,LdgKeyB,"&lt;"&amp;$K1811)+1)</f>
        <v/>
      </c>
      <c r="M1811">
        <f>IF($L1811="","",$F1811&amp;"|"&amp;RIGHT("000000"&amp;$L1811,6))</f>
        <v/>
      </c>
      <c r="N1811">
        <f>IF($F1811="","",IF(Sync!$AF1811="","0000",IF(AND(ISNUMBER(Sync!$AF1811),Sync!$AF1811&gt;=0,Sync!$AF1811&lt;1),RIGHT("00"&amp;HOUR(Sync!$AF1811),2)&amp;RIGHT("00"&amp;MINUTE(Sync!$AF1811),2),IFERROR(RIGHT("00"&amp;VALUE(LEFT(Sync!$AF1811,FIND(":",Sync!$AF1811)-1)),2)&amp;RIGHT("00"&amp;VALUE(MID(Sync!$AF1811,FIND(":",Sync!$AF1811)+1,2)),2),"0000"))))</f>
        <v/>
      </c>
    </row>
    <row r="1812">
      <c r="A1812">
        <f>IF(OR(Calc!$E1816="",Calc!$E1816="نامعتبر",Calc!$G1816=""),"",Calc!$G1816)</f>
        <v/>
      </c>
      <c r="B1812">
        <f>IF($A1812="","",LEFT(Calc!$E1816,4)&amp;MID(Calc!$E1816,6,2)&amp;RIGHT(Calc!$E1816,2)&amp;Calc!$Q1816&amp;"|"&amp;"1"&amp;RIGHT("00000"&amp;1807,5))</f>
        <v/>
      </c>
      <c r="C1812">
        <f>IF($B1812="","",COUNTIFS(LdgSellerA,$A1812,LdgKeyA,"&lt;"&amp;$B1812)+COUNTIFS(LdgSellerB,$A1812,LdgKeyB,"&lt;"&amp;$B1812)+1)</f>
        <v/>
      </c>
      <c r="D1812">
        <f>IF($C1812="","",$A1812&amp;"|"&amp;RIGHT("000000"&amp;$C1812,6))</f>
        <v/>
      </c>
      <c r="F1812">
        <f>IF(Sync!$AH1812="","",IF(LEFT(UPPER(TRIM(Sync!$AH1812)),2)="SL",UPPER(TRIM(Sync!$AH1812)),""))</f>
        <v/>
      </c>
      <c r="G1812">
        <f>IF($F1812="","",IF(Sync!$AE1812="","",IF(ISNUMBER(Sync!$AE1812),IF(AND(Sync!$AE1812&gt;=10000101,Sync!$AE1812&lt;=99991231),INT(Sync!$AE1812/10000),""),IFERROR(VALUE(TRIM(LEFT(Sync!$AE1812,FIND("/",Sync!$AE1812)-1))),""))))</f>
        <v/>
      </c>
      <c r="H1812">
        <f>IF(OR($F1812="",$G1812=""),"",IF(ISNUMBER(Sync!$AE1812),INT(MOD(Sync!$AE1812,10000)/100),IFERROR(VALUE(TRIM(LEFT(MID(Sync!$AE1812,FIND("/",Sync!$AE1812)+1,20),FIND("/",MID(Sync!$AE1812,FIND("/",Sync!$AE1812)+1,20))-1))),"")))</f>
        <v/>
      </c>
      <c r="I1812">
        <f>IF(OR($F1812="",$G1812=""),"",IF(ISNUMBER(Sync!$AE1812),MOD(Sync!$AE1812,100),IFERROR(VALUE(TRIM(MID(MID(Sync!$AE1812,FIND("/",Sync!$AE1812)+1,20),FIND("/",MID(Sync!$AE1812,FIND("/",Sync!$AE1812)+1,20))+1,20))),"")))</f>
        <v/>
      </c>
      <c r="J1812">
        <f>IF($F1812="","",IF(OR($G1812="",$H1812="",$I1812="",$G1812&lt;1300,$G1812&gt;1500,$H1812&lt;1,$H1812&gt;12,$I1812&lt;1,$I1812&gt;31),"نامعتبر",RIGHT("0000"&amp;$G1812,4)&amp;"/"&amp;RIGHT("00"&amp;$H1812,2)&amp;"/"&amp;RIGHT("00"&amp;$I1812,2)))</f>
        <v/>
      </c>
      <c r="K1812">
        <f>IF(OR($F1812="",$J1812="",$J1812="نامعتبر"),"",LEFT($J1812,4)&amp;MID($J1812,6,2)&amp;RIGHT($J1812,2)&amp;$N1812&amp;"|"&amp;"2"&amp;RIGHT("00000"&amp;1807,5))</f>
        <v/>
      </c>
      <c r="L1812">
        <f>IF($K1812="","",COUNTIFS(LdgSellerA,$F1812,LdgKeyA,"&lt;"&amp;$K1812)+COUNTIFS(LdgSellerB,$F1812,LdgKeyB,"&lt;"&amp;$K1812)+1)</f>
        <v/>
      </c>
      <c r="M1812">
        <f>IF($L1812="","",$F1812&amp;"|"&amp;RIGHT("000000"&amp;$L1812,6))</f>
        <v/>
      </c>
      <c r="N1812">
        <f>IF($F1812="","",IF(Sync!$AF1812="","0000",IF(AND(ISNUMBER(Sync!$AF1812),Sync!$AF1812&gt;=0,Sync!$AF1812&lt;1),RIGHT("00"&amp;HOUR(Sync!$AF1812),2)&amp;RIGHT("00"&amp;MINUTE(Sync!$AF1812),2),IFERROR(RIGHT("00"&amp;VALUE(LEFT(Sync!$AF1812,FIND(":",Sync!$AF1812)-1)),2)&amp;RIGHT("00"&amp;VALUE(MID(Sync!$AF1812,FIND(":",Sync!$AF1812)+1,2)),2),"0000"))))</f>
        <v/>
      </c>
    </row>
    <row r="1813">
      <c r="A1813">
        <f>IF(OR(Calc!$E1817="",Calc!$E1817="نامعتبر",Calc!$G1817=""),"",Calc!$G1817)</f>
        <v/>
      </c>
      <c r="B1813">
        <f>IF($A1813="","",LEFT(Calc!$E1817,4)&amp;MID(Calc!$E1817,6,2)&amp;RIGHT(Calc!$E1817,2)&amp;Calc!$Q1817&amp;"|"&amp;"1"&amp;RIGHT("00000"&amp;1808,5))</f>
        <v/>
      </c>
      <c r="C1813">
        <f>IF($B1813="","",COUNTIFS(LdgSellerA,$A1813,LdgKeyA,"&lt;"&amp;$B1813)+COUNTIFS(LdgSellerB,$A1813,LdgKeyB,"&lt;"&amp;$B1813)+1)</f>
        <v/>
      </c>
      <c r="D1813">
        <f>IF($C1813="","",$A1813&amp;"|"&amp;RIGHT("000000"&amp;$C1813,6))</f>
        <v/>
      </c>
      <c r="F1813">
        <f>IF(Sync!$AH1813="","",IF(LEFT(UPPER(TRIM(Sync!$AH1813)),2)="SL",UPPER(TRIM(Sync!$AH1813)),""))</f>
        <v/>
      </c>
      <c r="G1813">
        <f>IF($F1813="","",IF(Sync!$AE1813="","",IF(ISNUMBER(Sync!$AE1813),IF(AND(Sync!$AE1813&gt;=10000101,Sync!$AE1813&lt;=99991231),INT(Sync!$AE1813/10000),""),IFERROR(VALUE(TRIM(LEFT(Sync!$AE1813,FIND("/",Sync!$AE1813)-1))),""))))</f>
        <v/>
      </c>
      <c r="H1813">
        <f>IF(OR($F1813="",$G1813=""),"",IF(ISNUMBER(Sync!$AE1813),INT(MOD(Sync!$AE1813,10000)/100),IFERROR(VALUE(TRIM(LEFT(MID(Sync!$AE1813,FIND("/",Sync!$AE1813)+1,20),FIND("/",MID(Sync!$AE1813,FIND("/",Sync!$AE1813)+1,20))-1))),"")))</f>
        <v/>
      </c>
      <c r="I1813">
        <f>IF(OR($F1813="",$G1813=""),"",IF(ISNUMBER(Sync!$AE1813),MOD(Sync!$AE1813,100),IFERROR(VALUE(TRIM(MID(MID(Sync!$AE1813,FIND("/",Sync!$AE1813)+1,20),FIND("/",MID(Sync!$AE1813,FIND("/",Sync!$AE1813)+1,20))+1,20))),"")))</f>
        <v/>
      </c>
      <c r="J1813">
        <f>IF($F1813="","",IF(OR($G1813="",$H1813="",$I1813="",$G1813&lt;1300,$G1813&gt;1500,$H1813&lt;1,$H1813&gt;12,$I1813&lt;1,$I1813&gt;31),"نامعتبر",RIGHT("0000"&amp;$G1813,4)&amp;"/"&amp;RIGHT("00"&amp;$H1813,2)&amp;"/"&amp;RIGHT("00"&amp;$I1813,2)))</f>
        <v/>
      </c>
      <c r="K1813">
        <f>IF(OR($F1813="",$J1813="",$J1813="نامعتبر"),"",LEFT($J1813,4)&amp;MID($J1813,6,2)&amp;RIGHT($J1813,2)&amp;$N1813&amp;"|"&amp;"2"&amp;RIGHT("00000"&amp;1808,5))</f>
        <v/>
      </c>
      <c r="L1813">
        <f>IF($K1813="","",COUNTIFS(LdgSellerA,$F1813,LdgKeyA,"&lt;"&amp;$K1813)+COUNTIFS(LdgSellerB,$F1813,LdgKeyB,"&lt;"&amp;$K1813)+1)</f>
        <v/>
      </c>
      <c r="M1813">
        <f>IF($L1813="","",$F1813&amp;"|"&amp;RIGHT("000000"&amp;$L1813,6))</f>
        <v/>
      </c>
      <c r="N1813">
        <f>IF($F1813="","",IF(Sync!$AF1813="","0000",IF(AND(ISNUMBER(Sync!$AF1813),Sync!$AF1813&gt;=0,Sync!$AF1813&lt;1),RIGHT("00"&amp;HOUR(Sync!$AF1813),2)&amp;RIGHT("00"&amp;MINUTE(Sync!$AF1813),2),IFERROR(RIGHT("00"&amp;VALUE(LEFT(Sync!$AF1813,FIND(":",Sync!$AF1813)-1)),2)&amp;RIGHT("00"&amp;VALUE(MID(Sync!$AF1813,FIND(":",Sync!$AF1813)+1,2)),2),"0000"))))</f>
        <v/>
      </c>
    </row>
    <row r="1814">
      <c r="A1814">
        <f>IF(OR(Calc!$E1818="",Calc!$E1818="نامعتبر",Calc!$G1818=""),"",Calc!$G1818)</f>
        <v/>
      </c>
      <c r="B1814">
        <f>IF($A1814="","",LEFT(Calc!$E1818,4)&amp;MID(Calc!$E1818,6,2)&amp;RIGHT(Calc!$E1818,2)&amp;Calc!$Q1818&amp;"|"&amp;"1"&amp;RIGHT("00000"&amp;1809,5))</f>
        <v/>
      </c>
      <c r="C1814">
        <f>IF($B1814="","",COUNTIFS(LdgSellerA,$A1814,LdgKeyA,"&lt;"&amp;$B1814)+COUNTIFS(LdgSellerB,$A1814,LdgKeyB,"&lt;"&amp;$B1814)+1)</f>
        <v/>
      </c>
      <c r="D1814">
        <f>IF($C1814="","",$A1814&amp;"|"&amp;RIGHT("000000"&amp;$C1814,6))</f>
        <v/>
      </c>
      <c r="F1814">
        <f>IF(Sync!$AH1814="","",IF(LEFT(UPPER(TRIM(Sync!$AH1814)),2)="SL",UPPER(TRIM(Sync!$AH1814)),""))</f>
        <v/>
      </c>
      <c r="G1814">
        <f>IF($F1814="","",IF(Sync!$AE1814="","",IF(ISNUMBER(Sync!$AE1814),IF(AND(Sync!$AE1814&gt;=10000101,Sync!$AE1814&lt;=99991231),INT(Sync!$AE1814/10000),""),IFERROR(VALUE(TRIM(LEFT(Sync!$AE1814,FIND("/",Sync!$AE1814)-1))),""))))</f>
        <v/>
      </c>
      <c r="H1814">
        <f>IF(OR($F1814="",$G1814=""),"",IF(ISNUMBER(Sync!$AE1814),INT(MOD(Sync!$AE1814,10000)/100),IFERROR(VALUE(TRIM(LEFT(MID(Sync!$AE1814,FIND("/",Sync!$AE1814)+1,20),FIND("/",MID(Sync!$AE1814,FIND("/",Sync!$AE1814)+1,20))-1))),"")))</f>
        <v/>
      </c>
      <c r="I1814">
        <f>IF(OR($F1814="",$G1814=""),"",IF(ISNUMBER(Sync!$AE1814),MOD(Sync!$AE1814,100),IFERROR(VALUE(TRIM(MID(MID(Sync!$AE1814,FIND("/",Sync!$AE1814)+1,20),FIND("/",MID(Sync!$AE1814,FIND("/",Sync!$AE1814)+1,20))+1,20))),"")))</f>
        <v/>
      </c>
      <c r="J1814">
        <f>IF($F1814="","",IF(OR($G1814="",$H1814="",$I1814="",$G1814&lt;1300,$G1814&gt;1500,$H1814&lt;1,$H1814&gt;12,$I1814&lt;1,$I1814&gt;31),"نامعتبر",RIGHT("0000"&amp;$G1814,4)&amp;"/"&amp;RIGHT("00"&amp;$H1814,2)&amp;"/"&amp;RIGHT("00"&amp;$I1814,2)))</f>
        <v/>
      </c>
      <c r="K1814">
        <f>IF(OR($F1814="",$J1814="",$J1814="نامعتبر"),"",LEFT($J1814,4)&amp;MID($J1814,6,2)&amp;RIGHT($J1814,2)&amp;$N1814&amp;"|"&amp;"2"&amp;RIGHT("00000"&amp;1809,5))</f>
        <v/>
      </c>
      <c r="L1814">
        <f>IF($K1814="","",COUNTIFS(LdgSellerA,$F1814,LdgKeyA,"&lt;"&amp;$K1814)+COUNTIFS(LdgSellerB,$F1814,LdgKeyB,"&lt;"&amp;$K1814)+1)</f>
        <v/>
      </c>
      <c r="M1814">
        <f>IF($L1814="","",$F1814&amp;"|"&amp;RIGHT("000000"&amp;$L1814,6))</f>
        <v/>
      </c>
      <c r="N1814">
        <f>IF($F1814="","",IF(Sync!$AF1814="","0000",IF(AND(ISNUMBER(Sync!$AF1814),Sync!$AF1814&gt;=0,Sync!$AF1814&lt;1),RIGHT("00"&amp;HOUR(Sync!$AF1814),2)&amp;RIGHT("00"&amp;MINUTE(Sync!$AF1814),2),IFERROR(RIGHT("00"&amp;VALUE(LEFT(Sync!$AF1814,FIND(":",Sync!$AF1814)-1)),2)&amp;RIGHT("00"&amp;VALUE(MID(Sync!$AF1814,FIND(":",Sync!$AF1814)+1,2)),2),"0000"))))</f>
        <v/>
      </c>
    </row>
    <row r="1815">
      <c r="A1815">
        <f>IF(OR(Calc!$E1819="",Calc!$E1819="نامعتبر",Calc!$G1819=""),"",Calc!$G1819)</f>
        <v/>
      </c>
      <c r="B1815">
        <f>IF($A1815="","",LEFT(Calc!$E1819,4)&amp;MID(Calc!$E1819,6,2)&amp;RIGHT(Calc!$E1819,2)&amp;Calc!$Q1819&amp;"|"&amp;"1"&amp;RIGHT("00000"&amp;1810,5))</f>
        <v/>
      </c>
      <c r="C1815">
        <f>IF($B1815="","",COUNTIFS(LdgSellerA,$A1815,LdgKeyA,"&lt;"&amp;$B1815)+COUNTIFS(LdgSellerB,$A1815,LdgKeyB,"&lt;"&amp;$B1815)+1)</f>
        <v/>
      </c>
      <c r="D1815">
        <f>IF($C1815="","",$A1815&amp;"|"&amp;RIGHT("000000"&amp;$C1815,6))</f>
        <v/>
      </c>
      <c r="F1815">
        <f>IF(Sync!$AH1815="","",IF(LEFT(UPPER(TRIM(Sync!$AH1815)),2)="SL",UPPER(TRIM(Sync!$AH1815)),""))</f>
        <v/>
      </c>
      <c r="G1815">
        <f>IF($F1815="","",IF(Sync!$AE1815="","",IF(ISNUMBER(Sync!$AE1815),IF(AND(Sync!$AE1815&gt;=10000101,Sync!$AE1815&lt;=99991231),INT(Sync!$AE1815/10000),""),IFERROR(VALUE(TRIM(LEFT(Sync!$AE1815,FIND("/",Sync!$AE1815)-1))),""))))</f>
        <v/>
      </c>
      <c r="H1815">
        <f>IF(OR($F1815="",$G1815=""),"",IF(ISNUMBER(Sync!$AE1815),INT(MOD(Sync!$AE1815,10000)/100),IFERROR(VALUE(TRIM(LEFT(MID(Sync!$AE1815,FIND("/",Sync!$AE1815)+1,20),FIND("/",MID(Sync!$AE1815,FIND("/",Sync!$AE1815)+1,20))-1))),"")))</f>
        <v/>
      </c>
      <c r="I1815">
        <f>IF(OR($F1815="",$G1815=""),"",IF(ISNUMBER(Sync!$AE1815),MOD(Sync!$AE1815,100),IFERROR(VALUE(TRIM(MID(MID(Sync!$AE1815,FIND("/",Sync!$AE1815)+1,20),FIND("/",MID(Sync!$AE1815,FIND("/",Sync!$AE1815)+1,20))+1,20))),"")))</f>
        <v/>
      </c>
      <c r="J1815">
        <f>IF($F1815="","",IF(OR($G1815="",$H1815="",$I1815="",$G1815&lt;1300,$G1815&gt;1500,$H1815&lt;1,$H1815&gt;12,$I1815&lt;1,$I1815&gt;31),"نامعتبر",RIGHT("0000"&amp;$G1815,4)&amp;"/"&amp;RIGHT("00"&amp;$H1815,2)&amp;"/"&amp;RIGHT("00"&amp;$I1815,2)))</f>
        <v/>
      </c>
      <c r="K1815">
        <f>IF(OR($F1815="",$J1815="",$J1815="نامعتبر"),"",LEFT($J1815,4)&amp;MID($J1815,6,2)&amp;RIGHT($J1815,2)&amp;$N1815&amp;"|"&amp;"2"&amp;RIGHT("00000"&amp;1810,5))</f>
        <v/>
      </c>
      <c r="L1815">
        <f>IF($K1815="","",COUNTIFS(LdgSellerA,$F1815,LdgKeyA,"&lt;"&amp;$K1815)+COUNTIFS(LdgSellerB,$F1815,LdgKeyB,"&lt;"&amp;$K1815)+1)</f>
        <v/>
      </c>
      <c r="M1815">
        <f>IF($L1815="","",$F1815&amp;"|"&amp;RIGHT("000000"&amp;$L1815,6))</f>
        <v/>
      </c>
      <c r="N1815">
        <f>IF($F1815="","",IF(Sync!$AF1815="","0000",IF(AND(ISNUMBER(Sync!$AF1815),Sync!$AF1815&gt;=0,Sync!$AF1815&lt;1),RIGHT("00"&amp;HOUR(Sync!$AF1815),2)&amp;RIGHT("00"&amp;MINUTE(Sync!$AF1815),2),IFERROR(RIGHT("00"&amp;VALUE(LEFT(Sync!$AF1815,FIND(":",Sync!$AF1815)-1)),2)&amp;RIGHT("00"&amp;VALUE(MID(Sync!$AF1815,FIND(":",Sync!$AF1815)+1,2)),2),"0000"))))</f>
        <v/>
      </c>
    </row>
    <row r="1816">
      <c r="A1816">
        <f>IF(OR(Calc!$E1820="",Calc!$E1820="نامعتبر",Calc!$G1820=""),"",Calc!$G1820)</f>
        <v/>
      </c>
      <c r="B1816">
        <f>IF($A1816="","",LEFT(Calc!$E1820,4)&amp;MID(Calc!$E1820,6,2)&amp;RIGHT(Calc!$E1820,2)&amp;Calc!$Q1820&amp;"|"&amp;"1"&amp;RIGHT("00000"&amp;1811,5))</f>
        <v/>
      </c>
      <c r="C1816">
        <f>IF($B1816="","",COUNTIFS(LdgSellerA,$A1816,LdgKeyA,"&lt;"&amp;$B1816)+COUNTIFS(LdgSellerB,$A1816,LdgKeyB,"&lt;"&amp;$B1816)+1)</f>
        <v/>
      </c>
      <c r="D1816">
        <f>IF($C1816="","",$A1816&amp;"|"&amp;RIGHT("000000"&amp;$C1816,6))</f>
        <v/>
      </c>
      <c r="F1816">
        <f>IF(Sync!$AH1816="","",IF(LEFT(UPPER(TRIM(Sync!$AH1816)),2)="SL",UPPER(TRIM(Sync!$AH1816)),""))</f>
        <v/>
      </c>
      <c r="G1816">
        <f>IF($F1816="","",IF(Sync!$AE1816="","",IF(ISNUMBER(Sync!$AE1816),IF(AND(Sync!$AE1816&gt;=10000101,Sync!$AE1816&lt;=99991231),INT(Sync!$AE1816/10000),""),IFERROR(VALUE(TRIM(LEFT(Sync!$AE1816,FIND("/",Sync!$AE1816)-1))),""))))</f>
        <v/>
      </c>
      <c r="H1816">
        <f>IF(OR($F1816="",$G1816=""),"",IF(ISNUMBER(Sync!$AE1816),INT(MOD(Sync!$AE1816,10000)/100),IFERROR(VALUE(TRIM(LEFT(MID(Sync!$AE1816,FIND("/",Sync!$AE1816)+1,20),FIND("/",MID(Sync!$AE1816,FIND("/",Sync!$AE1816)+1,20))-1))),"")))</f>
        <v/>
      </c>
      <c r="I1816">
        <f>IF(OR($F1816="",$G1816=""),"",IF(ISNUMBER(Sync!$AE1816),MOD(Sync!$AE1816,100),IFERROR(VALUE(TRIM(MID(MID(Sync!$AE1816,FIND("/",Sync!$AE1816)+1,20),FIND("/",MID(Sync!$AE1816,FIND("/",Sync!$AE1816)+1,20))+1,20))),"")))</f>
        <v/>
      </c>
      <c r="J1816">
        <f>IF($F1816="","",IF(OR($G1816="",$H1816="",$I1816="",$G1816&lt;1300,$G1816&gt;1500,$H1816&lt;1,$H1816&gt;12,$I1816&lt;1,$I1816&gt;31),"نامعتبر",RIGHT("0000"&amp;$G1816,4)&amp;"/"&amp;RIGHT("00"&amp;$H1816,2)&amp;"/"&amp;RIGHT("00"&amp;$I1816,2)))</f>
        <v/>
      </c>
      <c r="K1816">
        <f>IF(OR($F1816="",$J1816="",$J1816="نامعتبر"),"",LEFT($J1816,4)&amp;MID($J1816,6,2)&amp;RIGHT($J1816,2)&amp;$N1816&amp;"|"&amp;"2"&amp;RIGHT("00000"&amp;1811,5))</f>
        <v/>
      </c>
      <c r="L1816">
        <f>IF($K1816="","",COUNTIFS(LdgSellerA,$F1816,LdgKeyA,"&lt;"&amp;$K1816)+COUNTIFS(LdgSellerB,$F1816,LdgKeyB,"&lt;"&amp;$K1816)+1)</f>
        <v/>
      </c>
      <c r="M1816">
        <f>IF($L1816="","",$F1816&amp;"|"&amp;RIGHT("000000"&amp;$L1816,6))</f>
        <v/>
      </c>
      <c r="N1816">
        <f>IF($F1816="","",IF(Sync!$AF1816="","0000",IF(AND(ISNUMBER(Sync!$AF1816),Sync!$AF1816&gt;=0,Sync!$AF1816&lt;1),RIGHT("00"&amp;HOUR(Sync!$AF1816),2)&amp;RIGHT("00"&amp;MINUTE(Sync!$AF1816),2),IFERROR(RIGHT("00"&amp;VALUE(LEFT(Sync!$AF1816,FIND(":",Sync!$AF1816)-1)),2)&amp;RIGHT("00"&amp;VALUE(MID(Sync!$AF1816,FIND(":",Sync!$AF1816)+1,2)),2),"0000"))))</f>
        <v/>
      </c>
    </row>
    <row r="1817">
      <c r="A1817">
        <f>IF(OR(Calc!$E1821="",Calc!$E1821="نامعتبر",Calc!$G1821=""),"",Calc!$G1821)</f>
        <v/>
      </c>
      <c r="B1817">
        <f>IF($A1817="","",LEFT(Calc!$E1821,4)&amp;MID(Calc!$E1821,6,2)&amp;RIGHT(Calc!$E1821,2)&amp;Calc!$Q1821&amp;"|"&amp;"1"&amp;RIGHT("00000"&amp;1812,5))</f>
        <v/>
      </c>
      <c r="C1817">
        <f>IF($B1817="","",COUNTIFS(LdgSellerA,$A1817,LdgKeyA,"&lt;"&amp;$B1817)+COUNTIFS(LdgSellerB,$A1817,LdgKeyB,"&lt;"&amp;$B1817)+1)</f>
        <v/>
      </c>
      <c r="D1817">
        <f>IF($C1817="","",$A1817&amp;"|"&amp;RIGHT("000000"&amp;$C1817,6))</f>
        <v/>
      </c>
      <c r="F1817">
        <f>IF(Sync!$AH1817="","",IF(LEFT(UPPER(TRIM(Sync!$AH1817)),2)="SL",UPPER(TRIM(Sync!$AH1817)),""))</f>
        <v/>
      </c>
      <c r="G1817">
        <f>IF($F1817="","",IF(Sync!$AE1817="","",IF(ISNUMBER(Sync!$AE1817),IF(AND(Sync!$AE1817&gt;=10000101,Sync!$AE1817&lt;=99991231),INT(Sync!$AE1817/10000),""),IFERROR(VALUE(TRIM(LEFT(Sync!$AE1817,FIND("/",Sync!$AE1817)-1))),""))))</f>
        <v/>
      </c>
      <c r="H1817">
        <f>IF(OR($F1817="",$G1817=""),"",IF(ISNUMBER(Sync!$AE1817),INT(MOD(Sync!$AE1817,10000)/100),IFERROR(VALUE(TRIM(LEFT(MID(Sync!$AE1817,FIND("/",Sync!$AE1817)+1,20),FIND("/",MID(Sync!$AE1817,FIND("/",Sync!$AE1817)+1,20))-1))),"")))</f>
        <v/>
      </c>
      <c r="I1817">
        <f>IF(OR($F1817="",$G1817=""),"",IF(ISNUMBER(Sync!$AE1817),MOD(Sync!$AE1817,100),IFERROR(VALUE(TRIM(MID(MID(Sync!$AE1817,FIND("/",Sync!$AE1817)+1,20),FIND("/",MID(Sync!$AE1817,FIND("/",Sync!$AE1817)+1,20))+1,20))),"")))</f>
        <v/>
      </c>
      <c r="J1817">
        <f>IF($F1817="","",IF(OR($G1817="",$H1817="",$I1817="",$G1817&lt;1300,$G1817&gt;1500,$H1817&lt;1,$H1817&gt;12,$I1817&lt;1,$I1817&gt;31),"نامعتبر",RIGHT("0000"&amp;$G1817,4)&amp;"/"&amp;RIGHT("00"&amp;$H1817,2)&amp;"/"&amp;RIGHT("00"&amp;$I1817,2)))</f>
        <v/>
      </c>
      <c r="K1817">
        <f>IF(OR($F1817="",$J1817="",$J1817="نامعتبر"),"",LEFT($J1817,4)&amp;MID($J1817,6,2)&amp;RIGHT($J1817,2)&amp;$N1817&amp;"|"&amp;"2"&amp;RIGHT("00000"&amp;1812,5))</f>
        <v/>
      </c>
      <c r="L1817">
        <f>IF($K1817="","",COUNTIFS(LdgSellerA,$F1817,LdgKeyA,"&lt;"&amp;$K1817)+COUNTIFS(LdgSellerB,$F1817,LdgKeyB,"&lt;"&amp;$K1817)+1)</f>
        <v/>
      </c>
      <c r="M1817">
        <f>IF($L1817="","",$F1817&amp;"|"&amp;RIGHT("000000"&amp;$L1817,6))</f>
        <v/>
      </c>
      <c r="N1817">
        <f>IF($F1817="","",IF(Sync!$AF1817="","0000",IF(AND(ISNUMBER(Sync!$AF1817),Sync!$AF1817&gt;=0,Sync!$AF1817&lt;1),RIGHT("00"&amp;HOUR(Sync!$AF1817),2)&amp;RIGHT("00"&amp;MINUTE(Sync!$AF1817),2),IFERROR(RIGHT("00"&amp;VALUE(LEFT(Sync!$AF1817,FIND(":",Sync!$AF1817)-1)),2)&amp;RIGHT("00"&amp;VALUE(MID(Sync!$AF1817,FIND(":",Sync!$AF1817)+1,2)),2),"0000"))))</f>
        <v/>
      </c>
    </row>
    <row r="1818">
      <c r="A1818">
        <f>IF(OR(Calc!$E1822="",Calc!$E1822="نامعتبر",Calc!$G1822=""),"",Calc!$G1822)</f>
        <v/>
      </c>
      <c r="B1818">
        <f>IF($A1818="","",LEFT(Calc!$E1822,4)&amp;MID(Calc!$E1822,6,2)&amp;RIGHT(Calc!$E1822,2)&amp;Calc!$Q1822&amp;"|"&amp;"1"&amp;RIGHT("00000"&amp;1813,5))</f>
        <v/>
      </c>
      <c r="C1818">
        <f>IF($B1818="","",COUNTIFS(LdgSellerA,$A1818,LdgKeyA,"&lt;"&amp;$B1818)+COUNTIFS(LdgSellerB,$A1818,LdgKeyB,"&lt;"&amp;$B1818)+1)</f>
        <v/>
      </c>
      <c r="D1818">
        <f>IF($C1818="","",$A1818&amp;"|"&amp;RIGHT("000000"&amp;$C1818,6))</f>
        <v/>
      </c>
      <c r="F1818">
        <f>IF(Sync!$AH1818="","",IF(LEFT(UPPER(TRIM(Sync!$AH1818)),2)="SL",UPPER(TRIM(Sync!$AH1818)),""))</f>
        <v/>
      </c>
      <c r="G1818">
        <f>IF($F1818="","",IF(Sync!$AE1818="","",IF(ISNUMBER(Sync!$AE1818),IF(AND(Sync!$AE1818&gt;=10000101,Sync!$AE1818&lt;=99991231),INT(Sync!$AE1818/10000),""),IFERROR(VALUE(TRIM(LEFT(Sync!$AE1818,FIND("/",Sync!$AE1818)-1))),""))))</f>
        <v/>
      </c>
      <c r="H1818">
        <f>IF(OR($F1818="",$G1818=""),"",IF(ISNUMBER(Sync!$AE1818),INT(MOD(Sync!$AE1818,10000)/100),IFERROR(VALUE(TRIM(LEFT(MID(Sync!$AE1818,FIND("/",Sync!$AE1818)+1,20),FIND("/",MID(Sync!$AE1818,FIND("/",Sync!$AE1818)+1,20))-1))),"")))</f>
        <v/>
      </c>
      <c r="I1818">
        <f>IF(OR($F1818="",$G1818=""),"",IF(ISNUMBER(Sync!$AE1818),MOD(Sync!$AE1818,100),IFERROR(VALUE(TRIM(MID(MID(Sync!$AE1818,FIND("/",Sync!$AE1818)+1,20),FIND("/",MID(Sync!$AE1818,FIND("/",Sync!$AE1818)+1,20))+1,20))),"")))</f>
        <v/>
      </c>
      <c r="J1818">
        <f>IF($F1818="","",IF(OR($G1818="",$H1818="",$I1818="",$G1818&lt;1300,$G1818&gt;1500,$H1818&lt;1,$H1818&gt;12,$I1818&lt;1,$I1818&gt;31),"نامعتبر",RIGHT("0000"&amp;$G1818,4)&amp;"/"&amp;RIGHT("00"&amp;$H1818,2)&amp;"/"&amp;RIGHT("00"&amp;$I1818,2)))</f>
        <v/>
      </c>
      <c r="K1818">
        <f>IF(OR($F1818="",$J1818="",$J1818="نامعتبر"),"",LEFT($J1818,4)&amp;MID($J1818,6,2)&amp;RIGHT($J1818,2)&amp;$N1818&amp;"|"&amp;"2"&amp;RIGHT("00000"&amp;1813,5))</f>
        <v/>
      </c>
      <c r="L1818">
        <f>IF($K1818="","",COUNTIFS(LdgSellerA,$F1818,LdgKeyA,"&lt;"&amp;$K1818)+COUNTIFS(LdgSellerB,$F1818,LdgKeyB,"&lt;"&amp;$K1818)+1)</f>
        <v/>
      </c>
      <c r="M1818">
        <f>IF($L1818="","",$F1818&amp;"|"&amp;RIGHT("000000"&amp;$L1818,6))</f>
        <v/>
      </c>
      <c r="N1818">
        <f>IF($F1818="","",IF(Sync!$AF1818="","0000",IF(AND(ISNUMBER(Sync!$AF1818),Sync!$AF1818&gt;=0,Sync!$AF1818&lt;1),RIGHT("00"&amp;HOUR(Sync!$AF1818),2)&amp;RIGHT("00"&amp;MINUTE(Sync!$AF1818),2),IFERROR(RIGHT("00"&amp;VALUE(LEFT(Sync!$AF1818,FIND(":",Sync!$AF1818)-1)),2)&amp;RIGHT("00"&amp;VALUE(MID(Sync!$AF1818,FIND(":",Sync!$AF1818)+1,2)),2),"0000"))))</f>
        <v/>
      </c>
    </row>
    <row r="1819">
      <c r="A1819">
        <f>IF(OR(Calc!$E1823="",Calc!$E1823="نامعتبر",Calc!$G1823=""),"",Calc!$G1823)</f>
        <v/>
      </c>
      <c r="B1819">
        <f>IF($A1819="","",LEFT(Calc!$E1823,4)&amp;MID(Calc!$E1823,6,2)&amp;RIGHT(Calc!$E1823,2)&amp;Calc!$Q1823&amp;"|"&amp;"1"&amp;RIGHT("00000"&amp;1814,5))</f>
        <v/>
      </c>
      <c r="C1819">
        <f>IF($B1819="","",COUNTIFS(LdgSellerA,$A1819,LdgKeyA,"&lt;"&amp;$B1819)+COUNTIFS(LdgSellerB,$A1819,LdgKeyB,"&lt;"&amp;$B1819)+1)</f>
        <v/>
      </c>
      <c r="D1819">
        <f>IF($C1819="","",$A1819&amp;"|"&amp;RIGHT("000000"&amp;$C1819,6))</f>
        <v/>
      </c>
      <c r="F1819">
        <f>IF(Sync!$AH1819="","",IF(LEFT(UPPER(TRIM(Sync!$AH1819)),2)="SL",UPPER(TRIM(Sync!$AH1819)),""))</f>
        <v/>
      </c>
      <c r="G1819">
        <f>IF($F1819="","",IF(Sync!$AE1819="","",IF(ISNUMBER(Sync!$AE1819),IF(AND(Sync!$AE1819&gt;=10000101,Sync!$AE1819&lt;=99991231),INT(Sync!$AE1819/10000),""),IFERROR(VALUE(TRIM(LEFT(Sync!$AE1819,FIND("/",Sync!$AE1819)-1))),""))))</f>
        <v/>
      </c>
      <c r="H1819">
        <f>IF(OR($F1819="",$G1819=""),"",IF(ISNUMBER(Sync!$AE1819),INT(MOD(Sync!$AE1819,10000)/100),IFERROR(VALUE(TRIM(LEFT(MID(Sync!$AE1819,FIND("/",Sync!$AE1819)+1,20),FIND("/",MID(Sync!$AE1819,FIND("/",Sync!$AE1819)+1,20))-1))),"")))</f>
        <v/>
      </c>
      <c r="I1819">
        <f>IF(OR($F1819="",$G1819=""),"",IF(ISNUMBER(Sync!$AE1819),MOD(Sync!$AE1819,100),IFERROR(VALUE(TRIM(MID(MID(Sync!$AE1819,FIND("/",Sync!$AE1819)+1,20),FIND("/",MID(Sync!$AE1819,FIND("/",Sync!$AE1819)+1,20))+1,20))),"")))</f>
        <v/>
      </c>
      <c r="J1819">
        <f>IF($F1819="","",IF(OR($G1819="",$H1819="",$I1819="",$G1819&lt;1300,$G1819&gt;1500,$H1819&lt;1,$H1819&gt;12,$I1819&lt;1,$I1819&gt;31),"نامعتبر",RIGHT("0000"&amp;$G1819,4)&amp;"/"&amp;RIGHT("00"&amp;$H1819,2)&amp;"/"&amp;RIGHT("00"&amp;$I1819,2)))</f>
        <v/>
      </c>
      <c r="K1819">
        <f>IF(OR($F1819="",$J1819="",$J1819="نامعتبر"),"",LEFT($J1819,4)&amp;MID($J1819,6,2)&amp;RIGHT($J1819,2)&amp;$N1819&amp;"|"&amp;"2"&amp;RIGHT("00000"&amp;1814,5))</f>
        <v/>
      </c>
      <c r="L1819">
        <f>IF($K1819="","",COUNTIFS(LdgSellerA,$F1819,LdgKeyA,"&lt;"&amp;$K1819)+COUNTIFS(LdgSellerB,$F1819,LdgKeyB,"&lt;"&amp;$K1819)+1)</f>
        <v/>
      </c>
      <c r="M1819">
        <f>IF($L1819="","",$F1819&amp;"|"&amp;RIGHT("000000"&amp;$L1819,6))</f>
        <v/>
      </c>
      <c r="N1819">
        <f>IF($F1819="","",IF(Sync!$AF1819="","0000",IF(AND(ISNUMBER(Sync!$AF1819),Sync!$AF1819&gt;=0,Sync!$AF1819&lt;1),RIGHT("00"&amp;HOUR(Sync!$AF1819),2)&amp;RIGHT("00"&amp;MINUTE(Sync!$AF1819),2),IFERROR(RIGHT("00"&amp;VALUE(LEFT(Sync!$AF1819,FIND(":",Sync!$AF1819)-1)),2)&amp;RIGHT("00"&amp;VALUE(MID(Sync!$AF1819,FIND(":",Sync!$AF1819)+1,2)),2),"0000"))))</f>
        <v/>
      </c>
    </row>
    <row r="1820">
      <c r="A1820">
        <f>IF(OR(Calc!$E1824="",Calc!$E1824="نامعتبر",Calc!$G1824=""),"",Calc!$G1824)</f>
        <v/>
      </c>
      <c r="B1820">
        <f>IF($A1820="","",LEFT(Calc!$E1824,4)&amp;MID(Calc!$E1824,6,2)&amp;RIGHT(Calc!$E1824,2)&amp;Calc!$Q1824&amp;"|"&amp;"1"&amp;RIGHT("00000"&amp;1815,5))</f>
        <v/>
      </c>
      <c r="C1820">
        <f>IF($B1820="","",COUNTIFS(LdgSellerA,$A1820,LdgKeyA,"&lt;"&amp;$B1820)+COUNTIFS(LdgSellerB,$A1820,LdgKeyB,"&lt;"&amp;$B1820)+1)</f>
        <v/>
      </c>
      <c r="D1820">
        <f>IF($C1820="","",$A1820&amp;"|"&amp;RIGHT("000000"&amp;$C1820,6))</f>
        <v/>
      </c>
      <c r="F1820">
        <f>IF(Sync!$AH1820="","",IF(LEFT(UPPER(TRIM(Sync!$AH1820)),2)="SL",UPPER(TRIM(Sync!$AH1820)),""))</f>
        <v/>
      </c>
      <c r="G1820">
        <f>IF($F1820="","",IF(Sync!$AE1820="","",IF(ISNUMBER(Sync!$AE1820),IF(AND(Sync!$AE1820&gt;=10000101,Sync!$AE1820&lt;=99991231),INT(Sync!$AE1820/10000),""),IFERROR(VALUE(TRIM(LEFT(Sync!$AE1820,FIND("/",Sync!$AE1820)-1))),""))))</f>
        <v/>
      </c>
      <c r="H1820">
        <f>IF(OR($F1820="",$G1820=""),"",IF(ISNUMBER(Sync!$AE1820),INT(MOD(Sync!$AE1820,10000)/100),IFERROR(VALUE(TRIM(LEFT(MID(Sync!$AE1820,FIND("/",Sync!$AE1820)+1,20),FIND("/",MID(Sync!$AE1820,FIND("/",Sync!$AE1820)+1,20))-1))),"")))</f>
        <v/>
      </c>
      <c r="I1820">
        <f>IF(OR($F1820="",$G1820=""),"",IF(ISNUMBER(Sync!$AE1820),MOD(Sync!$AE1820,100),IFERROR(VALUE(TRIM(MID(MID(Sync!$AE1820,FIND("/",Sync!$AE1820)+1,20),FIND("/",MID(Sync!$AE1820,FIND("/",Sync!$AE1820)+1,20))+1,20))),"")))</f>
        <v/>
      </c>
      <c r="J1820">
        <f>IF($F1820="","",IF(OR($G1820="",$H1820="",$I1820="",$G1820&lt;1300,$G1820&gt;1500,$H1820&lt;1,$H1820&gt;12,$I1820&lt;1,$I1820&gt;31),"نامعتبر",RIGHT("0000"&amp;$G1820,4)&amp;"/"&amp;RIGHT("00"&amp;$H1820,2)&amp;"/"&amp;RIGHT("00"&amp;$I1820,2)))</f>
        <v/>
      </c>
      <c r="K1820">
        <f>IF(OR($F1820="",$J1820="",$J1820="نامعتبر"),"",LEFT($J1820,4)&amp;MID($J1820,6,2)&amp;RIGHT($J1820,2)&amp;$N1820&amp;"|"&amp;"2"&amp;RIGHT("00000"&amp;1815,5))</f>
        <v/>
      </c>
      <c r="L1820">
        <f>IF($K1820="","",COUNTIFS(LdgSellerA,$F1820,LdgKeyA,"&lt;"&amp;$K1820)+COUNTIFS(LdgSellerB,$F1820,LdgKeyB,"&lt;"&amp;$K1820)+1)</f>
        <v/>
      </c>
      <c r="M1820">
        <f>IF($L1820="","",$F1820&amp;"|"&amp;RIGHT("000000"&amp;$L1820,6))</f>
        <v/>
      </c>
      <c r="N1820">
        <f>IF($F1820="","",IF(Sync!$AF1820="","0000",IF(AND(ISNUMBER(Sync!$AF1820),Sync!$AF1820&gt;=0,Sync!$AF1820&lt;1),RIGHT("00"&amp;HOUR(Sync!$AF1820),2)&amp;RIGHT("00"&amp;MINUTE(Sync!$AF1820),2),IFERROR(RIGHT("00"&amp;VALUE(LEFT(Sync!$AF1820,FIND(":",Sync!$AF1820)-1)),2)&amp;RIGHT("00"&amp;VALUE(MID(Sync!$AF1820,FIND(":",Sync!$AF1820)+1,2)),2),"0000"))))</f>
        <v/>
      </c>
    </row>
    <row r="1821">
      <c r="A1821">
        <f>IF(OR(Calc!$E1825="",Calc!$E1825="نامعتبر",Calc!$G1825=""),"",Calc!$G1825)</f>
        <v/>
      </c>
      <c r="B1821">
        <f>IF($A1821="","",LEFT(Calc!$E1825,4)&amp;MID(Calc!$E1825,6,2)&amp;RIGHT(Calc!$E1825,2)&amp;Calc!$Q1825&amp;"|"&amp;"1"&amp;RIGHT("00000"&amp;1816,5))</f>
        <v/>
      </c>
      <c r="C1821">
        <f>IF($B1821="","",COUNTIFS(LdgSellerA,$A1821,LdgKeyA,"&lt;"&amp;$B1821)+COUNTIFS(LdgSellerB,$A1821,LdgKeyB,"&lt;"&amp;$B1821)+1)</f>
        <v/>
      </c>
      <c r="D1821">
        <f>IF($C1821="","",$A1821&amp;"|"&amp;RIGHT("000000"&amp;$C1821,6))</f>
        <v/>
      </c>
      <c r="F1821">
        <f>IF(Sync!$AH1821="","",IF(LEFT(UPPER(TRIM(Sync!$AH1821)),2)="SL",UPPER(TRIM(Sync!$AH1821)),""))</f>
        <v/>
      </c>
      <c r="G1821">
        <f>IF($F1821="","",IF(Sync!$AE1821="","",IF(ISNUMBER(Sync!$AE1821),IF(AND(Sync!$AE1821&gt;=10000101,Sync!$AE1821&lt;=99991231),INT(Sync!$AE1821/10000),""),IFERROR(VALUE(TRIM(LEFT(Sync!$AE1821,FIND("/",Sync!$AE1821)-1))),""))))</f>
        <v/>
      </c>
      <c r="H1821">
        <f>IF(OR($F1821="",$G1821=""),"",IF(ISNUMBER(Sync!$AE1821),INT(MOD(Sync!$AE1821,10000)/100),IFERROR(VALUE(TRIM(LEFT(MID(Sync!$AE1821,FIND("/",Sync!$AE1821)+1,20),FIND("/",MID(Sync!$AE1821,FIND("/",Sync!$AE1821)+1,20))-1))),"")))</f>
        <v/>
      </c>
      <c r="I1821">
        <f>IF(OR($F1821="",$G1821=""),"",IF(ISNUMBER(Sync!$AE1821),MOD(Sync!$AE1821,100),IFERROR(VALUE(TRIM(MID(MID(Sync!$AE1821,FIND("/",Sync!$AE1821)+1,20),FIND("/",MID(Sync!$AE1821,FIND("/",Sync!$AE1821)+1,20))+1,20))),"")))</f>
        <v/>
      </c>
      <c r="J1821">
        <f>IF($F1821="","",IF(OR($G1821="",$H1821="",$I1821="",$G1821&lt;1300,$G1821&gt;1500,$H1821&lt;1,$H1821&gt;12,$I1821&lt;1,$I1821&gt;31),"نامعتبر",RIGHT("0000"&amp;$G1821,4)&amp;"/"&amp;RIGHT("00"&amp;$H1821,2)&amp;"/"&amp;RIGHT("00"&amp;$I1821,2)))</f>
        <v/>
      </c>
      <c r="K1821">
        <f>IF(OR($F1821="",$J1821="",$J1821="نامعتبر"),"",LEFT($J1821,4)&amp;MID($J1821,6,2)&amp;RIGHT($J1821,2)&amp;$N1821&amp;"|"&amp;"2"&amp;RIGHT("00000"&amp;1816,5))</f>
        <v/>
      </c>
      <c r="L1821">
        <f>IF($K1821="","",COUNTIFS(LdgSellerA,$F1821,LdgKeyA,"&lt;"&amp;$K1821)+COUNTIFS(LdgSellerB,$F1821,LdgKeyB,"&lt;"&amp;$K1821)+1)</f>
        <v/>
      </c>
      <c r="M1821">
        <f>IF($L1821="","",$F1821&amp;"|"&amp;RIGHT("000000"&amp;$L1821,6))</f>
        <v/>
      </c>
      <c r="N1821">
        <f>IF($F1821="","",IF(Sync!$AF1821="","0000",IF(AND(ISNUMBER(Sync!$AF1821),Sync!$AF1821&gt;=0,Sync!$AF1821&lt;1),RIGHT("00"&amp;HOUR(Sync!$AF1821),2)&amp;RIGHT("00"&amp;MINUTE(Sync!$AF1821),2),IFERROR(RIGHT("00"&amp;VALUE(LEFT(Sync!$AF1821,FIND(":",Sync!$AF1821)-1)),2)&amp;RIGHT("00"&amp;VALUE(MID(Sync!$AF1821,FIND(":",Sync!$AF1821)+1,2)),2),"0000"))))</f>
        <v/>
      </c>
    </row>
    <row r="1822">
      <c r="A1822">
        <f>IF(OR(Calc!$E1826="",Calc!$E1826="نامعتبر",Calc!$G1826=""),"",Calc!$G1826)</f>
        <v/>
      </c>
      <c r="B1822">
        <f>IF($A1822="","",LEFT(Calc!$E1826,4)&amp;MID(Calc!$E1826,6,2)&amp;RIGHT(Calc!$E1826,2)&amp;Calc!$Q1826&amp;"|"&amp;"1"&amp;RIGHT("00000"&amp;1817,5))</f>
        <v/>
      </c>
      <c r="C1822">
        <f>IF($B1822="","",COUNTIFS(LdgSellerA,$A1822,LdgKeyA,"&lt;"&amp;$B1822)+COUNTIFS(LdgSellerB,$A1822,LdgKeyB,"&lt;"&amp;$B1822)+1)</f>
        <v/>
      </c>
      <c r="D1822">
        <f>IF($C1822="","",$A1822&amp;"|"&amp;RIGHT("000000"&amp;$C1822,6))</f>
        <v/>
      </c>
      <c r="F1822">
        <f>IF(Sync!$AH1822="","",IF(LEFT(UPPER(TRIM(Sync!$AH1822)),2)="SL",UPPER(TRIM(Sync!$AH1822)),""))</f>
        <v/>
      </c>
      <c r="G1822">
        <f>IF($F1822="","",IF(Sync!$AE1822="","",IF(ISNUMBER(Sync!$AE1822),IF(AND(Sync!$AE1822&gt;=10000101,Sync!$AE1822&lt;=99991231),INT(Sync!$AE1822/10000),""),IFERROR(VALUE(TRIM(LEFT(Sync!$AE1822,FIND("/",Sync!$AE1822)-1))),""))))</f>
        <v/>
      </c>
      <c r="H1822">
        <f>IF(OR($F1822="",$G1822=""),"",IF(ISNUMBER(Sync!$AE1822),INT(MOD(Sync!$AE1822,10000)/100),IFERROR(VALUE(TRIM(LEFT(MID(Sync!$AE1822,FIND("/",Sync!$AE1822)+1,20),FIND("/",MID(Sync!$AE1822,FIND("/",Sync!$AE1822)+1,20))-1))),"")))</f>
        <v/>
      </c>
      <c r="I1822">
        <f>IF(OR($F1822="",$G1822=""),"",IF(ISNUMBER(Sync!$AE1822),MOD(Sync!$AE1822,100),IFERROR(VALUE(TRIM(MID(MID(Sync!$AE1822,FIND("/",Sync!$AE1822)+1,20),FIND("/",MID(Sync!$AE1822,FIND("/",Sync!$AE1822)+1,20))+1,20))),"")))</f>
        <v/>
      </c>
      <c r="J1822">
        <f>IF($F1822="","",IF(OR($G1822="",$H1822="",$I1822="",$G1822&lt;1300,$G1822&gt;1500,$H1822&lt;1,$H1822&gt;12,$I1822&lt;1,$I1822&gt;31),"نامعتبر",RIGHT("0000"&amp;$G1822,4)&amp;"/"&amp;RIGHT("00"&amp;$H1822,2)&amp;"/"&amp;RIGHT("00"&amp;$I1822,2)))</f>
        <v/>
      </c>
      <c r="K1822">
        <f>IF(OR($F1822="",$J1822="",$J1822="نامعتبر"),"",LEFT($J1822,4)&amp;MID($J1822,6,2)&amp;RIGHT($J1822,2)&amp;$N1822&amp;"|"&amp;"2"&amp;RIGHT("00000"&amp;1817,5))</f>
        <v/>
      </c>
      <c r="L1822">
        <f>IF($K1822="","",COUNTIFS(LdgSellerA,$F1822,LdgKeyA,"&lt;"&amp;$K1822)+COUNTIFS(LdgSellerB,$F1822,LdgKeyB,"&lt;"&amp;$K1822)+1)</f>
        <v/>
      </c>
      <c r="M1822">
        <f>IF($L1822="","",$F1822&amp;"|"&amp;RIGHT("000000"&amp;$L1822,6))</f>
        <v/>
      </c>
      <c r="N1822">
        <f>IF($F1822="","",IF(Sync!$AF1822="","0000",IF(AND(ISNUMBER(Sync!$AF1822),Sync!$AF1822&gt;=0,Sync!$AF1822&lt;1),RIGHT("00"&amp;HOUR(Sync!$AF1822),2)&amp;RIGHT("00"&amp;MINUTE(Sync!$AF1822),2),IFERROR(RIGHT("00"&amp;VALUE(LEFT(Sync!$AF1822,FIND(":",Sync!$AF1822)-1)),2)&amp;RIGHT("00"&amp;VALUE(MID(Sync!$AF1822,FIND(":",Sync!$AF1822)+1,2)),2),"0000"))))</f>
        <v/>
      </c>
    </row>
    <row r="1823">
      <c r="A1823">
        <f>IF(OR(Calc!$E1827="",Calc!$E1827="نامعتبر",Calc!$G1827=""),"",Calc!$G1827)</f>
        <v/>
      </c>
      <c r="B1823">
        <f>IF($A1823="","",LEFT(Calc!$E1827,4)&amp;MID(Calc!$E1827,6,2)&amp;RIGHT(Calc!$E1827,2)&amp;Calc!$Q1827&amp;"|"&amp;"1"&amp;RIGHT("00000"&amp;1818,5))</f>
        <v/>
      </c>
      <c r="C1823">
        <f>IF($B1823="","",COUNTIFS(LdgSellerA,$A1823,LdgKeyA,"&lt;"&amp;$B1823)+COUNTIFS(LdgSellerB,$A1823,LdgKeyB,"&lt;"&amp;$B1823)+1)</f>
        <v/>
      </c>
      <c r="D1823">
        <f>IF($C1823="","",$A1823&amp;"|"&amp;RIGHT("000000"&amp;$C1823,6))</f>
        <v/>
      </c>
      <c r="F1823">
        <f>IF(Sync!$AH1823="","",IF(LEFT(UPPER(TRIM(Sync!$AH1823)),2)="SL",UPPER(TRIM(Sync!$AH1823)),""))</f>
        <v/>
      </c>
      <c r="G1823">
        <f>IF($F1823="","",IF(Sync!$AE1823="","",IF(ISNUMBER(Sync!$AE1823),IF(AND(Sync!$AE1823&gt;=10000101,Sync!$AE1823&lt;=99991231),INT(Sync!$AE1823/10000),""),IFERROR(VALUE(TRIM(LEFT(Sync!$AE1823,FIND("/",Sync!$AE1823)-1))),""))))</f>
        <v/>
      </c>
      <c r="H1823">
        <f>IF(OR($F1823="",$G1823=""),"",IF(ISNUMBER(Sync!$AE1823),INT(MOD(Sync!$AE1823,10000)/100),IFERROR(VALUE(TRIM(LEFT(MID(Sync!$AE1823,FIND("/",Sync!$AE1823)+1,20),FIND("/",MID(Sync!$AE1823,FIND("/",Sync!$AE1823)+1,20))-1))),"")))</f>
        <v/>
      </c>
      <c r="I1823">
        <f>IF(OR($F1823="",$G1823=""),"",IF(ISNUMBER(Sync!$AE1823),MOD(Sync!$AE1823,100),IFERROR(VALUE(TRIM(MID(MID(Sync!$AE1823,FIND("/",Sync!$AE1823)+1,20),FIND("/",MID(Sync!$AE1823,FIND("/",Sync!$AE1823)+1,20))+1,20))),"")))</f>
        <v/>
      </c>
      <c r="J1823">
        <f>IF($F1823="","",IF(OR($G1823="",$H1823="",$I1823="",$G1823&lt;1300,$G1823&gt;1500,$H1823&lt;1,$H1823&gt;12,$I1823&lt;1,$I1823&gt;31),"نامعتبر",RIGHT("0000"&amp;$G1823,4)&amp;"/"&amp;RIGHT("00"&amp;$H1823,2)&amp;"/"&amp;RIGHT("00"&amp;$I1823,2)))</f>
        <v/>
      </c>
      <c r="K1823">
        <f>IF(OR($F1823="",$J1823="",$J1823="نامعتبر"),"",LEFT($J1823,4)&amp;MID($J1823,6,2)&amp;RIGHT($J1823,2)&amp;$N1823&amp;"|"&amp;"2"&amp;RIGHT("00000"&amp;1818,5))</f>
        <v/>
      </c>
      <c r="L1823">
        <f>IF($K1823="","",COUNTIFS(LdgSellerA,$F1823,LdgKeyA,"&lt;"&amp;$K1823)+COUNTIFS(LdgSellerB,$F1823,LdgKeyB,"&lt;"&amp;$K1823)+1)</f>
        <v/>
      </c>
      <c r="M1823">
        <f>IF($L1823="","",$F1823&amp;"|"&amp;RIGHT("000000"&amp;$L1823,6))</f>
        <v/>
      </c>
      <c r="N1823">
        <f>IF($F1823="","",IF(Sync!$AF1823="","0000",IF(AND(ISNUMBER(Sync!$AF1823),Sync!$AF1823&gt;=0,Sync!$AF1823&lt;1),RIGHT("00"&amp;HOUR(Sync!$AF1823),2)&amp;RIGHT("00"&amp;MINUTE(Sync!$AF1823),2),IFERROR(RIGHT("00"&amp;VALUE(LEFT(Sync!$AF1823,FIND(":",Sync!$AF1823)-1)),2)&amp;RIGHT("00"&amp;VALUE(MID(Sync!$AF1823,FIND(":",Sync!$AF1823)+1,2)),2),"0000"))))</f>
        <v/>
      </c>
    </row>
    <row r="1824">
      <c r="A1824">
        <f>IF(OR(Calc!$E1828="",Calc!$E1828="نامعتبر",Calc!$G1828=""),"",Calc!$G1828)</f>
        <v/>
      </c>
      <c r="B1824">
        <f>IF($A1824="","",LEFT(Calc!$E1828,4)&amp;MID(Calc!$E1828,6,2)&amp;RIGHT(Calc!$E1828,2)&amp;Calc!$Q1828&amp;"|"&amp;"1"&amp;RIGHT("00000"&amp;1819,5))</f>
        <v/>
      </c>
      <c r="C1824">
        <f>IF($B1824="","",COUNTIFS(LdgSellerA,$A1824,LdgKeyA,"&lt;"&amp;$B1824)+COUNTIFS(LdgSellerB,$A1824,LdgKeyB,"&lt;"&amp;$B1824)+1)</f>
        <v/>
      </c>
      <c r="D1824">
        <f>IF($C1824="","",$A1824&amp;"|"&amp;RIGHT("000000"&amp;$C1824,6))</f>
        <v/>
      </c>
      <c r="F1824">
        <f>IF(Sync!$AH1824="","",IF(LEFT(UPPER(TRIM(Sync!$AH1824)),2)="SL",UPPER(TRIM(Sync!$AH1824)),""))</f>
        <v/>
      </c>
      <c r="G1824">
        <f>IF($F1824="","",IF(Sync!$AE1824="","",IF(ISNUMBER(Sync!$AE1824),IF(AND(Sync!$AE1824&gt;=10000101,Sync!$AE1824&lt;=99991231),INT(Sync!$AE1824/10000),""),IFERROR(VALUE(TRIM(LEFT(Sync!$AE1824,FIND("/",Sync!$AE1824)-1))),""))))</f>
        <v/>
      </c>
      <c r="H1824">
        <f>IF(OR($F1824="",$G1824=""),"",IF(ISNUMBER(Sync!$AE1824),INT(MOD(Sync!$AE1824,10000)/100),IFERROR(VALUE(TRIM(LEFT(MID(Sync!$AE1824,FIND("/",Sync!$AE1824)+1,20),FIND("/",MID(Sync!$AE1824,FIND("/",Sync!$AE1824)+1,20))-1))),"")))</f>
        <v/>
      </c>
      <c r="I1824">
        <f>IF(OR($F1824="",$G1824=""),"",IF(ISNUMBER(Sync!$AE1824),MOD(Sync!$AE1824,100),IFERROR(VALUE(TRIM(MID(MID(Sync!$AE1824,FIND("/",Sync!$AE1824)+1,20),FIND("/",MID(Sync!$AE1824,FIND("/",Sync!$AE1824)+1,20))+1,20))),"")))</f>
        <v/>
      </c>
      <c r="J1824">
        <f>IF($F1824="","",IF(OR($G1824="",$H1824="",$I1824="",$G1824&lt;1300,$G1824&gt;1500,$H1824&lt;1,$H1824&gt;12,$I1824&lt;1,$I1824&gt;31),"نامعتبر",RIGHT("0000"&amp;$G1824,4)&amp;"/"&amp;RIGHT("00"&amp;$H1824,2)&amp;"/"&amp;RIGHT("00"&amp;$I1824,2)))</f>
        <v/>
      </c>
      <c r="K1824">
        <f>IF(OR($F1824="",$J1824="",$J1824="نامعتبر"),"",LEFT($J1824,4)&amp;MID($J1824,6,2)&amp;RIGHT($J1824,2)&amp;$N1824&amp;"|"&amp;"2"&amp;RIGHT("00000"&amp;1819,5))</f>
        <v/>
      </c>
      <c r="L1824">
        <f>IF($K1824="","",COUNTIFS(LdgSellerA,$F1824,LdgKeyA,"&lt;"&amp;$K1824)+COUNTIFS(LdgSellerB,$F1824,LdgKeyB,"&lt;"&amp;$K1824)+1)</f>
        <v/>
      </c>
      <c r="M1824">
        <f>IF($L1824="","",$F1824&amp;"|"&amp;RIGHT("000000"&amp;$L1824,6))</f>
        <v/>
      </c>
      <c r="N1824">
        <f>IF($F1824="","",IF(Sync!$AF1824="","0000",IF(AND(ISNUMBER(Sync!$AF1824),Sync!$AF1824&gt;=0,Sync!$AF1824&lt;1),RIGHT("00"&amp;HOUR(Sync!$AF1824),2)&amp;RIGHT("00"&amp;MINUTE(Sync!$AF1824),2),IFERROR(RIGHT("00"&amp;VALUE(LEFT(Sync!$AF1824,FIND(":",Sync!$AF1824)-1)),2)&amp;RIGHT("00"&amp;VALUE(MID(Sync!$AF1824,FIND(":",Sync!$AF1824)+1,2)),2),"0000"))))</f>
        <v/>
      </c>
    </row>
    <row r="1825">
      <c r="A1825">
        <f>IF(OR(Calc!$E1829="",Calc!$E1829="نامعتبر",Calc!$G1829=""),"",Calc!$G1829)</f>
        <v/>
      </c>
      <c r="B1825">
        <f>IF($A1825="","",LEFT(Calc!$E1829,4)&amp;MID(Calc!$E1829,6,2)&amp;RIGHT(Calc!$E1829,2)&amp;Calc!$Q1829&amp;"|"&amp;"1"&amp;RIGHT("00000"&amp;1820,5))</f>
        <v/>
      </c>
      <c r="C1825">
        <f>IF($B1825="","",COUNTIFS(LdgSellerA,$A1825,LdgKeyA,"&lt;"&amp;$B1825)+COUNTIFS(LdgSellerB,$A1825,LdgKeyB,"&lt;"&amp;$B1825)+1)</f>
        <v/>
      </c>
      <c r="D1825">
        <f>IF($C1825="","",$A1825&amp;"|"&amp;RIGHT("000000"&amp;$C1825,6))</f>
        <v/>
      </c>
      <c r="F1825">
        <f>IF(Sync!$AH1825="","",IF(LEFT(UPPER(TRIM(Sync!$AH1825)),2)="SL",UPPER(TRIM(Sync!$AH1825)),""))</f>
        <v/>
      </c>
      <c r="G1825">
        <f>IF($F1825="","",IF(Sync!$AE1825="","",IF(ISNUMBER(Sync!$AE1825),IF(AND(Sync!$AE1825&gt;=10000101,Sync!$AE1825&lt;=99991231),INT(Sync!$AE1825/10000),""),IFERROR(VALUE(TRIM(LEFT(Sync!$AE1825,FIND("/",Sync!$AE1825)-1))),""))))</f>
        <v/>
      </c>
      <c r="H1825">
        <f>IF(OR($F1825="",$G1825=""),"",IF(ISNUMBER(Sync!$AE1825),INT(MOD(Sync!$AE1825,10000)/100),IFERROR(VALUE(TRIM(LEFT(MID(Sync!$AE1825,FIND("/",Sync!$AE1825)+1,20),FIND("/",MID(Sync!$AE1825,FIND("/",Sync!$AE1825)+1,20))-1))),"")))</f>
        <v/>
      </c>
      <c r="I1825">
        <f>IF(OR($F1825="",$G1825=""),"",IF(ISNUMBER(Sync!$AE1825),MOD(Sync!$AE1825,100),IFERROR(VALUE(TRIM(MID(MID(Sync!$AE1825,FIND("/",Sync!$AE1825)+1,20),FIND("/",MID(Sync!$AE1825,FIND("/",Sync!$AE1825)+1,20))+1,20))),"")))</f>
        <v/>
      </c>
      <c r="J1825">
        <f>IF($F1825="","",IF(OR($G1825="",$H1825="",$I1825="",$G1825&lt;1300,$G1825&gt;1500,$H1825&lt;1,$H1825&gt;12,$I1825&lt;1,$I1825&gt;31),"نامعتبر",RIGHT("0000"&amp;$G1825,4)&amp;"/"&amp;RIGHT("00"&amp;$H1825,2)&amp;"/"&amp;RIGHT("00"&amp;$I1825,2)))</f>
        <v/>
      </c>
      <c r="K1825">
        <f>IF(OR($F1825="",$J1825="",$J1825="نامعتبر"),"",LEFT($J1825,4)&amp;MID($J1825,6,2)&amp;RIGHT($J1825,2)&amp;$N1825&amp;"|"&amp;"2"&amp;RIGHT("00000"&amp;1820,5))</f>
        <v/>
      </c>
      <c r="L1825">
        <f>IF($K1825="","",COUNTIFS(LdgSellerA,$F1825,LdgKeyA,"&lt;"&amp;$K1825)+COUNTIFS(LdgSellerB,$F1825,LdgKeyB,"&lt;"&amp;$K1825)+1)</f>
        <v/>
      </c>
      <c r="M1825">
        <f>IF($L1825="","",$F1825&amp;"|"&amp;RIGHT("000000"&amp;$L1825,6))</f>
        <v/>
      </c>
      <c r="N1825">
        <f>IF($F1825="","",IF(Sync!$AF1825="","0000",IF(AND(ISNUMBER(Sync!$AF1825),Sync!$AF1825&gt;=0,Sync!$AF1825&lt;1),RIGHT("00"&amp;HOUR(Sync!$AF1825),2)&amp;RIGHT("00"&amp;MINUTE(Sync!$AF1825),2),IFERROR(RIGHT("00"&amp;VALUE(LEFT(Sync!$AF1825,FIND(":",Sync!$AF1825)-1)),2)&amp;RIGHT("00"&amp;VALUE(MID(Sync!$AF1825,FIND(":",Sync!$AF1825)+1,2)),2),"0000"))))</f>
        <v/>
      </c>
    </row>
    <row r="1826">
      <c r="A1826">
        <f>IF(OR(Calc!$E1830="",Calc!$E1830="نامعتبر",Calc!$G1830=""),"",Calc!$G1830)</f>
        <v/>
      </c>
      <c r="B1826">
        <f>IF($A1826="","",LEFT(Calc!$E1830,4)&amp;MID(Calc!$E1830,6,2)&amp;RIGHT(Calc!$E1830,2)&amp;Calc!$Q1830&amp;"|"&amp;"1"&amp;RIGHT("00000"&amp;1821,5))</f>
        <v/>
      </c>
      <c r="C1826">
        <f>IF($B1826="","",COUNTIFS(LdgSellerA,$A1826,LdgKeyA,"&lt;"&amp;$B1826)+COUNTIFS(LdgSellerB,$A1826,LdgKeyB,"&lt;"&amp;$B1826)+1)</f>
        <v/>
      </c>
      <c r="D1826">
        <f>IF($C1826="","",$A1826&amp;"|"&amp;RIGHT("000000"&amp;$C1826,6))</f>
        <v/>
      </c>
      <c r="F1826">
        <f>IF(Sync!$AH1826="","",IF(LEFT(UPPER(TRIM(Sync!$AH1826)),2)="SL",UPPER(TRIM(Sync!$AH1826)),""))</f>
        <v/>
      </c>
      <c r="G1826">
        <f>IF($F1826="","",IF(Sync!$AE1826="","",IF(ISNUMBER(Sync!$AE1826),IF(AND(Sync!$AE1826&gt;=10000101,Sync!$AE1826&lt;=99991231),INT(Sync!$AE1826/10000),""),IFERROR(VALUE(TRIM(LEFT(Sync!$AE1826,FIND("/",Sync!$AE1826)-1))),""))))</f>
        <v/>
      </c>
      <c r="H1826">
        <f>IF(OR($F1826="",$G1826=""),"",IF(ISNUMBER(Sync!$AE1826),INT(MOD(Sync!$AE1826,10000)/100),IFERROR(VALUE(TRIM(LEFT(MID(Sync!$AE1826,FIND("/",Sync!$AE1826)+1,20),FIND("/",MID(Sync!$AE1826,FIND("/",Sync!$AE1826)+1,20))-1))),"")))</f>
        <v/>
      </c>
      <c r="I1826">
        <f>IF(OR($F1826="",$G1826=""),"",IF(ISNUMBER(Sync!$AE1826),MOD(Sync!$AE1826,100),IFERROR(VALUE(TRIM(MID(MID(Sync!$AE1826,FIND("/",Sync!$AE1826)+1,20),FIND("/",MID(Sync!$AE1826,FIND("/",Sync!$AE1826)+1,20))+1,20))),"")))</f>
        <v/>
      </c>
      <c r="J1826">
        <f>IF($F1826="","",IF(OR($G1826="",$H1826="",$I1826="",$G1826&lt;1300,$G1826&gt;1500,$H1826&lt;1,$H1826&gt;12,$I1826&lt;1,$I1826&gt;31),"نامعتبر",RIGHT("0000"&amp;$G1826,4)&amp;"/"&amp;RIGHT("00"&amp;$H1826,2)&amp;"/"&amp;RIGHT("00"&amp;$I1826,2)))</f>
        <v/>
      </c>
      <c r="K1826">
        <f>IF(OR($F1826="",$J1826="",$J1826="نامعتبر"),"",LEFT($J1826,4)&amp;MID($J1826,6,2)&amp;RIGHT($J1826,2)&amp;$N1826&amp;"|"&amp;"2"&amp;RIGHT("00000"&amp;1821,5))</f>
        <v/>
      </c>
      <c r="L1826">
        <f>IF($K1826="","",COUNTIFS(LdgSellerA,$F1826,LdgKeyA,"&lt;"&amp;$K1826)+COUNTIFS(LdgSellerB,$F1826,LdgKeyB,"&lt;"&amp;$K1826)+1)</f>
        <v/>
      </c>
      <c r="M1826">
        <f>IF($L1826="","",$F1826&amp;"|"&amp;RIGHT("000000"&amp;$L1826,6))</f>
        <v/>
      </c>
      <c r="N1826">
        <f>IF($F1826="","",IF(Sync!$AF1826="","0000",IF(AND(ISNUMBER(Sync!$AF1826),Sync!$AF1826&gt;=0,Sync!$AF1826&lt;1),RIGHT("00"&amp;HOUR(Sync!$AF1826),2)&amp;RIGHT("00"&amp;MINUTE(Sync!$AF1826),2),IFERROR(RIGHT("00"&amp;VALUE(LEFT(Sync!$AF1826,FIND(":",Sync!$AF1826)-1)),2)&amp;RIGHT("00"&amp;VALUE(MID(Sync!$AF1826,FIND(":",Sync!$AF1826)+1,2)),2),"0000"))))</f>
        <v/>
      </c>
    </row>
    <row r="1827">
      <c r="A1827">
        <f>IF(OR(Calc!$E1831="",Calc!$E1831="نامعتبر",Calc!$G1831=""),"",Calc!$G1831)</f>
        <v/>
      </c>
      <c r="B1827">
        <f>IF($A1827="","",LEFT(Calc!$E1831,4)&amp;MID(Calc!$E1831,6,2)&amp;RIGHT(Calc!$E1831,2)&amp;Calc!$Q1831&amp;"|"&amp;"1"&amp;RIGHT("00000"&amp;1822,5))</f>
        <v/>
      </c>
      <c r="C1827">
        <f>IF($B1827="","",COUNTIFS(LdgSellerA,$A1827,LdgKeyA,"&lt;"&amp;$B1827)+COUNTIFS(LdgSellerB,$A1827,LdgKeyB,"&lt;"&amp;$B1827)+1)</f>
        <v/>
      </c>
      <c r="D1827">
        <f>IF($C1827="","",$A1827&amp;"|"&amp;RIGHT("000000"&amp;$C1827,6))</f>
        <v/>
      </c>
      <c r="F1827">
        <f>IF(Sync!$AH1827="","",IF(LEFT(UPPER(TRIM(Sync!$AH1827)),2)="SL",UPPER(TRIM(Sync!$AH1827)),""))</f>
        <v/>
      </c>
      <c r="G1827">
        <f>IF($F1827="","",IF(Sync!$AE1827="","",IF(ISNUMBER(Sync!$AE1827),IF(AND(Sync!$AE1827&gt;=10000101,Sync!$AE1827&lt;=99991231),INT(Sync!$AE1827/10000),""),IFERROR(VALUE(TRIM(LEFT(Sync!$AE1827,FIND("/",Sync!$AE1827)-1))),""))))</f>
        <v/>
      </c>
      <c r="H1827">
        <f>IF(OR($F1827="",$G1827=""),"",IF(ISNUMBER(Sync!$AE1827),INT(MOD(Sync!$AE1827,10000)/100),IFERROR(VALUE(TRIM(LEFT(MID(Sync!$AE1827,FIND("/",Sync!$AE1827)+1,20),FIND("/",MID(Sync!$AE1827,FIND("/",Sync!$AE1827)+1,20))-1))),"")))</f>
        <v/>
      </c>
      <c r="I1827">
        <f>IF(OR($F1827="",$G1827=""),"",IF(ISNUMBER(Sync!$AE1827),MOD(Sync!$AE1827,100),IFERROR(VALUE(TRIM(MID(MID(Sync!$AE1827,FIND("/",Sync!$AE1827)+1,20),FIND("/",MID(Sync!$AE1827,FIND("/",Sync!$AE1827)+1,20))+1,20))),"")))</f>
        <v/>
      </c>
      <c r="J1827">
        <f>IF($F1827="","",IF(OR($G1827="",$H1827="",$I1827="",$G1827&lt;1300,$G1827&gt;1500,$H1827&lt;1,$H1827&gt;12,$I1827&lt;1,$I1827&gt;31),"نامعتبر",RIGHT("0000"&amp;$G1827,4)&amp;"/"&amp;RIGHT("00"&amp;$H1827,2)&amp;"/"&amp;RIGHT("00"&amp;$I1827,2)))</f>
        <v/>
      </c>
      <c r="K1827">
        <f>IF(OR($F1827="",$J1827="",$J1827="نامعتبر"),"",LEFT($J1827,4)&amp;MID($J1827,6,2)&amp;RIGHT($J1827,2)&amp;$N1827&amp;"|"&amp;"2"&amp;RIGHT("00000"&amp;1822,5))</f>
        <v/>
      </c>
      <c r="L1827">
        <f>IF($K1827="","",COUNTIFS(LdgSellerA,$F1827,LdgKeyA,"&lt;"&amp;$K1827)+COUNTIFS(LdgSellerB,$F1827,LdgKeyB,"&lt;"&amp;$K1827)+1)</f>
        <v/>
      </c>
      <c r="M1827">
        <f>IF($L1827="","",$F1827&amp;"|"&amp;RIGHT("000000"&amp;$L1827,6))</f>
        <v/>
      </c>
      <c r="N1827">
        <f>IF($F1827="","",IF(Sync!$AF1827="","0000",IF(AND(ISNUMBER(Sync!$AF1827),Sync!$AF1827&gt;=0,Sync!$AF1827&lt;1),RIGHT("00"&amp;HOUR(Sync!$AF1827),2)&amp;RIGHT("00"&amp;MINUTE(Sync!$AF1827),2),IFERROR(RIGHT("00"&amp;VALUE(LEFT(Sync!$AF1827,FIND(":",Sync!$AF1827)-1)),2)&amp;RIGHT("00"&amp;VALUE(MID(Sync!$AF1827,FIND(":",Sync!$AF1827)+1,2)),2),"0000"))))</f>
        <v/>
      </c>
    </row>
    <row r="1828">
      <c r="A1828">
        <f>IF(OR(Calc!$E1832="",Calc!$E1832="نامعتبر",Calc!$G1832=""),"",Calc!$G1832)</f>
        <v/>
      </c>
      <c r="B1828">
        <f>IF($A1828="","",LEFT(Calc!$E1832,4)&amp;MID(Calc!$E1832,6,2)&amp;RIGHT(Calc!$E1832,2)&amp;Calc!$Q1832&amp;"|"&amp;"1"&amp;RIGHT("00000"&amp;1823,5))</f>
        <v/>
      </c>
      <c r="C1828">
        <f>IF($B1828="","",COUNTIFS(LdgSellerA,$A1828,LdgKeyA,"&lt;"&amp;$B1828)+COUNTIFS(LdgSellerB,$A1828,LdgKeyB,"&lt;"&amp;$B1828)+1)</f>
        <v/>
      </c>
      <c r="D1828">
        <f>IF($C1828="","",$A1828&amp;"|"&amp;RIGHT("000000"&amp;$C1828,6))</f>
        <v/>
      </c>
      <c r="F1828">
        <f>IF(Sync!$AH1828="","",IF(LEFT(UPPER(TRIM(Sync!$AH1828)),2)="SL",UPPER(TRIM(Sync!$AH1828)),""))</f>
        <v/>
      </c>
      <c r="G1828">
        <f>IF($F1828="","",IF(Sync!$AE1828="","",IF(ISNUMBER(Sync!$AE1828),IF(AND(Sync!$AE1828&gt;=10000101,Sync!$AE1828&lt;=99991231),INT(Sync!$AE1828/10000),""),IFERROR(VALUE(TRIM(LEFT(Sync!$AE1828,FIND("/",Sync!$AE1828)-1))),""))))</f>
        <v/>
      </c>
      <c r="H1828">
        <f>IF(OR($F1828="",$G1828=""),"",IF(ISNUMBER(Sync!$AE1828),INT(MOD(Sync!$AE1828,10000)/100),IFERROR(VALUE(TRIM(LEFT(MID(Sync!$AE1828,FIND("/",Sync!$AE1828)+1,20),FIND("/",MID(Sync!$AE1828,FIND("/",Sync!$AE1828)+1,20))-1))),"")))</f>
        <v/>
      </c>
      <c r="I1828">
        <f>IF(OR($F1828="",$G1828=""),"",IF(ISNUMBER(Sync!$AE1828),MOD(Sync!$AE1828,100),IFERROR(VALUE(TRIM(MID(MID(Sync!$AE1828,FIND("/",Sync!$AE1828)+1,20),FIND("/",MID(Sync!$AE1828,FIND("/",Sync!$AE1828)+1,20))+1,20))),"")))</f>
        <v/>
      </c>
      <c r="J1828">
        <f>IF($F1828="","",IF(OR($G1828="",$H1828="",$I1828="",$G1828&lt;1300,$G1828&gt;1500,$H1828&lt;1,$H1828&gt;12,$I1828&lt;1,$I1828&gt;31),"نامعتبر",RIGHT("0000"&amp;$G1828,4)&amp;"/"&amp;RIGHT("00"&amp;$H1828,2)&amp;"/"&amp;RIGHT("00"&amp;$I1828,2)))</f>
        <v/>
      </c>
      <c r="K1828">
        <f>IF(OR($F1828="",$J1828="",$J1828="نامعتبر"),"",LEFT($J1828,4)&amp;MID($J1828,6,2)&amp;RIGHT($J1828,2)&amp;$N1828&amp;"|"&amp;"2"&amp;RIGHT("00000"&amp;1823,5))</f>
        <v/>
      </c>
      <c r="L1828">
        <f>IF($K1828="","",COUNTIFS(LdgSellerA,$F1828,LdgKeyA,"&lt;"&amp;$K1828)+COUNTIFS(LdgSellerB,$F1828,LdgKeyB,"&lt;"&amp;$K1828)+1)</f>
        <v/>
      </c>
      <c r="M1828">
        <f>IF($L1828="","",$F1828&amp;"|"&amp;RIGHT("000000"&amp;$L1828,6))</f>
        <v/>
      </c>
      <c r="N1828">
        <f>IF($F1828="","",IF(Sync!$AF1828="","0000",IF(AND(ISNUMBER(Sync!$AF1828),Sync!$AF1828&gt;=0,Sync!$AF1828&lt;1),RIGHT("00"&amp;HOUR(Sync!$AF1828),2)&amp;RIGHT("00"&amp;MINUTE(Sync!$AF1828),2),IFERROR(RIGHT("00"&amp;VALUE(LEFT(Sync!$AF1828,FIND(":",Sync!$AF1828)-1)),2)&amp;RIGHT("00"&amp;VALUE(MID(Sync!$AF1828,FIND(":",Sync!$AF1828)+1,2)),2),"0000"))))</f>
        <v/>
      </c>
    </row>
    <row r="1829">
      <c r="A1829">
        <f>IF(OR(Calc!$E1833="",Calc!$E1833="نامعتبر",Calc!$G1833=""),"",Calc!$G1833)</f>
        <v/>
      </c>
      <c r="B1829">
        <f>IF($A1829="","",LEFT(Calc!$E1833,4)&amp;MID(Calc!$E1833,6,2)&amp;RIGHT(Calc!$E1833,2)&amp;Calc!$Q1833&amp;"|"&amp;"1"&amp;RIGHT("00000"&amp;1824,5))</f>
        <v/>
      </c>
      <c r="C1829">
        <f>IF($B1829="","",COUNTIFS(LdgSellerA,$A1829,LdgKeyA,"&lt;"&amp;$B1829)+COUNTIFS(LdgSellerB,$A1829,LdgKeyB,"&lt;"&amp;$B1829)+1)</f>
        <v/>
      </c>
      <c r="D1829">
        <f>IF($C1829="","",$A1829&amp;"|"&amp;RIGHT("000000"&amp;$C1829,6))</f>
        <v/>
      </c>
      <c r="F1829">
        <f>IF(Sync!$AH1829="","",IF(LEFT(UPPER(TRIM(Sync!$AH1829)),2)="SL",UPPER(TRIM(Sync!$AH1829)),""))</f>
        <v/>
      </c>
      <c r="G1829">
        <f>IF($F1829="","",IF(Sync!$AE1829="","",IF(ISNUMBER(Sync!$AE1829),IF(AND(Sync!$AE1829&gt;=10000101,Sync!$AE1829&lt;=99991231),INT(Sync!$AE1829/10000),""),IFERROR(VALUE(TRIM(LEFT(Sync!$AE1829,FIND("/",Sync!$AE1829)-1))),""))))</f>
        <v/>
      </c>
      <c r="H1829">
        <f>IF(OR($F1829="",$G1829=""),"",IF(ISNUMBER(Sync!$AE1829),INT(MOD(Sync!$AE1829,10000)/100),IFERROR(VALUE(TRIM(LEFT(MID(Sync!$AE1829,FIND("/",Sync!$AE1829)+1,20),FIND("/",MID(Sync!$AE1829,FIND("/",Sync!$AE1829)+1,20))-1))),"")))</f>
        <v/>
      </c>
      <c r="I1829">
        <f>IF(OR($F1829="",$G1829=""),"",IF(ISNUMBER(Sync!$AE1829),MOD(Sync!$AE1829,100),IFERROR(VALUE(TRIM(MID(MID(Sync!$AE1829,FIND("/",Sync!$AE1829)+1,20),FIND("/",MID(Sync!$AE1829,FIND("/",Sync!$AE1829)+1,20))+1,20))),"")))</f>
        <v/>
      </c>
      <c r="J1829">
        <f>IF($F1829="","",IF(OR($G1829="",$H1829="",$I1829="",$G1829&lt;1300,$G1829&gt;1500,$H1829&lt;1,$H1829&gt;12,$I1829&lt;1,$I1829&gt;31),"نامعتبر",RIGHT("0000"&amp;$G1829,4)&amp;"/"&amp;RIGHT("00"&amp;$H1829,2)&amp;"/"&amp;RIGHT("00"&amp;$I1829,2)))</f>
        <v/>
      </c>
      <c r="K1829">
        <f>IF(OR($F1829="",$J1829="",$J1829="نامعتبر"),"",LEFT($J1829,4)&amp;MID($J1829,6,2)&amp;RIGHT($J1829,2)&amp;$N1829&amp;"|"&amp;"2"&amp;RIGHT("00000"&amp;1824,5))</f>
        <v/>
      </c>
      <c r="L1829">
        <f>IF($K1829="","",COUNTIFS(LdgSellerA,$F1829,LdgKeyA,"&lt;"&amp;$K1829)+COUNTIFS(LdgSellerB,$F1829,LdgKeyB,"&lt;"&amp;$K1829)+1)</f>
        <v/>
      </c>
      <c r="M1829">
        <f>IF($L1829="","",$F1829&amp;"|"&amp;RIGHT("000000"&amp;$L1829,6))</f>
        <v/>
      </c>
      <c r="N1829">
        <f>IF($F1829="","",IF(Sync!$AF1829="","0000",IF(AND(ISNUMBER(Sync!$AF1829),Sync!$AF1829&gt;=0,Sync!$AF1829&lt;1),RIGHT("00"&amp;HOUR(Sync!$AF1829),2)&amp;RIGHT("00"&amp;MINUTE(Sync!$AF1829),2),IFERROR(RIGHT("00"&amp;VALUE(LEFT(Sync!$AF1829,FIND(":",Sync!$AF1829)-1)),2)&amp;RIGHT("00"&amp;VALUE(MID(Sync!$AF1829,FIND(":",Sync!$AF1829)+1,2)),2),"0000"))))</f>
        <v/>
      </c>
    </row>
    <row r="1830">
      <c r="A1830">
        <f>IF(OR(Calc!$E1834="",Calc!$E1834="نامعتبر",Calc!$G1834=""),"",Calc!$G1834)</f>
        <v/>
      </c>
      <c r="B1830">
        <f>IF($A1830="","",LEFT(Calc!$E1834,4)&amp;MID(Calc!$E1834,6,2)&amp;RIGHT(Calc!$E1834,2)&amp;Calc!$Q1834&amp;"|"&amp;"1"&amp;RIGHT("00000"&amp;1825,5))</f>
        <v/>
      </c>
      <c r="C1830">
        <f>IF($B1830="","",COUNTIFS(LdgSellerA,$A1830,LdgKeyA,"&lt;"&amp;$B1830)+COUNTIFS(LdgSellerB,$A1830,LdgKeyB,"&lt;"&amp;$B1830)+1)</f>
        <v/>
      </c>
      <c r="D1830">
        <f>IF($C1830="","",$A1830&amp;"|"&amp;RIGHT("000000"&amp;$C1830,6))</f>
        <v/>
      </c>
      <c r="F1830">
        <f>IF(Sync!$AH1830="","",IF(LEFT(UPPER(TRIM(Sync!$AH1830)),2)="SL",UPPER(TRIM(Sync!$AH1830)),""))</f>
        <v/>
      </c>
      <c r="G1830">
        <f>IF($F1830="","",IF(Sync!$AE1830="","",IF(ISNUMBER(Sync!$AE1830),IF(AND(Sync!$AE1830&gt;=10000101,Sync!$AE1830&lt;=99991231),INT(Sync!$AE1830/10000),""),IFERROR(VALUE(TRIM(LEFT(Sync!$AE1830,FIND("/",Sync!$AE1830)-1))),""))))</f>
        <v/>
      </c>
      <c r="H1830">
        <f>IF(OR($F1830="",$G1830=""),"",IF(ISNUMBER(Sync!$AE1830),INT(MOD(Sync!$AE1830,10000)/100),IFERROR(VALUE(TRIM(LEFT(MID(Sync!$AE1830,FIND("/",Sync!$AE1830)+1,20),FIND("/",MID(Sync!$AE1830,FIND("/",Sync!$AE1830)+1,20))-1))),"")))</f>
        <v/>
      </c>
      <c r="I1830">
        <f>IF(OR($F1830="",$G1830=""),"",IF(ISNUMBER(Sync!$AE1830),MOD(Sync!$AE1830,100),IFERROR(VALUE(TRIM(MID(MID(Sync!$AE1830,FIND("/",Sync!$AE1830)+1,20),FIND("/",MID(Sync!$AE1830,FIND("/",Sync!$AE1830)+1,20))+1,20))),"")))</f>
        <v/>
      </c>
      <c r="J1830">
        <f>IF($F1830="","",IF(OR($G1830="",$H1830="",$I1830="",$G1830&lt;1300,$G1830&gt;1500,$H1830&lt;1,$H1830&gt;12,$I1830&lt;1,$I1830&gt;31),"نامعتبر",RIGHT("0000"&amp;$G1830,4)&amp;"/"&amp;RIGHT("00"&amp;$H1830,2)&amp;"/"&amp;RIGHT("00"&amp;$I1830,2)))</f>
        <v/>
      </c>
      <c r="K1830">
        <f>IF(OR($F1830="",$J1830="",$J1830="نامعتبر"),"",LEFT($J1830,4)&amp;MID($J1830,6,2)&amp;RIGHT($J1830,2)&amp;$N1830&amp;"|"&amp;"2"&amp;RIGHT("00000"&amp;1825,5))</f>
        <v/>
      </c>
      <c r="L1830">
        <f>IF($K1830="","",COUNTIFS(LdgSellerA,$F1830,LdgKeyA,"&lt;"&amp;$K1830)+COUNTIFS(LdgSellerB,$F1830,LdgKeyB,"&lt;"&amp;$K1830)+1)</f>
        <v/>
      </c>
      <c r="M1830">
        <f>IF($L1830="","",$F1830&amp;"|"&amp;RIGHT("000000"&amp;$L1830,6))</f>
        <v/>
      </c>
      <c r="N1830">
        <f>IF($F1830="","",IF(Sync!$AF1830="","0000",IF(AND(ISNUMBER(Sync!$AF1830),Sync!$AF1830&gt;=0,Sync!$AF1830&lt;1),RIGHT("00"&amp;HOUR(Sync!$AF1830),2)&amp;RIGHT("00"&amp;MINUTE(Sync!$AF1830),2),IFERROR(RIGHT("00"&amp;VALUE(LEFT(Sync!$AF1830,FIND(":",Sync!$AF1830)-1)),2)&amp;RIGHT("00"&amp;VALUE(MID(Sync!$AF1830,FIND(":",Sync!$AF1830)+1,2)),2),"0000"))))</f>
        <v/>
      </c>
    </row>
    <row r="1831">
      <c r="A1831">
        <f>IF(OR(Calc!$E1835="",Calc!$E1835="نامعتبر",Calc!$G1835=""),"",Calc!$G1835)</f>
        <v/>
      </c>
      <c r="B1831">
        <f>IF($A1831="","",LEFT(Calc!$E1835,4)&amp;MID(Calc!$E1835,6,2)&amp;RIGHT(Calc!$E1835,2)&amp;Calc!$Q1835&amp;"|"&amp;"1"&amp;RIGHT("00000"&amp;1826,5))</f>
        <v/>
      </c>
      <c r="C1831">
        <f>IF($B1831="","",COUNTIFS(LdgSellerA,$A1831,LdgKeyA,"&lt;"&amp;$B1831)+COUNTIFS(LdgSellerB,$A1831,LdgKeyB,"&lt;"&amp;$B1831)+1)</f>
        <v/>
      </c>
      <c r="D1831">
        <f>IF($C1831="","",$A1831&amp;"|"&amp;RIGHT("000000"&amp;$C1831,6))</f>
        <v/>
      </c>
      <c r="F1831">
        <f>IF(Sync!$AH1831="","",IF(LEFT(UPPER(TRIM(Sync!$AH1831)),2)="SL",UPPER(TRIM(Sync!$AH1831)),""))</f>
        <v/>
      </c>
      <c r="G1831">
        <f>IF($F1831="","",IF(Sync!$AE1831="","",IF(ISNUMBER(Sync!$AE1831),IF(AND(Sync!$AE1831&gt;=10000101,Sync!$AE1831&lt;=99991231),INT(Sync!$AE1831/10000),""),IFERROR(VALUE(TRIM(LEFT(Sync!$AE1831,FIND("/",Sync!$AE1831)-1))),""))))</f>
        <v/>
      </c>
      <c r="H1831">
        <f>IF(OR($F1831="",$G1831=""),"",IF(ISNUMBER(Sync!$AE1831),INT(MOD(Sync!$AE1831,10000)/100),IFERROR(VALUE(TRIM(LEFT(MID(Sync!$AE1831,FIND("/",Sync!$AE1831)+1,20),FIND("/",MID(Sync!$AE1831,FIND("/",Sync!$AE1831)+1,20))-1))),"")))</f>
        <v/>
      </c>
      <c r="I1831">
        <f>IF(OR($F1831="",$G1831=""),"",IF(ISNUMBER(Sync!$AE1831),MOD(Sync!$AE1831,100),IFERROR(VALUE(TRIM(MID(MID(Sync!$AE1831,FIND("/",Sync!$AE1831)+1,20),FIND("/",MID(Sync!$AE1831,FIND("/",Sync!$AE1831)+1,20))+1,20))),"")))</f>
        <v/>
      </c>
      <c r="J1831">
        <f>IF($F1831="","",IF(OR($G1831="",$H1831="",$I1831="",$G1831&lt;1300,$G1831&gt;1500,$H1831&lt;1,$H1831&gt;12,$I1831&lt;1,$I1831&gt;31),"نامعتبر",RIGHT("0000"&amp;$G1831,4)&amp;"/"&amp;RIGHT("00"&amp;$H1831,2)&amp;"/"&amp;RIGHT("00"&amp;$I1831,2)))</f>
        <v/>
      </c>
      <c r="K1831">
        <f>IF(OR($F1831="",$J1831="",$J1831="نامعتبر"),"",LEFT($J1831,4)&amp;MID($J1831,6,2)&amp;RIGHT($J1831,2)&amp;$N1831&amp;"|"&amp;"2"&amp;RIGHT("00000"&amp;1826,5))</f>
        <v/>
      </c>
      <c r="L1831">
        <f>IF($K1831="","",COUNTIFS(LdgSellerA,$F1831,LdgKeyA,"&lt;"&amp;$K1831)+COUNTIFS(LdgSellerB,$F1831,LdgKeyB,"&lt;"&amp;$K1831)+1)</f>
        <v/>
      </c>
      <c r="M1831">
        <f>IF($L1831="","",$F1831&amp;"|"&amp;RIGHT("000000"&amp;$L1831,6))</f>
        <v/>
      </c>
      <c r="N1831">
        <f>IF($F1831="","",IF(Sync!$AF1831="","0000",IF(AND(ISNUMBER(Sync!$AF1831),Sync!$AF1831&gt;=0,Sync!$AF1831&lt;1),RIGHT("00"&amp;HOUR(Sync!$AF1831),2)&amp;RIGHT("00"&amp;MINUTE(Sync!$AF1831),2),IFERROR(RIGHT("00"&amp;VALUE(LEFT(Sync!$AF1831,FIND(":",Sync!$AF1831)-1)),2)&amp;RIGHT("00"&amp;VALUE(MID(Sync!$AF1831,FIND(":",Sync!$AF1831)+1,2)),2),"0000"))))</f>
        <v/>
      </c>
    </row>
    <row r="1832">
      <c r="A1832">
        <f>IF(OR(Calc!$E1836="",Calc!$E1836="نامعتبر",Calc!$G1836=""),"",Calc!$G1836)</f>
        <v/>
      </c>
      <c r="B1832">
        <f>IF($A1832="","",LEFT(Calc!$E1836,4)&amp;MID(Calc!$E1836,6,2)&amp;RIGHT(Calc!$E1836,2)&amp;Calc!$Q1836&amp;"|"&amp;"1"&amp;RIGHT("00000"&amp;1827,5))</f>
        <v/>
      </c>
      <c r="C1832">
        <f>IF($B1832="","",COUNTIFS(LdgSellerA,$A1832,LdgKeyA,"&lt;"&amp;$B1832)+COUNTIFS(LdgSellerB,$A1832,LdgKeyB,"&lt;"&amp;$B1832)+1)</f>
        <v/>
      </c>
      <c r="D1832">
        <f>IF($C1832="","",$A1832&amp;"|"&amp;RIGHT("000000"&amp;$C1832,6))</f>
        <v/>
      </c>
      <c r="F1832">
        <f>IF(Sync!$AH1832="","",IF(LEFT(UPPER(TRIM(Sync!$AH1832)),2)="SL",UPPER(TRIM(Sync!$AH1832)),""))</f>
        <v/>
      </c>
      <c r="G1832">
        <f>IF($F1832="","",IF(Sync!$AE1832="","",IF(ISNUMBER(Sync!$AE1832),IF(AND(Sync!$AE1832&gt;=10000101,Sync!$AE1832&lt;=99991231),INT(Sync!$AE1832/10000),""),IFERROR(VALUE(TRIM(LEFT(Sync!$AE1832,FIND("/",Sync!$AE1832)-1))),""))))</f>
        <v/>
      </c>
      <c r="H1832">
        <f>IF(OR($F1832="",$G1832=""),"",IF(ISNUMBER(Sync!$AE1832),INT(MOD(Sync!$AE1832,10000)/100),IFERROR(VALUE(TRIM(LEFT(MID(Sync!$AE1832,FIND("/",Sync!$AE1832)+1,20),FIND("/",MID(Sync!$AE1832,FIND("/",Sync!$AE1832)+1,20))-1))),"")))</f>
        <v/>
      </c>
      <c r="I1832">
        <f>IF(OR($F1832="",$G1832=""),"",IF(ISNUMBER(Sync!$AE1832),MOD(Sync!$AE1832,100),IFERROR(VALUE(TRIM(MID(MID(Sync!$AE1832,FIND("/",Sync!$AE1832)+1,20),FIND("/",MID(Sync!$AE1832,FIND("/",Sync!$AE1832)+1,20))+1,20))),"")))</f>
        <v/>
      </c>
      <c r="J1832">
        <f>IF($F1832="","",IF(OR($G1832="",$H1832="",$I1832="",$G1832&lt;1300,$G1832&gt;1500,$H1832&lt;1,$H1832&gt;12,$I1832&lt;1,$I1832&gt;31),"نامعتبر",RIGHT("0000"&amp;$G1832,4)&amp;"/"&amp;RIGHT("00"&amp;$H1832,2)&amp;"/"&amp;RIGHT("00"&amp;$I1832,2)))</f>
        <v/>
      </c>
      <c r="K1832">
        <f>IF(OR($F1832="",$J1832="",$J1832="نامعتبر"),"",LEFT($J1832,4)&amp;MID($J1832,6,2)&amp;RIGHT($J1832,2)&amp;$N1832&amp;"|"&amp;"2"&amp;RIGHT("00000"&amp;1827,5))</f>
        <v/>
      </c>
      <c r="L1832">
        <f>IF($K1832="","",COUNTIFS(LdgSellerA,$F1832,LdgKeyA,"&lt;"&amp;$K1832)+COUNTIFS(LdgSellerB,$F1832,LdgKeyB,"&lt;"&amp;$K1832)+1)</f>
        <v/>
      </c>
      <c r="M1832">
        <f>IF($L1832="","",$F1832&amp;"|"&amp;RIGHT("000000"&amp;$L1832,6))</f>
        <v/>
      </c>
      <c r="N1832">
        <f>IF($F1832="","",IF(Sync!$AF1832="","0000",IF(AND(ISNUMBER(Sync!$AF1832),Sync!$AF1832&gt;=0,Sync!$AF1832&lt;1),RIGHT("00"&amp;HOUR(Sync!$AF1832),2)&amp;RIGHT("00"&amp;MINUTE(Sync!$AF1832),2),IFERROR(RIGHT("00"&amp;VALUE(LEFT(Sync!$AF1832,FIND(":",Sync!$AF1832)-1)),2)&amp;RIGHT("00"&amp;VALUE(MID(Sync!$AF1832,FIND(":",Sync!$AF1832)+1,2)),2),"0000"))))</f>
        <v/>
      </c>
    </row>
    <row r="1833">
      <c r="A1833">
        <f>IF(OR(Calc!$E1837="",Calc!$E1837="نامعتبر",Calc!$G1837=""),"",Calc!$G1837)</f>
        <v/>
      </c>
      <c r="B1833">
        <f>IF($A1833="","",LEFT(Calc!$E1837,4)&amp;MID(Calc!$E1837,6,2)&amp;RIGHT(Calc!$E1837,2)&amp;Calc!$Q1837&amp;"|"&amp;"1"&amp;RIGHT("00000"&amp;1828,5))</f>
        <v/>
      </c>
      <c r="C1833">
        <f>IF($B1833="","",COUNTIFS(LdgSellerA,$A1833,LdgKeyA,"&lt;"&amp;$B1833)+COUNTIFS(LdgSellerB,$A1833,LdgKeyB,"&lt;"&amp;$B1833)+1)</f>
        <v/>
      </c>
      <c r="D1833">
        <f>IF($C1833="","",$A1833&amp;"|"&amp;RIGHT("000000"&amp;$C1833,6))</f>
        <v/>
      </c>
      <c r="F1833">
        <f>IF(Sync!$AH1833="","",IF(LEFT(UPPER(TRIM(Sync!$AH1833)),2)="SL",UPPER(TRIM(Sync!$AH1833)),""))</f>
        <v/>
      </c>
      <c r="G1833">
        <f>IF($F1833="","",IF(Sync!$AE1833="","",IF(ISNUMBER(Sync!$AE1833),IF(AND(Sync!$AE1833&gt;=10000101,Sync!$AE1833&lt;=99991231),INT(Sync!$AE1833/10000),""),IFERROR(VALUE(TRIM(LEFT(Sync!$AE1833,FIND("/",Sync!$AE1833)-1))),""))))</f>
        <v/>
      </c>
      <c r="H1833">
        <f>IF(OR($F1833="",$G1833=""),"",IF(ISNUMBER(Sync!$AE1833),INT(MOD(Sync!$AE1833,10000)/100),IFERROR(VALUE(TRIM(LEFT(MID(Sync!$AE1833,FIND("/",Sync!$AE1833)+1,20),FIND("/",MID(Sync!$AE1833,FIND("/",Sync!$AE1833)+1,20))-1))),"")))</f>
        <v/>
      </c>
      <c r="I1833">
        <f>IF(OR($F1833="",$G1833=""),"",IF(ISNUMBER(Sync!$AE1833),MOD(Sync!$AE1833,100),IFERROR(VALUE(TRIM(MID(MID(Sync!$AE1833,FIND("/",Sync!$AE1833)+1,20),FIND("/",MID(Sync!$AE1833,FIND("/",Sync!$AE1833)+1,20))+1,20))),"")))</f>
        <v/>
      </c>
      <c r="J1833">
        <f>IF($F1833="","",IF(OR($G1833="",$H1833="",$I1833="",$G1833&lt;1300,$G1833&gt;1500,$H1833&lt;1,$H1833&gt;12,$I1833&lt;1,$I1833&gt;31),"نامعتبر",RIGHT("0000"&amp;$G1833,4)&amp;"/"&amp;RIGHT("00"&amp;$H1833,2)&amp;"/"&amp;RIGHT("00"&amp;$I1833,2)))</f>
        <v/>
      </c>
      <c r="K1833">
        <f>IF(OR($F1833="",$J1833="",$J1833="نامعتبر"),"",LEFT($J1833,4)&amp;MID($J1833,6,2)&amp;RIGHT($J1833,2)&amp;$N1833&amp;"|"&amp;"2"&amp;RIGHT("00000"&amp;1828,5))</f>
        <v/>
      </c>
      <c r="L1833">
        <f>IF($K1833="","",COUNTIFS(LdgSellerA,$F1833,LdgKeyA,"&lt;"&amp;$K1833)+COUNTIFS(LdgSellerB,$F1833,LdgKeyB,"&lt;"&amp;$K1833)+1)</f>
        <v/>
      </c>
      <c r="M1833">
        <f>IF($L1833="","",$F1833&amp;"|"&amp;RIGHT("000000"&amp;$L1833,6))</f>
        <v/>
      </c>
      <c r="N1833">
        <f>IF($F1833="","",IF(Sync!$AF1833="","0000",IF(AND(ISNUMBER(Sync!$AF1833),Sync!$AF1833&gt;=0,Sync!$AF1833&lt;1),RIGHT("00"&amp;HOUR(Sync!$AF1833),2)&amp;RIGHT("00"&amp;MINUTE(Sync!$AF1833),2),IFERROR(RIGHT("00"&amp;VALUE(LEFT(Sync!$AF1833,FIND(":",Sync!$AF1833)-1)),2)&amp;RIGHT("00"&amp;VALUE(MID(Sync!$AF1833,FIND(":",Sync!$AF1833)+1,2)),2),"0000"))))</f>
        <v/>
      </c>
    </row>
    <row r="1834">
      <c r="A1834">
        <f>IF(OR(Calc!$E1838="",Calc!$E1838="نامعتبر",Calc!$G1838=""),"",Calc!$G1838)</f>
        <v/>
      </c>
      <c r="B1834">
        <f>IF($A1834="","",LEFT(Calc!$E1838,4)&amp;MID(Calc!$E1838,6,2)&amp;RIGHT(Calc!$E1838,2)&amp;Calc!$Q1838&amp;"|"&amp;"1"&amp;RIGHT("00000"&amp;1829,5))</f>
        <v/>
      </c>
      <c r="C1834">
        <f>IF($B1834="","",COUNTIFS(LdgSellerA,$A1834,LdgKeyA,"&lt;"&amp;$B1834)+COUNTIFS(LdgSellerB,$A1834,LdgKeyB,"&lt;"&amp;$B1834)+1)</f>
        <v/>
      </c>
      <c r="D1834">
        <f>IF($C1834="","",$A1834&amp;"|"&amp;RIGHT("000000"&amp;$C1834,6))</f>
        <v/>
      </c>
      <c r="F1834">
        <f>IF(Sync!$AH1834="","",IF(LEFT(UPPER(TRIM(Sync!$AH1834)),2)="SL",UPPER(TRIM(Sync!$AH1834)),""))</f>
        <v/>
      </c>
      <c r="G1834">
        <f>IF($F1834="","",IF(Sync!$AE1834="","",IF(ISNUMBER(Sync!$AE1834),IF(AND(Sync!$AE1834&gt;=10000101,Sync!$AE1834&lt;=99991231),INT(Sync!$AE1834/10000),""),IFERROR(VALUE(TRIM(LEFT(Sync!$AE1834,FIND("/",Sync!$AE1834)-1))),""))))</f>
        <v/>
      </c>
      <c r="H1834">
        <f>IF(OR($F1834="",$G1834=""),"",IF(ISNUMBER(Sync!$AE1834),INT(MOD(Sync!$AE1834,10000)/100),IFERROR(VALUE(TRIM(LEFT(MID(Sync!$AE1834,FIND("/",Sync!$AE1834)+1,20),FIND("/",MID(Sync!$AE1834,FIND("/",Sync!$AE1834)+1,20))-1))),"")))</f>
        <v/>
      </c>
      <c r="I1834">
        <f>IF(OR($F1834="",$G1834=""),"",IF(ISNUMBER(Sync!$AE1834),MOD(Sync!$AE1834,100),IFERROR(VALUE(TRIM(MID(MID(Sync!$AE1834,FIND("/",Sync!$AE1834)+1,20),FIND("/",MID(Sync!$AE1834,FIND("/",Sync!$AE1834)+1,20))+1,20))),"")))</f>
        <v/>
      </c>
      <c r="J1834">
        <f>IF($F1834="","",IF(OR($G1834="",$H1834="",$I1834="",$G1834&lt;1300,$G1834&gt;1500,$H1834&lt;1,$H1834&gt;12,$I1834&lt;1,$I1834&gt;31),"نامعتبر",RIGHT("0000"&amp;$G1834,4)&amp;"/"&amp;RIGHT("00"&amp;$H1834,2)&amp;"/"&amp;RIGHT("00"&amp;$I1834,2)))</f>
        <v/>
      </c>
      <c r="K1834">
        <f>IF(OR($F1834="",$J1834="",$J1834="نامعتبر"),"",LEFT($J1834,4)&amp;MID($J1834,6,2)&amp;RIGHT($J1834,2)&amp;$N1834&amp;"|"&amp;"2"&amp;RIGHT("00000"&amp;1829,5))</f>
        <v/>
      </c>
      <c r="L1834">
        <f>IF($K1834="","",COUNTIFS(LdgSellerA,$F1834,LdgKeyA,"&lt;"&amp;$K1834)+COUNTIFS(LdgSellerB,$F1834,LdgKeyB,"&lt;"&amp;$K1834)+1)</f>
        <v/>
      </c>
      <c r="M1834">
        <f>IF($L1834="","",$F1834&amp;"|"&amp;RIGHT("000000"&amp;$L1834,6))</f>
        <v/>
      </c>
      <c r="N1834">
        <f>IF($F1834="","",IF(Sync!$AF1834="","0000",IF(AND(ISNUMBER(Sync!$AF1834),Sync!$AF1834&gt;=0,Sync!$AF1834&lt;1),RIGHT("00"&amp;HOUR(Sync!$AF1834),2)&amp;RIGHT("00"&amp;MINUTE(Sync!$AF1834),2),IFERROR(RIGHT("00"&amp;VALUE(LEFT(Sync!$AF1834,FIND(":",Sync!$AF1834)-1)),2)&amp;RIGHT("00"&amp;VALUE(MID(Sync!$AF1834,FIND(":",Sync!$AF1834)+1,2)),2),"0000"))))</f>
        <v/>
      </c>
    </row>
    <row r="1835">
      <c r="A1835">
        <f>IF(OR(Calc!$E1839="",Calc!$E1839="نامعتبر",Calc!$G1839=""),"",Calc!$G1839)</f>
        <v/>
      </c>
      <c r="B1835">
        <f>IF($A1835="","",LEFT(Calc!$E1839,4)&amp;MID(Calc!$E1839,6,2)&amp;RIGHT(Calc!$E1839,2)&amp;Calc!$Q1839&amp;"|"&amp;"1"&amp;RIGHT("00000"&amp;1830,5))</f>
        <v/>
      </c>
      <c r="C1835">
        <f>IF($B1835="","",COUNTIFS(LdgSellerA,$A1835,LdgKeyA,"&lt;"&amp;$B1835)+COUNTIFS(LdgSellerB,$A1835,LdgKeyB,"&lt;"&amp;$B1835)+1)</f>
        <v/>
      </c>
      <c r="D1835">
        <f>IF($C1835="","",$A1835&amp;"|"&amp;RIGHT("000000"&amp;$C1835,6))</f>
        <v/>
      </c>
      <c r="F1835">
        <f>IF(Sync!$AH1835="","",IF(LEFT(UPPER(TRIM(Sync!$AH1835)),2)="SL",UPPER(TRIM(Sync!$AH1835)),""))</f>
        <v/>
      </c>
      <c r="G1835">
        <f>IF($F1835="","",IF(Sync!$AE1835="","",IF(ISNUMBER(Sync!$AE1835),IF(AND(Sync!$AE1835&gt;=10000101,Sync!$AE1835&lt;=99991231),INT(Sync!$AE1835/10000),""),IFERROR(VALUE(TRIM(LEFT(Sync!$AE1835,FIND("/",Sync!$AE1835)-1))),""))))</f>
        <v/>
      </c>
      <c r="H1835">
        <f>IF(OR($F1835="",$G1835=""),"",IF(ISNUMBER(Sync!$AE1835),INT(MOD(Sync!$AE1835,10000)/100),IFERROR(VALUE(TRIM(LEFT(MID(Sync!$AE1835,FIND("/",Sync!$AE1835)+1,20),FIND("/",MID(Sync!$AE1835,FIND("/",Sync!$AE1835)+1,20))-1))),"")))</f>
        <v/>
      </c>
      <c r="I1835">
        <f>IF(OR($F1835="",$G1835=""),"",IF(ISNUMBER(Sync!$AE1835),MOD(Sync!$AE1835,100),IFERROR(VALUE(TRIM(MID(MID(Sync!$AE1835,FIND("/",Sync!$AE1835)+1,20),FIND("/",MID(Sync!$AE1835,FIND("/",Sync!$AE1835)+1,20))+1,20))),"")))</f>
        <v/>
      </c>
      <c r="J1835">
        <f>IF($F1835="","",IF(OR($G1835="",$H1835="",$I1835="",$G1835&lt;1300,$G1835&gt;1500,$H1835&lt;1,$H1835&gt;12,$I1835&lt;1,$I1835&gt;31),"نامعتبر",RIGHT("0000"&amp;$G1835,4)&amp;"/"&amp;RIGHT("00"&amp;$H1835,2)&amp;"/"&amp;RIGHT("00"&amp;$I1835,2)))</f>
        <v/>
      </c>
      <c r="K1835">
        <f>IF(OR($F1835="",$J1835="",$J1835="نامعتبر"),"",LEFT($J1835,4)&amp;MID($J1835,6,2)&amp;RIGHT($J1835,2)&amp;$N1835&amp;"|"&amp;"2"&amp;RIGHT("00000"&amp;1830,5))</f>
        <v/>
      </c>
      <c r="L1835">
        <f>IF($K1835="","",COUNTIFS(LdgSellerA,$F1835,LdgKeyA,"&lt;"&amp;$K1835)+COUNTIFS(LdgSellerB,$F1835,LdgKeyB,"&lt;"&amp;$K1835)+1)</f>
        <v/>
      </c>
      <c r="M1835">
        <f>IF($L1835="","",$F1835&amp;"|"&amp;RIGHT("000000"&amp;$L1835,6))</f>
        <v/>
      </c>
      <c r="N1835">
        <f>IF($F1835="","",IF(Sync!$AF1835="","0000",IF(AND(ISNUMBER(Sync!$AF1835),Sync!$AF1835&gt;=0,Sync!$AF1835&lt;1),RIGHT("00"&amp;HOUR(Sync!$AF1835),2)&amp;RIGHT("00"&amp;MINUTE(Sync!$AF1835),2),IFERROR(RIGHT("00"&amp;VALUE(LEFT(Sync!$AF1835,FIND(":",Sync!$AF1835)-1)),2)&amp;RIGHT("00"&amp;VALUE(MID(Sync!$AF1835,FIND(":",Sync!$AF1835)+1,2)),2),"0000"))))</f>
        <v/>
      </c>
    </row>
    <row r="1836">
      <c r="A1836">
        <f>IF(OR(Calc!$E1840="",Calc!$E1840="نامعتبر",Calc!$G1840=""),"",Calc!$G1840)</f>
        <v/>
      </c>
      <c r="B1836">
        <f>IF($A1836="","",LEFT(Calc!$E1840,4)&amp;MID(Calc!$E1840,6,2)&amp;RIGHT(Calc!$E1840,2)&amp;Calc!$Q1840&amp;"|"&amp;"1"&amp;RIGHT("00000"&amp;1831,5))</f>
        <v/>
      </c>
      <c r="C1836">
        <f>IF($B1836="","",COUNTIFS(LdgSellerA,$A1836,LdgKeyA,"&lt;"&amp;$B1836)+COUNTIFS(LdgSellerB,$A1836,LdgKeyB,"&lt;"&amp;$B1836)+1)</f>
        <v/>
      </c>
      <c r="D1836">
        <f>IF($C1836="","",$A1836&amp;"|"&amp;RIGHT("000000"&amp;$C1836,6))</f>
        <v/>
      </c>
      <c r="F1836">
        <f>IF(Sync!$AH1836="","",IF(LEFT(UPPER(TRIM(Sync!$AH1836)),2)="SL",UPPER(TRIM(Sync!$AH1836)),""))</f>
        <v/>
      </c>
      <c r="G1836">
        <f>IF($F1836="","",IF(Sync!$AE1836="","",IF(ISNUMBER(Sync!$AE1836),IF(AND(Sync!$AE1836&gt;=10000101,Sync!$AE1836&lt;=99991231),INT(Sync!$AE1836/10000),""),IFERROR(VALUE(TRIM(LEFT(Sync!$AE1836,FIND("/",Sync!$AE1836)-1))),""))))</f>
        <v/>
      </c>
      <c r="H1836">
        <f>IF(OR($F1836="",$G1836=""),"",IF(ISNUMBER(Sync!$AE1836),INT(MOD(Sync!$AE1836,10000)/100),IFERROR(VALUE(TRIM(LEFT(MID(Sync!$AE1836,FIND("/",Sync!$AE1836)+1,20),FIND("/",MID(Sync!$AE1836,FIND("/",Sync!$AE1836)+1,20))-1))),"")))</f>
        <v/>
      </c>
      <c r="I1836">
        <f>IF(OR($F1836="",$G1836=""),"",IF(ISNUMBER(Sync!$AE1836),MOD(Sync!$AE1836,100),IFERROR(VALUE(TRIM(MID(MID(Sync!$AE1836,FIND("/",Sync!$AE1836)+1,20),FIND("/",MID(Sync!$AE1836,FIND("/",Sync!$AE1836)+1,20))+1,20))),"")))</f>
        <v/>
      </c>
      <c r="J1836">
        <f>IF($F1836="","",IF(OR($G1836="",$H1836="",$I1836="",$G1836&lt;1300,$G1836&gt;1500,$H1836&lt;1,$H1836&gt;12,$I1836&lt;1,$I1836&gt;31),"نامعتبر",RIGHT("0000"&amp;$G1836,4)&amp;"/"&amp;RIGHT("00"&amp;$H1836,2)&amp;"/"&amp;RIGHT("00"&amp;$I1836,2)))</f>
        <v/>
      </c>
      <c r="K1836">
        <f>IF(OR($F1836="",$J1836="",$J1836="نامعتبر"),"",LEFT($J1836,4)&amp;MID($J1836,6,2)&amp;RIGHT($J1836,2)&amp;$N1836&amp;"|"&amp;"2"&amp;RIGHT("00000"&amp;1831,5))</f>
        <v/>
      </c>
      <c r="L1836">
        <f>IF($K1836="","",COUNTIFS(LdgSellerA,$F1836,LdgKeyA,"&lt;"&amp;$K1836)+COUNTIFS(LdgSellerB,$F1836,LdgKeyB,"&lt;"&amp;$K1836)+1)</f>
        <v/>
      </c>
      <c r="M1836">
        <f>IF($L1836="","",$F1836&amp;"|"&amp;RIGHT("000000"&amp;$L1836,6))</f>
        <v/>
      </c>
      <c r="N1836">
        <f>IF($F1836="","",IF(Sync!$AF1836="","0000",IF(AND(ISNUMBER(Sync!$AF1836),Sync!$AF1836&gt;=0,Sync!$AF1836&lt;1),RIGHT("00"&amp;HOUR(Sync!$AF1836),2)&amp;RIGHT("00"&amp;MINUTE(Sync!$AF1836),2),IFERROR(RIGHT("00"&amp;VALUE(LEFT(Sync!$AF1836,FIND(":",Sync!$AF1836)-1)),2)&amp;RIGHT("00"&amp;VALUE(MID(Sync!$AF1836,FIND(":",Sync!$AF1836)+1,2)),2),"0000"))))</f>
        <v/>
      </c>
    </row>
    <row r="1837">
      <c r="A1837">
        <f>IF(OR(Calc!$E1841="",Calc!$E1841="نامعتبر",Calc!$G1841=""),"",Calc!$G1841)</f>
        <v/>
      </c>
      <c r="B1837">
        <f>IF($A1837="","",LEFT(Calc!$E1841,4)&amp;MID(Calc!$E1841,6,2)&amp;RIGHT(Calc!$E1841,2)&amp;Calc!$Q1841&amp;"|"&amp;"1"&amp;RIGHT("00000"&amp;1832,5))</f>
        <v/>
      </c>
      <c r="C1837">
        <f>IF($B1837="","",COUNTIFS(LdgSellerA,$A1837,LdgKeyA,"&lt;"&amp;$B1837)+COUNTIFS(LdgSellerB,$A1837,LdgKeyB,"&lt;"&amp;$B1837)+1)</f>
        <v/>
      </c>
      <c r="D1837">
        <f>IF($C1837="","",$A1837&amp;"|"&amp;RIGHT("000000"&amp;$C1837,6))</f>
        <v/>
      </c>
      <c r="F1837">
        <f>IF(Sync!$AH1837="","",IF(LEFT(UPPER(TRIM(Sync!$AH1837)),2)="SL",UPPER(TRIM(Sync!$AH1837)),""))</f>
        <v/>
      </c>
      <c r="G1837">
        <f>IF($F1837="","",IF(Sync!$AE1837="","",IF(ISNUMBER(Sync!$AE1837),IF(AND(Sync!$AE1837&gt;=10000101,Sync!$AE1837&lt;=99991231),INT(Sync!$AE1837/10000),""),IFERROR(VALUE(TRIM(LEFT(Sync!$AE1837,FIND("/",Sync!$AE1837)-1))),""))))</f>
        <v/>
      </c>
      <c r="H1837">
        <f>IF(OR($F1837="",$G1837=""),"",IF(ISNUMBER(Sync!$AE1837),INT(MOD(Sync!$AE1837,10000)/100),IFERROR(VALUE(TRIM(LEFT(MID(Sync!$AE1837,FIND("/",Sync!$AE1837)+1,20),FIND("/",MID(Sync!$AE1837,FIND("/",Sync!$AE1837)+1,20))-1))),"")))</f>
        <v/>
      </c>
      <c r="I1837">
        <f>IF(OR($F1837="",$G1837=""),"",IF(ISNUMBER(Sync!$AE1837),MOD(Sync!$AE1837,100),IFERROR(VALUE(TRIM(MID(MID(Sync!$AE1837,FIND("/",Sync!$AE1837)+1,20),FIND("/",MID(Sync!$AE1837,FIND("/",Sync!$AE1837)+1,20))+1,20))),"")))</f>
        <v/>
      </c>
      <c r="J1837">
        <f>IF($F1837="","",IF(OR($G1837="",$H1837="",$I1837="",$G1837&lt;1300,$G1837&gt;1500,$H1837&lt;1,$H1837&gt;12,$I1837&lt;1,$I1837&gt;31),"نامعتبر",RIGHT("0000"&amp;$G1837,4)&amp;"/"&amp;RIGHT("00"&amp;$H1837,2)&amp;"/"&amp;RIGHT("00"&amp;$I1837,2)))</f>
        <v/>
      </c>
      <c r="K1837">
        <f>IF(OR($F1837="",$J1837="",$J1837="نامعتبر"),"",LEFT($J1837,4)&amp;MID($J1837,6,2)&amp;RIGHT($J1837,2)&amp;$N1837&amp;"|"&amp;"2"&amp;RIGHT("00000"&amp;1832,5))</f>
        <v/>
      </c>
      <c r="L1837">
        <f>IF($K1837="","",COUNTIFS(LdgSellerA,$F1837,LdgKeyA,"&lt;"&amp;$K1837)+COUNTIFS(LdgSellerB,$F1837,LdgKeyB,"&lt;"&amp;$K1837)+1)</f>
        <v/>
      </c>
      <c r="M1837">
        <f>IF($L1837="","",$F1837&amp;"|"&amp;RIGHT("000000"&amp;$L1837,6))</f>
        <v/>
      </c>
      <c r="N1837">
        <f>IF($F1837="","",IF(Sync!$AF1837="","0000",IF(AND(ISNUMBER(Sync!$AF1837),Sync!$AF1837&gt;=0,Sync!$AF1837&lt;1),RIGHT("00"&amp;HOUR(Sync!$AF1837),2)&amp;RIGHT("00"&amp;MINUTE(Sync!$AF1837),2),IFERROR(RIGHT("00"&amp;VALUE(LEFT(Sync!$AF1837,FIND(":",Sync!$AF1837)-1)),2)&amp;RIGHT("00"&amp;VALUE(MID(Sync!$AF1837,FIND(":",Sync!$AF1837)+1,2)),2),"0000"))))</f>
        <v/>
      </c>
    </row>
    <row r="1838">
      <c r="A1838">
        <f>IF(OR(Calc!$E1842="",Calc!$E1842="نامعتبر",Calc!$G1842=""),"",Calc!$G1842)</f>
        <v/>
      </c>
      <c r="B1838">
        <f>IF($A1838="","",LEFT(Calc!$E1842,4)&amp;MID(Calc!$E1842,6,2)&amp;RIGHT(Calc!$E1842,2)&amp;Calc!$Q1842&amp;"|"&amp;"1"&amp;RIGHT("00000"&amp;1833,5))</f>
        <v/>
      </c>
      <c r="C1838">
        <f>IF($B1838="","",COUNTIFS(LdgSellerA,$A1838,LdgKeyA,"&lt;"&amp;$B1838)+COUNTIFS(LdgSellerB,$A1838,LdgKeyB,"&lt;"&amp;$B1838)+1)</f>
        <v/>
      </c>
      <c r="D1838">
        <f>IF($C1838="","",$A1838&amp;"|"&amp;RIGHT("000000"&amp;$C1838,6))</f>
        <v/>
      </c>
      <c r="F1838">
        <f>IF(Sync!$AH1838="","",IF(LEFT(UPPER(TRIM(Sync!$AH1838)),2)="SL",UPPER(TRIM(Sync!$AH1838)),""))</f>
        <v/>
      </c>
      <c r="G1838">
        <f>IF($F1838="","",IF(Sync!$AE1838="","",IF(ISNUMBER(Sync!$AE1838),IF(AND(Sync!$AE1838&gt;=10000101,Sync!$AE1838&lt;=99991231),INT(Sync!$AE1838/10000),""),IFERROR(VALUE(TRIM(LEFT(Sync!$AE1838,FIND("/",Sync!$AE1838)-1))),""))))</f>
        <v/>
      </c>
      <c r="H1838">
        <f>IF(OR($F1838="",$G1838=""),"",IF(ISNUMBER(Sync!$AE1838),INT(MOD(Sync!$AE1838,10000)/100),IFERROR(VALUE(TRIM(LEFT(MID(Sync!$AE1838,FIND("/",Sync!$AE1838)+1,20),FIND("/",MID(Sync!$AE1838,FIND("/",Sync!$AE1838)+1,20))-1))),"")))</f>
        <v/>
      </c>
      <c r="I1838">
        <f>IF(OR($F1838="",$G1838=""),"",IF(ISNUMBER(Sync!$AE1838),MOD(Sync!$AE1838,100),IFERROR(VALUE(TRIM(MID(MID(Sync!$AE1838,FIND("/",Sync!$AE1838)+1,20),FIND("/",MID(Sync!$AE1838,FIND("/",Sync!$AE1838)+1,20))+1,20))),"")))</f>
        <v/>
      </c>
      <c r="J1838">
        <f>IF($F1838="","",IF(OR($G1838="",$H1838="",$I1838="",$G1838&lt;1300,$G1838&gt;1500,$H1838&lt;1,$H1838&gt;12,$I1838&lt;1,$I1838&gt;31),"نامعتبر",RIGHT("0000"&amp;$G1838,4)&amp;"/"&amp;RIGHT("00"&amp;$H1838,2)&amp;"/"&amp;RIGHT("00"&amp;$I1838,2)))</f>
        <v/>
      </c>
      <c r="K1838">
        <f>IF(OR($F1838="",$J1838="",$J1838="نامعتبر"),"",LEFT($J1838,4)&amp;MID($J1838,6,2)&amp;RIGHT($J1838,2)&amp;$N1838&amp;"|"&amp;"2"&amp;RIGHT("00000"&amp;1833,5))</f>
        <v/>
      </c>
      <c r="L1838">
        <f>IF($K1838="","",COUNTIFS(LdgSellerA,$F1838,LdgKeyA,"&lt;"&amp;$K1838)+COUNTIFS(LdgSellerB,$F1838,LdgKeyB,"&lt;"&amp;$K1838)+1)</f>
        <v/>
      </c>
      <c r="M1838">
        <f>IF($L1838="","",$F1838&amp;"|"&amp;RIGHT("000000"&amp;$L1838,6))</f>
        <v/>
      </c>
      <c r="N1838">
        <f>IF($F1838="","",IF(Sync!$AF1838="","0000",IF(AND(ISNUMBER(Sync!$AF1838),Sync!$AF1838&gt;=0,Sync!$AF1838&lt;1),RIGHT("00"&amp;HOUR(Sync!$AF1838),2)&amp;RIGHT("00"&amp;MINUTE(Sync!$AF1838),2),IFERROR(RIGHT("00"&amp;VALUE(LEFT(Sync!$AF1838,FIND(":",Sync!$AF1838)-1)),2)&amp;RIGHT("00"&amp;VALUE(MID(Sync!$AF1838,FIND(":",Sync!$AF1838)+1,2)),2),"0000"))))</f>
        <v/>
      </c>
    </row>
    <row r="1839">
      <c r="A1839">
        <f>IF(OR(Calc!$E1843="",Calc!$E1843="نامعتبر",Calc!$G1843=""),"",Calc!$G1843)</f>
        <v/>
      </c>
      <c r="B1839">
        <f>IF($A1839="","",LEFT(Calc!$E1843,4)&amp;MID(Calc!$E1843,6,2)&amp;RIGHT(Calc!$E1843,2)&amp;Calc!$Q1843&amp;"|"&amp;"1"&amp;RIGHT("00000"&amp;1834,5))</f>
        <v/>
      </c>
      <c r="C1839">
        <f>IF($B1839="","",COUNTIFS(LdgSellerA,$A1839,LdgKeyA,"&lt;"&amp;$B1839)+COUNTIFS(LdgSellerB,$A1839,LdgKeyB,"&lt;"&amp;$B1839)+1)</f>
        <v/>
      </c>
      <c r="D1839">
        <f>IF($C1839="","",$A1839&amp;"|"&amp;RIGHT("000000"&amp;$C1839,6))</f>
        <v/>
      </c>
      <c r="F1839">
        <f>IF(Sync!$AH1839="","",IF(LEFT(UPPER(TRIM(Sync!$AH1839)),2)="SL",UPPER(TRIM(Sync!$AH1839)),""))</f>
        <v/>
      </c>
      <c r="G1839">
        <f>IF($F1839="","",IF(Sync!$AE1839="","",IF(ISNUMBER(Sync!$AE1839),IF(AND(Sync!$AE1839&gt;=10000101,Sync!$AE1839&lt;=99991231),INT(Sync!$AE1839/10000),""),IFERROR(VALUE(TRIM(LEFT(Sync!$AE1839,FIND("/",Sync!$AE1839)-1))),""))))</f>
        <v/>
      </c>
      <c r="H1839">
        <f>IF(OR($F1839="",$G1839=""),"",IF(ISNUMBER(Sync!$AE1839),INT(MOD(Sync!$AE1839,10000)/100),IFERROR(VALUE(TRIM(LEFT(MID(Sync!$AE1839,FIND("/",Sync!$AE1839)+1,20),FIND("/",MID(Sync!$AE1839,FIND("/",Sync!$AE1839)+1,20))-1))),"")))</f>
        <v/>
      </c>
      <c r="I1839">
        <f>IF(OR($F1839="",$G1839=""),"",IF(ISNUMBER(Sync!$AE1839),MOD(Sync!$AE1839,100),IFERROR(VALUE(TRIM(MID(MID(Sync!$AE1839,FIND("/",Sync!$AE1839)+1,20),FIND("/",MID(Sync!$AE1839,FIND("/",Sync!$AE1839)+1,20))+1,20))),"")))</f>
        <v/>
      </c>
      <c r="J1839">
        <f>IF($F1839="","",IF(OR($G1839="",$H1839="",$I1839="",$G1839&lt;1300,$G1839&gt;1500,$H1839&lt;1,$H1839&gt;12,$I1839&lt;1,$I1839&gt;31),"نامعتبر",RIGHT("0000"&amp;$G1839,4)&amp;"/"&amp;RIGHT("00"&amp;$H1839,2)&amp;"/"&amp;RIGHT("00"&amp;$I1839,2)))</f>
        <v/>
      </c>
      <c r="K1839">
        <f>IF(OR($F1839="",$J1839="",$J1839="نامعتبر"),"",LEFT($J1839,4)&amp;MID($J1839,6,2)&amp;RIGHT($J1839,2)&amp;$N1839&amp;"|"&amp;"2"&amp;RIGHT("00000"&amp;1834,5))</f>
        <v/>
      </c>
      <c r="L1839">
        <f>IF($K1839="","",COUNTIFS(LdgSellerA,$F1839,LdgKeyA,"&lt;"&amp;$K1839)+COUNTIFS(LdgSellerB,$F1839,LdgKeyB,"&lt;"&amp;$K1839)+1)</f>
        <v/>
      </c>
      <c r="M1839">
        <f>IF($L1839="","",$F1839&amp;"|"&amp;RIGHT("000000"&amp;$L1839,6))</f>
        <v/>
      </c>
      <c r="N1839">
        <f>IF($F1839="","",IF(Sync!$AF1839="","0000",IF(AND(ISNUMBER(Sync!$AF1839),Sync!$AF1839&gt;=0,Sync!$AF1839&lt;1),RIGHT("00"&amp;HOUR(Sync!$AF1839),2)&amp;RIGHT("00"&amp;MINUTE(Sync!$AF1839),2),IFERROR(RIGHT("00"&amp;VALUE(LEFT(Sync!$AF1839,FIND(":",Sync!$AF1839)-1)),2)&amp;RIGHT("00"&amp;VALUE(MID(Sync!$AF1839,FIND(":",Sync!$AF1839)+1,2)),2),"0000"))))</f>
        <v/>
      </c>
    </row>
    <row r="1840">
      <c r="A1840">
        <f>IF(OR(Calc!$E1844="",Calc!$E1844="نامعتبر",Calc!$G1844=""),"",Calc!$G1844)</f>
        <v/>
      </c>
      <c r="B1840">
        <f>IF($A1840="","",LEFT(Calc!$E1844,4)&amp;MID(Calc!$E1844,6,2)&amp;RIGHT(Calc!$E1844,2)&amp;Calc!$Q1844&amp;"|"&amp;"1"&amp;RIGHT("00000"&amp;1835,5))</f>
        <v/>
      </c>
      <c r="C1840">
        <f>IF($B1840="","",COUNTIFS(LdgSellerA,$A1840,LdgKeyA,"&lt;"&amp;$B1840)+COUNTIFS(LdgSellerB,$A1840,LdgKeyB,"&lt;"&amp;$B1840)+1)</f>
        <v/>
      </c>
      <c r="D1840">
        <f>IF($C1840="","",$A1840&amp;"|"&amp;RIGHT("000000"&amp;$C1840,6))</f>
        <v/>
      </c>
      <c r="F1840">
        <f>IF(Sync!$AH1840="","",IF(LEFT(UPPER(TRIM(Sync!$AH1840)),2)="SL",UPPER(TRIM(Sync!$AH1840)),""))</f>
        <v/>
      </c>
      <c r="G1840">
        <f>IF($F1840="","",IF(Sync!$AE1840="","",IF(ISNUMBER(Sync!$AE1840),IF(AND(Sync!$AE1840&gt;=10000101,Sync!$AE1840&lt;=99991231),INT(Sync!$AE1840/10000),""),IFERROR(VALUE(TRIM(LEFT(Sync!$AE1840,FIND("/",Sync!$AE1840)-1))),""))))</f>
        <v/>
      </c>
      <c r="H1840">
        <f>IF(OR($F1840="",$G1840=""),"",IF(ISNUMBER(Sync!$AE1840),INT(MOD(Sync!$AE1840,10000)/100),IFERROR(VALUE(TRIM(LEFT(MID(Sync!$AE1840,FIND("/",Sync!$AE1840)+1,20),FIND("/",MID(Sync!$AE1840,FIND("/",Sync!$AE1840)+1,20))-1))),"")))</f>
        <v/>
      </c>
      <c r="I1840">
        <f>IF(OR($F1840="",$G1840=""),"",IF(ISNUMBER(Sync!$AE1840),MOD(Sync!$AE1840,100),IFERROR(VALUE(TRIM(MID(MID(Sync!$AE1840,FIND("/",Sync!$AE1840)+1,20),FIND("/",MID(Sync!$AE1840,FIND("/",Sync!$AE1840)+1,20))+1,20))),"")))</f>
        <v/>
      </c>
      <c r="J1840">
        <f>IF($F1840="","",IF(OR($G1840="",$H1840="",$I1840="",$G1840&lt;1300,$G1840&gt;1500,$H1840&lt;1,$H1840&gt;12,$I1840&lt;1,$I1840&gt;31),"نامعتبر",RIGHT("0000"&amp;$G1840,4)&amp;"/"&amp;RIGHT("00"&amp;$H1840,2)&amp;"/"&amp;RIGHT("00"&amp;$I1840,2)))</f>
        <v/>
      </c>
      <c r="K1840">
        <f>IF(OR($F1840="",$J1840="",$J1840="نامعتبر"),"",LEFT($J1840,4)&amp;MID($J1840,6,2)&amp;RIGHT($J1840,2)&amp;$N1840&amp;"|"&amp;"2"&amp;RIGHT("00000"&amp;1835,5))</f>
        <v/>
      </c>
      <c r="L1840">
        <f>IF($K1840="","",COUNTIFS(LdgSellerA,$F1840,LdgKeyA,"&lt;"&amp;$K1840)+COUNTIFS(LdgSellerB,$F1840,LdgKeyB,"&lt;"&amp;$K1840)+1)</f>
        <v/>
      </c>
      <c r="M1840">
        <f>IF($L1840="","",$F1840&amp;"|"&amp;RIGHT("000000"&amp;$L1840,6))</f>
        <v/>
      </c>
      <c r="N1840">
        <f>IF($F1840="","",IF(Sync!$AF1840="","0000",IF(AND(ISNUMBER(Sync!$AF1840),Sync!$AF1840&gt;=0,Sync!$AF1840&lt;1),RIGHT("00"&amp;HOUR(Sync!$AF1840),2)&amp;RIGHT("00"&amp;MINUTE(Sync!$AF1840),2),IFERROR(RIGHT("00"&amp;VALUE(LEFT(Sync!$AF1840,FIND(":",Sync!$AF1840)-1)),2)&amp;RIGHT("00"&amp;VALUE(MID(Sync!$AF1840,FIND(":",Sync!$AF1840)+1,2)),2),"0000"))))</f>
        <v/>
      </c>
    </row>
    <row r="1841">
      <c r="A1841">
        <f>IF(OR(Calc!$E1845="",Calc!$E1845="نامعتبر",Calc!$G1845=""),"",Calc!$G1845)</f>
        <v/>
      </c>
      <c r="B1841">
        <f>IF($A1841="","",LEFT(Calc!$E1845,4)&amp;MID(Calc!$E1845,6,2)&amp;RIGHT(Calc!$E1845,2)&amp;Calc!$Q1845&amp;"|"&amp;"1"&amp;RIGHT("00000"&amp;1836,5))</f>
        <v/>
      </c>
      <c r="C1841">
        <f>IF($B1841="","",COUNTIFS(LdgSellerA,$A1841,LdgKeyA,"&lt;"&amp;$B1841)+COUNTIFS(LdgSellerB,$A1841,LdgKeyB,"&lt;"&amp;$B1841)+1)</f>
        <v/>
      </c>
      <c r="D1841">
        <f>IF($C1841="","",$A1841&amp;"|"&amp;RIGHT("000000"&amp;$C1841,6))</f>
        <v/>
      </c>
      <c r="F1841">
        <f>IF(Sync!$AH1841="","",IF(LEFT(UPPER(TRIM(Sync!$AH1841)),2)="SL",UPPER(TRIM(Sync!$AH1841)),""))</f>
        <v/>
      </c>
      <c r="G1841">
        <f>IF($F1841="","",IF(Sync!$AE1841="","",IF(ISNUMBER(Sync!$AE1841),IF(AND(Sync!$AE1841&gt;=10000101,Sync!$AE1841&lt;=99991231),INT(Sync!$AE1841/10000),""),IFERROR(VALUE(TRIM(LEFT(Sync!$AE1841,FIND("/",Sync!$AE1841)-1))),""))))</f>
        <v/>
      </c>
      <c r="H1841">
        <f>IF(OR($F1841="",$G1841=""),"",IF(ISNUMBER(Sync!$AE1841),INT(MOD(Sync!$AE1841,10000)/100),IFERROR(VALUE(TRIM(LEFT(MID(Sync!$AE1841,FIND("/",Sync!$AE1841)+1,20),FIND("/",MID(Sync!$AE1841,FIND("/",Sync!$AE1841)+1,20))-1))),"")))</f>
        <v/>
      </c>
      <c r="I1841">
        <f>IF(OR($F1841="",$G1841=""),"",IF(ISNUMBER(Sync!$AE1841),MOD(Sync!$AE1841,100),IFERROR(VALUE(TRIM(MID(MID(Sync!$AE1841,FIND("/",Sync!$AE1841)+1,20),FIND("/",MID(Sync!$AE1841,FIND("/",Sync!$AE1841)+1,20))+1,20))),"")))</f>
        <v/>
      </c>
      <c r="J1841">
        <f>IF($F1841="","",IF(OR($G1841="",$H1841="",$I1841="",$G1841&lt;1300,$G1841&gt;1500,$H1841&lt;1,$H1841&gt;12,$I1841&lt;1,$I1841&gt;31),"نامعتبر",RIGHT("0000"&amp;$G1841,4)&amp;"/"&amp;RIGHT("00"&amp;$H1841,2)&amp;"/"&amp;RIGHT("00"&amp;$I1841,2)))</f>
        <v/>
      </c>
      <c r="K1841">
        <f>IF(OR($F1841="",$J1841="",$J1841="نامعتبر"),"",LEFT($J1841,4)&amp;MID($J1841,6,2)&amp;RIGHT($J1841,2)&amp;$N1841&amp;"|"&amp;"2"&amp;RIGHT("00000"&amp;1836,5))</f>
        <v/>
      </c>
      <c r="L1841">
        <f>IF($K1841="","",COUNTIFS(LdgSellerA,$F1841,LdgKeyA,"&lt;"&amp;$K1841)+COUNTIFS(LdgSellerB,$F1841,LdgKeyB,"&lt;"&amp;$K1841)+1)</f>
        <v/>
      </c>
      <c r="M1841">
        <f>IF($L1841="","",$F1841&amp;"|"&amp;RIGHT("000000"&amp;$L1841,6))</f>
        <v/>
      </c>
      <c r="N1841">
        <f>IF($F1841="","",IF(Sync!$AF1841="","0000",IF(AND(ISNUMBER(Sync!$AF1841),Sync!$AF1841&gt;=0,Sync!$AF1841&lt;1),RIGHT("00"&amp;HOUR(Sync!$AF1841),2)&amp;RIGHT("00"&amp;MINUTE(Sync!$AF1841),2),IFERROR(RIGHT("00"&amp;VALUE(LEFT(Sync!$AF1841,FIND(":",Sync!$AF1841)-1)),2)&amp;RIGHT("00"&amp;VALUE(MID(Sync!$AF1841,FIND(":",Sync!$AF1841)+1,2)),2),"0000"))))</f>
        <v/>
      </c>
    </row>
    <row r="1842">
      <c r="A1842">
        <f>IF(OR(Calc!$E1846="",Calc!$E1846="نامعتبر",Calc!$G1846=""),"",Calc!$G1846)</f>
        <v/>
      </c>
      <c r="B1842">
        <f>IF($A1842="","",LEFT(Calc!$E1846,4)&amp;MID(Calc!$E1846,6,2)&amp;RIGHT(Calc!$E1846,2)&amp;Calc!$Q1846&amp;"|"&amp;"1"&amp;RIGHT("00000"&amp;1837,5))</f>
        <v/>
      </c>
      <c r="C1842">
        <f>IF($B1842="","",COUNTIFS(LdgSellerA,$A1842,LdgKeyA,"&lt;"&amp;$B1842)+COUNTIFS(LdgSellerB,$A1842,LdgKeyB,"&lt;"&amp;$B1842)+1)</f>
        <v/>
      </c>
      <c r="D1842">
        <f>IF($C1842="","",$A1842&amp;"|"&amp;RIGHT("000000"&amp;$C1842,6))</f>
        <v/>
      </c>
      <c r="F1842">
        <f>IF(Sync!$AH1842="","",IF(LEFT(UPPER(TRIM(Sync!$AH1842)),2)="SL",UPPER(TRIM(Sync!$AH1842)),""))</f>
        <v/>
      </c>
      <c r="G1842">
        <f>IF($F1842="","",IF(Sync!$AE1842="","",IF(ISNUMBER(Sync!$AE1842),IF(AND(Sync!$AE1842&gt;=10000101,Sync!$AE1842&lt;=99991231),INT(Sync!$AE1842/10000),""),IFERROR(VALUE(TRIM(LEFT(Sync!$AE1842,FIND("/",Sync!$AE1842)-1))),""))))</f>
        <v/>
      </c>
      <c r="H1842">
        <f>IF(OR($F1842="",$G1842=""),"",IF(ISNUMBER(Sync!$AE1842),INT(MOD(Sync!$AE1842,10000)/100),IFERROR(VALUE(TRIM(LEFT(MID(Sync!$AE1842,FIND("/",Sync!$AE1842)+1,20),FIND("/",MID(Sync!$AE1842,FIND("/",Sync!$AE1842)+1,20))-1))),"")))</f>
        <v/>
      </c>
      <c r="I1842">
        <f>IF(OR($F1842="",$G1842=""),"",IF(ISNUMBER(Sync!$AE1842),MOD(Sync!$AE1842,100),IFERROR(VALUE(TRIM(MID(MID(Sync!$AE1842,FIND("/",Sync!$AE1842)+1,20),FIND("/",MID(Sync!$AE1842,FIND("/",Sync!$AE1842)+1,20))+1,20))),"")))</f>
        <v/>
      </c>
      <c r="J1842">
        <f>IF($F1842="","",IF(OR($G1842="",$H1842="",$I1842="",$G1842&lt;1300,$G1842&gt;1500,$H1842&lt;1,$H1842&gt;12,$I1842&lt;1,$I1842&gt;31),"نامعتبر",RIGHT("0000"&amp;$G1842,4)&amp;"/"&amp;RIGHT("00"&amp;$H1842,2)&amp;"/"&amp;RIGHT("00"&amp;$I1842,2)))</f>
        <v/>
      </c>
      <c r="K1842">
        <f>IF(OR($F1842="",$J1842="",$J1842="نامعتبر"),"",LEFT($J1842,4)&amp;MID($J1842,6,2)&amp;RIGHT($J1842,2)&amp;$N1842&amp;"|"&amp;"2"&amp;RIGHT("00000"&amp;1837,5))</f>
        <v/>
      </c>
      <c r="L1842">
        <f>IF($K1842="","",COUNTIFS(LdgSellerA,$F1842,LdgKeyA,"&lt;"&amp;$K1842)+COUNTIFS(LdgSellerB,$F1842,LdgKeyB,"&lt;"&amp;$K1842)+1)</f>
        <v/>
      </c>
      <c r="M1842">
        <f>IF($L1842="","",$F1842&amp;"|"&amp;RIGHT("000000"&amp;$L1842,6))</f>
        <v/>
      </c>
      <c r="N1842">
        <f>IF($F1842="","",IF(Sync!$AF1842="","0000",IF(AND(ISNUMBER(Sync!$AF1842),Sync!$AF1842&gt;=0,Sync!$AF1842&lt;1),RIGHT("00"&amp;HOUR(Sync!$AF1842),2)&amp;RIGHT("00"&amp;MINUTE(Sync!$AF1842),2),IFERROR(RIGHT("00"&amp;VALUE(LEFT(Sync!$AF1842,FIND(":",Sync!$AF1842)-1)),2)&amp;RIGHT("00"&amp;VALUE(MID(Sync!$AF1842,FIND(":",Sync!$AF1842)+1,2)),2),"0000"))))</f>
        <v/>
      </c>
    </row>
    <row r="1843">
      <c r="A1843">
        <f>IF(OR(Calc!$E1847="",Calc!$E1847="نامعتبر",Calc!$G1847=""),"",Calc!$G1847)</f>
        <v/>
      </c>
      <c r="B1843">
        <f>IF($A1843="","",LEFT(Calc!$E1847,4)&amp;MID(Calc!$E1847,6,2)&amp;RIGHT(Calc!$E1847,2)&amp;Calc!$Q1847&amp;"|"&amp;"1"&amp;RIGHT("00000"&amp;1838,5))</f>
        <v/>
      </c>
      <c r="C1843">
        <f>IF($B1843="","",COUNTIFS(LdgSellerA,$A1843,LdgKeyA,"&lt;"&amp;$B1843)+COUNTIFS(LdgSellerB,$A1843,LdgKeyB,"&lt;"&amp;$B1843)+1)</f>
        <v/>
      </c>
      <c r="D1843">
        <f>IF($C1843="","",$A1843&amp;"|"&amp;RIGHT("000000"&amp;$C1843,6))</f>
        <v/>
      </c>
      <c r="F1843">
        <f>IF(Sync!$AH1843="","",IF(LEFT(UPPER(TRIM(Sync!$AH1843)),2)="SL",UPPER(TRIM(Sync!$AH1843)),""))</f>
        <v/>
      </c>
      <c r="G1843">
        <f>IF($F1843="","",IF(Sync!$AE1843="","",IF(ISNUMBER(Sync!$AE1843),IF(AND(Sync!$AE1843&gt;=10000101,Sync!$AE1843&lt;=99991231),INT(Sync!$AE1843/10000),""),IFERROR(VALUE(TRIM(LEFT(Sync!$AE1843,FIND("/",Sync!$AE1843)-1))),""))))</f>
        <v/>
      </c>
      <c r="H1843">
        <f>IF(OR($F1843="",$G1843=""),"",IF(ISNUMBER(Sync!$AE1843),INT(MOD(Sync!$AE1843,10000)/100),IFERROR(VALUE(TRIM(LEFT(MID(Sync!$AE1843,FIND("/",Sync!$AE1843)+1,20),FIND("/",MID(Sync!$AE1843,FIND("/",Sync!$AE1843)+1,20))-1))),"")))</f>
        <v/>
      </c>
      <c r="I1843">
        <f>IF(OR($F1843="",$G1843=""),"",IF(ISNUMBER(Sync!$AE1843),MOD(Sync!$AE1843,100),IFERROR(VALUE(TRIM(MID(MID(Sync!$AE1843,FIND("/",Sync!$AE1843)+1,20),FIND("/",MID(Sync!$AE1843,FIND("/",Sync!$AE1843)+1,20))+1,20))),"")))</f>
        <v/>
      </c>
      <c r="J1843">
        <f>IF($F1843="","",IF(OR($G1843="",$H1843="",$I1843="",$G1843&lt;1300,$G1843&gt;1500,$H1843&lt;1,$H1843&gt;12,$I1843&lt;1,$I1843&gt;31),"نامعتبر",RIGHT("0000"&amp;$G1843,4)&amp;"/"&amp;RIGHT("00"&amp;$H1843,2)&amp;"/"&amp;RIGHT("00"&amp;$I1843,2)))</f>
        <v/>
      </c>
      <c r="K1843">
        <f>IF(OR($F1843="",$J1843="",$J1843="نامعتبر"),"",LEFT($J1843,4)&amp;MID($J1843,6,2)&amp;RIGHT($J1843,2)&amp;$N1843&amp;"|"&amp;"2"&amp;RIGHT("00000"&amp;1838,5))</f>
        <v/>
      </c>
      <c r="L1843">
        <f>IF($K1843="","",COUNTIFS(LdgSellerA,$F1843,LdgKeyA,"&lt;"&amp;$K1843)+COUNTIFS(LdgSellerB,$F1843,LdgKeyB,"&lt;"&amp;$K1843)+1)</f>
        <v/>
      </c>
      <c r="M1843">
        <f>IF($L1843="","",$F1843&amp;"|"&amp;RIGHT("000000"&amp;$L1843,6))</f>
        <v/>
      </c>
      <c r="N1843">
        <f>IF($F1843="","",IF(Sync!$AF1843="","0000",IF(AND(ISNUMBER(Sync!$AF1843),Sync!$AF1843&gt;=0,Sync!$AF1843&lt;1),RIGHT("00"&amp;HOUR(Sync!$AF1843),2)&amp;RIGHT("00"&amp;MINUTE(Sync!$AF1843),2),IFERROR(RIGHT("00"&amp;VALUE(LEFT(Sync!$AF1843,FIND(":",Sync!$AF1843)-1)),2)&amp;RIGHT("00"&amp;VALUE(MID(Sync!$AF1843,FIND(":",Sync!$AF1843)+1,2)),2),"0000"))))</f>
        <v/>
      </c>
    </row>
    <row r="1844">
      <c r="A1844">
        <f>IF(OR(Calc!$E1848="",Calc!$E1848="نامعتبر",Calc!$G1848=""),"",Calc!$G1848)</f>
        <v/>
      </c>
      <c r="B1844">
        <f>IF($A1844="","",LEFT(Calc!$E1848,4)&amp;MID(Calc!$E1848,6,2)&amp;RIGHT(Calc!$E1848,2)&amp;Calc!$Q1848&amp;"|"&amp;"1"&amp;RIGHT("00000"&amp;1839,5))</f>
        <v/>
      </c>
      <c r="C1844">
        <f>IF($B1844="","",COUNTIFS(LdgSellerA,$A1844,LdgKeyA,"&lt;"&amp;$B1844)+COUNTIFS(LdgSellerB,$A1844,LdgKeyB,"&lt;"&amp;$B1844)+1)</f>
        <v/>
      </c>
      <c r="D1844">
        <f>IF($C1844="","",$A1844&amp;"|"&amp;RIGHT("000000"&amp;$C1844,6))</f>
        <v/>
      </c>
      <c r="F1844">
        <f>IF(Sync!$AH1844="","",IF(LEFT(UPPER(TRIM(Sync!$AH1844)),2)="SL",UPPER(TRIM(Sync!$AH1844)),""))</f>
        <v/>
      </c>
      <c r="G1844">
        <f>IF($F1844="","",IF(Sync!$AE1844="","",IF(ISNUMBER(Sync!$AE1844),IF(AND(Sync!$AE1844&gt;=10000101,Sync!$AE1844&lt;=99991231),INT(Sync!$AE1844/10000),""),IFERROR(VALUE(TRIM(LEFT(Sync!$AE1844,FIND("/",Sync!$AE1844)-1))),""))))</f>
        <v/>
      </c>
      <c r="H1844">
        <f>IF(OR($F1844="",$G1844=""),"",IF(ISNUMBER(Sync!$AE1844),INT(MOD(Sync!$AE1844,10000)/100),IFERROR(VALUE(TRIM(LEFT(MID(Sync!$AE1844,FIND("/",Sync!$AE1844)+1,20),FIND("/",MID(Sync!$AE1844,FIND("/",Sync!$AE1844)+1,20))-1))),"")))</f>
        <v/>
      </c>
      <c r="I1844">
        <f>IF(OR($F1844="",$G1844=""),"",IF(ISNUMBER(Sync!$AE1844),MOD(Sync!$AE1844,100),IFERROR(VALUE(TRIM(MID(MID(Sync!$AE1844,FIND("/",Sync!$AE1844)+1,20),FIND("/",MID(Sync!$AE1844,FIND("/",Sync!$AE1844)+1,20))+1,20))),"")))</f>
        <v/>
      </c>
      <c r="J1844">
        <f>IF($F1844="","",IF(OR($G1844="",$H1844="",$I1844="",$G1844&lt;1300,$G1844&gt;1500,$H1844&lt;1,$H1844&gt;12,$I1844&lt;1,$I1844&gt;31),"نامعتبر",RIGHT("0000"&amp;$G1844,4)&amp;"/"&amp;RIGHT("00"&amp;$H1844,2)&amp;"/"&amp;RIGHT("00"&amp;$I1844,2)))</f>
        <v/>
      </c>
      <c r="K1844">
        <f>IF(OR($F1844="",$J1844="",$J1844="نامعتبر"),"",LEFT($J1844,4)&amp;MID($J1844,6,2)&amp;RIGHT($J1844,2)&amp;$N1844&amp;"|"&amp;"2"&amp;RIGHT("00000"&amp;1839,5))</f>
        <v/>
      </c>
      <c r="L1844">
        <f>IF($K1844="","",COUNTIFS(LdgSellerA,$F1844,LdgKeyA,"&lt;"&amp;$K1844)+COUNTIFS(LdgSellerB,$F1844,LdgKeyB,"&lt;"&amp;$K1844)+1)</f>
        <v/>
      </c>
      <c r="M1844">
        <f>IF($L1844="","",$F1844&amp;"|"&amp;RIGHT("000000"&amp;$L1844,6))</f>
        <v/>
      </c>
      <c r="N1844">
        <f>IF($F1844="","",IF(Sync!$AF1844="","0000",IF(AND(ISNUMBER(Sync!$AF1844),Sync!$AF1844&gt;=0,Sync!$AF1844&lt;1),RIGHT("00"&amp;HOUR(Sync!$AF1844),2)&amp;RIGHT("00"&amp;MINUTE(Sync!$AF1844),2),IFERROR(RIGHT("00"&amp;VALUE(LEFT(Sync!$AF1844,FIND(":",Sync!$AF1844)-1)),2)&amp;RIGHT("00"&amp;VALUE(MID(Sync!$AF1844,FIND(":",Sync!$AF1844)+1,2)),2),"0000"))))</f>
        <v/>
      </c>
    </row>
    <row r="1845">
      <c r="A1845">
        <f>IF(OR(Calc!$E1849="",Calc!$E1849="نامعتبر",Calc!$G1849=""),"",Calc!$G1849)</f>
        <v/>
      </c>
      <c r="B1845">
        <f>IF($A1845="","",LEFT(Calc!$E1849,4)&amp;MID(Calc!$E1849,6,2)&amp;RIGHT(Calc!$E1849,2)&amp;Calc!$Q1849&amp;"|"&amp;"1"&amp;RIGHT("00000"&amp;1840,5))</f>
        <v/>
      </c>
      <c r="C1845">
        <f>IF($B1845="","",COUNTIFS(LdgSellerA,$A1845,LdgKeyA,"&lt;"&amp;$B1845)+COUNTIFS(LdgSellerB,$A1845,LdgKeyB,"&lt;"&amp;$B1845)+1)</f>
        <v/>
      </c>
      <c r="D1845">
        <f>IF($C1845="","",$A1845&amp;"|"&amp;RIGHT("000000"&amp;$C1845,6))</f>
        <v/>
      </c>
      <c r="F1845">
        <f>IF(Sync!$AH1845="","",IF(LEFT(UPPER(TRIM(Sync!$AH1845)),2)="SL",UPPER(TRIM(Sync!$AH1845)),""))</f>
        <v/>
      </c>
      <c r="G1845">
        <f>IF($F1845="","",IF(Sync!$AE1845="","",IF(ISNUMBER(Sync!$AE1845),IF(AND(Sync!$AE1845&gt;=10000101,Sync!$AE1845&lt;=99991231),INT(Sync!$AE1845/10000),""),IFERROR(VALUE(TRIM(LEFT(Sync!$AE1845,FIND("/",Sync!$AE1845)-1))),""))))</f>
        <v/>
      </c>
      <c r="H1845">
        <f>IF(OR($F1845="",$G1845=""),"",IF(ISNUMBER(Sync!$AE1845),INT(MOD(Sync!$AE1845,10000)/100),IFERROR(VALUE(TRIM(LEFT(MID(Sync!$AE1845,FIND("/",Sync!$AE1845)+1,20),FIND("/",MID(Sync!$AE1845,FIND("/",Sync!$AE1845)+1,20))-1))),"")))</f>
        <v/>
      </c>
      <c r="I1845">
        <f>IF(OR($F1845="",$G1845=""),"",IF(ISNUMBER(Sync!$AE1845),MOD(Sync!$AE1845,100),IFERROR(VALUE(TRIM(MID(MID(Sync!$AE1845,FIND("/",Sync!$AE1845)+1,20),FIND("/",MID(Sync!$AE1845,FIND("/",Sync!$AE1845)+1,20))+1,20))),"")))</f>
        <v/>
      </c>
      <c r="J1845">
        <f>IF($F1845="","",IF(OR($G1845="",$H1845="",$I1845="",$G1845&lt;1300,$G1845&gt;1500,$H1845&lt;1,$H1845&gt;12,$I1845&lt;1,$I1845&gt;31),"نامعتبر",RIGHT("0000"&amp;$G1845,4)&amp;"/"&amp;RIGHT("00"&amp;$H1845,2)&amp;"/"&amp;RIGHT("00"&amp;$I1845,2)))</f>
        <v/>
      </c>
      <c r="K1845">
        <f>IF(OR($F1845="",$J1845="",$J1845="نامعتبر"),"",LEFT($J1845,4)&amp;MID($J1845,6,2)&amp;RIGHT($J1845,2)&amp;$N1845&amp;"|"&amp;"2"&amp;RIGHT("00000"&amp;1840,5))</f>
        <v/>
      </c>
      <c r="L1845">
        <f>IF($K1845="","",COUNTIFS(LdgSellerA,$F1845,LdgKeyA,"&lt;"&amp;$K1845)+COUNTIFS(LdgSellerB,$F1845,LdgKeyB,"&lt;"&amp;$K1845)+1)</f>
        <v/>
      </c>
      <c r="M1845">
        <f>IF($L1845="","",$F1845&amp;"|"&amp;RIGHT("000000"&amp;$L1845,6))</f>
        <v/>
      </c>
      <c r="N1845">
        <f>IF($F1845="","",IF(Sync!$AF1845="","0000",IF(AND(ISNUMBER(Sync!$AF1845),Sync!$AF1845&gt;=0,Sync!$AF1845&lt;1),RIGHT("00"&amp;HOUR(Sync!$AF1845),2)&amp;RIGHT("00"&amp;MINUTE(Sync!$AF1845),2),IFERROR(RIGHT("00"&amp;VALUE(LEFT(Sync!$AF1845,FIND(":",Sync!$AF1845)-1)),2)&amp;RIGHT("00"&amp;VALUE(MID(Sync!$AF1845,FIND(":",Sync!$AF1845)+1,2)),2),"0000"))))</f>
        <v/>
      </c>
    </row>
    <row r="1846">
      <c r="A1846">
        <f>IF(OR(Calc!$E1850="",Calc!$E1850="نامعتبر",Calc!$G1850=""),"",Calc!$G1850)</f>
        <v/>
      </c>
      <c r="B1846">
        <f>IF($A1846="","",LEFT(Calc!$E1850,4)&amp;MID(Calc!$E1850,6,2)&amp;RIGHT(Calc!$E1850,2)&amp;Calc!$Q1850&amp;"|"&amp;"1"&amp;RIGHT("00000"&amp;1841,5))</f>
        <v/>
      </c>
      <c r="C1846">
        <f>IF($B1846="","",COUNTIFS(LdgSellerA,$A1846,LdgKeyA,"&lt;"&amp;$B1846)+COUNTIFS(LdgSellerB,$A1846,LdgKeyB,"&lt;"&amp;$B1846)+1)</f>
        <v/>
      </c>
      <c r="D1846">
        <f>IF($C1846="","",$A1846&amp;"|"&amp;RIGHT("000000"&amp;$C1846,6))</f>
        <v/>
      </c>
      <c r="F1846">
        <f>IF(Sync!$AH1846="","",IF(LEFT(UPPER(TRIM(Sync!$AH1846)),2)="SL",UPPER(TRIM(Sync!$AH1846)),""))</f>
        <v/>
      </c>
      <c r="G1846">
        <f>IF($F1846="","",IF(Sync!$AE1846="","",IF(ISNUMBER(Sync!$AE1846),IF(AND(Sync!$AE1846&gt;=10000101,Sync!$AE1846&lt;=99991231),INT(Sync!$AE1846/10000),""),IFERROR(VALUE(TRIM(LEFT(Sync!$AE1846,FIND("/",Sync!$AE1846)-1))),""))))</f>
        <v/>
      </c>
      <c r="H1846">
        <f>IF(OR($F1846="",$G1846=""),"",IF(ISNUMBER(Sync!$AE1846),INT(MOD(Sync!$AE1846,10000)/100),IFERROR(VALUE(TRIM(LEFT(MID(Sync!$AE1846,FIND("/",Sync!$AE1846)+1,20),FIND("/",MID(Sync!$AE1846,FIND("/",Sync!$AE1846)+1,20))-1))),"")))</f>
        <v/>
      </c>
      <c r="I1846">
        <f>IF(OR($F1846="",$G1846=""),"",IF(ISNUMBER(Sync!$AE1846),MOD(Sync!$AE1846,100),IFERROR(VALUE(TRIM(MID(MID(Sync!$AE1846,FIND("/",Sync!$AE1846)+1,20),FIND("/",MID(Sync!$AE1846,FIND("/",Sync!$AE1846)+1,20))+1,20))),"")))</f>
        <v/>
      </c>
      <c r="J1846">
        <f>IF($F1846="","",IF(OR($G1846="",$H1846="",$I1846="",$G1846&lt;1300,$G1846&gt;1500,$H1846&lt;1,$H1846&gt;12,$I1846&lt;1,$I1846&gt;31),"نامعتبر",RIGHT("0000"&amp;$G1846,4)&amp;"/"&amp;RIGHT("00"&amp;$H1846,2)&amp;"/"&amp;RIGHT("00"&amp;$I1846,2)))</f>
        <v/>
      </c>
      <c r="K1846">
        <f>IF(OR($F1846="",$J1846="",$J1846="نامعتبر"),"",LEFT($J1846,4)&amp;MID($J1846,6,2)&amp;RIGHT($J1846,2)&amp;$N1846&amp;"|"&amp;"2"&amp;RIGHT("00000"&amp;1841,5))</f>
        <v/>
      </c>
      <c r="L1846">
        <f>IF($K1846="","",COUNTIFS(LdgSellerA,$F1846,LdgKeyA,"&lt;"&amp;$K1846)+COUNTIFS(LdgSellerB,$F1846,LdgKeyB,"&lt;"&amp;$K1846)+1)</f>
        <v/>
      </c>
      <c r="M1846">
        <f>IF($L1846="","",$F1846&amp;"|"&amp;RIGHT("000000"&amp;$L1846,6))</f>
        <v/>
      </c>
      <c r="N1846">
        <f>IF($F1846="","",IF(Sync!$AF1846="","0000",IF(AND(ISNUMBER(Sync!$AF1846),Sync!$AF1846&gt;=0,Sync!$AF1846&lt;1),RIGHT("00"&amp;HOUR(Sync!$AF1846),2)&amp;RIGHT("00"&amp;MINUTE(Sync!$AF1846),2),IFERROR(RIGHT("00"&amp;VALUE(LEFT(Sync!$AF1846,FIND(":",Sync!$AF1846)-1)),2)&amp;RIGHT("00"&amp;VALUE(MID(Sync!$AF1846,FIND(":",Sync!$AF1846)+1,2)),2),"0000"))))</f>
        <v/>
      </c>
    </row>
    <row r="1847">
      <c r="A1847">
        <f>IF(OR(Calc!$E1851="",Calc!$E1851="نامعتبر",Calc!$G1851=""),"",Calc!$G1851)</f>
        <v/>
      </c>
      <c r="B1847">
        <f>IF($A1847="","",LEFT(Calc!$E1851,4)&amp;MID(Calc!$E1851,6,2)&amp;RIGHT(Calc!$E1851,2)&amp;Calc!$Q1851&amp;"|"&amp;"1"&amp;RIGHT("00000"&amp;1842,5))</f>
        <v/>
      </c>
      <c r="C1847">
        <f>IF($B1847="","",COUNTIFS(LdgSellerA,$A1847,LdgKeyA,"&lt;"&amp;$B1847)+COUNTIFS(LdgSellerB,$A1847,LdgKeyB,"&lt;"&amp;$B1847)+1)</f>
        <v/>
      </c>
      <c r="D1847">
        <f>IF($C1847="","",$A1847&amp;"|"&amp;RIGHT("000000"&amp;$C1847,6))</f>
        <v/>
      </c>
      <c r="F1847">
        <f>IF(Sync!$AH1847="","",IF(LEFT(UPPER(TRIM(Sync!$AH1847)),2)="SL",UPPER(TRIM(Sync!$AH1847)),""))</f>
        <v/>
      </c>
      <c r="G1847">
        <f>IF($F1847="","",IF(Sync!$AE1847="","",IF(ISNUMBER(Sync!$AE1847),IF(AND(Sync!$AE1847&gt;=10000101,Sync!$AE1847&lt;=99991231),INT(Sync!$AE1847/10000),""),IFERROR(VALUE(TRIM(LEFT(Sync!$AE1847,FIND("/",Sync!$AE1847)-1))),""))))</f>
        <v/>
      </c>
      <c r="H1847">
        <f>IF(OR($F1847="",$G1847=""),"",IF(ISNUMBER(Sync!$AE1847),INT(MOD(Sync!$AE1847,10000)/100),IFERROR(VALUE(TRIM(LEFT(MID(Sync!$AE1847,FIND("/",Sync!$AE1847)+1,20),FIND("/",MID(Sync!$AE1847,FIND("/",Sync!$AE1847)+1,20))-1))),"")))</f>
        <v/>
      </c>
      <c r="I1847">
        <f>IF(OR($F1847="",$G1847=""),"",IF(ISNUMBER(Sync!$AE1847),MOD(Sync!$AE1847,100),IFERROR(VALUE(TRIM(MID(MID(Sync!$AE1847,FIND("/",Sync!$AE1847)+1,20),FIND("/",MID(Sync!$AE1847,FIND("/",Sync!$AE1847)+1,20))+1,20))),"")))</f>
        <v/>
      </c>
      <c r="J1847">
        <f>IF($F1847="","",IF(OR($G1847="",$H1847="",$I1847="",$G1847&lt;1300,$G1847&gt;1500,$H1847&lt;1,$H1847&gt;12,$I1847&lt;1,$I1847&gt;31),"نامعتبر",RIGHT("0000"&amp;$G1847,4)&amp;"/"&amp;RIGHT("00"&amp;$H1847,2)&amp;"/"&amp;RIGHT("00"&amp;$I1847,2)))</f>
        <v/>
      </c>
      <c r="K1847">
        <f>IF(OR($F1847="",$J1847="",$J1847="نامعتبر"),"",LEFT($J1847,4)&amp;MID($J1847,6,2)&amp;RIGHT($J1847,2)&amp;$N1847&amp;"|"&amp;"2"&amp;RIGHT("00000"&amp;1842,5))</f>
        <v/>
      </c>
      <c r="L1847">
        <f>IF($K1847="","",COUNTIFS(LdgSellerA,$F1847,LdgKeyA,"&lt;"&amp;$K1847)+COUNTIFS(LdgSellerB,$F1847,LdgKeyB,"&lt;"&amp;$K1847)+1)</f>
        <v/>
      </c>
      <c r="M1847">
        <f>IF($L1847="","",$F1847&amp;"|"&amp;RIGHT("000000"&amp;$L1847,6))</f>
        <v/>
      </c>
      <c r="N1847">
        <f>IF($F1847="","",IF(Sync!$AF1847="","0000",IF(AND(ISNUMBER(Sync!$AF1847),Sync!$AF1847&gt;=0,Sync!$AF1847&lt;1),RIGHT("00"&amp;HOUR(Sync!$AF1847),2)&amp;RIGHT("00"&amp;MINUTE(Sync!$AF1847),2),IFERROR(RIGHT("00"&amp;VALUE(LEFT(Sync!$AF1847,FIND(":",Sync!$AF1847)-1)),2)&amp;RIGHT("00"&amp;VALUE(MID(Sync!$AF1847,FIND(":",Sync!$AF1847)+1,2)),2),"0000"))))</f>
        <v/>
      </c>
    </row>
    <row r="1848">
      <c r="A1848">
        <f>IF(OR(Calc!$E1852="",Calc!$E1852="نامعتبر",Calc!$G1852=""),"",Calc!$G1852)</f>
        <v/>
      </c>
      <c r="B1848">
        <f>IF($A1848="","",LEFT(Calc!$E1852,4)&amp;MID(Calc!$E1852,6,2)&amp;RIGHT(Calc!$E1852,2)&amp;Calc!$Q1852&amp;"|"&amp;"1"&amp;RIGHT("00000"&amp;1843,5))</f>
        <v/>
      </c>
      <c r="C1848">
        <f>IF($B1848="","",COUNTIFS(LdgSellerA,$A1848,LdgKeyA,"&lt;"&amp;$B1848)+COUNTIFS(LdgSellerB,$A1848,LdgKeyB,"&lt;"&amp;$B1848)+1)</f>
        <v/>
      </c>
      <c r="D1848">
        <f>IF($C1848="","",$A1848&amp;"|"&amp;RIGHT("000000"&amp;$C1848,6))</f>
        <v/>
      </c>
      <c r="F1848">
        <f>IF(Sync!$AH1848="","",IF(LEFT(UPPER(TRIM(Sync!$AH1848)),2)="SL",UPPER(TRIM(Sync!$AH1848)),""))</f>
        <v/>
      </c>
      <c r="G1848">
        <f>IF($F1848="","",IF(Sync!$AE1848="","",IF(ISNUMBER(Sync!$AE1848),IF(AND(Sync!$AE1848&gt;=10000101,Sync!$AE1848&lt;=99991231),INT(Sync!$AE1848/10000),""),IFERROR(VALUE(TRIM(LEFT(Sync!$AE1848,FIND("/",Sync!$AE1848)-1))),""))))</f>
        <v/>
      </c>
      <c r="H1848">
        <f>IF(OR($F1848="",$G1848=""),"",IF(ISNUMBER(Sync!$AE1848),INT(MOD(Sync!$AE1848,10000)/100),IFERROR(VALUE(TRIM(LEFT(MID(Sync!$AE1848,FIND("/",Sync!$AE1848)+1,20),FIND("/",MID(Sync!$AE1848,FIND("/",Sync!$AE1848)+1,20))-1))),"")))</f>
        <v/>
      </c>
      <c r="I1848">
        <f>IF(OR($F1848="",$G1848=""),"",IF(ISNUMBER(Sync!$AE1848),MOD(Sync!$AE1848,100),IFERROR(VALUE(TRIM(MID(MID(Sync!$AE1848,FIND("/",Sync!$AE1848)+1,20),FIND("/",MID(Sync!$AE1848,FIND("/",Sync!$AE1848)+1,20))+1,20))),"")))</f>
        <v/>
      </c>
      <c r="J1848">
        <f>IF($F1848="","",IF(OR($G1848="",$H1848="",$I1848="",$G1848&lt;1300,$G1848&gt;1500,$H1848&lt;1,$H1848&gt;12,$I1848&lt;1,$I1848&gt;31),"نامعتبر",RIGHT("0000"&amp;$G1848,4)&amp;"/"&amp;RIGHT("00"&amp;$H1848,2)&amp;"/"&amp;RIGHT("00"&amp;$I1848,2)))</f>
        <v/>
      </c>
      <c r="K1848">
        <f>IF(OR($F1848="",$J1848="",$J1848="نامعتبر"),"",LEFT($J1848,4)&amp;MID($J1848,6,2)&amp;RIGHT($J1848,2)&amp;$N1848&amp;"|"&amp;"2"&amp;RIGHT("00000"&amp;1843,5))</f>
        <v/>
      </c>
      <c r="L1848">
        <f>IF($K1848="","",COUNTIFS(LdgSellerA,$F1848,LdgKeyA,"&lt;"&amp;$K1848)+COUNTIFS(LdgSellerB,$F1848,LdgKeyB,"&lt;"&amp;$K1848)+1)</f>
        <v/>
      </c>
      <c r="M1848">
        <f>IF($L1848="","",$F1848&amp;"|"&amp;RIGHT("000000"&amp;$L1848,6))</f>
        <v/>
      </c>
      <c r="N1848">
        <f>IF($F1848="","",IF(Sync!$AF1848="","0000",IF(AND(ISNUMBER(Sync!$AF1848),Sync!$AF1848&gt;=0,Sync!$AF1848&lt;1),RIGHT("00"&amp;HOUR(Sync!$AF1848),2)&amp;RIGHT("00"&amp;MINUTE(Sync!$AF1848),2),IFERROR(RIGHT("00"&amp;VALUE(LEFT(Sync!$AF1848,FIND(":",Sync!$AF1848)-1)),2)&amp;RIGHT("00"&amp;VALUE(MID(Sync!$AF1848,FIND(":",Sync!$AF1848)+1,2)),2),"0000"))))</f>
        <v/>
      </c>
    </row>
    <row r="1849">
      <c r="A1849">
        <f>IF(OR(Calc!$E1853="",Calc!$E1853="نامعتبر",Calc!$G1853=""),"",Calc!$G1853)</f>
        <v/>
      </c>
      <c r="B1849">
        <f>IF($A1849="","",LEFT(Calc!$E1853,4)&amp;MID(Calc!$E1853,6,2)&amp;RIGHT(Calc!$E1853,2)&amp;Calc!$Q1853&amp;"|"&amp;"1"&amp;RIGHT("00000"&amp;1844,5))</f>
        <v/>
      </c>
      <c r="C1849">
        <f>IF($B1849="","",COUNTIFS(LdgSellerA,$A1849,LdgKeyA,"&lt;"&amp;$B1849)+COUNTIFS(LdgSellerB,$A1849,LdgKeyB,"&lt;"&amp;$B1849)+1)</f>
        <v/>
      </c>
      <c r="D1849">
        <f>IF($C1849="","",$A1849&amp;"|"&amp;RIGHT("000000"&amp;$C1849,6))</f>
        <v/>
      </c>
      <c r="F1849">
        <f>IF(Sync!$AH1849="","",IF(LEFT(UPPER(TRIM(Sync!$AH1849)),2)="SL",UPPER(TRIM(Sync!$AH1849)),""))</f>
        <v/>
      </c>
      <c r="G1849">
        <f>IF($F1849="","",IF(Sync!$AE1849="","",IF(ISNUMBER(Sync!$AE1849),IF(AND(Sync!$AE1849&gt;=10000101,Sync!$AE1849&lt;=99991231),INT(Sync!$AE1849/10000),""),IFERROR(VALUE(TRIM(LEFT(Sync!$AE1849,FIND("/",Sync!$AE1849)-1))),""))))</f>
        <v/>
      </c>
      <c r="H1849">
        <f>IF(OR($F1849="",$G1849=""),"",IF(ISNUMBER(Sync!$AE1849),INT(MOD(Sync!$AE1849,10000)/100),IFERROR(VALUE(TRIM(LEFT(MID(Sync!$AE1849,FIND("/",Sync!$AE1849)+1,20),FIND("/",MID(Sync!$AE1849,FIND("/",Sync!$AE1849)+1,20))-1))),"")))</f>
        <v/>
      </c>
      <c r="I1849">
        <f>IF(OR($F1849="",$G1849=""),"",IF(ISNUMBER(Sync!$AE1849),MOD(Sync!$AE1849,100),IFERROR(VALUE(TRIM(MID(MID(Sync!$AE1849,FIND("/",Sync!$AE1849)+1,20),FIND("/",MID(Sync!$AE1849,FIND("/",Sync!$AE1849)+1,20))+1,20))),"")))</f>
        <v/>
      </c>
      <c r="J1849">
        <f>IF($F1849="","",IF(OR($G1849="",$H1849="",$I1849="",$G1849&lt;1300,$G1849&gt;1500,$H1849&lt;1,$H1849&gt;12,$I1849&lt;1,$I1849&gt;31),"نامعتبر",RIGHT("0000"&amp;$G1849,4)&amp;"/"&amp;RIGHT("00"&amp;$H1849,2)&amp;"/"&amp;RIGHT("00"&amp;$I1849,2)))</f>
        <v/>
      </c>
      <c r="K1849">
        <f>IF(OR($F1849="",$J1849="",$J1849="نامعتبر"),"",LEFT($J1849,4)&amp;MID($J1849,6,2)&amp;RIGHT($J1849,2)&amp;$N1849&amp;"|"&amp;"2"&amp;RIGHT("00000"&amp;1844,5))</f>
        <v/>
      </c>
      <c r="L1849">
        <f>IF($K1849="","",COUNTIFS(LdgSellerA,$F1849,LdgKeyA,"&lt;"&amp;$K1849)+COUNTIFS(LdgSellerB,$F1849,LdgKeyB,"&lt;"&amp;$K1849)+1)</f>
        <v/>
      </c>
      <c r="M1849">
        <f>IF($L1849="","",$F1849&amp;"|"&amp;RIGHT("000000"&amp;$L1849,6))</f>
        <v/>
      </c>
      <c r="N1849">
        <f>IF($F1849="","",IF(Sync!$AF1849="","0000",IF(AND(ISNUMBER(Sync!$AF1849),Sync!$AF1849&gt;=0,Sync!$AF1849&lt;1),RIGHT("00"&amp;HOUR(Sync!$AF1849),2)&amp;RIGHT("00"&amp;MINUTE(Sync!$AF1849),2),IFERROR(RIGHT("00"&amp;VALUE(LEFT(Sync!$AF1849,FIND(":",Sync!$AF1849)-1)),2)&amp;RIGHT("00"&amp;VALUE(MID(Sync!$AF1849,FIND(":",Sync!$AF1849)+1,2)),2),"0000"))))</f>
        <v/>
      </c>
    </row>
    <row r="1850">
      <c r="A1850">
        <f>IF(OR(Calc!$E1854="",Calc!$E1854="نامعتبر",Calc!$G1854=""),"",Calc!$G1854)</f>
        <v/>
      </c>
      <c r="B1850">
        <f>IF($A1850="","",LEFT(Calc!$E1854,4)&amp;MID(Calc!$E1854,6,2)&amp;RIGHT(Calc!$E1854,2)&amp;Calc!$Q1854&amp;"|"&amp;"1"&amp;RIGHT("00000"&amp;1845,5))</f>
        <v/>
      </c>
      <c r="C1850">
        <f>IF($B1850="","",COUNTIFS(LdgSellerA,$A1850,LdgKeyA,"&lt;"&amp;$B1850)+COUNTIFS(LdgSellerB,$A1850,LdgKeyB,"&lt;"&amp;$B1850)+1)</f>
        <v/>
      </c>
      <c r="D1850">
        <f>IF($C1850="","",$A1850&amp;"|"&amp;RIGHT("000000"&amp;$C1850,6))</f>
        <v/>
      </c>
      <c r="F1850">
        <f>IF(Sync!$AH1850="","",IF(LEFT(UPPER(TRIM(Sync!$AH1850)),2)="SL",UPPER(TRIM(Sync!$AH1850)),""))</f>
        <v/>
      </c>
      <c r="G1850">
        <f>IF($F1850="","",IF(Sync!$AE1850="","",IF(ISNUMBER(Sync!$AE1850),IF(AND(Sync!$AE1850&gt;=10000101,Sync!$AE1850&lt;=99991231),INT(Sync!$AE1850/10000),""),IFERROR(VALUE(TRIM(LEFT(Sync!$AE1850,FIND("/",Sync!$AE1850)-1))),""))))</f>
        <v/>
      </c>
      <c r="H1850">
        <f>IF(OR($F1850="",$G1850=""),"",IF(ISNUMBER(Sync!$AE1850),INT(MOD(Sync!$AE1850,10000)/100),IFERROR(VALUE(TRIM(LEFT(MID(Sync!$AE1850,FIND("/",Sync!$AE1850)+1,20),FIND("/",MID(Sync!$AE1850,FIND("/",Sync!$AE1850)+1,20))-1))),"")))</f>
        <v/>
      </c>
      <c r="I1850">
        <f>IF(OR($F1850="",$G1850=""),"",IF(ISNUMBER(Sync!$AE1850),MOD(Sync!$AE1850,100),IFERROR(VALUE(TRIM(MID(MID(Sync!$AE1850,FIND("/",Sync!$AE1850)+1,20),FIND("/",MID(Sync!$AE1850,FIND("/",Sync!$AE1850)+1,20))+1,20))),"")))</f>
        <v/>
      </c>
      <c r="J1850">
        <f>IF($F1850="","",IF(OR($G1850="",$H1850="",$I1850="",$G1850&lt;1300,$G1850&gt;1500,$H1850&lt;1,$H1850&gt;12,$I1850&lt;1,$I1850&gt;31),"نامعتبر",RIGHT("0000"&amp;$G1850,4)&amp;"/"&amp;RIGHT("00"&amp;$H1850,2)&amp;"/"&amp;RIGHT("00"&amp;$I1850,2)))</f>
        <v/>
      </c>
      <c r="K1850">
        <f>IF(OR($F1850="",$J1850="",$J1850="نامعتبر"),"",LEFT($J1850,4)&amp;MID($J1850,6,2)&amp;RIGHT($J1850,2)&amp;$N1850&amp;"|"&amp;"2"&amp;RIGHT("00000"&amp;1845,5))</f>
        <v/>
      </c>
      <c r="L1850">
        <f>IF($K1850="","",COUNTIFS(LdgSellerA,$F1850,LdgKeyA,"&lt;"&amp;$K1850)+COUNTIFS(LdgSellerB,$F1850,LdgKeyB,"&lt;"&amp;$K1850)+1)</f>
        <v/>
      </c>
      <c r="M1850">
        <f>IF($L1850="","",$F1850&amp;"|"&amp;RIGHT("000000"&amp;$L1850,6))</f>
        <v/>
      </c>
      <c r="N1850">
        <f>IF($F1850="","",IF(Sync!$AF1850="","0000",IF(AND(ISNUMBER(Sync!$AF1850),Sync!$AF1850&gt;=0,Sync!$AF1850&lt;1),RIGHT("00"&amp;HOUR(Sync!$AF1850),2)&amp;RIGHT("00"&amp;MINUTE(Sync!$AF1850),2),IFERROR(RIGHT("00"&amp;VALUE(LEFT(Sync!$AF1850,FIND(":",Sync!$AF1850)-1)),2)&amp;RIGHT("00"&amp;VALUE(MID(Sync!$AF1850,FIND(":",Sync!$AF1850)+1,2)),2),"0000"))))</f>
        <v/>
      </c>
    </row>
    <row r="1851">
      <c r="A1851">
        <f>IF(OR(Calc!$E1855="",Calc!$E1855="نامعتبر",Calc!$G1855=""),"",Calc!$G1855)</f>
        <v/>
      </c>
      <c r="B1851">
        <f>IF($A1851="","",LEFT(Calc!$E1855,4)&amp;MID(Calc!$E1855,6,2)&amp;RIGHT(Calc!$E1855,2)&amp;Calc!$Q1855&amp;"|"&amp;"1"&amp;RIGHT("00000"&amp;1846,5))</f>
        <v/>
      </c>
      <c r="C1851">
        <f>IF($B1851="","",COUNTIFS(LdgSellerA,$A1851,LdgKeyA,"&lt;"&amp;$B1851)+COUNTIFS(LdgSellerB,$A1851,LdgKeyB,"&lt;"&amp;$B1851)+1)</f>
        <v/>
      </c>
      <c r="D1851">
        <f>IF($C1851="","",$A1851&amp;"|"&amp;RIGHT("000000"&amp;$C1851,6))</f>
        <v/>
      </c>
      <c r="F1851">
        <f>IF(Sync!$AH1851="","",IF(LEFT(UPPER(TRIM(Sync!$AH1851)),2)="SL",UPPER(TRIM(Sync!$AH1851)),""))</f>
        <v/>
      </c>
      <c r="G1851">
        <f>IF($F1851="","",IF(Sync!$AE1851="","",IF(ISNUMBER(Sync!$AE1851),IF(AND(Sync!$AE1851&gt;=10000101,Sync!$AE1851&lt;=99991231),INT(Sync!$AE1851/10000),""),IFERROR(VALUE(TRIM(LEFT(Sync!$AE1851,FIND("/",Sync!$AE1851)-1))),""))))</f>
        <v/>
      </c>
      <c r="H1851">
        <f>IF(OR($F1851="",$G1851=""),"",IF(ISNUMBER(Sync!$AE1851),INT(MOD(Sync!$AE1851,10000)/100),IFERROR(VALUE(TRIM(LEFT(MID(Sync!$AE1851,FIND("/",Sync!$AE1851)+1,20),FIND("/",MID(Sync!$AE1851,FIND("/",Sync!$AE1851)+1,20))-1))),"")))</f>
        <v/>
      </c>
      <c r="I1851">
        <f>IF(OR($F1851="",$G1851=""),"",IF(ISNUMBER(Sync!$AE1851),MOD(Sync!$AE1851,100),IFERROR(VALUE(TRIM(MID(MID(Sync!$AE1851,FIND("/",Sync!$AE1851)+1,20),FIND("/",MID(Sync!$AE1851,FIND("/",Sync!$AE1851)+1,20))+1,20))),"")))</f>
        <v/>
      </c>
      <c r="J1851">
        <f>IF($F1851="","",IF(OR($G1851="",$H1851="",$I1851="",$G1851&lt;1300,$G1851&gt;1500,$H1851&lt;1,$H1851&gt;12,$I1851&lt;1,$I1851&gt;31),"نامعتبر",RIGHT("0000"&amp;$G1851,4)&amp;"/"&amp;RIGHT("00"&amp;$H1851,2)&amp;"/"&amp;RIGHT("00"&amp;$I1851,2)))</f>
        <v/>
      </c>
      <c r="K1851">
        <f>IF(OR($F1851="",$J1851="",$J1851="نامعتبر"),"",LEFT($J1851,4)&amp;MID($J1851,6,2)&amp;RIGHT($J1851,2)&amp;$N1851&amp;"|"&amp;"2"&amp;RIGHT("00000"&amp;1846,5))</f>
        <v/>
      </c>
      <c r="L1851">
        <f>IF($K1851="","",COUNTIFS(LdgSellerA,$F1851,LdgKeyA,"&lt;"&amp;$K1851)+COUNTIFS(LdgSellerB,$F1851,LdgKeyB,"&lt;"&amp;$K1851)+1)</f>
        <v/>
      </c>
      <c r="M1851">
        <f>IF($L1851="","",$F1851&amp;"|"&amp;RIGHT("000000"&amp;$L1851,6))</f>
        <v/>
      </c>
      <c r="N1851">
        <f>IF($F1851="","",IF(Sync!$AF1851="","0000",IF(AND(ISNUMBER(Sync!$AF1851),Sync!$AF1851&gt;=0,Sync!$AF1851&lt;1),RIGHT("00"&amp;HOUR(Sync!$AF1851),2)&amp;RIGHT("00"&amp;MINUTE(Sync!$AF1851),2),IFERROR(RIGHT("00"&amp;VALUE(LEFT(Sync!$AF1851,FIND(":",Sync!$AF1851)-1)),2)&amp;RIGHT("00"&amp;VALUE(MID(Sync!$AF1851,FIND(":",Sync!$AF1851)+1,2)),2),"0000"))))</f>
        <v/>
      </c>
    </row>
    <row r="1852">
      <c r="A1852">
        <f>IF(OR(Calc!$E1856="",Calc!$E1856="نامعتبر",Calc!$G1856=""),"",Calc!$G1856)</f>
        <v/>
      </c>
      <c r="B1852">
        <f>IF($A1852="","",LEFT(Calc!$E1856,4)&amp;MID(Calc!$E1856,6,2)&amp;RIGHT(Calc!$E1856,2)&amp;Calc!$Q1856&amp;"|"&amp;"1"&amp;RIGHT("00000"&amp;1847,5))</f>
        <v/>
      </c>
      <c r="C1852">
        <f>IF($B1852="","",COUNTIFS(LdgSellerA,$A1852,LdgKeyA,"&lt;"&amp;$B1852)+COUNTIFS(LdgSellerB,$A1852,LdgKeyB,"&lt;"&amp;$B1852)+1)</f>
        <v/>
      </c>
      <c r="D1852">
        <f>IF($C1852="","",$A1852&amp;"|"&amp;RIGHT("000000"&amp;$C1852,6))</f>
        <v/>
      </c>
      <c r="F1852">
        <f>IF(Sync!$AH1852="","",IF(LEFT(UPPER(TRIM(Sync!$AH1852)),2)="SL",UPPER(TRIM(Sync!$AH1852)),""))</f>
        <v/>
      </c>
      <c r="G1852">
        <f>IF($F1852="","",IF(Sync!$AE1852="","",IF(ISNUMBER(Sync!$AE1852),IF(AND(Sync!$AE1852&gt;=10000101,Sync!$AE1852&lt;=99991231),INT(Sync!$AE1852/10000),""),IFERROR(VALUE(TRIM(LEFT(Sync!$AE1852,FIND("/",Sync!$AE1852)-1))),""))))</f>
        <v/>
      </c>
      <c r="H1852">
        <f>IF(OR($F1852="",$G1852=""),"",IF(ISNUMBER(Sync!$AE1852),INT(MOD(Sync!$AE1852,10000)/100),IFERROR(VALUE(TRIM(LEFT(MID(Sync!$AE1852,FIND("/",Sync!$AE1852)+1,20),FIND("/",MID(Sync!$AE1852,FIND("/",Sync!$AE1852)+1,20))-1))),"")))</f>
        <v/>
      </c>
      <c r="I1852">
        <f>IF(OR($F1852="",$G1852=""),"",IF(ISNUMBER(Sync!$AE1852),MOD(Sync!$AE1852,100),IFERROR(VALUE(TRIM(MID(MID(Sync!$AE1852,FIND("/",Sync!$AE1852)+1,20),FIND("/",MID(Sync!$AE1852,FIND("/",Sync!$AE1852)+1,20))+1,20))),"")))</f>
        <v/>
      </c>
      <c r="J1852">
        <f>IF($F1852="","",IF(OR($G1852="",$H1852="",$I1852="",$G1852&lt;1300,$G1852&gt;1500,$H1852&lt;1,$H1852&gt;12,$I1852&lt;1,$I1852&gt;31),"نامعتبر",RIGHT("0000"&amp;$G1852,4)&amp;"/"&amp;RIGHT("00"&amp;$H1852,2)&amp;"/"&amp;RIGHT("00"&amp;$I1852,2)))</f>
        <v/>
      </c>
      <c r="K1852">
        <f>IF(OR($F1852="",$J1852="",$J1852="نامعتبر"),"",LEFT($J1852,4)&amp;MID($J1852,6,2)&amp;RIGHT($J1852,2)&amp;$N1852&amp;"|"&amp;"2"&amp;RIGHT("00000"&amp;1847,5))</f>
        <v/>
      </c>
      <c r="L1852">
        <f>IF($K1852="","",COUNTIFS(LdgSellerA,$F1852,LdgKeyA,"&lt;"&amp;$K1852)+COUNTIFS(LdgSellerB,$F1852,LdgKeyB,"&lt;"&amp;$K1852)+1)</f>
        <v/>
      </c>
      <c r="M1852">
        <f>IF($L1852="","",$F1852&amp;"|"&amp;RIGHT("000000"&amp;$L1852,6))</f>
        <v/>
      </c>
      <c r="N1852">
        <f>IF($F1852="","",IF(Sync!$AF1852="","0000",IF(AND(ISNUMBER(Sync!$AF1852),Sync!$AF1852&gt;=0,Sync!$AF1852&lt;1),RIGHT("00"&amp;HOUR(Sync!$AF1852),2)&amp;RIGHT("00"&amp;MINUTE(Sync!$AF1852),2),IFERROR(RIGHT("00"&amp;VALUE(LEFT(Sync!$AF1852,FIND(":",Sync!$AF1852)-1)),2)&amp;RIGHT("00"&amp;VALUE(MID(Sync!$AF1852,FIND(":",Sync!$AF1852)+1,2)),2),"0000"))))</f>
        <v/>
      </c>
    </row>
    <row r="1853">
      <c r="A1853">
        <f>IF(OR(Calc!$E1857="",Calc!$E1857="نامعتبر",Calc!$G1857=""),"",Calc!$G1857)</f>
        <v/>
      </c>
      <c r="B1853">
        <f>IF($A1853="","",LEFT(Calc!$E1857,4)&amp;MID(Calc!$E1857,6,2)&amp;RIGHT(Calc!$E1857,2)&amp;Calc!$Q1857&amp;"|"&amp;"1"&amp;RIGHT("00000"&amp;1848,5))</f>
        <v/>
      </c>
      <c r="C1853">
        <f>IF($B1853="","",COUNTIFS(LdgSellerA,$A1853,LdgKeyA,"&lt;"&amp;$B1853)+COUNTIFS(LdgSellerB,$A1853,LdgKeyB,"&lt;"&amp;$B1853)+1)</f>
        <v/>
      </c>
      <c r="D1853">
        <f>IF($C1853="","",$A1853&amp;"|"&amp;RIGHT("000000"&amp;$C1853,6))</f>
        <v/>
      </c>
      <c r="F1853">
        <f>IF(Sync!$AH1853="","",IF(LEFT(UPPER(TRIM(Sync!$AH1853)),2)="SL",UPPER(TRIM(Sync!$AH1853)),""))</f>
        <v/>
      </c>
      <c r="G1853">
        <f>IF($F1853="","",IF(Sync!$AE1853="","",IF(ISNUMBER(Sync!$AE1853),IF(AND(Sync!$AE1853&gt;=10000101,Sync!$AE1853&lt;=99991231),INT(Sync!$AE1853/10000),""),IFERROR(VALUE(TRIM(LEFT(Sync!$AE1853,FIND("/",Sync!$AE1853)-1))),""))))</f>
        <v/>
      </c>
      <c r="H1853">
        <f>IF(OR($F1853="",$G1853=""),"",IF(ISNUMBER(Sync!$AE1853),INT(MOD(Sync!$AE1853,10000)/100),IFERROR(VALUE(TRIM(LEFT(MID(Sync!$AE1853,FIND("/",Sync!$AE1853)+1,20),FIND("/",MID(Sync!$AE1853,FIND("/",Sync!$AE1853)+1,20))-1))),"")))</f>
        <v/>
      </c>
      <c r="I1853">
        <f>IF(OR($F1853="",$G1853=""),"",IF(ISNUMBER(Sync!$AE1853),MOD(Sync!$AE1853,100),IFERROR(VALUE(TRIM(MID(MID(Sync!$AE1853,FIND("/",Sync!$AE1853)+1,20),FIND("/",MID(Sync!$AE1853,FIND("/",Sync!$AE1853)+1,20))+1,20))),"")))</f>
        <v/>
      </c>
      <c r="J1853">
        <f>IF($F1853="","",IF(OR($G1853="",$H1853="",$I1853="",$G1853&lt;1300,$G1853&gt;1500,$H1853&lt;1,$H1853&gt;12,$I1853&lt;1,$I1853&gt;31),"نامعتبر",RIGHT("0000"&amp;$G1853,4)&amp;"/"&amp;RIGHT("00"&amp;$H1853,2)&amp;"/"&amp;RIGHT("00"&amp;$I1853,2)))</f>
        <v/>
      </c>
      <c r="K1853">
        <f>IF(OR($F1853="",$J1853="",$J1853="نامعتبر"),"",LEFT($J1853,4)&amp;MID($J1853,6,2)&amp;RIGHT($J1853,2)&amp;$N1853&amp;"|"&amp;"2"&amp;RIGHT("00000"&amp;1848,5))</f>
        <v/>
      </c>
      <c r="L1853">
        <f>IF($K1853="","",COUNTIFS(LdgSellerA,$F1853,LdgKeyA,"&lt;"&amp;$K1853)+COUNTIFS(LdgSellerB,$F1853,LdgKeyB,"&lt;"&amp;$K1853)+1)</f>
        <v/>
      </c>
      <c r="M1853">
        <f>IF($L1853="","",$F1853&amp;"|"&amp;RIGHT("000000"&amp;$L1853,6))</f>
        <v/>
      </c>
      <c r="N1853">
        <f>IF($F1853="","",IF(Sync!$AF1853="","0000",IF(AND(ISNUMBER(Sync!$AF1853),Sync!$AF1853&gt;=0,Sync!$AF1853&lt;1),RIGHT("00"&amp;HOUR(Sync!$AF1853),2)&amp;RIGHT("00"&amp;MINUTE(Sync!$AF1853),2),IFERROR(RIGHT("00"&amp;VALUE(LEFT(Sync!$AF1853,FIND(":",Sync!$AF1853)-1)),2)&amp;RIGHT("00"&amp;VALUE(MID(Sync!$AF1853,FIND(":",Sync!$AF1853)+1,2)),2),"0000"))))</f>
        <v/>
      </c>
    </row>
    <row r="1854">
      <c r="A1854">
        <f>IF(OR(Calc!$E1858="",Calc!$E1858="نامعتبر",Calc!$G1858=""),"",Calc!$G1858)</f>
        <v/>
      </c>
      <c r="B1854">
        <f>IF($A1854="","",LEFT(Calc!$E1858,4)&amp;MID(Calc!$E1858,6,2)&amp;RIGHT(Calc!$E1858,2)&amp;Calc!$Q1858&amp;"|"&amp;"1"&amp;RIGHT("00000"&amp;1849,5))</f>
        <v/>
      </c>
      <c r="C1854">
        <f>IF($B1854="","",COUNTIFS(LdgSellerA,$A1854,LdgKeyA,"&lt;"&amp;$B1854)+COUNTIFS(LdgSellerB,$A1854,LdgKeyB,"&lt;"&amp;$B1854)+1)</f>
        <v/>
      </c>
      <c r="D1854">
        <f>IF($C1854="","",$A1854&amp;"|"&amp;RIGHT("000000"&amp;$C1854,6))</f>
        <v/>
      </c>
      <c r="F1854">
        <f>IF(Sync!$AH1854="","",IF(LEFT(UPPER(TRIM(Sync!$AH1854)),2)="SL",UPPER(TRIM(Sync!$AH1854)),""))</f>
        <v/>
      </c>
      <c r="G1854">
        <f>IF($F1854="","",IF(Sync!$AE1854="","",IF(ISNUMBER(Sync!$AE1854),IF(AND(Sync!$AE1854&gt;=10000101,Sync!$AE1854&lt;=99991231),INT(Sync!$AE1854/10000),""),IFERROR(VALUE(TRIM(LEFT(Sync!$AE1854,FIND("/",Sync!$AE1854)-1))),""))))</f>
        <v/>
      </c>
      <c r="H1854">
        <f>IF(OR($F1854="",$G1854=""),"",IF(ISNUMBER(Sync!$AE1854),INT(MOD(Sync!$AE1854,10000)/100),IFERROR(VALUE(TRIM(LEFT(MID(Sync!$AE1854,FIND("/",Sync!$AE1854)+1,20),FIND("/",MID(Sync!$AE1854,FIND("/",Sync!$AE1854)+1,20))-1))),"")))</f>
        <v/>
      </c>
      <c r="I1854">
        <f>IF(OR($F1854="",$G1854=""),"",IF(ISNUMBER(Sync!$AE1854),MOD(Sync!$AE1854,100),IFERROR(VALUE(TRIM(MID(MID(Sync!$AE1854,FIND("/",Sync!$AE1854)+1,20),FIND("/",MID(Sync!$AE1854,FIND("/",Sync!$AE1854)+1,20))+1,20))),"")))</f>
        <v/>
      </c>
      <c r="J1854">
        <f>IF($F1854="","",IF(OR($G1854="",$H1854="",$I1854="",$G1854&lt;1300,$G1854&gt;1500,$H1854&lt;1,$H1854&gt;12,$I1854&lt;1,$I1854&gt;31),"نامعتبر",RIGHT("0000"&amp;$G1854,4)&amp;"/"&amp;RIGHT("00"&amp;$H1854,2)&amp;"/"&amp;RIGHT("00"&amp;$I1854,2)))</f>
        <v/>
      </c>
      <c r="K1854">
        <f>IF(OR($F1854="",$J1854="",$J1854="نامعتبر"),"",LEFT($J1854,4)&amp;MID($J1854,6,2)&amp;RIGHT($J1854,2)&amp;$N1854&amp;"|"&amp;"2"&amp;RIGHT("00000"&amp;1849,5))</f>
        <v/>
      </c>
      <c r="L1854">
        <f>IF($K1854="","",COUNTIFS(LdgSellerA,$F1854,LdgKeyA,"&lt;"&amp;$K1854)+COUNTIFS(LdgSellerB,$F1854,LdgKeyB,"&lt;"&amp;$K1854)+1)</f>
        <v/>
      </c>
      <c r="M1854">
        <f>IF($L1854="","",$F1854&amp;"|"&amp;RIGHT("000000"&amp;$L1854,6))</f>
        <v/>
      </c>
      <c r="N1854">
        <f>IF($F1854="","",IF(Sync!$AF1854="","0000",IF(AND(ISNUMBER(Sync!$AF1854),Sync!$AF1854&gt;=0,Sync!$AF1854&lt;1),RIGHT("00"&amp;HOUR(Sync!$AF1854),2)&amp;RIGHT("00"&amp;MINUTE(Sync!$AF1854),2),IFERROR(RIGHT("00"&amp;VALUE(LEFT(Sync!$AF1854,FIND(":",Sync!$AF1854)-1)),2)&amp;RIGHT("00"&amp;VALUE(MID(Sync!$AF1854,FIND(":",Sync!$AF1854)+1,2)),2),"0000"))))</f>
        <v/>
      </c>
    </row>
    <row r="1855">
      <c r="A1855">
        <f>IF(OR(Calc!$E1859="",Calc!$E1859="نامعتبر",Calc!$G1859=""),"",Calc!$G1859)</f>
        <v/>
      </c>
      <c r="B1855">
        <f>IF($A1855="","",LEFT(Calc!$E1859,4)&amp;MID(Calc!$E1859,6,2)&amp;RIGHT(Calc!$E1859,2)&amp;Calc!$Q1859&amp;"|"&amp;"1"&amp;RIGHT("00000"&amp;1850,5))</f>
        <v/>
      </c>
      <c r="C1855">
        <f>IF($B1855="","",COUNTIFS(LdgSellerA,$A1855,LdgKeyA,"&lt;"&amp;$B1855)+COUNTIFS(LdgSellerB,$A1855,LdgKeyB,"&lt;"&amp;$B1855)+1)</f>
        <v/>
      </c>
      <c r="D1855">
        <f>IF($C1855="","",$A1855&amp;"|"&amp;RIGHT("000000"&amp;$C1855,6))</f>
        <v/>
      </c>
      <c r="F1855">
        <f>IF(Sync!$AH1855="","",IF(LEFT(UPPER(TRIM(Sync!$AH1855)),2)="SL",UPPER(TRIM(Sync!$AH1855)),""))</f>
        <v/>
      </c>
      <c r="G1855">
        <f>IF($F1855="","",IF(Sync!$AE1855="","",IF(ISNUMBER(Sync!$AE1855),IF(AND(Sync!$AE1855&gt;=10000101,Sync!$AE1855&lt;=99991231),INT(Sync!$AE1855/10000),""),IFERROR(VALUE(TRIM(LEFT(Sync!$AE1855,FIND("/",Sync!$AE1855)-1))),""))))</f>
        <v/>
      </c>
      <c r="H1855">
        <f>IF(OR($F1855="",$G1855=""),"",IF(ISNUMBER(Sync!$AE1855),INT(MOD(Sync!$AE1855,10000)/100),IFERROR(VALUE(TRIM(LEFT(MID(Sync!$AE1855,FIND("/",Sync!$AE1855)+1,20),FIND("/",MID(Sync!$AE1855,FIND("/",Sync!$AE1855)+1,20))-1))),"")))</f>
        <v/>
      </c>
      <c r="I1855">
        <f>IF(OR($F1855="",$G1855=""),"",IF(ISNUMBER(Sync!$AE1855),MOD(Sync!$AE1855,100),IFERROR(VALUE(TRIM(MID(MID(Sync!$AE1855,FIND("/",Sync!$AE1855)+1,20),FIND("/",MID(Sync!$AE1855,FIND("/",Sync!$AE1855)+1,20))+1,20))),"")))</f>
        <v/>
      </c>
      <c r="J1855">
        <f>IF($F1855="","",IF(OR($G1855="",$H1855="",$I1855="",$G1855&lt;1300,$G1855&gt;1500,$H1855&lt;1,$H1855&gt;12,$I1855&lt;1,$I1855&gt;31),"نامعتبر",RIGHT("0000"&amp;$G1855,4)&amp;"/"&amp;RIGHT("00"&amp;$H1855,2)&amp;"/"&amp;RIGHT("00"&amp;$I1855,2)))</f>
        <v/>
      </c>
      <c r="K1855">
        <f>IF(OR($F1855="",$J1855="",$J1855="نامعتبر"),"",LEFT($J1855,4)&amp;MID($J1855,6,2)&amp;RIGHT($J1855,2)&amp;$N1855&amp;"|"&amp;"2"&amp;RIGHT("00000"&amp;1850,5))</f>
        <v/>
      </c>
      <c r="L1855">
        <f>IF($K1855="","",COUNTIFS(LdgSellerA,$F1855,LdgKeyA,"&lt;"&amp;$K1855)+COUNTIFS(LdgSellerB,$F1855,LdgKeyB,"&lt;"&amp;$K1855)+1)</f>
        <v/>
      </c>
      <c r="M1855">
        <f>IF($L1855="","",$F1855&amp;"|"&amp;RIGHT("000000"&amp;$L1855,6))</f>
        <v/>
      </c>
      <c r="N1855">
        <f>IF($F1855="","",IF(Sync!$AF1855="","0000",IF(AND(ISNUMBER(Sync!$AF1855),Sync!$AF1855&gt;=0,Sync!$AF1855&lt;1),RIGHT("00"&amp;HOUR(Sync!$AF1855),2)&amp;RIGHT("00"&amp;MINUTE(Sync!$AF1855),2),IFERROR(RIGHT("00"&amp;VALUE(LEFT(Sync!$AF1855,FIND(":",Sync!$AF1855)-1)),2)&amp;RIGHT("00"&amp;VALUE(MID(Sync!$AF1855,FIND(":",Sync!$AF1855)+1,2)),2),"0000"))))</f>
        <v/>
      </c>
    </row>
    <row r="1856">
      <c r="A1856">
        <f>IF(OR(Calc!$E1860="",Calc!$E1860="نامعتبر",Calc!$G1860=""),"",Calc!$G1860)</f>
        <v/>
      </c>
      <c r="B1856">
        <f>IF($A1856="","",LEFT(Calc!$E1860,4)&amp;MID(Calc!$E1860,6,2)&amp;RIGHT(Calc!$E1860,2)&amp;Calc!$Q1860&amp;"|"&amp;"1"&amp;RIGHT("00000"&amp;1851,5))</f>
        <v/>
      </c>
      <c r="C1856">
        <f>IF($B1856="","",COUNTIFS(LdgSellerA,$A1856,LdgKeyA,"&lt;"&amp;$B1856)+COUNTIFS(LdgSellerB,$A1856,LdgKeyB,"&lt;"&amp;$B1856)+1)</f>
        <v/>
      </c>
      <c r="D1856">
        <f>IF($C1856="","",$A1856&amp;"|"&amp;RIGHT("000000"&amp;$C1856,6))</f>
        <v/>
      </c>
      <c r="F1856">
        <f>IF(Sync!$AH1856="","",IF(LEFT(UPPER(TRIM(Sync!$AH1856)),2)="SL",UPPER(TRIM(Sync!$AH1856)),""))</f>
        <v/>
      </c>
      <c r="G1856">
        <f>IF($F1856="","",IF(Sync!$AE1856="","",IF(ISNUMBER(Sync!$AE1856),IF(AND(Sync!$AE1856&gt;=10000101,Sync!$AE1856&lt;=99991231),INT(Sync!$AE1856/10000),""),IFERROR(VALUE(TRIM(LEFT(Sync!$AE1856,FIND("/",Sync!$AE1856)-1))),""))))</f>
        <v/>
      </c>
      <c r="H1856">
        <f>IF(OR($F1856="",$G1856=""),"",IF(ISNUMBER(Sync!$AE1856),INT(MOD(Sync!$AE1856,10000)/100),IFERROR(VALUE(TRIM(LEFT(MID(Sync!$AE1856,FIND("/",Sync!$AE1856)+1,20),FIND("/",MID(Sync!$AE1856,FIND("/",Sync!$AE1856)+1,20))-1))),"")))</f>
        <v/>
      </c>
      <c r="I1856">
        <f>IF(OR($F1856="",$G1856=""),"",IF(ISNUMBER(Sync!$AE1856),MOD(Sync!$AE1856,100),IFERROR(VALUE(TRIM(MID(MID(Sync!$AE1856,FIND("/",Sync!$AE1856)+1,20),FIND("/",MID(Sync!$AE1856,FIND("/",Sync!$AE1856)+1,20))+1,20))),"")))</f>
        <v/>
      </c>
      <c r="J1856">
        <f>IF($F1856="","",IF(OR($G1856="",$H1856="",$I1856="",$G1856&lt;1300,$G1856&gt;1500,$H1856&lt;1,$H1856&gt;12,$I1856&lt;1,$I1856&gt;31),"نامعتبر",RIGHT("0000"&amp;$G1856,4)&amp;"/"&amp;RIGHT("00"&amp;$H1856,2)&amp;"/"&amp;RIGHT("00"&amp;$I1856,2)))</f>
        <v/>
      </c>
      <c r="K1856">
        <f>IF(OR($F1856="",$J1856="",$J1856="نامعتبر"),"",LEFT($J1856,4)&amp;MID($J1856,6,2)&amp;RIGHT($J1856,2)&amp;$N1856&amp;"|"&amp;"2"&amp;RIGHT("00000"&amp;1851,5))</f>
        <v/>
      </c>
      <c r="L1856">
        <f>IF($K1856="","",COUNTIFS(LdgSellerA,$F1856,LdgKeyA,"&lt;"&amp;$K1856)+COUNTIFS(LdgSellerB,$F1856,LdgKeyB,"&lt;"&amp;$K1856)+1)</f>
        <v/>
      </c>
      <c r="M1856">
        <f>IF($L1856="","",$F1856&amp;"|"&amp;RIGHT("000000"&amp;$L1856,6))</f>
        <v/>
      </c>
      <c r="N1856">
        <f>IF($F1856="","",IF(Sync!$AF1856="","0000",IF(AND(ISNUMBER(Sync!$AF1856),Sync!$AF1856&gt;=0,Sync!$AF1856&lt;1),RIGHT("00"&amp;HOUR(Sync!$AF1856),2)&amp;RIGHT("00"&amp;MINUTE(Sync!$AF1856),2),IFERROR(RIGHT("00"&amp;VALUE(LEFT(Sync!$AF1856,FIND(":",Sync!$AF1856)-1)),2)&amp;RIGHT("00"&amp;VALUE(MID(Sync!$AF1856,FIND(":",Sync!$AF1856)+1,2)),2),"0000"))))</f>
        <v/>
      </c>
    </row>
    <row r="1857">
      <c r="A1857">
        <f>IF(OR(Calc!$E1861="",Calc!$E1861="نامعتبر",Calc!$G1861=""),"",Calc!$G1861)</f>
        <v/>
      </c>
      <c r="B1857">
        <f>IF($A1857="","",LEFT(Calc!$E1861,4)&amp;MID(Calc!$E1861,6,2)&amp;RIGHT(Calc!$E1861,2)&amp;Calc!$Q1861&amp;"|"&amp;"1"&amp;RIGHT("00000"&amp;1852,5))</f>
        <v/>
      </c>
      <c r="C1857">
        <f>IF($B1857="","",COUNTIFS(LdgSellerA,$A1857,LdgKeyA,"&lt;"&amp;$B1857)+COUNTIFS(LdgSellerB,$A1857,LdgKeyB,"&lt;"&amp;$B1857)+1)</f>
        <v/>
      </c>
      <c r="D1857">
        <f>IF($C1857="","",$A1857&amp;"|"&amp;RIGHT("000000"&amp;$C1857,6))</f>
        <v/>
      </c>
      <c r="F1857">
        <f>IF(Sync!$AH1857="","",IF(LEFT(UPPER(TRIM(Sync!$AH1857)),2)="SL",UPPER(TRIM(Sync!$AH1857)),""))</f>
        <v/>
      </c>
      <c r="G1857">
        <f>IF($F1857="","",IF(Sync!$AE1857="","",IF(ISNUMBER(Sync!$AE1857),IF(AND(Sync!$AE1857&gt;=10000101,Sync!$AE1857&lt;=99991231),INT(Sync!$AE1857/10000),""),IFERROR(VALUE(TRIM(LEFT(Sync!$AE1857,FIND("/",Sync!$AE1857)-1))),""))))</f>
        <v/>
      </c>
      <c r="H1857">
        <f>IF(OR($F1857="",$G1857=""),"",IF(ISNUMBER(Sync!$AE1857),INT(MOD(Sync!$AE1857,10000)/100),IFERROR(VALUE(TRIM(LEFT(MID(Sync!$AE1857,FIND("/",Sync!$AE1857)+1,20),FIND("/",MID(Sync!$AE1857,FIND("/",Sync!$AE1857)+1,20))-1))),"")))</f>
        <v/>
      </c>
      <c r="I1857">
        <f>IF(OR($F1857="",$G1857=""),"",IF(ISNUMBER(Sync!$AE1857),MOD(Sync!$AE1857,100),IFERROR(VALUE(TRIM(MID(MID(Sync!$AE1857,FIND("/",Sync!$AE1857)+1,20),FIND("/",MID(Sync!$AE1857,FIND("/",Sync!$AE1857)+1,20))+1,20))),"")))</f>
        <v/>
      </c>
      <c r="J1857">
        <f>IF($F1857="","",IF(OR($G1857="",$H1857="",$I1857="",$G1857&lt;1300,$G1857&gt;1500,$H1857&lt;1,$H1857&gt;12,$I1857&lt;1,$I1857&gt;31),"نامعتبر",RIGHT("0000"&amp;$G1857,4)&amp;"/"&amp;RIGHT("00"&amp;$H1857,2)&amp;"/"&amp;RIGHT("00"&amp;$I1857,2)))</f>
        <v/>
      </c>
      <c r="K1857">
        <f>IF(OR($F1857="",$J1857="",$J1857="نامعتبر"),"",LEFT($J1857,4)&amp;MID($J1857,6,2)&amp;RIGHT($J1857,2)&amp;$N1857&amp;"|"&amp;"2"&amp;RIGHT("00000"&amp;1852,5))</f>
        <v/>
      </c>
      <c r="L1857">
        <f>IF($K1857="","",COUNTIFS(LdgSellerA,$F1857,LdgKeyA,"&lt;"&amp;$K1857)+COUNTIFS(LdgSellerB,$F1857,LdgKeyB,"&lt;"&amp;$K1857)+1)</f>
        <v/>
      </c>
      <c r="M1857">
        <f>IF($L1857="","",$F1857&amp;"|"&amp;RIGHT("000000"&amp;$L1857,6))</f>
        <v/>
      </c>
      <c r="N1857">
        <f>IF($F1857="","",IF(Sync!$AF1857="","0000",IF(AND(ISNUMBER(Sync!$AF1857),Sync!$AF1857&gt;=0,Sync!$AF1857&lt;1),RIGHT("00"&amp;HOUR(Sync!$AF1857),2)&amp;RIGHT("00"&amp;MINUTE(Sync!$AF1857),2),IFERROR(RIGHT("00"&amp;VALUE(LEFT(Sync!$AF1857,FIND(":",Sync!$AF1857)-1)),2)&amp;RIGHT("00"&amp;VALUE(MID(Sync!$AF1857,FIND(":",Sync!$AF1857)+1,2)),2),"0000"))))</f>
        <v/>
      </c>
    </row>
    <row r="1858">
      <c r="A1858">
        <f>IF(OR(Calc!$E1862="",Calc!$E1862="نامعتبر",Calc!$G1862=""),"",Calc!$G1862)</f>
        <v/>
      </c>
      <c r="B1858">
        <f>IF($A1858="","",LEFT(Calc!$E1862,4)&amp;MID(Calc!$E1862,6,2)&amp;RIGHT(Calc!$E1862,2)&amp;Calc!$Q1862&amp;"|"&amp;"1"&amp;RIGHT("00000"&amp;1853,5))</f>
        <v/>
      </c>
      <c r="C1858">
        <f>IF($B1858="","",COUNTIFS(LdgSellerA,$A1858,LdgKeyA,"&lt;"&amp;$B1858)+COUNTIFS(LdgSellerB,$A1858,LdgKeyB,"&lt;"&amp;$B1858)+1)</f>
        <v/>
      </c>
      <c r="D1858">
        <f>IF($C1858="","",$A1858&amp;"|"&amp;RIGHT("000000"&amp;$C1858,6))</f>
        <v/>
      </c>
      <c r="F1858">
        <f>IF(Sync!$AH1858="","",IF(LEFT(UPPER(TRIM(Sync!$AH1858)),2)="SL",UPPER(TRIM(Sync!$AH1858)),""))</f>
        <v/>
      </c>
      <c r="G1858">
        <f>IF($F1858="","",IF(Sync!$AE1858="","",IF(ISNUMBER(Sync!$AE1858),IF(AND(Sync!$AE1858&gt;=10000101,Sync!$AE1858&lt;=99991231),INT(Sync!$AE1858/10000),""),IFERROR(VALUE(TRIM(LEFT(Sync!$AE1858,FIND("/",Sync!$AE1858)-1))),""))))</f>
        <v/>
      </c>
      <c r="H1858">
        <f>IF(OR($F1858="",$G1858=""),"",IF(ISNUMBER(Sync!$AE1858),INT(MOD(Sync!$AE1858,10000)/100),IFERROR(VALUE(TRIM(LEFT(MID(Sync!$AE1858,FIND("/",Sync!$AE1858)+1,20),FIND("/",MID(Sync!$AE1858,FIND("/",Sync!$AE1858)+1,20))-1))),"")))</f>
        <v/>
      </c>
      <c r="I1858">
        <f>IF(OR($F1858="",$G1858=""),"",IF(ISNUMBER(Sync!$AE1858),MOD(Sync!$AE1858,100),IFERROR(VALUE(TRIM(MID(MID(Sync!$AE1858,FIND("/",Sync!$AE1858)+1,20),FIND("/",MID(Sync!$AE1858,FIND("/",Sync!$AE1858)+1,20))+1,20))),"")))</f>
        <v/>
      </c>
      <c r="J1858">
        <f>IF($F1858="","",IF(OR($G1858="",$H1858="",$I1858="",$G1858&lt;1300,$G1858&gt;1500,$H1858&lt;1,$H1858&gt;12,$I1858&lt;1,$I1858&gt;31),"نامعتبر",RIGHT("0000"&amp;$G1858,4)&amp;"/"&amp;RIGHT("00"&amp;$H1858,2)&amp;"/"&amp;RIGHT("00"&amp;$I1858,2)))</f>
        <v/>
      </c>
      <c r="K1858">
        <f>IF(OR($F1858="",$J1858="",$J1858="نامعتبر"),"",LEFT($J1858,4)&amp;MID($J1858,6,2)&amp;RIGHT($J1858,2)&amp;$N1858&amp;"|"&amp;"2"&amp;RIGHT("00000"&amp;1853,5))</f>
        <v/>
      </c>
      <c r="L1858">
        <f>IF($K1858="","",COUNTIFS(LdgSellerA,$F1858,LdgKeyA,"&lt;"&amp;$K1858)+COUNTIFS(LdgSellerB,$F1858,LdgKeyB,"&lt;"&amp;$K1858)+1)</f>
        <v/>
      </c>
      <c r="M1858">
        <f>IF($L1858="","",$F1858&amp;"|"&amp;RIGHT("000000"&amp;$L1858,6))</f>
        <v/>
      </c>
      <c r="N1858">
        <f>IF($F1858="","",IF(Sync!$AF1858="","0000",IF(AND(ISNUMBER(Sync!$AF1858),Sync!$AF1858&gt;=0,Sync!$AF1858&lt;1),RIGHT("00"&amp;HOUR(Sync!$AF1858),2)&amp;RIGHT("00"&amp;MINUTE(Sync!$AF1858),2),IFERROR(RIGHT("00"&amp;VALUE(LEFT(Sync!$AF1858,FIND(":",Sync!$AF1858)-1)),2)&amp;RIGHT("00"&amp;VALUE(MID(Sync!$AF1858,FIND(":",Sync!$AF1858)+1,2)),2),"0000"))))</f>
        <v/>
      </c>
    </row>
    <row r="1859">
      <c r="A1859">
        <f>IF(OR(Calc!$E1863="",Calc!$E1863="نامعتبر",Calc!$G1863=""),"",Calc!$G1863)</f>
        <v/>
      </c>
      <c r="B1859">
        <f>IF($A1859="","",LEFT(Calc!$E1863,4)&amp;MID(Calc!$E1863,6,2)&amp;RIGHT(Calc!$E1863,2)&amp;Calc!$Q1863&amp;"|"&amp;"1"&amp;RIGHT("00000"&amp;1854,5))</f>
        <v/>
      </c>
      <c r="C1859">
        <f>IF($B1859="","",COUNTIFS(LdgSellerA,$A1859,LdgKeyA,"&lt;"&amp;$B1859)+COUNTIFS(LdgSellerB,$A1859,LdgKeyB,"&lt;"&amp;$B1859)+1)</f>
        <v/>
      </c>
      <c r="D1859">
        <f>IF($C1859="","",$A1859&amp;"|"&amp;RIGHT("000000"&amp;$C1859,6))</f>
        <v/>
      </c>
      <c r="F1859">
        <f>IF(Sync!$AH1859="","",IF(LEFT(UPPER(TRIM(Sync!$AH1859)),2)="SL",UPPER(TRIM(Sync!$AH1859)),""))</f>
        <v/>
      </c>
      <c r="G1859">
        <f>IF($F1859="","",IF(Sync!$AE1859="","",IF(ISNUMBER(Sync!$AE1859),IF(AND(Sync!$AE1859&gt;=10000101,Sync!$AE1859&lt;=99991231),INT(Sync!$AE1859/10000),""),IFERROR(VALUE(TRIM(LEFT(Sync!$AE1859,FIND("/",Sync!$AE1859)-1))),""))))</f>
        <v/>
      </c>
      <c r="H1859">
        <f>IF(OR($F1859="",$G1859=""),"",IF(ISNUMBER(Sync!$AE1859),INT(MOD(Sync!$AE1859,10000)/100),IFERROR(VALUE(TRIM(LEFT(MID(Sync!$AE1859,FIND("/",Sync!$AE1859)+1,20),FIND("/",MID(Sync!$AE1859,FIND("/",Sync!$AE1859)+1,20))-1))),"")))</f>
        <v/>
      </c>
      <c r="I1859">
        <f>IF(OR($F1859="",$G1859=""),"",IF(ISNUMBER(Sync!$AE1859),MOD(Sync!$AE1859,100),IFERROR(VALUE(TRIM(MID(MID(Sync!$AE1859,FIND("/",Sync!$AE1859)+1,20),FIND("/",MID(Sync!$AE1859,FIND("/",Sync!$AE1859)+1,20))+1,20))),"")))</f>
        <v/>
      </c>
      <c r="J1859">
        <f>IF($F1859="","",IF(OR($G1859="",$H1859="",$I1859="",$G1859&lt;1300,$G1859&gt;1500,$H1859&lt;1,$H1859&gt;12,$I1859&lt;1,$I1859&gt;31),"نامعتبر",RIGHT("0000"&amp;$G1859,4)&amp;"/"&amp;RIGHT("00"&amp;$H1859,2)&amp;"/"&amp;RIGHT("00"&amp;$I1859,2)))</f>
        <v/>
      </c>
      <c r="K1859">
        <f>IF(OR($F1859="",$J1859="",$J1859="نامعتبر"),"",LEFT($J1859,4)&amp;MID($J1859,6,2)&amp;RIGHT($J1859,2)&amp;$N1859&amp;"|"&amp;"2"&amp;RIGHT("00000"&amp;1854,5))</f>
        <v/>
      </c>
      <c r="L1859">
        <f>IF($K1859="","",COUNTIFS(LdgSellerA,$F1859,LdgKeyA,"&lt;"&amp;$K1859)+COUNTIFS(LdgSellerB,$F1859,LdgKeyB,"&lt;"&amp;$K1859)+1)</f>
        <v/>
      </c>
      <c r="M1859">
        <f>IF($L1859="","",$F1859&amp;"|"&amp;RIGHT("000000"&amp;$L1859,6))</f>
        <v/>
      </c>
      <c r="N1859">
        <f>IF($F1859="","",IF(Sync!$AF1859="","0000",IF(AND(ISNUMBER(Sync!$AF1859),Sync!$AF1859&gt;=0,Sync!$AF1859&lt;1),RIGHT("00"&amp;HOUR(Sync!$AF1859),2)&amp;RIGHT("00"&amp;MINUTE(Sync!$AF1859),2),IFERROR(RIGHT("00"&amp;VALUE(LEFT(Sync!$AF1859,FIND(":",Sync!$AF1859)-1)),2)&amp;RIGHT("00"&amp;VALUE(MID(Sync!$AF1859,FIND(":",Sync!$AF1859)+1,2)),2),"0000"))))</f>
        <v/>
      </c>
    </row>
    <row r="1860">
      <c r="A1860">
        <f>IF(OR(Calc!$E1864="",Calc!$E1864="نامعتبر",Calc!$G1864=""),"",Calc!$G1864)</f>
        <v/>
      </c>
      <c r="B1860">
        <f>IF($A1860="","",LEFT(Calc!$E1864,4)&amp;MID(Calc!$E1864,6,2)&amp;RIGHT(Calc!$E1864,2)&amp;Calc!$Q1864&amp;"|"&amp;"1"&amp;RIGHT("00000"&amp;1855,5))</f>
        <v/>
      </c>
      <c r="C1860">
        <f>IF($B1860="","",COUNTIFS(LdgSellerA,$A1860,LdgKeyA,"&lt;"&amp;$B1860)+COUNTIFS(LdgSellerB,$A1860,LdgKeyB,"&lt;"&amp;$B1860)+1)</f>
        <v/>
      </c>
      <c r="D1860">
        <f>IF($C1860="","",$A1860&amp;"|"&amp;RIGHT("000000"&amp;$C1860,6))</f>
        <v/>
      </c>
      <c r="F1860">
        <f>IF(Sync!$AH1860="","",IF(LEFT(UPPER(TRIM(Sync!$AH1860)),2)="SL",UPPER(TRIM(Sync!$AH1860)),""))</f>
        <v/>
      </c>
      <c r="G1860">
        <f>IF($F1860="","",IF(Sync!$AE1860="","",IF(ISNUMBER(Sync!$AE1860),IF(AND(Sync!$AE1860&gt;=10000101,Sync!$AE1860&lt;=99991231),INT(Sync!$AE1860/10000),""),IFERROR(VALUE(TRIM(LEFT(Sync!$AE1860,FIND("/",Sync!$AE1860)-1))),""))))</f>
        <v/>
      </c>
      <c r="H1860">
        <f>IF(OR($F1860="",$G1860=""),"",IF(ISNUMBER(Sync!$AE1860),INT(MOD(Sync!$AE1860,10000)/100),IFERROR(VALUE(TRIM(LEFT(MID(Sync!$AE1860,FIND("/",Sync!$AE1860)+1,20),FIND("/",MID(Sync!$AE1860,FIND("/",Sync!$AE1860)+1,20))-1))),"")))</f>
        <v/>
      </c>
      <c r="I1860">
        <f>IF(OR($F1860="",$G1860=""),"",IF(ISNUMBER(Sync!$AE1860),MOD(Sync!$AE1860,100),IFERROR(VALUE(TRIM(MID(MID(Sync!$AE1860,FIND("/",Sync!$AE1860)+1,20),FIND("/",MID(Sync!$AE1860,FIND("/",Sync!$AE1860)+1,20))+1,20))),"")))</f>
        <v/>
      </c>
      <c r="J1860">
        <f>IF($F1860="","",IF(OR($G1860="",$H1860="",$I1860="",$G1860&lt;1300,$G1860&gt;1500,$H1860&lt;1,$H1860&gt;12,$I1860&lt;1,$I1860&gt;31),"نامعتبر",RIGHT("0000"&amp;$G1860,4)&amp;"/"&amp;RIGHT("00"&amp;$H1860,2)&amp;"/"&amp;RIGHT("00"&amp;$I1860,2)))</f>
        <v/>
      </c>
      <c r="K1860">
        <f>IF(OR($F1860="",$J1860="",$J1860="نامعتبر"),"",LEFT($J1860,4)&amp;MID($J1860,6,2)&amp;RIGHT($J1860,2)&amp;$N1860&amp;"|"&amp;"2"&amp;RIGHT("00000"&amp;1855,5))</f>
        <v/>
      </c>
      <c r="L1860">
        <f>IF($K1860="","",COUNTIFS(LdgSellerA,$F1860,LdgKeyA,"&lt;"&amp;$K1860)+COUNTIFS(LdgSellerB,$F1860,LdgKeyB,"&lt;"&amp;$K1860)+1)</f>
        <v/>
      </c>
      <c r="M1860">
        <f>IF($L1860="","",$F1860&amp;"|"&amp;RIGHT("000000"&amp;$L1860,6))</f>
        <v/>
      </c>
      <c r="N1860">
        <f>IF($F1860="","",IF(Sync!$AF1860="","0000",IF(AND(ISNUMBER(Sync!$AF1860),Sync!$AF1860&gt;=0,Sync!$AF1860&lt;1),RIGHT("00"&amp;HOUR(Sync!$AF1860),2)&amp;RIGHT("00"&amp;MINUTE(Sync!$AF1860),2),IFERROR(RIGHT("00"&amp;VALUE(LEFT(Sync!$AF1860,FIND(":",Sync!$AF1860)-1)),2)&amp;RIGHT("00"&amp;VALUE(MID(Sync!$AF1860,FIND(":",Sync!$AF1860)+1,2)),2),"0000"))))</f>
        <v/>
      </c>
    </row>
    <row r="1861">
      <c r="A1861">
        <f>IF(OR(Calc!$E1865="",Calc!$E1865="نامعتبر",Calc!$G1865=""),"",Calc!$G1865)</f>
        <v/>
      </c>
      <c r="B1861">
        <f>IF($A1861="","",LEFT(Calc!$E1865,4)&amp;MID(Calc!$E1865,6,2)&amp;RIGHT(Calc!$E1865,2)&amp;Calc!$Q1865&amp;"|"&amp;"1"&amp;RIGHT("00000"&amp;1856,5))</f>
        <v/>
      </c>
      <c r="C1861">
        <f>IF($B1861="","",COUNTIFS(LdgSellerA,$A1861,LdgKeyA,"&lt;"&amp;$B1861)+COUNTIFS(LdgSellerB,$A1861,LdgKeyB,"&lt;"&amp;$B1861)+1)</f>
        <v/>
      </c>
      <c r="D1861">
        <f>IF($C1861="","",$A1861&amp;"|"&amp;RIGHT("000000"&amp;$C1861,6))</f>
        <v/>
      </c>
      <c r="F1861">
        <f>IF(Sync!$AH1861="","",IF(LEFT(UPPER(TRIM(Sync!$AH1861)),2)="SL",UPPER(TRIM(Sync!$AH1861)),""))</f>
        <v/>
      </c>
      <c r="G1861">
        <f>IF($F1861="","",IF(Sync!$AE1861="","",IF(ISNUMBER(Sync!$AE1861),IF(AND(Sync!$AE1861&gt;=10000101,Sync!$AE1861&lt;=99991231),INT(Sync!$AE1861/10000),""),IFERROR(VALUE(TRIM(LEFT(Sync!$AE1861,FIND("/",Sync!$AE1861)-1))),""))))</f>
        <v/>
      </c>
      <c r="H1861">
        <f>IF(OR($F1861="",$G1861=""),"",IF(ISNUMBER(Sync!$AE1861),INT(MOD(Sync!$AE1861,10000)/100),IFERROR(VALUE(TRIM(LEFT(MID(Sync!$AE1861,FIND("/",Sync!$AE1861)+1,20),FIND("/",MID(Sync!$AE1861,FIND("/",Sync!$AE1861)+1,20))-1))),"")))</f>
        <v/>
      </c>
      <c r="I1861">
        <f>IF(OR($F1861="",$G1861=""),"",IF(ISNUMBER(Sync!$AE1861),MOD(Sync!$AE1861,100),IFERROR(VALUE(TRIM(MID(MID(Sync!$AE1861,FIND("/",Sync!$AE1861)+1,20),FIND("/",MID(Sync!$AE1861,FIND("/",Sync!$AE1861)+1,20))+1,20))),"")))</f>
        <v/>
      </c>
      <c r="J1861">
        <f>IF($F1861="","",IF(OR($G1861="",$H1861="",$I1861="",$G1861&lt;1300,$G1861&gt;1500,$H1861&lt;1,$H1861&gt;12,$I1861&lt;1,$I1861&gt;31),"نامعتبر",RIGHT("0000"&amp;$G1861,4)&amp;"/"&amp;RIGHT("00"&amp;$H1861,2)&amp;"/"&amp;RIGHT("00"&amp;$I1861,2)))</f>
        <v/>
      </c>
      <c r="K1861">
        <f>IF(OR($F1861="",$J1861="",$J1861="نامعتبر"),"",LEFT($J1861,4)&amp;MID($J1861,6,2)&amp;RIGHT($J1861,2)&amp;$N1861&amp;"|"&amp;"2"&amp;RIGHT("00000"&amp;1856,5))</f>
        <v/>
      </c>
      <c r="L1861">
        <f>IF($K1861="","",COUNTIFS(LdgSellerA,$F1861,LdgKeyA,"&lt;"&amp;$K1861)+COUNTIFS(LdgSellerB,$F1861,LdgKeyB,"&lt;"&amp;$K1861)+1)</f>
        <v/>
      </c>
      <c r="M1861">
        <f>IF($L1861="","",$F1861&amp;"|"&amp;RIGHT("000000"&amp;$L1861,6))</f>
        <v/>
      </c>
      <c r="N1861">
        <f>IF($F1861="","",IF(Sync!$AF1861="","0000",IF(AND(ISNUMBER(Sync!$AF1861),Sync!$AF1861&gt;=0,Sync!$AF1861&lt;1),RIGHT("00"&amp;HOUR(Sync!$AF1861),2)&amp;RIGHT("00"&amp;MINUTE(Sync!$AF1861),2),IFERROR(RIGHT("00"&amp;VALUE(LEFT(Sync!$AF1861,FIND(":",Sync!$AF1861)-1)),2)&amp;RIGHT("00"&amp;VALUE(MID(Sync!$AF1861,FIND(":",Sync!$AF1861)+1,2)),2),"0000"))))</f>
        <v/>
      </c>
    </row>
    <row r="1862">
      <c r="A1862">
        <f>IF(OR(Calc!$E1866="",Calc!$E1866="نامعتبر",Calc!$G1866=""),"",Calc!$G1866)</f>
        <v/>
      </c>
      <c r="B1862">
        <f>IF($A1862="","",LEFT(Calc!$E1866,4)&amp;MID(Calc!$E1866,6,2)&amp;RIGHT(Calc!$E1866,2)&amp;Calc!$Q1866&amp;"|"&amp;"1"&amp;RIGHT("00000"&amp;1857,5))</f>
        <v/>
      </c>
      <c r="C1862">
        <f>IF($B1862="","",COUNTIFS(LdgSellerA,$A1862,LdgKeyA,"&lt;"&amp;$B1862)+COUNTIFS(LdgSellerB,$A1862,LdgKeyB,"&lt;"&amp;$B1862)+1)</f>
        <v/>
      </c>
      <c r="D1862">
        <f>IF($C1862="","",$A1862&amp;"|"&amp;RIGHT("000000"&amp;$C1862,6))</f>
        <v/>
      </c>
      <c r="F1862">
        <f>IF(Sync!$AH1862="","",IF(LEFT(UPPER(TRIM(Sync!$AH1862)),2)="SL",UPPER(TRIM(Sync!$AH1862)),""))</f>
        <v/>
      </c>
      <c r="G1862">
        <f>IF($F1862="","",IF(Sync!$AE1862="","",IF(ISNUMBER(Sync!$AE1862),IF(AND(Sync!$AE1862&gt;=10000101,Sync!$AE1862&lt;=99991231),INT(Sync!$AE1862/10000),""),IFERROR(VALUE(TRIM(LEFT(Sync!$AE1862,FIND("/",Sync!$AE1862)-1))),""))))</f>
        <v/>
      </c>
      <c r="H1862">
        <f>IF(OR($F1862="",$G1862=""),"",IF(ISNUMBER(Sync!$AE1862),INT(MOD(Sync!$AE1862,10000)/100),IFERROR(VALUE(TRIM(LEFT(MID(Sync!$AE1862,FIND("/",Sync!$AE1862)+1,20),FIND("/",MID(Sync!$AE1862,FIND("/",Sync!$AE1862)+1,20))-1))),"")))</f>
        <v/>
      </c>
      <c r="I1862">
        <f>IF(OR($F1862="",$G1862=""),"",IF(ISNUMBER(Sync!$AE1862),MOD(Sync!$AE1862,100),IFERROR(VALUE(TRIM(MID(MID(Sync!$AE1862,FIND("/",Sync!$AE1862)+1,20),FIND("/",MID(Sync!$AE1862,FIND("/",Sync!$AE1862)+1,20))+1,20))),"")))</f>
        <v/>
      </c>
      <c r="J1862">
        <f>IF($F1862="","",IF(OR($G1862="",$H1862="",$I1862="",$G1862&lt;1300,$G1862&gt;1500,$H1862&lt;1,$H1862&gt;12,$I1862&lt;1,$I1862&gt;31),"نامعتبر",RIGHT("0000"&amp;$G1862,4)&amp;"/"&amp;RIGHT("00"&amp;$H1862,2)&amp;"/"&amp;RIGHT("00"&amp;$I1862,2)))</f>
        <v/>
      </c>
      <c r="K1862">
        <f>IF(OR($F1862="",$J1862="",$J1862="نامعتبر"),"",LEFT($J1862,4)&amp;MID($J1862,6,2)&amp;RIGHT($J1862,2)&amp;$N1862&amp;"|"&amp;"2"&amp;RIGHT("00000"&amp;1857,5))</f>
        <v/>
      </c>
      <c r="L1862">
        <f>IF($K1862="","",COUNTIFS(LdgSellerA,$F1862,LdgKeyA,"&lt;"&amp;$K1862)+COUNTIFS(LdgSellerB,$F1862,LdgKeyB,"&lt;"&amp;$K1862)+1)</f>
        <v/>
      </c>
      <c r="M1862">
        <f>IF($L1862="","",$F1862&amp;"|"&amp;RIGHT("000000"&amp;$L1862,6))</f>
        <v/>
      </c>
      <c r="N1862">
        <f>IF($F1862="","",IF(Sync!$AF1862="","0000",IF(AND(ISNUMBER(Sync!$AF1862),Sync!$AF1862&gt;=0,Sync!$AF1862&lt;1),RIGHT("00"&amp;HOUR(Sync!$AF1862),2)&amp;RIGHT("00"&amp;MINUTE(Sync!$AF1862),2),IFERROR(RIGHT("00"&amp;VALUE(LEFT(Sync!$AF1862,FIND(":",Sync!$AF1862)-1)),2)&amp;RIGHT("00"&amp;VALUE(MID(Sync!$AF1862,FIND(":",Sync!$AF1862)+1,2)),2),"0000"))))</f>
        <v/>
      </c>
    </row>
    <row r="1863">
      <c r="A1863">
        <f>IF(OR(Calc!$E1867="",Calc!$E1867="نامعتبر",Calc!$G1867=""),"",Calc!$G1867)</f>
        <v/>
      </c>
      <c r="B1863">
        <f>IF($A1863="","",LEFT(Calc!$E1867,4)&amp;MID(Calc!$E1867,6,2)&amp;RIGHT(Calc!$E1867,2)&amp;Calc!$Q1867&amp;"|"&amp;"1"&amp;RIGHT("00000"&amp;1858,5))</f>
        <v/>
      </c>
      <c r="C1863">
        <f>IF($B1863="","",COUNTIFS(LdgSellerA,$A1863,LdgKeyA,"&lt;"&amp;$B1863)+COUNTIFS(LdgSellerB,$A1863,LdgKeyB,"&lt;"&amp;$B1863)+1)</f>
        <v/>
      </c>
      <c r="D1863">
        <f>IF($C1863="","",$A1863&amp;"|"&amp;RIGHT("000000"&amp;$C1863,6))</f>
        <v/>
      </c>
      <c r="F1863">
        <f>IF(Sync!$AH1863="","",IF(LEFT(UPPER(TRIM(Sync!$AH1863)),2)="SL",UPPER(TRIM(Sync!$AH1863)),""))</f>
        <v/>
      </c>
      <c r="G1863">
        <f>IF($F1863="","",IF(Sync!$AE1863="","",IF(ISNUMBER(Sync!$AE1863),IF(AND(Sync!$AE1863&gt;=10000101,Sync!$AE1863&lt;=99991231),INT(Sync!$AE1863/10000),""),IFERROR(VALUE(TRIM(LEFT(Sync!$AE1863,FIND("/",Sync!$AE1863)-1))),""))))</f>
        <v/>
      </c>
      <c r="H1863">
        <f>IF(OR($F1863="",$G1863=""),"",IF(ISNUMBER(Sync!$AE1863),INT(MOD(Sync!$AE1863,10000)/100),IFERROR(VALUE(TRIM(LEFT(MID(Sync!$AE1863,FIND("/",Sync!$AE1863)+1,20),FIND("/",MID(Sync!$AE1863,FIND("/",Sync!$AE1863)+1,20))-1))),"")))</f>
        <v/>
      </c>
      <c r="I1863">
        <f>IF(OR($F1863="",$G1863=""),"",IF(ISNUMBER(Sync!$AE1863),MOD(Sync!$AE1863,100),IFERROR(VALUE(TRIM(MID(MID(Sync!$AE1863,FIND("/",Sync!$AE1863)+1,20),FIND("/",MID(Sync!$AE1863,FIND("/",Sync!$AE1863)+1,20))+1,20))),"")))</f>
        <v/>
      </c>
      <c r="J1863">
        <f>IF($F1863="","",IF(OR($G1863="",$H1863="",$I1863="",$G1863&lt;1300,$G1863&gt;1500,$H1863&lt;1,$H1863&gt;12,$I1863&lt;1,$I1863&gt;31),"نامعتبر",RIGHT("0000"&amp;$G1863,4)&amp;"/"&amp;RIGHT("00"&amp;$H1863,2)&amp;"/"&amp;RIGHT("00"&amp;$I1863,2)))</f>
        <v/>
      </c>
      <c r="K1863">
        <f>IF(OR($F1863="",$J1863="",$J1863="نامعتبر"),"",LEFT($J1863,4)&amp;MID($J1863,6,2)&amp;RIGHT($J1863,2)&amp;$N1863&amp;"|"&amp;"2"&amp;RIGHT("00000"&amp;1858,5))</f>
        <v/>
      </c>
      <c r="L1863">
        <f>IF($K1863="","",COUNTIFS(LdgSellerA,$F1863,LdgKeyA,"&lt;"&amp;$K1863)+COUNTIFS(LdgSellerB,$F1863,LdgKeyB,"&lt;"&amp;$K1863)+1)</f>
        <v/>
      </c>
      <c r="M1863">
        <f>IF($L1863="","",$F1863&amp;"|"&amp;RIGHT("000000"&amp;$L1863,6))</f>
        <v/>
      </c>
      <c r="N1863">
        <f>IF($F1863="","",IF(Sync!$AF1863="","0000",IF(AND(ISNUMBER(Sync!$AF1863),Sync!$AF1863&gt;=0,Sync!$AF1863&lt;1),RIGHT("00"&amp;HOUR(Sync!$AF1863),2)&amp;RIGHT("00"&amp;MINUTE(Sync!$AF1863),2),IFERROR(RIGHT("00"&amp;VALUE(LEFT(Sync!$AF1863,FIND(":",Sync!$AF1863)-1)),2)&amp;RIGHT("00"&amp;VALUE(MID(Sync!$AF1863,FIND(":",Sync!$AF1863)+1,2)),2),"0000"))))</f>
        <v/>
      </c>
    </row>
    <row r="1864">
      <c r="A1864">
        <f>IF(OR(Calc!$E1868="",Calc!$E1868="نامعتبر",Calc!$G1868=""),"",Calc!$G1868)</f>
        <v/>
      </c>
      <c r="B1864">
        <f>IF($A1864="","",LEFT(Calc!$E1868,4)&amp;MID(Calc!$E1868,6,2)&amp;RIGHT(Calc!$E1868,2)&amp;Calc!$Q1868&amp;"|"&amp;"1"&amp;RIGHT("00000"&amp;1859,5))</f>
        <v/>
      </c>
      <c r="C1864">
        <f>IF($B1864="","",COUNTIFS(LdgSellerA,$A1864,LdgKeyA,"&lt;"&amp;$B1864)+COUNTIFS(LdgSellerB,$A1864,LdgKeyB,"&lt;"&amp;$B1864)+1)</f>
        <v/>
      </c>
      <c r="D1864">
        <f>IF($C1864="","",$A1864&amp;"|"&amp;RIGHT("000000"&amp;$C1864,6))</f>
        <v/>
      </c>
      <c r="F1864">
        <f>IF(Sync!$AH1864="","",IF(LEFT(UPPER(TRIM(Sync!$AH1864)),2)="SL",UPPER(TRIM(Sync!$AH1864)),""))</f>
        <v/>
      </c>
      <c r="G1864">
        <f>IF($F1864="","",IF(Sync!$AE1864="","",IF(ISNUMBER(Sync!$AE1864),IF(AND(Sync!$AE1864&gt;=10000101,Sync!$AE1864&lt;=99991231),INT(Sync!$AE1864/10000),""),IFERROR(VALUE(TRIM(LEFT(Sync!$AE1864,FIND("/",Sync!$AE1864)-1))),""))))</f>
        <v/>
      </c>
      <c r="H1864">
        <f>IF(OR($F1864="",$G1864=""),"",IF(ISNUMBER(Sync!$AE1864),INT(MOD(Sync!$AE1864,10000)/100),IFERROR(VALUE(TRIM(LEFT(MID(Sync!$AE1864,FIND("/",Sync!$AE1864)+1,20),FIND("/",MID(Sync!$AE1864,FIND("/",Sync!$AE1864)+1,20))-1))),"")))</f>
        <v/>
      </c>
      <c r="I1864">
        <f>IF(OR($F1864="",$G1864=""),"",IF(ISNUMBER(Sync!$AE1864),MOD(Sync!$AE1864,100),IFERROR(VALUE(TRIM(MID(MID(Sync!$AE1864,FIND("/",Sync!$AE1864)+1,20),FIND("/",MID(Sync!$AE1864,FIND("/",Sync!$AE1864)+1,20))+1,20))),"")))</f>
        <v/>
      </c>
      <c r="J1864">
        <f>IF($F1864="","",IF(OR($G1864="",$H1864="",$I1864="",$G1864&lt;1300,$G1864&gt;1500,$H1864&lt;1,$H1864&gt;12,$I1864&lt;1,$I1864&gt;31),"نامعتبر",RIGHT("0000"&amp;$G1864,4)&amp;"/"&amp;RIGHT("00"&amp;$H1864,2)&amp;"/"&amp;RIGHT("00"&amp;$I1864,2)))</f>
        <v/>
      </c>
      <c r="K1864">
        <f>IF(OR($F1864="",$J1864="",$J1864="نامعتبر"),"",LEFT($J1864,4)&amp;MID($J1864,6,2)&amp;RIGHT($J1864,2)&amp;$N1864&amp;"|"&amp;"2"&amp;RIGHT("00000"&amp;1859,5))</f>
        <v/>
      </c>
      <c r="L1864">
        <f>IF($K1864="","",COUNTIFS(LdgSellerA,$F1864,LdgKeyA,"&lt;"&amp;$K1864)+COUNTIFS(LdgSellerB,$F1864,LdgKeyB,"&lt;"&amp;$K1864)+1)</f>
        <v/>
      </c>
      <c r="M1864">
        <f>IF($L1864="","",$F1864&amp;"|"&amp;RIGHT("000000"&amp;$L1864,6))</f>
        <v/>
      </c>
      <c r="N1864">
        <f>IF($F1864="","",IF(Sync!$AF1864="","0000",IF(AND(ISNUMBER(Sync!$AF1864),Sync!$AF1864&gt;=0,Sync!$AF1864&lt;1),RIGHT("00"&amp;HOUR(Sync!$AF1864),2)&amp;RIGHT("00"&amp;MINUTE(Sync!$AF1864),2),IFERROR(RIGHT("00"&amp;VALUE(LEFT(Sync!$AF1864,FIND(":",Sync!$AF1864)-1)),2)&amp;RIGHT("00"&amp;VALUE(MID(Sync!$AF1864,FIND(":",Sync!$AF1864)+1,2)),2),"0000"))))</f>
        <v/>
      </c>
    </row>
    <row r="1865">
      <c r="A1865">
        <f>IF(OR(Calc!$E1869="",Calc!$E1869="نامعتبر",Calc!$G1869=""),"",Calc!$G1869)</f>
        <v/>
      </c>
      <c r="B1865">
        <f>IF($A1865="","",LEFT(Calc!$E1869,4)&amp;MID(Calc!$E1869,6,2)&amp;RIGHT(Calc!$E1869,2)&amp;Calc!$Q1869&amp;"|"&amp;"1"&amp;RIGHT("00000"&amp;1860,5))</f>
        <v/>
      </c>
      <c r="C1865">
        <f>IF($B1865="","",COUNTIFS(LdgSellerA,$A1865,LdgKeyA,"&lt;"&amp;$B1865)+COUNTIFS(LdgSellerB,$A1865,LdgKeyB,"&lt;"&amp;$B1865)+1)</f>
        <v/>
      </c>
      <c r="D1865">
        <f>IF($C1865="","",$A1865&amp;"|"&amp;RIGHT("000000"&amp;$C1865,6))</f>
        <v/>
      </c>
      <c r="F1865">
        <f>IF(Sync!$AH1865="","",IF(LEFT(UPPER(TRIM(Sync!$AH1865)),2)="SL",UPPER(TRIM(Sync!$AH1865)),""))</f>
        <v/>
      </c>
      <c r="G1865">
        <f>IF($F1865="","",IF(Sync!$AE1865="","",IF(ISNUMBER(Sync!$AE1865),IF(AND(Sync!$AE1865&gt;=10000101,Sync!$AE1865&lt;=99991231),INT(Sync!$AE1865/10000),""),IFERROR(VALUE(TRIM(LEFT(Sync!$AE1865,FIND("/",Sync!$AE1865)-1))),""))))</f>
        <v/>
      </c>
      <c r="H1865">
        <f>IF(OR($F1865="",$G1865=""),"",IF(ISNUMBER(Sync!$AE1865),INT(MOD(Sync!$AE1865,10000)/100),IFERROR(VALUE(TRIM(LEFT(MID(Sync!$AE1865,FIND("/",Sync!$AE1865)+1,20),FIND("/",MID(Sync!$AE1865,FIND("/",Sync!$AE1865)+1,20))-1))),"")))</f>
        <v/>
      </c>
      <c r="I1865">
        <f>IF(OR($F1865="",$G1865=""),"",IF(ISNUMBER(Sync!$AE1865),MOD(Sync!$AE1865,100),IFERROR(VALUE(TRIM(MID(MID(Sync!$AE1865,FIND("/",Sync!$AE1865)+1,20),FIND("/",MID(Sync!$AE1865,FIND("/",Sync!$AE1865)+1,20))+1,20))),"")))</f>
        <v/>
      </c>
      <c r="J1865">
        <f>IF($F1865="","",IF(OR($G1865="",$H1865="",$I1865="",$G1865&lt;1300,$G1865&gt;1500,$H1865&lt;1,$H1865&gt;12,$I1865&lt;1,$I1865&gt;31),"نامعتبر",RIGHT("0000"&amp;$G1865,4)&amp;"/"&amp;RIGHT("00"&amp;$H1865,2)&amp;"/"&amp;RIGHT("00"&amp;$I1865,2)))</f>
        <v/>
      </c>
      <c r="K1865">
        <f>IF(OR($F1865="",$J1865="",$J1865="نامعتبر"),"",LEFT($J1865,4)&amp;MID($J1865,6,2)&amp;RIGHT($J1865,2)&amp;$N1865&amp;"|"&amp;"2"&amp;RIGHT("00000"&amp;1860,5))</f>
        <v/>
      </c>
      <c r="L1865">
        <f>IF($K1865="","",COUNTIFS(LdgSellerA,$F1865,LdgKeyA,"&lt;"&amp;$K1865)+COUNTIFS(LdgSellerB,$F1865,LdgKeyB,"&lt;"&amp;$K1865)+1)</f>
        <v/>
      </c>
      <c r="M1865">
        <f>IF($L1865="","",$F1865&amp;"|"&amp;RIGHT("000000"&amp;$L1865,6))</f>
        <v/>
      </c>
      <c r="N1865">
        <f>IF($F1865="","",IF(Sync!$AF1865="","0000",IF(AND(ISNUMBER(Sync!$AF1865),Sync!$AF1865&gt;=0,Sync!$AF1865&lt;1),RIGHT("00"&amp;HOUR(Sync!$AF1865),2)&amp;RIGHT("00"&amp;MINUTE(Sync!$AF1865),2),IFERROR(RIGHT("00"&amp;VALUE(LEFT(Sync!$AF1865,FIND(":",Sync!$AF1865)-1)),2)&amp;RIGHT("00"&amp;VALUE(MID(Sync!$AF1865,FIND(":",Sync!$AF1865)+1,2)),2),"0000"))))</f>
        <v/>
      </c>
    </row>
    <row r="1866">
      <c r="A1866">
        <f>IF(OR(Calc!$E1870="",Calc!$E1870="نامعتبر",Calc!$G1870=""),"",Calc!$G1870)</f>
        <v/>
      </c>
      <c r="B1866">
        <f>IF($A1866="","",LEFT(Calc!$E1870,4)&amp;MID(Calc!$E1870,6,2)&amp;RIGHT(Calc!$E1870,2)&amp;Calc!$Q1870&amp;"|"&amp;"1"&amp;RIGHT("00000"&amp;1861,5))</f>
        <v/>
      </c>
      <c r="C1866">
        <f>IF($B1866="","",COUNTIFS(LdgSellerA,$A1866,LdgKeyA,"&lt;"&amp;$B1866)+COUNTIFS(LdgSellerB,$A1866,LdgKeyB,"&lt;"&amp;$B1866)+1)</f>
        <v/>
      </c>
      <c r="D1866">
        <f>IF($C1866="","",$A1866&amp;"|"&amp;RIGHT("000000"&amp;$C1866,6))</f>
        <v/>
      </c>
      <c r="F1866">
        <f>IF(Sync!$AH1866="","",IF(LEFT(UPPER(TRIM(Sync!$AH1866)),2)="SL",UPPER(TRIM(Sync!$AH1866)),""))</f>
        <v/>
      </c>
      <c r="G1866">
        <f>IF($F1866="","",IF(Sync!$AE1866="","",IF(ISNUMBER(Sync!$AE1866),IF(AND(Sync!$AE1866&gt;=10000101,Sync!$AE1866&lt;=99991231),INT(Sync!$AE1866/10000),""),IFERROR(VALUE(TRIM(LEFT(Sync!$AE1866,FIND("/",Sync!$AE1866)-1))),""))))</f>
        <v/>
      </c>
      <c r="H1866">
        <f>IF(OR($F1866="",$G1866=""),"",IF(ISNUMBER(Sync!$AE1866),INT(MOD(Sync!$AE1866,10000)/100),IFERROR(VALUE(TRIM(LEFT(MID(Sync!$AE1866,FIND("/",Sync!$AE1866)+1,20),FIND("/",MID(Sync!$AE1866,FIND("/",Sync!$AE1866)+1,20))-1))),"")))</f>
        <v/>
      </c>
      <c r="I1866">
        <f>IF(OR($F1866="",$G1866=""),"",IF(ISNUMBER(Sync!$AE1866),MOD(Sync!$AE1866,100),IFERROR(VALUE(TRIM(MID(MID(Sync!$AE1866,FIND("/",Sync!$AE1866)+1,20),FIND("/",MID(Sync!$AE1866,FIND("/",Sync!$AE1866)+1,20))+1,20))),"")))</f>
        <v/>
      </c>
      <c r="J1866">
        <f>IF($F1866="","",IF(OR($G1866="",$H1866="",$I1866="",$G1866&lt;1300,$G1866&gt;1500,$H1866&lt;1,$H1866&gt;12,$I1866&lt;1,$I1866&gt;31),"نامعتبر",RIGHT("0000"&amp;$G1866,4)&amp;"/"&amp;RIGHT("00"&amp;$H1866,2)&amp;"/"&amp;RIGHT("00"&amp;$I1866,2)))</f>
        <v/>
      </c>
      <c r="K1866">
        <f>IF(OR($F1866="",$J1866="",$J1866="نامعتبر"),"",LEFT($J1866,4)&amp;MID($J1866,6,2)&amp;RIGHT($J1866,2)&amp;$N1866&amp;"|"&amp;"2"&amp;RIGHT("00000"&amp;1861,5))</f>
        <v/>
      </c>
      <c r="L1866">
        <f>IF($K1866="","",COUNTIFS(LdgSellerA,$F1866,LdgKeyA,"&lt;"&amp;$K1866)+COUNTIFS(LdgSellerB,$F1866,LdgKeyB,"&lt;"&amp;$K1866)+1)</f>
        <v/>
      </c>
      <c r="M1866">
        <f>IF($L1866="","",$F1866&amp;"|"&amp;RIGHT("000000"&amp;$L1866,6))</f>
        <v/>
      </c>
      <c r="N1866">
        <f>IF($F1866="","",IF(Sync!$AF1866="","0000",IF(AND(ISNUMBER(Sync!$AF1866),Sync!$AF1866&gt;=0,Sync!$AF1866&lt;1),RIGHT("00"&amp;HOUR(Sync!$AF1866),2)&amp;RIGHT("00"&amp;MINUTE(Sync!$AF1866),2),IFERROR(RIGHT("00"&amp;VALUE(LEFT(Sync!$AF1866,FIND(":",Sync!$AF1866)-1)),2)&amp;RIGHT("00"&amp;VALUE(MID(Sync!$AF1866,FIND(":",Sync!$AF1866)+1,2)),2),"0000"))))</f>
        <v/>
      </c>
    </row>
    <row r="1867">
      <c r="A1867">
        <f>IF(OR(Calc!$E1871="",Calc!$E1871="نامعتبر",Calc!$G1871=""),"",Calc!$G1871)</f>
        <v/>
      </c>
      <c r="B1867">
        <f>IF($A1867="","",LEFT(Calc!$E1871,4)&amp;MID(Calc!$E1871,6,2)&amp;RIGHT(Calc!$E1871,2)&amp;Calc!$Q1871&amp;"|"&amp;"1"&amp;RIGHT("00000"&amp;1862,5))</f>
        <v/>
      </c>
      <c r="C1867">
        <f>IF($B1867="","",COUNTIFS(LdgSellerA,$A1867,LdgKeyA,"&lt;"&amp;$B1867)+COUNTIFS(LdgSellerB,$A1867,LdgKeyB,"&lt;"&amp;$B1867)+1)</f>
        <v/>
      </c>
      <c r="D1867">
        <f>IF($C1867="","",$A1867&amp;"|"&amp;RIGHT("000000"&amp;$C1867,6))</f>
        <v/>
      </c>
      <c r="F1867">
        <f>IF(Sync!$AH1867="","",IF(LEFT(UPPER(TRIM(Sync!$AH1867)),2)="SL",UPPER(TRIM(Sync!$AH1867)),""))</f>
        <v/>
      </c>
      <c r="G1867">
        <f>IF($F1867="","",IF(Sync!$AE1867="","",IF(ISNUMBER(Sync!$AE1867),IF(AND(Sync!$AE1867&gt;=10000101,Sync!$AE1867&lt;=99991231),INT(Sync!$AE1867/10000),""),IFERROR(VALUE(TRIM(LEFT(Sync!$AE1867,FIND("/",Sync!$AE1867)-1))),""))))</f>
        <v/>
      </c>
      <c r="H1867">
        <f>IF(OR($F1867="",$G1867=""),"",IF(ISNUMBER(Sync!$AE1867),INT(MOD(Sync!$AE1867,10000)/100),IFERROR(VALUE(TRIM(LEFT(MID(Sync!$AE1867,FIND("/",Sync!$AE1867)+1,20),FIND("/",MID(Sync!$AE1867,FIND("/",Sync!$AE1867)+1,20))-1))),"")))</f>
        <v/>
      </c>
      <c r="I1867">
        <f>IF(OR($F1867="",$G1867=""),"",IF(ISNUMBER(Sync!$AE1867),MOD(Sync!$AE1867,100),IFERROR(VALUE(TRIM(MID(MID(Sync!$AE1867,FIND("/",Sync!$AE1867)+1,20),FIND("/",MID(Sync!$AE1867,FIND("/",Sync!$AE1867)+1,20))+1,20))),"")))</f>
        <v/>
      </c>
      <c r="J1867">
        <f>IF($F1867="","",IF(OR($G1867="",$H1867="",$I1867="",$G1867&lt;1300,$G1867&gt;1500,$H1867&lt;1,$H1867&gt;12,$I1867&lt;1,$I1867&gt;31),"نامعتبر",RIGHT("0000"&amp;$G1867,4)&amp;"/"&amp;RIGHT("00"&amp;$H1867,2)&amp;"/"&amp;RIGHT("00"&amp;$I1867,2)))</f>
        <v/>
      </c>
      <c r="K1867">
        <f>IF(OR($F1867="",$J1867="",$J1867="نامعتبر"),"",LEFT($J1867,4)&amp;MID($J1867,6,2)&amp;RIGHT($J1867,2)&amp;$N1867&amp;"|"&amp;"2"&amp;RIGHT("00000"&amp;1862,5))</f>
        <v/>
      </c>
      <c r="L1867">
        <f>IF($K1867="","",COUNTIFS(LdgSellerA,$F1867,LdgKeyA,"&lt;"&amp;$K1867)+COUNTIFS(LdgSellerB,$F1867,LdgKeyB,"&lt;"&amp;$K1867)+1)</f>
        <v/>
      </c>
      <c r="M1867">
        <f>IF($L1867="","",$F1867&amp;"|"&amp;RIGHT("000000"&amp;$L1867,6))</f>
        <v/>
      </c>
      <c r="N1867">
        <f>IF($F1867="","",IF(Sync!$AF1867="","0000",IF(AND(ISNUMBER(Sync!$AF1867),Sync!$AF1867&gt;=0,Sync!$AF1867&lt;1),RIGHT("00"&amp;HOUR(Sync!$AF1867),2)&amp;RIGHT("00"&amp;MINUTE(Sync!$AF1867),2),IFERROR(RIGHT("00"&amp;VALUE(LEFT(Sync!$AF1867,FIND(":",Sync!$AF1867)-1)),2)&amp;RIGHT("00"&amp;VALUE(MID(Sync!$AF1867,FIND(":",Sync!$AF1867)+1,2)),2),"0000"))))</f>
        <v/>
      </c>
    </row>
    <row r="1868">
      <c r="A1868">
        <f>IF(OR(Calc!$E1872="",Calc!$E1872="نامعتبر",Calc!$G1872=""),"",Calc!$G1872)</f>
        <v/>
      </c>
      <c r="B1868">
        <f>IF($A1868="","",LEFT(Calc!$E1872,4)&amp;MID(Calc!$E1872,6,2)&amp;RIGHT(Calc!$E1872,2)&amp;Calc!$Q1872&amp;"|"&amp;"1"&amp;RIGHT("00000"&amp;1863,5))</f>
        <v/>
      </c>
      <c r="C1868">
        <f>IF($B1868="","",COUNTIFS(LdgSellerA,$A1868,LdgKeyA,"&lt;"&amp;$B1868)+COUNTIFS(LdgSellerB,$A1868,LdgKeyB,"&lt;"&amp;$B1868)+1)</f>
        <v/>
      </c>
      <c r="D1868">
        <f>IF($C1868="","",$A1868&amp;"|"&amp;RIGHT("000000"&amp;$C1868,6))</f>
        <v/>
      </c>
      <c r="F1868">
        <f>IF(Sync!$AH1868="","",IF(LEFT(UPPER(TRIM(Sync!$AH1868)),2)="SL",UPPER(TRIM(Sync!$AH1868)),""))</f>
        <v/>
      </c>
      <c r="G1868">
        <f>IF($F1868="","",IF(Sync!$AE1868="","",IF(ISNUMBER(Sync!$AE1868),IF(AND(Sync!$AE1868&gt;=10000101,Sync!$AE1868&lt;=99991231),INT(Sync!$AE1868/10000),""),IFERROR(VALUE(TRIM(LEFT(Sync!$AE1868,FIND("/",Sync!$AE1868)-1))),""))))</f>
        <v/>
      </c>
      <c r="H1868">
        <f>IF(OR($F1868="",$G1868=""),"",IF(ISNUMBER(Sync!$AE1868),INT(MOD(Sync!$AE1868,10000)/100),IFERROR(VALUE(TRIM(LEFT(MID(Sync!$AE1868,FIND("/",Sync!$AE1868)+1,20),FIND("/",MID(Sync!$AE1868,FIND("/",Sync!$AE1868)+1,20))-1))),"")))</f>
        <v/>
      </c>
      <c r="I1868">
        <f>IF(OR($F1868="",$G1868=""),"",IF(ISNUMBER(Sync!$AE1868),MOD(Sync!$AE1868,100),IFERROR(VALUE(TRIM(MID(MID(Sync!$AE1868,FIND("/",Sync!$AE1868)+1,20),FIND("/",MID(Sync!$AE1868,FIND("/",Sync!$AE1868)+1,20))+1,20))),"")))</f>
        <v/>
      </c>
      <c r="J1868">
        <f>IF($F1868="","",IF(OR($G1868="",$H1868="",$I1868="",$G1868&lt;1300,$G1868&gt;1500,$H1868&lt;1,$H1868&gt;12,$I1868&lt;1,$I1868&gt;31),"نامعتبر",RIGHT("0000"&amp;$G1868,4)&amp;"/"&amp;RIGHT("00"&amp;$H1868,2)&amp;"/"&amp;RIGHT("00"&amp;$I1868,2)))</f>
        <v/>
      </c>
      <c r="K1868">
        <f>IF(OR($F1868="",$J1868="",$J1868="نامعتبر"),"",LEFT($J1868,4)&amp;MID($J1868,6,2)&amp;RIGHT($J1868,2)&amp;$N1868&amp;"|"&amp;"2"&amp;RIGHT("00000"&amp;1863,5))</f>
        <v/>
      </c>
      <c r="L1868">
        <f>IF($K1868="","",COUNTIFS(LdgSellerA,$F1868,LdgKeyA,"&lt;"&amp;$K1868)+COUNTIFS(LdgSellerB,$F1868,LdgKeyB,"&lt;"&amp;$K1868)+1)</f>
        <v/>
      </c>
      <c r="M1868">
        <f>IF($L1868="","",$F1868&amp;"|"&amp;RIGHT("000000"&amp;$L1868,6))</f>
        <v/>
      </c>
      <c r="N1868">
        <f>IF($F1868="","",IF(Sync!$AF1868="","0000",IF(AND(ISNUMBER(Sync!$AF1868),Sync!$AF1868&gt;=0,Sync!$AF1868&lt;1),RIGHT("00"&amp;HOUR(Sync!$AF1868),2)&amp;RIGHT("00"&amp;MINUTE(Sync!$AF1868),2),IFERROR(RIGHT("00"&amp;VALUE(LEFT(Sync!$AF1868,FIND(":",Sync!$AF1868)-1)),2)&amp;RIGHT("00"&amp;VALUE(MID(Sync!$AF1868,FIND(":",Sync!$AF1868)+1,2)),2),"0000"))))</f>
        <v/>
      </c>
    </row>
    <row r="1869">
      <c r="A1869">
        <f>IF(OR(Calc!$E1873="",Calc!$E1873="نامعتبر",Calc!$G1873=""),"",Calc!$G1873)</f>
        <v/>
      </c>
      <c r="B1869">
        <f>IF($A1869="","",LEFT(Calc!$E1873,4)&amp;MID(Calc!$E1873,6,2)&amp;RIGHT(Calc!$E1873,2)&amp;Calc!$Q1873&amp;"|"&amp;"1"&amp;RIGHT("00000"&amp;1864,5))</f>
        <v/>
      </c>
      <c r="C1869">
        <f>IF($B1869="","",COUNTIFS(LdgSellerA,$A1869,LdgKeyA,"&lt;"&amp;$B1869)+COUNTIFS(LdgSellerB,$A1869,LdgKeyB,"&lt;"&amp;$B1869)+1)</f>
        <v/>
      </c>
      <c r="D1869">
        <f>IF($C1869="","",$A1869&amp;"|"&amp;RIGHT("000000"&amp;$C1869,6))</f>
        <v/>
      </c>
      <c r="F1869">
        <f>IF(Sync!$AH1869="","",IF(LEFT(UPPER(TRIM(Sync!$AH1869)),2)="SL",UPPER(TRIM(Sync!$AH1869)),""))</f>
        <v/>
      </c>
      <c r="G1869">
        <f>IF($F1869="","",IF(Sync!$AE1869="","",IF(ISNUMBER(Sync!$AE1869),IF(AND(Sync!$AE1869&gt;=10000101,Sync!$AE1869&lt;=99991231),INT(Sync!$AE1869/10000),""),IFERROR(VALUE(TRIM(LEFT(Sync!$AE1869,FIND("/",Sync!$AE1869)-1))),""))))</f>
        <v/>
      </c>
      <c r="H1869">
        <f>IF(OR($F1869="",$G1869=""),"",IF(ISNUMBER(Sync!$AE1869),INT(MOD(Sync!$AE1869,10000)/100),IFERROR(VALUE(TRIM(LEFT(MID(Sync!$AE1869,FIND("/",Sync!$AE1869)+1,20),FIND("/",MID(Sync!$AE1869,FIND("/",Sync!$AE1869)+1,20))-1))),"")))</f>
        <v/>
      </c>
      <c r="I1869">
        <f>IF(OR($F1869="",$G1869=""),"",IF(ISNUMBER(Sync!$AE1869),MOD(Sync!$AE1869,100),IFERROR(VALUE(TRIM(MID(MID(Sync!$AE1869,FIND("/",Sync!$AE1869)+1,20),FIND("/",MID(Sync!$AE1869,FIND("/",Sync!$AE1869)+1,20))+1,20))),"")))</f>
        <v/>
      </c>
      <c r="J1869">
        <f>IF($F1869="","",IF(OR($G1869="",$H1869="",$I1869="",$G1869&lt;1300,$G1869&gt;1500,$H1869&lt;1,$H1869&gt;12,$I1869&lt;1,$I1869&gt;31),"نامعتبر",RIGHT("0000"&amp;$G1869,4)&amp;"/"&amp;RIGHT("00"&amp;$H1869,2)&amp;"/"&amp;RIGHT("00"&amp;$I1869,2)))</f>
        <v/>
      </c>
      <c r="K1869">
        <f>IF(OR($F1869="",$J1869="",$J1869="نامعتبر"),"",LEFT($J1869,4)&amp;MID($J1869,6,2)&amp;RIGHT($J1869,2)&amp;$N1869&amp;"|"&amp;"2"&amp;RIGHT("00000"&amp;1864,5))</f>
        <v/>
      </c>
      <c r="L1869">
        <f>IF($K1869="","",COUNTIFS(LdgSellerA,$F1869,LdgKeyA,"&lt;"&amp;$K1869)+COUNTIFS(LdgSellerB,$F1869,LdgKeyB,"&lt;"&amp;$K1869)+1)</f>
        <v/>
      </c>
      <c r="M1869">
        <f>IF($L1869="","",$F1869&amp;"|"&amp;RIGHT("000000"&amp;$L1869,6))</f>
        <v/>
      </c>
      <c r="N1869">
        <f>IF($F1869="","",IF(Sync!$AF1869="","0000",IF(AND(ISNUMBER(Sync!$AF1869),Sync!$AF1869&gt;=0,Sync!$AF1869&lt;1),RIGHT("00"&amp;HOUR(Sync!$AF1869),2)&amp;RIGHT("00"&amp;MINUTE(Sync!$AF1869),2),IFERROR(RIGHT("00"&amp;VALUE(LEFT(Sync!$AF1869,FIND(":",Sync!$AF1869)-1)),2)&amp;RIGHT("00"&amp;VALUE(MID(Sync!$AF1869,FIND(":",Sync!$AF1869)+1,2)),2),"0000"))))</f>
        <v/>
      </c>
    </row>
    <row r="1870">
      <c r="A1870">
        <f>IF(OR(Calc!$E1874="",Calc!$E1874="نامعتبر",Calc!$G1874=""),"",Calc!$G1874)</f>
        <v/>
      </c>
      <c r="B1870">
        <f>IF($A1870="","",LEFT(Calc!$E1874,4)&amp;MID(Calc!$E1874,6,2)&amp;RIGHT(Calc!$E1874,2)&amp;Calc!$Q1874&amp;"|"&amp;"1"&amp;RIGHT("00000"&amp;1865,5))</f>
        <v/>
      </c>
      <c r="C1870">
        <f>IF($B1870="","",COUNTIFS(LdgSellerA,$A1870,LdgKeyA,"&lt;"&amp;$B1870)+COUNTIFS(LdgSellerB,$A1870,LdgKeyB,"&lt;"&amp;$B1870)+1)</f>
        <v/>
      </c>
      <c r="D1870">
        <f>IF($C1870="","",$A1870&amp;"|"&amp;RIGHT("000000"&amp;$C1870,6))</f>
        <v/>
      </c>
      <c r="F1870">
        <f>IF(Sync!$AH1870="","",IF(LEFT(UPPER(TRIM(Sync!$AH1870)),2)="SL",UPPER(TRIM(Sync!$AH1870)),""))</f>
        <v/>
      </c>
      <c r="G1870">
        <f>IF($F1870="","",IF(Sync!$AE1870="","",IF(ISNUMBER(Sync!$AE1870),IF(AND(Sync!$AE1870&gt;=10000101,Sync!$AE1870&lt;=99991231),INT(Sync!$AE1870/10000),""),IFERROR(VALUE(TRIM(LEFT(Sync!$AE1870,FIND("/",Sync!$AE1870)-1))),""))))</f>
        <v/>
      </c>
      <c r="H1870">
        <f>IF(OR($F1870="",$G1870=""),"",IF(ISNUMBER(Sync!$AE1870),INT(MOD(Sync!$AE1870,10000)/100),IFERROR(VALUE(TRIM(LEFT(MID(Sync!$AE1870,FIND("/",Sync!$AE1870)+1,20),FIND("/",MID(Sync!$AE1870,FIND("/",Sync!$AE1870)+1,20))-1))),"")))</f>
        <v/>
      </c>
      <c r="I1870">
        <f>IF(OR($F1870="",$G1870=""),"",IF(ISNUMBER(Sync!$AE1870),MOD(Sync!$AE1870,100),IFERROR(VALUE(TRIM(MID(MID(Sync!$AE1870,FIND("/",Sync!$AE1870)+1,20),FIND("/",MID(Sync!$AE1870,FIND("/",Sync!$AE1870)+1,20))+1,20))),"")))</f>
        <v/>
      </c>
      <c r="J1870">
        <f>IF($F1870="","",IF(OR($G1870="",$H1870="",$I1870="",$G1870&lt;1300,$G1870&gt;1500,$H1870&lt;1,$H1870&gt;12,$I1870&lt;1,$I1870&gt;31),"نامعتبر",RIGHT("0000"&amp;$G1870,4)&amp;"/"&amp;RIGHT("00"&amp;$H1870,2)&amp;"/"&amp;RIGHT("00"&amp;$I1870,2)))</f>
        <v/>
      </c>
      <c r="K1870">
        <f>IF(OR($F1870="",$J1870="",$J1870="نامعتبر"),"",LEFT($J1870,4)&amp;MID($J1870,6,2)&amp;RIGHT($J1870,2)&amp;$N1870&amp;"|"&amp;"2"&amp;RIGHT("00000"&amp;1865,5))</f>
        <v/>
      </c>
      <c r="L1870">
        <f>IF($K1870="","",COUNTIFS(LdgSellerA,$F1870,LdgKeyA,"&lt;"&amp;$K1870)+COUNTIFS(LdgSellerB,$F1870,LdgKeyB,"&lt;"&amp;$K1870)+1)</f>
        <v/>
      </c>
      <c r="M1870">
        <f>IF($L1870="","",$F1870&amp;"|"&amp;RIGHT("000000"&amp;$L1870,6))</f>
        <v/>
      </c>
      <c r="N1870">
        <f>IF($F1870="","",IF(Sync!$AF1870="","0000",IF(AND(ISNUMBER(Sync!$AF1870),Sync!$AF1870&gt;=0,Sync!$AF1870&lt;1),RIGHT("00"&amp;HOUR(Sync!$AF1870),2)&amp;RIGHT("00"&amp;MINUTE(Sync!$AF1870),2),IFERROR(RIGHT("00"&amp;VALUE(LEFT(Sync!$AF1870,FIND(":",Sync!$AF1870)-1)),2)&amp;RIGHT("00"&amp;VALUE(MID(Sync!$AF1870,FIND(":",Sync!$AF1870)+1,2)),2),"0000"))))</f>
        <v/>
      </c>
    </row>
    <row r="1871">
      <c r="A1871">
        <f>IF(OR(Calc!$E1875="",Calc!$E1875="نامعتبر",Calc!$G1875=""),"",Calc!$G1875)</f>
        <v/>
      </c>
      <c r="B1871">
        <f>IF($A1871="","",LEFT(Calc!$E1875,4)&amp;MID(Calc!$E1875,6,2)&amp;RIGHT(Calc!$E1875,2)&amp;Calc!$Q1875&amp;"|"&amp;"1"&amp;RIGHT("00000"&amp;1866,5))</f>
        <v/>
      </c>
      <c r="C1871">
        <f>IF($B1871="","",COUNTIFS(LdgSellerA,$A1871,LdgKeyA,"&lt;"&amp;$B1871)+COUNTIFS(LdgSellerB,$A1871,LdgKeyB,"&lt;"&amp;$B1871)+1)</f>
        <v/>
      </c>
      <c r="D1871">
        <f>IF($C1871="","",$A1871&amp;"|"&amp;RIGHT("000000"&amp;$C1871,6))</f>
        <v/>
      </c>
      <c r="F1871">
        <f>IF(Sync!$AH1871="","",IF(LEFT(UPPER(TRIM(Sync!$AH1871)),2)="SL",UPPER(TRIM(Sync!$AH1871)),""))</f>
        <v/>
      </c>
      <c r="G1871">
        <f>IF($F1871="","",IF(Sync!$AE1871="","",IF(ISNUMBER(Sync!$AE1871),IF(AND(Sync!$AE1871&gt;=10000101,Sync!$AE1871&lt;=99991231),INT(Sync!$AE1871/10000),""),IFERROR(VALUE(TRIM(LEFT(Sync!$AE1871,FIND("/",Sync!$AE1871)-1))),""))))</f>
        <v/>
      </c>
      <c r="H1871">
        <f>IF(OR($F1871="",$G1871=""),"",IF(ISNUMBER(Sync!$AE1871),INT(MOD(Sync!$AE1871,10000)/100),IFERROR(VALUE(TRIM(LEFT(MID(Sync!$AE1871,FIND("/",Sync!$AE1871)+1,20),FIND("/",MID(Sync!$AE1871,FIND("/",Sync!$AE1871)+1,20))-1))),"")))</f>
        <v/>
      </c>
      <c r="I1871">
        <f>IF(OR($F1871="",$G1871=""),"",IF(ISNUMBER(Sync!$AE1871),MOD(Sync!$AE1871,100),IFERROR(VALUE(TRIM(MID(MID(Sync!$AE1871,FIND("/",Sync!$AE1871)+1,20),FIND("/",MID(Sync!$AE1871,FIND("/",Sync!$AE1871)+1,20))+1,20))),"")))</f>
        <v/>
      </c>
      <c r="J1871">
        <f>IF($F1871="","",IF(OR($G1871="",$H1871="",$I1871="",$G1871&lt;1300,$G1871&gt;1500,$H1871&lt;1,$H1871&gt;12,$I1871&lt;1,$I1871&gt;31),"نامعتبر",RIGHT("0000"&amp;$G1871,4)&amp;"/"&amp;RIGHT("00"&amp;$H1871,2)&amp;"/"&amp;RIGHT("00"&amp;$I1871,2)))</f>
        <v/>
      </c>
      <c r="K1871">
        <f>IF(OR($F1871="",$J1871="",$J1871="نامعتبر"),"",LEFT($J1871,4)&amp;MID($J1871,6,2)&amp;RIGHT($J1871,2)&amp;$N1871&amp;"|"&amp;"2"&amp;RIGHT("00000"&amp;1866,5))</f>
        <v/>
      </c>
      <c r="L1871">
        <f>IF($K1871="","",COUNTIFS(LdgSellerA,$F1871,LdgKeyA,"&lt;"&amp;$K1871)+COUNTIFS(LdgSellerB,$F1871,LdgKeyB,"&lt;"&amp;$K1871)+1)</f>
        <v/>
      </c>
      <c r="M1871">
        <f>IF($L1871="","",$F1871&amp;"|"&amp;RIGHT("000000"&amp;$L1871,6))</f>
        <v/>
      </c>
      <c r="N1871">
        <f>IF($F1871="","",IF(Sync!$AF1871="","0000",IF(AND(ISNUMBER(Sync!$AF1871),Sync!$AF1871&gt;=0,Sync!$AF1871&lt;1),RIGHT("00"&amp;HOUR(Sync!$AF1871),2)&amp;RIGHT("00"&amp;MINUTE(Sync!$AF1871),2),IFERROR(RIGHT("00"&amp;VALUE(LEFT(Sync!$AF1871,FIND(":",Sync!$AF1871)-1)),2)&amp;RIGHT("00"&amp;VALUE(MID(Sync!$AF1871,FIND(":",Sync!$AF1871)+1,2)),2),"0000"))))</f>
        <v/>
      </c>
    </row>
    <row r="1872">
      <c r="A1872">
        <f>IF(OR(Calc!$E1876="",Calc!$E1876="نامعتبر",Calc!$G1876=""),"",Calc!$G1876)</f>
        <v/>
      </c>
      <c r="B1872">
        <f>IF($A1872="","",LEFT(Calc!$E1876,4)&amp;MID(Calc!$E1876,6,2)&amp;RIGHT(Calc!$E1876,2)&amp;Calc!$Q1876&amp;"|"&amp;"1"&amp;RIGHT("00000"&amp;1867,5))</f>
        <v/>
      </c>
      <c r="C1872">
        <f>IF($B1872="","",COUNTIFS(LdgSellerA,$A1872,LdgKeyA,"&lt;"&amp;$B1872)+COUNTIFS(LdgSellerB,$A1872,LdgKeyB,"&lt;"&amp;$B1872)+1)</f>
        <v/>
      </c>
      <c r="D1872">
        <f>IF($C1872="","",$A1872&amp;"|"&amp;RIGHT("000000"&amp;$C1872,6))</f>
        <v/>
      </c>
      <c r="F1872">
        <f>IF(Sync!$AH1872="","",IF(LEFT(UPPER(TRIM(Sync!$AH1872)),2)="SL",UPPER(TRIM(Sync!$AH1872)),""))</f>
        <v/>
      </c>
      <c r="G1872">
        <f>IF($F1872="","",IF(Sync!$AE1872="","",IF(ISNUMBER(Sync!$AE1872),IF(AND(Sync!$AE1872&gt;=10000101,Sync!$AE1872&lt;=99991231),INT(Sync!$AE1872/10000),""),IFERROR(VALUE(TRIM(LEFT(Sync!$AE1872,FIND("/",Sync!$AE1872)-1))),""))))</f>
        <v/>
      </c>
      <c r="H1872">
        <f>IF(OR($F1872="",$G1872=""),"",IF(ISNUMBER(Sync!$AE1872),INT(MOD(Sync!$AE1872,10000)/100),IFERROR(VALUE(TRIM(LEFT(MID(Sync!$AE1872,FIND("/",Sync!$AE1872)+1,20),FIND("/",MID(Sync!$AE1872,FIND("/",Sync!$AE1872)+1,20))-1))),"")))</f>
        <v/>
      </c>
      <c r="I1872">
        <f>IF(OR($F1872="",$G1872=""),"",IF(ISNUMBER(Sync!$AE1872),MOD(Sync!$AE1872,100),IFERROR(VALUE(TRIM(MID(MID(Sync!$AE1872,FIND("/",Sync!$AE1872)+1,20),FIND("/",MID(Sync!$AE1872,FIND("/",Sync!$AE1872)+1,20))+1,20))),"")))</f>
        <v/>
      </c>
      <c r="J1872">
        <f>IF($F1872="","",IF(OR($G1872="",$H1872="",$I1872="",$G1872&lt;1300,$G1872&gt;1500,$H1872&lt;1,$H1872&gt;12,$I1872&lt;1,$I1872&gt;31),"نامعتبر",RIGHT("0000"&amp;$G1872,4)&amp;"/"&amp;RIGHT("00"&amp;$H1872,2)&amp;"/"&amp;RIGHT("00"&amp;$I1872,2)))</f>
        <v/>
      </c>
      <c r="K1872">
        <f>IF(OR($F1872="",$J1872="",$J1872="نامعتبر"),"",LEFT($J1872,4)&amp;MID($J1872,6,2)&amp;RIGHT($J1872,2)&amp;$N1872&amp;"|"&amp;"2"&amp;RIGHT("00000"&amp;1867,5))</f>
        <v/>
      </c>
      <c r="L1872">
        <f>IF($K1872="","",COUNTIFS(LdgSellerA,$F1872,LdgKeyA,"&lt;"&amp;$K1872)+COUNTIFS(LdgSellerB,$F1872,LdgKeyB,"&lt;"&amp;$K1872)+1)</f>
        <v/>
      </c>
      <c r="M1872">
        <f>IF($L1872="","",$F1872&amp;"|"&amp;RIGHT("000000"&amp;$L1872,6))</f>
        <v/>
      </c>
      <c r="N1872">
        <f>IF($F1872="","",IF(Sync!$AF1872="","0000",IF(AND(ISNUMBER(Sync!$AF1872),Sync!$AF1872&gt;=0,Sync!$AF1872&lt;1),RIGHT("00"&amp;HOUR(Sync!$AF1872),2)&amp;RIGHT("00"&amp;MINUTE(Sync!$AF1872),2),IFERROR(RIGHT("00"&amp;VALUE(LEFT(Sync!$AF1872,FIND(":",Sync!$AF1872)-1)),2)&amp;RIGHT("00"&amp;VALUE(MID(Sync!$AF1872,FIND(":",Sync!$AF1872)+1,2)),2),"0000"))))</f>
        <v/>
      </c>
    </row>
    <row r="1873">
      <c r="A1873">
        <f>IF(OR(Calc!$E1877="",Calc!$E1877="نامعتبر",Calc!$G1877=""),"",Calc!$G1877)</f>
        <v/>
      </c>
      <c r="B1873">
        <f>IF($A1873="","",LEFT(Calc!$E1877,4)&amp;MID(Calc!$E1877,6,2)&amp;RIGHT(Calc!$E1877,2)&amp;Calc!$Q1877&amp;"|"&amp;"1"&amp;RIGHT("00000"&amp;1868,5))</f>
        <v/>
      </c>
      <c r="C1873">
        <f>IF($B1873="","",COUNTIFS(LdgSellerA,$A1873,LdgKeyA,"&lt;"&amp;$B1873)+COUNTIFS(LdgSellerB,$A1873,LdgKeyB,"&lt;"&amp;$B1873)+1)</f>
        <v/>
      </c>
      <c r="D1873">
        <f>IF($C1873="","",$A1873&amp;"|"&amp;RIGHT("000000"&amp;$C1873,6))</f>
        <v/>
      </c>
      <c r="F1873">
        <f>IF(Sync!$AH1873="","",IF(LEFT(UPPER(TRIM(Sync!$AH1873)),2)="SL",UPPER(TRIM(Sync!$AH1873)),""))</f>
        <v/>
      </c>
      <c r="G1873">
        <f>IF($F1873="","",IF(Sync!$AE1873="","",IF(ISNUMBER(Sync!$AE1873),IF(AND(Sync!$AE1873&gt;=10000101,Sync!$AE1873&lt;=99991231),INT(Sync!$AE1873/10000),""),IFERROR(VALUE(TRIM(LEFT(Sync!$AE1873,FIND("/",Sync!$AE1873)-1))),""))))</f>
        <v/>
      </c>
      <c r="H1873">
        <f>IF(OR($F1873="",$G1873=""),"",IF(ISNUMBER(Sync!$AE1873),INT(MOD(Sync!$AE1873,10000)/100),IFERROR(VALUE(TRIM(LEFT(MID(Sync!$AE1873,FIND("/",Sync!$AE1873)+1,20),FIND("/",MID(Sync!$AE1873,FIND("/",Sync!$AE1873)+1,20))-1))),"")))</f>
        <v/>
      </c>
      <c r="I1873">
        <f>IF(OR($F1873="",$G1873=""),"",IF(ISNUMBER(Sync!$AE1873),MOD(Sync!$AE1873,100),IFERROR(VALUE(TRIM(MID(MID(Sync!$AE1873,FIND("/",Sync!$AE1873)+1,20),FIND("/",MID(Sync!$AE1873,FIND("/",Sync!$AE1873)+1,20))+1,20))),"")))</f>
        <v/>
      </c>
      <c r="J1873">
        <f>IF($F1873="","",IF(OR($G1873="",$H1873="",$I1873="",$G1873&lt;1300,$G1873&gt;1500,$H1873&lt;1,$H1873&gt;12,$I1873&lt;1,$I1873&gt;31),"نامعتبر",RIGHT("0000"&amp;$G1873,4)&amp;"/"&amp;RIGHT("00"&amp;$H1873,2)&amp;"/"&amp;RIGHT("00"&amp;$I1873,2)))</f>
        <v/>
      </c>
      <c r="K1873">
        <f>IF(OR($F1873="",$J1873="",$J1873="نامعتبر"),"",LEFT($J1873,4)&amp;MID($J1873,6,2)&amp;RIGHT($J1873,2)&amp;$N1873&amp;"|"&amp;"2"&amp;RIGHT("00000"&amp;1868,5))</f>
        <v/>
      </c>
      <c r="L1873">
        <f>IF($K1873="","",COUNTIFS(LdgSellerA,$F1873,LdgKeyA,"&lt;"&amp;$K1873)+COUNTIFS(LdgSellerB,$F1873,LdgKeyB,"&lt;"&amp;$K1873)+1)</f>
        <v/>
      </c>
      <c r="M1873">
        <f>IF($L1873="","",$F1873&amp;"|"&amp;RIGHT("000000"&amp;$L1873,6))</f>
        <v/>
      </c>
      <c r="N1873">
        <f>IF($F1873="","",IF(Sync!$AF1873="","0000",IF(AND(ISNUMBER(Sync!$AF1873),Sync!$AF1873&gt;=0,Sync!$AF1873&lt;1),RIGHT("00"&amp;HOUR(Sync!$AF1873),2)&amp;RIGHT("00"&amp;MINUTE(Sync!$AF1873),2),IFERROR(RIGHT("00"&amp;VALUE(LEFT(Sync!$AF1873,FIND(":",Sync!$AF1873)-1)),2)&amp;RIGHT("00"&amp;VALUE(MID(Sync!$AF1873,FIND(":",Sync!$AF1873)+1,2)),2),"0000"))))</f>
        <v/>
      </c>
    </row>
    <row r="1874">
      <c r="A1874">
        <f>IF(OR(Calc!$E1878="",Calc!$E1878="نامعتبر",Calc!$G1878=""),"",Calc!$G1878)</f>
        <v/>
      </c>
      <c r="B1874">
        <f>IF($A1874="","",LEFT(Calc!$E1878,4)&amp;MID(Calc!$E1878,6,2)&amp;RIGHT(Calc!$E1878,2)&amp;Calc!$Q1878&amp;"|"&amp;"1"&amp;RIGHT("00000"&amp;1869,5))</f>
        <v/>
      </c>
      <c r="C1874">
        <f>IF($B1874="","",COUNTIFS(LdgSellerA,$A1874,LdgKeyA,"&lt;"&amp;$B1874)+COUNTIFS(LdgSellerB,$A1874,LdgKeyB,"&lt;"&amp;$B1874)+1)</f>
        <v/>
      </c>
      <c r="D1874">
        <f>IF($C1874="","",$A1874&amp;"|"&amp;RIGHT("000000"&amp;$C1874,6))</f>
        <v/>
      </c>
      <c r="F1874">
        <f>IF(Sync!$AH1874="","",IF(LEFT(UPPER(TRIM(Sync!$AH1874)),2)="SL",UPPER(TRIM(Sync!$AH1874)),""))</f>
        <v/>
      </c>
      <c r="G1874">
        <f>IF($F1874="","",IF(Sync!$AE1874="","",IF(ISNUMBER(Sync!$AE1874),IF(AND(Sync!$AE1874&gt;=10000101,Sync!$AE1874&lt;=99991231),INT(Sync!$AE1874/10000),""),IFERROR(VALUE(TRIM(LEFT(Sync!$AE1874,FIND("/",Sync!$AE1874)-1))),""))))</f>
        <v/>
      </c>
      <c r="H1874">
        <f>IF(OR($F1874="",$G1874=""),"",IF(ISNUMBER(Sync!$AE1874),INT(MOD(Sync!$AE1874,10000)/100),IFERROR(VALUE(TRIM(LEFT(MID(Sync!$AE1874,FIND("/",Sync!$AE1874)+1,20),FIND("/",MID(Sync!$AE1874,FIND("/",Sync!$AE1874)+1,20))-1))),"")))</f>
        <v/>
      </c>
      <c r="I1874">
        <f>IF(OR($F1874="",$G1874=""),"",IF(ISNUMBER(Sync!$AE1874),MOD(Sync!$AE1874,100),IFERROR(VALUE(TRIM(MID(MID(Sync!$AE1874,FIND("/",Sync!$AE1874)+1,20),FIND("/",MID(Sync!$AE1874,FIND("/",Sync!$AE1874)+1,20))+1,20))),"")))</f>
        <v/>
      </c>
      <c r="J1874">
        <f>IF($F1874="","",IF(OR($G1874="",$H1874="",$I1874="",$G1874&lt;1300,$G1874&gt;1500,$H1874&lt;1,$H1874&gt;12,$I1874&lt;1,$I1874&gt;31),"نامعتبر",RIGHT("0000"&amp;$G1874,4)&amp;"/"&amp;RIGHT("00"&amp;$H1874,2)&amp;"/"&amp;RIGHT("00"&amp;$I1874,2)))</f>
        <v/>
      </c>
      <c r="K1874">
        <f>IF(OR($F1874="",$J1874="",$J1874="نامعتبر"),"",LEFT($J1874,4)&amp;MID($J1874,6,2)&amp;RIGHT($J1874,2)&amp;$N1874&amp;"|"&amp;"2"&amp;RIGHT("00000"&amp;1869,5))</f>
        <v/>
      </c>
      <c r="L1874">
        <f>IF($K1874="","",COUNTIFS(LdgSellerA,$F1874,LdgKeyA,"&lt;"&amp;$K1874)+COUNTIFS(LdgSellerB,$F1874,LdgKeyB,"&lt;"&amp;$K1874)+1)</f>
        <v/>
      </c>
      <c r="M1874">
        <f>IF($L1874="","",$F1874&amp;"|"&amp;RIGHT("000000"&amp;$L1874,6))</f>
        <v/>
      </c>
      <c r="N1874">
        <f>IF($F1874="","",IF(Sync!$AF1874="","0000",IF(AND(ISNUMBER(Sync!$AF1874),Sync!$AF1874&gt;=0,Sync!$AF1874&lt;1),RIGHT("00"&amp;HOUR(Sync!$AF1874),2)&amp;RIGHT("00"&amp;MINUTE(Sync!$AF1874),2),IFERROR(RIGHT("00"&amp;VALUE(LEFT(Sync!$AF1874,FIND(":",Sync!$AF1874)-1)),2)&amp;RIGHT("00"&amp;VALUE(MID(Sync!$AF1874,FIND(":",Sync!$AF1874)+1,2)),2),"0000"))))</f>
        <v/>
      </c>
    </row>
    <row r="1875">
      <c r="A1875">
        <f>IF(OR(Calc!$E1879="",Calc!$E1879="نامعتبر",Calc!$G1879=""),"",Calc!$G1879)</f>
        <v/>
      </c>
      <c r="B1875">
        <f>IF($A1875="","",LEFT(Calc!$E1879,4)&amp;MID(Calc!$E1879,6,2)&amp;RIGHT(Calc!$E1879,2)&amp;Calc!$Q1879&amp;"|"&amp;"1"&amp;RIGHT("00000"&amp;1870,5))</f>
        <v/>
      </c>
      <c r="C1875">
        <f>IF($B1875="","",COUNTIFS(LdgSellerA,$A1875,LdgKeyA,"&lt;"&amp;$B1875)+COUNTIFS(LdgSellerB,$A1875,LdgKeyB,"&lt;"&amp;$B1875)+1)</f>
        <v/>
      </c>
      <c r="D1875">
        <f>IF($C1875="","",$A1875&amp;"|"&amp;RIGHT("000000"&amp;$C1875,6))</f>
        <v/>
      </c>
      <c r="F1875">
        <f>IF(Sync!$AH1875="","",IF(LEFT(UPPER(TRIM(Sync!$AH1875)),2)="SL",UPPER(TRIM(Sync!$AH1875)),""))</f>
        <v/>
      </c>
      <c r="G1875">
        <f>IF($F1875="","",IF(Sync!$AE1875="","",IF(ISNUMBER(Sync!$AE1875),IF(AND(Sync!$AE1875&gt;=10000101,Sync!$AE1875&lt;=99991231),INT(Sync!$AE1875/10000),""),IFERROR(VALUE(TRIM(LEFT(Sync!$AE1875,FIND("/",Sync!$AE1875)-1))),""))))</f>
        <v/>
      </c>
      <c r="H1875">
        <f>IF(OR($F1875="",$G1875=""),"",IF(ISNUMBER(Sync!$AE1875),INT(MOD(Sync!$AE1875,10000)/100),IFERROR(VALUE(TRIM(LEFT(MID(Sync!$AE1875,FIND("/",Sync!$AE1875)+1,20),FIND("/",MID(Sync!$AE1875,FIND("/",Sync!$AE1875)+1,20))-1))),"")))</f>
        <v/>
      </c>
      <c r="I1875">
        <f>IF(OR($F1875="",$G1875=""),"",IF(ISNUMBER(Sync!$AE1875),MOD(Sync!$AE1875,100),IFERROR(VALUE(TRIM(MID(MID(Sync!$AE1875,FIND("/",Sync!$AE1875)+1,20),FIND("/",MID(Sync!$AE1875,FIND("/",Sync!$AE1875)+1,20))+1,20))),"")))</f>
        <v/>
      </c>
      <c r="J1875">
        <f>IF($F1875="","",IF(OR($G1875="",$H1875="",$I1875="",$G1875&lt;1300,$G1875&gt;1500,$H1875&lt;1,$H1875&gt;12,$I1875&lt;1,$I1875&gt;31),"نامعتبر",RIGHT("0000"&amp;$G1875,4)&amp;"/"&amp;RIGHT("00"&amp;$H1875,2)&amp;"/"&amp;RIGHT("00"&amp;$I1875,2)))</f>
        <v/>
      </c>
      <c r="K1875">
        <f>IF(OR($F1875="",$J1875="",$J1875="نامعتبر"),"",LEFT($J1875,4)&amp;MID($J1875,6,2)&amp;RIGHT($J1875,2)&amp;$N1875&amp;"|"&amp;"2"&amp;RIGHT("00000"&amp;1870,5))</f>
        <v/>
      </c>
      <c r="L1875">
        <f>IF($K1875="","",COUNTIFS(LdgSellerA,$F1875,LdgKeyA,"&lt;"&amp;$K1875)+COUNTIFS(LdgSellerB,$F1875,LdgKeyB,"&lt;"&amp;$K1875)+1)</f>
        <v/>
      </c>
      <c r="M1875">
        <f>IF($L1875="","",$F1875&amp;"|"&amp;RIGHT("000000"&amp;$L1875,6))</f>
        <v/>
      </c>
      <c r="N1875">
        <f>IF($F1875="","",IF(Sync!$AF1875="","0000",IF(AND(ISNUMBER(Sync!$AF1875),Sync!$AF1875&gt;=0,Sync!$AF1875&lt;1),RIGHT("00"&amp;HOUR(Sync!$AF1875),2)&amp;RIGHT("00"&amp;MINUTE(Sync!$AF1875),2),IFERROR(RIGHT("00"&amp;VALUE(LEFT(Sync!$AF1875,FIND(":",Sync!$AF1875)-1)),2)&amp;RIGHT("00"&amp;VALUE(MID(Sync!$AF1875,FIND(":",Sync!$AF1875)+1,2)),2),"0000"))))</f>
        <v/>
      </c>
    </row>
    <row r="1876">
      <c r="A1876">
        <f>IF(OR(Calc!$E1880="",Calc!$E1880="نامعتبر",Calc!$G1880=""),"",Calc!$G1880)</f>
        <v/>
      </c>
      <c r="B1876">
        <f>IF($A1876="","",LEFT(Calc!$E1880,4)&amp;MID(Calc!$E1880,6,2)&amp;RIGHT(Calc!$E1880,2)&amp;Calc!$Q1880&amp;"|"&amp;"1"&amp;RIGHT("00000"&amp;1871,5))</f>
        <v/>
      </c>
      <c r="C1876">
        <f>IF($B1876="","",COUNTIFS(LdgSellerA,$A1876,LdgKeyA,"&lt;"&amp;$B1876)+COUNTIFS(LdgSellerB,$A1876,LdgKeyB,"&lt;"&amp;$B1876)+1)</f>
        <v/>
      </c>
      <c r="D1876">
        <f>IF($C1876="","",$A1876&amp;"|"&amp;RIGHT("000000"&amp;$C1876,6))</f>
        <v/>
      </c>
      <c r="F1876">
        <f>IF(Sync!$AH1876="","",IF(LEFT(UPPER(TRIM(Sync!$AH1876)),2)="SL",UPPER(TRIM(Sync!$AH1876)),""))</f>
        <v/>
      </c>
      <c r="G1876">
        <f>IF($F1876="","",IF(Sync!$AE1876="","",IF(ISNUMBER(Sync!$AE1876),IF(AND(Sync!$AE1876&gt;=10000101,Sync!$AE1876&lt;=99991231),INT(Sync!$AE1876/10000),""),IFERROR(VALUE(TRIM(LEFT(Sync!$AE1876,FIND("/",Sync!$AE1876)-1))),""))))</f>
        <v/>
      </c>
      <c r="H1876">
        <f>IF(OR($F1876="",$G1876=""),"",IF(ISNUMBER(Sync!$AE1876),INT(MOD(Sync!$AE1876,10000)/100),IFERROR(VALUE(TRIM(LEFT(MID(Sync!$AE1876,FIND("/",Sync!$AE1876)+1,20),FIND("/",MID(Sync!$AE1876,FIND("/",Sync!$AE1876)+1,20))-1))),"")))</f>
        <v/>
      </c>
      <c r="I1876">
        <f>IF(OR($F1876="",$G1876=""),"",IF(ISNUMBER(Sync!$AE1876),MOD(Sync!$AE1876,100),IFERROR(VALUE(TRIM(MID(MID(Sync!$AE1876,FIND("/",Sync!$AE1876)+1,20),FIND("/",MID(Sync!$AE1876,FIND("/",Sync!$AE1876)+1,20))+1,20))),"")))</f>
        <v/>
      </c>
      <c r="J1876">
        <f>IF($F1876="","",IF(OR($G1876="",$H1876="",$I1876="",$G1876&lt;1300,$G1876&gt;1500,$H1876&lt;1,$H1876&gt;12,$I1876&lt;1,$I1876&gt;31),"نامعتبر",RIGHT("0000"&amp;$G1876,4)&amp;"/"&amp;RIGHT("00"&amp;$H1876,2)&amp;"/"&amp;RIGHT("00"&amp;$I1876,2)))</f>
        <v/>
      </c>
      <c r="K1876">
        <f>IF(OR($F1876="",$J1876="",$J1876="نامعتبر"),"",LEFT($J1876,4)&amp;MID($J1876,6,2)&amp;RIGHT($J1876,2)&amp;$N1876&amp;"|"&amp;"2"&amp;RIGHT("00000"&amp;1871,5))</f>
        <v/>
      </c>
      <c r="L1876">
        <f>IF($K1876="","",COUNTIFS(LdgSellerA,$F1876,LdgKeyA,"&lt;"&amp;$K1876)+COUNTIFS(LdgSellerB,$F1876,LdgKeyB,"&lt;"&amp;$K1876)+1)</f>
        <v/>
      </c>
      <c r="M1876">
        <f>IF($L1876="","",$F1876&amp;"|"&amp;RIGHT("000000"&amp;$L1876,6))</f>
        <v/>
      </c>
      <c r="N1876">
        <f>IF($F1876="","",IF(Sync!$AF1876="","0000",IF(AND(ISNUMBER(Sync!$AF1876),Sync!$AF1876&gt;=0,Sync!$AF1876&lt;1),RIGHT("00"&amp;HOUR(Sync!$AF1876),2)&amp;RIGHT("00"&amp;MINUTE(Sync!$AF1876),2),IFERROR(RIGHT("00"&amp;VALUE(LEFT(Sync!$AF1876,FIND(":",Sync!$AF1876)-1)),2)&amp;RIGHT("00"&amp;VALUE(MID(Sync!$AF1876,FIND(":",Sync!$AF1876)+1,2)),2),"0000"))))</f>
        <v/>
      </c>
    </row>
    <row r="1877">
      <c r="A1877">
        <f>IF(OR(Calc!$E1881="",Calc!$E1881="نامعتبر",Calc!$G1881=""),"",Calc!$G1881)</f>
        <v/>
      </c>
      <c r="B1877">
        <f>IF($A1877="","",LEFT(Calc!$E1881,4)&amp;MID(Calc!$E1881,6,2)&amp;RIGHT(Calc!$E1881,2)&amp;Calc!$Q1881&amp;"|"&amp;"1"&amp;RIGHT("00000"&amp;1872,5))</f>
        <v/>
      </c>
      <c r="C1877">
        <f>IF($B1877="","",COUNTIFS(LdgSellerA,$A1877,LdgKeyA,"&lt;"&amp;$B1877)+COUNTIFS(LdgSellerB,$A1877,LdgKeyB,"&lt;"&amp;$B1877)+1)</f>
        <v/>
      </c>
      <c r="D1877">
        <f>IF($C1877="","",$A1877&amp;"|"&amp;RIGHT("000000"&amp;$C1877,6))</f>
        <v/>
      </c>
      <c r="F1877">
        <f>IF(Sync!$AH1877="","",IF(LEFT(UPPER(TRIM(Sync!$AH1877)),2)="SL",UPPER(TRIM(Sync!$AH1877)),""))</f>
        <v/>
      </c>
      <c r="G1877">
        <f>IF($F1877="","",IF(Sync!$AE1877="","",IF(ISNUMBER(Sync!$AE1877),IF(AND(Sync!$AE1877&gt;=10000101,Sync!$AE1877&lt;=99991231),INT(Sync!$AE1877/10000),""),IFERROR(VALUE(TRIM(LEFT(Sync!$AE1877,FIND("/",Sync!$AE1877)-1))),""))))</f>
        <v/>
      </c>
      <c r="H1877">
        <f>IF(OR($F1877="",$G1877=""),"",IF(ISNUMBER(Sync!$AE1877),INT(MOD(Sync!$AE1877,10000)/100),IFERROR(VALUE(TRIM(LEFT(MID(Sync!$AE1877,FIND("/",Sync!$AE1877)+1,20),FIND("/",MID(Sync!$AE1877,FIND("/",Sync!$AE1877)+1,20))-1))),"")))</f>
        <v/>
      </c>
      <c r="I1877">
        <f>IF(OR($F1877="",$G1877=""),"",IF(ISNUMBER(Sync!$AE1877),MOD(Sync!$AE1877,100),IFERROR(VALUE(TRIM(MID(MID(Sync!$AE1877,FIND("/",Sync!$AE1877)+1,20),FIND("/",MID(Sync!$AE1877,FIND("/",Sync!$AE1877)+1,20))+1,20))),"")))</f>
        <v/>
      </c>
      <c r="J1877">
        <f>IF($F1877="","",IF(OR($G1877="",$H1877="",$I1877="",$G1877&lt;1300,$G1877&gt;1500,$H1877&lt;1,$H1877&gt;12,$I1877&lt;1,$I1877&gt;31),"نامعتبر",RIGHT("0000"&amp;$G1877,4)&amp;"/"&amp;RIGHT("00"&amp;$H1877,2)&amp;"/"&amp;RIGHT("00"&amp;$I1877,2)))</f>
        <v/>
      </c>
      <c r="K1877">
        <f>IF(OR($F1877="",$J1877="",$J1877="نامعتبر"),"",LEFT($J1877,4)&amp;MID($J1877,6,2)&amp;RIGHT($J1877,2)&amp;$N1877&amp;"|"&amp;"2"&amp;RIGHT("00000"&amp;1872,5))</f>
        <v/>
      </c>
      <c r="L1877">
        <f>IF($K1877="","",COUNTIFS(LdgSellerA,$F1877,LdgKeyA,"&lt;"&amp;$K1877)+COUNTIFS(LdgSellerB,$F1877,LdgKeyB,"&lt;"&amp;$K1877)+1)</f>
        <v/>
      </c>
      <c r="M1877">
        <f>IF($L1877="","",$F1877&amp;"|"&amp;RIGHT("000000"&amp;$L1877,6))</f>
        <v/>
      </c>
      <c r="N1877">
        <f>IF($F1877="","",IF(Sync!$AF1877="","0000",IF(AND(ISNUMBER(Sync!$AF1877),Sync!$AF1877&gt;=0,Sync!$AF1877&lt;1),RIGHT("00"&amp;HOUR(Sync!$AF1877),2)&amp;RIGHT("00"&amp;MINUTE(Sync!$AF1877),2),IFERROR(RIGHT("00"&amp;VALUE(LEFT(Sync!$AF1877,FIND(":",Sync!$AF1877)-1)),2)&amp;RIGHT("00"&amp;VALUE(MID(Sync!$AF1877,FIND(":",Sync!$AF1877)+1,2)),2),"0000"))))</f>
        <v/>
      </c>
    </row>
    <row r="1878">
      <c r="A1878">
        <f>IF(OR(Calc!$E1882="",Calc!$E1882="نامعتبر",Calc!$G1882=""),"",Calc!$G1882)</f>
        <v/>
      </c>
      <c r="B1878">
        <f>IF($A1878="","",LEFT(Calc!$E1882,4)&amp;MID(Calc!$E1882,6,2)&amp;RIGHT(Calc!$E1882,2)&amp;Calc!$Q1882&amp;"|"&amp;"1"&amp;RIGHT("00000"&amp;1873,5))</f>
        <v/>
      </c>
      <c r="C1878">
        <f>IF($B1878="","",COUNTIFS(LdgSellerA,$A1878,LdgKeyA,"&lt;"&amp;$B1878)+COUNTIFS(LdgSellerB,$A1878,LdgKeyB,"&lt;"&amp;$B1878)+1)</f>
        <v/>
      </c>
      <c r="D1878">
        <f>IF($C1878="","",$A1878&amp;"|"&amp;RIGHT("000000"&amp;$C1878,6))</f>
        <v/>
      </c>
      <c r="F1878">
        <f>IF(Sync!$AH1878="","",IF(LEFT(UPPER(TRIM(Sync!$AH1878)),2)="SL",UPPER(TRIM(Sync!$AH1878)),""))</f>
        <v/>
      </c>
      <c r="G1878">
        <f>IF($F1878="","",IF(Sync!$AE1878="","",IF(ISNUMBER(Sync!$AE1878),IF(AND(Sync!$AE1878&gt;=10000101,Sync!$AE1878&lt;=99991231),INT(Sync!$AE1878/10000),""),IFERROR(VALUE(TRIM(LEFT(Sync!$AE1878,FIND("/",Sync!$AE1878)-1))),""))))</f>
        <v/>
      </c>
      <c r="H1878">
        <f>IF(OR($F1878="",$G1878=""),"",IF(ISNUMBER(Sync!$AE1878),INT(MOD(Sync!$AE1878,10000)/100),IFERROR(VALUE(TRIM(LEFT(MID(Sync!$AE1878,FIND("/",Sync!$AE1878)+1,20),FIND("/",MID(Sync!$AE1878,FIND("/",Sync!$AE1878)+1,20))-1))),"")))</f>
        <v/>
      </c>
      <c r="I1878">
        <f>IF(OR($F1878="",$G1878=""),"",IF(ISNUMBER(Sync!$AE1878),MOD(Sync!$AE1878,100),IFERROR(VALUE(TRIM(MID(MID(Sync!$AE1878,FIND("/",Sync!$AE1878)+1,20),FIND("/",MID(Sync!$AE1878,FIND("/",Sync!$AE1878)+1,20))+1,20))),"")))</f>
        <v/>
      </c>
      <c r="J1878">
        <f>IF($F1878="","",IF(OR($G1878="",$H1878="",$I1878="",$G1878&lt;1300,$G1878&gt;1500,$H1878&lt;1,$H1878&gt;12,$I1878&lt;1,$I1878&gt;31),"نامعتبر",RIGHT("0000"&amp;$G1878,4)&amp;"/"&amp;RIGHT("00"&amp;$H1878,2)&amp;"/"&amp;RIGHT("00"&amp;$I1878,2)))</f>
        <v/>
      </c>
      <c r="K1878">
        <f>IF(OR($F1878="",$J1878="",$J1878="نامعتبر"),"",LEFT($J1878,4)&amp;MID($J1878,6,2)&amp;RIGHT($J1878,2)&amp;$N1878&amp;"|"&amp;"2"&amp;RIGHT("00000"&amp;1873,5))</f>
        <v/>
      </c>
      <c r="L1878">
        <f>IF($K1878="","",COUNTIFS(LdgSellerA,$F1878,LdgKeyA,"&lt;"&amp;$K1878)+COUNTIFS(LdgSellerB,$F1878,LdgKeyB,"&lt;"&amp;$K1878)+1)</f>
        <v/>
      </c>
      <c r="M1878">
        <f>IF($L1878="","",$F1878&amp;"|"&amp;RIGHT("000000"&amp;$L1878,6))</f>
        <v/>
      </c>
      <c r="N1878">
        <f>IF($F1878="","",IF(Sync!$AF1878="","0000",IF(AND(ISNUMBER(Sync!$AF1878),Sync!$AF1878&gt;=0,Sync!$AF1878&lt;1),RIGHT("00"&amp;HOUR(Sync!$AF1878),2)&amp;RIGHT("00"&amp;MINUTE(Sync!$AF1878),2),IFERROR(RIGHT("00"&amp;VALUE(LEFT(Sync!$AF1878,FIND(":",Sync!$AF1878)-1)),2)&amp;RIGHT("00"&amp;VALUE(MID(Sync!$AF1878,FIND(":",Sync!$AF1878)+1,2)),2),"0000"))))</f>
        <v/>
      </c>
    </row>
    <row r="1879">
      <c r="A1879">
        <f>IF(OR(Calc!$E1883="",Calc!$E1883="نامعتبر",Calc!$G1883=""),"",Calc!$G1883)</f>
        <v/>
      </c>
      <c r="B1879">
        <f>IF($A1879="","",LEFT(Calc!$E1883,4)&amp;MID(Calc!$E1883,6,2)&amp;RIGHT(Calc!$E1883,2)&amp;Calc!$Q1883&amp;"|"&amp;"1"&amp;RIGHT("00000"&amp;1874,5))</f>
        <v/>
      </c>
      <c r="C1879">
        <f>IF($B1879="","",COUNTIFS(LdgSellerA,$A1879,LdgKeyA,"&lt;"&amp;$B1879)+COUNTIFS(LdgSellerB,$A1879,LdgKeyB,"&lt;"&amp;$B1879)+1)</f>
        <v/>
      </c>
      <c r="D1879">
        <f>IF($C1879="","",$A1879&amp;"|"&amp;RIGHT("000000"&amp;$C1879,6))</f>
        <v/>
      </c>
      <c r="F1879">
        <f>IF(Sync!$AH1879="","",IF(LEFT(UPPER(TRIM(Sync!$AH1879)),2)="SL",UPPER(TRIM(Sync!$AH1879)),""))</f>
        <v/>
      </c>
      <c r="G1879">
        <f>IF($F1879="","",IF(Sync!$AE1879="","",IF(ISNUMBER(Sync!$AE1879),IF(AND(Sync!$AE1879&gt;=10000101,Sync!$AE1879&lt;=99991231),INT(Sync!$AE1879/10000),""),IFERROR(VALUE(TRIM(LEFT(Sync!$AE1879,FIND("/",Sync!$AE1879)-1))),""))))</f>
        <v/>
      </c>
      <c r="H1879">
        <f>IF(OR($F1879="",$G1879=""),"",IF(ISNUMBER(Sync!$AE1879),INT(MOD(Sync!$AE1879,10000)/100),IFERROR(VALUE(TRIM(LEFT(MID(Sync!$AE1879,FIND("/",Sync!$AE1879)+1,20),FIND("/",MID(Sync!$AE1879,FIND("/",Sync!$AE1879)+1,20))-1))),"")))</f>
        <v/>
      </c>
      <c r="I1879">
        <f>IF(OR($F1879="",$G1879=""),"",IF(ISNUMBER(Sync!$AE1879),MOD(Sync!$AE1879,100),IFERROR(VALUE(TRIM(MID(MID(Sync!$AE1879,FIND("/",Sync!$AE1879)+1,20),FIND("/",MID(Sync!$AE1879,FIND("/",Sync!$AE1879)+1,20))+1,20))),"")))</f>
        <v/>
      </c>
      <c r="J1879">
        <f>IF($F1879="","",IF(OR($G1879="",$H1879="",$I1879="",$G1879&lt;1300,$G1879&gt;1500,$H1879&lt;1,$H1879&gt;12,$I1879&lt;1,$I1879&gt;31),"نامعتبر",RIGHT("0000"&amp;$G1879,4)&amp;"/"&amp;RIGHT("00"&amp;$H1879,2)&amp;"/"&amp;RIGHT("00"&amp;$I1879,2)))</f>
        <v/>
      </c>
      <c r="K1879">
        <f>IF(OR($F1879="",$J1879="",$J1879="نامعتبر"),"",LEFT($J1879,4)&amp;MID($J1879,6,2)&amp;RIGHT($J1879,2)&amp;$N1879&amp;"|"&amp;"2"&amp;RIGHT("00000"&amp;1874,5))</f>
        <v/>
      </c>
      <c r="L1879">
        <f>IF($K1879="","",COUNTIFS(LdgSellerA,$F1879,LdgKeyA,"&lt;"&amp;$K1879)+COUNTIFS(LdgSellerB,$F1879,LdgKeyB,"&lt;"&amp;$K1879)+1)</f>
        <v/>
      </c>
      <c r="M1879">
        <f>IF($L1879="","",$F1879&amp;"|"&amp;RIGHT("000000"&amp;$L1879,6))</f>
        <v/>
      </c>
      <c r="N1879">
        <f>IF($F1879="","",IF(Sync!$AF1879="","0000",IF(AND(ISNUMBER(Sync!$AF1879),Sync!$AF1879&gt;=0,Sync!$AF1879&lt;1),RIGHT("00"&amp;HOUR(Sync!$AF1879),2)&amp;RIGHT("00"&amp;MINUTE(Sync!$AF1879),2),IFERROR(RIGHT("00"&amp;VALUE(LEFT(Sync!$AF1879,FIND(":",Sync!$AF1879)-1)),2)&amp;RIGHT("00"&amp;VALUE(MID(Sync!$AF1879,FIND(":",Sync!$AF1879)+1,2)),2),"0000"))))</f>
        <v/>
      </c>
    </row>
    <row r="1880">
      <c r="A1880">
        <f>IF(OR(Calc!$E1884="",Calc!$E1884="نامعتبر",Calc!$G1884=""),"",Calc!$G1884)</f>
        <v/>
      </c>
      <c r="B1880">
        <f>IF($A1880="","",LEFT(Calc!$E1884,4)&amp;MID(Calc!$E1884,6,2)&amp;RIGHT(Calc!$E1884,2)&amp;Calc!$Q1884&amp;"|"&amp;"1"&amp;RIGHT("00000"&amp;1875,5))</f>
        <v/>
      </c>
      <c r="C1880">
        <f>IF($B1880="","",COUNTIFS(LdgSellerA,$A1880,LdgKeyA,"&lt;"&amp;$B1880)+COUNTIFS(LdgSellerB,$A1880,LdgKeyB,"&lt;"&amp;$B1880)+1)</f>
        <v/>
      </c>
      <c r="D1880">
        <f>IF($C1880="","",$A1880&amp;"|"&amp;RIGHT("000000"&amp;$C1880,6))</f>
        <v/>
      </c>
      <c r="F1880">
        <f>IF(Sync!$AH1880="","",IF(LEFT(UPPER(TRIM(Sync!$AH1880)),2)="SL",UPPER(TRIM(Sync!$AH1880)),""))</f>
        <v/>
      </c>
      <c r="G1880">
        <f>IF($F1880="","",IF(Sync!$AE1880="","",IF(ISNUMBER(Sync!$AE1880),IF(AND(Sync!$AE1880&gt;=10000101,Sync!$AE1880&lt;=99991231),INT(Sync!$AE1880/10000),""),IFERROR(VALUE(TRIM(LEFT(Sync!$AE1880,FIND("/",Sync!$AE1880)-1))),""))))</f>
        <v/>
      </c>
      <c r="H1880">
        <f>IF(OR($F1880="",$G1880=""),"",IF(ISNUMBER(Sync!$AE1880),INT(MOD(Sync!$AE1880,10000)/100),IFERROR(VALUE(TRIM(LEFT(MID(Sync!$AE1880,FIND("/",Sync!$AE1880)+1,20),FIND("/",MID(Sync!$AE1880,FIND("/",Sync!$AE1880)+1,20))-1))),"")))</f>
        <v/>
      </c>
      <c r="I1880">
        <f>IF(OR($F1880="",$G1880=""),"",IF(ISNUMBER(Sync!$AE1880),MOD(Sync!$AE1880,100),IFERROR(VALUE(TRIM(MID(MID(Sync!$AE1880,FIND("/",Sync!$AE1880)+1,20),FIND("/",MID(Sync!$AE1880,FIND("/",Sync!$AE1880)+1,20))+1,20))),"")))</f>
        <v/>
      </c>
      <c r="J1880">
        <f>IF($F1880="","",IF(OR($G1880="",$H1880="",$I1880="",$G1880&lt;1300,$G1880&gt;1500,$H1880&lt;1,$H1880&gt;12,$I1880&lt;1,$I1880&gt;31),"نامعتبر",RIGHT("0000"&amp;$G1880,4)&amp;"/"&amp;RIGHT("00"&amp;$H1880,2)&amp;"/"&amp;RIGHT("00"&amp;$I1880,2)))</f>
        <v/>
      </c>
      <c r="K1880">
        <f>IF(OR($F1880="",$J1880="",$J1880="نامعتبر"),"",LEFT($J1880,4)&amp;MID($J1880,6,2)&amp;RIGHT($J1880,2)&amp;$N1880&amp;"|"&amp;"2"&amp;RIGHT("00000"&amp;1875,5))</f>
        <v/>
      </c>
      <c r="L1880">
        <f>IF($K1880="","",COUNTIFS(LdgSellerA,$F1880,LdgKeyA,"&lt;"&amp;$K1880)+COUNTIFS(LdgSellerB,$F1880,LdgKeyB,"&lt;"&amp;$K1880)+1)</f>
        <v/>
      </c>
      <c r="M1880">
        <f>IF($L1880="","",$F1880&amp;"|"&amp;RIGHT("000000"&amp;$L1880,6))</f>
        <v/>
      </c>
      <c r="N1880">
        <f>IF($F1880="","",IF(Sync!$AF1880="","0000",IF(AND(ISNUMBER(Sync!$AF1880),Sync!$AF1880&gt;=0,Sync!$AF1880&lt;1),RIGHT("00"&amp;HOUR(Sync!$AF1880),2)&amp;RIGHT("00"&amp;MINUTE(Sync!$AF1880),2),IFERROR(RIGHT("00"&amp;VALUE(LEFT(Sync!$AF1880,FIND(":",Sync!$AF1880)-1)),2)&amp;RIGHT("00"&amp;VALUE(MID(Sync!$AF1880,FIND(":",Sync!$AF1880)+1,2)),2),"0000"))))</f>
        <v/>
      </c>
    </row>
    <row r="1881">
      <c r="A1881">
        <f>IF(OR(Calc!$E1885="",Calc!$E1885="نامعتبر",Calc!$G1885=""),"",Calc!$G1885)</f>
        <v/>
      </c>
      <c r="B1881">
        <f>IF($A1881="","",LEFT(Calc!$E1885,4)&amp;MID(Calc!$E1885,6,2)&amp;RIGHT(Calc!$E1885,2)&amp;Calc!$Q1885&amp;"|"&amp;"1"&amp;RIGHT("00000"&amp;1876,5))</f>
        <v/>
      </c>
      <c r="C1881">
        <f>IF($B1881="","",COUNTIFS(LdgSellerA,$A1881,LdgKeyA,"&lt;"&amp;$B1881)+COUNTIFS(LdgSellerB,$A1881,LdgKeyB,"&lt;"&amp;$B1881)+1)</f>
        <v/>
      </c>
      <c r="D1881">
        <f>IF($C1881="","",$A1881&amp;"|"&amp;RIGHT("000000"&amp;$C1881,6))</f>
        <v/>
      </c>
      <c r="F1881">
        <f>IF(Sync!$AH1881="","",IF(LEFT(UPPER(TRIM(Sync!$AH1881)),2)="SL",UPPER(TRIM(Sync!$AH1881)),""))</f>
        <v/>
      </c>
      <c r="G1881">
        <f>IF($F1881="","",IF(Sync!$AE1881="","",IF(ISNUMBER(Sync!$AE1881),IF(AND(Sync!$AE1881&gt;=10000101,Sync!$AE1881&lt;=99991231),INT(Sync!$AE1881/10000),""),IFERROR(VALUE(TRIM(LEFT(Sync!$AE1881,FIND("/",Sync!$AE1881)-1))),""))))</f>
        <v/>
      </c>
      <c r="H1881">
        <f>IF(OR($F1881="",$G1881=""),"",IF(ISNUMBER(Sync!$AE1881),INT(MOD(Sync!$AE1881,10000)/100),IFERROR(VALUE(TRIM(LEFT(MID(Sync!$AE1881,FIND("/",Sync!$AE1881)+1,20),FIND("/",MID(Sync!$AE1881,FIND("/",Sync!$AE1881)+1,20))-1))),"")))</f>
        <v/>
      </c>
      <c r="I1881">
        <f>IF(OR($F1881="",$G1881=""),"",IF(ISNUMBER(Sync!$AE1881),MOD(Sync!$AE1881,100),IFERROR(VALUE(TRIM(MID(MID(Sync!$AE1881,FIND("/",Sync!$AE1881)+1,20),FIND("/",MID(Sync!$AE1881,FIND("/",Sync!$AE1881)+1,20))+1,20))),"")))</f>
        <v/>
      </c>
      <c r="J1881">
        <f>IF($F1881="","",IF(OR($G1881="",$H1881="",$I1881="",$G1881&lt;1300,$G1881&gt;1500,$H1881&lt;1,$H1881&gt;12,$I1881&lt;1,$I1881&gt;31),"نامعتبر",RIGHT("0000"&amp;$G1881,4)&amp;"/"&amp;RIGHT("00"&amp;$H1881,2)&amp;"/"&amp;RIGHT("00"&amp;$I1881,2)))</f>
        <v/>
      </c>
      <c r="K1881">
        <f>IF(OR($F1881="",$J1881="",$J1881="نامعتبر"),"",LEFT($J1881,4)&amp;MID($J1881,6,2)&amp;RIGHT($J1881,2)&amp;$N1881&amp;"|"&amp;"2"&amp;RIGHT("00000"&amp;1876,5))</f>
        <v/>
      </c>
      <c r="L1881">
        <f>IF($K1881="","",COUNTIFS(LdgSellerA,$F1881,LdgKeyA,"&lt;"&amp;$K1881)+COUNTIFS(LdgSellerB,$F1881,LdgKeyB,"&lt;"&amp;$K1881)+1)</f>
        <v/>
      </c>
      <c r="M1881">
        <f>IF($L1881="","",$F1881&amp;"|"&amp;RIGHT("000000"&amp;$L1881,6))</f>
        <v/>
      </c>
      <c r="N1881">
        <f>IF($F1881="","",IF(Sync!$AF1881="","0000",IF(AND(ISNUMBER(Sync!$AF1881),Sync!$AF1881&gt;=0,Sync!$AF1881&lt;1),RIGHT("00"&amp;HOUR(Sync!$AF1881),2)&amp;RIGHT("00"&amp;MINUTE(Sync!$AF1881),2),IFERROR(RIGHT("00"&amp;VALUE(LEFT(Sync!$AF1881,FIND(":",Sync!$AF1881)-1)),2)&amp;RIGHT("00"&amp;VALUE(MID(Sync!$AF1881,FIND(":",Sync!$AF1881)+1,2)),2),"0000"))))</f>
        <v/>
      </c>
    </row>
    <row r="1882">
      <c r="A1882">
        <f>IF(OR(Calc!$E1886="",Calc!$E1886="نامعتبر",Calc!$G1886=""),"",Calc!$G1886)</f>
        <v/>
      </c>
      <c r="B1882">
        <f>IF($A1882="","",LEFT(Calc!$E1886,4)&amp;MID(Calc!$E1886,6,2)&amp;RIGHT(Calc!$E1886,2)&amp;Calc!$Q1886&amp;"|"&amp;"1"&amp;RIGHT("00000"&amp;1877,5))</f>
        <v/>
      </c>
      <c r="C1882">
        <f>IF($B1882="","",COUNTIFS(LdgSellerA,$A1882,LdgKeyA,"&lt;"&amp;$B1882)+COUNTIFS(LdgSellerB,$A1882,LdgKeyB,"&lt;"&amp;$B1882)+1)</f>
        <v/>
      </c>
      <c r="D1882">
        <f>IF($C1882="","",$A1882&amp;"|"&amp;RIGHT("000000"&amp;$C1882,6))</f>
        <v/>
      </c>
      <c r="F1882">
        <f>IF(Sync!$AH1882="","",IF(LEFT(UPPER(TRIM(Sync!$AH1882)),2)="SL",UPPER(TRIM(Sync!$AH1882)),""))</f>
        <v/>
      </c>
      <c r="G1882">
        <f>IF($F1882="","",IF(Sync!$AE1882="","",IF(ISNUMBER(Sync!$AE1882),IF(AND(Sync!$AE1882&gt;=10000101,Sync!$AE1882&lt;=99991231),INT(Sync!$AE1882/10000),""),IFERROR(VALUE(TRIM(LEFT(Sync!$AE1882,FIND("/",Sync!$AE1882)-1))),""))))</f>
        <v/>
      </c>
      <c r="H1882">
        <f>IF(OR($F1882="",$G1882=""),"",IF(ISNUMBER(Sync!$AE1882),INT(MOD(Sync!$AE1882,10000)/100),IFERROR(VALUE(TRIM(LEFT(MID(Sync!$AE1882,FIND("/",Sync!$AE1882)+1,20),FIND("/",MID(Sync!$AE1882,FIND("/",Sync!$AE1882)+1,20))-1))),"")))</f>
        <v/>
      </c>
      <c r="I1882">
        <f>IF(OR($F1882="",$G1882=""),"",IF(ISNUMBER(Sync!$AE1882),MOD(Sync!$AE1882,100),IFERROR(VALUE(TRIM(MID(MID(Sync!$AE1882,FIND("/",Sync!$AE1882)+1,20),FIND("/",MID(Sync!$AE1882,FIND("/",Sync!$AE1882)+1,20))+1,20))),"")))</f>
        <v/>
      </c>
      <c r="J1882">
        <f>IF($F1882="","",IF(OR($G1882="",$H1882="",$I1882="",$G1882&lt;1300,$G1882&gt;1500,$H1882&lt;1,$H1882&gt;12,$I1882&lt;1,$I1882&gt;31),"نامعتبر",RIGHT("0000"&amp;$G1882,4)&amp;"/"&amp;RIGHT("00"&amp;$H1882,2)&amp;"/"&amp;RIGHT("00"&amp;$I1882,2)))</f>
        <v/>
      </c>
      <c r="K1882">
        <f>IF(OR($F1882="",$J1882="",$J1882="نامعتبر"),"",LEFT($J1882,4)&amp;MID($J1882,6,2)&amp;RIGHT($J1882,2)&amp;$N1882&amp;"|"&amp;"2"&amp;RIGHT("00000"&amp;1877,5))</f>
        <v/>
      </c>
      <c r="L1882">
        <f>IF($K1882="","",COUNTIFS(LdgSellerA,$F1882,LdgKeyA,"&lt;"&amp;$K1882)+COUNTIFS(LdgSellerB,$F1882,LdgKeyB,"&lt;"&amp;$K1882)+1)</f>
        <v/>
      </c>
      <c r="M1882">
        <f>IF($L1882="","",$F1882&amp;"|"&amp;RIGHT("000000"&amp;$L1882,6))</f>
        <v/>
      </c>
      <c r="N1882">
        <f>IF($F1882="","",IF(Sync!$AF1882="","0000",IF(AND(ISNUMBER(Sync!$AF1882),Sync!$AF1882&gt;=0,Sync!$AF1882&lt;1),RIGHT("00"&amp;HOUR(Sync!$AF1882),2)&amp;RIGHT("00"&amp;MINUTE(Sync!$AF1882),2),IFERROR(RIGHT("00"&amp;VALUE(LEFT(Sync!$AF1882,FIND(":",Sync!$AF1882)-1)),2)&amp;RIGHT("00"&amp;VALUE(MID(Sync!$AF1882,FIND(":",Sync!$AF1882)+1,2)),2),"0000"))))</f>
        <v/>
      </c>
    </row>
    <row r="1883">
      <c r="A1883">
        <f>IF(OR(Calc!$E1887="",Calc!$E1887="نامعتبر",Calc!$G1887=""),"",Calc!$G1887)</f>
        <v/>
      </c>
      <c r="B1883">
        <f>IF($A1883="","",LEFT(Calc!$E1887,4)&amp;MID(Calc!$E1887,6,2)&amp;RIGHT(Calc!$E1887,2)&amp;Calc!$Q1887&amp;"|"&amp;"1"&amp;RIGHT("00000"&amp;1878,5))</f>
        <v/>
      </c>
      <c r="C1883">
        <f>IF($B1883="","",COUNTIFS(LdgSellerA,$A1883,LdgKeyA,"&lt;"&amp;$B1883)+COUNTIFS(LdgSellerB,$A1883,LdgKeyB,"&lt;"&amp;$B1883)+1)</f>
        <v/>
      </c>
      <c r="D1883">
        <f>IF($C1883="","",$A1883&amp;"|"&amp;RIGHT("000000"&amp;$C1883,6))</f>
        <v/>
      </c>
      <c r="F1883">
        <f>IF(Sync!$AH1883="","",IF(LEFT(UPPER(TRIM(Sync!$AH1883)),2)="SL",UPPER(TRIM(Sync!$AH1883)),""))</f>
        <v/>
      </c>
      <c r="G1883">
        <f>IF($F1883="","",IF(Sync!$AE1883="","",IF(ISNUMBER(Sync!$AE1883),IF(AND(Sync!$AE1883&gt;=10000101,Sync!$AE1883&lt;=99991231),INT(Sync!$AE1883/10000),""),IFERROR(VALUE(TRIM(LEFT(Sync!$AE1883,FIND("/",Sync!$AE1883)-1))),""))))</f>
        <v/>
      </c>
      <c r="H1883">
        <f>IF(OR($F1883="",$G1883=""),"",IF(ISNUMBER(Sync!$AE1883),INT(MOD(Sync!$AE1883,10000)/100),IFERROR(VALUE(TRIM(LEFT(MID(Sync!$AE1883,FIND("/",Sync!$AE1883)+1,20),FIND("/",MID(Sync!$AE1883,FIND("/",Sync!$AE1883)+1,20))-1))),"")))</f>
        <v/>
      </c>
      <c r="I1883">
        <f>IF(OR($F1883="",$G1883=""),"",IF(ISNUMBER(Sync!$AE1883),MOD(Sync!$AE1883,100),IFERROR(VALUE(TRIM(MID(MID(Sync!$AE1883,FIND("/",Sync!$AE1883)+1,20),FIND("/",MID(Sync!$AE1883,FIND("/",Sync!$AE1883)+1,20))+1,20))),"")))</f>
        <v/>
      </c>
      <c r="J1883">
        <f>IF($F1883="","",IF(OR($G1883="",$H1883="",$I1883="",$G1883&lt;1300,$G1883&gt;1500,$H1883&lt;1,$H1883&gt;12,$I1883&lt;1,$I1883&gt;31),"نامعتبر",RIGHT("0000"&amp;$G1883,4)&amp;"/"&amp;RIGHT("00"&amp;$H1883,2)&amp;"/"&amp;RIGHT("00"&amp;$I1883,2)))</f>
        <v/>
      </c>
      <c r="K1883">
        <f>IF(OR($F1883="",$J1883="",$J1883="نامعتبر"),"",LEFT($J1883,4)&amp;MID($J1883,6,2)&amp;RIGHT($J1883,2)&amp;$N1883&amp;"|"&amp;"2"&amp;RIGHT("00000"&amp;1878,5))</f>
        <v/>
      </c>
      <c r="L1883">
        <f>IF($K1883="","",COUNTIFS(LdgSellerA,$F1883,LdgKeyA,"&lt;"&amp;$K1883)+COUNTIFS(LdgSellerB,$F1883,LdgKeyB,"&lt;"&amp;$K1883)+1)</f>
        <v/>
      </c>
      <c r="M1883">
        <f>IF($L1883="","",$F1883&amp;"|"&amp;RIGHT("000000"&amp;$L1883,6))</f>
        <v/>
      </c>
      <c r="N1883">
        <f>IF($F1883="","",IF(Sync!$AF1883="","0000",IF(AND(ISNUMBER(Sync!$AF1883),Sync!$AF1883&gt;=0,Sync!$AF1883&lt;1),RIGHT("00"&amp;HOUR(Sync!$AF1883),2)&amp;RIGHT("00"&amp;MINUTE(Sync!$AF1883),2),IFERROR(RIGHT("00"&amp;VALUE(LEFT(Sync!$AF1883,FIND(":",Sync!$AF1883)-1)),2)&amp;RIGHT("00"&amp;VALUE(MID(Sync!$AF1883,FIND(":",Sync!$AF1883)+1,2)),2),"0000"))))</f>
        <v/>
      </c>
    </row>
    <row r="1884">
      <c r="A1884">
        <f>IF(OR(Calc!$E1888="",Calc!$E1888="نامعتبر",Calc!$G1888=""),"",Calc!$G1888)</f>
        <v/>
      </c>
      <c r="B1884">
        <f>IF($A1884="","",LEFT(Calc!$E1888,4)&amp;MID(Calc!$E1888,6,2)&amp;RIGHT(Calc!$E1888,2)&amp;Calc!$Q1888&amp;"|"&amp;"1"&amp;RIGHT("00000"&amp;1879,5))</f>
        <v/>
      </c>
      <c r="C1884">
        <f>IF($B1884="","",COUNTIFS(LdgSellerA,$A1884,LdgKeyA,"&lt;"&amp;$B1884)+COUNTIFS(LdgSellerB,$A1884,LdgKeyB,"&lt;"&amp;$B1884)+1)</f>
        <v/>
      </c>
      <c r="D1884">
        <f>IF($C1884="","",$A1884&amp;"|"&amp;RIGHT("000000"&amp;$C1884,6))</f>
        <v/>
      </c>
      <c r="F1884">
        <f>IF(Sync!$AH1884="","",IF(LEFT(UPPER(TRIM(Sync!$AH1884)),2)="SL",UPPER(TRIM(Sync!$AH1884)),""))</f>
        <v/>
      </c>
      <c r="G1884">
        <f>IF($F1884="","",IF(Sync!$AE1884="","",IF(ISNUMBER(Sync!$AE1884),IF(AND(Sync!$AE1884&gt;=10000101,Sync!$AE1884&lt;=99991231),INT(Sync!$AE1884/10000),""),IFERROR(VALUE(TRIM(LEFT(Sync!$AE1884,FIND("/",Sync!$AE1884)-1))),""))))</f>
        <v/>
      </c>
      <c r="H1884">
        <f>IF(OR($F1884="",$G1884=""),"",IF(ISNUMBER(Sync!$AE1884),INT(MOD(Sync!$AE1884,10000)/100),IFERROR(VALUE(TRIM(LEFT(MID(Sync!$AE1884,FIND("/",Sync!$AE1884)+1,20),FIND("/",MID(Sync!$AE1884,FIND("/",Sync!$AE1884)+1,20))-1))),"")))</f>
        <v/>
      </c>
      <c r="I1884">
        <f>IF(OR($F1884="",$G1884=""),"",IF(ISNUMBER(Sync!$AE1884),MOD(Sync!$AE1884,100),IFERROR(VALUE(TRIM(MID(MID(Sync!$AE1884,FIND("/",Sync!$AE1884)+1,20),FIND("/",MID(Sync!$AE1884,FIND("/",Sync!$AE1884)+1,20))+1,20))),"")))</f>
        <v/>
      </c>
      <c r="J1884">
        <f>IF($F1884="","",IF(OR($G1884="",$H1884="",$I1884="",$G1884&lt;1300,$G1884&gt;1500,$H1884&lt;1,$H1884&gt;12,$I1884&lt;1,$I1884&gt;31),"نامعتبر",RIGHT("0000"&amp;$G1884,4)&amp;"/"&amp;RIGHT("00"&amp;$H1884,2)&amp;"/"&amp;RIGHT("00"&amp;$I1884,2)))</f>
        <v/>
      </c>
      <c r="K1884">
        <f>IF(OR($F1884="",$J1884="",$J1884="نامعتبر"),"",LEFT($J1884,4)&amp;MID($J1884,6,2)&amp;RIGHT($J1884,2)&amp;$N1884&amp;"|"&amp;"2"&amp;RIGHT("00000"&amp;1879,5))</f>
        <v/>
      </c>
      <c r="L1884">
        <f>IF($K1884="","",COUNTIFS(LdgSellerA,$F1884,LdgKeyA,"&lt;"&amp;$K1884)+COUNTIFS(LdgSellerB,$F1884,LdgKeyB,"&lt;"&amp;$K1884)+1)</f>
        <v/>
      </c>
      <c r="M1884">
        <f>IF($L1884="","",$F1884&amp;"|"&amp;RIGHT("000000"&amp;$L1884,6))</f>
        <v/>
      </c>
      <c r="N1884">
        <f>IF($F1884="","",IF(Sync!$AF1884="","0000",IF(AND(ISNUMBER(Sync!$AF1884),Sync!$AF1884&gt;=0,Sync!$AF1884&lt;1),RIGHT("00"&amp;HOUR(Sync!$AF1884),2)&amp;RIGHT("00"&amp;MINUTE(Sync!$AF1884),2),IFERROR(RIGHT("00"&amp;VALUE(LEFT(Sync!$AF1884,FIND(":",Sync!$AF1884)-1)),2)&amp;RIGHT("00"&amp;VALUE(MID(Sync!$AF1884,FIND(":",Sync!$AF1884)+1,2)),2),"0000"))))</f>
        <v/>
      </c>
    </row>
    <row r="1885">
      <c r="A1885">
        <f>IF(OR(Calc!$E1889="",Calc!$E1889="نامعتبر",Calc!$G1889=""),"",Calc!$G1889)</f>
        <v/>
      </c>
      <c r="B1885">
        <f>IF($A1885="","",LEFT(Calc!$E1889,4)&amp;MID(Calc!$E1889,6,2)&amp;RIGHT(Calc!$E1889,2)&amp;Calc!$Q1889&amp;"|"&amp;"1"&amp;RIGHT("00000"&amp;1880,5))</f>
        <v/>
      </c>
      <c r="C1885">
        <f>IF($B1885="","",COUNTIFS(LdgSellerA,$A1885,LdgKeyA,"&lt;"&amp;$B1885)+COUNTIFS(LdgSellerB,$A1885,LdgKeyB,"&lt;"&amp;$B1885)+1)</f>
        <v/>
      </c>
      <c r="D1885">
        <f>IF($C1885="","",$A1885&amp;"|"&amp;RIGHT("000000"&amp;$C1885,6))</f>
        <v/>
      </c>
      <c r="F1885">
        <f>IF(Sync!$AH1885="","",IF(LEFT(UPPER(TRIM(Sync!$AH1885)),2)="SL",UPPER(TRIM(Sync!$AH1885)),""))</f>
        <v/>
      </c>
      <c r="G1885">
        <f>IF($F1885="","",IF(Sync!$AE1885="","",IF(ISNUMBER(Sync!$AE1885),IF(AND(Sync!$AE1885&gt;=10000101,Sync!$AE1885&lt;=99991231),INT(Sync!$AE1885/10000),""),IFERROR(VALUE(TRIM(LEFT(Sync!$AE1885,FIND("/",Sync!$AE1885)-1))),""))))</f>
        <v/>
      </c>
      <c r="H1885">
        <f>IF(OR($F1885="",$G1885=""),"",IF(ISNUMBER(Sync!$AE1885),INT(MOD(Sync!$AE1885,10000)/100),IFERROR(VALUE(TRIM(LEFT(MID(Sync!$AE1885,FIND("/",Sync!$AE1885)+1,20),FIND("/",MID(Sync!$AE1885,FIND("/",Sync!$AE1885)+1,20))-1))),"")))</f>
        <v/>
      </c>
      <c r="I1885">
        <f>IF(OR($F1885="",$G1885=""),"",IF(ISNUMBER(Sync!$AE1885),MOD(Sync!$AE1885,100),IFERROR(VALUE(TRIM(MID(MID(Sync!$AE1885,FIND("/",Sync!$AE1885)+1,20),FIND("/",MID(Sync!$AE1885,FIND("/",Sync!$AE1885)+1,20))+1,20))),"")))</f>
        <v/>
      </c>
      <c r="J1885">
        <f>IF($F1885="","",IF(OR($G1885="",$H1885="",$I1885="",$G1885&lt;1300,$G1885&gt;1500,$H1885&lt;1,$H1885&gt;12,$I1885&lt;1,$I1885&gt;31),"نامعتبر",RIGHT("0000"&amp;$G1885,4)&amp;"/"&amp;RIGHT("00"&amp;$H1885,2)&amp;"/"&amp;RIGHT("00"&amp;$I1885,2)))</f>
        <v/>
      </c>
      <c r="K1885">
        <f>IF(OR($F1885="",$J1885="",$J1885="نامعتبر"),"",LEFT($J1885,4)&amp;MID($J1885,6,2)&amp;RIGHT($J1885,2)&amp;$N1885&amp;"|"&amp;"2"&amp;RIGHT("00000"&amp;1880,5))</f>
        <v/>
      </c>
      <c r="L1885">
        <f>IF($K1885="","",COUNTIFS(LdgSellerA,$F1885,LdgKeyA,"&lt;"&amp;$K1885)+COUNTIFS(LdgSellerB,$F1885,LdgKeyB,"&lt;"&amp;$K1885)+1)</f>
        <v/>
      </c>
      <c r="M1885">
        <f>IF($L1885="","",$F1885&amp;"|"&amp;RIGHT("000000"&amp;$L1885,6))</f>
        <v/>
      </c>
      <c r="N1885">
        <f>IF($F1885="","",IF(Sync!$AF1885="","0000",IF(AND(ISNUMBER(Sync!$AF1885),Sync!$AF1885&gt;=0,Sync!$AF1885&lt;1),RIGHT("00"&amp;HOUR(Sync!$AF1885),2)&amp;RIGHT("00"&amp;MINUTE(Sync!$AF1885),2),IFERROR(RIGHT("00"&amp;VALUE(LEFT(Sync!$AF1885,FIND(":",Sync!$AF1885)-1)),2)&amp;RIGHT("00"&amp;VALUE(MID(Sync!$AF1885,FIND(":",Sync!$AF1885)+1,2)),2),"0000"))))</f>
        <v/>
      </c>
    </row>
    <row r="1886">
      <c r="A1886">
        <f>IF(OR(Calc!$E1890="",Calc!$E1890="نامعتبر",Calc!$G1890=""),"",Calc!$G1890)</f>
        <v/>
      </c>
      <c r="B1886">
        <f>IF($A1886="","",LEFT(Calc!$E1890,4)&amp;MID(Calc!$E1890,6,2)&amp;RIGHT(Calc!$E1890,2)&amp;Calc!$Q1890&amp;"|"&amp;"1"&amp;RIGHT("00000"&amp;1881,5))</f>
        <v/>
      </c>
      <c r="C1886">
        <f>IF($B1886="","",COUNTIFS(LdgSellerA,$A1886,LdgKeyA,"&lt;"&amp;$B1886)+COUNTIFS(LdgSellerB,$A1886,LdgKeyB,"&lt;"&amp;$B1886)+1)</f>
        <v/>
      </c>
      <c r="D1886">
        <f>IF($C1886="","",$A1886&amp;"|"&amp;RIGHT("000000"&amp;$C1886,6))</f>
        <v/>
      </c>
      <c r="F1886">
        <f>IF(Sync!$AH1886="","",IF(LEFT(UPPER(TRIM(Sync!$AH1886)),2)="SL",UPPER(TRIM(Sync!$AH1886)),""))</f>
        <v/>
      </c>
      <c r="G1886">
        <f>IF($F1886="","",IF(Sync!$AE1886="","",IF(ISNUMBER(Sync!$AE1886),IF(AND(Sync!$AE1886&gt;=10000101,Sync!$AE1886&lt;=99991231),INT(Sync!$AE1886/10000),""),IFERROR(VALUE(TRIM(LEFT(Sync!$AE1886,FIND("/",Sync!$AE1886)-1))),""))))</f>
        <v/>
      </c>
      <c r="H1886">
        <f>IF(OR($F1886="",$G1886=""),"",IF(ISNUMBER(Sync!$AE1886),INT(MOD(Sync!$AE1886,10000)/100),IFERROR(VALUE(TRIM(LEFT(MID(Sync!$AE1886,FIND("/",Sync!$AE1886)+1,20),FIND("/",MID(Sync!$AE1886,FIND("/",Sync!$AE1886)+1,20))-1))),"")))</f>
        <v/>
      </c>
      <c r="I1886">
        <f>IF(OR($F1886="",$G1886=""),"",IF(ISNUMBER(Sync!$AE1886),MOD(Sync!$AE1886,100),IFERROR(VALUE(TRIM(MID(MID(Sync!$AE1886,FIND("/",Sync!$AE1886)+1,20),FIND("/",MID(Sync!$AE1886,FIND("/",Sync!$AE1886)+1,20))+1,20))),"")))</f>
        <v/>
      </c>
      <c r="J1886">
        <f>IF($F1886="","",IF(OR($G1886="",$H1886="",$I1886="",$G1886&lt;1300,$G1886&gt;1500,$H1886&lt;1,$H1886&gt;12,$I1886&lt;1,$I1886&gt;31),"نامعتبر",RIGHT("0000"&amp;$G1886,4)&amp;"/"&amp;RIGHT("00"&amp;$H1886,2)&amp;"/"&amp;RIGHT("00"&amp;$I1886,2)))</f>
        <v/>
      </c>
      <c r="K1886">
        <f>IF(OR($F1886="",$J1886="",$J1886="نامعتبر"),"",LEFT($J1886,4)&amp;MID($J1886,6,2)&amp;RIGHT($J1886,2)&amp;$N1886&amp;"|"&amp;"2"&amp;RIGHT("00000"&amp;1881,5))</f>
        <v/>
      </c>
      <c r="L1886">
        <f>IF($K1886="","",COUNTIFS(LdgSellerA,$F1886,LdgKeyA,"&lt;"&amp;$K1886)+COUNTIFS(LdgSellerB,$F1886,LdgKeyB,"&lt;"&amp;$K1886)+1)</f>
        <v/>
      </c>
      <c r="M1886">
        <f>IF($L1886="","",$F1886&amp;"|"&amp;RIGHT("000000"&amp;$L1886,6))</f>
        <v/>
      </c>
      <c r="N1886">
        <f>IF($F1886="","",IF(Sync!$AF1886="","0000",IF(AND(ISNUMBER(Sync!$AF1886),Sync!$AF1886&gt;=0,Sync!$AF1886&lt;1),RIGHT("00"&amp;HOUR(Sync!$AF1886),2)&amp;RIGHT("00"&amp;MINUTE(Sync!$AF1886),2),IFERROR(RIGHT("00"&amp;VALUE(LEFT(Sync!$AF1886,FIND(":",Sync!$AF1886)-1)),2)&amp;RIGHT("00"&amp;VALUE(MID(Sync!$AF1886,FIND(":",Sync!$AF1886)+1,2)),2),"0000"))))</f>
        <v/>
      </c>
    </row>
    <row r="1887">
      <c r="A1887">
        <f>IF(OR(Calc!$E1891="",Calc!$E1891="نامعتبر",Calc!$G1891=""),"",Calc!$G1891)</f>
        <v/>
      </c>
      <c r="B1887">
        <f>IF($A1887="","",LEFT(Calc!$E1891,4)&amp;MID(Calc!$E1891,6,2)&amp;RIGHT(Calc!$E1891,2)&amp;Calc!$Q1891&amp;"|"&amp;"1"&amp;RIGHT("00000"&amp;1882,5))</f>
        <v/>
      </c>
      <c r="C1887">
        <f>IF($B1887="","",COUNTIFS(LdgSellerA,$A1887,LdgKeyA,"&lt;"&amp;$B1887)+COUNTIFS(LdgSellerB,$A1887,LdgKeyB,"&lt;"&amp;$B1887)+1)</f>
        <v/>
      </c>
      <c r="D1887">
        <f>IF($C1887="","",$A1887&amp;"|"&amp;RIGHT("000000"&amp;$C1887,6))</f>
        <v/>
      </c>
      <c r="F1887">
        <f>IF(Sync!$AH1887="","",IF(LEFT(UPPER(TRIM(Sync!$AH1887)),2)="SL",UPPER(TRIM(Sync!$AH1887)),""))</f>
        <v/>
      </c>
      <c r="G1887">
        <f>IF($F1887="","",IF(Sync!$AE1887="","",IF(ISNUMBER(Sync!$AE1887),IF(AND(Sync!$AE1887&gt;=10000101,Sync!$AE1887&lt;=99991231),INT(Sync!$AE1887/10000),""),IFERROR(VALUE(TRIM(LEFT(Sync!$AE1887,FIND("/",Sync!$AE1887)-1))),""))))</f>
        <v/>
      </c>
      <c r="H1887">
        <f>IF(OR($F1887="",$G1887=""),"",IF(ISNUMBER(Sync!$AE1887),INT(MOD(Sync!$AE1887,10000)/100),IFERROR(VALUE(TRIM(LEFT(MID(Sync!$AE1887,FIND("/",Sync!$AE1887)+1,20),FIND("/",MID(Sync!$AE1887,FIND("/",Sync!$AE1887)+1,20))-1))),"")))</f>
        <v/>
      </c>
      <c r="I1887">
        <f>IF(OR($F1887="",$G1887=""),"",IF(ISNUMBER(Sync!$AE1887),MOD(Sync!$AE1887,100),IFERROR(VALUE(TRIM(MID(MID(Sync!$AE1887,FIND("/",Sync!$AE1887)+1,20),FIND("/",MID(Sync!$AE1887,FIND("/",Sync!$AE1887)+1,20))+1,20))),"")))</f>
        <v/>
      </c>
      <c r="J1887">
        <f>IF($F1887="","",IF(OR($G1887="",$H1887="",$I1887="",$G1887&lt;1300,$G1887&gt;1500,$H1887&lt;1,$H1887&gt;12,$I1887&lt;1,$I1887&gt;31),"نامعتبر",RIGHT("0000"&amp;$G1887,4)&amp;"/"&amp;RIGHT("00"&amp;$H1887,2)&amp;"/"&amp;RIGHT("00"&amp;$I1887,2)))</f>
        <v/>
      </c>
      <c r="K1887">
        <f>IF(OR($F1887="",$J1887="",$J1887="نامعتبر"),"",LEFT($J1887,4)&amp;MID($J1887,6,2)&amp;RIGHT($J1887,2)&amp;$N1887&amp;"|"&amp;"2"&amp;RIGHT("00000"&amp;1882,5))</f>
        <v/>
      </c>
      <c r="L1887">
        <f>IF($K1887="","",COUNTIFS(LdgSellerA,$F1887,LdgKeyA,"&lt;"&amp;$K1887)+COUNTIFS(LdgSellerB,$F1887,LdgKeyB,"&lt;"&amp;$K1887)+1)</f>
        <v/>
      </c>
      <c r="M1887">
        <f>IF($L1887="","",$F1887&amp;"|"&amp;RIGHT("000000"&amp;$L1887,6))</f>
        <v/>
      </c>
      <c r="N1887">
        <f>IF($F1887="","",IF(Sync!$AF1887="","0000",IF(AND(ISNUMBER(Sync!$AF1887),Sync!$AF1887&gt;=0,Sync!$AF1887&lt;1),RIGHT("00"&amp;HOUR(Sync!$AF1887),2)&amp;RIGHT("00"&amp;MINUTE(Sync!$AF1887),2),IFERROR(RIGHT("00"&amp;VALUE(LEFT(Sync!$AF1887,FIND(":",Sync!$AF1887)-1)),2)&amp;RIGHT("00"&amp;VALUE(MID(Sync!$AF1887,FIND(":",Sync!$AF1887)+1,2)),2),"0000"))))</f>
        <v/>
      </c>
    </row>
    <row r="1888">
      <c r="A1888">
        <f>IF(OR(Calc!$E1892="",Calc!$E1892="نامعتبر",Calc!$G1892=""),"",Calc!$G1892)</f>
        <v/>
      </c>
      <c r="B1888">
        <f>IF($A1888="","",LEFT(Calc!$E1892,4)&amp;MID(Calc!$E1892,6,2)&amp;RIGHT(Calc!$E1892,2)&amp;Calc!$Q1892&amp;"|"&amp;"1"&amp;RIGHT("00000"&amp;1883,5))</f>
        <v/>
      </c>
      <c r="C1888">
        <f>IF($B1888="","",COUNTIFS(LdgSellerA,$A1888,LdgKeyA,"&lt;"&amp;$B1888)+COUNTIFS(LdgSellerB,$A1888,LdgKeyB,"&lt;"&amp;$B1888)+1)</f>
        <v/>
      </c>
      <c r="D1888">
        <f>IF($C1888="","",$A1888&amp;"|"&amp;RIGHT("000000"&amp;$C1888,6))</f>
        <v/>
      </c>
      <c r="F1888">
        <f>IF(Sync!$AH1888="","",IF(LEFT(UPPER(TRIM(Sync!$AH1888)),2)="SL",UPPER(TRIM(Sync!$AH1888)),""))</f>
        <v/>
      </c>
      <c r="G1888">
        <f>IF($F1888="","",IF(Sync!$AE1888="","",IF(ISNUMBER(Sync!$AE1888),IF(AND(Sync!$AE1888&gt;=10000101,Sync!$AE1888&lt;=99991231),INT(Sync!$AE1888/10000),""),IFERROR(VALUE(TRIM(LEFT(Sync!$AE1888,FIND("/",Sync!$AE1888)-1))),""))))</f>
        <v/>
      </c>
      <c r="H1888">
        <f>IF(OR($F1888="",$G1888=""),"",IF(ISNUMBER(Sync!$AE1888),INT(MOD(Sync!$AE1888,10000)/100),IFERROR(VALUE(TRIM(LEFT(MID(Sync!$AE1888,FIND("/",Sync!$AE1888)+1,20),FIND("/",MID(Sync!$AE1888,FIND("/",Sync!$AE1888)+1,20))-1))),"")))</f>
        <v/>
      </c>
      <c r="I1888">
        <f>IF(OR($F1888="",$G1888=""),"",IF(ISNUMBER(Sync!$AE1888),MOD(Sync!$AE1888,100),IFERROR(VALUE(TRIM(MID(MID(Sync!$AE1888,FIND("/",Sync!$AE1888)+1,20),FIND("/",MID(Sync!$AE1888,FIND("/",Sync!$AE1888)+1,20))+1,20))),"")))</f>
        <v/>
      </c>
      <c r="J1888">
        <f>IF($F1888="","",IF(OR($G1888="",$H1888="",$I1888="",$G1888&lt;1300,$G1888&gt;1500,$H1888&lt;1,$H1888&gt;12,$I1888&lt;1,$I1888&gt;31),"نامعتبر",RIGHT("0000"&amp;$G1888,4)&amp;"/"&amp;RIGHT("00"&amp;$H1888,2)&amp;"/"&amp;RIGHT("00"&amp;$I1888,2)))</f>
        <v/>
      </c>
      <c r="K1888">
        <f>IF(OR($F1888="",$J1888="",$J1888="نامعتبر"),"",LEFT($J1888,4)&amp;MID($J1888,6,2)&amp;RIGHT($J1888,2)&amp;$N1888&amp;"|"&amp;"2"&amp;RIGHT("00000"&amp;1883,5))</f>
        <v/>
      </c>
      <c r="L1888">
        <f>IF($K1888="","",COUNTIFS(LdgSellerA,$F1888,LdgKeyA,"&lt;"&amp;$K1888)+COUNTIFS(LdgSellerB,$F1888,LdgKeyB,"&lt;"&amp;$K1888)+1)</f>
        <v/>
      </c>
      <c r="M1888">
        <f>IF($L1888="","",$F1888&amp;"|"&amp;RIGHT("000000"&amp;$L1888,6))</f>
        <v/>
      </c>
      <c r="N1888">
        <f>IF($F1888="","",IF(Sync!$AF1888="","0000",IF(AND(ISNUMBER(Sync!$AF1888),Sync!$AF1888&gt;=0,Sync!$AF1888&lt;1),RIGHT("00"&amp;HOUR(Sync!$AF1888),2)&amp;RIGHT("00"&amp;MINUTE(Sync!$AF1888),2),IFERROR(RIGHT("00"&amp;VALUE(LEFT(Sync!$AF1888,FIND(":",Sync!$AF1888)-1)),2)&amp;RIGHT("00"&amp;VALUE(MID(Sync!$AF1888,FIND(":",Sync!$AF1888)+1,2)),2),"0000"))))</f>
        <v/>
      </c>
    </row>
    <row r="1889">
      <c r="A1889">
        <f>IF(OR(Calc!$E1893="",Calc!$E1893="نامعتبر",Calc!$G1893=""),"",Calc!$G1893)</f>
        <v/>
      </c>
      <c r="B1889">
        <f>IF($A1889="","",LEFT(Calc!$E1893,4)&amp;MID(Calc!$E1893,6,2)&amp;RIGHT(Calc!$E1893,2)&amp;Calc!$Q1893&amp;"|"&amp;"1"&amp;RIGHT("00000"&amp;1884,5))</f>
        <v/>
      </c>
      <c r="C1889">
        <f>IF($B1889="","",COUNTIFS(LdgSellerA,$A1889,LdgKeyA,"&lt;"&amp;$B1889)+COUNTIFS(LdgSellerB,$A1889,LdgKeyB,"&lt;"&amp;$B1889)+1)</f>
        <v/>
      </c>
      <c r="D1889">
        <f>IF($C1889="","",$A1889&amp;"|"&amp;RIGHT("000000"&amp;$C1889,6))</f>
        <v/>
      </c>
      <c r="F1889">
        <f>IF(Sync!$AH1889="","",IF(LEFT(UPPER(TRIM(Sync!$AH1889)),2)="SL",UPPER(TRIM(Sync!$AH1889)),""))</f>
        <v/>
      </c>
      <c r="G1889">
        <f>IF($F1889="","",IF(Sync!$AE1889="","",IF(ISNUMBER(Sync!$AE1889),IF(AND(Sync!$AE1889&gt;=10000101,Sync!$AE1889&lt;=99991231),INT(Sync!$AE1889/10000),""),IFERROR(VALUE(TRIM(LEFT(Sync!$AE1889,FIND("/",Sync!$AE1889)-1))),""))))</f>
        <v/>
      </c>
      <c r="H1889">
        <f>IF(OR($F1889="",$G1889=""),"",IF(ISNUMBER(Sync!$AE1889),INT(MOD(Sync!$AE1889,10000)/100),IFERROR(VALUE(TRIM(LEFT(MID(Sync!$AE1889,FIND("/",Sync!$AE1889)+1,20),FIND("/",MID(Sync!$AE1889,FIND("/",Sync!$AE1889)+1,20))-1))),"")))</f>
        <v/>
      </c>
      <c r="I1889">
        <f>IF(OR($F1889="",$G1889=""),"",IF(ISNUMBER(Sync!$AE1889),MOD(Sync!$AE1889,100),IFERROR(VALUE(TRIM(MID(MID(Sync!$AE1889,FIND("/",Sync!$AE1889)+1,20),FIND("/",MID(Sync!$AE1889,FIND("/",Sync!$AE1889)+1,20))+1,20))),"")))</f>
        <v/>
      </c>
      <c r="J1889">
        <f>IF($F1889="","",IF(OR($G1889="",$H1889="",$I1889="",$G1889&lt;1300,$G1889&gt;1500,$H1889&lt;1,$H1889&gt;12,$I1889&lt;1,$I1889&gt;31),"نامعتبر",RIGHT("0000"&amp;$G1889,4)&amp;"/"&amp;RIGHT("00"&amp;$H1889,2)&amp;"/"&amp;RIGHT("00"&amp;$I1889,2)))</f>
        <v/>
      </c>
      <c r="K1889">
        <f>IF(OR($F1889="",$J1889="",$J1889="نامعتبر"),"",LEFT($J1889,4)&amp;MID($J1889,6,2)&amp;RIGHT($J1889,2)&amp;$N1889&amp;"|"&amp;"2"&amp;RIGHT("00000"&amp;1884,5))</f>
        <v/>
      </c>
      <c r="L1889">
        <f>IF($K1889="","",COUNTIFS(LdgSellerA,$F1889,LdgKeyA,"&lt;"&amp;$K1889)+COUNTIFS(LdgSellerB,$F1889,LdgKeyB,"&lt;"&amp;$K1889)+1)</f>
        <v/>
      </c>
      <c r="M1889">
        <f>IF($L1889="","",$F1889&amp;"|"&amp;RIGHT("000000"&amp;$L1889,6))</f>
        <v/>
      </c>
      <c r="N1889">
        <f>IF($F1889="","",IF(Sync!$AF1889="","0000",IF(AND(ISNUMBER(Sync!$AF1889),Sync!$AF1889&gt;=0,Sync!$AF1889&lt;1),RIGHT("00"&amp;HOUR(Sync!$AF1889),2)&amp;RIGHT("00"&amp;MINUTE(Sync!$AF1889),2),IFERROR(RIGHT("00"&amp;VALUE(LEFT(Sync!$AF1889,FIND(":",Sync!$AF1889)-1)),2)&amp;RIGHT("00"&amp;VALUE(MID(Sync!$AF1889,FIND(":",Sync!$AF1889)+1,2)),2),"0000"))))</f>
        <v/>
      </c>
    </row>
    <row r="1890">
      <c r="A1890">
        <f>IF(OR(Calc!$E1894="",Calc!$E1894="نامعتبر",Calc!$G1894=""),"",Calc!$G1894)</f>
        <v/>
      </c>
      <c r="B1890">
        <f>IF($A1890="","",LEFT(Calc!$E1894,4)&amp;MID(Calc!$E1894,6,2)&amp;RIGHT(Calc!$E1894,2)&amp;Calc!$Q1894&amp;"|"&amp;"1"&amp;RIGHT("00000"&amp;1885,5))</f>
        <v/>
      </c>
      <c r="C1890">
        <f>IF($B1890="","",COUNTIFS(LdgSellerA,$A1890,LdgKeyA,"&lt;"&amp;$B1890)+COUNTIFS(LdgSellerB,$A1890,LdgKeyB,"&lt;"&amp;$B1890)+1)</f>
        <v/>
      </c>
      <c r="D1890">
        <f>IF($C1890="","",$A1890&amp;"|"&amp;RIGHT("000000"&amp;$C1890,6))</f>
        <v/>
      </c>
      <c r="F1890">
        <f>IF(Sync!$AH1890="","",IF(LEFT(UPPER(TRIM(Sync!$AH1890)),2)="SL",UPPER(TRIM(Sync!$AH1890)),""))</f>
        <v/>
      </c>
      <c r="G1890">
        <f>IF($F1890="","",IF(Sync!$AE1890="","",IF(ISNUMBER(Sync!$AE1890),IF(AND(Sync!$AE1890&gt;=10000101,Sync!$AE1890&lt;=99991231),INT(Sync!$AE1890/10000),""),IFERROR(VALUE(TRIM(LEFT(Sync!$AE1890,FIND("/",Sync!$AE1890)-1))),""))))</f>
        <v/>
      </c>
      <c r="H1890">
        <f>IF(OR($F1890="",$G1890=""),"",IF(ISNUMBER(Sync!$AE1890),INT(MOD(Sync!$AE1890,10000)/100),IFERROR(VALUE(TRIM(LEFT(MID(Sync!$AE1890,FIND("/",Sync!$AE1890)+1,20),FIND("/",MID(Sync!$AE1890,FIND("/",Sync!$AE1890)+1,20))-1))),"")))</f>
        <v/>
      </c>
      <c r="I1890">
        <f>IF(OR($F1890="",$G1890=""),"",IF(ISNUMBER(Sync!$AE1890),MOD(Sync!$AE1890,100),IFERROR(VALUE(TRIM(MID(MID(Sync!$AE1890,FIND("/",Sync!$AE1890)+1,20),FIND("/",MID(Sync!$AE1890,FIND("/",Sync!$AE1890)+1,20))+1,20))),"")))</f>
        <v/>
      </c>
      <c r="J1890">
        <f>IF($F1890="","",IF(OR($G1890="",$H1890="",$I1890="",$G1890&lt;1300,$G1890&gt;1500,$H1890&lt;1,$H1890&gt;12,$I1890&lt;1,$I1890&gt;31),"نامعتبر",RIGHT("0000"&amp;$G1890,4)&amp;"/"&amp;RIGHT("00"&amp;$H1890,2)&amp;"/"&amp;RIGHT("00"&amp;$I1890,2)))</f>
        <v/>
      </c>
      <c r="K1890">
        <f>IF(OR($F1890="",$J1890="",$J1890="نامعتبر"),"",LEFT($J1890,4)&amp;MID($J1890,6,2)&amp;RIGHT($J1890,2)&amp;$N1890&amp;"|"&amp;"2"&amp;RIGHT("00000"&amp;1885,5))</f>
        <v/>
      </c>
      <c r="L1890">
        <f>IF($K1890="","",COUNTIFS(LdgSellerA,$F1890,LdgKeyA,"&lt;"&amp;$K1890)+COUNTIFS(LdgSellerB,$F1890,LdgKeyB,"&lt;"&amp;$K1890)+1)</f>
        <v/>
      </c>
      <c r="M1890">
        <f>IF($L1890="","",$F1890&amp;"|"&amp;RIGHT("000000"&amp;$L1890,6))</f>
        <v/>
      </c>
      <c r="N1890">
        <f>IF($F1890="","",IF(Sync!$AF1890="","0000",IF(AND(ISNUMBER(Sync!$AF1890),Sync!$AF1890&gt;=0,Sync!$AF1890&lt;1),RIGHT("00"&amp;HOUR(Sync!$AF1890),2)&amp;RIGHT("00"&amp;MINUTE(Sync!$AF1890),2),IFERROR(RIGHT("00"&amp;VALUE(LEFT(Sync!$AF1890,FIND(":",Sync!$AF1890)-1)),2)&amp;RIGHT("00"&amp;VALUE(MID(Sync!$AF1890,FIND(":",Sync!$AF1890)+1,2)),2),"0000"))))</f>
        <v/>
      </c>
    </row>
    <row r="1891">
      <c r="A1891">
        <f>IF(OR(Calc!$E1895="",Calc!$E1895="نامعتبر",Calc!$G1895=""),"",Calc!$G1895)</f>
        <v/>
      </c>
      <c r="B1891">
        <f>IF($A1891="","",LEFT(Calc!$E1895,4)&amp;MID(Calc!$E1895,6,2)&amp;RIGHT(Calc!$E1895,2)&amp;Calc!$Q1895&amp;"|"&amp;"1"&amp;RIGHT("00000"&amp;1886,5))</f>
        <v/>
      </c>
      <c r="C1891">
        <f>IF($B1891="","",COUNTIFS(LdgSellerA,$A1891,LdgKeyA,"&lt;"&amp;$B1891)+COUNTIFS(LdgSellerB,$A1891,LdgKeyB,"&lt;"&amp;$B1891)+1)</f>
        <v/>
      </c>
      <c r="D1891">
        <f>IF($C1891="","",$A1891&amp;"|"&amp;RIGHT("000000"&amp;$C1891,6))</f>
        <v/>
      </c>
      <c r="F1891">
        <f>IF(Sync!$AH1891="","",IF(LEFT(UPPER(TRIM(Sync!$AH1891)),2)="SL",UPPER(TRIM(Sync!$AH1891)),""))</f>
        <v/>
      </c>
      <c r="G1891">
        <f>IF($F1891="","",IF(Sync!$AE1891="","",IF(ISNUMBER(Sync!$AE1891),IF(AND(Sync!$AE1891&gt;=10000101,Sync!$AE1891&lt;=99991231),INT(Sync!$AE1891/10000),""),IFERROR(VALUE(TRIM(LEFT(Sync!$AE1891,FIND("/",Sync!$AE1891)-1))),""))))</f>
        <v/>
      </c>
      <c r="H1891">
        <f>IF(OR($F1891="",$G1891=""),"",IF(ISNUMBER(Sync!$AE1891),INT(MOD(Sync!$AE1891,10000)/100),IFERROR(VALUE(TRIM(LEFT(MID(Sync!$AE1891,FIND("/",Sync!$AE1891)+1,20),FIND("/",MID(Sync!$AE1891,FIND("/",Sync!$AE1891)+1,20))-1))),"")))</f>
        <v/>
      </c>
      <c r="I1891">
        <f>IF(OR($F1891="",$G1891=""),"",IF(ISNUMBER(Sync!$AE1891),MOD(Sync!$AE1891,100),IFERROR(VALUE(TRIM(MID(MID(Sync!$AE1891,FIND("/",Sync!$AE1891)+1,20),FIND("/",MID(Sync!$AE1891,FIND("/",Sync!$AE1891)+1,20))+1,20))),"")))</f>
        <v/>
      </c>
      <c r="J1891">
        <f>IF($F1891="","",IF(OR($G1891="",$H1891="",$I1891="",$G1891&lt;1300,$G1891&gt;1500,$H1891&lt;1,$H1891&gt;12,$I1891&lt;1,$I1891&gt;31),"نامعتبر",RIGHT("0000"&amp;$G1891,4)&amp;"/"&amp;RIGHT("00"&amp;$H1891,2)&amp;"/"&amp;RIGHT("00"&amp;$I1891,2)))</f>
        <v/>
      </c>
      <c r="K1891">
        <f>IF(OR($F1891="",$J1891="",$J1891="نامعتبر"),"",LEFT($J1891,4)&amp;MID($J1891,6,2)&amp;RIGHT($J1891,2)&amp;$N1891&amp;"|"&amp;"2"&amp;RIGHT("00000"&amp;1886,5))</f>
        <v/>
      </c>
      <c r="L1891">
        <f>IF($K1891="","",COUNTIFS(LdgSellerA,$F1891,LdgKeyA,"&lt;"&amp;$K1891)+COUNTIFS(LdgSellerB,$F1891,LdgKeyB,"&lt;"&amp;$K1891)+1)</f>
        <v/>
      </c>
      <c r="M1891">
        <f>IF($L1891="","",$F1891&amp;"|"&amp;RIGHT("000000"&amp;$L1891,6))</f>
        <v/>
      </c>
      <c r="N1891">
        <f>IF($F1891="","",IF(Sync!$AF1891="","0000",IF(AND(ISNUMBER(Sync!$AF1891),Sync!$AF1891&gt;=0,Sync!$AF1891&lt;1),RIGHT("00"&amp;HOUR(Sync!$AF1891),2)&amp;RIGHT("00"&amp;MINUTE(Sync!$AF1891),2),IFERROR(RIGHT("00"&amp;VALUE(LEFT(Sync!$AF1891,FIND(":",Sync!$AF1891)-1)),2)&amp;RIGHT("00"&amp;VALUE(MID(Sync!$AF1891,FIND(":",Sync!$AF1891)+1,2)),2),"0000"))))</f>
        <v/>
      </c>
    </row>
    <row r="1892">
      <c r="A1892">
        <f>IF(OR(Calc!$E1896="",Calc!$E1896="نامعتبر",Calc!$G1896=""),"",Calc!$G1896)</f>
        <v/>
      </c>
      <c r="B1892">
        <f>IF($A1892="","",LEFT(Calc!$E1896,4)&amp;MID(Calc!$E1896,6,2)&amp;RIGHT(Calc!$E1896,2)&amp;Calc!$Q1896&amp;"|"&amp;"1"&amp;RIGHT("00000"&amp;1887,5))</f>
        <v/>
      </c>
      <c r="C1892">
        <f>IF($B1892="","",COUNTIFS(LdgSellerA,$A1892,LdgKeyA,"&lt;"&amp;$B1892)+COUNTIFS(LdgSellerB,$A1892,LdgKeyB,"&lt;"&amp;$B1892)+1)</f>
        <v/>
      </c>
      <c r="D1892">
        <f>IF($C1892="","",$A1892&amp;"|"&amp;RIGHT("000000"&amp;$C1892,6))</f>
        <v/>
      </c>
      <c r="F1892">
        <f>IF(Sync!$AH1892="","",IF(LEFT(UPPER(TRIM(Sync!$AH1892)),2)="SL",UPPER(TRIM(Sync!$AH1892)),""))</f>
        <v/>
      </c>
      <c r="G1892">
        <f>IF($F1892="","",IF(Sync!$AE1892="","",IF(ISNUMBER(Sync!$AE1892),IF(AND(Sync!$AE1892&gt;=10000101,Sync!$AE1892&lt;=99991231),INT(Sync!$AE1892/10000),""),IFERROR(VALUE(TRIM(LEFT(Sync!$AE1892,FIND("/",Sync!$AE1892)-1))),""))))</f>
        <v/>
      </c>
      <c r="H1892">
        <f>IF(OR($F1892="",$G1892=""),"",IF(ISNUMBER(Sync!$AE1892),INT(MOD(Sync!$AE1892,10000)/100),IFERROR(VALUE(TRIM(LEFT(MID(Sync!$AE1892,FIND("/",Sync!$AE1892)+1,20),FIND("/",MID(Sync!$AE1892,FIND("/",Sync!$AE1892)+1,20))-1))),"")))</f>
        <v/>
      </c>
      <c r="I1892">
        <f>IF(OR($F1892="",$G1892=""),"",IF(ISNUMBER(Sync!$AE1892),MOD(Sync!$AE1892,100),IFERROR(VALUE(TRIM(MID(MID(Sync!$AE1892,FIND("/",Sync!$AE1892)+1,20),FIND("/",MID(Sync!$AE1892,FIND("/",Sync!$AE1892)+1,20))+1,20))),"")))</f>
        <v/>
      </c>
      <c r="J1892">
        <f>IF($F1892="","",IF(OR($G1892="",$H1892="",$I1892="",$G1892&lt;1300,$G1892&gt;1500,$H1892&lt;1,$H1892&gt;12,$I1892&lt;1,$I1892&gt;31),"نامعتبر",RIGHT("0000"&amp;$G1892,4)&amp;"/"&amp;RIGHT("00"&amp;$H1892,2)&amp;"/"&amp;RIGHT("00"&amp;$I1892,2)))</f>
        <v/>
      </c>
      <c r="K1892">
        <f>IF(OR($F1892="",$J1892="",$J1892="نامعتبر"),"",LEFT($J1892,4)&amp;MID($J1892,6,2)&amp;RIGHT($J1892,2)&amp;$N1892&amp;"|"&amp;"2"&amp;RIGHT("00000"&amp;1887,5))</f>
        <v/>
      </c>
      <c r="L1892">
        <f>IF($K1892="","",COUNTIFS(LdgSellerA,$F1892,LdgKeyA,"&lt;"&amp;$K1892)+COUNTIFS(LdgSellerB,$F1892,LdgKeyB,"&lt;"&amp;$K1892)+1)</f>
        <v/>
      </c>
      <c r="M1892">
        <f>IF($L1892="","",$F1892&amp;"|"&amp;RIGHT("000000"&amp;$L1892,6))</f>
        <v/>
      </c>
      <c r="N1892">
        <f>IF($F1892="","",IF(Sync!$AF1892="","0000",IF(AND(ISNUMBER(Sync!$AF1892),Sync!$AF1892&gt;=0,Sync!$AF1892&lt;1),RIGHT("00"&amp;HOUR(Sync!$AF1892),2)&amp;RIGHT("00"&amp;MINUTE(Sync!$AF1892),2),IFERROR(RIGHT("00"&amp;VALUE(LEFT(Sync!$AF1892,FIND(":",Sync!$AF1892)-1)),2)&amp;RIGHT("00"&amp;VALUE(MID(Sync!$AF1892,FIND(":",Sync!$AF1892)+1,2)),2),"0000"))))</f>
        <v/>
      </c>
    </row>
    <row r="1893">
      <c r="A1893">
        <f>IF(OR(Calc!$E1897="",Calc!$E1897="نامعتبر",Calc!$G1897=""),"",Calc!$G1897)</f>
        <v/>
      </c>
      <c r="B1893">
        <f>IF($A1893="","",LEFT(Calc!$E1897,4)&amp;MID(Calc!$E1897,6,2)&amp;RIGHT(Calc!$E1897,2)&amp;Calc!$Q1897&amp;"|"&amp;"1"&amp;RIGHT("00000"&amp;1888,5))</f>
        <v/>
      </c>
      <c r="C1893">
        <f>IF($B1893="","",COUNTIFS(LdgSellerA,$A1893,LdgKeyA,"&lt;"&amp;$B1893)+COUNTIFS(LdgSellerB,$A1893,LdgKeyB,"&lt;"&amp;$B1893)+1)</f>
        <v/>
      </c>
      <c r="D1893">
        <f>IF($C1893="","",$A1893&amp;"|"&amp;RIGHT("000000"&amp;$C1893,6))</f>
        <v/>
      </c>
      <c r="F1893">
        <f>IF(Sync!$AH1893="","",IF(LEFT(UPPER(TRIM(Sync!$AH1893)),2)="SL",UPPER(TRIM(Sync!$AH1893)),""))</f>
        <v/>
      </c>
      <c r="G1893">
        <f>IF($F1893="","",IF(Sync!$AE1893="","",IF(ISNUMBER(Sync!$AE1893),IF(AND(Sync!$AE1893&gt;=10000101,Sync!$AE1893&lt;=99991231),INT(Sync!$AE1893/10000),""),IFERROR(VALUE(TRIM(LEFT(Sync!$AE1893,FIND("/",Sync!$AE1893)-1))),""))))</f>
        <v/>
      </c>
      <c r="H1893">
        <f>IF(OR($F1893="",$G1893=""),"",IF(ISNUMBER(Sync!$AE1893),INT(MOD(Sync!$AE1893,10000)/100),IFERROR(VALUE(TRIM(LEFT(MID(Sync!$AE1893,FIND("/",Sync!$AE1893)+1,20),FIND("/",MID(Sync!$AE1893,FIND("/",Sync!$AE1893)+1,20))-1))),"")))</f>
        <v/>
      </c>
      <c r="I1893">
        <f>IF(OR($F1893="",$G1893=""),"",IF(ISNUMBER(Sync!$AE1893),MOD(Sync!$AE1893,100),IFERROR(VALUE(TRIM(MID(MID(Sync!$AE1893,FIND("/",Sync!$AE1893)+1,20),FIND("/",MID(Sync!$AE1893,FIND("/",Sync!$AE1893)+1,20))+1,20))),"")))</f>
        <v/>
      </c>
      <c r="J1893">
        <f>IF($F1893="","",IF(OR($G1893="",$H1893="",$I1893="",$G1893&lt;1300,$G1893&gt;1500,$H1893&lt;1,$H1893&gt;12,$I1893&lt;1,$I1893&gt;31),"نامعتبر",RIGHT("0000"&amp;$G1893,4)&amp;"/"&amp;RIGHT("00"&amp;$H1893,2)&amp;"/"&amp;RIGHT("00"&amp;$I1893,2)))</f>
        <v/>
      </c>
      <c r="K1893">
        <f>IF(OR($F1893="",$J1893="",$J1893="نامعتبر"),"",LEFT($J1893,4)&amp;MID($J1893,6,2)&amp;RIGHT($J1893,2)&amp;$N1893&amp;"|"&amp;"2"&amp;RIGHT("00000"&amp;1888,5))</f>
        <v/>
      </c>
      <c r="L1893">
        <f>IF($K1893="","",COUNTIFS(LdgSellerA,$F1893,LdgKeyA,"&lt;"&amp;$K1893)+COUNTIFS(LdgSellerB,$F1893,LdgKeyB,"&lt;"&amp;$K1893)+1)</f>
        <v/>
      </c>
      <c r="M1893">
        <f>IF($L1893="","",$F1893&amp;"|"&amp;RIGHT("000000"&amp;$L1893,6))</f>
        <v/>
      </c>
      <c r="N1893">
        <f>IF($F1893="","",IF(Sync!$AF1893="","0000",IF(AND(ISNUMBER(Sync!$AF1893),Sync!$AF1893&gt;=0,Sync!$AF1893&lt;1),RIGHT("00"&amp;HOUR(Sync!$AF1893),2)&amp;RIGHT("00"&amp;MINUTE(Sync!$AF1893),2),IFERROR(RIGHT("00"&amp;VALUE(LEFT(Sync!$AF1893,FIND(":",Sync!$AF1893)-1)),2)&amp;RIGHT("00"&amp;VALUE(MID(Sync!$AF1893,FIND(":",Sync!$AF1893)+1,2)),2),"0000"))))</f>
        <v/>
      </c>
    </row>
    <row r="1894">
      <c r="A1894">
        <f>IF(OR(Calc!$E1898="",Calc!$E1898="نامعتبر",Calc!$G1898=""),"",Calc!$G1898)</f>
        <v/>
      </c>
      <c r="B1894">
        <f>IF($A1894="","",LEFT(Calc!$E1898,4)&amp;MID(Calc!$E1898,6,2)&amp;RIGHT(Calc!$E1898,2)&amp;Calc!$Q1898&amp;"|"&amp;"1"&amp;RIGHT("00000"&amp;1889,5))</f>
        <v/>
      </c>
      <c r="C1894">
        <f>IF($B1894="","",COUNTIFS(LdgSellerA,$A1894,LdgKeyA,"&lt;"&amp;$B1894)+COUNTIFS(LdgSellerB,$A1894,LdgKeyB,"&lt;"&amp;$B1894)+1)</f>
        <v/>
      </c>
      <c r="D1894">
        <f>IF($C1894="","",$A1894&amp;"|"&amp;RIGHT("000000"&amp;$C1894,6))</f>
        <v/>
      </c>
      <c r="F1894">
        <f>IF(Sync!$AH1894="","",IF(LEFT(UPPER(TRIM(Sync!$AH1894)),2)="SL",UPPER(TRIM(Sync!$AH1894)),""))</f>
        <v/>
      </c>
      <c r="G1894">
        <f>IF($F1894="","",IF(Sync!$AE1894="","",IF(ISNUMBER(Sync!$AE1894),IF(AND(Sync!$AE1894&gt;=10000101,Sync!$AE1894&lt;=99991231),INT(Sync!$AE1894/10000),""),IFERROR(VALUE(TRIM(LEFT(Sync!$AE1894,FIND("/",Sync!$AE1894)-1))),""))))</f>
        <v/>
      </c>
      <c r="H1894">
        <f>IF(OR($F1894="",$G1894=""),"",IF(ISNUMBER(Sync!$AE1894),INT(MOD(Sync!$AE1894,10000)/100),IFERROR(VALUE(TRIM(LEFT(MID(Sync!$AE1894,FIND("/",Sync!$AE1894)+1,20),FIND("/",MID(Sync!$AE1894,FIND("/",Sync!$AE1894)+1,20))-1))),"")))</f>
        <v/>
      </c>
      <c r="I1894">
        <f>IF(OR($F1894="",$G1894=""),"",IF(ISNUMBER(Sync!$AE1894),MOD(Sync!$AE1894,100),IFERROR(VALUE(TRIM(MID(MID(Sync!$AE1894,FIND("/",Sync!$AE1894)+1,20),FIND("/",MID(Sync!$AE1894,FIND("/",Sync!$AE1894)+1,20))+1,20))),"")))</f>
        <v/>
      </c>
      <c r="J1894">
        <f>IF($F1894="","",IF(OR($G1894="",$H1894="",$I1894="",$G1894&lt;1300,$G1894&gt;1500,$H1894&lt;1,$H1894&gt;12,$I1894&lt;1,$I1894&gt;31),"نامعتبر",RIGHT("0000"&amp;$G1894,4)&amp;"/"&amp;RIGHT("00"&amp;$H1894,2)&amp;"/"&amp;RIGHT("00"&amp;$I1894,2)))</f>
        <v/>
      </c>
      <c r="K1894">
        <f>IF(OR($F1894="",$J1894="",$J1894="نامعتبر"),"",LEFT($J1894,4)&amp;MID($J1894,6,2)&amp;RIGHT($J1894,2)&amp;$N1894&amp;"|"&amp;"2"&amp;RIGHT("00000"&amp;1889,5))</f>
        <v/>
      </c>
      <c r="L1894">
        <f>IF($K1894="","",COUNTIFS(LdgSellerA,$F1894,LdgKeyA,"&lt;"&amp;$K1894)+COUNTIFS(LdgSellerB,$F1894,LdgKeyB,"&lt;"&amp;$K1894)+1)</f>
        <v/>
      </c>
      <c r="M1894">
        <f>IF($L1894="","",$F1894&amp;"|"&amp;RIGHT("000000"&amp;$L1894,6))</f>
        <v/>
      </c>
      <c r="N1894">
        <f>IF($F1894="","",IF(Sync!$AF1894="","0000",IF(AND(ISNUMBER(Sync!$AF1894),Sync!$AF1894&gt;=0,Sync!$AF1894&lt;1),RIGHT("00"&amp;HOUR(Sync!$AF1894),2)&amp;RIGHT("00"&amp;MINUTE(Sync!$AF1894),2),IFERROR(RIGHT("00"&amp;VALUE(LEFT(Sync!$AF1894,FIND(":",Sync!$AF1894)-1)),2)&amp;RIGHT("00"&amp;VALUE(MID(Sync!$AF1894,FIND(":",Sync!$AF1894)+1,2)),2),"0000"))))</f>
        <v/>
      </c>
    </row>
    <row r="1895">
      <c r="A1895">
        <f>IF(OR(Calc!$E1899="",Calc!$E1899="نامعتبر",Calc!$G1899=""),"",Calc!$G1899)</f>
        <v/>
      </c>
      <c r="B1895">
        <f>IF($A1895="","",LEFT(Calc!$E1899,4)&amp;MID(Calc!$E1899,6,2)&amp;RIGHT(Calc!$E1899,2)&amp;Calc!$Q1899&amp;"|"&amp;"1"&amp;RIGHT("00000"&amp;1890,5))</f>
        <v/>
      </c>
      <c r="C1895">
        <f>IF($B1895="","",COUNTIFS(LdgSellerA,$A1895,LdgKeyA,"&lt;"&amp;$B1895)+COUNTIFS(LdgSellerB,$A1895,LdgKeyB,"&lt;"&amp;$B1895)+1)</f>
        <v/>
      </c>
      <c r="D1895">
        <f>IF($C1895="","",$A1895&amp;"|"&amp;RIGHT("000000"&amp;$C1895,6))</f>
        <v/>
      </c>
      <c r="F1895">
        <f>IF(Sync!$AH1895="","",IF(LEFT(UPPER(TRIM(Sync!$AH1895)),2)="SL",UPPER(TRIM(Sync!$AH1895)),""))</f>
        <v/>
      </c>
      <c r="G1895">
        <f>IF($F1895="","",IF(Sync!$AE1895="","",IF(ISNUMBER(Sync!$AE1895),IF(AND(Sync!$AE1895&gt;=10000101,Sync!$AE1895&lt;=99991231),INT(Sync!$AE1895/10000),""),IFERROR(VALUE(TRIM(LEFT(Sync!$AE1895,FIND("/",Sync!$AE1895)-1))),""))))</f>
        <v/>
      </c>
      <c r="H1895">
        <f>IF(OR($F1895="",$G1895=""),"",IF(ISNUMBER(Sync!$AE1895),INT(MOD(Sync!$AE1895,10000)/100),IFERROR(VALUE(TRIM(LEFT(MID(Sync!$AE1895,FIND("/",Sync!$AE1895)+1,20),FIND("/",MID(Sync!$AE1895,FIND("/",Sync!$AE1895)+1,20))-1))),"")))</f>
        <v/>
      </c>
      <c r="I1895">
        <f>IF(OR($F1895="",$G1895=""),"",IF(ISNUMBER(Sync!$AE1895),MOD(Sync!$AE1895,100),IFERROR(VALUE(TRIM(MID(MID(Sync!$AE1895,FIND("/",Sync!$AE1895)+1,20),FIND("/",MID(Sync!$AE1895,FIND("/",Sync!$AE1895)+1,20))+1,20))),"")))</f>
        <v/>
      </c>
      <c r="J1895">
        <f>IF($F1895="","",IF(OR($G1895="",$H1895="",$I1895="",$G1895&lt;1300,$G1895&gt;1500,$H1895&lt;1,$H1895&gt;12,$I1895&lt;1,$I1895&gt;31),"نامعتبر",RIGHT("0000"&amp;$G1895,4)&amp;"/"&amp;RIGHT("00"&amp;$H1895,2)&amp;"/"&amp;RIGHT("00"&amp;$I1895,2)))</f>
        <v/>
      </c>
      <c r="K1895">
        <f>IF(OR($F1895="",$J1895="",$J1895="نامعتبر"),"",LEFT($J1895,4)&amp;MID($J1895,6,2)&amp;RIGHT($J1895,2)&amp;$N1895&amp;"|"&amp;"2"&amp;RIGHT("00000"&amp;1890,5))</f>
        <v/>
      </c>
      <c r="L1895">
        <f>IF($K1895="","",COUNTIFS(LdgSellerA,$F1895,LdgKeyA,"&lt;"&amp;$K1895)+COUNTIFS(LdgSellerB,$F1895,LdgKeyB,"&lt;"&amp;$K1895)+1)</f>
        <v/>
      </c>
      <c r="M1895">
        <f>IF($L1895="","",$F1895&amp;"|"&amp;RIGHT("000000"&amp;$L1895,6))</f>
        <v/>
      </c>
      <c r="N1895">
        <f>IF($F1895="","",IF(Sync!$AF1895="","0000",IF(AND(ISNUMBER(Sync!$AF1895),Sync!$AF1895&gt;=0,Sync!$AF1895&lt;1),RIGHT("00"&amp;HOUR(Sync!$AF1895),2)&amp;RIGHT("00"&amp;MINUTE(Sync!$AF1895),2),IFERROR(RIGHT("00"&amp;VALUE(LEFT(Sync!$AF1895,FIND(":",Sync!$AF1895)-1)),2)&amp;RIGHT("00"&amp;VALUE(MID(Sync!$AF1895,FIND(":",Sync!$AF1895)+1,2)),2),"0000"))))</f>
        <v/>
      </c>
    </row>
    <row r="1896">
      <c r="A1896">
        <f>IF(OR(Calc!$E1900="",Calc!$E1900="نامعتبر",Calc!$G1900=""),"",Calc!$G1900)</f>
        <v/>
      </c>
      <c r="B1896">
        <f>IF($A1896="","",LEFT(Calc!$E1900,4)&amp;MID(Calc!$E1900,6,2)&amp;RIGHT(Calc!$E1900,2)&amp;Calc!$Q1900&amp;"|"&amp;"1"&amp;RIGHT("00000"&amp;1891,5))</f>
        <v/>
      </c>
      <c r="C1896">
        <f>IF($B1896="","",COUNTIFS(LdgSellerA,$A1896,LdgKeyA,"&lt;"&amp;$B1896)+COUNTIFS(LdgSellerB,$A1896,LdgKeyB,"&lt;"&amp;$B1896)+1)</f>
        <v/>
      </c>
      <c r="D1896">
        <f>IF($C1896="","",$A1896&amp;"|"&amp;RIGHT("000000"&amp;$C1896,6))</f>
        <v/>
      </c>
      <c r="F1896">
        <f>IF(Sync!$AH1896="","",IF(LEFT(UPPER(TRIM(Sync!$AH1896)),2)="SL",UPPER(TRIM(Sync!$AH1896)),""))</f>
        <v/>
      </c>
      <c r="G1896">
        <f>IF($F1896="","",IF(Sync!$AE1896="","",IF(ISNUMBER(Sync!$AE1896),IF(AND(Sync!$AE1896&gt;=10000101,Sync!$AE1896&lt;=99991231),INT(Sync!$AE1896/10000),""),IFERROR(VALUE(TRIM(LEFT(Sync!$AE1896,FIND("/",Sync!$AE1896)-1))),""))))</f>
        <v/>
      </c>
      <c r="H1896">
        <f>IF(OR($F1896="",$G1896=""),"",IF(ISNUMBER(Sync!$AE1896),INT(MOD(Sync!$AE1896,10000)/100),IFERROR(VALUE(TRIM(LEFT(MID(Sync!$AE1896,FIND("/",Sync!$AE1896)+1,20),FIND("/",MID(Sync!$AE1896,FIND("/",Sync!$AE1896)+1,20))-1))),"")))</f>
        <v/>
      </c>
      <c r="I1896">
        <f>IF(OR($F1896="",$G1896=""),"",IF(ISNUMBER(Sync!$AE1896),MOD(Sync!$AE1896,100),IFERROR(VALUE(TRIM(MID(MID(Sync!$AE1896,FIND("/",Sync!$AE1896)+1,20),FIND("/",MID(Sync!$AE1896,FIND("/",Sync!$AE1896)+1,20))+1,20))),"")))</f>
        <v/>
      </c>
      <c r="J1896">
        <f>IF($F1896="","",IF(OR($G1896="",$H1896="",$I1896="",$G1896&lt;1300,$G1896&gt;1500,$H1896&lt;1,$H1896&gt;12,$I1896&lt;1,$I1896&gt;31),"نامعتبر",RIGHT("0000"&amp;$G1896,4)&amp;"/"&amp;RIGHT("00"&amp;$H1896,2)&amp;"/"&amp;RIGHT("00"&amp;$I1896,2)))</f>
        <v/>
      </c>
      <c r="K1896">
        <f>IF(OR($F1896="",$J1896="",$J1896="نامعتبر"),"",LEFT($J1896,4)&amp;MID($J1896,6,2)&amp;RIGHT($J1896,2)&amp;$N1896&amp;"|"&amp;"2"&amp;RIGHT("00000"&amp;1891,5))</f>
        <v/>
      </c>
      <c r="L1896">
        <f>IF($K1896="","",COUNTIFS(LdgSellerA,$F1896,LdgKeyA,"&lt;"&amp;$K1896)+COUNTIFS(LdgSellerB,$F1896,LdgKeyB,"&lt;"&amp;$K1896)+1)</f>
        <v/>
      </c>
      <c r="M1896">
        <f>IF($L1896="","",$F1896&amp;"|"&amp;RIGHT("000000"&amp;$L1896,6))</f>
        <v/>
      </c>
      <c r="N1896">
        <f>IF($F1896="","",IF(Sync!$AF1896="","0000",IF(AND(ISNUMBER(Sync!$AF1896),Sync!$AF1896&gt;=0,Sync!$AF1896&lt;1),RIGHT("00"&amp;HOUR(Sync!$AF1896),2)&amp;RIGHT("00"&amp;MINUTE(Sync!$AF1896),2),IFERROR(RIGHT("00"&amp;VALUE(LEFT(Sync!$AF1896,FIND(":",Sync!$AF1896)-1)),2)&amp;RIGHT("00"&amp;VALUE(MID(Sync!$AF1896,FIND(":",Sync!$AF1896)+1,2)),2),"0000"))))</f>
        <v/>
      </c>
    </row>
    <row r="1897">
      <c r="A1897">
        <f>IF(OR(Calc!$E1901="",Calc!$E1901="نامعتبر",Calc!$G1901=""),"",Calc!$G1901)</f>
        <v/>
      </c>
      <c r="B1897">
        <f>IF($A1897="","",LEFT(Calc!$E1901,4)&amp;MID(Calc!$E1901,6,2)&amp;RIGHT(Calc!$E1901,2)&amp;Calc!$Q1901&amp;"|"&amp;"1"&amp;RIGHT("00000"&amp;1892,5))</f>
        <v/>
      </c>
      <c r="C1897">
        <f>IF($B1897="","",COUNTIFS(LdgSellerA,$A1897,LdgKeyA,"&lt;"&amp;$B1897)+COUNTIFS(LdgSellerB,$A1897,LdgKeyB,"&lt;"&amp;$B1897)+1)</f>
        <v/>
      </c>
      <c r="D1897">
        <f>IF($C1897="","",$A1897&amp;"|"&amp;RIGHT("000000"&amp;$C1897,6))</f>
        <v/>
      </c>
      <c r="F1897">
        <f>IF(Sync!$AH1897="","",IF(LEFT(UPPER(TRIM(Sync!$AH1897)),2)="SL",UPPER(TRIM(Sync!$AH1897)),""))</f>
        <v/>
      </c>
      <c r="G1897">
        <f>IF($F1897="","",IF(Sync!$AE1897="","",IF(ISNUMBER(Sync!$AE1897),IF(AND(Sync!$AE1897&gt;=10000101,Sync!$AE1897&lt;=99991231),INT(Sync!$AE1897/10000),""),IFERROR(VALUE(TRIM(LEFT(Sync!$AE1897,FIND("/",Sync!$AE1897)-1))),""))))</f>
        <v/>
      </c>
      <c r="H1897">
        <f>IF(OR($F1897="",$G1897=""),"",IF(ISNUMBER(Sync!$AE1897),INT(MOD(Sync!$AE1897,10000)/100),IFERROR(VALUE(TRIM(LEFT(MID(Sync!$AE1897,FIND("/",Sync!$AE1897)+1,20),FIND("/",MID(Sync!$AE1897,FIND("/",Sync!$AE1897)+1,20))-1))),"")))</f>
        <v/>
      </c>
      <c r="I1897">
        <f>IF(OR($F1897="",$G1897=""),"",IF(ISNUMBER(Sync!$AE1897),MOD(Sync!$AE1897,100),IFERROR(VALUE(TRIM(MID(MID(Sync!$AE1897,FIND("/",Sync!$AE1897)+1,20),FIND("/",MID(Sync!$AE1897,FIND("/",Sync!$AE1897)+1,20))+1,20))),"")))</f>
        <v/>
      </c>
      <c r="J1897">
        <f>IF($F1897="","",IF(OR($G1897="",$H1897="",$I1897="",$G1897&lt;1300,$G1897&gt;1500,$H1897&lt;1,$H1897&gt;12,$I1897&lt;1,$I1897&gt;31),"نامعتبر",RIGHT("0000"&amp;$G1897,4)&amp;"/"&amp;RIGHT("00"&amp;$H1897,2)&amp;"/"&amp;RIGHT("00"&amp;$I1897,2)))</f>
        <v/>
      </c>
      <c r="K1897">
        <f>IF(OR($F1897="",$J1897="",$J1897="نامعتبر"),"",LEFT($J1897,4)&amp;MID($J1897,6,2)&amp;RIGHT($J1897,2)&amp;$N1897&amp;"|"&amp;"2"&amp;RIGHT("00000"&amp;1892,5))</f>
        <v/>
      </c>
      <c r="L1897">
        <f>IF($K1897="","",COUNTIFS(LdgSellerA,$F1897,LdgKeyA,"&lt;"&amp;$K1897)+COUNTIFS(LdgSellerB,$F1897,LdgKeyB,"&lt;"&amp;$K1897)+1)</f>
        <v/>
      </c>
      <c r="M1897">
        <f>IF($L1897="","",$F1897&amp;"|"&amp;RIGHT("000000"&amp;$L1897,6))</f>
        <v/>
      </c>
      <c r="N1897">
        <f>IF($F1897="","",IF(Sync!$AF1897="","0000",IF(AND(ISNUMBER(Sync!$AF1897),Sync!$AF1897&gt;=0,Sync!$AF1897&lt;1),RIGHT("00"&amp;HOUR(Sync!$AF1897),2)&amp;RIGHT("00"&amp;MINUTE(Sync!$AF1897),2),IFERROR(RIGHT("00"&amp;VALUE(LEFT(Sync!$AF1897,FIND(":",Sync!$AF1897)-1)),2)&amp;RIGHT("00"&amp;VALUE(MID(Sync!$AF1897,FIND(":",Sync!$AF1897)+1,2)),2),"0000"))))</f>
        <v/>
      </c>
    </row>
    <row r="1898">
      <c r="A1898">
        <f>IF(OR(Calc!$E1902="",Calc!$E1902="نامعتبر",Calc!$G1902=""),"",Calc!$G1902)</f>
        <v/>
      </c>
      <c r="B1898">
        <f>IF($A1898="","",LEFT(Calc!$E1902,4)&amp;MID(Calc!$E1902,6,2)&amp;RIGHT(Calc!$E1902,2)&amp;Calc!$Q1902&amp;"|"&amp;"1"&amp;RIGHT("00000"&amp;1893,5))</f>
        <v/>
      </c>
      <c r="C1898">
        <f>IF($B1898="","",COUNTIFS(LdgSellerA,$A1898,LdgKeyA,"&lt;"&amp;$B1898)+COUNTIFS(LdgSellerB,$A1898,LdgKeyB,"&lt;"&amp;$B1898)+1)</f>
        <v/>
      </c>
      <c r="D1898">
        <f>IF($C1898="","",$A1898&amp;"|"&amp;RIGHT("000000"&amp;$C1898,6))</f>
        <v/>
      </c>
      <c r="F1898">
        <f>IF(Sync!$AH1898="","",IF(LEFT(UPPER(TRIM(Sync!$AH1898)),2)="SL",UPPER(TRIM(Sync!$AH1898)),""))</f>
        <v/>
      </c>
      <c r="G1898">
        <f>IF($F1898="","",IF(Sync!$AE1898="","",IF(ISNUMBER(Sync!$AE1898),IF(AND(Sync!$AE1898&gt;=10000101,Sync!$AE1898&lt;=99991231),INT(Sync!$AE1898/10000),""),IFERROR(VALUE(TRIM(LEFT(Sync!$AE1898,FIND("/",Sync!$AE1898)-1))),""))))</f>
        <v/>
      </c>
      <c r="H1898">
        <f>IF(OR($F1898="",$G1898=""),"",IF(ISNUMBER(Sync!$AE1898),INT(MOD(Sync!$AE1898,10000)/100),IFERROR(VALUE(TRIM(LEFT(MID(Sync!$AE1898,FIND("/",Sync!$AE1898)+1,20),FIND("/",MID(Sync!$AE1898,FIND("/",Sync!$AE1898)+1,20))-1))),"")))</f>
        <v/>
      </c>
      <c r="I1898">
        <f>IF(OR($F1898="",$G1898=""),"",IF(ISNUMBER(Sync!$AE1898),MOD(Sync!$AE1898,100),IFERROR(VALUE(TRIM(MID(MID(Sync!$AE1898,FIND("/",Sync!$AE1898)+1,20),FIND("/",MID(Sync!$AE1898,FIND("/",Sync!$AE1898)+1,20))+1,20))),"")))</f>
        <v/>
      </c>
      <c r="J1898">
        <f>IF($F1898="","",IF(OR($G1898="",$H1898="",$I1898="",$G1898&lt;1300,$G1898&gt;1500,$H1898&lt;1,$H1898&gt;12,$I1898&lt;1,$I1898&gt;31),"نامعتبر",RIGHT("0000"&amp;$G1898,4)&amp;"/"&amp;RIGHT("00"&amp;$H1898,2)&amp;"/"&amp;RIGHT("00"&amp;$I1898,2)))</f>
        <v/>
      </c>
      <c r="K1898">
        <f>IF(OR($F1898="",$J1898="",$J1898="نامعتبر"),"",LEFT($J1898,4)&amp;MID($J1898,6,2)&amp;RIGHT($J1898,2)&amp;$N1898&amp;"|"&amp;"2"&amp;RIGHT("00000"&amp;1893,5))</f>
        <v/>
      </c>
      <c r="L1898">
        <f>IF($K1898="","",COUNTIFS(LdgSellerA,$F1898,LdgKeyA,"&lt;"&amp;$K1898)+COUNTIFS(LdgSellerB,$F1898,LdgKeyB,"&lt;"&amp;$K1898)+1)</f>
        <v/>
      </c>
      <c r="M1898">
        <f>IF($L1898="","",$F1898&amp;"|"&amp;RIGHT("000000"&amp;$L1898,6))</f>
        <v/>
      </c>
      <c r="N1898">
        <f>IF($F1898="","",IF(Sync!$AF1898="","0000",IF(AND(ISNUMBER(Sync!$AF1898),Sync!$AF1898&gt;=0,Sync!$AF1898&lt;1),RIGHT("00"&amp;HOUR(Sync!$AF1898),2)&amp;RIGHT("00"&amp;MINUTE(Sync!$AF1898),2),IFERROR(RIGHT("00"&amp;VALUE(LEFT(Sync!$AF1898,FIND(":",Sync!$AF1898)-1)),2)&amp;RIGHT("00"&amp;VALUE(MID(Sync!$AF1898,FIND(":",Sync!$AF1898)+1,2)),2),"0000"))))</f>
        <v/>
      </c>
    </row>
    <row r="1899">
      <c r="A1899">
        <f>IF(OR(Calc!$E1903="",Calc!$E1903="نامعتبر",Calc!$G1903=""),"",Calc!$G1903)</f>
        <v/>
      </c>
      <c r="B1899">
        <f>IF($A1899="","",LEFT(Calc!$E1903,4)&amp;MID(Calc!$E1903,6,2)&amp;RIGHT(Calc!$E1903,2)&amp;Calc!$Q1903&amp;"|"&amp;"1"&amp;RIGHT("00000"&amp;1894,5))</f>
        <v/>
      </c>
      <c r="C1899">
        <f>IF($B1899="","",COUNTIFS(LdgSellerA,$A1899,LdgKeyA,"&lt;"&amp;$B1899)+COUNTIFS(LdgSellerB,$A1899,LdgKeyB,"&lt;"&amp;$B1899)+1)</f>
        <v/>
      </c>
      <c r="D1899">
        <f>IF($C1899="","",$A1899&amp;"|"&amp;RIGHT("000000"&amp;$C1899,6))</f>
        <v/>
      </c>
      <c r="F1899">
        <f>IF(Sync!$AH1899="","",IF(LEFT(UPPER(TRIM(Sync!$AH1899)),2)="SL",UPPER(TRIM(Sync!$AH1899)),""))</f>
        <v/>
      </c>
      <c r="G1899">
        <f>IF($F1899="","",IF(Sync!$AE1899="","",IF(ISNUMBER(Sync!$AE1899),IF(AND(Sync!$AE1899&gt;=10000101,Sync!$AE1899&lt;=99991231),INT(Sync!$AE1899/10000),""),IFERROR(VALUE(TRIM(LEFT(Sync!$AE1899,FIND("/",Sync!$AE1899)-1))),""))))</f>
        <v/>
      </c>
      <c r="H1899">
        <f>IF(OR($F1899="",$G1899=""),"",IF(ISNUMBER(Sync!$AE1899),INT(MOD(Sync!$AE1899,10000)/100),IFERROR(VALUE(TRIM(LEFT(MID(Sync!$AE1899,FIND("/",Sync!$AE1899)+1,20),FIND("/",MID(Sync!$AE1899,FIND("/",Sync!$AE1899)+1,20))-1))),"")))</f>
        <v/>
      </c>
      <c r="I1899">
        <f>IF(OR($F1899="",$G1899=""),"",IF(ISNUMBER(Sync!$AE1899),MOD(Sync!$AE1899,100),IFERROR(VALUE(TRIM(MID(MID(Sync!$AE1899,FIND("/",Sync!$AE1899)+1,20),FIND("/",MID(Sync!$AE1899,FIND("/",Sync!$AE1899)+1,20))+1,20))),"")))</f>
        <v/>
      </c>
      <c r="J1899">
        <f>IF($F1899="","",IF(OR($G1899="",$H1899="",$I1899="",$G1899&lt;1300,$G1899&gt;1500,$H1899&lt;1,$H1899&gt;12,$I1899&lt;1,$I1899&gt;31),"نامعتبر",RIGHT("0000"&amp;$G1899,4)&amp;"/"&amp;RIGHT("00"&amp;$H1899,2)&amp;"/"&amp;RIGHT("00"&amp;$I1899,2)))</f>
        <v/>
      </c>
      <c r="K1899">
        <f>IF(OR($F1899="",$J1899="",$J1899="نامعتبر"),"",LEFT($J1899,4)&amp;MID($J1899,6,2)&amp;RIGHT($J1899,2)&amp;$N1899&amp;"|"&amp;"2"&amp;RIGHT("00000"&amp;1894,5))</f>
        <v/>
      </c>
      <c r="L1899">
        <f>IF($K1899="","",COUNTIFS(LdgSellerA,$F1899,LdgKeyA,"&lt;"&amp;$K1899)+COUNTIFS(LdgSellerB,$F1899,LdgKeyB,"&lt;"&amp;$K1899)+1)</f>
        <v/>
      </c>
      <c r="M1899">
        <f>IF($L1899="","",$F1899&amp;"|"&amp;RIGHT("000000"&amp;$L1899,6))</f>
        <v/>
      </c>
      <c r="N1899">
        <f>IF($F1899="","",IF(Sync!$AF1899="","0000",IF(AND(ISNUMBER(Sync!$AF1899),Sync!$AF1899&gt;=0,Sync!$AF1899&lt;1),RIGHT("00"&amp;HOUR(Sync!$AF1899),2)&amp;RIGHT("00"&amp;MINUTE(Sync!$AF1899),2),IFERROR(RIGHT("00"&amp;VALUE(LEFT(Sync!$AF1899,FIND(":",Sync!$AF1899)-1)),2)&amp;RIGHT("00"&amp;VALUE(MID(Sync!$AF1899,FIND(":",Sync!$AF1899)+1,2)),2),"0000"))))</f>
        <v/>
      </c>
    </row>
    <row r="1900">
      <c r="A1900">
        <f>IF(OR(Calc!$E1904="",Calc!$E1904="نامعتبر",Calc!$G1904=""),"",Calc!$G1904)</f>
        <v/>
      </c>
      <c r="B1900">
        <f>IF($A1900="","",LEFT(Calc!$E1904,4)&amp;MID(Calc!$E1904,6,2)&amp;RIGHT(Calc!$E1904,2)&amp;Calc!$Q1904&amp;"|"&amp;"1"&amp;RIGHT("00000"&amp;1895,5))</f>
        <v/>
      </c>
      <c r="C1900">
        <f>IF($B1900="","",COUNTIFS(LdgSellerA,$A1900,LdgKeyA,"&lt;"&amp;$B1900)+COUNTIFS(LdgSellerB,$A1900,LdgKeyB,"&lt;"&amp;$B1900)+1)</f>
        <v/>
      </c>
      <c r="D1900">
        <f>IF($C1900="","",$A1900&amp;"|"&amp;RIGHT("000000"&amp;$C1900,6))</f>
        <v/>
      </c>
      <c r="F1900">
        <f>IF(Sync!$AH1900="","",IF(LEFT(UPPER(TRIM(Sync!$AH1900)),2)="SL",UPPER(TRIM(Sync!$AH1900)),""))</f>
        <v/>
      </c>
      <c r="G1900">
        <f>IF($F1900="","",IF(Sync!$AE1900="","",IF(ISNUMBER(Sync!$AE1900),IF(AND(Sync!$AE1900&gt;=10000101,Sync!$AE1900&lt;=99991231),INT(Sync!$AE1900/10000),""),IFERROR(VALUE(TRIM(LEFT(Sync!$AE1900,FIND("/",Sync!$AE1900)-1))),""))))</f>
        <v/>
      </c>
      <c r="H1900">
        <f>IF(OR($F1900="",$G1900=""),"",IF(ISNUMBER(Sync!$AE1900),INT(MOD(Sync!$AE1900,10000)/100),IFERROR(VALUE(TRIM(LEFT(MID(Sync!$AE1900,FIND("/",Sync!$AE1900)+1,20),FIND("/",MID(Sync!$AE1900,FIND("/",Sync!$AE1900)+1,20))-1))),"")))</f>
        <v/>
      </c>
      <c r="I1900">
        <f>IF(OR($F1900="",$G1900=""),"",IF(ISNUMBER(Sync!$AE1900),MOD(Sync!$AE1900,100),IFERROR(VALUE(TRIM(MID(MID(Sync!$AE1900,FIND("/",Sync!$AE1900)+1,20),FIND("/",MID(Sync!$AE1900,FIND("/",Sync!$AE1900)+1,20))+1,20))),"")))</f>
        <v/>
      </c>
      <c r="J1900">
        <f>IF($F1900="","",IF(OR($G1900="",$H1900="",$I1900="",$G1900&lt;1300,$G1900&gt;1500,$H1900&lt;1,$H1900&gt;12,$I1900&lt;1,$I1900&gt;31),"نامعتبر",RIGHT("0000"&amp;$G1900,4)&amp;"/"&amp;RIGHT("00"&amp;$H1900,2)&amp;"/"&amp;RIGHT("00"&amp;$I1900,2)))</f>
        <v/>
      </c>
      <c r="K1900">
        <f>IF(OR($F1900="",$J1900="",$J1900="نامعتبر"),"",LEFT($J1900,4)&amp;MID($J1900,6,2)&amp;RIGHT($J1900,2)&amp;$N1900&amp;"|"&amp;"2"&amp;RIGHT("00000"&amp;1895,5))</f>
        <v/>
      </c>
      <c r="L1900">
        <f>IF($K1900="","",COUNTIFS(LdgSellerA,$F1900,LdgKeyA,"&lt;"&amp;$K1900)+COUNTIFS(LdgSellerB,$F1900,LdgKeyB,"&lt;"&amp;$K1900)+1)</f>
        <v/>
      </c>
      <c r="M1900">
        <f>IF($L1900="","",$F1900&amp;"|"&amp;RIGHT("000000"&amp;$L1900,6))</f>
        <v/>
      </c>
      <c r="N1900">
        <f>IF($F1900="","",IF(Sync!$AF1900="","0000",IF(AND(ISNUMBER(Sync!$AF1900),Sync!$AF1900&gt;=0,Sync!$AF1900&lt;1),RIGHT("00"&amp;HOUR(Sync!$AF1900),2)&amp;RIGHT("00"&amp;MINUTE(Sync!$AF1900),2),IFERROR(RIGHT("00"&amp;VALUE(LEFT(Sync!$AF1900,FIND(":",Sync!$AF1900)-1)),2)&amp;RIGHT("00"&amp;VALUE(MID(Sync!$AF1900,FIND(":",Sync!$AF1900)+1,2)),2),"0000"))))</f>
        <v/>
      </c>
    </row>
    <row r="1901">
      <c r="A1901">
        <f>IF(OR(Calc!$E1905="",Calc!$E1905="نامعتبر",Calc!$G1905=""),"",Calc!$G1905)</f>
        <v/>
      </c>
      <c r="B1901">
        <f>IF($A1901="","",LEFT(Calc!$E1905,4)&amp;MID(Calc!$E1905,6,2)&amp;RIGHT(Calc!$E1905,2)&amp;Calc!$Q1905&amp;"|"&amp;"1"&amp;RIGHT("00000"&amp;1896,5))</f>
        <v/>
      </c>
      <c r="C1901">
        <f>IF($B1901="","",COUNTIFS(LdgSellerA,$A1901,LdgKeyA,"&lt;"&amp;$B1901)+COUNTIFS(LdgSellerB,$A1901,LdgKeyB,"&lt;"&amp;$B1901)+1)</f>
        <v/>
      </c>
      <c r="D1901">
        <f>IF($C1901="","",$A1901&amp;"|"&amp;RIGHT("000000"&amp;$C1901,6))</f>
        <v/>
      </c>
      <c r="F1901">
        <f>IF(Sync!$AH1901="","",IF(LEFT(UPPER(TRIM(Sync!$AH1901)),2)="SL",UPPER(TRIM(Sync!$AH1901)),""))</f>
        <v/>
      </c>
      <c r="G1901">
        <f>IF($F1901="","",IF(Sync!$AE1901="","",IF(ISNUMBER(Sync!$AE1901),IF(AND(Sync!$AE1901&gt;=10000101,Sync!$AE1901&lt;=99991231),INT(Sync!$AE1901/10000),""),IFERROR(VALUE(TRIM(LEFT(Sync!$AE1901,FIND("/",Sync!$AE1901)-1))),""))))</f>
        <v/>
      </c>
      <c r="H1901">
        <f>IF(OR($F1901="",$G1901=""),"",IF(ISNUMBER(Sync!$AE1901),INT(MOD(Sync!$AE1901,10000)/100),IFERROR(VALUE(TRIM(LEFT(MID(Sync!$AE1901,FIND("/",Sync!$AE1901)+1,20),FIND("/",MID(Sync!$AE1901,FIND("/",Sync!$AE1901)+1,20))-1))),"")))</f>
        <v/>
      </c>
      <c r="I1901">
        <f>IF(OR($F1901="",$G1901=""),"",IF(ISNUMBER(Sync!$AE1901),MOD(Sync!$AE1901,100),IFERROR(VALUE(TRIM(MID(MID(Sync!$AE1901,FIND("/",Sync!$AE1901)+1,20),FIND("/",MID(Sync!$AE1901,FIND("/",Sync!$AE1901)+1,20))+1,20))),"")))</f>
        <v/>
      </c>
      <c r="J1901">
        <f>IF($F1901="","",IF(OR($G1901="",$H1901="",$I1901="",$G1901&lt;1300,$G1901&gt;1500,$H1901&lt;1,$H1901&gt;12,$I1901&lt;1,$I1901&gt;31),"نامعتبر",RIGHT("0000"&amp;$G1901,4)&amp;"/"&amp;RIGHT("00"&amp;$H1901,2)&amp;"/"&amp;RIGHT("00"&amp;$I1901,2)))</f>
        <v/>
      </c>
      <c r="K1901">
        <f>IF(OR($F1901="",$J1901="",$J1901="نامعتبر"),"",LEFT($J1901,4)&amp;MID($J1901,6,2)&amp;RIGHT($J1901,2)&amp;$N1901&amp;"|"&amp;"2"&amp;RIGHT("00000"&amp;1896,5))</f>
        <v/>
      </c>
      <c r="L1901">
        <f>IF($K1901="","",COUNTIFS(LdgSellerA,$F1901,LdgKeyA,"&lt;"&amp;$K1901)+COUNTIFS(LdgSellerB,$F1901,LdgKeyB,"&lt;"&amp;$K1901)+1)</f>
        <v/>
      </c>
      <c r="M1901">
        <f>IF($L1901="","",$F1901&amp;"|"&amp;RIGHT("000000"&amp;$L1901,6))</f>
        <v/>
      </c>
      <c r="N1901">
        <f>IF($F1901="","",IF(Sync!$AF1901="","0000",IF(AND(ISNUMBER(Sync!$AF1901),Sync!$AF1901&gt;=0,Sync!$AF1901&lt;1),RIGHT("00"&amp;HOUR(Sync!$AF1901),2)&amp;RIGHT("00"&amp;MINUTE(Sync!$AF1901),2),IFERROR(RIGHT("00"&amp;VALUE(LEFT(Sync!$AF1901,FIND(":",Sync!$AF1901)-1)),2)&amp;RIGHT("00"&amp;VALUE(MID(Sync!$AF1901,FIND(":",Sync!$AF1901)+1,2)),2),"0000"))))</f>
        <v/>
      </c>
    </row>
    <row r="1902">
      <c r="A1902">
        <f>IF(OR(Calc!$E1906="",Calc!$E1906="نامعتبر",Calc!$G1906=""),"",Calc!$G1906)</f>
        <v/>
      </c>
      <c r="B1902">
        <f>IF($A1902="","",LEFT(Calc!$E1906,4)&amp;MID(Calc!$E1906,6,2)&amp;RIGHT(Calc!$E1906,2)&amp;Calc!$Q1906&amp;"|"&amp;"1"&amp;RIGHT("00000"&amp;1897,5))</f>
        <v/>
      </c>
      <c r="C1902">
        <f>IF($B1902="","",COUNTIFS(LdgSellerA,$A1902,LdgKeyA,"&lt;"&amp;$B1902)+COUNTIFS(LdgSellerB,$A1902,LdgKeyB,"&lt;"&amp;$B1902)+1)</f>
        <v/>
      </c>
      <c r="D1902">
        <f>IF($C1902="","",$A1902&amp;"|"&amp;RIGHT("000000"&amp;$C1902,6))</f>
        <v/>
      </c>
      <c r="F1902">
        <f>IF(Sync!$AH1902="","",IF(LEFT(UPPER(TRIM(Sync!$AH1902)),2)="SL",UPPER(TRIM(Sync!$AH1902)),""))</f>
        <v/>
      </c>
      <c r="G1902">
        <f>IF($F1902="","",IF(Sync!$AE1902="","",IF(ISNUMBER(Sync!$AE1902),IF(AND(Sync!$AE1902&gt;=10000101,Sync!$AE1902&lt;=99991231),INT(Sync!$AE1902/10000),""),IFERROR(VALUE(TRIM(LEFT(Sync!$AE1902,FIND("/",Sync!$AE1902)-1))),""))))</f>
        <v/>
      </c>
      <c r="H1902">
        <f>IF(OR($F1902="",$G1902=""),"",IF(ISNUMBER(Sync!$AE1902),INT(MOD(Sync!$AE1902,10000)/100),IFERROR(VALUE(TRIM(LEFT(MID(Sync!$AE1902,FIND("/",Sync!$AE1902)+1,20),FIND("/",MID(Sync!$AE1902,FIND("/",Sync!$AE1902)+1,20))-1))),"")))</f>
        <v/>
      </c>
      <c r="I1902">
        <f>IF(OR($F1902="",$G1902=""),"",IF(ISNUMBER(Sync!$AE1902),MOD(Sync!$AE1902,100),IFERROR(VALUE(TRIM(MID(MID(Sync!$AE1902,FIND("/",Sync!$AE1902)+1,20),FIND("/",MID(Sync!$AE1902,FIND("/",Sync!$AE1902)+1,20))+1,20))),"")))</f>
        <v/>
      </c>
      <c r="J1902">
        <f>IF($F1902="","",IF(OR($G1902="",$H1902="",$I1902="",$G1902&lt;1300,$G1902&gt;1500,$H1902&lt;1,$H1902&gt;12,$I1902&lt;1,$I1902&gt;31),"نامعتبر",RIGHT("0000"&amp;$G1902,4)&amp;"/"&amp;RIGHT("00"&amp;$H1902,2)&amp;"/"&amp;RIGHT("00"&amp;$I1902,2)))</f>
        <v/>
      </c>
      <c r="K1902">
        <f>IF(OR($F1902="",$J1902="",$J1902="نامعتبر"),"",LEFT($J1902,4)&amp;MID($J1902,6,2)&amp;RIGHT($J1902,2)&amp;$N1902&amp;"|"&amp;"2"&amp;RIGHT("00000"&amp;1897,5))</f>
        <v/>
      </c>
      <c r="L1902">
        <f>IF($K1902="","",COUNTIFS(LdgSellerA,$F1902,LdgKeyA,"&lt;"&amp;$K1902)+COUNTIFS(LdgSellerB,$F1902,LdgKeyB,"&lt;"&amp;$K1902)+1)</f>
        <v/>
      </c>
      <c r="M1902">
        <f>IF($L1902="","",$F1902&amp;"|"&amp;RIGHT("000000"&amp;$L1902,6))</f>
        <v/>
      </c>
      <c r="N1902">
        <f>IF($F1902="","",IF(Sync!$AF1902="","0000",IF(AND(ISNUMBER(Sync!$AF1902),Sync!$AF1902&gt;=0,Sync!$AF1902&lt;1),RIGHT("00"&amp;HOUR(Sync!$AF1902),2)&amp;RIGHT("00"&amp;MINUTE(Sync!$AF1902),2),IFERROR(RIGHT("00"&amp;VALUE(LEFT(Sync!$AF1902,FIND(":",Sync!$AF1902)-1)),2)&amp;RIGHT("00"&amp;VALUE(MID(Sync!$AF1902,FIND(":",Sync!$AF1902)+1,2)),2),"0000"))))</f>
        <v/>
      </c>
    </row>
    <row r="1903">
      <c r="A1903">
        <f>IF(OR(Calc!$E1907="",Calc!$E1907="نامعتبر",Calc!$G1907=""),"",Calc!$G1907)</f>
        <v/>
      </c>
      <c r="B1903">
        <f>IF($A1903="","",LEFT(Calc!$E1907,4)&amp;MID(Calc!$E1907,6,2)&amp;RIGHT(Calc!$E1907,2)&amp;Calc!$Q1907&amp;"|"&amp;"1"&amp;RIGHT("00000"&amp;1898,5))</f>
        <v/>
      </c>
      <c r="C1903">
        <f>IF($B1903="","",COUNTIFS(LdgSellerA,$A1903,LdgKeyA,"&lt;"&amp;$B1903)+COUNTIFS(LdgSellerB,$A1903,LdgKeyB,"&lt;"&amp;$B1903)+1)</f>
        <v/>
      </c>
      <c r="D1903">
        <f>IF($C1903="","",$A1903&amp;"|"&amp;RIGHT("000000"&amp;$C1903,6))</f>
        <v/>
      </c>
      <c r="F1903">
        <f>IF(Sync!$AH1903="","",IF(LEFT(UPPER(TRIM(Sync!$AH1903)),2)="SL",UPPER(TRIM(Sync!$AH1903)),""))</f>
        <v/>
      </c>
      <c r="G1903">
        <f>IF($F1903="","",IF(Sync!$AE1903="","",IF(ISNUMBER(Sync!$AE1903),IF(AND(Sync!$AE1903&gt;=10000101,Sync!$AE1903&lt;=99991231),INT(Sync!$AE1903/10000),""),IFERROR(VALUE(TRIM(LEFT(Sync!$AE1903,FIND("/",Sync!$AE1903)-1))),""))))</f>
        <v/>
      </c>
      <c r="H1903">
        <f>IF(OR($F1903="",$G1903=""),"",IF(ISNUMBER(Sync!$AE1903),INT(MOD(Sync!$AE1903,10000)/100),IFERROR(VALUE(TRIM(LEFT(MID(Sync!$AE1903,FIND("/",Sync!$AE1903)+1,20),FIND("/",MID(Sync!$AE1903,FIND("/",Sync!$AE1903)+1,20))-1))),"")))</f>
        <v/>
      </c>
      <c r="I1903">
        <f>IF(OR($F1903="",$G1903=""),"",IF(ISNUMBER(Sync!$AE1903),MOD(Sync!$AE1903,100),IFERROR(VALUE(TRIM(MID(MID(Sync!$AE1903,FIND("/",Sync!$AE1903)+1,20),FIND("/",MID(Sync!$AE1903,FIND("/",Sync!$AE1903)+1,20))+1,20))),"")))</f>
        <v/>
      </c>
      <c r="J1903">
        <f>IF($F1903="","",IF(OR($G1903="",$H1903="",$I1903="",$G1903&lt;1300,$G1903&gt;1500,$H1903&lt;1,$H1903&gt;12,$I1903&lt;1,$I1903&gt;31),"نامعتبر",RIGHT("0000"&amp;$G1903,4)&amp;"/"&amp;RIGHT("00"&amp;$H1903,2)&amp;"/"&amp;RIGHT("00"&amp;$I1903,2)))</f>
        <v/>
      </c>
      <c r="K1903">
        <f>IF(OR($F1903="",$J1903="",$J1903="نامعتبر"),"",LEFT($J1903,4)&amp;MID($J1903,6,2)&amp;RIGHT($J1903,2)&amp;$N1903&amp;"|"&amp;"2"&amp;RIGHT("00000"&amp;1898,5))</f>
        <v/>
      </c>
      <c r="L1903">
        <f>IF($K1903="","",COUNTIFS(LdgSellerA,$F1903,LdgKeyA,"&lt;"&amp;$K1903)+COUNTIFS(LdgSellerB,$F1903,LdgKeyB,"&lt;"&amp;$K1903)+1)</f>
        <v/>
      </c>
      <c r="M1903">
        <f>IF($L1903="","",$F1903&amp;"|"&amp;RIGHT("000000"&amp;$L1903,6))</f>
        <v/>
      </c>
      <c r="N1903">
        <f>IF($F1903="","",IF(Sync!$AF1903="","0000",IF(AND(ISNUMBER(Sync!$AF1903),Sync!$AF1903&gt;=0,Sync!$AF1903&lt;1),RIGHT("00"&amp;HOUR(Sync!$AF1903),2)&amp;RIGHT("00"&amp;MINUTE(Sync!$AF1903),2),IFERROR(RIGHT("00"&amp;VALUE(LEFT(Sync!$AF1903,FIND(":",Sync!$AF1903)-1)),2)&amp;RIGHT("00"&amp;VALUE(MID(Sync!$AF1903,FIND(":",Sync!$AF1903)+1,2)),2),"0000"))))</f>
        <v/>
      </c>
    </row>
    <row r="1904">
      <c r="A1904">
        <f>IF(OR(Calc!$E1908="",Calc!$E1908="نامعتبر",Calc!$G1908=""),"",Calc!$G1908)</f>
        <v/>
      </c>
      <c r="B1904">
        <f>IF($A1904="","",LEFT(Calc!$E1908,4)&amp;MID(Calc!$E1908,6,2)&amp;RIGHT(Calc!$E1908,2)&amp;Calc!$Q1908&amp;"|"&amp;"1"&amp;RIGHT("00000"&amp;1899,5))</f>
        <v/>
      </c>
      <c r="C1904">
        <f>IF($B1904="","",COUNTIFS(LdgSellerA,$A1904,LdgKeyA,"&lt;"&amp;$B1904)+COUNTIFS(LdgSellerB,$A1904,LdgKeyB,"&lt;"&amp;$B1904)+1)</f>
        <v/>
      </c>
      <c r="D1904">
        <f>IF($C1904="","",$A1904&amp;"|"&amp;RIGHT("000000"&amp;$C1904,6))</f>
        <v/>
      </c>
      <c r="F1904">
        <f>IF(Sync!$AH1904="","",IF(LEFT(UPPER(TRIM(Sync!$AH1904)),2)="SL",UPPER(TRIM(Sync!$AH1904)),""))</f>
        <v/>
      </c>
      <c r="G1904">
        <f>IF($F1904="","",IF(Sync!$AE1904="","",IF(ISNUMBER(Sync!$AE1904),IF(AND(Sync!$AE1904&gt;=10000101,Sync!$AE1904&lt;=99991231),INT(Sync!$AE1904/10000),""),IFERROR(VALUE(TRIM(LEFT(Sync!$AE1904,FIND("/",Sync!$AE1904)-1))),""))))</f>
        <v/>
      </c>
      <c r="H1904">
        <f>IF(OR($F1904="",$G1904=""),"",IF(ISNUMBER(Sync!$AE1904),INT(MOD(Sync!$AE1904,10000)/100),IFERROR(VALUE(TRIM(LEFT(MID(Sync!$AE1904,FIND("/",Sync!$AE1904)+1,20),FIND("/",MID(Sync!$AE1904,FIND("/",Sync!$AE1904)+1,20))-1))),"")))</f>
        <v/>
      </c>
      <c r="I1904">
        <f>IF(OR($F1904="",$G1904=""),"",IF(ISNUMBER(Sync!$AE1904),MOD(Sync!$AE1904,100),IFERROR(VALUE(TRIM(MID(MID(Sync!$AE1904,FIND("/",Sync!$AE1904)+1,20),FIND("/",MID(Sync!$AE1904,FIND("/",Sync!$AE1904)+1,20))+1,20))),"")))</f>
        <v/>
      </c>
      <c r="J1904">
        <f>IF($F1904="","",IF(OR($G1904="",$H1904="",$I1904="",$G1904&lt;1300,$G1904&gt;1500,$H1904&lt;1,$H1904&gt;12,$I1904&lt;1,$I1904&gt;31),"نامعتبر",RIGHT("0000"&amp;$G1904,4)&amp;"/"&amp;RIGHT("00"&amp;$H1904,2)&amp;"/"&amp;RIGHT("00"&amp;$I1904,2)))</f>
        <v/>
      </c>
      <c r="K1904">
        <f>IF(OR($F1904="",$J1904="",$J1904="نامعتبر"),"",LEFT($J1904,4)&amp;MID($J1904,6,2)&amp;RIGHT($J1904,2)&amp;$N1904&amp;"|"&amp;"2"&amp;RIGHT("00000"&amp;1899,5))</f>
        <v/>
      </c>
      <c r="L1904">
        <f>IF($K1904="","",COUNTIFS(LdgSellerA,$F1904,LdgKeyA,"&lt;"&amp;$K1904)+COUNTIFS(LdgSellerB,$F1904,LdgKeyB,"&lt;"&amp;$K1904)+1)</f>
        <v/>
      </c>
      <c r="M1904">
        <f>IF($L1904="","",$F1904&amp;"|"&amp;RIGHT("000000"&amp;$L1904,6))</f>
        <v/>
      </c>
      <c r="N1904">
        <f>IF($F1904="","",IF(Sync!$AF1904="","0000",IF(AND(ISNUMBER(Sync!$AF1904),Sync!$AF1904&gt;=0,Sync!$AF1904&lt;1),RIGHT("00"&amp;HOUR(Sync!$AF1904),2)&amp;RIGHT("00"&amp;MINUTE(Sync!$AF1904),2),IFERROR(RIGHT("00"&amp;VALUE(LEFT(Sync!$AF1904,FIND(":",Sync!$AF1904)-1)),2)&amp;RIGHT("00"&amp;VALUE(MID(Sync!$AF1904,FIND(":",Sync!$AF1904)+1,2)),2),"0000"))))</f>
        <v/>
      </c>
    </row>
    <row r="1905">
      <c r="A1905">
        <f>IF(OR(Calc!$E1909="",Calc!$E1909="نامعتبر",Calc!$G1909=""),"",Calc!$G1909)</f>
        <v/>
      </c>
      <c r="B1905">
        <f>IF($A1905="","",LEFT(Calc!$E1909,4)&amp;MID(Calc!$E1909,6,2)&amp;RIGHT(Calc!$E1909,2)&amp;Calc!$Q1909&amp;"|"&amp;"1"&amp;RIGHT("00000"&amp;1900,5))</f>
        <v/>
      </c>
      <c r="C1905">
        <f>IF($B1905="","",COUNTIFS(LdgSellerA,$A1905,LdgKeyA,"&lt;"&amp;$B1905)+COUNTIFS(LdgSellerB,$A1905,LdgKeyB,"&lt;"&amp;$B1905)+1)</f>
        <v/>
      </c>
      <c r="D1905">
        <f>IF($C1905="","",$A1905&amp;"|"&amp;RIGHT("000000"&amp;$C1905,6))</f>
        <v/>
      </c>
      <c r="F1905">
        <f>IF(Sync!$AH1905="","",IF(LEFT(UPPER(TRIM(Sync!$AH1905)),2)="SL",UPPER(TRIM(Sync!$AH1905)),""))</f>
        <v/>
      </c>
      <c r="G1905">
        <f>IF($F1905="","",IF(Sync!$AE1905="","",IF(ISNUMBER(Sync!$AE1905),IF(AND(Sync!$AE1905&gt;=10000101,Sync!$AE1905&lt;=99991231),INT(Sync!$AE1905/10000),""),IFERROR(VALUE(TRIM(LEFT(Sync!$AE1905,FIND("/",Sync!$AE1905)-1))),""))))</f>
        <v/>
      </c>
      <c r="H1905">
        <f>IF(OR($F1905="",$G1905=""),"",IF(ISNUMBER(Sync!$AE1905),INT(MOD(Sync!$AE1905,10000)/100),IFERROR(VALUE(TRIM(LEFT(MID(Sync!$AE1905,FIND("/",Sync!$AE1905)+1,20),FIND("/",MID(Sync!$AE1905,FIND("/",Sync!$AE1905)+1,20))-1))),"")))</f>
        <v/>
      </c>
      <c r="I1905">
        <f>IF(OR($F1905="",$G1905=""),"",IF(ISNUMBER(Sync!$AE1905),MOD(Sync!$AE1905,100),IFERROR(VALUE(TRIM(MID(MID(Sync!$AE1905,FIND("/",Sync!$AE1905)+1,20),FIND("/",MID(Sync!$AE1905,FIND("/",Sync!$AE1905)+1,20))+1,20))),"")))</f>
        <v/>
      </c>
      <c r="J1905">
        <f>IF($F1905="","",IF(OR($G1905="",$H1905="",$I1905="",$G1905&lt;1300,$G1905&gt;1500,$H1905&lt;1,$H1905&gt;12,$I1905&lt;1,$I1905&gt;31),"نامعتبر",RIGHT("0000"&amp;$G1905,4)&amp;"/"&amp;RIGHT("00"&amp;$H1905,2)&amp;"/"&amp;RIGHT("00"&amp;$I1905,2)))</f>
        <v/>
      </c>
      <c r="K1905">
        <f>IF(OR($F1905="",$J1905="",$J1905="نامعتبر"),"",LEFT($J1905,4)&amp;MID($J1905,6,2)&amp;RIGHT($J1905,2)&amp;$N1905&amp;"|"&amp;"2"&amp;RIGHT("00000"&amp;1900,5))</f>
        <v/>
      </c>
      <c r="L1905">
        <f>IF($K1905="","",COUNTIFS(LdgSellerA,$F1905,LdgKeyA,"&lt;"&amp;$K1905)+COUNTIFS(LdgSellerB,$F1905,LdgKeyB,"&lt;"&amp;$K1905)+1)</f>
        <v/>
      </c>
      <c r="M1905">
        <f>IF($L1905="","",$F1905&amp;"|"&amp;RIGHT("000000"&amp;$L1905,6))</f>
        <v/>
      </c>
      <c r="N1905">
        <f>IF($F1905="","",IF(Sync!$AF1905="","0000",IF(AND(ISNUMBER(Sync!$AF1905),Sync!$AF1905&gt;=0,Sync!$AF1905&lt;1),RIGHT("00"&amp;HOUR(Sync!$AF1905),2)&amp;RIGHT("00"&amp;MINUTE(Sync!$AF1905),2),IFERROR(RIGHT("00"&amp;VALUE(LEFT(Sync!$AF1905,FIND(":",Sync!$AF1905)-1)),2)&amp;RIGHT("00"&amp;VALUE(MID(Sync!$AF1905,FIND(":",Sync!$AF1905)+1,2)),2),"0000"))))</f>
        <v/>
      </c>
    </row>
    <row r="1906">
      <c r="A1906">
        <f>IF(OR(Calc!$E1910="",Calc!$E1910="نامعتبر",Calc!$G1910=""),"",Calc!$G1910)</f>
        <v/>
      </c>
      <c r="B1906">
        <f>IF($A1906="","",LEFT(Calc!$E1910,4)&amp;MID(Calc!$E1910,6,2)&amp;RIGHT(Calc!$E1910,2)&amp;Calc!$Q1910&amp;"|"&amp;"1"&amp;RIGHT("00000"&amp;1901,5))</f>
        <v/>
      </c>
      <c r="C1906">
        <f>IF($B1906="","",COUNTIFS(LdgSellerA,$A1906,LdgKeyA,"&lt;"&amp;$B1906)+COUNTIFS(LdgSellerB,$A1906,LdgKeyB,"&lt;"&amp;$B1906)+1)</f>
        <v/>
      </c>
      <c r="D1906">
        <f>IF($C1906="","",$A1906&amp;"|"&amp;RIGHT("000000"&amp;$C1906,6))</f>
        <v/>
      </c>
      <c r="F1906">
        <f>IF(Sync!$AH1906="","",IF(LEFT(UPPER(TRIM(Sync!$AH1906)),2)="SL",UPPER(TRIM(Sync!$AH1906)),""))</f>
        <v/>
      </c>
      <c r="G1906">
        <f>IF($F1906="","",IF(Sync!$AE1906="","",IF(ISNUMBER(Sync!$AE1906),IF(AND(Sync!$AE1906&gt;=10000101,Sync!$AE1906&lt;=99991231),INT(Sync!$AE1906/10000),""),IFERROR(VALUE(TRIM(LEFT(Sync!$AE1906,FIND("/",Sync!$AE1906)-1))),""))))</f>
        <v/>
      </c>
      <c r="H1906">
        <f>IF(OR($F1906="",$G1906=""),"",IF(ISNUMBER(Sync!$AE1906),INT(MOD(Sync!$AE1906,10000)/100),IFERROR(VALUE(TRIM(LEFT(MID(Sync!$AE1906,FIND("/",Sync!$AE1906)+1,20),FIND("/",MID(Sync!$AE1906,FIND("/",Sync!$AE1906)+1,20))-1))),"")))</f>
        <v/>
      </c>
      <c r="I1906">
        <f>IF(OR($F1906="",$G1906=""),"",IF(ISNUMBER(Sync!$AE1906),MOD(Sync!$AE1906,100),IFERROR(VALUE(TRIM(MID(MID(Sync!$AE1906,FIND("/",Sync!$AE1906)+1,20),FIND("/",MID(Sync!$AE1906,FIND("/",Sync!$AE1906)+1,20))+1,20))),"")))</f>
        <v/>
      </c>
      <c r="J1906">
        <f>IF($F1906="","",IF(OR($G1906="",$H1906="",$I1906="",$G1906&lt;1300,$G1906&gt;1500,$H1906&lt;1,$H1906&gt;12,$I1906&lt;1,$I1906&gt;31),"نامعتبر",RIGHT("0000"&amp;$G1906,4)&amp;"/"&amp;RIGHT("00"&amp;$H1906,2)&amp;"/"&amp;RIGHT("00"&amp;$I1906,2)))</f>
        <v/>
      </c>
      <c r="K1906">
        <f>IF(OR($F1906="",$J1906="",$J1906="نامعتبر"),"",LEFT($J1906,4)&amp;MID($J1906,6,2)&amp;RIGHT($J1906,2)&amp;$N1906&amp;"|"&amp;"2"&amp;RIGHT("00000"&amp;1901,5))</f>
        <v/>
      </c>
      <c r="L1906">
        <f>IF($K1906="","",COUNTIFS(LdgSellerA,$F1906,LdgKeyA,"&lt;"&amp;$K1906)+COUNTIFS(LdgSellerB,$F1906,LdgKeyB,"&lt;"&amp;$K1906)+1)</f>
        <v/>
      </c>
      <c r="M1906">
        <f>IF($L1906="","",$F1906&amp;"|"&amp;RIGHT("000000"&amp;$L1906,6))</f>
        <v/>
      </c>
      <c r="N1906">
        <f>IF($F1906="","",IF(Sync!$AF1906="","0000",IF(AND(ISNUMBER(Sync!$AF1906),Sync!$AF1906&gt;=0,Sync!$AF1906&lt;1),RIGHT("00"&amp;HOUR(Sync!$AF1906),2)&amp;RIGHT("00"&amp;MINUTE(Sync!$AF1906),2),IFERROR(RIGHT("00"&amp;VALUE(LEFT(Sync!$AF1906,FIND(":",Sync!$AF1906)-1)),2)&amp;RIGHT("00"&amp;VALUE(MID(Sync!$AF1906,FIND(":",Sync!$AF1906)+1,2)),2),"0000"))))</f>
        <v/>
      </c>
    </row>
    <row r="1907">
      <c r="A1907">
        <f>IF(OR(Calc!$E1911="",Calc!$E1911="نامعتبر",Calc!$G1911=""),"",Calc!$G1911)</f>
        <v/>
      </c>
      <c r="B1907">
        <f>IF($A1907="","",LEFT(Calc!$E1911,4)&amp;MID(Calc!$E1911,6,2)&amp;RIGHT(Calc!$E1911,2)&amp;Calc!$Q1911&amp;"|"&amp;"1"&amp;RIGHT("00000"&amp;1902,5))</f>
        <v/>
      </c>
      <c r="C1907">
        <f>IF($B1907="","",COUNTIFS(LdgSellerA,$A1907,LdgKeyA,"&lt;"&amp;$B1907)+COUNTIFS(LdgSellerB,$A1907,LdgKeyB,"&lt;"&amp;$B1907)+1)</f>
        <v/>
      </c>
      <c r="D1907">
        <f>IF($C1907="","",$A1907&amp;"|"&amp;RIGHT("000000"&amp;$C1907,6))</f>
        <v/>
      </c>
      <c r="F1907">
        <f>IF(Sync!$AH1907="","",IF(LEFT(UPPER(TRIM(Sync!$AH1907)),2)="SL",UPPER(TRIM(Sync!$AH1907)),""))</f>
        <v/>
      </c>
      <c r="G1907">
        <f>IF($F1907="","",IF(Sync!$AE1907="","",IF(ISNUMBER(Sync!$AE1907),IF(AND(Sync!$AE1907&gt;=10000101,Sync!$AE1907&lt;=99991231),INT(Sync!$AE1907/10000),""),IFERROR(VALUE(TRIM(LEFT(Sync!$AE1907,FIND("/",Sync!$AE1907)-1))),""))))</f>
        <v/>
      </c>
      <c r="H1907">
        <f>IF(OR($F1907="",$G1907=""),"",IF(ISNUMBER(Sync!$AE1907),INT(MOD(Sync!$AE1907,10000)/100),IFERROR(VALUE(TRIM(LEFT(MID(Sync!$AE1907,FIND("/",Sync!$AE1907)+1,20),FIND("/",MID(Sync!$AE1907,FIND("/",Sync!$AE1907)+1,20))-1))),"")))</f>
        <v/>
      </c>
      <c r="I1907">
        <f>IF(OR($F1907="",$G1907=""),"",IF(ISNUMBER(Sync!$AE1907),MOD(Sync!$AE1907,100),IFERROR(VALUE(TRIM(MID(MID(Sync!$AE1907,FIND("/",Sync!$AE1907)+1,20),FIND("/",MID(Sync!$AE1907,FIND("/",Sync!$AE1907)+1,20))+1,20))),"")))</f>
        <v/>
      </c>
      <c r="J1907">
        <f>IF($F1907="","",IF(OR($G1907="",$H1907="",$I1907="",$G1907&lt;1300,$G1907&gt;1500,$H1907&lt;1,$H1907&gt;12,$I1907&lt;1,$I1907&gt;31),"نامعتبر",RIGHT("0000"&amp;$G1907,4)&amp;"/"&amp;RIGHT("00"&amp;$H1907,2)&amp;"/"&amp;RIGHT("00"&amp;$I1907,2)))</f>
        <v/>
      </c>
      <c r="K1907">
        <f>IF(OR($F1907="",$J1907="",$J1907="نامعتبر"),"",LEFT($J1907,4)&amp;MID($J1907,6,2)&amp;RIGHT($J1907,2)&amp;$N1907&amp;"|"&amp;"2"&amp;RIGHT("00000"&amp;1902,5))</f>
        <v/>
      </c>
      <c r="L1907">
        <f>IF($K1907="","",COUNTIFS(LdgSellerA,$F1907,LdgKeyA,"&lt;"&amp;$K1907)+COUNTIFS(LdgSellerB,$F1907,LdgKeyB,"&lt;"&amp;$K1907)+1)</f>
        <v/>
      </c>
      <c r="M1907">
        <f>IF($L1907="","",$F1907&amp;"|"&amp;RIGHT("000000"&amp;$L1907,6))</f>
        <v/>
      </c>
      <c r="N1907">
        <f>IF($F1907="","",IF(Sync!$AF1907="","0000",IF(AND(ISNUMBER(Sync!$AF1907),Sync!$AF1907&gt;=0,Sync!$AF1907&lt;1),RIGHT("00"&amp;HOUR(Sync!$AF1907),2)&amp;RIGHT("00"&amp;MINUTE(Sync!$AF1907),2),IFERROR(RIGHT("00"&amp;VALUE(LEFT(Sync!$AF1907,FIND(":",Sync!$AF1907)-1)),2)&amp;RIGHT("00"&amp;VALUE(MID(Sync!$AF1907,FIND(":",Sync!$AF1907)+1,2)),2),"0000"))))</f>
        <v/>
      </c>
    </row>
    <row r="1908">
      <c r="A1908">
        <f>IF(OR(Calc!$E1912="",Calc!$E1912="نامعتبر",Calc!$G1912=""),"",Calc!$G1912)</f>
        <v/>
      </c>
      <c r="B1908">
        <f>IF($A1908="","",LEFT(Calc!$E1912,4)&amp;MID(Calc!$E1912,6,2)&amp;RIGHT(Calc!$E1912,2)&amp;Calc!$Q1912&amp;"|"&amp;"1"&amp;RIGHT("00000"&amp;1903,5))</f>
        <v/>
      </c>
      <c r="C1908">
        <f>IF($B1908="","",COUNTIFS(LdgSellerA,$A1908,LdgKeyA,"&lt;"&amp;$B1908)+COUNTIFS(LdgSellerB,$A1908,LdgKeyB,"&lt;"&amp;$B1908)+1)</f>
        <v/>
      </c>
      <c r="D1908">
        <f>IF($C1908="","",$A1908&amp;"|"&amp;RIGHT("000000"&amp;$C1908,6))</f>
        <v/>
      </c>
      <c r="F1908">
        <f>IF(Sync!$AH1908="","",IF(LEFT(UPPER(TRIM(Sync!$AH1908)),2)="SL",UPPER(TRIM(Sync!$AH1908)),""))</f>
        <v/>
      </c>
      <c r="G1908">
        <f>IF($F1908="","",IF(Sync!$AE1908="","",IF(ISNUMBER(Sync!$AE1908),IF(AND(Sync!$AE1908&gt;=10000101,Sync!$AE1908&lt;=99991231),INT(Sync!$AE1908/10000),""),IFERROR(VALUE(TRIM(LEFT(Sync!$AE1908,FIND("/",Sync!$AE1908)-1))),""))))</f>
        <v/>
      </c>
      <c r="H1908">
        <f>IF(OR($F1908="",$G1908=""),"",IF(ISNUMBER(Sync!$AE1908),INT(MOD(Sync!$AE1908,10000)/100),IFERROR(VALUE(TRIM(LEFT(MID(Sync!$AE1908,FIND("/",Sync!$AE1908)+1,20),FIND("/",MID(Sync!$AE1908,FIND("/",Sync!$AE1908)+1,20))-1))),"")))</f>
        <v/>
      </c>
      <c r="I1908">
        <f>IF(OR($F1908="",$G1908=""),"",IF(ISNUMBER(Sync!$AE1908),MOD(Sync!$AE1908,100),IFERROR(VALUE(TRIM(MID(MID(Sync!$AE1908,FIND("/",Sync!$AE1908)+1,20),FIND("/",MID(Sync!$AE1908,FIND("/",Sync!$AE1908)+1,20))+1,20))),"")))</f>
        <v/>
      </c>
      <c r="J1908">
        <f>IF($F1908="","",IF(OR($G1908="",$H1908="",$I1908="",$G1908&lt;1300,$G1908&gt;1500,$H1908&lt;1,$H1908&gt;12,$I1908&lt;1,$I1908&gt;31),"نامعتبر",RIGHT("0000"&amp;$G1908,4)&amp;"/"&amp;RIGHT("00"&amp;$H1908,2)&amp;"/"&amp;RIGHT("00"&amp;$I1908,2)))</f>
        <v/>
      </c>
      <c r="K1908">
        <f>IF(OR($F1908="",$J1908="",$J1908="نامعتبر"),"",LEFT($J1908,4)&amp;MID($J1908,6,2)&amp;RIGHT($J1908,2)&amp;$N1908&amp;"|"&amp;"2"&amp;RIGHT("00000"&amp;1903,5))</f>
        <v/>
      </c>
      <c r="L1908">
        <f>IF($K1908="","",COUNTIFS(LdgSellerA,$F1908,LdgKeyA,"&lt;"&amp;$K1908)+COUNTIFS(LdgSellerB,$F1908,LdgKeyB,"&lt;"&amp;$K1908)+1)</f>
        <v/>
      </c>
      <c r="M1908">
        <f>IF($L1908="","",$F1908&amp;"|"&amp;RIGHT("000000"&amp;$L1908,6))</f>
        <v/>
      </c>
      <c r="N1908">
        <f>IF($F1908="","",IF(Sync!$AF1908="","0000",IF(AND(ISNUMBER(Sync!$AF1908),Sync!$AF1908&gt;=0,Sync!$AF1908&lt;1),RIGHT("00"&amp;HOUR(Sync!$AF1908),2)&amp;RIGHT("00"&amp;MINUTE(Sync!$AF1908),2),IFERROR(RIGHT("00"&amp;VALUE(LEFT(Sync!$AF1908,FIND(":",Sync!$AF1908)-1)),2)&amp;RIGHT("00"&amp;VALUE(MID(Sync!$AF1908,FIND(":",Sync!$AF1908)+1,2)),2),"0000"))))</f>
        <v/>
      </c>
    </row>
    <row r="1909">
      <c r="A1909">
        <f>IF(OR(Calc!$E1913="",Calc!$E1913="نامعتبر",Calc!$G1913=""),"",Calc!$G1913)</f>
        <v/>
      </c>
      <c r="B1909">
        <f>IF($A1909="","",LEFT(Calc!$E1913,4)&amp;MID(Calc!$E1913,6,2)&amp;RIGHT(Calc!$E1913,2)&amp;Calc!$Q1913&amp;"|"&amp;"1"&amp;RIGHT("00000"&amp;1904,5))</f>
        <v/>
      </c>
      <c r="C1909">
        <f>IF($B1909="","",COUNTIFS(LdgSellerA,$A1909,LdgKeyA,"&lt;"&amp;$B1909)+COUNTIFS(LdgSellerB,$A1909,LdgKeyB,"&lt;"&amp;$B1909)+1)</f>
        <v/>
      </c>
      <c r="D1909">
        <f>IF($C1909="","",$A1909&amp;"|"&amp;RIGHT("000000"&amp;$C1909,6))</f>
        <v/>
      </c>
      <c r="F1909">
        <f>IF(Sync!$AH1909="","",IF(LEFT(UPPER(TRIM(Sync!$AH1909)),2)="SL",UPPER(TRIM(Sync!$AH1909)),""))</f>
        <v/>
      </c>
      <c r="G1909">
        <f>IF($F1909="","",IF(Sync!$AE1909="","",IF(ISNUMBER(Sync!$AE1909),IF(AND(Sync!$AE1909&gt;=10000101,Sync!$AE1909&lt;=99991231),INT(Sync!$AE1909/10000),""),IFERROR(VALUE(TRIM(LEFT(Sync!$AE1909,FIND("/",Sync!$AE1909)-1))),""))))</f>
        <v/>
      </c>
      <c r="H1909">
        <f>IF(OR($F1909="",$G1909=""),"",IF(ISNUMBER(Sync!$AE1909),INT(MOD(Sync!$AE1909,10000)/100),IFERROR(VALUE(TRIM(LEFT(MID(Sync!$AE1909,FIND("/",Sync!$AE1909)+1,20),FIND("/",MID(Sync!$AE1909,FIND("/",Sync!$AE1909)+1,20))-1))),"")))</f>
        <v/>
      </c>
      <c r="I1909">
        <f>IF(OR($F1909="",$G1909=""),"",IF(ISNUMBER(Sync!$AE1909),MOD(Sync!$AE1909,100),IFERROR(VALUE(TRIM(MID(MID(Sync!$AE1909,FIND("/",Sync!$AE1909)+1,20),FIND("/",MID(Sync!$AE1909,FIND("/",Sync!$AE1909)+1,20))+1,20))),"")))</f>
        <v/>
      </c>
      <c r="J1909">
        <f>IF($F1909="","",IF(OR($G1909="",$H1909="",$I1909="",$G1909&lt;1300,$G1909&gt;1500,$H1909&lt;1,$H1909&gt;12,$I1909&lt;1,$I1909&gt;31),"نامعتبر",RIGHT("0000"&amp;$G1909,4)&amp;"/"&amp;RIGHT("00"&amp;$H1909,2)&amp;"/"&amp;RIGHT("00"&amp;$I1909,2)))</f>
        <v/>
      </c>
      <c r="K1909">
        <f>IF(OR($F1909="",$J1909="",$J1909="نامعتبر"),"",LEFT($J1909,4)&amp;MID($J1909,6,2)&amp;RIGHT($J1909,2)&amp;$N1909&amp;"|"&amp;"2"&amp;RIGHT("00000"&amp;1904,5))</f>
        <v/>
      </c>
      <c r="L1909">
        <f>IF($K1909="","",COUNTIFS(LdgSellerA,$F1909,LdgKeyA,"&lt;"&amp;$K1909)+COUNTIFS(LdgSellerB,$F1909,LdgKeyB,"&lt;"&amp;$K1909)+1)</f>
        <v/>
      </c>
      <c r="M1909">
        <f>IF($L1909="","",$F1909&amp;"|"&amp;RIGHT("000000"&amp;$L1909,6))</f>
        <v/>
      </c>
      <c r="N1909">
        <f>IF($F1909="","",IF(Sync!$AF1909="","0000",IF(AND(ISNUMBER(Sync!$AF1909),Sync!$AF1909&gt;=0,Sync!$AF1909&lt;1),RIGHT("00"&amp;HOUR(Sync!$AF1909),2)&amp;RIGHT("00"&amp;MINUTE(Sync!$AF1909),2),IFERROR(RIGHT("00"&amp;VALUE(LEFT(Sync!$AF1909,FIND(":",Sync!$AF1909)-1)),2)&amp;RIGHT("00"&amp;VALUE(MID(Sync!$AF1909,FIND(":",Sync!$AF1909)+1,2)),2),"0000"))))</f>
        <v/>
      </c>
    </row>
    <row r="1910">
      <c r="A1910">
        <f>IF(OR(Calc!$E1914="",Calc!$E1914="نامعتبر",Calc!$G1914=""),"",Calc!$G1914)</f>
        <v/>
      </c>
      <c r="B1910">
        <f>IF($A1910="","",LEFT(Calc!$E1914,4)&amp;MID(Calc!$E1914,6,2)&amp;RIGHT(Calc!$E1914,2)&amp;Calc!$Q1914&amp;"|"&amp;"1"&amp;RIGHT("00000"&amp;1905,5))</f>
        <v/>
      </c>
      <c r="C1910">
        <f>IF($B1910="","",COUNTIFS(LdgSellerA,$A1910,LdgKeyA,"&lt;"&amp;$B1910)+COUNTIFS(LdgSellerB,$A1910,LdgKeyB,"&lt;"&amp;$B1910)+1)</f>
        <v/>
      </c>
      <c r="D1910">
        <f>IF($C1910="","",$A1910&amp;"|"&amp;RIGHT("000000"&amp;$C1910,6))</f>
        <v/>
      </c>
      <c r="F1910">
        <f>IF(Sync!$AH1910="","",IF(LEFT(UPPER(TRIM(Sync!$AH1910)),2)="SL",UPPER(TRIM(Sync!$AH1910)),""))</f>
        <v/>
      </c>
      <c r="G1910">
        <f>IF($F1910="","",IF(Sync!$AE1910="","",IF(ISNUMBER(Sync!$AE1910),IF(AND(Sync!$AE1910&gt;=10000101,Sync!$AE1910&lt;=99991231),INT(Sync!$AE1910/10000),""),IFERROR(VALUE(TRIM(LEFT(Sync!$AE1910,FIND("/",Sync!$AE1910)-1))),""))))</f>
        <v/>
      </c>
      <c r="H1910">
        <f>IF(OR($F1910="",$G1910=""),"",IF(ISNUMBER(Sync!$AE1910),INT(MOD(Sync!$AE1910,10000)/100),IFERROR(VALUE(TRIM(LEFT(MID(Sync!$AE1910,FIND("/",Sync!$AE1910)+1,20),FIND("/",MID(Sync!$AE1910,FIND("/",Sync!$AE1910)+1,20))-1))),"")))</f>
        <v/>
      </c>
      <c r="I1910">
        <f>IF(OR($F1910="",$G1910=""),"",IF(ISNUMBER(Sync!$AE1910),MOD(Sync!$AE1910,100),IFERROR(VALUE(TRIM(MID(MID(Sync!$AE1910,FIND("/",Sync!$AE1910)+1,20),FIND("/",MID(Sync!$AE1910,FIND("/",Sync!$AE1910)+1,20))+1,20))),"")))</f>
        <v/>
      </c>
      <c r="J1910">
        <f>IF($F1910="","",IF(OR($G1910="",$H1910="",$I1910="",$G1910&lt;1300,$G1910&gt;1500,$H1910&lt;1,$H1910&gt;12,$I1910&lt;1,$I1910&gt;31),"نامعتبر",RIGHT("0000"&amp;$G1910,4)&amp;"/"&amp;RIGHT("00"&amp;$H1910,2)&amp;"/"&amp;RIGHT("00"&amp;$I1910,2)))</f>
        <v/>
      </c>
      <c r="K1910">
        <f>IF(OR($F1910="",$J1910="",$J1910="نامعتبر"),"",LEFT($J1910,4)&amp;MID($J1910,6,2)&amp;RIGHT($J1910,2)&amp;$N1910&amp;"|"&amp;"2"&amp;RIGHT("00000"&amp;1905,5))</f>
        <v/>
      </c>
      <c r="L1910">
        <f>IF($K1910="","",COUNTIFS(LdgSellerA,$F1910,LdgKeyA,"&lt;"&amp;$K1910)+COUNTIFS(LdgSellerB,$F1910,LdgKeyB,"&lt;"&amp;$K1910)+1)</f>
        <v/>
      </c>
      <c r="M1910">
        <f>IF($L1910="","",$F1910&amp;"|"&amp;RIGHT("000000"&amp;$L1910,6))</f>
        <v/>
      </c>
      <c r="N1910">
        <f>IF($F1910="","",IF(Sync!$AF1910="","0000",IF(AND(ISNUMBER(Sync!$AF1910),Sync!$AF1910&gt;=0,Sync!$AF1910&lt;1),RIGHT("00"&amp;HOUR(Sync!$AF1910),2)&amp;RIGHT("00"&amp;MINUTE(Sync!$AF1910),2),IFERROR(RIGHT("00"&amp;VALUE(LEFT(Sync!$AF1910,FIND(":",Sync!$AF1910)-1)),2)&amp;RIGHT("00"&amp;VALUE(MID(Sync!$AF1910,FIND(":",Sync!$AF1910)+1,2)),2),"0000"))))</f>
        <v/>
      </c>
    </row>
    <row r="1911">
      <c r="A1911">
        <f>IF(OR(Calc!$E1915="",Calc!$E1915="نامعتبر",Calc!$G1915=""),"",Calc!$G1915)</f>
        <v/>
      </c>
      <c r="B1911">
        <f>IF($A1911="","",LEFT(Calc!$E1915,4)&amp;MID(Calc!$E1915,6,2)&amp;RIGHT(Calc!$E1915,2)&amp;Calc!$Q1915&amp;"|"&amp;"1"&amp;RIGHT("00000"&amp;1906,5))</f>
        <v/>
      </c>
      <c r="C1911">
        <f>IF($B1911="","",COUNTIFS(LdgSellerA,$A1911,LdgKeyA,"&lt;"&amp;$B1911)+COUNTIFS(LdgSellerB,$A1911,LdgKeyB,"&lt;"&amp;$B1911)+1)</f>
        <v/>
      </c>
      <c r="D1911">
        <f>IF($C1911="","",$A1911&amp;"|"&amp;RIGHT("000000"&amp;$C1911,6))</f>
        <v/>
      </c>
      <c r="F1911">
        <f>IF(Sync!$AH1911="","",IF(LEFT(UPPER(TRIM(Sync!$AH1911)),2)="SL",UPPER(TRIM(Sync!$AH1911)),""))</f>
        <v/>
      </c>
      <c r="G1911">
        <f>IF($F1911="","",IF(Sync!$AE1911="","",IF(ISNUMBER(Sync!$AE1911),IF(AND(Sync!$AE1911&gt;=10000101,Sync!$AE1911&lt;=99991231),INT(Sync!$AE1911/10000),""),IFERROR(VALUE(TRIM(LEFT(Sync!$AE1911,FIND("/",Sync!$AE1911)-1))),""))))</f>
        <v/>
      </c>
      <c r="H1911">
        <f>IF(OR($F1911="",$G1911=""),"",IF(ISNUMBER(Sync!$AE1911),INT(MOD(Sync!$AE1911,10000)/100),IFERROR(VALUE(TRIM(LEFT(MID(Sync!$AE1911,FIND("/",Sync!$AE1911)+1,20),FIND("/",MID(Sync!$AE1911,FIND("/",Sync!$AE1911)+1,20))-1))),"")))</f>
        <v/>
      </c>
      <c r="I1911">
        <f>IF(OR($F1911="",$G1911=""),"",IF(ISNUMBER(Sync!$AE1911),MOD(Sync!$AE1911,100),IFERROR(VALUE(TRIM(MID(MID(Sync!$AE1911,FIND("/",Sync!$AE1911)+1,20),FIND("/",MID(Sync!$AE1911,FIND("/",Sync!$AE1911)+1,20))+1,20))),"")))</f>
        <v/>
      </c>
      <c r="J1911">
        <f>IF($F1911="","",IF(OR($G1911="",$H1911="",$I1911="",$G1911&lt;1300,$G1911&gt;1500,$H1911&lt;1,$H1911&gt;12,$I1911&lt;1,$I1911&gt;31),"نامعتبر",RIGHT("0000"&amp;$G1911,4)&amp;"/"&amp;RIGHT("00"&amp;$H1911,2)&amp;"/"&amp;RIGHT("00"&amp;$I1911,2)))</f>
        <v/>
      </c>
      <c r="K1911">
        <f>IF(OR($F1911="",$J1911="",$J1911="نامعتبر"),"",LEFT($J1911,4)&amp;MID($J1911,6,2)&amp;RIGHT($J1911,2)&amp;$N1911&amp;"|"&amp;"2"&amp;RIGHT("00000"&amp;1906,5))</f>
        <v/>
      </c>
      <c r="L1911">
        <f>IF($K1911="","",COUNTIFS(LdgSellerA,$F1911,LdgKeyA,"&lt;"&amp;$K1911)+COUNTIFS(LdgSellerB,$F1911,LdgKeyB,"&lt;"&amp;$K1911)+1)</f>
        <v/>
      </c>
      <c r="M1911">
        <f>IF($L1911="","",$F1911&amp;"|"&amp;RIGHT("000000"&amp;$L1911,6))</f>
        <v/>
      </c>
      <c r="N1911">
        <f>IF($F1911="","",IF(Sync!$AF1911="","0000",IF(AND(ISNUMBER(Sync!$AF1911),Sync!$AF1911&gt;=0,Sync!$AF1911&lt;1),RIGHT("00"&amp;HOUR(Sync!$AF1911),2)&amp;RIGHT("00"&amp;MINUTE(Sync!$AF1911),2),IFERROR(RIGHT("00"&amp;VALUE(LEFT(Sync!$AF1911,FIND(":",Sync!$AF1911)-1)),2)&amp;RIGHT("00"&amp;VALUE(MID(Sync!$AF1911,FIND(":",Sync!$AF1911)+1,2)),2),"0000"))))</f>
        <v/>
      </c>
    </row>
    <row r="1912">
      <c r="A1912">
        <f>IF(OR(Calc!$E1916="",Calc!$E1916="نامعتبر",Calc!$G1916=""),"",Calc!$G1916)</f>
        <v/>
      </c>
      <c r="B1912">
        <f>IF($A1912="","",LEFT(Calc!$E1916,4)&amp;MID(Calc!$E1916,6,2)&amp;RIGHT(Calc!$E1916,2)&amp;Calc!$Q1916&amp;"|"&amp;"1"&amp;RIGHT("00000"&amp;1907,5))</f>
        <v/>
      </c>
      <c r="C1912">
        <f>IF($B1912="","",COUNTIFS(LdgSellerA,$A1912,LdgKeyA,"&lt;"&amp;$B1912)+COUNTIFS(LdgSellerB,$A1912,LdgKeyB,"&lt;"&amp;$B1912)+1)</f>
        <v/>
      </c>
      <c r="D1912">
        <f>IF($C1912="","",$A1912&amp;"|"&amp;RIGHT("000000"&amp;$C1912,6))</f>
        <v/>
      </c>
      <c r="F1912">
        <f>IF(Sync!$AH1912="","",IF(LEFT(UPPER(TRIM(Sync!$AH1912)),2)="SL",UPPER(TRIM(Sync!$AH1912)),""))</f>
        <v/>
      </c>
      <c r="G1912">
        <f>IF($F1912="","",IF(Sync!$AE1912="","",IF(ISNUMBER(Sync!$AE1912),IF(AND(Sync!$AE1912&gt;=10000101,Sync!$AE1912&lt;=99991231),INT(Sync!$AE1912/10000),""),IFERROR(VALUE(TRIM(LEFT(Sync!$AE1912,FIND("/",Sync!$AE1912)-1))),""))))</f>
        <v/>
      </c>
      <c r="H1912">
        <f>IF(OR($F1912="",$G1912=""),"",IF(ISNUMBER(Sync!$AE1912),INT(MOD(Sync!$AE1912,10000)/100),IFERROR(VALUE(TRIM(LEFT(MID(Sync!$AE1912,FIND("/",Sync!$AE1912)+1,20),FIND("/",MID(Sync!$AE1912,FIND("/",Sync!$AE1912)+1,20))-1))),"")))</f>
        <v/>
      </c>
      <c r="I1912">
        <f>IF(OR($F1912="",$G1912=""),"",IF(ISNUMBER(Sync!$AE1912),MOD(Sync!$AE1912,100),IFERROR(VALUE(TRIM(MID(MID(Sync!$AE1912,FIND("/",Sync!$AE1912)+1,20),FIND("/",MID(Sync!$AE1912,FIND("/",Sync!$AE1912)+1,20))+1,20))),"")))</f>
        <v/>
      </c>
      <c r="J1912">
        <f>IF($F1912="","",IF(OR($G1912="",$H1912="",$I1912="",$G1912&lt;1300,$G1912&gt;1500,$H1912&lt;1,$H1912&gt;12,$I1912&lt;1,$I1912&gt;31),"نامعتبر",RIGHT("0000"&amp;$G1912,4)&amp;"/"&amp;RIGHT("00"&amp;$H1912,2)&amp;"/"&amp;RIGHT("00"&amp;$I1912,2)))</f>
        <v/>
      </c>
      <c r="K1912">
        <f>IF(OR($F1912="",$J1912="",$J1912="نامعتبر"),"",LEFT($J1912,4)&amp;MID($J1912,6,2)&amp;RIGHT($J1912,2)&amp;$N1912&amp;"|"&amp;"2"&amp;RIGHT("00000"&amp;1907,5))</f>
        <v/>
      </c>
      <c r="L1912">
        <f>IF($K1912="","",COUNTIFS(LdgSellerA,$F1912,LdgKeyA,"&lt;"&amp;$K1912)+COUNTIFS(LdgSellerB,$F1912,LdgKeyB,"&lt;"&amp;$K1912)+1)</f>
        <v/>
      </c>
      <c r="M1912">
        <f>IF($L1912="","",$F1912&amp;"|"&amp;RIGHT("000000"&amp;$L1912,6))</f>
        <v/>
      </c>
      <c r="N1912">
        <f>IF($F1912="","",IF(Sync!$AF1912="","0000",IF(AND(ISNUMBER(Sync!$AF1912),Sync!$AF1912&gt;=0,Sync!$AF1912&lt;1),RIGHT("00"&amp;HOUR(Sync!$AF1912),2)&amp;RIGHT("00"&amp;MINUTE(Sync!$AF1912),2),IFERROR(RIGHT("00"&amp;VALUE(LEFT(Sync!$AF1912,FIND(":",Sync!$AF1912)-1)),2)&amp;RIGHT("00"&amp;VALUE(MID(Sync!$AF1912,FIND(":",Sync!$AF1912)+1,2)),2),"0000"))))</f>
        <v/>
      </c>
    </row>
    <row r="1913">
      <c r="A1913">
        <f>IF(OR(Calc!$E1917="",Calc!$E1917="نامعتبر",Calc!$G1917=""),"",Calc!$G1917)</f>
        <v/>
      </c>
      <c r="B1913">
        <f>IF($A1913="","",LEFT(Calc!$E1917,4)&amp;MID(Calc!$E1917,6,2)&amp;RIGHT(Calc!$E1917,2)&amp;Calc!$Q1917&amp;"|"&amp;"1"&amp;RIGHT("00000"&amp;1908,5))</f>
        <v/>
      </c>
      <c r="C1913">
        <f>IF($B1913="","",COUNTIFS(LdgSellerA,$A1913,LdgKeyA,"&lt;"&amp;$B1913)+COUNTIFS(LdgSellerB,$A1913,LdgKeyB,"&lt;"&amp;$B1913)+1)</f>
        <v/>
      </c>
      <c r="D1913">
        <f>IF($C1913="","",$A1913&amp;"|"&amp;RIGHT("000000"&amp;$C1913,6))</f>
        <v/>
      </c>
      <c r="F1913">
        <f>IF(Sync!$AH1913="","",IF(LEFT(UPPER(TRIM(Sync!$AH1913)),2)="SL",UPPER(TRIM(Sync!$AH1913)),""))</f>
        <v/>
      </c>
      <c r="G1913">
        <f>IF($F1913="","",IF(Sync!$AE1913="","",IF(ISNUMBER(Sync!$AE1913),IF(AND(Sync!$AE1913&gt;=10000101,Sync!$AE1913&lt;=99991231),INT(Sync!$AE1913/10000),""),IFERROR(VALUE(TRIM(LEFT(Sync!$AE1913,FIND("/",Sync!$AE1913)-1))),""))))</f>
        <v/>
      </c>
      <c r="H1913">
        <f>IF(OR($F1913="",$G1913=""),"",IF(ISNUMBER(Sync!$AE1913),INT(MOD(Sync!$AE1913,10000)/100),IFERROR(VALUE(TRIM(LEFT(MID(Sync!$AE1913,FIND("/",Sync!$AE1913)+1,20),FIND("/",MID(Sync!$AE1913,FIND("/",Sync!$AE1913)+1,20))-1))),"")))</f>
        <v/>
      </c>
      <c r="I1913">
        <f>IF(OR($F1913="",$G1913=""),"",IF(ISNUMBER(Sync!$AE1913),MOD(Sync!$AE1913,100),IFERROR(VALUE(TRIM(MID(MID(Sync!$AE1913,FIND("/",Sync!$AE1913)+1,20),FIND("/",MID(Sync!$AE1913,FIND("/",Sync!$AE1913)+1,20))+1,20))),"")))</f>
        <v/>
      </c>
      <c r="J1913">
        <f>IF($F1913="","",IF(OR($G1913="",$H1913="",$I1913="",$G1913&lt;1300,$G1913&gt;1500,$H1913&lt;1,$H1913&gt;12,$I1913&lt;1,$I1913&gt;31),"نامعتبر",RIGHT("0000"&amp;$G1913,4)&amp;"/"&amp;RIGHT("00"&amp;$H1913,2)&amp;"/"&amp;RIGHT("00"&amp;$I1913,2)))</f>
        <v/>
      </c>
      <c r="K1913">
        <f>IF(OR($F1913="",$J1913="",$J1913="نامعتبر"),"",LEFT($J1913,4)&amp;MID($J1913,6,2)&amp;RIGHT($J1913,2)&amp;$N1913&amp;"|"&amp;"2"&amp;RIGHT("00000"&amp;1908,5))</f>
        <v/>
      </c>
      <c r="L1913">
        <f>IF($K1913="","",COUNTIFS(LdgSellerA,$F1913,LdgKeyA,"&lt;"&amp;$K1913)+COUNTIFS(LdgSellerB,$F1913,LdgKeyB,"&lt;"&amp;$K1913)+1)</f>
        <v/>
      </c>
      <c r="M1913">
        <f>IF($L1913="","",$F1913&amp;"|"&amp;RIGHT("000000"&amp;$L1913,6))</f>
        <v/>
      </c>
      <c r="N1913">
        <f>IF($F1913="","",IF(Sync!$AF1913="","0000",IF(AND(ISNUMBER(Sync!$AF1913),Sync!$AF1913&gt;=0,Sync!$AF1913&lt;1),RIGHT("00"&amp;HOUR(Sync!$AF1913),2)&amp;RIGHT("00"&amp;MINUTE(Sync!$AF1913),2),IFERROR(RIGHT("00"&amp;VALUE(LEFT(Sync!$AF1913,FIND(":",Sync!$AF1913)-1)),2)&amp;RIGHT("00"&amp;VALUE(MID(Sync!$AF1913,FIND(":",Sync!$AF1913)+1,2)),2),"0000"))))</f>
        <v/>
      </c>
    </row>
    <row r="1914">
      <c r="A1914">
        <f>IF(OR(Calc!$E1918="",Calc!$E1918="نامعتبر",Calc!$G1918=""),"",Calc!$G1918)</f>
        <v/>
      </c>
      <c r="B1914">
        <f>IF($A1914="","",LEFT(Calc!$E1918,4)&amp;MID(Calc!$E1918,6,2)&amp;RIGHT(Calc!$E1918,2)&amp;Calc!$Q1918&amp;"|"&amp;"1"&amp;RIGHT("00000"&amp;1909,5))</f>
        <v/>
      </c>
      <c r="C1914">
        <f>IF($B1914="","",COUNTIFS(LdgSellerA,$A1914,LdgKeyA,"&lt;"&amp;$B1914)+COUNTIFS(LdgSellerB,$A1914,LdgKeyB,"&lt;"&amp;$B1914)+1)</f>
        <v/>
      </c>
      <c r="D1914">
        <f>IF($C1914="","",$A1914&amp;"|"&amp;RIGHT("000000"&amp;$C1914,6))</f>
        <v/>
      </c>
      <c r="F1914">
        <f>IF(Sync!$AH1914="","",IF(LEFT(UPPER(TRIM(Sync!$AH1914)),2)="SL",UPPER(TRIM(Sync!$AH1914)),""))</f>
        <v/>
      </c>
      <c r="G1914">
        <f>IF($F1914="","",IF(Sync!$AE1914="","",IF(ISNUMBER(Sync!$AE1914),IF(AND(Sync!$AE1914&gt;=10000101,Sync!$AE1914&lt;=99991231),INT(Sync!$AE1914/10000),""),IFERROR(VALUE(TRIM(LEFT(Sync!$AE1914,FIND("/",Sync!$AE1914)-1))),""))))</f>
        <v/>
      </c>
      <c r="H1914">
        <f>IF(OR($F1914="",$G1914=""),"",IF(ISNUMBER(Sync!$AE1914),INT(MOD(Sync!$AE1914,10000)/100),IFERROR(VALUE(TRIM(LEFT(MID(Sync!$AE1914,FIND("/",Sync!$AE1914)+1,20),FIND("/",MID(Sync!$AE1914,FIND("/",Sync!$AE1914)+1,20))-1))),"")))</f>
        <v/>
      </c>
      <c r="I1914">
        <f>IF(OR($F1914="",$G1914=""),"",IF(ISNUMBER(Sync!$AE1914),MOD(Sync!$AE1914,100),IFERROR(VALUE(TRIM(MID(MID(Sync!$AE1914,FIND("/",Sync!$AE1914)+1,20),FIND("/",MID(Sync!$AE1914,FIND("/",Sync!$AE1914)+1,20))+1,20))),"")))</f>
        <v/>
      </c>
      <c r="J1914">
        <f>IF($F1914="","",IF(OR($G1914="",$H1914="",$I1914="",$G1914&lt;1300,$G1914&gt;1500,$H1914&lt;1,$H1914&gt;12,$I1914&lt;1,$I1914&gt;31),"نامعتبر",RIGHT("0000"&amp;$G1914,4)&amp;"/"&amp;RIGHT("00"&amp;$H1914,2)&amp;"/"&amp;RIGHT("00"&amp;$I1914,2)))</f>
        <v/>
      </c>
      <c r="K1914">
        <f>IF(OR($F1914="",$J1914="",$J1914="نامعتبر"),"",LEFT($J1914,4)&amp;MID($J1914,6,2)&amp;RIGHT($J1914,2)&amp;$N1914&amp;"|"&amp;"2"&amp;RIGHT("00000"&amp;1909,5))</f>
        <v/>
      </c>
      <c r="L1914">
        <f>IF($K1914="","",COUNTIFS(LdgSellerA,$F1914,LdgKeyA,"&lt;"&amp;$K1914)+COUNTIFS(LdgSellerB,$F1914,LdgKeyB,"&lt;"&amp;$K1914)+1)</f>
        <v/>
      </c>
      <c r="M1914">
        <f>IF($L1914="","",$F1914&amp;"|"&amp;RIGHT("000000"&amp;$L1914,6))</f>
        <v/>
      </c>
      <c r="N1914">
        <f>IF($F1914="","",IF(Sync!$AF1914="","0000",IF(AND(ISNUMBER(Sync!$AF1914),Sync!$AF1914&gt;=0,Sync!$AF1914&lt;1),RIGHT("00"&amp;HOUR(Sync!$AF1914),2)&amp;RIGHT("00"&amp;MINUTE(Sync!$AF1914),2),IFERROR(RIGHT("00"&amp;VALUE(LEFT(Sync!$AF1914,FIND(":",Sync!$AF1914)-1)),2)&amp;RIGHT("00"&amp;VALUE(MID(Sync!$AF1914,FIND(":",Sync!$AF1914)+1,2)),2),"0000"))))</f>
        <v/>
      </c>
    </row>
    <row r="1915">
      <c r="A1915">
        <f>IF(OR(Calc!$E1919="",Calc!$E1919="نامعتبر",Calc!$G1919=""),"",Calc!$G1919)</f>
        <v/>
      </c>
      <c r="B1915">
        <f>IF($A1915="","",LEFT(Calc!$E1919,4)&amp;MID(Calc!$E1919,6,2)&amp;RIGHT(Calc!$E1919,2)&amp;Calc!$Q1919&amp;"|"&amp;"1"&amp;RIGHT("00000"&amp;1910,5))</f>
        <v/>
      </c>
      <c r="C1915">
        <f>IF($B1915="","",COUNTIFS(LdgSellerA,$A1915,LdgKeyA,"&lt;"&amp;$B1915)+COUNTIFS(LdgSellerB,$A1915,LdgKeyB,"&lt;"&amp;$B1915)+1)</f>
        <v/>
      </c>
      <c r="D1915">
        <f>IF($C1915="","",$A1915&amp;"|"&amp;RIGHT("000000"&amp;$C1915,6))</f>
        <v/>
      </c>
      <c r="F1915">
        <f>IF(Sync!$AH1915="","",IF(LEFT(UPPER(TRIM(Sync!$AH1915)),2)="SL",UPPER(TRIM(Sync!$AH1915)),""))</f>
        <v/>
      </c>
      <c r="G1915">
        <f>IF($F1915="","",IF(Sync!$AE1915="","",IF(ISNUMBER(Sync!$AE1915),IF(AND(Sync!$AE1915&gt;=10000101,Sync!$AE1915&lt;=99991231),INT(Sync!$AE1915/10000),""),IFERROR(VALUE(TRIM(LEFT(Sync!$AE1915,FIND("/",Sync!$AE1915)-1))),""))))</f>
        <v/>
      </c>
      <c r="H1915">
        <f>IF(OR($F1915="",$G1915=""),"",IF(ISNUMBER(Sync!$AE1915),INT(MOD(Sync!$AE1915,10000)/100),IFERROR(VALUE(TRIM(LEFT(MID(Sync!$AE1915,FIND("/",Sync!$AE1915)+1,20),FIND("/",MID(Sync!$AE1915,FIND("/",Sync!$AE1915)+1,20))-1))),"")))</f>
        <v/>
      </c>
      <c r="I1915">
        <f>IF(OR($F1915="",$G1915=""),"",IF(ISNUMBER(Sync!$AE1915),MOD(Sync!$AE1915,100),IFERROR(VALUE(TRIM(MID(MID(Sync!$AE1915,FIND("/",Sync!$AE1915)+1,20),FIND("/",MID(Sync!$AE1915,FIND("/",Sync!$AE1915)+1,20))+1,20))),"")))</f>
        <v/>
      </c>
      <c r="J1915">
        <f>IF($F1915="","",IF(OR($G1915="",$H1915="",$I1915="",$G1915&lt;1300,$G1915&gt;1500,$H1915&lt;1,$H1915&gt;12,$I1915&lt;1,$I1915&gt;31),"نامعتبر",RIGHT("0000"&amp;$G1915,4)&amp;"/"&amp;RIGHT("00"&amp;$H1915,2)&amp;"/"&amp;RIGHT("00"&amp;$I1915,2)))</f>
        <v/>
      </c>
      <c r="K1915">
        <f>IF(OR($F1915="",$J1915="",$J1915="نامعتبر"),"",LEFT($J1915,4)&amp;MID($J1915,6,2)&amp;RIGHT($J1915,2)&amp;$N1915&amp;"|"&amp;"2"&amp;RIGHT("00000"&amp;1910,5))</f>
        <v/>
      </c>
      <c r="L1915">
        <f>IF($K1915="","",COUNTIFS(LdgSellerA,$F1915,LdgKeyA,"&lt;"&amp;$K1915)+COUNTIFS(LdgSellerB,$F1915,LdgKeyB,"&lt;"&amp;$K1915)+1)</f>
        <v/>
      </c>
      <c r="M1915">
        <f>IF($L1915="","",$F1915&amp;"|"&amp;RIGHT("000000"&amp;$L1915,6))</f>
        <v/>
      </c>
      <c r="N1915">
        <f>IF($F1915="","",IF(Sync!$AF1915="","0000",IF(AND(ISNUMBER(Sync!$AF1915),Sync!$AF1915&gt;=0,Sync!$AF1915&lt;1),RIGHT("00"&amp;HOUR(Sync!$AF1915),2)&amp;RIGHT("00"&amp;MINUTE(Sync!$AF1915),2),IFERROR(RIGHT("00"&amp;VALUE(LEFT(Sync!$AF1915,FIND(":",Sync!$AF1915)-1)),2)&amp;RIGHT("00"&amp;VALUE(MID(Sync!$AF1915,FIND(":",Sync!$AF1915)+1,2)),2),"0000"))))</f>
        <v/>
      </c>
    </row>
    <row r="1916">
      <c r="A1916">
        <f>IF(OR(Calc!$E1920="",Calc!$E1920="نامعتبر",Calc!$G1920=""),"",Calc!$G1920)</f>
        <v/>
      </c>
      <c r="B1916">
        <f>IF($A1916="","",LEFT(Calc!$E1920,4)&amp;MID(Calc!$E1920,6,2)&amp;RIGHT(Calc!$E1920,2)&amp;Calc!$Q1920&amp;"|"&amp;"1"&amp;RIGHT("00000"&amp;1911,5))</f>
        <v/>
      </c>
      <c r="C1916">
        <f>IF($B1916="","",COUNTIFS(LdgSellerA,$A1916,LdgKeyA,"&lt;"&amp;$B1916)+COUNTIFS(LdgSellerB,$A1916,LdgKeyB,"&lt;"&amp;$B1916)+1)</f>
        <v/>
      </c>
      <c r="D1916">
        <f>IF($C1916="","",$A1916&amp;"|"&amp;RIGHT("000000"&amp;$C1916,6))</f>
        <v/>
      </c>
      <c r="F1916">
        <f>IF(Sync!$AH1916="","",IF(LEFT(UPPER(TRIM(Sync!$AH1916)),2)="SL",UPPER(TRIM(Sync!$AH1916)),""))</f>
        <v/>
      </c>
      <c r="G1916">
        <f>IF($F1916="","",IF(Sync!$AE1916="","",IF(ISNUMBER(Sync!$AE1916),IF(AND(Sync!$AE1916&gt;=10000101,Sync!$AE1916&lt;=99991231),INT(Sync!$AE1916/10000),""),IFERROR(VALUE(TRIM(LEFT(Sync!$AE1916,FIND("/",Sync!$AE1916)-1))),""))))</f>
        <v/>
      </c>
      <c r="H1916">
        <f>IF(OR($F1916="",$G1916=""),"",IF(ISNUMBER(Sync!$AE1916),INT(MOD(Sync!$AE1916,10000)/100),IFERROR(VALUE(TRIM(LEFT(MID(Sync!$AE1916,FIND("/",Sync!$AE1916)+1,20),FIND("/",MID(Sync!$AE1916,FIND("/",Sync!$AE1916)+1,20))-1))),"")))</f>
        <v/>
      </c>
      <c r="I1916">
        <f>IF(OR($F1916="",$G1916=""),"",IF(ISNUMBER(Sync!$AE1916),MOD(Sync!$AE1916,100),IFERROR(VALUE(TRIM(MID(MID(Sync!$AE1916,FIND("/",Sync!$AE1916)+1,20),FIND("/",MID(Sync!$AE1916,FIND("/",Sync!$AE1916)+1,20))+1,20))),"")))</f>
        <v/>
      </c>
      <c r="J1916">
        <f>IF($F1916="","",IF(OR($G1916="",$H1916="",$I1916="",$G1916&lt;1300,$G1916&gt;1500,$H1916&lt;1,$H1916&gt;12,$I1916&lt;1,$I1916&gt;31),"نامعتبر",RIGHT("0000"&amp;$G1916,4)&amp;"/"&amp;RIGHT("00"&amp;$H1916,2)&amp;"/"&amp;RIGHT("00"&amp;$I1916,2)))</f>
        <v/>
      </c>
      <c r="K1916">
        <f>IF(OR($F1916="",$J1916="",$J1916="نامعتبر"),"",LEFT($J1916,4)&amp;MID($J1916,6,2)&amp;RIGHT($J1916,2)&amp;$N1916&amp;"|"&amp;"2"&amp;RIGHT("00000"&amp;1911,5))</f>
        <v/>
      </c>
      <c r="L1916">
        <f>IF($K1916="","",COUNTIFS(LdgSellerA,$F1916,LdgKeyA,"&lt;"&amp;$K1916)+COUNTIFS(LdgSellerB,$F1916,LdgKeyB,"&lt;"&amp;$K1916)+1)</f>
        <v/>
      </c>
      <c r="M1916">
        <f>IF($L1916="","",$F1916&amp;"|"&amp;RIGHT("000000"&amp;$L1916,6))</f>
        <v/>
      </c>
      <c r="N1916">
        <f>IF($F1916="","",IF(Sync!$AF1916="","0000",IF(AND(ISNUMBER(Sync!$AF1916),Sync!$AF1916&gt;=0,Sync!$AF1916&lt;1),RIGHT("00"&amp;HOUR(Sync!$AF1916),2)&amp;RIGHT("00"&amp;MINUTE(Sync!$AF1916),2),IFERROR(RIGHT("00"&amp;VALUE(LEFT(Sync!$AF1916,FIND(":",Sync!$AF1916)-1)),2)&amp;RIGHT("00"&amp;VALUE(MID(Sync!$AF1916,FIND(":",Sync!$AF1916)+1,2)),2),"0000"))))</f>
        <v/>
      </c>
    </row>
    <row r="1917">
      <c r="A1917">
        <f>IF(OR(Calc!$E1921="",Calc!$E1921="نامعتبر",Calc!$G1921=""),"",Calc!$G1921)</f>
        <v/>
      </c>
      <c r="B1917">
        <f>IF($A1917="","",LEFT(Calc!$E1921,4)&amp;MID(Calc!$E1921,6,2)&amp;RIGHT(Calc!$E1921,2)&amp;Calc!$Q1921&amp;"|"&amp;"1"&amp;RIGHT("00000"&amp;1912,5))</f>
        <v/>
      </c>
      <c r="C1917">
        <f>IF($B1917="","",COUNTIFS(LdgSellerA,$A1917,LdgKeyA,"&lt;"&amp;$B1917)+COUNTIFS(LdgSellerB,$A1917,LdgKeyB,"&lt;"&amp;$B1917)+1)</f>
        <v/>
      </c>
      <c r="D1917">
        <f>IF($C1917="","",$A1917&amp;"|"&amp;RIGHT("000000"&amp;$C1917,6))</f>
        <v/>
      </c>
      <c r="F1917">
        <f>IF(Sync!$AH1917="","",IF(LEFT(UPPER(TRIM(Sync!$AH1917)),2)="SL",UPPER(TRIM(Sync!$AH1917)),""))</f>
        <v/>
      </c>
      <c r="G1917">
        <f>IF($F1917="","",IF(Sync!$AE1917="","",IF(ISNUMBER(Sync!$AE1917),IF(AND(Sync!$AE1917&gt;=10000101,Sync!$AE1917&lt;=99991231),INT(Sync!$AE1917/10000),""),IFERROR(VALUE(TRIM(LEFT(Sync!$AE1917,FIND("/",Sync!$AE1917)-1))),""))))</f>
        <v/>
      </c>
      <c r="H1917">
        <f>IF(OR($F1917="",$G1917=""),"",IF(ISNUMBER(Sync!$AE1917),INT(MOD(Sync!$AE1917,10000)/100),IFERROR(VALUE(TRIM(LEFT(MID(Sync!$AE1917,FIND("/",Sync!$AE1917)+1,20),FIND("/",MID(Sync!$AE1917,FIND("/",Sync!$AE1917)+1,20))-1))),"")))</f>
        <v/>
      </c>
      <c r="I1917">
        <f>IF(OR($F1917="",$G1917=""),"",IF(ISNUMBER(Sync!$AE1917),MOD(Sync!$AE1917,100),IFERROR(VALUE(TRIM(MID(MID(Sync!$AE1917,FIND("/",Sync!$AE1917)+1,20),FIND("/",MID(Sync!$AE1917,FIND("/",Sync!$AE1917)+1,20))+1,20))),"")))</f>
        <v/>
      </c>
      <c r="J1917">
        <f>IF($F1917="","",IF(OR($G1917="",$H1917="",$I1917="",$G1917&lt;1300,$G1917&gt;1500,$H1917&lt;1,$H1917&gt;12,$I1917&lt;1,$I1917&gt;31),"نامعتبر",RIGHT("0000"&amp;$G1917,4)&amp;"/"&amp;RIGHT("00"&amp;$H1917,2)&amp;"/"&amp;RIGHT("00"&amp;$I1917,2)))</f>
        <v/>
      </c>
      <c r="K1917">
        <f>IF(OR($F1917="",$J1917="",$J1917="نامعتبر"),"",LEFT($J1917,4)&amp;MID($J1917,6,2)&amp;RIGHT($J1917,2)&amp;$N1917&amp;"|"&amp;"2"&amp;RIGHT("00000"&amp;1912,5))</f>
        <v/>
      </c>
      <c r="L1917">
        <f>IF($K1917="","",COUNTIFS(LdgSellerA,$F1917,LdgKeyA,"&lt;"&amp;$K1917)+COUNTIFS(LdgSellerB,$F1917,LdgKeyB,"&lt;"&amp;$K1917)+1)</f>
        <v/>
      </c>
      <c r="M1917">
        <f>IF($L1917="","",$F1917&amp;"|"&amp;RIGHT("000000"&amp;$L1917,6))</f>
        <v/>
      </c>
      <c r="N1917">
        <f>IF($F1917="","",IF(Sync!$AF1917="","0000",IF(AND(ISNUMBER(Sync!$AF1917),Sync!$AF1917&gt;=0,Sync!$AF1917&lt;1),RIGHT("00"&amp;HOUR(Sync!$AF1917),2)&amp;RIGHT("00"&amp;MINUTE(Sync!$AF1917),2),IFERROR(RIGHT("00"&amp;VALUE(LEFT(Sync!$AF1917,FIND(":",Sync!$AF1917)-1)),2)&amp;RIGHT("00"&amp;VALUE(MID(Sync!$AF1917,FIND(":",Sync!$AF1917)+1,2)),2),"0000"))))</f>
        <v/>
      </c>
    </row>
    <row r="1918">
      <c r="A1918">
        <f>IF(OR(Calc!$E1922="",Calc!$E1922="نامعتبر",Calc!$G1922=""),"",Calc!$G1922)</f>
        <v/>
      </c>
      <c r="B1918">
        <f>IF($A1918="","",LEFT(Calc!$E1922,4)&amp;MID(Calc!$E1922,6,2)&amp;RIGHT(Calc!$E1922,2)&amp;Calc!$Q1922&amp;"|"&amp;"1"&amp;RIGHT("00000"&amp;1913,5))</f>
        <v/>
      </c>
      <c r="C1918">
        <f>IF($B1918="","",COUNTIFS(LdgSellerA,$A1918,LdgKeyA,"&lt;"&amp;$B1918)+COUNTIFS(LdgSellerB,$A1918,LdgKeyB,"&lt;"&amp;$B1918)+1)</f>
        <v/>
      </c>
      <c r="D1918">
        <f>IF($C1918="","",$A1918&amp;"|"&amp;RIGHT("000000"&amp;$C1918,6))</f>
        <v/>
      </c>
      <c r="F1918">
        <f>IF(Sync!$AH1918="","",IF(LEFT(UPPER(TRIM(Sync!$AH1918)),2)="SL",UPPER(TRIM(Sync!$AH1918)),""))</f>
        <v/>
      </c>
      <c r="G1918">
        <f>IF($F1918="","",IF(Sync!$AE1918="","",IF(ISNUMBER(Sync!$AE1918),IF(AND(Sync!$AE1918&gt;=10000101,Sync!$AE1918&lt;=99991231),INT(Sync!$AE1918/10000),""),IFERROR(VALUE(TRIM(LEFT(Sync!$AE1918,FIND("/",Sync!$AE1918)-1))),""))))</f>
        <v/>
      </c>
      <c r="H1918">
        <f>IF(OR($F1918="",$G1918=""),"",IF(ISNUMBER(Sync!$AE1918),INT(MOD(Sync!$AE1918,10000)/100),IFERROR(VALUE(TRIM(LEFT(MID(Sync!$AE1918,FIND("/",Sync!$AE1918)+1,20),FIND("/",MID(Sync!$AE1918,FIND("/",Sync!$AE1918)+1,20))-1))),"")))</f>
        <v/>
      </c>
      <c r="I1918">
        <f>IF(OR($F1918="",$G1918=""),"",IF(ISNUMBER(Sync!$AE1918),MOD(Sync!$AE1918,100),IFERROR(VALUE(TRIM(MID(MID(Sync!$AE1918,FIND("/",Sync!$AE1918)+1,20),FIND("/",MID(Sync!$AE1918,FIND("/",Sync!$AE1918)+1,20))+1,20))),"")))</f>
        <v/>
      </c>
      <c r="J1918">
        <f>IF($F1918="","",IF(OR($G1918="",$H1918="",$I1918="",$G1918&lt;1300,$G1918&gt;1500,$H1918&lt;1,$H1918&gt;12,$I1918&lt;1,$I1918&gt;31),"نامعتبر",RIGHT("0000"&amp;$G1918,4)&amp;"/"&amp;RIGHT("00"&amp;$H1918,2)&amp;"/"&amp;RIGHT("00"&amp;$I1918,2)))</f>
        <v/>
      </c>
      <c r="K1918">
        <f>IF(OR($F1918="",$J1918="",$J1918="نامعتبر"),"",LEFT($J1918,4)&amp;MID($J1918,6,2)&amp;RIGHT($J1918,2)&amp;$N1918&amp;"|"&amp;"2"&amp;RIGHT("00000"&amp;1913,5))</f>
        <v/>
      </c>
      <c r="L1918">
        <f>IF($K1918="","",COUNTIFS(LdgSellerA,$F1918,LdgKeyA,"&lt;"&amp;$K1918)+COUNTIFS(LdgSellerB,$F1918,LdgKeyB,"&lt;"&amp;$K1918)+1)</f>
        <v/>
      </c>
      <c r="M1918">
        <f>IF($L1918="","",$F1918&amp;"|"&amp;RIGHT("000000"&amp;$L1918,6))</f>
        <v/>
      </c>
      <c r="N1918">
        <f>IF($F1918="","",IF(Sync!$AF1918="","0000",IF(AND(ISNUMBER(Sync!$AF1918),Sync!$AF1918&gt;=0,Sync!$AF1918&lt;1),RIGHT("00"&amp;HOUR(Sync!$AF1918),2)&amp;RIGHT("00"&amp;MINUTE(Sync!$AF1918),2),IFERROR(RIGHT("00"&amp;VALUE(LEFT(Sync!$AF1918,FIND(":",Sync!$AF1918)-1)),2)&amp;RIGHT("00"&amp;VALUE(MID(Sync!$AF1918,FIND(":",Sync!$AF1918)+1,2)),2),"0000"))))</f>
        <v/>
      </c>
    </row>
    <row r="1919">
      <c r="A1919">
        <f>IF(OR(Calc!$E1923="",Calc!$E1923="نامعتبر",Calc!$G1923=""),"",Calc!$G1923)</f>
        <v/>
      </c>
      <c r="B1919">
        <f>IF($A1919="","",LEFT(Calc!$E1923,4)&amp;MID(Calc!$E1923,6,2)&amp;RIGHT(Calc!$E1923,2)&amp;Calc!$Q1923&amp;"|"&amp;"1"&amp;RIGHT("00000"&amp;1914,5))</f>
        <v/>
      </c>
      <c r="C1919">
        <f>IF($B1919="","",COUNTIFS(LdgSellerA,$A1919,LdgKeyA,"&lt;"&amp;$B1919)+COUNTIFS(LdgSellerB,$A1919,LdgKeyB,"&lt;"&amp;$B1919)+1)</f>
        <v/>
      </c>
      <c r="D1919">
        <f>IF($C1919="","",$A1919&amp;"|"&amp;RIGHT("000000"&amp;$C1919,6))</f>
        <v/>
      </c>
      <c r="F1919">
        <f>IF(Sync!$AH1919="","",IF(LEFT(UPPER(TRIM(Sync!$AH1919)),2)="SL",UPPER(TRIM(Sync!$AH1919)),""))</f>
        <v/>
      </c>
      <c r="G1919">
        <f>IF($F1919="","",IF(Sync!$AE1919="","",IF(ISNUMBER(Sync!$AE1919),IF(AND(Sync!$AE1919&gt;=10000101,Sync!$AE1919&lt;=99991231),INT(Sync!$AE1919/10000),""),IFERROR(VALUE(TRIM(LEFT(Sync!$AE1919,FIND("/",Sync!$AE1919)-1))),""))))</f>
        <v/>
      </c>
      <c r="H1919">
        <f>IF(OR($F1919="",$G1919=""),"",IF(ISNUMBER(Sync!$AE1919),INT(MOD(Sync!$AE1919,10000)/100),IFERROR(VALUE(TRIM(LEFT(MID(Sync!$AE1919,FIND("/",Sync!$AE1919)+1,20),FIND("/",MID(Sync!$AE1919,FIND("/",Sync!$AE1919)+1,20))-1))),"")))</f>
        <v/>
      </c>
      <c r="I1919">
        <f>IF(OR($F1919="",$G1919=""),"",IF(ISNUMBER(Sync!$AE1919),MOD(Sync!$AE1919,100),IFERROR(VALUE(TRIM(MID(MID(Sync!$AE1919,FIND("/",Sync!$AE1919)+1,20),FIND("/",MID(Sync!$AE1919,FIND("/",Sync!$AE1919)+1,20))+1,20))),"")))</f>
        <v/>
      </c>
      <c r="J1919">
        <f>IF($F1919="","",IF(OR($G1919="",$H1919="",$I1919="",$G1919&lt;1300,$G1919&gt;1500,$H1919&lt;1,$H1919&gt;12,$I1919&lt;1,$I1919&gt;31),"نامعتبر",RIGHT("0000"&amp;$G1919,4)&amp;"/"&amp;RIGHT("00"&amp;$H1919,2)&amp;"/"&amp;RIGHT("00"&amp;$I1919,2)))</f>
        <v/>
      </c>
      <c r="K1919">
        <f>IF(OR($F1919="",$J1919="",$J1919="نامعتبر"),"",LEFT($J1919,4)&amp;MID($J1919,6,2)&amp;RIGHT($J1919,2)&amp;$N1919&amp;"|"&amp;"2"&amp;RIGHT("00000"&amp;1914,5))</f>
        <v/>
      </c>
      <c r="L1919">
        <f>IF($K1919="","",COUNTIFS(LdgSellerA,$F1919,LdgKeyA,"&lt;"&amp;$K1919)+COUNTIFS(LdgSellerB,$F1919,LdgKeyB,"&lt;"&amp;$K1919)+1)</f>
        <v/>
      </c>
      <c r="M1919">
        <f>IF($L1919="","",$F1919&amp;"|"&amp;RIGHT("000000"&amp;$L1919,6))</f>
        <v/>
      </c>
      <c r="N1919">
        <f>IF($F1919="","",IF(Sync!$AF1919="","0000",IF(AND(ISNUMBER(Sync!$AF1919),Sync!$AF1919&gt;=0,Sync!$AF1919&lt;1),RIGHT("00"&amp;HOUR(Sync!$AF1919),2)&amp;RIGHT("00"&amp;MINUTE(Sync!$AF1919),2),IFERROR(RIGHT("00"&amp;VALUE(LEFT(Sync!$AF1919,FIND(":",Sync!$AF1919)-1)),2)&amp;RIGHT("00"&amp;VALUE(MID(Sync!$AF1919,FIND(":",Sync!$AF1919)+1,2)),2),"0000"))))</f>
        <v/>
      </c>
    </row>
    <row r="1920">
      <c r="A1920">
        <f>IF(OR(Calc!$E1924="",Calc!$E1924="نامعتبر",Calc!$G1924=""),"",Calc!$G1924)</f>
        <v/>
      </c>
      <c r="B1920">
        <f>IF($A1920="","",LEFT(Calc!$E1924,4)&amp;MID(Calc!$E1924,6,2)&amp;RIGHT(Calc!$E1924,2)&amp;Calc!$Q1924&amp;"|"&amp;"1"&amp;RIGHT("00000"&amp;1915,5))</f>
        <v/>
      </c>
      <c r="C1920">
        <f>IF($B1920="","",COUNTIFS(LdgSellerA,$A1920,LdgKeyA,"&lt;"&amp;$B1920)+COUNTIFS(LdgSellerB,$A1920,LdgKeyB,"&lt;"&amp;$B1920)+1)</f>
        <v/>
      </c>
      <c r="D1920">
        <f>IF($C1920="","",$A1920&amp;"|"&amp;RIGHT("000000"&amp;$C1920,6))</f>
        <v/>
      </c>
      <c r="F1920">
        <f>IF(Sync!$AH1920="","",IF(LEFT(UPPER(TRIM(Sync!$AH1920)),2)="SL",UPPER(TRIM(Sync!$AH1920)),""))</f>
        <v/>
      </c>
      <c r="G1920">
        <f>IF($F1920="","",IF(Sync!$AE1920="","",IF(ISNUMBER(Sync!$AE1920),IF(AND(Sync!$AE1920&gt;=10000101,Sync!$AE1920&lt;=99991231),INT(Sync!$AE1920/10000),""),IFERROR(VALUE(TRIM(LEFT(Sync!$AE1920,FIND("/",Sync!$AE1920)-1))),""))))</f>
        <v/>
      </c>
      <c r="H1920">
        <f>IF(OR($F1920="",$G1920=""),"",IF(ISNUMBER(Sync!$AE1920),INT(MOD(Sync!$AE1920,10000)/100),IFERROR(VALUE(TRIM(LEFT(MID(Sync!$AE1920,FIND("/",Sync!$AE1920)+1,20),FIND("/",MID(Sync!$AE1920,FIND("/",Sync!$AE1920)+1,20))-1))),"")))</f>
        <v/>
      </c>
      <c r="I1920">
        <f>IF(OR($F1920="",$G1920=""),"",IF(ISNUMBER(Sync!$AE1920),MOD(Sync!$AE1920,100),IFERROR(VALUE(TRIM(MID(MID(Sync!$AE1920,FIND("/",Sync!$AE1920)+1,20),FIND("/",MID(Sync!$AE1920,FIND("/",Sync!$AE1920)+1,20))+1,20))),"")))</f>
        <v/>
      </c>
      <c r="J1920">
        <f>IF($F1920="","",IF(OR($G1920="",$H1920="",$I1920="",$G1920&lt;1300,$G1920&gt;1500,$H1920&lt;1,$H1920&gt;12,$I1920&lt;1,$I1920&gt;31),"نامعتبر",RIGHT("0000"&amp;$G1920,4)&amp;"/"&amp;RIGHT("00"&amp;$H1920,2)&amp;"/"&amp;RIGHT("00"&amp;$I1920,2)))</f>
        <v/>
      </c>
      <c r="K1920">
        <f>IF(OR($F1920="",$J1920="",$J1920="نامعتبر"),"",LEFT($J1920,4)&amp;MID($J1920,6,2)&amp;RIGHT($J1920,2)&amp;$N1920&amp;"|"&amp;"2"&amp;RIGHT("00000"&amp;1915,5))</f>
        <v/>
      </c>
      <c r="L1920">
        <f>IF($K1920="","",COUNTIFS(LdgSellerA,$F1920,LdgKeyA,"&lt;"&amp;$K1920)+COUNTIFS(LdgSellerB,$F1920,LdgKeyB,"&lt;"&amp;$K1920)+1)</f>
        <v/>
      </c>
      <c r="M1920">
        <f>IF($L1920="","",$F1920&amp;"|"&amp;RIGHT("000000"&amp;$L1920,6))</f>
        <v/>
      </c>
      <c r="N1920">
        <f>IF($F1920="","",IF(Sync!$AF1920="","0000",IF(AND(ISNUMBER(Sync!$AF1920),Sync!$AF1920&gt;=0,Sync!$AF1920&lt;1),RIGHT("00"&amp;HOUR(Sync!$AF1920),2)&amp;RIGHT("00"&amp;MINUTE(Sync!$AF1920),2),IFERROR(RIGHT("00"&amp;VALUE(LEFT(Sync!$AF1920,FIND(":",Sync!$AF1920)-1)),2)&amp;RIGHT("00"&amp;VALUE(MID(Sync!$AF1920,FIND(":",Sync!$AF1920)+1,2)),2),"0000"))))</f>
        <v/>
      </c>
    </row>
    <row r="1921">
      <c r="A1921">
        <f>IF(OR(Calc!$E1925="",Calc!$E1925="نامعتبر",Calc!$G1925=""),"",Calc!$G1925)</f>
        <v/>
      </c>
      <c r="B1921">
        <f>IF($A1921="","",LEFT(Calc!$E1925,4)&amp;MID(Calc!$E1925,6,2)&amp;RIGHT(Calc!$E1925,2)&amp;Calc!$Q1925&amp;"|"&amp;"1"&amp;RIGHT("00000"&amp;1916,5))</f>
        <v/>
      </c>
      <c r="C1921">
        <f>IF($B1921="","",COUNTIFS(LdgSellerA,$A1921,LdgKeyA,"&lt;"&amp;$B1921)+COUNTIFS(LdgSellerB,$A1921,LdgKeyB,"&lt;"&amp;$B1921)+1)</f>
        <v/>
      </c>
      <c r="D1921">
        <f>IF($C1921="","",$A1921&amp;"|"&amp;RIGHT("000000"&amp;$C1921,6))</f>
        <v/>
      </c>
      <c r="F1921">
        <f>IF(Sync!$AH1921="","",IF(LEFT(UPPER(TRIM(Sync!$AH1921)),2)="SL",UPPER(TRIM(Sync!$AH1921)),""))</f>
        <v/>
      </c>
      <c r="G1921">
        <f>IF($F1921="","",IF(Sync!$AE1921="","",IF(ISNUMBER(Sync!$AE1921),IF(AND(Sync!$AE1921&gt;=10000101,Sync!$AE1921&lt;=99991231),INT(Sync!$AE1921/10000),""),IFERROR(VALUE(TRIM(LEFT(Sync!$AE1921,FIND("/",Sync!$AE1921)-1))),""))))</f>
        <v/>
      </c>
      <c r="H1921">
        <f>IF(OR($F1921="",$G1921=""),"",IF(ISNUMBER(Sync!$AE1921),INT(MOD(Sync!$AE1921,10000)/100),IFERROR(VALUE(TRIM(LEFT(MID(Sync!$AE1921,FIND("/",Sync!$AE1921)+1,20),FIND("/",MID(Sync!$AE1921,FIND("/",Sync!$AE1921)+1,20))-1))),"")))</f>
        <v/>
      </c>
      <c r="I1921">
        <f>IF(OR($F1921="",$G1921=""),"",IF(ISNUMBER(Sync!$AE1921),MOD(Sync!$AE1921,100),IFERROR(VALUE(TRIM(MID(MID(Sync!$AE1921,FIND("/",Sync!$AE1921)+1,20),FIND("/",MID(Sync!$AE1921,FIND("/",Sync!$AE1921)+1,20))+1,20))),"")))</f>
        <v/>
      </c>
      <c r="J1921">
        <f>IF($F1921="","",IF(OR($G1921="",$H1921="",$I1921="",$G1921&lt;1300,$G1921&gt;1500,$H1921&lt;1,$H1921&gt;12,$I1921&lt;1,$I1921&gt;31),"نامعتبر",RIGHT("0000"&amp;$G1921,4)&amp;"/"&amp;RIGHT("00"&amp;$H1921,2)&amp;"/"&amp;RIGHT("00"&amp;$I1921,2)))</f>
        <v/>
      </c>
      <c r="K1921">
        <f>IF(OR($F1921="",$J1921="",$J1921="نامعتبر"),"",LEFT($J1921,4)&amp;MID($J1921,6,2)&amp;RIGHT($J1921,2)&amp;$N1921&amp;"|"&amp;"2"&amp;RIGHT("00000"&amp;1916,5))</f>
        <v/>
      </c>
      <c r="L1921">
        <f>IF($K1921="","",COUNTIFS(LdgSellerA,$F1921,LdgKeyA,"&lt;"&amp;$K1921)+COUNTIFS(LdgSellerB,$F1921,LdgKeyB,"&lt;"&amp;$K1921)+1)</f>
        <v/>
      </c>
      <c r="M1921">
        <f>IF($L1921="","",$F1921&amp;"|"&amp;RIGHT("000000"&amp;$L1921,6))</f>
        <v/>
      </c>
      <c r="N1921">
        <f>IF($F1921="","",IF(Sync!$AF1921="","0000",IF(AND(ISNUMBER(Sync!$AF1921),Sync!$AF1921&gt;=0,Sync!$AF1921&lt;1),RIGHT("00"&amp;HOUR(Sync!$AF1921),2)&amp;RIGHT("00"&amp;MINUTE(Sync!$AF1921),2),IFERROR(RIGHT("00"&amp;VALUE(LEFT(Sync!$AF1921,FIND(":",Sync!$AF1921)-1)),2)&amp;RIGHT("00"&amp;VALUE(MID(Sync!$AF1921,FIND(":",Sync!$AF1921)+1,2)),2),"0000"))))</f>
        <v/>
      </c>
    </row>
    <row r="1922">
      <c r="A1922">
        <f>IF(OR(Calc!$E1926="",Calc!$E1926="نامعتبر",Calc!$G1926=""),"",Calc!$G1926)</f>
        <v/>
      </c>
      <c r="B1922">
        <f>IF($A1922="","",LEFT(Calc!$E1926,4)&amp;MID(Calc!$E1926,6,2)&amp;RIGHT(Calc!$E1926,2)&amp;Calc!$Q1926&amp;"|"&amp;"1"&amp;RIGHT("00000"&amp;1917,5))</f>
        <v/>
      </c>
      <c r="C1922">
        <f>IF($B1922="","",COUNTIFS(LdgSellerA,$A1922,LdgKeyA,"&lt;"&amp;$B1922)+COUNTIFS(LdgSellerB,$A1922,LdgKeyB,"&lt;"&amp;$B1922)+1)</f>
        <v/>
      </c>
      <c r="D1922">
        <f>IF($C1922="","",$A1922&amp;"|"&amp;RIGHT("000000"&amp;$C1922,6))</f>
        <v/>
      </c>
      <c r="F1922">
        <f>IF(Sync!$AH1922="","",IF(LEFT(UPPER(TRIM(Sync!$AH1922)),2)="SL",UPPER(TRIM(Sync!$AH1922)),""))</f>
        <v/>
      </c>
      <c r="G1922">
        <f>IF($F1922="","",IF(Sync!$AE1922="","",IF(ISNUMBER(Sync!$AE1922),IF(AND(Sync!$AE1922&gt;=10000101,Sync!$AE1922&lt;=99991231),INT(Sync!$AE1922/10000),""),IFERROR(VALUE(TRIM(LEFT(Sync!$AE1922,FIND("/",Sync!$AE1922)-1))),""))))</f>
        <v/>
      </c>
      <c r="H1922">
        <f>IF(OR($F1922="",$G1922=""),"",IF(ISNUMBER(Sync!$AE1922),INT(MOD(Sync!$AE1922,10000)/100),IFERROR(VALUE(TRIM(LEFT(MID(Sync!$AE1922,FIND("/",Sync!$AE1922)+1,20),FIND("/",MID(Sync!$AE1922,FIND("/",Sync!$AE1922)+1,20))-1))),"")))</f>
        <v/>
      </c>
      <c r="I1922">
        <f>IF(OR($F1922="",$G1922=""),"",IF(ISNUMBER(Sync!$AE1922),MOD(Sync!$AE1922,100),IFERROR(VALUE(TRIM(MID(MID(Sync!$AE1922,FIND("/",Sync!$AE1922)+1,20),FIND("/",MID(Sync!$AE1922,FIND("/",Sync!$AE1922)+1,20))+1,20))),"")))</f>
        <v/>
      </c>
      <c r="J1922">
        <f>IF($F1922="","",IF(OR($G1922="",$H1922="",$I1922="",$G1922&lt;1300,$G1922&gt;1500,$H1922&lt;1,$H1922&gt;12,$I1922&lt;1,$I1922&gt;31),"نامعتبر",RIGHT("0000"&amp;$G1922,4)&amp;"/"&amp;RIGHT("00"&amp;$H1922,2)&amp;"/"&amp;RIGHT("00"&amp;$I1922,2)))</f>
        <v/>
      </c>
      <c r="K1922">
        <f>IF(OR($F1922="",$J1922="",$J1922="نامعتبر"),"",LEFT($J1922,4)&amp;MID($J1922,6,2)&amp;RIGHT($J1922,2)&amp;$N1922&amp;"|"&amp;"2"&amp;RIGHT("00000"&amp;1917,5))</f>
        <v/>
      </c>
      <c r="L1922">
        <f>IF($K1922="","",COUNTIFS(LdgSellerA,$F1922,LdgKeyA,"&lt;"&amp;$K1922)+COUNTIFS(LdgSellerB,$F1922,LdgKeyB,"&lt;"&amp;$K1922)+1)</f>
        <v/>
      </c>
      <c r="M1922">
        <f>IF($L1922="","",$F1922&amp;"|"&amp;RIGHT("000000"&amp;$L1922,6))</f>
        <v/>
      </c>
      <c r="N1922">
        <f>IF($F1922="","",IF(Sync!$AF1922="","0000",IF(AND(ISNUMBER(Sync!$AF1922),Sync!$AF1922&gt;=0,Sync!$AF1922&lt;1),RIGHT("00"&amp;HOUR(Sync!$AF1922),2)&amp;RIGHT("00"&amp;MINUTE(Sync!$AF1922),2),IFERROR(RIGHT("00"&amp;VALUE(LEFT(Sync!$AF1922,FIND(":",Sync!$AF1922)-1)),2)&amp;RIGHT("00"&amp;VALUE(MID(Sync!$AF1922,FIND(":",Sync!$AF1922)+1,2)),2),"0000"))))</f>
        <v/>
      </c>
    </row>
    <row r="1923">
      <c r="A1923">
        <f>IF(OR(Calc!$E1927="",Calc!$E1927="نامعتبر",Calc!$G1927=""),"",Calc!$G1927)</f>
        <v/>
      </c>
      <c r="B1923">
        <f>IF($A1923="","",LEFT(Calc!$E1927,4)&amp;MID(Calc!$E1927,6,2)&amp;RIGHT(Calc!$E1927,2)&amp;Calc!$Q1927&amp;"|"&amp;"1"&amp;RIGHT("00000"&amp;1918,5))</f>
        <v/>
      </c>
      <c r="C1923">
        <f>IF($B1923="","",COUNTIFS(LdgSellerA,$A1923,LdgKeyA,"&lt;"&amp;$B1923)+COUNTIFS(LdgSellerB,$A1923,LdgKeyB,"&lt;"&amp;$B1923)+1)</f>
        <v/>
      </c>
      <c r="D1923">
        <f>IF($C1923="","",$A1923&amp;"|"&amp;RIGHT("000000"&amp;$C1923,6))</f>
        <v/>
      </c>
      <c r="F1923">
        <f>IF(Sync!$AH1923="","",IF(LEFT(UPPER(TRIM(Sync!$AH1923)),2)="SL",UPPER(TRIM(Sync!$AH1923)),""))</f>
        <v/>
      </c>
      <c r="G1923">
        <f>IF($F1923="","",IF(Sync!$AE1923="","",IF(ISNUMBER(Sync!$AE1923),IF(AND(Sync!$AE1923&gt;=10000101,Sync!$AE1923&lt;=99991231),INT(Sync!$AE1923/10000),""),IFERROR(VALUE(TRIM(LEFT(Sync!$AE1923,FIND("/",Sync!$AE1923)-1))),""))))</f>
        <v/>
      </c>
      <c r="H1923">
        <f>IF(OR($F1923="",$G1923=""),"",IF(ISNUMBER(Sync!$AE1923),INT(MOD(Sync!$AE1923,10000)/100),IFERROR(VALUE(TRIM(LEFT(MID(Sync!$AE1923,FIND("/",Sync!$AE1923)+1,20),FIND("/",MID(Sync!$AE1923,FIND("/",Sync!$AE1923)+1,20))-1))),"")))</f>
        <v/>
      </c>
      <c r="I1923">
        <f>IF(OR($F1923="",$G1923=""),"",IF(ISNUMBER(Sync!$AE1923),MOD(Sync!$AE1923,100),IFERROR(VALUE(TRIM(MID(MID(Sync!$AE1923,FIND("/",Sync!$AE1923)+1,20),FIND("/",MID(Sync!$AE1923,FIND("/",Sync!$AE1923)+1,20))+1,20))),"")))</f>
        <v/>
      </c>
      <c r="J1923">
        <f>IF($F1923="","",IF(OR($G1923="",$H1923="",$I1923="",$G1923&lt;1300,$G1923&gt;1500,$H1923&lt;1,$H1923&gt;12,$I1923&lt;1,$I1923&gt;31),"نامعتبر",RIGHT("0000"&amp;$G1923,4)&amp;"/"&amp;RIGHT("00"&amp;$H1923,2)&amp;"/"&amp;RIGHT("00"&amp;$I1923,2)))</f>
        <v/>
      </c>
      <c r="K1923">
        <f>IF(OR($F1923="",$J1923="",$J1923="نامعتبر"),"",LEFT($J1923,4)&amp;MID($J1923,6,2)&amp;RIGHT($J1923,2)&amp;$N1923&amp;"|"&amp;"2"&amp;RIGHT("00000"&amp;1918,5))</f>
        <v/>
      </c>
      <c r="L1923">
        <f>IF($K1923="","",COUNTIFS(LdgSellerA,$F1923,LdgKeyA,"&lt;"&amp;$K1923)+COUNTIFS(LdgSellerB,$F1923,LdgKeyB,"&lt;"&amp;$K1923)+1)</f>
        <v/>
      </c>
      <c r="M1923">
        <f>IF($L1923="","",$F1923&amp;"|"&amp;RIGHT("000000"&amp;$L1923,6))</f>
        <v/>
      </c>
      <c r="N1923">
        <f>IF($F1923="","",IF(Sync!$AF1923="","0000",IF(AND(ISNUMBER(Sync!$AF1923),Sync!$AF1923&gt;=0,Sync!$AF1923&lt;1),RIGHT("00"&amp;HOUR(Sync!$AF1923),2)&amp;RIGHT("00"&amp;MINUTE(Sync!$AF1923),2),IFERROR(RIGHT("00"&amp;VALUE(LEFT(Sync!$AF1923,FIND(":",Sync!$AF1923)-1)),2)&amp;RIGHT("00"&amp;VALUE(MID(Sync!$AF1923,FIND(":",Sync!$AF1923)+1,2)),2),"0000"))))</f>
        <v/>
      </c>
    </row>
    <row r="1924">
      <c r="A1924">
        <f>IF(OR(Calc!$E1928="",Calc!$E1928="نامعتبر",Calc!$G1928=""),"",Calc!$G1928)</f>
        <v/>
      </c>
      <c r="B1924">
        <f>IF($A1924="","",LEFT(Calc!$E1928,4)&amp;MID(Calc!$E1928,6,2)&amp;RIGHT(Calc!$E1928,2)&amp;Calc!$Q1928&amp;"|"&amp;"1"&amp;RIGHT("00000"&amp;1919,5))</f>
        <v/>
      </c>
      <c r="C1924">
        <f>IF($B1924="","",COUNTIFS(LdgSellerA,$A1924,LdgKeyA,"&lt;"&amp;$B1924)+COUNTIFS(LdgSellerB,$A1924,LdgKeyB,"&lt;"&amp;$B1924)+1)</f>
        <v/>
      </c>
      <c r="D1924">
        <f>IF($C1924="","",$A1924&amp;"|"&amp;RIGHT("000000"&amp;$C1924,6))</f>
        <v/>
      </c>
      <c r="F1924">
        <f>IF(Sync!$AH1924="","",IF(LEFT(UPPER(TRIM(Sync!$AH1924)),2)="SL",UPPER(TRIM(Sync!$AH1924)),""))</f>
        <v/>
      </c>
      <c r="G1924">
        <f>IF($F1924="","",IF(Sync!$AE1924="","",IF(ISNUMBER(Sync!$AE1924),IF(AND(Sync!$AE1924&gt;=10000101,Sync!$AE1924&lt;=99991231),INT(Sync!$AE1924/10000),""),IFERROR(VALUE(TRIM(LEFT(Sync!$AE1924,FIND("/",Sync!$AE1924)-1))),""))))</f>
        <v/>
      </c>
      <c r="H1924">
        <f>IF(OR($F1924="",$G1924=""),"",IF(ISNUMBER(Sync!$AE1924),INT(MOD(Sync!$AE1924,10000)/100),IFERROR(VALUE(TRIM(LEFT(MID(Sync!$AE1924,FIND("/",Sync!$AE1924)+1,20),FIND("/",MID(Sync!$AE1924,FIND("/",Sync!$AE1924)+1,20))-1))),"")))</f>
        <v/>
      </c>
      <c r="I1924">
        <f>IF(OR($F1924="",$G1924=""),"",IF(ISNUMBER(Sync!$AE1924),MOD(Sync!$AE1924,100),IFERROR(VALUE(TRIM(MID(MID(Sync!$AE1924,FIND("/",Sync!$AE1924)+1,20),FIND("/",MID(Sync!$AE1924,FIND("/",Sync!$AE1924)+1,20))+1,20))),"")))</f>
        <v/>
      </c>
      <c r="J1924">
        <f>IF($F1924="","",IF(OR($G1924="",$H1924="",$I1924="",$G1924&lt;1300,$G1924&gt;1500,$H1924&lt;1,$H1924&gt;12,$I1924&lt;1,$I1924&gt;31),"نامعتبر",RIGHT("0000"&amp;$G1924,4)&amp;"/"&amp;RIGHT("00"&amp;$H1924,2)&amp;"/"&amp;RIGHT("00"&amp;$I1924,2)))</f>
        <v/>
      </c>
      <c r="K1924">
        <f>IF(OR($F1924="",$J1924="",$J1924="نامعتبر"),"",LEFT($J1924,4)&amp;MID($J1924,6,2)&amp;RIGHT($J1924,2)&amp;$N1924&amp;"|"&amp;"2"&amp;RIGHT("00000"&amp;1919,5))</f>
        <v/>
      </c>
      <c r="L1924">
        <f>IF($K1924="","",COUNTIFS(LdgSellerA,$F1924,LdgKeyA,"&lt;"&amp;$K1924)+COUNTIFS(LdgSellerB,$F1924,LdgKeyB,"&lt;"&amp;$K1924)+1)</f>
        <v/>
      </c>
      <c r="M1924">
        <f>IF($L1924="","",$F1924&amp;"|"&amp;RIGHT("000000"&amp;$L1924,6))</f>
        <v/>
      </c>
      <c r="N1924">
        <f>IF($F1924="","",IF(Sync!$AF1924="","0000",IF(AND(ISNUMBER(Sync!$AF1924),Sync!$AF1924&gt;=0,Sync!$AF1924&lt;1),RIGHT("00"&amp;HOUR(Sync!$AF1924),2)&amp;RIGHT("00"&amp;MINUTE(Sync!$AF1924),2),IFERROR(RIGHT("00"&amp;VALUE(LEFT(Sync!$AF1924,FIND(":",Sync!$AF1924)-1)),2)&amp;RIGHT("00"&amp;VALUE(MID(Sync!$AF1924,FIND(":",Sync!$AF1924)+1,2)),2),"0000"))))</f>
        <v/>
      </c>
    </row>
    <row r="1925">
      <c r="A1925">
        <f>IF(OR(Calc!$E1929="",Calc!$E1929="نامعتبر",Calc!$G1929=""),"",Calc!$G1929)</f>
        <v/>
      </c>
      <c r="B1925">
        <f>IF($A1925="","",LEFT(Calc!$E1929,4)&amp;MID(Calc!$E1929,6,2)&amp;RIGHT(Calc!$E1929,2)&amp;Calc!$Q1929&amp;"|"&amp;"1"&amp;RIGHT("00000"&amp;1920,5))</f>
        <v/>
      </c>
      <c r="C1925">
        <f>IF($B1925="","",COUNTIFS(LdgSellerA,$A1925,LdgKeyA,"&lt;"&amp;$B1925)+COUNTIFS(LdgSellerB,$A1925,LdgKeyB,"&lt;"&amp;$B1925)+1)</f>
        <v/>
      </c>
      <c r="D1925">
        <f>IF($C1925="","",$A1925&amp;"|"&amp;RIGHT("000000"&amp;$C1925,6))</f>
        <v/>
      </c>
      <c r="F1925">
        <f>IF(Sync!$AH1925="","",IF(LEFT(UPPER(TRIM(Sync!$AH1925)),2)="SL",UPPER(TRIM(Sync!$AH1925)),""))</f>
        <v/>
      </c>
      <c r="G1925">
        <f>IF($F1925="","",IF(Sync!$AE1925="","",IF(ISNUMBER(Sync!$AE1925),IF(AND(Sync!$AE1925&gt;=10000101,Sync!$AE1925&lt;=99991231),INT(Sync!$AE1925/10000),""),IFERROR(VALUE(TRIM(LEFT(Sync!$AE1925,FIND("/",Sync!$AE1925)-1))),""))))</f>
        <v/>
      </c>
      <c r="H1925">
        <f>IF(OR($F1925="",$G1925=""),"",IF(ISNUMBER(Sync!$AE1925),INT(MOD(Sync!$AE1925,10000)/100),IFERROR(VALUE(TRIM(LEFT(MID(Sync!$AE1925,FIND("/",Sync!$AE1925)+1,20),FIND("/",MID(Sync!$AE1925,FIND("/",Sync!$AE1925)+1,20))-1))),"")))</f>
        <v/>
      </c>
      <c r="I1925">
        <f>IF(OR($F1925="",$G1925=""),"",IF(ISNUMBER(Sync!$AE1925),MOD(Sync!$AE1925,100),IFERROR(VALUE(TRIM(MID(MID(Sync!$AE1925,FIND("/",Sync!$AE1925)+1,20),FIND("/",MID(Sync!$AE1925,FIND("/",Sync!$AE1925)+1,20))+1,20))),"")))</f>
        <v/>
      </c>
      <c r="J1925">
        <f>IF($F1925="","",IF(OR($G1925="",$H1925="",$I1925="",$G1925&lt;1300,$G1925&gt;1500,$H1925&lt;1,$H1925&gt;12,$I1925&lt;1,$I1925&gt;31),"نامعتبر",RIGHT("0000"&amp;$G1925,4)&amp;"/"&amp;RIGHT("00"&amp;$H1925,2)&amp;"/"&amp;RIGHT("00"&amp;$I1925,2)))</f>
        <v/>
      </c>
      <c r="K1925">
        <f>IF(OR($F1925="",$J1925="",$J1925="نامعتبر"),"",LEFT($J1925,4)&amp;MID($J1925,6,2)&amp;RIGHT($J1925,2)&amp;$N1925&amp;"|"&amp;"2"&amp;RIGHT("00000"&amp;1920,5))</f>
        <v/>
      </c>
      <c r="L1925">
        <f>IF($K1925="","",COUNTIFS(LdgSellerA,$F1925,LdgKeyA,"&lt;"&amp;$K1925)+COUNTIFS(LdgSellerB,$F1925,LdgKeyB,"&lt;"&amp;$K1925)+1)</f>
        <v/>
      </c>
      <c r="M1925">
        <f>IF($L1925="","",$F1925&amp;"|"&amp;RIGHT("000000"&amp;$L1925,6))</f>
        <v/>
      </c>
      <c r="N1925">
        <f>IF($F1925="","",IF(Sync!$AF1925="","0000",IF(AND(ISNUMBER(Sync!$AF1925),Sync!$AF1925&gt;=0,Sync!$AF1925&lt;1),RIGHT("00"&amp;HOUR(Sync!$AF1925),2)&amp;RIGHT("00"&amp;MINUTE(Sync!$AF1925),2),IFERROR(RIGHT("00"&amp;VALUE(LEFT(Sync!$AF1925,FIND(":",Sync!$AF1925)-1)),2)&amp;RIGHT("00"&amp;VALUE(MID(Sync!$AF1925,FIND(":",Sync!$AF1925)+1,2)),2),"0000"))))</f>
        <v/>
      </c>
    </row>
    <row r="1926">
      <c r="A1926">
        <f>IF(OR(Calc!$E1930="",Calc!$E1930="نامعتبر",Calc!$G1930=""),"",Calc!$G1930)</f>
        <v/>
      </c>
      <c r="B1926">
        <f>IF($A1926="","",LEFT(Calc!$E1930,4)&amp;MID(Calc!$E1930,6,2)&amp;RIGHT(Calc!$E1930,2)&amp;Calc!$Q1930&amp;"|"&amp;"1"&amp;RIGHT("00000"&amp;1921,5))</f>
        <v/>
      </c>
      <c r="C1926">
        <f>IF($B1926="","",COUNTIFS(LdgSellerA,$A1926,LdgKeyA,"&lt;"&amp;$B1926)+COUNTIFS(LdgSellerB,$A1926,LdgKeyB,"&lt;"&amp;$B1926)+1)</f>
        <v/>
      </c>
      <c r="D1926">
        <f>IF($C1926="","",$A1926&amp;"|"&amp;RIGHT("000000"&amp;$C1926,6))</f>
        <v/>
      </c>
      <c r="F1926">
        <f>IF(Sync!$AH1926="","",IF(LEFT(UPPER(TRIM(Sync!$AH1926)),2)="SL",UPPER(TRIM(Sync!$AH1926)),""))</f>
        <v/>
      </c>
      <c r="G1926">
        <f>IF($F1926="","",IF(Sync!$AE1926="","",IF(ISNUMBER(Sync!$AE1926),IF(AND(Sync!$AE1926&gt;=10000101,Sync!$AE1926&lt;=99991231),INT(Sync!$AE1926/10000),""),IFERROR(VALUE(TRIM(LEFT(Sync!$AE1926,FIND("/",Sync!$AE1926)-1))),""))))</f>
        <v/>
      </c>
      <c r="H1926">
        <f>IF(OR($F1926="",$G1926=""),"",IF(ISNUMBER(Sync!$AE1926),INT(MOD(Sync!$AE1926,10000)/100),IFERROR(VALUE(TRIM(LEFT(MID(Sync!$AE1926,FIND("/",Sync!$AE1926)+1,20),FIND("/",MID(Sync!$AE1926,FIND("/",Sync!$AE1926)+1,20))-1))),"")))</f>
        <v/>
      </c>
      <c r="I1926">
        <f>IF(OR($F1926="",$G1926=""),"",IF(ISNUMBER(Sync!$AE1926),MOD(Sync!$AE1926,100),IFERROR(VALUE(TRIM(MID(MID(Sync!$AE1926,FIND("/",Sync!$AE1926)+1,20),FIND("/",MID(Sync!$AE1926,FIND("/",Sync!$AE1926)+1,20))+1,20))),"")))</f>
        <v/>
      </c>
      <c r="J1926">
        <f>IF($F1926="","",IF(OR($G1926="",$H1926="",$I1926="",$G1926&lt;1300,$G1926&gt;1500,$H1926&lt;1,$H1926&gt;12,$I1926&lt;1,$I1926&gt;31),"نامعتبر",RIGHT("0000"&amp;$G1926,4)&amp;"/"&amp;RIGHT("00"&amp;$H1926,2)&amp;"/"&amp;RIGHT("00"&amp;$I1926,2)))</f>
        <v/>
      </c>
      <c r="K1926">
        <f>IF(OR($F1926="",$J1926="",$J1926="نامعتبر"),"",LEFT($J1926,4)&amp;MID($J1926,6,2)&amp;RIGHT($J1926,2)&amp;$N1926&amp;"|"&amp;"2"&amp;RIGHT("00000"&amp;1921,5))</f>
        <v/>
      </c>
      <c r="L1926">
        <f>IF($K1926="","",COUNTIFS(LdgSellerA,$F1926,LdgKeyA,"&lt;"&amp;$K1926)+COUNTIFS(LdgSellerB,$F1926,LdgKeyB,"&lt;"&amp;$K1926)+1)</f>
        <v/>
      </c>
      <c r="M1926">
        <f>IF($L1926="","",$F1926&amp;"|"&amp;RIGHT("000000"&amp;$L1926,6))</f>
        <v/>
      </c>
      <c r="N1926">
        <f>IF($F1926="","",IF(Sync!$AF1926="","0000",IF(AND(ISNUMBER(Sync!$AF1926),Sync!$AF1926&gt;=0,Sync!$AF1926&lt;1),RIGHT("00"&amp;HOUR(Sync!$AF1926),2)&amp;RIGHT("00"&amp;MINUTE(Sync!$AF1926),2),IFERROR(RIGHT("00"&amp;VALUE(LEFT(Sync!$AF1926,FIND(":",Sync!$AF1926)-1)),2)&amp;RIGHT("00"&amp;VALUE(MID(Sync!$AF1926,FIND(":",Sync!$AF1926)+1,2)),2),"0000"))))</f>
        <v/>
      </c>
    </row>
    <row r="1927">
      <c r="A1927">
        <f>IF(OR(Calc!$E1931="",Calc!$E1931="نامعتبر",Calc!$G1931=""),"",Calc!$G1931)</f>
        <v/>
      </c>
      <c r="B1927">
        <f>IF($A1927="","",LEFT(Calc!$E1931,4)&amp;MID(Calc!$E1931,6,2)&amp;RIGHT(Calc!$E1931,2)&amp;Calc!$Q1931&amp;"|"&amp;"1"&amp;RIGHT("00000"&amp;1922,5))</f>
        <v/>
      </c>
      <c r="C1927">
        <f>IF($B1927="","",COUNTIFS(LdgSellerA,$A1927,LdgKeyA,"&lt;"&amp;$B1927)+COUNTIFS(LdgSellerB,$A1927,LdgKeyB,"&lt;"&amp;$B1927)+1)</f>
        <v/>
      </c>
      <c r="D1927">
        <f>IF($C1927="","",$A1927&amp;"|"&amp;RIGHT("000000"&amp;$C1927,6))</f>
        <v/>
      </c>
      <c r="F1927">
        <f>IF(Sync!$AH1927="","",IF(LEFT(UPPER(TRIM(Sync!$AH1927)),2)="SL",UPPER(TRIM(Sync!$AH1927)),""))</f>
        <v/>
      </c>
      <c r="G1927">
        <f>IF($F1927="","",IF(Sync!$AE1927="","",IF(ISNUMBER(Sync!$AE1927),IF(AND(Sync!$AE1927&gt;=10000101,Sync!$AE1927&lt;=99991231),INT(Sync!$AE1927/10000),""),IFERROR(VALUE(TRIM(LEFT(Sync!$AE1927,FIND("/",Sync!$AE1927)-1))),""))))</f>
        <v/>
      </c>
      <c r="H1927">
        <f>IF(OR($F1927="",$G1927=""),"",IF(ISNUMBER(Sync!$AE1927),INT(MOD(Sync!$AE1927,10000)/100),IFERROR(VALUE(TRIM(LEFT(MID(Sync!$AE1927,FIND("/",Sync!$AE1927)+1,20),FIND("/",MID(Sync!$AE1927,FIND("/",Sync!$AE1927)+1,20))-1))),"")))</f>
        <v/>
      </c>
      <c r="I1927">
        <f>IF(OR($F1927="",$G1927=""),"",IF(ISNUMBER(Sync!$AE1927),MOD(Sync!$AE1927,100),IFERROR(VALUE(TRIM(MID(MID(Sync!$AE1927,FIND("/",Sync!$AE1927)+1,20),FIND("/",MID(Sync!$AE1927,FIND("/",Sync!$AE1927)+1,20))+1,20))),"")))</f>
        <v/>
      </c>
      <c r="J1927">
        <f>IF($F1927="","",IF(OR($G1927="",$H1927="",$I1927="",$G1927&lt;1300,$G1927&gt;1500,$H1927&lt;1,$H1927&gt;12,$I1927&lt;1,$I1927&gt;31),"نامعتبر",RIGHT("0000"&amp;$G1927,4)&amp;"/"&amp;RIGHT("00"&amp;$H1927,2)&amp;"/"&amp;RIGHT("00"&amp;$I1927,2)))</f>
        <v/>
      </c>
      <c r="K1927">
        <f>IF(OR($F1927="",$J1927="",$J1927="نامعتبر"),"",LEFT($J1927,4)&amp;MID($J1927,6,2)&amp;RIGHT($J1927,2)&amp;$N1927&amp;"|"&amp;"2"&amp;RIGHT("00000"&amp;1922,5))</f>
        <v/>
      </c>
      <c r="L1927">
        <f>IF($K1927="","",COUNTIFS(LdgSellerA,$F1927,LdgKeyA,"&lt;"&amp;$K1927)+COUNTIFS(LdgSellerB,$F1927,LdgKeyB,"&lt;"&amp;$K1927)+1)</f>
        <v/>
      </c>
      <c r="M1927">
        <f>IF($L1927="","",$F1927&amp;"|"&amp;RIGHT("000000"&amp;$L1927,6))</f>
        <v/>
      </c>
      <c r="N1927">
        <f>IF($F1927="","",IF(Sync!$AF1927="","0000",IF(AND(ISNUMBER(Sync!$AF1927),Sync!$AF1927&gt;=0,Sync!$AF1927&lt;1),RIGHT("00"&amp;HOUR(Sync!$AF1927),2)&amp;RIGHT("00"&amp;MINUTE(Sync!$AF1927),2),IFERROR(RIGHT("00"&amp;VALUE(LEFT(Sync!$AF1927,FIND(":",Sync!$AF1927)-1)),2)&amp;RIGHT("00"&amp;VALUE(MID(Sync!$AF1927,FIND(":",Sync!$AF1927)+1,2)),2),"0000"))))</f>
        <v/>
      </c>
    </row>
    <row r="1928">
      <c r="A1928">
        <f>IF(OR(Calc!$E1932="",Calc!$E1932="نامعتبر",Calc!$G1932=""),"",Calc!$G1932)</f>
        <v/>
      </c>
      <c r="B1928">
        <f>IF($A1928="","",LEFT(Calc!$E1932,4)&amp;MID(Calc!$E1932,6,2)&amp;RIGHT(Calc!$E1932,2)&amp;Calc!$Q1932&amp;"|"&amp;"1"&amp;RIGHT("00000"&amp;1923,5))</f>
        <v/>
      </c>
      <c r="C1928">
        <f>IF($B1928="","",COUNTIFS(LdgSellerA,$A1928,LdgKeyA,"&lt;"&amp;$B1928)+COUNTIFS(LdgSellerB,$A1928,LdgKeyB,"&lt;"&amp;$B1928)+1)</f>
        <v/>
      </c>
      <c r="D1928">
        <f>IF($C1928="","",$A1928&amp;"|"&amp;RIGHT("000000"&amp;$C1928,6))</f>
        <v/>
      </c>
      <c r="F1928">
        <f>IF(Sync!$AH1928="","",IF(LEFT(UPPER(TRIM(Sync!$AH1928)),2)="SL",UPPER(TRIM(Sync!$AH1928)),""))</f>
        <v/>
      </c>
      <c r="G1928">
        <f>IF($F1928="","",IF(Sync!$AE1928="","",IF(ISNUMBER(Sync!$AE1928),IF(AND(Sync!$AE1928&gt;=10000101,Sync!$AE1928&lt;=99991231),INT(Sync!$AE1928/10000),""),IFERROR(VALUE(TRIM(LEFT(Sync!$AE1928,FIND("/",Sync!$AE1928)-1))),""))))</f>
        <v/>
      </c>
      <c r="H1928">
        <f>IF(OR($F1928="",$G1928=""),"",IF(ISNUMBER(Sync!$AE1928),INT(MOD(Sync!$AE1928,10000)/100),IFERROR(VALUE(TRIM(LEFT(MID(Sync!$AE1928,FIND("/",Sync!$AE1928)+1,20),FIND("/",MID(Sync!$AE1928,FIND("/",Sync!$AE1928)+1,20))-1))),"")))</f>
        <v/>
      </c>
      <c r="I1928">
        <f>IF(OR($F1928="",$G1928=""),"",IF(ISNUMBER(Sync!$AE1928),MOD(Sync!$AE1928,100),IFERROR(VALUE(TRIM(MID(MID(Sync!$AE1928,FIND("/",Sync!$AE1928)+1,20),FIND("/",MID(Sync!$AE1928,FIND("/",Sync!$AE1928)+1,20))+1,20))),"")))</f>
        <v/>
      </c>
      <c r="J1928">
        <f>IF($F1928="","",IF(OR($G1928="",$H1928="",$I1928="",$G1928&lt;1300,$G1928&gt;1500,$H1928&lt;1,$H1928&gt;12,$I1928&lt;1,$I1928&gt;31),"نامعتبر",RIGHT("0000"&amp;$G1928,4)&amp;"/"&amp;RIGHT("00"&amp;$H1928,2)&amp;"/"&amp;RIGHT("00"&amp;$I1928,2)))</f>
        <v/>
      </c>
      <c r="K1928">
        <f>IF(OR($F1928="",$J1928="",$J1928="نامعتبر"),"",LEFT($J1928,4)&amp;MID($J1928,6,2)&amp;RIGHT($J1928,2)&amp;$N1928&amp;"|"&amp;"2"&amp;RIGHT("00000"&amp;1923,5))</f>
        <v/>
      </c>
      <c r="L1928">
        <f>IF($K1928="","",COUNTIFS(LdgSellerA,$F1928,LdgKeyA,"&lt;"&amp;$K1928)+COUNTIFS(LdgSellerB,$F1928,LdgKeyB,"&lt;"&amp;$K1928)+1)</f>
        <v/>
      </c>
      <c r="M1928">
        <f>IF($L1928="","",$F1928&amp;"|"&amp;RIGHT("000000"&amp;$L1928,6))</f>
        <v/>
      </c>
      <c r="N1928">
        <f>IF($F1928="","",IF(Sync!$AF1928="","0000",IF(AND(ISNUMBER(Sync!$AF1928),Sync!$AF1928&gt;=0,Sync!$AF1928&lt;1),RIGHT("00"&amp;HOUR(Sync!$AF1928),2)&amp;RIGHT("00"&amp;MINUTE(Sync!$AF1928),2),IFERROR(RIGHT("00"&amp;VALUE(LEFT(Sync!$AF1928,FIND(":",Sync!$AF1928)-1)),2)&amp;RIGHT("00"&amp;VALUE(MID(Sync!$AF1928,FIND(":",Sync!$AF1928)+1,2)),2),"0000"))))</f>
        <v/>
      </c>
    </row>
    <row r="1929">
      <c r="A1929">
        <f>IF(OR(Calc!$E1933="",Calc!$E1933="نامعتبر",Calc!$G1933=""),"",Calc!$G1933)</f>
        <v/>
      </c>
      <c r="B1929">
        <f>IF($A1929="","",LEFT(Calc!$E1933,4)&amp;MID(Calc!$E1933,6,2)&amp;RIGHT(Calc!$E1933,2)&amp;Calc!$Q1933&amp;"|"&amp;"1"&amp;RIGHT("00000"&amp;1924,5))</f>
        <v/>
      </c>
      <c r="C1929">
        <f>IF($B1929="","",COUNTIFS(LdgSellerA,$A1929,LdgKeyA,"&lt;"&amp;$B1929)+COUNTIFS(LdgSellerB,$A1929,LdgKeyB,"&lt;"&amp;$B1929)+1)</f>
        <v/>
      </c>
      <c r="D1929">
        <f>IF($C1929="","",$A1929&amp;"|"&amp;RIGHT("000000"&amp;$C1929,6))</f>
        <v/>
      </c>
      <c r="F1929">
        <f>IF(Sync!$AH1929="","",IF(LEFT(UPPER(TRIM(Sync!$AH1929)),2)="SL",UPPER(TRIM(Sync!$AH1929)),""))</f>
        <v/>
      </c>
      <c r="G1929">
        <f>IF($F1929="","",IF(Sync!$AE1929="","",IF(ISNUMBER(Sync!$AE1929),IF(AND(Sync!$AE1929&gt;=10000101,Sync!$AE1929&lt;=99991231),INT(Sync!$AE1929/10000),""),IFERROR(VALUE(TRIM(LEFT(Sync!$AE1929,FIND("/",Sync!$AE1929)-1))),""))))</f>
        <v/>
      </c>
      <c r="H1929">
        <f>IF(OR($F1929="",$G1929=""),"",IF(ISNUMBER(Sync!$AE1929),INT(MOD(Sync!$AE1929,10000)/100),IFERROR(VALUE(TRIM(LEFT(MID(Sync!$AE1929,FIND("/",Sync!$AE1929)+1,20),FIND("/",MID(Sync!$AE1929,FIND("/",Sync!$AE1929)+1,20))-1))),"")))</f>
        <v/>
      </c>
      <c r="I1929">
        <f>IF(OR($F1929="",$G1929=""),"",IF(ISNUMBER(Sync!$AE1929),MOD(Sync!$AE1929,100),IFERROR(VALUE(TRIM(MID(MID(Sync!$AE1929,FIND("/",Sync!$AE1929)+1,20),FIND("/",MID(Sync!$AE1929,FIND("/",Sync!$AE1929)+1,20))+1,20))),"")))</f>
        <v/>
      </c>
      <c r="J1929">
        <f>IF($F1929="","",IF(OR($G1929="",$H1929="",$I1929="",$G1929&lt;1300,$G1929&gt;1500,$H1929&lt;1,$H1929&gt;12,$I1929&lt;1,$I1929&gt;31),"نامعتبر",RIGHT("0000"&amp;$G1929,4)&amp;"/"&amp;RIGHT("00"&amp;$H1929,2)&amp;"/"&amp;RIGHT("00"&amp;$I1929,2)))</f>
        <v/>
      </c>
      <c r="K1929">
        <f>IF(OR($F1929="",$J1929="",$J1929="نامعتبر"),"",LEFT($J1929,4)&amp;MID($J1929,6,2)&amp;RIGHT($J1929,2)&amp;$N1929&amp;"|"&amp;"2"&amp;RIGHT("00000"&amp;1924,5))</f>
        <v/>
      </c>
      <c r="L1929">
        <f>IF($K1929="","",COUNTIFS(LdgSellerA,$F1929,LdgKeyA,"&lt;"&amp;$K1929)+COUNTIFS(LdgSellerB,$F1929,LdgKeyB,"&lt;"&amp;$K1929)+1)</f>
        <v/>
      </c>
      <c r="M1929">
        <f>IF($L1929="","",$F1929&amp;"|"&amp;RIGHT("000000"&amp;$L1929,6))</f>
        <v/>
      </c>
      <c r="N1929">
        <f>IF($F1929="","",IF(Sync!$AF1929="","0000",IF(AND(ISNUMBER(Sync!$AF1929),Sync!$AF1929&gt;=0,Sync!$AF1929&lt;1),RIGHT("00"&amp;HOUR(Sync!$AF1929),2)&amp;RIGHT("00"&amp;MINUTE(Sync!$AF1929),2),IFERROR(RIGHT("00"&amp;VALUE(LEFT(Sync!$AF1929,FIND(":",Sync!$AF1929)-1)),2)&amp;RIGHT("00"&amp;VALUE(MID(Sync!$AF1929,FIND(":",Sync!$AF1929)+1,2)),2),"0000"))))</f>
        <v/>
      </c>
    </row>
    <row r="1930">
      <c r="A1930">
        <f>IF(OR(Calc!$E1934="",Calc!$E1934="نامعتبر",Calc!$G1934=""),"",Calc!$G1934)</f>
        <v/>
      </c>
      <c r="B1930">
        <f>IF($A1930="","",LEFT(Calc!$E1934,4)&amp;MID(Calc!$E1934,6,2)&amp;RIGHT(Calc!$E1934,2)&amp;Calc!$Q1934&amp;"|"&amp;"1"&amp;RIGHT("00000"&amp;1925,5))</f>
        <v/>
      </c>
      <c r="C1930">
        <f>IF($B1930="","",COUNTIFS(LdgSellerA,$A1930,LdgKeyA,"&lt;"&amp;$B1930)+COUNTIFS(LdgSellerB,$A1930,LdgKeyB,"&lt;"&amp;$B1930)+1)</f>
        <v/>
      </c>
      <c r="D1930">
        <f>IF($C1930="","",$A1930&amp;"|"&amp;RIGHT("000000"&amp;$C1930,6))</f>
        <v/>
      </c>
      <c r="F1930">
        <f>IF(Sync!$AH1930="","",IF(LEFT(UPPER(TRIM(Sync!$AH1930)),2)="SL",UPPER(TRIM(Sync!$AH1930)),""))</f>
        <v/>
      </c>
      <c r="G1930">
        <f>IF($F1930="","",IF(Sync!$AE1930="","",IF(ISNUMBER(Sync!$AE1930),IF(AND(Sync!$AE1930&gt;=10000101,Sync!$AE1930&lt;=99991231),INT(Sync!$AE1930/10000),""),IFERROR(VALUE(TRIM(LEFT(Sync!$AE1930,FIND("/",Sync!$AE1930)-1))),""))))</f>
        <v/>
      </c>
      <c r="H1930">
        <f>IF(OR($F1930="",$G1930=""),"",IF(ISNUMBER(Sync!$AE1930),INT(MOD(Sync!$AE1930,10000)/100),IFERROR(VALUE(TRIM(LEFT(MID(Sync!$AE1930,FIND("/",Sync!$AE1930)+1,20),FIND("/",MID(Sync!$AE1930,FIND("/",Sync!$AE1930)+1,20))-1))),"")))</f>
        <v/>
      </c>
      <c r="I1930">
        <f>IF(OR($F1930="",$G1930=""),"",IF(ISNUMBER(Sync!$AE1930),MOD(Sync!$AE1930,100),IFERROR(VALUE(TRIM(MID(MID(Sync!$AE1930,FIND("/",Sync!$AE1930)+1,20),FIND("/",MID(Sync!$AE1930,FIND("/",Sync!$AE1930)+1,20))+1,20))),"")))</f>
        <v/>
      </c>
      <c r="J1930">
        <f>IF($F1930="","",IF(OR($G1930="",$H1930="",$I1930="",$G1930&lt;1300,$G1930&gt;1500,$H1930&lt;1,$H1930&gt;12,$I1930&lt;1,$I1930&gt;31),"نامعتبر",RIGHT("0000"&amp;$G1930,4)&amp;"/"&amp;RIGHT("00"&amp;$H1930,2)&amp;"/"&amp;RIGHT("00"&amp;$I1930,2)))</f>
        <v/>
      </c>
      <c r="K1930">
        <f>IF(OR($F1930="",$J1930="",$J1930="نامعتبر"),"",LEFT($J1930,4)&amp;MID($J1930,6,2)&amp;RIGHT($J1930,2)&amp;$N1930&amp;"|"&amp;"2"&amp;RIGHT("00000"&amp;1925,5))</f>
        <v/>
      </c>
      <c r="L1930">
        <f>IF($K1930="","",COUNTIFS(LdgSellerA,$F1930,LdgKeyA,"&lt;"&amp;$K1930)+COUNTIFS(LdgSellerB,$F1930,LdgKeyB,"&lt;"&amp;$K1930)+1)</f>
        <v/>
      </c>
      <c r="M1930">
        <f>IF($L1930="","",$F1930&amp;"|"&amp;RIGHT("000000"&amp;$L1930,6))</f>
        <v/>
      </c>
      <c r="N1930">
        <f>IF($F1930="","",IF(Sync!$AF1930="","0000",IF(AND(ISNUMBER(Sync!$AF1930),Sync!$AF1930&gt;=0,Sync!$AF1930&lt;1),RIGHT("00"&amp;HOUR(Sync!$AF1930),2)&amp;RIGHT("00"&amp;MINUTE(Sync!$AF1930),2),IFERROR(RIGHT("00"&amp;VALUE(LEFT(Sync!$AF1930,FIND(":",Sync!$AF1930)-1)),2)&amp;RIGHT("00"&amp;VALUE(MID(Sync!$AF1930,FIND(":",Sync!$AF1930)+1,2)),2),"0000"))))</f>
        <v/>
      </c>
    </row>
    <row r="1931">
      <c r="A1931">
        <f>IF(OR(Calc!$E1935="",Calc!$E1935="نامعتبر",Calc!$G1935=""),"",Calc!$G1935)</f>
        <v/>
      </c>
      <c r="B1931">
        <f>IF($A1931="","",LEFT(Calc!$E1935,4)&amp;MID(Calc!$E1935,6,2)&amp;RIGHT(Calc!$E1935,2)&amp;Calc!$Q1935&amp;"|"&amp;"1"&amp;RIGHT("00000"&amp;1926,5))</f>
        <v/>
      </c>
      <c r="C1931">
        <f>IF($B1931="","",COUNTIFS(LdgSellerA,$A1931,LdgKeyA,"&lt;"&amp;$B1931)+COUNTIFS(LdgSellerB,$A1931,LdgKeyB,"&lt;"&amp;$B1931)+1)</f>
        <v/>
      </c>
      <c r="D1931">
        <f>IF($C1931="","",$A1931&amp;"|"&amp;RIGHT("000000"&amp;$C1931,6))</f>
        <v/>
      </c>
      <c r="F1931">
        <f>IF(Sync!$AH1931="","",IF(LEFT(UPPER(TRIM(Sync!$AH1931)),2)="SL",UPPER(TRIM(Sync!$AH1931)),""))</f>
        <v/>
      </c>
      <c r="G1931">
        <f>IF($F1931="","",IF(Sync!$AE1931="","",IF(ISNUMBER(Sync!$AE1931),IF(AND(Sync!$AE1931&gt;=10000101,Sync!$AE1931&lt;=99991231),INT(Sync!$AE1931/10000),""),IFERROR(VALUE(TRIM(LEFT(Sync!$AE1931,FIND("/",Sync!$AE1931)-1))),""))))</f>
        <v/>
      </c>
      <c r="H1931">
        <f>IF(OR($F1931="",$G1931=""),"",IF(ISNUMBER(Sync!$AE1931),INT(MOD(Sync!$AE1931,10000)/100),IFERROR(VALUE(TRIM(LEFT(MID(Sync!$AE1931,FIND("/",Sync!$AE1931)+1,20),FIND("/",MID(Sync!$AE1931,FIND("/",Sync!$AE1931)+1,20))-1))),"")))</f>
        <v/>
      </c>
      <c r="I1931">
        <f>IF(OR($F1931="",$G1931=""),"",IF(ISNUMBER(Sync!$AE1931),MOD(Sync!$AE1931,100),IFERROR(VALUE(TRIM(MID(MID(Sync!$AE1931,FIND("/",Sync!$AE1931)+1,20),FIND("/",MID(Sync!$AE1931,FIND("/",Sync!$AE1931)+1,20))+1,20))),"")))</f>
        <v/>
      </c>
      <c r="J1931">
        <f>IF($F1931="","",IF(OR($G1931="",$H1931="",$I1931="",$G1931&lt;1300,$G1931&gt;1500,$H1931&lt;1,$H1931&gt;12,$I1931&lt;1,$I1931&gt;31),"نامعتبر",RIGHT("0000"&amp;$G1931,4)&amp;"/"&amp;RIGHT("00"&amp;$H1931,2)&amp;"/"&amp;RIGHT("00"&amp;$I1931,2)))</f>
        <v/>
      </c>
      <c r="K1931">
        <f>IF(OR($F1931="",$J1931="",$J1931="نامعتبر"),"",LEFT($J1931,4)&amp;MID($J1931,6,2)&amp;RIGHT($J1931,2)&amp;$N1931&amp;"|"&amp;"2"&amp;RIGHT("00000"&amp;1926,5))</f>
        <v/>
      </c>
      <c r="L1931">
        <f>IF($K1931="","",COUNTIFS(LdgSellerA,$F1931,LdgKeyA,"&lt;"&amp;$K1931)+COUNTIFS(LdgSellerB,$F1931,LdgKeyB,"&lt;"&amp;$K1931)+1)</f>
        <v/>
      </c>
      <c r="M1931">
        <f>IF($L1931="","",$F1931&amp;"|"&amp;RIGHT("000000"&amp;$L1931,6))</f>
        <v/>
      </c>
      <c r="N1931">
        <f>IF($F1931="","",IF(Sync!$AF1931="","0000",IF(AND(ISNUMBER(Sync!$AF1931),Sync!$AF1931&gt;=0,Sync!$AF1931&lt;1),RIGHT("00"&amp;HOUR(Sync!$AF1931),2)&amp;RIGHT("00"&amp;MINUTE(Sync!$AF1931),2),IFERROR(RIGHT("00"&amp;VALUE(LEFT(Sync!$AF1931,FIND(":",Sync!$AF1931)-1)),2)&amp;RIGHT("00"&amp;VALUE(MID(Sync!$AF1931,FIND(":",Sync!$AF1931)+1,2)),2),"0000"))))</f>
        <v/>
      </c>
    </row>
    <row r="1932">
      <c r="A1932">
        <f>IF(OR(Calc!$E1936="",Calc!$E1936="نامعتبر",Calc!$G1936=""),"",Calc!$G1936)</f>
        <v/>
      </c>
      <c r="B1932">
        <f>IF($A1932="","",LEFT(Calc!$E1936,4)&amp;MID(Calc!$E1936,6,2)&amp;RIGHT(Calc!$E1936,2)&amp;Calc!$Q1936&amp;"|"&amp;"1"&amp;RIGHT("00000"&amp;1927,5))</f>
        <v/>
      </c>
      <c r="C1932">
        <f>IF($B1932="","",COUNTIFS(LdgSellerA,$A1932,LdgKeyA,"&lt;"&amp;$B1932)+COUNTIFS(LdgSellerB,$A1932,LdgKeyB,"&lt;"&amp;$B1932)+1)</f>
        <v/>
      </c>
      <c r="D1932">
        <f>IF($C1932="","",$A1932&amp;"|"&amp;RIGHT("000000"&amp;$C1932,6))</f>
        <v/>
      </c>
      <c r="F1932">
        <f>IF(Sync!$AH1932="","",IF(LEFT(UPPER(TRIM(Sync!$AH1932)),2)="SL",UPPER(TRIM(Sync!$AH1932)),""))</f>
        <v/>
      </c>
      <c r="G1932">
        <f>IF($F1932="","",IF(Sync!$AE1932="","",IF(ISNUMBER(Sync!$AE1932),IF(AND(Sync!$AE1932&gt;=10000101,Sync!$AE1932&lt;=99991231),INT(Sync!$AE1932/10000),""),IFERROR(VALUE(TRIM(LEFT(Sync!$AE1932,FIND("/",Sync!$AE1932)-1))),""))))</f>
        <v/>
      </c>
      <c r="H1932">
        <f>IF(OR($F1932="",$G1932=""),"",IF(ISNUMBER(Sync!$AE1932),INT(MOD(Sync!$AE1932,10000)/100),IFERROR(VALUE(TRIM(LEFT(MID(Sync!$AE1932,FIND("/",Sync!$AE1932)+1,20),FIND("/",MID(Sync!$AE1932,FIND("/",Sync!$AE1932)+1,20))-1))),"")))</f>
        <v/>
      </c>
      <c r="I1932">
        <f>IF(OR($F1932="",$G1932=""),"",IF(ISNUMBER(Sync!$AE1932),MOD(Sync!$AE1932,100),IFERROR(VALUE(TRIM(MID(MID(Sync!$AE1932,FIND("/",Sync!$AE1932)+1,20),FIND("/",MID(Sync!$AE1932,FIND("/",Sync!$AE1932)+1,20))+1,20))),"")))</f>
        <v/>
      </c>
      <c r="J1932">
        <f>IF($F1932="","",IF(OR($G1932="",$H1932="",$I1932="",$G1932&lt;1300,$G1932&gt;1500,$H1932&lt;1,$H1932&gt;12,$I1932&lt;1,$I1932&gt;31),"نامعتبر",RIGHT("0000"&amp;$G1932,4)&amp;"/"&amp;RIGHT("00"&amp;$H1932,2)&amp;"/"&amp;RIGHT("00"&amp;$I1932,2)))</f>
        <v/>
      </c>
      <c r="K1932">
        <f>IF(OR($F1932="",$J1932="",$J1932="نامعتبر"),"",LEFT($J1932,4)&amp;MID($J1932,6,2)&amp;RIGHT($J1932,2)&amp;$N1932&amp;"|"&amp;"2"&amp;RIGHT("00000"&amp;1927,5))</f>
        <v/>
      </c>
      <c r="L1932">
        <f>IF($K1932="","",COUNTIFS(LdgSellerA,$F1932,LdgKeyA,"&lt;"&amp;$K1932)+COUNTIFS(LdgSellerB,$F1932,LdgKeyB,"&lt;"&amp;$K1932)+1)</f>
        <v/>
      </c>
      <c r="M1932">
        <f>IF($L1932="","",$F1932&amp;"|"&amp;RIGHT("000000"&amp;$L1932,6))</f>
        <v/>
      </c>
      <c r="N1932">
        <f>IF($F1932="","",IF(Sync!$AF1932="","0000",IF(AND(ISNUMBER(Sync!$AF1932),Sync!$AF1932&gt;=0,Sync!$AF1932&lt;1),RIGHT("00"&amp;HOUR(Sync!$AF1932),2)&amp;RIGHT("00"&amp;MINUTE(Sync!$AF1932),2),IFERROR(RIGHT("00"&amp;VALUE(LEFT(Sync!$AF1932,FIND(":",Sync!$AF1932)-1)),2)&amp;RIGHT("00"&amp;VALUE(MID(Sync!$AF1932,FIND(":",Sync!$AF1932)+1,2)),2),"0000"))))</f>
        <v/>
      </c>
    </row>
    <row r="1933">
      <c r="A1933">
        <f>IF(OR(Calc!$E1937="",Calc!$E1937="نامعتبر",Calc!$G1937=""),"",Calc!$G1937)</f>
        <v/>
      </c>
      <c r="B1933">
        <f>IF($A1933="","",LEFT(Calc!$E1937,4)&amp;MID(Calc!$E1937,6,2)&amp;RIGHT(Calc!$E1937,2)&amp;Calc!$Q1937&amp;"|"&amp;"1"&amp;RIGHT("00000"&amp;1928,5))</f>
        <v/>
      </c>
      <c r="C1933">
        <f>IF($B1933="","",COUNTIFS(LdgSellerA,$A1933,LdgKeyA,"&lt;"&amp;$B1933)+COUNTIFS(LdgSellerB,$A1933,LdgKeyB,"&lt;"&amp;$B1933)+1)</f>
        <v/>
      </c>
      <c r="D1933">
        <f>IF($C1933="","",$A1933&amp;"|"&amp;RIGHT("000000"&amp;$C1933,6))</f>
        <v/>
      </c>
      <c r="F1933">
        <f>IF(Sync!$AH1933="","",IF(LEFT(UPPER(TRIM(Sync!$AH1933)),2)="SL",UPPER(TRIM(Sync!$AH1933)),""))</f>
        <v/>
      </c>
      <c r="G1933">
        <f>IF($F1933="","",IF(Sync!$AE1933="","",IF(ISNUMBER(Sync!$AE1933),IF(AND(Sync!$AE1933&gt;=10000101,Sync!$AE1933&lt;=99991231),INT(Sync!$AE1933/10000),""),IFERROR(VALUE(TRIM(LEFT(Sync!$AE1933,FIND("/",Sync!$AE1933)-1))),""))))</f>
        <v/>
      </c>
      <c r="H1933">
        <f>IF(OR($F1933="",$G1933=""),"",IF(ISNUMBER(Sync!$AE1933),INT(MOD(Sync!$AE1933,10000)/100),IFERROR(VALUE(TRIM(LEFT(MID(Sync!$AE1933,FIND("/",Sync!$AE1933)+1,20),FIND("/",MID(Sync!$AE1933,FIND("/",Sync!$AE1933)+1,20))-1))),"")))</f>
        <v/>
      </c>
      <c r="I1933">
        <f>IF(OR($F1933="",$G1933=""),"",IF(ISNUMBER(Sync!$AE1933),MOD(Sync!$AE1933,100),IFERROR(VALUE(TRIM(MID(MID(Sync!$AE1933,FIND("/",Sync!$AE1933)+1,20),FIND("/",MID(Sync!$AE1933,FIND("/",Sync!$AE1933)+1,20))+1,20))),"")))</f>
        <v/>
      </c>
      <c r="J1933">
        <f>IF($F1933="","",IF(OR($G1933="",$H1933="",$I1933="",$G1933&lt;1300,$G1933&gt;1500,$H1933&lt;1,$H1933&gt;12,$I1933&lt;1,$I1933&gt;31),"نامعتبر",RIGHT("0000"&amp;$G1933,4)&amp;"/"&amp;RIGHT("00"&amp;$H1933,2)&amp;"/"&amp;RIGHT("00"&amp;$I1933,2)))</f>
        <v/>
      </c>
      <c r="K1933">
        <f>IF(OR($F1933="",$J1933="",$J1933="نامعتبر"),"",LEFT($J1933,4)&amp;MID($J1933,6,2)&amp;RIGHT($J1933,2)&amp;$N1933&amp;"|"&amp;"2"&amp;RIGHT("00000"&amp;1928,5))</f>
        <v/>
      </c>
      <c r="L1933">
        <f>IF($K1933="","",COUNTIFS(LdgSellerA,$F1933,LdgKeyA,"&lt;"&amp;$K1933)+COUNTIFS(LdgSellerB,$F1933,LdgKeyB,"&lt;"&amp;$K1933)+1)</f>
        <v/>
      </c>
      <c r="M1933">
        <f>IF($L1933="","",$F1933&amp;"|"&amp;RIGHT("000000"&amp;$L1933,6))</f>
        <v/>
      </c>
      <c r="N1933">
        <f>IF($F1933="","",IF(Sync!$AF1933="","0000",IF(AND(ISNUMBER(Sync!$AF1933),Sync!$AF1933&gt;=0,Sync!$AF1933&lt;1),RIGHT("00"&amp;HOUR(Sync!$AF1933),2)&amp;RIGHT("00"&amp;MINUTE(Sync!$AF1933),2),IFERROR(RIGHT("00"&amp;VALUE(LEFT(Sync!$AF1933,FIND(":",Sync!$AF1933)-1)),2)&amp;RIGHT("00"&amp;VALUE(MID(Sync!$AF1933,FIND(":",Sync!$AF1933)+1,2)),2),"0000"))))</f>
        <v/>
      </c>
    </row>
    <row r="1934">
      <c r="A1934">
        <f>IF(OR(Calc!$E1938="",Calc!$E1938="نامعتبر",Calc!$G1938=""),"",Calc!$G1938)</f>
        <v/>
      </c>
      <c r="B1934">
        <f>IF($A1934="","",LEFT(Calc!$E1938,4)&amp;MID(Calc!$E1938,6,2)&amp;RIGHT(Calc!$E1938,2)&amp;Calc!$Q1938&amp;"|"&amp;"1"&amp;RIGHT("00000"&amp;1929,5))</f>
        <v/>
      </c>
      <c r="C1934">
        <f>IF($B1934="","",COUNTIFS(LdgSellerA,$A1934,LdgKeyA,"&lt;"&amp;$B1934)+COUNTIFS(LdgSellerB,$A1934,LdgKeyB,"&lt;"&amp;$B1934)+1)</f>
        <v/>
      </c>
      <c r="D1934">
        <f>IF($C1934="","",$A1934&amp;"|"&amp;RIGHT("000000"&amp;$C1934,6))</f>
        <v/>
      </c>
      <c r="F1934">
        <f>IF(Sync!$AH1934="","",IF(LEFT(UPPER(TRIM(Sync!$AH1934)),2)="SL",UPPER(TRIM(Sync!$AH1934)),""))</f>
        <v/>
      </c>
      <c r="G1934">
        <f>IF($F1934="","",IF(Sync!$AE1934="","",IF(ISNUMBER(Sync!$AE1934),IF(AND(Sync!$AE1934&gt;=10000101,Sync!$AE1934&lt;=99991231),INT(Sync!$AE1934/10000),""),IFERROR(VALUE(TRIM(LEFT(Sync!$AE1934,FIND("/",Sync!$AE1934)-1))),""))))</f>
        <v/>
      </c>
      <c r="H1934">
        <f>IF(OR($F1934="",$G1934=""),"",IF(ISNUMBER(Sync!$AE1934),INT(MOD(Sync!$AE1934,10000)/100),IFERROR(VALUE(TRIM(LEFT(MID(Sync!$AE1934,FIND("/",Sync!$AE1934)+1,20),FIND("/",MID(Sync!$AE1934,FIND("/",Sync!$AE1934)+1,20))-1))),"")))</f>
        <v/>
      </c>
      <c r="I1934">
        <f>IF(OR($F1934="",$G1934=""),"",IF(ISNUMBER(Sync!$AE1934),MOD(Sync!$AE1934,100),IFERROR(VALUE(TRIM(MID(MID(Sync!$AE1934,FIND("/",Sync!$AE1934)+1,20),FIND("/",MID(Sync!$AE1934,FIND("/",Sync!$AE1934)+1,20))+1,20))),"")))</f>
        <v/>
      </c>
      <c r="J1934">
        <f>IF($F1934="","",IF(OR($G1934="",$H1934="",$I1934="",$G1934&lt;1300,$G1934&gt;1500,$H1934&lt;1,$H1934&gt;12,$I1934&lt;1,$I1934&gt;31),"نامعتبر",RIGHT("0000"&amp;$G1934,4)&amp;"/"&amp;RIGHT("00"&amp;$H1934,2)&amp;"/"&amp;RIGHT("00"&amp;$I1934,2)))</f>
        <v/>
      </c>
      <c r="K1934">
        <f>IF(OR($F1934="",$J1934="",$J1934="نامعتبر"),"",LEFT($J1934,4)&amp;MID($J1934,6,2)&amp;RIGHT($J1934,2)&amp;$N1934&amp;"|"&amp;"2"&amp;RIGHT("00000"&amp;1929,5))</f>
        <v/>
      </c>
      <c r="L1934">
        <f>IF($K1934="","",COUNTIFS(LdgSellerA,$F1934,LdgKeyA,"&lt;"&amp;$K1934)+COUNTIFS(LdgSellerB,$F1934,LdgKeyB,"&lt;"&amp;$K1934)+1)</f>
        <v/>
      </c>
      <c r="M1934">
        <f>IF($L1934="","",$F1934&amp;"|"&amp;RIGHT("000000"&amp;$L1934,6))</f>
        <v/>
      </c>
      <c r="N1934">
        <f>IF($F1934="","",IF(Sync!$AF1934="","0000",IF(AND(ISNUMBER(Sync!$AF1934),Sync!$AF1934&gt;=0,Sync!$AF1934&lt;1),RIGHT("00"&amp;HOUR(Sync!$AF1934),2)&amp;RIGHT("00"&amp;MINUTE(Sync!$AF1934),2),IFERROR(RIGHT("00"&amp;VALUE(LEFT(Sync!$AF1934,FIND(":",Sync!$AF1934)-1)),2)&amp;RIGHT("00"&amp;VALUE(MID(Sync!$AF1934,FIND(":",Sync!$AF1934)+1,2)),2),"0000"))))</f>
        <v/>
      </c>
    </row>
    <row r="1935">
      <c r="A1935">
        <f>IF(OR(Calc!$E1939="",Calc!$E1939="نامعتبر",Calc!$G1939=""),"",Calc!$G1939)</f>
        <v/>
      </c>
      <c r="B1935">
        <f>IF($A1935="","",LEFT(Calc!$E1939,4)&amp;MID(Calc!$E1939,6,2)&amp;RIGHT(Calc!$E1939,2)&amp;Calc!$Q1939&amp;"|"&amp;"1"&amp;RIGHT("00000"&amp;1930,5))</f>
        <v/>
      </c>
      <c r="C1935">
        <f>IF($B1935="","",COUNTIFS(LdgSellerA,$A1935,LdgKeyA,"&lt;"&amp;$B1935)+COUNTIFS(LdgSellerB,$A1935,LdgKeyB,"&lt;"&amp;$B1935)+1)</f>
        <v/>
      </c>
      <c r="D1935">
        <f>IF($C1935="","",$A1935&amp;"|"&amp;RIGHT("000000"&amp;$C1935,6))</f>
        <v/>
      </c>
      <c r="F1935">
        <f>IF(Sync!$AH1935="","",IF(LEFT(UPPER(TRIM(Sync!$AH1935)),2)="SL",UPPER(TRIM(Sync!$AH1935)),""))</f>
        <v/>
      </c>
      <c r="G1935">
        <f>IF($F1935="","",IF(Sync!$AE1935="","",IF(ISNUMBER(Sync!$AE1935),IF(AND(Sync!$AE1935&gt;=10000101,Sync!$AE1935&lt;=99991231),INT(Sync!$AE1935/10000),""),IFERROR(VALUE(TRIM(LEFT(Sync!$AE1935,FIND("/",Sync!$AE1935)-1))),""))))</f>
        <v/>
      </c>
      <c r="H1935">
        <f>IF(OR($F1935="",$G1935=""),"",IF(ISNUMBER(Sync!$AE1935),INT(MOD(Sync!$AE1935,10000)/100),IFERROR(VALUE(TRIM(LEFT(MID(Sync!$AE1935,FIND("/",Sync!$AE1935)+1,20),FIND("/",MID(Sync!$AE1935,FIND("/",Sync!$AE1935)+1,20))-1))),"")))</f>
        <v/>
      </c>
      <c r="I1935">
        <f>IF(OR($F1935="",$G1935=""),"",IF(ISNUMBER(Sync!$AE1935),MOD(Sync!$AE1935,100),IFERROR(VALUE(TRIM(MID(MID(Sync!$AE1935,FIND("/",Sync!$AE1935)+1,20),FIND("/",MID(Sync!$AE1935,FIND("/",Sync!$AE1935)+1,20))+1,20))),"")))</f>
        <v/>
      </c>
      <c r="J1935">
        <f>IF($F1935="","",IF(OR($G1935="",$H1935="",$I1935="",$G1935&lt;1300,$G1935&gt;1500,$H1935&lt;1,$H1935&gt;12,$I1935&lt;1,$I1935&gt;31),"نامعتبر",RIGHT("0000"&amp;$G1935,4)&amp;"/"&amp;RIGHT("00"&amp;$H1935,2)&amp;"/"&amp;RIGHT("00"&amp;$I1935,2)))</f>
        <v/>
      </c>
      <c r="K1935">
        <f>IF(OR($F1935="",$J1935="",$J1935="نامعتبر"),"",LEFT($J1935,4)&amp;MID($J1935,6,2)&amp;RIGHT($J1935,2)&amp;$N1935&amp;"|"&amp;"2"&amp;RIGHT("00000"&amp;1930,5))</f>
        <v/>
      </c>
      <c r="L1935">
        <f>IF($K1935="","",COUNTIFS(LdgSellerA,$F1935,LdgKeyA,"&lt;"&amp;$K1935)+COUNTIFS(LdgSellerB,$F1935,LdgKeyB,"&lt;"&amp;$K1935)+1)</f>
        <v/>
      </c>
      <c r="M1935">
        <f>IF($L1935="","",$F1935&amp;"|"&amp;RIGHT("000000"&amp;$L1935,6))</f>
        <v/>
      </c>
      <c r="N1935">
        <f>IF($F1935="","",IF(Sync!$AF1935="","0000",IF(AND(ISNUMBER(Sync!$AF1935),Sync!$AF1935&gt;=0,Sync!$AF1935&lt;1),RIGHT("00"&amp;HOUR(Sync!$AF1935),2)&amp;RIGHT("00"&amp;MINUTE(Sync!$AF1935),2),IFERROR(RIGHT("00"&amp;VALUE(LEFT(Sync!$AF1935,FIND(":",Sync!$AF1935)-1)),2)&amp;RIGHT("00"&amp;VALUE(MID(Sync!$AF1935,FIND(":",Sync!$AF1935)+1,2)),2),"0000"))))</f>
        <v/>
      </c>
    </row>
    <row r="1936">
      <c r="A1936">
        <f>IF(OR(Calc!$E1940="",Calc!$E1940="نامعتبر",Calc!$G1940=""),"",Calc!$G1940)</f>
        <v/>
      </c>
      <c r="B1936">
        <f>IF($A1936="","",LEFT(Calc!$E1940,4)&amp;MID(Calc!$E1940,6,2)&amp;RIGHT(Calc!$E1940,2)&amp;Calc!$Q1940&amp;"|"&amp;"1"&amp;RIGHT("00000"&amp;1931,5))</f>
        <v/>
      </c>
      <c r="C1936">
        <f>IF($B1936="","",COUNTIFS(LdgSellerA,$A1936,LdgKeyA,"&lt;"&amp;$B1936)+COUNTIFS(LdgSellerB,$A1936,LdgKeyB,"&lt;"&amp;$B1936)+1)</f>
        <v/>
      </c>
      <c r="D1936">
        <f>IF($C1936="","",$A1936&amp;"|"&amp;RIGHT("000000"&amp;$C1936,6))</f>
        <v/>
      </c>
      <c r="F1936">
        <f>IF(Sync!$AH1936="","",IF(LEFT(UPPER(TRIM(Sync!$AH1936)),2)="SL",UPPER(TRIM(Sync!$AH1936)),""))</f>
        <v/>
      </c>
      <c r="G1936">
        <f>IF($F1936="","",IF(Sync!$AE1936="","",IF(ISNUMBER(Sync!$AE1936),IF(AND(Sync!$AE1936&gt;=10000101,Sync!$AE1936&lt;=99991231),INT(Sync!$AE1936/10000),""),IFERROR(VALUE(TRIM(LEFT(Sync!$AE1936,FIND("/",Sync!$AE1936)-1))),""))))</f>
        <v/>
      </c>
      <c r="H1936">
        <f>IF(OR($F1936="",$G1936=""),"",IF(ISNUMBER(Sync!$AE1936),INT(MOD(Sync!$AE1936,10000)/100),IFERROR(VALUE(TRIM(LEFT(MID(Sync!$AE1936,FIND("/",Sync!$AE1936)+1,20),FIND("/",MID(Sync!$AE1936,FIND("/",Sync!$AE1936)+1,20))-1))),"")))</f>
        <v/>
      </c>
      <c r="I1936">
        <f>IF(OR($F1936="",$G1936=""),"",IF(ISNUMBER(Sync!$AE1936),MOD(Sync!$AE1936,100),IFERROR(VALUE(TRIM(MID(MID(Sync!$AE1936,FIND("/",Sync!$AE1936)+1,20),FIND("/",MID(Sync!$AE1936,FIND("/",Sync!$AE1936)+1,20))+1,20))),"")))</f>
        <v/>
      </c>
      <c r="J1936">
        <f>IF($F1936="","",IF(OR($G1936="",$H1936="",$I1936="",$G1936&lt;1300,$G1936&gt;1500,$H1936&lt;1,$H1936&gt;12,$I1936&lt;1,$I1936&gt;31),"نامعتبر",RIGHT("0000"&amp;$G1936,4)&amp;"/"&amp;RIGHT("00"&amp;$H1936,2)&amp;"/"&amp;RIGHT("00"&amp;$I1936,2)))</f>
        <v/>
      </c>
      <c r="K1936">
        <f>IF(OR($F1936="",$J1936="",$J1936="نامعتبر"),"",LEFT($J1936,4)&amp;MID($J1936,6,2)&amp;RIGHT($J1936,2)&amp;$N1936&amp;"|"&amp;"2"&amp;RIGHT("00000"&amp;1931,5))</f>
        <v/>
      </c>
      <c r="L1936">
        <f>IF($K1936="","",COUNTIFS(LdgSellerA,$F1936,LdgKeyA,"&lt;"&amp;$K1936)+COUNTIFS(LdgSellerB,$F1936,LdgKeyB,"&lt;"&amp;$K1936)+1)</f>
        <v/>
      </c>
      <c r="M1936">
        <f>IF($L1936="","",$F1936&amp;"|"&amp;RIGHT("000000"&amp;$L1936,6))</f>
        <v/>
      </c>
      <c r="N1936">
        <f>IF($F1936="","",IF(Sync!$AF1936="","0000",IF(AND(ISNUMBER(Sync!$AF1936),Sync!$AF1936&gt;=0,Sync!$AF1936&lt;1),RIGHT("00"&amp;HOUR(Sync!$AF1936),2)&amp;RIGHT("00"&amp;MINUTE(Sync!$AF1936),2),IFERROR(RIGHT("00"&amp;VALUE(LEFT(Sync!$AF1936,FIND(":",Sync!$AF1936)-1)),2)&amp;RIGHT("00"&amp;VALUE(MID(Sync!$AF1936,FIND(":",Sync!$AF1936)+1,2)),2),"0000"))))</f>
        <v/>
      </c>
    </row>
    <row r="1937">
      <c r="A1937">
        <f>IF(OR(Calc!$E1941="",Calc!$E1941="نامعتبر",Calc!$G1941=""),"",Calc!$G1941)</f>
        <v/>
      </c>
      <c r="B1937">
        <f>IF($A1937="","",LEFT(Calc!$E1941,4)&amp;MID(Calc!$E1941,6,2)&amp;RIGHT(Calc!$E1941,2)&amp;Calc!$Q1941&amp;"|"&amp;"1"&amp;RIGHT("00000"&amp;1932,5))</f>
        <v/>
      </c>
      <c r="C1937">
        <f>IF($B1937="","",COUNTIFS(LdgSellerA,$A1937,LdgKeyA,"&lt;"&amp;$B1937)+COUNTIFS(LdgSellerB,$A1937,LdgKeyB,"&lt;"&amp;$B1937)+1)</f>
        <v/>
      </c>
      <c r="D1937">
        <f>IF($C1937="","",$A1937&amp;"|"&amp;RIGHT("000000"&amp;$C1937,6))</f>
        <v/>
      </c>
      <c r="F1937">
        <f>IF(Sync!$AH1937="","",IF(LEFT(UPPER(TRIM(Sync!$AH1937)),2)="SL",UPPER(TRIM(Sync!$AH1937)),""))</f>
        <v/>
      </c>
      <c r="G1937">
        <f>IF($F1937="","",IF(Sync!$AE1937="","",IF(ISNUMBER(Sync!$AE1937),IF(AND(Sync!$AE1937&gt;=10000101,Sync!$AE1937&lt;=99991231),INT(Sync!$AE1937/10000),""),IFERROR(VALUE(TRIM(LEFT(Sync!$AE1937,FIND("/",Sync!$AE1937)-1))),""))))</f>
        <v/>
      </c>
      <c r="H1937">
        <f>IF(OR($F1937="",$G1937=""),"",IF(ISNUMBER(Sync!$AE1937),INT(MOD(Sync!$AE1937,10000)/100),IFERROR(VALUE(TRIM(LEFT(MID(Sync!$AE1937,FIND("/",Sync!$AE1937)+1,20),FIND("/",MID(Sync!$AE1937,FIND("/",Sync!$AE1937)+1,20))-1))),"")))</f>
        <v/>
      </c>
      <c r="I1937">
        <f>IF(OR($F1937="",$G1937=""),"",IF(ISNUMBER(Sync!$AE1937),MOD(Sync!$AE1937,100),IFERROR(VALUE(TRIM(MID(MID(Sync!$AE1937,FIND("/",Sync!$AE1937)+1,20),FIND("/",MID(Sync!$AE1937,FIND("/",Sync!$AE1937)+1,20))+1,20))),"")))</f>
        <v/>
      </c>
      <c r="J1937">
        <f>IF($F1937="","",IF(OR($G1937="",$H1937="",$I1937="",$G1937&lt;1300,$G1937&gt;1500,$H1937&lt;1,$H1937&gt;12,$I1937&lt;1,$I1937&gt;31),"نامعتبر",RIGHT("0000"&amp;$G1937,4)&amp;"/"&amp;RIGHT("00"&amp;$H1937,2)&amp;"/"&amp;RIGHT("00"&amp;$I1937,2)))</f>
        <v/>
      </c>
      <c r="K1937">
        <f>IF(OR($F1937="",$J1937="",$J1937="نامعتبر"),"",LEFT($J1937,4)&amp;MID($J1937,6,2)&amp;RIGHT($J1937,2)&amp;$N1937&amp;"|"&amp;"2"&amp;RIGHT("00000"&amp;1932,5))</f>
        <v/>
      </c>
      <c r="L1937">
        <f>IF($K1937="","",COUNTIFS(LdgSellerA,$F1937,LdgKeyA,"&lt;"&amp;$K1937)+COUNTIFS(LdgSellerB,$F1937,LdgKeyB,"&lt;"&amp;$K1937)+1)</f>
        <v/>
      </c>
      <c r="M1937">
        <f>IF($L1937="","",$F1937&amp;"|"&amp;RIGHT("000000"&amp;$L1937,6))</f>
        <v/>
      </c>
      <c r="N1937">
        <f>IF($F1937="","",IF(Sync!$AF1937="","0000",IF(AND(ISNUMBER(Sync!$AF1937),Sync!$AF1937&gt;=0,Sync!$AF1937&lt;1),RIGHT("00"&amp;HOUR(Sync!$AF1937),2)&amp;RIGHT("00"&amp;MINUTE(Sync!$AF1937),2),IFERROR(RIGHT("00"&amp;VALUE(LEFT(Sync!$AF1937,FIND(":",Sync!$AF1937)-1)),2)&amp;RIGHT("00"&amp;VALUE(MID(Sync!$AF1937,FIND(":",Sync!$AF1937)+1,2)),2),"0000"))))</f>
        <v/>
      </c>
    </row>
    <row r="1938">
      <c r="A1938">
        <f>IF(OR(Calc!$E1942="",Calc!$E1942="نامعتبر",Calc!$G1942=""),"",Calc!$G1942)</f>
        <v/>
      </c>
      <c r="B1938">
        <f>IF($A1938="","",LEFT(Calc!$E1942,4)&amp;MID(Calc!$E1942,6,2)&amp;RIGHT(Calc!$E1942,2)&amp;Calc!$Q1942&amp;"|"&amp;"1"&amp;RIGHT("00000"&amp;1933,5))</f>
        <v/>
      </c>
      <c r="C1938">
        <f>IF($B1938="","",COUNTIFS(LdgSellerA,$A1938,LdgKeyA,"&lt;"&amp;$B1938)+COUNTIFS(LdgSellerB,$A1938,LdgKeyB,"&lt;"&amp;$B1938)+1)</f>
        <v/>
      </c>
      <c r="D1938">
        <f>IF($C1938="","",$A1938&amp;"|"&amp;RIGHT("000000"&amp;$C1938,6))</f>
        <v/>
      </c>
      <c r="F1938">
        <f>IF(Sync!$AH1938="","",IF(LEFT(UPPER(TRIM(Sync!$AH1938)),2)="SL",UPPER(TRIM(Sync!$AH1938)),""))</f>
        <v/>
      </c>
      <c r="G1938">
        <f>IF($F1938="","",IF(Sync!$AE1938="","",IF(ISNUMBER(Sync!$AE1938),IF(AND(Sync!$AE1938&gt;=10000101,Sync!$AE1938&lt;=99991231),INT(Sync!$AE1938/10000),""),IFERROR(VALUE(TRIM(LEFT(Sync!$AE1938,FIND("/",Sync!$AE1938)-1))),""))))</f>
        <v/>
      </c>
      <c r="H1938">
        <f>IF(OR($F1938="",$G1938=""),"",IF(ISNUMBER(Sync!$AE1938),INT(MOD(Sync!$AE1938,10000)/100),IFERROR(VALUE(TRIM(LEFT(MID(Sync!$AE1938,FIND("/",Sync!$AE1938)+1,20),FIND("/",MID(Sync!$AE1938,FIND("/",Sync!$AE1938)+1,20))-1))),"")))</f>
        <v/>
      </c>
      <c r="I1938">
        <f>IF(OR($F1938="",$G1938=""),"",IF(ISNUMBER(Sync!$AE1938),MOD(Sync!$AE1938,100),IFERROR(VALUE(TRIM(MID(MID(Sync!$AE1938,FIND("/",Sync!$AE1938)+1,20),FIND("/",MID(Sync!$AE1938,FIND("/",Sync!$AE1938)+1,20))+1,20))),"")))</f>
        <v/>
      </c>
      <c r="J1938">
        <f>IF($F1938="","",IF(OR($G1938="",$H1938="",$I1938="",$G1938&lt;1300,$G1938&gt;1500,$H1938&lt;1,$H1938&gt;12,$I1938&lt;1,$I1938&gt;31),"نامعتبر",RIGHT("0000"&amp;$G1938,4)&amp;"/"&amp;RIGHT("00"&amp;$H1938,2)&amp;"/"&amp;RIGHT("00"&amp;$I1938,2)))</f>
        <v/>
      </c>
      <c r="K1938">
        <f>IF(OR($F1938="",$J1938="",$J1938="نامعتبر"),"",LEFT($J1938,4)&amp;MID($J1938,6,2)&amp;RIGHT($J1938,2)&amp;$N1938&amp;"|"&amp;"2"&amp;RIGHT("00000"&amp;1933,5))</f>
        <v/>
      </c>
      <c r="L1938">
        <f>IF($K1938="","",COUNTIFS(LdgSellerA,$F1938,LdgKeyA,"&lt;"&amp;$K1938)+COUNTIFS(LdgSellerB,$F1938,LdgKeyB,"&lt;"&amp;$K1938)+1)</f>
        <v/>
      </c>
      <c r="M1938">
        <f>IF($L1938="","",$F1938&amp;"|"&amp;RIGHT("000000"&amp;$L1938,6))</f>
        <v/>
      </c>
      <c r="N1938">
        <f>IF($F1938="","",IF(Sync!$AF1938="","0000",IF(AND(ISNUMBER(Sync!$AF1938),Sync!$AF1938&gt;=0,Sync!$AF1938&lt;1),RIGHT("00"&amp;HOUR(Sync!$AF1938),2)&amp;RIGHT("00"&amp;MINUTE(Sync!$AF1938),2),IFERROR(RIGHT("00"&amp;VALUE(LEFT(Sync!$AF1938,FIND(":",Sync!$AF1938)-1)),2)&amp;RIGHT("00"&amp;VALUE(MID(Sync!$AF1938,FIND(":",Sync!$AF1938)+1,2)),2),"0000"))))</f>
        <v/>
      </c>
    </row>
    <row r="1939">
      <c r="A1939">
        <f>IF(OR(Calc!$E1943="",Calc!$E1943="نامعتبر",Calc!$G1943=""),"",Calc!$G1943)</f>
        <v/>
      </c>
      <c r="B1939">
        <f>IF($A1939="","",LEFT(Calc!$E1943,4)&amp;MID(Calc!$E1943,6,2)&amp;RIGHT(Calc!$E1943,2)&amp;Calc!$Q1943&amp;"|"&amp;"1"&amp;RIGHT("00000"&amp;1934,5))</f>
        <v/>
      </c>
      <c r="C1939">
        <f>IF($B1939="","",COUNTIFS(LdgSellerA,$A1939,LdgKeyA,"&lt;"&amp;$B1939)+COUNTIFS(LdgSellerB,$A1939,LdgKeyB,"&lt;"&amp;$B1939)+1)</f>
        <v/>
      </c>
      <c r="D1939">
        <f>IF($C1939="","",$A1939&amp;"|"&amp;RIGHT("000000"&amp;$C1939,6))</f>
        <v/>
      </c>
      <c r="F1939">
        <f>IF(Sync!$AH1939="","",IF(LEFT(UPPER(TRIM(Sync!$AH1939)),2)="SL",UPPER(TRIM(Sync!$AH1939)),""))</f>
        <v/>
      </c>
      <c r="G1939">
        <f>IF($F1939="","",IF(Sync!$AE1939="","",IF(ISNUMBER(Sync!$AE1939),IF(AND(Sync!$AE1939&gt;=10000101,Sync!$AE1939&lt;=99991231),INT(Sync!$AE1939/10000),""),IFERROR(VALUE(TRIM(LEFT(Sync!$AE1939,FIND("/",Sync!$AE1939)-1))),""))))</f>
        <v/>
      </c>
      <c r="H1939">
        <f>IF(OR($F1939="",$G1939=""),"",IF(ISNUMBER(Sync!$AE1939),INT(MOD(Sync!$AE1939,10000)/100),IFERROR(VALUE(TRIM(LEFT(MID(Sync!$AE1939,FIND("/",Sync!$AE1939)+1,20),FIND("/",MID(Sync!$AE1939,FIND("/",Sync!$AE1939)+1,20))-1))),"")))</f>
        <v/>
      </c>
      <c r="I1939">
        <f>IF(OR($F1939="",$G1939=""),"",IF(ISNUMBER(Sync!$AE1939),MOD(Sync!$AE1939,100),IFERROR(VALUE(TRIM(MID(MID(Sync!$AE1939,FIND("/",Sync!$AE1939)+1,20),FIND("/",MID(Sync!$AE1939,FIND("/",Sync!$AE1939)+1,20))+1,20))),"")))</f>
        <v/>
      </c>
      <c r="J1939">
        <f>IF($F1939="","",IF(OR($G1939="",$H1939="",$I1939="",$G1939&lt;1300,$G1939&gt;1500,$H1939&lt;1,$H1939&gt;12,$I1939&lt;1,$I1939&gt;31),"نامعتبر",RIGHT("0000"&amp;$G1939,4)&amp;"/"&amp;RIGHT("00"&amp;$H1939,2)&amp;"/"&amp;RIGHT("00"&amp;$I1939,2)))</f>
        <v/>
      </c>
      <c r="K1939">
        <f>IF(OR($F1939="",$J1939="",$J1939="نامعتبر"),"",LEFT($J1939,4)&amp;MID($J1939,6,2)&amp;RIGHT($J1939,2)&amp;$N1939&amp;"|"&amp;"2"&amp;RIGHT("00000"&amp;1934,5))</f>
        <v/>
      </c>
      <c r="L1939">
        <f>IF($K1939="","",COUNTIFS(LdgSellerA,$F1939,LdgKeyA,"&lt;"&amp;$K1939)+COUNTIFS(LdgSellerB,$F1939,LdgKeyB,"&lt;"&amp;$K1939)+1)</f>
        <v/>
      </c>
      <c r="M1939">
        <f>IF($L1939="","",$F1939&amp;"|"&amp;RIGHT("000000"&amp;$L1939,6))</f>
        <v/>
      </c>
      <c r="N1939">
        <f>IF($F1939="","",IF(Sync!$AF1939="","0000",IF(AND(ISNUMBER(Sync!$AF1939),Sync!$AF1939&gt;=0,Sync!$AF1939&lt;1),RIGHT("00"&amp;HOUR(Sync!$AF1939),2)&amp;RIGHT("00"&amp;MINUTE(Sync!$AF1939),2),IFERROR(RIGHT("00"&amp;VALUE(LEFT(Sync!$AF1939,FIND(":",Sync!$AF1939)-1)),2)&amp;RIGHT("00"&amp;VALUE(MID(Sync!$AF1939,FIND(":",Sync!$AF1939)+1,2)),2),"0000"))))</f>
        <v/>
      </c>
    </row>
    <row r="1940">
      <c r="A1940">
        <f>IF(OR(Calc!$E1944="",Calc!$E1944="نامعتبر",Calc!$G1944=""),"",Calc!$G1944)</f>
        <v/>
      </c>
      <c r="B1940">
        <f>IF($A1940="","",LEFT(Calc!$E1944,4)&amp;MID(Calc!$E1944,6,2)&amp;RIGHT(Calc!$E1944,2)&amp;Calc!$Q1944&amp;"|"&amp;"1"&amp;RIGHT("00000"&amp;1935,5))</f>
        <v/>
      </c>
      <c r="C1940">
        <f>IF($B1940="","",COUNTIFS(LdgSellerA,$A1940,LdgKeyA,"&lt;"&amp;$B1940)+COUNTIFS(LdgSellerB,$A1940,LdgKeyB,"&lt;"&amp;$B1940)+1)</f>
        <v/>
      </c>
      <c r="D1940">
        <f>IF($C1940="","",$A1940&amp;"|"&amp;RIGHT("000000"&amp;$C1940,6))</f>
        <v/>
      </c>
      <c r="F1940">
        <f>IF(Sync!$AH1940="","",IF(LEFT(UPPER(TRIM(Sync!$AH1940)),2)="SL",UPPER(TRIM(Sync!$AH1940)),""))</f>
        <v/>
      </c>
      <c r="G1940">
        <f>IF($F1940="","",IF(Sync!$AE1940="","",IF(ISNUMBER(Sync!$AE1940),IF(AND(Sync!$AE1940&gt;=10000101,Sync!$AE1940&lt;=99991231),INT(Sync!$AE1940/10000),""),IFERROR(VALUE(TRIM(LEFT(Sync!$AE1940,FIND("/",Sync!$AE1940)-1))),""))))</f>
        <v/>
      </c>
      <c r="H1940">
        <f>IF(OR($F1940="",$G1940=""),"",IF(ISNUMBER(Sync!$AE1940),INT(MOD(Sync!$AE1940,10000)/100),IFERROR(VALUE(TRIM(LEFT(MID(Sync!$AE1940,FIND("/",Sync!$AE1940)+1,20),FIND("/",MID(Sync!$AE1940,FIND("/",Sync!$AE1940)+1,20))-1))),"")))</f>
        <v/>
      </c>
      <c r="I1940">
        <f>IF(OR($F1940="",$G1940=""),"",IF(ISNUMBER(Sync!$AE1940),MOD(Sync!$AE1940,100),IFERROR(VALUE(TRIM(MID(MID(Sync!$AE1940,FIND("/",Sync!$AE1940)+1,20),FIND("/",MID(Sync!$AE1940,FIND("/",Sync!$AE1940)+1,20))+1,20))),"")))</f>
        <v/>
      </c>
      <c r="J1940">
        <f>IF($F1940="","",IF(OR($G1940="",$H1940="",$I1940="",$G1940&lt;1300,$G1940&gt;1500,$H1940&lt;1,$H1940&gt;12,$I1940&lt;1,$I1940&gt;31),"نامعتبر",RIGHT("0000"&amp;$G1940,4)&amp;"/"&amp;RIGHT("00"&amp;$H1940,2)&amp;"/"&amp;RIGHT("00"&amp;$I1940,2)))</f>
        <v/>
      </c>
      <c r="K1940">
        <f>IF(OR($F1940="",$J1940="",$J1940="نامعتبر"),"",LEFT($J1940,4)&amp;MID($J1940,6,2)&amp;RIGHT($J1940,2)&amp;$N1940&amp;"|"&amp;"2"&amp;RIGHT("00000"&amp;1935,5))</f>
        <v/>
      </c>
      <c r="L1940">
        <f>IF($K1940="","",COUNTIFS(LdgSellerA,$F1940,LdgKeyA,"&lt;"&amp;$K1940)+COUNTIFS(LdgSellerB,$F1940,LdgKeyB,"&lt;"&amp;$K1940)+1)</f>
        <v/>
      </c>
      <c r="M1940">
        <f>IF($L1940="","",$F1940&amp;"|"&amp;RIGHT("000000"&amp;$L1940,6))</f>
        <v/>
      </c>
      <c r="N1940">
        <f>IF($F1940="","",IF(Sync!$AF1940="","0000",IF(AND(ISNUMBER(Sync!$AF1940),Sync!$AF1940&gt;=0,Sync!$AF1940&lt;1),RIGHT("00"&amp;HOUR(Sync!$AF1940),2)&amp;RIGHT("00"&amp;MINUTE(Sync!$AF1940),2),IFERROR(RIGHT("00"&amp;VALUE(LEFT(Sync!$AF1940,FIND(":",Sync!$AF1940)-1)),2)&amp;RIGHT("00"&amp;VALUE(MID(Sync!$AF1940,FIND(":",Sync!$AF1940)+1,2)),2),"0000"))))</f>
        <v/>
      </c>
    </row>
    <row r="1941">
      <c r="A1941">
        <f>IF(OR(Calc!$E1945="",Calc!$E1945="نامعتبر",Calc!$G1945=""),"",Calc!$G1945)</f>
        <v/>
      </c>
      <c r="B1941">
        <f>IF($A1941="","",LEFT(Calc!$E1945,4)&amp;MID(Calc!$E1945,6,2)&amp;RIGHT(Calc!$E1945,2)&amp;Calc!$Q1945&amp;"|"&amp;"1"&amp;RIGHT("00000"&amp;1936,5))</f>
        <v/>
      </c>
      <c r="C1941">
        <f>IF($B1941="","",COUNTIFS(LdgSellerA,$A1941,LdgKeyA,"&lt;"&amp;$B1941)+COUNTIFS(LdgSellerB,$A1941,LdgKeyB,"&lt;"&amp;$B1941)+1)</f>
        <v/>
      </c>
      <c r="D1941">
        <f>IF($C1941="","",$A1941&amp;"|"&amp;RIGHT("000000"&amp;$C1941,6))</f>
        <v/>
      </c>
      <c r="F1941">
        <f>IF(Sync!$AH1941="","",IF(LEFT(UPPER(TRIM(Sync!$AH1941)),2)="SL",UPPER(TRIM(Sync!$AH1941)),""))</f>
        <v/>
      </c>
      <c r="G1941">
        <f>IF($F1941="","",IF(Sync!$AE1941="","",IF(ISNUMBER(Sync!$AE1941),IF(AND(Sync!$AE1941&gt;=10000101,Sync!$AE1941&lt;=99991231),INT(Sync!$AE1941/10000),""),IFERROR(VALUE(TRIM(LEFT(Sync!$AE1941,FIND("/",Sync!$AE1941)-1))),""))))</f>
        <v/>
      </c>
      <c r="H1941">
        <f>IF(OR($F1941="",$G1941=""),"",IF(ISNUMBER(Sync!$AE1941),INT(MOD(Sync!$AE1941,10000)/100),IFERROR(VALUE(TRIM(LEFT(MID(Sync!$AE1941,FIND("/",Sync!$AE1941)+1,20),FIND("/",MID(Sync!$AE1941,FIND("/",Sync!$AE1941)+1,20))-1))),"")))</f>
        <v/>
      </c>
      <c r="I1941">
        <f>IF(OR($F1941="",$G1941=""),"",IF(ISNUMBER(Sync!$AE1941),MOD(Sync!$AE1941,100),IFERROR(VALUE(TRIM(MID(MID(Sync!$AE1941,FIND("/",Sync!$AE1941)+1,20),FIND("/",MID(Sync!$AE1941,FIND("/",Sync!$AE1941)+1,20))+1,20))),"")))</f>
        <v/>
      </c>
      <c r="J1941">
        <f>IF($F1941="","",IF(OR($G1941="",$H1941="",$I1941="",$G1941&lt;1300,$G1941&gt;1500,$H1941&lt;1,$H1941&gt;12,$I1941&lt;1,$I1941&gt;31),"نامعتبر",RIGHT("0000"&amp;$G1941,4)&amp;"/"&amp;RIGHT("00"&amp;$H1941,2)&amp;"/"&amp;RIGHT("00"&amp;$I1941,2)))</f>
        <v/>
      </c>
      <c r="K1941">
        <f>IF(OR($F1941="",$J1941="",$J1941="نامعتبر"),"",LEFT($J1941,4)&amp;MID($J1941,6,2)&amp;RIGHT($J1941,2)&amp;$N1941&amp;"|"&amp;"2"&amp;RIGHT("00000"&amp;1936,5))</f>
        <v/>
      </c>
      <c r="L1941">
        <f>IF($K1941="","",COUNTIFS(LdgSellerA,$F1941,LdgKeyA,"&lt;"&amp;$K1941)+COUNTIFS(LdgSellerB,$F1941,LdgKeyB,"&lt;"&amp;$K1941)+1)</f>
        <v/>
      </c>
      <c r="M1941">
        <f>IF($L1941="","",$F1941&amp;"|"&amp;RIGHT("000000"&amp;$L1941,6))</f>
        <v/>
      </c>
      <c r="N1941">
        <f>IF($F1941="","",IF(Sync!$AF1941="","0000",IF(AND(ISNUMBER(Sync!$AF1941),Sync!$AF1941&gt;=0,Sync!$AF1941&lt;1),RIGHT("00"&amp;HOUR(Sync!$AF1941),2)&amp;RIGHT("00"&amp;MINUTE(Sync!$AF1941),2),IFERROR(RIGHT("00"&amp;VALUE(LEFT(Sync!$AF1941,FIND(":",Sync!$AF1941)-1)),2)&amp;RIGHT("00"&amp;VALUE(MID(Sync!$AF1941,FIND(":",Sync!$AF1941)+1,2)),2),"0000"))))</f>
        <v/>
      </c>
    </row>
    <row r="1942">
      <c r="A1942">
        <f>IF(OR(Calc!$E1946="",Calc!$E1946="نامعتبر",Calc!$G1946=""),"",Calc!$G1946)</f>
        <v/>
      </c>
      <c r="B1942">
        <f>IF($A1942="","",LEFT(Calc!$E1946,4)&amp;MID(Calc!$E1946,6,2)&amp;RIGHT(Calc!$E1946,2)&amp;Calc!$Q1946&amp;"|"&amp;"1"&amp;RIGHT("00000"&amp;1937,5))</f>
        <v/>
      </c>
      <c r="C1942">
        <f>IF($B1942="","",COUNTIFS(LdgSellerA,$A1942,LdgKeyA,"&lt;"&amp;$B1942)+COUNTIFS(LdgSellerB,$A1942,LdgKeyB,"&lt;"&amp;$B1942)+1)</f>
        <v/>
      </c>
      <c r="D1942">
        <f>IF($C1942="","",$A1942&amp;"|"&amp;RIGHT("000000"&amp;$C1942,6))</f>
        <v/>
      </c>
      <c r="F1942">
        <f>IF(Sync!$AH1942="","",IF(LEFT(UPPER(TRIM(Sync!$AH1942)),2)="SL",UPPER(TRIM(Sync!$AH1942)),""))</f>
        <v/>
      </c>
      <c r="G1942">
        <f>IF($F1942="","",IF(Sync!$AE1942="","",IF(ISNUMBER(Sync!$AE1942),IF(AND(Sync!$AE1942&gt;=10000101,Sync!$AE1942&lt;=99991231),INT(Sync!$AE1942/10000),""),IFERROR(VALUE(TRIM(LEFT(Sync!$AE1942,FIND("/",Sync!$AE1942)-1))),""))))</f>
        <v/>
      </c>
      <c r="H1942">
        <f>IF(OR($F1942="",$G1942=""),"",IF(ISNUMBER(Sync!$AE1942),INT(MOD(Sync!$AE1942,10000)/100),IFERROR(VALUE(TRIM(LEFT(MID(Sync!$AE1942,FIND("/",Sync!$AE1942)+1,20),FIND("/",MID(Sync!$AE1942,FIND("/",Sync!$AE1942)+1,20))-1))),"")))</f>
        <v/>
      </c>
      <c r="I1942">
        <f>IF(OR($F1942="",$G1942=""),"",IF(ISNUMBER(Sync!$AE1942),MOD(Sync!$AE1942,100),IFERROR(VALUE(TRIM(MID(MID(Sync!$AE1942,FIND("/",Sync!$AE1942)+1,20),FIND("/",MID(Sync!$AE1942,FIND("/",Sync!$AE1942)+1,20))+1,20))),"")))</f>
        <v/>
      </c>
      <c r="J1942">
        <f>IF($F1942="","",IF(OR($G1942="",$H1942="",$I1942="",$G1942&lt;1300,$G1942&gt;1500,$H1942&lt;1,$H1942&gt;12,$I1942&lt;1,$I1942&gt;31),"نامعتبر",RIGHT("0000"&amp;$G1942,4)&amp;"/"&amp;RIGHT("00"&amp;$H1942,2)&amp;"/"&amp;RIGHT("00"&amp;$I1942,2)))</f>
        <v/>
      </c>
      <c r="K1942">
        <f>IF(OR($F1942="",$J1942="",$J1942="نامعتبر"),"",LEFT($J1942,4)&amp;MID($J1942,6,2)&amp;RIGHT($J1942,2)&amp;$N1942&amp;"|"&amp;"2"&amp;RIGHT("00000"&amp;1937,5))</f>
        <v/>
      </c>
      <c r="L1942">
        <f>IF($K1942="","",COUNTIFS(LdgSellerA,$F1942,LdgKeyA,"&lt;"&amp;$K1942)+COUNTIFS(LdgSellerB,$F1942,LdgKeyB,"&lt;"&amp;$K1942)+1)</f>
        <v/>
      </c>
      <c r="M1942">
        <f>IF($L1942="","",$F1942&amp;"|"&amp;RIGHT("000000"&amp;$L1942,6))</f>
        <v/>
      </c>
      <c r="N1942">
        <f>IF($F1942="","",IF(Sync!$AF1942="","0000",IF(AND(ISNUMBER(Sync!$AF1942),Sync!$AF1942&gt;=0,Sync!$AF1942&lt;1),RIGHT("00"&amp;HOUR(Sync!$AF1942),2)&amp;RIGHT("00"&amp;MINUTE(Sync!$AF1942),2),IFERROR(RIGHT("00"&amp;VALUE(LEFT(Sync!$AF1942,FIND(":",Sync!$AF1942)-1)),2)&amp;RIGHT("00"&amp;VALUE(MID(Sync!$AF1942,FIND(":",Sync!$AF1942)+1,2)),2),"0000"))))</f>
        <v/>
      </c>
    </row>
    <row r="1943">
      <c r="A1943">
        <f>IF(OR(Calc!$E1947="",Calc!$E1947="نامعتبر",Calc!$G1947=""),"",Calc!$G1947)</f>
        <v/>
      </c>
      <c r="B1943">
        <f>IF($A1943="","",LEFT(Calc!$E1947,4)&amp;MID(Calc!$E1947,6,2)&amp;RIGHT(Calc!$E1947,2)&amp;Calc!$Q1947&amp;"|"&amp;"1"&amp;RIGHT("00000"&amp;1938,5))</f>
        <v/>
      </c>
      <c r="C1943">
        <f>IF($B1943="","",COUNTIFS(LdgSellerA,$A1943,LdgKeyA,"&lt;"&amp;$B1943)+COUNTIFS(LdgSellerB,$A1943,LdgKeyB,"&lt;"&amp;$B1943)+1)</f>
        <v/>
      </c>
      <c r="D1943">
        <f>IF($C1943="","",$A1943&amp;"|"&amp;RIGHT("000000"&amp;$C1943,6))</f>
        <v/>
      </c>
      <c r="F1943">
        <f>IF(Sync!$AH1943="","",IF(LEFT(UPPER(TRIM(Sync!$AH1943)),2)="SL",UPPER(TRIM(Sync!$AH1943)),""))</f>
        <v/>
      </c>
      <c r="G1943">
        <f>IF($F1943="","",IF(Sync!$AE1943="","",IF(ISNUMBER(Sync!$AE1943),IF(AND(Sync!$AE1943&gt;=10000101,Sync!$AE1943&lt;=99991231),INT(Sync!$AE1943/10000),""),IFERROR(VALUE(TRIM(LEFT(Sync!$AE1943,FIND("/",Sync!$AE1943)-1))),""))))</f>
        <v/>
      </c>
      <c r="H1943">
        <f>IF(OR($F1943="",$G1943=""),"",IF(ISNUMBER(Sync!$AE1943),INT(MOD(Sync!$AE1943,10000)/100),IFERROR(VALUE(TRIM(LEFT(MID(Sync!$AE1943,FIND("/",Sync!$AE1943)+1,20),FIND("/",MID(Sync!$AE1943,FIND("/",Sync!$AE1943)+1,20))-1))),"")))</f>
        <v/>
      </c>
      <c r="I1943">
        <f>IF(OR($F1943="",$G1943=""),"",IF(ISNUMBER(Sync!$AE1943),MOD(Sync!$AE1943,100),IFERROR(VALUE(TRIM(MID(MID(Sync!$AE1943,FIND("/",Sync!$AE1943)+1,20),FIND("/",MID(Sync!$AE1943,FIND("/",Sync!$AE1943)+1,20))+1,20))),"")))</f>
        <v/>
      </c>
      <c r="J1943">
        <f>IF($F1943="","",IF(OR($G1943="",$H1943="",$I1943="",$G1943&lt;1300,$G1943&gt;1500,$H1943&lt;1,$H1943&gt;12,$I1943&lt;1,$I1943&gt;31),"نامعتبر",RIGHT("0000"&amp;$G1943,4)&amp;"/"&amp;RIGHT("00"&amp;$H1943,2)&amp;"/"&amp;RIGHT("00"&amp;$I1943,2)))</f>
        <v/>
      </c>
      <c r="K1943">
        <f>IF(OR($F1943="",$J1943="",$J1943="نامعتبر"),"",LEFT($J1943,4)&amp;MID($J1943,6,2)&amp;RIGHT($J1943,2)&amp;$N1943&amp;"|"&amp;"2"&amp;RIGHT("00000"&amp;1938,5))</f>
        <v/>
      </c>
      <c r="L1943">
        <f>IF($K1943="","",COUNTIFS(LdgSellerA,$F1943,LdgKeyA,"&lt;"&amp;$K1943)+COUNTIFS(LdgSellerB,$F1943,LdgKeyB,"&lt;"&amp;$K1943)+1)</f>
        <v/>
      </c>
      <c r="M1943">
        <f>IF($L1943="","",$F1943&amp;"|"&amp;RIGHT("000000"&amp;$L1943,6))</f>
        <v/>
      </c>
      <c r="N1943">
        <f>IF($F1943="","",IF(Sync!$AF1943="","0000",IF(AND(ISNUMBER(Sync!$AF1943),Sync!$AF1943&gt;=0,Sync!$AF1943&lt;1),RIGHT("00"&amp;HOUR(Sync!$AF1943),2)&amp;RIGHT("00"&amp;MINUTE(Sync!$AF1943),2),IFERROR(RIGHT("00"&amp;VALUE(LEFT(Sync!$AF1943,FIND(":",Sync!$AF1943)-1)),2)&amp;RIGHT("00"&amp;VALUE(MID(Sync!$AF1943,FIND(":",Sync!$AF1943)+1,2)),2),"0000"))))</f>
        <v/>
      </c>
    </row>
    <row r="1944">
      <c r="A1944">
        <f>IF(OR(Calc!$E1948="",Calc!$E1948="نامعتبر",Calc!$G1948=""),"",Calc!$G1948)</f>
        <v/>
      </c>
      <c r="B1944">
        <f>IF($A1944="","",LEFT(Calc!$E1948,4)&amp;MID(Calc!$E1948,6,2)&amp;RIGHT(Calc!$E1948,2)&amp;Calc!$Q1948&amp;"|"&amp;"1"&amp;RIGHT("00000"&amp;1939,5))</f>
        <v/>
      </c>
      <c r="C1944">
        <f>IF($B1944="","",COUNTIFS(LdgSellerA,$A1944,LdgKeyA,"&lt;"&amp;$B1944)+COUNTIFS(LdgSellerB,$A1944,LdgKeyB,"&lt;"&amp;$B1944)+1)</f>
        <v/>
      </c>
      <c r="D1944">
        <f>IF($C1944="","",$A1944&amp;"|"&amp;RIGHT("000000"&amp;$C1944,6))</f>
        <v/>
      </c>
      <c r="F1944">
        <f>IF(Sync!$AH1944="","",IF(LEFT(UPPER(TRIM(Sync!$AH1944)),2)="SL",UPPER(TRIM(Sync!$AH1944)),""))</f>
        <v/>
      </c>
      <c r="G1944">
        <f>IF($F1944="","",IF(Sync!$AE1944="","",IF(ISNUMBER(Sync!$AE1944),IF(AND(Sync!$AE1944&gt;=10000101,Sync!$AE1944&lt;=99991231),INT(Sync!$AE1944/10000),""),IFERROR(VALUE(TRIM(LEFT(Sync!$AE1944,FIND("/",Sync!$AE1944)-1))),""))))</f>
        <v/>
      </c>
      <c r="H1944">
        <f>IF(OR($F1944="",$G1944=""),"",IF(ISNUMBER(Sync!$AE1944),INT(MOD(Sync!$AE1944,10000)/100),IFERROR(VALUE(TRIM(LEFT(MID(Sync!$AE1944,FIND("/",Sync!$AE1944)+1,20),FIND("/",MID(Sync!$AE1944,FIND("/",Sync!$AE1944)+1,20))-1))),"")))</f>
        <v/>
      </c>
      <c r="I1944">
        <f>IF(OR($F1944="",$G1944=""),"",IF(ISNUMBER(Sync!$AE1944),MOD(Sync!$AE1944,100),IFERROR(VALUE(TRIM(MID(MID(Sync!$AE1944,FIND("/",Sync!$AE1944)+1,20),FIND("/",MID(Sync!$AE1944,FIND("/",Sync!$AE1944)+1,20))+1,20))),"")))</f>
        <v/>
      </c>
      <c r="J1944">
        <f>IF($F1944="","",IF(OR($G1944="",$H1944="",$I1944="",$G1944&lt;1300,$G1944&gt;1500,$H1944&lt;1,$H1944&gt;12,$I1944&lt;1,$I1944&gt;31),"نامعتبر",RIGHT("0000"&amp;$G1944,4)&amp;"/"&amp;RIGHT("00"&amp;$H1944,2)&amp;"/"&amp;RIGHT("00"&amp;$I1944,2)))</f>
        <v/>
      </c>
      <c r="K1944">
        <f>IF(OR($F1944="",$J1944="",$J1944="نامعتبر"),"",LEFT($J1944,4)&amp;MID($J1944,6,2)&amp;RIGHT($J1944,2)&amp;$N1944&amp;"|"&amp;"2"&amp;RIGHT("00000"&amp;1939,5))</f>
        <v/>
      </c>
      <c r="L1944">
        <f>IF($K1944="","",COUNTIFS(LdgSellerA,$F1944,LdgKeyA,"&lt;"&amp;$K1944)+COUNTIFS(LdgSellerB,$F1944,LdgKeyB,"&lt;"&amp;$K1944)+1)</f>
        <v/>
      </c>
      <c r="M1944">
        <f>IF($L1944="","",$F1944&amp;"|"&amp;RIGHT("000000"&amp;$L1944,6))</f>
        <v/>
      </c>
      <c r="N1944">
        <f>IF($F1944="","",IF(Sync!$AF1944="","0000",IF(AND(ISNUMBER(Sync!$AF1944),Sync!$AF1944&gt;=0,Sync!$AF1944&lt;1),RIGHT("00"&amp;HOUR(Sync!$AF1944),2)&amp;RIGHT("00"&amp;MINUTE(Sync!$AF1944),2),IFERROR(RIGHT("00"&amp;VALUE(LEFT(Sync!$AF1944,FIND(":",Sync!$AF1944)-1)),2)&amp;RIGHT("00"&amp;VALUE(MID(Sync!$AF1944,FIND(":",Sync!$AF1944)+1,2)),2),"0000"))))</f>
        <v/>
      </c>
    </row>
    <row r="1945">
      <c r="A1945">
        <f>IF(OR(Calc!$E1949="",Calc!$E1949="نامعتبر",Calc!$G1949=""),"",Calc!$G1949)</f>
        <v/>
      </c>
      <c r="B1945">
        <f>IF($A1945="","",LEFT(Calc!$E1949,4)&amp;MID(Calc!$E1949,6,2)&amp;RIGHT(Calc!$E1949,2)&amp;Calc!$Q1949&amp;"|"&amp;"1"&amp;RIGHT("00000"&amp;1940,5))</f>
        <v/>
      </c>
      <c r="C1945">
        <f>IF($B1945="","",COUNTIFS(LdgSellerA,$A1945,LdgKeyA,"&lt;"&amp;$B1945)+COUNTIFS(LdgSellerB,$A1945,LdgKeyB,"&lt;"&amp;$B1945)+1)</f>
        <v/>
      </c>
      <c r="D1945">
        <f>IF($C1945="","",$A1945&amp;"|"&amp;RIGHT("000000"&amp;$C1945,6))</f>
        <v/>
      </c>
      <c r="F1945">
        <f>IF(Sync!$AH1945="","",IF(LEFT(UPPER(TRIM(Sync!$AH1945)),2)="SL",UPPER(TRIM(Sync!$AH1945)),""))</f>
        <v/>
      </c>
      <c r="G1945">
        <f>IF($F1945="","",IF(Sync!$AE1945="","",IF(ISNUMBER(Sync!$AE1945),IF(AND(Sync!$AE1945&gt;=10000101,Sync!$AE1945&lt;=99991231),INT(Sync!$AE1945/10000),""),IFERROR(VALUE(TRIM(LEFT(Sync!$AE1945,FIND("/",Sync!$AE1945)-1))),""))))</f>
        <v/>
      </c>
      <c r="H1945">
        <f>IF(OR($F1945="",$G1945=""),"",IF(ISNUMBER(Sync!$AE1945),INT(MOD(Sync!$AE1945,10000)/100),IFERROR(VALUE(TRIM(LEFT(MID(Sync!$AE1945,FIND("/",Sync!$AE1945)+1,20),FIND("/",MID(Sync!$AE1945,FIND("/",Sync!$AE1945)+1,20))-1))),"")))</f>
        <v/>
      </c>
      <c r="I1945">
        <f>IF(OR($F1945="",$G1945=""),"",IF(ISNUMBER(Sync!$AE1945),MOD(Sync!$AE1945,100),IFERROR(VALUE(TRIM(MID(MID(Sync!$AE1945,FIND("/",Sync!$AE1945)+1,20),FIND("/",MID(Sync!$AE1945,FIND("/",Sync!$AE1945)+1,20))+1,20))),"")))</f>
        <v/>
      </c>
      <c r="J1945">
        <f>IF($F1945="","",IF(OR($G1945="",$H1945="",$I1945="",$G1945&lt;1300,$G1945&gt;1500,$H1945&lt;1,$H1945&gt;12,$I1945&lt;1,$I1945&gt;31),"نامعتبر",RIGHT("0000"&amp;$G1945,4)&amp;"/"&amp;RIGHT("00"&amp;$H1945,2)&amp;"/"&amp;RIGHT("00"&amp;$I1945,2)))</f>
        <v/>
      </c>
      <c r="K1945">
        <f>IF(OR($F1945="",$J1945="",$J1945="نامعتبر"),"",LEFT($J1945,4)&amp;MID($J1945,6,2)&amp;RIGHT($J1945,2)&amp;$N1945&amp;"|"&amp;"2"&amp;RIGHT("00000"&amp;1940,5))</f>
        <v/>
      </c>
      <c r="L1945">
        <f>IF($K1945="","",COUNTIFS(LdgSellerA,$F1945,LdgKeyA,"&lt;"&amp;$K1945)+COUNTIFS(LdgSellerB,$F1945,LdgKeyB,"&lt;"&amp;$K1945)+1)</f>
        <v/>
      </c>
      <c r="M1945">
        <f>IF($L1945="","",$F1945&amp;"|"&amp;RIGHT("000000"&amp;$L1945,6))</f>
        <v/>
      </c>
      <c r="N1945">
        <f>IF($F1945="","",IF(Sync!$AF1945="","0000",IF(AND(ISNUMBER(Sync!$AF1945),Sync!$AF1945&gt;=0,Sync!$AF1945&lt;1),RIGHT("00"&amp;HOUR(Sync!$AF1945),2)&amp;RIGHT("00"&amp;MINUTE(Sync!$AF1945),2),IFERROR(RIGHT("00"&amp;VALUE(LEFT(Sync!$AF1945,FIND(":",Sync!$AF1945)-1)),2)&amp;RIGHT("00"&amp;VALUE(MID(Sync!$AF1945,FIND(":",Sync!$AF1945)+1,2)),2),"0000"))))</f>
        <v/>
      </c>
    </row>
    <row r="1946">
      <c r="A1946">
        <f>IF(OR(Calc!$E1950="",Calc!$E1950="نامعتبر",Calc!$G1950=""),"",Calc!$G1950)</f>
        <v/>
      </c>
      <c r="B1946">
        <f>IF($A1946="","",LEFT(Calc!$E1950,4)&amp;MID(Calc!$E1950,6,2)&amp;RIGHT(Calc!$E1950,2)&amp;Calc!$Q1950&amp;"|"&amp;"1"&amp;RIGHT("00000"&amp;1941,5))</f>
        <v/>
      </c>
      <c r="C1946">
        <f>IF($B1946="","",COUNTIFS(LdgSellerA,$A1946,LdgKeyA,"&lt;"&amp;$B1946)+COUNTIFS(LdgSellerB,$A1946,LdgKeyB,"&lt;"&amp;$B1946)+1)</f>
        <v/>
      </c>
      <c r="D1946">
        <f>IF($C1946="","",$A1946&amp;"|"&amp;RIGHT("000000"&amp;$C1946,6))</f>
        <v/>
      </c>
      <c r="F1946">
        <f>IF(Sync!$AH1946="","",IF(LEFT(UPPER(TRIM(Sync!$AH1946)),2)="SL",UPPER(TRIM(Sync!$AH1946)),""))</f>
        <v/>
      </c>
      <c r="G1946">
        <f>IF($F1946="","",IF(Sync!$AE1946="","",IF(ISNUMBER(Sync!$AE1946),IF(AND(Sync!$AE1946&gt;=10000101,Sync!$AE1946&lt;=99991231),INT(Sync!$AE1946/10000),""),IFERROR(VALUE(TRIM(LEFT(Sync!$AE1946,FIND("/",Sync!$AE1946)-1))),""))))</f>
        <v/>
      </c>
      <c r="H1946">
        <f>IF(OR($F1946="",$G1946=""),"",IF(ISNUMBER(Sync!$AE1946),INT(MOD(Sync!$AE1946,10000)/100),IFERROR(VALUE(TRIM(LEFT(MID(Sync!$AE1946,FIND("/",Sync!$AE1946)+1,20),FIND("/",MID(Sync!$AE1946,FIND("/",Sync!$AE1946)+1,20))-1))),"")))</f>
        <v/>
      </c>
      <c r="I1946">
        <f>IF(OR($F1946="",$G1946=""),"",IF(ISNUMBER(Sync!$AE1946),MOD(Sync!$AE1946,100),IFERROR(VALUE(TRIM(MID(MID(Sync!$AE1946,FIND("/",Sync!$AE1946)+1,20),FIND("/",MID(Sync!$AE1946,FIND("/",Sync!$AE1946)+1,20))+1,20))),"")))</f>
        <v/>
      </c>
      <c r="J1946">
        <f>IF($F1946="","",IF(OR($G1946="",$H1946="",$I1946="",$G1946&lt;1300,$G1946&gt;1500,$H1946&lt;1,$H1946&gt;12,$I1946&lt;1,$I1946&gt;31),"نامعتبر",RIGHT("0000"&amp;$G1946,4)&amp;"/"&amp;RIGHT("00"&amp;$H1946,2)&amp;"/"&amp;RIGHT("00"&amp;$I1946,2)))</f>
        <v/>
      </c>
      <c r="K1946">
        <f>IF(OR($F1946="",$J1946="",$J1946="نامعتبر"),"",LEFT($J1946,4)&amp;MID($J1946,6,2)&amp;RIGHT($J1946,2)&amp;$N1946&amp;"|"&amp;"2"&amp;RIGHT("00000"&amp;1941,5))</f>
        <v/>
      </c>
      <c r="L1946">
        <f>IF($K1946="","",COUNTIFS(LdgSellerA,$F1946,LdgKeyA,"&lt;"&amp;$K1946)+COUNTIFS(LdgSellerB,$F1946,LdgKeyB,"&lt;"&amp;$K1946)+1)</f>
        <v/>
      </c>
      <c r="M1946">
        <f>IF($L1946="","",$F1946&amp;"|"&amp;RIGHT("000000"&amp;$L1946,6))</f>
        <v/>
      </c>
      <c r="N1946">
        <f>IF($F1946="","",IF(Sync!$AF1946="","0000",IF(AND(ISNUMBER(Sync!$AF1946),Sync!$AF1946&gt;=0,Sync!$AF1946&lt;1),RIGHT("00"&amp;HOUR(Sync!$AF1946),2)&amp;RIGHT("00"&amp;MINUTE(Sync!$AF1946),2),IFERROR(RIGHT("00"&amp;VALUE(LEFT(Sync!$AF1946,FIND(":",Sync!$AF1946)-1)),2)&amp;RIGHT("00"&amp;VALUE(MID(Sync!$AF1946,FIND(":",Sync!$AF1946)+1,2)),2),"0000"))))</f>
        <v/>
      </c>
    </row>
    <row r="1947">
      <c r="A1947">
        <f>IF(OR(Calc!$E1951="",Calc!$E1951="نامعتبر",Calc!$G1951=""),"",Calc!$G1951)</f>
        <v/>
      </c>
      <c r="B1947">
        <f>IF($A1947="","",LEFT(Calc!$E1951,4)&amp;MID(Calc!$E1951,6,2)&amp;RIGHT(Calc!$E1951,2)&amp;Calc!$Q1951&amp;"|"&amp;"1"&amp;RIGHT("00000"&amp;1942,5))</f>
        <v/>
      </c>
      <c r="C1947">
        <f>IF($B1947="","",COUNTIFS(LdgSellerA,$A1947,LdgKeyA,"&lt;"&amp;$B1947)+COUNTIFS(LdgSellerB,$A1947,LdgKeyB,"&lt;"&amp;$B1947)+1)</f>
        <v/>
      </c>
      <c r="D1947">
        <f>IF($C1947="","",$A1947&amp;"|"&amp;RIGHT("000000"&amp;$C1947,6))</f>
        <v/>
      </c>
      <c r="F1947">
        <f>IF(Sync!$AH1947="","",IF(LEFT(UPPER(TRIM(Sync!$AH1947)),2)="SL",UPPER(TRIM(Sync!$AH1947)),""))</f>
        <v/>
      </c>
      <c r="G1947">
        <f>IF($F1947="","",IF(Sync!$AE1947="","",IF(ISNUMBER(Sync!$AE1947),IF(AND(Sync!$AE1947&gt;=10000101,Sync!$AE1947&lt;=99991231),INT(Sync!$AE1947/10000),""),IFERROR(VALUE(TRIM(LEFT(Sync!$AE1947,FIND("/",Sync!$AE1947)-1))),""))))</f>
        <v/>
      </c>
      <c r="H1947">
        <f>IF(OR($F1947="",$G1947=""),"",IF(ISNUMBER(Sync!$AE1947),INT(MOD(Sync!$AE1947,10000)/100),IFERROR(VALUE(TRIM(LEFT(MID(Sync!$AE1947,FIND("/",Sync!$AE1947)+1,20),FIND("/",MID(Sync!$AE1947,FIND("/",Sync!$AE1947)+1,20))-1))),"")))</f>
        <v/>
      </c>
      <c r="I1947">
        <f>IF(OR($F1947="",$G1947=""),"",IF(ISNUMBER(Sync!$AE1947),MOD(Sync!$AE1947,100),IFERROR(VALUE(TRIM(MID(MID(Sync!$AE1947,FIND("/",Sync!$AE1947)+1,20),FIND("/",MID(Sync!$AE1947,FIND("/",Sync!$AE1947)+1,20))+1,20))),"")))</f>
        <v/>
      </c>
      <c r="J1947">
        <f>IF($F1947="","",IF(OR($G1947="",$H1947="",$I1947="",$G1947&lt;1300,$G1947&gt;1500,$H1947&lt;1,$H1947&gt;12,$I1947&lt;1,$I1947&gt;31),"نامعتبر",RIGHT("0000"&amp;$G1947,4)&amp;"/"&amp;RIGHT("00"&amp;$H1947,2)&amp;"/"&amp;RIGHT("00"&amp;$I1947,2)))</f>
        <v/>
      </c>
      <c r="K1947">
        <f>IF(OR($F1947="",$J1947="",$J1947="نامعتبر"),"",LEFT($J1947,4)&amp;MID($J1947,6,2)&amp;RIGHT($J1947,2)&amp;$N1947&amp;"|"&amp;"2"&amp;RIGHT("00000"&amp;1942,5))</f>
        <v/>
      </c>
      <c r="L1947">
        <f>IF($K1947="","",COUNTIFS(LdgSellerA,$F1947,LdgKeyA,"&lt;"&amp;$K1947)+COUNTIFS(LdgSellerB,$F1947,LdgKeyB,"&lt;"&amp;$K1947)+1)</f>
        <v/>
      </c>
      <c r="M1947">
        <f>IF($L1947="","",$F1947&amp;"|"&amp;RIGHT("000000"&amp;$L1947,6))</f>
        <v/>
      </c>
      <c r="N1947">
        <f>IF($F1947="","",IF(Sync!$AF1947="","0000",IF(AND(ISNUMBER(Sync!$AF1947),Sync!$AF1947&gt;=0,Sync!$AF1947&lt;1),RIGHT("00"&amp;HOUR(Sync!$AF1947),2)&amp;RIGHT("00"&amp;MINUTE(Sync!$AF1947),2),IFERROR(RIGHT("00"&amp;VALUE(LEFT(Sync!$AF1947,FIND(":",Sync!$AF1947)-1)),2)&amp;RIGHT("00"&amp;VALUE(MID(Sync!$AF1947,FIND(":",Sync!$AF1947)+1,2)),2),"0000"))))</f>
        <v/>
      </c>
    </row>
    <row r="1948">
      <c r="A1948">
        <f>IF(OR(Calc!$E1952="",Calc!$E1952="نامعتبر",Calc!$G1952=""),"",Calc!$G1952)</f>
        <v/>
      </c>
      <c r="B1948">
        <f>IF($A1948="","",LEFT(Calc!$E1952,4)&amp;MID(Calc!$E1952,6,2)&amp;RIGHT(Calc!$E1952,2)&amp;Calc!$Q1952&amp;"|"&amp;"1"&amp;RIGHT("00000"&amp;1943,5))</f>
        <v/>
      </c>
      <c r="C1948">
        <f>IF($B1948="","",COUNTIFS(LdgSellerA,$A1948,LdgKeyA,"&lt;"&amp;$B1948)+COUNTIFS(LdgSellerB,$A1948,LdgKeyB,"&lt;"&amp;$B1948)+1)</f>
        <v/>
      </c>
      <c r="D1948">
        <f>IF($C1948="","",$A1948&amp;"|"&amp;RIGHT("000000"&amp;$C1948,6))</f>
        <v/>
      </c>
      <c r="F1948">
        <f>IF(Sync!$AH1948="","",IF(LEFT(UPPER(TRIM(Sync!$AH1948)),2)="SL",UPPER(TRIM(Sync!$AH1948)),""))</f>
        <v/>
      </c>
      <c r="G1948">
        <f>IF($F1948="","",IF(Sync!$AE1948="","",IF(ISNUMBER(Sync!$AE1948),IF(AND(Sync!$AE1948&gt;=10000101,Sync!$AE1948&lt;=99991231),INT(Sync!$AE1948/10000),""),IFERROR(VALUE(TRIM(LEFT(Sync!$AE1948,FIND("/",Sync!$AE1948)-1))),""))))</f>
        <v/>
      </c>
      <c r="H1948">
        <f>IF(OR($F1948="",$G1948=""),"",IF(ISNUMBER(Sync!$AE1948),INT(MOD(Sync!$AE1948,10000)/100),IFERROR(VALUE(TRIM(LEFT(MID(Sync!$AE1948,FIND("/",Sync!$AE1948)+1,20),FIND("/",MID(Sync!$AE1948,FIND("/",Sync!$AE1948)+1,20))-1))),"")))</f>
        <v/>
      </c>
      <c r="I1948">
        <f>IF(OR($F1948="",$G1948=""),"",IF(ISNUMBER(Sync!$AE1948),MOD(Sync!$AE1948,100),IFERROR(VALUE(TRIM(MID(MID(Sync!$AE1948,FIND("/",Sync!$AE1948)+1,20),FIND("/",MID(Sync!$AE1948,FIND("/",Sync!$AE1948)+1,20))+1,20))),"")))</f>
        <v/>
      </c>
      <c r="J1948">
        <f>IF($F1948="","",IF(OR($G1948="",$H1948="",$I1948="",$G1948&lt;1300,$G1948&gt;1500,$H1948&lt;1,$H1948&gt;12,$I1948&lt;1,$I1948&gt;31),"نامعتبر",RIGHT("0000"&amp;$G1948,4)&amp;"/"&amp;RIGHT("00"&amp;$H1948,2)&amp;"/"&amp;RIGHT("00"&amp;$I1948,2)))</f>
        <v/>
      </c>
      <c r="K1948">
        <f>IF(OR($F1948="",$J1948="",$J1948="نامعتبر"),"",LEFT($J1948,4)&amp;MID($J1948,6,2)&amp;RIGHT($J1948,2)&amp;$N1948&amp;"|"&amp;"2"&amp;RIGHT("00000"&amp;1943,5))</f>
        <v/>
      </c>
      <c r="L1948">
        <f>IF($K1948="","",COUNTIFS(LdgSellerA,$F1948,LdgKeyA,"&lt;"&amp;$K1948)+COUNTIFS(LdgSellerB,$F1948,LdgKeyB,"&lt;"&amp;$K1948)+1)</f>
        <v/>
      </c>
      <c r="M1948">
        <f>IF($L1948="","",$F1948&amp;"|"&amp;RIGHT("000000"&amp;$L1948,6))</f>
        <v/>
      </c>
      <c r="N1948">
        <f>IF($F1948="","",IF(Sync!$AF1948="","0000",IF(AND(ISNUMBER(Sync!$AF1948),Sync!$AF1948&gt;=0,Sync!$AF1948&lt;1),RIGHT("00"&amp;HOUR(Sync!$AF1948),2)&amp;RIGHT("00"&amp;MINUTE(Sync!$AF1948),2),IFERROR(RIGHT("00"&amp;VALUE(LEFT(Sync!$AF1948,FIND(":",Sync!$AF1948)-1)),2)&amp;RIGHT("00"&amp;VALUE(MID(Sync!$AF1948,FIND(":",Sync!$AF1948)+1,2)),2),"0000"))))</f>
        <v/>
      </c>
    </row>
    <row r="1949">
      <c r="A1949">
        <f>IF(OR(Calc!$E1953="",Calc!$E1953="نامعتبر",Calc!$G1953=""),"",Calc!$G1953)</f>
        <v/>
      </c>
      <c r="B1949">
        <f>IF($A1949="","",LEFT(Calc!$E1953,4)&amp;MID(Calc!$E1953,6,2)&amp;RIGHT(Calc!$E1953,2)&amp;Calc!$Q1953&amp;"|"&amp;"1"&amp;RIGHT("00000"&amp;1944,5))</f>
        <v/>
      </c>
      <c r="C1949">
        <f>IF($B1949="","",COUNTIFS(LdgSellerA,$A1949,LdgKeyA,"&lt;"&amp;$B1949)+COUNTIFS(LdgSellerB,$A1949,LdgKeyB,"&lt;"&amp;$B1949)+1)</f>
        <v/>
      </c>
      <c r="D1949">
        <f>IF($C1949="","",$A1949&amp;"|"&amp;RIGHT("000000"&amp;$C1949,6))</f>
        <v/>
      </c>
      <c r="F1949">
        <f>IF(Sync!$AH1949="","",IF(LEFT(UPPER(TRIM(Sync!$AH1949)),2)="SL",UPPER(TRIM(Sync!$AH1949)),""))</f>
        <v/>
      </c>
      <c r="G1949">
        <f>IF($F1949="","",IF(Sync!$AE1949="","",IF(ISNUMBER(Sync!$AE1949),IF(AND(Sync!$AE1949&gt;=10000101,Sync!$AE1949&lt;=99991231),INT(Sync!$AE1949/10000),""),IFERROR(VALUE(TRIM(LEFT(Sync!$AE1949,FIND("/",Sync!$AE1949)-1))),""))))</f>
        <v/>
      </c>
      <c r="H1949">
        <f>IF(OR($F1949="",$G1949=""),"",IF(ISNUMBER(Sync!$AE1949),INT(MOD(Sync!$AE1949,10000)/100),IFERROR(VALUE(TRIM(LEFT(MID(Sync!$AE1949,FIND("/",Sync!$AE1949)+1,20),FIND("/",MID(Sync!$AE1949,FIND("/",Sync!$AE1949)+1,20))-1))),"")))</f>
        <v/>
      </c>
      <c r="I1949">
        <f>IF(OR($F1949="",$G1949=""),"",IF(ISNUMBER(Sync!$AE1949),MOD(Sync!$AE1949,100),IFERROR(VALUE(TRIM(MID(MID(Sync!$AE1949,FIND("/",Sync!$AE1949)+1,20),FIND("/",MID(Sync!$AE1949,FIND("/",Sync!$AE1949)+1,20))+1,20))),"")))</f>
        <v/>
      </c>
      <c r="J1949">
        <f>IF($F1949="","",IF(OR($G1949="",$H1949="",$I1949="",$G1949&lt;1300,$G1949&gt;1500,$H1949&lt;1,$H1949&gt;12,$I1949&lt;1,$I1949&gt;31),"نامعتبر",RIGHT("0000"&amp;$G1949,4)&amp;"/"&amp;RIGHT("00"&amp;$H1949,2)&amp;"/"&amp;RIGHT("00"&amp;$I1949,2)))</f>
        <v/>
      </c>
      <c r="K1949">
        <f>IF(OR($F1949="",$J1949="",$J1949="نامعتبر"),"",LEFT($J1949,4)&amp;MID($J1949,6,2)&amp;RIGHT($J1949,2)&amp;$N1949&amp;"|"&amp;"2"&amp;RIGHT("00000"&amp;1944,5))</f>
        <v/>
      </c>
      <c r="L1949">
        <f>IF($K1949="","",COUNTIFS(LdgSellerA,$F1949,LdgKeyA,"&lt;"&amp;$K1949)+COUNTIFS(LdgSellerB,$F1949,LdgKeyB,"&lt;"&amp;$K1949)+1)</f>
        <v/>
      </c>
      <c r="M1949">
        <f>IF($L1949="","",$F1949&amp;"|"&amp;RIGHT("000000"&amp;$L1949,6))</f>
        <v/>
      </c>
      <c r="N1949">
        <f>IF($F1949="","",IF(Sync!$AF1949="","0000",IF(AND(ISNUMBER(Sync!$AF1949),Sync!$AF1949&gt;=0,Sync!$AF1949&lt;1),RIGHT("00"&amp;HOUR(Sync!$AF1949),2)&amp;RIGHT("00"&amp;MINUTE(Sync!$AF1949),2),IFERROR(RIGHT("00"&amp;VALUE(LEFT(Sync!$AF1949,FIND(":",Sync!$AF1949)-1)),2)&amp;RIGHT("00"&amp;VALUE(MID(Sync!$AF1949,FIND(":",Sync!$AF1949)+1,2)),2),"0000"))))</f>
        <v/>
      </c>
    </row>
    <row r="1950">
      <c r="A1950">
        <f>IF(OR(Calc!$E1954="",Calc!$E1954="نامعتبر",Calc!$G1954=""),"",Calc!$G1954)</f>
        <v/>
      </c>
      <c r="B1950">
        <f>IF($A1950="","",LEFT(Calc!$E1954,4)&amp;MID(Calc!$E1954,6,2)&amp;RIGHT(Calc!$E1954,2)&amp;Calc!$Q1954&amp;"|"&amp;"1"&amp;RIGHT("00000"&amp;1945,5))</f>
        <v/>
      </c>
      <c r="C1950">
        <f>IF($B1950="","",COUNTIFS(LdgSellerA,$A1950,LdgKeyA,"&lt;"&amp;$B1950)+COUNTIFS(LdgSellerB,$A1950,LdgKeyB,"&lt;"&amp;$B1950)+1)</f>
        <v/>
      </c>
      <c r="D1950">
        <f>IF($C1950="","",$A1950&amp;"|"&amp;RIGHT("000000"&amp;$C1950,6))</f>
        <v/>
      </c>
      <c r="F1950">
        <f>IF(Sync!$AH1950="","",IF(LEFT(UPPER(TRIM(Sync!$AH1950)),2)="SL",UPPER(TRIM(Sync!$AH1950)),""))</f>
        <v/>
      </c>
      <c r="G1950">
        <f>IF($F1950="","",IF(Sync!$AE1950="","",IF(ISNUMBER(Sync!$AE1950),IF(AND(Sync!$AE1950&gt;=10000101,Sync!$AE1950&lt;=99991231),INT(Sync!$AE1950/10000),""),IFERROR(VALUE(TRIM(LEFT(Sync!$AE1950,FIND("/",Sync!$AE1950)-1))),""))))</f>
        <v/>
      </c>
      <c r="H1950">
        <f>IF(OR($F1950="",$G1950=""),"",IF(ISNUMBER(Sync!$AE1950),INT(MOD(Sync!$AE1950,10000)/100),IFERROR(VALUE(TRIM(LEFT(MID(Sync!$AE1950,FIND("/",Sync!$AE1950)+1,20),FIND("/",MID(Sync!$AE1950,FIND("/",Sync!$AE1950)+1,20))-1))),"")))</f>
        <v/>
      </c>
      <c r="I1950">
        <f>IF(OR($F1950="",$G1950=""),"",IF(ISNUMBER(Sync!$AE1950),MOD(Sync!$AE1950,100),IFERROR(VALUE(TRIM(MID(MID(Sync!$AE1950,FIND("/",Sync!$AE1950)+1,20),FIND("/",MID(Sync!$AE1950,FIND("/",Sync!$AE1950)+1,20))+1,20))),"")))</f>
        <v/>
      </c>
      <c r="J1950">
        <f>IF($F1950="","",IF(OR($G1950="",$H1950="",$I1950="",$G1950&lt;1300,$G1950&gt;1500,$H1950&lt;1,$H1950&gt;12,$I1950&lt;1,$I1950&gt;31),"نامعتبر",RIGHT("0000"&amp;$G1950,4)&amp;"/"&amp;RIGHT("00"&amp;$H1950,2)&amp;"/"&amp;RIGHT("00"&amp;$I1950,2)))</f>
        <v/>
      </c>
      <c r="K1950">
        <f>IF(OR($F1950="",$J1950="",$J1950="نامعتبر"),"",LEFT($J1950,4)&amp;MID($J1950,6,2)&amp;RIGHT($J1950,2)&amp;$N1950&amp;"|"&amp;"2"&amp;RIGHT("00000"&amp;1945,5))</f>
        <v/>
      </c>
      <c r="L1950">
        <f>IF($K1950="","",COUNTIFS(LdgSellerA,$F1950,LdgKeyA,"&lt;"&amp;$K1950)+COUNTIFS(LdgSellerB,$F1950,LdgKeyB,"&lt;"&amp;$K1950)+1)</f>
        <v/>
      </c>
      <c r="M1950">
        <f>IF($L1950="","",$F1950&amp;"|"&amp;RIGHT("000000"&amp;$L1950,6))</f>
        <v/>
      </c>
      <c r="N1950">
        <f>IF($F1950="","",IF(Sync!$AF1950="","0000",IF(AND(ISNUMBER(Sync!$AF1950),Sync!$AF1950&gt;=0,Sync!$AF1950&lt;1),RIGHT("00"&amp;HOUR(Sync!$AF1950),2)&amp;RIGHT("00"&amp;MINUTE(Sync!$AF1950),2),IFERROR(RIGHT("00"&amp;VALUE(LEFT(Sync!$AF1950,FIND(":",Sync!$AF1950)-1)),2)&amp;RIGHT("00"&amp;VALUE(MID(Sync!$AF1950,FIND(":",Sync!$AF1950)+1,2)),2),"0000"))))</f>
        <v/>
      </c>
    </row>
    <row r="1951">
      <c r="A1951">
        <f>IF(OR(Calc!$E1955="",Calc!$E1955="نامعتبر",Calc!$G1955=""),"",Calc!$G1955)</f>
        <v/>
      </c>
      <c r="B1951">
        <f>IF($A1951="","",LEFT(Calc!$E1955,4)&amp;MID(Calc!$E1955,6,2)&amp;RIGHT(Calc!$E1955,2)&amp;Calc!$Q1955&amp;"|"&amp;"1"&amp;RIGHT("00000"&amp;1946,5))</f>
        <v/>
      </c>
      <c r="C1951">
        <f>IF($B1951="","",COUNTIFS(LdgSellerA,$A1951,LdgKeyA,"&lt;"&amp;$B1951)+COUNTIFS(LdgSellerB,$A1951,LdgKeyB,"&lt;"&amp;$B1951)+1)</f>
        <v/>
      </c>
      <c r="D1951">
        <f>IF($C1951="","",$A1951&amp;"|"&amp;RIGHT("000000"&amp;$C1951,6))</f>
        <v/>
      </c>
      <c r="F1951">
        <f>IF(Sync!$AH1951="","",IF(LEFT(UPPER(TRIM(Sync!$AH1951)),2)="SL",UPPER(TRIM(Sync!$AH1951)),""))</f>
        <v/>
      </c>
      <c r="G1951">
        <f>IF($F1951="","",IF(Sync!$AE1951="","",IF(ISNUMBER(Sync!$AE1951),IF(AND(Sync!$AE1951&gt;=10000101,Sync!$AE1951&lt;=99991231),INT(Sync!$AE1951/10000),""),IFERROR(VALUE(TRIM(LEFT(Sync!$AE1951,FIND("/",Sync!$AE1951)-1))),""))))</f>
        <v/>
      </c>
      <c r="H1951">
        <f>IF(OR($F1951="",$G1951=""),"",IF(ISNUMBER(Sync!$AE1951),INT(MOD(Sync!$AE1951,10000)/100),IFERROR(VALUE(TRIM(LEFT(MID(Sync!$AE1951,FIND("/",Sync!$AE1951)+1,20),FIND("/",MID(Sync!$AE1951,FIND("/",Sync!$AE1951)+1,20))-1))),"")))</f>
        <v/>
      </c>
      <c r="I1951">
        <f>IF(OR($F1951="",$G1951=""),"",IF(ISNUMBER(Sync!$AE1951),MOD(Sync!$AE1951,100),IFERROR(VALUE(TRIM(MID(MID(Sync!$AE1951,FIND("/",Sync!$AE1951)+1,20),FIND("/",MID(Sync!$AE1951,FIND("/",Sync!$AE1951)+1,20))+1,20))),"")))</f>
        <v/>
      </c>
      <c r="J1951">
        <f>IF($F1951="","",IF(OR($G1951="",$H1951="",$I1951="",$G1951&lt;1300,$G1951&gt;1500,$H1951&lt;1,$H1951&gt;12,$I1951&lt;1,$I1951&gt;31),"نامعتبر",RIGHT("0000"&amp;$G1951,4)&amp;"/"&amp;RIGHT("00"&amp;$H1951,2)&amp;"/"&amp;RIGHT("00"&amp;$I1951,2)))</f>
        <v/>
      </c>
      <c r="K1951">
        <f>IF(OR($F1951="",$J1951="",$J1951="نامعتبر"),"",LEFT($J1951,4)&amp;MID($J1951,6,2)&amp;RIGHT($J1951,2)&amp;$N1951&amp;"|"&amp;"2"&amp;RIGHT("00000"&amp;1946,5))</f>
        <v/>
      </c>
      <c r="L1951">
        <f>IF($K1951="","",COUNTIFS(LdgSellerA,$F1951,LdgKeyA,"&lt;"&amp;$K1951)+COUNTIFS(LdgSellerB,$F1951,LdgKeyB,"&lt;"&amp;$K1951)+1)</f>
        <v/>
      </c>
      <c r="M1951">
        <f>IF($L1951="","",$F1951&amp;"|"&amp;RIGHT("000000"&amp;$L1951,6))</f>
        <v/>
      </c>
      <c r="N1951">
        <f>IF($F1951="","",IF(Sync!$AF1951="","0000",IF(AND(ISNUMBER(Sync!$AF1951),Sync!$AF1951&gt;=0,Sync!$AF1951&lt;1),RIGHT("00"&amp;HOUR(Sync!$AF1951),2)&amp;RIGHT("00"&amp;MINUTE(Sync!$AF1951),2),IFERROR(RIGHT("00"&amp;VALUE(LEFT(Sync!$AF1951,FIND(":",Sync!$AF1951)-1)),2)&amp;RIGHT("00"&amp;VALUE(MID(Sync!$AF1951,FIND(":",Sync!$AF1951)+1,2)),2),"0000"))))</f>
        <v/>
      </c>
    </row>
    <row r="1952">
      <c r="A1952">
        <f>IF(OR(Calc!$E1956="",Calc!$E1956="نامعتبر",Calc!$G1956=""),"",Calc!$G1956)</f>
        <v/>
      </c>
      <c r="B1952">
        <f>IF($A1952="","",LEFT(Calc!$E1956,4)&amp;MID(Calc!$E1956,6,2)&amp;RIGHT(Calc!$E1956,2)&amp;Calc!$Q1956&amp;"|"&amp;"1"&amp;RIGHT("00000"&amp;1947,5))</f>
        <v/>
      </c>
      <c r="C1952">
        <f>IF($B1952="","",COUNTIFS(LdgSellerA,$A1952,LdgKeyA,"&lt;"&amp;$B1952)+COUNTIFS(LdgSellerB,$A1952,LdgKeyB,"&lt;"&amp;$B1952)+1)</f>
        <v/>
      </c>
      <c r="D1952">
        <f>IF($C1952="","",$A1952&amp;"|"&amp;RIGHT("000000"&amp;$C1952,6))</f>
        <v/>
      </c>
      <c r="F1952">
        <f>IF(Sync!$AH1952="","",IF(LEFT(UPPER(TRIM(Sync!$AH1952)),2)="SL",UPPER(TRIM(Sync!$AH1952)),""))</f>
        <v/>
      </c>
      <c r="G1952">
        <f>IF($F1952="","",IF(Sync!$AE1952="","",IF(ISNUMBER(Sync!$AE1952),IF(AND(Sync!$AE1952&gt;=10000101,Sync!$AE1952&lt;=99991231),INT(Sync!$AE1952/10000),""),IFERROR(VALUE(TRIM(LEFT(Sync!$AE1952,FIND("/",Sync!$AE1952)-1))),""))))</f>
        <v/>
      </c>
      <c r="H1952">
        <f>IF(OR($F1952="",$G1952=""),"",IF(ISNUMBER(Sync!$AE1952),INT(MOD(Sync!$AE1952,10000)/100),IFERROR(VALUE(TRIM(LEFT(MID(Sync!$AE1952,FIND("/",Sync!$AE1952)+1,20),FIND("/",MID(Sync!$AE1952,FIND("/",Sync!$AE1952)+1,20))-1))),"")))</f>
        <v/>
      </c>
      <c r="I1952">
        <f>IF(OR($F1952="",$G1952=""),"",IF(ISNUMBER(Sync!$AE1952),MOD(Sync!$AE1952,100),IFERROR(VALUE(TRIM(MID(MID(Sync!$AE1952,FIND("/",Sync!$AE1952)+1,20),FIND("/",MID(Sync!$AE1952,FIND("/",Sync!$AE1952)+1,20))+1,20))),"")))</f>
        <v/>
      </c>
      <c r="J1952">
        <f>IF($F1952="","",IF(OR($G1952="",$H1952="",$I1952="",$G1952&lt;1300,$G1952&gt;1500,$H1952&lt;1,$H1952&gt;12,$I1952&lt;1,$I1952&gt;31),"نامعتبر",RIGHT("0000"&amp;$G1952,4)&amp;"/"&amp;RIGHT("00"&amp;$H1952,2)&amp;"/"&amp;RIGHT("00"&amp;$I1952,2)))</f>
        <v/>
      </c>
      <c r="K1952">
        <f>IF(OR($F1952="",$J1952="",$J1952="نامعتبر"),"",LEFT($J1952,4)&amp;MID($J1952,6,2)&amp;RIGHT($J1952,2)&amp;$N1952&amp;"|"&amp;"2"&amp;RIGHT("00000"&amp;1947,5))</f>
        <v/>
      </c>
      <c r="L1952">
        <f>IF($K1952="","",COUNTIFS(LdgSellerA,$F1952,LdgKeyA,"&lt;"&amp;$K1952)+COUNTIFS(LdgSellerB,$F1952,LdgKeyB,"&lt;"&amp;$K1952)+1)</f>
        <v/>
      </c>
      <c r="M1952">
        <f>IF($L1952="","",$F1952&amp;"|"&amp;RIGHT("000000"&amp;$L1952,6))</f>
        <v/>
      </c>
      <c r="N1952">
        <f>IF($F1952="","",IF(Sync!$AF1952="","0000",IF(AND(ISNUMBER(Sync!$AF1952),Sync!$AF1952&gt;=0,Sync!$AF1952&lt;1),RIGHT("00"&amp;HOUR(Sync!$AF1952),2)&amp;RIGHT("00"&amp;MINUTE(Sync!$AF1952),2),IFERROR(RIGHT("00"&amp;VALUE(LEFT(Sync!$AF1952,FIND(":",Sync!$AF1952)-1)),2)&amp;RIGHT("00"&amp;VALUE(MID(Sync!$AF1952,FIND(":",Sync!$AF1952)+1,2)),2),"0000"))))</f>
        <v/>
      </c>
    </row>
    <row r="1953">
      <c r="A1953">
        <f>IF(OR(Calc!$E1957="",Calc!$E1957="نامعتبر",Calc!$G1957=""),"",Calc!$G1957)</f>
        <v/>
      </c>
      <c r="B1953">
        <f>IF($A1953="","",LEFT(Calc!$E1957,4)&amp;MID(Calc!$E1957,6,2)&amp;RIGHT(Calc!$E1957,2)&amp;Calc!$Q1957&amp;"|"&amp;"1"&amp;RIGHT("00000"&amp;1948,5))</f>
        <v/>
      </c>
      <c r="C1953">
        <f>IF($B1953="","",COUNTIFS(LdgSellerA,$A1953,LdgKeyA,"&lt;"&amp;$B1953)+COUNTIFS(LdgSellerB,$A1953,LdgKeyB,"&lt;"&amp;$B1953)+1)</f>
        <v/>
      </c>
      <c r="D1953">
        <f>IF($C1953="","",$A1953&amp;"|"&amp;RIGHT("000000"&amp;$C1953,6))</f>
        <v/>
      </c>
      <c r="F1953">
        <f>IF(Sync!$AH1953="","",IF(LEFT(UPPER(TRIM(Sync!$AH1953)),2)="SL",UPPER(TRIM(Sync!$AH1953)),""))</f>
        <v/>
      </c>
      <c r="G1953">
        <f>IF($F1953="","",IF(Sync!$AE1953="","",IF(ISNUMBER(Sync!$AE1953),IF(AND(Sync!$AE1953&gt;=10000101,Sync!$AE1953&lt;=99991231),INT(Sync!$AE1953/10000),""),IFERROR(VALUE(TRIM(LEFT(Sync!$AE1953,FIND("/",Sync!$AE1953)-1))),""))))</f>
        <v/>
      </c>
      <c r="H1953">
        <f>IF(OR($F1953="",$G1953=""),"",IF(ISNUMBER(Sync!$AE1953),INT(MOD(Sync!$AE1953,10000)/100),IFERROR(VALUE(TRIM(LEFT(MID(Sync!$AE1953,FIND("/",Sync!$AE1953)+1,20),FIND("/",MID(Sync!$AE1953,FIND("/",Sync!$AE1953)+1,20))-1))),"")))</f>
        <v/>
      </c>
      <c r="I1953">
        <f>IF(OR($F1953="",$G1953=""),"",IF(ISNUMBER(Sync!$AE1953),MOD(Sync!$AE1953,100),IFERROR(VALUE(TRIM(MID(MID(Sync!$AE1953,FIND("/",Sync!$AE1953)+1,20),FIND("/",MID(Sync!$AE1953,FIND("/",Sync!$AE1953)+1,20))+1,20))),"")))</f>
        <v/>
      </c>
      <c r="J1953">
        <f>IF($F1953="","",IF(OR($G1953="",$H1953="",$I1953="",$G1953&lt;1300,$G1953&gt;1500,$H1953&lt;1,$H1953&gt;12,$I1953&lt;1,$I1953&gt;31),"نامعتبر",RIGHT("0000"&amp;$G1953,4)&amp;"/"&amp;RIGHT("00"&amp;$H1953,2)&amp;"/"&amp;RIGHT("00"&amp;$I1953,2)))</f>
        <v/>
      </c>
      <c r="K1953">
        <f>IF(OR($F1953="",$J1953="",$J1953="نامعتبر"),"",LEFT($J1953,4)&amp;MID($J1953,6,2)&amp;RIGHT($J1953,2)&amp;$N1953&amp;"|"&amp;"2"&amp;RIGHT("00000"&amp;1948,5))</f>
        <v/>
      </c>
      <c r="L1953">
        <f>IF($K1953="","",COUNTIFS(LdgSellerA,$F1953,LdgKeyA,"&lt;"&amp;$K1953)+COUNTIFS(LdgSellerB,$F1953,LdgKeyB,"&lt;"&amp;$K1953)+1)</f>
        <v/>
      </c>
      <c r="M1953">
        <f>IF($L1953="","",$F1953&amp;"|"&amp;RIGHT("000000"&amp;$L1953,6))</f>
        <v/>
      </c>
      <c r="N1953">
        <f>IF($F1953="","",IF(Sync!$AF1953="","0000",IF(AND(ISNUMBER(Sync!$AF1953),Sync!$AF1953&gt;=0,Sync!$AF1953&lt;1),RIGHT("00"&amp;HOUR(Sync!$AF1953),2)&amp;RIGHT("00"&amp;MINUTE(Sync!$AF1953),2),IFERROR(RIGHT("00"&amp;VALUE(LEFT(Sync!$AF1953,FIND(":",Sync!$AF1953)-1)),2)&amp;RIGHT("00"&amp;VALUE(MID(Sync!$AF1953,FIND(":",Sync!$AF1953)+1,2)),2),"0000"))))</f>
        <v/>
      </c>
    </row>
    <row r="1954">
      <c r="A1954">
        <f>IF(OR(Calc!$E1958="",Calc!$E1958="نامعتبر",Calc!$G1958=""),"",Calc!$G1958)</f>
        <v/>
      </c>
      <c r="B1954">
        <f>IF($A1954="","",LEFT(Calc!$E1958,4)&amp;MID(Calc!$E1958,6,2)&amp;RIGHT(Calc!$E1958,2)&amp;Calc!$Q1958&amp;"|"&amp;"1"&amp;RIGHT("00000"&amp;1949,5))</f>
        <v/>
      </c>
      <c r="C1954">
        <f>IF($B1954="","",COUNTIFS(LdgSellerA,$A1954,LdgKeyA,"&lt;"&amp;$B1954)+COUNTIFS(LdgSellerB,$A1954,LdgKeyB,"&lt;"&amp;$B1954)+1)</f>
        <v/>
      </c>
      <c r="D1954">
        <f>IF($C1954="","",$A1954&amp;"|"&amp;RIGHT("000000"&amp;$C1954,6))</f>
        <v/>
      </c>
      <c r="F1954">
        <f>IF(Sync!$AH1954="","",IF(LEFT(UPPER(TRIM(Sync!$AH1954)),2)="SL",UPPER(TRIM(Sync!$AH1954)),""))</f>
        <v/>
      </c>
      <c r="G1954">
        <f>IF($F1954="","",IF(Sync!$AE1954="","",IF(ISNUMBER(Sync!$AE1954),IF(AND(Sync!$AE1954&gt;=10000101,Sync!$AE1954&lt;=99991231),INT(Sync!$AE1954/10000),""),IFERROR(VALUE(TRIM(LEFT(Sync!$AE1954,FIND("/",Sync!$AE1954)-1))),""))))</f>
        <v/>
      </c>
      <c r="H1954">
        <f>IF(OR($F1954="",$G1954=""),"",IF(ISNUMBER(Sync!$AE1954),INT(MOD(Sync!$AE1954,10000)/100),IFERROR(VALUE(TRIM(LEFT(MID(Sync!$AE1954,FIND("/",Sync!$AE1954)+1,20),FIND("/",MID(Sync!$AE1954,FIND("/",Sync!$AE1954)+1,20))-1))),"")))</f>
        <v/>
      </c>
      <c r="I1954">
        <f>IF(OR($F1954="",$G1954=""),"",IF(ISNUMBER(Sync!$AE1954),MOD(Sync!$AE1954,100),IFERROR(VALUE(TRIM(MID(MID(Sync!$AE1954,FIND("/",Sync!$AE1954)+1,20),FIND("/",MID(Sync!$AE1954,FIND("/",Sync!$AE1954)+1,20))+1,20))),"")))</f>
        <v/>
      </c>
      <c r="J1954">
        <f>IF($F1954="","",IF(OR($G1954="",$H1954="",$I1954="",$G1954&lt;1300,$G1954&gt;1500,$H1954&lt;1,$H1954&gt;12,$I1954&lt;1,$I1954&gt;31),"نامعتبر",RIGHT("0000"&amp;$G1954,4)&amp;"/"&amp;RIGHT("00"&amp;$H1954,2)&amp;"/"&amp;RIGHT("00"&amp;$I1954,2)))</f>
        <v/>
      </c>
      <c r="K1954">
        <f>IF(OR($F1954="",$J1954="",$J1954="نامعتبر"),"",LEFT($J1954,4)&amp;MID($J1954,6,2)&amp;RIGHT($J1954,2)&amp;$N1954&amp;"|"&amp;"2"&amp;RIGHT("00000"&amp;1949,5))</f>
        <v/>
      </c>
      <c r="L1954">
        <f>IF($K1954="","",COUNTIFS(LdgSellerA,$F1954,LdgKeyA,"&lt;"&amp;$K1954)+COUNTIFS(LdgSellerB,$F1954,LdgKeyB,"&lt;"&amp;$K1954)+1)</f>
        <v/>
      </c>
      <c r="M1954">
        <f>IF($L1954="","",$F1954&amp;"|"&amp;RIGHT("000000"&amp;$L1954,6))</f>
        <v/>
      </c>
      <c r="N1954">
        <f>IF($F1954="","",IF(Sync!$AF1954="","0000",IF(AND(ISNUMBER(Sync!$AF1954),Sync!$AF1954&gt;=0,Sync!$AF1954&lt;1),RIGHT("00"&amp;HOUR(Sync!$AF1954),2)&amp;RIGHT("00"&amp;MINUTE(Sync!$AF1954),2),IFERROR(RIGHT("00"&amp;VALUE(LEFT(Sync!$AF1954,FIND(":",Sync!$AF1954)-1)),2)&amp;RIGHT("00"&amp;VALUE(MID(Sync!$AF1954,FIND(":",Sync!$AF1954)+1,2)),2),"0000"))))</f>
        <v/>
      </c>
    </row>
    <row r="1955">
      <c r="A1955">
        <f>IF(OR(Calc!$E1959="",Calc!$E1959="نامعتبر",Calc!$G1959=""),"",Calc!$G1959)</f>
        <v/>
      </c>
      <c r="B1955">
        <f>IF($A1955="","",LEFT(Calc!$E1959,4)&amp;MID(Calc!$E1959,6,2)&amp;RIGHT(Calc!$E1959,2)&amp;Calc!$Q1959&amp;"|"&amp;"1"&amp;RIGHT("00000"&amp;1950,5))</f>
        <v/>
      </c>
      <c r="C1955">
        <f>IF($B1955="","",COUNTIFS(LdgSellerA,$A1955,LdgKeyA,"&lt;"&amp;$B1955)+COUNTIFS(LdgSellerB,$A1955,LdgKeyB,"&lt;"&amp;$B1955)+1)</f>
        <v/>
      </c>
      <c r="D1955">
        <f>IF($C1955="","",$A1955&amp;"|"&amp;RIGHT("000000"&amp;$C1955,6))</f>
        <v/>
      </c>
      <c r="F1955">
        <f>IF(Sync!$AH1955="","",IF(LEFT(UPPER(TRIM(Sync!$AH1955)),2)="SL",UPPER(TRIM(Sync!$AH1955)),""))</f>
        <v/>
      </c>
      <c r="G1955">
        <f>IF($F1955="","",IF(Sync!$AE1955="","",IF(ISNUMBER(Sync!$AE1955),IF(AND(Sync!$AE1955&gt;=10000101,Sync!$AE1955&lt;=99991231),INT(Sync!$AE1955/10000),""),IFERROR(VALUE(TRIM(LEFT(Sync!$AE1955,FIND("/",Sync!$AE1955)-1))),""))))</f>
        <v/>
      </c>
      <c r="H1955">
        <f>IF(OR($F1955="",$G1955=""),"",IF(ISNUMBER(Sync!$AE1955),INT(MOD(Sync!$AE1955,10000)/100),IFERROR(VALUE(TRIM(LEFT(MID(Sync!$AE1955,FIND("/",Sync!$AE1955)+1,20),FIND("/",MID(Sync!$AE1955,FIND("/",Sync!$AE1955)+1,20))-1))),"")))</f>
        <v/>
      </c>
      <c r="I1955">
        <f>IF(OR($F1955="",$G1955=""),"",IF(ISNUMBER(Sync!$AE1955),MOD(Sync!$AE1955,100),IFERROR(VALUE(TRIM(MID(MID(Sync!$AE1955,FIND("/",Sync!$AE1955)+1,20),FIND("/",MID(Sync!$AE1955,FIND("/",Sync!$AE1955)+1,20))+1,20))),"")))</f>
        <v/>
      </c>
      <c r="J1955">
        <f>IF($F1955="","",IF(OR($G1955="",$H1955="",$I1955="",$G1955&lt;1300,$G1955&gt;1500,$H1955&lt;1,$H1955&gt;12,$I1955&lt;1,$I1955&gt;31),"نامعتبر",RIGHT("0000"&amp;$G1955,4)&amp;"/"&amp;RIGHT("00"&amp;$H1955,2)&amp;"/"&amp;RIGHT("00"&amp;$I1955,2)))</f>
        <v/>
      </c>
      <c r="K1955">
        <f>IF(OR($F1955="",$J1955="",$J1955="نامعتبر"),"",LEFT($J1955,4)&amp;MID($J1955,6,2)&amp;RIGHT($J1955,2)&amp;$N1955&amp;"|"&amp;"2"&amp;RIGHT("00000"&amp;1950,5))</f>
        <v/>
      </c>
      <c r="L1955">
        <f>IF($K1955="","",COUNTIFS(LdgSellerA,$F1955,LdgKeyA,"&lt;"&amp;$K1955)+COUNTIFS(LdgSellerB,$F1955,LdgKeyB,"&lt;"&amp;$K1955)+1)</f>
        <v/>
      </c>
      <c r="M1955">
        <f>IF($L1955="","",$F1955&amp;"|"&amp;RIGHT("000000"&amp;$L1955,6))</f>
        <v/>
      </c>
      <c r="N1955">
        <f>IF($F1955="","",IF(Sync!$AF1955="","0000",IF(AND(ISNUMBER(Sync!$AF1955),Sync!$AF1955&gt;=0,Sync!$AF1955&lt;1),RIGHT("00"&amp;HOUR(Sync!$AF1955),2)&amp;RIGHT("00"&amp;MINUTE(Sync!$AF1955),2),IFERROR(RIGHT("00"&amp;VALUE(LEFT(Sync!$AF1955,FIND(":",Sync!$AF1955)-1)),2)&amp;RIGHT("00"&amp;VALUE(MID(Sync!$AF1955,FIND(":",Sync!$AF1955)+1,2)),2),"0000"))))</f>
        <v/>
      </c>
    </row>
    <row r="1956">
      <c r="A1956">
        <f>IF(OR(Calc!$E1960="",Calc!$E1960="نامعتبر",Calc!$G1960=""),"",Calc!$G1960)</f>
        <v/>
      </c>
      <c r="B1956">
        <f>IF($A1956="","",LEFT(Calc!$E1960,4)&amp;MID(Calc!$E1960,6,2)&amp;RIGHT(Calc!$E1960,2)&amp;Calc!$Q1960&amp;"|"&amp;"1"&amp;RIGHT("00000"&amp;1951,5))</f>
        <v/>
      </c>
      <c r="C1956">
        <f>IF($B1956="","",COUNTIFS(LdgSellerA,$A1956,LdgKeyA,"&lt;"&amp;$B1956)+COUNTIFS(LdgSellerB,$A1956,LdgKeyB,"&lt;"&amp;$B1956)+1)</f>
        <v/>
      </c>
      <c r="D1956">
        <f>IF($C1956="","",$A1956&amp;"|"&amp;RIGHT("000000"&amp;$C1956,6))</f>
        <v/>
      </c>
      <c r="F1956">
        <f>IF(Sync!$AH1956="","",IF(LEFT(UPPER(TRIM(Sync!$AH1956)),2)="SL",UPPER(TRIM(Sync!$AH1956)),""))</f>
        <v/>
      </c>
      <c r="G1956">
        <f>IF($F1956="","",IF(Sync!$AE1956="","",IF(ISNUMBER(Sync!$AE1956),IF(AND(Sync!$AE1956&gt;=10000101,Sync!$AE1956&lt;=99991231),INT(Sync!$AE1956/10000),""),IFERROR(VALUE(TRIM(LEFT(Sync!$AE1956,FIND("/",Sync!$AE1956)-1))),""))))</f>
        <v/>
      </c>
      <c r="H1956">
        <f>IF(OR($F1956="",$G1956=""),"",IF(ISNUMBER(Sync!$AE1956),INT(MOD(Sync!$AE1956,10000)/100),IFERROR(VALUE(TRIM(LEFT(MID(Sync!$AE1956,FIND("/",Sync!$AE1956)+1,20),FIND("/",MID(Sync!$AE1956,FIND("/",Sync!$AE1956)+1,20))-1))),"")))</f>
        <v/>
      </c>
      <c r="I1956">
        <f>IF(OR($F1956="",$G1956=""),"",IF(ISNUMBER(Sync!$AE1956),MOD(Sync!$AE1956,100),IFERROR(VALUE(TRIM(MID(MID(Sync!$AE1956,FIND("/",Sync!$AE1956)+1,20),FIND("/",MID(Sync!$AE1956,FIND("/",Sync!$AE1956)+1,20))+1,20))),"")))</f>
        <v/>
      </c>
      <c r="J1956">
        <f>IF($F1956="","",IF(OR($G1956="",$H1956="",$I1956="",$G1956&lt;1300,$G1956&gt;1500,$H1956&lt;1,$H1956&gt;12,$I1956&lt;1,$I1956&gt;31),"نامعتبر",RIGHT("0000"&amp;$G1956,4)&amp;"/"&amp;RIGHT("00"&amp;$H1956,2)&amp;"/"&amp;RIGHT("00"&amp;$I1956,2)))</f>
        <v/>
      </c>
      <c r="K1956">
        <f>IF(OR($F1956="",$J1956="",$J1956="نامعتبر"),"",LEFT($J1956,4)&amp;MID($J1956,6,2)&amp;RIGHT($J1956,2)&amp;$N1956&amp;"|"&amp;"2"&amp;RIGHT("00000"&amp;1951,5))</f>
        <v/>
      </c>
      <c r="L1956">
        <f>IF($K1956="","",COUNTIFS(LdgSellerA,$F1956,LdgKeyA,"&lt;"&amp;$K1956)+COUNTIFS(LdgSellerB,$F1956,LdgKeyB,"&lt;"&amp;$K1956)+1)</f>
        <v/>
      </c>
      <c r="M1956">
        <f>IF($L1956="","",$F1956&amp;"|"&amp;RIGHT("000000"&amp;$L1956,6))</f>
        <v/>
      </c>
      <c r="N1956">
        <f>IF($F1956="","",IF(Sync!$AF1956="","0000",IF(AND(ISNUMBER(Sync!$AF1956),Sync!$AF1956&gt;=0,Sync!$AF1956&lt;1),RIGHT("00"&amp;HOUR(Sync!$AF1956),2)&amp;RIGHT("00"&amp;MINUTE(Sync!$AF1956),2),IFERROR(RIGHT("00"&amp;VALUE(LEFT(Sync!$AF1956,FIND(":",Sync!$AF1956)-1)),2)&amp;RIGHT("00"&amp;VALUE(MID(Sync!$AF1956,FIND(":",Sync!$AF1956)+1,2)),2),"0000"))))</f>
        <v/>
      </c>
    </row>
    <row r="1957">
      <c r="A1957">
        <f>IF(OR(Calc!$E1961="",Calc!$E1961="نامعتبر",Calc!$G1961=""),"",Calc!$G1961)</f>
        <v/>
      </c>
      <c r="B1957">
        <f>IF($A1957="","",LEFT(Calc!$E1961,4)&amp;MID(Calc!$E1961,6,2)&amp;RIGHT(Calc!$E1961,2)&amp;Calc!$Q1961&amp;"|"&amp;"1"&amp;RIGHT("00000"&amp;1952,5))</f>
        <v/>
      </c>
      <c r="C1957">
        <f>IF($B1957="","",COUNTIFS(LdgSellerA,$A1957,LdgKeyA,"&lt;"&amp;$B1957)+COUNTIFS(LdgSellerB,$A1957,LdgKeyB,"&lt;"&amp;$B1957)+1)</f>
        <v/>
      </c>
      <c r="D1957">
        <f>IF($C1957="","",$A1957&amp;"|"&amp;RIGHT("000000"&amp;$C1957,6))</f>
        <v/>
      </c>
      <c r="F1957">
        <f>IF(Sync!$AH1957="","",IF(LEFT(UPPER(TRIM(Sync!$AH1957)),2)="SL",UPPER(TRIM(Sync!$AH1957)),""))</f>
        <v/>
      </c>
      <c r="G1957">
        <f>IF($F1957="","",IF(Sync!$AE1957="","",IF(ISNUMBER(Sync!$AE1957),IF(AND(Sync!$AE1957&gt;=10000101,Sync!$AE1957&lt;=99991231),INT(Sync!$AE1957/10000),""),IFERROR(VALUE(TRIM(LEFT(Sync!$AE1957,FIND("/",Sync!$AE1957)-1))),""))))</f>
        <v/>
      </c>
      <c r="H1957">
        <f>IF(OR($F1957="",$G1957=""),"",IF(ISNUMBER(Sync!$AE1957),INT(MOD(Sync!$AE1957,10000)/100),IFERROR(VALUE(TRIM(LEFT(MID(Sync!$AE1957,FIND("/",Sync!$AE1957)+1,20),FIND("/",MID(Sync!$AE1957,FIND("/",Sync!$AE1957)+1,20))-1))),"")))</f>
        <v/>
      </c>
      <c r="I1957">
        <f>IF(OR($F1957="",$G1957=""),"",IF(ISNUMBER(Sync!$AE1957),MOD(Sync!$AE1957,100),IFERROR(VALUE(TRIM(MID(MID(Sync!$AE1957,FIND("/",Sync!$AE1957)+1,20),FIND("/",MID(Sync!$AE1957,FIND("/",Sync!$AE1957)+1,20))+1,20))),"")))</f>
        <v/>
      </c>
      <c r="J1957">
        <f>IF($F1957="","",IF(OR($G1957="",$H1957="",$I1957="",$G1957&lt;1300,$G1957&gt;1500,$H1957&lt;1,$H1957&gt;12,$I1957&lt;1,$I1957&gt;31),"نامعتبر",RIGHT("0000"&amp;$G1957,4)&amp;"/"&amp;RIGHT("00"&amp;$H1957,2)&amp;"/"&amp;RIGHT("00"&amp;$I1957,2)))</f>
        <v/>
      </c>
      <c r="K1957">
        <f>IF(OR($F1957="",$J1957="",$J1957="نامعتبر"),"",LEFT($J1957,4)&amp;MID($J1957,6,2)&amp;RIGHT($J1957,2)&amp;$N1957&amp;"|"&amp;"2"&amp;RIGHT("00000"&amp;1952,5))</f>
        <v/>
      </c>
      <c r="L1957">
        <f>IF($K1957="","",COUNTIFS(LdgSellerA,$F1957,LdgKeyA,"&lt;"&amp;$K1957)+COUNTIFS(LdgSellerB,$F1957,LdgKeyB,"&lt;"&amp;$K1957)+1)</f>
        <v/>
      </c>
      <c r="M1957">
        <f>IF($L1957="","",$F1957&amp;"|"&amp;RIGHT("000000"&amp;$L1957,6))</f>
        <v/>
      </c>
      <c r="N1957">
        <f>IF($F1957="","",IF(Sync!$AF1957="","0000",IF(AND(ISNUMBER(Sync!$AF1957),Sync!$AF1957&gt;=0,Sync!$AF1957&lt;1),RIGHT("00"&amp;HOUR(Sync!$AF1957),2)&amp;RIGHT("00"&amp;MINUTE(Sync!$AF1957),2),IFERROR(RIGHT("00"&amp;VALUE(LEFT(Sync!$AF1957,FIND(":",Sync!$AF1957)-1)),2)&amp;RIGHT("00"&amp;VALUE(MID(Sync!$AF1957,FIND(":",Sync!$AF1957)+1,2)),2),"0000"))))</f>
        <v/>
      </c>
    </row>
    <row r="1958">
      <c r="A1958">
        <f>IF(OR(Calc!$E1962="",Calc!$E1962="نامعتبر",Calc!$G1962=""),"",Calc!$G1962)</f>
        <v/>
      </c>
      <c r="B1958">
        <f>IF($A1958="","",LEFT(Calc!$E1962,4)&amp;MID(Calc!$E1962,6,2)&amp;RIGHT(Calc!$E1962,2)&amp;Calc!$Q1962&amp;"|"&amp;"1"&amp;RIGHT("00000"&amp;1953,5))</f>
        <v/>
      </c>
      <c r="C1958">
        <f>IF($B1958="","",COUNTIFS(LdgSellerA,$A1958,LdgKeyA,"&lt;"&amp;$B1958)+COUNTIFS(LdgSellerB,$A1958,LdgKeyB,"&lt;"&amp;$B1958)+1)</f>
        <v/>
      </c>
      <c r="D1958">
        <f>IF($C1958="","",$A1958&amp;"|"&amp;RIGHT("000000"&amp;$C1958,6))</f>
        <v/>
      </c>
      <c r="F1958">
        <f>IF(Sync!$AH1958="","",IF(LEFT(UPPER(TRIM(Sync!$AH1958)),2)="SL",UPPER(TRIM(Sync!$AH1958)),""))</f>
        <v/>
      </c>
      <c r="G1958">
        <f>IF($F1958="","",IF(Sync!$AE1958="","",IF(ISNUMBER(Sync!$AE1958),IF(AND(Sync!$AE1958&gt;=10000101,Sync!$AE1958&lt;=99991231),INT(Sync!$AE1958/10000),""),IFERROR(VALUE(TRIM(LEFT(Sync!$AE1958,FIND("/",Sync!$AE1958)-1))),""))))</f>
        <v/>
      </c>
      <c r="H1958">
        <f>IF(OR($F1958="",$G1958=""),"",IF(ISNUMBER(Sync!$AE1958),INT(MOD(Sync!$AE1958,10000)/100),IFERROR(VALUE(TRIM(LEFT(MID(Sync!$AE1958,FIND("/",Sync!$AE1958)+1,20),FIND("/",MID(Sync!$AE1958,FIND("/",Sync!$AE1958)+1,20))-1))),"")))</f>
        <v/>
      </c>
      <c r="I1958">
        <f>IF(OR($F1958="",$G1958=""),"",IF(ISNUMBER(Sync!$AE1958),MOD(Sync!$AE1958,100),IFERROR(VALUE(TRIM(MID(MID(Sync!$AE1958,FIND("/",Sync!$AE1958)+1,20),FIND("/",MID(Sync!$AE1958,FIND("/",Sync!$AE1958)+1,20))+1,20))),"")))</f>
        <v/>
      </c>
      <c r="J1958">
        <f>IF($F1958="","",IF(OR($G1958="",$H1958="",$I1958="",$G1958&lt;1300,$G1958&gt;1500,$H1958&lt;1,$H1958&gt;12,$I1958&lt;1,$I1958&gt;31),"نامعتبر",RIGHT("0000"&amp;$G1958,4)&amp;"/"&amp;RIGHT("00"&amp;$H1958,2)&amp;"/"&amp;RIGHT("00"&amp;$I1958,2)))</f>
        <v/>
      </c>
      <c r="K1958">
        <f>IF(OR($F1958="",$J1958="",$J1958="نامعتبر"),"",LEFT($J1958,4)&amp;MID($J1958,6,2)&amp;RIGHT($J1958,2)&amp;$N1958&amp;"|"&amp;"2"&amp;RIGHT("00000"&amp;1953,5))</f>
        <v/>
      </c>
      <c r="L1958">
        <f>IF($K1958="","",COUNTIFS(LdgSellerA,$F1958,LdgKeyA,"&lt;"&amp;$K1958)+COUNTIFS(LdgSellerB,$F1958,LdgKeyB,"&lt;"&amp;$K1958)+1)</f>
        <v/>
      </c>
      <c r="M1958">
        <f>IF($L1958="","",$F1958&amp;"|"&amp;RIGHT("000000"&amp;$L1958,6))</f>
        <v/>
      </c>
      <c r="N1958">
        <f>IF($F1958="","",IF(Sync!$AF1958="","0000",IF(AND(ISNUMBER(Sync!$AF1958),Sync!$AF1958&gt;=0,Sync!$AF1958&lt;1),RIGHT("00"&amp;HOUR(Sync!$AF1958),2)&amp;RIGHT("00"&amp;MINUTE(Sync!$AF1958),2),IFERROR(RIGHT("00"&amp;VALUE(LEFT(Sync!$AF1958,FIND(":",Sync!$AF1958)-1)),2)&amp;RIGHT("00"&amp;VALUE(MID(Sync!$AF1958,FIND(":",Sync!$AF1958)+1,2)),2),"0000"))))</f>
        <v/>
      </c>
    </row>
    <row r="1959">
      <c r="A1959">
        <f>IF(OR(Calc!$E1963="",Calc!$E1963="نامعتبر",Calc!$G1963=""),"",Calc!$G1963)</f>
        <v/>
      </c>
      <c r="B1959">
        <f>IF($A1959="","",LEFT(Calc!$E1963,4)&amp;MID(Calc!$E1963,6,2)&amp;RIGHT(Calc!$E1963,2)&amp;Calc!$Q1963&amp;"|"&amp;"1"&amp;RIGHT("00000"&amp;1954,5))</f>
        <v/>
      </c>
      <c r="C1959">
        <f>IF($B1959="","",COUNTIFS(LdgSellerA,$A1959,LdgKeyA,"&lt;"&amp;$B1959)+COUNTIFS(LdgSellerB,$A1959,LdgKeyB,"&lt;"&amp;$B1959)+1)</f>
        <v/>
      </c>
      <c r="D1959">
        <f>IF($C1959="","",$A1959&amp;"|"&amp;RIGHT("000000"&amp;$C1959,6))</f>
        <v/>
      </c>
      <c r="F1959">
        <f>IF(Sync!$AH1959="","",IF(LEFT(UPPER(TRIM(Sync!$AH1959)),2)="SL",UPPER(TRIM(Sync!$AH1959)),""))</f>
        <v/>
      </c>
      <c r="G1959">
        <f>IF($F1959="","",IF(Sync!$AE1959="","",IF(ISNUMBER(Sync!$AE1959),IF(AND(Sync!$AE1959&gt;=10000101,Sync!$AE1959&lt;=99991231),INT(Sync!$AE1959/10000),""),IFERROR(VALUE(TRIM(LEFT(Sync!$AE1959,FIND("/",Sync!$AE1959)-1))),""))))</f>
        <v/>
      </c>
      <c r="H1959">
        <f>IF(OR($F1959="",$G1959=""),"",IF(ISNUMBER(Sync!$AE1959),INT(MOD(Sync!$AE1959,10000)/100),IFERROR(VALUE(TRIM(LEFT(MID(Sync!$AE1959,FIND("/",Sync!$AE1959)+1,20),FIND("/",MID(Sync!$AE1959,FIND("/",Sync!$AE1959)+1,20))-1))),"")))</f>
        <v/>
      </c>
      <c r="I1959">
        <f>IF(OR($F1959="",$G1959=""),"",IF(ISNUMBER(Sync!$AE1959),MOD(Sync!$AE1959,100),IFERROR(VALUE(TRIM(MID(MID(Sync!$AE1959,FIND("/",Sync!$AE1959)+1,20),FIND("/",MID(Sync!$AE1959,FIND("/",Sync!$AE1959)+1,20))+1,20))),"")))</f>
        <v/>
      </c>
      <c r="J1959">
        <f>IF($F1959="","",IF(OR($G1959="",$H1959="",$I1959="",$G1959&lt;1300,$G1959&gt;1500,$H1959&lt;1,$H1959&gt;12,$I1959&lt;1,$I1959&gt;31),"نامعتبر",RIGHT("0000"&amp;$G1959,4)&amp;"/"&amp;RIGHT("00"&amp;$H1959,2)&amp;"/"&amp;RIGHT("00"&amp;$I1959,2)))</f>
        <v/>
      </c>
      <c r="K1959">
        <f>IF(OR($F1959="",$J1959="",$J1959="نامعتبر"),"",LEFT($J1959,4)&amp;MID($J1959,6,2)&amp;RIGHT($J1959,2)&amp;$N1959&amp;"|"&amp;"2"&amp;RIGHT("00000"&amp;1954,5))</f>
        <v/>
      </c>
      <c r="L1959">
        <f>IF($K1959="","",COUNTIFS(LdgSellerA,$F1959,LdgKeyA,"&lt;"&amp;$K1959)+COUNTIFS(LdgSellerB,$F1959,LdgKeyB,"&lt;"&amp;$K1959)+1)</f>
        <v/>
      </c>
      <c r="M1959">
        <f>IF($L1959="","",$F1959&amp;"|"&amp;RIGHT("000000"&amp;$L1959,6))</f>
        <v/>
      </c>
      <c r="N1959">
        <f>IF($F1959="","",IF(Sync!$AF1959="","0000",IF(AND(ISNUMBER(Sync!$AF1959),Sync!$AF1959&gt;=0,Sync!$AF1959&lt;1),RIGHT("00"&amp;HOUR(Sync!$AF1959),2)&amp;RIGHT("00"&amp;MINUTE(Sync!$AF1959),2),IFERROR(RIGHT("00"&amp;VALUE(LEFT(Sync!$AF1959,FIND(":",Sync!$AF1959)-1)),2)&amp;RIGHT("00"&amp;VALUE(MID(Sync!$AF1959,FIND(":",Sync!$AF1959)+1,2)),2),"0000"))))</f>
        <v/>
      </c>
    </row>
    <row r="1960">
      <c r="A1960">
        <f>IF(OR(Calc!$E1964="",Calc!$E1964="نامعتبر",Calc!$G1964=""),"",Calc!$G1964)</f>
        <v/>
      </c>
      <c r="B1960">
        <f>IF($A1960="","",LEFT(Calc!$E1964,4)&amp;MID(Calc!$E1964,6,2)&amp;RIGHT(Calc!$E1964,2)&amp;Calc!$Q1964&amp;"|"&amp;"1"&amp;RIGHT("00000"&amp;1955,5))</f>
        <v/>
      </c>
      <c r="C1960">
        <f>IF($B1960="","",COUNTIFS(LdgSellerA,$A1960,LdgKeyA,"&lt;"&amp;$B1960)+COUNTIFS(LdgSellerB,$A1960,LdgKeyB,"&lt;"&amp;$B1960)+1)</f>
        <v/>
      </c>
      <c r="D1960">
        <f>IF($C1960="","",$A1960&amp;"|"&amp;RIGHT("000000"&amp;$C1960,6))</f>
        <v/>
      </c>
      <c r="F1960">
        <f>IF(Sync!$AH1960="","",IF(LEFT(UPPER(TRIM(Sync!$AH1960)),2)="SL",UPPER(TRIM(Sync!$AH1960)),""))</f>
        <v/>
      </c>
      <c r="G1960">
        <f>IF($F1960="","",IF(Sync!$AE1960="","",IF(ISNUMBER(Sync!$AE1960),IF(AND(Sync!$AE1960&gt;=10000101,Sync!$AE1960&lt;=99991231),INT(Sync!$AE1960/10000),""),IFERROR(VALUE(TRIM(LEFT(Sync!$AE1960,FIND("/",Sync!$AE1960)-1))),""))))</f>
        <v/>
      </c>
      <c r="H1960">
        <f>IF(OR($F1960="",$G1960=""),"",IF(ISNUMBER(Sync!$AE1960),INT(MOD(Sync!$AE1960,10000)/100),IFERROR(VALUE(TRIM(LEFT(MID(Sync!$AE1960,FIND("/",Sync!$AE1960)+1,20),FIND("/",MID(Sync!$AE1960,FIND("/",Sync!$AE1960)+1,20))-1))),"")))</f>
        <v/>
      </c>
      <c r="I1960">
        <f>IF(OR($F1960="",$G1960=""),"",IF(ISNUMBER(Sync!$AE1960),MOD(Sync!$AE1960,100),IFERROR(VALUE(TRIM(MID(MID(Sync!$AE1960,FIND("/",Sync!$AE1960)+1,20),FIND("/",MID(Sync!$AE1960,FIND("/",Sync!$AE1960)+1,20))+1,20))),"")))</f>
        <v/>
      </c>
      <c r="J1960">
        <f>IF($F1960="","",IF(OR($G1960="",$H1960="",$I1960="",$G1960&lt;1300,$G1960&gt;1500,$H1960&lt;1,$H1960&gt;12,$I1960&lt;1,$I1960&gt;31),"نامعتبر",RIGHT("0000"&amp;$G1960,4)&amp;"/"&amp;RIGHT("00"&amp;$H1960,2)&amp;"/"&amp;RIGHT("00"&amp;$I1960,2)))</f>
        <v/>
      </c>
      <c r="K1960">
        <f>IF(OR($F1960="",$J1960="",$J1960="نامعتبر"),"",LEFT($J1960,4)&amp;MID($J1960,6,2)&amp;RIGHT($J1960,2)&amp;$N1960&amp;"|"&amp;"2"&amp;RIGHT("00000"&amp;1955,5))</f>
        <v/>
      </c>
      <c r="L1960">
        <f>IF($K1960="","",COUNTIFS(LdgSellerA,$F1960,LdgKeyA,"&lt;"&amp;$K1960)+COUNTIFS(LdgSellerB,$F1960,LdgKeyB,"&lt;"&amp;$K1960)+1)</f>
        <v/>
      </c>
      <c r="M1960">
        <f>IF($L1960="","",$F1960&amp;"|"&amp;RIGHT("000000"&amp;$L1960,6))</f>
        <v/>
      </c>
      <c r="N1960">
        <f>IF($F1960="","",IF(Sync!$AF1960="","0000",IF(AND(ISNUMBER(Sync!$AF1960),Sync!$AF1960&gt;=0,Sync!$AF1960&lt;1),RIGHT("00"&amp;HOUR(Sync!$AF1960),2)&amp;RIGHT("00"&amp;MINUTE(Sync!$AF1960),2),IFERROR(RIGHT("00"&amp;VALUE(LEFT(Sync!$AF1960,FIND(":",Sync!$AF1960)-1)),2)&amp;RIGHT("00"&amp;VALUE(MID(Sync!$AF1960,FIND(":",Sync!$AF1960)+1,2)),2),"0000"))))</f>
        <v/>
      </c>
    </row>
    <row r="1961">
      <c r="A1961">
        <f>IF(OR(Calc!$E1965="",Calc!$E1965="نامعتبر",Calc!$G1965=""),"",Calc!$G1965)</f>
        <v/>
      </c>
      <c r="B1961">
        <f>IF($A1961="","",LEFT(Calc!$E1965,4)&amp;MID(Calc!$E1965,6,2)&amp;RIGHT(Calc!$E1965,2)&amp;Calc!$Q1965&amp;"|"&amp;"1"&amp;RIGHT("00000"&amp;1956,5))</f>
        <v/>
      </c>
      <c r="C1961">
        <f>IF($B1961="","",COUNTIFS(LdgSellerA,$A1961,LdgKeyA,"&lt;"&amp;$B1961)+COUNTIFS(LdgSellerB,$A1961,LdgKeyB,"&lt;"&amp;$B1961)+1)</f>
        <v/>
      </c>
      <c r="D1961">
        <f>IF($C1961="","",$A1961&amp;"|"&amp;RIGHT("000000"&amp;$C1961,6))</f>
        <v/>
      </c>
      <c r="F1961">
        <f>IF(Sync!$AH1961="","",IF(LEFT(UPPER(TRIM(Sync!$AH1961)),2)="SL",UPPER(TRIM(Sync!$AH1961)),""))</f>
        <v/>
      </c>
      <c r="G1961">
        <f>IF($F1961="","",IF(Sync!$AE1961="","",IF(ISNUMBER(Sync!$AE1961),IF(AND(Sync!$AE1961&gt;=10000101,Sync!$AE1961&lt;=99991231),INT(Sync!$AE1961/10000),""),IFERROR(VALUE(TRIM(LEFT(Sync!$AE1961,FIND("/",Sync!$AE1961)-1))),""))))</f>
        <v/>
      </c>
      <c r="H1961">
        <f>IF(OR($F1961="",$G1961=""),"",IF(ISNUMBER(Sync!$AE1961),INT(MOD(Sync!$AE1961,10000)/100),IFERROR(VALUE(TRIM(LEFT(MID(Sync!$AE1961,FIND("/",Sync!$AE1961)+1,20),FIND("/",MID(Sync!$AE1961,FIND("/",Sync!$AE1961)+1,20))-1))),"")))</f>
        <v/>
      </c>
      <c r="I1961">
        <f>IF(OR($F1961="",$G1961=""),"",IF(ISNUMBER(Sync!$AE1961),MOD(Sync!$AE1961,100),IFERROR(VALUE(TRIM(MID(MID(Sync!$AE1961,FIND("/",Sync!$AE1961)+1,20),FIND("/",MID(Sync!$AE1961,FIND("/",Sync!$AE1961)+1,20))+1,20))),"")))</f>
        <v/>
      </c>
      <c r="J1961">
        <f>IF($F1961="","",IF(OR($G1961="",$H1961="",$I1961="",$G1961&lt;1300,$G1961&gt;1500,$H1961&lt;1,$H1961&gt;12,$I1961&lt;1,$I1961&gt;31),"نامعتبر",RIGHT("0000"&amp;$G1961,4)&amp;"/"&amp;RIGHT("00"&amp;$H1961,2)&amp;"/"&amp;RIGHT("00"&amp;$I1961,2)))</f>
        <v/>
      </c>
      <c r="K1961">
        <f>IF(OR($F1961="",$J1961="",$J1961="نامعتبر"),"",LEFT($J1961,4)&amp;MID($J1961,6,2)&amp;RIGHT($J1961,2)&amp;$N1961&amp;"|"&amp;"2"&amp;RIGHT("00000"&amp;1956,5))</f>
        <v/>
      </c>
      <c r="L1961">
        <f>IF($K1961="","",COUNTIFS(LdgSellerA,$F1961,LdgKeyA,"&lt;"&amp;$K1961)+COUNTIFS(LdgSellerB,$F1961,LdgKeyB,"&lt;"&amp;$K1961)+1)</f>
        <v/>
      </c>
      <c r="M1961">
        <f>IF($L1961="","",$F1961&amp;"|"&amp;RIGHT("000000"&amp;$L1961,6))</f>
        <v/>
      </c>
      <c r="N1961">
        <f>IF($F1961="","",IF(Sync!$AF1961="","0000",IF(AND(ISNUMBER(Sync!$AF1961),Sync!$AF1961&gt;=0,Sync!$AF1961&lt;1),RIGHT("00"&amp;HOUR(Sync!$AF1961),2)&amp;RIGHT("00"&amp;MINUTE(Sync!$AF1961),2),IFERROR(RIGHT("00"&amp;VALUE(LEFT(Sync!$AF1961,FIND(":",Sync!$AF1961)-1)),2)&amp;RIGHT("00"&amp;VALUE(MID(Sync!$AF1961,FIND(":",Sync!$AF1961)+1,2)),2),"0000"))))</f>
        <v/>
      </c>
    </row>
    <row r="1962">
      <c r="A1962">
        <f>IF(OR(Calc!$E1966="",Calc!$E1966="نامعتبر",Calc!$G1966=""),"",Calc!$G1966)</f>
        <v/>
      </c>
      <c r="B1962">
        <f>IF($A1962="","",LEFT(Calc!$E1966,4)&amp;MID(Calc!$E1966,6,2)&amp;RIGHT(Calc!$E1966,2)&amp;Calc!$Q1966&amp;"|"&amp;"1"&amp;RIGHT("00000"&amp;1957,5))</f>
        <v/>
      </c>
      <c r="C1962">
        <f>IF($B1962="","",COUNTIFS(LdgSellerA,$A1962,LdgKeyA,"&lt;"&amp;$B1962)+COUNTIFS(LdgSellerB,$A1962,LdgKeyB,"&lt;"&amp;$B1962)+1)</f>
        <v/>
      </c>
      <c r="D1962">
        <f>IF($C1962="","",$A1962&amp;"|"&amp;RIGHT("000000"&amp;$C1962,6))</f>
        <v/>
      </c>
      <c r="F1962">
        <f>IF(Sync!$AH1962="","",IF(LEFT(UPPER(TRIM(Sync!$AH1962)),2)="SL",UPPER(TRIM(Sync!$AH1962)),""))</f>
        <v/>
      </c>
      <c r="G1962">
        <f>IF($F1962="","",IF(Sync!$AE1962="","",IF(ISNUMBER(Sync!$AE1962),IF(AND(Sync!$AE1962&gt;=10000101,Sync!$AE1962&lt;=99991231),INT(Sync!$AE1962/10000),""),IFERROR(VALUE(TRIM(LEFT(Sync!$AE1962,FIND("/",Sync!$AE1962)-1))),""))))</f>
        <v/>
      </c>
      <c r="H1962">
        <f>IF(OR($F1962="",$G1962=""),"",IF(ISNUMBER(Sync!$AE1962),INT(MOD(Sync!$AE1962,10000)/100),IFERROR(VALUE(TRIM(LEFT(MID(Sync!$AE1962,FIND("/",Sync!$AE1962)+1,20),FIND("/",MID(Sync!$AE1962,FIND("/",Sync!$AE1962)+1,20))-1))),"")))</f>
        <v/>
      </c>
      <c r="I1962">
        <f>IF(OR($F1962="",$G1962=""),"",IF(ISNUMBER(Sync!$AE1962),MOD(Sync!$AE1962,100),IFERROR(VALUE(TRIM(MID(MID(Sync!$AE1962,FIND("/",Sync!$AE1962)+1,20),FIND("/",MID(Sync!$AE1962,FIND("/",Sync!$AE1962)+1,20))+1,20))),"")))</f>
        <v/>
      </c>
      <c r="J1962">
        <f>IF($F1962="","",IF(OR($G1962="",$H1962="",$I1962="",$G1962&lt;1300,$G1962&gt;1500,$H1962&lt;1,$H1962&gt;12,$I1962&lt;1,$I1962&gt;31),"نامعتبر",RIGHT("0000"&amp;$G1962,4)&amp;"/"&amp;RIGHT("00"&amp;$H1962,2)&amp;"/"&amp;RIGHT("00"&amp;$I1962,2)))</f>
        <v/>
      </c>
      <c r="K1962">
        <f>IF(OR($F1962="",$J1962="",$J1962="نامعتبر"),"",LEFT($J1962,4)&amp;MID($J1962,6,2)&amp;RIGHT($J1962,2)&amp;$N1962&amp;"|"&amp;"2"&amp;RIGHT("00000"&amp;1957,5))</f>
        <v/>
      </c>
      <c r="L1962">
        <f>IF($K1962="","",COUNTIFS(LdgSellerA,$F1962,LdgKeyA,"&lt;"&amp;$K1962)+COUNTIFS(LdgSellerB,$F1962,LdgKeyB,"&lt;"&amp;$K1962)+1)</f>
        <v/>
      </c>
      <c r="M1962">
        <f>IF($L1962="","",$F1962&amp;"|"&amp;RIGHT("000000"&amp;$L1962,6))</f>
        <v/>
      </c>
      <c r="N1962">
        <f>IF($F1962="","",IF(Sync!$AF1962="","0000",IF(AND(ISNUMBER(Sync!$AF1962),Sync!$AF1962&gt;=0,Sync!$AF1962&lt;1),RIGHT("00"&amp;HOUR(Sync!$AF1962),2)&amp;RIGHT("00"&amp;MINUTE(Sync!$AF1962),2),IFERROR(RIGHT("00"&amp;VALUE(LEFT(Sync!$AF1962,FIND(":",Sync!$AF1962)-1)),2)&amp;RIGHT("00"&amp;VALUE(MID(Sync!$AF1962,FIND(":",Sync!$AF1962)+1,2)),2),"0000"))))</f>
        <v/>
      </c>
    </row>
    <row r="1963">
      <c r="A1963">
        <f>IF(OR(Calc!$E1967="",Calc!$E1967="نامعتبر",Calc!$G1967=""),"",Calc!$G1967)</f>
        <v/>
      </c>
      <c r="B1963">
        <f>IF($A1963="","",LEFT(Calc!$E1967,4)&amp;MID(Calc!$E1967,6,2)&amp;RIGHT(Calc!$E1967,2)&amp;Calc!$Q1967&amp;"|"&amp;"1"&amp;RIGHT("00000"&amp;1958,5))</f>
        <v/>
      </c>
      <c r="C1963">
        <f>IF($B1963="","",COUNTIFS(LdgSellerA,$A1963,LdgKeyA,"&lt;"&amp;$B1963)+COUNTIFS(LdgSellerB,$A1963,LdgKeyB,"&lt;"&amp;$B1963)+1)</f>
        <v/>
      </c>
      <c r="D1963">
        <f>IF($C1963="","",$A1963&amp;"|"&amp;RIGHT("000000"&amp;$C1963,6))</f>
        <v/>
      </c>
      <c r="F1963">
        <f>IF(Sync!$AH1963="","",IF(LEFT(UPPER(TRIM(Sync!$AH1963)),2)="SL",UPPER(TRIM(Sync!$AH1963)),""))</f>
        <v/>
      </c>
      <c r="G1963">
        <f>IF($F1963="","",IF(Sync!$AE1963="","",IF(ISNUMBER(Sync!$AE1963),IF(AND(Sync!$AE1963&gt;=10000101,Sync!$AE1963&lt;=99991231),INT(Sync!$AE1963/10000),""),IFERROR(VALUE(TRIM(LEFT(Sync!$AE1963,FIND("/",Sync!$AE1963)-1))),""))))</f>
        <v/>
      </c>
      <c r="H1963">
        <f>IF(OR($F1963="",$G1963=""),"",IF(ISNUMBER(Sync!$AE1963),INT(MOD(Sync!$AE1963,10000)/100),IFERROR(VALUE(TRIM(LEFT(MID(Sync!$AE1963,FIND("/",Sync!$AE1963)+1,20),FIND("/",MID(Sync!$AE1963,FIND("/",Sync!$AE1963)+1,20))-1))),"")))</f>
        <v/>
      </c>
      <c r="I1963">
        <f>IF(OR($F1963="",$G1963=""),"",IF(ISNUMBER(Sync!$AE1963),MOD(Sync!$AE1963,100),IFERROR(VALUE(TRIM(MID(MID(Sync!$AE1963,FIND("/",Sync!$AE1963)+1,20),FIND("/",MID(Sync!$AE1963,FIND("/",Sync!$AE1963)+1,20))+1,20))),"")))</f>
        <v/>
      </c>
      <c r="J1963">
        <f>IF($F1963="","",IF(OR($G1963="",$H1963="",$I1963="",$G1963&lt;1300,$G1963&gt;1500,$H1963&lt;1,$H1963&gt;12,$I1963&lt;1,$I1963&gt;31),"نامعتبر",RIGHT("0000"&amp;$G1963,4)&amp;"/"&amp;RIGHT("00"&amp;$H1963,2)&amp;"/"&amp;RIGHT("00"&amp;$I1963,2)))</f>
        <v/>
      </c>
      <c r="K1963">
        <f>IF(OR($F1963="",$J1963="",$J1963="نامعتبر"),"",LEFT($J1963,4)&amp;MID($J1963,6,2)&amp;RIGHT($J1963,2)&amp;$N1963&amp;"|"&amp;"2"&amp;RIGHT("00000"&amp;1958,5))</f>
        <v/>
      </c>
      <c r="L1963">
        <f>IF($K1963="","",COUNTIFS(LdgSellerA,$F1963,LdgKeyA,"&lt;"&amp;$K1963)+COUNTIFS(LdgSellerB,$F1963,LdgKeyB,"&lt;"&amp;$K1963)+1)</f>
        <v/>
      </c>
      <c r="M1963">
        <f>IF($L1963="","",$F1963&amp;"|"&amp;RIGHT("000000"&amp;$L1963,6))</f>
        <v/>
      </c>
      <c r="N1963">
        <f>IF($F1963="","",IF(Sync!$AF1963="","0000",IF(AND(ISNUMBER(Sync!$AF1963),Sync!$AF1963&gt;=0,Sync!$AF1963&lt;1),RIGHT("00"&amp;HOUR(Sync!$AF1963),2)&amp;RIGHT("00"&amp;MINUTE(Sync!$AF1963),2),IFERROR(RIGHT("00"&amp;VALUE(LEFT(Sync!$AF1963,FIND(":",Sync!$AF1963)-1)),2)&amp;RIGHT("00"&amp;VALUE(MID(Sync!$AF1963,FIND(":",Sync!$AF1963)+1,2)),2),"0000"))))</f>
        <v/>
      </c>
    </row>
    <row r="1964">
      <c r="A1964">
        <f>IF(OR(Calc!$E1968="",Calc!$E1968="نامعتبر",Calc!$G1968=""),"",Calc!$G1968)</f>
        <v/>
      </c>
      <c r="B1964">
        <f>IF($A1964="","",LEFT(Calc!$E1968,4)&amp;MID(Calc!$E1968,6,2)&amp;RIGHT(Calc!$E1968,2)&amp;Calc!$Q1968&amp;"|"&amp;"1"&amp;RIGHT("00000"&amp;1959,5))</f>
        <v/>
      </c>
      <c r="C1964">
        <f>IF($B1964="","",COUNTIFS(LdgSellerA,$A1964,LdgKeyA,"&lt;"&amp;$B1964)+COUNTIFS(LdgSellerB,$A1964,LdgKeyB,"&lt;"&amp;$B1964)+1)</f>
        <v/>
      </c>
      <c r="D1964">
        <f>IF($C1964="","",$A1964&amp;"|"&amp;RIGHT("000000"&amp;$C1964,6))</f>
        <v/>
      </c>
      <c r="F1964">
        <f>IF(Sync!$AH1964="","",IF(LEFT(UPPER(TRIM(Sync!$AH1964)),2)="SL",UPPER(TRIM(Sync!$AH1964)),""))</f>
        <v/>
      </c>
      <c r="G1964">
        <f>IF($F1964="","",IF(Sync!$AE1964="","",IF(ISNUMBER(Sync!$AE1964),IF(AND(Sync!$AE1964&gt;=10000101,Sync!$AE1964&lt;=99991231),INT(Sync!$AE1964/10000),""),IFERROR(VALUE(TRIM(LEFT(Sync!$AE1964,FIND("/",Sync!$AE1964)-1))),""))))</f>
        <v/>
      </c>
      <c r="H1964">
        <f>IF(OR($F1964="",$G1964=""),"",IF(ISNUMBER(Sync!$AE1964),INT(MOD(Sync!$AE1964,10000)/100),IFERROR(VALUE(TRIM(LEFT(MID(Sync!$AE1964,FIND("/",Sync!$AE1964)+1,20),FIND("/",MID(Sync!$AE1964,FIND("/",Sync!$AE1964)+1,20))-1))),"")))</f>
        <v/>
      </c>
      <c r="I1964">
        <f>IF(OR($F1964="",$G1964=""),"",IF(ISNUMBER(Sync!$AE1964),MOD(Sync!$AE1964,100),IFERROR(VALUE(TRIM(MID(MID(Sync!$AE1964,FIND("/",Sync!$AE1964)+1,20),FIND("/",MID(Sync!$AE1964,FIND("/",Sync!$AE1964)+1,20))+1,20))),"")))</f>
        <v/>
      </c>
      <c r="J1964">
        <f>IF($F1964="","",IF(OR($G1964="",$H1964="",$I1964="",$G1964&lt;1300,$G1964&gt;1500,$H1964&lt;1,$H1964&gt;12,$I1964&lt;1,$I1964&gt;31),"نامعتبر",RIGHT("0000"&amp;$G1964,4)&amp;"/"&amp;RIGHT("00"&amp;$H1964,2)&amp;"/"&amp;RIGHT("00"&amp;$I1964,2)))</f>
        <v/>
      </c>
      <c r="K1964">
        <f>IF(OR($F1964="",$J1964="",$J1964="نامعتبر"),"",LEFT($J1964,4)&amp;MID($J1964,6,2)&amp;RIGHT($J1964,2)&amp;$N1964&amp;"|"&amp;"2"&amp;RIGHT("00000"&amp;1959,5))</f>
        <v/>
      </c>
      <c r="L1964">
        <f>IF($K1964="","",COUNTIFS(LdgSellerA,$F1964,LdgKeyA,"&lt;"&amp;$K1964)+COUNTIFS(LdgSellerB,$F1964,LdgKeyB,"&lt;"&amp;$K1964)+1)</f>
        <v/>
      </c>
      <c r="M1964">
        <f>IF($L1964="","",$F1964&amp;"|"&amp;RIGHT("000000"&amp;$L1964,6))</f>
        <v/>
      </c>
      <c r="N1964">
        <f>IF($F1964="","",IF(Sync!$AF1964="","0000",IF(AND(ISNUMBER(Sync!$AF1964),Sync!$AF1964&gt;=0,Sync!$AF1964&lt;1),RIGHT("00"&amp;HOUR(Sync!$AF1964),2)&amp;RIGHT("00"&amp;MINUTE(Sync!$AF1964),2),IFERROR(RIGHT("00"&amp;VALUE(LEFT(Sync!$AF1964,FIND(":",Sync!$AF1964)-1)),2)&amp;RIGHT("00"&amp;VALUE(MID(Sync!$AF1964,FIND(":",Sync!$AF1964)+1,2)),2),"0000"))))</f>
        <v/>
      </c>
    </row>
    <row r="1965">
      <c r="A1965">
        <f>IF(OR(Calc!$E1969="",Calc!$E1969="نامعتبر",Calc!$G1969=""),"",Calc!$G1969)</f>
        <v/>
      </c>
      <c r="B1965">
        <f>IF($A1965="","",LEFT(Calc!$E1969,4)&amp;MID(Calc!$E1969,6,2)&amp;RIGHT(Calc!$E1969,2)&amp;Calc!$Q1969&amp;"|"&amp;"1"&amp;RIGHT("00000"&amp;1960,5))</f>
        <v/>
      </c>
      <c r="C1965">
        <f>IF($B1965="","",COUNTIFS(LdgSellerA,$A1965,LdgKeyA,"&lt;"&amp;$B1965)+COUNTIFS(LdgSellerB,$A1965,LdgKeyB,"&lt;"&amp;$B1965)+1)</f>
        <v/>
      </c>
      <c r="D1965">
        <f>IF($C1965="","",$A1965&amp;"|"&amp;RIGHT("000000"&amp;$C1965,6))</f>
        <v/>
      </c>
      <c r="F1965">
        <f>IF(Sync!$AH1965="","",IF(LEFT(UPPER(TRIM(Sync!$AH1965)),2)="SL",UPPER(TRIM(Sync!$AH1965)),""))</f>
        <v/>
      </c>
      <c r="G1965">
        <f>IF($F1965="","",IF(Sync!$AE1965="","",IF(ISNUMBER(Sync!$AE1965),IF(AND(Sync!$AE1965&gt;=10000101,Sync!$AE1965&lt;=99991231),INT(Sync!$AE1965/10000),""),IFERROR(VALUE(TRIM(LEFT(Sync!$AE1965,FIND("/",Sync!$AE1965)-1))),""))))</f>
        <v/>
      </c>
      <c r="H1965">
        <f>IF(OR($F1965="",$G1965=""),"",IF(ISNUMBER(Sync!$AE1965),INT(MOD(Sync!$AE1965,10000)/100),IFERROR(VALUE(TRIM(LEFT(MID(Sync!$AE1965,FIND("/",Sync!$AE1965)+1,20),FIND("/",MID(Sync!$AE1965,FIND("/",Sync!$AE1965)+1,20))-1))),"")))</f>
        <v/>
      </c>
      <c r="I1965">
        <f>IF(OR($F1965="",$G1965=""),"",IF(ISNUMBER(Sync!$AE1965),MOD(Sync!$AE1965,100),IFERROR(VALUE(TRIM(MID(MID(Sync!$AE1965,FIND("/",Sync!$AE1965)+1,20),FIND("/",MID(Sync!$AE1965,FIND("/",Sync!$AE1965)+1,20))+1,20))),"")))</f>
        <v/>
      </c>
      <c r="J1965">
        <f>IF($F1965="","",IF(OR($G1965="",$H1965="",$I1965="",$G1965&lt;1300,$G1965&gt;1500,$H1965&lt;1,$H1965&gt;12,$I1965&lt;1,$I1965&gt;31),"نامعتبر",RIGHT("0000"&amp;$G1965,4)&amp;"/"&amp;RIGHT("00"&amp;$H1965,2)&amp;"/"&amp;RIGHT("00"&amp;$I1965,2)))</f>
        <v/>
      </c>
      <c r="K1965">
        <f>IF(OR($F1965="",$J1965="",$J1965="نامعتبر"),"",LEFT($J1965,4)&amp;MID($J1965,6,2)&amp;RIGHT($J1965,2)&amp;$N1965&amp;"|"&amp;"2"&amp;RIGHT("00000"&amp;1960,5))</f>
        <v/>
      </c>
      <c r="L1965">
        <f>IF($K1965="","",COUNTIFS(LdgSellerA,$F1965,LdgKeyA,"&lt;"&amp;$K1965)+COUNTIFS(LdgSellerB,$F1965,LdgKeyB,"&lt;"&amp;$K1965)+1)</f>
        <v/>
      </c>
      <c r="M1965">
        <f>IF($L1965="","",$F1965&amp;"|"&amp;RIGHT("000000"&amp;$L1965,6))</f>
        <v/>
      </c>
      <c r="N1965">
        <f>IF($F1965="","",IF(Sync!$AF1965="","0000",IF(AND(ISNUMBER(Sync!$AF1965),Sync!$AF1965&gt;=0,Sync!$AF1965&lt;1),RIGHT("00"&amp;HOUR(Sync!$AF1965),2)&amp;RIGHT("00"&amp;MINUTE(Sync!$AF1965),2),IFERROR(RIGHT("00"&amp;VALUE(LEFT(Sync!$AF1965,FIND(":",Sync!$AF1965)-1)),2)&amp;RIGHT("00"&amp;VALUE(MID(Sync!$AF1965,FIND(":",Sync!$AF1965)+1,2)),2),"0000"))))</f>
        <v/>
      </c>
    </row>
    <row r="1966">
      <c r="A1966">
        <f>IF(OR(Calc!$E1970="",Calc!$E1970="نامعتبر",Calc!$G1970=""),"",Calc!$G1970)</f>
        <v/>
      </c>
      <c r="B1966">
        <f>IF($A1966="","",LEFT(Calc!$E1970,4)&amp;MID(Calc!$E1970,6,2)&amp;RIGHT(Calc!$E1970,2)&amp;Calc!$Q1970&amp;"|"&amp;"1"&amp;RIGHT("00000"&amp;1961,5))</f>
        <v/>
      </c>
      <c r="C1966">
        <f>IF($B1966="","",COUNTIFS(LdgSellerA,$A1966,LdgKeyA,"&lt;"&amp;$B1966)+COUNTIFS(LdgSellerB,$A1966,LdgKeyB,"&lt;"&amp;$B1966)+1)</f>
        <v/>
      </c>
      <c r="D1966">
        <f>IF($C1966="","",$A1966&amp;"|"&amp;RIGHT("000000"&amp;$C1966,6))</f>
        <v/>
      </c>
      <c r="F1966">
        <f>IF(Sync!$AH1966="","",IF(LEFT(UPPER(TRIM(Sync!$AH1966)),2)="SL",UPPER(TRIM(Sync!$AH1966)),""))</f>
        <v/>
      </c>
      <c r="G1966">
        <f>IF($F1966="","",IF(Sync!$AE1966="","",IF(ISNUMBER(Sync!$AE1966),IF(AND(Sync!$AE1966&gt;=10000101,Sync!$AE1966&lt;=99991231),INT(Sync!$AE1966/10000),""),IFERROR(VALUE(TRIM(LEFT(Sync!$AE1966,FIND("/",Sync!$AE1966)-1))),""))))</f>
        <v/>
      </c>
      <c r="H1966">
        <f>IF(OR($F1966="",$G1966=""),"",IF(ISNUMBER(Sync!$AE1966),INT(MOD(Sync!$AE1966,10000)/100),IFERROR(VALUE(TRIM(LEFT(MID(Sync!$AE1966,FIND("/",Sync!$AE1966)+1,20),FIND("/",MID(Sync!$AE1966,FIND("/",Sync!$AE1966)+1,20))-1))),"")))</f>
        <v/>
      </c>
      <c r="I1966">
        <f>IF(OR($F1966="",$G1966=""),"",IF(ISNUMBER(Sync!$AE1966),MOD(Sync!$AE1966,100),IFERROR(VALUE(TRIM(MID(MID(Sync!$AE1966,FIND("/",Sync!$AE1966)+1,20),FIND("/",MID(Sync!$AE1966,FIND("/",Sync!$AE1966)+1,20))+1,20))),"")))</f>
        <v/>
      </c>
      <c r="J1966">
        <f>IF($F1966="","",IF(OR($G1966="",$H1966="",$I1966="",$G1966&lt;1300,$G1966&gt;1500,$H1966&lt;1,$H1966&gt;12,$I1966&lt;1,$I1966&gt;31),"نامعتبر",RIGHT("0000"&amp;$G1966,4)&amp;"/"&amp;RIGHT("00"&amp;$H1966,2)&amp;"/"&amp;RIGHT("00"&amp;$I1966,2)))</f>
        <v/>
      </c>
      <c r="K1966">
        <f>IF(OR($F1966="",$J1966="",$J1966="نامعتبر"),"",LEFT($J1966,4)&amp;MID($J1966,6,2)&amp;RIGHT($J1966,2)&amp;$N1966&amp;"|"&amp;"2"&amp;RIGHT("00000"&amp;1961,5))</f>
        <v/>
      </c>
      <c r="L1966">
        <f>IF($K1966="","",COUNTIFS(LdgSellerA,$F1966,LdgKeyA,"&lt;"&amp;$K1966)+COUNTIFS(LdgSellerB,$F1966,LdgKeyB,"&lt;"&amp;$K1966)+1)</f>
        <v/>
      </c>
      <c r="M1966">
        <f>IF($L1966="","",$F1966&amp;"|"&amp;RIGHT("000000"&amp;$L1966,6))</f>
        <v/>
      </c>
      <c r="N1966">
        <f>IF($F1966="","",IF(Sync!$AF1966="","0000",IF(AND(ISNUMBER(Sync!$AF1966),Sync!$AF1966&gt;=0,Sync!$AF1966&lt;1),RIGHT("00"&amp;HOUR(Sync!$AF1966),2)&amp;RIGHT("00"&amp;MINUTE(Sync!$AF1966),2),IFERROR(RIGHT("00"&amp;VALUE(LEFT(Sync!$AF1966,FIND(":",Sync!$AF1966)-1)),2)&amp;RIGHT("00"&amp;VALUE(MID(Sync!$AF1966,FIND(":",Sync!$AF1966)+1,2)),2),"0000"))))</f>
        <v/>
      </c>
    </row>
    <row r="1967">
      <c r="A1967">
        <f>IF(OR(Calc!$E1971="",Calc!$E1971="نامعتبر",Calc!$G1971=""),"",Calc!$G1971)</f>
        <v/>
      </c>
      <c r="B1967">
        <f>IF($A1967="","",LEFT(Calc!$E1971,4)&amp;MID(Calc!$E1971,6,2)&amp;RIGHT(Calc!$E1971,2)&amp;Calc!$Q1971&amp;"|"&amp;"1"&amp;RIGHT("00000"&amp;1962,5))</f>
        <v/>
      </c>
      <c r="C1967">
        <f>IF($B1967="","",COUNTIFS(LdgSellerA,$A1967,LdgKeyA,"&lt;"&amp;$B1967)+COUNTIFS(LdgSellerB,$A1967,LdgKeyB,"&lt;"&amp;$B1967)+1)</f>
        <v/>
      </c>
      <c r="D1967">
        <f>IF($C1967="","",$A1967&amp;"|"&amp;RIGHT("000000"&amp;$C1967,6))</f>
        <v/>
      </c>
      <c r="F1967">
        <f>IF(Sync!$AH1967="","",IF(LEFT(UPPER(TRIM(Sync!$AH1967)),2)="SL",UPPER(TRIM(Sync!$AH1967)),""))</f>
        <v/>
      </c>
      <c r="G1967">
        <f>IF($F1967="","",IF(Sync!$AE1967="","",IF(ISNUMBER(Sync!$AE1967),IF(AND(Sync!$AE1967&gt;=10000101,Sync!$AE1967&lt;=99991231),INT(Sync!$AE1967/10000),""),IFERROR(VALUE(TRIM(LEFT(Sync!$AE1967,FIND("/",Sync!$AE1967)-1))),""))))</f>
        <v/>
      </c>
      <c r="H1967">
        <f>IF(OR($F1967="",$G1967=""),"",IF(ISNUMBER(Sync!$AE1967),INT(MOD(Sync!$AE1967,10000)/100),IFERROR(VALUE(TRIM(LEFT(MID(Sync!$AE1967,FIND("/",Sync!$AE1967)+1,20),FIND("/",MID(Sync!$AE1967,FIND("/",Sync!$AE1967)+1,20))-1))),"")))</f>
        <v/>
      </c>
      <c r="I1967">
        <f>IF(OR($F1967="",$G1967=""),"",IF(ISNUMBER(Sync!$AE1967),MOD(Sync!$AE1967,100),IFERROR(VALUE(TRIM(MID(MID(Sync!$AE1967,FIND("/",Sync!$AE1967)+1,20),FIND("/",MID(Sync!$AE1967,FIND("/",Sync!$AE1967)+1,20))+1,20))),"")))</f>
        <v/>
      </c>
      <c r="J1967">
        <f>IF($F1967="","",IF(OR($G1967="",$H1967="",$I1967="",$G1967&lt;1300,$G1967&gt;1500,$H1967&lt;1,$H1967&gt;12,$I1967&lt;1,$I1967&gt;31),"نامعتبر",RIGHT("0000"&amp;$G1967,4)&amp;"/"&amp;RIGHT("00"&amp;$H1967,2)&amp;"/"&amp;RIGHT("00"&amp;$I1967,2)))</f>
        <v/>
      </c>
      <c r="K1967">
        <f>IF(OR($F1967="",$J1967="",$J1967="نامعتبر"),"",LEFT($J1967,4)&amp;MID($J1967,6,2)&amp;RIGHT($J1967,2)&amp;$N1967&amp;"|"&amp;"2"&amp;RIGHT("00000"&amp;1962,5))</f>
        <v/>
      </c>
      <c r="L1967">
        <f>IF($K1967="","",COUNTIFS(LdgSellerA,$F1967,LdgKeyA,"&lt;"&amp;$K1967)+COUNTIFS(LdgSellerB,$F1967,LdgKeyB,"&lt;"&amp;$K1967)+1)</f>
        <v/>
      </c>
      <c r="M1967">
        <f>IF($L1967="","",$F1967&amp;"|"&amp;RIGHT("000000"&amp;$L1967,6))</f>
        <v/>
      </c>
      <c r="N1967">
        <f>IF($F1967="","",IF(Sync!$AF1967="","0000",IF(AND(ISNUMBER(Sync!$AF1967),Sync!$AF1967&gt;=0,Sync!$AF1967&lt;1),RIGHT("00"&amp;HOUR(Sync!$AF1967),2)&amp;RIGHT("00"&amp;MINUTE(Sync!$AF1967),2),IFERROR(RIGHT("00"&amp;VALUE(LEFT(Sync!$AF1967,FIND(":",Sync!$AF1967)-1)),2)&amp;RIGHT("00"&amp;VALUE(MID(Sync!$AF1967,FIND(":",Sync!$AF1967)+1,2)),2),"0000"))))</f>
        <v/>
      </c>
    </row>
    <row r="1968">
      <c r="A1968">
        <f>IF(OR(Calc!$E1972="",Calc!$E1972="نامعتبر",Calc!$G1972=""),"",Calc!$G1972)</f>
        <v/>
      </c>
      <c r="B1968">
        <f>IF($A1968="","",LEFT(Calc!$E1972,4)&amp;MID(Calc!$E1972,6,2)&amp;RIGHT(Calc!$E1972,2)&amp;Calc!$Q1972&amp;"|"&amp;"1"&amp;RIGHT("00000"&amp;1963,5))</f>
        <v/>
      </c>
      <c r="C1968">
        <f>IF($B1968="","",COUNTIFS(LdgSellerA,$A1968,LdgKeyA,"&lt;"&amp;$B1968)+COUNTIFS(LdgSellerB,$A1968,LdgKeyB,"&lt;"&amp;$B1968)+1)</f>
        <v/>
      </c>
      <c r="D1968">
        <f>IF($C1968="","",$A1968&amp;"|"&amp;RIGHT("000000"&amp;$C1968,6))</f>
        <v/>
      </c>
      <c r="F1968">
        <f>IF(Sync!$AH1968="","",IF(LEFT(UPPER(TRIM(Sync!$AH1968)),2)="SL",UPPER(TRIM(Sync!$AH1968)),""))</f>
        <v/>
      </c>
      <c r="G1968">
        <f>IF($F1968="","",IF(Sync!$AE1968="","",IF(ISNUMBER(Sync!$AE1968),IF(AND(Sync!$AE1968&gt;=10000101,Sync!$AE1968&lt;=99991231),INT(Sync!$AE1968/10000),""),IFERROR(VALUE(TRIM(LEFT(Sync!$AE1968,FIND("/",Sync!$AE1968)-1))),""))))</f>
        <v/>
      </c>
      <c r="H1968">
        <f>IF(OR($F1968="",$G1968=""),"",IF(ISNUMBER(Sync!$AE1968),INT(MOD(Sync!$AE1968,10000)/100),IFERROR(VALUE(TRIM(LEFT(MID(Sync!$AE1968,FIND("/",Sync!$AE1968)+1,20),FIND("/",MID(Sync!$AE1968,FIND("/",Sync!$AE1968)+1,20))-1))),"")))</f>
        <v/>
      </c>
      <c r="I1968">
        <f>IF(OR($F1968="",$G1968=""),"",IF(ISNUMBER(Sync!$AE1968),MOD(Sync!$AE1968,100),IFERROR(VALUE(TRIM(MID(MID(Sync!$AE1968,FIND("/",Sync!$AE1968)+1,20),FIND("/",MID(Sync!$AE1968,FIND("/",Sync!$AE1968)+1,20))+1,20))),"")))</f>
        <v/>
      </c>
      <c r="J1968">
        <f>IF($F1968="","",IF(OR($G1968="",$H1968="",$I1968="",$G1968&lt;1300,$G1968&gt;1500,$H1968&lt;1,$H1968&gt;12,$I1968&lt;1,$I1968&gt;31),"نامعتبر",RIGHT("0000"&amp;$G1968,4)&amp;"/"&amp;RIGHT("00"&amp;$H1968,2)&amp;"/"&amp;RIGHT("00"&amp;$I1968,2)))</f>
        <v/>
      </c>
      <c r="K1968">
        <f>IF(OR($F1968="",$J1968="",$J1968="نامعتبر"),"",LEFT($J1968,4)&amp;MID($J1968,6,2)&amp;RIGHT($J1968,2)&amp;$N1968&amp;"|"&amp;"2"&amp;RIGHT("00000"&amp;1963,5))</f>
        <v/>
      </c>
      <c r="L1968">
        <f>IF($K1968="","",COUNTIFS(LdgSellerA,$F1968,LdgKeyA,"&lt;"&amp;$K1968)+COUNTIFS(LdgSellerB,$F1968,LdgKeyB,"&lt;"&amp;$K1968)+1)</f>
        <v/>
      </c>
      <c r="M1968">
        <f>IF($L1968="","",$F1968&amp;"|"&amp;RIGHT("000000"&amp;$L1968,6))</f>
        <v/>
      </c>
      <c r="N1968">
        <f>IF($F1968="","",IF(Sync!$AF1968="","0000",IF(AND(ISNUMBER(Sync!$AF1968),Sync!$AF1968&gt;=0,Sync!$AF1968&lt;1),RIGHT("00"&amp;HOUR(Sync!$AF1968),2)&amp;RIGHT("00"&amp;MINUTE(Sync!$AF1968),2),IFERROR(RIGHT("00"&amp;VALUE(LEFT(Sync!$AF1968,FIND(":",Sync!$AF1968)-1)),2)&amp;RIGHT("00"&amp;VALUE(MID(Sync!$AF1968,FIND(":",Sync!$AF1968)+1,2)),2),"0000"))))</f>
        <v/>
      </c>
    </row>
    <row r="1969">
      <c r="A1969">
        <f>IF(OR(Calc!$E1973="",Calc!$E1973="نامعتبر",Calc!$G1973=""),"",Calc!$G1973)</f>
        <v/>
      </c>
      <c r="B1969">
        <f>IF($A1969="","",LEFT(Calc!$E1973,4)&amp;MID(Calc!$E1973,6,2)&amp;RIGHT(Calc!$E1973,2)&amp;Calc!$Q1973&amp;"|"&amp;"1"&amp;RIGHT("00000"&amp;1964,5))</f>
        <v/>
      </c>
      <c r="C1969">
        <f>IF($B1969="","",COUNTIFS(LdgSellerA,$A1969,LdgKeyA,"&lt;"&amp;$B1969)+COUNTIFS(LdgSellerB,$A1969,LdgKeyB,"&lt;"&amp;$B1969)+1)</f>
        <v/>
      </c>
      <c r="D1969">
        <f>IF($C1969="","",$A1969&amp;"|"&amp;RIGHT("000000"&amp;$C1969,6))</f>
        <v/>
      </c>
      <c r="F1969">
        <f>IF(Sync!$AH1969="","",IF(LEFT(UPPER(TRIM(Sync!$AH1969)),2)="SL",UPPER(TRIM(Sync!$AH1969)),""))</f>
        <v/>
      </c>
      <c r="G1969">
        <f>IF($F1969="","",IF(Sync!$AE1969="","",IF(ISNUMBER(Sync!$AE1969),IF(AND(Sync!$AE1969&gt;=10000101,Sync!$AE1969&lt;=99991231),INT(Sync!$AE1969/10000),""),IFERROR(VALUE(TRIM(LEFT(Sync!$AE1969,FIND("/",Sync!$AE1969)-1))),""))))</f>
        <v/>
      </c>
      <c r="H1969">
        <f>IF(OR($F1969="",$G1969=""),"",IF(ISNUMBER(Sync!$AE1969),INT(MOD(Sync!$AE1969,10000)/100),IFERROR(VALUE(TRIM(LEFT(MID(Sync!$AE1969,FIND("/",Sync!$AE1969)+1,20),FIND("/",MID(Sync!$AE1969,FIND("/",Sync!$AE1969)+1,20))-1))),"")))</f>
        <v/>
      </c>
      <c r="I1969">
        <f>IF(OR($F1969="",$G1969=""),"",IF(ISNUMBER(Sync!$AE1969),MOD(Sync!$AE1969,100),IFERROR(VALUE(TRIM(MID(MID(Sync!$AE1969,FIND("/",Sync!$AE1969)+1,20),FIND("/",MID(Sync!$AE1969,FIND("/",Sync!$AE1969)+1,20))+1,20))),"")))</f>
        <v/>
      </c>
      <c r="J1969">
        <f>IF($F1969="","",IF(OR($G1969="",$H1969="",$I1969="",$G1969&lt;1300,$G1969&gt;1500,$H1969&lt;1,$H1969&gt;12,$I1969&lt;1,$I1969&gt;31),"نامعتبر",RIGHT("0000"&amp;$G1969,4)&amp;"/"&amp;RIGHT("00"&amp;$H1969,2)&amp;"/"&amp;RIGHT("00"&amp;$I1969,2)))</f>
        <v/>
      </c>
      <c r="K1969">
        <f>IF(OR($F1969="",$J1969="",$J1969="نامعتبر"),"",LEFT($J1969,4)&amp;MID($J1969,6,2)&amp;RIGHT($J1969,2)&amp;$N1969&amp;"|"&amp;"2"&amp;RIGHT("00000"&amp;1964,5))</f>
        <v/>
      </c>
      <c r="L1969">
        <f>IF($K1969="","",COUNTIFS(LdgSellerA,$F1969,LdgKeyA,"&lt;"&amp;$K1969)+COUNTIFS(LdgSellerB,$F1969,LdgKeyB,"&lt;"&amp;$K1969)+1)</f>
        <v/>
      </c>
      <c r="M1969">
        <f>IF($L1969="","",$F1969&amp;"|"&amp;RIGHT("000000"&amp;$L1969,6))</f>
        <v/>
      </c>
      <c r="N1969">
        <f>IF($F1969="","",IF(Sync!$AF1969="","0000",IF(AND(ISNUMBER(Sync!$AF1969),Sync!$AF1969&gt;=0,Sync!$AF1969&lt;1),RIGHT("00"&amp;HOUR(Sync!$AF1969),2)&amp;RIGHT("00"&amp;MINUTE(Sync!$AF1969),2),IFERROR(RIGHT("00"&amp;VALUE(LEFT(Sync!$AF1969,FIND(":",Sync!$AF1969)-1)),2)&amp;RIGHT("00"&amp;VALUE(MID(Sync!$AF1969,FIND(":",Sync!$AF1969)+1,2)),2),"0000"))))</f>
        <v/>
      </c>
    </row>
    <row r="1970">
      <c r="A1970">
        <f>IF(OR(Calc!$E1974="",Calc!$E1974="نامعتبر",Calc!$G1974=""),"",Calc!$G1974)</f>
        <v/>
      </c>
      <c r="B1970">
        <f>IF($A1970="","",LEFT(Calc!$E1974,4)&amp;MID(Calc!$E1974,6,2)&amp;RIGHT(Calc!$E1974,2)&amp;Calc!$Q1974&amp;"|"&amp;"1"&amp;RIGHT("00000"&amp;1965,5))</f>
        <v/>
      </c>
      <c r="C1970">
        <f>IF($B1970="","",COUNTIFS(LdgSellerA,$A1970,LdgKeyA,"&lt;"&amp;$B1970)+COUNTIFS(LdgSellerB,$A1970,LdgKeyB,"&lt;"&amp;$B1970)+1)</f>
        <v/>
      </c>
      <c r="D1970">
        <f>IF($C1970="","",$A1970&amp;"|"&amp;RIGHT("000000"&amp;$C1970,6))</f>
        <v/>
      </c>
      <c r="F1970">
        <f>IF(Sync!$AH1970="","",IF(LEFT(UPPER(TRIM(Sync!$AH1970)),2)="SL",UPPER(TRIM(Sync!$AH1970)),""))</f>
        <v/>
      </c>
      <c r="G1970">
        <f>IF($F1970="","",IF(Sync!$AE1970="","",IF(ISNUMBER(Sync!$AE1970),IF(AND(Sync!$AE1970&gt;=10000101,Sync!$AE1970&lt;=99991231),INT(Sync!$AE1970/10000),""),IFERROR(VALUE(TRIM(LEFT(Sync!$AE1970,FIND("/",Sync!$AE1970)-1))),""))))</f>
        <v/>
      </c>
      <c r="H1970">
        <f>IF(OR($F1970="",$G1970=""),"",IF(ISNUMBER(Sync!$AE1970),INT(MOD(Sync!$AE1970,10000)/100),IFERROR(VALUE(TRIM(LEFT(MID(Sync!$AE1970,FIND("/",Sync!$AE1970)+1,20),FIND("/",MID(Sync!$AE1970,FIND("/",Sync!$AE1970)+1,20))-1))),"")))</f>
        <v/>
      </c>
      <c r="I1970">
        <f>IF(OR($F1970="",$G1970=""),"",IF(ISNUMBER(Sync!$AE1970),MOD(Sync!$AE1970,100),IFERROR(VALUE(TRIM(MID(MID(Sync!$AE1970,FIND("/",Sync!$AE1970)+1,20),FIND("/",MID(Sync!$AE1970,FIND("/",Sync!$AE1970)+1,20))+1,20))),"")))</f>
        <v/>
      </c>
      <c r="J1970">
        <f>IF($F1970="","",IF(OR($G1970="",$H1970="",$I1970="",$G1970&lt;1300,$G1970&gt;1500,$H1970&lt;1,$H1970&gt;12,$I1970&lt;1,$I1970&gt;31),"نامعتبر",RIGHT("0000"&amp;$G1970,4)&amp;"/"&amp;RIGHT("00"&amp;$H1970,2)&amp;"/"&amp;RIGHT("00"&amp;$I1970,2)))</f>
        <v/>
      </c>
      <c r="K1970">
        <f>IF(OR($F1970="",$J1970="",$J1970="نامعتبر"),"",LEFT($J1970,4)&amp;MID($J1970,6,2)&amp;RIGHT($J1970,2)&amp;$N1970&amp;"|"&amp;"2"&amp;RIGHT("00000"&amp;1965,5))</f>
        <v/>
      </c>
      <c r="L1970">
        <f>IF($K1970="","",COUNTIFS(LdgSellerA,$F1970,LdgKeyA,"&lt;"&amp;$K1970)+COUNTIFS(LdgSellerB,$F1970,LdgKeyB,"&lt;"&amp;$K1970)+1)</f>
        <v/>
      </c>
      <c r="M1970">
        <f>IF($L1970="","",$F1970&amp;"|"&amp;RIGHT("000000"&amp;$L1970,6))</f>
        <v/>
      </c>
      <c r="N1970">
        <f>IF($F1970="","",IF(Sync!$AF1970="","0000",IF(AND(ISNUMBER(Sync!$AF1970),Sync!$AF1970&gt;=0,Sync!$AF1970&lt;1),RIGHT("00"&amp;HOUR(Sync!$AF1970),2)&amp;RIGHT("00"&amp;MINUTE(Sync!$AF1970),2),IFERROR(RIGHT("00"&amp;VALUE(LEFT(Sync!$AF1970,FIND(":",Sync!$AF1970)-1)),2)&amp;RIGHT("00"&amp;VALUE(MID(Sync!$AF1970,FIND(":",Sync!$AF1970)+1,2)),2),"0000"))))</f>
        <v/>
      </c>
    </row>
    <row r="1971">
      <c r="A1971">
        <f>IF(OR(Calc!$E1975="",Calc!$E1975="نامعتبر",Calc!$G1975=""),"",Calc!$G1975)</f>
        <v/>
      </c>
      <c r="B1971">
        <f>IF($A1971="","",LEFT(Calc!$E1975,4)&amp;MID(Calc!$E1975,6,2)&amp;RIGHT(Calc!$E1975,2)&amp;Calc!$Q1975&amp;"|"&amp;"1"&amp;RIGHT("00000"&amp;1966,5))</f>
        <v/>
      </c>
      <c r="C1971">
        <f>IF($B1971="","",COUNTIFS(LdgSellerA,$A1971,LdgKeyA,"&lt;"&amp;$B1971)+COUNTIFS(LdgSellerB,$A1971,LdgKeyB,"&lt;"&amp;$B1971)+1)</f>
        <v/>
      </c>
      <c r="D1971">
        <f>IF($C1971="","",$A1971&amp;"|"&amp;RIGHT("000000"&amp;$C1971,6))</f>
        <v/>
      </c>
      <c r="F1971">
        <f>IF(Sync!$AH1971="","",IF(LEFT(UPPER(TRIM(Sync!$AH1971)),2)="SL",UPPER(TRIM(Sync!$AH1971)),""))</f>
        <v/>
      </c>
      <c r="G1971">
        <f>IF($F1971="","",IF(Sync!$AE1971="","",IF(ISNUMBER(Sync!$AE1971),IF(AND(Sync!$AE1971&gt;=10000101,Sync!$AE1971&lt;=99991231),INT(Sync!$AE1971/10000),""),IFERROR(VALUE(TRIM(LEFT(Sync!$AE1971,FIND("/",Sync!$AE1971)-1))),""))))</f>
        <v/>
      </c>
      <c r="H1971">
        <f>IF(OR($F1971="",$G1971=""),"",IF(ISNUMBER(Sync!$AE1971),INT(MOD(Sync!$AE1971,10000)/100),IFERROR(VALUE(TRIM(LEFT(MID(Sync!$AE1971,FIND("/",Sync!$AE1971)+1,20),FIND("/",MID(Sync!$AE1971,FIND("/",Sync!$AE1971)+1,20))-1))),"")))</f>
        <v/>
      </c>
      <c r="I1971">
        <f>IF(OR($F1971="",$G1971=""),"",IF(ISNUMBER(Sync!$AE1971),MOD(Sync!$AE1971,100),IFERROR(VALUE(TRIM(MID(MID(Sync!$AE1971,FIND("/",Sync!$AE1971)+1,20),FIND("/",MID(Sync!$AE1971,FIND("/",Sync!$AE1971)+1,20))+1,20))),"")))</f>
        <v/>
      </c>
      <c r="J1971">
        <f>IF($F1971="","",IF(OR($G1971="",$H1971="",$I1971="",$G1971&lt;1300,$G1971&gt;1500,$H1971&lt;1,$H1971&gt;12,$I1971&lt;1,$I1971&gt;31),"نامعتبر",RIGHT("0000"&amp;$G1971,4)&amp;"/"&amp;RIGHT("00"&amp;$H1971,2)&amp;"/"&amp;RIGHT("00"&amp;$I1971,2)))</f>
        <v/>
      </c>
      <c r="K1971">
        <f>IF(OR($F1971="",$J1971="",$J1971="نامعتبر"),"",LEFT($J1971,4)&amp;MID($J1971,6,2)&amp;RIGHT($J1971,2)&amp;$N1971&amp;"|"&amp;"2"&amp;RIGHT("00000"&amp;1966,5))</f>
        <v/>
      </c>
      <c r="L1971">
        <f>IF($K1971="","",COUNTIFS(LdgSellerA,$F1971,LdgKeyA,"&lt;"&amp;$K1971)+COUNTIFS(LdgSellerB,$F1971,LdgKeyB,"&lt;"&amp;$K1971)+1)</f>
        <v/>
      </c>
      <c r="M1971">
        <f>IF($L1971="","",$F1971&amp;"|"&amp;RIGHT("000000"&amp;$L1971,6))</f>
        <v/>
      </c>
      <c r="N1971">
        <f>IF($F1971="","",IF(Sync!$AF1971="","0000",IF(AND(ISNUMBER(Sync!$AF1971),Sync!$AF1971&gt;=0,Sync!$AF1971&lt;1),RIGHT("00"&amp;HOUR(Sync!$AF1971),2)&amp;RIGHT("00"&amp;MINUTE(Sync!$AF1971),2),IFERROR(RIGHT("00"&amp;VALUE(LEFT(Sync!$AF1971,FIND(":",Sync!$AF1971)-1)),2)&amp;RIGHT("00"&amp;VALUE(MID(Sync!$AF1971,FIND(":",Sync!$AF1971)+1,2)),2),"0000"))))</f>
        <v/>
      </c>
    </row>
    <row r="1972">
      <c r="A1972">
        <f>IF(OR(Calc!$E1976="",Calc!$E1976="نامعتبر",Calc!$G1976=""),"",Calc!$G1976)</f>
        <v/>
      </c>
      <c r="B1972">
        <f>IF($A1972="","",LEFT(Calc!$E1976,4)&amp;MID(Calc!$E1976,6,2)&amp;RIGHT(Calc!$E1976,2)&amp;Calc!$Q1976&amp;"|"&amp;"1"&amp;RIGHT("00000"&amp;1967,5))</f>
        <v/>
      </c>
      <c r="C1972">
        <f>IF($B1972="","",COUNTIFS(LdgSellerA,$A1972,LdgKeyA,"&lt;"&amp;$B1972)+COUNTIFS(LdgSellerB,$A1972,LdgKeyB,"&lt;"&amp;$B1972)+1)</f>
        <v/>
      </c>
      <c r="D1972">
        <f>IF($C1972="","",$A1972&amp;"|"&amp;RIGHT("000000"&amp;$C1972,6))</f>
        <v/>
      </c>
      <c r="F1972">
        <f>IF(Sync!$AH1972="","",IF(LEFT(UPPER(TRIM(Sync!$AH1972)),2)="SL",UPPER(TRIM(Sync!$AH1972)),""))</f>
        <v/>
      </c>
      <c r="G1972">
        <f>IF($F1972="","",IF(Sync!$AE1972="","",IF(ISNUMBER(Sync!$AE1972),IF(AND(Sync!$AE1972&gt;=10000101,Sync!$AE1972&lt;=99991231),INT(Sync!$AE1972/10000),""),IFERROR(VALUE(TRIM(LEFT(Sync!$AE1972,FIND("/",Sync!$AE1972)-1))),""))))</f>
        <v/>
      </c>
      <c r="H1972">
        <f>IF(OR($F1972="",$G1972=""),"",IF(ISNUMBER(Sync!$AE1972),INT(MOD(Sync!$AE1972,10000)/100),IFERROR(VALUE(TRIM(LEFT(MID(Sync!$AE1972,FIND("/",Sync!$AE1972)+1,20),FIND("/",MID(Sync!$AE1972,FIND("/",Sync!$AE1972)+1,20))-1))),"")))</f>
        <v/>
      </c>
      <c r="I1972">
        <f>IF(OR($F1972="",$G1972=""),"",IF(ISNUMBER(Sync!$AE1972),MOD(Sync!$AE1972,100),IFERROR(VALUE(TRIM(MID(MID(Sync!$AE1972,FIND("/",Sync!$AE1972)+1,20),FIND("/",MID(Sync!$AE1972,FIND("/",Sync!$AE1972)+1,20))+1,20))),"")))</f>
        <v/>
      </c>
      <c r="J1972">
        <f>IF($F1972="","",IF(OR($G1972="",$H1972="",$I1972="",$G1972&lt;1300,$G1972&gt;1500,$H1972&lt;1,$H1972&gt;12,$I1972&lt;1,$I1972&gt;31),"نامعتبر",RIGHT("0000"&amp;$G1972,4)&amp;"/"&amp;RIGHT("00"&amp;$H1972,2)&amp;"/"&amp;RIGHT("00"&amp;$I1972,2)))</f>
        <v/>
      </c>
      <c r="K1972">
        <f>IF(OR($F1972="",$J1972="",$J1972="نامعتبر"),"",LEFT($J1972,4)&amp;MID($J1972,6,2)&amp;RIGHT($J1972,2)&amp;$N1972&amp;"|"&amp;"2"&amp;RIGHT("00000"&amp;1967,5))</f>
        <v/>
      </c>
      <c r="L1972">
        <f>IF($K1972="","",COUNTIFS(LdgSellerA,$F1972,LdgKeyA,"&lt;"&amp;$K1972)+COUNTIFS(LdgSellerB,$F1972,LdgKeyB,"&lt;"&amp;$K1972)+1)</f>
        <v/>
      </c>
      <c r="M1972">
        <f>IF($L1972="","",$F1972&amp;"|"&amp;RIGHT("000000"&amp;$L1972,6))</f>
        <v/>
      </c>
      <c r="N1972">
        <f>IF($F1972="","",IF(Sync!$AF1972="","0000",IF(AND(ISNUMBER(Sync!$AF1972),Sync!$AF1972&gt;=0,Sync!$AF1972&lt;1),RIGHT("00"&amp;HOUR(Sync!$AF1972),2)&amp;RIGHT("00"&amp;MINUTE(Sync!$AF1972),2),IFERROR(RIGHT("00"&amp;VALUE(LEFT(Sync!$AF1972,FIND(":",Sync!$AF1972)-1)),2)&amp;RIGHT("00"&amp;VALUE(MID(Sync!$AF1972,FIND(":",Sync!$AF1972)+1,2)),2),"0000"))))</f>
        <v/>
      </c>
    </row>
    <row r="1973">
      <c r="A1973">
        <f>IF(OR(Calc!$E1977="",Calc!$E1977="نامعتبر",Calc!$G1977=""),"",Calc!$G1977)</f>
        <v/>
      </c>
      <c r="B1973">
        <f>IF($A1973="","",LEFT(Calc!$E1977,4)&amp;MID(Calc!$E1977,6,2)&amp;RIGHT(Calc!$E1977,2)&amp;Calc!$Q1977&amp;"|"&amp;"1"&amp;RIGHT("00000"&amp;1968,5))</f>
        <v/>
      </c>
      <c r="C1973">
        <f>IF($B1973="","",COUNTIFS(LdgSellerA,$A1973,LdgKeyA,"&lt;"&amp;$B1973)+COUNTIFS(LdgSellerB,$A1973,LdgKeyB,"&lt;"&amp;$B1973)+1)</f>
        <v/>
      </c>
      <c r="D1973">
        <f>IF($C1973="","",$A1973&amp;"|"&amp;RIGHT("000000"&amp;$C1973,6))</f>
        <v/>
      </c>
      <c r="F1973">
        <f>IF(Sync!$AH1973="","",IF(LEFT(UPPER(TRIM(Sync!$AH1973)),2)="SL",UPPER(TRIM(Sync!$AH1973)),""))</f>
        <v/>
      </c>
      <c r="G1973">
        <f>IF($F1973="","",IF(Sync!$AE1973="","",IF(ISNUMBER(Sync!$AE1973),IF(AND(Sync!$AE1973&gt;=10000101,Sync!$AE1973&lt;=99991231),INT(Sync!$AE1973/10000),""),IFERROR(VALUE(TRIM(LEFT(Sync!$AE1973,FIND("/",Sync!$AE1973)-1))),""))))</f>
        <v/>
      </c>
      <c r="H1973">
        <f>IF(OR($F1973="",$G1973=""),"",IF(ISNUMBER(Sync!$AE1973),INT(MOD(Sync!$AE1973,10000)/100),IFERROR(VALUE(TRIM(LEFT(MID(Sync!$AE1973,FIND("/",Sync!$AE1973)+1,20),FIND("/",MID(Sync!$AE1973,FIND("/",Sync!$AE1973)+1,20))-1))),"")))</f>
        <v/>
      </c>
      <c r="I1973">
        <f>IF(OR($F1973="",$G1973=""),"",IF(ISNUMBER(Sync!$AE1973),MOD(Sync!$AE1973,100),IFERROR(VALUE(TRIM(MID(MID(Sync!$AE1973,FIND("/",Sync!$AE1973)+1,20),FIND("/",MID(Sync!$AE1973,FIND("/",Sync!$AE1973)+1,20))+1,20))),"")))</f>
        <v/>
      </c>
      <c r="J1973">
        <f>IF($F1973="","",IF(OR($G1973="",$H1973="",$I1973="",$G1973&lt;1300,$G1973&gt;1500,$H1973&lt;1,$H1973&gt;12,$I1973&lt;1,$I1973&gt;31),"نامعتبر",RIGHT("0000"&amp;$G1973,4)&amp;"/"&amp;RIGHT("00"&amp;$H1973,2)&amp;"/"&amp;RIGHT("00"&amp;$I1973,2)))</f>
        <v/>
      </c>
      <c r="K1973">
        <f>IF(OR($F1973="",$J1973="",$J1973="نامعتبر"),"",LEFT($J1973,4)&amp;MID($J1973,6,2)&amp;RIGHT($J1973,2)&amp;$N1973&amp;"|"&amp;"2"&amp;RIGHT("00000"&amp;1968,5))</f>
        <v/>
      </c>
      <c r="L1973">
        <f>IF($K1973="","",COUNTIFS(LdgSellerA,$F1973,LdgKeyA,"&lt;"&amp;$K1973)+COUNTIFS(LdgSellerB,$F1973,LdgKeyB,"&lt;"&amp;$K1973)+1)</f>
        <v/>
      </c>
      <c r="M1973">
        <f>IF($L1973="","",$F1973&amp;"|"&amp;RIGHT("000000"&amp;$L1973,6))</f>
        <v/>
      </c>
      <c r="N1973">
        <f>IF($F1973="","",IF(Sync!$AF1973="","0000",IF(AND(ISNUMBER(Sync!$AF1973),Sync!$AF1973&gt;=0,Sync!$AF1973&lt;1),RIGHT("00"&amp;HOUR(Sync!$AF1973),2)&amp;RIGHT("00"&amp;MINUTE(Sync!$AF1973),2),IFERROR(RIGHT("00"&amp;VALUE(LEFT(Sync!$AF1973,FIND(":",Sync!$AF1973)-1)),2)&amp;RIGHT("00"&amp;VALUE(MID(Sync!$AF1973,FIND(":",Sync!$AF1973)+1,2)),2),"0000"))))</f>
        <v/>
      </c>
    </row>
    <row r="1974">
      <c r="A1974">
        <f>IF(OR(Calc!$E1978="",Calc!$E1978="نامعتبر",Calc!$G1978=""),"",Calc!$G1978)</f>
        <v/>
      </c>
      <c r="B1974">
        <f>IF($A1974="","",LEFT(Calc!$E1978,4)&amp;MID(Calc!$E1978,6,2)&amp;RIGHT(Calc!$E1978,2)&amp;Calc!$Q1978&amp;"|"&amp;"1"&amp;RIGHT("00000"&amp;1969,5))</f>
        <v/>
      </c>
      <c r="C1974">
        <f>IF($B1974="","",COUNTIFS(LdgSellerA,$A1974,LdgKeyA,"&lt;"&amp;$B1974)+COUNTIFS(LdgSellerB,$A1974,LdgKeyB,"&lt;"&amp;$B1974)+1)</f>
        <v/>
      </c>
      <c r="D1974">
        <f>IF($C1974="","",$A1974&amp;"|"&amp;RIGHT("000000"&amp;$C1974,6))</f>
        <v/>
      </c>
      <c r="F1974">
        <f>IF(Sync!$AH1974="","",IF(LEFT(UPPER(TRIM(Sync!$AH1974)),2)="SL",UPPER(TRIM(Sync!$AH1974)),""))</f>
        <v/>
      </c>
      <c r="G1974">
        <f>IF($F1974="","",IF(Sync!$AE1974="","",IF(ISNUMBER(Sync!$AE1974),IF(AND(Sync!$AE1974&gt;=10000101,Sync!$AE1974&lt;=99991231),INT(Sync!$AE1974/10000),""),IFERROR(VALUE(TRIM(LEFT(Sync!$AE1974,FIND("/",Sync!$AE1974)-1))),""))))</f>
        <v/>
      </c>
      <c r="H1974">
        <f>IF(OR($F1974="",$G1974=""),"",IF(ISNUMBER(Sync!$AE1974),INT(MOD(Sync!$AE1974,10000)/100),IFERROR(VALUE(TRIM(LEFT(MID(Sync!$AE1974,FIND("/",Sync!$AE1974)+1,20),FIND("/",MID(Sync!$AE1974,FIND("/",Sync!$AE1974)+1,20))-1))),"")))</f>
        <v/>
      </c>
      <c r="I1974">
        <f>IF(OR($F1974="",$G1974=""),"",IF(ISNUMBER(Sync!$AE1974),MOD(Sync!$AE1974,100),IFERROR(VALUE(TRIM(MID(MID(Sync!$AE1974,FIND("/",Sync!$AE1974)+1,20),FIND("/",MID(Sync!$AE1974,FIND("/",Sync!$AE1974)+1,20))+1,20))),"")))</f>
        <v/>
      </c>
      <c r="J1974">
        <f>IF($F1974="","",IF(OR($G1974="",$H1974="",$I1974="",$G1974&lt;1300,$G1974&gt;1500,$H1974&lt;1,$H1974&gt;12,$I1974&lt;1,$I1974&gt;31),"نامعتبر",RIGHT("0000"&amp;$G1974,4)&amp;"/"&amp;RIGHT("00"&amp;$H1974,2)&amp;"/"&amp;RIGHT("00"&amp;$I1974,2)))</f>
        <v/>
      </c>
      <c r="K1974">
        <f>IF(OR($F1974="",$J1974="",$J1974="نامعتبر"),"",LEFT($J1974,4)&amp;MID($J1974,6,2)&amp;RIGHT($J1974,2)&amp;$N1974&amp;"|"&amp;"2"&amp;RIGHT("00000"&amp;1969,5))</f>
        <v/>
      </c>
      <c r="L1974">
        <f>IF($K1974="","",COUNTIFS(LdgSellerA,$F1974,LdgKeyA,"&lt;"&amp;$K1974)+COUNTIFS(LdgSellerB,$F1974,LdgKeyB,"&lt;"&amp;$K1974)+1)</f>
        <v/>
      </c>
      <c r="M1974">
        <f>IF($L1974="","",$F1974&amp;"|"&amp;RIGHT("000000"&amp;$L1974,6))</f>
        <v/>
      </c>
      <c r="N1974">
        <f>IF($F1974="","",IF(Sync!$AF1974="","0000",IF(AND(ISNUMBER(Sync!$AF1974),Sync!$AF1974&gt;=0,Sync!$AF1974&lt;1),RIGHT("00"&amp;HOUR(Sync!$AF1974),2)&amp;RIGHT("00"&amp;MINUTE(Sync!$AF1974),2),IFERROR(RIGHT("00"&amp;VALUE(LEFT(Sync!$AF1974,FIND(":",Sync!$AF1974)-1)),2)&amp;RIGHT("00"&amp;VALUE(MID(Sync!$AF1974,FIND(":",Sync!$AF1974)+1,2)),2),"0000"))))</f>
        <v/>
      </c>
    </row>
    <row r="1975">
      <c r="A1975">
        <f>IF(OR(Calc!$E1979="",Calc!$E1979="نامعتبر",Calc!$G1979=""),"",Calc!$G1979)</f>
        <v/>
      </c>
      <c r="B1975">
        <f>IF($A1975="","",LEFT(Calc!$E1979,4)&amp;MID(Calc!$E1979,6,2)&amp;RIGHT(Calc!$E1979,2)&amp;Calc!$Q1979&amp;"|"&amp;"1"&amp;RIGHT("00000"&amp;1970,5))</f>
        <v/>
      </c>
      <c r="C1975">
        <f>IF($B1975="","",COUNTIFS(LdgSellerA,$A1975,LdgKeyA,"&lt;"&amp;$B1975)+COUNTIFS(LdgSellerB,$A1975,LdgKeyB,"&lt;"&amp;$B1975)+1)</f>
        <v/>
      </c>
      <c r="D1975">
        <f>IF($C1975="","",$A1975&amp;"|"&amp;RIGHT("000000"&amp;$C1975,6))</f>
        <v/>
      </c>
      <c r="F1975">
        <f>IF(Sync!$AH1975="","",IF(LEFT(UPPER(TRIM(Sync!$AH1975)),2)="SL",UPPER(TRIM(Sync!$AH1975)),""))</f>
        <v/>
      </c>
      <c r="G1975">
        <f>IF($F1975="","",IF(Sync!$AE1975="","",IF(ISNUMBER(Sync!$AE1975),IF(AND(Sync!$AE1975&gt;=10000101,Sync!$AE1975&lt;=99991231),INT(Sync!$AE1975/10000),""),IFERROR(VALUE(TRIM(LEFT(Sync!$AE1975,FIND("/",Sync!$AE1975)-1))),""))))</f>
        <v/>
      </c>
      <c r="H1975">
        <f>IF(OR($F1975="",$G1975=""),"",IF(ISNUMBER(Sync!$AE1975),INT(MOD(Sync!$AE1975,10000)/100),IFERROR(VALUE(TRIM(LEFT(MID(Sync!$AE1975,FIND("/",Sync!$AE1975)+1,20),FIND("/",MID(Sync!$AE1975,FIND("/",Sync!$AE1975)+1,20))-1))),"")))</f>
        <v/>
      </c>
      <c r="I1975">
        <f>IF(OR($F1975="",$G1975=""),"",IF(ISNUMBER(Sync!$AE1975),MOD(Sync!$AE1975,100),IFERROR(VALUE(TRIM(MID(MID(Sync!$AE1975,FIND("/",Sync!$AE1975)+1,20),FIND("/",MID(Sync!$AE1975,FIND("/",Sync!$AE1975)+1,20))+1,20))),"")))</f>
        <v/>
      </c>
      <c r="J1975">
        <f>IF($F1975="","",IF(OR($G1975="",$H1975="",$I1975="",$G1975&lt;1300,$G1975&gt;1500,$H1975&lt;1,$H1975&gt;12,$I1975&lt;1,$I1975&gt;31),"نامعتبر",RIGHT("0000"&amp;$G1975,4)&amp;"/"&amp;RIGHT("00"&amp;$H1975,2)&amp;"/"&amp;RIGHT("00"&amp;$I1975,2)))</f>
        <v/>
      </c>
      <c r="K1975">
        <f>IF(OR($F1975="",$J1975="",$J1975="نامعتبر"),"",LEFT($J1975,4)&amp;MID($J1975,6,2)&amp;RIGHT($J1975,2)&amp;$N1975&amp;"|"&amp;"2"&amp;RIGHT("00000"&amp;1970,5))</f>
        <v/>
      </c>
      <c r="L1975">
        <f>IF($K1975="","",COUNTIFS(LdgSellerA,$F1975,LdgKeyA,"&lt;"&amp;$K1975)+COUNTIFS(LdgSellerB,$F1975,LdgKeyB,"&lt;"&amp;$K1975)+1)</f>
        <v/>
      </c>
      <c r="M1975">
        <f>IF($L1975="","",$F1975&amp;"|"&amp;RIGHT("000000"&amp;$L1975,6))</f>
        <v/>
      </c>
      <c r="N1975">
        <f>IF($F1975="","",IF(Sync!$AF1975="","0000",IF(AND(ISNUMBER(Sync!$AF1975),Sync!$AF1975&gt;=0,Sync!$AF1975&lt;1),RIGHT("00"&amp;HOUR(Sync!$AF1975),2)&amp;RIGHT("00"&amp;MINUTE(Sync!$AF1975),2),IFERROR(RIGHT("00"&amp;VALUE(LEFT(Sync!$AF1975,FIND(":",Sync!$AF1975)-1)),2)&amp;RIGHT("00"&amp;VALUE(MID(Sync!$AF1975,FIND(":",Sync!$AF1975)+1,2)),2),"0000"))))</f>
        <v/>
      </c>
    </row>
    <row r="1976">
      <c r="A1976">
        <f>IF(OR(Calc!$E1980="",Calc!$E1980="نامعتبر",Calc!$G1980=""),"",Calc!$G1980)</f>
        <v/>
      </c>
      <c r="B1976">
        <f>IF($A1976="","",LEFT(Calc!$E1980,4)&amp;MID(Calc!$E1980,6,2)&amp;RIGHT(Calc!$E1980,2)&amp;Calc!$Q1980&amp;"|"&amp;"1"&amp;RIGHT("00000"&amp;1971,5))</f>
        <v/>
      </c>
      <c r="C1976">
        <f>IF($B1976="","",COUNTIFS(LdgSellerA,$A1976,LdgKeyA,"&lt;"&amp;$B1976)+COUNTIFS(LdgSellerB,$A1976,LdgKeyB,"&lt;"&amp;$B1976)+1)</f>
        <v/>
      </c>
      <c r="D1976">
        <f>IF($C1976="","",$A1976&amp;"|"&amp;RIGHT("000000"&amp;$C1976,6))</f>
        <v/>
      </c>
      <c r="F1976">
        <f>IF(Sync!$AH1976="","",IF(LEFT(UPPER(TRIM(Sync!$AH1976)),2)="SL",UPPER(TRIM(Sync!$AH1976)),""))</f>
        <v/>
      </c>
      <c r="G1976">
        <f>IF($F1976="","",IF(Sync!$AE1976="","",IF(ISNUMBER(Sync!$AE1976),IF(AND(Sync!$AE1976&gt;=10000101,Sync!$AE1976&lt;=99991231),INT(Sync!$AE1976/10000),""),IFERROR(VALUE(TRIM(LEFT(Sync!$AE1976,FIND("/",Sync!$AE1976)-1))),""))))</f>
        <v/>
      </c>
      <c r="H1976">
        <f>IF(OR($F1976="",$G1976=""),"",IF(ISNUMBER(Sync!$AE1976),INT(MOD(Sync!$AE1976,10000)/100),IFERROR(VALUE(TRIM(LEFT(MID(Sync!$AE1976,FIND("/",Sync!$AE1976)+1,20),FIND("/",MID(Sync!$AE1976,FIND("/",Sync!$AE1976)+1,20))-1))),"")))</f>
        <v/>
      </c>
      <c r="I1976">
        <f>IF(OR($F1976="",$G1976=""),"",IF(ISNUMBER(Sync!$AE1976),MOD(Sync!$AE1976,100),IFERROR(VALUE(TRIM(MID(MID(Sync!$AE1976,FIND("/",Sync!$AE1976)+1,20),FIND("/",MID(Sync!$AE1976,FIND("/",Sync!$AE1976)+1,20))+1,20))),"")))</f>
        <v/>
      </c>
      <c r="J1976">
        <f>IF($F1976="","",IF(OR($G1976="",$H1976="",$I1976="",$G1976&lt;1300,$G1976&gt;1500,$H1976&lt;1,$H1976&gt;12,$I1976&lt;1,$I1976&gt;31),"نامعتبر",RIGHT("0000"&amp;$G1976,4)&amp;"/"&amp;RIGHT("00"&amp;$H1976,2)&amp;"/"&amp;RIGHT("00"&amp;$I1976,2)))</f>
        <v/>
      </c>
      <c r="K1976">
        <f>IF(OR($F1976="",$J1976="",$J1976="نامعتبر"),"",LEFT($J1976,4)&amp;MID($J1976,6,2)&amp;RIGHT($J1976,2)&amp;$N1976&amp;"|"&amp;"2"&amp;RIGHT("00000"&amp;1971,5))</f>
        <v/>
      </c>
      <c r="L1976">
        <f>IF($K1976="","",COUNTIFS(LdgSellerA,$F1976,LdgKeyA,"&lt;"&amp;$K1976)+COUNTIFS(LdgSellerB,$F1976,LdgKeyB,"&lt;"&amp;$K1976)+1)</f>
        <v/>
      </c>
      <c r="M1976">
        <f>IF($L1976="","",$F1976&amp;"|"&amp;RIGHT("000000"&amp;$L1976,6))</f>
        <v/>
      </c>
      <c r="N1976">
        <f>IF($F1976="","",IF(Sync!$AF1976="","0000",IF(AND(ISNUMBER(Sync!$AF1976),Sync!$AF1976&gt;=0,Sync!$AF1976&lt;1),RIGHT("00"&amp;HOUR(Sync!$AF1976),2)&amp;RIGHT("00"&amp;MINUTE(Sync!$AF1976),2),IFERROR(RIGHT("00"&amp;VALUE(LEFT(Sync!$AF1976,FIND(":",Sync!$AF1976)-1)),2)&amp;RIGHT("00"&amp;VALUE(MID(Sync!$AF1976,FIND(":",Sync!$AF1976)+1,2)),2),"0000"))))</f>
        <v/>
      </c>
    </row>
    <row r="1977">
      <c r="A1977">
        <f>IF(OR(Calc!$E1981="",Calc!$E1981="نامعتبر",Calc!$G1981=""),"",Calc!$G1981)</f>
        <v/>
      </c>
      <c r="B1977">
        <f>IF($A1977="","",LEFT(Calc!$E1981,4)&amp;MID(Calc!$E1981,6,2)&amp;RIGHT(Calc!$E1981,2)&amp;Calc!$Q1981&amp;"|"&amp;"1"&amp;RIGHT("00000"&amp;1972,5))</f>
        <v/>
      </c>
      <c r="C1977">
        <f>IF($B1977="","",COUNTIFS(LdgSellerA,$A1977,LdgKeyA,"&lt;"&amp;$B1977)+COUNTIFS(LdgSellerB,$A1977,LdgKeyB,"&lt;"&amp;$B1977)+1)</f>
        <v/>
      </c>
      <c r="D1977">
        <f>IF($C1977="","",$A1977&amp;"|"&amp;RIGHT("000000"&amp;$C1977,6))</f>
        <v/>
      </c>
      <c r="F1977">
        <f>IF(Sync!$AH1977="","",IF(LEFT(UPPER(TRIM(Sync!$AH1977)),2)="SL",UPPER(TRIM(Sync!$AH1977)),""))</f>
        <v/>
      </c>
      <c r="G1977">
        <f>IF($F1977="","",IF(Sync!$AE1977="","",IF(ISNUMBER(Sync!$AE1977),IF(AND(Sync!$AE1977&gt;=10000101,Sync!$AE1977&lt;=99991231),INT(Sync!$AE1977/10000),""),IFERROR(VALUE(TRIM(LEFT(Sync!$AE1977,FIND("/",Sync!$AE1977)-1))),""))))</f>
        <v/>
      </c>
      <c r="H1977">
        <f>IF(OR($F1977="",$G1977=""),"",IF(ISNUMBER(Sync!$AE1977),INT(MOD(Sync!$AE1977,10000)/100),IFERROR(VALUE(TRIM(LEFT(MID(Sync!$AE1977,FIND("/",Sync!$AE1977)+1,20),FIND("/",MID(Sync!$AE1977,FIND("/",Sync!$AE1977)+1,20))-1))),"")))</f>
        <v/>
      </c>
      <c r="I1977">
        <f>IF(OR($F1977="",$G1977=""),"",IF(ISNUMBER(Sync!$AE1977),MOD(Sync!$AE1977,100),IFERROR(VALUE(TRIM(MID(MID(Sync!$AE1977,FIND("/",Sync!$AE1977)+1,20),FIND("/",MID(Sync!$AE1977,FIND("/",Sync!$AE1977)+1,20))+1,20))),"")))</f>
        <v/>
      </c>
      <c r="J1977">
        <f>IF($F1977="","",IF(OR($G1977="",$H1977="",$I1977="",$G1977&lt;1300,$G1977&gt;1500,$H1977&lt;1,$H1977&gt;12,$I1977&lt;1,$I1977&gt;31),"نامعتبر",RIGHT("0000"&amp;$G1977,4)&amp;"/"&amp;RIGHT("00"&amp;$H1977,2)&amp;"/"&amp;RIGHT("00"&amp;$I1977,2)))</f>
        <v/>
      </c>
      <c r="K1977">
        <f>IF(OR($F1977="",$J1977="",$J1977="نامعتبر"),"",LEFT($J1977,4)&amp;MID($J1977,6,2)&amp;RIGHT($J1977,2)&amp;$N1977&amp;"|"&amp;"2"&amp;RIGHT("00000"&amp;1972,5))</f>
        <v/>
      </c>
      <c r="L1977">
        <f>IF($K1977="","",COUNTIFS(LdgSellerA,$F1977,LdgKeyA,"&lt;"&amp;$K1977)+COUNTIFS(LdgSellerB,$F1977,LdgKeyB,"&lt;"&amp;$K1977)+1)</f>
        <v/>
      </c>
      <c r="M1977">
        <f>IF($L1977="","",$F1977&amp;"|"&amp;RIGHT("000000"&amp;$L1977,6))</f>
        <v/>
      </c>
      <c r="N1977">
        <f>IF($F1977="","",IF(Sync!$AF1977="","0000",IF(AND(ISNUMBER(Sync!$AF1977),Sync!$AF1977&gt;=0,Sync!$AF1977&lt;1),RIGHT("00"&amp;HOUR(Sync!$AF1977),2)&amp;RIGHT("00"&amp;MINUTE(Sync!$AF1977),2),IFERROR(RIGHT("00"&amp;VALUE(LEFT(Sync!$AF1977,FIND(":",Sync!$AF1977)-1)),2)&amp;RIGHT("00"&amp;VALUE(MID(Sync!$AF1977,FIND(":",Sync!$AF1977)+1,2)),2),"0000"))))</f>
        <v/>
      </c>
    </row>
    <row r="1978">
      <c r="A1978">
        <f>IF(OR(Calc!$E1982="",Calc!$E1982="نامعتبر",Calc!$G1982=""),"",Calc!$G1982)</f>
        <v/>
      </c>
      <c r="B1978">
        <f>IF($A1978="","",LEFT(Calc!$E1982,4)&amp;MID(Calc!$E1982,6,2)&amp;RIGHT(Calc!$E1982,2)&amp;Calc!$Q1982&amp;"|"&amp;"1"&amp;RIGHT("00000"&amp;1973,5))</f>
        <v/>
      </c>
      <c r="C1978">
        <f>IF($B1978="","",COUNTIFS(LdgSellerA,$A1978,LdgKeyA,"&lt;"&amp;$B1978)+COUNTIFS(LdgSellerB,$A1978,LdgKeyB,"&lt;"&amp;$B1978)+1)</f>
        <v/>
      </c>
      <c r="D1978">
        <f>IF($C1978="","",$A1978&amp;"|"&amp;RIGHT("000000"&amp;$C1978,6))</f>
        <v/>
      </c>
      <c r="F1978">
        <f>IF(Sync!$AH1978="","",IF(LEFT(UPPER(TRIM(Sync!$AH1978)),2)="SL",UPPER(TRIM(Sync!$AH1978)),""))</f>
        <v/>
      </c>
      <c r="G1978">
        <f>IF($F1978="","",IF(Sync!$AE1978="","",IF(ISNUMBER(Sync!$AE1978),IF(AND(Sync!$AE1978&gt;=10000101,Sync!$AE1978&lt;=99991231),INT(Sync!$AE1978/10000),""),IFERROR(VALUE(TRIM(LEFT(Sync!$AE1978,FIND("/",Sync!$AE1978)-1))),""))))</f>
        <v/>
      </c>
      <c r="H1978">
        <f>IF(OR($F1978="",$G1978=""),"",IF(ISNUMBER(Sync!$AE1978),INT(MOD(Sync!$AE1978,10000)/100),IFERROR(VALUE(TRIM(LEFT(MID(Sync!$AE1978,FIND("/",Sync!$AE1978)+1,20),FIND("/",MID(Sync!$AE1978,FIND("/",Sync!$AE1978)+1,20))-1))),"")))</f>
        <v/>
      </c>
      <c r="I1978">
        <f>IF(OR($F1978="",$G1978=""),"",IF(ISNUMBER(Sync!$AE1978),MOD(Sync!$AE1978,100),IFERROR(VALUE(TRIM(MID(MID(Sync!$AE1978,FIND("/",Sync!$AE1978)+1,20),FIND("/",MID(Sync!$AE1978,FIND("/",Sync!$AE1978)+1,20))+1,20))),"")))</f>
        <v/>
      </c>
      <c r="J1978">
        <f>IF($F1978="","",IF(OR($G1978="",$H1978="",$I1978="",$G1978&lt;1300,$G1978&gt;1500,$H1978&lt;1,$H1978&gt;12,$I1978&lt;1,$I1978&gt;31),"نامعتبر",RIGHT("0000"&amp;$G1978,4)&amp;"/"&amp;RIGHT("00"&amp;$H1978,2)&amp;"/"&amp;RIGHT("00"&amp;$I1978,2)))</f>
        <v/>
      </c>
      <c r="K1978">
        <f>IF(OR($F1978="",$J1978="",$J1978="نامعتبر"),"",LEFT($J1978,4)&amp;MID($J1978,6,2)&amp;RIGHT($J1978,2)&amp;$N1978&amp;"|"&amp;"2"&amp;RIGHT("00000"&amp;1973,5))</f>
        <v/>
      </c>
      <c r="L1978">
        <f>IF($K1978="","",COUNTIFS(LdgSellerA,$F1978,LdgKeyA,"&lt;"&amp;$K1978)+COUNTIFS(LdgSellerB,$F1978,LdgKeyB,"&lt;"&amp;$K1978)+1)</f>
        <v/>
      </c>
      <c r="M1978">
        <f>IF($L1978="","",$F1978&amp;"|"&amp;RIGHT("000000"&amp;$L1978,6))</f>
        <v/>
      </c>
      <c r="N1978">
        <f>IF($F1978="","",IF(Sync!$AF1978="","0000",IF(AND(ISNUMBER(Sync!$AF1978),Sync!$AF1978&gt;=0,Sync!$AF1978&lt;1),RIGHT("00"&amp;HOUR(Sync!$AF1978),2)&amp;RIGHT("00"&amp;MINUTE(Sync!$AF1978),2),IFERROR(RIGHT("00"&amp;VALUE(LEFT(Sync!$AF1978,FIND(":",Sync!$AF1978)-1)),2)&amp;RIGHT("00"&amp;VALUE(MID(Sync!$AF1978,FIND(":",Sync!$AF1978)+1,2)),2),"0000"))))</f>
        <v/>
      </c>
    </row>
    <row r="1979">
      <c r="A1979">
        <f>IF(OR(Calc!$E1983="",Calc!$E1983="نامعتبر",Calc!$G1983=""),"",Calc!$G1983)</f>
        <v/>
      </c>
      <c r="B1979">
        <f>IF($A1979="","",LEFT(Calc!$E1983,4)&amp;MID(Calc!$E1983,6,2)&amp;RIGHT(Calc!$E1983,2)&amp;Calc!$Q1983&amp;"|"&amp;"1"&amp;RIGHT("00000"&amp;1974,5))</f>
        <v/>
      </c>
      <c r="C1979">
        <f>IF($B1979="","",COUNTIFS(LdgSellerA,$A1979,LdgKeyA,"&lt;"&amp;$B1979)+COUNTIFS(LdgSellerB,$A1979,LdgKeyB,"&lt;"&amp;$B1979)+1)</f>
        <v/>
      </c>
      <c r="D1979">
        <f>IF($C1979="","",$A1979&amp;"|"&amp;RIGHT("000000"&amp;$C1979,6))</f>
        <v/>
      </c>
      <c r="F1979">
        <f>IF(Sync!$AH1979="","",IF(LEFT(UPPER(TRIM(Sync!$AH1979)),2)="SL",UPPER(TRIM(Sync!$AH1979)),""))</f>
        <v/>
      </c>
      <c r="G1979">
        <f>IF($F1979="","",IF(Sync!$AE1979="","",IF(ISNUMBER(Sync!$AE1979),IF(AND(Sync!$AE1979&gt;=10000101,Sync!$AE1979&lt;=99991231),INT(Sync!$AE1979/10000),""),IFERROR(VALUE(TRIM(LEFT(Sync!$AE1979,FIND("/",Sync!$AE1979)-1))),""))))</f>
        <v/>
      </c>
      <c r="H1979">
        <f>IF(OR($F1979="",$G1979=""),"",IF(ISNUMBER(Sync!$AE1979),INT(MOD(Sync!$AE1979,10000)/100),IFERROR(VALUE(TRIM(LEFT(MID(Sync!$AE1979,FIND("/",Sync!$AE1979)+1,20),FIND("/",MID(Sync!$AE1979,FIND("/",Sync!$AE1979)+1,20))-1))),"")))</f>
        <v/>
      </c>
      <c r="I1979">
        <f>IF(OR($F1979="",$G1979=""),"",IF(ISNUMBER(Sync!$AE1979),MOD(Sync!$AE1979,100),IFERROR(VALUE(TRIM(MID(MID(Sync!$AE1979,FIND("/",Sync!$AE1979)+1,20),FIND("/",MID(Sync!$AE1979,FIND("/",Sync!$AE1979)+1,20))+1,20))),"")))</f>
        <v/>
      </c>
      <c r="J1979">
        <f>IF($F1979="","",IF(OR($G1979="",$H1979="",$I1979="",$G1979&lt;1300,$G1979&gt;1500,$H1979&lt;1,$H1979&gt;12,$I1979&lt;1,$I1979&gt;31),"نامعتبر",RIGHT("0000"&amp;$G1979,4)&amp;"/"&amp;RIGHT("00"&amp;$H1979,2)&amp;"/"&amp;RIGHT("00"&amp;$I1979,2)))</f>
        <v/>
      </c>
      <c r="K1979">
        <f>IF(OR($F1979="",$J1979="",$J1979="نامعتبر"),"",LEFT($J1979,4)&amp;MID($J1979,6,2)&amp;RIGHT($J1979,2)&amp;$N1979&amp;"|"&amp;"2"&amp;RIGHT("00000"&amp;1974,5))</f>
        <v/>
      </c>
      <c r="L1979">
        <f>IF($K1979="","",COUNTIFS(LdgSellerA,$F1979,LdgKeyA,"&lt;"&amp;$K1979)+COUNTIFS(LdgSellerB,$F1979,LdgKeyB,"&lt;"&amp;$K1979)+1)</f>
        <v/>
      </c>
      <c r="M1979">
        <f>IF($L1979="","",$F1979&amp;"|"&amp;RIGHT("000000"&amp;$L1979,6))</f>
        <v/>
      </c>
      <c r="N1979">
        <f>IF($F1979="","",IF(Sync!$AF1979="","0000",IF(AND(ISNUMBER(Sync!$AF1979),Sync!$AF1979&gt;=0,Sync!$AF1979&lt;1),RIGHT("00"&amp;HOUR(Sync!$AF1979),2)&amp;RIGHT("00"&amp;MINUTE(Sync!$AF1979),2),IFERROR(RIGHT("00"&amp;VALUE(LEFT(Sync!$AF1979,FIND(":",Sync!$AF1979)-1)),2)&amp;RIGHT("00"&amp;VALUE(MID(Sync!$AF1979,FIND(":",Sync!$AF1979)+1,2)),2),"0000"))))</f>
        <v/>
      </c>
    </row>
    <row r="1980">
      <c r="A1980">
        <f>IF(OR(Calc!$E1984="",Calc!$E1984="نامعتبر",Calc!$G1984=""),"",Calc!$G1984)</f>
        <v/>
      </c>
      <c r="B1980">
        <f>IF($A1980="","",LEFT(Calc!$E1984,4)&amp;MID(Calc!$E1984,6,2)&amp;RIGHT(Calc!$E1984,2)&amp;Calc!$Q1984&amp;"|"&amp;"1"&amp;RIGHT("00000"&amp;1975,5))</f>
        <v/>
      </c>
      <c r="C1980">
        <f>IF($B1980="","",COUNTIFS(LdgSellerA,$A1980,LdgKeyA,"&lt;"&amp;$B1980)+COUNTIFS(LdgSellerB,$A1980,LdgKeyB,"&lt;"&amp;$B1980)+1)</f>
        <v/>
      </c>
      <c r="D1980">
        <f>IF($C1980="","",$A1980&amp;"|"&amp;RIGHT("000000"&amp;$C1980,6))</f>
        <v/>
      </c>
      <c r="F1980">
        <f>IF(Sync!$AH1980="","",IF(LEFT(UPPER(TRIM(Sync!$AH1980)),2)="SL",UPPER(TRIM(Sync!$AH1980)),""))</f>
        <v/>
      </c>
      <c r="G1980">
        <f>IF($F1980="","",IF(Sync!$AE1980="","",IF(ISNUMBER(Sync!$AE1980),IF(AND(Sync!$AE1980&gt;=10000101,Sync!$AE1980&lt;=99991231),INT(Sync!$AE1980/10000),""),IFERROR(VALUE(TRIM(LEFT(Sync!$AE1980,FIND("/",Sync!$AE1980)-1))),""))))</f>
        <v/>
      </c>
      <c r="H1980">
        <f>IF(OR($F1980="",$G1980=""),"",IF(ISNUMBER(Sync!$AE1980),INT(MOD(Sync!$AE1980,10000)/100),IFERROR(VALUE(TRIM(LEFT(MID(Sync!$AE1980,FIND("/",Sync!$AE1980)+1,20),FIND("/",MID(Sync!$AE1980,FIND("/",Sync!$AE1980)+1,20))-1))),"")))</f>
        <v/>
      </c>
      <c r="I1980">
        <f>IF(OR($F1980="",$G1980=""),"",IF(ISNUMBER(Sync!$AE1980),MOD(Sync!$AE1980,100),IFERROR(VALUE(TRIM(MID(MID(Sync!$AE1980,FIND("/",Sync!$AE1980)+1,20),FIND("/",MID(Sync!$AE1980,FIND("/",Sync!$AE1980)+1,20))+1,20))),"")))</f>
        <v/>
      </c>
      <c r="J1980">
        <f>IF($F1980="","",IF(OR($G1980="",$H1980="",$I1980="",$G1980&lt;1300,$G1980&gt;1500,$H1980&lt;1,$H1980&gt;12,$I1980&lt;1,$I1980&gt;31),"نامعتبر",RIGHT("0000"&amp;$G1980,4)&amp;"/"&amp;RIGHT("00"&amp;$H1980,2)&amp;"/"&amp;RIGHT("00"&amp;$I1980,2)))</f>
        <v/>
      </c>
      <c r="K1980">
        <f>IF(OR($F1980="",$J1980="",$J1980="نامعتبر"),"",LEFT($J1980,4)&amp;MID($J1980,6,2)&amp;RIGHT($J1980,2)&amp;$N1980&amp;"|"&amp;"2"&amp;RIGHT("00000"&amp;1975,5))</f>
        <v/>
      </c>
      <c r="L1980">
        <f>IF($K1980="","",COUNTIFS(LdgSellerA,$F1980,LdgKeyA,"&lt;"&amp;$K1980)+COUNTIFS(LdgSellerB,$F1980,LdgKeyB,"&lt;"&amp;$K1980)+1)</f>
        <v/>
      </c>
      <c r="M1980">
        <f>IF($L1980="","",$F1980&amp;"|"&amp;RIGHT("000000"&amp;$L1980,6))</f>
        <v/>
      </c>
      <c r="N1980">
        <f>IF($F1980="","",IF(Sync!$AF1980="","0000",IF(AND(ISNUMBER(Sync!$AF1980),Sync!$AF1980&gt;=0,Sync!$AF1980&lt;1),RIGHT("00"&amp;HOUR(Sync!$AF1980),2)&amp;RIGHT("00"&amp;MINUTE(Sync!$AF1980),2),IFERROR(RIGHT("00"&amp;VALUE(LEFT(Sync!$AF1980,FIND(":",Sync!$AF1980)-1)),2)&amp;RIGHT("00"&amp;VALUE(MID(Sync!$AF1980,FIND(":",Sync!$AF1980)+1,2)),2),"0000"))))</f>
        <v/>
      </c>
    </row>
    <row r="1981">
      <c r="A1981">
        <f>IF(OR(Calc!$E1985="",Calc!$E1985="نامعتبر",Calc!$G1985=""),"",Calc!$G1985)</f>
        <v/>
      </c>
      <c r="B1981">
        <f>IF($A1981="","",LEFT(Calc!$E1985,4)&amp;MID(Calc!$E1985,6,2)&amp;RIGHT(Calc!$E1985,2)&amp;Calc!$Q1985&amp;"|"&amp;"1"&amp;RIGHT("00000"&amp;1976,5))</f>
        <v/>
      </c>
      <c r="C1981">
        <f>IF($B1981="","",COUNTIFS(LdgSellerA,$A1981,LdgKeyA,"&lt;"&amp;$B1981)+COUNTIFS(LdgSellerB,$A1981,LdgKeyB,"&lt;"&amp;$B1981)+1)</f>
        <v/>
      </c>
      <c r="D1981">
        <f>IF($C1981="","",$A1981&amp;"|"&amp;RIGHT("000000"&amp;$C1981,6))</f>
        <v/>
      </c>
      <c r="F1981">
        <f>IF(Sync!$AH1981="","",IF(LEFT(UPPER(TRIM(Sync!$AH1981)),2)="SL",UPPER(TRIM(Sync!$AH1981)),""))</f>
        <v/>
      </c>
      <c r="G1981">
        <f>IF($F1981="","",IF(Sync!$AE1981="","",IF(ISNUMBER(Sync!$AE1981),IF(AND(Sync!$AE1981&gt;=10000101,Sync!$AE1981&lt;=99991231),INT(Sync!$AE1981/10000),""),IFERROR(VALUE(TRIM(LEFT(Sync!$AE1981,FIND("/",Sync!$AE1981)-1))),""))))</f>
        <v/>
      </c>
      <c r="H1981">
        <f>IF(OR($F1981="",$G1981=""),"",IF(ISNUMBER(Sync!$AE1981),INT(MOD(Sync!$AE1981,10000)/100),IFERROR(VALUE(TRIM(LEFT(MID(Sync!$AE1981,FIND("/",Sync!$AE1981)+1,20),FIND("/",MID(Sync!$AE1981,FIND("/",Sync!$AE1981)+1,20))-1))),"")))</f>
        <v/>
      </c>
      <c r="I1981">
        <f>IF(OR($F1981="",$G1981=""),"",IF(ISNUMBER(Sync!$AE1981),MOD(Sync!$AE1981,100),IFERROR(VALUE(TRIM(MID(MID(Sync!$AE1981,FIND("/",Sync!$AE1981)+1,20),FIND("/",MID(Sync!$AE1981,FIND("/",Sync!$AE1981)+1,20))+1,20))),"")))</f>
        <v/>
      </c>
      <c r="J1981">
        <f>IF($F1981="","",IF(OR($G1981="",$H1981="",$I1981="",$G1981&lt;1300,$G1981&gt;1500,$H1981&lt;1,$H1981&gt;12,$I1981&lt;1,$I1981&gt;31),"نامعتبر",RIGHT("0000"&amp;$G1981,4)&amp;"/"&amp;RIGHT("00"&amp;$H1981,2)&amp;"/"&amp;RIGHT("00"&amp;$I1981,2)))</f>
        <v/>
      </c>
      <c r="K1981">
        <f>IF(OR($F1981="",$J1981="",$J1981="نامعتبر"),"",LEFT($J1981,4)&amp;MID($J1981,6,2)&amp;RIGHT($J1981,2)&amp;$N1981&amp;"|"&amp;"2"&amp;RIGHT("00000"&amp;1976,5))</f>
        <v/>
      </c>
      <c r="L1981">
        <f>IF($K1981="","",COUNTIFS(LdgSellerA,$F1981,LdgKeyA,"&lt;"&amp;$K1981)+COUNTIFS(LdgSellerB,$F1981,LdgKeyB,"&lt;"&amp;$K1981)+1)</f>
        <v/>
      </c>
      <c r="M1981">
        <f>IF($L1981="","",$F1981&amp;"|"&amp;RIGHT("000000"&amp;$L1981,6))</f>
        <v/>
      </c>
      <c r="N1981">
        <f>IF($F1981="","",IF(Sync!$AF1981="","0000",IF(AND(ISNUMBER(Sync!$AF1981),Sync!$AF1981&gt;=0,Sync!$AF1981&lt;1),RIGHT("00"&amp;HOUR(Sync!$AF1981),2)&amp;RIGHT("00"&amp;MINUTE(Sync!$AF1981),2),IFERROR(RIGHT("00"&amp;VALUE(LEFT(Sync!$AF1981,FIND(":",Sync!$AF1981)-1)),2)&amp;RIGHT("00"&amp;VALUE(MID(Sync!$AF1981,FIND(":",Sync!$AF1981)+1,2)),2),"0000"))))</f>
        <v/>
      </c>
    </row>
    <row r="1982">
      <c r="A1982">
        <f>IF(OR(Calc!$E1986="",Calc!$E1986="نامعتبر",Calc!$G1986=""),"",Calc!$G1986)</f>
        <v/>
      </c>
      <c r="B1982">
        <f>IF($A1982="","",LEFT(Calc!$E1986,4)&amp;MID(Calc!$E1986,6,2)&amp;RIGHT(Calc!$E1986,2)&amp;Calc!$Q1986&amp;"|"&amp;"1"&amp;RIGHT("00000"&amp;1977,5))</f>
        <v/>
      </c>
      <c r="C1982">
        <f>IF($B1982="","",COUNTIFS(LdgSellerA,$A1982,LdgKeyA,"&lt;"&amp;$B1982)+COUNTIFS(LdgSellerB,$A1982,LdgKeyB,"&lt;"&amp;$B1982)+1)</f>
        <v/>
      </c>
      <c r="D1982">
        <f>IF($C1982="","",$A1982&amp;"|"&amp;RIGHT("000000"&amp;$C1982,6))</f>
        <v/>
      </c>
      <c r="F1982">
        <f>IF(Sync!$AH1982="","",IF(LEFT(UPPER(TRIM(Sync!$AH1982)),2)="SL",UPPER(TRIM(Sync!$AH1982)),""))</f>
        <v/>
      </c>
      <c r="G1982">
        <f>IF($F1982="","",IF(Sync!$AE1982="","",IF(ISNUMBER(Sync!$AE1982),IF(AND(Sync!$AE1982&gt;=10000101,Sync!$AE1982&lt;=99991231),INT(Sync!$AE1982/10000),""),IFERROR(VALUE(TRIM(LEFT(Sync!$AE1982,FIND("/",Sync!$AE1982)-1))),""))))</f>
        <v/>
      </c>
      <c r="H1982">
        <f>IF(OR($F1982="",$G1982=""),"",IF(ISNUMBER(Sync!$AE1982),INT(MOD(Sync!$AE1982,10000)/100),IFERROR(VALUE(TRIM(LEFT(MID(Sync!$AE1982,FIND("/",Sync!$AE1982)+1,20),FIND("/",MID(Sync!$AE1982,FIND("/",Sync!$AE1982)+1,20))-1))),"")))</f>
        <v/>
      </c>
      <c r="I1982">
        <f>IF(OR($F1982="",$G1982=""),"",IF(ISNUMBER(Sync!$AE1982),MOD(Sync!$AE1982,100),IFERROR(VALUE(TRIM(MID(MID(Sync!$AE1982,FIND("/",Sync!$AE1982)+1,20),FIND("/",MID(Sync!$AE1982,FIND("/",Sync!$AE1982)+1,20))+1,20))),"")))</f>
        <v/>
      </c>
      <c r="J1982">
        <f>IF($F1982="","",IF(OR($G1982="",$H1982="",$I1982="",$G1982&lt;1300,$G1982&gt;1500,$H1982&lt;1,$H1982&gt;12,$I1982&lt;1,$I1982&gt;31),"نامعتبر",RIGHT("0000"&amp;$G1982,4)&amp;"/"&amp;RIGHT("00"&amp;$H1982,2)&amp;"/"&amp;RIGHT("00"&amp;$I1982,2)))</f>
        <v/>
      </c>
      <c r="K1982">
        <f>IF(OR($F1982="",$J1982="",$J1982="نامعتبر"),"",LEFT($J1982,4)&amp;MID($J1982,6,2)&amp;RIGHT($J1982,2)&amp;$N1982&amp;"|"&amp;"2"&amp;RIGHT("00000"&amp;1977,5))</f>
        <v/>
      </c>
      <c r="L1982">
        <f>IF($K1982="","",COUNTIFS(LdgSellerA,$F1982,LdgKeyA,"&lt;"&amp;$K1982)+COUNTIFS(LdgSellerB,$F1982,LdgKeyB,"&lt;"&amp;$K1982)+1)</f>
        <v/>
      </c>
      <c r="M1982">
        <f>IF($L1982="","",$F1982&amp;"|"&amp;RIGHT("000000"&amp;$L1982,6))</f>
        <v/>
      </c>
      <c r="N1982">
        <f>IF($F1982="","",IF(Sync!$AF1982="","0000",IF(AND(ISNUMBER(Sync!$AF1982),Sync!$AF1982&gt;=0,Sync!$AF1982&lt;1),RIGHT("00"&amp;HOUR(Sync!$AF1982),2)&amp;RIGHT("00"&amp;MINUTE(Sync!$AF1982),2),IFERROR(RIGHT("00"&amp;VALUE(LEFT(Sync!$AF1982,FIND(":",Sync!$AF1982)-1)),2)&amp;RIGHT("00"&amp;VALUE(MID(Sync!$AF1982,FIND(":",Sync!$AF1982)+1,2)),2),"0000"))))</f>
        <v/>
      </c>
    </row>
    <row r="1983">
      <c r="A1983">
        <f>IF(OR(Calc!$E1987="",Calc!$E1987="نامعتبر",Calc!$G1987=""),"",Calc!$G1987)</f>
        <v/>
      </c>
      <c r="B1983">
        <f>IF($A1983="","",LEFT(Calc!$E1987,4)&amp;MID(Calc!$E1987,6,2)&amp;RIGHT(Calc!$E1987,2)&amp;Calc!$Q1987&amp;"|"&amp;"1"&amp;RIGHT("00000"&amp;1978,5))</f>
        <v/>
      </c>
      <c r="C1983">
        <f>IF($B1983="","",COUNTIFS(LdgSellerA,$A1983,LdgKeyA,"&lt;"&amp;$B1983)+COUNTIFS(LdgSellerB,$A1983,LdgKeyB,"&lt;"&amp;$B1983)+1)</f>
        <v/>
      </c>
      <c r="D1983">
        <f>IF($C1983="","",$A1983&amp;"|"&amp;RIGHT("000000"&amp;$C1983,6))</f>
        <v/>
      </c>
      <c r="F1983">
        <f>IF(Sync!$AH1983="","",IF(LEFT(UPPER(TRIM(Sync!$AH1983)),2)="SL",UPPER(TRIM(Sync!$AH1983)),""))</f>
        <v/>
      </c>
      <c r="G1983">
        <f>IF($F1983="","",IF(Sync!$AE1983="","",IF(ISNUMBER(Sync!$AE1983),IF(AND(Sync!$AE1983&gt;=10000101,Sync!$AE1983&lt;=99991231),INT(Sync!$AE1983/10000),""),IFERROR(VALUE(TRIM(LEFT(Sync!$AE1983,FIND("/",Sync!$AE1983)-1))),""))))</f>
        <v/>
      </c>
      <c r="H1983">
        <f>IF(OR($F1983="",$G1983=""),"",IF(ISNUMBER(Sync!$AE1983),INT(MOD(Sync!$AE1983,10000)/100),IFERROR(VALUE(TRIM(LEFT(MID(Sync!$AE1983,FIND("/",Sync!$AE1983)+1,20),FIND("/",MID(Sync!$AE1983,FIND("/",Sync!$AE1983)+1,20))-1))),"")))</f>
        <v/>
      </c>
      <c r="I1983">
        <f>IF(OR($F1983="",$G1983=""),"",IF(ISNUMBER(Sync!$AE1983),MOD(Sync!$AE1983,100),IFERROR(VALUE(TRIM(MID(MID(Sync!$AE1983,FIND("/",Sync!$AE1983)+1,20),FIND("/",MID(Sync!$AE1983,FIND("/",Sync!$AE1983)+1,20))+1,20))),"")))</f>
        <v/>
      </c>
      <c r="J1983">
        <f>IF($F1983="","",IF(OR($G1983="",$H1983="",$I1983="",$G1983&lt;1300,$G1983&gt;1500,$H1983&lt;1,$H1983&gt;12,$I1983&lt;1,$I1983&gt;31),"نامعتبر",RIGHT("0000"&amp;$G1983,4)&amp;"/"&amp;RIGHT("00"&amp;$H1983,2)&amp;"/"&amp;RIGHT("00"&amp;$I1983,2)))</f>
        <v/>
      </c>
      <c r="K1983">
        <f>IF(OR($F1983="",$J1983="",$J1983="نامعتبر"),"",LEFT($J1983,4)&amp;MID($J1983,6,2)&amp;RIGHT($J1983,2)&amp;$N1983&amp;"|"&amp;"2"&amp;RIGHT("00000"&amp;1978,5))</f>
        <v/>
      </c>
      <c r="L1983">
        <f>IF($K1983="","",COUNTIFS(LdgSellerA,$F1983,LdgKeyA,"&lt;"&amp;$K1983)+COUNTIFS(LdgSellerB,$F1983,LdgKeyB,"&lt;"&amp;$K1983)+1)</f>
        <v/>
      </c>
      <c r="M1983">
        <f>IF($L1983="","",$F1983&amp;"|"&amp;RIGHT("000000"&amp;$L1983,6))</f>
        <v/>
      </c>
      <c r="N1983">
        <f>IF($F1983="","",IF(Sync!$AF1983="","0000",IF(AND(ISNUMBER(Sync!$AF1983),Sync!$AF1983&gt;=0,Sync!$AF1983&lt;1),RIGHT("00"&amp;HOUR(Sync!$AF1983),2)&amp;RIGHT("00"&amp;MINUTE(Sync!$AF1983),2),IFERROR(RIGHT("00"&amp;VALUE(LEFT(Sync!$AF1983,FIND(":",Sync!$AF1983)-1)),2)&amp;RIGHT("00"&amp;VALUE(MID(Sync!$AF1983,FIND(":",Sync!$AF1983)+1,2)),2),"0000"))))</f>
        <v/>
      </c>
    </row>
    <row r="1984">
      <c r="A1984">
        <f>IF(OR(Calc!$E1988="",Calc!$E1988="نامعتبر",Calc!$G1988=""),"",Calc!$G1988)</f>
        <v/>
      </c>
      <c r="B1984">
        <f>IF($A1984="","",LEFT(Calc!$E1988,4)&amp;MID(Calc!$E1988,6,2)&amp;RIGHT(Calc!$E1988,2)&amp;Calc!$Q1988&amp;"|"&amp;"1"&amp;RIGHT("00000"&amp;1979,5))</f>
        <v/>
      </c>
      <c r="C1984">
        <f>IF($B1984="","",COUNTIFS(LdgSellerA,$A1984,LdgKeyA,"&lt;"&amp;$B1984)+COUNTIFS(LdgSellerB,$A1984,LdgKeyB,"&lt;"&amp;$B1984)+1)</f>
        <v/>
      </c>
      <c r="D1984">
        <f>IF($C1984="","",$A1984&amp;"|"&amp;RIGHT("000000"&amp;$C1984,6))</f>
        <v/>
      </c>
      <c r="F1984">
        <f>IF(Sync!$AH1984="","",IF(LEFT(UPPER(TRIM(Sync!$AH1984)),2)="SL",UPPER(TRIM(Sync!$AH1984)),""))</f>
        <v/>
      </c>
      <c r="G1984">
        <f>IF($F1984="","",IF(Sync!$AE1984="","",IF(ISNUMBER(Sync!$AE1984),IF(AND(Sync!$AE1984&gt;=10000101,Sync!$AE1984&lt;=99991231),INT(Sync!$AE1984/10000),""),IFERROR(VALUE(TRIM(LEFT(Sync!$AE1984,FIND("/",Sync!$AE1984)-1))),""))))</f>
        <v/>
      </c>
      <c r="H1984">
        <f>IF(OR($F1984="",$G1984=""),"",IF(ISNUMBER(Sync!$AE1984),INT(MOD(Sync!$AE1984,10000)/100),IFERROR(VALUE(TRIM(LEFT(MID(Sync!$AE1984,FIND("/",Sync!$AE1984)+1,20),FIND("/",MID(Sync!$AE1984,FIND("/",Sync!$AE1984)+1,20))-1))),"")))</f>
        <v/>
      </c>
      <c r="I1984">
        <f>IF(OR($F1984="",$G1984=""),"",IF(ISNUMBER(Sync!$AE1984),MOD(Sync!$AE1984,100),IFERROR(VALUE(TRIM(MID(MID(Sync!$AE1984,FIND("/",Sync!$AE1984)+1,20),FIND("/",MID(Sync!$AE1984,FIND("/",Sync!$AE1984)+1,20))+1,20))),"")))</f>
        <v/>
      </c>
      <c r="J1984">
        <f>IF($F1984="","",IF(OR($G1984="",$H1984="",$I1984="",$G1984&lt;1300,$G1984&gt;1500,$H1984&lt;1,$H1984&gt;12,$I1984&lt;1,$I1984&gt;31),"نامعتبر",RIGHT("0000"&amp;$G1984,4)&amp;"/"&amp;RIGHT("00"&amp;$H1984,2)&amp;"/"&amp;RIGHT("00"&amp;$I1984,2)))</f>
        <v/>
      </c>
      <c r="K1984">
        <f>IF(OR($F1984="",$J1984="",$J1984="نامعتبر"),"",LEFT($J1984,4)&amp;MID($J1984,6,2)&amp;RIGHT($J1984,2)&amp;$N1984&amp;"|"&amp;"2"&amp;RIGHT("00000"&amp;1979,5))</f>
        <v/>
      </c>
      <c r="L1984">
        <f>IF($K1984="","",COUNTIFS(LdgSellerA,$F1984,LdgKeyA,"&lt;"&amp;$K1984)+COUNTIFS(LdgSellerB,$F1984,LdgKeyB,"&lt;"&amp;$K1984)+1)</f>
        <v/>
      </c>
      <c r="M1984">
        <f>IF($L1984="","",$F1984&amp;"|"&amp;RIGHT("000000"&amp;$L1984,6))</f>
        <v/>
      </c>
      <c r="N1984">
        <f>IF($F1984="","",IF(Sync!$AF1984="","0000",IF(AND(ISNUMBER(Sync!$AF1984),Sync!$AF1984&gt;=0,Sync!$AF1984&lt;1),RIGHT("00"&amp;HOUR(Sync!$AF1984),2)&amp;RIGHT("00"&amp;MINUTE(Sync!$AF1984),2),IFERROR(RIGHT("00"&amp;VALUE(LEFT(Sync!$AF1984,FIND(":",Sync!$AF1984)-1)),2)&amp;RIGHT("00"&amp;VALUE(MID(Sync!$AF1984,FIND(":",Sync!$AF1984)+1,2)),2),"0000"))))</f>
        <v/>
      </c>
    </row>
    <row r="1985">
      <c r="A1985">
        <f>IF(OR(Calc!$E1989="",Calc!$E1989="نامعتبر",Calc!$G1989=""),"",Calc!$G1989)</f>
        <v/>
      </c>
      <c r="B1985">
        <f>IF($A1985="","",LEFT(Calc!$E1989,4)&amp;MID(Calc!$E1989,6,2)&amp;RIGHT(Calc!$E1989,2)&amp;Calc!$Q1989&amp;"|"&amp;"1"&amp;RIGHT("00000"&amp;1980,5))</f>
        <v/>
      </c>
      <c r="C1985">
        <f>IF($B1985="","",COUNTIFS(LdgSellerA,$A1985,LdgKeyA,"&lt;"&amp;$B1985)+COUNTIFS(LdgSellerB,$A1985,LdgKeyB,"&lt;"&amp;$B1985)+1)</f>
        <v/>
      </c>
      <c r="D1985">
        <f>IF($C1985="","",$A1985&amp;"|"&amp;RIGHT("000000"&amp;$C1985,6))</f>
        <v/>
      </c>
      <c r="F1985">
        <f>IF(Sync!$AH1985="","",IF(LEFT(UPPER(TRIM(Sync!$AH1985)),2)="SL",UPPER(TRIM(Sync!$AH1985)),""))</f>
        <v/>
      </c>
      <c r="G1985">
        <f>IF($F1985="","",IF(Sync!$AE1985="","",IF(ISNUMBER(Sync!$AE1985),IF(AND(Sync!$AE1985&gt;=10000101,Sync!$AE1985&lt;=99991231),INT(Sync!$AE1985/10000),""),IFERROR(VALUE(TRIM(LEFT(Sync!$AE1985,FIND("/",Sync!$AE1985)-1))),""))))</f>
        <v/>
      </c>
      <c r="H1985">
        <f>IF(OR($F1985="",$G1985=""),"",IF(ISNUMBER(Sync!$AE1985),INT(MOD(Sync!$AE1985,10000)/100),IFERROR(VALUE(TRIM(LEFT(MID(Sync!$AE1985,FIND("/",Sync!$AE1985)+1,20),FIND("/",MID(Sync!$AE1985,FIND("/",Sync!$AE1985)+1,20))-1))),"")))</f>
        <v/>
      </c>
      <c r="I1985">
        <f>IF(OR($F1985="",$G1985=""),"",IF(ISNUMBER(Sync!$AE1985),MOD(Sync!$AE1985,100),IFERROR(VALUE(TRIM(MID(MID(Sync!$AE1985,FIND("/",Sync!$AE1985)+1,20),FIND("/",MID(Sync!$AE1985,FIND("/",Sync!$AE1985)+1,20))+1,20))),"")))</f>
        <v/>
      </c>
      <c r="J1985">
        <f>IF($F1985="","",IF(OR($G1985="",$H1985="",$I1985="",$G1985&lt;1300,$G1985&gt;1500,$H1985&lt;1,$H1985&gt;12,$I1985&lt;1,$I1985&gt;31),"نامعتبر",RIGHT("0000"&amp;$G1985,4)&amp;"/"&amp;RIGHT("00"&amp;$H1985,2)&amp;"/"&amp;RIGHT("00"&amp;$I1985,2)))</f>
        <v/>
      </c>
      <c r="K1985">
        <f>IF(OR($F1985="",$J1985="",$J1985="نامعتبر"),"",LEFT($J1985,4)&amp;MID($J1985,6,2)&amp;RIGHT($J1985,2)&amp;$N1985&amp;"|"&amp;"2"&amp;RIGHT("00000"&amp;1980,5))</f>
        <v/>
      </c>
      <c r="L1985">
        <f>IF($K1985="","",COUNTIFS(LdgSellerA,$F1985,LdgKeyA,"&lt;"&amp;$K1985)+COUNTIFS(LdgSellerB,$F1985,LdgKeyB,"&lt;"&amp;$K1985)+1)</f>
        <v/>
      </c>
      <c r="M1985">
        <f>IF($L1985="","",$F1985&amp;"|"&amp;RIGHT("000000"&amp;$L1985,6))</f>
        <v/>
      </c>
      <c r="N1985">
        <f>IF($F1985="","",IF(Sync!$AF1985="","0000",IF(AND(ISNUMBER(Sync!$AF1985),Sync!$AF1985&gt;=0,Sync!$AF1985&lt;1),RIGHT("00"&amp;HOUR(Sync!$AF1985),2)&amp;RIGHT("00"&amp;MINUTE(Sync!$AF1985),2),IFERROR(RIGHT("00"&amp;VALUE(LEFT(Sync!$AF1985,FIND(":",Sync!$AF1985)-1)),2)&amp;RIGHT("00"&amp;VALUE(MID(Sync!$AF1985,FIND(":",Sync!$AF1985)+1,2)),2),"0000"))))</f>
        <v/>
      </c>
    </row>
    <row r="1986">
      <c r="A1986">
        <f>IF(OR(Calc!$E1990="",Calc!$E1990="نامعتبر",Calc!$G1990=""),"",Calc!$G1990)</f>
        <v/>
      </c>
      <c r="B1986">
        <f>IF($A1986="","",LEFT(Calc!$E1990,4)&amp;MID(Calc!$E1990,6,2)&amp;RIGHT(Calc!$E1990,2)&amp;Calc!$Q1990&amp;"|"&amp;"1"&amp;RIGHT("00000"&amp;1981,5))</f>
        <v/>
      </c>
      <c r="C1986">
        <f>IF($B1986="","",COUNTIFS(LdgSellerA,$A1986,LdgKeyA,"&lt;"&amp;$B1986)+COUNTIFS(LdgSellerB,$A1986,LdgKeyB,"&lt;"&amp;$B1986)+1)</f>
        <v/>
      </c>
      <c r="D1986">
        <f>IF($C1986="","",$A1986&amp;"|"&amp;RIGHT("000000"&amp;$C1986,6))</f>
        <v/>
      </c>
      <c r="F1986">
        <f>IF(Sync!$AH1986="","",IF(LEFT(UPPER(TRIM(Sync!$AH1986)),2)="SL",UPPER(TRIM(Sync!$AH1986)),""))</f>
        <v/>
      </c>
      <c r="G1986">
        <f>IF($F1986="","",IF(Sync!$AE1986="","",IF(ISNUMBER(Sync!$AE1986),IF(AND(Sync!$AE1986&gt;=10000101,Sync!$AE1986&lt;=99991231),INT(Sync!$AE1986/10000),""),IFERROR(VALUE(TRIM(LEFT(Sync!$AE1986,FIND("/",Sync!$AE1986)-1))),""))))</f>
        <v/>
      </c>
      <c r="H1986">
        <f>IF(OR($F1986="",$G1986=""),"",IF(ISNUMBER(Sync!$AE1986),INT(MOD(Sync!$AE1986,10000)/100),IFERROR(VALUE(TRIM(LEFT(MID(Sync!$AE1986,FIND("/",Sync!$AE1986)+1,20),FIND("/",MID(Sync!$AE1986,FIND("/",Sync!$AE1986)+1,20))-1))),"")))</f>
        <v/>
      </c>
      <c r="I1986">
        <f>IF(OR($F1986="",$G1986=""),"",IF(ISNUMBER(Sync!$AE1986),MOD(Sync!$AE1986,100),IFERROR(VALUE(TRIM(MID(MID(Sync!$AE1986,FIND("/",Sync!$AE1986)+1,20),FIND("/",MID(Sync!$AE1986,FIND("/",Sync!$AE1986)+1,20))+1,20))),"")))</f>
        <v/>
      </c>
      <c r="J1986">
        <f>IF($F1986="","",IF(OR($G1986="",$H1986="",$I1986="",$G1986&lt;1300,$G1986&gt;1500,$H1986&lt;1,$H1986&gt;12,$I1986&lt;1,$I1986&gt;31),"نامعتبر",RIGHT("0000"&amp;$G1986,4)&amp;"/"&amp;RIGHT("00"&amp;$H1986,2)&amp;"/"&amp;RIGHT("00"&amp;$I1986,2)))</f>
        <v/>
      </c>
      <c r="K1986">
        <f>IF(OR($F1986="",$J1986="",$J1986="نامعتبر"),"",LEFT($J1986,4)&amp;MID($J1986,6,2)&amp;RIGHT($J1986,2)&amp;$N1986&amp;"|"&amp;"2"&amp;RIGHT("00000"&amp;1981,5))</f>
        <v/>
      </c>
      <c r="L1986">
        <f>IF($K1986="","",COUNTIFS(LdgSellerA,$F1986,LdgKeyA,"&lt;"&amp;$K1986)+COUNTIFS(LdgSellerB,$F1986,LdgKeyB,"&lt;"&amp;$K1986)+1)</f>
        <v/>
      </c>
      <c r="M1986">
        <f>IF($L1986="","",$F1986&amp;"|"&amp;RIGHT("000000"&amp;$L1986,6))</f>
        <v/>
      </c>
      <c r="N1986">
        <f>IF($F1986="","",IF(Sync!$AF1986="","0000",IF(AND(ISNUMBER(Sync!$AF1986),Sync!$AF1986&gt;=0,Sync!$AF1986&lt;1),RIGHT("00"&amp;HOUR(Sync!$AF1986),2)&amp;RIGHT("00"&amp;MINUTE(Sync!$AF1986),2),IFERROR(RIGHT("00"&amp;VALUE(LEFT(Sync!$AF1986,FIND(":",Sync!$AF1986)-1)),2)&amp;RIGHT("00"&amp;VALUE(MID(Sync!$AF1986,FIND(":",Sync!$AF1986)+1,2)),2),"0000"))))</f>
        <v/>
      </c>
    </row>
    <row r="1987">
      <c r="A1987">
        <f>IF(OR(Calc!$E1991="",Calc!$E1991="نامعتبر",Calc!$G1991=""),"",Calc!$G1991)</f>
        <v/>
      </c>
      <c r="B1987">
        <f>IF($A1987="","",LEFT(Calc!$E1991,4)&amp;MID(Calc!$E1991,6,2)&amp;RIGHT(Calc!$E1991,2)&amp;Calc!$Q1991&amp;"|"&amp;"1"&amp;RIGHT("00000"&amp;1982,5))</f>
        <v/>
      </c>
      <c r="C1987">
        <f>IF($B1987="","",COUNTIFS(LdgSellerA,$A1987,LdgKeyA,"&lt;"&amp;$B1987)+COUNTIFS(LdgSellerB,$A1987,LdgKeyB,"&lt;"&amp;$B1987)+1)</f>
        <v/>
      </c>
      <c r="D1987">
        <f>IF($C1987="","",$A1987&amp;"|"&amp;RIGHT("000000"&amp;$C1987,6))</f>
        <v/>
      </c>
      <c r="F1987">
        <f>IF(Sync!$AH1987="","",IF(LEFT(UPPER(TRIM(Sync!$AH1987)),2)="SL",UPPER(TRIM(Sync!$AH1987)),""))</f>
        <v/>
      </c>
      <c r="G1987">
        <f>IF($F1987="","",IF(Sync!$AE1987="","",IF(ISNUMBER(Sync!$AE1987),IF(AND(Sync!$AE1987&gt;=10000101,Sync!$AE1987&lt;=99991231),INT(Sync!$AE1987/10000),""),IFERROR(VALUE(TRIM(LEFT(Sync!$AE1987,FIND("/",Sync!$AE1987)-1))),""))))</f>
        <v/>
      </c>
      <c r="H1987">
        <f>IF(OR($F1987="",$G1987=""),"",IF(ISNUMBER(Sync!$AE1987),INT(MOD(Sync!$AE1987,10000)/100),IFERROR(VALUE(TRIM(LEFT(MID(Sync!$AE1987,FIND("/",Sync!$AE1987)+1,20),FIND("/",MID(Sync!$AE1987,FIND("/",Sync!$AE1987)+1,20))-1))),"")))</f>
        <v/>
      </c>
      <c r="I1987">
        <f>IF(OR($F1987="",$G1987=""),"",IF(ISNUMBER(Sync!$AE1987),MOD(Sync!$AE1987,100),IFERROR(VALUE(TRIM(MID(MID(Sync!$AE1987,FIND("/",Sync!$AE1987)+1,20),FIND("/",MID(Sync!$AE1987,FIND("/",Sync!$AE1987)+1,20))+1,20))),"")))</f>
        <v/>
      </c>
      <c r="J1987">
        <f>IF($F1987="","",IF(OR($G1987="",$H1987="",$I1987="",$G1987&lt;1300,$G1987&gt;1500,$H1987&lt;1,$H1987&gt;12,$I1987&lt;1,$I1987&gt;31),"نامعتبر",RIGHT("0000"&amp;$G1987,4)&amp;"/"&amp;RIGHT("00"&amp;$H1987,2)&amp;"/"&amp;RIGHT("00"&amp;$I1987,2)))</f>
        <v/>
      </c>
      <c r="K1987">
        <f>IF(OR($F1987="",$J1987="",$J1987="نامعتبر"),"",LEFT($J1987,4)&amp;MID($J1987,6,2)&amp;RIGHT($J1987,2)&amp;$N1987&amp;"|"&amp;"2"&amp;RIGHT("00000"&amp;1982,5))</f>
        <v/>
      </c>
      <c r="L1987">
        <f>IF($K1987="","",COUNTIFS(LdgSellerA,$F1987,LdgKeyA,"&lt;"&amp;$K1987)+COUNTIFS(LdgSellerB,$F1987,LdgKeyB,"&lt;"&amp;$K1987)+1)</f>
        <v/>
      </c>
      <c r="M1987">
        <f>IF($L1987="","",$F1987&amp;"|"&amp;RIGHT("000000"&amp;$L1987,6))</f>
        <v/>
      </c>
      <c r="N1987">
        <f>IF($F1987="","",IF(Sync!$AF1987="","0000",IF(AND(ISNUMBER(Sync!$AF1987),Sync!$AF1987&gt;=0,Sync!$AF1987&lt;1),RIGHT("00"&amp;HOUR(Sync!$AF1987),2)&amp;RIGHT("00"&amp;MINUTE(Sync!$AF1987),2),IFERROR(RIGHT("00"&amp;VALUE(LEFT(Sync!$AF1987,FIND(":",Sync!$AF1987)-1)),2)&amp;RIGHT("00"&amp;VALUE(MID(Sync!$AF1987,FIND(":",Sync!$AF1987)+1,2)),2),"0000"))))</f>
        <v/>
      </c>
    </row>
    <row r="1988">
      <c r="A1988">
        <f>IF(OR(Calc!$E1992="",Calc!$E1992="نامعتبر",Calc!$G1992=""),"",Calc!$G1992)</f>
        <v/>
      </c>
      <c r="B1988">
        <f>IF($A1988="","",LEFT(Calc!$E1992,4)&amp;MID(Calc!$E1992,6,2)&amp;RIGHT(Calc!$E1992,2)&amp;Calc!$Q1992&amp;"|"&amp;"1"&amp;RIGHT("00000"&amp;1983,5))</f>
        <v/>
      </c>
      <c r="C1988">
        <f>IF($B1988="","",COUNTIFS(LdgSellerA,$A1988,LdgKeyA,"&lt;"&amp;$B1988)+COUNTIFS(LdgSellerB,$A1988,LdgKeyB,"&lt;"&amp;$B1988)+1)</f>
        <v/>
      </c>
      <c r="D1988">
        <f>IF($C1988="","",$A1988&amp;"|"&amp;RIGHT("000000"&amp;$C1988,6))</f>
        <v/>
      </c>
      <c r="F1988">
        <f>IF(Sync!$AH1988="","",IF(LEFT(UPPER(TRIM(Sync!$AH1988)),2)="SL",UPPER(TRIM(Sync!$AH1988)),""))</f>
        <v/>
      </c>
      <c r="G1988">
        <f>IF($F1988="","",IF(Sync!$AE1988="","",IF(ISNUMBER(Sync!$AE1988),IF(AND(Sync!$AE1988&gt;=10000101,Sync!$AE1988&lt;=99991231),INT(Sync!$AE1988/10000),""),IFERROR(VALUE(TRIM(LEFT(Sync!$AE1988,FIND("/",Sync!$AE1988)-1))),""))))</f>
        <v/>
      </c>
      <c r="H1988">
        <f>IF(OR($F1988="",$G1988=""),"",IF(ISNUMBER(Sync!$AE1988),INT(MOD(Sync!$AE1988,10000)/100),IFERROR(VALUE(TRIM(LEFT(MID(Sync!$AE1988,FIND("/",Sync!$AE1988)+1,20),FIND("/",MID(Sync!$AE1988,FIND("/",Sync!$AE1988)+1,20))-1))),"")))</f>
        <v/>
      </c>
      <c r="I1988">
        <f>IF(OR($F1988="",$G1988=""),"",IF(ISNUMBER(Sync!$AE1988),MOD(Sync!$AE1988,100),IFERROR(VALUE(TRIM(MID(MID(Sync!$AE1988,FIND("/",Sync!$AE1988)+1,20),FIND("/",MID(Sync!$AE1988,FIND("/",Sync!$AE1988)+1,20))+1,20))),"")))</f>
        <v/>
      </c>
      <c r="J1988">
        <f>IF($F1988="","",IF(OR($G1988="",$H1988="",$I1988="",$G1988&lt;1300,$G1988&gt;1500,$H1988&lt;1,$H1988&gt;12,$I1988&lt;1,$I1988&gt;31),"نامعتبر",RIGHT("0000"&amp;$G1988,4)&amp;"/"&amp;RIGHT("00"&amp;$H1988,2)&amp;"/"&amp;RIGHT("00"&amp;$I1988,2)))</f>
        <v/>
      </c>
      <c r="K1988">
        <f>IF(OR($F1988="",$J1988="",$J1988="نامعتبر"),"",LEFT($J1988,4)&amp;MID($J1988,6,2)&amp;RIGHT($J1988,2)&amp;$N1988&amp;"|"&amp;"2"&amp;RIGHT("00000"&amp;1983,5))</f>
        <v/>
      </c>
      <c r="L1988">
        <f>IF($K1988="","",COUNTIFS(LdgSellerA,$F1988,LdgKeyA,"&lt;"&amp;$K1988)+COUNTIFS(LdgSellerB,$F1988,LdgKeyB,"&lt;"&amp;$K1988)+1)</f>
        <v/>
      </c>
      <c r="M1988">
        <f>IF($L1988="","",$F1988&amp;"|"&amp;RIGHT("000000"&amp;$L1988,6))</f>
        <v/>
      </c>
      <c r="N1988">
        <f>IF($F1988="","",IF(Sync!$AF1988="","0000",IF(AND(ISNUMBER(Sync!$AF1988),Sync!$AF1988&gt;=0,Sync!$AF1988&lt;1),RIGHT("00"&amp;HOUR(Sync!$AF1988),2)&amp;RIGHT("00"&amp;MINUTE(Sync!$AF1988),2),IFERROR(RIGHT("00"&amp;VALUE(LEFT(Sync!$AF1988,FIND(":",Sync!$AF1988)-1)),2)&amp;RIGHT("00"&amp;VALUE(MID(Sync!$AF1988,FIND(":",Sync!$AF1988)+1,2)),2),"0000"))))</f>
        <v/>
      </c>
    </row>
    <row r="1989">
      <c r="A1989">
        <f>IF(OR(Calc!$E1993="",Calc!$E1993="نامعتبر",Calc!$G1993=""),"",Calc!$G1993)</f>
        <v/>
      </c>
      <c r="B1989">
        <f>IF($A1989="","",LEFT(Calc!$E1993,4)&amp;MID(Calc!$E1993,6,2)&amp;RIGHT(Calc!$E1993,2)&amp;Calc!$Q1993&amp;"|"&amp;"1"&amp;RIGHT("00000"&amp;1984,5))</f>
        <v/>
      </c>
      <c r="C1989">
        <f>IF($B1989="","",COUNTIFS(LdgSellerA,$A1989,LdgKeyA,"&lt;"&amp;$B1989)+COUNTIFS(LdgSellerB,$A1989,LdgKeyB,"&lt;"&amp;$B1989)+1)</f>
        <v/>
      </c>
      <c r="D1989">
        <f>IF($C1989="","",$A1989&amp;"|"&amp;RIGHT("000000"&amp;$C1989,6))</f>
        <v/>
      </c>
      <c r="F1989">
        <f>IF(Sync!$AH1989="","",IF(LEFT(UPPER(TRIM(Sync!$AH1989)),2)="SL",UPPER(TRIM(Sync!$AH1989)),""))</f>
        <v/>
      </c>
      <c r="G1989">
        <f>IF($F1989="","",IF(Sync!$AE1989="","",IF(ISNUMBER(Sync!$AE1989),IF(AND(Sync!$AE1989&gt;=10000101,Sync!$AE1989&lt;=99991231),INT(Sync!$AE1989/10000),""),IFERROR(VALUE(TRIM(LEFT(Sync!$AE1989,FIND("/",Sync!$AE1989)-1))),""))))</f>
        <v/>
      </c>
      <c r="H1989">
        <f>IF(OR($F1989="",$G1989=""),"",IF(ISNUMBER(Sync!$AE1989),INT(MOD(Sync!$AE1989,10000)/100),IFERROR(VALUE(TRIM(LEFT(MID(Sync!$AE1989,FIND("/",Sync!$AE1989)+1,20),FIND("/",MID(Sync!$AE1989,FIND("/",Sync!$AE1989)+1,20))-1))),"")))</f>
        <v/>
      </c>
      <c r="I1989">
        <f>IF(OR($F1989="",$G1989=""),"",IF(ISNUMBER(Sync!$AE1989),MOD(Sync!$AE1989,100),IFERROR(VALUE(TRIM(MID(MID(Sync!$AE1989,FIND("/",Sync!$AE1989)+1,20),FIND("/",MID(Sync!$AE1989,FIND("/",Sync!$AE1989)+1,20))+1,20))),"")))</f>
        <v/>
      </c>
      <c r="J1989">
        <f>IF($F1989="","",IF(OR($G1989="",$H1989="",$I1989="",$G1989&lt;1300,$G1989&gt;1500,$H1989&lt;1,$H1989&gt;12,$I1989&lt;1,$I1989&gt;31),"نامعتبر",RIGHT("0000"&amp;$G1989,4)&amp;"/"&amp;RIGHT("00"&amp;$H1989,2)&amp;"/"&amp;RIGHT("00"&amp;$I1989,2)))</f>
        <v/>
      </c>
      <c r="K1989">
        <f>IF(OR($F1989="",$J1989="",$J1989="نامعتبر"),"",LEFT($J1989,4)&amp;MID($J1989,6,2)&amp;RIGHT($J1989,2)&amp;$N1989&amp;"|"&amp;"2"&amp;RIGHT("00000"&amp;1984,5))</f>
        <v/>
      </c>
      <c r="L1989">
        <f>IF($K1989="","",COUNTIFS(LdgSellerA,$F1989,LdgKeyA,"&lt;"&amp;$K1989)+COUNTIFS(LdgSellerB,$F1989,LdgKeyB,"&lt;"&amp;$K1989)+1)</f>
        <v/>
      </c>
      <c r="M1989">
        <f>IF($L1989="","",$F1989&amp;"|"&amp;RIGHT("000000"&amp;$L1989,6))</f>
        <v/>
      </c>
      <c r="N1989">
        <f>IF($F1989="","",IF(Sync!$AF1989="","0000",IF(AND(ISNUMBER(Sync!$AF1989),Sync!$AF1989&gt;=0,Sync!$AF1989&lt;1),RIGHT("00"&amp;HOUR(Sync!$AF1989),2)&amp;RIGHT("00"&amp;MINUTE(Sync!$AF1989),2),IFERROR(RIGHT("00"&amp;VALUE(LEFT(Sync!$AF1989,FIND(":",Sync!$AF1989)-1)),2)&amp;RIGHT("00"&amp;VALUE(MID(Sync!$AF1989,FIND(":",Sync!$AF1989)+1,2)),2),"0000"))))</f>
        <v/>
      </c>
    </row>
    <row r="1990">
      <c r="A1990">
        <f>IF(OR(Calc!$E1994="",Calc!$E1994="نامعتبر",Calc!$G1994=""),"",Calc!$G1994)</f>
        <v/>
      </c>
      <c r="B1990">
        <f>IF($A1990="","",LEFT(Calc!$E1994,4)&amp;MID(Calc!$E1994,6,2)&amp;RIGHT(Calc!$E1994,2)&amp;Calc!$Q1994&amp;"|"&amp;"1"&amp;RIGHT("00000"&amp;1985,5))</f>
        <v/>
      </c>
      <c r="C1990">
        <f>IF($B1990="","",COUNTIFS(LdgSellerA,$A1990,LdgKeyA,"&lt;"&amp;$B1990)+COUNTIFS(LdgSellerB,$A1990,LdgKeyB,"&lt;"&amp;$B1990)+1)</f>
        <v/>
      </c>
      <c r="D1990">
        <f>IF($C1990="","",$A1990&amp;"|"&amp;RIGHT("000000"&amp;$C1990,6))</f>
        <v/>
      </c>
      <c r="F1990">
        <f>IF(Sync!$AH1990="","",IF(LEFT(UPPER(TRIM(Sync!$AH1990)),2)="SL",UPPER(TRIM(Sync!$AH1990)),""))</f>
        <v/>
      </c>
      <c r="G1990">
        <f>IF($F1990="","",IF(Sync!$AE1990="","",IF(ISNUMBER(Sync!$AE1990),IF(AND(Sync!$AE1990&gt;=10000101,Sync!$AE1990&lt;=99991231),INT(Sync!$AE1990/10000),""),IFERROR(VALUE(TRIM(LEFT(Sync!$AE1990,FIND("/",Sync!$AE1990)-1))),""))))</f>
        <v/>
      </c>
      <c r="H1990">
        <f>IF(OR($F1990="",$G1990=""),"",IF(ISNUMBER(Sync!$AE1990),INT(MOD(Sync!$AE1990,10000)/100),IFERROR(VALUE(TRIM(LEFT(MID(Sync!$AE1990,FIND("/",Sync!$AE1990)+1,20),FIND("/",MID(Sync!$AE1990,FIND("/",Sync!$AE1990)+1,20))-1))),"")))</f>
        <v/>
      </c>
      <c r="I1990">
        <f>IF(OR($F1990="",$G1990=""),"",IF(ISNUMBER(Sync!$AE1990),MOD(Sync!$AE1990,100),IFERROR(VALUE(TRIM(MID(MID(Sync!$AE1990,FIND("/",Sync!$AE1990)+1,20),FIND("/",MID(Sync!$AE1990,FIND("/",Sync!$AE1990)+1,20))+1,20))),"")))</f>
        <v/>
      </c>
      <c r="J1990">
        <f>IF($F1990="","",IF(OR($G1990="",$H1990="",$I1990="",$G1990&lt;1300,$G1990&gt;1500,$H1990&lt;1,$H1990&gt;12,$I1990&lt;1,$I1990&gt;31),"نامعتبر",RIGHT("0000"&amp;$G1990,4)&amp;"/"&amp;RIGHT("00"&amp;$H1990,2)&amp;"/"&amp;RIGHT("00"&amp;$I1990,2)))</f>
        <v/>
      </c>
      <c r="K1990">
        <f>IF(OR($F1990="",$J1990="",$J1990="نامعتبر"),"",LEFT($J1990,4)&amp;MID($J1990,6,2)&amp;RIGHT($J1990,2)&amp;$N1990&amp;"|"&amp;"2"&amp;RIGHT("00000"&amp;1985,5))</f>
        <v/>
      </c>
      <c r="L1990">
        <f>IF($K1990="","",COUNTIFS(LdgSellerA,$F1990,LdgKeyA,"&lt;"&amp;$K1990)+COUNTIFS(LdgSellerB,$F1990,LdgKeyB,"&lt;"&amp;$K1990)+1)</f>
        <v/>
      </c>
      <c r="M1990">
        <f>IF($L1990="","",$F1990&amp;"|"&amp;RIGHT("000000"&amp;$L1990,6))</f>
        <v/>
      </c>
      <c r="N1990">
        <f>IF($F1990="","",IF(Sync!$AF1990="","0000",IF(AND(ISNUMBER(Sync!$AF1990),Sync!$AF1990&gt;=0,Sync!$AF1990&lt;1),RIGHT("00"&amp;HOUR(Sync!$AF1990),2)&amp;RIGHT("00"&amp;MINUTE(Sync!$AF1990),2),IFERROR(RIGHT("00"&amp;VALUE(LEFT(Sync!$AF1990,FIND(":",Sync!$AF1990)-1)),2)&amp;RIGHT("00"&amp;VALUE(MID(Sync!$AF1990,FIND(":",Sync!$AF1990)+1,2)),2),"0000"))))</f>
        <v/>
      </c>
    </row>
    <row r="1991">
      <c r="A1991">
        <f>IF(OR(Calc!$E1995="",Calc!$E1995="نامعتبر",Calc!$G1995=""),"",Calc!$G1995)</f>
        <v/>
      </c>
      <c r="B1991">
        <f>IF($A1991="","",LEFT(Calc!$E1995,4)&amp;MID(Calc!$E1995,6,2)&amp;RIGHT(Calc!$E1995,2)&amp;Calc!$Q1995&amp;"|"&amp;"1"&amp;RIGHT("00000"&amp;1986,5))</f>
        <v/>
      </c>
      <c r="C1991">
        <f>IF($B1991="","",COUNTIFS(LdgSellerA,$A1991,LdgKeyA,"&lt;"&amp;$B1991)+COUNTIFS(LdgSellerB,$A1991,LdgKeyB,"&lt;"&amp;$B1991)+1)</f>
        <v/>
      </c>
      <c r="D1991">
        <f>IF($C1991="","",$A1991&amp;"|"&amp;RIGHT("000000"&amp;$C1991,6))</f>
        <v/>
      </c>
      <c r="F1991">
        <f>IF(Sync!$AH1991="","",IF(LEFT(UPPER(TRIM(Sync!$AH1991)),2)="SL",UPPER(TRIM(Sync!$AH1991)),""))</f>
        <v/>
      </c>
      <c r="G1991">
        <f>IF($F1991="","",IF(Sync!$AE1991="","",IF(ISNUMBER(Sync!$AE1991),IF(AND(Sync!$AE1991&gt;=10000101,Sync!$AE1991&lt;=99991231),INT(Sync!$AE1991/10000),""),IFERROR(VALUE(TRIM(LEFT(Sync!$AE1991,FIND("/",Sync!$AE1991)-1))),""))))</f>
        <v/>
      </c>
      <c r="H1991">
        <f>IF(OR($F1991="",$G1991=""),"",IF(ISNUMBER(Sync!$AE1991),INT(MOD(Sync!$AE1991,10000)/100),IFERROR(VALUE(TRIM(LEFT(MID(Sync!$AE1991,FIND("/",Sync!$AE1991)+1,20),FIND("/",MID(Sync!$AE1991,FIND("/",Sync!$AE1991)+1,20))-1))),"")))</f>
        <v/>
      </c>
      <c r="I1991">
        <f>IF(OR($F1991="",$G1991=""),"",IF(ISNUMBER(Sync!$AE1991),MOD(Sync!$AE1991,100),IFERROR(VALUE(TRIM(MID(MID(Sync!$AE1991,FIND("/",Sync!$AE1991)+1,20),FIND("/",MID(Sync!$AE1991,FIND("/",Sync!$AE1991)+1,20))+1,20))),"")))</f>
        <v/>
      </c>
      <c r="J1991">
        <f>IF($F1991="","",IF(OR($G1991="",$H1991="",$I1991="",$G1991&lt;1300,$G1991&gt;1500,$H1991&lt;1,$H1991&gt;12,$I1991&lt;1,$I1991&gt;31),"نامعتبر",RIGHT("0000"&amp;$G1991,4)&amp;"/"&amp;RIGHT("00"&amp;$H1991,2)&amp;"/"&amp;RIGHT("00"&amp;$I1991,2)))</f>
        <v/>
      </c>
      <c r="K1991">
        <f>IF(OR($F1991="",$J1991="",$J1991="نامعتبر"),"",LEFT($J1991,4)&amp;MID($J1991,6,2)&amp;RIGHT($J1991,2)&amp;$N1991&amp;"|"&amp;"2"&amp;RIGHT("00000"&amp;1986,5))</f>
        <v/>
      </c>
      <c r="L1991">
        <f>IF($K1991="","",COUNTIFS(LdgSellerA,$F1991,LdgKeyA,"&lt;"&amp;$K1991)+COUNTIFS(LdgSellerB,$F1991,LdgKeyB,"&lt;"&amp;$K1991)+1)</f>
        <v/>
      </c>
      <c r="M1991">
        <f>IF($L1991="","",$F1991&amp;"|"&amp;RIGHT("000000"&amp;$L1991,6))</f>
        <v/>
      </c>
      <c r="N1991">
        <f>IF($F1991="","",IF(Sync!$AF1991="","0000",IF(AND(ISNUMBER(Sync!$AF1991),Sync!$AF1991&gt;=0,Sync!$AF1991&lt;1),RIGHT("00"&amp;HOUR(Sync!$AF1991),2)&amp;RIGHT("00"&amp;MINUTE(Sync!$AF1991),2),IFERROR(RIGHT("00"&amp;VALUE(LEFT(Sync!$AF1991,FIND(":",Sync!$AF1991)-1)),2)&amp;RIGHT("00"&amp;VALUE(MID(Sync!$AF1991,FIND(":",Sync!$AF1991)+1,2)),2),"0000"))))</f>
        <v/>
      </c>
    </row>
    <row r="1992">
      <c r="A1992">
        <f>IF(OR(Calc!$E1996="",Calc!$E1996="نامعتبر",Calc!$G1996=""),"",Calc!$G1996)</f>
        <v/>
      </c>
      <c r="B1992">
        <f>IF($A1992="","",LEFT(Calc!$E1996,4)&amp;MID(Calc!$E1996,6,2)&amp;RIGHT(Calc!$E1996,2)&amp;Calc!$Q1996&amp;"|"&amp;"1"&amp;RIGHT("00000"&amp;1987,5))</f>
        <v/>
      </c>
      <c r="C1992">
        <f>IF($B1992="","",COUNTIFS(LdgSellerA,$A1992,LdgKeyA,"&lt;"&amp;$B1992)+COUNTIFS(LdgSellerB,$A1992,LdgKeyB,"&lt;"&amp;$B1992)+1)</f>
        <v/>
      </c>
      <c r="D1992">
        <f>IF($C1992="","",$A1992&amp;"|"&amp;RIGHT("000000"&amp;$C1992,6))</f>
        <v/>
      </c>
      <c r="F1992">
        <f>IF(Sync!$AH1992="","",IF(LEFT(UPPER(TRIM(Sync!$AH1992)),2)="SL",UPPER(TRIM(Sync!$AH1992)),""))</f>
        <v/>
      </c>
      <c r="G1992">
        <f>IF($F1992="","",IF(Sync!$AE1992="","",IF(ISNUMBER(Sync!$AE1992),IF(AND(Sync!$AE1992&gt;=10000101,Sync!$AE1992&lt;=99991231),INT(Sync!$AE1992/10000),""),IFERROR(VALUE(TRIM(LEFT(Sync!$AE1992,FIND("/",Sync!$AE1992)-1))),""))))</f>
        <v/>
      </c>
      <c r="H1992">
        <f>IF(OR($F1992="",$G1992=""),"",IF(ISNUMBER(Sync!$AE1992),INT(MOD(Sync!$AE1992,10000)/100),IFERROR(VALUE(TRIM(LEFT(MID(Sync!$AE1992,FIND("/",Sync!$AE1992)+1,20),FIND("/",MID(Sync!$AE1992,FIND("/",Sync!$AE1992)+1,20))-1))),"")))</f>
        <v/>
      </c>
      <c r="I1992">
        <f>IF(OR($F1992="",$G1992=""),"",IF(ISNUMBER(Sync!$AE1992),MOD(Sync!$AE1992,100),IFERROR(VALUE(TRIM(MID(MID(Sync!$AE1992,FIND("/",Sync!$AE1992)+1,20),FIND("/",MID(Sync!$AE1992,FIND("/",Sync!$AE1992)+1,20))+1,20))),"")))</f>
        <v/>
      </c>
      <c r="J1992">
        <f>IF($F1992="","",IF(OR($G1992="",$H1992="",$I1992="",$G1992&lt;1300,$G1992&gt;1500,$H1992&lt;1,$H1992&gt;12,$I1992&lt;1,$I1992&gt;31),"نامعتبر",RIGHT("0000"&amp;$G1992,4)&amp;"/"&amp;RIGHT("00"&amp;$H1992,2)&amp;"/"&amp;RIGHT("00"&amp;$I1992,2)))</f>
        <v/>
      </c>
      <c r="K1992">
        <f>IF(OR($F1992="",$J1992="",$J1992="نامعتبر"),"",LEFT($J1992,4)&amp;MID($J1992,6,2)&amp;RIGHT($J1992,2)&amp;$N1992&amp;"|"&amp;"2"&amp;RIGHT("00000"&amp;1987,5))</f>
        <v/>
      </c>
      <c r="L1992">
        <f>IF($K1992="","",COUNTIFS(LdgSellerA,$F1992,LdgKeyA,"&lt;"&amp;$K1992)+COUNTIFS(LdgSellerB,$F1992,LdgKeyB,"&lt;"&amp;$K1992)+1)</f>
        <v/>
      </c>
      <c r="M1992">
        <f>IF($L1992="","",$F1992&amp;"|"&amp;RIGHT("000000"&amp;$L1992,6))</f>
        <v/>
      </c>
      <c r="N1992">
        <f>IF($F1992="","",IF(Sync!$AF1992="","0000",IF(AND(ISNUMBER(Sync!$AF1992),Sync!$AF1992&gt;=0,Sync!$AF1992&lt;1),RIGHT("00"&amp;HOUR(Sync!$AF1992),2)&amp;RIGHT("00"&amp;MINUTE(Sync!$AF1992),2),IFERROR(RIGHT("00"&amp;VALUE(LEFT(Sync!$AF1992,FIND(":",Sync!$AF1992)-1)),2)&amp;RIGHT("00"&amp;VALUE(MID(Sync!$AF1992,FIND(":",Sync!$AF1992)+1,2)),2),"0000"))))</f>
        <v/>
      </c>
    </row>
    <row r="1993">
      <c r="A1993">
        <f>IF(OR(Calc!$E1997="",Calc!$E1997="نامعتبر",Calc!$G1997=""),"",Calc!$G1997)</f>
        <v/>
      </c>
      <c r="B1993">
        <f>IF($A1993="","",LEFT(Calc!$E1997,4)&amp;MID(Calc!$E1997,6,2)&amp;RIGHT(Calc!$E1997,2)&amp;Calc!$Q1997&amp;"|"&amp;"1"&amp;RIGHT("00000"&amp;1988,5))</f>
        <v/>
      </c>
      <c r="C1993">
        <f>IF($B1993="","",COUNTIFS(LdgSellerA,$A1993,LdgKeyA,"&lt;"&amp;$B1993)+COUNTIFS(LdgSellerB,$A1993,LdgKeyB,"&lt;"&amp;$B1993)+1)</f>
        <v/>
      </c>
      <c r="D1993">
        <f>IF($C1993="","",$A1993&amp;"|"&amp;RIGHT("000000"&amp;$C1993,6))</f>
        <v/>
      </c>
      <c r="F1993">
        <f>IF(Sync!$AH1993="","",IF(LEFT(UPPER(TRIM(Sync!$AH1993)),2)="SL",UPPER(TRIM(Sync!$AH1993)),""))</f>
        <v/>
      </c>
      <c r="G1993">
        <f>IF($F1993="","",IF(Sync!$AE1993="","",IF(ISNUMBER(Sync!$AE1993),IF(AND(Sync!$AE1993&gt;=10000101,Sync!$AE1993&lt;=99991231),INT(Sync!$AE1993/10000),""),IFERROR(VALUE(TRIM(LEFT(Sync!$AE1993,FIND("/",Sync!$AE1993)-1))),""))))</f>
        <v/>
      </c>
      <c r="H1993">
        <f>IF(OR($F1993="",$G1993=""),"",IF(ISNUMBER(Sync!$AE1993),INT(MOD(Sync!$AE1993,10000)/100),IFERROR(VALUE(TRIM(LEFT(MID(Sync!$AE1993,FIND("/",Sync!$AE1993)+1,20),FIND("/",MID(Sync!$AE1993,FIND("/",Sync!$AE1993)+1,20))-1))),"")))</f>
        <v/>
      </c>
      <c r="I1993">
        <f>IF(OR($F1993="",$G1993=""),"",IF(ISNUMBER(Sync!$AE1993),MOD(Sync!$AE1993,100),IFERROR(VALUE(TRIM(MID(MID(Sync!$AE1993,FIND("/",Sync!$AE1993)+1,20),FIND("/",MID(Sync!$AE1993,FIND("/",Sync!$AE1993)+1,20))+1,20))),"")))</f>
        <v/>
      </c>
      <c r="J1993">
        <f>IF($F1993="","",IF(OR($G1993="",$H1993="",$I1993="",$G1993&lt;1300,$G1993&gt;1500,$H1993&lt;1,$H1993&gt;12,$I1993&lt;1,$I1993&gt;31),"نامعتبر",RIGHT("0000"&amp;$G1993,4)&amp;"/"&amp;RIGHT("00"&amp;$H1993,2)&amp;"/"&amp;RIGHT("00"&amp;$I1993,2)))</f>
        <v/>
      </c>
      <c r="K1993">
        <f>IF(OR($F1993="",$J1993="",$J1993="نامعتبر"),"",LEFT($J1993,4)&amp;MID($J1993,6,2)&amp;RIGHT($J1993,2)&amp;$N1993&amp;"|"&amp;"2"&amp;RIGHT("00000"&amp;1988,5))</f>
        <v/>
      </c>
      <c r="L1993">
        <f>IF($K1993="","",COUNTIFS(LdgSellerA,$F1993,LdgKeyA,"&lt;"&amp;$K1993)+COUNTIFS(LdgSellerB,$F1993,LdgKeyB,"&lt;"&amp;$K1993)+1)</f>
        <v/>
      </c>
      <c r="M1993">
        <f>IF($L1993="","",$F1993&amp;"|"&amp;RIGHT("000000"&amp;$L1993,6))</f>
        <v/>
      </c>
      <c r="N1993">
        <f>IF($F1993="","",IF(Sync!$AF1993="","0000",IF(AND(ISNUMBER(Sync!$AF1993),Sync!$AF1993&gt;=0,Sync!$AF1993&lt;1),RIGHT("00"&amp;HOUR(Sync!$AF1993),2)&amp;RIGHT("00"&amp;MINUTE(Sync!$AF1993),2),IFERROR(RIGHT("00"&amp;VALUE(LEFT(Sync!$AF1993,FIND(":",Sync!$AF1993)-1)),2)&amp;RIGHT("00"&amp;VALUE(MID(Sync!$AF1993,FIND(":",Sync!$AF1993)+1,2)),2),"0000"))))</f>
        <v/>
      </c>
    </row>
    <row r="1994">
      <c r="A1994">
        <f>IF(OR(Calc!$E1998="",Calc!$E1998="نامعتبر",Calc!$G1998=""),"",Calc!$G1998)</f>
        <v/>
      </c>
      <c r="B1994">
        <f>IF($A1994="","",LEFT(Calc!$E1998,4)&amp;MID(Calc!$E1998,6,2)&amp;RIGHT(Calc!$E1998,2)&amp;Calc!$Q1998&amp;"|"&amp;"1"&amp;RIGHT("00000"&amp;1989,5))</f>
        <v/>
      </c>
      <c r="C1994">
        <f>IF($B1994="","",COUNTIFS(LdgSellerA,$A1994,LdgKeyA,"&lt;"&amp;$B1994)+COUNTIFS(LdgSellerB,$A1994,LdgKeyB,"&lt;"&amp;$B1994)+1)</f>
        <v/>
      </c>
      <c r="D1994">
        <f>IF($C1994="","",$A1994&amp;"|"&amp;RIGHT("000000"&amp;$C1994,6))</f>
        <v/>
      </c>
      <c r="F1994">
        <f>IF(Sync!$AH1994="","",IF(LEFT(UPPER(TRIM(Sync!$AH1994)),2)="SL",UPPER(TRIM(Sync!$AH1994)),""))</f>
        <v/>
      </c>
      <c r="G1994">
        <f>IF($F1994="","",IF(Sync!$AE1994="","",IF(ISNUMBER(Sync!$AE1994),IF(AND(Sync!$AE1994&gt;=10000101,Sync!$AE1994&lt;=99991231),INT(Sync!$AE1994/10000),""),IFERROR(VALUE(TRIM(LEFT(Sync!$AE1994,FIND("/",Sync!$AE1994)-1))),""))))</f>
        <v/>
      </c>
      <c r="H1994">
        <f>IF(OR($F1994="",$G1994=""),"",IF(ISNUMBER(Sync!$AE1994),INT(MOD(Sync!$AE1994,10000)/100),IFERROR(VALUE(TRIM(LEFT(MID(Sync!$AE1994,FIND("/",Sync!$AE1994)+1,20),FIND("/",MID(Sync!$AE1994,FIND("/",Sync!$AE1994)+1,20))-1))),"")))</f>
        <v/>
      </c>
      <c r="I1994">
        <f>IF(OR($F1994="",$G1994=""),"",IF(ISNUMBER(Sync!$AE1994),MOD(Sync!$AE1994,100),IFERROR(VALUE(TRIM(MID(MID(Sync!$AE1994,FIND("/",Sync!$AE1994)+1,20),FIND("/",MID(Sync!$AE1994,FIND("/",Sync!$AE1994)+1,20))+1,20))),"")))</f>
        <v/>
      </c>
      <c r="J1994">
        <f>IF($F1994="","",IF(OR($G1994="",$H1994="",$I1994="",$G1994&lt;1300,$G1994&gt;1500,$H1994&lt;1,$H1994&gt;12,$I1994&lt;1,$I1994&gt;31),"نامعتبر",RIGHT("0000"&amp;$G1994,4)&amp;"/"&amp;RIGHT("00"&amp;$H1994,2)&amp;"/"&amp;RIGHT("00"&amp;$I1994,2)))</f>
        <v/>
      </c>
      <c r="K1994">
        <f>IF(OR($F1994="",$J1994="",$J1994="نامعتبر"),"",LEFT($J1994,4)&amp;MID($J1994,6,2)&amp;RIGHT($J1994,2)&amp;$N1994&amp;"|"&amp;"2"&amp;RIGHT("00000"&amp;1989,5))</f>
        <v/>
      </c>
      <c r="L1994">
        <f>IF($K1994="","",COUNTIFS(LdgSellerA,$F1994,LdgKeyA,"&lt;"&amp;$K1994)+COUNTIFS(LdgSellerB,$F1994,LdgKeyB,"&lt;"&amp;$K1994)+1)</f>
        <v/>
      </c>
      <c r="M1994">
        <f>IF($L1994="","",$F1994&amp;"|"&amp;RIGHT("000000"&amp;$L1994,6))</f>
        <v/>
      </c>
      <c r="N1994">
        <f>IF($F1994="","",IF(Sync!$AF1994="","0000",IF(AND(ISNUMBER(Sync!$AF1994),Sync!$AF1994&gt;=0,Sync!$AF1994&lt;1),RIGHT("00"&amp;HOUR(Sync!$AF1994),2)&amp;RIGHT("00"&amp;MINUTE(Sync!$AF1994),2),IFERROR(RIGHT("00"&amp;VALUE(LEFT(Sync!$AF1994,FIND(":",Sync!$AF1994)-1)),2)&amp;RIGHT("00"&amp;VALUE(MID(Sync!$AF1994,FIND(":",Sync!$AF1994)+1,2)),2),"0000"))))</f>
        <v/>
      </c>
    </row>
    <row r="1995">
      <c r="A1995">
        <f>IF(OR(Calc!$E1999="",Calc!$E1999="نامعتبر",Calc!$G1999=""),"",Calc!$G1999)</f>
        <v/>
      </c>
      <c r="B1995">
        <f>IF($A1995="","",LEFT(Calc!$E1999,4)&amp;MID(Calc!$E1999,6,2)&amp;RIGHT(Calc!$E1999,2)&amp;Calc!$Q1999&amp;"|"&amp;"1"&amp;RIGHT("00000"&amp;1990,5))</f>
        <v/>
      </c>
      <c r="C1995">
        <f>IF($B1995="","",COUNTIFS(LdgSellerA,$A1995,LdgKeyA,"&lt;"&amp;$B1995)+COUNTIFS(LdgSellerB,$A1995,LdgKeyB,"&lt;"&amp;$B1995)+1)</f>
        <v/>
      </c>
      <c r="D1995">
        <f>IF($C1995="","",$A1995&amp;"|"&amp;RIGHT("000000"&amp;$C1995,6))</f>
        <v/>
      </c>
      <c r="F1995">
        <f>IF(Sync!$AH1995="","",IF(LEFT(UPPER(TRIM(Sync!$AH1995)),2)="SL",UPPER(TRIM(Sync!$AH1995)),""))</f>
        <v/>
      </c>
      <c r="G1995">
        <f>IF($F1995="","",IF(Sync!$AE1995="","",IF(ISNUMBER(Sync!$AE1995),IF(AND(Sync!$AE1995&gt;=10000101,Sync!$AE1995&lt;=99991231),INT(Sync!$AE1995/10000),""),IFERROR(VALUE(TRIM(LEFT(Sync!$AE1995,FIND("/",Sync!$AE1995)-1))),""))))</f>
        <v/>
      </c>
      <c r="H1995">
        <f>IF(OR($F1995="",$G1995=""),"",IF(ISNUMBER(Sync!$AE1995),INT(MOD(Sync!$AE1995,10000)/100),IFERROR(VALUE(TRIM(LEFT(MID(Sync!$AE1995,FIND("/",Sync!$AE1995)+1,20),FIND("/",MID(Sync!$AE1995,FIND("/",Sync!$AE1995)+1,20))-1))),"")))</f>
        <v/>
      </c>
      <c r="I1995">
        <f>IF(OR($F1995="",$G1995=""),"",IF(ISNUMBER(Sync!$AE1995),MOD(Sync!$AE1995,100),IFERROR(VALUE(TRIM(MID(MID(Sync!$AE1995,FIND("/",Sync!$AE1995)+1,20),FIND("/",MID(Sync!$AE1995,FIND("/",Sync!$AE1995)+1,20))+1,20))),"")))</f>
        <v/>
      </c>
      <c r="J1995">
        <f>IF($F1995="","",IF(OR($G1995="",$H1995="",$I1995="",$G1995&lt;1300,$G1995&gt;1500,$H1995&lt;1,$H1995&gt;12,$I1995&lt;1,$I1995&gt;31),"نامعتبر",RIGHT("0000"&amp;$G1995,4)&amp;"/"&amp;RIGHT("00"&amp;$H1995,2)&amp;"/"&amp;RIGHT("00"&amp;$I1995,2)))</f>
        <v/>
      </c>
      <c r="K1995">
        <f>IF(OR($F1995="",$J1995="",$J1995="نامعتبر"),"",LEFT($J1995,4)&amp;MID($J1995,6,2)&amp;RIGHT($J1995,2)&amp;$N1995&amp;"|"&amp;"2"&amp;RIGHT("00000"&amp;1990,5))</f>
        <v/>
      </c>
      <c r="L1995">
        <f>IF($K1995="","",COUNTIFS(LdgSellerA,$F1995,LdgKeyA,"&lt;"&amp;$K1995)+COUNTIFS(LdgSellerB,$F1995,LdgKeyB,"&lt;"&amp;$K1995)+1)</f>
        <v/>
      </c>
      <c r="M1995">
        <f>IF($L1995="","",$F1995&amp;"|"&amp;RIGHT("000000"&amp;$L1995,6))</f>
        <v/>
      </c>
      <c r="N1995">
        <f>IF($F1995="","",IF(Sync!$AF1995="","0000",IF(AND(ISNUMBER(Sync!$AF1995),Sync!$AF1995&gt;=0,Sync!$AF1995&lt;1),RIGHT("00"&amp;HOUR(Sync!$AF1995),2)&amp;RIGHT("00"&amp;MINUTE(Sync!$AF1995),2),IFERROR(RIGHT("00"&amp;VALUE(LEFT(Sync!$AF1995,FIND(":",Sync!$AF1995)-1)),2)&amp;RIGHT("00"&amp;VALUE(MID(Sync!$AF1995,FIND(":",Sync!$AF1995)+1,2)),2),"0000"))))</f>
        <v/>
      </c>
    </row>
    <row r="1996">
      <c r="A1996">
        <f>IF(OR(Calc!$E2000="",Calc!$E2000="نامعتبر",Calc!$G2000=""),"",Calc!$G2000)</f>
        <v/>
      </c>
      <c r="B1996">
        <f>IF($A1996="","",LEFT(Calc!$E2000,4)&amp;MID(Calc!$E2000,6,2)&amp;RIGHT(Calc!$E2000,2)&amp;Calc!$Q2000&amp;"|"&amp;"1"&amp;RIGHT("00000"&amp;1991,5))</f>
        <v/>
      </c>
      <c r="C1996">
        <f>IF($B1996="","",COUNTIFS(LdgSellerA,$A1996,LdgKeyA,"&lt;"&amp;$B1996)+COUNTIFS(LdgSellerB,$A1996,LdgKeyB,"&lt;"&amp;$B1996)+1)</f>
        <v/>
      </c>
      <c r="D1996">
        <f>IF($C1996="","",$A1996&amp;"|"&amp;RIGHT("000000"&amp;$C1996,6))</f>
        <v/>
      </c>
      <c r="F1996">
        <f>IF(Sync!$AH1996="","",IF(LEFT(UPPER(TRIM(Sync!$AH1996)),2)="SL",UPPER(TRIM(Sync!$AH1996)),""))</f>
        <v/>
      </c>
      <c r="G1996">
        <f>IF($F1996="","",IF(Sync!$AE1996="","",IF(ISNUMBER(Sync!$AE1996),IF(AND(Sync!$AE1996&gt;=10000101,Sync!$AE1996&lt;=99991231),INT(Sync!$AE1996/10000),""),IFERROR(VALUE(TRIM(LEFT(Sync!$AE1996,FIND("/",Sync!$AE1996)-1))),""))))</f>
        <v/>
      </c>
      <c r="H1996">
        <f>IF(OR($F1996="",$G1996=""),"",IF(ISNUMBER(Sync!$AE1996),INT(MOD(Sync!$AE1996,10000)/100),IFERROR(VALUE(TRIM(LEFT(MID(Sync!$AE1996,FIND("/",Sync!$AE1996)+1,20),FIND("/",MID(Sync!$AE1996,FIND("/",Sync!$AE1996)+1,20))-1))),"")))</f>
        <v/>
      </c>
      <c r="I1996">
        <f>IF(OR($F1996="",$G1996=""),"",IF(ISNUMBER(Sync!$AE1996),MOD(Sync!$AE1996,100),IFERROR(VALUE(TRIM(MID(MID(Sync!$AE1996,FIND("/",Sync!$AE1996)+1,20),FIND("/",MID(Sync!$AE1996,FIND("/",Sync!$AE1996)+1,20))+1,20))),"")))</f>
        <v/>
      </c>
      <c r="J1996">
        <f>IF($F1996="","",IF(OR($G1996="",$H1996="",$I1996="",$G1996&lt;1300,$G1996&gt;1500,$H1996&lt;1,$H1996&gt;12,$I1996&lt;1,$I1996&gt;31),"نامعتبر",RIGHT("0000"&amp;$G1996,4)&amp;"/"&amp;RIGHT("00"&amp;$H1996,2)&amp;"/"&amp;RIGHT("00"&amp;$I1996,2)))</f>
        <v/>
      </c>
      <c r="K1996">
        <f>IF(OR($F1996="",$J1996="",$J1996="نامعتبر"),"",LEFT($J1996,4)&amp;MID($J1996,6,2)&amp;RIGHT($J1996,2)&amp;$N1996&amp;"|"&amp;"2"&amp;RIGHT("00000"&amp;1991,5))</f>
        <v/>
      </c>
      <c r="L1996">
        <f>IF($K1996="","",COUNTIFS(LdgSellerA,$F1996,LdgKeyA,"&lt;"&amp;$K1996)+COUNTIFS(LdgSellerB,$F1996,LdgKeyB,"&lt;"&amp;$K1996)+1)</f>
        <v/>
      </c>
      <c r="M1996">
        <f>IF($L1996="","",$F1996&amp;"|"&amp;RIGHT("000000"&amp;$L1996,6))</f>
        <v/>
      </c>
      <c r="N1996">
        <f>IF($F1996="","",IF(Sync!$AF1996="","0000",IF(AND(ISNUMBER(Sync!$AF1996),Sync!$AF1996&gt;=0,Sync!$AF1996&lt;1),RIGHT("00"&amp;HOUR(Sync!$AF1996),2)&amp;RIGHT("00"&amp;MINUTE(Sync!$AF1996),2),IFERROR(RIGHT("00"&amp;VALUE(LEFT(Sync!$AF1996,FIND(":",Sync!$AF1996)-1)),2)&amp;RIGHT("00"&amp;VALUE(MID(Sync!$AF1996,FIND(":",Sync!$AF1996)+1,2)),2),"0000"))))</f>
        <v/>
      </c>
    </row>
    <row r="1997">
      <c r="A1997">
        <f>IF(OR(Calc!$E2001="",Calc!$E2001="نامعتبر",Calc!$G2001=""),"",Calc!$G2001)</f>
        <v/>
      </c>
      <c r="B1997">
        <f>IF($A1997="","",LEFT(Calc!$E2001,4)&amp;MID(Calc!$E2001,6,2)&amp;RIGHT(Calc!$E2001,2)&amp;Calc!$Q2001&amp;"|"&amp;"1"&amp;RIGHT("00000"&amp;1992,5))</f>
        <v/>
      </c>
      <c r="C1997">
        <f>IF($B1997="","",COUNTIFS(LdgSellerA,$A1997,LdgKeyA,"&lt;"&amp;$B1997)+COUNTIFS(LdgSellerB,$A1997,LdgKeyB,"&lt;"&amp;$B1997)+1)</f>
        <v/>
      </c>
      <c r="D1997">
        <f>IF($C1997="","",$A1997&amp;"|"&amp;RIGHT("000000"&amp;$C1997,6))</f>
        <v/>
      </c>
      <c r="F1997">
        <f>IF(Sync!$AH1997="","",IF(LEFT(UPPER(TRIM(Sync!$AH1997)),2)="SL",UPPER(TRIM(Sync!$AH1997)),""))</f>
        <v/>
      </c>
      <c r="G1997">
        <f>IF($F1997="","",IF(Sync!$AE1997="","",IF(ISNUMBER(Sync!$AE1997),IF(AND(Sync!$AE1997&gt;=10000101,Sync!$AE1997&lt;=99991231),INT(Sync!$AE1997/10000),""),IFERROR(VALUE(TRIM(LEFT(Sync!$AE1997,FIND("/",Sync!$AE1997)-1))),""))))</f>
        <v/>
      </c>
      <c r="H1997">
        <f>IF(OR($F1997="",$G1997=""),"",IF(ISNUMBER(Sync!$AE1997),INT(MOD(Sync!$AE1997,10000)/100),IFERROR(VALUE(TRIM(LEFT(MID(Sync!$AE1997,FIND("/",Sync!$AE1997)+1,20),FIND("/",MID(Sync!$AE1997,FIND("/",Sync!$AE1997)+1,20))-1))),"")))</f>
        <v/>
      </c>
      <c r="I1997">
        <f>IF(OR($F1997="",$G1997=""),"",IF(ISNUMBER(Sync!$AE1997),MOD(Sync!$AE1997,100),IFERROR(VALUE(TRIM(MID(MID(Sync!$AE1997,FIND("/",Sync!$AE1997)+1,20),FIND("/",MID(Sync!$AE1997,FIND("/",Sync!$AE1997)+1,20))+1,20))),"")))</f>
        <v/>
      </c>
      <c r="J1997">
        <f>IF($F1997="","",IF(OR($G1997="",$H1997="",$I1997="",$G1997&lt;1300,$G1997&gt;1500,$H1997&lt;1,$H1997&gt;12,$I1997&lt;1,$I1997&gt;31),"نامعتبر",RIGHT("0000"&amp;$G1997,4)&amp;"/"&amp;RIGHT("00"&amp;$H1997,2)&amp;"/"&amp;RIGHT("00"&amp;$I1997,2)))</f>
        <v/>
      </c>
      <c r="K1997">
        <f>IF(OR($F1997="",$J1997="",$J1997="نامعتبر"),"",LEFT($J1997,4)&amp;MID($J1997,6,2)&amp;RIGHT($J1997,2)&amp;$N1997&amp;"|"&amp;"2"&amp;RIGHT("00000"&amp;1992,5))</f>
        <v/>
      </c>
      <c r="L1997">
        <f>IF($K1997="","",COUNTIFS(LdgSellerA,$F1997,LdgKeyA,"&lt;"&amp;$K1997)+COUNTIFS(LdgSellerB,$F1997,LdgKeyB,"&lt;"&amp;$K1997)+1)</f>
        <v/>
      </c>
      <c r="M1997">
        <f>IF($L1997="","",$F1997&amp;"|"&amp;RIGHT("000000"&amp;$L1997,6))</f>
        <v/>
      </c>
      <c r="N1997">
        <f>IF($F1997="","",IF(Sync!$AF1997="","0000",IF(AND(ISNUMBER(Sync!$AF1997),Sync!$AF1997&gt;=0,Sync!$AF1997&lt;1),RIGHT("00"&amp;HOUR(Sync!$AF1997),2)&amp;RIGHT("00"&amp;MINUTE(Sync!$AF1997),2),IFERROR(RIGHT("00"&amp;VALUE(LEFT(Sync!$AF1997,FIND(":",Sync!$AF1997)-1)),2)&amp;RIGHT("00"&amp;VALUE(MID(Sync!$AF1997,FIND(":",Sync!$AF1997)+1,2)),2),"0000"))))</f>
        <v/>
      </c>
    </row>
    <row r="1998">
      <c r="A1998">
        <f>IF(OR(Calc!$E2002="",Calc!$E2002="نامعتبر",Calc!$G2002=""),"",Calc!$G2002)</f>
        <v/>
      </c>
      <c r="B1998">
        <f>IF($A1998="","",LEFT(Calc!$E2002,4)&amp;MID(Calc!$E2002,6,2)&amp;RIGHT(Calc!$E2002,2)&amp;Calc!$Q2002&amp;"|"&amp;"1"&amp;RIGHT("00000"&amp;1993,5))</f>
        <v/>
      </c>
      <c r="C1998">
        <f>IF($B1998="","",COUNTIFS(LdgSellerA,$A1998,LdgKeyA,"&lt;"&amp;$B1998)+COUNTIFS(LdgSellerB,$A1998,LdgKeyB,"&lt;"&amp;$B1998)+1)</f>
        <v/>
      </c>
      <c r="D1998">
        <f>IF($C1998="","",$A1998&amp;"|"&amp;RIGHT("000000"&amp;$C1998,6))</f>
        <v/>
      </c>
      <c r="F1998">
        <f>IF(Sync!$AH1998="","",IF(LEFT(UPPER(TRIM(Sync!$AH1998)),2)="SL",UPPER(TRIM(Sync!$AH1998)),""))</f>
        <v/>
      </c>
      <c r="G1998">
        <f>IF($F1998="","",IF(Sync!$AE1998="","",IF(ISNUMBER(Sync!$AE1998),IF(AND(Sync!$AE1998&gt;=10000101,Sync!$AE1998&lt;=99991231),INT(Sync!$AE1998/10000),""),IFERROR(VALUE(TRIM(LEFT(Sync!$AE1998,FIND("/",Sync!$AE1998)-1))),""))))</f>
        <v/>
      </c>
      <c r="H1998">
        <f>IF(OR($F1998="",$G1998=""),"",IF(ISNUMBER(Sync!$AE1998),INT(MOD(Sync!$AE1998,10000)/100),IFERROR(VALUE(TRIM(LEFT(MID(Sync!$AE1998,FIND("/",Sync!$AE1998)+1,20),FIND("/",MID(Sync!$AE1998,FIND("/",Sync!$AE1998)+1,20))-1))),"")))</f>
        <v/>
      </c>
      <c r="I1998">
        <f>IF(OR($F1998="",$G1998=""),"",IF(ISNUMBER(Sync!$AE1998),MOD(Sync!$AE1998,100),IFERROR(VALUE(TRIM(MID(MID(Sync!$AE1998,FIND("/",Sync!$AE1998)+1,20),FIND("/",MID(Sync!$AE1998,FIND("/",Sync!$AE1998)+1,20))+1,20))),"")))</f>
        <v/>
      </c>
      <c r="J1998">
        <f>IF($F1998="","",IF(OR($G1998="",$H1998="",$I1998="",$G1998&lt;1300,$G1998&gt;1500,$H1998&lt;1,$H1998&gt;12,$I1998&lt;1,$I1998&gt;31),"نامعتبر",RIGHT("0000"&amp;$G1998,4)&amp;"/"&amp;RIGHT("00"&amp;$H1998,2)&amp;"/"&amp;RIGHT("00"&amp;$I1998,2)))</f>
        <v/>
      </c>
      <c r="K1998">
        <f>IF(OR($F1998="",$J1998="",$J1998="نامعتبر"),"",LEFT($J1998,4)&amp;MID($J1998,6,2)&amp;RIGHT($J1998,2)&amp;$N1998&amp;"|"&amp;"2"&amp;RIGHT("00000"&amp;1993,5))</f>
        <v/>
      </c>
      <c r="L1998">
        <f>IF($K1998="","",COUNTIFS(LdgSellerA,$F1998,LdgKeyA,"&lt;"&amp;$K1998)+COUNTIFS(LdgSellerB,$F1998,LdgKeyB,"&lt;"&amp;$K1998)+1)</f>
        <v/>
      </c>
      <c r="M1998">
        <f>IF($L1998="","",$F1998&amp;"|"&amp;RIGHT("000000"&amp;$L1998,6))</f>
        <v/>
      </c>
      <c r="N1998">
        <f>IF($F1998="","",IF(Sync!$AF1998="","0000",IF(AND(ISNUMBER(Sync!$AF1998),Sync!$AF1998&gt;=0,Sync!$AF1998&lt;1),RIGHT("00"&amp;HOUR(Sync!$AF1998),2)&amp;RIGHT("00"&amp;MINUTE(Sync!$AF1998),2),IFERROR(RIGHT("00"&amp;VALUE(LEFT(Sync!$AF1998,FIND(":",Sync!$AF1998)-1)),2)&amp;RIGHT("00"&amp;VALUE(MID(Sync!$AF1998,FIND(":",Sync!$AF1998)+1,2)),2),"0000"))))</f>
        <v/>
      </c>
    </row>
    <row r="1999">
      <c r="A1999">
        <f>IF(OR(Calc!$E2003="",Calc!$E2003="نامعتبر",Calc!$G2003=""),"",Calc!$G2003)</f>
        <v/>
      </c>
      <c r="B1999">
        <f>IF($A1999="","",LEFT(Calc!$E2003,4)&amp;MID(Calc!$E2003,6,2)&amp;RIGHT(Calc!$E2003,2)&amp;Calc!$Q2003&amp;"|"&amp;"1"&amp;RIGHT("00000"&amp;1994,5))</f>
        <v/>
      </c>
      <c r="C1999">
        <f>IF($B1999="","",COUNTIFS(LdgSellerA,$A1999,LdgKeyA,"&lt;"&amp;$B1999)+COUNTIFS(LdgSellerB,$A1999,LdgKeyB,"&lt;"&amp;$B1999)+1)</f>
        <v/>
      </c>
      <c r="D1999">
        <f>IF($C1999="","",$A1999&amp;"|"&amp;RIGHT("000000"&amp;$C1999,6))</f>
        <v/>
      </c>
      <c r="F1999">
        <f>IF(Sync!$AH1999="","",IF(LEFT(UPPER(TRIM(Sync!$AH1999)),2)="SL",UPPER(TRIM(Sync!$AH1999)),""))</f>
        <v/>
      </c>
      <c r="G1999">
        <f>IF($F1999="","",IF(Sync!$AE1999="","",IF(ISNUMBER(Sync!$AE1999),IF(AND(Sync!$AE1999&gt;=10000101,Sync!$AE1999&lt;=99991231),INT(Sync!$AE1999/10000),""),IFERROR(VALUE(TRIM(LEFT(Sync!$AE1999,FIND("/",Sync!$AE1999)-1))),""))))</f>
        <v/>
      </c>
      <c r="H1999">
        <f>IF(OR($F1999="",$G1999=""),"",IF(ISNUMBER(Sync!$AE1999),INT(MOD(Sync!$AE1999,10000)/100),IFERROR(VALUE(TRIM(LEFT(MID(Sync!$AE1999,FIND("/",Sync!$AE1999)+1,20),FIND("/",MID(Sync!$AE1999,FIND("/",Sync!$AE1999)+1,20))-1))),"")))</f>
        <v/>
      </c>
      <c r="I1999">
        <f>IF(OR($F1999="",$G1999=""),"",IF(ISNUMBER(Sync!$AE1999),MOD(Sync!$AE1999,100),IFERROR(VALUE(TRIM(MID(MID(Sync!$AE1999,FIND("/",Sync!$AE1999)+1,20),FIND("/",MID(Sync!$AE1999,FIND("/",Sync!$AE1999)+1,20))+1,20))),"")))</f>
        <v/>
      </c>
      <c r="J1999">
        <f>IF($F1999="","",IF(OR($G1999="",$H1999="",$I1999="",$G1999&lt;1300,$G1999&gt;1500,$H1999&lt;1,$H1999&gt;12,$I1999&lt;1,$I1999&gt;31),"نامعتبر",RIGHT("0000"&amp;$G1999,4)&amp;"/"&amp;RIGHT("00"&amp;$H1999,2)&amp;"/"&amp;RIGHT("00"&amp;$I1999,2)))</f>
        <v/>
      </c>
      <c r="K1999">
        <f>IF(OR($F1999="",$J1999="",$J1999="نامعتبر"),"",LEFT($J1999,4)&amp;MID($J1999,6,2)&amp;RIGHT($J1999,2)&amp;$N1999&amp;"|"&amp;"2"&amp;RIGHT("00000"&amp;1994,5))</f>
        <v/>
      </c>
      <c r="L1999">
        <f>IF($K1999="","",COUNTIFS(LdgSellerA,$F1999,LdgKeyA,"&lt;"&amp;$K1999)+COUNTIFS(LdgSellerB,$F1999,LdgKeyB,"&lt;"&amp;$K1999)+1)</f>
        <v/>
      </c>
      <c r="M1999">
        <f>IF($L1999="","",$F1999&amp;"|"&amp;RIGHT("000000"&amp;$L1999,6))</f>
        <v/>
      </c>
      <c r="N1999">
        <f>IF($F1999="","",IF(Sync!$AF1999="","0000",IF(AND(ISNUMBER(Sync!$AF1999),Sync!$AF1999&gt;=0,Sync!$AF1999&lt;1),RIGHT("00"&amp;HOUR(Sync!$AF1999),2)&amp;RIGHT("00"&amp;MINUTE(Sync!$AF1999),2),IFERROR(RIGHT("00"&amp;VALUE(LEFT(Sync!$AF1999,FIND(":",Sync!$AF1999)-1)),2)&amp;RIGHT("00"&amp;VALUE(MID(Sync!$AF1999,FIND(":",Sync!$AF1999)+1,2)),2),"0000"))))</f>
        <v/>
      </c>
    </row>
    <row r="2000">
      <c r="A2000">
        <f>IF(OR(Calc!$E2004="",Calc!$E2004="نامعتبر",Calc!$G2004=""),"",Calc!$G2004)</f>
        <v/>
      </c>
      <c r="B2000">
        <f>IF($A2000="","",LEFT(Calc!$E2004,4)&amp;MID(Calc!$E2004,6,2)&amp;RIGHT(Calc!$E2004,2)&amp;Calc!$Q2004&amp;"|"&amp;"1"&amp;RIGHT("00000"&amp;1995,5))</f>
        <v/>
      </c>
      <c r="C2000">
        <f>IF($B2000="","",COUNTIFS(LdgSellerA,$A2000,LdgKeyA,"&lt;"&amp;$B2000)+COUNTIFS(LdgSellerB,$A2000,LdgKeyB,"&lt;"&amp;$B2000)+1)</f>
        <v/>
      </c>
      <c r="D2000">
        <f>IF($C2000="","",$A2000&amp;"|"&amp;RIGHT("000000"&amp;$C2000,6))</f>
        <v/>
      </c>
      <c r="F2000">
        <f>IF(Sync!$AH2000="","",IF(LEFT(UPPER(TRIM(Sync!$AH2000)),2)="SL",UPPER(TRIM(Sync!$AH2000)),""))</f>
        <v/>
      </c>
      <c r="G2000">
        <f>IF($F2000="","",IF(Sync!$AE2000="","",IF(ISNUMBER(Sync!$AE2000),IF(AND(Sync!$AE2000&gt;=10000101,Sync!$AE2000&lt;=99991231),INT(Sync!$AE2000/10000),""),IFERROR(VALUE(TRIM(LEFT(Sync!$AE2000,FIND("/",Sync!$AE2000)-1))),""))))</f>
        <v/>
      </c>
      <c r="H2000">
        <f>IF(OR($F2000="",$G2000=""),"",IF(ISNUMBER(Sync!$AE2000),INT(MOD(Sync!$AE2000,10000)/100),IFERROR(VALUE(TRIM(LEFT(MID(Sync!$AE2000,FIND("/",Sync!$AE2000)+1,20),FIND("/",MID(Sync!$AE2000,FIND("/",Sync!$AE2000)+1,20))-1))),"")))</f>
        <v/>
      </c>
      <c r="I2000">
        <f>IF(OR($F2000="",$G2000=""),"",IF(ISNUMBER(Sync!$AE2000),MOD(Sync!$AE2000,100),IFERROR(VALUE(TRIM(MID(MID(Sync!$AE2000,FIND("/",Sync!$AE2000)+1,20),FIND("/",MID(Sync!$AE2000,FIND("/",Sync!$AE2000)+1,20))+1,20))),"")))</f>
        <v/>
      </c>
      <c r="J2000">
        <f>IF($F2000="","",IF(OR($G2000="",$H2000="",$I2000="",$G2000&lt;1300,$G2000&gt;1500,$H2000&lt;1,$H2000&gt;12,$I2000&lt;1,$I2000&gt;31),"نامعتبر",RIGHT("0000"&amp;$G2000,4)&amp;"/"&amp;RIGHT("00"&amp;$H2000,2)&amp;"/"&amp;RIGHT("00"&amp;$I2000,2)))</f>
        <v/>
      </c>
      <c r="K2000">
        <f>IF(OR($F2000="",$J2000="",$J2000="نامعتبر"),"",LEFT($J2000,4)&amp;MID($J2000,6,2)&amp;RIGHT($J2000,2)&amp;$N2000&amp;"|"&amp;"2"&amp;RIGHT("00000"&amp;1995,5))</f>
        <v/>
      </c>
      <c r="L2000">
        <f>IF($K2000="","",COUNTIFS(LdgSellerA,$F2000,LdgKeyA,"&lt;"&amp;$K2000)+COUNTIFS(LdgSellerB,$F2000,LdgKeyB,"&lt;"&amp;$K2000)+1)</f>
        <v/>
      </c>
      <c r="M2000">
        <f>IF($L2000="","",$F2000&amp;"|"&amp;RIGHT("000000"&amp;$L2000,6))</f>
        <v/>
      </c>
      <c r="N2000">
        <f>IF($F2000="","",IF(Sync!$AF2000="","0000",IF(AND(ISNUMBER(Sync!$AF2000),Sync!$AF2000&gt;=0,Sync!$AF2000&lt;1),RIGHT("00"&amp;HOUR(Sync!$AF2000),2)&amp;RIGHT("00"&amp;MINUTE(Sync!$AF2000),2),IFERROR(RIGHT("00"&amp;VALUE(LEFT(Sync!$AF2000,FIND(":",Sync!$AF2000)-1)),2)&amp;RIGHT("00"&amp;VALUE(MID(Sync!$AF2000,FIND(":",Sync!$AF2000)+1,2)),2),"0000"))))</f>
        <v/>
      </c>
    </row>
    <row r="2001">
      <c r="A2001">
        <f>IF(OR(Calc!$E2005="",Calc!$E2005="نامعتبر",Calc!$G2005=""),"",Calc!$G2005)</f>
        <v/>
      </c>
      <c r="B2001">
        <f>IF($A2001="","",LEFT(Calc!$E2005,4)&amp;MID(Calc!$E2005,6,2)&amp;RIGHT(Calc!$E2005,2)&amp;Calc!$Q2005&amp;"|"&amp;"1"&amp;RIGHT("00000"&amp;1996,5))</f>
        <v/>
      </c>
      <c r="C2001">
        <f>IF($B2001="","",COUNTIFS(LdgSellerA,$A2001,LdgKeyA,"&lt;"&amp;$B2001)+COUNTIFS(LdgSellerB,$A2001,LdgKeyB,"&lt;"&amp;$B2001)+1)</f>
        <v/>
      </c>
      <c r="D2001">
        <f>IF($C2001="","",$A2001&amp;"|"&amp;RIGHT("000000"&amp;$C2001,6))</f>
        <v/>
      </c>
      <c r="F2001">
        <f>IF(Sync!$AH2001="","",IF(LEFT(UPPER(TRIM(Sync!$AH2001)),2)="SL",UPPER(TRIM(Sync!$AH2001)),""))</f>
        <v/>
      </c>
      <c r="G2001">
        <f>IF($F2001="","",IF(Sync!$AE2001="","",IF(ISNUMBER(Sync!$AE2001),IF(AND(Sync!$AE2001&gt;=10000101,Sync!$AE2001&lt;=99991231),INT(Sync!$AE2001/10000),""),IFERROR(VALUE(TRIM(LEFT(Sync!$AE2001,FIND("/",Sync!$AE2001)-1))),""))))</f>
        <v/>
      </c>
      <c r="H2001">
        <f>IF(OR($F2001="",$G2001=""),"",IF(ISNUMBER(Sync!$AE2001),INT(MOD(Sync!$AE2001,10000)/100),IFERROR(VALUE(TRIM(LEFT(MID(Sync!$AE2001,FIND("/",Sync!$AE2001)+1,20),FIND("/",MID(Sync!$AE2001,FIND("/",Sync!$AE2001)+1,20))-1))),"")))</f>
        <v/>
      </c>
      <c r="I2001">
        <f>IF(OR($F2001="",$G2001=""),"",IF(ISNUMBER(Sync!$AE2001),MOD(Sync!$AE2001,100),IFERROR(VALUE(TRIM(MID(MID(Sync!$AE2001,FIND("/",Sync!$AE2001)+1,20),FIND("/",MID(Sync!$AE2001,FIND("/",Sync!$AE2001)+1,20))+1,20))),"")))</f>
        <v/>
      </c>
      <c r="J2001">
        <f>IF($F2001="","",IF(OR($G2001="",$H2001="",$I2001="",$G2001&lt;1300,$G2001&gt;1500,$H2001&lt;1,$H2001&gt;12,$I2001&lt;1,$I2001&gt;31),"نامعتبر",RIGHT("0000"&amp;$G2001,4)&amp;"/"&amp;RIGHT("00"&amp;$H2001,2)&amp;"/"&amp;RIGHT("00"&amp;$I2001,2)))</f>
        <v/>
      </c>
      <c r="K2001">
        <f>IF(OR($F2001="",$J2001="",$J2001="نامعتبر"),"",LEFT($J2001,4)&amp;MID($J2001,6,2)&amp;RIGHT($J2001,2)&amp;$N2001&amp;"|"&amp;"2"&amp;RIGHT("00000"&amp;1996,5))</f>
        <v/>
      </c>
      <c r="L2001">
        <f>IF($K2001="","",COUNTIFS(LdgSellerA,$F2001,LdgKeyA,"&lt;"&amp;$K2001)+COUNTIFS(LdgSellerB,$F2001,LdgKeyB,"&lt;"&amp;$K2001)+1)</f>
        <v/>
      </c>
      <c r="M2001">
        <f>IF($L2001="","",$F2001&amp;"|"&amp;RIGHT("000000"&amp;$L2001,6))</f>
        <v/>
      </c>
      <c r="N2001">
        <f>IF($F2001="","",IF(Sync!$AF2001="","0000",IF(AND(ISNUMBER(Sync!$AF2001),Sync!$AF2001&gt;=0,Sync!$AF2001&lt;1),RIGHT("00"&amp;HOUR(Sync!$AF2001),2)&amp;RIGHT("00"&amp;MINUTE(Sync!$AF2001),2),IFERROR(RIGHT("00"&amp;VALUE(LEFT(Sync!$AF2001,FIND(":",Sync!$AF2001)-1)),2)&amp;RIGHT("00"&amp;VALUE(MID(Sync!$AF2001,FIND(":",Sync!$AF2001)+1,2)),2),"0000"))))</f>
        <v/>
      </c>
    </row>
    <row r="2002">
      <c r="A2002">
        <f>IF(OR(Calc!$E2006="",Calc!$E2006="نامعتبر",Calc!$G2006=""),"",Calc!$G2006)</f>
        <v/>
      </c>
      <c r="B2002">
        <f>IF($A2002="","",LEFT(Calc!$E2006,4)&amp;MID(Calc!$E2006,6,2)&amp;RIGHT(Calc!$E2006,2)&amp;Calc!$Q2006&amp;"|"&amp;"1"&amp;RIGHT("00000"&amp;1997,5))</f>
        <v/>
      </c>
      <c r="C2002">
        <f>IF($B2002="","",COUNTIFS(LdgSellerA,$A2002,LdgKeyA,"&lt;"&amp;$B2002)+COUNTIFS(LdgSellerB,$A2002,LdgKeyB,"&lt;"&amp;$B2002)+1)</f>
        <v/>
      </c>
      <c r="D2002">
        <f>IF($C2002="","",$A2002&amp;"|"&amp;RIGHT("000000"&amp;$C2002,6))</f>
        <v/>
      </c>
      <c r="F2002">
        <f>IF(Sync!$AH2002="","",IF(LEFT(UPPER(TRIM(Sync!$AH2002)),2)="SL",UPPER(TRIM(Sync!$AH2002)),""))</f>
        <v/>
      </c>
      <c r="G2002">
        <f>IF($F2002="","",IF(Sync!$AE2002="","",IF(ISNUMBER(Sync!$AE2002),IF(AND(Sync!$AE2002&gt;=10000101,Sync!$AE2002&lt;=99991231),INT(Sync!$AE2002/10000),""),IFERROR(VALUE(TRIM(LEFT(Sync!$AE2002,FIND("/",Sync!$AE2002)-1))),""))))</f>
        <v/>
      </c>
      <c r="H2002">
        <f>IF(OR($F2002="",$G2002=""),"",IF(ISNUMBER(Sync!$AE2002),INT(MOD(Sync!$AE2002,10000)/100),IFERROR(VALUE(TRIM(LEFT(MID(Sync!$AE2002,FIND("/",Sync!$AE2002)+1,20),FIND("/",MID(Sync!$AE2002,FIND("/",Sync!$AE2002)+1,20))-1))),"")))</f>
        <v/>
      </c>
      <c r="I2002">
        <f>IF(OR($F2002="",$G2002=""),"",IF(ISNUMBER(Sync!$AE2002),MOD(Sync!$AE2002,100),IFERROR(VALUE(TRIM(MID(MID(Sync!$AE2002,FIND("/",Sync!$AE2002)+1,20),FIND("/",MID(Sync!$AE2002,FIND("/",Sync!$AE2002)+1,20))+1,20))),"")))</f>
        <v/>
      </c>
      <c r="J2002">
        <f>IF($F2002="","",IF(OR($G2002="",$H2002="",$I2002="",$G2002&lt;1300,$G2002&gt;1500,$H2002&lt;1,$H2002&gt;12,$I2002&lt;1,$I2002&gt;31),"نامعتبر",RIGHT("0000"&amp;$G2002,4)&amp;"/"&amp;RIGHT("00"&amp;$H2002,2)&amp;"/"&amp;RIGHT("00"&amp;$I2002,2)))</f>
        <v/>
      </c>
      <c r="K2002">
        <f>IF(OR($F2002="",$J2002="",$J2002="نامعتبر"),"",LEFT($J2002,4)&amp;MID($J2002,6,2)&amp;RIGHT($J2002,2)&amp;$N2002&amp;"|"&amp;"2"&amp;RIGHT("00000"&amp;1997,5))</f>
        <v/>
      </c>
      <c r="L2002">
        <f>IF($K2002="","",COUNTIFS(LdgSellerA,$F2002,LdgKeyA,"&lt;"&amp;$K2002)+COUNTIFS(LdgSellerB,$F2002,LdgKeyB,"&lt;"&amp;$K2002)+1)</f>
        <v/>
      </c>
      <c r="M2002">
        <f>IF($L2002="","",$F2002&amp;"|"&amp;RIGHT("000000"&amp;$L2002,6))</f>
        <v/>
      </c>
      <c r="N2002">
        <f>IF($F2002="","",IF(Sync!$AF2002="","0000",IF(AND(ISNUMBER(Sync!$AF2002),Sync!$AF2002&gt;=0,Sync!$AF2002&lt;1),RIGHT("00"&amp;HOUR(Sync!$AF2002),2)&amp;RIGHT("00"&amp;MINUTE(Sync!$AF2002),2),IFERROR(RIGHT("00"&amp;VALUE(LEFT(Sync!$AF2002,FIND(":",Sync!$AF2002)-1)),2)&amp;RIGHT("00"&amp;VALUE(MID(Sync!$AF2002,FIND(":",Sync!$AF2002)+1,2)),2),"0000"))))</f>
        <v/>
      </c>
    </row>
    <row r="2003">
      <c r="A2003">
        <f>IF(OR(Calc!$E2007="",Calc!$E2007="نامعتبر",Calc!$G2007=""),"",Calc!$G2007)</f>
        <v/>
      </c>
      <c r="B2003">
        <f>IF($A2003="","",LEFT(Calc!$E2007,4)&amp;MID(Calc!$E2007,6,2)&amp;RIGHT(Calc!$E2007,2)&amp;Calc!$Q2007&amp;"|"&amp;"1"&amp;RIGHT("00000"&amp;1998,5))</f>
        <v/>
      </c>
      <c r="C2003">
        <f>IF($B2003="","",COUNTIFS(LdgSellerA,$A2003,LdgKeyA,"&lt;"&amp;$B2003)+COUNTIFS(LdgSellerB,$A2003,LdgKeyB,"&lt;"&amp;$B2003)+1)</f>
        <v/>
      </c>
      <c r="D2003">
        <f>IF($C2003="","",$A2003&amp;"|"&amp;RIGHT("000000"&amp;$C2003,6))</f>
        <v/>
      </c>
      <c r="F2003">
        <f>IF(Sync!$AH2003="","",IF(LEFT(UPPER(TRIM(Sync!$AH2003)),2)="SL",UPPER(TRIM(Sync!$AH2003)),""))</f>
        <v/>
      </c>
      <c r="G2003">
        <f>IF($F2003="","",IF(Sync!$AE2003="","",IF(ISNUMBER(Sync!$AE2003),IF(AND(Sync!$AE2003&gt;=10000101,Sync!$AE2003&lt;=99991231),INT(Sync!$AE2003/10000),""),IFERROR(VALUE(TRIM(LEFT(Sync!$AE2003,FIND("/",Sync!$AE2003)-1))),""))))</f>
        <v/>
      </c>
      <c r="H2003">
        <f>IF(OR($F2003="",$G2003=""),"",IF(ISNUMBER(Sync!$AE2003),INT(MOD(Sync!$AE2003,10000)/100),IFERROR(VALUE(TRIM(LEFT(MID(Sync!$AE2003,FIND("/",Sync!$AE2003)+1,20),FIND("/",MID(Sync!$AE2003,FIND("/",Sync!$AE2003)+1,20))-1))),"")))</f>
        <v/>
      </c>
      <c r="I2003">
        <f>IF(OR($F2003="",$G2003=""),"",IF(ISNUMBER(Sync!$AE2003),MOD(Sync!$AE2003,100),IFERROR(VALUE(TRIM(MID(MID(Sync!$AE2003,FIND("/",Sync!$AE2003)+1,20),FIND("/",MID(Sync!$AE2003,FIND("/",Sync!$AE2003)+1,20))+1,20))),"")))</f>
        <v/>
      </c>
      <c r="J2003">
        <f>IF($F2003="","",IF(OR($G2003="",$H2003="",$I2003="",$G2003&lt;1300,$G2003&gt;1500,$H2003&lt;1,$H2003&gt;12,$I2003&lt;1,$I2003&gt;31),"نامعتبر",RIGHT("0000"&amp;$G2003,4)&amp;"/"&amp;RIGHT("00"&amp;$H2003,2)&amp;"/"&amp;RIGHT("00"&amp;$I2003,2)))</f>
        <v/>
      </c>
      <c r="K2003">
        <f>IF(OR($F2003="",$J2003="",$J2003="نامعتبر"),"",LEFT($J2003,4)&amp;MID($J2003,6,2)&amp;RIGHT($J2003,2)&amp;$N2003&amp;"|"&amp;"2"&amp;RIGHT("00000"&amp;1998,5))</f>
        <v/>
      </c>
      <c r="L2003">
        <f>IF($K2003="","",COUNTIFS(LdgSellerA,$F2003,LdgKeyA,"&lt;"&amp;$K2003)+COUNTIFS(LdgSellerB,$F2003,LdgKeyB,"&lt;"&amp;$K2003)+1)</f>
        <v/>
      </c>
      <c r="M2003">
        <f>IF($L2003="","",$F2003&amp;"|"&amp;RIGHT("000000"&amp;$L2003,6))</f>
        <v/>
      </c>
      <c r="N2003">
        <f>IF($F2003="","",IF(Sync!$AF2003="","0000",IF(AND(ISNUMBER(Sync!$AF2003),Sync!$AF2003&gt;=0,Sync!$AF2003&lt;1),RIGHT("00"&amp;HOUR(Sync!$AF2003),2)&amp;RIGHT("00"&amp;MINUTE(Sync!$AF2003),2),IFERROR(RIGHT("00"&amp;VALUE(LEFT(Sync!$AF2003,FIND(":",Sync!$AF2003)-1)),2)&amp;RIGHT("00"&amp;VALUE(MID(Sync!$AF2003,FIND(":",Sync!$AF2003)+1,2)),2),"0000"))))</f>
        <v/>
      </c>
    </row>
    <row r="2004">
      <c r="A2004">
        <f>IF(OR(Calc!$E2008="",Calc!$E2008="نامعتبر",Calc!$G2008=""),"",Calc!$G2008)</f>
        <v/>
      </c>
      <c r="B2004">
        <f>IF($A2004="","",LEFT(Calc!$E2008,4)&amp;MID(Calc!$E2008,6,2)&amp;RIGHT(Calc!$E2008,2)&amp;Calc!$Q2008&amp;"|"&amp;"1"&amp;RIGHT("00000"&amp;1999,5))</f>
        <v/>
      </c>
      <c r="C2004">
        <f>IF($B2004="","",COUNTIFS(LdgSellerA,$A2004,LdgKeyA,"&lt;"&amp;$B2004)+COUNTIFS(LdgSellerB,$A2004,LdgKeyB,"&lt;"&amp;$B2004)+1)</f>
        <v/>
      </c>
      <c r="D2004">
        <f>IF($C2004="","",$A2004&amp;"|"&amp;RIGHT("000000"&amp;$C2004,6))</f>
        <v/>
      </c>
      <c r="F2004">
        <f>IF(Sync!$AH2004="","",IF(LEFT(UPPER(TRIM(Sync!$AH2004)),2)="SL",UPPER(TRIM(Sync!$AH2004)),""))</f>
        <v/>
      </c>
      <c r="G2004">
        <f>IF($F2004="","",IF(Sync!$AE2004="","",IF(ISNUMBER(Sync!$AE2004),IF(AND(Sync!$AE2004&gt;=10000101,Sync!$AE2004&lt;=99991231),INT(Sync!$AE2004/10000),""),IFERROR(VALUE(TRIM(LEFT(Sync!$AE2004,FIND("/",Sync!$AE2004)-1))),""))))</f>
        <v/>
      </c>
      <c r="H2004">
        <f>IF(OR($F2004="",$G2004=""),"",IF(ISNUMBER(Sync!$AE2004),INT(MOD(Sync!$AE2004,10000)/100),IFERROR(VALUE(TRIM(LEFT(MID(Sync!$AE2004,FIND("/",Sync!$AE2004)+1,20),FIND("/",MID(Sync!$AE2004,FIND("/",Sync!$AE2004)+1,20))-1))),"")))</f>
        <v/>
      </c>
      <c r="I2004">
        <f>IF(OR($F2004="",$G2004=""),"",IF(ISNUMBER(Sync!$AE2004),MOD(Sync!$AE2004,100),IFERROR(VALUE(TRIM(MID(MID(Sync!$AE2004,FIND("/",Sync!$AE2004)+1,20),FIND("/",MID(Sync!$AE2004,FIND("/",Sync!$AE2004)+1,20))+1,20))),"")))</f>
        <v/>
      </c>
      <c r="J2004">
        <f>IF($F2004="","",IF(OR($G2004="",$H2004="",$I2004="",$G2004&lt;1300,$G2004&gt;1500,$H2004&lt;1,$H2004&gt;12,$I2004&lt;1,$I2004&gt;31),"نامعتبر",RIGHT("0000"&amp;$G2004,4)&amp;"/"&amp;RIGHT("00"&amp;$H2004,2)&amp;"/"&amp;RIGHT("00"&amp;$I2004,2)))</f>
        <v/>
      </c>
      <c r="K2004">
        <f>IF(OR($F2004="",$J2004="",$J2004="نامعتبر"),"",LEFT($J2004,4)&amp;MID($J2004,6,2)&amp;RIGHT($J2004,2)&amp;$N2004&amp;"|"&amp;"2"&amp;RIGHT("00000"&amp;1999,5))</f>
        <v/>
      </c>
      <c r="L2004">
        <f>IF($K2004="","",COUNTIFS(LdgSellerA,$F2004,LdgKeyA,"&lt;"&amp;$K2004)+COUNTIFS(LdgSellerB,$F2004,LdgKeyB,"&lt;"&amp;$K2004)+1)</f>
        <v/>
      </c>
      <c r="M2004">
        <f>IF($L2004="","",$F2004&amp;"|"&amp;RIGHT("000000"&amp;$L2004,6))</f>
        <v/>
      </c>
      <c r="N2004">
        <f>IF($F2004="","",IF(Sync!$AF2004="","0000",IF(AND(ISNUMBER(Sync!$AF2004),Sync!$AF2004&gt;=0,Sync!$AF2004&lt;1),RIGHT("00"&amp;HOUR(Sync!$AF2004),2)&amp;RIGHT("00"&amp;MINUTE(Sync!$AF2004),2),IFERROR(RIGHT("00"&amp;VALUE(LEFT(Sync!$AF2004,FIND(":",Sync!$AF2004)-1)),2)&amp;RIGHT("00"&amp;VALUE(MID(Sync!$AF2004,FIND(":",Sync!$AF2004)+1,2)),2),"0000"))))</f>
        <v/>
      </c>
    </row>
    <row r="2005">
      <c r="A2005">
        <f>IF(OR(Calc!$E2009="",Calc!$E2009="نامعتبر",Calc!$G2009=""),"",Calc!$G2009)</f>
        <v/>
      </c>
      <c r="B2005">
        <f>IF($A2005="","",LEFT(Calc!$E2009,4)&amp;MID(Calc!$E2009,6,2)&amp;RIGHT(Calc!$E2009,2)&amp;Calc!$Q2009&amp;"|"&amp;"1"&amp;RIGHT("00000"&amp;2000,5))</f>
        <v/>
      </c>
      <c r="C2005">
        <f>IF($B2005="","",COUNTIFS(LdgSellerA,$A2005,LdgKeyA,"&lt;"&amp;$B2005)+COUNTIFS(LdgSellerB,$A2005,LdgKeyB,"&lt;"&amp;$B2005)+1)</f>
        <v/>
      </c>
      <c r="D2005">
        <f>IF($C2005="","",$A2005&amp;"|"&amp;RIGHT("000000"&amp;$C2005,6))</f>
        <v/>
      </c>
      <c r="F2005">
        <f>IF(Sync!$AH2005="","",IF(LEFT(UPPER(TRIM(Sync!$AH2005)),2)="SL",UPPER(TRIM(Sync!$AH2005)),""))</f>
        <v/>
      </c>
      <c r="G2005">
        <f>IF($F2005="","",IF(Sync!$AE2005="","",IF(ISNUMBER(Sync!$AE2005),IF(AND(Sync!$AE2005&gt;=10000101,Sync!$AE2005&lt;=99991231),INT(Sync!$AE2005/10000),""),IFERROR(VALUE(TRIM(LEFT(Sync!$AE2005,FIND("/",Sync!$AE2005)-1))),""))))</f>
        <v/>
      </c>
      <c r="H2005">
        <f>IF(OR($F2005="",$G2005=""),"",IF(ISNUMBER(Sync!$AE2005),INT(MOD(Sync!$AE2005,10000)/100),IFERROR(VALUE(TRIM(LEFT(MID(Sync!$AE2005,FIND("/",Sync!$AE2005)+1,20),FIND("/",MID(Sync!$AE2005,FIND("/",Sync!$AE2005)+1,20))-1))),"")))</f>
        <v/>
      </c>
      <c r="I2005">
        <f>IF(OR($F2005="",$G2005=""),"",IF(ISNUMBER(Sync!$AE2005),MOD(Sync!$AE2005,100),IFERROR(VALUE(TRIM(MID(MID(Sync!$AE2005,FIND("/",Sync!$AE2005)+1,20),FIND("/",MID(Sync!$AE2005,FIND("/",Sync!$AE2005)+1,20))+1,20))),"")))</f>
        <v/>
      </c>
      <c r="J2005">
        <f>IF($F2005="","",IF(OR($G2005="",$H2005="",$I2005="",$G2005&lt;1300,$G2005&gt;1500,$H2005&lt;1,$H2005&gt;12,$I2005&lt;1,$I2005&gt;31),"نامعتبر",RIGHT("0000"&amp;$G2005,4)&amp;"/"&amp;RIGHT("00"&amp;$H2005,2)&amp;"/"&amp;RIGHT("00"&amp;$I2005,2)))</f>
        <v/>
      </c>
      <c r="K2005">
        <f>IF(OR($F2005="",$J2005="",$J2005="نامعتبر"),"",LEFT($J2005,4)&amp;MID($J2005,6,2)&amp;RIGHT($J2005,2)&amp;$N2005&amp;"|"&amp;"2"&amp;RIGHT("00000"&amp;2000,5))</f>
        <v/>
      </c>
      <c r="L2005">
        <f>IF($K2005="","",COUNTIFS(LdgSellerA,$F2005,LdgKeyA,"&lt;"&amp;$K2005)+COUNTIFS(LdgSellerB,$F2005,LdgKeyB,"&lt;"&amp;$K2005)+1)</f>
        <v/>
      </c>
      <c r="M2005">
        <f>IF($L2005="","",$F2005&amp;"|"&amp;RIGHT("000000"&amp;$L2005,6))</f>
        <v/>
      </c>
      <c r="N2005">
        <f>IF($F2005="","",IF(Sync!$AF2005="","0000",IF(AND(ISNUMBER(Sync!$AF2005),Sync!$AF2005&gt;=0,Sync!$AF2005&lt;1),RIGHT("00"&amp;HOUR(Sync!$AF2005),2)&amp;RIGHT("00"&amp;MINUTE(Sync!$AF2005),2),IFERROR(RIGHT("00"&amp;VALUE(LEFT(Sync!$AF2005,FIND(":",Sync!$AF2005)-1)),2)&amp;RIGHT("00"&amp;VALUE(MID(Sync!$AF2005,FIND(":",Sync!$AF2005)+1,2)),2),"0000"))))</f>
        <v/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H27"/>
  <sheetViews>
    <sheetView showGridLines="0" rightToLeft="1" zoomScale="10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35" t="inlineStr">
        <is>
          <t>راهنمای فایل فروش (Sales.xlsx)</t>
        </is>
      </c>
      <c r="B3" s="35" t="n"/>
      <c r="C3" s="35" t="n"/>
      <c r="D3" s="35" t="n"/>
      <c r="E3" s="35" t="n"/>
      <c r="F3" s="35" t="n"/>
      <c r="G3" s="35" t="n"/>
      <c r="H3" s="35" t="n"/>
    </row>
    <row r="5" ht="19" customHeight="1">
      <c r="A5" s="36" t="inlineStr">
        <is>
          <t>۱) این فایل چیست؟</t>
        </is>
      </c>
      <c r="B5" s="36" t="n"/>
      <c r="C5" s="36" t="n"/>
      <c r="D5" s="36" t="n"/>
      <c r="E5" s="36" t="n"/>
      <c r="F5" s="36" t="n"/>
      <c r="G5" s="36" t="n"/>
      <c r="H5" s="36" t="n"/>
    </row>
    <row r="6" ht="17" customHeight="1">
      <c r="A6" s="37" t="inlineStr">
        <is>
          <t>• صورت‌حساب گزارشی هر حساب — بدون هیچ ورود داده‌ای به‌جز «کد حساب».</t>
        </is>
      </c>
      <c r="B6" s="37" t="n"/>
      <c r="C6" s="37" t="n"/>
      <c r="D6" s="37" t="n"/>
      <c r="E6" s="37" t="n"/>
      <c r="F6" s="37" t="n"/>
      <c r="G6" s="37" t="n"/>
      <c r="H6" s="37" t="n"/>
    </row>
    <row r="7" ht="17" customHeight="1">
      <c r="A7" s="38" t="inlineStr">
        <is>
          <t>• منابع: دفتر باسکول (Baskol.xlsx — توزین‌های فروش) + فایل واریز/برداشت (Transactions.xlsx — پرداخت‌های بانکی) + فایل مادر (INFO.xlsx — مشخصات حساب‌ها).</t>
        </is>
      </c>
      <c r="B7" s="38" t="n"/>
      <c r="C7" s="38" t="n"/>
      <c r="D7" s="38" t="n"/>
      <c r="E7" s="38" t="n"/>
      <c r="F7" s="38" t="n"/>
      <c r="G7" s="38" t="n"/>
      <c r="H7" s="38" t="n"/>
    </row>
    <row r="8" ht="17" customHeight="1">
      <c r="A8" s="37" t="inlineStr">
        <is>
          <t>• ثبت فروش: در باسکول ردیفی با عملیات «فروش» و کد فروشنده SLxxx ثبت کنید؛ ثبت پرداخت: در Transactions واریز با کد SLxxx.</t>
        </is>
      </c>
      <c r="B8" s="37" t="n"/>
      <c r="C8" s="37" t="n"/>
      <c r="D8" s="37" t="n"/>
      <c r="E8" s="37" t="n"/>
      <c r="F8" s="37" t="n"/>
      <c r="G8" s="37" t="n"/>
      <c r="H8" s="37" t="n"/>
    </row>
    <row r="10" ht="19" customHeight="1">
      <c r="A10" s="36" t="inlineStr">
        <is>
          <t>۲) شیت Report — کار با آن</t>
        </is>
      </c>
      <c r="B10" s="36" t="n"/>
      <c r="C10" s="36" t="n"/>
      <c r="D10" s="36" t="n"/>
      <c r="E10" s="36" t="n"/>
      <c r="F10" s="36" t="n"/>
      <c r="G10" s="36" t="n"/>
      <c r="H10" s="36" t="n"/>
    </row>
    <row r="11" ht="17" customHeight="1">
      <c r="A11" s="37" t="inlineStr">
        <is>
          <t>• در خانه زردرنگ «کد حساب» (بالا-راست شیت) کد را وارد کنید (مثل SL001) — سربرگ، کارت‌ها و کل دفتر خودکار به‌روز می‌شوند.</t>
        </is>
      </c>
      <c r="B11" s="37" t="n"/>
      <c r="C11" s="37" t="n"/>
      <c r="D11" s="37" t="n"/>
      <c r="E11" s="37" t="n"/>
      <c r="F11" s="37" t="n"/>
      <c r="G11" s="37" t="n"/>
      <c r="H11" s="37" t="n"/>
    </row>
    <row r="12" ht="17" customHeight="1">
      <c r="A12" s="38" t="inlineStr">
        <is>
          <t>• برای حساب دیگر، همین شیت را کپی کنید (راست‌کلیک ← Move or Copy ← Create a copy) و فقط کد را عوض کنید.</t>
        </is>
      </c>
      <c r="B12" s="38" t="n"/>
      <c r="C12" s="38" t="n"/>
      <c r="D12" s="38" t="n"/>
      <c r="E12" s="38" t="n"/>
      <c r="F12" s="38" t="n"/>
      <c r="G12" s="38" t="n"/>
      <c r="H12" s="38" t="n"/>
    </row>
    <row r="13" ht="17" customHeight="1">
      <c r="A13" s="37" t="inlineStr">
        <is>
          <t>• ردیف‌ها خودکار به تاریخ و ساعت مرتب می‌شوند؛ چیزی داخل جدول تایپ نکنید. «مانده اولیه» دستی است.</t>
        </is>
      </c>
      <c r="B13" s="37" t="n"/>
      <c r="C13" s="37" t="n"/>
      <c r="D13" s="37" t="n"/>
      <c r="E13" s="37" t="n"/>
      <c r="F13" s="37" t="n"/>
      <c r="G13" s="37" t="n"/>
      <c r="H13" s="37" t="n"/>
    </row>
    <row r="15" ht="19" customHeight="1">
      <c r="A15" s="36" t="inlineStr">
        <is>
          <t>۳) سربرگ و کارت‌ها</t>
        </is>
      </c>
      <c r="B15" s="36" t="n"/>
      <c r="C15" s="36" t="n"/>
      <c r="D15" s="36" t="n"/>
      <c r="E15" s="36" t="n"/>
      <c r="F15" s="36" t="n"/>
      <c r="G15" s="36" t="n"/>
      <c r="H15" s="36" t="n"/>
    </row>
    <row r="16" ht="17" customHeight="1">
      <c r="A16" s="37" t="inlineStr">
        <is>
          <t>• سربرگ: نام، نوع حساب، تلفن/همراه و نشانی — خودکار از INFO ← Accounts.</t>
        </is>
      </c>
      <c r="B16" s="37" t="n"/>
      <c r="C16" s="37" t="n"/>
      <c r="D16" s="37" t="n"/>
      <c r="E16" s="37" t="n"/>
      <c r="F16" s="37" t="n"/>
      <c r="G16" s="37" t="n"/>
      <c r="H16" s="37" t="n"/>
    </row>
    <row r="17" ht="17" customHeight="1">
      <c r="A17" s="38" t="inlineStr">
        <is>
          <t>• کارت‌ها: جمع بدهکار، جمع بستانکار، مانده نهایی، ماهیت حساب (▲ بدهکار / ▼ بستانکار / = تسویه)، تعداد توزین فروش و پرداخت، جمع وزن خالص فروش، آخرین تراکنش.</t>
        </is>
      </c>
      <c r="B17" s="38" t="n"/>
      <c r="C17" s="38" t="n"/>
      <c r="D17" s="38" t="n"/>
      <c r="E17" s="38" t="n"/>
      <c r="F17" s="38" t="n"/>
      <c r="G17" s="38" t="n"/>
      <c r="H17" s="38" t="n"/>
    </row>
    <row r="19" ht="19" customHeight="1">
      <c r="A19" s="36" t="inlineStr">
        <is>
          <t>۴) ردیف‌های دفتر</t>
        </is>
      </c>
      <c r="B19" s="36" t="n"/>
      <c r="C19" s="36" t="n"/>
      <c r="D19" s="36" t="n"/>
      <c r="E19" s="36" t="n"/>
      <c r="F19" s="36" t="n"/>
      <c r="G19" s="36" t="n"/>
      <c r="H19" s="36" t="n"/>
    </row>
    <row r="20" ht="17" customHeight="1">
      <c r="A20" s="37" t="inlineStr">
        <is>
          <t>• تاریخ | نوع عملیات (فروش/مرجوعی فروش/پرداخت بانکی) | مرجع (شماره سند یا بانک) | توضیحات | وزن خالص (kg) | بدهکار | بستانکار | مانده.</t>
        </is>
      </c>
      <c r="B20" s="37" t="n"/>
      <c r="C20" s="37" t="n"/>
      <c r="D20" s="37" t="n"/>
      <c r="E20" s="37" t="n"/>
      <c r="F20" s="37" t="n"/>
      <c r="G20" s="37" t="n"/>
      <c r="H20" s="37" t="n"/>
    </row>
    <row r="21" ht="17" customHeight="1">
      <c r="A21" s="38" t="inlineStr">
        <is>
          <t>• فروش = مبلغ توزین در بدهکار؛ مرجوعی فروش = بستانکار؛ پرداخت بانکی (واریز با کد SL…) = بستانکار.</t>
        </is>
      </c>
      <c r="B21" s="38" t="n"/>
      <c r="C21" s="38" t="n"/>
      <c r="D21" s="38" t="n"/>
      <c r="E21" s="38" t="n"/>
      <c r="F21" s="38" t="n"/>
      <c r="G21" s="38" t="n"/>
      <c r="H21" s="38" t="n"/>
    </row>
    <row r="22" ht="17" customHeight="1">
      <c r="A22" s="37" t="inlineStr">
        <is>
          <t>• ظرفیت هر صورت‌حساب: 2000 ردیف.</t>
        </is>
      </c>
      <c r="B22" s="37" t="n"/>
      <c r="C22" s="37" t="n"/>
      <c r="D22" s="37" t="n"/>
      <c r="E22" s="37" t="n"/>
      <c r="F22" s="37" t="n"/>
      <c r="G22" s="37" t="n"/>
      <c r="H22" s="37" t="n"/>
    </row>
    <row r="24" ht="19" customHeight="1">
      <c r="A24" s="36" t="inlineStr">
        <is>
          <t>۵) اتصال‌ها</t>
        </is>
      </c>
      <c r="B24" s="36" t="n"/>
      <c r="C24" s="36" t="n"/>
      <c r="D24" s="36" t="n"/>
      <c r="E24" s="36" t="n"/>
      <c r="F24" s="36" t="n"/>
      <c r="G24" s="36" t="n"/>
      <c r="H24" s="36" t="n"/>
    </row>
    <row r="25" ht="17" customHeight="1">
      <c r="A25" s="37" t="inlineStr">
        <is>
          <t>• این فایل، Baskol.xlsx، Transactions.xlsx و INFO.xlsx همیشه در یک پوشه باشند.</t>
        </is>
      </c>
      <c r="B25" s="37" t="n"/>
      <c r="C25" s="37" t="n"/>
      <c r="D25" s="37" t="n"/>
      <c r="E25" s="37" t="n"/>
      <c r="F25" s="37" t="n"/>
      <c r="G25" s="37" t="n"/>
      <c r="H25" s="37" t="n"/>
    </row>
    <row r="26" ht="17" customHeight="1">
      <c r="A26" s="38" t="inlineStr">
        <is>
          <t>• پس از تغییر هر فایل منبع: Data ← Edit Links ← Update Values.</t>
        </is>
      </c>
      <c r="B26" s="38" t="n"/>
      <c r="C26" s="38" t="n"/>
      <c r="D26" s="38" t="n"/>
      <c r="E26" s="38" t="n"/>
      <c r="F26" s="38" t="n"/>
      <c r="G26" s="38" t="n"/>
      <c r="H26" s="38" t="n"/>
    </row>
    <row r="27" ht="17" customHeight="1">
      <c r="A27" s="37" t="inlineStr">
        <is>
          <t>• حساب جدید: در INFO ← Accounts ردیف را کامل کنید؛ در شیت Report کد او را وارد کنید (یا شیت را کپی کنید).</t>
        </is>
      </c>
      <c r="B27" s="37" t="n"/>
      <c r="C27" s="37" t="n"/>
      <c r="D27" s="37" t="n"/>
      <c r="E27" s="37" t="n"/>
      <c r="F27" s="37" t="n"/>
      <c r="G27" s="37" t="n"/>
      <c r="H27" s="37" t="n"/>
    </row>
  </sheetData>
  <mergeCells count="22">
    <mergeCell ref="A15:H15"/>
    <mergeCell ref="A24:H24"/>
    <mergeCell ref="A11:H11"/>
    <mergeCell ref="A1:H1"/>
    <mergeCell ref="A6:H6"/>
    <mergeCell ref="A7:H7"/>
    <mergeCell ref="A25:H25"/>
    <mergeCell ref="A16:H16"/>
    <mergeCell ref="A27:H27"/>
    <mergeCell ref="A12:H12"/>
    <mergeCell ref="A3:H3"/>
    <mergeCell ref="A21:H21"/>
    <mergeCell ref="A26:H26"/>
    <mergeCell ref="A2:H2"/>
    <mergeCell ref="A5:H5"/>
    <mergeCell ref="A8:H8"/>
    <mergeCell ref="A22:H22"/>
    <mergeCell ref="A17:H17"/>
    <mergeCell ref="A20:H20"/>
    <mergeCell ref="A10:H10"/>
    <mergeCell ref="A13:H13"/>
    <mergeCell ref="A19:H19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راهنما — فایل فروش&amp;R&amp;"Tahoma"&amp;8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Mazandasht Sales — صورت‌حساب گزارشی</dc:title>
  <dcterms:created xsi:type="dcterms:W3CDTF">2026-10-05T19:49:10Z</dcterms:created>
  <dcterms:modified xsi:type="dcterms:W3CDTF">2026-10-05T19:49:11Z</dcterms:modified>
</cp:coreProperties>
</file>